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namedSheetViews/namedSheetView1.xml" ContentType="application/vnd.ms-excel.namedsheetviews+xml"/>
  <Override PartName="/xl/drawings/drawing1.xml" ContentType="application/vnd.openxmlformats-officedocument.drawing+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namedSheetViews/namedSheetView2.xml" ContentType="application/vnd.ms-excel.namedsheetviews+xml"/>
  <Override PartName="/xl/comments3.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comments4.xml" ContentType="application/vnd.openxmlformats-officedocument.spreadsheetml.comments+xml"/>
  <Override PartName="/xl/threadedComments/threadedComment3.xml" ContentType="application/vnd.ms-excel.threadedcomments+xml"/>
  <Override PartName="/xl/namedSheetViews/namedSheetView3.xml" ContentType="application/vnd.ms-excel.namedsheetviews+xml"/>
  <Override PartName="/xl/tables/table4.xml" ContentType="application/vnd.openxmlformats-officedocument.spreadsheetml.table+xml"/>
  <Override PartName="/xl/comments5.xml" ContentType="application/vnd.openxmlformats-officedocument.spreadsheetml.comments+xml"/>
  <Override PartName="/xl/threadedComments/threadedComment4.xml" ContentType="application/vnd.ms-excel.threadedcomments+xml"/>
  <Override PartName="/xl/namedSheetViews/namedSheetView4.xml" ContentType="application/vnd.ms-excel.namedsheetviews+xml"/>
  <Override PartName="/xl/tables/table5.xml" ContentType="application/vnd.openxmlformats-officedocument.spreadsheetml.table+xml"/>
  <Override PartName="/xl/comments6.xml" ContentType="application/vnd.openxmlformats-officedocument.spreadsheetml.comments+xml"/>
  <Override PartName="/xl/threadedComments/threadedComment5.xml" ContentType="application/vnd.ms-excel.threadedcomments+xml"/>
  <Override PartName="/xl/namedSheetViews/namedSheetView5.xml" ContentType="application/vnd.ms-excel.namedsheetviews+xml"/>
  <Override PartName="/xl/tables/table6.xml" ContentType="application/vnd.openxmlformats-officedocument.spreadsheetml.table+xml"/>
  <Override PartName="/xl/comments7.xml" ContentType="application/vnd.openxmlformats-officedocument.spreadsheetml.comments+xml"/>
  <Override PartName="/xl/threadedComments/threadedComment6.xml" ContentType="application/vnd.ms-excel.threadedcomments+xml"/>
  <Override PartName="/xl/documenttasks/documenttask1.xml" ContentType="application/vnd.ms-excel.documenttasks+xml"/>
  <Override PartName="/xl/namedSheetViews/namedSheetView6.xml" ContentType="application/vnd.ms-excel.namedsheetviews+xml"/>
  <Override PartName="/xl/drawings/drawing3.xml" ContentType="application/vnd.openxmlformats-officedocument.drawing+xml"/>
  <Override PartName="/xl/tables/table7.xml" ContentType="application/vnd.openxmlformats-officedocument.spreadsheetml.table+xml"/>
  <Override PartName="/xl/comments8.xml" ContentType="application/vnd.openxmlformats-officedocument.spreadsheetml.comments+xml"/>
  <Override PartName="/xl/threadedComments/threadedComment7.xml" ContentType="application/vnd.ms-excel.threadedcomments+xml"/>
  <Override PartName="/xl/documenttasks/documenttask2.xml" ContentType="application/vnd.ms-excel.documenttasks+xml"/>
  <Override PartName="/xl/namedSheetViews/namedSheetView7.xml" ContentType="application/vnd.ms-excel.namedsheetviews+xml"/>
  <Override PartName="/xl/tables/table8.xml" ContentType="application/vnd.openxmlformats-officedocument.spreadsheetml.table+xml"/>
  <Override PartName="/xl/comments9.xml" ContentType="application/vnd.openxmlformats-officedocument.spreadsheetml.comments+xml"/>
  <Override PartName="/xl/threadedComments/threadedComment8.xml" ContentType="application/vnd.ms-excel.threadedcomments+xml"/>
  <Override PartName="/xl/documenttasks/documenttask3.xml" ContentType="application/vnd.ms-excel.documenttasks+xml"/>
  <Override PartName="/xl/namedSheetViews/namedSheetView8.xml" ContentType="application/vnd.ms-excel.namedsheetviews+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9.xml" ContentType="application/vnd.openxmlformats-officedocument.spreadsheetml.table+xml"/>
  <Override PartName="/xl/comments10.xml" ContentType="application/vnd.openxmlformats-officedocument.spreadsheetml.comments+xml"/>
  <Override PartName="/xl/threadedComments/threadedComment9.xml" ContentType="application/vnd.ms-excel.threadedcomments+xml"/>
  <Override PartName="/xl/documenttasks/documenttask4.xml" ContentType="application/vnd.ms-excel.documenttasks+xml"/>
  <Override PartName="/xl/namedSheetViews/namedSheetView9.xml" ContentType="application/vnd.ms-excel.namedsheetviews+xml"/>
  <Override PartName="/xl/tables/table10.xml" ContentType="application/vnd.openxmlformats-officedocument.spreadsheetml.table+xml"/>
  <Override PartName="/xl/comments11.xml" ContentType="application/vnd.openxmlformats-officedocument.spreadsheetml.comments+xml"/>
  <Override PartName="/xl/threadedComments/threadedComment10.xml" ContentType="application/vnd.ms-excel.threadedcomments+xml"/>
  <Override PartName="/xl/documenttasks/documenttask5.xml" ContentType="application/vnd.ms-excel.documenttasks+xml"/>
  <Override PartName="/xl/namedSheetViews/namedSheetView10.xml" ContentType="application/vnd.ms-excel.namedsheetviews+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workbookPr codeName="ThisWorkbook"/>
  <mc:AlternateContent xmlns:mc="http://schemas.openxmlformats.org/markup-compatibility/2006">
    <mc:Choice Requires="x15">
      <x15ac:absPath xmlns:x15ac="http://schemas.microsoft.com/office/spreadsheetml/2010/11/ac" url="C:\Innovative Analyst\Hackathon\"/>
    </mc:Choice>
  </mc:AlternateContent>
  <xr:revisionPtr revIDLastSave="0" documentId="8_{993CEA47-6855-4D23-B84D-CECFF0C6E8B6}" xr6:coauthVersionLast="47" xr6:coauthVersionMax="47" xr10:uidLastSave="{00000000-0000-0000-0000-000000000000}"/>
  <bookViews>
    <workbookView xWindow="-110" yWindow="-110" windowWidth="25820" windowHeight="15500" firstSheet="5" activeTab="7" xr2:uid="{E4314270-C062-41F1-807B-44A270590C58}"/>
  </bookViews>
  <sheets>
    <sheet name="Reporting" sheetId="40" state="hidden" r:id="rId1"/>
    <sheet name="RequisitionsOLD" sheetId="17" state="hidden" r:id="rId2"/>
    <sheet name="2024 - RECONCILE 2" sheetId="52" state="hidden" r:id="rId3"/>
    <sheet name="Completed Projects Archive" sheetId="57" state="hidden" r:id="rId4"/>
    <sheet name="2025 - RECONCILE 1" sheetId="55" state="hidden" r:id="rId5"/>
    <sheet name="CRA &amp; TW Projects" sheetId="18" r:id="rId6"/>
    <sheet name="Non-DOT Projects" sheetId="2" r:id="rId7"/>
    <sheet name="DOT Projects" sheetId="1" r:id="rId8"/>
    <sheet name="T&amp;M" sheetId="48" r:id="rId9"/>
    <sheet name="Requisitions" sheetId="49" r:id="rId10"/>
    <sheet name="Completed Projects" sheetId="29" r:id="rId11"/>
    <sheet name="2025 - RECONCILE 2" sheetId="56" state="hidden" r:id="rId12"/>
  </sheets>
  <definedNames>
    <definedName name="_xlnm._FilterDatabase" localSheetId="4" hidden="1">'2025 - RECONCILE 1'!#REF!</definedName>
    <definedName name="_xlnm._FilterDatabase" localSheetId="11" hidden="1">'2025 - RECONCILE 2'!#REF!</definedName>
    <definedName name="_xlnm._FilterDatabase" localSheetId="5" hidden="1">'CRA &amp; TW Projects'!$AU$1:$AU$1</definedName>
    <definedName name="_xlnm._FilterDatabase" localSheetId="7" hidden="1">'DOT Projects'!#REF!</definedName>
    <definedName name="_xlnm._FilterDatabase" localSheetId="1" hidden="1">RequisitionsOLD!$B$1:$Q$311</definedName>
    <definedName name="_xlnm._FilterDatabase" localSheetId="8" hidden="1">'T&amp;M'!$H$43:$H$43</definedName>
    <definedName name="_xlnm.Print_Area" localSheetId="10">'Completed Projects'!$A$1:$CA$1551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X12" i="2" l="1"/>
  <c r="AF12" i="2"/>
  <c r="AD12" i="2"/>
  <c r="L41" i="18"/>
  <c r="AC41" i="18"/>
  <c r="AT41" i="18"/>
  <c r="AV41" i="18"/>
  <c r="AV40" i="18"/>
  <c r="AT40" i="18"/>
  <c r="AC40" i="18"/>
  <c r="L40" i="18"/>
  <c r="BE3" i="1"/>
  <c r="BE4" i="1"/>
  <c r="BE5" i="1"/>
  <c r="BE6" i="1"/>
  <c r="BE7" i="1"/>
  <c r="BE8" i="1"/>
  <c r="BE9" i="1"/>
  <c r="BE10" i="1"/>
  <c r="BE11" i="1"/>
  <c r="BE12" i="1"/>
  <c r="BE13" i="1"/>
  <c r="BE14" i="1"/>
  <c r="BE15" i="1"/>
  <c r="BE16" i="1"/>
  <c r="BE17" i="1"/>
  <c r="BE18" i="1"/>
  <c r="BE19" i="1"/>
  <c r="BE20" i="1"/>
  <c r="BE21" i="1"/>
  <c r="BE22" i="1"/>
  <c r="BE23" i="1"/>
  <c r="BE24" i="1"/>
  <c r="BE25" i="1"/>
  <c r="BE26" i="1"/>
  <c r="BE27" i="1"/>
  <c r="BE28" i="1"/>
  <c r="BE29" i="1"/>
  <c r="BE30" i="1"/>
  <c r="BE31" i="1"/>
  <c r="BE32" i="1"/>
  <c r="BE33" i="1"/>
  <c r="AZ3" i="2"/>
  <c r="AZ4" i="2"/>
  <c r="AZ5" i="2"/>
  <c r="AZ6" i="2"/>
  <c r="AZ7" i="2"/>
  <c r="AZ8" i="2"/>
  <c r="AZ9" i="2"/>
  <c r="AZ10" i="2"/>
  <c r="BC12" i="1"/>
  <c r="BB12" i="1"/>
  <c r="AE12" i="1"/>
  <c r="BB29" i="1"/>
  <c r="AD11" i="2"/>
  <c r="AF11" i="2"/>
  <c r="AX11" i="2"/>
  <c r="AE19" i="1"/>
  <c r="BB19" i="1"/>
  <c r="BC19" i="1"/>
  <c r="L39" i="18"/>
  <c r="AC39" i="18"/>
  <c r="AT39" i="18"/>
  <c r="AV39" i="18"/>
  <c r="L38" i="18"/>
  <c r="AC38" i="18"/>
  <c r="AT38" i="18"/>
  <c r="AV38" i="18"/>
  <c r="L37" i="18"/>
  <c r="AC37" i="18"/>
  <c r="AT37" i="18"/>
  <c r="AV37" i="18"/>
  <c r="AX10" i="2"/>
  <c r="AF10" i="2"/>
  <c r="AD10" i="2"/>
  <c r="AV36" i="18"/>
  <c r="AT36" i="18"/>
  <c r="AC36" i="18"/>
  <c r="L36" i="18"/>
  <c r="Q1535" i="29"/>
  <c r="AA1531" i="29"/>
  <c r="Q1531" i="29" s="1"/>
  <c r="AA1525" i="29"/>
  <c r="S1531" i="29"/>
  <c r="AK1531" i="29"/>
  <c r="CD1535" i="29"/>
  <c r="L1535" i="29"/>
  <c r="L1533" i="29"/>
  <c r="CD1533" i="29"/>
  <c r="L1532" i="29"/>
  <c r="CD1532" i="29"/>
  <c r="AT14" i="18"/>
  <c r="AT30" i="18"/>
  <c r="L1531" i="29"/>
  <c r="CD1531" i="29"/>
  <c r="AL1531" i="29" l="1"/>
  <c r="Y413" i="49"/>
  <c r="Y412" i="49"/>
  <c r="Y411" i="49"/>
  <c r="Y410" i="49"/>
  <c r="AA1534" i="29" l="1"/>
  <c r="Q1534" i="29" s="1"/>
  <c r="AL1534" i="29" s="1"/>
  <c r="Q1530" i="29"/>
  <c r="L1530" i="29"/>
  <c r="V1534" i="29"/>
  <c r="L1534" i="29"/>
  <c r="CD1534" i="29"/>
  <c r="BS1529" i="29"/>
  <c r="BP1529" i="29"/>
  <c r="Q1529" i="29"/>
  <c r="CD1529" i="29"/>
  <c r="L1529" i="29"/>
  <c r="Q1527" i="29"/>
  <c r="CD1527" i="29"/>
  <c r="L1527" i="29"/>
  <c r="Q1526" i="29"/>
  <c r="CD1526" i="29"/>
  <c r="L1526" i="29"/>
  <c r="Q1524" i="29"/>
  <c r="CD1524" i="29"/>
  <c r="L1524" i="29"/>
  <c r="Q1525" i="29"/>
  <c r="AL1525" i="29" s="1"/>
  <c r="CD1525" i="29"/>
  <c r="AS1525" i="29"/>
  <c r="AT1525" i="29" s="1"/>
  <c r="AU1525" i="29" s="1"/>
  <c r="L1525" i="29"/>
  <c r="AF4" i="2" l="1"/>
  <c r="AF5" i="2"/>
  <c r="AD4" i="2"/>
  <c r="AD5" i="2"/>
  <c r="AX5" i="2"/>
  <c r="AX4" i="2"/>
  <c r="AX9" i="2"/>
  <c r="AF9" i="2"/>
  <c r="AD9" i="2"/>
  <c r="AA1523" i="29" l="1"/>
  <c r="Q1528" i="29"/>
  <c r="L1528" i="29"/>
  <c r="Q1433" i="29"/>
  <c r="Q1521" i="29"/>
  <c r="AL1521" i="29" s="1"/>
  <c r="Q1522" i="29"/>
  <c r="AL1522" i="29" s="1"/>
  <c r="Q1523" i="29"/>
  <c r="AL1523" i="29" s="1"/>
  <c r="CD1523" i="29"/>
  <c r="L1523" i="29"/>
  <c r="CD1522" i="29"/>
  <c r="AS1522" i="29"/>
  <c r="AT1522" i="29" s="1"/>
  <c r="AU1522" i="29" s="1"/>
  <c r="L1522" i="29"/>
  <c r="CD1521" i="29"/>
  <c r="AS1521" i="29"/>
  <c r="AT1521" i="29" s="1"/>
  <c r="AU1521" i="29" s="1"/>
  <c r="L1521" i="29"/>
  <c r="Q1482" i="29"/>
  <c r="Q1469" i="29" l="1"/>
  <c r="Q1481" i="29"/>
  <c r="Q1508" i="29"/>
  <c r="Q1480" i="29"/>
  <c r="AA1509" i="29"/>
  <c r="Q1509" i="29" s="1"/>
  <c r="AL1509" i="29" s="1"/>
  <c r="Q1519" i="29" l="1"/>
  <c r="Q1520" i="29"/>
  <c r="AD3" i="2" l="1"/>
  <c r="AF3" i="2"/>
  <c r="AX3" i="2"/>
  <c r="CD1519" i="29" l="1"/>
  <c r="AS1519" i="29"/>
  <c r="AT1519" i="29" s="1"/>
  <c r="AU1519" i="29" s="1"/>
  <c r="L1519" i="29"/>
  <c r="CD1520" i="29"/>
  <c r="L1520" i="29"/>
  <c r="AE14" i="1"/>
  <c r="BB14" i="1"/>
  <c r="BC14" i="1"/>
  <c r="Q1505" i="29"/>
  <c r="AA1515" i="29"/>
  <c r="Q1515" i="29" s="1"/>
  <c r="AL1515" i="29" s="1"/>
  <c r="CD1515" i="29"/>
  <c r="AS1515" i="29"/>
  <c r="AT1515" i="29" s="1"/>
  <c r="AU1515" i="29" s="1"/>
  <c r="L1515" i="29"/>
  <c r="AE21" i="1" l="1"/>
  <c r="BB21" i="1"/>
  <c r="BC21" i="1"/>
  <c r="BR1512" i="29"/>
  <c r="BQ1512" i="29"/>
  <c r="AA1517" i="29"/>
  <c r="Q1517" i="29" s="1"/>
  <c r="AK1517" i="29"/>
  <c r="CD1516" i="29"/>
  <c r="L1516" i="29"/>
  <c r="Q1512" i="29"/>
  <c r="L1513" i="29"/>
  <c r="L1512" i="29"/>
  <c r="Q1511" i="29"/>
  <c r="Q1518" i="29"/>
  <c r="L1511" i="29"/>
  <c r="L1518" i="29"/>
  <c r="Q1514" i="29"/>
  <c r="Q973" i="29"/>
  <c r="L1514" i="29"/>
  <c r="AK1496" i="29"/>
  <c r="L1501" i="29"/>
  <c r="L1484" i="29"/>
  <c r="L1517" i="29"/>
  <c r="AS1517" i="29"/>
  <c r="AT1517" i="29" s="1"/>
  <c r="AU1517" i="29" s="1"/>
  <c r="CD1517" i="29"/>
  <c r="Q1500" i="29"/>
  <c r="AS1510" i="29"/>
  <c r="AT1510" i="29" s="1"/>
  <c r="AU1510" i="29" s="1"/>
  <c r="Q1504" i="29"/>
  <c r="AA1510" i="29"/>
  <c r="AL1517" i="29" l="1"/>
  <c r="AD8" i="2"/>
  <c r="AF8" i="2"/>
  <c r="AX8" i="2"/>
  <c r="Q1510" i="29"/>
  <c r="AL1510" i="29" s="1"/>
  <c r="L1510" i="29"/>
  <c r="CD1510" i="29"/>
  <c r="CD31" i="29"/>
  <c r="CD701" i="29"/>
  <c r="CD711" i="29"/>
  <c r="CD754" i="29"/>
  <c r="CD757" i="29"/>
  <c r="CD778" i="29"/>
  <c r="CD836" i="29"/>
  <c r="CD840" i="29"/>
  <c r="CD1059" i="29"/>
  <c r="CD666" i="29"/>
  <c r="CD702" i="29"/>
  <c r="CD700" i="29"/>
  <c r="CD710" i="29"/>
  <c r="CD797" i="29"/>
  <c r="CD804" i="29"/>
  <c r="CD892" i="29"/>
  <c r="CD916" i="29"/>
  <c r="CD929" i="29"/>
  <c r="CD966" i="29"/>
  <c r="CD999" i="29"/>
  <c r="CD1004" i="29"/>
  <c r="CD1005" i="29"/>
  <c r="CD1030" i="29"/>
  <c r="CD1031" i="29"/>
  <c r="CD1067" i="29"/>
  <c r="CD726" i="29"/>
  <c r="CD763" i="29"/>
  <c r="CD798" i="29"/>
  <c r="CD822" i="29"/>
  <c r="CD895" i="29"/>
  <c r="CD904" i="29"/>
  <c r="CD1023" i="29"/>
  <c r="CD1024" i="29"/>
  <c r="CD1145" i="29"/>
  <c r="CD1255" i="29"/>
  <c r="CD1289" i="29"/>
  <c r="CD1364" i="29"/>
  <c r="CD1410" i="29"/>
  <c r="CD1237" i="29"/>
  <c r="CD1240" i="29"/>
  <c r="CD1260" i="29"/>
  <c r="CD1261" i="29"/>
  <c r="CD1318" i="29"/>
  <c r="CD1390" i="29"/>
  <c r="CD1475" i="29"/>
  <c r="CD1483" i="29"/>
  <c r="CD1468" i="29"/>
  <c r="CD1283" i="29"/>
  <c r="CD174" i="29"/>
  <c r="CD173" i="29"/>
  <c r="CD263" i="29"/>
  <c r="CD272" i="29"/>
  <c r="CD294" i="29"/>
  <c r="CD155" i="29"/>
  <c r="CD221" i="29"/>
  <c r="CD741" i="29"/>
  <c r="CD1057" i="29"/>
  <c r="CD1167" i="29"/>
  <c r="CD217" i="29"/>
  <c r="CD301" i="29"/>
  <c r="CD653" i="29"/>
  <c r="CD1006" i="29"/>
  <c r="CD1007" i="29"/>
  <c r="CD682" i="29"/>
  <c r="CD704" i="29"/>
  <c r="CD1332" i="29"/>
  <c r="CD1170" i="29"/>
  <c r="CD1202" i="29"/>
  <c r="CD1204" i="29"/>
  <c r="CD1234" i="29"/>
  <c r="CD292" i="29"/>
  <c r="CD337" i="29"/>
  <c r="CD338" i="29"/>
  <c r="CD339" i="29"/>
  <c r="CD340" i="29"/>
  <c r="CD1372" i="29"/>
  <c r="CD1466" i="29"/>
  <c r="CD1505" i="29"/>
  <c r="CD1398" i="29"/>
  <c r="CD401" i="29"/>
  <c r="CD1359" i="29"/>
  <c r="CD1389" i="29"/>
  <c r="CD267" i="29"/>
  <c r="CD1370" i="29"/>
  <c r="CD1392" i="29"/>
  <c r="CD1214" i="29"/>
  <c r="CD1391" i="29"/>
  <c r="CD609" i="29"/>
  <c r="CD723" i="29"/>
  <c r="CD532" i="29"/>
  <c r="CD220" i="29"/>
  <c r="CD1313" i="29"/>
  <c r="CD508" i="29"/>
  <c r="CD657" i="29"/>
  <c r="CD810" i="29"/>
  <c r="CD502" i="29"/>
  <c r="CD731" i="29"/>
  <c r="CD967" i="29"/>
  <c r="CD1015" i="29"/>
  <c r="CD1104" i="29"/>
  <c r="CD1168" i="29"/>
  <c r="CD1153" i="29"/>
  <c r="CD1328" i="29"/>
  <c r="CD831" i="29"/>
  <c r="CD903" i="29"/>
  <c r="CD1038" i="29"/>
  <c r="CD902" i="29"/>
  <c r="CD399" i="29"/>
  <c r="CD1362" i="29"/>
  <c r="CD928" i="29"/>
  <c r="CD326" i="29"/>
  <c r="CD957" i="29"/>
  <c r="CD1092" i="29"/>
  <c r="CD859" i="29"/>
  <c r="CD1158" i="29"/>
  <c r="CD427" i="29"/>
  <c r="CD429" i="29"/>
  <c r="CD677" i="29"/>
  <c r="CD979" i="29"/>
  <c r="CD616" i="29"/>
  <c r="CD792" i="29"/>
  <c r="CD1208" i="29"/>
  <c r="CD1485" i="29"/>
  <c r="CD1316" i="29"/>
  <c r="CD251" i="29"/>
  <c r="CD1135" i="29"/>
  <c r="CD717" i="29"/>
  <c r="CD858" i="29"/>
  <c r="CD948" i="29"/>
  <c r="CD1147" i="29"/>
  <c r="CD830" i="29"/>
  <c r="CD331" i="29"/>
  <c r="CD1144" i="29"/>
  <c r="CD1308" i="29"/>
  <c r="CD1324" i="29"/>
  <c r="CD722" i="29"/>
  <c r="CD971" i="29"/>
  <c r="CD463" i="29"/>
  <c r="CD434" i="29"/>
  <c r="CD533" i="29"/>
  <c r="CD780" i="29"/>
  <c r="CD1339" i="29"/>
  <c r="CD1103" i="29"/>
  <c r="CD290" i="29"/>
  <c r="CD357" i="29"/>
  <c r="CD607" i="29"/>
  <c r="CD820" i="29"/>
  <c r="CD964" i="29"/>
  <c r="CD1013" i="29"/>
  <c r="CD315" i="29"/>
  <c r="CD259" i="29"/>
  <c r="CD992" i="29"/>
  <c r="CD882" i="29"/>
  <c r="CD1278" i="29"/>
  <c r="CD1114" i="29"/>
  <c r="CD1384" i="29"/>
  <c r="CD747" i="29"/>
  <c r="CD438" i="29"/>
  <c r="CD440" i="29"/>
  <c r="CD1126" i="29"/>
  <c r="CD451" i="29"/>
  <c r="CD632" i="29"/>
  <c r="CD719" i="29"/>
  <c r="CD1436" i="29"/>
  <c r="CD1399" i="29"/>
  <c r="CD898" i="29"/>
  <c r="CD1069" i="29"/>
  <c r="CD1169" i="29"/>
  <c r="CD926" i="29"/>
  <c r="CD949" i="29"/>
  <c r="CD975" i="29"/>
  <c r="CD956" i="29"/>
  <c r="CD1075" i="29"/>
  <c r="CD945" i="29"/>
  <c r="CD1081" i="29"/>
  <c r="CD475" i="29"/>
  <c r="CD476" i="29"/>
  <c r="CD477" i="29"/>
  <c r="CD1196" i="29"/>
  <c r="CD485" i="29"/>
  <c r="CD749" i="29"/>
  <c r="CD441" i="29"/>
  <c r="CD591" i="29"/>
  <c r="CD791" i="29"/>
  <c r="CD422" i="29"/>
  <c r="CD707" i="29"/>
  <c r="CD188" i="29"/>
  <c r="CD952" i="29"/>
  <c r="CD1073" i="29"/>
  <c r="CD1042" i="29"/>
  <c r="CD1164" i="29"/>
  <c r="CD164" i="29"/>
  <c r="CD1373" i="29"/>
  <c r="CD927" i="29"/>
  <c r="CD605" i="29"/>
  <c r="CD38" i="29"/>
  <c r="CD86" i="29"/>
  <c r="CD524" i="29"/>
  <c r="CD619" i="29"/>
  <c r="CD581" i="29"/>
  <c r="CD124" i="29"/>
  <c r="CD951" i="29"/>
  <c r="CD1052" i="29"/>
  <c r="CD1222" i="29"/>
  <c r="CD540" i="29"/>
  <c r="CD683" i="29"/>
  <c r="CD894" i="29"/>
  <c r="CD215" i="29"/>
  <c r="CD1352" i="29"/>
  <c r="CD641" i="29"/>
  <c r="CD695" i="29"/>
  <c r="CD1120" i="29"/>
  <c r="CD367" i="29"/>
  <c r="CD30" i="29"/>
  <c r="CD658" i="29"/>
  <c r="CD673" i="29"/>
  <c r="CD1310" i="29"/>
  <c r="CD1125" i="29"/>
  <c r="CD1387" i="29"/>
  <c r="CD1458" i="29"/>
  <c r="CD1072" i="29"/>
  <c r="CD735" i="29"/>
  <c r="CD786" i="29"/>
  <c r="CD510" i="29"/>
  <c r="CD678" i="29"/>
  <c r="CD961" i="29"/>
  <c r="CD891" i="29"/>
  <c r="CD595" i="29"/>
  <c r="CD614" i="29"/>
  <c r="CD491" i="29"/>
  <c r="CD602" i="29"/>
  <c r="CD706" i="29"/>
  <c r="CD972" i="29"/>
  <c r="CD1424" i="29"/>
  <c r="CD110" i="29"/>
  <c r="CD403" i="29"/>
  <c r="CD113" i="29"/>
  <c r="CD442" i="29"/>
  <c r="CD805" i="29"/>
  <c r="CD1305" i="29"/>
  <c r="CD884" i="29"/>
  <c r="CD334" i="29"/>
  <c r="CD465" i="29"/>
  <c r="CD703" i="29"/>
  <c r="CD861" i="29"/>
  <c r="CD457" i="29"/>
  <c r="CD246" i="29"/>
  <c r="CD291" i="29"/>
  <c r="CD358" i="29"/>
  <c r="CD608" i="29"/>
  <c r="CD965" i="29"/>
  <c r="CD779" i="29"/>
  <c r="CD736" i="29"/>
  <c r="CD1029" i="29"/>
  <c r="CD1098" i="29"/>
  <c r="CD1218" i="29"/>
  <c r="CD1012" i="29"/>
  <c r="CD867" i="29"/>
  <c r="CD312" i="29"/>
  <c r="CD942" i="29"/>
  <c r="CD1471" i="29"/>
  <c r="CD1099" i="29"/>
  <c r="CD1320" i="29"/>
  <c r="CD1419" i="29"/>
  <c r="CD539" i="29"/>
  <c r="CD989" i="29"/>
  <c r="CD87" i="29"/>
  <c r="CD755" i="29"/>
  <c r="CD1163" i="29"/>
  <c r="CD868" i="29"/>
  <c r="CD930" i="29"/>
  <c r="CD287" i="29"/>
  <c r="CD900" i="29"/>
  <c r="CD1433" i="29"/>
  <c r="CD453" i="29"/>
  <c r="CD1243" i="29"/>
  <c r="CD328" i="29"/>
  <c r="CD460" i="29"/>
  <c r="CD954" i="29"/>
  <c r="CD336" i="29"/>
  <c r="CD1239" i="29"/>
  <c r="CD1447" i="29"/>
  <c r="CD62" i="29"/>
  <c r="CD651" i="29"/>
  <c r="CD1001" i="29"/>
  <c r="CD1062" i="29"/>
  <c r="CD1340" i="29"/>
  <c r="CD864" i="29"/>
  <c r="CD562" i="29"/>
  <c r="CD459" i="29"/>
  <c r="CD492" i="29"/>
  <c r="CD959" i="29"/>
  <c r="CD266" i="29"/>
  <c r="CD1338" i="29"/>
  <c r="CD1165" i="29"/>
  <c r="CD94" i="29"/>
  <c r="CD115" i="29"/>
  <c r="CD1096" i="29"/>
  <c r="CD998" i="29"/>
  <c r="CD1008" i="29"/>
  <c r="CD504" i="29"/>
  <c r="CD767" i="29"/>
  <c r="CD1203" i="29"/>
  <c r="CD1078" i="29"/>
  <c r="CD324" i="29"/>
  <c r="CD785" i="29"/>
  <c r="CD819" i="29"/>
  <c r="CD960" i="29"/>
  <c r="CD1217" i="29"/>
  <c r="CD1151" i="29"/>
  <c r="CD941" i="29"/>
  <c r="CD1288" i="29"/>
  <c r="CD458" i="29"/>
  <c r="CD1131" i="29"/>
  <c r="CD1130" i="29"/>
  <c r="CD698" i="29"/>
  <c r="CD1076" i="29"/>
  <c r="CD1061" i="29"/>
  <c r="CD1248" i="29"/>
  <c r="CD986" i="29"/>
  <c r="CD1472" i="29"/>
  <c r="CD1465" i="29"/>
  <c r="CD1464" i="29"/>
  <c r="CD108" i="29"/>
  <c r="CD426" i="29"/>
  <c r="CD445" i="29"/>
  <c r="CD496" i="29"/>
  <c r="CD883" i="29"/>
  <c r="CD1487" i="29"/>
  <c r="CD1279" i="29"/>
  <c r="CD234" i="29"/>
  <c r="CD247" i="29"/>
  <c r="CD99" i="29"/>
  <c r="CD116" i="29"/>
  <c r="CD262" i="29"/>
  <c r="CD342" i="29"/>
  <c r="CD83" i="29"/>
  <c r="CD112" i="29"/>
  <c r="CD182" i="29"/>
  <c r="CD946" i="29"/>
  <c r="CD863" i="29"/>
  <c r="CD1473" i="29"/>
  <c r="CD988" i="29"/>
  <c r="CD1379" i="29"/>
  <c r="CD1079" i="29"/>
  <c r="CD516" i="29"/>
  <c r="CD402" i="29"/>
  <c r="CD517" i="29"/>
  <c r="CD396" i="29"/>
  <c r="CD1270" i="29"/>
  <c r="CD788" i="29"/>
  <c r="CD668" i="29"/>
  <c r="CD1353" i="29"/>
  <c r="CD378" i="29"/>
  <c r="CD249" i="29"/>
  <c r="CD63" i="29"/>
  <c r="CD105" i="29"/>
  <c r="CD557" i="29"/>
  <c r="CD624" i="29"/>
  <c r="CD1294" i="29"/>
  <c r="CD1492" i="29"/>
  <c r="CD369" i="29"/>
  <c r="CD89" i="29"/>
  <c r="CD1107" i="29"/>
  <c r="CD1290" i="29"/>
  <c r="CD981" i="29"/>
  <c r="CD1058" i="29"/>
  <c r="CD468" i="29"/>
  <c r="CD529" i="29"/>
  <c r="CD107" i="29"/>
  <c r="CD1082" i="29"/>
  <c r="CD144" i="29"/>
  <c r="CD158" i="29"/>
  <c r="CD200" i="29"/>
  <c r="CD483" i="29"/>
  <c r="CD507" i="29"/>
  <c r="CD580" i="29"/>
  <c r="CD676" i="29"/>
  <c r="CD1049" i="29"/>
  <c r="CD996" i="29"/>
  <c r="CD997" i="29"/>
  <c r="CD1074" i="29"/>
  <c r="CD776" i="29"/>
  <c r="CD845" i="29"/>
  <c r="CD199" i="29"/>
  <c r="CD958" i="29"/>
  <c r="CD210" i="29"/>
  <c r="CD611" i="29"/>
  <c r="CD121" i="29"/>
  <c r="CD1241" i="29"/>
  <c r="CD987" i="29"/>
  <c r="CD1495" i="29"/>
  <c r="CD1507" i="29"/>
  <c r="CD995" i="29"/>
  <c r="CD593" i="29"/>
  <c r="CD1045" i="29"/>
  <c r="CD950" i="29"/>
  <c r="CD66" i="29"/>
  <c r="CD296" i="29"/>
  <c r="CD709" i="29"/>
  <c r="CD1027" i="29"/>
  <c r="CD456" i="29"/>
  <c r="CD413" i="29"/>
  <c r="CD697" i="29"/>
  <c r="CD1172" i="29"/>
  <c r="CD716" i="29"/>
  <c r="CD750" i="29"/>
  <c r="CD761" i="29"/>
  <c r="CD212" i="29"/>
  <c r="CD327" i="29"/>
  <c r="CD1109" i="29"/>
  <c r="CD1143" i="29"/>
  <c r="CD890" i="29"/>
  <c r="CD939" i="29"/>
  <c r="CD980" i="29"/>
  <c r="CD1095" i="29"/>
  <c r="CD638" i="29"/>
  <c r="CD659" i="29"/>
  <c r="CD612" i="29"/>
  <c r="CD1084" i="29"/>
  <c r="CD1085" i="29"/>
  <c r="CD1184" i="29"/>
  <c r="CD681" i="29"/>
  <c r="CD333" i="29"/>
  <c r="CD505" i="29"/>
  <c r="CD535" i="29"/>
  <c r="CD643" i="29"/>
  <c r="CD554" i="29"/>
  <c r="CD1337" i="29"/>
  <c r="CD1412" i="29"/>
  <c r="CD8" i="29"/>
  <c r="CD360" i="29"/>
  <c r="CD5" i="29"/>
  <c r="CD11" i="29"/>
  <c r="CD13" i="29"/>
  <c r="CD14" i="29"/>
  <c r="CD16" i="29"/>
  <c r="CD17" i="29"/>
  <c r="CD19" i="29"/>
  <c r="CD20" i="29"/>
  <c r="CD23" i="29"/>
  <c r="CD26" i="29"/>
  <c r="CD28" i="29"/>
  <c r="CD29" i="29"/>
  <c r="CD32" i="29"/>
  <c r="CD37" i="29"/>
  <c r="CD36" i="29"/>
  <c r="CD39" i="29"/>
  <c r="CD41" i="29"/>
  <c r="CD43" i="29"/>
  <c r="CD45" i="29"/>
  <c r="CD51" i="29"/>
  <c r="CD57" i="29"/>
  <c r="CD65" i="29"/>
  <c r="CD67" i="29"/>
  <c r="CD68" i="29"/>
  <c r="CD69" i="29"/>
  <c r="CD71" i="29"/>
  <c r="CD73" i="29"/>
  <c r="CD77" i="29"/>
  <c r="CD97" i="29"/>
  <c r="CD135" i="29"/>
  <c r="CD177" i="29"/>
  <c r="CD209" i="29"/>
  <c r="CD232" i="29"/>
  <c r="CD430" i="29"/>
  <c r="CD93" i="29"/>
  <c r="CD114" i="29"/>
  <c r="CD136" i="29"/>
  <c r="CD137" i="29"/>
  <c r="CD141" i="29"/>
  <c r="CD145" i="29"/>
  <c r="CD152" i="29"/>
  <c r="CD166" i="29"/>
  <c r="CD194" i="29"/>
  <c r="CD195" i="29"/>
  <c r="CD432" i="29"/>
  <c r="CD447" i="29"/>
  <c r="CD466" i="29"/>
  <c r="CD471" i="29"/>
  <c r="CD506" i="29"/>
  <c r="CD549" i="29"/>
  <c r="CD615" i="29"/>
  <c r="CD686" i="29"/>
  <c r="CD22" i="29"/>
  <c r="CD33" i="29"/>
  <c r="CD40" i="29"/>
  <c r="CD42" i="29"/>
  <c r="CD49" i="29"/>
  <c r="CD52" i="29"/>
  <c r="CD55" i="29"/>
  <c r="CD59" i="29"/>
  <c r="CD60" i="29"/>
  <c r="CD61" i="29"/>
  <c r="CD64" i="29"/>
  <c r="CD70" i="29"/>
  <c r="CD72" i="29"/>
  <c r="CD74" i="29"/>
  <c r="CD76" i="29"/>
  <c r="CD78" i="29"/>
  <c r="CD79" i="29"/>
  <c r="CD81" i="29"/>
  <c r="CD82" i="29"/>
  <c r="CD84" i="29"/>
  <c r="CD85" i="29"/>
  <c r="CD88" i="29"/>
  <c r="CD90" i="29"/>
  <c r="CD91" i="29"/>
  <c r="CD92" i="29"/>
  <c r="CD95" i="29"/>
  <c r="CD96" i="29"/>
  <c r="CD101" i="29"/>
  <c r="CD100" i="29"/>
  <c r="CD103" i="29"/>
  <c r="CD104" i="29"/>
  <c r="CD106" i="29"/>
  <c r="CD109" i="29"/>
  <c r="CD111" i="29"/>
  <c r="CD117" i="29"/>
  <c r="CD118" i="29"/>
  <c r="CD119" i="29"/>
  <c r="CD120" i="29"/>
  <c r="CD123" i="29"/>
  <c r="CD125" i="29"/>
  <c r="CD127" i="29"/>
  <c r="CD128" i="29"/>
  <c r="CD129" i="29"/>
  <c r="CD130" i="29"/>
  <c r="CD131" i="29"/>
  <c r="CD132" i="29"/>
  <c r="CD134" i="29"/>
  <c r="CD133" i="29"/>
  <c r="CD138" i="29"/>
  <c r="CD139" i="29"/>
  <c r="CD140" i="29"/>
  <c r="CD142" i="29"/>
  <c r="CD143" i="29"/>
  <c r="CD146" i="29"/>
  <c r="CD147" i="29"/>
  <c r="CD150" i="29"/>
  <c r="CD148" i="29"/>
  <c r="CD149" i="29"/>
  <c r="CD151" i="29"/>
  <c r="CD154" i="29"/>
  <c r="CD153" i="29"/>
  <c r="CD156" i="29"/>
  <c r="CD157" i="29"/>
  <c r="CD159" i="29"/>
  <c r="CD160" i="29"/>
  <c r="CD161" i="29"/>
  <c r="CD162" i="29"/>
  <c r="CD165" i="29"/>
  <c r="CD167" i="29"/>
  <c r="CD169" i="29"/>
  <c r="CD170" i="29"/>
  <c r="CD171" i="29"/>
  <c r="CD175" i="29"/>
  <c r="CD178" i="29"/>
  <c r="CD179" i="29"/>
  <c r="CD180" i="29"/>
  <c r="CD183" i="29"/>
  <c r="CD185" i="29"/>
  <c r="CD184" i="29"/>
  <c r="CD187" i="29"/>
  <c r="CD193" i="29"/>
  <c r="CD197" i="29"/>
  <c r="CD198" i="29"/>
  <c r="CD205" i="29"/>
  <c r="CD208" i="29"/>
  <c r="CD211" i="29"/>
  <c r="CD218" i="29"/>
  <c r="CD228" i="29"/>
  <c r="CD239" i="29"/>
  <c r="CD240" i="29"/>
  <c r="CD248" i="29"/>
  <c r="CD258" i="29"/>
  <c r="CD261" i="29"/>
  <c r="CD268" i="29"/>
  <c r="CD270" i="29"/>
  <c r="CD273" i="29"/>
  <c r="CD276" i="29"/>
  <c r="CD319" i="29"/>
  <c r="CD190" i="29"/>
  <c r="CD204" i="29"/>
  <c r="CD213" i="29"/>
  <c r="CD269" i="29"/>
  <c r="CD271" i="29"/>
  <c r="CD279" i="29"/>
  <c r="CD281" i="29"/>
  <c r="CD284" i="29"/>
  <c r="CD288" i="29"/>
  <c r="CD295" i="29"/>
  <c r="CD298" i="29"/>
  <c r="CD303" i="29"/>
  <c r="CD304" i="29"/>
  <c r="CD307" i="29"/>
  <c r="CD309" i="29"/>
  <c r="CD310" i="29"/>
  <c r="CD314" i="29"/>
  <c r="CD316" i="29"/>
  <c r="CD320" i="29"/>
  <c r="CD321" i="29"/>
  <c r="CD322" i="29"/>
  <c r="CD325" i="29"/>
  <c r="CD344" i="29"/>
  <c r="CD345" i="29"/>
  <c r="CD346" i="29"/>
  <c r="CD359" i="29"/>
  <c r="CD362" i="29"/>
  <c r="CD365" i="29"/>
  <c r="CD364" i="29"/>
  <c r="CD366" i="29"/>
  <c r="CD373" i="29"/>
  <c r="CD375" i="29"/>
  <c r="CD379" i="29"/>
  <c r="CD385" i="29"/>
  <c r="CD386" i="29"/>
  <c r="CD387" i="29"/>
  <c r="CD388" i="29"/>
  <c r="CD389" i="29"/>
  <c r="CD384" i="29"/>
  <c r="CD390" i="29"/>
  <c r="CD394" i="29"/>
  <c r="CD395" i="29"/>
  <c r="CD398" i="29"/>
  <c r="CD408" i="29"/>
  <c r="CD409" i="29"/>
  <c r="CD415" i="29"/>
  <c r="CD417" i="29"/>
  <c r="CD431" i="29"/>
  <c r="CD446" i="29"/>
  <c r="CD478" i="29"/>
  <c r="CD479" i="29"/>
  <c r="CD488" i="29"/>
  <c r="CD489" i="29"/>
  <c r="CD503" i="29"/>
  <c r="CD541" i="29"/>
  <c r="CD548" i="29"/>
  <c r="CD644" i="29"/>
  <c r="CD645" i="29"/>
  <c r="CD679" i="29"/>
  <c r="CD689" i="29"/>
  <c r="CD126" i="29"/>
  <c r="CD163" i="29"/>
  <c r="CD168" i="29"/>
  <c r="CD181" i="29"/>
  <c r="CD186" i="29"/>
  <c r="CD196" i="29"/>
  <c r="CD202" i="29"/>
  <c r="CD216" i="29"/>
  <c r="CD223" i="29"/>
  <c r="CD222" i="29"/>
  <c r="CD224" i="29"/>
  <c r="CD225" i="29"/>
  <c r="CD226" i="29"/>
  <c r="CD227" i="29"/>
  <c r="CD235" i="29"/>
  <c r="CD237" i="29"/>
  <c r="CD238" i="29"/>
  <c r="CD236" i="29"/>
  <c r="CD241" i="29"/>
  <c r="CD242" i="29"/>
  <c r="CD245" i="29"/>
  <c r="CD252" i="29"/>
  <c r="CD254" i="29"/>
  <c r="CD255" i="29"/>
  <c r="CD256" i="29"/>
  <c r="CD257" i="29"/>
  <c r="CD260" i="29"/>
  <c r="CD264" i="29"/>
  <c r="CD265" i="29"/>
  <c r="CD275" i="29"/>
  <c r="CD277" i="29"/>
  <c r="CD278" i="29"/>
  <c r="CD280" i="29"/>
  <c r="CD283" i="29"/>
  <c r="CD285" i="29"/>
  <c r="CD286" i="29"/>
  <c r="CD289" i="29"/>
  <c r="CD293" i="29"/>
  <c r="CD297" i="29"/>
  <c r="CD302" i="29"/>
  <c r="CD299" i="29"/>
  <c r="CD300" i="29"/>
  <c r="CD305" i="29"/>
  <c r="CD308" i="29"/>
  <c r="CD317" i="29"/>
  <c r="CD329" i="29"/>
  <c r="CD330" i="29"/>
  <c r="CD332" i="29"/>
  <c r="CD335" i="29"/>
  <c r="CD341" i="29"/>
  <c r="CD343" i="29"/>
  <c r="CD347" i="29"/>
  <c r="CD348" i="29"/>
  <c r="CD371" i="29"/>
  <c r="CD376" i="29"/>
  <c r="CD381" i="29"/>
  <c r="CD391" i="29"/>
  <c r="CD405" i="29"/>
  <c r="CD410" i="29"/>
  <c r="CD428" i="29"/>
  <c r="CD452" i="29"/>
  <c r="CD480" i="29"/>
  <c r="CD484" i="29"/>
  <c r="CD576" i="29"/>
  <c r="CD587" i="29"/>
  <c r="CD597" i="29"/>
  <c r="CD313" i="29"/>
  <c r="CD351" i="29"/>
  <c r="CD352" i="29"/>
  <c r="CD353" i="29"/>
  <c r="CD354" i="29"/>
  <c r="CD355" i="29"/>
  <c r="CD356" i="29"/>
  <c r="CD363" i="29"/>
  <c r="CD380" i="29"/>
  <c r="CD400" i="29"/>
  <c r="CD418" i="29"/>
  <c r="CD421" i="29"/>
  <c r="CD424" i="29"/>
  <c r="CD433" i="29"/>
  <c r="CD443" i="29"/>
  <c r="CD444" i="29"/>
  <c r="CD448" i="29"/>
  <c r="CD449" i="29"/>
  <c r="CD450" i="29"/>
  <c r="CD464" i="29"/>
  <c r="CD467" i="29"/>
  <c r="CD474" i="29"/>
  <c r="CD481" i="29"/>
  <c r="CD482" i="29"/>
  <c r="CD486" i="29"/>
  <c r="CD498" i="29"/>
  <c r="CD512" i="29"/>
  <c r="CD523" i="29"/>
  <c r="CD527" i="29"/>
  <c r="CD526" i="29"/>
  <c r="CD525" i="29"/>
  <c r="CD530" i="29"/>
  <c r="CD528" i="29"/>
  <c r="CD542" i="29"/>
  <c r="CD543" i="29"/>
  <c r="CD555" i="29"/>
  <c r="CD563" i="29"/>
  <c r="CD578" i="29"/>
  <c r="CD585" i="29"/>
  <c r="CD588" i="29"/>
  <c r="CD592" i="29"/>
  <c r="CD596" i="29"/>
  <c r="CD599" i="29"/>
  <c r="CD600" i="29"/>
  <c r="CD604" i="29"/>
  <c r="CD622" i="29"/>
  <c r="CD623" i="29"/>
  <c r="CD629" i="29"/>
  <c r="CD631" i="29"/>
  <c r="CD630" i="29"/>
  <c r="CD652" i="29"/>
  <c r="CD650" i="29"/>
  <c r="CD663" i="29"/>
  <c r="CD662" i="29"/>
  <c r="CD674" i="29"/>
  <c r="CD680" i="29"/>
  <c r="CD684" i="29"/>
  <c r="CD692" i="29"/>
  <c r="CD693" i="29"/>
  <c r="CD712" i="29"/>
  <c r="CD713" i="29"/>
  <c r="CD729" i="29"/>
  <c r="CD745" i="29"/>
  <c r="CD751" i="29"/>
  <c r="CD753" i="29"/>
  <c r="CD760" i="29"/>
  <c r="CD765" i="29"/>
  <c r="CD766" i="29"/>
  <c r="CD769" i="29"/>
  <c r="CD775" i="29"/>
  <c r="CD777" i="29"/>
  <c r="CD799" i="29"/>
  <c r="CD807" i="29"/>
  <c r="CD809" i="29"/>
  <c r="CD811" i="29"/>
  <c r="CD813" i="29"/>
  <c r="CD818" i="29"/>
  <c r="CD837" i="29"/>
  <c r="CD850" i="29"/>
  <c r="CD857" i="29"/>
  <c r="CD306" i="29"/>
  <c r="CD350" i="29"/>
  <c r="CD361" i="29"/>
  <c r="CD377" i="29"/>
  <c r="CD382" i="29"/>
  <c r="CD383" i="29"/>
  <c r="CD406" i="29"/>
  <c r="CD407" i="29"/>
  <c r="CD412" i="29"/>
  <c r="CD419" i="29"/>
  <c r="CD423" i="29"/>
  <c r="CD425" i="29"/>
  <c r="CD439" i="29"/>
  <c r="CD455" i="29"/>
  <c r="CD454" i="29"/>
  <c r="CD461" i="29"/>
  <c r="CD462" i="29"/>
  <c r="CD469" i="29"/>
  <c r="CD470" i="29"/>
  <c r="CD494" i="29"/>
  <c r="CD493" i="29"/>
  <c r="CD495" i="29"/>
  <c r="CD497" i="29"/>
  <c r="CD499" i="29"/>
  <c r="CD500" i="29"/>
  <c r="CD509" i="29"/>
  <c r="CD511" i="29"/>
  <c r="CD514" i="29"/>
  <c r="CD513" i="29"/>
  <c r="CD519" i="29"/>
  <c r="CD518" i="29"/>
  <c r="CD520" i="29"/>
  <c r="CD522" i="29"/>
  <c r="CD538" i="29"/>
  <c r="CD545" i="29"/>
  <c r="CD550" i="29"/>
  <c r="CD552" i="29"/>
  <c r="CD551" i="29"/>
  <c r="CD564" i="29"/>
  <c r="CD567" i="29"/>
  <c r="CD568" i="29"/>
  <c r="CD565" i="29"/>
  <c r="CD566" i="29"/>
  <c r="CD575" i="29"/>
  <c r="CD574" i="29"/>
  <c r="CD573" i="29"/>
  <c r="CD579" i="29"/>
  <c r="CD582" i="29"/>
  <c r="CD583" i="29"/>
  <c r="CD584" i="29"/>
  <c r="CD586" i="29"/>
  <c r="CD589" i="29"/>
  <c r="CD590" i="29"/>
  <c r="CD598" i="29"/>
  <c r="CD601" i="29"/>
  <c r="CD603" i="29"/>
  <c r="CD610" i="29"/>
  <c r="CD613" i="29"/>
  <c r="CD617" i="29"/>
  <c r="CD621" i="29"/>
  <c r="CD626" i="29"/>
  <c r="CD628" i="29"/>
  <c r="CD634" i="29"/>
  <c r="CD635" i="29"/>
  <c r="CD637" i="29"/>
  <c r="CD636" i="29"/>
  <c r="CD646" i="29"/>
  <c r="CD647" i="29"/>
  <c r="CD655" i="29"/>
  <c r="CD660" i="29"/>
  <c r="CD665" i="29"/>
  <c r="CD669" i="29"/>
  <c r="CD670" i="29"/>
  <c r="CD671" i="29"/>
  <c r="CD672" i="29"/>
  <c r="CD675" i="29"/>
  <c r="CD685" i="29"/>
  <c r="CD688" i="29"/>
  <c r="CD696" i="29"/>
  <c r="CD694" i="29"/>
  <c r="CD714" i="29"/>
  <c r="CD718" i="29"/>
  <c r="CD720" i="29"/>
  <c r="CD732" i="29"/>
  <c r="CD734" i="29"/>
  <c r="CD733" i="29"/>
  <c r="CD742" i="29"/>
  <c r="CD744" i="29"/>
  <c r="CD746" i="29"/>
  <c r="CD748" i="29"/>
  <c r="CD752" i="29"/>
  <c r="CD756" i="29"/>
  <c r="CD758" i="29"/>
  <c r="CD759" i="29"/>
  <c r="CD762" i="29"/>
  <c r="CD770" i="29"/>
  <c r="CD771" i="29"/>
  <c r="CD772" i="29"/>
  <c r="CD793" i="29"/>
  <c r="CD795" i="29"/>
  <c r="CD800" i="29"/>
  <c r="CD824" i="29"/>
  <c r="CD860" i="29"/>
  <c r="CD886" i="29"/>
  <c r="CD910" i="29"/>
  <c r="CD920" i="29"/>
  <c r="CD921" i="29"/>
  <c r="CD922" i="29"/>
  <c r="CD690" i="29"/>
  <c r="CD691" i="29"/>
  <c r="CD705" i="29"/>
  <c r="CD715" i="29"/>
  <c r="CD730" i="29"/>
  <c r="CD764" i="29"/>
  <c r="CD773" i="29"/>
  <c r="CD814" i="29"/>
  <c r="CD829" i="29"/>
  <c r="CD826" i="29"/>
  <c r="CD828" i="29"/>
  <c r="CD833" i="29"/>
  <c r="CD834" i="29"/>
  <c r="CD835" i="29"/>
  <c r="CD839" i="29"/>
  <c r="CD848" i="29"/>
  <c r="CD846" i="29"/>
  <c r="CD852" i="29"/>
  <c r="CD856" i="29"/>
  <c r="CD865" i="29"/>
  <c r="CD862" i="29"/>
  <c r="CD873" i="29"/>
  <c r="CD875" i="29"/>
  <c r="CD876" i="29"/>
  <c r="CD881" i="29"/>
  <c r="CD885" i="29"/>
  <c r="CD888" i="29"/>
  <c r="CD897" i="29"/>
  <c r="CD912" i="29"/>
  <c r="CD925" i="29"/>
  <c r="CD935" i="29"/>
  <c r="CD936" i="29"/>
  <c r="CD947" i="29"/>
  <c r="CD953" i="29"/>
  <c r="CD962" i="29"/>
  <c r="CD968" i="29"/>
  <c r="CD973" i="29"/>
  <c r="CD978" i="29"/>
  <c r="CD990" i="29"/>
  <c r="CD993" i="29"/>
  <c r="CD1019" i="29"/>
  <c r="CD1032" i="29"/>
  <c r="CD1033" i="29"/>
  <c r="CD1034" i="29"/>
  <c r="CD1036" i="29"/>
  <c r="CD1039" i="29"/>
  <c r="CD1043" i="29"/>
  <c r="CD1046" i="29"/>
  <c r="CD1053" i="29"/>
  <c r="CD1055" i="29"/>
  <c r="CD1063" i="29"/>
  <c r="CD1065" i="29"/>
  <c r="CD1071" i="29"/>
  <c r="CD1087" i="29"/>
  <c r="CD1088" i="29"/>
  <c r="CD1090" i="29"/>
  <c r="CD1100" i="29"/>
  <c r="CD1110" i="29"/>
  <c r="CD1123" i="29"/>
  <c r="CD1189" i="29"/>
  <c r="CD414" i="29"/>
  <c r="CD708" i="29"/>
  <c r="CD727" i="29"/>
  <c r="CD728" i="29"/>
  <c r="CD740" i="29"/>
  <c r="CD784" i="29"/>
  <c r="CD789" i="29"/>
  <c r="CD790" i="29"/>
  <c r="CD802" i="29"/>
  <c r="CD803" i="29"/>
  <c r="CD816" i="29"/>
  <c r="CD817" i="29"/>
  <c r="CD823" i="29"/>
  <c r="CD827" i="29"/>
  <c r="CD832" i="29"/>
  <c r="CD838" i="29"/>
  <c r="CD841" i="29"/>
  <c r="CD842" i="29"/>
  <c r="CD843" i="29"/>
  <c r="CD844" i="29"/>
  <c r="CD847" i="29"/>
  <c r="CD849" i="29"/>
  <c r="CD853" i="29"/>
  <c r="CD855" i="29"/>
  <c r="CD866" i="29"/>
  <c r="CD871" i="29"/>
  <c r="CD872" i="29"/>
  <c r="CD877" i="29"/>
  <c r="CD878" i="29"/>
  <c r="CD880" i="29"/>
  <c r="CD889" i="29"/>
  <c r="CD896" i="29"/>
  <c r="CD905" i="29"/>
  <c r="CD906" i="29"/>
  <c r="CD913" i="29"/>
  <c r="CD914" i="29"/>
  <c r="CD917" i="29"/>
  <c r="CD915" i="29"/>
  <c r="CD931" i="29"/>
  <c r="CD934" i="29"/>
  <c r="CD938" i="29"/>
  <c r="CD943" i="29"/>
  <c r="CD970" i="29"/>
  <c r="CD977" i="29"/>
  <c r="CD976" i="29"/>
  <c r="CD983" i="29"/>
  <c r="CD991" i="29"/>
  <c r="CD994" i="29"/>
  <c r="CD1000" i="29"/>
  <c r="CD1002" i="29"/>
  <c r="CD1003" i="29"/>
  <c r="CD1011" i="29"/>
  <c r="CD1014" i="29"/>
  <c r="CD1016" i="29"/>
  <c r="CD1021" i="29"/>
  <c r="CD1026" i="29"/>
  <c r="CD1025" i="29"/>
  <c r="CD1028" i="29"/>
  <c r="CD1035" i="29"/>
  <c r="CD1040" i="29"/>
  <c r="CD1041" i="29"/>
  <c r="CD1050" i="29"/>
  <c r="CD1051" i="29"/>
  <c r="CD1054" i="29"/>
  <c r="CD1056" i="29"/>
  <c r="CD1068" i="29"/>
  <c r="CD1080" i="29"/>
  <c r="CD1083" i="29"/>
  <c r="CD1089" i="29"/>
  <c r="CD1091" i="29"/>
  <c r="CD1093" i="29"/>
  <c r="CD1094" i="29"/>
  <c r="CD1106" i="29"/>
  <c r="CD1121" i="29"/>
  <c r="CD1132" i="29"/>
  <c r="CD1223" i="29"/>
  <c r="CD1117" i="29"/>
  <c r="CD1128" i="29"/>
  <c r="CD1133" i="29"/>
  <c r="CD1150" i="29"/>
  <c r="CD1152" i="29"/>
  <c r="CD1155" i="29"/>
  <c r="CD1157" i="29"/>
  <c r="CD1159" i="29"/>
  <c r="CD1162" i="29"/>
  <c r="CD1180" i="29"/>
  <c r="CD1182" i="29"/>
  <c r="CD1186" i="29"/>
  <c r="CD1188" i="29"/>
  <c r="CD1195" i="29"/>
  <c r="CD1197" i="29"/>
  <c r="CD1200" i="29"/>
  <c r="CD1205" i="29"/>
  <c r="CD1206" i="29"/>
  <c r="CD1207" i="29"/>
  <c r="CD1211" i="29"/>
  <c r="CD1219" i="29"/>
  <c r="CD1227" i="29"/>
  <c r="CD1229" i="29"/>
  <c r="CD1236" i="29"/>
  <c r="CD1244" i="29"/>
  <c r="CD1259" i="29"/>
  <c r="CD1263" i="29"/>
  <c r="CD1268" i="29"/>
  <c r="CD1307" i="29"/>
  <c r="CD1311" i="29"/>
  <c r="CD1342" i="29"/>
  <c r="CD1344" i="29"/>
  <c r="CD1365" i="29"/>
  <c r="CD1366" i="29"/>
  <c r="CD908" i="29"/>
  <c r="CD909" i="29"/>
  <c r="CD932" i="29"/>
  <c r="CD933" i="29"/>
  <c r="CD944" i="29"/>
  <c r="CD963" i="29"/>
  <c r="CD974" i="29"/>
  <c r="CD1037" i="29"/>
  <c r="CD1060" i="29"/>
  <c r="CD1066" i="29"/>
  <c r="CD1077" i="29"/>
  <c r="CD1111" i="29"/>
  <c r="CD1116" i="29"/>
  <c r="CD1118" i="29"/>
  <c r="CD1124" i="29"/>
  <c r="CD1134" i="29"/>
  <c r="CD1136" i="29"/>
  <c r="CD1137" i="29"/>
  <c r="CD1138" i="29"/>
  <c r="CD1140" i="29"/>
  <c r="CD1141" i="29"/>
  <c r="CD1146" i="29"/>
  <c r="CD1156" i="29"/>
  <c r="CD1160" i="29"/>
  <c r="CD1161" i="29"/>
  <c r="CD1175" i="29"/>
  <c r="CD1176" i="29"/>
  <c r="CD1178" i="29"/>
  <c r="CD1179" i="29"/>
  <c r="CD1181" i="29"/>
  <c r="CD1187" i="29"/>
  <c r="CD1190" i="29"/>
  <c r="CD1191" i="29"/>
  <c r="CD1210" i="29"/>
  <c r="CD1213" i="29"/>
  <c r="CD1215" i="29"/>
  <c r="CD1216" i="29"/>
  <c r="CD1232" i="29"/>
  <c r="CD1238" i="29"/>
  <c r="CD1250" i="29"/>
  <c r="CD1256" i="29"/>
  <c r="CD1258" i="29"/>
  <c r="CD1262" i="29"/>
  <c r="CD1265" i="29"/>
  <c r="CD1275" i="29"/>
  <c r="CD1295" i="29"/>
  <c r="CD1321" i="29"/>
  <c r="CD1148" i="29"/>
  <c r="CD1269" i="29"/>
  <c r="CD1282" i="29"/>
  <c r="CD1306" i="29"/>
  <c r="CD1319" i="29"/>
  <c r="CD1325" i="29"/>
  <c r="CD1333" i="29"/>
  <c r="CD1334" i="29"/>
  <c r="CD1335" i="29"/>
  <c r="CD1336" i="29"/>
  <c r="CD1363" i="29"/>
  <c r="CD1388" i="29"/>
  <c r="CD1409" i="29"/>
  <c r="CD1420" i="29"/>
  <c r="CD1426" i="29"/>
  <c r="CD1429" i="29"/>
  <c r="CD1431" i="29"/>
  <c r="CD1434" i="29"/>
  <c r="CD1448" i="29"/>
  <c r="CD1449" i="29"/>
  <c r="CD1470" i="29"/>
  <c r="CD1477" i="29"/>
  <c r="CD1488" i="29"/>
  <c r="CD1502" i="29"/>
  <c r="CD1508" i="29"/>
  <c r="CD1509" i="29"/>
  <c r="CD1209" i="29"/>
  <c r="CD1246" i="29"/>
  <c r="CD1247" i="29"/>
  <c r="CD1251" i="29"/>
  <c r="CD1253" i="29"/>
  <c r="CD1264" i="29"/>
  <c r="CD1267" i="29"/>
  <c r="CD1274" i="29"/>
  <c r="CD1284" i="29"/>
  <c r="CD1286" i="29"/>
  <c r="CD1287" i="29"/>
  <c r="CD1292" i="29"/>
  <c r="CD1293" i="29"/>
  <c r="CD1303" i="29"/>
  <c r="CD1304" i="29"/>
  <c r="CD1309" i="29"/>
  <c r="CD1314" i="29"/>
  <c r="CD1315" i="29"/>
  <c r="CD1323" i="29"/>
  <c r="CD1327" i="29"/>
  <c r="CD1326" i="29"/>
  <c r="CD1329" i="29"/>
  <c r="CD1330" i="29"/>
  <c r="CD1331" i="29"/>
  <c r="CD1349" i="29"/>
  <c r="CD1356" i="29"/>
  <c r="CD1360" i="29"/>
  <c r="CD1361" i="29"/>
  <c r="CD1369" i="29"/>
  <c r="CD1374" i="29"/>
  <c r="CD1376" i="29"/>
  <c r="CD1383" i="29"/>
  <c r="CD1385" i="29"/>
  <c r="CD1386" i="29"/>
  <c r="CD1425" i="29"/>
  <c r="CD1435" i="29"/>
  <c r="CD1454" i="29"/>
  <c r="CD1460" i="29"/>
  <c r="CD1478" i="29"/>
  <c r="CD1496" i="29"/>
  <c r="CD1499" i="29"/>
  <c r="CD1503" i="29"/>
  <c r="CD1343" i="29"/>
  <c r="CD1368" i="29"/>
  <c r="CD1381" i="29"/>
  <c r="CD1397" i="29"/>
  <c r="CD1400" i="29"/>
  <c r="CD1401" i="29"/>
  <c r="CD1423" i="29"/>
  <c r="CD1428" i="29"/>
  <c r="CD1430" i="29"/>
  <c r="CD1432" i="29"/>
  <c r="CD1456" i="29"/>
  <c r="CD1457" i="29"/>
  <c r="CD1462" i="29"/>
  <c r="CD1467" i="29"/>
  <c r="CD1486" i="29"/>
  <c r="CD1494" i="29"/>
  <c r="CD1281" i="29"/>
  <c r="CD1345" i="29"/>
  <c r="CD1346" i="29"/>
  <c r="CD1351" i="29"/>
  <c r="CD1354" i="29"/>
  <c r="CD1355" i="29"/>
  <c r="CD1357" i="29"/>
  <c r="CD1358" i="29"/>
  <c r="CD1367" i="29"/>
  <c r="CD1371" i="29"/>
  <c r="CD1375" i="29"/>
  <c r="CD1378" i="29"/>
  <c r="CD1382" i="29"/>
  <c r="CD1393" i="29"/>
  <c r="CD1394" i="29"/>
  <c r="CD1395" i="29"/>
  <c r="CD1402" i="29"/>
  <c r="CD1403" i="29"/>
  <c r="CD1404" i="29"/>
  <c r="CD1405" i="29"/>
  <c r="CD1406" i="29"/>
  <c r="CD1407" i="29"/>
  <c r="CD1408" i="29"/>
  <c r="CD1411" i="29"/>
  <c r="CD1414" i="29"/>
  <c r="CD1415" i="29"/>
  <c r="CD1416" i="29"/>
  <c r="CD1417" i="29"/>
  <c r="CD1418" i="29"/>
  <c r="CD1422" i="29"/>
  <c r="CD1427" i="29"/>
  <c r="CD1437" i="29"/>
  <c r="CD1439" i="29"/>
  <c r="CD1440" i="29"/>
  <c r="CD1441" i="29"/>
  <c r="CD1442" i="29"/>
  <c r="CD1443" i="29"/>
  <c r="CD1444" i="29"/>
  <c r="CD1445" i="29"/>
  <c r="CD1446" i="29"/>
  <c r="CD1450" i="29"/>
  <c r="CD1451" i="29"/>
  <c r="CD1452" i="29"/>
  <c r="CD1453" i="29"/>
  <c r="CD1459" i="29"/>
  <c r="CD1461" i="29"/>
  <c r="CD1474" i="29"/>
  <c r="CD1476" i="29"/>
  <c r="CD1479" i="29"/>
  <c r="CD1480" i="29"/>
  <c r="CD1482" i="29"/>
  <c r="CD1493" i="29"/>
  <c r="CD1497" i="29"/>
  <c r="CD1285" i="29"/>
  <c r="CD411" i="29"/>
  <c r="CD648" i="29"/>
  <c r="CD725" i="29"/>
  <c r="CD782" i="29"/>
  <c r="CD801" i="29"/>
  <c r="CD435" i="29"/>
  <c r="CD544" i="29"/>
  <c r="CD620" i="29"/>
  <c r="CD869" i="29"/>
  <c r="CD899" i="29"/>
  <c r="CD821" i="29"/>
  <c r="CD893" i="29"/>
  <c r="CD918" i="29"/>
  <c r="CD854" i="29"/>
  <c r="CD1171" i="29"/>
  <c r="CD1173" i="29"/>
  <c r="CD1183" i="29"/>
  <c r="CD1193" i="29"/>
  <c r="CD1231" i="29"/>
  <c r="CD3" i="29"/>
  <c r="CD6" i="29"/>
  <c r="CD9" i="29"/>
  <c r="CD10" i="29"/>
  <c r="CD4" i="29"/>
  <c r="CD7" i="29"/>
  <c r="CD12" i="29"/>
  <c r="CD15" i="29"/>
  <c r="CD18" i="29"/>
  <c r="CD21" i="29"/>
  <c r="CD24" i="29"/>
  <c r="CD25" i="29"/>
  <c r="CD27" i="29"/>
  <c r="CD34" i="29"/>
  <c r="CD46" i="29"/>
  <c r="CD47" i="29"/>
  <c r="CD48" i="29"/>
  <c r="CD50" i="29"/>
  <c r="CD53" i="29"/>
  <c r="CD54" i="29"/>
  <c r="CD56" i="29"/>
  <c r="CD58" i="29"/>
  <c r="CD189" i="29"/>
  <c r="CD192" i="29"/>
  <c r="CD35" i="29"/>
  <c r="CD44" i="29"/>
  <c r="CD75" i="29"/>
  <c r="CD80" i="29"/>
  <c r="CD98" i="29"/>
  <c r="CD102" i="29"/>
  <c r="CD122" i="29"/>
  <c r="CD172" i="29"/>
  <c r="CD191" i="29"/>
  <c r="CD206" i="29"/>
  <c r="CD214" i="29"/>
  <c r="CD243" i="29"/>
  <c r="CD244" i="29"/>
  <c r="CD404" i="29"/>
  <c r="CD231" i="29"/>
  <c r="CD233" i="29"/>
  <c r="CD282" i="29"/>
  <c r="CD349" i="29"/>
  <c r="CD370" i="29"/>
  <c r="CD374" i="29"/>
  <c r="CD642" i="29"/>
  <c r="CD667" i="29"/>
  <c r="CD176" i="29"/>
  <c r="CD201" i="29"/>
  <c r="CD203" i="29"/>
  <c r="CD207" i="29"/>
  <c r="CD219" i="29"/>
  <c r="CD229" i="29"/>
  <c r="CD230" i="29"/>
  <c r="CD250" i="29"/>
  <c r="CD253" i="29"/>
  <c r="CD274" i="29"/>
  <c r="CD318" i="29"/>
  <c r="CD323" i="29"/>
  <c r="CD368" i="29"/>
  <c r="CD397" i="29"/>
  <c r="CD437" i="29"/>
  <c r="CD436" i="29"/>
  <c r="CD569" i="29"/>
  <c r="CD570" i="29"/>
  <c r="CD661" i="29"/>
  <c r="CD311" i="29"/>
  <c r="CD420" i="29"/>
  <c r="CD473" i="29"/>
  <c r="CD531" i="29"/>
  <c r="CD536" i="29"/>
  <c r="CD537" i="29"/>
  <c r="CD553" i="29"/>
  <c r="CD556" i="29"/>
  <c r="CD558" i="29"/>
  <c r="CD594" i="29"/>
  <c r="CD618" i="29"/>
  <c r="CD633" i="29"/>
  <c r="CD639" i="29"/>
  <c r="CD654" i="29"/>
  <c r="CD687" i="29"/>
  <c r="CD796" i="29"/>
  <c r="CD372" i="29"/>
  <c r="CD392" i="29"/>
  <c r="CD393" i="29"/>
  <c r="CD416" i="29"/>
  <c r="CD472" i="29"/>
  <c r="CD487" i="29"/>
  <c r="CD490" i="29"/>
  <c r="CD515" i="29"/>
  <c r="CD521" i="29"/>
  <c r="CD534" i="29"/>
  <c r="CD546" i="29"/>
  <c r="CD547" i="29"/>
  <c r="CD559" i="29"/>
  <c r="CD560" i="29"/>
  <c r="CD561" i="29"/>
  <c r="CD571" i="29"/>
  <c r="CD572" i="29"/>
  <c r="CD577" i="29"/>
  <c r="CD606" i="29"/>
  <c r="CD625" i="29"/>
  <c r="CD627" i="29"/>
  <c r="CD640" i="29"/>
  <c r="CD649" i="29"/>
  <c r="CD656" i="29"/>
  <c r="CD664" i="29"/>
  <c r="CD699" i="29"/>
  <c r="CD721" i="29"/>
  <c r="CD724" i="29"/>
  <c r="CD743" i="29"/>
  <c r="CD774" i="29"/>
  <c r="CD781" i="29"/>
  <c r="CD787" i="29"/>
  <c r="CD808" i="29"/>
  <c r="CD901" i="29"/>
  <c r="CD907" i="29"/>
  <c r="CD738" i="29"/>
  <c r="CD806" i="29"/>
  <c r="CD812" i="29"/>
  <c r="CD815" i="29"/>
  <c r="CD825" i="29"/>
  <c r="CD887" i="29"/>
  <c r="CD911" i="29"/>
  <c r="CD923" i="29"/>
  <c r="CD1018" i="29"/>
  <c r="CD1044" i="29"/>
  <c r="CD1064" i="29"/>
  <c r="CD1086" i="29"/>
  <c r="CD1101" i="29"/>
  <c r="CD1108" i="29"/>
  <c r="CD1235" i="29"/>
  <c r="CD737" i="29"/>
  <c r="CD739" i="29"/>
  <c r="CD768" i="29"/>
  <c r="CD783" i="29"/>
  <c r="CD794" i="29"/>
  <c r="CD851" i="29"/>
  <c r="CD870" i="29"/>
  <c r="CD874" i="29"/>
  <c r="CD879" i="29"/>
  <c r="CD919" i="29"/>
  <c r="CD924" i="29"/>
  <c r="CD937" i="29"/>
  <c r="CD940" i="29"/>
  <c r="CD955" i="29"/>
  <c r="CD969" i="29"/>
  <c r="CD984" i="29"/>
  <c r="CD982" i="29"/>
  <c r="CD985" i="29"/>
  <c r="CD1010" i="29"/>
  <c r="CD1017" i="29"/>
  <c r="CD1022" i="29"/>
  <c r="CD1020" i="29"/>
  <c r="CD1047" i="29"/>
  <c r="CD1048" i="29"/>
  <c r="CD1070" i="29"/>
  <c r="CD1097" i="29"/>
  <c r="CD1102" i="29"/>
  <c r="CD1115" i="29"/>
  <c r="CD1113" i="29"/>
  <c r="CD1119" i="29"/>
  <c r="CD1122" i="29"/>
  <c r="CD1127" i="29"/>
  <c r="CD1129" i="29"/>
  <c r="CD1154" i="29"/>
  <c r="CD1166" i="29"/>
  <c r="CD1174" i="29"/>
  <c r="CD1192" i="29"/>
  <c r="CD1198" i="29"/>
  <c r="CD1199" i="29"/>
  <c r="CD1212" i="29"/>
  <c r="CD1221" i="29"/>
  <c r="CD1225" i="29"/>
  <c r="CD1226" i="29"/>
  <c r="CD1230" i="29"/>
  <c r="CD1242" i="29"/>
  <c r="CD1252" i="29"/>
  <c r="CD1254" i="29"/>
  <c r="CD1266" i="29"/>
  <c r="CD1271" i="29"/>
  <c r="CD1272" i="29"/>
  <c r="CD1273" i="29"/>
  <c r="CD1280" i="29"/>
  <c r="CD1312" i="29"/>
  <c r="CD1380" i="29"/>
  <c r="CD501" i="29"/>
  <c r="CD1009" i="29"/>
  <c r="CD1105" i="29"/>
  <c r="CD1112" i="29"/>
  <c r="CD1139" i="29"/>
  <c r="CD1149" i="29"/>
  <c r="CD1177" i="29"/>
  <c r="CD1185" i="29"/>
  <c r="CD1194" i="29"/>
  <c r="CD1201" i="29"/>
  <c r="CD1220" i="29"/>
  <c r="CD1224" i="29"/>
  <c r="CD1228" i="29"/>
  <c r="CD1233" i="29"/>
  <c r="CD1245" i="29"/>
  <c r="CD1257" i="29"/>
  <c r="CD1276" i="29"/>
  <c r="CD1347" i="29"/>
  <c r="CD1348" i="29"/>
  <c r="CD1341" i="29"/>
  <c r="CD1350" i="29"/>
  <c r="CD1377" i="29"/>
  <c r="CD1421" i="29"/>
  <c r="CD1463" i="29"/>
  <c r="CD1481" i="29"/>
  <c r="CD1491" i="29"/>
  <c r="CD1506" i="29"/>
  <c r="CD1498" i="29"/>
  <c r="CD1504" i="29"/>
  <c r="CD1142" i="29"/>
  <c r="CD1249" i="29"/>
  <c r="CD1277" i="29"/>
  <c r="CD1291" i="29"/>
  <c r="CD1296" i="29"/>
  <c r="CD1297" i="29"/>
  <c r="CD1298" i="29"/>
  <c r="CD1299" i="29"/>
  <c r="CD1300" i="29"/>
  <c r="CD1301" i="29"/>
  <c r="CD1302" i="29"/>
  <c r="CD1317" i="29"/>
  <c r="CD1322" i="29"/>
  <c r="CD1396" i="29"/>
  <c r="CD1413" i="29"/>
  <c r="CD1438" i="29"/>
  <c r="CD1455" i="29"/>
  <c r="CD1469" i="29"/>
  <c r="CD1489" i="29"/>
  <c r="CD1490" i="29"/>
  <c r="CD1500" i="29"/>
  <c r="AS988" i="29"/>
  <c r="AT988" i="29" s="1"/>
  <c r="AU988" i="29" s="1"/>
  <c r="AS1001" i="29"/>
  <c r="AT1001" i="29" s="1"/>
  <c r="AU1001" i="29" s="1"/>
  <c r="AS966" i="29"/>
  <c r="AT966" i="29" s="1"/>
  <c r="AU966" i="29" s="1"/>
  <c r="AS1497" i="29"/>
  <c r="AT1497" i="29" s="1"/>
  <c r="AU1497" i="29" s="1"/>
  <c r="AS1466" i="29"/>
  <c r="AT1466" i="29" s="1"/>
  <c r="AU1466" i="29" s="1"/>
  <c r="AS1468" i="29"/>
  <c r="AT1468" i="29" s="1"/>
  <c r="AU1468" i="29" s="1"/>
  <c r="AS1443" i="29"/>
  <c r="AT1443" i="29" s="1"/>
  <c r="AU1443" i="29" s="1"/>
  <c r="AS1460" i="29"/>
  <c r="AT1460" i="29" s="1"/>
  <c r="AU1460" i="29" s="1"/>
  <c r="AS1425" i="29"/>
  <c r="AT1425" i="29" s="1"/>
  <c r="AU1425" i="29" s="1"/>
  <c r="AS1476" i="29"/>
  <c r="AT1476" i="29" s="1"/>
  <c r="AU1476" i="29" s="1"/>
  <c r="AS1382" i="29"/>
  <c r="AT1382" i="29" s="1"/>
  <c r="AU1382" i="29" s="1"/>
  <c r="AS1180" i="29"/>
  <c r="AT1180" i="29" s="1"/>
  <c r="AU1180" i="29" s="1"/>
  <c r="AS1181" i="29"/>
  <c r="AT1181" i="29" s="1"/>
  <c r="AU1181" i="29" s="1"/>
  <c r="AS1190" i="29"/>
  <c r="AT1190" i="29" s="1"/>
  <c r="AU1190" i="29" s="1"/>
  <c r="AS1091" i="29"/>
  <c r="AT1091" i="29" s="1"/>
  <c r="AU1091" i="29" s="1"/>
  <c r="AS1021" i="29"/>
  <c r="AT1021" i="29" s="1"/>
  <c r="AU1021" i="29" s="1"/>
  <c r="AS930" i="29"/>
  <c r="AT930" i="29" s="1"/>
  <c r="AU930" i="29" s="1"/>
  <c r="AS1473" i="29"/>
  <c r="AT1473" i="29" s="1"/>
  <c r="AU1473" i="29" s="1"/>
  <c r="AS1472" i="29"/>
  <c r="AT1472" i="29" s="1"/>
  <c r="AU1472" i="29" s="1"/>
  <c r="AS785" i="29"/>
  <c r="AT785" i="29" s="1"/>
  <c r="AU785" i="29" s="1"/>
  <c r="AS788" i="29"/>
  <c r="AT788" i="29" s="1"/>
  <c r="AU788" i="29" s="1"/>
  <c r="AS1054" i="29"/>
  <c r="AT1054" i="29" s="1"/>
  <c r="AU1054" i="29" s="1"/>
  <c r="AS1232" i="29"/>
  <c r="AT1232" i="29" s="1"/>
  <c r="AU1232" i="29" s="1"/>
  <c r="AS1231" i="29"/>
  <c r="AT1231" i="29" s="1"/>
  <c r="AU1231" i="29" s="1"/>
  <c r="AS1007" i="29"/>
  <c r="AT1007" i="29" s="1"/>
  <c r="AU1007" i="29" s="1"/>
  <c r="AS1006" i="29"/>
  <c r="AT1006" i="29" s="1"/>
  <c r="AU1006" i="29" s="1"/>
  <c r="AS1000" i="29"/>
  <c r="AT1000" i="29" s="1"/>
  <c r="AU1000" i="29" s="1"/>
  <c r="AS236" i="29"/>
  <c r="AT236" i="29" s="1"/>
  <c r="AU236" i="29" s="1"/>
  <c r="AS193" i="29"/>
  <c r="AT193" i="29" s="1"/>
  <c r="AU193" i="29" s="1"/>
  <c r="AS258" i="29"/>
  <c r="AT258" i="29" s="1"/>
  <c r="AU258" i="29" s="1"/>
  <c r="AS100" i="29"/>
  <c r="AT100" i="29" s="1"/>
  <c r="AU100" i="29" s="1"/>
  <c r="AS342" i="29"/>
  <c r="AT342" i="29" s="1"/>
  <c r="AU342" i="29" s="1"/>
  <c r="AS762" i="29"/>
  <c r="AT762" i="29" s="1"/>
  <c r="AU762" i="29" s="1"/>
  <c r="AS647" i="29"/>
  <c r="AT647" i="29" s="1"/>
  <c r="AU647" i="29" s="1"/>
  <c r="AS655" i="29"/>
  <c r="AT655" i="29" s="1"/>
  <c r="AU655" i="29" s="1"/>
  <c r="AS636" i="29"/>
  <c r="AT636" i="29" s="1"/>
  <c r="AU636" i="29" s="1"/>
  <c r="AS1168" i="29"/>
  <c r="AT1168" i="29" s="1"/>
  <c r="AU1168" i="29" s="1"/>
  <c r="AS1081" i="29"/>
  <c r="AT1081" i="29" s="1"/>
  <c r="AU1081" i="29" s="1"/>
  <c r="AS605" i="29"/>
  <c r="AT605" i="29" s="1"/>
  <c r="AU605" i="29" s="1"/>
  <c r="AS610" i="29"/>
  <c r="AT610" i="29" s="1"/>
  <c r="AU610" i="29" s="1"/>
  <c r="AS685" i="29"/>
  <c r="AT685" i="29" s="1"/>
  <c r="AU685" i="29" s="1"/>
  <c r="AS827" i="29"/>
  <c r="AT827" i="29" s="1"/>
  <c r="AU827" i="29" s="1"/>
  <c r="AS900" i="29"/>
  <c r="AT900" i="29" s="1"/>
  <c r="AU900" i="29" s="1"/>
  <c r="AS883" i="29"/>
  <c r="AT883" i="29" s="1"/>
  <c r="AU883" i="29" s="1"/>
  <c r="AS678" i="29"/>
  <c r="AT678" i="29" s="1"/>
  <c r="AU678" i="29" s="1"/>
  <c r="AS677" i="29"/>
  <c r="AT677" i="29" s="1"/>
  <c r="AU677" i="29" s="1"/>
  <c r="AS623" i="29"/>
  <c r="AT623" i="29" s="1"/>
  <c r="AU623" i="29" s="1"/>
  <c r="AS380" i="29"/>
  <c r="AT380" i="29" s="1"/>
  <c r="AU380" i="29" s="1"/>
  <c r="AS298" i="29"/>
  <c r="AT298" i="29" s="1"/>
  <c r="AU298" i="29" s="1"/>
  <c r="AS272" i="29"/>
  <c r="AT272" i="29" s="1"/>
  <c r="AU272" i="29" s="1"/>
  <c r="AS292" i="29"/>
  <c r="AT292" i="29" s="1"/>
  <c r="AU292" i="29" s="1"/>
  <c r="AS284" i="29"/>
  <c r="AT284" i="29" s="1"/>
  <c r="AU284" i="29" s="1"/>
  <c r="AS283" i="29"/>
  <c r="AT283" i="29" s="1"/>
  <c r="AU283" i="29" s="1"/>
  <c r="AS291" i="29"/>
  <c r="AT291" i="29" s="1"/>
  <c r="AU291" i="29" s="1"/>
  <c r="AS1015" i="29"/>
  <c r="AT1015" i="29" s="1"/>
  <c r="AU1015" i="29" s="1"/>
  <c r="AS616" i="29"/>
  <c r="AT616" i="29" s="1"/>
  <c r="AU616" i="29" s="1"/>
  <c r="AS1284" i="29"/>
  <c r="AT1284" i="29" s="1"/>
  <c r="AU1284" i="29" s="1"/>
  <c r="AS1269" i="29"/>
  <c r="AT1269" i="29" s="1"/>
  <c r="AU1269" i="29" s="1"/>
  <c r="AS1264" i="29"/>
  <c r="AT1264" i="29" s="1"/>
  <c r="AU1264" i="29" s="1"/>
  <c r="AS1267" i="29"/>
  <c r="AT1267" i="29" s="1"/>
  <c r="AU1267" i="29" s="1"/>
  <c r="AS1165" i="29"/>
  <c r="AT1165" i="29" s="1"/>
  <c r="AU1165" i="29" s="1"/>
  <c r="AS1208" i="29"/>
  <c r="AT1208" i="29" s="1"/>
  <c r="AU1208" i="29" s="1"/>
  <c r="AS1079" i="29"/>
  <c r="AT1079" i="29" s="1"/>
  <c r="AU1079" i="29" s="1"/>
  <c r="AS1078" i="29"/>
  <c r="AT1078" i="29" s="1"/>
  <c r="AU1078" i="29" s="1"/>
  <c r="AS1060" i="29"/>
  <c r="AT1060" i="29" s="1"/>
  <c r="AU1060" i="29" s="1"/>
  <c r="AS1005" i="29"/>
  <c r="AT1005" i="29" s="1"/>
  <c r="AU1005" i="29" s="1"/>
  <c r="AS1004" i="29"/>
  <c r="AT1004" i="29" s="1"/>
  <c r="AU1004" i="29" s="1"/>
  <c r="AS999" i="29"/>
  <c r="AT999" i="29" s="1"/>
  <c r="AU999" i="29" s="1"/>
  <c r="AS977" i="29"/>
  <c r="AT977" i="29" s="1"/>
  <c r="AU977" i="29" s="1"/>
  <c r="AS1008" i="29"/>
  <c r="AT1008" i="29" s="1"/>
  <c r="AU1008" i="29" s="1"/>
  <c r="AS898" i="29"/>
  <c r="AT898" i="29" s="1"/>
  <c r="AU898" i="29" s="1"/>
  <c r="AS763" i="29"/>
  <c r="AT763" i="29" s="1"/>
  <c r="AU763" i="29" s="1"/>
  <c r="AS728" i="29"/>
  <c r="AT728" i="29" s="1"/>
  <c r="AU728" i="29" s="1"/>
  <c r="AS666" i="29"/>
  <c r="AT666" i="29" s="1"/>
  <c r="AU666" i="29" s="1"/>
  <c r="AS727" i="29"/>
  <c r="AT727" i="29" s="1"/>
  <c r="AU727" i="29" s="1"/>
  <c r="AS598" i="29"/>
  <c r="AT598" i="29" s="1"/>
  <c r="AU598" i="29" s="1"/>
  <c r="AS266" i="29"/>
  <c r="AT266" i="29" s="1"/>
  <c r="AU266" i="29" s="1"/>
  <c r="AS1261" i="29"/>
  <c r="AT1261" i="29" s="1"/>
  <c r="AU1261" i="29" s="1"/>
  <c r="AS1493" i="29"/>
  <c r="AT1493" i="29" s="1"/>
  <c r="AU1493" i="29" s="1"/>
  <c r="AS1094" i="29"/>
  <c r="AT1094" i="29" s="1"/>
  <c r="AU1094" i="29" s="1"/>
  <c r="AS759" i="29"/>
  <c r="AT759" i="29" s="1"/>
  <c r="AU759" i="29" s="1"/>
  <c r="AS704" i="29"/>
  <c r="AT704" i="29" s="1"/>
  <c r="AU704" i="29" s="1"/>
  <c r="AS1479" i="29"/>
  <c r="AT1479" i="29" s="1"/>
  <c r="AU1479" i="29" s="1"/>
  <c r="AS1258" i="29"/>
  <c r="AT1258" i="29" s="1"/>
  <c r="AU1258" i="29" s="1"/>
  <c r="AS1327" i="29"/>
  <c r="AT1327" i="29" s="1"/>
  <c r="AU1327" i="29" s="1"/>
  <c r="AS1439" i="29"/>
  <c r="AT1439" i="29" s="1"/>
  <c r="AU1439" i="29" s="1"/>
  <c r="AS1478" i="29"/>
  <c r="AT1478" i="29" s="1"/>
  <c r="AU1478" i="29" s="1"/>
  <c r="AS1128" i="29"/>
  <c r="AT1128" i="29" s="1"/>
  <c r="AU1128" i="29" s="1"/>
  <c r="AS1399" i="29"/>
  <c r="AT1399" i="29" s="1"/>
  <c r="AU1399" i="29" s="1"/>
  <c r="AS1270" i="29"/>
  <c r="AT1270" i="29" s="1"/>
  <c r="AU1270" i="29" s="1"/>
  <c r="AS1509" i="29"/>
  <c r="AT1509" i="29" s="1"/>
  <c r="AU1509" i="29" s="1"/>
  <c r="AS1089" i="29"/>
  <c r="AT1089" i="29" s="1"/>
  <c r="AU1089" i="29" s="1"/>
  <c r="AS942" i="29"/>
  <c r="AT942" i="29" s="1"/>
  <c r="AU942" i="29" s="1"/>
  <c r="AS1496" i="29"/>
  <c r="AT1496" i="29" s="1"/>
  <c r="AU1496" i="29" s="1"/>
  <c r="AS1279" i="29"/>
  <c r="AT1279" i="29" s="1"/>
  <c r="AU1279" i="29" s="1"/>
  <c r="AS913" i="29"/>
  <c r="AT913" i="29" s="1"/>
  <c r="AU913" i="29" s="1"/>
  <c r="AS346" i="29"/>
  <c r="AT346" i="29" s="1"/>
  <c r="AU346" i="29" s="1"/>
  <c r="AS1315" i="29"/>
  <c r="AT1315" i="29" s="1"/>
  <c r="AU1315" i="29" s="1"/>
  <c r="AS669" i="29"/>
  <c r="AT669" i="29" s="1"/>
  <c r="AU669" i="29" s="1"/>
  <c r="AS909" i="29"/>
  <c r="AT909" i="29" s="1"/>
  <c r="AU909" i="29" s="1"/>
  <c r="AS908" i="29"/>
  <c r="AT908" i="29" s="1"/>
  <c r="AU908" i="29" s="1"/>
  <c r="AS1041" i="29"/>
  <c r="AT1041" i="29" s="1"/>
  <c r="AU1041" i="29" s="1"/>
  <c r="AS1040" i="29"/>
  <c r="AT1040" i="29" s="1"/>
  <c r="AU1040" i="29" s="1"/>
  <c r="AS719" i="29"/>
  <c r="AT719" i="29" s="1"/>
  <c r="AU719" i="29" s="1"/>
  <c r="AS1353" i="29"/>
  <c r="AT1353" i="29" s="1"/>
  <c r="AU1353" i="29" s="1"/>
  <c r="AS752" i="29"/>
  <c r="AT752" i="29" s="1"/>
  <c r="AU752" i="29" s="1"/>
  <c r="AS1500" i="29"/>
  <c r="AT1500" i="29" s="1"/>
  <c r="AU1500" i="29" s="1"/>
  <c r="AS1435" i="29"/>
  <c r="AT1435" i="29" s="1"/>
  <c r="AU1435" i="29" s="1"/>
  <c r="AS1454" i="29"/>
  <c r="AT1454" i="29" s="1"/>
  <c r="AU1454" i="29" s="1"/>
  <c r="AS1352" i="29"/>
  <c r="AT1352" i="29" s="1"/>
  <c r="AU1352" i="29" s="1"/>
  <c r="AS1461" i="29"/>
  <c r="AT1461" i="29" s="1"/>
  <c r="AU1461" i="29" s="1"/>
  <c r="AS1499" i="29"/>
  <c r="AT1499" i="29" s="1"/>
  <c r="AU1499" i="29" s="1"/>
  <c r="AS1424" i="29"/>
  <c r="AT1424" i="29" s="1"/>
  <c r="AU1424" i="29" s="1"/>
  <c r="AS1488" i="29"/>
  <c r="AT1488" i="29" s="1"/>
  <c r="AU1488" i="29" s="1"/>
  <c r="AS1470" i="29"/>
  <c r="AT1470" i="29" s="1"/>
  <c r="AU1470" i="29" s="1"/>
  <c r="AS1318" i="29"/>
  <c r="AT1318" i="29" s="1"/>
  <c r="AU1318" i="29" s="1"/>
  <c r="AS1265" i="29"/>
  <c r="AT1265" i="29" s="1"/>
  <c r="AU1265" i="29" s="1"/>
  <c r="AS1486" i="29"/>
  <c r="AT1486" i="29" s="1"/>
  <c r="AU1486" i="29" s="1"/>
  <c r="AS1283" i="29"/>
  <c r="AT1283" i="29" s="1"/>
  <c r="AU1283" i="29" s="1"/>
  <c r="AS1282" i="29"/>
  <c r="AT1282" i="29" s="1"/>
  <c r="AU1282" i="29" s="1"/>
  <c r="AS1176" i="29"/>
  <c r="AT1176" i="29" s="1"/>
  <c r="AU1176" i="29" s="1"/>
  <c r="AS1281" i="29"/>
  <c r="AT1281" i="29" s="1"/>
  <c r="AU1281" i="29" s="1"/>
  <c r="AS805" i="29"/>
  <c r="AT805" i="29" s="1"/>
  <c r="AU805" i="29" s="1"/>
  <c r="AS1339" i="29"/>
  <c r="AT1339" i="29" s="1"/>
  <c r="AU1339" i="29" s="1"/>
  <c r="AS987" i="29"/>
  <c r="AT987" i="29" s="1"/>
  <c r="AU987" i="29" s="1"/>
  <c r="AS1338" i="29"/>
  <c r="AT1338" i="29" s="1"/>
  <c r="AU1338" i="29" s="1"/>
  <c r="AS986" i="29"/>
  <c r="AT986" i="29" s="1"/>
  <c r="AU986" i="29" s="1"/>
  <c r="AS944" i="29"/>
  <c r="AT944" i="29" s="1"/>
  <c r="AU944" i="29" s="1"/>
  <c r="AS564" i="29"/>
  <c r="AT564" i="29" s="1"/>
  <c r="AU564" i="29" s="1"/>
  <c r="AS329" i="29"/>
  <c r="AT329" i="29" s="1"/>
  <c r="AU329" i="29" s="1"/>
  <c r="AS707" i="29"/>
  <c r="AT707" i="29" s="1"/>
  <c r="AU707" i="29" s="1"/>
  <c r="AS1337" i="29"/>
  <c r="AT1337" i="29" s="1"/>
  <c r="AU1337" i="29" s="1"/>
  <c r="AS1293" i="29"/>
  <c r="AT1293" i="29" s="1"/>
  <c r="AU1293" i="29" s="1"/>
  <c r="AS1292" i="29"/>
  <c r="AT1292" i="29" s="1"/>
  <c r="AU1292" i="29" s="1"/>
  <c r="AS1240" i="29"/>
  <c r="AT1240" i="29" s="1"/>
  <c r="AU1240" i="29" s="1"/>
  <c r="AS885" i="29"/>
  <c r="AT885" i="29" s="1"/>
  <c r="AU885" i="29" s="1"/>
  <c r="AS865" i="29"/>
  <c r="AT865" i="29" s="1"/>
  <c r="AU865" i="29" s="1"/>
  <c r="AS603" i="29"/>
  <c r="AT603" i="29" s="1"/>
  <c r="AU603" i="29" s="1"/>
  <c r="AS675" i="29"/>
  <c r="AT675" i="29" s="1"/>
  <c r="AU675" i="29" s="1"/>
  <c r="AS622" i="29"/>
  <c r="AT622" i="29" s="1"/>
  <c r="AU622" i="29" s="1"/>
  <c r="AS304" i="29"/>
  <c r="AT304" i="29" s="1"/>
  <c r="AU304" i="29" s="1"/>
  <c r="AS303" i="29"/>
  <c r="AT303" i="29" s="1"/>
  <c r="AU303" i="29" s="1"/>
  <c r="AS1239" i="29"/>
  <c r="AT1239" i="29" s="1"/>
  <c r="AU1239" i="29" s="1"/>
  <c r="AS847" i="29"/>
  <c r="AT847" i="29" s="1"/>
  <c r="AU847" i="29" s="1"/>
  <c r="AS1072" i="29"/>
  <c r="AT1072" i="29" s="1"/>
  <c r="AU1072" i="29" s="1"/>
  <c r="AS1140" i="29"/>
  <c r="AT1140" i="29" s="1"/>
  <c r="AU1140" i="29" s="1"/>
  <c r="AS458" i="29"/>
  <c r="AT458" i="29" s="1"/>
  <c r="AU458" i="29" s="1"/>
  <c r="AS891" i="29"/>
  <c r="AT891" i="29" s="1"/>
  <c r="AU891" i="29" s="1"/>
  <c r="AS884" i="29"/>
  <c r="AT884" i="29" s="1"/>
  <c r="AU884" i="29" s="1"/>
  <c r="L869" i="29"/>
  <c r="L1097" i="29"/>
  <c r="L1017" i="29"/>
  <c r="M1097" i="29"/>
  <c r="M1017" i="29"/>
  <c r="Y409" i="49"/>
  <c r="P409" i="49"/>
  <c r="AS1427" i="29"/>
  <c r="AS1304" i="29"/>
  <c r="AS1410" i="29"/>
  <c r="AX1213" i="29"/>
  <c r="AX1214" i="29" l="1"/>
  <c r="AX1386" i="29"/>
  <c r="AX1287" i="29"/>
  <c r="AS1287" i="29"/>
  <c r="AL1508" i="29" l="1"/>
  <c r="L1508" i="29"/>
  <c r="L1509" i="29"/>
  <c r="Q1507" i="29"/>
  <c r="L1507" i="29"/>
  <c r="L1506" i="29"/>
  <c r="AA1505" i="29"/>
  <c r="L1504" i="29"/>
  <c r="AL1505" i="29"/>
  <c r="L1505" i="29"/>
  <c r="AA1497" i="29" l="1"/>
  <c r="Q1497" i="29" s="1"/>
  <c r="AA1481" i="29" l="1"/>
  <c r="Q1502" i="29"/>
  <c r="Q1491" i="29"/>
  <c r="L1502" i="29"/>
  <c r="Q1498" i="29"/>
  <c r="AA1500" i="29"/>
  <c r="L1498" i="29"/>
  <c r="L1500" i="29"/>
  <c r="Q1503" i="29"/>
  <c r="L1503" i="29"/>
  <c r="AL1500" i="29" l="1"/>
  <c r="AA1499" i="29"/>
  <c r="Q1499" i="29" s="1"/>
  <c r="L1499" i="29"/>
  <c r="L1497" i="29"/>
  <c r="Z31" i="18"/>
  <c r="Y31" i="18"/>
  <c r="AL1499" i="29" l="1"/>
  <c r="AL1497" i="29"/>
  <c r="Q1495" i="29"/>
  <c r="L1495" i="29"/>
  <c r="Q1494" i="29" l="1"/>
  <c r="L1494" i="29"/>
  <c r="AL1494" i="29" l="1"/>
  <c r="Q1449" i="29"/>
  <c r="Q1477" i="29"/>
  <c r="AA1493" i="29"/>
  <c r="Q1493" i="29" l="1"/>
  <c r="AA1496" i="29"/>
  <c r="Q1496" i="29" s="1"/>
  <c r="L1496" i="29"/>
  <c r="AA1486" i="29"/>
  <c r="Q1486" i="29" s="1"/>
  <c r="AL1493" i="29" l="1"/>
  <c r="AL1496" i="29"/>
  <c r="L1493" i="29"/>
  <c r="L1491" i="29" l="1"/>
  <c r="BQ1487" i="29" l="1"/>
  <c r="BR1487" i="29"/>
  <c r="BP1487" i="29"/>
  <c r="BN1487" i="29"/>
  <c r="BP1485" i="29"/>
  <c r="AA177" i="56"/>
  <c r="BC7" i="1"/>
  <c r="BB7" i="1"/>
  <c r="AE7" i="1"/>
  <c r="BN1492" i="29" l="1"/>
  <c r="Q1492" i="29"/>
  <c r="Q1487" i="29"/>
  <c r="Q1485" i="29"/>
  <c r="Q1490" i="29"/>
  <c r="Q1489" i="29"/>
  <c r="L1490" i="29"/>
  <c r="L1489" i="29"/>
  <c r="L1485" i="29"/>
  <c r="L1492" i="29"/>
  <c r="L1487" i="29"/>
  <c r="AA979" i="29" l="1"/>
  <c r="AA1488" i="29"/>
  <c r="Q1488" i="29" s="1"/>
  <c r="Y406" i="49"/>
  <c r="P406" i="49"/>
  <c r="Y405" i="49"/>
  <c r="P405" i="49"/>
  <c r="Y407" i="49"/>
  <c r="P407" i="49"/>
  <c r="Y403" i="49"/>
  <c r="P403" i="49"/>
  <c r="Y404" i="49"/>
  <c r="P404" i="49"/>
  <c r="L1488" i="29"/>
  <c r="AV43" i="56"/>
  <c r="Q1453" i="29"/>
  <c r="Q1459" i="29"/>
  <c r="Q1450" i="29"/>
  <c r="AV180" i="56"/>
  <c r="AV89" i="56"/>
  <c r="Q1463" i="29"/>
  <c r="Y393" i="49"/>
  <c r="P393" i="49"/>
  <c r="Y400" i="49"/>
  <c r="P400" i="49"/>
  <c r="Y401" i="49"/>
  <c r="P401" i="49"/>
  <c r="AV15" i="18"/>
  <c r="AV203" i="56"/>
  <c r="U1452" i="29"/>
  <c r="Q1452" i="29" s="1"/>
  <c r="U1474" i="29"/>
  <c r="Q1474" i="29" s="1"/>
  <c r="L1477" i="29"/>
  <c r="L1486" i="29"/>
  <c r="Q1483" i="29"/>
  <c r="L1483" i="29"/>
  <c r="Q1471" i="29"/>
  <c r="AL1488" i="29" l="1"/>
  <c r="AL1486" i="29"/>
  <c r="AA1470" i="29"/>
  <c r="Q1470" i="29" s="1"/>
  <c r="AA1461" i="29"/>
  <c r="Q1461" i="29" s="1"/>
  <c r="AA1454" i="29"/>
  <c r="Q1454" i="29" s="1"/>
  <c r="BS1478" i="29" l="1"/>
  <c r="L1481" i="29"/>
  <c r="L1480" i="29" l="1"/>
  <c r="L1482" i="29"/>
  <c r="AA1478" i="29" l="1"/>
  <c r="Q1478" i="29" s="1"/>
  <c r="AA1479" i="29"/>
  <c r="L1478" i="29"/>
  <c r="L1479" i="29"/>
  <c r="AV80" i="56"/>
  <c r="AJ147" i="56"/>
  <c r="AK147" i="56"/>
  <c r="AJ1472" i="29"/>
  <c r="AK1472" i="29"/>
  <c r="L1475" i="29"/>
  <c r="Q1475" i="29"/>
  <c r="L1471" i="29"/>
  <c r="AS205" i="56"/>
  <c r="AT205" i="56" s="1"/>
  <c r="AU205" i="56" s="1"/>
  <c r="AS200" i="56"/>
  <c r="AT200" i="56" s="1"/>
  <c r="AU200" i="56" s="1"/>
  <c r="AS201" i="56"/>
  <c r="AT201" i="56" s="1"/>
  <c r="AU201" i="56" s="1"/>
  <c r="AS30" i="56"/>
  <c r="AT30" i="56" s="1"/>
  <c r="AU30" i="56" s="1"/>
  <c r="AS10" i="56"/>
  <c r="AT10" i="56" s="1"/>
  <c r="AU10" i="56" s="1"/>
  <c r="AS206" i="56"/>
  <c r="AT206" i="56" s="1"/>
  <c r="AU206" i="56" s="1"/>
  <c r="AS204" i="56"/>
  <c r="AT204" i="56" s="1"/>
  <c r="AU204" i="56" s="1"/>
  <c r="AS207" i="56"/>
  <c r="AT207" i="56" s="1"/>
  <c r="AU207" i="56" s="1"/>
  <c r="AS208" i="56"/>
  <c r="AT208" i="56" s="1"/>
  <c r="AU208" i="56" s="1"/>
  <c r="AS209" i="56"/>
  <c r="AT209" i="56" s="1"/>
  <c r="AU209" i="56" s="1"/>
  <c r="AS210" i="56"/>
  <c r="AT210" i="56" s="1"/>
  <c r="AU210" i="56" s="1"/>
  <c r="AS170" i="56"/>
  <c r="AT170" i="56" s="1"/>
  <c r="AU170" i="56" s="1"/>
  <c r="AS198" i="56"/>
  <c r="AT198" i="56" s="1"/>
  <c r="AU198" i="56" s="1"/>
  <c r="AS195" i="56"/>
  <c r="AT195" i="56" s="1"/>
  <c r="AU195" i="56" s="1"/>
  <c r="AS132" i="56"/>
  <c r="AT132" i="56" s="1"/>
  <c r="AU132" i="56" s="1"/>
  <c r="AS63" i="56"/>
  <c r="AT63" i="56" s="1"/>
  <c r="AU63" i="56" s="1"/>
  <c r="AS166" i="56"/>
  <c r="AT166" i="56" s="1"/>
  <c r="AU166" i="56" s="1"/>
  <c r="AS168" i="56"/>
  <c r="AT168" i="56" s="1"/>
  <c r="AU168" i="56" s="1"/>
  <c r="AS131" i="56"/>
  <c r="AT131" i="56" s="1"/>
  <c r="AU131" i="56" s="1"/>
  <c r="AS71" i="56"/>
  <c r="AT71" i="56" s="1"/>
  <c r="AU71" i="56" s="1"/>
  <c r="AS194" i="56"/>
  <c r="AT194" i="56" s="1"/>
  <c r="AU194" i="56" s="1"/>
  <c r="AS193" i="56"/>
  <c r="AT193" i="56" s="1"/>
  <c r="AU193" i="56" s="1"/>
  <c r="AS196" i="56"/>
  <c r="AT196" i="56" s="1"/>
  <c r="AU196" i="56" s="1"/>
  <c r="AS197" i="56"/>
  <c r="AT197" i="56" s="1"/>
  <c r="AU197" i="56" s="1"/>
  <c r="AS139" i="56"/>
  <c r="AT139" i="56" s="1"/>
  <c r="AU139" i="56" s="1"/>
  <c r="AS186" i="56"/>
  <c r="AT186" i="56" s="1"/>
  <c r="AU186" i="56" s="1"/>
  <c r="AS179" i="56"/>
  <c r="AT179" i="56" s="1"/>
  <c r="AU179" i="56" s="1"/>
  <c r="AS164" i="56"/>
  <c r="AT164" i="56" s="1"/>
  <c r="AU164" i="56" s="1"/>
  <c r="AS163" i="56"/>
  <c r="AT163" i="56" s="1"/>
  <c r="AU163" i="56" s="1"/>
  <c r="AS158" i="56"/>
  <c r="AT158" i="56" s="1"/>
  <c r="AU158" i="56" s="1"/>
  <c r="AS167" i="56"/>
  <c r="AT167" i="56" s="1"/>
  <c r="AU167" i="56" s="1"/>
  <c r="AS138" i="56"/>
  <c r="AT138" i="56" s="1"/>
  <c r="AU138" i="56" s="1"/>
  <c r="AS177" i="56"/>
  <c r="AT177" i="56" s="1"/>
  <c r="AU177" i="56" s="1"/>
  <c r="AS125" i="56"/>
  <c r="AT125" i="56" s="1"/>
  <c r="AU125" i="56" s="1"/>
  <c r="AS153" i="56"/>
  <c r="AT153" i="56" s="1"/>
  <c r="AU153" i="56" s="1"/>
  <c r="AS95" i="56"/>
  <c r="AT95" i="56" s="1"/>
  <c r="AU95" i="56" s="1"/>
  <c r="AS165" i="56"/>
  <c r="AT165" i="56" s="1"/>
  <c r="AU165" i="56" s="1"/>
  <c r="AS173" i="56"/>
  <c r="AT173" i="56" s="1"/>
  <c r="AU173" i="56" s="1"/>
  <c r="AS84" i="56"/>
  <c r="AT84" i="56" s="1"/>
  <c r="AU84" i="56" s="1"/>
  <c r="AS88" i="56"/>
  <c r="AT88" i="56" s="1"/>
  <c r="AU88" i="56" s="1"/>
  <c r="AS176" i="56"/>
  <c r="AT176" i="56" s="1"/>
  <c r="AU176" i="56" s="1"/>
  <c r="AS46" i="56"/>
  <c r="AT46" i="56" s="1"/>
  <c r="AU46" i="56" s="1"/>
  <c r="AS178" i="56"/>
  <c r="AT178" i="56" s="1"/>
  <c r="AU178" i="56" s="1"/>
  <c r="AS162" i="56"/>
  <c r="AT162" i="56" s="1"/>
  <c r="AU162" i="56" s="1"/>
  <c r="AS43" i="56"/>
  <c r="AT43" i="56" s="1"/>
  <c r="AU43" i="56" s="1"/>
  <c r="AS182" i="56"/>
  <c r="AT182" i="56" s="1"/>
  <c r="AU182" i="56" s="1"/>
  <c r="AS181" i="56"/>
  <c r="AT181" i="56" s="1"/>
  <c r="AU181" i="56" s="1"/>
  <c r="AS184" i="56"/>
  <c r="AT184" i="56" s="1"/>
  <c r="AU184" i="56" s="1"/>
  <c r="AS183" i="56"/>
  <c r="AT183" i="56" s="1"/>
  <c r="AU183" i="56" s="1"/>
  <c r="AS161" i="56"/>
  <c r="AT161" i="56" s="1"/>
  <c r="AU161" i="56" s="1"/>
  <c r="AS148" i="56"/>
  <c r="AT148" i="56" s="1"/>
  <c r="AU148" i="56" s="1"/>
  <c r="AS147" i="56"/>
  <c r="AT147" i="56" s="1"/>
  <c r="AU147" i="56" s="1"/>
  <c r="AS159" i="56"/>
  <c r="AT159" i="56" s="1"/>
  <c r="AU159" i="56" s="1"/>
  <c r="AS150" i="56"/>
  <c r="AT150" i="56" s="1"/>
  <c r="AU150" i="56" s="1"/>
  <c r="AS149" i="56"/>
  <c r="AT149" i="56" s="1"/>
  <c r="AU149" i="56" s="1"/>
  <c r="AS111" i="56"/>
  <c r="AT111" i="56" s="1"/>
  <c r="AU111" i="56" s="1"/>
  <c r="AS156" i="56"/>
  <c r="AT156" i="56" s="1"/>
  <c r="AU156" i="56" s="1"/>
  <c r="AS155" i="56"/>
  <c r="AT155" i="56" s="1"/>
  <c r="AU155" i="56" s="1"/>
  <c r="AS160" i="56"/>
  <c r="AT160" i="56" s="1"/>
  <c r="AU160" i="56" s="1"/>
  <c r="AS112" i="56"/>
  <c r="AT112" i="56" s="1"/>
  <c r="AU112" i="56" s="1"/>
  <c r="AS49" i="56"/>
  <c r="AT49" i="56" s="1"/>
  <c r="AU49" i="56" s="1"/>
  <c r="AS80" i="56"/>
  <c r="AT80" i="56" s="1"/>
  <c r="AU80" i="56" s="1"/>
  <c r="AS48" i="56"/>
  <c r="AT48" i="56" s="1"/>
  <c r="AU48" i="56" s="1"/>
  <c r="AS154" i="56"/>
  <c r="AT154" i="56" s="1"/>
  <c r="AU154" i="56" s="1"/>
  <c r="AS38" i="56"/>
  <c r="AT38" i="56" s="1"/>
  <c r="AU38" i="56" s="1"/>
  <c r="AS35" i="56"/>
  <c r="AT35" i="56" s="1"/>
  <c r="AU35" i="56" s="1"/>
  <c r="AS142" i="56"/>
  <c r="AT142" i="56" s="1"/>
  <c r="AU142" i="56" s="1"/>
  <c r="AS143" i="56"/>
  <c r="AT143" i="56" s="1"/>
  <c r="AU143" i="56" s="1"/>
  <c r="AS146" i="56"/>
  <c r="AT146" i="56" s="1"/>
  <c r="AU146" i="56" s="1"/>
  <c r="AS134" i="56"/>
  <c r="AT134" i="56" s="1"/>
  <c r="AU134" i="56" s="1"/>
  <c r="AS41" i="56"/>
  <c r="AT41" i="56" s="1"/>
  <c r="AU41" i="56" s="1"/>
  <c r="AS26" i="56"/>
  <c r="AT26" i="56" s="1"/>
  <c r="AU26" i="56" s="1"/>
  <c r="AS136" i="56"/>
  <c r="AT136" i="56" s="1"/>
  <c r="AU136" i="56" s="1"/>
  <c r="AS190" i="56"/>
  <c r="AT190" i="56" s="1"/>
  <c r="AU190" i="56" s="1"/>
  <c r="AS188" i="56"/>
  <c r="AT188" i="56" s="1"/>
  <c r="AU188" i="56" s="1"/>
  <c r="AS189" i="56"/>
  <c r="AT189" i="56" s="1"/>
  <c r="AU189" i="56" s="1"/>
  <c r="AS141" i="56"/>
  <c r="AT141" i="56" s="1"/>
  <c r="AU141" i="56" s="1"/>
  <c r="AS127" i="56"/>
  <c r="AT127" i="56" s="1"/>
  <c r="AU127" i="56" s="1"/>
  <c r="AS58" i="56"/>
  <c r="AT58" i="56" s="1"/>
  <c r="AU58" i="56" s="1"/>
  <c r="AS130" i="56"/>
  <c r="AT130" i="56" s="1"/>
  <c r="AU130" i="56" s="1"/>
  <c r="AS129" i="56"/>
  <c r="AT129" i="56" s="1"/>
  <c r="AU129" i="56" s="1"/>
  <c r="AS133" i="56"/>
  <c r="AT133" i="56" s="1"/>
  <c r="AU133" i="56" s="1"/>
  <c r="AS60" i="56"/>
  <c r="AT60" i="56" s="1"/>
  <c r="AU60" i="56" s="1"/>
  <c r="AS171" i="56"/>
  <c r="AT171" i="56" s="1"/>
  <c r="AU171" i="56" s="1"/>
  <c r="AS40" i="56"/>
  <c r="AT40" i="56" s="1"/>
  <c r="AU40" i="56" s="1"/>
  <c r="AS126" i="56"/>
  <c r="AT126" i="56" s="1"/>
  <c r="AU126" i="56" s="1"/>
  <c r="AS122" i="56"/>
  <c r="AT122" i="56" s="1"/>
  <c r="AU122" i="56" s="1"/>
  <c r="AS108" i="56"/>
  <c r="AT108" i="56" s="1"/>
  <c r="AU108" i="56" s="1"/>
  <c r="AS12" i="56"/>
  <c r="AT12" i="56" s="1"/>
  <c r="AU12" i="56" s="1"/>
  <c r="AS118" i="56"/>
  <c r="AT118" i="56" s="1"/>
  <c r="AU118" i="56" s="1"/>
  <c r="AS115" i="56"/>
  <c r="AT115" i="56" s="1"/>
  <c r="AU115" i="56" s="1"/>
  <c r="AS120" i="56"/>
  <c r="AT120" i="56" s="1"/>
  <c r="AU120" i="56" s="1"/>
  <c r="AS119" i="56"/>
  <c r="AT119" i="56" s="1"/>
  <c r="AU119" i="56" s="1"/>
  <c r="AS109" i="56"/>
  <c r="AT109" i="56" s="1"/>
  <c r="AU109" i="56" s="1"/>
  <c r="AS121" i="56"/>
  <c r="AT121" i="56" s="1"/>
  <c r="AU121" i="56" s="1"/>
  <c r="AS110" i="56"/>
  <c r="AT110" i="56" s="1"/>
  <c r="AU110" i="56" s="1"/>
  <c r="AS8" i="56"/>
  <c r="AT8" i="56" s="1"/>
  <c r="AU8" i="56" s="1"/>
  <c r="AS7" i="56"/>
  <c r="AT7" i="56" s="1"/>
  <c r="AU7" i="56" s="1"/>
  <c r="AS114" i="56"/>
  <c r="AT114" i="56" s="1"/>
  <c r="AU114" i="56" s="1"/>
  <c r="AS11" i="56"/>
  <c r="AT11" i="56" s="1"/>
  <c r="AU11" i="56" s="1"/>
  <c r="AS124" i="56"/>
  <c r="AT124" i="56" s="1"/>
  <c r="AU124" i="56" s="1"/>
  <c r="AS117" i="56"/>
  <c r="AT117" i="56" s="1"/>
  <c r="AU117" i="56" s="1"/>
  <c r="AS157" i="56"/>
  <c r="AT157" i="56" s="1"/>
  <c r="AU157" i="56" s="1"/>
  <c r="AS113" i="56"/>
  <c r="AT113" i="56" s="1"/>
  <c r="AU113" i="56" s="1"/>
  <c r="AS123" i="56"/>
  <c r="AT123" i="56" s="1"/>
  <c r="AU123" i="56" s="1"/>
  <c r="AS19" i="56"/>
  <c r="AT19" i="56" s="1"/>
  <c r="AU19" i="56" s="1"/>
  <c r="AS96" i="56"/>
  <c r="AT96" i="56" s="1"/>
  <c r="AU96" i="56" s="1"/>
  <c r="AS97" i="56"/>
  <c r="AT97" i="56" s="1"/>
  <c r="AU97" i="56" s="1"/>
  <c r="AS87" i="56"/>
  <c r="AT87" i="56" s="1"/>
  <c r="AU87" i="56" s="1"/>
  <c r="AS86" i="56"/>
  <c r="AT86" i="56" s="1"/>
  <c r="AU86" i="56" s="1"/>
  <c r="AS187" i="56"/>
  <c r="AT187" i="56" s="1"/>
  <c r="AU187" i="56" s="1"/>
  <c r="AS85" i="56"/>
  <c r="AT85" i="56" s="1"/>
  <c r="AU85" i="56" s="1"/>
  <c r="AS185" i="56"/>
  <c r="AT185" i="56" s="1"/>
  <c r="AU185" i="56" s="1"/>
  <c r="AS191" i="56"/>
  <c r="AT191" i="56" s="1"/>
  <c r="AU191" i="56" s="1"/>
  <c r="AS53" i="56"/>
  <c r="AT53" i="56" s="1"/>
  <c r="AU53" i="56" s="1"/>
  <c r="AS91" i="56"/>
  <c r="AT91" i="56" s="1"/>
  <c r="AU91" i="56" s="1"/>
  <c r="AS90" i="56"/>
  <c r="AT90" i="56" s="1"/>
  <c r="AU90" i="56" s="1"/>
  <c r="AS94" i="56"/>
  <c r="AT94" i="56" s="1"/>
  <c r="AU94" i="56" s="1"/>
  <c r="AS92" i="56"/>
  <c r="AT92" i="56" s="1"/>
  <c r="AU92" i="56" s="1"/>
  <c r="AS83" i="56"/>
  <c r="AT83" i="56" s="1"/>
  <c r="AU83" i="56" s="1"/>
  <c r="AS99" i="56"/>
  <c r="AT99" i="56" s="1"/>
  <c r="AU99" i="56" s="1"/>
  <c r="AS98" i="56"/>
  <c r="AT98" i="56" s="1"/>
  <c r="AU98" i="56" s="1"/>
  <c r="AS100" i="56"/>
  <c r="AT100" i="56" s="1"/>
  <c r="AU100" i="56" s="1"/>
  <c r="AS101" i="56"/>
  <c r="AT101" i="56" s="1"/>
  <c r="AU101" i="56" s="1"/>
  <c r="AS102" i="56"/>
  <c r="AT102" i="56" s="1"/>
  <c r="AU102" i="56" s="1"/>
  <c r="AS103" i="56"/>
  <c r="AT103" i="56" s="1"/>
  <c r="AU103" i="56" s="1"/>
  <c r="AS105" i="56"/>
  <c r="AT105" i="56" s="1"/>
  <c r="AU105" i="56" s="1"/>
  <c r="AS104" i="56"/>
  <c r="AT104" i="56" s="1"/>
  <c r="AU104" i="56" s="1"/>
  <c r="AS192" i="56"/>
  <c r="AT192" i="56" s="1"/>
  <c r="AU192" i="56" s="1"/>
  <c r="AS106" i="56"/>
  <c r="AT106" i="56" s="1"/>
  <c r="AU106" i="56" s="1"/>
  <c r="AS107" i="56"/>
  <c r="AT107" i="56" s="1"/>
  <c r="AU107" i="56" s="1"/>
  <c r="AS81" i="56"/>
  <c r="AT81" i="56" s="1"/>
  <c r="AU81" i="56" s="1"/>
  <c r="AS77" i="56"/>
  <c r="AT77" i="56" s="1"/>
  <c r="AU77" i="56" s="1"/>
  <c r="AS3" i="56"/>
  <c r="AT3" i="56" s="1"/>
  <c r="AU3" i="56" s="1"/>
  <c r="AS4" i="56"/>
  <c r="AT4" i="56" s="1"/>
  <c r="AU4" i="56" s="1"/>
  <c r="AS6" i="56"/>
  <c r="AT6" i="56" s="1"/>
  <c r="AU6" i="56" s="1"/>
  <c r="AS5" i="56"/>
  <c r="AT5" i="56" s="1"/>
  <c r="AU5" i="56" s="1"/>
  <c r="AS18" i="56"/>
  <c r="AT18" i="56" s="1"/>
  <c r="AU18" i="56" s="1"/>
  <c r="AS72" i="56"/>
  <c r="AT72" i="56" s="1"/>
  <c r="AU72" i="56" s="1"/>
  <c r="AS78" i="56"/>
  <c r="AT78" i="56" s="1"/>
  <c r="AU78" i="56" s="1"/>
  <c r="AS73" i="56"/>
  <c r="AT73" i="56" s="1"/>
  <c r="AU73" i="56" s="1"/>
  <c r="AS74" i="56"/>
  <c r="AT74" i="56" s="1"/>
  <c r="AU74" i="56" s="1"/>
  <c r="AS75" i="56"/>
  <c r="AT75" i="56" s="1"/>
  <c r="AU75" i="56" s="1"/>
  <c r="AS79" i="56"/>
  <c r="AT79" i="56" s="1"/>
  <c r="AU79" i="56" s="1"/>
  <c r="AS76" i="56"/>
  <c r="AT76" i="56" s="1"/>
  <c r="AU76" i="56" s="1"/>
  <c r="AS202" i="56"/>
  <c r="AT202" i="56" s="1"/>
  <c r="AU202" i="56" s="1"/>
  <c r="AS66" i="56"/>
  <c r="AT66" i="56" s="1"/>
  <c r="AU66" i="56" s="1"/>
  <c r="AS199" i="56"/>
  <c r="AT199" i="56" s="1"/>
  <c r="AU199" i="56" s="1"/>
  <c r="AS62" i="56"/>
  <c r="AT62" i="56" s="1"/>
  <c r="AU62" i="56" s="1"/>
  <c r="AS65" i="56"/>
  <c r="AT65" i="56" s="1"/>
  <c r="AU65" i="56" s="1"/>
  <c r="AS64" i="56"/>
  <c r="AT64" i="56" s="1"/>
  <c r="AU64" i="56" s="1"/>
  <c r="AS61" i="56"/>
  <c r="AT61" i="56" s="1"/>
  <c r="AU61" i="56" s="1"/>
  <c r="AS59" i="56"/>
  <c r="AT59" i="56" s="1"/>
  <c r="AU59" i="56" s="1"/>
  <c r="AS137" i="56"/>
  <c r="AT137" i="56" s="1"/>
  <c r="AU137" i="56" s="1"/>
  <c r="AS135" i="56"/>
  <c r="AT135" i="56" s="1"/>
  <c r="AU135" i="56" s="1"/>
  <c r="AS51" i="56"/>
  <c r="AT51" i="56" s="1"/>
  <c r="AU51" i="56" s="1"/>
  <c r="AS50" i="56"/>
  <c r="AT50" i="56" s="1"/>
  <c r="AU50" i="56" s="1"/>
  <c r="AS82" i="56"/>
  <c r="AT82" i="56" s="1"/>
  <c r="AU82" i="56" s="1"/>
  <c r="AS128" i="56"/>
  <c r="AT128" i="56" s="1"/>
  <c r="AU128" i="56" s="1"/>
  <c r="AS54" i="56"/>
  <c r="AT54" i="56" s="1"/>
  <c r="AU54" i="56" s="1"/>
  <c r="AS56" i="56"/>
  <c r="AT56" i="56" s="1"/>
  <c r="AU56" i="56" s="1"/>
  <c r="AS57" i="56"/>
  <c r="AT57" i="56" s="1"/>
  <c r="AU57" i="56" s="1"/>
  <c r="AS55" i="56"/>
  <c r="AT55" i="56" s="1"/>
  <c r="AU55" i="56" s="1"/>
  <c r="AS34" i="56"/>
  <c r="AT34" i="56" s="1"/>
  <c r="AU34" i="56" s="1"/>
  <c r="AS70" i="56"/>
  <c r="AT70" i="56" s="1"/>
  <c r="AU70" i="56" s="1"/>
  <c r="AS36" i="56"/>
  <c r="AT36" i="56" s="1"/>
  <c r="AU36" i="56" s="1"/>
  <c r="AS152" i="56"/>
  <c r="AT152" i="56" s="1"/>
  <c r="AU152" i="56" s="1"/>
  <c r="AS172" i="56"/>
  <c r="AT172" i="56" s="1"/>
  <c r="AU172" i="56" s="1"/>
  <c r="AS44" i="56"/>
  <c r="AT44" i="56" s="1"/>
  <c r="AU44" i="56" s="1"/>
  <c r="AS116" i="56"/>
  <c r="AT116" i="56" s="1"/>
  <c r="AU116" i="56" s="1"/>
  <c r="AS93" i="56"/>
  <c r="AT93" i="56" s="1"/>
  <c r="AU93" i="56" s="1"/>
  <c r="AS42" i="56"/>
  <c r="AT42" i="56" s="1"/>
  <c r="AU42" i="56" s="1"/>
  <c r="AS169" i="56"/>
  <c r="AT169" i="56" s="1"/>
  <c r="AU169" i="56" s="1"/>
  <c r="AS47" i="56"/>
  <c r="AT47" i="56" s="1"/>
  <c r="AU47" i="56" s="1"/>
  <c r="AS144" i="56"/>
  <c r="AT144" i="56" s="1"/>
  <c r="AU144" i="56" s="1"/>
  <c r="AS140" i="56"/>
  <c r="AT140" i="56" s="1"/>
  <c r="AU140" i="56" s="1"/>
  <c r="AS151" i="56"/>
  <c r="AT151" i="56" s="1"/>
  <c r="AU151" i="56" s="1"/>
  <c r="AS33" i="56"/>
  <c r="AT33" i="56" s="1"/>
  <c r="AU33" i="56" s="1"/>
  <c r="AS39" i="56"/>
  <c r="AT39" i="56" s="1"/>
  <c r="AU39" i="56" s="1"/>
  <c r="AS52" i="56"/>
  <c r="AT52" i="56" s="1"/>
  <c r="AU52" i="56" s="1"/>
  <c r="AS31" i="56"/>
  <c r="AT31" i="56" s="1"/>
  <c r="AU31" i="56" s="1"/>
  <c r="AS69" i="56"/>
  <c r="AT69" i="56" s="1"/>
  <c r="AU69" i="56" s="1"/>
  <c r="AS37" i="56"/>
  <c r="AT37" i="56" s="1"/>
  <c r="AU37" i="56" s="1"/>
  <c r="AS28" i="56"/>
  <c r="AT28" i="56" s="1"/>
  <c r="AU28" i="56" s="1"/>
  <c r="AS67" i="56"/>
  <c r="AT67" i="56" s="1"/>
  <c r="AU67" i="56" s="1"/>
  <c r="AS16" i="56"/>
  <c r="AT16" i="56" s="1"/>
  <c r="AU16" i="56" s="1"/>
  <c r="AS17" i="56"/>
  <c r="AT17" i="56" s="1"/>
  <c r="AU17" i="56" s="1"/>
  <c r="AS27" i="56"/>
  <c r="AT27" i="56" s="1"/>
  <c r="AU27" i="56" s="1"/>
  <c r="AS21" i="56"/>
  <c r="AT21" i="56" s="1"/>
  <c r="AU21" i="56" s="1"/>
  <c r="AS68" i="56"/>
  <c r="AT68" i="56" s="1"/>
  <c r="AU68" i="56" s="1"/>
  <c r="AS175" i="56"/>
  <c r="AT175" i="56" s="1"/>
  <c r="AU175" i="56" s="1"/>
  <c r="AS145" i="56"/>
  <c r="AT145" i="56" s="1"/>
  <c r="AU145" i="56" s="1"/>
  <c r="AS29" i="56"/>
  <c r="AT29" i="56" s="1"/>
  <c r="AU29" i="56" s="1"/>
  <c r="AS9" i="56"/>
  <c r="AT9" i="56" s="1"/>
  <c r="AU9" i="56" s="1"/>
  <c r="AS23" i="56"/>
  <c r="AT23" i="56" s="1"/>
  <c r="AU23" i="56" s="1"/>
  <c r="AS174" i="56"/>
  <c r="AT174" i="56" s="1"/>
  <c r="AU174" i="56" s="1"/>
  <c r="AS45" i="56"/>
  <c r="AT45" i="56" s="1"/>
  <c r="AU45" i="56" s="1"/>
  <c r="AS89" i="56"/>
  <c r="AT89" i="56" s="1"/>
  <c r="AU89" i="56" s="1"/>
  <c r="AS180" i="56"/>
  <c r="AT180" i="56" s="1"/>
  <c r="AU180" i="56" s="1"/>
  <c r="AS14" i="56"/>
  <c r="AT14" i="56" s="1"/>
  <c r="AU14" i="56" s="1"/>
  <c r="AS24" i="56"/>
  <c r="AT24" i="56" s="1"/>
  <c r="AU24" i="56" s="1"/>
  <c r="AS25" i="56"/>
  <c r="AT25" i="56" s="1"/>
  <c r="AU25" i="56" s="1"/>
  <c r="AS15" i="56"/>
  <c r="AT15" i="56" s="1"/>
  <c r="AU15" i="56" s="1"/>
  <c r="AS22" i="56"/>
  <c r="AT22" i="56" s="1"/>
  <c r="AU22" i="56" s="1"/>
  <c r="AS32" i="56"/>
  <c r="AT32" i="56" s="1"/>
  <c r="AU32" i="56" s="1"/>
  <c r="AS13" i="56"/>
  <c r="AT13" i="56" s="1"/>
  <c r="AU13" i="56" s="1"/>
  <c r="AS203" i="56"/>
  <c r="AT203" i="56" s="1"/>
  <c r="AU203" i="56" s="1"/>
  <c r="AS20" i="56"/>
  <c r="AT20" i="56" s="1"/>
  <c r="AU20" i="56" s="1"/>
  <c r="Q1479" i="29" l="1"/>
  <c r="AL1478" i="29"/>
  <c r="L31" i="18"/>
  <c r="AC31" i="18"/>
  <c r="AT31" i="18"/>
  <c r="AV31" i="18"/>
  <c r="L33" i="18"/>
  <c r="AC33" i="18"/>
  <c r="AT33" i="18"/>
  <c r="AV33" i="18"/>
  <c r="AK1470" i="29"/>
  <c r="Q1462" i="29"/>
  <c r="AA1474" i="29"/>
  <c r="L1474" i="29"/>
  <c r="AA1476" i="29"/>
  <c r="Q1476" i="29" s="1"/>
  <c r="L1476" i="29"/>
  <c r="L1470" i="29"/>
  <c r="AE26" i="1"/>
  <c r="BB26" i="1"/>
  <c r="BC26" i="1"/>
  <c r="AA1473" i="29"/>
  <c r="AA1472" i="29"/>
  <c r="Q1472" i="29" s="1"/>
  <c r="L1473" i="29"/>
  <c r="L1472" i="29"/>
  <c r="AA1468" i="29"/>
  <c r="Q1468" i="29" s="1"/>
  <c r="L1469" i="29"/>
  <c r="L1468" i="29"/>
  <c r="AK1466" i="29"/>
  <c r="AL1479" i="29" l="1"/>
  <c r="Q1473" i="29"/>
  <c r="AL1473" i="29" s="1"/>
  <c r="AL1476" i="29"/>
  <c r="AL1468" i="29"/>
  <c r="AL1470" i="29"/>
  <c r="AL1472" i="29"/>
  <c r="Y408" i="49"/>
  <c r="P408" i="49"/>
  <c r="AA1466" i="29" l="1"/>
  <c r="L1466" i="29"/>
  <c r="Q1465" i="29"/>
  <c r="Q1467" i="29"/>
  <c r="L1467" i="29"/>
  <c r="Q1464" i="29"/>
  <c r="L1464" i="29"/>
  <c r="AA1451" i="29"/>
  <c r="L1462" i="29"/>
  <c r="L1463" i="29"/>
  <c r="V1461" i="29"/>
  <c r="AV6" i="18"/>
  <c r="AV7" i="18"/>
  <c r="AT6" i="18"/>
  <c r="AT7" i="18"/>
  <c r="AC6" i="18"/>
  <c r="AC7" i="18"/>
  <c r="Q1445" i="29"/>
  <c r="AA1443" i="29"/>
  <c r="Q1443" i="29" s="1"/>
  <c r="AA1439" i="29"/>
  <c r="Q1439" i="29" s="1"/>
  <c r="AA1399" i="29"/>
  <c r="Q1399" i="29" s="1"/>
  <c r="Q1466" i="29" l="1"/>
  <c r="L1461" i="29"/>
  <c r="BB13" i="1"/>
  <c r="L19" i="18"/>
  <c r="AC19" i="18"/>
  <c r="AV19" i="18"/>
  <c r="AL1466" i="29" l="1"/>
  <c r="AL1461" i="29"/>
  <c r="AC14" i="18"/>
  <c r="AA1435" i="29"/>
  <c r="Q1448" i="29"/>
  <c r="Q1458" i="29" l="1"/>
  <c r="Q1451" i="29"/>
  <c r="AA1459" i="29"/>
  <c r="AA1450" i="29"/>
  <c r="L1459" i="29"/>
  <c r="AA1460" i="29"/>
  <c r="L1460" i="29"/>
  <c r="Q1457" i="29"/>
  <c r="L1457" i="29"/>
  <c r="Q1205" i="29"/>
  <c r="L1465" i="29"/>
  <c r="L1458" i="29"/>
  <c r="Q1456" i="29"/>
  <c r="L1456" i="29"/>
  <c r="L1455" i="29"/>
  <c r="Q1460" i="29" l="1"/>
  <c r="Q1435" i="29"/>
  <c r="Q1447" i="29"/>
  <c r="L1447" i="29"/>
  <c r="Y397" i="49"/>
  <c r="P397" i="49"/>
  <c r="Y398" i="49"/>
  <c r="P398" i="49"/>
  <c r="Y399" i="49"/>
  <c r="P399" i="49"/>
  <c r="AK1435" i="29"/>
  <c r="L1454" i="29"/>
  <c r="L1451" i="29"/>
  <c r="L1452" i="29"/>
  <c r="L22" i="18"/>
  <c r="AC22" i="18"/>
  <c r="AV22" i="18"/>
  <c r="AA1453" i="29"/>
  <c r="L1453" i="29"/>
  <c r="Q1446" i="29"/>
  <c r="Q1444" i="29"/>
  <c r="BC16" i="1"/>
  <c r="BB16" i="1"/>
  <c r="AE16" i="1"/>
  <c r="AV5" i="18"/>
  <c r="AT5" i="18"/>
  <c r="AC5" i="18"/>
  <c r="L5" i="18"/>
  <c r="AV4" i="18"/>
  <c r="AT4" i="18"/>
  <c r="AC4" i="18"/>
  <c r="L4" i="18"/>
  <c r="AV35" i="18"/>
  <c r="AT35" i="18"/>
  <c r="AC35" i="18"/>
  <c r="L35" i="18"/>
  <c r="AL1460" i="29" l="1"/>
  <c r="AL1454" i="29"/>
  <c r="L1449" i="29"/>
  <c r="AA1446" i="29"/>
  <c r="AA1445" i="29"/>
  <c r="AA1444" i="29"/>
  <c r="L1446" i="29"/>
  <c r="L1445" i="29"/>
  <c r="L1450" i="29"/>
  <c r="L1444" i="29"/>
  <c r="AA1433" i="29" l="1"/>
  <c r="BC20" i="1"/>
  <c r="BB20" i="1"/>
  <c r="AE20" i="1"/>
  <c r="BP1448" i="29"/>
  <c r="AA1442" i="29"/>
  <c r="AA1440" i="29"/>
  <c r="AA1441" i="29"/>
  <c r="Q1442" i="29"/>
  <c r="Q1440" i="29"/>
  <c r="Q1441" i="29"/>
  <c r="L1448" i="29"/>
  <c r="L1443" i="29"/>
  <c r="L30" i="18"/>
  <c r="L1442" i="29"/>
  <c r="L1440" i="29"/>
  <c r="L1441" i="29"/>
  <c r="AV9" i="18"/>
  <c r="AC9" i="18"/>
  <c r="L1439" i="29"/>
  <c r="Q1421" i="29"/>
  <c r="AA1427" i="29"/>
  <c r="BC33" i="1"/>
  <c r="BB33" i="1"/>
  <c r="AE33" i="1"/>
  <c r="L1438" i="29"/>
  <c r="Q1437" i="29"/>
  <c r="L1437" i="29"/>
  <c r="Q1436" i="29"/>
  <c r="Q1434" i="29"/>
  <c r="Q1422" i="29"/>
  <c r="L1434" i="29"/>
  <c r="L1436" i="29"/>
  <c r="L1433" i="29"/>
  <c r="AX7" i="2"/>
  <c r="AL1435" i="29"/>
  <c r="AA1385" i="29"/>
  <c r="AA1384" i="29"/>
  <c r="AA1420" i="29"/>
  <c r="L1435" i="29"/>
  <c r="Q1427" i="29" l="1"/>
  <c r="AT1427" i="29"/>
  <c r="AU1427" i="29" s="1"/>
  <c r="AX1427" i="29" s="1"/>
  <c r="AL1443" i="29"/>
  <c r="AL1439" i="29"/>
  <c r="L13" i="18"/>
  <c r="Q1432" i="29" l="1"/>
  <c r="L1432" i="29"/>
  <c r="Q1411" i="29"/>
  <c r="AL1411" i="29" s="1"/>
  <c r="Q1412" i="29"/>
  <c r="Q1418" i="29"/>
  <c r="AL1418" i="29" s="1"/>
  <c r="Q1415" i="29"/>
  <c r="AL1415" i="29" s="1"/>
  <c r="Q1414" i="29"/>
  <c r="AL1414" i="29" s="1"/>
  <c r="Q1417" i="29"/>
  <c r="AL1417" i="29" s="1"/>
  <c r="Q1416" i="29"/>
  <c r="AL1416" i="29" s="1"/>
  <c r="Q1430" i="29" l="1"/>
  <c r="Q1429" i="29"/>
  <c r="Q1426" i="29"/>
  <c r="L1421" i="29"/>
  <c r="BC17" i="1"/>
  <c r="BB17" i="1"/>
  <c r="AE17" i="1"/>
  <c r="AF6" i="2"/>
  <c r="AD6" i="2"/>
  <c r="L1428" i="29" l="1"/>
  <c r="L1430" i="29"/>
  <c r="L1431" i="29"/>
  <c r="L1429" i="29"/>
  <c r="L1426" i="29" l="1"/>
  <c r="AA1426" i="29"/>
  <c r="L1427" i="29"/>
  <c r="AL1422" i="29"/>
  <c r="V1427" i="29"/>
  <c r="S1385" i="29"/>
  <c r="S1384" i="29"/>
  <c r="AL1427" i="29"/>
  <c r="AJ1424" i="29"/>
  <c r="V1425" i="29"/>
  <c r="L1422" i="29"/>
  <c r="AA1424" i="29"/>
  <c r="Q1424" i="29" s="1"/>
  <c r="L1424" i="29"/>
  <c r="AA1425" i="29"/>
  <c r="Q1425" i="29" s="1"/>
  <c r="L1425" i="29"/>
  <c r="Q1423" i="29"/>
  <c r="L1423" i="29"/>
  <c r="Q1419" i="29"/>
  <c r="L1419" i="29"/>
  <c r="Q1370" i="29"/>
  <c r="AL1425" i="29" l="1"/>
  <c r="AL1424" i="29"/>
  <c r="L1412" i="29"/>
  <c r="L1420" i="29" l="1"/>
  <c r="AA1416" i="29"/>
  <c r="AA1417" i="29"/>
  <c r="AA1414" i="29"/>
  <c r="AA1415" i="29"/>
  <c r="AA1418" i="29"/>
  <c r="AA1411" i="29"/>
  <c r="L1418" i="29"/>
  <c r="L1415" i="29"/>
  <c r="L1414" i="29"/>
  <c r="L1417" i="29"/>
  <c r="L1416" i="29"/>
  <c r="AA1410" i="29"/>
  <c r="L1400" i="29"/>
  <c r="L1413" i="29"/>
  <c r="L1409" i="29"/>
  <c r="L1411" i="29"/>
  <c r="Q1401" i="29"/>
  <c r="Q1409" i="29"/>
  <c r="AT32" i="18"/>
  <c r="AA1398" i="29"/>
  <c r="Q1407" i="29"/>
  <c r="AL1407" i="29" s="1"/>
  <c r="Q1403" i="29"/>
  <c r="AL1403" i="29" s="1"/>
  <c r="Q1405" i="29"/>
  <c r="AL1405" i="29" s="1"/>
  <c r="Q1406" i="29"/>
  <c r="AL1406" i="29" s="1"/>
  <c r="Q1402" i="29"/>
  <c r="AL1402" i="29" s="1"/>
  <c r="Q1408" i="29"/>
  <c r="AL1408" i="29" s="1"/>
  <c r="S1398" i="29"/>
  <c r="Q1400" i="29"/>
  <c r="AL1400" i="29" s="1"/>
  <c r="Y402" i="49"/>
  <c r="P402" i="49"/>
  <c r="Y396" i="49"/>
  <c r="P396" i="49"/>
  <c r="L1410" i="29"/>
  <c r="AA1406" i="29"/>
  <c r="AA1405" i="29"/>
  <c r="AA1407" i="29"/>
  <c r="AA1408" i="29"/>
  <c r="AA1402" i="29"/>
  <c r="AA1403" i="29"/>
  <c r="L1407" i="29"/>
  <c r="L1405" i="29"/>
  <c r="L1406" i="29"/>
  <c r="L1408" i="29"/>
  <c r="L1403" i="29"/>
  <c r="L1402" i="29"/>
  <c r="Q1410" i="29" l="1"/>
  <c r="AT1410" i="29"/>
  <c r="AU1410" i="29" s="1"/>
  <c r="AX1410" i="29" s="1"/>
  <c r="BC13" i="1"/>
  <c r="AE13" i="1"/>
  <c r="BC9" i="1"/>
  <c r="BB9" i="1"/>
  <c r="AE9" i="1"/>
  <c r="BC30" i="1"/>
  <c r="BB30" i="1"/>
  <c r="AE30" i="1"/>
  <c r="BC18" i="1"/>
  <c r="BB18" i="1"/>
  <c r="AE18" i="1"/>
  <c r="AA1404" i="29"/>
  <c r="Q1404" i="29" s="1"/>
  <c r="AS1404" i="29"/>
  <c r="L1404" i="29"/>
  <c r="L1401" i="29"/>
  <c r="AA1394" i="29"/>
  <c r="AA1395" i="29"/>
  <c r="AA1393" i="29"/>
  <c r="AA1389" i="29"/>
  <c r="L1399" i="29"/>
  <c r="AL1410" i="29" l="1"/>
  <c r="AT1404" i="29"/>
  <c r="AU1404" i="29" s="1"/>
  <c r="AX1404" i="29" s="1"/>
  <c r="AL1404" i="29"/>
  <c r="Q1395" i="29"/>
  <c r="AL1395" i="29" s="1"/>
  <c r="Q1394" i="29"/>
  <c r="AL1394" i="29" s="1"/>
  <c r="Q1393" i="29"/>
  <c r="AL1393" i="29" s="1"/>
  <c r="Q1389" i="29"/>
  <c r="Q1398" i="29"/>
  <c r="AL1399" i="29" l="1"/>
  <c r="BR1398" i="29"/>
  <c r="Y395" i="49"/>
  <c r="Q1397" i="29" l="1"/>
  <c r="L1397" i="29"/>
  <c r="L1398" i="29" l="1"/>
  <c r="Y99" i="49"/>
  <c r="P99" i="49"/>
  <c r="Y98" i="49"/>
  <c r="P98" i="49"/>
  <c r="Q1392" i="29"/>
  <c r="AA1392" i="29"/>
  <c r="AA1391" i="29"/>
  <c r="AA1158" i="29"/>
  <c r="AL1158" i="29"/>
  <c r="AA1386" i="29"/>
  <c r="Q1391" i="29"/>
  <c r="L1392" i="29"/>
  <c r="L1395" i="29"/>
  <c r="L1394" i="29"/>
  <c r="L1393" i="29"/>
  <c r="L1389" i="29"/>
  <c r="L1396" i="29"/>
  <c r="BC6" i="1"/>
  <c r="BB6" i="1"/>
  <c r="AE6" i="1"/>
  <c r="AL1392" i="29" l="1"/>
  <c r="AL1391" i="29"/>
  <c r="Q1390" i="29"/>
  <c r="L1390" i="29"/>
  <c r="L1391" i="29"/>
  <c r="BS1387" i="29" l="1"/>
  <c r="BR1387" i="29"/>
  <c r="BN1387" i="29"/>
  <c r="Q1387" i="29"/>
  <c r="Q1388" i="29"/>
  <c r="Q1381" i="29"/>
  <c r="Q1384" i="29"/>
  <c r="Q1385" i="29"/>
  <c r="Q1383" i="29"/>
  <c r="L1387" i="29"/>
  <c r="L1388" i="29"/>
  <c r="Q1386" i="29"/>
  <c r="AS1386" i="29"/>
  <c r="AT1386" i="29" s="1"/>
  <c r="AU1386" i="29" s="1"/>
  <c r="L1386" i="29"/>
  <c r="AL1383" i="29" l="1"/>
  <c r="AL1386" i="29"/>
  <c r="AL1385" i="29"/>
  <c r="AL1384" i="29"/>
  <c r="AA1383" i="29"/>
  <c r="L1383" i="29"/>
  <c r="L1385" i="29"/>
  <c r="L1384" i="29"/>
  <c r="L1381" i="29"/>
  <c r="AA1382" i="29" l="1"/>
  <c r="Q1382" i="29" s="1"/>
  <c r="L1382" i="29"/>
  <c r="Q1342" i="29"/>
  <c r="Q1361" i="29"/>
  <c r="Q1360" i="29"/>
  <c r="Q1373" i="29"/>
  <c r="Q1358" i="29"/>
  <c r="Q1357" i="29"/>
  <c r="Q1374" i="29"/>
  <c r="AV3" i="18"/>
  <c r="AV8" i="18"/>
  <c r="AV11" i="18"/>
  <c r="AT3" i="18"/>
  <c r="AT8" i="18"/>
  <c r="AT11" i="18"/>
  <c r="AC3" i="18"/>
  <c r="AC8" i="18"/>
  <c r="AC11" i="18"/>
  <c r="L3" i="18"/>
  <c r="L8" i="18"/>
  <c r="L11" i="18"/>
  <c r="Q1320" i="29"/>
  <c r="Q1359" i="29"/>
  <c r="Q1345" i="29"/>
  <c r="Q1334" i="29"/>
  <c r="Q1313" i="29"/>
  <c r="Q1332" i="29"/>
  <c r="Q1368" i="29"/>
  <c r="Q1328" i="29"/>
  <c r="Q1306" i="29"/>
  <c r="AA1326" i="29"/>
  <c r="Q1326" i="29" s="1"/>
  <c r="BC31" i="1"/>
  <c r="BB31" i="1"/>
  <c r="AE31" i="1"/>
  <c r="BC10" i="1"/>
  <c r="BB10" i="1"/>
  <c r="AE10" i="1"/>
  <c r="AL1357" i="29" l="1"/>
  <c r="AL1306" i="29"/>
  <c r="AL1328" i="29"/>
  <c r="AL1368" i="29"/>
  <c r="AL1332" i="29"/>
  <c r="AL1334" i="29"/>
  <c r="AL1382" i="29"/>
  <c r="AL1313" i="29"/>
  <c r="AL1345" i="29"/>
  <c r="AL1359" i="29"/>
  <c r="AA1376" i="29"/>
  <c r="AA1374" i="29"/>
  <c r="AA1360" i="29"/>
  <c r="AA1359" i="29"/>
  <c r="AA1356" i="29"/>
  <c r="AA1361" i="29"/>
  <c r="Q1379" i="29"/>
  <c r="Q1371" i="29"/>
  <c r="AL1374" i="29"/>
  <c r="AL1373" i="29"/>
  <c r="S1369" i="29"/>
  <c r="Q1369" i="29" s="1"/>
  <c r="S1376" i="29"/>
  <c r="S1372" i="29"/>
  <c r="Q1378" i="29"/>
  <c r="Q1354" i="29"/>
  <c r="AL1354" i="29" s="1"/>
  <c r="Q1322" i="29"/>
  <c r="AL1322" i="29" s="1"/>
  <c r="Q1317" i="29"/>
  <c r="AL1317" i="29" s="1"/>
  <c r="Q1367" i="29"/>
  <c r="AL1367" i="29" s="1"/>
  <c r="AA1321" i="29"/>
  <c r="AA1375" i="29"/>
  <c r="Q1375" i="29" s="1"/>
  <c r="L1380" i="29"/>
  <c r="Q1380" i="29"/>
  <c r="AL1378" i="29" l="1"/>
  <c r="AL1369" i="29"/>
  <c r="Q1376" i="29"/>
  <c r="Q1372" i="29"/>
  <c r="L1375" i="29"/>
  <c r="AL1375" i="29"/>
  <c r="L1377" i="29"/>
  <c r="AS1375" i="29"/>
  <c r="AT1375" i="29" s="1"/>
  <c r="AU1375" i="29" s="1"/>
  <c r="L1379" i="29"/>
  <c r="AA1373" i="29"/>
  <c r="AA1372" i="29"/>
  <c r="AA1037" i="29"/>
  <c r="AA1050" i="29"/>
  <c r="AA1363" i="29"/>
  <c r="AA1378" i="29"/>
  <c r="AA1368" i="29"/>
  <c r="AA1371" i="29"/>
  <c r="AA1370" i="29"/>
  <c r="AA1350" i="29"/>
  <c r="L1374" i="29"/>
  <c r="L1376" i="29"/>
  <c r="L1378" i="29"/>
  <c r="L1372" i="29"/>
  <c r="L1373" i="29"/>
  <c r="AA1369" i="29"/>
  <c r="AL1376" i="29" l="1"/>
  <c r="AL1372" i="29"/>
  <c r="AA1367" i="29"/>
  <c r="L1371" i="29"/>
  <c r="L1369" i="29"/>
  <c r="L1368" i="29"/>
  <c r="L1367" i="29"/>
  <c r="L1370" i="29"/>
  <c r="AA1352" i="29" l="1"/>
  <c r="Q1352" i="29" s="1"/>
  <c r="AL1352" i="29" l="1"/>
  <c r="AV20" i="18"/>
  <c r="AV29" i="18"/>
  <c r="AV16" i="18"/>
  <c r="AV25" i="18"/>
  <c r="AC20" i="18"/>
  <c r="AC29" i="18"/>
  <c r="AC16" i="18"/>
  <c r="AC25" i="18"/>
  <c r="L20" i="18"/>
  <c r="L29" i="18"/>
  <c r="L16" i="18"/>
  <c r="L25" i="18"/>
  <c r="AV24" i="18"/>
  <c r="AV14" i="18"/>
  <c r="AV28" i="18"/>
  <c r="AV21" i="18"/>
  <c r="AV27" i="18"/>
  <c r="AV26" i="18"/>
  <c r="AC15" i="18"/>
  <c r="AC24" i="18"/>
  <c r="AC28" i="18"/>
  <c r="AC21" i="18"/>
  <c r="AC27" i="18"/>
  <c r="AC26" i="18"/>
  <c r="L15" i="18"/>
  <c r="L24" i="18"/>
  <c r="L14" i="18"/>
  <c r="L28" i="18"/>
  <c r="L21" i="18"/>
  <c r="L27" i="18"/>
  <c r="L26" i="18"/>
  <c r="Q1350" i="29" l="1"/>
  <c r="Q1363" i="29"/>
  <c r="Q1366" i="29"/>
  <c r="L1348" i="29"/>
  <c r="L1364" i="29"/>
  <c r="Q1364" i="29"/>
  <c r="Q1365" i="29"/>
  <c r="Q1355" i="29"/>
  <c r="AL1355" i="29" s="1"/>
  <c r="AL1358" i="29"/>
  <c r="Q1356" i="29"/>
  <c r="AL1360" i="29"/>
  <c r="AL1361" i="29"/>
  <c r="AA1354" i="29"/>
  <c r="AA1355" i="29"/>
  <c r="AA1358" i="29"/>
  <c r="AA1357" i="29"/>
  <c r="AA1362" i="29"/>
  <c r="AL1356" i="29" l="1"/>
  <c r="L1365" i="29"/>
  <c r="L1366" i="29"/>
  <c r="L1363" i="29"/>
  <c r="L1361" i="29" l="1"/>
  <c r="L1360" i="29"/>
  <c r="L1359" i="29"/>
  <c r="L1356" i="29"/>
  <c r="L1362" i="29"/>
  <c r="L1358" i="29"/>
  <c r="L1357" i="29"/>
  <c r="L1355" i="29"/>
  <c r="L1354" i="29"/>
  <c r="Q1340" i="29"/>
  <c r="L1340" i="29"/>
  <c r="AK1353" i="29"/>
  <c r="AJ1353" i="29"/>
  <c r="Q1325" i="29"/>
  <c r="Q1344" i="29"/>
  <c r="L1344" i="29"/>
  <c r="AA1353" i="29"/>
  <c r="Q1353" i="29" s="1"/>
  <c r="L1353" i="29"/>
  <c r="Q1324" i="29"/>
  <c r="L1324" i="29"/>
  <c r="AA1327" i="29"/>
  <c r="Q1327" i="29" s="1"/>
  <c r="L1350" i="29"/>
  <c r="AA1351" i="29"/>
  <c r="AL1351" i="29"/>
  <c r="BC8" i="1"/>
  <c r="BB8" i="1"/>
  <c r="AE8" i="1"/>
  <c r="AL1325" i="29" l="1"/>
  <c r="AL1353" i="29"/>
  <c r="L1351" i="29"/>
  <c r="L1352" i="29"/>
  <c r="L1347" i="29"/>
  <c r="AA1349" i="29"/>
  <c r="Q1349" i="29" s="1"/>
  <c r="AS1349" i="29"/>
  <c r="L1349" i="29"/>
  <c r="AA1325" i="29"/>
  <c r="Q1346" i="29"/>
  <c r="Q1331" i="29"/>
  <c r="Q1335" i="29"/>
  <c r="Q1336" i="29"/>
  <c r="Q1330" i="29"/>
  <c r="Q1333" i="29"/>
  <c r="Q1329" i="29"/>
  <c r="AA1336" i="29"/>
  <c r="AA1335" i="29"/>
  <c r="AA1334" i="29"/>
  <c r="AA1331" i="29"/>
  <c r="AA1330" i="29"/>
  <c r="AA1329" i="29"/>
  <c r="AA1328" i="29"/>
  <c r="AA1333" i="29"/>
  <c r="AA1332" i="29"/>
  <c r="AA1346" i="29"/>
  <c r="AA1345" i="29"/>
  <c r="L1346" i="29"/>
  <c r="L1345" i="29"/>
  <c r="AA1343" i="29"/>
  <c r="AS1343" i="29"/>
  <c r="L1343" i="29"/>
  <c r="AA1281" i="29"/>
  <c r="Q1321" i="29"/>
  <c r="L1342" i="29"/>
  <c r="L1341" i="29"/>
  <c r="AT1343" i="29" l="1"/>
  <c r="AU1343" i="29" s="1"/>
  <c r="AX1343" i="29" s="1"/>
  <c r="AT1349" i="29"/>
  <c r="AU1349" i="29" s="1"/>
  <c r="AX1349" i="29" s="1"/>
  <c r="AL1333" i="29"/>
  <c r="AL1330" i="29"/>
  <c r="AL1336" i="29"/>
  <c r="AL1335" i="29"/>
  <c r="AL1331" i="29"/>
  <c r="AL1346" i="29"/>
  <c r="AL1321" i="29"/>
  <c r="AL1329" i="29"/>
  <c r="Q1343" i="29"/>
  <c r="AL1349" i="29"/>
  <c r="L1328" i="29"/>
  <c r="L1329" i="29"/>
  <c r="L1330" i="29"/>
  <c r="L1331" i="29"/>
  <c r="L1334" i="29"/>
  <c r="L1335" i="29"/>
  <c r="L1336" i="29"/>
  <c r="L1333" i="29"/>
  <c r="L1332" i="29"/>
  <c r="AA1339" i="29"/>
  <c r="Q1339" i="29" s="1"/>
  <c r="AA1338" i="29"/>
  <c r="AA1337" i="29"/>
  <c r="L1339" i="29"/>
  <c r="L1338" i="29"/>
  <c r="L1337" i="29"/>
  <c r="AS1326" i="29"/>
  <c r="AT1326" i="29" s="1"/>
  <c r="AU1326" i="29" s="1"/>
  <c r="AX1326" i="29" s="1"/>
  <c r="AL1326" i="29"/>
  <c r="L1327" i="29"/>
  <c r="L1326" i="29"/>
  <c r="L1325" i="29"/>
  <c r="AL1343" i="29" l="1"/>
  <c r="AL1339" i="29"/>
  <c r="Q1338" i="29"/>
  <c r="AL1338" i="29" s="1"/>
  <c r="Q1337" i="29"/>
  <c r="AL1327" i="29"/>
  <c r="Y394" i="49"/>
  <c r="P394" i="49"/>
  <c r="Y392" i="49"/>
  <c r="P392" i="49"/>
  <c r="AS1309" i="29"/>
  <c r="AS1308" i="29"/>
  <c r="AS1311" i="29"/>
  <c r="AS1310" i="29"/>
  <c r="Q1319" i="29"/>
  <c r="L1319" i="29"/>
  <c r="Q1305" i="29"/>
  <c r="L1320" i="29"/>
  <c r="AS1323" i="29"/>
  <c r="AA1323" i="29"/>
  <c r="L1323" i="29"/>
  <c r="AS1321" i="29"/>
  <c r="AT1321" i="29" s="1"/>
  <c r="AU1321" i="29" s="1"/>
  <c r="AX1321" i="29" s="1"/>
  <c r="L1321" i="29"/>
  <c r="AA1313" i="29"/>
  <c r="L1313" i="29"/>
  <c r="L18" i="18"/>
  <c r="L32" i="18"/>
  <c r="L12" i="18"/>
  <c r="L17" i="18"/>
  <c r="L10" i="18"/>
  <c r="L23" i="18"/>
  <c r="L34" i="18"/>
  <c r="L1322" i="29"/>
  <c r="AA1311" i="29"/>
  <c r="AT1311" i="29" l="1"/>
  <c r="AU1311" i="29" s="1"/>
  <c r="AX1311" i="29" s="1"/>
  <c r="AT1323" i="29"/>
  <c r="AU1323" i="29" s="1"/>
  <c r="AX1323" i="29" s="1"/>
  <c r="AL1337" i="29"/>
  <c r="Q1323" i="29"/>
  <c r="L1314" i="29"/>
  <c r="AL1323" i="29" l="1"/>
  <c r="BP1316" i="29"/>
  <c r="V1316" i="29"/>
  <c r="AA1318" i="29"/>
  <c r="L1318" i="29"/>
  <c r="L1317" i="29"/>
  <c r="Q1318" i="29" l="1"/>
  <c r="AA1316" i="29"/>
  <c r="Q1316" i="29" s="1"/>
  <c r="AS1316" i="29"/>
  <c r="L1316" i="29"/>
  <c r="AT1316" i="29" l="1"/>
  <c r="AU1316" i="29" s="1"/>
  <c r="AX1316" i="29" s="1"/>
  <c r="AL1316" i="29"/>
  <c r="AL1318" i="29"/>
  <c r="Y390" i="49"/>
  <c r="Y391" i="49"/>
  <c r="P390" i="49"/>
  <c r="P391" i="49"/>
  <c r="Y389" i="49"/>
  <c r="P389" i="49"/>
  <c r="Y388" i="49" l="1"/>
  <c r="P388" i="49"/>
  <c r="P386" i="49"/>
  <c r="P387" i="49"/>
  <c r="Y386" i="49"/>
  <c r="Y387" i="49"/>
  <c r="P382" i="49"/>
  <c r="P383" i="49"/>
  <c r="P384" i="49"/>
  <c r="P385" i="49"/>
  <c r="Y382" i="49"/>
  <c r="Y383" i="49"/>
  <c r="Y384" i="49"/>
  <c r="Y385" i="49"/>
  <c r="Y381" i="49"/>
  <c r="P381" i="49"/>
  <c r="AA1315" i="29"/>
  <c r="Q1315" i="29" s="1"/>
  <c r="L1315" i="29"/>
  <c r="L1312" i="29"/>
  <c r="AL1315" i="29" l="1"/>
  <c r="Y380" i="49"/>
  <c r="P380" i="49"/>
  <c r="Y379" i="49"/>
  <c r="P379" i="49"/>
  <c r="Y378" i="49"/>
  <c r="P378" i="49"/>
  <c r="Y377" i="49"/>
  <c r="P377" i="49"/>
  <c r="Y376" i="49"/>
  <c r="P376" i="49"/>
  <c r="Y375" i="49"/>
  <c r="P375" i="49"/>
  <c r="Y374" i="49"/>
  <c r="P374" i="49"/>
  <c r="Y373" i="49"/>
  <c r="P373" i="49"/>
  <c r="P372" i="49"/>
  <c r="Y372" i="49"/>
  <c r="AV125" i="55" l="1"/>
  <c r="Q1159" i="29" l="1"/>
  <c r="Y371" i="49" l="1"/>
  <c r="P371" i="49"/>
  <c r="Y370" i="49"/>
  <c r="P370" i="49"/>
  <c r="Y369" i="49"/>
  <c r="P369" i="49"/>
  <c r="AA1304" i="29"/>
  <c r="Q1304" i="29" l="1"/>
  <c r="AT1304" i="29"/>
  <c r="AU1304" i="29" s="1"/>
  <c r="AX1304" i="29" s="1"/>
  <c r="AA1309" i="29"/>
  <c r="AA1308" i="29"/>
  <c r="L1309" i="29"/>
  <c r="L1308" i="29"/>
  <c r="Q1309" i="29" l="1"/>
  <c r="AL1309" i="29" s="1"/>
  <c r="AT1309" i="29"/>
  <c r="AU1309" i="29" s="1"/>
  <c r="AX1309" i="29" s="1"/>
  <c r="Q1308" i="29"/>
  <c r="AL1308" i="29" s="1"/>
  <c r="AT1308" i="29"/>
  <c r="AU1308" i="29" s="1"/>
  <c r="AX1308" i="29" s="1"/>
  <c r="Q1311" i="29"/>
  <c r="L1311" i="29"/>
  <c r="AA1310" i="29"/>
  <c r="L1310" i="29"/>
  <c r="Y365" i="49"/>
  <c r="P365" i="49"/>
  <c r="Y366" i="49"/>
  <c r="P366" i="49"/>
  <c r="BS1307" i="29"/>
  <c r="BR1307" i="29"/>
  <c r="AA1239" i="29"/>
  <c r="Q1289" i="29"/>
  <c r="Q1290" i="29"/>
  <c r="Q1310" i="29" l="1"/>
  <c r="AT1310" i="29"/>
  <c r="AU1310" i="29" s="1"/>
  <c r="AX1310" i="29" s="1"/>
  <c r="AL1311" i="29"/>
  <c r="AA1287" i="29"/>
  <c r="AA1295" i="29"/>
  <c r="Q1295" i="29" s="1"/>
  <c r="AA1292" i="29"/>
  <c r="Q1292" i="29" s="1"/>
  <c r="AA1294" i="29"/>
  <c r="Q1294" i="29" s="1"/>
  <c r="AL1310" i="29" l="1"/>
  <c r="Q1287" i="29"/>
  <c r="AT1287" i="29"/>
  <c r="AU1287" i="29" s="1"/>
  <c r="Q1307" i="29"/>
  <c r="L1307" i="29"/>
  <c r="AT13" i="18" l="1"/>
  <c r="L1305" i="29"/>
  <c r="AA1303" i="29"/>
  <c r="AL1303" i="29"/>
  <c r="AA1306" i="29"/>
  <c r="AL1304" i="29" l="1"/>
  <c r="Y368" i="49"/>
  <c r="Y367" i="49"/>
  <c r="L1304" i="29"/>
  <c r="L1306" i="29"/>
  <c r="L1303" i="29"/>
  <c r="L1296" i="29"/>
  <c r="L1297" i="29"/>
  <c r="L1298" i="29"/>
  <c r="L1299" i="29"/>
  <c r="L1300" i="29"/>
  <c r="L1301" i="29"/>
  <c r="L1302" i="29"/>
  <c r="L1291" i="29"/>
  <c r="L1293" i="29"/>
  <c r="AA1293" i="29"/>
  <c r="Q1293" i="29" s="1"/>
  <c r="AL1294" i="29"/>
  <c r="AL1295" i="29"/>
  <c r="AL1292" i="29"/>
  <c r="L1295" i="29"/>
  <c r="AS1295" i="29"/>
  <c r="AT1295" i="29" s="1"/>
  <c r="AU1295" i="29" s="1"/>
  <c r="AX1295" i="29" s="1"/>
  <c r="L1294" i="29"/>
  <c r="AS1294" i="29"/>
  <c r="AT1294" i="29" s="1"/>
  <c r="AU1294" i="29" s="1"/>
  <c r="AX1294" i="29" s="1"/>
  <c r="L1292" i="29"/>
  <c r="Y363" i="49"/>
  <c r="Y364" i="49"/>
  <c r="P363" i="49"/>
  <c r="P364" i="49"/>
  <c r="Y359" i="49"/>
  <c r="Y360" i="49"/>
  <c r="Y361" i="49"/>
  <c r="Y362" i="49"/>
  <c r="P359" i="49"/>
  <c r="P360" i="49"/>
  <c r="P361" i="49"/>
  <c r="P362" i="49"/>
  <c r="Y358" i="49"/>
  <c r="P358" i="49"/>
  <c r="Y357" i="49"/>
  <c r="P357" i="49"/>
  <c r="Y356" i="49"/>
  <c r="P356" i="49"/>
  <c r="L407" i="29"/>
  <c r="Q407" i="29"/>
  <c r="L440" i="29"/>
  <c r="Q440" i="29"/>
  <c r="L455" i="29"/>
  <c r="Q455" i="29"/>
  <c r="L530" i="29"/>
  <c r="Q530" i="29"/>
  <c r="L552" i="29"/>
  <c r="Q552" i="29"/>
  <c r="L567" i="29"/>
  <c r="Q567" i="29"/>
  <c r="L568" i="29"/>
  <c r="Q568" i="29"/>
  <c r="L575" i="29"/>
  <c r="Q575" i="29"/>
  <c r="L842" i="29"/>
  <c r="Q842" i="29"/>
  <c r="L844" i="29"/>
  <c r="Q844" i="29"/>
  <c r="L848" i="29"/>
  <c r="Q848" i="29"/>
  <c r="L903" i="29"/>
  <c r="Q903" i="29"/>
  <c r="L1087" i="29"/>
  <c r="Q1087" i="29"/>
  <c r="L1285" i="29"/>
  <c r="Q1285" i="29"/>
  <c r="L949" i="29"/>
  <c r="Q949" i="29"/>
  <c r="L106" i="29"/>
  <c r="Q106" i="29"/>
  <c r="L334" i="29"/>
  <c r="Q334" i="29"/>
  <c r="L347" i="29"/>
  <c r="Q347" i="29"/>
  <c r="L359" i="29"/>
  <c r="Q359" i="29"/>
  <c r="L652" i="29"/>
  <c r="O652" i="29"/>
  <c r="L702" i="29"/>
  <c r="Q702" i="29"/>
  <c r="L1039" i="29"/>
  <c r="Q1039" i="29"/>
  <c r="L1038" i="29"/>
  <c r="Q1038" i="29"/>
  <c r="L1123" i="29"/>
  <c r="Q1123" i="29"/>
  <c r="L1243" i="29"/>
  <c r="Q1243" i="29"/>
  <c r="BP1243" i="29"/>
  <c r="BQ1243" i="29"/>
  <c r="L1205" i="29"/>
  <c r="L48" i="29"/>
  <c r="L58" i="29"/>
  <c r="L75" i="29"/>
  <c r="L80" i="29"/>
  <c r="L98" i="29"/>
  <c r="Q98" i="29"/>
  <c r="AA98" i="29"/>
  <c r="L172" i="29"/>
  <c r="Q172" i="29"/>
  <c r="L176" i="29"/>
  <c r="L178" i="29"/>
  <c r="Q178" i="29"/>
  <c r="L214" i="29"/>
  <c r="L229" i="29"/>
  <c r="L230" i="29"/>
  <c r="L231" i="29"/>
  <c r="L233" i="29"/>
  <c r="L243" i="29"/>
  <c r="L244" i="29"/>
  <c r="L311" i="29"/>
  <c r="Q311" i="29"/>
  <c r="L350" i="29"/>
  <c r="O350" i="29"/>
  <c r="L370" i="29"/>
  <c r="L392" i="29"/>
  <c r="AA392" i="29"/>
  <c r="L393" i="29"/>
  <c r="AA393" i="29"/>
  <c r="L397" i="29"/>
  <c r="Q397" i="29"/>
  <c r="AA397" i="29"/>
  <c r="L435" i="29"/>
  <c r="O435" i="29"/>
  <c r="L472" i="29"/>
  <c r="O472" i="29"/>
  <c r="L487" i="29"/>
  <c r="O487" i="29"/>
  <c r="L515" i="29"/>
  <c r="O515" i="29"/>
  <c r="L535" i="29"/>
  <c r="L606" i="29"/>
  <c r="Q606" i="29"/>
  <c r="L627" i="29"/>
  <c r="Q627" i="29"/>
  <c r="L656" i="29"/>
  <c r="Q656" i="29"/>
  <c r="L739" i="29"/>
  <c r="O739" i="29"/>
  <c r="L768" i="29"/>
  <c r="L794" i="29"/>
  <c r="AA794" i="29"/>
  <c r="L808" i="29"/>
  <c r="AA808" i="29"/>
  <c r="L1194" i="29"/>
  <c r="L1272" i="29"/>
  <c r="L1273" i="29"/>
  <c r="L1271" i="29"/>
  <c r="Q1271" i="29"/>
  <c r="L906" i="29"/>
  <c r="Q906" i="29"/>
  <c r="L1101" i="29"/>
  <c r="Q1101" i="29"/>
  <c r="L1108" i="29"/>
  <c r="Q1108" i="29"/>
  <c r="AL1108" i="29" s="1"/>
  <c r="L521" i="29"/>
  <c r="S521" i="29"/>
  <c r="Q521" i="29" s="1"/>
  <c r="L547" i="29"/>
  <c r="O547" i="29"/>
  <c r="Q547" i="29"/>
  <c r="L1082" i="29"/>
  <c r="Q1082" i="29"/>
  <c r="L1086" i="29"/>
  <c r="Q1086" i="29"/>
  <c r="L511" i="29"/>
  <c r="Q511" i="29"/>
  <c r="L544" i="29"/>
  <c r="L508" i="29"/>
  <c r="O508" i="29"/>
  <c r="Q508" i="29"/>
  <c r="L537" i="29"/>
  <c r="O537" i="29"/>
  <c r="L536" i="29"/>
  <c r="O536" i="29"/>
  <c r="Q536" i="29"/>
  <c r="L1192" i="29"/>
  <c r="Q1192" i="29"/>
  <c r="L1204" i="29"/>
  <c r="L1248" i="29"/>
  <c r="Q1248" i="29"/>
  <c r="L430" i="29"/>
  <c r="O430" i="29"/>
  <c r="Q430" i="29"/>
  <c r="L821" i="29"/>
  <c r="Q821" i="29"/>
  <c r="L1013" i="29"/>
  <c r="Q1013" i="29"/>
  <c r="L734" i="29"/>
  <c r="Q734" i="29"/>
  <c r="AA734" i="29"/>
  <c r="L444" i="29"/>
  <c r="Q444" i="29"/>
  <c r="L672" i="29"/>
  <c r="Q672" i="29"/>
  <c r="L917" i="29"/>
  <c r="Q917" i="29"/>
  <c r="L933" i="29"/>
  <c r="Q933" i="29"/>
  <c r="L1043" i="29"/>
  <c r="U1043" i="29"/>
  <c r="Q1043" i="29" s="1"/>
  <c r="L1048" i="29"/>
  <c r="Q1048" i="29"/>
  <c r="L1127" i="29"/>
  <c r="Q1127" i="29"/>
  <c r="AL1127" i="29" s="1"/>
  <c r="L1166" i="29"/>
  <c r="Q1166" i="29"/>
  <c r="L3" i="55"/>
  <c r="AA3" i="55"/>
  <c r="Q3" i="55" s="1"/>
  <c r="AS3" i="55"/>
  <c r="AT3" i="55" s="1"/>
  <c r="AU3" i="55" s="1"/>
  <c r="AA4" i="55"/>
  <c r="Q4" i="55" s="1"/>
  <c r="AS4" i="55"/>
  <c r="AT4" i="55" s="1"/>
  <c r="AU4" i="55" s="1"/>
  <c r="L5" i="55"/>
  <c r="AA5" i="55"/>
  <c r="Q5" i="55" s="1"/>
  <c r="AS5" i="55"/>
  <c r="AT5" i="55" s="1"/>
  <c r="AU5" i="55" s="1"/>
  <c r="L6" i="55"/>
  <c r="AA6" i="55"/>
  <c r="Q6" i="55" s="1"/>
  <c r="AS6" i="55"/>
  <c r="AT6" i="55" s="1"/>
  <c r="AU6" i="55" s="1"/>
  <c r="L72" i="55"/>
  <c r="AA72" i="55"/>
  <c r="Q72" i="55" s="1"/>
  <c r="AS72" i="55"/>
  <c r="AT72" i="55" s="1"/>
  <c r="AU72" i="55" s="1"/>
  <c r="L8" i="55"/>
  <c r="AA8" i="55"/>
  <c r="Q8" i="55" s="1"/>
  <c r="AS8" i="55"/>
  <c r="AT8" i="55" s="1"/>
  <c r="AU8" i="55" s="1"/>
  <c r="L10" i="55"/>
  <c r="AA10" i="55"/>
  <c r="Q10" i="55" s="1"/>
  <c r="AS10" i="55"/>
  <c r="AT10" i="55" s="1"/>
  <c r="AU10" i="55" s="1"/>
  <c r="L9" i="55"/>
  <c r="AA9" i="55"/>
  <c r="Q9" i="55" s="1"/>
  <c r="AS9" i="55"/>
  <c r="AT9" i="55" s="1"/>
  <c r="AU9" i="55" s="1"/>
  <c r="L69" i="55"/>
  <c r="V69" i="55"/>
  <c r="AA69" i="55"/>
  <c r="Q69" i="55" s="1"/>
  <c r="AS69" i="55"/>
  <c r="AT69" i="55" s="1"/>
  <c r="AU69" i="55" s="1"/>
  <c r="L12" i="55"/>
  <c r="AA12" i="55"/>
  <c r="Q12" i="55" s="1"/>
  <c r="AS12" i="55"/>
  <c r="AT12" i="55" s="1"/>
  <c r="AU12" i="55" s="1"/>
  <c r="L13" i="55"/>
  <c r="AA13" i="55"/>
  <c r="Q13" i="55" s="1"/>
  <c r="AS13" i="55"/>
  <c r="AT13" i="55" s="1"/>
  <c r="AU13" i="55" s="1"/>
  <c r="L14" i="55"/>
  <c r="X14" i="55"/>
  <c r="Z14" i="55"/>
  <c r="AS14" i="55"/>
  <c r="AT14" i="55" s="1"/>
  <c r="AU14" i="55" s="1"/>
  <c r="L15" i="55"/>
  <c r="X15" i="55"/>
  <c r="Z15" i="55"/>
  <c r="AS15" i="55"/>
  <c r="AT15" i="55" s="1"/>
  <c r="AU15" i="55" s="1"/>
  <c r="L123" i="55"/>
  <c r="AA123" i="55"/>
  <c r="Q123" i="55" s="1"/>
  <c r="AS123" i="55"/>
  <c r="L73" i="55"/>
  <c r="AA73" i="55"/>
  <c r="Q73" i="55" s="1"/>
  <c r="AS73" i="55"/>
  <c r="AT73" i="55" s="1"/>
  <c r="AU73" i="55" s="1"/>
  <c r="L18" i="55"/>
  <c r="AA18" i="55"/>
  <c r="Q18" i="55" s="1"/>
  <c r="AS18" i="55"/>
  <c r="AT18" i="55" s="1"/>
  <c r="AU18" i="55" s="1"/>
  <c r="L19" i="55"/>
  <c r="AA19" i="55"/>
  <c r="Q19" i="55" s="1"/>
  <c r="AS19" i="55"/>
  <c r="AT19" i="55" s="1"/>
  <c r="AU19" i="55" s="1"/>
  <c r="L20" i="55"/>
  <c r="O20" i="55"/>
  <c r="AA20" i="55"/>
  <c r="Q20" i="55" s="1"/>
  <c r="AS20" i="55"/>
  <c r="AT20" i="55" s="1"/>
  <c r="AU20" i="55" s="1"/>
  <c r="L55" i="55"/>
  <c r="AA55" i="55"/>
  <c r="Q55" i="55" s="1"/>
  <c r="AS55" i="55"/>
  <c r="AT55" i="55" s="1"/>
  <c r="AU55" i="55" s="1"/>
  <c r="L125" i="55"/>
  <c r="O125" i="55"/>
  <c r="AA125" i="55"/>
  <c r="Q125" i="55" s="1"/>
  <c r="AS125" i="55"/>
  <c r="L71" i="55"/>
  <c r="AA71" i="55"/>
  <c r="Q71" i="55" s="1"/>
  <c r="AS71" i="55"/>
  <c r="AT71" i="55" s="1"/>
  <c r="AU71" i="55" s="1"/>
  <c r="L24" i="55"/>
  <c r="O24" i="55"/>
  <c r="AA24" i="55"/>
  <c r="Q24" i="55" s="1"/>
  <c r="AS24" i="55"/>
  <c r="AT24" i="55" s="1"/>
  <c r="AU24" i="55" s="1"/>
  <c r="L25" i="55"/>
  <c r="O25" i="55"/>
  <c r="AA25" i="55"/>
  <c r="Q25" i="55" s="1"/>
  <c r="AS25" i="55"/>
  <c r="AT25" i="55" s="1"/>
  <c r="AU25" i="55" s="1"/>
  <c r="L26" i="55"/>
  <c r="O26" i="55"/>
  <c r="AA26" i="55"/>
  <c r="Q26" i="55" s="1"/>
  <c r="AS26" i="55"/>
  <c r="AT26" i="55" s="1"/>
  <c r="AU26" i="55" s="1"/>
  <c r="L27" i="55"/>
  <c r="O27" i="55"/>
  <c r="AA27" i="55"/>
  <c r="Q27" i="55" s="1"/>
  <c r="AS27" i="55"/>
  <c r="AT27" i="55" s="1"/>
  <c r="AU27" i="55" s="1"/>
  <c r="L28" i="55"/>
  <c r="O28" i="55"/>
  <c r="AA28" i="55"/>
  <c r="Q28" i="55" s="1"/>
  <c r="AS28" i="55"/>
  <c r="AT28" i="55" s="1"/>
  <c r="AU28" i="55" s="1"/>
  <c r="L29" i="55"/>
  <c r="O29" i="55"/>
  <c r="AA29" i="55"/>
  <c r="Q29" i="55" s="1"/>
  <c r="AS29" i="55"/>
  <c r="AT29" i="55" s="1"/>
  <c r="AU29" i="55" s="1"/>
  <c r="L30" i="55"/>
  <c r="O30" i="55"/>
  <c r="AA30" i="55"/>
  <c r="Q30" i="55" s="1"/>
  <c r="AS30" i="55"/>
  <c r="AT30" i="55" s="1"/>
  <c r="AU30" i="55" s="1"/>
  <c r="L31" i="55"/>
  <c r="O31" i="55"/>
  <c r="AA31" i="55"/>
  <c r="Q31" i="55" s="1"/>
  <c r="AS31" i="55"/>
  <c r="AT31" i="55" s="1"/>
  <c r="AU31" i="55" s="1"/>
  <c r="L32" i="55"/>
  <c r="O32" i="55"/>
  <c r="AA32" i="55"/>
  <c r="Q32" i="55" s="1"/>
  <c r="AS32" i="55"/>
  <c r="AT32" i="55" s="1"/>
  <c r="AU32" i="55" s="1"/>
  <c r="L33" i="55"/>
  <c r="O33" i="55"/>
  <c r="AA33" i="55"/>
  <c r="Q33" i="55" s="1"/>
  <c r="AS33" i="55"/>
  <c r="AT33" i="55" s="1"/>
  <c r="AU33" i="55" s="1"/>
  <c r="L34" i="55"/>
  <c r="AA34" i="55"/>
  <c r="Q34" i="55" s="1"/>
  <c r="AS34" i="55"/>
  <c r="AT34" i="55" s="1"/>
  <c r="AU34" i="55" s="1"/>
  <c r="L35" i="55"/>
  <c r="O35" i="55"/>
  <c r="AA35" i="55"/>
  <c r="Q35" i="55" s="1"/>
  <c r="AS35" i="55"/>
  <c r="AT35" i="55" s="1"/>
  <c r="AU35" i="55" s="1"/>
  <c r="L36" i="55"/>
  <c r="O36" i="55"/>
  <c r="AA36" i="55"/>
  <c r="Q36" i="55" s="1"/>
  <c r="AS36" i="55"/>
  <c r="AT36" i="55" s="1"/>
  <c r="AU36" i="55" s="1"/>
  <c r="L37" i="55"/>
  <c r="O37" i="55"/>
  <c r="AA37" i="55"/>
  <c r="Q37" i="55" s="1"/>
  <c r="AS37" i="55"/>
  <c r="AT37" i="55" s="1"/>
  <c r="AU37" i="55" s="1"/>
  <c r="L38" i="55"/>
  <c r="O38" i="55"/>
  <c r="AA38" i="55"/>
  <c r="Q38" i="55" s="1"/>
  <c r="AS38" i="55"/>
  <c r="AT38" i="55" s="1"/>
  <c r="AU38" i="55" s="1"/>
  <c r="L39" i="55"/>
  <c r="AA39" i="55"/>
  <c r="Q39" i="55" s="1"/>
  <c r="AS39" i="55"/>
  <c r="AT39" i="55" s="1"/>
  <c r="AU39" i="55" s="1"/>
  <c r="L40" i="55"/>
  <c r="AA40" i="55"/>
  <c r="Q40" i="55" s="1"/>
  <c r="AS40" i="55"/>
  <c r="AT40" i="55" s="1"/>
  <c r="AU40" i="55" s="1"/>
  <c r="L7" i="55"/>
  <c r="AA7" i="55"/>
  <c r="Q7" i="55" s="1"/>
  <c r="AS7" i="55"/>
  <c r="AT7" i="55" s="1"/>
  <c r="AU7" i="55" s="1"/>
  <c r="L159" i="55"/>
  <c r="AA159" i="55"/>
  <c r="Q159" i="55" s="1"/>
  <c r="AS159" i="55"/>
  <c r="AT159" i="55" s="1"/>
  <c r="AU159" i="55" s="1"/>
  <c r="L44" i="55"/>
  <c r="AA44" i="55"/>
  <c r="Q44" i="55" s="1"/>
  <c r="AS44" i="55"/>
  <c r="AT44" i="55" s="1"/>
  <c r="AU44" i="55" s="1"/>
  <c r="L43" i="55"/>
  <c r="O43" i="55"/>
  <c r="AA43" i="55"/>
  <c r="Q43" i="55" s="1"/>
  <c r="AS43" i="55"/>
  <c r="AT43" i="55" s="1"/>
  <c r="AU43" i="55" s="1"/>
  <c r="L45" i="55"/>
  <c r="AA45" i="55"/>
  <c r="Q45" i="55" s="1"/>
  <c r="AS45" i="55"/>
  <c r="AT45" i="55" s="1"/>
  <c r="AU45" i="55" s="1"/>
  <c r="L50" i="55"/>
  <c r="V50" i="55"/>
  <c r="AA50" i="55"/>
  <c r="Q50" i="55" s="1"/>
  <c r="AS50" i="55"/>
  <c r="AT50" i="55" s="1"/>
  <c r="AU50" i="55" s="1"/>
  <c r="L11" i="55"/>
  <c r="AA11" i="55"/>
  <c r="Q11" i="55" s="1"/>
  <c r="AS11" i="55"/>
  <c r="AT11" i="55" s="1"/>
  <c r="AU11" i="55" s="1"/>
  <c r="L51" i="55"/>
  <c r="AA51" i="55"/>
  <c r="Q51" i="55" s="1"/>
  <c r="AS51" i="55"/>
  <c r="AT51" i="55" s="1"/>
  <c r="AU51" i="55" s="1"/>
  <c r="L47" i="55"/>
  <c r="AA47" i="55"/>
  <c r="Q47" i="55" s="1"/>
  <c r="AS47" i="55"/>
  <c r="AT47" i="55" s="1"/>
  <c r="AU47" i="55" s="1"/>
  <c r="L116" i="55"/>
  <c r="AA116" i="55"/>
  <c r="Q116" i="55" s="1"/>
  <c r="AS116" i="55"/>
  <c r="L52" i="55"/>
  <c r="AA52" i="55"/>
  <c r="Q52" i="55" s="1"/>
  <c r="AS52" i="55"/>
  <c r="AT52" i="55" s="1"/>
  <c r="AU52" i="55" s="1"/>
  <c r="L53" i="55"/>
  <c r="V53" i="55"/>
  <c r="AA53" i="55"/>
  <c r="Q53" i="55" s="1"/>
  <c r="AS53" i="55"/>
  <c r="AT53" i="55" s="1"/>
  <c r="AU53" i="55" s="1"/>
  <c r="L132" i="55"/>
  <c r="AA132" i="55"/>
  <c r="Q132" i="55" s="1"/>
  <c r="AS132" i="55"/>
  <c r="L133" i="55"/>
  <c r="AA133" i="55"/>
  <c r="Q133" i="55" s="1"/>
  <c r="AS133" i="55"/>
  <c r="L118" i="55"/>
  <c r="O118" i="55"/>
  <c r="AA118" i="55"/>
  <c r="Q118" i="55" s="1"/>
  <c r="AS118" i="55"/>
  <c r="L82" i="55"/>
  <c r="AA82" i="55"/>
  <c r="Q82" i="55" s="1"/>
  <c r="AS82" i="55"/>
  <c r="AT82" i="55" s="1"/>
  <c r="AU82" i="55" s="1"/>
  <c r="L57" i="55"/>
  <c r="AA57" i="55"/>
  <c r="Q57" i="55" s="1"/>
  <c r="AS57" i="55"/>
  <c r="AT57" i="55" s="1"/>
  <c r="AU57" i="55" s="1"/>
  <c r="L17" i="55"/>
  <c r="O17" i="55"/>
  <c r="AA17" i="55"/>
  <c r="Q17" i="55" s="1"/>
  <c r="AS17" i="55"/>
  <c r="AT17" i="55" s="1"/>
  <c r="AU17" i="55" s="1"/>
  <c r="L61" i="55"/>
  <c r="AA61" i="55"/>
  <c r="Q61" i="55" s="1"/>
  <c r="AS61" i="55"/>
  <c r="AT61" i="55" s="1"/>
  <c r="AU61" i="55" s="1"/>
  <c r="L64" i="55"/>
  <c r="AA64" i="55"/>
  <c r="Q64" i="55" s="1"/>
  <c r="AS64" i="55"/>
  <c r="AT64" i="55" s="1"/>
  <c r="AU64" i="55" s="1"/>
  <c r="L172" i="55"/>
  <c r="AA172" i="55"/>
  <c r="Q172" i="55" s="1"/>
  <c r="AS172" i="55"/>
  <c r="AT172" i="55" s="1"/>
  <c r="AU172" i="55" s="1"/>
  <c r="L62" i="55"/>
  <c r="AA62" i="55"/>
  <c r="Q62" i="55" s="1"/>
  <c r="AS62" i="55"/>
  <c r="AT62" i="55" s="1"/>
  <c r="AU62" i="55" s="1"/>
  <c r="L16" i="55"/>
  <c r="AA16" i="55"/>
  <c r="Q16" i="55" s="1"/>
  <c r="AS16" i="55"/>
  <c r="L163" i="55"/>
  <c r="AA163" i="55"/>
  <c r="Q163" i="55" s="1"/>
  <c r="AS163" i="55"/>
  <c r="AT163" i="55" s="1"/>
  <c r="AU163" i="55" s="1"/>
  <c r="L75" i="55"/>
  <c r="AA75" i="55"/>
  <c r="Q75" i="55" s="1"/>
  <c r="AS75" i="55"/>
  <c r="AT75" i="55" s="1"/>
  <c r="AU75" i="55" s="1"/>
  <c r="L65" i="55"/>
  <c r="AA65" i="55"/>
  <c r="Q65" i="55" s="1"/>
  <c r="AS65" i="55"/>
  <c r="AT65" i="55" s="1"/>
  <c r="AU65" i="55" s="1"/>
  <c r="L121" i="55"/>
  <c r="AA121" i="55"/>
  <c r="Q121" i="55" s="1"/>
  <c r="AS121" i="55"/>
  <c r="L67" i="55"/>
  <c r="O67" i="55"/>
  <c r="V67" i="55"/>
  <c r="AA67" i="55"/>
  <c r="Q67" i="55" s="1"/>
  <c r="AS67" i="55"/>
  <c r="AT67" i="55" s="1"/>
  <c r="AU67" i="55" s="1"/>
  <c r="L66" i="55"/>
  <c r="O66" i="55"/>
  <c r="V66" i="55"/>
  <c r="AA66" i="55"/>
  <c r="Q66" i="55" s="1"/>
  <c r="AS66" i="55"/>
  <c r="AT66" i="55" s="1"/>
  <c r="AU66" i="55" s="1"/>
  <c r="L68" i="55"/>
  <c r="O68" i="55"/>
  <c r="AA68" i="55"/>
  <c r="Q68" i="55" s="1"/>
  <c r="AS68" i="55"/>
  <c r="AT68" i="55" s="1"/>
  <c r="AU68" i="55" s="1"/>
  <c r="L128" i="55"/>
  <c r="AA128" i="55"/>
  <c r="Q128" i="55" s="1"/>
  <c r="AS128" i="55"/>
  <c r="L126" i="55"/>
  <c r="AA126" i="55"/>
  <c r="Q126" i="55" s="1"/>
  <c r="AS126" i="55"/>
  <c r="L129" i="55"/>
  <c r="AA129" i="55"/>
  <c r="Q129" i="55" s="1"/>
  <c r="AS129" i="55"/>
  <c r="L122" i="55"/>
  <c r="AA122" i="55"/>
  <c r="Q122" i="55" s="1"/>
  <c r="AS122" i="55"/>
  <c r="L70" i="55"/>
  <c r="AA70" i="55"/>
  <c r="Q70" i="55" s="1"/>
  <c r="AS70" i="55"/>
  <c r="AT70" i="55" s="1"/>
  <c r="AU70" i="55" s="1"/>
  <c r="L21" i="55"/>
  <c r="AA21" i="55"/>
  <c r="Q21" i="55" s="1"/>
  <c r="AS21" i="55"/>
  <c r="L77" i="55"/>
  <c r="AA77" i="55"/>
  <c r="Q77" i="55" s="1"/>
  <c r="AS77" i="55"/>
  <c r="AT77" i="55" s="1"/>
  <c r="AU77" i="55" s="1"/>
  <c r="L23" i="55"/>
  <c r="AA23" i="55"/>
  <c r="Q23" i="55" s="1"/>
  <c r="AS23" i="55"/>
  <c r="AT23" i="55" s="1"/>
  <c r="AU23" i="55" s="1"/>
  <c r="L78" i="55"/>
  <c r="AA78" i="55"/>
  <c r="Q78" i="55" s="1"/>
  <c r="AS78" i="55"/>
  <c r="AT78" i="55" s="1"/>
  <c r="AU78" i="55" s="1"/>
  <c r="L153" i="55"/>
  <c r="AA153" i="55"/>
  <c r="Q153" i="55" s="1"/>
  <c r="AS153" i="55"/>
  <c r="AT153" i="55" s="1"/>
  <c r="AU153" i="55" s="1"/>
  <c r="L136" i="55"/>
  <c r="O136" i="55"/>
  <c r="AA136" i="55"/>
  <c r="Q136" i="55" s="1"/>
  <c r="AS136" i="55"/>
  <c r="AT136" i="55" s="1"/>
  <c r="AU136" i="55" s="1"/>
  <c r="L152" i="55"/>
  <c r="AA152" i="55"/>
  <c r="Q152" i="55" s="1"/>
  <c r="AS152" i="55"/>
  <c r="AT152" i="55" s="1"/>
  <c r="AU152" i="55" s="1"/>
  <c r="L115" i="55"/>
  <c r="O115" i="55"/>
  <c r="AA115" i="55"/>
  <c r="Q115" i="55" s="1"/>
  <c r="AS115" i="55"/>
  <c r="L86" i="55"/>
  <c r="O86" i="55"/>
  <c r="AA86" i="55"/>
  <c r="Q86" i="55" s="1"/>
  <c r="AS86" i="55"/>
  <c r="AT86" i="55" s="1"/>
  <c r="AU86" i="55" s="1"/>
  <c r="L90" i="55"/>
  <c r="AA90" i="55"/>
  <c r="Q90" i="55" s="1"/>
  <c r="AS90" i="55"/>
  <c r="AT90" i="55" s="1"/>
  <c r="AU90" i="55" s="1"/>
  <c r="L49" i="55"/>
  <c r="AA49" i="55"/>
  <c r="Q49" i="55" s="1"/>
  <c r="AS49" i="55"/>
  <c r="L41" i="55"/>
  <c r="AA41" i="55"/>
  <c r="Q41" i="55" s="1"/>
  <c r="AS41" i="55"/>
  <c r="AT41" i="55" s="1"/>
  <c r="AU41" i="55" s="1"/>
  <c r="L158" i="55"/>
  <c r="AA158" i="55"/>
  <c r="Q158" i="55" s="1"/>
  <c r="AS158" i="55"/>
  <c r="AT158" i="55" s="1"/>
  <c r="AU158" i="55" s="1"/>
  <c r="L42" i="55"/>
  <c r="AA42" i="55"/>
  <c r="Q42" i="55" s="1"/>
  <c r="AS42" i="55"/>
  <c r="AT42" i="55" s="1"/>
  <c r="AU42" i="55" s="1"/>
  <c r="L22" i="55"/>
  <c r="AA22" i="55"/>
  <c r="Q22" i="55" s="1"/>
  <c r="AS22" i="55"/>
  <c r="L87" i="55"/>
  <c r="AA87" i="55"/>
  <c r="Q87" i="55" s="1"/>
  <c r="AS87" i="55"/>
  <c r="AT87" i="55" s="1"/>
  <c r="AU87" i="55" s="1"/>
  <c r="L93" i="55"/>
  <c r="AA93" i="55"/>
  <c r="Q93" i="55" s="1"/>
  <c r="AS93" i="55"/>
  <c r="AT93" i="55" s="1"/>
  <c r="AU93" i="55" s="1"/>
  <c r="L88" i="55"/>
  <c r="AA88" i="55"/>
  <c r="Q88" i="55" s="1"/>
  <c r="AS88" i="55"/>
  <c r="AT88" i="55" s="1"/>
  <c r="AU88" i="55" s="1"/>
  <c r="L89" i="55"/>
  <c r="X89" i="55"/>
  <c r="Z89" i="55"/>
  <c r="AS89" i="55"/>
  <c r="AT89" i="55" s="1"/>
  <c r="AU89" i="55" s="1"/>
  <c r="L91" i="55"/>
  <c r="AA91" i="55"/>
  <c r="Q91" i="55" s="1"/>
  <c r="AS91" i="55"/>
  <c r="AT91" i="55" s="1"/>
  <c r="AU91" i="55" s="1"/>
  <c r="L94" i="55"/>
  <c r="AA94" i="55"/>
  <c r="Q94" i="55" s="1"/>
  <c r="AS94" i="55"/>
  <c r="AT94" i="55" s="1"/>
  <c r="AU94" i="55" s="1"/>
  <c r="L95" i="55"/>
  <c r="AA95" i="55"/>
  <c r="Q95" i="55" s="1"/>
  <c r="AS95" i="55"/>
  <c r="AT95" i="55" s="1"/>
  <c r="AU95" i="55" s="1"/>
  <c r="L99" i="55"/>
  <c r="AA99" i="55"/>
  <c r="Q99" i="55" s="1"/>
  <c r="AS99" i="55"/>
  <c r="AT99" i="55" s="1"/>
  <c r="AU99" i="55" s="1"/>
  <c r="L103" i="55"/>
  <c r="AA103" i="55"/>
  <c r="Q103" i="55" s="1"/>
  <c r="AS103" i="55"/>
  <c r="AT103" i="55" s="1"/>
  <c r="AU103" i="55" s="1"/>
  <c r="L48" i="55"/>
  <c r="AA48" i="55"/>
  <c r="Q48" i="55" s="1"/>
  <c r="AS48" i="55"/>
  <c r="L96" i="55"/>
  <c r="AA96" i="55"/>
  <c r="Q96" i="55" s="1"/>
  <c r="AS96" i="55"/>
  <c r="AT96" i="55" s="1"/>
  <c r="AU96" i="55" s="1"/>
  <c r="L139" i="55"/>
  <c r="AA139" i="55"/>
  <c r="Q139" i="55" s="1"/>
  <c r="AS139" i="55"/>
  <c r="L101" i="55"/>
  <c r="AA101" i="55"/>
  <c r="Q101" i="55" s="1"/>
  <c r="AS101" i="55"/>
  <c r="AT101" i="55" s="1"/>
  <c r="AU101" i="55" s="1"/>
  <c r="L100" i="55"/>
  <c r="AA100" i="55"/>
  <c r="Q100" i="55" s="1"/>
  <c r="AS100" i="55"/>
  <c r="AT100" i="55" s="1"/>
  <c r="AU100" i="55" s="1"/>
  <c r="L105" i="55"/>
  <c r="AA105" i="55"/>
  <c r="Q105" i="55" s="1"/>
  <c r="AS105" i="55"/>
  <c r="AT105" i="55" s="1"/>
  <c r="AU105" i="55" s="1"/>
  <c r="L106" i="55"/>
  <c r="AA106" i="55"/>
  <c r="Q106" i="55" s="1"/>
  <c r="AS106" i="55"/>
  <c r="AT106" i="55" s="1"/>
  <c r="AU106" i="55" s="1"/>
  <c r="L97" i="55"/>
  <c r="AA97" i="55"/>
  <c r="Q97" i="55" s="1"/>
  <c r="AL97" i="55" s="1"/>
  <c r="AS97" i="55"/>
  <c r="AT97" i="55" s="1"/>
  <c r="AU97" i="55" s="1"/>
  <c r="L111" i="55"/>
  <c r="AA111" i="55"/>
  <c r="Q111" i="55" s="1"/>
  <c r="AS111" i="55"/>
  <c r="AT111" i="55" s="1"/>
  <c r="AU111" i="55" s="1"/>
  <c r="L112" i="55"/>
  <c r="AA112" i="55"/>
  <c r="Q112" i="55" s="1"/>
  <c r="AS112" i="55"/>
  <c r="AT112" i="55" s="1"/>
  <c r="AU112" i="55" s="1"/>
  <c r="L113" i="55"/>
  <c r="AA113" i="55"/>
  <c r="Q113" i="55" s="1"/>
  <c r="AS113" i="55"/>
  <c r="AT113" i="55" s="1"/>
  <c r="AU113" i="55" s="1"/>
  <c r="L140" i="55"/>
  <c r="AA140" i="55"/>
  <c r="Q140" i="55" s="1"/>
  <c r="AS140" i="55"/>
  <c r="L143" i="55"/>
  <c r="AA143" i="55"/>
  <c r="Q143" i="55" s="1"/>
  <c r="AK143" i="55"/>
  <c r="AS143" i="55"/>
  <c r="L107" i="55"/>
  <c r="AA107" i="55"/>
  <c r="Q107" i="55" s="1"/>
  <c r="AS107" i="55"/>
  <c r="AT107" i="55" s="1"/>
  <c r="AU107" i="55" s="1"/>
  <c r="L108" i="55"/>
  <c r="AA108" i="55"/>
  <c r="Q108" i="55" s="1"/>
  <c r="AS108" i="55"/>
  <c r="AT108" i="55" s="1"/>
  <c r="AU108" i="55" s="1"/>
  <c r="L46" i="55"/>
  <c r="AA46" i="55"/>
  <c r="Q46" i="55" s="1"/>
  <c r="AS46" i="55"/>
  <c r="AT46" i="55" s="1"/>
  <c r="AU46" i="55" s="1"/>
  <c r="L148" i="55"/>
  <c r="AA148" i="55"/>
  <c r="Q148" i="55" s="1"/>
  <c r="AL148" i="55" s="1"/>
  <c r="AS148" i="55"/>
  <c r="L137" i="55"/>
  <c r="AA137" i="55"/>
  <c r="Q137" i="55" s="1"/>
  <c r="AL137" i="55" s="1"/>
  <c r="AS137" i="55"/>
  <c r="L117" i="55"/>
  <c r="AA117" i="55"/>
  <c r="Q117" i="55" s="1"/>
  <c r="AL117" i="55" s="1"/>
  <c r="AS117" i="55"/>
  <c r="AT117" i="55" s="1"/>
  <c r="AU117" i="55" s="1"/>
  <c r="L119" i="55"/>
  <c r="AA119" i="55"/>
  <c r="Q119" i="55" s="1"/>
  <c r="AL119" i="55" s="1"/>
  <c r="AS119" i="55"/>
  <c r="AT119" i="55" s="1"/>
  <c r="AU119" i="55" s="1"/>
  <c r="L120" i="55"/>
  <c r="AA120" i="55"/>
  <c r="Q120" i="55" s="1"/>
  <c r="AL120" i="55" s="1"/>
  <c r="AS120" i="55"/>
  <c r="AT120" i="55" s="1"/>
  <c r="AU120" i="55" s="1"/>
  <c r="L83" i="55"/>
  <c r="AA83" i="55"/>
  <c r="Q83" i="55" s="1"/>
  <c r="AL83" i="55" s="1"/>
  <c r="AS83" i="55"/>
  <c r="L84" i="55"/>
  <c r="AA84" i="55"/>
  <c r="Q84" i="55" s="1"/>
  <c r="AL84" i="55" s="1"/>
  <c r="AS84" i="55"/>
  <c r="L150" i="55"/>
  <c r="AA150" i="55"/>
  <c r="Q150" i="55" s="1"/>
  <c r="AL150" i="55" s="1"/>
  <c r="AS150" i="55"/>
  <c r="L131" i="55"/>
  <c r="AA131" i="55"/>
  <c r="Q131" i="55" s="1"/>
  <c r="AL131" i="55" s="1"/>
  <c r="AS131" i="55"/>
  <c r="L170" i="55"/>
  <c r="AA170" i="55"/>
  <c r="Q170" i="55" s="1"/>
  <c r="AL170" i="55" s="1"/>
  <c r="AS170" i="55"/>
  <c r="AT170" i="55" s="1"/>
  <c r="AU170" i="55" s="1"/>
  <c r="BR170" i="55"/>
  <c r="BS170" i="55"/>
  <c r="L54" i="55"/>
  <c r="AA54" i="55"/>
  <c r="Q54" i="55" s="1"/>
  <c r="AL54" i="55" s="1"/>
  <c r="AS54" i="55"/>
  <c r="L127" i="55"/>
  <c r="AA127" i="55"/>
  <c r="Q127" i="55" s="1"/>
  <c r="AL127" i="55" s="1"/>
  <c r="AS127" i="55"/>
  <c r="AT127" i="55" s="1"/>
  <c r="AU127" i="55" s="1"/>
  <c r="L149" i="55"/>
  <c r="V149" i="55"/>
  <c r="AA149" i="55"/>
  <c r="Q149" i="55" s="1"/>
  <c r="AL149" i="55" s="1"/>
  <c r="AS149" i="55"/>
  <c r="L56" i="55"/>
  <c r="AA56" i="55"/>
  <c r="Q56" i="55" s="1"/>
  <c r="AJ56" i="55"/>
  <c r="AK56" i="55"/>
  <c r="AS56" i="55"/>
  <c r="L130" i="55"/>
  <c r="AA130" i="55"/>
  <c r="Q130" i="55" s="1"/>
  <c r="AL130" i="55" s="1"/>
  <c r="AS130" i="55"/>
  <c r="AT130" i="55" s="1"/>
  <c r="AU130" i="55" s="1"/>
  <c r="L104" i="55"/>
  <c r="AA104" i="55"/>
  <c r="Q104" i="55" s="1"/>
  <c r="AL104" i="55" s="1"/>
  <c r="AS104" i="55"/>
  <c r="L145" i="55"/>
  <c r="AA145" i="55"/>
  <c r="Q145" i="55" s="1"/>
  <c r="AJ145" i="55"/>
  <c r="AK145" i="55"/>
  <c r="AS145" i="55"/>
  <c r="L146" i="55"/>
  <c r="AA146" i="55"/>
  <c r="Q146" i="55" s="1"/>
  <c r="AJ146" i="55"/>
  <c r="AS146" i="55"/>
  <c r="AA175" i="55"/>
  <c r="Q175" i="55" s="1"/>
  <c r="AL175" i="55" s="1"/>
  <c r="V175" i="55"/>
  <c r="L175" i="55"/>
  <c r="AS173" i="55"/>
  <c r="AT173" i="55" s="1"/>
  <c r="AU173" i="55" s="1"/>
  <c r="AA173" i="55"/>
  <c r="Q173" i="55" s="1"/>
  <c r="AL173" i="55" s="1"/>
  <c r="L173" i="55"/>
  <c r="AS174" i="55"/>
  <c r="AT174" i="55" s="1"/>
  <c r="AU174" i="55" s="1"/>
  <c r="AA174" i="55"/>
  <c r="Q174" i="55" s="1"/>
  <c r="AL174" i="55" s="1"/>
  <c r="L174" i="55"/>
  <c r="AA79" i="55"/>
  <c r="Q79" i="55" s="1"/>
  <c r="AL79" i="55" s="1"/>
  <c r="L79" i="55"/>
  <c r="AA80" i="55"/>
  <c r="Q80" i="55" s="1"/>
  <c r="AL80" i="55" s="1"/>
  <c r="L80" i="55"/>
  <c r="AI59" i="55"/>
  <c r="AA59" i="55"/>
  <c r="Q59" i="55" s="1"/>
  <c r="L59" i="55"/>
  <c r="BV168" i="55"/>
  <c r="AS168" i="55"/>
  <c r="AT168" i="55" s="1"/>
  <c r="AU168" i="55" s="1"/>
  <c r="AL168" i="55"/>
  <c r="AA168" i="55"/>
  <c r="L168" i="55"/>
  <c r="AS165" i="55"/>
  <c r="AT165" i="55" s="1"/>
  <c r="AU165" i="55" s="1"/>
  <c r="AK165" i="55"/>
  <c r="AA165" i="55"/>
  <c r="Q165" i="55" s="1"/>
  <c r="V165" i="55"/>
  <c r="L165" i="55"/>
  <c r="AS58" i="55"/>
  <c r="AT58" i="55" s="1"/>
  <c r="AU58" i="55" s="1"/>
  <c r="AA58" i="55"/>
  <c r="Q58" i="55" s="1"/>
  <c r="AL58" i="55" s="1"/>
  <c r="L58" i="55"/>
  <c r="AS169" i="55"/>
  <c r="AT169" i="55" s="1"/>
  <c r="AU169" i="55" s="1"/>
  <c r="AA169" i="55"/>
  <c r="Q169" i="55" s="1"/>
  <c r="AL169" i="55" s="1"/>
  <c r="L169" i="55"/>
  <c r="AS162" i="55"/>
  <c r="AT162" i="55" s="1"/>
  <c r="AU162" i="55" s="1"/>
  <c r="AA162" i="55"/>
  <c r="Q162" i="55" s="1"/>
  <c r="AL162" i="55" s="1"/>
  <c r="L162" i="55"/>
  <c r="AS167" i="55"/>
  <c r="AT167" i="55" s="1"/>
  <c r="AU167" i="55" s="1"/>
  <c r="AA167" i="55"/>
  <c r="Q167" i="55" s="1"/>
  <c r="AL167" i="55" s="1"/>
  <c r="L167" i="55"/>
  <c r="AS110" i="55"/>
  <c r="AT110" i="55" s="1"/>
  <c r="AU110" i="55" s="1"/>
  <c r="AA110" i="55"/>
  <c r="Q110" i="55" s="1"/>
  <c r="AL110" i="55" s="1"/>
  <c r="L110" i="55"/>
  <c r="AS98" i="55"/>
  <c r="AT98" i="55" s="1"/>
  <c r="AU98" i="55" s="1"/>
  <c r="AA98" i="55"/>
  <c r="Q98" i="55" s="1"/>
  <c r="AL98" i="55" s="1"/>
  <c r="L98" i="55"/>
  <c r="AS161" i="55"/>
  <c r="AT161" i="55" s="1"/>
  <c r="AU161" i="55" s="1"/>
  <c r="AA161" i="55"/>
  <c r="Q161" i="55" s="1"/>
  <c r="AL161" i="55" s="1"/>
  <c r="L161" i="55"/>
  <c r="AS164" i="55"/>
  <c r="AT164" i="55" s="1"/>
  <c r="AU164" i="55" s="1"/>
  <c r="AL164" i="55"/>
  <c r="AA164" i="55"/>
  <c r="L164" i="55"/>
  <c r="AS114" i="55"/>
  <c r="AA114" i="55"/>
  <c r="Q114" i="55" s="1"/>
  <c r="AL114" i="55" s="1"/>
  <c r="L114" i="55"/>
  <c r="AS157" i="55"/>
  <c r="AT157" i="55" s="1"/>
  <c r="AU157" i="55" s="1"/>
  <c r="AK157" i="55"/>
  <c r="AA157" i="55"/>
  <c r="Q157" i="55" s="1"/>
  <c r="L157" i="55"/>
  <c r="AS156" i="55"/>
  <c r="AT156" i="55" s="1"/>
  <c r="AU156" i="55" s="1"/>
  <c r="AA156" i="55"/>
  <c r="Q156" i="55" s="1"/>
  <c r="AL156" i="55" s="1"/>
  <c r="L156" i="55"/>
  <c r="AS155" i="55"/>
  <c r="AT155" i="55" s="1"/>
  <c r="AU155" i="55" s="1"/>
  <c r="AA155" i="55"/>
  <c r="Q155" i="55" s="1"/>
  <c r="AL155" i="55" s="1"/>
  <c r="L155" i="55"/>
  <c r="AS154" i="55"/>
  <c r="AT154" i="55" s="1"/>
  <c r="AU154" i="55" s="1"/>
  <c r="AK154" i="55"/>
  <c r="AJ154" i="55"/>
  <c r="AA154" i="55"/>
  <c r="Q154" i="55" s="1"/>
  <c r="L154" i="55"/>
  <c r="AS151" i="55"/>
  <c r="AT151" i="55" s="1"/>
  <c r="AU151" i="55" s="1"/>
  <c r="AA151" i="55"/>
  <c r="Q151" i="55" s="1"/>
  <c r="AL151" i="55" s="1"/>
  <c r="L151" i="55"/>
  <c r="AS147" i="55"/>
  <c r="AA147" i="55"/>
  <c r="Q147" i="55" s="1"/>
  <c r="AL147" i="55" s="1"/>
  <c r="L147" i="55"/>
  <c r="AS92" i="55"/>
  <c r="AA92" i="55"/>
  <c r="Q92" i="55" s="1"/>
  <c r="AL92" i="55" s="1"/>
  <c r="L92" i="55"/>
  <c r="AS63" i="55"/>
  <c r="AA63" i="55"/>
  <c r="Q63" i="55" s="1"/>
  <c r="AL63" i="55" s="1"/>
  <c r="L63" i="55"/>
  <c r="AS166" i="55"/>
  <c r="AT166" i="55" s="1"/>
  <c r="AU166" i="55" s="1"/>
  <c r="AA166" i="55"/>
  <c r="Q166" i="55" s="1"/>
  <c r="AL166" i="55" s="1"/>
  <c r="L166" i="55"/>
  <c r="AS60" i="55"/>
  <c r="AT60" i="55" s="1"/>
  <c r="AU60" i="55" s="1"/>
  <c r="AA60" i="55"/>
  <c r="Q60" i="55" s="1"/>
  <c r="AL60" i="55" s="1"/>
  <c r="L60" i="55"/>
  <c r="AS102" i="55"/>
  <c r="AA102" i="55"/>
  <c r="Q102" i="55" s="1"/>
  <c r="AL102" i="55" s="1"/>
  <c r="L102" i="55"/>
  <c r="AS171" i="55"/>
  <c r="AA171" i="55"/>
  <c r="Q171" i="55" s="1"/>
  <c r="AL171" i="55" s="1"/>
  <c r="L171" i="55"/>
  <c r="AS76" i="55"/>
  <c r="AT76" i="55" s="1"/>
  <c r="AU76" i="55" s="1"/>
  <c r="AA76" i="55"/>
  <c r="Q76" i="55" s="1"/>
  <c r="AL76" i="55" s="1"/>
  <c r="L76" i="55"/>
  <c r="AS138" i="55"/>
  <c r="AA138" i="55"/>
  <c r="Q138" i="55" s="1"/>
  <c r="AL138" i="55" s="1"/>
  <c r="L138" i="55"/>
  <c r="AS81" i="55"/>
  <c r="AA81" i="55"/>
  <c r="Q81" i="55" s="1"/>
  <c r="AL81" i="55" s="1"/>
  <c r="L81" i="55"/>
  <c r="AS144" i="55"/>
  <c r="AT144" i="55" s="1"/>
  <c r="AU144" i="55" s="1"/>
  <c r="AA144" i="55"/>
  <c r="Q144" i="55" s="1"/>
  <c r="AL144" i="55" s="1"/>
  <c r="L144" i="55"/>
  <c r="AS124" i="55"/>
  <c r="AK124" i="55"/>
  <c r="AA124" i="55"/>
  <c r="Q124" i="55" s="1"/>
  <c r="L124" i="55"/>
  <c r="AS142" i="55"/>
  <c r="AT142" i="55" s="1"/>
  <c r="AU142" i="55" s="1"/>
  <c r="AA142" i="55"/>
  <c r="Q142" i="55" s="1"/>
  <c r="AL142" i="55" s="1"/>
  <c r="L142" i="55"/>
  <c r="AS141" i="55"/>
  <c r="AT141" i="55" s="1"/>
  <c r="AU141" i="55" s="1"/>
  <c r="AA141" i="55"/>
  <c r="Q141" i="55" s="1"/>
  <c r="AL141" i="55" s="1"/>
  <c r="L141" i="55"/>
  <c r="AS85" i="55"/>
  <c r="AA85" i="55"/>
  <c r="Q85" i="55" s="1"/>
  <c r="AL85" i="55" s="1"/>
  <c r="L85" i="55"/>
  <c r="AS160" i="55"/>
  <c r="AA160" i="55"/>
  <c r="Q160" i="55" s="1"/>
  <c r="AL160" i="55" s="1"/>
  <c r="L160" i="55"/>
  <c r="AS74" i="55"/>
  <c r="AT74" i="55" s="1"/>
  <c r="AU74" i="55" s="1"/>
  <c r="AA74" i="55"/>
  <c r="Q74" i="55" s="1"/>
  <c r="AL74" i="55" s="1"/>
  <c r="L74" i="55"/>
  <c r="AS109" i="55"/>
  <c r="AJ109" i="55"/>
  <c r="AA109" i="55"/>
  <c r="Q109" i="55" s="1"/>
  <c r="L109" i="55"/>
  <c r="BR135" i="55"/>
  <c r="BQ135" i="55"/>
  <c r="AS135" i="55"/>
  <c r="AT135" i="55" s="1"/>
  <c r="AU135" i="55" s="1"/>
  <c r="AI135" i="55"/>
  <c r="AA135" i="55"/>
  <c r="Q135" i="55" s="1"/>
  <c r="L135" i="55"/>
  <c r="BS134" i="55"/>
  <c r="BQ134" i="55"/>
  <c r="AS134" i="55"/>
  <c r="AT134" i="55" s="1"/>
  <c r="AU134" i="55" s="1"/>
  <c r="AA134" i="55"/>
  <c r="Q134" i="55" s="1"/>
  <c r="AL134" i="55" s="1"/>
  <c r="V134" i="55"/>
  <c r="L134" i="55"/>
  <c r="L1289" i="29"/>
  <c r="L1290" i="29"/>
  <c r="AV12" i="18"/>
  <c r="AV10" i="18"/>
  <c r="AV23" i="18"/>
  <c r="AV30" i="18"/>
  <c r="AV17" i="18"/>
  <c r="AV18" i="18"/>
  <c r="AV32" i="18"/>
  <c r="AC12" i="18"/>
  <c r="AC10" i="18"/>
  <c r="AC23" i="18"/>
  <c r="AC30" i="18"/>
  <c r="AC17" i="18"/>
  <c r="AC18" i="18"/>
  <c r="AC32" i="18"/>
  <c r="AA89" i="55" l="1"/>
  <c r="Q89" i="55" s="1"/>
  <c r="AL109" i="55"/>
  <c r="AL145" i="55"/>
  <c r="AL56" i="55"/>
  <c r="AT104" i="55"/>
  <c r="AU104" i="55" s="1"/>
  <c r="AT133" i="55"/>
  <c r="AU133" i="55" s="1"/>
  <c r="AT114" i="55"/>
  <c r="AU114" i="55" s="1"/>
  <c r="AT109" i="55"/>
  <c r="AU109" i="55" s="1"/>
  <c r="AT16" i="55"/>
  <c r="AU16" i="55" s="1"/>
  <c r="AT84" i="55"/>
  <c r="AU84" i="55" s="1"/>
  <c r="AT54" i="55"/>
  <c r="AU54" i="55" s="1"/>
  <c r="AT22" i="55"/>
  <c r="AU22" i="55" s="1"/>
  <c r="AT116" i="55"/>
  <c r="AU116" i="55" s="1"/>
  <c r="AL1293" i="29"/>
  <c r="AT102" i="55"/>
  <c r="AU102" i="55" s="1"/>
  <c r="AT118" i="55"/>
  <c r="AU118" i="55" s="1"/>
  <c r="AT150" i="55"/>
  <c r="AU150" i="55" s="1"/>
  <c r="AT125" i="55"/>
  <c r="AU125" i="55" s="1"/>
  <c r="AT143" i="55"/>
  <c r="AU143" i="55" s="1"/>
  <c r="AT123" i="55"/>
  <c r="AU123" i="55" s="1"/>
  <c r="AT48" i="55"/>
  <c r="AU48" i="55" s="1"/>
  <c r="AT21" i="55"/>
  <c r="AU21" i="55" s="1"/>
  <c r="AT128" i="55"/>
  <c r="AU128" i="55" s="1"/>
  <c r="AT148" i="55"/>
  <c r="AU148" i="55" s="1"/>
  <c r="AT132" i="55"/>
  <c r="AU132" i="55" s="1"/>
  <c r="AT129" i="55"/>
  <c r="AU129" i="55" s="1"/>
  <c r="AT126" i="55"/>
  <c r="AU126" i="55" s="1"/>
  <c r="AT131" i="55"/>
  <c r="AU131" i="55" s="1"/>
  <c r="AL143" i="55"/>
  <c r="AT139" i="55"/>
  <c r="AU139" i="55" s="1"/>
  <c r="AT140" i="55"/>
  <c r="AU140" i="55" s="1"/>
  <c r="AT115" i="55"/>
  <c r="AU115" i="55" s="1"/>
  <c r="AT146" i="55"/>
  <c r="AU146" i="55" s="1"/>
  <c r="AT56" i="55"/>
  <c r="AU56" i="55" s="1"/>
  <c r="AL146" i="55"/>
  <c r="AT137" i="55"/>
  <c r="AU137" i="55" s="1"/>
  <c r="AT83" i="55"/>
  <c r="AU83" i="55" s="1"/>
  <c r="AT92" i="55"/>
  <c r="AU92" i="55" s="1"/>
  <c r="AT85" i="55"/>
  <c r="AU85" i="55" s="1"/>
  <c r="AT122" i="55"/>
  <c r="AU122" i="55" s="1"/>
  <c r="AT121" i="55"/>
  <c r="AU121" i="55" s="1"/>
  <c r="AT63" i="55"/>
  <c r="AU63" i="55" s="1"/>
  <c r="AT138" i="55"/>
  <c r="AU138" i="55" s="1"/>
  <c r="AT81" i="55"/>
  <c r="AU81" i="55" s="1"/>
  <c r="AT49" i="55"/>
  <c r="AU49" i="55" s="1"/>
  <c r="AT124" i="55"/>
  <c r="AU124" i="55" s="1"/>
  <c r="AT145" i="55"/>
  <c r="AU145" i="55" s="1"/>
  <c r="AT149" i="55"/>
  <c r="AU149" i="55" s="1"/>
  <c r="AT171" i="55"/>
  <c r="AU171" i="55" s="1"/>
  <c r="AT160" i="55"/>
  <c r="AU160" i="55" s="1"/>
  <c r="AT147" i="55"/>
  <c r="AU147" i="55" s="1"/>
  <c r="AA14" i="55"/>
  <c r="Q14" i="55" s="1"/>
  <c r="AA15" i="55"/>
  <c r="Q15" i="55" s="1"/>
  <c r="AL154" i="55"/>
  <c r="AL157" i="55"/>
  <c r="AL165" i="55"/>
  <c r="AL124" i="55"/>
  <c r="AL59" i="55"/>
  <c r="AL135" i="55"/>
  <c r="AA1274" i="29"/>
  <c r="AL1287" i="29"/>
  <c r="L1287" i="29"/>
  <c r="BS1288" i="29"/>
  <c r="Q1288" i="29"/>
  <c r="L1288" i="29"/>
  <c r="AI1281" i="29" l="1"/>
  <c r="V1284" i="29"/>
  <c r="AA1286" i="29"/>
  <c r="AA1284" i="29"/>
  <c r="Q1284" i="29" s="1"/>
  <c r="AL1286" i="29"/>
  <c r="V1286" i="29"/>
  <c r="L1286" i="29"/>
  <c r="L1284" i="29"/>
  <c r="AA1270" i="29"/>
  <c r="Q1270" i="29" s="1"/>
  <c r="Q1281" i="29"/>
  <c r="AL1284" i="29" l="1"/>
  <c r="L1277" i="29"/>
  <c r="AA1278" i="29"/>
  <c r="Q1278" i="29" s="1"/>
  <c r="AS1278" i="29"/>
  <c r="L1278" i="29"/>
  <c r="Q1212" i="29"/>
  <c r="L1212" i="29"/>
  <c r="AT1278" i="29" l="1"/>
  <c r="AU1278" i="29" s="1"/>
  <c r="AX1278" i="29" s="1"/>
  <c r="AL1278" i="29"/>
  <c r="BC3" i="1"/>
  <c r="BB3" i="1"/>
  <c r="AE3" i="1"/>
  <c r="S1268" i="29"/>
  <c r="Q1268" i="29" s="1"/>
  <c r="L1280" i="29" l="1"/>
  <c r="AL1281" i="29"/>
  <c r="AA1282" i="29"/>
  <c r="Q1282" i="29" s="1"/>
  <c r="AA1283" i="29"/>
  <c r="AA1275" i="29"/>
  <c r="Q1275" i="29" s="1"/>
  <c r="L1283" i="29"/>
  <c r="L1282" i="29"/>
  <c r="L1281" i="29"/>
  <c r="AL1282" i="29" l="1"/>
  <c r="Q1283" i="29"/>
  <c r="AL1283" i="29" s="1"/>
  <c r="L1276" i="29"/>
  <c r="AA1269" i="29"/>
  <c r="Q1269" i="29" s="1"/>
  <c r="AA1279" i="29"/>
  <c r="BV1279" i="29"/>
  <c r="L1279" i="29"/>
  <c r="AA1264" i="29"/>
  <c r="AS1275" i="29"/>
  <c r="AT1275" i="29" s="1"/>
  <c r="AU1275" i="29" s="1"/>
  <c r="AX1275" i="29" s="1"/>
  <c r="L1275" i="29"/>
  <c r="Y353" i="49"/>
  <c r="Y354" i="49"/>
  <c r="Y355" i="49"/>
  <c r="P353" i="49"/>
  <c r="P354" i="49"/>
  <c r="P355" i="49"/>
  <c r="AL1279" i="29" l="1"/>
  <c r="L1258" i="29"/>
  <c r="Y352" i="49"/>
  <c r="P352" i="49"/>
  <c r="AL1274" i="29"/>
  <c r="L1274" i="29"/>
  <c r="Q1244" i="29"/>
  <c r="AL1275" i="29" l="1"/>
  <c r="Q1259" i="29"/>
  <c r="L1268" i="29"/>
  <c r="AL1270" i="29"/>
  <c r="L1270" i="29"/>
  <c r="AA1267" i="29"/>
  <c r="AL1269" i="29"/>
  <c r="L1267" i="29"/>
  <c r="L1269" i="29"/>
  <c r="AA1251" i="29"/>
  <c r="AA1260" i="29"/>
  <c r="Q1260" i="29" s="1"/>
  <c r="L1266" i="29"/>
  <c r="Q1266" i="29"/>
  <c r="Q1267" i="29" l="1"/>
  <c r="Q1263" i="29"/>
  <c r="L1263" i="29"/>
  <c r="Y350" i="49"/>
  <c r="Y351" i="49"/>
  <c r="P350" i="49"/>
  <c r="P351" i="49"/>
  <c r="Y347" i="49"/>
  <c r="Y348" i="49"/>
  <c r="Y349" i="49"/>
  <c r="P347" i="49"/>
  <c r="P348" i="49"/>
  <c r="P349" i="49"/>
  <c r="Y343" i="49"/>
  <c r="Y344" i="49"/>
  <c r="Y345" i="49"/>
  <c r="Y346" i="49"/>
  <c r="P343" i="49"/>
  <c r="P344" i="49"/>
  <c r="P345" i="49"/>
  <c r="P346" i="49"/>
  <c r="AL1267" i="29" l="1"/>
  <c r="Q1264" i="29"/>
  <c r="AA1258" i="29"/>
  <c r="Q1258" i="29" s="1"/>
  <c r="AA1250" i="29"/>
  <c r="Q1250" i="29" s="1"/>
  <c r="AA1265" i="29"/>
  <c r="Q1265" i="29" s="1"/>
  <c r="AA1262" i="29" l="1"/>
  <c r="Q1262" i="29" s="1"/>
  <c r="AS1262" i="29"/>
  <c r="L1262" i="29"/>
  <c r="AL1265" i="29"/>
  <c r="L1265" i="29"/>
  <c r="AK1264" i="29"/>
  <c r="V1264" i="29"/>
  <c r="L1264" i="29"/>
  <c r="AC34" i="18"/>
  <c r="AV34" i="18"/>
  <c r="AE4" i="1"/>
  <c r="BB4" i="1"/>
  <c r="BC4" i="1"/>
  <c r="AA1261" i="29"/>
  <c r="AS1260" i="29"/>
  <c r="AT1260" i="29" s="1"/>
  <c r="AU1260" i="29" s="1"/>
  <c r="AX1260" i="29" s="1"/>
  <c r="Y341" i="49"/>
  <c r="Y342" i="49"/>
  <c r="Y339" i="49"/>
  <c r="Y340" i="49"/>
  <c r="Y338" i="49"/>
  <c r="AT1262" i="29" l="1"/>
  <c r="AU1262" i="29" s="1"/>
  <c r="AX1262" i="29" s="1"/>
  <c r="AL1262" i="29"/>
  <c r="AL1264" i="29"/>
  <c r="Q1261" i="29" l="1"/>
  <c r="L1261" i="29"/>
  <c r="AL1261" i="29" l="1"/>
  <c r="AL1260" i="29"/>
  <c r="L1260" i="29"/>
  <c r="Y337" i="49"/>
  <c r="P337" i="49"/>
  <c r="Y336" i="49"/>
  <c r="P336" i="49"/>
  <c r="AS1250" i="29"/>
  <c r="AT1250" i="29" s="1"/>
  <c r="AU1250" i="29" s="1"/>
  <c r="AX1250" i="29" s="1"/>
  <c r="P333" i="49"/>
  <c r="P334" i="49"/>
  <c r="P335" i="49"/>
  <c r="Y333" i="49"/>
  <c r="Y334" i="49"/>
  <c r="Y335" i="49"/>
  <c r="L1259" i="29"/>
  <c r="Q1207" i="29"/>
  <c r="AA1253" i="29"/>
  <c r="AA1247" i="29"/>
  <c r="AA1246" i="29"/>
  <c r="BC28" i="1"/>
  <c r="BC23" i="1"/>
  <c r="BC27" i="1"/>
  <c r="BC25" i="1"/>
  <c r="BC29" i="1"/>
  <c r="BC24" i="1"/>
  <c r="BC5" i="1"/>
  <c r="BC15" i="1"/>
  <c r="BC22" i="1"/>
  <c r="BB28" i="1"/>
  <c r="BB11" i="1"/>
  <c r="BB23" i="1"/>
  <c r="BB27" i="1"/>
  <c r="BB25" i="1"/>
  <c r="BB24" i="1"/>
  <c r="BB5" i="1"/>
  <c r="BB15" i="1"/>
  <c r="BB22" i="1"/>
  <c r="L1257" i="29"/>
  <c r="Q1256" i="29"/>
  <c r="AL1256" i="29" s="1"/>
  <c r="L1256" i="29"/>
  <c r="Q1255" i="29"/>
  <c r="L1255" i="29"/>
  <c r="AL1258" i="29" l="1"/>
  <c r="AL1253" i="29"/>
  <c r="Y331" i="49"/>
  <c r="Y332" i="49"/>
  <c r="P331" i="49"/>
  <c r="P332" i="49"/>
  <c r="Q1254" i="29"/>
  <c r="L1254" i="29"/>
  <c r="Q619" i="29"/>
  <c r="L1253" i="29" l="1"/>
  <c r="Y100" i="49"/>
  <c r="P100" i="49"/>
  <c r="AL1251" i="29"/>
  <c r="L1252" i="29" l="1"/>
  <c r="AL1250" i="29"/>
  <c r="L1250" i="29"/>
  <c r="L1251" i="29"/>
  <c r="Y320" i="49"/>
  <c r="Y321" i="49"/>
  <c r="Y322" i="49"/>
  <c r="Y323" i="49"/>
  <c r="Y324" i="49"/>
  <c r="Y325" i="49"/>
  <c r="Y326" i="49"/>
  <c r="Y327" i="49"/>
  <c r="Y328" i="49"/>
  <c r="Y329" i="49"/>
  <c r="Y330" i="49"/>
  <c r="P320" i="49"/>
  <c r="P321" i="49"/>
  <c r="P322" i="49"/>
  <c r="P323" i="49"/>
  <c r="P324" i="49"/>
  <c r="P325" i="49"/>
  <c r="P326" i="49"/>
  <c r="P327" i="49"/>
  <c r="P328" i="49"/>
  <c r="P329" i="49"/>
  <c r="P330" i="49"/>
  <c r="L1249" i="29"/>
  <c r="AL1246" i="29" l="1"/>
  <c r="AL1247" i="29"/>
  <c r="L1245" i="29" l="1"/>
  <c r="L1246" i="29"/>
  <c r="L1247" i="29"/>
  <c r="Q1239" i="29" l="1"/>
  <c r="Q1238" i="29"/>
  <c r="Q1227" i="29"/>
  <c r="Q1241" i="29"/>
  <c r="Q1235" i="29"/>
  <c r="Q1236" i="29"/>
  <c r="L1236" i="29"/>
  <c r="AV13" i="18"/>
  <c r="D55" i="18" s="1"/>
  <c r="L1244" i="29"/>
  <c r="AE32" i="1"/>
  <c r="D57" i="18" l="1"/>
  <c r="D49" i="18"/>
  <c r="C47" i="18"/>
  <c r="D47" i="18"/>
  <c r="C55" i="18"/>
  <c r="C48" i="18"/>
  <c r="D46" i="18"/>
  <c r="C56" i="18"/>
  <c r="D56" i="18"/>
  <c r="D50" i="18"/>
  <c r="C51" i="18"/>
  <c r="C46" i="18"/>
  <c r="D52" i="18"/>
  <c r="C57" i="18"/>
  <c r="C54" i="18"/>
  <c r="C52" i="18"/>
  <c r="C49" i="18"/>
  <c r="C50" i="18"/>
  <c r="D51" i="18"/>
  <c r="C53" i="18"/>
  <c r="D53" i="18"/>
  <c r="D54" i="18"/>
  <c r="D48" i="18"/>
  <c r="AL1238" i="29"/>
  <c r="L1242" i="29"/>
  <c r="Q1234" i="29"/>
  <c r="AK1240" i="29"/>
  <c r="AA1240" i="29"/>
  <c r="Q1240" i="29" s="1"/>
  <c r="AL1240" i="29" l="1"/>
  <c r="L1240" i="29"/>
  <c r="L1241" i="29"/>
  <c r="AL1239" i="29" l="1"/>
  <c r="L1239" i="29"/>
  <c r="L1235" i="29"/>
  <c r="Q1237" i="29"/>
  <c r="L1237" i="29"/>
  <c r="L1207" i="29"/>
  <c r="L1238" i="29"/>
  <c r="L1234" i="29"/>
  <c r="L1230" i="29"/>
  <c r="L1233" i="29"/>
  <c r="AA1232" i="29"/>
  <c r="Q1232" i="29" s="1"/>
  <c r="AL1232" i="29" s="1"/>
  <c r="AK1231" i="29"/>
  <c r="AJ1231" i="29"/>
  <c r="AA1231" i="29"/>
  <c r="Q1231" i="29" s="1"/>
  <c r="L1232" i="29"/>
  <c r="L1231" i="29"/>
  <c r="Q1229" i="29"/>
  <c r="L1228" i="29"/>
  <c r="L1229" i="29"/>
  <c r="Y318" i="49"/>
  <c r="P318" i="49"/>
  <c r="Y317" i="49"/>
  <c r="P317" i="49"/>
  <c r="L1226" i="29"/>
  <c r="L1227" i="29"/>
  <c r="Q1223" i="29"/>
  <c r="L1225" i="29"/>
  <c r="Q1222" i="29"/>
  <c r="L1223" i="29"/>
  <c r="L1222" i="29"/>
  <c r="AL1231" i="29" l="1"/>
  <c r="L1224" i="29"/>
  <c r="L1220" i="29"/>
  <c r="L1221" i="29" l="1"/>
  <c r="Q1200" i="29"/>
  <c r="Q1219" i="29"/>
  <c r="L32" i="29"/>
  <c r="L33" i="29"/>
  <c r="L34" i="29"/>
  <c r="L45" i="29"/>
  <c r="L57" i="29"/>
  <c r="Q57" i="29"/>
  <c r="L62" i="29"/>
  <c r="L68" i="29"/>
  <c r="L73" i="29"/>
  <c r="Q73" i="29"/>
  <c r="L77" i="29"/>
  <c r="Q77" i="29"/>
  <c r="L90" i="29"/>
  <c r="Q90" i="29"/>
  <c r="AA90" i="29"/>
  <c r="L95" i="29"/>
  <c r="Q95" i="29"/>
  <c r="AA95" i="29"/>
  <c r="L97" i="29"/>
  <c r="Q97" i="29"/>
  <c r="L101" i="29"/>
  <c r="Q101" i="29"/>
  <c r="L103" i="29"/>
  <c r="Q103" i="29"/>
  <c r="L104" i="29"/>
  <c r="Q104" i="29"/>
  <c r="AA104" i="29"/>
  <c r="L105" i="29"/>
  <c r="Q105" i="29"/>
  <c r="AA105" i="29"/>
  <c r="L109" i="29"/>
  <c r="Q109" i="29"/>
  <c r="L112" i="29"/>
  <c r="Q112" i="29"/>
  <c r="L115" i="29"/>
  <c r="Q115" i="29"/>
  <c r="L116" i="29"/>
  <c r="Q116" i="29"/>
  <c r="L119" i="29"/>
  <c r="Q119" i="29"/>
  <c r="AA119" i="29"/>
  <c r="L125" i="29"/>
  <c r="Q125" i="29"/>
  <c r="L127" i="29"/>
  <c r="Q127" i="29"/>
  <c r="L128" i="29"/>
  <c r="Q128" i="29"/>
  <c r="L129" i="29"/>
  <c r="Q129" i="29"/>
  <c r="L139" i="29"/>
  <c r="Q139" i="29"/>
  <c r="L142" i="29"/>
  <c r="Q142" i="29"/>
  <c r="L145" i="29"/>
  <c r="Q145" i="29"/>
  <c r="L146" i="29"/>
  <c r="S146" i="29"/>
  <c r="Q146" i="29" s="1"/>
  <c r="L161" i="29"/>
  <c r="Q161" i="29"/>
  <c r="L170" i="29"/>
  <c r="Q170" i="29"/>
  <c r="L171" i="29"/>
  <c r="Q171" i="29"/>
  <c r="L177" i="29"/>
  <c r="Q177" i="29"/>
  <c r="L182" i="29"/>
  <c r="Q182" i="29"/>
  <c r="L187" i="29"/>
  <c r="Q187" i="29"/>
  <c r="L196" i="29"/>
  <c r="Q196" i="29"/>
  <c r="L202" i="29"/>
  <c r="Q202" i="29"/>
  <c r="L205" i="29"/>
  <c r="Q205" i="29"/>
  <c r="AA205" i="29"/>
  <c r="L209" i="29"/>
  <c r="Q209" i="29"/>
  <c r="L232" i="29"/>
  <c r="Q232" i="29"/>
  <c r="L235" i="29"/>
  <c r="Q235" i="29"/>
  <c r="L240" i="29"/>
  <c r="Q240" i="29"/>
  <c r="L238" i="29"/>
  <c r="Q238" i="29"/>
  <c r="L242" i="29"/>
  <c r="Q242" i="29"/>
  <c r="L247" i="29"/>
  <c r="Q247" i="29"/>
  <c r="AA247" i="29"/>
  <c r="L252" i="29"/>
  <c r="Q252" i="29"/>
  <c r="AA252" i="29"/>
  <c r="L259" i="29"/>
  <c r="Q259" i="29"/>
  <c r="L261" i="29"/>
  <c r="Q261" i="29"/>
  <c r="L264" i="29"/>
  <c r="Q264" i="29"/>
  <c r="V264" i="29"/>
  <c r="L265" i="29"/>
  <c r="Q265" i="29"/>
  <c r="L268" i="29"/>
  <c r="Q268" i="29"/>
  <c r="L270" i="29"/>
  <c r="Q270" i="29"/>
  <c r="L273" i="29"/>
  <c r="Q273" i="29"/>
  <c r="AA273" i="29"/>
  <c r="L276" i="29"/>
  <c r="Q276" i="29"/>
  <c r="L275" i="29"/>
  <c r="Q275" i="29"/>
  <c r="L289" i="29"/>
  <c r="Q289" i="29"/>
  <c r="V289" i="29"/>
  <c r="AA289" i="29"/>
  <c r="L295" i="29"/>
  <c r="AA295" i="29"/>
  <c r="L296" i="29"/>
  <c r="AA296" i="29"/>
  <c r="L305" i="29"/>
  <c r="AA305" i="29"/>
  <c r="L315" i="29"/>
  <c r="Q315" i="29"/>
  <c r="L317" i="29"/>
  <c r="Q317" i="29"/>
  <c r="L319" i="29"/>
  <c r="Q319" i="29"/>
  <c r="L324" i="29"/>
  <c r="Q324" i="29"/>
  <c r="L327" i="29"/>
  <c r="Q327" i="29"/>
  <c r="L348" i="29"/>
  <c r="Q348" i="29"/>
  <c r="L357" i="29"/>
  <c r="Q357" i="29"/>
  <c r="L358" i="29"/>
  <c r="Q358" i="29"/>
  <c r="V358" i="29"/>
  <c r="L360" i="29"/>
  <c r="Q360" i="29"/>
  <c r="L366" i="29"/>
  <c r="Q366" i="29"/>
  <c r="L371" i="29"/>
  <c r="Q371" i="29"/>
  <c r="L373" i="29"/>
  <c r="Q373" i="29"/>
  <c r="L376" i="29"/>
  <c r="Q376" i="29"/>
  <c r="AA376" i="29"/>
  <c r="L390" i="29"/>
  <c r="Q390" i="29"/>
  <c r="AA390" i="29"/>
  <c r="L403" i="29"/>
  <c r="O403" i="29"/>
  <c r="Q403" i="29"/>
  <c r="V403" i="29"/>
  <c r="AA403" i="29"/>
  <c r="L404" i="29"/>
  <c r="O404" i="29"/>
  <c r="Q404" i="29"/>
  <c r="AA404" i="29"/>
  <c r="L408" i="29"/>
  <c r="O408" i="29"/>
  <c r="Q408" i="29"/>
  <c r="L413" i="29"/>
  <c r="Q413" i="29"/>
  <c r="AA413" i="29"/>
  <c r="L414" i="29"/>
  <c r="Q414" i="29"/>
  <c r="L415" i="29"/>
  <c r="Q415" i="29"/>
  <c r="L425" i="29"/>
  <c r="O425" i="29"/>
  <c r="Q425" i="29"/>
  <c r="L427" i="29"/>
  <c r="O427" i="29"/>
  <c r="Q427" i="29"/>
  <c r="AA427" i="29"/>
  <c r="L432" i="29"/>
  <c r="Q432" i="29"/>
  <c r="L439" i="29"/>
  <c r="Q439" i="29"/>
  <c r="L447" i="29"/>
  <c r="Q447" i="29"/>
  <c r="L445" i="29"/>
  <c r="Q445" i="29"/>
  <c r="L452" i="29"/>
  <c r="Q452" i="29"/>
  <c r="AA452" i="29"/>
  <c r="L456" i="29"/>
  <c r="Q456" i="29"/>
  <c r="L460" i="29"/>
  <c r="Q460" i="29"/>
  <c r="AA460" i="29"/>
  <c r="L461" i="29"/>
  <c r="Q461" i="29"/>
  <c r="AA461" i="29"/>
  <c r="L463" i="29"/>
  <c r="O463" i="29"/>
  <c r="Q463" i="29"/>
  <c r="L464" i="29"/>
  <c r="O464" i="29"/>
  <c r="Q464" i="29"/>
  <c r="L466" i="29"/>
  <c r="O466" i="29"/>
  <c r="Q466" i="29"/>
  <c r="L471" i="29"/>
  <c r="O471" i="29"/>
  <c r="Q471" i="29"/>
  <c r="L483" i="29"/>
  <c r="O483" i="29"/>
  <c r="Q483" i="29"/>
  <c r="L485" i="29"/>
  <c r="O485" i="29"/>
  <c r="Q485" i="29"/>
  <c r="L482" i="29"/>
  <c r="O482" i="29"/>
  <c r="Q482" i="29"/>
  <c r="L429" i="29"/>
  <c r="Q429" i="29"/>
  <c r="AA429" i="29"/>
  <c r="L488" i="29"/>
  <c r="O488" i="29"/>
  <c r="Q488" i="29"/>
  <c r="L489" i="29"/>
  <c r="O489" i="29"/>
  <c r="Q489" i="29"/>
  <c r="L492" i="29"/>
  <c r="O492" i="29"/>
  <c r="Q492" i="29"/>
  <c r="L493" i="29"/>
  <c r="O493" i="29"/>
  <c r="Q493" i="29"/>
  <c r="L495" i="29"/>
  <c r="O495" i="29"/>
  <c r="Q495" i="29"/>
  <c r="L496" i="29"/>
  <c r="Q496" i="29"/>
  <c r="L503" i="29"/>
  <c r="Q503" i="29"/>
  <c r="L505" i="29"/>
  <c r="U505" i="29"/>
  <c r="Q505" i="29" s="1"/>
  <c r="L506" i="29"/>
  <c r="Q506" i="29"/>
  <c r="L507" i="29"/>
  <c r="O507" i="29"/>
  <c r="U507" i="29"/>
  <c r="Q507" i="29" s="1"/>
  <c r="L512" i="29"/>
  <c r="O512" i="29"/>
  <c r="Q512" i="29"/>
  <c r="L516" i="29"/>
  <c r="Q516" i="29"/>
  <c r="L524" i="29"/>
  <c r="U524" i="29"/>
  <c r="Q524" i="29" s="1"/>
  <c r="L529" i="29"/>
  <c r="Q529" i="29"/>
  <c r="L525" i="29"/>
  <c r="Q525" i="29"/>
  <c r="L533" i="29"/>
  <c r="Q533" i="29"/>
  <c r="L541" i="29"/>
  <c r="O541" i="29"/>
  <c r="Q541" i="29"/>
  <c r="L543" i="29"/>
  <c r="O543" i="29"/>
  <c r="Q543" i="29"/>
  <c r="L549" i="29"/>
  <c r="O549" i="29"/>
  <c r="Q549" i="29"/>
  <c r="L548" i="29"/>
  <c r="O548" i="29"/>
  <c r="Q548" i="29"/>
  <c r="L574" i="29"/>
  <c r="O574" i="29"/>
  <c r="Q574" i="29"/>
  <c r="L581" i="29"/>
  <c r="Q581" i="29"/>
  <c r="L583" i="29"/>
  <c r="Q583" i="29"/>
  <c r="L585" i="29"/>
  <c r="Q585" i="29"/>
  <c r="L588" i="29"/>
  <c r="Q588" i="29"/>
  <c r="L591" i="29"/>
  <c r="Q591" i="29"/>
  <c r="L596" i="29"/>
  <c r="O596" i="29"/>
  <c r="Q596" i="29"/>
  <c r="L595" i="29"/>
  <c r="O595" i="29"/>
  <c r="Q595" i="29"/>
  <c r="L597" i="29"/>
  <c r="O597" i="29"/>
  <c r="Q597" i="29"/>
  <c r="L607" i="29"/>
  <c r="O607" i="29"/>
  <c r="Q607" i="29"/>
  <c r="L608" i="29"/>
  <c r="O608" i="29"/>
  <c r="Q608" i="29"/>
  <c r="L611" i="29"/>
  <c r="O611" i="29"/>
  <c r="Q611" i="29"/>
  <c r="L609" i="29"/>
  <c r="O609" i="29"/>
  <c r="Q609" i="29"/>
  <c r="L614" i="29"/>
  <c r="Q614" i="29"/>
  <c r="L620" i="29"/>
  <c r="L624" i="29"/>
  <c r="Q624" i="29"/>
  <c r="L635" i="29"/>
  <c r="O635" i="29"/>
  <c r="L638" i="29"/>
  <c r="O638" i="29"/>
  <c r="L641" i="29"/>
  <c r="O641" i="29"/>
  <c r="Q641" i="29"/>
  <c r="L642" i="29"/>
  <c r="O642" i="29"/>
  <c r="L644" i="29"/>
  <c r="O644" i="29"/>
  <c r="U644" i="29"/>
  <c r="Q644" i="29" s="1"/>
  <c r="AA644" i="29"/>
  <c r="L648" i="29"/>
  <c r="O648" i="29"/>
  <c r="L650" i="29"/>
  <c r="Q650" i="29"/>
  <c r="AA650" i="29"/>
  <c r="L657" i="29"/>
  <c r="Q657" i="29"/>
  <c r="L660" i="29"/>
  <c r="O660" i="29"/>
  <c r="Q660" i="29"/>
  <c r="L661" i="29"/>
  <c r="O661" i="29"/>
  <c r="L663" i="29"/>
  <c r="O663" i="29"/>
  <c r="Q663" i="29"/>
  <c r="L667" i="29"/>
  <c r="O667" i="29"/>
  <c r="L671" i="29"/>
  <c r="Q671" i="29"/>
  <c r="L673" i="29"/>
  <c r="Q673" i="29"/>
  <c r="L681" i="29"/>
  <c r="Q681" i="29"/>
  <c r="L682" i="29"/>
  <c r="Q682" i="29"/>
  <c r="L683" i="29"/>
  <c r="Q683" i="29"/>
  <c r="L684" i="29"/>
  <c r="Q684" i="29"/>
  <c r="L686" i="29"/>
  <c r="L689" i="29"/>
  <c r="O689" i="29"/>
  <c r="Q689" i="29"/>
  <c r="L693" i="29"/>
  <c r="O693" i="29"/>
  <c r="Q693" i="29"/>
  <c r="L695" i="29"/>
  <c r="O695" i="29"/>
  <c r="Q695" i="29"/>
  <c r="L701" i="29"/>
  <c r="Q701" i="29"/>
  <c r="L703" i="29"/>
  <c r="Q703" i="29"/>
  <c r="L706" i="29"/>
  <c r="Q706" i="29"/>
  <c r="L723" i="29"/>
  <c r="O723" i="29"/>
  <c r="Q723" i="29"/>
  <c r="L713" i="29"/>
  <c r="Q713" i="29"/>
  <c r="L712" i="29"/>
  <c r="Q712" i="29"/>
  <c r="L725" i="29"/>
  <c r="L729" i="29"/>
  <c r="Q729" i="29"/>
  <c r="L735" i="29"/>
  <c r="Q735" i="29"/>
  <c r="L740" i="29"/>
  <c r="Q740" i="29"/>
  <c r="L744" i="29"/>
  <c r="Q744" i="29"/>
  <c r="L745" i="29"/>
  <c r="Q745" i="29"/>
  <c r="L747" i="29"/>
  <c r="Q747" i="29"/>
  <c r="L750" i="29"/>
  <c r="Q750" i="29"/>
  <c r="L754" i="29"/>
  <c r="Q754" i="29"/>
  <c r="L753" i="29"/>
  <c r="Q753" i="29"/>
  <c r="L761" i="29"/>
  <c r="Q761" i="29"/>
  <c r="L767" i="29"/>
  <c r="Q767" i="29"/>
  <c r="L782" i="29"/>
  <c r="O782" i="29"/>
  <c r="L778" i="29"/>
  <c r="Q778" i="29"/>
  <c r="L779" i="29"/>
  <c r="Q779" i="29"/>
  <c r="L786" i="29"/>
  <c r="Q786" i="29"/>
  <c r="AA786" i="29"/>
  <c r="L791" i="29"/>
  <c r="Q791" i="29"/>
  <c r="L792" i="29"/>
  <c r="Q792" i="29"/>
  <c r="L795" i="29"/>
  <c r="O795" i="29"/>
  <c r="Q795" i="29"/>
  <c r="AA795" i="29"/>
  <c r="L807" i="29"/>
  <c r="Q807" i="29"/>
  <c r="AA807" i="29"/>
  <c r="L809" i="29"/>
  <c r="Q809" i="29"/>
  <c r="L810" i="29"/>
  <c r="Q810" i="29"/>
  <c r="L811" i="29"/>
  <c r="Q811" i="29"/>
  <c r="L813" i="29"/>
  <c r="O813" i="29"/>
  <c r="Q813" i="29"/>
  <c r="L818" i="29"/>
  <c r="O818" i="29"/>
  <c r="Q818" i="29"/>
  <c r="L820" i="29"/>
  <c r="O820" i="29"/>
  <c r="Q820" i="29"/>
  <c r="L824" i="29"/>
  <c r="Q824" i="29"/>
  <c r="L836" i="29"/>
  <c r="O836" i="29"/>
  <c r="Q836" i="29"/>
  <c r="AA836" i="29"/>
  <c r="L840" i="29"/>
  <c r="O840" i="29"/>
  <c r="Q840" i="29"/>
  <c r="AA840" i="29"/>
  <c r="L845" i="29"/>
  <c r="O845" i="29"/>
  <c r="Q845" i="29"/>
  <c r="L850" i="29"/>
  <c r="O850" i="29"/>
  <c r="Q850" i="29"/>
  <c r="L856" i="29"/>
  <c r="O856" i="29"/>
  <c r="Q856" i="29"/>
  <c r="L860" i="29"/>
  <c r="Q860" i="29"/>
  <c r="L861" i="29"/>
  <c r="Q861" i="29"/>
  <c r="L873" i="29"/>
  <c r="Q873" i="29"/>
  <c r="L875" i="29"/>
  <c r="Q875" i="29"/>
  <c r="L876" i="29"/>
  <c r="Q876" i="29"/>
  <c r="L892" i="29"/>
  <c r="Q892" i="29"/>
  <c r="L897" i="29"/>
  <c r="Q897" i="29"/>
  <c r="L910" i="29"/>
  <c r="O910" i="29"/>
  <c r="L918" i="29"/>
  <c r="O918" i="29"/>
  <c r="L912" i="29"/>
  <c r="Q912" i="29"/>
  <c r="L925" i="29"/>
  <c r="Q925" i="29"/>
  <c r="L939" i="29"/>
  <c r="Q939" i="29"/>
  <c r="L953" i="29"/>
  <c r="L935" i="29"/>
  <c r="L954" i="29"/>
  <c r="O954" i="29"/>
  <c r="L946" i="29"/>
  <c r="Q946" i="29"/>
  <c r="L960" i="29"/>
  <c r="Q960" i="29"/>
  <c r="L964" i="29"/>
  <c r="O964" i="29"/>
  <c r="Q964" i="29"/>
  <c r="L965" i="29"/>
  <c r="O965" i="29"/>
  <c r="Q965" i="29"/>
  <c r="L968" i="29"/>
  <c r="Q968" i="29"/>
  <c r="L967" i="29"/>
  <c r="Q967" i="29"/>
  <c r="L971" i="29"/>
  <c r="Q971" i="29"/>
  <c r="L978" i="29"/>
  <c r="Q978" i="29"/>
  <c r="L980" i="29"/>
  <c r="Q980" i="29"/>
  <c r="L989" i="29"/>
  <c r="Q989" i="29"/>
  <c r="L990" i="29"/>
  <c r="Q990" i="29"/>
  <c r="L992" i="29"/>
  <c r="Q992" i="29"/>
  <c r="L1012" i="29"/>
  <c r="Q1012" i="29"/>
  <c r="L1019" i="29"/>
  <c r="Q1019" i="29"/>
  <c r="L1025" i="29"/>
  <c r="L1033" i="29"/>
  <c r="Q1033" i="29"/>
  <c r="AA1033" i="29"/>
  <c r="L1032" i="29"/>
  <c r="Q1032" i="29"/>
  <c r="AA1032" i="29"/>
  <c r="L1034" i="29"/>
  <c r="Q1034" i="29"/>
  <c r="L1036" i="29"/>
  <c r="L1042" i="29"/>
  <c r="L1037" i="29"/>
  <c r="L1045" i="29"/>
  <c r="Q1045" i="29"/>
  <c r="L1046" i="29"/>
  <c r="L1051" i="29"/>
  <c r="Q1051" i="29"/>
  <c r="L1050" i="29"/>
  <c r="L1057" i="29"/>
  <c r="Q1057" i="29"/>
  <c r="L1055" i="29"/>
  <c r="Q1055" i="29"/>
  <c r="L1056" i="29"/>
  <c r="Q1056" i="29"/>
  <c r="L1058" i="29"/>
  <c r="Q1058" i="29"/>
  <c r="L1062" i="29"/>
  <c r="Q1062" i="29"/>
  <c r="L1065" i="29"/>
  <c r="Q1065" i="29"/>
  <c r="L1067" i="29"/>
  <c r="Q1067" i="29"/>
  <c r="L1069" i="29"/>
  <c r="Q1069" i="29"/>
  <c r="AA1069" i="29"/>
  <c r="L1071" i="29"/>
  <c r="Q1071" i="29"/>
  <c r="AA1071" i="29"/>
  <c r="L1076" i="29"/>
  <c r="Q1076" i="29"/>
  <c r="L1090" i="29"/>
  <c r="Q1090" i="29"/>
  <c r="L1092" i="29"/>
  <c r="L1093" i="29"/>
  <c r="Q1093" i="29"/>
  <c r="L1096" i="29"/>
  <c r="Q1096" i="29"/>
  <c r="L1098" i="29"/>
  <c r="L1100" i="29"/>
  <c r="Q1100" i="29"/>
  <c r="L1113" i="29"/>
  <c r="AL1113" i="29"/>
  <c r="L1117" i="29"/>
  <c r="L1119" i="29"/>
  <c r="AL1119" i="29"/>
  <c r="L1129" i="29"/>
  <c r="AL1129" i="29"/>
  <c r="L1125" i="29"/>
  <c r="Q1125" i="29"/>
  <c r="L1132" i="29"/>
  <c r="Q1132" i="29"/>
  <c r="L1133" i="29"/>
  <c r="Q1133" i="29"/>
  <c r="L1135" i="29"/>
  <c r="Q1135" i="29"/>
  <c r="L1145" i="29"/>
  <c r="L1148" i="29"/>
  <c r="Q1148" i="29"/>
  <c r="L1152" i="29"/>
  <c r="Q1152" i="29"/>
  <c r="AA1152" i="29"/>
  <c r="L1153" i="29"/>
  <c r="Q1153" i="29"/>
  <c r="L1154" i="29"/>
  <c r="L1155" i="29"/>
  <c r="Q1155" i="29"/>
  <c r="L1159" i="29"/>
  <c r="L1162" i="29"/>
  <c r="Q1162" i="29"/>
  <c r="L1164" i="29"/>
  <c r="Q1164" i="29"/>
  <c r="L1157" i="29"/>
  <c r="Q1157" i="29"/>
  <c r="AL1157" i="29" s="1"/>
  <c r="L1167" i="29"/>
  <c r="Q1167" i="29"/>
  <c r="L1169" i="29"/>
  <c r="Q1169" i="29"/>
  <c r="L1171" i="29"/>
  <c r="Q1171" i="29"/>
  <c r="L1172" i="29"/>
  <c r="Q1172" i="29"/>
  <c r="L1173" i="29"/>
  <c r="Q1173" i="29"/>
  <c r="L1182" i="29"/>
  <c r="Q1182" i="29"/>
  <c r="L1183" i="29"/>
  <c r="Q1183" i="29"/>
  <c r="L1186" i="29"/>
  <c r="Q1186" i="29"/>
  <c r="L1188" i="29"/>
  <c r="Q1188" i="29"/>
  <c r="L1184" i="29"/>
  <c r="Q1184" i="29"/>
  <c r="L1189" i="29"/>
  <c r="Q1189" i="29"/>
  <c r="L1193" i="29"/>
  <c r="Q1193" i="29"/>
  <c r="L1195" i="29"/>
  <c r="Q1195" i="29"/>
  <c r="L1197" i="29"/>
  <c r="Q1197" i="29"/>
  <c r="L1198" i="29"/>
  <c r="L1200" i="29"/>
  <c r="L1199" i="29"/>
  <c r="L1206" i="29"/>
  <c r="Q1206" i="29"/>
  <c r="L1217" i="29"/>
  <c r="Q1217" i="29"/>
  <c r="L1218" i="29"/>
  <c r="L1219" i="29"/>
  <c r="L3" i="29"/>
  <c r="V3" i="29"/>
  <c r="L4" i="29"/>
  <c r="L5" i="29"/>
  <c r="AA5" i="29"/>
  <c r="Q5" i="29" s="1"/>
  <c r="AS5" i="29"/>
  <c r="L6" i="29"/>
  <c r="L7" i="29"/>
  <c r="L8" i="29"/>
  <c r="AA8" i="29"/>
  <c r="Q8" i="29" s="1"/>
  <c r="AS8" i="29"/>
  <c r="L9" i="29"/>
  <c r="L10" i="29"/>
  <c r="Y10" i="29"/>
  <c r="L11" i="29"/>
  <c r="AA11" i="29"/>
  <c r="Q11" i="29" s="1"/>
  <c r="AS11" i="29"/>
  <c r="L12" i="29"/>
  <c r="L13" i="29"/>
  <c r="AA13" i="29"/>
  <c r="Q13" i="29" s="1"/>
  <c r="AS13" i="29"/>
  <c r="L14" i="29"/>
  <c r="AA14" i="29"/>
  <c r="Q14" i="29" s="1"/>
  <c r="AS14" i="29"/>
  <c r="L15" i="29"/>
  <c r="L16" i="29"/>
  <c r="AA16" i="29"/>
  <c r="Q16" i="29" s="1"/>
  <c r="AS16" i="29"/>
  <c r="L17" i="29"/>
  <c r="AA17" i="29"/>
  <c r="Q17" i="29" s="1"/>
  <c r="AS17" i="29"/>
  <c r="AA19" i="29"/>
  <c r="Q19" i="29" s="1"/>
  <c r="AS19" i="29"/>
  <c r="L18" i="29"/>
  <c r="AA20" i="29"/>
  <c r="Q20" i="29" s="1"/>
  <c r="AS20" i="29"/>
  <c r="L21" i="29"/>
  <c r="AA22" i="29"/>
  <c r="Q22" i="29" s="1"/>
  <c r="AS22" i="29"/>
  <c r="L23" i="29"/>
  <c r="AA23" i="29"/>
  <c r="AA26" i="29"/>
  <c r="Q26" i="29" s="1"/>
  <c r="AS26" i="29"/>
  <c r="L27" i="29"/>
  <c r="L28" i="29"/>
  <c r="AA29" i="29"/>
  <c r="AS29" i="29"/>
  <c r="V31" i="29"/>
  <c r="V36" i="29"/>
  <c r="L35" i="29"/>
  <c r="V39" i="29"/>
  <c r="AA39" i="29"/>
  <c r="Q39" i="29" s="1"/>
  <c r="AS39" i="29"/>
  <c r="X38" i="29"/>
  <c r="Y38" i="29"/>
  <c r="Z38" i="29"/>
  <c r="AS38" i="29"/>
  <c r="L40" i="29"/>
  <c r="Q40" i="29"/>
  <c r="AA40" i="29"/>
  <c r="L41" i="29"/>
  <c r="AA41" i="29"/>
  <c r="Q41" i="29" s="1"/>
  <c r="AS41" i="29"/>
  <c r="L42" i="29"/>
  <c r="AA42" i="29"/>
  <c r="L43" i="29"/>
  <c r="L44" i="29"/>
  <c r="L46" i="29"/>
  <c r="L49" i="29"/>
  <c r="AA49" i="29"/>
  <c r="Q49" i="29" s="1"/>
  <c r="AS49" i="29"/>
  <c r="AA51" i="29"/>
  <c r="L52" i="29"/>
  <c r="AA52" i="29"/>
  <c r="Q52" i="29" s="1"/>
  <c r="AS52" i="29"/>
  <c r="L54" i="29"/>
  <c r="L55" i="29"/>
  <c r="AA55" i="29"/>
  <c r="Q55" i="29" s="1"/>
  <c r="AS55" i="29"/>
  <c r="L56" i="29"/>
  <c r="L59" i="29"/>
  <c r="AA59" i="29"/>
  <c r="Q59" i="29" s="1"/>
  <c r="AS59" i="29"/>
  <c r="L60" i="29"/>
  <c r="AA60" i="29"/>
  <c r="Q60" i="29" s="1"/>
  <c r="AS60" i="29"/>
  <c r="L61" i="29"/>
  <c r="AA61" i="29"/>
  <c r="Q61" i="29" s="1"/>
  <c r="AS61" i="29"/>
  <c r="V63" i="29"/>
  <c r="AA63" i="29"/>
  <c r="Q63" i="29" s="1"/>
  <c r="AS63" i="29"/>
  <c r="L64" i="29"/>
  <c r="AA64" i="29"/>
  <c r="Q64" i="29" s="1"/>
  <c r="AS64" i="29"/>
  <c r="L65" i="29"/>
  <c r="AA65" i="29"/>
  <c r="Q65" i="29" s="1"/>
  <c r="AS65" i="29"/>
  <c r="L66" i="29"/>
  <c r="V66" i="29"/>
  <c r="AA66" i="29"/>
  <c r="Q66" i="29" s="1"/>
  <c r="AS66" i="29"/>
  <c r="L67" i="29"/>
  <c r="AA67" i="29"/>
  <c r="Q67" i="29" s="1"/>
  <c r="AS67" i="29"/>
  <c r="L69" i="29"/>
  <c r="AA69" i="29"/>
  <c r="Q69" i="29" s="1"/>
  <c r="AS69" i="29"/>
  <c r="L71" i="29"/>
  <c r="Q71" i="29"/>
  <c r="AA71" i="29"/>
  <c r="L70" i="29"/>
  <c r="AA70" i="29"/>
  <c r="Q70" i="29" s="1"/>
  <c r="AS70" i="29"/>
  <c r="L72" i="29"/>
  <c r="Q72" i="29"/>
  <c r="V72" i="29"/>
  <c r="AA72" i="29"/>
  <c r="AA74" i="29"/>
  <c r="Q74" i="29" s="1"/>
  <c r="AS74" i="29"/>
  <c r="L76" i="29"/>
  <c r="AA76" i="29"/>
  <c r="Q76" i="29" s="1"/>
  <c r="AS76" i="29"/>
  <c r="L78" i="29"/>
  <c r="V78" i="29"/>
  <c r="AA78" i="29"/>
  <c r="Q78" i="29" s="1"/>
  <c r="AS78" i="29"/>
  <c r="L81" i="29"/>
  <c r="AA81" i="29"/>
  <c r="Q81" i="29" s="1"/>
  <c r="AS81" i="29"/>
  <c r="L84" i="29"/>
  <c r="AA84" i="29"/>
  <c r="Q84" i="29" s="1"/>
  <c r="L79" i="29"/>
  <c r="Q79" i="29"/>
  <c r="V79" i="29"/>
  <c r="AA79" i="29"/>
  <c r="L83" i="29"/>
  <c r="Q83" i="29"/>
  <c r="V83" i="29"/>
  <c r="AA83" i="29"/>
  <c r="L82" i="29"/>
  <c r="Q82" i="29"/>
  <c r="V82" i="29"/>
  <c r="AA82" i="29"/>
  <c r="L85" i="29"/>
  <c r="AA85" i="29"/>
  <c r="Q85" i="29" s="1"/>
  <c r="AS85" i="29"/>
  <c r="L86" i="29"/>
  <c r="V86" i="29"/>
  <c r="AA86" i="29"/>
  <c r="Q86" i="29" s="1"/>
  <c r="AS86" i="29"/>
  <c r="L87" i="29"/>
  <c r="V87" i="29"/>
  <c r="AA87" i="29"/>
  <c r="Q87" i="29" s="1"/>
  <c r="AS87" i="29"/>
  <c r="L88" i="29"/>
  <c r="AA88" i="29"/>
  <c r="AS88" i="29"/>
  <c r="L89" i="29"/>
  <c r="V89" i="29"/>
  <c r="AA89" i="29"/>
  <c r="Q89" i="29" s="1"/>
  <c r="AS89" i="29"/>
  <c r="L91" i="29"/>
  <c r="Q91" i="29"/>
  <c r="AA91" i="29"/>
  <c r="L92" i="29"/>
  <c r="Q92" i="29"/>
  <c r="V92" i="29"/>
  <c r="AA92" i="29"/>
  <c r="L93" i="29"/>
  <c r="Q93" i="29"/>
  <c r="V93" i="29"/>
  <c r="AA93" i="29"/>
  <c r="L94" i="29"/>
  <c r="Q94" i="29"/>
  <c r="V94" i="29"/>
  <c r="AA94" i="29"/>
  <c r="L96" i="29"/>
  <c r="AA96" i="29"/>
  <c r="Q96" i="29" s="1"/>
  <c r="AS96" i="29"/>
  <c r="L100" i="29"/>
  <c r="AA100" i="29"/>
  <c r="Q100" i="29" s="1"/>
  <c r="L102" i="29"/>
  <c r="Q102" i="29"/>
  <c r="V107" i="29"/>
  <c r="Q107" i="29" s="1"/>
  <c r="L108" i="29"/>
  <c r="V108" i="29"/>
  <c r="Q108" i="29" s="1"/>
  <c r="L110" i="29"/>
  <c r="V110" i="29"/>
  <c r="AA110" i="29"/>
  <c r="Q110" i="29" s="1"/>
  <c r="AS110" i="29"/>
  <c r="L111" i="29"/>
  <c r="AA111" i="29"/>
  <c r="Q111" i="29" s="1"/>
  <c r="AS111" i="29"/>
  <c r="L113" i="29"/>
  <c r="AA113" i="29"/>
  <c r="Q113" i="29" s="1"/>
  <c r="AS113" i="29"/>
  <c r="V114" i="29"/>
  <c r="Q114" i="29" s="1"/>
  <c r="L117" i="29"/>
  <c r="AA117" i="29"/>
  <c r="AS117" i="29"/>
  <c r="S118" i="29"/>
  <c r="Q118" i="29" s="1"/>
  <c r="Q120" i="29"/>
  <c r="L121" i="29"/>
  <c r="AA121" i="29"/>
  <c r="Q121" i="29" s="1"/>
  <c r="AS121" i="29"/>
  <c r="L122" i="29"/>
  <c r="L123" i="29"/>
  <c r="AA123" i="29"/>
  <c r="Q123" i="29" s="1"/>
  <c r="AS123" i="29"/>
  <c r="L124" i="29"/>
  <c r="AA124" i="29"/>
  <c r="Q124" i="29" s="1"/>
  <c r="AS124" i="29"/>
  <c r="L126" i="29"/>
  <c r="V126" i="29"/>
  <c r="Q126" i="29" s="1"/>
  <c r="L131" i="29"/>
  <c r="AA131" i="29"/>
  <c r="Q131" i="29" s="1"/>
  <c r="AS131" i="29"/>
  <c r="L132" i="29"/>
  <c r="AA132" i="29"/>
  <c r="Q132" i="29" s="1"/>
  <c r="AS132" i="29"/>
  <c r="L130" i="29"/>
  <c r="Q130" i="29"/>
  <c r="L134" i="29"/>
  <c r="AA134" i="29"/>
  <c r="Q134" i="29" s="1"/>
  <c r="AS134" i="29"/>
  <c r="L135" i="29"/>
  <c r="AA135" i="29"/>
  <c r="Q135" i="29" s="1"/>
  <c r="AS135" i="29"/>
  <c r="L133" i="29"/>
  <c r="V133" i="29"/>
  <c r="X133" i="29"/>
  <c r="Z133" i="29"/>
  <c r="AP133" i="29"/>
  <c r="AR133" i="29"/>
  <c r="L136" i="29"/>
  <c r="S136" i="29"/>
  <c r="U136" i="29"/>
  <c r="L138" i="29"/>
  <c r="AA138" i="29"/>
  <c r="Q138" i="29" s="1"/>
  <c r="AS138" i="29"/>
  <c r="L137" i="29"/>
  <c r="AA137" i="29"/>
  <c r="Q137" i="29" s="1"/>
  <c r="AS137" i="29"/>
  <c r="L140" i="29"/>
  <c r="AA140" i="29"/>
  <c r="Q140" i="29" s="1"/>
  <c r="AS140" i="29"/>
  <c r="L141" i="29"/>
  <c r="Q141" i="29"/>
  <c r="AA144" i="29"/>
  <c r="Q144" i="29" s="1"/>
  <c r="AS144" i="29"/>
  <c r="Q143" i="29"/>
  <c r="L150" i="29"/>
  <c r="AA150" i="29"/>
  <c r="Q150" i="29" s="1"/>
  <c r="AS150" i="29"/>
  <c r="L147" i="29"/>
  <c r="Q147" i="29"/>
  <c r="L148" i="29"/>
  <c r="S148" i="29"/>
  <c r="Q148" i="29" s="1"/>
  <c r="AA148" i="29"/>
  <c r="L149" i="29"/>
  <c r="S149" i="29"/>
  <c r="Q149" i="29" s="1"/>
  <c r="AA149" i="29"/>
  <c r="L151" i="29"/>
  <c r="S151" i="29"/>
  <c r="Q151" i="29" s="1"/>
  <c r="AA151" i="29"/>
  <c r="L152" i="29"/>
  <c r="AA152" i="29"/>
  <c r="Q152" i="29" s="1"/>
  <c r="AS152" i="29"/>
  <c r="L155" i="29"/>
  <c r="AA155" i="29"/>
  <c r="Q155" i="29" s="1"/>
  <c r="AS155" i="29"/>
  <c r="L153" i="29"/>
  <c r="S153" i="29"/>
  <c r="Q153" i="29" s="1"/>
  <c r="AA153" i="29"/>
  <c r="L158" i="29"/>
  <c r="Q158" i="29"/>
  <c r="L159" i="29"/>
  <c r="S159" i="29"/>
  <c r="Q159" i="29" s="1"/>
  <c r="AA159" i="29"/>
  <c r="L160" i="29"/>
  <c r="S160" i="29"/>
  <c r="Q160" i="29" s="1"/>
  <c r="AA160" i="29"/>
  <c r="L154" i="29"/>
  <c r="AA154" i="29"/>
  <c r="Q154" i="29" s="1"/>
  <c r="AS154" i="29"/>
  <c r="L157" i="29"/>
  <c r="AA157" i="29"/>
  <c r="Q157" i="29" s="1"/>
  <c r="AS157" i="29"/>
  <c r="L156" i="29"/>
  <c r="AA156" i="29"/>
  <c r="Q156" i="29" s="1"/>
  <c r="AS156" i="29"/>
  <c r="L162" i="29"/>
  <c r="Q162" i="29"/>
  <c r="L165" i="29"/>
  <c r="AA165" i="29"/>
  <c r="Q165" i="29" s="1"/>
  <c r="AS165" i="29"/>
  <c r="L164" i="29"/>
  <c r="AA164" i="29"/>
  <c r="Q164" i="29" s="1"/>
  <c r="AS164" i="29"/>
  <c r="L163" i="29"/>
  <c r="Q163" i="29"/>
  <c r="AA163" i="29"/>
  <c r="L166" i="29"/>
  <c r="AA166" i="29"/>
  <c r="Q166" i="29" s="1"/>
  <c r="AS166" i="29"/>
  <c r="L167" i="29"/>
  <c r="AA167" i="29"/>
  <c r="Q167" i="29" s="1"/>
  <c r="AS167" i="29"/>
  <c r="L168" i="29"/>
  <c r="AA168" i="29"/>
  <c r="Q168" i="29" s="1"/>
  <c r="AS168" i="29"/>
  <c r="L169" i="29"/>
  <c r="AA169" i="29"/>
  <c r="Q169" i="29" s="1"/>
  <c r="AS169" i="29"/>
  <c r="L173" i="29"/>
  <c r="AA173" i="29"/>
  <c r="Q173" i="29" s="1"/>
  <c r="AS173" i="29"/>
  <c r="L174" i="29"/>
  <c r="L175" i="29"/>
  <c r="AA175" i="29"/>
  <c r="Q175" i="29" s="1"/>
  <c r="AS175" i="29"/>
  <c r="L179" i="29"/>
  <c r="AA179" i="29"/>
  <c r="Q179" i="29" s="1"/>
  <c r="AS179" i="29"/>
  <c r="L181" i="29"/>
  <c r="AA181" i="29"/>
  <c r="Q181" i="29" s="1"/>
  <c r="AS181" i="29"/>
  <c r="L185" i="29"/>
  <c r="V185" i="29"/>
  <c r="AA185" i="29"/>
  <c r="Q185" i="29" s="1"/>
  <c r="AS185" i="29"/>
  <c r="L180" i="29"/>
  <c r="Q180" i="29"/>
  <c r="L183" i="29"/>
  <c r="L184" i="29"/>
  <c r="X184" i="29"/>
  <c r="AA184" i="29" s="1"/>
  <c r="Q184" i="29" s="1"/>
  <c r="AS184" i="29"/>
  <c r="L186" i="29"/>
  <c r="V186" i="29"/>
  <c r="Q186" i="29" s="1"/>
  <c r="L189" i="29"/>
  <c r="L188" i="29"/>
  <c r="AA188" i="29"/>
  <c r="Q188" i="29" s="1"/>
  <c r="AS188" i="29"/>
  <c r="L190" i="29"/>
  <c r="AA190" i="29"/>
  <c r="Q190" i="29" s="1"/>
  <c r="AS190" i="29"/>
  <c r="AA193" i="29"/>
  <c r="Q193" i="29" s="1"/>
  <c r="L192" i="29"/>
  <c r="L191" i="29"/>
  <c r="L195" i="29"/>
  <c r="X195" i="29"/>
  <c r="AA195" i="29" s="1"/>
  <c r="Q195" i="29" s="1"/>
  <c r="AS195" i="29"/>
  <c r="L194" i="29"/>
  <c r="L198" i="29"/>
  <c r="AA198" i="29"/>
  <c r="Q198" i="29" s="1"/>
  <c r="AS198" i="29"/>
  <c r="L197" i="29"/>
  <c r="AA197" i="29"/>
  <c r="Q197" i="29" s="1"/>
  <c r="AS197" i="29"/>
  <c r="L199" i="29"/>
  <c r="Q199" i="29"/>
  <c r="AA199" i="29"/>
  <c r="L200" i="29"/>
  <c r="Q200" i="29"/>
  <c r="L201" i="29"/>
  <c r="L203" i="29"/>
  <c r="L204" i="29"/>
  <c r="AA204" i="29"/>
  <c r="Q204" i="29" s="1"/>
  <c r="AS204" i="29"/>
  <c r="L206" i="29"/>
  <c r="L208" i="29"/>
  <c r="AA208" i="29"/>
  <c r="Q208" i="29" s="1"/>
  <c r="AS208" i="29"/>
  <c r="L207" i="29"/>
  <c r="L210" i="29"/>
  <c r="Q210" i="29"/>
  <c r="AA210" i="29"/>
  <c r="L212" i="29"/>
  <c r="V212" i="29"/>
  <c r="Q212" i="29" s="1"/>
  <c r="L211" i="29"/>
  <c r="AA211" i="29"/>
  <c r="Q211" i="29" s="1"/>
  <c r="AS211" i="29"/>
  <c r="AA215" i="29"/>
  <c r="AS215" i="29"/>
  <c r="L213" i="29"/>
  <c r="AA213" i="29"/>
  <c r="Q213" i="29" s="1"/>
  <c r="AS213" i="29"/>
  <c r="L216" i="29"/>
  <c r="AA216" i="29"/>
  <c r="AS216" i="29"/>
  <c r="L217" i="29"/>
  <c r="AA217" i="29"/>
  <c r="Q217" i="29" s="1"/>
  <c r="AS217" i="29"/>
  <c r="L218" i="29"/>
  <c r="Q218" i="29"/>
  <c r="AA218" i="29"/>
  <c r="L219" i="29"/>
  <c r="L221" i="29"/>
  <c r="AA221" i="29"/>
  <c r="Q221" i="29" s="1"/>
  <c r="AS221" i="29"/>
  <c r="L220" i="29"/>
  <c r="AA220" i="29"/>
  <c r="Q220" i="29" s="1"/>
  <c r="AS220" i="29"/>
  <c r="L223" i="29"/>
  <c r="AA223" i="29"/>
  <c r="Q223" i="29" s="1"/>
  <c r="AS223" i="29"/>
  <c r="L222" i="29"/>
  <c r="AA222" i="29"/>
  <c r="Q222" i="29" s="1"/>
  <c r="AS222" i="29"/>
  <c r="L224" i="29"/>
  <c r="AA224" i="29"/>
  <c r="Q224" i="29" s="1"/>
  <c r="AS224" i="29"/>
  <c r="L225" i="29"/>
  <c r="L226" i="29"/>
  <c r="X226" i="29"/>
  <c r="Z226" i="29"/>
  <c r="AS226" i="29"/>
  <c r="L227" i="29"/>
  <c r="V227" i="29"/>
  <c r="AA227" i="29"/>
  <c r="Q227" i="29" s="1"/>
  <c r="AS227" i="29"/>
  <c r="L228" i="29"/>
  <c r="AA228" i="29"/>
  <c r="AS228" i="29"/>
  <c r="AA234" i="29"/>
  <c r="Q234" i="29" s="1"/>
  <c r="AS234" i="29"/>
  <c r="L236" i="29"/>
  <c r="AA236" i="29"/>
  <c r="Q236" i="29" s="1"/>
  <c r="L237" i="29"/>
  <c r="AA237" i="29"/>
  <c r="Q237" i="29" s="1"/>
  <c r="AS237" i="29"/>
  <c r="L248" i="29"/>
  <c r="AA248" i="29"/>
  <c r="Q248" i="29" s="1"/>
  <c r="AS248" i="29"/>
  <c r="AA246" i="29"/>
  <c r="Q246" i="29" s="1"/>
  <c r="AS246" i="29"/>
  <c r="L239" i="29"/>
  <c r="AA239" i="29"/>
  <c r="Q239" i="29" s="1"/>
  <c r="L241" i="29"/>
  <c r="AA241" i="29"/>
  <c r="Q241" i="29" s="1"/>
  <c r="AS241" i="29"/>
  <c r="L245" i="29"/>
  <c r="AA245" i="29"/>
  <c r="Q245" i="29" s="1"/>
  <c r="AS245" i="29"/>
  <c r="L249" i="29"/>
  <c r="Q249" i="29"/>
  <c r="AA249" i="29"/>
  <c r="L250" i="29"/>
  <c r="L251" i="29"/>
  <c r="AA251" i="29"/>
  <c r="Q251" i="29" s="1"/>
  <c r="AS251" i="29"/>
  <c r="L253" i="29"/>
  <c r="L254" i="29"/>
  <c r="AA254" i="29"/>
  <c r="Q254" i="29" s="1"/>
  <c r="AS254" i="29"/>
  <c r="L255" i="29"/>
  <c r="AA255" i="29"/>
  <c r="Q255" i="29" s="1"/>
  <c r="AS255" i="29"/>
  <c r="L258" i="29"/>
  <c r="AA258" i="29"/>
  <c r="Q258" i="29" s="1"/>
  <c r="L256" i="29"/>
  <c r="AA256" i="29"/>
  <c r="Q256" i="29" s="1"/>
  <c r="AS256" i="29"/>
  <c r="L257" i="29"/>
  <c r="AA257" i="29"/>
  <c r="Q257" i="29" s="1"/>
  <c r="AS257" i="29"/>
  <c r="L260" i="29"/>
  <c r="AA260" i="29"/>
  <c r="Q260" i="29" s="1"/>
  <c r="AS260" i="29"/>
  <c r="L262" i="29"/>
  <c r="AA262" i="29"/>
  <c r="Q262" i="29" s="1"/>
  <c r="AS262" i="29"/>
  <c r="L263" i="29"/>
  <c r="AA263" i="29"/>
  <c r="Q263" i="29" s="1"/>
  <c r="AS263" i="29"/>
  <c r="L266" i="29"/>
  <c r="AA266" i="29"/>
  <c r="Q266" i="29" s="1"/>
  <c r="L267" i="29"/>
  <c r="AA267" i="29"/>
  <c r="Q267" i="29" s="1"/>
  <c r="AS267" i="29"/>
  <c r="L269" i="29"/>
  <c r="AA269" i="29"/>
  <c r="Q269" i="29" s="1"/>
  <c r="AS269" i="29"/>
  <c r="L271" i="29"/>
  <c r="Q271" i="29"/>
  <c r="AA271" i="29"/>
  <c r="L272" i="29"/>
  <c r="AA272" i="29"/>
  <c r="Q272" i="29" s="1"/>
  <c r="L274" i="29"/>
  <c r="L277" i="29"/>
  <c r="AA277" i="29"/>
  <c r="Q277" i="29" s="1"/>
  <c r="AS277" i="29"/>
  <c r="L279" i="29"/>
  <c r="AA279" i="29"/>
  <c r="Q279" i="29" s="1"/>
  <c r="AS279" i="29"/>
  <c r="L280" i="29"/>
  <c r="AA280" i="29"/>
  <c r="Q280" i="29" s="1"/>
  <c r="AS280" i="29"/>
  <c r="L281" i="29"/>
  <c r="Q281" i="29"/>
  <c r="AA281" i="29"/>
  <c r="L278" i="29"/>
  <c r="AA278" i="29"/>
  <c r="Q278" i="29" s="1"/>
  <c r="AS278" i="29"/>
  <c r="L282" i="29"/>
  <c r="L284" i="29"/>
  <c r="AA284" i="29"/>
  <c r="Q284" i="29" s="1"/>
  <c r="L283" i="29"/>
  <c r="AA283" i="29"/>
  <c r="Q283" i="29" s="1"/>
  <c r="L285" i="29"/>
  <c r="L286" i="29"/>
  <c r="X286" i="29"/>
  <c r="Z286" i="29"/>
  <c r="AP286" i="29"/>
  <c r="AR286" i="29"/>
  <c r="L287" i="29"/>
  <c r="Q287" i="29"/>
  <c r="AA287" i="29"/>
  <c r="L288" i="29"/>
  <c r="V288" i="29"/>
  <c r="Q288" i="29" s="1"/>
  <c r="AA288" i="29"/>
  <c r="L290" i="29"/>
  <c r="AA290" i="29"/>
  <c r="Q290" i="29" s="1"/>
  <c r="AS290" i="29"/>
  <c r="L291" i="29"/>
  <c r="V291" i="29"/>
  <c r="AA291" i="29"/>
  <c r="Q291" i="29" s="1"/>
  <c r="L294" i="29"/>
  <c r="AA294" i="29"/>
  <c r="Q294" i="29" s="1"/>
  <c r="AS294" i="29"/>
  <c r="L293" i="29"/>
  <c r="AA293" i="29"/>
  <c r="Q293" i="29" s="1"/>
  <c r="AS293" i="29"/>
  <c r="L292" i="29"/>
  <c r="AA292" i="29"/>
  <c r="Q292" i="29" s="1"/>
  <c r="L297" i="29"/>
  <c r="AA297" i="29"/>
  <c r="Q297" i="29" s="1"/>
  <c r="AS297" i="29"/>
  <c r="L301" i="29"/>
  <c r="AA301" i="29"/>
  <c r="Q301" i="29" s="1"/>
  <c r="AS301" i="29"/>
  <c r="L298" i="29"/>
  <c r="AA298" i="29"/>
  <c r="Q298" i="29" s="1"/>
  <c r="Q302" i="29"/>
  <c r="AA302" i="29"/>
  <c r="L299" i="29"/>
  <c r="AA299" i="29"/>
  <c r="Q299" i="29" s="1"/>
  <c r="AS299" i="29"/>
  <c r="L300" i="29"/>
  <c r="AA300" i="29"/>
  <c r="AS300" i="29"/>
  <c r="L303" i="29"/>
  <c r="X303" i="29"/>
  <c r="Z303" i="29"/>
  <c r="L304" i="29"/>
  <c r="X304" i="29"/>
  <c r="Z304" i="29"/>
  <c r="L306" i="29"/>
  <c r="AA306" i="29"/>
  <c r="AS306" i="29"/>
  <c r="L307" i="29"/>
  <c r="AA307" i="29"/>
  <c r="Q307" i="29" s="1"/>
  <c r="AS307" i="29"/>
  <c r="L309" i="29"/>
  <c r="AA309" i="29"/>
  <c r="Q309" i="29" s="1"/>
  <c r="AS309" i="29"/>
  <c r="L308" i="29"/>
  <c r="AA308" i="29"/>
  <c r="Q308" i="29" s="1"/>
  <c r="AS308" i="29"/>
  <c r="L310" i="29"/>
  <c r="AA310" i="29"/>
  <c r="Q310" i="29" s="1"/>
  <c r="AS310" i="29"/>
  <c r="L313" i="29"/>
  <c r="AA313" i="29"/>
  <c r="Q313" i="29" s="1"/>
  <c r="AS313" i="29"/>
  <c r="L312" i="29"/>
  <c r="AA312" i="29"/>
  <c r="Q312" i="29" s="1"/>
  <c r="AS312" i="29"/>
  <c r="L314" i="29"/>
  <c r="AA314" i="29"/>
  <c r="Q314" i="29" s="1"/>
  <c r="AS314" i="29"/>
  <c r="L316" i="29"/>
  <c r="AA316" i="29"/>
  <c r="Q316" i="29" s="1"/>
  <c r="AS316" i="29"/>
  <c r="L318" i="29"/>
  <c r="AA318" i="29"/>
  <c r="Q318" i="29" s="1"/>
  <c r="L320" i="29"/>
  <c r="AA320" i="29"/>
  <c r="Q320" i="29" s="1"/>
  <c r="AS320" i="29"/>
  <c r="L321" i="29"/>
  <c r="AA321" i="29"/>
  <c r="Q321" i="29" s="1"/>
  <c r="AS321" i="29"/>
  <c r="L322" i="29"/>
  <c r="AA322" i="29"/>
  <c r="Q322" i="29" s="1"/>
  <c r="AS322" i="29"/>
  <c r="L323" i="29"/>
  <c r="L325" i="29"/>
  <c r="AA325" i="29"/>
  <c r="AS325" i="29"/>
  <c r="L328" i="29"/>
  <c r="AA328" i="29"/>
  <c r="Q328" i="29" s="1"/>
  <c r="AS328" i="29"/>
  <c r="L329" i="29"/>
  <c r="AA329" i="29"/>
  <c r="Q329" i="29" s="1"/>
  <c r="L330" i="29"/>
  <c r="AA330" i="29"/>
  <c r="Q330" i="29" s="1"/>
  <c r="AP330" i="29"/>
  <c r="AS330" i="29" s="1"/>
  <c r="L331" i="29"/>
  <c r="V331" i="29"/>
  <c r="AA331" i="29"/>
  <c r="Q331" i="29" s="1"/>
  <c r="AS331" i="29"/>
  <c r="L332" i="29"/>
  <c r="AA332" i="29"/>
  <c r="Q332" i="29" s="1"/>
  <c r="AS332" i="29"/>
  <c r="L343" i="29"/>
  <c r="AA343" i="29"/>
  <c r="Q343" i="29" s="1"/>
  <c r="AS343" i="29"/>
  <c r="L337" i="29"/>
  <c r="X337" i="29"/>
  <c r="AA337" i="29" s="1"/>
  <c r="Q337" i="29" s="1"/>
  <c r="AP337" i="29"/>
  <c r="AS337" i="29" s="1"/>
  <c r="L338" i="29"/>
  <c r="X338" i="29"/>
  <c r="AA338" i="29" s="1"/>
  <c r="Q338" i="29" s="1"/>
  <c r="AP338" i="29"/>
  <c r="AS338" i="29" s="1"/>
  <c r="L339" i="29"/>
  <c r="X339" i="29"/>
  <c r="AA339" i="29" s="1"/>
  <c r="Q339" i="29" s="1"/>
  <c r="AP339" i="29"/>
  <c r="AS339" i="29" s="1"/>
  <c r="L340" i="29"/>
  <c r="X340" i="29"/>
  <c r="AA340" i="29" s="1"/>
  <c r="AP340" i="29"/>
  <c r="AS340" i="29" s="1"/>
  <c r="L341" i="29"/>
  <c r="AA341" i="29"/>
  <c r="Q341" i="29" s="1"/>
  <c r="AS341" i="29"/>
  <c r="L333" i="29"/>
  <c r="AA333" i="29"/>
  <c r="Q333" i="29" s="1"/>
  <c r="AS333" i="29"/>
  <c r="L335" i="29"/>
  <c r="AA335" i="29"/>
  <c r="Q335" i="29" s="1"/>
  <c r="AS335" i="29"/>
  <c r="L342" i="29"/>
  <c r="AA342" i="29"/>
  <c r="Q342" i="29" s="1"/>
  <c r="L336" i="29"/>
  <c r="Q336" i="29"/>
  <c r="AA336" i="29"/>
  <c r="L326" i="29"/>
  <c r="AA326" i="29"/>
  <c r="AS326" i="29"/>
  <c r="L344" i="29"/>
  <c r="X344" i="29"/>
  <c r="Z344" i="29"/>
  <c r="AP344" i="29"/>
  <c r="AR344" i="29"/>
  <c r="L345" i="29"/>
  <c r="X345" i="29"/>
  <c r="Z345" i="29"/>
  <c r="AP345" i="29"/>
  <c r="AR345" i="29"/>
  <c r="L346" i="29"/>
  <c r="AA346" i="29"/>
  <c r="Q346" i="29" s="1"/>
  <c r="L349" i="29"/>
  <c r="L351" i="29"/>
  <c r="AA351" i="29"/>
  <c r="Q351" i="29" s="1"/>
  <c r="AS351" i="29"/>
  <c r="L352" i="29"/>
  <c r="AA352" i="29"/>
  <c r="Q352" i="29" s="1"/>
  <c r="AS352" i="29"/>
  <c r="L353" i="29"/>
  <c r="AA353" i="29"/>
  <c r="Q353" i="29" s="1"/>
  <c r="L354" i="29"/>
  <c r="AA354" i="29"/>
  <c r="Q354" i="29" s="1"/>
  <c r="AS354" i="29"/>
  <c r="L365" i="29"/>
  <c r="AA365" i="29"/>
  <c r="Q365" i="29" s="1"/>
  <c r="AS365" i="29"/>
  <c r="L356" i="29"/>
  <c r="AA356" i="29"/>
  <c r="AS356" i="29"/>
  <c r="L363" i="29"/>
  <c r="AA363" i="29"/>
  <c r="Q363" i="29" s="1"/>
  <c r="AS363" i="29"/>
  <c r="L362" i="29"/>
  <c r="V362" i="29"/>
  <c r="Q362" i="29" s="1"/>
  <c r="AA362" i="29"/>
  <c r="L361" i="29"/>
  <c r="V361" i="29"/>
  <c r="Q361" i="29" s="1"/>
  <c r="AA361" i="29"/>
  <c r="L367" i="29"/>
  <c r="V367" i="29"/>
  <c r="Q367" i="29" s="1"/>
  <c r="AA367" i="29"/>
  <c r="L355" i="29"/>
  <c r="AA355" i="29"/>
  <c r="Q355" i="29" s="1"/>
  <c r="AS355" i="29"/>
  <c r="L364" i="29"/>
  <c r="AA364" i="29"/>
  <c r="AS364" i="29"/>
  <c r="L369" i="29"/>
  <c r="V369" i="29"/>
  <c r="Q369" i="29" s="1"/>
  <c r="AA369" i="29"/>
  <c r="L372" i="29"/>
  <c r="L375" i="29"/>
  <c r="AA375" i="29"/>
  <c r="Q375" i="29" s="1"/>
  <c r="AS375" i="29"/>
  <c r="L374" i="29"/>
  <c r="L377" i="29"/>
  <c r="AA377" i="29"/>
  <c r="Q377" i="29" s="1"/>
  <c r="AS377" i="29"/>
  <c r="L378" i="29"/>
  <c r="O378" i="29"/>
  <c r="AA378" i="29"/>
  <c r="Q378" i="29" s="1"/>
  <c r="AS378" i="29"/>
  <c r="L379" i="29"/>
  <c r="O379" i="29"/>
  <c r="AA379" i="29"/>
  <c r="Q379" i="29" s="1"/>
  <c r="AS379" i="29"/>
  <c r="L380" i="29"/>
  <c r="O380" i="29"/>
  <c r="AA380" i="29"/>
  <c r="Q380" i="29" s="1"/>
  <c r="L382" i="29"/>
  <c r="O382" i="29"/>
  <c r="AA382" i="29"/>
  <c r="Q382" i="29" s="1"/>
  <c r="AS382" i="29"/>
  <c r="L383" i="29"/>
  <c r="O383" i="29"/>
  <c r="V383" i="29"/>
  <c r="AA383" i="29"/>
  <c r="Q383" i="29" s="1"/>
  <c r="L368" i="29"/>
  <c r="Q368" i="29"/>
  <c r="AA368" i="29"/>
  <c r="L381" i="29"/>
  <c r="Q381" i="29"/>
  <c r="AA381" i="29"/>
  <c r="L395" i="29"/>
  <c r="AA395" i="29"/>
  <c r="Q395" i="29" s="1"/>
  <c r="AS395" i="29"/>
  <c r="L384" i="29"/>
  <c r="AA384" i="29"/>
  <c r="Q384" i="29" s="1"/>
  <c r="AS384" i="29"/>
  <c r="L385" i="29"/>
  <c r="AA385" i="29"/>
  <c r="Q385" i="29" s="1"/>
  <c r="AS385" i="29"/>
  <c r="L386" i="29"/>
  <c r="AA386" i="29"/>
  <c r="Q386" i="29" s="1"/>
  <c r="AS386" i="29"/>
  <c r="L387" i="29"/>
  <c r="AA387" i="29"/>
  <c r="Q387" i="29" s="1"/>
  <c r="AS387" i="29"/>
  <c r="L388" i="29"/>
  <c r="AA388" i="29"/>
  <c r="Q388" i="29" s="1"/>
  <c r="AS388" i="29"/>
  <c r="L389" i="29"/>
  <c r="AA389" i="29"/>
  <c r="Q389" i="29" s="1"/>
  <c r="AS389" i="29"/>
  <c r="L398" i="29"/>
  <c r="O398" i="29"/>
  <c r="AA398" i="29"/>
  <c r="Q398" i="29" s="1"/>
  <c r="AS398" i="29"/>
  <c r="L391" i="29"/>
  <c r="AA391" i="29"/>
  <c r="Q391" i="29" s="1"/>
  <c r="AS391" i="29"/>
  <c r="L399" i="29"/>
  <c r="O399" i="29"/>
  <c r="AA399" i="29"/>
  <c r="Q399" i="29" s="1"/>
  <c r="AS399" i="29"/>
  <c r="L394" i="29"/>
  <c r="AA394" i="29"/>
  <c r="L396" i="29"/>
  <c r="Q396" i="29"/>
  <c r="AA396" i="29"/>
  <c r="L400" i="29"/>
  <c r="O400" i="29"/>
  <c r="Q400" i="29"/>
  <c r="AA400" i="29"/>
  <c r="L401" i="29"/>
  <c r="O401" i="29"/>
  <c r="Q401" i="29"/>
  <c r="AA401" i="29"/>
  <c r="L402" i="29"/>
  <c r="O402" i="29"/>
  <c r="Q402" i="29"/>
  <c r="AA402" i="29"/>
  <c r="L405" i="29"/>
  <c r="O405" i="29"/>
  <c r="U405" i="29"/>
  <c r="Q405" i="29" s="1"/>
  <c r="AA405" i="29"/>
  <c r="L406" i="29"/>
  <c r="O406" i="29"/>
  <c r="Q406" i="29"/>
  <c r="AA406" i="29"/>
  <c r="L409" i="29"/>
  <c r="O409" i="29"/>
  <c r="AA409" i="29"/>
  <c r="Q409" i="29" s="1"/>
  <c r="AS409" i="29"/>
  <c r="L410" i="29"/>
  <c r="O410" i="29"/>
  <c r="AA410" i="29"/>
  <c r="Q410" i="29" s="1"/>
  <c r="AS410" i="29"/>
  <c r="L411" i="29"/>
  <c r="O411" i="29"/>
  <c r="Q411" i="29"/>
  <c r="V411" i="29"/>
  <c r="AA411" i="29"/>
  <c r="L412" i="29"/>
  <c r="O412" i="29"/>
  <c r="AA412" i="29"/>
  <c r="Q412" i="29" s="1"/>
  <c r="AS412" i="29"/>
  <c r="L417" i="29"/>
  <c r="AA417" i="29"/>
  <c r="Q417" i="29" s="1"/>
  <c r="AS417" i="29"/>
  <c r="L416" i="29"/>
  <c r="L418" i="29"/>
  <c r="Q418" i="29"/>
  <c r="AA418" i="29"/>
  <c r="L419" i="29"/>
  <c r="O419" i="29"/>
  <c r="AA419" i="29"/>
  <c r="Q419" i="29" s="1"/>
  <c r="AS419" i="29"/>
  <c r="L422" i="29"/>
  <c r="O422" i="29"/>
  <c r="AA422" i="29"/>
  <c r="AS422" i="29"/>
  <c r="L420" i="29"/>
  <c r="O420" i="29"/>
  <c r="L421" i="29"/>
  <c r="O421" i="29"/>
  <c r="AA421" i="29"/>
  <c r="Q421" i="29" s="1"/>
  <c r="AS421" i="29"/>
  <c r="L424" i="29"/>
  <c r="O424" i="29"/>
  <c r="AA424" i="29"/>
  <c r="Q424" i="29" s="1"/>
  <c r="AS424" i="29"/>
  <c r="L423" i="29"/>
  <c r="O423" i="29"/>
  <c r="AA423" i="29"/>
  <c r="Q423" i="29" s="1"/>
  <c r="AS423" i="29"/>
  <c r="L426" i="29"/>
  <c r="O426" i="29"/>
  <c r="AA426" i="29"/>
  <c r="Q426" i="29" s="1"/>
  <c r="AS426" i="29"/>
  <c r="L428" i="29"/>
  <c r="O428" i="29"/>
  <c r="AA428" i="29"/>
  <c r="Q428" i="29" s="1"/>
  <c r="AS428" i="29"/>
  <c r="L431" i="29"/>
  <c r="O431" i="29"/>
  <c r="AA431" i="29"/>
  <c r="Q431" i="29" s="1"/>
  <c r="L434" i="29"/>
  <c r="O434" i="29"/>
  <c r="AA434" i="29"/>
  <c r="Q434" i="29" s="1"/>
  <c r="AS434" i="29"/>
  <c r="L433" i="29"/>
  <c r="O433" i="29"/>
  <c r="AA433" i="29"/>
  <c r="Q433" i="29" s="1"/>
  <c r="AS433" i="29"/>
  <c r="L438" i="29"/>
  <c r="O438" i="29"/>
  <c r="V438" i="29"/>
  <c r="Q438" i="29" s="1"/>
  <c r="AA438" i="29"/>
  <c r="L442" i="29"/>
  <c r="O442" i="29"/>
  <c r="AA442" i="29"/>
  <c r="Q442" i="29" s="1"/>
  <c r="AS442" i="29"/>
  <c r="L441" i="29"/>
  <c r="AA441" i="29"/>
  <c r="Q441" i="29" s="1"/>
  <c r="AS441" i="29"/>
  <c r="L448" i="29"/>
  <c r="AA448" i="29"/>
  <c r="Q448" i="29" s="1"/>
  <c r="AS448" i="29"/>
  <c r="L446" i="29"/>
  <c r="AA446" i="29"/>
  <c r="Q446" i="29" s="1"/>
  <c r="AS446" i="29"/>
  <c r="L436" i="29"/>
  <c r="Q436" i="29"/>
  <c r="L437" i="29"/>
  <c r="L443" i="29"/>
  <c r="AA443" i="29"/>
  <c r="Q443" i="29" s="1"/>
  <c r="AS443" i="29"/>
  <c r="L449" i="29"/>
  <c r="O449" i="29"/>
  <c r="AA449" i="29"/>
  <c r="Q449" i="29" s="1"/>
  <c r="AS449" i="29"/>
  <c r="L450" i="29"/>
  <c r="O450" i="29"/>
  <c r="AA450" i="29"/>
  <c r="Q450" i="29" s="1"/>
  <c r="AS450" i="29"/>
  <c r="L451" i="29"/>
  <c r="O451" i="29"/>
  <c r="AA451" i="29"/>
  <c r="Q451" i="29" s="1"/>
  <c r="AS451" i="29"/>
  <c r="L453" i="29"/>
  <c r="O453" i="29"/>
  <c r="AA453" i="29"/>
  <c r="Q453" i="29" s="1"/>
  <c r="AS453" i="29"/>
  <c r="L454" i="29"/>
  <c r="O454" i="29"/>
  <c r="AA454" i="29"/>
  <c r="Q454" i="29" s="1"/>
  <c r="AS454" i="29"/>
  <c r="L457" i="29"/>
  <c r="Q457" i="29"/>
  <c r="AA457" i="29"/>
  <c r="L459" i="29"/>
  <c r="AA459" i="29"/>
  <c r="Q459" i="29" s="1"/>
  <c r="AS459" i="29"/>
  <c r="L458" i="29"/>
  <c r="AA458" i="29"/>
  <c r="Q458" i="29" s="1"/>
  <c r="L462" i="29"/>
  <c r="O462" i="29"/>
  <c r="AA462" i="29"/>
  <c r="Q462" i="29" s="1"/>
  <c r="AS462" i="29"/>
  <c r="L465" i="29"/>
  <c r="O465" i="29"/>
  <c r="AA465" i="29"/>
  <c r="Q465" i="29" s="1"/>
  <c r="AS465" i="29"/>
  <c r="L467" i="29"/>
  <c r="O467" i="29"/>
  <c r="AA467" i="29"/>
  <c r="Q467" i="29" s="1"/>
  <c r="AS467" i="29"/>
  <c r="L468" i="29"/>
  <c r="O468" i="29"/>
  <c r="Q468" i="29"/>
  <c r="AA468" i="29"/>
  <c r="L470" i="29"/>
  <c r="O470" i="29"/>
  <c r="AA470" i="29"/>
  <c r="Q470" i="29" s="1"/>
  <c r="AS470" i="29"/>
  <c r="L469" i="29"/>
  <c r="O469" i="29"/>
  <c r="AA469" i="29"/>
  <c r="AS469" i="29"/>
  <c r="L474" i="29"/>
  <c r="O474" i="29"/>
  <c r="AA474" i="29"/>
  <c r="Q474" i="29" s="1"/>
  <c r="L473" i="29"/>
  <c r="O473" i="29"/>
  <c r="L475" i="29"/>
  <c r="O475" i="29"/>
  <c r="AA475" i="29"/>
  <c r="Q475" i="29" s="1"/>
  <c r="AS475" i="29"/>
  <c r="L476" i="29"/>
  <c r="O476" i="29"/>
  <c r="AA476" i="29"/>
  <c r="AS476" i="29"/>
  <c r="L477" i="29"/>
  <c r="O477" i="29"/>
  <c r="AA477" i="29"/>
  <c r="Q477" i="29" s="1"/>
  <c r="AS477" i="29"/>
  <c r="L478" i="29"/>
  <c r="O478" i="29"/>
  <c r="AA478" i="29"/>
  <c r="Q478" i="29" s="1"/>
  <c r="AS478" i="29"/>
  <c r="L479" i="29"/>
  <c r="O479" i="29"/>
  <c r="AA479" i="29"/>
  <c r="Q479" i="29" s="1"/>
  <c r="AS479" i="29"/>
  <c r="L480" i="29"/>
  <c r="O480" i="29"/>
  <c r="Q480" i="29"/>
  <c r="AA480" i="29"/>
  <c r="L481" i="29"/>
  <c r="O481" i="29"/>
  <c r="Q481" i="29"/>
  <c r="AA481" i="29"/>
  <c r="L484" i="29"/>
  <c r="O484" i="29"/>
  <c r="AA484" i="29"/>
  <c r="Q484" i="29" s="1"/>
  <c r="AS484" i="29"/>
  <c r="L486" i="29"/>
  <c r="O486" i="29"/>
  <c r="AA486" i="29"/>
  <c r="Q486" i="29" s="1"/>
  <c r="AS486" i="29"/>
  <c r="L490" i="29"/>
  <c r="O490" i="29"/>
  <c r="L491" i="29"/>
  <c r="O491" i="29"/>
  <c r="Q491" i="29"/>
  <c r="AA491" i="29"/>
  <c r="L494" i="29"/>
  <c r="O494" i="29"/>
  <c r="Q494" i="29"/>
  <c r="AA494" i="29"/>
  <c r="L497" i="29"/>
  <c r="O497" i="29"/>
  <c r="AA497" i="29"/>
  <c r="Q497" i="29" s="1"/>
  <c r="AS497" i="29"/>
  <c r="L498" i="29"/>
  <c r="O498" i="29"/>
  <c r="AA498" i="29"/>
  <c r="Q498" i="29" s="1"/>
  <c r="AS498" i="29"/>
  <c r="L502" i="29"/>
  <c r="O502" i="29"/>
  <c r="Q502" i="29"/>
  <c r="AA502" i="29"/>
  <c r="L501" i="29"/>
  <c r="O501" i="29"/>
  <c r="Q501" i="29"/>
  <c r="L500" i="29"/>
  <c r="AA500" i="29"/>
  <c r="Q500" i="29" s="1"/>
  <c r="AS500" i="29"/>
  <c r="L504" i="29"/>
  <c r="AA504" i="29"/>
  <c r="Q504" i="29" s="1"/>
  <c r="AS504" i="29"/>
  <c r="AT504" i="29" s="1"/>
  <c r="AU504" i="29" s="1"/>
  <c r="L499" i="29"/>
  <c r="AA499" i="29"/>
  <c r="Q499" i="29" s="1"/>
  <c r="AS499" i="29"/>
  <c r="L510" i="29"/>
  <c r="O510" i="29"/>
  <c r="AA510" i="29"/>
  <c r="Q510" i="29" s="1"/>
  <c r="AS510" i="29"/>
  <c r="L509" i="29"/>
  <c r="O509" i="29"/>
  <c r="AA509" i="29"/>
  <c r="Q509" i="29" s="1"/>
  <c r="AS509" i="29"/>
  <c r="L513" i="29"/>
  <c r="O513" i="29"/>
  <c r="AA513" i="29"/>
  <c r="Q513" i="29" s="1"/>
  <c r="AS513" i="29"/>
  <c r="L514" i="29"/>
  <c r="O514" i="29"/>
  <c r="AA514" i="29"/>
  <c r="Q514" i="29" s="1"/>
  <c r="AS514" i="29"/>
  <c r="L517" i="29"/>
  <c r="O517" i="29"/>
  <c r="AA517" i="29"/>
  <c r="Q517" i="29" s="1"/>
  <c r="AS517" i="29"/>
  <c r="L519" i="29"/>
  <c r="O519" i="29"/>
  <c r="AA519" i="29"/>
  <c r="Q519" i="29" s="1"/>
  <c r="AS519" i="29"/>
  <c r="L520" i="29"/>
  <c r="O520" i="29"/>
  <c r="AA520" i="29"/>
  <c r="AS520" i="29"/>
  <c r="L518" i="29"/>
  <c r="O518" i="29"/>
  <c r="AA518" i="29"/>
  <c r="Q518" i="29" s="1"/>
  <c r="AS518" i="29"/>
  <c r="L522" i="29"/>
  <c r="O522" i="29"/>
  <c r="AA522" i="29"/>
  <c r="Q522" i="29" s="1"/>
  <c r="AS522" i="29"/>
  <c r="L523" i="29"/>
  <c r="O523" i="29"/>
  <c r="AA523" i="29"/>
  <c r="Q523" i="29" s="1"/>
  <c r="AS523" i="29"/>
  <c r="L99" i="29"/>
  <c r="Q99" i="29"/>
  <c r="V99" i="29"/>
  <c r="AA99" i="29"/>
  <c r="L532" i="29"/>
  <c r="AA532" i="29"/>
  <c r="Q532" i="29" s="1"/>
  <c r="AS532" i="29"/>
  <c r="L526" i="29"/>
  <c r="AA526" i="29"/>
  <c r="Q526" i="29" s="1"/>
  <c r="AS526" i="29"/>
  <c r="L527" i="29"/>
  <c r="Q527" i="29"/>
  <c r="AA527" i="29"/>
  <c r="L528" i="29"/>
  <c r="Q528" i="29"/>
  <c r="L531" i="29"/>
  <c r="L534" i="29"/>
  <c r="L538" i="29"/>
  <c r="O538" i="29"/>
  <c r="AA538" i="29"/>
  <c r="AS538" i="29"/>
  <c r="L539" i="29"/>
  <c r="O539" i="29"/>
  <c r="AA539" i="29"/>
  <c r="Q539" i="29" s="1"/>
  <c r="AS539" i="29"/>
  <c r="L540" i="29"/>
  <c r="O540" i="29"/>
  <c r="AA540" i="29"/>
  <c r="Q540" i="29" s="1"/>
  <c r="AS540" i="29"/>
  <c r="L542" i="29"/>
  <c r="O542" i="29"/>
  <c r="AA542" i="29"/>
  <c r="Q542" i="29" s="1"/>
  <c r="AS542" i="29"/>
  <c r="L545" i="29"/>
  <c r="O545" i="29"/>
  <c r="AA545" i="29"/>
  <c r="Q545" i="29" s="1"/>
  <c r="AS545" i="29"/>
  <c r="L546" i="29"/>
  <c r="O546" i="29"/>
  <c r="L550" i="29"/>
  <c r="O550" i="29"/>
  <c r="AA550" i="29"/>
  <c r="Q550" i="29" s="1"/>
  <c r="AS550" i="29"/>
  <c r="L551" i="29"/>
  <c r="O551" i="29"/>
  <c r="AA551" i="29"/>
  <c r="Q551" i="29" s="1"/>
  <c r="AS551" i="29"/>
  <c r="L553" i="29"/>
  <c r="O553" i="29"/>
  <c r="L554" i="29"/>
  <c r="O554" i="29"/>
  <c r="Q554" i="29"/>
  <c r="AA554" i="29"/>
  <c r="L556" i="29"/>
  <c r="O556" i="29"/>
  <c r="L558" i="29"/>
  <c r="O558" i="29"/>
  <c r="L559" i="29"/>
  <c r="O559" i="29"/>
  <c r="L560" i="29"/>
  <c r="O560" i="29"/>
  <c r="L555" i="29"/>
  <c r="AA555" i="29"/>
  <c r="Q555" i="29" s="1"/>
  <c r="AS555" i="29"/>
  <c r="L561" i="29"/>
  <c r="O561" i="29"/>
  <c r="L562" i="29"/>
  <c r="O562" i="29"/>
  <c r="AA562" i="29"/>
  <c r="Q562" i="29" s="1"/>
  <c r="AS562" i="29"/>
  <c r="L563" i="29"/>
  <c r="O563" i="29"/>
  <c r="AA563" i="29"/>
  <c r="Q563" i="29" s="1"/>
  <c r="AS563" i="29"/>
  <c r="L564" i="29"/>
  <c r="O564" i="29"/>
  <c r="AA564" i="29"/>
  <c r="Q564" i="29" s="1"/>
  <c r="L566" i="29"/>
  <c r="O566" i="29"/>
  <c r="AA566" i="29"/>
  <c r="Q566" i="29" s="1"/>
  <c r="AS566" i="29"/>
  <c r="L569" i="29"/>
  <c r="O569" i="29"/>
  <c r="AA569" i="29"/>
  <c r="Q569" i="29" s="1"/>
  <c r="AS569" i="29"/>
  <c r="L570" i="29"/>
  <c r="O570" i="29"/>
  <c r="AA570" i="29"/>
  <c r="Q570" i="29" s="1"/>
  <c r="AS570" i="29"/>
  <c r="L565" i="29"/>
  <c r="O565" i="29"/>
  <c r="AA565" i="29"/>
  <c r="Q565" i="29" s="1"/>
  <c r="AS565" i="29"/>
  <c r="L572" i="29"/>
  <c r="O572" i="29"/>
  <c r="L571" i="29"/>
  <c r="O571" i="29"/>
  <c r="L573" i="29"/>
  <c r="O573" i="29"/>
  <c r="AA573" i="29"/>
  <c r="Q573" i="29" s="1"/>
  <c r="AS573" i="29"/>
  <c r="L576" i="29"/>
  <c r="O576" i="29"/>
  <c r="Q576" i="29"/>
  <c r="L578" i="29"/>
  <c r="O578" i="29"/>
  <c r="AA578" i="29"/>
  <c r="Q578" i="29" s="1"/>
  <c r="AS578" i="29"/>
  <c r="L577" i="29"/>
  <c r="O577" i="29"/>
  <c r="L580" i="29"/>
  <c r="O580" i="29"/>
  <c r="Q580" i="29"/>
  <c r="L582" i="29"/>
  <c r="O582" i="29"/>
  <c r="V582" i="29"/>
  <c r="Q582" i="29" s="1"/>
  <c r="AA582" i="29"/>
  <c r="L584" i="29"/>
  <c r="O584" i="29"/>
  <c r="AA584" i="29"/>
  <c r="Q584" i="29" s="1"/>
  <c r="AS584" i="29"/>
  <c r="L587" i="29"/>
  <c r="O587" i="29"/>
  <c r="AA587" i="29"/>
  <c r="Q587" i="29" s="1"/>
  <c r="AS587" i="29"/>
  <c r="L557" i="29"/>
  <c r="AA557" i="29"/>
  <c r="Q557" i="29" s="1"/>
  <c r="AS557" i="29"/>
  <c r="L579" i="29"/>
  <c r="AA579" i="29"/>
  <c r="Q579" i="29" s="1"/>
  <c r="AS579" i="29"/>
  <c r="L586" i="29"/>
  <c r="AA586" i="29"/>
  <c r="Q586" i="29" s="1"/>
  <c r="AS586" i="29"/>
  <c r="L590" i="29"/>
  <c r="AA590" i="29"/>
  <c r="Q590" i="29" s="1"/>
  <c r="AS590" i="29"/>
  <c r="L592" i="29"/>
  <c r="AA592" i="29"/>
  <c r="Q592" i="29" s="1"/>
  <c r="L593" i="29"/>
  <c r="Q593" i="29"/>
  <c r="L594" i="29"/>
  <c r="O594" i="29"/>
  <c r="L599" i="29"/>
  <c r="O599" i="29"/>
  <c r="AA599" i="29"/>
  <c r="Q599" i="29" s="1"/>
  <c r="AS599" i="29"/>
  <c r="L600" i="29"/>
  <c r="O600" i="29"/>
  <c r="AA600" i="29"/>
  <c r="AS600" i="29"/>
  <c r="L598" i="29"/>
  <c r="O598" i="29"/>
  <c r="AA598" i="29"/>
  <c r="Q598" i="29" s="1"/>
  <c r="L602" i="29"/>
  <c r="O602" i="29"/>
  <c r="AA602" i="29"/>
  <c r="Q602" i="29" s="1"/>
  <c r="AS602" i="29"/>
  <c r="L601" i="29"/>
  <c r="O601" i="29"/>
  <c r="AA601" i="29"/>
  <c r="Q601" i="29" s="1"/>
  <c r="AS601" i="29"/>
  <c r="L603" i="29"/>
  <c r="O603" i="29"/>
  <c r="AA603" i="29"/>
  <c r="Q603" i="29" s="1"/>
  <c r="L604" i="29"/>
  <c r="O604" i="29"/>
  <c r="AA604" i="29"/>
  <c r="Q604" i="29" s="1"/>
  <c r="AS604" i="29"/>
  <c r="L605" i="29"/>
  <c r="O605" i="29"/>
  <c r="AA605" i="29"/>
  <c r="Q605" i="29" s="1"/>
  <c r="L610" i="29"/>
  <c r="O610" i="29"/>
  <c r="AA610" i="29"/>
  <c r="Q610" i="29" s="1"/>
  <c r="L612" i="29"/>
  <c r="O612" i="29"/>
  <c r="Q612" i="29"/>
  <c r="AA612" i="29"/>
  <c r="L613" i="29"/>
  <c r="O613" i="29"/>
  <c r="Q613" i="29"/>
  <c r="AA613" i="29"/>
  <c r="L615" i="29"/>
  <c r="O615" i="29"/>
  <c r="Q615" i="29"/>
  <c r="L616" i="29"/>
  <c r="O616" i="29"/>
  <c r="AA616" i="29"/>
  <c r="Q616" i="29" s="1"/>
  <c r="L617" i="29"/>
  <c r="O617" i="29"/>
  <c r="AA617" i="29"/>
  <c r="Q617" i="29" s="1"/>
  <c r="AS617" i="29"/>
  <c r="L618" i="29"/>
  <c r="O618" i="29"/>
  <c r="L621" i="29"/>
  <c r="O621" i="29"/>
  <c r="V621" i="29"/>
  <c r="Q621" i="29" s="1"/>
  <c r="L622" i="29"/>
  <c r="O622" i="29"/>
  <c r="AA622" i="29"/>
  <c r="Q622" i="29" s="1"/>
  <c r="L623" i="29"/>
  <c r="O623" i="29"/>
  <c r="AA623" i="29"/>
  <c r="Q623" i="29" s="1"/>
  <c r="L625" i="29"/>
  <c r="O625" i="29"/>
  <c r="L626" i="29"/>
  <c r="AA626" i="29"/>
  <c r="Q626" i="29" s="1"/>
  <c r="AS626" i="29"/>
  <c r="L628" i="29"/>
  <c r="AA628" i="29"/>
  <c r="Q628" i="29" s="1"/>
  <c r="AS628" i="29"/>
  <c r="L629" i="29"/>
  <c r="AA629" i="29"/>
  <c r="Q629" i="29" s="1"/>
  <c r="AS629" i="29"/>
  <c r="L631" i="29"/>
  <c r="AA631" i="29"/>
  <c r="Q631" i="29" s="1"/>
  <c r="AS631" i="29"/>
  <c r="L630" i="29"/>
  <c r="AA630" i="29"/>
  <c r="Q630" i="29" s="1"/>
  <c r="AS630" i="29"/>
  <c r="L619" i="29"/>
  <c r="L632" i="29"/>
  <c r="O632" i="29"/>
  <c r="AA632" i="29"/>
  <c r="Q632" i="29" s="1"/>
  <c r="AS632" i="29"/>
  <c r="L633" i="29"/>
  <c r="O633" i="29"/>
  <c r="AA633" i="29"/>
  <c r="Q633" i="29" s="1"/>
  <c r="AS633" i="29"/>
  <c r="L636" i="29"/>
  <c r="O636" i="29"/>
  <c r="AA636" i="29"/>
  <c r="Q636" i="29" s="1"/>
  <c r="L640" i="29"/>
  <c r="O640" i="29"/>
  <c r="L639" i="29"/>
  <c r="O639" i="29"/>
  <c r="L643" i="29"/>
  <c r="O643" i="29"/>
  <c r="AA643" i="29"/>
  <c r="Q643" i="29" s="1"/>
  <c r="AS643" i="29"/>
  <c r="L646" i="29"/>
  <c r="O646" i="29"/>
  <c r="AA646" i="29"/>
  <c r="Q646" i="29" s="1"/>
  <c r="AS646" i="29"/>
  <c r="L647" i="29"/>
  <c r="O647" i="29"/>
  <c r="AA647" i="29"/>
  <c r="Q647" i="29" s="1"/>
  <c r="L649" i="29"/>
  <c r="O649" i="29"/>
  <c r="L651" i="29"/>
  <c r="O651" i="29"/>
  <c r="V651" i="29"/>
  <c r="Q651" i="29" s="1"/>
  <c r="L654" i="29"/>
  <c r="O654" i="29"/>
  <c r="L662" i="29"/>
  <c r="AA662" i="29"/>
  <c r="Q662" i="29" s="1"/>
  <c r="AS662" i="29"/>
  <c r="L658" i="29"/>
  <c r="AA658" i="29"/>
  <c r="Q658" i="29" s="1"/>
  <c r="AS658" i="29"/>
  <c r="L655" i="29"/>
  <c r="AA655" i="29"/>
  <c r="Q655" i="29" s="1"/>
  <c r="L634" i="29"/>
  <c r="Q634" i="29"/>
  <c r="AA634" i="29"/>
  <c r="L645" i="29"/>
  <c r="Q645" i="29"/>
  <c r="L653" i="29"/>
  <c r="L659" i="29"/>
  <c r="O659" i="29"/>
  <c r="L665" i="29"/>
  <c r="O665" i="29"/>
  <c r="AA665" i="29"/>
  <c r="Q665" i="29" s="1"/>
  <c r="AS665" i="29"/>
  <c r="L666" i="29"/>
  <c r="O666" i="29"/>
  <c r="AA666" i="29"/>
  <c r="Q666" i="29" s="1"/>
  <c r="L664" i="29"/>
  <c r="O664" i="29"/>
  <c r="L668" i="29"/>
  <c r="O668" i="29"/>
  <c r="AA668" i="29"/>
  <c r="Q668" i="29" s="1"/>
  <c r="AS668" i="29"/>
  <c r="L669" i="29"/>
  <c r="O669" i="29"/>
  <c r="AA669" i="29"/>
  <c r="Q669" i="29" s="1"/>
  <c r="L589" i="29"/>
  <c r="Q589" i="29"/>
  <c r="AA589" i="29"/>
  <c r="L637" i="29"/>
  <c r="Q637" i="29"/>
  <c r="L675" i="29"/>
  <c r="O675" i="29"/>
  <c r="AA675" i="29"/>
  <c r="Q675" i="29" s="1"/>
  <c r="L679" i="29"/>
  <c r="O679" i="29"/>
  <c r="AA679" i="29"/>
  <c r="AS679" i="29"/>
  <c r="L677" i="29"/>
  <c r="O677" i="29"/>
  <c r="AA677" i="29"/>
  <c r="Q677" i="29" s="1"/>
  <c r="L676" i="29"/>
  <c r="O676" i="29"/>
  <c r="Q676" i="29"/>
  <c r="L680" i="29"/>
  <c r="AA680" i="29"/>
  <c r="Q680" i="29" s="1"/>
  <c r="AS680" i="29"/>
  <c r="L678" i="29"/>
  <c r="AA678" i="29"/>
  <c r="Q678" i="29" s="1"/>
  <c r="L685" i="29"/>
  <c r="AA685" i="29"/>
  <c r="Q685" i="29" s="1"/>
  <c r="L674" i="29"/>
  <c r="Q674" i="29"/>
  <c r="L670" i="29"/>
  <c r="AA670" i="29"/>
  <c r="Q670" i="29" s="1"/>
  <c r="AS670" i="29"/>
  <c r="L687" i="29"/>
  <c r="O687" i="29"/>
  <c r="L688" i="29"/>
  <c r="O688" i="29"/>
  <c r="AA688" i="29"/>
  <c r="Q688" i="29" s="1"/>
  <c r="AS688" i="29"/>
  <c r="L690" i="29"/>
  <c r="O690" i="29"/>
  <c r="AA690" i="29"/>
  <c r="Q690" i="29" s="1"/>
  <c r="AS690" i="29"/>
  <c r="L691" i="29"/>
  <c r="O691" i="29"/>
  <c r="AA691" i="29"/>
  <c r="Q691" i="29" s="1"/>
  <c r="AS691" i="29"/>
  <c r="L692" i="29"/>
  <c r="O692" i="29"/>
  <c r="L694" i="29"/>
  <c r="O694" i="29"/>
  <c r="AA694" i="29"/>
  <c r="Q694" i="29" s="1"/>
  <c r="L697" i="29"/>
  <c r="O697" i="29"/>
  <c r="AA697" i="29"/>
  <c r="Q697" i="29" s="1"/>
  <c r="AS697" i="29"/>
  <c r="L698" i="29"/>
  <c r="O698" i="29"/>
  <c r="AA698" i="29"/>
  <c r="AS698" i="29"/>
  <c r="L699" i="29"/>
  <c r="O699" i="29"/>
  <c r="L700" i="29"/>
  <c r="AA700" i="29"/>
  <c r="Q700" i="29" s="1"/>
  <c r="AS700" i="29"/>
  <c r="L705" i="29"/>
  <c r="AA705" i="29"/>
  <c r="Q705" i="29" s="1"/>
  <c r="AS705" i="29"/>
  <c r="L709" i="29"/>
  <c r="AA709" i="29"/>
  <c r="Q709" i="29" s="1"/>
  <c r="AS709" i="29"/>
  <c r="L708" i="29"/>
  <c r="AA708" i="29"/>
  <c r="Q708" i="29" s="1"/>
  <c r="AS708" i="29"/>
  <c r="L710" i="29"/>
  <c r="AA710" i="29"/>
  <c r="Q710" i="29" s="1"/>
  <c r="AS710" i="29"/>
  <c r="L711" i="29"/>
  <c r="AA711" i="29"/>
  <c r="AS711" i="29"/>
  <c r="L704" i="29"/>
  <c r="AA704" i="29"/>
  <c r="Q704" i="29" s="1"/>
  <c r="L707" i="29"/>
  <c r="AA707" i="29"/>
  <c r="Q707" i="29" s="1"/>
  <c r="L715" i="29"/>
  <c r="O715" i="29"/>
  <c r="Q715" i="29"/>
  <c r="AA715" i="29"/>
  <c r="L717" i="29"/>
  <c r="O717" i="29"/>
  <c r="Q717" i="29"/>
  <c r="L726" i="29"/>
  <c r="O726" i="29"/>
  <c r="AA726" i="29"/>
  <c r="Q726" i="29" s="1"/>
  <c r="AS726" i="29"/>
  <c r="L727" i="29"/>
  <c r="O727" i="29"/>
  <c r="AA727" i="29"/>
  <c r="Q727" i="29" s="1"/>
  <c r="L720" i="29"/>
  <c r="AA720" i="29"/>
  <c r="Q720" i="29" s="1"/>
  <c r="AS720" i="29"/>
  <c r="L716" i="29"/>
  <c r="AA716" i="29"/>
  <c r="Q716" i="29" s="1"/>
  <c r="AS716" i="29"/>
  <c r="L722" i="29"/>
  <c r="AA722" i="29"/>
  <c r="Q722" i="29" s="1"/>
  <c r="AS722" i="29"/>
  <c r="L714" i="29"/>
  <c r="AA714" i="29"/>
  <c r="Q714" i="29" s="1"/>
  <c r="AS714" i="29"/>
  <c r="L721" i="29"/>
  <c r="AA721" i="29"/>
  <c r="Q721" i="29" s="1"/>
  <c r="AS721" i="29"/>
  <c r="L718" i="29"/>
  <c r="AA718" i="29"/>
  <c r="Q718" i="29" s="1"/>
  <c r="AS718" i="29"/>
  <c r="L719" i="29"/>
  <c r="AA719" i="29"/>
  <c r="Q719" i="29" s="1"/>
  <c r="L728" i="29"/>
  <c r="AA728" i="29"/>
  <c r="Q728" i="29" s="1"/>
  <c r="L737" i="29"/>
  <c r="AA737" i="29"/>
  <c r="Q737" i="29" s="1"/>
  <c r="L696" i="29"/>
  <c r="Q696" i="29"/>
  <c r="L724" i="29"/>
  <c r="L732" i="29"/>
  <c r="Q732" i="29"/>
  <c r="AA732" i="29"/>
  <c r="L736" i="29"/>
  <c r="Q736" i="29"/>
  <c r="AA736" i="29"/>
  <c r="L741" i="29"/>
  <c r="O741" i="29"/>
  <c r="AA741" i="29"/>
  <c r="Q741" i="29" s="1"/>
  <c r="L743" i="29"/>
  <c r="O743" i="29"/>
  <c r="L751" i="29"/>
  <c r="AA751" i="29"/>
  <c r="Q751" i="29" s="1"/>
  <c r="AS751" i="29"/>
  <c r="L758" i="29"/>
  <c r="AA758" i="29"/>
  <c r="Q758" i="29" s="1"/>
  <c r="AS758" i="29"/>
  <c r="L770" i="29"/>
  <c r="AA770" i="29"/>
  <c r="Q770" i="29" s="1"/>
  <c r="AS770" i="29"/>
  <c r="L756" i="29"/>
  <c r="AA756" i="29"/>
  <c r="Q756" i="29" s="1"/>
  <c r="AS756" i="29"/>
  <c r="L746" i="29"/>
  <c r="V746" i="29"/>
  <c r="AA746" i="29"/>
  <c r="Q746" i="29" s="1"/>
  <c r="AS746" i="29"/>
  <c r="L769" i="29"/>
  <c r="AA769" i="29"/>
  <c r="Q769" i="29" s="1"/>
  <c r="AS769" i="29"/>
  <c r="L755" i="29"/>
  <c r="AA755" i="29"/>
  <c r="Q755" i="29" s="1"/>
  <c r="AS755" i="29"/>
  <c r="L738" i="29"/>
  <c r="AA738" i="29"/>
  <c r="Q738" i="29" s="1"/>
  <c r="L759" i="29"/>
  <c r="AA759" i="29"/>
  <c r="Q759" i="29" s="1"/>
  <c r="L763" i="29"/>
  <c r="AA763" i="29"/>
  <c r="Q763" i="29" s="1"/>
  <c r="L764" i="29"/>
  <c r="AA764" i="29"/>
  <c r="Q764" i="29" s="1"/>
  <c r="AS764" i="29"/>
  <c r="L730" i="29"/>
  <c r="L731" i="29"/>
  <c r="L733" i="29"/>
  <c r="X733" i="29"/>
  <c r="Z733" i="29"/>
  <c r="L749" i="29"/>
  <c r="Q749" i="29"/>
  <c r="L748" i="29"/>
  <c r="Q748" i="29"/>
  <c r="L742" i="29"/>
  <c r="AA742" i="29"/>
  <c r="Q742" i="29" s="1"/>
  <c r="AS742" i="29"/>
  <c r="L765" i="29"/>
  <c r="AA765" i="29"/>
  <c r="AS765" i="29"/>
  <c r="L766" i="29"/>
  <c r="AA766" i="29"/>
  <c r="Q766" i="29" s="1"/>
  <c r="AS766" i="29"/>
  <c r="L772" i="29"/>
  <c r="O772" i="29"/>
  <c r="AA772" i="29"/>
  <c r="Q772" i="29" s="1"/>
  <c r="AS772" i="29"/>
  <c r="L773" i="29"/>
  <c r="O773" i="29"/>
  <c r="Q773" i="29"/>
  <c r="L774" i="29"/>
  <c r="O774" i="29"/>
  <c r="L780" i="29"/>
  <c r="O780" i="29"/>
  <c r="AA780" i="29"/>
  <c r="Q780" i="29" s="1"/>
  <c r="AS780" i="29"/>
  <c r="L781" i="29"/>
  <c r="O781" i="29"/>
  <c r="L783" i="29"/>
  <c r="L771" i="29"/>
  <c r="AA771" i="29"/>
  <c r="AS771" i="29"/>
  <c r="L757" i="29"/>
  <c r="AA757" i="29"/>
  <c r="Q757" i="29" s="1"/>
  <c r="AS757" i="29"/>
  <c r="L776" i="29"/>
  <c r="AA776" i="29"/>
  <c r="AS776" i="29"/>
  <c r="L775" i="29"/>
  <c r="AA775" i="29"/>
  <c r="Q775" i="29" s="1"/>
  <c r="AS775" i="29"/>
  <c r="L793" i="29"/>
  <c r="O793" i="29"/>
  <c r="AA793" i="29"/>
  <c r="Q793" i="29" s="1"/>
  <c r="AS793" i="29"/>
  <c r="L752" i="29"/>
  <c r="V752" i="29"/>
  <c r="AA752" i="29"/>
  <c r="Q752" i="29" s="1"/>
  <c r="L762" i="29"/>
  <c r="AA762" i="29"/>
  <c r="Q762" i="29" s="1"/>
  <c r="L785" i="29"/>
  <c r="AA785" i="29"/>
  <c r="Q785" i="29" s="1"/>
  <c r="L784" i="29"/>
  <c r="AA784" i="29"/>
  <c r="Q784" i="29" s="1"/>
  <c r="L788" i="29"/>
  <c r="V788" i="29"/>
  <c r="AA788" i="29"/>
  <c r="Q788" i="29" s="1"/>
  <c r="L789" i="29"/>
  <c r="AA789" i="29"/>
  <c r="Q789" i="29" s="1"/>
  <c r="AS789" i="29"/>
  <c r="L790" i="29"/>
  <c r="AA790" i="29"/>
  <c r="Q790" i="29" s="1"/>
  <c r="AS790" i="29"/>
  <c r="L777" i="29"/>
  <c r="Q777" i="29"/>
  <c r="L787" i="29"/>
  <c r="L760" i="29"/>
  <c r="AA760" i="29"/>
  <c r="Q760" i="29" s="1"/>
  <c r="AS760" i="29"/>
  <c r="L796" i="29"/>
  <c r="O796" i="29"/>
  <c r="L797" i="29"/>
  <c r="O797" i="29"/>
  <c r="AA797" i="29"/>
  <c r="Q797" i="29" s="1"/>
  <c r="AS797" i="29"/>
  <c r="L798" i="29"/>
  <c r="O798" i="29"/>
  <c r="AA798" i="29"/>
  <c r="Q798" i="29" s="1"/>
  <c r="AS798" i="29"/>
  <c r="L799" i="29"/>
  <c r="O799" i="29"/>
  <c r="AA799" i="29"/>
  <c r="Q799" i="29" s="1"/>
  <c r="AS799" i="29"/>
  <c r="L800" i="29"/>
  <c r="O800" i="29"/>
  <c r="AA800" i="29"/>
  <c r="Q800" i="29" s="1"/>
  <c r="AS800" i="29"/>
  <c r="L802" i="29"/>
  <c r="AA802" i="29"/>
  <c r="Q802" i="29" s="1"/>
  <c r="L801" i="29"/>
  <c r="Q801" i="29"/>
  <c r="L803" i="29"/>
  <c r="AA803" i="29"/>
  <c r="Q803" i="29" s="1"/>
  <c r="AS803" i="29"/>
  <c r="L804" i="29"/>
  <c r="AA804" i="29"/>
  <c r="Q804" i="29" s="1"/>
  <c r="L805" i="29"/>
  <c r="AA805" i="29"/>
  <c r="Q805" i="29" s="1"/>
  <c r="L806" i="29"/>
  <c r="L812" i="29"/>
  <c r="O812" i="29"/>
  <c r="L814" i="29"/>
  <c r="O814" i="29"/>
  <c r="AA814" i="29"/>
  <c r="Q814" i="29" s="1"/>
  <c r="AS814" i="29"/>
  <c r="L816" i="29"/>
  <c r="O816" i="29"/>
  <c r="AA816" i="29"/>
  <c r="Q816" i="29" s="1"/>
  <c r="AS816" i="29"/>
  <c r="L817" i="29"/>
  <c r="O817" i="29"/>
  <c r="AA817" i="29"/>
  <c r="AS817" i="29"/>
  <c r="L819" i="29"/>
  <c r="O819" i="29"/>
  <c r="AA819" i="29"/>
  <c r="Q819" i="29" s="1"/>
  <c r="AS819" i="29"/>
  <c r="L815" i="29"/>
  <c r="O815" i="29"/>
  <c r="L822" i="29"/>
  <c r="O822" i="29"/>
  <c r="AA822" i="29"/>
  <c r="L823" i="29"/>
  <c r="O823" i="29"/>
  <c r="AA823" i="29"/>
  <c r="L825" i="29"/>
  <c r="O825" i="29"/>
  <c r="L826" i="29"/>
  <c r="AA826" i="29"/>
  <c r="Q826" i="29" s="1"/>
  <c r="AS826" i="29"/>
  <c r="L828" i="29"/>
  <c r="AA828" i="29"/>
  <c r="Q828" i="29" s="1"/>
  <c r="AS828" i="29"/>
  <c r="L827" i="29"/>
  <c r="AA827" i="29"/>
  <c r="Q827" i="29" s="1"/>
  <c r="L830" i="29"/>
  <c r="AA830" i="29"/>
  <c r="L831" i="29"/>
  <c r="AA831" i="29"/>
  <c r="L851" i="29"/>
  <c r="L833" i="29"/>
  <c r="O833" i="29"/>
  <c r="AA833" i="29"/>
  <c r="Q833" i="29" s="1"/>
  <c r="AS833" i="29"/>
  <c r="L834" i="29"/>
  <c r="O834" i="29"/>
  <c r="AA834" i="29"/>
  <c r="Q834" i="29" s="1"/>
  <c r="AS834" i="29"/>
  <c r="L835" i="29"/>
  <c r="O835" i="29"/>
  <c r="AA835" i="29"/>
  <c r="Q835" i="29" s="1"/>
  <c r="AS835" i="29"/>
  <c r="L832" i="29"/>
  <c r="O832" i="29"/>
  <c r="Q832" i="29"/>
  <c r="AA832" i="29"/>
  <c r="L839" i="29"/>
  <c r="O839" i="29"/>
  <c r="AA839" i="29"/>
  <c r="AS839" i="29"/>
  <c r="L838" i="29"/>
  <c r="O838" i="29"/>
  <c r="Q838" i="29"/>
  <c r="AA838" i="29"/>
  <c r="L841" i="29"/>
  <c r="O841" i="29"/>
  <c r="Q841" i="29"/>
  <c r="AA841" i="29"/>
  <c r="L843" i="29"/>
  <c r="O843" i="29"/>
  <c r="Q843" i="29"/>
  <c r="L846" i="29"/>
  <c r="O846" i="29"/>
  <c r="AA846" i="29"/>
  <c r="Q846" i="29" s="1"/>
  <c r="L847" i="29"/>
  <c r="O847" i="29"/>
  <c r="AA847" i="29"/>
  <c r="Q847" i="29" s="1"/>
  <c r="L849" i="29"/>
  <c r="O849" i="29"/>
  <c r="AA849" i="29"/>
  <c r="Q849" i="29" s="1"/>
  <c r="AS849" i="29"/>
  <c r="L853" i="29"/>
  <c r="O853" i="29"/>
  <c r="AA853" i="29"/>
  <c r="Q853" i="29" s="1"/>
  <c r="AS853" i="29"/>
  <c r="L852" i="29"/>
  <c r="O852" i="29"/>
  <c r="Q852" i="29"/>
  <c r="L857" i="29"/>
  <c r="O857" i="29"/>
  <c r="AA857" i="29"/>
  <c r="Q857" i="29" s="1"/>
  <c r="AS857" i="29"/>
  <c r="L855" i="29"/>
  <c r="O855" i="29"/>
  <c r="Q855" i="29"/>
  <c r="AA855" i="29"/>
  <c r="L870" i="29"/>
  <c r="O870" i="29"/>
  <c r="L837" i="29"/>
  <c r="AA837" i="29"/>
  <c r="Q837" i="29" s="1"/>
  <c r="AS837" i="29"/>
  <c r="L863" i="29"/>
  <c r="V863" i="29"/>
  <c r="AA863" i="29"/>
  <c r="Q863" i="29" s="1"/>
  <c r="AS863" i="29"/>
  <c r="L862" i="29"/>
  <c r="AA862" i="29"/>
  <c r="Q862" i="29" s="1"/>
  <c r="AS862" i="29"/>
  <c r="L854" i="29"/>
  <c r="Q854" i="29"/>
  <c r="L858" i="29"/>
  <c r="Q858" i="29"/>
  <c r="L859" i="29"/>
  <c r="AA859" i="29"/>
  <c r="L867" i="29"/>
  <c r="Q867" i="29"/>
  <c r="AA867" i="29"/>
  <c r="L868" i="29"/>
  <c r="Q868" i="29"/>
  <c r="AA868" i="29"/>
  <c r="L866" i="29"/>
  <c r="Q866" i="29"/>
  <c r="AA866" i="29"/>
  <c r="L871" i="29"/>
  <c r="Q871" i="29"/>
  <c r="AA871" i="29"/>
  <c r="L872" i="29"/>
  <c r="Q872" i="29"/>
  <c r="AA872" i="29"/>
  <c r="L874" i="29"/>
  <c r="L864" i="29"/>
  <c r="AA864" i="29"/>
  <c r="Q864" i="29" s="1"/>
  <c r="AS864" i="29"/>
  <c r="L877" i="29"/>
  <c r="O877" i="29"/>
  <c r="AA877" i="29"/>
  <c r="Q877" i="29" s="1"/>
  <c r="AS877" i="29"/>
  <c r="L878" i="29"/>
  <c r="O878" i="29"/>
  <c r="AA878" i="29"/>
  <c r="Q878" i="29" s="1"/>
  <c r="AS878" i="29"/>
  <c r="L879" i="29"/>
  <c r="O879" i="29"/>
  <c r="L880" i="29"/>
  <c r="O880" i="29"/>
  <c r="AA880" i="29"/>
  <c r="Q880" i="29" s="1"/>
  <c r="AS880" i="29"/>
  <c r="L881" i="29"/>
  <c r="AA881" i="29"/>
  <c r="Q881" i="29" s="1"/>
  <c r="L884" i="29"/>
  <c r="AA884" i="29"/>
  <c r="Q884" i="29" s="1"/>
  <c r="L882" i="29"/>
  <c r="Q882" i="29"/>
  <c r="AA882" i="29"/>
  <c r="L886" i="29"/>
  <c r="O886" i="29"/>
  <c r="AA886" i="29"/>
  <c r="L887" i="29"/>
  <c r="O887" i="29"/>
  <c r="L889" i="29"/>
  <c r="O889" i="29"/>
  <c r="AA889" i="29"/>
  <c r="Q889" i="29" s="1"/>
  <c r="AS889" i="29"/>
  <c r="Q869" i="29"/>
  <c r="L896" i="29"/>
  <c r="AA896" i="29"/>
  <c r="Q896" i="29" s="1"/>
  <c r="AS896" i="29"/>
  <c r="L865" i="29"/>
  <c r="AA865" i="29"/>
  <c r="Q865" i="29" s="1"/>
  <c r="L883" i="29"/>
  <c r="AA883" i="29"/>
  <c r="Q883" i="29" s="1"/>
  <c r="L885" i="29"/>
  <c r="AA885" i="29"/>
  <c r="Q885" i="29" s="1"/>
  <c r="L888" i="29"/>
  <c r="AA888" i="29"/>
  <c r="Q888" i="29" s="1"/>
  <c r="AS888" i="29"/>
  <c r="L890" i="29"/>
  <c r="AA890" i="29"/>
  <c r="Q890" i="29" s="1"/>
  <c r="L891" i="29"/>
  <c r="AA891" i="29"/>
  <c r="Q891" i="29" s="1"/>
  <c r="L894" i="29"/>
  <c r="AA894" i="29"/>
  <c r="Q894" i="29" s="1"/>
  <c r="L900" i="29"/>
  <c r="AA900" i="29"/>
  <c r="Q900" i="29" s="1"/>
  <c r="L893" i="29"/>
  <c r="Q893" i="29"/>
  <c r="L895" i="29"/>
  <c r="Q895" i="29"/>
  <c r="AA895" i="29"/>
  <c r="L901" i="29"/>
  <c r="O901" i="29"/>
  <c r="L902" i="29"/>
  <c r="O902" i="29"/>
  <c r="AA902" i="29"/>
  <c r="Q902" i="29" s="1"/>
  <c r="AS902" i="29"/>
  <c r="L907" i="29"/>
  <c r="O907" i="29"/>
  <c r="L908" i="29"/>
  <c r="O908" i="29"/>
  <c r="V908" i="29"/>
  <c r="AA908" i="29"/>
  <c r="Q908" i="29" s="1"/>
  <c r="L909" i="29"/>
  <c r="O909" i="29"/>
  <c r="V909" i="29"/>
  <c r="AA909" i="29"/>
  <c r="Q909" i="29" s="1"/>
  <c r="L911" i="29"/>
  <c r="O911" i="29"/>
  <c r="L913" i="29"/>
  <c r="O913" i="29"/>
  <c r="AA913" i="29"/>
  <c r="Q913" i="29" s="1"/>
  <c r="L919" i="29"/>
  <c r="O919" i="29"/>
  <c r="L924" i="29"/>
  <c r="O924" i="29"/>
  <c r="L923" i="29"/>
  <c r="O923" i="29"/>
  <c r="L926" i="29"/>
  <c r="AA926" i="29"/>
  <c r="Q926" i="29" s="1"/>
  <c r="AS926" i="29"/>
  <c r="L931" i="29"/>
  <c r="AA931" i="29"/>
  <c r="Q931" i="29" s="1"/>
  <c r="AS931" i="29"/>
  <c r="L914" i="29"/>
  <c r="AA914" i="29"/>
  <c r="Q914" i="29" s="1"/>
  <c r="AS914" i="29"/>
  <c r="L915" i="29"/>
  <c r="AA915" i="29"/>
  <c r="Q915" i="29" s="1"/>
  <c r="AS915" i="29"/>
  <c r="L916" i="29"/>
  <c r="AA916" i="29"/>
  <c r="Q916" i="29" s="1"/>
  <c r="AS916" i="29"/>
  <c r="L936" i="29"/>
  <c r="AA936" i="29"/>
  <c r="Q936" i="29" s="1"/>
  <c r="AS936" i="29"/>
  <c r="L898" i="29"/>
  <c r="AA898" i="29"/>
  <c r="Q898" i="29" s="1"/>
  <c r="L904" i="29"/>
  <c r="AA904" i="29"/>
  <c r="Q904" i="29" s="1"/>
  <c r="AS904" i="29"/>
  <c r="L920" i="29"/>
  <c r="AA920" i="29"/>
  <c r="Q920" i="29" s="1"/>
  <c r="AS920" i="29"/>
  <c r="L921" i="29"/>
  <c r="AA921" i="29"/>
  <c r="Q921" i="29" s="1"/>
  <c r="AS921" i="29"/>
  <c r="L922" i="29"/>
  <c r="AA922" i="29"/>
  <c r="Q922" i="29" s="1"/>
  <c r="AS922" i="29"/>
  <c r="L930" i="29"/>
  <c r="AA930" i="29"/>
  <c r="Q930" i="29" s="1"/>
  <c r="L934" i="29"/>
  <c r="AA934" i="29"/>
  <c r="Q934" i="29" s="1"/>
  <c r="AS934" i="29"/>
  <c r="L899" i="29"/>
  <c r="Q899" i="29"/>
  <c r="L927" i="29"/>
  <c r="AA927" i="29"/>
  <c r="L928" i="29"/>
  <c r="AA928" i="29"/>
  <c r="L932" i="29"/>
  <c r="L937" i="29"/>
  <c r="L905" i="29"/>
  <c r="AA905" i="29"/>
  <c r="Q905" i="29" s="1"/>
  <c r="AS905" i="29"/>
  <c r="L943" i="29"/>
  <c r="AA943" i="29"/>
  <c r="Q943" i="29" s="1"/>
  <c r="AS943" i="29"/>
  <c r="L929" i="29"/>
  <c r="AA929" i="29"/>
  <c r="Q929" i="29" s="1"/>
  <c r="AS929" i="29"/>
  <c r="L938" i="29"/>
  <c r="AA938" i="29"/>
  <c r="Q938" i="29" s="1"/>
  <c r="AS938" i="29"/>
  <c r="L942" i="29"/>
  <c r="AA942" i="29"/>
  <c r="Q942" i="29" s="1"/>
  <c r="L940" i="29"/>
  <c r="L944" i="29"/>
  <c r="O944" i="29"/>
  <c r="AA944" i="29"/>
  <c r="Q944" i="29" s="1"/>
  <c r="L945" i="29"/>
  <c r="O945" i="29"/>
  <c r="V945" i="29"/>
  <c r="AA945" i="29"/>
  <c r="L955" i="29"/>
  <c r="O955" i="29"/>
  <c r="L956" i="29"/>
  <c r="AA956" i="29"/>
  <c r="Q956" i="29" s="1"/>
  <c r="AS956" i="29"/>
  <c r="L958" i="29"/>
  <c r="AA958" i="29"/>
  <c r="Q958" i="29" s="1"/>
  <c r="AS958" i="29"/>
  <c r="L959" i="29"/>
  <c r="AA959" i="29"/>
  <c r="Q959" i="29" s="1"/>
  <c r="AS959" i="29"/>
  <c r="L961" i="29"/>
  <c r="AA961" i="29"/>
  <c r="Q961" i="29" s="1"/>
  <c r="AS961" i="29"/>
  <c r="L941" i="29"/>
  <c r="AA941" i="29"/>
  <c r="Q941" i="29" s="1"/>
  <c r="AS941" i="29"/>
  <c r="L947" i="29"/>
  <c r="AA947" i="29"/>
  <c r="Q947" i="29" s="1"/>
  <c r="AS947" i="29"/>
  <c r="L952" i="29"/>
  <c r="AA952" i="29"/>
  <c r="Q952" i="29" s="1"/>
  <c r="L962" i="29"/>
  <c r="AA962" i="29"/>
  <c r="Q962" i="29" s="1"/>
  <c r="AS962" i="29"/>
  <c r="L948" i="29"/>
  <c r="S948" i="29"/>
  <c r="L950" i="29"/>
  <c r="S950" i="29"/>
  <c r="L951" i="29"/>
  <c r="Q951" i="29"/>
  <c r="L963" i="29"/>
  <c r="O963" i="29"/>
  <c r="AA963" i="29"/>
  <c r="Q963" i="29" s="1"/>
  <c r="AS963" i="29"/>
  <c r="L966" i="29"/>
  <c r="O966" i="29"/>
  <c r="AA966" i="29"/>
  <c r="Q966" i="29" s="1"/>
  <c r="L970" i="29"/>
  <c r="O970" i="29"/>
  <c r="AA970" i="29"/>
  <c r="Q970" i="29" s="1"/>
  <c r="L969" i="29"/>
  <c r="L974" i="29"/>
  <c r="O974" i="29"/>
  <c r="AA974" i="29"/>
  <c r="L975" i="29"/>
  <c r="O975" i="29"/>
  <c r="AA975" i="29"/>
  <c r="L983" i="29"/>
  <c r="AA983" i="29"/>
  <c r="Q983" i="29" s="1"/>
  <c r="AS983" i="29"/>
  <c r="AV983" i="29"/>
  <c r="L993" i="29"/>
  <c r="AA993" i="29"/>
  <c r="Q993" i="29" s="1"/>
  <c r="AS993" i="29"/>
  <c r="L994" i="29"/>
  <c r="AA994" i="29"/>
  <c r="Q994" i="29" s="1"/>
  <c r="AS994" i="29"/>
  <c r="L996" i="29"/>
  <c r="AA996" i="29"/>
  <c r="Q996" i="29" s="1"/>
  <c r="AS996" i="29"/>
  <c r="L997" i="29"/>
  <c r="AA997" i="29"/>
  <c r="Q997" i="29" s="1"/>
  <c r="AS997" i="29"/>
  <c r="L1002" i="29"/>
  <c r="AA1002" i="29"/>
  <c r="Q1002" i="29" s="1"/>
  <c r="AS1002" i="29"/>
  <c r="L1003" i="29"/>
  <c r="AA1003" i="29"/>
  <c r="Q1003" i="29" s="1"/>
  <c r="AS1003" i="29"/>
  <c r="L957" i="29"/>
  <c r="AA957" i="29"/>
  <c r="Q957" i="29" s="1"/>
  <c r="L976" i="29"/>
  <c r="AA976" i="29"/>
  <c r="Q976" i="29" s="1"/>
  <c r="L977" i="29"/>
  <c r="AA977" i="29"/>
  <c r="Q977" i="29" s="1"/>
  <c r="L979" i="29"/>
  <c r="Q979" i="29"/>
  <c r="L981" i="29"/>
  <c r="AA981" i="29"/>
  <c r="Q981" i="29" s="1"/>
  <c r="AS981" i="29"/>
  <c r="L986" i="29"/>
  <c r="AA986" i="29"/>
  <c r="Q986" i="29" s="1"/>
  <c r="L987" i="29"/>
  <c r="AA987" i="29"/>
  <c r="Q987" i="29" s="1"/>
  <c r="L988" i="29"/>
  <c r="AA988" i="29"/>
  <c r="Q988" i="29" s="1"/>
  <c r="L991" i="29"/>
  <c r="AA991" i="29"/>
  <c r="Q991" i="29" s="1"/>
  <c r="L999" i="29"/>
  <c r="AA999" i="29"/>
  <c r="Q999" i="29" s="1"/>
  <c r="L972" i="29"/>
  <c r="Q972" i="29"/>
  <c r="L973" i="29"/>
  <c r="L984" i="29"/>
  <c r="L982" i="29"/>
  <c r="L985" i="29"/>
  <c r="L998" i="29"/>
  <c r="Q998" i="29"/>
  <c r="AA998" i="29"/>
  <c r="L1009" i="29"/>
  <c r="L1010" i="29"/>
  <c r="L1011" i="29"/>
  <c r="AA1011" i="29"/>
  <c r="Q1011" i="29" s="1"/>
  <c r="AS1011" i="29"/>
  <c r="L1014" i="29"/>
  <c r="AA1014" i="29"/>
  <c r="Q1014" i="29" s="1"/>
  <c r="AS1014" i="29"/>
  <c r="L1024" i="29"/>
  <c r="AA1024" i="29"/>
  <c r="Q1024" i="29" s="1"/>
  <c r="AS1024" i="29"/>
  <c r="L1023" i="29"/>
  <c r="AA1023" i="29"/>
  <c r="Q1023" i="29" s="1"/>
  <c r="AS1023" i="29"/>
  <c r="L1026" i="29"/>
  <c r="AA1026" i="29"/>
  <c r="Q1026" i="29" s="1"/>
  <c r="AS1026" i="29"/>
  <c r="L1031" i="29"/>
  <c r="AA1031" i="29"/>
  <c r="Q1031" i="29" s="1"/>
  <c r="AS1031" i="29"/>
  <c r="L1030" i="29"/>
  <c r="AA1030" i="29"/>
  <c r="Q1030" i="29" s="1"/>
  <c r="AS1030" i="29"/>
  <c r="L1035" i="29"/>
  <c r="AA1035" i="29"/>
  <c r="Q1035" i="29" s="1"/>
  <c r="AS1035" i="29"/>
  <c r="L995" i="29"/>
  <c r="AA995" i="29"/>
  <c r="Q995" i="29" s="1"/>
  <c r="AS995" i="29"/>
  <c r="L1001" i="29"/>
  <c r="AA1001" i="29"/>
  <c r="Q1001" i="29" s="1"/>
  <c r="L1000" i="29"/>
  <c r="AA1000" i="29"/>
  <c r="Q1000" i="29" s="1"/>
  <c r="L1006" i="29"/>
  <c r="AA1006" i="29"/>
  <c r="Q1006" i="29" s="1"/>
  <c r="L1007" i="29"/>
  <c r="AA1007" i="29"/>
  <c r="Q1007" i="29" s="1"/>
  <c r="L1004" i="29"/>
  <c r="X1004" i="29"/>
  <c r="Z1004" i="29"/>
  <c r="L1005" i="29"/>
  <c r="AA1005" i="29"/>
  <c r="Q1005" i="29" s="1"/>
  <c r="L1008" i="29"/>
  <c r="AA1008" i="29"/>
  <c r="Q1008" i="29" s="1"/>
  <c r="L1021" i="29"/>
  <c r="AA1021" i="29"/>
  <c r="Q1021" i="29" s="1"/>
  <c r="L1018" i="29"/>
  <c r="L1020" i="29"/>
  <c r="L1028" i="29"/>
  <c r="AA1028" i="29"/>
  <c r="AS1028" i="29"/>
  <c r="L1015" i="29"/>
  <c r="AA1015" i="29"/>
  <c r="Q1015" i="29" s="1"/>
  <c r="L1027" i="29"/>
  <c r="AA1027" i="29"/>
  <c r="Q1027" i="29" s="1"/>
  <c r="L1029" i="29"/>
  <c r="AA1029" i="29"/>
  <c r="Q1029" i="29" s="1"/>
  <c r="AS1029" i="29"/>
  <c r="L1040" i="29"/>
  <c r="AA1040" i="29"/>
  <c r="Q1040" i="29" s="1"/>
  <c r="L1041" i="29"/>
  <c r="AA1041" i="29"/>
  <c r="Q1041" i="29" s="1"/>
  <c r="L1022" i="29"/>
  <c r="Q1022" i="29"/>
  <c r="L1044" i="29"/>
  <c r="L1047" i="29"/>
  <c r="L1061" i="29"/>
  <c r="AA1061" i="29"/>
  <c r="Q1061" i="29" s="1"/>
  <c r="AS1061" i="29"/>
  <c r="L1016" i="29"/>
  <c r="AA1016" i="29"/>
  <c r="Q1016" i="29" s="1"/>
  <c r="AS1016" i="29"/>
  <c r="L1049" i="29"/>
  <c r="AA1049" i="29"/>
  <c r="Q1049" i="29" s="1"/>
  <c r="L1053" i="29"/>
  <c r="AA1053" i="29"/>
  <c r="Q1053" i="29" s="1"/>
  <c r="L1054" i="29"/>
  <c r="AA1054" i="29"/>
  <c r="Q1054" i="29" s="1"/>
  <c r="L1059" i="29"/>
  <c r="U1059" i="29"/>
  <c r="Q1059" i="29" s="1"/>
  <c r="L1063" i="29"/>
  <c r="Q1063" i="29"/>
  <c r="L1064" i="29"/>
  <c r="Q1064" i="29"/>
  <c r="L1060" i="29"/>
  <c r="AA1060" i="29"/>
  <c r="Q1060" i="29" s="1"/>
  <c r="L1066" i="29"/>
  <c r="AA1066" i="29"/>
  <c r="Q1066" i="29" s="1"/>
  <c r="L1068" i="29"/>
  <c r="AA1068" i="29"/>
  <c r="Q1068" i="29" s="1"/>
  <c r="L1052" i="29"/>
  <c r="Q1052" i="29"/>
  <c r="L1070" i="29"/>
  <c r="AA1070" i="29"/>
  <c r="L1074" i="29"/>
  <c r="AA1074" i="29"/>
  <c r="AS1074" i="29"/>
  <c r="L1075" i="29"/>
  <c r="AA1075" i="29"/>
  <c r="Q1075" i="29" s="1"/>
  <c r="AS1075" i="29"/>
  <c r="L1079" i="29"/>
  <c r="AA1079" i="29"/>
  <c r="Q1079" i="29" s="1"/>
  <c r="L1078" i="29"/>
  <c r="AA1078" i="29"/>
  <c r="Q1078" i="29" s="1"/>
  <c r="L1080" i="29"/>
  <c r="AA1080" i="29"/>
  <c r="Q1080" i="29" s="1"/>
  <c r="L1081" i="29"/>
  <c r="AA1081" i="29"/>
  <c r="Q1081" i="29" s="1"/>
  <c r="L1083" i="29"/>
  <c r="AA1083" i="29"/>
  <c r="Q1083" i="29" s="1"/>
  <c r="L1084" i="29"/>
  <c r="AA1084" i="29"/>
  <c r="Q1084" i="29" s="1"/>
  <c r="AS1084" i="29"/>
  <c r="L1089" i="29"/>
  <c r="AA1089" i="29"/>
  <c r="Q1089" i="29" s="1"/>
  <c r="L1088" i="29"/>
  <c r="AA1088" i="29"/>
  <c r="Q1088" i="29" s="1"/>
  <c r="L1091" i="29"/>
  <c r="AA1091" i="29"/>
  <c r="Q1091" i="29" s="1"/>
  <c r="L1094" i="29"/>
  <c r="AA1094" i="29"/>
  <c r="Q1094" i="29" s="1"/>
  <c r="L829" i="29"/>
  <c r="L1077" i="29"/>
  <c r="Q1077" i="29"/>
  <c r="L1102" i="29"/>
  <c r="L1072" i="29"/>
  <c r="AA1072" i="29"/>
  <c r="Q1072" i="29" s="1"/>
  <c r="L1085" i="29"/>
  <c r="AA1085" i="29"/>
  <c r="Q1085" i="29" s="1"/>
  <c r="AK1085" i="29"/>
  <c r="AS1085" i="29"/>
  <c r="L1095" i="29"/>
  <c r="AA1095" i="29"/>
  <c r="Q1095" i="29" s="1"/>
  <c r="AL1095" i="29" s="1"/>
  <c r="AS1095" i="29"/>
  <c r="L1099" i="29"/>
  <c r="AA1099" i="29"/>
  <c r="Q1099" i="29" s="1"/>
  <c r="AL1099" i="29" s="1"/>
  <c r="L1103" i="29"/>
  <c r="AA1103" i="29"/>
  <c r="Q1103" i="29" s="1"/>
  <c r="AL1103" i="29" s="1"/>
  <c r="L1106" i="29"/>
  <c r="AA1106" i="29"/>
  <c r="Q1106" i="29" s="1"/>
  <c r="AL1106" i="29" s="1"/>
  <c r="L1107" i="29"/>
  <c r="AA1107" i="29"/>
  <c r="Q1107" i="29" s="1"/>
  <c r="AL1107" i="29" s="1"/>
  <c r="L1109" i="29"/>
  <c r="AA1109" i="29"/>
  <c r="Q1109" i="29" s="1"/>
  <c r="AL1109" i="29" s="1"/>
  <c r="AS1109" i="29"/>
  <c r="L1121" i="29"/>
  <c r="AA1121" i="29"/>
  <c r="Q1121" i="29" s="1"/>
  <c r="AL1121" i="29" s="1"/>
  <c r="L1104" i="29"/>
  <c r="Q1104" i="29"/>
  <c r="AL1104" i="29" s="1"/>
  <c r="AA1104" i="29"/>
  <c r="L1105" i="29"/>
  <c r="AL1105" i="29"/>
  <c r="L1110" i="29"/>
  <c r="AA1110" i="29"/>
  <c r="AL1110" i="29"/>
  <c r="L1112" i="29"/>
  <c r="AL1112" i="29"/>
  <c r="L1115" i="29"/>
  <c r="AL1115" i="29"/>
  <c r="L1122" i="29"/>
  <c r="AL1122" i="29"/>
  <c r="L1111" i="29"/>
  <c r="AA1111" i="29"/>
  <c r="Q1111" i="29" s="1"/>
  <c r="AL1111" i="29" s="1"/>
  <c r="L1114" i="29"/>
  <c r="AA1114" i="29"/>
  <c r="Q1114" i="29" s="1"/>
  <c r="AL1114" i="29" s="1"/>
  <c r="L1116" i="29"/>
  <c r="AA1116" i="29"/>
  <c r="Q1116" i="29" s="1"/>
  <c r="AL1116" i="29" s="1"/>
  <c r="AS1116" i="29"/>
  <c r="L1118" i="29"/>
  <c r="AA1118" i="29"/>
  <c r="Q1118" i="29" s="1"/>
  <c r="AL1118" i="29" s="1"/>
  <c r="L1124" i="29"/>
  <c r="AA1124" i="29"/>
  <c r="Q1124" i="29" s="1"/>
  <c r="L1126" i="29"/>
  <c r="AA1126" i="29"/>
  <c r="Q1126" i="29" s="1"/>
  <c r="L1128" i="29"/>
  <c r="AA1128" i="29"/>
  <c r="Q1128" i="29" s="1"/>
  <c r="AL1128" i="29" s="1"/>
  <c r="L1073" i="29"/>
  <c r="Q1073" i="29"/>
  <c r="AL1073" i="29" s="1"/>
  <c r="L1120" i="29"/>
  <c r="AA1120" i="29"/>
  <c r="Q1120" i="29" s="1"/>
  <c r="AL1120" i="29" s="1"/>
  <c r="L1130" i="29"/>
  <c r="AA1130" i="29"/>
  <c r="Q1130" i="29" s="1"/>
  <c r="AL1130" i="29" s="1"/>
  <c r="AS1130" i="29"/>
  <c r="L1131" i="29"/>
  <c r="AA1131" i="29"/>
  <c r="Q1131" i="29" s="1"/>
  <c r="AL1131" i="29" s="1"/>
  <c r="AS1131" i="29"/>
  <c r="L1134" i="29"/>
  <c r="AA1134" i="29"/>
  <c r="Q1134" i="29" s="1"/>
  <c r="L1136" i="29"/>
  <c r="AA1136" i="29"/>
  <c r="Q1136" i="29" s="1"/>
  <c r="L1137" i="29"/>
  <c r="AA1137" i="29"/>
  <c r="Q1137" i="29" s="1"/>
  <c r="AS1137" i="29"/>
  <c r="L1138" i="29"/>
  <c r="AA1138" i="29"/>
  <c r="Q1138" i="29" s="1"/>
  <c r="AS1138" i="29"/>
  <c r="L1140" i="29"/>
  <c r="AA1140" i="29"/>
  <c r="Q1140" i="29" s="1"/>
  <c r="AL1140" i="29" s="1"/>
  <c r="BR1140" i="29"/>
  <c r="BS1140" i="29"/>
  <c r="L1141" i="29"/>
  <c r="AA1141" i="29"/>
  <c r="Q1141" i="29" s="1"/>
  <c r="AS1141" i="29"/>
  <c r="L1144" i="29"/>
  <c r="AA1144" i="29"/>
  <c r="Q1144" i="29" s="1"/>
  <c r="AS1144" i="29"/>
  <c r="L1143" i="29"/>
  <c r="AA1143" i="29"/>
  <c r="Q1143" i="29" s="1"/>
  <c r="AK1143" i="29"/>
  <c r="BQ1143" i="29"/>
  <c r="BR1143" i="29"/>
  <c r="BS1143" i="29"/>
  <c r="L1146" i="29"/>
  <c r="AA1146" i="29"/>
  <c r="Q1146" i="29" s="1"/>
  <c r="L1147" i="29"/>
  <c r="V1147" i="29"/>
  <c r="AA1147" i="29"/>
  <c r="Q1147" i="29" s="1"/>
  <c r="AS1147" i="29"/>
  <c r="L1139" i="29"/>
  <c r="L1142" i="29"/>
  <c r="L1150" i="29"/>
  <c r="AA1150" i="29"/>
  <c r="Q1150" i="29" s="1"/>
  <c r="AJ1150" i="29"/>
  <c r="AK1150" i="29"/>
  <c r="AS1150" i="29"/>
  <c r="L1151" i="29"/>
  <c r="AA1151" i="29"/>
  <c r="Q1151" i="29" s="1"/>
  <c r="AS1151" i="29"/>
  <c r="L1149" i="29"/>
  <c r="L1156" i="29"/>
  <c r="AA1156" i="29"/>
  <c r="Q1156" i="29" s="1"/>
  <c r="AS1156" i="29"/>
  <c r="L1160" i="29"/>
  <c r="AA1160" i="29"/>
  <c r="Q1160" i="29" s="1"/>
  <c r="AJ1160" i="29"/>
  <c r="AK1160" i="29"/>
  <c r="AS1160" i="29"/>
  <c r="L1161" i="29"/>
  <c r="AA1161" i="29"/>
  <c r="Q1161" i="29" s="1"/>
  <c r="AJ1161" i="29"/>
  <c r="AS1161" i="29"/>
  <c r="L1163" i="29"/>
  <c r="AA1163" i="29"/>
  <c r="Q1163" i="29" s="1"/>
  <c r="L1165" i="29"/>
  <c r="V1165" i="29"/>
  <c r="AA1165" i="29"/>
  <c r="Q1165" i="29" s="1"/>
  <c r="BQ1165" i="29"/>
  <c r="BS1165" i="29"/>
  <c r="L1168" i="29"/>
  <c r="AA1168" i="29"/>
  <c r="Q1168" i="29" s="1"/>
  <c r="AI1168" i="29"/>
  <c r="BQ1168" i="29"/>
  <c r="BR1168" i="29"/>
  <c r="L1158" i="29"/>
  <c r="V1158" i="29"/>
  <c r="L1175" i="29"/>
  <c r="AA1175" i="29"/>
  <c r="Q1175" i="29" s="1"/>
  <c r="AJ1175" i="29"/>
  <c r="AS1175" i="29"/>
  <c r="L1176" i="29"/>
  <c r="AA1176" i="29"/>
  <c r="L1178" i="29"/>
  <c r="AA1178" i="29"/>
  <c r="Q1178" i="29" s="1"/>
  <c r="AS1178" i="29"/>
  <c r="L1179" i="29"/>
  <c r="AA1179" i="29"/>
  <c r="Q1179" i="29" s="1"/>
  <c r="AS1179" i="29"/>
  <c r="L1180" i="29"/>
  <c r="AA1180" i="29"/>
  <c r="Q1180" i="29" s="1"/>
  <c r="L1181" i="29"/>
  <c r="AA1181" i="29"/>
  <c r="Q1181" i="29" s="1"/>
  <c r="L1187" i="29"/>
  <c r="AA1187" i="29"/>
  <c r="Q1187" i="29" s="1"/>
  <c r="AK1187" i="29"/>
  <c r="AS1187" i="29"/>
  <c r="L1190" i="29"/>
  <c r="AA1190" i="29"/>
  <c r="Q1190" i="29" s="1"/>
  <c r="L1191" i="29"/>
  <c r="AA1191" i="29"/>
  <c r="Q1191" i="29" s="1"/>
  <c r="AS1191" i="29"/>
  <c r="L1174" i="29"/>
  <c r="Q1174" i="29"/>
  <c r="L1177" i="29"/>
  <c r="L1185" i="29"/>
  <c r="L1196" i="29"/>
  <c r="AA1196" i="29"/>
  <c r="Q1196" i="29" s="1"/>
  <c r="AS1196" i="29"/>
  <c r="L1170" i="29"/>
  <c r="L1202" i="29"/>
  <c r="Q1202" i="29"/>
  <c r="AA1202" i="29"/>
  <c r="L1201" i="29"/>
  <c r="L1209" i="29"/>
  <c r="AA1209" i="29"/>
  <c r="Q1209" i="29" s="1"/>
  <c r="AS1209" i="29"/>
  <c r="L1210" i="29"/>
  <c r="AA1210" i="29"/>
  <c r="Q1210" i="29" s="1"/>
  <c r="AL1210" i="29" s="1"/>
  <c r="L1213" i="29"/>
  <c r="AA1213" i="29"/>
  <c r="Q1213" i="29" s="1"/>
  <c r="AS1213" i="29"/>
  <c r="L1215" i="29"/>
  <c r="AA1215" i="29"/>
  <c r="Q1215" i="29" s="1"/>
  <c r="AS1215" i="29"/>
  <c r="L1214" i="29"/>
  <c r="AA1214" i="29"/>
  <c r="Q1214" i="29" s="1"/>
  <c r="AS1214" i="29"/>
  <c r="L1216" i="29"/>
  <c r="AA1216" i="29"/>
  <c r="Q1216" i="29" s="1"/>
  <c r="AS1216" i="29"/>
  <c r="L1203" i="29"/>
  <c r="L1208" i="29"/>
  <c r="AA1208" i="29"/>
  <c r="Q1208" i="29" s="1"/>
  <c r="L1211" i="29"/>
  <c r="AA1211" i="29"/>
  <c r="Q1211" i="29" s="1"/>
  <c r="AL34" i="56" l="1"/>
  <c r="AT797" i="29"/>
  <c r="AU797" i="29" s="1"/>
  <c r="AT941" i="29"/>
  <c r="AU941" i="29" s="1"/>
  <c r="AT947" i="29"/>
  <c r="AU947" i="29" s="1"/>
  <c r="AT962" i="29"/>
  <c r="AU962" i="29" s="1"/>
  <c r="AT934" i="29"/>
  <c r="AU934" i="29" s="1"/>
  <c r="AT904" i="29"/>
  <c r="AU904" i="29" s="1"/>
  <c r="AX904" i="29" s="1"/>
  <c r="AT929" i="29"/>
  <c r="AU929" i="29" s="1"/>
  <c r="AX929" i="29" s="1"/>
  <c r="AT995" i="29"/>
  <c r="AU995" i="29" s="1"/>
  <c r="AT888" i="29"/>
  <c r="AU888" i="29" s="1"/>
  <c r="AT764" i="29"/>
  <c r="AU764" i="29" s="1"/>
  <c r="AT963" i="29"/>
  <c r="AU963" i="29" s="1"/>
  <c r="AX963" i="29" s="1"/>
  <c r="AT1085" i="29"/>
  <c r="AU1085" i="29" s="1"/>
  <c r="AT1138" i="29"/>
  <c r="AU1138" i="29" s="1"/>
  <c r="AX1138" i="29" s="1"/>
  <c r="AT1116" i="29"/>
  <c r="AU1116" i="29" s="1"/>
  <c r="AX1116" i="29" s="1"/>
  <c r="AT789" i="29"/>
  <c r="AU789" i="29" s="1"/>
  <c r="AT981" i="29"/>
  <c r="AU981" i="29" s="1"/>
  <c r="AT921" i="29"/>
  <c r="AU921" i="29" s="1"/>
  <c r="AX921" i="29" s="1"/>
  <c r="AT920" i="29"/>
  <c r="AU920" i="29" s="1"/>
  <c r="AX920" i="29" s="1"/>
  <c r="AT922" i="29"/>
  <c r="AU922" i="29" s="1"/>
  <c r="AX922" i="29" s="1"/>
  <c r="AT1147" i="29"/>
  <c r="AU1147" i="29" s="1"/>
  <c r="AX1147" i="29" s="1"/>
  <c r="AT1131" i="29"/>
  <c r="AU1131" i="29" s="1"/>
  <c r="AX1131" i="29" s="1"/>
  <c r="AT1144" i="29"/>
  <c r="AU1144" i="29" s="1"/>
  <c r="AX1144" i="29" s="1"/>
  <c r="AT1130" i="29"/>
  <c r="AU1130" i="29" s="1"/>
  <c r="AX1130" i="29" s="1"/>
  <c r="AT790" i="29"/>
  <c r="AU790" i="29" s="1"/>
  <c r="AT1137" i="29"/>
  <c r="AU1137" i="29" s="1"/>
  <c r="AX1137" i="29" s="1"/>
  <c r="AT1141" i="29"/>
  <c r="AU1141" i="29" s="1"/>
  <c r="AT1187" i="29"/>
  <c r="AU1187" i="29" s="1"/>
  <c r="AX1187" i="29" s="1"/>
  <c r="AT1213" i="29"/>
  <c r="AU1213" i="29" s="1"/>
  <c r="AT1179" i="29"/>
  <c r="AU1179" i="29" s="1"/>
  <c r="AX1179" i="29" s="1"/>
  <c r="AT1016" i="29"/>
  <c r="AU1016" i="29" s="1"/>
  <c r="AT1161" i="29"/>
  <c r="AU1161" i="29" s="1"/>
  <c r="AT1216" i="29"/>
  <c r="AU1216" i="29" s="1"/>
  <c r="AX1216" i="29" s="1"/>
  <c r="AT1215" i="29"/>
  <c r="AU1215" i="29" s="1"/>
  <c r="AT1160" i="29"/>
  <c r="AU1160" i="29" s="1"/>
  <c r="AX1160" i="29" s="1"/>
  <c r="AT1214" i="29"/>
  <c r="AU1214" i="29" s="1"/>
  <c r="AT938" i="29"/>
  <c r="AU938" i="29" s="1"/>
  <c r="AX938" i="29" s="1"/>
  <c r="AT1151" i="29"/>
  <c r="AU1151" i="29" s="1"/>
  <c r="AX1151" i="29" s="1"/>
  <c r="AT1178" i="29"/>
  <c r="AU1178" i="29" s="1"/>
  <c r="AX1178" i="29" s="1"/>
  <c r="AT1084" i="29"/>
  <c r="AU1084" i="29" s="1"/>
  <c r="AT1109" i="29"/>
  <c r="AU1109" i="29" s="1"/>
  <c r="AT1095" i="29"/>
  <c r="AU1095" i="29" s="1"/>
  <c r="AX1095" i="29" s="1"/>
  <c r="AT1209" i="29"/>
  <c r="AU1209" i="29" s="1"/>
  <c r="AX1209" i="29" s="1"/>
  <c r="AT1191" i="29"/>
  <c r="AU1191" i="29" s="1"/>
  <c r="AX1191" i="29" s="1"/>
  <c r="AT1196" i="29"/>
  <c r="AU1196" i="29" s="1"/>
  <c r="AX1196" i="29" s="1"/>
  <c r="AT1029" i="29"/>
  <c r="AU1029" i="29" s="1"/>
  <c r="AT1150" i="29"/>
  <c r="AU1150" i="29" s="1"/>
  <c r="AX1150" i="29" s="1"/>
  <c r="AT465" i="29"/>
  <c r="AU465" i="29" s="1"/>
  <c r="Q1176" i="29"/>
  <c r="AL1176" i="29" s="1"/>
  <c r="AL1072" i="29"/>
  <c r="AT1175" i="29"/>
  <c r="AU1175" i="29" s="1"/>
  <c r="AX1175" i="29" s="1"/>
  <c r="AT1156" i="29"/>
  <c r="AU1156" i="29" s="1"/>
  <c r="AL1151" i="29"/>
  <c r="AL1208" i="29"/>
  <c r="AL1136" i="29"/>
  <c r="AL1191" i="29"/>
  <c r="AL1156" i="29"/>
  <c r="AL1124" i="29"/>
  <c r="AL1163" i="29"/>
  <c r="AL1213" i="29"/>
  <c r="AL1181" i="29"/>
  <c r="AL1134" i="29"/>
  <c r="AL1147" i="29"/>
  <c r="AL1179" i="29"/>
  <c r="AL1216" i="29"/>
  <c r="AL1138" i="29"/>
  <c r="AL1196" i="29"/>
  <c r="AL1144" i="29"/>
  <c r="AL1214" i="29"/>
  <c r="AL1165" i="29"/>
  <c r="AL1146" i="29"/>
  <c r="AL1137" i="29"/>
  <c r="AL1190" i="29"/>
  <c r="AL1180" i="29"/>
  <c r="AL1209" i="29"/>
  <c r="AL1141" i="29"/>
  <c r="AL1126" i="29"/>
  <c r="AL1215" i="29"/>
  <c r="AL1178" i="29"/>
  <c r="AA304" i="29"/>
  <c r="Q304" i="29" s="1"/>
  <c r="AA38" i="29"/>
  <c r="Q38" i="29" s="1"/>
  <c r="AL1211" i="29"/>
  <c r="AL1168" i="29"/>
  <c r="AA345" i="29"/>
  <c r="Q345" i="29" s="1"/>
  <c r="AA344" i="29"/>
  <c r="Q344" i="29" s="1"/>
  <c r="AA286" i="29"/>
  <c r="Q286" i="29" s="1"/>
  <c r="AS286" i="29"/>
  <c r="AS133" i="29"/>
  <c r="AA226" i="29"/>
  <c r="Q226" i="29" s="1"/>
  <c r="AT365" i="29"/>
  <c r="AU365" i="29" s="1"/>
  <c r="AT343" i="29"/>
  <c r="AU343" i="29" s="1"/>
  <c r="AT421" i="29"/>
  <c r="AU421" i="29" s="1"/>
  <c r="AT314" i="29"/>
  <c r="AU314" i="29" s="1"/>
  <c r="AT59" i="29"/>
  <c r="AU59" i="29" s="1"/>
  <c r="AT297" i="29"/>
  <c r="AU297" i="29" s="1"/>
  <c r="AT388" i="29"/>
  <c r="AU388" i="29" s="1"/>
  <c r="AT721" i="29"/>
  <c r="AU721" i="29" s="1"/>
  <c r="AX721" i="29" s="1"/>
  <c r="AT993" i="29"/>
  <c r="AU993" i="29" s="1"/>
  <c r="AT569" i="29"/>
  <c r="AU569" i="29" s="1"/>
  <c r="AX569" i="29" s="1"/>
  <c r="AT484" i="29"/>
  <c r="AU484" i="29" s="1"/>
  <c r="AT996" i="29"/>
  <c r="AU996" i="29" s="1"/>
  <c r="AT579" i="29"/>
  <c r="AU579" i="29" s="1"/>
  <c r="AX579" i="29" s="1"/>
  <c r="AT448" i="29"/>
  <c r="AU448" i="29" s="1"/>
  <c r="AT363" i="29"/>
  <c r="AU363" i="29" s="1"/>
  <c r="AT26" i="29"/>
  <c r="AU26" i="29" s="1"/>
  <c r="AT320" i="29"/>
  <c r="AU320" i="29" s="1"/>
  <c r="AT223" i="29"/>
  <c r="AU223" i="29" s="1"/>
  <c r="AT755" i="29"/>
  <c r="AU755" i="29" s="1"/>
  <c r="AX755" i="29" s="1"/>
  <c r="AT705" i="29"/>
  <c r="AU705" i="29" s="1"/>
  <c r="AX705" i="29" s="1"/>
  <c r="AT680" i="29"/>
  <c r="AU680" i="29" s="1"/>
  <c r="AX680" i="29" s="1"/>
  <c r="AT770" i="29"/>
  <c r="AU770" i="29" s="1"/>
  <c r="AX770" i="29" s="1"/>
  <c r="AT280" i="29"/>
  <c r="AU280" i="29" s="1"/>
  <c r="AT780" i="29"/>
  <c r="AU780" i="29" s="1"/>
  <c r="AT227" i="29"/>
  <c r="AU227" i="29" s="1"/>
  <c r="AT165" i="29"/>
  <c r="AU165" i="29" s="1"/>
  <c r="AT519" i="29"/>
  <c r="AU519" i="29" s="1"/>
  <c r="AX519" i="29" s="1"/>
  <c r="AT629" i="29"/>
  <c r="AU629" i="29" s="1"/>
  <c r="AT497" i="29"/>
  <c r="AU497" i="29" s="1"/>
  <c r="AT441" i="29"/>
  <c r="AU441" i="29" s="1"/>
  <c r="AT604" i="29"/>
  <c r="AU604" i="29" s="1"/>
  <c r="AX604" i="29" s="1"/>
  <c r="AT602" i="29"/>
  <c r="AU602" i="29" s="1"/>
  <c r="AX602" i="29" s="1"/>
  <c r="AT658" i="29"/>
  <c r="AU658" i="29" s="1"/>
  <c r="AT880" i="29"/>
  <c r="AU880" i="29" s="1"/>
  <c r="AT803" i="29"/>
  <c r="AU803" i="29" s="1"/>
  <c r="AT708" i="29"/>
  <c r="AU708" i="29" s="1"/>
  <c r="AX708" i="29" s="1"/>
  <c r="AT379" i="29"/>
  <c r="AU379" i="29" s="1"/>
  <c r="AT375" i="29"/>
  <c r="AU375" i="29" s="1"/>
  <c r="AT66" i="29"/>
  <c r="AU66" i="29" s="1"/>
  <c r="AT55" i="29"/>
  <c r="AU55" i="29" s="1"/>
  <c r="AT13" i="29"/>
  <c r="AU13" i="29" s="1"/>
  <c r="AT769" i="29"/>
  <c r="AU769" i="29" s="1"/>
  <c r="AT337" i="29"/>
  <c r="AU337" i="29" s="1"/>
  <c r="AX337" i="29" s="1"/>
  <c r="AT267" i="29"/>
  <c r="AU267" i="29" s="1"/>
  <c r="AT509" i="29"/>
  <c r="AU509" i="29" s="1"/>
  <c r="AT5" i="29"/>
  <c r="AU5" i="29" s="1"/>
  <c r="AT540" i="29"/>
  <c r="AU540" i="29" s="1"/>
  <c r="AT428" i="29"/>
  <c r="AU428" i="29" s="1"/>
  <c r="AT399" i="29"/>
  <c r="AU399" i="29" s="1"/>
  <c r="AX399" i="29" s="1"/>
  <c r="AT204" i="29"/>
  <c r="AU204" i="29" s="1"/>
  <c r="AX204" i="29" s="1"/>
  <c r="AT60" i="29"/>
  <c r="AU60" i="29" s="1"/>
  <c r="AT798" i="29"/>
  <c r="AU798" i="29" s="1"/>
  <c r="AT746" i="29"/>
  <c r="AU746" i="29" s="1"/>
  <c r="AT339" i="29"/>
  <c r="AU339" i="29" s="1"/>
  <c r="AX339" i="29" s="1"/>
  <c r="AT322" i="29"/>
  <c r="AU322" i="29" s="1"/>
  <c r="AT257" i="29"/>
  <c r="AU257" i="29" s="1"/>
  <c r="AT751" i="29"/>
  <c r="AU751" i="29" s="1"/>
  <c r="AT22" i="29"/>
  <c r="AU22" i="29" s="1"/>
  <c r="AT459" i="29"/>
  <c r="AU459" i="29" s="1"/>
  <c r="AT793" i="29"/>
  <c r="AU793" i="29" s="1"/>
  <c r="AT545" i="29"/>
  <c r="AU545" i="29" s="1"/>
  <c r="AX545" i="29" s="1"/>
  <c r="AT351" i="29"/>
  <c r="AU351" i="29" s="1"/>
  <c r="AX351" i="29" s="1"/>
  <c r="AT321" i="29"/>
  <c r="AU321" i="29" s="1"/>
  <c r="AT263" i="29"/>
  <c r="AU263" i="29" s="1"/>
  <c r="AT833" i="29"/>
  <c r="AU833" i="29" s="1"/>
  <c r="AT551" i="29"/>
  <c r="AU551" i="29" s="1"/>
  <c r="AT958" i="29"/>
  <c r="AU958" i="29" s="1"/>
  <c r="AT816" i="29"/>
  <c r="AU816" i="29" s="1"/>
  <c r="AT772" i="29"/>
  <c r="AU772" i="29" s="1"/>
  <c r="AT726" i="29"/>
  <c r="AU726" i="29" s="1"/>
  <c r="AT617" i="29"/>
  <c r="AU617" i="29" s="1"/>
  <c r="AX617" i="29" s="1"/>
  <c r="AT434" i="29"/>
  <c r="AU434" i="29" s="1"/>
  <c r="AT260" i="29"/>
  <c r="AU260" i="29" s="1"/>
  <c r="AT61" i="29"/>
  <c r="AU61" i="29" s="1"/>
  <c r="AT19" i="29"/>
  <c r="AU19" i="29" s="1"/>
  <c r="AT1035" i="29"/>
  <c r="AU1035" i="29" s="1"/>
  <c r="AT1002" i="29"/>
  <c r="AU1002" i="29" s="1"/>
  <c r="AT853" i="29"/>
  <c r="AU853" i="29" s="1"/>
  <c r="AT835" i="29"/>
  <c r="AU835" i="29" s="1"/>
  <c r="AT760" i="29"/>
  <c r="AU760" i="29" s="1"/>
  <c r="AT586" i="29"/>
  <c r="AU586" i="29" s="1"/>
  <c r="AT522" i="29"/>
  <c r="AU522" i="29" s="1"/>
  <c r="AX522" i="29" s="1"/>
  <c r="AT477" i="29"/>
  <c r="AU477" i="29" s="1"/>
  <c r="AX477" i="29" s="1"/>
  <c r="AT409" i="29"/>
  <c r="AU409" i="29" s="1"/>
  <c r="AT166" i="29"/>
  <c r="AU166" i="29" s="1"/>
  <c r="AT96" i="29"/>
  <c r="AU96" i="29" s="1"/>
  <c r="AT17" i="29"/>
  <c r="AU17" i="29" s="1"/>
  <c r="AT720" i="29"/>
  <c r="AU720" i="29" s="1"/>
  <c r="AT451" i="29"/>
  <c r="AU451" i="29" s="1"/>
  <c r="AT41" i="29"/>
  <c r="AU41" i="29" s="1"/>
  <c r="AT578" i="29"/>
  <c r="AU578" i="29" s="1"/>
  <c r="AX578" i="29" s="1"/>
  <c r="AT355" i="29"/>
  <c r="AU355" i="29" s="1"/>
  <c r="AT241" i="29"/>
  <c r="AU241" i="29" s="1"/>
  <c r="AT237" i="29"/>
  <c r="AU237" i="29" s="1"/>
  <c r="AT16" i="29"/>
  <c r="AU16" i="29" s="1"/>
  <c r="AT11" i="29"/>
  <c r="AU11" i="29" s="1"/>
  <c r="AT251" i="29"/>
  <c r="AU251" i="29" s="1"/>
  <c r="AT138" i="29"/>
  <c r="AU138" i="29" s="1"/>
  <c r="AT86" i="29"/>
  <c r="AU86" i="29" s="1"/>
  <c r="AT49" i="29"/>
  <c r="AU49" i="29" s="1"/>
  <c r="AT1014" i="29"/>
  <c r="AU1014" i="29" s="1"/>
  <c r="AT864" i="29"/>
  <c r="AU864" i="29" s="1"/>
  <c r="AT670" i="29"/>
  <c r="AU670" i="29" s="1"/>
  <c r="AT631" i="29"/>
  <c r="AU631" i="29" s="1"/>
  <c r="AT499" i="29"/>
  <c r="AU499" i="29" s="1"/>
  <c r="AT433" i="29"/>
  <c r="AU433" i="29" s="1"/>
  <c r="AX433" i="29" s="1"/>
  <c r="AT386" i="29"/>
  <c r="AU386" i="29" s="1"/>
  <c r="AT395" i="29"/>
  <c r="AU395" i="29" s="1"/>
  <c r="AT936" i="29"/>
  <c r="AU936" i="29" s="1"/>
  <c r="AT931" i="29"/>
  <c r="AU931" i="29" s="1"/>
  <c r="AT837" i="29"/>
  <c r="AU837" i="29" s="1"/>
  <c r="AT742" i="29"/>
  <c r="AU742" i="29" s="1"/>
  <c r="AT756" i="29"/>
  <c r="AU756" i="29" s="1"/>
  <c r="AX756" i="29" s="1"/>
  <c r="AT378" i="29"/>
  <c r="AU378" i="29" s="1"/>
  <c r="AL1187" i="29"/>
  <c r="AL1161" i="29"/>
  <c r="AL1085" i="29"/>
  <c r="AA1004" i="29"/>
  <c r="Q1004" i="29" s="1"/>
  <c r="AS345" i="29"/>
  <c r="AS344" i="29"/>
  <c r="AA303" i="29"/>
  <c r="Q303" i="29" s="1"/>
  <c r="Q136" i="29"/>
  <c r="AA133" i="29"/>
  <c r="Q133" i="29" s="1"/>
  <c r="AT216" i="29"/>
  <c r="AU216" i="29" s="1"/>
  <c r="AT1024" i="29"/>
  <c r="AU1024" i="29" s="1"/>
  <c r="AT915" i="29"/>
  <c r="AU915" i="29" s="1"/>
  <c r="AT826" i="29"/>
  <c r="AU826" i="29" s="1"/>
  <c r="AT709" i="29"/>
  <c r="AU709" i="29" s="1"/>
  <c r="AX709" i="29" s="1"/>
  <c r="AT630" i="29"/>
  <c r="AU630" i="29" s="1"/>
  <c r="AT590" i="29"/>
  <c r="AU590" i="29" s="1"/>
  <c r="AX590" i="29" s="1"/>
  <c r="AT566" i="29"/>
  <c r="AU566" i="29" s="1"/>
  <c r="AT562" i="29"/>
  <c r="AU562" i="29" s="1"/>
  <c r="AX562" i="29" s="1"/>
  <c r="AT478" i="29"/>
  <c r="AU478" i="29" s="1"/>
  <c r="AX478" i="29" s="1"/>
  <c r="AT377" i="29"/>
  <c r="AU377" i="29" s="1"/>
  <c r="AX377" i="29" s="1"/>
  <c r="AT301" i="29"/>
  <c r="AU301" i="29" s="1"/>
  <c r="AX301" i="29" s="1"/>
  <c r="AT277" i="29"/>
  <c r="AU277" i="29" s="1"/>
  <c r="AT269" i="29"/>
  <c r="AU269" i="29" s="1"/>
  <c r="AT245" i="29"/>
  <c r="AU245" i="29" s="1"/>
  <c r="AT246" i="29"/>
  <c r="AU246" i="29" s="1"/>
  <c r="AX246" i="29" s="1"/>
  <c r="AT198" i="29"/>
  <c r="AU198" i="29" s="1"/>
  <c r="AT167" i="29"/>
  <c r="AU167" i="29" s="1"/>
  <c r="AT140" i="29"/>
  <c r="AU140" i="29" s="1"/>
  <c r="AT110" i="29"/>
  <c r="AU110" i="29" s="1"/>
  <c r="AT65" i="29"/>
  <c r="AU65" i="29" s="1"/>
  <c r="AT819" i="29"/>
  <c r="AU819" i="29" s="1"/>
  <c r="AT799" i="29"/>
  <c r="AU799" i="29" s="1"/>
  <c r="AT722" i="29"/>
  <c r="AU722" i="29" s="1"/>
  <c r="AT665" i="29"/>
  <c r="AU665" i="29" s="1"/>
  <c r="AX665" i="29" s="1"/>
  <c r="AT398" i="29"/>
  <c r="AU398" i="29" s="1"/>
  <c r="AT213" i="29"/>
  <c r="AU213" i="29" s="1"/>
  <c r="AT179" i="29"/>
  <c r="AU179" i="29" s="1"/>
  <c r="AT69" i="29"/>
  <c r="AU69" i="29" s="1"/>
  <c r="AT8" i="29"/>
  <c r="AU8" i="29" s="1"/>
  <c r="AT905" i="29"/>
  <c r="AU905" i="29" s="1"/>
  <c r="AT857" i="29"/>
  <c r="AU857" i="29" s="1"/>
  <c r="AT834" i="29"/>
  <c r="AU834" i="29" s="1"/>
  <c r="AT758" i="29"/>
  <c r="AU758" i="29" s="1"/>
  <c r="AT632" i="29"/>
  <c r="AU632" i="29" s="1"/>
  <c r="AX632" i="29" s="1"/>
  <c r="AT518" i="29"/>
  <c r="AU518" i="29" s="1"/>
  <c r="AT331" i="29"/>
  <c r="AU331" i="29" s="1"/>
  <c r="AT262" i="29"/>
  <c r="AU262" i="29" s="1"/>
  <c r="AT137" i="29"/>
  <c r="AU137" i="29" s="1"/>
  <c r="AT89" i="29"/>
  <c r="AU89" i="29" s="1"/>
  <c r="AT78" i="29"/>
  <c r="AU78" i="29" s="1"/>
  <c r="AT169" i="29"/>
  <c r="AU169" i="29" s="1"/>
  <c r="AT131" i="29"/>
  <c r="AU131" i="29" s="1"/>
  <c r="AT121" i="29"/>
  <c r="AU121" i="29" s="1"/>
  <c r="AT217" i="29"/>
  <c r="AU217" i="29" s="1"/>
  <c r="AT135" i="29"/>
  <c r="AU135" i="29" s="1"/>
  <c r="AT70" i="29"/>
  <c r="AU70" i="29" s="1"/>
  <c r="AT817" i="29"/>
  <c r="AU817" i="29" s="1"/>
  <c r="AT1023" i="29"/>
  <c r="AU1023" i="29" s="1"/>
  <c r="AT896" i="29"/>
  <c r="AU896" i="29" s="1"/>
  <c r="AT700" i="29"/>
  <c r="AU700" i="29" s="1"/>
  <c r="AX700" i="29" s="1"/>
  <c r="AT550" i="29"/>
  <c r="AU550" i="29" s="1"/>
  <c r="AT313" i="29"/>
  <c r="AU313" i="29" s="1"/>
  <c r="AT293" i="29"/>
  <c r="AU293" i="29" s="1"/>
  <c r="AX293" i="29" s="1"/>
  <c r="AT181" i="29"/>
  <c r="AU181" i="29" s="1"/>
  <c r="AT168" i="29"/>
  <c r="AU168" i="29" s="1"/>
  <c r="AL1160" i="29"/>
  <c r="AT679" i="29"/>
  <c r="AU679" i="29" s="1"/>
  <c r="Q679" i="29"/>
  <c r="AT1061" i="29"/>
  <c r="AU1061" i="29" s="1"/>
  <c r="AT902" i="29"/>
  <c r="AU902" i="29" s="1"/>
  <c r="AT391" i="29"/>
  <c r="AU391" i="29" s="1"/>
  <c r="AT332" i="29"/>
  <c r="AU332" i="29" s="1"/>
  <c r="AT310" i="29"/>
  <c r="AU310" i="29" s="1"/>
  <c r="AT450" i="29"/>
  <c r="AU450" i="29" s="1"/>
  <c r="AX450" i="29" s="1"/>
  <c r="AT382" i="29"/>
  <c r="AU382" i="29" s="1"/>
  <c r="AU85" i="29"/>
  <c r="AT1003" i="29"/>
  <c r="AU1003" i="29" s="1"/>
  <c r="AT514" i="29"/>
  <c r="AU514" i="29" s="1"/>
  <c r="AT417" i="29"/>
  <c r="AU417" i="29" s="1"/>
  <c r="AX417" i="29" s="1"/>
  <c r="AT113" i="29"/>
  <c r="AU113" i="29" s="1"/>
  <c r="AT410" i="29"/>
  <c r="AU410" i="29" s="1"/>
  <c r="AT426" i="29"/>
  <c r="AU426" i="29" s="1"/>
  <c r="AT424" i="29"/>
  <c r="AU424" i="29" s="1"/>
  <c r="AX424" i="29" s="1"/>
  <c r="AT307" i="29"/>
  <c r="AU307" i="29" s="1"/>
  <c r="AT254" i="29"/>
  <c r="AU254" i="29" s="1"/>
  <c r="AT211" i="29"/>
  <c r="AU211" i="29" s="1"/>
  <c r="AT208" i="29"/>
  <c r="AU208" i="29" s="1"/>
  <c r="AT1026" i="29"/>
  <c r="AU1026" i="29" s="1"/>
  <c r="AT710" i="29"/>
  <c r="AU710" i="29" s="1"/>
  <c r="AX710" i="29" s="1"/>
  <c r="AT470" i="29"/>
  <c r="AU470" i="29" s="1"/>
  <c r="AT422" i="29"/>
  <c r="AU422" i="29" s="1"/>
  <c r="Q422" i="29"/>
  <c r="AT39" i="29"/>
  <c r="AU39" i="29" s="1"/>
  <c r="AL1150" i="29"/>
  <c r="AL1143" i="29"/>
  <c r="AT1074" i="29"/>
  <c r="AU1074" i="29" s="1"/>
  <c r="AT1031" i="29"/>
  <c r="AU1031" i="29" s="1"/>
  <c r="AT997" i="29"/>
  <c r="AU997" i="29" s="1"/>
  <c r="AT877" i="29"/>
  <c r="AU877" i="29" s="1"/>
  <c r="AT771" i="29"/>
  <c r="AU771" i="29" s="1"/>
  <c r="AT766" i="29"/>
  <c r="AU766" i="29" s="1"/>
  <c r="AT668" i="29"/>
  <c r="AU668" i="29" s="1"/>
  <c r="AX668" i="29" s="1"/>
  <c r="AT646" i="29"/>
  <c r="AU646" i="29" s="1"/>
  <c r="AX646" i="29" s="1"/>
  <c r="AT498" i="29"/>
  <c r="AU498" i="29" s="1"/>
  <c r="AX498" i="29" s="1"/>
  <c r="AT479" i="29"/>
  <c r="AU479" i="29" s="1"/>
  <c r="AX479" i="29" s="1"/>
  <c r="AT389" i="29"/>
  <c r="AU389" i="29" s="1"/>
  <c r="AT330" i="29"/>
  <c r="AU330" i="29" s="1"/>
  <c r="AT248" i="29"/>
  <c r="AU248" i="29" s="1"/>
  <c r="AT222" i="29"/>
  <c r="AU222" i="29" s="1"/>
  <c r="AX222" i="29" s="1"/>
  <c r="AT221" i="29"/>
  <c r="AU221" i="29" s="1"/>
  <c r="AT185" i="29"/>
  <c r="AU185" i="29" s="1"/>
  <c r="AT173" i="29"/>
  <c r="AU173" i="29" s="1"/>
  <c r="AT124" i="29"/>
  <c r="AU124" i="29" s="1"/>
  <c r="AL1175" i="29"/>
  <c r="AT916" i="29"/>
  <c r="AU916" i="29" s="1"/>
  <c r="AT863" i="29"/>
  <c r="AU863" i="29" s="1"/>
  <c r="AT775" i="29"/>
  <c r="AU775" i="29" s="1"/>
  <c r="AT587" i="29"/>
  <c r="AU587" i="29" s="1"/>
  <c r="AX587" i="29" s="1"/>
  <c r="AT532" i="29"/>
  <c r="AU532" i="29" s="1"/>
  <c r="AT500" i="29"/>
  <c r="AU500" i="29" s="1"/>
  <c r="AX500" i="29" s="1"/>
  <c r="AT486" i="29"/>
  <c r="AU486" i="29" s="1"/>
  <c r="AX486" i="29" s="1"/>
  <c r="AT467" i="29"/>
  <c r="AU467" i="29" s="1"/>
  <c r="AX467" i="29" s="1"/>
  <c r="AT443" i="29"/>
  <c r="AU443" i="29" s="1"/>
  <c r="AT384" i="29"/>
  <c r="AU384" i="29" s="1"/>
  <c r="AX384" i="29" s="1"/>
  <c r="AT335" i="29"/>
  <c r="AU335" i="29" s="1"/>
  <c r="AT299" i="29"/>
  <c r="AU299" i="29" s="1"/>
  <c r="AT290" i="29"/>
  <c r="AU290" i="29" s="1"/>
  <c r="AT197" i="29"/>
  <c r="AU197" i="29" s="1"/>
  <c r="AT144" i="29"/>
  <c r="AU144" i="29" s="1"/>
  <c r="AT74" i="29"/>
  <c r="AU74" i="29" s="1"/>
  <c r="AT20" i="29"/>
  <c r="AU20" i="29" s="1"/>
  <c r="AT983" i="29"/>
  <c r="AU983" i="29" s="1"/>
  <c r="AT878" i="29"/>
  <c r="AU878" i="29" s="1"/>
  <c r="AT776" i="29"/>
  <c r="AU776" i="29" s="1"/>
  <c r="AT698" i="29"/>
  <c r="AU698" i="29" s="1"/>
  <c r="AX698" i="29" s="1"/>
  <c r="AT453" i="29"/>
  <c r="AU453" i="29" s="1"/>
  <c r="AX453" i="29" s="1"/>
  <c r="AT446" i="29"/>
  <c r="AU446" i="29" s="1"/>
  <c r="AX446" i="29" s="1"/>
  <c r="AT423" i="29"/>
  <c r="AU423" i="29" s="1"/>
  <c r="AT412" i="29"/>
  <c r="AU412" i="29" s="1"/>
  <c r="AT333" i="29"/>
  <c r="AU333" i="29" s="1"/>
  <c r="AT155" i="29"/>
  <c r="AU155" i="29" s="1"/>
  <c r="AT87" i="29"/>
  <c r="AU87" i="29" s="1"/>
  <c r="AT1075" i="29"/>
  <c r="AU1075" i="29" s="1"/>
  <c r="Q698" i="29"/>
  <c r="AT626" i="29"/>
  <c r="AU626" i="29" s="1"/>
  <c r="AX626" i="29" s="1"/>
  <c r="AT584" i="29"/>
  <c r="AU584" i="29" s="1"/>
  <c r="AX584" i="29" s="1"/>
  <c r="AT312" i="29"/>
  <c r="AU312" i="29" s="1"/>
  <c r="AT294" i="29"/>
  <c r="AU294" i="29" s="1"/>
  <c r="AT164" i="29"/>
  <c r="AU164" i="29" s="1"/>
  <c r="AT132" i="29"/>
  <c r="AU132" i="29" s="1"/>
  <c r="AT76" i="29"/>
  <c r="AU76" i="29" s="1"/>
  <c r="AT994" i="29"/>
  <c r="AU994" i="29" s="1"/>
  <c r="AT839" i="29"/>
  <c r="AU839" i="29" s="1"/>
  <c r="AT814" i="29"/>
  <c r="AU814" i="29" s="1"/>
  <c r="AT757" i="29"/>
  <c r="AU757" i="29" s="1"/>
  <c r="AT718" i="29"/>
  <c r="AU718" i="29" s="1"/>
  <c r="AT523" i="29"/>
  <c r="AU523" i="29" s="1"/>
  <c r="AX523" i="29" s="1"/>
  <c r="AT449" i="29"/>
  <c r="AU449" i="29" s="1"/>
  <c r="AX449" i="29" s="1"/>
  <c r="AT442" i="29"/>
  <c r="AU442" i="29" s="1"/>
  <c r="AT419" i="29"/>
  <c r="AU419" i="29" s="1"/>
  <c r="AT387" i="29"/>
  <c r="AU387" i="29" s="1"/>
  <c r="AT220" i="29"/>
  <c r="AU220" i="29" s="1"/>
  <c r="AT195" i="29"/>
  <c r="AU195" i="29" s="1"/>
  <c r="AT111" i="29"/>
  <c r="AU111" i="29" s="1"/>
  <c r="AT697" i="29"/>
  <c r="AU697" i="29" s="1"/>
  <c r="AT643" i="29"/>
  <c r="AU643" i="29" s="1"/>
  <c r="AT601" i="29"/>
  <c r="AU601" i="29" s="1"/>
  <c r="AT557" i="29"/>
  <c r="AU557" i="29" s="1"/>
  <c r="AT573" i="29"/>
  <c r="AU573" i="29" s="1"/>
  <c r="AT555" i="29"/>
  <c r="AU555" i="29" s="1"/>
  <c r="AX555" i="29" s="1"/>
  <c r="AT462" i="29"/>
  <c r="AU462" i="29" s="1"/>
  <c r="AX462" i="29" s="1"/>
  <c r="AT341" i="29"/>
  <c r="AU341" i="29" s="1"/>
  <c r="AT309" i="29"/>
  <c r="AU309" i="29" s="1"/>
  <c r="AT278" i="29"/>
  <c r="AU278" i="29" s="1"/>
  <c r="AT224" i="29"/>
  <c r="AU224" i="29" s="1"/>
  <c r="AT152" i="29"/>
  <c r="AU152" i="29" s="1"/>
  <c r="AT570" i="29"/>
  <c r="AU570" i="29" s="1"/>
  <c r="AX570" i="29" s="1"/>
  <c r="AT961" i="29"/>
  <c r="AU961" i="29" s="1"/>
  <c r="AT943" i="29"/>
  <c r="AU943" i="29" s="1"/>
  <c r="Q711" i="29"/>
  <c r="AT711" i="29"/>
  <c r="AU711" i="29" s="1"/>
  <c r="Q364" i="29"/>
  <c r="AT364" i="29"/>
  <c r="AU364" i="29" s="1"/>
  <c r="AT352" i="29"/>
  <c r="AU352" i="29" s="1"/>
  <c r="AX352" i="29" s="1"/>
  <c r="Q216" i="29"/>
  <c r="AT914" i="29"/>
  <c r="AU914" i="29" s="1"/>
  <c r="Q817" i="29"/>
  <c r="Q1028" i="29"/>
  <c r="AT1028" i="29"/>
  <c r="AU1028" i="29" s="1"/>
  <c r="Q520" i="29"/>
  <c r="AT520" i="29"/>
  <c r="AU520" i="29" s="1"/>
  <c r="Q1074" i="29"/>
  <c r="Q839" i="29"/>
  <c r="Q771" i="29"/>
  <c r="AT563" i="29"/>
  <c r="AU563" i="29" s="1"/>
  <c r="AX563" i="29" s="1"/>
  <c r="Q538" i="29"/>
  <c r="AT538" i="29"/>
  <c r="AU538" i="29" s="1"/>
  <c r="AT316" i="29"/>
  <c r="AU316" i="29" s="1"/>
  <c r="AT469" i="29"/>
  <c r="AU469" i="29" s="1"/>
  <c r="Q469" i="29"/>
  <c r="AT1011" i="29"/>
  <c r="AU1011" i="29" s="1"/>
  <c r="Q29" i="29"/>
  <c r="AT29" i="29"/>
  <c r="AU29" i="29" s="1"/>
  <c r="AT828" i="29"/>
  <c r="AU828" i="29" s="1"/>
  <c r="AT691" i="29"/>
  <c r="AU691" i="29" s="1"/>
  <c r="AX691" i="29" s="1"/>
  <c r="Q326" i="29"/>
  <c r="AT326" i="29"/>
  <c r="AU326" i="29" s="1"/>
  <c r="Q340" i="29"/>
  <c r="AT340" i="29"/>
  <c r="AU340" i="29" s="1"/>
  <c r="AX340" i="29" s="1"/>
  <c r="AT1030" i="29"/>
  <c r="AU1030" i="29" s="1"/>
  <c r="Q776" i="29"/>
  <c r="AT513" i="29"/>
  <c r="AU513" i="29" s="1"/>
  <c r="AX513" i="29" s="1"/>
  <c r="Q215" i="29"/>
  <c r="AT215" i="29"/>
  <c r="AU215" i="29" s="1"/>
  <c r="AT926" i="29"/>
  <c r="AU926" i="29" s="1"/>
  <c r="Q765" i="29"/>
  <c r="AT765" i="29"/>
  <c r="AU765" i="29" s="1"/>
  <c r="AT517" i="29"/>
  <c r="AU517" i="29" s="1"/>
  <c r="AX517" i="29" s="1"/>
  <c r="AT633" i="29"/>
  <c r="AU633" i="29" s="1"/>
  <c r="AX633" i="29" s="1"/>
  <c r="Q600" i="29"/>
  <c r="AT600" i="29"/>
  <c r="AU600" i="29" s="1"/>
  <c r="AX600" i="29" s="1"/>
  <c r="AT510" i="29"/>
  <c r="AU510" i="29" s="1"/>
  <c r="Q476" i="29"/>
  <c r="AT476" i="29"/>
  <c r="AU476" i="29" s="1"/>
  <c r="AX476" i="29" s="1"/>
  <c r="Q325" i="29"/>
  <c r="AT325" i="29"/>
  <c r="AU325" i="29" s="1"/>
  <c r="AT67" i="29"/>
  <c r="AU67" i="29" s="1"/>
  <c r="AX67" i="29" s="1"/>
  <c r="AT688" i="29"/>
  <c r="AU688" i="29" s="1"/>
  <c r="AX688" i="29" s="1"/>
  <c r="AT565" i="29"/>
  <c r="AU565" i="29" s="1"/>
  <c r="AX565" i="29" s="1"/>
  <c r="Q300" i="29"/>
  <c r="AT300" i="29"/>
  <c r="AU300" i="29" s="1"/>
  <c r="Q117" i="29"/>
  <c r="AT117" i="29"/>
  <c r="AU117" i="29" s="1"/>
  <c r="AT959" i="29"/>
  <c r="AU959" i="29" s="1"/>
  <c r="AT956" i="29"/>
  <c r="AU956" i="29" s="1"/>
  <c r="AT889" i="29"/>
  <c r="AU889" i="29" s="1"/>
  <c r="AT862" i="29"/>
  <c r="AU862" i="29" s="1"/>
  <c r="AT849" i="29"/>
  <c r="AU849" i="29" s="1"/>
  <c r="AT800" i="29"/>
  <c r="AU800" i="29" s="1"/>
  <c r="AT690" i="29"/>
  <c r="AU690" i="29" s="1"/>
  <c r="AX690" i="29" s="1"/>
  <c r="AT662" i="29"/>
  <c r="AU662" i="29" s="1"/>
  <c r="AT539" i="29"/>
  <c r="AU539" i="29" s="1"/>
  <c r="AX539" i="29" s="1"/>
  <c r="Q228" i="29"/>
  <c r="AT228" i="29"/>
  <c r="AU228" i="29" s="1"/>
  <c r="AT599" i="29"/>
  <c r="AU599" i="29" s="1"/>
  <c r="AX599" i="29" s="1"/>
  <c r="AT475" i="29"/>
  <c r="AU475" i="29" s="1"/>
  <c r="AX475" i="29" s="1"/>
  <c r="AT454" i="29"/>
  <c r="AU454" i="29" s="1"/>
  <c r="AT255" i="29"/>
  <c r="AU255" i="29" s="1"/>
  <c r="AT134" i="29"/>
  <c r="AU134" i="29" s="1"/>
  <c r="AT716" i="29"/>
  <c r="AU716" i="29" s="1"/>
  <c r="AT385" i="29"/>
  <c r="AU385" i="29" s="1"/>
  <c r="AT338" i="29"/>
  <c r="AU338" i="29" s="1"/>
  <c r="AX338" i="29" s="1"/>
  <c r="AT328" i="29"/>
  <c r="AU328" i="29" s="1"/>
  <c r="AT308" i="29"/>
  <c r="AU308" i="29" s="1"/>
  <c r="AT714" i="29"/>
  <c r="AU714" i="29" s="1"/>
  <c r="AX714" i="29" s="1"/>
  <c r="AT356" i="29"/>
  <c r="AU356" i="29" s="1"/>
  <c r="Q356" i="29"/>
  <c r="Q306" i="29"/>
  <c r="AT306" i="29"/>
  <c r="AU306" i="29" s="1"/>
  <c r="AT156" i="29"/>
  <c r="AU156" i="29" s="1"/>
  <c r="AT123" i="29"/>
  <c r="AU123" i="29" s="1"/>
  <c r="Q88" i="29"/>
  <c r="AT88" i="29"/>
  <c r="AU88" i="29" s="1"/>
  <c r="AT175" i="29"/>
  <c r="AU175" i="29" s="1"/>
  <c r="AT52" i="29"/>
  <c r="AU52" i="29" s="1"/>
  <c r="AT628" i="29"/>
  <c r="AU628" i="29" s="1"/>
  <c r="AT526" i="29"/>
  <c r="AU526" i="29" s="1"/>
  <c r="AX526" i="29" s="1"/>
  <c r="AT256" i="29"/>
  <c r="AU256" i="29" s="1"/>
  <c r="AT190" i="29"/>
  <c r="AU190" i="29" s="1"/>
  <c r="AT64" i="29"/>
  <c r="AU64" i="29" s="1"/>
  <c r="AT542" i="29"/>
  <c r="AU542" i="29" s="1"/>
  <c r="AX542" i="29" s="1"/>
  <c r="AT184" i="29"/>
  <c r="AU184" i="29" s="1"/>
  <c r="AT157" i="29"/>
  <c r="AU157" i="29" s="1"/>
  <c r="AT150" i="29"/>
  <c r="AU150" i="29" s="1"/>
  <c r="AT14" i="29"/>
  <c r="AU14" i="29" s="1"/>
  <c r="AT234" i="29"/>
  <c r="AU234" i="29" s="1"/>
  <c r="AT188" i="29"/>
  <c r="AU188" i="29" s="1"/>
  <c r="AT63" i="29"/>
  <c r="AU63" i="29" s="1"/>
  <c r="AT81" i="29"/>
  <c r="AU81" i="29" s="1"/>
  <c r="AT354" i="29"/>
  <c r="AU354" i="29" s="1"/>
  <c r="AX354" i="29" s="1"/>
  <c r="AT279" i="29"/>
  <c r="AU279" i="29" s="1"/>
  <c r="AT154" i="29"/>
  <c r="AU154" i="29" s="1"/>
  <c r="AT38" i="29" l="1"/>
  <c r="AU38" i="29" s="1"/>
  <c r="AT344" i="29"/>
  <c r="AU344" i="29" s="1"/>
  <c r="AT345" i="29"/>
  <c r="AU345" i="29" s="1"/>
  <c r="AT286" i="29"/>
  <c r="AU286" i="29" s="1"/>
  <c r="AT226" i="29"/>
  <c r="AU226" i="29" s="1"/>
  <c r="AT133" i="29"/>
  <c r="AU133" i="29" s="1"/>
  <c r="Y315" i="49"/>
  <c r="P315" i="49"/>
  <c r="Y316" i="49"/>
  <c r="P316" i="49"/>
  <c r="Y97" i="49"/>
  <c r="P97" i="49"/>
  <c r="AA184" i="52"/>
  <c r="AE28" i="1" l="1"/>
  <c r="AC13" i="18" l="1"/>
  <c r="AS45" i="52"/>
  <c r="BW184" i="52" l="1"/>
  <c r="AS184" i="52"/>
  <c r="AT184" i="52" s="1"/>
  <c r="AU184" i="52" s="1"/>
  <c r="Q184" i="52"/>
  <c r="AL184" i="52" s="1"/>
  <c r="L184" i="52"/>
  <c r="AA192" i="52"/>
  <c r="AS192" i="52" l="1"/>
  <c r="AT192" i="52" s="1"/>
  <c r="AU192" i="52" s="1"/>
  <c r="L192" i="52"/>
  <c r="AS51" i="52"/>
  <c r="AA51" i="52"/>
  <c r="Q51" i="52" s="1"/>
  <c r="AL51" i="52" s="1"/>
  <c r="L51" i="52"/>
  <c r="AS191" i="52"/>
  <c r="AT191" i="52" s="1"/>
  <c r="AU191" i="52" s="1"/>
  <c r="AA191" i="52"/>
  <c r="Q191" i="52" s="1"/>
  <c r="AL191" i="52" s="1"/>
  <c r="L191" i="52"/>
  <c r="AS190" i="52"/>
  <c r="AT190" i="52" s="1"/>
  <c r="AU190" i="52" s="1"/>
  <c r="AK190" i="52"/>
  <c r="AA190" i="52"/>
  <c r="Q190" i="52" s="1"/>
  <c r="L190" i="52"/>
  <c r="AS189" i="52"/>
  <c r="AT189" i="52" s="1"/>
  <c r="AU189" i="52" s="1"/>
  <c r="AA189" i="52"/>
  <c r="Q189" i="52" s="1"/>
  <c r="AL189" i="52" s="1"/>
  <c r="L189" i="52"/>
  <c r="AS188" i="52"/>
  <c r="AT188" i="52" s="1"/>
  <c r="AU188" i="52" s="1"/>
  <c r="AA188" i="52"/>
  <c r="Q188" i="52" s="1"/>
  <c r="AL188" i="52" s="1"/>
  <c r="M188" i="52"/>
  <c r="L188" i="52"/>
  <c r="AS56" i="52"/>
  <c r="AA56" i="52"/>
  <c r="Q56" i="52" s="1"/>
  <c r="AL56" i="52" s="1"/>
  <c r="L56" i="52"/>
  <c r="AS187" i="52"/>
  <c r="AT187" i="52" s="1"/>
  <c r="AU187" i="52" s="1"/>
  <c r="AA187" i="52"/>
  <c r="Q187" i="52" s="1"/>
  <c r="AL187" i="52" s="1"/>
  <c r="L187" i="52"/>
  <c r="AS185" i="52"/>
  <c r="AT185" i="52" s="1"/>
  <c r="AU185" i="52" s="1"/>
  <c r="AJ185" i="52"/>
  <c r="AA185" i="52"/>
  <c r="Q185" i="52" s="1"/>
  <c r="L185" i="52"/>
  <c r="AS186" i="52"/>
  <c r="AT186" i="52" s="1"/>
  <c r="AU186" i="52" s="1"/>
  <c r="AA186" i="52"/>
  <c r="Q186" i="52" s="1"/>
  <c r="AL186" i="52" s="1"/>
  <c r="L186" i="52"/>
  <c r="BS183" i="52"/>
  <c r="BR183" i="52"/>
  <c r="AS183" i="52"/>
  <c r="AT183" i="52" s="1"/>
  <c r="AU183" i="52" s="1"/>
  <c r="AI183" i="52"/>
  <c r="AA183" i="52"/>
  <c r="Q183" i="52" s="1"/>
  <c r="L183" i="52"/>
  <c r="BT182" i="52"/>
  <c r="BR182" i="52"/>
  <c r="AS182" i="52"/>
  <c r="AT182" i="52" s="1"/>
  <c r="AU182" i="52" s="1"/>
  <c r="AA182" i="52"/>
  <c r="Q182" i="52" s="1"/>
  <c r="V182" i="52"/>
  <c r="L182" i="52"/>
  <c r="AS48" i="52"/>
  <c r="AA48" i="52"/>
  <c r="Q48" i="52" s="1"/>
  <c r="AL48" i="52" s="1"/>
  <c r="L48" i="52"/>
  <c r="AS181" i="52"/>
  <c r="AT181" i="52" s="1"/>
  <c r="AU181" i="52" s="1"/>
  <c r="AJ181" i="52"/>
  <c r="AA181" i="52"/>
  <c r="Q181" i="52" s="1"/>
  <c r="L181" i="52"/>
  <c r="AS54" i="52"/>
  <c r="AK54" i="52"/>
  <c r="AJ54" i="52"/>
  <c r="AA54" i="52"/>
  <c r="Q54" i="52" s="1"/>
  <c r="L54" i="52"/>
  <c r="AS180" i="52"/>
  <c r="AT180" i="52" s="1"/>
  <c r="AU180" i="52" s="1"/>
  <c r="AA180" i="52"/>
  <c r="Q180" i="52" s="1"/>
  <c r="AL180" i="52" s="1"/>
  <c r="L180" i="52"/>
  <c r="AS179" i="52"/>
  <c r="AT179" i="52" s="1"/>
  <c r="AU179" i="52" s="1"/>
  <c r="AA179" i="52"/>
  <c r="Q179" i="52" s="1"/>
  <c r="AL179" i="52" s="1"/>
  <c r="L179" i="52"/>
  <c r="AS178" i="52"/>
  <c r="AT178" i="52" s="1"/>
  <c r="AU178" i="52" s="1"/>
  <c r="AK178" i="52"/>
  <c r="AJ178" i="52"/>
  <c r="AA178" i="52"/>
  <c r="Q178" i="52" s="1"/>
  <c r="L178" i="52"/>
  <c r="AS53" i="52"/>
  <c r="AA53" i="52"/>
  <c r="Q53" i="52" s="1"/>
  <c r="AL53" i="52" s="1"/>
  <c r="V53" i="52"/>
  <c r="L53" i="52"/>
  <c r="AS177" i="52"/>
  <c r="AT177" i="52" s="1"/>
  <c r="AU177" i="52" s="1"/>
  <c r="AA177" i="52"/>
  <c r="Q177" i="52" s="1"/>
  <c r="AL177" i="52" s="1"/>
  <c r="L177" i="52"/>
  <c r="BT41" i="52"/>
  <c r="BS41" i="52"/>
  <c r="BR41" i="52"/>
  <c r="AS41" i="52"/>
  <c r="AK41" i="52"/>
  <c r="AA41" i="52"/>
  <c r="L41" i="52"/>
  <c r="AS176" i="52"/>
  <c r="AT176" i="52" s="1"/>
  <c r="AU176" i="52" s="1"/>
  <c r="AA176" i="52"/>
  <c r="Q176" i="52" s="1"/>
  <c r="AL176" i="52" s="1"/>
  <c r="L176" i="52"/>
  <c r="AS173" i="52"/>
  <c r="AT173" i="52" s="1"/>
  <c r="AU173" i="52" s="1"/>
  <c r="AA173" i="52"/>
  <c r="Q173" i="52" s="1"/>
  <c r="AL173" i="52" s="1"/>
  <c r="L173" i="52"/>
  <c r="AS35" i="52"/>
  <c r="AA35" i="52"/>
  <c r="Q35" i="52" s="1"/>
  <c r="AL35" i="52" s="1"/>
  <c r="L35" i="52"/>
  <c r="AS24" i="52"/>
  <c r="AA24" i="52"/>
  <c r="Q24" i="52" s="1"/>
  <c r="AL24" i="52" s="1"/>
  <c r="L24" i="52"/>
  <c r="AS172" i="52"/>
  <c r="AT172" i="52" s="1"/>
  <c r="AU172" i="52" s="1"/>
  <c r="AA172" i="52"/>
  <c r="Q172" i="52" s="1"/>
  <c r="AL172" i="52" s="1"/>
  <c r="L172" i="52"/>
  <c r="AS171" i="52"/>
  <c r="AT171" i="52" s="1"/>
  <c r="AU171" i="52" s="1"/>
  <c r="AA171" i="52"/>
  <c r="Q171" i="52" s="1"/>
  <c r="AL171" i="52" s="1"/>
  <c r="L171" i="52"/>
  <c r="AS37" i="52"/>
  <c r="AA37" i="52"/>
  <c r="Q37" i="52" s="1"/>
  <c r="AL37" i="52" s="1"/>
  <c r="L37" i="52"/>
  <c r="AS174" i="52"/>
  <c r="AT174" i="52" s="1"/>
  <c r="AU174" i="52" s="1"/>
  <c r="AA174" i="52"/>
  <c r="Q174" i="52" s="1"/>
  <c r="AL174" i="52" s="1"/>
  <c r="L174" i="52"/>
  <c r="AS47" i="52"/>
  <c r="AA47" i="52"/>
  <c r="Q47" i="52" s="1"/>
  <c r="AL47" i="52" s="1"/>
  <c r="L47" i="52"/>
  <c r="BT175" i="52"/>
  <c r="BS175" i="52"/>
  <c r="AS175" i="52"/>
  <c r="AT175" i="52" s="1"/>
  <c r="AU175" i="52" s="1"/>
  <c r="AA175" i="52"/>
  <c r="Q175" i="52" s="1"/>
  <c r="AL175" i="52" s="1"/>
  <c r="L175" i="52"/>
  <c r="AS170" i="52"/>
  <c r="AT170" i="52" s="1"/>
  <c r="AU170" i="52" s="1"/>
  <c r="AA170" i="52"/>
  <c r="Q170" i="52" s="1"/>
  <c r="AL170" i="52" s="1"/>
  <c r="L170" i="52"/>
  <c r="AS30" i="52"/>
  <c r="AA30" i="52"/>
  <c r="Q30" i="52" s="1"/>
  <c r="AL30" i="52" s="1"/>
  <c r="L30" i="52"/>
  <c r="AS14" i="52"/>
  <c r="AA14" i="52"/>
  <c r="Q14" i="52" s="1"/>
  <c r="AL14" i="52" s="1"/>
  <c r="L14" i="52"/>
  <c r="AS16" i="52"/>
  <c r="AA16" i="52"/>
  <c r="Q16" i="52" s="1"/>
  <c r="AL16" i="52" s="1"/>
  <c r="L16" i="52"/>
  <c r="AS169" i="52"/>
  <c r="AT169" i="52" s="1"/>
  <c r="AU169" i="52" s="1"/>
  <c r="AA169" i="52"/>
  <c r="Q169" i="52" s="1"/>
  <c r="AL169" i="52" s="1"/>
  <c r="L169" i="52"/>
  <c r="AS38" i="52"/>
  <c r="AA38" i="52"/>
  <c r="Q38" i="52" s="1"/>
  <c r="AL38" i="52" s="1"/>
  <c r="L38" i="52"/>
  <c r="AS17" i="52"/>
  <c r="AA17" i="52"/>
  <c r="Q17" i="52" s="1"/>
  <c r="AL17" i="52" s="1"/>
  <c r="L17" i="52"/>
  <c r="AS31" i="52"/>
  <c r="AA31" i="52"/>
  <c r="Q31" i="52" s="1"/>
  <c r="AL31" i="52" s="1"/>
  <c r="L31" i="52"/>
  <c r="AS168" i="52"/>
  <c r="AT168" i="52" s="1"/>
  <c r="AU168" i="52" s="1"/>
  <c r="AA168" i="52"/>
  <c r="Q168" i="52" s="1"/>
  <c r="AL168" i="52" s="1"/>
  <c r="L168" i="52"/>
  <c r="AS42" i="52"/>
  <c r="AA42" i="52"/>
  <c r="Q42" i="52" s="1"/>
  <c r="AL42" i="52" s="1"/>
  <c r="L42" i="52"/>
  <c r="AS18" i="52"/>
  <c r="AA18" i="52"/>
  <c r="Q18" i="52" s="1"/>
  <c r="AL18" i="52" s="1"/>
  <c r="L18" i="52"/>
  <c r="AS167" i="52"/>
  <c r="AT167" i="52" s="1"/>
  <c r="AU167" i="52" s="1"/>
  <c r="AA167" i="52"/>
  <c r="Q167" i="52" s="1"/>
  <c r="AL167" i="52" s="1"/>
  <c r="L167" i="52"/>
  <c r="AS34" i="52"/>
  <c r="AA34" i="52"/>
  <c r="Q34" i="52" s="1"/>
  <c r="AL34" i="52" s="1"/>
  <c r="L34" i="52"/>
  <c r="AS166" i="52"/>
  <c r="AT166" i="52" s="1"/>
  <c r="AU166" i="52" s="1"/>
  <c r="AA166" i="52"/>
  <c r="Q166" i="52" s="1"/>
  <c r="AL166" i="52" s="1"/>
  <c r="L166" i="52"/>
  <c r="AS162" i="52"/>
  <c r="AT162" i="52" s="1"/>
  <c r="AU162" i="52" s="1"/>
  <c r="AK162" i="52"/>
  <c r="AA162" i="52"/>
  <c r="Q162" i="52" s="1"/>
  <c r="L162" i="52"/>
  <c r="AS157" i="52"/>
  <c r="AT157" i="52" s="1"/>
  <c r="AU157" i="52" s="1"/>
  <c r="AA157" i="52"/>
  <c r="Q157" i="52" s="1"/>
  <c r="AL157" i="52" s="1"/>
  <c r="L157" i="52"/>
  <c r="AS160" i="52"/>
  <c r="AT160" i="52" s="1"/>
  <c r="AU160" i="52" s="1"/>
  <c r="AA160" i="52"/>
  <c r="Q160" i="52" s="1"/>
  <c r="AL160" i="52" s="1"/>
  <c r="L160" i="52"/>
  <c r="AS159" i="52"/>
  <c r="AT159" i="52" s="1"/>
  <c r="AU159" i="52" s="1"/>
  <c r="AA159" i="52"/>
  <c r="L159" i="52"/>
  <c r="AS158" i="52"/>
  <c r="AT158" i="52" s="1"/>
  <c r="AU158" i="52" s="1"/>
  <c r="AA158" i="52"/>
  <c r="Q158" i="52" s="1"/>
  <c r="AL158" i="52" s="1"/>
  <c r="L158" i="52"/>
  <c r="AS164" i="52"/>
  <c r="AT164" i="52" s="1"/>
  <c r="AU164" i="52" s="1"/>
  <c r="AA164" i="52"/>
  <c r="Q164" i="52" s="1"/>
  <c r="AL164" i="52" s="1"/>
  <c r="L164" i="52"/>
  <c r="AS33" i="52"/>
  <c r="AA33" i="52"/>
  <c r="Q33" i="52" s="1"/>
  <c r="L33" i="52"/>
  <c r="AS163" i="52"/>
  <c r="AT163" i="52" s="1"/>
  <c r="AU163" i="52" s="1"/>
  <c r="AA163" i="52"/>
  <c r="Q163" i="52" s="1"/>
  <c r="L163" i="52"/>
  <c r="AS161" i="52"/>
  <c r="AT161" i="52" s="1"/>
  <c r="AU161" i="52" s="1"/>
  <c r="AA161" i="52"/>
  <c r="Q161" i="52" s="1"/>
  <c r="AL161" i="52" s="1"/>
  <c r="L161" i="52"/>
  <c r="AS46" i="52"/>
  <c r="AA46" i="52"/>
  <c r="Q46" i="52" s="1"/>
  <c r="AL46" i="52" s="1"/>
  <c r="L46" i="52"/>
  <c r="AS15" i="52"/>
  <c r="AA15" i="52"/>
  <c r="Q15" i="52" s="1"/>
  <c r="AL15" i="52" s="1"/>
  <c r="L15" i="52"/>
  <c r="AS165" i="52"/>
  <c r="AT165" i="52" s="1"/>
  <c r="AU165" i="52" s="1"/>
  <c r="AA165" i="52"/>
  <c r="Q165" i="52" s="1"/>
  <c r="AL165" i="52" s="1"/>
  <c r="L165" i="52"/>
  <c r="AS23" i="52"/>
  <c r="AA23" i="52"/>
  <c r="Q23" i="52" s="1"/>
  <c r="AL23" i="52" s="1"/>
  <c r="L23" i="52"/>
  <c r="AS10" i="52"/>
  <c r="AA10" i="52"/>
  <c r="Q10" i="52" s="1"/>
  <c r="AL10" i="52" s="1"/>
  <c r="L10" i="52"/>
  <c r="AS156" i="52"/>
  <c r="AT156" i="52" s="1"/>
  <c r="AU156" i="52" s="1"/>
  <c r="AA156" i="52"/>
  <c r="Q156" i="52" s="1"/>
  <c r="AL156" i="52" s="1"/>
  <c r="L156" i="52"/>
  <c r="AS155" i="52"/>
  <c r="AT155" i="52" s="1"/>
  <c r="AU155" i="52" s="1"/>
  <c r="AA155" i="52"/>
  <c r="Q155" i="52" s="1"/>
  <c r="AL155" i="52" s="1"/>
  <c r="L155" i="52"/>
  <c r="AS40" i="52"/>
  <c r="AA40" i="52"/>
  <c r="Q40" i="52" s="1"/>
  <c r="AL40" i="52" s="1"/>
  <c r="L40" i="52"/>
  <c r="AS149" i="52"/>
  <c r="AT149" i="52" s="1"/>
  <c r="AU149" i="52" s="1"/>
  <c r="AA149" i="52"/>
  <c r="Q149" i="52" s="1"/>
  <c r="AL149" i="52" s="1"/>
  <c r="L149" i="52"/>
  <c r="AS26" i="52"/>
  <c r="AA26" i="52"/>
  <c r="Q26" i="52" s="1"/>
  <c r="AL26" i="52" s="1"/>
  <c r="L26" i="52"/>
  <c r="AS150" i="52"/>
  <c r="AT150" i="52" s="1"/>
  <c r="AU150" i="52" s="1"/>
  <c r="AA150" i="52"/>
  <c r="Q150" i="52" s="1"/>
  <c r="AL150" i="52" s="1"/>
  <c r="L150" i="52"/>
  <c r="AS154" i="52"/>
  <c r="AT154" i="52" s="1"/>
  <c r="AU154" i="52" s="1"/>
  <c r="AA154" i="52"/>
  <c r="Q154" i="52" s="1"/>
  <c r="AL154" i="52" s="1"/>
  <c r="L154" i="52"/>
  <c r="AS153" i="52"/>
  <c r="AT153" i="52" s="1"/>
  <c r="AU153" i="52" s="1"/>
  <c r="AA153" i="52"/>
  <c r="Q153" i="52" s="1"/>
  <c r="AL153" i="52" s="1"/>
  <c r="L153" i="52"/>
  <c r="AS152" i="52"/>
  <c r="AT152" i="52" s="1"/>
  <c r="AU152" i="52" s="1"/>
  <c r="AA152" i="52"/>
  <c r="Q152" i="52" s="1"/>
  <c r="AL152" i="52" s="1"/>
  <c r="L152" i="52"/>
  <c r="AS32" i="52"/>
  <c r="AA32" i="52"/>
  <c r="Q32" i="52" s="1"/>
  <c r="AL32" i="52" s="1"/>
  <c r="L32" i="52"/>
  <c r="AS148" i="52"/>
  <c r="AT148" i="52" s="1"/>
  <c r="AU148" i="52" s="1"/>
  <c r="AA148" i="52"/>
  <c r="Q148" i="52" s="1"/>
  <c r="AL148" i="52" s="1"/>
  <c r="L148" i="52"/>
  <c r="AS140" i="52"/>
  <c r="AT140" i="52" s="1"/>
  <c r="AU140" i="52" s="1"/>
  <c r="AA140" i="52"/>
  <c r="Q140" i="52" s="1"/>
  <c r="AL140" i="52" s="1"/>
  <c r="L140" i="52"/>
  <c r="AS151" i="52"/>
  <c r="AT151" i="52" s="1"/>
  <c r="AU151" i="52" s="1"/>
  <c r="AA151" i="52"/>
  <c r="Q151" i="52" s="1"/>
  <c r="AL151" i="52" s="1"/>
  <c r="L151" i="52"/>
  <c r="AS145" i="52"/>
  <c r="AT145" i="52" s="1"/>
  <c r="AU145" i="52" s="1"/>
  <c r="AA145" i="52"/>
  <c r="Q145" i="52" s="1"/>
  <c r="AL145" i="52" s="1"/>
  <c r="L145" i="52"/>
  <c r="AS144" i="52"/>
  <c r="AT144" i="52" s="1"/>
  <c r="AU144" i="52" s="1"/>
  <c r="AA144" i="52"/>
  <c r="Q144" i="52" s="1"/>
  <c r="AL144" i="52" s="1"/>
  <c r="L144" i="52"/>
  <c r="AS141" i="52"/>
  <c r="AT141" i="52" s="1"/>
  <c r="AU141" i="52" s="1"/>
  <c r="AA141" i="52"/>
  <c r="Q141" i="52" s="1"/>
  <c r="AL141" i="52" s="1"/>
  <c r="L141" i="52"/>
  <c r="AS147" i="52"/>
  <c r="AT147" i="52" s="1"/>
  <c r="AU147" i="52" s="1"/>
  <c r="AA147" i="52"/>
  <c r="Q147" i="52" s="1"/>
  <c r="AL147" i="52" s="1"/>
  <c r="L147" i="52"/>
  <c r="AS146" i="52"/>
  <c r="AT146" i="52" s="1"/>
  <c r="AU146" i="52" s="1"/>
  <c r="Z146" i="52"/>
  <c r="X146" i="52"/>
  <c r="L146" i="52"/>
  <c r="AS143" i="52"/>
  <c r="AT143" i="52" s="1"/>
  <c r="AU143" i="52" s="1"/>
  <c r="AA143" i="52"/>
  <c r="Q143" i="52" s="1"/>
  <c r="AL143" i="52" s="1"/>
  <c r="L143" i="52"/>
  <c r="AS6" i="52"/>
  <c r="AA6" i="52"/>
  <c r="L6" i="52"/>
  <c r="AS22" i="52"/>
  <c r="AA22" i="52"/>
  <c r="Q22" i="52" s="1"/>
  <c r="AL22" i="52" s="1"/>
  <c r="L22" i="52"/>
  <c r="AS8" i="52"/>
  <c r="AA8" i="52"/>
  <c r="Q8" i="52" s="1"/>
  <c r="AL8" i="52" s="1"/>
  <c r="L8" i="52"/>
  <c r="AS138" i="52"/>
  <c r="AT138" i="52" s="1"/>
  <c r="AU138" i="52" s="1"/>
  <c r="AA138" i="52"/>
  <c r="Q138" i="52" s="1"/>
  <c r="AL138" i="52" s="1"/>
  <c r="L138" i="52"/>
  <c r="AS13" i="52"/>
  <c r="AA13" i="52"/>
  <c r="Q13" i="52" s="1"/>
  <c r="AL13" i="52" s="1"/>
  <c r="L13" i="52"/>
  <c r="AS135" i="52"/>
  <c r="AT135" i="52" s="1"/>
  <c r="AU135" i="52" s="1"/>
  <c r="AA135" i="52"/>
  <c r="Q135" i="52" s="1"/>
  <c r="AL135" i="52" s="1"/>
  <c r="L135" i="52"/>
  <c r="AS142" i="52"/>
  <c r="AT142" i="52" s="1"/>
  <c r="AU142" i="52" s="1"/>
  <c r="AA142" i="52"/>
  <c r="Q142" i="52" s="1"/>
  <c r="AL142" i="52" s="1"/>
  <c r="L142" i="52"/>
  <c r="AS136" i="52"/>
  <c r="AT136" i="52" s="1"/>
  <c r="AU136" i="52" s="1"/>
  <c r="AA136" i="52"/>
  <c r="Q136" i="52" s="1"/>
  <c r="AL136" i="52" s="1"/>
  <c r="L136" i="52"/>
  <c r="AS137" i="52"/>
  <c r="AT137" i="52" s="1"/>
  <c r="AU137" i="52" s="1"/>
  <c r="AA137" i="52"/>
  <c r="Q137" i="52" s="1"/>
  <c r="AL137" i="52" s="1"/>
  <c r="L137" i="52"/>
  <c r="AS139" i="52"/>
  <c r="AT139" i="52" s="1"/>
  <c r="AU139" i="52" s="1"/>
  <c r="AA139" i="52"/>
  <c r="Q139" i="52" s="1"/>
  <c r="AL139" i="52" s="1"/>
  <c r="L139" i="52"/>
  <c r="AS29" i="52"/>
  <c r="AA29" i="52"/>
  <c r="Q29" i="52" s="1"/>
  <c r="AL29" i="52" s="1"/>
  <c r="O29" i="52"/>
  <c r="L29" i="52"/>
  <c r="AS134" i="52"/>
  <c r="AT134" i="52" s="1"/>
  <c r="AU134" i="52" s="1"/>
  <c r="AA134" i="52"/>
  <c r="Q134" i="52" s="1"/>
  <c r="AL134" i="52" s="1"/>
  <c r="O134" i="52"/>
  <c r="L134" i="52"/>
  <c r="AS133" i="52"/>
  <c r="AT133" i="52" s="1"/>
  <c r="AU133" i="52" s="1"/>
  <c r="AA133" i="52"/>
  <c r="Q133" i="52" s="1"/>
  <c r="AL133" i="52" s="1"/>
  <c r="O133" i="52"/>
  <c r="L133" i="52"/>
  <c r="AS39" i="52"/>
  <c r="AA39" i="52"/>
  <c r="Q39" i="52" s="1"/>
  <c r="AL39" i="52" s="1"/>
  <c r="L39" i="52"/>
  <c r="AS132" i="52"/>
  <c r="AT132" i="52" s="1"/>
  <c r="AU132" i="52" s="1"/>
  <c r="AA132" i="52"/>
  <c r="Q132" i="52" s="1"/>
  <c r="AL132" i="52" s="1"/>
  <c r="L132" i="52"/>
  <c r="AS131" i="52"/>
  <c r="AT131" i="52" s="1"/>
  <c r="AU131" i="52" s="1"/>
  <c r="AA131" i="52"/>
  <c r="Q131" i="52" s="1"/>
  <c r="AL131" i="52" s="1"/>
  <c r="L131" i="52"/>
  <c r="AS128" i="52"/>
  <c r="AT128" i="52" s="1"/>
  <c r="AU128" i="52" s="1"/>
  <c r="AA128" i="52"/>
  <c r="Q128" i="52" s="1"/>
  <c r="AL128" i="52" s="1"/>
  <c r="L128" i="52"/>
  <c r="AS130" i="52"/>
  <c r="AT130" i="52" s="1"/>
  <c r="AU130" i="52" s="1"/>
  <c r="AA130" i="52"/>
  <c r="Q130" i="52" s="1"/>
  <c r="AL130" i="52" s="1"/>
  <c r="O130" i="52"/>
  <c r="L130" i="52"/>
  <c r="AS129" i="52"/>
  <c r="AT129" i="52" s="1"/>
  <c r="AU129" i="52" s="1"/>
  <c r="AA129" i="52"/>
  <c r="Q129" i="52" s="1"/>
  <c r="AL129" i="52" s="1"/>
  <c r="L129" i="52"/>
  <c r="AS127" i="52"/>
  <c r="AA127" i="52"/>
  <c r="Q127" i="52" s="1"/>
  <c r="AL127" i="52" s="1"/>
  <c r="L127" i="52"/>
  <c r="AS124" i="52"/>
  <c r="AT124" i="52" s="1"/>
  <c r="AU124" i="52" s="1"/>
  <c r="AA124" i="52"/>
  <c r="Q124" i="52" s="1"/>
  <c r="AL124" i="52" s="1"/>
  <c r="L124" i="52"/>
  <c r="AS116" i="52"/>
  <c r="AT116" i="52" s="1"/>
  <c r="AU116" i="52" s="1"/>
  <c r="AA116" i="52"/>
  <c r="Q116" i="52" s="1"/>
  <c r="AL116" i="52" s="1"/>
  <c r="L116" i="52"/>
  <c r="AS125" i="52"/>
  <c r="AT125" i="52" s="1"/>
  <c r="AU125" i="52" s="1"/>
  <c r="AA125" i="52"/>
  <c r="Q125" i="52" s="1"/>
  <c r="AL125" i="52" s="1"/>
  <c r="L125" i="52"/>
  <c r="AS126" i="52"/>
  <c r="AT126" i="52" s="1"/>
  <c r="AU126" i="52" s="1"/>
  <c r="AA126" i="52"/>
  <c r="Q126" i="52" s="1"/>
  <c r="AL126" i="52" s="1"/>
  <c r="L126" i="52"/>
  <c r="AS55" i="52"/>
  <c r="AA55" i="52"/>
  <c r="Q55" i="52" s="1"/>
  <c r="AL55" i="52" s="1"/>
  <c r="L55" i="52"/>
  <c r="AS123" i="52"/>
  <c r="AT123" i="52" s="1"/>
  <c r="AU123" i="52" s="1"/>
  <c r="AA123" i="52"/>
  <c r="Q123" i="52" s="1"/>
  <c r="AL123" i="52" s="1"/>
  <c r="L123" i="52"/>
  <c r="AS122" i="52"/>
  <c r="AT122" i="52" s="1"/>
  <c r="AU122" i="52" s="1"/>
  <c r="AA122" i="52"/>
  <c r="Q122" i="52" s="1"/>
  <c r="AL122" i="52" s="1"/>
  <c r="L122" i="52"/>
  <c r="AS121" i="52"/>
  <c r="AT121" i="52" s="1"/>
  <c r="AU121" i="52" s="1"/>
  <c r="AA121" i="52"/>
  <c r="Q121" i="52" s="1"/>
  <c r="AL121" i="52" s="1"/>
  <c r="L121" i="52"/>
  <c r="AS120" i="52"/>
  <c r="AT120" i="52" s="1"/>
  <c r="AU120" i="52" s="1"/>
  <c r="AA120" i="52"/>
  <c r="Q120" i="52" s="1"/>
  <c r="AL120" i="52" s="1"/>
  <c r="O120" i="52"/>
  <c r="L120" i="52"/>
  <c r="AS119" i="52"/>
  <c r="AT119" i="52" s="1"/>
  <c r="AU119" i="52" s="1"/>
  <c r="AA119" i="52"/>
  <c r="Q119" i="52" s="1"/>
  <c r="AL119" i="52" s="1"/>
  <c r="V119" i="52"/>
  <c r="O119" i="52"/>
  <c r="L119" i="52"/>
  <c r="AS118" i="52"/>
  <c r="AT118" i="52" s="1"/>
  <c r="AU118" i="52" s="1"/>
  <c r="AA118" i="52"/>
  <c r="Q118" i="52" s="1"/>
  <c r="AL118" i="52" s="1"/>
  <c r="V118" i="52"/>
  <c r="O118" i="52"/>
  <c r="L118" i="52"/>
  <c r="AS117" i="52"/>
  <c r="AT117" i="52" s="1"/>
  <c r="AU117" i="52" s="1"/>
  <c r="AA117" i="52"/>
  <c r="Q117" i="52" s="1"/>
  <c r="AL117" i="52" s="1"/>
  <c r="L117" i="52"/>
  <c r="AS111" i="52"/>
  <c r="AT111" i="52" s="1"/>
  <c r="AU111" i="52" s="1"/>
  <c r="AA111" i="52"/>
  <c r="Q111" i="52" s="1"/>
  <c r="AL111" i="52" s="1"/>
  <c r="L111" i="52"/>
  <c r="AS113" i="52"/>
  <c r="AT113" i="52" s="1"/>
  <c r="AU113" i="52" s="1"/>
  <c r="AA113" i="52"/>
  <c r="Q113" i="52" s="1"/>
  <c r="AL113" i="52" s="1"/>
  <c r="L113" i="52"/>
  <c r="AS110" i="52"/>
  <c r="AT110" i="52" s="1"/>
  <c r="AU110" i="52" s="1"/>
  <c r="AA110" i="52"/>
  <c r="Q110" i="52" s="1"/>
  <c r="AL110" i="52" s="1"/>
  <c r="L110" i="52"/>
  <c r="AA45" i="52"/>
  <c r="Q45" i="52" s="1"/>
  <c r="AL45" i="52" s="1"/>
  <c r="L45" i="52"/>
  <c r="AS115" i="52"/>
  <c r="AT115" i="52" s="1"/>
  <c r="AU115" i="52" s="1"/>
  <c r="AA115" i="52"/>
  <c r="Q115" i="52" s="1"/>
  <c r="AL115" i="52" s="1"/>
  <c r="L115" i="52"/>
  <c r="AS114" i="52"/>
  <c r="AT114" i="52" s="1"/>
  <c r="AU114" i="52" s="1"/>
  <c r="AA114" i="52"/>
  <c r="Q114" i="52" s="1"/>
  <c r="AL114" i="52" s="1"/>
  <c r="L114" i="52"/>
  <c r="AS27" i="52"/>
  <c r="AA27" i="52"/>
  <c r="Q27" i="52" s="1"/>
  <c r="AL27" i="52" s="1"/>
  <c r="L27" i="52"/>
  <c r="AS4" i="52"/>
  <c r="AA4" i="52"/>
  <c r="Q4" i="52" s="1"/>
  <c r="AL4" i="52" s="1"/>
  <c r="L4" i="52"/>
  <c r="AS112" i="52"/>
  <c r="AT112" i="52" s="1"/>
  <c r="AU112" i="52" s="1"/>
  <c r="AA112" i="52"/>
  <c r="Q112" i="52" s="1"/>
  <c r="AL112" i="52" s="1"/>
  <c r="L112" i="52"/>
  <c r="AS109" i="52"/>
  <c r="AT109" i="52" s="1"/>
  <c r="AU109" i="52" s="1"/>
  <c r="AA109" i="52"/>
  <c r="Q109" i="52" s="1"/>
  <c r="AL109" i="52" s="1"/>
  <c r="O109" i="52"/>
  <c r="L109" i="52"/>
  <c r="AS20" i="52"/>
  <c r="AA20" i="52"/>
  <c r="Q20" i="52" s="1"/>
  <c r="AL20" i="52" s="1"/>
  <c r="O20" i="52"/>
  <c r="L20" i="52"/>
  <c r="AS108" i="52"/>
  <c r="AT108" i="52" s="1"/>
  <c r="AU108" i="52" s="1"/>
  <c r="AA108" i="52"/>
  <c r="Q108" i="52" s="1"/>
  <c r="AL108" i="52" s="1"/>
  <c r="L108" i="52"/>
  <c r="AS107" i="52"/>
  <c r="AT107" i="52" s="1"/>
  <c r="AU107" i="52" s="1"/>
  <c r="AA107" i="52"/>
  <c r="Q107" i="52" s="1"/>
  <c r="AL107" i="52" s="1"/>
  <c r="L107" i="52"/>
  <c r="AS21" i="52"/>
  <c r="AA21" i="52"/>
  <c r="Q21" i="52" s="1"/>
  <c r="AL21" i="52" s="1"/>
  <c r="L21" i="52"/>
  <c r="AS12" i="52"/>
  <c r="AA12" i="52"/>
  <c r="Q12" i="52" s="1"/>
  <c r="AL12" i="52" s="1"/>
  <c r="L12" i="52"/>
  <c r="AS106" i="52"/>
  <c r="AT106" i="52" s="1"/>
  <c r="AU106" i="52" s="1"/>
  <c r="AA106" i="52"/>
  <c r="Q106" i="52" s="1"/>
  <c r="AL106" i="52" s="1"/>
  <c r="O106" i="52"/>
  <c r="L106" i="52"/>
  <c r="AS49" i="52"/>
  <c r="AA49" i="52"/>
  <c r="Q49" i="52" s="1"/>
  <c r="AL49" i="52" s="1"/>
  <c r="L49" i="52"/>
  <c r="AS50" i="52"/>
  <c r="AA50" i="52"/>
  <c r="Q50" i="52" s="1"/>
  <c r="AL50" i="52" s="1"/>
  <c r="L50" i="52"/>
  <c r="AS105" i="52"/>
  <c r="AT105" i="52" s="1"/>
  <c r="AU105" i="52" s="1"/>
  <c r="AA105" i="52"/>
  <c r="Q105" i="52" s="1"/>
  <c r="AL105" i="52" s="1"/>
  <c r="V105" i="52"/>
  <c r="L105" i="52"/>
  <c r="AS104" i="52"/>
  <c r="AT104" i="52" s="1"/>
  <c r="AU104" i="52" s="1"/>
  <c r="AA104" i="52"/>
  <c r="Q104" i="52" s="1"/>
  <c r="AL104" i="52" s="1"/>
  <c r="L104" i="52"/>
  <c r="AS101" i="52"/>
  <c r="AT101" i="52" s="1"/>
  <c r="AU101" i="52" s="1"/>
  <c r="AA101" i="52"/>
  <c r="Q101" i="52" s="1"/>
  <c r="AL101" i="52" s="1"/>
  <c r="L101" i="52"/>
  <c r="AS99" i="52"/>
  <c r="AT99" i="52" s="1"/>
  <c r="AU99" i="52" s="1"/>
  <c r="AA99" i="52"/>
  <c r="Q99" i="52" s="1"/>
  <c r="AL99" i="52" s="1"/>
  <c r="V99" i="52"/>
  <c r="L99" i="52"/>
  <c r="AS5" i="52"/>
  <c r="AA5" i="52"/>
  <c r="Q5" i="52" s="1"/>
  <c r="AL5" i="52" s="1"/>
  <c r="L5" i="52"/>
  <c r="AS102" i="52"/>
  <c r="AT102" i="52" s="1"/>
  <c r="AU102" i="52" s="1"/>
  <c r="AA102" i="52"/>
  <c r="Q102" i="52" s="1"/>
  <c r="AL102" i="52" s="1"/>
  <c r="L102" i="52"/>
  <c r="AS43" i="52"/>
  <c r="AA43" i="52"/>
  <c r="Q43" i="52" s="1"/>
  <c r="AL43" i="52" s="1"/>
  <c r="L43" i="52"/>
  <c r="AS103" i="52"/>
  <c r="AT103" i="52" s="1"/>
  <c r="AU103" i="52" s="1"/>
  <c r="AA103" i="52"/>
  <c r="Q103" i="52" s="1"/>
  <c r="AL103" i="52" s="1"/>
  <c r="L103" i="52"/>
  <c r="AS100" i="52"/>
  <c r="AT100" i="52" s="1"/>
  <c r="AU100" i="52" s="1"/>
  <c r="AA100" i="52"/>
  <c r="Q100" i="52" s="1"/>
  <c r="AL100" i="52" s="1"/>
  <c r="L100" i="52"/>
  <c r="AS7" i="52"/>
  <c r="AA7" i="52"/>
  <c r="Q7" i="52" s="1"/>
  <c r="AL7" i="52" s="1"/>
  <c r="O7" i="52"/>
  <c r="L7" i="52"/>
  <c r="AS44" i="52"/>
  <c r="AA44" i="52"/>
  <c r="Q44" i="52" s="1"/>
  <c r="AL44" i="52" s="1"/>
  <c r="L44" i="52"/>
  <c r="AS96" i="52"/>
  <c r="AT96" i="52" s="1"/>
  <c r="AU96" i="52" s="1"/>
  <c r="AA96" i="52"/>
  <c r="Q96" i="52" s="1"/>
  <c r="AL96" i="52" s="1"/>
  <c r="L96" i="52"/>
  <c r="AS97" i="52"/>
  <c r="AT97" i="52" s="1"/>
  <c r="AU97" i="52" s="1"/>
  <c r="AA97" i="52"/>
  <c r="Q97" i="52" s="1"/>
  <c r="AL97" i="52" s="1"/>
  <c r="L97" i="52"/>
  <c r="AS98" i="52"/>
  <c r="AT98" i="52" s="1"/>
  <c r="AU98" i="52" s="1"/>
  <c r="AA98" i="52"/>
  <c r="Q98" i="52" s="1"/>
  <c r="AL98" i="52" s="1"/>
  <c r="O98" i="52"/>
  <c r="L98" i="52"/>
  <c r="AS95" i="52"/>
  <c r="AT95" i="52" s="1"/>
  <c r="AU95" i="52" s="1"/>
  <c r="AA95" i="52"/>
  <c r="Q95" i="52" s="1"/>
  <c r="AL95" i="52" s="1"/>
  <c r="L95" i="52"/>
  <c r="AS94" i="52"/>
  <c r="AT94" i="52" s="1"/>
  <c r="AU94" i="52" s="1"/>
  <c r="AA94" i="52"/>
  <c r="Q94" i="52" s="1"/>
  <c r="AL94" i="52" s="1"/>
  <c r="L94" i="52"/>
  <c r="AS19" i="52"/>
  <c r="AA19" i="52"/>
  <c r="Q19" i="52" s="1"/>
  <c r="AL19" i="52" s="1"/>
  <c r="O19" i="52"/>
  <c r="L19" i="52"/>
  <c r="AS93" i="52"/>
  <c r="AT93" i="52" s="1"/>
  <c r="AU93" i="52" s="1"/>
  <c r="AA93" i="52"/>
  <c r="Q93" i="52" s="1"/>
  <c r="AL93" i="52" s="1"/>
  <c r="L93" i="52"/>
  <c r="AS92" i="52"/>
  <c r="AT92" i="52" s="1"/>
  <c r="AU92" i="52" s="1"/>
  <c r="AA92" i="52"/>
  <c r="Q92" i="52" s="1"/>
  <c r="AL92" i="52" s="1"/>
  <c r="L92" i="52"/>
  <c r="AS91" i="52"/>
  <c r="AT91" i="52" s="1"/>
  <c r="AU91" i="52" s="1"/>
  <c r="AA91" i="52"/>
  <c r="Q91" i="52" s="1"/>
  <c r="AL91" i="52" s="1"/>
  <c r="O91" i="52"/>
  <c r="L91" i="52"/>
  <c r="AS90" i="52"/>
  <c r="AT90" i="52" s="1"/>
  <c r="AU90" i="52" s="1"/>
  <c r="AA90" i="52"/>
  <c r="Q90" i="52" s="1"/>
  <c r="AL90" i="52" s="1"/>
  <c r="O90" i="52"/>
  <c r="L90" i="52"/>
  <c r="AS89" i="52"/>
  <c r="AT89" i="52" s="1"/>
  <c r="AU89" i="52" s="1"/>
  <c r="AA89" i="52"/>
  <c r="Q89" i="52" s="1"/>
  <c r="AL89" i="52" s="1"/>
  <c r="O89" i="52"/>
  <c r="L89" i="52"/>
  <c r="AS88" i="52"/>
  <c r="AT88" i="52" s="1"/>
  <c r="AU88" i="52" s="1"/>
  <c r="AA88" i="52"/>
  <c r="Q88" i="52" s="1"/>
  <c r="AL88" i="52" s="1"/>
  <c r="O88" i="52"/>
  <c r="L88" i="52"/>
  <c r="AS87" i="52"/>
  <c r="AT87" i="52" s="1"/>
  <c r="AU87" i="52" s="1"/>
  <c r="AA87" i="52"/>
  <c r="Q87" i="52" s="1"/>
  <c r="AL87" i="52" s="1"/>
  <c r="L87" i="52"/>
  <c r="AS86" i="52"/>
  <c r="AT86" i="52" s="1"/>
  <c r="AU86" i="52" s="1"/>
  <c r="AA86" i="52"/>
  <c r="Q86" i="52" s="1"/>
  <c r="AL86" i="52" s="1"/>
  <c r="O86" i="52"/>
  <c r="L86" i="52"/>
  <c r="AS85" i="52"/>
  <c r="AT85" i="52" s="1"/>
  <c r="AU85" i="52" s="1"/>
  <c r="AA85" i="52"/>
  <c r="Q85" i="52" s="1"/>
  <c r="AL85" i="52" s="1"/>
  <c r="O85" i="52"/>
  <c r="L85" i="52"/>
  <c r="AS83" i="52"/>
  <c r="AT83" i="52" s="1"/>
  <c r="AU83" i="52" s="1"/>
  <c r="AA83" i="52"/>
  <c r="Q83" i="52" s="1"/>
  <c r="AL83" i="52" s="1"/>
  <c r="O83" i="52"/>
  <c r="L83" i="52"/>
  <c r="AS84" i="52"/>
  <c r="AT84" i="52" s="1"/>
  <c r="AU84" i="52" s="1"/>
  <c r="AA84" i="52"/>
  <c r="Q84" i="52" s="1"/>
  <c r="AL84" i="52" s="1"/>
  <c r="O84" i="52"/>
  <c r="L84" i="52"/>
  <c r="AS82" i="52"/>
  <c r="AT82" i="52" s="1"/>
  <c r="AU82" i="52" s="1"/>
  <c r="AA82" i="52"/>
  <c r="Q82" i="52" s="1"/>
  <c r="AL82" i="52" s="1"/>
  <c r="O82" i="52"/>
  <c r="L82" i="52"/>
  <c r="AS81" i="52"/>
  <c r="AT81" i="52" s="1"/>
  <c r="AU81" i="52" s="1"/>
  <c r="AA81" i="52"/>
  <c r="Q81" i="52" s="1"/>
  <c r="AL81" i="52" s="1"/>
  <c r="O81" i="52"/>
  <c r="L81" i="52"/>
  <c r="AS80" i="52"/>
  <c r="AA80" i="52"/>
  <c r="Q80" i="52" s="1"/>
  <c r="AL80" i="52" s="1"/>
  <c r="O80" i="52"/>
  <c r="L80" i="52"/>
  <c r="AS79" i="52"/>
  <c r="AT79" i="52" s="1"/>
  <c r="AU79" i="52" s="1"/>
  <c r="AA79" i="52"/>
  <c r="Q79" i="52" s="1"/>
  <c r="AL79" i="52" s="1"/>
  <c r="O79" i="52"/>
  <c r="L79" i="52"/>
  <c r="AS78" i="52"/>
  <c r="AA78" i="52"/>
  <c r="Q78" i="52" s="1"/>
  <c r="AL78" i="52" s="1"/>
  <c r="O78" i="52"/>
  <c r="L78" i="52"/>
  <c r="AS11" i="52"/>
  <c r="AA11" i="52"/>
  <c r="Q11" i="52" s="1"/>
  <c r="AL11" i="52" s="1"/>
  <c r="L11" i="52"/>
  <c r="AS77" i="52"/>
  <c r="AT77" i="52" s="1"/>
  <c r="AU77" i="52" s="1"/>
  <c r="AA77" i="52"/>
  <c r="Q77" i="52" s="1"/>
  <c r="AL77" i="52" s="1"/>
  <c r="O77" i="52"/>
  <c r="L77" i="52"/>
  <c r="AS76" i="52"/>
  <c r="AT76" i="52" s="1"/>
  <c r="AU76" i="52" s="1"/>
  <c r="AA76" i="52"/>
  <c r="Q76" i="52" s="1"/>
  <c r="AL76" i="52" s="1"/>
  <c r="L76" i="52"/>
  <c r="AS28" i="52"/>
  <c r="AA28" i="52"/>
  <c r="Q28" i="52" s="1"/>
  <c r="AL28" i="52" s="1"/>
  <c r="O28" i="52"/>
  <c r="L28" i="52"/>
  <c r="AS75" i="52"/>
  <c r="AA75" i="52"/>
  <c r="Q75" i="52" s="1"/>
  <c r="AL75" i="52" s="1"/>
  <c r="O75" i="52"/>
  <c r="L75" i="52"/>
  <c r="AS74" i="52"/>
  <c r="AT74" i="52" s="1"/>
  <c r="AU74" i="52" s="1"/>
  <c r="AA74" i="52"/>
  <c r="Q74" i="52" s="1"/>
  <c r="AL74" i="52" s="1"/>
  <c r="L74" i="52"/>
  <c r="AS3" i="52"/>
  <c r="AA3" i="52"/>
  <c r="Q3" i="52" s="1"/>
  <c r="AL3" i="52" s="1"/>
  <c r="O3" i="52"/>
  <c r="L3" i="52"/>
  <c r="AS25" i="52"/>
  <c r="AA25" i="52"/>
  <c r="Q25" i="52" s="1"/>
  <c r="AL25" i="52" s="1"/>
  <c r="V25" i="52"/>
  <c r="O25" i="52"/>
  <c r="L25" i="52"/>
  <c r="AS73" i="52"/>
  <c r="AT73" i="52" s="1"/>
  <c r="AU73" i="52" s="1"/>
  <c r="AA73" i="52"/>
  <c r="Q73" i="52" s="1"/>
  <c r="AL73" i="52" s="1"/>
  <c r="O73" i="52"/>
  <c r="L73" i="52"/>
  <c r="AS9" i="52"/>
  <c r="AA9" i="52"/>
  <c r="Q9" i="52" s="1"/>
  <c r="AL9" i="52" s="1"/>
  <c r="L9" i="52"/>
  <c r="AS72" i="52"/>
  <c r="AT72" i="52" s="1"/>
  <c r="AU72" i="52" s="1"/>
  <c r="AA72" i="52"/>
  <c r="Q72" i="52" s="1"/>
  <c r="AL72" i="52" s="1"/>
  <c r="L72" i="52"/>
  <c r="AS71" i="52"/>
  <c r="AT71" i="52" s="1"/>
  <c r="AU71" i="52" s="1"/>
  <c r="AA71" i="52"/>
  <c r="Q71" i="52" s="1"/>
  <c r="AL71" i="52" s="1"/>
  <c r="L71" i="52"/>
  <c r="AS70" i="52"/>
  <c r="AT70" i="52" s="1"/>
  <c r="AU70" i="52" s="1"/>
  <c r="AA70" i="52"/>
  <c r="Q70" i="52" s="1"/>
  <c r="AL70" i="52" s="1"/>
  <c r="L70" i="52"/>
  <c r="AA52" i="52"/>
  <c r="Q52" i="52" s="1"/>
  <c r="AL52" i="52" s="1"/>
  <c r="L52" i="52"/>
  <c r="AS69" i="52"/>
  <c r="AT69" i="52" s="1"/>
  <c r="AU69" i="52" s="1"/>
  <c r="Z69" i="52"/>
  <c r="X69" i="52"/>
  <c r="L69" i="52"/>
  <c r="AS68" i="52"/>
  <c r="AT68" i="52" s="1"/>
  <c r="AU68" i="52" s="1"/>
  <c r="Z68" i="52"/>
  <c r="X68" i="52"/>
  <c r="L68" i="52"/>
  <c r="AS67" i="52"/>
  <c r="AT67" i="52" s="1"/>
  <c r="AU67" i="52" s="1"/>
  <c r="AA67" i="52"/>
  <c r="Q67" i="52" s="1"/>
  <c r="AL67" i="52" s="1"/>
  <c r="L67" i="52"/>
  <c r="AS66" i="52"/>
  <c r="AT66" i="52" s="1"/>
  <c r="AU66" i="52" s="1"/>
  <c r="AA66" i="52"/>
  <c r="Q66" i="52" s="1"/>
  <c r="AL66" i="52" s="1"/>
  <c r="L66" i="52"/>
  <c r="AS65" i="52"/>
  <c r="AT65" i="52" s="1"/>
  <c r="AU65" i="52" s="1"/>
  <c r="AA65" i="52"/>
  <c r="Q65" i="52" s="1"/>
  <c r="AL65" i="52" s="1"/>
  <c r="V65" i="52"/>
  <c r="L65" i="52"/>
  <c r="AS64" i="52"/>
  <c r="AT64" i="52" s="1"/>
  <c r="AU64" i="52" s="1"/>
  <c r="AA64" i="52"/>
  <c r="Q64" i="52" s="1"/>
  <c r="AL64" i="52" s="1"/>
  <c r="L64" i="52"/>
  <c r="AS63" i="52"/>
  <c r="AT63" i="52" s="1"/>
  <c r="AU63" i="52" s="1"/>
  <c r="AA63" i="52"/>
  <c r="Q63" i="52" s="1"/>
  <c r="AL63" i="52" s="1"/>
  <c r="L63" i="52"/>
  <c r="AS62" i="52"/>
  <c r="AT62" i="52" s="1"/>
  <c r="AU62" i="52" s="1"/>
  <c r="AA62" i="52"/>
  <c r="Q62" i="52" s="1"/>
  <c r="AL62" i="52" s="1"/>
  <c r="L62" i="52"/>
  <c r="AS61" i="52"/>
  <c r="AT61" i="52" s="1"/>
  <c r="AU61" i="52" s="1"/>
  <c r="AA61" i="52"/>
  <c r="Q61" i="52" s="1"/>
  <c r="AL61" i="52" s="1"/>
  <c r="L61" i="52"/>
  <c r="AS60" i="52"/>
  <c r="AT60" i="52" s="1"/>
  <c r="AU60" i="52" s="1"/>
  <c r="AA60" i="52"/>
  <c r="Q60" i="52" s="1"/>
  <c r="AL60" i="52" s="1"/>
  <c r="L60" i="52"/>
  <c r="AS59" i="52"/>
  <c r="AT59" i="52" s="1"/>
  <c r="AU59" i="52" s="1"/>
  <c r="AA59" i="52"/>
  <c r="Q59" i="52" s="1"/>
  <c r="AL59" i="52" s="1"/>
  <c r="L59" i="52"/>
  <c r="AS58" i="52"/>
  <c r="AT58" i="52" s="1"/>
  <c r="AU58" i="52" s="1"/>
  <c r="AA58" i="52"/>
  <c r="Q58" i="52" s="1"/>
  <c r="AL58" i="52" s="1"/>
  <c r="AS57" i="52"/>
  <c r="AT57" i="52" s="1"/>
  <c r="AU57" i="52" s="1"/>
  <c r="AA57" i="52"/>
  <c r="Q57" i="52" s="1"/>
  <c r="AL57" i="52" s="1"/>
  <c r="L57" i="52"/>
  <c r="AS36" i="52"/>
  <c r="AA36" i="52"/>
  <c r="Q36" i="52" s="1"/>
  <c r="AL36" i="52" s="1"/>
  <c r="L36" i="52"/>
  <c r="Y314" i="49"/>
  <c r="P314" i="49"/>
  <c r="P311" i="49"/>
  <c r="Y311" i="49"/>
  <c r="AE15" i="1"/>
  <c r="Q159" i="52" l="1"/>
  <c r="AL159" i="52" s="1"/>
  <c r="Q41" i="52"/>
  <c r="AL41" i="52" s="1"/>
  <c r="AA69" i="52"/>
  <c r="Q69" i="52" s="1"/>
  <c r="AL69" i="52" s="1"/>
  <c r="AL162" i="52"/>
  <c r="Q6" i="52"/>
  <c r="AL6" i="52" s="1"/>
  <c r="AT53" i="52"/>
  <c r="AU53" i="52" s="1"/>
  <c r="AT35" i="52"/>
  <c r="AT3" i="52"/>
  <c r="AU3" i="52" s="1"/>
  <c r="AT25" i="52"/>
  <c r="AT44" i="52"/>
  <c r="AU44" i="52" s="1"/>
  <c r="AT6" i="52"/>
  <c r="AU6" i="52" s="1"/>
  <c r="AT39" i="52"/>
  <c r="AU39" i="52" s="1"/>
  <c r="AT43" i="52"/>
  <c r="AU43" i="52" s="1"/>
  <c r="AT12" i="52"/>
  <c r="AU12" i="52" s="1"/>
  <c r="AT5" i="52"/>
  <c r="AU5" i="52" s="1"/>
  <c r="AT47" i="52"/>
  <c r="AU47" i="52" s="1"/>
  <c r="AT20" i="52"/>
  <c r="AU20" i="52" s="1"/>
  <c r="AT19" i="52"/>
  <c r="AU19" i="52" s="1"/>
  <c r="AT24" i="52"/>
  <c r="AU24" i="52" s="1"/>
  <c r="AT9" i="52"/>
  <c r="AU9" i="52" s="1"/>
  <c r="AT11" i="52"/>
  <c r="AU11" i="52" s="1"/>
  <c r="AT36" i="52"/>
  <c r="AT51" i="52"/>
  <c r="AU51" i="52" s="1"/>
  <c r="AT26" i="52"/>
  <c r="AU26" i="52" s="1"/>
  <c r="AT45" i="52"/>
  <c r="AU45" i="52" s="1"/>
  <c r="AT41" i="52"/>
  <c r="AU41" i="52" s="1"/>
  <c r="AT31" i="52"/>
  <c r="AT15" i="52"/>
  <c r="AU15" i="52" s="1"/>
  <c r="AT40" i="52"/>
  <c r="AT4" i="52"/>
  <c r="AU4" i="52" s="1"/>
  <c r="AT33" i="52"/>
  <c r="AT23" i="52"/>
  <c r="AU23" i="52" s="1"/>
  <c r="AT127" i="52"/>
  <c r="AU127" i="52" s="1"/>
  <c r="AT50" i="52"/>
  <c r="AU50" i="52" s="1"/>
  <c r="AT49" i="52"/>
  <c r="AU49" i="52" s="1"/>
  <c r="AT75" i="52"/>
  <c r="AU75" i="52" s="1"/>
  <c r="AT8" i="52"/>
  <c r="AU8" i="52" s="1"/>
  <c r="AT80" i="52"/>
  <c r="AU80" i="52" s="1"/>
  <c r="AT78" i="52"/>
  <c r="AU78" i="52" s="1"/>
  <c r="AT48" i="52"/>
  <c r="AT18" i="52"/>
  <c r="AU18" i="52" s="1"/>
  <c r="AT29" i="52"/>
  <c r="AT13" i="52"/>
  <c r="AU13" i="52" s="1"/>
  <c r="AT28" i="52"/>
  <c r="AU28" i="52" s="1"/>
  <c r="AT38" i="52"/>
  <c r="AU38" i="52" s="1"/>
  <c r="AT56" i="52"/>
  <c r="AU56" i="52" s="1"/>
  <c r="AT30" i="52"/>
  <c r="AT37" i="52"/>
  <c r="AT34" i="52"/>
  <c r="AT46" i="52"/>
  <c r="AT10" i="52"/>
  <c r="AU10" i="52" s="1"/>
  <c r="AT7" i="52"/>
  <c r="AU7" i="52" s="1"/>
  <c r="AT16" i="52"/>
  <c r="AU16" i="52" s="1"/>
  <c r="AT21" i="52"/>
  <c r="AU21" i="52" s="1"/>
  <c r="AT27" i="52"/>
  <c r="AU27" i="52" s="1"/>
  <c r="AT55" i="52"/>
  <c r="AU55" i="52" s="1"/>
  <c r="AT54" i="52"/>
  <c r="AU54" i="52" s="1"/>
  <c r="AT14" i="52"/>
  <c r="AU14" i="52" s="1"/>
  <c r="AT17" i="52"/>
  <c r="AU17" i="52" s="1"/>
  <c r="AT42" i="52"/>
  <c r="AT32" i="52"/>
  <c r="AT22" i="52"/>
  <c r="AA68" i="52"/>
  <c r="Q68" i="52" s="1"/>
  <c r="AL68" i="52" s="1"/>
  <c r="AA146" i="52"/>
  <c r="Q146" i="52" s="1"/>
  <c r="AL146" i="52" s="1"/>
  <c r="AL181" i="52"/>
  <c r="AL185" i="52"/>
  <c r="AL54" i="52"/>
  <c r="AL178" i="52"/>
  <c r="AL190" i="52"/>
  <c r="Y308" i="49"/>
  <c r="P308" i="49"/>
  <c r="Y313" i="49"/>
  <c r="P313" i="49"/>
  <c r="AU29" i="52" l="1"/>
  <c r="AX29" i="52"/>
  <c r="AU35" i="52"/>
  <c r="AX35" i="52"/>
  <c r="AU30" i="52"/>
  <c r="AX30" i="52"/>
  <c r="AU36" i="52"/>
  <c r="AX36" i="52"/>
  <c r="AU37" i="52"/>
  <c r="AX37" i="52"/>
  <c r="AU25" i="52"/>
  <c r="AX25" i="52"/>
  <c r="AU31" i="52"/>
  <c r="AX31" i="52"/>
  <c r="AU48" i="52"/>
  <c r="AX48" i="52"/>
  <c r="AU46" i="52"/>
  <c r="AX46" i="52"/>
  <c r="AU42" i="52"/>
  <c r="AX42" i="52"/>
  <c r="AU40" i="52"/>
  <c r="AX40" i="52"/>
  <c r="AU34" i="52"/>
  <c r="AX34" i="52"/>
  <c r="AU33" i="52"/>
  <c r="AX33" i="52"/>
  <c r="AU32" i="52"/>
  <c r="AX32" i="52"/>
  <c r="AU22" i="52"/>
  <c r="AX22" i="52"/>
  <c r="Y310" i="49" l="1"/>
  <c r="P310" i="49"/>
  <c r="Y312" i="49"/>
  <c r="P312" i="49"/>
  <c r="Y319" i="49"/>
  <c r="P101" i="49" l="1"/>
  <c r="Y307" i="49"/>
  <c r="P307" i="49"/>
  <c r="Y309" i="49"/>
  <c r="P309" i="49"/>
  <c r="Y275" i="49" l="1"/>
  <c r="P275" i="49"/>
  <c r="Y306" i="49" l="1"/>
  <c r="P306" i="49"/>
  <c r="K19" i="40" l="1"/>
  <c r="Y101" i="49" l="1"/>
  <c r="AE5" i="1"/>
  <c r="Y297" i="49" l="1"/>
  <c r="Y298" i="49"/>
  <c r="Y299" i="49"/>
  <c r="Y300" i="49"/>
  <c r="Y301" i="49"/>
  <c r="Y302" i="49"/>
  <c r="Y303" i="49"/>
  <c r="Y304" i="49"/>
  <c r="Y305" i="49"/>
  <c r="P297" i="49"/>
  <c r="P298" i="49"/>
  <c r="P299" i="49"/>
  <c r="P300" i="49"/>
  <c r="P301" i="49"/>
  <c r="P302" i="49"/>
  <c r="P303" i="49"/>
  <c r="P304" i="49"/>
  <c r="P305" i="49"/>
  <c r="Y296" i="49"/>
  <c r="P296" i="49"/>
  <c r="Y276" i="49"/>
  <c r="P276" i="49"/>
  <c r="Y88" i="49" l="1"/>
  <c r="P88" i="49"/>
  <c r="Y23" i="49"/>
  <c r="P23" i="49"/>
  <c r="Y22" i="49"/>
  <c r="P22" i="49"/>
  <c r="Y21" i="49"/>
  <c r="P21" i="49"/>
  <c r="Y20" i="49"/>
  <c r="P20" i="49"/>
  <c r="Y19" i="49"/>
  <c r="P19" i="49"/>
  <c r="Y18" i="49"/>
  <c r="P18" i="49"/>
  <c r="Y17" i="49"/>
  <c r="P17" i="49"/>
  <c r="Y16" i="49"/>
  <c r="P16" i="49"/>
  <c r="AE22" i="1"/>
  <c r="Y73" i="49"/>
  <c r="Y72" i="49"/>
  <c r="Y235" i="49"/>
  <c r="AE11" i="1"/>
  <c r="Y28" i="49"/>
  <c r="P28" i="49"/>
  <c r="Y15" i="49"/>
  <c r="P15" i="49"/>
  <c r="Y14" i="49"/>
  <c r="P14" i="49"/>
  <c r="Y13" i="49"/>
  <c r="P13" i="49"/>
  <c r="P10" i="49"/>
  <c r="Y10" i="49"/>
  <c r="Y4" i="49"/>
  <c r="P4" i="49"/>
  <c r="Y8" i="49"/>
  <c r="P8" i="49"/>
  <c r="Y7" i="49"/>
  <c r="P7" i="49"/>
  <c r="Y6" i="49"/>
  <c r="P6" i="49"/>
  <c r="Y5" i="49"/>
  <c r="P5" i="49"/>
  <c r="Y3" i="49"/>
  <c r="Y9" i="49"/>
  <c r="Y11" i="49"/>
  <c r="Y12" i="49"/>
  <c r="Y24" i="49"/>
  <c r="Y25" i="49"/>
  <c r="Y26" i="49"/>
  <c r="Y27" i="49"/>
  <c r="Y29" i="49"/>
  <c r="Y30" i="49"/>
  <c r="Y31" i="49"/>
  <c r="Y32" i="49"/>
  <c r="Y33" i="49"/>
  <c r="Y34" i="49"/>
  <c r="Y35" i="49"/>
  <c r="Y36" i="49"/>
  <c r="Y37" i="49"/>
  <c r="Y38" i="49"/>
  <c r="Y39" i="49"/>
  <c r="Y40" i="49"/>
  <c r="Y41" i="49"/>
  <c r="Y42" i="49"/>
  <c r="Y43" i="49"/>
  <c r="Y44" i="49"/>
  <c r="Y45" i="49"/>
  <c r="Y46" i="49"/>
  <c r="Y47" i="49"/>
  <c r="Y48" i="49"/>
  <c r="Y49" i="49"/>
  <c r="Y50" i="49"/>
  <c r="Y51" i="49"/>
  <c r="Y52" i="49"/>
  <c r="Y53" i="49"/>
  <c r="Y54" i="49"/>
  <c r="Y55" i="49"/>
  <c r="Y56" i="49"/>
  <c r="Y57" i="49"/>
  <c r="Y58" i="49"/>
  <c r="Y59" i="49"/>
  <c r="Y60" i="49"/>
  <c r="Y61" i="49"/>
  <c r="Y62" i="49"/>
  <c r="Y63" i="49"/>
  <c r="Y64" i="49"/>
  <c r="Y65" i="49"/>
  <c r="Y66" i="49"/>
  <c r="Y67" i="49"/>
  <c r="Y68" i="49"/>
  <c r="Y69" i="49"/>
  <c r="Y70" i="49"/>
  <c r="Y71" i="49"/>
  <c r="Y74" i="49"/>
  <c r="Y75" i="49"/>
  <c r="Y76" i="49"/>
  <c r="Y77" i="49"/>
  <c r="Y78" i="49"/>
  <c r="Y79" i="49"/>
  <c r="Y80" i="49"/>
  <c r="Y81" i="49"/>
  <c r="Y82" i="49"/>
  <c r="Y83" i="49"/>
  <c r="Y84" i="49"/>
  <c r="Y85" i="49"/>
  <c r="Y86" i="49"/>
  <c r="Y87" i="49"/>
  <c r="Y89" i="49"/>
  <c r="Y90" i="49"/>
  <c r="Y91" i="49"/>
  <c r="Y92" i="49"/>
  <c r="Y93" i="49"/>
  <c r="Y94" i="49"/>
  <c r="Y95" i="49"/>
  <c r="Y96" i="49"/>
  <c r="Y102" i="49"/>
  <c r="Y103" i="49"/>
  <c r="Y104" i="49"/>
  <c r="Y105" i="49"/>
  <c r="Y106" i="49"/>
  <c r="Y107" i="49"/>
  <c r="Y108" i="49"/>
  <c r="Y109" i="49"/>
  <c r="Y110" i="49"/>
  <c r="Y111" i="49"/>
  <c r="Y112" i="49"/>
  <c r="Y113" i="49"/>
  <c r="Y114" i="49"/>
  <c r="Y115" i="49"/>
  <c r="Y116" i="49"/>
  <c r="Y117" i="49"/>
  <c r="Y118" i="49"/>
  <c r="Y119" i="49"/>
  <c r="Y120" i="49"/>
  <c r="Y121" i="49"/>
  <c r="Y122" i="49"/>
  <c r="Y123" i="49"/>
  <c r="Y124" i="49"/>
  <c r="Y125" i="49"/>
  <c r="Y126" i="49"/>
  <c r="Y127" i="49"/>
  <c r="Y128" i="49"/>
  <c r="Y129" i="49"/>
  <c r="Y130" i="49"/>
  <c r="Y131" i="49"/>
  <c r="Y132" i="49"/>
  <c r="Y133" i="49"/>
  <c r="Y134" i="49"/>
  <c r="Y135" i="49"/>
  <c r="Y136" i="49"/>
  <c r="Y137" i="49"/>
  <c r="Y138" i="49"/>
  <c r="Y139" i="49"/>
  <c r="Y140" i="49"/>
  <c r="Y141" i="49"/>
  <c r="Y142" i="49"/>
  <c r="Y143" i="49"/>
  <c r="Y144" i="49"/>
  <c r="Y145" i="49"/>
  <c r="Y146" i="49"/>
  <c r="Y147" i="49"/>
  <c r="Y148" i="49"/>
  <c r="Y149" i="49"/>
  <c r="Y150" i="49"/>
  <c r="Y151" i="49"/>
  <c r="Y152" i="49"/>
  <c r="Y153" i="49"/>
  <c r="Y154" i="49"/>
  <c r="Y155" i="49"/>
  <c r="Y156" i="49"/>
  <c r="Y157" i="49"/>
  <c r="Y158" i="49"/>
  <c r="Y159" i="49"/>
  <c r="Y160" i="49"/>
  <c r="Y161" i="49"/>
  <c r="Y162" i="49"/>
  <c r="Y163" i="49"/>
  <c r="Y164" i="49"/>
  <c r="Y165" i="49"/>
  <c r="Y166" i="49"/>
  <c r="Y167" i="49"/>
  <c r="Y168" i="49"/>
  <c r="Y169" i="49"/>
  <c r="Y170" i="49"/>
  <c r="Y171" i="49"/>
  <c r="Y172" i="49"/>
  <c r="Y173" i="49"/>
  <c r="Y174" i="49"/>
  <c r="Y175" i="49"/>
  <c r="Y176" i="49"/>
  <c r="Y177" i="49"/>
  <c r="Y178" i="49"/>
  <c r="Y179" i="49"/>
  <c r="Y180" i="49"/>
  <c r="Y181" i="49"/>
  <c r="Y182" i="49"/>
  <c r="Y183" i="49"/>
  <c r="Y184" i="49"/>
  <c r="Y185" i="49"/>
  <c r="Y186" i="49"/>
  <c r="Y187" i="49"/>
  <c r="Y188" i="49"/>
  <c r="Y189" i="49"/>
  <c r="Y190" i="49"/>
  <c r="Y191" i="49"/>
  <c r="Y192" i="49"/>
  <c r="Y193" i="49"/>
  <c r="Y194" i="49"/>
  <c r="Y195" i="49"/>
  <c r="Y196" i="49"/>
  <c r="Y197" i="49"/>
  <c r="Y198" i="49"/>
  <c r="Y199" i="49"/>
  <c r="Y200" i="49"/>
  <c r="Y201" i="49"/>
  <c r="Y202" i="49"/>
  <c r="Y203" i="49"/>
  <c r="Y204" i="49"/>
  <c r="Y205" i="49"/>
  <c r="Y206" i="49"/>
  <c r="Y207" i="49"/>
  <c r="Y208" i="49"/>
  <c r="Y209" i="49"/>
  <c r="Y210" i="49"/>
  <c r="Y211" i="49"/>
  <c r="Y212" i="49"/>
  <c r="Y213" i="49"/>
  <c r="Y214" i="49"/>
  <c r="Y215" i="49"/>
  <c r="Y216" i="49"/>
  <c r="Y217" i="49"/>
  <c r="Y218" i="49"/>
  <c r="Y219" i="49"/>
  <c r="Y220" i="49"/>
  <c r="Y221" i="49"/>
  <c r="Y222" i="49"/>
  <c r="Y223" i="49"/>
  <c r="Y224" i="49"/>
  <c r="Y225" i="49"/>
  <c r="Y226" i="49"/>
  <c r="Y227" i="49"/>
  <c r="Y228" i="49"/>
  <c r="Y229" i="49"/>
  <c r="Y230" i="49"/>
  <c r="Y231" i="49"/>
  <c r="Y232" i="49"/>
  <c r="Y233" i="49"/>
  <c r="Y234" i="49"/>
  <c r="Y236" i="49"/>
  <c r="Y237" i="49"/>
  <c r="Y238" i="49"/>
  <c r="Y239" i="49"/>
  <c r="Y240" i="49"/>
  <c r="Y241" i="49"/>
  <c r="Y242" i="49"/>
  <c r="Y243" i="49"/>
  <c r="Y244" i="49"/>
  <c r="Y245" i="49"/>
  <c r="Y246" i="49"/>
  <c r="Y247" i="49"/>
  <c r="Y248" i="49"/>
  <c r="Y249" i="49"/>
  <c r="Y250" i="49"/>
  <c r="Y251" i="49"/>
  <c r="Y252" i="49"/>
  <c r="Y253" i="49"/>
  <c r="Y254" i="49"/>
  <c r="Y255" i="49"/>
  <c r="Y256" i="49"/>
  <c r="Y257" i="49"/>
  <c r="Y258" i="49"/>
  <c r="Y259" i="49"/>
  <c r="Y260" i="49"/>
  <c r="Y261" i="49"/>
  <c r="Y262" i="49"/>
  <c r="Y263" i="49"/>
  <c r="Y264" i="49"/>
  <c r="Y265" i="49"/>
  <c r="Y266" i="49"/>
  <c r="Y267" i="49"/>
  <c r="Y268" i="49"/>
  <c r="Y269" i="49"/>
  <c r="Y270" i="49"/>
  <c r="Y271" i="49"/>
  <c r="Y272" i="49"/>
  <c r="Y273" i="49"/>
  <c r="Y274" i="49"/>
  <c r="Y277" i="49"/>
  <c r="Y278" i="49"/>
  <c r="Y279" i="49"/>
  <c r="Y280" i="49"/>
  <c r="Y281" i="49"/>
  <c r="Y282" i="49"/>
  <c r="Y283" i="49"/>
  <c r="Y284" i="49"/>
  <c r="Y285" i="49"/>
  <c r="Y286" i="49"/>
  <c r="Y287" i="49"/>
  <c r="Y288" i="49"/>
  <c r="Y289" i="49"/>
  <c r="Y290" i="49"/>
  <c r="Y291" i="49"/>
  <c r="Y292" i="49"/>
  <c r="Y293" i="49"/>
  <c r="Y294" i="49"/>
  <c r="Y295" i="49"/>
  <c r="Y2" i="49"/>
  <c r="P3" i="49"/>
  <c r="P9" i="49"/>
  <c r="P11" i="49"/>
  <c r="P12" i="49"/>
  <c r="P24" i="49"/>
  <c r="P25" i="49"/>
  <c r="P26" i="49"/>
  <c r="P27" i="49"/>
  <c r="P29" i="49"/>
  <c r="P30" i="49"/>
  <c r="P31" i="49"/>
  <c r="P32" i="49"/>
  <c r="P33" i="49"/>
  <c r="P34" i="49"/>
  <c r="P35" i="49"/>
  <c r="P40" i="49"/>
  <c r="P44" i="49"/>
  <c r="P45" i="49"/>
  <c r="P46" i="49"/>
  <c r="P47" i="49"/>
  <c r="P48" i="49"/>
  <c r="P49" i="49"/>
  <c r="P50" i="49"/>
  <c r="P51" i="49"/>
  <c r="P52" i="49"/>
  <c r="P53" i="49"/>
  <c r="P54" i="49"/>
  <c r="P55" i="49"/>
  <c r="P56" i="49"/>
  <c r="P57" i="49"/>
  <c r="P58" i="49"/>
  <c r="P59" i="49"/>
  <c r="P60" i="49"/>
  <c r="P61" i="49"/>
  <c r="P62" i="49"/>
  <c r="P63" i="49"/>
  <c r="P64" i="49"/>
  <c r="P65" i="49"/>
  <c r="P66" i="49"/>
  <c r="P67" i="49"/>
  <c r="P68" i="49"/>
  <c r="P75" i="49"/>
  <c r="P76" i="49"/>
  <c r="P77" i="49"/>
  <c r="P78" i="49"/>
  <c r="P79" i="49"/>
  <c r="P80" i="49"/>
  <c r="P81" i="49"/>
  <c r="P82" i="49"/>
  <c r="P83" i="49"/>
  <c r="P84" i="49"/>
  <c r="P85" i="49"/>
  <c r="P86" i="49"/>
  <c r="P87" i="49"/>
  <c r="P89" i="49"/>
  <c r="P90" i="49"/>
  <c r="P92" i="49"/>
  <c r="P93" i="49"/>
  <c r="P94" i="49"/>
  <c r="P95" i="49"/>
  <c r="P96" i="49"/>
  <c r="P102" i="49"/>
  <c r="P103" i="49"/>
  <c r="P104" i="49"/>
  <c r="P105" i="49"/>
  <c r="P106" i="49"/>
  <c r="P107" i="49"/>
  <c r="P108" i="49"/>
  <c r="P109" i="49"/>
  <c r="P110" i="49"/>
  <c r="P111" i="49"/>
  <c r="P112" i="49"/>
  <c r="P113" i="49"/>
  <c r="P114" i="49"/>
  <c r="P115" i="49"/>
  <c r="P116" i="49"/>
  <c r="P117" i="49"/>
  <c r="P118" i="49"/>
  <c r="P119" i="49"/>
  <c r="P120" i="49"/>
  <c r="P122" i="49"/>
  <c r="P123" i="49"/>
  <c r="P124" i="49"/>
  <c r="P125" i="49"/>
  <c r="P126" i="49"/>
  <c r="P127" i="49"/>
  <c r="P128" i="49"/>
  <c r="P129" i="49"/>
  <c r="P130" i="49"/>
  <c r="P131" i="49"/>
  <c r="P132" i="49"/>
  <c r="P133" i="49"/>
  <c r="P134" i="49"/>
  <c r="P135" i="49"/>
  <c r="P136" i="49"/>
  <c r="P137" i="49"/>
  <c r="P138" i="49"/>
  <c r="P139" i="49"/>
  <c r="P140" i="49"/>
  <c r="P141" i="49"/>
  <c r="P142" i="49"/>
  <c r="P143" i="49"/>
  <c r="P144" i="49"/>
  <c r="P145" i="49"/>
  <c r="P146" i="49"/>
  <c r="P147" i="49"/>
  <c r="P148" i="49"/>
  <c r="P149" i="49"/>
  <c r="P150" i="49"/>
  <c r="P151" i="49"/>
  <c r="P152" i="49"/>
  <c r="P153" i="49"/>
  <c r="P154" i="49"/>
  <c r="P155" i="49"/>
  <c r="P156" i="49"/>
  <c r="P157" i="49"/>
  <c r="P158" i="49"/>
  <c r="P159" i="49"/>
  <c r="P160" i="49"/>
  <c r="P161" i="49"/>
  <c r="P162" i="49"/>
  <c r="P163" i="49"/>
  <c r="P164" i="49"/>
  <c r="P178" i="49"/>
  <c r="P179" i="49"/>
  <c r="P180" i="49"/>
  <c r="P181" i="49"/>
  <c r="P182" i="49"/>
  <c r="P183" i="49"/>
  <c r="P184" i="49"/>
  <c r="P185" i="49"/>
  <c r="P186" i="49"/>
  <c r="P187" i="49"/>
  <c r="P188" i="49"/>
  <c r="P189" i="49"/>
  <c r="P190" i="49"/>
  <c r="P191" i="49"/>
  <c r="P192" i="49"/>
  <c r="P193" i="49"/>
  <c r="P194" i="49"/>
  <c r="P195" i="49"/>
  <c r="P196" i="49"/>
  <c r="P197" i="49"/>
  <c r="P198" i="49"/>
  <c r="P199" i="49"/>
  <c r="P200" i="49"/>
  <c r="P201" i="49"/>
  <c r="P202" i="49"/>
  <c r="P203" i="49"/>
  <c r="P204" i="49"/>
  <c r="P205" i="49"/>
  <c r="P206" i="49"/>
  <c r="P207" i="49"/>
  <c r="P208" i="49"/>
  <c r="P210" i="49"/>
  <c r="P211" i="49"/>
  <c r="P212" i="49"/>
  <c r="P213" i="49"/>
  <c r="P214" i="49"/>
  <c r="P215" i="49"/>
  <c r="P216" i="49"/>
  <c r="P217" i="49"/>
  <c r="P218" i="49"/>
  <c r="P219" i="49"/>
  <c r="P220" i="49"/>
  <c r="P221" i="49"/>
  <c r="P222" i="49"/>
  <c r="P223" i="49"/>
  <c r="P224" i="49"/>
  <c r="P225" i="49"/>
  <c r="P226" i="49"/>
  <c r="P227" i="49"/>
  <c r="P228" i="49"/>
  <c r="P229" i="49"/>
  <c r="P230" i="49"/>
  <c r="P231" i="49"/>
  <c r="P232" i="49"/>
  <c r="P233" i="49"/>
  <c r="P234" i="49"/>
  <c r="P235" i="49"/>
  <c r="P236" i="49"/>
  <c r="P237" i="49"/>
  <c r="P238" i="49"/>
  <c r="P239" i="49"/>
  <c r="P240" i="49"/>
  <c r="P241" i="49"/>
  <c r="P242" i="49"/>
  <c r="P243" i="49"/>
  <c r="P244" i="49"/>
  <c r="P245" i="49"/>
  <c r="P246" i="49"/>
  <c r="P247" i="49"/>
  <c r="P248" i="49"/>
  <c r="P249" i="49"/>
  <c r="P250" i="49"/>
  <c r="P251" i="49"/>
  <c r="P252" i="49"/>
  <c r="P253" i="49"/>
  <c r="P254" i="49"/>
  <c r="P255" i="49"/>
  <c r="P256" i="49"/>
  <c r="P257" i="49"/>
  <c r="P258" i="49"/>
  <c r="P259" i="49"/>
  <c r="P260" i="49"/>
  <c r="P261" i="49"/>
  <c r="P262" i="49"/>
  <c r="P263" i="49"/>
  <c r="P264" i="49"/>
  <c r="P265" i="49"/>
  <c r="P266" i="49"/>
  <c r="P267" i="49"/>
  <c r="P268" i="49"/>
  <c r="P269" i="49"/>
  <c r="P270" i="49"/>
  <c r="P271" i="49"/>
  <c r="P272" i="49"/>
  <c r="P273" i="49"/>
  <c r="P274" i="49"/>
  <c r="P277" i="49"/>
  <c r="P278" i="49"/>
  <c r="P279" i="49"/>
  <c r="P280" i="49"/>
  <c r="P281" i="49"/>
  <c r="P282" i="49"/>
  <c r="P283" i="49"/>
  <c r="P284" i="49"/>
  <c r="P285" i="49"/>
  <c r="P286" i="49"/>
  <c r="P287" i="49"/>
  <c r="P288" i="49"/>
  <c r="P289" i="49"/>
  <c r="P290" i="49"/>
  <c r="P291" i="49"/>
  <c r="P292" i="49"/>
  <c r="P293" i="49"/>
  <c r="P294" i="49"/>
  <c r="P295" i="49"/>
  <c r="P2" i="49"/>
  <c r="AE23" i="1"/>
  <c r="AE27" i="1"/>
  <c r="AE25" i="1"/>
  <c r="U19" i="40"/>
  <c r="N19" i="40"/>
  <c r="O13" i="40" s="1"/>
  <c r="O12" i="40"/>
  <c r="P5" i="40"/>
  <c r="P4" i="40"/>
  <c r="P12" i="40"/>
  <c r="P10" i="40"/>
  <c r="P7" i="40"/>
  <c r="P9" i="40"/>
  <c r="P17" i="40"/>
  <c r="P16" i="40"/>
  <c r="P13" i="40"/>
  <c r="P11" i="40"/>
  <c r="P18" i="40"/>
  <c r="P3" i="40"/>
  <c r="P15" i="40"/>
  <c r="P8" i="40"/>
  <c r="P6" i="40"/>
  <c r="P14" i="40"/>
  <c r="V5" i="40"/>
  <c r="V4" i="40"/>
  <c r="V10" i="40"/>
  <c r="V7" i="40"/>
  <c r="V17" i="40"/>
  <c r="V16" i="40"/>
  <c r="V13" i="40"/>
  <c r="V11" i="40"/>
  <c r="V18" i="40"/>
  <c r="V3" i="40"/>
  <c r="V15" i="40"/>
  <c r="V8" i="40"/>
  <c r="V6" i="40"/>
  <c r="V14" i="40"/>
  <c r="O14" i="40"/>
  <c r="O5" i="40"/>
  <c r="O8" i="40"/>
  <c r="D18" i="40"/>
  <c r="E18" i="40"/>
  <c r="F18" i="40"/>
  <c r="F15" i="40"/>
  <c r="F14" i="40"/>
  <c r="F6" i="40"/>
  <c r="F4" i="40"/>
  <c r="F7" i="40"/>
  <c r="F10" i="40"/>
  <c r="F5" i="40"/>
  <c r="F8" i="40"/>
  <c r="F3" i="40"/>
  <c r="F16" i="40"/>
  <c r="F12" i="40"/>
  <c r="F13" i="40"/>
  <c r="F11" i="40"/>
  <c r="F9" i="40"/>
  <c r="F17" i="40"/>
  <c r="E9" i="40"/>
  <c r="E17" i="40"/>
  <c r="E15" i="40"/>
  <c r="E14" i="40"/>
  <c r="E6" i="40"/>
  <c r="E4" i="40"/>
  <c r="E7" i="40"/>
  <c r="E10" i="40"/>
  <c r="E5" i="40"/>
  <c r="E8" i="40"/>
  <c r="E3" i="40"/>
  <c r="E16" i="40"/>
  <c r="E12" i="40"/>
  <c r="E13" i="40"/>
  <c r="D9" i="40"/>
  <c r="D17" i="40"/>
  <c r="D15" i="40"/>
  <c r="D14" i="40"/>
  <c r="D6" i="40"/>
  <c r="D4" i="40"/>
  <c r="D7" i="40"/>
  <c r="D10" i="40"/>
  <c r="D5" i="40"/>
  <c r="D8" i="40"/>
  <c r="D3" i="40"/>
  <c r="D16" i="40"/>
  <c r="D12" i="40"/>
  <c r="D13" i="40"/>
  <c r="L16" i="40"/>
  <c r="L5" i="40"/>
  <c r="L13" i="40"/>
  <c r="L18" i="40"/>
  <c r="L9" i="40"/>
  <c r="L6" i="40"/>
  <c r="L4" i="40"/>
  <c r="L11" i="40"/>
  <c r="L12" i="40"/>
  <c r="L8" i="40"/>
  <c r="L14" i="40"/>
  <c r="L10" i="40"/>
  <c r="L3" i="40"/>
  <c r="L7" i="40"/>
  <c r="L15" i="40"/>
  <c r="L17" i="40"/>
  <c r="D11" i="40"/>
  <c r="E11" i="40"/>
  <c r="AE29" i="1"/>
  <c r="AD7" i="2"/>
  <c r="AE24" i="1"/>
  <c r="AF7" i="2"/>
  <c r="O17" i="40" l="1"/>
  <c r="O3" i="40"/>
  <c r="O15" i="40"/>
  <c r="O11" i="40"/>
  <c r="O9" i="40"/>
  <c r="O4" i="40"/>
  <c r="P19" i="40"/>
  <c r="O18" i="40"/>
  <c r="O6" i="40"/>
  <c r="O10" i="40"/>
  <c r="O16" i="40"/>
  <c r="O7" i="40"/>
  <c r="D19" i="40"/>
  <c r="G18" i="40"/>
  <c r="G10" i="40"/>
  <c r="E19" i="40"/>
  <c r="G11" i="40"/>
  <c r="G13" i="40"/>
  <c r="G12" i="40"/>
  <c r="G3" i="40"/>
  <c r="G5" i="40"/>
  <c r="G6" i="40"/>
  <c r="G17" i="40"/>
  <c r="G9" i="40"/>
  <c r="G16" i="40"/>
  <c r="G8" i="40"/>
  <c r="G7" i="40"/>
  <c r="G4" i="40"/>
  <c r="G14" i="40"/>
  <c r="G15" i="40"/>
  <c r="F19" i="40"/>
  <c r="Q10" i="40" l="1"/>
  <c r="Q14" i="40"/>
  <c r="Q17" i="40"/>
  <c r="Q8" i="40"/>
  <c r="Q9" i="40"/>
  <c r="Q15" i="40"/>
  <c r="Q7" i="40"/>
  <c r="Q18" i="40"/>
  <c r="Q12" i="40"/>
  <c r="Q11" i="40"/>
  <c r="Q4" i="40"/>
  <c r="Q13" i="40"/>
  <c r="Q5" i="40"/>
  <c r="Q3" i="40"/>
  <c r="Q6" i="40"/>
  <c r="Q16" i="40"/>
  <c r="G19" i="40"/>
  <c r="I3" i="40"/>
  <c r="I9" i="40"/>
  <c r="S9" i="40" s="1"/>
  <c r="I15" i="40"/>
  <c r="S15" i="40" s="1"/>
  <c r="H15" i="40"/>
  <c r="R15" i="40" s="1"/>
  <c r="H13" i="40"/>
  <c r="R13" i="40" s="1"/>
  <c r="I17" i="40"/>
  <c r="S17" i="40" s="1"/>
  <c r="I6" i="40"/>
  <c r="S6" i="40" s="1"/>
  <c r="H11" i="40"/>
  <c r="R11" i="40" s="1"/>
  <c r="I10" i="40"/>
  <c r="S10" i="40" s="1"/>
  <c r="H5" i="40"/>
  <c r="R5" i="40" s="1"/>
  <c r="H16" i="40"/>
  <c r="R16" i="40" s="1"/>
  <c r="H18" i="40"/>
  <c r="R18" i="40" s="1"/>
  <c r="H14" i="40"/>
  <c r="R14" i="40" s="1"/>
  <c r="I8" i="40"/>
  <c r="S8" i="40" s="1"/>
  <c r="H12" i="40"/>
  <c r="R12" i="40" s="1"/>
  <c r="I11" i="40"/>
  <c r="S11" i="40" s="1"/>
  <c r="I7" i="40"/>
  <c r="S7" i="40" s="1"/>
  <c r="H6" i="40"/>
  <c r="R6" i="40" s="1"/>
  <c r="H7" i="40"/>
  <c r="R7" i="40" s="1"/>
  <c r="H4" i="40"/>
  <c r="R4" i="40" s="1"/>
  <c r="H8" i="40"/>
  <c r="R8" i="40" s="1"/>
  <c r="H10" i="40"/>
  <c r="R10" i="40" s="1"/>
  <c r="I13" i="40"/>
  <c r="S13" i="40" s="1"/>
  <c r="I4" i="40"/>
  <c r="S4" i="40" s="1"/>
  <c r="I14" i="40"/>
  <c r="S14" i="40" s="1"/>
  <c r="I5" i="40"/>
  <c r="S5" i="40" s="1"/>
  <c r="I18" i="40"/>
  <c r="S18" i="40" s="1"/>
  <c r="I12" i="40"/>
  <c r="S12" i="40" s="1"/>
  <c r="I16" i="40"/>
  <c r="S16" i="40" s="1"/>
  <c r="H9" i="40"/>
  <c r="R9" i="40" s="1"/>
  <c r="H17" i="40"/>
  <c r="R17" i="40" s="1"/>
  <c r="H3" i="40"/>
  <c r="R3" i="40" s="1"/>
  <c r="I19" i="40" l="1"/>
  <c r="S3" i="40"/>
  <c r="S19" i="40" s="1"/>
  <c r="R19" i="40"/>
  <c r="H19" i="4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tc={F888DC05-8C07-46E3-BFB8-5E17B5091F23}</author>
    <author>tc={5136862A-0F34-4AEF-A8A7-54837CE8A364}</author>
    <author>tc={C6DABF18-935A-41A0-9477-CB06A04B72B7}</author>
  </authors>
  <commentList>
    <comment ref="B82" authorId="0" shapeId="0" xr:uid="{F888DC05-8C07-46E3-BFB8-5E17B5091F23}">
      <text>
        <t>[Threaded comment]
Your version of Excel allows you to read this threaded comment; however, any edits to it will get removed if the file is opened in a newer version of Excel. Learn more: https://go.microsoft.com/fwlink/?linkid=870924
Comment:
    @Michaels, Nick  - PR 6060 has been added in Maximo and routed to Kendra.</t>
      </text>
    </comment>
    <comment ref="I135" authorId="1" shapeId="0" xr:uid="{5136862A-0F34-4AEF-A8A7-54837CE8A364}">
      <text>
        <t xml:space="preserve">[Threaded comment]
Your version of Excel allows you to read this threaded comment; however, any edits to it will get removed if the file is opened in a newer version of Excel. Learn more: https://go.microsoft.com/fwlink/?linkid=870924
Comment:
    @Castellon, Randy we still pending PID?
</t>
      </text>
    </comment>
    <comment ref="A232" authorId="2" shapeId="0" xr:uid="{C6DABF18-935A-41A0-9477-CB06A04B72B7}">
      <text>
        <t>[Threaded comment]
Your version of Excel allows you to read this threaded comment; however, any edits to it will get removed if the file is opened in a newer version of Excel. Learn more: https://go.microsoft.com/fwlink/?linkid=870924
Comment:
    Per coordination with Conops - this is getting pushed to 2024</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Whitson, Bryan</author>
    <author>IS Department</author>
    <author>Michaels, Nick</author>
    <author>tc={6266D740-9ADD-4BD0-9ADA-A08EC3F4A583}</author>
    <author>tc={AC5714DC-0145-4D45-B15B-1F862A0B64B9}</author>
    <author>tc={465B4B4D-7E8B-4FB9-8C81-0908E45C05C9}</author>
    <author>tc={3B5610F1-D128-413F-8EAA-7BD4CF3C6DE8}</author>
    <author>tc={9DA9D929-CC0E-40A5-BAB2-543144FC107C}</author>
    <author>tc={F50A38FA-9994-42A1-BAD8-20258CC6196C}</author>
    <author>tc={1CF5AA38-37CD-4ECB-8B84-D0C69CB3FB7E}</author>
    <author>tc={F83739C3-3EED-45E8-8EC3-C751CB58D354}</author>
    <author>tc={E8E4232F-AAE3-42DE-848A-7A7E7EBEA1A5}</author>
    <author>tc={09013DE7-1F41-4C2F-ADD8-BB16555FFF1B}</author>
    <author>tc={283F040B-5DD2-47BF-B484-AE38993D33D7}</author>
    <author>tc={186E2B0A-7D05-415A-92A8-D10BB104EB09}</author>
    <author>tc={737C7813-43EF-4E95-92FA-5F36EE2B0436}</author>
    <author>tc={740AC4E0-32B0-474F-A5A5-42B6C4855D7F}</author>
    <author>tc={CCA7688F-50E7-4DFC-ABC8-80D746050705}</author>
    <author>tc={D85EBB95-64EC-478B-87C8-18D4FAEC61DA}</author>
    <author>tc={CDBD59DD-E6A3-4BE2-9D2C-9B7C5E7E4F3E}</author>
    <author>tc={A505A166-893E-40E9-80DE-ACC0753750EA}</author>
    <author>tc={3747EF93-47AF-44FE-A58C-BED72DE6E840}</author>
    <author>tc={85325B17-EC53-46ED-B664-F837FCD48F40}</author>
    <author>tc={0333553E-BD81-4226-9BC9-BB693D57384A}</author>
    <author>tc={AFF9D856-8541-47FA-9298-B2E3A1884724}</author>
    <author>tc={A5BC5542-3EEE-4F99-95BC-687F3003A0B4}</author>
    <author>tc={087ACD9E-2823-4907-8281-F9C06293C68B}</author>
    <author>tc={05EAFCEF-4544-4F78-988A-BB93CE8E96CC}</author>
    <author>tc={0F767779-E7D9-4FA1-BA37-FAF2FAA398CA}</author>
    <author>tc={38D9AC22-7F60-4A47-B772-FBAF392679F2}</author>
    <author>tc={71D85AB3-34AC-4647-BEA7-EFFC3392522E}</author>
    <author>tc={6D2BF858-CE5D-4BBB-83D3-DC553AE042E2}</author>
    <author>tc={1D8691D1-0443-4D53-B22B-1EC26708C369}</author>
    <author>tc={A1316B15-2BE6-447E-AD3B-E4C06FD77A24}</author>
    <author>tc={41C6C264-E23E-4373-9767-1A38C9057738}</author>
    <author>tc={7BF1F93B-E851-49E9-AAFA-3A1CF75F1289}</author>
    <author>tc={67C5B32E-DDB3-4BE6-8213-57B30AC06641}</author>
    <author>tc={217D0D69-F8FD-4BEE-B53A-7290EC4B3342}</author>
    <author>tc={700419AD-AA13-4366-B4C9-358E3E0D0F65}</author>
    <author>tc={CE4229FA-5281-4EF6-A4A6-9DA7FB374BEB}</author>
    <author>tc={F4F29477-6A18-4987-803E-0FB7A1BC2533}</author>
    <author>tc={1F26471E-F358-4C88-A126-D1AA63FF9CF8}</author>
    <author>tc={220A7164-EDED-46DB-A806-031CC3BE4052}</author>
    <author>tc={F79B2696-4342-497C-A136-E7E28AEF82C3}</author>
    <author>tc={0CA10068-38A2-4D5E-8C7C-5D043BC27C3E}</author>
    <author>tc={A17001C0-81A3-402D-A4FB-D80EB9B1B3AC}</author>
    <author>tc={8F0598B2-478B-4877-9E56-CEBB96EC7740}</author>
    <author>tc={C9EF2EC1-50B4-4DEA-9794-5AD211EEF34E}</author>
    <author>tc={8CD9AC82-2990-49AD-A1B6-732D774CB8AC}</author>
    <author>tc={7140FEC7-AFC3-492F-956E-B48437E36C8A}</author>
    <author>tc={A5D64F3A-6C0B-4D70-AF1B-5FB804A14C6A}</author>
    <author>tc={E2F329F8-A3DD-456F-A7D1-B6A37A7ABA63}</author>
    <author>tc={13FD3845-9C83-4340-AE67-D1F39CAB1E62}</author>
    <author>tc={4A53BB79-9437-4A03-8702-A9B16718FB23}</author>
    <author>tc={D728FE1A-445E-44DC-B579-AF22DD631B74}</author>
    <author>tc={53F4E396-6FB9-4378-B829-5F365D5C9240}</author>
    <author>tc={8178B89F-47BD-4526-B1D6-B57B33640E35}</author>
    <author>tc={F03DCB7D-22DE-4FC9-B989-48BD25577457}</author>
    <author>tc={46D0B7A3-48A0-4A8C-AE7A-E08F3AC676F8}</author>
    <author>tc={DDFC9672-F141-45DB-9C98-56F0AD7005C0}</author>
    <author>tc={A92B3E3D-8D38-4B34-A236-A73E69927211}</author>
    <author>tc={A31F8E1F-A46F-48F1-923D-E2083C221E40}</author>
    <author>tc={9FEE2E63-E505-4BAA-B209-987B115CEF24}</author>
    <author>tc={FA3A93EF-2A00-4EA2-81CA-3A012FCB18C0}</author>
  </authors>
  <commentList>
    <comment ref="BJ1" authorId="0" shapeId="0" xr:uid="{09937992-E83D-44D6-BC93-9AEEEA745E8D}">
      <text>
        <r>
          <rPr>
            <b/>
            <sz val="9"/>
            <color indexed="81"/>
            <rFont val="Tahoma"/>
            <family val="2"/>
          </rPr>
          <t>Whitson, Bryan:</t>
        </r>
        <r>
          <rPr>
            <sz val="9"/>
            <color indexed="81"/>
            <rFont val="Tahoma"/>
            <family val="2"/>
          </rPr>
          <t xml:space="preserve">
Y or N if the project contains the pressure.</t>
        </r>
      </text>
    </comment>
    <comment ref="BN1" authorId="0" shapeId="0" xr:uid="{6E36F2B4-2FA2-41B0-81FD-71D3A4524888}">
      <text>
        <r>
          <rPr>
            <b/>
            <sz val="9"/>
            <color indexed="81"/>
            <rFont val="Tahoma"/>
            <family val="2"/>
          </rPr>
          <t>Whitson, Bryan:</t>
        </r>
        <r>
          <rPr>
            <sz val="9"/>
            <color indexed="81"/>
            <rFont val="Tahoma"/>
            <family val="2"/>
          </rPr>
          <t xml:space="preserve">
Enter the LF of main in the appropriate column. If the main was not used on the project, please enter "0". </t>
        </r>
      </text>
    </comment>
    <comment ref="BU1" authorId="0" shapeId="0" xr:uid="{ADD1990F-1194-47DC-9005-6CD3E7B951D0}">
      <text>
        <r>
          <rPr>
            <b/>
            <sz val="9"/>
            <color indexed="81"/>
            <rFont val="Tahoma"/>
            <family val="2"/>
          </rPr>
          <t>Whitson, Bryan:</t>
        </r>
        <r>
          <rPr>
            <sz val="9"/>
            <color indexed="81"/>
            <rFont val="Tahoma"/>
            <family val="2"/>
          </rPr>
          <t xml:space="preserve">
Enter the number of each that the project contains. If the project does not contain this facility, it would say "0".</t>
        </r>
      </text>
    </comment>
    <comment ref="AC2" authorId="1" shapeId="0" xr:uid="{83888B37-498A-467B-9FF9-FDE4B2164117}">
      <text>
        <r>
          <rPr>
            <b/>
            <sz val="9"/>
            <color indexed="81"/>
            <rFont val="Tahoma"/>
            <family val="2"/>
          </rPr>
          <t>IS Department:</t>
        </r>
        <r>
          <rPr>
            <sz val="9"/>
            <color indexed="81"/>
            <rFont val="Tahoma"/>
            <family val="2"/>
          </rPr>
          <t xml:space="preserve">
Fill out as:
"N" = No
"Y" = Yes, KH progressing PO process
"Done"= KH ordered PO material, process complete.
"CONOPS" = Conops ordering PO material.</t>
        </r>
      </text>
    </comment>
    <comment ref="BD2" authorId="0" shapeId="0" xr:uid="{1C382E1A-4E98-4EBD-973F-10E126841787}">
      <text>
        <r>
          <rPr>
            <b/>
            <sz val="9"/>
            <color indexed="81"/>
            <rFont val="Tahoma"/>
            <family val="2"/>
          </rPr>
          <t>Whitson, Bryan:</t>
        </r>
        <r>
          <rPr>
            <sz val="9"/>
            <color indexed="81"/>
            <rFont val="Tahoma"/>
            <family val="2"/>
          </rPr>
          <t xml:space="preserve">
Is IDOT permit required?
Input: "X" or "-"</t>
        </r>
      </text>
    </comment>
    <comment ref="BE2" authorId="0" shapeId="0" xr:uid="{438B0E76-F613-408E-9D4F-3361115BDEFD}">
      <text>
        <r>
          <rPr>
            <b/>
            <sz val="9"/>
            <color indexed="81"/>
            <rFont val="Tahoma"/>
            <family val="2"/>
          </rPr>
          <t>Whitson, Bryan:</t>
        </r>
        <r>
          <rPr>
            <sz val="9"/>
            <color indexed="81"/>
            <rFont val="Tahoma"/>
            <family val="2"/>
          </rPr>
          <t xml:space="preserve">
If county permit is needed, input name of county. If multiple county permits needed, list in alphabetical order &amp; separate with a comma.</t>
        </r>
      </text>
    </comment>
    <comment ref="BF2" authorId="0" shapeId="0" xr:uid="{358153CF-323F-49A8-97EF-769FE247D676}">
      <text>
        <r>
          <rPr>
            <b/>
            <sz val="9"/>
            <color indexed="81"/>
            <rFont val="Tahoma"/>
            <family val="2"/>
          </rPr>
          <t>Whitson, Bryan:</t>
        </r>
        <r>
          <rPr>
            <sz val="9"/>
            <color indexed="81"/>
            <rFont val="Tahoma"/>
            <family val="2"/>
          </rPr>
          <t xml:space="preserve">
If municipal permit is needed, input name of municipal. If multiple municipal permits needed, list in alphabetical order &amp; separate with a comma.</t>
        </r>
      </text>
    </comment>
    <comment ref="BG2" authorId="0" shapeId="0" xr:uid="{EE72A9CC-7344-4F72-AC84-7A7DBA08F480}">
      <text>
        <r>
          <rPr>
            <b/>
            <sz val="9"/>
            <color indexed="81"/>
            <rFont val="Tahoma"/>
            <family val="2"/>
          </rPr>
          <t>Whitson, Bryan:</t>
        </r>
        <r>
          <rPr>
            <sz val="9"/>
            <color indexed="81"/>
            <rFont val="Tahoma"/>
            <family val="2"/>
          </rPr>
          <t xml:space="preserve">
If township permit is needed, input name of township. If multiple township permits needed, list in alphabetical order &amp; separate with a comma.</t>
        </r>
      </text>
    </comment>
    <comment ref="BH2" authorId="0" shapeId="0" xr:uid="{ACD25289-DDD1-43CC-9FEC-4D66BE37C94A}">
      <text>
        <r>
          <rPr>
            <b/>
            <sz val="9"/>
            <color indexed="81"/>
            <rFont val="Tahoma"/>
            <family val="2"/>
          </rPr>
          <t>Whitson, Bryan:</t>
        </r>
        <r>
          <rPr>
            <sz val="9"/>
            <color indexed="81"/>
            <rFont val="Tahoma"/>
            <family val="2"/>
          </rPr>
          <t xml:space="preserve">
Tollway
Railroad (CN, UPRR, BNSF, etc.)
Foreign Pipeline
MWRD</t>
        </r>
      </text>
    </comment>
    <comment ref="BJ2" authorId="0" shapeId="0" xr:uid="{8FF88C7B-1FB5-45C8-8ABE-2B826D2FF132}">
      <text>
        <r>
          <rPr>
            <b/>
            <sz val="9"/>
            <color indexed="81"/>
            <rFont val="Tahoma"/>
            <family val="2"/>
          </rPr>
          <t>Whitson, Bryan:</t>
        </r>
        <r>
          <rPr>
            <sz val="9"/>
            <color indexed="81"/>
            <rFont val="Tahoma"/>
            <family val="2"/>
          </rPr>
          <t xml:space="preserve">
Y or N</t>
        </r>
      </text>
    </comment>
    <comment ref="BU2" authorId="2" shapeId="0" xr:uid="{33E9C778-09ED-424E-B235-EA0CC63E67FB}">
      <text>
        <r>
          <rPr>
            <b/>
            <sz val="9"/>
            <color indexed="81"/>
            <rFont val="Tahoma"/>
            <family val="2"/>
          </rPr>
          <t>Michaels, Nick:</t>
        </r>
        <r>
          <rPr>
            <sz val="9"/>
            <color indexed="81"/>
            <rFont val="Tahoma"/>
            <family val="2"/>
          </rPr>
          <t xml:space="preserve">
Look at QTY table at bottom left.</t>
        </r>
      </text>
    </comment>
    <comment ref="BV2" authorId="2" shapeId="0" xr:uid="{9D1055C3-4F60-4D5F-BD46-D934A9546086}">
      <text>
        <r>
          <rPr>
            <b/>
            <sz val="9"/>
            <color indexed="81"/>
            <rFont val="Tahoma"/>
            <family val="2"/>
          </rPr>
          <t>Michaels, Nick:</t>
        </r>
        <r>
          <rPr>
            <sz val="9"/>
            <color indexed="81"/>
            <rFont val="Tahoma"/>
            <family val="2"/>
          </rPr>
          <t xml:space="preserve">
Look at qty table on bottom left.</t>
        </r>
      </text>
    </comment>
    <comment ref="BW2" authorId="2" shapeId="0" xr:uid="{07210791-4F0A-496C-ABC8-53A0D967D6DA}">
      <text>
        <r>
          <rPr>
            <b/>
            <sz val="9"/>
            <color indexed="81"/>
            <rFont val="Tahoma"/>
            <family val="2"/>
          </rPr>
          <t>Michaels, Nick:</t>
        </r>
        <r>
          <rPr>
            <sz val="9"/>
            <color indexed="81"/>
            <rFont val="Tahoma"/>
            <family val="2"/>
          </rPr>
          <t xml:space="preserve">
Review the CRA table on RS projects and fill out based on PVSTR/FV count in this table.</t>
        </r>
      </text>
    </comment>
    <comment ref="BX2" authorId="2" shapeId="0" xr:uid="{D4A7C22A-2CF7-4B7B-85A7-4F3B952949A4}">
      <text>
        <r>
          <rPr>
            <b/>
            <sz val="9"/>
            <color indexed="81"/>
            <rFont val="Tahoma"/>
            <family val="2"/>
          </rPr>
          <t>Michaels, Nick:</t>
        </r>
        <r>
          <rPr>
            <sz val="9"/>
            <color indexed="81"/>
            <rFont val="Tahoma"/>
            <family val="2"/>
          </rPr>
          <t xml:space="preserve">
Review the CRA table on RS projects and fill out based on PVSTR/FV count in this table.</t>
        </r>
      </text>
    </comment>
    <comment ref="BY2" authorId="2" shapeId="0" xr:uid="{306022E9-0021-4A1B-8300-8D6A4B689F57}">
      <text>
        <r>
          <rPr>
            <b/>
            <sz val="9"/>
            <color indexed="81"/>
            <rFont val="Tahoma"/>
            <family val="2"/>
          </rPr>
          <t>Michaels, Nick:</t>
        </r>
        <r>
          <rPr>
            <sz val="9"/>
            <color indexed="81"/>
            <rFont val="Tahoma"/>
            <family val="2"/>
          </rPr>
          <t xml:space="preserve">
Review the CRA table on RS projects and fill out based on PVSTR/FV count in this table.</t>
        </r>
      </text>
    </comment>
    <comment ref="BZ2" authorId="2" shapeId="0" xr:uid="{552F0D02-A5AE-4EF3-B63D-2C40D2765A82}">
      <text>
        <r>
          <rPr>
            <b/>
            <sz val="9"/>
            <color indexed="81"/>
            <rFont val="Tahoma"/>
            <family val="2"/>
          </rPr>
          <t>Michaels, Nick:</t>
        </r>
        <r>
          <rPr>
            <sz val="9"/>
            <color indexed="81"/>
            <rFont val="Tahoma"/>
            <family val="2"/>
          </rPr>
          <t xml:space="preserve">
Review the titleblock of the WO dwg, the PO item table, and the TS table. Likely will only be on NBA or some RS projects.</t>
        </r>
      </text>
    </comment>
    <comment ref="AW4" authorId="3" shapeId="0" xr:uid="{6266D740-9ADD-4BD0-9ADA-A08EC3F4A583}">
      <text>
        <t>[Threaded comment]
Your version of Excel allows you to read this threaded comment; however, any edits to it will get removed if the file is opened in a newer version of Excel. Learn more: https://go.microsoft.com/fwlink/?linkid=870924
Comment:
    I am unsure of this there is nothing saved in the folder and no changes made by Nicor PCTS</t>
      </text>
    </comment>
    <comment ref="J15" authorId="4" shapeId="0" xr:uid="{AC5714DC-0145-4D45-B15B-1F862A0B64B9}">
      <text>
        <t>[Threaded comment]
Your version of Excel allows you to read this threaded comment; however, any edits to it will get removed if the file is opened in a newer version of Excel. Learn more: https://go.microsoft.com/fwlink/?linkid=870924
Comment:
    @Corbi, Camille please continue to follow up on date extension with Kendra until we get that cleaned up
Reply:
    F/U 11/13
Reply:
    F/U 11/17
Reply:
    F/U 11/27
Reply:
    12/18
Reply:
    1/3
Reply:
    1/24
Reply:
    3/6
Reply:
    5/2</t>
      </text>
    </comment>
    <comment ref="X17" authorId="5" shapeId="0" xr:uid="{465B4B4D-7E8B-4FB9-8C81-0908E45C05C9}">
      <text>
        <t>[Threaded comment]
Your version of Excel allows you to read this threaded comment; however, any edits to it will get removed if the file is opened in a newer version of Excel. Learn more: https://go.microsoft.com/fwlink/?linkid=870924
Comment:
    PCTS shows 846,228.66 (but was approved on 3/5/2024 so likely the discrepancy)</t>
      </text>
    </comment>
    <comment ref="D20" authorId="6" shapeId="0" xr:uid="{3B5610F1-D128-413F-8EAA-7BD4CF3C6DE8}">
      <text>
        <t xml:space="preserve">[Threaded comment]
Your version of Excel allows you to read this threaded comment; however, any edits to it will get removed if the file is opened in a newer version of Excel. Learn more: https://go.microsoft.com/fwlink/?linkid=870924
Comment:
    Used to be 1412040 - this was corrected during a revision. </t>
      </text>
    </comment>
    <comment ref="V23" authorId="7" shapeId="0" xr:uid="{9DA9D929-CC0E-40A5-BAB2-543144FC107C}">
      <text>
        <t>[Threaded comment]
Your version of Excel allows you to read this threaded comment; however, any edits to it will get removed if the file is opened in a newer version of Excel. Learn more: https://go.microsoft.com/fwlink/?linkid=870924
Comment:
    @Castellon, Randy review and enter in values for red cells, highlight yellow and tag me when ready to be reviewed
Reply:
    @Betland, Joseph ready for your review</t>
      </text>
    </comment>
    <comment ref="AN29" authorId="8" shapeId="0" xr:uid="{F50A38FA-9994-42A1-BAD8-20258CC6196C}">
      <text>
        <t>[Threaded comment]
Your version of Excel allows you to read this threaded comment; however, any edits to it will get removed if the file is opened in a newer version of Excel. Learn more: https://go.microsoft.com/fwlink/?linkid=870924
Comment:
    @Dina, Eric  can you update this column to be the date is was approved, and highlight the cells blue that you've updated to the right when you've confirmed they are good to go?
Reply:
    done</t>
      </text>
    </comment>
    <comment ref="X30" authorId="9" shapeId="0" xr:uid="{1CF5AA38-37CD-4ECB-8B84-D0C69CB3FB7E}">
      <text>
        <t>[Threaded comment]
Your version of Excel allows you to read this threaded comment; however, any edits to it will get removed if the file is opened in a newer version of Excel. Learn more: https://go.microsoft.com/fwlink/?linkid=870924
Comment:
    PCTS shows 335,524.99</t>
      </text>
    </comment>
    <comment ref="Z30" authorId="10" shapeId="0" xr:uid="{F83739C3-3EED-45E8-8EC3-C751CB58D354}">
      <text>
        <t>[Threaded comment]
Your version of Excel allows you to read this threaded comment; however, any edits to it will get removed if the file is opened in a newer version of Excel. Learn more: https://go.microsoft.com/fwlink/?linkid=870924
Comment:
    PCTS Shows 34,712.80</t>
      </text>
    </comment>
    <comment ref="J33" authorId="11" shapeId="0" xr:uid="{E8E4232F-AAE3-42DE-848A-7A7E7EBEA1A5}">
      <text>
        <t>[Threaded comment]
Your version of Excel allows you to read this threaded comment; however, any edits to it will get removed if the file is opened in a newer version of Excel. Learn more: https://go.microsoft.com/fwlink/?linkid=870924
Comment:
    @Castellon, Randy please continue to follow up on this date
Reply:
    F.U. 2/22
Reply:
    This got approved and i saved it down in the folder</t>
      </text>
    </comment>
    <comment ref="AK37" authorId="12" shapeId="0" xr:uid="{09013DE7-1F41-4C2F-ADD8-BB16555FFF1B}">
      <text>
        <t>[Threaded comment]
Your version of Excel allows you to read this threaded comment; however, any edits to it will get removed if the file is opened in a newer version of Excel. Learn more: https://go.microsoft.com/fwlink/?linkid=870924
Comment:
    I chatted with Logan and we think its a possibility that Shactee didn't invoice us for the BL/D they did (returned to us on 12/27/24). Accounting doesn't have any invoice for this</t>
      </text>
    </comment>
    <comment ref="X38" authorId="13" shapeId="0" xr:uid="{283F040B-5DD2-47BF-B484-AE38993D33D7}">
      <text>
        <t>[Threaded comment]
Your version of Excel allows you to read this threaded comment; however, any edits to it will get removed if the file is opened in a newer version of Excel. Learn more: https://go.microsoft.com/fwlink/?linkid=870924
Comment:
    @Chamernik, Conner please go in and take screenshots of PCTS as these numbers appeared to have chnaged and I want to document
Reply:
    PCTS shows $172,318.47 (but was approved on 3/7/2024 so likely the discrepancy)</t>
      </text>
    </comment>
    <comment ref="Z38" authorId="14" shapeId="0" xr:uid="{186E2B0A-7D05-415A-92A8-D10BB104EB09}">
      <text>
        <t>[Threaded comment]
Your version of Excel allows you to read this threaded comment; however, any edits to it will get removed if the file is opened in a newer version of Excel. Learn more: https://go.microsoft.com/fwlink/?linkid=870924
Comment:
    PCTS shows $54,594.16 (but was approved on 3/5/2024 so likely the discrepancy)</t>
      </text>
    </comment>
    <comment ref="AW41" authorId="15" shapeId="0" xr:uid="{737C7813-43EF-4E95-92FA-5F36EE2B0436}">
      <text>
        <t>[Threaded comment]
Your version of Excel allows you to read this threaded comment; however, any edits to it will get removed if the file is opened in a newer version of Excel. Learn more: https://go.microsoft.com/fwlink/?linkid=870924
Comment:
    Please note that both SC18611 WOs were combined in this reconciliation</t>
      </text>
    </comment>
    <comment ref="J42" authorId="16" shapeId="0" xr:uid="{740AC4E0-32B0-474F-A5A5-42B6C4855D7F}">
      <text>
        <t xml:space="preserve">[Threaded comment]
Your version of Excel allows you to read this threaded comment; however, any edits to it will get removed if the file is opened in a newer version of Excel. Learn more: https://go.microsoft.com/fwlink/?linkid=870924
Comment:
    @Lierow, Taylor please continue to follow up on this date </t>
      </text>
    </comment>
    <comment ref="K48" authorId="17" shapeId="0" xr:uid="{CCA7688F-50E7-4DFC-ABC8-80D746050705}">
      <text>
        <t>[Threaded comment]
Your version of Excel allows you to read this threaded comment; however, any edits to it will get removed if the file is opened in a newer version of Excel. Learn more: https://go.microsoft.com/fwlink/?linkid=870924
Comment:
    @Dina, Eric  can you pull in an analyst to fill out the red cells? Have them highlight yellow when ready for my review. Thanks!
Reply:
    Done, with the exception of Shactee effort.  I'll populate once we get the invoice.</t>
      </text>
    </comment>
    <comment ref="AM52" authorId="18" shapeId="0" xr:uid="{D85EBB95-64EC-478B-87C8-18D4FAEC61DA}">
      <text>
        <t>[Threaded comment]
Your version of Excel allows you to read this threaded comment; however, any edits to it will get removed if the file is opened in a newer version of Excel. Learn more: https://go.microsoft.com/fwlink/?linkid=870924
Comment:
    @Whitson, Bryan This project was canceled and renewed under the same WO (RS928). I've included the pertinent information but updated this to be "N" in eligible to reconcile.</t>
      </text>
    </comment>
    <comment ref="AY55" authorId="19" shapeId="0" xr:uid="{CDBD59DD-E6A3-4BE2-9D2C-9B7C5E7E4F3E}">
      <text>
        <t>[Threaded comment]
Your version of Excel allows you to read this threaded comment; however, any edits to it will get removed if the file is opened in a newer version of Excel. Learn more: https://go.microsoft.com/fwlink/?linkid=870924
Comment:
    Not reconciled this cycle due to not being approved by 6/30</t>
      </text>
    </comment>
    <comment ref="Z56" authorId="20" shapeId="0" xr:uid="{A505A166-893E-40E9-80DE-ACC0753750EA}">
      <text>
        <t>[Threaded comment]
Your version of Excel allows you to read this threaded comment; however, any edits to it will get removed if the file is opened in a newer version of Excel. Learn more: https://go.microsoft.com/fwlink/?linkid=870924
Comment:
    @Betland, Joseph / @Dina, Eric - This no longer matches PCTS/ Can we update this and the invoice prior to sending to Nicor? I see this as $329,053.63 in PCTS.</t>
      </text>
    </comment>
    <comment ref="AJ56" authorId="21" shapeId="0" xr:uid="{3747EF93-47AF-44FE-A58C-BED72DE6E840}">
      <text>
        <t>[Threaded comment]
Your version of Excel allows you to read this threaded comment; however, any edits to it will get removed if the file is opened in a newer version of Excel. Learn more: https://go.microsoft.com/fwlink/?linkid=870924
Comment:
    Shactee locates ($1,368.34) + Helix ($6,850)</t>
      </text>
    </comment>
    <comment ref="J129" authorId="22" shapeId="0" xr:uid="{85325B17-EC53-46ED-B664-F837FCD48F40}">
      <text>
        <t>[Threaded comment]
Your version of Excel allows you to read this threaded comment; however, any edits to it will get removed if the file is opened in a newer version of Excel. Learn more: https://go.microsoft.com/fwlink/?linkid=870924
Comment:
    @Lierow, Taylor EDSR shows this date as 5/5/2023, please continue to follow up
Reply:
    @Betland, Joseph &amp; @Lierow, Taylor - ping. This is still showing 5/5 in Nicor's system. Please work to get this updated and delete this comment out.
Reply:
    Approved by Kendra on 3/28/2024</t>
      </text>
    </comment>
    <comment ref="AC130" authorId="23" shapeId="0" xr:uid="{0333553E-BD81-4226-9BC9-BB693D57384A}">
      <text>
        <t>[Threaded comment]
Your version of Excel allows you to read this threaded comment; however, any edits to it will get removed if the file is opened in a newer version of Excel. Learn more: https://go.microsoft.com/fwlink/?linkid=870924
Comment:
    Pending coordination with ConOps and Eng. 2024 Construction job so material ordering will be delayed and may be in coordination with the larger SW O'Hare project. Keep coordinated with Engineering.</t>
      </text>
    </comment>
    <comment ref="AC137" authorId="24" shapeId="0" xr:uid="{AFF9D856-8541-47FA-9298-B2E3A1884724}">
      <text>
        <t>[Threaded comment]
Your version of Excel allows you to read this threaded comment; however, any edits to it will get removed if the file is opened in a newer version of Excel. Learn more: https://go.microsoft.com/fwlink/?linkid=870924
Comment:
    Material procurement to occur at a later date. construction anticipated for 2024.</t>
      </text>
    </comment>
    <comment ref="AC138" authorId="25" shapeId="0" xr:uid="{A5BC5542-3EEE-4F99-95BC-687F3003A0B4}">
      <text>
        <t>[Threaded comment]
Your version of Excel allows you to read this threaded comment; however, any edits to it will get removed if the file is opened in a newer version of Excel. Learn more: https://go.microsoft.com/fwlink/?linkid=870924
Comment:
    Material procurement to occur at a later date. construction anticipated for 2024.</t>
      </text>
    </comment>
    <comment ref="AC139" authorId="26" shapeId="0" xr:uid="{087ACD9E-2823-4907-8281-F9C06293C68B}">
      <text>
        <t>[Threaded comment]
Your version of Excel allows you to read this threaded comment; however, any edits to it will get removed if the file is opened in a newer version of Excel. Learn more: https://go.microsoft.com/fwlink/?linkid=870924
Comment:
    Material procurement to occur at a later date. construction anticipated for 2024.</t>
      </text>
    </comment>
    <comment ref="AE140" authorId="27" shapeId="0" xr:uid="{05EAFCEF-4544-4F78-988A-BB93CE8E96CC}">
      <text>
        <t>[Threaded comment]
Your version of Excel allows you to read this threaded comment; however, any edits to it will get removed if the file is opened in a newer version of Excel. Learn more: https://go.microsoft.com/fwlink/?linkid=870924
Comment:
    @LaPorte, Marissa  Please fill out</t>
      </text>
    </comment>
    <comment ref="AC142" authorId="28" shapeId="0" xr:uid="{0F767779-E7D9-4FA1-BA37-FAF2FAA398CA}">
      <text>
        <t xml:space="preserve">[Threaded comment]
Your version of Excel allows you to read this threaded comment; however, any edits to it will get removed if the file is opened in a newer version of Excel. Learn more: https://go.microsoft.com/fwlink/?linkid=870924
Comment:
    Email out to ConOps and SysOps confirming order responsibility for meter set items. 
Reply:
    F/U 7/26
Reply:
    Sysops confirmed they will order meter set items. </t>
      </text>
    </comment>
    <comment ref="AC143" authorId="29" shapeId="0" xr:uid="{38D9AC22-7F60-4A47-B772-FBAF392679F2}">
      <text>
        <t>[Threaded comment]
Your version of Excel allows you to read this threaded comment; however, any edits to it will get removed if the file is opened in a newer version of Excel. Learn more: https://go.microsoft.com/fwlink/?linkid=870924
Comment:
    Pending PID creation. Email out to Kendra 7/25.
Reply:
    F/U 7/27
Reply:
    F/U 8/4
Reply:
    PR6380 submitted 8/10</t>
      </text>
    </comment>
    <comment ref="AC146" authorId="30" shapeId="0" xr:uid="{71D85AB3-34AC-4647-BEA7-EFFC3392522E}">
      <text>
        <t>[Threaded comment]
Your version of Excel allows you to read this threaded comment; however, any edits to it will get removed if the file is opened in a newer version of Excel. Learn more: https://go.microsoft.com/fwlink/?linkid=870924
Comment:
    SYSOPS should be ordering these PO items, email out on 7/26 to confirm.
Reply:
    Confirmed 7/28</t>
      </text>
    </comment>
    <comment ref="AC147" authorId="31" shapeId="0" xr:uid="{6D2BF858-CE5D-4BBB-83D3-DC553AE042E2}">
      <text>
        <t>[Threaded comment]
Your version of Excel allows you to read this threaded comment; however, any edits to it will get removed if the file is opened in a newer version of Excel. Learn more: https://go.microsoft.com/fwlink/?linkid=870924
Comment:
    SYSOPS should be ordering these PO items, email out on 7/26 to confirm.
Reply:
    Confirmed 7/28</t>
      </text>
    </comment>
    <comment ref="AE148" authorId="32" shapeId="0" xr:uid="{1D8691D1-0443-4D53-B22B-1EC26708C369}">
      <text>
        <t>[Threaded comment]
Your version of Excel allows you to read this threaded comment; however, any edits to it will get removed if the file is opened in a newer version of Excel. Learn more: https://go.microsoft.com/fwlink/?linkid=870924
Comment:
    @LaPorte, Marissa  Please fill out</t>
      </text>
    </comment>
    <comment ref="AE150" authorId="33" shapeId="0" xr:uid="{A1316B15-2BE6-447E-AD3B-E4C06FD77A24}">
      <text>
        <t>[Threaded comment]
Your version of Excel allows you to read this threaded comment; however, any edits to it will get removed if the file is opened in a newer version of Excel. Learn more: https://go.microsoft.com/fwlink/?linkid=870924
Comment:
    @LaPorte, Marissa  Please fill out</t>
      </text>
    </comment>
    <comment ref="AB157" authorId="34" shapeId="0" xr:uid="{41C6C264-E23E-4373-9767-1A38C9057738}">
      <text>
        <t>[Threaded comment]
Your version of Excel allows you to read this threaded comment; however, any edits to it will get removed if the file is opened in a newer version of Excel. Learn more: https://go.microsoft.com/fwlink/?linkid=870924
Comment:
    Review request sent 11/2. F/U 11/8. ConOps reports project is to be broken up into multiple WOs.</t>
      </text>
    </comment>
    <comment ref="AC157" authorId="35" shapeId="0" xr:uid="{7BF1F93B-E851-49E9-AAFA-3A1CF75F1289}">
      <text>
        <t>[Threaded comment]
Your version of Excel allows you to read this threaded comment; however, any edits to it will get removed if the file is opened in a newer version of Excel. Learn more: https://go.microsoft.com/fwlink/?linkid=870924
Comment:
    Requisitions on hold, project is to be broken into multiple WOs.</t>
      </text>
    </comment>
    <comment ref="J161" authorId="36" shapeId="0" xr:uid="{67C5B32E-DDB3-4BE6-8213-57B30AC06641}">
      <text>
        <t>[Threaded comment]
Your version of Excel allows you to read this threaded comment; however, any edits to it will get removed if the file is opened in a newer version of Excel. Learn more: https://go.microsoft.com/fwlink/?linkid=870924
Comment:
    @Lierow, Taylor please continue following up on these until they have been approved</t>
      </text>
    </comment>
    <comment ref="O161" authorId="37" shapeId="0" xr:uid="{217D0D69-F8FD-4BEE-B53A-7290EC4B3342}">
      <text>
        <t>[Threaded comment]
Your version of Excel allows you to read this threaded comment; however, any edits to it will get removed if the file is opened in a newer version of Excel. Learn more: https://go.microsoft.com/fwlink/?linkid=870924
Comment:
    @Whitson, Bryan aren't we holding this to 2024?</t>
      </text>
    </comment>
    <comment ref="J162" authorId="38" shapeId="0" xr:uid="{700419AD-AA13-4366-B4C9-358E3E0D0F65}">
      <text>
        <t>[Threaded comment]
Your version of Excel allows you to read this threaded comment; however, any edits to it will get removed if the file is opened in a newer version of Excel. Learn more: https://go.microsoft.com/fwlink/?linkid=870924
Comment:
    @Lierow, Taylor please continue to follow up on these dates to get approved</t>
      </text>
    </comment>
    <comment ref="J166" authorId="39" shapeId="0" xr:uid="{CE4229FA-5281-4EF6-A4A6-9DA7FB374BEB}">
      <text>
        <t>[Threaded comment]
Your version of Excel allows you to read this threaded comment; however, any edits to it will get removed if the file is opened in a newer version of Excel. Learn more: https://go.microsoft.com/fwlink/?linkid=870924
Comment:
    @Purtell, Tim @Corbi, Camille please update red cells and highlight yellow for my review. Also, please make sure that we are continuing to follow up on the date on this one, which still needs to be updated in the EDSR. 
Reply:
    F/U 12/4</t>
      </text>
    </comment>
    <comment ref="J167" authorId="40" shapeId="0" xr:uid="{F4F29477-6A18-4987-803E-0FB7A1BC2533}">
      <text>
        <t>[Threaded comment]
Your version of Excel allows you to read this threaded comment; however, any edits to it will get removed if the file is opened in a newer version of Excel. Learn more: https://go.microsoft.com/fwlink/?linkid=870924
Comment:
    @Castellon, Randy please continue to follow up on this date until the EDSR is updated. @Hopkins, Matt
Reply:
    fu 2/22
Reply:
    FU 6/24</t>
      </text>
    </comment>
    <comment ref="BC168" authorId="41" shapeId="0" xr:uid="{1F26471E-F358-4C88-A126-D1AA63FF9CF8}">
      <text>
        <t>[Threaded comment]
Your version of Excel allows you to read this threaded comment; however, any edits to it will get removed if the file is opened in a newer version of Excel. Learn more: https://go.microsoft.com/fwlink/?linkid=870924
Comment:
    @Castellon, Randy  reminder during the meeting with IDOT to discuss pipe removal</t>
      </text>
    </comment>
    <comment ref="X169" authorId="42" shapeId="0" xr:uid="{220A7164-EDED-46DB-A806-031CC3BE4052}">
      <text>
        <t>[Threaded comment]
Your version of Excel allows you to read this threaded comment; however, any edits to it will get removed if the file is opened in a newer version of Excel. Learn more: https://go.microsoft.com/fwlink/?linkid=870924
Comment:
    PCTS shows $303,560.19</t>
      </text>
    </comment>
    <comment ref="Q170" authorId="43" shapeId="0" xr:uid="{F79B2696-4342-497C-A136-E7E28AEF82C3}">
      <text>
        <t>[Threaded comment]
Your version of Excel allows you to read this threaded comment; however, any edits to it will get removed if the file is opened in a newer version of Excel. Learn more: https://go.microsoft.com/fwlink/?linkid=870924
Comment:
    @Bruce, Logan  @Rojas, Taylor  this project got added to our february billing</t>
      </text>
    </comment>
    <comment ref="X170" authorId="44" shapeId="0" xr:uid="{0CA10068-38A2-4D5E-8C7C-5D043BC27C3E}">
      <text>
        <t>[Threaded comment]
Your version of Excel allows you to read this threaded comment; however, any edits to it will get removed if the file is opened in a newer version of Excel. Learn more: https://go.microsoft.com/fwlink/?linkid=870924
Comment:
    PCTS shows 1,357,372.21</t>
      </text>
    </comment>
    <comment ref="Z170" authorId="45" shapeId="0" xr:uid="{A17001C0-81A3-402D-A4FB-D80EB9B1B3AC}">
      <text>
        <t>[Threaded comment]
Your version of Excel allows you to read this threaded comment; however, any edits to it will get removed if the file is opened in a newer version of Excel. Learn more: https://go.microsoft.com/fwlink/?linkid=870924
Comment:
    PCTS shows 325,070.37</t>
      </text>
    </comment>
    <comment ref="AJ171" authorId="46" shapeId="0" xr:uid="{8F0598B2-478B-4877-9E56-CEBB96EC7740}">
      <text>
        <t>[Threaded comment]
Your version of Excel allows you to read this threaded comment; however, any edits to it will get removed if the file is opened in a newer version of Excel. Learn more: https://go.microsoft.com/fwlink/?linkid=870924
Comment:
    Since there's 2 work orders, I have split this all the 3rd party costs between the two WOs.</t>
      </text>
    </comment>
    <comment ref="AK175" authorId="47" shapeId="0" xr:uid="{C9EF2EC1-50B4-4DEA-9794-5AD211EEF34E}">
      <text>
        <t>[Threaded comment]
Your version of Excel allows you to read this threaded comment; however, any edits to it will get removed if the file is opened in a newer version of Excel. Learn more: https://go.microsoft.com/fwlink/?linkid=870924
Comment:
    Reported in 2023</t>
      </text>
    </comment>
    <comment ref="V178" authorId="48" shapeId="0" xr:uid="{8CD9AC82-2990-49AD-A1B6-732D774CB8AC}">
      <text>
        <t>[Threaded comment]
Your version of Excel allows you to read this threaded comment; however, any edits to it will get removed if the file is opened in a newer version of Excel. Learn more: https://go.microsoft.com/fwlink/?linkid=870924
Comment:
    @Corbi, Camille  please fill out red cells and highlight yellow when ready for my review</t>
      </text>
    </comment>
    <comment ref="V179" authorId="49" shapeId="0" xr:uid="{7140FEC7-AFC3-492F-956E-B48437E36C8A}">
      <text>
        <t>[Threaded comment]
Your version of Excel allows you to read this threaded comment; however, any edits to it will get removed if the file is opened in a newer version of Excel. Learn more: https://go.microsoft.com/fwlink/?linkid=870924
Comment:
    @Lierow, Taylor please update red cells and highlight yellow when ready for my review
Reply:
    Updated!</t>
      </text>
    </comment>
    <comment ref="X180" authorId="50" shapeId="0" xr:uid="{A5D64F3A-6C0B-4D70-AF1B-5FB804A14C6A}">
      <text>
        <t>[Threaded comment]
Your version of Excel allows you to read this threaded comment; however, any edits to it will get removed if the file is opened in a newer version of Excel. Learn more: https://go.microsoft.com/fwlink/?linkid=870924
Comment:
    @Dina, Eric just FYI, these numbers that you previously had in here included OH, I updated to be the direct estimates
Reply:
    Thanks for making the change. @Hopkins, Matt  @Ekstrom, Ethan please note for next time</t>
      </text>
    </comment>
    <comment ref="BJ180" authorId="51" shapeId="0" xr:uid="{E2F329F8-A3DD-456F-A7D1-B6A37A7ABA63}">
      <text>
        <t>[Threaded comment]
Your version of Excel allows you to read this threaded comment; however, any edits to it will get removed if the file is opened in a newer version of Excel. Learn more: https://go.microsoft.com/fwlink/?linkid=870924
Comment:
    @Ekstrom, Ethan @Castle, Kevin please help out @Dina, Eric and fill out red cells
Reply:
    DONE</t>
      </text>
    </comment>
    <comment ref="K181" authorId="52" shapeId="0" xr:uid="{13FD3845-9C83-4340-AE67-D1F39CAB1E62}">
      <text>
        <t>[Threaded comment]
Your version of Excel allows you to read this threaded comment; however, any edits to it will get removed if the file is opened in a newer version of Excel. Learn more: https://go.microsoft.com/fwlink/?linkid=870924
Comment:
    @Lierow, Taylor please fill out red cells and highlight yellow when ready for my review. Please continue to follow up on this date as well</t>
      </text>
    </comment>
    <comment ref="AK182" authorId="53" shapeId="0" xr:uid="{4A53BB79-9437-4A03-8702-A9B16718FB23}">
      <text>
        <t>[Threaded comment]
Your version of Excel allows you to read this threaded comment; however, any edits to it will get removed if the file is opened in a newer version of Excel. Learn more: https://go.microsoft.com/fwlink/?linkid=870924
Comment:
    @LaPorte, Marissa I don't see how much Shactee charged for the BL/QC. Could you enter this?</t>
      </text>
    </comment>
    <comment ref="AD183" authorId="54" shapeId="0" xr:uid="{D728FE1A-445E-44DC-B579-AF22DD631B74}">
      <text>
        <t>[Threaded comment]
Your version of Excel allows you to read this threaded comment; however, any edits to it will get removed if the file is opened in a newer version of Excel. Learn more: https://go.microsoft.com/fwlink/?linkid=870924
Comment:
    @LaPorte, Marissa  Please update</t>
      </text>
    </comment>
    <comment ref="AI183" authorId="55" shapeId="0" xr:uid="{53F4E396-6FB9-4378-B829-5F365D5C9240}">
      <text>
        <t>[Threaded comment]
Your version of Excel allows you to read this threaded comment; however, any edits to it will get removed if the file is opened in a newer version of Excel. Learn more: https://go.microsoft.com/fwlink/?linkid=870924
Comment:
    Easement Plat Exhibit 
Does not include Survey +DryVac from previsou years (16750+10950)</t>
      </text>
    </comment>
    <comment ref="D184" authorId="56" shapeId="0" xr:uid="{8178B89F-47BD-4526-B1D6-B57B33640E35}">
      <text>
        <t>[Threaded comment]
Your version of Excel allows you to read this threaded comment; however, any edits to it will get removed if the file is opened in a newer version of Excel. Learn more: https://go.microsoft.com/fwlink/?linkid=870924
Comment:
    @Corbi, Camille  could you do me a favor and add this info so that this project is fully updated</t>
      </text>
    </comment>
    <comment ref="J184" authorId="57" shapeId="0" xr:uid="{F03DCB7D-22DE-4FC9-B989-48BD25577457}">
      <text>
        <t>[Threaded comment]
Your version of Excel allows you to read this threaded comment; however, any edits to it will get removed if the file is opened in a newer version of Excel. Learn more: https://go.microsoft.com/fwlink/?linkid=870924
Comment:
    this was just to turn it around asap since it was the WO split</t>
      </text>
    </comment>
    <comment ref="AN184" authorId="58" shapeId="0" xr:uid="{46D0B7A3-48A0-4A8C-AE7A-E08F3AC676F8}">
      <text>
        <t>[Threaded comment]
Your version of Excel allows you to read this threaded comment; however, any edits to it will get removed if the file is opened in a newer version of Excel. Learn more: https://go.microsoft.com/fwlink/?linkid=870924
Comment:
    @Corbi, Camille  in order to get a good idea of where the overall costs ended up for this project, I added this line as well - can you fill out all of the project and reconciliation information for this?
Reply:
    Yes, the estimate for this one has not been approved yet. Would you still like me to fill it out?
Reply:
    yeah just plug in the cost estimate numbers so that i can get an idea of overall cost between the two please!</t>
      </text>
    </comment>
    <comment ref="BH185" authorId="59" shapeId="0" xr:uid="{DDFC9672-F141-45DB-9C98-56F0AD7005C0}">
      <text>
        <t>[Threaded comment]
Your version of Excel allows you to read this threaded comment; however, any edits to it will get removed if the file is opened in a newer version of Excel. Learn more: https://go.microsoft.com/fwlink/?linkid=870924
Comment:
    @Dina, Eric are we in cook county ROW here? Just wondering if we need to tihnk through this ADA item more
Reply:
    Only at 1 intersection.  If our replacement scope touches this area, I think we should be able to avoid any ADA disruption.
Reply:
    Confirmed that we are not in Cook County ROW with our replacement</t>
      </text>
    </comment>
    <comment ref="BJ186" authorId="60" shapeId="0" xr:uid="{A92B3E3D-8D38-4B34-A236-A73E69927211}">
      <text>
        <t>[Threaded comment]
Your version of Excel allows you to read this threaded comment; however, any edits to it will get removed if the file is opened in a newer version of Excel. Learn more: https://go.microsoft.com/fwlink/?linkid=870924
Comment:
    @LaPorte, Marissa  please fill out</t>
      </text>
    </comment>
    <comment ref="J188" authorId="61" shapeId="0" xr:uid="{A31F8E1F-A46F-48F1-923D-E2083C221E40}">
      <text>
        <t>[Threaded comment]
Your version of Excel allows you to read this threaded comment; however, any edits to it will get removed if the file is opened in a newer version of Excel. Learn more: https://go.microsoft.com/fwlink/?linkid=870924
Comment:
    F/U 6/24
Reply:
    F/U 7/10</t>
      </text>
    </comment>
    <comment ref="BL190" authorId="62" shapeId="0" xr:uid="{9FEE2E63-E505-4BAA-B209-987B115CEF24}">
      <text>
        <t>[Threaded comment]
Your version of Excel allows you to read this threaded comment; however, any edits to it will get removed if the file is opened in a newer version of Excel. Learn more: https://go.microsoft.com/fwlink/?linkid=870924
Comment:
    @Hopkins, Matt please update red cells</t>
      </text>
    </comment>
    <comment ref="BO190" authorId="63" shapeId="0" xr:uid="{FA3A93EF-2A00-4EA2-81CA-3A012FCB18C0}">
      <text>
        <t>[Threaded comment]
Your version of Excel allows you to read this threaded comment; however, any edits to it will get removed if the file is opened in a newer version of Excel. Learn more: https://go.microsoft.com/fwlink/?linkid=870924
Comment:
    @Hopkins, Matt Please fill out if you anticipate sending for shactee review</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IS Department</author>
    <author>Dina, Eric</author>
    <author>Whitson, Bryan</author>
    <author>Michaels, Nick</author>
  </authors>
  <commentList>
    <comment ref="AC1" authorId="0" shapeId="0" xr:uid="{E273702A-F206-45A4-BE6D-ED642D5DA70D}">
      <text>
        <r>
          <rPr>
            <sz val="11"/>
            <color theme="1"/>
            <rFont val="Calibri"/>
            <family val="2"/>
            <scheme val="minor"/>
          </rPr>
          <t>IS Department:
Fill out as:
"N" = No
"Y" = Yes, KH progressing PO process
"N/A" = Any Design Status besides "Completed"</t>
        </r>
      </text>
    </comment>
    <comment ref="AD1" authorId="1" shapeId="0" xr:uid="{9CDB3C58-12F7-4BBD-B136-23BBF91E8C3E}">
      <text>
        <r>
          <rPr>
            <sz val="11"/>
            <color theme="1"/>
            <rFont val="Calibri"/>
            <family val="2"/>
            <scheme val="minor"/>
          </rPr>
          <t>Dina, Eric:
Enter "Y" or "N/A".</t>
        </r>
      </text>
    </comment>
    <comment ref="BC1" authorId="2" shapeId="0" xr:uid="{8C485AAB-9823-4A35-B48F-665B6243E029}">
      <text>
        <r>
          <rPr>
            <b/>
            <sz val="9"/>
            <color indexed="81"/>
            <rFont val="Tahoma"/>
            <family val="2"/>
          </rPr>
          <t>Whitson, Bryan:</t>
        </r>
        <r>
          <rPr>
            <sz val="9"/>
            <color indexed="81"/>
            <rFont val="Tahoma"/>
            <family val="2"/>
          </rPr>
          <t xml:space="preserve">
Is IDOT permit required?
Input: "X" or "-"</t>
        </r>
      </text>
    </comment>
    <comment ref="BD1" authorId="2" shapeId="0" xr:uid="{4C96B794-BF27-4C3B-B3AA-C991F6E3D9E5}">
      <text>
        <r>
          <rPr>
            <b/>
            <sz val="9"/>
            <color indexed="81"/>
            <rFont val="Tahoma"/>
            <family val="2"/>
          </rPr>
          <t>Whitson, Bryan:</t>
        </r>
        <r>
          <rPr>
            <sz val="9"/>
            <color indexed="81"/>
            <rFont val="Tahoma"/>
            <family val="2"/>
          </rPr>
          <t xml:space="preserve">
If county permit is needed, input name of county. If multiple county permits needed, list in alphabetical order &amp; separate with a comma.</t>
        </r>
      </text>
    </comment>
    <comment ref="BE1" authorId="2" shapeId="0" xr:uid="{4EADAD50-FDE2-4E82-9925-B80B390304D4}">
      <text>
        <r>
          <rPr>
            <b/>
            <sz val="9"/>
            <color indexed="81"/>
            <rFont val="Tahoma"/>
            <family val="2"/>
          </rPr>
          <t>Whitson, Bryan:</t>
        </r>
        <r>
          <rPr>
            <sz val="9"/>
            <color indexed="81"/>
            <rFont val="Tahoma"/>
            <family val="2"/>
          </rPr>
          <t xml:space="preserve">
If municipal permit is needed, input name of municipal. If multiple municipal permits needed, list in alphabetical order &amp; separate with a comma.</t>
        </r>
      </text>
    </comment>
    <comment ref="BF1" authorId="2" shapeId="0" xr:uid="{47C27BE1-53EE-4525-83A7-1486271A368B}">
      <text>
        <r>
          <rPr>
            <b/>
            <sz val="9"/>
            <color indexed="81"/>
            <rFont val="Tahoma"/>
            <family val="2"/>
          </rPr>
          <t>Whitson, Bryan:</t>
        </r>
        <r>
          <rPr>
            <sz val="9"/>
            <color indexed="81"/>
            <rFont val="Tahoma"/>
            <family val="2"/>
          </rPr>
          <t xml:space="preserve">
If township permit is needed, input name of township. If multiple township permits needed, list in alphabetical order &amp; separate with a comma.</t>
        </r>
      </text>
    </comment>
    <comment ref="BG1" authorId="2" shapeId="0" xr:uid="{07A97864-3448-4349-9B39-F0CC621F04DD}">
      <text>
        <r>
          <rPr>
            <b/>
            <sz val="9"/>
            <color indexed="81"/>
            <rFont val="Tahoma"/>
            <family val="2"/>
          </rPr>
          <t>Whitson, Bryan:</t>
        </r>
        <r>
          <rPr>
            <sz val="9"/>
            <color indexed="81"/>
            <rFont val="Tahoma"/>
            <family val="2"/>
          </rPr>
          <t xml:space="preserve">
Tollway
Railroad (CN, UPRR, BNSF, etc.)
Foreign Pipeline
MWRD</t>
        </r>
      </text>
    </comment>
    <comment ref="BI1" authorId="2" shapeId="0" xr:uid="{DFEE0D78-1A7A-424D-BD9F-1BD97BE18129}">
      <text>
        <r>
          <rPr>
            <b/>
            <sz val="9"/>
            <color indexed="81"/>
            <rFont val="Tahoma"/>
            <family val="2"/>
          </rPr>
          <t>Whitson, Bryan:</t>
        </r>
        <r>
          <rPr>
            <sz val="9"/>
            <color indexed="81"/>
            <rFont val="Tahoma"/>
            <family val="2"/>
          </rPr>
          <t xml:space="preserve">
Y or N</t>
        </r>
      </text>
    </comment>
    <comment ref="BT1" authorId="3" shapeId="0" xr:uid="{E509B121-B06F-4885-A370-59FBFE1DBEEC}">
      <text>
        <r>
          <rPr>
            <b/>
            <sz val="9"/>
            <color indexed="81"/>
            <rFont val="Tahoma"/>
            <family val="2"/>
          </rPr>
          <t>Michaels, Nick:</t>
        </r>
        <r>
          <rPr>
            <sz val="9"/>
            <color indexed="81"/>
            <rFont val="Tahoma"/>
            <family val="2"/>
          </rPr>
          <t xml:space="preserve">
Look at QTY table at bottom left.</t>
        </r>
      </text>
    </comment>
    <comment ref="BU1" authorId="3" shapeId="0" xr:uid="{31F4EAE6-D18A-4783-A18C-4146FDFF2052}">
      <text>
        <r>
          <rPr>
            <b/>
            <sz val="9"/>
            <color indexed="81"/>
            <rFont val="Tahoma"/>
            <family val="2"/>
          </rPr>
          <t>Michaels, Nick:</t>
        </r>
        <r>
          <rPr>
            <sz val="9"/>
            <color indexed="81"/>
            <rFont val="Tahoma"/>
            <family val="2"/>
          </rPr>
          <t xml:space="preserve">
Look at qty table on bottom left.</t>
        </r>
      </text>
    </comment>
    <comment ref="BV1" authorId="3" shapeId="0" xr:uid="{D07E4256-A2BB-4BEB-8E17-AA953E267BCC}">
      <text>
        <r>
          <rPr>
            <b/>
            <sz val="9"/>
            <color indexed="81"/>
            <rFont val="Tahoma"/>
            <family val="2"/>
          </rPr>
          <t>Michaels, Nick:</t>
        </r>
        <r>
          <rPr>
            <sz val="9"/>
            <color indexed="81"/>
            <rFont val="Tahoma"/>
            <family val="2"/>
          </rPr>
          <t xml:space="preserve">
Review the CRA table on RS projects and fill out based on PVSTR/FV count in this table.</t>
        </r>
      </text>
    </comment>
    <comment ref="BW1" authorId="3" shapeId="0" xr:uid="{F52D7603-D60E-4C3E-8DB2-83526DB997B2}">
      <text>
        <r>
          <rPr>
            <b/>
            <sz val="9"/>
            <color indexed="81"/>
            <rFont val="Tahoma"/>
            <family val="2"/>
          </rPr>
          <t>Michaels, Nick:</t>
        </r>
        <r>
          <rPr>
            <sz val="9"/>
            <color indexed="81"/>
            <rFont val="Tahoma"/>
            <family val="2"/>
          </rPr>
          <t xml:space="preserve">
Review the CRA table on RS projects and fill out based on PVSTR/FV count in this table.</t>
        </r>
      </text>
    </comment>
    <comment ref="BX1" authorId="3" shapeId="0" xr:uid="{D9015DA8-0A07-475A-9493-7295E2754099}">
      <text>
        <r>
          <rPr>
            <b/>
            <sz val="9"/>
            <color indexed="81"/>
            <rFont val="Tahoma"/>
            <family val="2"/>
          </rPr>
          <t>Michaels, Nick:</t>
        </r>
        <r>
          <rPr>
            <sz val="9"/>
            <color indexed="81"/>
            <rFont val="Tahoma"/>
            <family val="2"/>
          </rPr>
          <t xml:space="preserve">
Review the CRA table on RS projects and fill out based on PVSTR/FV count in this table.</t>
        </r>
      </text>
    </comment>
    <comment ref="BY1" authorId="3" shapeId="0" xr:uid="{30FD3D9A-FFDA-4D5D-AD31-81747130DE55}">
      <text>
        <r>
          <rPr>
            <b/>
            <sz val="9"/>
            <color indexed="81"/>
            <rFont val="Tahoma"/>
            <family val="2"/>
          </rPr>
          <t>Michaels, Nick:</t>
        </r>
        <r>
          <rPr>
            <sz val="9"/>
            <color indexed="81"/>
            <rFont val="Tahoma"/>
            <family val="2"/>
          </rPr>
          <t xml:space="preserve">
Review the titleblock of the WO dwg, the PO item table, and the TS table. Likely will only be on NBA or some RS projects.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Whitson, Bryan</author>
    <author>IS Department</author>
    <author>Dina, Eric</author>
    <author>Michaels, Nick</author>
    <author>tc={EB46AB4C-0272-4BAD-A84F-724B16E76CDD}</author>
    <author>tc={D9EF4BEA-12BB-4ED1-8AC7-53F5F41FC886}</author>
    <author>tc={9EF7601E-B7E7-4DB0-A5BB-0F8E72D3A382}</author>
    <author>tc={C9CC371F-534A-4B26-B69E-773CEB18C47A}</author>
    <author>tc={1346E096-170E-401D-A847-E3B2ACB4F500}</author>
    <author>tc={B0951FF8-F4CB-4B0F-87E2-C1C6E024B1F4}</author>
    <author>tc={7B6CB032-75EA-422D-8346-6FF6F6B89FF4}</author>
    <author>tc={C279DFF3-6CE2-4A3A-90B6-3262BCDC8C59}</author>
    <author>tc={7D5DA87B-607E-4278-B3B1-A4CF63026D0F}</author>
    <author>tc={247EFDBD-1274-4B6A-A77F-E2A813B09556}</author>
    <author>tc={6CF31E49-CAE3-4E03-835F-F4CA05106890}</author>
    <author>tc={3064C460-ACAA-4A2C-8B74-6B16921C550F}</author>
    <author>tc={6BD0BA20-E114-4B07-B0E4-A14A06D2AE41}</author>
    <author>tc={415BF754-F5EB-4432-B59A-A92B8E51A700}</author>
    <author>tc={AEBDEEAA-6BBC-4A88-B1E2-97C9F19059BD}</author>
    <author>tc={D410F9A8-C819-4F9F-8195-A2796EED2323}</author>
    <author>tc={6AF67219-E850-42CF-B6AA-ED6DF26D5B99}</author>
    <author>tc={58D8621D-BE6B-4642-856A-2F9D28D03988}</author>
    <author>tc={525B3B8E-7661-4A5A-8FD9-7317DBF11C31}</author>
    <author>tc={65EA01F5-7566-4AF4-8786-434FA323B711}</author>
    <author>tc={F6A5BA19-06C9-4ACD-AF31-7D052CBAFD19}</author>
    <author>tc={02393CF2-2399-4972-A618-37F9B56D72B5}</author>
    <author>tc={BF986961-87ED-47B0-98C8-933D98DE3346}</author>
    <author>tc={E81C9DC2-DCEC-4A8C-AD77-D500A8D6121E}</author>
    <author>tc={1F72ADCA-5F27-4045-8944-4D445C368347}</author>
    <author>tc={4324F7E7-04F3-4D1E-9505-EDC6D6AF5455}</author>
    <author>tc={31FA8447-CED4-491C-A858-18E269BDEB63}</author>
    <author>tc={A8B5F917-C16E-43EB-B9CA-A7F438F40AD4}</author>
    <author>tc={A1AEEBEB-275E-4609-8131-4B088B43F3CC}</author>
    <author>tc={92E290A1-F6F7-4FA3-8C89-A1D3A6FD8248}</author>
    <author>tc={C86EDF66-EC15-4905-9EE3-1F84E6218D26}</author>
    <author>tc={9CF41A99-34B2-430C-B6A6-AE5917A3A0A9}</author>
    <author>tc={A215D9CD-269A-4A82-A4F6-A7724471BD29}</author>
    <author>tc={709E2321-591B-4D96-8A6A-701F8E1724E6}</author>
    <author>tc={C612A107-25E0-421C-94BA-58FCD58A5A7F}</author>
    <author>tc={2E8E9D00-2F33-4FB8-908D-18FEC3762F9F}</author>
    <author>tc={BD85A4CE-8943-4D1C-9CDF-E39A9DD8D206}</author>
    <author>tc={E41E0D3F-8AF6-498D-AA97-225894FE0787}</author>
    <author>tc={5E51DC00-3CFB-4B69-B500-3C48E20568A4}</author>
    <author>tc={5CD399AD-E0E4-4DFC-9BEF-CC98A9FC536B}</author>
    <author>tc={7AC44DD7-7BB1-4935-81C6-744280FCC64E}</author>
    <author>tc={B7676E3B-63DC-49EE-80D0-B1BAEE70C618}</author>
    <author>tc={0C8BE57C-1654-49FB-BA85-151B8D710E21}</author>
    <author>tc={F892BBF6-132D-4E3C-9414-6CB6BA914978}</author>
    <author>tc={008A0B37-7A11-4C9A-9B54-AE7377032136}</author>
    <author>tc={5BC01287-FC9B-4EC6-915E-69BBEBD898CA}</author>
    <author>tc={D57ADE72-A694-404B-82DB-DFCE5EB6FA55}</author>
    <author>tc={4D7898E0-C694-44E1-A853-1DFDA8ADE34F}</author>
    <author>tc={7250F30A-1619-422E-A637-DC7CDE489B5B}</author>
    <author>tc={12E810D7-C623-41D4-BC34-69E8BA5DCC1D}</author>
    <author>tc={6D12EFCD-C67F-4AA3-8922-97FC20205363}</author>
    <author>tc={F4A88F25-90BA-45CE-82BA-D6883419351F}</author>
    <author>tc={5C3C1243-2CCA-4B65-AAAB-080C20AD59D2}</author>
    <author>tc={96E6B7F8-9D0B-43A7-854F-A5E3B58B18B0}</author>
    <author>tc={DAA4394C-978E-4A4A-9D0F-C1AFBBD27FEB}</author>
    <author>tc={0AA55748-CAD1-4771-A997-4ECEF768B9F5}</author>
    <author>tc={FE0056EB-6ECD-4EBD-B522-3FC86311C867}</author>
  </authors>
  <commentList>
    <comment ref="BI1" authorId="0" shapeId="0" xr:uid="{19F03F14-B4D2-4E96-BD6B-634AB2213961}">
      <text>
        <r>
          <rPr>
            <b/>
            <sz val="9"/>
            <color indexed="81"/>
            <rFont val="Tahoma"/>
            <family val="2"/>
          </rPr>
          <t>Whitson, Bryan:</t>
        </r>
        <r>
          <rPr>
            <sz val="9"/>
            <color indexed="81"/>
            <rFont val="Tahoma"/>
            <family val="2"/>
          </rPr>
          <t xml:space="preserve">
Y or N if the project contains the pressure.</t>
        </r>
      </text>
    </comment>
    <comment ref="BM1" authorId="0" shapeId="0" xr:uid="{7F30B3C0-0E36-4128-95A5-24BC8BA47E3E}">
      <text>
        <r>
          <rPr>
            <b/>
            <sz val="9"/>
            <color indexed="81"/>
            <rFont val="Tahoma"/>
            <family val="2"/>
          </rPr>
          <t>Whitson, Bryan:</t>
        </r>
        <r>
          <rPr>
            <sz val="9"/>
            <color indexed="81"/>
            <rFont val="Tahoma"/>
            <family val="2"/>
          </rPr>
          <t xml:space="preserve">
Enter the LF of main in the appropriate column. If the main was not used on the project, please enter "0". </t>
        </r>
      </text>
    </comment>
    <comment ref="BT1" authorId="0" shapeId="0" xr:uid="{57720139-B562-40F0-AE8E-C48C925996BF}">
      <text>
        <r>
          <rPr>
            <b/>
            <sz val="9"/>
            <color indexed="81"/>
            <rFont val="Tahoma"/>
            <family val="2"/>
          </rPr>
          <t>Whitson, Bryan:</t>
        </r>
        <r>
          <rPr>
            <sz val="9"/>
            <color indexed="81"/>
            <rFont val="Tahoma"/>
            <family val="2"/>
          </rPr>
          <t xml:space="preserve">
Enter the number of each that the project contains. If the project does not contain this facility, it would say "0".</t>
        </r>
      </text>
    </comment>
    <comment ref="AC2" authorId="1" shapeId="0" xr:uid="{8D4AED5B-8E8E-4EFA-A099-9834029B1707}">
      <text>
        <r>
          <rPr>
            <sz val="11"/>
            <color theme="1"/>
            <rFont val="Calibri"/>
            <family val="2"/>
            <scheme val="minor"/>
          </rPr>
          <t>IS Department:
Fill out as:
"N" = No
"Y" = Yes, KH progressing PO process
"N/A" = Any Design Status besides "Completed"</t>
        </r>
      </text>
    </comment>
    <comment ref="AD2" authorId="2" shapeId="0" xr:uid="{A709BECE-CEE9-4B0E-BE33-533B592C34DD}">
      <text>
        <r>
          <rPr>
            <sz val="11"/>
            <color theme="1"/>
            <rFont val="Calibri"/>
            <family val="2"/>
            <scheme val="minor"/>
          </rPr>
          <t>Dina, Eric:
Enter "Y" or "N/A".</t>
        </r>
      </text>
    </comment>
    <comment ref="BC2" authorId="0" shapeId="0" xr:uid="{D81F8D1B-4F41-4453-ADF0-7BB903471C9C}">
      <text>
        <r>
          <rPr>
            <b/>
            <sz val="9"/>
            <color indexed="81"/>
            <rFont val="Tahoma"/>
            <family val="2"/>
          </rPr>
          <t>Whitson, Bryan:</t>
        </r>
        <r>
          <rPr>
            <sz val="9"/>
            <color indexed="81"/>
            <rFont val="Tahoma"/>
            <family val="2"/>
          </rPr>
          <t xml:space="preserve">
Is IDOT permit required?
Input: "X" or "-"</t>
        </r>
      </text>
    </comment>
    <comment ref="BD2" authorId="0" shapeId="0" xr:uid="{9B9BC139-FD06-4A28-BEE4-7C2B6C742FA4}">
      <text>
        <r>
          <rPr>
            <b/>
            <sz val="9"/>
            <color indexed="81"/>
            <rFont val="Tahoma"/>
            <family val="2"/>
          </rPr>
          <t>Whitson, Bryan:</t>
        </r>
        <r>
          <rPr>
            <sz val="9"/>
            <color indexed="81"/>
            <rFont val="Tahoma"/>
            <family val="2"/>
          </rPr>
          <t xml:space="preserve">
If county permit is needed, input name of county. If multiple county permits needed, list in alphabetical order &amp; separate with a comma.</t>
        </r>
      </text>
    </comment>
    <comment ref="BE2" authorId="0" shapeId="0" xr:uid="{9B8C2986-8E78-4E8D-98F7-6473D10BB0C1}">
      <text>
        <r>
          <rPr>
            <b/>
            <sz val="9"/>
            <color indexed="81"/>
            <rFont val="Tahoma"/>
            <family val="2"/>
          </rPr>
          <t>Whitson, Bryan:</t>
        </r>
        <r>
          <rPr>
            <sz val="9"/>
            <color indexed="81"/>
            <rFont val="Tahoma"/>
            <family val="2"/>
          </rPr>
          <t xml:space="preserve">
If municipal permit is needed, input name of municipal. If multiple municipal permits needed, list in alphabetical order &amp; separate with a comma.</t>
        </r>
      </text>
    </comment>
    <comment ref="BF2" authorId="0" shapeId="0" xr:uid="{BA85F3CB-05CF-46B1-83E8-AB4C852B1EDB}">
      <text>
        <r>
          <rPr>
            <b/>
            <sz val="9"/>
            <color indexed="81"/>
            <rFont val="Tahoma"/>
            <family val="2"/>
          </rPr>
          <t>Whitson, Bryan:</t>
        </r>
        <r>
          <rPr>
            <sz val="9"/>
            <color indexed="81"/>
            <rFont val="Tahoma"/>
            <family val="2"/>
          </rPr>
          <t xml:space="preserve">
If township permit is needed, input name of township. If multiple township permits needed, list in alphabetical order &amp; separate with a comma.</t>
        </r>
      </text>
    </comment>
    <comment ref="BG2" authorId="0" shapeId="0" xr:uid="{F5D399B2-6606-4752-A150-0A9B20329D3A}">
      <text>
        <r>
          <rPr>
            <b/>
            <sz val="9"/>
            <color indexed="81"/>
            <rFont val="Tahoma"/>
            <family val="2"/>
          </rPr>
          <t>Whitson, Bryan:</t>
        </r>
        <r>
          <rPr>
            <sz val="9"/>
            <color indexed="81"/>
            <rFont val="Tahoma"/>
            <family val="2"/>
          </rPr>
          <t xml:space="preserve">
Tollway
Railroad (CN, UPRR, BNSF, etc.)
Foreign Pipeline
MWRD</t>
        </r>
      </text>
    </comment>
    <comment ref="BI2" authorId="0" shapeId="0" xr:uid="{2BB1D03B-57CE-4F1B-951E-6763057C92F6}">
      <text>
        <r>
          <rPr>
            <b/>
            <sz val="9"/>
            <color indexed="81"/>
            <rFont val="Tahoma"/>
            <family val="2"/>
          </rPr>
          <t>Whitson, Bryan:</t>
        </r>
        <r>
          <rPr>
            <sz val="9"/>
            <color indexed="81"/>
            <rFont val="Tahoma"/>
            <family val="2"/>
          </rPr>
          <t xml:space="preserve">
Y or N</t>
        </r>
      </text>
    </comment>
    <comment ref="BT2" authorId="3" shapeId="0" xr:uid="{EB772281-EF08-483B-A737-A55C3AE6562E}">
      <text>
        <r>
          <rPr>
            <b/>
            <sz val="9"/>
            <color indexed="81"/>
            <rFont val="Tahoma"/>
            <family val="2"/>
          </rPr>
          <t>Michaels, Nick:</t>
        </r>
        <r>
          <rPr>
            <sz val="9"/>
            <color indexed="81"/>
            <rFont val="Tahoma"/>
            <family val="2"/>
          </rPr>
          <t xml:space="preserve">
Look at QTY table at bottom left.</t>
        </r>
      </text>
    </comment>
    <comment ref="BU2" authorId="3" shapeId="0" xr:uid="{6558C91F-C942-4C6E-873A-B24F0C505A8D}">
      <text>
        <r>
          <rPr>
            <b/>
            <sz val="9"/>
            <color indexed="81"/>
            <rFont val="Tahoma"/>
            <family val="2"/>
          </rPr>
          <t>Michaels, Nick:</t>
        </r>
        <r>
          <rPr>
            <sz val="9"/>
            <color indexed="81"/>
            <rFont val="Tahoma"/>
            <family val="2"/>
          </rPr>
          <t xml:space="preserve">
Look at qty table on bottom left.</t>
        </r>
      </text>
    </comment>
    <comment ref="BV2" authorId="3" shapeId="0" xr:uid="{34AF03D9-95AF-4711-AC42-3EF8DCC32FA6}">
      <text>
        <r>
          <rPr>
            <b/>
            <sz val="9"/>
            <color indexed="81"/>
            <rFont val="Tahoma"/>
            <family val="2"/>
          </rPr>
          <t>Michaels, Nick:</t>
        </r>
        <r>
          <rPr>
            <sz val="9"/>
            <color indexed="81"/>
            <rFont val="Tahoma"/>
            <family val="2"/>
          </rPr>
          <t xml:space="preserve">
Review the CRA table on RS projects and fill out based on PVSTR/FV count in this table.</t>
        </r>
      </text>
    </comment>
    <comment ref="BW2" authorId="3" shapeId="0" xr:uid="{322B351B-EF48-41D5-83CD-E9AA3AC68946}">
      <text>
        <r>
          <rPr>
            <b/>
            <sz val="9"/>
            <color indexed="81"/>
            <rFont val="Tahoma"/>
            <family val="2"/>
          </rPr>
          <t>Michaels, Nick:</t>
        </r>
        <r>
          <rPr>
            <sz val="9"/>
            <color indexed="81"/>
            <rFont val="Tahoma"/>
            <family val="2"/>
          </rPr>
          <t xml:space="preserve">
Review the CRA table on RS projects and fill out based on PVSTR/FV count in this table.</t>
        </r>
      </text>
    </comment>
    <comment ref="BX2" authorId="3" shapeId="0" xr:uid="{CF0C0F36-9B9D-4BCA-BA5A-EA71A450BB48}">
      <text>
        <r>
          <rPr>
            <b/>
            <sz val="9"/>
            <color indexed="81"/>
            <rFont val="Tahoma"/>
            <family val="2"/>
          </rPr>
          <t>Michaels, Nick:</t>
        </r>
        <r>
          <rPr>
            <sz val="9"/>
            <color indexed="81"/>
            <rFont val="Tahoma"/>
            <family val="2"/>
          </rPr>
          <t xml:space="preserve">
Review the CRA table on RS projects and fill out based on PVSTR/FV count in this table.</t>
        </r>
      </text>
    </comment>
    <comment ref="BY2" authorId="3" shapeId="0" xr:uid="{8B24BFDB-CF12-4C93-A0E7-38D8891EA7BD}">
      <text>
        <r>
          <rPr>
            <b/>
            <sz val="9"/>
            <color indexed="81"/>
            <rFont val="Tahoma"/>
            <family val="2"/>
          </rPr>
          <t>Michaels, Nick:</t>
        </r>
        <r>
          <rPr>
            <sz val="9"/>
            <color indexed="81"/>
            <rFont val="Tahoma"/>
            <family val="2"/>
          </rPr>
          <t xml:space="preserve">
Review the titleblock of the WO dwg, the PO item table, and the TS table. Likely will only be on NBA or some RS projects.</t>
        </r>
      </text>
    </comment>
    <comment ref="AN14" authorId="4" shapeId="0" xr:uid="{EB46AB4C-0272-4BAD-A84F-724B16E76CDD}">
      <text>
        <t>[Threaded comment]
Your version of Excel allows you to read this threaded comment; however, any edits to it will get removed if the file is opened in a newer version of Excel. Learn more: https://go.microsoft.com/fwlink/?linkid=870924
Comment:
    @Castellon, Randy  @Corbi, Camille  @Chamernik, Conner  @Hopkins, Matt  @Kulach, Caroline @Ekstrom, Ethan  could someone help me out and review my few projects for reconciliation please?
Reply:
    I can help look into this if someone can pull the info from PCTS, im unable to access citrix 
Reply:
    @Corbi, Camille i can help
Reply:
    Completed, none were approved.
Reply:
    Thank you!</t>
      </text>
    </comment>
    <comment ref="AC41" authorId="5" shapeId="0" xr:uid="{D9EF4BEA-12BB-4ED1-8AC7-53F5F41FC886}">
      <text>
        <t>[Threaded comment]
Your version of Excel allows you to read this threaded comment; however, any edits to it will get removed if the file is opened in a newer version of Excel. Learn more: https://go.microsoft.com/fwlink/?linkid=870924
Comment:
    Material procurement to occur at a later date. construction anticipated for 2024.</t>
      </text>
    </comment>
    <comment ref="AC42" authorId="6" shapeId="0" xr:uid="{9EF7601E-B7E7-4DB0-A5BB-0F8E72D3A382}">
      <text>
        <t>[Threaded comment]
Your version of Excel allows you to read this threaded comment; however, any edits to it will get removed if the file is opened in a newer version of Excel. Learn more: https://go.microsoft.com/fwlink/?linkid=870924
Comment:
    Material procurement to occur at a later date. construction anticipated for 2024.</t>
      </text>
    </comment>
    <comment ref="AW48" authorId="7" shapeId="0" xr:uid="{C9CC371F-534A-4B26-B69E-773CEB18C47A}">
      <text>
        <t>[Threaded comment]
Your version of Excel allows you to read this threaded comment; however, any edits to it will get removed if the file is opened in a newer version of Excel. Learn more: https://go.microsoft.com/fwlink/?linkid=870924
Comment:
    @Corbi, Camille  @Chamernik, Conner 
@Lierow, Taylor  @Castellon, Randy  whoever looked into this project, could you please give a description of the cost estimate that changed? Please make sure to use previously approved descriptions and other projects as a go-by
Reply:
    I believe Randy did this one but I attempted to update</t>
      </text>
    </comment>
    <comment ref="J54" authorId="8" shapeId="0" xr:uid="{1346E096-170E-401D-A847-E3B2ACB4F500}">
      <text>
        <t>[Threaded comment]
Your version of Excel allows you to read this threaded comment; however, any edits to it will get removed if the file is opened in a newer version of Excel. Learn more: https://go.microsoft.com/fwlink/?linkid=870924
Comment:
    f/u 7/19
Reply:
    8/6
Reply:
    8/27
Reply:
    10/10
Reply:
    10/16
Reply:
    11/7
Reply:
    12/10
Reply:
    updated and reviewed</t>
      </text>
    </comment>
    <comment ref="AW56" authorId="9" shapeId="0" xr:uid="{B0951FF8-F4CB-4B0F-87E2-C1C6E024B1F4}">
      <text>
        <t>[Threaded comment]
Your version of Excel allows you to read this threaded comment; however, any edits to it will get removed if the file is opened in a newer version of Excel. Learn more: https://go.microsoft.com/fwlink/?linkid=870924
Comment:
    @Corbi, Camille  do we know why they did that?
Reply:
    I do not, we confirmed during estimate review that time was sufficient</t>
      </text>
    </comment>
    <comment ref="J58" authorId="10" shapeId="0" xr:uid="{7B6CB032-75EA-422D-8346-6FF6F6B89FF4}">
      <text>
        <t>[Threaded comment]
Your version of Excel allows you to read this threaded comment; however, any edits to it will get removed if the file is opened in a newer version of Excel. Learn more: https://go.microsoft.com/fwlink/?linkid=870924
Comment:
    No EADD in EDSR form. 11/18 is self imposed date.</t>
      </text>
    </comment>
    <comment ref="J60" authorId="11" shapeId="0" xr:uid="{C279DFF3-6CE2-4A3A-90B6-3262BCDC8C59}">
      <text>
        <t>[Threaded comment]
Your version of Excel allows you to read this threaded comment; however, any edits to it will get removed if the file is opened in a newer version of Excel. Learn more: https://go.microsoft.com/fwlink/?linkid=870924
Comment:
    F/U 8/15.
Reply:
    F/U 8/27.
Reply:
    F/u 9/12
Reply:
    F/U 9/26
Reply:
    F/U 10/11
Reply:
    10/24
Reply:
    F/U 12/4</t>
      </text>
    </comment>
    <comment ref="J63" authorId="12" shapeId="0" xr:uid="{7D5DA87B-607E-4278-B3B1-A4CF63026D0F}">
      <text>
        <t>[Threaded comment]
Your version of Excel allows you to read this threaded comment; however, any edits to it will get removed if the file is opened in a newer version of Excel. Learn more: https://go.microsoft.com/fwlink/?linkid=870924
Comment:
    f/u 8/7
Reply:
    @Corbi, Camille  - Please follow up if this is still outstanding.
Reply:
    8/16
Reply:
    8/27
Reply:
    10/10
Reply:
    10/16
Reply:
    11/7
Reply:
    12/10
Reply:
    reviewed and updated</t>
      </text>
    </comment>
    <comment ref="AN70" authorId="13" shapeId="0" xr:uid="{247EFDBD-1274-4B6A-A77F-E2A813B09556}">
      <text>
        <t>[Threaded comment]
Your version of Excel allows you to read this threaded comment; however, any edits to it will get removed if the file is opened in a newer version of Excel. Learn more: https://go.microsoft.com/fwlink/?linkid=870924
Comment:
    @Dina, Eric  have you had a chance to look at your projects yet? I’d recommend having an analyst do it for you if you haven’t</t>
      </text>
    </comment>
    <comment ref="J81" authorId="14" shapeId="0" xr:uid="{6CF31E49-CAE3-4E03-835F-F4CA05106890}">
      <text>
        <t>[Threaded comment]
Your version of Excel allows you to read this threaded comment; however, any edits to it will get removed if the file is opened in a newer version of Excel. Learn more: https://go.microsoft.com/fwlink/?linkid=870924
Comment:
    7/19
Reply:
    8/6
Reply:
    8/27
Reply:
    10/10
Reply:
    10/16
Reply:
    11/7
Reply:
    No EDSR is found when searched, looks like this one was closed out?
Reply:
    on this list of TDE approvals</t>
      </text>
    </comment>
    <comment ref="AJ83" authorId="15" shapeId="0" xr:uid="{3064C460-ACAA-4A2C-8B74-6B16921C550F}">
      <text>
        <t>[Threaded comment]
Your version of Excel allows you to read this threaded comment; however, any edits to it will get removed if the file is opened in a newer version of Excel. Learn more: https://go.microsoft.com/fwlink/?linkid=870924
Comment:
    Since there's 2 work orders, I have split this all the 3rd party costs between the two WOs.</t>
      </text>
    </comment>
    <comment ref="AW83" authorId="16" shapeId="0" xr:uid="{6BD0BA20-E114-4B07-B0E4-A14A06D2AE41}">
      <text>
        <t>[Threaded comment]
Your version of Excel allows you to read this threaded comment; however, any edits to it will get removed if the file is opened in a newer version of Excel. Learn more: https://go.microsoft.com/fwlink/?linkid=870924
Comment:
    @Chamernik, Conner  what were all these changes due to? Were these just updates they made, or did we have something in the estimate wrong? Did we review these items prior to the cost estimate review and they were denied/changed?
Reply:
    We had calls with ConOps to go over the estimate. Calvin K upped a lot of those numbers/ added retirement trucking and Crew w/ Equip.
Working on how to word this.</t>
      </text>
    </comment>
    <comment ref="AJ85" authorId="17" shapeId="0" xr:uid="{415BF754-F5EB-4432-B59A-A92B8E51A700}">
      <text>
        <t>[Threaded comment]
Your version of Excel allows you to read this threaded comment; however, any edits to it will get removed if the file is opened in a newer version of Excel. Learn more: https://go.microsoft.com/fwlink/?linkid=870924
Comment:
    Shactee locates ($1,368.34) + Helix ($6,850)</t>
      </text>
    </comment>
    <comment ref="AW85" authorId="18" shapeId="0" xr:uid="{AEBDEEAA-6BBC-4A88-B1E2-97C9F19059BD}">
      <text>
        <t>[Threaded comment]
Your version of Excel allows you to read this threaded comment; however, any edits to it will get removed if the file is opened in a newer version of Excel. Learn more: https://go.microsoft.com/fwlink/?linkid=870924
Comment:
    @Bruce, Logan can you review this and confirm what @Chamernik, Conner is saying? I’m surprised we missed that in the original billing
Reply:
    @Chamernik, Conner please let me know when you have time to look at this this morning.
Reply:
    @Betland, Joseph Logan and I chatted. Cell 63Z (retirement amount) is $720 higher than our recording/ what was approved in PCTS. We're not sure how this happened, but seems like the $72 can just be reconciled?
Reply:
    that's fine</t>
      </text>
    </comment>
    <comment ref="AC88" authorId="19" shapeId="0" xr:uid="{D410F9A8-C819-4F9F-8195-A2796EED2323}">
      <text>
        <t>[Threaded comment]
Your version of Excel allows you to read this threaded comment; however, any edits to it will get removed if the file is opened in a newer version of Excel. Learn more: https://go.microsoft.com/fwlink/?linkid=870924
Comment:
    Pending PID creation. Email out to Kendra 7/25.
Reply:
    F/U 7/27
Reply:
    F/U 8/4
Reply:
    PR6380 submitted 8/10</t>
      </text>
    </comment>
    <comment ref="AB97" authorId="20" shapeId="0" xr:uid="{6AF67219-E850-42CF-B6AA-ED6DF26D5B99}">
      <text>
        <t>[Threaded comment]
Your version of Excel allows you to read this threaded comment; however, any edits to it will get removed if the file is opened in a newer version of Excel. Learn more: https://go.microsoft.com/fwlink/?linkid=870924
Comment:
    Review request sent 11/2. F/U 11/8. ConOps reports project is to be broken up into multiple WOs.</t>
      </text>
    </comment>
    <comment ref="AC97" authorId="21" shapeId="0" xr:uid="{58D8621D-BE6B-4642-856A-2F9D28D03988}">
      <text>
        <t>[Threaded comment]
Your version of Excel allows you to read this threaded comment; however, any edits to it will get removed if the file is opened in a newer version of Excel. Learn more: https://go.microsoft.com/fwlink/?linkid=870924
Comment:
    Requisitions on hold, project is to be broken into multiple WOs.</t>
      </text>
    </comment>
    <comment ref="AW102" authorId="22" shapeId="0" xr:uid="{525B3B8E-7661-4A5A-8FD9-7317DBF11C31}">
      <text>
        <t>[Threaded comment]
Your version of Excel allows you to read this threaded comment; however, any edits to it will get removed if the file is opened in a newer version of Excel. Learn more: https://go.microsoft.com/fwlink/?linkid=870924
Comment:
    @Chamernik, Conner did we ever discuss updating this cost estimate with Nicor? Wouldn’t the revision have changed this estimate a bit?
Reply:
    We updated the cost estimate post revision per Nicor's request, but only for NBA10014004, since that is what changed. N17175 was the reimbursable DOT project, and that estimate did not change.
Reply:
    @Betland, Joseph Just now realizing that this revision was billed under the Re-DOT WO when it should've really been under the NBA WO. We had a combined DOT/NBA drawing set with two separate WOs. Let me know if this changes this approach</t>
      </text>
    </comment>
    <comment ref="X104" authorId="23" shapeId="0" xr:uid="{65EA01F5-7566-4AF4-8786-434FA323B711}">
      <text>
        <t>[Threaded comment]
Your version of Excel allows you to read this threaded comment; however, any edits to it will get removed if the file is opened in a newer version of Excel. Learn more: https://go.microsoft.com/fwlink/?linkid=870924
Comment:
    @Dina, Eric just FYI, these numbers that you previously had in here included OH, I updated to be the direct estimates
Reply:
    Thanks for making the change. @Hopkins, Matt  @Ekstrom, Ethan please note for next time</t>
      </text>
    </comment>
    <comment ref="BG109" authorId="24" shapeId="0" xr:uid="{F6A5BA19-06C9-4ACD-AF31-7D052CBAFD19}">
      <text>
        <t>[Threaded comment]
Your version of Excel allows you to read this threaded comment; however, any edits to it will get removed if the file is opened in a newer version of Excel. Learn more: https://go.microsoft.com/fwlink/?linkid=870924
Comment:
    @Dina, Eric are we in cook county ROW here? Just wondering if we need to tihnk through this ADA item more
Reply:
    Only at 1 intersection.  If our replacement scope touches this area, I think we should be able to avoid any ADA disruption.
Reply:
    Confirmed that we are not in Cook County ROW with our replacement</t>
      </text>
    </comment>
    <comment ref="BB117" authorId="25" shapeId="0" xr:uid="{02393CF2-2399-4972-A618-37F9B56D72B5}">
      <text>
        <t>[Threaded comment]
Your version of Excel allows you to read this threaded comment; however, any edits to it will get removed if the file is opened in a newer version of Excel. Learn more: https://go.microsoft.com/fwlink/?linkid=870924
Comment:
    @Castellon, Randy  reminder during the meeting with IDOT to discuss pipe removal</t>
      </text>
    </comment>
    <comment ref="X119" authorId="26" shapeId="0" xr:uid="{BF986961-87ED-47B0-98C8-933D98DE3346}">
      <text>
        <t>[Threaded comment]
Your version of Excel allows you to read this threaded comment; however, any edits to it will get removed if the file is opened in a newer version of Excel. Learn more: https://go.microsoft.com/fwlink/?linkid=870924
Comment:
    PCTS shows $303,560.19</t>
      </text>
    </comment>
    <comment ref="Q120" authorId="27" shapeId="0" xr:uid="{E81C9DC2-DCEC-4A8C-AD77-D500A8D6121E}">
      <text>
        <t>[Threaded comment]
Your version of Excel allows you to read this threaded comment; however, any edits to it will get removed if the file is opened in a newer version of Excel. Learn more: https://go.microsoft.com/fwlink/?linkid=870924
Comment:
    @Bruce, Logan  @Rojas, Taylor  this project got added to our february billing</t>
      </text>
    </comment>
    <comment ref="X120" authorId="28" shapeId="0" xr:uid="{1F72ADCA-5F27-4045-8944-4D445C368347}">
      <text>
        <t>[Threaded comment]
Your version of Excel allows you to read this threaded comment; however, any edits to it will get removed if the file is opened in a newer version of Excel. Learn more: https://go.microsoft.com/fwlink/?linkid=870924
Comment:
    PCTS shows 1,357,372.21</t>
      </text>
    </comment>
    <comment ref="Z120" authorId="29" shapeId="0" xr:uid="{4324F7E7-04F3-4D1E-9505-EDC6D6AF5455}">
      <text>
        <t>[Threaded comment]
Your version of Excel allows you to read this threaded comment; however, any edits to it will get removed if the file is opened in a newer version of Excel. Learn more: https://go.microsoft.com/fwlink/?linkid=870924
Comment:
    PCTS shows 325,070.37</t>
      </text>
    </comment>
    <comment ref="AA123" authorId="30" shapeId="0" xr:uid="{31FA8447-CED4-491C-A858-18E269BDEB63}">
      <text>
        <t>[Threaded comment]
Your version of Excel allows you to read this threaded comment; however, any edits to it will get removed if the file is opened in a newer version of Excel. Learn more: https://go.microsoft.com/fwlink/?linkid=870924
Comment:
    @Bruce, Logan  @Rojas, Taylor  sorry for the mix-up - can you please verify that these cells match what we billed?
Reply:
    @Betland, Joseph these all match</t>
      </text>
    </comment>
    <comment ref="AN123" authorId="31" shapeId="0" xr:uid="{A8B5F917-C16E-43EB-B9CA-A7F438F40AD4}">
      <text>
        <t xml:space="preserve">[Threaded comment]
Your version of Excel allows you to read this threaded comment; however, any edits to it will get removed if the file is opened in a newer version of Excel. Learn more: https://go.microsoft.com/fwlink/?linkid=870924
Comment:
    Revision was reconciled under RS928 in July 2024. Project utilized same Work order but was renamed. </t>
      </text>
    </comment>
    <comment ref="AS123" authorId="32" shapeId="0" xr:uid="{A1AEEBEB-275E-4609-8131-4B088B43F3CC}">
      <text>
        <t xml:space="preserve">[Threaded comment]
Your version of Excel allows you to read this threaded comment; however, any edits to it will get removed if the file is opened in a newer version of Excel. Learn more: https://go.microsoft.com/fwlink/?linkid=870924
Comment:
    @Bruce, Logan  @Rojas, Taylor  for each orange cell, could you please verify that this construction cost matches the amount that we billed Nicor for?
Reply:
    @Betland, Joseph I don’t think any of these cells are going to match. What we billed nicor is in column AA. If anything additional was billed it was due to an increase or decrease on previous reconciliations. </t>
      </text>
    </comment>
    <comment ref="AW124" authorId="33" shapeId="0" xr:uid="{92E290A1-F6F7-4FA3-8C89-A1D3A6FD8248}">
      <text>
        <t>[Threaded comment]
Your version of Excel allows you to read this threaded comment; however, any edits to it will get removed if the file is opened in a newer version of Excel. Learn more: https://go.microsoft.com/fwlink/?linkid=870924
Comment:
    @Hopkins, Matt  are you saying that the contract was updated from 2024 to 2025? I would say “Contract updated to NPL 2025.”
Reply:
    Yes correct, I'll update the language</t>
      </text>
    </comment>
    <comment ref="BK124" authorId="34" shapeId="0" xr:uid="{C86EDF66-EC15-4905-9EE3-1F84E6218D26}">
      <text>
        <t>[Threaded comment]
Your version of Excel allows you to read this threaded comment; however, any edits to it will get removed if the file is opened in a newer version of Excel. Learn more: https://go.microsoft.com/fwlink/?linkid=870924
Comment:
    @Hopkins, Matt please update red cells</t>
      </text>
    </comment>
    <comment ref="BN124" authorId="35" shapeId="0" xr:uid="{9CF41A99-34B2-430C-B6A6-AE5917A3A0A9}">
      <text>
        <t>[Threaded comment]
Your version of Excel allows you to read this threaded comment; however, any edits to it will get removed if the file is opened in a newer version of Excel. Learn more: https://go.microsoft.com/fwlink/?linkid=870924
Comment:
    @Hopkins, Matt Please fill out if you anticipate sending for shactee review</t>
      </text>
    </comment>
    <comment ref="AV125" authorId="36" shapeId="0" xr:uid="{A215D9CD-269A-4A82-A4F6-A7724471BD29}">
      <text>
        <t>[Threaded comment]
Your version of Excel allows you to read this threaded comment; however, any edits to it will get removed if the file is opened in a newer version of Excel. Learn more: https://go.microsoft.com/fwlink/?linkid=870924
Comment:
    @Dina, Eric  @Bruce, Logan  we need to include the amount for our new revision in this as well - those numbers aren’t in PCTS yet but please enter in the KH hourly amounts as well as any subconsultant amounts that we need
Reply:
    @Dina, Eric there is $30,655 on 168777007.E.072 as of today in RTE. We have received $4,784.50 in sub expenses so far. Is the number we need to enter $35,439.50?
Reply:
    Eric please review and confirm when you are able
Reply:
    @Betland, Joseph I asked you about this one in an email earlier today (hourly write-ups).  Are you good with us billing this as expense or should we eat this cost?
Reply:
    Let's not include those for this one
Reply:
    Ok, thanks.  This has been updated.</t>
      </text>
    </comment>
    <comment ref="AW125" authorId="37" shapeId="0" xr:uid="{709E2321-591B-4D96-8A6A-701F8E1724E6}">
      <text>
        <t>[Threaded comment]
Your version of Excel allows you to read this threaded comment; however, any edits to it will get removed if the file is opened in a newer version of Excel. Learn more: https://go.microsoft.com/fwlink/?linkid=870924
Comment:
    @Dina, Eric what caused the price increase - was that the revision (or one of them)? Or something else? Is the latest revision likely causing additional cost implications?</t>
      </text>
    </comment>
    <comment ref="AV132" authorId="38" shapeId="0" xr:uid="{C612A107-25E0-421C-94BA-58FCD58A5A7F}">
      <text>
        <t xml:space="preserve">[Threaded comment]
Your version of Excel allows you to read this threaded comment; however, any edits to it will get removed if the file is opened in a newer version of Excel. Learn more: https://go.microsoft.com/fwlink/?linkid=870924
Comment:
    @Castellon, Randy  aren’t we billing $9570 for this one shortly?
Reply:
    hey joey - yes good point. i completed this prior to releasing the project. Should i include this cost?
Reply:
    Yes please
Reply:
    Updated to reflect what RTE is showing. </t>
      </text>
    </comment>
    <comment ref="AW132" authorId="39" shapeId="0" xr:uid="{2E8E9D00-2F33-4FB8-908D-18FEC3762F9F}">
      <text>
        <t>[Threaded comment]
Your version of Excel allows you to read this threaded comment; however, any edits to it will get removed if the file is opened in a newer version of Excel. Learn more: https://go.microsoft.com/fwlink/?linkid=870924
Comment:
    @Castellon, Randy  why were they updated? Was it based off the revision? Please note if the revision impacted the cost estimate or not, use previous examples as guidance
Reply:
    @Betland, Joseph Same comment applies that I left on the other WO number, but the main install decreased 20' on this portion of the project</t>
      </text>
    </comment>
    <comment ref="AW133" authorId="40" shapeId="0" xr:uid="{BD85A4CE-8943-4D1C-9CDF-E39A9DD8D206}">
      <text>
        <t>[Threaded comment]
Your version of Excel allows you to read this threaded comment; however, any edits to it will get removed if the file is opened in a newer version of Excel. Learn more: https://go.microsoft.com/fwlink/?linkid=870924
Comment:
    @Castellon, Randy  same question as the original WO on this one
Reply:
    @Betland, Joseph It looks like the revision completed in January 2025 added a total of 108' of main to the drawings. It also appears that KH/Nicor didn't make any changes to the estimate due to this revision. The last change was made by Dan to the Labor Tab, Contract Estimate and PO on 6/25/2024. This was before we started recording PCTS so I'm not sure how much he increased values other than changing the labor/contract to 2024.</t>
      </text>
    </comment>
    <comment ref="AV137" authorId="41" shapeId="0" xr:uid="{E41E0D3F-8AF6-498D-AA97-225894FE0787}">
      <text>
        <t>[Threaded comment]
Your version of Excel allows you to read this threaded comment; however, any edits to it will get removed if the file is opened in a newer version of Excel. Learn more: https://go.microsoft.com/fwlink/?linkid=870924
Comment:
    @Castellon, Randy isn’t this $1,470?
Reply:
    yes. updated</t>
      </text>
    </comment>
    <comment ref="AW137" authorId="42" shapeId="0" xr:uid="{5E51DC00-3CFB-4B69-B500-3C48E20568A4}">
      <text>
        <t xml:space="preserve">[Threaded comment]
Your version of Excel allows you to read this threaded comment; however, any edits to it will get removed if the file is opened in a newer version of Excel. Learn more: https://go.microsoft.com/fwlink/?linkid=870924
Comment:
    @Castellon, Randy  did we review those costs with ConOps prior to the cost estimate and they just added it after? Did the revision lead to this cost increase, or were the changes made prior to that?
Reply:
    It looks like the revision led to this cost increase. Frank added items to the Contract and Labor tab on 8/1/2024 after the revision was released. Since the revision was to add a full lane width restoration, I think he bumped up restoration costs. </t>
      </text>
    </comment>
    <comment ref="AW138" authorId="43" shapeId="0" xr:uid="{5CD399AD-E0E4-4DFC-9BEF-CC98A9FC536B}">
      <text>
        <t>[Threaded comment]
Your version of Excel allows you to read this threaded comment; however, any edits to it will get removed if the file is opened in a newer version of Excel. Learn more: https://go.microsoft.com/fwlink/?linkid=870924
Comment:
    @Castellon, Randy  how much did they update the crew and traffic control? Is that all they updated? Almost 100k is quite a bit so want to make sure we understand that</t>
      </text>
    </comment>
    <comment ref="AW139" authorId="44" shapeId="0" xr:uid="{7AC44DD7-7BB1-4935-81C6-744280FCC64E}">
      <text>
        <t>[Threaded comment]
Your version of Excel allows you to read this threaded comment; however, any edits to it will get removed if the file is opened in a newer version of Excel. Learn more: https://go.microsoft.com/fwlink/?linkid=870924
Comment:
    @Lierow, Taylor  wasn’t this IDOT? Is this accurate? 
Cost estimate decreased due to revision request and updated design from IDOT which resulted in a decrease in quantities and materials.
Reply:
    Yes sorry i got projects mixed up. I updated</t>
      </text>
    </comment>
    <comment ref="AN140" authorId="45" shapeId="0" xr:uid="{B7676E3B-63DC-49EE-80D0-B1BAEE70C618}">
      <text>
        <t>[Threaded comment]
Your version of Excel allows you to read this threaded comment; however, any edits to it will get removed if the file is opened in a newer version of Excel. Learn more: https://go.microsoft.com/fwlink/?linkid=870924
Comment:
    10/16/2024
Reply:
    @Lierow, Taylor can you confirm 10/16 is the date that should be there?
Reply:
    Yes confirmed</t>
      </text>
    </comment>
    <comment ref="AW140" authorId="46" shapeId="0" xr:uid="{0C8BE57C-1654-49FB-BA85-151B8D710E21}">
      <text>
        <t>[Threaded comment]
Your version of Excel allows you to read this threaded comment; however, any edits to it will get removed if the file is opened in a newer version of Excel. Learn more: https://go.microsoft.com/fwlink/?linkid=870924
Comment:
    @Lierow, Taylor  is this accurate?
Cost estimate decreased due to revision caused by updated County design, to avoid reimbursable Nicor relocation scope.
Reply:
    See comment on non reimbursable WO 
Reply:
    We also ended up decreasing the amount Nicor was charging for reimbursement on the retirement WO after discussion with Chip</t>
      </text>
    </comment>
    <comment ref="J142" authorId="47" shapeId="0" xr:uid="{F892BBF6-132D-4E3C-9414-6CB6BA914978}">
      <text>
        <t>[Threaded comment]
Your version of Excel allows you to read this threaded comment; however, any edits to it will get removed if the file is opened in a newer version of Excel. Learn more: https://go.microsoft.com/fwlink/?linkid=870924
Comment:
    F/U 8/27</t>
      </text>
    </comment>
    <comment ref="AW143" authorId="48" shapeId="0" xr:uid="{008A0B37-7A11-4C9A-9B54-AE7377032136}">
      <text>
        <t>[Threaded comment]
Your version of Excel allows you to read this threaded comment; however, any edits to it will get removed if the file is opened in a newer version of Excel. Learn more: https://go.microsoft.com/fwlink/?linkid=870924
Comment:
    @Lierow, Taylor  can you go more into this revision - what led to the reduced scope? How much scope reduced?
Reply:
    Updated
Reply:
    Was the additional scope a system improvement? Or why did it not need to be relocated?
Reply:
    When we were scoping out the reroute, we included replacement of 6" STL main in a partially reimbursable area and charged the County for this reimbursement. During their permit review, they asked why this needed to be relocated/why it was reimbursable and discussed with Nicor and ended up removing that relocation all together. This accounted for the decrease in both the reimbursable and non-reimbursable estimate.</t>
      </text>
    </comment>
    <comment ref="J144" authorId="49" shapeId="0" xr:uid="{5BC01287-FC9B-4EC6-915E-69BBEBD898CA}">
      <text>
        <t>[Threaded comment]
Your version of Excel allows you to read this threaded comment; however, any edits to it will get removed if the file is opened in a newer version of Excel. Learn more: https://go.microsoft.com/fwlink/?linkid=870924
Comment:
    7/19
Reply:
    8/6
Reply:
    8/27
Reply:
    10/10
Reply:
    10/16
Reply:
    11/7
Reply:
    updated and reviewed</t>
      </text>
    </comment>
    <comment ref="K146" authorId="50" shapeId="0" xr:uid="{D57ADE72-A694-404B-82DB-DFCE5EB6FA55}">
      <text>
        <t>[Threaded comment]
Your version of Excel allows you to read this threaded comment; however, any edits to it will get removed if the file is opened in a newer version of Excel. Learn more: https://go.microsoft.com/fwlink/?linkid=870924
Comment:
    @Lierow, Taylor please fill out red cells and highlight yellow when ready for my review. Please continue to follow up on this date as well</t>
      </text>
    </comment>
    <comment ref="AW146" authorId="51" shapeId="0" xr:uid="{4D7898E0-C694-44E1-A853-1DFDA8ADE34F}">
      <text>
        <t>[Threaded comment]
Your version of Excel allows you to read this threaded comment; however, any edits to it will get removed if the file is opened in a newer version of Excel. Learn more: https://go.microsoft.com/fwlink/?linkid=870924
Comment:
    @Lierow, Taylor can you go into detail a little more about what the revision caused - did sheets need to be added? How much additional relocation was caused?
Reply:
    Updated</t>
      </text>
    </comment>
    <comment ref="AW148" authorId="52" shapeId="0" xr:uid="{7250F30A-1619-422E-A637-DC7CDE489B5B}">
      <text>
        <t>[Threaded comment]
Your version of Excel allows you to read this threaded comment; however, any edits to it will get removed if the file is opened in a newer version of Excel. Learn more: https://go.microsoft.com/fwlink/?linkid=870924
Comment:
    @Purtell, Tim  what do you mean revised costs? What was revised and why?
Reply:
    @Betland, Joseph The contract year was updated from 2024 to 2025. This has a snowball effect for the cost estimate. No items were changed. This was the verbaige we used on last reconcilation for these instances
Reply:
    I know it’s a large project so just to confirm, the updated contract had a cost implication of 114k? No other items or quantities changed?</t>
      </text>
    </comment>
    <comment ref="AW149" authorId="53" shapeId="0" xr:uid="{12E810D7-C623-41D4-BC34-69E8BA5DCC1D}">
      <text>
        <t>[Threaded comment]
Your version of Excel allows you to read this threaded comment; however, any edits to it will get removed if the file is opened in a newer version of Excel. Learn more: https://go.microsoft.com/fwlink/?linkid=870924
Comment:
    @Purtell, Tim  I realize that this wasn’t a big change, but was this material costs, labor, etc.? 
Reply:
    material</t>
      </text>
    </comment>
    <comment ref="AJ154" authorId="54" shapeId="0" xr:uid="{6D12EFCD-C67F-4AA3-8922-97FC20205363}">
      <text>
        <t>[Threaded comment]
Your version of Excel allows you to read this threaded comment; however, any edits to it will get removed if the file is opened in a newer version of Excel. Learn more: https://go.microsoft.com/fwlink/?linkid=870924
Comment:
    It looks like Millennia forgot to bill us for a pothole.  Getting confirmation.
Reply:
    Pending response from Millenia</t>
      </text>
    </comment>
    <comment ref="AC158" authorId="55" shapeId="0" xr:uid="{F4A88F25-90BA-45CE-82BA-D6883419351F}">
      <text>
        <t>[Threaded comment]
Your version of Excel allows you to read this threaded comment; however, any edits to it will get removed if the file is opened in a newer version of Excel. Learn more: https://go.microsoft.com/fwlink/?linkid=870924
Comment:
    Material procurement to occur at a later date. construction anticipated for 2025</t>
      </text>
    </comment>
    <comment ref="J164" authorId="56" shapeId="0" xr:uid="{5C3C1243-2CCA-4B65-AAAB-080C20AD59D2}">
      <text>
        <t>[Threaded comment]
Your version of Excel allows you to read this threaded comment; however, any edits to it will get removed if the file is opened in a newer version of Excel. Learn more: https://go.microsoft.com/fwlink/?linkid=870924
Comment:
    sent 9/27, last f/u 10/22
Reply:
    Outstanding extensions F/U 12/17
Reply:
    Approved 11/21, not updated</t>
      </text>
    </comment>
    <comment ref="J165" authorId="57" shapeId="0" xr:uid="{96E6B7F8-9D0B-43A7-854F-A5E3B58B18B0}">
      <text>
        <t>[Threaded comment]
Your version of Excel allows you to read this threaded comment; however, any edits to it will get removed if the file is opened in a newer version of Excel. Learn more: https://go.microsoft.com/fwlink/?linkid=870924
Comment:
    Originally 11/5
Sent 10/29, F/U 12/17</t>
      </text>
    </comment>
    <comment ref="AK170" authorId="58" shapeId="0" xr:uid="{DAA4394C-978E-4A4A-9D0F-C1AFBBD27FEB}">
      <text>
        <t>[Threaded comment]
Your version of Excel allows you to read this threaded comment; however, any edits to it will get removed if the file is opened in a newer version of Excel. Learn more: https://go.microsoft.com/fwlink/?linkid=870924
Comment:
    Reported in 2023</t>
      </text>
    </comment>
    <comment ref="J173" authorId="59" shapeId="0" xr:uid="{0AA55748-CAD1-4771-A997-4ECEF768B9F5}">
      <text>
        <t>[Threaded comment]
Your version of Excel allows you to read this threaded comment; however, any edits to it will get removed if the file is opened in a newer version of Excel. Learn more: https://go.microsoft.com/fwlink/?linkid=870924
Comment:
    approved, pending update to EDSR Form (last f/u 10/22)
Reply:
    Outstanding extensions F/U 12/17</t>
      </text>
    </comment>
    <comment ref="J175" authorId="60" shapeId="0" xr:uid="{FE0056EB-6ECD-4EBD-B522-3FC86311C867}">
      <text>
        <t>[Threaded comment]
Your version of Excel allows you to read this threaded comment; however, any edits to it will get removed if the file is opened in a newer version of Excel. Learn more: https://go.microsoft.com/fwlink/?linkid=870924
Comment:
    Originally 12/4
Sent 10/28
F/U 12/17
Approved 12/3, not updated in EDSR</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Whitson, Bryan</author>
    <author>tc={270E18AA-1A33-443A-92C4-DA800F5BA6CC}</author>
    <author>tc={241B4E77-4C11-477E-B37E-6A7C7826FF96}</author>
    <author>tc={4690FA0E-D12E-4F06-AF00-B856651936DC}</author>
    <author>tc={2B438DC7-7EFF-4B0D-AF63-C7EAB517F24C}</author>
    <author>tc={2C754200-12F6-4F98-AF34-BBF1574C835A}</author>
    <author>tc={0733B366-3151-473F-B2D7-699DB8964F84}</author>
    <author>tc={3CB67A2E-71BC-4C06-820B-3FB34BB05B8C}</author>
    <author>tc={194C0234-2DBF-4BF6-8B7B-9A662CB62EB9}</author>
    <author>tc={5EF8FF8B-36DA-4B5D-89F4-4C4F13402901}</author>
    <author>tc={CFA9D52A-2B77-44F1-B651-0FE462ACE85D}</author>
    <author>tc={8CD98E44-9116-4585-87D4-4334E1E13EE8}</author>
    <author>tc={A6AC2347-1D0F-4438-9291-4AF111AD98B3}</author>
    <author>tc={81BCE2FF-6435-462A-99C3-051BFEE8CB69}</author>
  </authors>
  <commentList>
    <comment ref="K2" authorId="0" shapeId="0" xr:uid="{0CB5FFF7-1C90-4762-91BA-841A20CAE5B0}">
      <text>
        <r>
          <rPr>
            <sz val="11"/>
            <color theme="1"/>
            <rFont val="Calibri"/>
            <family val="2"/>
            <scheme val="minor"/>
          </rPr>
          <t xml:space="preserve">Project lead to keep updated. Examples:
-KH coordinating…........
-Nicor to provide…..........
-Project pending.... (followed-up XX/XX)
-Nicor to approve WO form by EOD XX/XX
-Survey due EOD XX/XX.
-Locates to be provided by XX/XX.
-KH progressing WO drawings.
-KH finalizing WO drawings.
-Region Review due EOD XX/XX.
-KH finalizing WO drawings for release.
-KH to release.
</t>
        </r>
      </text>
    </comment>
    <comment ref="O2" authorId="0" shapeId="0" xr:uid="{30AEB64C-20FD-4C12-88BC-67515D539725}">
      <text>
        <r>
          <rPr>
            <b/>
            <sz val="9"/>
            <color indexed="81"/>
            <rFont val="Tahoma"/>
            <family val="2"/>
          </rPr>
          <t>Whitson, Bryan:</t>
        </r>
        <r>
          <rPr>
            <sz val="9"/>
            <color indexed="81"/>
            <rFont val="Tahoma"/>
            <family val="2"/>
          </rPr>
          <t xml:space="preserve">
Is IDOT permit required?
Input: "X" or "-"</t>
        </r>
      </text>
    </comment>
    <comment ref="P2" authorId="0" shapeId="0" xr:uid="{5E08BDA7-E600-4A87-A62D-D11A67B33A86}">
      <text>
        <r>
          <rPr>
            <b/>
            <sz val="9"/>
            <color indexed="81"/>
            <rFont val="Tahoma"/>
            <family val="2"/>
          </rPr>
          <t>Whitson, Bryan:</t>
        </r>
        <r>
          <rPr>
            <sz val="9"/>
            <color indexed="81"/>
            <rFont val="Tahoma"/>
            <family val="2"/>
          </rPr>
          <t xml:space="preserve">
If county permit is needed, input name of county. If multiple county permits needed, list in alphabetical order &amp; separate with a comma.</t>
        </r>
      </text>
    </comment>
    <comment ref="Q2" authorId="0" shapeId="0" xr:uid="{539F2B99-3A35-4D6D-BEFE-CE9AD817998D}">
      <text>
        <r>
          <rPr>
            <b/>
            <sz val="9"/>
            <color indexed="81"/>
            <rFont val="Tahoma"/>
            <family val="2"/>
          </rPr>
          <t>Whitson, Bryan:</t>
        </r>
        <r>
          <rPr>
            <sz val="9"/>
            <color indexed="81"/>
            <rFont val="Tahoma"/>
            <family val="2"/>
          </rPr>
          <t xml:space="preserve">
If municipal permit is needed, input name of municipal. If multiple municipal permits needed, list in alphabetical order &amp; separate with a comma.</t>
        </r>
      </text>
    </comment>
    <comment ref="R2" authorId="0" shapeId="0" xr:uid="{9A28F210-3494-459B-8A35-4559CB856474}">
      <text>
        <r>
          <rPr>
            <b/>
            <sz val="9"/>
            <color indexed="81"/>
            <rFont val="Tahoma"/>
            <family val="2"/>
          </rPr>
          <t>Whitson, Bryan:</t>
        </r>
        <r>
          <rPr>
            <sz val="9"/>
            <color indexed="81"/>
            <rFont val="Tahoma"/>
            <family val="2"/>
          </rPr>
          <t xml:space="preserve">
If township permit is needed, input name of township. If multiple township permits needed, list in alphabetical order &amp; separate with a comma.</t>
        </r>
      </text>
    </comment>
    <comment ref="S2" authorId="0" shapeId="0" xr:uid="{2A4D3CAE-5596-42CE-9500-39C62AB09270}">
      <text>
        <r>
          <rPr>
            <b/>
            <sz val="9"/>
            <color indexed="81"/>
            <rFont val="Tahoma"/>
            <family val="2"/>
          </rPr>
          <t>Whitson, Bryan:</t>
        </r>
        <r>
          <rPr>
            <sz val="9"/>
            <color indexed="81"/>
            <rFont val="Tahoma"/>
            <family val="2"/>
          </rPr>
          <t xml:space="preserve">
Tollway
Railroad (CN, UPRR, BNSF, etc.)
Foreign Pipeline
MWRD</t>
        </r>
      </text>
    </comment>
    <comment ref="J8" authorId="1" shapeId="0" xr:uid="{270E18AA-1A33-443A-92C4-DA800F5BA6CC}">
      <text>
        <t>[Threaded comment]
Your version of Excel allows you to read this threaded comment; however, any edits to it will get removed if the file is opened in a newer version of Excel. Learn more: https://go.microsoft.com/fwlink/?linkid=870924
Comment:
    @Holstead, Julia Does this need a date extension?</t>
      </text>
    </comment>
    <comment ref="J10" authorId="2" shapeId="0" xr:uid="{241B4E77-4C11-477E-B37E-6A7C7826FF96}">
      <text>
        <t>[Threaded comment]
Your version of Excel allows you to read this threaded comment; however, any edits to it will get removed if the file is opened in a newer version of Excel. Learn more: https://go.microsoft.com/fwlink/?linkid=870924
Comment:
    @Holstead, Julia Does this need a date extension?</t>
      </text>
    </comment>
    <comment ref="J14" authorId="3" shapeId="0" xr:uid="{4690FA0E-D12E-4F06-AF00-B856651936DC}">
      <text>
        <t>[Threaded comment]
Your version of Excel allows you to read this threaded comment; however, any edits to it will get removed if the file is opened in a newer version of Excel. Learn more: https://go.microsoft.com/fwlink/?linkid=870924
Comment:
    Sent 8/11</t>
      </text>
    </comment>
    <comment ref="W14" authorId="4" shapeId="0" xr:uid="{2B438DC7-7EFF-4B0D-AF63-C7EAB517F24C}">
      <text>
        <t>[Threaded comment]
Your version of Excel allows you to read this threaded comment; however, any edits to it will get removed if the file is opened in a newer version of Excel. Learn more: https://go.microsoft.com/fwlink/?linkid=870924
Comment:
    Pending Survey</t>
      </text>
    </comment>
    <comment ref="Y14" authorId="5" shapeId="0" xr:uid="{2C754200-12F6-4F98-AF34-BBF1574C835A}">
      <text>
        <t>[Threaded comment]
Your version of Excel allows you to read this threaded comment; however, any edits to it will get removed if the file is opened in a newer version of Excel. Learn more: https://go.microsoft.com/fwlink/?linkid=870924
Comment:
    Pending Survey</t>
      </text>
    </comment>
    <comment ref="AL14" authorId="6" shapeId="0" xr:uid="{0733B366-3151-473F-B2D7-699DB8964F84}">
      <text>
        <t>[Threaded comment]
Your version of Excel allows you to read this threaded comment; however, any edits to it will get removed if the file is opened in a newer version of Excel. Learn more: https://go.microsoft.com/fwlink/?linkid=870924
Comment:
    @McTigue, Thomas  Is this still pending?
Reply:
    Yes</t>
      </text>
    </comment>
    <comment ref="U17" authorId="7" shapeId="0" xr:uid="{3CB67A2E-71BC-4C06-820B-3FB34BB05B8C}">
      <text>
        <t>[Threaded comment]
Your version of Excel allows you to read this threaded comment; however, any edits to it will get removed if the file is opened in a newer version of Excel. Learn more: https://go.microsoft.com/fwlink/?linkid=870924
Comment:
    @Holstead, Julia  - have we done a Julie call for this project? Or are we getting survey once the EDSR opens?</t>
      </text>
    </comment>
    <comment ref="C29" authorId="8" shapeId="0" xr:uid="{194C0234-2DBF-4BF6-8B7B-9A662CB62EB9}">
      <text>
        <t>[Threaded comment]
Your version of Excel allows you to read this threaded comment; however, any edits to it will get removed if the file is opened in a newer version of Excel. Learn more: https://go.microsoft.com/fwlink/?linkid=870924
Comment:
    No Engr # in EDSR</t>
      </text>
    </comment>
    <comment ref="W29" authorId="9" shapeId="0" xr:uid="{5EF8FF8B-36DA-4B5D-89F4-4C4F13402901}">
      <text>
        <t>[Threaded comment]
Your version of Excel allows you to read this threaded comment; however, any edits to it will get removed if the file is opened in a newer version of Excel. Learn more: https://go.microsoft.com/fwlink/?linkid=870924
Comment:
    @Holstead, Julia  - If this is to be sent to shactee for drafting at some point, add to the 3rd party tracker and put your best guess for the NTP and deliverables due date. Add reasoning in the notes as needed (ie: pending facility location confirmation sent 5/x)</t>
      </text>
    </comment>
    <comment ref="J32" authorId="10" shapeId="0" xr:uid="{CFA9D52A-2B77-44F1-B651-0FE462ACE85D}">
      <text>
        <t>[Threaded comment]
Your version of Excel allows you to read this threaded comment; however, any edits to it will get removed if the file is opened in a newer version of Excel. Learn more: https://go.microsoft.com/fwlink/?linkid=870924
Comment:
    Sent 8/11</t>
      </text>
    </comment>
    <comment ref="W32" authorId="11" shapeId="0" xr:uid="{8CD98E44-9116-4585-87D4-4334E1E13EE8}">
      <text>
        <t>[Threaded comment]
Your version of Excel allows you to read this threaded comment; however, any edits to it will get removed if the file is opened in a newer version of Excel. Learn more: https://go.microsoft.com/fwlink/?linkid=870924
Comment:
    Pending Survey</t>
      </text>
    </comment>
    <comment ref="Y32" authorId="12" shapeId="0" xr:uid="{A6AC2347-1D0F-4438-9291-4AF111AD98B3}">
      <text>
        <t>[Threaded comment]
Your version of Excel allows you to read this threaded comment; however, any edits to it will get removed if the file is opened in a newer version of Excel. Learn more: https://go.microsoft.com/fwlink/?linkid=870924
Comment:
    Pending Survey</t>
      </text>
    </comment>
    <comment ref="AL32" authorId="13" shapeId="0" xr:uid="{81BCE2FF-6435-462A-99C3-051BFEE8CB69}">
      <text>
        <t>[Threaded comment]
Your version of Excel allows you to read this threaded comment; however, any edits to it will get removed if the file is opened in a newer version of Excel. Learn more: https://go.microsoft.com/fwlink/?linkid=870924
Comment:
    Is this still pending? @McTigue, Thomas 
Reply:
    Yes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Michaels, Nick</author>
    <author>Whitson, Bryan</author>
    <author>IS Department</author>
    <author>tc={96BFFDAC-185C-4A44-B414-FE75EF5D5DCF}</author>
    <author>tc={08AA3F73-7A5F-483E-B48C-FAB11DCF03A5}</author>
    <author>tc={751A9DC3-E9C1-410C-B2B8-3AAD55E25B1C}</author>
    <author>tc={70702E1E-4789-4F69-8558-173B329AF5B1}</author>
    <author>tc={2A307044-BCD8-4BFD-94DE-B5C758AD6806}</author>
  </authors>
  <commentList>
    <comment ref="A2" authorId="0" shapeId="0" xr:uid="{6AF76349-B49E-448F-AC75-D0D7FF5FB6D7}">
      <text>
        <r>
          <rPr>
            <sz val="11"/>
            <color theme="1"/>
            <rFont val="Calibri"/>
            <family val="2"/>
            <scheme val="minor"/>
          </rPr>
          <t xml:space="preserve">Taken from EDSR Form. If year in EDSR is updated, make sure to update here as well.
</t>
        </r>
      </text>
    </comment>
    <comment ref="B2" authorId="0" shapeId="0" xr:uid="{061E681A-8207-439B-B9AB-299EDFE9B0B6}">
      <text>
        <r>
          <rPr>
            <sz val="11"/>
            <color theme="1"/>
            <rFont val="Calibri"/>
            <family val="2"/>
            <scheme val="minor"/>
          </rPr>
          <t>Taken from EDSR Form.</t>
        </r>
      </text>
    </comment>
    <comment ref="C2" authorId="0" shapeId="0" xr:uid="{D7368C20-2892-4A03-B8D6-186119D7D78B}">
      <text>
        <r>
          <rPr>
            <sz val="11"/>
            <color theme="1"/>
            <rFont val="Calibri"/>
            <family val="2"/>
            <scheme val="minor"/>
          </rPr>
          <t xml:space="preserve">Taken from EDSR Form.
</t>
        </r>
      </text>
    </comment>
    <comment ref="D2" authorId="0" shapeId="0" xr:uid="{D85C0EF7-019F-4AE8-A0F6-38DDAFDD3FE5}">
      <text>
        <r>
          <rPr>
            <sz val="11"/>
            <color theme="1"/>
            <rFont val="Calibri"/>
            <family val="2"/>
            <scheme val="minor"/>
          </rPr>
          <t>To be created by project lead once project is assigned.</t>
        </r>
      </text>
    </comment>
    <comment ref="E2" authorId="0" shapeId="0" xr:uid="{E7030B40-23ED-4589-A6B4-7FF30A05FBD0}">
      <text>
        <r>
          <rPr>
            <sz val="11"/>
            <color theme="1"/>
            <rFont val="Calibri"/>
            <family val="2"/>
            <scheme val="minor"/>
          </rPr>
          <t>Taken from EDSR Form. If municipality is updated in EDSR, make sure it is updated here as well.</t>
        </r>
      </text>
    </comment>
    <comment ref="F2" authorId="0" shapeId="0" xr:uid="{0261A292-A9C4-4C8C-85B1-12EBE8941A90}">
      <text>
        <r>
          <rPr>
            <sz val="11"/>
            <color theme="1"/>
            <rFont val="Calibri"/>
            <family val="2"/>
            <scheme val="minor"/>
          </rPr>
          <t xml:space="preserve">Taken from EDSR Form.
Options:
-Joel Newton
-Jocelyn Liang
</t>
        </r>
      </text>
    </comment>
    <comment ref="G2" authorId="0" shapeId="0" xr:uid="{C38C1E3C-ED82-463C-B36D-9383994E307D}">
      <text>
        <r>
          <rPr>
            <sz val="11"/>
            <color theme="1"/>
            <rFont val="Calibri"/>
            <family val="2"/>
            <scheme val="minor"/>
          </rPr>
          <t>KH Project Lead Name</t>
        </r>
      </text>
    </comment>
    <comment ref="H2" authorId="0" shapeId="0" xr:uid="{8B97967E-9F7A-4DE8-B10E-7AF63FF03646}">
      <text>
        <r>
          <rPr>
            <sz val="11"/>
            <color theme="1"/>
            <rFont val="Calibri"/>
            <family val="2"/>
            <scheme val="minor"/>
          </rPr>
          <t xml:space="preserve">To be updated by project lead. EDSR to be updated as well to match.
Options:
-Initial Investigation
-Phase 1 (Baseline)
-Phase 2 (Design)
-Region Review
</t>
        </r>
      </text>
    </comment>
    <comment ref="I2" authorId="0" shapeId="0" xr:uid="{F9027BD1-17BA-40AF-9EB9-159D285421D5}">
      <text>
        <r>
          <rPr>
            <sz val="11"/>
            <color theme="1"/>
            <rFont val="Calibri"/>
            <family val="2"/>
            <scheme val="minor"/>
          </rPr>
          <t>Taken from EDSR Form</t>
        </r>
      </text>
    </comment>
    <comment ref="J2" authorId="0" shapeId="0" xr:uid="{EB7BC32A-B967-4C27-810B-941CF21F93B0}">
      <text>
        <r>
          <rPr>
            <sz val="11"/>
            <color theme="1"/>
            <rFont val="Calibri"/>
            <family val="2"/>
            <scheme val="minor"/>
          </rPr>
          <t>Taken from EDSR Form. Project lead to update if date change requested.</t>
        </r>
      </text>
    </comment>
    <comment ref="K2" authorId="1" shapeId="0" xr:uid="{4FFD8C51-5535-4368-AC12-6A44D8FDB0A0}">
      <text>
        <r>
          <rPr>
            <sz val="11"/>
            <color theme="1"/>
            <rFont val="Calibri"/>
            <family val="2"/>
            <scheme val="minor"/>
          </rPr>
          <t xml:space="preserve">Project lead to keep updated. Examples:
-KH coordinating…........
-Nicor to provide…..........
-Project pending.... (followed-up XX/XX)
-Nicor to approve WO form by EOD XX/XX
-Survey due EOD XX/XX.
-Locates to be provided by XX/XX.
-KH progressing WO drawings.
-KH finalizing WO drawings.
-Region Review due EOD XX/XX.
-KH finalizing WO drawings for release.
-KH to release.
</t>
        </r>
      </text>
    </comment>
    <comment ref="M2" authorId="2" shapeId="0" xr:uid="{6C9846DA-C271-4B92-BF89-5EA16857DA42}">
      <text>
        <r>
          <rPr>
            <b/>
            <sz val="9"/>
            <color indexed="81"/>
            <rFont val="Tahoma"/>
            <family val="2"/>
          </rPr>
          <t>IS Department: Keep this updated with a clear/concise summary of the project scope. This should be refined as the project gets finalized and should be ideally be no more than ~3 lines of text.</t>
        </r>
        <r>
          <rPr>
            <sz val="9"/>
            <color indexed="81"/>
            <rFont val="Tahoma"/>
            <family val="2"/>
          </rPr>
          <t xml:space="preserve">
</t>
        </r>
      </text>
    </comment>
    <comment ref="O2" authorId="1" shapeId="0" xr:uid="{91A53B4B-C745-4542-82FF-9E2806D5D86C}">
      <text>
        <r>
          <rPr>
            <b/>
            <sz val="9"/>
            <color indexed="81"/>
            <rFont val="Tahoma"/>
            <family val="2"/>
          </rPr>
          <t>Whitson, Bryan:</t>
        </r>
        <r>
          <rPr>
            <sz val="9"/>
            <color indexed="81"/>
            <rFont val="Tahoma"/>
            <family val="2"/>
          </rPr>
          <t xml:space="preserve">
Is IDOT permit required?
Input: "X" or "-"</t>
        </r>
      </text>
    </comment>
    <comment ref="P2" authorId="1" shapeId="0" xr:uid="{D5E88B11-F1BC-463E-B7EA-E4F1B4398742}">
      <text>
        <r>
          <rPr>
            <b/>
            <sz val="9"/>
            <color indexed="81"/>
            <rFont val="Tahoma"/>
            <family val="2"/>
          </rPr>
          <t>Whitson, Bryan:</t>
        </r>
        <r>
          <rPr>
            <sz val="9"/>
            <color indexed="81"/>
            <rFont val="Tahoma"/>
            <family val="2"/>
          </rPr>
          <t xml:space="preserve">
If county permit is needed, input name of county. If multiple county permits needed, list in alphabetical order &amp; separate with a comma.</t>
        </r>
      </text>
    </comment>
    <comment ref="Q2" authorId="1" shapeId="0" xr:uid="{4BEEF1AD-7D54-476B-93B5-123C15F6B6FC}">
      <text>
        <r>
          <rPr>
            <b/>
            <sz val="9"/>
            <color indexed="81"/>
            <rFont val="Tahoma"/>
            <family val="2"/>
          </rPr>
          <t>Whitson, Bryan:</t>
        </r>
        <r>
          <rPr>
            <sz val="9"/>
            <color indexed="81"/>
            <rFont val="Tahoma"/>
            <family val="2"/>
          </rPr>
          <t xml:space="preserve">
If municipal permit is needed, input name of municipal. If multiple municipal permits needed, list in alphabetical order &amp; separate with a comma.</t>
        </r>
      </text>
    </comment>
    <comment ref="R2" authorId="1" shapeId="0" xr:uid="{47A7F555-78B7-4F90-B9A4-21C67101CACC}">
      <text>
        <r>
          <rPr>
            <b/>
            <sz val="9"/>
            <color indexed="81"/>
            <rFont val="Tahoma"/>
            <family val="2"/>
          </rPr>
          <t>Whitson, Bryan:</t>
        </r>
        <r>
          <rPr>
            <sz val="9"/>
            <color indexed="81"/>
            <rFont val="Tahoma"/>
            <family val="2"/>
          </rPr>
          <t xml:space="preserve">
If township permit is needed, input name of township. If multiple township permits needed, list in alphabetical order &amp; separate with a comma.</t>
        </r>
      </text>
    </comment>
    <comment ref="S2" authorId="1" shapeId="0" xr:uid="{8DA7053D-F2D2-4CA7-AC90-38204645EDF0}">
      <text>
        <r>
          <rPr>
            <b/>
            <sz val="9"/>
            <color indexed="81"/>
            <rFont val="Tahoma"/>
            <family val="2"/>
          </rPr>
          <t>Whitson, Bryan:</t>
        </r>
        <r>
          <rPr>
            <sz val="9"/>
            <color indexed="81"/>
            <rFont val="Tahoma"/>
            <family val="2"/>
          </rPr>
          <t xml:space="preserve">
Tollway
Railroad (CN, UPRR, BNSF, etc.)
Foreign Pipeline
MWRD</t>
        </r>
      </text>
    </comment>
    <comment ref="AH2" authorId="0" shapeId="0" xr:uid="{CAD23BB8-FA2C-4D1B-A84F-8FE63F350CA7}">
      <text>
        <r>
          <rPr>
            <sz val="11"/>
            <color theme="1"/>
            <rFont val="Calibri"/>
            <family val="2"/>
            <scheme val="minor"/>
          </rPr>
          <t>Michaels, Nick:
Enter if a bore analysis is needed or not. A bore analysis will be needed for any projects that will display a bore profile in the design set.
N=not needed
Y=needed, but not done yet
XX/XX/XXXX = date analysis completed</t>
        </r>
      </text>
    </comment>
    <comment ref="AL2" authorId="2" shapeId="0" xr:uid="{B4236874-463D-44F0-BA6E-6870537CE051}">
      <text>
        <r>
          <rPr>
            <b/>
            <sz val="9"/>
            <color indexed="81"/>
            <rFont val="Tahoma"/>
            <family val="2"/>
          </rPr>
          <t>IS Department:</t>
        </r>
        <r>
          <rPr>
            <sz val="9"/>
            <color indexed="81"/>
            <rFont val="Tahoma"/>
            <family val="2"/>
          </rPr>
          <t xml:space="preserve">
Fill this out after checking for adjacent work. If there is none, put "N". If there is adjacent work, add in the project number of the overlapping/nearby project.</t>
        </r>
      </text>
    </comment>
    <comment ref="AN2" authorId="1" shapeId="0" xr:uid="{B95A59BA-7D9F-472D-83F1-65CC21AEBC50}">
      <text>
        <r>
          <rPr>
            <b/>
            <sz val="9"/>
            <color indexed="81"/>
            <rFont val="Tahoma"/>
            <family val="2"/>
          </rPr>
          <t>Whitson, Bryan:</t>
        </r>
        <r>
          <rPr>
            <sz val="9"/>
            <color indexed="81"/>
            <rFont val="Tahoma"/>
            <family val="2"/>
          </rPr>
          <t xml:space="preserve">
Put Y if crossing your project. If not crossing our main, put N. If Y, please pull in a partner to review - could require a survey and could set critical path. May need to get a survey. Will need to coordinate with foreign pipeline owner</t>
        </r>
      </text>
    </comment>
    <comment ref="N3" authorId="3" shapeId="0" xr:uid="{96BFFDAC-185C-4A44-B414-FE75EF5D5DCF}">
      <text>
        <t>[Threaded comment]
Your version of Excel allows you to read this threaded comment; however, any edits to it will get removed if the file is opened in a newer version of Excel. Learn more: https://go.microsoft.com/fwlink/?linkid=870924
Comment:
    @McTigue, Thomas - could you help get this filled out while @Corbi, Camille  is out today?</t>
      </text>
    </comment>
    <comment ref="J6" authorId="4" shapeId="0" xr:uid="{08AA3F73-7A5F-483E-B48C-FAB11DCF03A5}">
      <text>
        <t>[Threaded comment]
Your version of Excel allows you to read this threaded comment; however, any edits to it will get removed if the file is opened in a newer version of Excel. Learn more: https://go.microsoft.com/fwlink/?linkid=870924
Comment:
    SENT FOR INTERNAL REVIEW 8/19
Reply:
    sent to Nicor 8/25</t>
      </text>
    </comment>
    <comment ref="K8" authorId="5" shapeId="0" xr:uid="{751A9DC3-E9C1-410C-B2B8-3AAD55E25B1C}">
      <text>
        <t>[Threaded comment]
Your version of Excel allows you to read this threaded comment; however, any edits to it will get removed if the file is opened in a newer version of Excel. Learn more: https://go.microsoft.com/fwlink/?linkid=870924
Comment:
    @McTigue, Thomas Can you F/U today if we haven’t received?</t>
      </text>
    </comment>
    <comment ref="AC8" authorId="6" shapeId="0" xr:uid="{70702E1E-4789-4F69-8558-173B329AF5B1}">
      <text>
        <t>[Threaded comment]
Your version of Excel allows you to read this threaded comment; however, any edits to it will get removed if the file is opened in a newer version of Excel. Learn more: https://go.microsoft.com/fwlink/?linkid=870924
Comment:
    Date extension once survey is routed and approved</t>
      </text>
    </comment>
    <comment ref="H9" authorId="7" shapeId="0" xr:uid="{2A307044-BCD8-4BFD-94DE-B5C758AD6806}">
      <text>
        <t>[Threaded comment]
Your version of Excel allows you to read this threaded comment; however, any edits to it will get removed if the file is opened in a newer version of Excel. Learn more: https://go.microsoft.com/fwlink/?linkid=870924
Comment:
    @McTigue, Thomas - did we send out the IR yet? Can we change this to Phase 1 ASAP?</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IS Department</author>
    <author>Chamernik, Conner</author>
    <author>Betland, Joseph</author>
    <author>Whitson, Bryan</author>
    <author>Dina, Eric</author>
    <author>tc={02BF6FC4-37F8-4B37-9C2F-F4A40FF297F7}</author>
    <author>tc={B1C482FD-F055-4036-883D-2B219008D6C3}</author>
    <author>tc={8AF0CA5F-6DB0-46B8-BBE3-821CC24C9142}</author>
    <author>tc={8FF05115-27B9-47AF-A63A-AEE12FE6C5A3}</author>
    <author>tc={6C963064-3E7D-473A-A181-9C6986466226}</author>
    <author>tc={A4ED5344-76C9-49B7-8440-7BFE127F8554}</author>
    <author>tc={52D50CD0-61DD-49EC-BC22-B43F110A25C0}</author>
    <author>tc={166D4D87-E632-4505-897A-7A4C35AFB138}</author>
    <author>tc={2946B27B-218A-4FE6-A34C-0FCCA187F807}</author>
    <author>tc={82344792-8B8B-488C-924E-2F094EAE4CE5}</author>
    <author>tc={1BFA943E-FBF0-42A8-9BBE-AC83CF28C326}</author>
    <author>tc={2987BBDB-4862-40E5-8C87-B5C1276D0515}</author>
    <author>tc={CB738A4E-D53E-45F3-B843-644AF11A69F9}</author>
    <author>tc={D79F5545-A461-4D75-BDCD-77B244FBC193}</author>
    <author>tc={4CED3ECA-0E13-4E7D-8BA3-0039CE1DBED1}</author>
    <author>tc={CA443455-D561-4890-843A-F1A3364E0271}</author>
    <author>tc={954E7D57-EDE5-4556-B639-2AAB65337E67}</author>
    <author>tc={F0B52450-1F15-44C1-9B4D-572D24182E39}</author>
    <author>tc={E3026317-EB05-422A-BEED-08268279570B}</author>
    <author>tc={C94A47E1-7E6B-4609-A6E6-8239EA876B3C}</author>
    <author>tc={2E7FF39D-6176-4BF9-A659-7A6E6F065410}</author>
    <author>tc={1AEDE774-3060-4A7D-BAEF-EA1C0DB94182}</author>
    <author>tc={369A29E9-F4D8-44D9-8B11-3CA374AD2C78}</author>
    <author>tc={EDB2FA85-FBE7-46DB-999A-A04FBE12E580}</author>
    <author>tc={8D4155FA-BBB6-468C-A204-6B16DED1A8E8}</author>
    <author>tc={70C01959-0BA5-4EDD-A816-8857C01A27D3}</author>
    <author>tc={2A95859F-56F7-4194-94D3-FB166925CD0B}</author>
  </authors>
  <commentList>
    <comment ref="T1" authorId="0" shapeId="0" xr:uid="{20EC08C8-055E-4637-BC0F-408C41B675F3}">
      <text>
        <r>
          <rPr>
            <b/>
            <sz val="9"/>
            <color indexed="81"/>
            <rFont val="Tahoma"/>
            <family val="2"/>
          </rPr>
          <t>Project lead to keep schedule updated in conjunction with workload.</t>
        </r>
      </text>
    </comment>
    <comment ref="AW1" authorId="0" shapeId="0" xr:uid="{96C8DC87-D8A7-4B67-839A-79BAEB89A245}">
      <text>
        <r>
          <rPr>
            <b/>
            <sz val="9"/>
            <color indexed="81"/>
            <rFont val="Tahoma"/>
            <family val="2"/>
          </rPr>
          <t>Project lead to fill based on SP/DIMP review. Options:
-Sent (XX/XX)
-Y (XX/XX)</t>
        </r>
      </text>
    </comment>
    <comment ref="AY1" authorId="0" shapeId="0" xr:uid="{9482FEB7-6588-4B54-AB7C-7CFF8397ECEB}">
      <text>
        <r>
          <rPr>
            <b/>
            <sz val="9"/>
            <color indexed="81"/>
            <rFont val="Tahoma"/>
            <family val="2"/>
          </rPr>
          <t>Project lead to fill based on required 3rd party work.</t>
        </r>
      </text>
    </comment>
    <comment ref="A2" authorId="0" shapeId="0" xr:uid="{8E35C079-A65D-4BDB-8BFE-94EBB6A4E0A6}">
      <text>
        <r>
          <rPr>
            <b/>
            <sz val="9"/>
            <color indexed="81"/>
            <rFont val="Tahoma"/>
            <family val="2"/>
          </rPr>
          <t>Taken from EDSR Form. If anticipated Nicor relocation construction year changes, update EDSR and this column.</t>
        </r>
        <r>
          <rPr>
            <sz val="9"/>
            <color indexed="81"/>
            <rFont val="Tahoma"/>
            <family val="2"/>
          </rPr>
          <t xml:space="preserve">
</t>
        </r>
      </text>
    </comment>
    <comment ref="B2" authorId="0" shapeId="0" xr:uid="{0767C410-6B37-4050-8B24-48207E3C74F8}">
      <text>
        <r>
          <rPr>
            <b/>
            <sz val="9"/>
            <color indexed="81"/>
            <rFont val="Tahoma"/>
            <family val="2"/>
          </rPr>
          <t>Taken from EDSR Form.</t>
        </r>
        <r>
          <rPr>
            <sz val="9"/>
            <color indexed="81"/>
            <rFont val="Tahoma"/>
            <family val="2"/>
          </rPr>
          <t xml:space="preserve">
</t>
        </r>
      </text>
    </comment>
    <comment ref="C2" authorId="0" shapeId="0" xr:uid="{A887ED1C-87F1-4E58-9F47-C40D73F794AB}">
      <text>
        <r>
          <rPr>
            <b/>
            <sz val="9"/>
            <color indexed="81"/>
            <rFont val="Tahoma"/>
            <family val="2"/>
          </rPr>
          <t>Taken from EDSR Form.</t>
        </r>
        <r>
          <rPr>
            <sz val="9"/>
            <color indexed="81"/>
            <rFont val="Tahoma"/>
            <family val="2"/>
          </rPr>
          <t xml:space="preserve">
</t>
        </r>
      </text>
    </comment>
    <comment ref="D2" authorId="0" shapeId="0" xr:uid="{A713179F-9B9A-4B54-AFC5-A3D954713C23}">
      <text>
        <r>
          <rPr>
            <b/>
            <sz val="9"/>
            <color indexed="81"/>
            <rFont val="Tahoma"/>
            <family val="2"/>
          </rPr>
          <t>To be created by project lead once project is confirmed to require relocation, requires a reimbursable estimate to be created, or requires 3rd party work that requires a PID.</t>
        </r>
      </text>
    </comment>
    <comment ref="E2" authorId="0" shapeId="0" xr:uid="{49690D28-5521-44AD-8BA8-6F637F1CDA57}">
      <text>
        <r>
          <rPr>
            <b/>
            <sz val="9"/>
            <color indexed="81"/>
            <rFont val="Tahoma"/>
            <family val="2"/>
          </rPr>
          <t>Taken from EDSR Form.</t>
        </r>
      </text>
    </comment>
    <comment ref="F2" authorId="0" shapeId="0" xr:uid="{5680A9BA-06FF-46B0-9B01-A95F17DDF070}">
      <text>
        <r>
          <rPr>
            <sz val="11"/>
            <color theme="1"/>
            <rFont val="Calibri"/>
            <family val="2"/>
            <scheme val="minor"/>
          </rPr>
          <t xml:space="preserve">Taken from EDSR Form.
</t>
        </r>
      </text>
    </comment>
    <comment ref="G2" authorId="0" shapeId="0" xr:uid="{D18E0036-2F16-457A-99A2-772F147459D0}">
      <text>
        <r>
          <rPr>
            <b/>
            <sz val="9"/>
            <color indexed="81"/>
            <rFont val="Tahoma"/>
            <family val="2"/>
          </rPr>
          <t>KH Project Lead Name.</t>
        </r>
        <r>
          <rPr>
            <sz val="9"/>
            <color indexed="81"/>
            <rFont val="Tahoma"/>
            <family val="2"/>
          </rPr>
          <t xml:space="preserve">
</t>
        </r>
      </text>
    </comment>
    <comment ref="H2" authorId="0" shapeId="0" xr:uid="{648681C3-A3E5-42F3-8DC2-7D2698748399}">
      <text>
        <r>
          <rPr>
            <sz val="11"/>
            <color theme="1"/>
            <rFont val="Calibri"/>
            <family val="2"/>
            <scheme val="minor"/>
          </rPr>
          <t xml:space="preserve">To be updated by project lead. EDSR to be updated to match.
Options:
-Initial Investigation
-Detailed Analysis (DOT)
-Phase 1
-Phase 2 
-Region Review
-Completed
-Negotiated Out Of
-No Conflict
</t>
        </r>
      </text>
    </comment>
    <comment ref="I2" authorId="0" shapeId="0" xr:uid="{73CADC5F-6134-4B3A-BD69-410A992B499E}">
      <text>
        <r>
          <rPr>
            <b/>
            <sz val="9"/>
            <color indexed="81"/>
            <rFont val="Tahoma"/>
            <family val="2"/>
          </rPr>
          <t>Taken from EDSR Form.</t>
        </r>
      </text>
    </comment>
    <comment ref="J2" authorId="0" shapeId="0" xr:uid="{EE125E9B-3AEB-4DA3-9B94-F2AA42BE0388}">
      <text>
        <r>
          <rPr>
            <sz val="11"/>
            <color theme="1"/>
            <rFont val="Calibri"/>
            <family val="2"/>
            <scheme val="minor"/>
          </rPr>
          <t xml:space="preserve">Taken from EDSR Form. Project lead to update if date change requested.
-Bold italics means a date extension is pending approval.
-Red text means a date extension will be required.
-Red bold italics means a date extension is pending approval and another date extension will be required.
</t>
        </r>
      </text>
    </comment>
    <comment ref="K2" authorId="1" shapeId="0" xr:uid="{093EB537-959B-4648-95A3-2566320698CC}">
      <text>
        <r>
          <rPr>
            <sz val="11"/>
            <color theme="1"/>
            <rFont val="Calibri"/>
            <family val="2"/>
            <scheme val="minor"/>
          </rPr>
          <t xml:space="preserve">Project lead to keep updated. Full guidance on OneNote page: “Project Status Spreadsheet – Action Items &amp; Design Statuses”
Common entries:
-KH to issue initial investigation documents and contact DOT.
-UCM anticipated to be provided to DOT by M/D.
-KH obtaining locates, anticipated M/D.
-Nicor to provide locates, anticipated M/D.
-Pending response from DOT on UCM provided on M/D.
-Pending Pre-Final plans from DOT; anticipated M/D or SEASON YEAR.
-KH progressing WO drawings. (THIS IS PHASE 1)
-KH finalizing WO drawings. (THIS IS PHASE 2) 
-Region Review due EOD M/D. Pending responses from NICOR DEPARTMENTS.
-KH finalizing WO drawings for release. (THIS IS AFTER REGION REVIEW IS RETURNED TO US)
</t>
        </r>
      </text>
    </comment>
    <comment ref="L2" authorId="2" shapeId="0" xr:uid="{CB9BC9B8-80AC-4037-A1DF-F58470D40057}">
      <text>
        <r>
          <rPr>
            <sz val="11"/>
            <color theme="1"/>
            <rFont val="Calibri"/>
            <family val="2"/>
            <scheme val="minor"/>
          </rPr>
          <t xml:space="preserve">Before scoping: “XX' of X" main in potential conflict with proposed X improvements."
After scoping: "XX' of X" main being relocated due to conflicts with proposed X improvements."
Location: (LIST INTERSECTION)
</t>
        </r>
      </text>
    </comment>
    <comment ref="M2" authorId="0" shapeId="0" xr:uid="{99AFFA10-091A-4772-A352-4AAC0ED71D0F}">
      <text>
        <r>
          <rPr>
            <b/>
            <sz val="9"/>
            <color indexed="81"/>
            <rFont val="Tahoma"/>
            <family val="2"/>
          </rPr>
          <t>Taken from EDSR Form.</t>
        </r>
      </text>
    </comment>
    <comment ref="N2" authorId="3" shapeId="0" xr:uid="{36E14A33-18AD-4E60-B76E-EB1C1899C316}">
      <text>
        <r>
          <rPr>
            <sz val="11"/>
            <color theme="1"/>
            <rFont val="Calibri"/>
            <family val="2"/>
            <scheme val="minor"/>
          </rPr>
          <t>Is IDOT permit required? Y/N</t>
        </r>
      </text>
    </comment>
    <comment ref="O2" authorId="3" shapeId="0" xr:uid="{B122D81E-BF4E-4B69-B63C-81EA8768EB7F}">
      <text>
        <r>
          <rPr>
            <sz val="9"/>
            <color indexed="81"/>
            <rFont val="Tahoma"/>
            <family val="2"/>
          </rPr>
          <t>If county permit is needed, input name of county. If multiple county permits needed, list in alphabetical order &amp; separate with a comma.</t>
        </r>
      </text>
    </comment>
    <comment ref="P2" authorId="3" shapeId="0" xr:uid="{C2CEAE39-E99E-4F1A-91DA-25C7BA54DB40}">
      <text>
        <r>
          <rPr>
            <sz val="9"/>
            <color indexed="81"/>
            <rFont val="Tahoma"/>
            <family val="2"/>
          </rPr>
          <t>If municipal permit is needed, input name of municipal. If multiple municipal permits needed, list in alphabetical order &amp; separate with a comma.</t>
        </r>
      </text>
    </comment>
    <comment ref="Q2" authorId="3" shapeId="0" xr:uid="{07F45D2B-2CCE-4FB7-95B4-8B9DE79FB8D8}">
      <text>
        <r>
          <rPr>
            <sz val="9"/>
            <color indexed="81"/>
            <rFont val="Tahoma"/>
            <family val="2"/>
          </rPr>
          <t>If township permit is needed, input name of township. If multiple township permits needed, list in alphabetical order &amp; separate with a comma.</t>
        </r>
      </text>
    </comment>
    <comment ref="R2" authorId="3" shapeId="0" xr:uid="{60686859-2819-467B-8967-36B1922E4340}">
      <text>
        <r>
          <rPr>
            <sz val="9"/>
            <color indexed="81"/>
            <rFont val="Tahoma"/>
            <family val="2"/>
          </rPr>
          <t>Potential entries:
-Tollway
-Railroad (CN, UPRR, BNSF, etc.)
-Foreign Pipeline
-MWRD
If multiple entries needed, list in alphabetical order &amp; separate with a comma.</t>
        </r>
      </text>
    </comment>
    <comment ref="T2" authorId="4" shapeId="0" xr:uid="{49C0E4C9-21AA-451D-BA0A-DE0915ABD655}">
      <text>
        <r>
          <rPr>
            <sz val="9"/>
            <color indexed="81"/>
            <rFont val="Tahoma"/>
            <family val="2"/>
          </rPr>
          <t>Date when KH or KH subconsultant visits site (for locates, potholing, site walk, etc).</t>
        </r>
      </text>
    </comment>
    <comment ref="U2" authorId="2" shapeId="0" xr:uid="{0ECB9110-051D-4C85-9372-2FA6C3260B99}">
      <text>
        <r>
          <rPr>
            <sz val="11"/>
            <color theme="1"/>
            <rFont val="Calibri"/>
            <family val="2"/>
            <scheme val="minor"/>
          </rPr>
          <t xml:space="preserve">Column to track if DOT has been notified of our scope of relocation, as applicable.
-"MM/DD/YYYY" of date you notified the DOT, if DOT has been notified.
-"Pending Scope" if we are still defining relocation scope.
</t>
        </r>
      </text>
    </comment>
    <comment ref="V2" authorId="2" shapeId="0" xr:uid="{6A9BF940-18E1-4784-8114-B862B1E7CDA1}">
      <text>
        <r>
          <rPr>
            <sz val="11"/>
            <color theme="1"/>
            <rFont val="Calibri"/>
            <family val="2"/>
            <scheme val="minor"/>
          </rPr>
          <t xml:space="preserve">Column to track if all scoping docs and correspondence has been uploaded to SharePoint project folder. 
Please note that this should be UCM, UCM exhibit, Scoping Exhibit and correspondence, System Planning sizing, correspondence with all Nicor disciplines that affect or define scope, and any other pertinent docs.
-"Y" if docs have been uploaded
-"Pending Scope" if we are still waiting on scope to be defined.
</t>
        </r>
      </text>
    </comment>
    <comment ref="W2" authorId="2" shapeId="0" xr:uid="{FE645BF7-13F0-4F13-BAC2-93F3ACDA4D76}">
      <text>
        <r>
          <rPr>
            <sz val="11"/>
            <color theme="1"/>
            <rFont val="Calibri"/>
            <family val="2"/>
            <scheme val="minor"/>
          </rPr>
          <t xml:space="preserve">Column to track Running Line reviews with EOR.
-Add scheduled date of running line review.  Update if it changes.
-"Pending Scope" if scope is still being defined.
</t>
        </r>
      </text>
    </comment>
    <comment ref="X2" authorId="4" shapeId="0" xr:uid="{6C2456F5-7D35-41E0-BD51-B684CB3BD8AA}">
      <text>
        <r>
          <rPr>
            <sz val="11"/>
            <color theme="1"/>
            <rFont val="Calibri"/>
            <family val="2"/>
            <scheme val="minor"/>
          </rPr>
          <t xml:space="preserve">-For projects being sent to drafting add "Drafting (MM/DD/YY)" for when the project will be sent.
-For projects going to BL/D review add the date you anticipate sending to Shactee or other #rd party for review.
</t>
        </r>
      </text>
    </comment>
    <comment ref="Y2" authorId="4" shapeId="0" xr:uid="{30D4ECE4-5F9A-4258-A262-C2ECDAAC39F3}">
      <text>
        <r>
          <rPr>
            <sz val="11"/>
            <color theme="1"/>
            <rFont val="Calibri"/>
            <family val="2"/>
            <scheme val="minor"/>
          </rPr>
          <t xml:space="preserve">-For projects being sent to drafting add "Drafting (MM/DD/YY)" for when the project will be sent.
-For projects going to BL/D review add the date you anticipate sending to Shactee or other #rd party for review.
</t>
        </r>
      </text>
    </comment>
    <comment ref="Z2" authorId="4" shapeId="0" xr:uid="{FE54D75D-F875-44C7-A362-33665FDCDC19}">
      <text>
        <r>
          <rPr>
            <sz val="11"/>
            <color theme="1"/>
            <rFont val="Calibri"/>
            <family val="2"/>
            <scheme val="minor"/>
          </rPr>
          <t xml:space="preserve">-For projects being sent to drafting add "Drafting (MM/DD/YY)" for when the project will be sent.
-For projects going to BL/D review add the date you anticipate sending to Shactee or other #rd party for review.
</t>
        </r>
      </text>
    </comment>
    <comment ref="AA2" authorId="4" shapeId="0" xr:uid="{FD406A2C-CCE3-475C-A4B5-33191A99C499}">
      <text>
        <r>
          <rPr>
            <sz val="11"/>
            <color theme="1"/>
            <rFont val="Calibri"/>
            <family val="2"/>
            <scheme val="minor"/>
          </rPr>
          <t xml:space="preserve">-For projects being sent to drafting add "Drafting (MM/DD/YY)" for when the project will be sent.
-For projects going to BL/D review add the date you anticipate sending to Shactee or other #rd party for review.
</t>
        </r>
      </text>
    </comment>
    <comment ref="AB2" authorId="4" shapeId="0" xr:uid="{CC5A3841-B837-464B-A588-219C02A60611}">
      <text>
        <r>
          <rPr>
            <sz val="9"/>
            <color indexed="81"/>
            <rFont val="Tahoma"/>
            <family val="2"/>
          </rPr>
          <t xml:space="preserve">-“Y” - If RR crossing on relocation design.
-“N” – If no RR crossing on relocation design.
-“TBD” – If RR crossing undetermined.
</t>
        </r>
      </text>
    </comment>
    <comment ref="AC2" authorId="4" shapeId="0" xr:uid="{A64CC1B4-1ED7-4047-862C-419747B2DEA3}">
      <text>
        <r>
          <rPr>
            <sz val="9"/>
            <color indexed="81"/>
            <rFont val="Tahoma"/>
            <family val="2"/>
          </rPr>
          <t>Add scheduled date.  Update if it changes.</t>
        </r>
      </text>
    </comment>
    <comment ref="AD2" authorId="4" shapeId="0" xr:uid="{CA7C27D2-D57E-4344-BA4F-04F36874D636}">
      <text>
        <r>
          <rPr>
            <sz val="9"/>
            <color indexed="81"/>
            <rFont val="Tahoma"/>
            <family val="2"/>
          </rPr>
          <t>Add scheduled date.  Update if it changes.</t>
        </r>
      </text>
    </comment>
    <comment ref="AF2" authorId="4" shapeId="0" xr:uid="{BA93DE78-9DB8-4228-AB7A-5BF766301E1A}">
      <text>
        <r>
          <rPr>
            <sz val="9"/>
            <color indexed="81"/>
            <rFont val="Tahoma"/>
            <family val="2"/>
          </rPr>
          <t>Add scheduled date.  Update if it changes.</t>
        </r>
      </text>
    </comment>
    <comment ref="AG2" authorId="4" shapeId="0" xr:uid="{17281D62-B656-49D2-AE6E-2B13570E1112}">
      <text>
        <r>
          <rPr>
            <sz val="9"/>
            <color indexed="81"/>
            <rFont val="Tahoma"/>
            <family val="2"/>
          </rPr>
          <t xml:space="preserve">-“Y” - If MOP main relocation in design.
-“N” – If no MOP main relocation in design.
-“TBD” – If MOP main relocation undetermined.
</t>
        </r>
      </text>
    </comment>
    <comment ref="AH2" authorId="4" shapeId="0" xr:uid="{15795E05-AD60-4DF2-B5EA-AE0F0465FAF8}">
      <text>
        <r>
          <rPr>
            <sz val="9"/>
            <color indexed="81"/>
            <rFont val="Tahoma"/>
            <family val="2"/>
          </rPr>
          <t>-"Pending Scope" until relocation scope is defined.
-Enter date when workplan is created.</t>
        </r>
      </text>
    </comment>
    <comment ref="AI2" authorId="4" shapeId="0" xr:uid="{2D251FA8-23AF-4EA1-85D0-805E5F900E34}">
      <text>
        <r>
          <rPr>
            <sz val="9"/>
            <color indexed="81"/>
            <rFont val="Tahoma"/>
            <family val="2"/>
          </rPr>
          <t xml:space="preserve">-“TBD” until Phase 1
-Enter anticipated # of design sheets at Phase 1 and update as it changes.
</t>
        </r>
      </text>
    </comment>
    <comment ref="AJ2" authorId="4" shapeId="0" xr:uid="{15850550-FD32-495B-9A28-3A87ED692BBB}">
      <text>
        <r>
          <rPr>
            <sz val="9"/>
            <color indexed="81"/>
            <rFont val="Tahoma"/>
            <family val="2"/>
          </rPr>
          <t xml:space="preserve">Taken from EDSR Form.  Update if contact changes. Try to keep to 4 lines or less for organizational purposes.
Preferred format:
Name
Title – Company
Phone
Email
</t>
        </r>
      </text>
    </comment>
    <comment ref="AK2" authorId="4" shapeId="0" xr:uid="{6CBE547D-F04A-4C0C-849C-45500BF33DCB}">
      <text>
        <r>
          <rPr>
            <sz val="9"/>
            <color indexed="81"/>
            <rFont val="Tahoma"/>
            <family val="2"/>
          </rPr>
          <t>-“Y” if contact responds.
-“N” if we haven’t attempted to contact yet.
-“Sent M/D” if contacted without response.</t>
        </r>
      </text>
    </comment>
    <comment ref="AL2" authorId="4" shapeId="0" xr:uid="{C9D951DA-285F-40BA-BE7E-17FE6F60C145}">
      <text>
        <r>
          <rPr>
            <sz val="9"/>
            <color indexed="81"/>
            <rFont val="Tahoma"/>
            <family val="2"/>
          </rPr>
          <t xml:space="preserve">-Enter DOT’s project/contract number.
-“N/A” if no DOT project/contract number.
</t>
        </r>
      </text>
    </comment>
    <comment ref="AM2" authorId="4" shapeId="0" xr:uid="{45F00931-7E6E-4B04-81B8-E5A825961A6B}">
      <text>
        <r>
          <rPr>
            <sz val="9"/>
            <color indexed="81"/>
            <rFont val="Tahoma"/>
            <family val="2"/>
          </rPr>
          <t>Taken from EDSR Form.  Update with further coordination.  
Update EDSR “Scope For Work” field to match. Note the date updated and who it was updated by – use format from other projects to match.</t>
        </r>
      </text>
    </comment>
    <comment ref="AN2" authorId="4" shapeId="0" xr:uid="{2AC72C66-D351-4E75-91FA-0E63C2C02EC7}">
      <text>
        <r>
          <rPr>
            <sz val="9"/>
            <color indexed="81"/>
            <rFont val="Tahoma"/>
            <family val="2"/>
          </rPr>
          <t>Taken from EDSR Form.  Update with further coordination.  
Update EDSR “Scope For Work” field to match. Note the date updated and who it was updated by – use format from other projects to match.</t>
        </r>
      </text>
    </comment>
    <comment ref="AO2" authorId="4" shapeId="0" xr:uid="{F8676988-852C-4B43-891C-AD38E3DF2913}">
      <text>
        <r>
          <rPr>
            <sz val="9"/>
            <color indexed="81"/>
            <rFont val="Tahoma"/>
            <family val="2"/>
          </rPr>
          <t xml:space="preserve">Taken from EDSR Form.  Update with further coordination. </t>
        </r>
      </text>
    </comment>
    <comment ref="AP2" authorId="4" shapeId="0" xr:uid="{4862A7A2-5618-4415-9282-AD6744150A1F}">
      <text>
        <r>
          <rPr>
            <sz val="9"/>
            <color indexed="81"/>
            <rFont val="Tahoma"/>
            <family val="2"/>
          </rPr>
          <t>Y/N</t>
        </r>
      </text>
    </comment>
    <comment ref="AQ2" authorId="0" shapeId="0" xr:uid="{07B41EF1-24A8-4E50-8187-36032A9CCD03}">
      <text>
        <r>
          <rPr>
            <sz val="9"/>
            <color indexed="81"/>
            <rFont val="Tahoma"/>
            <family val="2"/>
          </rPr>
          <t xml:space="preserve">Project lead to include any pertinent notes relating to DOT coordination here. 
Examples may be:
-Scope/schedule comments that may not be as simple as capturing in our other cells. 
-Specific notes from the DOT regarding adjusting or not adjusting around our improvements.
-Note if project may be split up into multiple phases
-Note if project is anticipated to have the schedule pushed
-Note what the construction phasing (i.e. starting on the west side or the east side, beginning with storm sewer and water main, resurfacing will take place the following year, etc.)
-Leave blank if nothing notable. </t>
        </r>
        <r>
          <rPr>
            <b/>
            <sz val="9"/>
            <color indexed="81"/>
            <rFont val="Tahoma"/>
            <family val="2"/>
          </rPr>
          <t xml:space="preserve">
</t>
        </r>
        <r>
          <rPr>
            <sz val="9"/>
            <color indexed="81"/>
            <rFont val="Tahoma"/>
            <family val="2"/>
          </rPr>
          <t xml:space="preserve">
</t>
        </r>
      </text>
    </comment>
    <comment ref="AR2" authorId="4" shapeId="0" xr:uid="{58279B88-25B2-4217-8CBC-EA338B957B28}">
      <text>
        <r>
          <rPr>
            <sz val="9"/>
            <color indexed="81"/>
            <rFont val="Tahoma"/>
            <family val="2"/>
          </rPr>
          <t xml:space="preserve">Project lead to review NPMS for any foreign gas or liquids pipelines within project scope.
-If there is nothing within the scope: N
-If there is Nicor Transmission: NICOR TR
-If there is foreign pipeline: (Name of foreign pipeline)
-If there is both: NICOR TR/(Name of foreign pipeline)
-Change to “N” once it’s determined that pipeline is outside of scope.
</t>
        </r>
      </text>
    </comment>
    <comment ref="AS2" authorId="4" shapeId="0" xr:uid="{81563C86-4391-4F5F-AF66-C38E5B0D5B8D}">
      <text>
        <r>
          <rPr>
            <sz val="9"/>
            <color indexed="81"/>
            <rFont val="Tahoma"/>
            <family val="2"/>
          </rPr>
          <t xml:space="preserve">Add status of Real Estate Report.
-Sent (M/D)
-Y (M/D)
</t>
        </r>
      </text>
    </comment>
    <comment ref="AT2" authorId="0" shapeId="0" xr:uid="{ACF3A26D-7F2C-4896-AD03-76CCB4B16D4F}">
      <text>
        <r>
          <rPr>
            <sz val="9"/>
            <color indexed="81"/>
            <rFont val="Tahoma"/>
            <family val="2"/>
          </rPr>
          <t>Add status of Environmental Report.
-Sent (M/D)
-Y (M/D)</t>
        </r>
      </text>
    </comment>
    <comment ref="AU2" authorId="0" shapeId="0" xr:uid="{9086EDF2-5686-4CDB-9D5D-0370C3693B3A}">
      <text>
        <r>
          <rPr>
            <sz val="9"/>
            <color indexed="81"/>
            <rFont val="Tahoma"/>
            <family val="2"/>
          </rPr>
          <t>Project lead to fill based on Land Investigation and review with Engineering.
-“TBD” until we determine that there is reimbursable relocation scope.
-“Y” if reimbursable.
-“N” if non-reimbursable.</t>
        </r>
      </text>
    </comment>
    <comment ref="AV2" authorId="0" shapeId="0" xr:uid="{52CAD8D8-4B70-4364-A0B2-723C6DC5AC1B}">
      <text>
        <r>
          <rPr>
            <b/>
            <sz val="9"/>
            <color indexed="81"/>
            <rFont val="Tahoma"/>
            <family val="2"/>
          </rPr>
          <t>Add status of MOP Verification.
Options:
-Sent (XX/XX)
-Y (XX/XX)</t>
        </r>
        <r>
          <rPr>
            <sz val="9"/>
            <color indexed="81"/>
            <rFont val="Tahoma"/>
            <family val="2"/>
          </rPr>
          <t xml:space="preserve">
</t>
        </r>
        <r>
          <rPr>
            <b/>
            <sz val="9"/>
            <color indexed="81"/>
            <rFont val="Tahoma"/>
            <family val="2"/>
          </rPr>
          <t>-N/A</t>
        </r>
      </text>
    </comment>
    <comment ref="AW2" authorId="4" shapeId="0" xr:uid="{9A271B41-0C99-40F2-B4F8-91E0924ADA97}">
      <text>
        <r>
          <rPr>
            <sz val="9"/>
            <color indexed="81"/>
            <rFont val="Tahoma"/>
            <family val="2"/>
          </rPr>
          <t>N/A</t>
        </r>
      </text>
    </comment>
    <comment ref="AX2" authorId="4" shapeId="0" xr:uid="{1951AB25-7B1B-4E85-8D67-C3ACB24EFF43}">
      <text>
        <r>
          <rPr>
            <sz val="9"/>
            <color indexed="81"/>
            <rFont val="Tahoma"/>
            <family val="2"/>
          </rPr>
          <t xml:space="preserve">-"Pending Scope" if we are still defining relocation scope.
-"Sent (M/D)"
-"Y (M/D)”
</t>
        </r>
      </text>
    </comment>
    <comment ref="AY2" authorId="4" shapeId="0" xr:uid="{1845C043-E202-46DA-9F0C-8F9979053407}">
      <text>
        <r>
          <rPr>
            <sz val="9"/>
            <color indexed="81"/>
            <rFont val="Tahoma"/>
            <family val="2"/>
          </rPr>
          <t xml:space="preserve">-"TBD" if pending coordination.
-"N" if not required.
-If yes, list type of 3rd party work being completed .
</t>
        </r>
      </text>
    </comment>
    <comment ref="AZ2" authorId="4" shapeId="0" xr:uid="{5ED13F57-D14C-4FA6-9693-A5E3A3E3D5F6}">
      <text>
        <r>
          <rPr>
            <sz val="9"/>
            <color indexed="81"/>
            <rFont val="Tahoma"/>
            <family val="2"/>
          </rPr>
          <t>-"TBD" if pending coordination.
-"N" if not required.
-If yes, list subconsultant.</t>
        </r>
      </text>
    </comment>
    <comment ref="BA2" authorId="4" shapeId="0" xr:uid="{B5AC3D6C-3029-4B43-92B9-80C0054285E8}">
      <text>
        <r>
          <rPr>
            <sz val="9"/>
            <color indexed="81"/>
            <rFont val="Tahoma"/>
            <family val="2"/>
          </rPr>
          <t>Estimated “real” project cost at the time of release. Do not match in earned rev or PM app.</t>
        </r>
      </text>
    </comment>
    <comment ref="L5" authorId="5" shapeId="0" xr:uid="{02BF6FC4-37F8-4B37-9C2F-F4A40FF297F7}">
      <text>
        <t xml:space="preserve">[Threaded comment]
Your version of Excel allows you to read this threaded comment; however, any edits to it will get removed if the file is opened in a newer version of Excel. Learn more: https://go.microsoft.com/fwlink/?linkid=870924
Comment:
    @Corbi, Camille  since this is a big project, is there anything we can get started on that seems like an obvious relocation, or getting potholes, locates, looking into disconnects, re-routes, etc?
Reply:
    I can have someone put together a quick UCM exhibit with the locates we obtained and take a look into those early next week/end of this week
Reply:
    I think that makes sense - I wouldn't spend more than 30-60 min on it. Just want to see if there's some large areas of relo that we can/should potentially talk to Nicor about geting started on, or at least coordinating if it requires dual main, large pipe, system planning disconnects, etc. </t>
      </text>
    </comment>
    <comment ref="K6" authorId="6" shapeId="0" xr:uid="{B1C482FD-F055-4036-883D-2B219008D6C3}">
      <text>
        <t>[Threaded comment]
Your version of Excel allows you to read this threaded comment; however, any edits to it will get removed if the file is opened in a newer version of Excel. Learn more: https://go.microsoft.com/fwlink/?linkid=870924
Comment:
    @Corbi, Camille is there any DBE spend on this
Reply:
    no</t>
      </text>
    </comment>
    <comment ref="T6" authorId="7" shapeId="0" xr:uid="{8AF0CA5F-6DB0-46B8-BBE3-821CC24C9142}">
      <text>
        <t>[Threaded comment]
Your version of Excel allows you to read this threaded comment; however, any edits to it will get removed if the file is opened in a newer version of Excel. Learn more: https://go.microsoft.com/fwlink/?linkid=870924
Comment:
    @Corbi, Camille  if we got locates, please note the date</t>
      </text>
    </comment>
    <comment ref="AO6" authorId="8" shapeId="0" xr:uid="{8FF05115-27B9-47AF-A63A-AEE12FE6C5A3}">
      <text>
        <t xml:space="preserve">[Threaded comment]
Your version of Excel allows you to read this threaded comment; however, any edits to it will get removed if the file is opened in a newer version of Excel. Learn more: https://go.microsoft.com/fwlink/?linkid=870924
Comment:
    @Corbi, Camille </t>
      </text>
    </comment>
    <comment ref="J13" authorId="9" shapeId="0" xr:uid="{6C963064-3E7D-473A-A181-9C6986466226}">
      <text>
        <t>[Threaded comment]
Your version of Excel allows you to read this threaded comment; however, any edits to it will get removed if the file is opened in a newer version of Excel. Learn more: https://go.microsoft.com/fwlink/?linkid=870924
Comment:
    @Ekstrom, Ethan  @Lierow, Taylor  @Dina, Eric  how are we feeling on this date if we’re only in Phase 1?
Reply:
    This status was incorrect.  Shactee is currently completing milestone 2 design.  The date looks good.</t>
      </text>
    </comment>
    <comment ref="X13" authorId="10" shapeId="0" xr:uid="{A4ED5344-76C9-49B7-8440-7BFE127F8554}">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@Ekstrom, Ethan are you planning to send this to shactee for drafting? if so update per the new guidance</t>
      </text>
    </comment>
    <comment ref="J14" authorId="11" shapeId="0" xr:uid="{52D50CD0-61DD-49EC-BC22-B43F110A25C0}">
      <text>
        <t>[Threaded comment]
Your version of Excel allows you to read this threaded comment; however, any edits to it will get removed if the file is opened in a newer version of Excel. Learn more: https://go.microsoft.com/fwlink/?linkid=870924
Comment:
    @Ekstrom, Ethan  @Lierow, Taylor  @Dina, Eric  how are we feeling on this date if we’re only in Phase 1?
Reply:
    This status was incorrect.  Shactee is currently completing milestone 2 design.  The date looks good.</t>
      </text>
    </comment>
    <comment ref="X14" authorId="12" shapeId="0" xr:uid="{166D4D87-E632-4505-897A-7A4C35AFB138}">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@Ekstrom, Ethan are you planning to send this to shactee for drafting? if so update per the new guidance</t>
      </text>
    </comment>
    <comment ref="J15" authorId="13" shapeId="0" xr:uid="{2946B27B-218A-4FE6-A34C-0FCCA187F807}">
      <text>
        <t>[Threaded comment]
Your version of Excel allows you to read this threaded comment; however, any edits to it will get removed if the file is opened in a newer version of Excel. Learn more: https://go.microsoft.com/fwlink/?linkid=870924
Comment:
    @LaPorte, Marissa  any update on this? We’ll likely need a date extension soon if not</t>
      </text>
    </comment>
    <comment ref="K15" authorId="14" shapeId="0" xr:uid="{82344792-8B8B-488C-924E-2F094EAE4CE5}">
      <text>
        <t>[Threaded comment]
Your version of Excel allows you to read this threaded comment; however, any edits to it will get removed if the file is opened in a newer version of Excel. Learn more: https://go.microsoft.com/fwlink/?linkid=870924
Comment:
    @LaPorte, Marissa  did we hear that they didn't accept the cost? Is Nicor continuing to coordinate with them and we're in a holding pattern? Let's make sure to try and push on what we can to see if we can get this closed out
Reply:
    Nicor is still trying to coordinate with the developer. Spoke with Alec on 1/21, he is looping in Josh to see what Nicor can do about the reimbursement. Once confirmed, he is going to let us know. I will follow up with Alec next week to see if replacement is required no matter what so we can move forward with survey. 
Reply:
    Marissa, still no progress on this?
Reply:
    @LaPorte, Marissa  please follow up</t>
      </text>
    </comment>
    <comment ref="T16" authorId="15" shapeId="0" xr:uid="{1BFA943E-FBF0-42A8-9BBE-AC83CF28C326}">
      <text>
        <t>[Threaded comment]
Your version of Excel allows you to read this threaded comment; however, any edits to it will get removed if the file is opened in a newer version of Excel. Learn more: https://go.microsoft.com/fwlink/?linkid=870924
Comment:
    @Stanley, Mark   if we got locates, please note the date</t>
      </text>
    </comment>
    <comment ref="X16" authorId="16" shapeId="0" xr:uid="{2987BBDB-4862-40E5-8C87-B5C1276D0515}">
      <text>
        <t xml:space="preserve">[Threaded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@Stanley, Mark reminder to fill this out once you get an idea of if this will go to shactee
Reply:
    This will go to Shactee if it becomes a project. </t>
      </text>
    </comment>
    <comment ref="AT17" authorId="17" shapeId="0" xr:uid="{CB738A4E-D53E-45F3-B843-644AF11A69F9}">
      <text>
        <t>[Threaded comment]
Your version of Excel allows you to read this threaded comment; however, any edits to it will get removed if the file is opened in a newer version of Excel. Learn more: https://go.microsoft.com/fwlink/?linkid=870924
Comment:
    @Hopkins, Matt  did we hear back?
Reply:
    no</t>
      </text>
    </comment>
    <comment ref="L18" authorId="18" shapeId="0" xr:uid="{D79F5545-A461-4D75-BDCD-77B244FBC193}">
      <text>
        <t>[Threaded comment]
Your version of Excel allows you to read this threaded comment; however, any edits to it will get removed if the file is opened in a newer version of Excel. Learn more: https://go.microsoft.com/fwlink/?linkid=870924
Comment:
    @Hopkins, Matt  did we consider getting potholes on the 20” main?</t>
      </text>
    </comment>
    <comment ref="AT18" authorId="19" shapeId="0" xr:uid="{4CED3ECA-0E13-4E7D-8BA3-0039CE1DBED1}">
      <text>
        <t>[Threaded comment]
Your version of Excel allows you to read this threaded comment; however, any edits to it will get removed if the file is opened in a newer version of Excel. Learn more: https://go.microsoft.com/fwlink/?linkid=870924
Comment:
    @Hopkins, Matt  did we hear back?
Reply:
    Nicor environmental requested for the tollway's environmental report before assigning to a consultant, waiting to hear back from the Tollway</t>
      </text>
    </comment>
    <comment ref="L19" authorId="20" shapeId="0" xr:uid="{CA443455-D561-4890-843A-F1A3364E0271}">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@Hopkins, Matt should the 20" TR be 150' or 1,500'?
Reply:
    150'.  Updated to be 150'</t>
      </text>
    </comment>
    <comment ref="J20" authorId="21" shapeId="0" xr:uid="{954E7D57-EDE5-4556-B639-2AAB65337E67}">
      <text>
        <t>[Threaded comment]
Your version of Excel allows you to read this threaded comment; however, any edits to it will get removed if the file is opened in a newer version of Excel. Learn more: https://go.microsoft.com/fwlink/?linkid=870924
Comment:
    @Hopkins, Matt  are we still pending design based on the potholes? Or are we relocating either way? If we are relocating either way I would delete the pothole comment, but if they come back and design changes we need a date extension
Reply:
    We are relocating either way, Nicor was comfortable proceeding without pothole confirmation.  I'll remove from the status.  
Reply:
    Do we need a date extension on this? Is the status completely updated? It looks like we are moving on the drawings but are still waiting on something from the developer
Reply:
    This WO will just be the cut &amp; caps, I think the 9/22 date is on track.
if the 6" STL needs to be relocated, then Kendra will open a -1 for this project and we will coordinate that relocation under a separate WO.</t>
      </text>
    </comment>
    <comment ref="L20" authorId="22" shapeId="0" xr:uid="{F0B52450-1F15-44C1-9B4D-572D24182E39}">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@Hopkins, Matt should the 20" TR be 150' or 1,500'?
Reply:
    150'.  Updated to be 150'</t>
      </text>
    </comment>
    <comment ref="L22" authorId="23" shapeId="0" xr:uid="{E3026317-EB05-422A-BEED-08268279570B}">
      <text>
        <t xml:space="preserve">[Threaded comment]
Your version of Excel allows you to read this threaded comment; however, any edits to it will get removed if the file is opened in a newer version of Excel. Learn more: https://go.microsoft.com/fwlink/?linkid=870924
Comment:
    @Castellon, Randy  did we get potholes on the 4” MOP main? If not, maybe worth discussing with nicor getting those at strategic locations?
Reply:
    Did not. I can bring it up to nicor.. ill add to the list of items to do
Reply:
    As of 8/19 - Alec confirmed to wait for pre-final plans as he believe it will msot likely be a relocation and doesnt want to obtain potholes. ill document this. </t>
      </text>
    </comment>
    <comment ref="K28" authorId="24" shapeId="0" xr:uid="{C94A47E1-7E6B-4609-A6E6-8239EA876B3C}">
      <text>
        <t>[Threaded comment]
Your version of Excel allows you to read this threaded comment; however, any edits to it will get removed if the file is opened in a newer version of Excel. Learn more: https://go.microsoft.com/fwlink/?linkid=870924
Comment:
    @Castellon, Randy  when was the last time we followed up on the first stage reg? 
Is the drainage update from IDOT holding us up from moving forward? If that’s going to change design we should definitely hit pause? @Dina, Eric 
Reply:
    From the comments IDOT provided, it was 4 sheets or so that had updated drainage. we hit pause in these areas, but will continue on the others. ill notify nicor still with the design changes soon but thats the update there
Reply:
    I would stay on top of that to verify that isn't changing. Their design changes on woodstock caused a revision of $120k and I want to actively avoid that
Reply:
    Are we still waiting on the first stage regulator feedback from nicor? If so, please follow up ASAP on that assuming it isn’t changing from IDOT’s design
Reply:
    we are still waiting on first stage feedback. it would not impact design, moreso a tie in method in one area. i followed up again though</t>
      </text>
    </comment>
    <comment ref="K32" authorId="25" shapeId="0" xr:uid="{2E7FF39D-6176-4BF9-A659-7A6E6F065410}">
      <text>
        <t>[Threaded comment]
Your version of Excel allows you to read this threaded comment; however, any edits to it will get removed if the file is opened in a newer version of Excel. Learn more: https://go.microsoft.com/fwlink/?linkid=870924
Comment:
    @Lierow, Taylor  @Ekstrom, Ethan we’ve had a couple of revisions lately  where CCDOTH required us to add their traffic signal plans, special provisions, etc. to our drawings, but didn’t tell us during permitting. Worth asking them that if we get into design. See N18056 and N18268
@Dina, Eric 
Reply:
    Sounds good, thanks for the heads up
Reply:
    when did we follow up on these plans, do we know when they're coming in? that date would be a little tight i imagine if we got those soon
Reply:
    Followed up on Tuesday, they haven't given a date yet but said the plans were submitted to CC for review. We can issue a date extension for this one if they don't send plans within 2 weeks. We will need to do a UCM too, so planning to issue an extension during that coordination as well. 
Reply:
    Let’s get this updated after the meeting today please
Reply:
    Have we followed up on both of these requests? Do we know if Nicor wants us to hold up RR for the Cook County review?
Reply:
    Ethan is following up today. Kendra confirmed on holding for the County's review and we discussed sending a realistic date extension to her once we receive comments back from CCDOTH
Reply:
    @Ekstrom, Ethan Can you add ", response anticipated X/X" based on Josel's PTO date
Reply:
    @Ekstrom, Ethan Can you update to note that we are waiting on plans?</t>
      </text>
    </comment>
    <comment ref="H33" authorId="26" shapeId="0" xr:uid="{1AEDE774-3060-4A7D-BAEF-EA1C0DB94182}">
      <text>
        <t>[Threaded comment]
Your version of Excel allows you to read this threaded comment; however, any edits to it will get removed if the file is opened in a newer version of Excel. Learn more: https://go.microsoft.com/fwlink/?linkid=870924
Comment:
    @Lierow, Taylor  @Molloy, Michael  did @Dina, Eric  and I ever get a work plan for this?
Reply:
    @Betland, Joseph We are still pending a large portion of scope from the UCM. I filled out as much as I could but wasn't going to send a workplan email until it was fully scoped out.
Reply:
    got it, thanks!</t>
      </text>
    </comment>
    <comment ref="K33" authorId="27" shapeId="0" xr:uid="{369A29E9-F4D8-44D9-8B11-3CA374AD2C78}">
      <text>
        <t>[Threaded comment]
Your version of Excel allows you to read this threaded comment; however, any edits to it will get removed if the file is opened in a newer version of Excel. Learn more: https://go.microsoft.com/fwlink/?linkid=870924
Comment:
    @Molloy, Michael  @Lierow, Taylor  might be worth discussing this one soon just so I’m aware of how it’s going. Do we need to have Chip/karey follow up with the DOT on this if it’s been almost a month?
Reply:
    We can discuss soon if you would like. We discussed a path forward with Eric on Friday and are going to run some vibration calculations this week to figure out where we need to put the gas main. Then going to schedule a meeting with Land once we have an idea of how far we need to be from the bridge</t>
      </text>
    </comment>
    <comment ref="L33" authorId="28" shapeId="0" xr:uid="{EDB2FA85-FBE7-46DB-999A-A04FBE12E580}">
      <text>
        <t>[Threaded comment]
Your version of Excel allows you to read this threaded comment; however, any edits to it will get removed if the file is opened in a newer version of Excel. Learn more: https://go.microsoft.com/fwlink/?linkid=870924
Comment:
    @Lierow, Taylor  @Molloy, Michael  seems like this could be a good candidate for potholes, survey, maybe geotech (railroad crossings or other?) Have we brought any of those up to Nicor?</t>
      </text>
    </comment>
    <comment ref="AH33" authorId="29" shapeId="0" xr:uid="{8D4155FA-BBB6-468C-A204-6B16DED1A8E8}">
      <text>
        <t>[Threaded comment]
Your version of Excel allows you to read this threaded comment; however, any edits to it will get removed if the file is opened in a newer version of Excel. Learn more: https://go.microsoft.com/fwlink/?linkid=870924
Comment:
    @Molloy, Michael Let's try and finalize this tomorrow since we have full scope nailed down</t>
      </text>
    </comment>
    <comment ref="AT33" authorId="30" shapeId="0" xr:uid="{70C01959-0BA5-4EDD-A816-8857C01A27D3}">
      <text>
        <t>[Threaded comment]
Your version of Excel allows you to read this threaded comment; however, any edits to it will get removed if the file is opened in a newer version of Excel. Learn more: https://go.microsoft.com/fwlink/?linkid=870924
Comment:
    @Lierow, Taylor  did we hear back?
Reply:
    Still waiting, assuming its far down in the queue since its not a rush</t>
      </text>
    </comment>
    <comment ref="AX33" authorId="31" shapeId="0" xr:uid="{2A95859F-56F7-4194-94D3-FB166925CD0B}">
      <text>
        <t>[Threaded comment]
Your version of Excel allows you to read this threaded comment; however, any edits to it will get removed if the file is opened in a newer version of Excel. Learn more: https://go.microsoft.com/fwlink/?linkid=870924
Comment:
    @Molloy, Michael Can you update this to the date sent?</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tc={7A1B7C39-9B6E-4C45-BAEF-00FBFB0387A1}</author>
    <author>tc={14074C30-1195-49EE-B5EA-B1B6D8C6A75C}</author>
    <author>Michaels, Nick</author>
    <author>Whitson, Bryan</author>
    <author>tc={4C326C5F-F26F-495D-AD57-18EA025352CE}</author>
    <author>tc={D65AB752-27B0-4BD4-8DCD-DCEE75EC2FDC}</author>
    <author>tc={7F5317D0-7BBF-47C0-B2BB-096999AC3542}</author>
    <author>tc={592903CF-80E9-461D-99E5-61CC8B817ED6}</author>
    <author>tc={E0D0EF7F-F941-4618-9D31-FD19EFCC7C43}</author>
    <author>tc={C49550F1-6407-415C-9AD2-651E76C97F2E}</author>
    <author>tc={32EC15BA-7597-447E-BAF8-B509391BDBAA}</author>
    <author>tc={CF719FDE-8143-437D-B7C2-46471F2A7DF8}</author>
    <author>tc={FE3DEE8D-C549-4EF4-B1F3-943C9893B7F9}</author>
    <author>tc={8536491F-B6A4-4796-9343-EC4F801DDDF5}</author>
    <author>tc={59CE767B-DE49-43CD-9DD7-F1F25BBBEF27}</author>
    <author>tc={CF0DB2B6-30DB-4EFE-9563-0F3E600F38DC}</author>
    <author>tc={0009715C-58BD-4481-9EFB-2398FC8ED64F}</author>
    <author>tc={0DAA7E3B-2DDA-4578-9B47-5AB53C128EE5}</author>
    <author>tc={566F2B3C-294C-4A12-94D8-D06C4C455586}</author>
    <author>tc={4EF814C6-D1F6-451B-812E-906A00240A43}</author>
    <author>tc={6C814E25-E8D0-4963-BBC2-C89991BB6F5D}</author>
    <author>tc={6CC0B0B9-5260-4127-8EA1-59A428356A54}</author>
    <author>tc={B9C7D903-07E9-416A-BDCD-66CA8ECED6D9}</author>
    <author>tc={E6379C6A-606F-4CAC-A7B7-60B60DFF179D}</author>
    <author>tc={02BB5545-7305-4F1B-ADC2-F6597248AC91}</author>
    <author>tc={CDCBD353-DDEA-4E83-A9F8-03B615E393EE}</author>
    <author>tc={E7118AA5-E9B6-4004-9561-3C9174B7CFED}</author>
    <author>tc={C320A968-E84F-4720-9699-1B853EDC9B5B}</author>
    <author>tc={E991FAA1-367A-4363-A5D2-48B83EA4A7FB}</author>
    <author>tc={C6092DB5-58E5-4DBE-B7A5-92154B61BE1C}</author>
    <author>tc={270DE46A-B350-447D-B3B2-5EDF0BF75810}</author>
    <author>tc={792DC7F2-2B8E-4325-A52A-98F4B8D8D76B}</author>
    <author>tc={9EA1FF4E-662C-436C-9087-C06CD8853640}</author>
    <author>tc={70E0AD89-97E6-4810-B4C6-235E3524BCC4}</author>
    <author>tc={725F14E4-EB11-44D6-9C59-4BE9FDC85216}</author>
    <author>tc={7A64B558-9A0A-48DB-A4D4-5388D7733FA8}</author>
    <author>tc={B3A2077E-3A4C-4C48-9DB7-6EB60A2CBE1B}</author>
    <author>tc={BCC2C789-B338-42FB-B332-496C0562E399}</author>
  </authors>
  <commentList>
    <comment ref="A1" authorId="0" shapeId="0" xr:uid="{7A1B7C39-9B6E-4C45-BAEF-00FBFB0387A1}">
      <text>
        <t>[Threaded comment]
Your version of Excel allows you to read this threaded comment; however, any edits to it will get removed if the file is opened in a newer version of Excel. Learn more: https://go.microsoft.com/fwlink/?linkid=870924
Comment:
    @Michaels, Nick  @Dina, Eric  @Purtell, Tim  @LaPorte, Marissa  please verify that sheet is updated and update date</t>
      </text>
    </comment>
    <comment ref="S1" authorId="1" shapeId="0" xr:uid="{14074C30-1195-49EE-B5EA-B1B6D8C6A75C}">
      <text>
        <t xml:space="preserve">[Threaded comment]
Your version of Excel allows you to read this threaded comment; however, any edits to it will get removed if the file is opened in a newer version of Excel. Learn more: https://go.microsoft.com/fwlink/?linkid=870924
Comment:
    @Rojas, Taylor  please update column S
Reply:
    @Betland, Joseph updated
Reply:
    @Rojas, Taylor there were a couple missed I think because the KH project number had a space so when using a formula it would not show up. I updated it. Let me know if you have any questions. </t>
      </text>
    </comment>
    <comment ref="J2" authorId="2" shapeId="0" xr:uid="{C705300A-1645-41DF-81C9-38898BE730BF}">
      <text>
        <r>
          <rPr>
            <b/>
            <sz val="9"/>
            <color indexed="81"/>
            <rFont val="Tahoma"/>
            <family val="2"/>
          </rPr>
          <t>Michaels, Nick:</t>
        </r>
        <r>
          <rPr>
            <sz val="9"/>
            <color indexed="81"/>
            <rFont val="Tahoma"/>
            <family val="2"/>
          </rPr>
          <t xml:space="preserve">
5-business days from date that revision was requests.
OR
The date we are currently tracking release of the revision. We should typically not have TBD in the column unless the revision is at a complete stop for something out of our control. Should always have a date that we are targeting for release.</t>
        </r>
      </text>
    </comment>
    <comment ref="L2" authorId="3" shapeId="0" xr:uid="{2D959EF6-B57C-43B5-BE7B-249627B98D2A}">
      <text>
        <r>
          <rPr>
            <b/>
            <sz val="9"/>
            <color indexed="81"/>
            <rFont val="Tahoma"/>
            <family val="2"/>
          </rPr>
          <t>Whitson, Bryan:</t>
        </r>
        <r>
          <rPr>
            <sz val="9"/>
            <color indexed="81"/>
            <rFont val="Tahoma"/>
            <family val="2"/>
          </rPr>
          <t xml:space="preserve">
should be in the format of "revision due to" and make sense to someone unfamiliar with request/project. Should be very similar to revision reason on the plans.</t>
        </r>
      </text>
    </comment>
    <comment ref="M2" authorId="3" shapeId="0" xr:uid="{2D4D252D-40C1-448C-8AB6-035B276BDDCB}">
      <text>
        <r>
          <rPr>
            <b/>
            <sz val="9"/>
            <color indexed="81"/>
            <rFont val="Tahoma"/>
            <family val="2"/>
          </rPr>
          <t>Whitson, Bryan:</t>
        </r>
        <r>
          <rPr>
            <sz val="9"/>
            <color indexed="81"/>
            <rFont val="Tahoma"/>
            <family val="2"/>
          </rPr>
          <t xml:space="preserve">
Steering Committee Rev Codes:
1 Engineering Design Revision
2 IDOT Permitting
3 County Permitting
4 Municipal Permitting
5 Scope Expansion/Scope Creep
6 Construction Revision (pre-release)
7 Field Dictated Change (post-release)
8 Land Services Revision (excluding easement)
9 Easement Related Revision
10 Environmental Revision
11 Other
12 Updated DOT Plans
</t>
        </r>
      </text>
    </comment>
    <comment ref="N2" authorId="3" shapeId="0" xr:uid="{0E03F40C-EACD-44E4-B876-ADF17C68E3DE}">
      <text>
        <r>
          <rPr>
            <b/>
            <sz val="9"/>
            <color indexed="81"/>
            <rFont val="Tahoma"/>
            <family val="2"/>
          </rPr>
          <t>Whitson, Bryan:</t>
        </r>
        <r>
          <rPr>
            <sz val="9"/>
            <color indexed="81"/>
            <rFont val="Tahoma"/>
            <family val="2"/>
          </rPr>
          <t xml:space="preserve">
Nicor requires us to turn around revisions in less than 7-days (5-business days). If that is not feasbile, please make the Program Lead aware and add a reason to the adjacent colmun.</t>
        </r>
      </text>
    </comment>
    <comment ref="O2" authorId="3" shapeId="0" xr:uid="{57378502-4108-4C29-AD64-0F20F4D40B1B}">
      <text>
        <r>
          <rPr>
            <b/>
            <sz val="9"/>
            <color indexed="81"/>
            <rFont val="Tahoma"/>
            <family val="2"/>
          </rPr>
          <t>Whitson, Bryan:</t>
        </r>
        <r>
          <rPr>
            <sz val="9"/>
            <color indexed="81"/>
            <rFont val="Tahoma"/>
            <family val="2"/>
          </rPr>
          <t xml:space="preserve">
This column is to provide reason we weren't able to turn around within 7-days. Please include all major reasons and be brief so we can concisely provide a response to Nicor if they ask.</t>
        </r>
      </text>
    </comment>
    <comment ref="R2" authorId="4" shapeId="0" xr:uid="{4C326C5F-F26F-495D-AD57-18EA025352CE}">
      <text>
        <t xml:space="preserve">[Threaded comment]
Your version of Excel allows you to read this threaded comment; however, any edits to it will get removed if the file is opened in a newer version of Excel. Learn more: https://go.microsoft.com/fwlink/?linkid=870924
Comment:
    @Castellon, Randy  @Dina, Eric  @Michaels, Nick  @Purtell, Tim  I added these two columns for our monthly writeups. I'm intending on having the PRoject Leads update both of these so that we can review/pull this information every month. </t>
      </text>
    </comment>
    <comment ref="S2" authorId="5" shapeId="0" xr:uid="{D65AB752-27B0-4BD4-8DCD-DCEE75EC2FDC}">
      <text>
        <t xml:space="preserve">[Threaded comment]
Your version of Excel allows you to read this threaded comment; however, any edits to it will get removed if the file is opened in a newer version of Excel. Learn more: https://go.microsoft.com/fwlink/?linkid=870924
Comment:
    @Bruce, Logan  @Rojas, Taylor  could I ask that ya’ll update this column for our tasks, twice a month when PM App and MM opens? And update the date at the top
Reply:
    Could you update the date at the top (row 1) so that I know when it’s been updated? Thanks!
Reply:
    Just a reminder to please help us update these today (or when PM App comes out) and then update the date at the top. Thanks!
Reply:
    updated
Reply:
    Thanks Logan - if you'd be able to pudate the date in cell S1 that would be great as well. i updated 
Reply:
    @Bruce, Logan  @Rojas, Taylor  were these numbers updated with the last PM App cycle? The date above implies it was updated just during last mid month
Reply:
    Updated. </t>
      </text>
    </comment>
    <comment ref="U2" authorId="6" shapeId="0" xr:uid="{7F5317D0-7BBF-47C0-B2BB-096999AC3542}">
      <text>
        <t xml:space="preserve">[Threaded comment]
Your version of Excel allows you to read this threaded comment; however, any edits to it will get removed if the file is opened in a newer version of Excel. Learn more: https://go.microsoft.com/fwlink/?linkid=870924
Comment:
    @Castellon, Randy  I colored cells red in this column that I’m confused about - I don’t think we reported these to Nicor yet? If so, when?
Reply:
    @Betland, Joseph I went through the effort reported and double checked what was reported and what wasnt. On the "Month Reported to Nicor" Tab, i made comments on each one if: 
1. when it was reported
2. If it needs to be on the next cycle
3. if at the date i reviewed it, its at 10k or below, it doesn't need to be reported. 
Let me know if you want to make updates to that. </t>
      </text>
    </comment>
    <comment ref="V2" authorId="7" shapeId="0" xr:uid="{592903CF-80E9-461D-99E5-61CC8B817ED6}">
      <text>
        <t>[Threaded comment]
Your version of Excel allows you to read this threaded comment; however, any edits to it will get removed if the file is opened in a newer version of Excel. Learn more: https://go.microsoft.com/fwlink/?linkid=870924
Comment:
    @Castellon, Randy  can you update this column to be the month that we communicated these tasks to Nicor (if we did)? And update column S to the amount that was communicated?
Reply:
    Can we make a note to make these consistent? Thinking either the date, TBD, and N/A probably make the most sense?</t>
      </text>
    </comment>
    <comment ref="K3" authorId="8" shapeId="0" xr:uid="{E0D0EF7F-F941-4618-9D31-FD19EFCC7C43}">
      <text>
        <t>[Threaded comment]
Your version of Excel allows you to read this threaded comment; however, any edits to it will get removed if the file is opened in a newer version of Excel. Learn more: https://go.microsoft.com/fwlink/?linkid=870924
Comment:
    @Roman, Madeline  is there any status update on this that we could update the action item? Any follow ups that we’ve had that we could note?
Reply:
    Nicor is coordinating curb and gutter comment with CCDOTH (sent 5/6, f/u 6/5). 
This one pending the same question as one from Camille's Elk Grove NBA, so we are waiting on an answer from Nicor communication with CCDOT still
Reply:
    @Roman, Madeline - can we please move on this project now that we have direction from chip?
Reply:
    Yes, I plan to schedule these out on someone next week</t>
      </text>
    </comment>
    <comment ref="R4" authorId="9" shapeId="0" xr:uid="{C49550F1-6407-415C-9AD2-651E76C97F2E}">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@LaPorte, Marissa update this to just the revision items</t>
      </text>
    </comment>
    <comment ref="T4" authorId="10" shapeId="0" xr:uid="{32EC15BA-7597-447E-BAF8-B509391BDBAA}">
      <text>
        <t xml:space="preserve">[Threaded comment]
Your version of Excel allows you to read this threaded comment; however, any edits to it will get removed if the file is opened in a newer version of Excel. Learn more: https://go.microsoft.com/fwlink/?linkid=870924
Comment:
    marking as N/A, looks to be tracking but same as workplan of 16,435
Reply:
    Will WALT TMP time from .842 task once new task number is open </t>
      </text>
    </comment>
    <comment ref="V4" authorId="11" shapeId="0" xr:uid="{CF719FDE-8143-437D-B7C2-46471F2A7DF8}">
      <text>
        <t>[Threaded comment]
Your version of Excel allows you to read this threaded comment; however, any edits to it will get removed if the file is opened in a newer version of Excel. Learn more: https://go.microsoft.com/fwlink/?linkid=870924
Comment:
    Duplicate, included on other COR1060</t>
      </text>
    </comment>
    <comment ref="K5" authorId="12" shapeId="0" xr:uid="{FE3DEE8D-C549-4EF4-B1F3-943C9893B7F9}">
      <text>
        <t>[Threaded comment]
Your version of Excel allows you to read this threaded comment; however, any edits to it will get removed if the file is opened in a newer version of Excel. Learn more: https://go.microsoft.com/fwlink/?linkid=870924
Comment:
    @LaPorte, Marissa  is this a custom MOT or like a separate traffic exhibit? If so we should split that into its own task. Shoot me an IM on this.
Reply:
    @LaPorte, Marissa  @Castellon, Randy  FYI, not going to report on this in my monthly email as this is getting split out into separate tasks. Once split out please verify that work plans are created and new writeups are done</t>
      </text>
    </comment>
    <comment ref="R5" authorId="13" shapeId="0" xr:uid="{8536491F-B6A4-4796-9343-EC4F801DDDF5}">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@LaPorte, Marissa Please create a wirteup for this project ASAP since the amount went from 4k to 16k
Reply:
    @LaPorte, Marissa  update this for just the MOT plan SOW</t>
      </text>
    </comment>
    <comment ref="S5" authorId="14" shapeId="0" xr:uid="{59CE767B-DE49-43CD-9DD7-F1F25BBBEF27}">
      <text>
        <t>[Threaded comment]
Your version of Excel allows you to read this threaded comment; however, any edits to it will get removed if the file is opened in a newer version of Excel. Learn more: https://go.microsoft.com/fwlink/?linkid=870924
Comment:
    Effort to be split between two tasks 
Reply:
    I see our work plan was at 7250 - is this effort going to be halved? How much effort is left to finish the task? We are behind on the work plan
Reply:
    @Betland, Joseph WALTing ~$5k of this task to the revision task above. Work plan of ~10k is based off of breakdown of effort we received from roadway.  
Reply:
    OK, can you send the work plan to myself or nick m for review?</t>
      </text>
    </comment>
    <comment ref="T5" authorId="15" shapeId="0" xr:uid="{CF0DB2B6-30DB-4EFE-9563-0F3E600F38DC}">
      <text>
        <t xml:space="preserve">[Threaded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@LaPorte, Marissa if you already created a workplan, please put anticipated amount in here. 
Reply:
    @LaPorte, Marissa Once we receive direction from Nicor to complete the TMP let's add this monthly write up and update the WP
Reply:
    @LaPorte, Marissa  I see we’ve gone over the work plan amount on this - is it almost released?
Reply:
    @Betland, Joseph roadway is finalizing MOT/TMP this week. Pending contact information from nicor and then can be released 
Reply:
    @LaPorte, Marissa please provide revised workplan ASAP. Workplan is underbudgeted for current effort shown. </t>
      </text>
    </comment>
    <comment ref="V6" authorId="16" shapeId="0" xr:uid="{0009715C-58BD-4481-9EFB-2398FC8ED64F}">
      <text>
        <t>[Threaded comment]
Your version of Excel allows you to read this threaded comment; however, any edits to it will get removed if the file is opened in a newer version of Excel. Learn more: https://go.microsoft.com/fwlink/?linkid=870924
Comment:
    As of 9/16, showing as N/A due to WP amount of $7080</t>
      </text>
    </comment>
    <comment ref="T7" authorId="17" shapeId="0" xr:uid="{0DAA7E3B-2DDA-4578-9B47-5AB53C128EE5}">
      <text>
        <t xml:space="preserve">[Threaded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@Stanley, Mark  @Michaels, Nick  we’ve gone over the work plan and it’s not released yet - did this change scope? What’s the reasoning here?
Reply:
    @Betland, Joseph We have been pending a response from Chip on one of the items that Elgin is asking for in their revision review. Once we have his confirmation on either showing the extended restoration area or not, we can get a final QC on this and get it released.
Reply:
    thanks for the update - let's just make sure that we are continuing to push to get this closed out, even if it feels like we're bothering nicor
Reply:
    Any update on this? Have we been following up, asking Karey to follow up, etc? Please let Taylor know what we’re waiting on prior to the next redline meeting so that we can bring this up as necessary
Reply:
    Pushed another update out. Also updated the language in the writeup and revision reason to clarify that they are asking for standard MOT details, not a custom traffic plan.
Reply:
    @Stanley, Mark looks like we are over our workplan. What do you anticipate the new workplan being? Do you think a revised workplan is needed? 
Reply:
    Updated. Still pending a response from Nicor on the restoration issue. </t>
      </text>
    </comment>
    <comment ref="O8" authorId="18" shapeId="0" xr:uid="{566F2B3C-294C-4A12-94D8-D06C4C455586}">
      <text>
        <t>[Threaded comment]
Your version of Excel allows you to read this threaded comment; however, any edits to it will get removed if the file is opened in a newer version of Excel. Learn more: https://go.microsoft.com/fwlink/?linkid=870924
Comment:
    @Lierow, Taylor - can we update?</t>
      </text>
    </comment>
    <comment ref="T8" authorId="19" shapeId="0" xr:uid="{4EF814C6-D1F6-451B-812E-906A00240A43}">
      <text>
        <t xml:space="preserve">[Threaded comment]
Your version of Excel allows you to read this threaded comment; however, any edits to it will get removed if the file is opened in a newer version of Excel. Learn more: https://go.microsoft.com/fwlink/?linkid=870924
Comment:
    @Lierow, Taylor  please provide work plan to @Michaels, Nick  when this is ready and enter here
Reply:
    I might be able to negotiate out of this and it is unclear what the scope will be until I get the plans. Do you still want me to make one using some assumptions?
Reply:
    probably fine to wait for the plans
Reply:
    as of 9/16, still pending plans. waiting for plans to prepare workplan. highlighting yellow for now. </t>
      </text>
    </comment>
    <comment ref="V8" authorId="20" shapeId="0" xr:uid="{6C814E25-E8D0-4963-BBC2-C89991BB6F5D}">
      <text>
        <t>[Threaded comment]
Your version of Excel allows you to read this threaded comment; however, any edits to it will get removed if the file is opened in a newer version of Excel. Learn more: https://go.microsoft.com/fwlink/?linkid=870924
Comment:
    as of 9/16, TBD until plans are provided</t>
      </text>
    </comment>
    <comment ref="V11" authorId="21" shapeId="0" xr:uid="{6CC0B0B9-5260-4127-8EA1-59A428356A54}">
      <text>
        <t>[Threaded comment]
Your version of Excel allows you to read this threaded comment; however, any edits to it will get removed if the file is opened in a newer version of Excel. Learn more: https://go.microsoft.com/fwlink/?linkid=870924
Comment:
    Randy to include in September writeup</t>
      </text>
    </comment>
    <comment ref="J13" authorId="22" shapeId="0" xr:uid="{B9C7D903-07E9-416A-BDCD-66CA8ECED6D9}">
      <text>
        <t>[Threaded comment]
Your version of Excel allows you to read this threaded comment; however, any edits to it will get removed if the file is opened in a newer version of Excel. Learn more: https://go.microsoft.com/fwlink/?linkid=870924
Comment:
    @Corbi, Camille - where does this stand with PC right now? Is this date feasible for having this completed?
Reply:
    pending the IPO for this...not sure if they will think a detour meeting is required. I will update more once we get that IPO back</t>
      </text>
    </comment>
    <comment ref="T13" authorId="23" shapeId="0" xr:uid="{E6379C6A-606F-4CAC-A7B7-60B60DFF179D}">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@Corbi, Camille is the workplan for the above vw50 account for this line? 
Reply:
    @Corbi, Camille as discussed, as of 8.26, the MOT plan is pending sub hours to get a cost estimate. once the sub provides these numbers, please generate a workplan for this project. 
Reply:
    no that is for the Rev 1 work. I will create a WO plan for this - just pending estimated man hours from the subconsultant helping up out on this one
Reply:
    Any update on this work plan?
Reply:
    Pelte Clark is still drafting the IPO i followed up yesterday</t>
      </text>
    </comment>
    <comment ref="V13" authorId="24" shapeId="0" xr:uid="{02BB5545-7305-4F1B-ADC2-F6597248AC91}">
      <text>
        <t>[Threaded comment]
Your version of Excel allows you to read this threaded comment; however, any edits to it will get removed if the file is opened in a newer version of Excel. Learn more: https://go.microsoft.com/fwlink/?linkid=870924
Comment:
    PENDING IPO Cost for MOT plan. Then will provide in October writeup</t>
      </text>
    </comment>
    <comment ref="U14" authorId="25" shapeId="0" xr:uid="{CDCBD353-DDEA-4E83-A9F8-03B615E393EE}">
      <text>
        <t>[Threaded comment]
Your version of Excel allows you to read this threaded comment; however, any edits to it will get removed if the file is opened in a newer version of Excel. Learn more: https://go.microsoft.com/fwlink/?linkid=870924
Comment:
    *Conservative and accounts for the situation where all design and conflicts need to be adjusted around Rivian’s updated round-about plans.</t>
      </text>
    </comment>
    <comment ref="K15" authorId="26" shapeId="0" xr:uid="{E7118AA5-E9B6-4004-9561-3C9174B7CFED}">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@Kulach, Caroline can you update this to reflect where we are on it?
Reply:
    updated</t>
      </text>
    </comment>
    <comment ref="V15" authorId="27" shapeId="0" xr:uid="{C320A968-E84F-4720-9699-1B853EDC9B5B}">
      <text>
        <t>[Threaded comment]
Your version of Excel allows you to read this threaded comment; however, any edits to it will get removed if the file is opened in a newer version of Excel. Learn more: https://go.microsoft.com/fwlink/?linkid=870924
Comment:
    As of 9/16, showing as N/A due to WP amount of $3568</t>
      </text>
    </comment>
    <comment ref="M16" authorId="28" shapeId="0" xr:uid="{E991FAA1-367A-4363-A5D2-48B83EA4A7FB}">
      <text>
        <t>[Threaded comment]
Your version of Excel allows you to read this threaded comment; however, any edits to it will get removed if the file is opened in a newer version of Excel. Learn more: https://go.microsoft.com/fwlink/?linkid=870924
Comment:
    @Michaels, Nick  @Corbi, Camille  wondering if this should be considered a 3A - wasn’t the change due to innacurate survey? We had a similar situation for SC19879</t>
      </text>
    </comment>
    <comment ref="Q17" authorId="29" shapeId="0" xr:uid="{C6092DB5-58E5-4DBE-B7A5-92154B61BE1C}">
      <text>
        <t>[Threaded comment]
Your version of Excel allows you to read this threaded comment; however, any edits to it will get removed if the file is opened in a newer version of Excel. Learn more: https://go.microsoft.com/fwlink/?linkid=870924
Comment:
    @LaPorte, Marissa Please update and fill out monthly write up
Reply:
    @LaPorte, Marissa  please complete these by EOD</t>
      </text>
    </comment>
    <comment ref="V17" authorId="30" shapeId="0" xr:uid="{270DE46A-B350-447D-B3B2-5EDF0BF75810}">
      <text>
        <t>[Threaded comment]
Your version of Excel allows you to read this threaded comment; however, any edits to it will get removed if the file is opened in a newer version of Excel. Learn more: https://go.microsoft.com/fwlink/?linkid=870924
Comment:
    As of 7/21, anticipated effort is at 8185. Updating to N/A
Reply:
    As of 9/16, showing as N/A due to WP amount of $8185</t>
      </text>
    </comment>
    <comment ref="J18" authorId="31" shapeId="0" xr:uid="{792DC7F2-2B8E-4325-A52A-98F4B8D8D76B}">
      <text>
        <t>[Threaded comment]
Your version of Excel allows you to read this threaded comment; however, any edits to it will get removed if the file is opened in a newer version of Excel. Learn more: https://go.microsoft.com/fwlink/?linkid=870924
Comment:
    @LaPorte, Marissa - is this done yet/do we anticipate any more effort? I thought I remember tim saying it was really close to being done prior to his NPL.
Reply:
    @Roman, Madeline - see Nick's question above 
Reply:
    There may be a few other comments from Nicor's end, but I don't anticipate any. We are mostly waiting for Nicor's approval for the 4" template. The 2" is done</t>
      </text>
    </comment>
    <comment ref="K18" authorId="32" shapeId="0" xr:uid="{9EA1FF4E-662C-436C-9087-C06CD8853640}">
      <text>
        <t>[Threaded comment]
Your version of Excel allows you to read this threaded comment; however, any edits to it will get removed if the file is opened in a newer version of Excel. Learn more: https://go.microsoft.com/fwlink/?linkid=870924
Comment:
    @Roman, Madeline  please make sure we follow up on this more than once a week if it’s holding up a revision 
Reply:
    This was coordinated with Tim prior to his leave. This is for the vault template task and is not a revision</t>
      </text>
    </comment>
    <comment ref="T18" authorId="33" shapeId="0" xr:uid="{70E0AD89-97E6-4810-B4C6-235E3524BCC4}">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@Roman, Madeline if you already created a workplan, please put anticipated amount in here. 
Reply:
    updated but numbers probably very off</t>
      </text>
    </comment>
    <comment ref="U18" authorId="34" shapeId="0" xr:uid="{725F14E4-EB11-44D6-9C59-4BE9FDC85216}">
      <text>
        <t xml:space="preserve">[Threaded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@Castellon, Randy  please check with Tim as I believe that this has been communicated to them more recently, with a more reaslistic number
Reply:
    @Purtell, Tim @LaPorte, Marissa  @Roman, Madeline  Has a more realistic number been communicated recently with Nicor regarding the vault template hourly cost? If so, can you forward the correspondence associated to me? 
Reply:
    we have already invoiced Nicor for 75K and have 20K remaining effort to invoice. I'm not sure any additional communication other than the invoices have been discussed. I would recommend including this in our monthly email with only "Estimated effort remaining" and have 20K. we don't want to necessarily show 95K on the write up.
@Betland, Joseph are you comfortable with that approach?
Reply:
    @Betland, Joseph looks like there was a revised workplan for this project. can you confirm, and could you let me know if we want to provide the updated value to Nicor? @Roman, Madeline </t>
      </text>
    </comment>
    <comment ref="T19" authorId="35" shapeId="0" xr:uid="{7A64B558-9A0A-48DB-A4D4-5388D7733FA8}">
      <text>
        <t xml:space="preserve">[Threaded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@Roman, Madeline Please provide a workplan for this project </t>
      </text>
    </comment>
    <comment ref="V19" authorId="36" shapeId="0" xr:uid="{B3A2077E-3A4C-4C48-9DB7-6EB60A2CBE1B}">
      <text>
        <t>[Threaded comment]
Your version of Excel allows you to read this threaded comment; however, any edits to it will get removed if the file is opened in a newer version of Excel. Learn more: https://go.microsoft.com/fwlink/?linkid=870924
Comment:
    As of 9/16, showing as N/A due to WP amount of $4888</t>
      </text>
    </comment>
    <comment ref="T21" authorId="37" shapeId="0" xr:uid="{BCC2C789-B338-42FB-B332-496C0562E399}">
      <text>
        <t>[Threaded comment]
Your version of Excel allows you to read this threaded comment; however, any edits to it will get removed if the file is opened in a newer version of Excel. Learn more: https://go.microsoft.com/fwlink/?linkid=870924
Comment:
    @McTigue, Thomas please create a WP for this project. 
Reply:
    Updated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Stanley, Mark</author>
    <author>tc={0195B00F-2D4B-4974-945B-BCC527DE5246}</author>
    <author>tc={A4B37AB2-4BB1-450F-9C44-EBBE897F8859}</author>
    <author>tc={2FB8AD47-5654-4157-8A91-C011518F0901}</author>
    <author>tc={299020AC-3104-4AC7-B916-EE58D9B6F4CC}</author>
    <author>tc={629A9DA6-9173-4343-A03E-A0C5617F0A0C}</author>
    <author>tc={5B90F75B-C874-4ADD-8CDC-0DD189368239}</author>
    <author>tc={E5F16163-3EDB-49AD-96B6-E87FCE0328BB}</author>
    <author>tc={A57E6F3D-AC4C-455A-A6F3-BFABB1E85821}</author>
    <author>tc={639FF06B-8FE5-4ADF-8281-4F31BD04A82C}</author>
    <author>tc={20CD9AE5-BF36-4124-9992-D3777EE84DC8}</author>
    <author>tc={D72088B0-EF71-411A-A0BB-A33D18199244}</author>
    <author>tc={A886732F-B9CC-4B70-B1CB-9A2BF3295D36}</author>
    <author>tc={6C088A1B-4880-43F0-9132-234F32E0D4D2}</author>
    <author>tc={308A5F87-7329-43E2-8E95-ABCB4079E799}</author>
    <author>tc={76A8EB0B-B8F9-4988-9CF5-887A7B23B0A6}</author>
    <author>tc={606A606F-5CEF-42D3-927A-92363790F055}</author>
  </authors>
  <commentList>
    <comment ref="A1" authorId="0" shapeId="0" xr:uid="{77DE25DC-D49C-4224-AEAC-1B944D83A28F}">
      <text>
        <r>
          <rPr>
            <sz val="11"/>
            <color theme="1"/>
            <rFont val="Calibri"/>
            <family val="2"/>
            <scheme val="minor"/>
          </rPr>
          <t>Stanley, Mark:
Not Released: Project hasn't been released yet.  
Pending PID: Project has been released to Nicor, however a PID has not yet been created by Engineering. 
PR Submitted: PID has already been created, and has been routed to the Supervising Engineer by KH. 
PO in progress: Nicor has advances the PR to a PO (purchase order). This can be confirmed by an email to your X2 account or through Maximo. 
ConOps To Order: Nicor has elected to have ConOps order the PO items. 
Completed: The purchase has been completed and items have been received. 
PR/PO Cancelled by Nicor: The PR/PO has been cancelled by Nicor. 
On Hold: Nicor has Requested project to be on Hold</t>
        </r>
      </text>
    </comment>
    <comment ref="B12" authorId="1" shapeId="0" xr:uid="{0195B00F-2D4B-4974-945B-BCC527DE5246}">
      <text>
        <t>[Threaded comment]
Your version of Excel allows you to read this threaded comment; however, any edits to it will get removed if the file is opened in a newer version of Excel. Learn more: https://go.microsoft.com/fwlink/?linkid=870924
Comment:
    Need to find PR/PO</t>
      </text>
    </comment>
    <comment ref="B26" authorId="2" shapeId="0" xr:uid="{A4B37AB2-4BB1-450F-9C44-EBBE897F8859}">
      <text>
        <t>[Threaded comment]
Your version of Excel allows you to read this threaded comment; however, any edits to it will get removed if the file is opened in a newer version of Excel. Learn more: https://go.microsoft.com/fwlink/?linkid=870924
Comment:
    Searching by PID yields no PR/PO records</t>
      </text>
    </comment>
    <comment ref="M92" authorId="3" shapeId="0" xr:uid="{2FB8AD47-5654-4157-8A91-C011518F0901}">
      <text>
        <t>[Threaded comment]
Your version of Excel allows you to read this threaded comment; however, any edits to it will get removed if the file is opened in a newer version of Excel. Learn more: https://go.microsoft.com/fwlink/?linkid=870924
Comment:
    @Dina, Eric  The PR has been submitted for this project, could you check if the project status is in the next stage - Permits approved? You can check this within PCTS. If permits have not been aproved yet, make a note to the right on the last checked date. 
Reply:
    Permits have not been approved yet.  I suspect that this project was completed without Nicor relocating their main.</t>
      </text>
    </comment>
    <comment ref="M274" authorId="4" shapeId="0" xr:uid="{299020AC-3104-4AC7-B916-EE58D9B6F4CC}">
      <text>
        <t xml:space="preserve">[Threaded comment]
Your version of Excel allows you to read this threaded comment; however, any edits to it will get removed if the file is opened in a newer version of Excel. Learn more: https://go.microsoft.com/fwlink/?linkid=870924
Comment:
    @Corbi, Camille Could you check on this project and see where we are at? I see PID is filled out, but this project is noted as region reivew. Whats the current status? If the PID has been created, has the PR been submitted? </t>
      </text>
    </comment>
    <comment ref="R275" authorId="5" shapeId="0" xr:uid="{629A9DA6-9173-4343-A03E-A0C5617F0A0C}">
      <text>
        <t>[Threaded comment]
Your version of Excel allows you to read this threaded comment; however, any edits to it will get removed if the file is opened in a newer version of Excel. Learn more: https://go.microsoft.com/fwlink/?linkid=870924
Comment:
    @Corbi, Camille fill out these items too
Reply:
    already completed</t>
      </text>
    </comment>
    <comment ref="M277" authorId="6" shapeId="0" xr:uid="{5B90F75B-C874-4ADD-8CDC-0DD189368239}">
      <text>
        <t xml:space="preserve">[Threaded comment]
Your version of Excel allows you to read this threaded comment; however, any edits to it will get removed if the file is opened in a newer version of Excel. Learn more: https://go.microsoft.com/fwlink/?linkid=870924
Comment:
    @Corbi, Camille  This project is noted as pending PID, and released to nicor, but the PID tab is filled out. Could you confirm the status of this project? Has the PR been submitted? </t>
      </text>
    </comment>
    <comment ref="M307" authorId="7" shapeId="0" xr:uid="{E5F16163-3EDB-49AD-96B6-E87FCE0328BB}">
      <text>
        <t xml:space="preserve">[Threaded comment]
Your version of Excel allows you to read this threaded comment; however, any edits to it will get removed if the file is opened in a newer version of Excel. Learn more: https://go.microsoft.com/fwlink/?linkid=870924
Comment:
    @Purtell, Tim  Could you check on this project and see where we are at? I see PID is filled out, but this project is noted as pending PID. Whats the current status? If the PID has been created, has the PR been submitted? </t>
      </text>
    </comment>
    <comment ref="M309" authorId="8" shapeId="0" xr:uid="{A57E6F3D-AC4C-455A-A6F3-BFABB1E85821}">
      <text>
        <t xml:space="preserve">[Threaded comment]
Your version of Excel allows you to read this threaded comment; however, any edits to it will get removed if the file is opened in a newer version of Excel. Learn more: https://go.microsoft.com/fwlink/?linkid=870924
Comment:
    @Purtell, Tim Could you check on this project and see where we are at? I see PID is filled out, but this project is noted as pending PID. Whats the current status? If the PID has been created, has the PR been submitted? </t>
      </text>
    </comment>
    <comment ref="M313" authorId="9" shapeId="0" xr:uid="{639FF06B-8FE5-4ADF-8281-4F31BD04A82C}">
      <text>
        <t xml:space="preserve">[Threaded comment]
Your version of Excel allows you to read this threaded comment; however, any edits to it will get removed if the file is opened in a newer version of Excel. Learn more: https://go.microsoft.com/fwlink/?linkid=870924
Comment:
    @Dina, Eric The PR has been submitted for this project, could you check if the project status is in the next stage - Permits approved? You can check this within PCTS.  If permits have not been aproved yet, make a note to the right on the last checked date. </t>
      </text>
    </comment>
    <comment ref="E317" authorId="10" shapeId="0" xr:uid="{20CD9AE5-BF36-4124-9992-D3777EE84DC8}">
      <text>
        <t>[Threaded comment]
Your version of Excel allows you to read this threaded comment; however, any edits to it will get removed if the file is opened in a newer version of Excel. Learn more: https://go.microsoft.com/fwlink/?linkid=870924
Comment:
    @Lierow, Taylor are we still pending the PID on this project? 
Reply:
    Yes</t>
      </text>
    </comment>
    <comment ref="G365" authorId="11" shapeId="0" xr:uid="{D72088B0-EF71-411A-A0BB-A33D18199244}">
      <text>
        <t xml:space="preserve">[Threaded comment]
Your version of Excel allows you to read this threaded comment; however, any edits to it will get removed if the file is opened in a newer version of Excel. Learn more: https://go.microsoft.com/fwlink/?linkid=870924
Comment:
    @Corbi, Camille are there requisition items that need to be added? please start the process of reaching out to the Nicor as necessary. 
Reply:
    @Corbi, Camille could you fill out the PO items and send out the email requesting PID? please copy me in the emial . </t>
      </text>
    </comment>
    <comment ref="G392" authorId="12" shapeId="0" xr:uid="{A886732F-B9CC-4B70-B1CB-9A2BF3295D36}">
      <text>
        <t>[Threaded comment]
Your version of Excel allows you to read this threaded comment; however, any edits to it will get removed if the file is opened in a newer version of Excel. Learn more: https://go.microsoft.com/fwlink/?linkid=870924
Comment:
    @Chamernik, Conner could you FWD or copy me on the email sent to Nicor requesting the PID for this project? 
Reply:
    ConOps said they had that the PO material at a warehouse, so no PID was created.
I'll still forward you the email.
Reply:
    Actually sorry - there was a revision that added a PO item. They never got back to me on it, but originally they did not create a PID b/c they had the material already.
Reply:
    @Chamernik, Conner so are they ordering it? sounds like we dont have to do the ordering correct?
Reply:
    The PO pipe is at NPL's warehouse so we're good on that front. As for the 8" elbow, I followed up on that again.</t>
      </text>
    </comment>
    <comment ref="M394" authorId="13" shapeId="0" xr:uid="{6C088A1B-4880-43F0-9132-234F32E0D4D2}">
      <text>
        <t>[Threaded comment]
Your version of Excel allows you to read this threaded comment; however, any edits to it will get removed if the file is opened in a newer version of Excel. Learn more: https://go.microsoft.com/fwlink/?linkid=870924
Comment:
    @Corbi, Camille  whats the status of this project? please look at other project status and update accordingly</t>
      </text>
    </comment>
    <comment ref="G399" authorId="14" shapeId="0" xr:uid="{308A5F87-7329-43E2-8E95-ABCB4079E799}">
      <text>
        <t>[Threaded comment]
Your version of Excel allows you to read this threaded comment; however, any edits to it will get removed if the file is opened in a newer version of Excel. Learn more: https://go.microsoft.com/fwlink/?linkid=870924
Comment:
    @Lierow, Taylor fill out peesh
Reply:
    @Lierow, Taylor getcho</t>
      </text>
    </comment>
    <comment ref="G400" authorId="15" shapeId="0" xr:uid="{76A8EB0B-B8F9-4988-9CF5-887A7B23B0A6}">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@Kulach, Caroline please fill out relevant PO items you are anticipating for this project. once released, be sure to send out the PID email and CC myself</t>
      </text>
    </comment>
    <comment ref="G401" authorId="16" shapeId="0" xr:uid="{606A606F-5CEF-42D3-927A-92363790F055}">
      <text>
        <t>[Threaded comment]
Your version of Excel allows you to read this threaded comment; however, any edits to it will get removed if the file is opened in a newer version of Excel. Learn more: https://go.microsoft.com/fwlink/?linkid=870924
Comment:
    @Lierow, Taylor  and @Molloy, Michael please fill out the atnticipated PO items and relevant information</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Whitson, Bryan</author>
    <author>IS Department</author>
    <author>Dina, Eric</author>
    <author>Michaels, Nick</author>
    <author>tc={472A325E-4DE8-4231-94E4-7EAA9454C039}</author>
    <author>tc={5F64E5A1-7B7A-40B8-A0E2-711512C574D3}</author>
    <author>tc={CA3291CC-50D1-473D-9710-C7B727662CDE}</author>
    <author>tc={3CA92E63-DE5A-4CBF-9F98-7C787E68E391}</author>
    <author>tc={C5B137B0-620D-45A8-982C-3BC110740B4A}</author>
    <author>tc={8BD9B6B1-95EB-4F38-BE20-103DFB46E183}</author>
    <author>tc={F8EC474E-FEFB-4CFD-A3BB-6A9B8E46020A}</author>
    <author>tc={E5326600-5131-4424-B7DE-BE8591515E81}</author>
    <author>tc={9A4E541C-22BF-48B4-94E0-35EB061F72F2}</author>
    <author>tc={D4EC9D48-C09F-41C1-B92B-031439826CDE}</author>
    <author>tc={34FD89A7-63B8-49EF-BA94-B888B3EB9B34}</author>
    <author>tc={37F02E77-B662-4057-AC9D-AEC2F165498E}</author>
    <author>tc={393CCA94-B7BA-40F3-8244-003E92302109}</author>
    <author>tc={13EC8AA0-F206-4AA6-8203-15A5FA3A6F10}</author>
    <author>tc={E744A060-E9A1-4E0B-8CE0-44EB3B58B6E7}</author>
    <author>tc={39A4A053-0D7D-46A8-9983-0379E00BF3C8}</author>
    <author>tc={A068E82C-42E7-4A1A-97BC-98D011FDA1F1}</author>
    <author>tc={F4AEC78C-364C-4E8F-A8F2-7DD7AE963556}</author>
    <author>tc={B576D34B-8236-41C1-8D57-6E2A17FEA859}</author>
    <author>tc={B6F67353-5C5F-42A0-ADB2-74B83E2AC896}</author>
    <author>tc={DB92390D-0FF4-4CDB-8CF7-7EA42FD49470}</author>
    <author>tc={60FA3772-DF44-444C-BAFC-70B6EAB5A03B}</author>
    <author>tc={20E121E1-D6A2-4CBF-8CB9-1D00868AF2FF}</author>
    <author>tc={8A392302-117E-4931-9533-0641FAC5B0D8}</author>
    <author>tc={3B2228D6-8C43-4BDA-8E91-00B727573241}</author>
    <author>tc={17221A7F-B45D-4000-B32A-E7A844D08102}</author>
    <author>tc={4D8159E7-545A-4D97-8CC6-95C1FA2E770A}</author>
    <author>tc={002499EF-5D32-42B4-B541-217861797A7C}</author>
    <author>tc={DAC2BD05-6371-4D10-873D-D74F549B2F22}</author>
    <author>tc={386BCC29-3FEF-4FB2-86F1-E76548A60F18}</author>
    <author>tc={86DCD511-C07A-457B-97B2-6EA56E72DAD4}</author>
    <author>tc={D3149550-C257-4C84-8120-DFD47165E014}</author>
    <author>tc={CF5B2381-B9AB-4E0F-8896-02F9361A6874}</author>
    <author>tc={037E5A0B-3AC9-4972-B460-19F4C389645D}</author>
    <author>tc={673408D5-32F2-49F1-BACC-0AA472E66D59}</author>
    <author>tc={6E5F6CBF-B8F9-4FF2-8164-1AD75EF42DE7}</author>
    <author>tc={4E09BEA2-6929-4572-A246-480353BAA590}</author>
    <author>tc={51EE4F4C-6FBE-470A-8873-0D65F0D10616}</author>
    <author>tc={E1AB9459-FFB1-4537-996D-F18194310676}</author>
    <author>tc={0B0DDBDF-7151-447A-8FD4-AA887E8BA280}</author>
    <author>tc={19EA2F7F-D18B-4227-A096-96A038BFD86E}</author>
    <author>tc={C6EFD76D-CDCC-4C93-B07B-B9DBE448369E}</author>
    <author>tc={E2F7E153-8B94-49A1-9543-4528ED3B61DF}</author>
    <author>tc={524B0F80-BF13-4F71-B2B3-F29612C83015}</author>
    <author>tc={0A78B21D-C209-4B5F-99C1-51B0678E4C87}</author>
    <author>tc={5117CB5D-685D-44D3-837C-84943BFF9A96}</author>
    <author>tc={CDA12B6E-BDDE-4A65-9D2B-6220CA89970E}</author>
    <author>tc={6937382E-52AE-41C1-9B03-A5CBBB81B28A}</author>
    <author>tc={AAFA3DBC-4E4E-4477-8C1E-0F776720A681}</author>
    <author>tc={1675432B-7C8D-465E-AC07-5E69EE5E9654}</author>
    <author>tc={70EDAF85-7348-4DBC-9C7B-7DF8A084E553}</author>
    <author>tc={B421A5D4-3C76-4C20-A505-578F2935F8FB}</author>
    <author>tc={514ACFC5-108E-4AA5-88AD-E56F289A1CBF}</author>
    <author>tc={5B3C5EBE-AD12-47C5-A12E-6F1BB9322693}</author>
    <author>tc={3E63A35F-A9D1-4749-AC53-E4219FEAF54E}</author>
    <author>tc={C125FC65-80DC-4C7A-8926-FF183F1FAD97}</author>
    <author>tc={6D79263C-D6D2-4957-9EC0-E52D9747B38C}</author>
    <author>tc={FF7E8FCC-A6AE-431E-A9A7-6E075FF3DF68}</author>
    <author>tc={5D1CFB9C-EFC8-4303-9885-49E59186B505}</author>
    <author>tc={DCB0FF39-854C-4CF5-8022-48E6C01D07CF}</author>
    <author>tc={4E2BB3B0-DD31-439B-8B13-02FC249872AC}</author>
    <author>tc={97456E6F-8D65-449F-8245-57C03618B828}</author>
    <author>tc={4A37E278-04F9-4056-AF70-FD358B4298C9}</author>
    <author>tc={4C70A033-6B22-4E73-852E-6BC87D0B68E3}</author>
    <author>tc={71B20A0C-7EEF-442D-87A8-213D362F712E}</author>
    <author>tc={871C5A9C-5487-461D-A5C7-D274735B98BE}</author>
    <author>tc={4ED4B113-6514-4FA6-87AC-E2067634A01E}</author>
    <author>tc={CD9DE999-BAB1-44A5-8118-989019118354}</author>
    <author>tc={7C9F007C-9B2D-4D9D-A42B-9C6943CBA6AF}</author>
    <author>tc={6D7B0462-7FBF-413F-8782-487A5B5C328D}</author>
    <author>tc={C5B04004-413C-435C-9A08-04188C18163E}</author>
    <author>tc={26348461-40C8-454E-976E-A9F884D65192}</author>
    <author>tc={4E485A7F-066B-4033-9150-28490BF5A2F7}</author>
    <author>tc={2E3ECB00-33F6-40A5-B440-AD03430BB259}</author>
    <author>tc={4370FE79-0994-4FDD-9BD1-ED39D4D91B2D}</author>
    <author>tc={366DD6FB-15A5-45BE-BF0A-CAA8A3175DFB}</author>
    <author>tc={CD60EA5D-7412-4DE0-8546-063D31D79EB1}</author>
    <author>tc={DC1A200E-0586-446C-B7BA-3DD4D2F188BE}</author>
    <author>tc={F47CCF3F-B1A9-46A2-A5D3-E2ED89DDD135}</author>
    <author>tc={9A98B17F-7426-41D4-882D-4FAD321F49DD}</author>
    <author>tc={4C2DBEC4-1F43-4324-B691-E91F3501337C}</author>
    <author>tc={5BDD7D6F-052B-43B8-8533-9CC2D39F451C}</author>
    <author>tc={EAAEB583-6911-471E-8454-C4CC13BAD8CD}</author>
    <author>tc={32ABA6A8-EB57-46BE-A901-F6D2D2B25D82}</author>
    <author>tc={2CDA44DF-1383-4E70-B073-ACC83A2236A8}</author>
    <author>tc={C8378B95-939A-4866-AF1F-289B6FFCFBC6}</author>
    <author>tc={01C82F02-DC3E-4F9B-9419-C43029382AAD}</author>
    <author>tc={88D67019-3C98-424E-969A-A93DA6A9018D}</author>
    <author>tc={813FA110-9C85-4443-9776-35CAFBFC3F30}</author>
    <author>tc={0A575EBF-E9DB-49ED-A094-CB456ABC59B2}</author>
    <author>tc={EEBE5938-2AE2-4B61-9630-8AC4E72B0A3D}</author>
    <author>tc={7243EAD2-0C77-46FF-A74B-7034A8E67632}</author>
    <author>tc={B49D8DB0-875E-4F88-B6EF-61C1ABC916B5}</author>
    <author>tc={1C3F997D-F730-4F0F-B6DF-B70B5971AAD0}</author>
    <author>tc={CB8B618D-8715-4CE1-BF46-15EDD6017366}</author>
    <author>tc={53908814-43A2-4302-AEBF-1A3CF4829B3D}</author>
    <author>tc={A2D96BD8-8006-4D80-9B93-DA7D84B1BD13}</author>
    <author>tc={BC252AC5-372F-4ABF-830D-560CDEA90407}</author>
    <author>tc={982B6AFC-DB58-4A9E-A085-3D5BD16E5BC4}</author>
    <author>tc={A3DC9674-2231-4CC6-B0FA-34F53B4148BA}</author>
    <author>tc={21AD14EE-A2EA-4616-B2A2-CFD4737370D6}</author>
    <author>tc={72316CF4-C75A-4BB7-8FEE-DC59D5ED8AFC}</author>
    <author>tc={3F58AA1F-D114-4BAA-B6CD-C2B057DCF245}</author>
    <author>tc={7A0A0A00-FE95-4921-9FCD-AFEE013008E6}</author>
    <author>tc={8438E070-6111-4C4B-A734-25D60EE49720}</author>
    <author>tc={67D9A772-C2B6-40C0-A531-1952CBB5E698}</author>
    <author>tc={3E9B7FD1-70B7-4AA4-8A49-D4B89F9E79B5}</author>
    <author>tc={70E70EA3-07CB-4F10-865D-D951ACB322A0}</author>
    <author>tc={8D436583-C3C8-477E-B399-22997D111A64}</author>
    <author>tc={073E789F-D437-4001-A698-FE6EDE0CA524}</author>
    <author>tc={E121105B-C3F5-4CF9-9899-2B0F3004CB73}</author>
    <author>tc={19EE0DD8-92A3-4ECF-AAD3-20A5E4303730}</author>
    <author>tc={B5259A27-5D56-48D8-A97D-5ABA8C628E3C}</author>
    <author>tc={D7BDCAB4-C000-4843-8D7C-3AE2718FB49B}</author>
    <author>tc={E74080F8-AF8A-4CFC-9CD2-391296A019AC}</author>
    <author>tc={8D61CDF5-4224-4022-AD5F-45F1BF0ACD0E}</author>
    <author>tc={B07780F5-B38D-43F9-AD8A-208D6E1AF95B}</author>
    <author>tc={8CA86324-EEB3-4B80-B930-3929BFE50A7A}</author>
    <author>tc={7A5FFF1D-2D54-4E83-8455-21CB26BA5924}</author>
    <author>tc={2062131B-A46A-48F5-A00F-C4E4588DC1A6}</author>
    <author>tc={7FC05BC6-9DA6-424C-A6D4-7DBC3409F7BC}</author>
    <author>tc={9AB0CB84-8A43-4862-A45F-1290D62F4168}</author>
    <author>tc={9F1D11F2-5800-4F7D-831D-B11B3AC35A64}</author>
    <author>tc={A94D189C-0455-4AE6-9B66-89DFC4AFB102}</author>
    <author>tc={7801DA75-0BA3-4451-A13F-31E91195BB1E}</author>
    <author>tc={5059A085-348B-4352-B5F8-C63041F0A284}</author>
    <author>tc={A09F6AFF-3A4D-4822-A4F7-5F06C34AB7B8}</author>
    <author>tc={4228BF0D-3380-4F59-AC50-B9A22812A928}</author>
    <author>tc={312705A8-41A2-4652-B79C-1B8781573647}</author>
    <author>tc={B33F4464-CA97-4C4E-BFE5-E769A21A76E9}</author>
    <author>tc={79CD206D-CA12-4A3C-A17B-94ADF031CC0C}</author>
    <author>tc={4D4DA7D8-7CB5-4F56-B394-384695B585DC}</author>
    <author>tc={CB42162C-5ABB-4F18-89A1-3BE94CB3C326}</author>
    <author>tc={F8099EBB-09A5-4CC6-9557-17F11F873D9F}</author>
    <author>tc={BA1316BF-C600-4DB1-A244-C3BB76DDE962}</author>
    <author>tc={42728FC9-D173-4FF1-A95B-3DEE25DC2C40}</author>
    <author>tc={4F647641-F436-47E5-891C-FE5D4DD99523}</author>
    <author>tc={04F49A0F-1449-4BF5-B3F8-10FA21F3E3D4}</author>
    <author>tc={8C3A7B99-0F61-427F-9F43-1476B2775585}</author>
    <author>tc={1CDF5A34-2041-44D9-A686-CAEB82FA97A1}</author>
    <author>tc={13B1A0B9-86EA-4A35-A202-C98FCFA3F0C1}</author>
    <author>tc={68D90DF5-59BD-4FD2-A6BA-EC51F639B306}</author>
    <author>tc={1045E089-D522-4C92-BB70-B2683ADB232E}</author>
    <author>tc={4AB51493-6BBA-40C3-8320-DBB7B6A43AD0}</author>
    <author>tc={C137BBC7-C522-47F9-938F-D4FD2927D741}</author>
    <author>tc={7A744A07-0D4D-4840-B001-AB4E1BB18DD0}</author>
    <author>tc={E2863BC0-E1C3-4A22-B618-84DA9B313DBA}</author>
    <author>tc={8A68C6F2-663E-4739-A621-B9207EF3A6D8}</author>
    <author>tc={C16AF764-6C80-4E71-8724-9EA76270EFF9}</author>
    <author>tc={C1FF5BF5-9800-4980-883A-34A12EF5705B}</author>
    <author>tc={8C48CDE7-C3F0-40E7-96CB-01DE78F8663E}</author>
    <author>tc={3D526DE8-A832-4F0F-9BFE-03DA73C008D6}</author>
    <author>tc={216ABC0F-1CBD-43BF-9E97-D7D1179F1CCB}</author>
    <author>tc={AB80E45A-2DD7-4E16-820C-B5E52CE05EF2}</author>
    <author>tc={7917EFB6-76FA-4520-B931-D5EB4351013F}</author>
    <author>tc={7DF7BAA7-B2E8-450B-BE80-03E0494B922B}</author>
    <author>tc={9363AC0F-CD39-40C3-8A35-06ADE2F68EBC}</author>
    <author>tc={8CCB0794-194B-4D30-AD30-D139E308AA13}</author>
    <author>tc={A97ED978-1CEF-4539-9F19-5C0F663168B9}</author>
    <author>tc={19B8F8D0-6AA8-4D1D-81E6-8F9A5BB88A84}</author>
    <author>tc={978702A2-5B6F-4942-9988-42FC7BF957B3}</author>
    <author>tc={3B87E529-F96F-41D1-B9B2-049763FB261B}</author>
    <author>tc={E6B26E42-A576-447F-9960-EB56C870A587}</author>
    <author>tc={E0904613-683E-4D38-AA84-6CFD89396153}</author>
    <author>tc={C200A5B0-B763-4E26-8C27-4DBAABAD6663}</author>
    <author>tc={AEB4966C-6084-4291-85FF-13AE71D4CF2F}</author>
    <author>tc={8B4EE46C-040C-4C60-A334-E4FB2E686FB4}</author>
    <author>tc={8ABD2FA5-2783-410E-A8B4-AB45317B5D95}</author>
    <author>tc={ADA704B7-F959-452F-AED3-8C2B78CDABE5}</author>
    <author>tc={C698B246-185E-4BED-B9F5-B4E81EC98816}</author>
    <author>tc={79B022B6-4A30-48C2-AF79-F5B803FD03D4}</author>
    <author>tc={53C3FA03-2F65-4029-A735-56A7DF94E988}</author>
    <author>tc={E71E16E2-2D2E-45C6-A538-3FEA2A4D7632}</author>
    <author>tc={4BB9F4A9-49E6-4F90-AA3E-CBB2F1A43545}</author>
    <author>tc={2FDB9251-4D93-4F6A-B3F5-E17B827C7ACC}</author>
    <author>tc={D88D8568-2028-4E37-AE28-88D447016B6F}</author>
    <author>tc={41ACAE41-A1DF-4C92-BB69-22B1D786E2EE}</author>
    <author>tc={31095542-6279-4481-A571-50B9F4EA2267}</author>
    <author>tc={F7B92F4F-B1D2-441B-89BB-463E050732FC}</author>
    <author>tc={6ECFFEEB-F9DC-4246-9D92-25E118C413BA}</author>
    <author>tc={DB2D3922-C6E2-4D2D-98DE-58777587603C}</author>
    <author>tc={4E192250-35D3-4E4F-865E-C62FA32A44F3}</author>
    <author>tc={F39CA419-7914-4329-B765-06A0E5C2FB1F}</author>
    <author>tc={2A1AB30E-CC03-45F3-B58E-3E3912C1226E}</author>
    <author>tc={6EBB35D8-D48C-4BA1-A66F-25229AF9294A}</author>
    <author>tc={913B316D-B2BF-4668-8DE1-B3F4DC9396F9}</author>
    <author>tc={53BDFE1E-A09B-4E2F-A30E-F68819485137}</author>
    <author>tc={9199624F-A1F2-4400-856B-036CA22C8A24}</author>
    <author>tc={94C37735-2D5E-4E03-BFD1-893766A6372D}</author>
    <author>tc={1B8209AB-C597-46F4-8490-7C21569958E7}</author>
    <author>tc={FE9547CE-7529-49A5-9C48-F88DFB0A82BC}</author>
    <author>tc={E3494746-3693-4DD7-B362-43E246472BD6}</author>
    <author>tc={0240FB94-8E18-4635-8327-24033C6328D5}</author>
    <author>tc={25382274-697D-4830-9CB7-781E5781DB2E}</author>
    <author>tc={56967252-3949-4253-9BCC-1BCBC914251A}</author>
    <author>tc={E6807F3B-A8B4-4EDB-B615-21731737C96D}</author>
    <author>tc={CB2EA8A4-7ABA-4DA6-A005-889266FA3A74}</author>
  </authors>
  <commentList>
    <comment ref="BH1" authorId="0" shapeId="0" xr:uid="{61A9C18F-54B6-409D-8CFA-C24DDD9450F8}">
      <text>
        <r>
          <rPr>
            <b/>
            <sz val="9"/>
            <color indexed="81"/>
            <rFont val="Tahoma"/>
            <family val="2"/>
          </rPr>
          <t>Whitson, Bryan:</t>
        </r>
        <r>
          <rPr>
            <sz val="9"/>
            <color indexed="81"/>
            <rFont val="Tahoma"/>
            <family val="2"/>
          </rPr>
          <t xml:space="preserve">
Y or N if the project contains the pressure.</t>
        </r>
      </text>
    </comment>
    <comment ref="BL1" authorId="0" shapeId="0" xr:uid="{3A7AEB32-8E45-49BC-98C8-A33B3C54D4EA}">
      <text>
        <r>
          <rPr>
            <b/>
            <sz val="9"/>
            <color indexed="81"/>
            <rFont val="Tahoma"/>
            <family val="2"/>
          </rPr>
          <t>Whitson, Bryan:</t>
        </r>
        <r>
          <rPr>
            <sz val="9"/>
            <color indexed="81"/>
            <rFont val="Tahoma"/>
            <family val="2"/>
          </rPr>
          <t xml:space="preserve">
Enter the LF of main in the appropriate column. If the main was not used on the project, please enter "0". </t>
        </r>
      </text>
    </comment>
    <comment ref="BS1" authorId="0" shapeId="0" xr:uid="{CE09119C-9A26-4651-A33D-A2F05605BAEE}">
      <text>
        <r>
          <rPr>
            <b/>
            <sz val="9"/>
            <color indexed="81"/>
            <rFont val="Tahoma"/>
            <family val="2"/>
          </rPr>
          <t>Whitson, Bryan:</t>
        </r>
        <r>
          <rPr>
            <sz val="9"/>
            <color indexed="81"/>
            <rFont val="Tahoma"/>
            <family val="2"/>
          </rPr>
          <t xml:space="preserve">
Enter the number of each that the project contains. If the project does not contain this facility, it would say "0".</t>
        </r>
      </text>
    </comment>
    <comment ref="AC2" authorId="1" shapeId="0" xr:uid="{D4CBE7D7-DBEF-4F66-864E-F6DB82616159}">
      <text>
        <r>
          <rPr>
            <sz val="11"/>
            <color theme="1"/>
            <rFont val="Calibri"/>
            <family val="2"/>
            <scheme val="minor"/>
          </rPr>
          <t>IS Department:
Fill out as:
"N" = No
"Y" = Yes, KH progressing PO process
"N/A" = Any Design Status besides "Completed"</t>
        </r>
      </text>
    </comment>
    <comment ref="AD2" authorId="2" shapeId="0" xr:uid="{D093BF3B-5D80-482D-9F9A-7BEFA0B2F849}">
      <text>
        <r>
          <rPr>
            <sz val="11"/>
            <color theme="1"/>
            <rFont val="Calibri"/>
            <family val="2"/>
            <scheme val="minor"/>
          </rPr>
          <t>Dina, Eric:
Enter "Y" or "N/A".</t>
        </r>
      </text>
    </comment>
    <comment ref="BC2" authorId="0" shapeId="0" xr:uid="{FDD5F4F3-96E0-4ECC-93E5-B62DD96382D1}">
      <text>
        <r>
          <rPr>
            <b/>
            <sz val="9"/>
            <color indexed="81"/>
            <rFont val="Tahoma"/>
            <family val="2"/>
          </rPr>
          <t>Whitson, Bryan:</t>
        </r>
        <r>
          <rPr>
            <sz val="9"/>
            <color indexed="81"/>
            <rFont val="Tahoma"/>
            <family val="2"/>
          </rPr>
          <t xml:space="preserve">
Is IDOT permit required?
Input: "X" or "-"</t>
        </r>
      </text>
    </comment>
    <comment ref="BD2" authorId="0" shapeId="0" xr:uid="{EC490CB6-68B6-4D58-BA47-F5646A2B5428}">
      <text>
        <r>
          <rPr>
            <b/>
            <sz val="9"/>
            <color indexed="81"/>
            <rFont val="Tahoma"/>
            <family val="2"/>
          </rPr>
          <t>Whitson, Bryan:</t>
        </r>
        <r>
          <rPr>
            <sz val="9"/>
            <color indexed="81"/>
            <rFont val="Tahoma"/>
            <family val="2"/>
          </rPr>
          <t xml:space="preserve">
If county permit is needed, input name of county. If multiple county permits needed, list in alphabetical order &amp; separate with a comma.</t>
        </r>
      </text>
    </comment>
    <comment ref="BE2" authorId="0" shapeId="0" xr:uid="{7B4E8C62-649B-4529-9F3F-CBB3254A5CA1}">
      <text>
        <r>
          <rPr>
            <b/>
            <sz val="9"/>
            <color indexed="81"/>
            <rFont val="Tahoma"/>
            <family val="2"/>
          </rPr>
          <t>Whitson, Bryan:</t>
        </r>
        <r>
          <rPr>
            <sz val="9"/>
            <color indexed="81"/>
            <rFont val="Tahoma"/>
            <family val="2"/>
          </rPr>
          <t xml:space="preserve">
If municipal permit is needed, input name of municipal. If multiple municipal permits needed, list in alphabetical order &amp; separate with a comma.</t>
        </r>
      </text>
    </comment>
    <comment ref="BF2" authorId="0" shapeId="0" xr:uid="{A33A01B6-EED1-459B-9CC6-E18A3EA850C4}">
      <text>
        <r>
          <rPr>
            <b/>
            <sz val="9"/>
            <color indexed="81"/>
            <rFont val="Tahoma"/>
            <family val="2"/>
          </rPr>
          <t>Whitson, Bryan:</t>
        </r>
        <r>
          <rPr>
            <sz val="9"/>
            <color indexed="81"/>
            <rFont val="Tahoma"/>
            <family val="2"/>
          </rPr>
          <t xml:space="preserve">
If township permit is needed, input name of township. If multiple township permits needed, list in alphabetical order &amp; separate with a comma.</t>
        </r>
      </text>
    </comment>
    <comment ref="BG2" authorId="0" shapeId="0" xr:uid="{7D5C3B7E-9B9B-47E9-AA4F-81A794A120D9}">
      <text>
        <r>
          <rPr>
            <b/>
            <sz val="9"/>
            <color indexed="81"/>
            <rFont val="Tahoma"/>
            <family val="2"/>
          </rPr>
          <t>Whitson, Bryan:</t>
        </r>
        <r>
          <rPr>
            <sz val="9"/>
            <color indexed="81"/>
            <rFont val="Tahoma"/>
            <family val="2"/>
          </rPr>
          <t xml:space="preserve">
Tollway
Railroad (CN, UPRR, BNSF, etc.)
Foreign Pipeline
MWRD</t>
        </r>
      </text>
    </comment>
    <comment ref="BI2" authorId="0" shapeId="0" xr:uid="{0A836AD4-3C26-4E35-9EA2-E5D23C6179AC}">
      <text>
        <r>
          <rPr>
            <b/>
            <sz val="9"/>
            <color indexed="81"/>
            <rFont val="Tahoma"/>
            <family val="2"/>
          </rPr>
          <t>Whitson, Bryan:</t>
        </r>
        <r>
          <rPr>
            <sz val="9"/>
            <color indexed="81"/>
            <rFont val="Tahoma"/>
            <family val="2"/>
          </rPr>
          <t xml:space="preserve">
Y or N</t>
        </r>
      </text>
    </comment>
    <comment ref="BT2" authorId="3" shapeId="0" xr:uid="{98814C2E-28F2-4733-8D08-97E59805635C}">
      <text>
        <r>
          <rPr>
            <b/>
            <sz val="9"/>
            <color indexed="81"/>
            <rFont val="Tahoma"/>
            <family val="2"/>
          </rPr>
          <t>Michaels, Nick:</t>
        </r>
        <r>
          <rPr>
            <sz val="9"/>
            <color indexed="81"/>
            <rFont val="Tahoma"/>
            <family val="2"/>
          </rPr>
          <t xml:space="preserve">
Look at QTY table at bottom left.</t>
        </r>
      </text>
    </comment>
    <comment ref="BU2" authorId="3" shapeId="0" xr:uid="{921B6409-4F7D-4CCE-833B-8F5E019701C7}">
      <text>
        <r>
          <rPr>
            <b/>
            <sz val="9"/>
            <color indexed="81"/>
            <rFont val="Tahoma"/>
            <family val="2"/>
          </rPr>
          <t>Michaels, Nick:</t>
        </r>
        <r>
          <rPr>
            <sz val="9"/>
            <color indexed="81"/>
            <rFont val="Tahoma"/>
            <family val="2"/>
          </rPr>
          <t xml:space="preserve">
Look at qty table on bottom left.</t>
        </r>
      </text>
    </comment>
    <comment ref="BV2" authorId="3" shapeId="0" xr:uid="{FE95BF1E-A22E-49AD-B2E7-AA164F111B7E}">
      <text>
        <r>
          <rPr>
            <b/>
            <sz val="9"/>
            <color indexed="81"/>
            <rFont val="Tahoma"/>
            <family val="2"/>
          </rPr>
          <t>Michaels, Nick:</t>
        </r>
        <r>
          <rPr>
            <sz val="9"/>
            <color indexed="81"/>
            <rFont val="Tahoma"/>
            <family val="2"/>
          </rPr>
          <t xml:space="preserve">
Review the CRA table on RS projects and fill out based on PVSTR/FV count in this table.</t>
        </r>
      </text>
    </comment>
    <comment ref="BW2" authorId="3" shapeId="0" xr:uid="{93A83F4F-07E4-4E30-AB4F-72F2226B43ED}">
      <text>
        <r>
          <rPr>
            <b/>
            <sz val="9"/>
            <color indexed="81"/>
            <rFont val="Tahoma"/>
            <family val="2"/>
          </rPr>
          <t>Michaels, Nick:</t>
        </r>
        <r>
          <rPr>
            <sz val="9"/>
            <color indexed="81"/>
            <rFont val="Tahoma"/>
            <family val="2"/>
          </rPr>
          <t xml:space="preserve">
Review the CRA table on RS projects and fill out based on PVSTR/FV count in this table.</t>
        </r>
      </text>
    </comment>
    <comment ref="BX2" authorId="3" shapeId="0" xr:uid="{9497DF10-EF98-4B91-8C0A-DB79954F9F1D}">
      <text>
        <r>
          <rPr>
            <b/>
            <sz val="9"/>
            <color indexed="81"/>
            <rFont val="Tahoma"/>
            <family val="2"/>
          </rPr>
          <t>Michaels, Nick:</t>
        </r>
        <r>
          <rPr>
            <sz val="9"/>
            <color indexed="81"/>
            <rFont val="Tahoma"/>
            <family val="2"/>
          </rPr>
          <t xml:space="preserve">
Review the CRA table on RS projects and fill out based on PVSTR/FV count in this table.</t>
        </r>
      </text>
    </comment>
    <comment ref="BY2" authorId="3" shapeId="0" xr:uid="{A20548EF-BAE7-4818-86BD-F3BFEAA6827E}">
      <text>
        <r>
          <rPr>
            <b/>
            <sz val="9"/>
            <color indexed="81"/>
            <rFont val="Tahoma"/>
            <family val="2"/>
          </rPr>
          <t>Michaels, Nick:</t>
        </r>
        <r>
          <rPr>
            <sz val="9"/>
            <color indexed="81"/>
            <rFont val="Tahoma"/>
            <family val="2"/>
          </rPr>
          <t xml:space="preserve">
Review the titleblock of the WO dwg, the PO item table, and the TS table. Likely will only be on NBA or some RS projects.</t>
        </r>
      </text>
    </comment>
    <comment ref="D846" authorId="4" shapeId="0" xr:uid="{472A325E-4DE8-4231-94E4-7EAA9454C039}">
      <text>
        <t xml:space="preserve">[Threaded comment]
Your version of Excel allows you to read this threaded comment; however, any edits to it will get removed if the file is opened in a newer version of Excel. Learn more: https://go.microsoft.com/fwlink/?linkid=870924
Comment:
    Used to be 1412040 - this was corrected during a revision. </t>
      </text>
    </comment>
    <comment ref="D848" authorId="5" shapeId="0" xr:uid="{5F64E5A1-7B7A-40B8-A0E2-711512C574D3}">
      <text>
        <t xml:space="preserve">[Threaded comment]
Your version of Excel allows you to read this threaded comment; however, any edits to it will get removed if the file is opened in a newer version of Excel. Learn more: https://go.microsoft.com/fwlink/?linkid=870924
Comment:
    Used to be 1412040 - this was corrected during a revision. </t>
      </text>
    </comment>
    <comment ref="Q939" authorId="6" shapeId="0" xr:uid="{CA3291CC-50D1-473D-9710-C7B727662CDE}">
      <text>
        <t xml:space="preserve">[Threaded comment]
Your version of Excel allows you to read this threaded comment; however, any edits to it will get removed if the file is opened in a newer version of Excel. Learn more: https://go.microsoft.com/fwlink/?linkid=870924
Comment:
    Revision required extensive coordination with City of Geneva, including meetings with PW leadership, city engineer, and coordination with GIS department. </t>
      </text>
    </comment>
    <comment ref="BA958" authorId="7" shapeId="0" xr:uid="{3CA92E63-DE5A-4CBF-9F98-7C787E68E391}">
      <text>
        <t>[Threaded comment]
Your version of Excel allows you to read this threaded comment; however, any edits to it will get removed if the file is opened in a newer version of Excel. Learn more: https://go.microsoft.com/fwlink/?linkid=870924
Comment:
    @Corbi, Camille - Can you please just add the rough footage of the main here to this scope?</t>
      </text>
    </comment>
    <comment ref="BC961" authorId="8" shapeId="0" xr:uid="{C5B137B0-620D-45A8-982C-3BC110740B4A}">
      <text>
        <t>[Threaded comment]
Your version of Excel allows you to read this threaded comment; however, any edits to it will get removed if the file is opened in a newer version of Excel. Learn more: https://go.microsoft.com/fwlink/?linkid=870924
Comment:
    @Dina, Eric - Please fill out and unhighlight</t>
      </text>
    </comment>
    <comment ref="AC986" authorId="9" shapeId="0" xr:uid="{8BD9B6B1-95EB-4F38-BE20-103DFB46E183}">
      <text>
        <t>[Threaded comment]
Your version of Excel allows you to read this threaded comment; however, any edits to it will get removed if the file is opened in a newer version of Excel. Learn more: https://go.microsoft.com/fwlink/?linkid=870924
Comment:
    Material procurement to occur at a later date. construction anticipated for 2024.</t>
      </text>
    </comment>
    <comment ref="AC987" authorId="10" shapeId="0" xr:uid="{F8EC474E-FEFB-4CFD-A3BB-6A9B8E46020A}">
      <text>
        <t>[Threaded comment]
Your version of Excel allows you to read this threaded comment; however, any edits to it will get removed if the file is opened in a newer version of Excel. Learn more: https://go.microsoft.com/fwlink/?linkid=870924
Comment:
    Material procurement to occur at a later date. construction anticipated for 2024.</t>
      </text>
    </comment>
    <comment ref="AC988" authorId="11" shapeId="0" xr:uid="{E5326600-5131-4424-B7DE-BE8591515E81}">
      <text>
        <t>[Threaded comment]
Your version of Excel allows you to read this threaded comment; however, any edits to it will get removed if the file is opened in a newer version of Excel. Learn more: https://go.microsoft.com/fwlink/?linkid=870924
Comment:
    Material procurement to occur at a later date. construction anticipated for 2025</t>
      </text>
    </comment>
    <comment ref="BC991" authorId="12" shapeId="0" xr:uid="{9A4E541C-22BF-48B4-94E0-35EB061F72F2}">
      <text>
        <t>[Threaded comment]
Your version of Excel allows you to read this threaded comment; however, any edits to it will get removed if the file is opened in a newer version of Excel. Learn more: https://go.microsoft.com/fwlink/?linkid=870924
Comment:
    @Lierow, Taylor - please fill out and unhighlight</t>
      </text>
    </comment>
    <comment ref="AC1001" authorId="13" shapeId="0" xr:uid="{D4EC9D48-C09F-41C1-B92B-031439826CDE}">
      <text>
        <t>[Threaded comment]
Your version of Excel allows you to read this threaded comment; however, any edits to it will get removed if the file is opened in a newer version of Excel. Learn more: https://go.microsoft.com/fwlink/?linkid=870924
Comment:
    Pending PID creation. Email out to Kendra 7/25.
Reply:
    F/U 7/27
Reply:
    F/U 8/4
Reply:
    PR6380 submitted 8/10</t>
      </text>
    </comment>
    <comment ref="AC1023" authorId="14" shapeId="0" xr:uid="{34FD89A7-63B8-49EF-BA94-B888B3EB9B34}">
      <text>
        <t>[Threaded comment]
Your version of Excel allows you to read this threaded comment; however, any edits to it will get removed if the file is opened in a newer version of Excel. Learn more: https://go.microsoft.com/fwlink/?linkid=870924
Comment:
    PR 6368 completed 8/1/23</t>
      </text>
    </comment>
    <comment ref="Q1032" authorId="15" shapeId="0" xr:uid="{37F02E77-B662-4057-AC9D-AEC2F165498E}">
      <text>
        <t>[Threaded comment]
Your version of Excel allows you to read this threaded comment; however, any edits to it will get removed if the file is opened in a newer version of Excel. Learn more: https://go.microsoft.com/fwlink/?linkid=870924
Comment:
    Revision required a large amount of coordination with IDOT, analysis and incorporation of DOT plans, and other drawing updates.</t>
      </text>
    </comment>
    <comment ref="Q1033" authorId="16" shapeId="0" xr:uid="{393CCA94-B7BA-40F3-8244-003E92302109}">
      <text>
        <t>[Threaded comment]
Your version of Excel allows you to read this threaded comment; however, any edits to it will get removed if the file is opened in a newer version of Excel. Learn more: https://go.microsoft.com/fwlink/?linkid=870924
Comment:
    the main effort of this revision was a custom MOT plan which neded multiple phases to be feasible which also increased the effort. the main effort of this revision was a custom MOT plan which needed multiple phases to be feasible which also increased the effort</t>
      </text>
    </comment>
    <comment ref="Q1055" authorId="17" shapeId="0" xr:uid="{13EC8AA0-F206-4AA6-8203-15A5FA3A6F10}">
      <text>
        <t>[Threaded comment]
Your version of Excel allows you to read this threaded comment; however, any edits to it will get removed if the file is opened in a newer version of Excel. Learn more: https://go.microsoft.com/fwlink/?linkid=870924
Comment:
    Revision required extensive custom MOT plan and queue analysis for install which was a heavy lift. Additionally, the rev required full re-working of our profile due to an atypical request from the rr to change the orientation. Additional time was spend with extensive coordination with Nicor to confirm WT install beneath IDOT road.</t>
      </text>
    </comment>
    <comment ref="Q1056" authorId="18" shapeId="0" xr:uid="{E744A060-E9A1-4E0B-8CE0-44EB3B58B6E7}">
      <text>
        <t>[Threaded comment]
Your version of Excel allows you to read this threaded comment; however, any edits to it will get removed if the file is opened in a newer version of Excel. Learn more: https://go.microsoft.com/fwlink/?linkid=870924
Comment:
    @Dina, Eric please fill this out after this pay period ends, highlight yellow when ready for my review. 
Reply:
    Ping
Reply:
    Ping
Reply:
    @Betland, Joseph - could you please provide context why this was more than $5K?</t>
      </text>
    </comment>
    <comment ref="Q1059" authorId="19" shapeId="0" xr:uid="{39A4A053-0D7D-46A8-9983-0379E00BF3C8}">
      <text>
        <t>[Threaded comment]
Your version of Excel allows you to read this threaded comment; however, any edits to it will get removed if the file is opened in a newer version of Excel. Learn more: https://go.microsoft.com/fwlink/?linkid=870924
Comment:
    Project involved detour plan and extensive coordination with IDOT including attendance of detour meeting.</t>
      </text>
    </comment>
    <comment ref="Q1065" authorId="20" shapeId="0" xr:uid="{A068E82C-42E7-4A1A-97BC-98D011FDA1F1}">
      <text>
        <t>[Threaded comment]
Your version of Excel allows you to read this threaded comment; however, any edits to it will get removed if the file is opened in a newer version of Excel. Learn more: https://go.microsoft.com/fwlink/?linkid=870924
Comment:
    Revision required addition of utility information not provided during initial community outreach/julie request. Running line changes were also needed which required large amount of coordination with eng/conops to get approved and then reviewed with AHJ and incorporate their comments.</t>
      </text>
    </comment>
    <comment ref="Q1069" authorId="21" shapeId="0" xr:uid="{F4AEC78C-364C-4E8F-A8F2-7DD7AE963556}">
      <text>
        <t>[Threaded comment]
Your version of Excel allows you to read this threaded comment; however, any edits to it will get removed if the file is opened in a newer version of Excel. Learn more: https://go.microsoft.com/fwlink/?linkid=870924
Comment:
    Revision required extended coordination with Environmental Team to incorporate updated wetland delineation data and revised environmental permitting measures adjacent to the Kankakee River and associated floodways and floodplains. Engineering requested project be released without updated data in order to progress all other permitting items and the material procurement process while the delineation was being completed.</t>
      </text>
    </comment>
    <comment ref="AB1072" authorId="22" shapeId="0" xr:uid="{B576D34B-8236-41C1-8D57-6E2A17FEA859}">
      <text>
        <t>[Threaded comment]
Your version of Excel allows you to read this threaded comment; however, any edits to it will get removed if the file is opened in a newer version of Excel. Learn more: https://go.microsoft.com/fwlink/?linkid=870924
Comment:
    Review request sent 11/2. F/U 11/8. ConOps reports project is to be broken up into multiple WOs.</t>
      </text>
    </comment>
    <comment ref="AC1072" authorId="23" shapeId="0" xr:uid="{B6F67353-5C5F-42A0-ADB2-74B83E2AC896}">
      <text>
        <t>[Threaded comment]
Your version of Excel allows you to read this threaded comment; however, any edits to it will get removed if the file is opened in a newer version of Excel. Learn more: https://go.microsoft.com/fwlink/?linkid=870924
Comment:
    Requisitions on hold, project is to be broken into multiple WOs.</t>
      </text>
    </comment>
    <comment ref="Q1073" authorId="24" shapeId="0" xr:uid="{DB92390D-0FF4-4CDB-8CF7-7EA42FD49470}">
      <text>
        <t>[Threaded comment]
Your version of Excel allows you to read this threaded comment; however, any edits to it will get removed if the file is opened in a newer version of Excel. Learn more: https://go.microsoft.com/fwlink/?linkid=870924
Comment:
    Extensive MOT plan with multiple lane closures on high traffic-volume roads. Multiple phases needed. Detour committee meeting attended for preliminary IDOT approval.</t>
      </text>
    </comment>
    <comment ref="Q1077" authorId="25" shapeId="0" xr:uid="{60FA3772-DF44-444C-BAFC-70B6EAB5A03B}">
      <text>
        <t xml:space="preserve">[Threaded comment]
Your version of Excel allows you to read this threaded comment; however, any edits to it will get removed if the file is opened in a newer version of Excel. Learn more: https://go.microsoft.com/fwlink/?linkid=870924
Comment:
    Task through AFC drawings for Mulford portion of work, separate task opened for construction support. </t>
      </text>
    </comment>
    <comment ref="J1080" authorId="26" shapeId="0" xr:uid="{20E121E1-D6A2-4CBF-8CB9-1D00868AF2FF}">
      <text>
        <t xml:space="preserve">[Threaded comment]
Your version of Excel allows you to read this threaded comment; however, any edits to it will get removed if the file is opened in a newer version of Excel. Learn more: https://go.microsoft.com/fwlink/?linkid=870924
Comment:
    @Corbi, Camille please continue to follow up on date extension with Kendra until we get that cleaned up
Reply:
    F/U 11/13
Reply:
    F/U 11/17
Reply:
    F/U 11/27
Reply:
    12/18
Reply:
    1/3
Reply:
    1/24
Reply:
    3/6
Reply:
    5/2
Reply:
    7/19
Reply:
    8/6
Reply:
    8/27
Reply:
    10/10
Reply:
    10/16
Reply:
    11/7
Reply:
    12/10
Reply:
    Did this not get approved in the last round of approvals?
Reply:
    updated and checked </t>
      </text>
    </comment>
    <comment ref="S1082" authorId="27" shapeId="0" xr:uid="{8A392302-117E-4931-9533-0641FAC5B0D8}">
      <text>
        <t>[Threaded comment]
Your version of Excel allows you to read this threaded comment; however, any edits to it will get removed if the file is opened in a newer version of Excel. Learn more: https://go.microsoft.com/fwlink/?linkid=870924
Comment:
    @Corbi, Camille please update red cells and color yellow when ready for review. Recommend waiting until this pay cycle is complete before finalizing hourly costs
Reply:
    No shactee locates?
Reply:
    @Corbi, Camille  no shactee locates?
Reply:
    Ping
Reply:
    @Betland, Joseph for the service analysis we did not get any locates. They just wanted an idea of the conflicts taking place so they would know how to install the new services. There is no shactee effort associated with this one.</t>
      </text>
    </comment>
    <comment ref="Q1086" authorId="28" shapeId="0" xr:uid="{3B2228D6-8C43-4BDA-8E91-00B727573241}">
      <text>
        <t xml:space="preserve">[Threaded comment]
Your version of Excel allows you to read this threaded comment; however, any edits to it will get removed if the file is opened in a newer version of Excel. Learn more: https://go.microsoft.com/fwlink/?linkid=870924
Comment:
    Service investigation (93 Services) to identify conflicts with proposed improvements. Cost includes design locates for services. </t>
      </text>
    </comment>
    <comment ref="Q1087" authorId="29" shapeId="0" xr:uid="{17221A7F-B45D-4000-B32A-E7A844D08102}">
      <text>
        <t>[Threaded comment]
Your version of Excel allows you to read this threaded comment; however, any edits to it will get removed if the file is opened in a newer version of Excel. Learn more: https://go.microsoft.com/fwlink/?linkid=870924
Comment:
    Extensive MOT plan with multiple lane closures on high-traffic volume roads. Multiple phases needed. Detour committee meeting attended for preliminary IDOT approval.
Reply:
    @Michaels, Nick is this comment on the right project? This is an ADA project
Reply:
    @Betland, Joseph - Hmm no this should be on BS588 MOT. I will fix. feel free to delete this comment.
Reply:
    @Betland, Joseph  - Ahh I think someone must have format painted this and it brought over the comment.</t>
      </text>
    </comment>
    <comment ref="Q1096" authorId="30" shapeId="0" xr:uid="{4D8159E7-545A-4D97-8CC6-95C1FA2E770A}">
      <text>
        <t>[Threaded comment]
Your version of Excel allows you to read this threaded comment; however, any edits to it will get removed if the file is opened in a newer version of Excel. Learn more: https://go.microsoft.com/fwlink/?linkid=870924
Comment:
    Revision required meeting with IDOT Detour Committee and presenting detour plans to get approval and plan updates</t>
      </text>
    </comment>
    <comment ref="J1097" authorId="31" shapeId="0" xr:uid="{002499EF-5D32-42B4-B541-217861797A7C}">
      <text>
        <t>[Threaded comment]
Your version of Excel allows you to read this threaded comment; however, any edits to it will get removed if the file is opened in a newer version of Excel. Learn more: https://go.microsoft.com/fwlink/?linkid=870924
Comment:
    F/U 12/7
Reply:
    1/22
Reply:
    2/22
Reply:
    5/2
Reply:
    7/19
Reply:
    8/6
Reply:
    8/27
Reply:
    10/10
Reply:
    10/16
Reply:
    11/7
Reply:
    12/10
Reply:
    Did this not get approved in the last round of approvals?
Reply:
    Yes it did let me update
Reply:
    Looks like the deleted this EDSR. It does not exist when you search it. Thinking they combined it with with SC18611
Reply:
    Since the EDSR no longer exists, and we got blanket approval, I'm ok with removing the red highlight.</t>
      </text>
    </comment>
    <comment ref="Q1100" authorId="32" shapeId="0" xr:uid="{DAC2BD05-6371-4D10-873D-D74F549B2F22}">
      <text>
        <t>[Threaded comment]
Your version of Excel allows you to read this threaded comment; however, any edits to it will get removed if the file is opened in a newer version of Excel. Learn more: https://go.microsoft.com/fwlink/?linkid=870924
Comment:
    Revision of install method/bore profile beneath RR tracks due to flooding issues in J&amp;B pits. Bore was redesigned to HDD and required coordination with ConOps to review for constructability/space constraints.</t>
      </text>
    </comment>
    <comment ref="Q1101" authorId="33" shapeId="0" xr:uid="{386BCC29-3FEF-4FB2-86F1-E76548A60F18}">
      <text>
        <t>[Threaded comment]
Your version of Excel allows you to read this threaded comment; however, any edits to it will get removed if the file is opened in a newer version of Excel. Learn more: https://go.microsoft.com/fwlink/?linkid=870924
Comment:
    Service investigation (23 Services) to identify conflicts proposed improvements. @Corbi, Camille please add additional context as to why this was requested just for clarification. 
Reply:
    Proposed 54" storm sewer to be installed down the middle of the street, wanted to gain a better understanding of locations/depths of services</t>
      </text>
    </comment>
    <comment ref="AM1103" authorId="34" shapeId="0" xr:uid="{86DCD511-C07A-457B-97B2-6EA56E72DAD4}">
      <text>
        <t>[Threaded comment]
Your version of Excel allows you to read this threaded comment; however, any edits to it will get removed if the file is opened in a newer version of Excel. Learn more: https://go.microsoft.com/fwlink/?linkid=870924
Comment:
    Cancelled WO in PCTS</t>
      </text>
    </comment>
    <comment ref="AH1108" authorId="35" shapeId="0" xr:uid="{D3149550-C257-4C84-8120-DFD47165E014}">
      <text>
        <t xml:space="preserve">[Threaded comment]
Your version of Excel allows you to read this threaded comment; however, any edits to it will get removed if the file is opened in a newer version of Excel. Learn more: https://go.microsoft.com/fwlink/?linkid=870924
Comment:
    @Lierow, Taylor I'd still like to have a quick moment to debrief on these small ones during our monthly debrief - these are still relatively new to our team 
Reply:
    @Betland, Joseph This project is currently still open. This was just a task to grab electronic locates on the services. Calvin K told us to bill them hourly for it. I will make sure this gets covered in the debrief when the DOT project gets closed out. </t>
      </text>
    </comment>
    <comment ref="X1111" authorId="36" shapeId="0" xr:uid="{CF5B2381-B9AB-4E0F-8896-02F9361A6874}">
      <text>
        <t>[Threaded comment]
Your version of Excel allows you to read this threaded comment; however, any edits to it will get removed if the file is opened in a newer version of Excel. Learn more: https://go.microsoft.com/fwlink/?linkid=870924
Comment:
    PCTS shows 846,228.66 (but was approved on 3/5/2024 so likely the discrepancy)</t>
      </text>
    </comment>
    <comment ref="M1113" authorId="37" shapeId="0" xr:uid="{037E5A0B-3AC9-4972-B460-19F4C389645D}">
      <text>
        <t>[Threaded comment]
Your version of Excel allows you to read this threaded comment; however, any edits to it will get removed if the file is opened in a newer version of Excel. Learn more: https://go.microsoft.com/fwlink/?linkid=870924
Comment:
    @Betland, Joseph / @Chamernik, Conner - can y'all add how we negotiated out of the revision? Conditional permit approval?
Reply:
    @Whitson, Bryan it was considered a Negotiated out of Revision since we got the greenlight on a PDF markup, instead of a formal revision. Is that the reason you want me to add?</t>
      </text>
    </comment>
    <comment ref="AD1113" authorId="38" shapeId="0" xr:uid="{673408D5-32F2-49F1-BACC-0AA472E66D59}">
      <text>
        <t>[Threaded comment]
Your version of Excel allows you to read this threaded comment; however, any edits to it will get removed if the file is opened in a newer version of Excel. Learn more: https://go.microsoft.com/fwlink/?linkid=870924
Comment:
    @Chamernik, Conner please touch base with @Michaels, Nick to discuss updating Nicor permitting parameters</t>
      </text>
    </comment>
    <comment ref="X1114" authorId="39" shapeId="0" xr:uid="{6E5F6CBF-B8F9-4FF2-8164-1AD75EF42DE7}">
      <text>
        <t>[Threaded comment]
Your version of Excel allows you to read this threaded comment; however, any edits to it will get removed if the file is opened in a newer version of Excel. Learn more: https://go.microsoft.com/fwlink/?linkid=870924
Comment:
    @Chamernik, Conner please go in and take screenshots of PCTS as these numbers appeared to have chnaged and I want to document
Reply:
    PCTS shows $172,318.47 (but was approved on 3/7/2024 so likely the discrepancy)</t>
      </text>
    </comment>
    <comment ref="Z1114" authorId="40" shapeId="0" xr:uid="{4E09BEA2-6929-4572-A246-480353BAA590}">
      <text>
        <t>[Threaded comment]
Your version of Excel allows you to read this threaded comment; however, any edits to it will get removed if the file is opened in a newer version of Excel. Learn more: https://go.microsoft.com/fwlink/?linkid=870924
Comment:
    PCTS shows $54,594.16 (but was approved on 3/5/2024 so likely the discrepancy)</t>
      </text>
    </comment>
    <comment ref="X1116" authorId="41" shapeId="0" xr:uid="{51EE4F4C-6FBE-470A-8873-0D65F0D10616}">
      <text>
        <t>[Threaded comment]
Your version of Excel allows you to read this threaded comment; however, any edits to it will get removed if the file is opened in a newer version of Excel. Learn more: https://go.microsoft.com/fwlink/?linkid=870924
Comment:
    PCTS shows $303,560.19</t>
      </text>
    </comment>
    <comment ref="K1119" authorId="42" shapeId="0" xr:uid="{E1AB9459-FFB1-4537-996D-F18194310676}">
      <text>
        <t>[Threaded comment]
Your version of Excel allows you to read this threaded comment; however, any edits to it will get removed if the file is opened in a newer version of Excel. Learn more: https://go.microsoft.com/fwlink/?linkid=870924
Comment:
    @Betland, Joseph / @Chamernik, Conner - how is this different than the one from 1/8?
Reply:
    @Whitson, Bryan Winnebago Co sent back some more comments. We did the comments and were not required to complete a formal revision.</t>
      </text>
    </comment>
    <comment ref="M1119" authorId="43" shapeId="0" xr:uid="{0B0DDBDF-7151-447A-8FD4-AA887E8BA280}">
      <text>
        <t>[Threaded comment]
Your version of Excel allows you to read this threaded comment; however, any edits to it will get removed if the file is opened in a newer version of Excel. Learn more: https://go.microsoft.com/fwlink/?linkid=870924
Comment:
    @Betland, Joseph / @Chamernik, Conner - can y'all add how we negotiated out of the revision? Conditional permit approval?</t>
      </text>
    </comment>
    <comment ref="X1126" authorId="44" shapeId="0" xr:uid="{19EA2F7F-D18B-4227-A096-96A038BFD86E}">
      <text>
        <t>[Threaded comment]
Your version of Excel allows you to read this threaded comment; however, any edits to it will get removed if the file is opened in a newer version of Excel. Learn more: https://go.microsoft.com/fwlink/?linkid=870924
Comment:
    PCTS shows 335,524.99</t>
      </text>
    </comment>
    <comment ref="Z1126" authorId="45" shapeId="0" xr:uid="{C6EFD76D-CDCC-4C93-B07B-B9DBE448369E}">
      <text>
        <t>[Threaded comment]
Your version of Excel allows you to read this threaded comment; however, any edits to it will get removed if the file is opened in a newer version of Excel. Learn more: https://go.microsoft.com/fwlink/?linkid=870924
Comment:
    PCTS Shows 34,712.80</t>
      </text>
    </comment>
    <comment ref="X1128" authorId="46" shapeId="0" xr:uid="{E2F7E153-8B94-49A1-9543-4528ED3B61DF}">
      <text>
        <t>[Threaded comment]
Your version of Excel allows you to read this threaded comment; however, any edits to it will get removed if the file is opened in a newer version of Excel. Learn more: https://go.microsoft.com/fwlink/?linkid=870924
Comment:
    PCTS shows 1,357,372.21</t>
      </text>
    </comment>
    <comment ref="Z1128" authorId="47" shapeId="0" xr:uid="{524B0F80-BF13-4F71-B2B3-F29612C83015}">
      <text>
        <t>[Threaded comment]
Your version of Excel allows you to read this threaded comment; however, any edits to it will get removed if the file is opened in a newer version of Excel. Learn more: https://go.microsoft.com/fwlink/?linkid=870924
Comment:
    PCTS shows 325,070.37</t>
      </text>
    </comment>
    <comment ref="AJ1130" authorId="48" shapeId="0" xr:uid="{0A78B21D-C209-4B5F-99C1-51B0678E4C87}">
      <text>
        <t>[Threaded comment]
Your version of Excel allows you to read this threaded comment; however, any edits to it will get removed if the file is opened in a newer version of Excel. Learn more: https://go.microsoft.com/fwlink/?linkid=870924
Comment:
    Since there's 2 work orders, I have split this all the 3rd party costs between the two WOs.</t>
      </text>
    </comment>
    <comment ref="Q1135" authorId="49" shapeId="0" xr:uid="{5117CB5D-685D-44D3-837C-84943BFF9A96}">
      <text>
        <t>[Threaded comment]
Your version of Excel allows you to read this threaded comment; however, any edits to it will get removed if the file is opened in a newer version of Excel. Learn more: https://go.microsoft.com/fwlink/?linkid=870924
Comment:
    Municipality requesting these improvements be added to the sheets prior to permitting. Site visit and design changes we're required for permit approval.</t>
      </text>
    </comment>
    <comment ref="AK1140" authorId="50" shapeId="0" xr:uid="{CDA12B6E-BDDE-4A65-9D2B-6220CA89970E}">
      <text>
        <t>[Threaded comment]
Your version of Excel allows you to read this threaded comment; however, any edits to it will get removed if the file is opened in a newer version of Excel. Learn more: https://go.microsoft.com/fwlink/?linkid=870924
Comment:
    Reported in 2023</t>
      </text>
    </comment>
    <comment ref="J1141" authorId="51" shapeId="0" xr:uid="{6937382E-52AE-41C1-9B03-A5CBBB81B28A}">
      <text>
        <t>[Threaded comment]
Your version of Excel allows you to read this threaded comment; however, any edits to it will get removed if the file is opened in a newer version of Excel. Learn more: https://go.microsoft.com/fwlink/?linkid=870924
Comment:
    f/u 7/19
Reply:
    8/6
Reply:
    8/27
Reply:
    10/10
Reply:
    10/16
Reply:
    11/7
Reply:
    12/10
Reply:
    updated and reviewed</t>
      </text>
    </comment>
    <comment ref="J1143" authorId="52" shapeId="0" xr:uid="{AAFA3DBC-4E4E-4477-8C1E-0F776720A681}">
      <text>
        <t>[Threaded comment]
Your version of Excel allows you to read this threaded comment; however, any edits to it will get removed if the file is opened in a newer version of Excel. Learn more: https://go.microsoft.com/fwlink/?linkid=870924
Comment:
    7/19
Reply:
    8/6
Reply:
    10/10
Reply:
    10/16
Reply:
    11/7
Reply:
    12/10
Reply:
    updated and reviewed</t>
      </text>
    </comment>
    <comment ref="Q1148" authorId="53" shapeId="0" xr:uid="{1675432B-7C8D-465E-AC07-5E69EE5E9654}">
      <text>
        <t>[Threaded comment]
Your version of Excel allows you to read this threaded comment; however, any edits to it will get removed if the file is opened in a newer version of Excel. Learn more: https://go.microsoft.com/fwlink/?linkid=870924
Comment:
    @Pohlman, Mitchell - Can you please reply with a comment with the justification for spend being more than $5k?
Reply:
    Revision due to Engineering requested change in tie-in method to meets piggable transmission pipeline standards after revised departmental approach to classification. Revision required BOM material updates, plan sheet adjustments, and revised test data.</t>
      </text>
    </comment>
    <comment ref="AJ1149" authorId="54" shapeId="0" xr:uid="{70EDAF85-7348-4DBC-9C7B-7DF8A084E553}">
      <text>
        <t xml:space="preserve">[Threaded comment]
Your version of Excel allows you to read this threaded comment; however, any edits to it will get removed if the file is opened in a newer version of Excel. Learn more: https://go.microsoft.com/fwlink/?linkid=870924
Comment:
    The service locates obtained were under the hourly task. The rest of the main was potholed by the developer. </t>
      </text>
    </comment>
    <comment ref="X1156" authorId="55" shapeId="0" xr:uid="{B421A5D4-3C76-4C20-A505-578F2935F8FB}">
      <text>
        <t>[Threaded comment]
Your version of Excel allows you to read this threaded comment; however, any edits to it will get removed if the file is opened in a newer version of Excel. Learn more: https://go.microsoft.com/fwlink/?linkid=870924
Comment:
    @Dina, Eric just FYI, these numbers that you previously had in here included OH, I updated to be the direct estimates
Reply:
    Thanks for making the change. @Hopkins, Matt  @Ekstrom, Ethan please note for next time</t>
      </text>
    </comment>
    <comment ref="Q1157" authorId="56" shapeId="0" xr:uid="{514ACFC5-108E-4AA5-88AD-E56F289A1CBF}">
      <text>
        <t xml:space="preserve">[Threaded comment]
Your version of Excel allows you to read this threaded comment; however, any edits to it will get removed if the file is opened in a newer version of Excel. Learn more: https://go.microsoft.com/fwlink/?linkid=870924
Comment:
    @Betland, Joseph - could you please provide context to justify the amount of spend here?
Reply:
    Full re-route of 8 additional sheets in order to get around the settlment conditions identified by CCDOTH. Significant coordination with CCDOTH and Nicor, and Nicor Engineering determined that they did not want the risk of settlement issues. I discussed this revision with Josh and Chip previously as well. </t>
      </text>
    </comment>
    <comment ref="BA1157" authorId="57" shapeId="0" xr:uid="{5B3C5EBE-AD12-47C5-A12E-6F1BB9322693}">
      <text>
        <t>[Threaded comment]
Your version of Excel allows you to read this threaded comment; however, any edits to it will get removed if the file is opened in a newer version of Excel. Learn more: https://go.microsoft.com/fwlink/?linkid=870924
Comment:
    County changed settlement requirements, Nicor determined it wasn't worth the risk and wanted to re-route</t>
      </text>
    </comment>
    <comment ref="BI1157" authorId="58" shapeId="0" xr:uid="{3E63A35F-A9D1-4749-AC53-E4219FEAF54E}">
      <text>
        <t>[Threaded comment]
Your version of Excel allows you to read this threaded comment; however, any edits to it will get removed if the file is opened in a newer version of Excel. Learn more: https://go.microsoft.com/fwlink/?linkid=870924
Comment:
    @Chamernik, Conner please fill out all red cells
Reply:
    @Betland, Joseph  done</t>
      </text>
    </comment>
    <comment ref="K1161" authorId="59" shapeId="0" xr:uid="{C125FC65-80DC-4C7A-8926-FF183F1FAD97}">
      <text>
        <t>[Threaded comment]
Your version of Excel allows you to read this threaded comment; however, any edits to it will get removed if the file is opened in a newer version of Excel. Learn more: https://go.microsoft.com/fwlink/?linkid=870924
Comment:
    @Lierow, Taylor please fill out red cells and highlight yellow when ready for my review. Please continue to follow up on this date as well</t>
      </text>
    </comment>
    <comment ref="K1163" authorId="60" shapeId="0" xr:uid="{6D79263C-D6D2-4957-9EC0-E52D9747B38C}">
      <text>
        <t>[Threaded comment]
Your version of Excel allows you to read this threaded comment; however, any edits to it will get removed if the file is opened in a newer version of Excel. Learn more: https://go.microsoft.com/fwlink/?linkid=870924
Comment:
    @Dina, Eric  can you pull in an analyst to fill out the red cells? Have them highlight yellow when ready for my review. Thanks!
Reply:
    Done, with the exception of Shactee effort.  I'll populate once we get the invoice.</t>
      </text>
    </comment>
    <comment ref="Q1167" authorId="61" shapeId="0" xr:uid="{FF7E8FCC-A6AE-431E-A9A7-6E075FF3DF68}">
      <text>
        <t>[Threaded comment]
Your version of Excel allows you to read this threaded comment; however, any edits to it will get removed if the file is opened in a newer version of Excel. Learn more: https://go.microsoft.com/fwlink/?linkid=870924
Comment:
    Revision involved major design coordination and resulted in changes to large portions of the design changing. Install method was changed, quantities updated, scope was broken in two work orders, tie-ins were changed, and vault design was removed.</t>
      </text>
    </comment>
    <comment ref="R1170" authorId="62" shapeId="0" xr:uid="{5D1CFB9C-EFC8-4303-9885-49E59186B505}">
      <text>
        <t>[Threaded comment]
Your version of Excel allows you to read this threaded comment; however, any edits to it will get removed if the file is opened in a newer version of Excel. Learn more: https://go.microsoft.com/fwlink/?linkid=870924
Comment:
    @Purtell, Tim/@Betland, Joseph   - updated this to "Hourly" and then entered in $14,750 in KH Hourly Effort to be consistent. I assume Logan has moved the time to an hourly task and then Walted the remaining time. It looks like your note in column M creates a record of this (however if you want to put something on this cell, I would just create a cell comment so that it doesn’t mess up the filters when we sort by hourly, %, etc.)
Reply:
    @Whitson, Bryan @Betland, Joseph  Logan did not move the effort to an hourly task and instead kept it under the $6,750 contract value (so the contract value for RS1202 is $6750+14750). This was the only way to bill exactly $14750. I do not think this would impact this change, but wanted to make you aware.</t>
      </text>
    </comment>
    <comment ref="Q1174" authorId="63" shapeId="0" xr:uid="{DCB0FF39-854C-4CF5-8022-48E6C01D07CF}">
      <text>
        <t xml:space="preserve">[Threaded comment]
Your version of Excel allows you to read this threaded comment; however, any edits to it will get removed if the file is opened in a newer version of Excel. Learn more: https://go.microsoft.com/fwlink/?linkid=870924
Comment:
    17 sheet MOT plan along IL-19 and coordination associated with this. 3 stages of traffic plans in order to minimize the impact to traffic in the area. </t>
      </text>
    </comment>
    <comment ref="AJ1178" authorId="64" shapeId="0" xr:uid="{4E2BB3B0-DD31-439B-8B13-02FC249872AC}">
      <text>
        <t>[Threaded comment]
Your version of Excel allows you to read this threaded comment; however, any edits to it will get removed if the file is opened in a newer version of Excel. Learn more: https://go.microsoft.com/fwlink/?linkid=870924
Comment:
    Shactee locates ($1,368.34) + Helix ($6,850)</t>
      </text>
    </comment>
    <comment ref="H1183" authorId="65" shapeId="0" xr:uid="{97456E6F-8D65-449F-8245-57C03618B828}">
      <text>
        <t>[Threaded comment]
Your version of Excel allows you to read this threaded comment; however, any edits to it will get removed if the file is opened in a newer version of Excel. Learn more: https://go.microsoft.com/fwlink/?linkid=870924
Comment:
    @Michaels, Nick  curious to get your thoughts on this - this wasn’t technically a revision, it was a breakout of scope from the original SC18611 project. We didn’t report this in Steering Committee as a revision, and we didn’t list revision on the sheets. We are going through a revision now so want to nail this down. 
Reply:
    Hmm - did we count it as a "released" project when we originally finished it? If we did, then we should show it as a revision. If not, im wondering if this should still be out of scope analysis since technically this was never a project we "completed". Either way, this is likely one we will need to talk through as a group but those are my thoughts right now.
Reply:
    The original SC18611 was counted as a fully released project, yes. And I think I had agreed with your logic, which is why we had noted this as a revision in completed projects. However, we didn't note it on the plans or report as that during steering committee, and now we have a true revision on the project and so just want to make sure we note that correctly. We can discuss more later</t>
      </text>
    </comment>
    <comment ref="Q1183" authorId="66" shapeId="0" xr:uid="{4A37E278-04F9-4056-AF70-FD358B4298C9}">
      <text>
        <t xml:space="preserve">[Threaded comment]
Your version of Excel allows you to read this threaded comment; however, any edits to it will get removed if the file is opened in a newer version of Excel. Learn more: https://go.microsoft.com/fwlink/?linkid=870924
Comment:
    @Betland, Joseph - could you please provide context to justify the amount of spend here?
Reply:
    This was a redesign to split out a significant portion of work from the original scope to reduce disturbance area for permitting. Redesign included a full new plan set, 8 design sheets, a full new cost estimate WO prepared, and coordination with Nicor departments. </t>
      </text>
    </comment>
    <comment ref="Q1186" authorId="67" shapeId="0" xr:uid="{4C70A033-6B22-4E73-852E-6BC87D0B68E3}">
      <text>
        <t xml:space="preserve">[Threaded comment]
Your version of Excel allows you to read this threaded comment; however, any edits to it will get removed if the file is opened in a newer version of Excel. Learn more: https://go.microsoft.com/fwlink/?linkid=870924
Comment:
    @Betland, Joseph - could you please provide context to justify the amount of spend here?
Reply:
    After project release, developer stated that they did not want to pay the cost that Nicor had provided them an estimate for. In June 2023 Nicor had approved KH to move forward while they coordinated the cost estimate. This cost included analysis of updated developer design, coordinating scope with Nicor, updating drawings (removed 1 sheet and updated design on others) and updating cost estimate for Nicor coordination with developer. </t>
      </text>
    </comment>
    <comment ref="BK1187" authorId="68" shapeId="0" xr:uid="{71B20A0C-7EEF-442D-87A8-213D362F712E}">
      <text>
        <t>[Threaded comment]
Your version of Excel allows you to read this threaded comment; however, any edits to it will get removed if the file is opened in a newer version of Excel. Learn more: https://go.microsoft.com/fwlink/?linkid=870924
Comment:
    @Hopkins, Matt please update red cells</t>
      </text>
    </comment>
    <comment ref="BN1187" authorId="69" shapeId="0" xr:uid="{871C5A9C-5487-461D-A5C7-D274735B98BE}">
      <text>
        <t>[Threaded comment]
Your version of Excel allows you to read this threaded comment; however, any edits to it will get removed if the file is opened in a newer version of Excel. Learn more: https://go.microsoft.com/fwlink/?linkid=870924
Comment:
    @Hopkins, Matt Please fill out if you anticipate sending for shactee review</t>
      </text>
    </comment>
    <comment ref="O1188" authorId="70" shapeId="0" xr:uid="{4ED4B113-6514-4FA6-87AC-E2067634A01E}">
      <text>
        <t>[Threaded comment]
Your version of Excel allows you to read this threaded comment; however, any edits to it will get removed if the file is opened in a newer version of Excel. Learn more: https://go.microsoft.com/fwlink/?linkid=870924
Comment:
    @Michaels, Nick is this all closed out and should be billed in june?
Reply:
    @Betland, Joseph  - Updated</t>
      </text>
    </comment>
    <comment ref="Q1188" authorId="71" shapeId="0" xr:uid="{CD9DE999-BAB1-44A5-8118-989019118354}">
      <text>
        <t>[Threaded comment]
Your version of Excel allows you to read this threaded comment; however, any edits to it will get removed if the file is opened in a newer version of Excel. Learn more: https://go.microsoft.com/fwlink/?linkid=870924
Comment:
    Revision included complete revision of running line for entire scope of project. Running line was moved from parkway into pavement and CCDOTH required notes and details were updated for the new design.</t>
      </text>
    </comment>
    <comment ref="Q1195" authorId="72" shapeId="0" xr:uid="{7C9F007C-9B2D-4D9D-A42B-9C6943CBA6AF}">
      <text>
        <t>[Threaded comment]
Your version of Excel allows you to read this threaded comment; however, any edits to it will get removed if the file is opened in a newer version of Excel. Learn more: https://go.microsoft.com/fwlink/?linkid=870924
Comment:
    Revision effort included running line changes and significant coordination with the village to get preliminary approval on the proposed changes (per request from Nicor).</t>
      </text>
    </comment>
    <comment ref="AD1197" authorId="73" shapeId="0" xr:uid="{6D7B0462-7FBF-413F-8782-487A5B5C328D}">
      <text>
        <t xml:space="preserve">[Threaded comment]
Your version of Excel allows you to read this threaded comment; however, any edits to it will get removed if the file is opened in a newer version of Excel. Learn more: https://go.microsoft.com/fwlink/?linkid=870924
Comment:
    Revision was due to changes to DOT scope/design. </t>
      </text>
    </comment>
    <comment ref="AM1210" authorId="74" shapeId="0" xr:uid="{C5B04004-413C-435C-9A08-04188C18163E}">
      <text>
        <t>[Threaded comment]
Your version of Excel allows you to read this threaded comment; however, any edits to it will get removed if the file is opened in a newer version of Excel. Learn more: https://go.microsoft.com/fwlink/?linkid=870924
Comment:
    Billed Nicor hourly for additional effort</t>
      </text>
    </comment>
    <comment ref="AM1211" authorId="75" shapeId="0" xr:uid="{26348461-40C8-454E-976E-A9F884D65192}">
      <text>
        <t>[Threaded comment]
Your version of Excel allows you to read this threaded comment; however, any edits to it will get removed if the file is opened in a newer version of Excel. Learn more: https://go.microsoft.com/fwlink/?linkid=870924
Comment:
    Billed Nicor hourly for additional effort.</t>
      </text>
    </comment>
    <comment ref="Q1212" authorId="76" shapeId="0" xr:uid="{4E485A7F-066B-4033-9150-28490BF5A2F7}">
      <text>
        <t>[Threaded comment]
Your version of Excel allows you to read this threaded comment; however, any edits to it will get removed if the file is opened in a newer version of Excel. Learn more: https://go.microsoft.com/fwlink/?linkid=870924
Comment:
    Hourly invoice that Nicor (Josh Z) agreed to due to out of scope work/changes that occurred on original LS project. Approval of this hourly invoice saved down in project folder.</t>
      </text>
    </comment>
    <comment ref="Q1227" authorId="77" shapeId="0" xr:uid="{2E3ECB00-33F6-40A5-B440-AD03430BB259}">
      <text>
        <t>[Threaded comment]
Your version of Excel allows you to read this threaded comment; however, any edits to it will get removed if the file is opened in a newer version of Excel. Learn more: https://go.microsoft.com/fwlink/?linkid=870924
Comment:
    Project involved creation of entirely new drawing package to split original 2500 LF WO into 2 separate WO with new quantity, test data, sheet cuts/sheets, conflict analysis, updated design incorporation, and PCTS estimates. Eng was given notice of the increased effort on this project.</t>
      </text>
    </comment>
    <comment ref="AJ1231" authorId="78" shapeId="0" xr:uid="{4370FE79-0994-4FDD-9BD1-ED39D4D91B2D}">
      <text>
        <t>[Threaded comment]
Your version of Excel allows you to read this threaded comment; however, any edits to it will get removed if the file is opened in a newer version of Excel. Learn more: https://go.microsoft.com/fwlink/?linkid=870924
Comment:
    It looks like Millennia forgot to bill us for a pothole.  Getting confirmation.
Reply:
    Pending response from Millenia</t>
      </text>
    </comment>
    <comment ref="Q1235" authorId="79" shapeId="0" xr:uid="{366DD6FB-15A5-45BE-BF0A-CAA8A3175DFB}">
      <text>
        <t>[Threaded comment]
Your version of Excel allows you to read this threaded comment; however, any edits to it will get removed if the file is opened in a newer version of Excel. Learn more: https://go.microsoft.com/fwlink/?linkid=870924
Comment:
    Reasoning for Hourly Task: 
08/30/2023 – 10/26/2023: Redline Revision Items
Task was opened on 08/30/2023 with confirmation from Josh Ziliak. The Village of Barrington Engineer requested onsite meeting from Nicor due to Nicor having delays with construction of the project. These delays triggered adjustments to the plans for Nicor to relocate parts of the project to prevent delays with the Villages construction. Once the plans were redlined and submitted, follow ups were sent to Chip for closing the task. On 11/9/2023, Joey sent an email confirming on Steering Committee with Chip to leave the task open for any additional assistance in the future. 
12/08/2023: Direct &amp; Indirect Conflict Review
Task was used for providing critical areas of needed relocation for the N14915 Scope of Work. This was for Nicor to plan which areas need to be relocated next to prevent Village delays. 
Follows ups were sent monthly from 12/08 to 3/11 to close the task out. 
04/03/2024 – 07/10/2024
Nicor had requested a grading review, plan and submission for a regrading of the vault that was installed as part of this project. The concerns were the drainage in the area and how to improve for the village, and installing curbs for protection for the vault. This SOW included obtaining surveys, putting together grading plans (from asset management) and coordination with Nicor. This task remained open while Chip coordinated with the village. 
09/19/2024 - T&amp;M Closed out with a call with chip. 
Reply:
    TLDR: This task was open for quite awhile with Nicor and included a number of different things. Mostly this was construction phase services: multiple site visits, meetings, conflict reviews/exhibits, and then ultimately included the grading plan as well. Chip requested all this effort be lumped together.
Reply:
    sounds good</t>
      </text>
    </comment>
    <comment ref="Q1236" authorId="80" shapeId="0" xr:uid="{CD60EA5D-7412-4DE0-8546-063D31D79EB1}">
      <text>
        <t xml:space="preserve">[Threaded comment]
Your version of Excel allows you to read this threaded comment; however, any edits to it will get removed if the file is opened in a newer version of Excel. Learn more: https://go.microsoft.com/fwlink/?linkid=870924
Comment:
    Over 5k, need comments
Reply:
    Is the rev 3 for this outstanding still? Another $797.50 charged to it.
Reply:
    The comments for this one came shortly after Rev 1 was released, and were really a part of the first round of comments - they just came late because the County wasn’t coordinated very well. We chatted with Nicor about it and they wanted it released as a separate revision, but that determination wasn’t finalized until October or so, which is why we held off billing and reporting Rev 1. The proposed design didn’t actually, technically, interfere with the ADA ramp, but the County wanted the design added to be safe, and Chip agreed since some of the construction could break up the ramp. It’s worth noting that Nicor did not approve of paying for survey on this project, but we went and got it anyways (and didn’t charge them) due to the DOT not having provided appropriate survey to do a detailed ADA design, and because we knew it would yield a better design. 
Rev 3 comments came in late August but was able to be negotiated out of. </t>
      </text>
    </comment>
    <comment ref="Q1241" authorId="81" shapeId="0" xr:uid="{DC1A200E-0586-446C-B7BA-3DD4D2F188BE}">
      <text>
        <t>[Threaded comment]
Your version of Excel allows you to read this threaded comment; however, any edits to it will get removed if the file is opened in a newer version of Excel. Learn more: https://go.microsoft.com/fwlink/?linkid=870924
Comment:
    Project required extensive redesign due to unforeseen utility crowding. KH recommended survey during design, but Nicor refused. Additional effort required for site visit.</t>
      </text>
    </comment>
    <comment ref="Q1243" authorId="82" shapeId="0" xr:uid="{F47CCF3F-B1A9-46A2-A5D3-E2ED89DDD135}">
      <text>
        <t>[Threaded comment]
Your version of Excel allows you to read this threaded comment; however, any edits to it will get removed if the file is opened in a newer version of Excel. Learn more: https://go.microsoft.com/fwlink/?linkid=870924
Comment:
    Nicor Engineering requested limits of WO 1413358 be extended farther west due to the Town of Normal extending construction limits west of the Rivian Entrance. Nicor Engineering requested KH to coordinate proposed tie-ins with SYS OPS, to confirm feasibility and preferences. Coordination with SYS OPS included two running line/tie-in meetings. Additionally, further coordination with multiple Nicor departments was required due to the need for a temporary bypass on the existing vault within the scope. The temporary bypass on the vault resulted in two meetings with Nicor, to confirm departments were comfortable with this design condition. Before the Addendum A request, the vault was to be installed and retired on the adjacent WO 1413964. However, with the western expansion, the temporary bypass line was required to avoid potential conflicts with the existing vault’s bypass line and the DOT’s improvements. KH updated design, design quantities, bill of materials, test sections, and test data sheets, test data tables as a result to the revised tie-in locations.  
Reply:
    TLDR: DOT project was extended an additional 600’ which included additional conflicts on EX Nicor main and also a vault which was not previously in conflict. Included significant Nicor coordination due to design including new vault bypass.</t>
      </text>
    </comment>
    <comment ref="Q1244" authorId="83" shapeId="0" xr:uid="{9A98B17F-7426-41D4-882D-4FAD321F49DD}">
      <text>
        <t xml:space="preserve">[Threaded comment]
Your version of Excel allows you to read this threaded comment; however, any edits to it will get removed if the file is opened in a newer version of Excel. Learn more: https://go.microsoft.com/fwlink/?linkid=870924
Comment:
    Over 5k, need comments
Reply:
    I tried being as descriptive as possible in the notes section, but basically this is a medium sized project that required a significant update due to updated Village design. The cost of 31k seems high based on just looking at the amount we expanded scope (only one sheet) but note that the design had to be updated/adjusted on multiple sheets, depth callouts added/adjusted, new linework added in and reviewed, a sheet outside of the DOT scope added that required JULIE coordination and aerial tracing. On top of that, coordinating with multiple Nicor departments from March 2024 to October 2024 to review updated scope/design, cost estimates, etc. led to quite a bit of effort. 
The expanded scope outside of the DOT project was due to increased Village storm sewer design that would have required us to go below the sewer, where there was shallow bedrock. Our design adjusted to get rid of that portion of the relocation, and add a re-route to the south of the DOT improvements. </t>
      </text>
    </comment>
    <comment ref="Q1255" authorId="84" shapeId="0" xr:uid="{4C2DBEC4-1F43-4324-B691-E91F3501337C}">
      <text>
        <t xml:space="preserve">[Threaded comment]
Your version of Excel allows you to read this threaded comment; however, any edits to it will get removed if the file is opened in a newer version of Excel. Learn more: https://go.microsoft.com/fwlink/?linkid=870924
Comment:
    Over 5k, need comments
Reply:
    This task included some coordination with Nicor to verify if this is something that they would want to include in future coordination/drawings as a precedent, which they did not. We also coordinated with IDOT on this project to push back on the comments and clarify them. Ultimately, Nicor wanted to move forward with the comments but did NOT want their permitting database updated, but want us to keep an eye on this in the future, so we have updated our permitting database accordingly. </t>
      </text>
    </comment>
    <comment ref="Q1256" authorId="85" shapeId="0" xr:uid="{5BDD7D6F-052B-43B8-8533-9CC2D39F451C}">
      <text>
        <t>[Threaded comment]
Your version of Excel allows you to read this threaded comment; however, any edits to it will get removed if the file is opened in a newer version of Excel. Learn more: https://go.microsoft.com/fwlink/?linkid=870924
Comment:
    This was an advance WO dwg that we completed as hourly per Nicor request. Effort involved 50’ of 8” MOP service design,TDS calculations, Region Review/TDS review and coordination, and multiple scoping and design calls with Nicor and Rivian.
Reply:
    For reference, this saved Nicor ~$2k versus if we’d have billed it as a typical 8% of construction cost.</t>
      </text>
    </comment>
    <comment ref="Q1263" authorId="86" shapeId="0" xr:uid="{EAAEB583-6911-471E-8454-C4CC13BAD8CD}">
      <text>
        <t xml:space="preserve">[Threaded comment]
Your version of Excel allows you to read this threaded comment; however, any edits to it will get removed if the file is opened in a newer version of Excel. Learn more: https://go.microsoft.com/fwlink/?linkid=870924
Comment:
    All conflict tables on 16 design pages had to adjust for the updated drainage and grading (larger cut sections). ROW got wider in some areas but did not affect running line. Analysis had to be completed with 6" 2003 TR line at the US 20 and N Rees Road. </t>
      </text>
    </comment>
    <comment ref="J1265" authorId="87" shapeId="0" xr:uid="{32ABA6A8-EB57-46BE-A901-F6D2D2B25D82}">
      <text>
        <t>[Threaded comment]
Your version of Excel allows you to read this threaded comment; however, any edits to it will get removed if the file is opened in a newer version of Excel. Learn more: https://go.microsoft.com/fwlink/?linkid=870924
Comment:
    No EADD in EDSR form. 11/18 is self imposed date.</t>
      </text>
    </comment>
    <comment ref="Q1266" authorId="88" shapeId="0" xr:uid="{2CDA44DF-1383-4E70-B073-ACC83A2236A8}">
      <text>
        <t>[Threaded comment]
Your version of Excel allows you to read this threaded comment; however, any edits to it will get removed if the file is opened in a newer version of Excel. Learn more: https://go.microsoft.com/fwlink/?linkid=870924
Comment:
    2 Phase/9 Page MOT plan for 1 tie in area and 1 cut and cap/stop area in the middle of E Boughton Rd and IL 53. Multiple phase MOT needed to avoid detour to limit further permitting comments. Boughton (muni) and IL 53 (IDOT) are both very heavily trafficked roadways.</t>
      </text>
    </comment>
    <comment ref="Q1268" authorId="89" shapeId="0" xr:uid="{C8378B95-939A-4866-AF1F-289B6FFCFBC6}">
      <text>
        <t>[Threaded comment]
Your version of Excel allows you to read this threaded comment; however, any edits to it will get removed if the file is opened in a newer version of Excel. Learn more: https://go.microsoft.com/fwlink/?linkid=870924
Comment:
    Need updated Shactee numbers to finalize invoice
Reply:
    Revision included coordination with multiple AHJs to coordinate an alternate design which IDOT would allow without needing a custom MOT plan which would require further review on their end and slow down the construction schedule. The design change required updating design and changing the baseline to both add and remove certain areas to the scope and changed multiple test sections.</t>
      </text>
    </comment>
    <comment ref="S1268" authorId="90" shapeId="0" xr:uid="{01C82F02-DC3E-4F9B-9419-C43029382AAD}">
      <text>
        <t>[Threaded comment]
Your version of Excel allows you to read this threaded comment; however, any edits to it will get removed if the file is opened in a newer version of Excel. Learn more: https://go.microsoft.com/fwlink/?linkid=870924
Comment:
    TBD, waiting for invoice
Reply:
    @Bruce, Logan  @Chamernik, Conner  has this number been finalized yet? I’m seeing different numbers in the 2024 3rd Party Tracker
Reply:
    we only have 144.25 invoiced from Shactee so far. the rest are estimates. Not sure where this initial number came from
Reply:
    This was the Shactee estimate when they returned a deliverable. I am still waiting on the invoice to come through to finalize this number.
Reply:
    It was just an estimate
Reply:
    @Betland, Joseph - this is updated per 3rd party review now.</t>
      </text>
    </comment>
    <comment ref="Q1271" authorId="91" shapeId="0" xr:uid="{88D67019-3C98-424E-969A-A93DA6A9018D}">
      <text>
        <t>[Threaded comment]
Your version of Excel allows you to read this threaded comment; however, any edits to it will get removed if the file is opened in a newer version of Excel. Learn more: https://go.microsoft.com/fwlink/?linkid=870924
Comment:
    Hourly invoice to cover scoping/site visit effort of project that was ultimately cancelled. This project was assigned and we were asked to proceed as quickly as possible due to it being very high priority. Easement exhibits, cost estimate discussions, site visits, survey coordination, and scoping/scoping exhibits were all done/prepared during project kickoff prior to project being cancelled. Hourly invoice for this has already been coordinated with Josh Z.</t>
      </text>
    </comment>
    <comment ref="Q1272" authorId="92" shapeId="0" xr:uid="{813FA110-9C85-4443-9776-35CAFBFC3F30}">
      <text>
        <t>[Threaded comment]
Your version of Excel allows you to read this threaded comment; however, any edits to it will get removed if the file is opened in a newer version of Excel. Learn more: https://go.microsoft.com/fwlink/?linkid=870924
Comment:
    All effort moved to 168777007.K.501 when cancelled</t>
      </text>
    </comment>
    <comment ref="U1272" authorId="93" shapeId="0" xr:uid="{0A575EBF-E9DB-49ED-A094-CB456ABC59B2}">
      <text>
        <t>[Threaded comment]
Your version of Excel allows you to read this threaded comment; however, any edits to it will get removed if the file is opened in a newer version of Excel. Learn more: https://go.microsoft.com/fwlink/?linkid=870924
Comment:
    All effort put onto a single task for cancellation/close out.</t>
      </text>
    </comment>
    <comment ref="Q1273" authorId="94" shapeId="0" xr:uid="{EEBE5938-2AE2-4B61-9630-8AC4E72B0A3D}">
      <text>
        <t>[Threaded comment]
Your version of Excel allows you to read this threaded comment; however, any edits to it will get removed if the file is opened in a newer version of Excel. Learn more: https://go.microsoft.com/fwlink/?linkid=870924
Comment:
    All effort moved to 168777007.K.501 when cancelled</t>
      </text>
    </comment>
    <comment ref="U1273" authorId="95" shapeId="0" xr:uid="{7243EAD2-0C77-46FF-A74B-7034A8E67632}">
      <text>
        <t>[Threaded comment]
Your version of Excel allows you to read this threaded comment; however, any edits to it will get removed if the file is opened in a newer version of Excel. Learn more: https://go.microsoft.com/fwlink/?linkid=870924
Comment:
    All effort put onto a single task for cancellation/close out.</t>
      </text>
    </comment>
    <comment ref="J1275" authorId="96" shapeId="0" xr:uid="{B49D8DB0-875E-4F88-B6EF-61C1ABC916B5}">
      <text>
        <t>[Threaded comment]
Your version of Excel allows you to read this threaded comment; however, any edits to it will get removed if the file is opened in a newer version of Excel. Learn more: https://go.microsoft.com/fwlink/?linkid=870924
Comment:
    @Hopkins, Matt - Please provide a status update, follow up, or unhighlight if this is complete. Please make sure this gets addressed ASAP.
Reply:
    this has been included in the outstanding date extension spreadsheet we sent out bi-weekly in the "released project tab"</t>
      </text>
    </comment>
    <comment ref="Q1288" authorId="97" shapeId="0" xr:uid="{1C3F997D-F730-4F0F-B6DF-B70B5971AAD0}">
      <text>
        <t>[Threaded comment]
Your version of Excel allows you to read this threaded comment; however, any edits to it will get removed if the file is opened in a newer version of Excel. Learn more: https://go.microsoft.com/fwlink/?linkid=870924
Comment:
    Revision involved full redesign of ~1250LF of gas main from parkway into road and adjustment to pavt break quantities and tie-ins along this stretch as well.</t>
      </text>
    </comment>
    <comment ref="Q1289" authorId="98" shapeId="0" xr:uid="{CB8B618D-8715-4CE1-BF46-15EDD6017366}">
      <text>
        <t>[Threaded comment]
Your version of Excel allows you to read this threaded comment; however, any edits to it will get removed if the file is opened in a newer version of Excel. Learn more: https://go.microsoft.com/fwlink/?linkid=870924
Comment:
    @Betland, Joseph - add comment to justify spend over 5k
Reply:
    KH team met with and coordinated with CCDOTH multiple times, as well as coordinated with Nicor, to verify that the comments that were incorporated were acceptable by Nicor. This was a project at a CCDOTH and IDOT intersection, so some of the comments from CCDOTH were technically in IDOT ROW. Nicor was frustrated by this, but ultimately had us add the comments that were needed to push this through. CCDOTH also wanted a full grading plan for a small amount of sidewalk restoration, which KH pushed back on somewhat successfully, and coordinated with Nicor to provide a blowup detail and some notes, as opposed to a full grading plan. CCDOTH reported to KH that thei reviews were not previously incorporating certain departments, which it sounds like they will be moving forrward. Chip is very aware of this revision and expressed continued frustration with CCDOTH.</t>
      </text>
    </comment>
    <comment ref="Q1290" authorId="99" shapeId="0" xr:uid="{53908814-43A2-4302-AEBF-1A3CF4829B3D}">
      <text>
        <t xml:space="preserve">[Threaded comment]
Your version of Excel allows you to read this threaded comment; however, any edits to it will get removed if the file is opened in a newer version of Excel. Learn more: https://go.microsoft.com/fwlink/?linkid=870924
Comment:
    Task was originally opened due to Nicor's request for KH to assist on reviewing different design options that would avoid the large re-route that was originally decided on, as well as got the main relocated in time for the DOT's construction schedule. The challenge with this project was the a ~30' grade cut to lower a road and build a bridge over it, effectively cut off the only 6" gas main connection point between two large systems, which is what caused the re-route. KH met with the Village and multiple Nicor departments a number of times to go over different options to cross the large grade cut, different ways of crossing the railroad, what needed to be relocated first, etc. Ultimately, Nicor elected to splitting the work into two phases, which accomplishes eliminating the large re-route to the north, as well as relocates the main that the DOT needs gone immediately. 
</t>
      </text>
    </comment>
    <comment ref="D1303" authorId="100" shapeId="0" xr:uid="{A2D96BD8-8006-4D80-9B93-DA7D84B1BD13}">
      <text>
        <t>[Threaded comment]
Your version of Excel allows you to read this threaded comment; however, any edits to it will get removed if the file is opened in a newer version of Excel. Learn more: https://go.microsoft.com/fwlink/?linkid=870924
Comment:
    Previously 1014369. Changed due to IT issues on Nicor's end</t>
      </text>
    </comment>
    <comment ref="Q1305" authorId="101" shapeId="0" xr:uid="{BC252AC5-372F-4ABF-830D-560CDEA90407}">
      <text>
        <t xml:space="preserve">[Threaded comment]
Your version of Excel allows you to read this threaded comment; however, any edits to it will get removed if the file is opened in a newer version of Excel. Learn more: https://go.microsoft.com/fwlink/?linkid=870924
Comment:
    There were 4 separate hourly requests from Nicor for this project:
On 10/16/24, Nicor ConOps requested Kimley-Horn to complete a redline markup to revise the main at the intersection of Archer Ave (IL-171) and Oak Grove Ave.  The hourly effort for this task included coordination, design, and the submittal of a redlined field exhibit.  This was submitted to Nicor on 10/24/24.
On 10/29/24, Nicor ConOps requested Kimley-Horn to analyze a running line along W 79th St that was provided in a markup that was a result of a site walk that they completed.  The hourly effort for this task included the analysis of the proposed running line against the proposed IDOT improvements and the submittal of an analysis exhibit.  The exhibit was submitted to Nicor on 10/31/24.
On 11/12/24, Nicor ConOps and Engineering requested Kimley-Horn to complete a running line analysis along W 79th St to potentially eliminate some of the relocation scope due to some originally identified conflicts being deemed as no conflict after Nicor discussions with IDOT.  The hourly effort for this task included the analysis of the conflicts and proposed relocation design along W 79th St, and the submittal included a exhibits and an email detailing the findings.  This was submitted to Nicor on 11/18/24.
On 11/19/24, Nicor Engineering requested Kimley-Horn to investigate a new conflict that was found during IDOT’s construction at the intersection of 88th Ave and W 81st St.  The conflict was due to the gas main being shown in a different location on the atlas pages than what was found during construction.  These findings resulted in a required main reroute to resolve the conflict.  The hourly effort for this task includes the effort to complete Revision 3.  Kimley-Horn also obtained additional electronic locates for the affected area.
</t>
      </text>
    </comment>
    <comment ref="Q1307" authorId="102" shapeId="0" xr:uid="{982B6AFC-DB58-4A9E-A085-3D5BD16E5BC4}">
      <text>
        <t xml:space="preserve">[Threaded comment]
Your version of Excel allows you to read this threaded comment; however, any edits to it will get removed if the file is opened in a newer version of Excel. Learn more: https://go.microsoft.com/fwlink/?linkid=870924
Comment:
    Will County updated drawings that required updated running line changes to one design sheet, and multiple conflict tables on multiple design sheets. The ComEd updated design was provided and we originally were asked by Nicor to do a redline revision, but when Will County’s design required an update to the drawings, Nicor requested that the running line updates from ComEd’s design, was included in that as well. </t>
      </text>
    </comment>
    <comment ref="AB1308" authorId="103" shapeId="0" xr:uid="{A3DC9674-2231-4CC6-B0FA-34F53B4148BA}">
      <text>
        <t>[Threaded comment]
Your version of Excel allows you to read this threaded comment; however, any edits to it will get removed if the file is opened in a newer version of Excel. Learn more: https://go.microsoft.com/fwlink/?linkid=870924
Comment:
    Ron Westphal</t>
      </text>
    </comment>
    <comment ref="AK1311" authorId="104" shapeId="0" xr:uid="{21AD14EE-A2EA-4616-B2A2-CFD4737370D6}">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@Rojas, Taylor When you have a minute can you please help pull the effort from Shactee on this project?</t>
      </text>
    </comment>
    <comment ref="J1315" authorId="105" shapeId="0" xr:uid="{72316CF4-C75A-4BB7-8FEE-DC59D5ED8AFC}">
      <text>
        <t>[Threaded comment]
Your version of Excel allows you to read this threaded comment; however, any edits to it will get removed if the file is opened in a newer version of Excel. Learn more: https://go.microsoft.com/fwlink/?linkid=870924
Comment:
    F/U 3/7
Reply:
    F/U 4/7
Reply:
    @Lierow, Taylor / @Kulach, Caroline - Please provide a status update, follow up, or unhighlight if this is complete. Please make sure this gets addressed ASAP.</t>
      </text>
    </comment>
    <comment ref="J1316" authorId="106" shapeId="0" xr:uid="{3F58AA1F-D114-4BAA-B6CD-C2B057DCF245}">
      <text>
        <t xml:space="preserve">[Threaded comment]
Your version of Excel allows you to read this threaded comment; however, any edits to it will get removed if the file is opened in a newer version of Excel. Learn more: https://go.microsoft.com/fwlink/?linkid=870924
Comment:
    @Castellon, Randy - Please provide a status update, follow up, or unhighlight if this is complete. Please make sure this gets addressed ASAP.
@Lierow, Taylor  - can you coordinate this while Randy is out
Reply:
    Doesnt this get followed up on a monthly basis? @Hopkins, Matt </t>
      </text>
    </comment>
    <comment ref="M1320" authorId="107" shapeId="0" xr:uid="{7A0A0A00-FE95-4921-9FCD-AFEE013008E6}">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This WO is the second "phased" portion for N14359 Barrington . Originally, the project included a large reroute to avoid large DOT construction, grade cuts, and proposed utilities. The reroute was reviewed and approved previously, however Engineering had requested to review other options or a phased approach, which included reviewing different running line potentials within the DOT scope, reviewing feasibility of install with challenges such as a creek reroute, proposed and temporary roads, and anchored retaining walls. Much of the coordination included confirmation against the phased approach with System Planning/System Operations, multiple meetings with the Village of Barrington, and design discussion with Engineering and ConOps. The recommendation was to avoid the phased approach due to the schedule and timing imposed by System planning. Ultimately, Nicor moved forward with updating and creating new relocation drawings. 
WO 1214809 Includes a separate plan set with the design of N14359 included the addition of 5 new sheets including updated LG drawings and retirement. There is additional coordination and design considerations with the LG drawing, as well as unique design requirements with Nicor and the Village to communicate construction schedules to avoid any delays with construction. A new permit package for the LG drawing set will be put together for this cost as well. Any and all coordination between Nicor, the Village and IDOT will be included in the cost. 
Reply:
    @Castellon, Randy  keeping this description here for record. Please update red cells and tag @Dina, Eric and I when they’re ready for review
Reply:
    @Castellon, Randy have you reviewed this revision reasoning for steering committee yet?  Wording still needs to be revised.
Reply:
    @Dina, Eric This reasoning is ready for your review</t>
      </text>
    </comment>
    <comment ref="J1321" authorId="108" shapeId="0" xr:uid="{8438E070-6111-4C4B-A734-25D60EE49720}">
      <text>
        <t>[Threaded comment]
Your version of Excel allows you to read this threaded comment; however, any edits to it will get removed if the file is opened in a newer version of Excel. Learn more: https://go.microsoft.com/fwlink/?linkid=870924
Comment:
    @Corbi, Camille - Please provide a status update, follow up, or unhighlight if this is complete.
Reply:
    In excel that is sent to eng biweekly - i thought we where using that instead of follow ups?</t>
      </text>
    </comment>
    <comment ref="J1323" authorId="109" shapeId="0" xr:uid="{67D9A772-C2B6-40C0-A531-1952CBB5E698}">
      <text>
        <t>[Threaded comment]
Your version of Excel allows you to read this threaded comment; however, any edits to it will get removed if the file is opened in a newer version of Excel. Learn more: https://go.microsoft.com/fwlink/?linkid=870924
Comment:
    @Hopkins, Matt - Please provide a status update, follow up, or unhighlight if this is complete. Please make sure this gets addressed ASAP.
Reply:
    this has been included in the outstanding date extension spreadsheet we sent out bi-weekly in the "released project tab"</t>
      </text>
    </comment>
    <comment ref="J1326" authorId="110" shapeId="0" xr:uid="{3E9B7FD1-70B7-4AA4-8A49-D4B89F9E79B5}">
      <text>
        <t>[Threaded comment]
Your version of Excel allows you to read this threaded comment; however, any edits to it will get removed if the file is opened in a newer version of Excel. Learn more: https://go.microsoft.com/fwlink/?linkid=870924
Comment:
    Follow up 3/6
Reply:
    @Ekstrom, Ethan - Please provide a status update, follow up, or unhighlight if this is complete.
Reply:
    This project has been included in the outstanding date extension spreadsheet we sent out bi-weekly in the "released project tab"</t>
      </text>
    </comment>
    <comment ref="J1327" authorId="111" shapeId="0" xr:uid="{70E70EA3-07CB-4F10-865D-D951ACB322A0}">
      <text>
        <t>[Threaded comment]
Your version of Excel allows you to read this threaded comment; however, any edits to it will get removed if the file is opened in a newer version of Excel. Learn more: https://go.microsoft.com/fwlink/?linkid=870924
Comment:
    @Ekstrom, Ethan - Please provide a status update, follow up, or unhighlight if this is complete.
Reply:
    This project has been included in the outstanding date extension spreadsheet we sent out bi-weekly in the "released project tab"</t>
      </text>
    </comment>
    <comment ref="AC1337" authorId="112" shapeId="0" xr:uid="{8D436583-C3C8-477E-B399-22997D111A64}">
      <text>
        <t>[Threaded comment]
Your version of Excel allows you to read this threaded comment; however, any edits to it will get removed if the file is opened in a newer version of Excel. Learn more: https://go.microsoft.com/fwlink/?linkid=870924
Comment:
    @LaPorte, Marissa / @McTigue, Thomas - Would you please fill out the red cells in these rows?
Reply:
    Updated, debrief in March</t>
      </text>
    </comment>
    <comment ref="Q1340" authorId="113" shapeId="0" xr:uid="{073E789F-D437-4001-A698-FE6EDE0CA524}">
      <text>
        <t>[Threaded comment]
Your version of Excel allows you to read this threaded comment; however, any edits to it will get removed if the file is opened in a newer version of Excel. Learn more: https://go.microsoft.com/fwlink/?linkid=870924
Comment:
    Revision required re-combining of WO drawings that were once separate based on coordination with Nicor to keep all vintage PE main on its own WO. Re-combining of WO required test section, and tie in revisions for ~7700’ of main in a neighborhood (8 test sections).</t>
      </text>
    </comment>
    <comment ref="J1341" authorId="114" shapeId="0" xr:uid="{E121105B-C3F5-4CF9-9899-2B0F3004CB73}">
      <text>
        <t>[Threaded comment]
Your version of Excel allows you to read this threaded comment; however, any edits to it will get removed if the file is opened in a newer version of Excel. Learn more: https://go.microsoft.com/fwlink/?linkid=870924
Comment:
    @Hopkins, Matt - Please provide a status update, follow up, or unhighlight if this is complete. Please make sure this gets addressed ASAP.
Reply:
    this has been included in the outstanding date extension spreadsheet we sent out bi-weekly in the "released project tab"
chatted with Joey and I will bring this up to Engineering when I'm on a call with them.</t>
      </text>
    </comment>
    <comment ref="M1344" authorId="115" shapeId="0" xr:uid="{19EE0DD8-92A3-4ECF-AAD3-20A5E4303730}">
      <text>
        <t>[Threaded comment]
Your version of Excel allows you to read this threaded comment; however, any edits to it will get removed if the file is opened in a newer version of Excel. Learn more: https://go.microsoft.com/fwlink/?linkid=870924
Comment:
    @Chamernik, Conner  by end of this week, could you re-write this to be consistent with the other tasks that are marked “coordination”? See N15837 as a good example. Did we ever get this approved as an hourly task? Not seeing that uploaded to the folder so just curious
@Dina, Eric 
Reply:
    I rewrote this and modeled it off N15837. Let me know if you have any questions or would like me to change anything. We did not get hourly approval on this.
Reply:
    Construction support of the SC21364 – City of St. Charles postponed their construction until spring of 2025. Nicor previously disconnected their main in order for the city to install their culvert. However due to the DOT's construction being delayed, Nicor requested to reconnect the system, disconnect the main again during the city's culvert installation in spring 2025, and then reconnect the system again through a sleeve that the city is installing on top of their culvert. Support also consisted of email coordination and meetings with the City of St Charles, the city's contractor, and various departments at Nicor. Additionally KH looked into alternative running lines/design options and provided preliminary cost estimates.
Reply:
    I updated this slightly - was the reason that they needed us involved, for the reconnect design and coordination? Did the design end up changing at all?
Reply:
    Design did technically change - just went above instead of below the culvert. We did also explore alternative designs, costs estimates for those  alternative designs, and supported in estimates for rock boring.
We basically got involved when Calvin reached out about looking into alternative designs as ConOps was having some issues in the field going below the culvert. We decided and coordinated it would be feasible to go above if the city laid a PVC sleeve on top of their culvert for Nicor to go above (no clearance but Nicor preferred that). From there, ConOps disconnected the system to allow the city to install their culvert. Once they disconnected, the city pushed their construction out pretty far and Nicor was left with a disconnected system. That's when we really started exploring other options, cost estimates, etc.
Reply:
    No updated plans though, right?</t>
      </text>
    </comment>
    <comment ref="J1347" authorId="116" shapeId="0" xr:uid="{B5259A27-5D56-48D8-A97D-5ABA8C628E3C}">
      <text>
        <t>[Threaded comment]
Your version of Excel allows you to read this threaded comment; however, any edits to it will get removed if the file is opened in a newer version of Excel. Learn more: https://go.microsoft.com/fwlink/?linkid=870924
Comment:
    @Castellon, Randy - Please provide a status update, follow up, or unhighlight if this is complete. Please make sure this gets addressed ASAP.
@Lierow, Taylor - can you coordinate this while Randy is out
Reply:
    @Hopkins, Matt Are you aware of this one?
Reply:
    this has been included in the outstanding date extension spreadsheet we sent out bi-weekly in the "released project tab"</t>
      </text>
    </comment>
    <comment ref="J1349" authorId="117" shapeId="0" xr:uid="{D7BDCAB4-C000-4843-8D7C-3AE2718FB49B}">
      <text>
        <t>[Threaded comment]
Your version of Excel allows you to read this threaded comment; however, any edits to it will get removed if the file is opened in a newer version of Excel. Learn more: https://go.microsoft.com/fwlink/?linkid=870924
Comment:
    F/U 4/7
Reply:
    @Lierow, Taylor / @Kulach, Caroline - Please provide a status update, follow up, or unhighlight if this is complete. Please make sure this gets addressed ASAP.</t>
      </text>
    </comment>
    <comment ref="J1353" authorId="118" shapeId="0" xr:uid="{E74080F8-AF8A-4CFC-9CD2-391296A019AC}">
      <text>
        <t>[Threaded comment]
Your version of Excel allows you to read this threaded comment; however, any edits to it will get removed if the file is opened in a newer version of Excel. Learn more: https://go.microsoft.com/fwlink/?linkid=870924
Comment:
    @Lierow, Taylor - Please provide a status update, follow up, or unhighlight if this is complete. Please make sure this gets addressed ASAP.</t>
      </text>
    </comment>
    <comment ref="Q1364" authorId="119" shapeId="0" xr:uid="{8D61CDF5-4224-4022-AD5F-45F1BF0ACD0E}">
      <text>
        <t>[Threaded comment]
Your version of Excel allows you to read this threaded comment; however, any edits to it will get removed if the file is opened in a newer version of Excel. Learn more: https://go.microsoft.com/fwlink/?linkid=870924
Comment:
    Project included “redlining” and incorporating 3 separate PI projects in the Village that they had not notified Nicor of or sent to them. Project also included revising gas main in these areas, conflict analysis, etc. to incorporate DOT improvements. In addition, other permitting comments included updating utility information in our planset. Since the project was released, the Village had created new atlas pages (dated after our project was released) which had their facilities updated in several locations. This involved Nicor design adjustments as well.</t>
      </text>
    </comment>
    <comment ref="AD1379" authorId="120" shapeId="0" xr:uid="{B07780F5-B38D-43F9-AD8A-208D6E1AF95B}">
      <text>
        <t>[Threaded comment]
Your version of Excel allows you to read this threaded comment; however, any edits to it will get removed if the file is opened in a newer version of Excel. Learn more: https://go.microsoft.com/fwlink/?linkid=870924
Comment:
    Madie to update by EOW</t>
      </text>
    </comment>
    <comment ref="Q1380" authorId="121" shapeId="0" xr:uid="{8CA86324-EEB3-4B80-B930-3929BFE50A7A}">
      <text>
        <t>[Threaded comment]
Your version of Excel allows you to read this threaded comment; however, any edits to it will get removed if the file is opened in a newer version of Excel. Learn more: https://go.microsoft.com/fwlink/?linkid=870924
Comment:
    4-stage 3-mile full MOT and Detour plan for difficult tie in to MOP main under the pavement of an IDOT road (Elmhurst Rd) and the install under pavement of CCDOTH road (Landmeier Rd). 60-page set.</t>
      </text>
    </comment>
    <comment ref="Q1381" authorId="122" shapeId="0" xr:uid="{7A5FFF1D-2D54-4E83-8455-21CB26BA5924}">
      <text>
        <t>[Threaded comment]
Your version of Excel allows you to read this threaded comment; however, any edits to it will get removed if the file is opened in a newer version of Excel. Learn more: https://go.microsoft.com/fwlink/?linkid=870924
Comment:
    EXTENDED REASONING: After project release, Nicor coordinate the reimbursable estimate with the developer in which they replied noting that the cost is not within their budget.  Developer provided updated plans and CAD files to avoid direct conflicts with Nicor's existing facilities and to avoid payment for relocation.  KH and Nicor met to discuss the changes to the improvments and to confirm the reimbursable limits to the project.  Nicor approved to open a T&amp;M task to update the WO Drawings with the updated plans from the developer and update the cost estimate to account for the updated reimbursable limits.</t>
      </text>
    </comment>
    <comment ref="Q1387" authorId="123" shapeId="0" xr:uid="{2062131B-A46A-48F5-A00F-C4E4588DC1A6}">
      <text>
        <t>[Threaded comment]
Your version of Excel allows you to read this threaded comment; however, any edits to it will get removed if the file is opened in a newer version of Excel. Learn more: https://go.microsoft.com/fwlink/?linkid=870924
Comment:
    Original revision effort was to update railroad ROW due to discrepancies in Land Investigation. During coordination for this change, further comments were received from the railroad that they were requesting that the proposed running line be completely revised for the section being jack and bored beneath multiple overpasses, including the UPRR bridge due to not accepting our initial variance request. Coordination with the railroad was required as the new design still required a variance. In addition, the custom MOT plan required extensive revisions for this work, including the addition of a full detour due to the design changes. Extensive coordination has been required for the detour, including presentation to the IDOT Detour Committee and coordination with CDOT (which is currently ongoing) in an effort to shorten the detour route per ConOps request.</t>
      </text>
    </comment>
    <comment ref="U1392" authorId="124" shapeId="0" xr:uid="{7FC05BC6-9DA6-424C-A6D4-7DBC3409F7BC}">
      <text>
        <t>[Threaded comment]
Your version of Excel allows you to read this threaded comment; however, any edits to it will get removed if the file is opened in a newer version of Excel. Learn more: https://go.microsoft.com/fwlink/?linkid=870924
Comment:
    16280</t>
      </text>
    </comment>
    <comment ref="BA1397" authorId="125" shapeId="0" xr:uid="{9AB0CB84-8A43-4862-A45F-1290D62F4168}">
      <text>
        <t xml:space="preserve">[Threaded comment]
Your version of Excel allows you to read this threaded comment; however, any edits to it will get removed if the file is opened in a newer version of Excel. Learn more: https://go.microsoft.com/fwlink/?linkid=870924
Comment:
    Between this and 4A @Dina, Eric  @Michaels, Nick </t>
      </text>
    </comment>
    <comment ref="O1399" authorId="126" shapeId="0" xr:uid="{9F1D11F2-5800-4F7D-831D-B11B3AC35A64}">
      <text>
        <t>[Threaded comment]
Your version of Excel allows you to read this threaded comment; however, any edits to it will get removed if the file is opened in a newer version of Excel. Learn more: https://go.microsoft.com/fwlink/?linkid=870924
Comment:
    Bill in June - transmission portion pending approval on how to bill.</t>
      </text>
    </comment>
    <comment ref="X1399" authorId="127" shapeId="0" xr:uid="{A94D189C-0455-4AE6-9B66-89DFC4AFB102}">
      <text>
        <t>[Threaded comment]
Your version of Excel allows you to read this threaded comment; however, any edits to it will get removed if the file is opened in a newer version of Excel. Learn more: https://go.microsoft.com/fwlink/?linkid=870924
Comment:
    @Chamernik, Conner  can you please re-check and verify that these numbers are still accurate so that we can bill? Same with the N17865-T numbers in the TR tab. 
Reply:
    @Betland, Joseph both investment and retirement haven't changed. Estimates confirmed.</t>
      </text>
    </comment>
    <comment ref="AJ1399" authorId="128" shapeId="0" xr:uid="{7801DA75-0BA3-4451-A13F-31E91195BB1E}">
      <text>
        <t>[Threaded comment]
Your version of Excel allows you to read this threaded comment; however, any edits to it will get removed if the file is opened in a newer version of Excel. Learn more: https://go.microsoft.com/fwlink/?linkid=870924
Comment:
    All Helix Locates cost on this WO</t>
      </text>
    </comment>
    <comment ref="BB1401" authorId="129" shapeId="0" xr:uid="{5059A085-348B-4352-B5F8-C63041F0A284}">
      <text>
        <t>[Threaded comment]
Your version of Excel allows you to read this threaded comment; however, any edits to it will get removed if the file is opened in a newer version of Excel. Learn more: https://go.microsoft.com/fwlink/?linkid=870924
Comment:
    Will County reviewed this project internally and identified a direct conflict that was not part of our relocation scope.  This was due to the County analyzing existing surface elevations using CAD files that were not provided to Kimley-Horn.  Kimley-Horn used the information available in the PDF plans that were provided to analyze conflicts.  The County has since provided the existing surface file for Kimley-Horn to further analyze.  The hourly effort for this project is to analyze the existing surface file to identify any new conflicts, to identify any eliminated conflicts, and to adjust the proposed depth callouts on the WO drawings, as necessary.  The additional analysis resulted in the need to adjust the main relocation at the intersection of Manhattan Rd (US-52) and W Laraway Rd.  Kimley-Horn obtained additional electronic locates at the intersection which resulted in conflicting information from Nicor’s records.  Due to this, Kimley-Horn planned to obtain two potholes to help verify the main orientation.  During the preparatory electronic locates preceding the potholing activities, a strong signal was obtained that allowed the main to be located far enough to determine the layout of the existing main.  Actual potholes were not obtained due to sufficient data being obtained from the electronic locates and ensuing discussions with Nicor Engineering.  The additional design effort includes the creation of a bore profile, as requested by Nicor ConOps.  The hourly effort for this project will include the effort to complete Revision 3.</t>
      </text>
    </comment>
    <comment ref="J1410" authorId="130" shapeId="0" xr:uid="{A09F6AFF-3A4D-4822-A4F7-5F06C34AB7B8}">
      <text>
        <t>[Threaded comment]
Your version of Excel allows you to read this threaded comment; however, any edits to it will get removed if the file is opened in a newer version of Excel. Learn more: https://go.microsoft.com/fwlink/?linkid=870924
Comment:
    @Stanley, Mark - are we still pending this date extension? If so, please follow up and add the date of our last follow up.
Reply:
    Still pending, most recent f/u 5/15/25
Reply:
    F/U 6/12/25
Reply:
    @Stanley, Mark - please follow up on this if we are still pending approval on this date change.
Reply:
    f/u 7/7
Reply:
    @Stanley, Mark / @McTigue, Thomas - Please provide a status update, follow up, or unhighlight if this is complete. Please make sure this gets addressed ASAP.
Reply:
    Confirmed that this project date change request is on the list that goes out regularly to Nicor. NICOR Date Extensions.xlsx</t>
      </text>
    </comment>
    <comment ref="M1423" authorId="131" shapeId="0" xr:uid="{4228BF0D-3380-4F59-AC50-B9A22812A928}">
      <text>
        <t>[Threaded comment]
Your version of Excel allows you to read this threaded comment; however, any edits to it will get removed if the file is opened in a newer version of Excel. Learn more: https://go.microsoft.com/fwlink/?linkid=870924
Comment:
    EXTENDED REASONING: Nicor confirmed that the proposed improvements from Nicholas Associates on behalf of Rosemont will not be reimbursable to Nicor.  KH to update plans and PCTS.
Reply:
    @Hopkins, Matt  please update this reasoning to reflect what this actually involved - did we have to update the drawings to get rid of the reimbursable WO, and update PCTS?
Reply:
    Please use the previous M16177 reasoning as a go-by for consistent formatting</t>
      </text>
    </comment>
    <comment ref="BA1423" authorId="132" shapeId="0" xr:uid="{312705A8-41A2-4652-B79C-1B8781573647}">
      <text>
        <t>[Threaded comment]
Your version of Excel allows you to read this threaded comment; however, any edits to it will get removed if the file is opened in a newer version of Excel. Learn more: https://go.microsoft.com/fwlink/?linkid=870924
Comment:
    @Dina, Eric  @Hopkins, Matt  @Michaels, Nick  I’m hoping ya’ll can discusss this one prior to liabilities next month as this is a little odd. The previous revision is being noted as 4A due to the muni/developer design change, and this one is due to Nicor adjusting their preference for reimbursable vs. non-reimbursable. I don’t necessarily see this as an “Engineering Design Revision” but wondering if it would fall under 11 “Other”?
Reply:
    confirmed 11 w/ Bryan.</t>
      </text>
    </comment>
    <comment ref="J1424" authorId="133" shapeId="0" xr:uid="{B33F4464-CA97-4C4E-BFE5-E769A21A76E9}">
      <text>
        <t>[Threaded comment]
Your version of Excel allows you to read this threaded comment; however, any edits to it will get removed if the file is opened in a newer version of Excel. Learn more: https://go.microsoft.com/fwlink/?linkid=870924
Comment:
    sent 2/5
Reply:
    Follow up 3/6
Reply:
    3/31
Reply:
    @Corbi, Camille - Please follow up on this if we havent gotten confirmation yet.
Reply:
    4/29
Reply:
    5/22
Reply:
    @Corbi, Camille - please follow uyp on this if we have not gotten confirmation yet
Reply:
    f/u 7/7
Reply:
    @Corbi, Camille - Please provide a status update, follow up, or unhighlight if this is complete.
Reply:
    In excel that is sent to eng biweekly - i thought we where using that instead of follow ups?</t>
      </text>
    </comment>
    <comment ref="BB1424" authorId="134" shapeId="0" xr:uid="{79CD206D-CA12-4A3C-A17B-94ADF031CC0C}">
      <text>
        <t xml:space="preserve">[Threaded comment]
Your version of Excel allows you to read this threaded comment; however, any edits to it will get removed if the file is opened in a newer version of Excel. Learn more: https://go.microsoft.com/fwlink/?linkid=870924
Comment:
    @Corbi, Camille - can you add the location of the project (as opposed to the permitting entity)? also, include the major streets and/or major intersection and town it is in? </t>
      </text>
    </comment>
    <comment ref="J1425" authorId="135" shapeId="0" xr:uid="{4D4DA7D8-7CB5-4F56-B394-384695B585DC}">
      <text>
        <t xml:space="preserve">[Threaded comment]
Your version of Excel allows you to read this threaded comment; however, any edits to it will get removed if the file is opened in a newer version of Excel. Learn more: https://go.microsoft.com/fwlink/?linkid=870924
Comment:
    @Castellon, Randy - Please provide a status update, follow up, or unhighlight if this is complete. Please make sure this gets addressed ASAP.
@Lierow, Taylor  - can you coordinate this while Randy is out
Reply:
    Doesnt this get followed up on a monthly basis? @Hopkins, Matt </t>
      </text>
    </comment>
    <comment ref="M1432" authorId="136" shapeId="0" xr:uid="{CB42162C-5ABB-4F18-89A1-3BE94CB3C326}">
      <text>
        <t>[Threaded comment]
Your version of Excel allows you to read this threaded comment; however, any edits to it will get removed if the file is opened in a newer version of Excel. Learn more: https://go.microsoft.com/fwlink/?linkid=870924
Comment:
    EXTENDED REASONING: Revision 1 was requested due to Kankakee County requiring full pipe removal to approve construction within County ROW.  Nicor pushed back on pipe removal comments since request is not stated within county's ordinance.  Nicor approved to remove pipe that will be underneath proposed pavements and for direct conflicts.  Nicor to negotiate pipe removal in the field.
Reply:
    @Hopkins, Matt  can we update the revision reasoning to note that we are removing only specific pipe underneath proposed pavement and/or in direct conflict?</t>
      </text>
    </comment>
    <comment ref="O1433" authorId="137" shapeId="0" xr:uid="{F8099EBB-09A5-4CC6-9557-17F11F873D9F}">
      <text>
        <t>[Threaded comment]
Your version of Excel allows you to read this threaded comment; however, any edits to it will get removed if the file is opened in a newer version of Excel. Learn more: https://go.microsoft.com/fwlink/?linkid=870924
Comment:
    Do not bill. Tim to coordinate billing with Bryan when back from PTO.
Reply:
    Tim followed up with Bryan 7/16 on proposed invoice. Likely has to bill next month.</t>
      </text>
    </comment>
    <comment ref="M1436" authorId="138" shapeId="0" xr:uid="{BA1316BF-C600-4DB1-A244-C3BB76DDE962}">
      <text>
        <t>[Threaded comment]
Your version of Excel allows you to read this threaded comment; however, any edits to it will get removed if the file is opened in a newer version of Excel. Learn more: https://go.microsoft.com/fwlink/?linkid=870924
Comment:
    @Chamernik, Conner  @Dina, Eric  I would proposed instead of “IDOT returned comments from a review sent to them on 3/14. They returned comments on 4/17, requesting MOTs, design adjustments, potholing, and a bore profile. KH negotiated out of all comments besides the bore profile and MOTs. IDOT took over a month to return their comments and by the time they sent them over, the project had already been released to Nicor.”
“Revision due to delay of IDOT review during design phase. IDOT made multiple requests and Kimley-Horn negotiated out of all of them except for an added bore profile and MOTs being added to the drawings.”</t>
      </text>
    </comment>
    <comment ref="J1439" authorId="139" shapeId="0" xr:uid="{42728FC9-D173-4FF1-A95B-3DEE25DC2C40}">
      <text>
        <t>[Threaded comment]
Your version of Excel allows you to read this threaded comment; however, any edits to it will get removed if the file is opened in a newer version of Excel. Learn more: https://go.microsoft.com/fwlink/?linkid=870924
Comment:
    F/U 8/19</t>
      </text>
    </comment>
    <comment ref="J1443" authorId="140" shapeId="0" xr:uid="{4F647641-F436-47E5-891C-FE5D4DD99523}">
      <text>
        <t>[Threaded comment]
Your version of Excel allows you to read this threaded comment; however, any edits to it will get removed if the file is opened in a newer version of Excel. Learn more: https://go.microsoft.com/fwlink/?linkid=870924
Comment:
    This date was approved by Engineering on 3/13/2025.
Reply:
    If they approved and it's updated in the EDSR, this can be changed to regular font and unhighlighted.
Reply:
    Was it approved?</t>
      </text>
    </comment>
    <comment ref="AC1443" authorId="141" shapeId="0" xr:uid="{04F49A0F-1449-4BF5-B3F8-10FA21F3E3D4}">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@Hopkins, Matt is this being used to track anything?  I think this should just be "Y" if we have PO items.</t>
      </text>
    </comment>
    <comment ref="S1446" authorId="142" shapeId="0" xr:uid="{8C3A7B99-0F61-427F-9F43-1476B2775585}">
      <text>
        <t>[Threaded comment]
Your version of Excel allows you to read this threaded comment; however, any edits to it will get removed if the file is opened in a newer version of Excel. Learn more: https://go.microsoft.com/fwlink/?linkid=870924
Comment:
    Should have been $1657.51
Reply:
    26.60 WRITTEN OFF ON HOURLY DUE TO SLIGHT UNDERBILLING</t>
      </text>
    </comment>
    <comment ref="M1447" authorId="143" shapeId="0" xr:uid="{1CDF5A34-2041-44D9-A686-CAEB82FA97A1}">
      <text>
        <t>[Threaded comment]
Your version of Excel allows you to read this threaded comment; however, any edits to it will get removed if the file is opened in a newer version of Excel. Learn more: https://go.microsoft.com/fwlink/?linkid=870924
Comment:
    EXTENDED REASONING:
Revision request from City of Northlake to add construction notes, a pavement patching detail, the City of Northlake standard notes and to coordinate Nicor's proposed design with 2 other utilities relocating in the same area. Kimley-Horn is currently coordinating with Nicor on updating the proposed running line to avoid MCI's proposed relocation design. Nicor's WO drawings were submitted to the City for permit on 10/15/2024, but the review letter from the City was not provided until 3/31/2025, therefore, Lumen and MCI obtained relocation permits prior to Nicor's design being approved.
Reply:
    @Dina, Eric  @Chamernik, Conner  are we truly still coordinating this work with the other utilities relocating in the same area? If so, why did we finalize and release this revision?
Reply:
    @Betland, Joseph MCI confirmed our design wouldn't be in conflict with theirs on 5/15.
In regard to Lumen, we re-designed around their proposed design. I sent them a set for review on 5/20 for them to confirm that us crossing their conduit for a tie-in would be fine. They did not get back to us, and after further internal discussions it was decided that Nicor crossing a small conduit for a tie-in would be fine as they said they would be willing to perform vertical adjustments.</t>
      </text>
    </comment>
    <comment ref="U1447" authorId="144" shapeId="0" xr:uid="{13B1A0B9-86EA-4A35-A202-C98FCFA3F0C1}">
      <text>
        <t>[Threaded comment]
Your version of Excel allows you to read this threaded comment; however, any edits to it will get removed if the file is opened in a newer version of Excel. Learn more: https://go.microsoft.com/fwlink/?linkid=870924
Comment:
    @Chamernik, Conner  @Dina, Eric  why is this N/A? Don’t’ we have hourly effort we’re going to be invoicing?
Reply:
    11717.50 is what I see?
Reply:
    I agree with $11,717.50 based on RTE. Unsure why we had N/A there.</t>
      </text>
    </comment>
    <comment ref="P1448" authorId="145" shapeId="0" xr:uid="{68D90DF5-59BD-4FD2-A6BA-EC51F639B306}">
      <text>
        <t>[Threaded comment]
Your version of Excel allows you to read this threaded comment; however, any edits to it will get removed if the file is opened in a newer version of Excel. Learn more: https://go.microsoft.com/fwlink/?linkid=870924
Comment:
    Eng confirmed during design that this is INI even though EDSR listed as RB - which is why original project billed as INI.</t>
      </text>
    </comment>
    <comment ref="Q1449" authorId="146" shapeId="0" xr:uid="{1045E089-D522-4C92-BB70-B2683ADB232E}">
      <text>
        <t>[Threaded comment]
Your version of Excel allows you to read this threaded comment; however, any edits to it will get removed if the file is opened in a newer version of Excel. Learn more: https://go.microsoft.com/fwlink/?linkid=870924
Comment:
    $55840 previously billed</t>
      </text>
    </comment>
    <comment ref="U1449" authorId="147" shapeId="0" xr:uid="{4AB51493-6BBA-40C3-8320-DBB7B6A43AD0}">
      <text>
        <t>[Threaded comment]
Your version of Excel allows you to read this threaded comment; however, any edits to it will get removed if the file is opened in a newer version of Excel. Learn more: https://go.microsoft.com/fwlink/?linkid=870924
Comment:
    As of 6/1</t>
      </text>
    </comment>
    <comment ref="M1456" authorId="148" shapeId="0" xr:uid="{C137BBC7-C522-47F9-938F-D4FD2927D741}">
      <text>
        <t>[Threaded comment]
Your version of Excel allows you to read this threaded comment; however, any edits to it will get removed if the file is opened in a newer version of Excel. Learn more: https://go.microsoft.com/fwlink/?linkid=870924
Comment:
    EXTENDED REASONING:
Village of Rosemont provided comments to incorporate missing existing linework and have the proposed running line adjusted for the existing facilities.
Reply:
    @Dina, Eric  @Hopkins, Matt  I would propose instead of “Revision due to Village of Rosemont provided comments to incorporate missing existing linework and have the proposed running line adjusted for the existing facilities.” 
“Revision to add existing linework and adjust design to account for underground electrical infrastructure, including a tunnel, that was not provided during the JULIE request process.”
Reply:
    updated</t>
      </text>
    </comment>
    <comment ref="U1456" authorId="149" shapeId="0" xr:uid="{7A744A07-0D4D-4840-B001-AB4E1BB18DD0}">
      <text>
        <t>[Threaded comment]
Your version of Excel allows you to read this threaded comment; however, any edits to it will get removed if the file is opened in a newer version of Excel. Learn more: https://go.microsoft.com/fwlink/?linkid=870924
Comment:
    Im seeing 11,727.50 in real time effort
I updated this value from 11,015.00 to 11,727.50
Reply:
    @Hopkins, Matt / @Betland, Joseph - Im seeing 11157.50 in both RTE and PM App. Can you please verify and update?
Reply:
    I think you’re looking at Rev 1 - rev 3 is 11,727.50 
Reply:
    Agreed - disregard</t>
      </text>
    </comment>
    <comment ref="AH1456" authorId="150" shapeId="0" xr:uid="{E2863BC0-E1C3-4A22-B618-84DA9B313DBA}">
      <text>
        <t xml:space="preserve">[Threaded comment]
Your version of Excel allows you to read this threaded comment; however, any edits to it will get removed if the file is opened in a newer version of Excel. Learn more: https://go.microsoft.com/fwlink/?linkid=870924
Comment:
    @Lierow, Taylor  @Hopkins, Matt  @Castle, Kevin  I assume we didn’t complete debriefs of these revisions?
Reply:
    @Castle, Kevin Did i cover the N12987 revision when I did the completed project? </t>
      </text>
    </comment>
    <comment ref="AK1461" authorId="151" shapeId="0" xr:uid="{8A68C6F2-663E-4739-A621-B9207EF3A6D8}">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@Rojas, Taylor ca you please help me pull all the shactee effort for this project?</t>
      </text>
    </comment>
    <comment ref="M1462" authorId="152" shapeId="0" xr:uid="{C16AF764-6C80-4E71-8724-9EA76270EFF9}">
      <text>
        <t>[Threaded comment]
Your version of Excel allows you to read this threaded comment; however, any edits to it will get removed if the file is opened in a newer version of Excel. Learn more: https://go.microsoft.com/fwlink/?linkid=870924
Comment:
    EXTENDED REASONING:
REV 2 is due to County denying Nicor's REV 1 drawings of showing pipe removal for direct conflicts and underneath future pavement.</t>
      </text>
    </comment>
    <comment ref="U1462" authorId="153" shapeId="0" xr:uid="{C1FF5BF5-9800-4980-883A-34A12EF5705B}">
      <text>
        <t>[Threaded comment]
Your version of Excel allows you to read this threaded comment; however, any edits to it will get removed if the file is opened in a newer version of Excel. Learn more: https://go.microsoft.com/fwlink/?linkid=870924
Comment:
    @Hopkins, Matt  I’m seeing 3132.50?
Reply:
    Sorry, I mean 3715
Reply:
    i checked real time effort &amp; PM App, Im seeing 3715.00.  I think time was charged to it after i input this value 
Reply:
    Yup - need to be careful about that</t>
      </text>
    </comment>
    <comment ref="H1463" authorId="154" shapeId="0" xr:uid="{8C48CDE7-C3F0-40E7-96CB-01DE78F8663E}">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@Betland, Joseph I called this one "completed" due to it having an EDSR.  This probably fits more into "Analysis" outside of it having its own EDSR.  Let me know if you have any issue w/ me changing it to analysis.
Reply:
    I vote we leave completed to match the EDSR, but I think we should put this information into the Out Of Scope Analysis in Steering Committee
Reply:
    I lied, I’m changing to service analysis</t>
      </text>
    </comment>
    <comment ref="T1463" authorId="155" shapeId="0" xr:uid="{3D526DE8-A832-4F0F-9BFE-03DA73C008D6}">
      <text>
        <t>[Threaded comment]
Your version of Excel allows you to read this threaded comment; however, any edits to it will get removed if the file is opened in a newer version of Excel. Learn more: https://go.microsoft.com/fwlink/?linkid=870924
Comment:
    @Kulach, Caroline  @Hopkins, Matt  @Dina, Eric  wasn’t there helix effort in here too? We aren’t sure if we can bill yet but something to add in here for now</t>
      </text>
    </comment>
    <comment ref="AF1463" authorId="156" shapeId="0" xr:uid="{216ABC0F-1CBD-43BF-9E97-D7D1179F1CCB}">
      <text>
        <t>[Threaded comment]
Your version of Excel allows you to read this threaded comment; however, any edits to it will get removed if the file is opened in a newer version of Excel. Learn more: https://go.microsoft.com/fwlink/?linkid=870924
Comment:
    @Kulach, Caroline  I would say a lesson learned here is when we get projects that appear to be only service analyses like this, review with Eric/Joey to determine path forward regarding hourly invoicing. Please update LL and change this to “Y” and unhighlight. Thanks!
Reply:
    added!</t>
      </text>
    </comment>
    <comment ref="X1468" authorId="157" shapeId="0" xr:uid="{AB80E45A-2DD7-4E16-820C-B5E52CE05EF2}">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@Hopkins, Matt investment amount is showing $148,402.25. did you  record? could you confirm 
Reply:
    Yes recording from 6/11 after ConOps review is showing 145,455.97.
Current PCTS amount notes 148,402.25.  Updated this cell to reflect 148,402.25</t>
      </text>
    </comment>
    <comment ref="Z1468" authorId="158" shapeId="0" xr:uid="{7917EFB6-76FA-4520-B931-D5EB4351013F}">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@Hopkins, Matt retirement is showing 49,124.19
Reply:
    If they’ve been updated in PCTS Matt (for whatever reason) I would just update here so that we’re billing the correct amount
Reply:
    Understood.  Updated to show 49,124.19.
Recording from 6/11 after ConOps review shows 48,149.21.  Cell has been updated to reflect the current amount 49,124.19.
Reply:
    @Hopkins, Matt / @Betland, Joseph - this cell wasn’t updated? Can we update to show 49124.19?
Reply:
    Yes that should be right - not sure why it wasn’t updated</t>
      </text>
    </comment>
    <comment ref="M1469" authorId="159" shapeId="0" xr:uid="{7DF7BAA7-B2E8-450B-BE80-03E0494B922B}">
      <text>
        <t xml:space="preserve">[Threaded comment]
Your version of Excel allows you to read this threaded comment; however, any edits to it will get removed if the file is opened in a newer version of Excel. Learn more: https://go.microsoft.com/fwlink/?linkid=870924
Comment:
    @Castellon, Randy  does this make sense as a description?
Reply:
    this is exactly it
Reply:
    Can you remind me what the exact scope was that we designed? Size and length of pipe, how many design sheets, and any challenges with the design, or extra time with reimbursable coordination, etc. Just for my knowledge. 
Reply:
    380' of 12" MOP main install. 1 Sheet for design. Effort included all the way to release documents, as well as TDS review and approval by Nicor. Additional effort was needed to coordinate Rectified main, hydrotest variance (that didnt go through), and easement/land documentation review. 
Design in itself wasnt challenging, however there was time and effort for reviewing potholes over the existing gas main, effort with potholes and locate information having inconsistent data, effort with coordination with the developer on 3 separate set of plans to try to avoid relocation. 
</t>
      </text>
    </comment>
    <comment ref="Q1477" authorId="160" shapeId="0" xr:uid="{9363AC0F-CD39-40C3-8A35-06ADE2F68EBC}">
      <text>
        <t>[Threaded comment]
Your version of Excel allows you to read this threaded comment; however, any edits to it will get removed if the file is opened in a newer version of Excel. Learn more: https://go.microsoft.com/fwlink/?linkid=870924
Comment:
    $76,387.50 previously billed</t>
      </text>
    </comment>
    <comment ref="BA1481" authorId="161" shapeId="0" xr:uid="{8CCB0794-194B-4D30-AD30-D139E308AA13}">
      <text>
        <t>[Threaded comment]
Your version of Excel allows you to read this threaded comment; however, any edits to it will get removed if the file is opened in a newer version of Excel. Learn more: https://go.microsoft.com/fwlink/?linkid=870924
Comment:
    @LaPorte, Marissa - Please fill out red cells in row and unhighlight.</t>
      </text>
    </comment>
    <comment ref="S1482" authorId="162" shapeId="0" xr:uid="{A97ED978-1CEF-4539-9F19-5C0F663168B9}">
      <text>
        <t>[Threaded comment]
Your version of Excel allows you to read this threaded comment; however, any edits to it will get removed if the file is opened in a newer version of Excel. Learn more: https://go.microsoft.com/fwlink/?linkid=870924
Comment:
    @LaPorte, Marissa - Im seeing 1514.90. Where did we get this number from?</t>
      </text>
    </comment>
    <comment ref="K1483" authorId="163" shapeId="0" xr:uid="{19B8F8D0-6AA8-4D1D-81E6-8F9A5BB88A84}">
      <text>
        <t>[Threaded comment]
Your version of Excel allows you to read this threaded comment; however, any edits to it will get removed if the file is opened in a newer version of Excel. Learn more: https://go.microsoft.com/fwlink/?linkid=870924
Comment:
    @Stanley, Mark - Please fill out all red cells in row and highlight yellow when ready for me to review.
Reply:
    @McTigue, Thomas - can you take a look at this?</t>
      </text>
    </comment>
    <comment ref="O1483" authorId="164" shapeId="0" xr:uid="{978702A2-5B6F-4942-9988-42FC7BF957B3}">
      <text>
        <t>[Threaded comment]
Your version of Excel allows you to read this threaded comment; however, any edits to it will get removed if the file is opened in a newer version of Excel. Learn more: https://go.microsoft.com/fwlink/?linkid=870924
Comment:
    Bill in August</t>
      </text>
    </comment>
    <comment ref="BH1484" authorId="165" shapeId="0" xr:uid="{3B87E529-F96F-41D1-B9B2-049763FB261B}">
      <text>
        <t>[Threaded comment]
Your version of Excel allows you to read this threaded comment; however, any edits to it will get removed if the file is opened in a newer version of Excel. Learn more: https://go.microsoft.com/fwlink/?linkid=870924
Comment:
    @Bruce, Logan - we negotiated out of this task. Please WALT effort to 168777007.J.99A
Reply:
    done</t>
      </text>
    </comment>
    <comment ref="M1485" authorId="166" shapeId="0" xr:uid="{E6B26E42-A576-447F-9960-EB56C870A587}">
      <text>
        <t xml:space="preserve">[Threaded comment]
Your version of Excel allows you to read this threaded comment; however, any edits to it will get removed if the file is opened in a newer version of Excel. Learn more: https://go.microsoft.com/fwlink/?linkid=870924
Comment:
    @Castellon, Randy  is this a new requirement that we weren’t aware of, or was this a miss? We might want to expand a bit on this as this seems like our miss. 
Reply:
    This was an atypical ask from CN as we typically do not show all proposed and existing utilities to not be shown on CN cross sections. 
Reply:
    Did not get a response to this either @Castellon, Randy </t>
      </text>
    </comment>
    <comment ref="V1486" authorId="167" shapeId="0" xr:uid="{E0904613-683E-4D38-AA84-6CFD89396153}">
      <text>
        <t xml:space="preserve">[Threaded comment]
Your version of Excel allows you to read this threaded comment; however, any edits to it will get removed if the file is opened in a newer version of Excel. Learn more: https://go.microsoft.com/fwlink/?linkid=870924
Comment:
    @Chamernik, Conner - Please fill out red cells in row and highlight yellow when ready for my review.
Reply:
    @Michaels, Nick sorry just now realizing I never responded to this comment. </t>
      </text>
    </comment>
    <comment ref="M1487" authorId="168" shapeId="0" xr:uid="{C200A5B0-B763-4E26-8C27-4DBAABAD6663}">
      <text>
        <t xml:space="preserve">[Threaded comment]
Your version of Excel allows you to read this threaded comment; however, any edits to it will get removed if the file is opened in a newer version of Excel. Learn more: https://go.microsoft.com/fwlink/?linkid=870924
Comment:
    EXTENDED REASONING: Revision due to updated water main alignment, storm sewer alignment, and comments from IDOT. IDOT reviewed and approved the running line twice before project release. The final review was sent to IDOT in November of 2024, and comments were returned on 2/13/2025. These design changes required KH needing to revise design in one location (2 drawings sheets) due to IDOT’s change in storm sewer design, coordinate with Con Ops to confirm the clearance under the Union Pacific Rail Road is sufficient per IDOT’s request, and reanalyze 6 sheets of conflict crossings due to changes in proposed utilities.  These changes resulted in one meeting with Nicor engineering, one meeting with IDOT, and one meeting with Nicor Construction Operations. Nicor directed KH at this time to hold on the revision until IDOT confirmed if grading/drainage would be adjusted, or if it was final. 
IDOT sent final plans on 03/25/2025, which showed additional changes in storm sewer, water main, sanitary sewer, grading, and subgrade changes (3' of subgrade added throughout the scope). There was also an update to IDOT’s scope that included column supported ground improvements that required a review of the full proposed Nicor design and coordination with IDOT to verify the contractor’s intent. Column supported ground improvement discussion was also had with Nicor con Ops and Engineering to confirm a path forward.  The updates required KH to reanalyze all 180 conflict crossings as well as the whole design to verify all new conflicts where added to the conflict crossing tables. Nearly all conflicts crossing callouts have changed due to the proposed utilities, grading, and subgrade changes. 
ComEd then requested Nicor to shift the proposed design to account for underground design, although KH had requested plans multiple times during the project design phase. KH coordinated with Nicor and initially it was decided to not adjust design for ComEd since we had not been provided this information in the design phase. However, upon further coordination with Nicor and IDOT, a compromise between Nicor and ComEd was established to adjust certain elements of the design. After a full review of ComEd's proposed design provided, ComEd’s request required KH to change design in three areas. Coordination was also required with the City of Woodstock due to an updated change in water main plans that resulted in Nicor shifting the gas main alignment near the Union Pacific RR crossings. This design change resulted in updates to the design and LG drawings. Kimley-Horn held additional meetings with IDOT to confirm updates, and meetings with ComEd and IDOT to discuss how to avoid conflicts for future design. These changes resulted in three meetings with Nicor, one meeting with IDOT, one meeting with IDOT and ComEd, and one meeting with Nicor Construction Operations.
Kimley-Horn was requested by Nicor Engineering and Nicor Corrosion to update the WO drawings to incorporate new corrosion standards, which required adding anode beds and notes on 26 design sheets. Additional coordination with Nicor Corrosion to confirm corrosion updates as request from Corrosion differed from new standard. 
Reply:
    @Corbi, Camille  can you rewrite this to be more similar to the formatting we use to report to Nicor? Check out Steering Committee Tab 9 for examples. I would specifically look at revisions coded 3A or 4A
Reply:
    Revision due to updated plans by IDOT that were provided after the project was released. Kimley-Horn coordinated during the design phase and went through multiple IDOT reviews to ensure there would be no comments.  Initial comments from IDOT where due to changes in proposed storm sewer alignments, only for Final plans to be issued weeks later with changes in subgrade, grading, proposed water main, sanitary, and storm sewers. IDOT's change in plans resulted in Nicor's full design needing to be reanalyzed for potential conflicts (~180 conflict crossings needed to be reviewed, added, removed, or changed). Per coordination with Nicor Engineering, plans went through two rounds of Corrosion's reviews and comments. This resulted in updating ~26 sheets (twice) to include updated corrosion notes, BOM callouts, and anode banks. An additional request from Corrosion was to extend scope. This request resulted in one new sheet added to the plan set. This area was reviewed during the project's initial scoping phase and was requested to leave out of the relocation scope. Additional coordination was done due to lag in ComEd design. Kimley-Horn reached out to ComEd multiple times in the initial design phase, only for ComEd to be behind in the relocation process. Coordination with ComEd, resulted in design adjustments to three sheets. </t>
      </text>
    </comment>
    <comment ref="AC1488" authorId="169" shapeId="0" xr:uid="{AEB4966C-6084-4291-85FF-13AE71D4CF2F}">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@McTigue, Thomas any po items? if so reminder to add it to the requestions tab</t>
      </text>
    </comment>
    <comment ref="R1493" authorId="170" shapeId="0" xr:uid="{8B4EE46C-040C-4C60-A334-E4FB2E686FB4}">
      <text>
        <t>[Threaded comment]
Your version of Excel allows you to read this threaded comment; however, any edits to it will get removed if the file is opened in a newer version of Excel. Learn more: https://go.microsoft.com/fwlink/?linkid=870924
Comment:
    @LaPorte, Marissa @Michaels, Nick FYI I talked to Bryan about this one we're good to bill at 9% cause its an MR despite being less than 500'</t>
      </text>
    </comment>
    <comment ref="K1495" authorId="171" shapeId="0" xr:uid="{8ABD2FA5-2783-410E-A8B4-AB45317B5D95}">
      <text>
        <t>[Threaded comment]
Your version of Excel allows you to read this threaded comment; however, any edits to it will get removed if the file is opened in a newer version of Excel. Learn more: https://go.microsoft.com/fwlink/?linkid=870924
Comment:
    @Stanley, Mark - Please fill out all red cells in row and highlight yellow when ready for my review.
Reply:
    @Michaels, Nick - Task complete.</t>
      </text>
    </comment>
    <comment ref="X1497" authorId="172" shapeId="0" xr:uid="{ADA704B7-F959-452F-AED3-8C2B78CDABE5}">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@LaPorte, Marissa please save PCTS screenshots in folder showing investment and retirement costs.</t>
      </text>
    </comment>
    <comment ref="O1499" authorId="173" shapeId="0" xr:uid="{C698B246-185E-4BED-B9F5-B4E81EC98816}">
      <text>
        <t>[Threaded comment]
Your version of Excel allows you to read this threaded comment; however, any edits to it will get removed if the file is opened in a newer version of Excel. Learn more: https://go.microsoft.com/fwlink/?linkid=870924
Comment:
    Bill in Sept - pending estimate approval.</t>
      </text>
    </comment>
    <comment ref="AK1499" authorId="174" shapeId="0" xr:uid="{79B022B6-4A30-48C2-AF79-F5B803FD03D4}">
      <text>
        <t xml:space="preserve">[Threaded comment]
Your version of Excel allows you to read this threaded comment; however, any edits to it will get removed if the file is opened in a newer version of Excel. Learn more: https://go.microsoft.com/fwlink/?linkid=870924
Comment:
    @Rojas, Taylor can you please help me pull the shactee effort for this project? </t>
      </text>
    </comment>
    <comment ref="U1500" authorId="175" shapeId="0" xr:uid="{53C3FA03-2F65-4029-A735-56A7DF94E988}">
      <text>
        <t xml:space="preserve">[Threaded comment]
Your version of Excel allows you to read this threaded comment; however, any edits to it will get removed if the file is opened in a newer version of Excel. Learn more: https://go.microsoft.com/fwlink/?linkid=870924
Comment:
    Need to have a convo with Josh prior to finalizing this
Reply:
    @Betland, Joseph - is this even good to bill this month? Where is the task for this?
Reply:
    yes good to bill - 168777007.D.088
Let's talk through this one as it's unique. </t>
      </text>
    </comment>
    <comment ref="AD1500" authorId="176" shapeId="0" xr:uid="{E71E16E2-2D2E-45C6-A538-3FEA2A4D7632}">
      <text>
        <t>[Threaded comment]
Your version of Excel allows you to read this threaded comment; however, any edits to it will get removed if the file is opened in a newer version of Excel. Learn more: https://go.microsoft.com/fwlink/?linkid=870924
Comment:
    @Castellon, Randy Was there anything here?
Reply:
    tay i added stuff to permitting paramters one note</t>
      </text>
    </comment>
    <comment ref="BH1500" authorId="177" shapeId="0" xr:uid="{4BB9F4A9-49E6-4F90-AA3E-CBB2F1A43545}">
      <text>
        <t xml:space="preserve">[Threaded comment]
Your version of Excel allows you to read this threaded comment; however, any edits to it will get removed if the file is opened in a newer version of Excel. Learn more: https://go.microsoft.com/fwlink/?linkid=870924
Comment:
    @Castellon, Randy / @Betland, Joseph / @Dina, Eric - where is the billing number that has the hourly effort for this?
Reply:
    We didn't move this to a true hourly number due to it being so much effort - the number we reported is true to our current hourly rates, plus sub costs. </t>
      </text>
    </comment>
    <comment ref="BH1501" authorId="178" shapeId="0" xr:uid="{2FDB9251-4D93-4F6A-B3F5-E17B827C7ACC}">
      <text>
        <t>[Threaded comment]
Your version of Excel allows you to read this threaded comment; however, any edits to it will get removed if the file is opened in a newer version of Excel. Learn more: https://go.microsoft.com/fwlink/?linkid=870924
Comment:
    @Bruce, Logan  - we negotiated out of this task. Please WALT effort to 168777007.J.99A</t>
      </text>
    </comment>
    <comment ref="K1502" authorId="179" shapeId="0" xr:uid="{D88D8568-2028-4E37-AE28-88D447016B6F}">
      <text>
        <t>[Threaded comment]
Your version of Excel allows you to read this threaded comment; however, any edits to it will get removed if the file is opened in a newer version of Excel. Learn more: https://go.microsoft.com/fwlink/?linkid=870924
Comment:
    @Stanley, Mark - Please fill out/update red cells and highlight yellow when ready for my review.
Reply:
    @Michaels, Nick - task complete</t>
      </text>
    </comment>
    <comment ref="O1502" authorId="180" shapeId="0" xr:uid="{41ACAE41-A1DF-4C92-BB69-22B1D786E2EE}">
      <text>
        <t>[Threaded comment]
Your version of Excel allows you to read this threaded comment; however, any edits to it will get removed if the file is opened in a newer version of Excel. Learn more: https://go.microsoft.com/fwlink/?linkid=870924
Comment:
    Bill in Sept.</t>
      </text>
    </comment>
    <comment ref="AD1504" authorId="181" shapeId="0" xr:uid="{31095542-6279-4481-A571-50B9F4EA2267}">
      <text>
        <t>[Threaded comment]
Your version of Excel allows you to read this threaded comment; however, any edits to it will get removed if the file is opened in a newer version of Excel. Learn more: https://go.microsoft.com/fwlink/?linkid=870924
Comment:
    @Castellon, Randy Did Nicor's permitting get updated already?
Reply:
    Since this was an atypical request, permitting paramaters was not updaed</t>
      </text>
    </comment>
    <comment ref="H1505" authorId="182" shapeId="0" xr:uid="{F7B92F4F-B1D2-441B-89BB-463E050732FC}">
      <text>
        <t xml:space="preserve">[Threaded comment]
Your version of Excel allows you to read this threaded comment; however, any edits to it will get removed if the file is opened in a newer version of Excel. Learn more: https://go.microsoft.com/fwlink/?linkid=870924
Comment:
    @Kulach, Caroline  @Michaels, Nick  I may not be understanding why this is both a Revision and “Completed”? Nick, let’s make sure this is factored into the project counts
Reply:
    @LaPorte, Marissa - did you and Bryan talk about this one? I don’t love how we are showing it right now. In the past we have technically shown the breakout areas as revisions but I could get behind doing out of scope analysis but I don’t think we want this to be a completed project.
@Betland, Joseph 
Reply:
    @Michaels, Nick @LaPorte, Marissa do we want to update to revision? </t>
      </text>
    </comment>
    <comment ref="K1507" authorId="183" shapeId="0" xr:uid="{6ECFFEEB-F9DC-4246-9D92-25E118C413BA}">
      <text>
        <t>[Threaded comment]
Your version of Excel allows you to read this threaded comment; however, any edits to it will get removed if the file is opened in a newer version of Excel. Learn more: https://go.microsoft.com/fwlink/?linkid=870924
Comment:
    @Stanley, Mark - Please fill out all red cells in row and highlight yellow when ready for my review.
Reply:
    Task complete</t>
      </text>
    </comment>
    <comment ref="O1507" authorId="184" shapeId="0" xr:uid="{DB2D3922-C6E2-4D2D-98DE-58777587603C}">
      <text>
        <t>[Threaded comment]
Your version of Excel allows you to read this threaded comment; however, any edits to it will get removed if the file is opened in a newer version of Excel. Learn more: https://go.microsoft.com/fwlink/?linkid=870924
Comment:
    Bill in Sept</t>
      </text>
    </comment>
    <comment ref="X1508" authorId="185" shapeId="0" xr:uid="{4E192250-35D3-4E4F-865E-C62FA32A44F3}">
      <text>
        <t>[Threaded comment]
Your version of Excel allows you to read this threaded comment; however, any edits to it will get removed if the file is opened in a newer version of Excel. Learn more: https://go.microsoft.com/fwlink/?linkid=870924
Comment:
    May increase, pending engineering response.</t>
      </text>
    </comment>
    <comment ref="S1509" authorId="186" shapeId="0" xr:uid="{F39CA419-7914-4329-B765-06A0E5C2FB1F}">
      <text>
        <t>[Threaded comment]
Your version of Excel allows you to read this threaded comment; however, any edits to it will get removed if the file is opened in a newer version of Excel. Learn more: https://go.microsoft.com/fwlink/?linkid=870924
Comment:
    @McTigue, Thomas please update
Reply:
    @LaPorte, Marissa - This is a lump sum project - these columns are N/A for those.</t>
      </text>
    </comment>
    <comment ref="O1510" authorId="187" shapeId="0" xr:uid="{2A1AB30E-CC03-45F3-B58E-3E3912C1226E}">
      <text>
        <t>[Threaded comment]
Your version of Excel allows you to read this threaded comment; however, any edits to it will get removed if the file is opened in a newer version of Excel. Learn more: https://go.microsoft.com/fwlink/?linkid=870924
Comment:
    Bill in Sept - pending estimate approval</t>
      </text>
    </comment>
    <comment ref="V1510" authorId="188" shapeId="0" xr:uid="{6EBB35D8-D48C-4BA1-A66F-25229AF9294A}">
      <text>
        <t>[Threaded comment]
Your version of Excel allows you to read this threaded comment; however, any edits to it will get removed if the file is opened in a newer version of Excel. Learn more: https://go.microsoft.com/fwlink/?linkid=870924
Comment:
    @McTigue, Thomas - Please fill out red cells and highlight yellow when ready for my review.</t>
      </text>
    </comment>
    <comment ref="V1515" authorId="189" shapeId="0" xr:uid="{913B316D-B2BF-4668-8DE1-B3F4DC9396F9}">
      <text>
        <t>[Threaded comment]
Your version of Excel allows you to read this threaded comment; however, any edits to it will get removed if the file is opened in a newer version of Excel. Learn more: https://go.microsoft.com/fwlink/?linkid=870924
Comment:
    @Chamernik, Conner please fill out cells in red. 
Reply:
    Complete</t>
      </text>
    </comment>
    <comment ref="O1517" authorId="190" shapeId="0" xr:uid="{53BDFE1E-A09B-4E2F-A30E-F68819485137}">
      <text>
        <t>[Threaded comment]
Your version of Excel allows you to read this threaded comment; however, any edits to it will get removed if the file is opened in a newer version of Excel. Learn more: https://go.microsoft.com/fwlink/?linkid=870924
Comment:
    Bill in Sept</t>
      </text>
    </comment>
    <comment ref="O1518" authorId="191" shapeId="0" xr:uid="{9199624F-A1F2-4400-856B-036CA22C8A24}">
      <text>
        <t>[Threaded comment]
Your version of Excel allows you to read this threaded comment; however, any edits to it will get removed if the file is opened in a newer version of Excel. Learn more: https://go.microsoft.com/fwlink/?linkid=870924
Comment:
    Bill in Sept</t>
      </text>
    </comment>
    <comment ref="S1519" authorId="192" shapeId="0" xr:uid="{94C37735-2D5E-4E03-BFD1-893766A6372D}">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@Rojas, Taylor can you please help me pull the shactee effort for this task</t>
      </text>
    </comment>
    <comment ref="BB1523" authorId="193" shapeId="0" xr:uid="{1B8209AB-C597-46F4-8490-7C21569958E7}">
      <text>
        <t>[Threaded comment]
Your version of Excel allows you to read this threaded comment; however, any edits to it will get removed if the file is opened in a newer version of Excel. Learn more: https://go.microsoft.com/fwlink/?linkid=870924
Comment:
    @LaPorte, Marissa FYI this is the wording i'm using for steering commitee</t>
      </text>
    </comment>
    <comment ref="AD1526" authorId="194" shapeId="0" xr:uid="{FE9547CE-7529-49A5-9C48-F88DFB0A82BC}">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@Kulach, Caroline did we need to update permitting parameters for this?  If not, change to N</t>
      </text>
    </comment>
    <comment ref="H1528" authorId="195" shapeId="0" xr:uid="{E3494746-3693-4DD7-B362-43E246472BD6}">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@Chamernik, Conner why did we call this one an addendum and not a redline revision?
Reply:
    I'm not 100% sure. ConOps kept calling it an addendum planset (like we did on SC17680 Wheaton), but both were just "redline revisions". Want me to change the titling on everything to Redline Revision?</t>
      </text>
    </comment>
    <comment ref="K1528" authorId="196" shapeId="0" xr:uid="{0240FB94-8E18-4635-8327-24033C6328D5}">
      <text>
        <t>[Threaded comment]
Your version of Excel allows you to read this threaded comment; however, any edits to it will get removed if the file is opened in a newer version of Excel. Learn more: https://go.microsoft.com/fwlink/?linkid=870924
Comment:
    @Chamernik, Conner - please fill out all red cells in row. Use past addendums as go-by for filling column M.</t>
      </text>
    </comment>
    <comment ref="V1531" authorId="197" shapeId="0" xr:uid="{25382274-697D-4830-9CB7-781E5781DB2E}">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@Holstead, Julia  Can you please fill out highlighted cells? 
Reply:
    @Holstead, Julia  Please complete</t>
      </text>
    </comment>
    <comment ref="S1532" authorId="198" shapeId="0" xr:uid="{56967252-3949-4253-9BCC-1BCBC914251A}">
      <text>
        <t>[Threaded comment]
Your version of Excel allows you to read this threaded comment; however, any edits to it will get removed if the file is opened in a newer version of Excel. Learn more: https://go.microsoft.com/fwlink/?linkid=870924
Comment:
    @McTigue, Thomas Can you please fill out this row?</t>
      </text>
    </comment>
    <comment ref="S1533" authorId="199" shapeId="0" xr:uid="{E6807F3B-A8B4-4EDB-B615-21731737C96D}">
      <text>
        <t>[Threaded comment]
Your version of Excel allows you to read this threaded comment; however, any edits to it will get removed if the file is opened in a newer version of Excel. Learn more: https://go.microsoft.com/fwlink/?linkid=870924
Comment:
    @McTigue, Thomas Can you please fill out this row?</t>
      </text>
    </comment>
    <comment ref="K1535" authorId="200" shapeId="0" xr:uid="{CB2EA8A4-7ABA-4DA6-A005-889266FA3A74}">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@Stanley, Mark please populate red cells
Reply:
    @Dina, Eric - Completed, ready for review.</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Whitson, Bryan</author>
    <author>IS Department</author>
    <author>Dina, Eric</author>
    <author>Michaels, Nick</author>
    <author>tc={52FF3307-D388-411A-8056-E335470D4E70}</author>
    <author>tc={00F83D81-0A18-4758-A766-4908670B8985}</author>
    <author>tc={D71E4DBB-5420-4817-8D2A-F30079C0161C}</author>
    <author>tc={ED4ECF9D-79B8-4E8C-AC96-83C546477EE0}</author>
    <author>tc={C96414F1-BB11-40A7-A8B1-E7985A1C3D8F}</author>
    <author>tc={4EE63D16-4C08-48FF-9BED-4F3A88B64B43}</author>
    <author>tc={CB5F7DF4-48CA-4813-9008-1D89B84FF8AF}</author>
    <author>tc={37B462B3-9149-4458-BD1D-869C7BC13AC0}</author>
    <author>tc={13C5FCC2-7833-4569-8817-0C0A5D16E138}</author>
    <author>tc={E86E51F5-7C57-4B94-95F2-0FC7ACD4F648}</author>
    <author>tc={960DE391-6DD0-4284-9598-6083AF279FF1}</author>
    <author>tc={E75C4765-207D-4795-9DC2-160E625379CF}</author>
    <author>tc={399D7A9B-F84D-40EA-A4E5-8A43D4231CC7}</author>
    <author>tc={8FAD5ABC-833E-4A21-8546-61B1E1F4AF72}</author>
    <author>tc={0169D7E2-D350-42B3-BD6D-14309DDC35E3}</author>
    <author>tc={D0056230-07B0-4AA3-86CF-9AE2729A1D7C}</author>
    <author>tc={A976B7CF-845D-4100-B12B-6F333FFB3699}</author>
    <author>tc={9F906DC7-8A03-42B4-8B01-561EF1AA81E8}</author>
    <author>tc={124896D2-C0C5-486C-8BCD-0E7A6D448367}</author>
    <author>tc={11125BD7-C4C0-4B46-9E3D-F300B3F35E08}</author>
    <author>tc={86C8ECCE-E247-41F3-BB19-3995127195B8}</author>
    <author>tc={6BB99796-90E5-4E42-9012-8170DBFBF444}</author>
    <author>tc={A0618321-2981-4EDC-8CEB-FF6E61F09186}</author>
    <author>tc={C016335E-EE40-40B2-AD1F-03192E38667C}</author>
    <author>tc={82226C32-9731-48C5-82E7-64137D5CD7E9}</author>
    <author>tc={12510A2B-9D2A-4476-BA09-CAA5B6784C8C}</author>
    <author>tc={57712FF8-C7B2-437D-BF25-C1FDEC410C90}</author>
    <author>tc={FE96E3BB-72E8-4A46-9858-17547F4AD78F}</author>
    <author>tc={21980B56-D2C2-41AD-84A4-13CE5306603E}</author>
    <author>tc={B801DA13-E3F7-4F32-8DCC-FDE8DB09895F}</author>
    <author>tc={C80AE9A4-5282-451B-88BA-869143C67DF8}</author>
    <author>tc={4F83217A-6802-4725-84F7-2B0DC6A405A2}</author>
    <author>tc={ED8961F2-4DCF-4918-977A-D7F9A8B37D07}</author>
    <author>tc={2F3D187A-AE46-4C24-9B93-E56D012B002C}</author>
    <author>tc={0594D14A-2B07-4775-B000-3E31DFA0517B}</author>
    <author>tc={91C776E7-B610-4464-99E9-32ED12A08CDD}</author>
    <author>tc={A6EFF359-7BC7-4F81-B361-320E27597194}</author>
    <author>tc={0BBE80EB-E2D9-47C4-AAF3-B61318EBAC6F}</author>
    <author>tc={040B5710-2E48-4CAB-9B5B-B9710DE8CB70}</author>
    <author>tc={DF7F3449-E18B-48CF-AD65-4E5299B7D8DE}</author>
    <author>tc={2E88745A-2BEC-40AB-BD90-3E2E967466FE}</author>
    <author>tc={B664CE0E-E75B-4DDE-8D46-638D6A37AFB8}</author>
    <author>tc={7F3F250B-2296-41C2-8859-D94D8773BAD6}</author>
    <author>tc={B664F516-27F4-45DC-83D4-4384B83F5CD7}</author>
    <author>tc={19D03F59-40D5-4EC5-909F-93C49D7D422C}</author>
    <author>tc={B26152D6-8367-4BF5-90A7-125E41A4635F}</author>
    <author>tc={0A18E7DF-A6A1-4473-B8D2-536771F9CB9B}</author>
    <author>tc={7D48C372-6E0E-46C8-92C5-FBFA6205282D}</author>
    <author>tc={8BC7D63D-C4B2-4470-B9AD-86345B15D309}</author>
    <author>tc={74C976DB-63DE-41EF-BCE2-B33498D1F913}</author>
    <author>tc={0D50A65A-4BD9-4B2F-A811-EB4037E9CC85}</author>
    <author>tc={5F9EABE9-D1B8-4EBD-8C4D-259D006B8A77}</author>
    <author>tc={EC134AE3-6B2D-4ACC-8920-3823231767F0}</author>
    <author>tc={4653E6CB-3786-4911-89D8-A4182DF98ECF}</author>
    <author>tc={F6238734-473D-434D-9326-5308975C4EC5}</author>
    <author>tc={093A364A-7747-4E33-B7DE-D7A2B38310FC}</author>
    <author>tc={E5D6DA28-D578-405C-BF8E-E32256136567}</author>
    <author>tc={F3BBB480-8A4C-42F8-AFF5-FE43A51E92F7}</author>
    <author>tc={D689A768-D8FA-46C9-9109-2D102F05E537}</author>
    <author>tc={EB935C8A-A0DF-461A-8C46-9DAB55CF13AC}</author>
    <author>tc={4FE8B830-5C90-4100-A579-D060FE40366F}</author>
    <author>tc={E35F0E0D-1F36-4F4C-AD17-6BD599D6448E}</author>
    <author>tc={37BB3B5B-6E66-406D-9242-D4D39446ABC0}</author>
  </authors>
  <commentList>
    <comment ref="BI1" authorId="0" shapeId="0" xr:uid="{5D75938B-99F4-46EF-BD3D-AD5CC690AF61}">
      <text>
        <r>
          <rPr>
            <b/>
            <sz val="9"/>
            <color indexed="81"/>
            <rFont val="Tahoma"/>
            <family val="2"/>
          </rPr>
          <t>Whitson, Bryan:</t>
        </r>
        <r>
          <rPr>
            <sz val="9"/>
            <color indexed="81"/>
            <rFont val="Tahoma"/>
            <family val="2"/>
          </rPr>
          <t xml:space="preserve">
Y or N if the project contains the pressure.</t>
        </r>
      </text>
    </comment>
    <comment ref="BM1" authorId="0" shapeId="0" xr:uid="{A8A67C8B-5FA1-4F76-B6E9-A0D7C76648C9}">
      <text>
        <r>
          <rPr>
            <b/>
            <sz val="9"/>
            <color indexed="81"/>
            <rFont val="Tahoma"/>
            <family val="2"/>
          </rPr>
          <t>Whitson, Bryan:</t>
        </r>
        <r>
          <rPr>
            <sz val="9"/>
            <color indexed="81"/>
            <rFont val="Tahoma"/>
            <family val="2"/>
          </rPr>
          <t xml:space="preserve">
Enter the LF of main in the appropriate column. If the main was not used on the project, please enter "0". </t>
        </r>
      </text>
    </comment>
    <comment ref="BT1" authorId="0" shapeId="0" xr:uid="{5AF90502-2C6F-4870-8526-F275F2E07FB5}">
      <text>
        <r>
          <rPr>
            <b/>
            <sz val="9"/>
            <color indexed="81"/>
            <rFont val="Tahoma"/>
            <family val="2"/>
          </rPr>
          <t>Whitson, Bryan:</t>
        </r>
        <r>
          <rPr>
            <sz val="9"/>
            <color indexed="81"/>
            <rFont val="Tahoma"/>
            <family val="2"/>
          </rPr>
          <t xml:space="preserve">
Enter the number of each that the project contains. If the project does not contain this facility, it would say "0".</t>
        </r>
      </text>
    </comment>
    <comment ref="AC2" authorId="1" shapeId="0" xr:uid="{341F0CFF-995F-4401-9AA3-1D234E9EFEA0}">
      <text>
        <r>
          <rPr>
            <sz val="11"/>
            <color theme="1"/>
            <rFont val="Calibri"/>
            <family val="2"/>
            <scheme val="minor"/>
          </rPr>
          <t>IS Department:
Fill out as:
"N" = No
"Y" = Yes, KH progressing PO process
"N/A" = Any Design Status besides "Completed"</t>
        </r>
      </text>
    </comment>
    <comment ref="AD2" authorId="2" shapeId="0" xr:uid="{13FA142F-66D5-43D7-A32C-D513AF8245C6}">
      <text>
        <r>
          <rPr>
            <sz val="11"/>
            <color theme="1"/>
            <rFont val="Calibri"/>
            <family val="2"/>
            <scheme val="minor"/>
          </rPr>
          <t>Dina, Eric:
Enter "Y" or "N/A".</t>
        </r>
      </text>
    </comment>
    <comment ref="BC2" authorId="0" shapeId="0" xr:uid="{3F694BC2-A9FB-42D7-A364-0F771613AE84}">
      <text>
        <r>
          <rPr>
            <b/>
            <sz val="9"/>
            <color indexed="81"/>
            <rFont val="Tahoma"/>
            <family val="2"/>
          </rPr>
          <t>Whitson, Bryan:</t>
        </r>
        <r>
          <rPr>
            <sz val="9"/>
            <color indexed="81"/>
            <rFont val="Tahoma"/>
            <family val="2"/>
          </rPr>
          <t xml:space="preserve">
Is IDOT permit required?
Input: "X" or "-"</t>
        </r>
      </text>
    </comment>
    <comment ref="BD2" authorId="0" shapeId="0" xr:uid="{B26070CF-1E33-4AF9-A585-33F83E0FFCFD}">
      <text>
        <r>
          <rPr>
            <b/>
            <sz val="9"/>
            <color indexed="81"/>
            <rFont val="Tahoma"/>
            <family val="2"/>
          </rPr>
          <t>Whitson, Bryan:</t>
        </r>
        <r>
          <rPr>
            <sz val="9"/>
            <color indexed="81"/>
            <rFont val="Tahoma"/>
            <family val="2"/>
          </rPr>
          <t xml:space="preserve">
If county permit is needed, input name of county. If multiple county permits needed, list in alphabetical order &amp; separate with a comma.</t>
        </r>
      </text>
    </comment>
    <comment ref="BE2" authorId="0" shapeId="0" xr:uid="{50C96D25-7989-4BB0-8592-D114D3353582}">
      <text>
        <r>
          <rPr>
            <b/>
            <sz val="9"/>
            <color indexed="81"/>
            <rFont val="Tahoma"/>
            <family val="2"/>
          </rPr>
          <t>Whitson, Bryan:</t>
        </r>
        <r>
          <rPr>
            <sz val="9"/>
            <color indexed="81"/>
            <rFont val="Tahoma"/>
            <family val="2"/>
          </rPr>
          <t xml:space="preserve">
If municipal permit is needed, input name of municipal. If multiple municipal permits needed, list in alphabetical order &amp; separate with a comma.</t>
        </r>
      </text>
    </comment>
    <comment ref="BF2" authorId="0" shapeId="0" xr:uid="{B0F71CB7-58AB-4DF7-9AE7-19C3E4A64878}">
      <text>
        <r>
          <rPr>
            <b/>
            <sz val="9"/>
            <color indexed="81"/>
            <rFont val="Tahoma"/>
            <family val="2"/>
          </rPr>
          <t>Whitson, Bryan:</t>
        </r>
        <r>
          <rPr>
            <sz val="9"/>
            <color indexed="81"/>
            <rFont val="Tahoma"/>
            <family val="2"/>
          </rPr>
          <t xml:space="preserve">
If township permit is needed, input name of township. If multiple township permits needed, list in alphabetical order &amp; separate with a comma.</t>
        </r>
      </text>
    </comment>
    <comment ref="BG2" authorId="0" shapeId="0" xr:uid="{E9BDB95F-1E84-42F2-9267-42647C67D6F4}">
      <text>
        <r>
          <rPr>
            <b/>
            <sz val="9"/>
            <color indexed="81"/>
            <rFont val="Tahoma"/>
            <family val="2"/>
          </rPr>
          <t>Whitson, Bryan:</t>
        </r>
        <r>
          <rPr>
            <sz val="9"/>
            <color indexed="81"/>
            <rFont val="Tahoma"/>
            <family val="2"/>
          </rPr>
          <t xml:space="preserve">
Tollway
Railroad (CN, UPRR, BNSF, etc.)
Foreign Pipeline
MWRD</t>
        </r>
      </text>
    </comment>
    <comment ref="BI2" authorId="0" shapeId="0" xr:uid="{63502B85-676E-4056-BD7F-1619CDE9BBCB}">
      <text>
        <r>
          <rPr>
            <b/>
            <sz val="9"/>
            <color indexed="81"/>
            <rFont val="Tahoma"/>
            <family val="2"/>
          </rPr>
          <t>Whitson, Bryan:</t>
        </r>
        <r>
          <rPr>
            <sz val="9"/>
            <color indexed="81"/>
            <rFont val="Tahoma"/>
            <family val="2"/>
          </rPr>
          <t xml:space="preserve">
Y or N</t>
        </r>
      </text>
    </comment>
    <comment ref="BT2" authorId="3" shapeId="0" xr:uid="{FA9EDA80-E283-4BBA-B380-A2B14BF7A32B}">
      <text>
        <r>
          <rPr>
            <b/>
            <sz val="9"/>
            <color indexed="81"/>
            <rFont val="Tahoma"/>
            <family val="2"/>
          </rPr>
          <t>Michaels, Nick:</t>
        </r>
        <r>
          <rPr>
            <sz val="9"/>
            <color indexed="81"/>
            <rFont val="Tahoma"/>
            <family val="2"/>
          </rPr>
          <t xml:space="preserve">
Look at QTY table at bottom left.</t>
        </r>
      </text>
    </comment>
    <comment ref="BU2" authorId="3" shapeId="0" xr:uid="{9798097C-B989-4381-B154-A9207559ED58}">
      <text>
        <r>
          <rPr>
            <b/>
            <sz val="9"/>
            <color indexed="81"/>
            <rFont val="Tahoma"/>
            <family val="2"/>
          </rPr>
          <t>Michaels, Nick:</t>
        </r>
        <r>
          <rPr>
            <sz val="9"/>
            <color indexed="81"/>
            <rFont val="Tahoma"/>
            <family val="2"/>
          </rPr>
          <t xml:space="preserve">
Look at qty table on bottom left.</t>
        </r>
      </text>
    </comment>
    <comment ref="BV2" authorId="3" shapeId="0" xr:uid="{D40DEE81-954F-4AB8-B0F5-EC586F18B75D}">
      <text>
        <r>
          <rPr>
            <b/>
            <sz val="9"/>
            <color indexed="81"/>
            <rFont val="Tahoma"/>
            <family val="2"/>
          </rPr>
          <t>Michaels, Nick:</t>
        </r>
        <r>
          <rPr>
            <sz val="9"/>
            <color indexed="81"/>
            <rFont val="Tahoma"/>
            <family val="2"/>
          </rPr>
          <t xml:space="preserve">
Review the CRA table on RS projects and fill out based on PVSTR/FV count in this table.</t>
        </r>
      </text>
    </comment>
    <comment ref="BW2" authorId="3" shapeId="0" xr:uid="{808D3FBD-8647-42CD-9BFB-A7391DC36FE8}">
      <text>
        <r>
          <rPr>
            <b/>
            <sz val="9"/>
            <color indexed="81"/>
            <rFont val="Tahoma"/>
            <family val="2"/>
          </rPr>
          <t>Michaels, Nick:</t>
        </r>
        <r>
          <rPr>
            <sz val="9"/>
            <color indexed="81"/>
            <rFont val="Tahoma"/>
            <family val="2"/>
          </rPr>
          <t xml:space="preserve">
Review the CRA table on RS projects and fill out based on PVSTR/FV count in this table.</t>
        </r>
      </text>
    </comment>
    <comment ref="BX2" authorId="3" shapeId="0" xr:uid="{A9FC0A82-19A6-4414-8DD4-D78E65EFAABC}">
      <text>
        <r>
          <rPr>
            <b/>
            <sz val="9"/>
            <color indexed="81"/>
            <rFont val="Tahoma"/>
            <family val="2"/>
          </rPr>
          <t>Michaels, Nick:</t>
        </r>
        <r>
          <rPr>
            <sz val="9"/>
            <color indexed="81"/>
            <rFont val="Tahoma"/>
            <family val="2"/>
          </rPr>
          <t xml:space="preserve">
Review the CRA table on RS projects and fill out based on PVSTR/FV count in this table.</t>
        </r>
      </text>
    </comment>
    <comment ref="BY2" authorId="3" shapeId="0" xr:uid="{4D7C340D-AE2F-42E0-A7C2-D20539B980C8}">
      <text>
        <r>
          <rPr>
            <b/>
            <sz val="9"/>
            <color indexed="81"/>
            <rFont val="Tahoma"/>
            <family val="2"/>
          </rPr>
          <t>Michaels, Nick:</t>
        </r>
        <r>
          <rPr>
            <sz val="9"/>
            <color indexed="81"/>
            <rFont val="Tahoma"/>
            <family val="2"/>
          </rPr>
          <t xml:space="preserve">
Review the titleblock of the WO dwg, the PO item table, and the TS table. Likely will only be on NBA or some RS projects.</t>
        </r>
      </text>
    </comment>
    <comment ref="C20" authorId="4" shapeId="0" xr:uid="{52FF3307-D388-411A-8056-E335470D4E70}">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@Michaels, Nick going to go off the WO but i think this should be MR1926
Reply:
    @Corbi, Camille - youre right. It was wrong in completed too. Just fixed, thank you!</t>
      </text>
    </comment>
    <comment ref="AC20" authorId="5" shapeId="0" xr:uid="{00F83D81-0A18-4758-A766-4908670B8985}">
      <text>
        <t>[Threaded comment]
Your version of Excel allows you to read this threaded comment; however, any edits to it will get removed if the file is opened in a newer version of Excel. Learn more: https://go.microsoft.com/fwlink/?linkid=870924
Comment:
    Material procurement to occur at a later date. construction anticipated for 2024.</t>
      </text>
    </comment>
    <comment ref="J23" authorId="6" shapeId="0" xr:uid="{D71E4DBB-5420-4817-8D2A-F30079C0161C}">
      <text>
        <t>[Threaded comment]
Your version of Excel allows you to read this threaded comment; however, any edits to it will get removed if the file is opened in a newer version of Excel. Learn more: https://go.microsoft.com/fwlink/?linkid=870924
Comment:
    No EADD in EDSR form. 11/18 is self imposed date.</t>
      </text>
    </comment>
    <comment ref="O33" authorId="7" shapeId="0" xr:uid="{ED4ECF9D-79B8-4E8C-AC96-83C546477EE0}">
      <text>
        <t xml:space="preserve">[Threaded comment]
Your version of Excel allows you to read this threaded comment; however, any edits to it will get removed if the file is opened in a newer version of Excel. Learn more: https://go.microsoft.com/fwlink/?linkid=870924
Comment:
    May add this to June billing if the cost estimate meeting on 6/18 goes smooth and there are no outstanding items. </t>
      </text>
    </comment>
    <comment ref="Q33" authorId="8" shapeId="0" xr:uid="{C96414F1-BB11-40A7-A8B1-E7985A1C3D8F}">
      <text>
        <t>[Threaded comment]
Your version of Excel allows you to read this threaded comment; however, any edits to it will get removed if the file is opened in a newer version of Excel. Learn more: https://go.microsoft.com/fwlink/?linkid=870924
Comment:
    @Michaels, Nick  will be verified after cost estimate review meeting with conops tomorrow, would like to bill this month if possible
Reply:
    Pushing to next month</t>
      </text>
    </comment>
    <comment ref="V33" authorId="9" shapeId="0" xr:uid="{4EE63D16-4C08-48FF-9BED-4F3A88B64B43}">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@Lierow, Taylor please populate red cells</t>
      </text>
    </comment>
    <comment ref="AA33" authorId="10" shapeId="0" xr:uid="{CB5F7DF4-48CA-4813-9008-1D89B84FF8AF}">
      <text>
        <t xml:space="preserve">[Threaded comment]
Your version of Excel allows you to read this threaded comment; however, any edits to it will get removed if the file is opened in a newer version of Excel. Learn more: https://go.microsoft.com/fwlink/?linkid=870924
Comment:
    @Michaels, Nick just FYI it looks like there was some miscellaneous $100 charge in column Y for this. I deleted it, but I can’t unhide the cells to verify if there are others. Probably worth a look and then deleting this comment. </t>
      </text>
    </comment>
    <comment ref="AB33" authorId="11" shapeId="0" xr:uid="{37B462B3-9149-4458-BD1D-869C7BC13AC0}">
      <text>
        <t>[Threaded comment]
Your version of Excel allows you to read this threaded comment; however, any edits to it will get removed if the file is opened in a newer version of Excel. Learn more: https://go.microsoft.com/fwlink/?linkid=870924
Comment:
    @Kulach, Caroline /@Dina, Eric - shouldn’t be a date here that’s in the future. Leave as Sent (x/x) until we get our actual approval from conops</t>
      </text>
    </comment>
    <comment ref="AK39" authorId="12" shapeId="0" xr:uid="{13C5FCC2-7833-4569-8817-0C0A5D16E138}">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@Rojas, Taylor When you have a minute can you please help pull the effort from Shactee on this project?</t>
      </text>
    </comment>
    <comment ref="J40" authorId="13" shapeId="0" xr:uid="{E86E51F5-7C57-4B94-95F2-0FC7ACD4F648}">
      <text>
        <t>[Threaded comment]
Your version of Excel allows you to read this threaded comment; however, any edits to it will get removed if the file is opened in a newer version of Excel. Learn more: https://go.microsoft.com/fwlink/?linkid=870924
Comment:
    @Stanley, Mark - are we still pending this date extension? If so, please follow up and add the date of our last follow up.
Reply:
    Still pending, most recent f/u 5/15/25
Reply:
    F/U 6/12/25</t>
      </text>
    </comment>
    <comment ref="AN45" authorId="14" shapeId="0" xr:uid="{960DE391-6DD0-4284-9598-6083AF279FF1}">
      <text>
        <t>[Threaded comment]
Your version of Excel allows you to read this threaded comment; however, any edits to it will get removed if the file is opened in a newer version of Excel. Learn more: https://go.microsoft.com/fwlink/?linkid=870924
Comment:
    9/5/2024
Reply:
    I assume this can be colored purple now?</t>
      </text>
    </comment>
    <comment ref="AW45" authorId="15" shapeId="0" xr:uid="{E75C4765-207D-4795-9DC2-160E625379CF}">
      <text>
        <t>[Threaded comment]
Your version of Excel allows you to read this threaded comment; however, any edits to it will get removed if the file is opened in a newer version of Excel. Learn more: https://go.microsoft.com/fwlink/?linkid=870924
Comment:
    Include the reason why the estimate increased.  Removing SysOps time should have decreased the estimate.</t>
      </text>
    </comment>
    <comment ref="X47" authorId="16" shapeId="0" xr:uid="{399D7A9B-F84D-40EA-A4E5-8A43D4231CC7}">
      <text>
        <t>[Threaded comment]
Your version of Excel allows you to read this threaded comment; however, any edits to it will get removed if the file is opened in a newer version of Excel. Learn more: https://go.microsoft.com/fwlink/?linkid=870924
Comment:
    PCTS shows 1,357,372.21</t>
      </text>
    </comment>
    <comment ref="Z47" authorId="17" shapeId="0" xr:uid="{8FAD5ABC-833E-4A21-8546-61B1E1F4AF72}">
      <text>
        <t>[Threaded comment]
Your version of Excel allows you to read this threaded comment; however, any edits to it will get removed if the file is opened in a newer version of Excel. Learn more: https://go.microsoft.com/fwlink/?linkid=870924
Comment:
    PCTS shows 325,070.37</t>
      </text>
    </comment>
    <comment ref="AN48" authorId="18" shapeId="0" xr:uid="{0169D7E2-D350-42B3-BD6D-14309DDC35E3}">
      <text>
        <t>[Threaded comment]
Your version of Excel allows you to read this threaded comment; however, any edits to it will get removed if the file is opened in a newer version of Excel. Learn more: https://go.microsoft.com/fwlink/?linkid=870924
Comment:
    This one has a approved date, but in the notes tab is showing as the WO has been cancelled, and the EDSR is showing as NOO/No Conflict.
Reply:
    Did we do a relocation for this? If so, we may want to reach out to the supervising engineer on this one to see the story. Maybe it was NOO in the field?
Reply:
    We completed the drawings and an associated revision. Caroline had a conops site visit correspondence with Bart Sobol confirming they were able to negotiate out of the work, so yes it was in the field. 
Reply:
    I agree with N/A for this.  The project is canceled in PCTS per Bart, NOO in EDSR per Karey or Kendra (KJ)</t>
      </text>
    </comment>
    <comment ref="AJ51" authorId="19" shapeId="0" xr:uid="{D0056230-07B0-4AA3-86CF-9AE2729A1D7C}">
      <text>
        <t>[Threaded comment]
Your version of Excel allows you to read this threaded comment; however, any edits to it will get removed if the file is opened in a newer version of Excel. Learn more: https://go.microsoft.com/fwlink/?linkid=870924
Comment:
    It looks like Millennia forgot to bill us for a pothole.  Getting confirmation.
Reply:
    Pending response from Millenia</t>
      </text>
    </comment>
    <comment ref="K69" authorId="20" shapeId="0" xr:uid="{A976B7CF-845D-4100-B12B-6F333FFB3699}">
      <text>
        <t>[Threaded comment]
Your version of Excel allows you to read this threaded comment; however, any edits to it will get removed if the file is opened in a newer version of Excel. Learn more: https://go.microsoft.com/fwlink/?linkid=870924
Comment:
    @Corbi, Camille - what is our date of last follow up to land? Lets add that.
Reply:
    following up everyday</t>
      </text>
    </comment>
    <comment ref="O69" authorId="21" shapeId="0" xr:uid="{9F906DC7-8A03-42B4-8B01-561EF1AA81E8}">
      <text>
        <t>[Threaded comment]
Your version of Excel allows you to read this threaded comment; however, any edits to it will get removed if the file is opened in a newer version of Excel. Learn more: https://go.microsoft.com/fwlink/?linkid=870924
Comment:
    Bill in July</t>
      </text>
    </comment>
    <comment ref="V69" authorId="22" shapeId="0" xr:uid="{124896D2-C0C5-486C-8BCD-0E7A6D448367}">
      <text>
        <t>[Threaded comment]
Your version of Excel allows you to read this threaded comment; however, any edits to it will get removed if the file is opened in a newer version of Excel. Learn more: https://go.microsoft.com/fwlink/?linkid=870924
Comment:
    @Corbi, Camille - Please fill out all red cells in row and highlight yellow when ready for my review.</t>
      </text>
    </comment>
    <comment ref="AK69" authorId="23" shapeId="0" xr:uid="{11125BD7-C4C0-4B46-9E3D-F300B3F35E08}">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@Rojas, Taylor ca you please help me pull all the shactee effort for this project?</t>
      </text>
    </comment>
    <comment ref="AW70" authorId="24" shapeId="0" xr:uid="{86C8ECCE-E247-41F3-BB19-3995127195B8}">
      <text>
        <t>[Threaded comment]
Your version of Excel allows you to read this threaded comment; however, any edits to it will get removed if the file is opened in a newer version of Excel. Learn more: https://go.microsoft.com/fwlink/?linkid=870924
Comment:
    What caused the cost to decrease?
Reply:
    ConOps lowered 2 person boring crew, lowered (10026) trucking, and lowered traffic control. Is there something else you need on this?
Reply:
    Do we understand what the reason was behind this? Did we have documentation of them originally wanting to increase it, and then removing it later?</t>
      </text>
    </comment>
    <comment ref="AW80" authorId="25" shapeId="0" xr:uid="{6BB99796-90E5-4E42-9012-8170DBFBF444}">
      <text>
        <t xml:space="preserve">[Threaded comment]
Your version of Excel allows you to read this threaded comment; however, any edits to it will get removed if the file is opened in a newer version of Excel. Learn more: https://go.microsoft.com/fwlink/?linkid=870924
Comment:
    Can you comment on the $2M cost decrease?
Reply:
    double click into the reconciliation notes N14359 - ~4K Revision due to IDOT permit comments
N14359 - ~29K Revision due to splitting up original drawings into two seperate WO's. 
N14359-1 - ~43K Revision due to the second WO drawings from the split being created. 
N14359-1 - ~3K Revision due to revised Village comments on RR drawings. 
N14359 was revised to be split up into two seperate Work Orders. The final cost of the investment and retirmement is under another Proj number - N14359-1.  The major cost decrease of the $2M was "moved" to the N143559-1 project, that has yet to be constructed. </t>
      </text>
    </comment>
    <comment ref="AC86" authorId="26" shapeId="0" xr:uid="{A0618321-2981-4EDC-8CEB-FF6E61F09186}">
      <text>
        <t>[Threaded comment]
Your version of Excel allows you to read this threaded comment; however, any edits to it will get removed if the file is opened in a newer version of Excel. Learn more: https://go.microsoft.com/fwlink/?linkid=870924
Comment:
    @LaPorte, Marissa / @McTigue, Thomas - Would you please fill out the red cells in these rows?
Reply:
    Updated, debrief in March</t>
      </text>
    </comment>
    <comment ref="AV88" authorId="27" shapeId="0" xr:uid="{C016335E-EE40-40B2-AD1F-03192E38667C}">
      <text>
        <t>[Threaded comment]
Your version of Excel allows you to read this threaded comment; however, any edits to it will get removed if the file is opened in a newer version of Excel. Learn more: https://go.microsoft.com/fwlink/?linkid=870924
Comment:
    Put full revision 1 cost under non-reimbursable WO</t>
      </text>
    </comment>
    <comment ref="J89" authorId="28" shapeId="0" xr:uid="{82226C32-9731-48C5-82E7-64137D5CD7E9}">
      <text>
        <t>[Threaded comment]
Your version of Excel allows you to read this threaded comment; however, any edits to it will get removed if the file is opened in a newer version of Excel. Learn more: https://go.microsoft.com/fwlink/?linkid=870924
Comment:
    f/u 7/19
Reply:
    8/6
Reply:
    8/27
Reply:
    10/10
Reply:
    10/16
Reply:
    11/7
Reply:
    12/10
Reply:
    updated and reviewed</t>
      </text>
    </comment>
    <comment ref="AW89" authorId="29" shapeId="0" xr:uid="{12510A2B-9D2A-4476-BA09-CAA5B6784C8C}">
      <text>
        <t>[Threaded comment]
Your version of Excel allows you to read this threaded comment; however, any edits to it will get removed if the file is opened in a newer version of Excel. Learn more: https://go.microsoft.com/fwlink/?linkid=870924
Comment:
    Why did the cost increase?</t>
      </text>
    </comment>
    <comment ref="AJ93" authorId="30" shapeId="0" xr:uid="{57712FF8-C7B2-437D-BF25-C1FDEC410C90}">
      <text>
        <t>[Threaded comment]
Your version of Excel allows you to read this threaded comment; however, any edits to it will get removed if the file is opened in a newer version of Excel. Learn more: https://go.microsoft.com/fwlink/?linkid=870924
Comment:
    Shactee locates ($1,368.34) + Helix ($6,850)</t>
      </text>
    </comment>
    <comment ref="AO95" authorId="31" shapeId="0" xr:uid="{FE96E3BB-72E8-4A46-9858-17547F4AD78F}">
      <text>
        <t>[Threaded comment]
Your version of Excel allows you to read this threaded comment; however, any edits to it will get removed if the file is opened in a newer version of Excel. Learn more: https://go.microsoft.com/fwlink/?linkid=870924
Comment:
    11099260</t>
      </text>
    </comment>
    <comment ref="AB108" authorId="32" shapeId="0" xr:uid="{21980B56-D2C2-41AD-84A4-13CE5306603E}">
      <text>
        <t>[Threaded comment]
Your version of Excel allows you to read this threaded comment; however, any edits to it will get removed if the file is opened in a newer version of Excel. Learn more: https://go.microsoft.com/fwlink/?linkid=870924
Comment:
    Review request sent 11/2. F/U 11/8. ConOps reports project is to be broken up into multiple WOs.</t>
      </text>
    </comment>
    <comment ref="AC108" authorId="33" shapeId="0" xr:uid="{B801DA13-E3F7-4F32-8DCC-FDE8DB09895F}">
      <text>
        <t>[Threaded comment]
Your version of Excel allows you to read this threaded comment; however, any edits to it will get removed if the file is opened in a newer version of Excel. Learn more: https://go.microsoft.com/fwlink/?linkid=870924
Comment:
    Requisitions on hold, project is to be broken into multiple WOs.</t>
      </text>
    </comment>
    <comment ref="AC109" authorId="34" shapeId="0" xr:uid="{C80AE9A4-5282-451B-88BA-869143C67DF8}">
      <text>
        <t>[Threaded comment]
Your version of Excel allows you to read this threaded comment; however, any edits to it will get removed if the file is opened in a newer version of Excel. Learn more: https://go.microsoft.com/fwlink/?linkid=870924
Comment:
    Pending PID creation. Email out to Kendra 7/25.
Reply:
    F/U 7/27
Reply:
    F/U 8/4
Reply:
    PR6380 submitted 8/10</t>
      </text>
    </comment>
    <comment ref="K127" authorId="35" shapeId="0" xr:uid="{4F83217A-6802-4725-84F7-2B0DC6A405A2}">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@Hopkins, Matt please populate red cells</t>
      </text>
    </comment>
    <comment ref="X128" authorId="36" shapeId="0" xr:uid="{ED8961F2-4DCF-4918-977A-D7F9A8B37D07}">
      <text>
        <t>[Threaded comment]
Your version of Excel allows you to read this threaded comment; however, any edits to it will get removed if the file is opened in a newer version of Excel. Learn more: https://go.microsoft.com/fwlink/?linkid=870924
Comment:
    @Dina, Eric just FYI, these numbers that you previously had in here included OH, I updated to be the direct estimates
Reply:
    Thanks for making the change. @Hopkins, Matt  @Ekstrom, Ethan please note for next time</t>
      </text>
    </comment>
    <comment ref="AC134" authorId="37" shapeId="0" xr:uid="{2F3D187A-AE46-4C24-9B93-E56D012B002C}">
      <text>
        <t>[Threaded comment]
Your version of Excel allows you to read this threaded comment; however, any edits to it will get removed if the file is opened in a newer version of Excel. Learn more: https://go.microsoft.com/fwlink/?linkid=870924
Comment:
    Material procurement to occur at a later date. construction anticipated for 2025</t>
      </text>
    </comment>
    <comment ref="J137" authorId="38" shapeId="0" xr:uid="{0594D14A-2B07-4775-B000-3E31DFA0517B}">
      <text>
        <t>[Threaded comment]
Your version of Excel allows you to read this threaded comment; however, any edits to it will get removed if the file is opened in a newer version of Excel. Learn more: https://go.microsoft.com/fwlink/?linkid=870924
Comment:
    Follow up 3/6</t>
      </text>
    </comment>
    <comment ref="J139" authorId="39" shapeId="0" xr:uid="{91C776E7-B610-4464-99E9-32ED12A08CDD}">
      <text>
        <t>[Threaded comment]
Your version of Excel allows you to read this threaded comment; however, any edits to it will get removed if the file is opened in a newer version of Excel. Learn more: https://go.microsoft.com/fwlink/?linkid=870924
Comment:
    F/U 4/7</t>
      </text>
    </comment>
    <comment ref="AJ140" authorId="40" shapeId="0" xr:uid="{A6EFF359-7BC7-4F81-B361-320E27597194}">
      <text>
        <t>[Threaded comment]
Your version of Excel allows you to read this threaded comment; however, any edits to it will get removed if the file is opened in a newer version of Excel. Learn more: https://go.microsoft.com/fwlink/?linkid=870924
Comment:
    Since there's 2 work orders, I have split this all the 3rd party costs between the two WOs.</t>
      </text>
    </comment>
    <comment ref="AK142" authorId="41" shapeId="0" xr:uid="{0BBE80EB-E2D9-47C4-AAF3-B61318EBAC6F}">
      <text>
        <t>[Threaded comment]
Your version of Excel allows you to read this threaded comment; however, any edits to it will get removed if the file is opened in a newer version of Excel. Learn more: https://go.microsoft.com/fwlink/?linkid=870924
Comment:
    Reported in 2023</t>
      </text>
    </comment>
    <comment ref="K147" authorId="42" shapeId="0" xr:uid="{040B5710-2E48-4CAB-9B5B-B9710DE8CB70}">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@Castellon, Randy please populate red cells</t>
      </text>
    </comment>
    <comment ref="K148" authorId="43" shapeId="0" xr:uid="{DF7F3449-E18B-48CF-AD65-4E5299B7D8DE}">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@Castellon, Randy please populate red cells</t>
      </text>
    </comment>
    <comment ref="AV149" authorId="44" shapeId="0" xr:uid="{2E88745A-2BEC-40AB-BD90-3E2E967466FE}">
      <text>
        <t>[Threaded comment]
Your version of Excel allows you to read this threaded comment; however, any edits to it will get removed if the file is opened in a newer version of Excel. Learn more: https://go.microsoft.com/fwlink/?linkid=870924
Comment:
    $10,090.00 per completed projects.  Comment if this should be effectively split between the -1 number.
Reply:
    shown as a split for the two projects</t>
      </text>
    </comment>
    <comment ref="K153" authorId="45" shapeId="0" xr:uid="{B664CE0E-E75B-4DDE-8D46-638D6A37AFB8}">
      <text>
        <t>[Threaded comment]
Your version of Excel allows you to read this threaded comment; however, any edits to it will get removed if the file is opened in a newer version of Excel. Learn more: https://go.microsoft.com/fwlink/?linkid=870924
Comment:
    @Lierow, Taylor please fill out red cells and highlight yellow when ready for my review. Please continue to follow up on this date as well</t>
      </text>
    </comment>
    <comment ref="AN154" authorId="46" shapeId="0" xr:uid="{7F3F250B-2296-41C2-8859-D94D8773BAD6}">
      <text>
        <t>[Threaded comment]
Your version of Excel allows you to read this threaded comment; however, any edits to it will get removed if the file is opened in a newer version of Excel. Learn more: https://go.microsoft.com/fwlink/?linkid=870924
Comment:
    7/7 Update: project is being shown as NOO/No Conflict per Karey Notes as of 1/25/2025
Per joey "gonna have to look into this later"
Reply:
    NOO in EDSR and PCTS (Karey).  I agree w/ N/A.</t>
      </text>
    </comment>
    <comment ref="AW158" authorId="47" shapeId="0" xr:uid="{B664F516-27F4-45DC-83D4-4384B83F5CD7}">
      <text>
        <t>[Threaded comment]
Your version of Excel allows you to read this threaded comment; however, any edits to it will get removed if the file is opened in a newer version of Excel. Learn more: https://go.microsoft.com/fwlink/?linkid=870924
Comment:
    Was material moved from SC23070 to SC23070-1?  The cost change is about the same.
Reply:
    I looked for this, and based on the screen recordings I had, nothing was moved between estimates. I did look through some of the store item costs, and some went up and some went down, so I think that explains the minor changes</t>
      </text>
    </comment>
    <comment ref="AN161" authorId="48" shapeId="0" xr:uid="{19D03F59-40D5-4EC5-909F-93C49D7D422C}">
      <text>
        <t>[Threaded comment]
Your version of Excel allows you to read this threaded comment; however, any edits to it will get removed if the file is opened in a newer version of Excel. Learn more: https://go.microsoft.com/fwlink/?linkid=870924
Comment:
    Recently approved.  Please fill out.</t>
      </text>
    </comment>
    <comment ref="X165" authorId="49" shapeId="0" xr:uid="{B26152D6-8367-4BF5-90A7-125E41A4635F}">
      <text>
        <t>[Threaded comment]
Your version of Excel allows you to read this threaded comment; however, any edits to it will get removed if the file is opened in a newer version of Excel. Learn more: https://go.microsoft.com/fwlink/?linkid=870924
Comment:
    PCTS shows $303,560.19</t>
      </text>
    </comment>
    <comment ref="BK171" authorId="50" shapeId="0" xr:uid="{0A18E7DF-A6A1-4473-B8D2-536771F9CB9B}">
      <text>
        <t>[Threaded comment]
Your version of Excel allows you to read this threaded comment; however, any edits to it will get removed if the file is opened in a newer version of Excel. Learn more: https://go.microsoft.com/fwlink/?linkid=870924
Comment:
    @Hopkins, Matt please update red cells</t>
      </text>
    </comment>
    <comment ref="BN171" authorId="51" shapeId="0" xr:uid="{7D48C372-6E0E-46C8-92C5-FBFA6205282D}">
      <text>
        <t>[Threaded comment]
Your version of Excel allows you to read this threaded comment; however, any edits to it will get removed if the file is opened in a newer version of Excel. Learn more: https://go.microsoft.com/fwlink/?linkid=870924
Comment:
    @Hopkins, Matt Please fill out if you anticipate sending for shactee review</t>
      </text>
    </comment>
    <comment ref="AR175" authorId="52" shapeId="0" xr:uid="{8BC7D63D-C4B2-4470-B9AD-86345B15D309}">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@Corbi, Camille this is showing as $84,507.50 per PCTS, which is a very minor cost discrepancy from the original PCTS estimate.  Was anything updated in PCTS for the revision?
Reply:
    No, they had specifically requested we not update the estimate for the revision
Reply:
    Got it.  Currently this is just a copy of the investment amount.  Can you adjust then number to the retirement amount and adjust the reasoning accordingly?
Reply:
    Can you let me know when this is updated?
Reply:
    updated</t>
      </text>
    </comment>
    <comment ref="AW175" authorId="53" shapeId="0" xr:uid="{74C976DB-63DE-41EF-BCE2-B33498D1F913}">
      <text>
        <t xml:space="preserve">[Threaded comment]
Your version of Excel allows you to read this threaded comment; however, any edits to it will get removed if the file is opened in a newer version of Excel. Learn more: https://go.microsoft.com/fwlink/?linkid=870924
Comment:
    My latest screen recording (taken at release on 3/25/25 has the investment of 694,528.40). All the tabs on the investment recording are the same as what PCTS is currently showing, but the direct estimate is now 694,722.02. No tabs appear to be updated from release until now, so I am not sure what is causing this discrepancy. Retirement costs are exactly the same. </t>
      </text>
    </comment>
    <comment ref="H177" authorId="54" shapeId="0" xr:uid="{0D50A65A-4BD9-4B2F-A811-EB4037E9CC85}">
      <text>
        <t>[Threaded comment]
Your version of Excel allows you to read this threaded comment; however, any edits to it will get removed if the file is opened in a newer version of Excel. Learn more: https://go.microsoft.com/fwlink/?linkid=870924
Comment:
    @Lierow, Taylor  please fill out red cells and highlight yellow when ready for @Dina, Eric  and my review
Reply:
    Done</t>
      </text>
    </comment>
    <comment ref="J177" authorId="55" shapeId="0" xr:uid="{5F9EABE9-D1B8-4EBD-8C4D-259D006B8A77}">
      <text>
        <t>[Threaded comment]
Your version of Excel allows you to read this threaded comment; however, any edits to it will get removed if the file is opened in a newer version of Excel. Learn more: https://go.microsoft.com/fwlink/?linkid=870924
Comment:
    this was approved, un-bolding the date</t>
      </text>
    </comment>
    <comment ref="AN177" authorId="56" shapeId="0" xr:uid="{EC134AE3-6B2D-4ACC-8920-3823231767F0}">
      <text>
        <t>[Threaded comment]
Your version of Excel allows you to read this threaded comment; however, any edits to it will get removed if the file is opened in a newer version of Excel. Learn more: https://go.microsoft.com/fwlink/?linkid=870924
Comment:
    Recently approved.  Please fill out.</t>
      </text>
    </comment>
    <comment ref="AN183" authorId="57" shapeId="0" xr:uid="{4653E6CB-3786-4911-89D8-A4182DF98ECF}">
      <text>
        <t>[Threaded comment]
Your version of Excel allows you to read this threaded comment; however, any edits to it will get removed if the file is opened in a newer version of Excel. Learn more: https://go.microsoft.com/fwlink/?linkid=870924
Comment:
    NOO per EDSR, I think we can change to N/A to remove from this list.</t>
      </text>
    </comment>
    <comment ref="AN184" authorId="58" shapeId="0" xr:uid="{F6238734-473D-434D-9326-5308975C4EC5}">
      <text>
        <t>[Threaded comment]
Your version of Excel allows you to read this threaded comment; however, any edits to it will get removed if the file is opened in a newer version of Excel. Learn more: https://go.microsoft.com/fwlink/?linkid=870924
Comment:
    NOO per EDSR, I think we can change to N/A to remove from this list.</t>
      </text>
    </comment>
    <comment ref="AB185" authorId="59" shapeId="0" xr:uid="{093A364A-7747-4E33-B7DE-D7A2B38310FC}">
      <text>
        <t>[Threaded comment]
Your version of Excel allows you to read this threaded comment; however, any edits to it will get removed if the file is opened in a newer version of Excel. Learn more: https://go.microsoft.com/fwlink/?linkid=870924
Comment:
    Ron Westphal</t>
      </text>
    </comment>
    <comment ref="J186" authorId="60" shapeId="0" xr:uid="{E5D6DA28-D578-405C-BF8E-E32256136567}">
      <text>
        <t>[Threaded comment]
Your version of Excel allows you to read this threaded comment; however, any edits to it will get removed if the file is opened in a newer version of Excel. Learn more: https://go.microsoft.com/fwlink/?linkid=870924
Comment:
    F/U 3/7
Reply:
    F/U 4/7</t>
      </text>
    </comment>
    <comment ref="AN193" authorId="61" shapeId="0" xr:uid="{F3BBB480-8A4C-42F8-AFF5-FE43A51E92F7}">
      <text>
        <t>[Threaded comment]
Your version of Excel allows you to read this threaded comment; however, any edits to it will get removed if the file is opened in a newer version of Excel. Learn more: https://go.microsoft.com/fwlink/?linkid=870924
Comment:
    Canceled per EDSR and PCTS.  I think we can change this to N/A to remove from list.</t>
      </text>
    </comment>
    <comment ref="AN194" authorId="62" shapeId="0" xr:uid="{D689A768-D8FA-46C9-9109-2D102F05E537}">
      <text>
        <t>[Threaded comment]
Your version of Excel allows you to read this threaded comment; however, any edits to it will get removed if the file is opened in a newer version of Excel. Learn more: https://go.microsoft.com/fwlink/?linkid=870924
Comment:
    Canceled per EDSR and PCTS.  I think we can change this to N/A to remove from list.</t>
      </text>
    </comment>
    <comment ref="O200" authorId="63" shapeId="0" xr:uid="{EB935C8A-A0DF-461A-8C46-9DAB55CF13AC}">
      <text>
        <t>[Threaded comment]
Your version of Excel allows you to read this threaded comment; however, any edits to it will get removed if the file is opened in a newer version of Excel. Learn more: https://go.microsoft.com/fwlink/?linkid=870924
Comment:
    Bill in July - pending conops est. approval</t>
      </text>
    </comment>
    <comment ref="AC201" authorId="64" shapeId="0" xr:uid="{4FE8B830-5C90-4100-A579-D060FE40366F}">
      <text>
        <t>[Threaded comment]
Your version of Excel allows you to read this threaded comment; however, any edits to it will get removed if the file is opened in a newer version of Excel. Learn more: https://go.microsoft.com/fwlink/?linkid=870924
Comment:
    Material procurement to occur at a later date. construction anticipated for 2024.</t>
      </text>
    </comment>
    <comment ref="K205" authorId="65" shapeId="0" xr:uid="{E35F0E0D-1F36-4F4C-AD17-6BD599D6448E}">
      <text>
        <t>[Threaded comment]
Your version of Excel allows you to read this threaded comment; however, any edits to it will get removed if the file is opened in a newer version of Excel. Learn more: https://go.microsoft.com/fwlink/?linkid=870924
Comment:
    @McTigue, Thomas - Please fill out all red cells in row and highlight yellow when ready for me to review</t>
      </text>
    </comment>
    <comment ref="AN206" authorId="66" shapeId="0" xr:uid="{37BB3B5B-6E66-406D-9242-D4D39446ABC0}">
      <text>
        <t>[Threaded comment]
Your version of Excel allows you to read this threaded comment; however, any edits to it will get removed if the file is opened in a newer version of Excel. Learn more: https://go.microsoft.com/fwlink/?linkid=870924
Comment:
    Canceled per EDSR.  I think we can change this one to N/A.</t>
      </text>
    </comment>
  </commentList>
</comments>
</file>

<file path=xl/sharedStrings.xml><?xml version="1.0" encoding="utf-8"?>
<sst xmlns="http://schemas.openxmlformats.org/spreadsheetml/2006/main" count="134679" uniqueCount="9216">
  <si>
    <t>Active Projects</t>
  </si>
  <si>
    <t>Project Lead</t>
  </si>
  <si>
    <t>CRA</t>
  </si>
  <si>
    <t>Non-DOT</t>
  </si>
  <si>
    <t>DOT</t>
  </si>
  <si>
    <t>Total</t>
  </si>
  <si>
    <t>2023 Comp.</t>
  </si>
  <si>
    <t>2023 Rev.</t>
  </si>
  <si>
    <t>Jan-2023 YTD Mult</t>
  </si>
  <si>
    <t>Jan-2023 YTD Effort</t>
  </si>
  <si>
    <t>Jan-2023 Dist YTD E</t>
  </si>
  <si>
    <t>Feb-2023 YTD Mult</t>
  </si>
  <si>
    <t>Feb-2023 YTD Effort</t>
  </si>
  <si>
    <t>2023 Dist YTD Effort</t>
  </si>
  <si>
    <t>Monthly Delta</t>
  </si>
  <si>
    <t>Monthly Delta Dist</t>
  </si>
  <si>
    <t>2022 Comp.</t>
  </si>
  <si>
    <t>2022
Rev.</t>
  </si>
  <si>
    <t>2022 Mult</t>
  </si>
  <si>
    <t>2022 Effort</t>
  </si>
  <si>
    <t>2022 Dist</t>
  </si>
  <si>
    <t>Notes</t>
  </si>
  <si>
    <t>Mitchell Pohlman</t>
  </si>
  <si>
    <t>Anna Yordan</t>
  </si>
  <si>
    <t>Alban Shehu</t>
  </si>
  <si>
    <t>Taylor Lierow</t>
  </si>
  <si>
    <t>Conner Chamernik</t>
  </si>
  <si>
    <t>Randy Castellon</t>
  </si>
  <si>
    <t>Eric Dina</t>
  </si>
  <si>
    <t>N/A</t>
  </si>
  <si>
    <t>*Did not TM projects until Feb</t>
  </si>
  <si>
    <t>Camille Corbi</t>
  </si>
  <si>
    <t>Mark Stanley</t>
  </si>
  <si>
    <t>Brady Lane</t>
  </si>
  <si>
    <t>Marissa LaPorte</t>
  </si>
  <si>
    <t>Tim Purtell</t>
  </si>
  <si>
    <t>Nick Michaels</t>
  </si>
  <si>
    <t>Madie Roman</t>
  </si>
  <si>
    <t>*NSG not included in these numbers yet.</t>
  </si>
  <si>
    <t>Joey Betland</t>
  </si>
  <si>
    <t>Matt Crescenti</t>
  </si>
  <si>
    <t xml:space="preserve"> </t>
  </si>
  <si>
    <t>Nicor #</t>
  </si>
  <si>
    <t>WO #</t>
  </si>
  <si>
    <t>Town</t>
  </si>
  <si>
    <t>KH Project Lead</t>
  </si>
  <si>
    <t>QTY.</t>
  </si>
  <si>
    <t>UNITS</t>
  </si>
  <si>
    <t>Items</t>
  </si>
  <si>
    <t>Project Status</t>
  </si>
  <si>
    <t>RFQ complete?</t>
  </si>
  <si>
    <t>RFQ Submission Date</t>
  </si>
  <si>
    <t>Date Quote Received</t>
  </si>
  <si>
    <t>Date Uploaded to Sharepoint and Forwarded to Nicor Engineering</t>
  </si>
  <si>
    <t>Delivery Location</t>
  </si>
  <si>
    <t>Delivery Contact</t>
  </si>
  <si>
    <t>Requisition Complete</t>
  </si>
  <si>
    <t>Order Complete</t>
  </si>
  <si>
    <t>Req. Number</t>
  </si>
  <si>
    <t>Completed</t>
  </si>
  <si>
    <t>MR1264</t>
  </si>
  <si>
    <t>DEKALB</t>
  </si>
  <si>
    <t>Nick</t>
  </si>
  <si>
    <t>LF</t>
  </si>
  <si>
    <t>6"Φ PIPE X52 CS+IC FBE 0.280" WT</t>
  </si>
  <si>
    <t>PENDING COUNTY PERMIT</t>
  </si>
  <si>
    <t>YES</t>
  </si>
  <si>
    <t>In Progress</t>
  </si>
  <si>
    <t>BS229</t>
  </si>
  <si>
    <t>120405</t>
  </si>
  <si>
    <t>DOLTON</t>
  </si>
  <si>
    <t>Bryan</t>
  </si>
  <si>
    <t>8"Φ PIPE X52 CS FBE DC+IC 0.322" WT</t>
  </si>
  <si>
    <t>PARTIALLY CONSTRUCTED - SEE PCTS</t>
  </si>
  <si>
    <t>NO</t>
  </si>
  <si>
    <t>RS634</t>
  </si>
  <si>
    <t>CARPENTERSVILLE</t>
  </si>
  <si>
    <t>Matt</t>
  </si>
  <si>
    <t>EACH</t>
  </si>
  <si>
    <t>WELD-O-LET, FS, ¾" OUTLET, RUN SIZE TO FIT SPECIFIC HEADER SIZE</t>
  </si>
  <si>
    <t>PERMITS APPROVED
EDSR: "READY TO RELEASE"</t>
  </si>
  <si>
    <t>WELD-O-LET, FS, 2" OUTLET, RUN SIZE TO FIT SPECIFIC HEADER SIZE</t>
  </si>
  <si>
    <t>2" 90° ELL LR CS W 0.154" WT Y-52</t>
  </si>
  <si>
    <t>2" 45° ELL LR CS W 0.154" WT Y-52</t>
  </si>
  <si>
    <t>2" REGULATOR, OPERATOR, FLG RAISED FACE ROCKWELL MODEL (441-57S)
CAST STEEL BODY, ANSI 300, BALANCED VALVE, 1¾" DOUBLE ORIFICE
100% CAPACITY, SET AT 12½ TO 30# RED SPRING (OPERATOR)</t>
  </si>
  <si>
    <t>2" REGULATOR, OPERATOR, FLG RAISED FACE ROCKWELL MODEL (441-57S)
CAST STEEL BODY, ANSI 300, BALANCED VALVE, 1¾" DOUBLE ORIFICE
100% CAPACITY, SET AT 50 TO 75# BLACK SPRING (OPERATOR)</t>
  </si>
  <si>
    <t>RS637</t>
  </si>
  <si>
    <t>SYCAMORE</t>
  </si>
  <si>
    <t>WELD-O-LET, FS, 3/4" OUTLET, RUN SIZE TO FIT SPECIFIC HEADER SIZE</t>
  </si>
  <si>
    <t>PENDING VILLAGE PERMIT</t>
  </si>
  <si>
    <t>2" REGULATOR, OPERATOR, FLG RAISED FACE ROCKWELL MODEL (441-57S)
CAST STEEL BODY, ANSI 300, BALANCED VALVE, 1½" DOUBLE ORIFICE
100% CAPACITY, SET AT 50 TO 75# BLACK SPRING (OPERATOR)</t>
  </si>
  <si>
    <t>4" REGULATOR, OPERATOR, FLG RAISED FACE ROCKWELL MODEL (441-57S)
CAST STEEL BODY, ANSI 300, BALANCED VALVE, 1¾" ORIFICE
100% CAPACITY, SET AT 12½ TO 30# RED SPRING (OPERATOR)</t>
  </si>
  <si>
    <t>RS641</t>
  </si>
  <si>
    <t>PEARL CITY</t>
  </si>
  <si>
    <t>PERMIT APPROVED (RECENT 11/02)</t>
  </si>
  <si>
    <t>2" TEE STR W CS 0.154" WT Y-52</t>
  </si>
  <si>
    <t>RS642</t>
  </si>
  <si>
    <t>ROCHELLE</t>
  </si>
  <si>
    <t>STRAINER, TEE, WELDxFLANGE, KEROTEST, 40 MESH RE-ENFORCED BASKET</t>
  </si>
  <si>
    <t>REDUCING TEE, WELD, 2"x2"x1" 0.154"x0.179" WT, Y-52</t>
  </si>
  <si>
    <t>NIPPLE 1x3 LONG, 0.179" WT, BOE x TOE, BLACK CARBON STEEL, PER ASTM A733</t>
  </si>
  <si>
    <t>1" FISHER REGULATOR, THREADED, 2000#, GREEN SPRING, ½" ORIFICE</t>
  </si>
  <si>
    <t>NIPPLE 1x4 LONG, 0.179" WT, BOE x TOE, BLACK CARBON STEEL, PER ASTM A733</t>
  </si>
  <si>
    <t>RS646</t>
  </si>
  <si>
    <t>ELGIN</t>
  </si>
  <si>
    <t>PERMITS APPROVED
RELEASED TO CONSTRUCTION</t>
  </si>
  <si>
    <t>N12688</t>
  </si>
  <si>
    <t>129152
129179</t>
  </si>
  <si>
    <t>SCHAUMBURG</t>
  </si>
  <si>
    <t>8"Φ PIPE X52 CS DC+IC FBE 0.219" WT</t>
  </si>
  <si>
    <t>IN CONSTRUCTION</t>
  </si>
  <si>
    <t>CRYSTAL LAKE</t>
  </si>
  <si>
    <t>JOSH KENNINGTON</t>
  </si>
  <si>
    <t>12"Φ PIPE X52 CS DC+IC FBE 0.219" WT</t>
  </si>
  <si>
    <t>INSULATOR, 12" WELD END</t>
  </si>
  <si>
    <t>-</t>
  </si>
  <si>
    <t>Y</t>
  </si>
  <si>
    <t>N11449</t>
  </si>
  <si>
    <t>HAMPSHIRE</t>
  </si>
  <si>
    <t>PENDING ENVIRONMENTAL PERMITS</t>
  </si>
  <si>
    <t>Yes</t>
  </si>
  <si>
    <t>M10693</t>
  </si>
  <si>
    <t>COUNTRYSIDE</t>
  </si>
  <si>
    <t>PENDING PERMITS</t>
  </si>
  <si>
    <t>N13037</t>
  </si>
  <si>
    <t>WARREN</t>
  </si>
  <si>
    <t>WELD-O-LET, FS, 1" OUTLET, RUN SIZE TO FIT SPECIFIC HEADER SIZE</t>
  </si>
  <si>
    <t>PENDING COUNTY PERMITS</t>
  </si>
  <si>
    <t>RS611</t>
  </si>
  <si>
    <t>EVANSTON</t>
  </si>
  <si>
    <t>Josh</t>
  </si>
  <si>
    <t>20"x6" STEEL WELDING SADDLE, 6.625" SHAPED TO FIT 20"</t>
  </si>
  <si>
    <t>BOOKSHELF</t>
  </si>
  <si>
    <t>6" SHAPED NIPPLE, API-5L, Y-52 0.280" WT, ONE END SHAPED TO 20" HEADER</t>
  </si>
  <si>
    <t>MR1341</t>
  </si>
  <si>
    <t>KAPPA</t>
  </si>
  <si>
    <t>VW65</t>
  </si>
  <si>
    <t>MORTON GROVE</t>
  </si>
  <si>
    <t>4"Φ PIPE X52 CS FBE+IC 0.237" WT</t>
  </si>
  <si>
    <t>1¼" WELD-O-LET STD WT RUN SIZE TO FIT MAIN, OUTLET SIZE TO FIT TEE</t>
  </si>
  <si>
    <t>VW84</t>
  </si>
  <si>
    <t>KANKAKEE</t>
  </si>
  <si>
    <t>10" PCF TAP INTO PIPE STL HDR/LAT</t>
  </si>
  <si>
    <t>PERMITS NOT YET SENT</t>
  </si>
  <si>
    <t>VW84-1A/B</t>
  </si>
  <si>
    <t>00000-29440</t>
  </si>
  <si>
    <t>6"Φ PIPE X52 DC+IC FBE 0.280" WT</t>
  </si>
  <si>
    <t>8"Φ PIPE X52 DC+IC FBE 0.219" WT</t>
  </si>
  <si>
    <t>MR1422</t>
  </si>
  <si>
    <t>NORTHLAKE</t>
  </si>
  <si>
    <t>4" MUELLER STOPPER FITTING (GCS 210.98, CATALOG #H-17255-740)</t>
  </si>
  <si>
    <t>RELEASED TO CONSTRUCTION</t>
  </si>
  <si>
    <t>JOLIET
3000 E CASS ST</t>
  </si>
  <si>
    <t>RYANT BANKS</t>
  </si>
  <si>
    <t>RS667</t>
  </si>
  <si>
    <t>PALATINE</t>
  </si>
  <si>
    <t>WELD-O-LET, FS, 3/4" OUTLET, HEADER SIZE: 6" 0.188" WT GR UNK</t>
  </si>
  <si>
    <t>RELEASED TO NICOR</t>
  </si>
  <si>
    <t>6" REGULATOR, OPERATOR, FLG RAISED FACE ROCKWELL MODEL (441-57S)
CAST STEEL BODY, ANSI 300, BALANCED VALVE, 4-1/4" ORIFICE, DBL PRT
100% CAPACITY, SET AT 12-1/2 TO 30# RED SPRING (OPERATOR) (SET AT 22 PSIG)</t>
  </si>
  <si>
    <t>SC17786</t>
  </si>
  <si>
    <t>WEST CHICAGO</t>
  </si>
  <si>
    <t>Mike</t>
  </si>
  <si>
    <t xml:space="preserve">NPL ORDERED </t>
  </si>
  <si>
    <t>M11967</t>
  </si>
  <si>
    <t>OAK PARK</t>
  </si>
  <si>
    <t xml:space="preserve">Mike </t>
  </si>
  <si>
    <t>16" Φ PIPE X52 CS FBE+IC 0.250" WT</t>
  </si>
  <si>
    <t>NPL Yard in Cortland</t>
  </si>
  <si>
    <t>Bart Sobol</t>
  </si>
  <si>
    <t xml:space="preserve">16” ANSI Class 150 Spherical Tee with Side Outlet </t>
  </si>
  <si>
    <t>MR1508</t>
  </si>
  <si>
    <t>ARGYLE</t>
  </si>
  <si>
    <t>Scott Koenig</t>
  </si>
  <si>
    <t>8" RUN x 1-1/2" BRANCH, WELDOLET, XS, F.S., A105, MSS SP-97</t>
  </si>
  <si>
    <t>6" RUN x 1-1/2" BRANCH, WELDOLET, XS, F.S., A105, MSS SP-97</t>
  </si>
  <si>
    <t>M12063</t>
  </si>
  <si>
    <t>Palos Heights</t>
  </si>
  <si>
    <t>VW396</t>
  </si>
  <si>
    <t>ST. CHARLES</t>
  </si>
  <si>
    <t>Jake Popp - NPL</t>
  </si>
  <si>
    <t>12" 45 DEG ELL LR CS W 0.250" WT Y-52 (SEGMENTABLE)</t>
  </si>
  <si>
    <t>Mike Runge</t>
  </si>
  <si>
    <t>RS694</t>
  </si>
  <si>
    <t>GLENVIEW</t>
  </si>
  <si>
    <t>6" RUN x 3/4" BRANCH, WELDOLET, XS, F.S., A105, MSS SP-97</t>
  </si>
  <si>
    <t>MATT</t>
  </si>
  <si>
    <t>4" REGULATOR, OPERATOR, FLG RAISED FACE ROCKWELL MODEL (441-57S)
CAST STEEL BODY, ANSI 300, BALANCED VALVE, 3" ORIFICE, DBL PRT
100% CAPACITY, SET AT 12.5 TO 30# RED SPRING (OPERATOR)</t>
  </si>
  <si>
    <t>SC16704</t>
  </si>
  <si>
    <t>12"Φ PIPE X52 CS DC+IC FBE 0.375" WT</t>
  </si>
  <si>
    <t>N/A - KHA submitted Req.</t>
  </si>
  <si>
    <t>Tom Jepsen</t>
  </si>
  <si>
    <t>12" WELD ELBOW, 90 DEGREE, LR, 0.375" W.T., WPHY-52, MSS SP-75, NICOR'S TS 030.201.015</t>
  </si>
  <si>
    <t>12" WELD ELBOW, 90 DEGREE, LR, 0.375" W.T., WPHY-52, MSS SP-75</t>
  </si>
  <si>
    <t>12" TEE, STRAIGHT, CS, 0.375", WPHY-52, MSS SP-75</t>
  </si>
  <si>
    <t>12" CAP, CS, 0.375" WT, WPHY-52, MSS SP-75</t>
  </si>
  <si>
    <t>PRIM480</t>
  </si>
  <si>
    <t xml:space="preserve">Lucy </t>
  </si>
  <si>
    <t>6"Φ PVC CASING PIPE, 6.625" O.D., SCHEDULE 40, ASTM D1785</t>
  </si>
  <si>
    <t>8"Φ PVC CASING PIPE, 8.625" O.D., SCHEDULE 40, ASTM D1785</t>
  </si>
  <si>
    <t>10"Φ PVC CASING PIPE, 10.750" O.D., SCHEDULE 40, ASTM D1785</t>
  </si>
  <si>
    <t>COUPLING, PVC, 8"X10", SCHEDULE 40 PIPE, ASTM D1785</t>
  </si>
  <si>
    <t>M10948</t>
  </si>
  <si>
    <t>CRESTWOOD</t>
  </si>
  <si>
    <t>Kankakee Yard</t>
  </si>
  <si>
    <t>SC17551</t>
  </si>
  <si>
    <t xml:space="preserve">BLOOMINGTON </t>
  </si>
  <si>
    <t>SC18814</t>
  </si>
  <si>
    <t>BASCO</t>
  </si>
  <si>
    <t>1" RUN x 1" BRANCH, WELDOLET, STD, F.S., A105, MSS SP-97</t>
  </si>
  <si>
    <t>Joliet Office (Attn. Ryant Banks)</t>
  </si>
  <si>
    <t>NBA10001254</t>
  </si>
  <si>
    <t>SOUTH ELGIN</t>
  </si>
  <si>
    <t>NPL TO ORDER</t>
  </si>
  <si>
    <t>SC17061</t>
  </si>
  <si>
    <t>KNAKAKEE</t>
  </si>
  <si>
    <t>BS311</t>
  </si>
  <si>
    <t>6" VALVE BOX EXTENSION, 48" LONG</t>
  </si>
  <si>
    <t>BS458</t>
  </si>
  <si>
    <t>ST ANNE</t>
  </si>
  <si>
    <t>Mitch Pohlman</t>
  </si>
  <si>
    <t>8" SEGMENTABLE ELBOW, WELD, 45 DEGREE, LR, 0.322" W.T., WPHY-52, MSS SP-75, PER NICOR'S T.S. 030.201.015</t>
  </si>
  <si>
    <t xml:space="preserve">RELEASED TO NICOR </t>
  </si>
  <si>
    <t>Bill McDonald</t>
  </si>
  <si>
    <t>0000032523</t>
  </si>
  <si>
    <t>RS500</t>
  </si>
  <si>
    <t>DEER PARK</t>
  </si>
  <si>
    <t>6"  SHAPED NIPPLE, 0.280" W.T., MSS SP-75, WPHY-52, SHAPED TO FIT 18", 0.312" W.T., GR-B HEADER (TO BE TESTED BY SUPPLIER FOR 8 HOURS AT 345 PSIG), VENDOR TO PROVIDE WELD END PREPARATION DRAWINGS PRIOR TO FABRICATION, VENDOR TO PROVIDE TEST REPORT AND CHARTS</t>
  </si>
  <si>
    <t>Elgin Yard</t>
  </si>
  <si>
    <t>Gary Raymond</t>
  </si>
  <si>
    <t>PARTIAL SADDLE 0.250" W.T., WPHY-52, FOR 6", 0.188" W.T., X-52 LATERAL ON 18", 0.312" W.T., GR-B, TO MEET OR EXCEED A DESIGN PRESSURE  OF 230 PSIG, 0.50 DESIGN FACTOR, 0.00" CORROSION ALLOWANCE, TEMPERATURE RANGE -20°F TO 100°F PER ASME B31.8</t>
  </si>
  <si>
    <t>6" GATE VALVE, CL 300, WxF, VALVE RATING 720 PSIG, CODE 7, PER NICOR GMS 510</t>
  </si>
  <si>
    <t>BS208</t>
  </si>
  <si>
    <t>JOLIET</t>
  </si>
  <si>
    <t>12" Stopper Fitting (Mueller)</t>
  </si>
  <si>
    <t>0000032610</t>
  </si>
  <si>
    <t>NBA10005718</t>
  </si>
  <si>
    <t>ROMEOVILLE</t>
  </si>
  <si>
    <t>RELEASED TO NICOR, Engineering (Calvin) entered PR into Maximo</t>
  </si>
  <si>
    <t>RS993</t>
  </si>
  <si>
    <t>OTTAWA</t>
  </si>
  <si>
    <t>2" SEGMENTABLE ELBOW, WELD, 45 DEGREE, LR,  0.154" W.T., GR-B, PER NICOR'S T.S. 030.201.015</t>
  </si>
  <si>
    <t>JBS</t>
  </si>
  <si>
    <t>Warren Herberger</t>
  </si>
  <si>
    <t>4" RUN x 2" BRANCH, WELD-O-LET, XS, FS, A105, MSS SP-97</t>
  </si>
  <si>
    <t>N15809</t>
  </si>
  <si>
    <t>STERLING</t>
  </si>
  <si>
    <t>8" 45 ELL LR CS W 0.322" WT Y-52 (SEGMENTABLE)</t>
  </si>
  <si>
    <t>Joe Gaca</t>
  </si>
  <si>
    <t>BS419</t>
  </si>
  <si>
    <t>PARK RIDGE</t>
  </si>
  <si>
    <t>X</t>
  </si>
  <si>
    <t>TAP AND STOP CREW MOBILIZATION FOR 16" SPHERICAL TEE</t>
  </si>
  <si>
    <t>Permits Approved</t>
  </si>
  <si>
    <t>Construction Service</t>
  </si>
  <si>
    <t>Drake Partilla</t>
  </si>
  <si>
    <t xml:space="preserve">PR: 6060
PO: </t>
  </si>
  <si>
    <t>12" &amp; 16" Pipe and Fittings</t>
  </si>
  <si>
    <t>By Eng</t>
  </si>
  <si>
    <t>BS381</t>
  </si>
  <si>
    <t>LOVES PARK</t>
  </si>
  <si>
    <t>8" Dual Coat Main</t>
  </si>
  <si>
    <t>Released to construction</t>
  </si>
  <si>
    <t>MR1189</t>
  </si>
  <si>
    <t>BEDFORD PARK</t>
  </si>
  <si>
    <t>12" Hvy Wall Pipe and Fittings</t>
  </si>
  <si>
    <t>NBA10004104</t>
  </si>
  <si>
    <t>8" Dual Coat and vault items</t>
  </si>
  <si>
    <t>By ConOps</t>
  </si>
  <si>
    <t>MR1934</t>
  </si>
  <si>
    <t>4" 45° ELL LR CS W 0.237" WT Y-52 (SEGMENTABLE)</t>
  </si>
  <si>
    <t xml:space="preserve">PR: 4101
PO: NGC10007990 </t>
  </si>
  <si>
    <t>MR1928</t>
  </si>
  <si>
    <t>CHICAGO HEIGHTS</t>
  </si>
  <si>
    <t>4” 45° ELL LR CS W 0.237” WT Y-52 (SEGMENTABLE)</t>
  </si>
  <si>
    <t>RELEASED TO NICOR
NPL to requisition (Per Conops 12/7/22)</t>
  </si>
  <si>
    <t>4”⌀ PIPE X52 CS DC+IC FBE 0.237” WT</t>
  </si>
  <si>
    <t>NBA10006212</t>
  </si>
  <si>
    <t>MELROSE PARK</t>
  </si>
  <si>
    <t>Meter Set PO Items</t>
  </si>
  <si>
    <t xml:space="preserve">ConOps Ordering </t>
  </si>
  <si>
    <t>NBA10002073</t>
  </si>
  <si>
    <t>GENOA</t>
  </si>
  <si>
    <t>Tin Whistle PO Items</t>
  </si>
  <si>
    <t>BS402</t>
  </si>
  <si>
    <t>PARK FOREST</t>
  </si>
  <si>
    <t>Scott Eckstein</t>
  </si>
  <si>
    <t>NBA10006212-1</t>
  </si>
  <si>
    <t>4" PIPE X52 CS+IC FBE 0.237" WT</t>
  </si>
  <si>
    <t>NBA10006212-2</t>
  </si>
  <si>
    <t>24"x4" STEEL WELDING SADDLE</t>
  </si>
  <si>
    <t>NBA10006212-3</t>
  </si>
  <si>
    <t>4" SHAPED NIPPLE</t>
  </si>
  <si>
    <t>NBA10006212-4</t>
  </si>
  <si>
    <t>4" GATE VAVLE (G7WF) WELD x FLANGE</t>
  </si>
  <si>
    <t>RS1000</t>
  </si>
  <si>
    <t>SHABBONA</t>
  </si>
  <si>
    <t>PILOT CONTROL SPRING, RED, PART #1D892327022 FOR 1" FISHER 289P</t>
  </si>
  <si>
    <t>RS1001</t>
  </si>
  <si>
    <t>REGULATOR CONTROL SPRING, BLUE, PART #10B3078X012 FOR 1" FISHER 627</t>
  </si>
  <si>
    <t>RS956</t>
  </si>
  <si>
    <t>AURORA</t>
  </si>
  <si>
    <t>6" 45 ELL LR CS W 0.280" WT Y52 (SEGMENTABLE)</t>
  </si>
  <si>
    <t>RS957</t>
  </si>
  <si>
    <t>REGULATOR CONTROL SPRING, RED, FOR 2" ROCKWELL 441-57S</t>
  </si>
  <si>
    <t>RS1026</t>
  </si>
  <si>
    <t>MOUNT PROSPECT</t>
  </si>
  <si>
    <t>2"Φ PIPE X52 CS FBE 0.218" WT</t>
  </si>
  <si>
    <t>Jared Greninger</t>
  </si>
  <si>
    <t>RS996</t>
  </si>
  <si>
    <t>WILMINGTON</t>
  </si>
  <si>
    <t>RS997</t>
  </si>
  <si>
    <t>RS1102</t>
  </si>
  <si>
    <t>LUDLOW</t>
  </si>
  <si>
    <t>PILOT CONTROL SPRING, GREEN, PART #1B986027212 FOR 1" FISHER 289P</t>
  </si>
  <si>
    <t>RS1103</t>
  </si>
  <si>
    <t>REGULATOR CONTROL SPRING, YELLOW, PART #10B3076X012 FOR 1" FISHER 627</t>
  </si>
  <si>
    <t>RS1104</t>
  </si>
  <si>
    <t>6" RUN X 2" BRANCH, WELD-O-LET, XS, F.S., A105, MSS SP-97</t>
  </si>
  <si>
    <t>RS1105</t>
  </si>
  <si>
    <t>2" 90 ELL LR CS W 0.154" WT WPB (SEGMENTABLE)</t>
  </si>
  <si>
    <t>N13572</t>
  </si>
  <si>
    <t>EA</t>
  </si>
  <si>
    <t>8" SEGMENTABLE ELBOW, WELD, 90 DEGREE, LR, 0.322" W.T., WPHY-52, MSS SP-75</t>
  </si>
  <si>
    <t> </t>
  </si>
  <si>
    <t>Nicor Elgin Yard
1800 Big Timber Rd, Elgin, IL 60123</t>
  </si>
  <si>
    <t>Antonio Rios</t>
  </si>
  <si>
    <t>RS1077</t>
  </si>
  <si>
    <t>NORTHBROOK</t>
  </si>
  <si>
    <t>4" RUN x 3/4" BRANCH, WELD-O-LET, XS, F.S., A105, MSS SP-97</t>
  </si>
  <si>
    <t>Electrical Resource Management
154 Alexandra Way
Carol Stream, IL 60188</t>
  </si>
  <si>
    <t>THREADED PLUG, CL 6000, WPB, BLK, F.S. SQUARED HEAD, A234, PER B16.11</t>
  </si>
  <si>
    <t>4” STOPPER FITTING ASSEMBLY (MUELLER)</t>
  </si>
  <si>
    <t>RS1093</t>
  </si>
  <si>
    <t>2" 45° ELL LR CS W 0.154" WT WPB (SEGMENTABLE)</t>
  </si>
  <si>
    <t>2" RUN x 2" BRANCH, WELD-O-LET, XS, F.S., A105, MSS SP-97</t>
  </si>
  <si>
    <t>PILOT CONTROL SPRING, RED, PART #1K748527202 FOR 1" FISHER 289P</t>
  </si>
  <si>
    <t>RS941</t>
  </si>
  <si>
    <t>PARTIAL SADDLE, 0.250" W.T., WPHY-52, FOR 6", 0.188" W.T. X-52 LATERAL ON 20", 0.250" W.T., GR-UNK, TO MEET OR EXCEED A DESIGN PRESSURE OF 230 PSIG, 0.50 DESIGN FACTOR, 0.00" CORROSION ALLOWANCE, TEMPERATURE RANGE -20°F TO 100°F, PER ASME B31.8</t>
  </si>
  <si>
    <t>6"x9" LONG SHAPED NIPPLE, 0.280" W.T., MSS SP-75, WPHY-52, SHAPED TO FIT 20", 0.250" W.T., GR-UNK HEADER (TO BE TESTED BY SUPPLIER FOR 8 HOURS AT A RANGE OF 345-380 PSIG), WELD END PREPARATION PER ASME B31.8, VENDOR TO PROVIDE TEST REPORT AND CHARTS</t>
  </si>
  <si>
    <t>12" STOPPER FITTING FOR STOPPING ONLY</t>
  </si>
  <si>
    <t>6" GATE VALVE (G7WF) PER GCS 250.1</t>
  </si>
  <si>
    <t>MR1964</t>
  </si>
  <si>
    <t>LAKE ZURICH</t>
  </si>
  <si>
    <t>4” RUN X ¾” BRANCH, WELD-O-LET, XS, F.S., A105, MSS SP-97</t>
  </si>
  <si>
    <t>6” RUN X ¾” BRANCH, WELD-O-LET, STD, F.S., A105, MSS SP-97</t>
  </si>
  <si>
    <t>RS880</t>
  </si>
  <si>
    <t>CABERY</t>
  </si>
  <si>
    <t>Billy Pacheco</t>
  </si>
  <si>
    <t>2” RUN X 2” BRANCH, WELD-O-LET, XS, F.S., A105, MSS SP-97</t>
  </si>
  <si>
    <t>RS852</t>
  </si>
  <si>
    <t>COMPTON</t>
  </si>
  <si>
    <t>RS887</t>
  </si>
  <si>
    <t>NEW BEDFORD</t>
  </si>
  <si>
    <t>BS388</t>
  </si>
  <si>
    <t>ROCKFORD</t>
  </si>
  <si>
    <t xml:space="preserve">8" 45° ELL LR CS 1 0.322" WT Y-52 (SEGMENTABLE) </t>
  </si>
  <si>
    <t>RELEASED TO NICOR, PENDING PID</t>
  </si>
  <si>
    <t>KS ENGERY YARD</t>
  </si>
  <si>
    <t>12"∅ PIPE X52 CS DC+IC FBE 0.219" WT</t>
  </si>
  <si>
    <t>KS ENERGY YARD</t>
  </si>
  <si>
    <t>BS187</t>
  </si>
  <si>
    <t>ARLINGTON HEIGHTS</t>
  </si>
  <si>
    <t>12" 45° ELL LR CS W 0.250" WT Y-52 (SEGMENTABLE)</t>
  </si>
  <si>
    <t>RELEASE TO NICOR, PENDING ENG APPROVAL</t>
  </si>
  <si>
    <t>Mike Steiskal</t>
  </si>
  <si>
    <t>4960
PO: NGC80533-0082</t>
  </si>
  <si>
    <t>RS1124</t>
  </si>
  <si>
    <t>VOLO</t>
  </si>
  <si>
    <t>RS960</t>
  </si>
  <si>
    <t>LYNDON</t>
  </si>
  <si>
    <t>2" RUN x 2" BRANCH, WELD-O-LET, S100, F.S., A105, MSS SP-97</t>
  </si>
  <si>
    <t>RELEASED TO NICOR, PENDING CAPITAL APPROVAL</t>
  </si>
  <si>
    <t>N13606</t>
  </si>
  <si>
    <t>STOCKTON</t>
  </si>
  <si>
    <t>FT</t>
  </si>
  <si>
    <t>PENDING PID, F.U. 9/21</t>
  </si>
  <si>
    <t>TBD</t>
  </si>
  <si>
    <t>N13606-1</t>
  </si>
  <si>
    <t>4" 45 ELL LR CS W 0.237" WT Y-52 (SEGMENTABLE)</t>
  </si>
  <si>
    <t>2" RUN X 2" BRANCH, WELD-O-LET, XS, F.S., A105, MSS SP-97</t>
  </si>
  <si>
    <t>N14915</t>
  </si>
  <si>
    <t>PENDING PID</t>
  </si>
  <si>
    <t>8" 45 ELL LR CS W 0.322" WT (SEGMENTABLE)</t>
  </si>
  <si>
    <t>BS550</t>
  </si>
  <si>
    <t>BS551</t>
  </si>
  <si>
    <t>SC17932</t>
  </si>
  <si>
    <t>WINFIELD</t>
  </si>
  <si>
    <t>SC19541</t>
  </si>
  <si>
    <t>MATTESON</t>
  </si>
  <si>
    <t>ConOps Ordering</t>
  </si>
  <si>
    <t>M14365</t>
  </si>
  <si>
    <t>NILES</t>
  </si>
  <si>
    <t>N14359</t>
  </si>
  <si>
    <t>BARRINGTON</t>
  </si>
  <si>
    <t>S.S. BAND CLAMP OR EQ SIZE TO FIT</t>
  </si>
  <si>
    <t>6" EXTENSION VALVE BOX, 48" LONG</t>
  </si>
  <si>
    <t>Project Pending Release</t>
  </si>
  <si>
    <t>N13676</t>
  </si>
  <si>
    <t>RICHMOND</t>
  </si>
  <si>
    <t>N13592</t>
  </si>
  <si>
    <t>JOHNSBURG</t>
  </si>
  <si>
    <t xml:space="preserve">SC21725 </t>
  </si>
  <si>
    <t>GRAND RIDGE</t>
  </si>
  <si>
    <t>1" STL HDR/LAT</t>
  </si>
  <si>
    <t>SC22186</t>
  </si>
  <si>
    <t>MORRIS</t>
  </si>
  <si>
    <t>3000 Cass St Joliet, IL 60432</t>
  </si>
  <si>
    <t>Ryant Banks</t>
  </si>
  <si>
    <t>PR: 6307</t>
  </si>
  <si>
    <t>MR1984</t>
  </si>
  <si>
    <t>8" PIPE, 0.322" W.T., X-52, API 5L, CS FBE DUAL COAT + INTERNAL COATING</t>
  </si>
  <si>
    <t>RELEASED TO NICOR, PENDING ENG APPROVAL</t>
  </si>
  <si>
    <t>Y (MBP)</t>
  </si>
  <si>
    <t xml:space="preserve">Completed </t>
  </si>
  <si>
    <t>M14194</t>
  </si>
  <si>
    <t>SCHILLER PARK</t>
  </si>
  <si>
    <t>RS1080</t>
  </si>
  <si>
    <t>6" RUN x 3/4" BRANCH, THREADOLET, CL 3000, F.S., A105, MSS SP-97</t>
  </si>
  <si>
    <t>3000 East Cass Street,
Joliet, IL. 60432</t>
  </si>
  <si>
    <t>4" RUN x 3/4" BRANCH, THREADOLET, CL 3000, F.S., A105, MSS SP-97</t>
  </si>
  <si>
    <t>3001 East Cass Street,
Joliet, IL. 60432</t>
  </si>
  <si>
    <t>2" RUN x 1-1/4" BRANCH, WELDOLET, XS, F.S., A105, MSS SP-97</t>
  </si>
  <si>
    <t>3002 East Cass Street,
Joliet, IL. 60432</t>
  </si>
  <si>
    <t>6" RUN x 1-1/4" BRANCH, WELDOLET, XS, F.S., A105, MSS SP-97</t>
  </si>
  <si>
    <t>3003 East Cass Street,
Joliet, IL. 60432</t>
  </si>
  <si>
    <t xml:space="preserve">RS886 </t>
  </si>
  <si>
    <t>WHEELING</t>
  </si>
  <si>
    <t>PARTIAL SADDLE, 0.250" W.T., WPHY-52, FOR 6", 0.188" W.T. X-52 LATERAL ON 16", 0.250" W.T., GR-A, TO MEET OR EXCEED A DESIGN PRESSURE OF 230 PSIG, 0.50 DESIGN FACTOR, 0.00" CORROSION ALLOWANCE, TEMPERATURE RANGE -20°F TO 100°F, PER ASME B31.8</t>
  </si>
  <si>
    <t>1800 Big Timber Rd,
Elgin, IL, 60123</t>
  </si>
  <si>
    <t xml:space="preserve">Antonio Rios </t>
  </si>
  <si>
    <t>6"x9" LONG SHAPED NIPPLE, 0.280" W.T., MSS SP-75, WPHY-52, SHAPED TO FIT 16", 0.250" W.T., GR-UNK HEADER (TO BE TESTED BY SUPPLIER FOR 8 HOURS AT A RANGE OF 345-380 PSIG), WELD END PREPARATION PER ASME B31.8, VENDOR TO PROVIDE TEST REPORT AND CHARTS</t>
  </si>
  <si>
    <t>1801 Big Timber Rd,
Elgin, IL, 60123</t>
  </si>
  <si>
    <t>RS854</t>
  </si>
  <si>
    <t xml:space="preserve">KINSMAN </t>
  </si>
  <si>
    <t>2" WELDOLET</t>
  </si>
  <si>
    <t>359 Commercial Dr, 
Yorkville, IL 60560</t>
  </si>
  <si>
    <t xml:space="preserve">Ryan Pattermann </t>
  </si>
  <si>
    <t>RS959</t>
  </si>
  <si>
    <t>GENESEO</t>
  </si>
  <si>
    <t xml:space="preserve">8" 45 DEG ELL LR CS W 0.322" WT (SEGMENTABLE) </t>
  </si>
  <si>
    <t>8" DIAM PIPE X52 CS DC+IC FBE 0.219" WT</t>
  </si>
  <si>
    <t>RS1079</t>
  </si>
  <si>
    <t>4" DIAM. PIPE CS DC+IC FBE 0.237" WT</t>
  </si>
  <si>
    <t>Donny Walker</t>
  </si>
  <si>
    <t>PARTIAL SADDLE, 0.218" W.T., WPHY-52, FOR 4", 0.156" W.T. X-52 LATERAL ON 24", 0.281" W.T., GR-A, TO MEET OR EXCEED A DESIGN PRESSURE OF 230 PSIG, 0.50 DESIGN FACTOR, 0.00" CORROSION ALLOWANCE, TEMPERATURE RANGE -20°F TO 100°F, PER ASME B31.8</t>
  </si>
  <si>
    <t>RS1081</t>
  </si>
  <si>
    <t>4"x6" LONG SHAPED NIPPLE, 0.280" W.T., MSS SP-75, WPHY-52, SHAPED TO FIT 24", 0.281" W.T., X-60 HEADER (TO BE TESTED BY SUPPLIER FOR 8 HOURS AT A RANGE OF 345-380 PSIG), WELD END PREPARATION PER ASME B31.8, VENDOR TO PROVIDE TEST REPORT AND CHARTS</t>
  </si>
  <si>
    <t>BS111</t>
  </si>
  <si>
    <t>Northbrook</t>
  </si>
  <si>
    <t>BS111-1</t>
  </si>
  <si>
    <t xml:space="preserve">6" 45 DEG ELL LR CS W 0.280" WT (SEGMENTABLE) </t>
  </si>
  <si>
    <t>RS1031</t>
  </si>
  <si>
    <t>Binghampton</t>
  </si>
  <si>
    <t>2" STOPPER FITTING (MUELLER) ***Has a SIN now*** 837637</t>
  </si>
  <si>
    <t>5314
PO: NGC10009146</t>
  </si>
  <si>
    <t>2" RUN x 2" BRANCH, WELDOLET, XS, F.S., A105, MSS SP-97</t>
  </si>
  <si>
    <t>5314, 5494
PO: NGC10009163</t>
  </si>
  <si>
    <t>RS973</t>
  </si>
  <si>
    <t>Irwin</t>
  </si>
  <si>
    <t>10" RUN x 2" BRANCH, WELDOLET, XS, F.S., A105, MSS SP-97</t>
  </si>
  <si>
    <t>Kankakee Reporting Center</t>
  </si>
  <si>
    <t>Tim Arseneau</t>
  </si>
  <si>
    <t>RS1008</t>
  </si>
  <si>
    <t>Hebron</t>
  </si>
  <si>
    <t>3" CAP MI GALV THRD</t>
  </si>
  <si>
    <t>Jaime Manzanares</t>
  </si>
  <si>
    <t>RS1098</t>
  </si>
  <si>
    <t>Grant Park</t>
  </si>
  <si>
    <t>12" RUN x 2" BRANCH, WELDOLET, XS, F.S., A105, MSS SP-97</t>
  </si>
  <si>
    <t>RS904</t>
  </si>
  <si>
    <t>Sheridan</t>
  </si>
  <si>
    <t>8" PIPE, 0.219" W.T., X-52, API 5L, CS FBE DUAL COAT + INTERNAL COATING</t>
  </si>
  <si>
    <t>Ryan Pattermann</t>
  </si>
  <si>
    <t>6" PIPE, 0.280" W.T., X-52, API 5L, CS FBE BARE + INTERNAL COATING</t>
  </si>
  <si>
    <t>4" PIPE, 0.237" W.T., X-52, API 5L, CS FBE BARE + INTERNAL COATING</t>
  </si>
  <si>
    <t>2" PIPE, 0.218" W.T., X-52, API 5L, CS FBE BARE + INTERNAL COATING</t>
  </si>
  <si>
    <t>1-1/4" PIPE, 0.140" W.T., A-25, API 5L, CS FBE BARE + INTERNAL COATING</t>
  </si>
  <si>
    <t>2" RUN x 2" BRANCH, WELD-O-LET, XS, F.S., A-105, MSS-SP-97</t>
  </si>
  <si>
    <t>8"x6" REDUCING WELD ELBOW, 90 DEGREE, 8", 0.322" W.T. x 6", 0.280" W.T., WPHY-52, MSS SP-75, PER NICOR'S T.S. 030.201.015</t>
  </si>
  <si>
    <t>4" THREADED ELBOW, 90 DEGREE, LR, CL 2000, FNPT, F.S., ASTM A105, PER ASME B16.11</t>
  </si>
  <si>
    <t>4"x8" NIPPLE PIPE, WELDxTHREAD, MNPT, EX-HVY STEEL</t>
  </si>
  <si>
    <t>4" THREADDED COUPLING, CL 3000, F.S., ASTM A105, PER ASME B16.11</t>
  </si>
  <si>
    <t>2" REGULATOR, OPERATOR, FLG RAISED FACE MOONEY MODEL (FG-30) SINGLE PORT, 75D NITRILE DIAPH. "C" MOUNT, S.S. TUBING SERIES 30S FILTER 100% CAPACITY, SET AT 25 TO 90# BLUE SPRING, 20 SERIES PILOT (OPERATOR)</t>
  </si>
  <si>
    <t>2" REGULATOR, MONITOR, FLG RAISED FACE ROCKWELL MODEL (461-57S) CAST STEEL BODY, ANSI 300, BALANCED VALVE, 1" ORIFICE 100% CAPACITY, SET AT 50 TO 75# BLACK SPRING (MONITOR)</t>
  </si>
  <si>
    <t>3/4" THREADED PLUG, CL 6000, WPB, BLK, F.S. SQUARE HEAD, A234, PER B16.11</t>
  </si>
  <si>
    <t>1-1/4" x4" LONG NIPPLE, WELD x THREAD, EX-HVY STEEL</t>
  </si>
  <si>
    <t>1-1/4" HP LOCK BALL VALVE 2000# WOG</t>
  </si>
  <si>
    <t>1-1/4" THREADED PLUG, CL 6000, WPB, BLK, F.S. SQUARE HEAD, A234, PER B16.11</t>
  </si>
  <si>
    <t>3/4"x10" x 2-1/2" CAP SCREWS HEX HEAD GRAD 5 ZINC PLATED</t>
  </si>
  <si>
    <t>6" RUN x 1" BRANCH, ELBOLET,  90 DEGREE, LR, XS, F.S., A105, MSS SP-97</t>
  </si>
  <si>
    <t>1/2"x4" STEEL SQUARE PLATE</t>
  </si>
  <si>
    <t>1/2"x6" STEEL SQUARE PLATE</t>
  </si>
  <si>
    <t>2" REGULATOR, OPERATOR, FLG RAISED FACE MOONEY MODEL (FG-30) SINGLE PORT, 75D NITRILE DIAPH. "C" MOUNT, S.S. TUBING SERIES 30S FILTER 100% CAPACITY, SET AT 10 TO 40# SILVER SPRING, 20 SERIES PILOT (OPERATOR)</t>
  </si>
  <si>
    <t>2" REGULATOR, MONITOR, FLG RAISED FACE ROCKWELL MODEL (441-57S) CAST STEEL BODY, ANSI 300, BALANCED VALVE, 1-1/2" ORIFICE 100% CAPACITY, SET AT 7.5 TO 15# BLUE SPRING (MONITOR)</t>
  </si>
  <si>
    <t>BS520</t>
  </si>
  <si>
    <t>Woodridge</t>
  </si>
  <si>
    <t>16" PIPE, 0.375" W.T., X-52, API 5L, CS FBE DUAL COAT + INTERNAL COATING</t>
  </si>
  <si>
    <t>Mike Crouch</t>
  </si>
  <si>
    <t>16" ANSI CL 300 PIPELINE SERIES FULL ENCIRCLEMENT LINE STOP SPLIT TEE W/SCARFED NIPPLE COMPLETION PLUG, 100% X-RAY, RF BLIND FLANGE W/ 3/4" THREADED PORT AND NON-PROPRIETARY PLUG, INCLUDING BOLTS, NUTS AND GASKETS, 230 PSIG MOP, 0.5 DESIGN FACTOR, FOR INSTALLATION ON 0.250" WT, GR-B PIPE, WITH REVIEW DRAWINGS, DESIGN CODE B31.8</t>
  </si>
  <si>
    <t>12" ANSI CL 300 PIPELINE SERIES FULL ENCIRCLEMENT LINE STOP SPLIT TEE W/SCARFED NIPPLE COMPLETION PLUG, 100% X-RAY, RF BLIND FLANGE W/ 3/4" THREADED PORT AND NON-PROPRIETARY PLUG, INCLUDING BOLTS, NUTS AND GASKETS, 230 PSIG MOP, 0.5 DESIGN FACTOR, FOR INSTALLATION ON 0.219" WT, GR-B PIPE, WITH REVIEW DRAWINGS, DESIGN CODE B31.8</t>
  </si>
  <si>
    <t>LINE STOP SERVICES FOR 16" FULL ENCIRCLEMENT LINE STOP, W/ 1 MOB/DEMOB, 6 DAYS ONSITE, VENDOR TO QUOTE BOTH SINGLE AND DOUBLE BLOCK AND BLEED OPTIONS IF AVAILABLE. VENDOR TO PROVIDE B31.8 CALCULATIONS.</t>
  </si>
  <si>
    <t>LINE STOP SERVICES FOR 12" FULL ENCIRCLEMENT LINE STOP, W/ 1 MOB/DEMOB, 6 DAYS ONSITE, VENDOR TO QUOTE BOTH SINGLE AND DOUBLE BLOCK AND BLEED OPTIONS IF AVAILABLE. VENDOR TO PROVIDE B31.8 CALCULATIONS.</t>
  </si>
  <si>
    <t>16" BALL VALVE, CL 300, WxW, TRUNNION MOUNT, DBB, API-6D, 0.375" W.T., COATED FOR BELOW GRADE SERVICE W/ 2" SQUARE OPERATING NUT, AND SEALED GEAR OPERATOR PER NICOR'S T.S. 030.250.025</t>
  </si>
  <si>
    <t>16" SEGMENTABLE ELBOW, WELD, 90 DEGREE, LR, 0.375" W.T., WPHY-52, MSS SP-75, PER NICOR'S T.S. 030.201.015</t>
  </si>
  <si>
    <t>16" SEGMENTABLE ELBOW, WELD, 45 DEGREE, LR, 0.375" W.T., WPHY-52, MSS SP-75, PER NICOR'S T.S. 030.201.015</t>
  </si>
  <si>
    <t xml:space="preserve">16"x12" CONCENTRIC WELD REDUCER, 16", 0.375" W.T. x12", 0.250" W.T., WPHY-52, MSS SP-75, PER NICOR'S T.S. 030.201.015 </t>
  </si>
  <si>
    <t>16" WELD CAP, 0.375" W.T., WPHY-52, MSS SP-75, PER NICOR'S T.S. 030.201.015</t>
  </si>
  <si>
    <t>16" RUN x 2" BRANCH, THREADOLET, 3000#, F.S., A-105, MSS-SP-97</t>
  </si>
  <si>
    <t>2"x3" LONG NIPPLE, XS, WPB, TBE, CS, SMLS, MNPT, A733, PER B36.10</t>
  </si>
  <si>
    <t>2" BALL VALVE, THREADED, FNPT, SS, 3600 WOG, A182, F316, QUADRANT MODEL: S3FSSAFSLTT200</t>
  </si>
  <si>
    <t>16" RUN x 1-1/4" BRANCH, WELDOLET, X.S., F.S., A-105, MSS-SP-97</t>
  </si>
  <si>
    <t>2" THREADED PLUG, 2000#, WPB, BLK, SQ. HEAD, A234, PER B16.13</t>
  </si>
  <si>
    <t>1-1/4" THREADED PLUG, 2000#, WPB, BLK, SQ. HEAD, A234, PER B16.13</t>
  </si>
  <si>
    <t>12" RUN x 2" BRANCH, THREADOLET, 3000#, F.S., A-105, MSS-SP-97</t>
  </si>
  <si>
    <t>12" RUN x 1-1/4" BRANCH, WELDOLET, X.S., F.S., A-105, MSS-SP-97</t>
  </si>
  <si>
    <t>MR1049</t>
  </si>
  <si>
    <t>Farmer City</t>
  </si>
  <si>
    <t>8”Ø PIPE X52 CS DC+IC FBE 0.219” WT</t>
  </si>
  <si>
    <t>By NPL</t>
  </si>
  <si>
    <t>8” 45° ELL LR CS 1 0.322” WT Y-52 (SEGMENTABLE)</t>
  </si>
  <si>
    <t>PR: 5868
PO: NGC10009539</t>
  </si>
  <si>
    <t>RS1136</t>
  </si>
  <si>
    <t>Bensenville</t>
  </si>
  <si>
    <t xml:space="preserve">6” 45 ELL LR CS W 0.280” WT Y-52 (SEGMENTABLE) </t>
  </si>
  <si>
    <t>PR: 5952
PO: NGC10009855</t>
  </si>
  <si>
    <t>RS905</t>
  </si>
  <si>
    <t>Oswego</t>
  </si>
  <si>
    <t>REGULATOR, OPERATOR, FLANGED RAISED FACE MOONEY MODEL (FG-40) SINGLE PORT, 75D NITRILE DIAPH. "C" MOUNT, S.S. TUBING SERIES 30S FILTER 100% CAPACITY, OUTLET PRESSURE RANGE: 25 TO 90# BLUE SPRING, 20 SERIES PILOT (OPERATOR)</t>
  </si>
  <si>
    <t>259 Commercial Dr, Yorkville IL</t>
  </si>
  <si>
    <t>Pending PID</t>
  </si>
  <si>
    <t>REGULATOR, MONITOR, FLG RAISED FACE ROCKWELL MODEL (441-57S) CAST STEEL BODY, ANSI 300, REDUCED VALVE, 1-3/4" ORIFICE, 100% CAPACITY, SET AT 50 TO 75# BLACK SPRING (MONITOR)</t>
  </si>
  <si>
    <t>STRAINER, TEE, WELD x WELD, 1/8" PERFORATED BASKET</t>
  </si>
  <si>
    <r>
      <t>4"</t>
    </r>
    <r>
      <rPr>
        <sz val="11"/>
        <color rgb="FF000000"/>
        <rFont val="Calibri"/>
        <family val="2"/>
      </rPr>
      <t xml:space="preserve"> BALL VALVE, CL </t>
    </r>
    <r>
      <rPr>
        <sz val="11"/>
        <rFont val="Calibri"/>
        <family val="2"/>
      </rPr>
      <t>300</t>
    </r>
    <r>
      <rPr>
        <sz val="11"/>
        <color rgb="FF000000"/>
        <rFont val="Calibri"/>
        <family val="2"/>
      </rPr>
      <t>, FxF, RF, FULL PORT, API-6D, TRUNNION MOUNTED, DBB, COATED FOR BELOW GRADE SERVICE W/8</t>
    </r>
    <r>
      <rPr>
        <sz val="11"/>
        <rFont val="Calibri"/>
        <family val="2"/>
      </rPr>
      <t>'-0"</t>
    </r>
    <r>
      <rPr>
        <sz val="11"/>
        <color rgb="FFFA0000"/>
        <rFont val="Calibri"/>
        <family val="2"/>
      </rPr>
      <t xml:space="preserve"> </t>
    </r>
    <r>
      <rPr>
        <sz val="11"/>
        <color rgb="FF000000"/>
        <rFont val="Calibri"/>
        <family val="2"/>
      </rPr>
      <t xml:space="preserve">EXTENSION INCLUDING </t>
    </r>
    <r>
      <rPr>
        <sz val="11"/>
        <rFont val="Calibri"/>
        <family val="2"/>
      </rPr>
      <t>HAND WHEEL, GEARED OPERATOR</t>
    </r>
    <r>
      <rPr>
        <sz val="11"/>
        <color rgb="FF000000"/>
        <rFont val="Calibri"/>
        <family val="2"/>
      </rPr>
      <t>, LUBE, VENT, BODY BLEED LINE PIPED FOR ABOVE GROUND ACCESS PER NICOR'S T.S. 030.250.025</t>
    </r>
  </si>
  <si>
    <t xml:space="preserve">EA </t>
  </si>
  <si>
    <r>
      <t xml:space="preserve">8" </t>
    </r>
    <r>
      <rPr>
        <sz val="11"/>
        <color rgb="FF000000"/>
        <rFont val="Calibri"/>
        <family val="2"/>
      </rPr>
      <t xml:space="preserve">BALL VALVE, CL </t>
    </r>
    <r>
      <rPr>
        <sz val="11"/>
        <rFont val="Calibri"/>
        <family val="2"/>
      </rPr>
      <t>300</t>
    </r>
    <r>
      <rPr>
        <sz val="11"/>
        <color rgb="FF000000"/>
        <rFont val="Calibri"/>
        <family val="2"/>
      </rPr>
      <t>, FxF, RF, FULL PORT, API-6D, TRUNNION MOUNTED, DBB, COATED FOR BELOW GRADE SERVICE W/8</t>
    </r>
    <r>
      <rPr>
        <sz val="11"/>
        <rFont val="Calibri"/>
        <family val="2"/>
      </rPr>
      <t xml:space="preserve">'-0" </t>
    </r>
    <r>
      <rPr>
        <sz val="11"/>
        <color rgb="FF000000"/>
        <rFont val="Calibri"/>
        <family val="2"/>
      </rPr>
      <t xml:space="preserve">EXTENSION INCLUDING </t>
    </r>
    <r>
      <rPr>
        <sz val="11"/>
        <rFont val="Calibri"/>
        <family val="2"/>
      </rPr>
      <t>HAND WHEEL, GEARED OPERATOR</t>
    </r>
    <r>
      <rPr>
        <sz val="11"/>
        <color rgb="FF000000"/>
        <rFont val="Calibri"/>
        <family val="2"/>
      </rPr>
      <t>, LUBE, VENT, BODY BLEED LINE PIPED FOR ABOVE GROUND ACCESS PER NICOR'S T.S. 030.250.025</t>
    </r>
  </si>
  <si>
    <r>
      <t>8"</t>
    </r>
    <r>
      <rPr>
        <sz val="11"/>
        <color rgb="FF000000"/>
        <rFont val="Calibri"/>
        <family val="2"/>
      </rPr>
      <t xml:space="preserve"> RUN x</t>
    </r>
    <r>
      <rPr>
        <sz val="11"/>
        <rFont val="Calibri"/>
        <family val="2"/>
      </rPr>
      <t xml:space="preserve"> 3/4" BRANCH, THREADOLET, CL 3000, F.S., </t>
    </r>
    <r>
      <rPr>
        <sz val="11"/>
        <color rgb="FF000000"/>
        <rFont val="Calibri"/>
        <family val="2"/>
      </rPr>
      <t>A105, MSS SP-97</t>
    </r>
  </si>
  <si>
    <t>THREADED PLUG, CL 6000, WPB, BLK, F.S. SQUARE HEAD, A234, PER B16.11</t>
  </si>
  <si>
    <r>
      <t>3/4" x4" L</t>
    </r>
    <r>
      <rPr>
        <sz val="11"/>
        <color rgb="FF000000"/>
        <rFont val="Calibri"/>
        <family val="2"/>
      </rPr>
      <t>ONG NIPPLE,</t>
    </r>
    <r>
      <rPr>
        <sz val="11"/>
        <rFont val="Calibri"/>
        <family val="2"/>
      </rPr>
      <t xml:space="preserve"> XS,</t>
    </r>
    <r>
      <rPr>
        <sz val="11"/>
        <color rgb="FF000000"/>
        <rFont val="Calibri"/>
        <family val="2"/>
      </rPr>
      <t xml:space="preserve"> WPB, TBE, CS, SML</t>
    </r>
    <r>
      <rPr>
        <sz val="11"/>
        <rFont val="Calibri"/>
        <family val="2"/>
      </rPr>
      <t>S, MNPT</t>
    </r>
    <r>
      <rPr>
        <sz val="11"/>
        <color rgb="FF000000"/>
        <rFont val="Calibri"/>
        <family val="2"/>
      </rPr>
      <t>, A733, PER B36.10</t>
    </r>
  </si>
  <si>
    <t>1-1/4" x 3/4" SWAGE NIPPLE, CONCENTRIC, XS, WPB, BLExTSE, MNPT, CS, SMLS, A234, MSS SP-95</t>
  </si>
  <si>
    <r>
      <t>4"</t>
    </r>
    <r>
      <rPr>
        <sz val="11"/>
        <color rgb="FF000000"/>
        <rFont val="Calibri"/>
        <family val="2"/>
      </rPr>
      <t xml:space="preserve"> RUN x</t>
    </r>
    <r>
      <rPr>
        <sz val="11"/>
        <rFont val="Calibri"/>
        <family val="2"/>
      </rPr>
      <t xml:space="preserve"> 1-1/4" BRANCH, WELDOLET, XS, F.S., </t>
    </r>
    <r>
      <rPr>
        <sz val="11"/>
        <color rgb="FF000000"/>
        <rFont val="Calibri"/>
        <family val="2"/>
      </rPr>
      <t>A105, MSS SP-97</t>
    </r>
  </si>
  <si>
    <r>
      <t>8"</t>
    </r>
    <r>
      <rPr>
        <sz val="11"/>
        <color rgb="FF000000"/>
        <rFont val="Calibri"/>
        <family val="2"/>
      </rPr>
      <t xml:space="preserve"> RUN x</t>
    </r>
    <r>
      <rPr>
        <sz val="11"/>
        <rFont val="Calibri"/>
        <family val="2"/>
      </rPr>
      <t xml:space="preserve"> 1-1/4" BRANCH, WELDOLET, XS, F.S., </t>
    </r>
    <r>
      <rPr>
        <sz val="11"/>
        <color rgb="FF000000"/>
        <rFont val="Calibri"/>
        <family val="2"/>
      </rPr>
      <t>A105, MSS SP-97</t>
    </r>
  </si>
  <si>
    <t xml:space="preserve">3/8" TUBE O.D. x 3/4" MNPT TUBING CONNECTOR, SWAGELOCK MODEL NUMBER SS-600-1-12 </t>
  </si>
  <si>
    <t>3/8" DIELECTRIC UNION TUBE FITTING, 316SS, SWAGELOK MODEL SS-6-DE-6</t>
  </si>
  <si>
    <t>On Hold</t>
  </si>
  <si>
    <t>NBA10005440</t>
  </si>
  <si>
    <t>Machesney Park</t>
  </si>
  <si>
    <t>REGULATOR, OPERATOR, FLANGED RAISED FACEROCKWELL MODEL (441-57S) CAST STEEL BODY, ANSI 300, REDUCED VALVE, 1-1/2" STANDARD PORT 100% CAPACITY, SET AT 50# TO 75# BLACK SPRING, 20 SERIES PILOT (OPERATOR)</t>
  </si>
  <si>
    <t>REGULATOR, MONITOR, FLANGED RAISED FACEROCKWELL MODEL (441-57S) CAST STEEL BODY, ANSI 300, REDUCED VALVE, 1-1/2" STANDARD PORT 100% CAPACITY, SET AT 50# TO 75# BLACK SPRING, 20 SERIES PILOT (MONITOR)</t>
  </si>
  <si>
    <t>LOCKING DEVICE</t>
  </si>
  <si>
    <t>NIPPLE 2"X6" EXHVY/SCH 80 STEEL, A-53 OR API-5L, BLK T.B.E</t>
  </si>
  <si>
    <t>8" RUN X 2" BRANCH, THREAD-O-LET, CL 3000, F.S. A105, MSS SP-97</t>
  </si>
  <si>
    <t>ELBOW, 90 DEGREE, STD, BLK, MI</t>
  </si>
  <si>
    <t>2"X1" THREADED HEX BUSHING, CL 3000, MNPTXFNMT, F.S., A105, PER B16.11</t>
  </si>
  <si>
    <t>6" RUN X 3/4" BRANCH, WELD-O-LET, STD F.S., A105, MSS SP-97</t>
  </si>
  <si>
    <t>8" RUN X 3/4" BRANCH, WELD-O-LET, STD F.S., A105, MSS SP-97</t>
  </si>
  <si>
    <t>40W SOLAR PANEL WITH MOUNTING BRACKET</t>
  </si>
  <si>
    <t>MERCURY ERX WITH U-BOLT MOUNTING KIT</t>
  </si>
  <si>
    <t>GALVANIZED INSULATED UNION FEMALE PIPE THREAD</t>
  </si>
  <si>
    <t>VARIES</t>
  </si>
  <si>
    <t>JACKETED SS TUBING (SWAGELOK SS-JT6-W-035)</t>
  </si>
  <si>
    <t>SS 1/4" MNPT PIPE PLUG (SWAGELOK SS-4-P)</t>
  </si>
  <si>
    <t>SS MNPT BRANCH TEE (SWAGELOK SS-4-MT)</t>
  </si>
  <si>
    <t>SS FNPT BALL VALVE (LOCKABLE)</t>
  </si>
  <si>
    <t>COATED PIPE SLEEVE (SCHEDULE 40)</t>
  </si>
  <si>
    <t>SS DIELECTRIC UNION (SWAGELOK SS-6-DE1-4)</t>
  </si>
  <si>
    <t>FENCE POST CAP (LOWES NO. (2186)</t>
  </si>
  <si>
    <t>MR1813</t>
  </si>
  <si>
    <t>Ludlow</t>
  </si>
  <si>
    <t>PILOT CONTROL SPRING, GREEN, PART #1B98607212 FOR 1" FISHER 289P</t>
  </si>
  <si>
    <t>COMPLETED</t>
  </si>
  <si>
    <t>MR1814</t>
  </si>
  <si>
    <t>REGULATOR CONTROL SPRING, YELLOW, PART #10B307BX012 FOR 1" FISHER 627</t>
  </si>
  <si>
    <t>MR1815</t>
  </si>
  <si>
    <t>2" ∅ PIPE X52 CS FBE 0.218" WT</t>
  </si>
  <si>
    <t>MR1816</t>
  </si>
  <si>
    <t>MR1817</t>
  </si>
  <si>
    <t>GCS 471.4 TIN WHISTLE P.O. ITEMS</t>
  </si>
  <si>
    <t>MR1033</t>
  </si>
  <si>
    <t>Wedron</t>
  </si>
  <si>
    <t>PCF, LINE STOPPER, 4", WITH 150# FLANGE, MUELLER H17255-740, 275 PSIG MWP, FOR WELDING</t>
  </si>
  <si>
    <t>VW240/VW241-1</t>
  </si>
  <si>
    <t>Skokie</t>
  </si>
  <si>
    <t>8"∅ PIPE X52 CS DC+IC FBE 0.219" WT</t>
  </si>
  <si>
    <t>8"∅ PIPE X52 CS DC+IC FBE 0.322" WT</t>
  </si>
  <si>
    <t>8"∅ 90° ELL LR CS W 0.322" WT Y-52 (SEGMENTABLE)</t>
  </si>
  <si>
    <t>NPL Cortland</t>
  </si>
  <si>
    <t>Sean Lally</t>
  </si>
  <si>
    <t>MR2027</t>
  </si>
  <si>
    <t>Rockford</t>
  </si>
  <si>
    <t>Nicor Rockford Yard</t>
  </si>
  <si>
    <t>Jeremy Rempert</t>
  </si>
  <si>
    <t>NBA10010269</t>
  </si>
  <si>
    <t>Belvidere</t>
  </si>
  <si>
    <t>8” 45° ELL LR CS W 0.322” WT Y-52 (SEGMENTABLE)</t>
  </si>
  <si>
    <t>NBA10011366</t>
  </si>
  <si>
    <t>Joliet</t>
  </si>
  <si>
    <t>2"Ø PIPE, BARE, 0.218" WT, X-52</t>
  </si>
  <si>
    <t>REGION REVIEW</t>
  </si>
  <si>
    <t>Lori Harvey</t>
  </si>
  <si>
    <t xml:space="preserve">PR: 6368
PO: </t>
  </si>
  <si>
    <t>4"Ø PIPE, BARE, 0.237" WT, X-52</t>
  </si>
  <si>
    <t>3/4" ELBOW THREAD-O-LET</t>
  </si>
  <si>
    <t>1/2" x 4" x 4" SQUARE PLATE (SEE GCS 209)</t>
  </si>
  <si>
    <t>In Progress?</t>
  </si>
  <si>
    <t>RS1151</t>
  </si>
  <si>
    <t>West Chicago</t>
  </si>
  <si>
    <t>REGULATOR, OPERATOR, FLG RAISED FACE MOONEY MODEL (FG-40) SINGLE PORT, 75D NITRILE DIAPH. "C" MOUNT, S.S. TUBING SERIES 30S FILTER 100% CAPACITY, SET AT 25# TO 90# BLUE SPRING, 20 SERIES PILOT (OPERATOR)</t>
  </si>
  <si>
    <t>259 Commercial Drive
Yorkville, IL 60560</t>
  </si>
  <si>
    <t>PR: 6266
PO:</t>
  </si>
  <si>
    <t>REGULATOR, MONITOR, FLG RAISED FACE ROCKWELL MODEL (441-57S) CAST STEEL BODY, ANSI 300, BALANCED VALVE, 2-1/8" ORIFICE 100% CAPACITY, SET AT 50# TO 75# BLACK SPRING (MONITOR)</t>
  </si>
  <si>
    <t>NIPPLE 2"x 6" EXHVY/SCH 80 STEEL, A-53 OR API-5L, BLK T.B.E.</t>
  </si>
  <si>
    <t>THREAD-O-LET, FS, 2" OUTLET, RUN SIZE TO FIT SPECIFIC HEADER SIZE</t>
  </si>
  <si>
    <t>2"x 1" THREADED HEX BUSHING, CL 3000, MNPTx FNMT, F.S., A105, PER B16.11</t>
  </si>
  <si>
    <t>6" RUN x 3/4" BRANCH, WELD-O-LET, STD F.S., A105, MSS SP-97</t>
  </si>
  <si>
    <t>8" RUN x 3/4" BRANCH, WELD-O-LET, STD F.S., A105, MSS SP-97</t>
  </si>
  <si>
    <t>Crest Hill</t>
  </si>
  <si>
    <t>12" WELD END INSULATOR</t>
  </si>
  <si>
    <t>3000 E Cass St. Joliet, IL 60432</t>
  </si>
  <si>
    <t xml:space="preserve">PR: 6728
PO: </t>
  </si>
  <si>
    <t>2" REGULATOR, MONITOR, FLG RAISED FACE ROCKWELL MODEL (441-57S) CAST STEEL BODY, ANSI 300, REDUCED VALVE, 1-1/2" REDUCED PORT 100% CAPACITY, SET AT 12.5# TO 30# RED SPRING (MONITOR)</t>
  </si>
  <si>
    <t>2" PIPE, BARE STEEL LINE, 2.375" OD x 0.154" W.T. API-5L GR-B, ERW, SRL</t>
  </si>
  <si>
    <t>NIPPLE 2"x6" EXHVY/SCH 80 STEEL, A-53 OR API-5L, BLK T.B.E.</t>
  </si>
  <si>
    <t>1" ELBOW, 90 DEGREE, STD, BLK, MI</t>
  </si>
  <si>
    <t>4" RUN x 3/4" BRANCH, WELD-O-LET, STD F.S., A105, MSS SP-97</t>
  </si>
  <si>
    <t>6" REGULATOR, OPERATOR, FLG RAISED FACE MOONEY MODEL (FG-45) SINGLE PORT, 75D NITRILE DIAPH. "C" MOUNT, S.S. TUBING SERIES 30S FILTER 100% CAPACITY, SET AT 10# TO 40# SILVER SPRING, 20 SERIES PILOT (OPERATOR)</t>
  </si>
  <si>
    <t>6" REGULATOR, MONITOR, FLG RAISED FACE MOONEY MODEL (FG-45) SINGLE PORT, 75D NITRILE DIAPH. "C" MOUNT, S.S. TUBING SERIES 30S FILTER 100% CAPACITY, SET AT 10# TO 40# SILVER SPRING, 20 SERIES PILOT (MONITOR)</t>
  </si>
  <si>
    <t>8" STRAINER, TEE WELD x WELD, 1/8" PERFORATED BASKET</t>
  </si>
  <si>
    <t>12" VALVE, GATE G7WW (PER GMS 510) (KEROTEST 1WL7)</t>
  </si>
  <si>
    <t>12" RUN x 3/4" BRANCH, WELD-O-LET, STD F.S., A105, MSS SP-97</t>
  </si>
  <si>
    <t>8" RUN x 3/4" BRANCH, WELD-O-LET, STD F.S., A1-5, MSS SP-97</t>
  </si>
  <si>
    <t>3" CAP W CS 0.216" WT Y-52</t>
  </si>
  <si>
    <t>Deer Park</t>
  </si>
  <si>
    <t>8" Ø PIPE X52 CS DC+IC FBE 0.219" WT</t>
  </si>
  <si>
    <t>300 W Terra Cotta Ave. Crystal Lake, IL 60014</t>
  </si>
  <si>
    <t xml:space="preserve">PR: 6732
PO: </t>
  </si>
  <si>
    <t>8" Ø PIPE X52 CS+IC FBE 0.322" WT</t>
  </si>
  <si>
    <t>4" REGULATOR, OPERATOR, FLG RAISED FACE MOONEY MODEL (FG-40) SINGLE PORT, 75D NITRILE DIAPH. "C" MOUNT, S.S. TUBING SERIES 30S FILTER 100% CAPACITY, SET AT 25# TO 90# BLUE SPRING, 20 SERIES PILOT (OPERATOR)</t>
  </si>
  <si>
    <t>4" REGULATOR, MONITOR, FLG RAISED FACE ROCKWELL MODEL (441-57S) CAST STEEL BODY, ANSI 300, REDUCED VALVE, 2-1/8" STANDARD PORT 100% CAPACITY, SET AT 50# TO 75# BLACK SPRING (OPERATOR)</t>
  </si>
  <si>
    <t>2" Ø PIPE, BARE STEEL LINE, 2.375" OD x 0.154" W.T. API-5L GR-B, ERW, SRL</t>
  </si>
  <si>
    <t>2" NIPPLE 2"x 6" EXHVY/SCH 80 STEEL, A-53 OR API-5L, BLK T.B.E.</t>
  </si>
  <si>
    <t xml:space="preserve">SC23290 </t>
  </si>
  <si>
    <t>Bellflower</t>
  </si>
  <si>
    <t>2704 Festival Drive, Kankakee IL</t>
  </si>
  <si>
    <t>SC23290</t>
  </si>
  <si>
    <t>1" WELD-O-LET</t>
  </si>
  <si>
    <t>4" REGULATOR, OPERATOR, FLG RAISED FACE MOONEY MODEL (FG-40) SINGLE PORT, 756 NITILE DIAPH. "C" MOUNT, S.S. TUBING SERIES 30S FILTER 100% CAPACITY, SET AT 25# TO 90# BLUE SPRING, 20 SERIES PILOR (OPERATOR)</t>
  </si>
  <si>
    <t>321980 Pipe Strong LLC Hampshire</t>
  </si>
  <si>
    <t>4" REGULATOR, MONITOR, FLG RAISED FACE ROCKWELL MODEL (441-57S) CAST STEEL BODY, ANSI 300, REDUCED VALAVE, 1-3/4" STANDARD PORT 100% CAPACITY, SET AT 50# TO 75# BLACK SPRING (MONITOR)</t>
  </si>
  <si>
    <t>2"X10" GALVANIZED RIGID CONDUIT THREADED (LOWES NO. 72739)</t>
  </si>
  <si>
    <t>FENCE POST CAP (LOWES NO.92186)</t>
  </si>
  <si>
    <t>CABLE TIES 9PANDUIT PLT4S-CO OR EQUIVALENT) 100 COUNT BAG</t>
  </si>
  <si>
    <t>80 LB SACKRETE (LOWES NO. 10385)</t>
  </si>
  <si>
    <t>COATED PIPE SLEEVE (SCHEDULE)</t>
  </si>
  <si>
    <t>COMPLETED PROJECTS (2024-0701)</t>
  </si>
  <si>
    <t>Reconciliation</t>
  </si>
  <si>
    <t>Permits Required (i.e. AHJs)</t>
  </si>
  <si>
    <t>Pressure</t>
  </si>
  <si>
    <t>Main</t>
  </si>
  <si>
    <t>Facilities</t>
  </si>
  <si>
    <t>Year</t>
  </si>
  <si>
    <t>DistDesTracking</t>
  </si>
  <si>
    <t>Engineering Number</t>
  </si>
  <si>
    <t>WO Number</t>
  </si>
  <si>
    <t>Designer Supervisor</t>
  </si>
  <si>
    <t>DesignerName</t>
  </si>
  <si>
    <t>Design Status</t>
  </si>
  <si>
    <t>Date Assigned to Designer</t>
  </si>
  <si>
    <t>Engineering Approved Design Date</t>
  </si>
  <si>
    <t>Date Completed</t>
  </si>
  <si>
    <t>Time</t>
  </si>
  <si>
    <t>Invoiced?</t>
  </si>
  <si>
    <t>Billing Month</t>
  </si>
  <si>
    <t>Invest in IL</t>
  </si>
  <si>
    <t>Amount Invoiced</t>
  </si>
  <si>
    <t>Rate</t>
  </si>
  <si>
    <t>Shactee Effort</t>
  </si>
  <si>
    <t>3rd Party Effort</t>
  </si>
  <si>
    <t>KH Hourly Effort</t>
  </si>
  <si>
    <t>LF of Main</t>
  </si>
  <si>
    <t># of PV/STR/FV/TW/VLT</t>
  </si>
  <si>
    <t>PCTS Investment Amount</t>
  </si>
  <si>
    <t>PCTS Sewer Amount</t>
  </si>
  <si>
    <t>PCTS Retirement Amount</t>
  </si>
  <si>
    <t>Construction Cost to Bill From</t>
  </si>
  <si>
    <t>Estimate Approved?</t>
  </si>
  <si>
    <t>PO Item</t>
  </si>
  <si>
    <t>Updated Permitting Parameters</t>
  </si>
  <si>
    <t>SPO Updated?</t>
  </si>
  <si>
    <t>LL Updated?</t>
  </si>
  <si>
    <t>Work Plan Reviewed?</t>
  </si>
  <si>
    <t>Debrief Complete?</t>
  </si>
  <si>
    <t>Nicor Initiated DBE</t>
  </si>
  <si>
    <t>Field Noting &amp; Locating</t>
  </si>
  <si>
    <t>Staffing</t>
  </si>
  <si>
    <t>DBE%</t>
  </si>
  <si>
    <t>Eligible to Reconcile</t>
  </si>
  <si>
    <t>PCTS Approved</t>
  </si>
  <si>
    <t>Project #</t>
  </si>
  <si>
    <t>Investment Amount (1#####)</t>
  </si>
  <si>
    <t>Sewer</t>
  </si>
  <si>
    <t>Retirement Amount (3#####)</t>
  </si>
  <si>
    <t>Approved Construction Cost</t>
  </si>
  <si>
    <t>Difference in Construction Cost</t>
  </si>
  <si>
    <t>Reconcile Amount</t>
  </si>
  <si>
    <t>Revision Billed</t>
  </si>
  <si>
    <t>Reconcile Notes</t>
  </si>
  <si>
    <t>Approved Amount</t>
  </si>
  <si>
    <t>Reconcile Invoiced?</t>
  </si>
  <si>
    <t>COUNT</t>
  </si>
  <si>
    <t>N</t>
  </si>
  <si>
    <t>Scope
Revision Code</t>
  </si>
  <si>
    <t>Comments/Project Owner
Reason Revision &gt;5-Business Days</t>
  </si>
  <si>
    <t xml:space="preserve">IDOT
</t>
  </si>
  <si>
    <t xml:space="preserve">County
</t>
  </si>
  <si>
    <t xml:space="preserve">Muni
</t>
  </si>
  <si>
    <t xml:space="preserve">Township
</t>
  </si>
  <si>
    <t xml:space="preserve">Other
</t>
  </si>
  <si>
    <t>KH Billing No</t>
  </si>
  <si>
    <t>600#</t>
  </si>
  <si>
    <t>300#</t>
  </si>
  <si>
    <t>230#</t>
  </si>
  <si>
    <t>60# &amp; less</t>
  </si>
  <si>
    <t>16"</t>
  </si>
  <si>
    <t>12"</t>
  </si>
  <si>
    <t>10"</t>
  </si>
  <si>
    <t>8"</t>
  </si>
  <si>
    <t>6"</t>
  </si>
  <si>
    <t>4"</t>
  </si>
  <si>
    <t>2"</t>
  </si>
  <si>
    <t>Vault</t>
  </si>
  <si>
    <t>TW</t>
  </si>
  <si>
    <t>PV</t>
  </si>
  <si>
    <t>STR</t>
  </si>
  <si>
    <t>FV</t>
  </si>
  <si>
    <t>MTR</t>
  </si>
  <si>
    <t>Comments</t>
  </si>
  <si>
    <t>N14649</t>
  </si>
  <si>
    <t>1610712</t>
  </si>
  <si>
    <t>Jocelyn Liang</t>
  </si>
  <si>
    <t>No</t>
  </si>
  <si>
    <t>Cost estimate increased due to revision to update plans based on revised civil design.</t>
  </si>
  <si>
    <t>900' 2" main relocation needed. Gas main is going through private property; Forest Hill Rd and E Riverside Blvd. Need to cross Forest Hill Rd to retire insulators.</t>
  </si>
  <si>
    <t>Private Developer, County, Municipal</t>
  </si>
  <si>
    <t>Winnebago</t>
  </si>
  <si>
    <t>Loves Park</t>
  </si>
  <si>
    <t xml:space="preserve">N </t>
  </si>
  <si>
    <t>SC21748</t>
  </si>
  <si>
    <t>Calvin Nguyen</t>
  </si>
  <si>
    <t xml:space="preserve">Cost estimate increased based on updated contract year/revised costs. </t>
  </si>
  <si>
    <t>2023</t>
  </si>
  <si>
    <t>RS1075</t>
  </si>
  <si>
    <t>1011716</t>
  </si>
  <si>
    <t>Izabela Holowach</t>
  </si>
  <si>
    <t>Cost estimate increased based on PCTS material costs updates and updated contract value (2023 to 2024)</t>
  </si>
  <si>
    <t>Remove/Replace Existing TW Facility #4301172.
Install ~500' of main to interconnect 30# system.</t>
  </si>
  <si>
    <t>Dead End System. 
S Avon Dr and IL-17</t>
  </si>
  <si>
    <t xml:space="preserve">Y </t>
  </si>
  <si>
    <t>Kankakee</t>
  </si>
  <si>
    <t>Aroma</t>
  </si>
  <si>
    <t>VLT</t>
  </si>
  <si>
    <t>RS928</t>
  </si>
  <si>
    <t>103074</t>
  </si>
  <si>
    <t xml:space="preserve">BURNHAM </t>
  </si>
  <si>
    <t xml:space="preserve"> Conops</t>
  </si>
  <si>
    <t>Cost estimate increased based on material costs updated in PCTS.</t>
  </si>
  <si>
    <t>Replace Existing Facility #4101016.</t>
  </si>
  <si>
    <t>State St &amp; S Saginaw Ave 
Full redesign - Land unable to obtain ESMT</t>
  </si>
  <si>
    <t xml:space="preserve">Burnham </t>
  </si>
  <si>
    <t>168777000.1.714</t>
  </si>
  <si>
    <t>RS</t>
  </si>
  <si>
    <t>2021</t>
  </si>
  <si>
    <t>DIMP BS</t>
  </si>
  <si>
    <t>BS456</t>
  </si>
  <si>
    <t>1410797</t>
  </si>
  <si>
    <t>SUN RIVER TERRACE</t>
  </si>
  <si>
    <t>Utility inspector time in investment and retirement labor estimate tab increased due to challenging install across IDOT roadway. 
Revision did not impact PCTS costs (added restoration notes and coordinated with IDOT).</t>
  </si>
  <si>
    <t>Install ~3600' of 8" STL and ~2700' of 6" PE main (60#) to replace existing bare steel main.  Test 8" STL main for 230# (to be operated at 60#).
E Baseline Rd &amp; IL Route 17</t>
  </si>
  <si>
    <t>IDOT (IL RTE 1 &amp; IL RTE 17)</t>
  </si>
  <si>
    <t>Sun River Terrace</t>
  </si>
  <si>
    <t>Ganeer, Aroma</t>
  </si>
  <si>
    <t>168777000.1.305</t>
  </si>
  <si>
    <t>2022</t>
  </si>
  <si>
    <t>135740</t>
  </si>
  <si>
    <t>GLEN ELLYN</t>
  </si>
  <si>
    <t>Kendra Jackson</t>
  </si>
  <si>
    <t>Updates to cost of materials resulted in change of construction cost.</t>
  </si>
  <si>
    <t>1000' of 2", 6", 8" main is in conflict with DOT improvements; 
Park Blvd and Tamarack Dr</t>
  </si>
  <si>
    <t>DuPage County</t>
  </si>
  <si>
    <t>DuPage</t>
  </si>
  <si>
    <t>Glen Ellyn</t>
  </si>
  <si>
    <t>168777007.D.057</t>
  </si>
  <si>
    <t>RS824</t>
  </si>
  <si>
    <t>103089</t>
  </si>
  <si>
    <t>GUTHRIE</t>
  </si>
  <si>
    <t>8.5% + $5,250/TW</t>
  </si>
  <si>
    <t>Cost estimate increased based on updated contract year and updated costs (2021 design and approved in 2024)</t>
  </si>
  <si>
    <t>Replace existing facility 4501061 with new GCS 471.4 tinwhistle in close proximity to existing location.</t>
  </si>
  <si>
    <t>TW Venting;
Sys Ops: Ron Westphal; Don Verdun
Con Ops: Tony Cabezas;</t>
  </si>
  <si>
    <t>Dix</t>
  </si>
  <si>
    <t>ICNR</t>
  </si>
  <si>
    <t>2024</t>
  </si>
  <si>
    <t>SC22162</t>
  </si>
  <si>
    <t>1213120</t>
  </si>
  <si>
    <t>Engineering updated asphalt and concrete resoration, PE PCF PO item, and contingency on Investment WO</t>
  </si>
  <si>
    <t xml:space="preserve">~1,000’ of 2”, 4”, 6” and 10” STL and PE in conflict with proposed drainage improvements.
Various intersections and streets in City of Ottawa. </t>
  </si>
  <si>
    <t>City of Ottawa</t>
  </si>
  <si>
    <t>La Salle</t>
  </si>
  <si>
    <t>Ottawa</t>
  </si>
  <si>
    <t>RS871</t>
  </si>
  <si>
    <t>1010232</t>
  </si>
  <si>
    <t>KEMPTON</t>
  </si>
  <si>
    <t>DONE, CONOPS</t>
  </si>
  <si>
    <t>Cost Estimate increased due to material adjustments and additional labor time for Sys Ops and Utility Inspector made by Con Ops.</t>
  </si>
  <si>
    <t>Replace existing regulation facility 4301434 with new regulation facility in close proximity to existing facility.  Retire existing compliance valve 4371913 with design; 3-legged tin</t>
  </si>
  <si>
    <t>TW Venting
Sys Ops: Ron Westphal; Don Verdun
Con Ops: Tony Cabezas</t>
  </si>
  <si>
    <t>Ford</t>
  </si>
  <si>
    <t>RS1082</t>
  </si>
  <si>
    <t>1011885</t>
  </si>
  <si>
    <t>NAPERVILLE</t>
  </si>
  <si>
    <t xml:space="preserve">Cost estimate increased due to revision comments from City to add in utilities. Additional break and replace required for design. </t>
  </si>
  <si>
    <t>Install ~1,200' of 2" PE main to retire tin whistle facility #1101044.</t>
  </si>
  <si>
    <t>IL-59 &amp; 95th St</t>
  </si>
  <si>
    <t>Naperville</t>
  </si>
  <si>
    <t>RS1128</t>
  </si>
  <si>
    <t>1412438</t>
  </si>
  <si>
    <t>MOMENCE</t>
  </si>
  <si>
    <t>PCTS updates</t>
  </si>
  <si>
    <t>Replace Existing TW Facility #4301168.</t>
  </si>
  <si>
    <t>E 4000 N RD &amp; IL-17 (DIXIE HWY)</t>
  </si>
  <si>
    <t>Momence</t>
  </si>
  <si>
    <t>Ganeer</t>
  </si>
  <si>
    <t>168777007.A.600</t>
  </si>
  <si>
    <t>SC23626</t>
  </si>
  <si>
    <t>1413473</t>
  </si>
  <si>
    <t>TROY TWP</t>
  </si>
  <si>
    <t>400 of 2” STL in conflict with proposed storm sewer.
S Sarver Dr, Jensen St, Clarage Ct, and Ronnie Ct in Ron Lee Estates Subdivision</t>
  </si>
  <si>
    <t>Troy Township</t>
  </si>
  <si>
    <t>Will</t>
  </si>
  <si>
    <t>Troy</t>
  </si>
  <si>
    <t xml:space="preserve">Troy </t>
  </si>
  <si>
    <t>FOR PL (KMI)</t>
  </si>
  <si>
    <t xml:space="preserve">168777007.D.130 </t>
  </si>
  <si>
    <t>N17028</t>
  </si>
  <si>
    <t>1213217</t>
  </si>
  <si>
    <t>BARRINGTON HILLS</t>
  </si>
  <si>
    <t>200' of 2" STL in conflict with proposed culvert improvement work. 
Little Bend Rd &amp; Spring Lane</t>
  </si>
  <si>
    <t>Village of Barrington Hills</t>
  </si>
  <si>
    <t>168777007.D.116</t>
  </si>
  <si>
    <t>SC20795</t>
  </si>
  <si>
    <t>1313355</t>
  </si>
  <si>
    <t>WHEATON</t>
  </si>
  <si>
    <t>Calvin Kratohvil</t>
  </si>
  <si>
    <t>Cost was increased based on updated contract/revised costs within PCTS.</t>
  </si>
  <si>
    <t xml:space="preserve">700' of 2" STL in conflict with proposed storm sewer improvements and proposed culvert improvements. </t>
  </si>
  <si>
    <t>City of Wheaton</t>
  </si>
  <si>
    <t>Wheaton</t>
  </si>
  <si>
    <t>168777007.D.119</t>
  </si>
  <si>
    <t>SC23280</t>
  </si>
  <si>
    <t>1313177</t>
  </si>
  <si>
    <t>WESTMONT</t>
  </si>
  <si>
    <t>1800' of 2" STL conflict w/ proposed drainage improvements and alley reconstruction.</t>
  </si>
  <si>
    <t>Village of Westmont</t>
  </si>
  <si>
    <t>Dupage</t>
  </si>
  <si>
    <t>Westmont</t>
  </si>
  <si>
    <t>168777007.D.112</t>
  </si>
  <si>
    <t>SC22229</t>
  </si>
  <si>
    <t>1313331</t>
  </si>
  <si>
    <t>DARIEN</t>
  </si>
  <si>
    <t>Cost estimate increased due to IDOT revision request to adjust running line.</t>
  </si>
  <si>
    <t>300’ of 4” PE in conflict with proposed drainage improvements and grade cuts.
N Frontage Road and Cass Ave</t>
  </si>
  <si>
    <t>IDOT D1</t>
  </si>
  <si>
    <t>Darien</t>
  </si>
  <si>
    <t>168777007.M.002</t>
  </si>
  <si>
    <t>N13257</t>
  </si>
  <si>
    <t>129256</t>
  </si>
  <si>
    <t>Cost estimate increased due to revisions to update plans based on revised IDOT designs.</t>
  </si>
  <si>
    <t>1700' of 6" &amp; 8" STL in potential conflict w/roadway &amp; drainage improvements;
IL Route 31 &amp; US Rte 20</t>
  </si>
  <si>
    <t>IDOT</t>
  </si>
  <si>
    <t>1213062</t>
  </si>
  <si>
    <t>Restoration cost (backfill, permanent asphalt restoration) increased and road plates added due to revision from CCDOTH to increase limits of restoration.</t>
  </si>
  <si>
    <t>Install 958' of 8" STL (60#) to replace existing vintage/bare steel main.</t>
  </si>
  <si>
    <t>Sauk Trail (CCDOTH) &amp; Central Park Ave</t>
  </si>
  <si>
    <t>Cook</t>
  </si>
  <si>
    <t>Park Forest</t>
  </si>
  <si>
    <t>168777000.1.363</t>
  </si>
  <si>
    <t>BS631-1</t>
  </si>
  <si>
    <t>1312060</t>
  </si>
  <si>
    <t>GENEVA</t>
  </si>
  <si>
    <t>Labor time and restoration costs increased due to crowded installation area along an industrial building. 
Revision did not impact PCTS costs (which added construction notes and was mainly a coordination effort between KH, the City, and Nicor).</t>
  </si>
  <si>
    <t>Install ~800' of 2" PE (60#)</t>
  </si>
  <si>
    <t>Stevens St &amp; Illinois St</t>
  </si>
  <si>
    <t>Geneva</t>
  </si>
  <si>
    <t>SC21725</t>
  </si>
  <si>
    <t>1212723</t>
  </si>
  <si>
    <t>Engineering updated contingency on Investment WO and added asphalt resoration to Retirement WO.</t>
  </si>
  <si>
    <t>1,300’ of 3” STL in potential conflict with proposed drainage and grading improvements.
Location: CH 15 (22nd Rd) from N. 12th Rd to CH 6 (Mazon Rd)</t>
  </si>
  <si>
    <t>LaSalle County</t>
  </si>
  <si>
    <t>Streator</t>
  </si>
  <si>
    <t>Otter Creek</t>
  </si>
  <si>
    <t>168777007.D.067</t>
  </si>
  <si>
    <t>N15708</t>
  </si>
  <si>
    <t>1213088</t>
  </si>
  <si>
    <t>HANOVER</t>
  </si>
  <si>
    <t xml:space="preserve">Engineering updated Contract Estimate in Investiment tab to decrease trench backfill by 750 CY. </t>
  </si>
  <si>
    <t>~400’ of 1” STL, 2” STL and 2” PE in conflict with proposed drainage, watermain, and retaining wall. 
IL Route 84 (Washington St.) from Apple River to Duke Creek</t>
  </si>
  <si>
    <t>IDOT D2</t>
  </si>
  <si>
    <t>Jo Daviess</t>
  </si>
  <si>
    <t>Hanover</t>
  </si>
  <si>
    <t>N17942</t>
  </si>
  <si>
    <t>1213523</t>
  </si>
  <si>
    <t>HOFFMAN ESTATES</t>
  </si>
  <si>
    <t>500' of 2" STL main in potential conflict with proposed storm sewer, sanitary sewer, and watermain improvements.
Batavia Ln &amp; Ash Rd</t>
  </si>
  <si>
    <t>Village of Hoffman Estates</t>
  </si>
  <si>
    <t>Hoffman Estates</t>
  </si>
  <si>
    <t>168777007.D.134</t>
  </si>
  <si>
    <t>NA</t>
  </si>
  <si>
    <t>SC14819</t>
  </si>
  <si>
    <t>1410360</t>
  </si>
  <si>
    <t>PLAINFIELD</t>
  </si>
  <si>
    <t>Joel Newton</t>
  </si>
  <si>
    <t>Crew time, restoration, &amp; traffic control time increased due to challenging install.</t>
  </si>
  <si>
    <t>1100' of 4" main conflict with proposed bridge replacement, storm sewer; Rowley Rd and Indian Boundary Rd</t>
  </si>
  <si>
    <t>City of Plainfield</t>
  </si>
  <si>
    <t>Plainfield</t>
  </si>
  <si>
    <t>BS361</t>
  </si>
  <si>
    <t>1212906</t>
  </si>
  <si>
    <t>ROUND LAKE</t>
  </si>
  <si>
    <t>Cost estimate increased due to revision request from IDOT to include break and replace, pavement restoration, and traffic control at both tie-in points (done as an Addendum).</t>
  </si>
  <si>
    <t>Replace 1,800' of 4" BS (25#) main with 1,800' of 4" PE (25#)  main, attached synergy plots for detailed drawings.</t>
  </si>
  <si>
    <t>Round Lake Rd (IL-134) &amp; Harrison Ave</t>
  </si>
  <si>
    <t>168777007.1.009</t>
  </si>
  <si>
    <t>BS631</t>
  </si>
  <si>
    <t>1312007</t>
  </si>
  <si>
    <t>Cost estimate increased due to revision request from City of Geneva to update spotting method to core vac which added additional crew and backfill cost. Additional utility information was provided by the City which also increased the amount of spotting, restoration, and road plate cost.</t>
  </si>
  <si>
    <t>Install ~2160' of 2" PE (60#), ~110' of 4" PE (60#), and ~7810' of 6" PE (60#)</t>
  </si>
  <si>
    <t>Second Street &amp; State Street</t>
  </si>
  <si>
    <t>SC17330</t>
  </si>
  <si>
    <t>1310727</t>
  </si>
  <si>
    <t>Crew time, Nicor personal time, and traffic control time increased due to work within roadway/difficult install.
Revision did not impact PCTS estimate (added utility crossing profiles).</t>
  </si>
  <si>
    <t>5000' of 2"/4" main potential conflict with proposed storm sewer; Kautz Rd ,Toni St, Bonnie St</t>
  </si>
  <si>
    <t>St Charles, Winfield</t>
  </si>
  <si>
    <t>1212745</t>
  </si>
  <si>
    <t>Restoration and traffic control increased and PO items were added due to difficult install/congestion of utilities.</t>
  </si>
  <si>
    <t>~300’ of 8” STL in conflict with proposed storm sewer and roadway widening improvements. 
Location: Caldwell Avenue &amp; Cleveland Street and Caldwell Avenue &amp; Keeney Street</t>
  </si>
  <si>
    <t>Village of Niles</t>
  </si>
  <si>
    <t>Niles</t>
  </si>
  <si>
    <t>168777007.D.064</t>
  </si>
  <si>
    <t>N15012</t>
  </si>
  <si>
    <t>1213488</t>
  </si>
  <si>
    <t>E DUBUQUE</t>
  </si>
  <si>
    <t>Engineering updated added matieral estimate and contingency on Investment WO. Investment and Retirement WOs increased due to cost discrepancy.</t>
  </si>
  <si>
    <t>800' of 2” PE, 2” STL, and 6” STL with proposed roadway improvements, traffic signal modernization, and drainage improvements.</t>
  </si>
  <si>
    <t>JoDaviess</t>
  </si>
  <si>
    <t>E Dubuque</t>
  </si>
  <si>
    <t>Dunleith</t>
  </si>
  <si>
    <t>168777007.M.006</t>
  </si>
  <si>
    <t>N17891</t>
  </si>
  <si>
    <t>1213227</t>
  </si>
  <si>
    <t>BELVIDERE</t>
  </si>
  <si>
    <t>Cost estimate decreased due to change in contractor. Crew/construction decreased as a result of this change.</t>
  </si>
  <si>
    <t>1000' of 4" PE main in potential conflict w/ proposed cold storage facility site development
Crosslink Pkwy and Morreim Drive</t>
  </si>
  <si>
    <t xml:space="preserve">Private Developer </t>
  </si>
  <si>
    <t>Close proximity to UP RR</t>
  </si>
  <si>
    <t>168777007.D.114</t>
  </si>
  <si>
    <t>N14766</t>
  </si>
  <si>
    <t>1212786</t>
  </si>
  <si>
    <t>S ELGIN</t>
  </si>
  <si>
    <t xml:space="preserve">ConOps updated Contract Estimate in Investment tab to increase traffic control time. </t>
  </si>
  <si>
    <t xml:space="preserve">1500' of 4"/6" main potential conflict with proposed drainage and grade cuts. </t>
  </si>
  <si>
    <t>Kane County</t>
  </si>
  <si>
    <t>South Elgin</t>
  </si>
  <si>
    <t>CNR (RR)</t>
  </si>
  <si>
    <t>168777007.D.063</t>
  </si>
  <si>
    <t>M10160-1</t>
  </si>
  <si>
    <t>1213127</t>
  </si>
  <si>
    <t>ROBBINS</t>
  </si>
  <si>
    <t>Engineering updated Contract Estimate restoration costs in Investiment and retirement tab.</t>
  </si>
  <si>
    <t>200' of 2" STL in conflict with proposed storm improvements along Kedzie Ave &amp; 138th st.</t>
  </si>
  <si>
    <t>MWRD/Village of Robbins</t>
  </si>
  <si>
    <t>Village of Robbins</t>
  </si>
  <si>
    <t>MWRD</t>
  </si>
  <si>
    <t>168777007.D.011</t>
  </si>
  <si>
    <t>N16609</t>
  </si>
  <si>
    <t>1213288</t>
  </si>
  <si>
    <t>Engineering updated asphalt and concrete resoration, added nipple stopper, 6" PE, and contingency on Investment WO. Engineering added C1-stops and updated contingency on Retirement WO.</t>
  </si>
  <si>
    <t>1,100’ of 2” PE, 2” STL, and 6” STL in conflict with proposed roadway widening, drainage improvements, grade cuts, and traffic signal improvements.</t>
  </si>
  <si>
    <t>City of Rockford</t>
  </si>
  <si>
    <t>168777007.D.110</t>
  </si>
  <si>
    <t>N13601</t>
  </si>
  <si>
    <t>1213597</t>
  </si>
  <si>
    <t xml:space="preserve">Engineering added additional PO contingency amount for for 12" Mueller Line Stop </t>
  </si>
  <si>
    <t>~2,200' of 2", 4" and 12" STL and 2" PE in conflict with proposed drainage, water, and traffic signal imporvements and grade cuts.
School St &amp; Whitman St</t>
  </si>
  <si>
    <t xml:space="preserve">Y  </t>
  </si>
  <si>
    <t>168777007.D.133</t>
  </si>
  <si>
    <t>2020</t>
  </si>
  <si>
    <t>N12677</t>
  </si>
  <si>
    <t>129148</t>
  </si>
  <si>
    <t>FREMONT TWP</t>
  </si>
  <si>
    <t>Held for info from DOT.</t>
  </si>
  <si>
    <t>Crew time increased due to challenging install and phased construction.</t>
  </si>
  <si>
    <t>300' of 4" main in potential conflict with Sylvan Lake Dam modifications; Construction is a 2-3 month process Highland Drive &amp; Midlothian</t>
  </si>
  <si>
    <t>Relocate facilities; Township</t>
  </si>
  <si>
    <t>SC23200</t>
  </si>
  <si>
    <t>1313169</t>
  </si>
  <si>
    <t>WOODRIDGE</t>
  </si>
  <si>
    <t>Changes to material prices.</t>
  </si>
  <si>
    <t>200’ of 6” STL in potential conflict with proposed drainage improvements and grading.
Lemont Road between 83rd St and Woodmere Dr.</t>
  </si>
  <si>
    <t>168777007.D.103</t>
  </si>
  <si>
    <t>N16541</t>
  </si>
  <si>
    <t>1213072</t>
  </si>
  <si>
    <t>Cost increase due to revision which expanded/revised scope.</t>
  </si>
  <si>
    <t>1000' of 2"/4"/6" main in potential conflict with proposed roadway resurfacing, drainage improvements and grade cuts.
IL 39/ US 20/ Harrison Ave</t>
  </si>
  <si>
    <t>Cherry Valley</t>
  </si>
  <si>
    <t>168777007.D.042</t>
  </si>
  <si>
    <t>RS1138</t>
  </si>
  <si>
    <t>1010016</t>
  </si>
  <si>
    <t>OAK BROOK</t>
  </si>
  <si>
    <t>Cost estimate increased due to revision comments from the Village. Added cost for material and landscape plan.</t>
  </si>
  <si>
    <t>Replace Existing Facility #1101268.</t>
  </si>
  <si>
    <t>34th &amp; Coolidge St</t>
  </si>
  <si>
    <t>Oak Brook</t>
  </si>
  <si>
    <t>168777007.A.402</t>
  </si>
  <si>
    <t>RS, 1-1/4" diameter included</t>
  </si>
  <si>
    <t>N16844</t>
  </si>
  <si>
    <t>1212901</t>
  </si>
  <si>
    <t xml:space="preserve">Con Ops increased pavement restoration, trucking, and traffic control time increased due to congested ROW. </t>
  </si>
  <si>
    <t xml:space="preserve">4,500’ of 2”, 4” and 6” STL/PE in conflict with proposed drainage and grading improvements.
Griswold Ave from W 9th St to West Le Ferve Rd; Woodburn Ave from W 11th St to West Le Ferve Rd
KH to retire PV #3715055 on WO drawings </t>
  </si>
  <si>
    <t>City of Sterling</t>
  </si>
  <si>
    <t>Sterling</t>
  </si>
  <si>
    <t>168777007.D.077</t>
  </si>
  <si>
    <t>SC18611</t>
  </si>
  <si>
    <t>1413358/1413964</t>
  </si>
  <si>
    <t>NORMAL</t>
  </si>
  <si>
    <t>Cost estimate increased due to revision which was to split the project into two separate work orders.</t>
  </si>
  <si>
    <t>2,200' of 8" STL MOP and 5600' of 6" STL in conflict with proposed storm sewer improvements, roadway widening, and subgrade improvements.</t>
  </si>
  <si>
    <t>Town of Normal</t>
  </si>
  <si>
    <t>McLean</t>
  </si>
  <si>
    <t xml:space="preserve">Normal </t>
  </si>
  <si>
    <t>Close to Norfolk S RR</t>
  </si>
  <si>
    <t>168777007.M.005</t>
  </si>
  <si>
    <t>Downrate</t>
  </si>
  <si>
    <t>SC16942</t>
  </si>
  <si>
    <t>1413286</t>
  </si>
  <si>
    <t xml:space="preserve">Engineering updated contingency amount in Investment Tab, and added quanitiy of trench backfill in the Retirement tab. </t>
  </si>
  <si>
    <t>2500' of 6" main in conflict with proposed storm sewer and roadway widening.
Theodore St and Drauden Rd</t>
  </si>
  <si>
    <t xml:space="preserve">City of Joliet </t>
  </si>
  <si>
    <t>168777007.D.014</t>
  </si>
  <si>
    <t>RS1050</t>
  </si>
  <si>
    <t>1011562</t>
  </si>
  <si>
    <t>HEBRON</t>
  </si>
  <si>
    <t>Cost estimate increased based on PCTS updated costs and contract value (2023 to 2024)</t>
  </si>
  <si>
    <t>Retire Existing TW Facility #3201509.
Facility replaced with vault under RS1008.</t>
  </si>
  <si>
    <t xml:space="preserve">Price Rd &amp; St Albans St </t>
  </si>
  <si>
    <t>Project folder DNE</t>
  </si>
  <si>
    <t>1011561</t>
  </si>
  <si>
    <t>8.5% + $7,750/RS</t>
  </si>
  <si>
    <t>Y, CONOPS</t>
  </si>
  <si>
    <t>Cost estimate increased based on PCTS updated costs. Contract Estimate changed from 2023 to 2025 rates.</t>
  </si>
  <si>
    <t>Repalce Existing TW Facility #3201092 with vault and install ~100' of 4" STL, ~430' of 4" PE, and ~700' of 2" PE.</t>
  </si>
  <si>
    <t>Main St - IDOT</t>
  </si>
  <si>
    <t>BS348</t>
  </si>
  <si>
    <t>1212248</t>
  </si>
  <si>
    <t>LONG LAKE</t>
  </si>
  <si>
    <t>Traffic control, pavement restoration, and crew time increased due to install along LCDOT road.</t>
  </si>
  <si>
    <t>Install ~250' of 6" PE (60#) main as shown in attached Synergi plots.</t>
  </si>
  <si>
    <t>W Rollins Rd &amp; N Wilson RD (County)</t>
  </si>
  <si>
    <t>Lake</t>
  </si>
  <si>
    <t>Near Manitou Creek but not in scope</t>
  </si>
  <si>
    <t>SC23492</t>
  </si>
  <si>
    <t>1313116</t>
  </si>
  <si>
    <t>1000' of 2" gas mains in conflict with proposed redevelopment (under proposed buildings).
IL-59 &amp; Aurora Ave.</t>
  </si>
  <si>
    <t>Private Developer</t>
  </si>
  <si>
    <t>168777007.D.104</t>
  </si>
  <si>
    <t>NBA</t>
  </si>
  <si>
    <t>NBA10013088</t>
  </si>
  <si>
    <t>1513479</t>
  </si>
  <si>
    <t>Minor PCTS Updates - no changes/edits have been made since last saved by KH.</t>
  </si>
  <si>
    <t>Install ~1100' of 4" PE (60#) main &amp; ~750' of 2" PE (60#) main - NBA10013088 - To be assigned to Kimley-Horn since they completed another drawing for same project/reroute</t>
  </si>
  <si>
    <t>Private Property</t>
  </si>
  <si>
    <t>168777007.J.500</t>
  </si>
  <si>
    <t>Redevelopment</t>
  </si>
  <si>
    <t>N13624</t>
  </si>
  <si>
    <t>1213557</t>
  </si>
  <si>
    <t>It appears that Nicor revised the contingency % to include overheads in the calculation.</t>
  </si>
  <si>
    <t>6” main in conflict with excavation for proposed culvert replacement. 
Baldwin Road</t>
  </si>
  <si>
    <t>Palatine</t>
  </si>
  <si>
    <t>168777007.D.092</t>
  </si>
  <si>
    <t>SC18498</t>
  </si>
  <si>
    <t>1411410</t>
  </si>
  <si>
    <t>Y (12/05)</t>
  </si>
  <si>
    <t>Engineering increased hydrovac by 25 hours, and updated Contract Estimate contract. Engineering included retirement costs for pavement openings, and incresed trucking and dumping.</t>
  </si>
  <si>
    <t>~3000’ of 4” STL and 500 2” STL of Non-Reimbursable main in conflict with proposed grading and drainage improvements.
CH-26 (W River Rd) – Coal City Road to IL Rte 53</t>
  </si>
  <si>
    <t>Will County</t>
  </si>
  <si>
    <t>City of Wilmington</t>
  </si>
  <si>
    <t>168777000.D.035</t>
  </si>
  <si>
    <t>SC18498-1</t>
  </si>
  <si>
    <t>1411725</t>
  </si>
  <si>
    <t>Engineering increased hydrovac by 50 hours, and updated Contract Estimate contract. Engineering included retirement costs for pavement openings, and incresed trucking and dumping.</t>
  </si>
  <si>
    <t>~2,500’ of 4” STL and 2” STL of Reimbursable main in conflict with proposed grading and drainage improvements.
CH-26 (W River Rd) – Coal City Road to IL Rte 53</t>
  </si>
  <si>
    <t>M15844</t>
  </si>
  <si>
    <t>1213917</t>
  </si>
  <si>
    <t>JUSTICE</t>
  </si>
  <si>
    <t>Daniel Strycharz</t>
  </si>
  <si>
    <t xml:space="preserve">Cost estimate increase was due to increased traffic conctrol, pavement restoration, and crew time. </t>
  </si>
  <si>
    <t>~425' of 2" STL in conflict with proposed grade cuts, sanitary, and watermain improvements.
Location: Marion Dr &amp; 82nd Ave</t>
  </si>
  <si>
    <t>Village of Justice</t>
  </si>
  <si>
    <t>Justice</t>
  </si>
  <si>
    <t>168777007.D.153</t>
  </si>
  <si>
    <t>CRA-RS</t>
  </si>
  <si>
    <t>RS668</t>
  </si>
  <si>
    <t>BURNHAM</t>
  </si>
  <si>
    <t>Jessie Miles</t>
  </si>
  <si>
    <t>Retire &amp; Replace Vault #4101016
STATE/SAGINAW, Burnham 
Dual 5 x 5 Vault, Inlet/Outlet MAOP = 155/28</t>
  </si>
  <si>
    <t>CRA-FV-STRAINER</t>
  </si>
  <si>
    <t>Crystal Lake</t>
  </si>
  <si>
    <t>N18296</t>
  </si>
  <si>
    <t>1213596</t>
  </si>
  <si>
    <t>PROSPECT HEIGHTS</t>
  </si>
  <si>
    <t>PCTS Updates</t>
  </si>
  <si>
    <t>~375’ of 2, 4”, 6” STL &amp; 4” &amp; 6” MOP in conflict with proposed grade cuts and proposed storm sewer.</t>
  </si>
  <si>
    <t>City of Prospect Heights</t>
  </si>
  <si>
    <t>168777007.M.008</t>
  </si>
  <si>
    <t>N18054-1</t>
  </si>
  <si>
    <t>1213715</t>
  </si>
  <si>
    <t>Engineering updated Labor Estimate from 2023 Utility Inspector to 2024 Utility Inspector in both Investment and Retirement WOs. Contract type was updated to NPL 2025, which increased the cost of most contract estimate items. These options were not available at the time project was released.</t>
  </si>
  <si>
    <t>100’ of 2” STL and long side services in potential conflict with proposed roadway reconstruction. 
Goldenrod Lane &amp; Sumac Trail</t>
  </si>
  <si>
    <t>168777007.D.143</t>
  </si>
  <si>
    <t>BS300</t>
  </si>
  <si>
    <t>1212282</t>
  </si>
  <si>
    <t>ANTIOCH</t>
  </si>
  <si>
    <t>Cost estimate increased due to additional crew time, traffic control, and restoration cost for install along congested roadway.</t>
  </si>
  <si>
    <t>Install ~550' of 4" PE (25#) and retire ~400' of existing 2" W. This project address only the bare steel main in the project scope.</t>
  </si>
  <si>
    <t>Lake St &amp; Orchard St</t>
  </si>
  <si>
    <t>Antioch</t>
  </si>
  <si>
    <t>N16431</t>
  </si>
  <si>
    <t>1213707</t>
  </si>
  <si>
    <t>ROCK FALLS</t>
  </si>
  <si>
    <t>My recording shows the same retirement cost that is currently in PCTS. Not sure why it decreased by $720.</t>
  </si>
  <si>
    <t>~1,750’ of 2”, &amp; 4” STL, 2” PE and 12” STL MOP in conflict with proposed storm sewer, sanitary sewer, and roadway reconstruction.
Avenue A between 3rd St and E 10th St</t>
  </si>
  <si>
    <t>City of Rock Falls</t>
  </si>
  <si>
    <t>Whiteside</t>
  </si>
  <si>
    <t>168777007.M.009</t>
  </si>
  <si>
    <t>SC17174</t>
  </si>
  <si>
    <t>335657</t>
  </si>
  <si>
    <t>~500' of 2" steel in conflict w/proposed site development; Ogden/Parkside</t>
  </si>
  <si>
    <t>Private development.</t>
  </si>
  <si>
    <t>Retirement only</t>
  </si>
  <si>
    <t>SC18133</t>
  </si>
  <si>
    <t>135696</t>
  </si>
  <si>
    <t>DOWNERS GROVE</t>
  </si>
  <si>
    <t>Region Review due 10/5; held for ENV</t>
  </si>
  <si>
    <t>Received delineation from environmental EOD 10/12. KH to complete final review for AFC 10/14. KH to send out for AFC 10/15</t>
  </si>
  <si>
    <t>SC18463</t>
  </si>
  <si>
    <t>140852</t>
  </si>
  <si>
    <t>LOCKPORT</t>
  </si>
  <si>
    <t>400' of 2" main in potential conflict with proposed storm sewer &amp; watermain; Location: 135th Ave (cul de sac)</t>
  </si>
  <si>
    <t>Relocate facilities or negotiate out of; Village</t>
  </si>
  <si>
    <t>Homer</t>
  </si>
  <si>
    <t>140830</t>
  </si>
  <si>
    <t>BLOOMINGTON</t>
  </si>
  <si>
    <t>4" STL &amp; 8" MOP in conflict w/drainage and roadway improvements; Additional safety precaution to be taken around vault at Hamilton Road &amp; Bunn Street</t>
  </si>
  <si>
    <t xml:space="preserve">Relocate facilities; City of Bloomington (IDOT Local Roads); </t>
  </si>
  <si>
    <t>PRIM</t>
  </si>
  <si>
    <t>135711</t>
  </si>
  <si>
    <t>ST CHARLES</t>
  </si>
  <si>
    <t>Install ~1000' of 6" PE main and ~1500' of 4" PE main (60#), as shown on attached Synergi plots.</t>
  </si>
  <si>
    <t>Installation to occur on county roads.</t>
  </si>
  <si>
    <t>Kane</t>
  </si>
  <si>
    <t>St Charles</t>
  </si>
  <si>
    <t>RS696</t>
  </si>
  <si>
    <t>101162</t>
  </si>
  <si>
    <t>CAROL STREAM</t>
  </si>
  <si>
    <t>Josh Bring</t>
  </si>
  <si>
    <t>Add strainer to: Vault #1101227
NORTH &amp; GARY, Carol Stream
Dual 5 x 5 Vault, Inlet/Outlet MAOP = 155/60</t>
  </si>
  <si>
    <t>CRA-STRAINER</t>
  </si>
  <si>
    <t>RS688</t>
  </si>
  <si>
    <t>102133</t>
  </si>
  <si>
    <t>CONOPS</t>
  </si>
  <si>
    <t>Add strainer to: Vault #3201130
(D.E.) RTE. 31 &amp; EDGEWOOD RD., Crystal Lake
Dual 5 x 5 Vault, Inlet/Outlet MAOP = 165/60</t>
  </si>
  <si>
    <t>CRA-STRAINER
Move forward with temp tin whistle. Nicor approval on 2021-0305 (J. Bring)</t>
  </si>
  <si>
    <t>RS665</t>
  </si>
  <si>
    <t>103073</t>
  </si>
  <si>
    <t>RIVERDALE</t>
  </si>
  <si>
    <t>Add fire valve and strainer to: Vault #4101155
134TH/HALSTED, Riverdale
Dual 5 x 5 Vault, Inlet/Outlet MAOP = 155/60</t>
  </si>
  <si>
    <t>CRA-FV-STRAINER
Nicor approved moving forward with option 2 on 2021-0305 (J. Bring). No fence removal on drawings. Add note that for contractor expense.</t>
  </si>
  <si>
    <t>Riverdale</t>
  </si>
  <si>
    <t>RS662</t>
  </si>
  <si>
    <t>102131</t>
  </si>
  <si>
    <t>Retire ~5,800 feet of 6" STL &amp; 3 TW; downrate ~13,000 of 10" MOP; install ~3,000' of 2", 4" &amp; 6" PE. Work to be coordinated with N13336.</t>
  </si>
  <si>
    <t>TW# 3201324 is a 2021 V&amp;TW Replacement Program project due to its high DIMP Ranking Score of 47.</t>
  </si>
  <si>
    <t>Barrington</t>
  </si>
  <si>
    <t>168777000.1.717</t>
  </si>
  <si>
    <t>RS693</t>
  </si>
  <si>
    <t>109165</t>
  </si>
  <si>
    <t>Add strainer to: Vault #2101015,
BUSSE/ROWE, Park Ridge
Dual 5 x 5 Vault, Inlet/Outlet MAOP = 60/25</t>
  </si>
  <si>
    <t>RS812</t>
  </si>
  <si>
    <t>102136</t>
  </si>
  <si>
    <t>Vault #3101154
RAND RD. &amp; WILLIAMS DR., Palatine
Atlas Page: N32121, Dual 5 x 5 Vault
Inlet/Outlet MAOP = 150/60 (4" in / 6" out)</t>
  </si>
  <si>
    <t>M12323</t>
  </si>
  <si>
    <t>120598</t>
  </si>
  <si>
    <t>ROSEMONT</t>
  </si>
  <si>
    <t>~2000' of 4" &amp; 2" gas main conflict with proposed development.
Location: Touhy Ave and Lyndon Ave</t>
  </si>
  <si>
    <t>Relocate facilities; Private Developer</t>
  </si>
  <si>
    <t>Rosemont</t>
  </si>
  <si>
    <t>120591</t>
  </si>
  <si>
    <t>DIMP MR</t>
  </si>
  <si>
    <t>MR1521</t>
  </si>
  <si>
    <t>140853</t>
  </si>
  <si>
    <t>Exposed 8" MOP Main Due to Washout In Farm Field; 103’ S/ Hamilton St, 500’ E/ RR; 40.451101, -88.970009</t>
  </si>
  <si>
    <t>Project adjacent to limits of SC17551</t>
  </si>
  <si>
    <t>Bloomington</t>
  </si>
  <si>
    <t>NSRR</t>
  </si>
  <si>
    <t>SC16094</t>
  </si>
  <si>
    <t>1310330</t>
  </si>
  <si>
    <t>YORKVILLE</t>
  </si>
  <si>
    <t>Scope: 300'of 6" main potential conflict with proposed ditch cut; IL 126 and Ashley Rd</t>
  </si>
  <si>
    <t>Relocate facilities or negotiate out of; County</t>
  </si>
  <si>
    <t>Yorkville</t>
  </si>
  <si>
    <t>N14639</t>
  </si>
  <si>
    <t>1210326</t>
  </si>
  <si>
    <t>50' of 2" main potential conflict with one (1) proposed culvert replacement.</t>
  </si>
  <si>
    <t>Relocate facilities; Lake County</t>
  </si>
  <si>
    <t>RS846</t>
  </si>
  <si>
    <t>102154</t>
  </si>
  <si>
    <t>LEE CENTER</t>
  </si>
  <si>
    <t>Replace existing regulation facility 3701052 with new GCS 471.4 regulation facility in close proximity to existing location.  Crop dryer load has the potential to create low inlet pressures (90# minimum assumed for sizing sheet).</t>
  </si>
  <si>
    <t>TW Venting
Sys Ops: Jason Meyer; Jet Thomas
Con Ops: Tony Cabezas</t>
  </si>
  <si>
    <t>Lee</t>
  </si>
  <si>
    <t>BS550-1</t>
  </si>
  <si>
    <t>1210760</t>
  </si>
  <si>
    <t>Install ~1200' of 6" to replace existing vintage/bare steel main.</t>
  </si>
  <si>
    <t>City, RR</t>
  </si>
  <si>
    <t>Elgin</t>
  </si>
  <si>
    <t>M10905</t>
  </si>
  <si>
    <t>120585</t>
  </si>
  <si>
    <t>Scope: 1000' of 2"/4"/8" main conflict with proposed 8"/24" storm sewer; Location: 88th St/Cork Ave at I-294</t>
  </si>
  <si>
    <t>Cook County</t>
  </si>
  <si>
    <t>1 1/4" diameter included</t>
  </si>
  <si>
    <t>BS194D-1</t>
  </si>
  <si>
    <t>1210460</t>
  </si>
  <si>
    <t>Install ~1200' of 6" STL and 600' of 2" PE main (60#)</t>
  </si>
  <si>
    <t>City, UPRR, CN
Proposed private easement</t>
  </si>
  <si>
    <t>Chicago Heights</t>
  </si>
  <si>
    <t>CNR, UPRR</t>
  </si>
  <si>
    <t>MR1835</t>
  </si>
  <si>
    <t>3210899</t>
  </si>
  <si>
    <t>Retire - Partition Valve: 2233415</t>
  </si>
  <si>
    <t>North &amp; 5th - State (valve in pavement)
CN/WCL RR</t>
  </si>
  <si>
    <t>WCLR</t>
  </si>
  <si>
    <t>1011072</t>
  </si>
  <si>
    <t>Replace Facility #3401356 due to non-compliance with a TW; CRA-FV</t>
  </si>
  <si>
    <t>INDIAN RD &amp; PRESERVE RD
TW Inlet/Outlet MAOP = 225/60</t>
  </si>
  <si>
    <t>Shabbona</t>
  </si>
  <si>
    <t>M13353</t>
  </si>
  <si>
    <t>1211286</t>
  </si>
  <si>
    <t>WESTCHESTER</t>
  </si>
  <si>
    <t>1100’ of 2” STL &amp; 2”, 4” PE in conflict with proposed grade cuts and drainage improvements. 
Location: Roosevelt Rd and Norfolk Ave</t>
  </si>
  <si>
    <t>Village of Westchester</t>
  </si>
  <si>
    <t>Westchester</t>
  </si>
  <si>
    <t>RS988</t>
  </si>
  <si>
    <t>1010960</t>
  </si>
  <si>
    <t>HAWTHORN WOODS</t>
  </si>
  <si>
    <t>Replace Facility #3301398 with 5x5 vault due to heavy corrosion
OUT CRA-STRAINER (no strainer)</t>
  </si>
  <si>
    <t>IN: 230# (18" &amp; 4") (operating 155#); OUT 60# (4") - Flows west; appears to be backfed: Y
18" &amp; 4" inlet main may be rectified - to be confirmed
N Old McHenry Rd (CH V77) &amp; N Fairfield Rd (CH V61)
N Midlothian Rd (IDOT)
Approximate OOS window TBD.</t>
  </si>
  <si>
    <t>1011104</t>
  </si>
  <si>
    <t>IRWIN</t>
  </si>
  <si>
    <t>Relocate FV on (Facility #4301420);
CRA-FV</t>
  </si>
  <si>
    <t>W 2000S RD / VANSIDING RD
FV ~21' upstream per Globe and valve located 5 feet east of transmission line.
Inlet/Outlet MAOP = 350/60</t>
  </si>
  <si>
    <t>Limestone</t>
  </si>
  <si>
    <t>2016</t>
  </si>
  <si>
    <t>102083</t>
  </si>
  <si>
    <t>Install regulating facility at Long Grove Road &amp; Rand Road in Deer Park, IL. Previous HBK job that Nicor Engineering has requested a revision on</t>
  </si>
  <si>
    <t>IDOT (Rand Road)
LCDOT (Long Grove Road)</t>
  </si>
  <si>
    <t>168777000.1.758</t>
  </si>
  <si>
    <t>RS888</t>
  </si>
  <si>
    <t>1010504</t>
  </si>
  <si>
    <t>NORMANDY</t>
  </si>
  <si>
    <t>Replace existing regulation facility 3701073 with GCS 471.2 (1st cut) and GCS 471.4 (2nd cut) tinwhistles in close proximity to existing location. Large crop dryer confirmed to be served from MOP, and is not downstream of the crop dryer.</t>
  </si>
  <si>
    <t>M13214</t>
  </si>
  <si>
    <t>1211340</t>
  </si>
  <si>
    <t>FOREST PARK</t>
  </si>
  <si>
    <t>100’ of 2" in conflict with proposed roadway improvements;
Marengo Ave &amp; 15th St</t>
  </si>
  <si>
    <t>Village of Forest Park</t>
  </si>
  <si>
    <t>Forest Park</t>
  </si>
  <si>
    <t>RS995</t>
  </si>
  <si>
    <t>1011105</t>
  </si>
  <si>
    <t>HUDSON</t>
  </si>
  <si>
    <t>Replace Facility # 4401069 due to non-compliance. 
Install approx 250' of 2" STL</t>
  </si>
  <si>
    <t>Inlet/Outlet MAOP = 400#/60#
2550 North Rd and 1625 East Rd - Township (Hudson)</t>
  </si>
  <si>
    <t>Hudson</t>
  </si>
  <si>
    <t>RS999</t>
  </si>
  <si>
    <t>1011070</t>
  </si>
  <si>
    <t>HOOPPOLE</t>
  </si>
  <si>
    <t>TW Replacement
CRA-FV (Facility #3701050)</t>
  </si>
  <si>
    <t>Inlet/Outlet MAOP = 250/53;
FIRST AVE (City of Hooppole)/ SMITH ST (City of Hooppole)</t>
  </si>
  <si>
    <t>1011090</t>
  </si>
  <si>
    <t>Y,CONOPS</t>
  </si>
  <si>
    <t xml:space="preserve">Replace Existing TW Facility #4201576
CRA-FV </t>
  </si>
  <si>
    <t>2023 construction due to land rights from US army
IL 53 (IDOT)</t>
  </si>
  <si>
    <t>RS1033</t>
  </si>
  <si>
    <t>101200</t>
  </si>
  <si>
    <t>WEDRON</t>
  </si>
  <si>
    <t>Add FV to Existing TW Facility #1501463
CRA-FV</t>
  </si>
  <si>
    <t>Coordinate with WO #101200
Inlet/Outlet MAOP = 230/60</t>
  </si>
  <si>
    <t>N14110</t>
  </si>
  <si>
    <t>1211485</t>
  </si>
  <si>
    <t>HUNTLEY</t>
  </si>
  <si>
    <t>500’ of 4” PE and STL  in conflict with proposed stormwater and water main;
Mill St from IL-47 to Martin St, Martin Dr to Mill ST</t>
  </si>
  <si>
    <t>Village of Huntley</t>
  </si>
  <si>
    <t xml:space="preserve">Village of Huntley </t>
  </si>
  <si>
    <t>M13252</t>
  </si>
  <si>
    <t>1211531</t>
  </si>
  <si>
    <t>500' of 2" in potential conflict with drainage improvements. 
VW71 overlap western portion
Greenwood Rd and Linneman St</t>
  </si>
  <si>
    <t>Village of Glenview</t>
  </si>
  <si>
    <t>Glenview</t>
  </si>
  <si>
    <t>RS923</t>
  </si>
  <si>
    <t>1010732</t>
  </si>
  <si>
    <t>Replace Facility #1101461
Out CRA-STRAINER</t>
  </si>
  <si>
    <t>Naperville Rd - Municipal
Project Located in Naperville
Approximate OOS window 5/15-10/31.</t>
  </si>
  <si>
    <t>RS939</t>
  </si>
  <si>
    <t>1010971</t>
  </si>
  <si>
    <t>Replace Facility #3701093
OUT CRA-STRAINER-F</t>
  </si>
  <si>
    <t>IL-2 (IDOT W/ Emerson Rd, Township E/ Emerson RD)
Emerson Rd (Whiteside County Rd)</t>
  </si>
  <si>
    <t>RS972</t>
  </si>
  <si>
    <t>1011071</t>
  </si>
  <si>
    <t>LEE</t>
  </si>
  <si>
    <t>Replace Facility #3401265
CRA-FV</t>
  </si>
  <si>
    <t>LEE RD / COUNTY LINE RD
Inlet/Outlet MAOP = 255/60</t>
  </si>
  <si>
    <t xml:space="preserve">Lee </t>
  </si>
  <si>
    <t>Willow Creek</t>
  </si>
  <si>
    <t>1911489</t>
  </si>
  <si>
    <t>Install 6400' of 8" STL (60#) gas main to replace 6" gas main, east side of Weber Rd (CH 88) running east then north to Chicago Tube Dr.</t>
  </si>
  <si>
    <t>Kinder Morgan Pipelines (30", 42", &amp; 24")
Weber Rd (CH 88), Village</t>
  </si>
  <si>
    <t xml:space="preserve">Will </t>
  </si>
  <si>
    <t>Romeoville</t>
  </si>
  <si>
    <t>Kinder Morgan</t>
  </si>
  <si>
    <t>1211404</t>
  </si>
  <si>
    <t>Replace/reroute 10" main under RR.  Requesting both casing be eliminated. ICC casing commitment to be completed in 2022.  Please initiate railroad permitting during design phase.
S Old Harlem Rd and BRC rail yard.</t>
  </si>
  <si>
    <t>City, Railroad</t>
  </si>
  <si>
    <t>Bedford Park, Bridgeview</t>
  </si>
  <si>
    <t>BRC Railroad</t>
  </si>
  <si>
    <t>N13410</t>
  </si>
  <si>
    <t>1211616</t>
  </si>
  <si>
    <t>2900’ of 2” Steel and 6” Steel in conflict with proposed storm sewer and subgrade improvements.
1st Ave (IDOT) &amp; Dixon Ave</t>
  </si>
  <si>
    <t xml:space="preserve">City of Rock Falls </t>
  </si>
  <si>
    <t>RS1053</t>
  </si>
  <si>
    <t>1011565</t>
  </si>
  <si>
    <t>PEOTONE</t>
  </si>
  <si>
    <t>Remove Existing TW Facility #4301180. 
Install ~1500' of 4" PE to backfeed.</t>
  </si>
  <si>
    <t>Wilmington RD is county, S Gullview Dr is municipality, Project is located in town of Peotone.</t>
  </si>
  <si>
    <t>Peotone</t>
  </si>
  <si>
    <t>1011558</t>
  </si>
  <si>
    <t>MT PROSPECT</t>
  </si>
  <si>
    <t>Replace Existing TW Facility #3101017.</t>
  </si>
  <si>
    <t>Schoenbeck Rd &amp; Rand Rd</t>
  </si>
  <si>
    <t>Mt Prospect</t>
  </si>
  <si>
    <t>168777000.C.709</t>
  </si>
  <si>
    <t>N12219</t>
  </si>
  <si>
    <t>1211688</t>
  </si>
  <si>
    <t>City of Belvidere</t>
  </si>
  <si>
    <t>NBA10006489</t>
  </si>
  <si>
    <t>1611791</t>
  </si>
  <si>
    <t>Install 950' of 4" PE main to replace existing 2" main.
Eureka St and 2nd Ave</t>
  </si>
  <si>
    <t>Eureka St and 2nd Ave, municipal</t>
  </si>
  <si>
    <t>Genoa</t>
  </si>
  <si>
    <t>SC14346</t>
  </si>
  <si>
    <t>1311270</t>
  </si>
  <si>
    <t xml:space="preserve">1500' of 4" STL, 200 ' 12" MOP main potential conflict with ditch cut/sidewalk/retaining wall. Retire TW Facility,install 600' 2" PE and 2400' 4" PE
C.H. 02/C.H. 38  - Hobson Road/63rd Street, </t>
  </si>
  <si>
    <t>1011710</t>
  </si>
  <si>
    <t>Add STR and FV to Existing Vault #2101085
CRA-FV-STRAINER</t>
  </si>
  <si>
    <t>TECHNY/LANDWEHR</t>
  </si>
  <si>
    <t>RS1062</t>
  </si>
  <si>
    <t>1011618</t>
  </si>
  <si>
    <t>MARENGO</t>
  </si>
  <si>
    <t>Remove Existing TW Facility #3201107.
Install ~1,800' main to interconnect 60# system.</t>
  </si>
  <si>
    <t>Route 23 is IDOT and Northwest Road is township</t>
  </si>
  <si>
    <t>Marengo</t>
  </si>
  <si>
    <t>SC21303</t>
  </si>
  <si>
    <t>1411921</t>
  </si>
  <si>
    <t>1500’ of 4”/6” main in conflict with proposed drainage improvements.
Gouger Rd. &amp; Iroquois Dr</t>
  </si>
  <si>
    <t>City of Lockport</t>
  </si>
  <si>
    <t>Lockport</t>
  </si>
  <si>
    <t>SC21135</t>
  </si>
  <si>
    <t>1411657</t>
  </si>
  <si>
    <t>DIAMOND</t>
  </si>
  <si>
    <t>~1900’ of 2” PE, 2” Steel, 4” Steel, 12” Steel in conflict with proposed storm inlets, grade cuts, subgrade removal and proposed drainage ditches
Will Road &amp; Girot Lane.  2000' of 6" PL to be installed for system upgrade</t>
  </si>
  <si>
    <t>Village of Diamond</t>
  </si>
  <si>
    <t>Diamond</t>
  </si>
  <si>
    <t>1211740</t>
  </si>
  <si>
    <t>Install 600' of 8" STL main to eliminate metallic short between main and casing, 401-20-0035.</t>
  </si>
  <si>
    <t>E Joe Orr Rd &amp; West End Ave</t>
  </si>
  <si>
    <t>UP RR</t>
  </si>
  <si>
    <t>MR1940</t>
  </si>
  <si>
    <t>1211899</t>
  </si>
  <si>
    <t>Install 600' of 4" STL main to eliminate metallic short between main and casing, 101-33-0572.</t>
  </si>
  <si>
    <t>E Camp McDonald Rd &amp; S Wolf Rd</t>
  </si>
  <si>
    <t>Wheeling</t>
  </si>
  <si>
    <t>CN (WC) RR</t>
  </si>
  <si>
    <t>1011937</t>
  </si>
  <si>
    <t>Replace Existing Vault Facility #3701054.</t>
  </si>
  <si>
    <t>6th Ave W &amp; 4th St W</t>
  </si>
  <si>
    <t>Lyndon</t>
  </si>
  <si>
    <t>BS72</t>
  </si>
  <si>
    <t>1212054</t>
  </si>
  <si>
    <t>MUNDELEIN</t>
  </si>
  <si>
    <t>Install ~1,100' of 4" PE (60#) to replace existing vintage/bare steel main.</t>
  </si>
  <si>
    <t>IL Rte 60/83 &amp; McRae Lane</t>
  </si>
  <si>
    <t>Mundelein</t>
  </si>
  <si>
    <t>M13821</t>
  </si>
  <si>
    <t>1211850</t>
  </si>
  <si>
    <t>2000’ of 2”  and 1800' of 4" relocated due to shallow main and system improvements
Marion Street from Lake Street to Ontario Street</t>
  </si>
  <si>
    <t>Village of Oak Park</t>
  </si>
  <si>
    <t>RS944</t>
  </si>
  <si>
    <t xml:space="preserve">
Replace Existing Facility #3101080;
OUT CRA-STRAINER.</t>
  </si>
  <si>
    <t xml:space="preserve">Roanoke &amp; East frontage Rd </t>
  </si>
  <si>
    <t>Arlington Heights</t>
  </si>
  <si>
    <t>1212044</t>
  </si>
  <si>
    <t>Install ~290' of 8" STL (60#) and ~570' of 6" STL and ~1,350' of 12" STL (125#) to replace existing vintage/bare steel main.</t>
  </si>
  <si>
    <t>Harrison Ave,
N Kishwaukee St (IL-251)</t>
  </si>
  <si>
    <t>RR in area but not in scope</t>
  </si>
  <si>
    <t xml:space="preserve">M14134 </t>
  </si>
  <si>
    <t>1212326</t>
  </si>
  <si>
    <t>MAYWOOD</t>
  </si>
  <si>
    <t>100’ of 2” PE in conflict with proposed storm sewer improvements.
2nd Ave to 9th Ave from Van Buren St to I-290</t>
  </si>
  <si>
    <t>Village of Maywood</t>
  </si>
  <si>
    <t>Maywood</t>
  </si>
  <si>
    <t>RS1123</t>
  </si>
  <si>
    <t>1212088</t>
  </si>
  <si>
    <t>WAUCONDA</t>
  </si>
  <si>
    <t>Install ~3000' of 4" PE main to retire Existing TW Facilities #3301137 &amp; #3301824</t>
  </si>
  <si>
    <t>Gossell Rd &amp; Lake Fairfield</t>
  </si>
  <si>
    <t>Wauconda</t>
  </si>
  <si>
    <t>Fremont</t>
  </si>
  <si>
    <t>168777000.C.741</t>
  </si>
  <si>
    <t>129327</t>
  </si>
  <si>
    <t>Install 400' of 12", 100' of 8", 300' of 6", 250' of 4", and 100' of 2" main to replace bare steel main. Broken out from BS550.</t>
  </si>
  <si>
    <t>IDOT, City</t>
  </si>
  <si>
    <t>Replace Existing Vault Facility #4201268 with above grade station.
OUT CRA-STRAINER</t>
  </si>
  <si>
    <t>N Will Rd &amp; Hollyhock Ln</t>
  </si>
  <si>
    <t>Good Lake</t>
  </si>
  <si>
    <t>1-1/4" diameter included</t>
  </si>
  <si>
    <t>DONE</t>
  </si>
  <si>
    <t>Replace Existing Facility #3701047.</t>
  </si>
  <si>
    <t xml:space="preserve">Russell Ave &amp; Second St </t>
  </si>
  <si>
    <t>Geneseo</t>
  </si>
  <si>
    <t>168777000.C.724</t>
  </si>
  <si>
    <t>1211967</t>
  </si>
  <si>
    <t>2", 3" MOP main (Roughly 8500') Conflict with proposed  storm sewer, culverts and ditch cuts. 
US 20 and IL 73, Erin TWP</t>
  </si>
  <si>
    <t>Stephenson</t>
  </si>
  <si>
    <t>Stockton</t>
  </si>
  <si>
    <t>Kent</t>
  </si>
  <si>
    <t>1212132</t>
  </si>
  <si>
    <t>2", 3" MOP main (Roughly 600') Conflict with proposed  storm sewer, culverts and ditch cuts. 
US 20 and IL 73, Erin TWP</t>
  </si>
  <si>
    <t>N14741</t>
  </si>
  <si>
    <t>1212508</t>
  </si>
  <si>
    <t>300’ of 2” STL &amp; 300’ of 3” STL main in potential conflict w/ proposed sanitary sewer, watermain &amp; roadway improvements.
Main St, Mionske Dr &amp; Lake St</t>
  </si>
  <si>
    <t>Village of Lake Zurich</t>
  </si>
  <si>
    <t>RS904-1</t>
  </si>
  <si>
    <t>1012625</t>
  </si>
  <si>
    <t>SHERIDAN</t>
  </si>
  <si>
    <t>Install 2" PE, 4" PE, 4" STL (60#) services and 8" STL (10#), and 4" PE (2#) fuel gas lines for the Sheridan Correctional Center. Coordinate with WO1010582  &amp;  1012626.</t>
  </si>
  <si>
    <t>E2603 Rd - Sheridan Correctional Facility</t>
  </si>
  <si>
    <t>LaSalle</t>
  </si>
  <si>
    <t>Sheridan Correctional Center</t>
  </si>
  <si>
    <t>1010582</t>
  </si>
  <si>
    <t>Install 2" STL (300#) and dual run first stage regulator for the Sheridan Correctional Center. Coordinate wtih WO  1012625 &amp;  1012626.</t>
  </si>
  <si>
    <t>RS904-2</t>
  </si>
  <si>
    <t>1012626</t>
  </si>
  <si>
    <t>Install 38M meter set and 7M commercial meter set outside of Sheridan Correctional Facility secured area to retire existing meter #1477793 &amp; #2792781 . Coordinate with WO 1010582  &amp; WO 1012625.</t>
  </si>
  <si>
    <t>BS300-1</t>
  </si>
  <si>
    <t>1212283</t>
  </si>
  <si>
    <t>Install ~1,070' of 4" PE (25#) and ~3,000' of 2" PE (25#). This project addresses only the non-bare steel main in the project scope.</t>
  </si>
  <si>
    <t>168777007.1.004</t>
  </si>
  <si>
    <t>SC22102</t>
  </si>
  <si>
    <t>1412411</t>
  </si>
  <si>
    <t>1,300’ of 2” &amp; 6” main in conflict with proposed roadway reconstruction and storm sewer improvements. 
Madison St and Lawrence Ave</t>
  </si>
  <si>
    <t>168777007.D.037</t>
  </si>
  <si>
    <t>1212254</t>
  </si>
  <si>
    <t>Install ~1,200' of 8" STL (25#) Addresses bare steel main in BS111.</t>
  </si>
  <si>
    <t>Along Shermer Rd from Angle Ave to Walters Ave (Municipality)
Walters Ave &amp; Spruce St, and Walters Ave &amp; Church St (Municipality).
Metra RR</t>
  </si>
  <si>
    <t>Metra RR</t>
  </si>
  <si>
    <t>168777007.1.001</t>
  </si>
  <si>
    <t>N16722</t>
  </si>
  <si>
    <t>3212631</t>
  </si>
  <si>
    <t>1000' of 2" and 12" transmission line in potential conflict with proposed development.  Retirement of 2" main will be needed as existing right-of-way has been vacated by City of Rockford for plant expansion.</t>
  </si>
  <si>
    <t>Four Rivers Sanitation Authority</t>
  </si>
  <si>
    <t>168777007.D.053</t>
  </si>
  <si>
    <t>1212258</t>
  </si>
  <si>
    <t>Install  1,200' of 6" PE (25#), 200' of 4" PE (25#), 1,500' of 4" PE (60#), and 7,400' of 2" PE (60#).  This addresses NOT bare steel main in BS111.</t>
  </si>
  <si>
    <t>168777007.1.200</t>
  </si>
  <si>
    <t>N16617</t>
  </si>
  <si>
    <t>1212605</t>
  </si>
  <si>
    <t>MACHESNEY PARK</t>
  </si>
  <si>
    <t>200’ of 2”, 4” and 6” PE in potential conflict with proposed grade cuts and culverts.
Location: Perryville Rd &amp; Anjali Way</t>
  </si>
  <si>
    <t>Winnebago County</t>
  </si>
  <si>
    <t>Harlem</t>
  </si>
  <si>
    <t>ComEd</t>
  </si>
  <si>
    <t>168777007.D.051</t>
  </si>
  <si>
    <t>MR1899</t>
  </si>
  <si>
    <t>1211570</t>
  </si>
  <si>
    <t>FRANKLIN PARK</t>
  </si>
  <si>
    <t>Kristi Sparbanie</t>
  </si>
  <si>
    <t xml:space="preserve">Replace ~1,000' of 20" STL (230#)  to eliminate shorted casing.
201-15-0371-23. </t>
  </si>
  <si>
    <t>Wolf Rd (IDOT) &amp; I-294 (ITSHA)</t>
  </si>
  <si>
    <t>Franklin Park</t>
  </si>
  <si>
    <t>Tollway</t>
  </si>
  <si>
    <t>168777000.1.340</t>
  </si>
  <si>
    <t>20" dia. Pipe being installed</t>
  </si>
  <si>
    <t>140585</t>
  </si>
  <si>
    <t>FARMER CITY</t>
  </si>
  <si>
    <t>Replace ~1,925' of 8" (300#) due to exposed main;</t>
  </si>
  <si>
    <t>E3200 N Rd &amp; N1000 E Rd</t>
  </si>
  <si>
    <t>Blue Ridge</t>
  </si>
  <si>
    <t>168777000.1.346</t>
  </si>
  <si>
    <t>1312367</t>
  </si>
  <si>
    <t>Stan Janusz</t>
  </si>
  <si>
    <t>Done</t>
  </si>
  <si>
    <t>Install ~2,400' of 16" STL MOP (230#) to replace existing bare steel.</t>
  </si>
  <si>
    <t>IL Rte 53 &amp; 71st Steet</t>
  </si>
  <si>
    <t>Forest Preserve, ComEd</t>
  </si>
  <si>
    <t>168777007.1.006</t>
  </si>
  <si>
    <t>1012417</t>
  </si>
  <si>
    <t>OSWEGO</t>
  </si>
  <si>
    <t>Y, ConOps</t>
  </si>
  <si>
    <t>Replace existing Facility #1301437</t>
  </si>
  <si>
    <t>RT 31 &amp; Rt 34</t>
  </si>
  <si>
    <t>168777007.A.403</t>
  </si>
  <si>
    <t>VW240/ VW241</t>
  </si>
  <si>
    <t>1212585</t>
  </si>
  <si>
    <t>SKOKIE</t>
  </si>
  <si>
    <t>Install ~1,700' of 2" PE (25#) to replace vintage plastic main. This project addresses only the vintage plastic main in the project scope.</t>
  </si>
  <si>
    <t>Arcadia St &amp; Lockwood Ave</t>
  </si>
  <si>
    <t>168777007.1.007</t>
  </si>
  <si>
    <t>RS1142</t>
  </si>
  <si>
    <t>1412418</t>
  </si>
  <si>
    <t>FRANKFORT</t>
  </si>
  <si>
    <t xml:space="preserve">	
Retire TWs 4201180 &amp; 4201317.</t>
  </si>
  <si>
    <t>S La Grange Rd &amp; Abbey Dr</t>
  </si>
  <si>
    <t>Frankfort</t>
  </si>
  <si>
    <t>168777007.A.602</t>
  </si>
  <si>
    <t>1612421</t>
  </si>
  <si>
    <t>Install 4,000' of 8" STL, 2,220' of 6" PE, and 1,130' of 4" PE to industrial park. Retire and replace vault 3501377.</t>
  </si>
  <si>
    <t>West Lane Rd (State HWY 173) &amp; I-39 (I-90)</t>
  </si>
  <si>
    <t>I-39 (I-90) (Jane Addams Mem Tollway)</t>
  </si>
  <si>
    <t>168777007.1.500</t>
  </si>
  <si>
    <t>MR1926</t>
  </si>
  <si>
    <t>1211932</t>
  </si>
  <si>
    <t>Replace 6600' of 8", 6", 4" and 2" to replace existing main with corrosion concerns</t>
  </si>
  <si>
    <t>W Higgins Rd (IDOT) &amp; W Devon Ave</t>
  </si>
  <si>
    <t>Rosemont/Desplaines/Parkridge</t>
  </si>
  <si>
    <t>Chippewa Woods Preserve</t>
  </si>
  <si>
    <t>168777000.1.356</t>
  </si>
  <si>
    <t>MR1913</t>
  </si>
  <si>
    <t>1211933</t>
  </si>
  <si>
    <t>DESPLAINES</t>
  </si>
  <si>
    <t xml:space="preserve">Replace 2500' of 8", 6", 4"  to replace existing main with corrosion concerns. </t>
  </si>
  <si>
    <t xml:space="preserve">W Devon Ave and S Des Plaines River Rd </t>
  </si>
  <si>
    <t>Rosemont/Desplaines/ParkRidge</t>
  </si>
  <si>
    <t>`</t>
  </si>
  <si>
    <t>168777000.1.357</t>
  </si>
  <si>
    <t>VW50</t>
  </si>
  <si>
    <t>1211924</t>
  </si>
  <si>
    <t>Install ~10900' of 8", 6" and 2" main (60#) to replace existing vintage steel main with corrosion concerns.
Coordinate with WO 1211933 &amp; 1211924</t>
  </si>
  <si>
    <t>N River Rd &amp; W Higgins Rd (IL-72)
Village of Rosemont, IDOT (IL-72), Tollway (I-90 &amp; off ramps), CTA</t>
  </si>
  <si>
    <t>Tollway, CTA, Cook County Forest Preserve</t>
  </si>
  <si>
    <t>168777000.1.355</t>
  </si>
  <si>
    <t>RS991</t>
  </si>
  <si>
    <t>Replace Existing Facility #3101111.
OUT CRA-STRAINER-FV.</t>
  </si>
  <si>
    <t>Hicks Rd &amp; Kirchoff Rd;
No strainer. FV not on master list. Located 24' from facility on globe.</t>
  </si>
  <si>
    <t>Schaumburg</t>
  </si>
  <si>
    <t>168777000.C.700</t>
  </si>
  <si>
    <t>SC19500</t>
  </si>
  <si>
    <t>1412737</t>
  </si>
  <si>
    <t>SHOREWOOD</t>
  </si>
  <si>
    <t>1,000’ of 2” STL &amp; PE in conflict with proposed drainage improvements, lighting improvements, grade cuts, and subgrade improvements.
Location: River Bluff Rd &amp; Seil Road</t>
  </si>
  <si>
    <t>Shorewood</t>
  </si>
  <si>
    <t xml:space="preserve">DuPage River,
Gas Transmission lines </t>
  </si>
  <si>
    <t>168777007.D.059</t>
  </si>
  <si>
    <t>RS1153</t>
  </si>
  <si>
    <t>1012769</t>
  </si>
  <si>
    <t>Run new service and move 38M out of basement @ 520 N Plainfield Rd in Joliet (St. Francis University) M#0057949.  will convert to upstream metering to reduce the meter footprint and size.</t>
  </si>
  <si>
    <t>Douglas St &amp; Plainfield Rd (US-30)
Project contained within University property.</t>
  </si>
  <si>
    <t>Private property (meterset)</t>
  </si>
  <si>
    <t>168777007.1.503</t>
  </si>
  <si>
    <t>1212584</t>
  </si>
  <si>
    <t>Install ~9,000' of 2" PE (25#), ~1,600' of 4" PE (25#), ~730' of 6" PE (25#), and ~2,500' of 8" STL (25#) to replace vintage steel main. This project addresses only the non-vintage plastic main in the project scope.</t>
  </si>
  <si>
    <t>Church St (Cook Co) &amp; Lockwood Ave</t>
  </si>
  <si>
    <t>168777007.1.304</t>
  </si>
  <si>
    <t>SC19541-1</t>
  </si>
  <si>
    <t>1212375</t>
  </si>
  <si>
    <t>1000' of 4", 6" and 8" STL in potential conflict with proposed drainage and traffic improvements
Lincoln Hwy (US-30) and Cicero Ave (IL-50)</t>
  </si>
  <si>
    <t>Matteson</t>
  </si>
  <si>
    <t>168777007.D.033</t>
  </si>
  <si>
    <t>1212705</t>
  </si>
  <si>
    <t>168777007.D.070</t>
  </si>
  <si>
    <t>RS1154</t>
  </si>
  <si>
    <t>1012770</t>
  </si>
  <si>
    <t>LEMONT</t>
  </si>
  <si>
    <t>Replace foot mounted meter due to various leaks and corrosion.  Just finished fixing 3 - grade 3 leaks for this year.  Needed to fix a graded leak last year and a grade 1 in 2019. Contact Jonathan Sopcak and Diana Mejorado, System Ops Joliet for questions.Requesting revision to an upstream meter.</t>
  </si>
  <si>
    <t xml:space="preserve">Main St &amp; Maley Rd. Restricted access area. TWIC Card is required to be on property or escorted by person with a TWIC card. System Ops Supervisor's in Joliet have TWIC Card. </t>
  </si>
  <si>
    <t>Lemont</t>
  </si>
  <si>
    <t>168777007.1.504</t>
  </si>
  <si>
    <t>23M</t>
  </si>
  <si>
    <t>1012959</t>
  </si>
  <si>
    <t>1011925</t>
  </si>
  <si>
    <t>CREST HILL</t>
  </si>
  <si>
    <t>Replace Existing Facilities #4201208 &amp; #4201188;
OUT CRA STRAINER.</t>
  </si>
  <si>
    <t>Caton Farm Rd &amp; Hacker Dr</t>
  </si>
  <si>
    <t>SC21701</t>
  </si>
  <si>
    <t>1412597</t>
  </si>
  <si>
    <t xml:space="preserve">Cost estimate was adjusted by engineering and reviewed over the last couple of months. </t>
  </si>
  <si>
    <t>1000' of 4" main in conflict with drainage improvements, and  road widening improvements.  
Cherry Hill Road &amp; Spencer Road</t>
  </si>
  <si>
    <t>168777007.D.055</t>
  </si>
  <si>
    <t xml:space="preserve">Replace Existing Facility #3201521.
Revision due to land not being able to aquire an easement. </t>
  </si>
  <si>
    <t>Rand Rd &amp; Long Grove Rd</t>
  </si>
  <si>
    <t>1412627</t>
  </si>
  <si>
    <t>~6000’ of 2” STL (300# MOP) main in potential conflict with proposed grade cuts.</t>
  </si>
  <si>
    <t>IDOT D3</t>
  </si>
  <si>
    <t>Nettle Creek</t>
  </si>
  <si>
    <t>168777007.D.049</t>
  </si>
  <si>
    <t>1212526</t>
  </si>
  <si>
    <t>~900’ of 8” STL in conflict with proposed drainage improvements, traffic signal improvements, grade cuts and subgrade removal.
Irving Park Rd (IL 19) from Grace St to Willow Rd.</t>
  </si>
  <si>
    <t>Shiller Park</t>
  </si>
  <si>
    <t>N13592-1</t>
  </si>
  <si>
    <t>1212833</t>
  </si>
  <si>
    <t>1,200’ of 8” MOP &amp; 6” PE in conflict with proposed drainage improvements.
Riverside Dr (Running Brook Farm Blvd to Johnsburg Rd)</t>
  </si>
  <si>
    <t>McHenry</t>
  </si>
  <si>
    <t>Johnsburg</t>
  </si>
  <si>
    <t>1212874</t>
  </si>
  <si>
    <t>350’ of 8” MOP in conflict with proposed drainage improvements.
Riverside Dr (Running Brook Farm Blvd to Johnsburg Rd)</t>
  </si>
  <si>
    <t>168777007.D.072</t>
  </si>
  <si>
    <t>SC20673</t>
  </si>
  <si>
    <t>1312924</t>
  </si>
  <si>
    <t>VILLA PARK</t>
  </si>
  <si>
    <t>1,000’ of 2” and 4” in conflict with proposed drainage improvements and grade cuts.
Wisconsin Ave &amp; Madison St</t>
  </si>
  <si>
    <t>Village of Villa Park</t>
  </si>
  <si>
    <t>Villa Park</t>
  </si>
  <si>
    <t>168777007.D.052</t>
  </si>
  <si>
    <t>RS1157</t>
  </si>
  <si>
    <t>1412858</t>
  </si>
  <si>
    <t>Retire TW 4201004 by tying into system fed by VLT 4201584</t>
  </si>
  <si>
    <t>Channahon (US-6) and Hollywood</t>
  </si>
  <si>
    <t>BS588</t>
  </si>
  <si>
    <t>1212413</t>
  </si>
  <si>
    <t>CICERO</t>
  </si>
  <si>
    <t>Install ~2,600' of 4" STL (60#) and ~15,000' of 12" STL (60#) to replace bare steel main.</t>
  </si>
  <si>
    <t>W 26th St &amp; W Ogden Ave, BNSF, IC, OmniTRAX</t>
  </si>
  <si>
    <t>168777007.1.303</t>
  </si>
  <si>
    <t>RS1180</t>
  </si>
  <si>
    <t>1012908</t>
  </si>
  <si>
    <t>WAYNE</t>
  </si>
  <si>
    <t>Replace VLT 1201316</t>
  </si>
  <si>
    <t>Army Trail Rd (CH-20) &amp; Dunham Rd (Ch-19)</t>
  </si>
  <si>
    <t>168777007.G.406</t>
  </si>
  <si>
    <t>RS1173</t>
  </si>
  <si>
    <t>1012913</t>
  </si>
  <si>
    <t>Replace VLT 1101235</t>
  </si>
  <si>
    <t>Chase and Maple</t>
  </si>
  <si>
    <t>168777007.G.405</t>
  </si>
  <si>
    <t>Y, Conops</t>
  </si>
  <si>
    <t>Replace existing facility #3301398.
Revision due to grade separation conflict.</t>
  </si>
  <si>
    <t>N Old McHenry Rd (CH-32) &amp; N Fairfield Rd (CH-49)</t>
  </si>
  <si>
    <t>168777000.1.764</t>
  </si>
  <si>
    <t>N15462-1</t>
  </si>
  <si>
    <t>1213001</t>
  </si>
  <si>
    <t>LAKE IN THE HILLS</t>
  </si>
  <si>
    <t>300' of 6” STL in conflict with proposed drainage improvements, grade cuts and proposed bridge installation.
Randall Rd from Acorn Ln to Ackman Rd</t>
  </si>
  <si>
    <t>Lake in the Hills/Crystal Lake</t>
  </si>
  <si>
    <t>168777007.D.082</t>
  </si>
  <si>
    <t>N15462</t>
  </si>
  <si>
    <t>1212832</t>
  </si>
  <si>
    <t>5,000’ of 4” &amp; 6” STL in conflict with proposed drainage improvements, grade cuts and lighting improvements.
Randall Rd from Acorn Ln to Ackman Rd</t>
  </si>
  <si>
    <t>N16833</t>
  </si>
  <si>
    <t>3212974</t>
  </si>
  <si>
    <t>E DUNDEE</t>
  </si>
  <si>
    <t>Retirement of ~900’ of existing 4” steel in conflict with proposed grading, water, storm, and sanitary improvements.
Dundee Rd &amp; Penny Rd</t>
  </si>
  <si>
    <t>Dundee</t>
  </si>
  <si>
    <t>168777007.D.073</t>
  </si>
  <si>
    <t>SC22316</t>
  </si>
  <si>
    <t>1313264</t>
  </si>
  <si>
    <t>HINSDALE</t>
  </si>
  <si>
    <t>Negotiated Out Of</t>
  </si>
  <si>
    <t xml:space="preserve">KH was originally notified to proceed with WO drawings, but DOT negotiated out of late in the process. Approved on 11/17 by Nicor to bill the lower of hourly rate, and DOT base rate of 10%. </t>
  </si>
  <si>
    <t>~100’ of 2” STL in conflict with proposed drainage improvements.</t>
  </si>
  <si>
    <t>Village of Hinsdale</t>
  </si>
  <si>
    <t>168777007.D.102</t>
  </si>
  <si>
    <t>NBA10011521</t>
  </si>
  <si>
    <t>1513188</t>
  </si>
  <si>
    <t>Calvin Kratovhil</t>
  </si>
  <si>
    <t>Install 1500' of 4" PE main to extend/relocate gas main for Rock Rd Business Park</t>
  </si>
  <si>
    <t>IDOT, Cook County</t>
  </si>
  <si>
    <t>E Dundee</t>
  </si>
  <si>
    <t>1212065</t>
  </si>
  <si>
    <t>500' of 2" PE, 5,700' of 4" PE, ~1,300' of 4" STL, 6,600' of 6" STL, ~1,000 of 8" STL MOP in conflict with proposed improvements.
IL RTE 173 and Greenwood Rd to N Lincoln</t>
  </si>
  <si>
    <t>Fox River, KMI,
Private Rd, Sequoit Creek,
WSOR</t>
  </si>
  <si>
    <t>168777007.D.019</t>
  </si>
  <si>
    <t>M15209</t>
  </si>
  <si>
    <t>1213300</t>
  </si>
  <si>
    <t>LINCOLNWOOD</t>
  </si>
  <si>
    <t>500’ of 4’’STL, 6’’ STL,  &amp; 12’’ STL main in conflict with proposed traffic signal improvements.</t>
  </si>
  <si>
    <t>Lincolnwood</t>
  </si>
  <si>
    <t>168777007.D.111</t>
  </si>
  <si>
    <t>1212385</t>
  </si>
  <si>
    <t>2,500’ of 2” STL, PE, and 6” STL in conflict with proposed water and drainage improvements.
US-14 from IL-59 to Valencia Dr, US-14 from L-59 to Lions Dr, US-14 &amp; Park Ave, US-14 &amp; Elm Rd</t>
  </si>
  <si>
    <t>Village of Barrington</t>
  </si>
  <si>
    <t>Villlage of Barrington</t>
  </si>
  <si>
    <t>Cuba</t>
  </si>
  <si>
    <t>CN</t>
  </si>
  <si>
    <t>168777007.D.021</t>
  </si>
  <si>
    <t>SC23351</t>
  </si>
  <si>
    <t>1413351</t>
  </si>
  <si>
    <t>550’ of 2” PE and 2” STL in potential conflict with proposed improvements.
Circle Street, Green Street, and Sweetbriar Ave</t>
  </si>
  <si>
    <t>City of Crest Hill</t>
  </si>
  <si>
    <t>168777007.D.123</t>
  </si>
  <si>
    <t xml:space="preserve">N18056 </t>
  </si>
  <si>
    <t>1213489</t>
  </si>
  <si>
    <t>BUFFALO GROVE</t>
  </si>
  <si>
    <t>~1,500’ of 4” and 2” STL in conflict with proposed stormwater drainage improvements.
Bernard Dr from Lincolnwood Terrace to Buffalo Grove Rd</t>
  </si>
  <si>
    <t>Village of Buffalo Grove</t>
  </si>
  <si>
    <t>Buffalo Grove</t>
  </si>
  <si>
    <t>168777007.D.127</t>
  </si>
  <si>
    <t>SC17680</t>
  </si>
  <si>
    <t>1313431</t>
  </si>
  <si>
    <t>200’ of 2” STL, 250’ of 4” PE, and 700’ of 6” STL potential conflict with proposed storm sewers.</t>
  </si>
  <si>
    <t>Winfield Creek</t>
  </si>
  <si>
    <t>168777007.D.113</t>
  </si>
  <si>
    <t>SC17680-1</t>
  </si>
  <si>
    <t>1313432</t>
  </si>
  <si>
    <t>1,000’ of 2” STL, 250’ of 4” PE, and 700’ of 6” STL potential conflict with proposed storm sewers.</t>
  </si>
  <si>
    <t xml:space="preserve">168777007.D.132 </t>
  </si>
  <si>
    <t>SC23548</t>
  </si>
  <si>
    <t>1313599</t>
  </si>
  <si>
    <t>150’ of 2” Steel potential conflict w/ electrical conduit.
Royce Rd and Trillium Ln</t>
  </si>
  <si>
    <t>CIty of Naperville</t>
  </si>
  <si>
    <t>168777007.D.135</t>
  </si>
  <si>
    <t>MR2107</t>
  </si>
  <si>
    <t>1313515</t>
  </si>
  <si>
    <t xml:space="preserve">There is a section of a couple block of Brainard St that should have double main.  There is Large fiber running in the southbound lane of brainard.  it is so shallow we cannot go over it, and it is over 5 ft down making it extremely difficult to go under.  We got permission to branch a service there for that reason last year.  that house is being demolished and assuming a new one will be built I would need main to be ran from 7th ave north to Ogden.  essentially there is a wall in the middle of the road of fiber feeding a hospital.  we cannot hit it, go over it, and would destroy the brand new road going under it with shoring.  </t>
  </si>
  <si>
    <t>Ogden Ave (US-34) &amp; Brainard St</t>
  </si>
  <si>
    <t>168777007.J.001</t>
  </si>
  <si>
    <t>BS550-2</t>
  </si>
  <si>
    <t>1212279</t>
  </si>
  <si>
    <t>Install ~3200' of 12", 2900' of 8", 700' of 6", 600' of 4" and 900' of 2" main (60#), to replace existing vintage/bare steel main.</t>
  </si>
  <si>
    <t>IDOT, City, ComEd, Railroad (Metra)</t>
  </si>
  <si>
    <t>168777007.1.301</t>
  </si>
  <si>
    <t>Multiple RR crossings</t>
  </si>
  <si>
    <t>N16379</t>
  </si>
  <si>
    <t>1213525</t>
  </si>
  <si>
    <t>CHICAGO</t>
  </si>
  <si>
    <t>400' of 4" PE in conflict with proposed tollway work. 
York Rd - Within the scope of KH TIMP work.</t>
  </si>
  <si>
    <t>IL State Toll Highway Authority (ISTHA)</t>
  </si>
  <si>
    <t>Cook/
DuPage</t>
  </si>
  <si>
    <t>Bensenville/
Chicago/Elk Grove</t>
  </si>
  <si>
    <t>Creeks, Candian National in close proximity</t>
  </si>
  <si>
    <t>168777007.D.129</t>
  </si>
  <si>
    <t>SC23728</t>
  </si>
  <si>
    <t>1213487</t>
  </si>
  <si>
    <t>Dan Strycharz</t>
  </si>
  <si>
    <t>1,000' of 2", 4", and 6" STL in conflict with proposed drainage improvements.
LaSalle St, Anita Dr, Columbus St, Fremont St, Post St, Jones St, Pearl St, Congress St, and Green St</t>
  </si>
  <si>
    <t>Railroad (IR LLC)</t>
  </si>
  <si>
    <t>168777007.D.125</t>
  </si>
  <si>
    <t xml:space="preserve">M13270 </t>
  </si>
  <si>
    <t>1213483</t>
  </si>
  <si>
    <t>WESTERN SPRINGS</t>
  </si>
  <si>
    <t>~200’ of 2” STL in conflict with proposed drainage improvements.</t>
  </si>
  <si>
    <t>Village of Western Springs</t>
  </si>
  <si>
    <t>Western Springs</t>
  </si>
  <si>
    <t>Lyons</t>
  </si>
  <si>
    <t>168777007.D.128</t>
  </si>
  <si>
    <t>N16542</t>
  </si>
  <si>
    <t>1213673</t>
  </si>
  <si>
    <t>700’ of 6” STL in conflict with proposed drainage improvements and grade cuts.
Golf Rd (IL-58) &amp; Barrington Rd</t>
  </si>
  <si>
    <t>168777007.D.136</t>
  </si>
  <si>
    <t>IDOT intersection</t>
  </si>
  <si>
    <t>N18268</t>
  </si>
  <si>
    <t>1213670</t>
  </si>
  <si>
    <t>~400’ of 6” STL and ~400’ of 12” STL 250# MOP main in conflict with proposed roadway improvements and traffic signal modernization.</t>
  </si>
  <si>
    <t>168777007.D.138</t>
  </si>
  <si>
    <t>SC21051</t>
  </si>
  <si>
    <t>1213617</t>
  </si>
  <si>
    <t>OLYMPIA FIELDS</t>
  </si>
  <si>
    <t>~3,000‘ of 2”, 4” STL and 4” PE in conflict with proposed grade cuts.</t>
  </si>
  <si>
    <t>Village of Olympia Fields</t>
  </si>
  <si>
    <t>Olympia Fields</t>
  </si>
  <si>
    <t>168777007.M.007</t>
  </si>
  <si>
    <t>RS1201</t>
  </si>
  <si>
    <t>1013481</t>
  </si>
  <si>
    <t>WILLOW SPRINGS</t>
  </si>
  <si>
    <t xml:space="preserve">Replace Vault #2201196.  </t>
  </si>
  <si>
    <t>Heavy corrosion and pitting on pipes inside both vault its location in a storm drainage ditch. 
Prospect Ave &amp; S Nolton Ave</t>
  </si>
  <si>
    <t xml:space="preserve">Cook </t>
  </si>
  <si>
    <t>Willow Springs</t>
  </si>
  <si>
    <t>168777007.G.409</t>
  </si>
  <si>
    <t>RS989</t>
  </si>
  <si>
    <t>1010985</t>
  </si>
  <si>
    <t xml:space="preserve">
Replace Existing Vault Facility #2201197.</t>
  </si>
  <si>
    <t>ComEd Property, restricted access</t>
  </si>
  <si>
    <t xml:space="preserve">168777007.G.407 
168777000.1.765 </t>
  </si>
  <si>
    <t>Y, 437</t>
  </si>
  <si>
    <t>RS, 1-1/4" diameter included, Regulating Facility</t>
  </si>
  <si>
    <t>SC18611-1</t>
  </si>
  <si>
    <t>1413964</t>
  </si>
  <si>
    <t>N15193</t>
  </si>
  <si>
    <t>1213529</t>
  </si>
  <si>
    <t>STREAMWOOD</t>
  </si>
  <si>
    <t xml:space="preserve">4,000' of 2" STL, 2" PE, and 8" STL in conflict with proposed drainage improvements and grade cuts. </t>
  </si>
  <si>
    <t>Village of Streamwood</t>
  </si>
  <si>
    <t>Streamwood</t>
  </si>
  <si>
    <t>168777007.D.117</t>
  </si>
  <si>
    <t>MR1C15323_C15324</t>
  </si>
  <si>
    <t>1213263</t>
  </si>
  <si>
    <t>Replace approx. 1,300' of 8" (25#) and 25,800' of 2" (25#) with 4,600' of 4" (60#), 22,500 of 2" (60#) and 600' of 2" (25#) for AP C15323 &amp; C15324 (RMR1 rank 32 and 14) as shown in attached Synergi plots.</t>
  </si>
  <si>
    <t>IDOT, RR, Municipal</t>
  </si>
  <si>
    <t>Northlake, Melrose Park</t>
  </si>
  <si>
    <t>CLCY RR</t>
  </si>
  <si>
    <t>168777007.J.300</t>
  </si>
  <si>
    <t>SC23448</t>
  </si>
  <si>
    <t>1413787</t>
  </si>
  <si>
    <t>~500' OF 2" STL in potential conflict with proposed storm sewer improvements.</t>
  </si>
  <si>
    <t>Village of Petone</t>
  </si>
  <si>
    <t>168777007.G.800</t>
  </si>
  <si>
    <t>SC24208</t>
  </si>
  <si>
    <t>1413807</t>
  </si>
  <si>
    <t>120' of 4" STL, 125' of 2" STL in potential conflict with proposed drainage improvements and grade cuts.</t>
  </si>
  <si>
    <t>168777007.M.010</t>
  </si>
  <si>
    <t>SC23749</t>
  </si>
  <si>
    <t>1413789</t>
  </si>
  <si>
    <t>MANTENO</t>
  </si>
  <si>
    <t>~3600' of 4" PE in conflict with proposed storm sewer and storm sewer structures.
CH9 (Manteno - Deselm Rd)</t>
  </si>
  <si>
    <t>Kankakee County</t>
  </si>
  <si>
    <t>Manteno</t>
  </si>
  <si>
    <t>168777007.D.147</t>
  </si>
  <si>
    <t>SC23750</t>
  </si>
  <si>
    <t>1313812</t>
  </si>
  <si>
    <t>~200’ of 2” PE, 4” STL, and 6” STL in conflict with proposed traffic signal and lighting improvements.
Along IL RTE 83 from Bluff Rd to 91st St</t>
  </si>
  <si>
    <t>Downers Grove</t>
  </si>
  <si>
    <t>168777007.D.142</t>
  </si>
  <si>
    <t>Type 3 Relocation</t>
  </si>
  <si>
    <t>SC23103</t>
  </si>
  <si>
    <t>1413899</t>
  </si>
  <si>
    <t>~150' of 1 1/4" in conflict with proposed storm sewers and grade cuts.
N Parkside Rd &amp; Gregory St</t>
  </si>
  <si>
    <t>Normal</t>
  </si>
  <si>
    <t>168777007.D.149</t>
  </si>
  <si>
    <t>M15635</t>
  </si>
  <si>
    <t>1213810</t>
  </si>
  <si>
    <t>BRIDGEVIEW</t>
  </si>
  <si>
    <t>~350’ of 2”, 4”, 10” STL &amp; 10” MOP in conflict with proposed traffic signal modernization.
IL Route 43 (Harlem Ave) from 77th Street to 91st Street"</t>
  </si>
  <si>
    <t>Bridgeview</t>
  </si>
  <si>
    <t>168777007.D.141</t>
  </si>
  <si>
    <t>Lead</t>
  </si>
  <si>
    <t>Initials</t>
  </si>
  <si>
    <t>Betland</t>
  </si>
  <si>
    <t>Castellon</t>
  </si>
  <si>
    <t>RGC</t>
  </si>
  <si>
    <t>Chamernik</t>
  </si>
  <si>
    <t>CJC</t>
  </si>
  <si>
    <t>Corbi</t>
  </si>
  <si>
    <t>Dina</t>
  </si>
  <si>
    <t>EMD</t>
  </si>
  <si>
    <t>Hopkins</t>
  </si>
  <si>
    <t>LaPorte</t>
  </si>
  <si>
    <t>MLL</t>
  </si>
  <si>
    <t>Lierow</t>
  </si>
  <si>
    <t>TML</t>
  </si>
  <si>
    <t>Michaels</t>
  </si>
  <si>
    <t>NM</t>
  </si>
  <si>
    <t>Pohlman</t>
  </si>
  <si>
    <t>MBP</t>
  </si>
  <si>
    <t>Purtell</t>
  </si>
  <si>
    <t>TJP</t>
  </si>
  <si>
    <t>Roman</t>
  </si>
  <si>
    <t>MSR</t>
  </si>
  <si>
    <t>Stanley</t>
  </si>
  <si>
    <t>MJS</t>
  </si>
  <si>
    <t xml:space="preserve">        </t>
  </si>
  <si>
    <t xml:space="preserve">             </t>
  </si>
  <si>
    <t>Nicor System Improvement/Invest in IL</t>
  </si>
  <si>
    <t>EDV</t>
  </si>
  <si>
    <t>AHJ Count</t>
  </si>
  <si>
    <t>Project Complete</t>
  </si>
  <si>
    <t>Unique ID</t>
  </si>
  <si>
    <t>Date Archived</t>
  </si>
  <si>
    <t>Josh Meyer</t>
  </si>
  <si>
    <t>RS5001020834442544694</t>
  </si>
  <si>
    <t>BS406</t>
  </si>
  <si>
    <t>119985</t>
  </si>
  <si>
    <t>Diana Mejorado</t>
  </si>
  <si>
    <t>Colleen Marnell</t>
  </si>
  <si>
    <t>BS4061199854280842916</t>
  </si>
  <si>
    <t>BS454</t>
  </si>
  <si>
    <t>140537</t>
  </si>
  <si>
    <t>Adam Roth</t>
  </si>
  <si>
    <t>BS4541405374285242947</t>
  </si>
  <si>
    <t>N11493</t>
  </si>
  <si>
    <t>129047</t>
  </si>
  <si>
    <t>Shawn Wilson</t>
  </si>
  <si>
    <t>Bryan Whitson</t>
  </si>
  <si>
    <t>Completed Plans, Approved by Region Review on 3/29/19</t>
  </si>
  <si>
    <t>Nicor Engineering completed PCTS prior to KH gaining PCTS access.</t>
  </si>
  <si>
    <t>Village of Deer Park Stormwater Improvements; 2" main in conflict; no easements</t>
  </si>
  <si>
    <t>Relocate facilities or negotiate out of</t>
  </si>
  <si>
    <t>N114931290474346843556</t>
  </si>
  <si>
    <t>N11306</t>
  </si>
  <si>
    <t>No Conflict</t>
  </si>
  <si>
    <t>No Conflict (Letter sent 4/2/19)</t>
  </si>
  <si>
    <t>New sidewalk along Schoenbeck Rd; 2" steel;</t>
  </si>
  <si>
    <t>N11306-4351643557</t>
  </si>
  <si>
    <t>SC16297</t>
  </si>
  <si>
    <t>LEROY</t>
  </si>
  <si>
    <t>Negotiated Out Of conflict</t>
  </si>
  <si>
    <t>~50' of 2" steel in conflict w/proposed storm sewer; Project is in construction</t>
  </si>
  <si>
    <t>Relocate facilities</t>
  </si>
  <si>
    <t>SC16297-4354443566</t>
  </si>
  <si>
    <t>SC16294</t>
  </si>
  <si>
    <t>140704</t>
  </si>
  <si>
    <t>GILMAN</t>
  </si>
  <si>
    <t>Completed Plans, Approved by RR on 4/15/19</t>
  </si>
  <si>
    <t>City of Gilman Road Improvements (Thomas St &amp; Second St); Roadway and various utility improvements; Relocating 2" &amp; 4" mains; No field locates obtain due to schedule</t>
  </si>
  <si>
    <t>SC162941407044352343570</t>
  </si>
  <si>
    <t>NBA1689345</t>
  </si>
  <si>
    <t>MONEE</t>
  </si>
  <si>
    <t>Completed NBA, sent to Shawn; revised on 5/7 to include seal</t>
  </si>
  <si>
    <t>Hourly</t>
  </si>
  <si>
    <t>1"PE service approx. 230' - BP Pipeline Crossing</t>
  </si>
  <si>
    <t>BP requested us to go 10'-12' deep</t>
  </si>
  <si>
    <t>NBA1689345-4355943591</t>
  </si>
  <si>
    <t>NBA1697617</t>
  </si>
  <si>
    <t>Completed NBA, sent to Shawn</t>
  </si>
  <si>
    <t>This is a 2" PE gas service only- Due to the crossing of BP gas lines, it required an EDSR. Land service agent Eric Sadler has BP representative contact information.</t>
  </si>
  <si>
    <t>BP requested us to go 10'-12' deep in order to provide 6'-7' of separation</t>
  </si>
  <si>
    <t>NBA1697617-4356043598</t>
  </si>
  <si>
    <t>M10725</t>
  </si>
  <si>
    <t>120297</t>
  </si>
  <si>
    <t>Completed Plans, Approved by RR on 5/28/19</t>
  </si>
  <si>
    <t>Additional Restoration Costs</t>
  </si>
  <si>
    <t>Will not</t>
  </si>
  <si>
    <t>Village Roadway and Utility Improvements; 2" &amp; 6" main no longer in conflict; DIMP Supports relocation near project limits due to shallow main</t>
  </si>
  <si>
    <t>KH Negotiated out of DOT relocations. Relocation for shallow main required per DIMP on 4/22.</t>
  </si>
  <si>
    <t>M107251202974351643614</t>
  </si>
  <si>
    <t>SC16112</t>
  </si>
  <si>
    <t>2" steel in potential conflict with proposed drainage; Construction scheduled for late Spring</t>
  </si>
  <si>
    <t>Negotiate out of, provide locations</t>
  </si>
  <si>
    <t>SC16112-4359243616</t>
  </si>
  <si>
    <t>MR1221</t>
  </si>
  <si>
    <t>140699</t>
  </si>
  <si>
    <t>FISHER</t>
  </si>
  <si>
    <t>Released AFC on 6/6</t>
  </si>
  <si>
    <t>Nicor Engineering Completed PCTS prior to KH gaining PCTS access.</t>
  </si>
  <si>
    <t>Leak on 2" steel main that is 11' deep and under box culvert.  Nicor to cut and cap to eliminate leak.</t>
  </si>
  <si>
    <t>Advanced WO; 140699/340699; retirerment has been done already; cut and cap performed by field operations on 3/18/19. Additional scope aded on 5/20.</t>
  </si>
  <si>
    <t>MR12211406994352343622</t>
  </si>
  <si>
    <t>SC16437</t>
  </si>
  <si>
    <t>340722</t>
  </si>
  <si>
    <t>Private Development;  Cut &amp; Cap 2" main; 2" main is in a 10' private easement;</t>
  </si>
  <si>
    <t>Retire 2" main;
Project is reimbursable</t>
  </si>
  <si>
    <t>SC164373407224355743622</t>
  </si>
  <si>
    <t>SC16425</t>
  </si>
  <si>
    <t>BATAVIA</t>
  </si>
  <si>
    <t>City of Batavia Improvements; Residental Streets; Relocating 2" &amp; 4" mains; Waiting on IEPA Funding</t>
  </si>
  <si>
    <t>SC16425-4356043623</t>
  </si>
  <si>
    <t>N12380</t>
  </si>
  <si>
    <t>129063</t>
  </si>
  <si>
    <t>Released AFC on 6/10</t>
  </si>
  <si>
    <t>Restoration cost revised; additional crew time added for install/retirement.</t>
  </si>
  <si>
    <t>Retiring ~600' of 4" PE (2002) for a private development &amp; reroute; Per coordination with SP, 4" will need to be removed and rerouted</t>
  </si>
  <si>
    <t>Remove 4" system under 13th Street and relocate 12th Street (New road)</t>
  </si>
  <si>
    <t>N123801290634353943626</t>
  </si>
  <si>
    <t>SC16572</t>
  </si>
  <si>
    <t>140728</t>
  </si>
  <si>
    <t>FAIRBURY</t>
  </si>
  <si>
    <t>Released AFC on 6/13</t>
  </si>
  <si>
    <t>Restoration costs revised.</t>
  </si>
  <si>
    <t>2" Steel in conflict with storm sewer replacement. City project is in construction; City plans to remove and replace sewer in the same location.</t>
  </si>
  <si>
    <t>Exisitng main is on top of existing storm; Determine if pipe can be temporarily removed to eliminate conflict.</t>
  </si>
  <si>
    <t>SC165721407284358443629</t>
  </si>
  <si>
    <t>N12181</t>
  </si>
  <si>
    <t>129077</t>
  </si>
  <si>
    <t>Eng Comments (6/20)</t>
  </si>
  <si>
    <t>Restoration costs &amp; survey/spotting increased.</t>
  </si>
  <si>
    <t>City Stormwater Improvments; 2" main in conflict</t>
  </si>
  <si>
    <t>N121811290774346843637</t>
  </si>
  <si>
    <t>COR</t>
  </si>
  <si>
    <t>COR420</t>
  </si>
  <si>
    <t>Matt Mecaskey</t>
  </si>
  <si>
    <t>Released PDF plans via SP to MM</t>
  </si>
  <si>
    <t>Kankakee Region; 3 Locations</t>
  </si>
  <si>
    <t>Installing anode &amp; wires on casing pipe</t>
  </si>
  <si>
    <t>COR420-4358443637</t>
  </si>
  <si>
    <t>DO NOT TOUCH OR USE ANY OF THE MACROS ABOVE</t>
  </si>
  <si>
    <t>N12399</t>
  </si>
  <si>
    <t>129082</t>
  </si>
  <si>
    <t>Eng Comments (6/17) &amp; Construction input (6/25)</t>
  </si>
  <si>
    <t>Flaggers &amp; restoration costs revised.</t>
  </si>
  <si>
    <t>Proposed drainage improvements; Relocating 6" and 2" mains. Route 40</t>
  </si>
  <si>
    <t>N123991290824355943641</t>
  </si>
  <si>
    <t>COR419</t>
  </si>
  <si>
    <t>Joliet Region; 9 Locations</t>
  </si>
  <si>
    <t>COR419-4358443644</t>
  </si>
  <si>
    <t>BS600</t>
  </si>
  <si>
    <t>129050</t>
  </si>
  <si>
    <t>FOX LAKE</t>
  </si>
  <si>
    <t>Late due to Env Delineation</t>
  </si>
  <si>
    <t>Restoration &amp; additional crew time added for install; 
Revision: Add additional environmental information received after release. Revisions did not impact construction cost.</t>
  </si>
  <si>
    <t xml:space="preserve">Install ~1700' of 2" PE main (25#) to replace existing vintage/bare steel </t>
  </si>
  <si>
    <t>Investing in IL Project</t>
  </si>
  <si>
    <t>BS6001290504358443647</t>
  </si>
  <si>
    <t>NBA1661409</t>
  </si>
  <si>
    <t>168494</t>
  </si>
  <si>
    <t>WINNEBAGO</t>
  </si>
  <si>
    <t>Released AFE on 7/22</t>
  </si>
  <si>
    <t>Installing ~800' of 4" PE</t>
  </si>
  <si>
    <t>NBA16614091684944361943668</t>
  </si>
  <si>
    <t>COR416</t>
  </si>
  <si>
    <t>PAXTON</t>
  </si>
  <si>
    <t>Land approval (7/25)</t>
  </si>
  <si>
    <t>Paxton Region; 1 Locations</t>
  </si>
  <si>
    <t>COR416-4357743671</t>
  </si>
  <si>
    <t>COR418</t>
  </si>
  <si>
    <t>Bloomington Region; 3 Locations</t>
  </si>
  <si>
    <t>COR418-4358443671</t>
  </si>
  <si>
    <t>N12386</t>
  </si>
  <si>
    <t>129089</t>
  </si>
  <si>
    <t>Environmental approval (7/30)</t>
  </si>
  <si>
    <t>Crew time for retirement &amp; restoration costs increased.</t>
  </si>
  <si>
    <t>21st Street Road &amp; Utility Improvements; Relocating 2" main</t>
  </si>
  <si>
    <t>N123861290894355743676</t>
  </si>
  <si>
    <t>M11105</t>
  </si>
  <si>
    <t>Project closed out 8/1/2019</t>
  </si>
  <si>
    <t>KH needs customer's contact info. Pat Loftus Jr</t>
  </si>
  <si>
    <t>M11105-4366543678</t>
  </si>
  <si>
    <t>NBA1703505</t>
  </si>
  <si>
    <t>150565</t>
  </si>
  <si>
    <t>W CHICAGO</t>
  </si>
  <si>
    <t>Corrosion &amp; Kinder Morgan</t>
  </si>
  <si>
    <t>Install ~2,353' of 4" PE</t>
  </si>
  <si>
    <t>NBA17035051505654361943678</t>
  </si>
  <si>
    <t>SC16513</t>
  </si>
  <si>
    <t>135616</t>
  </si>
  <si>
    <t>WARRENVILLE</t>
  </si>
  <si>
    <t>Late due to DOT</t>
  </si>
  <si>
    <t>Work area protection increased.</t>
  </si>
  <si>
    <t>12" MOP ; 4" steel in potential conflict with proposed culvert repair/ditch grading;</t>
  </si>
  <si>
    <t>SC165131356164359243682</t>
  </si>
  <si>
    <t>NBA1694721</t>
  </si>
  <si>
    <t>Land approval (8/7) &amp; Eng comments (8/6)</t>
  </si>
  <si>
    <t>^^</t>
  </si>
  <si>
    <t>Install ~1,300' of 4" PE (60#)</t>
  </si>
  <si>
    <t>NBA1694721N/A4361943684</t>
  </si>
  <si>
    <t>150589</t>
  </si>
  <si>
    <t>Install ~400' of 6" PE (60#) to replace 2" Stl</t>
  </si>
  <si>
    <t>NBA16947211505894361943684</t>
  </si>
  <si>
    <t>REV</t>
  </si>
  <si>
    <t>Revision</t>
  </si>
  <si>
    <t>Revision to remove service line for proposed new business.</t>
  </si>
  <si>
    <t>NBA17035051505654361943698</t>
  </si>
  <si>
    <t>Revision to add environmental information to the WO drawings.</t>
  </si>
  <si>
    <t>BS6001290504348043700</t>
  </si>
  <si>
    <t>Revised design to incorporate Engineering Comments based on Field Requests and Dimple Test.</t>
  </si>
  <si>
    <t>BS4541405374285243703</t>
  </si>
  <si>
    <t>NBA1716369</t>
  </si>
  <si>
    <t>150588</t>
  </si>
  <si>
    <t>STREATOR</t>
  </si>
  <si>
    <t>Eng Comments (8/26)</t>
  </si>
  <si>
    <t>Install ~184' of 4" PE at 1000 E Livingston Rd, Streator. All under pavement / concrete</t>
  </si>
  <si>
    <t>NBA17163691505884363543704</t>
  </si>
  <si>
    <t>150591</t>
  </si>
  <si>
    <t>Install ~3,100' of 4" PE for Vactor Manufacturing</t>
  </si>
  <si>
    <t>NBA17163691505914363543704</t>
  </si>
  <si>
    <t>SC15792</t>
  </si>
  <si>
    <t>No Conflict Email sent 8/27</t>
  </si>
  <si>
    <t>&gt; 1000' of 10"/2" steel in potential conflict w/proposed drainage. Location:  Washington, Grove, Mercer</t>
  </si>
  <si>
    <t>SC15792-4366143704</t>
  </si>
  <si>
    <t>SC16441</t>
  </si>
  <si>
    <t>140737</t>
  </si>
  <si>
    <t>BOLINGBROOK</t>
  </si>
  <si>
    <t xml:space="preserve">Additional crew time due to difficult bore. 
Revision: Update the WO drawings per revised DOT design from Village. These revisions did not impact construction cost. </t>
  </si>
  <si>
    <t>~500' of 4" MOP main in potential conflict w/proposed drainage/culvert.</t>
  </si>
  <si>
    <t>SC164411407374364343712</t>
  </si>
  <si>
    <t>N12262</t>
  </si>
  <si>
    <t>129092</t>
  </si>
  <si>
    <t>Late due to DOT &amp; held for reimbursable</t>
  </si>
  <si>
    <t>Crew w/ equipment added due to difficult install. WAP &amp; Flaggers also added.</t>
  </si>
  <si>
    <t>Lynn Blvd Roundabout (Pre-Final Plans)</t>
  </si>
  <si>
    <t>Relocate facilities or negotiate out of;</t>
  </si>
  <si>
    <t>N122621290924352343712</t>
  </si>
  <si>
    <t>BS549</t>
  </si>
  <si>
    <t>129090</t>
  </si>
  <si>
    <t>$1.55/LF</t>
  </si>
  <si>
    <t>Install 5,640' of 2" PE main (25#)</t>
  </si>
  <si>
    <t>BS5491290904362143713</t>
  </si>
  <si>
    <t>SC16756</t>
  </si>
  <si>
    <t>135630</t>
  </si>
  <si>
    <t>CLARENDON HILLS</t>
  </si>
  <si>
    <t>Restoration and haul costs removed.</t>
  </si>
  <si>
    <t xml:space="preserve">500' of 2" steel and/or services in potential conflict w/alley reconstruction. </t>
  </si>
  <si>
    <t>SC167561356304365543718</t>
  </si>
  <si>
    <t>MLP22</t>
  </si>
  <si>
    <t>120330</t>
  </si>
  <si>
    <t>Install ~150' of 2" PE main (25#) to replace existing 4"  STL '58 main (LP), and retire facility 2101106</t>
  </si>
  <si>
    <t>MLP221203304362643720</t>
  </si>
  <si>
    <t>NBA1642577</t>
  </si>
  <si>
    <t>150599</t>
  </si>
  <si>
    <t>SANDWICH</t>
  </si>
  <si>
    <t>Install ~2200 LF of 2" PE main in parkway for new services</t>
  </si>
  <si>
    <t>NBA16425771505994367643724</t>
  </si>
  <si>
    <t>COR429</t>
  </si>
  <si>
    <t>COUNTRY CLUB HILLS</t>
  </si>
  <si>
    <t>Alex Sauser</t>
  </si>
  <si>
    <t>WO drawings in internal QC process.</t>
  </si>
  <si>
    <t>Install (2) #12 Red wires on 20" main and a coupon test station</t>
  </si>
  <si>
    <t>COR429-4370343735</t>
  </si>
  <si>
    <t>Revision to incorporate Illinois American Water design provided by the Village.</t>
  </si>
  <si>
    <t>SC164411407374364343735</t>
  </si>
  <si>
    <t>M10205</t>
  </si>
  <si>
    <t>BENSENVILLE</t>
  </si>
  <si>
    <t>No Conflict Letter sent on 9/27/2019</t>
  </si>
  <si>
    <t>UCM to be completed by KH</t>
  </si>
  <si>
    <t>M10205-4370543735</t>
  </si>
  <si>
    <t>COR430</t>
  </si>
  <si>
    <t>HARVEY</t>
  </si>
  <si>
    <t>Land approval (10/1); RR due 9/25</t>
  </si>
  <si>
    <t>Install a new solar cathodic protection system</t>
  </si>
  <si>
    <t>Need Engineering Drawings for IDOT permit submittal
Project #2019194</t>
  </si>
  <si>
    <t>COR430-4370343739</t>
  </si>
  <si>
    <t>PRIM454</t>
  </si>
  <si>
    <t>129060</t>
  </si>
  <si>
    <t>KILDEER</t>
  </si>
  <si>
    <t>Cancelled</t>
  </si>
  <si>
    <t>Scope rolled into N10173</t>
  </si>
  <si>
    <t>Replace 6" with 12"  (appx. Replacement length 1400 LF); Replace TW; Project located in DOT Project N10173 (Hawthorn Woods) limits</t>
  </si>
  <si>
    <t>6" MOP main east of Kruger should be replaced with 8" MOP main</t>
  </si>
  <si>
    <t>PRIM4541290604347443739</t>
  </si>
  <si>
    <t>MLP14</t>
  </si>
  <si>
    <t>120340</t>
  </si>
  <si>
    <t>Additional crew time; restoration costs revised.</t>
  </si>
  <si>
    <t>Install ~500' of 2" PE main (60#), to replace existing 2" &amp; 4" PE '05 main (LP). Retire LP regulation facility 2101012 after transferring services. 2005 work completed on WO 107552.</t>
  </si>
  <si>
    <t>MLP141203404365543741</t>
  </si>
  <si>
    <t>COR432</t>
  </si>
  <si>
    <t>Land approval (10/3); RR due 9/24</t>
  </si>
  <si>
    <t>Install a new test station near railroad crossing</t>
  </si>
  <si>
    <t>Need Engineering Drawings for IDOT permit submittal_x000D_
Project #2019189</t>
  </si>
  <si>
    <t>COR432-4370343742</t>
  </si>
  <si>
    <t>COR431</t>
  </si>
  <si>
    <t>120373</t>
  </si>
  <si>
    <t>HOMEWOOD</t>
  </si>
  <si>
    <t>Project scope set 9/23</t>
  </si>
  <si>
    <t>Need EDSR on isolated drainage segment and extra branch missed in WO120006 (~700' of 2" Stl to 2" PE replacement)</t>
  </si>
  <si>
    <t>COR4311203734370343745</t>
  </si>
  <si>
    <t>MLP26</t>
  </si>
  <si>
    <t>120343</t>
  </si>
  <si>
    <t>Install ~150' of 2" PE main (25#), to replace existing low pressure main. Retire LP regulation facility 2101126 after transferring services.</t>
  </si>
  <si>
    <t>MLP261203434365843747</t>
  </si>
  <si>
    <t>SC16659</t>
  </si>
  <si>
    <t>135613</t>
  </si>
  <si>
    <t>Developer revised design to avoid conflict; No Conflict Email sent 10/10</t>
  </si>
  <si>
    <t>2" PE in potential conflict with Storm sewer; Scope ~ 100'; site is under construction</t>
  </si>
  <si>
    <t>SC166591356134361443748</t>
  </si>
  <si>
    <t>COR2019452</t>
  </si>
  <si>
    <t>Need Engineering Drawings for IDOT permit submittal</t>
  </si>
  <si>
    <t>Y (9/24)</t>
  </si>
  <si>
    <t>COR2019452-4372543749</t>
  </si>
  <si>
    <t>MLP25</t>
  </si>
  <si>
    <t>120342</t>
  </si>
  <si>
    <t>Additional crew time; restoration costs &amp; traffic control costs revised; 
Revision: After release, Village changed direction on whether the pipe could be installed in the alley. Effort includes addressing Village comments.</t>
  </si>
  <si>
    <t>Install ~900' of 2" PE main (25#) to replace existing LP main. Retire LP regulation facility 2101121 after transferring services.</t>
  </si>
  <si>
    <t>MLP251203424365843752</t>
  </si>
  <si>
    <t>COR2019248</t>
  </si>
  <si>
    <t>COR2019248-4372543753</t>
  </si>
  <si>
    <t>Revised design to incorporate dual coated main.</t>
  </si>
  <si>
    <t>SC164411407374364343753</t>
  </si>
  <si>
    <t>COR2019246</t>
  </si>
  <si>
    <t>Corrosion Tech requested cancellation</t>
  </si>
  <si>
    <t>COR2019246-4372543754</t>
  </si>
  <si>
    <t>MLP28</t>
  </si>
  <si>
    <t>120344</t>
  </si>
  <si>
    <t>Additional crew time; restoration costs, traffic control costs &amp; trucking costs revised.</t>
  </si>
  <si>
    <t>Install ~2800' of 2" PE main (25#) to replace existing LP main. Retire 17 existing regulation facilities  after transferring services.</t>
  </si>
  <si>
    <t>MLP281203444366443759</t>
  </si>
  <si>
    <t>MLP29</t>
  </si>
  <si>
    <t>120345</t>
  </si>
  <si>
    <t>Will not pursue as revision increased scope which increased the construction estimate.</t>
  </si>
  <si>
    <t>Install ~400' of 2" PE main (25#) to replace existing LP main. Retire LP regulation facilities 2101223, 2101224 and 2101225 after transferring services.</t>
  </si>
  <si>
    <t>MLP291203454366443760</t>
  </si>
  <si>
    <t>Revised design to incorporate the revised City design and remove reimbursable.</t>
  </si>
  <si>
    <t>N122621290924352343761</t>
  </si>
  <si>
    <t>SC15729</t>
  </si>
  <si>
    <t>140730</t>
  </si>
  <si>
    <t>MINOOKA</t>
  </si>
  <si>
    <t>DOT Coordination</t>
  </si>
  <si>
    <t>Crew w/ equipment time reduced.</t>
  </si>
  <si>
    <t>Ridge Road Improvements (Grundy County); Road and Utility Improvements; 6" and under</t>
  </si>
  <si>
    <t>Relocate facilities per UCM; Grundy County</t>
  </si>
  <si>
    <t>SC157291407304347243761</t>
  </si>
  <si>
    <t>MLP23</t>
  </si>
  <si>
    <t>120331</t>
  </si>
  <si>
    <t>Material was removed.</t>
  </si>
  <si>
    <t>Install ~500' of 2" PE main (25#)replacing  4" STL main (LP), and retire LP regulation facility 2101111 .</t>
  </si>
  <si>
    <t>MLP231203314366443761</t>
  </si>
  <si>
    <t>SC16949</t>
  </si>
  <si>
    <t>140747</t>
  </si>
  <si>
    <t>Scope Expansion</t>
  </si>
  <si>
    <t>Crew w/ equipment added due to difficult install.</t>
  </si>
  <si>
    <t>300' of 2" steel in potential conflict w/ proposed sewer improvements</t>
  </si>
  <si>
    <t>SC169491407474369843767</t>
  </si>
  <si>
    <t>MLP15</t>
  </si>
  <si>
    <t>120341</t>
  </si>
  <si>
    <t xml:space="preserve">Restoration costs, traffic control &amp; protection, &amp; backfill costs revised; 
Revision: Effort includes addressing Village comments. Revisions did not impact construction cost. </t>
  </si>
  <si>
    <t>Install ~2000' of 2" PE main (60#) to replace existing low pressure main. Retire regulation facility 2101013 after transferring services.</t>
  </si>
  <si>
    <t>MLP151203414366443767</t>
  </si>
  <si>
    <t>NBA1691921</t>
  </si>
  <si>
    <t>192899</t>
  </si>
  <si>
    <t>Scope Expansion &amp; Coordination</t>
  </si>
  <si>
    <t>Crew time added for difficult install.</t>
  </si>
  <si>
    <t>Install 4,200'-6" PE gas main on the West side of Veterans Pkwy, and within Windham Pkwy. Install and replace the VLT #4201313 vault.</t>
  </si>
  <si>
    <t>NBA16919211928994360543774</t>
  </si>
  <si>
    <t>MR1191</t>
  </si>
  <si>
    <t>140703</t>
  </si>
  <si>
    <t>NEW LENOX</t>
  </si>
  <si>
    <t>Survey/Metra Approval</t>
  </si>
  <si>
    <t>Crew time increased due to difficult install.</t>
  </si>
  <si>
    <t>Replacing the main/casing under the railroad tracks to retire shorted casing. RR is Chicago, Rock Island and Pacific Railroad is Metra at this location.</t>
  </si>
  <si>
    <t>RR Permit will be required</t>
  </si>
  <si>
    <t>MR11911407034349743780</t>
  </si>
  <si>
    <t>Revised design to add existing watermain information and incorporate into design.</t>
  </si>
  <si>
    <t>NBA17035051505654361943780</t>
  </si>
  <si>
    <t>MR1273</t>
  </si>
  <si>
    <t>129151</t>
  </si>
  <si>
    <t>Increased pipe removal and retirement costs.</t>
  </si>
  <si>
    <t>4" steel main cross bored in sanitary sewer. Reroute main and remove retired section (60#)</t>
  </si>
  <si>
    <t>MR12731291514375543783</t>
  </si>
  <si>
    <t>NBA1608497-1</t>
  </si>
  <si>
    <t>168533</t>
  </si>
  <si>
    <t>Christy Panganiban</t>
  </si>
  <si>
    <t>Wanted on developer files and Environmental Information</t>
  </si>
  <si>
    <t>Main ext on Rt. 22, from Krueger to Pinehurst only. Split WO 168352 (NBA 1608497) in two.</t>
  </si>
  <si>
    <t>NBA1608497-11685334366543788</t>
  </si>
  <si>
    <t>SC16778</t>
  </si>
  <si>
    <t>135648</t>
  </si>
  <si>
    <t>Crew w/ equipment added due to difficult install, hydrovac added, &amp; restotation costs increased; cost increased due to revision</t>
  </si>
  <si>
    <t>~500' of 4" PE in conflict w/ road improvements; 31st Street (Meyers Rd to York Rd)</t>
  </si>
  <si>
    <t>Relocate facilities or negotiate out of; DuPage County</t>
  </si>
  <si>
    <t>SC167781356484367943788</t>
  </si>
  <si>
    <t>Revised design to incorporate the City's request to install main under pavement.</t>
  </si>
  <si>
    <t>COR4311203734370343790</t>
  </si>
  <si>
    <t>VW265</t>
  </si>
  <si>
    <t>120371</t>
  </si>
  <si>
    <t>STICKNEY TWP</t>
  </si>
  <si>
    <t>Install ~1400' of 4" PE and ~10100' of 2" PE main (60#)</t>
  </si>
  <si>
    <t>Central Avenue &amp; 47th Street, Stickney Twp</t>
  </si>
  <si>
    <t>VW2651203714369943790</t>
  </si>
  <si>
    <t>M10980</t>
  </si>
  <si>
    <t>120380</t>
  </si>
  <si>
    <t>Held for Engineerings Approval.</t>
  </si>
  <si>
    <t>Crew time for install reduced.</t>
  </si>
  <si>
    <t>&lt;1,000 of 2", 8" &amp; 10" main in conflict w/proposed drainage. Howard Street (Milwaukee Ave to Lehigh Ave)</t>
  </si>
  <si>
    <t>Road Improvements &amp; Bike Path Construction;
IDOT</t>
  </si>
  <si>
    <t>M109801203804369043794</t>
  </si>
  <si>
    <t>N12831</t>
  </si>
  <si>
    <t>GILBERTS</t>
  </si>
  <si>
    <t>DOT project was constructed. Resource Managment to relocate ETS.</t>
  </si>
  <si>
    <t>&lt;1,000' of 6" steel (and vault) in potential conflict w/road improvements/ditch cuts; Freeman Rd &amp; Galligan Rd</t>
  </si>
  <si>
    <t>Relocate facilities or negotiate out of; Village of Gilberts</t>
  </si>
  <si>
    <t>N12831-4376343803</t>
  </si>
  <si>
    <t>Revised design to incorporate the City's request to extend main past driveway.</t>
  </si>
  <si>
    <t>COR4311203734370343811</t>
  </si>
  <si>
    <t>SC11668</t>
  </si>
  <si>
    <t>140754</t>
  </si>
  <si>
    <t>GOODFIELD</t>
  </si>
  <si>
    <t>Sewer removed, trench backfill added</t>
  </si>
  <si>
    <t>~300' of 2" in potential conflict with drainage; IL Route 117 &amp; Timberline Rd</t>
  </si>
  <si>
    <t>Relocate facilities; IDOT</t>
  </si>
  <si>
    <t>SC116681407544372043811</t>
  </si>
  <si>
    <t>SC16024</t>
  </si>
  <si>
    <t>140756</t>
  </si>
  <si>
    <t>ELWOOD</t>
  </si>
  <si>
    <t>Restoration costs increased.</t>
  </si>
  <si>
    <t>~1000' of 2" steel in potential conflict w/ proposed drainage and ditch cuts; IL Rte 53 &amp; Old St Louis St</t>
  </si>
  <si>
    <t>SC160241407564370043816</t>
  </si>
  <si>
    <t>BS584</t>
  </si>
  <si>
    <t>140748</t>
  </si>
  <si>
    <t>BOURBONNAIS</t>
  </si>
  <si>
    <t>Install ~1200' of 8" STL and ~3300' of 2" PE main (60#)</t>
  </si>
  <si>
    <t>Marsile St, Beaudoin Ave, Roy St, Greenwood Ave, Spencer Ct, Bernard St</t>
  </si>
  <si>
    <t>BS5841407484369943819</t>
  </si>
  <si>
    <t>SC16610</t>
  </si>
  <si>
    <t>335652</t>
  </si>
  <si>
    <t>Pipe removal &amp; traffic control added.</t>
  </si>
  <si>
    <t>~1,000' of 2" steel in conflict w/ proposed road improvements; N York Rd &amp; Harger Rd</t>
  </si>
  <si>
    <t>Relocate facilities or negotiate out of; IDOT</t>
  </si>
  <si>
    <t>SC166103356524367943819</t>
  </si>
  <si>
    <t>N12952</t>
  </si>
  <si>
    <t>129160</t>
  </si>
  <si>
    <t>Cancelled due to new business WO.</t>
  </si>
  <si>
    <t>~725' of 2" PE in conflict proposed w/ditch cuts; IL Rt 251 frontage Rd./Shappert DR</t>
  </si>
  <si>
    <t>Relocate facilities; Village</t>
  </si>
  <si>
    <t>N129521291604378343819</t>
  </si>
  <si>
    <t>BS297</t>
  </si>
  <si>
    <t>120372</t>
  </si>
  <si>
    <t>OAK FOREST</t>
  </si>
  <si>
    <t>Install ~1900' of 4" PE main (60#), ~3300' of 2" PE main (60#), ~1300' of 4" PE main (28#), and ~2000' of 2" PE main (28#)</t>
  </si>
  <si>
    <t>157th St, 158th St, 159th St, LeClaire Ave, LaVergne Ave, Grove Ave, Forest Ave</t>
  </si>
  <si>
    <t>BS2971203724370043822</t>
  </si>
  <si>
    <t>BS403</t>
  </si>
  <si>
    <t>120302</t>
  </si>
  <si>
    <t>FLOSSMOOR</t>
  </si>
  <si>
    <t>Install ~4200' of 8" STL, 1700' of 6" PE nd 6400' of 2" PE main (28#), as shown in attached Synergi plots, to replace existing vintage/bare steel main.</t>
  </si>
  <si>
    <t>Scope expansion; Holbrook Road and Dixie Highway, Flossmoor/Chicago Heights</t>
  </si>
  <si>
    <t>BS4031203024361343822</t>
  </si>
  <si>
    <t>N126771291484370043822</t>
  </si>
  <si>
    <t>SC16207</t>
  </si>
  <si>
    <t>140760</t>
  </si>
  <si>
    <t>CHENOA</t>
  </si>
  <si>
    <t>Rate Change</t>
  </si>
  <si>
    <t>Scope expansion; 
Revision: Construction requested a modification to include a dual main for service transfers due to concerns about boring in long side services.</t>
  </si>
  <si>
    <t>&lt;1,000' of 2" steel in potential conflict w/drainage. Division Street</t>
  </si>
  <si>
    <t>Relocate facilities; Pre-Final Plans recieved 11/25; McClean County</t>
  </si>
  <si>
    <t>SC162071407604370043836</t>
  </si>
  <si>
    <t>109157</t>
  </si>
  <si>
    <t>Project was pending TDS Approval</t>
  </si>
  <si>
    <t>Restoration and tree removal costs added. Crew time for vault installation increased</t>
  </si>
  <si>
    <t>Replace Vault 2101195 at Simpson and Brown in Evanston. Severely corroded and frequent flooding.</t>
  </si>
  <si>
    <t>Simpson St &amp; Brown Ave, Evanston</t>
  </si>
  <si>
    <t>RS6111091574369743845</t>
  </si>
  <si>
    <t>129154</t>
  </si>
  <si>
    <t>Restoration costs.</t>
  </si>
  <si>
    <t>Install ~700' of 6" PE (25#) and retire several sections 
To be completed ahead of project SC12065 (IDOT Resurfacing) planned for spring 2020 construction</t>
  </si>
  <si>
    <t>Liberty Street &amp; Forest Avenue</t>
  </si>
  <si>
    <t>BS5511291544376043851</t>
  </si>
  <si>
    <t>RS618</t>
  </si>
  <si>
    <t>302105</t>
  </si>
  <si>
    <t>Revision: Engineering requested a scope expansion to retire/remove dead end MOP main (will not pursue as estimate increased due to revision/scope expansion)</t>
  </si>
  <si>
    <t>Retire single 5x5 vault</t>
  </si>
  <si>
    <t>Ela Road &amp; Long Grove Road</t>
  </si>
  <si>
    <t>RS - Retirement Only</t>
  </si>
  <si>
    <t>RS6183021054376143851</t>
  </si>
  <si>
    <t>PRIM472</t>
  </si>
  <si>
    <t>120389</t>
  </si>
  <si>
    <t>LAGRANGE HIGHLANDS</t>
  </si>
  <si>
    <t>Restoration &amp; retirement costs revised.</t>
  </si>
  <si>
    <t>Install ~2,800 of 6" PE main and ~2,900 of 4" PE main</t>
  </si>
  <si>
    <t>60th Street &amp; Plainfield Road; Joliet Rd &amp; Wolf Rd</t>
  </si>
  <si>
    <t>PRIM4721203894376143852</t>
  </si>
  <si>
    <t>Revision due to request made by Village of Skokie to place proposed main under sidewalk.</t>
  </si>
  <si>
    <t>MLP151203414384543858</t>
  </si>
  <si>
    <t>NBA1773009</t>
  </si>
  <si>
    <t>192994</t>
  </si>
  <si>
    <t>Install 425' 2" PE Main</t>
  </si>
  <si>
    <t>NBA17730091929944381743859</t>
  </si>
  <si>
    <t>BS245</t>
  </si>
  <si>
    <t>129167</t>
  </si>
  <si>
    <t>MCHENRY</t>
  </si>
  <si>
    <t>Install ~8,100' of 2" PE main (25#) to replace existing vintage/bare steel main.</t>
  </si>
  <si>
    <t>Maple Ave and Freund Ave</t>
  </si>
  <si>
    <t>BS2451291674378443874</t>
  </si>
  <si>
    <t>VW180</t>
  </si>
  <si>
    <t>120407</t>
  </si>
  <si>
    <t>Install ~100' of 8" STL, ~1,100' of 6" PE, ~2,600' of 4" PE and ~6,300' of 2" PE main (25#) to replace existing vintage/bare steel main.</t>
  </si>
  <si>
    <t>Palmer Ave and Roy Ave</t>
  </si>
  <si>
    <t>VW1801204074378743874</t>
  </si>
  <si>
    <t>BS115</t>
  </si>
  <si>
    <t>120406</t>
  </si>
  <si>
    <t>HAZEL CREST</t>
  </si>
  <si>
    <t>Install ~20,200' of 2" PE main (28#) to replace existing vintage/bare steel main.</t>
  </si>
  <si>
    <t>167th Street (CH-B59) and Robey Street (IDOT)</t>
  </si>
  <si>
    <t>BS1151204064378343874</t>
  </si>
  <si>
    <t>Revision due to scope expansion of the DOT project by City after release of WO drawings.</t>
  </si>
  <si>
    <t>SC169491407474369843875</t>
  </si>
  <si>
    <t>Revision due to request made by Village of Skokie to not install under alley.</t>
  </si>
  <si>
    <t>MLP251203424365843875</t>
  </si>
  <si>
    <t>N12551</t>
  </si>
  <si>
    <t>129174</t>
  </si>
  <si>
    <t>&gt;1,000' of 2" steel in conflict with proposed drainage and road reconstruction; 4th and 5th Ave., from 19th to Lynn Blvd.</t>
  </si>
  <si>
    <t>Relocate facilities or negotiate out of; City</t>
  </si>
  <si>
    <t>N125511291744378443875</t>
  </si>
  <si>
    <t>NBA1695921</t>
  </si>
  <si>
    <t>WOODSTOCK</t>
  </si>
  <si>
    <t>NBA1695921-4385743876</t>
  </si>
  <si>
    <t>VW181</t>
  </si>
  <si>
    <t>120408</t>
  </si>
  <si>
    <t>Install ~1,700' of 6" PE, ~6,00' of 4" PE, and ~7,800' of 2" PE main to replace existing vintage/bare steel main.</t>
  </si>
  <si>
    <t>Laporte Ave and Village Dr</t>
  </si>
  <si>
    <t>VW1811204084378743877</t>
  </si>
  <si>
    <t>Revision due to request made by System Planning to upsize main and to expand scope.</t>
  </si>
  <si>
    <t>SC116681407544372043879</t>
  </si>
  <si>
    <t>SC171743356574378443879</t>
  </si>
  <si>
    <t>SC16776</t>
  </si>
  <si>
    <t>PLATTVILLE</t>
  </si>
  <si>
    <t>Provided Nicor analysis via email on 2/19/2020</t>
  </si>
  <si>
    <t>Conflicts with service lines along Chicago Road</t>
  </si>
  <si>
    <t>SC16776-4385243880</t>
  </si>
  <si>
    <t>Revision due to request made by Village to add depth table under proposed pavement.</t>
  </si>
  <si>
    <t>SC160241407564370043882</t>
  </si>
  <si>
    <t>Revision due to request made by County &amp; Village to create MOT plan for relocation.</t>
  </si>
  <si>
    <t>SC157291407304347243886</t>
  </si>
  <si>
    <t>Revision due to request made by Land Services to add an IDOT MOT detail.</t>
  </si>
  <si>
    <t>MLP291203454366443886</t>
  </si>
  <si>
    <t>Addendum A</t>
  </si>
  <si>
    <t>Addendum</t>
  </si>
  <si>
    <t>BS5841407484369943892</t>
  </si>
  <si>
    <t>Region Review due EOD 2/14; held for Land coordination</t>
  </si>
  <si>
    <t xml:space="preserve">Install ~1,200' of 8" STL, ~2,600' of 6" PE, and ~6,700' of 2" PE main (60#), as well as ~2,300' of 2" PE main (28#) to replace existing vintage/bare steel main. </t>
  </si>
  <si>
    <t>Work with field operations construction to determine best method of providing service to customers on north side of Sibley, Chicago Road to Irving.</t>
  </si>
  <si>
    <t>BS2291204054378943896</t>
  </si>
  <si>
    <t>BS186</t>
  </si>
  <si>
    <t>129172</t>
  </si>
  <si>
    <t>Install ~5200' of 8" STL, ~1400' of 6" PE, ~900' of 4" PE and ~14500' of 2" PE main (25#); and install ~2000' of 4" PE and ~9600' of 2" PE main (25#) to replace existing vintage/bare steel main.</t>
  </si>
  <si>
    <t>Expediting the design for the 60# system to install prior to scheduled DOT work. Arlington Heights Road and Northwest Highway,</t>
  </si>
  <si>
    <t>BS1861291724380943901</t>
  </si>
  <si>
    <t>Revision due to expanded scope provided by County.</t>
  </si>
  <si>
    <t>SC167781356484367943903</t>
  </si>
  <si>
    <t>129153</t>
  </si>
  <si>
    <t>Nicor personnel time was increased.
Rev: Added notes/details per the IDOT's request. Revision did not impact construction cost.</t>
  </si>
  <si>
    <t>Replace 4" casing under railroad (60#) and upsize to 6" per SP</t>
  </si>
  <si>
    <t>Lincoln Hwy &amp; Evans Avenue; Existing main is 4" STL '69, and is the only feed to a fairly substantial area east of the RR tracks.</t>
  </si>
  <si>
    <t>MR12641291534375543906</t>
  </si>
  <si>
    <t>129168</t>
  </si>
  <si>
    <t>Labor time for install reduced.</t>
  </si>
  <si>
    <t>~100' of 1" main in conflict with proposed culvert; Galena/Franklin</t>
  </si>
  <si>
    <t xml:space="preserve">No Plans, County doing under "maintenance" </t>
  </si>
  <si>
    <t>N130371291684378443906</t>
  </si>
  <si>
    <t>Revision due to request made by Engineering to adjust tie-in.</t>
  </si>
  <si>
    <t>BS4031203024361343909</t>
  </si>
  <si>
    <t>VW182</t>
  </si>
  <si>
    <t>120409</t>
  </si>
  <si>
    <t>ENG changed phasing preference during RR due to adjacent WO.</t>
  </si>
  <si>
    <t>Install ~3,800' of 4" PE and ~11,500' of 2" PE main (25#) to replace existing vintage/bare steel main.</t>
  </si>
  <si>
    <t>Fullerton Ave and Jerome Dr</t>
  </si>
  <si>
    <t>VW1821204094378743910</t>
  </si>
  <si>
    <t>SC17434</t>
  </si>
  <si>
    <t>120456</t>
  </si>
  <si>
    <t>PALOS PARK</t>
  </si>
  <si>
    <t>Crew time for install &amp; retirement costs increased.</t>
  </si>
  <si>
    <t>6" STL in potential conflict with new guardrail; 123rd Street, east of 93rd Avenue</t>
  </si>
  <si>
    <t>SC174341204564385843910</t>
  </si>
  <si>
    <t>Revision due to make WO a standalone project.</t>
  </si>
  <si>
    <t>VW1801204074378743914</t>
  </si>
  <si>
    <t>VW1811204084378743914</t>
  </si>
  <si>
    <t>SC17233</t>
  </si>
  <si>
    <t>140773</t>
  </si>
  <si>
    <t>Crew time for install increased</t>
  </si>
  <si>
    <t>~550' of 4" W 1968 in conflict with proposed waterway and demolition of Brandon Rd</t>
  </si>
  <si>
    <t>May require deep HDD installation or permanent retirment; private developer</t>
  </si>
  <si>
    <t>SC172331407734383843917</t>
  </si>
  <si>
    <t>NBA1790449</t>
  </si>
  <si>
    <t>150637</t>
  </si>
  <si>
    <t>Region Review due 2/27; held for Land to obtain plat</t>
  </si>
  <si>
    <t>Install ~1,400'-4" PE gas main along RT34, and tie in to Fifth St. System Improvement. Require both State Rt34 &amp; the Village of Oswego permits.</t>
  </si>
  <si>
    <t>RT34 &amp; Fifth St.</t>
  </si>
  <si>
    <t>NBA17904491506374385243923</t>
  </si>
  <si>
    <t>Revision due to bore profile adjustments.</t>
  </si>
  <si>
    <t>BS1151204064378343927</t>
  </si>
  <si>
    <t>129186</t>
  </si>
  <si>
    <t>Region Review due EOD 3/27; held for ENG comments</t>
  </si>
  <si>
    <t>Arlington Heights Road and Northwest Highway,</t>
  </si>
  <si>
    <t>BS1861291864380943928</t>
  </si>
  <si>
    <t>SC17070</t>
  </si>
  <si>
    <t>120459</t>
  </si>
  <si>
    <t>LYNWOOD</t>
  </si>
  <si>
    <t>Construction cost increased due to revision request to increase scope.</t>
  </si>
  <si>
    <t>&gt;1,000' 2"/6" in conflict with proposed drainage. Glenwood Dyer Rd (Stoney Island to Rte 83)</t>
  </si>
  <si>
    <t>SC170701204594376143931</t>
  </si>
  <si>
    <t>N12946</t>
  </si>
  <si>
    <t>KH coordinating with DOT to determine scope. Prelim plans.</t>
  </si>
  <si>
    <t>Tin whistle and main in potiental conflict with ditch cuts. Prelim plans</t>
  </si>
  <si>
    <t>Relocate facilities; Village of Kildeer</t>
  </si>
  <si>
    <t>N12946-4387143935</t>
  </si>
  <si>
    <t>129079</t>
  </si>
  <si>
    <t>Trench backfill increased, retirement work items removed</t>
  </si>
  <si>
    <t>Install new culvert. 8" steel in easement, project is reimbursable. Harmony Road</t>
  </si>
  <si>
    <t>Relocate facilities or negotiate out of; Kane County DOT</t>
  </si>
  <si>
    <t>N114491290794349043936</t>
  </si>
  <si>
    <t>SC15705</t>
  </si>
  <si>
    <t>135656</t>
  </si>
  <si>
    <t>Matt Poelking</t>
  </si>
  <si>
    <t>Restoration cost reduced.</t>
  </si>
  <si>
    <t>8" steel in potential conflict w/ditch cuts and drainage. 75th St., Fairmont to Williams.</t>
  </si>
  <si>
    <t>SC157051356564366143938</t>
  </si>
  <si>
    <t>Revision due to dual main needed for service transfers due to difficulty in boring in long side services.</t>
  </si>
  <si>
    <t>SC162071407604370043938</t>
  </si>
  <si>
    <t>Revision due to request made by Engineering to update test sections.</t>
  </si>
  <si>
    <t>BS1861291724380943943</t>
  </si>
  <si>
    <t>120437</t>
  </si>
  <si>
    <t>Install ~5100' of 4" PE and ~11700' of 2" PE main (25#) to replace existing vintage/bare steel main.</t>
  </si>
  <si>
    <t>Golf Rd &amp; Waukegan Rd</t>
  </si>
  <si>
    <t>Morton Grove</t>
  </si>
  <si>
    <t>NIRC</t>
  </si>
  <si>
    <t>VW651204374385243943</t>
  </si>
  <si>
    <t>Revision due to request made by Village to adjust bore pit locations and pavement breaks.</t>
  </si>
  <si>
    <t>MLP291203454366443948</t>
  </si>
  <si>
    <t>Revision due to request made by Village to adjust running line and install location.</t>
  </si>
  <si>
    <t>MLP281203444366443951</t>
  </si>
  <si>
    <t>BS194C</t>
  </si>
  <si>
    <t>120427</t>
  </si>
  <si>
    <t>Scope Expansion during Region Review.</t>
  </si>
  <si>
    <t>Install 4200' of 8" STL, 1300' of 4" PE, and 7500' of 2" PE main (28#) to replace existing vintage/bare steel main.</t>
  </si>
  <si>
    <t>Center Ave &amp; 15th St</t>
  </si>
  <si>
    <t>BS194C1204274383243964</t>
  </si>
  <si>
    <t>M11260</t>
  </si>
  <si>
    <t>120460</t>
  </si>
  <si>
    <t>Labor time for install &amp; retirement costs reduced.</t>
  </si>
  <si>
    <t>&gt;900' of 2" steel in conflict with proposed storm drains and culvert at Farmers Creek</t>
  </si>
  <si>
    <t>M112601204604380943964</t>
  </si>
  <si>
    <t>N13158</t>
  </si>
  <si>
    <t>129209</t>
  </si>
  <si>
    <t>MORRISON</t>
  </si>
  <si>
    <t>Work area protection increased, retirement crew cost removed</t>
  </si>
  <si>
    <t>3 - 100' jumpers; 2" PE in potential conflict w/roadway &amp; drainage improvements; Alley south of Main Street between Orange and Clinton</t>
  </si>
  <si>
    <t>Relocate facilities or negotiate out of; City of Morrison</t>
  </si>
  <si>
    <t>N131581292094392043964</t>
  </si>
  <si>
    <t>N12180</t>
  </si>
  <si>
    <t>129200</t>
  </si>
  <si>
    <t>LAKE VILLA</t>
  </si>
  <si>
    <t>Construction cost decreased due to revision to update plans and reimbursable limits based on revised DOT plan and negiotation.</t>
  </si>
  <si>
    <t>IL 132 from Deep Lake Road to Munn Road; Roadway and Utility Improvements; Prefinal Plans (6" and under)</t>
  </si>
  <si>
    <t>Project is reimbursable; IDOT</t>
  </si>
  <si>
    <t>N121801292004346843965</t>
  </si>
  <si>
    <t>N13310</t>
  </si>
  <si>
    <t>129202</t>
  </si>
  <si>
    <t>Crew time for install costs increased.</t>
  </si>
  <si>
    <t>4" and 2" STL in potential conflict w/roadway &amp; drainage improvements. Greenbrier Subdivision</t>
  </si>
  <si>
    <t>N133101292024388743965</t>
  </si>
  <si>
    <t>129152/129179</t>
  </si>
  <si>
    <t>185632/185306</t>
  </si>
  <si>
    <t>Work area protection increased, pipe removal costs reduced; revision reduced cost</t>
  </si>
  <si>
    <t>~2,000' of 6"/12" in potential conflict with road improvements and storm sewer; Algonquin Rd &amp; Meacham Rd</t>
  </si>
  <si>
    <t>Relocate facilities; Village of Schaumburg (IDOT Local Roads)</t>
  </si>
  <si>
    <t>N12688129152/1291794370543965</t>
  </si>
  <si>
    <t>COR435</t>
  </si>
  <si>
    <t>Alesia Fiocca</t>
  </si>
  <si>
    <t>Land comments received 5/14</t>
  </si>
  <si>
    <t>Permit drawings need to be completed in order to install an anode and wires on both the casing and carrier pipe.</t>
  </si>
  <si>
    <t>Proposed ETS only</t>
  </si>
  <si>
    <t>COR435-4387143966</t>
  </si>
  <si>
    <t>M11398</t>
  </si>
  <si>
    <t>120468</t>
  </si>
  <si>
    <t>ELMHURST</t>
  </si>
  <si>
    <t>Revision: Added additional pipe removal at City's request; revision adjusted scope
Retirement crew time decreased.</t>
  </si>
  <si>
    <t>~1000' 2" STL in in potential conflict w/proposed drainage improvements; Crescent Avenue from Saylor to Swain</t>
  </si>
  <si>
    <t>Relocate facilities or negotiate out of; City of Elmhurst</t>
  </si>
  <si>
    <t>M113981204684393443972</t>
  </si>
  <si>
    <t>SC13908</t>
  </si>
  <si>
    <t>135672</t>
  </si>
  <si>
    <t>Retirement time reduced.</t>
  </si>
  <si>
    <t>~500' of 2" STL in potential conflict w/roadway &amp; drainage improvements;</t>
  </si>
  <si>
    <t>Relocate facilities or negotiate out of; City of Batavia</t>
  </si>
  <si>
    <t>SC139081356724392043972</t>
  </si>
  <si>
    <t>Revision due to request made by Engineering to remove work in City of Chicago from WO drawings.</t>
  </si>
  <si>
    <t>VW2651203714369943972</t>
  </si>
  <si>
    <t>N13174</t>
  </si>
  <si>
    <t>129207</t>
  </si>
  <si>
    <t>Crew time for retirement costs increased.</t>
  </si>
  <si>
    <t>DOT roadway resurfacing and reconstruction. Reconstruction includes removal of existing storm facilities and the installation of new structures and storm sewer</t>
  </si>
  <si>
    <t>N131741292074390943978</t>
  </si>
  <si>
    <t>COR437</t>
  </si>
  <si>
    <t>GLENWOOD</t>
  </si>
  <si>
    <t>COR437-4387143979</t>
  </si>
  <si>
    <t>120391</t>
  </si>
  <si>
    <t>Project wend on hold while determining easement feasiblity from Land.</t>
  </si>
  <si>
    <t>Restoration and crew time increased due to difficult install/congestion of utilities.
Revision did not impact PCTS estimate (added underdrains).</t>
  </si>
  <si>
    <t>IDOT Roadway Improvements; 8" and 4" steel; East Ave (Joliet Rd to 55th St)</t>
  </si>
  <si>
    <t>M106931203914349743986</t>
  </si>
  <si>
    <t>Revision due to request made by Village to add details.</t>
  </si>
  <si>
    <t>NBA17904491506374385243986</t>
  </si>
  <si>
    <t>NBA1824145</t>
  </si>
  <si>
    <t>150680</t>
  </si>
  <si>
    <t>Region Review due 5/22; plans approved on 6/1</t>
  </si>
  <si>
    <t>260' of 2" PE system improvement</t>
  </si>
  <si>
    <t>NBA18241451506804394343986</t>
  </si>
  <si>
    <t>Revision due to request made by Village to remove retired main.</t>
  </si>
  <si>
    <t>M113981204684393443990</t>
  </si>
  <si>
    <t>Revision due to request made by Engineering to expand scope.</t>
  </si>
  <si>
    <t>RS6183021054376143992</t>
  </si>
  <si>
    <t>COR446</t>
  </si>
  <si>
    <t>GALENA</t>
  </si>
  <si>
    <t>12 Sites</t>
  </si>
  <si>
    <t>COR446-4391343999</t>
  </si>
  <si>
    <t>SC17459</t>
  </si>
  <si>
    <t>140789</t>
  </si>
  <si>
    <t>Construction cost reduced due to rev to reduce scope based on revised DOT plans.</t>
  </si>
  <si>
    <t>~1,000' of 2" &amp; 4" STL in potential conflict w/storm sewer and drainage improvements; Main Street &amp; Will Center Road</t>
  </si>
  <si>
    <t>Relocate facilities or negotiate out of; City of Monee</t>
  </si>
  <si>
    <t>SC174591407894393743999</t>
  </si>
  <si>
    <t>MR1420</t>
  </si>
  <si>
    <t>320477</t>
  </si>
  <si>
    <t>Retire separating valve 2230364 by cutting and capping existing main.</t>
  </si>
  <si>
    <t>Ontario St &amp; Kenilworth Ave</t>
  </si>
  <si>
    <t>MR14203204774396343999</t>
  </si>
  <si>
    <t>MR1421</t>
  </si>
  <si>
    <t>320478</t>
  </si>
  <si>
    <t>Retire separating valve 2230106 by cutting and capping existing main.</t>
  </si>
  <si>
    <t>Humphrey Ave &amp; South Blvd</t>
  </si>
  <si>
    <t>MR14213204784396343999</t>
  </si>
  <si>
    <t>MR1419</t>
  </si>
  <si>
    <t>320476</t>
  </si>
  <si>
    <t>Retire separating valve 2230107 by cutting and capping existing main.</t>
  </si>
  <si>
    <t>Ontario St &amp; Forest Ave</t>
  </si>
  <si>
    <t>MR14193204764396344000</t>
  </si>
  <si>
    <t>M11298</t>
  </si>
  <si>
    <t>120488</t>
  </si>
  <si>
    <t>Work area protection increased, retirement crew time increased</t>
  </si>
  <si>
    <t>~1,300' of 2" main in conflict with proposed storm sewer; potiental long side service on Prospect Ave btwn Hillgrove and Walker.</t>
  </si>
  <si>
    <t>M112981204884395844006</t>
  </si>
  <si>
    <t>N13174-1</t>
  </si>
  <si>
    <t>129230</t>
  </si>
  <si>
    <t>N13174-11292304390944006</t>
  </si>
  <si>
    <t>MR1418</t>
  </si>
  <si>
    <t>320481</t>
  </si>
  <si>
    <t>LAGRANGE</t>
  </si>
  <si>
    <t>Retire separating valve 2233015 by cutting and capping existing main.</t>
  </si>
  <si>
    <t>Marison Ave &amp; Plainfield Rd</t>
  </si>
  <si>
    <t>MR14183204814396344006</t>
  </si>
  <si>
    <t>Easement Exhibit</t>
  </si>
  <si>
    <t>Exhibit</t>
  </si>
  <si>
    <t>Land Exhibit</t>
  </si>
  <si>
    <t>M106931203914349744007</t>
  </si>
  <si>
    <t>101153</t>
  </si>
  <si>
    <t>Delayed to determine scope.</t>
  </si>
  <si>
    <t>Scope was expanded after release.
Rev: Revised design per SysOps comments. Scope caused cost to increase.</t>
  </si>
  <si>
    <t>CRA-FV-STRAINER; Add fire valve and strainer to: Vault #1401193 (Dual 5 x 5 Vault);
Inlet/Outlet MAOP =165/25</t>
  </si>
  <si>
    <t>WASHINGTON &amp; MAIN</t>
  </si>
  <si>
    <t>RS6341011534395544007</t>
  </si>
  <si>
    <t>102117</t>
  </si>
  <si>
    <t xml:space="preserve">Revision: Update the WO drawings per SYOP request. These revisions did impact overall construction cost. </t>
  </si>
  <si>
    <t>CRA-FV-STRAINER; Add fire valve and strainer to: Vault #3609334 (Above Ground Vault)
Inlet/Outlet MAOP = 250/60</t>
  </si>
  <si>
    <t>RTE. 73 &amp; W. BLOCK RD.</t>
  </si>
  <si>
    <t>RS6411021174395544007</t>
  </si>
  <si>
    <t>101154</t>
  </si>
  <si>
    <t>CRA-FV-STRAINER; Add fire valve and strainer to: Vault #1401371 (Dual 5 x 5 Vault  );
Inlet/Outlet MAOP = 155/60  Vault downstream of Station 320.</t>
  </si>
  <si>
    <t>HOPPS/STA 320</t>
  </si>
  <si>
    <t>RS6461011544395544007</t>
  </si>
  <si>
    <t>320479</t>
  </si>
  <si>
    <t>Retire separating valve 2224546 by cutting and capping existing main.</t>
  </si>
  <si>
    <t>Wolf Rd &amp; Diversey Ave</t>
  </si>
  <si>
    <t>MR14223204794397044011</t>
  </si>
  <si>
    <t>MR1423</t>
  </si>
  <si>
    <t>320480</t>
  </si>
  <si>
    <t>BERKELEY</t>
  </si>
  <si>
    <t>Retire separating valve 2210310 by cutting and capping existing main.</t>
  </si>
  <si>
    <t>Taft Ave &amp; Electric Ave</t>
  </si>
  <si>
    <t>MR14233204804397044011</t>
  </si>
  <si>
    <t>Revision due to request made by Village to adjust existing utilities.</t>
  </si>
  <si>
    <t>MLP281203444366444012</t>
  </si>
  <si>
    <t>N114491290794349044020</t>
  </si>
  <si>
    <t>N12404</t>
  </si>
  <si>
    <t>129237</t>
  </si>
  <si>
    <t>Crew time added, traffic control crew added, retirement crew time removed</t>
  </si>
  <si>
    <t>~200' of 2" and 6" PE in potential conflict with roadway and drainage improvements;3rd Avenue between 1st Avenue and 2nd Street</t>
  </si>
  <si>
    <t>Relocate facilities or negotiate out of; City of Rock Falls</t>
  </si>
  <si>
    <t>N124041292374397944027</t>
  </si>
  <si>
    <t>N13664</t>
  </si>
  <si>
    <t>129238</t>
  </si>
  <si>
    <t>Crew w/ equipment time added for retirement.</t>
  </si>
  <si>
    <t>Shallow main and long side services in potential conflict with proposed road reconstruction.
Location: Roosevelt Court and Orchard Lane   
Scope: Roosevelt Court - ~300' of main and long side services, Orchard Lane - long side services only.
Create WO drawings for main relocation and list of shallow services needing replacement.</t>
  </si>
  <si>
    <t>N136641292384400144027</t>
  </si>
  <si>
    <t>VW160</t>
  </si>
  <si>
    <t>120473</t>
  </si>
  <si>
    <t>TINLEY PARK</t>
  </si>
  <si>
    <t>Install ~3200' of 4" and ~6400' of 2" PE main (60#), as shown on attached Synergi plots, to replace existing vintage main.</t>
  </si>
  <si>
    <t>Oak Park Avenue &amp; 171st Street</t>
  </si>
  <si>
    <t>Tinley Park</t>
  </si>
  <si>
    <t>BNSF</t>
  </si>
  <si>
    <t>VW1601204734393744027</t>
  </si>
  <si>
    <t>N12983</t>
  </si>
  <si>
    <t>129218</t>
  </si>
  <si>
    <t>POLO</t>
  </si>
  <si>
    <t>2" &amp; 4" in potential conflict w/drainage improvements; Congress Street &amp; Colden Street</t>
  </si>
  <si>
    <t>Relocate facilities or negotiate out of; City of Polo</t>
  </si>
  <si>
    <t>N129831292184393044028</t>
  </si>
  <si>
    <t>N13174-2</t>
  </si>
  <si>
    <t>129236</t>
  </si>
  <si>
    <t>N13174-21292364390944029</t>
  </si>
  <si>
    <t>BS199</t>
  </si>
  <si>
    <t>135674</t>
  </si>
  <si>
    <t>Restoration costs increased, rock boring and hydrovac costs added;
Rev: Added notes/details per the City's request. Revision did not impact construction cost.</t>
  </si>
  <si>
    <t>Install ~1900' of 4" PE and ~700' of 2" PE main, as shown in attached plots, to replace existing vintage/bare steel main.</t>
  </si>
  <si>
    <t>BS1991356744396344039</t>
  </si>
  <si>
    <t>102116</t>
  </si>
  <si>
    <t>Restoration costs decreased.</t>
  </si>
  <si>
    <t>CRA-FV-STRAINER; Add fire valve and strainer to:
Vault #3401415 (Above Ground Vault);
Inlet/Outlet = 110/20</t>
  </si>
  <si>
    <t>S. MAIN &amp; SOUTHVIEW DR.</t>
  </si>
  <si>
    <t>CRA - contains 1" pipe</t>
  </si>
  <si>
    <t>RS6421021164395544040</t>
  </si>
  <si>
    <t>Revision due to request made by IDOT to adjust depth of proposed main.</t>
  </si>
  <si>
    <t>M112601204604380944041</t>
  </si>
  <si>
    <t>129152/
129179</t>
  </si>
  <si>
    <t>Revision due to updated Village DOT plans and design.</t>
  </si>
  <si>
    <t>N12688129152/
1291794370544048</t>
  </si>
  <si>
    <t>NBA1711905</t>
  </si>
  <si>
    <t>Install 26,180' of 2" PE (60#) 6,420' of 4" PE (60#) main._x000D_
Prepare cost estimate and provide estimate to Zach Jarling prior to initiating design for the project.  Only deliverable at this time is the cost estimate.</t>
  </si>
  <si>
    <t>NBA1711905-4404044061</t>
  </si>
  <si>
    <t>RS643</t>
  </si>
  <si>
    <t>102115</t>
  </si>
  <si>
    <t>Project went on hold.</t>
  </si>
  <si>
    <t>CRA-FV-STRAINER; Add fire valve and strainer to: Vault #3401363 (Dual 5 x 5 Vault);_x000D_
Inlet/Outlet MAOP = 60/25</t>
  </si>
  <si>
    <t>NORTH AVE. &amp; MAPLE ST.</t>
  </si>
  <si>
    <t>RS6431021154395544063</t>
  </si>
  <si>
    <t>102114</t>
  </si>
  <si>
    <t xml:space="preserve">CRA-FV-STRAINER; Add fire valve and strainer to: Vault #3401302 (Dual 5 x 5 Vault);
Inlet/Outlet MAOP = 165/60 </t>
  </si>
  <si>
    <t>RS6371021144395544063</t>
  </si>
  <si>
    <t>SC16477</t>
  </si>
  <si>
    <t>135667</t>
  </si>
  <si>
    <t>Construction time estimate increased.</t>
  </si>
  <si>
    <t>~2,600' of 2" steel in conflict w/proposed drainage. Belle Aire Lane &amp; Virginia Street</t>
  </si>
  <si>
    <t>Relocate facilities or negotiate out of; Village of Downers Grove</t>
  </si>
  <si>
    <t>SC164771356674383844064</t>
  </si>
  <si>
    <t>M11783</t>
  </si>
  <si>
    <t>Nicor to close out project</t>
  </si>
  <si>
    <t>Scope: 4"/6" in potential conflict with roadway and drainage improvements.  Possible large relocation scope.
Location:  80th Avenue, 191st Street to 183rd Street
January 2021 Letting Date, May 2021 Construction Date.</t>
  </si>
  <si>
    <t>M11783-4401944069</t>
  </si>
  <si>
    <t>Revision due to revised IDOT plans.</t>
  </si>
  <si>
    <t>N121801292004346844070</t>
  </si>
  <si>
    <t>MR1474</t>
  </si>
  <si>
    <t>Cancelled as EDSR shouldn’t have been assigned to KH</t>
  </si>
  <si>
    <t xml:space="preserve">Section of permeated pipe (2" PE Main) needs to be replaced. The total footage to be replaced - 260ft.Exact limits of replacement will need to be confirmed with Carlton Coleman. ccolema@southernco.com </t>
  </si>
  <si>
    <t>MR14741356874404044074</t>
  </si>
  <si>
    <t>M11352</t>
  </si>
  <si>
    <t>120461</t>
  </si>
  <si>
    <t>WILMETTE</t>
  </si>
  <si>
    <t>Retirement backfill costs increased.</t>
  </si>
  <si>
    <t>~700 ft of 16" steel &amp; other various small sections of other mains potentially in conflict w/ road improvements. Central Ave &amp; Wilmette Ave</t>
  </si>
  <si>
    <t>Relocate facilities or negotiate out of; Village of Wilmette</t>
  </si>
  <si>
    <t>M113521204614381744085</t>
  </si>
  <si>
    <t>129179</t>
  </si>
  <si>
    <t>Permitting</t>
  </si>
  <si>
    <t>Coordination</t>
  </si>
  <si>
    <t>Cross-section exhibit prepared (requested by IDOT, forwarded to KH by Nicor Land) to support Nicor's request to install under pavt.</t>
  </si>
  <si>
    <t>N126881291794370544088</t>
  </si>
  <si>
    <t>SC16807</t>
  </si>
  <si>
    <t>140813</t>
  </si>
  <si>
    <t>HOMER GLEN</t>
  </si>
  <si>
    <t>Labor time increased</t>
  </si>
  <si>
    <t xml:space="preserve">Shallow 2" PE and 4" PE in conflict with proposed storm sewer </t>
  </si>
  <si>
    <t>Relocate facilities or negotiate out of; Village of Homer Glen</t>
  </si>
  <si>
    <t>Homer Glen</t>
  </si>
  <si>
    <t>SC168071408134400144091</t>
  </si>
  <si>
    <t>Revision due to new Cook County Restoration Requirements requiring full ADA ramp designs.</t>
  </si>
  <si>
    <t>BS4031203024361344092</t>
  </si>
  <si>
    <t>NBA1860817</t>
  </si>
  <si>
    <t>pressure set move out with new upstream 23M W/2"mooney regs set a 5psi. Contact is Tyler Newton</t>
  </si>
  <si>
    <t>Diameter varies</t>
  </si>
  <si>
    <t>NBA18608171507064405444099</t>
  </si>
  <si>
    <t>SC18286</t>
  </si>
  <si>
    <t>135692</t>
  </si>
  <si>
    <t>Lucy Crofton</t>
  </si>
  <si>
    <t xml:space="preserve">200' of 4" main is in conflict with culvert in Lyman Ave. &amp; Fairmount Ave. construction is on hold due to the conflict. </t>
  </si>
  <si>
    <t>Contractor hit existing main in Fairmont (Nicor cut &amp; capped, KH to relocate 2" main in Fairmount as well per email from Joel Newton on 09/02/2020).</t>
  </si>
  <si>
    <t>SC182861356924406944099</t>
  </si>
  <si>
    <t>150705</t>
  </si>
  <si>
    <t>RR comments due EOD 09/14</t>
  </si>
  <si>
    <t>WO were removed.</t>
  </si>
  <si>
    <t>NBA#1860817 cut/cap existing 175' 4"stl service with new 100' 4"PE service to new location pic in sketches</t>
  </si>
  <si>
    <t>NBA18608171507054405444099</t>
  </si>
  <si>
    <t>VW229</t>
  </si>
  <si>
    <t>120500</t>
  </si>
  <si>
    <t>Install ~200' of 4" and ~13500' of 2" PE main, as shown on attached Synergi plots, to replace existing vintage steel and plastic main.</t>
  </si>
  <si>
    <t>VW2291205004401944110</t>
  </si>
  <si>
    <t>Revision due to new Cook County Restoration Requirements requiring 14 full ADA ramp designs.</t>
  </si>
  <si>
    <t>BS1151204064378344111</t>
  </si>
  <si>
    <t>N13054</t>
  </si>
  <si>
    <t>CHERRY VALLEY</t>
  </si>
  <si>
    <t>Scope: 1000' of 2" STL main, potential conflict with Sanitary sewer and service.
Location: Shelburne Drive
Pre-con meeting: Aug 12, 2020
Project driven by Rock River Water Reclamation District</t>
  </si>
  <si>
    <t xml:space="preserve">Project is currently under construction. no conflicts to date as of 10/2 per conversation with PM Tyler Nelson. </t>
  </si>
  <si>
    <t>N13054-4409644112</t>
  </si>
  <si>
    <t>N13279</t>
  </si>
  <si>
    <t>129260</t>
  </si>
  <si>
    <t>Steve Pelrine</t>
  </si>
  <si>
    <t xml:space="preserve">Scope: conflict w/proposed storm structure and storm sewer. Approx. 100' of 4", 100' of 6"and 500' of 2" relocation. no letting date available. </t>
  </si>
  <si>
    <t>Relocate facilities or negotiate out of; Village of Carpentersville</t>
  </si>
  <si>
    <t>Carpenterville</t>
  </si>
  <si>
    <t>N132791292604403444112</t>
  </si>
  <si>
    <t>SC11593</t>
  </si>
  <si>
    <t xml:space="preserve"> 4" PE is in conflict with proposed grading and culvert;</t>
  </si>
  <si>
    <t>SC11593-4403444119</t>
  </si>
  <si>
    <t>M10160</t>
  </si>
  <si>
    <t>120422</t>
  </si>
  <si>
    <t xml:space="preserve">KH provided recommendation to Nicor on PH I for culvert installation  (10/08). KH received confirmation from Nicor via phone (10/13) to approve recommendation. KH to follow up with DOT with recommendation letter. </t>
  </si>
  <si>
    <t>M101601204224359244119</t>
  </si>
  <si>
    <t>SC181331356964406944119</t>
  </si>
  <si>
    <t>MR1344</t>
  </si>
  <si>
    <t>140805</t>
  </si>
  <si>
    <t>ST GEORGE</t>
  </si>
  <si>
    <t>Nicor construction year was updated.</t>
  </si>
  <si>
    <t>41.19247891, -87.77766594
Water crossing - ditch / 1966 coated steel 4in in diameter / poor condition / coal tar coating type / length of exposure 25ft / under water conditions / replace/re-route due to damaged coating cause by rocks/debris / damage is present</t>
  </si>
  <si>
    <t>MR13441408054403444119</t>
  </si>
  <si>
    <t>NBA1861521</t>
  </si>
  <si>
    <t>150719</t>
  </si>
  <si>
    <t>BROADVIEW</t>
  </si>
  <si>
    <t>Due to limited space to install 11M meter with 7X7 pad need to move 4" service over 30 feet to the south.</t>
  </si>
  <si>
    <t>11M</t>
  </si>
  <si>
    <t>NBA18615211507194409644123</t>
  </si>
  <si>
    <t>150718</t>
  </si>
  <si>
    <t>Install PO items were removed</t>
  </si>
  <si>
    <t>NBA18615211507184409644123</t>
  </si>
  <si>
    <t>N12607</t>
  </si>
  <si>
    <t>129265</t>
  </si>
  <si>
    <t>Flagger time increased.</t>
  </si>
  <si>
    <t>200' of 2", 4" &amp; 6" steel and PE in conflict with proposed road reconstruction/drainage. National Pkwy., Woodfield to Golf</t>
  </si>
  <si>
    <t>N126071292654380944124</t>
  </si>
  <si>
    <t>135683</t>
  </si>
  <si>
    <t>Work area protection &amp; restoration costs increased;
Rev: Addressed permitting comments &amp; adjusted tie-in for future WO. Revisions reduced scope &amp; decreased the original construction cost.</t>
  </si>
  <si>
    <t>~1,600' of 12" MOP main in potential conflict w/ proposed road improvements and ditch cuts; Kirk Road &amp; Dunham Road</t>
  </si>
  <si>
    <t>Relocate facilities; Kane County DOT</t>
  </si>
  <si>
    <t>SC167041356834374244124</t>
  </si>
  <si>
    <t>VW651204374385244124</t>
  </si>
  <si>
    <t>Install 6400' of 6" PE, 3400' of 4" PE, and ~2500' of 2" PE main (60#), as shown in attached Synergi plots, to replace existing vintage/bare steel main.</t>
  </si>
  <si>
    <t>VW841408114403444126</t>
  </si>
  <si>
    <t>M106931203914349744131</t>
  </si>
  <si>
    <t>SC18462</t>
  </si>
  <si>
    <t>~100' of 6" main potential conflict with proposed pad mount.; 127th St and Essington Rd</t>
  </si>
  <si>
    <t>Relocate facilities or negotiate out of; Comed</t>
  </si>
  <si>
    <t>SC18462-4413144133</t>
  </si>
  <si>
    <t>Revision due to request made by Engineering to extend tie-in.</t>
  </si>
  <si>
    <t>VW651204374385244133</t>
  </si>
  <si>
    <t>SC15413</t>
  </si>
  <si>
    <t>Mike Diorio</t>
  </si>
  <si>
    <t>Scope: 200' Conflict with proposed traffic signal post/MA
IDOT# 70A65</t>
  </si>
  <si>
    <t>SC15413-4409944138</t>
  </si>
  <si>
    <t>140804</t>
  </si>
  <si>
    <t>Project was pending dimpling analysis</t>
  </si>
  <si>
    <t>40.67911735, -89.00273624
Water crossing - creek bottom / operating pressure 225psi / 1966 coated steel 2in in diameter / coal tar coating type / condition is poor / under water conditions / length of exposure is 8ft / replace or re-route main due to coating damage from floating debris and rocks</t>
  </si>
  <si>
    <t>Woodford</t>
  </si>
  <si>
    <t>MR13411408044403444139</t>
  </si>
  <si>
    <t>Revision due to request made by Engineering to eliminate MOP stub &amp; add jumper.</t>
  </si>
  <si>
    <t>MR14233204804397044145</t>
  </si>
  <si>
    <t>SC18270</t>
  </si>
  <si>
    <t>200' of 4" Steel is in conflict with proposed development (driveway).</t>
  </si>
  <si>
    <t>SC18270-4413144145</t>
  </si>
  <si>
    <t>Revision due to adjusting reimbursable limits based IDOT negotiations.</t>
  </si>
  <si>
    <t>N121801292004346844147</t>
  </si>
  <si>
    <t>VW265-1</t>
  </si>
  <si>
    <t>120482</t>
  </si>
  <si>
    <t>Crew time and flaggers added due to difficult install.
Revision to address OUC restoration requirements.</t>
  </si>
  <si>
    <t>VW265-11204824416644147</t>
  </si>
  <si>
    <t>N14017</t>
  </si>
  <si>
    <t>~100' of 2" conflict with proposed storm sewer and manholes in new subdivision</t>
  </si>
  <si>
    <t>N14017-4413144147</t>
  </si>
  <si>
    <t>VW84-1</t>
  </si>
  <si>
    <t>ICR</t>
  </si>
  <si>
    <t>VW84-11408074403444152</t>
  </si>
  <si>
    <t>M11926</t>
  </si>
  <si>
    <t>120530</t>
  </si>
  <si>
    <t xml:space="preserve">Revision expanded scope, post camera inspections added, Excess landscape restoration and tree removal added, </t>
  </si>
  <si>
    <t>~2000' of 2" vintage Steel main conflict with proposed storm sewer and water main; location: Surrey Lane (Glenview Rd to Central Rd);</t>
  </si>
  <si>
    <t>Relocate facilities as QIP-Support; Village</t>
  </si>
  <si>
    <t>M119261205304411044155</t>
  </si>
  <si>
    <t>VW124</t>
  </si>
  <si>
    <t>120514</t>
  </si>
  <si>
    <t>MARKHAM</t>
  </si>
  <si>
    <t>Install ~5900' of 6" STL, ~2000' of 4" PE, and ~5600' of 2" PE main (28#), to replace existing vintage steel main.</t>
  </si>
  <si>
    <t>Markham</t>
  </si>
  <si>
    <t>VW1241205144403444159</t>
  </si>
  <si>
    <t>SC17752</t>
  </si>
  <si>
    <t>135691</t>
  </si>
  <si>
    <t>Crew time added.</t>
  </si>
  <si>
    <t>~800' of 2", 6" &amp; 8" STL in potential conflict w/proposed underground infrastructure; Washington St &amp; Aurora Ave.</t>
  </si>
  <si>
    <t>SC177521356914395844159</t>
  </si>
  <si>
    <t>MR1492</t>
  </si>
  <si>
    <t>Nicor cancelled project due to no response from FO</t>
  </si>
  <si>
    <t xml:space="preserve">Leaking 10" valve at 4811 Oakton - Skokie. Main is very deep and under a fence. </t>
  </si>
  <si>
    <t>Compliance Date: 8/3/21</t>
  </si>
  <si>
    <t>MR1492-4411044166</t>
  </si>
  <si>
    <t>SC17919</t>
  </si>
  <si>
    <t>140823</t>
  </si>
  <si>
    <t>Region Review due 11/10; held for ENV</t>
  </si>
  <si>
    <t>Construction time increased.</t>
  </si>
  <si>
    <t>~6,500' of 2" in potential conflict w/ road and drainage improvements.</t>
  </si>
  <si>
    <t>Relocate facilities or negotiate out of; City of Lockport</t>
  </si>
  <si>
    <t>SC179191408234400144166</t>
  </si>
  <si>
    <t>135708</t>
  </si>
  <si>
    <t>Crew time increased, additional shore boxes and road plates.</t>
  </si>
  <si>
    <t>Replace ~2,200' of 8" main due to depth concerns; Kress Rd and IL 38; Sec: 200030605RS</t>
  </si>
  <si>
    <t>SC177861357084411044167</t>
  </si>
  <si>
    <t>RS666</t>
  </si>
  <si>
    <t>101160</t>
  </si>
  <si>
    <t>Construction time reduced.</t>
  </si>
  <si>
    <t>Add fire valve and strainer to: Vault #1101031
HOBSON AND W SIDE RT 53, Woodridge 
Dual 5 x 5 Vault, Inlet/Outlet MAOP = 155/60</t>
  </si>
  <si>
    <t>RS6661011604410544169</t>
  </si>
  <si>
    <t>NBA1941729</t>
  </si>
  <si>
    <t>329313</t>
  </si>
  <si>
    <t>527 South ST, Woodstock Memorial Hospital For Mchenry County  4" steel cut with 23M removal</t>
  </si>
  <si>
    <t>NBA19417293293134414744174</t>
  </si>
  <si>
    <t>N13191</t>
  </si>
  <si>
    <t>CARPERNTERSVILLE</t>
  </si>
  <si>
    <t>~2,500' of 4"/8" main potential conflict with proposed development (sidewalk, lighting plan); Bolz Rd and IL 25 (south of Longmeadow Parkway expansion)</t>
  </si>
  <si>
    <t>N13191-4414044176</t>
  </si>
  <si>
    <t>102125</t>
  </si>
  <si>
    <t>Nicor personnel time increased.</t>
  </si>
  <si>
    <t>Add fire valve and strainer to: Vault #3101100
PALATINE RD./WINSTON DR, Palatine 
Dual 5 x 5 Vault, Inlet/Outlet MAOP = 60/25</t>
  </si>
  <si>
    <t>RS6671021254410544179</t>
  </si>
  <si>
    <t>MR1513</t>
  </si>
  <si>
    <t>135710</t>
  </si>
  <si>
    <t>Retire partition valve 1127000</t>
  </si>
  <si>
    <t>Winfield</t>
  </si>
  <si>
    <t>MR15131357104412644179</t>
  </si>
  <si>
    <t>N13515</t>
  </si>
  <si>
    <t>129261</t>
  </si>
  <si>
    <t>Crew time reduced.</t>
  </si>
  <si>
    <t>4" MOP in conflict with roadway and drainage improvement; IL Route 72 and State Street</t>
  </si>
  <si>
    <t>Hampshire</t>
  </si>
  <si>
    <t>N135151292614397944182</t>
  </si>
  <si>
    <t>MR1365</t>
  </si>
  <si>
    <t>140827</t>
  </si>
  <si>
    <t>Nicor personnel and traffic control time increased.</t>
  </si>
  <si>
    <t xml:space="preserve">
Creek - replace 4" MOP (230#) due to exposure from soil erosion</t>
  </si>
  <si>
    <t>Exposed main; 40.38525228, -89.05924756</t>
  </si>
  <si>
    <t>McClean</t>
  </si>
  <si>
    <t>MR13651408274409944182</t>
  </si>
  <si>
    <t>PRIM476</t>
  </si>
  <si>
    <t>129300</t>
  </si>
  <si>
    <t>Construction time Increased.</t>
  </si>
  <si>
    <t>Install ~700' of 4" PE main (25#), replacing existing 2" main, as shown on attached Synergi plots.</t>
  </si>
  <si>
    <t>PRIM4761293004416644188</t>
  </si>
  <si>
    <t>SC17753</t>
  </si>
  <si>
    <t>140847</t>
  </si>
  <si>
    <t>200' of 2" main in conflict with proposed guardrail, storm sewer and culvert; Gregory St and Cardinal Ct (West of Main ST)</t>
  </si>
  <si>
    <t>SC177531408474414044202</t>
  </si>
  <si>
    <t>140838</t>
  </si>
  <si>
    <t>Revision to remove ReDOT portion decreased estimate.</t>
  </si>
  <si>
    <t>SC177531408384414044202</t>
  </si>
  <si>
    <t>140844</t>
  </si>
  <si>
    <t>additional flaggers and restoration.</t>
  </si>
  <si>
    <t>1000' of 10" and 2" main in potential conflict with proposed roadway and utility improvements, E Washington St (Warner St to S Mercer Ave)</t>
  </si>
  <si>
    <t>SC157921408444366144203</t>
  </si>
  <si>
    <t>120533</t>
  </si>
  <si>
    <t>Additional Flaggers and hauling added.</t>
  </si>
  <si>
    <t>&gt;1000' of 2",4", 8", 16" &amp; 36" main potential conflict with water main, storm sewer, catch basin, manholes; Oak Park Ave (Harrison St to Augusta St)</t>
  </si>
  <si>
    <t>M119671205334412644203</t>
  </si>
  <si>
    <t>RS682</t>
  </si>
  <si>
    <t>102126</t>
  </si>
  <si>
    <t>Fire valve meets 25' requirement.</t>
  </si>
  <si>
    <t>Add fire valve to: Vault #340170, 1ST ST. &amp; DRESSER RD., Dual 5 x 5 Vault, Inlet/Outlet MAOP = 165/60</t>
  </si>
  <si>
    <t>CRA-FV</t>
  </si>
  <si>
    <t>RS6821021264416644207</t>
  </si>
  <si>
    <t>RS687</t>
  </si>
  <si>
    <t>Add strainer to: Vault #3201501
MAIN ST. &amp;  KAINER AVE, Barrington
Aboveground Vault, Inlet/Outlet MAOP = 60/25</t>
  </si>
  <si>
    <t>RS687-4417644208</t>
  </si>
  <si>
    <t>RS697</t>
  </si>
  <si>
    <t>ROSELLE</t>
  </si>
  <si>
    <t>PRIM465 (NIcor designed) will be retiring this vault</t>
  </si>
  <si>
    <t>Add strainer to: Vault #1101221
Myrtle Park / Pratt, Roselle
Dual 5 x 5 Vault, Inlet/Outlet MAOP = 60/25</t>
  </si>
  <si>
    <t>RS697-4418844209</t>
  </si>
  <si>
    <t>Revision due to revised IDOT design.</t>
  </si>
  <si>
    <t>N121801292004346844210</t>
  </si>
  <si>
    <t>RS698</t>
  </si>
  <si>
    <t>101163</t>
  </si>
  <si>
    <t>BLOOMINGDALE</t>
  </si>
  <si>
    <t>Add strainer to: Vault #1101218
PARK/BLOOMINGDALE, Bloomingdale
Dual 5 x 5 Vault, Inlet/Outlet MAOP = 60/25</t>
  </si>
  <si>
    <t>RS6981011634418844211</t>
  </si>
  <si>
    <t>M11612</t>
  </si>
  <si>
    <t>120536</t>
  </si>
  <si>
    <t>Eng RR Comments (1/6), due 12/21.</t>
  </si>
  <si>
    <t>Crew time and restoration costs increased.</t>
  </si>
  <si>
    <t>12" main in conflict with bridge improvements; Cermak &amp; 25th. Project to tie into WO120542</t>
  </si>
  <si>
    <t>Relocate &amp; make system improvements per cooridnation with Eng &amp; SP; IDOT</t>
  </si>
  <si>
    <t>Broadview</t>
  </si>
  <si>
    <t>M116121205364409044214</t>
  </si>
  <si>
    <t>Revision due to City permitting comments.</t>
  </si>
  <si>
    <t>SC177861357084411044214</t>
  </si>
  <si>
    <t>Silent Revision</t>
  </si>
  <si>
    <t>NBA19417293293134414744217</t>
  </si>
  <si>
    <t>Revision due to County permitting comments.</t>
  </si>
  <si>
    <t>SC167041356834374244217</t>
  </si>
  <si>
    <t>RS657</t>
  </si>
  <si>
    <t xml:space="preserve">Extend 1600' of 4" PE main 60# to the south, tying into outlet of facility 3401701. </t>
  </si>
  <si>
    <t xml:space="preserve">TW# 3401515 is a planned 2021 V&amp;TW Replacement Program project due to its high DIMP Ranking Score of 45. </t>
  </si>
  <si>
    <t>Dekalb</t>
  </si>
  <si>
    <t>RS6571021264406844217</t>
  </si>
  <si>
    <t>140838 / 140847</t>
  </si>
  <si>
    <t>Revision due to Town permitting &amp; restoration comments.</t>
  </si>
  <si>
    <t>SC17753140838 / 1408474414044217</t>
  </si>
  <si>
    <t>SC184631408524416644217</t>
  </si>
  <si>
    <t>SC15825</t>
  </si>
  <si>
    <t>140772</t>
  </si>
  <si>
    <t>Closed out due to inactivity</t>
  </si>
  <si>
    <t>10" MOP in potential conflict with proposed development (Wilkens Foodservice)</t>
  </si>
  <si>
    <t>Relocate facilities, Private Developer</t>
  </si>
  <si>
    <t>SC158251407724385444222</t>
  </si>
  <si>
    <t>SC17434-2</t>
  </si>
  <si>
    <t>135690</t>
  </si>
  <si>
    <t>Closed out as main will be relocated on SC17434-1</t>
  </si>
  <si>
    <t>~50' of 4" steel MOP main in conflict w/ guardrails.</t>
  </si>
  <si>
    <t>Negotiate out of; IDOT</t>
  </si>
  <si>
    <t>SC17434-21356904407144222</t>
  </si>
  <si>
    <t>SC17736</t>
  </si>
  <si>
    <t>140850</t>
  </si>
  <si>
    <t>Negligible change. Install PO increased. Retirement PO decreased</t>
  </si>
  <si>
    <t>~2,000' of 2" shallow main (potholed by city of Joliet) on Mason Ave; Mason Ave and Clement St.</t>
  </si>
  <si>
    <t>SC177361408504417644222</t>
  </si>
  <si>
    <t>SC177861357084411044222</t>
  </si>
  <si>
    <t>CRA-MR</t>
  </si>
  <si>
    <t>MR1499</t>
  </si>
  <si>
    <t>140834</t>
  </si>
  <si>
    <t>RANTOUL</t>
  </si>
  <si>
    <t>Retire partition valve 4545325</t>
  </si>
  <si>
    <t>CRA-PV</t>
  </si>
  <si>
    <t>Rantoul</t>
  </si>
  <si>
    <t>MR14991408344412644224</t>
  </si>
  <si>
    <t>M10892</t>
  </si>
  <si>
    <t>320547</t>
  </si>
  <si>
    <t>500' of 2" steel and 2" PE in  potential conflict with proposed storm chamber. Marvin Pkwy. at Seminary Ave; April 2020</t>
  </si>
  <si>
    <t>Conflicts are with WO to be retired; City of Park Ridge</t>
  </si>
  <si>
    <t>M108923205474366144228</t>
  </si>
  <si>
    <t>Revision due to permitting comments from the City.</t>
  </si>
  <si>
    <t>M116121205364409044228</t>
  </si>
  <si>
    <t>120531/1211117</t>
  </si>
  <si>
    <t>Pending ConOps approval.</t>
  </si>
  <si>
    <t>~500' of 2" and 6" main is in conflict with proposed 72" Storm Sewer; ~300' of 12" MOP main in conflict with culvert improvements; 135th Street and South End Lane, Loomis Lane, Calumet Sag Road.</t>
  </si>
  <si>
    <t>Relocate facilites; MWRD,  Village of Crestwood; Scope expansion to remove 12" 1940s main north of DOT scope from system</t>
  </si>
  <si>
    <t>Crestwood</t>
  </si>
  <si>
    <t>M10948120531/12111174409944228</t>
  </si>
  <si>
    <t>BS578</t>
  </si>
  <si>
    <t>120537</t>
  </si>
  <si>
    <t>EVERGREEN PARK</t>
  </si>
  <si>
    <t>Install ~2100' of 6" PE, ~2600' of 4" PE and ~13100' of 2" PE main (28#) to replace existing vintage/bare steel main.</t>
  </si>
  <si>
    <t>Portion of project is within City of Chicago. No Cook County Roads.</t>
  </si>
  <si>
    <t>Evergreen Park</t>
  </si>
  <si>
    <t>CSXR</t>
  </si>
  <si>
    <t>BS5781205374413844229</t>
  </si>
  <si>
    <t>SC18659</t>
  </si>
  <si>
    <t>140854</t>
  </si>
  <si>
    <t>200' of 6" main potential conflict with proposed driveway and storm sewer; Laraway Rd and Centerpoint way</t>
  </si>
  <si>
    <t>UPRR</t>
  </si>
  <si>
    <t>SC186591408544417644230</t>
  </si>
  <si>
    <t>129299</t>
  </si>
  <si>
    <t>Nicor personnel time was increased.</t>
  </si>
  <si>
    <t>Retire partition valve 3597529</t>
  </si>
  <si>
    <t>Boone, Winnebago</t>
  </si>
  <si>
    <t>MR15081292994412644231</t>
  </si>
  <si>
    <t>Revision due to restoration &amp; permitting comments from the Village.</t>
  </si>
  <si>
    <t>BS1991356744396344232</t>
  </si>
  <si>
    <t>SC18574</t>
  </si>
  <si>
    <t>300' of 8" main potential conflict with proposed sanitary and storm sewer along with Jack pit.</t>
  </si>
  <si>
    <t xml:space="preserve">Relocate facilities or Negotiate out of; City of Joliet </t>
  </si>
  <si>
    <t>SC18574-4420344236</t>
  </si>
  <si>
    <t>SC175511408304388744237</t>
  </si>
  <si>
    <t>120557</t>
  </si>
  <si>
    <t>PALOS HEIGHTS</t>
  </si>
  <si>
    <t>Additional Flaggers added.</t>
  </si>
  <si>
    <t>~2,500' of 2"/4"/8" main potential conflict with proposed storm sewer, manholes; 123rd Street (76th Eve to 72nd Street)</t>
  </si>
  <si>
    <t>Relocate facilities or negotiate out of; City (IDOT Local Roads)</t>
  </si>
  <si>
    <t>M120631205574417244237</t>
  </si>
  <si>
    <t>NBA1930113</t>
  </si>
  <si>
    <t>168673</t>
  </si>
  <si>
    <t>Install ~645' 4" Main, 589' 4" service, U11M Meter</t>
  </si>
  <si>
    <t>NBA19301131686734420344237</t>
  </si>
  <si>
    <t>168674</t>
  </si>
  <si>
    <t>NBA19301131686744420344237</t>
  </si>
  <si>
    <t>168675</t>
  </si>
  <si>
    <t>NBA19301131686754420344237</t>
  </si>
  <si>
    <t>Revision to incorporate adjacent WO 140802.</t>
  </si>
  <si>
    <t>SC179191408234400144239</t>
  </si>
  <si>
    <t>RS689</t>
  </si>
  <si>
    <t>102132</t>
  </si>
  <si>
    <t>FOX RIVER GROVE</t>
  </si>
  <si>
    <t>Add strainer to: Vault #3201079
ALGONQUIN RD. &amp; BRAEBURN RD., Fox River Grove
Dual 5 x 5 Vault, Inlet/Outlet MAOP = 230/60</t>
  </si>
  <si>
    <t>Fox River Grove</t>
  </si>
  <si>
    <t>Algonquin</t>
  </si>
  <si>
    <t>RS6891021324417644243</t>
  </si>
  <si>
    <t>Revision due to Village permitting comments.</t>
  </si>
  <si>
    <t>M119261205304411044244</t>
  </si>
  <si>
    <t>N13647</t>
  </si>
  <si>
    <t>129312</t>
  </si>
  <si>
    <t>Post inspection camera added, retirement crew time added.</t>
  </si>
  <si>
    <t>~4500' of 2"/6" main potential conflict with proposed inlets, manholes and storm sewer; 1st Ave ( 5th St to Lefevre Rd)</t>
  </si>
  <si>
    <t>N136471293124416644245</t>
  </si>
  <si>
    <t>109166</t>
  </si>
  <si>
    <t>Add strainer to: Vault #2101010
W LAKE/ELMDALE, Glenview
Dual 5 x 5 Vault, Inlet/Outlet MAOP = 60/25</t>
  </si>
  <si>
    <t>UPR</t>
  </si>
  <si>
    <t>RS6941091664417644251</t>
  </si>
  <si>
    <t>Revision due to IDOT comments to adjust running line.</t>
  </si>
  <si>
    <t>M119671205334412644252</t>
  </si>
  <si>
    <t>Revision due to Environmental comments.</t>
  </si>
  <si>
    <t>SC177861357084411044253</t>
  </si>
  <si>
    <t>PRIM4801357114416644259</t>
  </si>
  <si>
    <t>135709</t>
  </si>
  <si>
    <t>PCTS investment amount originally submitted was incorrect.</t>
  </si>
  <si>
    <t>Install ~5400' of 12" MOP main (MOP 230#) to replace existing vintage steel main.</t>
  </si>
  <si>
    <t>Project surrounds WO 135683.</t>
  </si>
  <si>
    <t>VW3961357094413844260</t>
  </si>
  <si>
    <t>Revision due to Engineering comments to adjust fittings.</t>
  </si>
  <si>
    <t>SC167041356834374244264</t>
  </si>
  <si>
    <t>SC16061</t>
  </si>
  <si>
    <t>135728</t>
  </si>
  <si>
    <t>Permanent restoration reduced.</t>
  </si>
  <si>
    <t>~150' of 4" main potential conflict with proposed storm sewer; PENNSYLVANIA AVE and MAIN ST</t>
  </si>
  <si>
    <t>SC160611357284423544266</t>
  </si>
  <si>
    <t>Revision due to expanded Village project scope.</t>
  </si>
  <si>
    <t>M119261205304411044272</t>
  </si>
  <si>
    <t>VW19</t>
  </si>
  <si>
    <t>120550</t>
  </si>
  <si>
    <t>Install ~5178' of 2" PE main (28#), to replace existing bare steel main.  WO to be designed &amp; constructed in association w/ adjacent project BS578.</t>
  </si>
  <si>
    <t>87th is State Road (maintained by others); No Cook County Roads</t>
  </si>
  <si>
    <t>VW191205504418844273</t>
  </si>
  <si>
    <t>Revision due to Chicago restoration requirements.</t>
  </si>
  <si>
    <t>VW265-11204824416644274</t>
  </si>
  <si>
    <t>RS6961011624418844274</t>
  </si>
  <si>
    <t>SC18400</t>
  </si>
  <si>
    <t>140858</t>
  </si>
  <si>
    <t>Green Twp</t>
  </si>
  <si>
    <t>100' of 4" MOP main potential conflict with proposed culvert;
2100 E Road between 1500 N Rd and 1600 N Rd (Roanoke, Greene Township)</t>
  </si>
  <si>
    <t>SC184001408584425144277</t>
  </si>
  <si>
    <t>Revision due to City comments to adjust running line.</t>
  </si>
  <si>
    <t>SC167041356834374244278</t>
  </si>
  <si>
    <t>Revision to remove reimbursable portion.</t>
  </si>
  <si>
    <t>SC177531408384414044278</t>
  </si>
  <si>
    <t>N14177</t>
  </si>
  <si>
    <t>129320</t>
  </si>
  <si>
    <t>Added trench backfill for retirement/removal.</t>
  </si>
  <si>
    <t>~200' of 4" &amp; ~200 of 2" main conflict with proposed storm sewer (culvert), Old McHenry Rd (CH32) and Hawthorn Drive</t>
  </si>
  <si>
    <t>N141771293204421544279</t>
  </si>
  <si>
    <t>SC17434-1</t>
  </si>
  <si>
    <t>135693</t>
  </si>
  <si>
    <t>Increased retirement time (will not pursue as revision increased retirement estimate)</t>
  </si>
  <si>
    <t>~5,000' of 12" steel MOP main in conflict w/ guardrails.</t>
  </si>
  <si>
    <t>SC17434-11356934407144279</t>
  </si>
  <si>
    <t>BS297-1</t>
  </si>
  <si>
    <t>120574</t>
  </si>
  <si>
    <t>Main on page 11 of WO120372 was not installed due to construction issues. This main serves several apartment building and will be installed under this WO.</t>
  </si>
  <si>
    <t>Coordinate installation and retirement scope with Joel Newton.</t>
  </si>
  <si>
    <t>Oak Forest</t>
  </si>
  <si>
    <t>BS297-11205744422844280</t>
  </si>
  <si>
    <t>SC17290</t>
  </si>
  <si>
    <t>135720</t>
  </si>
  <si>
    <t>~3,000' of 2" and 4" main conflict with proposed storm sewer, manholes, and pavement improvements ; Julian St (Gartner Rd to Hillside Rd)</t>
  </si>
  <si>
    <t>Lisle</t>
  </si>
  <si>
    <t>SC172901357204417244280</t>
  </si>
  <si>
    <t>VW103</t>
  </si>
  <si>
    <t>120542</t>
  </si>
  <si>
    <t>Install ~7900' of 2" PE main (60#), replacing 10# main and vintage 60# main, of which 2200' is within DIMP project area VW103</t>
  </si>
  <si>
    <t>No state routes; No Cook County Roads</t>
  </si>
  <si>
    <t>VW1031205424420444287</t>
  </si>
  <si>
    <t>M11941</t>
  </si>
  <si>
    <t>Reassigned</t>
  </si>
  <si>
    <t>1000' of 2" main in potential conflict with proposed storm sewer and manholes; Center ave and 1st St</t>
  </si>
  <si>
    <t>EN did a INI/MR Project here in 2020; project was not constructed</t>
  </si>
  <si>
    <t>M11941-4428644291</t>
  </si>
  <si>
    <t>RS6881021334417644293</t>
  </si>
  <si>
    <t>RS6651030734410544293</t>
  </si>
  <si>
    <t>140867</t>
  </si>
  <si>
    <t>~1000' of 2"/4" main potential conflict with proposed storm sewer; Location: N Main St and E main St</t>
  </si>
  <si>
    <t>Hancock</t>
  </si>
  <si>
    <t>Basco</t>
  </si>
  <si>
    <t>SC188141408674423844295</t>
  </si>
  <si>
    <t>140861</t>
  </si>
  <si>
    <t>City removed improvements, revision reduced scope</t>
  </si>
  <si>
    <t>SC188141408614423844295</t>
  </si>
  <si>
    <t>VW22</t>
  </si>
  <si>
    <t>120570</t>
  </si>
  <si>
    <t>POSEN</t>
  </si>
  <si>
    <t>Install ~2300' of 4" and ~11500' of 2" PE main (28#) to replace existing vintage steel main</t>
  </si>
  <si>
    <t>Dixie Hwy (Western) is State Route; No Cook County Roads</t>
  </si>
  <si>
    <t>Posen</t>
  </si>
  <si>
    <t>VW221205704421544298</t>
  </si>
  <si>
    <t>BS194B</t>
  </si>
  <si>
    <t>120551</t>
  </si>
  <si>
    <t>Install ~2000' of 8", 900' of 6" and 8000' of 2" main (28# and 60#), to replace existing vintage/bare steel main.</t>
  </si>
  <si>
    <t>14th is State Road (US 30); No Cook County Roads</t>
  </si>
  <si>
    <t>BS194B1205514418844298</t>
  </si>
  <si>
    <t>VW2291205004401944299</t>
  </si>
  <si>
    <t>N13336</t>
  </si>
  <si>
    <t>129278</t>
  </si>
  <si>
    <t>Construction cost increased due to revision requests to revise plans based on update DOT plans and revised phasing with adjacent downrate/system improvement.</t>
  </si>
  <si>
    <t>~4,500' of 10" steel to be replaced with 12" steel under Investing in Illinois project VW155</t>
  </si>
  <si>
    <t>168777000.1.165</t>
  </si>
  <si>
    <t>N133361292784396244307</t>
  </si>
  <si>
    <t>RS6621021314410544307</t>
  </si>
  <si>
    <t>RS6931091654417644309</t>
  </si>
  <si>
    <t>RS808</t>
  </si>
  <si>
    <t>102134</t>
  </si>
  <si>
    <t>Vault #3101032
OAKTON ST. &amp; WILKE RD., Arlington Heights
Atlas Page: N33301, Dual 5 x 5 Vault
Inlet/Outlet MAOP = 60/25 (6" in / 8" out)</t>
  </si>
  <si>
    <t>CRA-STRAINER; CRA-PV
Included in DIMP Polygon VW129
VW129 - low scoring so 3-5 years. No crossover to strainer so move forward with RS808. 2" w 1945 partition valve. If partition add to this scope. Nicor approval on 2021-0305 (J. Bring).</t>
  </si>
  <si>
    <t>RS8081021344422944313</t>
  </si>
  <si>
    <t>PRIM473</t>
  </si>
  <si>
    <t>129301</t>
  </si>
  <si>
    <t>Construction time increased due to difficult install.</t>
  </si>
  <si>
    <t>Install ~6600' of 4" PE main (60#)</t>
  </si>
  <si>
    <t>Seneca</t>
  </si>
  <si>
    <t>PRIM4731293014416644313</t>
  </si>
  <si>
    <t>REV 1</t>
  </si>
  <si>
    <t>Revision due to revised Village Plans.</t>
  </si>
  <si>
    <t>SC177521356914395844316</t>
  </si>
  <si>
    <t>Revision due to revised IDOT Plans.</t>
  </si>
  <si>
    <t>SC170701204594376144320</t>
  </si>
  <si>
    <t>N14281</t>
  </si>
  <si>
    <t>129336</t>
  </si>
  <si>
    <t>WONDER LAKE</t>
  </si>
  <si>
    <t>~7000' of 2" main potential conflict with proposed storm sewer; Hilltop Rd and Nantucket Rd; Lookout Point subdivision</t>
  </si>
  <si>
    <t>Per cordination with Engineering, KH to replace all main within project scope as Type 3 due to construction commencement in May; Village</t>
  </si>
  <si>
    <t>N142811293364428644321</t>
  </si>
  <si>
    <t>RS8121021364422944323</t>
  </si>
  <si>
    <t>VW97</t>
  </si>
  <si>
    <t>120587</t>
  </si>
  <si>
    <t>MIDLOTHIAN</t>
  </si>
  <si>
    <t>Project delayed 3 weeks due to Globe issues; RR responses were late; last minute scope change and wanted for confirmation</t>
  </si>
  <si>
    <t xml:space="preserve">Install ~4800' of 4" and 16200' of 2" PE main to replace existing vintage steel main.  </t>
  </si>
  <si>
    <t>Main to be replaced is in both Midlothian and Markham.</t>
  </si>
  <si>
    <t>Midlothian</t>
  </si>
  <si>
    <t>VW971205874423244323</t>
  </si>
  <si>
    <t>RS837</t>
  </si>
  <si>
    <t>102153</t>
  </si>
  <si>
    <t>Add fire valve to: Vault #3101210
RAND RD &amp; OLD HICKS RD, Palatine
Atlas Page: N32024; Dual 5 x 5 Vault
Inlet/Outlet MAOP = 150/60</t>
  </si>
  <si>
    <t>RS8371021534423844323</t>
  </si>
  <si>
    <t>RS832</t>
  </si>
  <si>
    <t>102150</t>
  </si>
  <si>
    <t>Add fire valve to: Vault #3201685
DANE &amp; PLEASANT, Woodstock
Atlas Page: NW43062; Dual 5 x 5 Vault
Inlet/Outlet MAOP = 165/25</t>
  </si>
  <si>
    <t>Woodstock</t>
  </si>
  <si>
    <t>RS8321021504423844323</t>
  </si>
  <si>
    <t>RS833</t>
  </si>
  <si>
    <t>102151</t>
  </si>
  <si>
    <t>Add fire valve to: Vault #3201319
MADISON &amp; BAGLEY, Woodstock
Atlas Page: NW43051; Dual 5 x 5 Vault
Inlet/Outlet MAOP = 165/25</t>
  </si>
  <si>
    <t>RS8331021514423844323</t>
  </si>
  <si>
    <t>M123231205984426444326</t>
  </si>
  <si>
    <t>M123231205914426444326</t>
  </si>
  <si>
    <t>Revision due to Environmental delineation.</t>
  </si>
  <si>
    <t>N141771293204421544326</t>
  </si>
  <si>
    <t>SC18817</t>
  </si>
  <si>
    <t>135729</t>
  </si>
  <si>
    <t xml:space="preserve">Revision due to updated DOT plans adjusted design </t>
  </si>
  <si>
    <t>~2000' of 2"/4" main conflict with proposed storm sewer and manholes, Main St and Hillside Ave.</t>
  </si>
  <si>
    <t>Relocate facilities or negotiate out of; Village.
Project adjacent to NBA1707153</t>
  </si>
  <si>
    <t>SC188171357294423544327</t>
  </si>
  <si>
    <t>SC18880</t>
  </si>
  <si>
    <t>135735</t>
  </si>
  <si>
    <t>ADDISON</t>
  </si>
  <si>
    <t>Supervising Engineer reduced PO tab by approximately $2k. Not entirely sure where that came from, but may have gotten rid of misc. restoration costs.</t>
  </si>
  <si>
    <t>300' of 2" PE conflict with proposed development.
Location: 891 S Rohlwing Rd, Addison, IL 60101</t>
  </si>
  <si>
    <t>Relocate facilities or negotiate out of; Private Developer</t>
  </si>
  <si>
    <t>SC188801357354428644328</t>
  </si>
  <si>
    <t>SC17606</t>
  </si>
  <si>
    <t>135738</t>
  </si>
  <si>
    <t>1000' of 2" main potential conflict with proposed storm sewer, sanitary sewer; Center St and Evergreen Ave</t>
  </si>
  <si>
    <t>SC176061357384430144329</t>
  </si>
  <si>
    <t>RS834</t>
  </si>
  <si>
    <t>102152</t>
  </si>
  <si>
    <t>Add fire valve to: Vault #3201188
MCHENRY AVE &amp; ORIOLE TRAIL, Crystal Lake
Atlas Page: NW25053; Dual 5 x 5 Vault
Inlet/Outlet MAOP = 165/25</t>
  </si>
  <si>
    <t>CRA-FV (1940s MOP main)</t>
  </si>
  <si>
    <t>RS8341021524423844329</t>
  </si>
  <si>
    <t>N13672</t>
  </si>
  <si>
    <t>129347</t>
  </si>
  <si>
    <t>Trac excavator and traffic control added</t>
  </si>
  <si>
    <t xml:space="preserve">~2500' of 2" main potential conflict with proposed storm sewer;  Blakely and Hickory Lane </t>
  </si>
  <si>
    <t>N136721293474430144333</t>
  </si>
  <si>
    <t>SC18822</t>
  </si>
  <si>
    <t>140865</t>
  </si>
  <si>
    <t>Assigned to mulitple consultants</t>
  </si>
  <si>
    <t>500' of 6" main potential conflict with proposed storm sewer, bridge replacement; Location FAI 57 and Waldron Rd</t>
  </si>
  <si>
    <t>SC188221408654427244334</t>
  </si>
  <si>
    <t>SC19044</t>
  </si>
  <si>
    <t>335736</t>
  </si>
  <si>
    <t>400' of 2" main potential conflict with proposed development; Army trail trade center</t>
  </si>
  <si>
    <t>SC190443357364428644335</t>
  </si>
  <si>
    <t>N14174</t>
  </si>
  <si>
    <t>129345</t>
  </si>
  <si>
    <t xml:space="preserve">Material estimates and PO estimates updated by Supervising Engineer. </t>
  </si>
  <si>
    <t>500' of 2" main potential conflict with proposed 30" cut (removal of pavement). Beacon Court, Alpine Lane, Devonshire Lane</t>
  </si>
  <si>
    <t>WO 120230: Carthage Lane Road Reconstruction
WO 129236: Flagstaff Lane Road Reconstruction
Relocate facilities or negotiate out of, Village</t>
  </si>
  <si>
    <t>N141741293454427244335</t>
  </si>
  <si>
    <t>N13633</t>
  </si>
  <si>
    <t>129335</t>
  </si>
  <si>
    <t>ELK GROVE VILLAGE</t>
  </si>
  <si>
    <t>Added crew time for difficult install</t>
  </si>
  <si>
    <t>~250' of 6" main in conflict with proposed sewer and ~250' of 6" shallow main condition ; Arlington Heights Rd and Lonsdale Rd</t>
  </si>
  <si>
    <t>Elk Grove Village</t>
  </si>
  <si>
    <t>N136331293354421544335</t>
  </si>
  <si>
    <t>Revision due to System Operations comments.</t>
  </si>
  <si>
    <t>RS6341011534395544336</t>
  </si>
  <si>
    <t>N14016</t>
  </si>
  <si>
    <t>129339</t>
  </si>
  <si>
    <t>HANOVER PARK</t>
  </si>
  <si>
    <t>Added material</t>
  </si>
  <si>
    <t>Scope: 100' of 12"/6" MOP main potential conflict with proposed road widening, gutter and traffic signal cable. Valves needs to be adjusted.</t>
  </si>
  <si>
    <t>N140161293394426444337</t>
  </si>
  <si>
    <t>SC172901357204417244337</t>
  </si>
  <si>
    <t>1013300080007</t>
  </si>
  <si>
    <t>Revision due to IDOT comments to adjust location of ETC.</t>
  </si>
  <si>
    <t>COR44610133000800074391344340</t>
  </si>
  <si>
    <t>RS6681030744410544340</t>
  </si>
  <si>
    <t>N13903</t>
  </si>
  <si>
    <t>129348</t>
  </si>
  <si>
    <t>Scope: 1000' of 2"/4" main conflict with proposed storm sewer.
Location: Cambridge Drive and University Ct</t>
  </si>
  <si>
    <t>N139031293484430644341</t>
  </si>
  <si>
    <t>SC15983</t>
  </si>
  <si>
    <t>135732</t>
  </si>
  <si>
    <t>~5000' of 2" main conflict with proposed storm sewer; Maple St, Pine St, Oak St, Summit Ave, Division St</t>
  </si>
  <si>
    <t>SC159831357324423544348</t>
  </si>
  <si>
    <t>SC18591</t>
  </si>
  <si>
    <t>129349</t>
  </si>
  <si>
    <t>SUBLETTE</t>
  </si>
  <si>
    <t>~2000' of 1" &amp; 2" main potential conflict with road, storm sewer, &amp; sanitary sewer improvements; Chestnut St and E 1st St</t>
  </si>
  <si>
    <t>Sublette</t>
  </si>
  <si>
    <t>SC185911293494430144350</t>
  </si>
  <si>
    <t>SC19028</t>
  </si>
  <si>
    <t>SC19028-4434144351</t>
  </si>
  <si>
    <t>PRIM4801357114416644355</t>
  </si>
  <si>
    <t>MR1733</t>
  </si>
  <si>
    <t>120606</t>
  </si>
  <si>
    <t xml:space="preserve">Relocation ~85' of 4" STL main installed outside of ROW. There is underground contact between the main and foreign utility. </t>
  </si>
  <si>
    <t>Compliance Date: 7/16/2021;
131st is Cook County Road - if impacts to ADA ramps, survey will be required</t>
  </si>
  <si>
    <t>Palos</t>
  </si>
  <si>
    <t>MR17331206064432744356</t>
  </si>
  <si>
    <t>NBA1822993</t>
  </si>
  <si>
    <t>168679</t>
  </si>
  <si>
    <t>8000' of 8" MOP, 1 Vault, 2,750' of 8" 60#, 2 38M Meters</t>
  </si>
  <si>
    <t>NBA Contact: Dante Elmer</t>
  </si>
  <si>
    <t>NBA18229931686794430144357</t>
  </si>
  <si>
    <t>Revision due to ComEd comments.</t>
  </si>
  <si>
    <t>VW1241205144403444361</t>
  </si>
  <si>
    <t>SC17670</t>
  </si>
  <si>
    <t>140831</t>
  </si>
  <si>
    <t>Construction cost increased due to revision to revise running line.</t>
  </si>
  <si>
    <t>~1000' of 2" &amp; 6" in potential conflict w/roadway and drainage improvements; I-55 and IL Route 59</t>
  </si>
  <si>
    <t>SC176701408314390944362</t>
  </si>
  <si>
    <t>MR15211408534417944365</t>
  </si>
  <si>
    <t>RS809</t>
  </si>
  <si>
    <t>102135</t>
  </si>
  <si>
    <t>ROLLING MEADOWS</t>
  </si>
  <si>
    <t>Proposed vault retrofit items removed due to revision/scope update from Nicor CRA team.</t>
  </si>
  <si>
    <t>Vault #3101112
CAMPBELL ST. &amp; WILKE RD., Rolling Meadows
Atlas Page: N32254, Dual 5 x 5 Vault
Inlet/Outlet MAOP = 60/25 (6" in / 8" out)</t>
  </si>
  <si>
    <t>CRA-STRAINER; CRA-PV</t>
  </si>
  <si>
    <t>Rolling Meadows</t>
  </si>
  <si>
    <t>RS8091021354422944370</t>
  </si>
  <si>
    <t>N14634</t>
  </si>
  <si>
    <t>1210152</t>
  </si>
  <si>
    <t xml:space="preserve">reduced reitrement labor time. </t>
  </si>
  <si>
    <t>Scope: 1000' of 4" shallow main. Needs 1-4" PE cut and cap.
Location: Lake wood Blvd and Eagle Way</t>
  </si>
  <si>
    <t>Reimbursable, relocate facilities; Private Development</t>
  </si>
  <si>
    <t>N1463412101524434844370</t>
  </si>
  <si>
    <t>NBA1872593</t>
  </si>
  <si>
    <t>193119</t>
  </si>
  <si>
    <t>Crew time added due to difficult install.
Revision did not impact PCTS cost (permitting comments from RR).</t>
  </si>
  <si>
    <t>For Incobrasa NBA 1872593. Project drawing for 10,750' of 6" steel MOP to replace 4".</t>
  </si>
  <si>
    <t>RR Crossing</t>
  </si>
  <si>
    <t>Gilman</t>
  </si>
  <si>
    <t>Douglas</t>
  </si>
  <si>
    <t>T&amp;PWR</t>
  </si>
  <si>
    <t>NBA18725931931194430844372</t>
  </si>
  <si>
    <t>M12599</t>
  </si>
  <si>
    <t>3210167</t>
  </si>
  <si>
    <t>Supervising engineer updated PO tab, negligible amount.</t>
  </si>
  <si>
    <t>500' of 2" main conflict with proposed demolition. Cut &amp; cap; 837 s riverside drive</t>
  </si>
  <si>
    <t>Elmhurst</t>
  </si>
  <si>
    <t>M1259932101674434844372</t>
  </si>
  <si>
    <t>BS5781205374413844376</t>
  </si>
  <si>
    <t>M10905-1</t>
  </si>
  <si>
    <t>120558</t>
  </si>
  <si>
    <t>Construction cost increased due to revision to change install method near culvert.</t>
  </si>
  <si>
    <t>Scope: 1000' of 2" main conflict with proposed 8"/24" storm sewer; Location: 88th St/Cork Ave at I-294</t>
  </si>
  <si>
    <t>Relocate facilities; Tollway (in conjunction with Cook County); Potential Reimbursable</t>
  </si>
  <si>
    <t>M10905-11205584418844377</t>
  </si>
  <si>
    <t>VW142</t>
  </si>
  <si>
    <t>120595</t>
  </si>
  <si>
    <t>CALUMET PARK</t>
  </si>
  <si>
    <t>Install ~800' of 6", 4400' of 4" and 5300' of 2" PE main (28#) to replace existing vintage steel main.</t>
  </si>
  <si>
    <t>127th &amp; Vermont are IDOT roads.</t>
  </si>
  <si>
    <t>Calumet Park</t>
  </si>
  <si>
    <t>VW1421205954428644377</t>
  </si>
  <si>
    <t>NBA1822993-1</t>
  </si>
  <si>
    <t>1610164</t>
  </si>
  <si>
    <t>Increased construction time</t>
  </si>
  <si>
    <t>2 - ~50' of 4" PE service ,
1 - 56M Upstream Foot Mounted Meter w/ 4" Regs and Side Mounted Outlet (West Meter Set Location).
1 - 38M Upstream Foot Mounted Meter w/ 4" Regs &amp; Side Mounted Outlet (East Meter Set Location).</t>
  </si>
  <si>
    <t xml:space="preserve">Services: WO 1610159 (E) &amp; 1610162 (W)
Meters: WO 1610163 (E) &amp; 1610164 (W) </t>
  </si>
  <si>
    <t>56M</t>
  </si>
  <si>
    <t>NBA1822993-116101644434844378</t>
  </si>
  <si>
    <t>1610163</t>
  </si>
  <si>
    <t>36M</t>
  </si>
  <si>
    <t>NBA1822993-116101634434844378</t>
  </si>
  <si>
    <t>1610159</t>
  </si>
  <si>
    <t>NBA1822993-116101594434844378</t>
  </si>
  <si>
    <t>1610162</t>
  </si>
  <si>
    <t>NBA1822993-116101624434844378</t>
  </si>
  <si>
    <t>SC1609413103304430844378</t>
  </si>
  <si>
    <t>NBA1978449</t>
  </si>
  <si>
    <t>150752</t>
  </si>
  <si>
    <t>Updated contract year</t>
  </si>
  <si>
    <t>Install ~250 of 2" MOP, TW and ~1100' 4" PE service for industrial facility</t>
  </si>
  <si>
    <t>Awaiting final LRC. ENV, SYOPS still need to approve</t>
  </si>
  <si>
    <t>NBA19784491507524431544378</t>
  </si>
  <si>
    <t>SC19277</t>
  </si>
  <si>
    <t>1210165</t>
  </si>
  <si>
    <t>S HOLLAND</t>
  </si>
  <si>
    <t>Removed WAP</t>
  </si>
  <si>
    <t>300' of 2" main potential conflict with proposed storm sewer; South of 162nd St and Ellis Ave (Alley)</t>
  </si>
  <si>
    <t>Relocate facilities or negotiate out of;
S Holland (Private Property)</t>
  </si>
  <si>
    <t>South Holland</t>
  </si>
  <si>
    <t>SC1927712101654432744378</t>
  </si>
  <si>
    <t>NBA1999953</t>
  </si>
  <si>
    <t>1610263</t>
  </si>
  <si>
    <t>Install operator/monitor meter set w/ 23M upstream set for 2301 Shermer Rd.</t>
  </si>
  <si>
    <t>SysOps is Juan Almazan</t>
  </si>
  <si>
    <t>NBA199995316102634433744383</t>
  </si>
  <si>
    <t>1610204</t>
  </si>
  <si>
    <t>NBA199995316102044433744383</t>
  </si>
  <si>
    <t>N1463912103264435544384</t>
  </si>
  <si>
    <t>SC172901357204417244384</t>
  </si>
  <si>
    <t>Revision due to scope removal of upsize &amp; to add design page to retire insulator.</t>
  </si>
  <si>
    <t>VW971205874423244384</t>
  </si>
  <si>
    <t>SC19117</t>
  </si>
  <si>
    <t>200' of 2"/8" MOP main potential conflict with proposed storm sewer and driveway; S Youngs Rd (Clarius Park)</t>
  </si>
  <si>
    <t>Relocate facilities or negotiate out of; Private Developer. Joliet</t>
  </si>
  <si>
    <t>SC19117-4432744385</t>
  </si>
  <si>
    <t>RS818</t>
  </si>
  <si>
    <t>103086</t>
  </si>
  <si>
    <t>REDDICK</t>
  </si>
  <si>
    <t>Additional material added.</t>
  </si>
  <si>
    <t>Replace existing tinwhistle 4301436 with new GCS 471.4 tinwhistle in close proximity to existing location.</t>
  </si>
  <si>
    <t>Kankakee, Livingston</t>
  </si>
  <si>
    <t>Reddick</t>
  </si>
  <si>
    <t>RS8181030864426344391</t>
  </si>
  <si>
    <t>Retire 2" steel; 2" steel in potential conflict with proposed drainage; Kedzie Ave &amp; Claire Blvd;</t>
  </si>
  <si>
    <t>Relocate facilities or negotiate out of; MWRD</t>
  </si>
  <si>
    <t>M10160-11204224359244391</t>
  </si>
  <si>
    <t>RS820</t>
  </si>
  <si>
    <t>103088</t>
  </si>
  <si>
    <t>Replace tinwhistle 4501060 with new GCS 471.4 tinwhistle in close proximity to existing facility.  I:# / O:#</t>
  </si>
  <si>
    <t>Loda, Patton</t>
  </si>
  <si>
    <t>RS8201030884426344392</t>
  </si>
  <si>
    <t>Cost estimate increased due to revised contract year.</t>
  </si>
  <si>
    <t>RS8241030894426344392</t>
  </si>
  <si>
    <t>RS819</t>
  </si>
  <si>
    <t>103087</t>
  </si>
  <si>
    <t>CAMPUS</t>
  </si>
  <si>
    <t>Replace tinwhistle 4301437 with new GCS 471.4 tinwhistle in close proximity to existing location.</t>
  </si>
  <si>
    <t>Livingston</t>
  </si>
  <si>
    <t>RS8191030874426344396</t>
  </si>
  <si>
    <t>RS822</t>
  </si>
  <si>
    <t>102145</t>
  </si>
  <si>
    <t>Replace existing tinwhistle 3201506 with new GCS 471.4 tinwhistle in close proximity to existing facility.</t>
  </si>
  <si>
    <t>TW Venting;
Sys Ops: Jason Meyer; Aurelio Mendez
Con Ops: Tony Cabezas;</t>
  </si>
  <si>
    <t>Alden</t>
  </si>
  <si>
    <t>RS8221021454429244396</t>
  </si>
  <si>
    <t>Revision due to environmental updates requested by Lake County SMC.</t>
  </si>
  <si>
    <t>N133361292784396244397</t>
  </si>
  <si>
    <t>Revision due to revised wetland delineation information.</t>
  </si>
  <si>
    <t>RS6621021314410544397</t>
  </si>
  <si>
    <t>RS826</t>
  </si>
  <si>
    <t>102146</t>
  </si>
  <si>
    <t>ELBURN</t>
  </si>
  <si>
    <t>Construction cost increased due to revision request from County to remove previously abandoned main.</t>
  </si>
  <si>
    <t xml:space="preserve">Replace existing regulation facility 3401559 with new GCS 471.4 tinwhistle in close proximity to existing location. </t>
  </si>
  <si>
    <t>TW Venting;
Sys Ops: Jason Meyer; Perry Deters
Con Ops: Tony Cabezas;</t>
  </si>
  <si>
    <t>Kaneville</t>
  </si>
  <si>
    <t>RS8261021464429244397</t>
  </si>
  <si>
    <t>Revision due to IDOT's rejection of Cook County's open trench request.</t>
  </si>
  <si>
    <t>BS1151204064437844399</t>
  </si>
  <si>
    <t>Add test section to install dual main to avoid impacting recently installed pavement.</t>
  </si>
  <si>
    <t>VW2291205004439644399</t>
  </si>
  <si>
    <t>VPE24</t>
  </si>
  <si>
    <t>120573</t>
  </si>
  <si>
    <t>N RIVERSIDE</t>
  </si>
  <si>
    <t>Install ~6100' of 4" PE and 14200' of 2" PE main to replace existing vintage steel main (10#).</t>
  </si>
  <si>
    <t>Coordinate design with adjacent projects VW221, VW222 and DOT project M11612.
N Riverside requested pre-permit review
IDOT - Cermak Rd &amp; 17th Ave</t>
  </si>
  <si>
    <t>N Riverside</t>
  </si>
  <si>
    <t>VPE241205734423244403</t>
  </si>
  <si>
    <t>VW221</t>
  </si>
  <si>
    <t>120572</t>
  </si>
  <si>
    <t>Install ~2800' of 4" PE and ~9700' of 2" PE main (60#) to replace existing vintage steel main (10#).</t>
  </si>
  <si>
    <t>Coordinate design with adjacent projects VPE24 and VW222.
N Riverside requested pre-permit review
All municipal roads</t>
  </si>
  <si>
    <t>North Riverside</t>
  </si>
  <si>
    <t>VW2211205724423244403</t>
  </si>
  <si>
    <t>RS821</t>
  </si>
  <si>
    <t>102144</t>
  </si>
  <si>
    <t>Construction cost increased due to revision to relocate fire valve.</t>
  </si>
  <si>
    <t>Replace existing tinwhistle 3201132 with new GCS 471.4 tinwhistle in close proximity to existing facility.</t>
  </si>
  <si>
    <t>Coral</t>
  </si>
  <si>
    <t>RS8211021444429244404</t>
  </si>
  <si>
    <t>NBA1999345</t>
  </si>
  <si>
    <t>168700</t>
  </si>
  <si>
    <t>Crew time added &amp; increased bore amount</t>
  </si>
  <si>
    <t>Region Review due EOD 7/22.</t>
  </si>
  <si>
    <t>NBA19993451687004437444405</t>
  </si>
  <si>
    <t>MR1741</t>
  </si>
  <si>
    <t>1210386</t>
  </si>
  <si>
    <t>S CHICAGO HEIGHTS</t>
  </si>
  <si>
    <t>Install ~350' of 2" PE main between the buildings. Each unit to be transferred to the new main. Refer to attached sketch with proposed main location.</t>
  </si>
  <si>
    <t>Municipal road/private property</t>
  </si>
  <si>
    <t>S Chicago Heights</t>
  </si>
  <si>
    <t>MR174112103864435544405</t>
  </si>
  <si>
    <t>SC185911293494439644405</t>
  </si>
  <si>
    <t>VW222</t>
  </si>
  <si>
    <t>120571</t>
  </si>
  <si>
    <t xml:space="preserve">Install ~1000' of 6", ~3900' of 4" and 12100' of 2" PE main (60#) to replace existing vintage steel main (10#). </t>
  </si>
  <si>
    <t>Coordinate design with adjacent projects VPE24 and VW221.
N Riverside requested pre-permit review
IDOT - Cermak Rd</t>
  </si>
  <si>
    <t>VW2221205714423244406</t>
  </si>
  <si>
    <t>Transmission Central (TC)</t>
  </si>
  <si>
    <t>TC357</t>
  </si>
  <si>
    <t>329201</t>
  </si>
  <si>
    <t>WAUKEGAN</t>
  </si>
  <si>
    <t>Erik Best</t>
  </si>
  <si>
    <t>Wes Trestler</t>
  </si>
  <si>
    <t>TC357 - Main to be cut between Nicor Gas/Peoples emergency interconnect</t>
  </si>
  <si>
    <t>TC3573292014391644406</t>
  </si>
  <si>
    <t>BS613</t>
  </si>
  <si>
    <t>140879</t>
  </si>
  <si>
    <t>BRADLEY</t>
  </si>
  <si>
    <t>Install ~2300' of 6" and 9700' of 2" PE main, to replace existing vintage and bare steel main.</t>
  </si>
  <si>
    <t>Kinzie Ave is IDOT; Project is located in Bradley; adjacent to DIMP  VW86
Bradley resurfacing all roads by end of July</t>
  </si>
  <si>
    <t>Bradley</t>
  </si>
  <si>
    <t>BS6131408794433344410</t>
  </si>
  <si>
    <t>MR1753</t>
  </si>
  <si>
    <t>PV 1493536 is to be retired on WO 329154</t>
  </si>
  <si>
    <t>Separating Valve: 1493536 - Retiring</t>
  </si>
  <si>
    <t>MR1753-4439344411</t>
  </si>
  <si>
    <t>140861/140867</t>
  </si>
  <si>
    <t>SC18814140861/1408674423844411</t>
  </si>
  <si>
    <t>SC17896</t>
  </si>
  <si>
    <t>1410323</t>
  </si>
  <si>
    <t>Scope: 100' of 10” gas main potential conflict with proposed storm sewer; Intersection of Olive Street and Vale Street.</t>
  </si>
  <si>
    <t>City</t>
  </si>
  <si>
    <t>SC1789614103234423844412</t>
  </si>
  <si>
    <t>SC17434-11356934436244413</t>
  </si>
  <si>
    <t>SC19527</t>
  </si>
  <si>
    <t>1410366</t>
  </si>
  <si>
    <t>Reduced restoration amount.</t>
  </si>
  <si>
    <t>1000' of 2" main potential conflict with proposed storm sewer and road reconstruction; York Ave &amp; E Washington St, Joliet</t>
  </si>
  <si>
    <t>SC1952714103664437444417</t>
  </si>
  <si>
    <t>SC19198</t>
  </si>
  <si>
    <t>1210441</t>
  </si>
  <si>
    <t xml:space="preserve">Scope: 1000' of 2"/4" main potential conflict with proposed storm sewer.
Location: Main St and Will Center Rd;
Winfield Rd and Bradford court; Linden St and Herbert St
</t>
  </si>
  <si>
    <t>Village/ 1 conflict which will be handled as a revision to WO140789. The severe corrosion issue per DIMP will be addressed via seperate project (no action from KH needed)</t>
  </si>
  <si>
    <t>SC1919812104414439844417</t>
  </si>
  <si>
    <t>SC174591407894441244418</t>
  </si>
  <si>
    <t>SC9720</t>
  </si>
  <si>
    <t>140780</t>
  </si>
  <si>
    <t xml:space="preserve">Installing ~3,000' of 8" STL along Young Ave to remove ~300' of 16" steel main in conflict w/proposed bridge replacement. </t>
  </si>
  <si>
    <t>Reroute gas main; City to delay construction to allow for Nicor to reroute
Jackson Street is IDOT - KH coordinated open cut with IDOT</t>
  </si>
  <si>
    <t>SC97201407804380944419</t>
  </si>
  <si>
    <t>NBA10001261</t>
  </si>
  <si>
    <t>1610379</t>
  </si>
  <si>
    <t>ROUND LAKE BEACH</t>
  </si>
  <si>
    <t>Reduced crew time</t>
  </si>
  <si>
    <t>Install ~400' of 4" PE main to replace existing 2" PE main</t>
  </si>
  <si>
    <t>Village
Easement</t>
  </si>
  <si>
    <t>NBA1000126116103794438544425</t>
  </si>
  <si>
    <t>BS194D</t>
  </si>
  <si>
    <t>120529</t>
  </si>
  <si>
    <t>Install ~3000' of 6", 1100' of 4" and 3400' of 2" main (60#) to replace existing vintage/bare steel main.</t>
  </si>
  <si>
    <t>BS194D1205294406844425</t>
  </si>
  <si>
    <t>RS867</t>
  </si>
  <si>
    <t>1410024</t>
  </si>
  <si>
    <t>INSTALL ERX, FENCE, AND ROAD</t>
  </si>
  <si>
    <t>Design Decorative fencing or landscape to hide our vault in Village of Manteno.  Request to add ERX to vault #4301422, design asphalt drive to replace existing gravel drive, landscape repairs at vault (black dirt and sod) and investigate possible fence design around vault (Non-security type fence)</t>
  </si>
  <si>
    <t>RS - ERX, FENCE, AND ROAD INSTALL</t>
  </si>
  <si>
    <t>RS86714100244428644427</t>
  </si>
  <si>
    <t>RS8461021544432044427</t>
  </si>
  <si>
    <t>N12607-1</t>
  </si>
  <si>
    <t>1210333</t>
  </si>
  <si>
    <t>Construction cost increased due to revision request to revise plans based on revised DOT plans &amp; design.</t>
  </si>
  <si>
    <t>~900' of 2" in conflict w/ road &amp; drainage improvements; National Parkway &amp; American Lane</t>
  </si>
  <si>
    <t>Village</t>
  </si>
  <si>
    <t>N12607-112103334413444428</t>
  </si>
  <si>
    <t>SC1481914103604435644431</t>
  </si>
  <si>
    <t>MR1754</t>
  </si>
  <si>
    <t>3210436</t>
  </si>
  <si>
    <t>Chip Parrott</t>
  </si>
  <si>
    <t>Separating Valve: 1493003 - Retiring</t>
  </si>
  <si>
    <t>Cook County, Streamwood, Schaumburg
CRA-PV: 28#/60#</t>
  </si>
  <si>
    <t>MR175432104364439344432</t>
  </si>
  <si>
    <t>MR1755</t>
  </si>
  <si>
    <t>3310476</t>
  </si>
  <si>
    <t>Separating Valve: 1136508 - Retiring</t>
  </si>
  <si>
    <t xml:space="preserve">Addision
CRA-PV: 25#/60# </t>
  </si>
  <si>
    <t>Addison</t>
  </si>
  <si>
    <t>MR175533104764439344432</t>
  </si>
  <si>
    <t>MR1762</t>
  </si>
  <si>
    <t>1210451</t>
  </si>
  <si>
    <t>Separating Valve: 3140215 - Retiring</t>
  </si>
  <si>
    <t>Municipal Roads
CRA-PV: 25#/60#</t>
  </si>
  <si>
    <t>MR176212104514439944432</t>
  </si>
  <si>
    <t>MR1764</t>
  </si>
  <si>
    <t>3210453</t>
  </si>
  <si>
    <t>Separating Valve: 3140040 - Retiring</t>
  </si>
  <si>
    <t>Cook County, Village of Palatine
CRA-PV: 25#/60#</t>
  </si>
  <si>
    <t>MR176432104534439944432</t>
  </si>
  <si>
    <t>MR1765</t>
  </si>
  <si>
    <t>3210454</t>
  </si>
  <si>
    <t>Separating Valve: 3140043 - Retiring</t>
  </si>
  <si>
    <t>MR176532104544439944432</t>
  </si>
  <si>
    <t>MR1752</t>
  </si>
  <si>
    <t>3210428</t>
  </si>
  <si>
    <t>MENDOTA</t>
  </si>
  <si>
    <t>Separating Valve: 1581520 - Retiring</t>
  </si>
  <si>
    <t>Mendota</t>
  </si>
  <si>
    <t>MR175232104284439344432</t>
  </si>
  <si>
    <t>Revision due to IDOT plan updates and comments</t>
  </si>
  <si>
    <t>N140161293394426444432</t>
  </si>
  <si>
    <t>MR1769</t>
  </si>
  <si>
    <t>1210487</t>
  </si>
  <si>
    <t>ORANGEVILLE</t>
  </si>
  <si>
    <t>Material was added.</t>
  </si>
  <si>
    <t>MR176912104874440844434</t>
  </si>
  <si>
    <t>N14676</t>
  </si>
  <si>
    <t>1210511</t>
  </si>
  <si>
    <t>300' of 6"/4" main potential conflict with proposed guard rail; IL 60 and Wilson Rd; IDOT#60X57</t>
  </si>
  <si>
    <t>N1467612105114441844438</t>
  </si>
  <si>
    <t>MR1776</t>
  </si>
  <si>
    <t>SPRING GROVE</t>
  </si>
  <si>
    <t>Nicor closed EDSR on 08/30/2021</t>
  </si>
  <si>
    <t>Separating Valve: 3310424 - Retiring</t>
  </si>
  <si>
    <t>MR1776-4443144438</t>
  </si>
  <si>
    <t>MR1782</t>
  </si>
  <si>
    <t>Nicor to combine with MR1781 EDSR form</t>
  </si>
  <si>
    <t>Separating Valve: 3310815 - Retiring</t>
  </si>
  <si>
    <t>Lake County, Unincorporated Lake County, IL-176
CRA-PV: 28#/60#</t>
  </si>
  <si>
    <t>MR1782-4443144438</t>
  </si>
  <si>
    <t>MR1756</t>
  </si>
  <si>
    <t>1310429</t>
  </si>
  <si>
    <t>Retirement items were removed.</t>
  </si>
  <si>
    <t xml:space="preserve">Grade 1 gas leak of 3" steel main
For safety, cut &amp; cap completed 7/13/21.
Need approx. 300' of 4" steel installed underneath RR tracks, for back feed reconnection. </t>
  </si>
  <si>
    <t>Village, UPRR</t>
  </si>
  <si>
    <t>Wayne</t>
  </si>
  <si>
    <t>Includes 3" Diameter</t>
  </si>
  <si>
    <t>MR175613104294439244439</t>
  </si>
  <si>
    <t>MR1771</t>
  </si>
  <si>
    <t>WALNUT</t>
  </si>
  <si>
    <t>Project handled by internal Nicor</t>
  </si>
  <si>
    <t>Pending scope confirmation from FO
Relocations due to IDOT curb ramp improvements</t>
  </si>
  <si>
    <t>MR1771-4443844440</t>
  </si>
  <si>
    <t>VW71</t>
  </si>
  <si>
    <t>1210371</t>
  </si>
  <si>
    <t>Install ~1100' of 8" STL, and ~1800' of 6", 2600' of 4", and 6000' of 2" PE, as shown in attached Synergi plots, to replace existing vintage steel main.</t>
  </si>
  <si>
    <t>Village, IDOT
Survey delayed 2.5 weeks due to JULIE.</t>
  </si>
  <si>
    <t>Maine</t>
  </si>
  <si>
    <t>VW7112103714436544440</t>
  </si>
  <si>
    <t>SC15525</t>
  </si>
  <si>
    <t>1310427</t>
  </si>
  <si>
    <t>1000' of 4" main conflict with proposed storm sewer (confirmed by the designer), shallow main; Mill Rd and Big Rock Blvd.</t>
  </si>
  <si>
    <t>SC1552513104274439344441</t>
  </si>
  <si>
    <t>RS886</t>
  </si>
  <si>
    <t>102155</t>
  </si>
  <si>
    <t>Crew time increased due to difficult installed.</t>
  </si>
  <si>
    <t>Vault #3101127 Willow Rd and Wolf Rd, Wheeling has major corrosion. Note that this vault is on the CRA list for facilities to be retrofitted with strainer.</t>
  </si>
  <si>
    <t>Prospect Heights, Mt Prospect, Wheeling
IDOT
Sys Ops: Jason Meyers; Dean Wirtz
Con Ops: Tony Cabezas; Gary Raymond</t>
  </si>
  <si>
    <t>RS8861021554431544442</t>
  </si>
  <si>
    <t>BS470</t>
  </si>
  <si>
    <t>1310391</t>
  </si>
  <si>
    <t>LOMBARD</t>
  </si>
  <si>
    <t>Install ~7100' of 2" PE main (25#), as shown in attached Synergi plots, to replace existing vintage/bare steel main.</t>
  </si>
  <si>
    <t>Village, Township, IDOT</t>
  </si>
  <si>
    <t>Lombard</t>
  </si>
  <si>
    <t>York</t>
  </si>
  <si>
    <t>BS47013103914438344447</t>
  </si>
  <si>
    <t>VW123-1</t>
  </si>
  <si>
    <t>1210479</t>
  </si>
  <si>
    <t>STEGER</t>
  </si>
  <si>
    <t>Install ~7000' of 4"/2" PE main (28#), as shown in attached Synergi plots, to replace existing vintage steel main.</t>
  </si>
  <si>
    <t>ComEd ROW
Village</t>
  </si>
  <si>
    <t>Steger</t>
  </si>
  <si>
    <t>VW123-112104794438344447</t>
  </si>
  <si>
    <t>Revision due to IDOT's permitting comments to add additional details to the plans.</t>
  </si>
  <si>
    <t>MR12641291534375544448</t>
  </si>
  <si>
    <t>Revision due to restoration request from Cook County.</t>
  </si>
  <si>
    <t>MR14183204814396344448</t>
  </si>
  <si>
    <t>Easement Requested by Land</t>
  </si>
  <si>
    <t>M116121205364409044448</t>
  </si>
  <si>
    <t>NBA19784491507524431544449</t>
  </si>
  <si>
    <t>VW123</t>
  </si>
  <si>
    <t>1210390</t>
  </si>
  <si>
    <t>Install ~6500 of 4"/2" PE main (28#), as shown in attached Synergi plots, to replace existing vintage steel main.</t>
  </si>
  <si>
    <t>Village, Cook County, Will County</t>
  </si>
  <si>
    <t>Cook, Will</t>
  </si>
  <si>
    <t>VW12312103904438344454</t>
  </si>
  <si>
    <t>ADA Design</t>
  </si>
  <si>
    <t>Design</t>
  </si>
  <si>
    <t>ADA Design (2 Ramps)</t>
  </si>
  <si>
    <t>Revision due to request made by Engineering to revise test section.</t>
  </si>
  <si>
    <t>SC17434-11356934436244455</t>
  </si>
  <si>
    <t>MR1763</t>
  </si>
  <si>
    <t>3210466</t>
  </si>
  <si>
    <t>Separating Valve: 3121060 - Retiring
Separating Valve: 3121061 - Retiring</t>
  </si>
  <si>
    <t>Cook County
CRA-PV: 28#/60#</t>
  </si>
  <si>
    <t>MR176332104664439944456</t>
  </si>
  <si>
    <t>NBA1970737</t>
  </si>
  <si>
    <t>1910574</t>
  </si>
  <si>
    <t>MINONK</t>
  </si>
  <si>
    <t>Install ~1400' of 2" PE</t>
  </si>
  <si>
    <t>City, Woodford County</t>
  </si>
  <si>
    <t>NBA197073719105744440844456</t>
  </si>
  <si>
    <t>Field Exhibit</t>
  </si>
  <si>
    <t>BS5511291544376044459</t>
  </si>
  <si>
    <t>Revision due to request made by Engineering to connect jumpers.</t>
  </si>
  <si>
    <t>SC170701204594376144460</t>
  </si>
  <si>
    <t>MR1775</t>
  </si>
  <si>
    <t>3210556</t>
  </si>
  <si>
    <t>Separating Valve: 3310359 - Retiring</t>
  </si>
  <si>
    <t>Unincorporated Lake County, CH-49
CRA-PV: 25#/60#</t>
  </si>
  <si>
    <t>Lake Villa</t>
  </si>
  <si>
    <t>MR177532105564443144460</t>
  </si>
  <si>
    <t>Revision due to Cook County permitting comments and requests.</t>
  </si>
  <si>
    <t>NBA19993451687004441444467</t>
  </si>
  <si>
    <t>Revision due to ConOp's request to change install method near culvert.</t>
  </si>
  <si>
    <t>M10905-11205584442544467</t>
  </si>
  <si>
    <t>SC18636</t>
  </si>
  <si>
    <t>1210440</t>
  </si>
  <si>
    <t>2500' of 2" main potential conflict with proposed storm sewer, water main 
Barry Lane (Sunset Ave to Bob O Link Rd); Maryland Ave and Douglas Ave</t>
  </si>
  <si>
    <t>Village of Flossmoor</t>
  </si>
  <si>
    <t>Flossmoor</t>
  </si>
  <si>
    <t>SC1863612104404439844468</t>
  </si>
  <si>
    <t>N14489</t>
  </si>
  <si>
    <t>1210554</t>
  </si>
  <si>
    <t>100' of 2" STL main potential conflict with proposed storm sewer.  Jefferson St and State St</t>
  </si>
  <si>
    <t>Village of Hampshire</t>
  </si>
  <si>
    <t>N1448912105544443244468</t>
  </si>
  <si>
    <t>BS107</t>
  </si>
  <si>
    <t>1410398</t>
  </si>
  <si>
    <t>Install 5600' of 4" and 23400' of 2" PE main (60#) to replace existing vintage/bare steel main (30#), as shown on attached Synergi plots.</t>
  </si>
  <si>
    <t>City; IDOT (Tie-ins/retirement)</t>
  </si>
  <si>
    <t>KB&amp;S</t>
  </si>
  <si>
    <t>BS10714103984438544470</t>
  </si>
  <si>
    <t>BS363-1</t>
  </si>
  <si>
    <t>1210493</t>
  </si>
  <si>
    <t>HARVARD</t>
  </si>
  <si>
    <t>Install ~1500' of 2" PE main (25#) to replace existing bare steel main.
MR1175 appears to be within project scope</t>
  </si>
  <si>
    <t>Harvard</t>
  </si>
  <si>
    <t>BS363-112104934444844473</t>
  </si>
  <si>
    <t>M11130</t>
  </si>
  <si>
    <t>300' of 2" STL main; conflict with proposed storm sewer.</t>
  </si>
  <si>
    <t>IDOT, Village of Western Springs</t>
  </si>
  <si>
    <t>M11130-4443344474</t>
  </si>
  <si>
    <t>1510580</t>
  </si>
  <si>
    <t>Revision added Village watermain plans to planset (did not impact project estimate). Adjusted material estimate (JL) and EF updates.</t>
  </si>
  <si>
    <t>Replace ~300' of 4" STL '62 and '76 main with 8" STL Main (60#), as shown on attached Synergi plot.
TGH 8312021</t>
  </si>
  <si>
    <t>S Elgin / Municipality Road</t>
  </si>
  <si>
    <t>S Elgin</t>
  </si>
  <si>
    <t>NBA1000125415105804443944474</t>
  </si>
  <si>
    <t>140862</t>
  </si>
  <si>
    <t>Construction time increased due to revision to update plans based on revised DOT plans.</t>
  </si>
  <si>
    <t>1000' of 2"/4"/6"/8" main conflict with proposed storm sewer.
Location: Hobbie Ave from Court St (IL 17) to Fair St (IL 50)</t>
  </si>
  <si>
    <t>City; ties into BS107</t>
  </si>
  <si>
    <t>SC170611408624420344474</t>
  </si>
  <si>
    <t>RS869</t>
  </si>
  <si>
    <t>1010219</t>
  </si>
  <si>
    <t>GRANT PARK</t>
  </si>
  <si>
    <t>Construction and Nicor personnel time was decreased.</t>
  </si>
  <si>
    <t xml:space="preserve">Replace existing regulation facility 4301154 with new regulation facility in close proximity to existing location.  Facility is backfed. </t>
  </si>
  <si>
    <t>Yellowhead</t>
  </si>
  <si>
    <t>RS86910102194435044475</t>
  </si>
  <si>
    <t>MR1781</t>
  </si>
  <si>
    <t>3210552</t>
  </si>
  <si>
    <t>Separating Valve: 3310814 - Retiring
Separating Valve: 3310815 - Retiring</t>
  </si>
  <si>
    <t>Lake County, Uninc. Lake County/Wauconda, IDOT
CRA-PV: 28#/60#</t>
  </si>
  <si>
    <t>MR178132105524443144475</t>
  </si>
  <si>
    <t>SC188171357294444644475</t>
  </si>
  <si>
    <t>NBA10001712</t>
  </si>
  <si>
    <t>1610442</t>
  </si>
  <si>
    <t>Construction time increased and material added due to difficult install.
Revision did not impact PCTS cost (permitting comments from Village).</t>
  </si>
  <si>
    <t>WOs 1610442/3610442 already created in PCTS.  Install 7550' of 2" (60#) PE, 2500' of 4" (60#) PE, 1,380' of 6" (60#) main. Retire TW 3401725.</t>
  </si>
  <si>
    <t>Kane County, Village of Hampshire                    NBC - Jamie Vestor, 630-518-9560, jvester@southernco.com</t>
  </si>
  <si>
    <t>NBA1000171216104424440544476</t>
  </si>
  <si>
    <t>Revision due to updating plans with AC/CP information.</t>
  </si>
  <si>
    <t>NBA18229931686794441344480</t>
  </si>
  <si>
    <t>Revision Effort</t>
  </si>
  <si>
    <t>Missed effort for Revision</t>
  </si>
  <si>
    <t>Add AC/CP reference notes to cover; Change 6" inlet/strainer</t>
  </si>
  <si>
    <t>SC18152</t>
  </si>
  <si>
    <t>3210539</t>
  </si>
  <si>
    <t>Construction cost decreased due to revision to reduce scope based on revised developer plans (removed install).</t>
  </si>
  <si>
    <t>650' of 2" STL main conflict with proposed grading. (potholed information); 183rd St and Lavergne AVe.</t>
  </si>
  <si>
    <t>Private Developer, IDOT.</t>
  </si>
  <si>
    <t>SC1815232105394442644480</t>
  </si>
  <si>
    <t>Site Visit</t>
  </si>
  <si>
    <t>Site Visit to provide construction support</t>
  </si>
  <si>
    <t>N121801292004346844482</t>
  </si>
  <si>
    <t>NBA18241451506804448244487</t>
  </si>
  <si>
    <t>N1464916107124435644487</t>
  </si>
  <si>
    <t>NBA10001056</t>
  </si>
  <si>
    <t>1610581</t>
  </si>
  <si>
    <t>Nicor personnel time increased and material added.
Revision did not impact PCTS cost (easement comments from Land).</t>
  </si>
  <si>
    <t>NBA10001056-1 Install 4500' of 4 PE (60#) main; Retire TW 3401382; new main to connect the 60# system downstream of this TW(3401382) to the dead end vault 3401721 and also the dead end tin 3401629 to the west.</t>
  </si>
  <si>
    <t>Kane County, Village of Hampshire                    NBC - Jamie Vestor, 630-518-9560, jvester@southernco.com
Big Timber Rd - Kane County Road</t>
  </si>
  <si>
    <t>NBA1000105616105814443944489</t>
  </si>
  <si>
    <t>1010234</t>
  </si>
  <si>
    <t>Replace existing regulation facility 4301439 with new GCS 471.4 tinwhistle in close proximity to existing location.  Retire and do not replace adjacent compliance valve 4372412.</t>
  </si>
  <si>
    <t>Cabery</t>
  </si>
  <si>
    <t>RS88010102344435044489</t>
  </si>
  <si>
    <t>NBA10001503</t>
  </si>
  <si>
    <t>Please see attached NBA's for the header bars at this location-  This NBA is for a 59 unit header bar 55- residential with 4 commercial meters.</t>
  </si>
  <si>
    <t>NBA10001503-4443944490</t>
  </si>
  <si>
    <t>NBA10001502</t>
  </si>
  <si>
    <t>Please see attached NBA's for the header bars at this location-  This NBA is for a 56 (55 residenital and 1 commercial-common meter) header bar which needs to be built in reverse from right to left</t>
  </si>
  <si>
    <t>NBA10001502-4443944490</t>
  </si>
  <si>
    <t>OUT CRA-FV-STRAINER
No FV or Strainer on facility to be retired and replaced:
vault 4101016
Verify Fire Valve location.  Fire Valve does not appear on Master List.
Need to Replace Facility #4101016 - safety Hazard on Side Walk, needs to be relocated
No Fire valve or Strainer</t>
  </si>
  <si>
    <t>RS928-4448044490</t>
  </si>
  <si>
    <t>VW122</t>
  </si>
  <si>
    <t>1210389</t>
  </si>
  <si>
    <t>Install ~13500' of 2" PE main (28#), as shown in attached Synergi plots, to replace existing vintage steel main.</t>
  </si>
  <si>
    <t>VW12212103894438344495</t>
  </si>
  <si>
    <t>N12607-112103334448344495</t>
  </si>
  <si>
    <t>ADA Design (5 Ramps)</t>
  </si>
  <si>
    <t>M12629</t>
  </si>
  <si>
    <t>1210370</t>
  </si>
  <si>
    <t>Construction cost decreased due to revision to reduce scope based on revised developer plans.</t>
  </si>
  <si>
    <t xml:space="preserve">450' of 6" main in conflict with resurfacing, 100' 4" main. </t>
  </si>
  <si>
    <t>Private Developer, Municipal</t>
  </si>
  <si>
    <t>Oak Park</t>
  </si>
  <si>
    <t>M1262912103704435644496</t>
  </si>
  <si>
    <t>M12060</t>
  </si>
  <si>
    <t>1210614</t>
  </si>
  <si>
    <t>Additional material added.
Revision did not impact PCTS cost (PCTS approved prior to rev assigned).</t>
  </si>
  <si>
    <t>125' of 6" main conflict with proposed culvert, 350' of 2" main relocated due to shallow condition.</t>
  </si>
  <si>
    <t>Cook County, Oak Forest Muni</t>
  </si>
  <si>
    <t>M1206012106144443344496</t>
  </si>
  <si>
    <t>Revision to add detailed MOT plan.</t>
  </si>
  <si>
    <t>COR446-4448044501</t>
  </si>
  <si>
    <t>SC19527-1</t>
  </si>
  <si>
    <t>1410473</t>
  </si>
  <si>
    <t>Install 200'-2"STL in conflict with storm drain improvements; Eastern Ave.</t>
  </si>
  <si>
    <t>SC19527-114104734437444501</t>
  </si>
  <si>
    <t>1510683</t>
  </si>
  <si>
    <t>Need Work Order for new 23M upstream NBA#10001254</t>
  </si>
  <si>
    <t>Village of South Elgin</t>
  </si>
  <si>
    <t>NBA1000125415106834447444501</t>
  </si>
  <si>
    <t>NBA1000171216104424449544501</t>
  </si>
  <si>
    <t>Structural Pad</t>
  </si>
  <si>
    <t>NBA10001254-4447444501</t>
  </si>
  <si>
    <t>BS486</t>
  </si>
  <si>
    <t>1210601</t>
  </si>
  <si>
    <t>Restoration increased due to utility congestion.
Revision did not impact PCTS cost (added detailed MOT plan).</t>
  </si>
  <si>
    <t>Install ~1500' of 2" PE main (25#), to replace existing vintage/bare steel main.</t>
  </si>
  <si>
    <t>IDOT, Morton Grove
Adjacent to NBAs (WOs 168570, 168588)</t>
  </si>
  <si>
    <t>BS48612106014444044502</t>
  </si>
  <si>
    <t>RS856</t>
  </si>
  <si>
    <t>1010410</t>
  </si>
  <si>
    <t>VERONA</t>
  </si>
  <si>
    <t xml:space="preserve">Replace existing regulation facility 1501142 with new GCS 471.4  tinwhistle in close proximity to current location. </t>
  </si>
  <si>
    <t>TW Venting
Sys Ops: Jayne Skibinski; Bruce Koppang
Con Ops: Tony Cabezas</t>
  </si>
  <si>
    <t>Verona</t>
  </si>
  <si>
    <t>RS85610104104438944506</t>
  </si>
  <si>
    <t>1910575</t>
  </si>
  <si>
    <t>Crew time and PO items increased (restoration) due to difficult install.</t>
  </si>
  <si>
    <t>Install new vault at station.</t>
  </si>
  <si>
    <t>Minonk Township</t>
  </si>
  <si>
    <t>NBA197073719105754440844508</t>
  </si>
  <si>
    <t>RS850</t>
  </si>
  <si>
    <t>1010405</t>
  </si>
  <si>
    <t>PLANO</t>
  </si>
  <si>
    <t>Install new GCS 471.4 tinwhistle to replace existing facility 1301378, in close proximity to existing location.</t>
  </si>
  <si>
    <t>Kendall</t>
  </si>
  <si>
    <t>RS85010104054438944508</t>
  </si>
  <si>
    <t>Revision to adjust running line per Village's updated design.</t>
  </si>
  <si>
    <t>SC1927712101654432744509</t>
  </si>
  <si>
    <t>BS363</t>
  </si>
  <si>
    <t>1210489</t>
  </si>
  <si>
    <t>Install ~800' of 6", 2900' of 4" and 600' of 2" PE main (25#), as shown in attached Synergi plots, to replace existing vintage/bare steel main.
MR1175 is within project scope</t>
  </si>
  <si>
    <t>City, IDOT</t>
  </si>
  <si>
    <t>BS36312104894440844510</t>
  </si>
  <si>
    <t>MR1790</t>
  </si>
  <si>
    <t>3210573</t>
  </si>
  <si>
    <t>ADA Design (3 Ramps)</t>
  </si>
  <si>
    <t>Retire separating valves: 3121062, 3121063, 3121064, 3121065, 3121066</t>
  </si>
  <si>
    <t>Cook County; W Central Rd (CH A82) &amp; Kirchoff Rd (IDOT)
CRA-PV: 25#/60#</t>
  </si>
  <si>
    <t>MR179032105734443844511</t>
  </si>
  <si>
    <t>Additional material added.
Revision did not impact PCTS cost (added notes and details for CCDOTH).</t>
  </si>
  <si>
    <t>REV 3</t>
  </si>
  <si>
    <t>Revision due to request made by Engineering to change install material.</t>
  </si>
  <si>
    <t>SC170701204594451044516</t>
  </si>
  <si>
    <t>1210586</t>
  </si>
  <si>
    <t>Install 700' of 6" and 6200' of 2" PE main (25#) to replace existing bare and vintage steel main</t>
  </si>
  <si>
    <t>BS31112105864444044517</t>
  </si>
  <si>
    <t>NBA10002697</t>
  </si>
  <si>
    <t>1610726</t>
  </si>
  <si>
    <t>Installed method revised due to revision request from City.</t>
  </si>
  <si>
    <t>Tie into existing 4'' Steel Main on Tek Dr. Run 1000' Of 6''PE GMX in R.O.W. Tie into Existing 4'' Steel Main on Three Oaks Rd, Crystal Lake.</t>
  </si>
  <si>
    <t>Township (Three Oaks)
Municipal (Pingree)</t>
  </si>
  <si>
    <t>NBA1000269716107264448844524</t>
  </si>
  <si>
    <t>BS550-112107604425044524</t>
  </si>
  <si>
    <t>Revision due to revised IDOT Plans &amp; comments to adjust running line.</t>
  </si>
  <si>
    <t>SC176701408314390944524</t>
  </si>
  <si>
    <t>VW12312103904438344529</t>
  </si>
  <si>
    <t>Revision due to land rights to acquire an easement.</t>
  </si>
  <si>
    <t>NBA1000105616105814452944533</t>
  </si>
  <si>
    <t>SC19950</t>
  </si>
  <si>
    <t>1410709</t>
  </si>
  <si>
    <t>Scope: 1000' of 2" main potential conflict with proposed improvements; Harwood Street (Case St to Sterling)</t>
  </si>
  <si>
    <t xml:space="preserve">Harwood St. - City of Joliet
Cass St. - IDOT </t>
  </si>
  <si>
    <t>SC1995014107094448044533</t>
  </si>
  <si>
    <t>Revision due to addition restoration requested by City.</t>
  </si>
  <si>
    <t>BS10714103984448244537</t>
  </si>
  <si>
    <t xml:space="preserve">Engineering updated labor estimate to 2025,  NPL contract updated to 2025. It is unclear if anything else was updated to increase the estimate significantly. </t>
  </si>
  <si>
    <t>M109051205854418844539</t>
  </si>
  <si>
    <t>RS6421021164453644540</t>
  </si>
  <si>
    <t>VW33</t>
  </si>
  <si>
    <t>1210599</t>
  </si>
  <si>
    <t>BURBANK</t>
  </si>
  <si>
    <t>Install ~2500' of 6" and 11300' of 2" PE main (28#), to replace existing vintage steel main.</t>
  </si>
  <si>
    <t>Burbank</t>
  </si>
  <si>
    <t>VW3312105994444044543</t>
  </si>
  <si>
    <t>RS890</t>
  </si>
  <si>
    <t>1010505</t>
  </si>
  <si>
    <t>DEWEY</t>
  </si>
  <si>
    <t>Replace existing regulation facility 4501049 with new GCS 471.4 tinwhistle in close proximity to existing location.</t>
  </si>
  <si>
    <t>TW Venting</t>
  </si>
  <si>
    <t>East Bend</t>
  </si>
  <si>
    <t>RS89010105054441844543</t>
  </si>
  <si>
    <t>Revision due to revised DOT design.</t>
  </si>
  <si>
    <t>SC175511408304452944545</t>
  </si>
  <si>
    <t>M12659</t>
  </si>
  <si>
    <t>1210716</t>
  </si>
  <si>
    <t>Nicor personnel time increased.
Revision did not impact PCTS cost (added additional utilities to plans).</t>
  </si>
  <si>
    <t>1200' of 4" main and all services in conflict with proposed improvements); Eastern Ave and Ellis St. Backfeed to United Ln.</t>
  </si>
  <si>
    <t>Village of Bensenville - see Nicor Permitting Parameters</t>
  </si>
  <si>
    <t>M1265912107164447444545</t>
  </si>
  <si>
    <t>SC19719</t>
  </si>
  <si>
    <t>1310685</t>
  </si>
  <si>
    <t>Construction cost increased due to revision to add additional ex utility infomration and to revise running line.</t>
  </si>
  <si>
    <t>850' of 4" PE conflict with proposed drainage, headwall removal. IL 59 &amp; Garys Mill Rd IDOT# 62K99</t>
  </si>
  <si>
    <t>SC1971913106854443844545</t>
  </si>
  <si>
    <t>M12388</t>
  </si>
  <si>
    <t>300' of 2" STL is in conflict with proposed storm sewer and storm structure; Location: McArthur Dr and Parkview Rd</t>
  </si>
  <si>
    <t>M12388-4454444546</t>
  </si>
  <si>
    <t>N14603</t>
  </si>
  <si>
    <t>Scope: 200' of 2" main potential conflict with proposed storm sewer replacement.
Adjactnt to WO 1210333 &amp; 129265</t>
  </si>
  <si>
    <t>IDOT Local Road</t>
  </si>
  <si>
    <t>N14603-4452244547</t>
  </si>
  <si>
    <t>SC1733013107274446644547</t>
  </si>
  <si>
    <t>NBA1994513</t>
  </si>
  <si>
    <t>1610668</t>
  </si>
  <si>
    <t>Install 50' - 4" STL (curb valve) service for Pace(1610668) Coordinate with 6" MOP extension on NBA1673249
NBC: Michelle Perez (224.239.5352)</t>
  </si>
  <si>
    <t>NBA199451316106684443244550</t>
  </si>
  <si>
    <t>1610669</t>
  </si>
  <si>
    <t>SYSOPS</t>
  </si>
  <si>
    <t>Install 11M upstream welded meter set for Pace (1610669). Coordinate with 6" MOP extension on NBA1673249
NBC: Michelle Perez (224.239.5352)</t>
  </si>
  <si>
    <t>NBA199451316106694443244550</t>
  </si>
  <si>
    <t>VW98</t>
  </si>
  <si>
    <t>1210480</t>
  </si>
  <si>
    <t>Install ~2100' of 4" and ~10800' of 2" PE main (28#), as shown in attached Synergi plots, to replace existing vintage steel main.</t>
  </si>
  <si>
    <t>Oak Forest &amp; Midlothian
City, Bremen Township
IDOT roads (crossing)</t>
  </si>
  <si>
    <t>Bremen</t>
  </si>
  <si>
    <t>VW9812104804440844550</t>
  </si>
  <si>
    <t>NBA1673249</t>
  </si>
  <si>
    <t>1610671</t>
  </si>
  <si>
    <t xml:space="preserve">6" MOP GMX (1610671) for PACE. 6 Road (IDOT) Coordinate with meter/service on NBA1994513
NBC: Pat Loftus Jr. (224.229.2882)  </t>
  </si>
  <si>
    <t>IDOT (S Wolf Road)
Private Property GMX</t>
  </si>
  <si>
    <t>CNR</t>
  </si>
  <si>
    <t>NBA167324916106714446044550</t>
  </si>
  <si>
    <t>1610705</t>
  </si>
  <si>
    <t xml:space="preserve"> 6" Steel service (1610705). Coordinate with meter/service on NBA1994513
NBC: Pat Loftus Jr. (224.229.2882)  </t>
  </si>
  <si>
    <t>NBA167324916107054446044550</t>
  </si>
  <si>
    <t>1610706</t>
  </si>
  <si>
    <t xml:space="preserve">102M Meter (1610706) at 1600 S Wolf Rd Coordinate with meter/service on NBA1994513
NBC: Pat Loftus Jr. (224.229.2882)  </t>
  </si>
  <si>
    <t>NBA167324916107064446044550</t>
  </si>
  <si>
    <t>VW189</t>
  </si>
  <si>
    <t>1210662</t>
  </si>
  <si>
    <t>SUMMIT</t>
  </si>
  <si>
    <t>Install ~4600' of 4" and 8000' of 2" PE main(25#) to replace existing vintage steel main.</t>
  </si>
  <si>
    <t>IDOT (Archer/Lincoln), Muni
RR (owned by CN, rights by Amtrak)</t>
  </si>
  <si>
    <t>Summit</t>
  </si>
  <si>
    <t>VW18912106624446044551</t>
  </si>
  <si>
    <t>Revision due to updated IDOT storm sewer design.</t>
  </si>
  <si>
    <t>M106931203914436344553</t>
  </si>
  <si>
    <t>Revision due to updated City storm sewer design.</t>
  </si>
  <si>
    <t>SC170611408624453944553</t>
  </si>
  <si>
    <t>NBA1970913</t>
  </si>
  <si>
    <t>1910737</t>
  </si>
  <si>
    <t>Additional material added.
Rev did not impact PCTS cost (permitting comments from County).</t>
  </si>
  <si>
    <t>Install 10,200' of 4" PE (60#) main for NBA at 1935 Sherill Road</t>
  </si>
  <si>
    <t>Grundy Co. (O'Brien Rd)
Grundy Co. &amp; Kendall Co. (Sherill Rd)</t>
  </si>
  <si>
    <t>Grundy, Kendall</t>
  </si>
  <si>
    <t>Aux Sable</t>
  </si>
  <si>
    <t>NBA197091319107374450444553</t>
  </si>
  <si>
    <t>Revision to incorporate City's watermain replacement project.</t>
  </si>
  <si>
    <t>NBA1000125415105804454644553</t>
  </si>
  <si>
    <t>M12783</t>
  </si>
  <si>
    <t>1210740</t>
  </si>
  <si>
    <t>ITASCA</t>
  </si>
  <si>
    <t>Addition material added.</t>
  </si>
  <si>
    <t>6500' 4", 2", minor amount of 8" down Bloomingdale Rd.</t>
  </si>
  <si>
    <t>Itasca</t>
  </si>
  <si>
    <t>Addison , Bloomingdale</t>
  </si>
  <si>
    <t>M1278312107404446644565</t>
  </si>
  <si>
    <t>MR1806</t>
  </si>
  <si>
    <t>3210820</t>
  </si>
  <si>
    <t>PV was moved to MR1826</t>
  </si>
  <si>
    <t>KH finalizing WO drawings.</t>
  </si>
  <si>
    <t>MR180632108204452344567</t>
  </si>
  <si>
    <t>Revision to add detailed MOT plan per IDOT request.</t>
  </si>
  <si>
    <t>Denied permit from IDOT</t>
  </si>
  <si>
    <t>BS48612106014455344568</t>
  </si>
  <si>
    <t>Developer added retaining wall</t>
  </si>
  <si>
    <t>N1464916107124456644572</t>
  </si>
  <si>
    <t>N14030</t>
  </si>
  <si>
    <t>3000' of 6" main potential conflict with proposed storm culvert.Location: Winn Rd and English Prairie Rd</t>
  </si>
  <si>
    <t>N14030-4454444573</t>
  </si>
  <si>
    <t>Revision to change install method per City request.</t>
  </si>
  <si>
    <t>NBA1000269716107264455044574</t>
  </si>
  <si>
    <t>BS260</t>
  </si>
  <si>
    <t>1210721</t>
  </si>
  <si>
    <t>Install ~3600' of 8" STL, ~370' 6" STL and 5600' of 2" PE main (25#), as shown in attached Synergi plots, to replace existing vintage/bare steel main.</t>
  </si>
  <si>
    <t>S Rand Rd - IDOT
Municipal</t>
  </si>
  <si>
    <t>Lake Zurich</t>
  </si>
  <si>
    <t>BS26012107214448044574</t>
  </si>
  <si>
    <t>VW213</t>
  </si>
  <si>
    <t>1210692</t>
  </si>
  <si>
    <t>LANSING</t>
  </si>
  <si>
    <t>Install ~1100' of 8", 1400' of 4" and 13500' of 2" PE main (28#), as shown on attached Synergi plots, to replace existing vintage steel main.</t>
  </si>
  <si>
    <t>Municipal</t>
  </si>
  <si>
    <t>Lansing</t>
  </si>
  <si>
    <t>VW21312106924447644575</t>
  </si>
  <si>
    <t>Revision to update restoration limits and add additional construction details and notes due to CCDOT comments.Revision to update restoration limits and add additional construction details and notes due to CCDOT comments.</t>
  </si>
  <si>
    <t>MR179032105734456544575</t>
  </si>
  <si>
    <t>Revision to address Village permitting comments (adding utilities to DOT plans).</t>
  </si>
  <si>
    <t>M1265912107164457244579</t>
  </si>
  <si>
    <t>REV 2</t>
  </si>
  <si>
    <t>Revision to revision notes and details per Kane County comments.</t>
  </si>
  <si>
    <t>NBA1000171216104424457244580</t>
  </si>
  <si>
    <t>MR1803</t>
  </si>
  <si>
    <t>3310819</t>
  </si>
  <si>
    <t>CRA-PV; Retire - Partition Valve: 1126004</t>
  </si>
  <si>
    <t>County (Main St - DuPage)
68th St - Municipal</t>
  </si>
  <si>
    <t>MR180333108194452344581</t>
  </si>
  <si>
    <t>101205</t>
  </si>
  <si>
    <t xml:space="preserve">Replace existing regulation facility 1501085 with new GCS 471.4 tinwhistle in close proximity to existing location. </t>
  </si>
  <si>
    <t>RS8521012054432044582</t>
  </si>
  <si>
    <t>MR1805</t>
  </si>
  <si>
    <t>3310810</t>
  </si>
  <si>
    <t>Nicor created investment WO for a 4" jumper to retire partition valve</t>
  </si>
  <si>
    <t>CRA-PV; Retire - Partition Valves (2): 1136702, 1136706</t>
  </si>
  <si>
    <t>Municipal Roads</t>
  </si>
  <si>
    <t>MR180533108104452344586</t>
  </si>
  <si>
    <t>SC19064</t>
  </si>
  <si>
    <t>1310813</t>
  </si>
  <si>
    <t xml:space="preserve">2" PE and 8" STL relocation due to roadway widening and traffic signals. </t>
  </si>
  <si>
    <t>SC1906413108134448044586</t>
  </si>
  <si>
    <t>Revision to revise design to add City's public improvement project.</t>
  </si>
  <si>
    <t>City has an improvement project within Nicor scope</t>
  </si>
  <si>
    <t>BS10714103984458044587</t>
  </si>
  <si>
    <t>BS255</t>
  </si>
  <si>
    <t>1410708</t>
  </si>
  <si>
    <t>Install ~3700' of 8" STL and 1100' of 2" PE main (60#), as shown on attached Synergi plots, to replace existing vintage/bare steel main.</t>
  </si>
  <si>
    <t>Municipal - Morris</t>
  </si>
  <si>
    <t>Morris</t>
  </si>
  <si>
    <t>BS25514107084448044587</t>
  </si>
  <si>
    <t>N10173</t>
  </si>
  <si>
    <t>128466</t>
  </si>
  <si>
    <t>Partial Bill</t>
  </si>
  <si>
    <t>Partial Release to remove effort from 2019.</t>
  </si>
  <si>
    <t>IL 22 from Quentin Road to IL 83; Roadway and Utility Improvements; Includes PRIM454 (Kildeer; Phase 2) scope;</t>
  </si>
  <si>
    <t>N101731284664347444587</t>
  </si>
  <si>
    <t>Revision due to permitting comments from the Railroad.</t>
  </si>
  <si>
    <t>Comments from railroad</t>
  </si>
  <si>
    <t>NBA18725931931194454544588</t>
  </si>
  <si>
    <t>BS194D-112104604444844588</t>
  </si>
  <si>
    <t>Revision due to updated watermain design from DOT.</t>
  </si>
  <si>
    <t>SC175511408304458544589</t>
  </si>
  <si>
    <t>Revision to add updated underdrains to the WO drawings.</t>
  </si>
  <si>
    <t>M106931203914458144593</t>
  </si>
  <si>
    <t>Silent Rev 1</t>
  </si>
  <si>
    <t>KH to update drawing per comments received through enviro</t>
  </si>
  <si>
    <t>Enviro received updated requirements through muni.</t>
  </si>
  <si>
    <t>BS25514107084458944595</t>
  </si>
  <si>
    <t>NBA10003474</t>
  </si>
  <si>
    <t>1910957</t>
  </si>
  <si>
    <t>Install 140' of 2" MOP main</t>
  </si>
  <si>
    <t>Village;
Private property</t>
  </si>
  <si>
    <t>NBA1000347419109574455144595</t>
  </si>
  <si>
    <t>Service Drafting</t>
  </si>
  <si>
    <t>Drafting</t>
  </si>
  <si>
    <t>RS926</t>
  </si>
  <si>
    <t>1010733</t>
  </si>
  <si>
    <t>Contract year was updated which appeared to double count the vault PO items &amp; install time (previous contract year had "$0" for the vault line items so they were added to the PO tab, but when contract year was revised, it looks like those line items now have costs and they weren't removed from the PO tab).
Revision did not impact cost (added notes &amp; details).</t>
  </si>
  <si>
    <t>Replace Facility #4101117 in kind at current location with new dual 5' x 5' facility. Approximate OOS 4/15-10/31.  WO119817 - E20062 hisotrical data says 7"OD</t>
  </si>
  <si>
    <t>Riegel Rd - IDOT
Willow - Municipal
Project located in Homewood</t>
  </si>
  <si>
    <t>Homewood</t>
  </si>
  <si>
    <t>RS92610107334448044595</t>
  </si>
  <si>
    <t>Revision due to comments from City to add additional utility information.</t>
  </si>
  <si>
    <t>Comments from city to add utilities</t>
  </si>
  <si>
    <t>SC1971913106854458844596</t>
  </si>
  <si>
    <t>MR1860</t>
  </si>
  <si>
    <t>3311000</t>
  </si>
  <si>
    <t>CRA-PV; Retire - Partition Valve: 1136905</t>
  </si>
  <si>
    <t>1136905 - Township (in Wheaton, IL)</t>
  </si>
  <si>
    <t>Milton</t>
  </si>
  <si>
    <t>MR186033110004452344599</t>
  </si>
  <si>
    <t>MR1804</t>
  </si>
  <si>
    <t>3310807</t>
  </si>
  <si>
    <t>GLENDALE HEIGHTS</t>
  </si>
  <si>
    <t>CRA-PV; Retire - Partition Valves (5): 1135374, 1135376, 1126306, 1135375, 1136905</t>
  </si>
  <si>
    <t>1135374 - Municipal
1135376 - Municipal
1126306 - County (Bloomingdale Rd - DuPage)
1135375 - Municipal</t>
  </si>
  <si>
    <t>Glendale Heights</t>
  </si>
  <si>
    <t>MR180433108074452344599</t>
  </si>
  <si>
    <t>Revision due to easement agreement.</t>
  </si>
  <si>
    <t>Landowner does not like location of vault on their property</t>
  </si>
  <si>
    <t>M116121205364460144608</t>
  </si>
  <si>
    <t>OREGON</t>
  </si>
  <si>
    <t>Cancelled per 2/16 email - completed on WO 102110</t>
  </si>
  <si>
    <t>CRA-FV
add FV to tin whistle
vault 3701190
1310 W Pines Rd
Oregon
Atlas Page: D81044C-S
TW Inlet/Outlet MAOP = 230/57</t>
  </si>
  <si>
    <t>Pines Rd (Ogle County)</t>
  </si>
  <si>
    <t>RS997-4460344608</t>
  </si>
  <si>
    <t>NBA10002796</t>
  </si>
  <si>
    <t>1610841</t>
  </si>
  <si>
    <t>Install 2,030' of 6" PE along Gurler Rd. Adjacent to WO 168679.</t>
  </si>
  <si>
    <t>Municipal &amp; Township</t>
  </si>
  <si>
    <t>DeKalb</t>
  </si>
  <si>
    <t>Afton</t>
  </si>
  <si>
    <t>NBA1000279616108414454044609</t>
  </si>
  <si>
    <t>NBA10002796-2</t>
  </si>
  <si>
    <t>1610854</t>
  </si>
  <si>
    <t>Service installation</t>
  </si>
  <si>
    <t>Municipal, Private Development</t>
  </si>
  <si>
    <t>NBA10002796-216108544454044609</t>
  </si>
  <si>
    <t>NBA10002796-1</t>
  </si>
  <si>
    <t>1610855</t>
  </si>
  <si>
    <t>Meter installation</t>
  </si>
  <si>
    <t>Private Development</t>
  </si>
  <si>
    <t>NBA10002796-116108554454044609</t>
  </si>
  <si>
    <t>SC18667</t>
  </si>
  <si>
    <t>1410885</t>
  </si>
  <si>
    <t>500' 2" main are in conflict (potential) with sewer and road improvement; Helen Ave (Charity Ave to Doris Ave); adjacent to VW350
Conflicts with services also need to be determined.</t>
  </si>
  <si>
    <t>Y (01/07)</t>
  </si>
  <si>
    <t>SC1866714108854454444609</t>
  </si>
  <si>
    <t xml:space="preserve">Service Analysis </t>
  </si>
  <si>
    <t>Analysis</t>
  </si>
  <si>
    <t>Service investigation (21 Services) to identify conflicts with proposed improvements.</t>
  </si>
  <si>
    <t>RS898</t>
  </si>
  <si>
    <t>1010506</t>
  </si>
  <si>
    <t>Replace existing regulation facility 4501042 and associated buried Big Joe regulator 4551042 with new GCS 471.4 tinwhistle in close proximity to existing regulation facility.</t>
  </si>
  <si>
    <t>TW Venting
Sys Ops: Ron Westphal; Don Verdun 
Con Ops: Tony Cabezas</t>
  </si>
  <si>
    <t>RS89810105064441844610</t>
  </si>
  <si>
    <t>MR1827</t>
  </si>
  <si>
    <t>3210872</t>
  </si>
  <si>
    <t>Retire - 4 Partition Valves (2022-B): 3292203, 3212986, 3211115, 3292270</t>
  </si>
  <si>
    <t>3292203 - State
3212986 - Township
3211115 - State
3292270 - McHenry County</t>
  </si>
  <si>
    <t>Grafton</t>
  </si>
  <si>
    <t>MR182732108724455144610</t>
  </si>
  <si>
    <t>Revision to update regulator setup &amp; design based on new guidance.</t>
  </si>
  <si>
    <t>RS6111091574460744614</t>
  </si>
  <si>
    <t>VW197</t>
  </si>
  <si>
    <t>1210792</t>
  </si>
  <si>
    <t>Install ~9900' of 2" PE main (28#) to replace existing vintage steel main. Main to be replaced on Lotus observed as thin wall pipe in field.</t>
  </si>
  <si>
    <t>Municipal, 79th IDOT, Central Cook County</t>
  </si>
  <si>
    <t>VW19712107924451644615</t>
  </si>
  <si>
    <t>SC20013</t>
  </si>
  <si>
    <t>1410989</t>
  </si>
  <si>
    <t>500' of 2" main and longside services  potential conflict with proposed pavement grading (12" cuts)Location: Curtis Avenue ( Raynor Avenue and Wilcox Street )</t>
  </si>
  <si>
    <t>SC2001314109894458544615</t>
  </si>
  <si>
    <t>Revision due to comments from City to add additional utility crossing profile.</t>
  </si>
  <si>
    <t>SC1971913106854460344615</t>
  </si>
  <si>
    <t>Silent revision to remove coupling</t>
  </si>
  <si>
    <t>Engineering request to expand scope to retire additional coupling</t>
  </si>
  <si>
    <t>VW21312106924461344615</t>
  </si>
  <si>
    <t>Revision due to additional restoration information from City.</t>
  </si>
  <si>
    <t>VW3312105994460944615</t>
  </si>
  <si>
    <t>N13414</t>
  </si>
  <si>
    <t>100’ of 6” STL in conflict with proposed water main installation.
Location: Big Timber Rd &amp; Gast Rd</t>
  </si>
  <si>
    <t>N13414-4460244616</t>
  </si>
  <si>
    <t>Revision to add updated watermain design per Kane County comments.Revision to add updated watermain design per Kane County comments.</t>
  </si>
  <si>
    <t>NBA1000105616105814457444617</t>
  </si>
  <si>
    <t>N13264</t>
  </si>
  <si>
    <t>129277</t>
  </si>
  <si>
    <t>BARTLETT</t>
  </si>
  <si>
    <t>Crew time added for difficult install/retirement.
Rev did not impact PCTS cost (PCTS approved prior to rev assigned).</t>
  </si>
  <si>
    <t>~1000' of 8" STL in potential conflict w/roadway &amp; drainage improvements; IL Route 59 &amp; Bartlett Road</t>
  </si>
  <si>
    <t>Bartlett</t>
  </si>
  <si>
    <t>N132641292774391344617</t>
  </si>
  <si>
    <t>SC20334</t>
  </si>
  <si>
    <t>200' of 6" main potential conflict with bridge replacement;
Location: Joliet Rd and West of Crossroads Pkway</t>
  </si>
  <si>
    <t>SC20334-4459644617</t>
  </si>
  <si>
    <t>Project cancelled based on conversation with Field Ops</t>
  </si>
  <si>
    <t>NBA 1872593. Per Ron – “ Replace 1st stage with 4" Mooney regulators w/operator set to feed at 100# &amp; 35% orifice plate, monitor set at 110#, both pilots need purple springs and 630R set to monitor feed with a green strip spring.  Replace existing meter set with a 56M downstream meter, operator 4" Mooney with 35% orifice plate &amp; blue spring in the pilot, monitor is a 4" 441-57s with 2 1/8" orifice &amp; brown spring and relief is a 630R with blue strip spring.” Need WO#</t>
  </si>
  <si>
    <t>NBA187259319110404461344621</t>
  </si>
  <si>
    <t>120531</t>
  </si>
  <si>
    <t>Revision to break out 12" MOP as an Investing in Illinois Project</t>
  </si>
  <si>
    <t>M109481205314461544622</t>
  </si>
  <si>
    <t>M10948-1</t>
  </si>
  <si>
    <t>KH to create INI WO &amp; revise WO drawings/PCTS</t>
  </si>
  <si>
    <t>Put 12" BSRPL MOP onto INI WO</t>
  </si>
  <si>
    <t>M10948-112111174461544622</t>
  </si>
  <si>
    <t>MR1829</t>
  </si>
  <si>
    <t>1210878</t>
  </si>
  <si>
    <t>Additional material added.
Revision did not impact PCTS cost (added notes and additional info for Village).</t>
  </si>
  <si>
    <t>Retire - 2 Partition Valves (2022-B): 3292286, 3211829</t>
  </si>
  <si>
    <t>3292286 - State
3211829 - Municipal</t>
  </si>
  <si>
    <t>MR182912108784455144623</t>
  </si>
  <si>
    <t>N10077</t>
  </si>
  <si>
    <t>1211013</t>
  </si>
  <si>
    <t>300’ of 6” STL main, potential conflicts with proposed grading and storm sewer.
Location: W Main St and Hart Road</t>
  </si>
  <si>
    <t>N1007712110134457244624</t>
  </si>
  <si>
    <t>Revision due to updated information from IDOT.</t>
  </si>
  <si>
    <t>N140161293394462144627</t>
  </si>
  <si>
    <t>M13085</t>
  </si>
  <si>
    <t>1210978</t>
  </si>
  <si>
    <t>Cost increased due to revision requests from Cook County and IDOT to change install method and restoration limits</t>
  </si>
  <si>
    <t>200’ of 6” STL in conflict with proposed traffic signal modernization and ADA work.
Location: 139th Street &amp; Western Ave
BS222 directly to the west.</t>
  </si>
  <si>
    <t>M1308512109784458544627</t>
  </si>
  <si>
    <t>NBA10002178</t>
  </si>
  <si>
    <t>1910770</t>
  </si>
  <si>
    <t>Construction time increased and equipment added due to difficult install.</t>
  </si>
  <si>
    <t>Install ~1,556' of 2" MOP main (155#)</t>
  </si>
  <si>
    <t>Easement; Private Development</t>
  </si>
  <si>
    <t>NBA1000217819107704458844628</t>
  </si>
  <si>
    <t xml:space="preserve">REV 1 </t>
  </si>
  <si>
    <t>Revision to add utility crossing profiles.</t>
  </si>
  <si>
    <t>SC1733013107274461644628</t>
  </si>
  <si>
    <t>Service Exhibit</t>
  </si>
  <si>
    <t>Service Exhibit Complete</t>
  </si>
  <si>
    <t>Easement Ehibit</t>
  </si>
  <si>
    <t>NBA1000279616108414462844628</t>
  </si>
  <si>
    <t>MR1828</t>
  </si>
  <si>
    <t>3210856</t>
  </si>
  <si>
    <t>CARY</t>
  </si>
  <si>
    <t>Retire - 2 Partition Valves (2022-B): 3292264, 3292265</t>
  </si>
  <si>
    <t>3292264 - State
3292265 - State</t>
  </si>
  <si>
    <t>MR182832108564455144634</t>
  </si>
  <si>
    <t>Revision due to IDOT MOT comments.</t>
  </si>
  <si>
    <t>COR446-4459944635</t>
  </si>
  <si>
    <t>Kero Halim</t>
  </si>
  <si>
    <t>Revision to remove vault retrofit items per CRA team.</t>
  </si>
  <si>
    <t>RS8091021354462844635</t>
  </si>
  <si>
    <t>SC19274</t>
  </si>
  <si>
    <t>500' of 2" main and longside services potential conflict with proposed road resurfacing (17").</t>
  </si>
  <si>
    <t>SC19274-4435544635</t>
  </si>
  <si>
    <t>Service investigation (9 Services) to identify conflicts with proposed improvements.</t>
  </si>
  <si>
    <t>M12889</t>
  </si>
  <si>
    <t>1210761</t>
  </si>
  <si>
    <t>BELLWOOD</t>
  </si>
  <si>
    <t>Nicor reduced restoration based on negiotation with developer.
Revision due to Village permitting comments.</t>
  </si>
  <si>
    <t>750' of 4" and 2" main  conflict with proposed driveway (potholed by the developer); Location: 25th Ave &amp; Van Buren</t>
  </si>
  <si>
    <t>Bellwood</t>
  </si>
  <si>
    <t>M1288912107614448844637</t>
  </si>
  <si>
    <t>MR1826</t>
  </si>
  <si>
    <t>1210876</t>
  </si>
  <si>
    <t>Retire - 2 Partition Valves (2022-B): 3121835, 3120044</t>
  </si>
  <si>
    <t>3121835 - Municipal
3120044 - Cook County &amp; State</t>
  </si>
  <si>
    <t>MR182612108764455144638</t>
  </si>
  <si>
    <t>Materials removed.
Revision did not impact PCTS cost (added notes and details for CCDOTH).</t>
  </si>
  <si>
    <t>M13086</t>
  </si>
  <si>
    <t>DIXMOOR</t>
  </si>
  <si>
    <t>Reassigned as EN did prior WO for same IDOT project</t>
  </si>
  <si>
    <t xml:space="preserve">500’ of 2”, 4”, 6” (PE, STL and MOP main) main due to proposed storm water and grading improvements Location: FAU Route 2857 (Wood St/Ashland Ave) </t>
  </si>
  <si>
    <t>M13086-4462144643</t>
  </si>
  <si>
    <t>BS457</t>
  </si>
  <si>
    <t>1410798</t>
  </si>
  <si>
    <t>Install ~13,500' of 6" &amp; 380' of 2" PE main (60#) to replace existing bare steel main.</t>
  </si>
  <si>
    <t>BS45714107984452244645</t>
  </si>
  <si>
    <t>1010503</t>
  </si>
  <si>
    <t>Replace existing regulation facility 3701071 with new GCS 471.2 (1st cut) and GCS 471.4 (2nd cut) tinwhistles in close proximity to existing location. Retire compliance valve 3716212 w/o replacement.</t>
  </si>
  <si>
    <t>Greenville</t>
  </si>
  <si>
    <t>RS88710105034441844649</t>
  </si>
  <si>
    <t>BS511</t>
  </si>
  <si>
    <t>135724</t>
  </si>
  <si>
    <t>Additional flaggers added due to difficult install.
Revision did not impact PCTS cost (added construction details/watermain).</t>
  </si>
  <si>
    <t>Install ~700, of 8" STL, ~2000' of 6" &amp; ~700' of 2" PE main (60#) to replace existing vintage/bare steel main and allow retirement of parallel 25# main.</t>
  </si>
  <si>
    <t>City, IDOT, BNSF
Easement needed from Fox Valley Park District</t>
  </si>
  <si>
    <t>Aurora</t>
  </si>
  <si>
    <t>BNSFR</t>
  </si>
  <si>
    <t>BS5111357244421544650</t>
  </si>
  <si>
    <t>N15028</t>
  </si>
  <si>
    <t>ALGONQUIN</t>
  </si>
  <si>
    <t>500’ of 2” PE and longside services potential conflicts with proposed subgrade improvements (full depth)
Location: Jester Ln and Sussex Ln, Algonquin, IL</t>
  </si>
  <si>
    <t>Y (Not Completed)</t>
  </si>
  <si>
    <t>N15028-4463744650</t>
  </si>
  <si>
    <t>SC20084</t>
  </si>
  <si>
    <t>500’ of 2”, 4” 6” due to ADA updates and traffic signal modernization.
Location: IL RTE 102 and Plum Creek Dr</t>
  </si>
  <si>
    <t>SC20084-4462144651</t>
  </si>
  <si>
    <t>SC20311</t>
  </si>
  <si>
    <t>200’ of 2” PE, 4” PE, 6” STL, and 8” STL potential conflict with proposed ADA improvements, push button foundations, and proposed conduit.
Location: Keating Blvd and US-6.</t>
  </si>
  <si>
    <t>SC20311-4463144651</t>
  </si>
  <si>
    <t>SC20359</t>
  </si>
  <si>
    <t>400’ of 2” &amp; 6” STL main potential conflict with proposed ADA ramp improvements.
Location: US 30 Lincoln Highway from Nelson Rd to Church St</t>
  </si>
  <si>
    <t>SC20359-4463144651</t>
  </si>
  <si>
    <t>SC20712</t>
  </si>
  <si>
    <t>250’ of 6” STL main in conflict with proposed drainage improvements and grading.
159th St &amp; Gougar Rd
Thorntons Convenience Store</t>
  </si>
  <si>
    <t>SC20712-4463144652</t>
  </si>
  <si>
    <t>M9725</t>
  </si>
  <si>
    <t>1210923</t>
  </si>
  <si>
    <t>3000’ of 2”, 4”, 6” STL and PE in conflict with proposed grading and roadway widening improvements.
Location: Chestnut Ave and Johns Drive</t>
  </si>
  <si>
    <t>M972512109234457244655</t>
  </si>
  <si>
    <t>N15383</t>
  </si>
  <si>
    <t>1211107</t>
  </si>
  <si>
    <t>Scope: 200’ of 4” STL in conflict with proposed drainage improvements.
Location: N Oak St &amp; Shipland Dr</t>
  </si>
  <si>
    <t>Nunda</t>
  </si>
  <si>
    <t>N1538312111074460244655</t>
  </si>
  <si>
    <t>MR183532108994457144656</t>
  </si>
  <si>
    <t>NBA10001378-1</t>
  </si>
  <si>
    <t>1610890</t>
  </si>
  <si>
    <t>MALTA</t>
  </si>
  <si>
    <t>Enbridge</t>
  </si>
  <si>
    <t>NBA10001378-116108904454544657</t>
  </si>
  <si>
    <t>NBA10001378-2</t>
  </si>
  <si>
    <t>1611126</t>
  </si>
  <si>
    <t>Install ~425' of 4" MOP</t>
  </si>
  <si>
    <t>IL-38 - IDOT 
Willrett Rd - Township</t>
  </si>
  <si>
    <t>NBA10001378-216111264454544657</t>
  </si>
  <si>
    <t>MR1839</t>
  </si>
  <si>
    <t>3210894</t>
  </si>
  <si>
    <t>Retire - Partition Valve: 2232888</t>
  </si>
  <si>
    <t>Wolf - Cook County, 55th - State</t>
  </si>
  <si>
    <t>MR183932108944457144657</t>
  </si>
  <si>
    <t>MR1840</t>
  </si>
  <si>
    <t>3210897</t>
  </si>
  <si>
    <t>Retire - Partition Valve: 2232886</t>
  </si>
  <si>
    <t>Wolf - Cook County</t>
  </si>
  <si>
    <t>MR184032108974457144657</t>
  </si>
  <si>
    <t>Nicor personnel time reduced.
Revision did not impact PCTS cost (added notes and details for CCDOTH).</t>
  </si>
  <si>
    <t>M12928</t>
  </si>
  <si>
    <t>50’ of 12” MOP main, 50’ of 2” PE and 50’ of 6” Steel in potential conflict with proposed ADA grading and traffic signal modernization improvements. 
Location: Dee Rd &amp; Higgins Rd, Rosemont</t>
  </si>
  <si>
    <t>IDOT #61H78</t>
  </si>
  <si>
    <t>M12928-4463144658</t>
  </si>
  <si>
    <t>N13319</t>
  </si>
  <si>
    <t>Scope: 500’ of 2”/4”/ 6” main, 8” MOP main in conflict with proposed traffic signal modernization and lighting improvements.
Location: Algonquin Rd from Haligus Rd to Harvest Gate Rd/Taladaga Dr to Hanson Rd/Hilltop Dr to Pyott Road and Wilmont Rd &amp; Main St
8 Intersections.</t>
  </si>
  <si>
    <t>N13319-4462844658</t>
  </si>
  <si>
    <t>MR1836</t>
  </si>
  <si>
    <t>3210900</t>
  </si>
  <si>
    <t>Retire - Partition Valves (2):2233736, 2233738</t>
  </si>
  <si>
    <t>Wolf - Cook County; 31st - State</t>
  </si>
  <si>
    <t>RS - RETIREMENT ONLY</t>
  </si>
  <si>
    <t>MR183632109004457144659</t>
  </si>
  <si>
    <t>N12607-112103334448344659</t>
  </si>
  <si>
    <t>Additional material added.
Revision did not impact PCTS cost (added additional unmarked utilities for Village).</t>
  </si>
  <si>
    <t>Engineering requested KH to look in to field change proposed by Con Ops</t>
  </si>
  <si>
    <t>SC17434-11356934459644661</t>
  </si>
  <si>
    <t>SC18768</t>
  </si>
  <si>
    <t>1310739</t>
  </si>
  <si>
    <t>350' of 8" main potential conflict with proposed bike path, storm sewer.</t>
  </si>
  <si>
    <t>Municipal, DuPage County</t>
  </si>
  <si>
    <t>Carol Stream</t>
  </si>
  <si>
    <t>SC1876813107394447644664</t>
  </si>
  <si>
    <t>N14980</t>
  </si>
  <si>
    <t>250’ of 2” and 4” STL in conflict with proposed storm sewer improvements.
Location: Arizona Boulevard &amp; Cumberland Street</t>
  </si>
  <si>
    <t>N14980-4462844664</t>
  </si>
  <si>
    <t>Revision to add watermain &amp; ComEd design to the WO drawings.</t>
  </si>
  <si>
    <t>M106931203914458144665</t>
  </si>
  <si>
    <t>MR1809</t>
  </si>
  <si>
    <t>1410808</t>
  </si>
  <si>
    <t>MELVIN</t>
  </si>
  <si>
    <t>Replace casing ID#7016800070008. 4" UNK main
W. Main St and Crossley Street - Illinois Central Railroad
40.56882388 -88.24764569 
Compliance Date: 12/31/2022</t>
  </si>
  <si>
    <t>Municipal
Illinois Central RR (confirm)</t>
  </si>
  <si>
    <t>Melvin</t>
  </si>
  <si>
    <t>MR180914108084452944665</t>
  </si>
  <si>
    <t>Revision due to revised scope based on updated developer plans.</t>
  </si>
  <si>
    <t>M1262912103704465744669</t>
  </si>
  <si>
    <t>MR1851</t>
  </si>
  <si>
    <t>1211026</t>
  </si>
  <si>
    <t>MR185112110264458744670</t>
  </si>
  <si>
    <t>Revision to add construction details and notes requested by Grundy County.</t>
  </si>
  <si>
    <t>Coordinated details with Grundy County for preliminary approval</t>
  </si>
  <si>
    <t>168777000.2.178</t>
  </si>
  <si>
    <t>NBA197091319107374463144671</t>
  </si>
  <si>
    <t>N15190</t>
  </si>
  <si>
    <t>1211230</t>
  </si>
  <si>
    <t>Original invoice amount = $4,445.40 (should have been $52,130.26).</t>
  </si>
  <si>
    <t>(Rush) 1100’ of 2”/4” main and longside services in conflict with proposed grade cuts (30") and drainage improvements.
Location: Evergreen Lane and Westview Street.</t>
  </si>
  <si>
    <t>N1519012112304463144672</t>
  </si>
  <si>
    <t xml:space="preserve">NBA10001378 </t>
  </si>
  <si>
    <t>1610847</t>
  </si>
  <si>
    <t xml:space="preserve">Install ~3,500' of 8" MOP for system improvement </t>
  </si>
  <si>
    <t>IL-38 - IDOT
Nelson Rd - Township</t>
  </si>
  <si>
    <t>NBA10001378 16108474454544673</t>
  </si>
  <si>
    <t>Revision to remove previously abandoned main requested by Kane County.</t>
  </si>
  <si>
    <t>RS8261021464466444673</t>
  </si>
  <si>
    <t>1010970</t>
  </si>
  <si>
    <t>Replace or retire TW #1501438, WO 101199 is a TW retrofit venting project.</t>
  </si>
  <si>
    <t>Compliance date of leak is 10/20/2022.
US Rte 6 (IDOT)
Oak Bluff Ct (Ottawa Township)
Timber Creek Ct (Ottawa Township)</t>
  </si>
  <si>
    <t>RS99310109704458244673</t>
  </si>
  <si>
    <t>M1288912107614467144677</t>
  </si>
  <si>
    <t>Scope Change</t>
  </si>
  <si>
    <t>RS97210110714460344677</t>
  </si>
  <si>
    <t>Revision to revise tie-in and notes per Engineering.</t>
  </si>
  <si>
    <t>Additonal scope added to the drawings.</t>
  </si>
  <si>
    <t>168777000.2.013</t>
  </si>
  <si>
    <t>SC170611408624467644679</t>
  </si>
  <si>
    <t>MR1872</t>
  </si>
  <si>
    <t>3211039</t>
  </si>
  <si>
    <t>Retire - 2 Partition Valves (2022-B): 3121055, 3121822</t>
  </si>
  <si>
    <t>3121055 - Municipal
3121822 - State (Palatine Rd)</t>
  </si>
  <si>
    <t>MR187232110394459644679</t>
  </si>
  <si>
    <t>Material added and company crew time increased due to site features</t>
  </si>
  <si>
    <t>RS87110102324435044680</t>
  </si>
  <si>
    <t>1010976</t>
  </si>
  <si>
    <t>Vault location due to easement cost prior to releasing project</t>
  </si>
  <si>
    <t>Replace facility 3101111 due to major AC, 3x4 &amp; 5x5 boxes;
OUT CRA-STRAINER-FV (no strainer, FV not show on master list, appears to be 24' per Globe)</t>
  </si>
  <si>
    <t>IN: 60# (4"); OUT 25# (6") - Flows west; Appears to be backfed: Y
S Meacham Rd (IDOT); Existing vault appears to be in Palatine Township not Rolling Meadows;
Approximate OOS window TBD.</t>
  </si>
  <si>
    <t>RS99110109764458244680</t>
  </si>
  <si>
    <t>DOT Plan Review</t>
  </si>
  <si>
    <t>N15028-4467144683</t>
  </si>
  <si>
    <t>1210539</t>
  </si>
  <si>
    <t>Developer requested the Nicor remove the scope of install due to services not needing to be transferred.</t>
  </si>
  <si>
    <t>SC1815212105394465544684</t>
  </si>
  <si>
    <t>Revision due to environmental, Village, &amp; IDOT permitting comments.</t>
  </si>
  <si>
    <t>Comment from Village to add notes to plans, Lake County SMC updated sites, IDOT comments to revise core vac and MOT standards</t>
  </si>
  <si>
    <t>BS26012107214460744684</t>
  </si>
  <si>
    <t>Marissa Laporte</t>
  </si>
  <si>
    <t>Revision to add addition construction notes and details per Village.</t>
  </si>
  <si>
    <t>Village of Barrington requests additional notes be added to the set.</t>
  </si>
  <si>
    <t>MR182912108784467744684</t>
  </si>
  <si>
    <t>SC19761</t>
  </si>
  <si>
    <t>1411083</t>
  </si>
  <si>
    <t>MOKENA</t>
  </si>
  <si>
    <t>Scope: 600’ of 8” STL main in potential conflict with proposed storm sewer and fill conditions.
Location: Wolf Rd from 183rd St to 187th St</t>
  </si>
  <si>
    <t>IDOT, 187TH is County/Muni</t>
  </si>
  <si>
    <t>Orland</t>
  </si>
  <si>
    <t>SC1976114110834460244685</t>
  </si>
  <si>
    <t>VW142-1</t>
  </si>
  <si>
    <t>120602</t>
  </si>
  <si>
    <t>Install ~1000' of 2" PE in City of Chicago</t>
  </si>
  <si>
    <t>City of Chicago</t>
  </si>
  <si>
    <t>VW142-11206024428644685</t>
  </si>
  <si>
    <t>RS100010110724460344685</t>
  </si>
  <si>
    <t>RS938</t>
  </si>
  <si>
    <t>1011052</t>
  </si>
  <si>
    <t>Replace Dual 5x5 Facility #3701046 due to non-compliance and corrosion.
OUT CRA-STRAINER-F (no strainer)</t>
  </si>
  <si>
    <t>Verify location of fire valve, valve is currently not shown on Master List.
Existing vault on Municipal Roads
S Oakwood Ace is IDOT Jurisdiction</t>
  </si>
  <si>
    <t>Genesco</t>
  </si>
  <si>
    <t>RS93810110524460044687</t>
  </si>
  <si>
    <t>RS927</t>
  </si>
  <si>
    <t>1010728</t>
  </si>
  <si>
    <t>Crew/construction time increased due to challenging install &amp; removal along IDOT road.Revision did not impact PCTS cost (added storm sewer &amp; restoration notes).</t>
  </si>
  <si>
    <t>Install ~3500' of 4" PE and ~520' of 2"PE to upsize the system north of Gold Road to retire facility #2101016. Adjacent to WO 120437. Existing facility is in Forest Preserve property.</t>
  </si>
  <si>
    <t>Morton Grove
Golf
Glen View
IDOT</t>
  </si>
  <si>
    <t>RS92710107284448044687</t>
  </si>
  <si>
    <t>M1335312112864463144690</t>
  </si>
  <si>
    <t>Revision to update phasing of WO's due to delay in DOT construction schedule.</t>
  </si>
  <si>
    <t>Waiting on TDS approval</t>
  </si>
  <si>
    <t>N133361292784454044691</t>
  </si>
  <si>
    <t>RS6621021314442044691</t>
  </si>
  <si>
    <t>N15385</t>
  </si>
  <si>
    <t>1211285</t>
  </si>
  <si>
    <t>POPLAR GROVE</t>
  </si>
  <si>
    <t>200’ of 2” PE in conflict with proposed storm drainage improvements
Location: Sherman Lane &amp; Oak Street, Sherman Lane &amp; Park Street</t>
  </si>
  <si>
    <t>Poplar Grove</t>
  </si>
  <si>
    <t>N1538512112854463744691</t>
  </si>
  <si>
    <t>RS970</t>
  </si>
  <si>
    <t>1011106</t>
  </si>
  <si>
    <t>CHANNAHON</t>
  </si>
  <si>
    <t>Project cancelled based on conversation with Eng on 5/10 PUM</t>
  </si>
  <si>
    <t>Original Scope: Install FV on Facility #4201271; Scope pending direction from Nicor CRA;
CRA-FV</t>
  </si>
  <si>
    <t>CEMETARY RD &amp; STA 269
WC/CN RR parallel to main
Inlet/Outlet MAOP = 350/60
Existing FV located 25' from CL of tin</t>
  </si>
  <si>
    <t>RS97010111064460744691</t>
  </si>
  <si>
    <t>RS98810109604458244691</t>
  </si>
  <si>
    <t>Revision due to revised environmental features.</t>
  </si>
  <si>
    <t>N132641292774469044692</t>
  </si>
  <si>
    <t>Revision due to CN railroad permitting comments.</t>
  </si>
  <si>
    <t>VW84-11408074462144692</t>
  </si>
  <si>
    <t>RS97310111044460744692</t>
  </si>
  <si>
    <t>Chicago OUC denied permit</t>
  </si>
  <si>
    <t>Received OUC Approval (3/17)
Con Ops to reach out if permit assistance is needed.</t>
  </si>
  <si>
    <t>VW265-11204824428544693</t>
  </si>
  <si>
    <t xml:space="preserve">REV 2 </t>
  </si>
  <si>
    <t>Revision to update notes and details requested by Lake County Stormwater Management.</t>
  </si>
  <si>
    <t>BS26012107214469044693</t>
  </si>
  <si>
    <t>1410799</t>
  </si>
  <si>
    <t>ConOps</t>
  </si>
  <si>
    <t>Install 2700' of 8" STL and 8700' of 6" PE main(60#) to replace existing bare steel main.  Test 8" STL main to 230# (to be operated at 60#).</t>
  </si>
  <si>
    <t>IDOT - CH 33, CH 22, CH 10</t>
  </si>
  <si>
    <t>BS45814107994452244693</t>
  </si>
  <si>
    <t>BS459</t>
  </si>
  <si>
    <t>1410800</t>
  </si>
  <si>
    <t>Install ~4400' of 8" STL main (60#) to replace existing bare steel main.  Test 8" STL main to 230# (to be operated at 60#).</t>
  </si>
  <si>
    <t>IDOT - CH 10</t>
  </si>
  <si>
    <t>St Anne</t>
  </si>
  <si>
    <t>BS45914108004452244693</t>
  </si>
  <si>
    <t>MOT Plan</t>
  </si>
  <si>
    <t>City of Evanston requested traffic control plan.</t>
  </si>
  <si>
    <t>RS6111091574467944697</t>
  </si>
  <si>
    <t>SC18640</t>
  </si>
  <si>
    <t>1000' of 8" main in conflict with proposed watermain
Illinois American Water Company
IL 56 and Park Blvd.</t>
  </si>
  <si>
    <t>Village of Glen Ellyn</t>
  </si>
  <si>
    <t>SC18640-4465644697</t>
  </si>
  <si>
    <t>MR1866</t>
  </si>
  <si>
    <t>3311035</t>
  </si>
  <si>
    <t>Retire - 2 Partition Valves (2022-B): 1362012, 1362094</t>
  </si>
  <si>
    <t>1362012 - State (Rte 34)
1362094 - Municipal</t>
  </si>
  <si>
    <t>MR186633110354459644697</t>
  </si>
  <si>
    <t>Neg Out Of Rev</t>
  </si>
  <si>
    <t>Revision due to County Comments to adjust running line</t>
  </si>
  <si>
    <t>Pipe removal in roadway widening, running line adjustment for foundation.</t>
  </si>
  <si>
    <t>SC1906413108134467144698</t>
  </si>
  <si>
    <t>1410691</t>
  </si>
  <si>
    <t xml:space="preserve">Install 5500' of 8" STL and 900' of 2" PE main(60#), as shown on attached Synergi plots, to replace existing vintage/bare steel main. </t>
  </si>
  <si>
    <t>IDOT (Ruby St (IL 53), Western Ave (US 30))
Municipal</t>
  </si>
  <si>
    <t>BS20814106914447644699</t>
  </si>
  <si>
    <t>Revision to update City utilities and add additional details per City comments.Revision to update City utilities and add additional details per City comments.</t>
  </si>
  <si>
    <t>BS5111357244469744704</t>
  </si>
  <si>
    <t>M1321412113404465644704</t>
  </si>
  <si>
    <t>RS88810105044441844704</t>
  </si>
  <si>
    <t>N15608</t>
  </si>
  <si>
    <t>Resurfacing, ADA improvements and traffic modernization
IL-38, from John Huber Parkway to 5th St.</t>
  </si>
  <si>
    <t>N15608-4467244705</t>
  </si>
  <si>
    <t>MR1900</t>
  </si>
  <si>
    <t>Duplicate project (MR1134 completed in 2018)</t>
  </si>
  <si>
    <t>Replace 10" main to eliminate shorted casing.
201-15-0900-3</t>
  </si>
  <si>
    <t>Railroad
Rose St and Fullerton to west: IDOT
Municipal for Fullerton Ave surrounding</t>
  </si>
  <si>
    <t>MR1900-4470444706</t>
  </si>
  <si>
    <t>1410850</t>
  </si>
  <si>
    <t>Replace 250' of 1" 230# steel  that runs under railroad tracks with 275' of 2" 60# steel. Replace facility #4501011 from west of tracks to east. Replace 188' of 1-1/4" 60# steel with 2" steel.</t>
  </si>
  <si>
    <t>Municipal
CN RR</t>
  </si>
  <si>
    <t>MR181314108504454444706</t>
  </si>
  <si>
    <t>1010408</t>
  </si>
  <si>
    <t>KINSMAN</t>
  </si>
  <si>
    <t>Additional material/PO items added for difficult install near railroad tracks.</t>
  </si>
  <si>
    <t xml:space="preserve">Replace existing regulation facility 1501097 with new GCS 471.4 tinwhistle in close proximity to existing location.  </t>
  </si>
  <si>
    <t>Grundy</t>
  </si>
  <si>
    <t>RS85410104084438944708</t>
  </si>
  <si>
    <t>RS864</t>
  </si>
  <si>
    <t>1010502</t>
  </si>
  <si>
    <t>GARFIELD</t>
  </si>
  <si>
    <t>Replace existing regulation facility 1501314 in close proximity to existing location.</t>
  </si>
  <si>
    <t>Osage</t>
  </si>
  <si>
    <t>RS86410105024441844708</t>
  </si>
  <si>
    <t>RS857</t>
  </si>
  <si>
    <t>101206</t>
  </si>
  <si>
    <t>W BROOKLYN</t>
  </si>
  <si>
    <t>Replace existing regulation facility 1501143 with new GCS471.4 tinwhistle in close proximity to existing location.</t>
  </si>
  <si>
    <t>W Brooklyn</t>
  </si>
  <si>
    <t>Brooklyn</t>
  </si>
  <si>
    <t>RS8571012064432044708</t>
  </si>
  <si>
    <t>MR1870</t>
  </si>
  <si>
    <t>3211034</t>
  </si>
  <si>
    <t>Nicor personnel time increased.
Revision did not impact PCTS cost (added proposed WO 1011552 for phasing).</t>
  </si>
  <si>
    <t>Retire - 3 Partition Valves (2022-B):3121616, 3120045, 3120046</t>
  </si>
  <si>
    <t>3121616 - Cook County
3120045, 3120046 - Municipal</t>
  </si>
  <si>
    <t>MR187032110344459644708</t>
  </si>
  <si>
    <t>N15226</t>
  </si>
  <si>
    <t>1211202</t>
  </si>
  <si>
    <t>12,000' of 1.25”, 2”, 3”, 4”  main and longside services in conflict with storm water, grading, subgrade improvements.
Multiple locations in City of Woodstock</t>
  </si>
  <si>
    <t>N1522612112024462144715</t>
  </si>
  <si>
    <t>VW313</t>
  </si>
  <si>
    <t>1211308</t>
  </si>
  <si>
    <t>~500' of 1-1/4" STL replacement part of the N15226 Project Scope</t>
  </si>
  <si>
    <t>VW31312113084466644715</t>
  </si>
  <si>
    <t>NBA197091319107374463144719</t>
  </si>
  <si>
    <t>Revision due to Village comments</t>
  </si>
  <si>
    <t>Nicor negotiated with village out of revision</t>
  </si>
  <si>
    <t>Excavation dimensions required</t>
  </si>
  <si>
    <t>MR187032110344471844720</t>
  </si>
  <si>
    <t>RS1029</t>
  </si>
  <si>
    <t>1011429</t>
  </si>
  <si>
    <t>CRA-FV (Facility #4301404 / FV #4371130)
Add fire valve to tin whistle to be vented 2022</t>
  </si>
  <si>
    <t>Coordinate with WO #101169
Inlet/Outlet MAOP = 300/60</t>
  </si>
  <si>
    <t>Bourbonnais</t>
  </si>
  <si>
    <t>RS102910114294469244720</t>
  </si>
  <si>
    <t>RS99510111054460744720</t>
  </si>
  <si>
    <t xml:space="preserve">ST ANNE </t>
  </si>
  <si>
    <t>Revision due to Kanakee County comments.</t>
  </si>
  <si>
    <t>KH to clarify questions from Kankakee County. 
KH negotiated out of revision.</t>
  </si>
  <si>
    <t>Kankakee County quesitons</t>
  </si>
  <si>
    <t>BS45814107994472044722</t>
  </si>
  <si>
    <t>M13539</t>
  </si>
  <si>
    <t>Negotiated out of</t>
  </si>
  <si>
    <t>500’ of 6” main potential conflict with proposed roadway improvements.
Multiple locates (7 intersections - DuPage &amp; Cook Counties))</t>
  </si>
  <si>
    <t>M13539-4467744725</t>
  </si>
  <si>
    <t>N15658</t>
  </si>
  <si>
    <t xml:space="preserve">1500’ of 8” &amp; 12" MOP and 2” in conflict with proposed stormwater pipe &amp; watermain;
IL Route 47 from Main St to Mill St, Huntley </t>
  </si>
  <si>
    <t>N15658-4468444725</t>
  </si>
  <si>
    <t>Revision due to McHenry County comments to remove all abandoned main within County HWY ROW</t>
  </si>
  <si>
    <t>Pending confirmation from McHenry County if we can remove around the sidewalk</t>
  </si>
  <si>
    <t>MR182732108724471344726</t>
  </si>
  <si>
    <t>Revision to add casing information requested by Engineering.</t>
  </si>
  <si>
    <t>VW18912106624471944726</t>
  </si>
  <si>
    <t>Revision due to Nicor Engineering request for fire valve to be relocated.</t>
  </si>
  <si>
    <t>RS8211021444471344727</t>
  </si>
  <si>
    <t>Chicago OUC submission</t>
  </si>
  <si>
    <t>KH submitting plans through Chicago OUC.</t>
  </si>
  <si>
    <t>VW142-11206024468644727</t>
  </si>
  <si>
    <t>NBA10002869</t>
  </si>
  <si>
    <t>1911215</t>
  </si>
  <si>
    <t>Total install amount decreased due to revision to revise proposed meter location.</t>
  </si>
  <si>
    <t>Tie into existing gas main on the east side of Centerpoint Way and go west on the northside of Schweitzer Road for 11,600' with 6" PE gas main. One service to 2903 Schweitzer Rd, Joliet to go with this gas main ext.</t>
  </si>
  <si>
    <t>City, Township, Private</t>
  </si>
  <si>
    <t>Channahon, Jackson, Joliet, Troy</t>
  </si>
  <si>
    <t>CenterPoint</t>
  </si>
  <si>
    <t>NBA1000286919112154463744727</t>
  </si>
  <si>
    <t>SC15968</t>
  </si>
  <si>
    <t>1211312</t>
  </si>
  <si>
    <t>2,000' of 2” STL in conflict with proposed water main and storm drain improvements.
May Street and Lavoie Ave</t>
  </si>
  <si>
    <t>City of Elgin</t>
  </si>
  <si>
    <t>SC1596812113124465644732</t>
  </si>
  <si>
    <t>RS99910110704460344733</t>
  </si>
  <si>
    <t>Revision due to Land rights.</t>
  </si>
  <si>
    <t>Negotiated out of revision - confirmed by Calvin on 6/22</t>
  </si>
  <si>
    <t xml:space="preserve">Land unable to obtain proposed private easement for installation of 2" PE main </t>
  </si>
  <si>
    <t>BS5781205374472744734</t>
  </si>
  <si>
    <t>SC14346-1</t>
  </si>
  <si>
    <t>1111271</t>
  </si>
  <si>
    <t xml:space="preserve">100' of 36" transmission main in potential conflict with ditch cut/sidewalk/retaining wall.
WO 108134
C.H. 02/C.H. 38  - Hobson Road/63rd Street, </t>
  </si>
  <si>
    <t>SC14346-111112714463144735</t>
  </si>
  <si>
    <t>Revision to refresh drawings.</t>
  </si>
  <si>
    <t>RS8371021534473944739</t>
  </si>
  <si>
    <t>Closed out as ConOps found a work around</t>
  </si>
  <si>
    <t>KH to create Addendum A for revised test data.</t>
  </si>
  <si>
    <t>Nicor CONOPS requested TDS be revised to include 4" pipe and fittings.</t>
  </si>
  <si>
    <t>RS85010104054473644739</t>
  </si>
  <si>
    <t xml:space="preserve">Support as ConOps not able to use running line on Neltnor Blved due to limited ROW and congested utilities in the area. </t>
  </si>
  <si>
    <t>SC1971913106854467944739</t>
  </si>
  <si>
    <t>BS611</t>
  </si>
  <si>
    <t>1410951</t>
  </si>
  <si>
    <t>Install ~800' of 6", 2600' of 4" and 1200' of 2" PE main (25#),  to replace existing vintage/bare steel main. Design engineer to determine most appropriate means of replacement of main east of RR tracks and west of river.
S Raynor Ave (US 52) &amp; McDonough St (US 52)</t>
  </si>
  <si>
    <t>McDonough St (US 52)
CSX Railroad</t>
  </si>
  <si>
    <t>CSX</t>
  </si>
  <si>
    <t>BS61114109514458144739</t>
  </si>
  <si>
    <t>N14266</t>
  </si>
  <si>
    <t>1000' of 2" main conflict with 12" storm sewer;
Higgins Rd and Commonwealth Dr</t>
  </si>
  <si>
    <t>Private Developer; Muni &amp; IDOT</t>
  </si>
  <si>
    <t>N14266-4459244740</t>
  </si>
  <si>
    <t>RS99610110904460744740</t>
  </si>
  <si>
    <t>RS1046</t>
  </si>
  <si>
    <t>1011504</t>
  </si>
  <si>
    <t>Cancelled due to future DOT project.</t>
  </si>
  <si>
    <t>Add FV and strainer to Facility #3201149
CRA-FV-STRAINER</t>
  </si>
  <si>
    <t xml:space="preserve">
Rte 47 and Lake St, Woodstock
PRIM473A (KH project in close proximity)</t>
  </si>
  <si>
    <t>RS104610115044471844741</t>
  </si>
  <si>
    <t>Revision to adjust running line under creek due to challenging field conditions.</t>
  </si>
  <si>
    <t>Revision due to ConOps comments to revise running line for deep bore between Nettle Creek. They received prelim approval to put under pavement from City Engineer.</t>
  </si>
  <si>
    <t>Pending meeting with ConOps/Eng (scheduled for 6/13)</t>
  </si>
  <si>
    <t>BS25514107084472144742</t>
  </si>
  <si>
    <t>N14027</t>
  </si>
  <si>
    <t>1211368</t>
  </si>
  <si>
    <t>Crew time added for difficult install.
Revision did not impact PCTS cost (updated DOT plans).</t>
  </si>
  <si>
    <t>400’ of 4” &amp; 12" MOP in conflict with proposed drainage culverts at 2 separate locations;
Kelsey Rd. &amp; IL-59, North Old McHenry Road &amp; Abbey Glenn Dr.  Monaville Road &amp; Cedar Lake Road was not in conflict</t>
  </si>
  <si>
    <t>Lake County DOT</t>
  </si>
  <si>
    <t>N1402712113684467244742</t>
  </si>
  <si>
    <t>Revision due to Nicor comment to separate Test Section D</t>
  </si>
  <si>
    <t>BS45814107994474344747</t>
  </si>
  <si>
    <t>Revision due to vault detail not directly matching plan view.</t>
  </si>
  <si>
    <t>RS6681030744470444748</t>
  </si>
  <si>
    <t>Revision to add unmarked utilities to the plan per the Village.</t>
  </si>
  <si>
    <t>MR183632109004473444748</t>
  </si>
  <si>
    <t>Revision due to comment from County to add notes (conditional approval obtained)</t>
  </si>
  <si>
    <t>RS85410104084474044749</t>
  </si>
  <si>
    <t>Revision to address ConOp's request to separate test section.</t>
  </si>
  <si>
    <t>MR185112110264474244749</t>
  </si>
  <si>
    <t>M13590</t>
  </si>
  <si>
    <t>3211441</t>
  </si>
  <si>
    <t>Nicor removed restoration based on negiotation with developer.</t>
  </si>
  <si>
    <t xml:space="preserve">Cut and cap, retire approximately 2000 ft of 2" and 4" main in conflict with development.
IL 83 and Bryn Mar Ave  </t>
  </si>
  <si>
    <t>M1359032114414467044749</t>
  </si>
  <si>
    <t>N15528</t>
  </si>
  <si>
    <t>1100’ of 2” STL potential conflict with proposed storm sewer.
Indigo Lane &amp; Copper Drive</t>
  </si>
  <si>
    <t>Village of Machesney Park</t>
  </si>
  <si>
    <t>N15528-4464444749</t>
  </si>
  <si>
    <t>RS102910114294469244749</t>
  </si>
  <si>
    <t>168777000.C.703</t>
  </si>
  <si>
    <t>RS10331012004469244749</t>
  </si>
  <si>
    <t>M12668</t>
  </si>
  <si>
    <t>1211413</t>
  </si>
  <si>
    <t>3000’ of 2”, 6”, 8” STL &amp; 2” PE and longside services in conflict with proposed ADA improvements, drainage improvements &amp; water main improvements.
Boeger Ave, Hawthorne Ave, Portsmouth Ave and Suffolk Ave</t>
  </si>
  <si>
    <t>M1266812114134466644750</t>
  </si>
  <si>
    <t>N1411012114854468444753</t>
  </si>
  <si>
    <t>102169</t>
  </si>
  <si>
    <t>BINGHAMPTON</t>
  </si>
  <si>
    <t>Not Eligible to reconcile. Project was released in 2022 and in 2023 was rejobstarted as new project due to scope change and was billed at $14750/Vault. This is just the updated cost for the revision we billed.</t>
  </si>
  <si>
    <t>Will Not</t>
  </si>
  <si>
    <t>Add fire valve to tin whistle to be vented 2022.
CRA-FV (Facility #3701003)</t>
  </si>
  <si>
    <t>Coordinate with WO #102169
Inlet/Outlet MAOP = 300/25</t>
  </si>
  <si>
    <t>RS10311021694469244753</t>
  </si>
  <si>
    <t>Revision to update tie-in due to depth of the existing main found in the field.</t>
  </si>
  <si>
    <t>RS99310109704474744755</t>
  </si>
  <si>
    <t>WLA</t>
  </si>
  <si>
    <t>Perform wheel load analysis for construction conditions over exising pipe.</t>
  </si>
  <si>
    <t>N1467612105114473644761</t>
  </si>
  <si>
    <t>Revision due to updated LCDOT plans.</t>
  </si>
  <si>
    <t>3A</t>
  </si>
  <si>
    <t>Coordination with LCDOT for conditional approval</t>
  </si>
  <si>
    <t>168777000.2.017</t>
  </si>
  <si>
    <t>N1402712113684474944762</t>
  </si>
  <si>
    <t>RS99610110904475544762</t>
  </si>
  <si>
    <t>M1325212115314469344763</t>
  </si>
  <si>
    <t>Construction cost increased to expand scope based on revised IDOT design.</t>
  </si>
  <si>
    <t>200' of 4" STL in conflict with IDOT grading.
IL Rte 60 &amp; Wilson Rd</t>
  </si>
  <si>
    <t>N1467612105114472044764</t>
  </si>
  <si>
    <t>KH attended meeting with IDOT and answering questions during permitting/ramp-up for construction.</t>
  </si>
  <si>
    <t>M106931203914467844764</t>
  </si>
  <si>
    <t>RS92310107324448044764</t>
  </si>
  <si>
    <t>RS93910109714458044764</t>
  </si>
  <si>
    <t>N15169</t>
  </si>
  <si>
    <t>1211499</t>
  </si>
  <si>
    <t>1000’ of 2” and 4” STL in conflict with proposed storm sewers and grading.
IL Route 59 &amp; Knollwood Rd</t>
  </si>
  <si>
    <t>Lake County</t>
  </si>
  <si>
    <t>Fox Lake</t>
  </si>
  <si>
    <t>N1516912114994467844768</t>
  </si>
  <si>
    <t>Revision to reduce limits of install.</t>
  </si>
  <si>
    <t>NBA1000286919112154476744768</t>
  </si>
  <si>
    <t>Revision due to unexpected fittings and main found in construction.</t>
  </si>
  <si>
    <t>RS8081021344476744769</t>
  </si>
  <si>
    <t>Revision due to Cook County and IDOT restoration requests.</t>
  </si>
  <si>
    <t>M1308512109784472744770</t>
  </si>
  <si>
    <t>Revision to add typical sections and restoration details per CCDOTH comments.Revision to add typical sections and restoration details per CCDOTH comments.</t>
  </si>
  <si>
    <t>MR179032105734474844771</t>
  </si>
  <si>
    <t>RS97210110714460344771</t>
  </si>
  <si>
    <t>Revision to update detour plan per IDOT comments</t>
  </si>
  <si>
    <t>COR446-4464844775</t>
  </si>
  <si>
    <t>N13168</t>
  </si>
  <si>
    <t xml:space="preserve">200' of 4" main potential conflict with proposed driveway.
Location: Main St and Mill St </t>
  </si>
  <si>
    <t>N13168-4474944776</t>
  </si>
  <si>
    <t>Revision due to updated Village plans.</t>
  </si>
  <si>
    <t>Revision due to comments from City to adjust design to avoid impact to signage for adjacent business.</t>
  </si>
  <si>
    <t>Holding for coordination with designer/Land</t>
  </si>
  <si>
    <t>SC177521356914450244778</t>
  </si>
  <si>
    <t>RS1044</t>
  </si>
  <si>
    <t>1011506</t>
  </si>
  <si>
    <t>Add FV and strainer to Facility #1429191
CRA-FV-STRAINER</t>
  </si>
  <si>
    <t>McLean blvd (Sleepy Hollow) &amp; Big Timber, Elgin</t>
  </si>
  <si>
    <t xml:space="preserve">Elgin </t>
  </si>
  <si>
    <t>RS104410115064471844778</t>
  </si>
  <si>
    <t>BS377</t>
  </si>
  <si>
    <t>1211513</t>
  </si>
  <si>
    <t>Install ~1500' of 2" PE main (60#) to replace existing bare steel main. 
Allen St &amp; 8th Ave.</t>
  </si>
  <si>
    <t>BS37712115134472144781</t>
  </si>
  <si>
    <t>BS383</t>
  </si>
  <si>
    <t>1211516</t>
  </si>
  <si>
    <t>Install ~900' of 4" PE main (60#) to replace existing bare steel main.
Kilburn Ave &amp; Wallin Ave</t>
  </si>
  <si>
    <t>City, IDOT (tie-in)</t>
  </si>
  <si>
    <t>BS38312115164472144781</t>
  </si>
  <si>
    <t>Dimple Analysis</t>
  </si>
  <si>
    <t>BS45914108004474244782</t>
  </si>
  <si>
    <t>Revision due to inability to obtain proposed Nicor easement.</t>
  </si>
  <si>
    <t>RS99510111054474744782</t>
  </si>
  <si>
    <t>VW18912106624475044783</t>
  </si>
  <si>
    <t>N132571292564475044783</t>
  </si>
  <si>
    <t>N132571292564388744783</t>
  </si>
  <si>
    <t>1911012</t>
  </si>
  <si>
    <t>Phase 1 of Rock Run Crossing Development; ~5350' of 8" STL, 4000' of 6" PE, 6500' of 4" PE &amp; 1800' of 2" PE gas main. Rock Run Crossing development.</t>
  </si>
  <si>
    <t>Joliet, easement</t>
  </si>
  <si>
    <t>Easement</t>
  </si>
  <si>
    <t>NBA1000410419110124457244784</t>
  </si>
  <si>
    <t>BS110</t>
  </si>
  <si>
    <t>1211333</t>
  </si>
  <si>
    <t>CALUMET CITY</t>
  </si>
  <si>
    <t>Install ~1200' of 6" and ~3200' of 2" PE main (28#) to replace existing vintage/bare steel main.
Sibley Ave (IL 83) &amp; Torrence Ave (IL 83)</t>
  </si>
  <si>
    <t>Calumet City</t>
  </si>
  <si>
    <t>BS11012113334466644785</t>
  </si>
  <si>
    <t>M13741</t>
  </si>
  <si>
    <t>1211566</t>
  </si>
  <si>
    <t>100' of 8" main exposed shallow main
171st St and Harlem Ave</t>
  </si>
  <si>
    <t>M1374112115664471844789</t>
  </si>
  <si>
    <t>MT. PROSPECT</t>
  </si>
  <si>
    <t>Revision to show phasing with WO 1011552 to retire existing TW.</t>
  </si>
  <si>
    <t>MR187032110344478344790</t>
  </si>
  <si>
    <t>BS382</t>
  </si>
  <si>
    <t>1211515</t>
  </si>
  <si>
    <t>Install ~500' of 2" PE main (25#) to retire ~1500' of adjacent bare steel main.
Ellis St &amp; Cumberland St</t>
  </si>
  <si>
    <t>168777000.1.337</t>
  </si>
  <si>
    <t>BS38212115154472144790</t>
  </si>
  <si>
    <t>Shallow gas main was hit within the DOT's scope.</t>
  </si>
  <si>
    <t>N136331293354477744792</t>
  </si>
  <si>
    <t>Revision to add typical sections and restoration details per CCDOTH comments.</t>
  </si>
  <si>
    <t>This was a new standard for Cross Sections when crossing CCDOT. Excessive coordination with Nicor and CCDOT to get aligned on new standards and confirm if its required</t>
  </si>
  <si>
    <t>168777000.2.185</t>
  </si>
  <si>
    <t>M109051205854468344796</t>
  </si>
  <si>
    <t>NBA1000571819114894471544797</t>
  </si>
  <si>
    <t>Revision to show proposed development &amp; adjust running line per IDOT comments.</t>
  </si>
  <si>
    <t>BS26012107214479144798</t>
  </si>
  <si>
    <t>BS387</t>
  </si>
  <si>
    <t>1211512</t>
  </si>
  <si>
    <t>Install ~1000' of 4" PE main (60#) to replace existing bare steel main.
Nelson Blvd &amp; 15th Ave</t>
  </si>
  <si>
    <t>BS38712115124472144798</t>
  </si>
  <si>
    <t>MR118912114044468344799</t>
  </si>
  <si>
    <t>MR1892</t>
  </si>
  <si>
    <t>1411473</t>
  </si>
  <si>
    <t xml:space="preserve">Replace ~4,600' of 4" main due to leaks.
IL-47 &amp; County Rd 3100 North </t>
  </si>
  <si>
    <t>Brown Township</t>
  </si>
  <si>
    <t xml:space="preserve">Brown </t>
  </si>
  <si>
    <t>MR189214114734470644802</t>
  </si>
  <si>
    <t>MR1918</t>
  </si>
  <si>
    <t>1211613</t>
  </si>
  <si>
    <t>Replace ~3,000 of 2" main due to heavy corrosion.
W Willow St &amp; Highland Ave.</t>
  </si>
  <si>
    <t>MR191812116134474944802</t>
  </si>
  <si>
    <t>BS70</t>
  </si>
  <si>
    <t>1211514</t>
  </si>
  <si>
    <t>Install ~4600' of 4" PE main (25#) to replace existing bare steel main.
Broadway Ave &amp; Eastmoreland Ave</t>
  </si>
  <si>
    <t>168777000.1.335</t>
  </si>
  <si>
    <t>BS7012115144472144803</t>
  </si>
  <si>
    <t>BS198</t>
  </si>
  <si>
    <t>1211548</t>
  </si>
  <si>
    <t>KH Finalizing WO drawings for release.</t>
  </si>
  <si>
    <t>Install ~1400' of 2" main (60#) to replace existing bare steel main.
Ridge Rd &amp; Violet Ave</t>
  </si>
  <si>
    <t>168777000.1.343</t>
  </si>
  <si>
    <t>BS19812115484473244804</t>
  </si>
  <si>
    <t>Revision to change installation method due to existing subsurface conditions.</t>
  </si>
  <si>
    <t>BS20814106914480244806</t>
  </si>
  <si>
    <t xml:space="preserve">Izabela Holowach </t>
  </si>
  <si>
    <t xml:space="preserve">Marissa LaPorte </t>
  </si>
  <si>
    <t>Revision to update restoration limits and add additional construction details and notes due to CCDOT comments.</t>
  </si>
  <si>
    <t>MR182612108764478244806</t>
  </si>
  <si>
    <t>SC20874</t>
  </si>
  <si>
    <t>1311367</t>
  </si>
  <si>
    <t>~180' of 2" Steel in conflict with proposed traffic improvements. 
Location: IL-59 &amp; James Ave</t>
  </si>
  <si>
    <t>SC2087413113674467244810</t>
  </si>
  <si>
    <t>1211334</t>
  </si>
  <si>
    <t>Install ~2600' of 8" STL, 800' of 4" PE, and 2700' of 2" PE main (25#) to replace existing vintage/bare steel main.
N 2nd St (River Ln to Carmen Ave)</t>
  </si>
  <si>
    <t>BS38112113344466644811</t>
  </si>
  <si>
    <t>NBA10006643</t>
  </si>
  <si>
    <t>1611434</t>
  </si>
  <si>
    <t>Construction cost increased due to revision to adjust running line and add additional spotting/restoration from KDOT.</t>
  </si>
  <si>
    <t>Install 5,160' of 6"PE (60#) Main and 3,200' of 4"PE (60#) Main.
Broadsmore Dr &amp; Huntley Rd</t>
  </si>
  <si>
    <t>NBA1000664316114344473244812</t>
  </si>
  <si>
    <t xml:space="preserve">Alban Shehu </t>
  </si>
  <si>
    <t>Nicor Real Estate requested an exhibit following the same standard as past exhibits.</t>
  </si>
  <si>
    <t>RS5001020834481344816</t>
  </si>
  <si>
    <t>N14800</t>
  </si>
  <si>
    <t>1211589</t>
  </si>
  <si>
    <t>800' of 4"/8” STL in  conflict with proposed drainage improvements and grade changes; replace ~700' of 2" isolated steel on Logistics Pkwy 
Logistics Parkway &amp; Samuelson Road</t>
  </si>
  <si>
    <t>N1480012115894471844816</t>
  </si>
  <si>
    <t>N1341012116164471844817</t>
  </si>
  <si>
    <t>N15554</t>
  </si>
  <si>
    <t>3211288</t>
  </si>
  <si>
    <t>Nicor reduced crew time &amp; restoration based on negiotation with developer.</t>
  </si>
  <si>
    <t xml:space="preserve">700' of 4" main relocation due to development;
40 Prairie Park Dr, Wheeling, IL 60090. </t>
  </si>
  <si>
    <t>N1555432112884463144817</t>
  </si>
  <si>
    <t>NBA10007760</t>
  </si>
  <si>
    <t>1611652</t>
  </si>
  <si>
    <t>WO # 1611652 Install 536' of 2" PE (60#) main - Retire 350' of 4" PE on Prairie Ct NBA#10007760 18 services.
Design in conjuction with 3211288.</t>
  </si>
  <si>
    <t>60-89 Prairie Ct</t>
  </si>
  <si>
    <t>NBA1000776016116524463144817</t>
  </si>
  <si>
    <t>Revision to revise running line based on updated utility information received from Village.</t>
  </si>
  <si>
    <t>N132641292774478144818</t>
  </si>
  <si>
    <t>SC19989</t>
  </si>
  <si>
    <t>1010941</t>
  </si>
  <si>
    <t>1000' of 3" MOP main &amp; 200' of 36" transmission mains conflict with ditch cut;
CH 23 and US 24</t>
  </si>
  <si>
    <t>County</t>
  </si>
  <si>
    <t>SC1998910109414454444818</t>
  </si>
  <si>
    <t>1211332</t>
  </si>
  <si>
    <t>Cost estimate decreased due to revision request to update from bore to open trench in certain areas from City.</t>
  </si>
  <si>
    <t>Install ~2600' of 12" STL main (230#) and 50-100' of 16" STL main (230#), to replace existing bare/vintage steel main. This project addresses the original BS419 scope, as shown in the recommendation package.  Vintage steel to the south will be handled on a later project.
N Dee Rd (Virginia St to Cherry St)</t>
  </si>
  <si>
    <t>Foreign Pipeline (Kinder Morgan); City</t>
  </si>
  <si>
    <t>Park Ridge</t>
  </si>
  <si>
    <t>168777000.1.330</t>
  </si>
  <si>
    <t>BS41912113324466644818</t>
  </si>
  <si>
    <t>Revision due to comments from city of Naperville regarding missing electrical linework.</t>
  </si>
  <si>
    <t>Drawings issued to Nicor 9/20</t>
  </si>
  <si>
    <t>SC1906413108134481844824</t>
  </si>
  <si>
    <t>RS1011</t>
  </si>
  <si>
    <t>1011552</t>
  </si>
  <si>
    <t>Cost estimate increased based on PCTS updated costs. Revisions did not impact PCTS cost (added detailed MOT plan at request of IDOT and restoration details at the request of the Village).</t>
  </si>
  <si>
    <t>Remove Existing TW Facility #3101013. 
Install ~500' of 2" PE to interconnect.</t>
  </si>
  <si>
    <t>Inlet/Outlet MAOP = 230/25
E. Rand Rd &amp; Louis St</t>
  </si>
  <si>
    <t>168777000.C.708</t>
  </si>
  <si>
    <t>RS101110115524473344824</t>
  </si>
  <si>
    <t>RS102610115584473344824</t>
  </si>
  <si>
    <t>RS105310115654473944824</t>
  </si>
  <si>
    <t>Revision to specify separation from City utilities per City comments.</t>
  </si>
  <si>
    <t>Pending confirmation from Nicor.</t>
  </si>
  <si>
    <t>BS38112113344481844825</t>
  </si>
  <si>
    <t>MR946/A</t>
  </si>
  <si>
    <t>119965/
119975</t>
  </si>
  <si>
    <t>UNIVERSITY PARK</t>
  </si>
  <si>
    <t>Shraddha Imbrogno</t>
  </si>
  <si>
    <t>QA/QC</t>
  </si>
  <si>
    <t>Review</t>
  </si>
  <si>
    <t>Reviewed design completed by HBK.</t>
  </si>
  <si>
    <t>MR946/A119965/
1199754478444826</t>
  </si>
  <si>
    <t>SOW Review</t>
  </si>
  <si>
    <t>Update HBK SOW Doc</t>
  </si>
  <si>
    <t>UNIVERSITY PARK/BEECHER</t>
  </si>
  <si>
    <t>IPO</t>
  </si>
  <si>
    <t>Refresh of HBK's WO drawings. Coordinate with 1211324 and Milhouse's WO to the south</t>
  </si>
  <si>
    <t>Foreign Pipeline (ANR, Wolverine, BP, Buckeye, Enbridge, Northern Border Pipeline, Explore Piipeline)</t>
  </si>
  <si>
    <t>BS441</t>
  </si>
  <si>
    <t>1211324</t>
  </si>
  <si>
    <t>CRETE</t>
  </si>
  <si>
    <t>Install 22,600' of 12" at 350# to replace 8"
Coord. with WO 119965 &amp; 119975
Tie-in to 4 facilities</t>
  </si>
  <si>
    <t>Roads: Township (tie-in @ Will Co Rds)
3 Foreign Pipelines (EPROD, Buckeye, KM)
Future Airport Expansion</t>
  </si>
  <si>
    <t>Washington
Will</t>
  </si>
  <si>
    <t>Enterprise Products
Buckeye
Kinder Morgan</t>
  </si>
  <si>
    <t>BS44112113244467144826</t>
  </si>
  <si>
    <t>BS450</t>
  </si>
  <si>
    <t>1411323</t>
  </si>
  <si>
    <t>ENG/CONOPS</t>
  </si>
  <si>
    <t>Install 32,800' of 12" at 350# to replace 8"
Coord. with WO 140537, 1410930 &amp; 1010251
Existing 8" Main is rectified CP Rect. #320
IL-17 &amp; E 4000N Rd</t>
  </si>
  <si>
    <t>Township &amp; Kankakee Co (tie-in @ IDOT Rd)
Foreign Pipeline (Marathon Pipeline)
3 Railroad Crossings (NS)</t>
  </si>
  <si>
    <t>Nortfolk Southern, Marathon Pipeline</t>
  </si>
  <si>
    <t>BS45014113234467144826</t>
  </si>
  <si>
    <t>Revision due to restoration comments from Village.</t>
  </si>
  <si>
    <t>Pending comments from village.</t>
  </si>
  <si>
    <t>RS92610107334481044827</t>
  </si>
  <si>
    <t>VW284</t>
  </si>
  <si>
    <t>1211335</t>
  </si>
  <si>
    <t>WORTH</t>
  </si>
  <si>
    <t>Install ~300' of 6" PE, ~2700' of 4" PE and ~11200' of 2" PE main (28#) to replace existing vinate steel main.
W 111th St &amp; S Harlem Ave (IL-43)</t>
  </si>
  <si>
    <t>IDOT (SW HWY), City</t>
  </si>
  <si>
    <t>Worth</t>
  </si>
  <si>
    <t>168777000.1.333</t>
  </si>
  <si>
    <t>VW28412113354466644830</t>
  </si>
  <si>
    <t>RS105010115624473544834</t>
  </si>
  <si>
    <t>RS100810115614473344834</t>
  </si>
  <si>
    <t>Hydrotest cost &amp; utility inspector time increased due to challenging install across IDOT roadway. 
Revision did not impact PCTS costs (added restoration &amp; environmental notes/details and coordinated with IDOT).</t>
  </si>
  <si>
    <t>BS45614107974452244837</t>
  </si>
  <si>
    <t>JUSTICE-1</t>
  </si>
  <si>
    <t>Revision due to CCDOTH comments to add updated details and information.</t>
  </si>
  <si>
    <t>Pending review from CCDOTH.</t>
  </si>
  <si>
    <t>168777000.2.192</t>
  </si>
  <si>
    <t>M10905-11205584476044837</t>
  </si>
  <si>
    <t>RS1065</t>
  </si>
  <si>
    <t>Install ~2400' of 4" PE main, as shown in attached plots, allowing retirement of facility 1101035.  Design work order in coordination with DOT SC14346</t>
  </si>
  <si>
    <t>RS1065-4477444837</t>
  </si>
  <si>
    <t>M13457</t>
  </si>
  <si>
    <t>1211269</t>
  </si>
  <si>
    <t>HODGKINS</t>
  </si>
  <si>
    <t>Revision due to permitting CCDOTH comments to add updated details and information.</t>
  </si>
  <si>
    <t>No Changes</t>
  </si>
  <si>
    <t>1500' of 2" PE conflict with proposed development (grade cut 30") and drive ways. Relocation required due to trespassing within property.
6800 River Rd, Hodgkins, IL 60525</t>
  </si>
  <si>
    <t>Des Plaines</t>
  </si>
  <si>
    <t>M1345712112694462844838</t>
  </si>
  <si>
    <t>N14207</t>
  </si>
  <si>
    <t>1,500’ of 2”, 4”, and 6” STL in conflict with proposed improvements;
Charles St from 28th St to Parkside Dr</t>
  </si>
  <si>
    <t>N14207-4478344840</t>
  </si>
  <si>
    <t>Revision due to IDOT construction updates exposing 4" STL main.</t>
  </si>
  <si>
    <t>N1467612105114483444840</t>
  </si>
  <si>
    <t>Revision due to CCDOTH comments to update sidewalk details &amp; prepare detailed cross section.</t>
  </si>
  <si>
    <t>VW12212103894467844841</t>
  </si>
  <si>
    <t>Somto Okoye</t>
  </si>
  <si>
    <t>Revision due to CCDOTH comments to prepare detailed cross section and details.</t>
  </si>
  <si>
    <t>168777000.2.316</t>
  </si>
  <si>
    <t>MR184032108974483444841</t>
  </si>
  <si>
    <t>1211638</t>
  </si>
  <si>
    <t>Change due to PCTS/EF Updates</t>
  </si>
  <si>
    <t xml:space="preserve">~900’ of 8” Steel and 12” Steel MOP in conflict with proposed storm &amp; sanitary improvements and grading. 
Bass St &amp; Wallace St </t>
  </si>
  <si>
    <t>TBD (1st)</t>
  </si>
  <si>
    <t>TBD (Northwestern)</t>
  </si>
  <si>
    <t>N1580912116384473244841</t>
  </si>
  <si>
    <t>Additonal sheets/scope added to the drawings including adjacent WO completed by another consultant.</t>
  </si>
  <si>
    <t>SC170611408624483844848</t>
  </si>
  <si>
    <t>RS962</t>
  </si>
  <si>
    <t>RS - METER BANK BOLLARD REPLACEMENT</t>
  </si>
  <si>
    <t>RS962-4475644848</t>
  </si>
  <si>
    <t>Revision to adjust running line per KDOT comments.</t>
  </si>
  <si>
    <t>NBA1000664316114344484444851</t>
  </si>
  <si>
    <t>M13560</t>
  </si>
  <si>
    <t>3211699</t>
  </si>
  <si>
    <t>Restoration removed based on negiotation with developer.</t>
  </si>
  <si>
    <t>4A</t>
  </si>
  <si>
    <t>M1356032116994466644852</t>
  </si>
  <si>
    <t>N1221912116884477444852</t>
  </si>
  <si>
    <t>MCCOOK</t>
  </si>
  <si>
    <t>Revision to add a detailed MOT plan for intersection closure.</t>
  </si>
  <si>
    <t>Coordination with Shactee and IDOT for preliminary approval of detour plans.</t>
  </si>
  <si>
    <t>COR435-4480444853</t>
  </si>
  <si>
    <t>Revision to add additional details and prepare detailed cross sections requested by IDOT.</t>
  </si>
  <si>
    <t>*Can get started on some comments (workplanned). But final direction pending meeting scheduled for 10/10.</t>
  </si>
  <si>
    <t>BS38112113344483944853</t>
  </si>
  <si>
    <t>SC19558</t>
  </si>
  <si>
    <t>1411711</t>
  </si>
  <si>
    <t>500’ of 6” STL in conflict with proposed drainage improvements, grade cuts, and subgrade removal.
Olympic Blvd &amp; Crossroads Dr</t>
  </si>
  <si>
    <t>SC1955814117114478844853</t>
  </si>
  <si>
    <t>SC20435</t>
  </si>
  <si>
    <t>1211744</t>
  </si>
  <si>
    <t>Construction time decreased and post camera inspection removed.</t>
  </si>
  <si>
    <t>500' of 2” steel in potential conflict with proposed water main
Oak Rd &amp; Astor Pl, Oak Rd &amp; Court St, Court St &amp; Pinewood Ln</t>
  </si>
  <si>
    <t>Village of Monee</t>
  </si>
  <si>
    <t>SC2043512117444475644853</t>
  </si>
  <si>
    <t>1211822</t>
  </si>
  <si>
    <t>Nicor personnel time, crew time and construction time increased due to difficult install.</t>
  </si>
  <si>
    <t>Replace 150' of 4" STL at road crossing due to contractor hitting pipe while cutting into roadway for sewer construction project. Install ~175' of 2" STL to backfeed services.</t>
  </si>
  <si>
    <t>Union St &amp; College St</t>
  </si>
  <si>
    <t>168777000.1.349</t>
  </si>
  <si>
    <t>MR193412118224481744858</t>
  </si>
  <si>
    <t>SC19251</t>
  </si>
  <si>
    <t>1311788</t>
  </si>
  <si>
    <t>2,500’ of 2” STL and 4” STL in conflict with proposed drainage improvements;
Smith Road from Cambridge Drive to north of Klein Road</t>
  </si>
  <si>
    <t>DuPage County Stormwater</t>
  </si>
  <si>
    <t xml:space="preserve">- </t>
  </si>
  <si>
    <t>SC1925113117884477444859</t>
  </si>
  <si>
    <t>N15999</t>
  </si>
  <si>
    <t>3211835</t>
  </si>
  <si>
    <t>Cut and cap due to proposed development. 
1800 Howard St, Elk Grove Village</t>
  </si>
  <si>
    <t>N1599932118354480644859</t>
  </si>
  <si>
    <t>NBA1000648916117914481844859</t>
  </si>
  <si>
    <t xml:space="preserve">Revision to add additional install details per KDOT. </t>
  </si>
  <si>
    <t>NBA1000664316114344485844860</t>
  </si>
  <si>
    <t>SC1434613112704463144860</t>
  </si>
  <si>
    <t>168777000.C.715</t>
  </si>
  <si>
    <t>RS107710117104478844861</t>
  </si>
  <si>
    <t>Revision due to UPRR permitting comments on LG drawings.</t>
  </si>
  <si>
    <t>Pending coordination with UPRR &amp; Shactee</t>
  </si>
  <si>
    <t>BS194D-112104604482744862</t>
  </si>
  <si>
    <t>RS1048</t>
  </si>
  <si>
    <t>1011825</t>
  </si>
  <si>
    <t>Replace 4" service for 56M meter move out.</t>
  </si>
  <si>
    <t>Private Property - 1300 Claussen Dr.</t>
  </si>
  <si>
    <t>Private property</t>
  </si>
  <si>
    <t>RS104810118254481744862</t>
  </si>
  <si>
    <t>RS1049</t>
  </si>
  <si>
    <t>1011826</t>
  </si>
  <si>
    <t>Move 56M meter and regulators outside. Corrosion issues with inside meter and service, limited access, no outside shut off. Meter #0336519. See NBA 10007259 for load information.</t>
  </si>
  <si>
    <t>RS104910118264481744862</t>
  </si>
  <si>
    <t xml:space="preserve">Engineering updated contract/labor year &amp; PO tab. </t>
  </si>
  <si>
    <t>RS106210116184475044862</t>
  </si>
  <si>
    <t>MR1937</t>
  </si>
  <si>
    <t>1211860</t>
  </si>
  <si>
    <t>Construction cost increased based on revision which updated the design as Land was not able to obtain a segment of the proposed easement.</t>
  </si>
  <si>
    <t xml:space="preserve">Install ~602' of 2" PE (25#) to eliminate metallic short between main and steel retaining wall.
Compliance date: 2/3/23. 501-41-0179. </t>
  </si>
  <si>
    <t>N Pistakee Lake Rd &amp; Meade Ct</t>
  </si>
  <si>
    <t>MR193712118604482644865</t>
  </si>
  <si>
    <t>SC21234</t>
  </si>
  <si>
    <t>1411854</t>
  </si>
  <si>
    <t>Crew time decreased.</t>
  </si>
  <si>
    <t>200' of 2" main in conflict with proposed drainage improvements. 
Dora Ave and Second Ave</t>
  </si>
  <si>
    <t>City of Joliet</t>
  </si>
  <si>
    <t>Village of Joliet</t>
  </si>
  <si>
    <t>SC2123414118544478444865</t>
  </si>
  <si>
    <t>Cancelled as facility was replaced under WO 1410850</t>
  </si>
  <si>
    <t>Replace facility 4501011 in existing location.
Tin Whistle (In: XXX#/Out: XX#)</t>
  </si>
  <si>
    <t>Ludlow St and N Chestunt St
Coordinate with MR1813 (WO 1410850) which was to replace facility 4501011 in Ludlow</t>
  </si>
  <si>
    <t>RS1103-4486544865</t>
  </si>
  <si>
    <t>N14691</t>
  </si>
  <si>
    <t>1211779</t>
  </si>
  <si>
    <t>Nicor personal time and restoration increased due to difficult install/congestion of utilities.</t>
  </si>
  <si>
    <t>3500’ of 2” PE install due to public utility improvments. 
Rivers View Dr &amp; Southwind Dr, Westwind Dr</t>
  </si>
  <si>
    <t>Village of Carpentersville</t>
  </si>
  <si>
    <t>N1469112117794471844868</t>
  </si>
  <si>
    <t>SC20804</t>
  </si>
  <si>
    <t>1311659</t>
  </si>
  <si>
    <t>300’ of 2” STL in potential conflict with proposed improvements.
Eastern Avenue &amp; Park Avenue, and Eastern Avenue &amp; Ann Street. Install will be along Ann St near Harris Ave &amp; Hamlin Ln</t>
  </si>
  <si>
    <t>Village of Clarendon Hills</t>
  </si>
  <si>
    <t>Village of Clarendon hills</t>
  </si>
  <si>
    <t>SC2080413116594472144872</t>
  </si>
  <si>
    <t>RS1091</t>
  </si>
  <si>
    <t>1011994</t>
  </si>
  <si>
    <t>RS109110119944486544873</t>
  </si>
  <si>
    <t>NBA10007422</t>
  </si>
  <si>
    <t>1911611</t>
  </si>
  <si>
    <t>Construction survey and restoration reduced (from entire project (7,893') to a third of the scope (2,311').</t>
  </si>
  <si>
    <t>Install 5,000' of 2" PE and 3,100' of 4" PE. Gas main extension and system improvement for Seasons at Plainfield.</t>
  </si>
  <si>
    <t>IDOT, City, Private property</t>
  </si>
  <si>
    <t>NBA1000742219116114474244875</t>
  </si>
  <si>
    <t>M13578</t>
  </si>
  <si>
    <t>1211455</t>
  </si>
  <si>
    <t>ORLAND PARK</t>
  </si>
  <si>
    <t>~1000’ of 2”, 4” &amp; 10" STL and PE in conflict with proposed stream improvements, grade changes and proposed retaining walls.
Tinley Creek from 151st Street to 161st Place</t>
  </si>
  <si>
    <t>M1357812114554468444875</t>
  </si>
  <si>
    <t>SC21176</t>
  </si>
  <si>
    <t>1311480</t>
  </si>
  <si>
    <t>Cost decreased due to running line updates caused by revision which resulted from updated DOT design/plans.</t>
  </si>
  <si>
    <t>4500' of 2" and 4" main potential conflict with proposed storm sewer. Phase 2 of SC16061. Refer to SC18817 completed 2021.
Pennsylvania Ave and Main St</t>
  </si>
  <si>
    <t>SC2117613114804469144875</t>
  </si>
  <si>
    <t>Conflict Analysis</t>
  </si>
  <si>
    <t>Ongoing conflict analysis/coordination with City during construction.</t>
  </si>
  <si>
    <t>Pending direction from Nicor on construction conflict analyses.</t>
  </si>
  <si>
    <t>N1522612112024471844880</t>
  </si>
  <si>
    <t>Revision to add additonal MOT details and information.</t>
  </si>
  <si>
    <t>RS101110115524487344880</t>
  </si>
  <si>
    <t>Revision to add additional restoration information.</t>
  </si>
  <si>
    <t>VW28412113354486944880</t>
  </si>
  <si>
    <t>SC18849</t>
  </si>
  <si>
    <t>1400’ of 6” STL main in conflict with proposed road &amp; utility improvements;
Lambert Rd from Butterfield Rd to Woodcroft Dr</t>
  </si>
  <si>
    <t>SC18849-4462044881</t>
  </si>
  <si>
    <t>1011722</t>
  </si>
  <si>
    <t>Replace Existing Vault #1301165.</t>
  </si>
  <si>
    <t>Old Indian Trl/Palace St - Aurora</t>
  </si>
  <si>
    <t>RS95610117224478444881</t>
  </si>
  <si>
    <t>Negotiated out of Revision. Revision due to City of Joliet comments to remove all abandoned pipe that is in conflict with DOT improvements.
DOT confirmed conditional approval and that full pipe removal would not be required.</t>
  </si>
  <si>
    <t>11/17 Nicor to approve KH can reach out to DOT and coordinate comments. 11/17 reached out to DOT and consultant and left VM, followed up with email. 11/21 DOT confirmed conditional approval and that full pipe removal would not be required.</t>
  </si>
  <si>
    <t>SC1955814117114488244886</t>
  </si>
  <si>
    <t>SC21399</t>
  </si>
  <si>
    <t>PONTIAC</t>
  </si>
  <si>
    <t>Joey Betland (Brady Lane)</t>
  </si>
  <si>
    <t>350’ of 4” STL due to conflicts with construction of proposed box culverts.
Reynolds Rd (IL RTE 116) &amp; Driscoll Lube Entrance and Reynolds Rd (IL RTE 116) &amp; Newport Rd</t>
  </si>
  <si>
    <t>SC21399-4485144886</t>
  </si>
  <si>
    <t>RS107510117164478444886</t>
  </si>
  <si>
    <t>SC2130314119214480644886</t>
  </si>
  <si>
    <t xml:space="preserve">STERLING </t>
  </si>
  <si>
    <t>Revision due to IDOT comments to remove pipe.</t>
  </si>
  <si>
    <t>IDOT preliminary approval will extend the project timeline past the 5 day turn around.</t>
  </si>
  <si>
    <t>RS93910109714487344887</t>
  </si>
  <si>
    <t>SC19981</t>
  </si>
  <si>
    <t>1211901</t>
  </si>
  <si>
    <t>10" MOP main crossing &amp; parallel construction. Potential conflicts with proposed development.
Dralle Rd and I-57</t>
  </si>
  <si>
    <t>University Park</t>
  </si>
  <si>
    <t>SC1998112119014464444893</t>
  </si>
  <si>
    <t>SC2113514116574472144893</t>
  </si>
  <si>
    <t>Revision due to CCDOTH comments to remove pipe.</t>
  </si>
  <si>
    <t xml:space="preserve">11/23 sent a note to Nicor askig if they would like for us to move forward with the revision and coordinate with CCDOTH, due to the fact that they already have an approved permit. 11/28 Nicor confirmed KH to move forward with revision. 11/29 Nicor approved release without Cook County coordination. </t>
  </si>
  <si>
    <t>M1206012106144488844894</t>
  </si>
  <si>
    <t>Revision due to stormwater permit requirements from Lake County</t>
  </si>
  <si>
    <t>RS5001020834488644894</t>
  </si>
  <si>
    <t xml:space="preserve">Rates were updated from 2023 to 2025. Revision updated design due to updated drainage, proposed easements and ComEd proposal. </t>
  </si>
  <si>
    <t>SC1849814114104463744894</t>
  </si>
  <si>
    <t>SC18498-114117254479144894</t>
  </si>
  <si>
    <t>SC21172</t>
  </si>
  <si>
    <t>1211846</t>
  </si>
  <si>
    <t>RICHTON PARK</t>
  </si>
  <si>
    <t>Construction cost decreased due to revision to reduce scope based on updated DOT plans.</t>
  </si>
  <si>
    <t>~1,600' of 2" &amp; 4" STL and PE main in conflict with proposed culvert replacements and water main improvements. 
Amy dr, Lakeshore Dr, Imperial Dr</t>
  </si>
  <si>
    <t>Village of Richton Park</t>
  </si>
  <si>
    <t>Richton Park</t>
  </si>
  <si>
    <t>SC2117212118464478344896</t>
  </si>
  <si>
    <t>N15332</t>
  </si>
  <si>
    <t>1211954</t>
  </si>
  <si>
    <t>Potential conflict with proposed drainage (Phase 2) - conflicts would be reimbursable;
Guilford Rd &amp; Keith Creek</t>
  </si>
  <si>
    <t>N1533212119544477444900</t>
  </si>
  <si>
    <t>Revision due to updated ROW and utility information provided by IDOT.</t>
  </si>
  <si>
    <t xml:space="preserve">IDOT confirming updates to ROW, anticipated approximately 11/16. IDOT confirmed that they would be willing to review preliminary drawings prior to formal release back to Nicor. Nicor to confirm that they are comfortable with design changes and updates. 11/21 IDOT confirmed that their ROW files have errors and are intending on sending updated files. 11/28 met with Nicor and IDOT to determine path forward, Nicor agreed that date will extend as much as it needs to in order to be reviewed by IDOT. 11/29 draft drawings sent to IDOT. </t>
  </si>
  <si>
    <t>N132571292564486844900</t>
  </si>
  <si>
    <t>RS1120</t>
  </si>
  <si>
    <t xml:space="preserve">Scope combined with RS1119. </t>
  </si>
  <si>
    <t xml:space="preserve">EDSR form to be deleted by Engineering. Scope of project is being combined with RS1119. </t>
  </si>
  <si>
    <t>W Nippersink Rd &amp; Carol Ln 
Coordinate with RS1119</t>
  </si>
  <si>
    <t>Grant</t>
  </si>
  <si>
    <t>RS1120-4488844900</t>
  </si>
  <si>
    <t xml:space="preserve">Cost estimate increased due to crew time and traffic control added due to difficult installation beneath overhead railroad bridge. Revision did not impact PCTS costs (which added a construction note per the RR). </t>
  </si>
  <si>
    <t>168777000.1.347</t>
  </si>
  <si>
    <t>MR192812117404479544901</t>
  </si>
  <si>
    <t>BS295</t>
  </si>
  <si>
    <t>1211870</t>
  </si>
  <si>
    <t>CHICAGO RIDGE</t>
  </si>
  <si>
    <t>Install ~4300' of 2" PE main (28#) to replace existing vintage/bare steel main.</t>
  </si>
  <si>
    <t>Washington St &amp; Oxford Ave</t>
  </si>
  <si>
    <t>Chicago Ridge</t>
  </si>
  <si>
    <t>168777000.1.353</t>
  </si>
  <si>
    <t>BS29512118704483144903</t>
  </si>
  <si>
    <t>Exhibit prepared/coordination done with IDOT to show work that remained to be completed (after project was partial-installed) so that a new permit could be issued.</t>
  </si>
  <si>
    <t>Pending confirmation from Land (Rebecca Luginbill) on how IDOT wants to handle coordination. Per guidance from Eng (Calvin), he has requested that Rebecca determine the best approach for making contact with IDOT (Jen Schilling)</t>
  </si>
  <si>
    <t>BS2291204054489344910</t>
  </si>
  <si>
    <t>1511906</t>
  </si>
  <si>
    <t>Y (12/16)</t>
  </si>
  <si>
    <t>Nicor personnel time and material added due to difficult install. Revision did not impact PCTS cost (added construction notes requested by the Village).</t>
  </si>
  <si>
    <t>Install 70' of 4" STL MOP service for Waste Management CNG Station. Coordinate with WO 1511907 &amp; 1511908.</t>
  </si>
  <si>
    <t>4612 W Lake St, Melrose Park, IL</t>
  </si>
  <si>
    <t>NBA1000621215119064484444910</t>
  </si>
  <si>
    <t>1511908</t>
  </si>
  <si>
    <t>Nicor personnel time decreased.</t>
  </si>
  <si>
    <t>Install 23M meter set for Waste Management CNG Station. Coordinate with WO 1511906 &amp; 1511907.</t>
  </si>
  <si>
    <t>NBA1000621215119084484444910</t>
  </si>
  <si>
    <t>Cost estimate increased due to revision request from City to add in additional utilitiy information. Restoration costs increased due to additional spotting required for install.</t>
  </si>
  <si>
    <t>RS108210118854483144916</t>
  </si>
  <si>
    <t>RS1083</t>
  </si>
  <si>
    <t>1011869</t>
  </si>
  <si>
    <t>Revision updated tie-in location which reduced restoration cost.</t>
  </si>
  <si>
    <t xml:space="preserve">	
Retire and remove existing TW and install 800' of 4" PE main as described in attached sizing sheet (System Planning preferred).</t>
  </si>
  <si>
    <t>IL-59 &amp; 87th St</t>
  </si>
  <si>
    <t>RS108310118694483144917</t>
  </si>
  <si>
    <t>168777000.1.354</t>
  </si>
  <si>
    <t>MR194012118994483244922</t>
  </si>
  <si>
    <t>Labor time &amp; restoration costs increased due to crowded installation area along an industrial building. 
Revision did not impact PCTS costs (which added notes/details and was mainly a coordination effort between KH, the City, and Nicor).</t>
  </si>
  <si>
    <t>168777000.1.364</t>
  </si>
  <si>
    <t>BS631-113120604486244922</t>
  </si>
  <si>
    <t>SC21748-1</t>
  </si>
  <si>
    <t>550’ of 12” steel in conflict with proposed culverts, ditches, and drainage improvements. 
Location: IL-53 &amp; Joan Ln.</t>
  </si>
  <si>
    <t>SC21748-1-4485144923</t>
  </si>
  <si>
    <t>Revision due to Village request to add construction notes to drawings.</t>
  </si>
  <si>
    <t>NBA1000621215119064492444929</t>
  </si>
  <si>
    <t>SC19668</t>
  </si>
  <si>
    <t>Scope included with SC19652.</t>
  </si>
  <si>
    <t>100' of 2" STL main and longside services potential conflict with proposed 17" grade cut.
Scope is included in scope of SC19652.</t>
  </si>
  <si>
    <t>City of St. Charles</t>
  </si>
  <si>
    <t>St. Charles</t>
  </si>
  <si>
    <t>SC19668-4487344931</t>
  </si>
  <si>
    <t>Frank Piazza</t>
  </si>
  <si>
    <t>Revision due to procurement issues and Corrosion updates</t>
  </si>
  <si>
    <t xml:space="preserve">Pending remaining corrosion callout information and details. </t>
  </si>
  <si>
    <t>BS44112113244487344935</t>
  </si>
  <si>
    <t>Revision due to IDOT comments, material procurement issues, corrosion udpates.</t>
  </si>
  <si>
    <t>Nicor reviewing additional procurement issues that will alter drawing BOMs. Nicor reviewing scope change of adjacent TW &amp; FV. Nicor obtaining temporary workspace exhibits. Nicor obtianing updated CP drawings.</t>
  </si>
  <si>
    <t>168777000.G.902</t>
  </si>
  <si>
    <t>BS45014113234485144935</t>
  </si>
  <si>
    <t xml:space="preserve">MR946 </t>
  </si>
  <si>
    <t xml:space="preserve">UNIVERSITY PARK </t>
  </si>
  <si>
    <t>MR946 1199654487344935</t>
  </si>
  <si>
    <t>MR946A</t>
  </si>
  <si>
    <t>BEECHER</t>
  </si>
  <si>
    <t>MR946A1199754487344936</t>
  </si>
  <si>
    <t>N10863</t>
  </si>
  <si>
    <t>~’500’ of 2” PE, 2” STL, 4” PE, 4” STL, and 6” STL in potential conflict with proposed lighting improvements and traffic signal modernization. 
Along Main St from High Rd to Spring St.</t>
  </si>
  <si>
    <t>Village of Cary</t>
  </si>
  <si>
    <t>Cary</t>
  </si>
  <si>
    <t>N10863-4489344936</t>
  </si>
  <si>
    <t xml:space="preserve">Revision due to updated DOT storm sewer design/plans. </t>
  </si>
  <si>
    <t>2A</t>
  </si>
  <si>
    <t>Design was pending updated stormwater design from the City, which was provided on 1/6.</t>
  </si>
  <si>
    <t>N133361292784485444937</t>
  </si>
  <si>
    <t>MR193712118604493044937</t>
  </si>
  <si>
    <t>1611416</t>
  </si>
  <si>
    <t>Scope was removed during final Engineering review/approval.
PCTS was not updated for the revision (which updated the running line in parkway).</t>
  </si>
  <si>
    <t xml:space="preserve">Install 10,690 of 4" PE (60#) and 1000' of 6" PE (60#) main.  Install new TW.  </t>
  </si>
  <si>
    <t>Ash Rd, N State Rd, Genoa Rd, IL-23</t>
  </si>
  <si>
    <t>Foreign Pipe (Oneok)</t>
  </si>
  <si>
    <t>168777000.1.536</t>
  </si>
  <si>
    <t>NBA1000207316114164480644937</t>
  </si>
  <si>
    <t>N16298</t>
  </si>
  <si>
    <t>DIXON</t>
  </si>
  <si>
    <t>1,000’ of 2”/6" main and longside services in conflict with proposed drainage improvements and grade cuts.
Galena Avenue (IL RTE 26) &amp; Division Street</t>
  </si>
  <si>
    <t>City of Dixon</t>
  </si>
  <si>
    <t>Dixon</t>
  </si>
  <si>
    <t>N16298-4489344937</t>
  </si>
  <si>
    <t>BS209</t>
  </si>
  <si>
    <t>1312009</t>
  </si>
  <si>
    <t>Construction survey, spotting, &amp; locating were removed from estimate. Revisions did not impact PCTS cost (added construction notes and revised storm sewer &amp; traffic control items).</t>
  </si>
  <si>
    <t>Install ~350' of 2in PE (25#) and ~325' of 4in PE (25#) to replace existing bare steel main.</t>
  </si>
  <si>
    <t>US Route 34 (Ogden Ave) and Eagle Street</t>
  </si>
  <si>
    <t>BS20913120094486244937</t>
  </si>
  <si>
    <t>SC21460</t>
  </si>
  <si>
    <t>1311845</t>
  </si>
  <si>
    <t xml:space="preserve">1,200’ of 4” STL/PE in potential conflict with proposed roadway reconstruction.
Minkler Road Reconstruction and Collins Road Extension from Minkler Road to Grove Road </t>
  </si>
  <si>
    <t>Kendall County Highway Department</t>
  </si>
  <si>
    <t>SC2146013118454478444937</t>
  </si>
  <si>
    <t>SC21460-1</t>
  </si>
  <si>
    <t>1312136</t>
  </si>
  <si>
    <t>SC21460-113121364478444937</t>
  </si>
  <si>
    <t>KH attended site visit with New Business/ConOps team to help answer design questions with NBA customer.</t>
  </si>
  <si>
    <t>NBA1000410419110124494444945</t>
  </si>
  <si>
    <t>Revision to add construction details and notes requested by CCDOTH</t>
  </si>
  <si>
    <t>Nicor requested KH to obtain conditional approval from CCDOT to avoid formal revision.</t>
  </si>
  <si>
    <t>168777007.B.000</t>
  </si>
  <si>
    <t>MR184032108974491044949</t>
  </si>
  <si>
    <t>1012008</t>
  </si>
  <si>
    <t xml:space="preserve"> $12,750/TW</t>
  </si>
  <si>
    <t>Replace Existing TW Facility #1501460</t>
  </si>
  <si>
    <t>Hiawatha Pioneer Trl (US-6) &amp; Oak Bluff Ct</t>
  </si>
  <si>
    <t>168777000.C.729</t>
  </si>
  <si>
    <t>RS109310120084486544949</t>
  </si>
  <si>
    <t>1011993</t>
  </si>
  <si>
    <t xml:space="preserve">Replace Existing TW Facility #4501010 </t>
  </si>
  <si>
    <t>S Oak St &amp; South St</t>
  </si>
  <si>
    <t>RS110210119934486544949</t>
  </si>
  <si>
    <t>SC21015</t>
  </si>
  <si>
    <t>Approximate Relocation Scope: ~300’ of 6” STL in conflict with proposed grade cuts. 
Location: Manhattan Rd &amp; Egyptian Trial</t>
  </si>
  <si>
    <t>Monee</t>
  </si>
  <si>
    <t>SC21015-4489344953</t>
  </si>
  <si>
    <t>BS435</t>
  </si>
  <si>
    <t>1411801</t>
  </si>
  <si>
    <t>Nicor removed scope due to overlap with a DOT project. This was identified during scoping and initial direction was to include this and Nicor would assign DOT project to KH. Nicor eventually gave the project to MH instead and agreen to have current effort billed hourly.</t>
  </si>
  <si>
    <t>Install 4575' of 2" PE main (60#) to replace existing vintage/bare steel main.</t>
  </si>
  <si>
    <t>N Cedar Rd &amp; Hawthorne Ln</t>
  </si>
  <si>
    <t>New Lenox</t>
  </si>
  <si>
    <t>BS43514118014480644956</t>
  </si>
  <si>
    <t>168777000.1.348</t>
  </si>
  <si>
    <t>SC21047</t>
  </si>
  <si>
    <t>1312087</t>
  </si>
  <si>
    <t>Cost decreased due to revision request to reduce relocation scope (removed install and crossed tied services to existing dual main) and remove pipe removals.</t>
  </si>
  <si>
    <t>3500’ of 2” STL in conflict with proposed sanitary sewer improvements construction improvements. 
N Grace Street from E Prairie Ave to Sunset Ave</t>
  </si>
  <si>
    <t>Village of Lombard</t>
  </si>
  <si>
    <t>SC2104713120874484444956</t>
  </si>
  <si>
    <t>RS96010119374483844956</t>
  </si>
  <si>
    <t>1011913</t>
  </si>
  <si>
    <t xml:space="preserve"> $14,750/VLT</t>
  </si>
  <si>
    <t>Albert St and Central Rd;
Adjacent to IDOT road, not in IDOT ROW.</t>
  </si>
  <si>
    <t>168777000.C.720</t>
  </si>
  <si>
    <t>RS94110119134483744957</t>
  </si>
  <si>
    <t>RS942</t>
  </si>
  <si>
    <t>1011914</t>
  </si>
  <si>
    <t>Baldwin Rd and Rand Rd
Past Project on Facility: RS812 Palatine</t>
  </si>
  <si>
    <t>168777000.C.721</t>
  </si>
  <si>
    <t>RS94210119144483744957</t>
  </si>
  <si>
    <t>SC20527</t>
  </si>
  <si>
    <t>1411266</t>
  </si>
  <si>
    <t>Project was estimated day rate based on coordination with ConOps. After project was released and invoiced, the crew w/ equipment time was removed - after coordinating with Engineering, it sounded like this was caused by a PCTS error. No unit rate was included either.</t>
  </si>
  <si>
    <t>500' of 4" main potential conflict with proposed bridge and sidewalk
I-80 E &amp; Wheeler Ave</t>
  </si>
  <si>
    <t>SC2052714112664460244964</t>
  </si>
  <si>
    <t xml:space="preserve">Revision due to CCDOTH comments to add additional driveway restoration notes and details. </t>
  </si>
  <si>
    <t>RS107710117104495744964</t>
  </si>
  <si>
    <t>NBA10006948</t>
  </si>
  <si>
    <t>1912140</t>
  </si>
  <si>
    <t>Install 260' of 4" STL (25#), 20' of 2" STL (25#), and 1,339' of of 4" PE (25#) main to replace existing 2" PE as system improvement for Edecco LLC. Coordinate with WO 1912141 &amp; 1912143.</t>
  </si>
  <si>
    <t>County Rd 2200 N (CH-2) &amp;
Industrial Park Rd</t>
  </si>
  <si>
    <t>NBA1000694819121404490844964</t>
  </si>
  <si>
    <t>1912141</t>
  </si>
  <si>
    <t>Nicor personnel time and PO items decreased.</t>
  </si>
  <si>
    <t>Install 120' of 4" PE (25#) service to replace existing 2" PE service for Edecco LLC. Coordinate with WO 1912143 &amp; 1912140.</t>
  </si>
  <si>
    <t>1550 Industrial Park Rd - Edecco LLC</t>
  </si>
  <si>
    <t>Minonk</t>
  </si>
  <si>
    <t>NBA1000694819121414490844964</t>
  </si>
  <si>
    <t>1912143</t>
  </si>
  <si>
    <t>Install 16M LM DS meter set to replace existing 5M meter for Edecco LLC. Coordinate with WO 1912141 &amp; 1912140.</t>
  </si>
  <si>
    <t>NBA1000694819121434490844964</t>
  </si>
  <si>
    <t>MR1961</t>
  </si>
  <si>
    <t>3212107</t>
  </si>
  <si>
    <t>WOOD DALE</t>
  </si>
  <si>
    <t>$5,750/PV</t>
  </si>
  <si>
    <t>Retire - Partition Valves: 2236504, 72219384, 72180200</t>
  </si>
  <si>
    <t>Commercial St &amp; Edgewood Ave
Commerical St &amp; Ash Ave
Commercial St &amp; Central Ave</t>
  </si>
  <si>
    <t xml:space="preserve">Wood Dale </t>
  </si>
  <si>
    <t>MR196132121074489344964</t>
  </si>
  <si>
    <t>Revision due to IDOT comments on maintenance of traffic and curb restoration detail.</t>
  </si>
  <si>
    <t xml:space="preserve">Nicor internally reviewing IDOT request for custom MOT for this project in order to determine compliance efforts with this new requirement. IDOT internally reviewing Nicor request to reconsider. </t>
  </si>
  <si>
    <t>RS101110115524493544965</t>
  </si>
  <si>
    <t>Replace Existing TW Facility #4401314 with ~600ft of 4in</t>
  </si>
  <si>
    <t>Old Route 66 &amp; Access Way</t>
  </si>
  <si>
    <t>RS109110119944486544965</t>
  </si>
  <si>
    <t>MR1968</t>
  </si>
  <si>
    <t>3212115</t>
  </si>
  <si>
    <t>Retire - Partition Valve: 3120004
CRA-PV</t>
  </si>
  <si>
    <t>N Elmhurst Rd &amp; Stonegate Dr</t>
  </si>
  <si>
    <t>Prospect Heights/ Wheeling</t>
  </si>
  <si>
    <t>ComED</t>
  </si>
  <si>
    <t>MR196832121154488844965</t>
  </si>
  <si>
    <t>MR1966</t>
  </si>
  <si>
    <t>3212113</t>
  </si>
  <si>
    <t>Retire - Partition Valve: 3140042
CRA-PV</t>
  </si>
  <si>
    <t>S Quentin Road &amp; W Partridge Drive
Adjacent to WO 3210454 (CRA-PV)</t>
  </si>
  <si>
    <t>MR196632121134488844966</t>
  </si>
  <si>
    <t>ADA Design (1 Ramp)</t>
  </si>
  <si>
    <t xml:space="preserve">Revision due to updated Village DOT plans. </t>
  </si>
  <si>
    <t>Nicor requested KH coordinate with DOT to review drawings prior to release.</t>
  </si>
  <si>
    <t>168777007.E.002</t>
  </si>
  <si>
    <t>SC2117613114804494944967</t>
  </si>
  <si>
    <t>MR1965</t>
  </si>
  <si>
    <t>3212117</t>
  </si>
  <si>
    <t>Retire - Partition Valve: 3140051
CRA-PV</t>
  </si>
  <si>
    <t>Dempster St &amp; Elmhurst Rd</t>
  </si>
  <si>
    <t>MR196532121174488844967</t>
  </si>
  <si>
    <t>ADA Design (1 Ramps)</t>
  </si>
  <si>
    <t>BS40212130624487544970</t>
  </si>
  <si>
    <t>Restoration cost increased and road plates added due to revision from CCDOTH to increase limits of restoration (Rev included custom MOT plan and running line revision - neither impacted PCTS).</t>
  </si>
  <si>
    <t>BS7212120544487544970</t>
  </si>
  <si>
    <t xml:space="preserve">NAPERVILLE </t>
  </si>
  <si>
    <t xml:space="preserve">Revision to add City of Naperville notes and existing City electric utilities. </t>
  </si>
  <si>
    <t>Nicor requested KH coordinate with City of Naperville to review drawings prior to release.</t>
  </si>
  <si>
    <t>RS108210118854495944971</t>
  </si>
  <si>
    <t>SC19652</t>
  </si>
  <si>
    <t>1312218</t>
  </si>
  <si>
    <t>Cost was decreased based on removing Winter Work and specific PO items to account for site constraints and needs.</t>
  </si>
  <si>
    <t>500 of 2” main and services in potential conflict with proposed road &amp; utility improvements.
Lancaster Ave &amp; Lexington Ave</t>
  </si>
  <si>
    <t>SC1965213122184442644971</t>
  </si>
  <si>
    <t>BS511-1</t>
  </si>
  <si>
    <t>1312252</t>
  </si>
  <si>
    <t>Install ~350' of 2" main to eiliminate bare steel main originally scoped on BS511.</t>
  </si>
  <si>
    <t>City, Proposed Esmt</t>
  </si>
  <si>
    <t>PR Easement</t>
  </si>
  <si>
    <t>BS511-113122524494544972</t>
  </si>
  <si>
    <t>N15164</t>
  </si>
  <si>
    <t>1212276</t>
  </si>
  <si>
    <t xml:space="preserve">1,000’ of 10” MOP in conflict with proposed roadway reconstruction, lighting improvements, and grading.
IL-40 &amp; Science Ridge Road </t>
  </si>
  <si>
    <t>N1516412122764493944972</t>
  </si>
  <si>
    <t>SC19011</t>
  </si>
  <si>
    <t>1312212</t>
  </si>
  <si>
    <t>Nicor personnel time increased due to difficult install. 
PCTS was not updated for the revision (which revised the running line per City comments).</t>
  </si>
  <si>
    <t>Scope: 1,000 of 2” STL in conflict with proposed storm sewer, proposed water main, grade cuts, roadway widening and traffic signal modernization.
Location: Prairie St from Wilson St to Webster St.</t>
  </si>
  <si>
    <t>City of Batavia</t>
  </si>
  <si>
    <t>Batavia</t>
  </si>
  <si>
    <t>168777007.D.020</t>
  </si>
  <si>
    <t>SC1901113122124488244972</t>
  </si>
  <si>
    <t>1511907</t>
  </si>
  <si>
    <t>Nicor personnel time and PO items increased due to difficult install. Revision did not impact PCTS (revised Village utilities and added construction notes).</t>
  </si>
  <si>
    <t>5387' of 4" STL MOP MAIN for Waste Management CNG Station. Coordinate with WO 1511906 &amp; 1511908.</t>
  </si>
  <si>
    <t>E North Ave (IL-64), S Roberta Ave,
&amp; Lake St (US 20)</t>
  </si>
  <si>
    <t>Melrose Park
Northlake</t>
  </si>
  <si>
    <t>NBA10006212-115119074484444973</t>
  </si>
  <si>
    <t>Revision to add City of Naperville notes and details and update tie-in location.</t>
  </si>
  <si>
    <t>RS108310118694495944973</t>
  </si>
  <si>
    <t>MR1976</t>
  </si>
  <si>
    <t>3412145</t>
  </si>
  <si>
    <t xml:space="preserve">	
Retire - Partition Valves: 4261206, 4261207, and 4261208
CRA-PV</t>
  </si>
  <si>
    <t>4261206 - Caton Farm Rd (Will County)
4261207 - Ardith &amp; N Essington Rd
4261208 - Willshire &amp; N Essington Rd</t>
  </si>
  <si>
    <t>MR197634121454490844973</t>
  </si>
  <si>
    <t>Coordination to confirm new vault facility derived from revision.</t>
  </si>
  <si>
    <t>Nicor requesting to relocate vault due to easement not being feasible.</t>
  </si>
  <si>
    <t>RS6681030744496544973</t>
  </si>
  <si>
    <t>RS5001020834496544974</t>
  </si>
  <si>
    <t xml:space="preserve">Revision to update based on revised IDOT design. </t>
  </si>
  <si>
    <t xml:space="preserve">IDOT provided updated plans on 2/10. Pending Nicor approval to release. </t>
  </si>
  <si>
    <t>N132571292564493944978</t>
  </si>
  <si>
    <t>1212094</t>
  </si>
  <si>
    <t>$20,250/FV/STR/PV</t>
  </si>
  <si>
    <t>Retire - Partition Valve: 3292292
CRA-PV</t>
  </si>
  <si>
    <t>Carolyn Ct &amp; E Main St</t>
  </si>
  <si>
    <t>168777000.C.735</t>
  </si>
  <si>
    <t>MR196412120944488844978</t>
  </si>
  <si>
    <t xml:space="preserve">Revision due to updated/additional storm sewer to final plans </t>
  </si>
  <si>
    <t>M109051205854497444979</t>
  </si>
  <si>
    <t>M1382112118504477844980</t>
  </si>
  <si>
    <t>SC18426</t>
  </si>
  <si>
    <t>1212238</t>
  </si>
  <si>
    <t>250’ of 4” STL in conflict with proposed box culvert replacement.
4th Ave &amp; US RTE 34</t>
  </si>
  <si>
    <t>City of Mendota</t>
  </si>
  <si>
    <t>SC1842612122384490844980</t>
  </si>
  <si>
    <t>SC21748-2</t>
  </si>
  <si>
    <t>1312153</t>
  </si>
  <si>
    <t>3,300’ of 6” PE and 6" steel in conflict with proposed culverts, ditches, and drainage improvements. 
Location: 175th St from Western Ave to Dixmoor Dr, and Dixie Highway from Heather Rd to Birch Rd</t>
  </si>
  <si>
    <t>Design JULIE Dig #: X230041510</t>
  </si>
  <si>
    <t>168777000.D.054</t>
  </si>
  <si>
    <t>SC21748-213121534485144980</t>
  </si>
  <si>
    <t>SC21089</t>
  </si>
  <si>
    <t>1211931</t>
  </si>
  <si>
    <t>1,000’ of 4” STL in potential conflict with proposed improvements.
Location: Exchange St (CH 49) from S Cottage Grove Ave to White Oak Ln</t>
  </si>
  <si>
    <t>Crete</t>
  </si>
  <si>
    <t>SC2108912119314479844980</t>
  </si>
  <si>
    <t>Nicor removed main replacement from project after previously approved.</t>
  </si>
  <si>
    <t>SC179321357404409044984</t>
  </si>
  <si>
    <t>VW84-1B</t>
  </si>
  <si>
    <t>1412112</t>
  </si>
  <si>
    <t>Install 250' of 2" PE (60#) and 650' of 6" STL (60#). EDSR created for splitting off the Illinois Central Railroad crossing from WO 140807.</t>
  </si>
  <si>
    <t>Washington Ave &amp; Chestnut St. IC RR Crossing</t>
  </si>
  <si>
    <t>IC Railroad</t>
  </si>
  <si>
    <t>VW84-1B14121124489644984</t>
  </si>
  <si>
    <t>MR1963</t>
  </si>
  <si>
    <t>3212101</t>
  </si>
  <si>
    <t>Retire - Partition Valves: 3596086, 3597566, 3597568, 3597569, and 3598453
CRA-PV</t>
  </si>
  <si>
    <t>3596086 - E State &amp; Highland Ave
3597566 - Guilford Rd &amp; Mulford Rd
3597568 - Spring Creek Rd &amp; Mulford Rd
3597569 - Springbrook Rd &amp; Creekside Ln
3598453 - Broadway &amp; 20th St</t>
  </si>
  <si>
    <t>D2</t>
  </si>
  <si>
    <t>Winebago</t>
  </si>
  <si>
    <t>12" Transmission Main (Mulford Rd &amp; Spring Creek Rd)</t>
  </si>
  <si>
    <t>168777000.C.738</t>
  </si>
  <si>
    <t>MR196332121014488844984</t>
  </si>
  <si>
    <t>VW84-1A</t>
  </si>
  <si>
    <t>1412111</t>
  </si>
  <si>
    <t xml:space="preserve">Install 250' of 2" PE (60#) and 650' of 6" STL (60#) and 325' of 8" STL (60#). EDSR created for splitting off the Kankakee, Beaverville &amp; Southern Railroad crossing from WO 140807.  </t>
  </si>
  <si>
    <t>Birch St &amp; Harrison Ave (IL-50). KBS RR Crossing</t>
  </si>
  <si>
    <t>KBS Railroad</t>
  </si>
  <si>
    <t>168777000.2.325</t>
  </si>
  <si>
    <t>VW84-1A14121114489644984</t>
  </si>
  <si>
    <t xml:space="preserve">Revision to update based on revised Village design. </t>
  </si>
  <si>
    <t>168777007.E.004</t>
  </si>
  <si>
    <t>SC2117212118464497144985</t>
  </si>
  <si>
    <t>1011934</t>
  </si>
  <si>
    <t>Replace Existing TW Facility #4301156</t>
  </si>
  <si>
    <t>10000N &amp; 11000E
Coordinate with WO 1411366 (BS447 of the 701 Line Replacement).</t>
  </si>
  <si>
    <t>Sumner</t>
  </si>
  <si>
    <t>RS109810119344486544985</t>
  </si>
  <si>
    <t>RS1099</t>
  </si>
  <si>
    <t>1012003</t>
  </si>
  <si>
    <t>Replace Existing TW Facility #4501064.</t>
  </si>
  <si>
    <t>IL-9 &amp; N 1800E Rd
See WO 103088 &amp; 1010506 by KH</t>
  </si>
  <si>
    <t>Paxton</t>
  </si>
  <si>
    <t>RS109910120034486544985</t>
  </si>
  <si>
    <t>M13940</t>
  </si>
  <si>
    <t>750’ of 2” STL &amp; 4” STL in conflict with proposed improvements. 
Mary Kay Lane &amp; Pebbleford Lane</t>
  </si>
  <si>
    <t>M13940-4482644985</t>
  </si>
  <si>
    <t>Revision to eliminate install requested by Engineering.</t>
  </si>
  <si>
    <t>Pending Nicor confirmation on removing install. Original Install was to avoid transferring to vintage 8" STL, but due to time constraints preference was to revise plans to transfer services to vintage 8" STL in street</t>
  </si>
  <si>
    <t>SC2104713120874496444986</t>
  </si>
  <si>
    <t>M13975</t>
  </si>
  <si>
    <t>400’ of 2” STL in conflict with proposed drainage improvements. 
Crestbrook Subdivision (Addison Road, Center Street, Woodland avenue, Forestview Drive)</t>
  </si>
  <si>
    <t>Village of Bensenville</t>
  </si>
  <si>
    <t>M13975-4496344986</t>
  </si>
  <si>
    <t>Revision due to IDOT comments on maintenance of traffic and maintenance of signal.</t>
  </si>
  <si>
    <t>RS102610115584495844987</t>
  </si>
  <si>
    <t>RS1119</t>
  </si>
  <si>
    <t>1012097</t>
  </si>
  <si>
    <t>Replace Existing TW Facility #3301340 and retire Existing TW Facility #3301339 by installing ~1,300' of 2" PE.</t>
  </si>
  <si>
    <t>W Nippersink Rd &amp; W Burkhart Ln (TW #3301340)
W Nippersink Rd &amp; Carol Ln (TW #3301339)</t>
  </si>
  <si>
    <t>RS111910120974488844988</t>
  </si>
  <si>
    <t>N16529</t>
  </si>
  <si>
    <t xml:space="preserve">150’ of 2” PE in potential conflict with proposed drainage improvements.
Location: IL RTE 22 and Bridle Path Lane
</t>
  </si>
  <si>
    <t>Redwood USA, LLC</t>
  </si>
  <si>
    <t>Village of Fox River Grove</t>
  </si>
  <si>
    <t>N16529-4497444993</t>
  </si>
  <si>
    <t>BS340</t>
  </si>
  <si>
    <t>1212067</t>
  </si>
  <si>
    <t>Cost estimate decreased due to revision request from IDOT to remove scope that will be within limits of future IDOT improvement.</t>
  </si>
  <si>
    <t>Install ~530' 2" PE (60#), and ~2940' 2" PE (25#)</t>
  </si>
  <si>
    <t>IDOT (Front St) &amp;  W John St, Front St &amp; Grove Ave, Main St &amp; W Crystal Lake Rd</t>
  </si>
  <si>
    <t>168777000.1.365</t>
  </si>
  <si>
    <t>BS34012120674488344993</t>
  </si>
  <si>
    <t>BS249</t>
  </si>
  <si>
    <t xml:space="preserve">1212063 </t>
  </si>
  <si>
    <t>Install ~2,622' 2" PE (25#), ~152' 4" PE (25#)</t>
  </si>
  <si>
    <t>W US Grant Memorial Hwy (US-20),
Telegraph St (IL-176),
N State St (IL-23)</t>
  </si>
  <si>
    <t>BS2491212063 4488344994</t>
  </si>
  <si>
    <t>SC2174814121524485144999</t>
  </si>
  <si>
    <t>1011803</t>
  </si>
  <si>
    <t>Replace TW Facility #2201127. 
Facility to be either intermediate or 5'x5' vault.</t>
  </si>
  <si>
    <t>Braddock Dr &amp; Clay Ct</t>
  </si>
  <si>
    <t>Melrose Park</t>
  </si>
  <si>
    <t>RS107910118034480645000</t>
  </si>
  <si>
    <t>RS94410119164483745000</t>
  </si>
  <si>
    <t>BS38812120444487545001</t>
  </si>
  <si>
    <t>BINGHAMPTON REV 1</t>
  </si>
  <si>
    <t>Replace Existing TW Facility #3701003.</t>
  </si>
  <si>
    <t>Revision 1
Coordinate with WO #102169
Inlet/Outlet MAOP = 300/25</t>
  </si>
  <si>
    <t>RS10311021694487445002</t>
  </si>
  <si>
    <t>M14134 12123264490745002</t>
  </si>
  <si>
    <t>SC21980</t>
  </si>
  <si>
    <t>~200' of 4" main in potential conflict with proposed drainage ditch. 
Location: Hamilton Rd and Morris Ave</t>
  </si>
  <si>
    <t>City of Bloomington</t>
  </si>
  <si>
    <t>SC21980-4494645005</t>
  </si>
  <si>
    <t>Increase due to updated contract/labor year.</t>
  </si>
  <si>
    <t>RS112312120884488845005</t>
  </si>
  <si>
    <t>BS5501293274425045008</t>
  </si>
  <si>
    <t>Cost estimate increased due to revision request from City of Geneva to update spotting method to core vac which added additional crew time and backfill cost. Additional utility information was provided by the City which required running line changes and increased the amount of spotting, restoration, and road plate cost.</t>
  </si>
  <si>
    <t>168777000.1.358</t>
  </si>
  <si>
    <t>BS63113120074486245008</t>
  </si>
  <si>
    <t>BS249-1</t>
  </si>
  <si>
    <t>1212278</t>
  </si>
  <si>
    <t>Install ~2960' 2" PE (25#), ~1200' 4" PE (25#), and ~3440' 2" PE (60#)</t>
  </si>
  <si>
    <t>BS249-112122784494645008</t>
  </si>
  <si>
    <t>Revision due to UPRR permitting comments to add dimensions and revise notes.</t>
  </si>
  <si>
    <t>MR192812117404500545012</t>
  </si>
  <si>
    <t>RS940</t>
  </si>
  <si>
    <t>1011912</t>
  </si>
  <si>
    <t>Nicor requested to change scope to full replacement of vault, inlet, outlet, and bypass and required redesign on previously confirmed scope.</t>
  </si>
  <si>
    <t>Replace Existing Facility #3101113.
OUT CRA-STRAINER.</t>
  </si>
  <si>
    <t>Wilke Rd (municipal) and Central Rd (Cook County) west east of Wilke Rd</t>
  </si>
  <si>
    <t>Rolling Meadow
Arl. Hts.</t>
  </si>
  <si>
    <t>RS94010119124483745013</t>
  </si>
  <si>
    <t>BS34812122484494345014</t>
  </si>
  <si>
    <t>1212090</t>
  </si>
  <si>
    <t>Replace Existing TW Facility #3301139.</t>
  </si>
  <si>
    <t>N Russell Dr &amp; US-12</t>
  </si>
  <si>
    <t>Volo</t>
  </si>
  <si>
    <t>168777000.C.739</t>
  </si>
  <si>
    <t>RS112412120904488845014</t>
  </si>
  <si>
    <t>SC18552</t>
  </si>
  <si>
    <t>1412393</t>
  </si>
  <si>
    <t>200' of 1-1/2" main in conflict with proposed storm sewer.
Esson Farm Rd and Meadow Rd</t>
  </si>
  <si>
    <t>Village of Grant Park</t>
  </si>
  <si>
    <t>SC1855214123934493945014</t>
  </si>
  <si>
    <t xml:space="preserve">Coordination cost was for additional scoping calls, site visits, and coordination. Revision due to Village request to move proposed vault location due to proposed improvements. </t>
  </si>
  <si>
    <t>Nicor requested new vault location following easement coordination with Village and Fire Department. New location provided based on feedback from Village and FD but then was denied for access into/out of FD. Coordination with TranSystems and Nicor; Nicor Internal to provide TranSystems with relocation information. Nicor instructed KH to hold until further notice.</t>
  </si>
  <si>
    <t>RS98810109604472745015</t>
  </si>
  <si>
    <t>Revision due to municipal (Melrose Park &amp; Northlake) comments to add construction notes.</t>
  </si>
  <si>
    <t>Pending comment response confirmation from the City of Northlake/Melrose Park following site visit</t>
  </si>
  <si>
    <t>NBA10006212-115119074500545015</t>
  </si>
  <si>
    <t>RS108010119264483845015</t>
  </si>
  <si>
    <t>RS95910119354483845016</t>
  </si>
  <si>
    <t>SC21135-1</t>
  </si>
  <si>
    <t>1111723</t>
  </si>
  <si>
    <t>Brian Gereg</t>
  </si>
  <si>
    <t>ETC in conflict with proposed drainage ditches.
Will Road &amp; Girot Lane.</t>
  </si>
  <si>
    <t>SC21135-111117234476945020</t>
  </si>
  <si>
    <t>1212064</t>
  </si>
  <si>
    <t>BS18712120644497945022</t>
  </si>
  <si>
    <t>Install ~7000' 12" STL (60#)</t>
  </si>
  <si>
    <t>Kirchoff Rd &amp; Central Rd (IDOT) from Dwyer Ave to Douglas Ave</t>
  </si>
  <si>
    <t>168777000.1.367</t>
  </si>
  <si>
    <t>BS18712120644488345022</t>
  </si>
  <si>
    <t>Cost estimate increased due to additional crew time and  restoration cost due to congested area.</t>
  </si>
  <si>
    <t>168777007.1.003</t>
  </si>
  <si>
    <t>BS30012122824494645023</t>
  </si>
  <si>
    <t>SC21825</t>
  </si>
  <si>
    <t>1312307</t>
  </si>
  <si>
    <t>1,800' of 2" main conflict with storm sewer and grade cuts.  
Location: Residential alley (East of Grant Street &amp; West of Lincoln Street)</t>
  </si>
  <si>
    <t>168777007.D.022</t>
  </si>
  <si>
    <t>SC2182513123074488645026</t>
  </si>
  <si>
    <t>Service Analysis</t>
  </si>
  <si>
    <t>Service investigation (24 Services) to identify conflicts with proposed improvements.</t>
  </si>
  <si>
    <t>SC1965213122184500045027</t>
  </si>
  <si>
    <t>SC21456</t>
  </si>
  <si>
    <t>1311904</t>
  </si>
  <si>
    <t>MONTGOMERY</t>
  </si>
  <si>
    <t>500' of 10" MOP main/casing conflict with proposed rail spur for CAT along IL RTE 31</t>
  </si>
  <si>
    <t>Montgomery</t>
  </si>
  <si>
    <t>BNSF RR</t>
  </si>
  <si>
    <t>SC2145613119044475645035</t>
  </si>
  <si>
    <t>Revision due to Village comments on running line and depth callouts.</t>
  </si>
  <si>
    <t>SC1481914103604503445037</t>
  </si>
  <si>
    <t>Revision due to CCDOT restoration requirements and standard details.</t>
  </si>
  <si>
    <t xml:space="preserve">168777007.B.003 </t>
  </si>
  <si>
    <t>MR196632121134503445037</t>
  </si>
  <si>
    <t>N16360</t>
  </si>
  <si>
    <t xml:space="preserve">1000' of 6" and 8" MOP main in potential conflict with proposed residential development.
Huntley-Dundee Road </t>
  </si>
  <si>
    <t>Huntley</t>
  </si>
  <si>
    <t>N16360-4490745037</t>
  </si>
  <si>
    <t>N1360612121324478445037</t>
  </si>
  <si>
    <t>N13606-112119674478445037</t>
  </si>
  <si>
    <t>N1474112125084495945040</t>
  </si>
  <si>
    <t>1412200</t>
  </si>
  <si>
    <t>Cost estimate increased due to revision request from IDOT to update a small section of main to HVY STL. Majority of revision effort was for preparation of custom MOT plan with queue analysis.</t>
  </si>
  <si>
    <t>Replace ~900' of 8" STL (60#)  to eliminate shorted casing beneath KB&amp;S Railroad.</t>
  </si>
  <si>
    <t>E Court St (IL-17) &amp; S Gordon Ave</t>
  </si>
  <si>
    <t>KB&amp;S RR</t>
  </si>
  <si>
    <t>168777007.1.000</t>
  </si>
  <si>
    <t>MR198414122004493045040</t>
  </si>
  <si>
    <t>BS455</t>
  </si>
  <si>
    <t>1412328</t>
  </si>
  <si>
    <t xml:space="preserve">	
Install ~1,200' of 8" STL (60#) to replace bare steel main.</t>
  </si>
  <si>
    <t>Frontage Rd &amp; Heiland Rd</t>
  </si>
  <si>
    <t>168777007.1.005</t>
  </si>
  <si>
    <t>BS45514123284495745041</t>
  </si>
  <si>
    <t>Perform wheel load analysis for construction conditions over existing pipe.</t>
  </si>
  <si>
    <t>N1672232126314503445041</t>
  </si>
  <si>
    <t>BS187-1</t>
  </si>
  <si>
    <t>1212275</t>
  </si>
  <si>
    <t>Tracffic control added due to difficult install (congested area).
PCTS was not updated for the revision (which added utility information &amp; adjusted running line in parkway).</t>
  </si>
  <si>
    <t>Install ~1230' 2" PE (25#), ~940' 8" STL (25#), ~12,435' 2" PE (60#)</t>
  </si>
  <si>
    <t>Kirchoff Rd (IDOT ) &amp; Douglas Ave</t>
  </si>
  <si>
    <t>168777000.1.300</t>
  </si>
  <si>
    <t>BS187-112122754494645041</t>
  </si>
  <si>
    <t>Cost estimate increased due to revised contract year and crew time and company labor increased for customer first stage regulator at correctional facility. Site required extensive security coordination for contractor access which increased installation timeline.</t>
  </si>
  <si>
    <t>RS90410105824443945042</t>
  </si>
  <si>
    <t>Cost estimate increased due to revised contract year and crew time and company labor increased for service/fuel line install at correctional facility. Site required extensive security coordination for contractor access which increased installation timeline.</t>
  </si>
  <si>
    <t>RS904-110126254502045042</t>
  </si>
  <si>
    <t>Cost estimate increased due to revised contract year and crew time and company labor increased for meterset install at correctional facility. Site required extensive security coordination for contractor access which increased installation timeline.</t>
  </si>
  <si>
    <t>RS904-210126264502045042</t>
  </si>
  <si>
    <t>SC22436</t>
  </si>
  <si>
    <t>1000' of 2" main (within easement) conflict with proposed building.
590 Killdeer Dr</t>
  </si>
  <si>
    <t>Bolingbrook</t>
  </si>
  <si>
    <t>SC22436-4500645042</t>
  </si>
  <si>
    <t>Revision due to County comments to revise design to be 3' below proposed storm, where feasible</t>
  </si>
  <si>
    <t>SC2108912119314503645042</t>
  </si>
  <si>
    <t>Revision to revise traffic control equipment and storm sewers along with additional restoration information per City comments.</t>
  </si>
  <si>
    <t>BS20913120094504145043</t>
  </si>
  <si>
    <t>M13754</t>
  </si>
  <si>
    <t>2,500’ of 2” STL in conflict with proposed water main
Location: Wolf Rd, Haber Ct, Diversey Ave, Prater Ave, Doyle Dr, Gail Ave, Lemoyne Ave, Morse Dr, Harold Ave, Lake St, &amp; Victoria Dr</t>
  </si>
  <si>
    <t>City of Northlake</t>
  </si>
  <si>
    <t>Northlake</t>
  </si>
  <si>
    <t>Leyden</t>
  </si>
  <si>
    <t>M13754-4495845043</t>
  </si>
  <si>
    <t>BS300-112122834494645043</t>
  </si>
  <si>
    <t>1212383</t>
  </si>
  <si>
    <t>Replace Existing Facility #2201244.</t>
  </si>
  <si>
    <t>E Grand Ave &amp; S York St</t>
  </si>
  <si>
    <t>168777007.A.400</t>
  </si>
  <si>
    <t>RS113612123834496445043</t>
  </si>
  <si>
    <t>RS94010119124483745043</t>
  </si>
  <si>
    <t>N16404</t>
  </si>
  <si>
    <t>LAKE BARRINGTON</t>
  </si>
  <si>
    <t>~700’ of 2” STL in conflict with proposed storm sewer improvements. 
Hillview Dr. &amp; Hillside Dr.</t>
  </si>
  <si>
    <t>Y (RR)</t>
  </si>
  <si>
    <t>N16404-4500545043</t>
  </si>
  <si>
    <t>N16462</t>
  </si>
  <si>
    <t>1212518</t>
  </si>
  <si>
    <t>600' of 2" main and services are in conflict with proposed sewer and excavation (18")
Hassel Rd and Newton Rd</t>
  </si>
  <si>
    <t>N1646212125184494345043</t>
  </si>
  <si>
    <t>SC2210214124114493945044</t>
  </si>
  <si>
    <t>SC21760</t>
  </si>
  <si>
    <t>1212448</t>
  </si>
  <si>
    <t>~150’ of 2” STL in conflict with proposed grade cuts and proposed box culvert.</t>
  </si>
  <si>
    <t>Lee County</t>
  </si>
  <si>
    <t>West Brooklyn</t>
  </si>
  <si>
    <t>168777007.D.056</t>
  </si>
  <si>
    <t>SC2176012124484497745050</t>
  </si>
  <si>
    <t>N13606-2T</t>
  </si>
  <si>
    <t>1212341</t>
  </si>
  <si>
    <t>N13606-2T12123414478445054</t>
  </si>
  <si>
    <t>N13606-2T12121324499145054</t>
  </si>
  <si>
    <t xml:space="preserve">Kendra Jackson </t>
  </si>
  <si>
    <t>Revision requested due to IDOT comments on future adjacent IDOT project along IL-31. Project was not billed as no work was completed - Nicor will roll into future IDOT project.</t>
  </si>
  <si>
    <t>BS34012120674505445055</t>
  </si>
  <si>
    <t>Cost estimate increased due to revision request from Village of Northbrook to significantly increase the amount of pavement restoration shown on the plans. Additional crew time and traffic control time was added to support these changes.</t>
  </si>
  <si>
    <t>BS11112122544493945055</t>
  </si>
  <si>
    <t>BS359</t>
  </si>
  <si>
    <t>1212041</t>
  </si>
  <si>
    <t>Install ~2,600' of 2" PE (60#) to replace existing vintage/bare steel main.</t>
  </si>
  <si>
    <t>W Lakeview Pwky &amp; 
Northwest Pkwy</t>
  </si>
  <si>
    <t>Mundelein/ Fremont</t>
  </si>
  <si>
    <t>168777000.1.361</t>
  </si>
  <si>
    <t>BS35912120414487545056</t>
  </si>
  <si>
    <t>SC21945</t>
  </si>
  <si>
    <t>500’ of 2” PE, 2” STL and 4” STL in potential conflict with proposed traffic signal improvements.
Main Street and Maple Ave, Curtiss St, Burlington Ave, Warren Ave, &amp; Franklin St</t>
  </si>
  <si>
    <t>Village of Downers Grove</t>
  </si>
  <si>
    <t>Metra</t>
  </si>
  <si>
    <t>SC21945-4491445056</t>
  </si>
  <si>
    <t>Cost estimate (reimbursable retirement) increased by Engineering and ConOps to add additional crew time, traffic control, and work area protection to account for multiple areas of mobilization and additional restoration.</t>
  </si>
  <si>
    <t>N1672232126314497445057</t>
  </si>
  <si>
    <t>Revision due to Geneva comments on utility locations and restoration requirements.</t>
  </si>
  <si>
    <t>Nicor requested that KH coordinate with the City to review the changes prior to releasing revised plans to Nicor to reduce the chances of a future revision.</t>
  </si>
  <si>
    <t>BS63113120074503445058</t>
  </si>
  <si>
    <t>Cost estimate increased due to updated contractor/P.O. estimate tab due to revision. Revision to update design per Con Ops comments.</t>
  </si>
  <si>
    <t>BS111-112122584493945061</t>
  </si>
  <si>
    <t>SC22321</t>
  </si>
  <si>
    <t>600’ of 4”, and 6” PE in conflict with proposed intersection improvements.
Location: Bliss Road (County Hwy 78), Main Street (County Hwy 10), Fabyan Parkway (County Hwy 8)</t>
  </si>
  <si>
    <t>Blackberry</t>
  </si>
  <si>
    <t>SC22321-4499445061</t>
  </si>
  <si>
    <t>N1661712126054496645062</t>
  </si>
  <si>
    <t>SC20136</t>
  </si>
  <si>
    <t>1412378</t>
  </si>
  <si>
    <t>3000' of 2” gas main in conflict with proposed storm sewer, sanitary and grade cuts.
Jackson Street and Mercer Street.
Previous KH project SC17896 adjacent.</t>
  </si>
  <si>
    <t>Bloomington City</t>
  </si>
  <si>
    <t>168777007.D.030</t>
  </si>
  <si>
    <t>SC2013614123784491445063</t>
  </si>
  <si>
    <t>Revision due to CCDOTH permitting comments to update restoration areas and restoration notes.</t>
  </si>
  <si>
    <t>Nicor required time to confirm whether revision was actually needed. Unique scenario where main was already constructed but CCDOTH is requiring retroactive revision to remedy unsatisfactory restoration</t>
  </si>
  <si>
    <t>BS4031203024505545064</t>
  </si>
  <si>
    <t>IDOT completed preliminary review of proposed plans and denied scope due to required detours and congestion for vault installation. Full redesign was needed for future permit approval</t>
  </si>
  <si>
    <t xml:space="preserve">168777007.H.401 </t>
  </si>
  <si>
    <t>RS5001020834496545064</t>
  </si>
  <si>
    <t>RS943</t>
  </si>
  <si>
    <t xml:space="preserve">ARLINGTON HEIGHTS </t>
  </si>
  <si>
    <t xml:space="preserve">ADA Design </t>
  </si>
  <si>
    <t>RS94310119154483745064</t>
  </si>
  <si>
    <t>Cost estimate increased due to revision which revised the proposed alignment due to inability to obtain proposed easement.</t>
  </si>
  <si>
    <t>MR10491405854479045064</t>
  </si>
  <si>
    <t>1011915</t>
  </si>
  <si>
    <t xml:space="preserve">
Replace North Vault #3101033
OUT CRA-STRIANER</t>
  </si>
  <si>
    <t>Euclid Ave &amp; Yale Ave</t>
  </si>
  <si>
    <t>168777000.C.722</t>
  </si>
  <si>
    <t>Nicor requested to change scope due to low inlet pressure of system. Obtaining ideal inlet pressure required full redesign</t>
  </si>
  <si>
    <t>168777007.H.400</t>
  </si>
  <si>
    <t>RS99110109764458245064</t>
  </si>
  <si>
    <t>MR189912115704470445064</t>
  </si>
  <si>
    <t>N15837</t>
  </si>
  <si>
    <t>1211966</t>
  </si>
  <si>
    <t>David Kaliniec</t>
  </si>
  <si>
    <t>Time spent prior to IPO signed.</t>
  </si>
  <si>
    <t>N1583712119664473945068</t>
  </si>
  <si>
    <t>RS113810100164497845068</t>
  </si>
  <si>
    <t>Revision due to CCDOT comments on ADA regarding non-compliant transition panel. Comments were infeasible to obtain due to existing conditions.</t>
  </si>
  <si>
    <t>MR196632121134503445069</t>
  </si>
  <si>
    <t>Matt Welz</t>
  </si>
  <si>
    <t>SC179321357404409045070</t>
  </si>
  <si>
    <t xml:space="preserve">Revision due to IDOT requesting notes to be added to the plans. </t>
  </si>
  <si>
    <t xml:space="preserve">Pending response from IDOT to clarify permitting questions and comments. </t>
  </si>
  <si>
    <t>SC21748-213121534504745070</t>
  </si>
  <si>
    <t>N16935</t>
  </si>
  <si>
    <t>1212724</t>
  </si>
  <si>
    <t>PINGREE GROVE</t>
  </si>
  <si>
    <t>~146' of 6" gas main in conflict with proposed storm sewer and water main.
Location: Andrew Blvd, west of Reinking Rd.</t>
  </si>
  <si>
    <t xml:space="preserve">Village of Pingree Grove </t>
  </si>
  <si>
    <t>Pingree Grove</t>
  </si>
  <si>
    <t>Rutland</t>
  </si>
  <si>
    <t>168777007.D.075</t>
  </si>
  <si>
    <t>N1693512127244503645070</t>
  </si>
  <si>
    <t>SC20807</t>
  </si>
  <si>
    <t>500’ of 6” PE in conflict with proposed grade cuts and electrical conduit. 
Galena Road &amp; Cannonball Trail and Galena Road &amp; Dickson Road</t>
  </si>
  <si>
    <t>Kendall County</t>
  </si>
  <si>
    <t>City of Yorkville</t>
  </si>
  <si>
    <t>SC20807-4500645070</t>
  </si>
  <si>
    <t>SC21577</t>
  </si>
  <si>
    <t>1312730</t>
  </si>
  <si>
    <t>SOMONAUK</t>
  </si>
  <si>
    <t>404</t>
  </si>
  <si>
    <t>300' of 6" main in conflict with proposed box culvert.
Location: Gage St and S/O Geraldline Ct</t>
  </si>
  <si>
    <t>SC2157713127304500845071</t>
  </si>
  <si>
    <t>Revision to show bollard markers and update running line requested by DeKalb County.</t>
  </si>
  <si>
    <t>Nicor requested that KH coordinate with the County to review the changes prior to releasing revised plans to Nicor to reduce the chances of a future revision.</t>
  </si>
  <si>
    <t>NBA1000207316114164500145071</t>
  </si>
  <si>
    <t>1211681</t>
  </si>
  <si>
    <t xml:space="preserve">2100' of 2" PE, 800' OF 6" PE, 2300' OF 8" STL, Vault Relocation. Existing Vault and Existing 600' of Steel 2" in direct conflict with proposed road widening, storm, sanitary and water improvements. </t>
  </si>
  <si>
    <t>City of Crystal Lake</t>
  </si>
  <si>
    <t>168777007.D.009</t>
  </si>
  <si>
    <t>N1491512116814473945071</t>
  </si>
  <si>
    <t>MR1788</t>
  </si>
  <si>
    <t>1212329</t>
  </si>
  <si>
    <t>Replace ~17,700' of steel main with  PE. Having a hard time maintaining c/p.
801-83-79, 801-83-59, 801-83-44, 801-83-87</t>
  </si>
  <si>
    <t xml:space="preserve">Pershing Ave &amp; Sewell St </t>
  </si>
  <si>
    <t>168777007.1.302</t>
  </si>
  <si>
    <t>MR178812123294495745071</t>
  </si>
  <si>
    <t>Cost estimate increased due to updated contract year.</t>
  </si>
  <si>
    <t>BS52013123674495745072</t>
  </si>
  <si>
    <t>Contact estimate contract year updated to 2025. Misc materials (Fence &amp; Gravel) c0st was increased and additional shore boxes were added.</t>
  </si>
  <si>
    <t>RS90510124174497945079</t>
  </si>
  <si>
    <t>REV 4</t>
  </si>
  <si>
    <t>Revision due to update in tie in location to retire main as part of DOT work order as downrate has not been performed prior to DOT construction.</t>
  </si>
  <si>
    <t>N133361292784507845085</t>
  </si>
  <si>
    <t>Revision due to update in tie in location to retire main as part of DOT work order as downrate has not been performed prior to DOT construction</t>
  </si>
  <si>
    <t>RS6621021314507845085</t>
  </si>
  <si>
    <t>VW240/ VW24112125854500645085</t>
  </si>
  <si>
    <t>Revision to adjust running line and include pipe removal per Kankakee County.</t>
  </si>
  <si>
    <t>BS45014113234499245091</t>
  </si>
  <si>
    <t>FPDLC requested expanded tree survey for TWS areas.</t>
  </si>
  <si>
    <t xml:space="preserve">168777007.2.009	</t>
  </si>
  <si>
    <t>BS52013123674509045091</t>
  </si>
  <si>
    <t>SC23064</t>
  </si>
  <si>
    <t>150’ 2” STL in conflict with proposed drainage improvements
Along North Maple Drive and the intersection of Maple Drive West and Willow Drive</t>
  </si>
  <si>
    <t>City Of Chicago Heights</t>
  </si>
  <si>
    <t>SC23064-4506445092</t>
  </si>
  <si>
    <t>Revision to update construction install to open cut per City request.</t>
  </si>
  <si>
    <t>BS41912113324509645098</t>
  </si>
  <si>
    <t>M1436512127454500645098</t>
  </si>
  <si>
    <t>KH attended meeting with IDOT to provide design context. Meeting was held to discuss permit defficiencies found during IDOT visit to site.</t>
  </si>
  <si>
    <t>168777000.1.760</t>
  </si>
  <si>
    <t>BS26012107214506845099</t>
  </si>
  <si>
    <t>Easment Exhibit</t>
  </si>
  <si>
    <t>Land Exhibit requested for Land negotiations</t>
  </si>
  <si>
    <t>168777000.C.717</t>
  </si>
  <si>
    <t>RS108210118854509145103</t>
  </si>
  <si>
    <t>1012573</t>
  </si>
  <si>
    <t>Replace Existing Facility 1201444.</t>
  </si>
  <si>
    <t>Washington Street and Town Rd</t>
  </si>
  <si>
    <t>168777007.G.400</t>
  </si>
  <si>
    <t>RS115110125734501245104</t>
  </si>
  <si>
    <t>Retire TWs 4201180 &amp; 4201317.</t>
  </si>
  <si>
    <t>RS114214124184498045104</t>
  </si>
  <si>
    <t>Material costs updated in PCTS.
Revision did not impact cost (added specific IDOT notes/details and safety policy standards).</t>
  </si>
  <si>
    <t>RS112814124384498145104</t>
  </si>
  <si>
    <t>RS1144</t>
  </si>
  <si>
    <t>1212430</t>
  </si>
  <si>
    <t>Replace Existing TW Facility #3301387.</t>
  </si>
  <si>
    <t>N Fairfield Rd &amp; Cedar Lake Ln</t>
  </si>
  <si>
    <t>168777007.A.601</t>
  </si>
  <si>
    <t>RS114412124304498145104</t>
  </si>
  <si>
    <t>Revision due to comments from Environmental to update environmental sites.</t>
  </si>
  <si>
    <t>168777007.H.405</t>
  </si>
  <si>
    <t>RS112312120884509945105</t>
  </si>
  <si>
    <t>RS9281030744496545105</t>
  </si>
  <si>
    <t xml:space="preserve">Mark Stanley </t>
  </si>
  <si>
    <t>Revision due to City comments to update construction notes.</t>
  </si>
  <si>
    <t>BS63113120074509945106</t>
  </si>
  <si>
    <t>Cost estimate decreased due to revision request which removed proposed vault and removed scope due to updated (reduced) customer load. Existing vault retirement/removal cost also removed. Additional cost decrease due to updated installation method.</t>
  </si>
  <si>
    <t>NBA1000544016124214497845106</t>
  </si>
  <si>
    <t>SC19879</t>
  </si>
  <si>
    <t>1412412</t>
  </si>
  <si>
    <t>Cost estimate increased based on PCTS updated costs.
PCTS was not updated for the revision (which was to extend scope &amp; update tie-in).</t>
  </si>
  <si>
    <t>5000’ of 2” and 4” STL and PE in conflict with proposed improvements.
C.H. 74 from US 52 to Cherry Hill Rd</t>
  </si>
  <si>
    <t>168777007.D.005</t>
  </si>
  <si>
    <t>SC1987914124124463145106</t>
  </si>
  <si>
    <t>SC22128</t>
  </si>
  <si>
    <t>~600' of 1-1/2", 2" STL, and 2" PE in conflict with proposed drainage improvements and proposed watermain.</t>
  </si>
  <si>
    <t>Village of Plainfield</t>
  </si>
  <si>
    <t>SC22128-4505645106</t>
  </si>
  <si>
    <t>SC17070-1</t>
  </si>
  <si>
    <t>3212888</t>
  </si>
  <si>
    <t>Proj Completed in PCTS</t>
  </si>
  <si>
    <t>IDOT found retired main from approximately station 146-147 needs to be removed.Investigate if more retired main needs to be removed</t>
  </si>
  <si>
    <t>SC17070-132128884509745106</t>
  </si>
  <si>
    <t>SC22582</t>
  </si>
  <si>
    <t>4000' of 4" gas main, 6" and 2"s in potential conflict with proposed road reconstruction and excavation
On West street from Plainfield/Naperville Rd to Emerald Dr.</t>
  </si>
  <si>
    <t>City of Naperville</t>
  </si>
  <si>
    <t>SC22582-4504145112</t>
  </si>
  <si>
    <t>1011935</t>
  </si>
  <si>
    <t xml:space="preserve">Revision due to land not being able to aquire easement. </t>
  </si>
  <si>
    <t>168777007.H.402</t>
  </si>
  <si>
    <t>RS95910119354483845118</t>
  </si>
  <si>
    <t>MR191312119334483845118</t>
  </si>
  <si>
    <t>MR192612119324483845118</t>
  </si>
  <si>
    <t>VW5012119244483845118</t>
  </si>
  <si>
    <t>Revision due to Village of Glenview comments to add storm sewer to plan and add restoration notes.</t>
  </si>
  <si>
    <t>168777000.1.762</t>
  </si>
  <si>
    <t>RS92710107284511345119</t>
  </si>
  <si>
    <t>SC2172512127234501245119</t>
  </si>
  <si>
    <t xml:space="preserve">Revision due to Village of Melrose Park request to add comments and dimension bore pits. </t>
  </si>
  <si>
    <t>168777000.C.716</t>
  </si>
  <si>
    <t>RS107910118034511445121</t>
  </si>
  <si>
    <t>NBA10010270</t>
  </si>
  <si>
    <t>1612622</t>
  </si>
  <si>
    <t>Service portion of NBA10010269 - Install ~1,080' of 4" PE service. Will need a municipal permit for service install.</t>
  </si>
  <si>
    <t xml:space="preserve">West of Irene Rd </t>
  </si>
  <si>
    <t>Blevidere</t>
  </si>
  <si>
    <t>168777007.1.502</t>
  </si>
  <si>
    <t>NBA1001027016126224504145124</t>
  </si>
  <si>
    <t>1612608</t>
  </si>
  <si>
    <t>Install Upstream 5M IMC meter
Install 2" Fisher 299H Operator with 3/4 orifice at 2# and 2" 299H Standby Operator with 3/4 orifice at 1.8#
Install 2" 289H Relief set at 4#</t>
  </si>
  <si>
    <t>West of Irene Rd</t>
  </si>
  <si>
    <t xml:space="preserve">Belvidere </t>
  </si>
  <si>
    <t>NBA1001027016126084505645124</t>
  </si>
  <si>
    <t xml:space="preserve">Updates to contractor estimate tab due to revisions. Revision resulted in construction change for  the new vault location (scope expansion). </t>
  </si>
  <si>
    <t>RS99110109764458245124</t>
  </si>
  <si>
    <t>1612618</t>
  </si>
  <si>
    <t xml:space="preserve">Relocate 1425' of 6" Steel main to be replaced with 1425' of 6" PE main due to Irene Rd re-allignment.  </t>
  </si>
  <si>
    <t>US-20 (IDOT) &amp; Irene Rd</t>
  </si>
  <si>
    <t>Belvidere/ Flora</t>
  </si>
  <si>
    <t>UP RR in close proximity to scope</t>
  </si>
  <si>
    <t>168777007.1.501</t>
  </si>
  <si>
    <t>NBA1001026916126184502045125</t>
  </si>
  <si>
    <t>1612624</t>
  </si>
  <si>
    <t>Vault Revision portion of NBA10010269</t>
  </si>
  <si>
    <t>NBA1001026916126244504145125</t>
  </si>
  <si>
    <t>Detour plan required for IDOT.</t>
  </si>
  <si>
    <t>168777000.C.727</t>
  </si>
  <si>
    <t>RS108110119254483845127</t>
  </si>
  <si>
    <t>RS115310127694505645128</t>
  </si>
  <si>
    <t>VW240/VW241-112125844500645128</t>
  </si>
  <si>
    <t>SC1950014127374499445128</t>
  </si>
  <si>
    <t>1212818</t>
  </si>
  <si>
    <t>Cost estimate increased due to revision request from ConOps to update installation method from jack &amp; bore to HDD.</t>
  </si>
  <si>
    <t>Install 400' of 8" STL (25#) to replace main retired due to leak</t>
  </si>
  <si>
    <t>IDOT, UPRR</t>
  </si>
  <si>
    <t>168777007.1.008</t>
  </si>
  <si>
    <t>MR202712128184506945132</t>
  </si>
  <si>
    <t>N16291</t>
  </si>
  <si>
    <t>1212843</t>
  </si>
  <si>
    <t>Cost estimate increased based on updated contract year/revised costs.
Revision did not impact PCTS cost (added construction notes requested by the County).</t>
  </si>
  <si>
    <t>~700’ of 2” and 4” STL in conflict with proposed guardrail and drainage improvements. 
Willow Road, Owen Street</t>
  </si>
  <si>
    <t>Prospect Heights</t>
  </si>
  <si>
    <t>168777007.D.076</t>
  </si>
  <si>
    <t>N1629112128434504145132</t>
  </si>
  <si>
    <t>RS115410127704505645133</t>
  </si>
  <si>
    <t>RS115410129594505645133</t>
  </si>
  <si>
    <t>SC1954112127054491545133</t>
  </si>
  <si>
    <t>SC19541-112123754491545133</t>
  </si>
  <si>
    <t>RS108110119254483845135</t>
  </si>
  <si>
    <t>N17137</t>
  </si>
  <si>
    <t>~100 of 22” transmission main in potential conflict with proposed watermain and proposed storm sewer. 
West of Harmony Rd and North of the intersection of Harmony Rd and Kelly Rd</t>
  </si>
  <si>
    <t>N17137-4511245138</t>
  </si>
  <si>
    <t>M14182</t>
  </si>
  <si>
    <t>1212883</t>
  </si>
  <si>
    <t>Crew time and restoration removed for pipe removal.</t>
  </si>
  <si>
    <t>~3,000' of 2" and 4" STL in conflict with drainage improvements, watermain improvements and grade cuts / relocation to avoid isolated steel.
IL RTE 83 &amp; Bryn Mawr Ave to Birginal Rd &amp; Industrial Rd</t>
  </si>
  <si>
    <t>WEST SHORE PIPELINE (12"", 3-16"")
BUCKEYE
BP"</t>
  </si>
  <si>
    <t>168777007.D.080</t>
  </si>
  <si>
    <t>M1418212128834505645138</t>
  </si>
  <si>
    <t>N17085</t>
  </si>
  <si>
    <t>~200’ 6’’ MOP and 22’’ Transmission main in conflict with proposed storm sewer, sanitary sewer, and water main improvements. N17137 is adjacent project.</t>
  </si>
  <si>
    <t>N17085-4508245138</t>
  </si>
  <si>
    <t>Revision due to IDOT comments related to running line and environmental challenges.</t>
  </si>
  <si>
    <t>VW84-1A14121114504845139</t>
  </si>
  <si>
    <t xml:space="preserve">Anna Yordan </t>
  </si>
  <si>
    <t>Request from Nicor to revise running line on markup PDF due to ROW/easement locations changed in proximity to existing and proposed main.</t>
  </si>
  <si>
    <t>N133361292784512745140</t>
  </si>
  <si>
    <t>SC22559</t>
  </si>
  <si>
    <t>1412847</t>
  </si>
  <si>
    <t>700' of 2"/8" main in potential conflict with proposed  sewer and regulators. 
Location: Granite St &amp; N Bluff St
Recently installed WO 1410691 (KH) on Bluff st</t>
  </si>
  <si>
    <t>168777007.D.068</t>
  </si>
  <si>
    <t>SC2255914128474502045141</t>
  </si>
  <si>
    <t>RS5001020834496545142</t>
  </si>
  <si>
    <t xml:space="preserve">Relocation scope reduced in Revision 1 due to developer site changes. </t>
  </si>
  <si>
    <t>SC2170114125974497745142</t>
  </si>
  <si>
    <t>N15990</t>
  </si>
  <si>
    <t>~500’ of 2” STL &amp; 4” STL main in potential conflict with proposed grade cuts and bike path.
W Illinois Avenue from S Quentin Road to S Plum Grove Rd</t>
  </si>
  <si>
    <t>Village of Palatine</t>
  </si>
  <si>
    <t>N15990-4510345145</t>
  </si>
  <si>
    <t>N16338</t>
  </si>
  <si>
    <t>1212395</t>
  </si>
  <si>
    <t>1,700’ of 6” STL, 4” PE, 2”/4” STL MOP in conflict w/ proposed subgrade roadway improvements. 
Freeman Rd. from Chicago &amp; Northwestern Railway to Galligan Rd. Close to N12831</t>
  </si>
  <si>
    <t>Gilberts</t>
  </si>
  <si>
    <t>CHICAGO NW RR</t>
  </si>
  <si>
    <t>N1633812123954489345146</t>
  </si>
  <si>
    <t>Revision due to site conditions causing running line updates and design updates.</t>
  </si>
  <si>
    <t>168777007.E.016</t>
  </si>
  <si>
    <t>SC2182513123074509645146</t>
  </si>
  <si>
    <t>N13598</t>
  </si>
  <si>
    <t>1212555</t>
  </si>
  <si>
    <t xml:space="preserve">We were told by the DOT that there were conflicts, and told by Nicor to proceed on relocation drawings. The DOT then backpedaled and worked with us to get out of conflicts. We confirmed with Nicor that we could bill the project. </t>
  </si>
  <si>
    <t>300’ of 6” and 10” STL in conflict with proposed bridge improvements.</t>
  </si>
  <si>
    <t>City of Dekalb</t>
  </si>
  <si>
    <t>N1359812125554500545147</t>
  </si>
  <si>
    <t>1411802</t>
  </si>
  <si>
    <t>6", 4", 2" PE main in potential conflict with proposed traffic improvements.</t>
  </si>
  <si>
    <t>SC2008414118024462145147</t>
  </si>
  <si>
    <t>SC2218614126274496345147</t>
  </si>
  <si>
    <t>1912867</t>
  </si>
  <si>
    <t>Cost estimate increased due to revision request from customer to update meter location.</t>
  </si>
  <si>
    <t>11M IMC upstream meter with 2" Mooney op set at 2# with 50% orifice plate and rockwell monitor with 1 3/4" orifice set at 5# and a 1" 289H set at monitor feed.</t>
  </si>
  <si>
    <t>Private property. Rockrun Collection development.</t>
  </si>
  <si>
    <t>168777007.1.507</t>
  </si>
  <si>
    <t>NBA1001136619128674509045148</t>
  </si>
  <si>
    <t>1912868</t>
  </si>
  <si>
    <t>Cost estimate increased due to revision request from customer to update meter location which affected the location of the service line.</t>
  </si>
  <si>
    <t>Install 280' of 4" PE (Curb Valve) service; Tie into proposed 8" installed on NBA 10004104 (WO 1911012) along Olympic Blvd.</t>
  </si>
  <si>
    <t>Private property (service)</t>
  </si>
  <si>
    <t>168777007.1.508</t>
  </si>
  <si>
    <t>NBA1001136619128684509045148</t>
  </si>
  <si>
    <t>SC21364</t>
  </si>
  <si>
    <t>1312920</t>
  </si>
  <si>
    <t>100' of 2" gas main in conflict with pro box culvert.</t>
  </si>
  <si>
    <t>City of St Charles</t>
  </si>
  <si>
    <t>Creek Crossing</t>
  </si>
  <si>
    <t>168777007.D.090</t>
  </si>
  <si>
    <t>SC2136413129204509345153</t>
  </si>
  <si>
    <t>N1476612127864500545153</t>
  </si>
  <si>
    <t xml:space="preserve">KH submitted updated redlined drawings to Nicor for resubmittal on 8/15/23 after review and approval from ComEd. </t>
  </si>
  <si>
    <t>ComEd/County requested running line further from ROW.</t>
  </si>
  <si>
    <t>SC1849814114104510745153</t>
  </si>
  <si>
    <t>1412948</t>
  </si>
  <si>
    <t>BELLFLOWER</t>
  </si>
  <si>
    <t>Exposed bare steel 1" main in conflict with proposed culvert box.</t>
  </si>
  <si>
    <t>Village of Bellflower</t>
  </si>
  <si>
    <t>168777007.D.093</t>
  </si>
  <si>
    <t>SC2329014129484510045154</t>
  </si>
  <si>
    <t>Engineering decreased trench backfill amount in PO tab from 465 CY to 306 CY. Engineering updated Labor estimate to 2024 rates, contract estimate was updated to 2025 rates</t>
  </si>
  <si>
    <t>M1419412125264494645155</t>
  </si>
  <si>
    <t>NBA10012070</t>
  </si>
  <si>
    <t>1912996</t>
  </si>
  <si>
    <t xml:space="preserve">11M IMC upstream meter with 2" Mooney op set at 2# with 50% orifice plate and rockwell monitor with 1 3/4" orifice set at 5# and a 1" 289H set at monitor feed. </t>
  </si>
  <si>
    <t>NBA1001207019129964510345156</t>
  </si>
  <si>
    <t>1912995</t>
  </si>
  <si>
    <t xml:space="preserve">Install 290' of 4" PE (Curb Valve) service;
Tie into proposed 6" PE main along Gateway Blvd installed on WO 1911012 NBA10012070 </t>
  </si>
  <si>
    <t>NBA1001207019129954510345156</t>
  </si>
  <si>
    <t>Revision to include proposed storm sewer improvements on WO drawings by IDOT.</t>
  </si>
  <si>
    <t>BS34012120674510645159</t>
  </si>
  <si>
    <t>Revision due to CCDOTH comments to include multi-phase custom MOT plan &amp; new standards ANDnotes.</t>
  </si>
  <si>
    <t>BS40212130624507145159</t>
  </si>
  <si>
    <t>Revision to extend scope/tie-in requested by Nicor Engineering.</t>
  </si>
  <si>
    <t>168777007.E.020</t>
  </si>
  <si>
    <t>SC1987914124124515445161</t>
  </si>
  <si>
    <t>Revision due to IDOT comments on custom MOT plan.</t>
  </si>
  <si>
    <t>168777007.H.700</t>
  </si>
  <si>
    <t>RS102610115584513345162</t>
  </si>
  <si>
    <t>N16491</t>
  </si>
  <si>
    <t>3212401</t>
  </si>
  <si>
    <t>800’ of 2”, 3” and 4” STL Transmission main in conflict with proposed road reconstruction and grade cuts.
US Route 20 and Norris Lane</t>
  </si>
  <si>
    <t>168777007.D.038</t>
  </si>
  <si>
    <t>N1649132124014493945162</t>
  </si>
  <si>
    <t>Addendum sheet due to revised tie in on adjacent WO1212275 to eliminate additional vintage main</t>
  </si>
  <si>
    <t>BS18712120644516345168</t>
  </si>
  <si>
    <t>Addendum sheet due to revised tie in to eliminate additional vintage main</t>
  </si>
  <si>
    <t>BS187-112122754516345168</t>
  </si>
  <si>
    <t>Revision due to Village requesting a custom landscape plan around new facility.</t>
  </si>
  <si>
    <t>168777007.H.404</t>
  </si>
  <si>
    <t>RS113810100164509745168</t>
  </si>
  <si>
    <t>N1359212128744502745168</t>
  </si>
  <si>
    <t>N13592-112128334502745168</t>
  </si>
  <si>
    <t>Revision due to Village Notes. KH able to create PDF edits for Conditional Approval</t>
  </si>
  <si>
    <t>RS90510124174512545168</t>
  </si>
  <si>
    <t>Perform wheel load analysis for 5 construction conditions over existing pipe.</t>
  </si>
  <si>
    <t>N1649112124014507845174</t>
  </si>
  <si>
    <t>N16629</t>
  </si>
  <si>
    <t>300' of 4" main in conflict with proposed grading. Gas main was potholed by the developer.
Three Oaks Rd &amp; IL-31, Crystal Lake</t>
  </si>
  <si>
    <t>N16629-4495845175</t>
  </si>
  <si>
    <t>Revision due to City utility information provided during permitting phase that differs from information provided during design phase</t>
  </si>
  <si>
    <t>168777007.H.500</t>
  </si>
  <si>
    <t>RS99110109764516745175</t>
  </si>
  <si>
    <t xml:space="preserve">Revision due to IDOT requesting additional details/exhibits not requested in WO drawing for Rev 1. </t>
  </si>
  <si>
    <t>BS34012120674516745176</t>
  </si>
  <si>
    <t>N13396</t>
  </si>
  <si>
    <t>200’ of 18” STL (230# MOP) in potential conflict with proposed grade cuts.  
Location: N Quentin Rd &amp; Heritage Church</t>
  </si>
  <si>
    <t>N13396-4491745180</t>
  </si>
  <si>
    <t>Wheel Load Analysis.</t>
  </si>
  <si>
    <t>Wheel Load Analysis</t>
  </si>
  <si>
    <t>N13396-4503545180</t>
  </si>
  <si>
    <t>N1684412129014504145181</t>
  </si>
  <si>
    <t>Revision due to IDOT comments on details and enviromental and construction notes.</t>
  </si>
  <si>
    <t>168777007.H.702</t>
  </si>
  <si>
    <t>RS112814124384514945183</t>
  </si>
  <si>
    <t>Revision to revise running line per City comments.</t>
  </si>
  <si>
    <t>168777007.E.012</t>
  </si>
  <si>
    <t>SC1901113122124504945183</t>
  </si>
  <si>
    <t>1212945</t>
  </si>
  <si>
    <t xml:space="preserve">Task through AFC drawings for Linden Ave portion of work, separate task opened for construction support. Approved by Nicor to bill this hourly instead of through our bid. </t>
  </si>
  <si>
    <t>~300' of 16" Transmission main &amp; ~300' of 6" Distribution main in direct conflict with proposed ramps, rock blasting and storm drainage.  ~1500' of 12" STL MOP Main in direct conflict with proposed drainage improvements and grade cuts.</t>
  </si>
  <si>
    <t xml:space="preserve">Cherry Valley </t>
  </si>
  <si>
    <t>168777008.B.000</t>
  </si>
  <si>
    <t>N1583712129454473945187</t>
  </si>
  <si>
    <t>Cost estimate increased due to revision request from IDOT to include break and replace, pavement restoration, and traffic control at both tie-in points.</t>
  </si>
  <si>
    <t>BS36112129064510045188</t>
  </si>
  <si>
    <t>SC2067313129244496645188</t>
  </si>
  <si>
    <t>Revision due to IDOT comments on environmental concerns, permitting comments, &amp; pipe wall thickness.</t>
  </si>
  <si>
    <t>BS45614107974489545189</t>
  </si>
  <si>
    <t>Revision due to IDOT and KB&amp;S RR comments to prepare MOT &amp; update details, notes, &amp; pipe WT.</t>
  </si>
  <si>
    <t>MR198414122004507145189</t>
  </si>
  <si>
    <t>Revision to adjust design due to proposed ComEd improvements per due WCDOT.</t>
  </si>
  <si>
    <t>Pending direction from Nicor Engineering and ConOps.</t>
  </si>
  <si>
    <t>168777007.E.023</t>
  </si>
  <si>
    <t>SC1987914124124516945189</t>
  </si>
  <si>
    <t>Request from Nicor to revise MOT plan and update detour route. Additional effort for extensive coordination with IDOT's detour committee to ensure approval of new route.</t>
  </si>
  <si>
    <t>COR44610133000800074489445190</t>
  </si>
  <si>
    <t>Revision due to comments from Land to update ROW within proposed development.</t>
  </si>
  <si>
    <t>NBA1000544016124214518245190</t>
  </si>
  <si>
    <t>168777007.G.700</t>
  </si>
  <si>
    <t>RS115714128584508945194</t>
  </si>
  <si>
    <t>Revision due to CCDOTH comments on updated details, standard provisions, &amp; ADA design.</t>
  </si>
  <si>
    <t>VW240/VW241-112125844519545198</t>
  </si>
  <si>
    <t>MR2030</t>
  </si>
  <si>
    <t>1213045</t>
  </si>
  <si>
    <t>Cost estimate decreased based on PCTS updated costs. 
Revision did not impact PCTS costs (added notes and updated tie-in orientation)</t>
  </si>
  <si>
    <t>Replace approximately 1000' of 6" W 1968 main with 6" PE main from the 6" W PCF South of 860 E Algonquin West to Palmer Dr. 
Main was found to have major corrosion, is deep, has multiple compliance leaks and previous repairs made on the identified leg. Replacement would eliminate numerous fittings including 4 dead end stubs, 1 PCF, 1 coupling, and 2 lateral tee's.</t>
  </si>
  <si>
    <t>Adjacent to WO 1211736. Will need as-builts from ConOps as this WO is not yet mapped in GLOBE.</t>
  </si>
  <si>
    <t>168777007.J.000</t>
  </si>
  <si>
    <t>MR203012130454515345198</t>
  </si>
  <si>
    <t>Nicor pending permit response from Union Pacific and need to identify alternative option for replacing previously retired main</t>
  </si>
  <si>
    <t>MR202712128184518045202</t>
  </si>
  <si>
    <t>BS284</t>
  </si>
  <si>
    <t>Kendra Jackson (Chip Parrot)</t>
  </si>
  <si>
    <t>KH reviewing existing EN plans/providing comments on OUC routing/approval.</t>
  </si>
  <si>
    <t>BS28412110224495345204</t>
  </si>
  <si>
    <t>Revision to update running line due to updated utility information provided during permitting.</t>
  </si>
  <si>
    <t>BS187-112122754517045209</t>
  </si>
  <si>
    <t>SC2216212131204502745218</t>
  </si>
  <si>
    <t>1912867/1912868</t>
  </si>
  <si>
    <t>Revision due to updated customer request to change location of proposed meterset/service.</t>
  </si>
  <si>
    <t>NBA100113661912867/19128684521645222</t>
  </si>
  <si>
    <t>1011926</t>
  </si>
  <si>
    <t>Revision to incorporate wetland delineation data and environmental permitting updates.</t>
  </si>
  <si>
    <t>168777007.H.703</t>
  </si>
  <si>
    <t>RS108010119264515545225</t>
  </si>
  <si>
    <t>N1570812130884510345225</t>
  </si>
  <si>
    <t>SC23339</t>
  </si>
  <si>
    <t>400' of 2" W gas mains in conflict with proposed storm sewer
Various locations</t>
  </si>
  <si>
    <t>SC23339-4511845225</t>
  </si>
  <si>
    <t>Calviun Nguyen</t>
  </si>
  <si>
    <t>Revision due to IDOT comments addding notes and adjusting MOT plan.</t>
  </si>
  <si>
    <t>MR198414122004522645231</t>
  </si>
  <si>
    <t>Lane closure/maintenance of traffic plan for extensive work beneath roadway required by IDOT was requested to be completed by Nicor.</t>
  </si>
  <si>
    <t>BS58812124134511945232</t>
  </si>
  <si>
    <t>BS58812124134497745232</t>
  </si>
  <si>
    <t>SC23281</t>
  </si>
  <si>
    <t>1413063</t>
  </si>
  <si>
    <t>~1,700’ of 6” STL in conflict with proposed storm sewer improvements, traffic signal improvements, and grade cuts. Along Houbolt Rd.</t>
  </si>
  <si>
    <t>168777007.M.000</t>
  </si>
  <si>
    <t>SC2328114130634512045237</t>
  </si>
  <si>
    <t>SC23281-1</t>
  </si>
  <si>
    <t>1413064</t>
  </si>
  <si>
    <t>~1,000’ of 6” STL in conflict with proposed storm sewer improvements, traffic signal improvements, and grade cuts. Along Olympic Blvd SC19558 adjacent (west end of project).</t>
  </si>
  <si>
    <t>SC23281-114130644512045237</t>
  </si>
  <si>
    <t>Revision to adjust design due to future grade cuts and improvements per Village comments.</t>
  </si>
  <si>
    <t>MR203012130454523045238</t>
  </si>
  <si>
    <t>RS117310129134510345239</t>
  </si>
  <si>
    <t>KDOT</t>
  </si>
  <si>
    <t>RS118010129084510345239</t>
  </si>
  <si>
    <t>N15837-1</t>
  </si>
  <si>
    <t>1213224</t>
  </si>
  <si>
    <t xml:space="preserve">Task through AFC drawings for Mulford portion of work, separate task opened for construction support. </t>
  </si>
  <si>
    <t xml:space="preserve">~800' OF 12" transmission main due to conflicts with proposed storm improvements. </t>
  </si>
  <si>
    <t>IDOT - 2</t>
  </si>
  <si>
    <t>168777008.B.001</t>
  </si>
  <si>
    <t>N15837-112132244510445239</t>
  </si>
  <si>
    <t>RS98810109604501545243</t>
  </si>
  <si>
    <t>N1702812132174520245243</t>
  </si>
  <si>
    <t>Service investigation (27 Services) to identify conflicts with proposed improvements.</t>
  </si>
  <si>
    <t xml:space="preserve">KH preparing service conflict matrix. </t>
  </si>
  <si>
    <t xml:space="preserve">Revision due to Village design comments. </t>
  </si>
  <si>
    <t>N1684412129014522645244</t>
  </si>
  <si>
    <t>SC2349213131164515345244</t>
  </si>
  <si>
    <t>Scope decreased during Revision.</t>
  </si>
  <si>
    <t>N1546212128324506445246</t>
  </si>
  <si>
    <t>Reimbursable relocation extents were decreased during revision 1, and cost was moved over to the non-reimbursable WO.</t>
  </si>
  <si>
    <t>N15462-112130014506445246</t>
  </si>
  <si>
    <t>Service investigation (93 Services) to identify conflicts with proposed improvements.</t>
  </si>
  <si>
    <t xml:space="preserve">Nicor wants support from Kimley-Horn to analyze potential conflict with services. </t>
  </si>
  <si>
    <t>168777007.E.025</t>
  </si>
  <si>
    <t>SC22128-4523245247</t>
  </si>
  <si>
    <t xml:space="preserve">Nicor wants support from Kimley-Horn for ADA ramp design per Cook County Requirements. </t>
  </si>
  <si>
    <t>168777007.E.026</t>
  </si>
  <si>
    <t>M10160-112131274523745251</t>
  </si>
  <si>
    <t>Robbins</t>
  </si>
  <si>
    <t>M10160-112131274412045251</t>
  </si>
  <si>
    <t>N1683332129744502745251</t>
  </si>
  <si>
    <t>Revision to update limits of pavement restoration requested by IDOT.</t>
  </si>
  <si>
    <t>168777007.2.018 </t>
  </si>
  <si>
    <t>BS36112129064524545257</t>
  </si>
  <si>
    <t>SC2231613132644513545259</t>
  </si>
  <si>
    <t>Joey Betland/Matt Welz</t>
  </si>
  <si>
    <t xml:space="preserve">Revison due to County requesting to remove pipe removal from drawings. </t>
  </si>
  <si>
    <t xml:space="preserve">County requesting to removal pipe removal from drawings in order to avoid roadway disruption. </t>
  </si>
  <si>
    <t>SC179321357404524545260</t>
  </si>
  <si>
    <t>Revision due to CCDOTH requesting to add additional atypical/site specific construction notes and info.</t>
  </si>
  <si>
    <t>CCDOTH requesting notes to be added to the drawings.</t>
  </si>
  <si>
    <t>168777007.E.027</t>
  </si>
  <si>
    <t>N1629112128434525745260</t>
  </si>
  <si>
    <t>NBA1001152115131884519045260</t>
  </si>
  <si>
    <t>Contract year updated from 2024 to 2025.</t>
  </si>
  <si>
    <t>N1367612120654485445261</t>
  </si>
  <si>
    <t xml:space="preserve">Revision due to IDOT requesting detour explainations and minor plan updates. </t>
  </si>
  <si>
    <t>168777007.H.407</t>
  </si>
  <si>
    <t>RS108110119254520245265</t>
  </si>
  <si>
    <t>SC23477</t>
  </si>
  <si>
    <t>1550’ of 8” STL potential conflict with the proposed subgrade
US Route 150/ Rivian Motorway/ W College Ave</t>
  </si>
  <si>
    <t>Skunk Creek</t>
  </si>
  <si>
    <t>168777007.D.107</t>
  </si>
  <si>
    <t>SC23477-4516245265</t>
  </si>
  <si>
    <t xml:space="preserve">168777007.E.028 </t>
  </si>
  <si>
    <t>M1419412125264526145267</t>
  </si>
  <si>
    <t>Revision due to inability to jack and bore at design depth due to flooding in bore pits at water table.</t>
  </si>
  <si>
    <t>168777007.2.019</t>
  </si>
  <si>
    <t>MR202712128184526145268</t>
  </si>
  <si>
    <t>N1660912132884517745268</t>
  </si>
  <si>
    <t>M13270</t>
  </si>
  <si>
    <t>Service investigation (23 Services) to identify conflicts proposed improvements.</t>
  </si>
  <si>
    <t>168777007.E.029</t>
  </si>
  <si>
    <t>M13270-4525145272</t>
  </si>
  <si>
    <t>M13735</t>
  </si>
  <si>
    <t>1212842</t>
  </si>
  <si>
    <t>OAK LAWN</t>
  </si>
  <si>
    <t>500’ of 4”/10” MOP main in potential conflict with storm sere and road work.
US 12/20 (95th Street), east of Harlem Ave</t>
  </si>
  <si>
    <t>Oak Lawn</t>
  </si>
  <si>
    <t>168777007.D.074</t>
  </si>
  <si>
    <t>M1373512128424502745272</t>
  </si>
  <si>
    <t>M1520912133004518845273</t>
  </si>
  <si>
    <t>RS1135</t>
  </si>
  <si>
    <t>1013130</t>
  </si>
  <si>
    <t>$7750/STR + $6750/FV</t>
  </si>
  <si>
    <t>Replacing inlet 6" plug valve (4152708) and bypass 4" plug valve (4152720) at vault 4101165 in Harvey. Facility is on the CRA Strainer Master List, but not on current vault replacement list</t>
  </si>
  <si>
    <t>Union Ave &amp; E 163rd St</t>
  </si>
  <si>
    <t xml:space="preserve">Harvey </t>
  </si>
  <si>
    <t>168777007.G.300</t>
  </si>
  <si>
    <t>RS113510131304505645281</t>
  </si>
  <si>
    <t>SC2222913133314510345282</t>
  </si>
  <si>
    <t>SC23191</t>
  </si>
  <si>
    <t>4" gas main in conflict with proposed sewer relocation crossing for O’Brien Hyundai dealership building addition at 1601 Fort Jesse Road.
Theodore St and Drauden Rd</t>
  </si>
  <si>
    <t>168777007.D.084</t>
  </si>
  <si>
    <t>SC23191-4507845282</t>
  </si>
  <si>
    <t>SC23323</t>
  </si>
  <si>
    <t>Service investigation (6 Services) to determine locations for proposed service taps.</t>
  </si>
  <si>
    <t>Nicor requested locates on exisiting services to determine locations for proposed service taps.</t>
  </si>
  <si>
    <t xml:space="preserve">168777007.E.030 </t>
  </si>
  <si>
    <t>SC2332313131404527945286</t>
  </si>
  <si>
    <t>SC1694214132864480645286</t>
  </si>
  <si>
    <t>RS1186</t>
  </si>
  <si>
    <t>1013162</t>
  </si>
  <si>
    <t>MAPLE PARK</t>
  </si>
  <si>
    <t>Replace 1st stage at 47w326 Keslinger Rd Maple Park Meter #4087069. The 1st stage is a operator/standby operator/relief that has a severe corrosion and is below grade regulators and relief. The enclosure is ground level.</t>
  </si>
  <si>
    <t>Keslinger Rd (CH-41) and Meredith Rd (CH-14)</t>
  </si>
  <si>
    <t>168777007.1.511</t>
  </si>
  <si>
    <t>RS118610131624519145288</t>
  </si>
  <si>
    <t xml:space="preserve">N14359 - ~4K Revision due to IDOT permit comments
N14359 - ~29K Revision due to splitting up original drawings into two seperate WO's. 
N14359-1 - ~43K Revision due to the second WO drawings from the split being created. 
N14359-1 - ~3K Revision due to revised Village comments on RR drawings. 
N14359 was revised to be split up into two seperate Work Orders. The final cost of the investment and retirmement is under another Proj number - N14359-1.  The major cost decrease of the $2M was "moved" to the N143559-1 project, that has yet to be constructed. </t>
  </si>
  <si>
    <t>N1435912123854488645288</t>
  </si>
  <si>
    <t>SC2328013131774519145294</t>
  </si>
  <si>
    <t>M13773</t>
  </si>
  <si>
    <t>500' of 4" main potential conflict with traffic signal (Metra). Elmhurst Metra Station Reconstruction.
Prospect Ave and First St.</t>
  </si>
  <si>
    <t>168777007.D.008</t>
  </si>
  <si>
    <t>M13773-4473245295</t>
  </si>
  <si>
    <t>Winnebago County requested KH/Nicor to add PCC breaks callouts and Standard Details 442 Class B Patches, and Class C &amp; D Patches.</t>
  </si>
  <si>
    <t>Winnebago County requesting KH to add additional pavement patching specifications.</t>
  </si>
  <si>
    <t>N1660912132884528145299</t>
  </si>
  <si>
    <t>N1654112130724495845300</t>
  </si>
  <si>
    <t xml:space="preserve">DOT revised their scope and design and KH coordinated - was instructed by Nicor to close out. </t>
  </si>
  <si>
    <t>KH obtained potholes to review revised plans from IDOT that negotiated conflicts</t>
  </si>
  <si>
    <t>Redesign required to analyze new conflicts and provide updated reimbursable estimate</t>
  </si>
  <si>
    <t>N1359212128744518145302</t>
  </si>
  <si>
    <t>Engineering updated Labor estimate to 2025 rates.</t>
  </si>
  <si>
    <t>SC2335114133514523045303</t>
  </si>
  <si>
    <t>Revision to add additional erosion control measures to the plans per Environmental comments (from LCSMC’s permit review).</t>
  </si>
  <si>
    <t xml:space="preserve">Revision due to environmental updates per County comments. </t>
  </si>
  <si>
    <t>168777007.H.704</t>
  </si>
  <si>
    <t>RS112312120884530045307</t>
  </si>
  <si>
    <t>SC2079513133554521645308</t>
  </si>
  <si>
    <t>Revision due to Winnebago County asphalt/concrete patches details.</t>
  </si>
  <si>
    <t>N1660912132884530245309</t>
  </si>
  <si>
    <t>N1789112132274519145314</t>
  </si>
  <si>
    <t>SC2320013131694514845314</t>
  </si>
  <si>
    <t xml:space="preserve">ROUND LAKE </t>
  </si>
  <si>
    <t>Addendum sheets added to include break and replace for PCF tie-ins due to main locating closer to road than survey showed.</t>
  </si>
  <si>
    <t>KH to updated WO drawings to shown break and replace.</t>
  </si>
  <si>
    <t>Rev 1 wanted to remove break and replace near PCF fitting and now they would like the break and replace added back in.</t>
  </si>
  <si>
    <t>168777007.2.021</t>
  </si>
  <si>
    <t>BS36112129064531645321</t>
  </si>
  <si>
    <t>SC22578</t>
  </si>
  <si>
    <t>~50' of 1 1/4" STL in conlfict with proposed catch basin.
Valencia Dr &amp; Lynwood Ct</t>
  </si>
  <si>
    <t>Village of Shorewood</t>
  </si>
  <si>
    <t>168777007.D.137</t>
  </si>
  <si>
    <t>SC22578-4529345321</t>
  </si>
  <si>
    <t>SC2362614134734525845322</t>
  </si>
  <si>
    <t>Revision due to CN RR comments to decrease depth of bore and add dimensions to proposed main.</t>
  </si>
  <si>
    <t>Nicor requested to hold until internal decision is made on solicitation of geotech for preparation of track monitoring CD's.</t>
  </si>
  <si>
    <t>168777007.2.310</t>
  </si>
  <si>
    <t>BS58812124134527445335</t>
  </si>
  <si>
    <t>N1501212134884521645336</t>
  </si>
  <si>
    <t>SC23634</t>
  </si>
  <si>
    <t>Wheel and Track load analysis for proposed development roadway crossing Nicor's existing 30" steel transmission pipeline corridor.</t>
  </si>
  <si>
    <t xml:space="preserve">168777007.E.032 </t>
  </si>
  <si>
    <t>SC2363413134484529445342</t>
  </si>
  <si>
    <t xml:space="preserve">Redline Revision due to change in install method requested by IDOT &amp; Nicor. Conditional approval provided based on redline updates to drawings. </t>
  </si>
  <si>
    <t>Revision due to minor construciton notes to be added to design set.</t>
  </si>
  <si>
    <t>N1435912123854533745344</t>
  </si>
  <si>
    <t>N18056</t>
  </si>
  <si>
    <t>N1805612134894525245344</t>
  </si>
  <si>
    <t>Cost estimate increased due challenging and congested install and site conditions. Nicor Engineering increased Contract and PO items (crew  time, trench backfill, HydroVac time, traffic control, &amp;  sewer inspection).</t>
  </si>
  <si>
    <t>SC17680-113134324519145348</t>
  </si>
  <si>
    <t>SC1768013134314519145348</t>
  </si>
  <si>
    <t>Revision due to IDOT design comments to provide more separation between gas main &amp; improvements.</t>
  </si>
  <si>
    <t>Nicor requested latest delivery date longer than 7 days.</t>
  </si>
  <si>
    <t>168777007.E.034</t>
  </si>
  <si>
    <t>SC2222913133314534445349</t>
  </si>
  <si>
    <t>Revision to add additional restoration &amp; spotting notes/details per City of Geneva comments.</t>
  </si>
  <si>
    <t>Nicor (Chip) to provide preference on pushing back on comments from COG (Last f/u 1/29).</t>
  </si>
  <si>
    <t>168777007.2.020</t>
  </si>
  <si>
    <t>BS631-113120604530845350</t>
  </si>
  <si>
    <t>N1794212135234529345350</t>
  </si>
  <si>
    <t>Revision to update design due to new public improvement project by Village. The Village's project came up after KH released AFC plans (as KH coordinated with the Village during design to confirm no upcoming public improvement work).</t>
  </si>
  <si>
    <t>Site visit and design changes required for permit approval that required additional coordination.</t>
  </si>
  <si>
    <t>168777007.H.408</t>
  </si>
  <si>
    <t>RS94110119134533845351</t>
  </si>
  <si>
    <t>N1360112135974529345357</t>
  </si>
  <si>
    <t>SC2354813135994529345357</t>
  </si>
  <si>
    <t>Cost estimate decreased due to reduced traffic control hours.</t>
  </si>
  <si>
    <t>MR210713135154530745358</t>
  </si>
  <si>
    <t>SC21753</t>
  </si>
  <si>
    <t>1312956</t>
  </si>
  <si>
    <t>15000’ of 2”, 4”, 6”, 8”, and 10” in conflict with proposed traffic signal modernization/traffic signal posts. Various locations in Wheaton, Lombard, Warrenville, Downers Grove, Oakbrook.</t>
  </si>
  <si>
    <t>Downers Grove, Elmhurst, OakBrook, Oakbrook terrace, Warrenville, Wheaton</t>
  </si>
  <si>
    <t>168777007.D.089</t>
  </si>
  <si>
    <t>SC2175313129564508945358</t>
  </si>
  <si>
    <t>BS550-212122794494645359</t>
  </si>
  <si>
    <t>Revision due to DuPage county comments: notes added, custom ADA grading plan, and details added. Engineering increased the number of PE elbows, updated the labor crew (utility inspector sys ops) to 2024. Engineering added PCF to the contract estimate tab and removed from the PO tab.</t>
  </si>
  <si>
    <t>Cook, DuPage</t>
  </si>
  <si>
    <t>N1637912135254525245363</t>
  </si>
  <si>
    <t>N18054</t>
  </si>
  <si>
    <t>168777007.D.140</t>
  </si>
  <si>
    <t>N18054-4532145364</t>
  </si>
  <si>
    <t>1413358</t>
  </si>
  <si>
    <t>SC1861114133584517745369</t>
  </si>
  <si>
    <t>1/0/1900</t>
  </si>
  <si>
    <t xml:space="preserve"> Engineering updated Labor and contract estimate to 2025 rates on both investment and retirement.</t>
  </si>
  <si>
    <t>SC2372812134874523345369</t>
  </si>
  <si>
    <t>Negotiated out of Revision after on-site review of WO drawings with TWP Commission to approve permit.</t>
  </si>
  <si>
    <t>City of Mount Prospect</t>
  </si>
  <si>
    <t>168777007.H.600</t>
  </si>
  <si>
    <t>RS109310120084536445370</t>
  </si>
  <si>
    <t>NBA1001308815134794530745371</t>
  </si>
  <si>
    <t>New materials included in estimate for updated PCTS Items</t>
  </si>
  <si>
    <t>N1829612135964530745376</t>
  </si>
  <si>
    <t>Revision to update design to maintain piggability due to updated direction from Nicor Engineering. The pipeline was originally planned to be reclassified as distribution main, but was changed after internal Nicor discussions after Kimley-Horn released AFC drawings.</t>
  </si>
  <si>
    <t xml:space="preserve">9,887.50	</t>
  </si>
  <si>
    <t>Revision put on hold for several months while Nicor Engineering debated revsied tie-in method and procedure and considered obsorbing pipeline replacement into an adjacent future replacement project.</t>
  </si>
  <si>
    <t>ISTHA</t>
  </si>
  <si>
    <t>168777007.2.012</t>
  </si>
  <si>
    <t>20" PIpeline replacement due to casing short beneath interstate.</t>
  </si>
  <si>
    <t>MR189912115704512545387</t>
  </si>
  <si>
    <t>1313140</t>
  </si>
  <si>
    <t>800' of 2" gas main need to be lowered due to proposed grading change. 
Sunrise Rd (west of Meridian Rd)</t>
  </si>
  <si>
    <t>168777007.D.091</t>
  </si>
  <si>
    <t>SC2332313131404510045392</t>
  </si>
  <si>
    <t>Engineering eliminated Sys Ops time (30 hrs each) for install. Construction constract for install and retirement was updated from 2024 to 2025.</t>
  </si>
  <si>
    <t>M13270 12134834525145399</t>
  </si>
  <si>
    <t xml:space="preserve">Engineering update Labor estimate to 2025 rates, ConOps updated contract estimate to 2025 NPL contract, contingency updated. </t>
  </si>
  <si>
    <t>N1654212136734529345400</t>
  </si>
  <si>
    <t>SC23458</t>
  </si>
  <si>
    <t>Calvin Kratovil</t>
  </si>
  <si>
    <t xml:space="preserve">Revision due to City of Naperville requirement to add traffic control phasing language and details to the plans. KH coordinated with the City to negotiate out of other comments provided but ultimately the City required site-specific traffic control language and details to be added. </t>
  </si>
  <si>
    <t>City of Naperville requested notes and design changes. Coordination was done to negotiate out of design changes, however notes were ultimately needed for permit approval.</t>
  </si>
  <si>
    <t>168777007.E.038</t>
  </si>
  <si>
    <t>SC2345813135994539845407</t>
  </si>
  <si>
    <t xml:space="preserve">DEER PARK </t>
  </si>
  <si>
    <t>REV 6</t>
  </si>
  <si>
    <t>Revision to move vault location requested IDOT. IDOT would not do a pre-permitting review/meeting to discuss vault location ahead of formal permit submittal. Although this is technically revision 6, the project was assigned to KH as revision 3 which called for a complete redesign. Revision 4 was to add site specific notes by LCDOT. Revision 5 was to move vault location as Land could not secure an easement.</t>
  </si>
  <si>
    <t>Project was assigned to KH as Rev 3. Rev 4 was required by LCDOT to add Notes specific for permitting, Rev 5 was required because Land could not secure easement for Rev 3 vault location. Rev 6 was required by IDOT to shift new vault location from Rev 5.</t>
  </si>
  <si>
    <t>168777007.H.501</t>
  </si>
  <si>
    <t>RS5001020834538845411</t>
  </si>
  <si>
    <t>Negotiated out of revision after discussion with LCDOT representative explaining why we needed to be closer than the minimum of 36' from CL of roadway. This was the same LCDOT rep that original approval of this variance was obtained from during the initial design.</t>
  </si>
  <si>
    <t>Revision due to LCDOT comments to shift running line closer to ROW.</t>
  </si>
  <si>
    <t>168777007.2.022</t>
  </si>
  <si>
    <t>BS34812122484539945413</t>
  </si>
  <si>
    <t>Revision due to shallow main at proposed tie-in, relocation scope extended south until the main was found to be at an acceptable depth. IDOT had provided SUE Level A (potholes) at the tie-in which proved to be incorrect during construction.</t>
  </si>
  <si>
    <t xml:space="preserve">168777007.E.039	</t>
  </si>
  <si>
    <t>Revisoin to update tie in location due to shallow main.</t>
  </si>
  <si>
    <t>N132571292564540845413</t>
  </si>
  <si>
    <t>Revision to re-route gas main due to updated CCDOTH investigation into poor soils and concern related to settlement. KH coordinated with Nicor and CCDOTH during design; however during permitting CCDOTH discovered soils were worse in the area than originally assumed during design.</t>
  </si>
  <si>
    <t>Complete re-route of relocation was completed, including coordination with Nicor and CCDOTH.</t>
  </si>
  <si>
    <t xml:space="preserve">168777007.E.031 </t>
  </si>
  <si>
    <t>N1629112128434528045413</t>
  </si>
  <si>
    <t>N1826812136704530745413</t>
  </si>
  <si>
    <t>Revision to provide detailed ADA ramp grading plans/details based on DuPage County request. This was a new request from DuPage County, therefore Kimley-Horn discussed with Nicor Engineering, who approved to provide this information on this instance.</t>
  </si>
  <si>
    <t>168777007.E.035</t>
  </si>
  <si>
    <t>Revision due to new comments from DuPage county requiring site speific ADA grading detail.</t>
  </si>
  <si>
    <t>N1637912135254537245418</t>
  </si>
  <si>
    <t>Engineering updated Labor estimate to 2024 rates.</t>
  </si>
  <si>
    <t>N18054-112137154533645418</t>
  </si>
  <si>
    <t>RS1200</t>
  </si>
  <si>
    <t>1013482</t>
  </si>
  <si>
    <t xml:space="preserve">Replace Vault #2201254.  </t>
  </si>
  <si>
    <t>IL 83 &amp; IL 64. 
Extensive corrosion and pitting on pipes inside both vaults. 
Foreign pipelines at IL 83 &amp; IL 64 intersection. Will not impact project - all pipelines run N/S along 83, nothing runs along 64. (Call w/ West Shore on 1/18).</t>
  </si>
  <si>
    <t xml:space="preserve">Elmhurst </t>
  </si>
  <si>
    <t>168777007.G.408</t>
  </si>
  <si>
    <t>RS120010134824529645418</t>
  </si>
  <si>
    <t xml:space="preserve">Revision to update ROW linework due to incorrect information provided by DOT. </t>
  </si>
  <si>
    <t>ROW from Nicor land and County GIS was not reflected accurately. ROW to update due to updated plat. BF1162:BL1162</t>
  </si>
  <si>
    <t>168777007.E.040</t>
  </si>
  <si>
    <t>Revision due to updated ROW per City Plat.</t>
  </si>
  <si>
    <t>SC2255914128474541545420</t>
  </si>
  <si>
    <t>Scope expansion during revision</t>
  </si>
  <si>
    <t>SC2105112136174528045420</t>
  </si>
  <si>
    <t xml:space="preserve">Revision to update design due to field discovery of gas main in a different location than ATLAS pages, electronic design locates (both by Nicor and KH) and potholes, could not originally locate the gas main. KH discussed with Nicor Engineering and direction was given to deem the area as a non-conflict. The existing main turned out to be on the other side of the street from the ATLAS page information, resulting in an additional relocation scope needing to be added to the design. This time also included significant coordination and meetings with Nicor, IDOT and other stakeholders to finalize the design. </t>
  </si>
  <si>
    <t>Nicor obtaining potholes for KH to completed analysis;
Additional analysis lead to updated drawings to be drafted.</t>
  </si>
  <si>
    <t>168777007.E.037</t>
  </si>
  <si>
    <t>Revision due to IDOT locating main on other side of road.</t>
  </si>
  <si>
    <t>N1654112130724537345425</t>
  </si>
  <si>
    <t>N1362412135574510045425</t>
  </si>
  <si>
    <t>N18718</t>
  </si>
  <si>
    <t>Tony Cabezas</t>
  </si>
  <si>
    <t>Nicor requested wheel load analysis for proposed construction activities taking place at 1 location over 20" transmission pipeline.</t>
  </si>
  <si>
    <t>Nicor requested wheel load analysis for work over transmission pipeline.</t>
  </si>
  <si>
    <t>168777007.E.043</t>
  </si>
  <si>
    <t>N18718-4542745428</t>
  </si>
  <si>
    <t>1612421/1613890</t>
  </si>
  <si>
    <t>Revision to relocate proposed vault due to potential future road expansion by Village. KH coordinated with Village during design and they noted they had no future plans at the time. Further design changes to remove proposed vault from design as customer provided new load which no longer require a full vault replacement.</t>
  </si>
  <si>
    <t>Project was pending confirmation from Nicor department on new project sizing. Based on new customer information, the new vault that was originally proposed was no longer needed and the project was broken into 2 work orders to allow for construction at different times.</t>
  </si>
  <si>
    <t>168777007.2.508</t>
  </si>
  <si>
    <t>NBA100054401612421/16138904538345428</t>
  </si>
  <si>
    <t>RS120110134814529645428</t>
  </si>
  <si>
    <t>RS98910109854458245429</t>
  </si>
  <si>
    <t>Revision to update wetland boundary and add additional site specific environmental notes. Conditional approval/redline revision was not allowed as the permitting agency required a revised sign &amp; sealed set for approval.</t>
  </si>
  <si>
    <t>Revision due to Nicor environmental updates for county flood plain permit approvals.</t>
  </si>
  <si>
    <t>168777007.H.705</t>
  </si>
  <si>
    <t>RS108010119264542945436</t>
  </si>
  <si>
    <t>RS1202</t>
  </si>
  <si>
    <t>1013480</t>
  </si>
  <si>
    <t>Several coordination meetings, project due diligence, and exhibits had been completed to establish a proposed vault location, however once established was rescoped to be a fire valve replacement. Effort for the coordination work prior to rescoping to be billed as hourly with a ceiling of $14,750 for the work that was completed per correspondence with Josh Z on 5/29/2024.</t>
  </si>
  <si>
    <t>168777007.G.410</t>
  </si>
  <si>
    <t>RS120210134804529645437</t>
  </si>
  <si>
    <t>Revision to update running line due to update ComEd design provided by Village. KH coordinated with ComEd during the design phase of the project, but their design was not ready at the time, so it was not provided. KH coordinated with the Village to issue a redline revision and received their approval, however IDOT ultimately requested a formal revision for the Village comments.</t>
  </si>
  <si>
    <t>IDOT not approved Redline revision format.</t>
  </si>
  <si>
    <t>168777007.E.045</t>
  </si>
  <si>
    <t>N1435912123854543345440</t>
  </si>
  <si>
    <t>Revision to split WO to avoid disturbing more than 1 acre which would trigger a ILR10 permit. Install method was also revised from open trench to boring as well to reduce disturbance area.</t>
  </si>
  <si>
    <t>168777007.E.046</t>
  </si>
  <si>
    <t>SC1861114133584543345440</t>
  </si>
  <si>
    <t>Revision due to Village comments to restore full road width for proposed tie-ins. This was an IDOT driven project and the Village had a moratorium for the adjacent road where the proposed design needed to tie-in. KH coordinated with the Village for conditional approval and received preliminary approval, however after further coordination with Nicor, a formal revision was required.</t>
  </si>
  <si>
    <t>168777007.E.047</t>
  </si>
  <si>
    <t>M1520912133004543445441</t>
  </si>
  <si>
    <t xml:space="preserve">IDOT requested Nicor provide a detailed, site specific MOT plan with the relocation WO drawings. </t>
  </si>
  <si>
    <t xml:space="preserve">IDOT requested MOT plan. </t>
  </si>
  <si>
    <t>168777007.E.042</t>
  </si>
  <si>
    <t>N1519312135294542245442</t>
  </si>
  <si>
    <t>Increased due to updated contract/labor year.</t>
  </si>
  <si>
    <t>N1519312135294521645442</t>
  </si>
  <si>
    <t>MR1C15323_C1532412132634521645446</t>
  </si>
  <si>
    <t>N18027</t>
  </si>
  <si>
    <t>RR in close proximity</t>
  </si>
  <si>
    <t>168777007.D.124</t>
  </si>
  <si>
    <t>N18027-4523045446</t>
  </si>
  <si>
    <t>Investment recording matches PCTS. Retirement recording also matches PCTS. The retirement is show a $72 difference so I', unsure why we have $329,773.63 for retirement when the recording shows $329,053.63.</t>
  </si>
  <si>
    <t>N1643112137074532145447</t>
  </si>
  <si>
    <t>Contract year updated from 2023 to 2025.</t>
  </si>
  <si>
    <t>Petone</t>
  </si>
  <si>
    <t>SC2344814137874535245447</t>
  </si>
  <si>
    <t>SC2420814138074534845448</t>
  </si>
  <si>
    <t>c</t>
  </si>
  <si>
    <t>SC2374914137894536945449</t>
  </si>
  <si>
    <t>Revision to incorporate addition site specific notes per environmental permitting comments. Additional coordination with forest preserve and DuPage County was required to provide route reasoning for open cutting within a wetland. Conditional approval was not allowed as the permitting agencies required a revised sign &amp; sealed set for approval.</t>
  </si>
  <si>
    <t xml:space="preserve">Pending coordination between Nicor environmental, forest preserve, and DuPage County. </t>
  </si>
  <si>
    <t>168777007.2.015</t>
  </si>
  <si>
    <t>BS52013123674544045450</t>
  </si>
  <si>
    <t>Revision due to updated MCDOT design which caused running changes. MCDOT also requested a casing which KH coordinated with Nicor to confirm as this is not in MCDOT's ordinance (based on coordination with MCDOT &amp; Nicor, this was a one-off request and will not be a standard going forward).</t>
  </si>
  <si>
    <t xml:space="preserve">Pending comments from County on full set of engineering drawings, and comments on preliminary drawings sent for their review. </t>
  </si>
  <si>
    <t>168777007.E.033</t>
  </si>
  <si>
    <t xml:space="preserve">168777007.E.033 </t>
  </si>
  <si>
    <t>8" STL cased crossing</t>
  </si>
  <si>
    <t>N1546212128324532445450</t>
  </si>
  <si>
    <t>Pending EDSR form from Nicor.</t>
  </si>
  <si>
    <t>168777007.E.048</t>
  </si>
  <si>
    <t xml:space="preserve">168777007.E.048 </t>
  </si>
  <si>
    <t>SC18611-114139644543345450</t>
  </si>
  <si>
    <t xml:space="preserve">Revision due to updated design provided by developer to limit scope and cost of relocation. </t>
  </si>
  <si>
    <t xml:space="preserve">Coordinating scope and cost estimate with Nicor and developer. </t>
  </si>
  <si>
    <t xml:space="preserve">168777007.E.041 </t>
  </si>
  <si>
    <t>168777007.E.041</t>
  </si>
  <si>
    <t>SC2170114125974544345454</t>
  </si>
  <si>
    <t>M15665</t>
  </si>
  <si>
    <t>Matt Hopkins</t>
  </si>
  <si>
    <t>Stickney</t>
  </si>
  <si>
    <t>168777007.D.145</t>
  </si>
  <si>
    <t>M15665-4534945454</t>
  </si>
  <si>
    <t>Updated Contract Labor to 2025</t>
  </si>
  <si>
    <t>SC2375013138124533545454</t>
  </si>
  <si>
    <t>Revision to update running line due to an unmarked and not locatable watermain being found during excavation. KH attempted to coordinate a redline revision, but CCDOTH required a full revised plan set to be prepared to accept the field change to running line.</t>
  </si>
  <si>
    <t>Project was pending review from Nicor Engineering due to design change.</t>
  </si>
  <si>
    <t xml:space="preserve">168777007.2.023	</t>
  </si>
  <si>
    <t>BS40212130624544045456</t>
  </si>
  <si>
    <t xml:space="preserve">REV 3 </t>
  </si>
  <si>
    <t>Revision to update site-specific environmental information and silt fence location per Nicor Environmental's coordination with Lake County.</t>
  </si>
  <si>
    <t>168777007.H.706</t>
  </si>
  <si>
    <t>RS112312120884545445460</t>
  </si>
  <si>
    <t>Camille Corbi/Ethan Ekstrom</t>
  </si>
  <si>
    <t>SC2310314138994537845461</t>
  </si>
  <si>
    <t>Silent revision due to minor UPRR comments to update site specific details and notes.</t>
  </si>
  <si>
    <t>KH to update UPRR LG sheets with minor note and dimension updates.</t>
  </si>
  <si>
    <t>168777007.2.312</t>
  </si>
  <si>
    <t>BS2291204054546145462</t>
  </si>
  <si>
    <t>Revision due to updated IDOT design which caused running line updates.</t>
  </si>
  <si>
    <t xml:space="preserve">168777007.E.049 </t>
  </si>
  <si>
    <t>M1419412125264545745462</t>
  </si>
  <si>
    <t>Nicor Engineering updated construction year to 2025 and updated contingency on retirement WO.</t>
  </si>
  <si>
    <t>M1584412139174540145462</t>
  </si>
  <si>
    <t>N17815-1</t>
  </si>
  <si>
    <t>1214020</t>
  </si>
  <si>
    <t xml:space="preserve">Nicor deleted EDSR form due to no reimbursable elements on project. </t>
  </si>
  <si>
    <t>20' of 2" STL in conflict with proposed storm sewer. 
Hainesville Road &amp; Marriwood Lane</t>
  </si>
  <si>
    <t>Round Lake Beach</t>
  </si>
  <si>
    <t>Avon</t>
  </si>
  <si>
    <t>N17815-112140204516345468</t>
  </si>
  <si>
    <t>Revision due to comments from the Village to adjust the running line to limit impact to decorative sidewalks. Additionally, the limits of restoration along with construction notes and details also needed to be updated per Village comments.</t>
  </si>
  <si>
    <t>Project was pending response/clarification from Village Engineering prior to finalizing comments per Nicor request.</t>
  </si>
  <si>
    <t>168777007.2.025</t>
  </si>
  <si>
    <t>BS11112122544544045469</t>
  </si>
  <si>
    <t>Cost estimate increased due challenging and congested install and site conditions in IDOT &amp; CCDOTH ROW. Crew time, traffic control, and hydrotest increased.</t>
  </si>
  <si>
    <t>M1563512138104532845469</t>
  </si>
  <si>
    <t>Revision due to updated design and expanded scope from the Village of Olympia Fields which required additional main replacement and also revised the original design.</t>
  </si>
  <si>
    <t>Drawings are pending cross section sheets from DOT.</t>
  </si>
  <si>
    <t>168777007.E.044</t>
  </si>
  <si>
    <t>SC2105112136174543445476</t>
  </si>
  <si>
    <t>Negotiated out of revision as IDOT requested a profile view for interstate crossing that was already included in the planset, but not submitted to IDOT.</t>
  </si>
  <si>
    <t>VW240/VW241-112125844548145481</t>
  </si>
  <si>
    <t>Negotiated out of revision as the request from the muni to move excavations out of pavement would not be possible due to need to spot utilities. Explanation was accepted by the muni and we were able to neg out of rev.</t>
  </si>
  <si>
    <t>Project was pending confirmation from the municipality that they would accept our reasoning for issuing the permit as-is.</t>
  </si>
  <si>
    <t>168777007.2.024</t>
  </si>
  <si>
    <t>BS30012122824544045482</t>
  </si>
  <si>
    <t>Revision to update restoration details and construction notes per updated comments from DuPage County. Previous direction provided from the County during REV 1 was incorrect and they required these changes made for permit approval.</t>
  </si>
  <si>
    <t>168777007.E.051</t>
  </si>
  <si>
    <t>N1637912135254547845483</t>
  </si>
  <si>
    <t>SC19888</t>
  </si>
  <si>
    <t>KH issued Negotiated Out Of Letter on 7/10.</t>
  </si>
  <si>
    <t>500' of 2" main and long side services are potential conflict with proposed improvements.
South 6th Street Sanitary Sewer Extension, 6th ST and Gray St</t>
  </si>
  <si>
    <t>168777007.D.001</t>
  </si>
  <si>
    <t>SC19888-4448045483</t>
  </si>
  <si>
    <t xml:space="preserve">Replace Facility#3101203.  Scope for facility has changed.  Originally was to add fire valve only.  Note that FV was not on original CRA master list. Approved by Josh to bill both the hourly task (maxed out at $14750) and this one. </t>
  </si>
  <si>
    <t>$6,750/FV</t>
  </si>
  <si>
    <t>HINTZ &amp; MILWAUKEE AVE.
Wheeling
Atlas Page: N33131
Dual 5 x 5 Vault
Inlet/Outlet MAOP = 60/25</t>
  </si>
  <si>
    <t>RS120210134804529645489</t>
  </si>
  <si>
    <t>Negotiated out of a revision as the County requested additional plan details due to the size of the pavement break. After coordinating with ConOps, they confirmed that a smaller pavement break could be used, and the county provided conditional approval based on the smaller pavement break size.</t>
  </si>
  <si>
    <t>RS117310129134548245489</t>
  </si>
  <si>
    <t>Silent revision to add additional CCDOTH details.</t>
  </si>
  <si>
    <t>KH to update CCDOTH detail</t>
  </si>
  <si>
    <t>168777007.H.200</t>
  </si>
  <si>
    <t>RS120210134804549645496</t>
  </si>
  <si>
    <t>RS BOM Review</t>
  </si>
  <si>
    <t>Analysis due to Nicor request to create BOM excel sheets for various sized Vaults.</t>
  </si>
  <si>
    <t>168777007.H.900</t>
  </si>
  <si>
    <t>RS BOM Review-4549545496</t>
  </si>
  <si>
    <t>Revision due to CCDOTH request to include traffic signal plans as an exhibit, special provisions and to clarify notes. The County required a revised set in lieu of a redline or conditional approval revision.</t>
  </si>
  <si>
    <t>168777007.E.052</t>
  </si>
  <si>
    <t>N1826812136704549045497</t>
  </si>
  <si>
    <t>Revision due to CCDOTH request to include traffic signal plans and special provisions to be added to the WO drawings, and requesting certain construction notes be removed.</t>
  </si>
  <si>
    <t>Cook County Department of Transportation and Highways.</t>
  </si>
  <si>
    <t>168777007.E.053</t>
  </si>
  <si>
    <t>N1805612134894549145498</t>
  </si>
  <si>
    <t>RS1195</t>
  </si>
  <si>
    <t>1013420</t>
  </si>
  <si>
    <t>Meter# 1508953 looking to move regulators outside of meter house and possibly resizing 12" turbine. Older valves and location of strainer and bypass not in safe working area. Location of new meter set would be East side of meter house</t>
  </si>
  <si>
    <t>Sterling Steel Company
Wallace St &amp; Ave K</t>
  </si>
  <si>
    <t xml:space="preserve">Sterling </t>
  </si>
  <si>
    <t>Sterling Steel Company 
UP RR</t>
  </si>
  <si>
    <t>168777007.1.512</t>
  </si>
  <si>
    <t>RS119510134204526845499</t>
  </si>
  <si>
    <t>N13601-1</t>
  </si>
  <si>
    <t>1213788</t>
  </si>
  <si>
    <t>Incorrect totals for pipe footage were originally included. 10' of 2" pipe was removed in PCTS to match the WO drawings. This updated Post Camera Inspection Main, L&amp;P, Main Material, and Tracer Material</t>
  </si>
  <si>
    <t>~2,200' of 2", 4" and 12" STL and 2" PE in conflict with proposed drainage, water, and traffic signal improvements and grade cuts.
School St &amp; Whitman St</t>
  </si>
  <si>
    <t>168777007.D.144</t>
  </si>
  <si>
    <t>N13601-112137884533545503</t>
  </si>
  <si>
    <t>NBA10014004</t>
  </si>
  <si>
    <t>1613681</t>
  </si>
  <si>
    <t>168777007.J.504</t>
  </si>
  <si>
    <t>NBA1001400416136814541445504</t>
  </si>
  <si>
    <t>Nicor Engineering (Josh Z) in agreement with hourly invoice to recoup out of scope effort on NBA/ReDOT project. Coordination between Nick Michaels and Josh Z on 12/20/24.</t>
  </si>
  <si>
    <t>168777007.K.502</t>
  </si>
  <si>
    <t>N17175</t>
  </si>
  <si>
    <t>1213141</t>
  </si>
  <si>
    <t>400' of 2" gas main in conflict with proposed redev of Crystal Court Shopping center. 
Liberty Rd and Three Oaks Recreation Area Drive (5593 Northwest Hwy).</t>
  </si>
  <si>
    <t>168777007.D.094</t>
  </si>
  <si>
    <t>DOT/NBA</t>
  </si>
  <si>
    <t>N1717512131414510045504</t>
  </si>
  <si>
    <t>SC24292</t>
  </si>
  <si>
    <t>1413931</t>
  </si>
  <si>
    <t xml:space="preserve">PLAINFIELD	</t>
  </si>
  <si>
    <t>~1,450’ of 2” STL, 2” PE, and 4” PE in conflict with proposed roadway improvements.
Lockport St, Bartlett Ave, Center St, Eastern Ave, Evans St, and Amboy St.</t>
  </si>
  <si>
    <t>168777007.D.150</t>
  </si>
  <si>
    <t>SC2429214139314538045506</t>
  </si>
  <si>
    <t>N17890</t>
  </si>
  <si>
    <t>1214109</t>
  </si>
  <si>
    <t>CHEMUNG</t>
  </si>
  <si>
    <t xml:space="preserve">100’ of 6” STL in conflict with proposed traffic signal mast arm. </t>
  </si>
  <si>
    <t>168777007.D.157</t>
  </si>
  <si>
    <t>N1789012141094547045516</t>
  </si>
  <si>
    <t>N18337</t>
  </si>
  <si>
    <t>1213713</t>
  </si>
  <si>
    <t>Incorrect totals were originally included for concrete restoration. 1750 SQFT vs 175 SQFT which decreased the project roughly $77,000 in cost.</t>
  </si>
  <si>
    <t xml:space="preserve"> ~600’ of 2” &amp; 8” in conflict with proposed building, storm sewers, manholes, and watermain.
E Algonquin Rd. &amp; N Meacham Rd.</t>
  </si>
  <si>
    <t>168777007.D.139</t>
  </si>
  <si>
    <t>N1833712137134532145516</t>
  </si>
  <si>
    <t>N18693</t>
  </si>
  <si>
    <t>1214064</t>
  </si>
  <si>
    <t>Engineering update Labor estimate to 2025 rates and updated contingency.</t>
  </si>
  <si>
    <t>~500' of 2" STL &amp; 4" STL in conflict with proposed drainage improvements and grade cuts.
Location: State Street between Park St &amp; Wells St</t>
  </si>
  <si>
    <t>City of Geneseo</t>
  </si>
  <si>
    <t>168777007.M.014</t>
  </si>
  <si>
    <t>N1869312140644543345516</t>
  </si>
  <si>
    <t>Revision due to Engineering comment to extend main to align with final location of proposed backup generator. Location in original scoping document from Nicor referenced the adjacent parcel.</t>
  </si>
  <si>
    <t>Nicor Engineering requested the proposed main be extended to a service further north then orginally requested.</t>
  </si>
  <si>
    <t xml:space="preserve">168777007.2.509 </t>
  </si>
  <si>
    <t>NBA1000207316114164551845524</t>
  </si>
  <si>
    <t xml:space="preserve">Revision due to IDOT request for updated MOT detail and construction notes to be added to plans. Original revision was due to updated IDOT design (submitted in June 2024) and IDOT re-reviewed and provided updated comments. Effort included coordination with IDOT and Nicor Engineering. </t>
  </si>
  <si>
    <t>Nicor requested that Kimley-Horn wait for the Village of Schiller Park's review of the Revision 1 drawings prior to releasing Revision 2, so all comments could be captured at once from the Village and IDOT. The Village did not provide any comments on the permit and the project was released per Nicor's request.</t>
  </si>
  <si>
    <t xml:space="preserve">168777007.E.055 </t>
  </si>
  <si>
    <t>M1419412125264549745525</t>
  </si>
  <si>
    <t>BS</t>
  </si>
  <si>
    <t>Revision due to CCDOTH comments to include additional construction notes that have been added to their standards since this project was originally released. Additional effort due to coordination with Nicor and attempted coordination with CCDOTH regarding comments that did not apply.</t>
  </si>
  <si>
    <t>Nicor requested that Kimley-Horn coordinate with CCDOTH to confirm path forward. CCDOTH did not respond or provide any feedback and further coordination with Engineering resulted in KH releasing the revision.</t>
  </si>
  <si>
    <t xml:space="preserve">168777007.2.026 </t>
  </si>
  <si>
    <t>BS40212130624551745527</t>
  </si>
  <si>
    <t>Nick Watt</t>
  </si>
  <si>
    <t>Nicor requested Kimley-Horn support construction on an as-needed basis during construction on the Linden Rd portion of this project.</t>
  </si>
  <si>
    <t>Construction support of the N15837 – Linden Rd project consisted of on-call rock blasting analysis for at least 17 blasts. Support also consisted of IDOT Meeting attendance most Fridays and Tuesdays 09/19/2023 through 12/15/2023. Additionally site visits to discuss restoration and pre-IDOT meeting coordination were done between Nicor engineering and Kimley-Horn.</t>
  </si>
  <si>
    <t>168777008.B.002</t>
  </si>
  <si>
    <t>N1583712129454555645532</t>
  </si>
  <si>
    <t xml:space="preserve">Nicor requested Kimley-Horn support construction on an as-needed basis during construction on the Mulford Rd portion of this project. </t>
  </si>
  <si>
    <t>Construction support of the N15837-1 – Mulford Rd project consisted of vibration analysis of IDOT bridge construction methods, determined after drawing release. Support also consisted of material ordering in Maximo and coordination with Nicor Engineering &amp; Procurement on pulling some material from inventory versus ordering new.</t>
  </si>
  <si>
    <t xml:space="preserve">	168777008.B.004</t>
  </si>
  <si>
    <t>N15837-112132244562745532</t>
  </si>
  <si>
    <t>Able to negotiate out of revision due to ConOps comments to adjust proposed tie-in based on additional fittings that were discovered once the main was excavated. Design adjustment involved encroachment to existing Kinder Morgan Line and was coordinated using pdf markup exhibit.</t>
  </si>
  <si>
    <t xml:space="preserve">Project was pending coordination from </t>
  </si>
  <si>
    <t>NBA1000410419110124534345532</t>
  </si>
  <si>
    <t>N18829</t>
  </si>
  <si>
    <t>KH issued Negotiated Out Of Letter on 8/28.</t>
  </si>
  <si>
    <t>1300’ of 12” MOP STL in potential conflict w/ proposed storm sewers and grade cuts for a new subdivision
Seasons at Elgin - Fiduciary Real Estate Development</t>
  </si>
  <si>
    <t>168777007.M.019</t>
  </si>
  <si>
    <t>N18829-4548345532</t>
  </si>
  <si>
    <t>SC24878</t>
  </si>
  <si>
    <t>KH issued No Conflict Letter on 9/3.</t>
  </si>
  <si>
    <t>750' of 4" STL in potential conflict w/ proposed sanitary, storm sewers and structures.
W College Ave</t>
  </si>
  <si>
    <t>168777007.M.022</t>
  </si>
  <si>
    <t>SC24878-4551645538</t>
  </si>
  <si>
    <t>Neg Out of Rev</t>
  </si>
  <si>
    <t xml:space="preserve">Negotiated out of revision as Village of Peotone provided updated water plans after drawings were released to Nicor, and utility conflicts were able to be updated via PDF markup instead of formal revision to the drawings. </t>
  </si>
  <si>
    <t>Project was pending response from Aqua if proposed water can be adjusted to submitted Nicor plans. Aqua had recieved the construction permit, and due to Nicor submitting the permit to an outdated address, project will include updated water drawings and conflict callotus.</t>
  </si>
  <si>
    <t>SC2344814137874552545544</t>
  </si>
  <si>
    <t>M13879</t>
  </si>
  <si>
    <t>KH issued Negotiated Out Of Letter on 9/11.</t>
  </si>
  <si>
    <t>~300’ 6” &amp; 2” STL in conflict with proposed traffic signal improvements
Location: Cumberland Ave, I-90 (Kennedy Expwy) to Belle Plaine Ave</t>
  </si>
  <si>
    <t>Leyden, Maine, Norwood</t>
  </si>
  <si>
    <t>168777007.M.018</t>
  </si>
  <si>
    <t>M13879-4546145546</t>
  </si>
  <si>
    <t xml:space="preserve">Revision due to City of Bloomington splitting the scope of the DOT project into an eastern phase and western phase. Per Nicor direction, the WO drawings have been split into two separate drawing packages (SC17551 and SC17551-1) due to DOT project scope split. Analysis of updated proposed design elements was required in addition to creating new drawing packages. </t>
  </si>
  <si>
    <t>Pending response from Nicor regarding DOT project east and west split and path forward on work order drawings.
Project was pending updated CAD to be provided.</t>
  </si>
  <si>
    <t>NS</t>
  </si>
  <si>
    <t xml:space="preserve">168777007.E.057 </t>
  </si>
  <si>
    <t>SC175511408304551245546</t>
  </si>
  <si>
    <t xml:space="preserve">Revision due to City of Joliet updated requirement to provide 18" of clearance between proposed gas main and existing &amp; proposed water main. </t>
  </si>
  <si>
    <t xml:space="preserve">Revision was turned around within 5 business days. KH is coordinating with the City of Joliet to see if this will be a requirement in the future, as we don't have a record of this previously being a requirement, and will update permitting parameters accordingly. This was a private development project so coordination with the City was minimal. </t>
  </si>
  <si>
    <t xml:space="preserve">168777007.E.059 </t>
  </si>
  <si>
    <t>SC2170114125974554045547</t>
  </si>
  <si>
    <t>1313448</t>
  </si>
  <si>
    <t>KH issued Negotiated Out Of Letter on 9/12.</t>
  </si>
  <si>
    <t>1250' of 2" PE and 50' of 30" STL main in potential conflict w/ construction of full width roadway and proposed storm sewers.
Woodgate Rd</t>
  </si>
  <si>
    <t>Pond in proximity</t>
  </si>
  <si>
    <t>168777007.D.118</t>
  </si>
  <si>
    <t>SC2363413134484521645547</t>
  </si>
  <si>
    <t>Negotiated out of revision as County was reviewing an out of date copy of the plans and had provided comments that were already incorporated in a prior revision.</t>
  </si>
  <si>
    <t>NBA1000207316114164554145548</t>
  </si>
  <si>
    <t>SC20556</t>
  </si>
  <si>
    <t>1413997</t>
  </si>
  <si>
    <t>~300' of 12" STL MOP main in conflict with proposed improvements.
IL RTE 9 &amp; Airport Rd</t>
  </si>
  <si>
    <t>168777007.D.148</t>
  </si>
  <si>
    <t>M</t>
  </si>
  <si>
    <t>SC2055614139974536945551</t>
  </si>
  <si>
    <t>SC20556-1</t>
  </si>
  <si>
    <t>1413864</t>
  </si>
  <si>
    <t>~300' 4" STL main in conflict with proposed improvements.
IL RTE 9 &amp; Airport Rd</t>
  </si>
  <si>
    <t>168777007.D.155</t>
  </si>
  <si>
    <t>SC20556-114138644544645551</t>
  </si>
  <si>
    <t>SC24572</t>
  </si>
  <si>
    <t xml:space="preserve">~1100' in conflict with proposed traffic signal imporvments and retaining wall foundations.
IL-25 &amp; Park Ave, IL-59 </t>
  </si>
  <si>
    <t>168777007.M.023</t>
  </si>
  <si>
    <t>SC24572-4551645552</t>
  </si>
  <si>
    <t>Revision due to CCDOTH comments to update patching details, typical cross section, and restoration standards from Class D to Class B due to PCC pavement in street.</t>
  </si>
  <si>
    <t>RS120210134804554645553</t>
  </si>
  <si>
    <t xml:space="preserve">Nicor requested Kimley-Horn to support during the construction phase of the Village's project, due to delayed Nicor permitting and construction work causing potential issues with the DOT construction schedule. Kimley-Horn performed 2 site visits, met with the Village and Nicor multiple times to review phasing options, complete a redline drawing markup for ConOps to use in the field, and completed a vault survey and grading plan to accommodate the Village of Barrington's schedule and design concerns. Nicor's final vault install resulted in drainage issues surrounding the vault, and a grading plan was created to resolve the issue. This work took place from Summer 2023 to Fall 2024. </t>
  </si>
  <si>
    <t xml:space="preserve">Task originally opened to provide construction support with a site visit requested by the city due to delays in their construction. As such, redline revision for temporary design was issued for the city to complete part of the construction.
Further support had been requested to obtain survey and provided grading plan, per Nicor </t>
  </si>
  <si>
    <t>Partially</t>
  </si>
  <si>
    <t>168777007.E.022</t>
  </si>
  <si>
    <t>N1491512116814516845554</t>
  </si>
  <si>
    <t xml:space="preserve">Revision due to CCDOTH requesting an expanded full lane replacement and a subsequent ADA design and detail due to proximity of work to the existing ADA ramp. These comments came from the County as a part of their first round of review, but came later than the initial comments that led to Rev 1. Rev 2 was issued per Nicor direction. Cost included ADA design time as well as significant coordination with CCDOTH and Nicor to review the comments determine appropriate path forward, specifically regarding the precedent that this ADA design set for the County, due to no proposed work shown disturbing the ADA ramp. </t>
  </si>
  <si>
    <t>CCDOTH submitted additional civil division comments after Revision 1 was released, but was still apart of their orginal review.  Project was pending confirmation from Nicor on how to proceed with negotiating out of revision comments from CCDOTH. KH had to obtain survey and design an ADA detail.</t>
  </si>
  <si>
    <t xml:space="preserve">168777007.E.070 </t>
  </si>
  <si>
    <t>N1805612134894550545555</t>
  </si>
  <si>
    <t>Revision due to Village of Schaumburg request to include Village-specific trench and trench restoration details.</t>
  </si>
  <si>
    <t>Additional coordination with AHJ was required to establish acceptable resolution of permitting concerns and confirm the specific standards to be included in the drawings. These were new standards that had not been previously requested and have since been added to KH and Nicor PP.</t>
  </si>
  <si>
    <t>168777007.E.062</t>
  </si>
  <si>
    <t>100% Reimbursable</t>
  </si>
  <si>
    <t>N1833712137134555245559</t>
  </si>
  <si>
    <t>SC24952</t>
  </si>
  <si>
    <t>3314406</t>
  </si>
  <si>
    <t xml:space="preserve">Nicor requested Kimley-Horn redline developer drawings to show proposed retirement, instead of a formal WO drawing set. </t>
  </si>
  <si>
    <t>~500' of 2" STL with electrical improvements. Cut and Cap scope ~2000' of retirement of 2" STL.</t>
  </si>
  <si>
    <t>Village of Bloomingdale</t>
  </si>
  <si>
    <t>Bloomingdale</t>
  </si>
  <si>
    <t xml:space="preserve">	168777007.E.067</t>
  </si>
  <si>
    <t>SC2495233144064551745559</t>
  </si>
  <si>
    <t>M11560</t>
  </si>
  <si>
    <t>1214095</t>
  </si>
  <si>
    <t>~700' of 6" STL MOP main in conflict with proposed drainage and roadway improvements. 
Railroad Ave &amp; North Ave</t>
  </si>
  <si>
    <t>168777007.M.011</t>
  </si>
  <si>
    <t>M1156012140954538045565</t>
  </si>
  <si>
    <t>Revision due to field dictated changes due to utility congestion in area that was unknown due to Nicor request to not obtain survey during design which resulted in vault redesign. Additional effort due to required site visit with ConOps and NPL.</t>
  </si>
  <si>
    <t>Project was pending confirmation from Nicor to proceed with revision. Nicor was reviewing if project should push to 2025 or could have expedited permitting and construction to complete prior to IDOT moratorium.</t>
  </si>
  <si>
    <t>168777007.H.503</t>
  </si>
  <si>
    <t>RS99110109764554045567</t>
  </si>
  <si>
    <t>M15450</t>
  </si>
  <si>
    <t>1214113</t>
  </si>
  <si>
    <t>PROVISO TWP</t>
  </si>
  <si>
    <t>~100' of 8" MOP, 50' of 3" STL, 50' of 4" STL in potential conflict with proposed roadway reconstruction.
Wolf Rd &amp; US Route 34 (Ogden Ave)</t>
  </si>
  <si>
    <t>168777007.D.121</t>
  </si>
  <si>
    <t>M1545012141134523045567</t>
  </si>
  <si>
    <t>Redline markup to drawings coordinated with Nicor ConOps due to main found in a different location than locates indicated. Electronic locates obtained were likely signaling from a different underground utility.</t>
  </si>
  <si>
    <t xml:space="preserve">Redline markup to drawings coordinated with Nicor ConOps, due to main being inaccurately located by Shactee. Due to main being inaccurately located, and the effort being minimal, internal direction (from Joey) was to not bill Nicor for time on the project. </t>
  </si>
  <si>
    <t xml:space="preserve">168777007.E.063 </t>
  </si>
  <si>
    <t>SC1768013134324556145572</t>
  </si>
  <si>
    <t>Addendum due to Town of Normal extending limits of construction further west. Nicor Engineering requested to extend SC18611 portion further west outside of the new limits of DOT construction to alleviate conflicts with other known future work. Nicor requested this scope expansion be considered Addendum A.</t>
  </si>
  <si>
    <t>Pending response from the Town of Normal on expansion limits. Additional time required because Engineering requested to loop in System Operations to confirm they were comfortable with expansions and proposed tie-ins. 
Project was pending Town's review sent on 8/9 and was not returned until 9/11.</t>
  </si>
  <si>
    <t>168777007.E.056</t>
  </si>
  <si>
    <t>SC1861114133584550345572</t>
  </si>
  <si>
    <t>Calvin Nguyen/Dan Strycharz</t>
  </si>
  <si>
    <t xml:space="preserve">Revision due to updated drainage and lighting designs from the Village of Shorewood as well as Village of Shorewood Sidewalk construction details to be added. The updated Village drawings and design required a full update of all linework in the drawings, pipe removal extents being added to each design sheet, expanded relocation scope (required an additional sheet) and updated running line, design and depth callouts on multiple sheets. Due to the expanded scope being outside of the Village's project scope (due to requiring a re-route to the south to avoid shallow bedrock), Kimley-Horn obtained additional SUE Level B locates and traced aerial linework to add the additional design sheet. Kimley-Horn coordinated with Nicor and the Village of Shorewood, and updated the project cost estimate per coordination with Nicor ConOps. </t>
  </si>
  <si>
    <t>Project was pending updated drainage plans to be provided.</t>
  </si>
  <si>
    <t>DuPage River</t>
  </si>
  <si>
    <t>168777007.E.036</t>
  </si>
  <si>
    <t>SC1950014127374537745574</t>
  </si>
  <si>
    <t>SC25032</t>
  </si>
  <si>
    <t xml:space="preserve">KH issued No Conflict letter on 10/15. EDSR was initially opened due to anticipated conflicts with services, not gas main. </t>
  </si>
  <si>
    <t>NA/</t>
  </si>
  <si>
    <t>~50 of 2"W and services in potential conflict with street resurfaces including 24" excavation of existing roadway to repair base
Location: Newkirk drive/Pratt Ln</t>
  </si>
  <si>
    <t>168777007.M.028</t>
  </si>
  <si>
    <t>SC25032-4555045580</t>
  </si>
  <si>
    <t>RS1234</t>
  </si>
  <si>
    <t>1014093</t>
  </si>
  <si>
    <t>Izabela Kwasniak</t>
  </si>
  <si>
    <t>$12,750/TW</t>
  </si>
  <si>
    <t>Tin Whistle Replacement Program. Replace Facility 3701139</t>
  </si>
  <si>
    <t>IL RTE 2 &amp; HILL DR, DIXON, ATLAS PAGE: D88091, D88092, D88094, NOTES: Foreign Pipeline (transmission) denoted as Northern Illinois Gas Company (NICOR) - 16" diameter (D88091D) over 2.7 miles</t>
  </si>
  <si>
    <t>Palmyra</t>
  </si>
  <si>
    <t>Private (North Frontage Rd, W/W Hill Dr)</t>
  </si>
  <si>
    <t>168777007.G.602</t>
  </si>
  <si>
    <t>RS123410140934547045582</t>
  </si>
  <si>
    <t>RS1252</t>
  </si>
  <si>
    <t>1014137</t>
  </si>
  <si>
    <t>Tin Whistle Replacement Program. Replace Facility 3201693</t>
  </si>
  <si>
    <t>W Coral Rd (CH-39) &amp; Hill Rd
Atlas Page: NW51124
Notes: Foreign Pipeline denoted as Kinder Morgan Natural Gas ~0.5 miles away</t>
  </si>
  <si>
    <t>Riley</t>
  </si>
  <si>
    <t>168777007.G.604</t>
  </si>
  <si>
    <t>Rerofit project, no TW removed/installed</t>
  </si>
  <si>
    <t>RS125210141374549045582</t>
  </si>
  <si>
    <t>DES PLAINES</t>
  </si>
  <si>
    <t>Silent revision to update municipal boundary labels and update the environmental contact on the cover page.</t>
  </si>
  <si>
    <t>KH to update municipal boundaries and environmental contact.</t>
  </si>
  <si>
    <t>168777007.2.027</t>
  </si>
  <si>
    <t>MR191312119334558345586</t>
  </si>
  <si>
    <t>SC24032</t>
  </si>
  <si>
    <t>Taylor Lierow/Caroline Kulach</t>
  </si>
  <si>
    <t>KH issued Negotiated Out Of Letter on 10/22.</t>
  </si>
  <si>
    <t>600’ of 2” PE, 100’ of 2” STL, and 200’ of 4” PE in potential conflict w/ the proposed water main improvements.
Heggie Park (Henderson Ave, Williamson Ave, Woodruff Rd, Valley, Ave, and Edge Hill Ave)</t>
  </si>
  <si>
    <t>CN Railroad</t>
  </si>
  <si>
    <t xml:space="preserve">168777007.M.026 </t>
  </si>
  <si>
    <t>SC24032-4553145587</t>
  </si>
  <si>
    <t>N18640</t>
  </si>
  <si>
    <t>1214234</t>
  </si>
  <si>
    <t>Eric Dina/Ethan Ekstrom</t>
  </si>
  <si>
    <t>Minor material estimate changes from Engineering and material cost unit price changes.</t>
  </si>
  <si>
    <t>~3,100’ of 2” STL, 4” STL, &amp; 8” STL in conflict with proposed grade cuts, drainage, and water main improvements.</t>
  </si>
  <si>
    <t>168777007.M.013</t>
  </si>
  <si>
    <t>N1864012142344542945588</t>
  </si>
  <si>
    <t>Negotiated out of revision as CCDOTH added in Special Provisions and Maintenance of Existing Traffic Signal Installation to the revision 2 planset.</t>
  </si>
  <si>
    <t>Cook County Department of Transportation and Highways. Revision due to CCDOTH comments to add in updated Special Provisions and Maintenance of Existing Traffic Signal Installation. Project was pending a response from CCDOTH to confirm the correct set was reviewed. CCDOTH marked up the revision 2 drawing set, which lead to a Negotiated Out Of Revision.</t>
  </si>
  <si>
    <t>168777007.E.071</t>
  </si>
  <si>
    <t>N1805612134894557445589</t>
  </si>
  <si>
    <t>RS1237</t>
  </si>
  <si>
    <t>1014094</t>
  </si>
  <si>
    <t>Replacement of TW 3701100 in Sterling</t>
  </si>
  <si>
    <t>E SCIENCE RIDGE/37TH RD &amp; FREEPORT RD                   ATLAS Page: D84102, D84104</t>
  </si>
  <si>
    <t>168777007.G.600</t>
  </si>
  <si>
    <t>RS123710140944547045589</t>
  </si>
  <si>
    <t xml:space="preserve">ConOps requested a full detour plan for Metra RR crossing as more workspace than originally anticipated was needed and Village pulled permit until detour plan was submitted. During this effort, ConOps was able to negotiate a partial lane-closure option with the Village and NPL and the KH detour plan was not ultimately needed. The draft detour plan was provided to Nicor for reference. </t>
  </si>
  <si>
    <t>168777007.2.028</t>
  </si>
  <si>
    <t>BS11112122544558645590</t>
  </si>
  <si>
    <t>RS1244</t>
  </si>
  <si>
    <t>1014110</t>
  </si>
  <si>
    <t>PLATO CENTER</t>
  </si>
  <si>
    <t>Tin Whistle Replacement Program. Replace Facility 1401674 Muirhead Rd &amp; Russell Rd</t>
  </si>
  <si>
    <t>Plato</t>
  </si>
  <si>
    <t>168777007.G.603</t>
  </si>
  <si>
    <t>RS124410141104548345590</t>
  </si>
  <si>
    <t xml:space="preserve">Revision due to IDOT site-specific comments requiring the WO drawings to show proposed pipe elevation under existing pavement and utilities, and restore asphalt roadway as full lane width sections. Per coordination with Nicor, permitting parameters not updated but will review this requirement with IDOT in future projects to verify necessity. </t>
  </si>
  <si>
    <t>Internal coordination at Nicor to discuss possiblity of negotiating comments with IDOT as these are new requirements for R1D1.</t>
  </si>
  <si>
    <t>168777007.E.068</t>
  </si>
  <si>
    <t>M1545012141134557445593</t>
  </si>
  <si>
    <t>NBA10017214</t>
  </si>
  <si>
    <t>1414479</t>
  </si>
  <si>
    <t>Advanced WO - Nicor requested that we perform this effort as T&amp;M due to nature of deliverables.</t>
  </si>
  <si>
    <t>NBA 10017214 - Rivian / Phase 1 - Relocation:  Relocate 8" STL MOP (225#) service in conflict w/ construction for Building 2, which is east of existing building.  Relocate / extend service approx 100-120 feet around conflict area @ N/E corner of Bldg 2 - relocate service approx 15-20' away from footings for new building.  Cust needs completed by 11/25/24.  Cost estimate needed to bill cust &amp; engineered drawings needed (if applicable).  Pls reach out if any questions.</t>
  </si>
  <si>
    <t>Rivian Entrance and W College Ave. North of adjacent DOT project SC18611.</t>
  </si>
  <si>
    <t>Rivian Property</t>
  </si>
  <si>
    <t>168777007.J.512</t>
  </si>
  <si>
    <t>Service relocation on private property. Advance WO.</t>
  </si>
  <si>
    <t>NBA1001721414144794557945596</t>
  </si>
  <si>
    <t>SC24983</t>
  </si>
  <si>
    <t>Randy Castellon/Caroline Kulach</t>
  </si>
  <si>
    <t>KH issued No Conflict letter on 11/4.</t>
  </si>
  <si>
    <t>100’ of 6” MOP in potential conflict w/ proposed storm culvert &amp; grading.
Location:  County Line Rd (Kennedy Dr and Van Dyke Rd)</t>
  </si>
  <si>
    <t>168777007.M.029</t>
  </si>
  <si>
    <t>SC24983-4555045600</t>
  </si>
  <si>
    <t>N18962</t>
  </si>
  <si>
    <t>1214481</t>
  </si>
  <si>
    <t>MONROE CENTER</t>
  </si>
  <si>
    <t>150' of 2" PE in potential conflict with proposed storm sewer and sewer installation.
Location: West St &amp; Monroe St</t>
  </si>
  <si>
    <t>Village of Monroe Center</t>
  </si>
  <si>
    <t>Monroe Center</t>
  </si>
  <si>
    <t>168777007.M.031</t>
  </si>
  <si>
    <t>N1896212144814555045602</t>
  </si>
  <si>
    <t>Revision due to UPRR comments to increase depth of install beneath tracks.</t>
  </si>
  <si>
    <t>168777007.2.029</t>
  </si>
  <si>
    <t>MR202712128184560145604</t>
  </si>
  <si>
    <t>MR2168</t>
  </si>
  <si>
    <t>1314418</t>
  </si>
  <si>
    <t>Cost estimate changed and ultimately decreased due to retirement crew time increasing, installation contract estimate items being adjusted, and installation traffic control estimate being reduced.</t>
  </si>
  <si>
    <t xml:space="preserve">	
2" STL Main 1936 severely corroded needs to be replaced. 280FT ATLAS WC17161B
Contact System Planning for scoping project.  Increase scope of project as needed based on MR-2 modeling.</t>
  </si>
  <si>
    <t>SP: Calvin Nguyen</t>
  </si>
  <si>
    <t>168777007.J.006</t>
  </si>
  <si>
    <t>MR216813144184556245607</t>
  </si>
  <si>
    <t>NBA10016031</t>
  </si>
  <si>
    <t>1913958</t>
  </si>
  <si>
    <t xml:space="preserve">	
WO 1913958 already created. Install 200' of 2" PE and 1000' of 8" STL gas main. Tie in to existing 6" PE Gas main. Head north on Rock Run Crossings on west side of Rock Run Crossings. 2" PE will then run east into apartment complex "on activity". Head east (bore under roadway) on Rock Run Crossings. NBA10016031</t>
  </si>
  <si>
    <t>Rock Run development. Near Rock Run Crossing Drive and Gateway BLVD.
SP: Calvin Nguyen
NBC: Alicia Tyler</t>
  </si>
  <si>
    <t>168777007.J.511</t>
  </si>
  <si>
    <t>NBA1001603119139584554045609</t>
  </si>
  <si>
    <t xml:space="preserve">Revision due to updated IDOT design including adjusted ROW and grading in updated Pre-Final plans. The proposed linework and conflict callouts were updated on 16 design drawings to reflect the updated IDOT design. </t>
  </si>
  <si>
    <t>Project was pending updated CAD files from IDOT.</t>
  </si>
  <si>
    <t>168777007.E.069</t>
  </si>
  <si>
    <t>N1360612119674557345610</t>
  </si>
  <si>
    <t>N12480</t>
  </si>
  <si>
    <t>1214410</t>
  </si>
  <si>
    <t>Increase Crew w/ Equipment &amp; removal of Shore Boxes</t>
  </si>
  <si>
    <t>~2,600' in conflict with proposed roadway reconstruction, sanitary improvements, and drainage improvements.
Charles St, California Ave, Brook St, and Livingston Ave</t>
  </si>
  <si>
    <t>Carpentersville</t>
  </si>
  <si>
    <t>168777007.M.020</t>
  </si>
  <si>
    <t>N1248012144104549645610</t>
  </si>
  <si>
    <t>MR2160</t>
  </si>
  <si>
    <t>Engineering requested KH to prepare a full MOT plan to minimize permitting comments due to cut &amp; cap and tie in that needed to happen under pavement. KH Roadway confirmed that typical MOT details would not cover the pavement break scenarios on this project.</t>
  </si>
  <si>
    <t>Custom MOT for proposed cut/cap and tie in.</t>
  </si>
  <si>
    <t>168777007.K.000</t>
  </si>
  <si>
    <t>MR216014141404556045611</t>
  </si>
  <si>
    <t>1414140</t>
  </si>
  <si>
    <t>Replacing approx. 10' of 12" STL MOP main along Boughton Rd with valve 4269073. Valve is severely corroded, not able to operate. If possible, consider new valve location is better accessible location. Per Sys Planning valve needs to be replaced. Compliance date: 12/31/24</t>
  </si>
  <si>
    <t>N Bolingbrook Dr &amp; E Boughton Rd</t>
  </si>
  <si>
    <t xml:space="preserve">168777007.J.002 </t>
  </si>
  <si>
    <t>MR216014141404549545611</t>
  </si>
  <si>
    <t>RS1238</t>
  </si>
  <si>
    <t>1014138</t>
  </si>
  <si>
    <t>MT. MORRIS</t>
  </si>
  <si>
    <t>Tin Whistle Replacement Program. Replace Facility 3701148.</t>
  </si>
  <si>
    <t>W Oregon Trail Rd &amp; S Columbian Rd
Atlas Page: D90033N</t>
  </si>
  <si>
    <t>Ogle</t>
  </si>
  <si>
    <t>Pine Creek</t>
  </si>
  <si>
    <t>BSNF</t>
  </si>
  <si>
    <t>168777007.G.605</t>
  </si>
  <si>
    <t>RS123810141384549145611</t>
  </si>
  <si>
    <t>RS1233</t>
  </si>
  <si>
    <t>1014092</t>
  </si>
  <si>
    <t>STILLMAN VALLEY</t>
  </si>
  <si>
    <t>Tin Whistle Replacement Program. Replace Facility #3701146. TW #3701141 and #3701142 to be eliminated as part of this scope.</t>
  </si>
  <si>
    <t>E WILDWOOD DR &amp; N WINDING OAK LN, Stillman Valley, Atlas Page: D79274, D79351</t>
  </si>
  <si>
    <t>Marion</t>
  </si>
  <si>
    <t>168777007.G.601</t>
  </si>
  <si>
    <t>RS123310140924547045617</t>
  </si>
  <si>
    <t xml:space="preserve">N17175/NBA10014004 </t>
  </si>
  <si>
    <t>Revision due to IDOT request for updated tie-in location due to proximity to turn lane, as well as requested an MOT. IDOT had preliminarily reviewed the tie-in location during the design phase, but then requested an adjusted tie-in location during permitting. KH met with IDOT, the Village of Crystal Lake, Nicor, and the developers to review new tie-in locations, and negotiated out of a potential MOT plan being required, as well as to review any additional updates required to avoid additional permitting comments. Scope of gas main install and relocation was adjusted to accommodate the tie-in design change.</t>
  </si>
  <si>
    <t>Project was pending final buy in from developers, IDOT, and the Village to preliminarily approve the updated design.</t>
  </si>
  <si>
    <t>168777007.E.073</t>
  </si>
  <si>
    <t>N17175/NBA10014004 12131414558845618</t>
  </si>
  <si>
    <t>RS1254</t>
  </si>
  <si>
    <t>1014236</t>
  </si>
  <si>
    <t>Tin Whistle Replacement Program. Replace Facility 1401648.</t>
  </si>
  <si>
    <t>Galligan &amp; Koppie Dr
Atlas Page: NW35133</t>
  </si>
  <si>
    <t>168777007.G.609</t>
  </si>
  <si>
    <t>Retired EX TW</t>
  </si>
  <si>
    <t>RS125410142364551845621</t>
  </si>
  <si>
    <t>N17815</t>
  </si>
  <si>
    <t>1214002</t>
  </si>
  <si>
    <t>6,000' of 2”, 4”, 6” STL and PE in conflict with proposed improvements.
Hainesville Road &amp; Rollins Road</t>
  </si>
  <si>
    <t>168777007.D.106</t>
  </si>
  <si>
    <t xml:space="preserve">PE and PVC Cased crossings </t>
  </si>
  <si>
    <t>N1781512140024516345623</t>
  </si>
  <si>
    <t>TWV</t>
  </si>
  <si>
    <t>1501426</t>
  </si>
  <si>
    <t>1014884</t>
  </si>
  <si>
    <t>PRINCETON</t>
  </si>
  <si>
    <t>Confirmed Scope: vent out, replace tin tub, install separate relief leg</t>
  </si>
  <si>
    <t xml:space="preserve">S Main St &amp; Lovers Ln </t>
  </si>
  <si>
    <t>Princeton</t>
  </si>
  <si>
    <t>168777007.H.106</t>
  </si>
  <si>
    <t>TWV  Retrofit</t>
  </si>
  <si>
    <t>150142610148844566545723</t>
  </si>
  <si>
    <t>COMPLETED PROJECTS (2024-1114)</t>
  </si>
  <si>
    <t>Hourly (Only)</t>
  </si>
  <si>
    <t>Revision for environmental updates</t>
  </si>
  <si>
    <t>Revision due to City utility information provided during permitting phase that differs from information provided during design phase and field change due to utility congestion after not obtaining survey</t>
  </si>
  <si>
    <t>Cost estimate decreased due to revision due to developer's revised design, which resulted in reduced relocation scope</t>
  </si>
  <si>
    <t>Cost estimate increased based on updated contract year and minor reduction to GCS items.</t>
  </si>
  <si>
    <t xml:space="preserve">Engineering removed all Sys Ops install/retire time, which was entered per PCTS guidance and was coordinated with ConOps prior to cost estimate being finalized. </t>
  </si>
  <si>
    <r>
      <t xml:space="preserve">Replacing approx. 10' of 12" STL MOP main along Boughton Rd with valve 4269073. Valve is severely corroded, not able to operate. If possible, consider new valve location is better accessible location. Per Sys Planning valve needs to be replaced. </t>
    </r>
    <r>
      <rPr>
        <b/>
        <sz val="11"/>
        <color rgb="FF000000"/>
        <rFont val="Calibri"/>
        <family val="2"/>
        <scheme val="minor"/>
      </rPr>
      <t>Compliance date: 12/31/24</t>
    </r>
  </si>
  <si>
    <t>2025</t>
  </si>
  <si>
    <t>NBA10015039</t>
  </si>
  <si>
    <t>1614145</t>
  </si>
  <si>
    <t>WO1614145 already created. NBA10015039. Install ~4,700' of 12" STL (155#) main. Will require IDOT permits. Associated with WO 1614146(service) and 1614148 (meter).</t>
  </si>
  <si>
    <t>Higgins Rd &amp; Landmeier Rd</t>
  </si>
  <si>
    <t>Elk Grove</t>
  </si>
  <si>
    <t>168777007.J.508</t>
  </si>
  <si>
    <t>NBA10015039-1</t>
  </si>
  <si>
    <t>1614146</t>
  </si>
  <si>
    <t>WO 1614146 created. NBA10015039. Install 180' - 8" STL (curb valve) service; Tie into proposed 8" STL main installed with WO 1614145. Meter work order 1614148.</t>
  </si>
  <si>
    <t>168777007.J.509</t>
  </si>
  <si>
    <t xml:space="preserve">Service </t>
  </si>
  <si>
    <t>NBA10015039-2</t>
  </si>
  <si>
    <t>1614148</t>
  </si>
  <si>
    <t>WO 1614148 created. Install 6" Mooney Operator set at 60# and 6" Mooney Monitor set at 66#.  Install 1" 289H token relief set to monitor feed.
Install 6" Mooney Standby Operator set at 56# and 6" Mooney Standby Monitor set at 66#.
Install 12" Turbine meter (AAT-230) - per Measurement will need 18' from valve to valve for meter. Associated with work order 1614145(main) and 1614146 (service)</t>
  </si>
  <si>
    <t>168777007.J.510</t>
  </si>
  <si>
    <t xml:space="preserve">Large meter set </t>
  </si>
  <si>
    <t>Con Ops decreased spoil trucking quantity.</t>
  </si>
  <si>
    <t xml:space="preserve">Cost estimate increased due to revised contract year. Nicor Engineering increased Contract and PO items (post-inspection camera, HydroVac time, traffic control, sewer inspection, trench backfill, crew w/ equiipment time) from the amounts that ConOps had originally approved in our cost estimate review. </t>
  </si>
  <si>
    <t>Cost estimate increased due to revised contract year. Nicor Engineering increased Contract and PO items (post-inspection camera, traffic control, sewer inspection, trench backfill, trucking time, and added HydroVac time) from the amounts that ConOps had originally approved in our cost estimate review.</t>
  </si>
  <si>
    <t>There were minor edits that were completed prior to release and we invoiced off the estimate prior to those minor edits. Our recording and PCTS match each other - just not column Z in this spreadsheet.</t>
  </si>
  <si>
    <t xml:space="preserve">Revision due to IDOT request for updated tie-in and did not impact PCTS estimate. </t>
  </si>
  <si>
    <t xml:space="preserve">Cost estimate increased due to increased material cost of PCF, labor rates and NPL contract years being updated.  
Revision did not impact PCTS estimate (minor CCDOTH traffic plans and notes updates). </t>
  </si>
  <si>
    <t>Cost estimate increased due to slight increases in material costs, labor rates and NPL contract year being updated.</t>
  </si>
  <si>
    <t>Cost estimate increased due to slight increases in material costs.</t>
  </si>
  <si>
    <t>Cost changes due to increase in  crew w/ equipment.</t>
  </si>
  <si>
    <t xml:space="preserve">PO tabs updated by Nicor </t>
  </si>
  <si>
    <t xml:space="preserve">Crew time and traffic control added due to difficult installation beneath overhead railroad bridge. Revision did not impact PCTS costs (which added a construction note per the RR). </t>
  </si>
  <si>
    <t>Cost estimate increased due to revised contract year and crew time added due to additional restoration requirements requested from the City during permitting.</t>
  </si>
  <si>
    <t>Revision for Land Unable to obtain easement. PCTS shows KH was the last to update</t>
  </si>
  <si>
    <t>Cost estimate increased due to revised contract year</t>
  </si>
  <si>
    <t xml:space="preserve">Revision Pending coordination with the DOT and Nicor, and design adjustment/scoping review with Nicor. Cost estimate increased due to slight increases in material costs, labor rates and NPL contract year being updated.  PO items added to PCTS from Daniel. </t>
  </si>
  <si>
    <t>Traffic control reduced from 140 to 100 hours. Contract was updated from NPL 2024 to NPL 2025 which offset cost decrease.</t>
  </si>
  <si>
    <t xml:space="preserve">Cost estimate increased due to revised contract year. </t>
  </si>
  <si>
    <t>Cost estimate increased due to revised contract year.  ConOps added costs associated with full lane replacement from revision (trucking, milling, asphalt, hydrovac, backfill).  ConOps added company labor, C1 taps and stops, valve material costs, and cross compression costs.</t>
  </si>
  <si>
    <t>Cost estimate increased due to revised contract year and additional Crew W Equipment and Traffic Control in retirement WO, added by ConOps.</t>
  </si>
  <si>
    <t>Cost estimate decreased due to revision request and updated design from IDOT which resulted in a decrease in quantities and materials.</t>
  </si>
  <si>
    <t>Cost estimate decreased due to revision caused by updated County design, to avoid reimbursable Nicor relocation scope. Revision was done under original WO 121832 (N15462).</t>
  </si>
  <si>
    <t>Tim Purtell/Matt Hopkins</t>
  </si>
  <si>
    <t xml:space="preserve">Cost estimate decreased due to revision and coordination with Nicor on reducing relocation scope. The reduced scope of approximately 600' of 6" main was a result of conveersations with Engineering and System Planning to remove install that was not necessary to avoid conflict with proposed improvements. </t>
  </si>
  <si>
    <t>Cost estimate increased due to revision to increase relocation scope due to updated Village plans and expanded DOT project scope. The revision included an additional install of nearly 2000' of main, and 3 design sheets added to the WO drawings.</t>
  </si>
  <si>
    <t>Cost estimate increased based on updated contract year/revised costs.</t>
  </si>
  <si>
    <t>Cost estimate increased based on updated material costs.</t>
  </si>
  <si>
    <t>N18617</t>
  </si>
  <si>
    <t>1214502</t>
  </si>
  <si>
    <t>MT MORRIS</t>
  </si>
  <si>
    <t>~500’ of 4” PE in conflict with proposed grade cuts.
S McKendrie Ave &amp; E Main St</t>
  </si>
  <si>
    <t xml:space="preserve">Mt. Morris Firehouse </t>
  </si>
  <si>
    <t>Mt Morris</t>
  </si>
  <si>
    <t>168777007.M.012</t>
  </si>
  <si>
    <t>N14793</t>
  </si>
  <si>
    <t>1213270</t>
  </si>
  <si>
    <t xml:space="preserve">$1.2M invoice discussed with Josh Ziliak and approved for 2024. Will revisit overall cost with Nicor in 2025. </t>
  </si>
  <si>
    <t>LS</t>
  </si>
  <si>
    <t>~10,000' of 2", 4", 6" STL/PE and 8" and 12" MOP conflict with roadway widening and improvements. 
IL-47 (Eastwood Dr) from US-14 to Grove St.</t>
  </si>
  <si>
    <t>168777007.D.087</t>
  </si>
  <si>
    <t>SC24047</t>
  </si>
  <si>
    <t>1414578</t>
  </si>
  <si>
    <t>Alec Baltazar</t>
  </si>
  <si>
    <t>50’ of 2" W in conflict with proposed roadway reconstruction and water main improvements
DOT Scope: ~13,000' of proposed watermain and restoration improvements.
Location: IL Rte 53 (N Scott St) and Ohio St</t>
  </si>
  <si>
    <t>168777007.M.040</t>
  </si>
  <si>
    <t>Engineering revised footage and associated items (L&amp;P, Post Camera Inspection, Locating &amp; Contingency) by 10' to match plans, which decreased the install estimate.</t>
  </si>
  <si>
    <t>RS1265</t>
  </si>
  <si>
    <t>1014227</t>
  </si>
  <si>
    <t>WATSEKA</t>
  </si>
  <si>
    <t xml:space="preserve">	
Tin Whistle Replacement Program. Replace Facility 4301177</t>
  </si>
  <si>
    <t>S County Farm Rd &amp; Rte 1 
Atlas Page: K61034C</t>
  </si>
  <si>
    <t>Belmont</t>
  </si>
  <si>
    <t>168777007.G.607</t>
  </si>
  <si>
    <t>TL</t>
  </si>
  <si>
    <t>MH</t>
  </si>
  <si>
    <t>McTigue</t>
  </si>
  <si>
    <t>TM</t>
  </si>
  <si>
    <t>CRA PROJECTS (2025-0909)</t>
  </si>
  <si>
    <t>Real Estate, Environmental, DDA, &amp; MOP Verification</t>
  </si>
  <si>
    <t>Project Type</t>
  </si>
  <si>
    <t>Designer Name</t>
  </si>
  <si>
    <t>Action Items</t>
  </si>
  <si>
    <t>Nicor System Improvement</t>
  </si>
  <si>
    <t>Project Scope</t>
  </si>
  <si>
    <t>Comments / Location</t>
  </si>
  <si>
    <t xml:space="preserve">C
</t>
  </si>
  <si>
    <t xml:space="preserve">M
</t>
  </si>
  <si>
    <t xml:space="preserve">T
</t>
  </si>
  <si>
    <t>JULIE</t>
  </si>
  <si>
    <t>BL to Shactee</t>
  </si>
  <si>
    <t>BL from Shactee</t>
  </si>
  <si>
    <t>Design to Shactee</t>
  </si>
  <si>
    <t>Design from Shactee</t>
  </si>
  <si>
    <t>Pre RR Review</t>
  </si>
  <si>
    <t>Send out RR</t>
  </si>
  <si>
    <t>Absolute latest RR</t>
  </si>
  <si>
    <t>Pre AFC Review</t>
  </si>
  <si>
    <t>TDS (i.e. MOP main)</t>
  </si>
  <si>
    <t>In Workload</t>
  </si>
  <si>
    <t>Workplan Date</t>
  </si>
  <si>
    <t># of design pages</t>
  </si>
  <si>
    <t>Foreign Pipeline</t>
  </si>
  <si>
    <t>Investigation Request [Sent]</t>
  </si>
  <si>
    <t>Real Estate [Rcv'd]</t>
  </si>
  <si>
    <t>Environmental [Rcv'd]</t>
  </si>
  <si>
    <t>Community Outreach [Sent]</t>
  </si>
  <si>
    <t>MOP Verification [Sent]</t>
  </si>
  <si>
    <t>MOP Verification [Rcv'd]</t>
  </si>
  <si>
    <t>DDA Submitted</t>
  </si>
  <si>
    <t>Notes:</t>
  </si>
  <si>
    <t>Cost Estimate</t>
  </si>
  <si>
    <t>Invoice Total Forecast</t>
  </si>
  <si>
    <t>&gt; 500'?</t>
  </si>
  <si>
    <t>Invoice Month</t>
  </si>
  <si>
    <t>2026</t>
  </si>
  <si>
    <t>RS1333</t>
  </si>
  <si>
    <t>HARRISON</t>
  </si>
  <si>
    <t>Camille Corbi
(Conner Chamernik)</t>
  </si>
  <si>
    <t>Phase 2</t>
  </si>
  <si>
    <t>KH finalizing WO drawings;
Nicor Eng to confirm KH design recommendation (sent 9/2, F/U 9/9);
Pending Nicor Locates (sent 9/11);
Pending IDOT variance request approval (sent 9/17).</t>
  </si>
  <si>
    <t xml:space="preserve">Replace existing facility #3601302 in close proximity to existing facility. </t>
  </si>
  <si>
    <t>IL-75 &amp; Genesee St</t>
  </si>
  <si>
    <t>168777007.G.422</t>
  </si>
  <si>
    <t>A252102983</t>
  </si>
  <si>
    <t>Drafting (8/19/2025)</t>
  </si>
  <si>
    <t>Drafting (9/2/2025)</t>
  </si>
  <si>
    <t>Sent 7/2/2026</t>
  </si>
  <si>
    <t>Sent 7/11/2025</t>
  </si>
  <si>
    <t>RS1331</t>
  </si>
  <si>
    <t>KH finalizing WO drawings;
Pending Dimple Analysis (sent 9/10, F/U 9/17).
Pending IDOT variance request approval (sent 9/9).</t>
  </si>
  <si>
    <t xml:space="preserve">Replace existing facility #4401297 in close proximity to existing facility. </t>
  </si>
  <si>
    <t>US 150 &amp; IL-117</t>
  </si>
  <si>
    <t>168777007.G.423</t>
  </si>
  <si>
    <t>X252031772</t>
  </si>
  <si>
    <t>Drafting (8/8)</t>
  </si>
  <si>
    <t>Drafting (8/22)</t>
  </si>
  <si>
    <t>Sent 7/2/2025</t>
  </si>
  <si>
    <t>RS1249</t>
  </si>
  <si>
    <t xml:space="preserve">KH finalizing WO drawings. </t>
  </si>
  <si>
    <t>Replace existing tin whistle Facility 1101016.</t>
  </si>
  <si>
    <t>Plum Grove Rd &amp; Crest Ave
Atlas Page: WC13021</t>
  </si>
  <si>
    <t>Roselle</t>
  </si>
  <si>
    <t>168777007.G.606</t>
  </si>
  <si>
    <t>X242122215
X242122217</t>
  </si>
  <si>
    <t>OOSW</t>
  </si>
  <si>
    <t xml:space="preserve">Sys Ops: Jayne Skibinski, Russ Burns 
Con Ops: Kyle Phillips, Shawn Peterson 
Sys Plan: Erik Best </t>
  </si>
  <si>
    <t>RS1302</t>
  </si>
  <si>
    <t>DAVIS JUNCTION</t>
  </si>
  <si>
    <t>KH finalizing WO drawings;
Pending updated Environment Report, sent 9/4;
Pending MAOP Verification, sent 9/9.</t>
  </si>
  <si>
    <t>Replace existing facility #3701132 in close proximity to existing facility.
Proposed design calls for downrating MOP main to non MOP to avoid another RR crossing.</t>
  </si>
  <si>
    <t>State Rte 72</t>
  </si>
  <si>
    <t>168777007.G.819</t>
  </si>
  <si>
    <t>A251273148</t>
  </si>
  <si>
    <t>Sent 9/4/2025</t>
  </si>
  <si>
    <t>Sent 9/11/25</t>
  </si>
  <si>
    <t>Replace in Proximity</t>
  </si>
  <si>
    <t xml:space="preserve">Sys Ops: Jason Meyer, Eric Saxby
Con Ops: Kyle Phillips, Shawn Peterson </t>
  </si>
  <si>
    <t>RS1375</t>
  </si>
  <si>
    <t xml:space="preserve">ELLSWORTH </t>
  </si>
  <si>
    <t>Phase 1</t>
  </si>
  <si>
    <t>KH progressing WO drawings.</t>
  </si>
  <si>
    <t>Replace existing tin whistle #4401073.</t>
  </si>
  <si>
    <t>South Region 
Atlas Page: B56141D</t>
  </si>
  <si>
    <t>168777007.G.617</t>
  </si>
  <si>
    <t xml:space="preserve">Sys Ops: Ron Westphal, Don Verdun </t>
  </si>
  <si>
    <t>RS1372</t>
  </si>
  <si>
    <t xml:space="preserve">MONEE </t>
  </si>
  <si>
    <t xml:space="preserve">KH progressing WO drawings. </t>
  </si>
  <si>
    <t>Pending final scope. 
Replace existing tin whistle due to unsafe current location.</t>
  </si>
  <si>
    <t>South Region 
Atlas Page: E19323D</t>
  </si>
  <si>
    <t>168777007.G.614</t>
  </si>
  <si>
    <t>Sys Ops: Jason Meyer, Michelle Coburn</t>
  </si>
  <si>
    <t>RS1369</t>
  </si>
  <si>
    <t xml:space="preserve">Phase 1 </t>
  </si>
  <si>
    <t xml:space="preserve">KH progressing WO drawings; 
Scoping meeting with Nicor scheduled for 09/22. </t>
  </si>
  <si>
    <t>Pending Final Scope Confirmation. 
2026 TW Replacement Program.  Replace Facility 3201697 and install ~4,000' of main.</t>
  </si>
  <si>
    <t>Dunham Rd &amp; Busse Rd</t>
  </si>
  <si>
    <t>168777007.G.623</t>
  </si>
  <si>
    <t xml:space="preserve">Sys Ops: Diana Mejorado, Eric Saxby
Con Ops: Kylie Phillips, Shawn Peterson
Sys Plan: Erik Best </t>
  </si>
  <si>
    <t xml:space="preserve">RS1366 </t>
  </si>
  <si>
    <t xml:space="preserve">
Pending Final Scope Confirmation. 
2026 TW Replacement Program. Replace TW 3201700 or address the facility via options stated in the sizing sheet.</t>
  </si>
  <si>
    <t xml:space="preserve">IL-120 &amp; Trakk Ln </t>
  </si>
  <si>
    <t>168777007.G.624</t>
  </si>
  <si>
    <t>RSXXXX</t>
  </si>
  <si>
    <t>Julia Holstead</t>
  </si>
  <si>
    <t xml:space="preserve">Ready for Region Review; 
Pending EDSR creation (f/u 9/8). </t>
  </si>
  <si>
    <t>Double cut tin whistle. Scope updated to remove/retire downstream tin and full retrofit for upstream tin.
Facility #3701161 to receive full retrofit. Facility #3701162 to be retired/removed.</t>
  </si>
  <si>
    <t>IL-72 &amp; N Junction Way (RT. 72 &amp;  RT. 251)</t>
  </si>
  <si>
    <t>168777007.H.120</t>
  </si>
  <si>
    <t>Region Review</t>
  </si>
  <si>
    <t>KH finalizing WO Drawings for release;
per Nicor, KH to hold while Nicor has internal conversations regarding non-serviceable valves (f/u sent 9/8).</t>
  </si>
  <si>
    <t xml:space="preserve">Vent out, replace tin tub, install separate relief leg </t>
  </si>
  <si>
    <t xml:space="preserve">Higgins Rd &amp; Woodview Pkwy </t>
  </si>
  <si>
    <t>168777007.H.121</t>
  </si>
  <si>
    <t xml:space="preserve">Sys Ops: Jason Meyer, Karina Gallegos 
Con Ops: Kyle Phillips, Shawn Peterson </t>
  </si>
  <si>
    <t>Ready for Region Review;
Pending EDSR creation (f/u sent 9/8).</t>
  </si>
  <si>
    <t>Facility #3701161 to receive full retrofit. Double cut tin whistle. Scope updated to remove/retire downstream tin and full retrofit for upstream tin.</t>
  </si>
  <si>
    <t>A252323223</t>
  </si>
  <si>
    <t>KH progressing WO drawings; 
Pending EDSR creation and sizing sheet(f/u 9/8).</t>
  </si>
  <si>
    <t>Pending final relocation scope. 
Originally scoped as TWV, changed to full replacement.</t>
  </si>
  <si>
    <t xml:space="preserve">South Region 
Atlas Page: B12173A
Springfield Rd </t>
  </si>
  <si>
    <t>168777007.H.153</t>
  </si>
  <si>
    <t xml:space="preserve">Hourly </t>
  </si>
  <si>
    <t>RS1376</t>
  </si>
  <si>
    <t xml:space="preserve">BIG ROCK </t>
  </si>
  <si>
    <t>Retire TW #3401565 and install first stage reg since there is only 1 customer.</t>
  </si>
  <si>
    <t xml:space="preserve">North Region 
Atlas Page: NW23223C
Dead End System </t>
  </si>
  <si>
    <t>168777007.H.145</t>
  </si>
  <si>
    <t>Sys Ops: Diana Mejorado, Eric Saxby</t>
  </si>
  <si>
    <t>RS1213</t>
  </si>
  <si>
    <t xml:space="preserve">ELBURN </t>
  </si>
  <si>
    <t>Julia Holstead (Madie/Marissa)</t>
  </si>
  <si>
    <t xml:space="preserve">KH finalizing WO drawings for release. </t>
  </si>
  <si>
    <t>Install ~6,500' of 2" PE main install, retire facility #3401465, #3401050, #3401056 and replace facility #3401052.</t>
  </si>
  <si>
    <t>Project re-assigned to Kimley-Horn from Nicor Engineering.  Date originally assigned 6/21/24 with 4/4/25 design target date.</t>
  </si>
  <si>
    <t>168777007.G.611</t>
  </si>
  <si>
    <t>X250981595</t>
  </si>
  <si>
    <t>Sys Ops: Diana Mejorado, Eric Saxby 
Con Ops: Kyle Phillips, Shawn Peterson 
Sys Plan: Erik Best</t>
  </si>
  <si>
    <t>RS1317</t>
  </si>
  <si>
    <t>KH finalizing WO drawings. Pending sizing sheet, f/u sent 9/4.</t>
  </si>
  <si>
    <t xml:space="preserve">Replace existing vault #1101368 in close proximity to existing location. </t>
  </si>
  <si>
    <t xml:space="preserve"> 55th &amp; Garfield, Hinsdale</t>
  </si>
  <si>
    <t>Hinsdale</t>
  </si>
  <si>
    <t>168777007.G.418</t>
  </si>
  <si>
    <t>X251560215</t>
  </si>
  <si>
    <t>Pending response.</t>
  </si>
  <si>
    <t>Pending sizing.</t>
  </si>
  <si>
    <t xml:space="preserve">Sys Ops: Jayne Skibinski, Russ Burns 
Con Ops: Kyle Phillips, Booker Hatcher </t>
  </si>
  <si>
    <t>SEWARD</t>
  </si>
  <si>
    <t>Julia Holstead (Marissa)</t>
  </si>
  <si>
    <t>KH finalizing WO drawings for release.</t>
  </si>
  <si>
    <t>Vent out, replace tin tub, install separate relief leg and replace regs.</t>
  </si>
  <si>
    <t>Cunningham Rd &amp; S Hoisington Rd</t>
  </si>
  <si>
    <t>168777007.H.113</t>
  </si>
  <si>
    <t xml:space="preserve">Sys Ops: Jason Meyer, Jeremy (Jet) Thomas 
Con Ops: Kyle Phillips, Shawn Peterson </t>
  </si>
  <si>
    <t>Julia Holstead (Mitch)</t>
  </si>
  <si>
    <t>TW Facility #3601350 (downstream tin) to recieve full retrofit. Upstream TW facility to be retired.</t>
  </si>
  <si>
    <t>Chemical Plant Rd</t>
  </si>
  <si>
    <t>Private Owner</t>
  </si>
  <si>
    <t>168777007.H.116</t>
  </si>
  <si>
    <t>X251001755</t>
  </si>
  <si>
    <t>RS1299</t>
  </si>
  <si>
    <t>KH finalizing WO drawings. Pending Engineering confirmation on design pressure, sent 9/2 (f/u sent 9/8).</t>
  </si>
  <si>
    <t>Full replacement of TW facility #3601349 and add a fire valve.</t>
  </si>
  <si>
    <t>168777007.H.843</t>
  </si>
  <si>
    <t>Dead end system</t>
  </si>
  <si>
    <t>RS1218</t>
  </si>
  <si>
    <t>Install ~7,000' of main along Keslinger Rd, retire TW #3401051, #3401505, #3401554, and replace TW #3401458.</t>
  </si>
  <si>
    <t>2025 TW Replacement Program - Replace Facility 3401051</t>
  </si>
  <si>
    <t>Elburn</t>
  </si>
  <si>
    <t>168777007.G.612</t>
  </si>
  <si>
    <t>A250983175
A250983196</t>
  </si>
  <si>
    <t>Proximity</t>
  </si>
  <si>
    <t>RS1279</t>
  </si>
  <si>
    <t>KH progressing WO drawings;
Running line meeting with Nicor scheduled for 9/16.</t>
  </si>
  <si>
    <t>Retire/remove above-ground regulator facility #1401502. 
Pending final LF of vintage main to be removed prior to uprating.</t>
  </si>
  <si>
    <t>IL RTE 25 &amp; Poplar Creek</t>
  </si>
  <si>
    <t>168777007.G.413</t>
  </si>
  <si>
    <t>A243242269</t>
  </si>
  <si>
    <t>Pending Scope</t>
  </si>
  <si>
    <t>Con Ops: Kyle Phillips, Shawn Peterson*
SysOps: Jayne Skibinski, Josh Kennington
Sys Plan: Erik Best</t>
  </si>
  <si>
    <t>RS1316</t>
  </si>
  <si>
    <t>KH progressing WO drawings.
Survey due 9/23.</t>
  </si>
  <si>
    <t xml:space="preserve">Replace existing vault #1101258 in close proximity to existing location. </t>
  </si>
  <si>
    <t>Exmoor &amp; Fairview, Glen Ellyn.</t>
  </si>
  <si>
    <t>168777007.G.417</t>
  </si>
  <si>
    <t>A251553841</t>
  </si>
  <si>
    <t>RS829</t>
  </si>
  <si>
    <t>Replace existing facility in close proximity to existing facility.
Preferred location is in adjacent NBA project.</t>
  </si>
  <si>
    <t>Randall Rd &amp; Hopps Rd</t>
  </si>
  <si>
    <t>168777007.G.416</t>
  </si>
  <si>
    <t>A250982078
A250982083</t>
  </si>
  <si>
    <t>KDOT: 04/04/2025
Municip: 4/14/2025</t>
  </si>
  <si>
    <t>Sys Ops: Jayne Skibinki, Josh Kennington 
Con Ops: Kyle Phillips, Booker Hatcher  
Sys Plan: Erik Best</t>
  </si>
  <si>
    <t>RS1364</t>
  </si>
  <si>
    <t xml:space="preserve">Pending Final Scope Confirmation. 
2026 TW Replacement Program.  Replace Facility 3501060 or retire the facility via main extension.  </t>
  </si>
  <si>
    <t>Kelley Rd &amp; Fisk Ave</t>
  </si>
  <si>
    <t>168777007.G.622</t>
  </si>
  <si>
    <t xml:space="preserve">Sys Ops: Diana Mejorado, Jet Thomas
Con Ops: Kylie Phillips, Shawn Peterson
Sys Plan: Erik Best </t>
  </si>
  <si>
    <t>RS1381</t>
  </si>
  <si>
    <t xml:space="preserve">Initial Investigation </t>
  </si>
  <si>
    <t xml:space="preserve">KH completing initial investigation; 
Scoping meeting with Nicor scheduled for 09/XX. </t>
  </si>
  <si>
    <t>Pending Final Scope Confirmation. 
Woodstock TW 3201612 replacement - 2026 TW replacement program.</t>
  </si>
  <si>
    <t xml:space="preserve">US Rte 14 &amp; N Lake Shore Dr. </t>
  </si>
  <si>
    <t>RS1373</t>
  </si>
  <si>
    <t>Retire TW #4101242 and install first stage reg since there is only 1 customer.</t>
  </si>
  <si>
    <t xml:space="preserve">South Region 
Atlas Page: E33124B
Dead End System </t>
  </si>
  <si>
    <t>168777007.H.138</t>
  </si>
  <si>
    <t>X251151218</t>
  </si>
  <si>
    <t>RS1371</t>
  </si>
  <si>
    <t>GRANDDETOUR</t>
  </si>
  <si>
    <t>Install 2" main to retire Big Joe #3751048
Will be on the same WO drawing as TWV3701048.</t>
  </si>
  <si>
    <t xml:space="preserve">Rte 2 &amp; Grand Detour Rd </t>
  </si>
  <si>
    <t>168777007.H.117</t>
  </si>
  <si>
    <t>Ready for Region Review;
Pending EDSR creation (sent 5/30, f/u 9/8).</t>
  </si>
  <si>
    <t>Vent out and replace tin tub. Will be on the same WO drawing as a facility removal and main install.</t>
  </si>
  <si>
    <t>RS1322</t>
  </si>
  <si>
    <t xml:space="preserve">ROCHELLE </t>
  </si>
  <si>
    <t xml:space="preserve">Relocate Facility #3401630 (250#/110#) in close proximity to existing location. </t>
  </si>
  <si>
    <t>Atlas#NW98254B</t>
  </si>
  <si>
    <t>Rochelle</t>
  </si>
  <si>
    <t>168777007.G.421</t>
  </si>
  <si>
    <t>A251692522</t>
  </si>
  <si>
    <t>Contract Engineer: Kendra Jackson 
Sys Ops: Diana Mejorado, Eric Saxby 
Con Ops: Kyle Phillips, Shawn Peterson</t>
  </si>
  <si>
    <t>RS1321</t>
  </si>
  <si>
    <t xml:space="preserve">Relocate Facility #3401630 (250#/110#) in close proximity to existing location.  </t>
  </si>
  <si>
    <t>168777007.G.420</t>
  </si>
  <si>
    <t>KH finalizing WO drawings for release;
Scope changed per Sys Ops RR comments; 
Project pending scope confirmation (6/23, f/u 9/8).</t>
  </si>
  <si>
    <t>Vent out, replace tin tub, install separate relief leg.</t>
  </si>
  <si>
    <t>South Region 
Atlas Page: B28132B</t>
  </si>
  <si>
    <t>168777007.H.158</t>
  </si>
  <si>
    <t>RS1318</t>
  </si>
  <si>
    <t>KH finalizing WO drawings. 
KH coordinating vault location with Village of Niles, meeting scheduled for 09/17.</t>
  </si>
  <si>
    <t xml:space="preserve">Replace existing vault# 2101093 in close proximity to existing location. </t>
  </si>
  <si>
    <t xml:space="preserve">Location: Harts Rd and Riverside Dr </t>
  </si>
  <si>
    <t>168777007.G.419</t>
  </si>
  <si>
    <t>X251560223</t>
  </si>
  <si>
    <t xml:space="preserve">Drafting </t>
  </si>
  <si>
    <t xml:space="preserve">Sys Ops: Jason Meyer, Saki Forah
Con Ops: Kyle Phillips, Shawn Peterson </t>
  </si>
  <si>
    <t xml:space="preserve">KH progressing WO drawings.
Pending confirmation from Engineering if this project can be changed to a full replacement due to non-serviceable tap valves (f/u 9/8). </t>
  </si>
  <si>
    <t xml:space="preserve">Pending scope confirmation on tin whistle modification type. </t>
  </si>
  <si>
    <t xml:space="preserve">North Region 
Atlas Page: NW22171A
Dead End System </t>
  </si>
  <si>
    <t>168777007.H.148</t>
  </si>
  <si>
    <t xml:space="preserve">HINCKLEY </t>
  </si>
  <si>
    <t xml:space="preserve">Pending scope confirmation on tin whislte modification type. </t>
  </si>
  <si>
    <t xml:space="preserve">North Region 
Atlas Page: O61172D
Dead End System </t>
  </si>
  <si>
    <t>168777007.H.146</t>
  </si>
  <si>
    <t xml:space="preserve">North Region 
Atlas Page: NW23361A
Dead End System </t>
  </si>
  <si>
    <t>168777007.H.144</t>
  </si>
  <si>
    <t>RS1355</t>
  </si>
  <si>
    <t xml:space="preserve">Pending Final Scope Confirmation. 
2026 TW Replacement Program. Replace Facility 3501079 in Rockford. </t>
  </si>
  <si>
    <t xml:space="preserve">Kelley Rd &amp; S Meridian Rd </t>
  </si>
  <si>
    <t>168777007.G.621</t>
  </si>
  <si>
    <t>X252602106</t>
  </si>
  <si>
    <t>RS1374</t>
  </si>
  <si>
    <t>GRAND DETOUR</t>
  </si>
  <si>
    <t xml:space="preserve">Pending Final Scope Confirmation. 
Grand Detour TW 3701045 replacement - 2026 TW replacement program. </t>
  </si>
  <si>
    <t>Cedar &amp; Clinton</t>
  </si>
  <si>
    <t>RS1308</t>
  </si>
  <si>
    <t xml:space="preserve">KINGSTON </t>
  </si>
  <si>
    <t>Tom McTigue</t>
  </si>
  <si>
    <t>KH progressing WO drawings;
Pending Nicor Locates due 9/15;
Pending udpated Sizing Sheet sent 9/9;
Pending Environmental due 9/23.</t>
  </si>
  <si>
    <t>Replace tin whistle #3401628 due to frequent flooding in current location.</t>
  </si>
  <si>
    <t xml:space="preserve">North Region 
Atlas Page: NW68151D
Dead End System </t>
  </si>
  <si>
    <t>Kingston</t>
  </si>
  <si>
    <t>168777007.G.620</t>
  </si>
  <si>
    <t>A252300848</t>
  </si>
  <si>
    <t>Drafting
(9/5/25)</t>
  </si>
  <si>
    <t>Drafting
(9/16/25)</t>
  </si>
  <si>
    <t>Sent (7/25)</t>
  </si>
  <si>
    <t>RS1300</t>
  </si>
  <si>
    <t>KH progressing WO drawings;
Pending updated Sizing Sheet sent 8/27 (F/U 9/12);
Pending MAOP Verification sent 9/9;
Pending survey due 9/30.</t>
  </si>
  <si>
    <t>Replace tin whistle #3501030 in close proximity to existing facility.</t>
  </si>
  <si>
    <t xml:space="preserve">Cunningham Rd &amp; S Weldon Rd </t>
  </si>
  <si>
    <t>Winnbago</t>
  </si>
  <si>
    <t>168777007.G.823</t>
  </si>
  <si>
    <t xml:space="preserve">A252390788 </t>
  </si>
  <si>
    <t>Drafting
(9/30/25)</t>
  </si>
  <si>
    <t>Drafting
(10/7/25)</t>
  </si>
  <si>
    <t>Sent (8/21)</t>
  </si>
  <si>
    <t xml:space="preserve">GOODFIELD </t>
  </si>
  <si>
    <t>Replace existing tin whistle #4401288 in close proximity to existing facility.</t>
  </si>
  <si>
    <t>South Region 
Atlas Page: B32181 
Dead End System
US-150 &amp; Maple Dr</t>
  </si>
  <si>
    <t>Goodfield</t>
  </si>
  <si>
    <t>168777007.G.619</t>
  </si>
  <si>
    <t>Drafting
(Not scoped)</t>
  </si>
  <si>
    <t>NOT SCOPED TBD</t>
  </si>
  <si>
    <t>Scope TBD</t>
  </si>
  <si>
    <t>INVOICE FORECASTS</t>
  </si>
  <si>
    <t>ERB</t>
  </si>
  <si>
    <t>NSI</t>
  </si>
  <si>
    <t>January</t>
  </si>
  <si>
    <t>February</t>
  </si>
  <si>
    <t>March</t>
  </si>
  <si>
    <t>April</t>
  </si>
  <si>
    <t>May</t>
  </si>
  <si>
    <t>June</t>
  </si>
  <si>
    <t>July</t>
  </si>
  <si>
    <t>August</t>
  </si>
  <si>
    <t>September</t>
  </si>
  <si>
    <t>October</t>
  </si>
  <si>
    <t>November</t>
  </si>
  <si>
    <t>December</t>
  </si>
  <si>
    <t>Non-DOT PROJECTS (2025-0909)</t>
  </si>
  <si>
    <t>3rd Party Work to be Reimbursed by Nicor</t>
  </si>
  <si>
    <t>Comments/Location</t>
  </si>
  <si>
    <t>LG Drawing
[Y or N]</t>
  </si>
  <si>
    <t>3 (or 4) weeks prior to RR</t>
  </si>
  <si>
    <t>Bore Analysis?</t>
  </si>
  <si>
    <t>In Workload?</t>
  </si>
  <si>
    <t>Adjacent Work</t>
  </si>
  <si>
    <t>Community Outreach</t>
  </si>
  <si>
    <t>Foreign Pipeline (Y/N)
https://pvnpms.phmsa.dot.gov/PublicViewer/</t>
  </si>
  <si>
    <t>Real Estate</t>
  </si>
  <si>
    <t>Environmental</t>
  </si>
  <si>
    <t>MOP Verification</t>
  </si>
  <si>
    <t>3rd Party Work</t>
  </si>
  <si>
    <t>3rd Party</t>
  </si>
  <si>
    <t>Current JS Contract Value</t>
  </si>
  <si>
    <t>NM Guess Final Cost</t>
  </si>
  <si>
    <t>Remaining JS</t>
  </si>
  <si>
    <t>NBA10019119</t>
  </si>
  <si>
    <t>1615675</t>
  </si>
  <si>
    <t>Camille Corbi 
(Tom McTigue)</t>
  </si>
  <si>
    <t>KH progressing WO drawings;
Pending Survey due 10/15.</t>
  </si>
  <si>
    <t>NBA 10019119: Replace 100' of 6" Main with 8" STL (60#) Main, 4000' of 4" Main with 6" PE (60#) Main.</t>
  </si>
  <si>
    <t>Lunt Ave &amp; Elmhurst Rd</t>
  </si>
  <si>
    <t xml:space="preserve">Y (Elmhurst Rd) </t>
  </si>
  <si>
    <t>CJR (RR)</t>
  </si>
  <si>
    <t xml:space="preserve">168777007.J.516 </t>
  </si>
  <si>
    <t>Y TPs, NBA15039</t>
  </si>
  <si>
    <t>Y 8/27</t>
  </si>
  <si>
    <t>Y Nicor 20" TR</t>
  </si>
  <si>
    <t>Y (9/2/2025)</t>
  </si>
  <si>
    <t>Sent 8/26/2025</t>
  </si>
  <si>
    <t xml:space="preserve">Upcoming Village work at Nicholas Blvd. ComEd improvements along Lunt Ave. </t>
  </si>
  <si>
    <t>NBA10019119-1</t>
  </si>
  <si>
    <t>1615795</t>
  </si>
  <si>
    <t>NBA#10019119 add load with 240' - 6" PE (w/ 6" Curb Valve) service Equinix (Main Work Order# 1615675)</t>
  </si>
  <si>
    <t>NBA10019119-2</t>
  </si>
  <si>
    <t>1615796</t>
  </si>
  <si>
    <t>NBA#10019119
Meter: New 6" PE Service with 4" flanged riser.
Install Upstream line mounted 38M with Instrument.
4" Mooney Operator set at 15#.  
4" Rockwell 441-57S as monitor with 2-1/8" orifice, set at 18#. 
Install token relief 1" 289H with 15-50# spring, set to monitor feed</t>
  </si>
  <si>
    <t>RS1298</t>
  </si>
  <si>
    <t>1015383</t>
  </si>
  <si>
    <t>Camille Corbi
(Marissa LaPorte)</t>
  </si>
  <si>
    <t xml:space="preserve">
Nicor to provide updated loading form and meter size recommendation sent 6/9 (F/U 9/11). </t>
  </si>
  <si>
    <t xml:space="preserve">102M Meter 1508454 at Builders Asphalt needs a low flow meter install to capture the load during low season. the 102M is not capturing usage during low flow. </t>
  </si>
  <si>
    <t>Location: 2526 Pratt Blvd</t>
  </si>
  <si>
    <t>168777007.J.515</t>
  </si>
  <si>
    <t>Y (Nicor 20" TR)
Y (BP Pipeline)</t>
  </si>
  <si>
    <t>Y 5/12</t>
  </si>
  <si>
    <t>Sent 5/7</t>
  </si>
  <si>
    <t>MR1796</t>
  </si>
  <si>
    <t>1210690</t>
  </si>
  <si>
    <t>Pending survey deliverables, expected 1/30/26.</t>
  </si>
  <si>
    <t>Install 700' of 16" STL and 300' of 8" STL main to eliminate metallic short between main and casing. (Pending size/scope confirmation)</t>
  </si>
  <si>
    <t>Within railroad yard &amp; MWRD property.</t>
  </si>
  <si>
    <t>CN RR
CSX RR
IDNR
MWRD</t>
  </si>
  <si>
    <t>168777007.1.306</t>
  </si>
  <si>
    <t>A2723768</t>
  </si>
  <si>
    <t>6/4/2024
7/10/2024
7/22/2025</t>
  </si>
  <si>
    <t>Drafting
(2/x/26)</t>
  </si>
  <si>
    <t>Y (WO 119208)</t>
  </si>
  <si>
    <t>Sent (9/30)</t>
  </si>
  <si>
    <t>Y (9/30)</t>
  </si>
  <si>
    <t>Y (10/18)</t>
  </si>
  <si>
    <t>Yes (1/3)</t>
  </si>
  <si>
    <t>SV Contacts:
KM: Scott Steiner (708) 924-5946
Ingredion: Rich Morgan (708) 906-4688</t>
  </si>
  <si>
    <t>MR2321</t>
  </si>
  <si>
    <t>1215731</t>
  </si>
  <si>
    <t>KH progressing WO drawings;
Pending Survey due 10/1.</t>
  </si>
  <si>
    <t>Replace 570' of 2" steel 1967 main that is above ground and 40' of 8" 1961 steel main at intersection of Cicero/Hollywood behind 17630 Larkin Lane . Main is above ground.</t>
  </si>
  <si>
    <t>Cicero Ave (IL-50) and Hollywood Dr</t>
  </si>
  <si>
    <t>168777007.J.016</t>
  </si>
  <si>
    <t>Sent (8/19)</t>
  </si>
  <si>
    <t>MR2328</t>
  </si>
  <si>
    <t>1215809</t>
  </si>
  <si>
    <t>KH Progressing WO drawings;
Pending Nicor WO form approval due 9/22.</t>
  </si>
  <si>
    <t>Replace Appx 6,000' of 8" STL (60#) main replacement to replace main identified in KYS scoping exhibit.</t>
  </si>
  <si>
    <t>S Cicero Ave (IL-50) &amp; W 73rd St</t>
  </si>
  <si>
    <t>Y (IL-50)</t>
  </si>
  <si>
    <t>168777007.J.200</t>
  </si>
  <si>
    <t>Drafting
(10/20/25)</t>
  </si>
  <si>
    <t>Drafting
(10/24/25)</t>
  </si>
  <si>
    <t>Drafting
(10/29/25)</t>
  </si>
  <si>
    <t>Drafting
(11/7/25)</t>
  </si>
  <si>
    <t>Y Advanced WO MR2330</t>
  </si>
  <si>
    <t>Sent 9/9</t>
  </si>
  <si>
    <t>Sent (9/3/2025)</t>
  </si>
  <si>
    <t>MR3BID74168</t>
  </si>
  <si>
    <t xml:space="preserve">KH completing inital investigation. </t>
  </si>
  <si>
    <t xml:space="preserve">Install 4,400' of 6" PE 25# main, 850' of 4" PE 25# main, and 22,870' of 2" PE 25# main. DIMP MR3 bundle 74168 (Rank 72), 74508 (Rank 104), 74020 (rank 325), and 73652 (rank 371). See Synergi plots uploaded for further details. </t>
  </si>
  <si>
    <t>N Dee Rd &amp; W Sibley St</t>
  </si>
  <si>
    <t xml:space="preserve">168777007.J.306 </t>
  </si>
  <si>
    <t>MR2345</t>
  </si>
  <si>
    <t>Replacing 900' of 2" steel main to eliminate several leak points on the main. Atlas page B12051C - 8/26/2025 is the compliance date (PAST DUE)</t>
  </si>
  <si>
    <t xml:space="preserve">168777007.J.017 </t>
  </si>
  <si>
    <t>MR2339</t>
  </si>
  <si>
    <t>Request to replace leaking 12" geared plug valve.  There is a main replacement project pending in this area as well 1212279 (BS550-2, assigned to Kimley-Horn).  Attempts to grease were unsuccessful.</t>
  </si>
  <si>
    <t>National St &amp; Hendee St</t>
  </si>
  <si>
    <t>DOT PROJECTS (2025-0909)</t>
  </si>
  <si>
    <t>Project Information</t>
  </si>
  <si>
    <t>Nicor Coordination</t>
  </si>
  <si>
    <t>Project Scope / Location</t>
  </si>
  <si>
    <t>Project Owner</t>
  </si>
  <si>
    <t>SOW to DOT</t>
  </si>
  <si>
    <t>SPO Docs Saved</t>
  </si>
  <si>
    <t>Running Line Review</t>
  </si>
  <si>
    <t>BL to 3rd Party</t>
  </si>
  <si>
    <t>BL From 3rd Party</t>
  </si>
  <si>
    <t>Design to 3rd Party</t>
  </si>
  <si>
    <t>Design From 3rd Party</t>
  </si>
  <si>
    <t>LG Drawing</t>
  </si>
  <si>
    <t>Send Out RR</t>
  </si>
  <si>
    <t>Absolute Latest RR</t>
  </si>
  <si>
    <t>DOT Contact</t>
  </si>
  <si>
    <t>Contact Made</t>
  </si>
  <si>
    <t>Agency Project No.</t>
  </si>
  <si>
    <t>DOT Letting Date</t>
  </si>
  <si>
    <t>DOT Const. Date</t>
  </si>
  <si>
    <t>Plan Phase</t>
  </si>
  <si>
    <t>CAD Files Received</t>
  </si>
  <si>
    <t>DOT Notes</t>
  </si>
  <si>
    <t>Real Estate Received</t>
  </si>
  <si>
    <t>Env. Received</t>
  </si>
  <si>
    <t>Reimbursable</t>
  </si>
  <si>
    <t>DIMP Leak Request</t>
  </si>
  <si>
    <t>Nicor SP &amp; F</t>
  </si>
  <si>
    <t>Preliminary Cost Estimate</t>
  </si>
  <si>
    <t>True Invoice Date</t>
  </si>
  <si>
    <t>Potential Invoice Date</t>
  </si>
  <si>
    <t>SC24323</t>
  </si>
  <si>
    <t>Detailed Analysis (DOT)</t>
  </si>
  <si>
    <t>Pending Pre-Final plans, anticipated in October 2025. (F/U 9/3)</t>
  </si>
  <si>
    <t>~2,050’ of roadway reconstruction and drainage improvements
Gougar Road</t>
  </si>
  <si>
    <t xml:space="preserve">168777007.M.047 </t>
  </si>
  <si>
    <t>Benjamin Fox
Consultant Project Manager
pm3@willcountyillinois.com
Main: 815-727-8476, Direct: 815-774-6300</t>
  </si>
  <si>
    <t>23-00154-20-PV</t>
  </si>
  <si>
    <t>4/1/2027</t>
  </si>
  <si>
    <t>7/1/2027</t>
  </si>
  <si>
    <t>Preliminary (60%)</t>
  </si>
  <si>
    <t>Y, 
Nicor TR
Wolverine 16"</t>
  </si>
  <si>
    <t>Y (1/9)</t>
  </si>
  <si>
    <t>Assigned - HLR (6/18 - holding until scope is confirmed)</t>
  </si>
  <si>
    <t xml:space="preserve">TBD  </t>
  </si>
  <si>
    <t>SC25268</t>
  </si>
  <si>
    <t>~3,800’ of 2"STL, 4" STL and 12" STL in potential conflict with proposed drainage improvements and grade cuts.
Along Gougar Road, US Route 30, and Francis Road.</t>
  </si>
  <si>
    <t>Hickory Creek/Metra RR</t>
  </si>
  <si>
    <t>168777007.M.044</t>
  </si>
  <si>
    <t>19-00154-18-PV</t>
  </si>
  <si>
    <t>4/1/2028</t>
  </si>
  <si>
    <t>7/1/2028</t>
  </si>
  <si>
    <t xml:space="preserve">Preliminary </t>
  </si>
  <si>
    <t>Y (11/26)</t>
  </si>
  <si>
    <t>Y (12/20)</t>
  </si>
  <si>
    <t>N14644</t>
  </si>
  <si>
    <t>Pending Pre-Final plans, anticipated July 2026. (F/U 9/3)</t>
  </si>
  <si>
    <t>~50’ of 1-1/4” STL, ~200’ of 2” STL, ~2,675’ of 6” STL, &amp; ~200’ of 8” STL in potential conflict with proposed roadway reconstruction improvements.
North of Merchantile Ct &amp; Wheeling Rd</t>
  </si>
  <si>
    <t>Village of Wheeling</t>
  </si>
  <si>
    <t>168777007.D.131</t>
  </si>
  <si>
    <t>Johnathan Morris
Roadway Engineer I
773-355-2955
jmorris@ciorba.com</t>
  </si>
  <si>
    <t xml:space="preserve">TBD </t>
  </si>
  <si>
    <t>Early 2027</t>
  </si>
  <si>
    <t>Y, Northshore Transmission</t>
  </si>
  <si>
    <t>Y (1/23/2025)</t>
  </si>
  <si>
    <t xml:space="preserve">N/A </t>
  </si>
  <si>
    <t>Y (11/30)
1 active leak</t>
  </si>
  <si>
    <t>SC25957</t>
  </si>
  <si>
    <t>1415232</t>
  </si>
  <si>
    <t>Camille Corbi
(Caroline Kulach)</t>
  </si>
  <si>
    <t xml:space="preserve">~300' of 4" STL MOP service in potential conflict with proposed  Biodiesel plant for Incobrasa. </t>
  </si>
  <si>
    <t xml:space="preserve">168777007.M.062 </t>
  </si>
  <si>
    <t>Kerry Fogarty
Project Manager
Kerry_Fogarty@incobrasa.com</t>
  </si>
  <si>
    <t>Y 4/7</t>
  </si>
  <si>
    <t>Sent 4/8/2025</t>
  </si>
  <si>
    <t>N17936</t>
  </si>
  <si>
    <t>1215754</t>
  </si>
  <si>
    <t>Camille Corbi
(Matt Hopkins)</t>
  </si>
  <si>
    <t>~200' of 12" STL &amp; ~60' of 4" STL main in conflict with proposed mast arm foundation posts. 
Euclid Ave &amp; Wilke Rd</t>
  </si>
  <si>
    <t>Village of Arlington Heights</t>
  </si>
  <si>
    <t>Arlington Heights, Rolling Meadows</t>
  </si>
  <si>
    <t>Palatine, Wheeling</t>
  </si>
  <si>
    <t>168777007.M.080</t>
  </si>
  <si>
    <t>Mark B. Thomas, P.E.
Christopher B. Burke Engineering, Ltd.
mthomas@cbbel.com
(847) 823-0500</t>
  </si>
  <si>
    <t>11/7/2025</t>
  </si>
  <si>
    <t>March/April 2026</t>
  </si>
  <si>
    <t xml:space="preserve">Pre-Final </t>
  </si>
  <si>
    <t>Y (9/11)</t>
  </si>
  <si>
    <t>M12594</t>
  </si>
  <si>
    <t>1215629</t>
  </si>
  <si>
    <t>Caroline Kulach</t>
  </si>
  <si>
    <t xml:space="preserve">
KH finalizing WO drawings based off preliminary UCM;
Pending final response from DOT on UCM provided on 4/4. (F/U 9/9)</t>
  </si>
  <si>
    <t>~400' of 4" STL being relocated due to conflicts with proposed grade cuts and subgrade improvements.
Melvina Ave</t>
  </si>
  <si>
    <t>168777007.M.054</t>
  </si>
  <si>
    <t>Pending Final UCM before updating DOT</t>
  </si>
  <si>
    <t>27/30/2025</t>
  </si>
  <si>
    <t>Drafting
7/16/2025</t>
  </si>
  <si>
    <t>Drafting
7/29/2025</t>
  </si>
  <si>
    <t>Drafting
8/5/2025</t>
  </si>
  <si>
    <t>Drafting
8/12/2025</t>
  </si>
  <si>
    <t>Maciej Konczewski
Project Engineer - Thomas Engineering
mobile: 847.636.7217
maciejk@thomas-engineering.com</t>
  </si>
  <si>
    <t>1/1/2026</t>
  </si>
  <si>
    <t>1/8/2026</t>
  </si>
  <si>
    <t>Pre-Final</t>
  </si>
  <si>
    <t>Y (3/13)</t>
  </si>
  <si>
    <t>Y (5/21)</t>
  </si>
  <si>
    <t>7/21 (size for size)</t>
  </si>
  <si>
    <t>SC25745</t>
  </si>
  <si>
    <t>1215541</t>
  </si>
  <si>
    <t>FORD HEIGHTS</t>
  </si>
  <si>
    <t>~1,150' of 2" main being relocated due to conflicts with proposed sidewalk improvements as well as shallow main conditions.
12th St &amp; Berkeley Ave</t>
  </si>
  <si>
    <t>Village of Ford Heights</t>
  </si>
  <si>
    <t>Ford Heights</t>
  </si>
  <si>
    <t>168777007.M.064</t>
  </si>
  <si>
    <t>Drafting 6/17/2025</t>
  </si>
  <si>
    <t>Emily Eng
Antero Group
Direct: 312-731-8435
Email: eeng@anterogroup.com</t>
  </si>
  <si>
    <t>4/24/2026</t>
  </si>
  <si>
    <t>Y (4/24)</t>
  </si>
  <si>
    <t>Y (5/12)</t>
  </si>
  <si>
    <t>7/29 (abondon main and size for size)</t>
  </si>
  <si>
    <t>N19472</t>
  </si>
  <si>
    <t>~150' of 6" &amp; 2,550' of 8" main being relocated due to conflicts with proposed bike lane improvements as well as shallow main conditions.
County Farm Road</t>
  </si>
  <si>
    <t xml:space="preserve"> DuPage</t>
  </si>
  <si>
    <t>Hanover Park &amp; Bartlett</t>
  </si>
  <si>
    <t>168777007.M.057</t>
  </si>
  <si>
    <t>Benjamin J. Belgrave
Staff Engineer – Transportation
Direct: 815-759-8311
Email: benjamin.belgrave@hrgreen.com</t>
  </si>
  <si>
    <t>61L46</t>
  </si>
  <si>
    <t>9/19/25</t>
  </si>
  <si>
    <t>10/17/25</t>
  </si>
  <si>
    <t>Y (3/25)</t>
  </si>
  <si>
    <t>7/15 - Upsize to 8" except for 6" on Arlington</t>
  </si>
  <si>
    <t>POTHOLE</t>
  </si>
  <si>
    <t>HELIX</t>
  </si>
  <si>
    <t>N17925</t>
  </si>
  <si>
    <t>1215678</t>
  </si>
  <si>
    <t>300’ of 2”, 4” STL in potential conflict with proposed stream reroute and 8” STL MOP in potential conflict with proposed box culvert. 
Location 1: Intersection of IL 53 &amp; US RTE 20
Location 2: W Higgins Road and IL-72</t>
  </si>
  <si>
    <t>(Pingree Grove), Village of Hoffman Estates</t>
  </si>
  <si>
    <t>Bloomingdale, Addison</t>
  </si>
  <si>
    <t xml:space="preserve">UP RR in proximity </t>
  </si>
  <si>
    <t>168777007.D.115</t>
  </si>
  <si>
    <t>Mohammed Farooq
IDOT Area Utility Coordinator - Multiple Region
847-705-4258
Mohammed.Farooq@illinois.gov</t>
  </si>
  <si>
    <t>62V08</t>
  </si>
  <si>
    <t>11/07/2025</t>
  </si>
  <si>
    <t>45 Days After</t>
  </si>
  <si>
    <t>No DOT notes for this project.</t>
  </si>
  <si>
    <t>Y
FOR PL</t>
  </si>
  <si>
    <t>Y (10/10)</t>
  </si>
  <si>
    <t>Y (11/3)</t>
  </si>
  <si>
    <t>N - Per Nicor Coord</t>
  </si>
  <si>
    <t>Y (1/12/24)</t>
  </si>
  <si>
    <t xml:space="preserve">Y (10/9)
3 active leaks </t>
  </si>
  <si>
    <t>Y (8/1)</t>
  </si>
  <si>
    <t>SC26438</t>
  </si>
  <si>
    <t>Scope: 70' of 2" PE, 140' of 4" PE, 370' of 2" STL, and 70' of 8" STL potentially in conflict with proposed storm sewer and inlet work to be done
Location: ILL 9: W. Mulberry St. to Center St.; US 150: W. Center St. to W. Locust St.</t>
  </si>
  <si>
    <t>IDOT D5</t>
  </si>
  <si>
    <t>168777007.M.083</t>
  </si>
  <si>
    <t>Rafael Monjardin
State of Illinois Department of Transportation
E-Mail: rafael.monjardin@illinois.gov</t>
  </si>
  <si>
    <t>70F19</t>
  </si>
  <si>
    <t>November 2025</t>
  </si>
  <si>
    <t>Spring 2026</t>
  </si>
  <si>
    <t xml:space="preserve">Final </t>
  </si>
  <si>
    <t>SC25188</t>
  </si>
  <si>
    <t>1415542</t>
  </si>
  <si>
    <t>Ethan Ekstrom</t>
  </si>
  <si>
    <t>~1,000' of existing 2" PE and 2" &amp; 8" STL being relocated due to proposed drainage improvements.
DOT Scope: Proposed sewer separation.
Location: Alexander Rd and Canada Ln</t>
  </si>
  <si>
    <t>Bloomington Normal Water Reclamation District</t>
  </si>
  <si>
    <t>168777007.M.068</t>
  </si>
  <si>
    <t>Lin Yang
Farnsworth Group
lyang@F-W.com
(309)-429-6400</t>
  </si>
  <si>
    <t>4/1/2026</t>
  </si>
  <si>
    <t>6/1/2026</t>
  </si>
  <si>
    <t>Work will begin west near Goose Creek/Alexander Road and will continue to lay to the east towards railroad tracks.  Work in the conflict area will be approximately 33% into the construction schedule.</t>
  </si>
  <si>
    <t>Y (5/1)</t>
  </si>
  <si>
    <t>Y (5/22)</t>
  </si>
  <si>
    <t>Y (6/13)</t>
  </si>
  <si>
    <t>SC25188-1</t>
  </si>
  <si>
    <t>1415764</t>
  </si>
  <si>
    <t>168777007.M.082</t>
  </si>
  <si>
    <t>SC23981</t>
  </si>
  <si>
    <t>1414114</t>
  </si>
  <si>
    <t>WHEATLAND TWP</t>
  </si>
  <si>
    <t xml:space="preserve">Nicor to coordinate with developer on reimbursable cost estimate for protection around vault, sent 9/8. </t>
  </si>
  <si>
    <t>~100' of 4", 6" STL, and vault in conflict with proposed roadway widening for Polo Club development. Vault #4201330 needs to be relocated per site visit on 2/6.
Along 119th St from IL-59 to Aero Dr.</t>
  </si>
  <si>
    <t xml:space="preserve">Plainfield </t>
  </si>
  <si>
    <t>Wheatland</t>
  </si>
  <si>
    <t>168777007.M.017</t>
  </si>
  <si>
    <t>Anna Leja
Division Manager
602-224-5085
Anna.leja@dusaz.com</t>
  </si>
  <si>
    <t>Summer 2024</t>
  </si>
  <si>
    <t>Y - ONEOK NGL</t>
  </si>
  <si>
    <t>Y (7/1/24)</t>
  </si>
  <si>
    <t>Y(4/21)</t>
  </si>
  <si>
    <t>Y (TBD on partial or full)</t>
  </si>
  <si>
    <t>Y (10/22/24)</t>
  </si>
  <si>
    <t>Y (Locates)</t>
  </si>
  <si>
    <t>Helix</t>
  </si>
  <si>
    <t>SC26238</t>
  </si>
  <si>
    <t>Scoping call scheduled for 9/23.</t>
  </si>
  <si>
    <t xml:space="preserve">~700' of 4" MOP main in potential conflict with mining operations. Quarry will be blasting and excavating within 50' of the main.
Intersection of E 1200 N Rd and N 1600 E RD. </t>
  </si>
  <si>
    <t>Livingston Stone</t>
  </si>
  <si>
    <t>Pontiac</t>
  </si>
  <si>
    <t>168777007.M.076</t>
  </si>
  <si>
    <t>Chris Matich
livingstonstone@maxwire.net
815-830-9731</t>
  </si>
  <si>
    <t>Private developer. Livingston Stone Co. Active mining site. Project is to expand mining operations to previously unmined land.</t>
  </si>
  <si>
    <t>M15984</t>
  </si>
  <si>
    <t>BERWYN</t>
  </si>
  <si>
    <t>Pending response from DOT on UCM provided on 6/20. (F/U 9/16)</t>
  </si>
  <si>
    <t>~200’ of 2” PE in potential conflict with traffic mast arm foundation &amp; direct conflict with proposed storm sewer improvements
16th St (South Harlem Ave to Lombard Ave)</t>
  </si>
  <si>
    <t>City of Berwyn</t>
  </si>
  <si>
    <t>Berwyn</t>
  </si>
  <si>
    <t>168777007.M.072</t>
  </si>
  <si>
    <t>Internal</t>
  </si>
  <si>
    <t>Michael Vasak, PE
847-478-9700
mvasak@gha-engineers.com</t>
  </si>
  <si>
    <t>61L54</t>
  </si>
  <si>
    <t>January 2026</t>
  </si>
  <si>
    <t>Existing gas main bored through strom sewers discovered.</t>
  </si>
  <si>
    <t>Y (5/16)</t>
  </si>
  <si>
    <t>Y (6/17)</t>
  </si>
  <si>
    <t>M16521</t>
  </si>
  <si>
    <t>Pending Pre-Final Plans, anticipated November 2025. (F/U 8/26)</t>
  </si>
  <si>
    <t>~500'-20" STL TR &amp; 1000' of 4" PE in potential conflict with curb/gutter/concrete work/multi use path
York Road;Gateway Rd to Supreme
Contract N19-B; I-24-XXXX</t>
  </si>
  <si>
    <t>Illinois Tollway</t>
  </si>
  <si>
    <t>Dupage
Cook</t>
  </si>
  <si>
    <t>168777007.M.063</t>
  </si>
  <si>
    <t>Courtney Naumes
Utility Project Manager tollway
331-688-2760
cnaumes@getipass.com</t>
  </si>
  <si>
    <t>N19-B; I-24-XXXX</t>
  </si>
  <si>
    <t>Preliminary</t>
  </si>
  <si>
    <t>*Coordinate with ISTHA project N19-A N16379, if needed
*review WO 119758 previously constructed for additional details if needed on the 2017 20" installation</t>
  </si>
  <si>
    <t>NICOR TR</t>
  </si>
  <si>
    <t>Y (4/23)</t>
  </si>
  <si>
    <t>Sent 4/14</t>
  </si>
  <si>
    <t>Y (N16379)</t>
  </si>
  <si>
    <t>N19953-1</t>
  </si>
  <si>
    <t>Matt Hopkins / Nick Watt</t>
  </si>
  <si>
    <t xml:space="preserve">
Pending potholes from the developer (N19953-1), requested 6/23. (F/U 9/15)</t>
  </si>
  <si>
    <t>350' of 6" STL relocation in potential conflict w/ proposed demolition for future Data Center</t>
  </si>
  <si>
    <t>TA Reality</t>
  </si>
  <si>
    <t>168777007.M.084</t>
  </si>
  <si>
    <t>Jennifer Lesatz
Supervisor- Project Management
Davey Utilities Services, Inc.
Phone: (630) 697-4231
Jennifer.lesatz@daveyutility.com</t>
  </si>
  <si>
    <t>N/A - Private Development</t>
  </si>
  <si>
    <t>Potential Conflict with 6" STL along Elmhurst Rd</t>
  </si>
  <si>
    <t>Y (NICOR TR)</t>
  </si>
  <si>
    <t>Y(6/3)</t>
  </si>
  <si>
    <t>Y (6/18)</t>
  </si>
  <si>
    <t>Sent 8/11/2025 (F/U 8/26, 9/4)</t>
  </si>
  <si>
    <t>N19953</t>
  </si>
  <si>
    <t>1215725</t>
  </si>
  <si>
    <t>Region Review due EOD 9/12, pending System Planning.</t>
  </si>
  <si>
    <t>900’ of 4” STL retirement, 3,950’ of 6” STL retirement in conflict w/ proposed demolition for future Data Center</t>
  </si>
  <si>
    <t>168777007.M.075</t>
  </si>
  <si>
    <t>Drafing
8/7/2025</t>
  </si>
  <si>
    <t>Drafting 8/14/2025</t>
  </si>
  <si>
    <t>Drafting 8/20/2025</t>
  </si>
  <si>
    <t>Drafting 8/27/2025</t>
  </si>
  <si>
    <t>6/1/2025 (Start)
11/1/2025 (End)</t>
  </si>
  <si>
    <t>Nicor gas main requested to be retired by November 2025 along Colye Ave</t>
  </si>
  <si>
    <t>N20224</t>
  </si>
  <si>
    <t>50’ of 2” STL, 200’ of 4” STL, 150” of 8” STL MOP, and 100’ of 12” STL MOP in potential conflict with proposed grade cuts, proposed pedestrian poles, and electrical conduits.
IL-25 (St Charles St) Bluff City Blvd to 0.4 Miles N of Stearns Rd</t>
  </si>
  <si>
    <t>Village of Elgin</t>
  </si>
  <si>
    <t>168777007.M.081</t>
  </si>
  <si>
    <t>Mohammed E Farooq 
IDOT Area Utility Coordinator
Atlas Engineering Group, Ltd.
Mohammed.Farooq@Illinois.gov
847-705-4258</t>
  </si>
  <si>
    <t>62K78</t>
  </si>
  <si>
    <t>9/19/2025</t>
  </si>
  <si>
    <t>1-2 Months After</t>
  </si>
  <si>
    <t>Y (8/26)</t>
  </si>
  <si>
    <t>SC20310</t>
  </si>
  <si>
    <t>Pending Pre-Final plans, with no anticipated date provided. (F/U 9/4);
Locates provided to DOT 1/18/23.</t>
  </si>
  <si>
    <t>100’ of 4” MOP main in conflict with proposed box culvert.
U.S. Route 52 &amp; Pleasant Lane.</t>
  </si>
  <si>
    <t>Mission</t>
  </si>
  <si>
    <t>168777007.D.032</t>
  </si>
  <si>
    <t>Jeffery Cimei, PE, PLS
Project Support Engineer
I.D.O.T. – District 3        
Office 815-434-8453</t>
  </si>
  <si>
    <t>66N24</t>
  </si>
  <si>
    <t>TBD, calendar year 2025</t>
  </si>
  <si>
    <t>Y (12/28)</t>
  </si>
  <si>
    <t>Y (1/11)</t>
  </si>
  <si>
    <t>Y (4/19)</t>
  </si>
  <si>
    <t>Y (1/3)
No active leaks found</t>
  </si>
  <si>
    <t>N17141</t>
  </si>
  <si>
    <t>1215063</t>
  </si>
  <si>
    <t>Pending reimbursable confirmation from Nicor prior to progressing WO drawings, sent 9/3.
Nicor pending reimbursable confirmation from developer sent on 9/4 (F/U 9/17).</t>
  </si>
  <si>
    <t xml:space="preserve">~20’ of 6” PE and  300' of 12” STL in conflict with proposed drainage improvements and grade cuts. Reimbursable costs are being coordinate with Nicor and devleoper. </t>
  </si>
  <si>
    <t>168777007.D.100</t>
  </si>
  <si>
    <t>Tiffany Bedoya
Senior Project Manager
773-664-2318
Tiffany.bedoya@daveyutility.com</t>
  </si>
  <si>
    <t>9252GC02</t>
  </si>
  <si>
    <t>Summer 2025</t>
  </si>
  <si>
    <t>Project is on hold pending land negotiations, per Utility Coordinator.</t>
  </si>
  <si>
    <t>Y (7/21/24)</t>
  </si>
  <si>
    <t>Y (8/3/24)</t>
  </si>
  <si>
    <t>Y (1/22/24)</t>
  </si>
  <si>
    <t>Y (7/19)
No active leaks found</t>
  </si>
  <si>
    <t>N13882</t>
  </si>
  <si>
    <t>UCM anticipated to be provided to DOT by 09/29.</t>
  </si>
  <si>
    <t>~1500' of 2" PE,~6500' of 4" PE, ~1500' of 6"PE in potential conflict with proposed drainage, grading sidewalk and roadway widening imrpovements; Adjacent to NBA1942624 &amp; N13363
IL 176 and IL 60/83.</t>
  </si>
  <si>
    <t xml:space="preserve"> 168777007.D.006</t>
  </si>
  <si>
    <t>Paul L. Pence
Area Utilities Coordinator - District 1/Region 1
(O) 847-705-4436, (M) 847-721-1425
Paul.Pence@illinois.gov</t>
  </si>
  <si>
    <t>62L35</t>
  </si>
  <si>
    <t>1/16/2026</t>
  </si>
  <si>
    <t>DOT is intending on splitting project into two projects, west of Midlothian and east of Midlothian.</t>
  </si>
  <si>
    <t>Y (10/15)</t>
  </si>
  <si>
    <t>Y (11/10)</t>
  </si>
  <si>
    <t>Y (10/16)
DIMP recommended projects in area</t>
  </si>
  <si>
    <t>Size for size (Received 10/16/20, follow up for confirmation)</t>
  </si>
  <si>
    <t>N16723</t>
  </si>
  <si>
    <t>Pending Preliminary drawings from DOT, anticipated Fall 2025. (F/U 8/26);
Pre-final plans anticipated July 2026.</t>
  </si>
  <si>
    <t>~30000' of 18" MOP/2" main in potential conflict with road widening, grade cuts and sewers.
Old McHenry Rd and Fairfield Rd</t>
  </si>
  <si>
    <t>Hawthorn Woods, Lake Zurich</t>
  </si>
  <si>
    <t>Ela</t>
  </si>
  <si>
    <t>168777007.E.097</t>
  </si>
  <si>
    <t>Dan Zeman
HBK Engineering, LLC
C: 630.674.0142 W: 312.432.0076
adangelo@hbkengineering.com</t>
  </si>
  <si>
    <t>P401200017</t>
  </si>
  <si>
    <t>July 2027</t>
  </si>
  <si>
    <t>Fall 2027</t>
  </si>
  <si>
    <t xml:space="preserve">Project being split into multiple bid packages eventually. </t>
  </si>
  <si>
    <t>Y (4/11)</t>
  </si>
  <si>
    <t>SENT (4/6); F/U 4/19, 6/5</t>
  </si>
  <si>
    <t>Y (4/6)
No active leaks found</t>
  </si>
  <si>
    <t>N14920</t>
  </si>
  <si>
    <t>1215831</t>
  </si>
  <si>
    <t xml:space="preserve"> ~750’ of 2” PE, 50’ of 2” STL, 50’ of 4” PE, 850’ of 4” STL in conflict with proposed roadway reconstruction and drainage improvements.
Kreutzer Rd (from Illinois RTE 47 to Haligus Rd)</t>
  </si>
  <si>
    <t>IDOT Local Roads</t>
  </si>
  <si>
    <t>168777007.M.079</t>
  </si>
  <si>
    <t>Jessica Jezierny
Christopher B. Burke Engineering, Ltd.
jjezierny@cbbel.com
847-823-0500</t>
  </si>
  <si>
    <t>61L48</t>
  </si>
  <si>
    <t>Minimal adjustments can be made to avoid conflict.</t>
  </si>
  <si>
    <t>Y (7/8)</t>
  </si>
  <si>
    <t>Y (7/14)</t>
  </si>
  <si>
    <t>Sent (09/15)</t>
  </si>
  <si>
    <t>Sent 9/15</t>
  </si>
  <si>
    <t>M12980</t>
  </si>
  <si>
    <t>1212834</t>
  </si>
  <si>
    <t>LAGRANGE PARK</t>
  </si>
  <si>
    <t>KH progressing WO drawings. 
Nicor TR to provide response on clearance requirements regarding 30" main (9/15).</t>
  </si>
  <si>
    <t>2000’ of 2” PE and 2” STL in conflict w/ proposed storm impr. ~100' of 30" MOP (Transmission) main in potential conflict with Force Main.
Homestead Rd from Salt Creek to Oak Ave</t>
  </si>
  <si>
    <t>Village of LaGrange Park</t>
  </si>
  <si>
    <t>LaGrange Park</t>
  </si>
  <si>
    <t>168777007.D.081</t>
  </si>
  <si>
    <t>Mark W. Volk, P.E.
Edwin Hancock Engineering Co.
mwvolk@ehancock.com
708-865-0300</t>
  </si>
  <si>
    <t>520-21-16401</t>
  </si>
  <si>
    <t>End of Year</t>
  </si>
  <si>
    <t>Village sponsored project, MWRD is reviewing. Not considered reimbursable.</t>
  </si>
  <si>
    <t>Y (5/23)</t>
  </si>
  <si>
    <t>Y (6/5)</t>
  </si>
  <si>
    <t>Y (5/24)
Active leaks. See correspondence</t>
  </si>
  <si>
    <t>Y (Potholes)</t>
  </si>
  <si>
    <t>ken</t>
  </si>
  <si>
    <t>N16744</t>
  </si>
  <si>
    <t>1214571</t>
  </si>
  <si>
    <t>KH finalizing WO drawings;
Pending Updated Pre-final plans from IDOT, no date provided (F/U 9/16).
Nicor to confirm first stage regulator retirement and separating valve, sent 6/18. (F/U 9/4)</t>
  </si>
  <si>
    <t>2,500' of 2" PE, 2,500' of 2" STL, 1,800' of 4" PE, 1,000' of 6" PE, 500' of 6" STL, 500' of 2" MOP, 150' of 4" MOP, and 21,000' of 8" MOP main being relocated due to conflict with proposed roadway reconstruction, drainage improvements, traffic signal modernization, sidewalk/multi-use path construction, municipal sanitary, and municipal water improvements along IL-31 from IL-176 to Bull Valley Rd in Crystal Lake, Prairie Grove, McHenry, and Unincorporated McHenry Co.</t>
  </si>
  <si>
    <t>Crystal Lake, McHenry, Prarie Grove</t>
  </si>
  <si>
    <t>168777007.N.000</t>
  </si>
  <si>
    <t>Paul Pence
Area Utility Coordinator - IDOT
Paul.Pence@illinois.gov
847-705-4436</t>
  </si>
  <si>
    <t>62K69</t>
  </si>
  <si>
    <t>PF Plans revised after project initiated</t>
  </si>
  <si>
    <t>NICOR 36" TR, ENBRIDGE ENERGY, NATURAL GAS PIPELINE CO OF AMERICA</t>
  </si>
  <si>
    <t>Y (8/2/2024)</t>
  </si>
  <si>
    <t>Y (9/12/2024)</t>
  </si>
  <si>
    <t>Y (11/7/2024)</t>
  </si>
  <si>
    <t>Y (See email) 7/7/2025</t>
  </si>
  <si>
    <t>Millennia (potholes)
Helix (Survey)</t>
  </si>
  <si>
    <t>SC18317</t>
  </si>
  <si>
    <t>TROY</t>
  </si>
  <si>
    <t>Pending Phase 2 plans, no schedule provided. (F/U 9/4)</t>
  </si>
  <si>
    <t>2,500’ of proposed roadway construction and bridge replacement.
Shepley Rd over DuPage River (18-18105-03-BR)</t>
  </si>
  <si>
    <t>Channahon</t>
  </si>
  <si>
    <t>168777000.D.014</t>
  </si>
  <si>
    <t>Douglas C. Brunot, P.E., Willett Hofmann &amp; Associates Inc.; (779) 234-9077; dbrunot@willetthofmann.com</t>
  </si>
  <si>
    <t>JJ57(670)</t>
  </si>
  <si>
    <t>8/7/2026</t>
  </si>
  <si>
    <t>10/1/2026</t>
  </si>
  <si>
    <t>DOT is still working on Phase 1 approval.</t>
  </si>
  <si>
    <t>Y(5/10)</t>
  </si>
  <si>
    <t>Y (7/28)</t>
  </si>
  <si>
    <t>Y (5/5)
No active leaks found</t>
  </si>
  <si>
    <t>TBD (soil bores)</t>
  </si>
  <si>
    <t>Pending scope</t>
  </si>
  <si>
    <t>SC25777</t>
  </si>
  <si>
    <t>1315433</t>
  </si>
  <si>
    <t>~2,500' of 2" main being relocated due to proposed alleyway improvements. 
Alley between S Hudson St and S Washington St from W Quincy St to 55th St</t>
  </si>
  <si>
    <t>Westmount</t>
  </si>
  <si>
    <t>168777007.M.066</t>
  </si>
  <si>
    <t>Vince J. Micek, P.E.
Thomas Engineering Group
VinceM@thomas-engineering.com 
(630) 441-3761</t>
  </si>
  <si>
    <t>April 2026</t>
  </si>
  <si>
    <t>PLEASE NOTE: Plans not provided at time of redlines analysis (4/1/25). Relocation scope provided based on previous knowledge of Village of Westmont Alley Reconstruction projects</t>
  </si>
  <si>
    <t>Sent 9/8</t>
  </si>
  <si>
    <t>N19731</t>
  </si>
  <si>
    <t>1215667</t>
  </si>
  <si>
    <t>~400' of 8" main being relocated due to proposed entrance and associated grade cuts. 
 McHenry Drive and IL-173</t>
  </si>
  <si>
    <t>168777007.M.058</t>
  </si>
  <si>
    <t>Drating</t>
  </si>
  <si>
    <t>Christopher D. Dopkins, P.E.
Associate McMahon Engineers and Architects
815-636-9590 x705
CDopkins@mcmgrp.net</t>
  </si>
  <si>
    <t>7/15/2025</t>
  </si>
  <si>
    <t>In the scope of NBA1005440</t>
  </si>
  <si>
    <t>Y (3/28)</t>
  </si>
  <si>
    <t>Y (8/5)</t>
  </si>
  <si>
    <t>N17019</t>
  </si>
  <si>
    <t>1215483</t>
  </si>
  <si>
    <t>Taylor Lierow/Ethan Ekstrom</t>
  </si>
  <si>
    <t>~5,200' of existing 2", 4", and 6" STL being relocated due to proposed drainage, traffic, and roadway reconstruction.
Busse Road – IL 58 (Golf Road) to Central Road</t>
  </si>
  <si>
    <t>168777007.M.034</t>
  </si>
  <si>
    <t>Drafting
4/30/2025</t>
  </si>
  <si>
    <t>Drafting
5/14/2025</t>
  </si>
  <si>
    <t>Josel Reambillo, PE
Project Manager, Benesch, jreambillo@benesch.com
Direct: 630-536-1032, Mobile: 312-890-919</t>
  </si>
  <si>
    <t>Mid 2026</t>
  </si>
  <si>
    <t>Some adjustments can be made to avoid conflict.</t>
  </si>
  <si>
    <t>Y (10/16)</t>
  </si>
  <si>
    <t>Y (10/25)</t>
  </si>
  <si>
    <t>Y (6/25)</t>
  </si>
  <si>
    <t>N18185</t>
  </si>
  <si>
    <t>1215592</t>
  </si>
  <si>
    <t>Taylor Lierow/Michael Molloy</t>
  </si>
  <si>
    <t>KH finalizing WO drawings;
Pending response from DOT on bridge design questions, pipe removal, obtaining potholes, proposed inlet adjustments and proposed ROW, sent 7/15. (F/U 9/10);
KH to follow up with Land on easement feasibility once ROW is confirmed by DOT</t>
  </si>
  <si>
    <t xml:space="preserve">
~2,000' of 2" PE and 8" STL being relocated due to proposed bridge. 
FAP 0336 (Randall Road) at Hopps Road</t>
  </si>
  <si>
    <t>168777007.M.074</t>
  </si>
  <si>
    <t>Drafting
7/9/2025</t>
  </si>
  <si>
    <t>Drafting 
7/23/2025</t>
  </si>
  <si>
    <t>Drafting
TBD</t>
  </si>
  <si>
    <t>PENDING DESIGN</t>
  </si>
  <si>
    <t>Ian Gagnon
Design Engineer HBK Engineering, LLC
Phone: 630.230.3099
E-Mail: igagnon@hbkengineering.com</t>
  </si>
  <si>
    <t>June 2026</t>
  </si>
  <si>
    <t>Fall 2026/Early 2027</t>
  </si>
  <si>
    <t xml:space="preserve">Minimal potential for adjustment of potential conflicts. </t>
  </si>
  <si>
    <t>Y (5/28)</t>
  </si>
  <si>
    <t>Sent 5/30</t>
  </si>
  <si>
    <t>REVISIONS (2025-0909)</t>
  </si>
  <si>
    <t>Updated: 9/15/25</t>
  </si>
  <si>
    <t>Reviewed 9/16 RGC</t>
  </si>
  <si>
    <t>Eng Number</t>
  </si>
  <si>
    <t>Supervising Engineer</t>
  </si>
  <si>
    <t>Date Rev Assigned to Designer</t>
  </si>
  <si>
    <t>Target
Release Date</t>
  </si>
  <si>
    <t>Reason for revision / Scope</t>
  </si>
  <si>
    <t>Rev Code</t>
  </si>
  <si>
    <t>Complete within 7-days?</t>
  </si>
  <si>
    <t>Reason</t>
  </si>
  <si>
    <t>NSI?</t>
  </si>
  <si>
    <t>KH Project Number</t>
  </si>
  <si>
    <t>Monthly Writeup</t>
  </si>
  <si>
    <t>ITD Effort</t>
  </si>
  <si>
    <t>Updated Work Plan</t>
  </si>
  <si>
    <t>Effort Reported to Nicor</t>
  </si>
  <si>
    <t>Month Reported to Nicor</t>
  </si>
  <si>
    <t>COR1059-2/-3</t>
  </si>
  <si>
    <t>1214914/1214914</t>
  </si>
  <si>
    <t>HAZEL CREST /  FLOSSMOR</t>
  </si>
  <si>
    <t>Caitlin Huettl</t>
  </si>
  <si>
    <t>KH progressing REV1 WO drawings.</t>
  </si>
  <si>
    <t>Revision due to Cook County comments regarding legend updates, curb and gutter B&amp;R limits, existing utility / spotting, and ADA ramp.</t>
  </si>
  <si>
    <t>KH coordinated with Cook County to confirm their revision requests. Nicor is discussing with CCDOTH regarding showing the length of curb break and replace.</t>
  </si>
  <si>
    <t xml:space="preserve">No </t>
  </si>
  <si>
    <t>168777007.H.840</t>
  </si>
  <si>
    <t>Cook County requested limits and quantities of curb and gutter removal, legend updates, ADA detail updates, and additional updates. These updates impacted 5 sheets total. The ADA detail request required multiple design iterations to properly complete CCDOTH’s request for positive drainage within Nicor’s standards, without disturbing a significant amount of the curb and gutter and road. The internal coordination determined how to show the requested updates without increasing the effort and without setting a precedent moving forward. Effort also included the multiple calls Kimley-Horn had with CCDOTH (3) to understand their requests and NOO some of the comments. Per coordination with Engineering, Nicor would like to push back on Cook County's request to show the length of curb break and replace.</t>
  </si>
  <si>
    <t>COR1060</t>
  </si>
  <si>
    <t>Pending preliminary approval from IDOT (sent 9/15).</t>
  </si>
  <si>
    <t xml:space="preserve">Revision due to IDOT comments regarding specific construction materials and methods and a TPM. </t>
  </si>
  <si>
    <t xml:space="preserve">Revion requires coordination with IDOT to confirm construction materials and methods. </t>
  </si>
  <si>
    <t>168777007.H.846</t>
  </si>
  <si>
    <t xml:space="preserve">Revision due to IDOT comments regarding specific construction materials and methods and a TPM. Engineering requested design change to eliminate the PNV at the intersection of S Main St and W River Rd since a future DOT project is overlapping the intersection. The PNV will be installed on adjacent DOT project. </t>
  </si>
  <si>
    <t>MOT / TMP</t>
  </si>
  <si>
    <t xml:space="preserve">Revision due to IDOT request for custom TMP due to lane closure greater than 3 days. </t>
  </si>
  <si>
    <t xml:space="preserve">Revision requires coordination with IDOT and roadway team to complete TMP. </t>
  </si>
  <si>
    <t>168777007.H.842</t>
  </si>
  <si>
    <t>MOT Plan required by IDOT D3 due to request for a Traffic Management Plan due to highway closure for longer than 3 days. Effort includes coordination with IDOT on Traffic Plan, creation of TMP exhibit, and coordinating with ConOps on construction plan. </t>
  </si>
  <si>
    <t>Anticipated October Writeup</t>
  </si>
  <si>
    <t>COR1073</t>
  </si>
  <si>
    <t>KH finalizing REV1 WO drawings for release.</t>
  </si>
  <si>
    <t>Revision due to Cook County comments regarding legend updates, curb and gutter B&amp;R limits, typical CC notes and ADA ramp.</t>
  </si>
  <si>
    <t>KH coordinating revision comments with Cook County.</t>
  </si>
  <si>
    <t>168777007.H.844</t>
  </si>
  <si>
    <t>Union Pacifc railroad requesting that plans be updated to color and color coded based on different linetypes.</t>
  </si>
  <si>
    <t>168777007.K.012</t>
  </si>
  <si>
    <t>KH progressing REV 1 drawings;
Nicor to confirm Engineering preference on Elgin pavement restoration requirements (F/U 9/16).</t>
  </si>
  <si>
    <t>Revision due to Elgin comments to add design related information, add standard MOT details, and update restoration.</t>
  </si>
  <si>
    <t>Pending restoration confirmation from Nicor.</t>
  </si>
  <si>
    <t>168777007.2.030</t>
  </si>
  <si>
    <t xml:space="preserve">Revision due to City of Elgin requiring additional separation distance from existing curb inlets, leading to changes in running line. City of Elgin also required additional information on ADA restoration,  additional City of Elgin standards and standard MOT details. Additional effort is required to coordinate and obtain an approved running line from City of Elgin. Additional effort is required to coordinate with Nicor to respond to Elgin's request for additional restoration outside of the construction area. </t>
  </si>
  <si>
    <t>City of Rockford to provide full set of proposed roadway plans (F/U 9/9).</t>
  </si>
  <si>
    <t>Revision pending full set of proposed roadway plans.</t>
  </si>
  <si>
    <t>Pending full set of proposed roadway plans.</t>
  </si>
  <si>
    <t>168777007.K.011</t>
  </si>
  <si>
    <t>TBD - As of 8.26, pending plans.</t>
  </si>
  <si>
    <t>WO Split</t>
  </si>
  <si>
    <t xml:space="preserve">Pending split WO drawings, revised cost estimate, and upcated bid documents from Shactee, expected 9/30; KH Progressing WO split to include updated WO drawings, PCTS estimate, and bid documents. </t>
  </si>
  <si>
    <t xml:space="preserve">Split requested by PMO for cost management. </t>
  </si>
  <si>
    <t>Schedule priority negotiated with Nicor Engineering. This is a WO split and estimate update on a 2027 project.</t>
  </si>
  <si>
    <t>168777007.K.305</t>
  </si>
  <si>
    <t xml:space="preserve">Effort includes splitting the WO due to PMO request. Tasks will include splitting the WO drawings into three sets to include both WO drawings and the custom MOT &amp; Detour plans. Tasks will also include revising the estimate in PCTS to reflect the split in WO packages, preparing bid documents for Nicor, and thorough review of the split drawing packages. </t>
  </si>
  <si>
    <t>Nicor to confirm path forward on custom MOT requirements to resolve IDOT traffic concerns and restoration (F/U 9/17); 
KH revising WO drawings.</t>
  </si>
  <si>
    <t>Revision due to ISHTA, VOR, and IDOT comments.</t>
  </si>
  <si>
    <t>Potential custom MOT, coordination with ISHTA and IDOT.</t>
  </si>
  <si>
    <t>168777007.K.013</t>
  </si>
  <si>
    <t>Effort includes assessing IDOT traffic concerns for potential MOT, road closure, or detour. Effort also includes development of profile views to address ISHTA comments. Extensive coordination with IDOT and ISHTA is anticipated during this revision effort. Additional effort is required to coordinate expanded restoration requests, custom MOT, and assessment for potential road closure with Nicor Engineering and Con Ops.</t>
  </si>
  <si>
    <t>Camille Corbi
(Randy Castellon)</t>
  </si>
  <si>
    <t>KH finalizing Revision 1 drawings; 
Pending Nicor's confirmation on traffic loop contractor request sent 8/11 (F/U 9/3);
Pending IDOT request to further discuss comments sent 9/3.</t>
  </si>
  <si>
    <t xml:space="preserve">Revision due to Village of Rosemont comments requesting notes, profile views for creek crossings, explanations on running line alignment, and restoration plan. </t>
  </si>
  <si>
    <t>Pending coordination with the Village.</t>
  </si>
  <si>
    <t>168777007.K.304</t>
  </si>
  <si>
    <t>Revision due to comments from the Village of Rosemont to include additional construction notes, a custom MOT plan, creek crossing bore profiles, additional restoration requirements and detector loop replacements. Per coordination with Nicor Engineering and Nicor Con Ops, a revised design was coordinated for the new running line alignment in order to eliminate 2 creek crossings. These updates resulted in design changes on 3 existing sheets, and the addition of 3 drawing sheets. Coordination with the Village was held so KH could negotiate out of a custom restoration plan.</t>
  </si>
  <si>
    <t>MOT</t>
  </si>
  <si>
    <t>Custom MOT submitted to Nicor on 7/15;
pending IDOT detour meeting scheduled for 9/18.</t>
  </si>
  <si>
    <t xml:space="preserve">Revision due to Village of Rosemont comments and request for a custom MOT plan. </t>
  </si>
  <si>
    <t xml:space="preserve">Revison request from the VIllage of Rosemont requested a custom MOT plan be developed due to the heavy congestion in the area and install within roadway. Due to this project being released in 2022, KH has revised processes to catch this in the early design phase. </t>
  </si>
  <si>
    <t>168777007.2.316</t>
  </si>
  <si>
    <t>Village of Rosemont requested a custom MOT plan due to work within the roadway of River Rd. Effort included a review from KH roadway team to confirm a proposed plan. One meeting with the Village and a couple of emails to coordinate where required. The Village requested a custom MOT to be put together prior to granting approval for open cut along River Rd. Further coordination with the Village allowed KH to put together a conceptual write up to the Village of Rosemont outlining the proposed detour route and maintenance of traffic control measure that would be anticipated for Nicor to complete the work along River Rd &amp; Devon Ave. Additional coordination with IDOT and the Village was required due to the proposed detour route. MOT plan is anticipated to be 2 stages and ~18 sheets due to how congested the intersection of Devon Ave &amp; River Rd is.</t>
  </si>
  <si>
    <t xml:space="preserve">KH progressing MOT drawings. </t>
  </si>
  <si>
    <t xml:space="preserve">Village of Rosemont requested a custom MOT plan due to proposed design in the roadway. </t>
  </si>
  <si>
    <t>Custom MOT plan</t>
  </si>
  <si>
    <t>168777007.2.318</t>
  </si>
  <si>
    <t>Village of Rosemont requested a custom MOT plan due to the install along River Rd which consuists of 8" STL in the middle of the roadway.</t>
  </si>
  <si>
    <t xml:space="preserve">
KH finalizing WO drawings for release.  Meeting scheduled for 9/18 to discuss current tie-ins.</t>
  </si>
  <si>
    <t>Revision 1 due to Town of Normal extending limits of construction further west. Nicor Engineering requested to extend WO 1413358 portion further west outside of the new limits of construction. Further coordination was required as adjacent NBA10017524 project was taking place at the same time. Revision 1 was submitted but immediately rejected due to the Rivian not having finalized turn lane plans in the scope of Nicor relocation. Revision 2 is currently pending Nicor As-Built information from Nicor Con-Ops to accurately show past install on current revision, requested as-builts on 9/3.  Nicor Engineering confirmed on 9/16 to proceed with drawing submittal without as-built information to avoid delay to the project.</t>
  </si>
  <si>
    <t>Pending response from the Town of Normal on expansion limits. Additional time required because Engineering requested to loop in System Operations to confirm they were comfortable with expansions and proposed tie-ins. 
Project was pending Town's review sent on 8/9 and was not returned until 9/3.
Project was pending roundabout pre-final plans from Rivian since January of 2025, pre-final plans were returned 8/21.</t>
  </si>
  <si>
    <t>168777007.E.064</t>
  </si>
  <si>
    <t xml:space="preserve">Revision 1 occurred in September 2024 due to Nicor Engineering requested limits of adjacent WO 1413358 be extended farther west due to the Town of Normal extending construction limits farther west. As a result of the adjacent WO 1413358 being extended, WO 1413964 required design updates to make tie-in to adjacent WO feasible. Kimley-Horn coordinated with Nicor System Operations to discuss revised tie-in preferences, per guidance from Nicor Engineering. This resulted in Kimley-Horn updating design, design quantities, bill of materials, test sections, and test data sheets/tables as a result to the revised tie-in locations. Due to adjacent NBA project, the vault needed to be moved to account for Rivian’s development plans and to account for the meter set design. This included multiple meetings with Nicor Engineering, Rivian, Con Ops, and System Operations. Project was released for permit review in January 2024, but KH was shortly after notified that Rivian would be updating their turn lane plans, so Kimley-Horn was asked to continue coordinating with Rivian to wait to finalize these drawings until their turn lane planes were completed. 
Per coordination with Nicor Engineering, and updates would have to be handled as Revision 2 due to plans being reviewed and denied by Town of Normal. In addition to the needing to incorporate finalized turn lane plans, Nicor Engineering also requested Kimley-Horn show the existing meter and service retirement for Rivian’s plant. This resulted in four sheets being added to the work order drawings and updating quantities. Additional coordination with Engineering and Rivian, due to pending roundabout plans at the intersection of US 150 and W College Ave. Multiple following ups with Rivian, to see when plans will be made available. Roundabout plans will impact tie-in design at this intersection and will require additional meetings with Nicor to coordinate and finalize design.
Updated roundabout plans required KH to analyze the exsiting gas main and proposed gas main design to ensure all potential conflicts where addressed. Conflict crossing callouts where added and reviewed, due to revised plans that included drainage changes, subgrade changes, and grading changes. Additionally, further coordination with Nicor Con Ops, Engineering, and Sys Ops was required due to dffering as built information for adjacent NBA project. This required changes to three tie-ins and coordination with Nicor departments due to the multiple WOs in the vincinity. </t>
  </si>
  <si>
    <t>ADA</t>
  </si>
  <si>
    <t>KH finalizing ADA grading plan</t>
  </si>
  <si>
    <t>ADA Ramp broken due to 8" tie-in. DuPage County requiring full grading plan</t>
  </si>
  <si>
    <t>168777007.E.105</t>
  </si>
  <si>
    <t>1614145_1614146_1614148</t>
  </si>
  <si>
    <t>Camille Corbi
(Tom McTigue)</t>
  </si>
  <si>
    <t>KH finalizing Revision 1 WO drawings.</t>
  </si>
  <si>
    <t>Coordiantion due to Nicor's request to revise design near the JAWA TR water main. Survey provided from Stream (customer) differed from the watermain alignment in the field. KH coordianting with the Village and Con Ops to redesign main on Dierking Terrace due to push back from the Village on design options.</t>
  </si>
  <si>
    <t xml:space="preserve">Project was pending cooridnation with the Village on design change. </t>
  </si>
  <si>
    <t>168777007.K.504</t>
  </si>
  <si>
    <t xml:space="preserve">Revision request was due to Con Op's request to gain further clearance from JAWA lift station due to site conditions differing from Customer provided survey. Design was originally agreed and confirmed with Nicor departments in the initial design phase. Requested design change resulted in a site visit, multiple meeting with Nicor Con Ops, Nicor Engineering, and the Village as well as community affairs due to stringent Village ordinance. Total design impact has the potential to be changing 10 design sheets due to method of install.  
Revision also included comments from Cook County. Comments required further meetings with Nicor Con Ops and Engineering due to comments from the county being new and stricter than normal. New comments include not being allowed to bore 12" main within Cook County ROW, specifying the type of curb the contractor is to replace, and a request for a core vac typical section. Per coordination with Nicor Engineering, Nicor would like to push back on the first two comments. Effort is due to multiple meeting with Nicor Engineering and Con Ops (2) and one meeting with Cook County.
</t>
  </si>
  <si>
    <t xml:space="preserve">Revision on hold; 
Pending 60% preliminary plans from LCDOT, anticipated November 2025. </t>
  </si>
  <si>
    <t xml:space="preserve">Revision due to LCDOT comments. </t>
  </si>
  <si>
    <t xml:space="preserve">KH coordinating revision comments with LCDOT. Pending 60% preliminary plans from LCDOT for future highway improvement project (anticipated Sept 2025) to confirm if proposed main and vault will be impacted by DOT work. </t>
  </si>
  <si>
    <t>168777007.H.510</t>
  </si>
  <si>
    <t>Revision due to Lake County DOT comments to revise design at road crossings and change Nicor construction notes to be LCDOT specific. KH coordinating revision requests with LCDOT since crossing recieved preliminary approval from LCDOT in  2023. Revision comments also ask Nicor relocate existing and proposed main for future Lake County Highway improvement project. Highway improvement project is in conceptual stages, letting planned for 2026. Nicor confirmed to hold on the revision until the 60% preliminary plans are ready to review potential conflicts and asess if the vault relocation can occur.</t>
  </si>
  <si>
    <t>VAULT TEMPLATE</t>
  </si>
  <si>
    <t>Jessies Miles</t>
  </si>
  <si>
    <t>KH pending Nicor approval of 4" vault template (f/u 8/26);
Meeting with Nicor for 9/17.</t>
  </si>
  <si>
    <t>Nicor Requested Kimley-Horn to update vault templates for differing layouts.</t>
  </si>
  <si>
    <t>168777007.H.901</t>
  </si>
  <si>
    <t xml:space="preserve">Vault template creation task per Nicor's request. This task is to create templates for the various 2" regulator set ups as well as the 4" regulator set ups. Template includes updated and cleaned up blocks, updated BOM, additional instructions for ease of use, new vault diagram layout, new ERX layout. There where multiple meetings between Nicor and Kimley-Horn to confirm how the template should look and work, as well as review comments from Nicor. </t>
  </si>
  <si>
    <t>ADD</t>
  </si>
  <si>
    <t>KH finalizing service addendum;
KH coordinating with KDOT regarding minimum service main size.</t>
  </si>
  <si>
    <t>Addendum needed to show service transfers per Kane County requirements.</t>
  </si>
  <si>
    <t>This is an addendum to be created with ongoing project RS1218</t>
  </si>
  <si>
    <t>168777007.H.609</t>
  </si>
  <si>
    <t>N14359-1</t>
  </si>
  <si>
    <t>WLA provided to Nicor on 09/11. Pending closeout confirmation.</t>
  </si>
  <si>
    <t xml:space="preserve">WLA due to Village of Barrington altering construction schedule to begin along IL-59, causing potential conflicts with temporary shoofly and existing gas. </t>
  </si>
  <si>
    <t>KH coordinated and provided WLA anlaysis to Nicor to communicate with Nicor. T&amp;M task remained open until confirmation from Nicor to close out it, for potentail additional support needed (9/15).</t>
  </si>
  <si>
    <t>168777007.E.110</t>
  </si>
  <si>
    <t xml:space="preserve">Tom McTigue/ Marissa LaPorte </t>
  </si>
  <si>
    <t xml:space="preserve">KH progressing Revision WO Drawings;
Meeting with Engineering scheduled for 9/17 to go over path foward with DOT. </t>
  </si>
  <si>
    <t xml:space="preserve">Revision due to Nicor request to update the above-ground facility design. Revision will reduce the design to only incorporate a dual regulator run and above-grade bypass. Nicor also requested to re-design the outlet main to avoid conflicts with upcoming DOT project. </t>
  </si>
  <si>
    <t xml:space="preserve">KH coordinating proposed roadway improvements with IDOT. </t>
  </si>
  <si>
    <t>168777007.G.507</t>
  </si>
  <si>
    <t xml:space="preserve">Revision due to Nicor request to update the above-ground facility design. Revision will reduce the design to only incorporate a dual regulator run and above-grade bypass. KH to update the design plans, BOM list, and PCTS estimate to align with the revised specifications. Additionally, this updated project will undergo a review by Engineering and System Ops before final approval and release. </t>
  </si>
  <si>
    <t>80</t>
  </si>
  <si>
    <t>Engineering #</t>
  </si>
  <si>
    <t>Program</t>
  </si>
  <si>
    <t>Work Order</t>
  </si>
  <si>
    <t>Project ID</t>
  </si>
  <si>
    <t>ConOps Contact</t>
  </si>
  <si>
    <t>Item Description</t>
  </si>
  <si>
    <t>Quantity</t>
  </si>
  <si>
    <t>Unit</t>
  </si>
  <si>
    <t>General Notes/Follow Up</t>
  </si>
  <si>
    <t>Shipping Destination</t>
  </si>
  <si>
    <t>Delivery Contact 
(If not ConOps Contact)</t>
  </si>
  <si>
    <t>PR #</t>
  </si>
  <si>
    <t>PR Request Date</t>
  </si>
  <si>
    <t>Requested Delivery Date</t>
  </si>
  <si>
    <t>Purchase Order #</t>
  </si>
  <si>
    <t>PO Issued Date</t>
  </si>
  <si>
    <t>Anticipated Delivery Date</t>
  </si>
  <si>
    <t>Supplier</t>
  </si>
  <si>
    <t>Unit Price</t>
  </si>
  <si>
    <t>Total Price</t>
  </si>
  <si>
    <t>Released to Nicor</t>
  </si>
  <si>
    <t>NGC10007214</t>
  </si>
  <si>
    <t>MCJUNKIN CORP</t>
  </si>
  <si>
    <t>NGC82789-0008</t>
  </si>
  <si>
    <t>TEAM INDUSTRIAL SERVICES INC.</t>
  </si>
  <si>
    <t>12" PIPE X52 CS DC+IC FBE 0.219" WT</t>
  </si>
  <si>
    <t>16" PIPE X52 CS FBE+IC 0.250" WT</t>
  </si>
  <si>
    <t>NGC80533-0023</t>
  </si>
  <si>
    <t>CONSOLIDATED PIPE &amp; SUPPLY CO</t>
  </si>
  <si>
    <t>16" BALL VALVE WxW BURIED w/ 2" SQ. NUT API-6D, ANSI 300</t>
  </si>
  <si>
    <t>NGC10006204</t>
  </si>
  <si>
    <t>CHARBONNEAU INDUSTRIES INC.</t>
  </si>
  <si>
    <t>16" ANSI-300 SPHERICAL 3-WA TEE SIDE OUT STD WALL</t>
  </si>
  <si>
    <t>NGC10005824</t>
  </si>
  <si>
    <t>16"x16"x12" TEE RED CS W 0.250"x0.250"x0.250" WT Y52</t>
  </si>
  <si>
    <t>NGC10005772</t>
  </si>
  <si>
    <t>ALLIED FITTING</t>
  </si>
  <si>
    <t>16" 45 degree elbow LR CS W 0.250" WT Y-52 (segmentable)</t>
  </si>
  <si>
    <t>Released To Nicor</t>
  </si>
  <si>
    <t>NGC10004615</t>
  </si>
  <si>
    <t>8-5/8 od x .219 API 5L X52 DC+ID Coated Steel Pipe ERW, DRL</t>
  </si>
  <si>
    <t>324000 Rockford Depot Rockford, IL 61109</t>
  </si>
  <si>
    <t>NGC80533-0034</t>
  </si>
  <si>
    <t>NGC80533-0071</t>
  </si>
  <si>
    <t>REGULATOR, MONITOR, FLG RAISED FACE ROCKWELL MODEL (441-57S) CAST STEEL BODY, ANSI 300, REDUCED VALVE, 1-3/4" ORIFICE 100% CAPACITY, SET AT 50 TO 75# BLACK SPRING (MONITOR)</t>
  </si>
  <si>
    <t>2"x6" LONG NIPPLE, XS, WPB, TBE, CS, SMLS, MNPT, ASTM, A733, PER B36.10</t>
  </si>
  <si>
    <t>8" RUN x 2" BRANCH, THREAD-O-LET, CL 3000, F.F., A105, MSS SP-97</t>
  </si>
  <si>
    <t>1" THREADED ELBOW, 90 DEGREE, LR, CL 2000, FNPT, F.S., A105, PER B16.11</t>
  </si>
  <si>
    <t>2"x1" THREADED HEX HEAD BUSHING, CL3000, MNPTxFNPT, F.S., A105, PE</t>
  </si>
  <si>
    <t>1" PIPE, 0.133" W.T., GR-B, A106, FBE EXTERNAL COATING, SMLS, CS</t>
  </si>
  <si>
    <t>NGC10007990</t>
  </si>
  <si>
    <t>EDGEN MURRAY CORP</t>
  </si>
  <si>
    <t>Nicor To Order</t>
  </si>
  <si>
    <t>Virginia (Gena) Easley</t>
  </si>
  <si>
    <t>NPL to requisition (Per Conops 12/7/22)</t>
  </si>
  <si>
    <t>Rob Raymond</t>
  </si>
  <si>
    <t>Pedro Pirez</t>
  </si>
  <si>
    <t>Alejandro D Estevez Rizo</t>
  </si>
  <si>
    <t>NGC10007835</t>
  </si>
  <si>
    <t>PR Submitted</t>
  </si>
  <si>
    <t>Antonio Cabezas</t>
  </si>
  <si>
    <t xml:space="preserve">PR/PO Cancelled by Nicor </t>
  </si>
  <si>
    <t>Somtochukwu Okoye</t>
  </si>
  <si>
    <t>NGC80533-0082</t>
  </si>
  <si>
    <t>Consolidated Pipe &amp; Supply Co</t>
  </si>
  <si>
    <t>6" 45° ELL LR CS W 0.280" WT Y52 (SEGMENTABLE)</t>
  </si>
  <si>
    <t>259 Commercial Drive Yorkville, IL 60560</t>
  </si>
  <si>
    <t>NGC10009629</t>
  </si>
  <si>
    <t xml:space="preserve"> F.U. 11/7</t>
  </si>
  <si>
    <t>ConOps To Order</t>
  </si>
  <si>
    <t>Project Not Released</t>
  </si>
  <si>
    <t>Frank Tanzilo</t>
  </si>
  <si>
    <t>Project in Production</t>
  </si>
  <si>
    <t>F/U 11/7.</t>
  </si>
  <si>
    <t>Frank Tanzillo</t>
  </si>
  <si>
    <t>1629 Champlain St, Ottawa, IL 61350</t>
  </si>
  <si>
    <t>Ryan Patterman</t>
  </si>
  <si>
    <t>Permits not yet approved as of 1/13/25.</t>
  </si>
  <si>
    <t>NGC10010594</t>
  </si>
  <si>
    <t>NGC80533-0070</t>
  </si>
  <si>
    <t>NGC10008758</t>
  </si>
  <si>
    <t>SC23070</t>
  </si>
  <si>
    <t>NPL COURTLAND</t>
  </si>
  <si>
    <t>12" 90° ELL LR CS W 0.250" WT Y-52 (SEGMENTABLE)</t>
  </si>
  <si>
    <t>3000 E CASS - JOLIET OFFICE</t>
  </si>
  <si>
    <t>PENDING ENG APPROVAL</t>
  </si>
  <si>
    <t>NGC10008045</t>
  </si>
  <si>
    <t>PO In Progress</t>
  </si>
  <si>
    <t>NGC10009146</t>
  </si>
  <si>
    <t>CHICAGO FITTINGS CORPORATION</t>
  </si>
  <si>
    <t>NGC10009163</t>
  </si>
  <si>
    <t>2704 Festival Drive Kankakee, IL 60961</t>
  </si>
  <si>
    <t>Timothy Arseneau</t>
  </si>
  <si>
    <t>Stanley Janusz</t>
  </si>
  <si>
    <t>NGC10008785</t>
  </si>
  <si>
    <t>NGC10009539</t>
  </si>
  <si>
    <t>NGC10009855</t>
  </si>
  <si>
    <r>
      <t>4"</t>
    </r>
    <r>
      <rPr>
        <sz val="11"/>
        <color rgb="FF000000"/>
        <rFont val="Calibri"/>
        <family val="2"/>
        <scheme val="minor"/>
      </rPr>
      <t xml:space="preserve"> BALL VALVE, CL </t>
    </r>
    <r>
      <rPr>
        <sz val="11"/>
        <rFont val="Calibri"/>
        <family val="2"/>
        <scheme val="minor"/>
      </rPr>
      <t>300</t>
    </r>
    <r>
      <rPr>
        <sz val="11"/>
        <color rgb="FF000000"/>
        <rFont val="Calibri"/>
        <family val="2"/>
        <scheme val="minor"/>
      </rPr>
      <t>, FxF, RF, FULL PORT, API-6D, TRUNNION MOUNTED, DBB, COATED FOR BELOW GRADE SERVICE W/8</t>
    </r>
    <r>
      <rPr>
        <sz val="11"/>
        <rFont val="Calibri"/>
        <family val="2"/>
        <scheme val="minor"/>
      </rPr>
      <t>'-0"</t>
    </r>
    <r>
      <rPr>
        <sz val="11"/>
        <color rgb="FFFA0000"/>
        <rFont val="Calibri"/>
        <family val="2"/>
        <scheme val="minor"/>
      </rPr>
      <t xml:space="preserve"> </t>
    </r>
    <r>
      <rPr>
        <sz val="11"/>
        <color rgb="FF000000"/>
        <rFont val="Calibri"/>
        <family val="2"/>
        <scheme val="minor"/>
      </rPr>
      <t xml:space="preserve">EXTENSION INCLUDING </t>
    </r>
    <r>
      <rPr>
        <sz val="11"/>
        <rFont val="Calibri"/>
        <family val="2"/>
        <scheme val="minor"/>
      </rPr>
      <t>HAND WHEEL, GEARED OPERATOR</t>
    </r>
    <r>
      <rPr>
        <sz val="11"/>
        <color rgb="FF000000"/>
        <rFont val="Calibri"/>
        <family val="2"/>
        <scheme val="minor"/>
      </rPr>
      <t>, LUBE, VENT, BODY BLEED LINE PIPED FOR ABOVE GROUND ACCESS PER NICOR'S T.S. 030.250.025</t>
    </r>
  </si>
  <si>
    <r>
      <t xml:space="preserve">8" </t>
    </r>
    <r>
      <rPr>
        <sz val="11"/>
        <color rgb="FF000000"/>
        <rFont val="Calibri"/>
        <family val="2"/>
        <scheme val="minor"/>
      </rPr>
      <t xml:space="preserve">BALL VALVE, CL </t>
    </r>
    <r>
      <rPr>
        <sz val="11"/>
        <rFont val="Calibri"/>
        <family val="2"/>
        <scheme val="minor"/>
      </rPr>
      <t>300</t>
    </r>
    <r>
      <rPr>
        <sz val="11"/>
        <color rgb="FF000000"/>
        <rFont val="Calibri"/>
        <family val="2"/>
        <scheme val="minor"/>
      </rPr>
      <t>, FxF, RF, FULL PORT, API-6D, TRUNNION MOUNTED, DBB, COATED FOR BELOW GRADE SERVICE W/8</t>
    </r>
    <r>
      <rPr>
        <sz val="11"/>
        <rFont val="Calibri"/>
        <family val="2"/>
        <scheme val="minor"/>
      </rPr>
      <t xml:space="preserve">'-0" </t>
    </r>
    <r>
      <rPr>
        <sz val="11"/>
        <color rgb="FF000000"/>
        <rFont val="Calibri"/>
        <family val="2"/>
        <scheme val="minor"/>
      </rPr>
      <t xml:space="preserve">EXTENSION INCLUDING </t>
    </r>
    <r>
      <rPr>
        <sz val="11"/>
        <rFont val="Calibri"/>
        <family val="2"/>
        <scheme val="minor"/>
      </rPr>
      <t>HAND WHEEL, GEARED OPERATOR</t>
    </r>
    <r>
      <rPr>
        <sz val="11"/>
        <color rgb="FF000000"/>
        <rFont val="Calibri"/>
        <family val="2"/>
        <scheme val="minor"/>
      </rPr>
      <t>, LUBE, VENT, BODY BLEED LINE PIPED FOR ABOVE GROUND ACCESS PER NICOR'S T.S. 030.250.025</t>
    </r>
  </si>
  <si>
    <r>
      <t>8"</t>
    </r>
    <r>
      <rPr>
        <sz val="11"/>
        <color rgb="FF000000"/>
        <rFont val="Calibri"/>
        <family val="2"/>
        <scheme val="minor"/>
      </rPr>
      <t xml:space="preserve"> RUN x</t>
    </r>
    <r>
      <rPr>
        <sz val="11"/>
        <rFont val="Calibri"/>
        <family val="2"/>
        <scheme val="minor"/>
      </rPr>
      <t xml:space="preserve"> 3/4" BRANCH, THREADOLET, CL 3000, F.S., </t>
    </r>
    <r>
      <rPr>
        <sz val="11"/>
        <color rgb="FF000000"/>
        <rFont val="Calibri"/>
        <family val="2"/>
        <scheme val="minor"/>
      </rPr>
      <t>A105, MSS SP-97</t>
    </r>
  </si>
  <si>
    <r>
      <t>3/4" x4" L</t>
    </r>
    <r>
      <rPr>
        <sz val="11"/>
        <color rgb="FF000000"/>
        <rFont val="Calibri"/>
        <family val="2"/>
        <scheme val="minor"/>
      </rPr>
      <t>ONG NIPPLE,</t>
    </r>
    <r>
      <rPr>
        <sz val="11"/>
        <rFont val="Calibri"/>
        <family val="2"/>
        <scheme val="minor"/>
      </rPr>
      <t xml:space="preserve"> XS,</t>
    </r>
    <r>
      <rPr>
        <sz val="11"/>
        <color rgb="FF000000"/>
        <rFont val="Calibri"/>
        <family val="2"/>
        <scheme val="minor"/>
      </rPr>
      <t xml:space="preserve"> WPB, TBE, CS, SML</t>
    </r>
    <r>
      <rPr>
        <sz val="11"/>
        <rFont val="Calibri"/>
        <family val="2"/>
        <scheme val="minor"/>
      </rPr>
      <t>S, MNPT</t>
    </r>
    <r>
      <rPr>
        <sz val="11"/>
        <color rgb="FF000000"/>
        <rFont val="Calibri"/>
        <family val="2"/>
        <scheme val="minor"/>
      </rPr>
      <t>, A733, PER B36.10</t>
    </r>
  </si>
  <si>
    <r>
      <t>4"</t>
    </r>
    <r>
      <rPr>
        <sz val="11"/>
        <color rgb="FF000000"/>
        <rFont val="Calibri"/>
        <family val="2"/>
        <scheme val="minor"/>
      </rPr>
      <t xml:space="preserve"> RUN x</t>
    </r>
    <r>
      <rPr>
        <sz val="11"/>
        <rFont val="Calibri"/>
        <family val="2"/>
        <scheme val="minor"/>
      </rPr>
      <t xml:space="preserve"> 1-1/4" BRANCH, WELDOLET, XS, F.S., </t>
    </r>
    <r>
      <rPr>
        <sz val="11"/>
        <color rgb="FF000000"/>
        <rFont val="Calibri"/>
        <family val="2"/>
        <scheme val="minor"/>
      </rPr>
      <t>A105, MSS SP-97</t>
    </r>
  </si>
  <si>
    <r>
      <t>8"</t>
    </r>
    <r>
      <rPr>
        <sz val="11"/>
        <color rgb="FF000000"/>
        <rFont val="Calibri"/>
        <family val="2"/>
        <scheme val="minor"/>
      </rPr>
      <t xml:space="preserve"> RUN x</t>
    </r>
    <r>
      <rPr>
        <sz val="11"/>
        <rFont val="Calibri"/>
        <family val="2"/>
        <scheme val="minor"/>
      </rPr>
      <t xml:space="preserve"> 1-1/4" BRANCH, WELDOLET, XS, F.S., </t>
    </r>
    <r>
      <rPr>
        <sz val="11"/>
        <color rgb="FF000000"/>
        <rFont val="Calibri"/>
        <family val="2"/>
        <scheme val="minor"/>
      </rPr>
      <t>A105, MSS SP-97</t>
    </r>
  </si>
  <si>
    <t>6" Extension Valve box</t>
  </si>
  <si>
    <t>8" PIPE X52 CS DC+IC FBE 0.219" WT</t>
  </si>
  <si>
    <t>8" PIPE X52 CS DC+IC FBE 0.322" WT</t>
  </si>
  <si>
    <t>NPL To Req</t>
  </si>
  <si>
    <t>NGC10010593</t>
  </si>
  <si>
    <t>Frank Young</t>
  </si>
  <si>
    <t>4651 Linden Road Rockford, IL 61109</t>
  </si>
  <si>
    <t>GALVINZED RIGID CONDUIT THREADED (LOWES NO. 72739)</t>
  </si>
  <si>
    <t>ELBOW, 90 DEGREE, STD, BLK MI</t>
  </si>
  <si>
    <t>NIPPLE 2"X6" EXHVY/SCH 80 STEEL, A-53 OR API-5L, BLK T.B.E.</t>
  </si>
  <si>
    <t>PIPE, BARE STEEL LINE, 2.375" OD X 0.154" W.T. API-5L GR-B, ERW, SRL</t>
  </si>
  <si>
    <t>REGULATOR, MONITOR, FLANGED RAISED FACEROCKWELL MODEL (441-57S) CAST STEEL BODY, ANSI 300, REDUCED VALVE, 1-3/4" STANDARD PORT 100% CAPACITY, SET AT 50# TO 75# BLACK SPRING (MONITOR)</t>
  </si>
  <si>
    <t>PR/PO Cancelled by Nicor</t>
  </si>
  <si>
    <t>PR Cancelled</t>
  </si>
  <si>
    <t>17854 Wabena Rd Minooka, IL 60447</t>
  </si>
  <si>
    <t>NGC10011206</t>
  </si>
  <si>
    <t>NELSON TECHNOLOGIES INC</t>
  </si>
  <si>
    <t>NGC10011209</t>
  </si>
  <si>
    <t xml:space="preserve">SC18611 </t>
  </si>
  <si>
    <t>NPL Cortland Yard</t>
  </si>
  <si>
    <t>12" PO ITEMS</t>
  </si>
  <si>
    <t>NPL Rockford Yard</t>
  </si>
  <si>
    <t>PR Drafted</t>
  </si>
  <si>
    <t>Cicero</t>
  </si>
  <si>
    <t>Hold - Project going to bid</t>
  </si>
  <si>
    <t>12"∅ PIPE X52 CS DC+IC FBE 0.250" WT</t>
  </si>
  <si>
    <t>12"∅ PIPE X52 CS+IC FBE POWERCRETE 0.250" WT</t>
  </si>
  <si>
    <t>4"∅ PIPE X52 CS+IC FBE 0.237" WT</t>
  </si>
  <si>
    <t>#4 HMWPE WIRE</t>
  </si>
  <si>
    <t>10" STOPPER FTTG FOR STOPPING ONLY (MUELLER)</t>
  </si>
  <si>
    <t>12"x8" ELL RED CS W 0.250"x0.322" WT Y-52</t>
  </si>
  <si>
    <t xml:space="preserve">Roling Meadows </t>
  </si>
  <si>
    <t xml:space="preserve">NPL Cortland </t>
  </si>
  <si>
    <t>Email sent 3/11, 5/30, 6/13</t>
  </si>
  <si>
    <t>12" STOPPER FITTING</t>
  </si>
  <si>
    <t>Email sent 3/11, 6/13</t>
  </si>
  <si>
    <t>10" STOPPER FITTING</t>
  </si>
  <si>
    <t>Rock Falls</t>
  </si>
  <si>
    <t>Pending temp workspace easement as of 1/13/2025.</t>
  </si>
  <si>
    <t xml:space="preserve">NPL 
382 W. Lincoln Hwy
Cortland, IL  60112
Attn: Scott Hamm
</t>
  </si>
  <si>
    <t>12" 90° ELL LR CS W 0.375" WT Y-52 (SEGMENTABLE)</t>
  </si>
  <si>
    <t>12"Φ PIPE X52 CS+IC FBE 0.375" WT</t>
  </si>
  <si>
    <t>12" MUELLER PIG-PLUG INSERT (MUELLER 683172)</t>
  </si>
  <si>
    <t>10"Φ  PIPE PVC 10.750" OD (CASING)</t>
  </si>
  <si>
    <t>8"Φ  PIPE PVC 8.625" OD (CASING)</t>
  </si>
  <si>
    <t>2" Ø PIPE X52 CS BARE 0.154" WT</t>
  </si>
  <si>
    <t xml:space="preserve">4" Ø  PIPE X52 CS BARE 0.156" WT </t>
  </si>
  <si>
    <t>12" Ø PIPE X52 CS BARE 0.219" WT</t>
  </si>
  <si>
    <t>2" RUN x 3/4" BRANCH, THREADOLET, CL 3000, F.S., A105, 
MSS SP-97</t>
  </si>
  <si>
    <t>REGULATOR, 1" FISHER 627, 1/4" ORIFICE 100% CAPACITY 
(35#-80#, BLUE SPRING)</t>
  </si>
  <si>
    <t>1" FISHER 289HH RELIEF VALVE (45#-75#, GREEN SPRING)</t>
  </si>
  <si>
    <t>12"x4" REDUCER</t>
  </si>
  <si>
    <t>12" ANSI-300 SPHERICAL TEE SIDE OUT STD WALL</t>
  </si>
  <si>
    <t>12" ANSI-300 FxF BALL VALVE</t>
  </si>
  <si>
    <t>12" STOPPER FTTG FOR STOPPING ONLY</t>
  </si>
  <si>
    <t xml:space="preserve">Elk Grove Village </t>
  </si>
  <si>
    <t>REGULATOR, OPERATOR, FGL RAISED FACE MOONEY MODEL (FG-45) SINGLE PORT, 75D NITRILE DIAPH. "C" MOUNT, S.S. TUBING SERIES 30S FILTER 100% CAPACITY, SET AT 25# TO 90# BLUE SPRING, 20 SERIES PILOT (OPERATOR)</t>
  </si>
  <si>
    <t>316100 Central-Del-Glen Ellyn</t>
  </si>
  <si>
    <t>REGULATOR, MONITOR, FGL RAISED FACE MOONEY MODEL (FG-45) SINGLE PORT, 75D NITRILE DIAPH. "C" MOUNT, S.S. TUBING SERIES 30S FILTER 100% CAPACITY, SET AT 25# TO 90# BLUE SPRING, 20 SERIES PILOT (MONITOR)</t>
  </si>
  <si>
    <t xml:space="preserve">Izabela Kwasniak </t>
  </si>
  <si>
    <t>Kyle Phillips</t>
  </si>
  <si>
    <t>16” RUN x 2” BRANCH, WELDOLET, XS, F.S., A105, MSS SP-97</t>
  </si>
  <si>
    <t>10” RUN x 2” BRANCH, WELDOLET, XS, F.S., A105, MSS SP-97</t>
  </si>
  <si>
    <t>PO in Progress</t>
  </si>
  <si>
    <t>Plato Center</t>
  </si>
  <si>
    <t>4” RUN x 2” BRANCH, WELDOLET, XS, F.S., A105, MSS SP-97</t>
  </si>
  <si>
    <t>Dan Bock</t>
  </si>
  <si>
    <t xml:space="preserve">6” Valve extension box </t>
  </si>
  <si>
    <t>321985 Pipestrong Minooka</t>
  </si>
  <si>
    <t>NGC10018010</t>
  </si>
  <si>
    <t>Matt Gareri</t>
  </si>
  <si>
    <t>ILDK0002 NPL COURTLAND YARD</t>
  </si>
  <si>
    <t>Gena Easley</t>
  </si>
  <si>
    <t>16" ANSI-300 SPHERICAL 3-WAY TEE SIDE OUT STD WALL</t>
  </si>
  <si>
    <t>16"x12" RED CONC CS W 0.250"x0.250" WT Y-52</t>
  </si>
  <si>
    <t xml:space="preserve">N14793 </t>
  </si>
  <si>
    <t>12" PIPE X52 CS+IC FBE 0.250" WT</t>
  </si>
  <si>
    <t>12" PIPE X52 CS DC+IC FBE 0.250" WT</t>
  </si>
  <si>
    <t>8" 45° ELL LR CS W 0.322" WT Y-52 (SEGMENTABLE)</t>
  </si>
  <si>
    <t>4” BALL VALVE, CL 300, FxF, RF, FULL PORT, API-6D, TRUNNION MOUNTED, DBB, W/ HAND WHEEL, GEARED OPERATOR, PER NICOR’S T.S. 030.250.025</t>
  </si>
  <si>
    <t xml:space="preserve">302901 System Opps - Glen Ellyn </t>
  </si>
  <si>
    <t>8” BALL VALVE, CL 300, FxF, RF, FULL PORT, API-6D, TRUNNION MOUNTED, DBB, W/ HAND WHEEL, GEARED OPERATOR, PER NICOR’S T.S. 030.250.025</t>
  </si>
  <si>
    <t>12” BALL VALVE, CL 300, FxF, RF, FULL PORT, API-6D, TRUNNION MOUNTED, DBB, W/ HAND WHEEL, GEARED OPERATOR, PER NICOR’S T.S. 030.250.025</t>
  </si>
  <si>
    <t>NBA10013465-2</t>
  </si>
  <si>
    <t xml:space="preserve">Gilman </t>
  </si>
  <si>
    <t>Kurt Fogleman</t>
  </si>
  <si>
    <t xml:space="preserve">4” REGULATOR, OPERATOR, FGL RAISED FACE MOONEY MODEL (FG-40) SINGLE PORT, 75D NITRILE DIAPH. “C” MOUNT, S.S. TUBING SERIES 30S FILTER 100% CAPACITY, SET AT 10# TO 40# SILVER SPRING, 20 SERIES PILOT (OPERATOR) </t>
  </si>
  <si>
    <t>342700 - Kankakee</t>
  </si>
  <si>
    <t xml:space="preserve">4” REGULATOR, MONITOR, FLG RAISED FACE ROCKERLL MODEL (441-57S) CAST STEEL BODY, ANSI 300, SINGLE PORT, 2-1/8” ORIFICE, 100% CAPACITY, SET AT 25 TO 55# BROWN SPRING (MONITOR) </t>
  </si>
  <si>
    <t xml:space="preserve">342700 - Kankakee
</t>
  </si>
  <si>
    <t xml:space="preserve">2” REGULATOR, 2” FISHER MODEL 627, 3/16” ORIFICE, SINGLE PORT, OUTLET RANGE 15 TO 40 PSIG (GREEN SPRING), SET PRESSURE FROM FACTORY EQUALS 32 PSIG (OPERATOR) </t>
  </si>
  <si>
    <t xml:space="preserve">2” REGULATOR, 2” FISHER MODEL 627, 3/16” ORIFICE, SINGLE PORT, OUTLET RANGE 15 TO 40 PSIG (GREEN SPRING), SET PRESSURE FROM FACTORY EQUALS 32 PSIG (MONITOR) </t>
  </si>
  <si>
    <t>2” BALL VALVE, CL 300, FxF, RF, FULL PORT, API-6D, TRUNNION MOUNTED, DBB, W/ HAND WHEEL, GEARED OPERATOR, PER NICOR’S T.S. 030.250.025</t>
  </si>
  <si>
    <t>6” BALL VALVE, CL 300, FxF, RF, FULL PORT, API-6D, TRUNNION MOUNTED, DBB, W/ HAND WHEEL, GEARED OPERATOR, PER NICOR’S T.S. 030.250.025</t>
  </si>
  <si>
    <t xml:space="preserve">6” STRAINER, TEE FLANGE x FLANGE, KEROTEST 1/8” PERFORATED BASKET </t>
  </si>
  <si>
    <t>Pending Updated Plans</t>
  </si>
  <si>
    <t>Watseka</t>
  </si>
  <si>
    <t>4" RUN X 2" BRANCH, WELDOLET, XS, F.S., A105, MSS-SP-97</t>
  </si>
  <si>
    <t>19199 - Glenwood</t>
  </si>
  <si>
    <t>Booker Hatcher</t>
  </si>
  <si>
    <t>NGC10018590</t>
  </si>
  <si>
    <t>RS1266</t>
  </si>
  <si>
    <t>1800 Big Timber Rd
Elgin, IL 60123</t>
  </si>
  <si>
    <t>Shawn Peterson</t>
  </si>
  <si>
    <t>MR2197</t>
  </si>
  <si>
    <t>Round Grove</t>
  </si>
  <si>
    <t>Miller Pipe Contract</t>
  </si>
  <si>
    <t>324000 - Rockford</t>
  </si>
  <si>
    <t>8" 90° ELL LR CS W 0.322" WT Y-52 (SEGMENTABLE)</t>
  </si>
  <si>
    <t>12" Ø PIPE X52 CS DC+IC FBE 0.219" WT</t>
  </si>
  <si>
    <t>12" Ø PIPE X52 CS+IC FBE 0.250" WT</t>
  </si>
  <si>
    <t>12" Ø PIPE X52 CS DC+IC FBE 0.250" WT</t>
  </si>
  <si>
    <t>20" ANSI-300 SPHERICAL 3-WAY TEE SIDE OUT STD WALL</t>
  </si>
  <si>
    <t>20"x12" RED CONC CS W 0.375"x0.250" WT</t>
  </si>
  <si>
    <t>MR2203</t>
  </si>
  <si>
    <t>12" VALVE CLASS 150 GATE VALVE</t>
  </si>
  <si>
    <t>EAC</t>
  </si>
  <si>
    <t>319800 S-Service-Joliet 1</t>
  </si>
  <si>
    <t>NBA10013465</t>
  </si>
  <si>
    <t>ILDK0002 - Dekalb, Cortland NPL PIpe Yard</t>
  </si>
  <si>
    <t>6" 45° ELL LR CS W 0.280" WT Y-52 (SEGMENTABLE)</t>
  </si>
  <si>
    <t>6" ANSI CLASS 300 BALL VALVE</t>
  </si>
  <si>
    <t>6" ANSI CLASS 300 GATE VALVE</t>
  </si>
  <si>
    <t>NBA10013465-1</t>
  </si>
  <si>
    <t>N17081</t>
  </si>
  <si>
    <t>Freeport</t>
  </si>
  <si>
    <t>MR2192</t>
  </si>
  <si>
    <t>Nick Michaels/Tom McTigue</t>
  </si>
  <si>
    <t>6" Ø PIPE X52 CS+IC FBE 0.280" WT</t>
  </si>
  <si>
    <t>MR2193</t>
  </si>
  <si>
    <t>319800 - S Service Joliet 3000 E Cass St, Joliet</t>
  </si>
  <si>
    <t>MR2194</t>
  </si>
  <si>
    <t>N17865-1</t>
  </si>
  <si>
    <t>8" 90° ELL LR CS W 0.322 WT Y-52 (SEGMENTABLE)</t>
  </si>
  <si>
    <t xml:space="preserve">	17830</t>
  </si>
  <si>
    <t>SC18359</t>
  </si>
  <si>
    <t>RS1278</t>
  </si>
  <si>
    <t>Norridge</t>
  </si>
  <si>
    <t>12" RUN x 2" BRANCH, WELDOLET, XS, F.S., A105, MSS-SP-97</t>
  </si>
  <si>
    <t>MR2216</t>
  </si>
  <si>
    <t>FREEPORT</t>
  </si>
  <si>
    <t>8” 90º ELL LR CS W 0.322” WT Y-52 (SEGMENTABLE)</t>
  </si>
  <si>
    <t>216 S Liberty Ave, Freeport, IL  61032</t>
  </si>
  <si>
    <t>Hawthorn Woods</t>
  </si>
  <si>
    <t>N6744</t>
  </si>
  <si>
    <t>Kendra Jakcson</t>
  </si>
  <si>
    <t>SC25832</t>
  </si>
  <si>
    <t>SC25330</t>
  </si>
  <si>
    <t>1-1/2" RUN x 1-1/4" BRANCH, WELDOLET, XS, F.S. A105, MSS SP-97</t>
  </si>
  <si>
    <t>MR2219-1</t>
  </si>
  <si>
    <t>PAFC</t>
  </si>
  <si>
    <t>JOE GACA REQUESTED PIPE GETS ORDERED TO MIDWEST PIPE COATING FOR CNONTRACTOR PICK UP.</t>
  </si>
  <si>
    <t>321950 MIDWEST PIPE COATING
925 KENNEDY AVE
SCHERERVILLE, IN 46375</t>
  </si>
  <si>
    <t>257 Commercial Drive Yorkville, IL 60560</t>
  </si>
  <si>
    <t>258 Commercial Drive Yorkville, IL 60560</t>
  </si>
  <si>
    <t>12" 90 deg ELL LR CS W 0.250" WT Y-53 (Segmentable) Y-52</t>
  </si>
  <si>
    <t>260 Commercial Drive Yorkville, IL 60560</t>
  </si>
  <si>
    <t>MR2BID9834-1</t>
  </si>
  <si>
    <t>Hometown</t>
  </si>
  <si>
    <t>MR2259</t>
  </si>
  <si>
    <t>Kinsman</t>
  </si>
  <si>
    <t>RS1280</t>
  </si>
  <si>
    <t>Hanover Park</t>
  </si>
  <si>
    <t>8" Ø PIPE X52 CS DC+IC FBE 0.322" WT</t>
  </si>
  <si>
    <t>COMPLETED PROJECTS (2025-0909)</t>
  </si>
  <si>
    <t>NBA10015241</t>
  </si>
  <si>
    <t>1913694</t>
  </si>
  <si>
    <t>Nicor cancelled project due to end customer no longer needing bridge power.</t>
  </si>
  <si>
    <t>Install 4,200' of 12" Steel Main. NBA 10015241 sent yesterday. See Option 1 in the Sketches document.  Nicor
Nicor to schedule kick-off meeting for this project as the project scope has not been finalized.   Very high profile project.</t>
  </si>
  <si>
    <t>168777007.J.501</t>
  </si>
  <si>
    <t>NBA10015241-1</t>
  </si>
  <si>
    <t>1913697</t>
  </si>
  <si>
    <t>NBA10015241 meter set.</t>
  </si>
  <si>
    <t>168777007.J.502</t>
  </si>
  <si>
    <t>NBA10015241-2</t>
  </si>
  <si>
    <t>1913695</t>
  </si>
  <si>
    <t>Installing 1120' 0f 12" Steel Service. Per NBA 10015241</t>
  </si>
  <si>
    <t>168777007.J.503</t>
  </si>
  <si>
    <t>RS1267</t>
  </si>
  <si>
    <t>1014228</t>
  </si>
  <si>
    <t xml:space="preserve">WOODSTOCK </t>
  </si>
  <si>
    <t>Tin Whistle replacement program. Replace facility 3201545</t>
  </si>
  <si>
    <t>Bunker Hill Rd &amp; Rte 14
Atlas Page: NW38204</t>
  </si>
  <si>
    <t>Hartland</t>
  </si>
  <si>
    <t>168777007.G.608</t>
  </si>
  <si>
    <t>Only change was addition of 2 purge ends to materials estimate and Store Items Cost changing; labor/contract did not change.</t>
  </si>
  <si>
    <t>SC24490</t>
  </si>
  <si>
    <t>KH issued No Conflict letter on 12/17.</t>
  </si>
  <si>
    <t>100’ of 2” STL and 100’ of 4” STL main in potential conflict w/ the proposed storm sewer, traffic signal &amp; roadway improvements.
Location:  IL 166 &amp; OR 66</t>
  </si>
  <si>
    <t>168777007.M.015</t>
  </si>
  <si>
    <t>N17722</t>
  </si>
  <si>
    <t>KH issued Negotiated Out Of Letter on 12/18.</t>
  </si>
  <si>
    <t>~3,500' of roadway, drainage and watermain improvements.
E. Merle Ln, Audrey Ln, &amp; Isa Dr</t>
  </si>
  <si>
    <t>168777007.M.035</t>
  </si>
  <si>
    <t>HOLD</t>
  </si>
  <si>
    <t>PRIM473A</t>
  </si>
  <si>
    <t>All design completed under N14793 DOT EDSR. PRIM473A EDSR was kept open for tracking purposes and marked completed when DOT project was released.</t>
  </si>
  <si>
    <t>Install ~3150' of 8" STL (60#).</t>
  </si>
  <si>
    <t xml:space="preserve">
East wood Dr (River Ln to US 14(IDOT))</t>
  </si>
  <si>
    <t xml:space="preserve"> 168777000.1.604</t>
  </si>
  <si>
    <t>Tin Whistle Replacement Program. Replace Facility 4301177</t>
  </si>
  <si>
    <t xml:space="preserve">ADA ramp design required due to being within Cook County ROW and breaking ADA ramp sidewalks. </t>
  </si>
  <si>
    <t xml:space="preserve">168777007.K.001 </t>
  </si>
  <si>
    <t>1014237</t>
  </si>
  <si>
    <t>Tin Whistle Replacement Program. Replace facility 1401368</t>
  </si>
  <si>
    <t>Russell &amp; Verona
Atlas Page: NW61133</t>
  </si>
  <si>
    <t xml:space="preserve">168777007.G.610 </t>
  </si>
  <si>
    <t>2" Hydrotest</t>
  </si>
  <si>
    <t>M15904</t>
  </si>
  <si>
    <t>1214609</t>
  </si>
  <si>
    <t>500’ of 2” PE, 150’ of 8” STL in potential conflict w/ the proposed installation of new watermain and services, replacement of drainage structures and storm sewer pipes, and other roadway improvements.
Location:  19th Ave (Madison St to Oak St)</t>
  </si>
  <si>
    <t>168777007.M.030</t>
  </si>
  <si>
    <t>Revision due to ConOps comments to adjust ~1,250' of running line and associated tie-ins of a portion of main due to additional utility crowding from fiber and telecom that was found in the field.</t>
  </si>
  <si>
    <t>Nicor was okay with a slightly longer turnaround time due to the project being low priority and people being OOO.</t>
  </si>
  <si>
    <t>168777007.2.203</t>
  </si>
  <si>
    <t xml:space="preserve">Revision due to updated/new CCDOTH permitting requests. Kimley-Horn worked with the Nicor team to successfully push back on multiple new requests from CCDOTH and updated WO drawings after comment negotiations were complete. </t>
  </si>
  <si>
    <t>Coordination with Nicor Engineering and CCDOTH.</t>
  </si>
  <si>
    <t>168777007.E.077</t>
  </si>
  <si>
    <t xml:space="preserve">Revision due to updated construction schedule and means and methods information, provided by the Village. A previous large re-route was able to be avoided due to new information from the Village that allowed Nicor to split the gas main relocation work into two WOs (second WO anticipated to be completed by March 2025) and avoid the large re-route. </t>
  </si>
  <si>
    <t>Cost includes exhibits, DOT coordination, redesign options and research, approval and redesign of the plans.</t>
  </si>
  <si>
    <t>168777007.E.058</t>
  </si>
  <si>
    <t>CRESTHILL</t>
  </si>
  <si>
    <t>Nicor cancelled project due to project being completed as part of other work order.</t>
  </si>
  <si>
    <t>M16177</t>
  </si>
  <si>
    <t>1214679</t>
  </si>
  <si>
    <t>~600' of roadway reconstruction and drainage improvements due to proposed Ice Arena Building. 
Touhy Ave &amp; Barry St</t>
  </si>
  <si>
    <t>Village of Rosemont</t>
  </si>
  <si>
    <t>168777007.M.043</t>
  </si>
  <si>
    <t>Partially reimbursable</t>
  </si>
  <si>
    <t>M16177-1</t>
  </si>
  <si>
    <t>1214741</t>
  </si>
  <si>
    <t>1314001</t>
  </si>
  <si>
    <t>No changes made - cost change due to price of material changing.</t>
  </si>
  <si>
    <t xml:space="preserve">1,000' of 2" and 4" STL, 4" PE, and 12" and 30" MOP main in potential conflict with proposed roadway widening and proposed grade cuts. 
Farnsworth Ave and along Bilter Rd </t>
  </si>
  <si>
    <t>City of Aurora</t>
  </si>
  <si>
    <t>168777007.D.126</t>
  </si>
  <si>
    <t>SC23070-1</t>
  </si>
  <si>
    <t>1314071</t>
  </si>
  <si>
    <t>168777007.D.158</t>
  </si>
  <si>
    <t>EDUBUQUE</t>
  </si>
  <si>
    <t>LANARK</t>
  </si>
  <si>
    <t>MONROECENTE</t>
  </si>
  <si>
    <t>DAVISJCT</t>
  </si>
  <si>
    <t>RS1276</t>
  </si>
  <si>
    <t>1015245</t>
  </si>
  <si>
    <t>Tin Whistle Replacement Program. Replace Facility 3201865.</t>
  </si>
  <si>
    <t>Rte 14 &amp; Marawood 
NW38351</t>
  </si>
  <si>
    <t>168777007.G.503</t>
  </si>
  <si>
    <t>RS1272</t>
  </si>
  <si>
    <t>1014368</t>
  </si>
  <si>
    <t>Tin Whistle Replacement Program. Replace Facility 3201151.</t>
  </si>
  <si>
    <t>Mary Ann St &amp; Rte 120 
Atlas Page: NW43062</t>
  </si>
  <si>
    <t>168777007.G.502</t>
  </si>
  <si>
    <t xml:space="preserve">Eric Dina </t>
  </si>
  <si>
    <t>Revision to update running line due to conflict found in the field. Effort also included three other requests from Nicor to provide field exhibits and running line analysis based on coordination with IDOT to reduce scope of the relocation. Updates from the other requests were also updated in the revised drawings.</t>
  </si>
  <si>
    <t xml:space="preserve">Pending coordination with the DOT and Nicor, and design adjustment/scoping review with Nicor. </t>
  </si>
  <si>
    <t>168777007.E.072</t>
  </si>
  <si>
    <t>COR1058</t>
  </si>
  <si>
    <t>1214644</t>
  </si>
  <si>
    <t>Install new proposed valve PNV for emergency district Valve NFID: {D2ED9831-8826-4FB1-9ABD-95813AD7443F} Emergency district: ED2117 Location: Crestwood</t>
  </si>
  <si>
    <t>W 131st St &amp; Meadowlark Dr
Atlas Page: E11352C</t>
  </si>
  <si>
    <t>168777007.H.800</t>
  </si>
  <si>
    <t>EDV project - PNV</t>
  </si>
  <si>
    <t>1411410/1411725</t>
  </si>
  <si>
    <t xml:space="preserve">Revision due to updated Will County design that included ROW updates and proposed storm sewer, water main, and grading changes. Revision also adjusted proposed gas design to accomodate updated ComEd design that was not available during the design phase. These updated designs required running line and conflict tables updates to the WO drawings. </t>
  </si>
  <si>
    <t>Pending updated CAD files after Will County provided updated drawings for review. They had reported only water main changes, and we discovered other changes to storm and grading as well.</t>
  </si>
  <si>
    <t>168777007.E.078</t>
  </si>
  <si>
    <t>Partially Reimbursable</t>
  </si>
  <si>
    <t>NBA10017524-1</t>
  </si>
  <si>
    <t>1914749</t>
  </si>
  <si>
    <t>DONE, CON OPS</t>
  </si>
  <si>
    <t>NBA 10017524:  Phase 2 - Relocation of 8" STL MOP Service to near College Ave + SyOp METER UPGRADE PER NBA recommendations (attached) - Build an upstream meter set with AAT-57 (6”) turbine meters with a bypass run, both runs will be individually valved, add a flow corrector to the metered run and strainer &amp; check valves in both runs - check valve will help prevent possible backflow. Create a 4” bypass that will go around the primary meter and regulator runs using a 7M1480 IMC meter with a 2” 300 series flanged 627 with 3/16” orifice set at 62# delivery and a 1" 627H relief that is set to the monitor feed. Create a duel regulator run;
- Operator run will be 4” Mooney with 75% orifice plate set to 30# delivery with a 4” Rockwell monitor with 3” orifice set at 36#
- Standby operator run will be a 4” Mooney with 75% orifice plate set to 27# delivery with a 4” Rockwell monitor with 3” orifice set at 36#. 
Questions - Trisha Hutson / O: 815-433-6804 / For Meter - Ron Westphal / c: 815-482-7130</t>
  </si>
  <si>
    <t>168777007.J.513</t>
  </si>
  <si>
    <t>NBA10017524-2</t>
  </si>
  <si>
    <t>1914752</t>
  </si>
  <si>
    <t>Cost estimate increased due to updated contingency cost by Nicor Engineering.</t>
  </si>
  <si>
    <t>NBA 10017524:  Phase 2 - 8" STL MOP service relocation &amp; SyOp meter upgrade - Relocate to near College Ave, shortening service line / Ok to add load with 92' - 8" STL (Curb Valve) MOP service to replace existing 3598' - 8" STL MOP service.
Coordinate with WO 1413358 to tie service into proposed 8" STL (MOP) main on College Ave.  Questions - Trisha Hutson / O: 815-433-6804 / For Meter - Ron Westphal / c: 815-482-7130</t>
  </si>
  <si>
    <t>168777007.J.514</t>
  </si>
  <si>
    <t>1414512</t>
  </si>
  <si>
    <t>Cost estimate increased due to shoring costs being added to retirement estimate.</t>
  </si>
  <si>
    <t>Reroute main to eliminate short between 4" (filled) casing and 8" carrier pipe under railroad.
602-30-0029 MP15</t>
  </si>
  <si>
    <t>Burns Road and IC Railroad</t>
  </si>
  <si>
    <t>Otto</t>
  </si>
  <si>
    <t>IC/CN RR</t>
  </si>
  <si>
    <t>168777007.J.009</t>
  </si>
  <si>
    <t>Railroad crossing</t>
  </si>
  <si>
    <t>1414506</t>
  </si>
  <si>
    <t>Camille Corbi/Tom Mctigue</t>
  </si>
  <si>
    <t>Cost estimate decreased due to Nicor Engineering eliminating store items (844302, 844740, 845282) from the investment matierals tab.</t>
  </si>
  <si>
    <t>Reroute main to eliminate short between 16" (unfilled) casing and 12" carrier pipe under golf course.
601-31-0028 MP76</t>
  </si>
  <si>
    <t>Cinder Ridge Golf Course
Frontage Rd and IL-55</t>
  </si>
  <si>
    <t>Cinder Ridge Golf Course</t>
  </si>
  <si>
    <t>168777007.J.007</t>
  </si>
  <si>
    <t>Revision due to county requirement of full lane width break and replacement. Coordination needed for conditional approval/permit notes.</t>
  </si>
  <si>
    <t xml:space="preserve">168777007.H.707 </t>
  </si>
  <si>
    <t>COR1063</t>
  </si>
  <si>
    <t>1414647</t>
  </si>
  <si>
    <t>Install new proposed valves PNVs for Emergency Districts Valve NFIDs:{06517A9B-844D-4BF8-9F96-E97324BD0C9E}{2725D7EE-7CFB-4DC7-AD25-791708450049}{3481178E-0AEF-4D51-8BD9-169DEC37FEF7}{D759467D-6960-44DE-A743-10E53FFFB835}Emergency district ED4150 Location: Joliet</t>
  </si>
  <si>
    <t>Location 1: Theodore St &amp; Pebble Beach Dr
Location 2: Thodore St &amp; Brighton Ln 
Location 3: Bronk Rd &amp; Bentley Dr
Location 4: Bronk Rd &amp; W Black Rd 
Atlas Pages: J17334C, J17341D, J21034C</t>
  </si>
  <si>
    <t>168777007.H.805</t>
  </si>
  <si>
    <t xml:space="preserve">Silent revision due to updated ROW linework provided by IDOT. </t>
  </si>
  <si>
    <t>N/</t>
  </si>
  <si>
    <t>KH to update PR ROW near storm culverts.</t>
  </si>
  <si>
    <t>N14298</t>
  </si>
  <si>
    <t>1214663</t>
  </si>
  <si>
    <t>~1,050’ of potential conflicts with roadway reconstruction grade cuts and drainage improvements
West Lefevre Road</t>
  </si>
  <si>
    <t>Village of Sterling</t>
  </si>
  <si>
    <t>168777007.M.038</t>
  </si>
  <si>
    <t>1214649</t>
  </si>
  <si>
    <t>~100' of existing 6" STL in conflict with proposed drainage improvements and grade cuts. 
S Shawnee St &amp; S Arcade Ave</t>
  </si>
  <si>
    <t>Village of Freeport</t>
  </si>
  <si>
    <t>IC RR</t>
  </si>
  <si>
    <t>168777007.M.042</t>
  </si>
  <si>
    <t>1014902</t>
  </si>
  <si>
    <t>THAWVILLE</t>
  </si>
  <si>
    <t>168777007.H.129</t>
  </si>
  <si>
    <t>1214525</t>
  </si>
  <si>
    <t>ROUND GROVE</t>
  </si>
  <si>
    <t>Mark Stanley/Tom McTigue</t>
  </si>
  <si>
    <t>The 8" MOP line run underneath the scale of the customer grain facility. We have a 2" MOP service above ground running to meter#4912998. Looking to reroute 8" MOP main to avoid any issues along with 2" MOP service.</t>
  </si>
  <si>
    <t>Agnew Road and Harvey Road.
Union Pacific Railroad to the south</t>
  </si>
  <si>
    <t>Unincorporated</t>
  </si>
  <si>
    <t>168777007.J.008</t>
  </si>
  <si>
    <t>PRIVATE PROPERTY</t>
  </si>
  <si>
    <t>VLT Template Updates</t>
  </si>
  <si>
    <t>236 Hours Billed</t>
  </si>
  <si>
    <t>Revision is to install ~900' of 4"and 6" gas main as the second phase of the N14359 Barrington project. The updated Village contractor's phasing plan made the multi-phase relocation feasible, rather than the re-route that was required based on information provided during the design phase. WO drawings also included LG drawings due to new RR crossing.</t>
  </si>
  <si>
    <t>CN RR</t>
  </si>
  <si>
    <t>168777007.E.079</t>
  </si>
  <si>
    <t>RR Crossing, Phased Design</t>
  </si>
  <si>
    <t>1314544</t>
  </si>
  <si>
    <t>~800’ of roadway and bridge replacement and improvements.
Along Minkler Bridge over Morgan Creek</t>
  </si>
  <si>
    <t>Village of Oswego</t>
  </si>
  <si>
    <t>Minkler Creek</t>
  </si>
  <si>
    <t>168777007.M.032</t>
  </si>
  <si>
    <t>3201656</t>
  </si>
  <si>
    <t>1014888</t>
  </si>
  <si>
    <t>168777007.H.125</t>
  </si>
  <si>
    <t>M16016</t>
  </si>
  <si>
    <t>1214783</t>
  </si>
  <si>
    <t>Daniel Strycharz / Alec Baltazar</t>
  </si>
  <si>
    <t>Relocate ~50' of 4" W that is in conflict with storm sewer replacement
Location: Holbrook and Halsted</t>
  </si>
  <si>
    <t>Lyons, Palos, Rich, Bloom</t>
  </si>
  <si>
    <t>168777007.M.033</t>
  </si>
  <si>
    <t>Silent revision due to ENGR comments to update relief valve model number and spring type on BOM list.</t>
  </si>
  <si>
    <t>Silent revision due to ENGR comments to update relief valve and BOM list</t>
  </si>
  <si>
    <t>168777007.K.503</t>
  </si>
  <si>
    <t>1414706</t>
  </si>
  <si>
    <t>Inspect emergency district valves NEVs Valve NFIDs:Inspect emergency district valves NEVs Valve NFIDs: A3F31813-7D52-4D58-880E2AFE0DAC1D69}{86087643-BFF8-4508-99D7-FF36EA4DBF14} Emergency district: ED4536 Location:Kankakee</t>
  </si>
  <si>
    <t xml:space="preserve">Location 1: Main St NW and E Marsile St 
Location 2: S Main St &amp; W River St </t>
  </si>
  <si>
    <t>168777007.H.802</t>
  </si>
  <si>
    <t>EDV Project - PNV</t>
  </si>
  <si>
    <t>N18674</t>
  </si>
  <si>
    <t>1214810</t>
  </si>
  <si>
    <t>Updates to material estimate and contractor investment tab
- Updated contract type - 2025 to 2026
- Added a C1 Stop to retirement contractor estimate tab</t>
  </si>
  <si>
    <t>~10,000' of proposed storm sewer improvements.
Willow Trails Park</t>
  </si>
  <si>
    <t>168777007.M.039</t>
  </si>
  <si>
    <t>Non-Reimbursable</t>
  </si>
  <si>
    <t>N18674-1</t>
  </si>
  <si>
    <t>1214812</t>
  </si>
  <si>
    <t>1/23/205</t>
  </si>
  <si>
    <t>168777007.M.050</t>
  </si>
  <si>
    <t>COR1059</t>
  </si>
  <si>
    <t>1214705</t>
  </si>
  <si>
    <t>Inspect emergency district valves NEVs
Valve NFIDs:
{DA1349F6-4116-4F49-9055-7302697DFE27} {8C3C55D0-D706-4AB8-8B22-CE3058F8374D} 
{77BC93A5-C2FE-4CD0-89CA-07EC7966B801}
{73FA1E64-11C8-4BD3-BEED-429458CDD59D} 
{91672B94-4093-4C37-8D6B-3897E11E8BA2}
Emergency district: ED4224
Location: Glenwood</t>
  </si>
  <si>
    <t>Location 1: IL-30 (Lincoln Hwy) &amp; Oak St 
Location 2: IL-30 (Lincoln Hwy) &amp; Indiana St 
Location 3: Kedzie Ave &amp; Fountainbleau Dr
Location 4: Flossmoor Rd &amp; Western Ave
Location 5: Flossmoor Rd &amp; Leavitt Ave</t>
  </si>
  <si>
    <t>Hazel Crest/ Flossmoor/ Matteson/ Olympia Fields/ Park Forest</t>
  </si>
  <si>
    <t>168777007.H.801</t>
  </si>
  <si>
    <t>EDV Project - NEV</t>
  </si>
  <si>
    <t>COR1059-1</t>
  </si>
  <si>
    <t>1214913</t>
  </si>
  <si>
    <t>168777007.H.823</t>
  </si>
  <si>
    <t>COR1059-2</t>
  </si>
  <si>
    <t>1214914</t>
  </si>
  <si>
    <t>168777007.H.824</t>
  </si>
  <si>
    <t>1 ADA ramp, EDV Project - NEV</t>
  </si>
  <si>
    <t>COR1059-3</t>
  </si>
  <si>
    <t>1214915</t>
  </si>
  <si>
    <t>168777007.H.825</t>
  </si>
  <si>
    <t>2 ADA ramps, EDV Project - NEV</t>
  </si>
  <si>
    <t>COR1062</t>
  </si>
  <si>
    <t>1214646</t>
  </si>
  <si>
    <t>Install new proposed valves PNVs for emergency districts Valve NFIDs: {73F9728F-2A45-48D5-8532-6A04266DA88C} {7C211EC2-6E57-49DD-A80A-AC8DD8E2CD2A}{986F1C31-072D-41E7-96FF-93A0ECA856D9} Emergency District: ED4224 Location: Glenwood</t>
  </si>
  <si>
    <t>Location 1: Governors Hwy (IDOT) &amp; 183rd St Location 2: Kedzie Ave &amp; Hickory Rd Location 3: Flossmoor Rd and Douglas Ave Atlas Pages: E15363A-01, E19012A, E19014C Adjacent WO #1210345 (design completed in 2021, DOT 2022 construction, Nicor work not complete)</t>
  </si>
  <si>
    <t>Homewood / Flossmoor</t>
  </si>
  <si>
    <t>168777007.H.804</t>
  </si>
  <si>
    <t>1 Grading Plan, EDV Project - PNV</t>
  </si>
  <si>
    <t>COR1062-1</t>
  </si>
  <si>
    <t xml:space="preserve">1214916 </t>
  </si>
  <si>
    <t>168777007.H.826</t>
  </si>
  <si>
    <t>COR1064</t>
  </si>
  <si>
    <t>1214707</t>
  </si>
  <si>
    <t>Inspect emergency district valves NEVs
Valve NFIDs:
{610FC21D-2F7E-435B-8BA9-B9A483687457}
{0A86303D-FC69-4336-9E5F-6D9407E71560}
{67E99582-4841-49D8-9AC6-972CCCAE18C3}
{F9B6A88E-D650-4AFF-B6A9-95C815C89672}
Emergency district: ED2117
Location: Crestwood</t>
  </si>
  <si>
    <t>Location 1: W 131st St &amp; LaGrange Rd (US-45)
Location 2: W 131st St &amp; S 88th Ave
Location 3: W 131st St &amp; S 85th Ave</t>
  </si>
  <si>
    <t>168777007.H.806</t>
  </si>
  <si>
    <t>COR1064-1</t>
  </si>
  <si>
    <t>1214918</t>
  </si>
  <si>
    <t>FPDCC</t>
  </si>
  <si>
    <t xml:space="preserve">168777007.H.827 </t>
  </si>
  <si>
    <t>EDV Project - NEV, Forest Preserve License Agreement</t>
  </si>
  <si>
    <t>COR1064-2</t>
  </si>
  <si>
    <t>1214919</t>
  </si>
  <si>
    <t xml:space="preserve">168777007.H.828 </t>
  </si>
  <si>
    <t>1914022</t>
  </si>
  <si>
    <t>Install ~20,550' of 6" STL MOP (250#) main &amp; ~2750' of 8" STL (250#) main; Revise STA 101</t>
  </si>
  <si>
    <t>Railroad, Interstate crossings</t>
  </si>
  <si>
    <t>IC/CN RR
TPW RR</t>
  </si>
  <si>
    <t>168777007.J.505</t>
  </si>
  <si>
    <t>1914035</t>
  </si>
  <si>
    <t>Install 1700 ' of 6" STL (230#) service.</t>
  </si>
  <si>
    <t>168777007.J.506</t>
  </si>
  <si>
    <t>1914036</t>
  </si>
  <si>
    <t>Build a symmetrical upstream meter with twin AAT-57 (6") turbine meters with individually valved runs with flow correctors and check valves to prevent backflow. Create a 4" by[ass that will go around both the meter and regulator runs using a 11M1480 IMC meter with a 2" 300 series flanged 627 with a 3/16" orifice set at 32# delivery and a 1" 627 relief that is set to the monitor feed.</t>
  </si>
  <si>
    <t>168777007.J.507</t>
  </si>
  <si>
    <t>Revision due to Village of Skokie comment requesting that VW240/241 and VW240/241-1 were combined into a single WO package. WO packages were originally split based on discussion with Nicor to put the vintage PE/STL main on it's own WO drawing.</t>
  </si>
  <si>
    <t>Revision was requested directly by Josh Z who indiciated that a 2-week turnaround time would be acceptable due to the lower priority of this project.</t>
  </si>
  <si>
    <t>168777007.2.313</t>
  </si>
  <si>
    <t>SC25118</t>
  </si>
  <si>
    <t>Negotiated Out of</t>
  </si>
  <si>
    <t>IDOT-1 deemed no conflict after meeting with Nicor on 2/20/25</t>
  </si>
  <si>
    <t>2", 4", &amp; 6" STL in potential conflict with proposed traffic signal modernization improvements
Westmont, Naperville, &amp; McCook (DuPage &amp; Cook County)</t>
  </si>
  <si>
    <t>168777007.M.036</t>
  </si>
  <si>
    <t>Bid Docs</t>
  </si>
  <si>
    <t>Nicor requested Kimley-Horn create the bid documents for this project for them to issue in an RFP for construction.</t>
  </si>
  <si>
    <t>BID Docs</t>
  </si>
  <si>
    <t>168777007.E.082</t>
  </si>
  <si>
    <t>SC20245</t>
  </si>
  <si>
    <t>1314784</t>
  </si>
  <si>
    <t>Investment: There are a few SINs that got deleted from our recording to PCTS (843894, 843898, 844540). ConOps changed sewer inspection with cleaning to sewer inspection without cleaning, lowered trucking costs, removed hydrovac cost, and raised crew w/ equipment, and doubled traffic control cost.
Retirement: Our cut and cap entries got updated. ConOps changed traffic control from winter to standard and added time. ConOps added more trench backfill and updated contingency.</t>
  </si>
  <si>
    <t>~425’ in conflict with proposed multi-use path grade cuts and proposed fire hydrants.</t>
  </si>
  <si>
    <t>Village of Carol Stream</t>
  </si>
  <si>
    <t>168777007.M.024</t>
  </si>
  <si>
    <t xml:space="preserve">SC21364 </t>
  </si>
  <si>
    <t xml:space="preserve">Nicor requested Kimley-Horn support to evaluate potential re-route options, updated pricing and disconnect options as the City of St. Charles extended their culvert construction schedule from fall 2024 to spring 2025. There was bedrock located that did not allow for the original design to work, and KH worked with the City and Nicor to find a design that routed the proposed gas main through a conduit over the top of the proposed culvert, after construction of the culvert is completed. Additionally, gas main that was proposed to be tied into was found to be already retired when in the field, and KH coordinated with ConOps to find new tie-in point. </t>
  </si>
  <si>
    <t>Project was pending coordination with Nicor on re-route options.</t>
  </si>
  <si>
    <t>168777007.E.054</t>
  </si>
  <si>
    <t>COR1068</t>
  </si>
  <si>
    <t>1214772</t>
  </si>
  <si>
    <t>Install new proposed valves PNVs valve NFIDs: {2CE3AD69-C874-4F11-8BC2-4EF30C8A91BC} Emergency district ED2169 Location: Des Plaines</t>
  </si>
  <si>
    <t xml:space="preserve">Asbury Rd &amp; Fieldwood Dr </t>
  </si>
  <si>
    <t>168777007.H.810</t>
  </si>
  <si>
    <t>COR1068-1</t>
  </si>
  <si>
    <t>1215002</t>
  </si>
  <si>
    <t xml:space="preserve">Techny Rd &amp; Post Rd </t>
  </si>
  <si>
    <t xml:space="preserve">Northbrook </t>
  </si>
  <si>
    <t>168777007.H.830</t>
  </si>
  <si>
    <t>N17091</t>
  </si>
  <si>
    <t xml:space="preserve">Developer driven section of this project included a proposed light pole that was adjusted out of conflict. </t>
  </si>
  <si>
    <t xml:space="preserve">
~800’ of 6 STL &amp; 12” MOP main in potential conflict with proposed storm sewer and water main improvements. </t>
  </si>
  <si>
    <t>168777007.D.085</t>
  </si>
  <si>
    <t>SC25613</t>
  </si>
  <si>
    <t xml:space="preserve">Nicor cancelled project as relocation was previously done by Millhouse. We were sent Pre-Final drawings as a redline and it appears that the relocation drawings were done by MH as an MR. There was an error by KH during redlines in the reporting of which town it was that ultimately played a part in the project being reassigned. </t>
  </si>
  <si>
    <t>100’ of 8” MOP main in conflict with proposed roadway reconstruction and drainage improvements</t>
  </si>
  <si>
    <t>168777007.M.053</t>
  </si>
  <si>
    <t>N19002</t>
  </si>
  <si>
    <t>1214698</t>
  </si>
  <si>
    <t xml:space="preserve">Engineering made minor changes to material estimate tab to replace items that were discontinued. </t>
  </si>
  <si>
    <t>~50' of 4" steel in potential conflict with proposed box culvert and retaining wall.
Lowell Park Rd, Pine Creek Township</t>
  </si>
  <si>
    <t>168777007.M.041</t>
  </si>
  <si>
    <t>Rectified Main</t>
  </si>
  <si>
    <t xml:space="preserve">Revision due to IDOT comments to remove bollards from design. Sys Ops in agreement remove bollards but add a pipeline marker since tin whistle is in close proximity to farm entrance. </t>
  </si>
  <si>
    <t>168777007.H.602</t>
  </si>
  <si>
    <t>RS1271</t>
  </si>
  <si>
    <t>1014367</t>
  </si>
  <si>
    <t>Tin Whistle Replacement Program 2025. Replace Facility 3201558.</t>
  </si>
  <si>
    <t>IL-120 &amp; Thompson Rd</t>
  </si>
  <si>
    <t>168777007.G.501</t>
  </si>
  <si>
    <t xml:space="preserve">Replace Existing Facility #3701047.  Original design &amp; REV 1 proposed the Vault to be in an easement. The parcel owners for each did not respond and this project has been rescoped to avoid easement and progress forward, however in a less ideal location. </t>
  </si>
  <si>
    <t>168777007.G.500</t>
  </si>
  <si>
    <t>N12987</t>
  </si>
  <si>
    <t>1214085</t>
  </si>
  <si>
    <t>1000’ of 6” STL in potential conflict with proposed grading improvements.
Plum Grove Rd &amp; Woodfield Rd</t>
  </si>
  <si>
    <t>Village of Schaumburg</t>
  </si>
  <si>
    <t>168777007.D.002</t>
  </si>
  <si>
    <t>1501114</t>
  </si>
  <si>
    <t>1014878</t>
  </si>
  <si>
    <t>US-52 &amp; Pheasant Ln</t>
  </si>
  <si>
    <t>168777007.H.102</t>
  </si>
  <si>
    <t>TWV Retrofit</t>
  </si>
  <si>
    <t>COR1066</t>
  </si>
  <si>
    <t>1214770</t>
  </si>
  <si>
    <t>Verify if NEV valves are operable. Valve NFIDs: {E575C131-6A69-473F-8F04-1F7992633DCE} {E70F7833-5397-42CB-AD80-761B723F5B49} Emergency District ED3600 Location: Schaumburg</t>
  </si>
  <si>
    <t>Various locations in Schaumburg</t>
  </si>
  <si>
    <t xml:space="preserve">Mt Prospect </t>
  </si>
  <si>
    <t>168777007.H.808</t>
  </si>
  <si>
    <t>COR1067</t>
  </si>
  <si>
    <t>1214771</t>
  </si>
  <si>
    <t>Install proposed new valves PNVs: Valve NFIDs: {C9401FF0-EFF9-4E54-BF29-FEC52A9EAE23} Emergency district: ED3600 Location Schaumburg</t>
  </si>
  <si>
    <t>168777007.H.809</t>
  </si>
  <si>
    <t>COR1067-1</t>
  </si>
  <si>
    <t>1215064</t>
  </si>
  <si>
    <t>Install proposed new valves PNVs: Valve NFIDs: {94D9FC8F-694B-40AF-AF48-76F6EB25BB85} Emergency district: ED3600 Location Schaumburg</t>
  </si>
  <si>
    <t xml:space="preserve">E Central Rd (IDOT) &amp; N Des Plaines River Rd </t>
  </si>
  <si>
    <t>D1</t>
  </si>
  <si>
    <t>168777007.H.829</t>
  </si>
  <si>
    <t>COR1071</t>
  </si>
  <si>
    <t>1314774</t>
  </si>
  <si>
    <t>Install proposed new valves PNVs Valve NFIDs: {C2212BF6-EE42-47D7-B40A-5ED5E8F2CCBE} {EBC98370-4307-4180-AE91-53BED47720CA} Emergency District ED1201 Location: Glen Ellyn</t>
  </si>
  <si>
    <t>Various locations in Glen Ellyn</t>
  </si>
  <si>
    <t>Downers Grove/ Westont</t>
  </si>
  <si>
    <t>168777007.H.813</t>
  </si>
  <si>
    <t>COR1072</t>
  </si>
  <si>
    <t>1314775</t>
  </si>
  <si>
    <t>Verify if emergency district valves are operable NEVs Valve NFIDs:{5E0EEF14-CF12-43B0-8917-EB501BEB034A}{F8B0E263-B11E-434A-8CFF-7157ACD9B800}Emergency district: ED1201 Location:Glen Ellyn</t>
  </si>
  <si>
    <t>Various locations in Westmont</t>
  </si>
  <si>
    <t>Westmont/ Clarendon Hills</t>
  </si>
  <si>
    <t>168777007.H.814</t>
  </si>
  <si>
    <t>1 ADA Ramp, EDV Project - NEV</t>
  </si>
  <si>
    <t>COR1072-1</t>
  </si>
  <si>
    <t>1315010</t>
  </si>
  <si>
    <t>Verify if emergency district valves are operable NEVs
Valve NFIDs: 
{5E0EEF14-CF12-43B0-8917-EB501BEB034A}
{F8B0E263-B11E-434A-8CFF-7157ACD9B800}
Emergency district: ED1201
Location: Glen Ellyn</t>
  </si>
  <si>
    <t>Various locations in Clarendon Hills</t>
  </si>
  <si>
    <t>168777007.H.831</t>
  </si>
  <si>
    <t>$14,750/VLT</t>
  </si>
  <si>
    <t>Replace existing vault facilty #310203. Engineering requested a REV2 to switch the project back to a full vault replacement due to a leak discovered in the vault. Full replacement was originally recommended by KH, but engineering wanted to move forward with a FV install due to budget constraints.</t>
  </si>
  <si>
    <t>E Hintz Rd (CH-A54) &amp; S Milwaukee Ave (US-45/IL-21)</t>
  </si>
  <si>
    <t>168777007.G.415</t>
  </si>
  <si>
    <t xml:space="preserve">Revision for full facility replacement </t>
  </si>
  <si>
    <t>Revision due to KDOT comments to update construction notes and details, revise how backfill is quantified, and update the size of the gas main within their ROW. Revision effort  included extensive coordination with Nicor and the County due to their requests deviating significantly from Nicor standards.</t>
  </si>
  <si>
    <t>Revision due to KDOT comments about trenchbackfill and retired main removal.</t>
  </si>
  <si>
    <t>168777007.H.601</t>
  </si>
  <si>
    <t>Revision due to City of Northlake comments to incorporate public improvement projects within project scope, update utilities locations based on more recent Atlas pages, and adjust running line to increase clearance from City utilities. Project also involved redline/conflict analyis for public improvement projects within scope that had not been sent to Nicor.</t>
  </si>
  <si>
    <t>Project was pending response from Village of Northlake and receipt of their public improvement plans. Once obtained, full redline and conflict analysis was done to adjust proposed design out of any conflict with their improvements.</t>
  </si>
  <si>
    <t xml:space="preserve">	168777007.K.300</t>
  </si>
  <si>
    <t xml:space="preserve">MAPLE PARK </t>
  </si>
  <si>
    <t>Project was pending Nicor coordination with KDOT regarding comments to change the size of the gas main in their ROW.</t>
  </si>
  <si>
    <t>168777007.2.506</t>
  </si>
  <si>
    <t>Revision due to KDOT comments to update contrucstio notes, the size of gas main, and add CLSM and asphalt material quantities.</t>
  </si>
  <si>
    <t>168777007.H.505</t>
  </si>
  <si>
    <t>1501417</t>
  </si>
  <si>
    <t>1014883</t>
  </si>
  <si>
    <t>MARSEILLES</t>
  </si>
  <si>
    <t xml:space="preserve">Park Hill Rd &amp; North 2829th Rd </t>
  </si>
  <si>
    <t>168777007.H.105</t>
  </si>
  <si>
    <t>COR1061</t>
  </si>
  <si>
    <t>1414645</t>
  </si>
  <si>
    <t>Install new proposed valves PNVs for
emergency districts
Valve NFIDs:
{0159EF47-D728-4380-B873-E1934CE494D6}Emergency
district: ED4536
Location: Kankakee</t>
  </si>
  <si>
    <t xml:space="preserve">North St and Washington Ave
Atlas Page: K23204C
Nearby Project - VW86 (unable to find project on sharepoint) </t>
  </si>
  <si>
    <t>Illinois Central RR</t>
  </si>
  <si>
    <t>168777007.H.803</t>
  </si>
  <si>
    <t>EDV - PNV, Project redesign</t>
  </si>
  <si>
    <t>COR1074</t>
  </si>
  <si>
    <t>1414778</t>
  </si>
  <si>
    <t>Inspect emergency district valve NEV
Valve NFID:
{69DDD5A7-B4EE-476C-ABC5-F8FFF401FC9D}
Emergency district: ED3681
Location: Kankakee</t>
  </si>
  <si>
    <t>W Mertens St &amp; N Washington Ave</t>
  </si>
  <si>
    <t>168777007.H.816</t>
  </si>
  <si>
    <t>EDV - NEV</t>
  </si>
  <si>
    <t>COR1069</t>
  </si>
  <si>
    <t>1414907</t>
  </si>
  <si>
    <t>Install new propose valve PNV
Valve NFID:
{FA09464F-CD48-4550-8835-F533DD231ACF}
Emergency District ED3703
Location: Shorewood
Intersection: Manhattan rd and IL 53</t>
  </si>
  <si>
    <t>Location: Manhattan Rd &amp; IL 53
NFID:NFID:{FA09464F-CD48-4550-8835-F533DD231ACF}</t>
  </si>
  <si>
    <t>Elwood</t>
  </si>
  <si>
    <t>Jackson</t>
  </si>
  <si>
    <t>168777007.H.811</t>
  </si>
  <si>
    <t>COR1075</t>
  </si>
  <si>
    <t>1414779</t>
  </si>
  <si>
    <t>Inspect emergency district valve NEV
Valve NFID:
{4A19FCF4-FDDD-4322-89B0-760F4142E0BE}
Emergency district: ED4163
Location: Plainfield</t>
  </si>
  <si>
    <t xml:space="preserve">W 135th St &amp; S Naperville Rd </t>
  </si>
  <si>
    <t>Plainfield/Wheatland</t>
  </si>
  <si>
    <t>168777007.H.817</t>
  </si>
  <si>
    <t>COR1070</t>
  </si>
  <si>
    <t>1414773</t>
  </si>
  <si>
    <t>Inspect emergency district valves NEVs
Valve NFIDs:
{156F94D4-4C15-426D-9A2C-E1D396E46BA0}
{DEA93344-11A6-4868-AEC0-B5C43533F074} 
{EC4E02A0-691F-4910-BEF2-CBE7AF6ECF0C}
Emergency district ED3703
Location: Shorewood</t>
  </si>
  <si>
    <t>Location 1: New Lenox Rd &amp; Oakview Ave
Location 2: New Lenox Rd &amp; Cherry Hill Rd
Location 3: E Washington St &amp; Boulder Ave</t>
  </si>
  <si>
    <t>168777007.H.812</t>
  </si>
  <si>
    <t>COR1070-1</t>
  </si>
  <si>
    <t>1415020</t>
  </si>
  <si>
    <t xml:space="preserve">168777007.H.832 </t>
  </si>
  <si>
    <t>COR1073-1</t>
  </si>
  <si>
    <t>1215009</t>
  </si>
  <si>
    <t>Validate NEVs valves valve NFIDs: {DFFDCF7E-AE6C-427B-AF91-C4FA7F163FC7} {81F0D34A-217A-4EB1-BDA1-F928101E7202} {B6BBB457-7CF9-41E6-B408-9CB6D7D2B6E1} {EF25373A-279B-4E97-8E67-C208D90BE127} {D463D2CB-7DD3-42B4-A82D-13260119E1B2} {4700A4DC-F40A-4FE3-97D2-6ADD29931572} Emergency District ED2169 Location des Plaines</t>
  </si>
  <si>
    <t>Various locations in Northbrook</t>
  </si>
  <si>
    <t>Northfield</t>
  </si>
  <si>
    <t>168777007.H.833</t>
  </si>
  <si>
    <t>SC25418</t>
  </si>
  <si>
    <t>1414948</t>
  </si>
  <si>
    <t>Revision due to change in Land rights, required change in running line (scope expansion).</t>
  </si>
  <si>
    <t>~400’ of 8” STL MOP being relocated due to conflicts w/ proposed underpass improvements.
Along US 150 and north of the intersection of W College Ave &amp; US 150</t>
  </si>
  <si>
    <t>Rivian</t>
  </si>
  <si>
    <t>Dry Grove</t>
  </si>
  <si>
    <t>168777007.M.051</t>
  </si>
  <si>
    <t>1214777</t>
  </si>
  <si>
    <t>168777007.H.815</t>
  </si>
  <si>
    <t>1 ADA ramp, EDV - NEV</t>
  </si>
  <si>
    <t>SC23070/SC23070-1</t>
  </si>
  <si>
    <t>1314001/1314071</t>
  </si>
  <si>
    <t>Silent revision due to updated environmental site survey and updated municipal boundary linework.</t>
  </si>
  <si>
    <t>COR1065</t>
  </si>
  <si>
    <t>1314906</t>
  </si>
  <si>
    <t>Install new proposed valve: Emergency District ED1056 Valve NFID: {FCB96D9D-CE09-4C44-A105-D0119B36ED2C} Intersection: Kennedy and Freedom Pl</t>
  </si>
  <si>
    <t>Freedom &amp; Kennedy Rd</t>
  </si>
  <si>
    <t>Yorkville/Unincorporated Yorkville</t>
  </si>
  <si>
    <t>Bristol</t>
  </si>
  <si>
    <t>168777007.H.807</t>
  </si>
  <si>
    <t>Revision due to KDOT comments to update services, symbol legend, construction note callouts, and removal updates.</t>
  </si>
  <si>
    <t xml:space="preserve">168777007.H.504 </t>
  </si>
  <si>
    <t>Engineering requested KH to prepare a full MOT/detour plan for main installation beneath CCDOTH and IDOT roadway and tie-in under the pavement of Elmhurst Rd (IDOT).</t>
  </si>
  <si>
    <t>Custom MOT plan is required due to tie-in on Elmhurst Rd (IDOT) &amp; Landmeier Rd. Existing 20" TR main is in the middle of Elmhurst Rd at 7.5' deep, per coordination with Nicor Con Ops, Engineering, and IDOT a custom MOT will be required.</t>
  </si>
  <si>
    <t xml:space="preserve">168777007.K.002 </t>
  </si>
  <si>
    <t>1214679/1214741</t>
  </si>
  <si>
    <t>Revision due to the Village of Rosemont's re-design that included shifts to the proposed storm sewers and adjustments to the proposed grading to eliminate conflicts and reduce the reimbursable scope.  Revision effort included redefining the reimbursable areas in the design and updating PCTS to reflect the changes.</t>
  </si>
  <si>
    <t>Project was pending developer updated drainage, grading improvements, and curb details to avoid reimbursement.</t>
  </si>
  <si>
    <t>168777007.E.084</t>
  </si>
  <si>
    <t>Revision to update reimbursable limits and estimate</t>
  </si>
  <si>
    <t>SC24631</t>
  </si>
  <si>
    <t>1314540</t>
  </si>
  <si>
    <t>~400’ of 2" STL, and 3,100' of 4" STL in conflict with proposed roadway reconstruction and drainage improvements.
IL Route 25 from May Lane to Courier Avenue.</t>
  </si>
  <si>
    <t>168777007.M.016</t>
  </si>
  <si>
    <t>COR1086</t>
  </si>
  <si>
    <t>1314910</t>
  </si>
  <si>
    <t>Tom Mctigue</t>
  </si>
  <si>
    <t>Inspect emergency district valve NEV Valve NFID: {77CB0BCD-0FF0-4DE9-8F40-B6BEC64BDA02} Emergency district: ED1223 Location: Glen Ellyn</t>
  </si>
  <si>
    <t>IL RTE 56 &amp; IL RTE 53</t>
  </si>
  <si>
    <t>168777007.H.820</t>
  </si>
  <si>
    <t>COR1077</t>
  </si>
  <si>
    <t>1314909</t>
  </si>
  <si>
    <t>Emergency District Valve - NEV Validation.5 Valves: GIS#s:{3719739A-A43B-4DAE-9CAB-425CA047E846}
{6594E713-874A-4462-8E5E-BAC185E2551A}{943BECAA-CB6F-4332-BC44-630B7BF24CB5}{883E1E67-7DA7-4339-9D7F-3C03016E5E2E}{2799EB86-79A8-4B8B-94D7-3DC4514A0644}- to validate, and install anode and/or test station.</t>
  </si>
  <si>
    <t>Various locations in Aurora</t>
  </si>
  <si>
    <t xml:space="preserve">Aurora
</t>
  </si>
  <si>
    <t xml:space="preserve">168777007.H.819 </t>
  </si>
  <si>
    <t>COR1077-1</t>
  </si>
  <si>
    <t>1315073</t>
  </si>
  <si>
    <t>Various locations in Naperville</t>
  </si>
  <si>
    <t xml:space="preserve">
Naperville</t>
  </si>
  <si>
    <t>168777007.H.834</t>
  </si>
  <si>
    <t>M16089</t>
  </si>
  <si>
    <t>1214808</t>
  </si>
  <si>
    <t>~6,000' of 2" &amp; 4" main being relocated due to conflicts with proposed side walk and grading improvements as well as shallow main conditions.
156th St, 157th St, and 158th St</t>
  </si>
  <si>
    <t>City of Oak Forest</t>
  </si>
  <si>
    <t>168777007.M.037</t>
  </si>
  <si>
    <t>Revision due to BNSF Railroad comments to revise the gas main design beneath their elevated tracks to increase the clearance from bridge structures. The alignment, profile, quantities, and the MOT plan were revised per the new design. In addition, a full detour plan was created to accommodate the new design which required extensive coordination with IDOT and CDOT for detour route approval. Additional comments were incorporated from IDOT and Omnitrax to update construction notes, details, and railroad ownership.</t>
  </si>
  <si>
    <t>Project required extensive coordination with railroads, IDOT, and the City of Chicago to conditionally approve new variances and detour routes resulting from the comments.</t>
  </si>
  <si>
    <t>OmniTrax, IC/CN, BNSF, BRC</t>
  </si>
  <si>
    <t>168777007.2.311</t>
  </si>
  <si>
    <t>Revision due to KDOT comments to add MOT details, show excavation, and remove bollards.</t>
  </si>
  <si>
    <t>168777007.H.603</t>
  </si>
  <si>
    <t>COR1076</t>
  </si>
  <si>
    <t>1414780</t>
  </si>
  <si>
    <t>Install new PNV valves for emergency district PNV Valve NFIDs {85CCE44D-C3C0-45F8-805E-EA3B7647E56A}
{AD066F69-C496-4739-ADA3-4CDBBC0CFD5B}Emergency district: ED4156
Location: Frankfort</t>
  </si>
  <si>
    <t>Various locations in Frankfort</t>
  </si>
  <si>
    <t>168777007.H.818</t>
  </si>
  <si>
    <t>Revision due to IDOT D1 comments to indicate bore/installation depth within their ROW, include additional detail, and add construction notes.</t>
  </si>
  <si>
    <t>Project was pending Nicor feedback on method to address IDOT comment to show depth of bore.</t>
  </si>
  <si>
    <t>168777007.K.301</t>
  </si>
  <si>
    <t>1014641</t>
  </si>
  <si>
    <t>NORRIDGE</t>
  </si>
  <si>
    <t>$14,750/VLT + $12,750/TW</t>
  </si>
  <si>
    <t xml:space="preserve">Vault# 2201230 have major pitting and coating disbandment, pipe has experienced 16% loss. Will be needed full replacement of 3X3 vaults
Location: River Rd And Catalpa Ave </t>
  </si>
  <si>
    <t>River Rd &amp; Catalpa Ave</t>
  </si>
  <si>
    <t>168777007.G.412</t>
  </si>
  <si>
    <t>85*</t>
  </si>
  <si>
    <t>RS, *83' is temp, TW and 1 FV are temp. 1 permanent vault and FV</t>
  </si>
  <si>
    <t>COR1083</t>
  </si>
  <si>
    <t>1414911</t>
  </si>
  <si>
    <t>Inspect emergency district valve NEV Valve NFID: {C4218096-70FD-4764-BE16-717411AF4C41} Emergency district: ED4150 Location: Joliet</t>
  </si>
  <si>
    <t>W Theodore St &amp; IL-59</t>
  </si>
  <si>
    <t>168777007.H.821</t>
  </si>
  <si>
    <t>1501086</t>
  </si>
  <si>
    <t>E 3150 North Rd &amp; N 675 East Rd 
Atlas Page: O84074B</t>
  </si>
  <si>
    <t>168777007.H.100</t>
  </si>
  <si>
    <t>1501116</t>
  </si>
  <si>
    <t>1014879</t>
  </si>
  <si>
    <t>Confirmed Scope: vent out only</t>
  </si>
  <si>
    <t xml:space="preserve">County RTE 3 </t>
  </si>
  <si>
    <t>168777007.H.103</t>
  </si>
  <si>
    <t>3701136</t>
  </si>
  <si>
    <t>1014898</t>
  </si>
  <si>
    <t xml:space="preserve">Add pull off with vent out - no additional EDSR needed. </t>
  </si>
  <si>
    <t xml:space="preserve">Stony Point Rd &amp; Sink Hollow Rd </t>
  </si>
  <si>
    <t>168777007.H.119</t>
  </si>
  <si>
    <t>N19637</t>
  </si>
  <si>
    <t>KH issued Negotiated Out Of Letter on 4/1.</t>
  </si>
  <si>
    <t>~300’ of 2” STL, 150’ of 4” STL, 1,000’ of 6” STLin potential conflict with proposed fiber work.
Linden Rd, South Alpine Rd, Sandy Hallow Rd, Lonergan Dr, Colt Rd, &amp; South Mulford Rd</t>
  </si>
  <si>
    <t xml:space="preserve">168777007.M.059 </t>
  </si>
  <si>
    <t xml:space="preserve">Revision due to the developer requesting Nicor to relocate the main into a new Nicor private 5' easement instead of relocating the main into a 25' public utility easement, which was previously coordinated with the developer during design. Updated design included adjusting the proposed 8" running line on one design sheet. </t>
  </si>
  <si>
    <t>168777007.E.086</t>
  </si>
  <si>
    <t>Revision due to change in easement in formation from Rivian</t>
  </si>
  <si>
    <t>COR1088</t>
  </si>
  <si>
    <t>1315170</t>
  </si>
  <si>
    <t>Emergency District Valve - NEV Validation. 7 Valves
- to validate, and install anode and/or test station.
{0E47086B-987A-4D25-8716-BD9E38ECD2B1}
{7D92D942-A127-4FFD-B738-8E65D49C70CA} 
{A3ABBCD5-A396-41D9-BE30-C64B03C6287C}
{2D44C7E1-B8D1-4E41-8250-52137DF9A8A3}
{666BD215-6E82-4B2F-BC05-56B95DF3E7FC}
{77D4D789-C73D-488E-A7AC-B73A64787D0E}
{D16CF11C-1305-4F0B-8F24-CF2772D4AC29}
ED1088</t>
  </si>
  <si>
    <t>Various locations in St. Charles</t>
  </si>
  <si>
    <t>168777007.H.822</t>
  </si>
  <si>
    <t xml:space="preserve">N17865-1 </t>
  </si>
  <si>
    <t>1214787</t>
  </si>
  <si>
    <t>~500' of 6" and 8" main being relocated due to drainage improvements and grade cuts.
Location: FAP Route 342 (IL Route 53)</t>
  </si>
  <si>
    <t>168777007.D.166</t>
  </si>
  <si>
    <t>60# Work Order for N17865-T</t>
  </si>
  <si>
    <t>Revision due to City of Des Plaines comments to add in city water main. Water plans we're not provided when JULIE calls were made and created minor updates to plans including design and quantities.</t>
  </si>
  <si>
    <t>Revision due to City of Des Plaines comments to add in city water main. Water plans we're not provided when JULIE calls were made and created update to plans including design and quantities.</t>
  </si>
  <si>
    <t>168777007.H.835</t>
  </si>
  <si>
    <t>Revision due to incorporating updated Will County existing surface information into the WO drawings, which required an evaluation of all previously identified conflicts, identification of any new conflicts, adjusting all conflict depth callouts, and incorporating updated proposed gas main design as necessary. Scope was expanded to included two additional design sheets, one bore profile requested by ConOps, and design updates to three existing design sheets.</t>
  </si>
  <si>
    <t>Project was pending surface files from Will County to re-evaluate conflicts.</t>
  </si>
  <si>
    <t>168777007.E.074</t>
  </si>
  <si>
    <t>1201126</t>
  </si>
  <si>
    <t>1014905</t>
  </si>
  <si>
    <t>WCHICAGO</t>
  </si>
  <si>
    <t>Previous Project RS1143
Confirmed Scope: originally vent out only - updated to vent out, replace tin tub, and install separate relief leg at RR</t>
  </si>
  <si>
    <t>IL RTE 59 &amp; Waynewood Dr</t>
  </si>
  <si>
    <t>168777007.H.111</t>
  </si>
  <si>
    <t>4301435</t>
  </si>
  <si>
    <t>1014903</t>
  </si>
  <si>
    <t>EMINGTON</t>
  </si>
  <si>
    <t xml:space="preserve">Previous Project RS870
Confirmed Scope: vent out only </t>
  </si>
  <si>
    <t>Ellen St &amp; Emington Rd</t>
  </si>
  <si>
    <t>168777007.H.130</t>
  </si>
  <si>
    <t>N13645</t>
  </si>
  <si>
    <t>1215033</t>
  </si>
  <si>
    <t xml:space="preserve">Cost estimate decreased due to ConOps decreasing 2 person boring crew, traffic control and trucking time to be less than what was reviewed with them during the cost estimate review meeting. Items were initially added by ConOps due to multiple install locations, utility congrestion, deep bores, and road crossings. </t>
  </si>
  <si>
    <t>~3,000’ of 2” and 4" STL  main being relocated due to drainage and roadway improvements.
Paulina Ave, Celia Ave, Margret Ave, Eugene Ave, Clarice Ave, Horatio Blvd, Elizabeth Ave, William Ave, Florence Ave, Raphel Ave, Carman Ave, Lilac Ln, and Armstrong Ln</t>
  </si>
  <si>
    <t>Vernon</t>
  </si>
  <si>
    <t>168777007.M.049</t>
  </si>
  <si>
    <t>1014900</t>
  </si>
  <si>
    <t>Previous Project RS1088
Confirmed Scope: vent out, replace the tin tub, and install a separate relief leg</t>
  </si>
  <si>
    <t>Crawford Ave &amp; 203rd St</t>
  </si>
  <si>
    <t>168777007.H.126</t>
  </si>
  <si>
    <t>1501109</t>
  </si>
  <si>
    <t>1014856</t>
  </si>
  <si>
    <t>E 18th Rd &amp; N 25th Rd 
Atlas Page: O26303C</t>
  </si>
  <si>
    <t>168777007.H.101</t>
  </si>
  <si>
    <t>3601195</t>
  </si>
  <si>
    <t>1014893</t>
  </si>
  <si>
    <t xml:space="preserve">Rte 20 &amp; W Chetlian Ln </t>
  </si>
  <si>
    <t>168777007.H.114</t>
  </si>
  <si>
    <t>4101045</t>
  </si>
  <si>
    <t>1014901</t>
  </si>
  <si>
    <t>Crawford Ave &amp; Cumnock Rd</t>
  </si>
  <si>
    <t>168777007.H.127</t>
  </si>
  <si>
    <t>Nicor requested a new WO number be created in PCTS and updated per released drawings due to an internal Nicor IT issue.</t>
  </si>
  <si>
    <t>168777007.H.604</t>
  </si>
  <si>
    <t>1214785</t>
  </si>
  <si>
    <t>Flange of valve leaking, tried to replace bolts, couldn’t replace. valve needs to be removed main reroute, with bypass. MOP of main is 230, running at 130.</t>
  </si>
  <si>
    <t>Intersection of W Pleasant St, W Broadway St, &amp; S Cherry Ave in Freeport, IL</t>
  </si>
  <si>
    <t>168777007.J.010</t>
  </si>
  <si>
    <t>HYDRO TEST VARIANCE</t>
  </si>
  <si>
    <t>3501371</t>
  </si>
  <si>
    <t>1014891</t>
  </si>
  <si>
    <t xml:space="preserve">Cunningham Rd </t>
  </si>
  <si>
    <t>168777007.H.123</t>
  </si>
  <si>
    <t>1914022/1914035/1914036</t>
  </si>
  <si>
    <t>Revision due to IDOT D3 comments to add a profile for the proposed US-45 crossing and additional details showing traffic control devices and site-specific construction notes pertaining to potentially contaminated soil.</t>
  </si>
  <si>
    <t>168777007.K.505</t>
  </si>
  <si>
    <t>M15914</t>
  </si>
  <si>
    <t>Scope: 50’ of 2” PE, 250’ of 2”STL  and 1300’ of 8” STL in potential conflict w/ sewer and watermain improvements.</t>
  </si>
  <si>
    <t>168777007.M.060</t>
  </si>
  <si>
    <t>1401373</t>
  </si>
  <si>
    <t>1014877</t>
  </si>
  <si>
    <t xml:space="preserve">Previous project RS1143 
Confirmed Scope: vent out only </t>
  </si>
  <si>
    <t xml:space="preserve">Blume Dr &amp; Hopps Rd </t>
  </si>
  <si>
    <t>168777007.H.112</t>
  </si>
  <si>
    <t>1501138</t>
  </si>
  <si>
    <t>1014881</t>
  </si>
  <si>
    <t>Vent out is not needed for TW #1501137. Instead, TW #1501138 will receive the retrofit per sys ops and engineering on 2/10. 
Confirmed Scope: vent out, replace tin tub, install separate relief leg</t>
  </si>
  <si>
    <t xml:space="preserve">Division St &amp; Walnut St </t>
  </si>
  <si>
    <t>168777007.H.104</t>
  </si>
  <si>
    <t>1501413</t>
  </si>
  <si>
    <t>1014857</t>
  </si>
  <si>
    <t>E 27th Rd &amp; N 35th Rd</t>
  </si>
  <si>
    <t>168777007.H.108</t>
  </si>
  <si>
    <t>1501463</t>
  </si>
  <si>
    <t>1014886</t>
  </si>
  <si>
    <t xml:space="preserve">Confirmed Scope: vent out only </t>
  </si>
  <si>
    <t xml:space="preserve">Spring Rd (East 2062nd Rd) </t>
  </si>
  <si>
    <t>168777007.H.109</t>
  </si>
  <si>
    <t xml:space="preserve">TWV  Retrofit </t>
  </si>
  <si>
    <t>3101013</t>
  </si>
  <si>
    <t>1014887</t>
  </si>
  <si>
    <t>MTPROSPECT</t>
  </si>
  <si>
    <t xml:space="preserve">Previous Project RS1011
Confirmed Scope: vent out, replace tin tub, install separate relief leg </t>
  </si>
  <si>
    <t xml:space="preserve">Rand Rd (US-12) &amp; N Louis St </t>
  </si>
  <si>
    <t>168777007.H.124</t>
  </si>
  <si>
    <t>1214809</t>
  </si>
  <si>
    <t xml:space="preserve">Revision due to the Village of Barrington requesting pipe removal to be shown within RR ROW.  The removal of pipe within RR ROW is atypical, but due to the construction methods defined by the village, pipe removal is able to occur. </t>
  </si>
  <si>
    <t xml:space="preserve">KH coordinating with CN and the Village to confirm method of pipe removal was acceptable and can be completed in conjuction with the Village construction. </t>
  </si>
  <si>
    <t>168777007.E.089</t>
  </si>
  <si>
    <t xml:space="preserve">New notes requested by Ed Zaengle to include dimensions for forest preserve license agreement hatching and a note specifying the license agreement is 25' wide centered on the existing main. </t>
  </si>
  <si>
    <t>Orland/ Palos</t>
  </si>
  <si>
    <t>Silent revision due to Nicor request to update plans to include 2025 drawing standards.</t>
  </si>
  <si>
    <t>168777007.H.000</t>
  </si>
  <si>
    <t>1301570</t>
  </si>
  <si>
    <t>1014876</t>
  </si>
  <si>
    <t>SUGARGROVE</t>
  </si>
  <si>
    <t xml:space="preserve">Previous project RS1056
Confirmed Scope: vent out only </t>
  </si>
  <si>
    <t>IL-47 &amp; Finley Rd
Atlas Page: NW22321D</t>
  </si>
  <si>
    <t>168777007.H.110</t>
  </si>
  <si>
    <t>Revision due to the Village of Rosemont's Ice Arena project not considered for reimbursement due to improvements &amp; existing main located within existing ROW.  Revision effort included removing the reimbursable areas in the design and updating PCTS to reflect the changes.</t>
  </si>
  <si>
    <t>Engineering reviewed and confirmed no reimbursement pursuit.</t>
  </si>
  <si>
    <t>168777007.E.091</t>
  </si>
  <si>
    <t>Revision to remove reimbursable limits and update estimate</t>
  </si>
  <si>
    <t>MR2BID5541</t>
  </si>
  <si>
    <t>1214811</t>
  </si>
  <si>
    <t xml:space="preserve">Camille Corbi </t>
  </si>
  <si>
    <t>Install approximately 550' of 6" PE (10#) and 100' of 2" PE (10#) to replace 550' of 6" STL and 100' of 2" STL in Oak Park. Oak Park Ave &amp; Lake St due to Oak Park repaving plans.</t>
  </si>
  <si>
    <t>Main replacement is to be done in advance of Oak Park Ave streetscape project. Oak Park plans to begin construction the beginning of March 2025. Streetscape project was given to Nicor Engineering #M15327;
Oak Park Ave, Lake St, North Blvd, &amp; Kennilworth Ave</t>
  </si>
  <si>
    <t xml:space="preserve">168777007.J.011 </t>
  </si>
  <si>
    <t>SC25031</t>
  </si>
  <si>
    <t>1415051</t>
  </si>
  <si>
    <t>ROCKDALE</t>
  </si>
  <si>
    <t>~400' of 2" STL, 1000' of 4" STL being relocated due to proposed water, storm main and water,storm structures
Meadow Ave from Morris St to Brandon Rd</t>
  </si>
  <si>
    <t>Village of Rockdale</t>
  </si>
  <si>
    <t>Rockdale</t>
  </si>
  <si>
    <t>168777007.M.048</t>
  </si>
  <si>
    <t xml:space="preserve">KANKAKEE </t>
  </si>
  <si>
    <t xml:space="preserve">Revision due to IDOT comments to incorporate new construction notes for IDOT district 3 and for Nicor to acknowledge site specific environmental considerations.  </t>
  </si>
  <si>
    <t>168777007.H.838</t>
  </si>
  <si>
    <t>MR2BID9647-3</t>
  </si>
  <si>
    <t>1214992</t>
  </si>
  <si>
    <t>HOMETOWN</t>
  </si>
  <si>
    <t>Cost estimate increased due to revising from 2025 to 2026 contract year.</t>
  </si>
  <si>
    <t xml:space="preserve">City of Chicago - ~2,580' of 2" PE main </t>
  </si>
  <si>
    <t>87th St from Kenton Ave to Keeler Ave.</t>
  </si>
  <si>
    <t>City of Chicago/Hometwon</t>
  </si>
  <si>
    <t>168777007.J.304</t>
  </si>
  <si>
    <t>Environmental requested KH to include municipal boundaries to the plans and issue a silent revision.</t>
  </si>
  <si>
    <t>Revision to remove KDOT scope of work from drawings.</t>
  </si>
  <si>
    <t xml:space="preserve">168777007.H.839 </t>
  </si>
  <si>
    <t>Revision due to Township comments to remove proposed gravel driveway. KH coordinated with Township and Nicor on potential feasible locations that would be beneficial, but none were accepted by the Township and ultimately needed to be removed.</t>
  </si>
  <si>
    <t>Pending confirmation from Sys Ops on preference to remove or revise proposed gravel driveway location.</t>
  </si>
  <si>
    <t>168777007.H.159</t>
  </si>
  <si>
    <t>Mount Prospect</t>
  </si>
  <si>
    <t>Revision due to village requesting valve outside of the sidewalk area. KH coordinated with village to negotiate out of revision due to design alternatives not being feasible.</t>
  </si>
  <si>
    <t>Dan Strycharz/Alec Baltazar</t>
  </si>
  <si>
    <t>Revision due to Kankakee County requiring pipe removal for retired gas main within KCHD ROW. Per Nicor Engineering, pipe removal was only added for main under the roadway.</t>
  </si>
  <si>
    <t>Kankakee County requested full pipe removal of abanonded gas main within their ROW.  This is not stated in their oridence, Nicor requested that KH update the drawings to show pipe removal and have ConOps negotiated in the field regarding full pipe removal</t>
  </si>
  <si>
    <t>168777007.E.092</t>
  </si>
  <si>
    <t>Revision to update pipe removal per Kankakee County's request</t>
  </si>
  <si>
    <t xml:space="preserve">ROLLING MEADOWS </t>
  </si>
  <si>
    <t xml:space="preserve">Replace existing Facility #3101113. Relocation due to Eng requesting to update proposed vault location. Original design was to replace in place since location was ideal, however, vintage water main found in close proximity to original location and was deemed a concern prior to construction. </t>
  </si>
  <si>
    <t xml:space="preserve">Proposed Location: Wilke Rd &amp; Kilarney Ct
Existing LocationL: S Wilke Rd &amp; Central Rd </t>
  </si>
  <si>
    <t xml:space="preserve">Rolling Meadows </t>
  </si>
  <si>
    <t>168777007.H.508</t>
  </si>
  <si>
    <t>Revision due to Village of Shorewood updating their proposed ROW. The village also has concerns with the depth of Nicor's proposed main due to sizing of the trench for the village’s proposed 42” storm sewer.</t>
  </si>
  <si>
    <t>Project is pending updated pre-final plans and CAD files showing the updated ROW.</t>
  </si>
  <si>
    <t>168777007.E.080</t>
  </si>
  <si>
    <t>MR2BID9834-2</t>
  </si>
  <si>
    <t>1214993</t>
  </si>
  <si>
    <t>Village of Oak Lawn: ~11,700' of 2" PE replacement and ~1,950' of 4" PE main replacement.</t>
  </si>
  <si>
    <t>W 91st Pl from S Tripp Ave to S Crawford Ave, Oaklawn IL</t>
  </si>
  <si>
    <t xml:space="preserve">168777007.J.305 </t>
  </si>
  <si>
    <t>Revision due to delay of IDOT review during design phase that led to comments on the drawings after project was released. IDOT made multiple requests and Kimley-Horn negotiated out of all of them except for an added bore profile and MOTs being added to the drawings.</t>
  </si>
  <si>
    <t>KH coordinating with Nicor and IDOT about a path forward and to negotiate some of the conflicts. KH moving forward with adding a bore profile and IDOT requested MOTs.</t>
  </si>
  <si>
    <t>168777007.E.093</t>
  </si>
  <si>
    <t>4401274</t>
  </si>
  <si>
    <t>1015200</t>
  </si>
  <si>
    <t>168777007.H.151</t>
  </si>
  <si>
    <t>RS1230</t>
  </si>
  <si>
    <t>2025 TW Replacement Program - Replace Facility 3401056 or Main Installation to Eliminate Facility 3401056</t>
  </si>
  <si>
    <t xml:space="preserve">Project scope being combined with RS1213 Elburn </t>
  </si>
  <si>
    <t>168777007.G.613</t>
  </si>
  <si>
    <t>N18592</t>
  </si>
  <si>
    <t>1214908</t>
  </si>
  <si>
    <t>~300' of 2" main being relocated due to box culvert and storm sewer improvements.</t>
  </si>
  <si>
    <t>City of McHenry</t>
  </si>
  <si>
    <t>168777007.D.152</t>
  </si>
  <si>
    <t>4101054</t>
  </si>
  <si>
    <t>1015143</t>
  </si>
  <si>
    <t xml:space="preserve">S CHICAGO HEIGHTS </t>
  </si>
  <si>
    <t>South Region 
Atlas Page: E20293C
Dead End System</t>
  </si>
  <si>
    <t>168777007.H.132</t>
  </si>
  <si>
    <t>TWV  Retrofit; Forest Preserve Coordination</t>
  </si>
  <si>
    <t>4101234</t>
  </si>
  <si>
    <t>1015142</t>
  </si>
  <si>
    <t xml:space="preserve">Madie Roman </t>
  </si>
  <si>
    <t>South Region  
Atlas Page: E19272B
Dead End System</t>
  </si>
  <si>
    <t>168777007.H.131</t>
  </si>
  <si>
    <t>4101238</t>
  </si>
  <si>
    <t>1015144</t>
  </si>
  <si>
    <t xml:space="preserve">TW in scope of BS441 - use linework 
Atlas Page: E24313C 
Dead End System </t>
  </si>
  <si>
    <t>168777007.H.143</t>
  </si>
  <si>
    <t>SC25578</t>
  </si>
  <si>
    <t>1415290</t>
  </si>
  <si>
    <t>~615’ of 2” STL main in conflict with proposed roadway grade cuts.
Baltimore St (IL-53)</t>
  </si>
  <si>
    <t>Wilmington</t>
  </si>
  <si>
    <t>168777007.M.056</t>
  </si>
  <si>
    <t>1201020</t>
  </si>
  <si>
    <t>1015168</t>
  </si>
  <si>
    <t xml:space="preserve">WAYNE </t>
  </si>
  <si>
    <t xml:space="preserve">Central Region 
Atlas Page: WC31122D
Dead End System </t>
  </si>
  <si>
    <t>168777007.H.133</t>
  </si>
  <si>
    <t>1201030</t>
  </si>
  <si>
    <t>1015169</t>
  </si>
  <si>
    <t xml:space="preserve">W CHICAGO </t>
  </si>
  <si>
    <t xml:space="preserve">Confirmed Scope: vent out and replace tub </t>
  </si>
  <si>
    <t xml:space="preserve">Central Region 
Atlas Page: WC26294D
Dead End System </t>
  </si>
  <si>
    <t>168777007.H.141</t>
  </si>
  <si>
    <t>1201100</t>
  </si>
  <si>
    <t>1015171</t>
  </si>
  <si>
    <t xml:space="preserve">ST CHARLES </t>
  </si>
  <si>
    <t xml:space="preserve">Central Region 
Atlas Page: WC31124B
Dead End System </t>
  </si>
  <si>
    <t>168777007.H.152</t>
  </si>
  <si>
    <t xml:space="preserve">Revision due to updated designs by MCI and Lumen that were provided after the project was released. Lumen's proposed design resulted in Nicor's full design needing to be adjusted, approximately 1000' of 6" STL. The drawings were also updated with notes and details requested by the City of Northlake. </t>
  </si>
  <si>
    <t>Coordinating with MCI regarding their updated relocation of fiber to verify if Nicor design needs to be updated or not.</t>
  </si>
  <si>
    <t>168777007.E.088</t>
  </si>
  <si>
    <t>Revision due to Land request to adjust running line due to inability to obtain proposed new easement. Redesign required for ~1700' of 8" STL MOP and 2 creek crossing profiles. Project was sent through Region Review due to design changes.</t>
  </si>
  <si>
    <t>Project required full redesign and was submitted through an abbreviated Region Review.</t>
  </si>
  <si>
    <t>168777007.K.003</t>
  </si>
  <si>
    <t>Tie-in near facility.</t>
  </si>
  <si>
    <t>83.5 Hours Billed</t>
  </si>
  <si>
    <t>1201105</t>
  </si>
  <si>
    <t>1015172</t>
  </si>
  <si>
    <t xml:space="preserve">Confirmed Scope: Vent out and replace tub </t>
  </si>
  <si>
    <t xml:space="preserve">Central Region 
Atlas Page: WC31133B
Dead End System </t>
  </si>
  <si>
    <t>168777007.H.134</t>
  </si>
  <si>
    <t>1014904</t>
  </si>
  <si>
    <t>MACKINAW</t>
  </si>
  <si>
    <t xml:space="preserve">Cancelled </t>
  </si>
  <si>
    <t xml:space="preserve">Previous proejct RS1139
Confirmed Scope: vent out only </t>
  </si>
  <si>
    <t>Fast Ave &amp; Park Trail Rd</t>
  </si>
  <si>
    <t>168777007.H.128</t>
  </si>
  <si>
    <t>4401070</t>
  </si>
  <si>
    <t>1015199</t>
  </si>
  <si>
    <t xml:space="preserve">DOWNS </t>
  </si>
  <si>
    <t xml:space="preserve">Conner Chamernik </t>
  </si>
  <si>
    <t xml:space="preserve">South Region 
Atlas Page: B13301B
Dead End System </t>
  </si>
  <si>
    <t>168777007.H.142</t>
  </si>
  <si>
    <t>4401083</t>
  </si>
  <si>
    <t>1015202</t>
  </si>
  <si>
    <t xml:space="preserve">CONGERVILLE </t>
  </si>
  <si>
    <t xml:space="preserve">Julia Holstead </t>
  </si>
  <si>
    <t>South Region 
Atlas Page: B32182C</t>
  </si>
  <si>
    <t>168777007.H.154</t>
  </si>
  <si>
    <t>1214925</t>
  </si>
  <si>
    <t>City of Hometown: ~9,400' of 2" PE main replacement, ~1,200' of 4" PE replacement, and ~2,400' of 8" STL replacement.</t>
  </si>
  <si>
    <t>W 90th Pl from S Main Ave to S Crawford Ave, Hometown IL</t>
  </si>
  <si>
    <t xml:space="preserve">168777007.J.302 </t>
  </si>
  <si>
    <t>N19534</t>
  </si>
  <si>
    <t>KH issued Negotiated Out Of Letter on 06/05.</t>
  </si>
  <si>
    <t>350’ of 4” STL in potential conflict with proposed grade cuts &amp; underdrain improvements.
East 7th Street (from 5th St to
6th St)</t>
  </si>
  <si>
    <t>168777007.M.069</t>
  </si>
  <si>
    <t xml:space="preserve">Revision to add existing linework and adjust design to account for underground electrical infrastructure, including an electrical tunnel, that was not provided during the JULIE request process. This underground facility required a running line design change to move approximately 900' of 4" PE to the south side of Lunt Ave and adjustments in tie-ins to the proposed gas main. </t>
  </si>
  <si>
    <t>Village of Rosemont  provided comments to incorporate into WO drawings.</t>
  </si>
  <si>
    <t>168777007.E.096</t>
  </si>
  <si>
    <t>Revision to update running line due to exisiting electrical facilities &amp; underground tunnel</t>
  </si>
  <si>
    <t>Revision due to IDOT D1 requesting to move proposed TW location outside of IDOT intersection. Requested location for the facility by IDOT required tree removal and additional coordination with various Nicor departments and city of Woodstock to confirm if new location was acceptable.</t>
  </si>
  <si>
    <t>Greenwood</t>
  </si>
  <si>
    <t>168777007.H.606</t>
  </si>
  <si>
    <t xml:space="preserve">Nicor PMO is requesting that this project be broken into two WOs for cost tracking purposes. </t>
  </si>
  <si>
    <t>168777007.2.314</t>
  </si>
  <si>
    <t>WO Split and Easement Exhibits</t>
  </si>
  <si>
    <t>4101029</t>
  </si>
  <si>
    <t>1015149</t>
  </si>
  <si>
    <t xml:space="preserve">South Region 
Atlas Page: E24071C
Dead End System </t>
  </si>
  <si>
    <t>168777007.H.157</t>
  </si>
  <si>
    <t>1415389</t>
  </si>
  <si>
    <t>800' of 1 ½” STL and 4” PE main being relocated due to conflicts with proposed grading and drainage improvements.
N Main St &amp; Mosier St</t>
  </si>
  <si>
    <t>168777007.M.046</t>
  </si>
  <si>
    <t>IDOT D3 Crossing profiles</t>
  </si>
  <si>
    <t>MR2BID9647-2</t>
  </si>
  <si>
    <t>1214991</t>
  </si>
  <si>
    <t>Hometown &amp; IDOT Tie-in: ~9,000' of 2" PE main &amp; ~2,800' of 4" PE main replacement.</t>
  </si>
  <si>
    <t>88th Pl &amp; Cicero Ave (Il-59), 88th Pl, Buckley Rd, Columbus Ave, Kilburn St, and 91st St</t>
  </si>
  <si>
    <t>Chicago, Hometown, Oak Lawn</t>
  </si>
  <si>
    <t xml:space="preserve">168777007.J.303 </t>
  </si>
  <si>
    <t>Revision due to Kankakee County's request to remove all abandonded pipe within ROW.  This request is not stated in Kankakee County's ordinance and Nicor directed Kimley-Horn to issue Revision 1 drawings showing pipe removal due to direct conflicts and under pavement only, which was rejected by the County.</t>
  </si>
  <si>
    <t>Kankakee County will not permit drawings unless full pipe removal is shown.  Revision 1 was to update the drawings to show pipe removal for indirect conflicts underneath future pavement in addition to direct conflicts.  Revision 2 was to update the drawings to show full pipe removal after County denied Revision 1 Drawings updates.  Rider 7 was not pursed since the cost to incorporate full pipe removal was minimal due to the abandonded main being pulled with lack of services and Kankakee County not requiring new backfill for excavations.</t>
  </si>
  <si>
    <t>168777007.E.095</t>
  </si>
  <si>
    <t>SC25757</t>
  </si>
  <si>
    <t xml:space="preserve">Service investigation (31 Services) to identify conflicts with proposed improvements. Approved to bill T&amp;M by Nicor. </t>
  </si>
  <si>
    <t>Multiple gas service lines in potential conflict with proposed roadway improvements
13.8 miles of improvements along multiple streets</t>
  </si>
  <si>
    <t>168777007.N.003</t>
  </si>
  <si>
    <t>Service analysis only</t>
  </si>
  <si>
    <t>Revision due to Village of Rosemont comments to adjust gas main alignment under the roadway and update from boring to open cut to show complete and continuous lane replacement, adjust gas main alignment in private property, include valve/valve box removals, and add site specific construction notes. Additional changes were incorporated outside of the Village of Roseoment area for the gas main alignment to remain consistent for the portion of the project within  City of Des Plaines ROW.</t>
  </si>
  <si>
    <t xml:space="preserve">Revision requested custom MOT plan and coordination with Nicor Engineering, Nicor Con Ops, and Village to address Village's requests. </t>
  </si>
  <si>
    <t>168777007.2.315</t>
  </si>
  <si>
    <t>custom restoration plan</t>
  </si>
  <si>
    <t>Restoration Plan</t>
  </si>
  <si>
    <t>Request for a custom restoration plan from the Village of Rosemont.</t>
  </si>
  <si>
    <t>y</t>
  </si>
  <si>
    <t>168777007.K.005</t>
  </si>
  <si>
    <t>1415311</t>
  </si>
  <si>
    <t>~1,300' of 8" main being relocated due to conflicts with proposed alley reconstruction improvements. 
Various Alleys in Bradley</t>
  </si>
  <si>
    <t>Village of Bradley</t>
  </si>
  <si>
    <t>168777007.M.061</t>
  </si>
  <si>
    <t>Alley</t>
  </si>
  <si>
    <t>OUC</t>
  </si>
  <si>
    <t>168777007.K.004</t>
  </si>
  <si>
    <t>SC25712</t>
  </si>
  <si>
    <t>1415154</t>
  </si>
  <si>
    <t>250’ of 4” STL main being relocated due to conflicts with proposed lift station and force main.
IL RTE 116 &amp; Ewing Dr</t>
  </si>
  <si>
    <t>City of Pontiac</t>
  </si>
  <si>
    <t>168777007.M.055</t>
  </si>
  <si>
    <t>SC23762</t>
  </si>
  <si>
    <t>1413498</t>
  </si>
  <si>
    <t xml:space="preserve">KH issued Negotiated Out Of Letter on 06/25/2025. KH was originally told by Nicor to move forward with design in 2024 and proceeded with design through Region Review. Developer then informed Nicor that they would be adjusting improvements around the existing gas main so KH held off on release until updated drawings were provided in June 2025. </t>
  </si>
  <si>
    <t>550' of 12" STL MOP in conflict with proposed site development.
Caton Farm Rd &amp; Broadway St (IL-53)</t>
  </si>
  <si>
    <t>168777007.N.004</t>
  </si>
  <si>
    <t>MR2255</t>
  </si>
  <si>
    <t>1215239</t>
  </si>
  <si>
    <t>City of Rochelle: ~50' of 8" STL replacement for grade 3 leak on a valve weld.</t>
  </si>
  <si>
    <t>Intermodal Dr and IL RTE 251, Rochelle IL</t>
  </si>
  <si>
    <t xml:space="preserve">168777007.J.013 </t>
  </si>
  <si>
    <t>Revision due to the existing utility locations in the field not matching the survey originally provided by the Village of Schaumburg. This caused significant design changes on each of the five design sheets, reducing overall relocation scope but adding in multiple new tie-ins. Kimley-Horn also coordinated with the Village to negotiate out of additional comments such as a new profile, custom MOT plan, additional design changes, custom erosion control plan, and others. This coordination led to additional Village of Schaumburg notes and typical pavement sections being added to the drawings.</t>
  </si>
  <si>
    <t xml:space="preserve">KH coordinating with the DOT on path forward on petmitting comments. </t>
  </si>
  <si>
    <t>168777007.E.090</t>
  </si>
  <si>
    <t>SC21396</t>
  </si>
  <si>
    <t>1413772</t>
  </si>
  <si>
    <t xml:space="preserve">4500’ of 2”, 3”, 4”, &amp; 6” STL and 2” &amp; 6” PE being relocated due to  proposed drainage, grading, and lighting improvements. 
Calistoga Dr to Spencer Road, along E Laraway Road. </t>
  </si>
  <si>
    <t>168777007.D.105</t>
  </si>
  <si>
    <t>SC21396-1</t>
  </si>
  <si>
    <t>1413928</t>
  </si>
  <si>
    <t>4101190</t>
  </si>
  <si>
    <t>1015147</t>
  </si>
  <si>
    <t xml:space="preserve">RICHTON PARK </t>
  </si>
  <si>
    <t>Vent out only.</t>
  </si>
  <si>
    <t xml:space="preserve">South Region 
Atlas Page: E19321B
Dead End System </t>
  </si>
  <si>
    <t>168777007.H.150</t>
  </si>
  <si>
    <t>Revision due to Village of Gilberts request for a specific running line to minimize potential conflicts with a future Village project. Project information was not provided during initial community outreach.</t>
  </si>
  <si>
    <t>Revision due to village requesting specific ADA ramp construction and a design change to avoid curb breakage.</t>
  </si>
  <si>
    <t>168777007.H.605</t>
  </si>
  <si>
    <t>SC24663</t>
  </si>
  <si>
    <t>1215435</t>
  </si>
  <si>
    <t>~2,600' of 2" main being relocated due to conflicts with proposed culverts and ditch grading improvements.</t>
  </si>
  <si>
    <t>168777007.M.070</t>
  </si>
  <si>
    <t>65.5 Hours billed</t>
  </si>
  <si>
    <t>N18492</t>
  </si>
  <si>
    <t>1214923</t>
  </si>
  <si>
    <t>LONG GROVE</t>
  </si>
  <si>
    <t>~300’ of 2" PE being relocated due to conflicts with proposed grade cuts.
Old McHenry Road</t>
  </si>
  <si>
    <t>Long Grove</t>
  </si>
  <si>
    <t>168777007.M.045</t>
  </si>
  <si>
    <t>Casing</t>
  </si>
  <si>
    <t>N19030</t>
  </si>
  <si>
    <t>1215152</t>
  </si>
  <si>
    <t xml:space="preserve">ROUND LAKE BEACH </t>
  </si>
  <si>
    <t xml:space="preserve">
~1,000' of 2" main being relocated due to drainage and roadway improvements.
Hook Drive, Rollins Rd, Orchard Ln, and Nicole Ln</t>
  </si>
  <si>
    <t>Village of Round Lake Beach</t>
  </si>
  <si>
    <t>168777007.M.027</t>
  </si>
  <si>
    <t>1015196</t>
  </si>
  <si>
    <t>ARROWSMITH</t>
  </si>
  <si>
    <t xml:space="preserve">South Region 
Atlas Page: B57073C
Dead End System </t>
  </si>
  <si>
    <t>168777007.H.135</t>
  </si>
  <si>
    <t>Revision due to System Planning request to change the PE inlet and outlet piping to STL. System Planning had originally confirmed the PE was accepable during original release.</t>
  </si>
  <si>
    <t>Revision due to System Planning request to change inlet and outlet of vault from PE to STL</t>
  </si>
  <si>
    <t>168777007.H.509</t>
  </si>
  <si>
    <t>1015173</t>
  </si>
  <si>
    <t xml:space="preserve">Central Region </t>
  </si>
  <si>
    <t>168777007.H.140</t>
  </si>
  <si>
    <t>Revision due to City of Northlake concerns with separation between existing water main and proposed gas main – the City requested 10’ of separation due to previous issues with contractors hitting their water main in the field. The City reviewed the design previously and had preliminarily approved the running line, so this was an unexpected change. Additional coordination effort with municipal reviewers to confirm comment concerns and develop permittable solutions. Design change adjusted the proposed running line on 12 design sheets and relocating proposed tie-ins.</t>
  </si>
  <si>
    <t>Project was pending response from Village of Northlake and preliminary review of the adjusted clearances to the existing utilities.</t>
  </si>
  <si>
    <t>168777007.K.302</t>
  </si>
  <si>
    <t>Revision due to City of Hometown comments to add construction notes, and to coordinate with Terrazon proposed fiber optic design.</t>
  </si>
  <si>
    <t>168777007.K.007</t>
  </si>
  <si>
    <t>Revision due to CN Railway requesting removal of all other utilities from the LG drawings as well as additional dimensioning for clarity on the drawings. These requestes are not typical with CN permitting processes.</t>
  </si>
  <si>
    <t>168777007.E.100</t>
  </si>
  <si>
    <t>PRIM718</t>
  </si>
  <si>
    <t>1315392</t>
  </si>
  <si>
    <t>Installation of ~670' of 4" PE (25#) main and ~180' of 2" PE (25#) main on North Ave and Glen Ellyn Rd in Glendale Heights to eliminate low pressure issues on the 25# system.</t>
  </si>
  <si>
    <t>North Ave from Main st to Park Blvd, and south on Park Blvd, Glendate Heights IL</t>
  </si>
  <si>
    <t>168777007.J.600</t>
  </si>
  <si>
    <t xml:space="preserve">Revision due to updated IDOT design that included water main design, storm sewer and grading design, below grade improvement design (column supported ground improvements), sanitary sewer design, subgrade changes. These design changes required updates to the conflict callouts and designs on nearly all of the design sheets of the project. 
Revision also adjusted proposed gas design to accommodate ComEd design that was not provided during the design phase, despite multiple requests. These updated designs required running line and conflict tables updates in multiple areas of the WO drawings and significant coordination with IDOT, Nicor and ComEd to finalize design. Both ComEd Distribution and ComEd Transmission provided designs (at separate times) that led to proposed gas design adjustments. 
Revision also included incorporating new Nicor Corrosion standards that required updates to 26 design sheets to show additional anode beds and notes. Guidance from Nicor Corrosion was provided in two phases that required changes at separate times. </t>
  </si>
  <si>
    <t xml:space="preserve">KH coordinating with Nicor and IDOT, to see if we want to make these udpates since the design was coordinated and reviewed by IDOT multiple times. </t>
  </si>
  <si>
    <t>168777007.E.083</t>
  </si>
  <si>
    <t>MR2277</t>
  </si>
  <si>
    <t>1215381</t>
  </si>
  <si>
    <t>This is a leak on an 8" stl flange that reduces to a 4" stl main.  FOD tried to make a repair on fitting but only slowed the leak.  Unable to repair. Complete ASAP</t>
  </si>
  <si>
    <t>Thornton-Lansing Rd &amp; Torrence Ave, Lansing IL</t>
  </si>
  <si>
    <t>168777007.J.015</t>
  </si>
  <si>
    <t>N19281</t>
  </si>
  <si>
    <t>Randy Castellon/Michael Molloy</t>
  </si>
  <si>
    <t>EDSR was originally not to be assigned and Nicor requested KH hit pause, and then eventually cancelled. Project had No conflicts.</t>
  </si>
  <si>
    <t>~650' of 2" PE &amp; STL, 4" PE &amp; STL, &amp; 8" STL in potential conflict with proposed ADA improvements &amp; drainage improvements.
Greenfield Dr, Stephenson St, Cleveland St, &amp; Hance Dr</t>
  </si>
  <si>
    <t>City of Freeport</t>
  </si>
  <si>
    <t xml:space="preserve">168777007.M.078 </t>
  </si>
  <si>
    <t>N19290</t>
  </si>
  <si>
    <t>~ 550’ of 2” STL &amp; 4” STL in potential conflict with proposed ADA improvements &amp; water main improvements
S Harvey Ave, N Willow Ave, &amp; S. Blackhawk Ave</t>
  </si>
  <si>
    <t xml:space="preserve">168777007.M.077 </t>
  </si>
  <si>
    <t>Revision due to IDOT district 3 comments to add additional notes, update MOT details, and adjust the location of the proposed main.</t>
  </si>
  <si>
    <t>Revision due to IDOT comments to revise design, add construction notes, and add traffic control details.</t>
  </si>
  <si>
    <t>168777007.H.607</t>
  </si>
  <si>
    <t xml:space="preserve">Request from Engineering to review updated DOT plans, and confirm if reimbursable relocation can be removed from scope. Design changes took place as a redline update to the WO drawings to eliminate the reimbursable scope of the project. Scope of the task also included a cost analysis matrix to determine tie-in location and scope of relocation. </t>
  </si>
  <si>
    <t>KH coordinating with the DOT on revised DOT scope and additonal adjustments to proposed water main to avoid existing gas main.</t>
  </si>
  <si>
    <t>168777007.E.098</t>
  </si>
  <si>
    <t>RS1311</t>
  </si>
  <si>
    <t>1015193</t>
  </si>
  <si>
    <t>Retire existing TW #3401638 and install 400' of main.</t>
  </si>
  <si>
    <t xml:space="preserve">North Region 
Atlas Page: NW24292D
Dead End System </t>
  </si>
  <si>
    <t>168777007.G.616</t>
  </si>
  <si>
    <t>Vent out, replace tin tub, install separate relief leg, and replace regs.</t>
  </si>
  <si>
    <t xml:space="preserve">North Region 
Atlas Page: NW22291B
Dead End System </t>
  </si>
  <si>
    <t>168777007.H.149</t>
  </si>
  <si>
    <t xml:space="preserve">TWV Retrofit &amp; Reg replacement </t>
  </si>
  <si>
    <t>Revision due to comments received from IDOT to show full panel PCC restoration and adjust tie-in location. The changes resulted in revising the design at a proposed tie in location as well as quantity changes throughout the set.</t>
  </si>
  <si>
    <t>Rosemont, Des Plaines</t>
  </si>
  <si>
    <t>Rosemont/Des Plaines</t>
  </si>
  <si>
    <t>168777007.2.031</t>
  </si>
  <si>
    <t>N15864</t>
  </si>
  <si>
    <t>1215530</t>
  </si>
  <si>
    <t>~800' of 2" PE &amp; 4" PE being relocated due to proposed storm, sanitary sewers, and grade cuts. 
Venice Ave, Green St, Riverside Dr, &amp; Court St</t>
  </si>
  <si>
    <t>168777007.M.073</t>
  </si>
  <si>
    <t>Congested install within road</t>
  </si>
  <si>
    <t>SC25858</t>
  </si>
  <si>
    <t>1415469</t>
  </si>
  <si>
    <t xml:space="preserve"> ~2,000’ of 4” STL being relocated due to grade cuts and main being in the road at final condition. 
S Route 59 and W 119th St</t>
  </si>
  <si>
    <t xml:space="preserve">Village of Plainfield </t>
  </si>
  <si>
    <t>168777007.M.067</t>
  </si>
  <si>
    <t>Land requested an exhivbit to be prepared for FPDCC to show the area impacted by proposed valve removal within their ROW.</t>
  </si>
  <si>
    <t>168777007.2.317</t>
  </si>
  <si>
    <t>MR2BID9647-1</t>
  </si>
  <si>
    <t>1214924</t>
  </si>
  <si>
    <t>Hometown &amp; IDOT: ~23,470' of 2" PE replacement, ~2,950' of 4" PE replacement, and ~5,330' of 8" STL replacement.</t>
  </si>
  <si>
    <t>Cicero Ave (IL-59), 88th St, Kostner Ave, 87th Pl, and Southwest HWY (IDOT)</t>
  </si>
  <si>
    <t xml:space="preserve">168777007.J.301 </t>
  </si>
  <si>
    <t>2.5+ miles of 2", 4", 8", 12" main, 1 vault &amp; 1 TW being relocated due to proposed road widening and proposed utilities. 
IL 22 from Quentin Road to IL 83.</t>
  </si>
  <si>
    <t>Hawthorn Woods
Kildeer</t>
  </si>
  <si>
    <t>168777007.D.088</t>
  </si>
  <si>
    <t>Revision due to IDOT comments to add dimensions to ROW and ADA ramp detail.</t>
  </si>
  <si>
    <t>168777007.K.009</t>
  </si>
  <si>
    <t xml:space="preserve">Revision due to comments received from CLCY railroad concerning pipeline crossings. Design updated to remove one crossing, no substantial updates to the remaining four crossings. </t>
  </si>
  <si>
    <t xml:space="preserve">Project was pending Nicor feedback on method to address CLCY comments concerning rail crossings. </t>
  </si>
  <si>
    <t>168777007.K.303</t>
  </si>
  <si>
    <t>NBA10017524</t>
  </si>
  <si>
    <t>1914749_1914752</t>
  </si>
  <si>
    <t>Addendum to incorporate changes to the project based on as-builts.</t>
  </si>
  <si>
    <t>168777007.K.506</t>
  </si>
  <si>
    <t xml:space="preserve">Revision due to City of Rockdale notification of future water main replacement project that required an adjustment to the proposed gas design. Effort included coordination with the City to verify design adjustments to accommodate future design. The drawings were also updated with comments provided by the City of Rockdale. </t>
  </si>
  <si>
    <t>City of Rockdale</t>
  </si>
  <si>
    <t>168777007.E.101</t>
  </si>
  <si>
    <t>COR1088-1</t>
  </si>
  <si>
    <t>Revision due to Kane County comments to revise notes and revise proposed trenching.</t>
  </si>
  <si>
    <t>Splitting WO due to Kane County comments. Revision due to Kane County comments requesting that proposed relocations be placed closer to the existing main, excavation limits be shown for all proposed facilities within greenspace, dimensions be provided between excavations and pavement, and anode details be clarified. This effort included discussions with Kane County to loosen certain requirements while maintaining Nicor standards, coordination with Engineering on the path forward, and review of anode standards. The comments impact four design sheets: S Kirk Rd &amp; Production Dr, S Kirk Rd &amp; Dukane Dr, S Kirk Rd &amp; Tyler Rd, and S Kirk Rd &amp; Cumberland Pkwy.</t>
  </si>
  <si>
    <t>168777007.H.839</t>
  </si>
  <si>
    <t>Revision due to KDOT comments</t>
  </si>
  <si>
    <t>Revision due to Village of Glendale Heights comments to increase clearance from Village utilities. Variance from the Village's clearance requirements were coordinated during initial design.</t>
  </si>
  <si>
    <t xml:space="preserve">168777007.K.600 </t>
  </si>
  <si>
    <t>Revision due to comments received from Des Plaines to include additional utility information along Devon Ave which resulted in changing ~1500LF of running line to be beneath pavement.</t>
  </si>
  <si>
    <t>168777007.2.204</t>
  </si>
  <si>
    <t xml:space="preserve">FARMER CITY </t>
  </si>
  <si>
    <t>Vent out only and replace regs.</t>
  </si>
  <si>
    <t>South Region 
Atlas Page: B18174C</t>
  </si>
  <si>
    <t>168777007.H.136</t>
  </si>
  <si>
    <t>Replace unintentionally exposed 8" MOP main.</t>
  </si>
  <si>
    <t>Johnny Run Rd &amp; Waupecan Creek</t>
  </si>
  <si>
    <t>Vienna</t>
  </si>
  <si>
    <t xml:space="preserve">168777007.G.000 </t>
  </si>
  <si>
    <t>PRIM719</t>
  </si>
  <si>
    <t>1215554</t>
  </si>
  <si>
    <t>Sent 8/13</t>
  </si>
  <si>
    <t>Replace ~2,600' of 2" (6#) main with ~2,600' of 2" PE (25#) main in order to eliminate the low point on this 6# system.</t>
  </si>
  <si>
    <t>Lincoln Hwy (between IL-38 and 9th Ave)</t>
  </si>
  <si>
    <t>168777007.J.601</t>
  </si>
  <si>
    <t>Revision due to Nicor comment to update to show existing easement.</t>
  </si>
  <si>
    <t xml:space="preserve">168777007.H.608 </t>
  </si>
  <si>
    <t xml:space="preserve">Revision due to updated Will County design that included ROW updates that led to an adjusted relocation design.  </t>
  </si>
  <si>
    <t>WILL</t>
  </si>
  <si>
    <t>168777007.E.102</t>
  </si>
  <si>
    <t>PDF Markup Revision due to City of Prospect Heights comments requesting updated proposed TOP elevation and proposed storm sewer and gas main construction note.</t>
  </si>
  <si>
    <t xml:space="preserve">168777007.E.103 </t>
  </si>
  <si>
    <t>Exhibit request from Land to create exhibit for proposed easements on project.</t>
  </si>
  <si>
    <t>168777007.K.010</t>
  </si>
  <si>
    <t>MR2261</t>
  </si>
  <si>
    <t>1415304</t>
  </si>
  <si>
    <t>SAUNEMIN</t>
  </si>
  <si>
    <t>Replace unintentionally exposed 2" MOP main.</t>
  </si>
  <si>
    <t>E 2100 N Rd &amp; N 2800 E Rd</t>
  </si>
  <si>
    <t>Union/Saunemin</t>
  </si>
  <si>
    <t xml:space="preserve">168777007.G.001 </t>
  </si>
  <si>
    <t>SC25775</t>
  </si>
  <si>
    <t>KH issued NOO letter on 8/13/2025.</t>
  </si>
  <si>
    <t>NOO project. DOT revising water main elevation to provide clearance for Nicor 12" MOP main. 
Route 59</t>
  </si>
  <si>
    <t>168777007.M.065</t>
  </si>
  <si>
    <t>1314926</t>
  </si>
  <si>
    <t>Install ~3,200' of 12" STL (60#) main and ~200' of 8" STL MOP main. Install one vault and retire ~</t>
  </si>
  <si>
    <t>Along Lasalle St from Hazel Ave t o North Ave.</t>
  </si>
  <si>
    <t xml:space="preserve">168777007.J.014 </t>
  </si>
  <si>
    <t>Silent revision due to request from SP to update tie-in.</t>
  </si>
  <si>
    <t>168777007.K.508</t>
  </si>
  <si>
    <t>Dig Exhibit</t>
  </si>
  <si>
    <t xml:space="preserve">Nicor requested Kimley-Horn put together a dig exhibit for ~6,000' of main due to exsiting tie-in locations failing lamination tests. </t>
  </si>
  <si>
    <t xml:space="preserve">Due to failed lamination tests on the existing 12" STL main, Nicor Engineering requested KH to put together a dig exhibit. Dig exhibit would be ~6,000' of baseline to be traced in. this resulted in 12 sheets. Addtional effort is due to coordination with Nicor Engineering and Nicor Con Ops to determine where the excavations would take place and where they have already potholed (3 meetings). </t>
  </si>
  <si>
    <t>168777007.K.006</t>
  </si>
  <si>
    <t>Revision due to City of Oak Park comments on existing utilities and restoration comments. KH requested utilities and restoration requirements during the intial design phase and the City did not provide that information.</t>
  </si>
  <si>
    <t xml:space="preserve">Revision due to City of Oak Park comments to incorporate updated electric design, and adjust design due to existing electrical ducts. Additional coordination with Nicor Con Ops was needed to determine the propsoed running line could be shifted. coordination with the City of Oak Park was also required due to comments on a proposed easement (not provided in design phase), adjacent NBA project (not  found from Nicor in the design phase), and to push back on design changes that would not be feasible. </t>
  </si>
  <si>
    <t>168777007.K.008</t>
  </si>
  <si>
    <t xml:space="preserve">MELROSE PARK </t>
  </si>
  <si>
    <t xml:space="preserve">Exhibit </t>
  </si>
  <si>
    <t xml:space="preserve">Exhibit request from Land to create exhibit for proposed and temporary easments on project. </t>
  </si>
  <si>
    <t>168777007.H.410</t>
  </si>
  <si>
    <t xml:space="preserve">Exhibit request from Land to create exhibit for proposed easement on project. </t>
  </si>
  <si>
    <t>168777007.H.411</t>
  </si>
  <si>
    <t>168777007.H.512</t>
  </si>
  <si>
    <t xml:space="preserve">AURORA </t>
  </si>
  <si>
    <t xml:space="preserve">Revision due to City of Yorkville comments to add in proposed roadway improvements and construction notes for clearance from existing City Utilities. </t>
  </si>
  <si>
    <t>168777007.H.845</t>
  </si>
  <si>
    <t xml:space="preserve">Pending CAD files from the City of Yorkville and confirmation on revision comments. </t>
  </si>
  <si>
    <t>Y, DONE</t>
  </si>
  <si>
    <t>Relocate vault #1401297.
Preferred vault location requires over 500' of main install.</t>
  </si>
  <si>
    <t>Existing Location: W Irving Park Rd (IL-19) &amp; Barrington Rd (IDOT) 
Propsod Location: Jensen Blvd &amp; Tower Dr</t>
  </si>
  <si>
    <t>168777007.G.414</t>
  </si>
  <si>
    <t xml:space="preserve">Revision due to IDOT D3 comments regarding drawing details and construction materials. </t>
  </si>
  <si>
    <t>N.</t>
  </si>
  <si>
    <t>Pending coordination with IDOT</t>
  </si>
  <si>
    <t>168777007.E.104</t>
  </si>
  <si>
    <t>Revision due to IDOT D3 comments</t>
  </si>
  <si>
    <t>Redline Revision</t>
  </si>
  <si>
    <t>Revision to extend relocation scope due to WLA results to the south of original relocation scope.</t>
  </si>
  <si>
    <t>168777007.E.108</t>
  </si>
  <si>
    <t>Addendum to incorporate redlined design changes due to ConOps field finding.</t>
  </si>
  <si>
    <t>ConOps discovered that utilitites found in the field did not match the DOT plans nor CAD Files</t>
  </si>
  <si>
    <t>168777007.E.106</t>
  </si>
  <si>
    <t>PDF Markup.  Nicor ConOps and the Cook County RE determined in the field that the proposed storm sewer at an intersection is in conflict with the existing gas main.  This was originally scoped in the relocation design, but had been removed in REV3, due to the Nicor ConOps and the Cook County RE believing it not to be a conflict.</t>
  </si>
  <si>
    <t>Pending response from Corrosion design question.</t>
  </si>
  <si>
    <t>168777007.E.094</t>
  </si>
  <si>
    <t>Revision due to engineering request to upsize 6" pipe that was requested during scoping to 8" due to low availability of 6" piping.</t>
  </si>
  <si>
    <t>168777007.K.509</t>
  </si>
  <si>
    <t>RS1303</t>
  </si>
  <si>
    <t>CEDARVILLE</t>
  </si>
  <si>
    <t>Install ~1,300' of 2" to eliminate facility #3601287.</t>
  </si>
  <si>
    <t xml:space="preserve">Rte 26 &amp; W Angle Rd </t>
  </si>
  <si>
    <t>Buckeye</t>
  </si>
  <si>
    <t>168777007.G.816</t>
  </si>
  <si>
    <t xml:space="preserve">Revision due to City of Hometown comments to change design on 6 sheets due to upcoming capital improvement project. KH reached out during the initial design phase for upcoming work and did not recieve a response from the City. </t>
  </si>
  <si>
    <t xml:space="preserve">Revision due to comments from the City regarding plans for a future capital improvement plan within the scope. KH reached out during the initial design phase to see if there where any upcoming improvements planned and did not receive a response. Due to the upcoming work, KH needed to update design on 6 sheets resulting in quantity changes. Due to the additional utility information that was provided from the City, design on 1 sheet was impacted and required updating design.  Additional coordination with the City was required to understand existing utility information and easement questions. Additional effort due to coordination with the Nicor Land department and City of Hometown to determine if install within the frontage sidewalk is allowable.  </t>
  </si>
  <si>
    <t>168777007.K.306</t>
  </si>
  <si>
    <t>Union Pacific</t>
  </si>
  <si>
    <t>RS1312</t>
  </si>
  <si>
    <t>1014880</t>
  </si>
  <si>
    <t>Replace existing tin whistle #1501117 due to unsafe current location.</t>
  </si>
  <si>
    <t>E 18th Rd &amp; Illini Beach Rd (North 2525th Rd)</t>
  </si>
  <si>
    <t>Fall River</t>
  </si>
  <si>
    <t>168777007.G.808</t>
  </si>
  <si>
    <t>Revision due to Cook County comments regarding ADA restoration. Resolved with PDF markup following coment review with CCDOTH.</t>
  </si>
  <si>
    <t>168777007.E.109</t>
  </si>
  <si>
    <t>COMPLETED PROJECTS (2025-0702)</t>
  </si>
  <si>
    <t>Reconcile Lead</t>
  </si>
  <si>
    <t>Cost estimate increased due to additional crew time added due to restoration requirements requested from City during permitting and revised contract year.</t>
  </si>
  <si>
    <t>Y (Cicero Ave &amp; SW HWY)</t>
  </si>
  <si>
    <t>Running line changed slightly during revision but didn't really change cost.  KH updated contract estimate to 2026 NPL contract during revision PCTS.</t>
  </si>
  <si>
    <t>Rates were updated to 2025, Increased Traffic control hours, included pipeline agreement adder, increased 10" Hydrotest costs</t>
  </si>
  <si>
    <t>Canceled per EDSR.  Likely can be N/A.</t>
  </si>
  <si>
    <t>This WO was cancelled due to DOT updating design to avoid conflict and paying reimbursable amount.</t>
  </si>
  <si>
    <t>Project Staus - Closed in PCTS</t>
  </si>
  <si>
    <t xml:space="preserve">Investment: ConOps changed the NPL contract updated to 2026. ConOps lowered 2 person boring crew, lowered (10026) trucking, lowered traffic control, updated contingency.
Retirement: ConOps changed the NPL contract updated to 2026. </t>
  </si>
  <si>
    <t xml:space="preserve">Increased Crew W Equipment Hours, Traffic control hours, and included addtioanl work area protection days. There was also a wheel load analysis LS included. </t>
  </si>
  <si>
    <t>No changes made.</t>
  </si>
  <si>
    <t>Investment: Engineering updated Labor and contract estimate to 2025 rates. Engineering added a LWT to material estimates, increased hydrovac and hydrovac water time, traffic control time, and sewer inspection with cleaning. Removed 2 person boring crew. Increased Post Inspection Camera Main and contingency.
Retriement: Engineering updated Labor and contract estimate to 2025 rates. Engineering updated cut and cap calls outs, increased all labor estimates, increased trucking, increased backfill.</t>
  </si>
  <si>
    <t>Investment: Engineering updated Labor and contract estimate to 2025 rates. Engineering added a LWT to material estimates, increased sewer inspection with cleaning, increased trucking, added hydrovac, increased traffic control, increased post inspection camera main and contingency.
Retirement: Engineering updated Labor and contract estimate to 2025 rates. Engineering increased trucking and contingency.</t>
  </si>
  <si>
    <t xml:space="preserve">Rates were updated from 2023 to 2025. Nicor raised the time of completion for this project, increased traffic control and crew w equipment hours for both install and retirement. Revision updated design due to updated drainage, proposed easements and ComEd proposal. </t>
  </si>
  <si>
    <t>The investment cost decreased due to re-routing the gas main design in revision 1. Also in revision 1, the retirement cost increased since we added pipe removal to the estimate.Overall, the time spent on the revisions more than covers the approved estimate increase.</t>
  </si>
  <si>
    <t>Project canceled per Karey note on 01/25/2025.</t>
  </si>
  <si>
    <t>Revision to increase pipe removal quantities however price decreased as CONOPS reevaluated the removal costs during the revision and recommended to decrease the pipe as they could pull our a majority of pipe to avoid excessive restoration costs.</t>
  </si>
  <si>
    <t>Y (IL RTE 251)</t>
  </si>
  <si>
    <t>NJM</t>
  </si>
  <si>
    <t>MWH</t>
  </si>
  <si>
    <t>TJM</t>
  </si>
  <si>
    <t>Kulach</t>
  </si>
  <si>
    <t>CK</t>
  </si>
  <si>
    <t>Holstead</t>
  </si>
  <si>
    <t>JH</t>
  </si>
  <si>
    <t>Ekstrom</t>
  </si>
  <si>
    <t>ECE</t>
  </si>
  <si>
    <t>Nicor to coordinate reimbursable estimate with Village of Machesney Park (sent 9/18).</t>
  </si>
  <si>
    <t>KH finalizing WO Drawings;
Pending Nicor discussion with Cook County regarding CCDOTH coordination, anticipated week of 9/22.
Pending Final plans, anticipated 10/7.</t>
  </si>
  <si>
    <t>KH finalizing WO drawings;
Pending DOT approval on Preliminary running line, sent 9/4.</t>
  </si>
  <si>
    <t>DOT to provide correct CAD linework (9/10) (F/U 9/15).
KH obtaining Nicor locates, anticipated 9/19.</t>
  </si>
  <si>
    <t>KH coordinating reimbursement with Nicor and BNWRD, sent 8/12. (F/U 9/9)</t>
  </si>
  <si>
    <t>KH coordinating reimbursement with Nicor and BNWRD,  sent 8/12. (F/U 9/9)</t>
  </si>
  <si>
    <t>Pending CAD files from Developer, requested 4/4. (F/U 9/3)</t>
  </si>
  <si>
    <t>W Market St (US150) and Caroline St</t>
  </si>
  <si>
    <t>This is an addendum to be created with ongoing project RS1213</t>
  </si>
  <si>
    <t>KH finalizing WO drawings for release;
KH pending land confirmation of easement feasibility (9/18).</t>
  </si>
  <si>
    <t>n</t>
  </si>
  <si>
    <t>KH pending Nicor direction on IDOT requests.</t>
  </si>
  <si>
    <t>KH finalizing WO drawings for release;
Pending potholes for NSMJAWA main - date TBD, pending DuPage County Permit. Requested 8/11. (F/U 9/18)</t>
  </si>
  <si>
    <t>KH finalizing WO drawings for release. Pending IDOT input on pavement removal along Lincoln Highway.</t>
  </si>
  <si>
    <t>1014894</t>
  </si>
  <si>
    <t>Silent Revision request from Nicor to update drawing to current standards.</t>
  </si>
  <si>
    <t>Refresh required update to corrosion standards, PCTS due to being items discontinued, updates to the vault template, leak testing results, and ordering PO materials. Regulators we're ordered previously, however utilized when this project was put on pause.</t>
  </si>
  <si>
    <t>N (Follow up end of Sept)</t>
  </si>
  <si>
    <t>N (Sent 9/18)</t>
  </si>
  <si>
    <t>N (sent 9/18)</t>
  </si>
  <si>
    <t>KH obtaining locates, anticipated 10/2.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</si>
</sst>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8" formatCode="&quot;$&quot;#,##0.00_);[Red]\(&quot;$&quot;#,##0.00\)"/>
    <numFmt numFmtId="44" formatCode="_(&quot;$&quot;* #,##0.00_);_(&quot;$&quot;* \(#,##0.00\);_(&quot;$&quot;* &quot;-&quot;??_);_(@_)"/>
    <numFmt numFmtId="164" formatCode="&quot;$&quot;#,##0"/>
    <numFmt numFmtId="165" formatCode="&quot;$&quot;#,##0.00"/>
    <numFmt numFmtId="166" formatCode="mm/dd/yyyy"/>
    <numFmt numFmtId="167" formatCode="_([$$-409]* #,##0.00_);_([$$-409]* \(#,##0.00\);_([$$-409]* &quot;-&quot;??_);_(@_)"/>
    <numFmt numFmtId="168" formatCode="&quot;$&quot;#,##0.000"/>
    <numFmt numFmtId="169" formatCode="_(&quot;$&quot;* #,##0_);_(&quot;$&quot;* \(#,##0\);_(&quot;$&quot;* &quot;-&quot;??_);_(@_)"/>
    <numFmt numFmtId="170" formatCode="[$-409]mmm\-yy;@"/>
  </numFmts>
  <fonts count="73" x14ac:knownFonts="1">
    <font>
      <sz val="11"/>
      <color theme="1"/>
      <name val="Calibri"/>
      <family val="2"/>
      <scheme val="minor"/>
    </font>
    <font>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4"/>
      <color theme="1"/>
      <name val="Calibri"/>
      <family val="2"/>
      <scheme val="minor"/>
    </font>
    <font>
      <b/>
      <sz val="11"/>
      <color theme="1"/>
      <name val="Calibri"/>
      <family val="2"/>
      <scheme val="minor"/>
    </font>
    <font>
      <i/>
      <sz val="11"/>
      <color theme="1"/>
      <name val="Calibri"/>
      <family val="2"/>
      <scheme val="minor"/>
    </font>
    <font>
      <b/>
      <sz val="11"/>
      <color rgb="FFFF0000"/>
      <name val="Calibri"/>
      <family val="2"/>
      <scheme val="minor"/>
    </font>
    <font>
      <sz val="11"/>
      <color rgb="FFFF0000"/>
      <name val="Calibri"/>
      <family val="2"/>
      <scheme val="minor"/>
    </font>
    <font>
      <sz val="11"/>
      <color theme="1"/>
      <name val="Calibri"/>
      <family val="2"/>
      <scheme val="minor"/>
    </font>
    <font>
      <sz val="11"/>
      <color rgb="FF000000"/>
      <name val="Calibri"/>
      <family val="2"/>
      <scheme val="minor"/>
    </font>
    <font>
      <b/>
      <sz val="11"/>
      <color rgb="FF000000"/>
      <name val="Calibri"/>
      <family val="2"/>
      <scheme val="minor"/>
    </font>
    <font>
      <sz val="11"/>
      <color theme="1"/>
      <name val="Calibri"/>
      <family val="2"/>
    </font>
    <font>
      <sz val="11"/>
      <color rgb="FF000000"/>
      <name val="Calibri"/>
      <family val="2"/>
    </font>
    <font>
      <sz val="11"/>
      <name val="Calibri"/>
      <family val="2"/>
      <scheme val="minor"/>
    </font>
    <font>
      <b/>
      <sz val="11"/>
      <name val="Calibri"/>
      <family val="2"/>
      <scheme val="minor"/>
    </font>
    <font>
      <strike/>
      <sz val="11"/>
      <color theme="1"/>
      <name val="Calibri"/>
      <family val="2"/>
      <scheme val="minor"/>
    </font>
    <font>
      <sz val="11"/>
      <color rgb="FF00B0F0"/>
      <name val="Calibri"/>
      <family val="2"/>
      <scheme val="minor"/>
    </font>
    <font>
      <sz val="8"/>
      <name val="Calibri"/>
      <family val="2"/>
      <scheme val="minor"/>
    </font>
    <font>
      <i/>
      <sz val="11"/>
      <color rgb="FF000000"/>
      <name val="Calibri"/>
      <family val="2"/>
      <scheme val="minor"/>
    </font>
    <font>
      <i/>
      <sz val="11"/>
      <name val="Calibri"/>
      <family val="2"/>
      <scheme val="minor"/>
    </font>
    <font>
      <b/>
      <i/>
      <sz val="11"/>
      <name val="Calibri"/>
      <family val="2"/>
      <scheme val="minor"/>
    </font>
    <font>
      <strike/>
      <sz val="11"/>
      <name val="Calibri"/>
      <family val="2"/>
      <scheme val="minor"/>
    </font>
    <font>
      <sz val="10"/>
      <color rgb="FF000000"/>
      <name val="Arial"/>
      <family val="2"/>
    </font>
    <font>
      <sz val="11"/>
      <color rgb="FF000000"/>
      <name val="Calibri"/>
      <family val="2"/>
      <charset val="1"/>
      <scheme val="minor"/>
    </font>
    <font>
      <sz val="9"/>
      <color indexed="81"/>
      <name val="Tahoma"/>
      <family val="2"/>
    </font>
    <font>
      <b/>
      <sz val="9"/>
      <color indexed="81"/>
      <name val="Tahoma"/>
      <family val="2"/>
    </font>
    <font>
      <b/>
      <i/>
      <sz val="11"/>
      <color rgb="FF000000"/>
      <name val="Calibri"/>
      <family val="2"/>
      <scheme val="minor"/>
    </font>
    <font>
      <sz val="11"/>
      <color rgb="FF444444"/>
      <name val="Calibri"/>
      <family val="2"/>
    </font>
    <font>
      <b/>
      <i/>
      <sz val="11"/>
      <color theme="1"/>
      <name val="Calibri"/>
      <family val="2"/>
      <scheme val="minor"/>
    </font>
    <font>
      <sz val="8"/>
      <color theme="1"/>
      <name val="Calibri"/>
      <family val="2"/>
      <scheme val="minor"/>
    </font>
    <font>
      <sz val="8"/>
      <color rgb="FF000000"/>
      <name val="Calibri"/>
      <family val="2"/>
    </font>
    <font>
      <sz val="11"/>
      <name val="Calibri"/>
      <family val="2"/>
    </font>
    <font>
      <b/>
      <sz val="8"/>
      <color theme="0"/>
      <name val="Calibri"/>
      <family val="2"/>
      <scheme val="minor"/>
    </font>
    <font>
      <b/>
      <sz val="8"/>
      <color theme="1"/>
      <name val="Calibri"/>
      <family val="2"/>
      <scheme val="minor"/>
    </font>
    <font>
      <sz val="11"/>
      <color rgb="FFFA0000"/>
      <name val="Calibri"/>
      <family val="2"/>
    </font>
    <font>
      <sz val="11"/>
      <color rgb="FF444444"/>
      <name val="Calibri"/>
      <family val="2"/>
      <charset val="1"/>
    </font>
    <font>
      <b/>
      <sz val="9"/>
      <color theme="0"/>
      <name val="Calibri"/>
      <family val="2"/>
      <scheme val="minor"/>
    </font>
    <font>
      <sz val="11"/>
      <color rgb="FFFA0000"/>
      <name val="Calibri"/>
      <family val="2"/>
      <scheme val="minor"/>
    </font>
    <font>
      <sz val="11"/>
      <color rgb="FF444444"/>
      <name val="Calibri"/>
      <family val="2"/>
      <charset val="1"/>
      <scheme val="minor"/>
    </font>
    <font>
      <sz val="11"/>
      <color rgb="FF444444"/>
      <name val="Calibri"/>
      <family val="2"/>
      <scheme val="minor"/>
    </font>
    <font>
      <sz val="8"/>
      <color theme="0"/>
      <name val="Calibri"/>
      <family val="2"/>
      <scheme val="minor"/>
    </font>
    <font>
      <sz val="8"/>
      <color rgb="FF000000"/>
      <name val="Calibri"/>
      <family val="2"/>
      <scheme val="minor"/>
    </font>
    <font>
      <sz val="9"/>
      <color theme="1"/>
      <name val="Calibri"/>
      <family val="2"/>
      <scheme val="minor"/>
    </font>
    <font>
      <sz val="9"/>
      <name val="Calibri"/>
      <family val="2"/>
      <scheme val="minor"/>
    </font>
    <font>
      <sz val="9"/>
      <color theme="1"/>
      <name val="Calibri"/>
      <family val="2"/>
    </font>
    <font>
      <sz val="9"/>
      <color rgb="FF000000"/>
      <name val="Calibri"/>
      <family val="2"/>
      <scheme val="minor"/>
    </font>
    <font>
      <b/>
      <sz val="8"/>
      <name val="Calibri"/>
      <family val="2"/>
      <scheme val="minor"/>
    </font>
    <font>
      <b/>
      <sz val="8"/>
      <color rgb="FF000000"/>
      <name val="Calibri"/>
      <family val="2"/>
      <scheme val="minor"/>
    </font>
    <font>
      <sz val="8"/>
      <color rgb="FF00B0F0"/>
      <name val="Calibri"/>
      <family val="2"/>
      <scheme val="minor"/>
    </font>
    <font>
      <b/>
      <sz val="11"/>
      <color rgb="FF00B050"/>
      <name val="Calibri"/>
      <family val="2"/>
      <scheme val="minor"/>
    </font>
    <font>
      <sz val="10"/>
      <name val="Calibri"/>
      <family val="2"/>
      <scheme val="minor"/>
    </font>
    <font>
      <sz val="11"/>
      <color theme="1"/>
      <name val="Calibri"/>
      <family val="2"/>
      <charset val="1"/>
    </font>
    <font>
      <sz val="9"/>
      <color rgb="FF000000"/>
      <name val="Arial"/>
      <family val="2"/>
    </font>
    <font>
      <b/>
      <sz val="11"/>
      <color rgb="FF000000"/>
      <name val="Calibri"/>
      <family val="2"/>
    </font>
    <font>
      <sz val="8"/>
      <name val="Calibri"/>
      <family val="2"/>
    </font>
    <font>
      <sz val="8"/>
      <color theme="1"/>
      <name val="Calibri"/>
      <family val="2"/>
    </font>
    <font>
      <strike/>
      <sz val="11"/>
      <color rgb="FF000000"/>
      <name val="Calibri"/>
      <family val="2"/>
      <scheme val="minor"/>
    </font>
    <font>
      <sz val="11"/>
      <color theme="1"/>
      <name val="Aptos"/>
      <family val="2"/>
    </font>
    <font>
      <sz val="12"/>
      <color rgb="FF000000"/>
      <name val="Aptos"/>
      <family val="2"/>
    </font>
    <font>
      <sz val="11"/>
      <color rgb="FF0A2F41"/>
      <name val="Aptos"/>
      <family val="2"/>
    </font>
    <font>
      <b/>
      <sz val="9"/>
      <color theme="1"/>
      <name val="Calibri"/>
      <family val="2"/>
      <scheme val="minor"/>
    </font>
    <font>
      <b/>
      <sz val="9"/>
      <name val="Calibri"/>
      <family val="2"/>
      <scheme val="minor"/>
    </font>
    <font>
      <b/>
      <sz val="9"/>
      <color theme="1"/>
      <name val="Calibri"/>
      <family val="2"/>
    </font>
    <font>
      <b/>
      <sz val="8"/>
      <name val="Calibri"/>
      <family val="2"/>
    </font>
    <font>
      <b/>
      <sz val="8"/>
      <color theme="1"/>
      <name val="Calibri"/>
      <family val="2"/>
    </font>
    <font>
      <b/>
      <i/>
      <sz val="11"/>
      <color rgb="FF000000"/>
      <name val="Calibri"/>
      <family val="2"/>
    </font>
    <font>
      <b/>
      <i/>
      <sz val="12"/>
      <color theme="1"/>
      <name val="Calibri"/>
      <family val="2"/>
      <scheme val="minor"/>
    </font>
    <font>
      <sz val="9"/>
      <color rgb="FF000000"/>
      <name val="Calibri"/>
      <family val="2"/>
    </font>
    <font>
      <sz val="8"/>
      <color rgb="FF000000"/>
      <name val="Calibri"/>
      <family val="2"/>
    </font>
    <font>
      <sz val="9"/>
      <color indexed="81"/>
      <name val="Tahoma"/>
      <charset val="1"/>
    </font>
    <font>
      <sz val="11"/>
      <color rgb="FF242424"/>
      <name val="Aptos Narrow"/>
      <charset val="1"/>
    </font>
  </fonts>
  <fills count="24">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rgb="FFFFFFFF"/>
        <bgColor indexed="64"/>
      </patternFill>
    </fill>
    <fill>
      <patternFill patternType="solid">
        <fgColor rgb="FFB20838"/>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rgb="FF00B0F0"/>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E2EFDA"/>
        <bgColor indexed="64"/>
      </patternFill>
    </fill>
    <fill>
      <patternFill patternType="solid">
        <fgColor theme="6" tint="0.79998168889431442"/>
        <bgColor indexed="64"/>
      </patternFill>
    </fill>
    <fill>
      <patternFill patternType="solid">
        <fgColor theme="0" tint="-0.34998626667073579"/>
        <bgColor indexed="64"/>
      </patternFill>
    </fill>
    <fill>
      <patternFill patternType="solid">
        <fgColor theme="0" tint="-0.34998626667073579"/>
        <bgColor theme="4" tint="0.79998168889431442"/>
      </patternFill>
    </fill>
    <fill>
      <patternFill patternType="solid">
        <fgColor theme="8" tint="0.79998168889431442"/>
        <bgColor theme="8" tint="0.79998168889431442"/>
      </patternFill>
    </fill>
    <fill>
      <patternFill patternType="solid">
        <fgColor rgb="FF92D050"/>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00B050"/>
        <bgColor indexed="64"/>
      </patternFill>
    </fill>
    <fill>
      <patternFill patternType="solid">
        <fgColor rgb="FF7030A0"/>
        <bgColor indexed="64"/>
      </patternFill>
    </fill>
    <fill>
      <patternFill patternType="solid">
        <fgColor theme="0"/>
        <bgColor indexed="64"/>
      </patternFill>
    </fill>
    <fill>
      <patternFill patternType="solid">
        <fgColor theme="6" tint="0.59999389629810485"/>
        <bgColor theme="6" tint="0.59999389629810485"/>
      </patternFill>
    </fill>
  </fills>
  <borders count="139">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style="medium">
        <color auto="1"/>
      </left>
      <right/>
      <top/>
      <bottom/>
      <diagonal/>
    </border>
    <border>
      <left/>
      <right style="medium">
        <color auto="1"/>
      </right>
      <top/>
      <bottom/>
      <diagonal/>
    </border>
    <border>
      <left style="thin">
        <color rgb="FF000000"/>
      </left>
      <right/>
      <top/>
      <bottom/>
      <diagonal/>
    </border>
    <border>
      <left style="medium">
        <color auto="1"/>
      </left>
      <right style="medium">
        <color auto="1"/>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style="thin">
        <color rgb="FF000000"/>
      </left>
      <right style="thin">
        <color rgb="FF000000"/>
      </right>
      <top style="thin">
        <color rgb="FF000000"/>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style="thin">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style="thin">
        <color auto="1"/>
      </top>
      <bottom style="thin">
        <color rgb="FF000000"/>
      </bottom>
      <diagonal/>
    </border>
    <border>
      <left style="thin">
        <color auto="1"/>
      </left>
      <right/>
      <top/>
      <bottom style="thin">
        <color auto="1"/>
      </bottom>
      <diagonal/>
    </border>
    <border>
      <left style="thin">
        <color auto="1"/>
      </left>
      <right/>
      <top style="thin">
        <color auto="1"/>
      </top>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right style="thin">
        <color rgb="FF000000"/>
      </right>
      <top style="thin">
        <color rgb="FF000000"/>
      </top>
      <bottom style="thin">
        <color rgb="FF000000"/>
      </bottom>
      <diagonal/>
    </border>
    <border>
      <left/>
      <right/>
      <top style="thin">
        <color rgb="FF000000"/>
      </top>
      <bottom/>
      <diagonal/>
    </border>
    <border>
      <left style="thin">
        <color auto="1"/>
      </left>
      <right style="thin">
        <color auto="1"/>
      </right>
      <top/>
      <bottom/>
      <diagonal/>
    </border>
    <border>
      <left style="thin">
        <color auto="1"/>
      </left>
      <right/>
      <top/>
      <bottom/>
      <diagonal/>
    </border>
    <border>
      <left/>
      <right/>
      <top style="thin">
        <color theme="6" tint="0.39994506668294322"/>
      </top>
      <bottom/>
      <diagonal/>
    </border>
    <border>
      <left/>
      <right style="medium">
        <color auto="1"/>
      </right>
      <top style="thin">
        <color theme="6" tint="0.39994506668294322"/>
      </top>
      <bottom/>
      <diagonal/>
    </border>
    <border>
      <left/>
      <right/>
      <top style="thin">
        <color theme="4" tint="0.39997558519241921"/>
      </top>
      <bottom style="thin">
        <color theme="7" tint="0.39994506668294322"/>
      </bottom>
      <diagonal/>
    </border>
    <border>
      <left/>
      <right/>
      <top/>
      <bottom style="thin">
        <color theme="7" tint="0.39994506668294322"/>
      </bottom>
      <diagonal/>
    </border>
    <border>
      <left style="medium">
        <color auto="1"/>
      </left>
      <right/>
      <top/>
      <bottom style="thin">
        <color theme="7" tint="0.39994506668294322"/>
      </bottom>
      <diagonal/>
    </border>
    <border>
      <left/>
      <right style="medium">
        <color auto="1"/>
      </right>
      <top/>
      <bottom style="thin">
        <color theme="7" tint="0.39994506668294322"/>
      </bottom>
      <diagonal/>
    </border>
    <border>
      <left/>
      <right style="medium">
        <color auto="1"/>
      </right>
      <top style="thin">
        <color theme="7" tint="0.39994506668294322"/>
      </top>
      <bottom style="thin">
        <color theme="7" tint="0.39994506668294322"/>
      </bottom>
      <diagonal/>
    </border>
    <border>
      <left/>
      <right/>
      <top style="thin">
        <color theme="7" tint="0.39994506668294322"/>
      </top>
      <bottom/>
      <diagonal/>
    </border>
    <border>
      <left/>
      <right style="medium">
        <color auto="1"/>
      </right>
      <top style="thin">
        <color theme="7" tint="0.39994506668294322"/>
      </top>
      <bottom/>
      <diagonal/>
    </border>
    <border>
      <left/>
      <right/>
      <top style="thin">
        <color theme="4" tint="0.39997558519241921"/>
      </top>
      <bottom style="thin">
        <color theme="6" tint="0.39994506668294322"/>
      </bottom>
      <diagonal/>
    </border>
    <border>
      <left/>
      <right/>
      <top/>
      <bottom style="thin">
        <color theme="6" tint="0.39994506668294322"/>
      </bottom>
      <diagonal/>
    </border>
    <border>
      <left style="medium">
        <color auto="1"/>
      </left>
      <right style="medium">
        <color auto="1"/>
      </right>
      <top/>
      <bottom style="thin">
        <color theme="6" tint="0.39994506668294322"/>
      </bottom>
      <diagonal/>
    </border>
    <border>
      <left style="medium">
        <color auto="1"/>
      </left>
      <right/>
      <top/>
      <bottom style="thin">
        <color theme="6" tint="0.39994506668294322"/>
      </bottom>
      <diagonal/>
    </border>
    <border>
      <left/>
      <right style="medium">
        <color auto="1"/>
      </right>
      <top/>
      <bottom style="thin">
        <color theme="6" tint="0.39994506668294322"/>
      </bottom>
      <diagonal/>
    </border>
    <border>
      <left style="thin">
        <color rgb="FF000000"/>
      </left>
      <right/>
      <top/>
      <bottom style="thin">
        <color theme="6" tint="0.39994506668294322"/>
      </bottom>
      <diagonal/>
    </border>
    <border>
      <left style="medium">
        <color auto="1"/>
      </left>
      <right style="medium">
        <color auto="1"/>
      </right>
      <top style="thin">
        <color theme="6" tint="0.39994506668294322"/>
      </top>
      <bottom/>
      <diagonal/>
    </border>
    <border>
      <left style="medium">
        <color auto="1"/>
      </left>
      <right/>
      <top style="thin">
        <color theme="6" tint="0.39994506668294322"/>
      </top>
      <bottom/>
      <diagonal/>
    </border>
    <border>
      <left style="thin">
        <color rgb="FF000000"/>
      </left>
      <right/>
      <top style="thin">
        <color theme="6" tint="0.39994506668294322"/>
      </top>
      <bottom/>
      <diagonal/>
    </border>
    <border>
      <left/>
      <right/>
      <top/>
      <bottom style="thin">
        <color theme="4" tint="0.39994506668294322"/>
      </bottom>
      <diagonal/>
    </border>
    <border>
      <left/>
      <right style="medium">
        <color auto="1"/>
      </right>
      <top/>
      <bottom style="thin">
        <color theme="4" tint="0.39994506668294322"/>
      </bottom>
      <diagonal/>
    </border>
    <border>
      <left style="medium">
        <color auto="1"/>
      </left>
      <right style="medium">
        <color auto="1"/>
      </right>
      <top/>
      <bottom style="thin">
        <color theme="4" tint="0.39994506668294322"/>
      </bottom>
      <diagonal/>
    </border>
    <border>
      <left style="medium">
        <color auto="1"/>
      </left>
      <right/>
      <top/>
      <bottom style="thin">
        <color theme="4" tint="0.39994506668294322"/>
      </bottom>
      <diagonal/>
    </border>
    <border>
      <left/>
      <right/>
      <top style="thin">
        <color theme="4" tint="0.39994506668294322"/>
      </top>
      <bottom style="thin">
        <color theme="4" tint="0.39994506668294322"/>
      </bottom>
      <diagonal/>
    </border>
    <border>
      <left/>
      <right style="medium">
        <color auto="1"/>
      </right>
      <top style="thin">
        <color theme="4" tint="0.39994506668294322"/>
      </top>
      <bottom style="thin">
        <color theme="4" tint="0.39994506668294322"/>
      </bottom>
      <diagonal/>
    </border>
    <border>
      <left style="medium">
        <color auto="1"/>
      </left>
      <right style="medium">
        <color auto="1"/>
      </right>
      <top style="thin">
        <color theme="4" tint="0.39994506668294322"/>
      </top>
      <bottom style="thin">
        <color theme="4" tint="0.39994506668294322"/>
      </bottom>
      <diagonal/>
    </border>
    <border>
      <left style="medium">
        <color auto="1"/>
      </left>
      <right/>
      <top style="thin">
        <color theme="4" tint="0.39994506668294322"/>
      </top>
      <bottom style="thin">
        <color theme="4" tint="0.39994506668294322"/>
      </bottom>
      <diagonal/>
    </border>
    <border>
      <left/>
      <right/>
      <top style="thin">
        <color theme="4" tint="0.39994506668294322"/>
      </top>
      <bottom/>
      <diagonal/>
    </border>
    <border>
      <left/>
      <right style="medium">
        <color auto="1"/>
      </right>
      <top style="thin">
        <color theme="4" tint="0.39994506668294322"/>
      </top>
      <bottom/>
      <diagonal/>
    </border>
    <border>
      <left style="medium">
        <color auto="1"/>
      </left>
      <right style="medium">
        <color auto="1"/>
      </right>
      <top style="thin">
        <color theme="4" tint="0.39994506668294322"/>
      </top>
      <bottom/>
      <diagonal/>
    </border>
    <border>
      <left style="medium">
        <color auto="1"/>
      </left>
      <right/>
      <top style="thin">
        <color theme="4" tint="0.39994506668294322"/>
      </top>
      <bottom/>
      <diagonal/>
    </border>
    <border>
      <left style="thin">
        <color auto="1"/>
      </left>
      <right style="thin">
        <color auto="1"/>
      </right>
      <top style="thin">
        <color rgb="FF000000"/>
      </top>
      <bottom/>
      <diagonal/>
    </border>
    <border>
      <left/>
      <right style="medium">
        <color auto="1"/>
      </right>
      <top style="thin">
        <color theme="7" tint="0.39997558519241921"/>
      </top>
      <bottom style="thin">
        <color theme="7" tint="0.39994506668294322"/>
      </bottom>
      <diagonal/>
    </border>
    <border>
      <left/>
      <right/>
      <top style="thin">
        <color rgb="FF000000"/>
      </top>
      <bottom style="thin">
        <color rgb="FF000000"/>
      </bottom>
      <diagonal/>
    </border>
    <border>
      <left style="medium">
        <color auto="1"/>
      </left>
      <right/>
      <top style="thin">
        <color theme="4" tint="0.39997558519241921"/>
      </top>
      <bottom style="thin">
        <color theme="4" tint="0.39997558519241921"/>
      </bottom>
      <diagonal/>
    </border>
    <border>
      <left style="medium">
        <color rgb="FF000000"/>
      </left>
      <right style="medium">
        <color rgb="FF000000"/>
      </right>
      <top style="medium">
        <color rgb="FF000000"/>
      </top>
      <bottom/>
      <diagonal/>
    </border>
    <border>
      <left style="medium">
        <color rgb="FF000000"/>
      </left>
      <right style="medium">
        <color rgb="FF000000"/>
      </right>
      <top/>
      <bottom style="thin">
        <color theme="4" tint="0.39994506668294322"/>
      </bottom>
      <diagonal/>
    </border>
    <border>
      <left style="medium">
        <color rgb="FF000000"/>
      </left>
      <right style="medium">
        <color rgb="FF000000"/>
      </right>
      <top style="thin">
        <color theme="4" tint="0.39994506668294322"/>
      </top>
      <bottom/>
      <diagonal/>
    </border>
    <border>
      <left style="medium">
        <color rgb="FF000000"/>
      </left>
      <right style="medium">
        <color rgb="FF000000"/>
      </right>
      <top/>
      <bottom/>
      <diagonal/>
    </border>
    <border>
      <left style="thin">
        <color auto="1"/>
      </left>
      <right style="medium">
        <color auto="1"/>
      </right>
      <top/>
      <bottom/>
      <diagonal/>
    </border>
    <border>
      <left/>
      <right style="double">
        <color auto="1"/>
      </right>
      <top/>
      <bottom/>
      <diagonal/>
    </border>
    <border>
      <left style="double">
        <color auto="1"/>
      </left>
      <right/>
      <top/>
      <bottom/>
      <diagonal/>
    </border>
    <border>
      <left style="thick">
        <color auto="1"/>
      </left>
      <right/>
      <top style="thick">
        <color auto="1"/>
      </top>
      <bottom/>
      <diagonal/>
    </border>
    <border>
      <left/>
      <right style="double">
        <color auto="1"/>
      </right>
      <top style="thick">
        <color auto="1"/>
      </top>
      <bottom/>
      <diagonal/>
    </border>
    <border>
      <left style="double">
        <color auto="1"/>
      </left>
      <right style="thick">
        <color auto="1"/>
      </right>
      <top style="thick">
        <color auto="1"/>
      </top>
      <bottom/>
      <diagonal/>
    </border>
    <border>
      <left style="thick">
        <color auto="1"/>
      </left>
      <right/>
      <top/>
      <bottom/>
      <diagonal/>
    </border>
    <border>
      <left style="double">
        <color auto="1"/>
      </left>
      <right style="thick">
        <color auto="1"/>
      </right>
      <top/>
      <bottom/>
      <diagonal/>
    </border>
    <border>
      <left style="thick">
        <color auto="1"/>
      </left>
      <right/>
      <top/>
      <bottom style="thick">
        <color auto="1"/>
      </bottom>
      <diagonal/>
    </border>
    <border>
      <left/>
      <right style="double">
        <color auto="1"/>
      </right>
      <top/>
      <bottom style="thick">
        <color auto="1"/>
      </bottom>
      <diagonal/>
    </border>
    <border>
      <left style="double">
        <color auto="1"/>
      </left>
      <right style="thick">
        <color auto="1"/>
      </right>
      <top/>
      <bottom style="thick">
        <color auto="1"/>
      </bottom>
      <diagonal/>
    </border>
    <border>
      <left style="thick">
        <color auto="1"/>
      </left>
      <right style="medium">
        <color auto="1"/>
      </right>
      <top style="thick">
        <color auto="1"/>
      </top>
      <bottom/>
      <diagonal/>
    </border>
    <border>
      <left style="medium">
        <color auto="1"/>
      </left>
      <right/>
      <top style="thick">
        <color auto="1"/>
      </top>
      <bottom/>
      <diagonal/>
    </border>
    <border>
      <left/>
      <right/>
      <top style="thick">
        <color auto="1"/>
      </top>
      <bottom/>
      <diagonal/>
    </border>
    <border>
      <left style="thin">
        <color auto="1"/>
      </left>
      <right style="medium">
        <color auto="1"/>
      </right>
      <top style="thick">
        <color auto="1"/>
      </top>
      <bottom/>
      <diagonal/>
    </border>
    <border>
      <left/>
      <right style="thick">
        <color auto="1"/>
      </right>
      <top style="thick">
        <color auto="1"/>
      </top>
      <bottom/>
      <diagonal/>
    </border>
    <border>
      <left style="thick">
        <color auto="1"/>
      </left>
      <right style="medium">
        <color auto="1"/>
      </right>
      <top style="thin">
        <color theme="4" tint="0.39997558519241921"/>
      </top>
      <bottom style="thin">
        <color theme="4" tint="0.39997558519241921"/>
      </bottom>
      <diagonal/>
    </border>
    <border>
      <left/>
      <right style="thick">
        <color auto="1"/>
      </right>
      <top/>
      <bottom/>
      <diagonal/>
    </border>
    <border>
      <left style="thick">
        <color auto="1"/>
      </left>
      <right style="medium">
        <color auto="1"/>
      </right>
      <top/>
      <bottom/>
      <diagonal/>
    </border>
    <border>
      <left style="thick">
        <color auto="1"/>
      </left>
      <right style="medium">
        <color auto="1"/>
      </right>
      <top/>
      <bottom style="thick">
        <color auto="1"/>
      </bottom>
      <diagonal/>
    </border>
    <border>
      <left/>
      <right/>
      <top/>
      <bottom style="thick">
        <color auto="1"/>
      </bottom>
      <diagonal/>
    </border>
    <border>
      <left style="thin">
        <color auto="1"/>
      </left>
      <right style="medium">
        <color auto="1"/>
      </right>
      <top/>
      <bottom style="thick">
        <color auto="1"/>
      </bottom>
      <diagonal/>
    </border>
    <border>
      <left style="medium">
        <color auto="1"/>
      </left>
      <right/>
      <top/>
      <bottom style="thick">
        <color auto="1"/>
      </bottom>
      <diagonal/>
    </border>
    <border>
      <left/>
      <right style="thick">
        <color auto="1"/>
      </right>
      <top/>
      <bottom style="thick">
        <color auto="1"/>
      </bottom>
      <diagonal/>
    </border>
    <border>
      <left style="double">
        <color auto="1"/>
      </left>
      <right/>
      <top style="thick">
        <color auto="1"/>
      </top>
      <bottom/>
      <diagonal/>
    </border>
    <border>
      <left style="double">
        <color auto="1"/>
      </left>
      <right/>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right style="thin">
        <color auto="1"/>
      </right>
      <top/>
      <bottom style="thin">
        <color auto="1"/>
      </bottom>
      <diagonal/>
    </border>
    <border>
      <left/>
      <right/>
      <top/>
      <bottom style="thin">
        <color rgb="FF000000"/>
      </bottom>
      <diagonal/>
    </border>
    <border>
      <left/>
      <right style="thin">
        <color auto="1"/>
      </right>
      <top/>
      <bottom/>
      <diagonal/>
    </border>
    <border>
      <left style="medium">
        <color rgb="FF000000"/>
      </left>
      <right/>
      <top/>
      <bottom/>
      <diagonal/>
    </border>
    <border>
      <left style="medium">
        <color rgb="FF000000"/>
      </left>
      <right style="medium">
        <color auto="1"/>
      </right>
      <top/>
      <bottom style="thin">
        <color theme="4" tint="0.39994506668294322"/>
      </bottom>
      <diagonal/>
    </border>
    <border>
      <left style="medium">
        <color rgb="FF000000"/>
      </left>
      <right style="medium">
        <color auto="1"/>
      </right>
      <top style="thin">
        <color theme="4" tint="0.39994506668294322"/>
      </top>
      <bottom/>
      <diagonal/>
    </border>
    <border>
      <left style="medium">
        <color auto="1"/>
      </left>
      <right/>
      <top style="thin">
        <color theme="7" tint="0.39994506668294322"/>
      </top>
      <bottom/>
      <diagonal/>
    </border>
    <border>
      <left/>
      <right style="thin">
        <color auto="1"/>
      </right>
      <top style="thin">
        <color theme="4" tint="0.39994506668294322"/>
      </top>
      <bottom/>
      <diagonal/>
    </border>
    <border>
      <left style="thin">
        <color auto="1"/>
      </left>
      <right style="thin">
        <color rgb="FF000000"/>
      </right>
      <top/>
      <bottom style="thin">
        <color auto="1"/>
      </bottom>
      <diagonal/>
    </border>
    <border>
      <left style="thin">
        <color auto="1"/>
      </left>
      <right style="thin">
        <color rgb="FF000000"/>
      </right>
      <top style="thin">
        <color auto="1"/>
      </top>
      <bottom style="thin">
        <color auto="1"/>
      </bottom>
      <diagonal/>
    </border>
    <border>
      <left style="thin">
        <color auto="1"/>
      </left>
      <right style="thin">
        <color rgb="FF000000"/>
      </right>
      <top style="thin">
        <color auto="1"/>
      </top>
      <bottom/>
      <diagonal/>
    </border>
    <border>
      <left/>
      <right style="thin">
        <color rgb="FF000000"/>
      </right>
      <top/>
      <bottom/>
      <diagonal/>
    </border>
    <border>
      <left/>
      <right/>
      <top style="thin">
        <color theme="7" tint="0.39994506668294322"/>
      </top>
      <bottom style="thin">
        <color theme="7" tint="0.39994506668294322"/>
      </bottom>
      <diagonal/>
    </border>
    <border>
      <left style="medium">
        <color auto="1"/>
      </left>
      <right/>
      <top style="thin">
        <color theme="7" tint="0.39994506668294322"/>
      </top>
      <bottom style="thin">
        <color theme="7" tint="0.3999450666829432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style="thin">
        <color rgb="FF95B3D7"/>
      </top>
      <bottom style="thin">
        <color rgb="FF95B3D7"/>
      </bottom>
      <diagonal/>
    </border>
    <border>
      <left/>
      <right/>
      <top style="thin">
        <color auto="1"/>
      </top>
      <bottom style="thin">
        <color auto="1"/>
      </bottom>
      <diagonal/>
    </border>
    <border>
      <left/>
      <right/>
      <top style="thin">
        <color auto="1"/>
      </top>
      <bottom/>
      <diagonal/>
    </border>
    <border>
      <left/>
      <right/>
      <top style="thin">
        <color theme="6" tint="0.39994506668294322"/>
      </top>
      <bottom style="thin">
        <color theme="6" tint="0.39994506668294322"/>
      </bottom>
      <diagonal/>
    </border>
    <border>
      <left/>
      <right/>
      <top/>
      <bottom style="thin">
        <color auto="1"/>
      </bottom>
      <diagonal/>
    </border>
    <border>
      <left style="medium">
        <color auto="1"/>
      </left>
      <right style="medium">
        <color auto="1"/>
      </right>
      <top style="thin">
        <color theme="6" tint="0.39994506668294322"/>
      </top>
      <bottom style="thin">
        <color theme="6" tint="0.39994506668294322"/>
      </bottom>
      <diagonal/>
    </border>
    <border>
      <left style="medium">
        <color rgb="FF000000"/>
      </left>
      <right style="medium">
        <color auto="1"/>
      </right>
      <top/>
      <bottom/>
      <diagonal/>
    </border>
    <border>
      <left/>
      <right style="thin">
        <color auto="1"/>
      </right>
      <top style="thin">
        <color theme="4" tint="0.39994506668294322"/>
      </top>
      <bottom style="thin">
        <color theme="4" tint="0.39994506668294322"/>
      </bottom>
      <diagonal/>
    </border>
    <border>
      <left/>
      <right/>
      <top style="thin">
        <color theme="4" tint="0.39994506668294322"/>
      </top>
      <bottom style="thin">
        <color theme="4" tint="0.39997558519241921"/>
      </bottom>
      <diagonal/>
    </border>
    <border>
      <left/>
      <right style="medium">
        <color auto="1"/>
      </right>
      <top style="thin">
        <color theme="4" tint="0.39994506668294322"/>
      </top>
      <bottom style="thin">
        <color theme="4" tint="0.39997558519241921"/>
      </bottom>
      <diagonal/>
    </border>
    <border>
      <left style="medium">
        <color auto="1"/>
      </left>
      <right/>
      <top style="thin">
        <color theme="4" tint="0.39994506668294322"/>
      </top>
      <bottom style="thin">
        <color theme="4" tint="0.39997558519241921"/>
      </bottom>
      <diagonal/>
    </border>
    <border>
      <left style="medium">
        <color auto="1"/>
      </left>
      <right style="medium">
        <color auto="1"/>
      </right>
      <top style="thin">
        <color theme="4" tint="0.39994506668294322"/>
      </top>
      <bottom style="thin">
        <color theme="4" tint="0.39997558519241921"/>
      </bottom>
      <diagonal/>
    </border>
    <border>
      <left style="hair">
        <color auto="1"/>
      </left>
      <right style="hair">
        <color auto="1"/>
      </right>
      <top/>
      <bottom/>
      <diagonal/>
    </border>
    <border>
      <left style="hair">
        <color auto="1"/>
      </left>
      <right style="medium">
        <color auto="1"/>
      </right>
      <top/>
      <bottom/>
      <diagonal/>
    </border>
    <border>
      <left style="medium">
        <color auto="1"/>
      </left>
      <right style="hair">
        <color auto="1"/>
      </right>
      <top/>
      <bottom/>
      <diagonal/>
    </border>
    <border>
      <left/>
      <right/>
      <top style="thin">
        <color theme="4" tint="0.39997558519241921"/>
      </top>
      <bottom style="thin">
        <color rgb="FF95B3D7"/>
      </bottom>
      <diagonal/>
    </border>
    <border>
      <left style="medium">
        <color auto="1"/>
      </left>
      <right style="medium">
        <color auto="1"/>
      </right>
      <top style="thin">
        <color theme="4" tint="0.39997558519241921"/>
      </top>
      <bottom style="thin">
        <color theme="4" tint="0.39997558519241921"/>
      </bottom>
      <diagonal/>
    </border>
    <border>
      <left/>
      <right style="medium">
        <color auto="1"/>
      </right>
      <top style="thin">
        <color theme="4" tint="0.39997558519241921"/>
      </top>
      <bottom style="thin">
        <color theme="4" tint="0.39997558519241921"/>
      </bottom>
      <diagonal/>
    </border>
    <border>
      <left style="medium">
        <color auto="1"/>
      </left>
      <right style="hair">
        <color auto="1"/>
      </right>
      <top style="thin">
        <color theme="4" tint="0.39997558519241921"/>
      </top>
      <bottom style="thin">
        <color theme="4" tint="0.39997558519241921"/>
      </bottom>
      <diagonal/>
    </border>
    <border>
      <left style="hair">
        <color auto="1"/>
      </left>
      <right style="hair">
        <color auto="1"/>
      </right>
      <top style="thin">
        <color theme="4" tint="0.39997558519241921"/>
      </top>
      <bottom style="thin">
        <color theme="4" tint="0.39997558519241921"/>
      </bottom>
      <diagonal/>
    </border>
    <border>
      <left style="hair">
        <color auto="1"/>
      </left>
      <right style="medium">
        <color auto="1"/>
      </right>
      <top style="thin">
        <color theme="4" tint="0.39997558519241921"/>
      </top>
      <bottom style="thin">
        <color theme="4" tint="0.39997558519241921"/>
      </bottom>
      <diagonal/>
    </border>
    <border>
      <left/>
      <right style="medium">
        <color rgb="FF000000"/>
      </right>
      <top style="thin">
        <color theme="7" tint="0.39994506668294322"/>
      </top>
      <bottom/>
      <diagonal/>
    </border>
    <border>
      <left/>
      <right/>
      <top style="thin">
        <color theme="4" tint="0.39997558519241921"/>
      </top>
      <bottom/>
      <diagonal/>
    </border>
    <border>
      <left/>
      <right style="medium">
        <color indexed="64"/>
      </right>
      <top style="thin">
        <color rgb="FF8EA9DB"/>
      </top>
      <bottom style="thin">
        <color rgb="FF8EA9DB"/>
      </bottom>
      <diagonal/>
    </border>
    <border>
      <left/>
      <right style="medium">
        <color auto="1"/>
      </right>
      <top style="thin">
        <color theme="6" tint="0.39994506668294322"/>
      </top>
      <bottom style="thin">
        <color theme="6" tint="0.39994506668294322"/>
      </bottom>
      <diagonal/>
    </border>
    <border>
      <left style="thin">
        <color rgb="FF000000"/>
      </left>
      <right/>
      <top style="thin">
        <color theme="6" tint="0.39994506668294322"/>
      </top>
      <bottom style="thin">
        <color theme="6" tint="0.39994506668294322"/>
      </bottom>
      <diagonal/>
    </border>
    <border>
      <left style="medium">
        <color auto="1"/>
      </left>
      <right/>
      <top style="thin">
        <color theme="6" tint="0.39994506668294322"/>
      </top>
      <bottom style="thin">
        <color theme="6" tint="0.39994506668294322"/>
      </bottom>
      <diagonal/>
    </border>
  </borders>
  <cellStyleXfs count="9">
    <xf numFmtId="0" fontId="0" fillId="0" borderId="0"/>
    <xf numFmtId="44" fontId="10" fillId="0" borderId="0" applyFont="0" applyFill="0" applyBorder="0" applyAlignment="0" applyProtection="0"/>
    <xf numFmtId="9" fontId="10"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1817">
    <xf numFmtId="0" fontId="0" fillId="0" borderId="0" xfId="0"/>
    <xf numFmtId="0" fontId="0" fillId="0" borderId="3" xfId="0" applyBorder="1"/>
    <xf numFmtId="0" fontId="3" fillId="0" borderId="0" xfId="0" applyFont="1" applyAlignment="1">
      <alignment horizontal="center" wrapText="1"/>
    </xf>
    <xf numFmtId="0" fontId="0" fillId="0" borderId="3" xfId="0" applyBorder="1" applyAlignment="1">
      <alignment wrapText="1"/>
    </xf>
    <xf numFmtId="0" fontId="0" fillId="0" borderId="0" xfId="0" applyAlignment="1">
      <alignment wrapText="1"/>
    </xf>
    <xf numFmtId="0" fontId="0" fillId="0" borderId="0" xfId="0" applyAlignment="1">
      <alignment horizontal="center" wrapText="1"/>
    </xf>
    <xf numFmtId="0" fontId="5" fillId="0" borderId="2" xfId="0" applyFont="1" applyBorder="1"/>
    <xf numFmtId="0" fontId="5" fillId="0" borderId="2" xfId="0" applyFont="1" applyBorder="1" applyAlignment="1">
      <alignment wrapText="1"/>
    </xf>
    <xf numFmtId="49" fontId="0" fillId="0" borderId="0" xfId="0" applyNumberFormat="1"/>
    <xf numFmtId="0" fontId="0" fillId="0" borderId="0" xfId="0" applyAlignment="1">
      <alignment horizontal="center"/>
    </xf>
    <xf numFmtId="0" fontId="0" fillId="0" borderId="4" xfId="0" applyBorder="1" applyAlignment="1">
      <alignment horizontal="center"/>
    </xf>
    <xf numFmtId="0" fontId="0" fillId="0" borderId="0" xfId="0" applyAlignment="1">
      <alignment horizontal="right"/>
    </xf>
    <xf numFmtId="0" fontId="0" fillId="0" borderId="0" xfId="0" applyAlignment="1">
      <alignment horizontal="left" wrapText="1"/>
    </xf>
    <xf numFmtId="0" fontId="0" fillId="0" borderId="0" xfId="0" applyAlignment="1">
      <alignment horizontal="left"/>
    </xf>
    <xf numFmtId="165" fontId="0" fillId="0" borderId="0" xfId="0" applyNumberFormat="1"/>
    <xf numFmtId="0" fontId="0" fillId="0" borderId="6" xfId="0" applyBorder="1" applyAlignment="1">
      <alignment wrapText="1"/>
    </xf>
    <xf numFmtId="1" fontId="0" fillId="0" borderId="0" xfId="0" applyNumberFormat="1"/>
    <xf numFmtId="49" fontId="0" fillId="0" borderId="0" xfId="0" applyNumberFormat="1" applyAlignment="1">
      <alignment horizontal="right"/>
    </xf>
    <xf numFmtId="14" fontId="0" fillId="0" borderId="0" xfId="0" applyNumberFormat="1" applyAlignment="1">
      <alignment horizontal="right"/>
    </xf>
    <xf numFmtId="0" fontId="0" fillId="0" borderId="4" xfId="0" applyBorder="1"/>
    <xf numFmtId="0" fontId="0" fillId="0" borderId="4" xfId="0" applyBorder="1" applyAlignment="1">
      <alignment wrapText="1"/>
    </xf>
    <xf numFmtId="14" fontId="0" fillId="0" borderId="3" xfId="0" applyNumberFormat="1" applyBorder="1" applyAlignment="1">
      <alignment horizontal="center"/>
    </xf>
    <xf numFmtId="165" fontId="0" fillId="0" borderId="6" xfId="0" applyNumberFormat="1" applyBorder="1" applyAlignment="1">
      <alignment horizontal="center"/>
    </xf>
    <xf numFmtId="165" fontId="4" fillId="0" borderId="3" xfId="0" applyNumberFormat="1" applyFont="1" applyBorder="1" applyAlignment="1">
      <alignment horizontal="center" wrapText="1"/>
    </xf>
    <xf numFmtId="165" fontId="0" fillId="0" borderId="3" xfId="0" applyNumberFormat="1" applyBorder="1" applyAlignment="1">
      <alignment horizontal="right"/>
    </xf>
    <xf numFmtId="165" fontId="9" fillId="0" borderId="3" xfId="0" applyNumberFormat="1" applyFont="1" applyBorder="1" applyAlignment="1">
      <alignment horizontal="right"/>
    </xf>
    <xf numFmtId="0" fontId="0" fillId="0" borderId="6" xfId="0" applyBorder="1" applyAlignment="1">
      <alignment horizontal="center"/>
    </xf>
    <xf numFmtId="0" fontId="0" fillId="0" borderId="0" xfId="0" applyAlignment="1">
      <alignment horizontal="center" vertical="center" wrapText="1"/>
    </xf>
    <xf numFmtId="165" fontId="0" fillId="0" borderId="4" xfId="0" applyNumberFormat="1" applyBorder="1" applyAlignment="1">
      <alignment horizontal="right"/>
    </xf>
    <xf numFmtId="165" fontId="15" fillId="0" borderId="3" xfId="0" applyNumberFormat="1" applyFont="1" applyBorder="1" applyAlignment="1">
      <alignment horizontal="right"/>
    </xf>
    <xf numFmtId="0" fontId="17" fillId="0" borderId="0" xfId="0" applyFont="1"/>
    <xf numFmtId="0" fontId="0" fillId="0" borderId="0" xfId="0" applyAlignment="1">
      <alignment horizontal="center" vertical="center"/>
    </xf>
    <xf numFmtId="0" fontId="0" fillId="0" borderId="6" xfId="0" applyBorder="1" applyAlignment="1">
      <alignment horizontal="center" wrapText="1"/>
    </xf>
    <xf numFmtId="0" fontId="3" fillId="0" borderId="6" xfId="0" applyFont="1" applyBorder="1" applyAlignment="1">
      <alignment horizontal="center" wrapText="1"/>
    </xf>
    <xf numFmtId="0" fontId="15" fillId="0" borderId="0" xfId="0" applyFont="1"/>
    <xf numFmtId="0" fontId="15" fillId="0" borderId="0" xfId="0" applyFont="1" applyAlignment="1">
      <alignment vertical="center"/>
    </xf>
    <xf numFmtId="0" fontId="15" fillId="0" borderId="0" xfId="0" applyFont="1" applyAlignment="1">
      <alignment horizontal="center"/>
    </xf>
    <xf numFmtId="0" fontId="3" fillId="5" borderId="15" xfId="0" applyFont="1" applyFill="1" applyBorder="1" applyAlignment="1">
      <alignment horizontal="center" vertical="center"/>
    </xf>
    <xf numFmtId="0" fontId="3" fillId="5" borderId="16" xfId="0" applyFont="1" applyFill="1" applyBorder="1" applyAlignment="1">
      <alignment horizontal="center" vertical="center"/>
    </xf>
    <xf numFmtId="0" fontId="3" fillId="5" borderId="16" xfId="0" applyFont="1" applyFill="1" applyBorder="1" applyAlignment="1">
      <alignment horizontal="center" vertical="center" wrapText="1"/>
    </xf>
    <xf numFmtId="0" fontId="3" fillId="5" borderId="17" xfId="0" applyFont="1" applyFill="1" applyBorder="1" applyAlignment="1">
      <alignment horizontal="center" vertical="center"/>
    </xf>
    <xf numFmtId="0" fontId="15" fillId="0" borderId="8" xfId="0" applyFont="1" applyBorder="1"/>
    <xf numFmtId="0" fontId="15" fillId="0" borderId="8" xfId="0" applyFont="1" applyBorder="1" applyAlignment="1">
      <alignment horizontal="center"/>
    </xf>
    <xf numFmtId="0" fontId="15" fillId="0" borderId="8" xfId="0" applyFont="1" applyBorder="1" applyAlignment="1">
      <alignment horizontal="left" vertical="center"/>
    </xf>
    <xf numFmtId="0" fontId="15" fillId="0" borderId="8" xfId="0" applyFont="1" applyBorder="1" applyAlignment="1">
      <alignment wrapText="1"/>
    </xf>
    <xf numFmtId="0" fontId="15" fillId="0" borderId="8" xfId="0" applyFont="1" applyBorder="1" applyAlignment="1">
      <alignment vertical="center" wrapText="1"/>
    </xf>
    <xf numFmtId="0" fontId="15" fillId="0" borderId="13" xfId="0" applyFont="1" applyBorder="1"/>
    <xf numFmtId="0" fontId="15" fillId="0" borderId="13" xfId="0" applyFont="1" applyBorder="1" applyAlignment="1">
      <alignment horizontal="center"/>
    </xf>
    <xf numFmtId="0" fontId="15" fillId="0" borderId="8" xfId="0" applyFont="1" applyBorder="1" applyAlignment="1">
      <alignment horizontal="center" vertical="center" wrapText="1"/>
    </xf>
    <xf numFmtId="0" fontId="15" fillId="0" borderId="8" xfId="0" applyFont="1" applyBorder="1" applyAlignment="1">
      <alignment vertical="center"/>
    </xf>
    <xf numFmtId="0" fontId="15" fillId="0" borderId="0" xfId="0" applyFont="1" applyAlignment="1">
      <alignment horizontal="center" vertical="center"/>
    </xf>
    <xf numFmtId="49" fontId="15" fillId="0" borderId="8" xfId="0" applyNumberFormat="1" applyFont="1" applyBorder="1" applyAlignment="1">
      <alignment horizontal="center" vertical="center"/>
    </xf>
    <xf numFmtId="14" fontId="15" fillId="0" borderId="8" xfId="0" applyNumberFormat="1" applyFont="1" applyBorder="1" applyAlignment="1">
      <alignment horizontal="center" vertical="center"/>
    </xf>
    <xf numFmtId="14" fontId="15" fillId="0" borderId="8" xfId="0" applyNumberFormat="1" applyFont="1" applyBorder="1"/>
    <xf numFmtId="0" fontId="15" fillId="0" borderId="18" xfId="0" applyFont="1" applyBorder="1" applyAlignment="1">
      <alignment horizontal="left" vertical="center"/>
    </xf>
    <xf numFmtId="0" fontId="15" fillId="0" borderId="7" xfId="0" applyFont="1" applyBorder="1" applyAlignment="1">
      <alignment horizontal="center" vertical="center"/>
    </xf>
    <xf numFmtId="0" fontId="15" fillId="0" borderId="12" xfId="0" applyFont="1" applyBorder="1" applyAlignment="1">
      <alignment horizontal="center" vertical="center"/>
    </xf>
    <xf numFmtId="0" fontId="15" fillId="0" borderId="9" xfId="0" applyFont="1" applyBorder="1" applyAlignment="1">
      <alignment horizontal="center" vertical="center"/>
    </xf>
    <xf numFmtId="0" fontId="15" fillId="0" borderId="14" xfId="0" applyFont="1" applyBorder="1" applyAlignment="1">
      <alignment horizontal="center" vertical="center"/>
    </xf>
    <xf numFmtId="0" fontId="15" fillId="0" borderId="10" xfId="0" applyFont="1" applyBorder="1" applyAlignment="1">
      <alignment wrapText="1"/>
    </xf>
    <xf numFmtId="0" fontId="15" fillId="0" borderId="10" xfId="0" applyFont="1" applyBorder="1" applyAlignment="1">
      <alignment horizontal="center"/>
    </xf>
    <xf numFmtId="0" fontId="15" fillId="0" borderId="10" xfId="0" applyFont="1" applyBorder="1"/>
    <xf numFmtId="14" fontId="15" fillId="0" borderId="13" xfId="0" applyNumberFormat="1" applyFont="1" applyBorder="1" applyAlignment="1">
      <alignment horizontal="center"/>
    </xf>
    <xf numFmtId="14" fontId="15" fillId="0" borderId="8" xfId="0" applyNumberFormat="1" applyFont="1" applyBorder="1" applyAlignment="1">
      <alignment horizontal="center"/>
    </xf>
    <xf numFmtId="14" fontId="15" fillId="0" borderId="10" xfId="0" applyNumberFormat="1" applyFont="1" applyBorder="1" applyAlignment="1">
      <alignment horizontal="center" vertical="center"/>
    </xf>
    <xf numFmtId="0" fontId="0" fillId="0" borderId="0" xfId="0" applyAlignment="1">
      <alignment vertical="center" wrapText="1"/>
    </xf>
    <xf numFmtId="0" fontId="0" fillId="0" borderId="0" xfId="0" applyAlignment="1">
      <alignment vertical="center"/>
    </xf>
    <xf numFmtId="14" fontId="15" fillId="0" borderId="10" xfId="0" applyNumberFormat="1" applyFont="1" applyBorder="1"/>
    <xf numFmtId="14" fontId="0" fillId="0" borderId="6" xfId="0" applyNumberFormat="1" applyBorder="1" applyAlignment="1">
      <alignment horizontal="center"/>
    </xf>
    <xf numFmtId="165" fontId="3" fillId="0" borderId="3" xfId="0" applyNumberFormat="1" applyFont="1" applyBorder="1" applyAlignment="1">
      <alignment horizontal="center" wrapText="1"/>
    </xf>
    <xf numFmtId="165" fontId="6" fillId="0" borderId="3" xfId="0" applyNumberFormat="1" applyFont="1" applyBorder="1" applyAlignment="1">
      <alignment horizontal="right"/>
    </xf>
    <xf numFmtId="165" fontId="16" fillId="0" borderId="3" xfId="0" applyNumberFormat="1" applyFont="1" applyBorder="1" applyAlignment="1">
      <alignment horizontal="right"/>
    </xf>
    <xf numFmtId="165" fontId="3" fillId="0" borderId="6" xfId="0" applyNumberFormat="1" applyFont="1" applyBorder="1" applyAlignment="1">
      <alignment horizontal="center" wrapText="1"/>
    </xf>
    <xf numFmtId="10" fontId="3" fillId="0" borderId="6" xfId="0" applyNumberFormat="1" applyFont="1" applyBorder="1" applyAlignment="1">
      <alignment horizontal="center" wrapText="1"/>
    </xf>
    <xf numFmtId="165" fontId="6" fillId="0" borderId="6" xfId="0" applyNumberFormat="1" applyFont="1" applyBorder="1" applyAlignment="1">
      <alignment horizontal="right"/>
    </xf>
    <xf numFmtId="10" fontId="6" fillId="0" borderId="6" xfId="0" applyNumberFormat="1" applyFont="1" applyBorder="1" applyAlignment="1">
      <alignment horizontal="right"/>
    </xf>
    <xf numFmtId="10" fontId="8" fillId="0" borderId="6" xfId="0" applyNumberFormat="1" applyFont="1" applyBorder="1" applyAlignment="1">
      <alignment horizontal="right"/>
    </xf>
    <xf numFmtId="10" fontId="12" fillId="0" borderId="6" xfId="0" applyNumberFormat="1" applyFont="1" applyBorder="1" applyAlignment="1">
      <alignment horizontal="right"/>
    </xf>
    <xf numFmtId="0" fontId="0" fillId="0" borderId="6" xfId="0" applyBorder="1"/>
    <xf numFmtId="0" fontId="23" fillId="0" borderId="8" xfId="0" applyFont="1" applyBorder="1" applyAlignment="1">
      <alignment wrapText="1"/>
    </xf>
    <xf numFmtId="0" fontId="0" fillId="0" borderId="3" xfId="0" applyBorder="1" applyAlignment="1">
      <alignment horizontal="center" wrapText="1"/>
    </xf>
    <xf numFmtId="0" fontId="5" fillId="0" borderId="0" xfId="0" applyFont="1"/>
    <xf numFmtId="0" fontId="0" fillId="0" borderId="5" xfId="0" applyBorder="1"/>
    <xf numFmtId="0" fontId="24" fillId="0" borderId="0" xfId="0" applyFont="1" applyAlignment="1">
      <alignment wrapText="1"/>
    </xf>
    <xf numFmtId="0" fontId="0" fillId="0" borderId="3" xfId="0" applyBorder="1" applyAlignment="1">
      <alignment horizontal="left"/>
    </xf>
    <xf numFmtId="14" fontId="0" fillId="0" borderId="4" xfId="0" applyNumberFormat="1" applyBorder="1" applyAlignment="1">
      <alignment horizontal="center"/>
    </xf>
    <xf numFmtId="10" fontId="16" fillId="0" borderId="6" xfId="0" applyNumberFormat="1" applyFont="1" applyBorder="1" applyAlignment="1">
      <alignment horizontal="right"/>
    </xf>
    <xf numFmtId="165" fontId="15" fillId="0" borderId="4" xfId="0" applyNumberFormat="1" applyFont="1" applyBorder="1" applyAlignment="1">
      <alignment horizontal="right"/>
    </xf>
    <xf numFmtId="0" fontId="15" fillId="0" borderId="13" xfId="0" applyFont="1" applyBorder="1" applyAlignment="1">
      <alignment horizontal="center" vertical="center"/>
    </xf>
    <xf numFmtId="0" fontId="15" fillId="0" borderId="13" xfId="0" applyFont="1" applyBorder="1" applyAlignment="1">
      <alignment horizontal="left" vertical="center"/>
    </xf>
    <xf numFmtId="0" fontId="15" fillId="0" borderId="10" xfId="0" applyFont="1" applyBorder="1" applyAlignment="1">
      <alignment horizontal="center" vertical="center"/>
    </xf>
    <xf numFmtId="0" fontId="15" fillId="0" borderId="8" xfId="0" applyFont="1" applyBorder="1" applyAlignment="1">
      <alignment horizontal="center" vertical="center"/>
    </xf>
    <xf numFmtId="0" fontId="15" fillId="0" borderId="8" xfId="0" applyFont="1" applyBorder="1" applyAlignment="1">
      <alignment horizontal="left" vertical="center" wrapText="1"/>
    </xf>
    <xf numFmtId="0" fontId="15" fillId="0" borderId="10" xfId="0" applyFont="1" applyBorder="1" applyAlignment="1">
      <alignment horizontal="left" vertical="center"/>
    </xf>
    <xf numFmtId="165" fontId="11" fillId="0" borderId="3" xfId="0" applyNumberFormat="1" applyFont="1" applyBorder="1" applyAlignment="1">
      <alignment horizontal="right"/>
    </xf>
    <xf numFmtId="0" fontId="15" fillId="0" borderId="7" xfId="0" applyFont="1" applyBorder="1" applyAlignment="1">
      <alignment horizontal="center"/>
    </xf>
    <xf numFmtId="0" fontId="15" fillId="0" borderId="7" xfId="0" applyFont="1" applyBorder="1"/>
    <xf numFmtId="14" fontId="15" fillId="0" borderId="0" xfId="0" applyNumberFormat="1" applyFont="1"/>
    <xf numFmtId="165" fontId="0" fillId="0" borderId="3" xfId="0" applyNumberFormat="1" applyBorder="1"/>
    <xf numFmtId="14" fontId="0" fillId="0" borderId="0" xfId="0" applyNumberFormat="1" applyAlignment="1">
      <alignment horizontal="left"/>
    </xf>
    <xf numFmtId="14" fontId="0" fillId="0" borderId="4" xfId="0" applyNumberFormat="1" applyBorder="1" applyAlignment="1">
      <alignment horizontal="left"/>
    </xf>
    <xf numFmtId="14" fontId="0" fillId="0" borderId="0" xfId="0" applyNumberFormat="1" applyAlignment="1">
      <alignment horizontal="left" wrapText="1"/>
    </xf>
    <xf numFmtId="14" fontId="0" fillId="0" borderId="4" xfId="0" applyNumberFormat="1" applyBorder="1" applyAlignment="1">
      <alignment horizontal="left" wrapText="1"/>
    </xf>
    <xf numFmtId="165" fontId="0" fillId="2" borderId="4" xfId="0" applyNumberFormat="1" applyFill="1" applyBorder="1" applyAlignment="1">
      <alignment horizontal="right"/>
    </xf>
    <xf numFmtId="49" fontId="0" fillId="0" borderId="28" xfId="0" applyNumberFormat="1" applyBorder="1" applyAlignment="1">
      <alignment wrapText="1"/>
    </xf>
    <xf numFmtId="14" fontId="0" fillId="0" borderId="28" xfId="0" applyNumberFormat="1" applyBorder="1" applyAlignment="1">
      <alignment wrapText="1"/>
    </xf>
    <xf numFmtId="165" fontId="12" fillId="0" borderId="3" xfId="0" applyNumberFormat="1" applyFont="1" applyBorder="1" applyAlignment="1">
      <alignment horizontal="right"/>
    </xf>
    <xf numFmtId="165" fontId="9" fillId="0" borderId="6" xfId="0" applyNumberFormat="1" applyFont="1" applyBorder="1" applyAlignment="1">
      <alignment horizontal="center"/>
    </xf>
    <xf numFmtId="165" fontId="15" fillId="0" borderId="6" xfId="0" applyNumberFormat="1" applyFont="1" applyBorder="1" applyAlignment="1">
      <alignment horizontal="center"/>
    </xf>
    <xf numFmtId="165" fontId="15" fillId="2" borderId="6" xfId="0" applyNumberFormat="1" applyFont="1" applyFill="1" applyBorder="1" applyAlignment="1">
      <alignment horizontal="center"/>
    </xf>
    <xf numFmtId="0" fontId="4" fillId="0" borderId="30" xfId="0" applyFont="1" applyBorder="1" applyAlignment="1">
      <alignment horizontal="center" wrapText="1"/>
    </xf>
    <xf numFmtId="0" fontId="3" fillId="0" borderId="31" xfId="0" applyFont="1" applyBorder="1" applyAlignment="1">
      <alignment horizontal="center" wrapText="1"/>
    </xf>
    <xf numFmtId="0" fontId="3" fillId="0" borderId="32" xfId="0" applyFont="1" applyBorder="1" applyAlignment="1">
      <alignment horizontal="center" wrapText="1"/>
    </xf>
    <xf numFmtId="0" fontId="3" fillId="0" borderId="33" xfId="0" applyFont="1" applyBorder="1" applyAlignment="1">
      <alignment horizontal="center" wrapText="1"/>
    </xf>
    <xf numFmtId="0" fontId="0" fillId="0" borderId="34" xfId="0" applyBorder="1" applyAlignment="1">
      <alignment horizontal="left" wrapText="1"/>
    </xf>
    <xf numFmtId="49" fontId="0" fillId="0" borderId="35" xfId="0" applyNumberFormat="1" applyBorder="1" applyAlignment="1">
      <alignment wrapText="1"/>
    </xf>
    <xf numFmtId="0" fontId="4" fillId="0" borderId="37" xfId="0" applyFont="1" applyBorder="1" applyAlignment="1">
      <alignment horizontal="center" wrapText="1"/>
    </xf>
    <xf numFmtId="0" fontId="4" fillId="0" borderId="38" xfId="0" applyFont="1" applyBorder="1" applyAlignment="1">
      <alignment horizontal="center" wrapText="1"/>
    </xf>
    <xf numFmtId="0" fontId="3" fillId="0" borderId="38" xfId="0" applyFont="1" applyBorder="1" applyAlignment="1">
      <alignment horizontal="center" wrapText="1"/>
    </xf>
    <xf numFmtId="0" fontId="3" fillId="0" borderId="39" xfId="0" applyFont="1" applyBorder="1" applyAlignment="1">
      <alignment horizontal="center" wrapText="1"/>
    </xf>
    <xf numFmtId="0" fontId="3" fillId="0" borderId="40" xfId="0" applyFont="1" applyBorder="1" applyAlignment="1">
      <alignment horizontal="center" wrapText="1"/>
    </xf>
    <xf numFmtId="0" fontId="3" fillId="0" borderId="41" xfId="0" applyFont="1" applyBorder="1" applyAlignment="1">
      <alignment horizontal="center" wrapText="1"/>
    </xf>
    <xf numFmtId="0" fontId="3" fillId="0" borderId="38" xfId="0" applyFont="1" applyBorder="1" applyAlignment="1">
      <alignment horizontal="left" wrapText="1"/>
    </xf>
    <xf numFmtId="0" fontId="3" fillId="0" borderId="41" xfId="0" applyFont="1" applyBorder="1" applyAlignment="1">
      <alignment wrapText="1"/>
    </xf>
    <xf numFmtId="0" fontId="3" fillId="0" borderId="42" xfId="0" applyFont="1" applyBorder="1" applyAlignment="1">
      <alignment horizontal="center" wrapText="1"/>
    </xf>
    <xf numFmtId="14" fontId="0" fillId="0" borderId="43" xfId="0" applyNumberFormat="1" applyBorder="1" applyAlignment="1">
      <alignment wrapText="1"/>
    </xf>
    <xf numFmtId="14" fontId="0" fillId="0" borderId="44" xfId="0" applyNumberFormat="1" applyBorder="1" applyAlignment="1">
      <alignment horizontal="center"/>
    </xf>
    <xf numFmtId="0" fontId="0" fillId="0" borderId="28" xfId="0" applyBorder="1" applyAlignment="1">
      <alignment wrapText="1"/>
    </xf>
    <xf numFmtId="14" fontId="0" fillId="0" borderId="28" xfId="0" applyNumberFormat="1" applyBorder="1" applyAlignment="1">
      <alignment horizontal="center" wrapText="1"/>
    </xf>
    <xf numFmtId="0" fontId="0" fillId="0" borderId="28" xfId="0" applyBorder="1" applyAlignment="1">
      <alignment horizontal="center"/>
    </xf>
    <xf numFmtId="0" fontId="0" fillId="0" borderId="28" xfId="0" applyBorder="1" applyAlignment="1">
      <alignment horizontal="center" wrapText="1"/>
    </xf>
    <xf numFmtId="0" fontId="0" fillId="0" borderId="43" xfId="0" applyBorder="1" applyAlignment="1">
      <alignment horizontal="center"/>
    </xf>
    <xf numFmtId="0" fontId="0" fillId="0" borderId="29" xfId="0" applyBorder="1" applyAlignment="1">
      <alignment wrapText="1"/>
    </xf>
    <xf numFmtId="165" fontId="0" fillId="0" borderId="45" xfId="0" applyNumberFormat="1" applyBorder="1" applyAlignment="1">
      <alignment horizontal="center" wrapText="1"/>
    </xf>
    <xf numFmtId="0" fontId="3" fillId="0" borderId="46" xfId="0" applyFont="1" applyBorder="1" applyAlignment="1">
      <alignment horizontal="center" wrapText="1"/>
    </xf>
    <xf numFmtId="0" fontId="4" fillId="0" borderId="46" xfId="0" applyFont="1" applyBorder="1" applyAlignment="1">
      <alignment horizontal="center" wrapText="1"/>
    </xf>
    <xf numFmtId="0" fontId="3" fillId="0" borderId="47" xfId="0" applyFont="1" applyBorder="1" applyAlignment="1">
      <alignment horizontal="center" wrapText="1"/>
    </xf>
    <xf numFmtId="14" fontId="0" fillId="0" borderId="46" xfId="0" applyNumberFormat="1" applyBorder="1" applyAlignment="1">
      <alignment horizontal="center" wrapText="1"/>
    </xf>
    <xf numFmtId="0" fontId="3" fillId="0" borderId="49" xfId="0" applyFont="1" applyBorder="1" applyAlignment="1">
      <alignment horizontal="center" wrapText="1"/>
    </xf>
    <xf numFmtId="14" fontId="3" fillId="0" borderId="46" xfId="0" applyNumberFormat="1" applyFont="1" applyBorder="1" applyAlignment="1">
      <alignment horizontal="center" wrapText="1"/>
    </xf>
    <xf numFmtId="0" fontId="3" fillId="0" borderId="48" xfId="0" applyFont="1" applyBorder="1" applyAlignment="1">
      <alignment horizontal="center" wrapText="1"/>
    </xf>
    <xf numFmtId="0" fontId="3" fillId="0" borderId="49" xfId="0" applyFont="1" applyBorder="1" applyAlignment="1">
      <alignment wrapText="1"/>
    </xf>
    <xf numFmtId="49" fontId="0" fillId="0" borderId="50" xfId="0" applyNumberFormat="1" applyBorder="1" applyAlignment="1">
      <alignment wrapText="1"/>
    </xf>
    <xf numFmtId="49" fontId="11" fillId="0" borderId="50" xfId="0" applyNumberFormat="1" applyFont="1" applyBorder="1" applyAlignment="1">
      <alignment wrapText="1"/>
    </xf>
    <xf numFmtId="14" fontId="0" fillId="0" borderId="50" xfId="0" applyNumberFormat="1" applyBorder="1" applyAlignment="1">
      <alignment wrapText="1"/>
    </xf>
    <xf numFmtId="14" fontId="0" fillId="0" borderId="53" xfId="0" applyNumberFormat="1" applyBorder="1" applyAlignment="1">
      <alignment horizontal="center" wrapText="1"/>
    </xf>
    <xf numFmtId="14" fontId="0" fillId="0" borderId="50" xfId="0" applyNumberFormat="1" applyBorder="1" applyAlignment="1">
      <alignment horizontal="center" wrapText="1"/>
    </xf>
    <xf numFmtId="0" fontId="0" fillId="0" borderId="53" xfId="0" applyBorder="1" applyAlignment="1">
      <alignment wrapText="1"/>
    </xf>
    <xf numFmtId="0" fontId="0" fillId="0" borderId="50" xfId="0" applyBorder="1" applyAlignment="1">
      <alignment horizontal="center" wrapText="1"/>
    </xf>
    <xf numFmtId="0" fontId="0" fillId="0" borderId="53" xfId="0" applyBorder="1" applyAlignment="1">
      <alignment horizontal="center" wrapText="1"/>
    </xf>
    <xf numFmtId="49" fontId="0" fillId="0" borderId="54" xfId="0" applyNumberFormat="1" applyBorder="1" applyAlignment="1">
      <alignment wrapText="1"/>
    </xf>
    <xf numFmtId="49" fontId="0" fillId="0" borderId="54" xfId="0" applyNumberFormat="1" applyBorder="1" applyAlignment="1">
      <alignment horizontal="left" wrapText="1"/>
    </xf>
    <xf numFmtId="49" fontId="11" fillId="0" borderId="54" xfId="0" applyNumberFormat="1" applyFont="1" applyBorder="1" applyAlignment="1">
      <alignment wrapText="1"/>
    </xf>
    <xf numFmtId="14" fontId="0" fillId="0" borderId="54" xfId="0" applyNumberFormat="1" applyBorder="1" applyAlignment="1">
      <alignment wrapText="1"/>
    </xf>
    <xf numFmtId="14" fontId="0" fillId="0" borderId="57" xfId="0" applyNumberFormat="1" applyBorder="1" applyAlignment="1">
      <alignment horizontal="center" wrapText="1"/>
    </xf>
    <xf numFmtId="14" fontId="0" fillId="0" borderId="54" xfId="0" applyNumberFormat="1" applyBorder="1" applyAlignment="1">
      <alignment horizontal="center" wrapText="1"/>
    </xf>
    <xf numFmtId="0" fontId="0" fillId="0" borderId="57" xfId="0" applyBorder="1" applyAlignment="1">
      <alignment wrapText="1"/>
    </xf>
    <xf numFmtId="0" fontId="0" fillId="0" borderId="54" xfId="0" applyBorder="1" applyAlignment="1">
      <alignment horizontal="center" wrapText="1"/>
    </xf>
    <xf numFmtId="0" fontId="0" fillId="0" borderId="56" xfId="0" applyBorder="1" applyAlignment="1">
      <alignment horizontal="center" wrapText="1"/>
    </xf>
    <xf numFmtId="0" fontId="0" fillId="0" borderId="57" xfId="0" applyBorder="1" applyAlignment="1">
      <alignment horizontal="center"/>
    </xf>
    <xf numFmtId="0" fontId="0" fillId="0" borderId="57" xfId="0" applyBorder="1" applyAlignment="1">
      <alignment horizontal="center" wrapText="1"/>
    </xf>
    <xf numFmtId="0" fontId="15" fillId="0" borderId="24" xfId="0" applyFont="1" applyBorder="1"/>
    <xf numFmtId="0" fontId="15" fillId="0" borderId="26" xfId="0" applyFont="1" applyBorder="1" applyAlignment="1">
      <alignment horizontal="center" vertical="center"/>
    </xf>
    <xf numFmtId="0" fontId="15" fillId="0" borderId="20" xfId="0" applyFont="1" applyBorder="1"/>
    <xf numFmtId="0" fontId="15" fillId="0" borderId="21" xfId="0" applyFont="1" applyBorder="1"/>
    <xf numFmtId="0" fontId="15" fillId="0" borderId="14" xfId="0" applyFont="1" applyBorder="1"/>
    <xf numFmtId="0" fontId="15" fillId="0" borderId="9" xfId="0" applyFont="1" applyBorder="1"/>
    <xf numFmtId="0" fontId="15" fillId="0" borderId="7" xfId="0" applyFont="1" applyBorder="1" applyAlignment="1">
      <alignment wrapText="1"/>
    </xf>
    <xf numFmtId="14" fontId="15" fillId="0" borderId="7" xfId="0" applyNumberFormat="1" applyFont="1" applyBorder="1" applyAlignment="1">
      <alignment horizontal="center"/>
    </xf>
    <xf numFmtId="14" fontId="15" fillId="0" borderId="7" xfId="0" applyNumberFormat="1" applyFont="1" applyBorder="1" applyAlignment="1">
      <alignment horizontal="center" vertical="center"/>
    </xf>
    <xf numFmtId="0" fontId="15" fillId="0" borderId="7" xfId="0" applyFont="1" applyBorder="1" applyAlignment="1">
      <alignment vertical="center"/>
    </xf>
    <xf numFmtId="0" fontId="15" fillId="0" borderId="9" xfId="0" quotePrefix="1" applyFont="1" applyBorder="1"/>
    <xf numFmtId="0" fontId="0" fillId="0" borderId="43" xfId="0" applyBorder="1" applyAlignment="1">
      <alignment wrapText="1"/>
    </xf>
    <xf numFmtId="166" fontId="11" fillId="0" borderId="28" xfId="0" applyNumberFormat="1" applyFont="1" applyBorder="1" applyAlignment="1">
      <alignment horizontal="center"/>
    </xf>
    <xf numFmtId="0" fontId="0" fillId="0" borderId="43" xfId="0" applyBorder="1" applyAlignment="1">
      <alignment horizontal="center" wrapText="1"/>
    </xf>
    <xf numFmtId="14" fontId="15" fillId="0" borderId="0" xfId="0" applyNumberFormat="1" applyFont="1" applyAlignment="1">
      <alignment horizontal="right"/>
    </xf>
    <xf numFmtId="14" fontId="15" fillId="0" borderId="7" xfId="0" applyNumberFormat="1" applyFont="1" applyBorder="1"/>
    <xf numFmtId="14" fontId="3" fillId="5" borderId="16" xfId="0" applyNumberFormat="1" applyFont="1" applyFill="1" applyBorder="1" applyAlignment="1">
      <alignment horizontal="center" vertical="center"/>
    </xf>
    <xf numFmtId="14" fontId="15" fillId="0" borderId="13" xfId="0" applyNumberFormat="1" applyFont="1" applyBorder="1"/>
    <xf numFmtId="14" fontId="15" fillId="0" borderId="7" xfId="0" applyNumberFormat="1" applyFont="1" applyBorder="1" applyAlignment="1">
      <alignment vertical="center"/>
    </xf>
    <xf numFmtId="0" fontId="15" fillId="0" borderId="9" xfId="0" applyFont="1" applyBorder="1" applyAlignment="1">
      <alignment horizontal="center"/>
    </xf>
    <xf numFmtId="14" fontId="15" fillId="0" borderId="9" xfId="0" applyNumberFormat="1" applyFont="1" applyBorder="1"/>
    <xf numFmtId="14" fontId="15" fillId="0" borderId="9" xfId="0" applyNumberFormat="1" applyFont="1" applyBorder="1" applyAlignment="1">
      <alignment horizontal="center"/>
    </xf>
    <xf numFmtId="14" fontId="15" fillId="0" borderId="0" xfId="0" applyNumberFormat="1" applyFont="1" applyAlignment="1">
      <alignment horizontal="center"/>
    </xf>
    <xf numFmtId="0" fontId="5" fillId="0" borderId="2" xfId="0" applyFont="1" applyBorder="1" applyAlignment="1">
      <alignment horizontal="left"/>
    </xf>
    <xf numFmtId="0" fontId="0" fillId="0" borderId="55" xfId="0" applyBorder="1" applyAlignment="1">
      <alignment horizontal="center"/>
    </xf>
    <xf numFmtId="0" fontId="3" fillId="0" borderId="49" xfId="0" applyFont="1" applyBorder="1" applyAlignment="1">
      <alignment horizontal="left" wrapText="1"/>
    </xf>
    <xf numFmtId="165" fontId="15" fillId="0" borderId="3" xfId="0" applyNumberFormat="1" applyFont="1" applyBorder="1" applyAlignment="1">
      <alignment horizontal="center"/>
    </xf>
    <xf numFmtId="14" fontId="0" fillId="0" borderId="55" xfId="0" applyNumberFormat="1" applyBorder="1" applyAlignment="1">
      <alignment wrapText="1"/>
    </xf>
    <xf numFmtId="0" fontId="11" fillId="0" borderId="54" xfId="0" applyFont="1" applyBorder="1" applyAlignment="1">
      <alignment horizontal="center" wrapText="1"/>
    </xf>
    <xf numFmtId="0" fontId="0" fillId="0" borderId="55" xfId="0" applyBorder="1" applyAlignment="1">
      <alignment horizontal="left" wrapText="1"/>
    </xf>
    <xf numFmtId="0" fontId="32" fillId="0" borderId="54" xfId="0" applyFont="1" applyBorder="1" applyAlignment="1">
      <alignment horizontal="center" wrapText="1"/>
    </xf>
    <xf numFmtId="0" fontId="14" fillId="0" borderId="44" xfId="0" applyFont="1" applyBorder="1" applyAlignment="1">
      <alignment horizontal="center" wrapText="1"/>
    </xf>
    <xf numFmtId="0" fontId="32" fillId="0" borderId="28" xfId="0" applyFont="1" applyBorder="1" applyAlignment="1">
      <alignment horizontal="center" wrapText="1"/>
    </xf>
    <xf numFmtId="0" fontId="32" fillId="0" borderId="29" xfId="0" applyFont="1" applyBorder="1" applyAlignment="1">
      <alignment horizontal="center" wrapText="1"/>
    </xf>
    <xf numFmtId="0" fontId="31" fillId="0" borderId="28" xfId="0" applyFont="1" applyBorder="1" applyAlignment="1">
      <alignment horizontal="center"/>
    </xf>
    <xf numFmtId="0" fontId="14" fillId="0" borderId="55" xfId="0" applyFont="1" applyBorder="1" applyAlignment="1">
      <alignment wrapText="1"/>
    </xf>
    <xf numFmtId="14" fontId="6" fillId="0" borderId="50" xfId="0" applyNumberFormat="1" applyFont="1" applyBorder="1" applyAlignment="1">
      <alignment horizontal="center" wrapText="1"/>
    </xf>
    <xf numFmtId="1" fontId="0" fillId="0" borderId="55" xfId="0" applyNumberFormat="1" applyBorder="1" applyAlignment="1">
      <alignment horizontal="center" wrapText="1"/>
    </xf>
    <xf numFmtId="1" fontId="3" fillId="0" borderId="41" xfId="0" applyNumberFormat="1" applyFont="1" applyBorder="1" applyAlignment="1">
      <alignment horizontal="center" wrapText="1"/>
    </xf>
    <xf numFmtId="1" fontId="0" fillId="0" borderId="29" xfId="0" applyNumberFormat="1" applyBorder="1" applyAlignment="1">
      <alignment horizontal="center" wrapText="1"/>
    </xf>
    <xf numFmtId="14" fontId="11" fillId="0" borderId="35" xfId="0" applyNumberFormat="1" applyFont="1" applyBorder="1" applyAlignment="1">
      <alignment horizontal="center"/>
    </xf>
    <xf numFmtId="14" fontId="6" fillId="0" borderId="54" xfId="0" applyNumberFormat="1" applyFont="1" applyBorder="1" applyAlignment="1">
      <alignment horizontal="center" wrapText="1"/>
    </xf>
    <xf numFmtId="14" fontId="0" fillId="0" borderId="3" xfId="0" applyNumberFormat="1" applyBorder="1" applyAlignment="1">
      <alignment wrapText="1"/>
    </xf>
    <xf numFmtId="14" fontId="6" fillId="0" borderId="28" xfId="0" applyNumberFormat="1" applyFont="1" applyBorder="1"/>
    <xf numFmtId="14" fontId="9" fillId="0" borderId="6" xfId="0" applyNumberFormat="1" applyFont="1" applyBorder="1" applyAlignment="1">
      <alignment horizontal="center"/>
    </xf>
    <xf numFmtId="14" fontId="3" fillId="0" borderId="6" xfId="0" applyNumberFormat="1" applyFont="1" applyBorder="1" applyAlignment="1">
      <alignment horizontal="center" wrapText="1"/>
    </xf>
    <xf numFmtId="14" fontId="15" fillId="0" borderId="6" xfId="0" applyNumberFormat="1" applyFont="1" applyBorder="1" applyAlignment="1">
      <alignment horizontal="center"/>
    </xf>
    <xf numFmtId="14" fontId="15" fillId="2" borderId="6" xfId="0" applyNumberFormat="1" applyFont="1" applyFill="1" applyBorder="1" applyAlignment="1">
      <alignment horizontal="center"/>
    </xf>
    <xf numFmtId="165" fontId="0" fillId="2" borderId="6" xfId="0" applyNumberFormat="1" applyFill="1" applyBorder="1" applyAlignment="1">
      <alignment horizontal="center"/>
    </xf>
    <xf numFmtId="0" fontId="3" fillId="0" borderId="59" xfId="0" applyFont="1" applyBorder="1" applyAlignment="1">
      <alignment horizontal="center" wrapText="1"/>
    </xf>
    <xf numFmtId="0" fontId="15" fillId="0" borderId="7" xfId="0" applyFont="1" applyBorder="1" applyAlignment="1">
      <alignment horizontal="center" wrapText="1"/>
    </xf>
    <xf numFmtId="14" fontId="11" fillId="0" borderId="6" xfId="0" applyNumberFormat="1" applyFont="1" applyBorder="1" applyAlignment="1">
      <alignment horizontal="center"/>
    </xf>
    <xf numFmtId="0" fontId="3" fillId="0" borderId="46" xfId="0" applyFont="1" applyBorder="1" applyAlignment="1">
      <alignment horizontal="right" wrapText="1"/>
    </xf>
    <xf numFmtId="0" fontId="0" fillId="0" borderId="61" xfId="0" applyBorder="1"/>
    <xf numFmtId="0" fontId="0" fillId="0" borderId="1" xfId="0" applyBorder="1"/>
    <xf numFmtId="166" fontId="11" fillId="0" borderId="44" xfId="0" applyNumberFormat="1" applyFont="1" applyBorder="1" applyAlignment="1">
      <alignment horizontal="center"/>
    </xf>
    <xf numFmtId="0" fontId="3" fillId="0" borderId="41" xfId="0" applyFont="1" applyBorder="1" applyAlignment="1">
      <alignment horizontal="center"/>
    </xf>
    <xf numFmtId="0" fontId="0" fillId="0" borderId="29" xfId="0" applyBorder="1" applyAlignment="1">
      <alignment horizontal="center"/>
    </xf>
    <xf numFmtId="0" fontId="0" fillId="0" borderId="29" xfId="0" applyBorder="1" applyAlignment="1">
      <alignment horizontal="center" wrapText="1"/>
    </xf>
    <xf numFmtId="165" fontId="8" fillId="0" borderId="3" xfId="0" applyNumberFormat="1" applyFont="1" applyBorder="1" applyAlignment="1">
      <alignment horizontal="right"/>
    </xf>
    <xf numFmtId="1" fontId="0" fillId="0" borderId="6" xfId="0" applyNumberFormat="1" applyBorder="1" applyAlignment="1">
      <alignment horizontal="center"/>
    </xf>
    <xf numFmtId="0" fontId="0" fillId="0" borderId="62" xfId="0" applyBorder="1" applyAlignment="1">
      <alignment wrapText="1"/>
    </xf>
    <xf numFmtId="0" fontId="0" fillId="0" borderId="63" xfId="0" applyBorder="1" applyAlignment="1">
      <alignment horizontal="center" wrapText="1"/>
    </xf>
    <xf numFmtId="14" fontId="0" fillId="0" borderId="64" xfId="0" applyNumberFormat="1" applyBorder="1" applyAlignment="1">
      <alignment wrapText="1"/>
    </xf>
    <xf numFmtId="0" fontId="0" fillId="0" borderId="65" xfId="0" applyBorder="1" applyAlignment="1">
      <alignment wrapText="1"/>
    </xf>
    <xf numFmtId="0" fontId="0" fillId="0" borderId="66" xfId="0" applyBorder="1"/>
    <xf numFmtId="0" fontId="15" fillId="0" borderId="19" xfId="0" applyFont="1" applyBorder="1" applyAlignment="1">
      <alignment horizontal="center" vertical="center"/>
    </xf>
    <xf numFmtId="0" fontId="15" fillId="0" borderId="27" xfId="0" applyFont="1" applyBorder="1" applyAlignment="1">
      <alignment horizontal="center" vertical="center"/>
    </xf>
    <xf numFmtId="165" fontId="11" fillId="0" borderId="6" xfId="0" applyNumberFormat="1" applyFont="1" applyBorder="1" applyAlignment="1">
      <alignment horizontal="center"/>
    </xf>
    <xf numFmtId="0" fontId="15" fillId="0" borderId="11" xfId="0" applyFont="1" applyBorder="1"/>
    <xf numFmtId="0" fontId="15" fillId="0" borderId="23" xfId="0" applyFont="1" applyBorder="1" applyAlignment="1">
      <alignment horizontal="center" vertical="center"/>
    </xf>
    <xf numFmtId="0" fontId="15" fillId="0" borderId="60" xfId="0" applyFont="1" applyBorder="1" applyAlignment="1">
      <alignment horizontal="center"/>
    </xf>
    <xf numFmtId="0" fontId="15" fillId="0" borderId="21" xfId="0" applyFont="1" applyBorder="1" applyAlignment="1">
      <alignment horizontal="center"/>
    </xf>
    <xf numFmtId="0" fontId="15" fillId="0" borderId="21" xfId="0" applyFont="1" applyBorder="1" applyAlignment="1">
      <alignment vertical="center"/>
    </xf>
    <xf numFmtId="0" fontId="15" fillId="0" borderId="25" xfId="0" applyFont="1" applyBorder="1" applyAlignment="1">
      <alignment horizontal="center"/>
    </xf>
    <xf numFmtId="0" fontId="15" fillId="0" borderId="22" xfId="0" applyFont="1" applyBorder="1"/>
    <xf numFmtId="0" fontId="33" fillId="0" borderId="7" xfId="0" applyFont="1" applyBorder="1" applyAlignment="1">
      <alignment wrapText="1"/>
    </xf>
    <xf numFmtId="0" fontId="14" fillId="0" borderId="7" xfId="0" applyFont="1" applyBorder="1"/>
    <xf numFmtId="14" fontId="14" fillId="0" borderId="7" xfId="0" applyNumberFormat="1" applyFont="1" applyBorder="1"/>
    <xf numFmtId="0" fontId="14" fillId="0" borderId="7" xfId="0" applyFont="1" applyBorder="1" applyAlignment="1">
      <alignment wrapText="1"/>
    </xf>
    <xf numFmtId="169" fontId="0" fillId="0" borderId="67" xfId="0" applyNumberFormat="1" applyBorder="1" applyAlignment="1">
      <alignment horizontal="right"/>
    </xf>
    <xf numFmtId="9" fontId="0" fillId="0" borderId="68" xfId="2" applyFont="1" applyBorder="1" applyAlignment="1">
      <alignment horizontal="right"/>
    </xf>
    <xf numFmtId="0" fontId="0" fillId="0" borderId="69" xfId="0" applyBorder="1" applyAlignment="1">
      <alignment wrapText="1"/>
    </xf>
    <xf numFmtId="0" fontId="0" fillId="0" borderId="70" xfId="0" applyBorder="1" applyAlignment="1">
      <alignment wrapText="1"/>
    </xf>
    <xf numFmtId="0" fontId="0" fillId="0" borderId="71" xfId="0" applyBorder="1" applyAlignment="1">
      <alignment wrapText="1"/>
    </xf>
    <xf numFmtId="2" fontId="0" fillId="0" borderId="72" xfId="0" applyNumberFormat="1" applyBorder="1" applyAlignment="1">
      <alignment horizontal="right"/>
    </xf>
    <xf numFmtId="9" fontId="0" fillId="0" borderId="73" xfId="2" applyFont="1" applyBorder="1" applyAlignment="1">
      <alignment horizontal="right"/>
    </xf>
    <xf numFmtId="0" fontId="0" fillId="0" borderId="74" xfId="0" applyBorder="1"/>
    <xf numFmtId="169" fontId="0" fillId="0" borderId="75" xfId="0" applyNumberFormat="1" applyBorder="1"/>
    <xf numFmtId="0" fontId="0" fillId="0" borderId="77" xfId="0" applyBorder="1"/>
    <xf numFmtId="0" fontId="0" fillId="0" borderId="78" xfId="0" applyBorder="1"/>
    <xf numFmtId="0" fontId="0" fillId="0" borderId="79" xfId="0" applyBorder="1"/>
    <xf numFmtId="0" fontId="0" fillId="0" borderId="80" xfId="0" applyBorder="1"/>
    <xf numFmtId="0" fontId="0" fillId="0" borderId="78" xfId="0" applyBorder="1" applyAlignment="1">
      <alignment wrapText="1"/>
    </xf>
    <xf numFmtId="0" fontId="0" fillId="0" borderId="81" xfId="0" applyBorder="1" applyAlignment="1">
      <alignment wrapText="1"/>
    </xf>
    <xf numFmtId="0" fontId="0" fillId="0" borderId="82" xfId="0" applyBorder="1"/>
    <xf numFmtId="0" fontId="0" fillId="0" borderId="83" xfId="0" applyBorder="1"/>
    <xf numFmtId="0" fontId="0" fillId="0" borderId="84" xfId="0" applyBorder="1"/>
    <xf numFmtId="0" fontId="0" fillId="0" borderId="85" xfId="0" applyBorder="1"/>
    <xf numFmtId="0" fontId="0" fillId="0" borderId="86" xfId="0" applyBorder="1"/>
    <xf numFmtId="0" fontId="0" fillId="0" borderId="87" xfId="0" applyBorder="1"/>
    <xf numFmtId="0" fontId="0" fillId="0" borderId="88" xfId="0" applyBorder="1"/>
    <xf numFmtId="0" fontId="0" fillId="0" borderId="89" xfId="0" applyBorder="1"/>
    <xf numFmtId="9" fontId="0" fillId="0" borderId="76" xfId="0" applyNumberFormat="1" applyBorder="1"/>
    <xf numFmtId="0" fontId="0" fillId="0" borderId="90" xfId="0" applyBorder="1" applyAlignment="1">
      <alignment wrapText="1"/>
    </xf>
    <xf numFmtId="9" fontId="0" fillId="0" borderId="91" xfId="0" applyNumberFormat="1" applyBorder="1"/>
    <xf numFmtId="169" fontId="0" fillId="0" borderId="3" xfId="2" applyNumberFormat="1" applyFont="1" applyBorder="1" applyAlignment="1">
      <alignment horizontal="right"/>
    </xf>
    <xf numFmtId="169" fontId="0" fillId="0" borderId="88" xfId="0" applyNumberFormat="1" applyBorder="1"/>
    <xf numFmtId="0" fontId="0" fillId="0" borderId="79" xfId="0" applyBorder="1" applyAlignment="1">
      <alignment wrapText="1"/>
    </xf>
    <xf numFmtId="9" fontId="0" fillId="0" borderId="86" xfId="0" applyNumberFormat="1" applyBorder="1"/>
    <xf numFmtId="49" fontId="0" fillId="0" borderId="72" xfId="0" applyNumberFormat="1" applyBorder="1" applyAlignment="1">
      <alignment horizontal="right"/>
    </xf>
    <xf numFmtId="2" fontId="0" fillId="0" borderId="0" xfId="0" applyNumberFormat="1" applyAlignment="1">
      <alignment horizontal="right"/>
    </xf>
    <xf numFmtId="169" fontId="0" fillId="0" borderId="0" xfId="0" applyNumberFormat="1" applyAlignment="1">
      <alignment horizontal="right"/>
    </xf>
    <xf numFmtId="49" fontId="0" fillId="0" borderId="74" xfId="0" applyNumberFormat="1" applyBorder="1" applyAlignment="1">
      <alignment horizontal="right"/>
    </xf>
    <xf numFmtId="49" fontId="0" fillId="0" borderId="86" xfId="0" applyNumberFormat="1" applyBorder="1" applyAlignment="1">
      <alignment horizontal="right"/>
    </xf>
    <xf numFmtId="169" fontId="0" fillId="0" borderId="86" xfId="0" applyNumberFormat="1" applyBorder="1"/>
    <xf numFmtId="0" fontId="0" fillId="0" borderId="92" xfId="0" applyBorder="1"/>
    <xf numFmtId="0" fontId="0" fillId="0" borderId="93" xfId="0" applyBorder="1"/>
    <xf numFmtId="0" fontId="0" fillId="0" borderId="94" xfId="0" applyBorder="1"/>
    <xf numFmtId="9" fontId="0" fillId="0" borderId="0" xfId="2" applyFont="1" applyBorder="1" applyAlignment="1">
      <alignment horizontal="right"/>
    </xf>
    <xf numFmtId="14" fontId="4" fillId="0" borderId="37" xfId="0" applyNumberFormat="1" applyFont="1" applyBorder="1" applyAlignment="1">
      <alignment horizontal="center" wrapText="1"/>
    </xf>
    <xf numFmtId="1" fontId="0" fillId="0" borderId="57" xfId="0" applyNumberFormat="1" applyBorder="1" applyAlignment="1">
      <alignment horizontal="center" wrapText="1"/>
    </xf>
    <xf numFmtId="14" fontId="28" fillId="0" borderId="55" xfId="0" applyNumberFormat="1" applyFont="1" applyBorder="1" applyAlignment="1">
      <alignment wrapText="1"/>
    </xf>
    <xf numFmtId="0" fontId="15" fillId="0" borderId="22" xfId="0" applyFont="1" applyBorder="1" applyAlignment="1">
      <alignment horizontal="center"/>
    </xf>
    <xf numFmtId="0" fontId="32" fillId="0" borderId="54" xfId="0" quotePrefix="1" applyFont="1" applyBorder="1" applyAlignment="1">
      <alignment horizontal="center" wrapText="1"/>
    </xf>
    <xf numFmtId="0" fontId="15" fillId="0" borderId="22" xfId="0" applyFont="1" applyBorder="1" applyAlignment="1">
      <alignment vertical="center"/>
    </xf>
    <xf numFmtId="0" fontId="33" fillId="0" borderId="9" xfId="0" applyFont="1" applyBorder="1" applyAlignment="1">
      <alignment wrapText="1"/>
    </xf>
    <xf numFmtId="0" fontId="14" fillId="0" borderId="9" xfId="0" applyFont="1" applyBorder="1"/>
    <xf numFmtId="0" fontId="15" fillId="0" borderId="23" xfId="0" applyFont="1" applyBorder="1"/>
    <xf numFmtId="0" fontId="15" fillId="10" borderId="7" xfId="0" applyFont="1" applyFill="1" applyBorder="1" applyAlignment="1">
      <alignment horizontal="center" vertical="center"/>
    </xf>
    <xf numFmtId="0" fontId="15" fillId="0" borderId="9" xfId="0" applyFont="1" applyBorder="1" applyAlignment="1">
      <alignment vertical="center"/>
    </xf>
    <xf numFmtId="0" fontId="15" fillId="2" borderId="7" xfId="0" applyFont="1" applyFill="1" applyBorder="1"/>
    <xf numFmtId="0" fontId="15" fillId="2" borderId="7" xfId="0" applyFont="1" applyFill="1" applyBorder="1" applyAlignment="1">
      <alignment horizontal="center"/>
    </xf>
    <xf numFmtId="14" fontId="15" fillId="2" borderId="7" xfId="0" applyNumberFormat="1" applyFont="1" applyFill="1" applyBorder="1" applyAlignment="1">
      <alignment horizontal="center"/>
    </xf>
    <xf numFmtId="14" fontId="15" fillId="2" borderId="7" xfId="0" applyNumberFormat="1" applyFont="1" applyFill="1" applyBorder="1"/>
    <xf numFmtId="0" fontId="15" fillId="12" borderId="7" xfId="0" applyFont="1" applyFill="1" applyBorder="1" applyAlignment="1">
      <alignment horizontal="center" vertical="center"/>
    </xf>
    <xf numFmtId="0" fontId="15" fillId="0" borderId="24" xfId="0" applyFont="1" applyBorder="1" applyAlignment="1">
      <alignment horizontal="center"/>
    </xf>
    <xf numFmtId="0" fontId="15" fillId="2" borderId="9" xfId="0" applyFont="1" applyFill="1" applyBorder="1"/>
    <xf numFmtId="0" fontId="15" fillId="2" borderId="9" xfId="0" applyFont="1" applyFill="1" applyBorder="1" applyAlignment="1">
      <alignment horizontal="center"/>
    </xf>
    <xf numFmtId="165" fontId="11" fillId="0" borderId="4" xfId="0" applyNumberFormat="1" applyFont="1" applyBorder="1" applyAlignment="1">
      <alignment horizontal="right"/>
    </xf>
    <xf numFmtId="0" fontId="14" fillId="0" borderId="9" xfId="0" applyFont="1" applyBorder="1" applyAlignment="1">
      <alignment wrapText="1"/>
    </xf>
    <xf numFmtId="0" fontId="15" fillId="0" borderId="8" xfId="0" applyFont="1" applyBorder="1" applyAlignment="1">
      <alignment horizontal="left"/>
    </xf>
    <xf numFmtId="0" fontId="15" fillId="2" borderId="8" xfId="0" applyFont="1" applyFill="1" applyBorder="1" applyAlignment="1">
      <alignment horizontal="left"/>
    </xf>
    <xf numFmtId="0" fontId="15" fillId="2" borderId="7" xfId="0" applyFont="1" applyFill="1" applyBorder="1" applyAlignment="1">
      <alignment horizontal="left"/>
    </xf>
    <xf numFmtId="14" fontId="15" fillId="0" borderId="10" xfId="0" applyNumberFormat="1" applyFont="1" applyBorder="1" applyAlignment="1">
      <alignment horizontal="center"/>
    </xf>
    <xf numFmtId="0" fontId="15" fillId="2" borderId="10" xfId="0" applyFont="1" applyFill="1" applyBorder="1" applyAlignment="1">
      <alignment horizontal="left"/>
    </xf>
    <xf numFmtId="0" fontId="15" fillId="0" borderId="7" xfId="0" applyFont="1" applyBorder="1" applyAlignment="1">
      <alignment horizontal="left"/>
    </xf>
    <xf numFmtId="0" fontId="15" fillId="4" borderId="7" xfId="0" applyFont="1" applyFill="1" applyBorder="1" applyAlignment="1">
      <alignment horizontal="center" vertical="center"/>
    </xf>
    <xf numFmtId="0" fontId="14" fillId="0" borderId="8" xfId="0" applyFont="1" applyBorder="1" applyAlignment="1">
      <alignment wrapText="1"/>
    </xf>
    <xf numFmtId="0" fontId="14" fillId="0" borderId="12" xfId="0" applyFont="1" applyBorder="1" applyAlignment="1">
      <alignment wrapText="1"/>
    </xf>
    <xf numFmtId="0" fontId="14" fillId="0" borderId="13" xfId="0" applyFont="1" applyBorder="1" applyAlignment="1">
      <alignment wrapText="1"/>
    </xf>
    <xf numFmtId="0" fontId="14" fillId="0" borderId="95" xfId="0" applyFont="1" applyBorder="1" applyAlignment="1">
      <alignment wrapText="1"/>
    </xf>
    <xf numFmtId="0" fontId="33" fillId="0" borderId="95" xfId="0" applyFont="1" applyBorder="1" applyAlignment="1">
      <alignment wrapText="1"/>
    </xf>
    <xf numFmtId="0" fontId="33" fillId="0" borderId="95" xfId="0" applyFont="1" applyBorder="1"/>
    <xf numFmtId="3" fontId="15" fillId="0" borderId="7" xfId="0" applyNumberFormat="1" applyFont="1" applyBorder="1"/>
    <xf numFmtId="0" fontId="0" fillId="0" borderId="0" xfId="0" applyAlignment="1">
      <alignment horizontal="right" wrapText="1"/>
    </xf>
    <xf numFmtId="0" fontId="0" fillId="0" borderId="54" xfId="0" applyBorder="1" applyAlignment="1">
      <alignment horizontal="right" wrapText="1"/>
    </xf>
    <xf numFmtId="0" fontId="15" fillId="0" borderId="24" xfId="0" applyFont="1" applyBorder="1" applyAlignment="1">
      <alignment horizontal="center" vertical="center"/>
    </xf>
    <xf numFmtId="0" fontId="15" fillId="0" borderId="9" xfId="0" applyFont="1" applyBorder="1" applyAlignment="1">
      <alignment horizontal="left"/>
    </xf>
    <xf numFmtId="0" fontId="14" fillId="0" borderId="26" xfId="0" applyFont="1" applyBorder="1" applyAlignment="1">
      <alignment wrapText="1"/>
    </xf>
    <xf numFmtId="0" fontId="33" fillId="0" borderId="97" xfId="0" applyFont="1" applyBorder="1" applyAlignment="1">
      <alignment wrapText="1"/>
    </xf>
    <xf numFmtId="0" fontId="15" fillId="0" borderId="21" xfId="0" applyFont="1" applyBorder="1" applyAlignment="1">
      <alignment horizontal="center" vertical="center"/>
    </xf>
    <xf numFmtId="0" fontId="37" fillId="0" borderId="7" xfId="0" applyFont="1" applyBorder="1" applyAlignment="1">
      <alignment horizontal="center" vertical="center"/>
    </xf>
    <xf numFmtId="0" fontId="15" fillId="0" borderId="60" xfId="0" applyFont="1" applyBorder="1" applyAlignment="1">
      <alignment horizontal="center" vertical="center"/>
    </xf>
    <xf numFmtId="0" fontId="15" fillId="0" borderId="23" xfId="0" applyFont="1" applyBorder="1" applyAlignment="1">
      <alignment horizontal="center"/>
    </xf>
    <xf numFmtId="0" fontId="15" fillId="0" borderId="25" xfId="0" applyFont="1" applyBorder="1" applyAlignment="1">
      <alignment horizontal="center" vertical="center"/>
    </xf>
    <xf numFmtId="0" fontId="15" fillId="0" borderId="22" xfId="0" applyFont="1" applyBorder="1" applyAlignment="1">
      <alignment horizontal="center" vertical="center"/>
    </xf>
    <xf numFmtId="0" fontId="37" fillId="0" borderId="9" xfId="0" applyFont="1" applyBorder="1" applyAlignment="1">
      <alignment horizontal="center" vertical="center"/>
    </xf>
    <xf numFmtId="165" fontId="11" fillId="2" borderId="6" xfId="0" applyNumberFormat="1" applyFont="1" applyFill="1" applyBorder="1" applyAlignment="1">
      <alignment horizontal="center"/>
    </xf>
    <xf numFmtId="0" fontId="15" fillId="0" borderId="96" xfId="0" applyFont="1" applyBorder="1"/>
    <xf numFmtId="0" fontId="15" fillId="0" borderId="7" xfId="0" applyFont="1" applyBorder="1" applyAlignment="1">
      <alignment horizontal="left" wrapText="1"/>
    </xf>
    <xf numFmtId="1" fontId="0" fillId="0" borderId="3" xfId="0" applyNumberFormat="1" applyBorder="1"/>
    <xf numFmtId="1" fontId="0" fillId="0" borderId="4" xfId="0" applyNumberFormat="1" applyBorder="1" applyAlignment="1">
      <alignment horizontal="right"/>
    </xf>
    <xf numFmtId="1" fontId="0" fillId="0" borderId="3" xfId="0" applyNumberFormat="1" applyBorder="1" applyAlignment="1">
      <alignment horizontal="right"/>
    </xf>
    <xf numFmtId="165" fontId="3" fillId="0" borderId="4" xfId="0" applyNumberFormat="1" applyFont="1" applyBorder="1" applyAlignment="1">
      <alignment horizontal="center" wrapText="1"/>
    </xf>
    <xf numFmtId="1" fontId="3" fillId="0" borderId="3" xfId="0" applyNumberFormat="1" applyFont="1" applyBorder="1" applyAlignment="1">
      <alignment horizontal="left" wrapText="1"/>
    </xf>
    <xf numFmtId="16" fontId="15" fillId="0" borderId="9" xfId="0" applyNumberFormat="1" applyFont="1" applyBorder="1"/>
    <xf numFmtId="0" fontId="29" fillId="0" borderId="7" xfId="0" applyFont="1" applyBorder="1" applyAlignment="1">
      <alignment horizontal="center" vertical="center"/>
    </xf>
    <xf numFmtId="0" fontId="29" fillId="0" borderId="9" xfId="0" applyFont="1" applyBorder="1" applyAlignment="1">
      <alignment horizontal="center" vertical="center"/>
    </xf>
    <xf numFmtId="165" fontId="6" fillId="0" borderId="4" xfId="0" applyNumberFormat="1" applyFont="1" applyBorder="1" applyAlignment="1">
      <alignment horizontal="right"/>
    </xf>
    <xf numFmtId="14" fontId="15" fillId="0" borderId="3" xfId="0" applyNumberFormat="1" applyFont="1" applyBorder="1" applyAlignment="1">
      <alignment horizontal="center"/>
    </xf>
    <xf numFmtId="49" fontId="0" fillId="0" borderId="54" xfId="0" quotePrefix="1" applyNumberFormat="1" applyBorder="1" applyAlignment="1">
      <alignment horizontal="left" wrapText="1"/>
    </xf>
    <xf numFmtId="165" fontId="0" fillId="0" borderId="6" xfId="0" applyNumberFormat="1" applyBorder="1" applyAlignment="1">
      <alignment horizontal="right"/>
    </xf>
    <xf numFmtId="165" fontId="9" fillId="0" borderId="3" xfId="0" applyNumberFormat="1" applyFont="1" applyBorder="1" applyAlignment="1">
      <alignment horizontal="center"/>
    </xf>
    <xf numFmtId="165" fontId="15" fillId="2" borderId="3" xfId="0" applyNumberFormat="1" applyFont="1" applyFill="1" applyBorder="1" applyAlignment="1">
      <alignment horizontal="center"/>
    </xf>
    <xf numFmtId="165" fontId="11" fillId="2" borderId="3" xfId="0" applyNumberFormat="1" applyFont="1" applyFill="1" applyBorder="1" applyAlignment="1">
      <alignment horizontal="center"/>
    </xf>
    <xf numFmtId="165" fontId="38" fillId="0" borderId="3" xfId="0" applyNumberFormat="1" applyFont="1" applyBorder="1" applyAlignment="1">
      <alignment horizontal="center" wrapText="1"/>
    </xf>
    <xf numFmtId="165" fontId="0" fillId="7" borderId="3" xfId="0" applyNumberFormat="1" applyFill="1" applyBorder="1" applyAlignment="1">
      <alignment horizontal="center"/>
    </xf>
    <xf numFmtId="165" fontId="15" fillId="7" borderId="3" xfId="0" applyNumberFormat="1" applyFont="1" applyFill="1" applyBorder="1" applyAlignment="1">
      <alignment horizontal="center"/>
    </xf>
    <xf numFmtId="165" fontId="11" fillId="7" borderId="3" xfId="0" applyNumberFormat="1" applyFont="1" applyFill="1" applyBorder="1" applyAlignment="1">
      <alignment horizontal="center"/>
    </xf>
    <xf numFmtId="14" fontId="9" fillId="0" borderId="4" xfId="0" applyNumberFormat="1" applyFont="1" applyBorder="1" applyAlignment="1">
      <alignment horizontal="center"/>
    </xf>
    <xf numFmtId="14" fontId="38" fillId="0" borderId="4" xfId="0" applyNumberFormat="1" applyFont="1" applyBorder="1" applyAlignment="1">
      <alignment horizontal="center" wrapText="1"/>
    </xf>
    <xf numFmtId="14" fontId="0" fillId="7" borderId="4" xfId="0" applyNumberFormat="1" applyFill="1" applyBorder="1" applyAlignment="1">
      <alignment horizontal="center"/>
    </xf>
    <xf numFmtId="14" fontId="15" fillId="7" borderId="4" xfId="0" applyNumberFormat="1" applyFont="1" applyFill="1" applyBorder="1" applyAlignment="1">
      <alignment horizontal="center"/>
    </xf>
    <xf numFmtId="14" fontId="11" fillId="7" borderId="4" xfId="0" applyNumberFormat="1" applyFont="1" applyFill="1" applyBorder="1" applyAlignment="1">
      <alignment horizontal="center"/>
    </xf>
    <xf numFmtId="14" fontId="15" fillId="0" borderId="4" xfId="0" applyNumberFormat="1" applyFont="1" applyBorder="1" applyAlignment="1">
      <alignment horizontal="center"/>
    </xf>
    <xf numFmtId="14" fontId="15" fillId="2" borderId="4" xfId="0" applyNumberFormat="1" applyFont="1" applyFill="1" applyBorder="1" applyAlignment="1">
      <alignment horizontal="center"/>
    </xf>
    <xf numFmtId="14" fontId="11" fillId="2" borderId="4" xfId="0" applyNumberFormat="1" applyFont="1" applyFill="1" applyBorder="1" applyAlignment="1">
      <alignment horizontal="center"/>
    </xf>
    <xf numFmtId="165" fontId="0" fillId="0" borderId="3" xfId="0" applyNumberFormat="1" applyBorder="1" applyAlignment="1">
      <alignment horizontal="center"/>
    </xf>
    <xf numFmtId="0" fontId="15" fillId="0" borderId="24" xfId="0" applyFont="1" applyBorder="1" applyAlignment="1">
      <alignment vertical="center"/>
    </xf>
    <xf numFmtId="0" fontId="15" fillId="0" borderId="7" xfId="0" applyFont="1" applyBorder="1" applyAlignment="1">
      <alignment vertical="center" wrapText="1"/>
    </xf>
    <xf numFmtId="0" fontId="15" fillId="12" borderId="7" xfId="0" applyFont="1" applyFill="1" applyBorder="1" applyAlignment="1">
      <alignment vertical="center" wrapText="1"/>
    </xf>
    <xf numFmtId="0" fontId="15" fillId="12" borderId="9" xfId="0" applyFont="1" applyFill="1" applyBorder="1" applyAlignment="1">
      <alignment vertical="center" wrapText="1"/>
    </xf>
    <xf numFmtId="0" fontId="15" fillId="0" borderId="60" xfId="0" applyFont="1" applyBorder="1"/>
    <xf numFmtId="14" fontId="15" fillId="0" borderId="21" xfId="0" applyNumberFormat="1" applyFont="1" applyBorder="1"/>
    <xf numFmtId="0" fontId="15" fillId="0" borderId="20" xfId="0" applyFont="1" applyBorder="1" applyAlignment="1">
      <alignment vertical="center"/>
    </xf>
    <xf numFmtId="0" fontId="33" fillId="0" borderId="7" xfId="0" applyFont="1" applyBorder="1"/>
    <xf numFmtId="0" fontId="33" fillId="0" borderId="9" xfId="0" applyFont="1" applyBorder="1"/>
    <xf numFmtId="0" fontId="14" fillId="0" borderId="12" xfId="0" applyFont="1" applyBorder="1"/>
    <xf numFmtId="0" fontId="14" fillId="0" borderId="95" xfId="0" applyFont="1" applyBorder="1"/>
    <xf numFmtId="0" fontId="33" fillId="0" borderId="97" xfId="0" applyFont="1" applyBorder="1"/>
    <xf numFmtId="0" fontId="15" fillId="2" borderId="7" xfId="0" applyFont="1" applyFill="1" applyBorder="1" applyAlignment="1">
      <alignment horizontal="center" vertical="center"/>
    </xf>
    <xf numFmtId="0" fontId="15" fillId="0" borderId="7" xfId="0" applyFont="1" applyBorder="1" applyAlignment="1">
      <alignment horizontal="center" vertical="center" wrapText="1"/>
    </xf>
    <xf numFmtId="14" fontId="15" fillId="10" borderId="4" xfId="0" applyNumberFormat="1" applyFont="1" applyFill="1" applyBorder="1" applyAlignment="1">
      <alignment horizontal="center"/>
    </xf>
    <xf numFmtId="165" fontId="16" fillId="0" borderId="6" xfId="0" applyNumberFormat="1" applyFont="1" applyBorder="1" applyAlignment="1">
      <alignment horizontal="right"/>
    </xf>
    <xf numFmtId="0" fontId="0" fillId="0" borderId="95" xfId="0" applyBorder="1" applyAlignment="1">
      <alignment horizontal="center" vertical="center"/>
    </xf>
    <xf numFmtId="0" fontId="0" fillId="0" borderId="13" xfId="0" applyBorder="1" applyAlignment="1">
      <alignment horizontal="center" vertical="center"/>
    </xf>
    <xf numFmtId="1" fontId="0" fillId="0" borderId="13" xfId="0" applyNumberFormat="1" applyBorder="1" applyAlignment="1">
      <alignment horizontal="center" vertical="center"/>
    </xf>
    <xf numFmtId="0" fontId="0" fillId="0" borderId="13" xfId="0" applyBorder="1" applyAlignment="1">
      <alignment horizontal="left" vertical="center"/>
    </xf>
    <xf numFmtId="0" fontId="0" fillId="0" borderId="13" xfId="0" applyBorder="1" applyAlignment="1">
      <alignment horizontal="center" vertical="center" wrapText="1"/>
    </xf>
    <xf numFmtId="0" fontId="0" fillId="0" borderId="19" xfId="0" applyBorder="1" applyAlignment="1">
      <alignment horizontal="center" vertical="center"/>
    </xf>
    <xf numFmtId="0" fontId="0" fillId="0" borderId="12" xfId="0" applyBorder="1" applyAlignment="1">
      <alignment horizontal="center" vertical="center"/>
    </xf>
    <xf numFmtId="1" fontId="15" fillId="0" borderId="8" xfId="0" applyNumberFormat="1" applyFont="1" applyBorder="1" applyAlignment="1">
      <alignment horizontal="center" vertical="center"/>
    </xf>
    <xf numFmtId="1" fontId="0" fillId="0" borderId="8" xfId="0" applyNumberFormat="1" applyBorder="1" applyAlignment="1">
      <alignment horizontal="center" vertical="center"/>
    </xf>
    <xf numFmtId="0" fontId="0" fillId="0" borderId="8" xfId="0" applyBorder="1" applyAlignment="1">
      <alignment horizontal="center" vertical="center"/>
    </xf>
    <xf numFmtId="0" fontId="0" fillId="0" borderId="8" xfId="0" applyBorder="1" applyAlignment="1">
      <alignment horizontal="left" vertical="center" wrapText="1"/>
    </xf>
    <xf numFmtId="0" fontId="0" fillId="0" borderId="8" xfId="0" applyBorder="1" applyAlignment="1">
      <alignment horizontal="center" vertical="center" wrapText="1"/>
    </xf>
    <xf numFmtId="14" fontId="0" fillId="0" borderId="8" xfId="0" applyNumberFormat="1" applyBorder="1" applyAlignment="1">
      <alignment horizontal="center" vertical="center"/>
    </xf>
    <xf numFmtId="44" fontId="0" fillId="0" borderId="8" xfId="1" applyFont="1" applyFill="1" applyBorder="1" applyAlignment="1">
      <alignment horizontal="center" vertical="center"/>
    </xf>
    <xf numFmtId="44" fontId="0" fillId="0" borderId="11" xfId="1" applyFont="1" applyFill="1" applyBorder="1" applyAlignment="1">
      <alignment horizontal="center" vertical="center"/>
    </xf>
    <xf numFmtId="0" fontId="11" fillId="0" borderId="8" xfId="0" applyFont="1" applyBorder="1" applyAlignment="1">
      <alignment horizontal="left" vertical="center" wrapText="1"/>
    </xf>
    <xf numFmtId="1" fontId="11" fillId="0" borderId="8" xfId="0" applyNumberFormat="1" applyFont="1" applyBorder="1" applyAlignment="1">
      <alignment horizontal="center" vertical="center" wrapText="1"/>
    </xf>
    <xf numFmtId="1" fontId="40" fillId="0" borderId="8" xfId="0" applyNumberFormat="1" applyFont="1" applyBorder="1" applyAlignment="1">
      <alignment horizontal="center" vertical="center"/>
    </xf>
    <xf numFmtId="1" fontId="41" fillId="0" borderId="8" xfId="0" applyNumberFormat="1" applyFont="1" applyBorder="1" applyAlignment="1">
      <alignment horizontal="center" vertical="center"/>
    </xf>
    <xf numFmtId="0" fontId="11" fillId="0" borderId="8" xfId="0" applyFont="1" applyBorder="1" applyAlignment="1">
      <alignment horizontal="left" vertical="center"/>
    </xf>
    <xf numFmtId="1" fontId="15" fillId="0" borderId="10" xfId="0" applyNumberFormat="1" applyFont="1" applyBorder="1" applyAlignment="1">
      <alignment horizontal="center" vertical="center"/>
    </xf>
    <xf numFmtId="0" fontId="0" fillId="0" borderId="10" xfId="0" applyBorder="1" applyAlignment="1">
      <alignment horizontal="center" vertical="center"/>
    </xf>
    <xf numFmtId="14" fontId="0" fillId="0" borderId="10" xfId="0" applyNumberFormat="1" applyBorder="1" applyAlignment="1">
      <alignment horizontal="center" vertical="center"/>
    </xf>
    <xf numFmtId="44" fontId="0" fillId="0" borderId="10" xfId="1" applyFont="1" applyFill="1" applyBorder="1" applyAlignment="1">
      <alignment horizontal="center" vertical="center"/>
    </xf>
    <xf numFmtId="0" fontId="40" fillId="0" borderId="7" xfId="0" applyFont="1" applyBorder="1" applyAlignment="1">
      <alignment horizontal="center" vertical="center"/>
    </xf>
    <xf numFmtId="0" fontId="15" fillId="0" borderId="95" xfId="0" applyFont="1" applyBorder="1" applyAlignment="1">
      <alignment wrapText="1"/>
    </xf>
    <xf numFmtId="0" fontId="15" fillId="8" borderId="8" xfId="0" applyFont="1" applyFill="1" applyBorder="1" applyAlignment="1">
      <alignment horizontal="center" vertical="center"/>
    </xf>
    <xf numFmtId="1" fontId="15" fillId="13" borderId="8" xfId="0" applyNumberFormat="1" applyFont="1" applyFill="1" applyBorder="1" applyAlignment="1">
      <alignment horizontal="center" vertical="center"/>
    </xf>
    <xf numFmtId="0" fontId="0" fillId="13" borderId="8" xfId="0" applyFill="1" applyBorder="1" applyAlignment="1">
      <alignment horizontal="center" vertical="center"/>
    </xf>
    <xf numFmtId="0" fontId="0" fillId="8" borderId="8" xfId="0" applyFill="1" applyBorder="1" applyAlignment="1">
      <alignment horizontal="center" vertical="center"/>
    </xf>
    <xf numFmtId="44" fontId="0" fillId="13" borderId="8" xfId="1" applyFont="1" applyFill="1" applyBorder="1" applyAlignment="1">
      <alignment horizontal="center" vertical="center"/>
    </xf>
    <xf numFmtId="44" fontId="0" fillId="13" borderId="11" xfId="1" applyFont="1" applyFill="1" applyBorder="1" applyAlignment="1">
      <alignment horizontal="center" vertical="center"/>
    </xf>
    <xf numFmtId="14" fontId="0" fillId="8" borderId="8" xfId="0" applyNumberFormat="1" applyFill="1" applyBorder="1" applyAlignment="1">
      <alignment horizontal="center" vertical="center"/>
    </xf>
    <xf numFmtId="44" fontId="0" fillId="8" borderId="8" xfId="1" applyFont="1" applyFill="1" applyBorder="1" applyAlignment="1">
      <alignment horizontal="center" vertical="center"/>
    </xf>
    <xf numFmtId="44" fontId="0" fillId="8" borderId="11" xfId="1" applyFont="1" applyFill="1" applyBorder="1" applyAlignment="1">
      <alignment horizontal="center" vertical="center"/>
    </xf>
    <xf numFmtId="0" fontId="15" fillId="8" borderId="8" xfId="0" applyFont="1" applyFill="1" applyBorder="1" applyAlignment="1">
      <alignment horizontal="left" vertical="center"/>
    </xf>
    <xf numFmtId="1" fontId="15" fillId="8" borderId="8" xfId="0" applyNumberFormat="1" applyFont="1" applyFill="1" applyBorder="1" applyAlignment="1">
      <alignment horizontal="center" vertical="center"/>
    </xf>
    <xf numFmtId="0" fontId="15" fillId="13" borderId="8" xfId="0" applyFont="1" applyFill="1" applyBorder="1" applyAlignment="1">
      <alignment horizontal="left" vertical="center"/>
    </xf>
    <xf numFmtId="0" fontId="15" fillId="13" borderId="8" xfId="0" applyFont="1" applyFill="1" applyBorder="1" applyAlignment="1">
      <alignment horizontal="center" vertical="center"/>
    </xf>
    <xf numFmtId="0" fontId="0" fillId="13" borderId="12" xfId="0" applyFill="1" applyBorder="1" applyAlignment="1">
      <alignment horizontal="center" vertical="center"/>
    </xf>
    <xf numFmtId="1" fontId="0" fillId="13" borderId="8" xfId="0" applyNumberFormat="1" applyFill="1" applyBorder="1" applyAlignment="1">
      <alignment horizontal="center" vertical="center"/>
    </xf>
    <xf numFmtId="0" fontId="0" fillId="13" borderId="8" xfId="0" applyFill="1" applyBorder="1" applyAlignment="1">
      <alignment horizontal="left" vertical="center" wrapText="1"/>
    </xf>
    <xf numFmtId="0" fontId="0" fillId="13" borderId="8" xfId="0" applyFill="1" applyBorder="1" applyAlignment="1">
      <alignment horizontal="center" vertical="center" wrapText="1"/>
    </xf>
    <xf numFmtId="14" fontId="0" fillId="13" borderId="8" xfId="0" applyNumberFormat="1" applyFill="1" applyBorder="1" applyAlignment="1">
      <alignment horizontal="center" vertical="center"/>
    </xf>
    <xf numFmtId="0" fontId="0" fillId="8" borderId="12" xfId="0" applyFill="1" applyBorder="1" applyAlignment="1">
      <alignment horizontal="center" vertical="center"/>
    </xf>
    <xf numFmtId="1" fontId="0" fillId="8" borderId="8" xfId="0" applyNumberFormat="1" applyFill="1" applyBorder="1" applyAlignment="1">
      <alignment horizontal="center" vertical="center"/>
    </xf>
    <xf numFmtId="0" fontId="0" fillId="8" borderId="8" xfId="0" applyFill="1" applyBorder="1" applyAlignment="1">
      <alignment horizontal="left" vertical="center" wrapText="1"/>
    </xf>
    <xf numFmtId="0" fontId="0" fillId="8" borderId="8" xfId="0" applyFill="1" applyBorder="1" applyAlignment="1">
      <alignment horizontal="center" vertical="center" wrapText="1"/>
    </xf>
    <xf numFmtId="0" fontId="15" fillId="8" borderId="8" xfId="0" applyFont="1" applyFill="1" applyBorder="1" applyAlignment="1">
      <alignment horizontal="left" vertical="center" wrapText="1"/>
    </xf>
    <xf numFmtId="165" fontId="11" fillId="0" borderId="6" xfId="0" applyNumberFormat="1" applyFont="1" applyBorder="1" applyAlignment="1">
      <alignment horizontal="right"/>
    </xf>
    <xf numFmtId="14" fontId="0" fillId="7" borderId="3" xfId="0" applyNumberFormat="1" applyFill="1" applyBorder="1" applyAlignment="1">
      <alignment horizontal="center"/>
    </xf>
    <xf numFmtId="0" fontId="0" fillId="0" borderId="8" xfId="0" applyBorder="1" applyAlignment="1">
      <alignment horizontal="left" vertical="center"/>
    </xf>
    <xf numFmtId="1" fontId="0" fillId="0" borderId="10" xfId="0" applyNumberFormat="1" applyBorder="1" applyAlignment="1">
      <alignment horizontal="center" vertical="center"/>
    </xf>
    <xf numFmtId="0" fontId="0" fillId="0" borderId="10" xfId="0" applyBorder="1" applyAlignment="1">
      <alignment horizontal="left" vertical="center"/>
    </xf>
    <xf numFmtId="0" fontId="0" fillId="0" borderId="10" xfId="0" applyBorder="1" applyAlignment="1">
      <alignment horizontal="left" vertical="center" wrapText="1"/>
    </xf>
    <xf numFmtId="0" fontId="0" fillId="0" borderId="10" xfId="0" applyBorder="1" applyAlignment="1">
      <alignment horizontal="center" vertical="center" wrapText="1"/>
    </xf>
    <xf numFmtId="44" fontId="0" fillId="0" borderId="20" xfId="1" applyFont="1" applyFill="1" applyBorder="1" applyAlignment="1">
      <alignment horizontal="center" vertical="center"/>
    </xf>
    <xf numFmtId="0" fontId="0" fillId="0" borderId="20" xfId="0" applyBorder="1" applyAlignment="1">
      <alignment horizontal="center" vertical="center"/>
    </xf>
    <xf numFmtId="1" fontId="0" fillId="0" borderId="14" xfId="0" applyNumberFormat="1" applyBorder="1" applyAlignment="1">
      <alignment horizontal="center" vertical="center"/>
    </xf>
    <xf numFmtId="165" fontId="15" fillId="0" borderId="6" xfId="0" applyNumberFormat="1" applyFont="1" applyBorder="1" applyAlignment="1">
      <alignment horizontal="right"/>
    </xf>
    <xf numFmtId="165" fontId="12" fillId="0" borderId="6" xfId="0" applyNumberFormat="1" applyFont="1" applyBorder="1" applyAlignment="1">
      <alignment horizontal="right"/>
    </xf>
    <xf numFmtId="3" fontId="0" fillId="0" borderId="6" xfId="0" applyNumberFormat="1" applyBorder="1" applyAlignment="1">
      <alignment horizontal="right"/>
    </xf>
    <xf numFmtId="165" fontId="4" fillId="0" borderId="4" xfId="0" applyNumberFormat="1" applyFont="1" applyBorder="1" applyAlignment="1">
      <alignment horizontal="center" wrapText="1"/>
    </xf>
    <xf numFmtId="3" fontId="4" fillId="0" borderId="6" xfId="0" applyNumberFormat="1" applyFont="1" applyBorder="1" applyAlignment="1">
      <alignment horizontal="center" wrapText="1"/>
    </xf>
    <xf numFmtId="3" fontId="15" fillId="0" borderId="6" xfId="0" applyNumberFormat="1" applyFont="1" applyBorder="1" applyAlignment="1">
      <alignment horizontal="right"/>
    </xf>
    <xf numFmtId="165" fontId="7" fillId="0" borderId="4" xfId="0" applyNumberFormat="1" applyFont="1" applyBorder="1" applyAlignment="1">
      <alignment horizontal="right"/>
    </xf>
    <xf numFmtId="3" fontId="11" fillId="0" borderId="6" xfId="0" applyNumberFormat="1" applyFont="1" applyBorder="1" applyAlignment="1">
      <alignment horizontal="right"/>
    </xf>
    <xf numFmtId="1" fontId="0" fillId="0" borderId="6" xfId="0" applyNumberFormat="1" applyBorder="1" applyAlignment="1">
      <alignment horizontal="right"/>
    </xf>
    <xf numFmtId="1" fontId="11" fillId="0" borderId="6" xfId="0" applyNumberFormat="1" applyFont="1" applyBorder="1" applyAlignment="1">
      <alignment horizontal="right"/>
    </xf>
    <xf numFmtId="165" fontId="9" fillId="0" borderId="4" xfId="0" applyNumberFormat="1" applyFont="1" applyBorder="1"/>
    <xf numFmtId="0" fontId="3" fillId="0" borderId="3" xfId="0" applyFont="1" applyBorder="1" applyAlignment="1">
      <alignment horizontal="center" wrapText="1"/>
    </xf>
    <xf numFmtId="0" fontId="6" fillId="0" borderId="0" xfId="0" applyFont="1"/>
    <xf numFmtId="1" fontId="3" fillId="0" borderId="0" xfId="0" applyNumberFormat="1" applyFont="1" applyAlignment="1">
      <alignment horizontal="center" wrapText="1"/>
    </xf>
    <xf numFmtId="14" fontId="11" fillId="0" borderId="0" xfId="0" applyNumberFormat="1" applyFont="1" applyAlignment="1">
      <alignment horizontal="right"/>
    </xf>
    <xf numFmtId="14" fontId="7" fillId="0" borderId="0" xfId="0" applyNumberFormat="1" applyFont="1" applyAlignment="1">
      <alignment horizontal="right"/>
    </xf>
    <xf numFmtId="14" fontId="30" fillId="0" borderId="0" xfId="0" applyNumberFormat="1" applyFont="1" applyAlignment="1">
      <alignment horizontal="right"/>
    </xf>
    <xf numFmtId="49" fontId="0" fillId="0" borderId="0" xfId="0" applyNumberFormat="1" applyAlignment="1">
      <alignment horizontal="left"/>
    </xf>
    <xf numFmtId="0" fontId="3" fillId="0" borderId="0" xfId="0" applyFont="1" applyAlignment="1">
      <alignment horizontal="center"/>
    </xf>
    <xf numFmtId="165" fontId="0" fillId="0" borderId="4" xfId="1" applyNumberFormat="1" applyFont="1" applyFill="1" applyBorder="1" applyAlignment="1">
      <alignment horizontal="right"/>
    </xf>
    <xf numFmtId="165" fontId="11" fillId="0" borderId="3" xfId="0" applyNumberFormat="1" applyFont="1" applyBorder="1" applyAlignment="1">
      <alignment horizontal="center"/>
    </xf>
    <xf numFmtId="14" fontId="11" fillId="0" borderId="4" xfId="0" applyNumberFormat="1" applyFont="1" applyBorder="1" applyAlignment="1">
      <alignment horizontal="center"/>
    </xf>
    <xf numFmtId="0" fontId="0" fillId="0" borderId="98" xfId="0" applyBorder="1" applyAlignment="1">
      <alignment horizontal="center"/>
    </xf>
    <xf numFmtId="0" fontId="3" fillId="0" borderId="99" xfId="0" applyFont="1" applyBorder="1" applyAlignment="1">
      <alignment horizontal="center" wrapText="1"/>
    </xf>
    <xf numFmtId="14" fontId="0" fillId="0" borderId="100" xfId="0" applyNumberFormat="1" applyBorder="1" applyAlignment="1">
      <alignment horizontal="center" wrapText="1"/>
    </xf>
    <xf numFmtId="0" fontId="0" fillId="0" borderId="98" xfId="0" applyBorder="1" applyAlignment="1">
      <alignment horizontal="center" wrapText="1"/>
    </xf>
    <xf numFmtId="166" fontId="11" fillId="0" borderId="43" xfId="0" applyNumberFormat="1" applyFont="1" applyBorder="1" applyAlignment="1">
      <alignment horizontal="center"/>
    </xf>
    <xf numFmtId="0" fontId="3" fillId="0" borderId="27" xfId="0" applyFont="1" applyBorder="1" applyAlignment="1">
      <alignment horizontal="center" wrapText="1"/>
    </xf>
    <xf numFmtId="0" fontId="0" fillId="0" borderId="27" xfId="0" applyBorder="1" applyAlignment="1">
      <alignment horizontal="center"/>
    </xf>
    <xf numFmtId="0" fontId="3" fillId="0" borderId="97" xfId="0" applyFont="1" applyBorder="1" applyAlignment="1">
      <alignment horizontal="center" wrapText="1"/>
    </xf>
    <xf numFmtId="0" fontId="0" fillId="0" borderId="97" xfId="0" applyBorder="1" applyAlignment="1">
      <alignment horizontal="center"/>
    </xf>
    <xf numFmtId="3" fontId="0" fillId="10" borderId="6" xfId="0" applyNumberFormat="1" applyFill="1" applyBorder="1" applyAlignment="1">
      <alignment horizontal="right"/>
    </xf>
    <xf numFmtId="3" fontId="15" fillId="10" borderId="6" xfId="0" applyNumberFormat="1" applyFont="1" applyFill="1" applyBorder="1" applyAlignment="1">
      <alignment horizontal="right"/>
    </xf>
    <xf numFmtId="14" fontId="0" fillId="0" borderId="35" xfId="0" applyNumberFormat="1" applyBorder="1" applyAlignment="1">
      <alignment wrapText="1"/>
    </xf>
    <xf numFmtId="0" fontId="0" fillId="0" borderId="35" xfId="0" applyBorder="1" applyAlignment="1">
      <alignment horizontal="left" wrapText="1"/>
    </xf>
    <xf numFmtId="0" fontId="3" fillId="0" borderId="0" xfId="0" applyFont="1" applyAlignment="1">
      <alignment wrapText="1"/>
    </xf>
    <xf numFmtId="0" fontId="34" fillId="0" borderId="4" xfId="0" applyFont="1" applyBorder="1" applyAlignment="1">
      <alignment horizontal="left" vertical="top" wrapText="1"/>
    </xf>
    <xf numFmtId="14" fontId="30" fillId="10" borderId="0" xfId="0" applyNumberFormat="1" applyFont="1" applyFill="1" applyAlignment="1">
      <alignment horizontal="right"/>
    </xf>
    <xf numFmtId="14" fontId="0" fillId="0" borderId="35" xfId="0" applyNumberFormat="1" applyBorder="1" applyAlignment="1">
      <alignment horizontal="center" wrapText="1"/>
    </xf>
    <xf numFmtId="14" fontId="9" fillId="0" borderId="3" xfId="0" applyNumberFormat="1" applyFont="1" applyBorder="1" applyAlignment="1">
      <alignment horizontal="center"/>
    </xf>
    <xf numFmtId="14" fontId="38" fillId="0" borderId="3" xfId="0" applyNumberFormat="1" applyFont="1" applyBorder="1" applyAlignment="1">
      <alignment horizontal="center" wrapText="1"/>
    </xf>
    <xf numFmtId="14" fontId="11" fillId="0" borderId="3" xfId="0" applyNumberFormat="1" applyFont="1" applyBorder="1" applyAlignment="1">
      <alignment horizontal="center"/>
    </xf>
    <xf numFmtId="0" fontId="34" fillId="0" borderId="3" xfId="0" applyFont="1" applyBorder="1" applyAlignment="1">
      <alignment horizontal="left" wrapText="1"/>
    </xf>
    <xf numFmtId="14" fontId="31" fillId="0" borderId="3" xfId="0" applyNumberFormat="1" applyFont="1" applyBorder="1" applyAlignment="1">
      <alignment horizontal="left"/>
    </xf>
    <xf numFmtId="17" fontId="19" fillId="0" borderId="3" xfId="0" applyNumberFormat="1" applyFont="1" applyBorder="1" applyAlignment="1">
      <alignment horizontal="left"/>
    </xf>
    <xf numFmtId="165" fontId="31" fillId="0" borderId="3" xfId="0" applyNumberFormat="1" applyFont="1" applyBorder="1" applyAlignment="1">
      <alignment horizontal="left"/>
    </xf>
    <xf numFmtId="0" fontId="31" fillId="0" borderId="3" xfId="0" applyFont="1" applyBorder="1" applyAlignment="1">
      <alignment horizontal="left"/>
    </xf>
    <xf numFmtId="164" fontId="31" fillId="0" borderId="4" xfId="0" applyNumberFormat="1" applyFont="1" applyBorder="1" applyAlignment="1">
      <alignment horizontal="left"/>
    </xf>
    <xf numFmtId="0" fontId="31" fillId="0" borderId="4" xfId="0" applyFont="1" applyBorder="1" applyAlignment="1">
      <alignment horizontal="left"/>
    </xf>
    <xf numFmtId="0" fontId="19" fillId="0" borderId="4" xfId="0" applyFont="1" applyBorder="1" applyAlignment="1">
      <alignment horizontal="left"/>
    </xf>
    <xf numFmtId="0" fontId="31" fillId="14" borderId="4" xfId="0" applyFont="1" applyFill="1" applyBorder="1" applyAlignment="1">
      <alignment horizontal="left"/>
    </xf>
    <xf numFmtId="0" fontId="31" fillId="2" borderId="4" xfId="0" applyFont="1" applyFill="1" applyBorder="1" applyAlignment="1">
      <alignment horizontal="left"/>
    </xf>
    <xf numFmtId="165" fontId="31" fillId="0" borderId="6" xfId="0" applyNumberFormat="1" applyFont="1" applyBorder="1" applyAlignment="1">
      <alignment horizontal="right"/>
    </xf>
    <xf numFmtId="0" fontId="0" fillId="0" borderId="45" xfId="0" applyBorder="1" applyAlignment="1">
      <alignment horizontal="center" wrapText="1"/>
    </xf>
    <xf numFmtId="14" fontId="15" fillId="7" borderId="3" xfId="0" applyNumberFormat="1" applyFont="1" applyFill="1" applyBorder="1" applyAlignment="1">
      <alignment horizontal="center"/>
    </xf>
    <xf numFmtId="14" fontId="11" fillId="7" borderId="3" xfId="0" applyNumberFormat="1" applyFont="1" applyFill="1" applyBorder="1" applyAlignment="1">
      <alignment horizontal="center"/>
    </xf>
    <xf numFmtId="10" fontId="15" fillId="10" borderId="4" xfId="0" applyNumberFormat="1" applyFont="1" applyFill="1" applyBorder="1" applyAlignment="1">
      <alignment horizontal="center"/>
    </xf>
    <xf numFmtId="10" fontId="0" fillId="0" borderId="4" xfId="0" applyNumberFormat="1" applyBorder="1" applyAlignment="1">
      <alignment horizontal="center"/>
    </xf>
    <xf numFmtId="10" fontId="0" fillId="7" borderId="4" xfId="0" applyNumberFormat="1" applyFill="1" applyBorder="1" applyAlignment="1">
      <alignment horizontal="center"/>
    </xf>
    <xf numFmtId="10" fontId="15" fillId="0" borderId="4" xfId="0" applyNumberFormat="1" applyFont="1" applyBorder="1" applyAlignment="1">
      <alignment horizontal="center"/>
    </xf>
    <xf numFmtId="10" fontId="15" fillId="7" borderId="4" xfId="0" applyNumberFormat="1" applyFont="1" applyFill="1" applyBorder="1" applyAlignment="1">
      <alignment horizontal="center"/>
    </xf>
    <xf numFmtId="10" fontId="11" fillId="7" borderId="4" xfId="0" applyNumberFormat="1" applyFont="1" applyFill="1" applyBorder="1" applyAlignment="1">
      <alignment horizontal="center"/>
    </xf>
    <xf numFmtId="10" fontId="11" fillId="0" borderId="4" xfId="0" applyNumberFormat="1" applyFont="1" applyBorder="1" applyAlignment="1">
      <alignment horizontal="center"/>
    </xf>
    <xf numFmtId="44" fontId="15" fillId="10" borderId="3" xfId="0" applyNumberFormat="1" applyFont="1" applyFill="1" applyBorder="1" applyAlignment="1">
      <alignment horizontal="center"/>
    </xf>
    <xf numFmtId="44" fontId="15" fillId="0" borderId="3" xfId="0" applyNumberFormat="1" applyFont="1" applyBorder="1" applyAlignment="1">
      <alignment horizontal="center"/>
    </xf>
    <xf numFmtId="165" fontId="0" fillId="0" borderId="10" xfId="0" applyNumberFormat="1" applyBorder="1" applyAlignment="1">
      <alignment horizontal="center"/>
    </xf>
    <xf numFmtId="0" fontId="0" fillId="0" borderId="14" xfId="0" applyBorder="1" applyAlignment="1">
      <alignment horizontal="center" vertical="center"/>
    </xf>
    <xf numFmtId="0" fontId="0" fillId="0" borderId="102" xfId="0" applyBorder="1" applyAlignment="1">
      <alignment horizontal="center"/>
    </xf>
    <xf numFmtId="0" fontId="14" fillId="0" borderId="0" xfId="0" applyFont="1"/>
    <xf numFmtId="0" fontId="15" fillId="0" borderId="20" xfId="0" applyFont="1" applyBorder="1" applyAlignment="1">
      <alignment horizontal="center" vertical="center"/>
    </xf>
    <xf numFmtId="4" fontId="15" fillId="0" borderId="3" xfId="0" applyNumberFormat="1" applyFont="1" applyBorder="1" applyAlignment="1">
      <alignment horizontal="center"/>
    </xf>
    <xf numFmtId="0" fontId="31" fillId="17" borderId="4" xfId="0" applyFont="1" applyFill="1" applyBorder="1" applyAlignment="1">
      <alignment horizontal="left"/>
    </xf>
    <xf numFmtId="0" fontId="19" fillId="17" borderId="4" xfId="0" applyFont="1" applyFill="1" applyBorder="1" applyAlignment="1">
      <alignment horizontal="left"/>
    </xf>
    <xf numFmtId="164" fontId="31" fillId="17" borderId="4" xfId="0" applyNumberFormat="1" applyFont="1" applyFill="1" applyBorder="1" applyAlignment="1">
      <alignment horizontal="left"/>
    </xf>
    <xf numFmtId="44" fontId="15" fillId="0" borderId="3" xfId="0" applyNumberFormat="1" applyFont="1" applyBorder="1" applyAlignment="1">
      <alignment horizontal="left"/>
    </xf>
    <xf numFmtId="17" fontId="15" fillId="0" borderId="6" xfId="0" applyNumberFormat="1" applyFont="1" applyBorder="1" applyAlignment="1">
      <alignment horizontal="right"/>
    </xf>
    <xf numFmtId="3" fontId="31" fillId="17" borderId="3" xfId="0" applyNumberFormat="1" applyFont="1" applyFill="1" applyBorder="1" applyAlignment="1">
      <alignment horizontal="center"/>
    </xf>
    <xf numFmtId="14" fontId="31" fillId="0" borderId="4" xfId="0" applyNumberFormat="1" applyFont="1" applyBorder="1" applyAlignment="1">
      <alignment horizontal="left"/>
    </xf>
    <xf numFmtId="0" fontId="14" fillId="0" borderId="8" xfId="0" applyFont="1" applyBorder="1" applyAlignment="1">
      <alignment horizontal="left" vertical="center"/>
    </xf>
    <xf numFmtId="3" fontId="31" fillId="0" borderId="4" xfId="0" applyNumberFormat="1" applyFont="1" applyBorder="1" applyAlignment="1">
      <alignment horizontal="center"/>
    </xf>
    <xf numFmtId="0" fontId="0" fillId="0" borderId="7" xfId="0" applyBorder="1" applyAlignment="1">
      <alignment horizontal="center" vertical="center"/>
    </xf>
    <xf numFmtId="1" fontId="0" fillId="0" borderId="26" xfId="0" applyNumberFormat="1" applyBorder="1" applyAlignment="1">
      <alignment horizontal="center" vertical="center"/>
    </xf>
    <xf numFmtId="0" fontId="0" fillId="0" borderId="26" xfId="0" applyBorder="1" applyAlignment="1">
      <alignment horizontal="center" vertical="center"/>
    </xf>
    <xf numFmtId="0" fontId="0" fillId="0" borderId="103" xfId="0" applyBorder="1" applyAlignment="1">
      <alignment horizontal="center" vertical="center"/>
    </xf>
    <xf numFmtId="0" fontId="0" fillId="0" borderId="104" xfId="0" applyBorder="1" applyAlignment="1">
      <alignment horizontal="center" vertical="center"/>
    </xf>
    <xf numFmtId="0" fontId="0" fillId="0" borderId="106" xfId="0" applyBorder="1"/>
    <xf numFmtId="0" fontId="0" fillId="0" borderId="95" xfId="0" applyBorder="1" applyAlignment="1">
      <alignment horizontal="left" vertical="center"/>
    </xf>
    <xf numFmtId="0" fontId="0" fillId="0" borderId="12" xfId="0" applyBorder="1" applyAlignment="1">
      <alignment horizontal="left" vertical="center" wrapText="1"/>
    </xf>
    <xf numFmtId="0" fontId="15" fillId="0" borderId="12" xfId="0" applyFont="1" applyBorder="1" applyAlignment="1">
      <alignment horizontal="left" vertical="center" wrapText="1"/>
    </xf>
    <xf numFmtId="0" fontId="0" fillId="0" borderId="14" xfId="0" applyBorder="1" applyAlignment="1">
      <alignment horizontal="left" vertical="center" wrapText="1"/>
    </xf>
    <xf numFmtId="10" fontId="15" fillId="2" borderId="4" xfId="0" applyNumberFormat="1" applyFont="1" applyFill="1" applyBorder="1" applyAlignment="1">
      <alignment horizontal="center"/>
    </xf>
    <xf numFmtId="44" fontId="15" fillId="2" borderId="3" xfId="0" applyNumberFormat="1" applyFont="1" applyFill="1" applyBorder="1" applyAlignment="1">
      <alignment horizontal="center"/>
    </xf>
    <xf numFmtId="0" fontId="44" fillId="0" borderId="4" xfId="0" applyFont="1" applyBorder="1"/>
    <xf numFmtId="3" fontId="19" fillId="0" borderId="3" xfId="0" applyNumberFormat="1" applyFont="1" applyBorder="1" applyAlignment="1">
      <alignment horizontal="center"/>
    </xf>
    <xf numFmtId="8" fontId="15" fillId="0" borderId="3" xfId="0" applyNumberFormat="1" applyFont="1" applyBorder="1" applyAlignment="1">
      <alignment horizontal="center"/>
    </xf>
    <xf numFmtId="0" fontId="0" fillId="2" borderId="12" xfId="0" applyFill="1" applyBorder="1" applyAlignment="1">
      <alignment horizontal="left" vertical="center" wrapText="1"/>
    </xf>
    <xf numFmtId="165" fontId="6" fillId="10" borderId="6" xfId="0" applyNumberFormat="1" applyFont="1" applyFill="1" applyBorder="1" applyAlignment="1">
      <alignment horizontal="right"/>
    </xf>
    <xf numFmtId="49" fontId="0" fillId="0" borderId="107" xfId="0" applyNumberFormat="1" applyBorder="1" applyAlignment="1">
      <alignment wrapText="1"/>
    </xf>
    <xf numFmtId="14" fontId="0" fillId="0" borderId="107" xfId="0" applyNumberFormat="1" applyBorder="1" applyAlignment="1">
      <alignment wrapText="1"/>
    </xf>
    <xf numFmtId="17" fontId="0" fillId="0" borderId="6" xfId="0" applyNumberFormat="1" applyBorder="1" applyAlignment="1">
      <alignment horizontal="right"/>
    </xf>
    <xf numFmtId="3" fontId="31" fillId="0" borderId="3" xfId="0" applyNumberFormat="1" applyFont="1" applyBorder="1" applyAlignment="1">
      <alignment horizontal="center"/>
    </xf>
    <xf numFmtId="14" fontId="0" fillId="0" borderId="0" xfId="0" applyNumberFormat="1" applyAlignment="1">
      <alignment horizontal="center"/>
    </xf>
    <xf numFmtId="0" fontId="31" fillId="0" borderId="6" xfId="0" applyFont="1" applyBorder="1" applyAlignment="1">
      <alignment horizontal="center"/>
    </xf>
    <xf numFmtId="165" fontId="0" fillId="0" borderId="0" xfId="0" applyNumberFormat="1" applyAlignment="1">
      <alignment horizontal="right"/>
    </xf>
    <xf numFmtId="14" fontId="15" fillId="2" borderId="0" xfId="0" applyNumberFormat="1" applyFont="1" applyFill="1" applyAlignment="1">
      <alignment horizontal="center"/>
    </xf>
    <xf numFmtId="44" fontId="0" fillId="0" borderId="0" xfId="0" applyNumberFormat="1" applyAlignment="1">
      <alignment horizontal="center" vertical="center"/>
    </xf>
    <xf numFmtId="44" fontId="15" fillId="0" borderId="0" xfId="0" applyNumberFormat="1" applyFont="1" applyAlignment="1">
      <alignment horizontal="center"/>
    </xf>
    <xf numFmtId="14" fontId="0" fillId="7" borderId="0" xfId="0" applyNumberFormat="1" applyFill="1" applyAlignment="1">
      <alignment horizontal="center"/>
    </xf>
    <xf numFmtId="165" fontId="44" fillId="0" borderId="4" xfId="0" applyNumberFormat="1" applyFont="1" applyBorder="1"/>
    <xf numFmtId="14" fontId="31" fillId="0" borderId="0" xfId="0" applyNumberFormat="1" applyFont="1" applyAlignment="1">
      <alignment horizontal="left"/>
    </xf>
    <xf numFmtId="14" fontId="31" fillId="0" borderId="6" xfId="0" applyNumberFormat="1" applyFont="1" applyBorder="1" applyAlignment="1">
      <alignment horizontal="center"/>
    </xf>
    <xf numFmtId="3" fontId="31" fillId="17" borderId="0" xfId="0" applyNumberFormat="1" applyFont="1" applyFill="1" applyAlignment="1">
      <alignment horizontal="center"/>
    </xf>
    <xf numFmtId="3" fontId="31" fillId="0" borderId="0" xfId="0" applyNumberFormat="1" applyFont="1" applyAlignment="1">
      <alignment horizontal="center"/>
    </xf>
    <xf numFmtId="0" fontId="31" fillId="0" borderId="0" xfId="0" applyFont="1" applyAlignment="1">
      <alignment horizontal="left"/>
    </xf>
    <xf numFmtId="3" fontId="19" fillId="0" borderId="0" xfId="0" applyNumberFormat="1" applyFont="1" applyAlignment="1">
      <alignment horizontal="center"/>
    </xf>
    <xf numFmtId="165" fontId="16" fillId="0" borderId="0" xfId="0" applyNumberFormat="1" applyFont="1" applyAlignment="1">
      <alignment horizontal="right"/>
    </xf>
    <xf numFmtId="165" fontId="15" fillId="0" borderId="0" xfId="0" applyNumberFormat="1" applyFont="1" applyAlignment="1">
      <alignment horizontal="right"/>
    </xf>
    <xf numFmtId="165" fontId="11" fillId="0" borderId="0" xfId="0" applyNumberFormat="1" applyFont="1" applyAlignment="1">
      <alignment horizontal="right"/>
    </xf>
    <xf numFmtId="14" fontId="15" fillId="7" borderId="0" xfId="0" applyNumberFormat="1" applyFont="1" applyFill="1" applyAlignment="1">
      <alignment horizontal="center"/>
    </xf>
    <xf numFmtId="1" fontId="31" fillId="0" borderId="0" xfId="0" applyNumberFormat="1" applyFont="1" applyAlignment="1">
      <alignment horizontal="left"/>
    </xf>
    <xf numFmtId="1" fontId="0" fillId="0" borderId="0" xfId="0" applyNumberFormat="1" applyAlignment="1">
      <alignment horizontal="right"/>
    </xf>
    <xf numFmtId="165" fontId="6" fillId="0" borderId="0" xfId="0" applyNumberFormat="1" applyFont="1" applyAlignment="1">
      <alignment horizontal="right"/>
    </xf>
    <xf numFmtId="44" fontId="15" fillId="0" borderId="0" xfId="0" applyNumberFormat="1" applyFont="1" applyAlignment="1">
      <alignment horizontal="left"/>
    </xf>
    <xf numFmtId="17" fontId="16" fillId="0" borderId="6" xfId="0" applyNumberFormat="1" applyFont="1" applyBorder="1" applyAlignment="1">
      <alignment horizontal="right"/>
    </xf>
    <xf numFmtId="17" fontId="19" fillId="0" borderId="0" xfId="0" applyNumberFormat="1" applyFont="1" applyAlignment="1">
      <alignment horizontal="left"/>
    </xf>
    <xf numFmtId="165" fontId="4" fillId="0" borderId="0" xfId="0" applyNumberFormat="1" applyFont="1" applyAlignment="1">
      <alignment horizontal="center" wrapText="1"/>
    </xf>
    <xf numFmtId="165" fontId="9" fillId="0" borderId="0" xfId="0" applyNumberFormat="1" applyFont="1" applyAlignment="1">
      <alignment horizontal="right"/>
    </xf>
    <xf numFmtId="165" fontId="0" fillId="2" borderId="0" xfId="0" applyNumberFormat="1" applyFill="1" applyAlignment="1">
      <alignment horizontal="right"/>
    </xf>
    <xf numFmtId="165" fontId="15" fillId="10" borderId="0" xfId="0" applyNumberFormat="1" applyFont="1" applyFill="1" applyAlignment="1">
      <alignment horizontal="right"/>
    </xf>
    <xf numFmtId="165" fontId="3" fillId="0" borderId="0" xfId="0" applyNumberFormat="1" applyFont="1" applyAlignment="1">
      <alignment horizontal="center" wrapText="1"/>
    </xf>
    <xf numFmtId="165" fontId="11" fillId="10" borderId="0" xfId="0" applyNumberFormat="1" applyFont="1" applyFill="1" applyAlignment="1">
      <alignment horizontal="right"/>
    </xf>
    <xf numFmtId="14" fontId="9" fillId="0" borderId="0" xfId="0" applyNumberFormat="1" applyFont="1" applyAlignment="1">
      <alignment horizontal="center"/>
    </xf>
    <xf numFmtId="14" fontId="38" fillId="0" borderId="0" xfId="0" applyNumberFormat="1" applyFont="1" applyAlignment="1">
      <alignment horizontal="center" wrapText="1"/>
    </xf>
    <xf numFmtId="165" fontId="15" fillId="0" borderId="0" xfId="0" applyNumberFormat="1" applyFont="1" applyAlignment="1">
      <alignment horizontal="center"/>
    </xf>
    <xf numFmtId="165" fontId="0" fillId="0" borderId="0" xfId="0" applyNumberFormat="1" applyAlignment="1">
      <alignment horizontal="center"/>
    </xf>
    <xf numFmtId="165" fontId="12" fillId="0" borderId="0" xfId="0" applyNumberFormat="1" applyFont="1" applyAlignment="1">
      <alignment horizontal="right"/>
    </xf>
    <xf numFmtId="165" fontId="8" fillId="0" borderId="0" xfId="0" applyNumberFormat="1" applyFont="1" applyAlignment="1">
      <alignment horizontal="right"/>
    </xf>
    <xf numFmtId="165" fontId="0" fillId="3" borderId="0" xfId="0" applyNumberFormat="1" applyFill="1" applyAlignment="1">
      <alignment horizontal="right"/>
    </xf>
    <xf numFmtId="14" fontId="11" fillId="0" borderId="0" xfId="0" applyNumberFormat="1" applyFont="1" applyAlignment="1">
      <alignment horizontal="center"/>
    </xf>
    <xf numFmtId="165" fontId="9" fillId="0" borderId="0" xfId="0" applyNumberFormat="1" applyFont="1" applyAlignment="1">
      <alignment horizontal="center"/>
    </xf>
    <xf numFmtId="165" fontId="15" fillId="2" borderId="0" xfId="0" applyNumberFormat="1" applyFont="1" applyFill="1" applyAlignment="1">
      <alignment horizontal="center"/>
    </xf>
    <xf numFmtId="165" fontId="11" fillId="0" borderId="0" xfId="0" applyNumberFormat="1" applyFont="1" applyAlignment="1">
      <alignment horizontal="center"/>
    </xf>
    <xf numFmtId="165" fontId="11" fillId="2" borderId="0" xfId="0" applyNumberFormat="1" applyFont="1" applyFill="1" applyAlignment="1">
      <alignment horizontal="center"/>
    </xf>
    <xf numFmtId="165" fontId="38" fillId="0" borderId="0" xfId="0" applyNumberFormat="1" applyFont="1" applyAlignment="1">
      <alignment horizontal="center" wrapText="1"/>
    </xf>
    <xf numFmtId="165" fontId="15" fillId="7" borderId="0" xfId="0" applyNumberFormat="1" applyFont="1" applyFill="1" applyAlignment="1">
      <alignment horizontal="center"/>
    </xf>
    <xf numFmtId="165" fontId="0" fillId="7" borderId="0" xfId="0" applyNumberFormat="1" applyFill="1" applyAlignment="1">
      <alignment horizontal="center"/>
    </xf>
    <xf numFmtId="165" fontId="11" fillId="7" borderId="0" xfId="0" applyNumberFormat="1" applyFont="1" applyFill="1" applyAlignment="1">
      <alignment horizontal="center"/>
    </xf>
    <xf numFmtId="165" fontId="15" fillId="10" borderId="0" xfId="0" applyNumberFormat="1" applyFont="1" applyFill="1" applyAlignment="1">
      <alignment horizontal="center"/>
    </xf>
    <xf numFmtId="14" fontId="11" fillId="7" borderId="0" xfId="0" applyNumberFormat="1" applyFont="1" applyFill="1" applyAlignment="1">
      <alignment horizontal="center"/>
    </xf>
    <xf numFmtId="44" fontId="15" fillId="2" borderId="0" xfId="0" applyNumberFormat="1" applyFont="1" applyFill="1" applyAlignment="1">
      <alignment horizontal="center"/>
    </xf>
    <xf numFmtId="44" fontId="15" fillId="10" borderId="0" xfId="0" applyNumberFormat="1" applyFont="1" applyFill="1" applyAlignment="1">
      <alignment horizontal="center"/>
    </xf>
    <xf numFmtId="4" fontId="15" fillId="0" borderId="0" xfId="0" applyNumberFormat="1" applyFont="1" applyAlignment="1">
      <alignment horizontal="center"/>
    </xf>
    <xf numFmtId="0" fontId="34" fillId="0" borderId="0" xfId="0" applyFont="1" applyAlignment="1">
      <alignment horizontal="left" wrapText="1"/>
    </xf>
    <xf numFmtId="165" fontId="31" fillId="0" borderId="0" xfId="0" applyNumberFormat="1" applyFont="1" applyAlignment="1">
      <alignment horizontal="left"/>
    </xf>
    <xf numFmtId="0" fontId="3" fillId="0" borderId="6" xfId="0" applyFont="1" applyBorder="1" applyAlignment="1">
      <alignment horizontal="left" wrapText="1"/>
    </xf>
    <xf numFmtId="17" fontId="6" fillId="0" borderId="6" xfId="0" applyNumberFormat="1" applyFont="1" applyBorder="1" applyAlignment="1">
      <alignment horizontal="right"/>
    </xf>
    <xf numFmtId="165" fontId="16" fillId="6" borderId="0" xfId="0" applyNumberFormat="1" applyFont="1" applyFill="1" applyAlignment="1">
      <alignment horizontal="right"/>
    </xf>
    <xf numFmtId="165" fontId="15" fillId="6" borderId="0" xfId="0" applyNumberFormat="1" applyFont="1" applyFill="1" applyAlignment="1">
      <alignment horizontal="right"/>
    </xf>
    <xf numFmtId="165" fontId="22" fillId="6" borderId="0" xfId="0" applyNumberFormat="1" applyFont="1" applyFill="1" applyAlignment="1">
      <alignment horizontal="right"/>
    </xf>
    <xf numFmtId="165" fontId="21" fillId="6" borderId="0" xfId="0" applyNumberFormat="1" applyFont="1" applyFill="1" applyAlignment="1">
      <alignment horizontal="right"/>
    </xf>
    <xf numFmtId="165" fontId="15" fillId="0" borderId="0" xfId="0" quotePrefix="1" applyNumberFormat="1" applyFont="1" applyAlignment="1">
      <alignment horizontal="right"/>
    </xf>
    <xf numFmtId="10" fontId="6" fillId="0" borderId="0" xfId="0" applyNumberFormat="1" applyFont="1"/>
    <xf numFmtId="14" fontId="3" fillId="0" borderId="0" xfId="0" applyNumberFormat="1" applyFont="1" applyAlignment="1">
      <alignment horizontal="right" wrapText="1"/>
    </xf>
    <xf numFmtId="1" fontId="3" fillId="0" borderId="0" xfId="0" applyNumberFormat="1" applyFont="1" applyAlignment="1">
      <alignment horizontal="right" wrapText="1"/>
    </xf>
    <xf numFmtId="165" fontId="3" fillId="0" borderId="0" xfId="0" applyNumberFormat="1" applyFont="1" applyAlignment="1">
      <alignment horizontal="left" wrapText="1"/>
    </xf>
    <xf numFmtId="165" fontId="0" fillId="0" borderId="0" xfId="0" applyNumberFormat="1" applyAlignment="1">
      <alignment horizontal="left"/>
    </xf>
    <xf numFmtId="1" fontId="0" fillId="3" borderId="0" xfId="0" applyNumberFormat="1" applyFill="1" applyAlignment="1">
      <alignment horizontal="right"/>
    </xf>
    <xf numFmtId="17" fontId="0" fillId="3" borderId="0" xfId="0" applyNumberFormat="1" applyFill="1" applyAlignment="1">
      <alignment horizontal="right"/>
    </xf>
    <xf numFmtId="164" fontId="0" fillId="3" borderId="0" xfId="0" applyNumberFormat="1" applyFill="1" applyAlignment="1">
      <alignment horizontal="right"/>
    </xf>
    <xf numFmtId="0" fontId="0" fillId="3" borderId="0" xfId="0" applyFill="1" applyAlignment="1">
      <alignment horizontal="right"/>
    </xf>
    <xf numFmtId="1" fontId="0" fillId="0" borderId="6" xfId="0" applyNumberFormat="1" applyBorder="1"/>
    <xf numFmtId="1" fontId="3" fillId="0" borderId="6" xfId="0" applyNumberFormat="1" applyFont="1" applyBorder="1" applyAlignment="1">
      <alignment horizontal="left" wrapText="1"/>
    </xf>
    <xf numFmtId="1" fontId="0" fillId="7" borderId="6" xfId="0" applyNumberFormat="1" applyFill="1" applyBorder="1" applyAlignment="1">
      <alignment horizontal="right"/>
    </xf>
    <xf numFmtId="165" fontId="44" fillId="0" borderId="3" xfId="0" applyNumberFormat="1" applyFont="1" applyBorder="1"/>
    <xf numFmtId="1" fontId="44" fillId="0" borderId="3" xfId="0" applyNumberFormat="1" applyFont="1" applyBorder="1" applyAlignment="1">
      <alignment wrapText="1"/>
    </xf>
    <xf numFmtId="0" fontId="44" fillId="0" borderId="4" xfId="0" applyFont="1" applyBorder="1" applyAlignment="1">
      <alignment wrapText="1"/>
    </xf>
    <xf numFmtId="0" fontId="34" fillId="0" borderId="4" xfId="0" applyFont="1" applyBorder="1" applyAlignment="1">
      <alignment horizontal="left" wrapText="1"/>
    </xf>
    <xf numFmtId="165" fontId="31" fillId="0" borderId="4" xfId="0" applyNumberFormat="1" applyFont="1" applyBorder="1" applyAlignment="1">
      <alignment horizontal="left"/>
    </xf>
    <xf numFmtId="164" fontId="31" fillId="0" borderId="6" xfId="0" applyNumberFormat="1" applyFont="1" applyBorder="1"/>
    <xf numFmtId="0" fontId="42" fillId="0" borderId="6" xfId="0" applyFont="1" applyBorder="1" applyAlignment="1">
      <alignment horizontal="center"/>
    </xf>
    <xf numFmtId="165" fontId="31" fillId="0" borderId="6" xfId="0" applyNumberFormat="1" applyFont="1" applyBorder="1" applyAlignment="1">
      <alignment horizontal="left"/>
    </xf>
    <xf numFmtId="3" fontId="34" fillId="0" borderId="3" xfId="0" applyNumberFormat="1" applyFont="1" applyBorder="1" applyAlignment="1">
      <alignment horizontal="center" vertical="top" wrapText="1"/>
    </xf>
    <xf numFmtId="3" fontId="34" fillId="0" borderId="0" xfId="0" applyNumberFormat="1" applyFont="1" applyAlignment="1">
      <alignment horizontal="center" vertical="top" wrapText="1"/>
    </xf>
    <xf numFmtId="3" fontId="31" fillId="10" borderId="3" xfId="0" applyNumberFormat="1" applyFont="1" applyFill="1" applyBorder="1" applyAlignment="1">
      <alignment horizontal="center"/>
    </xf>
    <xf numFmtId="3" fontId="31" fillId="10" borderId="0" xfId="0" applyNumberFormat="1" applyFont="1" applyFill="1" applyAlignment="1">
      <alignment horizontal="center"/>
    </xf>
    <xf numFmtId="3" fontId="31" fillId="2" borderId="3" xfId="0" applyNumberFormat="1" applyFont="1" applyFill="1" applyBorder="1" applyAlignment="1">
      <alignment horizontal="center"/>
    </xf>
    <xf numFmtId="3" fontId="31" fillId="2" borderId="0" xfId="0" applyNumberFormat="1" applyFont="1" applyFill="1" applyAlignment="1">
      <alignment horizontal="center"/>
    </xf>
    <xf numFmtId="3" fontId="43" fillId="17" borderId="0" xfId="0" applyNumberFormat="1" applyFont="1" applyFill="1" applyAlignment="1">
      <alignment horizontal="center"/>
    </xf>
    <xf numFmtId="3" fontId="19" fillId="17" borderId="0" xfId="0" applyNumberFormat="1" applyFont="1" applyFill="1" applyAlignment="1">
      <alignment horizontal="center"/>
    </xf>
    <xf numFmtId="3" fontId="19" fillId="2" borderId="0" xfId="0" applyNumberFormat="1" applyFont="1" applyFill="1" applyAlignment="1">
      <alignment horizontal="center"/>
    </xf>
    <xf numFmtId="3" fontId="19" fillId="17" borderId="3" xfId="0" applyNumberFormat="1" applyFont="1" applyFill="1" applyBorder="1" applyAlignment="1">
      <alignment horizontal="center"/>
    </xf>
    <xf numFmtId="3" fontId="43" fillId="0" borderId="0" xfId="0" applyNumberFormat="1" applyFont="1" applyAlignment="1">
      <alignment horizontal="center"/>
    </xf>
    <xf numFmtId="3" fontId="43" fillId="2" borderId="0" xfId="0" applyNumberFormat="1" applyFont="1" applyFill="1" applyAlignment="1">
      <alignment horizontal="center"/>
    </xf>
    <xf numFmtId="3" fontId="31" fillId="18" borderId="3" xfId="0" applyNumberFormat="1" applyFont="1" applyFill="1" applyBorder="1" applyAlignment="1">
      <alignment horizontal="center"/>
    </xf>
    <xf numFmtId="3" fontId="19" fillId="18" borderId="0" xfId="0" applyNumberFormat="1" applyFont="1" applyFill="1" applyAlignment="1">
      <alignment horizontal="center"/>
    </xf>
    <xf numFmtId="3" fontId="31" fillId="18" borderId="0" xfId="0" applyNumberFormat="1" applyFont="1" applyFill="1" applyAlignment="1">
      <alignment horizontal="center"/>
    </xf>
    <xf numFmtId="3" fontId="43" fillId="18" borderId="0" xfId="0" applyNumberFormat="1" applyFont="1" applyFill="1" applyAlignment="1">
      <alignment horizontal="center"/>
    </xf>
    <xf numFmtId="3" fontId="43" fillId="10" borderId="0" xfId="0" applyNumberFormat="1" applyFont="1" applyFill="1" applyAlignment="1">
      <alignment horizontal="center"/>
    </xf>
    <xf numFmtId="3" fontId="19" fillId="10" borderId="0" xfId="0" applyNumberFormat="1" applyFont="1" applyFill="1" applyAlignment="1">
      <alignment horizontal="center"/>
    </xf>
    <xf numFmtId="14" fontId="15" fillId="3" borderId="0" xfId="0" applyNumberFormat="1" applyFont="1" applyFill="1" applyAlignment="1">
      <alignment horizontal="right"/>
    </xf>
    <xf numFmtId="164" fontId="3" fillId="0" borderId="4" xfId="0" applyNumberFormat="1" applyFont="1" applyBorder="1" applyAlignment="1">
      <alignment horizontal="right" wrapText="1"/>
    </xf>
    <xf numFmtId="17" fontId="0" fillId="0" borderId="4" xfId="0" applyNumberFormat="1" applyBorder="1" applyAlignment="1">
      <alignment horizontal="right"/>
    </xf>
    <xf numFmtId="164" fontId="0" fillId="0" borderId="4" xfId="0" applyNumberFormat="1" applyBorder="1" applyAlignment="1">
      <alignment horizontal="right"/>
    </xf>
    <xf numFmtId="170" fontId="0" fillId="0" borderId="4" xfId="0" applyNumberFormat="1" applyBorder="1" applyAlignment="1">
      <alignment horizontal="right"/>
    </xf>
    <xf numFmtId="165" fontId="0" fillId="3" borderId="0" xfId="0" applyNumberFormat="1" applyFill="1"/>
    <xf numFmtId="1" fontId="0" fillId="3" borderId="0" xfId="0" applyNumberFormat="1" applyFill="1"/>
    <xf numFmtId="17" fontId="0" fillId="3" borderId="0" xfId="0" applyNumberFormat="1" applyFill="1"/>
    <xf numFmtId="14" fontId="0" fillId="0" borderId="0" xfId="0" applyNumberFormat="1"/>
    <xf numFmtId="1" fontId="44" fillId="0" borderId="3" xfId="0" applyNumberFormat="1" applyFont="1" applyBorder="1"/>
    <xf numFmtId="14" fontId="44" fillId="0" borderId="4" xfId="0" applyNumberFormat="1" applyFont="1" applyBorder="1"/>
    <xf numFmtId="14" fontId="31" fillId="0" borderId="6" xfId="0" applyNumberFormat="1" applyFont="1" applyBorder="1"/>
    <xf numFmtId="0" fontId="7" fillId="0" borderId="0" xfId="0" applyFont="1"/>
    <xf numFmtId="49" fontId="15" fillId="0" borderId="0" xfId="0" applyNumberFormat="1" applyFont="1"/>
    <xf numFmtId="17" fontId="45" fillId="0" borderId="4" xfId="0" applyNumberFormat="1" applyFont="1" applyBorder="1"/>
    <xf numFmtId="1" fontId="15" fillId="0" borderId="0" xfId="0" applyNumberFormat="1" applyFont="1"/>
    <xf numFmtId="14" fontId="44" fillId="11" borderId="4" xfId="0" applyNumberFormat="1" applyFont="1" applyFill="1" applyBorder="1"/>
    <xf numFmtId="14" fontId="44" fillId="0" borderId="3" xfId="0" applyNumberFormat="1" applyFont="1" applyBorder="1"/>
    <xf numFmtId="1" fontId="45" fillId="0" borderId="3" xfId="0" applyNumberFormat="1" applyFont="1" applyBorder="1"/>
    <xf numFmtId="1" fontId="44" fillId="0" borderId="4" xfId="0" applyNumberFormat="1" applyFont="1" applyBorder="1"/>
    <xf numFmtId="49" fontId="11" fillId="0" borderId="0" xfId="0" applyNumberFormat="1" applyFont="1"/>
    <xf numFmtId="49" fontId="16" fillId="0" borderId="0" xfId="0" applyNumberFormat="1" applyFont="1"/>
    <xf numFmtId="49" fontId="6" fillId="0" borderId="0" xfId="0" applyNumberFormat="1" applyFont="1"/>
    <xf numFmtId="0" fontId="52" fillId="0" borderId="3" xfId="0" applyFont="1" applyBorder="1" applyAlignment="1">
      <alignment horizontal="center"/>
    </xf>
    <xf numFmtId="14" fontId="45" fillId="0" borderId="4" xfId="0" applyNumberFormat="1" applyFont="1" applyBorder="1"/>
    <xf numFmtId="14" fontId="45" fillId="0" borderId="3" xfId="0" applyNumberFormat="1" applyFont="1" applyBorder="1"/>
    <xf numFmtId="1" fontId="0" fillId="9" borderId="0" xfId="0" applyNumberFormat="1" applyFill="1"/>
    <xf numFmtId="49" fontId="8" fillId="0" borderId="0" xfId="0" applyNumberFormat="1" applyFont="1"/>
    <xf numFmtId="49" fontId="51" fillId="0" borderId="0" xfId="0" applyNumberFormat="1" applyFont="1"/>
    <xf numFmtId="0" fontId="32" fillId="0" borderId="3" xfId="0" applyFont="1" applyBorder="1" applyAlignment="1">
      <alignment horizontal="left"/>
    </xf>
    <xf numFmtId="0" fontId="32" fillId="0" borderId="0" xfId="0" applyFont="1" applyAlignment="1">
      <alignment horizontal="left"/>
    </xf>
    <xf numFmtId="3" fontId="32" fillId="17" borderId="0" xfId="0" applyNumberFormat="1" applyFont="1" applyFill="1" applyAlignment="1">
      <alignment horizontal="center"/>
    </xf>
    <xf numFmtId="1" fontId="45" fillId="10" borderId="3" xfId="0" applyNumberFormat="1" applyFont="1" applyFill="1" applyBorder="1" applyAlignment="1">
      <alignment vertical="top"/>
    </xf>
    <xf numFmtId="1" fontId="45" fillId="10" borderId="3" xfId="0" applyNumberFormat="1" applyFont="1" applyFill="1" applyBorder="1"/>
    <xf numFmtId="14" fontId="46" fillId="0" borderId="3" xfId="0" applyNumberFormat="1" applyFont="1" applyBorder="1"/>
    <xf numFmtId="14" fontId="46" fillId="0" borderId="4" xfId="0" applyNumberFormat="1" applyFont="1" applyBorder="1"/>
    <xf numFmtId="14" fontId="0" fillId="0" borderId="3" xfId="0" applyNumberFormat="1" applyBorder="1"/>
    <xf numFmtId="14" fontId="0" fillId="0" borderId="4" xfId="0" applyNumberFormat="1" applyBorder="1"/>
    <xf numFmtId="14" fontId="14" fillId="0" borderId="4" xfId="0" applyNumberFormat="1" applyFont="1" applyBorder="1"/>
    <xf numFmtId="2" fontId="0" fillId="0" borderId="0" xfId="0" applyNumberFormat="1"/>
    <xf numFmtId="1" fontId="0" fillId="0" borderId="1" xfId="0" applyNumberFormat="1" applyBorder="1"/>
    <xf numFmtId="14" fontId="11" fillId="0" borderId="107" xfId="0" applyNumberFormat="1" applyFont="1" applyBorder="1" applyAlignment="1">
      <alignment horizontal="center" wrapText="1"/>
    </xf>
    <xf numFmtId="14" fontId="11" fillId="0" borderId="35" xfId="0" applyNumberFormat="1" applyFont="1" applyBorder="1" applyAlignment="1">
      <alignment horizontal="center" wrapText="1"/>
    </xf>
    <xf numFmtId="0" fontId="55" fillId="0" borderId="109" xfId="0" applyFont="1" applyBorder="1" applyAlignment="1">
      <alignment vertical="center"/>
    </xf>
    <xf numFmtId="0" fontId="55" fillId="0" borderId="17" xfId="0" applyFont="1" applyBorder="1" applyAlignment="1">
      <alignment vertical="center"/>
    </xf>
    <xf numFmtId="0" fontId="55" fillId="10" borderId="111" xfId="0" applyFont="1" applyFill="1" applyBorder="1" applyAlignment="1">
      <alignment horizontal="right" vertical="center"/>
    </xf>
    <xf numFmtId="14" fontId="15" fillId="9" borderId="0" xfId="0" applyNumberFormat="1" applyFont="1" applyFill="1" applyAlignment="1">
      <alignment horizontal="right"/>
    </xf>
    <xf numFmtId="1" fontId="0" fillId="9" borderId="0" xfId="0" applyNumberFormat="1" applyFill="1" applyAlignment="1">
      <alignment horizontal="right"/>
    </xf>
    <xf numFmtId="165" fontId="0" fillId="9" borderId="0" xfId="0" applyNumberFormat="1" applyFill="1" applyAlignment="1">
      <alignment horizontal="right"/>
    </xf>
    <xf numFmtId="17" fontId="0" fillId="9" borderId="0" xfId="0" applyNumberFormat="1" applyFill="1"/>
    <xf numFmtId="0" fontId="55" fillId="0" borderId="111" xfId="0" applyFont="1" applyBorder="1" applyAlignment="1">
      <alignment horizontal="right" vertical="center"/>
    </xf>
    <xf numFmtId="14" fontId="11" fillId="0" borderId="35" xfId="0" applyNumberFormat="1" applyFont="1" applyBorder="1" applyAlignment="1">
      <alignment wrapText="1"/>
    </xf>
    <xf numFmtId="165" fontId="0" fillId="9" borderId="0" xfId="0" applyNumberFormat="1" applyFill="1"/>
    <xf numFmtId="14" fontId="15" fillId="9" borderId="0" xfId="0" applyNumberFormat="1" applyFont="1" applyFill="1" applyAlignment="1">
      <alignment horizontal="right" wrapText="1"/>
    </xf>
    <xf numFmtId="165" fontId="0" fillId="9" borderId="0" xfId="0" applyNumberFormat="1" applyFill="1" applyAlignment="1">
      <alignment wrapText="1"/>
    </xf>
    <xf numFmtId="164" fontId="0" fillId="9" borderId="0" xfId="0" applyNumberFormat="1" applyFill="1" applyAlignment="1">
      <alignment horizontal="right"/>
    </xf>
    <xf numFmtId="17" fontId="0" fillId="9" borderId="0" xfId="0" applyNumberFormat="1" applyFill="1" applyAlignment="1">
      <alignment horizontal="right"/>
    </xf>
    <xf numFmtId="1" fontId="0" fillId="9" borderId="0" xfId="0" applyNumberFormat="1" applyFill="1" applyAlignment="1">
      <alignment vertical="top"/>
    </xf>
    <xf numFmtId="165" fontId="0" fillId="9" borderId="0" xfId="0" applyNumberFormat="1" applyFill="1" applyAlignment="1">
      <alignment vertical="top"/>
    </xf>
    <xf numFmtId="14" fontId="15" fillId="0" borderId="6" xfId="0" applyNumberFormat="1" applyFont="1" applyBorder="1" applyAlignment="1">
      <alignment horizontal="right"/>
    </xf>
    <xf numFmtId="164" fontId="0" fillId="0" borderId="0" xfId="0" applyNumberFormat="1" applyAlignment="1">
      <alignment horizontal="right"/>
    </xf>
    <xf numFmtId="1" fontId="46" fillId="0" borderId="3" xfId="0" applyNumberFormat="1" applyFont="1" applyBorder="1"/>
    <xf numFmtId="17" fontId="56" fillId="0" borderId="3" xfId="0" applyNumberFormat="1" applyFont="1" applyBorder="1" applyAlignment="1">
      <alignment horizontal="left"/>
    </xf>
    <xf numFmtId="1" fontId="57" fillId="0" borderId="0" xfId="0" applyNumberFormat="1" applyFont="1" applyAlignment="1">
      <alignment horizontal="left"/>
    </xf>
    <xf numFmtId="165" fontId="57" fillId="0" borderId="0" xfId="0" applyNumberFormat="1" applyFont="1" applyAlignment="1">
      <alignment horizontal="left"/>
    </xf>
    <xf numFmtId="14" fontId="57" fillId="0" borderId="4" xfId="0" applyNumberFormat="1" applyFont="1" applyBorder="1" applyAlignment="1">
      <alignment horizontal="left"/>
    </xf>
    <xf numFmtId="3" fontId="57" fillId="17" borderId="3" xfId="0" applyNumberFormat="1" applyFont="1" applyFill="1" applyBorder="1" applyAlignment="1">
      <alignment horizontal="center"/>
    </xf>
    <xf numFmtId="3" fontId="56" fillId="17" borderId="0" xfId="0" applyNumberFormat="1" applyFont="1" applyFill="1" applyAlignment="1">
      <alignment horizontal="center"/>
    </xf>
    <xf numFmtId="3" fontId="57" fillId="17" borderId="0" xfId="0" applyNumberFormat="1" applyFont="1" applyFill="1" applyAlignment="1">
      <alignment horizontal="center"/>
    </xf>
    <xf numFmtId="0" fontId="57" fillId="17" borderId="4" xfId="0" applyFont="1" applyFill="1" applyBorder="1" applyAlignment="1">
      <alignment horizontal="left"/>
    </xf>
    <xf numFmtId="165" fontId="0" fillId="19" borderId="0" xfId="0" applyNumberFormat="1" applyFill="1" applyAlignment="1">
      <alignment horizontal="right"/>
    </xf>
    <xf numFmtId="165" fontId="0" fillId="19" borderId="0" xfId="0" applyNumberFormat="1" applyFill="1" applyAlignment="1">
      <alignment horizontal="left"/>
    </xf>
    <xf numFmtId="164" fontId="0" fillId="19" borderId="0" xfId="0" applyNumberFormat="1" applyFill="1" applyAlignment="1">
      <alignment horizontal="right"/>
    </xf>
    <xf numFmtId="164" fontId="15" fillId="9" borderId="0" xfId="0" applyNumberFormat="1" applyFont="1" applyFill="1" applyAlignment="1">
      <alignment horizontal="right"/>
    </xf>
    <xf numFmtId="1" fontId="11" fillId="9" borderId="0" xfId="0" applyNumberFormat="1" applyFont="1" applyFill="1" applyAlignment="1">
      <alignment horizontal="right"/>
    </xf>
    <xf numFmtId="0" fontId="0" fillId="0" borderId="36" xfId="0" applyBorder="1" applyAlignment="1">
      <alignment horizontal="left" wrapText="1"/>
    </xf>
    <xf numFmtId="14" fontId="15" fillId="20" borderId="0" xfId="0" applyNumberFormat="1" applyFont="1" applyFill="1" applyAlignment="1">
      <alignment horizontal="right"/>
    </xf>
    <xf numFmtId="1" fontId="0" fillId="20" borderId="0" xfId="0" applyNumberFormat="1" applyFill="1" applyAlignment="1">
      <alignment horizontal="right"/>
    </xf>
    <xf numFmtId="165" fontId="0" fillId="20" borderId="0" xfId="0" applyNumberFormat="1" applyFill="1" applyAlignment="1">
      <alignment horizontal="right"/>
    </xf>
    <xf numFmtId="165" fontId="0" fillId="20" borderId="0" xfId="0" applyNumberFormat="1" applyFill="1"/>
    <xf numFmtId="1" fontId="0" fillId="20" borderId="0" xfId="0" applyNumberFormat="1" applyFill="1"/>
    <xf numFmtId="0" fontId="0" fillId="0" borderId="107" xfId="0" applyBorder="1" applyAlignment="1">
      <alignment horizontal="left" wrapText="1"/>
    </xf>
    <xf numFmtId="14" fontId="0" fillId="0" borderId="107" xfId="0" applyNumberFormat="1" applyBorder="1" applyAlignment="1">
      <alignment horizontal="center" wrapText="1"/>
    </xf>
    <xf numFmtId="165" fontId="0" fillId="20" borderId="0" xfId="0" applyNumberFormat="1" applyFill="1" applyAlignment="1">
      <alignment wrapText="1"/>
    </xf>
    <xf numFmtId="165" fontId="0" fillId="21" borderId="0" xfId="0" applyNumberFormat="1" applyFill="1" applyAlignment="1">
      <alignment horizontal="right"/>
    </xf>
    <xf numFmtId="165" fontId="0" fillId="9" borderId="112" xfId="0" applyNumberFormat="1" applyFill="1" applyBorder="1" applyAlignment="1">
      <alignment horizontal="right"/>
    </xf>
    <xf numFmtId="0" fontId="3" fillId="0" borderId="3" xfId="0" applyFont="1" applyBorder="1" applyAlignment="1">
      <alignment horizontal="left" wrapText="1"/>
    </xf>
    <xf numFmtId="49" fontId="0" fillId="2" borderId="0" xfId="0" applyNumberFormat="1" applyFill="1"/>
    <xf numFmtId="14" fontId="0" fillId="2" borderId="0" xfId="0" applyNumberFormat="1" applyFill="1"/>
    <xf numFmtId="14" fontId="7" fillId="2" borderId="0" xfId="0" applyNumberFormat="1" applyFont="1" applyFill="1" applyAlignment="1">
      <alignment horizontal="right"/>
    </xf>
    <xf numFmtId="14" fontId="15" fillId="2" borderId="0" xfId="0" applyNumberFormat="1" applyFont="1" applyFill="1"/>
    <xf numFmtId="14" fontId="14" fillId="0" borderId="100" xfId="0" applyNumberFormat="1" applyFont="1" applyBorder="1" applyAlignment="1">
      <alignment horizontal="center" wrapText="1"/>
    </xf>
    <xf numFmtId="0" fontId="53" fillId="0" borderId="8" xfId="0" applyFont="1" applyBorder="1" applyAlignment="1">
      <alignment horizontal="left" vertical="center" wrapText="1"/>
    </xf>
    <xf numFmtId="0" fontId="14" fillId="0" borderId="8" xfId="0" applyFont="1" applyBorder="1" applyAlignment="1">
      <alignment horizontal="left" vertical="center" wrapText="1"/>
    </xf>
    <xf numFmtId="14" fontId="0" fillId="0" borderId="29" xfId="0" applyNumberFormat="1" applyBorder="1" applyAlignment="1">
      <alignment wrapText="1"/>
    </xf>
    <xf numFmtId="8" fontId="33" fillId="9" borderId="0" xfId="0" applyNumberFormat="1" applyFont="1" applyFill="1"/>
    <xf numFmtId="0" fontId="14" fillId="0" borderId="110" xfId="0" applyFont="1" applyBorder="1" applyAlignment="1">
      <alignment horizontal="right" vertical="center"/>
    </xf>
    <xf numFmtId="14" fontId="11" fillId="0" borderId="35" xfId="0" quotePrefix="1" applyNumberFormat="1" applyFont="1" applyBorder="1" applyAlignment="1">
      <alignment horizontal="center" wrapText="1"/>
    </xf>
    <xf numFmtId="0" fontId="0" fillId="0" borderId="36" xfId="0" applyBorder="1" applyAlignment="1">
      <alignment horizontal="center" wrapText="1"/>
    </xf>
    <xf numFmtId="44" fontId="11" fillId="0" borderId="0" xfId="0" applyNumberFormat="1" applyFont="1" applyAlignment="1">
      <alignment horizontal="center"/>
    </xf>
    <xf numFmtId="4" fontId="13" fillId="2" borderId="0" xfId="0" applyNumberFormat="1" applyFont="1" applyFill="1"/>
    <xf numFmtId="167" fontId="11" fillId="0" borderId="101" xfId="0" applyNumberFormat="1" applyFont="1" applyBorder="1" applyAlignment="1">
      <alignment horizontal="center" wrapText="1"/>
    </xf>
    <xf numFmtId="14" fontId="0" fillId="0" borderId="35" xfId="0" applyNumberFormat="1" applyBorder="1" applyAlignment="1">
      <alignment horizontal="center"/>
    </xf>
    <xf numFmtId="0" fontId="6" fillId="0" borderId="0" xfId="0" applyFont="1" applyAlignment="1">
      <alignment horizontal="left"/>
    </xf>
    <xf numFmtId="44" fontId="15" fillId="0" borderId="0" xfId="0" applyNumberFormat="1" applyFont="1" applyAlignment="1">
      <alignment horizontal="right"/>
    </xf>
    <xf numFmtId="1" fontId="31" fillId="0" borderId="0" xfId="0" applyNumberFormat="1" applyFont="1"/>
    <xf numFmtId="8" fontId="15" fillId="0" borderId="0" xfId="0" applyNumberFormat="1" applyFont="1" applyAlignment="1">
      <alignment horizontal="left"/>
    </xf>
    <xf numFmtId="14" fontId="31" fillId="0" borderId="6" xfId="0" applyNumberFormat="1" applyFont="1" applyBorder="1" applyAlignment="1">
      <alignment horizontal="left"/>
    </xf>
    <xf numFmtId="3" fontId="43" fillId="0" borderId="3" xfId="0" applyNumberFormat="1" applyFont="1" applyBorder="1" applyAlignment="1">
      <alignment horizontal="center"/>
    </xf>
    <xf numFmtId="0" fontId="31" fillId="0" borderId="4" xfId="0" applyFont="1" applyBorder="1" applyAlignment="1">
      <alignment horizontal="left" wrapText="1"/>
    </xf>
    <xf numFmtId="164" fontId="31" fillId="0" borderId="4" xfId="0" applyNumberFormat="1" applyFont="1" applyBorder="1" applyAlignment="1">
      <alignment horizontal="left" wrapText="1"/>
    </xf>
    <xf numFmtId="8" fontId="15" fillId="0" borderId="0" xfId="0" applyNumberFormat="1" applyFont="1" applyAlignment="1">
      <alignment horizontal="right"/>
    </xf>
    <xf numFmtId="1" fontId="45" fillId="0" borderId="3" xfId="0" applyNumberFormat="1" applyFont="1" applyBorder="1" applyAlignment="1">
      <alignment wrapText="1"/>
    </xf>
    <xf numFmtId="164" fontId="31" fillId="0" borderId="6" xfId="0" applyNumberFormat="1" applyFont="1" applyBorder="1" applyAlignment="1">
      <alignment horizontal="left"/>
    </xf>
    <xf numFmtId="0" fontId="42" fillId="0" borderId="6" xfId="0" applyFont="1" applyBorder="1" applyAlignment="1">
      <alignment horizontal="left"/>
    </xf>
    <xf numFmtId="0" fontId="31" fillId="0" borderId="6" xfId="0" applyFont="1" applyBorder="1" applyAlignment="1">
      <alignment horizontal="left"/>
    </xf>
    <xf numFmtId="167" fontId="11" fillId="0" borderId="107" xfId="0" applyNumberFormat="1" applyFont="1" applyBorder="1" applyAlignment="1">
      <alignment horizontal="center" wrapText="1"/>
    </xf>
    <xf numFmtId="167" fontId="11" fillId="0" borderId="35" xfId="0" applyNumberFormat="1" applyFont="1" applyBorder="1" applyAlignment="1">
      <alignment horizontal="center" wrapText="1"/>
    </xf>
    <xf numFmtId="0" fontId="11" fillId="0" borderId="0" xfId="0" applyFont="1" applyAlignment="1">
      <alignment horizontal="center" wrapText="1"/>
    </xf>
    <xf numFmtId="1" fontId="0" fillId="0" borderId="12" xfId="0" applyNumberFormat="1" applyBorder="1" applyAlignment="1">
      <alignment horizontal="center" vertical="center"/>
    </xf>
    <xf numFmtId="165" fontId="0" fillId="0" borderId="3" xfId="0" quotePrefix="1" applyNumberFormat="1" applyBorder="1" applyAlignment="1">
      <alignment horizontal="right"/>
    </xf>
    <xf numFmtId="14" fontId="0" fillId="0" borderId="0" xfId="0" applyNumberFormat="1" applyAlignment="1">
      <alignment wrapText="1"/>
    </xf>
    <xf numFmtId="44" fontId="0" fillId="0" borderId="8" xfId="1" applyFont="1" applyBorder="1" applyAlignment="1">
      <alignment horizontal="center" vertical="center"/>
    </xf>
    <xf numFmtId="44" fontId="0" fillId="0" borderId="11" xfId="1" applyFont="1" applyBorder="1" applyAlignment="1">
      <alignment horizontal="center" vertical="center"/>
    </xf>
    <xf numFmtId="0" fontId="13" fillId="0" borderId="8" xfId="0" applyFont="1" applyBorder="1" applyAlignment="1">
      <alignment horizontal="left" vertical="center" wrapText="1"/>
    </xf>
    <xf numFmtId="14" fontId="0" fillId="10" borderId="4" xfId="0" applyNumberFormat="1" applyFill="1" applyBorder="1" applyAlignment="1">
      <alignment horizontal="center"/>
    </xf>
    <xf numFmtId="0" fontId="0" fillId="0" borderId="113" xfId="0" applyBorder="1" applyAlignment="1">
      <alignment horizontal="center" vertical="center"/>
    </xf>
    <xf numFmtId="0" fontId="0" fillId="0" borderId="114" xfId="0" applyBorder="1" applyAlignment="1">
      <alignment horizontal="center" vertical="center"/>
    </xf>
    <xf numFmtId="165" fontId="31" fillId="22" borderId="0" xfId="0" applyNumberFormat="1" applyFont="1" applyFill="1" applyAlignment="1">
      <alignment horizontal="left"/>
    </xf>
    <xf numFmtId="165" fontId="31" fillId="22" borderId="4" xfId="0" applyNumberFormat="1" applyFont="1" applyFill="1" applyBorder="1" applyAlignment="1">
      <alignment horizontal="left"/>
    </xf>
    <xf numFmtId="0" fontId="0" fillId="0" borderId="11" xfId="0" applyBorder="1" applyAlignment="1">
      <alignment horizontal="center" vertical="center"/>
    </xf>
    <xf numFmtId="14" fontId="31" fillId="0" borderId="4" xfId="0" quotePrefix="1" applyNumberFormat="1" applyFont="1" applyBorder="1" applyAlignment="1">
      <alignment horizontal="left"/>
    </xf>
    <xf numFmtId="0" fontId="0" fillId="0" borderId="116" xfId="0" applyBorder="1" applyAlignment="1">
      <alignment horizontal="center" vertical="center"/>
    </xf>
    <xf numFmtId="0" fontId="0" fillId="0" borderId="106" xfId="0" applyBorder="1" applyAlignment="1">
      <alignment horizontal="center" vertical="center"/>
    </xf>
    <xf numFmtId="4" fontId="13" fillId="0" borderId="0" xfId="0" applyNumberFormat="1" applyFont="1"/>
    <xf numFmtId="14" fontId="0" fillId="0" borderId="6" xfId="0" applyNumberFormat="1" applyBorder="1" applyAlignment="1">
      <alignment horizontal="center" vertical="center"/>
    </xf>
    <xf numFmtId="14" fontId="11" fillId="0" borderId="0" xfId="0" applyNumberFormat="1" applyFont="1" applyAlignment="1">
      <alignment horizontal="left"/>
    </xf>
    <xf numFmtId="0" fontId="0" fillId="0" borderId="0" xfId="0" quotePrefix="1" applyAlignment="1">
      <alignment horizontal="left"/>
    </xf>
    <xf numFmtId="0" fontId="0" fillId="0" borderId="0" xfId="0" quotePrefix="1"/>
    <xf numFmtId="0" fontId="0" fillId="2" borderId="8" xfId="0" applyFill="1" applyBorder="1" applyAlignment="1">
      <alignment horizontal="center" vertical="center"/>
    </xf>
    <xf numFmtId="14" fontId="11" fillId="0" borderId="107" xfId="0" applyNumberFormat="1" applyFont="1" applyBorder="1" applyAlignment="1">
      <alignment wrapText="1"/>
    </xf>
    <xf numFmtId="14" fontId="11" fillId="0" borderId="107" xfId="0" applyNumberFormat="1" applyFont="1" applyBorder="1" applyAlignment="1">
      <alignment horizontal="center"/>
    </xf>
    <xf numFmtId="0" fontId="11" fillId="0" borderId="34" xfId="0" applyFont="1" applyBorder="1" applyAlignment="1">
      <alignment horizontal="center" wrapText="1"/>
    </xf>
    <xf numFmtId="14" fontId="0" fillId="22" borderId="0" xfId="0" applyNumberFormat="1" applyFill="1" applyAlignment="1">
      <alignment horizontal="right"/>
    </xf>
    <xf numFmtId="49" fontId="0" fillId="0" borderId="0" xfId="0" applyNumberFormat="1" applyAlignment="1">
      <alignment wrapText="1"/>
    </xf>
    <xf numFmtId="49" fontId="0" fillId="0" borderId="0" xfId="0" applyNumberFormat="1" applyAlignment="1">
      <alignment horizontal="left" wrapText="1"/>
    </xf>
    <xf numFmtId="14" fontId="44" fillId="0" borderId="3" xfId="0" applyNumberFormat="1" applyFont="1" applyBorder="1" applyAlignment="1">
      <alignment wrapText="1"/>
    </xf>
    <xf numFmtId="165" fontId="6" fillId="17" borderId="3" xfId="0" applyNumberFormat="1" applyFont="1" applyFill="1" applyBorder="1" applyAlignment="1">
      <alignment horizontal="right"/>
    </xf>
    <xf numFmtId="44" fontId="11" fillId="0" borderId="3" xfId="0" applyNumberFormat="1" applyFont="1" applyBorder="1" applyAlignment="1">
      <alignment horizontal="center"/>
    </xf>
    <xf numFmtId="1" fontId="0" fillId="9" borderId="0" xfId="0" applyNumberFormat="1" applyFill="1" applyAlignment="1">
      <alignment wrapText="1"/>
    </xf>
    <xf numFmtId="0" fontId="44" fillId="0" borderId="0" xfId="0" applyFont="1" applyAlignment="1">
      <alignment wrapText="1"/>
    </xf>
    <xf numFmtId="14" fontId="15" fillId="17" borderId="0" xfId="0" applyNumberFormat="1" applyFont="1" applyFill="1" applyAlignment="1">
      <alignment horizontal="right"/>
    </xf>
    <xf numFmtId="1" fontId="0" fillId="17" borderId="0" xfId="0" applyNumberFormat="1" applyFill="1" applyAlignment="1">
      <alignment horizontal="right"/>
    </xf>
    <xf numFmtId="165" fontId="0" fillId="17" borderId="0" xfId="0" applyNumberFormat="1" applyFill="1"/>
    <xf numFmtId="165" fontId="0" fillId="17" borderId="0" xfId="0" applyNumberFormat="1" applyFill="1" applyAlignment="1">
      <alignment horizontal="right"/>
    </xf>
    <xf numFmtId="1" fontId="0" fillId="17" borderId="0" xfId="0" applyNumberFormat="1" applyFill="1" applyAlignment="1">
      <alignment horizontal="right" wrapText="1"/>
    </xf>
    <xf numFmtId="14" fontId="11" fillId="17" borderId="0" xfId="0" applyNumberFormat="1" applyFont="1" applyFill="1" applyAlignment="1">
      <alignment horizontal="right"/>
    </xf>
    <xf numFmtId="1" fontId="11" fillId="17" borderId="0" xfId="0" applyNumberFormat="1" applyFont="1" applyFill="1" applyAlignment="1">
      <alignment horizontal="right"/>
    </xf>
    <xf numFmtId="1" fontId="0" fillId="17" borderId="0" xfId="0" applyNumberFormat="1" applyFill="1"/>
    <xf numFmtId="167" fontId="14" fillId="17" borderId="0" xfId="0" applyNumberFormat="1" applyFont="1" applyFill="1"/>
    <xf numFmtId="0" fontId="14" fillId="0" borderId="6" xfId="0" applyFont="1" applyBorder="1" applyAlignment="1">
      <alignment horizontal="right" vertical="center"/>
    </xf>
    <xf numFmtId="0" fontId="55" fillId="0" borderId="4" xfId="0" applyFont="1" applyBorder="1" applyAlignment="1">
      <alignment horizontal="right" vertical="center"/>
    </xf>
    <xf numFmtId="14" fontId="15" fillId="9" borderId="1" xfId="0" applyNumberFormat="1" applyFont="1" applyFill="1" applyBorder="1" applyAlignment="1">
      <alignment horizontal="right"/>
    </xf>
    <xf numFmtId="165" fontId="0" fillId="3" borderId="1" xfId="0" applyNumberFormat="1" applyFill="1" applyBorder="1" applyAlignment="1">
      <alignment horizontal="right"/>
    </xf>
    <xf numFmtId="1" fontId="0" fillId="3" borderId="1" xfId="0" applyNumberFormat="1" applyFill="1" applyBorder="1" applyAlignment="1">
      <alignment horizontal="right"/>
    </xf>
    <xf numFmtId="165" fontId="0" fillId="3" borderId="4" xfId="0" applyNumberFormat="1" applyFill="1" applyBorder="1" applyAlignment="1">
      <alignment horizontal="right"/>
    </xf>
    <xf numFmtId="165" fontId="11" fillId="3" borderId="4" xfId="0" applyNumberFormat="1" applyFont="1" applyFill="1" applyBorder="1" applyAlignment="1">
      <alignment horizontal="right"/>
    </xf>
    <xf numFmtId="14" fontId="15" fillId="21" borderId="0" xfId="0" applyNumberFormat="1" applyFont="1" applyFill="1" applyAlignment="1">
      <alignment horizontal="right"/>
    </xf>
    <xf numFmtId="14" fontId="15" fillId="21" borderId="1" xfId="0" applyNumberFormat="1" applyFont="1" applyFill="1" applyBorder="1" applyAlignment="1">
      <alignment horizontal="right"/>
    </xf>
    <xf numFmtId="167" fontId="0" fillId="21" borderId="0" xfId="0" applyNumberFormat="1" applyFill="1" applyAlignment="1">
      <alignment horizontal="right"/>
    </xf>
    <xf numFmtId="8" fontId="0" fillId="21" borderId="0" xfId="0" applyNumberFormat="1" applyFill="1" applyAlignment="1">
      <alignment horizontal="right"/>
    </xf>
    <xf numFmtId="1" fontId="11" fillId="9" borderId="0" xfId="0" applyNumberFormat="1" applyFont="1" applyFill="1" applyAlignment="1">
      <alignment wrapText="1"/>
    </xf>
    <xf numFmtId="1" fontId="0" fillId="21" borderId="0" xfId="0" applyNumberFormat="1" applyFill="1" applyAlignment="1">
      <alignment horizontal="right"/>
    </xf>
    <xf numFmtId="1" fontId="0" fillId="21" borderId="1" xfId="0" applyNumberFormat="1" applyFill="1" applyBorder="1" applyAlignment="1">
      <alignment horizontal="right"/>
    </xf>
    <xf numFmtId="44" fontId="0" fillId="0" borderId="10" xfId="1" applyFont="1" applyBorder="1" applyAlignment="1">
      <alignment horizontal="center" vertical="center"/>
    </xf>
    <xf numFmtId="44" fontId="0" fillId="0" borderId="20" xfId="1" applyFont="1" applyBorder="1" applyAlignment="1">
      <alignment horizontal="center" vertical="center"/>
    </xf>
    <xf numFmtId="1" fontId="0" fillId="0" borderId="7" xfId="0" applyNumberFormat="1" applyBorder="1" applyAlignment="1">
      <alignment horizontal="center" vertical="center"/>
    </xf>
    <xf numFmtId="0" fontId="0" fillId="0" borderId="7" xfId="0" applyBorder="1" applyAlignment="1">
      <alignment horizontal="left" vertical="center"/>
    </xf>
    <xf numFmtId="0" fontId="0" fillId="0" borderId="105" xfId="0" applyBorder="1" applyAlignment="1">
      <alignment horizontal="center" vertical="center"/>
    </xf>
    <xf numFmtId="0" fontId="14" fillId="0" borderId="57" xfId="0" applyFont="1" applyBorder="1" applyAlignment="1">
      <alignment horizontal="center" wrapText="1"/>
    </xf>
    <xf numFmtId="0" fontId="32" fillId="0" borderId="44" xfId="0" applyFont="1" applyBorder="1" applyAlignment="1">
      <alignment horizontal="center"/>
    </xf>
    <xf numFmtId="166" fontId="11" fillId="0" borderId="117" xfId="0" applyNumberFormat="1" applyFont="1" applyBorder="1" applyAlignment="1">
      <alignment horizontal="center"/>
    </xf>
    <xf numFmtId="14" fontId="0" fillId="0" borderId="115" xfId="0" applyNumberFormat="1" applyBorder="1" applyAlignment="1">
      <alignment horizontal="center" wrapText="1"/>
    </xf>
    <xf numFmtId="14" fontId="15" fillId="2" borderId="8" xfId="0" applyNumberFormat="1" applyFont="1" applyFill="1" applyBorder="1" applyAlignment="1">
      <alignment horizontal="center" vertical="center"/>
    </xf>
    <xf numFmtId="14" fontId="0" fillId="2" borderId="8" xfId="0" applyNumberFormat="1" applyFill="1" applyBorder="1" applyAlignment="1">
      <alignment horizontal="center" vertical="center"/>
    </xf>
    <xf numFmtId="44" fontId="0" fillId="2" borderId="8" xfId="1" applyFont="1" applyFill="1" applyBorder="1" applyAlignment="1">
      <alignment horizontal="center" vertical="center"/>
    </xf>
    <xf numFmtId="44" fontId="0" fillId="2" borderId="11" xfId="1" applyFont="1" applyFill="1" applyBorder="1" applyAlignment="1">
      <alignment horizontal="center" vertical="center"/>
    </xf>
    <xf numFmtId="14" fontId="11" fillId="0" borderId="107" xfId="0" quotePrefix="1" applyNumberFormat="1" applyFont="1" applyBorder="1" applyAlignment="1">
      <alignment horizontal="center" wrapText="1"/>
    </xf>
    <xf numFmtId="167" fontId="11" fillId="0" borderId="108" xfId="0" applyNumberFormat="1" applyFont="1" applyBorder="1" applyAlignment="1">
      <alignment horizontal="center" wrapText="1"/>
    </xf>
    <xf numFmtId="0" fontId="0" fillId="0" borderId="117" xfId="0" applyBorder="1" applyAlignment="1">
      <alignment horizontal="center" wrapText="1"/>
    </xf>
    <xf numFmtId="0" fontId="0" fillId="0" borderId="115" xfId="0" applyBorder="1" applyAlignment="1">
      <alignment horizontal="center" wrapText="1"/>
    </xf>
    <xf numFmtId="14" fontId="0" fillId="0" borderId="51" xfId="0" applyNumberFormat="1" applyBorder="1" applyAlignment="1">
      <alignment wrapText="1"/>
    </xf>
    <xf numFmtId="0" fontId="0" fillId="0" borderId="51" xfId="0" applyBorder="1" applyAlignment="1">
      <alignment horizontal="left" wrapText="1"/>
    </xf>
    <xf numFmtId="167" fontId="0" fillId="0" borderId="108" xfId="0" applyNumberFormat="1" applyBorder="1" applyAlignment="1">
      <alignment horizontal="center" wrapText="1"/>
    </xf>
    <xf numFmtId="3" fontId="57" fillId="0" borderId="3" xfId="0" applyNumberFormat="1" applyFont="1" applyBorder="1" applyAlignment="1">
      <alignment horizontal="center"/>
    </xf>
    <xf numFmtId="3" fontId="57" fillId="0" borderId="0" xfId="0" applyNumberFormat="1" applyFont="1" applyAlignment="1">
      <alignment horizontal="center"/>
    </xf>
    <xf numFmtId="164" fontId="57" fillId="0" borderId="4" xfId="0" applyNumberFormat="1" applyFont="1" applyBorder="1" applyAlignment="1">
      <alignment horizontal="left"/>
    </xf>
    <xf numFmtId="49" fontId="0" fillId="0" borderId="50" xfId="0" applyNumberFormat="1" applyBorder="1" applyAlignment="1">
      <alignment horizontal="left" wrapText="1"/>
    </xf>
    <xf numFmtId="0" fontId="0" fillId="0" borderId="34" xfId="0" applyBorder="1" applyAlignment="1">
      <alignment horizontal="center" wrapText="1"/>
    </xf>
    <xf numFmtId="14" fontId="0" fillId="0" borderId="107" xfId="0" applyNumberFormat="1" applyBorder="1" applyAlignment="1">
      <alignment horizontal="center"/>
    </xf>
    <xf numFmtId="0" fontId="32" fillId="0" borderId="44" xfId="0" applyFont="1" applyBorder="1" applyAlignment="1">
      <alignment horizontal="center" wrapText="1"/>
    </xf>
    <xf numFmtId="14" fontId="11" fillId="10" borderId="35" xfId="0" applyNumberFormat="1" applyFont="1" applyFill="1" applyBorder="1" applyAlignment="1">
      <alignment horizontal="center"/>
    </xf>
    <xf numFmtId="14" fontId="11" fillId="0" borderId="55" xfId="0" applyNumberFormat="1" applyFont="1" applyBorder="1" applyAlignment="1">
      <alignment wrapText="1"/>
    </xf>
    <xf numFmtId="167" fontId="0" fillId="0" borderId="101" xfId="0" applyNumberFormat="1" applyBorder="1" applyAlignment="1">
      <alignment horizontal="center" wrapText="1"/>
    </xf>
    <xf numFmtId="0" fontId="0" fillId="10" borderId="8" xfId="0" applyFill="1" applyBorder="1" applyAlignment="1">
      <alignment horizontal="left" vertical="center" wrapText="1"/>
    </xf>
    <xf numFmtId="165" fontId="0" fillId="0" borderId="8" xfId="0" applyNumberFormat="1" applyBorder="1" applyAlignment="1">
      <alignment horizontal="center"/>
    </xf>
    <xf numFmtId="14" fontId="0" fillId="0" borderId="65" xfId="0" applyNumberFormat="1" applyBorder="1" applyAlignment="1">
      <alignment wrapText="1"/>
    </xf>
    <xf numFmtId="1" fontId="0" fillId="0" borderId="4" xfId="0" applyNumberFormat="1" applyBorder="1" applyAlignment="1">
      <alignment horizontal="center" wrapText="1"/>
    </xf>
    <xf numFmtId="0" fontId="0" fillId="0" borderId="50" xfId="0" applyBorder="1" applyAlignment="1">
      <alignment horizontal="right" wrapText="1"/>
    </xf>
    <xf numFmtId="0" fontId="0" fillId="0" borderId="52" xfId="0" applyBorder="1" applyAlignment="1">
      <alignment horizontal="center" wrapText="1"/>
    </xf>
    <xf numFmtId="0" fontId="0" fillId="0" borderId="53" xfId="0" applyBorder="1" applyAlignment="1">
      <alignment horizontal="center"/>
    </xf>
    <xf numFmtId="0" fontId="0" fillId="0" borderId="51" xfId="0" applyBorder="1" applyAlignment="1">
      <alignment horizontal="center"/>
    </xf>
    <xf numFmtId="0" fontId="0" fillId="0" borderId="119" xfId="0" applyBorder="1" applyAlignment="1">
      <alignment horizontal="center"/>
    </xf>
    <xf numFmtId="49" fontId="0" fillId="0" borderId="0" xfId="0" applyNumberFormat="1" applyAlignment="1">
      <alignment horizontal="right" wrapText="1"/>
    </xf>
    <xf numFmtId="49" fontId="0" fillId="0" borderId="54" xfId="0" applyNumberFormat="1" applyBorder="1" applyAlignment="1">
      <alignment horizontal="right" wrapText="1"/>
    </xf>
    <xf numFmtId="49" fontId="0" fillId="0" borderId="50" xfId="0" applyNumberFormat="1" applyBorder="1" applyAlignment="1">
      <alignment horizontal="right" wrapText="1"/>
    </xf>
    <xf numFmtId="14" fontId="0" fillId="0" borderId="0" xfId="0" applyNumberFormat="1" applyAlignment="1">
      <alignment horizontal="center" wrapText="1"/>
    </xf>
    <xf numFmtId="14" fontId="11" fillId="0" borderId="0" xfId="0" applyNumberFormat="1" applyFont="1" applyAlignment="1">
      <alignment horizontal="center" wrapText="1"/>
    </xf>
    <xf numFmtId="167" fontId="11" fillId="0" borderId="0" xfId="0" applyNumberFormat="1" applyFont="1" applyAlignment="1">
      <alignment horizontal="center" wrapText="1"/>
    </xf>
    <xf numFmtId="0" fontId="0" fillId="0" borderId="29" xfId="0" applyBorder="1"/>
    <xf numFmtId="0" fontId="0" fillId="0" borderId="120" xfId="0" applyBorder="1" applyAlignment="1">
      <alignment horizontal="center" wrapText="1"/>
    </xf>
    <xf numFmtId="0" fontId="0" fillId="0" borderId="120" xfId="0" applyBorder="1" applyAlignment="1">
      <alignment horizontal="right" wrapText="1"/>
    </xf>
    <xf numFmtId="0" fontId="11" fillId="0" borderId="36" xfId="0" applyFont="1" applyBorder="1" applyAlignment="1">
      <alignment horizontal="center" wrapText="1"/>
    </xf>
    <xf numFmtId="3" fontId="15" fillId="0" borderId="0" xfId="0" applyNumberFormat="1" applyFont="1" applyAlignment="1">
      <alignment horizontal="right"/>
    </xf>
    <xf numFmtId="3" fontId="0" fillId="0" borderId="0" xfId="0" applyNumberFormat="1" applyAlignment="1">
      <alignment horizontal="right"/>
    </xf>
    <xf numFmtId="1" fontId="45" fillId="0" borderId="0" xfId="0" applyNumberFormat="1" applyFont="1"/>
    <xf numFmtId="1" fontId="0" fillId="9" borderId="1" xfId="0" applyNumberFormat="1" applyFill="1" applyBorder="1" applyAlignment="1">
      <alignment horizontal="right"/>
    </xf>
    <xf numFmtId="1" fontId="45" fillId="0" borderId="4" xfId="0" applyNumberFormat="1" applyFont="1" applyBorder="1"/>
    <xf numFmtId="165" fontId="0" fillId="17" borderId="1" xfId="0" applyNumberFormat="1" applyFill="1" applyBorder="1" applyAlignment="1">
      <alignment horizontal="right"/>
    </xf>
    <xf numFmtId="164" fontId="0" fillId="17" borderId="0" xfId="0" applyNumberFormat="1" applyFill="1" applyAlignment="1">
      <alignment horizontal="right"/>
    </xf>
    <xf numFmtId="0" fontId="60" fillId="0" borderId="8" xfId="0" applyFont="1" applyBorder="1" applyAlignment="1">
      <alignment horizontal="left" vertical="center" wrapText="1"/>
    </xf>
    <xf numFmtId="49" fontId="0" fillId="0" borderId="28" xfId="0" quotePrefix="1" applyNumberFormat="1" applyBorder="1" applyAlignment="1">
      <alignment wrapText="1"/>
    </xf>
    <xf numFmtId="165" fontId="44" fillId="0" borderId="0" xfId="0" applyNumberFormat="1" applyFont="1"/>
    <xf numFmtId="1" fontId="44" fillId="0" borderId="0" xfId="0" applyNumberFormat="1" applyFont="1" applyAlignment="1">
      <alignment wrapText="1"/>
    </xf>
    <xf numFmtId="164" fontId="31" fillId="0" borderId="0" xfId="0" applyNumberFormat="1" applyFont="1" applyAlignment="1">
      <alignment horizontal="left"/>
    </xf>
    <xf numFmtId="165" fontId="9" fillId="0" borderId="0" xfId="0" applyNumberFormat="1" applyFont="1"/>
    <xf numFmtId="14" fontId="3" fillId="0" borderId="3" xfId="0" applyNumberFormat="1" applyFont="1" applyBorder="1" applyAlignment="1">
      <alignment horizontal="center" wrapText="1"/>
    </xf>
    <xf numFmtId="10" fontId="3" fillId="0" borderId="4" xfId="0" applyNumberFormat="1" applyFont="1" applyBorder="1" applyAlignment="1">
      <alignment horizontal="center" wrapText="1"/>
    </xf>
    <xf numFmtId="3" fontId="0" fillId="0" borderId="4" xfId="0" applyNumberFormat="1" applyBorder="1" applyAlignment="1">
      <alignment horizontal="right"/>
    </xf>
    <xf numFmtId="3" fontId="4" fillId="0" borderId="4" xfId="0" applyNumberFormat="1" applyFont="1" applyBorder="1" applyAlignment="1">
      <alignment horizontal="center" wrapText="1"/>
    </xf>
    <xf numFmtId="49" fontId="0" fillId="0" borderId="0" xfId="0" applyNumberFormat="1" applyAlignment="1" applyProtection="1">
      <alignment wrapText="1"/>
      <protection locked="0"/>
    </xf>
    <xf numFmtId="14" fontId="38" fillId="0" borderId="126" xfId="0" applyNumberFormat="1" applyFont="1" applyBorder="1" applyAlignment="1">
      <alignment horizontal="center" wrapText="1"/>
    </xf>
    <xf numFmtId="14" fontId="38" fillId="0" borderId="124" xfId="0" applyNumberFormat="1" applyFont="1" applyBorder="1" applyAlignment="1">
      <alignment horizontal="center" wrapText="1"/>
    </xf>
    <xf numFmtId="14" fontId="38" fillId="0" borderId="125" xfId="0" applyNumberFormat="1" applyFont="1" applyBorder="1" applyAlignment="1">
      <alignment horizontal="center" wrapText="1"/>
    </xf>
    <xf numFmtId="49" fontId="0" fillId="0" borderId="0" xfId="0" applyNumberFormat="1" applyProtection="1">
      <protection locked="0"/>
    </xf>
    <xf numFmtId="0" fontId="0" fillId="0" borderId="0" xfId="0" applyProtection="1">
      <protection locked="0"/>
    </xf>
    <xf numFmtId="49" fontId="0" fillId="0" borderId="0" xfId="0" applyNumberFormat="1" applyAlignment="1" applyProtection="1">
      <alignment horizontal="left" wrapText="1"/>
      <protection locked="0"/>
    </xf>
    <xf numFmtId="14" fontId="0" fillId="0" borderId="0" xfId="0" applyNumberFormat="1" applyAlignment="1" applyProtection="1">
      <alignment wrapText="1"/>
      <protection locked="0"/>
    </xf>
    <xf numFmtId="14" fontId="0" fillId="0" borderId="0" xfId="0" applyNumberFormat="1" applyAlignment="1" applyProtection="1">
      <alignment horizontal="right"/>
      <protection locked="0"/>
    </xf>
    <xf numFmtId="14" fontId="0" fillId="0" borderId="0" xfId="0" applyNumberFormat="1" applyProtection="1">
      <protection locked="0"/>
    </xf>
    <xf numFmtId="1" fontId="15" fillId="0" borderId="0" xfId="0" applyNumberFormat="1" applyFont="1" applyProtection="1">
      <protection locked="0"/>
    </xf>
    <xf numFmtId="14" fontId="0" fillId="0" borderId="0" xfId="0" applyNumberFormat="1" applyAlignment="1" applyProtection="1">
      <alignment horizontal="left"/>
      <protection locked="0"/>
    </xf>
    <xf numFmtId="17" fontId="15" fillId="0" borderId="3" xfId="0" applyNumberFormat="1" applyFont="1" applyBorder="1" applyAlignment="1" applyProtection="1">
      <alignment horizontal="right"/>
      <protection locked="0"/>
    </xf>
    <xf numFmtId="10" fontId="6" fillId="0" borderId="4" xfId="0" applyNumberFormat="1" applyFont="1" applyBorder="1" applyAlignment="1" applyProtection="1">
      <alignment horizontal="right"/>
      <protection locked="0"/>
    </xf>
    <xf numFmtId="165" fontId="0" fillId="0" borderId="0" xfId="0" applyNumberFormat="1" applyAlignment="1" applyProtection="1">
      <alignment horizontal="right"/>
      <protection locked="0"/>
    </xf>
    <xf numFmtId="165" fontId="0" fillId="0" borderId="4" xfId="0" applyNumberFormat="1" applyBorder="1" applyAlignment="1" applyProtection="1">
      <alignment horizontal="right"/>
      <protection locked="0"/>
    </xf>
    <xf numFmtId="3" fontId="0" fillId="0" borderId="0" xfId="0" applyNumberFormat="1" applyAlignment="1" applyProtection="1">
      <alignment horizontal="right"/>
      <protection locked="0"/>
    </xf>
    <xf numFmtId="165" fontId="16" fillId="0" borderId="0" xfId="0" applyNumberFormat="1" applyFont="1" applyAlignment="1" applyProtection="1">
      <alignment horizontal="right"/>
      <protection locked="0"/>
    </xf>
    <xf numFmtId="165" fontId="11" fillId="0" borderId="0" xfId="0" applyNumberFormat="1" applyFont="1" applyAlignment="1" applyProtection="1">
      <alignment horizontal="right"/>
      <protection locked="0"/>
    </xf>
    <xf numFmtId="14" fontId="15" fillId="0" borderId="3" xfId="0" applyNumberFormat="1" applyFont="1" applyBorder="1" applyAlignment="1" applyProtection="1">
      <alignment horizontal="center"/>
      <protection locked="0"/>
    </xf>
    <xf numFmtId="165" fontId="15" fillId="0" borderId="0" xfId="0" applyNumberFormat="1" applyFont="1" applyAlignment="1" applyProtection="1">
      <alignment horizontal="center"/>
      <protection locked="0"/>
    </xf>
    <xf numFmtId="165" fontId="11" fillId="0" borderId="0" xfId="0" applyNumberFormat="1" applyFont="1" applyAlignment="1" applyProtection="1">
      <alignment horizontal="center"/>
      <protection locked="0"/>
    </xf>
    <xf numFmtId="165" fontId="0" fillId="0" borderId="0" xfId="0" applyNumberFormat="1" applyAlignment="1" applyProtection="1">
      <alignment horizontal="center"/>
      <protection locked="0"/>
    </xf>
    <xf numFmtId="14" fontId="15" fillId="0" borderId="0" xfId="0" applyNumberFormat="1" applyFont="1" applyAlignment="1" applyProtection="1">
      <alignment horizontal="center"/>
      <protection locked="0"/>
    </xf>
    <xf numFmtId="44" fontId="15" fillId="0" borderId="126" xfId="0" applyNumberFormat="1" applyFont="1" applyBorder="1" applyAlignment="1" applyProtection="1">
      <alignment horizontal="center"/>
      <protection locked="0"/>
    </xf>
    <xf numFmtId="44" fontId="15" fillId="0" borderId="124" xfId="0" applyNumberFormat="1" applyFont="1" applyBorder="1" applyAlignment="1" applyProtection="1">
      <alignment horizontal="center"/>
      <protection locked="0"/>
    </xf>
    <xf numFmtId="165" fontId="11" fillId="0" borderId="124" xfId="0" applyNumberFormat="1" applyFont="1" applyBorder="1" applyAlignment="1" applyProtection="1">
      <alignment horizontal="center"/>
      <protection locked="0"/>
    </xf>
    <xf numFmtId="10" fontId="15" fillId="0" borderId="125" xfId="0" applyNumberFormat="1" applyFont="1" applyBorder="1" applyAlignment="1" applyProtection="1">
      <alignment horizontal="center"/>
      <protection locked="0"/>
    </xf>
    <xf numFmtId="14" fontId="0" fillId="0" borderId="0" xfId="0" applyNumberFormat="1" applyAlignment="1" applyProtection="1">
      <alignment horizontal="center"/>
      <protection locked="0"/>
    </xf>
    <xf numFmtId="14" fontId="15" fillId="3" borderId="0" xfId="0" applyNumberFormat="1" applyFont="1" applyFill="1" applyAlignment="1" applyProtection="1">
      <alignment horizontal="right"/>
      <protection locked="0"/>
    </xf>
    <xf numFmtId="1" fontId="0" fillId="3" borderId="0" xfId="0" applyNumberFormat="1" applyFill="1" applyAlignment="1" applyProtection="1">
      <alignment horizontal="right"/>
      <protection locked="0"/>
    </xf>
    <xf numFmtId="165" fontId="0" fillId="3" borderId="0" xfId="0" applyNumberFormat="1" applyFill="1" applyAlignment="1" applyProtection="1">
      <alignment horizontal="right"/>
      <protection locked="0"/>
    </xf>
    <xf numFmtId="17" fontId="0" fillId="3" borderId="0" xfId="0" applyNumberFormat="1" applyFill="1" applyAlignment="1" applyProtection="1">
      <alignment horizontal="right"/>
      <protection locked="0"/>
    </xf>
    <xf numFmtId="1" fontId="0" fillId="3" borderId="0" xfId="0" applyNumberFormat="1" applyFill="1" applyProtection="1">
      <protection locked="0"/>
    </xf>
    <xf numFmtId="1" fontId="0" fillId="0" borderId="0" xfId="0" applyNumberFormat="1" applyAlignment="1" applyProtection="1">
      <alignment horizontal="right"/>
      <protection locked="0"/>
    </xf>
    <xf numFmtId="17" fontId="0" fillId="0" borderId="0" xfId="0" applyNumberFormat="1" applyAlignment="1" applyProtection="1">
      <alignment horizontal="right"/>
      <protection locked="0"/>
    </xf>
    <xf numFmtId="1" fontId="44" fillId="0" borderId="0" xfId="0" applyNumberFormat="1" applyFont="1" applyProtection="1">
      <protection locked="0"/>
    </xf>
    <xf numFmtId="165" fontId="44" fillId="0" borderId="4" xfId="0" applyNumberFormat="1" applyFont="1" applyBorder="1" applyProtection="1">
      <protection locked="0"/>
    </xf>
    <xf numFmtId="17" fontId="19" fillId="0" borderId="0" xfId="0" applyNumberFormat="1" applyFont="1" applyAlignment="1" applyProtection="1">
      <alignment horizontal="left"/>
      <protection locked="0"/>
    </xf>
    <xf numFmtId="1" fontId="31" fillId="0" borderId="0" xfId="0" applyNumberFormat="1" applyFont="1" applyAlignment="1" applyProtection="1">
      <alignment horizontal="left"/>
      <protection locked="0"/>
    </xf>
    <xf numFmtId="165" fontId="31" fillId="0" borderId="0" xfId="0" applyNumberFormat="1" applyFont="1" applyAlignment="1" applyProtection="1">
      <alignment horizontal="left"/>
      <protection locked="0"/>
    </xf>
    <xf numFmtId="14" fontId="31" fillId="0" borderId="0" xfId="0" applyNumberFormat="1" applyFont="1" applyAlignment="1" applyProtection="1">
      <alignment horizontal="left"/>
      <protection locked="0"/>
    </xf>
    <xf numFmtId="3" fontId="31" fillId="0" borderId="0" xfId="0" applyNumberFormat="1" applyFont="1" applyAlignment="1" applyProtection="1">
      <alignment horizontal="center"/>
      <protection locked="0"/>
    </xf>
    <xf numFmtId="0" fontId="31" fillId="0" borderId="4" xfId="0" applyFont="1" applyBorder="1" applyAlignment="1" applyProtection="1">
      <alignment horizontal="left"/>
      <protection locked="0"/>
    </xf>
    <xf numFmtId="14" fontId="15" fillId="0" borderId="0" xfId="0" applyNumberFormat="1" applyFont="1" applyAlignment="1" applyProtection="1">
      <alignment horizontal="right"/>
      <protection locked="0"/>
    </xf>
    <xf numFmtId="1" fontId="0" fillId="0" borderId="0" xfId="0" applyNumberFormat="1" applyProtection="1">
      <protection locked="0"/>
    </xf>
    <xf numFmtId="10" fontId="12" fillId="0" borderId="4" xfId="0" applyNumberFormat="1" applyFont="1" applyBorder="1" applyAlignment="1" applyProtection="1">
      <alignment horizontal="right"/>
      <protection locked="0"/>
    </xf>
    <xf numFmtId="14" fontId="0" fillId="7" borderId="126" xfId="0" applyNumberFormat="1" applyFill="1" applyBorder="1" applyAlignment="1" applyProtection="1">
      <alignment horizontal="center"/>
      <protection locked="0"/>
    </xf>
    <xf numFmtId="14" fontId="0" fillId="7" borderId="124" xfId="0" applyNumberFormat="1" applyFill="1" applyBorder="1" applyAlignment="1" applyProtection="1">
      <alignment horizontal="center"/>
      <protection locked="0"/>
    </xf>
    <xf numFmtId="10" fontId="0" fillId="7" borderId="125" xfId="0" applyNumberFormat="1" applyFill="1" applyBorder="1" applyAlignment="1" applyProtection="1">
      <alignment horizontal="center"/>
      <protection locked="0"/>
    </xf>
    <xf numFmtId="14" fontId="18" fillId="7" borderId="0" xfId="0" applyNumberFormat="1" applyFont="1" applyFill="1" applyAlignment="1" applyProtection="1">
      <alignment horizontal="right"/>
      <protection locked="0"/>
    </xf>
    <xf numFmtId="1" fontId="0" fillId="7" borderId="0" xfId="0" applyNumberFormat="1" applyFill="1" applyAlignment="1" applyProtection="1">
      <alignment horizontal="right"/>
      <protection locked="0"/>
    </xf>
    <xf numFmtId="165" fontId="0" fillId="7" borderId="0" xfId="0" applyNumberFormat="1" applyFill="1" applyAlignment="1" applyProtection="1">
      <alignment horizontal="right"/>
      <protection locked="0"/>
    </xf>
    <xf numFmtId="165" fontId="0" fillId="7" borderId="0" xfId="0" applyNumberFormat="1" applyFill="1" applyAlignment="1" applyProtection="1">
      <alignment horizontal="left"/>
      <protection locked="0"/>
    </xf>
    <xf numFmtId="14" fontId="44" fillId="0" borderId="4" xfId="0" applyNumberFormat="1" applyFont="1" applyBorder="1" applyProtection="1">
      <protection locked="0"/>
    </xf>
    <xf numFmtId="3" fontId="19" fillId="0" borderId="0" xfId="0" applyNumberFormat="1" applyFont="1" applyAlignment="1" applyProtection="1">
      <alignment horizontal="center"/>
      <protection locked="0"/>
    </xf>
    <xf numFmtId="14" fontId="44" fillId="0" borderId="4" xfId="0" applyNumberFormat="1" applyFont="1" applyBorder="1" applyAlignment="1" applyProtection="1">
      <alignment wrapText="1"/>
      <protection locked="0"/>
    </xf>
    <xf numFmtId="49" fontId="15" fillId="0" borderId="0" xfId="0" applyNumberFormat="1" applyFont="1" applyProtection="1">
      <protection locked="0"/>
    </xf>
    <xf numFmtId="14" fontId="15" fillId="0" borderId="0" xfId="0" applyNumberFormat="1" applyFont="1" applyProtection="1">
      <protection locked="0"/>
    </xf>
    <xf numFmtId="165" fontId="12" fillId="0" borderId="4" xfId="0" applyNumberFormat="1" applyFont="1" applyBorder="1" applyAlignment="1" applyProtection="1">
      <alignment horizontal="right"/>
      <protection locked="0"/>
    </xf>
    <xf numFmtId="165" fontId="15" fillId="0" borderId="4" xfId="0" applyNumberFormat="1" applyFont="1" applyBorder="1" applyAlignment="1" applyProtection="1">
      <alignment horizontal="right"/>
      <protection locked="0"/>
    </xf>
    <xf numFmtId="165" fontId="15" fillId="0" borderId="0" xfId="0" applyNumberFormat="1" applyFont="1" applyAlignment="1" applyProtection="1">
      <alignment horizontal="right"/>
      <protection locked="0"/>
    </xf>
    <xf numFmtId="14" fontId="11" fillId="7" borderId="0" xfId="0" applyNumberFormat="1" applyFont="1" applyFill="1" applyAlignment="1" applyProtection="1">
      <alignment horizontal="center"/>
      <protection locked="0"/>
    </xf>
    <xf numFmtId="3" fontId="31" fillId="7" borderId="0" xfId="0" applyNumberFormat="1" applyFont="1" applyFill="1" applyAlignment="1" applyProtection="1">
      <alignment horizontal="center"/>
      <protection locked="0"/>
    </xf>
    <xf numFmtId="8" fontId="15" fillId="0" borderId="124" xfId="0" applyNumberFormat="1" applyFont="1" applyBorder="1" applyAlignment="1" applyProtection="1">
      <alignment horizontal="right"/>
      <protection locked="0"/>
    </xf>
    <xf numFmtId="0" fontId="0" fillId="0" borderId="0" xfId="0" applyAlignment="1" applyProtection="1">
      <alignment horizontal="left"/>
      <protection locked="0"/>
    </xf>
    <xf numFmtId="14" fontId="11" fillId="0" borderId="0" xfId="0" applyNumberFormat="1" applyFont="1" applyAlignment="1" applyProtection="1">
      <alignment horizontal="center"/>
      <protection locked="0"/>
    </xf>
    <xf numFmtId="165" fontId="15" fillId="0" borderId="124" xfId="0" applyNumberFormat="1" applyFont="1" applyBorder="1" applyAlignment="1" applyProtection="1">
      <alignment horizontal="center"/>
      <protection locked="0"/>
    </xf>
    <xf numFmtId="14" fontId="0" fillId="0" borderId="4" xfId="0" applyNumberFormat="1" applyBorder="1" applyAlignment="1" applyProtection="1">
      <alignment horizontal="left"/>
      <protection locked="0"/>
    </xf>
    <xf numFmtId="0" fontId="31" fillId="0" borderId="0" xfId="0" applyFont="1" applyAlignment="1" applyProtection="1">
      <alignment horizontal="left"/>
      <protection locked="0"/>
    </xf>
    <xf numFmtId="3" fontId="43" fillId="0" borderId="0" xfId="0" applyNumberFormat="1" applyFont="1" applyAlignment="1" applyProtection="1">
      <alignment horizontal="center"/>
      <protection locked="0"/>
    </xf>
    <xf numFmtId="14" fontId="11" fillId="0" borderId="0" xfId="0" applyNumberFormat="1" applyFont="1" applyAlignment="1" applyProtection="1">
      <alignment horizontal="right"/>
      <protection locked="0"/>
    </xf>
    <xf numFmtId="165" fontId="0" fillId="0" borderId="0" xfId="0" applyNumberFormat="1" applyProtection="1">
      <protection locked="0"/>
    </xf>
    <xf numFmtId="165" fontId="0" fillId="0" borderId="126" xfId="0" applyNumberFormat="1" applyBorder="1" applyAlignment="1" applyProtection="1">
      <alignment horizontal="right"/>
      <protection locked="0"/>
    </xf>
    <xf numFmtId="165" fontId="0" fillId="0" borderId="124" xfId="0" applyNumberFormat="1" applyBorder="1" applyAlignment="1" applyProtection="1">
      <alignment horizontal="right"/>
      <protection locked="0"/>
    </xf>
    <xf numFmtId="1" fontId="46" fillId="0" borderId="4" xfId="0" applyNumberFormat="1" applyFont="1" applyBorder="1" applyProtection="1">
      <protection locked="0"/>
    </xf>
    <xf numFmtId="17" fontId="56" fillId="0" borderId="0" xfId="0" applyNumberFormat="1" applyFont="1" applyAlignment="1" applyProtection="1">
      <alignment horizontal="left"/>
      <protection locked="0"/>
    </xf>
    <xf numFmtId="1" fontId="57" fillId="0" borderId="0" xfId="0" applyNumberFormat="1" applyFont="1" applyAlignment="1" applyProtection="1">
      <alignment horizontal="left"/>
      <protection locked="0"/>
    </xf>
    <xf numFmtId="165" fontId="57" fillId="0" borderId="0" xfId="0" applyNumberFormat="1" applyFont="1" applyAlignment="1" applyProtection="1">
      <alignment horizontal="left"/>
      <protection locked="0"/>
    </xf>
    <xf numFmtId="14" fontId="57" fillId="0" borderId="0" xfId="0" applyNumberFormat="1" applyFont="1" applyAlignment="1" applyProtection="1">
      <alignment horizontal="left"/>
      <protection locked="0"/>
    </xf>
    <xf numFmtId="1" fontId="44" fillId="0" borderId="0" xfId="0" applyNumberFormat="1" applyFont="1" applyAlignment="1" applyProtection="1">
      <alignment wrapText="1"/>
      <protection locked="0"/>
    </xf>
    <xf numFmtId="164" fontId="31" fillId="0" borderId="4" xfId="0" applyNumberFormat="1" applyFont="1" applyBorder="1" applyAlignment="1" applyProtection="1">
      <alignment horizontal="left" wrapText="1"/>
      <protection locked="0"/>
    </xf>
    <xf numFmtId="14" fontId="30" fillId="10" borderId="0" xfId="0" applyNumberFormat="1" applyFont="1" applyFill="1" applyAlignment="1" applyProtection="1">
      <alignment horizontal="right"/>
      <protection locked="0"/>
    </xf>
    <xf numFmtId="165" fontId="15" fillId="6" borderId="0" xfId="0" applyNumberFormat="1" applyFont="1" applyFill="1" applyAlignment="1" applyProtection="1">
      <alignment horizontal="right"/>
      <protection locked="0"/>
    </xf>
    <xf numFmtId="14" fontId="0" fillId="0" borderId="3" xfId="0" applyNumberFormat="1" applyBorder="1" applyAlignment="1" applyProtection="1">
      <alignment horizontal="center"/>
      <protection locked="0"/>
    </xf>
    <xf numFmtId="49" fontId="11" fillId="0" borderId="0" xfId="0" applyNumberFormat="1" applyFont="1" applyProtection="1">
      <protection locked="0"/>
    </xf>
    <xf numFmtId="4" fontId="13" fillId="0" borderId="124" xfId="0" applyNumberFormat="1" applyFont="1" applyBorder="1" applyProtection="1">
      <protection locked="0"/>
    </xf>
    <xf numFmtId="165" fontId="0" fillId="17" borderId="124" xfId="0" applyNumberFormat="1" applyFill="1" applyBorder="1" applyAlignment="1" applyProtection="1">
      <alignment horizontal="right"/>
      <protection locked="0"/>
    </xf>
    <xf numFmtId="164" fontId="31" fillId="0" borderId="4" xfId="0" applyNumberFormat="1" applyFont="1" applyBorder="1" applyAlignment="1" applyProtection="1">
      <alignment horizontal="left"/>
      <protection locked="0"/>
    </xf>
    <xf numFmtId="0" fontId="0" fillId="0" borderId="0" xfId="0" applyAlignment="1" applyProtection="1">
      <alignment horizontal="right"/>
      <protection locked="0"/>
    </xf>
    <xf numFmtId="165" fontId="15" fillId="0" borderId="125" xfId="0" applyNumberFormat="1" applyFont="1" applyBorder="1" applyAlignment="1" applyProtection="1">
      <alignment horizontal="center"/>
      <protection locked="0"/>
    </xf>
    <xf numFmtId="0" fontId="0" fillId="0" borderId="0" xfId="0" applyAlignment="1" applyProtection="1">
      <alignment wrapText="1"/>
      <protection locked="0"/>
    </xf>
    <xf numFmtId="0" fontId="0" fillId="0" borderId="0" xfId="0" applyAlignment="1" applyProtection="1">
      <alignment horizontal="right" wrapText="1"/>
      <protection locked="0"/>
    </xf>
    <xf numFmtId="3" fontId="31" fillId="7" borderId="4" xfId="0" applyNumberFormat="1" applyFont="1" applyFill="1" applyBorder="1" applyAlignment="1" applyProtection="1">
      <alignment horizontal="center"/>
      <protection locked="0"/>
    </xf>
    <xf numFmtId="1" fontId="45" fillId="0" borderId="0" xfId="0" applyNumberFormat="1" applyFont="1" applyProtection="1">
      <protection locked="0"/>
    </xf>
    <xf numFmtId="14" fontId="0" fillId="0" borderId="126" xfId="0" applyNumberFormat="1" applyBorder="1" applyAlignment="1" applyProtection="1">
      <alignment horizontal="center"/>
      <protection locked="0"/>
    </xf>
    <xf numFmtId="14" fontId="0" fillId="0" borderId="124" xfId="0" applyNumberFormat="1" applyBorder="1" applyAlignment="1" applyProtection="1">
      <alignment horizontal="center"/>
      <protection locked="0"/>
    </xf>
    <xf numFmtId="10" fontId="0" fillId="0" borderId="125" xfId="0" applyNumberFormat="1" applyBorder="1" applyAlignment="1" applyProtection="1">
      <alignment horizontal="center"/>
      <protection locked="0"/>
    </xf>
    <xf numFmtId="44" fontId="15" fillId="10" borderId="126" xfId="0" applyNumberFormat="1" applyFont="1" applyFill="1" applyBorder="1" applyAlignment="1" applyProtection="1">
      <alignment horizontal="center"/>
      <protection locked="0"/>
    </xf>
    <xf numFmtId="44" fontId="15" fillId="10" borderId="124" xfId="0" applyNumberFormat="1" applyFont="1" applyFill="1" applyBorder="1" applyAlignment="1" applyProtection="1">
      <alignment horizontal="center"/>
      <protection locked="0"/>
    </xf>
    <xf numFmtId="165" fontId="11" fillId="10" borderId="124" xfId="0" applyNumberFormat="1" applyFont="1" applyFill="1" applyBorder="1" applyAlignment="1" applyProtection="1">
      <alignment horizontal="center"/>
      <protection locked="0"/>
    </xf>
    <xf numFmtId="8" fontId="59" fillId="0" borderId="0" xfId="0" applyNumberFormat="1" applyFont="1" applyProtection="1">
      <protection locked="0"/>
    </xf>
    <xf numFmtId="14" fontId="57" fillId="0" borderId="0" xfId="0" quotePrefix="1" applyNumberFormat="1" applyFont="1" applyAlignment="1" applyProtection="1">
      <alignment horizontal="left"/>
      <protection locked="0"/>
    </xf>
    <xf numFmtId="14" fontId="0" fillId="0" borderId="0" xfId="0" applyNumberFormat="1" applyAlignment="1" applyProtection="1">
      <alignment horizontal="right" wrapText="1"/>
      <protection locked="0"/>
    </xf>
    <xf numFmtId="165" fontId="15" fillId="0" borderId="4" xfId="1" applyNumberFormat="1" applyFont="1" applyFill="1" applyBorder="1" applyAlignment="1" applyProtection="1">
      <alignment horizontal="right"/>
      <protection locked="0"/>
    </xf>
    <xf numFmtId="49" fontId="0" fillId="0" borderId="0" xfId="0" applyNumberFormat="1" applyAlignment="1" applyProtection="1">
      <alignment horizontal="left"/>
      <protection locked="0"/>
    </xf>
    <xf numFmtId="3" fontId="31" fillId="14" borderId="0" xfId="0" applyNumberFormat="1" applyFont="1" applyFill="1" applyAlignment="1" applyProtection="1">
      <alignment horizontal="center"/>
      <protection locked="0"/>
    </xf>
    <xf numFmtId="3" fontId="19" fillId="14" borderId="0" xfId="0" applyNumberFormat="1" applyFont="1" applyFill="1" applyAlignment="1" applyProtection="1">
      <alignment horizontal="center"/>
      <protection locked="0"/>
    </xf>
    <xf numFmtId="3" fontId="43" fillId="14" borderId="0" xfId="0" applyNumberFormat="1" applyFont="1" applyFill="1" applyAlignment="1" applyProtection="1">
      <alignment horizontal="center"/>
      <protection locked="0"/>
    </xf>
    <xf numFmtId="3" fontId="50" fillId="14" borderId="0" xfId="0" applyNumberFormat="1" applyFont="1" applyFill="1" applyAlignment="1" applyProtection="1">
      <alignment horizontal="center"/>
      <protection locked="0"/>
    </xf>
    <xf numFmtId="0" fontId="31" fillId="14" borderId="4" xfId="0" applyFont="1" applyFill="1" applyBorder="1" applyAlignment="1" applyProtection="1">
      <alignment horizontal="left"/>
      <protection locked="0"/>
    </xf>
    <xf numFmtId="14" fontId="0" fillId="0" borderId="0" xfId="0" applyNumberFormat="1" applyAlignment="1" applyProtection="1">
      <alignment horizontal="center" wrapText="1"/>
      <protection locked="0"/>
    </xf>
    <xf numFmtId="14" fontId="11" fillId="0" borderId="0" xfId="0" applyNumberFormat="1" applyFont="1" applyAlignment="1" applyProtection="1">
      <alignment vertical="top"/>
      <protection locked="0"/>
    </xf>
    <xf numFmtId="14" fontId="0" fillId="7" borderId="125" xfId="0" applyNumberFormat="1" applyFill="1" applyBorder="1" applyAlignment="1" applyProtection="1">
      <alignment horizontal="center"/>
      <protection locked="0"/>
    </xf>
    <xf numFmtId="14" fontId="43" fillId="0" borderId="0" xfId="0" applyNumberFormat="1" applyFont="1" applyAlignment="1" applyProtection="1">
      <alignment horizontal="left"/>
      <protection locked="0"/>
    </xf>
    <xf numFmtId="0" fontId="43" fillId="0" borderId="0" xfId="0" applyFont="1" applyAlignment="1" applyProtection="1">
      <alignment horizontal="left"/>
      <protection locked="0"/>
    </xf>
    <xf numFmtId="165" fontId="44" fillId="0" borderId="4" xfId="0" applyNumberFormat="1" applyFont="1" applyBorder="1" applyAlignment="1" applyProtection="1">
      <alignment wrapText="1"/>
      <protection locked="0"/>
    </xf>
    <xf numFmtId="8" fontId="0" fillId="0" borderId="124" xfId="0" applyNumberFormat="1" applyBorder="1" applyProtection="1">
      <protection locked="0"/>
    </xf>
    <xf numFmtId="14" fontId="15" fillId="2" borderId="3" xfId="0" applyNumberFormat="1" applyFont="1" applyFill="1" applyBorder="1" applyAlignment="1" applyProtection="1">
      <alignment horizontal="center"/>
      <protection locked="0"/>
    </xf>
    <xf numFmtId="3" fontId="57" fillId="0" borderId="0" xfId="0" applyNumberFormat="1" applyFont="1" applyAlignment="1" applyProtection="1">
      <alignment horizontal="center"/>
      <protection locked="0"/>
    </xf>
    <xf numFmtId="14" fontId="11" fillId="0" borderId="0" xfId="0" applyNumberFormat="1" applyFont="1" applyAlignment="1" applyProtection="1">
      <alignment wrapText="1"/>
      <protection locked="0"/>
    </xf>
    <xf numFmtId="165" fontId="0" fillId="0" borderId="6" xfId="0" applyNumberFormat="1" applyBorder="1" applyAlignment="1" applyProtection="1">
      <alignment horizontal="right"/>
      <protection locked="0"/>
    </xf>
    <xf numFmtId="14" fontId="15" fillId="10" borderId="0" xfId="0" applyNumberFormat="1" applyFont="1" applyFill="1" applyAlignment="1" applyProtection="1">
      <alignment horizontal="center"/>
      <protection locked="0"/>
    </xf>
    <xf numFmtId="14" fontId="11" fillId="0" borderId="3" xfId="0" applyNumberFormat="1" applyFont="1" applyBorder="1" applyAlignment="1" applyProtection="1">
      <alignment horizontal="center" wrapText="1"/>
      <protection locked="0"/>
    </xf>
    <xf numFmtId="14" fontId="11" fillId="0" borderId="0" xfId="0" applyNumberFormat="1" applyFont="1" applyAlignment="1" applyProtection="1">
      <alignment horizontal="center" wrapText="1"/>
      <protection locked="0"/>
    </xf>
    <xf numFmtId="164" fontId="57" fillId="0" borderId="4" xfId="0" applyNumberFormat="1" applyFont="1" applyBorder="1" applyAlignment="1" applyProtection="1">
      <alignment horizontal="left"/>
      <protection locked="0"/>
    </xf>
    <xf numFmtId="1" fontId="44" fillId="0" borderId="4" xfId="0" applyNumberFormat="1" applyFont="1" applyBorder="1" applyAlignment="1" applyProtection="1">
      <alignment wrapText="1"/>
      <protection locked="0"/>
    </xf>
    <xf numFmtId="165" fontId="19" fillId="0" borderId="0" xfId="0" applyNumberFormat="1" applyFont="1" applyAlignment="1" applyProtection="1">
      <alignment horizontal="left"/>
      <protection locked="0"/>
    </xf>
    <xf numFmtId="14" fontId="31" fillId="0" borderId="0" xfId="0" applyNumberFormat="1" applyFont="1" applyAlignment="1" applyProtection="1">
      <alignment horizontal="left" wrapText="1"/>
      <protection locked="0"/>
    </xf>
    <xf numFmtId="44" fontId="15" fillId="0" borderId="124" xfId="0" applyNumberFormat="1" applyFont="1" applyBorder="1" applyAlignment="1" applyProtection="1">
      <alignment horizontal="center" wrapText="1"/>
      <protection locked="0"/>
    </xf>
    <xf numFmtId="17" fontId="19" fillId="0" borderId="4" xfId="0" applyNumberFormat="1" applyFont="1" applyBorder="1" applyAlignment="1" applyProtection="1">
      <alignment horizontal="left" wrapText="1"/>
      <protection locked="0"/>
    </xf>
    <xf numFmtId="10" fontId="12" fillId="0" borderId="4" xfId="0" applyNumberFormat="1" applyFont="1" applyBorder="1" applyAlignment="1" applyProtection="1">
      <alignment horizontal="right" wrapText="1"/>
      <protection locked="0"/>
    </xf>
    <xf numFmtId="0" fontId="31" fillId="0" borderId="4" xfId="0" applyFont="1" applyBorder="1" applyAlignment="1" applyProtection="1">
      <alignment horizontal="left" wrapText="1"/>
      <protection locked="0"/>
    </xf>
    <xf numFmtId="165" fontId="11" fillId="10" borderId="0" xfId="0" applyNumberFormat="1" applyFont="1" applyFill="1" applyAlignment="1" applyProtection="1">
      <alignment horizontal="center"/>
      <protection locked="0"/>
    </xf>
    <xf numFmtId="14" fontId="9" fillId="0" borderId="124" xfId="0" applyNumberFormat="1" applyFont="1" applyBorder="1" applyAlignment="1" applyProtection="1">
      <alignment horizontal="center"/>
      <protection locked="0"/>
    </xf>
    <xf numFmtId="14" fontId="15" fillId="0" borderId="124" xfId="0" applyNumberFormat="1" applyFont="1" applyBorder="1" applyAlignment="1" applyProtection="1">
      <alignment horizontal="center"/>
      <protection locked="0"/>
    </xf>
    <xf numFmtId="17" fontId="19" fillId="0" borderId="4" xfId="0" applyNumberFormat="1" applyFont="1" applyBorder="1" applyAlignment="1" applyProtection="1">
      <alignment horizontal="left"/>
      <protection locked="0"/>
    </xf>
    <xf numFmtId="14" fontId="9" fillId="0" borderId="126" xfId="0" applyNumberFormat="1" applyFont="1" applyBorder="1" applyAlignment="1" applyProtection="1">
      <alignment horizontal="center"/>
      <protection locked="0"/>
    </xf>
    <xf numFmtId="14" fontId="0" fillId="0" borderId="0" xfId="0" applyNumberFormat="1" applyAlignment="1" applyProtection="1">
      <alignment vertical="top" wrapText="1"/>
      <protection locked="0"/>
    </xf>
    <xf numFmtId="8" fontId="61" fillId="0" borderId="0" xfId="0" applyNumberFormat="1" applyFont="1" applyProtection="1">
      <protection locked="0"/>
    </xf>
    <xf numFmtId="14" fontId="30" fillId="10" borderId="0" xfId="0" applyNumberFormat="1" applyFont="1" applyFill="1" applyAlignment="1" applyProtection="1">
      <alignment wrapText="1"/>
      <protection locked="0"/>
    </xf>
    <xf numFmtId="165" fontId="0" fillId="2" borderId="0" xfId="0" applyNumberFormat="1" applyFill="1" applyAlignment="1" applyProtection="1">
      <alignment horizontal="right"/>
      <protection locked="0"/>
    </xf>
    <xf numFmtId="165" fontId="11" fillId="2" borderId="0" xfId="0" applyNumberFormat="1" applyFont="1" applyFill="1" applyAlignment="1" applyProtection="1">
      <alignment horizontal="center"/>
      <protection locked="0"/>
    </xf>
    <xf numFmtId="1" fontId="0" fillId="7" borderId="0" xfId="0" quotePrefix="1" applyNumberFormat="1" applyFill="1" applyAlignment="1" applyProtection="1">
      <alignment horizontal="right"/>
      <protection locked="0"/>
    </xf>
    <xf numFmtId="0" fontId="0" fillId="0" borderId="0" xfId="0" applyAlignment="1" applyProtection="1">
      <alignment horizontal="left" wrapText="1"/>
      <protection locked="0"/>
    </xf>
    <xf numFmtId="165" fontId="9" fillId="0" borderId="0" xfId="0" applyNumberFormat="1" applyFont="1" applyAlignment="1" applyProtection="1">
      <alignment horizontal="center"/>
      <protection locked="0"/>
    </xf>
    <xf numFmtId="165" fontId="0" fillId="0" borderId="0" xfId="0" applyNumberFormat="1" applyAlignment="1" applyProtection="1">
      <alignment horizontal="left"/>
      <protection locked="0"/>
    </xf>
    <xf numFmtId="3" fontId="0" fillId="0" borderId="6" xfId="0" applyNumberFormat="1" applyBorder="1" applyAlignment="1" applyProtection="1">
      <alignment horizontal="right"/>
      <protection locked="0"/>
    </xf>
    <xf numFmtId="1" fontId="0" fillId="0" borderId="6" xfId="0" applyNumberFormat="1" applyBorder="1" applyProtection="1">
      <protection locked="0"/>
    </xf>
    <xf numFmtId="165" fontId="31" fillId="0" borderId="6" xfId="0" applyNumberFormat="1" applyFont="1" applyBorder="1" applyAlignment="1" applyProtection="1">
      <alignment horizontal="left"/>
      <protection locked="0"/>
    </xf>
    <xf numFmtId="0" fontId="11" fillId="0" borderId="0" xfId="0" applyFont="1"/>
    <xf numFmtId="17" fontId="0" fillId="0" borderId="3" xfId="0" applyNumberFormat="1" applyBorder="1" applyAlignment="1">
      <alignment horizontal="right"/>
    </xf>
    <xf numFmtId="10" fontId="6" fillId="0" borderId="4" xfId="0" applyNumberFormat="1" applyFont="1" applyBorder="1" applyAlignment="1">
      <alignment horizontal="right"/>
    </xf>
    <xf numFmtId="165" fontId="0" fillId="0" borderId="4" xfId="0" applyNumberFormat="1" applyBorder="1"/>
    <xf numFmtId="14" fontId="0" fillId="7" borderId="126" xfId="0" applyNumberFormat="1" applyFill="1" applyBorder="1" applyAlignment="1">
      <alignment horizontal="center"/>
    </xf>
    <xf numFmtId="14" fontId="0" fillId="7" borderId="124" xfId="0" applyNumberFormat="1" applyFill="1" applyBorder="1" applyAlignment="1">
      <alignment horizontal="center"/>
    </xf>
    <xf numFmtId="10" fontId="0" fillId="7" borderId="125" xfId="0" applyNumberFormat="1" applyFill="1" applyBorder="1" applyAlignment="1">
      <alignment horizontal="center"/>
    </xf>
    <xf numFmtId="1" fontId="44" fillId="0" borderId="0" xfId="0" applyNumberFormat="1" applyFont="1"/>
    <xf numFmtId="3" fontId="31" fillId="14" borderId="0" xfId="0" applyNumberFormat="1" applyFont="1" applyFill="1" applyAlignment="1">
      <alignment horizontal="center"/>
    </xf>
    <xf numFmtId="14" fontId="7" fillId="0" borderId="0" xfId="0" applyNumberFormat="1" applyFont="1"/>
    <xf numFmtId="10" fontId="16" fillId="0" borderId="4" xfId="0" applyNumberFormat="1" applyFont="1" applyBorder="1" applyAlignment="1">
      <alignment horizontal="right"/>
    </xf>
    <xf numFmtId="17" fontId="0" fillId="0" borderId="0" xfId="0" applyNumberFormat="1" applyAlignment="1">
      <alignment horizontal="right"/>
    </xf>
    <xf numFmtId="14" fontId="15" fillId="7" borderId="126" xfId="0" applyNumberFormat="1" applyFont="1" applyFill="1" applyBorder="1" applyAlignment="1">
      <alignment horizontal="center"/>
    </xf>
    <xf numFmtId="14" fontId="15" fillId="7" borderId="124" xfId="0" applyNumberFormat="1" applyFont="1" applyFill="1" applyBorder="1" applyAlignment="1">
      <alignment horizontal="center"/>
    </xf>
    <xf numFmtId="10" fontId="15" fillId="7" borderId="125" xfId="0" applyNumberFormat="1" applyFont="1" applyFill="1" applyBorder="1" applyAlignment="1">
      <alignment horizontal="center"/>
    </xf>
    <xf numFmtId="10" fontId="12" fillId="0" borderId="4" xfId="0" applyNumberFormat="1" applyFont="1" applyBorder="1" applyAlignment="1">
      <alignment horizontal="right"/>
    </xf>
    <xf numFmtId="165" fontId="9" fillId="7" borderId="0" xfId="0" applyNumberFormat="1" applyFont="1" applyFill="1" applyAlignment="1">
      <alignment horizontal="center"/>
    </xf>
    <xf numFmtId="14" fontId="9" fillId="7" borderId="0" xfId="0" applyNumberFormat="1" applyFont="1" applyFill="1" applyAlignment="1">
      <alignment horizontal="center"/>
    </xf>
    <xf numFmtId="14" fontId="9" fillId="7" borderId="126" xfId="0" applyNumberFormat="1" applyFont="1" applyFill="1" applyBorder="1" applyAlignment="1">
      <alignment horizontal="center"/>
    </xf>
    <xf numFmtId="14" fontId="9" fillId="7" borderId="124" xfId="0" applyNumberFormat="1" applyFont="1" applyFill="1" applyBorder="1" applyAlignment="1">
      <alignment horizontal="center"/>
    </xf>
    <xf numFmtId="10" fontId="9" fillId="7" borderId="125" xfId="0" applyNumberFormat="1" applyFont="1" applyFill="1" applyBorder="1" applyAlignment="1">
      <alignment horizontal="center"/>
    </xf>
    <xf numFmtId="17" fontId="44" fillId="0" borderId="4" xfId="0" applyNumberFormat="1" applyFont="1" applyBorder="1"/>
    <xf numFmtId="17" fontId="31" fillId="0" borderId="0" xfId="0" applyNumberFormat="1" applyFont="1" applyAlignment="1">
      <alignment horizontal="left"/>
    </xf>
    <xf numFmtId="14" fontId="11" fillId="7" borderId="126" xfId="0" applyNumberFormat="1" applyFont="1" applyFill="1" applyBorder="1" applyAlignment="1">
      <alignment horizontal="center"/>
    </xf>
    <xf numFmtId="14" fontId="11" fillId="7" borderId="124" xfId="0" applyNumberFormat="1" applyFont="1" applyFill="1" applyBorder="1" applyAlignment="1">
      <alignment horizontal="center"/>
    </xf>
    <xf numFmtId="10" fontId="11" fillId="7" borderId="125" xfId="0" applyNumberFormat="1" applyFont="1" applyFill="1" applyBorder="1" applyAlignment="1">
      <alignment horizontal="center"/>
    </xf>
    <xf numFmtId="17" fontId="0" fillId="0" borderId="0" xfId="0" applyNumberFormat="1"/>
    <xf numFmtId="164" fontId="44" fillId="0" borderId="4" xfId="0" applyNumberFormat="1" applyFont="1" applyBorder="1"/>
    <xf numFmtId="14" fontId="6" fillId="0" borderId="0" xfId="0" applyNumberFormat="1" applyFont="1" applyAlignment="1">
      <alignment horizontal="right"/>
    </xf>
    <xf numFmtId="165" fontId="20" fillId="0" borderId="4" xfId="0" applyNumberFormat="1" applyFont="1" applyBorder="1" applyAlignment="1">
      <alignment horizontal="right"/>
    </xf>
    <xf numFmtId="1" fontId="0" fillId="0" borderId="0" xfId="0" applyNumberFormat="1" applyAlignment="1">
      <alignment horizontal="left"/>
    </xf>
    <xf numFmtId="17" fontId="11" fillId="0" borderId="3" xfId="0" applyNumberFormat="1" applyFont="1" applyBorder="1" applyAlignment="1">
      <alignment horizontal="right"/>
    </xf>
    <xf numFmtId="14" fontId="15" fillId="0" borderId="0" xfId="0" applyNumberFormat="1" applyFont="1" applyAlignment="1">
      <alignment horizontal="left"/>
    </xf>
    <xf numFmtId="165" fontId="9" fillId="0" borderId="4" xfId="0" applyNumberFormat="1" applyFont="1" applyBorder="1" applyAlignment="1">
      <alignment horizontal="right"/>
    </xf>
    <xf numFmtId="17" fontId="6" fillId="0" borderId="3" xfId="0" applyNumberFormat="1" applyFont="1" applyBorder="1" applyAlignment="1">
      <alignment horizontal="right"/>
    </xf>
    <xf numFmtId="17" fontId="16" fillId="0" borderId="3" xfId="0" applyNumberFormat="1" applyFont="1" applyBorder="1" applyAlignment="1">
      <alignment horizontal="right"/>
    </xf>
    <xf numFmtId="17" fontId="15" fillId="0" borderId="3" xfId="0" applyNumberFormat="1" applyFont="1" applyBorder="1" applyAlignment="1">
      <alignment horizontal="right"/>
    </xf>
    <xf numFmtId="165" fontId="16" fillId="0" borderId="4" xfId="0" applyNumberFormat="1" applyFont="1" applyBorder="1" applyAlignment="1">
      <alignment horizontal="right"/>
    </xf>
    <xf numFmtId="0" fontId="52" fillId="16" borderId="0" xfId="0" applyFont="1" applyFill="1" applyAlignment="1">
      <alignment horizontal="center"/>
    </xf>
    <xf numFmtId="0" fontId="52" fillId="0" borderId="0" xfId="0" applyFont="1" applyAlignment="1">
      <alignment horizontal="center"/>
    </xf>
    <xf numFmtId="165" fontId="6" fillId="0" borderId="0" xfId="0" applyNumberFormat="1" applyFont="1"/>
    <xf numFmtId="168" fontId="0" fillId="0" borderId="0" xfId="0" applyNumberFormat="1"/>
    <xf numFmtId="165" fontId="13" fillId="0" borderId="0" xfId="0" applyNumberFormat="1" applyFont="1"/>
    <xf numFmtId="14" fontId="31" fillId="10" borderId="0" xfId="0" applyNumberFormat="1" applyFont="1" applyFill="1" applyAlignment="1">
      <alignment horizontal="left"/>
    </xf>
    <xf numFmtId="0" fontId="44" fillId="0" borderId="0" xfId="0" applyFont="1"/>
    <xf numFmtId="10" fontId="31" fillId="0" borderId="0" xfId="0" applyNumberFormat="1" applyFont="1" applyAlignment="1">
      <alignment horizontal="left"/>
    </xf>
    <xf numFmtId="3" fontId="19" fillId="14" borderId="0" xfId="0" applyNumberFormat="1" applyFont="1" applyFill="1" applyAlignment="1">
      <alignment horizontal="center"/>
    </xf>
    <xf numFmtId="3" fontId="43" fillId="14" borderId="0" xfId="0" applyNumberFormat="1" applyFont="1" applyFill="1" applyAlignment="1">
      <alignment horizontal="center"/>
    </xf>
    <xf numFmtId="3" fontId="50" fillId="14" borderId="0" xfId="0" applyNumberFormat="1" applyFont="1" applyFill="1" applyAlignment="1">
      <alignment horizontal="center"/>
    </xf>
    <xf numFmtId="165" fontId="16" fillId="0" borderId="4" xfId="1" applyNumberFormat="1" applyFont="1" applyFill="1" applyBorder="1" applyAlignment="1" applyProtection="1">
      <alignment horizontal="right"/>
    </xf>
    <xf numFmtId="14" fontId="44" fillId="0" borderId="0" xfId="0" applyNumberFormat="1" applyFont="1"/>
    <xf numFmtId="1" fontId="47" fillId="0" borderId="0" xfId="0" applyNumberFormat="1" applyFont="1"/>
    <xf numFmtId="14" fontId="45" fillId="0" borderId="0" xfId="0" applyNumberFormat="1" applyFont="1"/>
    <xf numFmtId="0" fontId="31" fillId="10" borderId="0" xfId="0" applyFont="1" applyFill="1" applyAlignment="1">
      <alignment horizontal="left"/>
    </xf>
    <xf numFmtId="165" fontId="15" fillId="0" borderId="4" xfId="1" applyNumberFormat="1" applyFont="1" applyFill="1" applyBorder="1" applyAlignment="1" applyProtection="1">
      <alignment horizontal="right"/>
    </xf>
    <xf numFmtId="165" fontId="49" fillId="0" borderId="0" xfId="0" applyNumberFormat="1" applyFont="1" applyAlignment="1">
      <alignment horizontal="left"/>
    </xf>
    <xf numFmtId="4" fontId="33" fillId="0" borderId="0" xfId="0" applyNumberFormat="1" applyFont="1"/>
    <xf numFmtId="1" fontId="45" fillId="0" borderId="0" xfId="0" applyNumberFormat="1" applyFont="1" applyAlignment="1">
      <alignment vertical="top"/>
    </xf>
    <xf numFmtId="14" fontId="35" fillId="0" borderId="0" xfId="0" applyNumberFormat="1" applyFont="1" applyAlignment="1">
      <alignment horizontal="left"/>
    </xf>
    <xf numFmtId="3" fontId="19" fillId="0" borderId="0" xfId="1" applyNumberFormat="1" applyFont="1" applyFill="1" applyBorder="1" applyAlignment="1" applyProtection="1">
      <alignment horizontal="center"/>
    </xf>
    <xf numFmtId="14" fontId="31" fillId="0" borderId="0" xfId="0" quotePrefix="1" applyNumberFormat="1" applyFont="1" applyAlignment="1">
      <alignment horizontal="left"/>
    </xf>
    <xf numFmtId="14" fontId="11" fillId="0" borderId="0" xfId="0" applyNumberFormat="1" applyFont="1"/>
    <xf numFmtId="3" fontId="32" fillId="0" borderId="0" xfId="0" applyNumberFormat="1" applyFont="1" applyAlignment="1">
      <alignment horizontal="center"/>
    </xf>
    <xf numFmtId="0" fontId="32" fillId="0" borderId="4" xfId="0" applyFont="1" applyBorder="1" applyAlignment="1">
      <alignment horizontal="left"/>
    </xf>
    <xf numFmtId="14" fontId="44" fillId="11" borderId="0" xfId="0" applyNumberFormat="1" applyFont="1" applyFill="1"/>
    <xf numFmtId="0" fontId="32" fillId="11" borderId="0" xfId="0" applyFont="1" applyFill="1" applyAlignment="1">
      <alignment horizontal="left"/>
    </xf>
    <xf numFmtId="3" fontId="32" fillId="15" borderId="0" xfId="0" applyNumberFormat="1" applyFont="1" applyFill="1" applyAlignment="1">
      <alignment horizontal="center"/>
    </xf>
    <xf numFmtId="0" fontId="32" fillId="15" borderId="4" xfId="0" applyFont="1" applyFill="1" applyBorder="1" applyAlignment="1">
      <alignment horizontal="left"/>
    </xf>
    <xf numFmtId="165" fontId="35" fillId="0" borderId="0" xfId="0" applyNumberFormat="1" applyFont="1" applyAlignment="1">
      <alignment horizontal="left"/>
    </xf>
    <xf numFmtId="10" fontId="35" fillId="0" borderId="0" xfId="0" applyNumberFormat="1" applyFont="1" applyAlignment="1">
      <alignment horizontal="left"/>
    </xf>
    <xf numFmtId="1" fontId="45" fillId="0" borderId="0" xfId="0" applyNumberFormat="1" applyFont="1" applyAlignment="1">
      <alignment wrapText="1"/>
    </xf>
    <xf numFmtId="165" fontId="48" fillId="0" borderId="0" xfId="0" applyNumberFormat="1" applyFont="1" applyAlignment="1">
      <alignment horizontal="left"/>
    </xf>
    <xf numFmtId="165" fontId="0" fillId="7" borderId="126" xfId="0" applyNumberFormat="1" applyFill="1" applyBorder="1" applyAlignment="1">
      <alignment horizontal="center"/>
    </xf>
    <xf numFmtId="165" fontId="0" fillId="7" borderId="124" xfId="0" applyNumberFormat="1" applyFill="1" applyBorder="1" applyAlignment="1">
      <alignment horizontal="center"/>
    </xf>
    <xf numFmtId="1" fontId="44" fillId="0" borderId="0" xfId="0" applyNumberFormat="1" applyFont="1" applyAlignment="1">
      <alignment horizontal="right"/>
    </xf>
    <xf numFmtId="14" fontId="19" fillId="0" borderId="0" xfId="0" applyNumberFormat="1" applyFont="1" applyAlignment="1">
      <alignment horizontal="left"/>
    </xf>
    <xf numFmtId="3" fontId="19" fillId="14" borderId="0" xfId="1" applyNumberFormat="1" applyFont="1" applyFill="1" applyBorder="1" applyAlignment="1" applyProtection="1">
      <alignment horizontal="center"/>
    </xf>
    <xf numFmtId="165" fontId="0" fillId="0" borderId="4" xfId="1" applyNumberFormat="1" applyFont="1" applyFill="1" applyBorder="1" applyAlignment="1" applyProtection="1">
      <alignment horizontal="right"/>
    </xf>
    <xf numFmtId="14" fontId="0" fillId="0" borderId="126" xfId="0" applyNumberFormat="1" applyBorder="1" applyAlignment="1">
      <alignment horizontal="center"/>
    </xf>
    <xf numFmtId="14" fontId="0" fillId="0" borderId="124" xfId="0" applyNumberFormat="1" applyBorder="1" applyAlignment="1">
      <alignment horizontal="center"/>
    </xf>
    <xf numFmtId="10" fontId="0" fillId="0" borderId="125" xfId="0" applyNumberFormat="1" applyBorder="1" applyAlignment="1">
      <alignment horizontal="center"/>
    </xf>
    <xf numFmtId="14" fontId="46" fillId="0" borderId="0" xfId="0" applyNumberFormat="1" applyFont="1"/>
    <xf numFmtId="4" fontId="15" fillId="0" borderId="126" xfId="0" applyNumberFormat="1" applyFont="1" applyBorder="1" applyAlignment="1">
      <alignment horizontal="center"/>
    </xf>
    <xf numFmtId="4" fontId="15" fillId="0" borderId="124" xfId="0" applyNumberFormat="1" applyFont="1" applyBorder="1" applyAlignment="1">
      <alignment horizontal="center"/>
    </xf>
    <xf numFmtId="10" fontId="15" fillId="0" borderId="125" xfId="0" applyNumberFormat="1" applyFont="1" applyBorder="1" applyAlignment="1">
      <alignment horizontal="center"/>
    </xf>
    <xf numFmtId="44" fontId="15" fillId="0" borderId="126" xfId="0" applyNumberFormat="1" applyFont="1" applyBorder="1" applyAlignment="1">
      <alignment horizontal="center"/>
    </xf>
    <xf numFmtId="44" fontId="15" fillId="0" borderId="124" xfId="0" applyNumberFormat="1" applyFont="1" applyBorder="1" applyAlignment="1">
      <alignment horizontal="center"/>
    </xf>
    <xf numFmtId="14" fontId="15" fillId="0" borderId="126" xfId="0" applyNumberFormat="1" applyFont="1" applyBorder="1" applyAlignment="1">
      <alignment horizontal="center"/>
    </xf>
    <xf numFmtId="14" fontId="15" fillId="0" borderId="124" xfId="0" applyNumberFormat="1" applyFont="1" applyBorder="1" applyAlignment="1">
      <alignment horizontal="center"/>
    </xf>
    <xf numFmtId="165" fontId="15" fillId="0" borderId="125" xfId="0" applyNumberFormat="1" applyFont="1" applyBorder="1" applyAlignment="1">
      <alignment horizontal="center"/>
    </xf>
    <xf numFmtId="165" fontId="15" fillId="0" borderId="4" xfId="1" applyNumberFormat="1" applyFont="1" applyBorder="1" applyAlignment="1" applyProtection="1">
      <alignment horizontal="right"/>
    </xf>
    <xf numFmtId="1" fontId="44" fillId="0" borderId="0" xfId="0" applyNumberFormat="1" applyFont="1" applyAlignment="1">
      <alignment horizontal="left"/>
    </xf>
    <xf numFmtId="14" fontId="9" fillId="0" borderId="126" xfId="0" applyNumberFormat="1" applyFont="1" applyBorder="1" applyAlignment="1">
      <alignment horizontal="center"/>
    </xf>
    <xf numFmtId="14" fontId="9" fillId="0" borderId="124" xfId="0" applyNumberFormat="1" applyFont="1" applyBorder="1" applyAlignment="1">
      <alignment horizontal="center"/>
    </xf>
    <xf numFmtId="10" fontId="9" fillId="0" borderId="125" xfId="0" applyNumberFormat="1" applyFont="1" applyBorder="1" applyAlignment="1">
      <alignment horizontal="center"/>
    </xf>
    <xf numFmtId="44" fontId="0" fillId="0" borderId="124" xfId="0" applyNumberFormat="1" applyBorder="1" applyAlignment="1">
      <alignment horizontal="center" vertical="center"/>
    </xf>
    <xf numFmtId="14" fontId="14" fillId="0" borderId="0" xfId="0" applyNumberFormat="1" applyFont="1"/>
    <xf numFmtId="14" fontId="0" fillId="0" borderId="0" xfId="0" applyNumberFormat="1" applyAlignment="1">
      <alignment horizontal="left" vertical="top"/>
    </xf>
    <xf numFmtId="165" fontId="54" fillId="0" borderId="4" xfId="0" applyNumberFormat="1" applyFont="1" applyBorder="1"/>
    <xf numFmtId="167" fontId="0" fillId="3" borderId="0" xfId="0" applyNumberFormat="1" applyFill="1" applyAlignment="1">
      <alignment horizontal="right"/>
    </xf>
    <xf numFmtId="165" fontId="0" fillId="0" borderId="125" xfId="0" applyNumberFormat="1" applyBorder="1" applyAlignment="1">
      <alignment horizontal="center"/>
    </xf>
    <xf numFmtId="44" fontId="15" fillId="0" borderId="126" xfId="0" applyNumberFormat="1" applyFont="1" applyBorder="1" applyAlignment="1">
      <alignment horizontal="left"/>
    </xf>
    <xf numFmtId="44" fontId="15" fillId="0" borderId="124" xfId="0" applyNumberFormat="1" applyFont="1" applyBorder="1" applyAlignment="1">
      <alignment horizontal="left"/>
    </xf>
    <xf numFmtId="10" fontId="6" fillId="0" borderId="4" xfId="0" quotePrefix="1" applyNumberFormat="1" applyFont="1" applyBorder="1" applyAlignment="1">
      <alignment horizontal="right"/>
    </xf>
    <xf numFmtId="14" fontId="0" fillId="7" borderId="125" xfId="0" applyNumberFormat="1" applyFill="1" applyBorder="1" applyAlignment="1">
      <alignment horizontal="center"/>
    </xf>
    <xf numFmtId="44" fontId="15" fillId="0" borderId="124" xfId="0" applyNumberFormat="1" applyFont="1" applyBorder="1" applyAlignment="1">
      <alignment horizontal="right"/>
    </xf>
    <xf numFmtId="44" fontId="11" fillId="0" borderId="124" xfId="0" applyNumberFormat="1" applyFont="1" applyBorder="1" applyAlignment="1">
      <alignment horizontal="center"/>
    </xf>
    <xf numFmtId="8" fontId="15" fillId="0" borderId="124" xfId="0" applyNumberFormat="1" applyFont="1" applyBorder="1" applyAlignment="1">
      <alignment horizontal="left"/>
    </xf>
    <xf numFmtId="14" fontId="15" fillId="18" borderId="0" xfId="0" applyNumberFormat="1" applyFont="1" applyFill="1" applyAlignment="1">
      <alignment horizontal="center"/>
    </xf>
    <xf numFmtId="44" fontId="15" fillId="7" borderId="124" xfId="0" applyNumberFormat="1" applyFont="1" applyFill="1" applyBorder="1" applyAlignment="1">
      <alignment horizontal="center"/>
    </xf>
    <xf numFmtId="8" fontId="15" fillId="0" borderId="124" xfId="0" applyNumberFormat="1" applyFont="1" applyBorder="1" applyAlignment="1">
      <alignment horizontal="right"/>
    </xf>
    <xf numFmtId="165" fontId="0" fillId="0" borderId="0" xfId="0" quotePrefix="1" applyNumberFormat="1" applyAlignment="1">
      <alignment horizontal="right"/>
    </xf>
    <xf numFmtId="8" fontId="15" fillId="0" borderId="126" xfId="0" applyNumberFormat="1" applyFont="1" applyBorder="1" applyAlignment="1">
      <alignment horizontal="center"/>
    </xf>
    <xf numFmtId="14" fontId="44" fillId="0" borderId="6" xfId="0" applyNumberFormat="1" applyFont="1" applyBorder="1"/>
    <xf numFmtId="17" fontId="19" fillId="0" borderId="4" xfId="0" applyNumberFormat="1" applyFont="1" applyBorder="1" applyAlignment="1">
      <alignment horizontal="left"/>
    </xf>
    <xf numFmtId="14" fontId="44" fillId="0" borderId="0" xfId="0" applyNumberFormat="1" applyFont="1" applyAlignment="1">
      <alignment wrapText="1"/>
    </xf>
    <xf numFmtId="3" fontId="31" fillId="7" borderId="0" xfId="0" applyNumberFormat="1" applyFont="1" applyFill="1" applyAlignment="1">
      <alignment horizontal="center"/>
    </xf>
    <xf numFmtId="3" fontId="43" fillId="7" borderId="0" xfId="0" applyNumberFormat="1" applyFont="1" applyFill="1" applyAlignment="1">
      <alignment horizontal="center"/>
    </xf>
    <xf numFmtId="3" fontId="19" fillId="7" borderId="0" xfId="0" applyNumberFormat="1" applyFont="1" applyFill="1" applyAlignment="1">
      <alignment horizontal="center"/>
    </xf>
    <xf numFmtId="165" fontId="15" fillId="0" borderId="124" xfId="0" applyNumberFormat="1" applyFont="1" applyBorder="1" applyAlignment="1">
      <alignment horizontal="center"/>
    </xf>
    <xf numFmtId="165" fontId="0" fillId="0" borderId="124" xfId="0" applyNumberFormat="1" applyBorder="1" applyAlignment="1">
      <alignment horizontal="right"/>
    </xf>
    <xf numFmtId="165" fontId="11" fillId="0" borderId="126" xfId="0" applyNumberFormat="1" applyFont="1" applyBorder="1" applyAlignment="1">
      <alignment horizontal="center"/>
    </xf>
    <xf numFmtId="165" fontId="11" fillId="0" borderId="124" xfId="0" applyNumberFormat="1" applyFont="1" applyBorder="1" applyAlignment="1">
      <alignment horizontal="center"/>
    </xf>
    <xf numFmtId="44" fontId="11" fillId="0" borderId="126" xfId="0" applyNumberFormat="1" applyFont="1" applyBorder="1" applyAlignment="1">
      <alignment horizontal="center"/>
    </xf>
    <xf numFmtId="14" fontId="44" fillId="0" borderId="4" xfId="0" applyNumberFormat="1" applyFont="1" applyBorder="1" applyAlignment="1">
      <alignment wrapText="1"/>
    </xf>
    <xf numFmtId="165" fontId="0" fillId="0" borderId="4" xfId="0" applyNumberFormat="1" applyBorder="1" applyAlignment="1">
      <alignment horizontal="center"/>
    </xf>
    <xf numFmtId="165" fontId="6" fillId="0" borderId="4" xfId="0" applyNumberFormat="1" applyFont="1" applyBorder="1" applyAlignment="1" applyProtection="1">
      <alignment horizontal="right"/>
      <protection locked="0"/>
    </xf>
    <xf numFmtId="165" fontId="12" fillId="0" borderId="4" xfId="0" applyNumberFormat="1" applyFont="1" applyBorder="1" applyAlignment="1">
      <alignment horizontal="right"/>
    </xf>
    <xf numFmtId="1" fontId="0" fillId="0" borderId="3" xfId="0" applyNumberFormat="1" applyBorder="1" applyAlignment="1">
      <alignment horizontal="center"/>
    </xf>
    <xf numFmtId="1" fontId="0" fillId="0" borderId="3" xfId="0" applyNumberFormat="1" applyBorder="1" applyAlignment="1" applyProtection="1">
      <alignment horizontal="center"/>
      <protection locked="0"/>
    </xf>
    <xf numFmtId="1" fontId="0" fillId="0" borderId="3" xfId="0" quotePrefix="1" applyNumberFormat="1" applyBorder="1" applyAlignment="1" applyProtection="1">
      <alignment horizontal="center"/>
      <protection locked="0"/>
    </xf>
    <xf numFmtId="165" fontId="0" fillId="0" borderId="4" xfId="0" applyNumberFormat="1" applyBorder="1" applyAlignment="1" applyProtection="1">
      <alignment horizontal="center"/>
      <protection locked="0"/>
    </xf>
    <xf numFmtId="165" fontId="9" fillId="0" borderId="4" xfId="0" applyNumberFormat="1" applyFont="1" applyBorder="1" applyAlignment="1">
      <alignment horizontal="center"/>
    </xf>
    <xf numFmtId="165" fontId="15" fillId="0" borderId="4" xfId="0" applyNumberFormat="1" applyFont="1" applyBorder="1" applyAlignment="1">
      <alignment horizontal="center"/>
    </xf>
    <xf numFmtId="165" fontId="11" fillId="0" borderId="4" xfId="0" applyNumberFormat="1" applyFont="1" applyBorder="1" applyAlignment="1">
      <alignment horizontal="center"/>
    </xf>
    <xf numFmtId="14" fontId="0" fillId="0" borderId="4" xfId="0" applyNumberFormat="1" applyBorder="1" applyAlignment="1">
      <alignment horizontal="center" vertical="center"/>
    </xf>
    <xf numFmtId="165" fontId="11" fillId="0" borderId="4" xfId="0" applyNumberFormat="1" applyFont="1" applyBorder="1" applyAlignment="1" applyProtection="1">
      <alignment horizontal="center"/>
      <protection locked="0"/>
    </xf>
    <xf numFmtId="165" fontId="15" fillId="0" borderId="4" xfId="0" applyNumberFormat="1" applyFont="1" applyBorder="1" applyAlignment="1" applyProtection="1">
      <alignment horizontal="center"/>
      <protection locked="0"/>
    </xf>
    <xf numFmtId="14" fontId="0" fillId="0" borderId="4" xfId="0" applyNumberFormat="1" applyBorder="1" applyAlignment="1" applyProtection="1">
      <alignment horizontal="center" vertical="center"/>
      <protection locked="0"/>
    </xf>
    <xf numFmtId="165" fontId="0" fillId="10" borderId="4" xfId="0" applyNumberFormat="1" applyFill="1" applyBorder="1" applyAlignment="1" applyProtection="1">
      <alignment horizontal="center"/>
      <protection locked="0"/>
    </xf>
    <xf numFmtId="165" fontId="15" fillId="10" borderId="4" xfId="0" applyNumberFormat="1" applyFont="1" applyFill="1" applyBorder="1" applyAlignment="1" applyProtection="1">
      <alignment horizontal="center"/>
      <protection locked="0"/>
    </xf>
    <xf numFmtId="14" fontId="0" fillId="0" borderId="4" xfId="0" applyNumberFormat="1" applyBorder="1" applyAlignment="1" applyProtection="1">
      <alignment horizontal="center" wrapText="1"/>
      <protection locked="0"/>
    </xf>
    <xf numFmtId="165" fontId="15" fillId="2" borderId="0" xfId="0" applyNumberFormat="1" applyFont="1" applyFill="1" applyAlignment="1" applyProtection="1">
      <alignment horizontal="center"/>
      <protection locked="0"/>
    </xf>
    <xf numFmtId="1" fontId="0" fillId="7" borderId="6" xfId="0" applyNumberFormat="1" applyFill="1" applyBorder="1" applyAlignment="1" applyProtection="1">
      <alignment horizontal="right"/>
      <protection locked="0"/>
    </xf>
    <xf numFmtId="1" fontId="0" fillId="0" borderId="6" xfId="0" applyNumberFormat="1" applyBorder="1" applyAlignment="1" applyProtection="1">
      <alignment horizontal="right"/>
      <protection locked="0"/>
    </xf>
    <xf numFmtId="17" fontId="31" fillId="0" borderId="6" xfId="0" applyNumberFormat="1" applyFont="1" applyBorder="1" applyAlignment="1">
      <alignment horizontal="left"/>
    </xf>
    <xf numFmtId="0" fontId="32" fillId="0" borderId="6" xfId="0" applyFont="1" applyBorder="1" applyAlignment="1">
      <alignment horizontal="left"/>
    </xf>
    <xf numFmtId="0" fontId="32" fillId="11" borderId="6" xfId="0" applyFont="1" applyFill="1" applyBorder="1" applyAlignment="1">
      <alignment horizontal="left"/>
    </xf>
    <xf numFmtId="165" fontId="0" fillId="0" borderId="6" xfId="0" applyNumberFormat="1" applyBorder="1" applyAlignment="1">
      <alignment horizontal="left"/>
    </xf>
    <xf numFmtId="1" fontId="0" fillId="0" borderId="6" xfId="0" applyNumberFormat="1" applyBorder="1" applyAlignment="1">
      <alignment horizontal="left"/>
    </xf>
    <xf numFmtId="165" fontId="43" fillId="0" borderId="6" xfId="0" applyNumberFormat="1" applyFont="1" applyBorder="1" applyAlignment="1">
      <alignment horizontal="left"/>
    </xf>
    <xf numFmtId="14" fontId="31" fillId="0" borderId="6" xfId="0" applyNumberFormat="1" applyFont="1" applyBorder="1" applyAlignment="1" applyProtection="1">
      <alignment horizontal="left"/>
      <protection locked="0"/>
    </xf>
    <xf numFmtId="0" fontId="31" fillId="0" borderId="6" xfId="0" applyFont="1" applyBorder="1" applyAlignment="1" applyProtection="1">
      <alignment wrapText="1"/>
      <protection locked="0"/>
    </xf>
    <xf numFmtId="1" fontId="0" fillId="0" borderId="0" xfId="0" applyNumberFormat="1" applyAlignment="1">
      <alignment wrapText="1"/>
    </xf>
    <xf numFmtId="14" fontId="0" fillId="0" borderId="57" xfId="0" applyNumberFormat="1" applyBorder="1" applyAlignment="1">
      <alignment horizontal="center"/>
    </xf>
    <xf numFmtId="9" fontId="0" fillId="0" borderId="38" xfId="0" applyNumberFormat="1" applyBorder="1" applyAlignment="1">
      <alignment horizontal="center" wrapText="1"/>
    </xf>
    <xf numFmtId="9" fontId="0" fillId="0" borderId="115" xfId="0" applyNumberFormat="1" applyBorder="1" applyAlignment="1">
      <alignment horizontal="center" wrapText="1"/>
    </xf>
    <xf numFmtId="165" fontId="0" fillId="0" borderId="38" xfId="0" applyNumberFormat="1" applyBorder="1" applyAlignment="1">
      <alignment horizontal="center" wrapText="1"/>
    </xf>
    <xf numFmtId="165" fontId="0" fillId="0" borderId="115" xfId="0" applyNumberFormat="1" applyBorder="1" applyAlignment="1">
      <alignment horizontal="center" wrapText="1"/>
    </xf>
    <xf numFmtId="3" fontId="0" fillId="0" borderId="0" xfId="0" applyNumberFormat="1"/>
    <xf numFmtId="3" fontId="6" fillId="0" borderId="0" xfId="0" applyNumberFormat="1" applyFont="1" applyAlignment="1">
      <alignment horizontal="right"/>
    </xf>
    <xf numFmtId="3" fontId="0" fillId="0" borderId="6" xfId="0" applyNumberFormat="1" applyBorder="1"/>
    <xf numFmtId="3" fontId="6" fillId="0" borderId="6" xfId="0" applyNumberFormat="1" applyFont="1" applyBorder="1" applyAlignment="1">
      <alignment horizontal="right"/>
    </xf>
    <xf numFmtId="3" fontId="15" fillId="0" borderId="6" xfId="0" applyNumberFormat="1" applyFont="1" applyBorder="1" applyAlignment="1" applyProtection="1">
      <alignment horizontal="right"/>
      <protection locked="0"/>
    </xf>
    <xf numFmtId="165" fontId="11" fillId="0" borderId="6" xfId="0" applyNumberFormat="1" applyFont="1" applyBorder="1" applyAlignment="1" applyProtection="1">
      <alignment horizontal="right"/>
      <protection locked="0"/>
    </xf>
    <xf numFmtId="0" fontId="0" fillId="0" borderId="6" xfId="0" applyBorder="1" applyProtection="1">
      <protection locked="0"/>
    </xf>
    <xf numFmtId="3" fontId="11" fillId="0" borderId="0" xfId="0" applyNumberFormat="1" applyFont="1" applyAlignment="1">
      <alignment horizontal="right"/>
    </xf>
    <xf numFmtId="49" fontId="15" fillId="0" borderId="0" xfId="0" applyNumberFormat="1" applyFont="1" applyAlignment="1">
      <alignment horizontal="right"/>
    </xf>
    <xf numFmtId="0" fontId="31" fillId="0" borderId="0" xfId="0" quotePrefix="1" applyFont="1" applyAlignment="1">
      <alignment horizontal="left"/>
    </xf>
    <xf numFmtId="44" fontId="11" fillId="0" borderId="126" xfId="0" applyNumberFormat="1" applyFont="1" applyBorder="1" applyAlignment="1" applyProtection="1">
      <alignment horizontal="center"/>
      <protection locked="0"/>
    </xf>
    <xf numFmtId="44" fontId="11" fillId="0" borderId="124" xfId="0" applyNumberFormat="1" applyFont="1" applyBorder="1" applyAlignment="1" applyProtection="1">
      <alignment horizontal="center"/>
      <protection locked="0"/>
    </xf>
    <xf numFmtId="3" fontId="19" fillId="0" borderId="4" xfId="0" applyNumberFormat="1" applyFont="1" applyBorder="1" applyAlignment="1" applyProtection="1">
      <alignment horizontal="center"/>
      <protection locked="0"/>
    </xf>
    <xf numFmtId="14" fontId="11" fillId="2" borderId="0" xfId="0" applyNumberFormat="1" applyFont="1" applyFill="1" applyAlignment="1" applyProtection="1">
      <alignment horizontal="right"/>
      <protection locked="0"/>
    </xf>
    <xf numFmtId="165" fontId="0" fillId="2" borderId="0" xfId="0" applyNumberFormat="1" applyFill="1" applyAlignment="1" applyProtection="1">
      <alignment horizontal="center"/>
      <protection locked="0"/>
    </xf>
    <xf numFmtId="3" fontId="31" fillId="2" borderId="0" xfId="0" applyNumberFormat="1" applyFont="1" applyFill="1" applyAlignment="1" applyProtection="1">
      <alignment horizontal="center"/>
      <protection locked="0"/>
    </xf>
    <xf numFmtId="14" fontId="11" fillId="0" borderId="0" xfId="0" applyNumberFormat="1" applyFont="1" applyAlignment="1">
      <alignment wrapText="1"/>
    </xf>
    <xf numFmtId="49" fontId="0" fillId="0" borderId="127" xfId="0" applyNumberFormat="1" applyBorder="1" applyAlignment="1">
      <alignment wrapText="1"/>
    </xf>
    <xf numFmtId="0" fontId="14" fillId="0" borderId="29" xfId="0" applyFont="1" applyBorder="1" applyAlignment="1">
      <alignment wrapText="1"/>
    </xf>
    <xf numFmtId="0" fontId="0" fillId="0" borderId="4" xfId="0" applyBorder="1" applyAlignment="1">
      <alignment horizontal="left" wrapText="1"/>
    </xf>
    <xf numFmtId="0" fontId="0" fillId="0" borderId="4" xfId="0" applyBorder="1" applyAlignment="1">
      <alignment horizontal="center" wrapText="1"/>
    </xf>
    <xf numFmtId="0" fontId="11" fillId="0" borderId="35" xfId="0" applyFont="1" applyBorder="1" applyAlignment="1">
      <alignment horizontal="left" wrapText="1"/>
    </xf>
    <xf numFmtId="14" fontId="58" fillId="0" borderId="0" xfId="0" applyNumberFormat="1" applyFont="1" applyAlignment="1">
      <alignment horizontal="center" wrapText="1"/>
    </xf>
    <xf numFmtId="167" fontId="0" fillId="0" borderId="3" xfId="0" applyNumberFormat="1" applyBorder="1" applyAlignment="1">
      <alignment horizontal="center" wrapText="1"/>
    </xf>
    <xf numFmtId="0" fontId="0" fillId="10" borderId="12" xfId="0" applyFill="1" applyBorder="1" applyAlignment="1">
      <alignment horizontal="center" vertical="center"/>
    </xf>
    <xf numFmtId="1" fontId="0" fillId="2" borderId="8" xfId="0" applyNumberFormat="1" applyFill="1" applyBorder="1" applyAlignment="1">
      <alignment horizontal="center" vertical="center"/>
    </xf>
    <xf numFmtId="1" fontId="0" fillId="10" borderId="8" xfId="0" applyNumberFormat="1" applyFill="1" applyBorder="1" applyAlignment="1">
      <alignment horizontal="center" vertical="center"/>
    </xf>
    <xf numFmtId="0" fontId="0" fillId="10" borderId="8" xfId="0" applyFill="1" applyBorder="1" applyAlignment="1">
      <alignment horizontal="center" vertical="center"/>
    </xf>
    <xf numFmtId="0" fontId="0" fillId="10" borderId="8" xfId="0" applyFill="1" applyBorder="1" applyAlignment="1">
      <alignment horizontal="left" vertical="center"/>
    </xf>
    <xf numFmtId="14" fontId="44" fillId="0" borderId="4" xfId="0" applyNumberFormat="1" applyFont="1" applyBorder="1" applyAlignment="1" applyProtection="1">
      <alignment horizontal="left" vertical="top" wrapText="1"/>
      <protection locked="0"/>
    </xf>
    <xf numFmtId="165" fontId="11" fillId="2" borderId="0" xfId="0" applyNumberFormat="1" applyFont="1" applyFill="1" applyAlignment="1">
      <alignment horizontal="right"/>
    </xf>
    <xf numFmtId="44" fontId="44" fillId="0" borderId="0" xfId="1" applyFont="1" applyAlignment="1">
      <alignment wrapText="1"/>
    </xf>
    <xf numFmtId="167" fontId="44" fillId="0" borderId="0" xfId="0" applyNumberFormat="1" applyFont="1" applyAlignment="1">
      <alignment wrapText="1"/>
    </xf>
    <xf numFmtId="165" fontId="11" fillId="0" borderId="4" xfId="0" applyNumberFormat="1" applyFont="1" applyBorder="1" applyAlignment="1" applyProtection="1">
      <alignment horizontal="right"/>
      <protection locked="0"/>
    </xf>
    <xf numFmtId="14" fontId="15" fillId="2" borderId="3" xfId="0" applyNumberFormat="1" applyFont="1" applyFill="1" applyBorder="1" applyAlignment="1">
      <alignment horizontal="center"/>
    </xf>
    <xf numFmtId="165" fontId="16" fillId="10" borderId="0" xfId="0" applyNumberFormat="1" applyFont="1" applyFill="1" applyAlignment="1" applyProtection="1">
      <alignment horizontal="right"/>
      <protection locked="0"/>
    </xf>
    <xf numFmtId="165" fontId="15" fillId="10" borderId="0" xfId="0" applyNumberFormat="1" applyFont="1" applyFill="1" applyAlignment="1" applyProtection="1">
      <alignment horizontal="center"/>
      <protection locked="0"/>
    </xf>
    <xf numFmtId="3" fontId="0" fillId="0" borderId="3" xfId="0" applyNumberFormat="1" applyBorder="1" applyAlignment="1">
      <alignment horizontal="right"/>
    </xf>
    <xf numFmtId="0" fontId="13" fillId="0" borderId="100" xfId="0" applyFont="1" applyBorder="1"/>
    <xf numFmtId="165" fontId="15" fillId="2" borderId="0" xfId="0" applyNumberFormat="1" applyFont="1" applyFill="1" applyAlignment="1">
      <alignment horizontal="right"/>
    </xf>
    <xf numFmtId="165" fontId="11" fillId="22" borderId="0" xfId="0" applyNumberFormat="1" applyFont="1" applyFill="1" applyAlignment="1">
      <alignment horizontal="right"/>
    </xf>
    <xf numFmtId="14" fontId="11" fillId="0" borderId="35" xfId="0" quotePrefix="1" applyNumberFormat="1" applyFont="1" applyBorder="1" applyAlignment="1">
      <alignment horizontal="center"/>
    </xf>
    <xf numFmtId="0" fontId="31" fillId="2" borderId="4" xfId="0" applyFont="1" applyFill="1" applyBorder="1" applyAlignment="1" applyProtection="1">
      <alignment horizontal="left"/>
      <protection locked="0"/>
    </xf>
    <xf numFmtId="0" fontId="44" fillId="0" borderId="0" xfId="0" applyFont="1" applyAlignment="1">
      <alignment horizontal="right" wrapText="1"/>
    </xf>
    <xf numFmtId="14" fontId="44" fillId="0" borderId="0" xfId="0" applyNumberFormat="1" applyFont="1" applyAlignment="1">
      <alignment horizontal="right" wrapText="1"/>
    </xf>
    <xf numFmtId="165" fontId="0" fillId="0" borderId="3" xfId="0" applyNumberFormat="1" applyBorder="1" applyAlignment="1" applyProtection="1">
      <alignment horizontal="right"/>
      <protection locked="0"/>
    </xf>
    <xf numFmtId="165" fontId="11" fillId="2" borderId="4" xfId="0" applyNumberFormat="1" applyFont="1" applyFill="1" applyBorder="1" applyAlignment="1" applyProtection="1">
      <alignment horizontal="center"/>
      <protection locked="0"/>
    </xf>
    <xf numFmtId="14" fontId="15" fillId="2" borderId="0" xfId="0" applyNumberFormat="1" applyFont="1" applyFill="1" applyAlignment="1" applyProtection="1">
      <alignment horizontal="center"/>
      <protection locked="0"/>
    </xf>
    <xf numFmtId="3" fontId="19" fillId="2" borderId="0" xfId="0" applyNumberFormat="1" applyFont="1" applyFill="1" applyAlignment="1" applyProtection="1">
      <alignment horizontal="center"/>
      <protection locked="0"/>
    </xf>
    <xf numFmtId="3" fontId="0" fillId="2" borderId="0" xfId="0" applyNumberFormat="1" applyFill="1" applyAlignment="1" applyProtection="1">
      <alignment horizontal="right"/>
      <protection locked="0"/>
    </xf>
    <xf numFmtId="3" fontId="0" fillId="2" borderId="6" xfId="0" applyNumberFormat="1" applyFill="1" applyBorder="1" applyAlignment="1" applyProtection="1">
      <alignment horizontal="right"/>
      <protection locked="0"/>
    </xf>
    <xf numFmtId="44" fontId="15" fillId="2" borderId="126" xfId="0" applyNumberFormat="1" applyFont="1" applyFill="1" applyBorder="1" applyAlignment="1" applyProtection="1">
      <alignment horizontal="center"/>
      <protection locked="0"/>
    </xf>
    <xf numFmtId="44" fontId="15" fillId="2" borderId="124" xfId="0" applyNumberFormat="1" applyFont="1" applyFill="1" applyBorder="1" applyAlignment="1" applyProtection="1">
      <alignment horizontal="center"/>
      <protection locked="0"/>
    </xf>
    <xf numFmtId="165" fontId="16" fillId="2" borderId="0" xfId="0" applyNumberFormat="1" applyFont="1" applyFill="1" applyAlignment="1" applyProtection="1">
      <alignment horizontal="right"/>
      <protection locked="0"/>
    </xf>
    <xf numFmtId="165" fontId="6" fillId="2" borderId="4" xfId="0" applyNumberFormat="1" applyFont="1" applyFill="1" applyBorder="1" applyAlignment="1" applyProtection="1">
      <alignment horizontal="right"/>
      <protection locked="0"/>
    </xf>
    <xf numFmtId="165" fontId="15" fillId="9" borderId="0" xfId="0" applyNumberFormat="1" applyFont="1" applyFill="1" applyAlignment="1" applyProtection="1">
      <alignment horizontal="center"/>
      <protection locked="0"/>
    </xf>
    <xf numFmtId="14" fontId="30" fillId="0" borderId="0" xfId="0" applyNumberFormat="1" applyFont="1" applyAlignment="1" applyProtection="1">
      <alignment horizontal="right"/>
      <protection locked="0"/>
    </xf>
    <xf numFmtId="10" fontId="15" fillId="0" borderId="0" xfId="0" applyNumberFormat="1" applyFont="1" applyAlignment="1">
      <alignment horizontal="center"/>
    </xf>
    <xf numFmtId="10" fontId="0" fillId="7" borderId="0" xfId="0" applyNumberFormat="1" applyFill="1" applyAlignment="1">
      <alignment horizontal="center"/>
    </xf>
    <xf numFmtId="14" fontId="31" fillId="20" borderId="0" xfId="0" applyNumberFormat="1" applyFont="1" applyFill="1" applyAlignment="1">
      <alignment horizontal="left"/>
    </xf>
    <xf numFmtId="14" fontId="31" fillId="3" borderId="0" xfId="0" applyNumberFormat="1" applyFont="1" applyFill="1" applyAlignment="1">
      <alignment horizontal="left"/>
    </xf>
    <xf numFmtId="165" fontId="31" fillId="3" borderId="0" xfId="0" applyNumberFormat="1" applyFont="1" applyFill="1" applyAlignment="1" applyProtection="1">
      <alignment horizontal="left"/>
      <protection locked="0"/>
    </xf>
    <xf numFmtId="17" fontId="19" fillId="20" borderId="0" xfId="0" applyNumberFormat="1" applyFont="1" applyFill="1" applyAlignment="1" applyProtection="1">
      <alignment horizontal="left"/>
      <protection locked="0"/>
    </xf>
    <xf numFmtId="1" fontId="31" fillId="20" borderId="0" xfId="0" applyNumberFormat="1" applyFont="1" applyFill="1" applyAlignment="1" applyProtection="1">
      <alignment horizontal="left"/>
      <protection locked="0"/>
    </xf>
    <xf numFmtId="165" fontId="31" fillId="20" borderId="0" xfId="0" applyNumberFormat="1" applyFont="1" applyFill="1" applyAlignment="1" applyProtection="1">
      <alignment horizontal="left"/>
      <protection locked="0"/>
    </xf>
    <xf numFmtId="14" fontId="31" fillId="20" borderId="0" xfId="0" applyNumberFormat="1" applyFont="1" applyFill="1" applyAlignment="1" applyProtection="1">
      <alignment horizontal="left"/>
      <protection locked="0"/>
    </xf>
    <xf numFmtId="17" fontId="19" fillId="20" borderId="0" xfId="0" applyNumberFormat="1" applyFont="1" applyFill="1" applyAlignment="1">
      <alignment horizontal="left"/>
    </xf>
    <xf numFmtId="1" fontId="31" fillId="20" borderId="0" xfId="0" applyNumberFormat="1" applyFont="1" applyFill="1" applyAlignment="1">
      <alignment horizontal="left"/>
    </xf>
    <xf numFmtId="165" fontId="31" fillId="20" borderId="0" xfId="0" applyNumberFormat="1" applyFont="1" applyFill="1" applyAlignment="1">
      <alignment horizontal="left"/>
    </xf>
    <xf numFmtId="3" fontId="50" fillId="0" borderId="0" xfId="0" applyNumberFormat="1" applyFont="1" applyAlignment="1" applyProtection="1">
      <alignment horizontal="center"/>
      <protection locked="0"/>
    </xf>
    <xf numFmtId="165" fontId="6" fillId="17" borderId="6" xfId="0" applyNumberFormat="1" applyFont="1" applyFill="1" applyBorder="1" applyAlignment="1">
      <alignment horizontal="right"/>
    </xf>
    <xf numFmtId="10" fontId="0" fillId="0" borderId="0" xfId="0" applyNumberFormat="1" applyAlignment="1">
      <alignment horizontal="center"/>
    </xf>
    <xf numFmtId="0" fontId="0" fillId="9" borderId="1" xfId="0" applyFill="1" applyBorder="1" applyAlignment="1">
      <alignment horizontal="right"/>
    </xf>
    <xf numFmtId="164" fontId="0" fillId="3" borderId="1" xfId="0" applyNumberFormat="1" applyFill="1" applyBorder="1" applyAlignment="1">
      <alignment horizontal="right"/>
    </xf>
    <xf numFmtId="165" fontId="0" fillId="21" borderId="1" xfId="0" applyNumberFormat="1" applyFill="1" applyBorder="1" applyAlignment="1">
      <alignment horizontal="right"/>
    </xf>
    <xf numFmtId="1" fontId="0" fillId="7" borderId="3" xfId="0" applyNumberFormat="1" applyFill="1" applyBorder="1" applyAlignment="1">
      <alignment horizontal="right"/>
    </xf>
    <xf numFmtId="3" fontId="19" fillId="0" borderId="5" xfId="0" applyNumberFormat="1" applyFont="1" applyBorder="1" applyAlignment="1">
      <alignment horizontal="center"/>
    </xf>
    <xf numFmtId="165" fontId="0" fillId="2" borderId="0" xfId="0" applyNumberFormat="1" applyFill="1" applyAlignment="1">
      <alignment horizontal="center"/>
    </xf>
    <xf numFmtId="14" fontId="31" fillId="2" borderId="0" xfId="0" applyNumberFormat="1" applyFont="1" applyFill="1" applyAlignment="1" applyProtection="1">
      <alignment horizontal="left"/>
      <protection locked="0"/>
    </xf>
    <xf numFmtId="17" fontId="19" fillId="2" borderId="0" xfId="0" applyNumberFormat="1" applyFont="1" applyFill="1" applyAlignment="1" applyProtection="1">
      <alignment horizontal="left"/>
      <protection locked="0"/>
    </xf>
    <xf numFmtId="1" fontId="31" fillId="2" borderId="0" xfId="0" applyNumberFormat="1" applyFont="1" applyFill="1" applyAlignment="1" applyProtection="1">
      <alignment horizontal="left"/>
      <protection locked="0"/>
    </xf>
    <xf numFmtId="17" fontId="19" fillId="10" borderId="0" xfId="0" applyNumberFormat="1" applyFont="1" applyFill="1" applyAlignment="1" applyProtection="1">
      <alignment horizontal="left"/>
      <protection locked="0"/>
    </xf>
    <xf numFmtId="1" fontId="31" fillId="10" borderId="0" xfId="0" applyNumberFormat="1" applyFont="1" applyFill="1" applyAlignment="1" applyProtection="1">
      <alignment horizontal="left"/>
      <protection locked="0"/>
    </xf>
    <xf numFmtId="165" fontId="31" fillId="10" borderId="0" xfId="0" applyNumberFormat="1" applyFont="1" applyFill="1" applyAlignment="1" applyProtection="1">
      <alignment horizontal="left"/>
      <protection locked="0"/>
    </xf>
    <xf numFmtId="14" fontId="31" fillId="10" borderId="0" xfId="0" applyNumberFormat="1" applyFont="1" applyFill="1" applyAlignment="1" applyProtection="1">
      <alignment horizontal="left"/>
      <protection locked="0"/>
    </xf>
    <xf numFmtId="3" fontId="31" fillId="10" borderId="0" xfId="0" applyNumberFormat="1" applyFont="1" applyFill="1" applyAlignment="1" applyProtection="1">
      <alignment horizontal="center"/>
      <protection locked="0"/>
    </xf>
    <xf numFmtId="0" fontId="31" fillId="10" borderId="4" xfId="0" applyFont="1" applyFill="1" applyBorder="1" applyAlignment="1" applyProtection="1">
      <alignment horizontal="left"/>
      <protection locked="0"/>
    </xf>
    <xf numFmtId="165" fontId="15" fillId="0" borderId="66" xfId="0" applyNumberFormat="1" applyFont="1" applyBorder="1" applyAlignment="1">
      <alignment horizontal="right"/>
    </xf>
    <xf numFmtId="14" fontId="0" fillId="2" borderId="0" xfId="0" applyNumberFormat="1" applyFill="1" applyProtection="1">
      <protection locked="0"/>
    </xf>
    <xf numFmtId="165" fontId="11" fillId="2" borderId="0" xfId="0" applyNumberFormat="1" applyFont="1" applyFill="1" applyAlignment="1" applyProtection="1">
      <alignment horizontal="right"/>
      <protection locked="0"/>
    </xf>
    <xf numFmtId="14" fontId="11" fillId="2" borderId="0" xfId="0" applyNumberFormat="1" applyFont="1" applyFill="1" applyAlignment="1" applyProtection="1">
      <alignment horizontal="center"/>
      <protection locked="0"/>
    </xf>
    <xf numFmtId="165" fontId="31" fillId="2" borderId="0" xfId="0" applyNumberFormat="1" applyFont="1" applyFill="1" applyAlignment="1" applyProtection="1">
      <alignment horizontal="left"/>
      <protection locked="0"/>
    </xf>
    <xf numFmtId="165" fontId="0" fillId="2" borderId="124" xfId="0" applyNumberFormat="1" applyFill="1" applyBorder="1" applyAlignment="1" applyProtection="1">
      <alignment horizontal="right"/>
      <protection locked="0"/>
    </xf>
    <xf numFmtId="165" fontId="0" fillId="0" borderId="4" xfId="7" applyNumberFormat="1" applyFont="1" applyBorder="1" applyAlignment="1">
      <alignment horizontal="right"/>
    </xf>
    <xf numFmtId="165" fontId="15" fillId="2" borderId="4" xfId="0" applyNumberFormat="1" applyFont="1" applyFill="1" applyBorder="1" applyAlignment="1" applyProtection="1">
      <alignment horizontal="center"/>
      <protection locked="0"/>
    </xf>
    <xf numFmtId="3" fontId="15" fillId="0" borderId="3" xfId="0" applyNumberFormat="1" applyFont="1" applyBorder="1" applyAlignment="1">
      <alignment horizontal="right"/>
    </xf>
    <xf numFmtId="14" fontId="15" fillId="9" borderId="0" xfId="0" applyNumberFormat="1" applyFont="1" applyFill="1" applyAlignment="1" applyProtection="1">
      <alignment horizontal="right"/>
      <protection locked="0"/>
    </xf>
    <xf numFmtId="10" fontId="3" fillId="0" borderId="0" xfId="0" applyNumberFormat="1" applyFont="1" applyAlignment="1">
      <alignment horizontal="center" wrapText="1"/>
    </xf>
    <xf numFmtId="10" fontId="8" fillId="0" borderId="0" xfId="0" applyNumberFormat="1" applyFont="1" applyAlignment="1">
      <alignment horizontal="right"/>
    </xf>
    <xf numFmtId="10" fontId="6" fillId="0" borderId="0" xfId="0" applyNumberFormat="1" applyFont="1" applyAlignment="1">
      <alignment horizontal="right"/>
    </xf>
    <xf numFmtId="14" fontId="3" fillId="0" borderId="0" xfId="0" applyNumberFormat="1" applyFont="1" applyAlignment="1">
      <alignment horizontal="center" wrapText="1"/>
    </xf>
    <xf numFmtId="0" fontId="4" fillId="0" borderId="0" xfId="0" applyFont="1" applyAlignment="1">
      <alignment horizontal="center" wrapText="1"/>
    </xf>
    <xf numFmtId="0" fontId="3" fillId="0" borderId="0" xfId="0" applyFont="1" applyAlignment="1">
      <alignment horizontal="left" wrapText="1"/>
    </xf>
    <xf numFmtId="0" fontId="6" fillId="0" borderId="0" xfId="0" applyFont="1" applyProtection="1">
      <protection locked="0"/>
    </xf>
    <xf numFmtId="165" fontId="6" fillId="0" borderId="0" xfId="0" applyNumberFormat="1" applyFont="1" applyAlignment="1" applyProtection="1">
      <alignment horizontal="right"/>
      <protection locked="0"/>
    </xf>
    <xf numFmtId="165" fontId="9" fillId="0" borderId="0" xfId="0" applyNumberFormat="1" applyFont="1" applyProtection="1">
      <protection locked="0"/>
    </xf>
    <xf numFmtId="14" fontId="9" fillId="0" borderId="0" xfId="0" applyNumberFormat="1" applyFont="1" applyAlignment="1" applyProtection="1">
      <alignment horizontal="center"/>
      <protection locked="0"/>
    </xf>
    <xf numFmtId="165" fontId="44" fillId="0" borderId="0" xfId="0" applyNumberFormat="1" applyFont="1" applyProtection="1">
      <protection locked="0"/>
    </xf>
    <xf numFmtId="164" fontId="31" fillId="0" borderId="0" xfId="0" applyNumberFormat="1" applyFont="1" applyAlignment="1" applyProtection="1">
      <alignment horizontal="left"/>
      <protection locked="0"/>
    </xf>
    <xf numFmtId="1" fontId="0" fillId="9" borderId="0" xfId="0" applyNumberFormat="1" applyFill="1" applyAlignment="1" applyProtection="1">
      <alignment horizontal="right"/>
      <protection locked="0"/>
    </xf>
    <xf numFmtId="165" fontId="0" fillId="9" borderId="0" xfId="0" applyNumberFormat="1" applyFill="1" applyAlignment="1" applyProtection="1">
      <alignment horizontal="right"/>
      <protection locked="0"/>
    </xf>
    <xf numFmtId="1" fontId="0" fillId="9" borderId="0" xfId="0" applyNumberFormat="1" applyFill="1" applyProtection="1">
      <protection locked="0"/>
    </xf>
    <xf numFmtId="17" fontId="0" fillId="9" borderId="0" xfId="0" applyNumberFormat="1" applyFill="1" applyAlignment="1" applyProtection="1">
      <alignment horizontal="right"/>
      <protection locked="0"/>
    </xf>
    <xf numFmtId="49" fontId="0" fillId="0" borderId="1" xfId="0" applyNumberFormat="1" applyBorder="1" applyAlignment="1">
      <alignment horizontal="right" wrapText="1"/>
    </xf>
    <xf numFmtId="4" fontId="13" fillId="2" borderId="124" xfId="0" applyNumberFormat="1" applyFont="1" applyFill="1" applyBorder="1" applyProtection="1">
      <protection locked="0"/>
    </xf>
    <xf numFmtId="0" fontId="14" fillId="11" borderId="8" xfId="0" applyFont="1" applyFill="1" applyBorder="1" applyAlignment="1">
      <alignment vertical="center"/>
    </xf>
    <xf numFmtId="0" fontId="14" fillId="0" borderId="8" xfId="0" applyFont="1" applyBorder="1" applyAlignment="1">
      <alignment horizontal="right" vertical="center"/>
    </xf>
    <xf numFmtId="0" fontId="14" fillId="11" borderId="8" xfId="0" applyFont="1" applyFill="1" applyBorder="1" applyAlignment="1">
      <alignment horizontal="right" vertical="center"/>
    </xf>
    <xf numFmtId="14" fontId="15" fillId="0" borderId="4" xfId="0" applyNumberFormat="1" applyFont="1" applyBorder="1" applyAlignment="1">
      <alignment horizontal="right"/>
    </xf>
    <xf numFmtId="165" fontId="6" fillId="0" borderId="4" xfId="0" quotePrefix="1" applyNumberFormat="1" applyFont="1" applyBorder="1" applyAlignment="1">
      <alignment horizontal="right"/>
    </xf>
    <xf numFmtId="165" fontId="16" fillId="0" borderId="4" xfId="0" applyNumberFormat="1" applyFont="1" applyBorder="1" applyAlignment="1" applyProtection="1">
      <alignment horizontal="right"/>
      <protection locked="0"/>
    </xf>
    <xf numFmtId="14" fontId="15" fillId="0" borderId="4" xfId="0" applyNumberFormat="1" applyFont="1" applyBorder="1" applyAlignment="1" applyProtection="1">
      <alignment horizontal="center"/>
      <protection locked="0"/>
    </xf>
    <xf numFmtId="165" fontId="43" fillId="0" borderId="0" xfId="0" applyNumberFormat="1" applyFont="1" applyAlignment="1">
      <alignment horizontal="left"/>
    </xf>
    <xf numFmtId="14" fontId="31" fillId="0" borderId="0" xfId="0" quotePrefix="1" applyNumberFormat="1" applyFont="1" applyAlignment="1" applyProtection="1">
      <alignment horizontal="left"/>
      <protection locked="0"/>
    </xf>
    <xf numFmtId="14" fontId="11" fillId="0" borderId="51" xfId="0" applyNumberFormat="1" applyFont="1" applyBorder="1" applyAlignment="1">
      <alignment wrapText="1"/>
    </xf>
    <xf numFmtId="3" fontId="0" fillId="0" borderId="128" xfId="0" applyNumberFormat="1" applyBorder="1" applyAlignment="1">
      <alignment horizontal="right"/>
    </xf>
    <xf numFmtId="167" fontId="0" fillId="9" borderId="0" xfId="0" applyNumberFormat="1" applyFill="1" applyAlignment="1">
      <alignment horizontal="right"/>
    </xf>
    <xf numFmtId="14" fontId="15" fillId="10" borderId="0" xfId="0" applyNumberFormat="1" applyFont="1" applyFill="1" applyAlignment="1">
      <alignment horizontal="right"/>
    </xf>
    <xf numFmtId="44" fontId="0" fillId="21" borderId="0" xfId="0" applyNumberFormat="1" applyFill="1" applyAlignment="1">
      <alignment horizontal="right"/>
    </xf>
    <xf numFmtId="14" fontId="20" fillId="0" borderId="107" xfId="0" applyNumberFormat="1" applyFont="1" applyBorder="1" applyAlignment="1">
      <alignment wrapText="1"/>
    </xf>
    <xf numFmtId="0" fontId="3" fillId="0" borderId="65" xfId="0" applyFont="1" applyBorder="1" applyAlignment="1">
      <alignment horizontal="center" wrapText="1"/>
    </xf>
    <xf numFmtId="49" fontId="25" fillId="0" borderId="65" xfId="0" applyNumberFormat="1" applyFont="1" applyBorder="1" applyAlignment="1">
      <alignment wrapText="1"/>
    </xf>
    <xf numFmtId="14" fontId="11" fillId="0" borderId="0" xfId="0" quotePrefix="1" applyNumberFormat="1" applyFont="1" applyAlignment="1">
      <alignment horizontal="center" wrapText="1"/>
    </xf>
    <xf numFmtId="44" fontId="0" fillId="3" borderId="0" xfId="0" applyNumberFormat="1" applyFill="1" applyAlignment="1" applyProtection="1">
      <alignment horizontal="right"/>
      <protection locked="0"/>
    </xf>
    <xf numFmtId="14" fontId="11" fillId="10" borderId="35" xfId="0" applyNumberFormat="1" applyFont="1" applyFill="1" applyBorder="1" applyAlignment="1">
      <alignment horizontal="center" wrapText="1"/>
    </xf>
    <xf numFmtId="14" fontId="58" fillId="10" borderId="35" xfId="0" applyNumberFormat="1" applyFont="1" applyFill="1" applyBorder="1" applyAlignment="1">
      <alignment horizontal="center" wrapText="1"/>
    </xf>
    <xf numFmtId="0" fontId="0" fillId="0" borderId="54" xfId="0" applyBorder="1" applyAlignment="1">
      <alignment horizontal="center"/>
    </xf>
    <xf numFmtId="165" fontId="0" fillId="21" borderId="0" xfId="0" applyNumberFormat="1" applyFill="1" applyAlignment="1" applyProtection="1">
      <alignment horizontal="right"/>
      <protection locked="0"/>
    </xf>
    <xf numFmtId="1" fontId="0" fillId="3" borderId="0" xfId="0" applyNumberFormat="1" applyFill="1" applyAlignment="1">
      <alignment wrapText="1"/>
    </xf>
    <xf numFmtId="165" fontId="0" fillId="0" borderId="3" xfId="0" applyNumberFormat="1" applyBorder="1" applyAlignment="1" applyProtection="1">
      <alignment horizontal="center"/>
      <protection locked="0"/>
    </xf>
    <xf numFmtId="1" fontId="15" fillId="0" borderId="7" xfId="0" applyNumberFormat="1" applyFont="1" applyBorder="1" applyAlignment="1">
      <alignment horizontal="center" vertical="center"/>
    </xf>
    <xf numFmtId="0" fontId="0" fillId="0" borderId="12" xfId="0" applyBorder="1" applyAlignment="1">
      <alignment horizontal="center" vertical="center" wrapText="1"/>
    </xf>
    <xf numFmtId="0" fontId="0" fillId="0" borderId="26" xfId="0" applyBorder="1" applyAlignment="1">
      <alignment horizontal="left" vertical="center" wrapText="1"/>
    </xf>
    <xf numFmtId="3" fontId="0" fillId="11" borderId="0" xfId="0" applyNumberFormat="1" applyFill="1" applyAlignment="1">
      <alignment horizontal="right"/>
    </xf>
    <xf numFmtId="3" fontId="0" fillId="11" borderId="6" xfId="0" applyNumberFormat="1" applyFill="1" applyBorder="1" applyAlignment="1">
      <alignment horizontal="right"/>
    </xf>
    <xf numFmtId="165" fontId="0" fillId="11" borderId="0" xfId="0" applyNumberFormat="1" applyFill="1" applyAlignment="1">
      <alignment horizontal="right"/>
    </xf>
    <xf numFmtId="165" fontId="11" fillId="0" borderId="1" xfId="0" applyNumberFormat="1" applyFont="1" applyBorder="1" applyAlignment="1">
      <alignment horizontal="right"/>
    </xf>
    <xf numFmtId="165" fontId="15" fillId="0" borderId="1" xfId="0" applyNumberFormat="1" applyFont="1" applyBorder="1" applyAlignment="1">
      <alignment horizontal="right"/>
    </xf>
    <xf numFmtId="165" fontId="11" fillId="11" borderId="0" xfId="0" applyNumberFormat="1" applyFont="1" applyFill="1" applyAlignment="1">
      <alignment horizontal="right"/>
    </xf>
    <xf numFmtId="14" fontId="15" fillId="11" borderId="3" xfId="0" applyNumberFormat="1" applyFont="1" applyFill="1" applyBorder="1" applyAlignment="1">
      <alignment horizontal="center"/>
    </xf>
    <xf numFmtId="14" fontId="15" fillId="0" borderId="61" xfId="0" applyNumberFormat="1" applyFont="1" applyBorder="1" applyAlignment="1">
      <alignment horizontal="center"/>
    </xf>
    <xf numFmtId="165" fontId="15" fillId="11" borderId="0" xfId="0" applyNumberFormat="1" applyFont="1" applyFill="1" applyAlignment="1">
      <alignment horizontal="center"/>
    </xf>
    <xf numFmtId="165" fontId="15" fillId="0" borderId="1" xfId="0" applyNumberFormat="1" applyFont="1" applyBorder="1" applyAlignment="1">
      <alignment horizontal="center"/>
    </xf>
    <xf numFmtId="165" fontId="15" fillId="11" borderId="4" xfId="0" applyNumberFormat="1" applyFont="1" applyFill="1" applyBorder="1" applyAlignment="1">
      <alignment horizontal="center"/>
    </xf>
    <xf numFmtId="165" fontId="11" fillId="2" borderId="4" xfId="0" applyNumberFormat="1" applyFont="1" applyFill="1" applyBorder="1" applyAlignment="1">
      <alignment horizontal="center"/>
    </xf>
    <xf numFmtId="165" fontId="11" fillId="11" borderId="0" xfId="0" applyNumberFormat="1" applyFont="1" applyFill="1" applyAlignment="1">
      <alignment horizontal="center"/>
    </xf>
    <xf numFmtId="165" fontId="0" fillId="11" borderId="0" xfId="0" applyNumberFormat="1" applyFill="1" applyAlignment="1">
      <alignment horizontal="center"/>
    </xf>
    <xf numFmtId="14" fontId="15" fillId="11" borderId="0" xfId="0" applyNumberFormat="1" applyFont="1" applyFill="1" applyAlignment="1">
      <alignment horizontal="center"/>
    </xf>
    <xf numFmtId="44" fontId="15" fillId="11" borderId="126" xfId="0" applyNumberFormat="1" applyFont="1" applyFill="1" applyBorder="1" applyAlignment="1">
      <alignment horizontal="center"/>
    </xf>
    <xf numFmtId="44" fontId="15" fillId="2" borderId="126" xfId="0" applyNumberFormat="1" applyFont="1" applyFill="1" applyBorder="1" applyAlignment="1">
      <alignment horizontal="center"/>
    </xf>
    <xf numFmtId="44" fontId="15" fillId="11" borderId="124" xfId="0" applyNumberFormat="1" applyFont="1" applyFill="1" applyBorder="1" applyAlignment="1">
      <alignment horizontal="center"/>
    </xf>
    <xf numFmtId="44" fontId="15" fillId="2" borderId="124" xfId="0" applyNumberFormat="1" applyFont="1" applyFill="1" applyBorder="1" applyAlignment="1">
      <alignment horizontal="center"/>
    </xf>
    <xf numFmtId="10" fontId="15" fillId="11" borderId="125" xfId="0" applyNumberFormat="1" applyFont="1" applyFill="1" applyBorder="1" applyAlignment="1">
      <alignment horizontal="center"/>
    </xf>
    <xf numFmtId="3" fontId="0" fillId="0" borderId="61" xfId="0" applyNumberFormat="1" applyBorder="1" applyAlignment="1">
      <alignment horizontal="right"/>
    </xf>
    <xf numFmtId="3" fontId="15" fillId="0" borderId="128" xfId="0" applyNumberFormat="1" applyFont="1" applyBorder="1" applyAlignment="1">
      <alignment horizontal="right"/>
    </xf>
    <xf numFmtId="165" fontId="15" fillId="0" borderId="129" xfId="0" applyNumberFormat="1" applyFont="1" applyBorder="1" applyAlignment="1">
      <alignment horizontal="center"/>
    </xf>
    <xf numFmtId="165" fontId="15" fillId="7" borderId="1" xfId="0" applyNumberFormat="1" applyFont="1" applyFill="1" applyBorder="1" applyAlignment="1">
      <alignment horizontal="center"/>
    </xf>
    <xf numFmtId="14" fontId="15" fillId="7" borderId="130" xfId="0" applyNumberFormat="1" applyFont="1" applyFill="1" applyBorder="1" applyAlignment="1">
      <alignment horizontal="center"/>
    </xf>
    <xf numFmtId="14" fontId="15" fillId="7" borderId="131" xfId="0" applyNumberFormat="1" applyFont="1" applyFill="1" applyBorder="1" applyAlignment="1">
      <alignment horizontal="center"/>
    </xf>
    <xf numFmtId="10" fontId="15" fillId="7" borderId="124" xfId="0" applyNumberFormat="1" applyFont="1" applyFill="1" applyBorder="1" applyAlignment="1">
      <alignment horizontal="center"/>
    </xf>
    <xf numFmtId="14" fontId="15" fillId="21" borderId="0" xfId="0" applyNumberFormat="1" applyFont="1" applyFill="1" applyAlignment="1" applyProtection="1">
      <alignment horizontal="right"/>
      <protection locked="0"/>
    </xf>
    <xf numFmtId="1" fontId="0" fillId="21" borderId="0" xfId="0" applyNumberFormat="1" applyFill="1" applyAlignment="1" applyProtection="1">
      <alignment horizontal="right"/>
      <protection locked="0"/>
    </xf>
    <xf numFmtId="44" fontId="0" fillId="21" borderId="0" xfId="0" applyNumberFormat="1" applyFill="1" applyAlignment="1" applyProtection="1">
      <alignment horizontal="right"/>
      <protection locked="0"/>
    </xf>
    <xf numFmtId="17" fontId="0" fillId="21" borderId="0" xfId="0" applyNumberFormat="1" applyFill="1" applyAlignment="1" applyProtection="1">
      <alignment horizontal="right"/>
      <protection locked="0"/>
    </xf>
    <xf numFmtId="17" fontId="0" fillId="21" borderId="0" xfId="0" applyNumberFormat="1" applyFill="1" applyAlignment="1">
      <alignment horizontal="right"/>
    </xf>
    <xf numFmtId="1" fontId="0" fillId="21" borderId="0" xfId="0" applyNumberFormat="1" applyFill="1" applyAlignment="1">
      <alignment wrapText="1"/>
    </xf>
    <xf numFmtId="1" fontId="0" fillId="21" borderId="0" xfId="0" applyNumberFormat="1" applyFill="1" applyAlignment="1" applyProtection="1">
      <alignment wrapText="1"/>
      <protection locked="0"/>
    </xf>
    <xf numFmtId="0" fontId="44" fillId="2" borderId="0" xfId="0" applyFont="1" applyFill="1" applyAlignment="1">
      <alignment wrapText="1"/>
    </xf>
    <xf numFmtId="1" fontId="15" fillId="0" borderId="1" xfId="0" applyNumberFormat="1" applyFont="1" applyBorder="1"/>
    <xf numFmtId="44" fontId="11" fillId="0" borderId="1" xfId="0" applyNumberFormat="1" applyFont="1" applyBorder="1" applyAlignment="1">
      <alignment horizontal="center"/>
    </xf>
    <xf numFmtId="10" fontId="15" fillId="7" borderId="0" xfId="0" applyNumberFormat="1" applyFont="1" applyFill="1" applyAlignment="1">
      <alignment horizontal="center"/>
    </xf>
    <xf numFmtId="165" fontId="0" fillId="3" borderId="1" xfId="0" applyNumberFormat="1" applyFill="1" applyBorder="1"/>
    <xf numFmtId="1" fontId="45" fillId="0" borderId="4" xfId="0" applyNumberFormat="1" applyFont="1" applyBorder="1" applyAlignment="1">
      <alignment vertical="top"/>
    </xf>
    <xf numFmtId="3" fontId="15" fillId="0" borderId="1" xfId="0" applyNumberFormat="1" applyFont="1" applyBorder="1" applyAlignment="1">
      <alignment horizontal="right"/>
    </xf>
    <xf numFmtId="165" fontId="15" fillId="2" borderId="3" xfId="0" applyNumberFormat="1" applyFont="1" applyFill="1" applyBorder="1" applyAlignment="1" applyProtection="1">
      <alignment horizontal="center"/>
      <protection locked="0"/>
    </xf>
    <xf numFmtId="165" fontId="11" fillId="2" borderId="3" xfId="0" applyNumberFormat="1" applyFont="1" applyFill="1" applyBorder="1" applyAlignment="1" applyProtection="1">
      <alignment horizontal="center"/>
      <protection locked="0"/>
    </xf>
    <xf numFmtId="165" fontId="0" fillId="0" borderId="1" xfId="0" applyNumberFormat="1" applyBorder="1" applyAlignment="1">
      <alignment horizontal="center"/>
    </xf>
    <xf numFmtId="165" fontId="0" fillId="0" borderId="129" xfId="0" applyNumberFormat="1" applyBorder="1" applyAlignment="1">
      <alignment horizontal="center"/>
    </xf>
    <xf numFmtId="14" fontId="15" fillId="0" borderId="1" xfId="0" applyNumberFormat="1" applyFont="1" applyBorder="1" applyAlignment="1">
      <alignment horizontal="center"/>
    </xf>
    <xf numFmtId="14" fontId="0" fillId="7" borderId="130" xfId="0" applyNumberFormat="1" applyFill="1" applyBorder="1" applyAlignment="1">
      <alignment horizontal="center"/>
    </xf>
    <xf numFmtId="14" fontId="0" fillId="7" borderId="131" xfId="0" applyNumberFormat="1" applyFill="1" applyBorder="1" applyAlignment="1">
      <alignment horizontal="center"/>
    </xf>
    <xf numFmtId="10" fontId="0" fillId="7" borderId="132" xfId="0" applyNumberFormat="1" applyFill="1" applyBorder="1" applyAlignment="1">
      <alignment horizontal="center"/>
    </xf>
    <xf numFmtId="14" fontId="6" fillId="0" borderId="0" xfId="0" applyNumberFormat="1" applyFont="1"/>
    <xf numFmtId="14" fontId="16" fillId="0" borderId="0" xfId="0" applyNumberFormat="1" applyFont="1"/>
    <xf numFmtId="1" fontId="6" fillId="0" borderId="0" xfId="0" applyNumberFormat="1" applyFont="1"/>
    <xf numFmtId="1" fontId="6" fillId="0" borderId="3" xfId="0" applyNumberFormat="1" applyFont="1" applyBorder="1" applyAlignment="1">
      <alignment horizontal="center"/>
    </xf>
    <xf numFmtId="14" fontId="6" fillId="0" borderId="0" xfId="0" applyNumberFormat="1" applyFont="1" applyAlignment="1">
      <alignment horizontal="center"/>
    </xf>
    <xf numFmtId="14" fontId="16" fillId="17" borderId="0" xfId="0" applyNumberFormat="1" applyFont="1" applyFill="1" applyAlignment="1">
      <alignment horizontal="right"/>
    </xf>
    <xf numFmtId="1" fontId="6" fillId="17" borderId="0" xfId="0" applyNumberFormat="1" applyFont="1" applyFill="1" applyAlignment="1">
      <alignment horizontal="right"/>
    </xf>
    <xf numFmtId="165" fontId="6" fillId="17" borderId="0" xfId="0" applyNumberFormat="1" applyFont="1" applyFill="1" applyAlignment="1">
      <alignment horizontal="right"/>
    </xf>
    <xf numFmtId="17" fontId="6" fillId="17" borderId="0" xfId="0" applyNumberFormat="1" applyFont="1" applyFill="1" applyAlignment="1">
      <alignment horizontal="right"/>
    </xf>
    <xf numFmtId="1" fontId="6" fillId="17" borderId="0" xfId="0" applyNumberFormat="1" applyFont="1" applyFill="1"/>
    <xf numFmtId="1" fontId="6" fillId="0" borderId="0" xfId="0" applyNumberFormat="1" applyFont="1" applyAlignment="1">
      <alignment horizontal="right"/>
    </xf>
    <xf numFmtId="17" fontId="6" fillId="0" borderId="0" xfId="0" applyNumberFormat="1" applyFont="1" applyAlignment="1">
      <alignment horizontal="right"/>
    </xf>
    <xf numFmtId="1" fontId="6" fillId="0" borderId="6" xfId="0" applyNumberFormat="1" applyFont="1" applyBorder="1" applyAlignment="1">
      <alignment horizontal="right"/>
    </xf>
    <xf numFmtId="14" fontId="62" fillId="0" borderId="0" xfId="0" applyNumberFormat="1" applyFont="1"/>
    <xf numFmtId="14" fontId="62" fillId="0" borderId="4" xfId="0" applyNumberFormat="1" applyFont="1" applyBorder="1"/>
    <xf numFmtId="17" fontId="48" fillId="0" borderId="0" xfId="0" applyNumberFormat="1" applyFont="1" applyAlignment="1">
      <alignment horizontal="left"/>
    </xf>
    <xf numFmtId="1" fontId="35" fillId="0" borderId="0" xfId="0" applyNumberFormat="1" applyFont="1" applyAlignment="1">
      <alignment horizontal="left"/>
    </xf>
    <xf numFmtId="0" fontId="35" fillId="0" borderId="0" xfId="0" applyFont="1" applyAlignment="1">
      <alignment horizontal="left"/>
    </xf>
    <xf numFmtId="165" fontId="35" fillId="0" borderId="6" xfId="0" applyNumberFormat="1" applyFont="1" applyBorder="1" applyAlignment="1">
      <alignment horizontal="left"/>
    </xf>
    <xf numFmtId="165" fontId="6" fillId="17" borderId="0" xfId="0" applyNumberFormat="1" applyFont="1" applyFill="1"/>
    <xf numFmtId="1" fontId="63" fillId="0" borderId="0" xfId="0" applyNumberFormat="1" applyFont="1"/>
    <xf numFmtId="14" fontId="35" fillId="0" borderId="6" xfId="0" applyNumberFormat="1" applyFont="1" applyBorder="1" applyAlignment="1">
      <alignment horizontal="left"/>
    </xf>
    <xf numFmtId="49" fontId="6" fillId="0" borderId="0" xfId="0" applyNumberFormat="1" applyFont="1" applyProtection="1">
      <protection locked="0"/>
    </xf>
    <xf numFmtId="14" fontId="6" fillId="0" borderId="0" xfId="0" applyNumberFormat="1" applyFont="1" applyProtection="1">
      <protection locked="0"/>
    </xf>
    <xf numFmtId="14" fontId="12" fillId="0" borderId="0" xfId="0" applyNumberFormat="1" applyFont="1" applyAlignment="1" applyProtection="1">
      <alignment horizontal="right"/>
      <protection locked="0"/>
    </xf>
    <xf numFmtId="1" fontId="6" fillId="0" borderId="0" xfId="0" applyNumberFormat="1" applyFont="1" applyProtection="1">
      <protection locked="0"/>
    </xf>
    <xf numFmtId="0" fontId="6" fillId="0" borderId="0" xfId="0" applyFont="1" applyAlignment="1" applyProtection="1">
      <alignment horizontal="left"/>
      <protection locked="0"/>
    </xf>
    <xf numFmtId="14" fontId="6" fillId="0" borderId="0" xfId="0" applyNumberFormat="1" applyFont="1" applyAlignment="1" applyProtection="1">
      <alignment horizontal="left"/>
      <protection locked="0"/>
    </xf>
    <xf numFmtId="17" fontId="16" fillId="0" borderId="3" xfId="0" applyNumberFormat="1" applyFont="1" applyBorder="1" applyAlignment="1" applyProtection="1">
      <alignment horizontal="right"/>
      <protection locked="0"/>
    </xf>
    <xf numFmtId="1" fontId="6" fillId="0" borderId="3" xfId="0" applyNumberFormat="1" applyFont="1" applyBorder="1" applyAlignment="1" applyProtection="1">
      <alignment horizontal="center"/>
      <protection locked="0"/>
    </xf>
    <xf numFmtId="3" fontId="6" fillId="0" borderId="0" xfId="0" applyNumberFormat="1" applyFont="1" applyAlignment="1" applyProtection="1">
      <alignment horizontal="right"/>
      <protection locked="0"/>
    </xf>
    <xf numFmtId="3" fontId="6" fillId="0" borderId="6" xfId="0" applyNumberFormat="1" applyFont="1" applyBorder="1" applyAlignment="1" applyProtection="1">
      <alignment horizontal="right"/>
      <protection locked="0"/>
    </xf>
    <xf numFmtId="165" fontId="12" fillId="0" borderId="0" xfId="0" applyNumberFormat="1" applyFont="1" applyAlignment="1" applyProtection="1">
      <alignment horizontal="right"/>
      <protection locked="0"/>
    </xf>
    <xf numFmtId="14" fontId="6" fillId="0" borderId="0" xfId="0" applyNumberFormat="1" applyFont="1" applyAlignment="1" applyProtection="1">
      <alignment horizontal="center"/>
      <protection locked="0"/>
    </xf>
    <xf numFmtId="14" fontId="16" fillId="17" borderId="0" xfId="0" applyNumberFormat="1" applyFont="1" applyFill="1" applyAlignment="1" applyProtection="1">
      <alignment horizontal="right"/>
      <protection locked="0"/>
    </xf>
    <xf numFmtId="1" fontId="6" fillId="17" borderId="0" xfId="0" applyNumberFormat="1" applyFont="1" applyFill="1" applyAlignment="1" applyProtection="1">
      <alignment horizontal="right"/>
      <protection locked="0"/>
    </xf>
    <xf numFmtId="165" fontId="6" fillId="17" borderId="0" xfId="0" applyNumberFormat="1" applyFont="1" applyFill="1" applyAlignment="1" applyProtection="1">
      <alignment horizontal="right"/>
      <protection locked="0"/>
    </xf>
    <xf numFmtId="17" fontId="6" fillId="17" borderId="0" xfId="0" applyNumberFormat="1" applyFont="1" applyFill="1" applyAlignment="1" applyProtection="1">
      <alignment horizontal="right"/>
      <protection locked="0"/>
    </xf>
    <xf numFmtId="1" fontId="6" fillId="17" borderId="0" xfId="0" applyNumberFormat="1" applyFont="1" applyFill="1" applyProtection="1">
      <protection locked="0"/>
    </xf>
    <xf numFmtId="1" fontId="6" fillId="0" borderId="0" xfId="0" applyNumberFormat="1" applyFont="1" applyAlignment="1" applyProtection="1">
      <alignment horizontal="right"/>
      <protection locked="0"/>
    </xf>
    <xf numFmtId="17" fontId="6" fillId="0" borderId="0" xfId="0" applyNumberFormat="1" applyFont="1" applyAlignment="1" applyProtection="1">
      <alignment horizontal="right"/>
      <protection locked="0"/>
    </xf>
    <xf numFmtId="1" fontId="6" fillId="0" borderId="6" xfId="0" applyNumberFormat="1" applyFont="1" applyBorder="1" applyProtection="1">
      <protection locked="0"/>
    </xf>
    <xf numFmtId="14" fontId="6" fillId="0" borderId="4" xfId="0" applyNumberFormat="1" applyFont="1" applyBorder="1" applyAlignment="1" applyProtection="1">
      <alignment horizontal="left"/>
      <protection locked="0"/>
    </xf>
    <xf numFmtId="14" fontId="35" fillId="0" borderId="0" xfId="0" applyNumberFormat="1" applyFont="1" applyAlignment="1" applyProtection="1">
      <alignment horizontal="left"/>
      <protection locked="0"/>
    </xf>
    <xf numFmtId="0" fontId="35" fillId="0" borderId="0" xfId="0" applyFont="1" applyAlignment="1" applyProtection="1">
      <alignment horizontal="left"/>
      <protection locked="0"/>
    </xf>
    <xf numFmtId="165" fontId="35" fillId="0" borderId="6" xfId="0" applyNumberFormat="1" applyFont="1" applyBorder="1" applyAlignment="1" applyProtection="1">
      <alignment horizontal="left"/>
      <protection locked="0"/>
    </xf>
    <xf numFmtId="1" fontId="6" fillId="17" borderId="0" xfId="0" applyNumberFormat="1" applyFont="1" applyFill="1" applyAlignment="1" applyProtection="1">
      <alignment wrapText="1"/>
      <protection locked="0"/>
    </xf>
    <xf numFmtId="1" fontId="6" fillId="0" borderId="3" xfId="0" quotePrefix="1" applyNumberFormat="1" applyFont="1" applyBorder="1" applyAlignment="1" applyProtection="1">
      <alignment horizontal="center"/>
      <protection locked="0"/>
    </xf>
    <xf numFmtId="1" fontId="64" fillId="0" borderId="4" xfId="0" applyNumberFormat="1" applyFont="1" applyBorder="1" applyProtection="1">
      <protection locked="0"/>
    </xf>
    <xf numFmtId="17" fontId="65" fillId="0" borderId="0" xfId="0" applyNumberFormat="1" applyFont="1" applyAlignment="1" applyProtection="1">
      <alignment horizontal="left"/>
      <protection locked="0"/>
    </xf>
    <xf numFmtId="1" fontId="66" fillId="0" borderId="0" xfId="0" applyNumberFormat="1" applyFont="1" applyAlignment="1" applyProtection="1">
      <alignment horizontal="left"/>
      <protection locked="0"/>
    </xf>
    <xf numFmtId="165" fontId="66" fillId="0" borderId="0" xfId="0" applyNumberFormat="1" applyFont="1" applyAlignment="1" applyProtection="1">
      <alignment horizontal="left"/>
      <protection locked="0"/>
    </xf>
    <xf numFmtId="14" fontId="66" fillId="0" borderId="0" xfId="0" applyNumberFormat="1" applyFont="1" applyAlignment="1" applyProtection="1">
      <alignment horizontal="left"/>
      <protection locked="0"/>
    </xf>
    <xf numFmtId="14" fontId="35" fillId="0" borderId="6" xfId="0" applyNumberFormat="1" applyFont="1" applyBorder="1" applyAlignment="1" applyProtection="1">
      <alignment horizontal="left"/>
      <protection locked="0"/>
    </xf>
    <xf numFmtId="1" fontId="0" fillId="21" borderId="0" xfId="0" applyNumberFormat="1" applyFill="1"/>
    <xf numFmtId="14" fontId="15" fillId="21" borderId="0" xfId="0" applyNumberFormat="1" applyFont="1" applyFill="1" applyAlignment="1">
      <alignment horizontal="right" wrapText="1"/>
    </xf>
    <xf numFmtId="1" fontId="0" fillId="21" borderId="0" xfId="0" applyNumberFormat="1" applyFill="1" applyAlignment="1">
      <alignment horizontal="left" wrapText="1"/>
    </xf>
    <xf numFmtId="165" fontId="0" fillId="21" borderId="0" xfId="0" applyNumberFormat="1" applyFill="1" applyAlignment="1">
      <alignment horizontal="left" wrapText="1"/>
    </xf>
    <xf numFmtId="14" fontId="6" fillId="0" borderId="3" xfId="0" applyNumberFormat="1" applyFont="1" applyBorder="1" applyAlignment="1">
      <alignment horizontal="center"/>
    </xf>
    <xf numFmtId="3" fontId="16" fillId="0" borderId="0" xfId="0" applyNumberFormat="1" applyFont="1" applyAlignment="1">
      <alignment horizontal="right"/>
    </xf>
    <xf numFmtId="3" fontId="16" fillId="0" borderId="6" xfId="0" applyNumberFormat="1" applyFont="1" applyBorder="1" applyAlignment="1">
      <alignment horizontal="right"/>
    </xf>
    <xf numFmtId="14" fontId="6" fillId="0" borderId="0" xfId="0" applyNumberFormat="1" applyFont="1" applyAlignment="1">
      <alignment horizontal="left"/>
    </xf>
    <xf numFmtId="1" fontId="62" fillId="0" borderId="0" xfId="0" applyNumberFormat="1" applyFont="1"/>
    <xf numFmtId="1" fontId="63" fillId="0" borderId="0" xfId="0" applyNumberFormat="1" applyFont="1" applyAlignment="1">
      <alignment vertical="top"/>
    </xf>
    <xf numFmtId="49" fontId="6" fillId="0" borderId="0" xfId="0" applyNumberFormat="1" applyFont="1" applyAlignment="1" applyProtection="1">
      <alignment wrapText="1"/>
      <protection locked="0"/>
    </xf>
    <xf numFmtId="49" fontId="6" fillId="0" borderId="0" xfId="0" applyNumberFormat="1" applyFont="1" applyAlignment="1" applyProtection="1">
      <alignment horizontal="left" wrapText="1"/>
      <protection locked="0"/>
    </xf>
    <xf numFmtId="14" fontId="6" fillId="0" borderId="0" xfId="0" applyNumberFormat="1" applyFont="1" applyAlignment="1" applyProtection="1">
      <alignment wrapText="1"/>
      <protection locked="0"/>
    </xf>
    <xf numFmtId="14" fontId="6" fillId="0" borderId="0" xfId="0" applyNumberFormat="1" applyFont="1" applyAlignment="1" applyProtection="1">
      <alignment horizontal="right"/>
      <protection locked="0"/>
    </xf>
    <xf numFmtId="1" fontId="16" fillId="0" borderId="0" xfId="0" applyNumberFormat="1" applyFont="1" applyProtection="1">
      <protection locked="0"/>
    </xf>
    <xf numFmtId="1" fontId="62" fillId="0" borderId="0" xfId="0" applyNumberFormat="1" applyFont="1" applyProtection="1">
      <protection locked="0"/>
    </xf>
    <xf numFmtId="165" fontId="62" fillId="0" borderId="4" xfId="0" applyNumberFormat="1" applyFont="1" applyBorder="1" applyProtection="1">
      <protection locked="0"/>
    </xf>
    <xf numFmtId="17" fontId="48" fillId="0" borderId="0" xfId="0" applyNumberFormat="1" applyFont="1" applyAlignment="1" applyProtection="1">
      <alignment horizontal="left"/>
      <protection locked="0"/>
    </xf>
    <xf numFmtId="1" fontId="35" fillId="0" borderId="0" xfId="0" applyNumberFormat="1" applyFont="1" applyAlignment="1" applyProtection="1">
      <alignment horizontal="left"/>
      <protection locked="0"/>
    </xf>
    <xf numFmtId="165" fontId="35" fillId="0" borderId="0" xfId="0" applyNumberFormat="1" applyFont="1" applyAlignment="1" applyProtection="1">
      <alignment horizontal="left"/>
      <protection locked="0"/>
    </xf>
    <xf numFmtId="17" fontId="0" fillId="21" borderId="0" xfId="0" applyNumberFormat="1" applyFill="1"/>
    <xf numFmtId="1" fontId="0" fillId="21" borderId="0" xfId="0" applyNumberFormat="1" applyFill="1" applyProtection="1">
      <protection locked="0"/>
    </xf>
    <xf numFmtId="1" fontId="0" fillId="21" borderId="0" xfId="0" applyNumberFormat="1" applyFill="1" applyAlignment="1">
      <alignment horizontal="right" wrapText="1"/>
    </xf>
    <xf numFmtId="167" fontId="0" fillId="21" borderId="0" xfId="0" applyNumberFormat="1" applyFill="1" applyAlignment="1" applyProtection="1">
      <alignment horizontal="right"/>
      <protection locked="0"/>
    </xf>
    <xf numFmtId="167" fontId="0" fillId="3" borderId="0" xfId="0" applyNumberFormat="1" applyFill="1" applyAlignment="1" applyProtection="1">
      <alignment horizontal="right"/>
      <protection locked="0"/>
    </xf>
    <xf numFmtId="165" fontId="0" fillId="21" borderId="0" xfId="0" applyNumberFormat="1" applyFill="1"/>
    <xf numFmtId="167" fontId="11" fillId="3" borderId="0" xfId="0" applyNumberFormat="1" applyFont="1" applyFill="1" applyAlignment="1">
      <alignment horizontal="right"/>
    </xf>
    <xf numFmtId="165" fontId="11" fillId="3" borderId="0" xfId="0" applyNumberFormat="1" applyFont="1" applyFill="1"/>
    <xf numFmtId="1" fontId="11" fillId="3" borderId="0" xfId="0" applyNumberFormat="1" applyFont="1" applyFill="1"/>
    <xf numFmtId="49" fontId="0" fillId="21" borderId="0" xfId="0" applyNumberFormat="1" applyFill="1"/>
    <xf numFmtId="17" fontId="19" fillId="9" borderId="0" xfId="0" applyNumberFormat="1" applyFont="1" applyFill="1" applyAlignment="1" applyProtection="1">
      <alignment horizontal="left"/>
      <protection locked="0"/>
    </xf>
    <xf numFmtId="1" fontId="31" fillId="9" borderId="0" xfId="0" applyNumberFormat="1" applyFont="1" applyFill="1" applyAlignment="1" applyProtection="1">
      <alignment horizontal="left"/>
      <protection locked="0"/>
    </xf>
    <xf numFmtId="165" fontId="31" fillId="9" borderId="0" xfId="0" applyNumberFormat="1" applyFont="1" applyFill="1" applyAlignment="1" applyProtection="1">
      <alignment horizontal="left"/>
      <protection locked="0"/>
    </xf>
    <xf numFmtId="14" fontId="31" fillId="9" borderId="0" xfId="0" applyNumberFormat="1" applyFont="1" applyFill="1" applyAlignment="1" applyProtection="1">
      <alignment horizontal="left"/>
      <protection locked="0"/>
    </xf>
    <xf numFmtId="1" fontId="0" fillId="9" borderId="0" xfId="0" applyNumberFormat="1" applyFill="1" applyAlignment="1" applyProtection="1">
      <alignment wrapText="1"/>
      <protection locked="0"/>
    </xf>
    <xf numFmtId="165" fontId="16" fillId="0" borderId="66" xfId="0" applyNumberFormat="1" applyFont="1" applyBorder="1" applyAlignment="1">
      <alignment horizontal="right"/>
    </xf>
    <xf numFmtId="3" fontId="0" fillId="0" borderId="1" xfId="0" applyNumberFormat="1" applyBorder="1" applyAlignment="1">
      <alignment horizontal="right"/>
    </xf>
    <xf numFmtId="165" fontId="0" fillId="0" borderId="1" xfId="0" applyNumberFormat="1" applyBorder="1" applyAlignment="1">
      <alignment horizontal="right"/>
    </xf>
    <xf numFmtId="14" fontId="0" fillId="7" borderId="1" xfId="0" applyNumberFormat="1" applyFill="1" applyBorder="1" applyAlignment="1">
      <alignment horizontal="center"/>
    </xf>
    <xf numFmtId="14" fontId="15" fillId="17" borderId="1" xfId="0" applyNumberFormat="1" applyFont="1" applyFill="1" applyBorder="1" applyAlignment="1">
      <alignment horizontal="right"/>
    </xf>
    <xf numFmtId="1" fontId="0" fillId="17" borderId="1" xfId="0" applyNumberFormat="1" applyFill="1" applyBorder="1" applyAlignment="1">
      <alignment horizontal="right"/>
    </xf>
    <xf numFmtId="165" fontId="0" fillId="9" borderId="1" xfId="0" applyNumberFormat="1" applyFill="1" applyBorder="1" applyAlignment="1">
      <alignment horizontal="right"/>
    </xf>
    <xf numFmtId="165" fontId="0" fillId="17" borderId="1" xfId="0" applyNumberFormat="1" applyFill="1" applyBorder="1"/>
    <xf numFmtId="1" fontId="0" fillId="9" borderId="1" xfId="0" applyNumberFormat="1" applyFill="1" applyBorder="1" applyAlignment="1">
      <alignment wrapText="1"/>
    </xf>
    <xf numFmtId="0" fontId="11" fillId="0" borderId="107" xfId="0" applyFont="1" applyBorder="1" applyAlignment="1">
      <alignment horizontal="left" wrapText="1"/>
    </xf>
    <xf numFmtId="0" fontId="31" fillId="0" borderId="0" xfId="0" applyFont="1" applyAlignment="1">
      <alignment horizontal="center" wrapText="1"/>
    </xf>
    <xf numFmtId="0" fontId="11" fillId="0" borderId="0" xfId="0" quotePrefix="1" applyFont="1" applyAlignment="1">
      <alignment horizontal="center" wrapText="1"/>
    </xf>
    <xf numFmtId="0" fontId="11" fillId="0" borderId="0" xfId="0" applyFont="1" applyAlignment="1">
      <alignment horizontal="left" wrapText="1"/>
    </xf>
    <xf numFmtId="0" fontId="0" fillId="0" borderId="133" xfId="0" applyBorder="1" applyAlignment="1">
      <alignment horizontal="left" wrapText="1"/>
    </xf>
    <xf numFmtId="164" fontId="31" fillId="0" borderId="0" xfId="0" applyNumberFormat="1" applyFont="1" applyAlignment="1" applyProtection="1">
      <alignment horizontal="center"/>
      <protection locked="0"/>
    </xf>
    <xf numFmtId="0" fontId="0" fillId="0" borderId="123" xfId="0" applyBorder="1" applyAlignment="1">
      <alignment horizontal="center" wrapText="1"/>
    </xf>
    <xf numFmtId="14" fontId="11" fillId="0" borderId="4" xfId="0" applyNumberFormat="1" applyFont="1" applyBorder="1" applyAlignment="1">
      <alignment horizontal="left"/>
    </xf>
    <xf numFmtId="3" fontId="31" fillId="0" borderId="0" xfId="0" applyNumberFormat="1" applyFont="1" applyAlignment="1">
      <alignment horizontal="center"/>
      <extLst>
        <ext xmlns:xfpb="http://schemas.microsoft.com/office/spreadsheetml/2022/featurepropertybag" uri="{C7286773-470A-42A8-94C5-96B5CB345126}">
          <xfpb:xfComplement i="0"/>
        </ext>
      </extLst>
    </xf>
    <xf numFmtId="22" fontId="0" fillId="0" borderId="0" xfId="0" applyNumberFormat="1"/>
    <xf numFmtId="14" fontId="46" fillId="0" borderId="4" xfId="0" applyNumberFormat="1" applyFont="1" applyBorder="1" applyProtection="1">
      <protection locked="0"/>
    </xf>
    <xf numFmtId="14" fontId="15" fillId="0" borderId="0" xfId="0" applyNumberFormat="1" applyFont="1" applyAlignment="1">
      <alignment horizontal="center" vertical="center"/>
    </xf>
    <xf numFmtId="165" fontId="21" fillId="0" borderId="0" xfId="0" applyNumberFormat="1" applyFont="1" applyAlignment="1">
      <alignment horizontal="right"/>
    </xf>
    <xf numFmtId="165" fontId="22" fillId="0" borderId="0" xfId="0" applyNumberFormat="1" applyFont="1" applyAlignment="1">
      <alignment horizontal="right"/>
    </xf>
    <xf numFmtId="165" fontId="15" fillId="0" borderId="0" xfId="0" applyNumberFormat="1" applyFont="1" applyAlignment="1" applyProtection="1">
      <alignment horizontal="right" wrapText="1"/>
      <protection locked="0"/>
    </xf>
    <xf numFmtId="10" fontId="6" fillId="0" borderId="0" xfId="0" applyNumberFormat="1" applyFont="1" applyProtection="1">
      <protection locked="0"/>
    </xf>
    <xf numFmtId="8" fontId="15" fillId="0" borderId="124" xfId="0" applyNumberFormat="1" applyFont="1" applyBorder="1" applyAlignment="1" applyProtection="1">
      <alignment horizontal="center"/>
      <protection locked="0"/>
    </xf>
    <xf numFmtId="14" fontId="11" fillId="0" borderId="126" xfId="0" applyNumberFormat="1" applyFont="1" applyBorder="1" applyAlignment="1" applyProtection="1">
      <alignment horizontal="center"/>
      <protection locked="0"/>
    </xf>
    <xf numFmtId="14" fontId="11" fillId="0" borderId="124" xfId="0" applyNumberFormat="1" applyFont="1" applyBorder="1" applyAlignment="1" applyProtection="1">
      <alignment horizontal="center"/>
      <protection locked="0"/>
    </xf>
    <xf numFmtId="3" fontId="50" fillId="0" borderId="0" xfId="0" applyNumberFormat="1" applyFont="1" applyAlignment="1">
      <alignment horizontal="center"/>
    </xf>
    <xf numFmtId="165" fontId="46" fillId="0" borderId="4" xfId="0" applyNumberFormat="1" applyFont="1" applyBorder="1" applyAlignment="1" applyProtection="1">
      <alignment wrapText="1"/>
      <protection locked="0"/>
    </xf>
    <xf numFmtId="0" fontId="57" fillId="0" borderId="4" xfId="0" applyFont="1" applyBorder="1" applyAlignment="1" applyProtection="1">
      <alignment horizontal="left"/>
      <protection locked="0"/>
    </xf>
    <xf numFmtId="165" fontId="44" fillId="0" borderId="6" xfId="0" applyNumberFormat="1" applyFont="1" applyBorder="1" applyProtection="1">
      <protection locked="0"/>
    </xf>
    <xf numFmtId="14" fontId="0" fillId="10" borderId="54" xfId="0" applyNumberFormat="1" applyFill="1" applyBorder="1" applyAlignment="1">
      <alignment horizontal="center" wrapText="1"/>
    </xf>
    <xf numFmtId="49" fontId="6" fillId="21" borderId="0" xfId="0" applyNumberFormat="1" applyFont="1" applyFill="1"/>
    <xf numFmtId="0" fontId="11" fillId="0" borderId="0" xfId="0" applyFont="1" applyAlignment="1" applyProtection="1">
      <alignment horizontal="left"/>
      <protection locked="0"/>
    </xf>
    <xf numFmtId="0" fontId="11" fillId="0" borderId="0" xfId="0" applyFont="1" applyProtection="1">
      <protection locked="0"/>
    </xf>
    <xf numFmtId="14" fontId="11" fillId="0" borderId="0" xfId="0" applyNumberFormat="1" applyFont="1" applyProtection="1">
      <protection locked="0"/>
    </xf>
    <xf numFmtId="1" fontId="11" fillId="0" borderId="3" xfId="0" applyNumberFormat="1" applyFont="1" applyBorder="1" applyAlignment="1" applyProtection="1">
      <alignment horizontal="center"/>
      <protection locked="0"/>
    </xf>
    <xf numFmtId="165" fontId="69" fillId="0" borderId="4" xfId="0" applyNumberFormat="1" applyFont="1" applyBorder="1" applyProtection="1">
      <protection locked="0"/>
    </xf>
    <xf numFmtId="165" fontId="43" fillId="0" borderId="6" xfId="0" applyNumberFormat="1" applyFont="1" applyBorder="1" applyAlignment="1" applyProtection="1">
      <alignment horizontal="left"/>
      <protection locked="0"/>
    </xf>
    <xf numFmtId="3" fontId="32" fillId="0" borderId="0" xfId="0" applyNumberFormat="1" applyFont="1" applyAlignment="1" applyProtection="1">
      <alignment horizontal="center"/>
      <protection locked="0"/>
    </xf>
    <xf numFmtId="14" fontId="28" fillId="0" borderId="35" xfId="0" applyNumberFormat="1" applyFont="1" applyBorder="1" applyAlignment="1">
      <alignment wrapText="1"/>
    </xf>
    <xf numFmtId="14" fontId="11" fillId="0" borderId="3" xfId="0" applyNumberFormat="1" applyFont="1" applyBorder="1" applyAlignment="1" applyProtection="1">
      <alignment horizontal="center"/>
      <protection locked="0"/>
    </xf>
    <xf numFmtId="0" fontId="11" fillId="10" borderId="0" xfId="0" quotePrefix="1" applyFont="1" applyFill="1" applyAlignment="1">
      <alignment horizontal="center" wrapText="1"/>
    </xf>
    <xf numFmtId="14" fontId="15" fillId="7" borderId="0" xfId="0" applyNumberFormat="1" applyFont="1" applyFill="1" applyAlignment="1" applyProtection="1">
      <alignment horizontal="right"/>
      <protection locked="0"/>
    </xf>
    <xf numFmtId="165" fontId="0" fillId="3" borderId="0" xfId="0" applyNumberFormat="1" applyFill="1" applyAlignment="1" applyProtection="1">
      <alignment horizontal="left"/>
      <protection locked="0"/>
    </xf>
    <xf numFmtId="14" fontId="0" fillId="0" borderId="0" xfId="0" quotePrefix="1" applyNumberFormat="1" applyAlignment="1">
      <alignment horizontal="center" wrapText="1"/>
    </xf>
    <xf numFmtId="3" fontId="11" fillId="0" borderId="6" xfId="0" applyNumberFormat="1" applyFont="1" applyBorder="1" applyAlignment="1" applyProtection="1">
      <alignment horizontal="right"/>
      <protection locked="0"/>
    </xf>
    <xf numFmtId="165" fontId="11" fillId="0" borderId="126" xfId="0" applyNumberFormat="1" applyFont="1" applyBorder="1" applyAlignment="1" applyProtection="1">
      <alignment horizontal="center"/>
      <protection locked="0"/>
    </xf>
    <xf numFmtId="1" fontId="32" fillId="0" borderId="0" xfId="0" applyNumberFormat="1" applyFont="1" applyAlignment="1" applyProtection="1">
      <alignment horizontal="left"/>
      <protection locked="0"/>
    </xf>
    <xf numFmtId="165" fontId="32" fillId="0" borderId="0" xfId="0" applyNumberFormat="1" applyFont="1" applyAlignment="1" applyProtection="1">
      <alignment horizontal="left"/>
      <protection locked="0"/>
    </xf>
    <xf numFmtId="164" fontId="43" fillId="0" borderId="0" xfId="0" applyNumberFormat="1" applyFont="1" applyAlignment="1" applyProtection="1">
      <alignment horizontal="left"/>
      <protection locked="0"/>
    </xf>
    <xf numFmtId="0" fontId="32" fillId="0" borderId="4" xfId="0" applyFont="1" applyBorder="1" applyAlignment="1" applyProtection="1">
      <alignment horizontal="left"/>
      <protection locked="0"/>
    </xf>
    <xf numFmtId="3" fontId="56" fillId="0" borderId="0" xfId="0" applyNumberFormat="1" applyFont="1" applyAlignment="1" applyProtection="1">
      <alignment horizontal="center"/>
      <protection locked="0"/>
    </xf>
    <xf numFmtId="17" fontId="0" fillId="8" borderId="4" xfId="0" applyNumberFormat="1" applyFill="1" applyBorder="1" applyAlignment="1">
      <alignment horizontal="right"/>
    </xf>
    <xf numFmtId="0" fontId="31" fillId="7" borderId="4" xfId="0" applyFont="1" applyFill="1" applyBorder="1" applyAlignment="1">
      <alignment horizontal="left"/>
    </xf>
    <xf numFmtId="3" fontId="15" fillId="0" borderId="0" xfId="0" applyNumberFormat="1" applyFont="1" applyAlignment="1" applyProtection="1">
      <alignment horizontal="right"/>
      <protection locked="0"/>
    </xf>
    <xf numFmtId="165" fontId="0" fillId="0" borderId="28" xfId="0" applyNumberFormat="1" applyBorder="1" applyAlignment="1">
      <alignment horizontal="center" wrapText="1"/>
    </xf>
    <xf numFmtId="14" fontId="0" fillId="8" borderId="0" xfId="0" applyNumberFormat="1" applyFill="1" applyAlignment="1">
      <alignment horizontal="center"/>
    </xf>
    <xf numFmtId="14" fontId="15" fillId="8" borderId="0" xfId="0" applyNumberFormat="1" applyFont="1" applyFill="1" applyAlignment="1" applyProtection="1">
      <alignment horizontal="right"/>
      <protection locked="0"/>
    </xf>
    <xf numFmtId="1" fontId="0" fillId="8" borderId="0" xfId="0" applyNumberFormat="1" applyFill="1" applyAlignment="1" applyProtection="1">
      <alignment horizontal="right"/>
      <protection locked="0"/>
    </xf>
    <xf numFmtId="165" fontId="0" fillId="8" borderId="0" xfId="0" applyNumberFormat="1" applyFill="1" applyAlignment="1" applyProtection="1">
      <alignment horizontal="right"/>
      <protection locked="0"/>
    </xf>
    <xf numFmtId="165" fontId="0" fillId="8" borderId="0" xfId="0" applyNumberFormat="1" applyFill="1" applyAlignment="1" applyProtection="1">
      <alignment horizontal="left"/>
      <protection locked="0"/>
    </xf>
    <xf numFmtId="1" fontId="0" fillId="0" borderId="4" xfId="0" applyNumberFormat="1" applyBorder="1"/>
    <xf numFmtId="164" fontId="0" fillId="7" borderId="4" xfId="0" applyNumberFormat="1" applyFill="1" applyBorder="1" applyAlignment="1">
      <alignment horizontal="right"/>
    </xf>
    <xf numFmtId="1" fontId="3" fillId="0" borderId="4" xfId="0" applyNumberFormat="1" applyFont="1" applyBorder="1" applyAlignment="1">
      <alignment horizontal="left" wrapText="1"/>
    </xf>
    <xf numFmtId="1" fontId="0" fillId="7" borderId="4" xfId="0" applyNumberFormat="1" applyFill="1" applyBorder="1" applyAlignment="1">
      <alignment horizontal="right"/>
    </xf>
    <xf numFmtId="1" fontId="15" fillId="7" borderId="4" xfId="0" applyNumberFormat="1" applyFont="1" applyFill="1" applyBorder="1" applyAlignment="1">
      <alignment horizontal="right"/>
    </xf>
    <xf numFmtId="1" fontId="44" fillId="0" borderId="4" xfId="0" applyNumberFormat="1" applyFont="1" applyBorder="1" applyProtection="1">
      <protection locked="0"/>
    </xf>
    <xf numFmtId="1" fontId="45" fillId="7" borderId="4" xfId="0" applyNumberFormat="1" applyFont="1" applyFill="1" applyBorder="1" applyProtection="1">
      <protection locked="0"/>
    </xf>
    <xf numFmtId="1" fontId="0" fillId="7" borderId="4" xfId="0" applyNumberFormat="1" applyFill="1" applyBorder="1" applyAlignment="1" applyProtection="1">
      <alignment horizontal="right"/>
      <protection locked="0"/>
    </xf>
    <xf numFmtId="1" fontId="47" fillId="0" borderId="4" xfId="0" applyNumberFormat="1" applyFont="1" applyBorder="1" applyProtection="1">
      <protection locked="0"/>
    </xf>
    <xf numFmtId="1" fontId="15" fillId="3" borderId="0" xfId="0" applyNumberFormat="1" applyFont="1" applyFill="1" applyAlignment="1" applyProtection="1">
      <alignment horizontal="right"/>
      <protection locked="0"/>
    </xf>
    <xf numFmtId="165" fontId="15" fillId="3" borderId="0" xfId="0" applyNumberFormat="1" applyFont="1" applyFill="1" applyAlignment="1" applyProtection="1">
      <alignment horizontal="right"/>
      <protection locked="0"/>
    </xf>
    <xf numFmtId="17" fontId="0" fillId="7" borderId="4" xfId="0" applyNumberFormat="1" applyFill="1" applyBorder="1" applyAlignment="1">
      <alignment horizontal="right"/>
    </xf>
    <xf numFmtId="4" fontId="53" fillId="0" borderId="0" xfId="0" applyNumberFormat="1" applyFont="1"/>
    <xf numFmtId="165" fontId="0" fillId="10" borderId="0" xfId="0" applyNumberFormat="1" applyFill="1" applyAlignment="1" applyProtection="1">
      <alignment horizontal="right"/>
      <protection locked="0"/>
    </xf>
    <xf numFmtId="0" fontId="15" fillId="0" borderId="4" xfId="0" applyFont="1" applyBorder="1" applyAlignment="1">
      <alignment horizontal="center" vertical="center"/>
    </xf>
    <xf numFmtId="165" fontId="17" fillId="0" borderId="0" xfId="0" applyNumberFormat="1" applyFont="1" applyAlignment="1">
      <alignment horizontal="right"/>
    </xf>
    <xf numFmtId="14" fontId="0" fillId="7" borderId="0" xfId="0" applyNumberFormat="1" applyFill="1" applyAlignment="1" applyProtection="1">
      <alignment horizontal="center"/>
      <protection locked="0"/>
    </xf>
    <xf numFmtId="0" fontId="0" fillId="0" borderId="55" xfId="0" applyBorder="1" applyAlignment="1">
      <alignment horizontal="center" wrapText="1"/>
    </xf>
    <xf numFmtId="0" fontId="0" fillId="0" borderId="0" xfId="0" applyAlignment="1" applyProtection="1">
      <alignment vertical="top" wrapText="1"/>
      <protection locked="0"/>
    </xf>
    <xf numFmtId="164" fontId="0" fillId="7" borderId="4" xfId="0" applyNumberFormat="1" applyFill="1" applyBorder="1" applyAlignment="1" applyProtection="1">
      <alignment horizontal="right"/>
      <protection locked="0"/>
    </xf>
    <xf numFmtId="1" fontId="15" fillId="11" borderId="0" xfId="0" applyNumberFormat="1" applyFont="1" applyFill="1"/>
    <xf numFmtId="17" fontId="0" fillId="0" borderId="3" xfId="0" applyNumberFormat="1" applyBorder="1" applyAlignment="1" applyProtection="1">
      <alignment horizontal="right"/>
      <protection locked="0"/>
    </xf>
    <xf numFmtId="14" fontId="11" fillId="0" borderId="29" xfId="0" applyNumberFormat="1" applyFont="1" applyBorder="1" applyAlignment="1">
      <alignment wrapText="1"/>
    </xf>
    <xf numFmtId="14" fontId="0" fillId="0" borderId="28" xfId="0" applyNumberFormat="1" applyBorder="1" applyAlignment="1">
      <alignment horizontal="center"/>
    </xf>
    <xf numFmtId="9" fontId="0" fillId="0" borderId="28" xfId="0" applyNumberFormat="1" applyBorder="1" applyAlignment="1">
      <alignment horizontal="center" wrapText="1"/>
    </xf>
    <xf numFmtId="0" fontId="13" fillId="0" borderId="54" xfId="0" applyFont="1" applyBorder="1" applyAlignment="1">
      <alignment horizontal="center" wrapText="1"/>
    </xf>
    <xf numFmtId="17" fontId="44" fillId="0" borderId="0" xfId="0" applyNumberFormat="1" applyFont="1" applyAlignment="1">
      <alignment horizontal="right" wrapText="1"/>
    </xf>
    <xf numFmtId="14" fontId="11" fillId="0" borderId="54" xfId="0" applyNumberFormat="1" applyFont="1" applyBorder="1" applyAlignment="1">
      <alignment horizontal="center" wrapText="1"/>
    </xf>
    <xf numFmtId="0" fontId="0" fillId="0" borderId="122" xfId="0" applyBorder="1" applyAlignment="1">
      <alignment horizontal="center"/>
    </xf>
    <xf numFmtId="165" fontId="0" fillId="10" borderId="4" xfId="0" applyNumberFormat="1" applyFill="1" applyBorder="1" applyAlignment="1" applyProtection="1">
      <alignment horizontal="right"/>
      <protection locked="0"/>
    </xf>
    <xf numFmtId="165" fontId="31" fillId="10" borderId="6" xfId="0" applyNumberFormat="1" applyFont="1" applyFill="1" applyBorder="1" applyAlignment="1" applyProtection="1">
      <alignment horizontal="left"/>
      <protection locked="0"/>
    </xf>
    <xf numFmtId="0" fontId="0" fillId="0" borderId="4" xfId="0" applyBorder="1" applyProtection="1">
      <protection locked="0"/>
    </xf>
    <xf numFmtId="166" fontId="11" fillId="0" borderId="29" xfId="0" applyNumberFormat="1" applyFont="1" applyBorder="1" applyAlignment="1">
      <alignment horizontal="center"/>
    </xf>
    <xf numFmtId="3" fontId="0" fillId="0" borderId="28" xfId="0" applyNumberFormat="1" applyBorder="1" applyAlignment="1">
      <alignment horizontal="center" wrapText="1"/>
    </xf>
    <xf numFmtId="167" fontId="44" fillId="2" borderId="0" xfId="0" applyNumberFormat="1" applyFont="1" applyFill="1" applyAlignment="1">
      <alignment wrapText="1"/>
    </xf>
    <xf numFmtId="165" fontId="46" fillId="0" borderId="4" xfId="0" applyNumberFormat="1" applyFont="1" applyBorder="1" applyProtection="1">
      <protection locked="0"/>
    </xf>
    <xf numFmtId="14" fontId="20" fillId="0" borderId="35" xfId="0" applyNumberFormat="1" applyFont="1" applyBorder="1" applyAlignment="1">
      <alignment wrapText="1"/>
    </xf>
    <xf numFmtId="14" fontId="15" fillId="0" borderId="126" xfId="0" applyNumberFormat="1" applyFont="1" applyBorder="1" applyAlignment="1" applyProtection="1">
      <alignment horizontal="center"/>
      <protection locked="0"/>
    </xf>
    <xf numFmtId="165" fontId="57" fillId="0" borderId="0" xfId="0" quotePrefix="1" applyNumberFormat="1" applyFont="1" applyAlignment="1" applyProtection="1">
      <alignment horizontal="left"/>
      <protection locked="0"/>
    </xf>
    <xf numFmtId="1" fontId="57" fillId="0" borderId="0" xfId="0" quotePrefix="1" applyNumberFormat="1" applyFont="1" applyAlignment="1" applyProtection="1">
      <alignment horizontal="left"/>
      <protection locked="0"/>
    </xf>
    <xf numFmtId="14" fontId="0" fillId="0" borderId="43" xfId="0" applyNumberFormat="1" applyBorder="1" applyAlignment="1">
      <alignment horizontal="center"/>
    </xf>
    <xf numFmtId="167" fontId="47" fillId="0" borderId="0" xfId="0" applyNumberFormat="1" applyFont="1" applyAlignment="1">
      <alignment wrapText="1"/>
    </xf>
    <xf numFmtId="0" fontId="47" fillId="0" borderId="0" xfId="0" applyFont="1" applyAlignment="1">
      <alignment horizontal="right" wrapText="1"/>
    </xf>
    <xf numFmtId="0" fontId="0" fillId="0" borderId="107" xfId="0" applyBorder="1" applyAlignment="1">
      <alignment wrapText="1"/>
    </xf>
    <xf numFmtId="0" fontId="0" fillId="0" borderId="35" xfId="0" applyBorder="1" applyAlignment="1">
      <alignment wrapText="1"/>
    </xf>
    <xf numFmtId="49" fontId="0" fillId="0" borderId="115" xfId="0" applyNumberFormat="1" applyBorder="1" applyAlignment="1">
      <alignment wrapText="1"/>
    </xf>
    <xf numFmtId="14" fontId="0" fillId="0" borderId="115" xfId="0" applyNumberFormat="1" applyBorder="1" applyAlignment="1">
      <alignment wrapText="1"/>
    </xf>
    <xf numFmtId="14" fontId="0" fillId="0" borderId="136" xfId="0" applyNumberFormat="1" applyBorder="1" applyAlignment="1">
      <alignment wrapText="1"/>
    </xf>
    <xf numFmtId="0" fontId="0" fillId="0" borderId="115" xfId="0" applyBorder="1" applyAlignment="1">
      <alignment wrapText="1"/>
    </xf>
    <xf numFmtId="165" fontId="0" fillId="0" borderId="137" xfId="0" applyNumberFormat="1" applyBorder="1" applyAlignment="1">
      <alignment horizontal="center" wrapText="1"/>
    </xf>
    <xf numFmtId="0" fontId="0" fillId="0" borderId="51" xfId="0" applyBorder="1" applyAlignment="1">
      <alignment horizontal="center" wrapText="1"/>
    </xf>
    <xf numFmtId="3" fontId="0" fillId="2" borderId="6" xfId="0" applyNumberFormat="1" applyFill="1" applyBorder="1" applyAlignment="1">
      <alignment horizontal="right"/>
    </xf>
    <xf numFmtId="3" fontId="0" fillId="10" borderId="6" xfId="0" applyNumberFormat="1" applyFill="1" applyBorder="1" applyAlignment="1" applyProtection="1">
      <alignment horizontal="right"/>
      <protection locked="0"/>
    </xf>
    <xf numFmtId="14" fontId="15" fillId="10" borderId="3" xfId="0" applyNumberFormat="1" applyFont="1" applyFill="1" applyBorder="1" applyAlignment="1">
      <alignment horizontal="center"/>
    </xf>
    <xf numFmtId="1" fontId="46" fillId="0" borderId="0" xfId="0" applyNumberFormat="1" applyFont="1" applyProtection="1">
      <protection locked="0"/>
    </xf>
    <xf numFmtId="3" fontId="31" fillId="0" borderId="4" xfId="0" applyNumberFormat="1" applyFont="1" applyBorder="1" applyAlignment="1" applyProtection="1">
      <alignment horizontal="center"/>
      <protection locked="0"/>
    </xf>
    <xf numFmtId="14" fontId="28" fillId="0" borderId="107" xfId="0" applyNumberFormat="1" applyFont="1" applyBorder="1" applyAlignment="1">
      <alignment wrapText="1"/>
    </xf>
    <xf numFmtId="8" fontId="14" fillId="0" borderId="124" xfId="0" applyNumberFormat="1" applyFont="1" applyBorder="1" applyAlignment="1">
      <alignment wrapText="1"/>
    </xf>
    <xf numFmtId="14" fontId="0" fillId="0" borderId="54" xfId="0" applyNumberFormat="1" applyBorder="1" applyAlignment="1">
      <alignment horizontal="right" wrapText="1"/>
    </xf>
    <xf numFmtId="14" fontId="11" fillId="2" borderId="35" xfId="0" quotePrefix="1" applyNumberFormat="1" applyFont="1" applyFill="1" applyBorder="1" applyAlignment="1">
      <alignment horizontal="center" wrapText="1"/>
    </xf>
    <xf numFmtId="1" fontId="11" fillId="0" borderId="0" xfId="0" applyNumberFormat="1" applyFont="1" applyProtection="1">
      <protection locked="0"/>
    </xf>
    <xf numFmtId="17" fontId="11" fillId="0" borderId="3" xfId="0" applyNumberFormat="1" applyFont="1" applyBorder="1" applyAlignment="1" applyProtection="1">
      <alignment horizontal="right"/>
      <protection locked="0"/>
    </xf>
    <xf numFmtId="0" fontId="19" fillId="0" borderId="4" xfId="0" applyFont="1" applyBorder="1" applyAlignment="1" applyProtection="1">
      <alignment horizontal="left"/>
      <protection locked="0"/>
    </xf>
    <xf numFmtId="0" fontId="0" fillId="0" borderId="3" xfId="0" applyBorder="1" applyAlignment="1">
      <alignment horizontal="center"/>
    </xf>
    <xf numFmtId="14" fontId="14" fillId="0" borderId="118" xfId="0" applyNumberFormat="1" applyFont="1" applyBorder="1" applyAlignment="1">
      <alignment horizontal="center" wrapText="1"/>
    </xf>
    <xf numFmtId="0" fontId="31" fillId="0" borderId="56" xfId="0" applyFont="1" applyBorder="1" applyAlignment="1">
      <alignment horizontal="center" wrapText="1"/>
    </xf>
    <xf numFmtId="0" fontId="0" fillId="0" borderId="102" xfId="0" applyBorder="1" applyAlignment="1">
      <alignment horizontal="center" wrapText="1"/>
    </xf>
    <xf numFmtId="14" fontId="0" fillId="0" borderId="35" xfId="0" quotePrefix="1" applyNumberFormat="1" applyBorder="1" applyAlignment="1">
      <alignment wrapText="1"/>
    </xf>
    <xf numFmtId="1" fontId="69" fillId="0" borderId="0" xfId="0" applyNumberFormat="1" applyFont="1" applyProtection="1">
      <protection locked="0"/>
    </xf>
    <xf numFmtId="17" fontId="32" fillId="0" borderId="0" xfId="0" applyNumberFormat="1" applyFont="1" applyAlignment="1" applyProtection="1">
      <alignment horizontal="left"/>
      <protection locked="0"/>
    </xf>
    <xf numFmtId="14" fontId="32" fillId="0" borderId="0" xfId="0" applyNumberFormat="1" applyFont="1" applyAlignment="1" applyProtection="1">
      <alignment horizontal="left"/>
      <protection locked="0"/>
    </xf>
    <xf numFmtId="14" fontId="11" fillId="0" borderId="0" xfId="0" applyNumberFormat="1" applyFont="1" applyAlignment="1" applyProtection="1">
      <alignment horizontal="left"/>
      <protection locked="0"/>
    </xf>
    <xf numFmtId="165" fontId="44" fillId="0" borderId="4" xfId="0" applyNumberFormat="1" applyFont="1" applyBorder="1" applyAlignment="1">
      <alignment wrapText="1"/>
    </xf>
    <xf numFmtId="3" fontId="31" fillId="14" borderId="3" xfId="0" applyNumberFormat="1" applyFont="1" applyFill="1" applyBorder="1" applyAlignment="1">
      <alignment horizontal="center"/>
    </xf>
    <xf numFmtId="0" fontId="0" fillId="2" borderId="133" xfId="0" applyFill="1" applyBorder="1" applyAlignment="1">
      <alignment horizontal="left" wrapText="1"/>
    </xf>
    <xf numFmtId="14" fontId="0" fillId="0" borderId="120" xfId="0" applyNumberFormat="1" applyBorder="1" applyAlignment="1">
      <alignment wrapText="1"/>
    </xf>
    <xf numFmtId="1" fontId="0" fillId="0" borderId="0" xfId="0" applyNumberFormat="1" applyAlignment="1">
      <alignment horizontal="center" wrapText="1"/>
    </xf>
    <xf numFmtId="165" fontId="0" fillId="10" borderId="8" xfId="0" applyNumberFormat="1" applyFill="1" applyBorder="1" applyAlignment="1">
      <alignment horizontal="center"/>
    </xf>
    <xf numFmtId="1" fontId="11" fillId="0" borderId="0" xfId="0" applyNumberFormat="1" applyFont="1" applyAlignment="1">
      <alignment horizontal="center" wrapText="1"/>
    </xf>
    <xf numFmtId="14" fontId="11" fillId="10" borderId="0" xfId="0" applyNumberFormat="1" applyFont="1" applyFill="1" applyAlignment="1">
      <alignment horizontal="center" wrapText="1"/>
    </xf>
    <xf numFmtId="49" fontId="25" fillId="0" borderId="65" xfId="0" applyNumberFormat="1" applyFont="1" applyBorder="1" applyAlignment="1">
      <alignment horizontal="left" wrapText="1"/>
    </xf>
    <xf numFmtId="0" fontId="15" fillId="23" borderId="7" xfId="0" applyFont="1" applyFill="1" applyBorder="1" applyAlignment="1">
      <alignment horizontal="center" vertical="center"/>
    </xf>
    <xf numFmtId="0" fontId="11" fillId="0" borderId="115" xfId="0" applyFont="1" applyBorder="1" applyAlignment="1">
      <alignment wrapText="1"/>
    </xf>
    <xf numFmtId="0" fontId="32" fillId="0" borderId="0" xfId="0" applyFont="1" applyAlignment="1">
      <alignment horizontal="center" wrapText="1"/>
    </xf>
    <xf numFmtId="3" fontId="0" fillId="0" borderId="45" xfId="0" applyNumberFormat="1" applyBorder="1" applyAlignment="1">
      <alignment horizontal="center" wrapText="1"/>
    </xf>
    <xf numFmtId="14" fontId="0" fillId="10" borderId="4" xfId="0" applyNumberFormat="1" applyFill="1" applyBorder="1" applyAlignment="1">
      <alignment horizontal="center" vertical="center"/>
    </xf>
    <xf numFmtId="0" fontId="0" fillId="10" borderId="0" xfId="0" applyFill="1" applyAlignment="1">
      <alignment horizontal="center"/>
    </xf>
    <xf numFmtId="9" fontId="11" fillId="0" borderId="35" xfId="0" applyNumberFormat="1" applyFont="1" applyBorder="1" applyAlignment="1">
      <alignment horizontal="center" wrapText="1"/>
    </xf>
    <xf numFmtId="1" fontId="15" fillId="0" borderId="134" xfId="0" applyNumberFormat="1" applyFont="1" applyBorder="1" applyProtection="1">
      <protection locked="0"/>
    </xf>
    <xf numFmtId="14" fontId="0" fillId="0" borderId="4" xfId="0" applyNumberFormat="1" applyBorder="1" applyProtection="1">
      <protection locked="0"/>
    </xf>
    <xf numFmtId="17" fontId="15" fillId="0" borderId="6" xfId="0" applyNumberFormat="1" applyFont="1" applyBorder="1" applyAlignment="1" applyProtection="1">
      <alignment horizontal="right"/>
      <protection locked="0"/>
    </xf>
    <xf numFmtId="14" fontId="0" fillId="0" borderId="6" xfId="0" applyNumberFormat="1" applyBorder="1" applyAlignment="1" applyProtection="1">
      <alignment horizontal="right"/>
      <protection locked="0"/>
    </xf>
    <xf numFmtId="17" fontId="0" fillId="0" borderId="6" xfId="0" applyNumberFormat="1" applyBorder="1" applyAlignment="1" applyProtection="1">
      <alignment horizontal="right"/>
      <protection locked="0"/>
    </xf>
    <xf numFmtId="17" fontId="15" fillId="0" borderId="0" xfId="0" applyNumberFormat="1" applyFont="1" applyAlignment="1" applyProtection="1">
      <alignment horizontal="right"/>
      <protection locked="0"/>
    </xf>
    <xf numFmtId="14" fontId="15" fillId="0" borderId="6" xfId="0" applyNumberFormat="1" applyFont="1" applyBorder="1" applyAlignment="1" applyProtection="1">
      <alignment horizontal="right"/>
      <protection locked="0"/>
    </xf>
    <xf numFmtId="1" fontId="0" fillId="0" borderId="0" xfId="0" applyNumberFormat="1" applyAlignment="1" applyProtection="1">
      <alignment horizontal="center"/>
      <protection locked="0"/>
    </xf>
    <xf numFmtId="10" fontId="12" fillId="0" borderId="6" xfId="0" applyNumberFormat="1" applyFont="1" applyBorder="1" applyAlignment="1" applyProtection="1">
      <alignment horizontal="right"/>
      <protection locked="0"/>
    </xf>
    <xf numFmtId="165" fontId="12" fillId="0" borderId="6" xfId="0" applyNumberFormat="1" applyFont="1" applyBorder="1" applyAlignment="1" applyProtection="1">
      <alignment horizontal="right"/>
      <protection locked="0"/>
    </xf>
    <xf numFmtId="10" fontId="6" fillId="0" borderId="6" xfId="0" applyNumberFormat="1" applyFont="1" applyBorder="1" applyAlignment="1" applyProtection="1">
      <alignment horizontal="right"/>
      <protection locked="0"/>
    </xf>
    <xf numFmtId="10" fontId="12" fillId="0" borderId="0" xfId="0" applyNumberFormat="1" applyFont="1" applyAlignment="1" applyProtection="1">
      <alignment horizontal="right"/>
      <protection locked="0"/>
    </xf>
    <xf numFmtId="10" fontId="12" fillId="11" borderId="6" xfId="0" applyNumberFormat="1" applyFont="1" applyFill="1" applyBorder="1" applyAlignment="1">
      <alignment horizontal="right"/>
    </xf>
    <xf numFmtId="165" fontId="11" fillId="0" borderId="3" xfId="0" applyNumberFormat="1" applyFont="1" applyBorder="1" applyAlignment="1" applyProtection="1">
      <alignment horizontal="right"/>
      <protection locked="0"/>
    </xf>
    <xf numFmtId="165" fontId="11" fillId="0" borderId="8" xfId="0" applyNumberFormat="1" applyFont="1" applyBorder="1" applyAlignment="1" applyProtection="1">
      <alignment horizontal="right"/>
      <protection locked="0"/>
    </xf>
    <xf numFmtId="3" fontId="0" fillId="0" borderId="3" xfId="0" applyNumberFormat="1" applyBorder="1" applyAlignment="1" applyProtection="1">
      <alignment horizontal="right"/>
      <protection locked="0"/>
    </xf>
    <xf numFmtId="165" fontId="16" fillId="0" borderId="134" xfId="0" applyNumberFormat="1" applyFont="1" applyBorder="1" applyAlignment="1" applyProtection="1">
      <alignment horizontal="right"/>
      <protection locked="0"/>
    </xf>
    <xf numFmtId="165" fontId="11" fillId="0" borderId="134" xfId="0" applyNumberFormat="1" applyFont="1" applyBorder="1" applyAlignment="1" applyProtection="1">
      <alignment horizontal="right"/>
      <protection locked="0"/>
    </xf>
    <xf numFmtId="165" fontId="15" fillId="0" borderId="3" xfId="0" applyNumberFormat="1" applyFont="1" applyBorder="1" applyAlignment="1" applyProtection="1">
      <alignment horizontal="center"/>
      <protection locked="0"/>
    </xf>
    <xf numFmtId="165" fontId="11" fillId="0" borderId="3" xfId="0" applyNumberFormat="1" applyFont="1" applyBorder="1" applyAlignment="1" applyProtection="1">
      <alignment horizontal="center"/>
      <protection locked="0"/>
    </xf>
    <xf numFmtId="14" fontId="11" fillId="0" borderId="4" xfId="0" applyNumberFormat="1" applyFont="1" applyBorder="1" applyAlignment="1" applyProtection="1">
      <alignment horizontal="center"/>
      <protection locked="0"/>
    </xf>
    <xf numFmtId="14" fontId="0" fillId="0" borderId="4" xfId="0" applyNumberFormat="1" applyBorder="1" applyAlignment="1" applyProtection="1">
      <alignment horizontal="center"/>
      <protection locked="0"/>
    </xf>
    <xf numFmtId="44" fontId="15" fillId="0" borderId="0" xfId="0" applyNumberFormat="1" applyFont="1" applyAlignment="1" applyProtection="1">
      <alignment horizontal="center"/>
      <protection locked="0"/>
    </xf>
    <xf numFmtId="8" fontId="15" fillId="0" borderId="0" xfId="0" applyNumberFormat="1" applyFont="1" applyAlignment="1" applyProtection="1">
      <alignment horizontal="center"/>
      <protection locked="0"/>
    </xf>
    <xf numFmtId="14" fontId="0" fillId="7" borderId="135" xfId="0" applyNumberFormat="1" applyFill="1" applyBorder="1" applyAlignment="1" applyProtection="1">
      <alignment horizontal="center"/>
      <protection locked="0"/>
    </xf>
    <xf numFmtId="10" fontId="15" fillId="0" borderId="0" xfId="0" applyNumberFormat="1" applyFont="1" applyAlignment="1" applyProtection="1">
      <alignment horizontal="center"/>
      <protection locked="0"/>
    </xf>
    <xf numFmtId="14" fontId="0" fillId="7" borderId="3" xfId="0" applyNumberFormat="1" applyFill="1" applyBorder="1" applyAlignment="1" applyProtection="1">
      <alignment horizontal="center"/>
      <protection locked="0"/>
    </xf>
    <xf numFmtId="1" fontId="44" fillId="0" borderId="6" xfId="0" applyNumberFormat="1" applyFont="1" applyBorder="1" applyProtection="1">
      <protection locked="0"/>
    </xf>
    <xf numFmtId="1" fontId="44" fillId="0" borderId="3" xfId="0" applyNumberFormat="1" applyFont="1" applyBorder="1" applyProtection="1">
      <protection locked="0"/>
    </xf>
    <xf numFmtId="1" fontId="44" fillId="0" borderId="3" xfId="0" applyNumberFormat="1" applyFont="1" applyBorder="1" applyAlignment="1" applyProtection="1">
      <alignment wrapText="1"/>
      <protection locked="0"/>
    </xf>
    <xf numFmtId="1" fontId="46" fillId="0" borderId="3" xfId="0" applyNumberFormat="1" applyFont="1" applyBorder="1" applyProtection="1">
      <protection locked="0"/>
    </xf>
    <xf numFmtId="14" fontId="44" fillId="0" borderId="0" xfId="0" applyNumberFormat="1" applyFont="1" applyProtection="1">
      <protection locked="0"/>
    </xf>
    <xf numFmtId="14" fontId="44" fillId="0" borderId="0" xfId="0" applyNumberFormat="1" applyFont="1" applyAlignment="1" applyProtection="1">
      <alignment horizontal="left" vertical="top" wrapText="1"/>
      <protection locked="0"/>
    </xf>
    <xf numFmtId="14" fontId="44" fillId="0" borderId="6" xfId="0" applyNumberFormat="1" applyFont="1" applyBorder="1" applyAlignment="1">
      <alignment wrapText="1"/>
    </xf>
    <xf numFmtId="17" fontId="19" fillId="0" borderId="3" xfId="0" applyNumberFormat="1" applyFont="1" applyBorder="1" applyAlignment="1" applyProtection="1">
      <alignment horizontal="left"/>
      <protection locked="0"/>
    </xf>
    <xf numFmtId="14" fontId="31" fillId="0" borderId="3" xfId="0" applyNumberFormat="1" applyFont="1" applyBorder="1" applyAlignment="1" applyProtection="1">
      <alignment horizontal="left"/>
      <protection locked="0"/>
    </xf>
    <xf numFmtId="17" fontId="56" fillId="0" borderId="3" xfId="0" applyNumberFormat="1" applyFont="1" applyBorder="1" applyAlignment="1" applyProtection="1">
      <alignment horizontal="left"/>
      <protection locked="0"/>
    </xf>
    <xf numFmtId="14" fontId="31" fillId="0" borderId="4" xfId="0" applyNumberFormat="1" applyFont="1" applyBorder="1" applyAlignment="1" applyProtection="1">
      <alignment horizontal="left"/>
      <protection locked="0"/>
    </xf>
    <xf numFmtId="14" fontId="57" fillId="0" borderId="4" xfId="0" applyNumberFormat="1" applyFont="1" applyBorder="1" applyAlignment="1" applyProtection="1">
      <alignment horizontal="left"/>
      <protection locked="0"/>
    </xf>
    <xf numFmtId="14" fontId="57" fillId="0" borderId="4" xfId="0" quotePrefix="1" applyNumberFormat="1" applyFont="1" applyBorder="1" applyAlignment="1" applyProtection="1">
      <alignment horizontal="left"/>
      <protection locked="0"/>
    </xf>
    <xf numFmtId="165" fontId="19" fillId="0" borderId="4" xfId="0" applyNumberFormat="1" applyFont="1" applyBorder="1" applyAlignment="1" applyProtection="1">
      <alignment horizontal="left"/>
      <protection locked="0"/>
    </xf>
    <xf numFmtId="3" fontId="31" fillId="0" borderId="3" xfId="0" applyNumberFormat="1" applyFont="1" applyBorder="1" applyAlignment="1" applyProtection="1">
      <alignment horizontal="center"/>
      <protection locked="0"/>
    </xf>
    <xf numFmtId="3" fontId="19" fillId="0" borderId="3" xfId="0" applyNumberFormat="1" applyFont="1" applyBorder="1" applyAlignment="1" applyProtection="1">
      <alignment horizontal="center"/>
      <protection locked="0"/>
    </xf>
    <xf numFmtId="3" fontId="57" fillId="0" borderId="3" xfId="0" applyNumberFormat="1" applyFont="1" applyBorder="1" applyAlignment="1" applyProtection="1">
      <alignment horizontal="center"/>
      <protection locked="0"/>
    </xf>
    <xf numFmtId="3" fontId="56" fillId="0" borderId="3" xfId="0" applyNumberFormat="1" applyFont="1" applyBorder="1" applyAlignment="1" applyProtection="1">
      <alignment horizontal="center"/>
      <protection locked="0"/>
    </xf>
    <xf numFmtId="0" fontId="31" fillId="0" borderId="0" xfId="0" applyFont="1" applyAlignment="1" applyProtection="1">
      <alignment horizontal="left" wrapText="1"/>
      <protection locked="0"/>
    </xf>
    <xf numFmtId="0" fontId="31" fillId="14" borderId="0" xfId="0" applyFont="1" applyFill="1" applyAlignment="1" applyProtection="1">
      <alignment horizontal="left"/>
      <protection locked="0"/>
    </xf>
    <xf numFmtId="14" fontId="15" fillId="0" borderId="51" xfId="0" applyNumberFormat="1" applyFont="1" applyBorder="1" applyAlignment="1">
      <alignment wrapText="1"/>
    </xf>
    <xf numFmtId="14" fontId="0" fillId="0" borderId="118" xfId="0" applyNumberFormat="1" applyBorder="1" applyAlignment="1">
      <alignment horizontal="center" wrapText="1"/>
    </xf>
    <xf numFmtId="14" fontId="67" fillId="0" borderId="35" xfId="0" applyNumberFormat="1" applyFont="1" applyBorder="1"/>
    <xf numFmtId="14" fontId="0" fillId="0" borderId="107" xfId="0" quotePrefix="1" applyNumberFormat="1" applyBorder="1" applyAlignment="1">
      <alignment wrapText="1"/>
    </xf>
    <xf numFmtId="3" fontId="0" fillId="10" borderId="0" xfId="0" applyNumberFormat="1" applyFill="1" applyAlignment="1" applyProtection="1">
      <alignment horizontal="right"/>
      <protection locked="0"/>
    </xf>
    <xf numFmtId="165" fontId="15" fillId="10" borderId="0" xfId="0" applyNumberFormat="1" applyFont="1" applyFill="1" applyAlignment="1" applyProtection="1">
      <alignment horizontal="right"/>
      <protection locked="0"/>
    </xf>
    <xf numFmtId="14" fontId="15" fillId="10" borderId="3" xfId="0" applyNumberFormat="1" applyFont="1" applyFill="1" applyBorder="1" applyAlignment="1" applyProtection="1">
      <alignment horizontal="center"/>
      <protection locked="0"/>
    </xf>
    <xf numFmtId="14" fontId="15" fillId="10" borderId="4" xfId="0" applyNumberFormat="1" applyFont="1" applyFill="1" applyBorder="1" applyAlignment="1" applyProtection="1">
      <alignment horizontal="center"/>
      <protection locked="0"/>
    </xf>
    <xf numFmtId="165" fontId="0" fillId="10" borderId="0" xfId="0" applyNumberFormat="1" applyFill="1" applyAlignment="1" applyProtection="1">
      <alignment horizontal="center"/>
      <protection locked="0"/>
    </xf>
    <xf numFmtId="14" fontId="0" fillId="10" borderId="0" xfId="0" applyNumberFormat="1" applyFill="1" applyAlignment="1" applyProtection="1">
      <alignment horizontal="center" wrapText="1"/>
      <protection locked="0"/>
    </xf>
    <xf numFmtId="3" fontId="0" fillId="2" borderId="0" xfId="0" applyNumberFormat="1" applyFill="1" applyAlignment="1">
      <alignment horizontal="right"/>
    </xf>
    <xf numFmtId="14" fontId="11" fillId="2" borderId="0" xfId="0" applyNumberFormat="1" applyFont="1" applyFill="1" applyAlignment="1">
      <alignment horizontal="center"/>
    </xf>
    <xf numFmtId="165" fontId="15" fillId="2" borderId="124" xfId="0" applyNumberFormat="1" applyFont="1" applyFill="1" applyBorder="1" applyAlignment="1">
      <alignment horizontal="center"/>
    </xf>
    <xf numFmtId="165" fontId="0" fillId="7" borderId="125" xfId="0" applyNumberFormat="1" applyFill="1" applyBorder="1" applyAlignment="1">
      <alignment horizontal="center"/>
    </xf>
    <xf numFmtId="10" fontId="0" fillId="2" borderId="125" xfId="0" applyNumberFormat="1" applyFill="1" applyBorder="1" applyAlignment="1" applyProtection="1">
      <alignment horizontal="center"/>
      <protection locked="0"/>
    </xf>
    <xf numFmtId="14" fontId="28" fillId="2" borderId="107" xfId="0" applyNumberFormat="1" applyFont="1" applyFill="1" applyBorder="1" applyAlignment="1">
      <alignment wrapText="1"/>
    </xf>
    <xf numFmtId="0" fontId="0" fillId="0" borderId="5" xfId="0" applyBorder="1" applyAlignment="1">
      <alignment horizontal="center" wrapText="1"/>
    </xf>
    <xf numFmtId="14" fontId="11" fillId="0" borderId="36" xfId="0" applyNumberFormat="1" applyFont="1" applyBorder="1" applyAlignment="1">
      <alignment wrapText="1"/>
    </xf>
    <xf numFmtId="14" fontId="0" fillId="0" borderId="101" xfId="0" applyNumberFormat="1" applyBorder="1" applyAlignment="1">
      <alignment horizontal="center"/>
    </xf>
    <xf numFmtId="14" fontId="11" fillId="2" borderId="35" xfId="0" applyNumberFormat="1" applyFont="1" applyFill="1" applyBorder="1" applyAlignment="1">
      <alignment horizontal="center" wrapText="1"/>
    </xf>
    <xf numFmtId="14" fontId="58" fillId="0" borderId="35" xfId="0" applyNumberFormat="1" applyFont="1" applyBorder="1" applyAlignment="1">
      <alignment horizontal="center" wrapText="1"/>
    </xf>
    <xf numFmtId="165" fontId="6" fillId="21" borderId="4" xfId="0" applyNumberFormat="1" applyFont="1" applyFill="1" applyBorder="1" applyAlignment="1">
      <alignment horizontal="right"/>
    </xf>
    <xf numFmtId="14" fontId="0" fillId="10" borderId="3" xfId="0" applyNumberFormat="1" applyFill="1" applyBorder="1" applyAlignment="1">
      <alignment wrapText="1"/>
    </xf>
    <xf numFmtId="0" fontId="0" fillId="10" borderId="29" xfId="0" applyFill="1" applyBorder="1" applyAlignment="1">
      <alignment horizontal="center"/>
    </xf>
    <xf numFmtId="49" fontId="0" fillId="10" borderId="0" xfId="0" applyNumberFormat="1" applyFill="1"/>
    <xf numFmtId="14" fontId="0" fillId="10" borderId="0" xfId="0" applyNumberFormat="1" applyFill="1" applyAlignment="1">
      <alignment horizontal="right"/>
    </xf>
    <xf numFmtId="14" fontId="0" fillId="10" borderId="0" xfId="0" applyNumberFormat="1" applyFill="1"/>
    <xf numFmtId="165" fontId="12" fillId="2" borderId="4" xfId="0" applyNumberFormat="1" applyFont="1" applyFill="1" applyBorder="1" applyAlignment="1">
      <alignment horizontal="right"/>
    </xf>
    <xf numFmtId="14" fontId="0" fillId="10" borderId="35" xfId="0" applyNumberFormat="1" applyFill="1" applyBorder="1" applyAlignment="1">
      <alignment horizontal="center" wrapText="1"/>
    </xf>
    <xf numFmtId="167" fontId="0" fillId="10" borderId="101" xfId="0" applyNumberFormat="1" applyFill="1" applyBorder="1" applyAlignment="1">
      <alignment horizontal="center" wrapText="1"/>
    </xf>
    <xf numFmtId="167" fontId="47" fillId="2" borderId="0" xfId="0" applyNumberFormat="1" applyFont="1" applyFill="1" applyAlignment="1">
      <alignment wrapText="1"/>
    </xf>
    <xf numFmtId="14" fontId="0" fillId="2" borderId="0" xfId="0" applyNumberFormat="1" applyFill="1" applyAlignment="1" applyProtection="1">
      <alignment vertical="top" wrapText="1"/>
      <protection locked="0"/>
    </xf>
    <xf numFmtId="14" fontId="15" fillId="2" borderId="4" xfId="0" applyNumberFormat="1" applyFont="1" applyFill="1" applyBorder="1" applyAlignment="1" applyProtection="1">
      <alignment horizontal="center"/>
      <protection locked="0"/>
    </xf>
    <xf numFmtId="14" fontId="11" fillId="10" borderId="36" xfId="0" applyNumberFormat="1" applyFont="1" applyFill="1" applyBorder="1" applyAlignment="1">
      <alignment horizontal="center"/>
    </xf>
    <xf numFmtId="14" fontId="11" fillId="10" borderId="101" xfId="0" applyNumberFormat="1" applyFont="1" applyFill="1" applyBorder="1" applyAlignment="1">
      <alignment horizontal="center" wrapText="1"/>
    </xf>
    <xf numFmtId="1" fontId="0" fillId="0" borderId="53" xfId="0" applyNumberFormat="1" applyBorder="1" applyAlignment="1">
      <alignment horizontal="center" wrapText="1"/>
    </xf>
    <xf numFmtId="49" fontId="0" fillId="0" borderId="50" xfId="0" quotePrefix="1" applyNumberFormat="1" applyBorder="1" applyAlignment="1">
      <alignment horizontal="left" wrapText="1"/>
    </xf>
    <xf numFmtId="14" fontId="15" fillId="0" borderId="0" xfId="0" applyNumberFormat="1" applyFont="1" applyAlignment="1">
      <alignment wrapText="1"/>
    </xf>
    <xf numFmtId="0" fontId="13" fillId="0" borderId="65" xfId="0" applyFont="1" applyBorder="1" applyAlignment="1">
      <alignment wrapText="1"/>
    </xf>
    <xf numFmtId="14" fontId="11" fillId="0" borderId="54" xfId="0" applyNumberFormat="1" applyFont="1" applyBorder="1" applyAlignment="1">
      <alignment vertical="top" wrapText="1"/>
    </xf>
    <xf numFmtId="14" fontId="0" fillId="0" borderId="0" xfId="0" applyNumberFormat="1" applyAlignment="1">
      <alignment vertical="top" wrapText="1"/>
    </xf>
    <xf numFmtId="14" fontId="0" fillId="2" borderId="54" xfId="0" applyNumberFormat="1" applyFill="1" applyBorder="1" applyAlignment="1">
      <alignment horizontal="center" wrapText="1"/>
    </xf>
    <xf numFmtId="14" fontId="0" fillId="11" borderId="0" xfId="0" applyNumberFormat="1" applyFill="1" applyAlignment="1">
      <alignment horizontal="center" wrapText="1"/>
    </xf>
    <xf numFmtId="14" fontId="17" fillId="0" borderId="54" xfId="0" applyNumberFormat="1" applyFont="1" applyBorder="1" applyAlignment="1">
      <alignment horizontal="center" wrapText="1"/>
    </xf>
    <xf numFmtId="1" fontId="0" fillId="10" borderId="55" xfId="0" applyNumberFormat="1" applyFill="1" applyBorder="1" applyAlignment="1">
      <alignment horizontal="center" wrapText="1"/>
    </xf>
    <xf numFmtId="0" fontId="14" fillId="0" borderId="55" xfId="0" applyFont="1" applyBorder="1" applyAlignment="1">
      <alignment horizontal="left" wrapText="1"/>
    </xf>
    <xf numFmtId="0" fontId="0" fillId="0" borderId="121" xfId="0" applyBorder="1" applyAlignment="1">
      <alignment horizontal="left" wrapText="1"/>
    </xf>
    <xf numFmtId="0" fontId="0" fillId="10" borderId="50" xfId="0" applyFill="1" applyBorder="1" applyAlignment="1">
      <alignment horizontal="center" wrapText="1"/>
    </xf>
    <xf numFmtId="0" fontId="0" fillId="10" borderId="53" xfId="0" applyFill="1" applyBorder="1" applyAlignment="1">
      <alignment horizontal="center"/>
    </xf>
    <xf numFmtId="0" fontId="0" fillId="10" borderId="119" xfId="0" applyFill="1" applyBorder="1" applyAlignment="1">
      <alignment horizontal="center"/>
    </xf>
    <xf numFmtId="0" fontId="14" fillId="0" borderId="102" xfId="0" applyFont="1" applyBorder="1" applyAlignment="1">
      <alignment horizontal="center"/>
    </xf>
    <xf numFmtId="0" fontId="32" fillId="10" borderId="44" xfId="0" applyFont="1" applyFill="1" applyBorder="1" applyAlignment="1">
      <alignment horizontal="center"/>
    </xf>
    <xf numFmtId="0" fontId="0" fillId="10" borderId="43" xfId="0" applyFill="1" applyBorder="1" applyAlignment="1">
      <alignment wrapText="1"/>
    </xf>
    <xf numFmtId="14" fontId="0" fillId="10" borderId="28" xfId="0" applyNumberFormat="1" applyFill="1" applyBorder="1" applyAlignment="1">
      <alignment horizontal="center" wrapText="1"/>
    </xf>
    <xf numFmtId="0" fontId="0" fillId="10" borderId="28" xfId="0" applyFill="1" applyBorder="1" applyAlignment="1">
      <alignment horizontal="center"/>
    </xf>
    <xf numFmtId="14" fontId="0" fillId="10" borderId="28" xfId="0" applyNumberFormat="1" applyFill="1" applyBorder="1" applyAlignment="1">
      <alignment wrapText="1"/>
    </xf>
    <xf numFmtId="166" fontId="11" fillId="10" borderId="28" xfId="0" applyNumberFormat="1" applyFont="1" applyFill="1" applyBorder="1" applyAlignment="1">
      <alignment horizontal="center"/>
    </xf>
    <xf numFmtId="166" fontId="11" fillId="10" borderId="29" xfId="0" applyNumberFormat="1" applyFont="1" applyFill="1" applyBorder="1" applyAlignment="1">
      <alignment horizontal="center"/>
    </xf>
    <xf numFmtId="0" fontId="0" fillId="10" borderId="43" xfId="0" applyFill="1" applyBorder="1" applyAlignment="1">
      <alignment horizontal="center"/>
    </xf>
    <xf numFmtId="0" fontId="0" fillId="10" borderId="43" xfId="0" applyFill="1" applyBorder="1" applyAlignment="1">
      <alignment horizontal="center" wrapText="1"/>
    </xf>
    <xf numFmtId="0" fontId="0" fillId="10" borderId="28" xfId="0" applyFill="1" applyBorder="1" applyAlignment="1">
      <alignment horizontal="center" wrapText="1"/>
    </xf>
    <xf numFmtId="0" fontId="0" fillId="10" borderId="29" xfId="0" applyFill="1" applyBorder="1" applyAlignment="1">
      <alignment wrapText="1"/>
    </xf>
    <xf numFmtId="14" fontId="30" fillId="0" borderId="4" xfId="0" applyNumberFormat="1" applyFont="1" applyBorder="1" applyAlignment="1">
      <alignment horizontal="left"/>
    </xf>
    <xf numFmtId="0" fontId="31" fillId="0" borderId="133" xfId="0" applyFont="1" applyBorder="1" applyAlignment="1">
      <alignment horizontal="left" wrapText="1"/>
    </xf>
    <xf numFmtId="0" fontId="0" fillId="2" borderId="35" xfId="0" applyFill="1" applyBorder="1" applyAlignment="1">
      <alignment horizontal="left" wrapText="1"/>
    </xf>
    <xf numFmtId="0" fontId="14" fillId="22" borderId="44" xfId="0" applyFont="1" applyFill="1" applyBorder="1" applyAlignment="1">
      <alignment horizontal="center" wrapText="1"/>
    </xf>
    <xf numFmtId="0" fontId="32" fillId="22" borderId="28" xfId="0" applyFont="1" applyFill="1" applyBorder="1" applyAlignment="1">
      <alignment horizontal="center" wrapText="1"/>
    </xf>
    <xf numFmtId="0" fontId="32" fillId="22" borderId="29" xfId="0" applyFont="1" applyFill="1" applyBorder="1" applyAlignment="1">
      <alignment horizontal="center" wrapText="1"/>
    </xf>
    <xf numFmtId="14" fontId="11" fillId="0" borderId="54" xfId="0" applyNumberFormat="1" applyFont="1" applyBorder="1" applyAlignment="1">
      <alignment wrapText="1"/>
    </xf>
    <xf numFmtId="14" fontId="22" fillId="0" borderId="55" xfId="0" applyNumberFormat="1" applyFont="1" applyBorder="1" applyAlignment="1">
      <alignment wrapText="1"/>
    </xf>
    <xf numFmtId="14" fontId="28" fillId="0" borderId="51" xfId="0" applyNumberFormat="1" applyFont="1" applyBorder="1" applyAlignment="1">
      <alignment wrapText="1"/>
    </xf>
    <xf numFmtId="14" fontId="0" fillId="0" borderId="121" xfId="0" applyNumberFormat="1" applyBorder="1" applyAlignment="1">
      <alignment wrapText="1"/>
    </xf>
    <xf numFmtId="0" fontId="14" fillId="0" borderId="51" xfId="0" applyFont="1" applyBorder="1" applyAlignment="1">
      <alignment wrapText="1"/>
    </xf>
    <xf numFmtId="0" fontId="14" fillId="0" borderId="0" xfId="0" applyFont="1" applyAlignment="1">
      <alignment horizontal="center"/>
    </xf>
    <xf numFmtId="0" fontId="14" fillId="0" borderId="50" xfId="0" applyFont="1" applyBorder="1"/>
    <xf numFmtId="0" fontId="14" fillId="0" borderId="0" xfId="0" applyFont="1" applyAlignment="1">
      <alignment horizontal="center" wrapText="1"/>
    </xf>
    <xf numFmtId="14" fontId="0" fillId="11" borderId="50" xfId="0" applyNumberFormat="1" applyFill="1" applyBorder="1" applyAlignment="1">
      <alignment horizontal="center" wrapText="1"/>
    </xf>
    <xf numFmtId="0" fontId="11" fillId="0" borderId="53" xfId="0" applyFont="1" applyBorder="1" applyAlignment="1">
      <alignment horizontal="center"/>
    </xf>
    <xf numFmtId="0" fontId="15" fillId="0" borderId="54" xfId="0" applyFont="1" applyBorder="1" applyAlignment="1">
      <alignment horizontal="center" wrapText="1"/>
    </xf>
    <xf numFmtId="165" fontId="15" fillId="0" borderId="10" xfId="0" applyNumberFormat="1" applyFont="1" applyBorder="1" applyAlignment="1">
      <alignment horizontal="center"/>
    </xf>
    <xf numFmtId="165" fontId="0" fillId="10" borderId="10" xfId="0" applyNumberFormat="1" applyFill="1" applyBorder="1" applyAlignment="1">
      <alignment horizontal="center"/>
    </xf>
    <xf numFmtId="14" fontId="28" fillId="0" borderId="0" xfId="0" applyNumberFormat="1" applyFont="1" applyAlignment="1">
      <alignment wrapText="1"/>
    </xf>
    <xf numFmtId="14" fontId="0" fillId="0" borderId="138" xfId="0" applyNumberFormat="1" applyBorder="1" applyAlignment="1">
      <alignment horizontal="center"/>
    </xf>
    <xf numFmtId="0" fontId="0" fillId="0" borderId="136" xfId="0" applyBorder="1"/>
    <xf numFmtId="14" fontId="6" fillId="0" borderId="115" xfId="0" applyNumberFormat="1" applyFont="1" applyBorder="1"/>
    <xf numFmtId="166" fontId="11" fillId="0" borderId="138" xfId="0" applyNumberFormat="1" applyFont="1" applyBorder="1" applyAlignment="1">
      <alignment horizontal="center"/>
    </xf>
    <xf numFmtId="0" fontId="0" fillId="10" borderId="115" xfId="0" applyFill="1" applyBorder="1" applyAlignment="1">
      <alignment horizontal="center"/>
    </xf>
    <xf numFmtId="166" fontId="11" fillId="10" borderId="115" xfId="0" applyNumberFormat="1" applyFont="1" applyFill="1" applyBorder="1" applyAlignment="1">
      <alignment horizontal="center"/>
    </xf>
    <xf numFmtId="166" fontId="11" fillId="10" borderId="136" xfId="0" applyNumberFormat="1" applyFont="1" applyFill="1" applyBorder="1" applyAlignment="1">
      <alignment horizontal="center"/>
    </xf>
    <xf numFmtId="0" fontId="0" fillId="10" borderId="117" xfId="0" applyFill="1" applyBorder="1" applyAlignment="1">
      <alignment horizontal="center"/>
    </xf>
    <xf numFmtId="0" fontId="0" fillId="10" borderId="117" xfId="0" applyFill="1" applyBorder="1" applyAlignment="1">
      <alignment horizontal="center" wrapText="1"/>
    </xf>
    <xf numFmtId="0" fontId="0" fillId="10" borderId="115" xfId="0" applyFill="1" applyBorder="1" applyAlignment="1">
      <alignment horizontal="center" wrapText="1"/>
    </xf>
    <xf numFmtId="0" fontId="0" fillId="10" borderId="136" xfId="0" applyFill="1" applyBorder="1" applyAlignment="1">
      <alignment wrapText="1"/>
    </xf>
    <xf numFmtId="0" fontId="31" fillId="0" borderId="0" xfId="0" quotePrefix="1" applyFont="1" applyAlignment="1">
      <alignment horizontal="center" wrapText="1"/>
    </xf>
    <xf numFmtId="0" fontId="14" fillId="10" borderId="44" xfId="0" applyFont="1" applyFill="1" applyBorder="1" applyAlignment="1">
      <alignment horizontal="center" wrapText="1"/>
    </xf>
    <xf numFmtId="0" fontId="32" fillId="10" borderId="28" xfId="0" applyFont="1" applyFill="1" applyBorder="1" applyAlignment="1">
      <alignment horizontal="center" wrapText="1"/>
    </xf>
    <xf numFmtId="0" fontId="32" fillId="10" borderId="29" xfId="0" applyFont="1" applyFill="1" applyBorder="1" applyAlignment="1">
      <alignment horizontal="center" wrapText="1"/>
    </xf>
    <xf numFmtId="0" fontId="0" fillId="10" borderId="117" xfId="0" applyFill="1" applyBorder="1" applyAlignment="1">
      <alignment wrapText="1"/>
    </xf>
    <xf numFmtId="14" fontId="0" fillId="10" borderId="115" xfId="0" applyNumberFormat="1" applyFill="1" applyBorder="1" applyAlignment="1">
      <alignment horizontal="center" wrapText="1"/>
    </xf>
    <xf numFmtId="14" fontId="0" fillId="10" borderId="115" xfId="0" applyNumberFormat="1" applyFill="1" applyBorder="1" applyAlignment="1">
      <alignment wrapText="1"/>
    </xf>
    <xf numFmtId="0" fontId="70" fillId="0" borderId="44" xfId="0" applyFont="1" applyBorder="1" applyAlignment="1">
      <alignment horizontal="center"/>
    </xf>
    <xf numFmtId="14" fontId="0" fillId="0" borderId="0" xfId="0" applyNumberFormat="1" applyAlignment="1">
      <alignment horizontal="center"/>
    </xf>
    <xf numFmtId="0" fontId="15" fillId="0" borderId="7" xfId="0" applyFont="1" applyBorder="1" applyAlignment="1">
      <alignment horizontal="center"/>
    </xf>
    <xf numFmtId="14" fontId="15" fillId="0" borderId="7" xfId="0" applyNumberFormat="1" applyFont="1" applyBorder="1" applyAlignment="1">
      <alignment horizontal="center"/>
    </xf>
    <xf numFmtId="0" fontId="15" fillId="12" borderId="7" xfId="0" applyFont="1" applyFill="1" applyBorder="1" applyAlignment="1">
      <alignment horizontal="center" vertical="center"/>
    </xf>
    <xf numFmtId="0" fontId="15" fillId="0" borderId="7" xfId="0" applyFont="1" applyBorder="1" applyAlignment="1">
      <alignment horizontal="center" vertical="center"/>
    </xf>
    <xf numFmtId="14" fontId="15" fillId="0" borderId="7" xfId="0" applyNumberFormat="1" applyFont="1" applyBorder="1" applyAlignment="1">
      <alignment horizontal="center" vertical="center"/>
    </xf>
    <xf numFmtId="0" fontId="15" fillId="0" borderId="9" xfId="0" applyFont="1" applyBorder="1" applyAlignment="1">
      <alignment horizontal="center"/>
    </xf>
    <xf numFmtId="0" fontId="15" fillId="0" borderId="20" xfId="0" applyFont="1" applyBorder="1" applyAlignment="1">
      <alignment horizontal="center" vertical="center"/>
    </xf>
    <xf numFmtId="14" fontId="15" fillId="0" borderId="9" xfId="0" applyNumberFormat="1" applyFont="1" applyBorder="1" applyAlignment="1">
      <alignment horizontal="center" vertical="center"/>
    </xf>
    <xf numFmtId="14" fontId="15" fillId="0" borderId="9" xfId="0" applyNumberFormat="1" applyFont="1" applyBorder="1" applyAlignment="1">
      <alignment horizontal="center"/>
    </xf>
    <xf numFmtId="0" fontId="15" fillId="0" borderId="9" xfId="0" applyFont="1" applyBorder="1" applyAlignment="1">
      <alignment horizontal="center" vertical="center"/>
    </xf>
    <xf numFmtId="0" fontId="15" fillId="0" borderId="10" xfId="0" applyFont="1" applyBorder="1" applyAlignment="1">
      <alignment horizontal="center" vertical="center"/>
    </xf>
    <xf numFmtId="0" fontId="15" fillId="0" borderId="8" xfId="0" applyFont="1" applyBorder="1" applyAlignment="1">
      <alignment horizontal="center" vertical="center"/>
    </xf>
    <xf numFmtId="0" fontId="15" fillId="0" borderId="8" xfId="0" applyFont="1" applyBorder="1" applyAlignment="1">
      <alignment horizontal="left" vertical="center" wrapText="1"/>
    </xf>
    <xf numFmtId="0" fontId="15" fillId="0" borderId="10" xfId="0" applyFont="1" applyBorder="1" applyAlignment="1">
      <alignment horizontal="left" vertical="center" wrapText="1"/>
    </xf>
    <xf numFmtId="0" fontId="15" fillId="0" borderId="10" xfId="0" applyFont="1" applyBorder="1" applyAlignment="1">
      <alignment horizontal="left" vertical="center"/>
    </xf>
    <xf numFmtId="0" fontId="15" fillId="0" borderId="9" xfId="0" applyFont="1" applyBorder="1" applyAlignment="1">
      <alignment horizontal="left" vertical="center"/>
    </xf>
    <xf numFmtId="0" fontId="15" fillId="0" borderId="10" xfId="0" applyFont="1" applyBorder="1" applyAlignment="1">
      <alignment horizontal="center" vertical="center" wrapText="1"/>
    </xf>
    <xf numFmtId="0" fontId="15" fillId="0" borderId="58" xfId="0" applyFont="1" applyBorder="1" applyAlignment="1">
      <alignment horizontal="center" vertical="center"/>
    </xf>
    <xf numFmtId="0" fontId="15" fillId="0" borderId="27" xfId="0" applyFont="1" applyBorder="1" applyAlignment="1">
      <alignment horizontal="center" vertical="center"/>
    </xf>
    <xf numFmtId="0" fontId="15" fillId="0" borderId="10" xfId="0" applyFont="1" applyBorder="1" applyAlignment="1">
      <alignment horizontal="center"/>
    </xf>
    <xf numFmtId="3" fontId="31" fillId="0" borderId="3" xfId="0" applyNumberFormat="1" applyFont="1" applyBorder="1" applyAlignment="1">
      <alignment horizontal="center"/>
    </xf>
    <xf numFmtId="3" fontId="31" fillId="0" borderId="0" xfId="0" applyNumberFormat="1" applyFont="1" applyAlignment="1">
      <alignment horizontal="center"/>
    </xf>
    <xf numFmtId="165" fontId="0" fillId="0" borderId="3" xfId="0" applyNumberFormat="1" applyBorder="1" applyAlignment="1">
      <alignment horizontal="center"/>
    </xf>
    <xf numFmtId="165" fontId="0" fillId="0" borderId="0" xfId="0" applyNumberFormat="1" applyAlignment="1">
      <alignment horizontal="center"/>
    </xf>
    <xf numFmtId="165" fontId="0" fillId="0" borderId="4" xfId="0" applyNumberFormat="1" applyBorder="1" applyAlignment="1">
      <alignment horizontal="center"/>
    </xf>
    <xf numFmtId="0" fontId="0" fillId="0" borderId="0" xfId="0" applyAlignment="1">
      <alignment horizontal="center" wrapText="1"/>
    </xf>
    <xf numFmtId="0" fontId="0" fillId="0" borderId="3" xfId="0" applyBorder="1" applyAlignment="1">
      <alignment horizontal="center" wrapText="1"/>
    </xf>
    <xf numFmtId="0" fontId="0" fillId="0" borderId="3" xfId="0" applyBorder="1" applyAlignment="1">
      <alignment horizontal="center"/>
    </xf>
    <xf numFmtId="0" fontId="0" fillId="0" borderId="0" xfId="0" applyAlignment="1">
      <alignment horizontal="center"/>
    </xf>
    <xf numFmtId="0" fontId="0" fillId="0" borderId="27" xfId="0" applyBorder="1" applyAlignment="1">
      <alignment horizontal="center"/>
    </xf>
    <xf numFmtId="0" fontId="68" fillId="10" borderId="0" xfId="0" applyFont="1" applyFill="1" applyAlignment="1">
      <alignment horizontal="center" wrapText="1"/>
    </xf>
    <xf numFmtId="0" fontId="0" fillId="0" borderId="0" xfId="0"/>
    <xf numFmtId="14" fontId="28" fillId="0" borderId="107" xfId="0" applyNumberFormat="1" applyFont="1" applyFill="1" applyBorder="1" applyAlignment="1">
      <alignment wrapText="1"/>
    </xf>
    <xf numFmtId="14" fontId="11" fillId="0" borderId="136" xfId="0" applyNumberFormat="1" applyFont="1" applyBorder="1" applyAlignment="1">
      <alignment wrapText="1"/>
    </xf>
    <xf numFmtId="167" fontId="44" fillId="10" borderId="0" xfId="0" applyNumberFormat="1" applyFont="1" applyFill="1" applyAlignment="1">
      <alignment wrapText="1"/>
    </xf>
    <xf numFmtId="167" fontId="44" fillId="0" borderId="0" xfId="0" applyNumberFormat="1" applyFont="1" applyFill="1" applyAlignment="1">
      <alignment wrapText="1"/>
    </xf>
    <xf numFmtId="0" fontId="44" fillId="0" borderId="0" xfId="0" applyFont="1" applyFill="1" applyAlignment="1">
      <alignment horizontal="right" wrapText="1"/>
    </xf>
    <xf numFmtId="0" fontId="72" fillId="0" borderId="0" xfId="0" applyFont="1" applyAlignment="1">
      <alignment wrapText="1"/>
    </xf>
    <xf numFmtId="3" fontId="31" fillId="0" borderId="3" xfId="0" applyNumberFormat="1" applyFont="1" applyFill="1" applyBorder="1" applyAlignment="1" applyProtection="1">
      <alignment horizontal="center"/>
      <protection locked="0"/>
    </xf>
    <xf numFmtId="3" fontId="31" fillId="0" borderId="0" xfId="0" applyNumberFormat="1" applyFont="1" applyFill="1" applyAlignment="1" applyProtection="1">
      <alignment horizontal="center"/>
      <protection locked="0"/>
    </xf>
    <xf numFmtId="164" fontId="31" fillId="0" borderId="0" xfId="0" applyNumberFormat="1" applyFont="1" applyFill="1" applyAlignment="1" applyProtection="1">
      <alignment horizontal="left"/>
      <protection locked="0"/>
    </xf>
    <xf numFmtId="0" fontId="31" fillId="0" borderId="4" xfId="0" applyFont="1" applyFill="1" applyBorder="1" applyAlignment="1" applyProtection="1">
      <alignment horizontal="left"/>
      <protection locked="0"/>
    </xf>
    <xf numFmtId="14" fontId="15" fillId="0" borderId="3" xfId="0" applyNumberFormat="1" applyFont="1" applyFill="1" applyBorder="1" applyAlignment="1">
      <alignment horizontal="center"/>
    </xf>
    <xf numFmtId="165" fontId="0" fillId="0" borderId="0" xfId="0" applyNumberFormat="1" applyFill="1" applyAlignment="1">
      <alignment horizontal="center"/>
    </xf>
    <xf numFmtId="165" fontId="0" fillId="0" borderId="4" xfId="0" applyNumberFormat="1" applyFill="1" applyBorder="1" applyAlignment="1">
      <alignment horizontal="center"/>
    </xf>
    <xf numFmtId="165" fontId="11" fillId="0" borderId="3" xfId="0" applyNumberFormat="1" applyFont="1" applyFill="1" applyBorder="1" applyAlignment="1" applyProtection="1">
      <alignment horizontal="center"/>
      <protection locked="0"/>
    </xf>
    <xf numFmtId="165" fontId="11" fillId="0" borderId="0" xfId="0" applyNumberFormat="1" applyFont="1" applyFill="1" applyAlignment="1" applyProtection="1">
      <alignment horizontal="center"/>
      <protection locked="0"/>
    </xf>
    <xf numFmtId="14" fontId="11" fillId="0" borderId="0" xfId="0" applyNumberFormat="1" applyFont="1" applyFill="1" applyAlignment="1" applyProtection="1">
      <alignment horizontal="center"/>
      <protection locked="0"/>
    </xf>
    <xf numFmtId="14" fontId="11" fillId="0" borderId="4" xfId="0" applyNumberFormat="1" applyFont="1" applyFill="1" applyBorder="1" applyAlignment="1" applyProtection="1">
      <alignment horizontal="center"/>
      <protection locked="0"/>
    </xf>
    <xf numFmtId="44" fontId="15" fillId="0" borderId="126" xfId="0" applyNumberFormat="1" applyFont="1" applyFill="1" applyBorder="1" applyAlignment="1" applyProtection="1">
      <alignment horizontal="center"/>
      <protection locked="0"/>
    </xf>
    <xf numFmtId="10" fontId="15" fillId="0" borderId="125" xfId="0" applyNumberFormat="1" applyFont="1" applyFill="1" applyBorder="1" applyAlignment="1" applyProtection="1">
      <alignment horizontal="center"/>
      <protection locked="0"/>
    </xf>
    <xf numFmtId="0" fontId="0" fillId="0" borderId="0" xfId="0" applyFill="1" applyAlignment="1" applyProtection="1">
      <alignment wrapText="1"/>
      <protection locked="0"/>
    </xf>
    <xf numFmtId="3" fontId="0" fillId="0" borderId="6" xfId="0" applyNumberFormat="1" applyFill="1" applyBorder="1" applyAlignment="1" applyProtection="1">
      <alignment horizontal="right"/>
      <protection locked="0"/>
    </xf>
  </cellXfs>
  <cellStyles count="9">
    <cellStyle name="Currency" xfId="1" builtinId="4"/>
    <cellStyle name="Currency 2" xfId="3" xr:uid="{4A56BAB8-716A-4139-939D-84EBDAA56E65}"/>
    <cellStyle name="Currency 2 2" xfId="7" xr:uid="{2CCE0038-3356-4E7D-BFAD-FB142581E344}"/>
    <cellStyle name="Currency 3" xfId="5" xr:uid="{EBCCDE87-592E-4DD9-BFB5-1034940886C6}"/>
    <cellStyle name="Normal" xfId="0" builtinId="0"/>
    <cellStyle name="Percent" xfId="2" builtinId="5"/>
    <cellStyle name="Percent 2" xfId="4" xr:uid="{19A62E04-C494-41D9-94D7-D470DA0F8D59}"/>
    <cellStyle name="Percent 2 2" xfId="8" xr:uid="{CC7D8F6A-3613-4B5E-A462-E6B16C0F86C0}"/>
    <cellStyle name="Percent 3" xfId="6" xr:uid="{1B53FB5A-BACD-422E-91DC-6C408EEBA992}"/>
  </cellStyles>
  <dxfs count="825">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ont>
        <strike val="0"/>
        <outline val="0"/>
        <shadow val="0"/>
        <u val="none"/>
        <vertAlign val="baseline"/>
        <sz val="8"/>
        <name val="Calibri"/>
        <family val="2"/>
      </font>
      <alignment horizontal="left" textRotation="0" wrapText="0" indent="0" justifyLastLine="0" shrinkToFit="0" readingOrder="0"/>
      <border diagonalUp="0" diagonalDown="0" outline="0">
        <left/>
        <right style="medium">
          <color auto="1"/>
        </right>
      </border>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border diagonalUp="0" diagonalDown="0" outline="0">
        <left style="medium">
          <color auto="1"/>
        </left>
        <right/>
        <top/>
        <bottom/>
      </border>
    </dxf>
    <dxf>
      <font>
        <b val="0"/>
        <i val="0"/>
        <strike val="0"/>
        <condense val="0"/>
        <extend val="0"/>
        <outline val="0"/>
        <shadow val="0"/>
        <u val="none"/>
        <vertAlign val="baseline"/>
        <sz val="8"/>
        <color theme="1"/>
        <name val="Calibri"/>
        <family val="2"/>
        <scheme val="minor"/>
      </font>
      <numFmt numFmtId="165" formatCode="&quot;$&quot;#,##0.00"/>
      <alignment horizontal="left" vertical="bottom" textRotation="0" wrapText="0" indent="0" justifyLastLine="0" shrinkToFit="0" readingOrder="0"/>
      <border diagonalUp="0" diagonalDown="0" outline="0">
        <left style="medium">
          <color auto="1"/>
        </left>
        <right style="medium">
          <color auto="1"/>
        </right>
        <top/>
        <bottom/>
      </border>
    </dxf>
    <dxf>
      <font>
        <strike val="0"/>
        <outline val="0"/>
        <shadow val="0"/>
        <u val="none"/>
        <vertAlign val="baseline"/>
        <sz val="8"/>
        <name val="Calibri"/>
        <family val="2"/>
      </font>
      <numFmt numFmtId="19" formatCode="m/d/yyyy"/>
      <alignment horizontal="left" vertical="bottom" textRotation="0" wrapText="0" indent="0" justifyLastLine="0" shrinkToFit="0" readingOrder="0"/>
      <border diagonalUp="0" diagonalDown="0" outline="0">
        <left/>
        <right style="medium">
          <color auto="1"/>
        </right>
        <top/>
        <bottom/>
      </border>
    </dxf>
    <dxf>
      <font>
        <strike val="0"/>
        <outline val="0"/>
        <shadow val="0"/>
        <u val="none"/>
        <vertAlign val="baseline"/>
        <sz val="8"/>
        <name val="Calibri"/>
        <family val="2"/>
      </font>
      <numFmt numFmtId="165" formatCode="&quot;$&quot;#,##0.00"/>
      <alignment horizontal="left" vertical="bottom" textRotation="0" wrapText="0" indent="0" justifyLastLine="0" shrinkToFit="0" readingOrder="0"/>
    </dxf>
    <dxf>
      <font>
        <strike val="0"/>
        <outline val="0"/>
        <shadow val="0"/>
        <u val="none"/>
        <vertAlign val="baseline"/>
        <sz val="8"/>
        <name val="Calibri"/>
        <family val="2"/>
      </font>
      <numFmt numFmtId="165" formatCode="&quot;$&quot;#,##0.00"/>
      <alignment horizontal="left" vertical="bottom" textRotation="0" wrapText="0" indent="0" justifyLastLine="0" shrinkToFit="0" readingOrder="0"/>
    </dxf>
    <dxf>
      <font>
        <strike val="0"/>
        <outline val="0"/>
        <shadow val="0"/>
        <u val="none"/>
        <vertAlign val="baseline"/>
        <sz val="8"/>
        <name val="Calibri"/>
        <family val="2"/>
      </font>
      <numFmt numFmtId="1" formatCode="0"/>
      <alignment horizontal="left" vertical="bottom" textRotation="0" wrapText="0" indent="0" justifyLastLine="0" shrinkToFit="0" readingOrder="0"/>
    </dxf>
    <dxf>
      <font>
        <strike val="0"/>
        <outline val="0"/>
        <shadow val="0"/>
        <u val="none"/>
        <vertAlign val="baseline"/>
        <sz val="8"/>
        <color auto="1"/>
        <name val="Calibri"/>
        <family val="2"/>
      </font>
      <numFmt numFmtId="22" formatCode="mmm\-yy"/>
      <alignment horizontal="left" vertical="bottom" textRotation="0" wrapText="0" indent="0" justifyLastLine="0" shrinkToFit="0" readingOrder="0"/>
      <border diagonalUp="0" diagonalDown="0" outline="0">
        <left style="medium">
          <color auto="1"/>
        </left>
        <right/>
        <top/>
        <bottom/>
      </border>
    </dxf>
    <dxf>
      <font>
        <b val="0"/>
        <strike val="0"/>
        <outline val="0"/>
        <shadow val="0"/>
        <u val="none"/>
        <vertAlign val="baseline"/>
        <sz val="9"/>
        <name val="Calibri"/>
        <family val="2"/>
      </font>
      <alignment horizontal="general" vertical="bottom" textRotation="0" wrapText="0" indent="0" justifyLastLine="0" shrinkToFit="0" readingOrder="0"/>
      <border diagonalUp="0" diagonalDown="0" outline="0">
        <left/>
        <right style="medium">
          <color auto="1"/>
        </right>
      </border>
    </dxf>
    <dxf>
      <font>
        <b val="0"/>
        <strike val="0"/>
        <outline val="0"/>
        <shadow val="0"/>
        <u val="none"/>
        <vertAlign val="baseline"/>
        <sz val="9"/>
        <name val="Calibri"/>
        <family val="2"/>
      </font>
      <numFmt numFmtId="1" formatCode="0"/>
      <alignment horizontal="general" vertical="bottom" textRotation="0" wrapText="0" indent="0" justifyLastLine="0" shrinkToFit="0" readingOrder="0"/>
      <border diagonalUp="0" diagonalDown="0" outline="0">
        <left style="medium">
          <color auto="1"/>
        </left>
        <right/>
      </border>
    </dxf>
    <dxf>
      <numFmt numFmtId="1" formatCode="0"/>
      <alignment textRotation="0" wrapText="0" indent="0" justifyLastLine="0" shrinkToFit="0" readingOrder="0"/>
      <border diagonalUp="0" diagonalDown="0" outline="0">
        <left style="medium">
          <color auto="1"/>
        </left>
        <right style="medium">
          <color auto="1"/>
        </right>
        <top/>
        <bottom/>
      </border>
    </dxf>
    <dxf>
      <numFmt numFmtId="164" formatCode="&quot;$&quot;#,##0"/>
      <alignment horizontal="right" vertical="bottom" textRotation="0" wrapText="0" indent="0" justifyLastLine="0" shrinkToFit="0" readingOrder="0"/>
      <border diagonalUp="0" diagonalDown="0" outline="0">
        <left/>
        <right style="medium">
          <color auto="1"/>
        </right>
        <top/>
        <bottom/>
      </border>
    </dxf>
    <dxf>
      <numFmt numFmtId="165" formatCode="&quot;$&quot;#,##0.00"/>
      <fill>
        <patternFill patternType="solid">
          <fgColor indexed="64"/>
          <bgColor rgb="FFFFFF00"/>
        </patternFill>
      </fill>
      <alignment horizontal="right" vertical="bottom" textRotation="0" wrapText="0" indent="0" justifyLastLine="0" shrinkToFit="0" readingOrder="0"/>
    </dxf>
    <dxf>
      <numFmt numFmtId="165" formatCode="&quot;$&quot;#,##0.00"/>
      <alignment horizontal="left" vertical="bottom" textRotation="0" wrapText="0" indent="0" justifyLastLine="0" shrinkToFit="0" readingOrder="0"/>
    </dxf>
    <dxf>
      <numFmt numFmtId="165" formatCode="&quot;$&quot;#,##0.00"/>
      <alignment horizontal="right" vertical="bottom" textRotation="0" wrapText="0" indent="0" justifyLastLine="0" shrinkToFit="0" readingOrder="0"/>
    </dxf>
    <dxf>
      <numFmt numFmtId="165" formatCode="&quot;$&quot;#,##0.00"/>
      <alignment horizontal="right" vertical="bottom" textRotation="0" wrapText="0" indent="0" justifyLastLine="0" shrinkToFit="0" readingOrder="0"/>
    </dxf>
    <dxf>
      <numFmt numFmtId="165" formatCode="&quot;$&quot;#,##0.00"/>
      <alignment horizontal="right" vertical="bottom" textRotation="0" wrapText="0" indent="0" justifyLastLine="0" shrinkToFit="0" readingOrder="0"/>
    </dxf>
    <dxf>
      <numFmt numFmtId="164" formatCode="&quot;$&quot;#,##0"/>
      <alignment horizontal="right" vertical="bottom" textRotation="0" wrapText="0" indent="0" justifyLastLine="0" shrinkToFit="0" readingOrder="0"/>
    </dxf>
    <dxf>
      <numFmt numFmtId="165" formatCode="&quot;$&quot;#,##0.00"/>
      <alignment horizontal="right" vertical="bottom" textRotation="0" wrapText="0" indent="0" justifyLastLine="0" shrinkToFit="0" readingOrder="0"/>
    </dxf>
    <dxf>
      <numFmt numFmtId="164" formatCode="&quot;$&quot;#,##0"/>
      <alignment horizontal="right" vertical="bottom" textRotation="0" wrapText="0" indent="0" justifyLastLine="0" shrinkToFit="0" readingOrder="0"/>
    </dxf>
    <dxf>
      <numFmt numFmtId="165" formatCode="&quot;$&quot;#,##0.00"/>
      <alignment horizontal="right" vertical="bottom" textRotation="0" wrapText="0" indent="0" justifyLastLine="0" shrinkToFit="0" readingOrder="0"/>
    </dxf>
    <dxf>
      <numFmt numFmtId="164" formatCode="&quot;$&quot;#,##0"/>
      <alignment horizontal="right" vertical="bottom" textRotation="0" wrapText="0" indent="0" justifyLastLine="0" shrinkToFit="0" readingOrder="0"/>
    </dxf>
    <dxf>
      <numFmt numFmtId="164" formatCode="&quot;$&quot;#,##0"/>
      <alignment horizontal="right" vertical="bottom" textRotation="0" wrapText="0" indent="0" justifyLastLine="0" shrinkToFit="0" readingOrder="0"/>
    </dxf>
    <dxf>
      <numFmt numFmtId="19" formatCode="m/d/yyyy"/>
      <alignment horizontal="center" vertical="bottom" textRotation="0" wrapText="0" indent="0" justifyLastLine="0" shrinkToFit="0" readingOrder="0"/>
      <border diagonalUp="0" diagonalDown="0" outline="0">
        <left style="medium">
          <color auto="1"/>
        </left>
        <right/>
        <top/>
        <bottom/>
      </border>
    </dxf>
    <dxf>
      <font>
        <color auto="1"/>
      </font>
      <numFmt numFmtId="14" formatCode="0.00%"/>
      <fill>
        <patternFill patternType="none">
          <fgColor indexed="64"/>
          <bgColor auto="1"/>
        </patternFill>
      </fill>
      <alignment horizontal="center" vertical="bottom" textRotation="0" wrapText="0" indent="0" justifyLastLine="0" shrinkToFit="0" readingOrder="0"/>
      <border diagonalUp="0" diagonalDown="0" outline="0">
        <left/>
        <right style="medium">
          <color auto="1"/>
        </right>
        <top/>
        <bottom/>
      </border>
    </dxf>
    <dxf>
      <font>
        <b val="0"/>
        <i val="0"/>
        <strike val="0"/>
        <condense val="0"/>
        <extend val="0"/>
        <outline val="0"/>
        <shadow val="0"/>
        <u val="none"/>
        <vertAlign val="baseline"/>
        <sz val="11"/>
        <color auto="1"/>
        <name val="Calibri"/>
        <family val="2"/>
        <scheme val="minor"/>
      </font>
      <numFmt numFmtId="19" formatCode="m/d/yyyy"/>
      <fill>
        <patternFill patternType="solid">
          <fgColor indexed="64"/>
          <bgColor rgb="FFFF0000"/>
        </patternFill>
      </fill>
      <alignment horizontal="center" vertical="bottom" textRotation="0" wrapText="0" indent="0" justifyLastLine="0" shrinkToFit="0" readingOrder="0"/>
    </dxf>
    <dxf>
      <fill>
        <patternFill patternType="none">
          <fgColor indexed="64"/>
          <bgColor auto="1"/>
        </patternFill>
      </fill>
      <alignment textRotation="0" wrapText="0" indent="0" justifyLastLine="0" shrinkToFit="0" readingOrder="0"/>
    </dxf>
    <dxf>
      <fill>
        <patternFill patternType="none">
          <fgColor indexed="64"/>
          <bgColor auto="1"/>
        </patternFill>
      </fill>
      <alignment textRotation="0" wrapText="0" indent="0" justifyLastLine="0" shrinkToFit="0" readingOrder="0"/>
      <border diagonalUp="0" diagonalDown="0" outline="0">
        <left style="medium">
          <color auto="1"/>
        </left>
        <right/>
        <top/>
        <bottom/>
      </border>
    </dxf>
    <dxf>
      <numFmt numFmtId="19" formatCode="m/d/yyyy"/>
      <alignment textRotation="0" wrapText="0" indent="0" justifyLastLine="0" shrinkToFit="0" readingOrder="0"/>
      <border diagonalUp="0" diagonalDown="0" outline="0">
        <left/>
        <right style="medium">
          <color auto="1"/>
        </right>
        <top/>
        <bottom/>
      </border>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border diagonalUp="0" diagonalDown="0" outline="0">
        <left style="medium">
          <color auto="1"/>
        </left>
        <right/>
        <top/>
        <bottom/>
      </border>
    </dxf>
    <dxf>
      <alignment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1"/>
        <color auto="1"/>
        <name val="Calibri"/>
        <family val="2"/>
        <scheme val="minor"/>
      </font>
      <numFmt numFmtId="165" formatCode="&quot;$&quot;#,##0.00"/>
      <alignment horizontal="center" vertical="bottom"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1"/>
        <color auto="1"/>
        <name val="Calibri"/>
        <family val="2"/>
        <scheme val="minor"/>
      </font>
      <numFmt numFmtId="19" formatCode="m/d/yyyy"/>
      <fill>
        <patternFill patternType="solid">
          <fgColor indexed="64"/>
          <bgColor rgb="FFFFFF00"/>
        </patternFill>
      </fill>
      <alignment horizontal="center" vertical="bottom" textRotation="0" wrapText="0" indent="0" justifyLastLine="0" shrinkToFit="0" readingOrder="0"/>
      <border diagonalUp="0" diagonalDown="0" outline="0">
        <left style="medium">
          <color auto="1"/>
        </left>
        <right style="medium">
          <color auto="1"/>
        </right>
        <top/>
        <bottom/>
      </border>
    </dxf>
    <dxf>
      <numFmt numFmtId="165" formatCode="&quot;$&quot;#,##0.00"/>
      <alignment horizontal="right" textRotation="0" wrapText="0" indent="0" justifyLastLine="0" shrinkToFit="0" readingOrder="0"/>
      <border diagonalUp="0" diagonalDown="0" outline="0">
        <left/>
        <right style="medium">
          <color auto="1"/>
        </right>
        <top/>
        <bottom/>
      </border>
    </dxf>
    <dxf>
      <numFmt numFmtId="165" formatCode="&quot;$&quot;#,##0.00"/>
      <alignment horizontal="right" textRotation="0" wrapText="0" indent="0" justifyLastLine="0" shrinkToFit="0" readingOrder="0"/>
    </dxf>
    <dxf>
      <font>
        <strike val="0"/>
        <outline val="0"/>
        <shadow val="0"/>
        <u val="none"/>
        <vertAlign val="baseline"/>
        <sz val="11"/>
        <color auto="1"/>
        <name val="Calibri"/>
        <family val="2"/>
        <scheme val="minor"/>
      </font>
      <numFmt numFmtId="165" formatCode="&quot;$&quot;#,##0.00"/>
      <fill>
        <patternFill patternType="solid">
          <fgColor indexed="64"/>
          <bgColor theme="0" tint="-0.14999847407452621"/>
        </patternFill>
      </fill>
      <alignment horizontal="right" textRotation="0" wrapText="0" indent="0" justifyLastLine="0" shrinkToFit="0" readingOrder="0"/>
    </dxf>
    <dxf>
      <numFmt numFmtId="165" formatCode="&quot;$&quot;#,##0.00"/>
      <alignment horizontal="right" textRotation="0" wrapText="0" indent="0" justifyLastLine="0" shrinkToFit="0" readingOrder="0"/>
      <border diagonalUp="0" diagonalDown="0" outline="0">
        <left style="medium">
          <color auto="1"/>
        </left>
        <right/>
        <top/>
        <bottom/>
      </border>
    </dxf>
    <dxf>
      <font>
        <b val="0"/>
        <i val="0"/>
        <strike val="0"/>
        <condense val="0"/>
        <extend val="0"/>
        <outline val="0"/>
        <shadow val="0"/>
        <u val="none"/>
        <vertAlign val="baseline"/>
        <sz val="11"/>
        <color theme="1"/>
        <name val="Calibri"/>
        <family val="2"/>
        <scheme val="minor"/>
      </font>
      <numFmt numFmtId="3" formatCode="#,##0"/>
      <alignment horizontal="right" vertical="bottom"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1"/>
        <color theme="1"/>
        <name val="Calibri"/>
        <family val="2"/>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1"/>
        <color theme="1"/>
        <name val="Calibri"/>
        <family val="2"/>
        <scheme val="minor"/>
      </font>
      <numFmt numFmtId="165" formatCode="&quot;$&quot;#,##0.00"/>
      <alignment horizontal="right" vertical="bottom" textRotation="0" wrapText="0" indent="0" justifyLastLine="0" shrinkToFit="0" readingOrder="0"/>
      <border diagonalUp="0" diagonalDown="0" outline="0">
        <left/>
        <right style="medium">
          <color auto="1"/>
        </right>
        <top/>
        <bottom/>
      </border>
    </dxf>
    <dxf>
      <font>
        <b val="0"/>
        <i val="0"/>
        <strike val="0"/>
        <condense val="0"/>
        <extend val="0"/>
        <outline val="0"/>
        <shadow val="0"/>
        <u val="none"/>
        <vertAlign val="baseline"/>
        <sz val="11"/>
        <color theme="1"/>
        <name val="Calibri"/>
        <family val="2"/>
        <scheme val="minor"/>
      </font>
      <numFmt numFmtId="165" formatCode="&quot;$&quot;#,##0.00"/>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quot;$&quot;#,##0.00"/>
      <alignment horizontal="right" vertical="bottom" textRotation="0" wrapText="0" indent="0" justifyLastLine="0" shrinkToFit="0" readingOrder="0"/>
      <border diagonalUp="0" diagonalDown="0" outline="0">
        <left style="medium">
          <color auto="1"/>
        </left>
        <right/>
        <top/>
        <bottom/>
      </border>
    </dxf>
    <dxf>
      <font>
        <b/>
        <i val="0"/>
        <strike val="0"/>
        <condense val="0"/>
        <extend val="0"/>
        <outline val="0"/>
        <shadow val="0"/>
        <u val="none"/>
        <vertAlign val="baseline"/>
        <sz val="11"/>
        <color rgb="FF000000"/>
        <name val="Calibri"/>
        <family val="2"/>
        <scheme val="minor"/>
      </font>
      <numFmt numFmtId="14" formatCode="0.00%"/>
      <alignment horizontal="right" vertical="bottom" textRotation="0" wrapText="0" indent="0" justifyLastLine="0" shrinkToFit="0" readingOrder="0"/>
      <border diagonalUp="0" diagonalDown="0">
        <left style="medium">
          <color auto="1"/>
        </left>
        <right style="medium">
          <color auto="1"/>
        </right>
        <top/>
        <bottom/>
        <vertical/>
        <horizontal/>
      </border>
    </dxf>
    <dxf>
      <font>
        <b/>
      </font>
      <numFmt numFmtId="165" formatCode="&quot;$&quot;#,##0.00"/>
      <alignment horizontal="right" vertical="bottom" textRotation="0" wrapText="0" indent="0" justifyLastLine="0" shrinkToFit="0" readingOrder="0"/>
      <border diagonalUp="0" diagonalDown="0" outline="0">
        <left style="medium">
          <color auto="1"/>
        </left>
        <right style="medium">
          <color auto="1"/>
        </right>
        <top/>
        <bottom/>
      </border>
    </dxf>
    <dxf>
      <numFmt numFmtId="1" formatCode="0"/>
      <alignment horizontal="center" vertical="bottom" textRotation="0" wrapText="0" indent="0" justifyLastLine="0" shrinkToFit="0" readingOrder="0"/>
      <border diagonalUp="0" diagonalDown="0">
        <left style="medium">
          <color auto="1"/>
        </left>
        <right style="medium">
          <color auto="1"/>
        </right>
        <top/>
        <bottom/>
        <vertical/>
        <horizontal/>
      </border>
    </dxf>
    <dxf>
      <numFmt numFmtId="19" formatCode="m/d/yyyy"/>
      <alignment horizontal="right" textRotation="0" wrapText="0" indent="0" justifyLastLine="0" shrinkToFit="0" readingOrder="0"/>
      <border diagonalUp="0" diagonalDown="0">
        <left style="medium">
          <color auto="1"/>
        </left>
        <right style="medium">
          <color auto="1"/>
        </right>
        <top/>
        <bottom/>
        <vertical/>
        <horizontal/>
      </border>
    </dxf>
    <dxf>
      <numFmt numFmtId="19" formatCode="m/d/yyyy"/>
      <alignment textRotation="0" wrapText="0" indent="0" justifyLastLine="0" shrinkToFit="0" readingOrder="0"/>
      <border diagonalUp="0" diagonalDown="0" outline="0">
        <left/>
        <right style="medium">
          <color auto="1"/>
        </right>
        <top/>
        <bottom/>
      </border>
    </dxf>
    <dxf>
      <font>
        <b val="0"/>
      </font>
      <alignmen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 formatCode="0"/>
      <alignment textRotation="0" wrapText="0" indent="0" justifyLastLine="0" shrinkToFit="0" readingOrder="0"/>
    </dxf>
    <dxf>
      <font>
        <b val="0"/>
      </font>
      <alignment textRotation="0" wrapText="0" indent="0" justifyLastLine="0" shrinkToFit="0" readingOrder="0"/>
    </dxf>
    <dxf>
      <font>
        <b val="0"/>
      </font>
      <alignment horizontal="right" textRotation="0" wrapText="0" indent="0" justifyLastLine="0" shrinkToFit="0" readingOrder="0"/>
    </dxf>
    <dxf>
      <font>
        <b val="0"/>
      </font>
      <alignment textRotation="0" wrapText="0" indent="0" justifyLastLine="0" shrinkToFit="0" readingOrder="0"/>
    </dxf>
    <dxf>
      <font>
        <b val="0"/>
      </font>
      <numFmt numFmtId="30" formatCode="@"/>
      <alignment horizontal="general" vertical="bottom" textRotation="0" wrapText="0" indent="0" justifyLastLine="0" shrinkToFit="0" readingOrder="0"/>
    </dxf>
    <dxf>
      <font>
        <b val="0"/>
      </font>
      <alignment textRotation="0" wrapText="0" indent="0" justifyLastLine="0" shrinkToFit="0" readingOrder="0"/>
    </dxf>
    <dxf>
      <font>
        <b val="0"/>
      </font>
      <alignment textRotation="0" wrapText="0" indent="0" justifyLastLine="0" shrinkToFit="0" readingOrder="0"/>
    </dxf>
    <dxf>
      <font>
        <b val="0"/>
      </font>
      <alignment textRotation="0" wrapText="0" indent="0" justifyLastLine="0" shrinkToFit="0" readingOrder="0"/>
    </dxf>
    <dxf>
      <font>
        <b val="0"/>
      </font>
      <alignment textRotation="0" wrapText="0" indent="0" justifyLastLine="0" shrinkToFit="0" readingOrder="0"/>
    </dxf>
    <dxf>
      <font>
        <b val="0"/>
      </font>
      <alignment textRotation="0" wrapText="0" indent="0" justifyLastLine="0" shrinkToFit="0" readingOrder="0"/>
    </dxf>
    <dxf>
      <font>
        <b val="0"/>
      </font>
      <alignment textRotation="0" wrapText="0" indent="0" justifyLastLine="0" shrinkToFit="0" readingOrder="0"/>
    </dxf>
    <dxf>
      <font>
        <b val="0"/>
      </font>
      <alignment textRotation="0" wrapText="0" indent="0" justifyLastLine="0" shrinkToFit="0" readingOrder="0"/>
    </dxf>
    <dxf>
      <font>
        <b val="0"/>
      </font>
    </dxf>
    <dxf>
      <font>
        <b val="0"/>
      </font>
      <alignment textRotation="0" wrapText="0" indent="0" justifyLastLine="0" shrinkToFit="0" readingOrder="0"/>
    </dxf>
    <dxf>
      <fill>
        <patternFill patternType="none">
          <fgColor indexed="64"/>
          <bgColor auto="1"/>
        </patternFill>
      </fill>
      <alignment horizontal="general" vertical="bottom" textRotation="0" wrapText="0" indent="0" justifyLastLine="0" shrinkToFit="0" readingOrder="0"/>
    </dxf>
    <dxf>
      <font>
        <b val="0"/>
      </font>
    </dxf>
    <dxf>
      <font>
        <b val="0"/>
      </font>
      <numFmt numFmtId="0" formatCode="General"/>
      <alignment textRotation="0" wrapText="0" indent="0" justifyLastLine="0" shrinkToFit="0" readingOrder="0"/>
    </dxf>
    <dxf>
      <font>
        <b val="0"/>
      </font>
    </dxf>
    <dxf>
      <font>
        <b val="0"/>
      </font>
      <alignment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protection locked="0" hidden="0"/>
    </dxf>
    <dxf>
      <font>
        <b val="0"/>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right style="medium">
          <color auto="1"/>
        </right>
        <top/>
        <bottom/>
      </border>
      <protection locked="0" hidden="0"/>
    </dxf>
    <dxf>
      <font>
        <strike val="0"/>
        <outline val="0"/>
        <shadow val="0"/>
        <u val="none"/>
        <vertAlign val="baseline"/>
        <sz val="8"/>
        <name val="Calibri"/>
        <family val="2"/>
      </font>
      <alignment horizontal="left" textRotation="0" wrapText="0" indent="0" justifyLastLine="0" shrinkToFit="0" readingOrder="0"/>
      <border diagonalUp="0" diagonalDown="0">
        <left/>
        <right style="medium">
          <color auto="1"/>
        </right>
        <top/>
        <bottom/>
        <vertical/>
        <horizontal/>
      </border>
    </dxf>
    <dxf>
      <font>
        <b val="0"/>
        <i val="0"/>
        <strike val="0"/>
        <condense val="0"/>
        <extend val="0"/>
        <outline val="0"/>
        <shadow val="0"/>
        <u val="none"/>
        <vertAlign val="baseline"/>
        <sz val="8"/>
        <color theme="1"/>
        <name val="Calibri"/>
        <family val="2"/>
        <scheme val="minor"/>
      </font>
      <numFmt numFmtId="164" formatCode="&quot;$&quot;#,##0"/>
      <alignment horizontal="left" vertical="bottom" textRotation="0" wrapText="0" indent="0" justifyLastLine="0" shrinkToFit="0" readingOrder="0"/>
      <protection locked="0" hidden="0"/>
    </dxf>
    <dxf>
      <font>
        <b val="0"/>
        <i val="0"/>
        <strike val="0"/>
        <condense val="0"/>
        <extend val="0"/>
        <outline val="0"/>
        <shadow val="0"/>
        <u val="none"/>
        <vertAlign val="baseline"/>
        <sz val="8"/>
        <color theme="1"/>
        <name val="Calibri"/>
        <family val="2"/>
        <scheme val="minor"/>
      </font>
      <numFmt numFmtId="3" formatCode="#,##0"/>
      <alignment horizontal="center" vertical="bottom" textRotation="0" wrapText="0" indent="0" justifyLastLine="0" shrinkToFit="0" readingOrder="0"/>
      <protection locked="0" hidden="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alignment horizontal="center" vertical="bottom" textRotation="0" wrapText="0" indent="0" justifyLastLine="0" shrinkToFit="0" readingOrder="0"/>
      <protection locked="0" hidden="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alignment horizontal="center" vertical="bottom" textRotation="0" wrapText="0" indent="0" justifyLastLine="0" shrinkToFit="0" readingOrder="0"/>
      <protection locked="0" hidden="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alignment horizontal="center" vertical="bottom" textRotation="0" wrapText="0" indent="0" justifyLastLine="0" shrinkToFit="0" readingOrder="0"/>
      <protection locked="0" hidden="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alignment horizontal="center" vertical="bottom" textRotation="0" wrapText="0" indent="0" justifyLastLine="0" shrinkToFit="0" readingOrder="0"/>
      <protection locked="0" hidden="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alignment horizontal="center" vertical="bottom" textRotation="0" wrapText="0" indent="0" justifyLastLine="0" shrinkToFit="0" readingOrder="0"/>
      <protection locked="0" hidden="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alignment horizontal="center" vertical="bottom" textRotation="0" wrapText="0" indent="0" justifyLastLine="0" shrinkToFit="0" readingOrder="0"/>
      <protection locked="0" hidden="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alignment horizontal="center" vertical="bottom" textRotation="0" wrapText="0" indent="0" justifyLastLine="0" shrinkToFit="0" readingOrder="0"/>
      <protection locked="0" hidden="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alignment horizontal="center" vertical="bottom" textRotation="0" wrapText="0" indent="0" justifyLastLine="0" shrinkToFit="0" readingOrder="0"/>
      <protection locked="0" hidden="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alignment horizontal="center" vertical="bottom" textRotation="0" wrapText="0" indent="0" justifyLastLine="0" shrinkToFit="0" readingOrder="0"/>
      <protection locked="0" hidden="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alignment horizontal="center" vertical="bottom" textRotation="0" wrapText="0" indent="0" justifyLastLine="0" shrinkToFit="0" readingOrder="0"/>
      <protection locked="0" hidden="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alignment horizontal="center" vertical="bottom" textRotation="0" wrapText="0" indent="0" justifyLastLine="0" shrinkToFit="0" readingOrder="0"/>
      <protection locked="0" hidden="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alignment horizontal="center" vertical="bottom" textRotation="0" wrapText="0" indent="0" justifyLastLine="0" shrinkToFit="0" readingOrder="0"/>
      <protection locked="0" hidden="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alignment horizontal="center" vertical="bottom" textRotation="0" wrapText="0" indent="0" justifyLastLine="0" shrinkToFit="0" readingOrder="0"/>
      <protection locked="0" hidden="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alignment horizontal="center" vertical="bottom" textRotation="0" wrapText="0" indent="0" justifyLastLine="0" shrinkToFit="0" readingOrder="0"/>
      <protection locked="0" hidden="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alignment horizontal="center" vertical="bottom" textRotation="0" wrapText="0" indent="0" justifyLastLine="0" shrinkToFit="0" readingOrder="0"/>
      <protection locked="0" hidden="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alignment horizontal="center" vertical="bottom" textRotation="0" wrapText="0" indent="0" justifyLastLine="0" shrinkToFit="0" readingOrder="0"/>
      <border diagonalUp="0" diagonalDown="0" outline="0">
        <left style="medium">
          <color auto="1"/>
        </left>
        <right/>
        <top/>
        <bottom/>
      </border>
      <protection locked="0" hidden="0"/>
    </dxf>
    <dxf>
      <font>
        <strike val="0"/>
        <outline val="0"/>
        <shadow val="0"/>
        <u val="none"/>
        <vertAlign val="baseline"/>
        <sz val="8"/>
        <name val="Calibri"/>
        <family val="2"/>
      </font>
      <numFmt numFmtId="3" formatCode="#,##0"/>
      <alignment horizontal="center" textRotation="0" wrapText="0" indent="0" justifyLastLine="0" shrinkToFit="0" readingOrder="0"/>
      <border diagonalUp="0" diagonalDown="0">
        <left style="medium">
          <color auto="1"/>
        </left>
        <right/>
        <top/>
        <bottom/>
        <horizontal/>
      </border>
    </dxf>
    <dxf>
      <font>
        <b val="0"/>
        <i val="0"/>
        <strike val="0"/>
        <condense val="0"/>
        <extend val="0"/>
        <outline val="0"/>
        <shadow val="0"/>
        <u val="none"/>
        <vertAlign val="baseline"/>
        <sz val="8"/>
        <color theme="1"/>
        <name val="Calibri"/>
        <family val="2"/>
        <scheme val="minor"/>
      </font>
      <numFmt numFmtId="165" formatCode="&quot;$&quot;#,##0.00"/>
      <alignment horizontal="left" vertical="bottom" textRotation="0" wrapText="0" indent="0" justifyLastLine="0" shrinkToFit="0" readingOrder="0"/>
      <border diagonalUp="0" diagonalDown="0" outline="0">
        <left style="medium">
          <color auto="1"/>
        </left>
        <right style="medium">
          <color auto="1"/>
        </right>
        <top/>
        <bottom/>
      </border>
      <protection locked="0" hidden="0"/>
    </dxf>
    <dxf>
      <font>
        <b val="0"/>
        <i val="0"/>
        <strike val="0"/>
        <condense val="0"/>
        <extend val="0"/>
        <outline val="0"/>
        <shadow val="0"/>
        <u val="none"/>
        <vertAlign val="baseline"/>
        <sz val="8"/>
        <color theme="1"/>
        <name val="Calibri"/>
        <family val="2"/>
        <scheme val="minor"/>
      </font>
      <numFmt numFmtId="165" formatCode="&quot;$&quot;#,##0.00"/>
      <alignment horizontal="left" vertical="bottom" textRotation="0" wrapText="0" indent="0" justifyLastLine="0" shrinkToFit="0" readingOrder="0"/>
      <border diagonalUp="0" diagonalDown="0">
        <left style="medium">
          <color auto="1"/>
        </left>
        <right style="medium">
          <color auto="1"/>
        </right>
        <top/>
        <bottom/>
        <vertical/>
        <horizontal/>
      </border>
    </dxf>
    <dxf>
      <font>
        <b val="0"/>
        <i val="0"/>
        <strike val="0"/>
        <condense val="0"/>
        <extend val="0"/>
        <outline val="0"/>
        <shadow val="0"/>
        <u val="none"/>
        <vertAlign val="baseline"/>
        <sz val="8"/>
        <color theme="1"/>
        <name val="Calibri"/>
        <family val="2"/>
        <scheme val="minor"/>
      </font>
      <numFmt numFmtId="19" formatCode="m/d/yyyy"/>
      <alignment horizontal="left" vertical="bottom" textRotation="0" wrapText="0" indent="0" justifyLastLine="0" shrinkToFit="0" readingOrder="0"/>
      <border diagonalUp="0" diagonalDown="0" outline="0">
        <left/>
        <right style="medium">
          <color auto="1"/>
        </right>
        <top/>
        <bottom/>
      </border>
      <protection locked="0" hidden="0"/>
    </dxf>
    <dxf>
      <font>
        <strike val="0"/>
        <outline val="0"/>
        <shadow val="0"/>
        <u val="none"/>
        <vertAlign val="baseline"/>
        <sz val="8"/>
        <name val="Calibri"/>
        <family val="2"/>
      </font>
      <numFmt numFmtId="19" formatCode="m/d/yyyy"/>
      <alignment horizontal="left" vertical="bottom" textRotation="0" wrapText="0" indent="0" justifyLastLine="0" shrinkToFit="0" readingOrder="0"/>
      <border diagonalUp="0" diagonalDown="0">
        <left/>
        <right style="medium">
          <color auto="1"/>
        </right>
        <top/>
        <bottom/>
        <vertical/>
        <horizontal/>
      </border>
    </dxf>
    <dxf>
      <font>
        <b val="0"/>
        <i val="0"/>
        <strike val="0"/>
        <condense val="0"/>
        <extend val="0"/>
        <outline val="0"/>
        <shadow val="0"/>
        <u val="none"/>
        <vertAlign val="baseline"/>
        <sz val="8"/>
        <color theme="1"/>
        <name val="Calibri"/>
        <family val="2"/>
        <scheme val="minor"/>
      </font>
      <numFmt numFmtId="165" formatCode="&quot;$&quot;#,##0.00"/>
      <alignment horizontal="left" vertical="bottom" textRotation="0" wrapText="0" indent="0" justifyLastLine="0" shrinkToFit="0" readingOrder="0"/>
      <protection locked="0" hidden="0"/>
    </dxf>
    <dxf>
      <font>
        <strike val="0"/>
        <outline val="0"/>
        <shadow val="0"/>
        <u val="none"/>
        <vertAlign val="baseline"/>
        <sz val="8"/>
        <name val="Calibri"/>
        <family val="2"/>
      </font>
      <numFmt numFmtId="165" formatCode="&quot;$&quot;#,##0.00"/>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5" formatCode="&quot;$&quot;#,##0.00"/>
      <alignment horizontal="left" vertical="bottom" textRotation="0" wrapText="0" indent="0" justifyLastLine="0" shrinkToFit="0" readingOrder="0"/>
      <protection locked="0" hidden="0"/>
    </dxf>
    <dxf>
      <font>
        <strike val="0"/>
        <outline val="0"/>
        <shadow val="0"/>
        <u val="none"/>
        <vertAlign val="baseline"/>
        <sz val="8"/>
        <name val="Calibri"/>
        <family val="2"/>
      </font>
      <numFmt numFmtId="165" formatCode="&quot;$&quot;#,##0.00"/>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 formatCode="0"/>
      <alignment horizontal="left" vertical="bottom" textRotation="0" wrapText="0" indent="0" justifyLastLine="0" shrinkToFit="0" readingOrder="0"/>
      <protection locked="0" hidden="0"/>
    </dxf>
    <dxf>
      <font>
        <strike val="0"/>
        <outline val="0"/>
        <shadow val="0"/>
        <u val="none"/>
        <vertAlign val="baseline"/>
        <sz val="8"/>
        <name val="Calibri"/>
        <family val="2"/>
      </font>
      <numFmt numFmtId="1" formatCode="0"/>
      <alignment horizontal="left" vertical="bottom" textRotation="0" wrapText="0" indent="0" justifyLastLine="0" shrinkToFit="0" readingOrder="0"/>
    </dxf>
    <dxf>
      <font>
        <b val="0"/>
        <i val="0"/>
        <strike val="0"/>
        <condense val="0"/>
        <extend val="0"/>
        <outline val="0"/>
        <shadow val="0"/>
        <u val="none"/>
        <vertAlign val="baseline"/>
        <sz val="8"/>
        <color auto="1"/>
        <name val="Calibri"/>
        <family val="2"/>
        <scheme val="minor"/>
      </font>
      <numFmt numFmtId="22" formatCode="mmm\-yy"/>
      <alignment horizontal="left" vertical="bottom" textRotation="0" wrapText="0" indent="0" justifyLastLine="0" shrinkToFit="0" readingOrder="0"/>
      <border diagonalUp="0" diagonalDown="0" outline="0">
        <left style="medium">
          <color auto="1"/>
        </left>
        <right/>
        <top/>
        <bottom/>
      </border>
      <protection locked="0" hidden="0"/>
    </dxf>
    <dxf>
      <font>
        <strike val="0"/>
        <outline val="0"/>
        <shadow val="0"/>
        <u val="none"/>
        <vertAlign val="baseline"/>
        <sz val="8"/>
        <color auto="1"/>
        <name val="Calibri"/>
        <family val="2"/>
      </font>
      <numFmt numFmtId="22" formatCode="mmm\-yy"/>
      <alignment horizontal="left" vertical="bottom" textRotation="0" wrapText="0" indent="0" justifyLastLine="0" shrinkToFit="0" readingOrder="0"/>
      <border diagonalUp="0" diagonalDown="0">
        <left style="medium">
          <color auto="1"/>
        </left>
        <right/>
        <top/>
        <bottom/>
        <vertical/>
        <horizontal/>
      </border>
    </dxf>
    <dxf>
      <font>
        <b val="0"/>
        <i val="0"/>
        <strike val="0"/>
        <condense val="0"/>
        <extend val="0"/>
        <outline val="0"/>
        <shadow val="0"/>
        <u val="none"/>
        <vertAlign val="baseline"/>
        <sz val="9"/>
        <color theme="1"/>
        <name val="Calibri"/>
        <family val="2"/>
        <scheme val="minor"/>
      </font>
      <numFmt numFmtId="165" formatCode="&quot;$&quot;#,##0.00"/>
      <alignment horizontal="general" vertical="bottom" textRotation="0" wrapText="0" indent="0" justifyLastLine="0" shrinkToFit="0" readingOrder="0"/>
      <border diagonalUp="0" diagonalDown="0" outline="0">
        <left/>
        <right style="medium">
          <color auto="1"/>
        </right>
        <top/>
        <bottom/>
      </border>
      <protection locked="0" hidden="0"/>
    </dxf>
    <dxf>
      <font>
        <b val="0"/>
        <strike val="0"/>
        <outline val="0"/>
        <shadow val="0"/>
        <u val="none"/>
        <vertAlign val="baseline"/>
        <sz val="9"/>
        <name val="Calibri"/>
        <family val="2"/>
      </font>
      <alignment horizontal="general" vertical="bottom" textRotation="0" wrapText="0" indent="0" justifyLastLine="0" shrinkToFit="0" readingOrder="0"/>
      <border diagonalUp="0" diagonalDown="0">
        <left/>
        <right style="medium">
          <color auto="1"/>
        </right>
        <top/>
        <bottom/>
        <horizontal/>
      </border>
    </dxf>
    <dxf>
      <font>
        <b val="0"/>
        <i val="0"/>
        <strike val="0"/>
        <condense val="0"/>
        <extend val="0"/>
        <outline val="0"/>
        <shadow val="0"/>
        <u val="none"/>
        <vertAlign val="baseline"/>
        <sz val="9"/>
        <color theme="1"/>
        <name val="Calibri"/>
        <family val="2"/>
        <scheme val="minor"/>
      </font>
      <numFmt numFmtId="1" formatCode="0"/>
      <alignment horizontal="general" vertical="bottom" textRotation="0" wrapText="0" indent="0" justifyLastLine="0" shrinkToFit="0" readingOrder="0"/>
      <border diagonalUp="0" diagonalDown="0" outline="0">
        <left style="medium">
          <color auto="1"/>
        </left>
        <right/>
        <top/>
        <bottom/>
      </border>
      <protection locked="0" hidden="0"/>
    </dxf>
    <dxf>
      <font>
        <b val="0"/>
        <strike val="0"/>
        <outline val="0"/>
        <shadow val="0"/>
        <u val="none"/>
        <vertAlign val="baseline"/>
        <sz val="9"/>
        <name val="Calibri"/>
        <family val="2"/>
      </font>
      <numFmt numFmtId="1" formatCode="0"/>
      <alignment horizontal="general" vertical="bottom" textRotation="0" wrapText="0" indent="0" justifyLastLine="0" shrinkToFit="0" readingOrder="0"/>
      <border diagonalUp="0" diagonalDown="0">
        <left style="medium">
          <color auto="1"/>
        </left>
        <right/>
        <top/>
        <bottom/>
        <horizontal/>
      </border>
    </dxf>
    <dxf>
      <font>
        <b val="0"/>
        <i val="0"/>
        <strike val="0"/>
        <condense val="0"/>
        <extend val="0"/>
        <outline val="0"/>
        <shadow val="0"/>
        <u val="none"/>
        <vertAlign val="baseline"/>
        <sz val="9"/>
        <color theme="1"/>
        <name val="Calibri"/>
        <family val="2"/>
        <scheme val="minor"/>
      </font>
      <numFmt numFmtId="1" formatCode="0"/>
      <alignment horizontal="general" vertical="bottom" textRotation="0" wrapText="0" indent="0" justifyLastLine="0" shrinkToFit="0" readingOrder="0"/>
      <border diagonalUp="0" diagonalDown="0" outline="0">
        <left style="medium">
          <color auto="1"/>
        </left>
        <right style="medium">
          <color auto="1"/>
        </right>
        <top/>
        <bottom/>
      </border>
      <protection locked="0" hidden="0"/>
    </dxf>
    <dxf>
      <numFmt numFmtId="1" formatCode="0"/>
      <alignment textRotation="0" wrapText="0" indent="0" justifyLastLine="0" shrinkToFit="0" readingOrder="0"/>
      <border diagonalUp="0" diagonalDown="0">
        <left style="medium">
          <color auto="1"/>
        </left>
        <right style="medium">
          <color auto="1"/>
        </right>
        <top/>
        <bottom/>
        <vertical/>
        <horizontal/>
      </border>
    </dxf>
    <dxf>
      <numFmt numFmtId="164" formatCode="&quot;$&quot;#,##0"/>
      <alignment horizontal="right" vertical="bottom" textRotation="0" wrapText="0" indent="0" justifyLastLine="0" shrinkToFit="0" readingOrder="0"/>
      <border diagonalUp="0" diagonalDown="0" outline="0">
        <left/>
        <right style="medium">
          <color auto="1"/>
        </right>
        <top/>
        <bottom/>
      </border>
      <protection locked="0" hidden="0"/>
    </dxf>
    <dxf>
      <numFmt numFmtId="164" formatCode="&quot;$&quot;#,##0"/>
      <fill>
        <patternFill patternType="solid">
          <fgColor indexed="64"/>
          <bgColor theme="0" tint="-0.249977111117893"/>
        </patternFill>
      </fill>
      <alignment horizontal="right" vertical="bottom" textRotation="0" wrapText="0" indent="0" justifyLastLine="0" shrinkToFit="0" readingOrder="0"/>
      <border diagonalUp="0" diagonalDown="0">
        <left/>
        <right style="medium">
          <color auto="1"/>
        </right>
        <top/>
        <bottom/>
        <vertical/>
        <horizontal/>
      </border>
    </dxf>
    <dxf>
      <numFmt numFmtId="165" formatCode="&quot;$&quot;#,##0.00"/>
      <fill>
        <patternFill patternType="solid">
          <fgColor indexed="64"/>
          <bgColor rgb="FFFFFF00"/>
        </patternFill>
      </fill>
      <alignment horizontal="right" vertical="bottom" textRotation="0" wrapText="0" indent="0" justifyLastLine="0" shrinkToFit="0" readingOrder="0"/>
      <protection locked="0" hidden="0"/>
    </dxf>
    <dxf>
      <numFmt numFmtId="165" formatCode="&quot;$&quot;#,##0.00"/>
      <fill>
        <patternFill patternType="solid">
          <fgColor indexed="64"/>
          <bgColor theme="0" tint="-0.249977111117893"/>
        </patternFill>
      </fill>
      <alignment horizontal="right" vertical="bottom" textRotation="0" wrapText="0" indent="0" justifyLastLine="0" shrinkToFit="0" readingOrder="0"/>
      <protection locked="0" hidden="0"/>
    </dxf>
    <dxf>
      <numFmt numFmtId="165" formatCode="&quot;$&quot;#,##0.00"/>
      <alignment horizontal="left" vertical="bottom" textRotation="0" wrapText="0" indent="0" justifyLastLine="0" shrinkToFit="0" readingOrder="0"/>
      <protection locked="0" hidden="0"/>
    </dxf>
    <dxf>
      <numFmt numFmtId="165" formatCode="&quot;$&quot;#,##0.00"/>
      <fill>
        <patternFill patternType="solid">
          <fgColor indexed="64"/>
          <bgColor theme="0" tint="-0.249977111117893"/>
        </patternFill>
      </fill>
      <alignment horizontal="left" vertical="bottom" textRotation="0" wrapText="0" indent="0" justifyLastLine="0" shrinkToFit="0" readingOrder="0"/>
      <protection locked="0" hidden="0"/>
    </dxf>
    <dxf>
      <numFmt numFmtId="165" formatCode="&quot;$&quot;#,##0.00"/>
      <alignment horizontal="right" vertical="bottom" textRotation="0" wrapText="0" indent="0" justifyLastLine="0" shrinkToFit="0" readingOrder="0"/>
      <protection locked="0" hidden="0"/>
    </dxf>
    <dxf>
      <numFmt numFmtId="165" formatCode="&quot;$&quot;#,##0.00"/>
      <fill>
        <patternFill patternType="solid">
          <fgColor indexed="64"/>
          <bgColor theme="0" tint="-0.249977111117893"/>
        </patternFill>
      </fill>
      <alignment horizontal="right" vertical="bottom" textRotation="0" wrapText="0" indent="0" justifyLastLine="0" shrinkToFit="0" readingOrder="0"/>
      <protection locked="0" hidden="0"/>
    </dxf>
    <dxf>
      <numFmt numFmtId="165" formatCode="&quot;$&quot;#,##0.00"/>
      <alignment horizontal="right" vertical="bottom" textRotation="0" wrapText="0" indent="0" justifyLastLine="0" shrinkToFit="0" readingOrder="0"/>
      <protection locked="0" hidden="0"/>
    </dxf>
    <dxf>
      <numFmt numFmtId="165" formatCode="&quot;$&quot;#,##0.00"/>
      <fill>
        <patternFill patternType="solid">
          <fgColor indexed="64"/>
          <bgColor theme="0" tint="-0.249977111117893"/>
        </patternFill>
      </fill>
      <alignment horizontal="right" vertical="bottom" textRotation="0" wrapText="0" indent="0" justifyLastLine="0" shrinkToFit="0" readingOrder="0"/>
      <protection locked="0" hidden="0"/>
    </dxf>
    <dxf>
      <numFmt numFmtId="165" formatCode="&quot;$&quot;#,##0.00"/>
      <alignment horizontal="right" vertical="bottom" textRotation="0" wrapText="0" indent="0" justifyLastLine="0" shrinkToFit="0" readingOrder="0"/>
      <protection locked="0" hidden="0"/>
    </dxf>
    <dxf>
      <numFmt numFmtId="165" formatCode="&quot;$&quot;#,##0.00"/>
      <fill>
        <patternFill patternType="solid">
          <fgColor indexed="64"/>
          <bgColor theme="0" tint="-0.249977111117893"/>
        </patternFill>
      </fill>
      <alignment horizontal="right" vertical="bottom" textRotation="0" wrapText="0" indent="0" justifyLastLine="0" shrinkToFit="0" readingOrder="0"/>
      <protection locked="0" hidden="0"/>
    </dxf>
    <dxf>
      <numFmt numFmtId="164" formatCode="&quot;$&quot;#,##0"/>
      <alignment horizontal="right" vertical="bottom" textRotation="0" wrapText="0" indent="0" justifyLastLine="0" shrinkToFit="0" readingOrder="0"/>
      <protection locked="0" hidden="0"/>
    </dxf>
    <dxf>
      <numFmt numFmtId="165" formatCode="&quot;$&quot;#,##0.00"/>
      <fill>
        <patternFill patternType="solid">
          <fgColor indexed="64"/>
          <bgColor theme="0" tint="-0.249977111117893"/>
        </patternFill>
      </fill>
      <alignment horizontal="right" vertical="bottom" textRotation="0" wrapText="0" indent="0" justifyLastLine="0" shrinkToFit="0" readingOrder="0"/>
      <protection locked="0" hidden="0"/>
    </dxf>
    <dxf>
      <numFmt numFmtId="165" formatCode="&quot;$&quot;#,##0.00"/>
      <alignment horizontal="right" vertical="bottom" textRotation="0" wrapText="0" indent="0" justifyLastLine="0" shrinkToFit="0" readingOrder="0"/>
      <protection locked="0" hidden="0"/>
    </dxf>
    <dxf>
      <numFmt numFmtId="165" formatCode="&quot;$&quot;#,##0.00"/>
      <fill>
        <patternFill patternType="solid">
          <fgColor indexed="64"/>
          <bgColor theme="0" tint="-0.249977111117893"/>
        </patternFill>
      </fill>
      <alignment horizontal="right" vertical="bottom" textRotation="0" wrapText="0" indent="0" justifyLastLine="0" shrinkToFit="0" readingOrder="0"/>
      <protection locked="0" hidden="0"/>
    </dxf>
    <dxf>
      <numFmt numFmtId="164" formatCode="&quot;$&quot;#,##0"/>
      <alignment horizontal="right" vertical="bottom" textRotation="0" wrapText="0" indent="0" justifyLastLine="0" shrinkToFit="0" readingOrder="0"/>
      <protection locked="0" hidden="0"/>
    </dxf>
    <dxf>
      <numFmt numFmtId="165" formatCode="&quot;$&quot;#,##0.00"/>
      <fill>
        <patternFill patternType="solid">
          <fgColor indexed="64"/>
          <bgColor theme="0" tint="-0.249977111117893"/>
        </patternFill>
      </fill>
      <alignment horizontal="right" vertical="bottom" textRotation="0" wrapText="0" indent="0" justifyLastLine="0" shrinkToFit="0" readingOrder="0"/>
      <protection locked="0" hidden="0"/>
    </dxf>
    <dxf>
      <numFmt numFmtId="165" formatCode="&quot;$&quot;#,##0.00"/>
      <alignment horizontal="right" vertical="bottom" textRotation="0" wrapText="0" indent="0" justifyLastLine="0" shrinkToFit="0" readingOrder="0"/>
      <protection locked="0" hidden="0"/>
    </dxf>
    <dxf>
      <numFmt numFmtId="165" formatCode="&quot;$&quot;#,##0.00"/>
      <fill>
        <patternFill patternType="solid">
          <fgColor indexed="64"/>
          <bgColor theme="0" tint="-0.249977111117893"/>
        </patternFill>
      </fill>
      <alignment horizontal="right" vertical="bottom" textRotation="0" wrapText="0" indent="0" justifyLastLine="0" shrinkToFit="0" readingOrder="0"/>
      <protection locked="0" hidden="0"/>
    </dxf>
    <dxf>
      <numFmt numFmtId="164" formatCode="&quot;$&quot;#,##0"/>
      <alignment horizontal="right" vertical="bottom" textRotation="0" wrapText="0" indent="0" justifyLastLine="0" shrinkToFit="0" readingOrder="0"/>
      <protection locked="0" hidden="0"/>
    </dxf>
    <dxf>
      <numFmt numFmtId="1" formatCode="0"/>
      <fill>
        <patternFill patternType="solid">
          <fgColor indexed="64"/>
          <bgColor theme="0" tint="-0.249977111117893"/>
        </patternFill>
      </fill>
      <alignment horizontal="right" vertical="bottom" textRotation="0" wrapText="0" indent="0" justifyLastLine="0" shrinkToFit="0" readingOrder="0"/>
      <protection locked="0" hidden="0"/>
    </dxf>
    <dxf>
      <numFmt numFmtId="164" formatCode="&quot;$&quot;#,##0"/>
      <alignment horizontal="right" vertical="bottom" textRotation="0" wrapText="0" indent="0" justifyLastLine="0" shrinkToFit="0" readingOrder="0"/>
      <protection locked="0" hidden="0"/>
    </dxf>
    <dxf>
      <font>
        <color rgb="FF00B0F0"/>
      </font>
      <numFmt numFmtId="19" formatCode="m/d/yyyy"/>
      <fill>
        <patternFill patternType="solid">
          <fgColor indexed="64"/>
          <bgColor theme="0" tint="-0.249977111117893"/>
        </patternFill>
      </fill>
      <alignment horizontal="right" vertical="bottom" textRotation="0" wrapText="0" indent="0" justifyLastLine="0" shrinkToFit="0" readingOrder="0"/>
      <protection locked="0" hidden="0"/>
    </dxf>
    <dxf>
      <numFmt numFmtId="19" formatCode="m/d/yyyy"/>
      <alignment horizontal="center" vertical="bottom" textRotation="0" wrapText="0" indent="0" justifyLastLine="0" shrinkToFit="0" readingOrder="0"/>
      <border diagonalUp="0" diagonalDown="0" outline="0">
        <left style="medium">
          <color auto="1"/>
        </left>
        <right/>
        <top/>
        <bottom/>
      </border>
      <protection locked="0" hidden="0"/>
    </dxf>
    <dxf>
      <numFmt numFmtId="19" formatCode="m/d/yyyy"/>
      <fill>
        <patternFill patternType="solid">
          <fgColor indexed="64"/>
          <bgColor theme="0" tint="-0.249977111117893"/>
        </patternFill>
      </fill>
      <alignment horizontal="center" vertical="bottom" textRotation="0" wrapText="0" indent="0" justifyLastLine="0" shrinkToFit="0" readingOrder="0"/>
      <border diagonalUp="0" diagonalDown="0" outline="0">
        <left style="medium">
          <color auto="1"/>
        </left>
        <right/>
        <top/>
        <bottom/>
      </border>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alignment horizontal="center" vertical="bottom" textRotation="0" wrapText="0" indent="0" justifyLastLine="0" shrinkToFit="0" readingOrder="0"/>
      <border diagonalUp="0" diagonalDown="0" outline="0">
        <left style="hair">
          <color auto="1"/>
        </left>
        <right style="medium">
          <color auto="1"/>
        </right>
        <top/>
        <bottom/>
      </border>
      <protection locked="0" hidden="0"/>
    </dxf>
    <dxf>
      <font>
        <color auto="1"/>
      </font>
      <numFmt numFmtId="14" formatCode="0.00%"/>
      <fill>
        <patternFill patternType="none">
          <fgColor indexed="64"/>
          <bgColor auto="1"/>
        </patternFill>
      </fill>
      <alignment horizontal="center" vertical="bottom" textRotation="0" wrapText="0" indent="0" justifyLastLine="0" shrinkToFit="0" readingOrder="0"/>
      <border diagonalUp="0" diagonalDown="0">
        <left style="hair">
          <color auto="1"/>
        </left>
        <right style="medium">
          <color auto="1"/>
        </right>
        <top/>
        <bottom/>
        <vertical style="hair">
          <color auto="1"/>
        </vertical>
        <horizontal/>
      </border>
    </dxf>
    <dxf>
      <font>
        <b val="0"/>
        <i val="0"/>
        <strike val="0"/>
        <condense val="0"/>
        <extend val="0"/>
        <outline val="0"/>
        <shadow val="0"/>
        <u val="none"/>
        <vertAlign val="baseline"/>
        <sz val="11"/>
        <color auto="1"/>
        <name val="Calibri"/>
        <family val="2"/>
        <scheme val="minor"/>
      </font>
      <numFmt numFmtId="19" formatCode="m/d/yyyy"/>
      <fill>
        <patternFill patternType="solid">
          <fgColor indexed="64"/>
          <bgColor rgb="FFFF0000"/>
        </patternFill>
      </fill>
      <alignment horizontal="center" vertical="bottom" textRotation="0" wrapText="0" indent="0" justifyLastLine="0" shrinkToFit="0" readingOrder="0"/>
      <border diagonalUp="0" diagonalDown="0" outline="0">
        <left style="hair">
          <color auto="1"/>
        </left>
        <right style="hair">
          <color auto="1"/>
        </right>
        <top/>
        <bottom/>
      </border>
      <protection locked="0" hidden="0"/>
    </dxf>
    <dxf>
      <font>
        <b val="0"/>
        <i val="0"/>
        <strike val="0"/>
        <condense val="0"/>
        <extend val="0"/>
        <outline val="0"/>
        <shadow val="0"/>
        <u val="none"/>
        <vertAlign val="baseline"/>
        <sz val="11"/>
        <color auto="1"/>
        <name val="Calibri"/>
        <family val="2"/>
        <scheme val="minor"/>
      </font>
      <numFmt numFmtId="19" formatCode="m/d/yyyy"/>
      <fill>
        <patternFill patternType="solid">
          <fgColor indexed="64"/>
          <bgColor rgb="FFFF0000"/>
        </patternFill>
      </fill>
      <alignment horizontal="center" vertical="bottom" textRotation="0" wrapText="0" indent="0" justifyLastLine="0" shrinkToFit="0" readingOrder="0"/>
      <border diagonalUp="0" diagonalDown="0">
        <left style="hair">
          <color auto="1"/>
        </left>
        <right style="hair">
          <color auto="1"/>
        </right>
        <top/>
        <bottom/>
        <vertical style="hair">
          <color auto="1"/>
        </vertical>
        <horizontal/>
      </border>
    </dxf>
    <dxf>
      <font>
        <b val="0"/>
        <i val="0"/>
        <strike val="0"/>
        <condense val="0"/>
        <extend val="0"/>
        <outline val="0"/>
        <shadow val="0"/>
        <u val="none"/>
        <vertAlign val="baseline"/>
        <sz val="11"/>
        <color rgb="FFFF0000"/>
        <name val="Calibri"/>
        <family val="2"/>
        <scheme val="minor"/>
      </font>
      <numFmt numFmtId="19" formatCode="m/d/yyyy"/>
      <fill>
        <patternFill patternType="none">
          <fgColor indexed="64"/>
          <bgColor indexed="65"/>
        </patternFill>
      </fill>
      <alignment horizontal="center" vertical="bottom" textRotation="0" wrapText="0" indent="0" justifyLastLine="0" shrinkToFit="0" readingOrder="0"/>
      <border diagonalUp="0" diagonalDown="0" outline="0">
        <left style="hair">
          <color auto="1"/>
        </left>
        <right style="hair">
          <color auto="1"/>
        </right>
        <top/>
        <bottom/>
      </border>
      <protection locked="0" hidden="0"/>
    </dxf>
    <dxf>
      <fill>
        <patternFill patternType="none">
          <fgColor indexed="64"/>
          <bgColor auto="1"/>
        </patternFill>
      </fill>
      <alignment textRotation="0" wrapText="0" indent="0" justifyLastLine="0" shrinkToFit="0" readingOrder="0"/>
      <border diagonalUp="0" diagonalDown="0">
        <left style="hair">
          <color auto="1"/>
        </left>
        <right style="hair">
          <color auto="1"/>
        </right>
        <top/>
        <bottom/>
        <vertical style="hair">
          <color auto="1"/>
        </vertical>
        <horizontal/>
      </border>
    </dxf>
    <dxf>
      <font>
        <b val="0"/>
        <i val="0"/>
        <strike val="0"/>
        <condense val="0"/>
        <extend val="0"/>
        <outline val="0"/>
        <shadow val="0"/>
        <u val="none"/>
        <vertAlign val="baseline"/>
        <sz val="11"/>
        <color rgb="FFFF0000"/>
        <name val="Calibri"/>
        <family val="2"/>
        <scheme val="minor"/>
      </font>
      <numFmt numFmtId="19" formatCode="m/d/yyyy"/>
      <fill>
        <patternFill patternType="none">
          <fgColor indexed="64"/>
          <bgColor indexed="65"/>
        </patternFill>
      </fill>
      <alignment horizontal="center" vertical="bottom" textRotation="0" wrapText="0" indent="0" justifyLastLine="0" shrinkToFit="0" readingOrder="0"/>
      <border diagonalUp="0" diagonalDown="0" outline="0">
        <left style="medium">
          <color auto="1"/>
        </left>
        <right style="hair">
          <color auto="1"/>
        </right>
        <top/>
        <bottom/>
      </border>
      <protection locked="0" hidden="0"/>
    </dxf>
    <dxf>
      <fill>
        <patternFill patternType="none">
          <fgColor indexed="64"/>
          <bgColor auto="1"/>
        </patternFill>
      </fill>
      <alignment textRotation="0" wrapText="0" indent="0" justifyLastLine="0" shrinkToFit="0" readingOrder="0"/>
      <border diagonalUp="0" diagonalDown="0">
        <left style="medium">
          <color auto="1"/>
        </left>
        <right style="hair">
          <color auto="1"/>
        </right>
        <top/>
        <bottom/>
        <vertical style="hair">
          <color auto="1"/>
        </vertical>
        <horizontal/>
      </border>
    </dxf>
    <dxf>
      <font>
        <b val="0"/>
        <i val="0"/>
        <strike val="0"/>
        <condense val="0"/>
        <extend val="0"/>
        <outline val="0"/>
        <shadow val="0"/>
        <u val="none"/>
        <vertAlign val="baseline"/>
        <sz val="11"/>
        <color rgb="FFFF0000"/>
        <name val="Calibri"/>
        <family val="2"/>
        <scheme val="minor"/>
      </font>
      <numFmt numFmtId="19" formatCode="m/d/yyyy"/>
      <alignment horizontal="center" vertical="bottom" textRotation="0" wrapText="0" indent="0" justifyLastLine="0" shrinkToFit="0" readingOrder="0"/>
      <border diagonalUp="0" diagonalDown="0" outline="0">
        <left/>
        <right style="medium">
          <color auto="1"/>
        </right>
        <top/>
        <bottom/>
      </border>
      <protection locked="0" hidden="0"/>
    </dxf>
    <dxf>
      <numFmt numFmtId="19" formatCode="m/d/yyyy"/>
      <alignment textRotation="0" wrapText="0" indent="0" justifyLastLine="0" shrinkToFit="0" readingOrder="0"/>
      <border diagonalUp="0" diagonalDown="0">
        <left/>
        <right style="medium">
          <color auto="1"/>
        </right>
        <top/>
        <bottom/>
        <horizontal/>
      </border>
    </dxf>
    <dxf>
      <font>
        <b val="0"/>
        <i val="0"/>
        <strike val="0"/>
        <condense val="0"/>
        <extend val="0"/>
        <outline val="0"/>
        <shadow val="0"/>
        <u val="none"/>
        <vertAlign val="baseline"/>
        <sz val="11"/>
        <color rgb="FFFF0000"/>
        <name val="Calibri"/>
        <family val="2"/>
        <scheme val="minor"/>
      </font>
      <numFmt numFmtId="19" formatCode="m/d/yyyy"/>
      <alignment horizontal="center" vertical="bottom" textRotation="0" wrapText="0" indent="0" justifyLastLine="0" shrinkToFit="0" readingOrder="0"/>
      <protection locked="0" hidden="0"/>
    </dxf>
    <dxf>
      <alignment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quot;$&quot;#,##0.00"/>
      <alignment horizontal="center" vertical="bottom" textRotation="0" wrapText="0" indent="0" justifyLastLine="0" shrinkToFit="0" readingOrder="0"/>
      <protection locked="0" hidden="0"/>
    </dxf>
    <dxf>
      <alignment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quot;$&quot;#,##0.00"/>
      <alignment horizontal="center" vertical="bottom" textRotation="0" wrapText="0" indent="0" justifyLastLine="0" shrinkToFit="0" readingOrder="0"/>
      <border diagonalUp="0" diagonalDown="0" outline="0">
        <left style="medium">
          <color auto="1"/>
        </left>
        <right/>
        <top/>
        <bottom/>
      </border>
      <protection locked="0" hidden="0"/>
    </dxf>
    <dxf>
      <alignment textRotation="0" wrapText="0" indent="0" justifyLastLine="0" shrinkToFit="0" readingOrder="0"/>
      <border diagonalUp="0" diagonalDown="0">
        <left style="medium">
          <color auto="1"/>
        </left>
        <right/>
        <top/>
        <bottom/>
        <vertical/>
        <horizontal/>
      </border>
    </dxf>
    <dxf>
      <font>
        <b val="0"/>
        <i val="0"/>
        <strike val="0"/>
        <condense val="0"/>
        <extend val="0"/>
        <outline val="0"/>
        <shadow val="0"/>
        <u val="none"/>
        <vertAlign val="baseline"/>
        <sz val="11"/>
        <color rgb="FFFF0000"/>
        <name val="Calibri"/>
        <family val="2"/>
        <scheme val="minor"/>
      </font>
      <numFmt numFmtId="165" formatCode="&quot;$&quot;#,##0.00"/>
      <alignment horizontal="center" vertical="bottom" textRotation="0" wrapText="0" indent="0" justifyLastLine="0" shrinkToFit="0" readingOrder="0"/>
      <border diagonalUp="0" diagonalDown="0" outline="0">
        <left style="medium">
          <color auto="1"/>
        </left>
        <right style="medium">
          <color auto="1"/>
        </right>
        <top/>
        <bottom/>
      </border>
      <protection locked="0" hidden="0"/>
    </dxf>
    <dxf>
      <alignment textRotation="0" wrapText="0" indent="0" justifyLastLine="0" shrinkToFit="0" readingOrder="0"/>
      <border diagonalUp="0" diagonalDown="0">
        <left style="medium">
          <color auto="1"/>
        </left>
        <right style="medium">
          <color auto="1"/>
        </right>
        <top/>
        <bottom/>
        <vertical/>
        <horizontal/>
      </border>
    </dxf>
    <dxf>
      <font>
        <b val="0"/>
        <i val="0"/>
        <strike val="0"/>
        <condense val="0"/>
        <extend val="0"/>
        <outline val="0"/>
        <shadow val="0"/>
        <u val="none"/>
        <vertAlign val="baseline"/>
        <sz val="11"/>
        <color auto="1"/>
        <name val="Calibri"/>
        <family val="2"/>
        <scheme val="minor"/>
      </font>
      <numFmt numFmtId="165" formatCode="&quot;$&quot;#,##0.00"/>
      <alignment horizontal="center" vertical="bottom" textRotation="0" wrapText="0" indent="0" justifyLastLine="0" shrinkToFit="0" readingOrder="0"/>
      <border diagonalUp="0" diagonalDown="0" outline="0">
        <left style="medium">
          <color auto="1"/>
        </left>
        <right style="medium">
          <color auto="1"/>
        </right>
        <top/>
        <bottom/>
      </border>
      <protection locked="0" hidden="0"/>
    </dxf>
    <dxf>
      <font>
        <b val="0"/>
        <i val="0"/>
        <strike val="0"/>
        <condense val="0"/>
        <extend val="0"/>
        <outline val="0"/>
        <shadow val="0"/>
        <u val="none"/>
        <vertAlign val="baseline"/>
        <sz val="11"/>
        <color auto="1"/>
        <name val="Calibri"/>
        <family val="2"/>
        <scheme val="minor"/>
      </font>
      <numFmt numFmtId="165" formatCode="&quot;$&quot;#,##0.00"/>
      <alignment horizontal="center" vertical="bottom" textRotation="0" wrapText="0" indent="0" justifyLastLine="0" shrinkToFit="0" readingOrder="0"/>
      <border diagonalUp="0" diagonalDown="0">
        <left style="medium">
          <color auto="1"/>
        </left>
        <right style="medium">
          <color auto="1"/>
        </right>
        <top/>
        <bottom/>
        <vertical/>
        <horizontal/>
      </border>
    </dxf>
    <dxf>
      <font>
        <b val="0"/>
        <i val="0"/>
        <strike val="0"/>
        <condense val="0"/>
        <extend val="0"/>
        <outline val="0"/>
        <shadow val="0"/>
        <u val="none"/>
        <vertAlign val="baseline"/>
        <sz val="11"/>
        <color auto="1"/>
        <name val="Calibri"/>
        <family val="2"/>
        <scheme val="minor"/>
      </font>
      <numFmt numFmtId="19" formatCode="m/d/yyyy"/>
      <fill>
        <patternFill patternType="solid">
          <fgColor indexed="64"/>
          <bgColor rgb="FFFFFF00"/>
        </patternFill>
      </fill>
      <alignment horizontal="center" vertical="bottom" textRotation="0" wrapText="0" indent="0" justifyLastLine="0" shrinkToFit="0" readingOrder="0"/>
      <border diagonalUp="0" diagonalDown="0" outline="0">
        <left style="medium">
          <color auto="1"/>
        </left>
        <right/>
        <top/>
        <bottom/>
      </border>
      <protection locked="0" hidden="0"/>
    </dxf>
    <dxf>
      <font>
        <b val="0"/>
        <i val="0"/>
        <strike val="0"/>
        <condense val="0"/>
        <extend val="0"/>
        <outline val="0"/>
        <shadow val="0"/>
        <u val="none"/>
        <vertAlign val="baseline"/>
        <sz val="11"/>
        <color auto="1"/>
        <name val="Calibri"/>
        <family val="2"/>
        <scheme val="minor"/>
      </font>
      <numFmt numFmtId="19" formatCode="m/d/yyyy"/>
      <fill>
        <patternFill patternType="solid">
          <fgColor indexed="64"/>
          <bgColor rgb="FFFFFF00"/>
        </patternFill>
      </fill>
      <alignment horizontal="center" vertical="bottom" textRotation="0" wrapText="0" indent="0" justifyLastLine="0" shrinkToFit="0" readingOrder="0"/>
      <border diagonalUp="0" diagonalDown="0">
        <left style="medium">
          <color auto="1"/>
        </left>
        <right/>
        <top/>
        <bottom/>
        <vertical/>
        <horizontal/>
      </border>
    </dxf>
    <dxf>
      <font>
        <b val="0"/>
        <i val="0"/>
        <strike val="0"/>
        <condense val="0"/>
        <extend val="0"/>
        <outline val="0"/>
        <shadow val="0"/>
        <u val="none"/>
        <vertAlign val="baseline"/>
        <sz val="11"/>
        <color rgb="FFFF0000"/>
        <name val="Calibri"/>
        <family val="2"/>
        <scheme val="minor"/>
      </font>
      <numFmt numFmtId="165" formatCode="&quot;$&quot;#,##0.00"/>
      <alignment horizontal="right" vertical="bottom" textRotation="0" wrapText="0" indent="0" justifyLastLine="0" shrinkToFit="0" readingOrder="0"/>
      <border diagonalUp="0" diagonalDown="0" outline="0">
        <left/>
        <right style="medium">
          <color auto="1"/>
        </right>
        <top/>
        <bottom/>
      </border>
      <protection locked="0" hidden="0"/>
    </dxf>
    <dxf>
      <numFmt numFmtId="165" formatCode="&quot;$&quot;#,##0.00"/>
      <alignment horizontal="right" textRotation="0" wrapText="0" indent="0" justifyLastLine="0" shrinkToFit="0" readingOrder="0"/>
      <border diagonalUp="0" diagonalDown="0">
        <left/>
        <right style="medium">
          <color auto="1"/>
        </right>
        <top/>
        <bottom/>
        <horizontal/>
      </border>
    </dxf>
    <dxf>
      <font>
        <b val="0"/>
        <i val="0"/>
        <strike val="0"/>
        <condense val="0"/>
        <extend val="0"/>
        <outline val="0"/>
        <shadow val="0"/>
        <u val="none"/>
        <vertAlign val="baseline"/>
        <sz val="11"/>
        <color rgb="FFFF0000"/>
        <name val="Calibri"/>
        <family val="2"/>
        <scheme val="minor"/>
      </font>
      <numFmt numFmtId="165" formatCode="&quot;$&quot;#,##0.00"/>
      <alignment horizontal="right" vertical="bottom" textRotation="0" wrapText="0" indent="0" justifyLastLine="0" shrinkToFit="0" readingOrder="0"/>
      <protection locked="0" hidden="0"/>
    </dxf>
    <dxf>
      <numFmt numFmtId="165" formatCode="&quot;$&quot;#,##0.00"/>
      <alignment horizontal="right" textRotation="0" wrapText="0" indent="0" justifyLastLine="0" shrinkToFit="0" readingOrder="0"/>
    </dxf>
    <dxf>
      <font>
        <b/>
        <i val="0"/>
        <strike val="0"/>
        <condense val="0"/>
        <extend val="0"/>
        <outline val="0"/>
        <shadow val="0"/>
        <u val="none"/>
        <vertAlign val="baseline"/>
        <sz val="11"/>
        <color auto="1"/>
        <name val="Calibri"/>
        <family val="2"/>
        <scheme val="minor"/>
      </font>
      <numFmt numFmtId="165" formatCode="&quot;$&quot;#,##0.00"/>
      <fill>
        <patternFill patternType="solid">
          <fgColor indexed="64"/>
          <bgColor theme="0" tint="-0.14999847407452621"/>
        </patternFill>
      </fill>
      <alignment horizontal="right" vertical="bottom" textRotation="0" wrapText="0" indent="0" justifyLastLine="0" shrinkToFit="0" readingOrder="0"/>
      <protection locked="0" hidden="0"/>
    </dxf>
    <dxf>
      <font>
        <strike val="0"/>
        <outline val="0"/>
        <shadow val="0"/>
        <u val="none"/>
        <vertAlign val="baseline"/>
        <sz val="11"/>
        <color auto="1"/>
        <name val="Calibri"/>
        <family val="2"/>
        <scheme val="minor"/>
      </font>
      <numFmt numFmtId="165" formatCode="&quot;$&quot;#,##0.00"/>
      <fill>
        <patternFill patternType="none">
          <fgColor indexed="64"/>
          <bgColor auto="1"/>
        </patternFill>
      </fill>
      <alignment horizontal="right" textRotation="0" wrapText="0" indent="0" justifyLastLine="0" shrinkToFit="0" readingOrder="0"/>
    </dxf>
    <dxf>
      <numFmt numFmtId="165" formatCode="&quot;$&quot;#,##0.00"/>
      <alignment horizontal="right" vertical="bottom" textRotation="0" wrapText="0" indent="0" justifyLastLine="0" shrinkToFit="0" readingOrder="0"/>
      <border diagonalUp="0" diagonalDown="0" outline="0">
        <left style="medium">
          <color auto="1"/>
        </left>
        <right/>
        <top/>
        <bottom/>
      </border>
      <protection locked="0" hidden="0"/>
    </dxf>
    <dxf>
      <numFmt numFmtId="165" formatCode="&quot;$&quot;#,##0.00"/>
      <alignment horizontal="right" textRotation="0" wrapText="0" indent="0" justifyLastLine="0" shrinkToFit="0" readingOrder="0"/>
      <border diagonalUp="0" diagonalDown="0" outline="0">
        <left style="medium">
          <color auto="1"/>
        </left>
        <right/>
        <top/>
        <bottom/>
      </border>
    </dxf>
    <dxf>
      <font>
        <b val="0"/>
        <i val="0"/>
        <strike val="0"/>
        <condense val="0"/>
        <extend val="0"/>
        <outline val="0"/>
        <shadow val="0"/>
        <u val="none"/>
        <vertAlign val="baseline"/>
        <sz val="11"/>
        <color theme="1"/>
        <name val="Calibri"/>
        <family val="2"/>
        <scheme val="minor"/>
      </font>
      <numFmt numFmtId="3" formatCode="#,##0"/>
      <alignment horizontal="right" vertical="bottom" textRotation="0" wrapText="0" indent="0" justifyLastLine="0" shrinkToFit="0" readingOrder="0"/>
      <border diagonalUp="0" diagonalDown="0" outline="0">
        <left style="medium">
          <color auto="1"/>
        </left>
        <right style="medium">
          <color auto="1"/>
        </right>
        <top/>
        <bottom/>
      </border>
      <protection locked="0" hidden="0"/>
    </dxf>
    <dxf>
      <font>
        <b val="0"/>
        <i val="0"/>
        <strike val="0"/>
        <condense val="0"/>
        <extend val="0"/>
        <outline val="0"/>
        <shadow val="0"/>
        <u val="none"/>
        <vertAlign val="baseline"/>
        <sz val="11"/>
        <color theme="1"/>
        <name val="Calibri"/>
        <family val="2"/>
        <scheme val="minor"/>
      </font>
      <numFmt numFmtId="3" formatCode="#,##0"/>
      <alignment horizontal="right" vertical="bottom" textRotation="0" wrapText="0" indent="0" justifyLastLine="0" shrinkToFit="0" readingOrder="0"/>
      <border diagonalUp="0" diagonalDown="0">
        <left style="medium">
          <color auto="1"/>
        </left>
        <right style="medium">
          <color auto="1"/>
        </right>
        <top/>
        <bottom/>
        <vertical/>
        <horizontal/>
      </border>
    </dxf>
    <dxf>
      <font>
        <b val="0"/>
        <i val="0"/>
        <strike val="0"/>
        <condense val="0"/>
        <extend val="0"/>
        <outline val="0"/>
        <shadow val="0"/>
        <u val="none"/>
        <vertAlign val="baseline"/>
        <sz val="11"/>
        <color theme="1"/>
        <name val="Calibri"/>
        <family val="2"/>
        <scheme val="minor"/>
      </font>
      <numFmt numFmtId="3" formatCode="#,##0"/>
      <fill>
        <patternFill patternType="none">
          <fgColor indexed="64"/>
          <bgColor indexed="65"/>
        </patternFill>
      </fill>
      <alignment horizontal="right" vertical="bottom" textRotation="0" wrapText="0" indent="0" justifyLastLine="0" shrinkToFit="0" readingOrder="0"/>
      <border diagonalUp="0" diagonalDown="0" outline="0">
        <left style="medium">
          <color auto="1"/>
        </left>
        <right style="medium">
          <color auto="1"/>
        </right>
        <top/>
        <bottom/>
      </border>
      <protection locked="0" hidden="0"/>
    </dxf>
    <dxf>
      <font>
        <b val="0"/>
        <i val="0"/>
        <strike val="0"/>
        <condense val="0"/>
        <extend val="0"/>
        <outline val="0"/>
        <shadow val="0"/>
        <u val="none"/>
        <vertAlign val="baseline"/>
        <sz val="11"/>
        <color theme="1"/>
        <name val="Calibri"/>
        <family val="2"/>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left style="medium">
          <color auto="1"/>
        </left>
        <right style="medium">
          <color auto="1"/>
        </right>
        <top/>
        <bottom/>
        <vertical/>
        <horizontal/>
      </border>
    </dxf>
    <dxf>
      <font>
        <b val="0"/>
        <i val="0"/>
        <strike val="0"/>
        <condense val="0"/>
        <extend val="0"/>
        <outline val="0"/>
        <shadow val="0"/>
        <u val="none"/>
        <vertAlign val="baseline"/>
        <sz val="11"/>
        <color theme="1"/>
        <name val="Calibri"/>
        <family val="2"/>
        <scheme val="minor"/>
      </font>
      <numFmt numFmtId="165" formatCode="&quot;$&quot;#,##0.00"/>
      <alignment horizontal="right" vertical="bottom" textRotation="0" wrapText="0" indent="0" justifyLastLine="0" shrinkToFit="0" readingOrder="0"/>
      <border diagonalUp="0" diagonalDown="0" outline="0">
        <left/>
        <right style="medium">
          <color auto="1"/>
        </right>
        <top/>
        <bottom/>
      </border>
      <protection locked="0" hidden="0"/>
    </dxf>
    <dxf>
      <font>
        <b val="0"/>
        <i val="0"/>
        <strike val="0"/>
        <condense val="0"/>
        <extend val="0"/>
        <outline val="0"/>
        <shadow val="0"/>
        <u val="none"/>
        <vertAlign val="baseline"/>
        <sz val="11"/>
        <color theme="1"/>
        <name val="Calibri"/>
        <family val="2"/>
        <scheme val="minor"/>
      </font>
      <numFmt numFmtId="165" formatCode="&quot;$&quot;#,##0.00"/>
      <alignment horizontal="right" vertical="bottom" textRotation="0" wrapText="0" indent="0" justifyLastLine="0" shrinkToFit="0" readingOrder="0"/>
      <border diagonalUp="0" diagonalDown="0">
        <left/>
        <right style="medium">
          <color auto="1"/>
        </right>
        <top/>
        <bottom/>
        <vertical/>
        <horizontal/>
      </border>
    </dxf>
    <dxf>
      <font>
        <b val="0"/>
        <i val="0"/>
        <strike val="0"/>
        <condense val="0"/>
        <extend val="0"/>
        <outline val="0"/>
        <shadow val="0"/>
        <u val="none"/>
        <vertAlign val="baseline"/>
        <sz val="11"/>
        <color theme="1"/>
        <name val="Calibri"/>
        <family val="2"/>
        <scheme val="minor"/>
      </font>
      <numFmt numFmtId="165" formatCode="&quot;$&quot;#,##0.00"/>
      <alignment horizontal="right"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165" formatCode="&quot;$&quot;#,##0.00"/>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quot;$&quot;#,##0.00"/>
      <alignment horizontal="right" vertical="bottom" textRotation="0" wrapText="0" indent="0" justifyLastLine="0" shrinkToFit="0" readingOrder="0"/>
      <border diagonalUp="0" diagonalDown="0" outline="0">
        <left style="medium">
          <color auto="1"/>
        </left>
        <right/>
        <top/>
        <bottom/>
      </border>
      <protection locked="0" hidden="0"/>
    </dxf>
    <dxf>
      <font>
        <b val="0"/>
        <i val="0"/>
        <strike val="0"/>
        <condense val="0"/>
        <extend val="0"/>
        <outline val="0"/>
        <shadow val="0"/>
        <u val="none"/>
        <vertAlign val="baseline"/>
        <sz val="11"/>
        <color theme="1"/>
        <name val="Calibri"/>
        <family val="2"/>
        <scheme val="minor"/>
      </font>
      <numFmt numFmtId="165" formatCode="&quot;$&quot;#,##0.00"/>
      <alignment horizontal="right" vertical="bottom" textRotation="0" wrapText="0" indent="0" justifyLastLine="0" shrinkToFit="0" readingOrder="0"/>
      <border diagonalUp="0" diagonalDown="0">
        <left style="medium">
          <color auto="1"/>
        </left>
        <right/>
        <top/>
        <bottom/>
        <horizontal/>
      </border>
    </dxf>
    <dxf>
      <font>
        <b/>
        <i val="0"/>
        <strike val="0"/>
        <condense val="0"/>
        <extend val="0"/>
        <outline val="0"/>
        <shadow val="0"/>
        <u val="none"/>
        <vertAlign val="baseline"/>
        <sz val="11"/>
        <color rgb="FF000000"/>
        <name val="Calibri"/>
        <family val="2"/>
        <scheme val="minor"/>
      </font>
      <numFmt numFmtId="14" formatCode="0.00%"/>
      <alignment horizontal="right" vertical="bottom" textRotation="0" wrapText="0" indent="0" justifyLastLine="0" shrinkToFit="0" readingOrder="0"/>
      <border diagonalUp="0" diagonalDown="0" outline="0">
        <left style="medium">
          <color auto="1"/>
        </left>
        <right style="medium">
          <color auto="1"/>
        </right>
        <top/>
        <bottom/>
      </border>
      <protection locked="0" hidden="0"/>
    </dxf>
    <dxf>
      <font>
        <b/>
        <i val="0"/>
        <strike val="0"/>
        <condense val="0"/>
        <extend val="0"/>
        <outline val="0"/>
        <shadow val="0"/>
        <u val="none"/>
        <vertAlign val="baseline"/>
        <sz val="11"/>
        <color rgb="FF000000"/>
        <name val="Calibri"/>
        <family val="2"/>
        <scheme val="minor"/>
      </font>
      <numFmt numFmtId="14" formatCode="0.00%"/>
      <alignment horizontal="right" vertical="bottom" textRotation="0" wrapText="0" indent="0" justifyLastLine="0" shrinkToFit="0" readingOrder="0"/>
      <border diagonalUp="0" diagonalDown="0" outline="0">
        <left style="medium">
          <color auto="1"/>
        </left>
        <right style="medium">
          <color auto="1"/>
        </right>
        <top/>
        <bottom/>
      </border>
    </dxf>
    <dxf>
      <font>
        <b/>
        <i val="0"/>
        <strike val="0"/>
        <condense val="0"/>
        <extend val="0"/>
        <outline val="0"/>
        <shadow val="0"/>
        <u val="none"/>
        <vertAlign val="baseline"/>
        <sz val="11"/>
        <color theme="1"/>
        <name val="Calibri"/>
        <family val="2"/>
        <scheme val="minor"/>
      </font>
      <numFmt numFmtId="165" formatCode="&quot;$&quot;#,##0.00"/>
      <fill>
        <patternFill patternType="none">
          <fgColor indexed="64"/>
          <bgColor indexed="65"/>
        </patternFill>
      </fill>
      <alignment horizontal="right" vertical="bottom" textRotation="0" wrapText="0" indent="0" justifyLastLine="0" shrinkToFit="0" readingOrder="0"/>
      <border diagonalUp="0" diagonalDown="0" outline="0">
        <left style="medium">
          <color auto="1"/>
        </left>
        <right style="medium">
          <color auto="1"/>
        </right>
        <top/>
        <bottom/>
      </border>
      <protection locked="0" hidden="0"/>
    </dxf>
    <dxf>
      <font>
        <b/>
      </font>
      <numFmt numFmtId="165" formatCode="&quot;$&quot;#,##0.00"/>
      <fill>
        <patternFill patternType="none">
          <fgColor indexed="64"/>
          <bgColor auto="1"/>
        </patternFill>
      </fill>
      <alignment horizontal="right" vertical="bottom" textRotation="0" wrapText="0" indent="0" justifyLastLine="0" shrinkToFit="0" readingOrder="0"/>
      <border diagonalUp="0" diagonalDown="0">
        <left/>
        <right style="medium">
          <color auto="1"/>
        </right>
        <top/>
        <bottom/>
        <vertical/>
        <horizontal/>
      </border>
    </dxf>
    <dxf>
      <numFmt numFmtId="1" formatCode="0"/>
      <alignment horizontal="center" vertical="bottom" textRotation="0" wrapText="0" indent="0" justifyLastLine="0" shrinkToFit="0" readingOrder="0"/>
      <border diagonalUp="0" diagonalDown="0" outline="0">
        <left style="medium">
          <color auto="1"/>
        </left>
        <right/>
        <top/>
        <bottom/>
      </border>
      <protection locked="0" hidden="0"/>
    </dxf>
    <dxf>
      <numFmt numFmtId="1" formatCode="0"/>
      <alignment horizontal="center" vertical="bottom" textRotation="0" wrapText="0" indent="0" justifyLastLine="0" shrinkToFit="0" readingOrder="0"/>
      <border diagonalUp="0" diagonalDown="0" outline="0">
        <left style="medium">
          <color auto="1"/>
        </left>
        <right/>
        <top/>
        <bottom/>
      </border>
    </dxf>
    <dxf>
      <numFmt numFmtId="19" formatCode="m/d/yyyy"/>
      <alignment horizontal="right" vertical="bottom" textRotation="0" wrapText="0" indent="0" justifyLastLine="0" shrinkToFit="0" readingOrder="0"/>
      <border diagonalUp="0" diagonalDown="0" outline="0">
        <left style="medium">
          <color auto="1"/>
        </left>
        <right style="medium">
          <color auto="1"/>
        </right>
        <top/>
        <bottom/>
      </border>
      <protection locked="0" hidden="0"/>
    </dxf>
    <dxf>
      <numFmt numFmtId="19" formatCode="m/d/yyyy"/>
      <alignment horizontal="right" textRotation="0" wrapText="0" indent="0" justifyLastLine="0" shrinkToFit="0" readingOrder="0"/>
      <border diagonalUp="0" diagonalDown="0">
        <left style="medium">
          <color auto="1"/>
        </left>
        <right style="medium">
          <color auto="1"/>
        </right>
        <top/>
        <bottom/>
        <vertical/>
        <horizontal/>
      </border>
    </dxf>
    <dxf>
      <numFmt numFmtId="19" formatCode="m/d/yyyy"/>
      <alignment horizontal="right" vertical="bottom" textRotation="0" wrapText="0" indent="0" justifyLastLine="0" shrinkToFit="0" readingOrder="0"/>
      <border diagonalUp="0" diagonalDown="0" outline="0">
        <left/>
        <right style="medium">
          <color auto="1"/>
        </right>
        <top/>
        <bottom/>
      </border>
      <protection locked="0" hidden="0"/>
    </dxf>
    <dxf>
      <numFmt numFmtId="19" formatCode="m/d/yyyy"/>
      <alignment textRotation="0" wrapText="0" indent="0" justifyLastLine="0" shrinkToFit="0" readingOrder="0"/>
      <border diagonalUp="0" diagonalDown="0">
        <left/>
        <right style="medium">
          <color auto="1"/>
        </right>
        <top/>
        <bottom/>
        <horizontal/>
      </border>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protection locked="0" hidden="0"/>
    </dxf>
    <dxf>
      <font>
        <b val="0"/>
      </font>
      <alignmen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 formatCode="0"/>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 formatCode="0"/>
      <alignment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protection locked="0" hidden="0"/>
    </dxf>
    <dxf>
      <font>
        <b val="0"/>
      </font>
      <alignment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right" vertical="bottom" textRotation="0" wrapText="0" indent="0" justifyLastLine="0" shrinkToFit="0" readingOrder="0"/>
      <protection locked="0" hidden="0"/>
    </dxf>
    <dxf>
      <font>
        <b val="0"/>
      </font>
      <alignment horizontal="right"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protection locked="0" hidden="0"/>
    </dxf>
    <dxf>
      <font>
        <b val="0"/>
      </font>
      <alignment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0" indent="0" justifyLastLine="0" shrinkToFit="0" readingOrder="0"/>
      <protection locked="0" hidden="0"/>
    </dxf>
    <dxf>
      <font>
        <b val="0"/>
      </font>
      <numFmt numFmtId="30" formatCode="@"/>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protection locked="0" hidden="0"/>
    </dxf>
    <dxf>
      <font>
        <b val="0"/>
      </font>
      <alignment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protection locked="0" hidden="0"/>
    </dxf>
    <dxf>
      <font>
        <b val="0"/>
      </font>
      <alignment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protection locked="0" hidden="0"/>
    </dxf>
    <dxf>
      <font>
        <b val="0"/>
      </font>
      <alignment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protection locked="0" hidden="0"/>
    </dxf>
    <dxf>
      <font>
        <b val="0"/>
      </font>
      <alignment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protection locked="0" hidden="0"/>
    </dxf>
    <dxf>
      <font>
        <b val="0"/>
      </font>
      <alignment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protection locked="0" hidden="0"/>
    </dxf>
    <dxf>
      <font>
        <b val="0"/>
      </font>
      <alignment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protection locked="0" hidden="0"/>
    </dxf>
    <dxf>
      <font>
        <b val="0"/>
      </font>
      <numFmt numFmtId="0" formatCode="General"/>
      <alignment textRotation="0" wrapText="0" indent="0" justifyLastLine="0" shrinkToFit="0" readingOrder="0"/>
    </dxf>
    <dxf>
      <font>
        <b val="0"/>
      </font>
    </dxf>
    <dxf>
      <font>
        <b val="0"/>
      </font>
      <alignment textRotation="0" wrapText="0" indent="0" justifyLastLine="0" shrinkToFit="0" readingOrder="0"/>
    </dxf>
    <dxf>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center" textRotation="0" indent="0" justifyLastLine="0" shrinkToFit="0" readingOrder="0"/>
      <border diagonalUp="0" diagonalDown="0" outline="0">
        <left style="thin">
          <color indexed="64"/>
        </left>
        <right/>
        <top style="thin">
          <color indexed="64"/>
        </top>
        <bottom style="thin">
          <color indexed="64"/>
        </bottom>
      </border>
    </dxf>
    <dxf>
      <fill>
        <patternFill patternType="none">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fill>
        <patternFill patternType="none">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fill>
        <patternFill patternType="none">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bgColor auto="1"/>
        </patternFill>
      </fill>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bgColor auto="1"/>
        </patternFill>
      </fil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dxf>
    <dxf>
      <numFmt numFmtId="1" formatCode="0"/>
      <fill>
        <patternFill patternType="none">
          <bgColor auto="1"/>
        </patternFill>
      </fil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ill>
        <patternFill patternType="none">
          <bgColor auto="1"/>
        </patternFill>
      </fill>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bgColor auto="1"/>
        </patternFill>
      </fill>
      <alignment horizontal="center" vertical="center" textRotation="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medium">
          <color indexed="64"/>
        </left>
        <right style="medium">
          <color indexed="64"/>
        </right>
        <top style="medium">
          <color indexed="64"/>
        </top>
        <bottom style="medium">
          <color indexed="64"/>
        </bottom>
      </border>
    </dxf>
    <dxf>
      <fill>
        <patternFill patternType="none">
          <bgColor auto="1"/>
        </patternFill>
      </fill>
      <alignment horizontal="center" vertical="center" textRotation="0" indent="0" justifyLastLine="0" shrinkToFit="0" readingOrder="0"/>
    </dxf>
    <dxf>
      <border>
        <bottom style="thin">
          <color indexed="64"/>
        </bottom>
      </border>
    </dxf>
    <dxf>
      <fill>
        <patternFill patternType="none">
          <bgColor auto="1"/>
        </patternFill>
      </fill>
      <alignment horizontal="center" vertical="center"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theme="1"/>
        <name val="Calibri"/>
        <family val="2"/>
        <scheme val="minor"/>
      </font>
      <fill>
        <patternFill patternType="none"/>
      </fill>
      <alignment horizontal="right" vertical="bottom" textRotation="0" wrapText="1" indent="0" justifyLastLine="0" shrinkToFit="0" readingOrder="0"/>
    </dxf>
    <dxf>
      <font>
        <strike val="0"/>
        <outline val="0"/>
        <shadow val="0"/>
        <u val="none"/>
        <vertAlign val="baseline"/>
        <sz val="9"/>
        <color theme="1"/>
        <name val="Calibri"/>
        <family val="2"/>
        <scheme val="minor"/>
      </font>
      <numFmt numFmtId="167" formatCode="_([$$-409]* #,##0.00_);_([$$-409]* \(#,##0.00\);_([$$-409]* &quot;-&quot;??_);_(@_)"/>
      <fill>
        <patternFill patternType="none"/>
      </fill>
      <alignment horizontal="general" vertical="bottom" textRotation="0" wrapText="1" indent="0" justifyLastLine="0" shrinkToFit="0" readingOrder="0"/>
    </dxf>
    <dxf>
      <font>
        <strike val="0"/>
        <outline val="0"/>
        <shadow val="0"/>
        <u val="none"/>
        <vertAlign val="baseline"/>
        <sz val="9"/>
        <color theme="1"/>
        <name val="Calibri"/>
        <family val="2"/>
        <scheme val="minor"/>
      </font>
      <numFmt numFmtId="167" formatCode="_([$$-409]* #,##0.00_);_([$$-409]* \(#,##0.00\);_([$$-409]* &quot;-&quot;??_);_(@_)"/>
      <fill>
        <patternFill>
          <fgColor indexed="64"/>
          <bgColor rgb="FFFF0000"/>
        </patternFill>
      </fill>
      <alignment horizontal="general" vertical="bottom"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bottom" textRotation="0" wrapText="1" indent="0" justifyLastLine="0" shrinkToFit="0" readingOrder="0"/>
    </dxf>
    <dxf>
      <font>
        <sz val="9"/>
      </font>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bottom" textRotation="0" wrapText="1" indent="0" justifyLastLine="0" shrinkToFit="0" readingOrder="0"/>
    </dxf>
    <dxf>
      <fill>
        <patternFill patternType="solid">
          <fgColor indexed="64"/>
          <bgColor rgb="FFFF0000"/>
        </patternFill>
      </fill>
      <alignment horizontal="right"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border diagonalUp="0" diagonalDown="0">
        <left/>
        <right style="medium">
          <color auto="1"/>
        </right>
        <top/>
        <bottom/>
        <vertical/>
        <horizontal/>
      </border>
    </dxf>
    <dxf>
      <numFmt numFmtId="19" formatCode="m/d/yyyy"/>
      <alignment horizontal="left" vertical="bottom" textRotation="0" wrapText="0" indent="0" justifyLastLine="0" shrinkToFit="0" readingOrder="0"/>
      <border diagonalUp="0" diagonalDown="0">
        <left/>
        <right style="medium">
          <color auto="1"/>
        </right>
        <top/>
        <bottom/>
        <vertical/>
        <horizontal/>
      </border>
    </dxf>
    <dxf>
      <numFmt numFmtId="19" formatCode="m/d/yyyy"/>
      <alignment horizontal="general" vertical="bottom" textRotation="0" wrapText="0"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alignment horizontal="center" vertical="bottom" textRotation="0" wrapText="0" indent="0" justifyLastLine="0" shrinkToFit="0" readingOrder="0"/>
    </dxf>
    <dxf>
      <numFmt numFmtId="0" formatCode="General"/>
      <fill>
        <patternFill patternType="none">
          <fgColor indexed="64"/>
          <bgColor auto="1"/>
        </patternFill>
      </fill>
      <alignment vertical="bottom" textRotation="0" indent="0" justifyLastLine="0" shrinkToFit="0" readingOrder="0"/>
    </dxf>
    <dxf>
      <alignment horizontal="center" vertical="bottom" textRotation="0" wrapText="0" indent="0" justifyLastLine="0" shrinkToFit="0" readingOrder="0"/>
    </dxf>
    <dxf>
      <numFmt numFmtId="165" formatCode="&quot;$&quot;#,##0.00"/>
      <alignment horizontal="center" vertical="bottom" textRotation="0" wrapText="0" indent="0" justifyLastLine="0" shrinkToFit="0" readingOrder="0"/>
      <border diagonalUp="0" diagonalDown="0" outline="0">
        <left style="thin">
          <color indexed="64"/>
        </left>
        <right style="thin">
          <color auto="1"/>
        </right>
        <top style="thin">
          <color indexed="64"/>
        </top>
        <bottom style="thin">
          <color indexed="64"/>
        </bottom>
      </border>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border diagonalUp="0" diagonalDown="0">
        <top style="thin">
          <color theme="4" tint="0.39994506668294322"/>
        </top>
        <bottom style="thin">
          <color theme="4" tint="0.39994506668294322"/>
        </bottom>
        <horizontal style="thin">
          <color theme="4" tint="0.39994506668294322"/>
        </horizontal>
      </border>
    </dxf>
    <dxf>
      <alignment horizontal="center" vertical="bottom" textRotation="0" wrapText="0" indent="0" justifyLastLine="0" shrinkToFit="0" readingOrder="0"/>
      <border diagonalUp="0" diagonalDown="0" outline="0">
        <left style="medium">
          <color auto="1"/>
        </left>
        <right/>
        <top/>
        <bottom/>
      </border>
    </dxf>
    <dxf>
      <fill>
        <patternFill patternType="none">
          <fgColor indexed="64"/>
          <bgColor indexed="65"/>
        </patternFill>
      </fill>
      <alignment horizontal="center" vertical="bottom" textRotation="0" wrapText="0" indent="0" justifyLastLine="0" shrinkToFit="0" readingOrder="0"/>
      <border diagonalUp="0" diagonalDown="0">
        <left style="medium">
          <color auto="1"/>
        </left>
        <right/>
        <top style="thin">
          <color theme="4" tint="0.39994506668294322"/>
        </top>
        <bottom style="thin">
          <color theme="4" tint="0.39994506668294322"/>
        </bottom>
        <horizontal style="thin">
          <color theme="4" tint="0.39994506668294322"/>
        </horizontal>
      </border>
    </dxf>
    <dxf>
      <alignment horizontal="center" vertical="bottom" textRotation="0" wrapText="1" indent="0" justifyLastLine="0" shrinkToFit="0" readingOrder="0"/>
    </dxf>
    <dxf>
      <fill>
        <patternFill patternType="none">
          <fgColor indexed="64"/>
          <bgColor auto="1"/>
        </patternFill>
      </fill>
      <alignment horizontal="center" vertical="bottom" textRotation="0" wrapText="1" indent="0" justifyLastLine="0" shrinkToFit="0" readingOrder="0"/>
      <border diagonalUp="0" diagonalDown="0">
        <top style="thin">
          <color theme="4" tint="0.39994506668294322"/>
        </top>
        <bottom style="thin">
          <color theme="4" tint="0.39994506668294322"/>
        </bottom>
        <horizontal style="thin">
          <color theme="4" tint="0.39994506668294322"/>
        </horizontal>
      </border>
    </dxf>
    <dxf>
      <alignment horizontal="general" vertical="bottom" textRotation="0" wrapText="1" indent="0" justifyLastLine="0" shrinkToFit="0" readingOrder="0"/>
      <border diagonalUp="0" diagonalDown="0" outline="0">
        <left style="medium">
          <color auto="1"/>
        </left>
        <right/>
        <top/>
        <bottom/>
      </border>
    </dxf>
    <dxf>
      <fill>
        <patternFill patternType="none">
          <fgColor indexed="64"/>
          <bgColor auto="1"/>
        </patternFill>
      </fill>
      <alignment horizontal="center" vertical="bottom" textRotation="0" indent="0" justifyLastLine="0" shrinkToFit="0" readingOrder="0"/>
      <border diagonalUp="0" diagonalDown="0">
        <left style="medium">
          <color auto="1"/>
        </left>
        <right/>
        <top style="thin">
          <color theme="4" tint="0.39994506668294322"/>
        </top>
        <bottom style="thin">
          <color theme="4" tint="0.39994506668294322"/>
        </bottom>
        <horizontal style="thin">
          <color theme="4" tint="0.39994506668294322"/>
        </horizontal>
      </border>
    </dxf>
    <dxf>
      <alignment horizontal="center" vertical="bottom" textRotation="0" wrapText="1" indent="0" justifyLastLine="0" shrinkToFit="0" readingOrder="0"/>
      <border diagonalUp="0" diagonalDown="0" outline="0">
        <left style="medium">
          <color auto="1"/>
        </left>
        <right/>
        <top/>
        <bottom/>
      </border>
    </dxf>
    <dxf>
      <fill>
        <patternFill patternType="none">
          <fgColor indexed="64"/>
          <bgColor indexed="65"/>
        </patternFill>
      </fill>
      <alignment horizontal="center" vertical="bottom" textRotation="0" wrapText="1" indent="0" justifyLastLine="0" shrinkToFit="0" readingOrder="0"/>
      <border diagonalUp="0" diagonalDown="0">
        <left style="medium">
          <color auto="1"/>
        </left>
        <right/>
        <top style="thin">
          <color theme="4" tint="0.39994506668294322"/>
        </top>
        <bottom style="thin">
          <color theme="4" tint="0.39994506668294322"/>
        </bottom>
        <horizontal style="thin">
          <color theme="4" tint="0.39994506668294322"/>
        </horizontal>
      </border>
    </dxf>
    <dxf>
      <alignment horizontal="center" vertical="bottom" textRotation="0" wrapText="0" indent="0" justifyLastLine="0" shrinkToFit="0" readingOrder="0"/>
      <border diagonalUp="0" diagonalDown="0" outline="0">
        <left/>
        <right style="medium">
          <color auto="1"/>
        </right>
        <top/>
        <bottom/>
      </border>
    </dxf>
    <dxf>
      <fill>
        <patternFill patternType="none">
          <fgColor indexed="64"/>
          <bgColor auto="1"/>
        </patternFill>
      </fill>
      <alignment horizontal="center" vertical="bottom" textRotation="0" wrapText="0" indent="0" justifyLastLine="0" shrinkToFit="0" readingOrder="0"/>
      <border diagonalUp="0" diagonalDown="0">
        <left/>
        <right style="medium">
          <color auto="1"/>
        </right>
        <top style="thin">
          <color theme="4" tint="0.39994506668294322"/>
        </top>
        <bottom style="thin">
          <color theme="4" tint="0.39994506668294322"/>
        </bottom>
        <vertical/>
        <horizontal style="thin">
          <color theme="4" tint="0.39994506668294322"/>
        </horizontal>
      </border>
    </dxf>
    <dxf>
      <alignment horizontal="center" vertical="bottom" textRotation="0" wrapText="1" indent="0" justifyLastLine="0" shrinkToFit="0" readingOrder="0"/>
    </dxf>
    <dxf>
      <fill>
        <patternFill patternType="none">
          <fgColor indexed="64"/>
          <bgColor auto="1"/>
        </patternFill>
      </fill>
      <alignment horizontal="center" vertical="bottom" textRotation="0" wrapText="1" indent="0" justifyLastLine="0" shrinkToFit="0" readingOrder="0"/>
      <border diagonalUp="0" diagonalDown="0">
        <top style="thin">
          <color theme="4" tint="0.39994506668294322"/>
        </top>
        <bottom style="thin">
          <color theme="4" tint="0.39994506668294322"/>
        </bottom>
        <horizontal style="thin">
          <color theme="4" tint="0.39994506668294322"/>
        </horizontal>
      </border>
    </dxf>
    <dxf>
      <alignment horizontal="center" vertical="bottom" textRotation="0" wrapText="0" indent="0" justifyLastLine="0" shrinkToFit="0" readingOrder="0"/>
      <border diagonalUp="0" diagonalDown="0" outline="0">
        <left style="medium">
          <color auto="1"/>
        </left>
        <right/>
        <top/>
        <bottom/>
      </border>
    </dxf>
    <dxf>
      <fill>
        <patternFill patternType="none">
          <fgColor indexed="64"/>
          <bgColor auto="1"/>
        </patternFill>
      </fill>
      <alignment horizontal="center" vertical="bottom" textRotation="0" wrapText="0" indent="0" justifyLastLine="0" shrinkToFit="0" readingOrder="0"/>
      <border diagonalUp="0" diagonalDown="0">
        <left style="medium">
          <color auto="1"/>
        </left>
        <right/>
        <top style="thin">
          <color theme="4" tint="0.39994506668294322"/>
        </top>
        <bottom style="thin">
          <color theme="4" tint="0.39994506668294322"/>
        </bottom>
        <horizontal style="thin">
          <color theme="4" tint="0.39994506668294322"/>
        </horizontal>
      </border>
    </dxf>
    <dxf>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indexed="65"/>
        </patternFill>
      </fill>
      <alignment horizontal="center" vertical="bottom" textRotation="0" wrapText="1" indent="0" justifyLastLine="0" shrinkToFit="0" readingOrder="0"/>
      <border diagonalUp="0" diagonalDown="0">
        <left style="medium">
          <color auto="1"/>
        </left>
        <right style="medium">
          <color auto="1"/>
        </right>
        <top style="thin">
          <color theme="4" tint="0.39994506668294322"/>
        </top>
        <bottom style="thin">
          <color theme="4" tint="0.39994506668294322"/>
        </bottom>
        <horizontal style="thin">
          <color theme="4" tint="0.39994506668294322"/>
        </horizontal>
      </border>
    </dxf>
    <dxf>
      <alignment horizontal="left" vertical="bottom" textRotation="0" wrapText="1" indent="0" justifyLastLine="0" shrinkToFit="0" readingOrder="0"/>
      <border diagonalUp="0" diagonalDown="0" outline="0">
        <left/>
        <right style="medium">
          <color auto="1"/>
        </right>
        <top/>
        <bottom/>
      </border>
    </dxf>
    <dxf>
      <fill>
        <patternFill patternType="none">
          <fgColor indexed="64"/>
          <bgColor auto="1"/>
        </patternFill>
      </fill>
      <alignment horizontal="left" vertical="bottom" textRotation="0" wrapText="1" indent="0" justifyLastLine="0" shrinkToFit="0" readingOrder="0"/>
      <border diagonalUp="0" diagonalDown="0" outline="0">
        <left/>
        <right style="medium">
          <color auto="1"/>
        </right>
        <top style="thin">
          <color theme="4" tint="0.39994506668294322"/>
        </top>
        <bottom style="thin">
          <color theme="4" tint="0.39994506668294322"/>
        </bottom>
      </border>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1" indent="0" justifyLastLine="0" shrinkToFit="0" readingOrder="0"/>
      <border diagonalUp="0" diagonalDown="0" outline="0">
        <left/>
        <top style="thin">
          <color theme="4" tint="0.39994506668294322"/>
        </top>
        <bottom style="thin">
          <color theme="4" tint="0.39994506668294322"/>
        </bottom>
      </border>
    </dxf>
    <dxf>
      <alignment horizontal="right" vertical="bottom" textRotation="0" wrapText="0" indent="0" justifyLastLine="0" shrinkToFit="0" readingOrder="0"/>
    </dxf>
    <dxf>
      <fill>
        <patternFill patternType="none">
          <fgColor indexed="64"/>
          <bgColor auto="1"/>
        </patternFill>
      </fill>
      <alignment horizontal="right" vertical="bottom" textRotation="0" wrapText="1" indent="0" justifyLastLine="0" shrinkToFit="0" readingOrder="0"/>
      <border diagonalUp="0" diagonalDown="0" outline="0">
        <left/>
        <right/>
        <top style="thin">
          <color theme="4" tint="0.39994506668294322"/>
        </top>
        <bottom style="thin">
          <color theme="4" tint="0.39994506668294322"/>
        </bottom>
      </border>
    </dxf>
    <dxf>
      <numFmt numFmtId="19" formatCode="m/d/yyyy"/>
      <alignment horizontal="right" vertical="bottom" textRotation="0" wrapText="0" indent="0" justifyLastLine="0" shrinkToFit="0" readingOrder="0"/>
    </dxf>
    <dxf>
      <numFmt numFmtId="30" formatCode="@"/>
      <fill>
        <patternFill patternType="none">
          <fgColor indexed="64"/>
          <bgColor rgb="FFFFFF00"/>
        </patternFill>
      </fill>
      <alignment horizontal="right" vertical="bottom" textRotation="0" wrapText="1" indent="0" justifyLastLine="0" shrinkToFit="0" readingOrder="0"/>
      <border diagonalUp="0" diagonalDown="0">
        <left/>
        <right/>
        <top style="thin">
          <color theme="4" tint="0.39994506668294322"/>
        </top>
        <bottom style="thin">
          <color theme="4" tint="0.39994506668294322"/>
        </bottom>
      </border>
    </dxf>
    <dxf>
      <numFmt numFmtId="19" formatCode="m/d/yyyy"/>
      <alignment horizontal="right" vertical="bottom" textRotation="0" wrapText="1" indent="0" justifyLastLine="0" shrinkToFit="0" readingOrder="0"/>
    </dxf>
    <dxf>
      <numFmt numFmtId="30" formatCode="@"/>
      <fill>
        <patternFill patternType="none">
          <fgColor indexed="64"/>
          <bgColor rgb="FFFFFF00"/>
        </patternFill>
      </fill>
      <alignment horizontal="right" vertical="bottom" textRotation="0" wrapText="1" indent="0" justifyLastLine="0" shrinkToFit="0" readingOrder="0"/>
      <border diagonalUp="0" diagonalDown="0">
        <left/>
        <right/>
        <top style="thin">
          <color theme="4" tint="0.39994506668294322"/>
        </top>
        <bottom style="thin">
          <color theme="4" tint="0.39994506668294322"/>
        </bottom>
      </border>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1" indent="0" justifyLastLine="0" shrinkToFit="0" readingOrder="0"/>
      <border diagonalUp="0" diagonalDown="0" outline="0">
        <right/>
        <top style="thin">
          <color theme="4" tint="0.39994506668294322"/>
        </top>
        <bottom style="thin">
          <color theme="4" tint="0.39994506668294322"/>
        </bottom>
      </border>
    </dxf>
    <dxf>
      <alignment horizontal="center" vertical="bottom" textRotation="0" wrapText="1" indent="0" justifyLastLine="0" shrinkToFit="0" readingOrder="0"/>
    </dxf>
    <dxf>
      <fill>
        <patternFill patternType="none">
          <fgColor indexed="64"/>
          <bgColor auto="1"/>
        </patternFill>
      </fill>
      <alignment horizontal="center" vertical="bottom" textRotation="0" indent="0" justifyLastLine="0" shrinkToFit="0" readingOrder="0"/>
      <border diagonalUp="0" diagonalDown="0" outline="0">
        <right/>
        <top style="thin">
          <color theme="4" tint="0.39994506668294322"/>
        </top>
        <bottom style="thin">
          <color theme="4" tint="0.39994506668294322"/>
        </bottom>
      </border>
    </dxf>
    <dxf>
      <alignment horizontal="general" vertical="bottom" textRotation="0" wrapText="1" indent="0" justifyLastLine="0" shrinkToFit="0" readingOrder="0"/>
      <border diagonalUp="0" diagonalDown="0" outline="0">
        <left style="medium">
          <color auto="1"/>
        </left>
        <right/>
        <top/>
        <bottom/>
      </border>
    </dxf>
    <dxf>
      <fill>
        <patternFill patternType="none">
          <fgColor indexed="64"/>
          <bgColor auto="1"/>
        </patternFill>
      </fill>
      <alignment vertical="bottom" textRotation="0" wrapText="1" indent="0" justifyLastLine="0" shrinkToFit="0" readingOrder="0"/>
      <border diagonalUp="0" diagonalDown="0">
        <left style="medium">
          <color auto="1"/>
        </left>
        <right/>
        <top style="thin">
          <color theme="4" tint="0.39994506668294322"/>
        </top>
        <bottom style="thin">
          <color theme="4" tint="0.39994506668294322"/>
        </bottom>
        <horizontal style="thin">
          <color theme="4" tint="0.39994506668294322"/>
        </horizontal>
      </border>
    </dxf>
    <dxf>
      <numFmt numFmtId="1" formatCode="0"/>
      <alignment horizontal="center" vertical="bottom" textRotation="0" wrapText="1" indent="0" justifyLastLine="0" shrinkToFit="0" readingOrder="0"/>
      <border diagonalUp="0" diagonalDown="0" outline="0">
        <left/>
        <right style="mediumDashed">
          <color auto="1"/>
        </right>
        <top/>
        <bottom/>
      </border>
    </dxf>
    <dxf>
      <numFmt numFmtId="1" formatCode="0"/>
      <alignment horizontal="center" vertical="bottom" textRotation="0" wrapText="1" indent="0" justifyLastLine="0" shrinkToFit="0" readingOrder="0"/>
      <border diagonalUp="0" diagonalDown="0">
        <left/>
        <right style="medium">
          <color auto="1"/>
        </right>
        <top style="thin">
          <color theme="4" tint="0.39994506668294322"/>
        </top>
        <bottom/>
        <vertical/>
      </border>
    </dxf>
    <dxf>
      <numFmt numFmtId="1" formatCode="0"/>
      <alignment horizontal="center" vertical="bottom" textRotation="0" wrapText="1" indent="0" justifyLastLine="0" shrinkToFit="0" readingOrder="0"/>
      <border diagonalUp="0" diagonalDown="0" outline="0">
        <left/>
        <right style="mediumDashed">
          <color auto="1"/>
        </right>
        <top/>
        <bottom/>
      </border>
    </dxf>
    <dxf>
      <font>
        <strike val="0"/>
      </font>
      <numFmt numFmtId="1" formatCode="0"/>
      <fill>
        <patternFill>
          <fgColor indexed="64"/>
          <bgColor rgb="FFFF0000"/>
        </patternFill>
      </fill>
      <alignment horizontal="center" vertical="bottom" textRotation="0" wrapText="1" indent="0" justifyLastLine="0" shrinkToFit="0" readingOrder="0"/>
      <border diagonalUp="0" diagonalDown="0">
        <left style="medium">
          <color auto="1"/>
        </left>
        <right/>
        <top style="thin">
          <color theme="4" tint="0.39994506668294322"/>
        </top>
        <bottom style="thin">
          <color theme="4" tint="0.39994506668294322"/>
        </bottom>
        <vertical/>
      </border>
    </dxf>
    <dxf>
      <numFmt numFmtId="19" formatCode="m/d/yyyy"/>
      <alignment horizontal="center" vertical="bottom" textRotation="0" wrapText="1" indent="0" justifyLastLine="0" shrinkToFit="0" readingOrder="0"/>
    </dxf>
    <dxf>
      <numFmt numFmtId="19" formatCode="m/d/yyyy"/>
      <alignment horizontal="center" vertical="bottom" textRotation="0" wrapText="1" indent="0" justifyLastLine="0" shrinkToFit="0" readingOrder="0"/>
      <border diagonalUp="0" diagonalDown="0" outline="0">
        <right/>
        <top style="thin">
          <color theme="4" tint="0.39994506668294322"/>
        </top>
        <bottom style="thin">
          <color theme="4" tint="0.39994506668294322"/>
        </bottom>
      </border>
    </dxf>
    <dxf>
      <numFmt numFmtId="19" formatCode="m/d/yyyy"/>
      <alignment horizontal="center" vertical="bottom" textRotation="0" wrapText="1" indent="0" justifyLastLine="0" shrinkToFit="0" readingOrder="0"/>
    </dxf>
    <dxf>
      <numFmt numFmtId="19" formatCode="m/d/yyyy"/>
      <alignment horizontal="center" vertical="bottom" textRotation="0" wrapText="1" indent="0" justifyLastLine="0" shrinkToFit="0" readingOrder="0"/>
      <border diagonalUp="0" diagonalDown="0" outline="0">
        <left/>
        <top style="thin">
          <color theme="4" tint="0.39994506668294322"/>
        </top>
        <bottom style="thin">
          <color theme="4" tint="0.39994506668294322"/>
        </bottom>
      </border>
    </dxf>
    <dxf>
      <numFmt numFmtId="19" formatCode="m/d/yyyy"/>
      <alignment horizontal="center" vertical="bottom" textRotation="0" wrapText="1" indent="0" justifyLastLine="0" shrinkToFit="0" readingOrder="0"/>
    </dxf>
    <dxf>
      <font>
        <b/>
      </font>
      <numFmt numFmtId="19" formatCode="m/d/yyyy"/>
      <alignment horizontal="center" vertical="bottom" textRotation="0" wrapText="1" indent="0" justifyLastLine="0" shrinkToFit="0" readingOrder="0"/>
      <border diagonalUp="0" diagonalDown="0" outline="0">
        <top style="thin">
          <color theme="4" tint="0.39994506668294322"/>
        </top>
        <bottom style="thin">
          <color theme="4" tint="0.39994506668294322"/>
        </bottom>
      </border>
    </dxf>
    <dxf>
      <numFmt numFmtId="19" formatCode="m/d/yyyy"/>
      <alignment horizontal="center" vertical="bottom" textRotation="0" wrapText="1" indent="0" justifyLastLine="0" shrinkToFit="0" readingOrder="0"/>
    </dxf>
    <dxf>
      <numFmt numFmtId="19" formatCode="m/d/yyyy"/>
      <alignment horizontal="center" vertical="bottom" textRotation="0" wrapText="1" indent="0" justifyLastLine="0" shrinkToFit="0" readingOrder="0"/>
      <border diagonalUp="0" diagonalDown="0" outline="0">
        <right/>
        <top style="thin">
          <color theme="4" tint="0.39994506668294322"/>
        </top>
        <bottom style="thin">
          <color theme="4" tint="0.39994506668294322"/>
        </bottom>
      </border>
    </dxf>
    <dxf>
      <numFmt numFmtId="19" formatCode="m/d/yyyy"/>
      <alignment horizontal="center" vertical="bottom" textRotation="0" wrapText="1" indent="0" justifyLastLine="0" shrinkToFit="0" readingOrder="0"/>
    </dxf>
    <dxf>
      <numFmt numFmtId="19" formatCode="m/d/yyyy"/>
      <alignment horizontal="center" vertical="bottom" textRotation="0" wrapText="1" indent="0" justifyLastLine="0" shrinkToFit="0" readingOrder="0"/>
      <border diagonalUp="0" diagonalDown="0">
        <top style="thin">
          <color theme="4" tint="0.39994506668294322"/>
        </top>
        <bottom style="thin">
          <color theme="4" tint="0.39994506668294322"/>
        </bottom>
        <horizontal style="thin">
          <color theme="4" tint="0.39994506668294322"/>
        </horizontal>
      </border>
    </dxf>
    <dxf>
      <numFmt numFmtId="19" formatCode="m/d/yyyy"/>
      <alignment horizontal="center" vertical="bottom" textRotation="0" wrapText="1" indent="0" justifyLastLine="0" shrinkToFit="0" readingOrder="0"/>
    </dxf>
    <dxf>
      <numFmt numFmtId="19" formatCode="m/d/yyyy"/>
      <alignment horizontal="center" vertical="bottom" textRotation="0" wrapText="1" indent="0" justifyLastLine="0" shrinkToFit="0" readingOrder="0"/>
      <border diagonalUp="0" diagonalDown="0">
        <top style="thin">
          <color theme="4" tint="0.39994506668294322"/>
        </top>
        <bottom style="thin">
          <color theme="4" tint="0.39994506668294322"/>
        </bottom>
        <horizontal style="thin">
          <color theme="4" tint="0.39994506668294322"/>
        </horizontal>
      </border>
    </dxf>
    <dxf>
      <numFmt numFmtId="19" formatCode="m/d/yyyy"/>
      <alignment horizontal="center" vertical="bottom" textRotation="0" wrapText="1" indent="0" justifyLastLine="0" shrinkToFit="0" readingOrder="0"/>
    </dxf>
    <dxf>
      <numFmt numFmtId="19" formatCode="m/d/yyyy"/>
      <alignment horizontal="center" vertical="bottom" textRotation="0" wrapText="1" indent="0" justifyLastLine="0" shrinkToFit="0" readingOrder="0"/>
      <border diagonalUp="0" diagonalDown="0">
        <top style="thin">
          <color theme="4" tint="0.39994506668294322"/>
        </top>
        <bottom style="thin">
          <color theme="4" tint="0.39994506668294322"/>
        </bottom>
        <horizontal style="thin">
          <color theme="4" tint="0.39994506668294322"/>
        </horizontal>
      </border>
    </dxf>
    <dxf>
      <numFmt numFmtId="19" formatCode="m/d/yyyy"/>
      <alignment horizontal="center" vertical="bottom" textRotation="0" wrapText="1" indent="0" justifyLastLine="0" shrinkToFit="0" readingOrder="0"/>
    </dxf>
    <dxf>
      <numFmt numFmtId="19" formatCode="m/d/yyyy"/>
      <alignment horizontal="center" vertical="bottom" textRotation="0" wrapText="1" indent="0" justifyLastLine="0" shrinkToFit="0" readingOrder="0"/>
      <border diagonalUp="0" diagonalDown="0">
        <top style="thin">
          <color theme="4" tint="0.39994506668294322"/>
        </top>
        <bottom style="thin">
          <color theme="4" tint="0.39994506668294322"/>
        </bottom>
        <horizontal style="thin">
          <color theme="4" tint="0.39994506668294322"/>
        </horizontal>
      </border>
    </dxf>
    <dxf>
      <numFmt numFmtId="19" formatCode="m/d/yyyy"/>
      <alignment horizontal="center" vertical="bottom" textRotation="0" wrapText="1" indent="0" justifyLastLine="0" shrinkToFit="0" readingOrder="0"/>
    </dxf>
    <dxf>
      <numFmt numFmtId="19" formatCode="m/d/yyyy"/>
      <alignment horizontal="center" vertical="bottom" textRotation="0" wrapText="1" indent="0" justifyLastLine="0" shrinkToFit="0" readingOrder="0"/>
      <border diagonalUp="0" diagonalDown="0">
        <top style="thin">
          <color theme="4" tint="0.39994506668294322"/>
        </top>
        <bottom style="thin">
          <color theme="4" tint="0.39994506668294322"/>
        </bottom>
        <horizontal style="thin">
          <color theme="4" tint="0.39994506668294322"/>
        </horizontal>
      </border>
    </dxf>
    <dxf>
      <numFmt numFmtId="19" formatCode="m/d/yyyy"/>
      <alignment horizontal="center" vertical="bottom" textRotation="0" wrapText="1" indent="0" justifyLastLine="0" shrinkToFit="0" readingOrder="0"/>
    </dxf>
    <dxf>
      <numFmt numFmtId="19" formatCode="m/d/yyyy"/>
      <alignment horizontal="center" vertical="bottom" textRotation="0" wrapText="1" indent="0" justifyLastLine="0" shrinkToFit="0" readingOrder="0"/>
      <border diagonalUp="0" diagonalDown="0">
        <top style="thin">
          <color theme="4" tint="0.39994506668294322"/>
        </top>
        <bottom style="thin">
          <color theme="4" tint="0.39994506668294322"/>
        </bottom>
        <horizontal style="thin">
          <color theme="4" tint="0.39994506668294322"/>
        </horizontal>
      </border>
    </dxf>
    <dxf>
      <numFmt numFmtId="19" formatCode="m/d/yyyy"/>
      <alignment horizontal="center" vertical="bottom" textRotation="0" wrapText="1" indent="0" justifyLastLine="0" shrinkToFit="0" readingOrder="0"/>
      <border diagonalUp="0" diagonalDown="0" outline="0">
        <left style="medium">
          <color auto="1"/>
        </left>
        <right/>
        <top/>
        <bottom/>
      </border>
    </dxf>
    <dxf>
      <numFmt numFmtId="19" formatCode="m/d/yyyy"/>
      <fill>
        <patternFill patternType="solid">
          <fgColor indexed="64"/>
          <bgColor rgb="FFFF0000"/>
        </patternFill>
      </fill>
      <alignment horizontal="center" vertical="bottom" textRotation="0" wrapText="1" indent="0" justifyLastLine="0" shrinkToFit="0" readingOrder="0"/>
      <border diagonalUp="0" diagonalDown="0">
        <left/>
        <right/>
        <top style="thin">
          <color theme="4" tint="0.39994506668294322"/>
        </top>
        <bottom/>
        <vertical/>
        <horizontal/>
      </border>
    </dxf>
    <dxf>
      <numFmt numFmtId="19" formatCode="m/d/yyyy"/>
      <alignment horizontal="center" vertical="bottom" textRotation="0" wrapText="1" indent="0" justifyLastLine="0" shrinkToFit="0" readingOrder="0"/>
      <border diagonalUp="0" diagonalDown="0" outline="0">
        <left style="medium">
          <color auto="1"/>
        </left>
        <right/>
        <top/>
        <bottom/>
      </border>
    </dxf>
    <dxf>
      <numFmt numFmtId="19" formatCode="m/d/yyyy"/>
      <fill>
        <patternFill patternType="solid">
          <fgColor indexed="64"/>
          <bgColor rgb="FFFF0000"/>
        </patternFill>
      </fill>
      <alignment horizontal="center" vertical="bottom" textRotation="0" wrapText="1" indent="0" justifyLastLine="0" shrinkToFit="0" readingOrder="0"/>
      <border diagonalUp="0" diagonalDown="0">
        <left/>
        <right/>
        <top style="thin">
          <color theme="4" tint="0.39994506668294322"/>
        </top>
        <bottom/>
        <vertical/>
        <horizontal/>
      </border>
    </dxf>
    <dxf>
      <numFmt numFmtId="19" formatCode="m/d/yyyy"/>
      <alignment horizontal="center" vertical="bottom" textRotation="0" wrapText="1" indent="0" justifyLastLine="0" shrinkToFit="0" readingOrder="0"/>
      <border diagonalUp="0" diagonalDown="0" outline="0">
        <left style="medium">
          <color auto="1"/>
        </left>
        <right/>
        <top/>
        <bottom/>
      </border>
    </dxf>
    <dxf>
      <numFmt numFmtId="19" formatCode="m/d/yyyy"/>
      <fill>
        <patternFill patternType="solid">
          <fgColor indexed="64"/>
          <bgColor rgb="FFFF0000"/>
        </patternFill>
      </fill>
      <alignment horizontal="center" vertical="bottom" textRotation="0" wrapText="1" indent="0" justifyLastLine="0" shrinkToFit="0" readingOrder="0"/>
      <border diagonalUp="0" diagonalDown="0">
        <left/>
        <right/>
        <top style="thin">
          <color theme="4" tint="0.39994506668294322"/>
        </top>
        <bottom/>
        <vertical/>
        <horizontal/>
      </border>
    </dxf>
    <dxf>
      <numFmt numFmtId="19" formatCode="m/d/yyyy"/>
      <alignment horizontal="center" vertical="bottom" textRotation="0" wrapText="1" indent="0" justifyLastLine="0" shrinkToFit="0" readingOrder="0"/>
      <border diagonalUp="0" diagonalDown="0" outline="0">
        <left style="medium">
          <color auto="1"/>
        </left>
        <right/>
        <top/>
        <bottom/>
      </border>
    </dxf>
    <dxf>
      <numFmt numFmtId="19" formatCode="m/d/yyyy"/>
      <alignment horizontal="center" vertical="bottom" textRotation="0" wrapText="1" indent="0" justifyLastLine="0" shrinkToFit="0" readingOrder="0"/>
      <border diagonalUp="0" diagonalDown="0">
        <left style="medium">
          <color auto="1"/>
        </left>
        <right/>
        <top style="thin">
          <color theme="4" tint="0.39994506668294322"/>
        </top>
        <bottom style="thin">
          <color theme="4" tint="0.39994506668294322"/>
        </bottom>
        <vertical/>
        <horizontal/>
      </border>
    </dxf>
    <dxf>
      <font>
        <b val="0"/>
        <i val="0"/>
        <strike val="0"/>
        <condense val="0"/>
        <extend val="0"/>
        <outline val="0"/>
        <shadow val="0"/>
        <u val="none"/>
        <vertAlign val="baseline"/>
        <sz val="8"/>
        <color rgb="FF000000"/>
        <name val="Calibri"/>
        <family val="2"/>
        <scheme val="none"/>
      </font>
      <numFmt numFmtId="19" formatCode="m/d/yyyy"/>
      <alignment horizontal="center" vertical="bottom" textRotation="0" wrapText="1" indent="0" justifyLastLine="0" shrinkToFit="0" readingOrder="0"/>
      <border diagonalUp="0" diagonalDown="0">
        <left style="medium">
          <color rgb="FF000000"/>
        </left>
        <right style="medium">
          <color auto="1"/>
        </right>
        <top style="thin">
          <color theme="4" tint="0.39994506668294322"/>
        </top>
        <bottom/>
        <vertical/>
        <horizontal/>
      </border>
    </dxf>
    <dxf>
      <numFmt numFmtId="19" formatCode="m/d/yyyy"/>
      <alignment horizontal="general" vertical="bottom" textRotation="0" wrapText="1" indent="0" justifyLastLine="0" shrinkToFit="0" readingOrder="0"/>
      <border diagonalUp="0" diagonalDown="0" outline="0">
        <left/>
        <right style="medium">
          <color auto="1"/>
        </right>
        <top/>
        <bottom/>
      </border>
    </dxf>
    <dxf>
      <font>
        <b val="0"/>
        <i val="0"/>
        <strike val="0"/>
        <condense val="0"/>
        <extend val="0"/>
        <outline val="0"/>
        <shadow val="0"/>
        <u val="none"/>
        <vertAlign val="baseline"/>
        <sz val="8"/>
        <color rgb="FF000000"/>
        <name val="Calibri"/>
        <family val="2"/>
        <scheme val="none"/>
      </font>
      <alignment horizontal="center" vertical="bottom" textRotation="0" wrapText="1" indent="0" justifyLastLine="0" shrinkToFit="0" readingOrder="0"/>
      <border diagonalUp="0" diagonalDown="0" outline="0">
        <left/>
        <right/>
        <top style="thin">
          <color theme="4" tint="0.39994506668294322"/>
        </top>
        <bottom/>
      </border>
    </dxf>
    <dxf>
      <numFmt numFmtId="19" formatCode="m/d/yyyy"/>
      <alignment horizontal="general" vertical="bottom" textRotation="0" wrapText="1" indent="0" justifyLastLine="0" shrinkToFit="0" readingOrder="0"/>
      <border diagonalUp="0" diagonalDown="0" outline="0">
        <left/>
        <right style="medium">
          <color auto="1"/>
        </right>
        <top/>
        <bottom/>
      </border>
    </dxf>
    <dxf>
      <font>
        <b val="0"/>
        <i val="0"/>
        <strike val="0"/>
        <condense val="0"/>
        <extend val="0"/>
        <outline val="0"/>
        <shadow val="0"/>
        <u val="none"/>
        <vertAlign val="baseline"/>
        <sz val="8"/>
        <color rgb="FF000000"/>
        <name val="Calibri"/>
        <family val="2"/>
        <scheme val="none"/>
      </font>
      <alignment horizontal="center" vertical="bottom" textRotation="0" wrapText="1" indent="0" justifyLastLine="0" shrinkToFit="0" readingOrder="0"/>
      <border diagonalUp="0" diagonalDown="0" outline="0">
        <left/>
        <right/>
        <top style="thin">
          <color theme="4" tint="0.39994506668294322"/>
        </top>
        <bottom/>
      </border>
    </dxf>
    <dxf>
      <numFmt numFmtId="19" formatCode="m/d/yyyy"/>
      <alignment horizontal="general" vertical="bottom" textRotation="0" wrapText="1" indent="0" justifyLastLine="0" shrinkToFit="0" readingOrder="0"/>
      <border diagonalUp="0" diagonalDown="0" outline="0">
        <left/>
        <right style="medium">
          <color auto="1"/>
        </right>
        <top/>
        <bottom/>
      </border>
    </dxf>
    <dxf>
      <font>
        <b val="0"/>
        <i val="0"/>
        <strike val="0"/>
        <condense val="0"/>
        <extend val="0"/>
        <outline val="0"/>
        <shadow val="0"/>
        <u val="none"/>
        <vertAlign val="baseline"/>
        <sz val="8"/>
        <color rgb="FF000000"/>
        <name val="Calibri"/>
        <family val="2"/>
        <scheme val="none"/>
      </font>
      <alignment horizontal="center" vertical="bottom" textRotation="0" wrapText="1" indent="0" justifyLastLine="0" shrinkToFit="0" readingOrder="0"/>
      <border diagonalUp="0" diagonalDown="0" outline="0">
        <left/>
        <right/>
        <top style="thin">
          <color theme="4" tint="0.39994506668294322"/>
        </top>
        <bottom/>
      </border>
    </dxf>
    <dxf>
      <numFmt numFmtId="19" formatCode="m/d/yyyy"/>
      <alignment horizontal="general" vertical="bottom" textRotation="0" wrapText="1" indent="0" justifyLastLine="0" shrinkToFit="0" readingOrder="0"/>
      <border diagonalUp="0" diagonalDown="0" outline="0">
        <left/>
        <right style="medium">
          <color auto="1"/>
        </right>
        <top/>
        <bottom/>
      </border>
    </dxf>
    <dxf>
      <font>
        <b val="0"/>
        <i val="0"/>
        <strike val="0"/>
        <condense val="0"/>
        <extend val="0"/>
        <outline val="0"/>
        <shadow val="0"/>
        <u val="none"/>
        <vertAlign val="baseline"/>
        <sz val="8"/>
        <color rgb="FF000000"/>
        <name val="Calibri"/>
        <family val="2"/>
        <scheme val="none"/>
      </font>
      <alignment horizontal="center" vertical="bottom" textRotation="0" wrapText="1" indent="0" justifyLastLine="0" shrinkToFit="0" readingOrder="0"/>
      <border diagonalUp="0" diagonalDown="0" outline="0">
        <left/>
        <right/>
        <top style="thin">
          <color theme="4" tint="0.39994506668294322"/>
        </top>
        <bottom/>
      </border>
    </dxf>
    <dxf>
      <numFmt numFmtId="19" formatCode="m/d/yyyy"/>
      <alignment horizontal="general" vertical="bottom" textRotation="0" wrapText="1" indent="0" justifyLastLine="0" shrinkToFit="0" readingOrder="0"/>
      <border diagonalUp="0" diagonalDown="0" outline="0">
        <left/>
        <right style="medium">
          <color auto="1"/>
        </right>
        <top/>
        <bottom/>
      </border>
    </dxf>
    <dxf>
      <font>
        <b val="0"/>
        <i val="0"/>
        <strike val="0"/>
        <condense val="0"/>
        <extend val="0"/>
        <outline val="0"/>
        <shadow val="0"/>
        <u val="none"/>
        <vertAlign val="baseline"/>
        <sz val="11"/>
        <color rgb="FF000000"/>
        <name val="Calibri"/>
        <family val="2"/>
        <scheme val="none"/>
      </font>
      <alignment horizontal="center" vertical="bottom" textRotation="0" wrapText="1" indent="0" justifyLastLine="0" shrinkToFit="0" readingOrder="0"/>
      <border diagonalUp="0" diagonalDown="0" outline="0">
        <left style="medium">
          <color auto="1"/>
        </left>
        <right/>
        <top style="thin">
          <color theme="4" tint="0.39994506668294322"/>
        </top>
        <bottom/>
      </border>
    </dxf>
    <dxf>
      <numFmt numFmtId="19" formatCode="m/d/yyyy"/>
      <alignment horizontal="general" vertical="bottom" textRotation="0" wrapText="1" indent="0" justifyLastLine="0" shrinkToFit="0" readingOrder="0"/>
      <border diagonalUp="0" diagonalDown="0" outline="0">
        <left/>
        <right style="medium">
          <color auto="1"/>
        </right>
        <top/>
        <bottom/>
      </border>
    </dxf>
    <dxf>
      <font>
        <b val="0"/>
        <i val="0"/>
        <strike val="0"/>
        <condense val="0"/>
        <extend val="0"/>
        <outline val="0"/>
        <shadow val="0"/>
        <u val="none"/>
        <vertAlign val="baseline"/>
        <sz val="11"/>
        <color theme="1"/>
        <name val="Calibri"/>
        <family val="2"/>
        <scheme val="minor"/>
      </font>
      <numFmt numFmtId="19" formatCode="m/d/yyyy"/>
      <fill>
        <patternFill patternType="none">
          <fgColor indexed="64"/>
          <bgColor indexed="65"/>
        </patternFill>
      </fill>
      <alignment horizontal="general" vertical="bottom" textRotation="0" wrapText="1" indent="0" justifyLastLine="0" shrinkToFit="0" readingOrder="0"/>
      <border diagonalUp="0" diagonalDown="0">
        <left/>
        <right style="medium">
          <color auto="1"/>
        </right>
        <top style="thin">
          <color theme="4" tint="0.39994506668294322"/>
        </top>
        <bottom style="thin">
          <color theme="4" tint="0.39994506668294322"/>
        </bottom>
        <vertical style="medium">
          <color auto="1"/>
        </vertical>
      </border>
    </dxf>
    <dxf>
      <numFmt numFmtId="19" formatCode="m/d/yyyy"/>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9" formatCode="m/d/yyyy"/>
      <fill>
        <patternFill patternType="none">
          <fgColor indexed="64"/>
          <bgColor indexed="65"/>
        </patternFill>
      </fill>
      <alignment horizontal="general" vertical="bottom" textRotation="0" wrapText="1" indent="0" justifyLastLine="0" shrinkToFit="0" readingOrder="0"/>
      <border diagonalUp="0" diagonalDown="0">
        <left/>
        <right/>
        <top style="thin">
          <color theme="4" tint="0.39994506668294322"/>
        </top>
        <bottom/>
        <vertical/>
        <horizontal/>
      </border>
    </dxf>
    <dxf>
      <numFmt numFmtId="19" formatCode="m/d/yyyy"/>
      <alignment horizontal="general" vertical="bottom" textRotation="0" wrapText="1"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1"/>
        <color theme="1"/>
        <name val="Calibri"/>
        <family val="2"/>
        <scheme val="minor"/>
      </font>
      <numFmt numFmtId="19" formatCode="m/d/yyyy"/>
      <fill>
        <patternFill patternType="none">
          <fgColor indexed="64"/>
          <bgColor indexed="65"/>
        </patternFill>
      </fill>
      <alignment horizontal="general" vertical="bottom" textRotation="0" wrapText="1" indent="0" justifyLastLine="0" shrinkToFit="0" readingOrder="0"/>
      <border diagonalUp="0" diagonalDown="0">
        <left style="medium">
          <color rgb="FF000000"/>
        </left>
        <right style="medium">
          <color rgb="FF000000"/>
        </right>
        <top style="thin">
          <color theme="4" tint="0.39994506668294322"/>
        </top>
        <bottom/>
        <vertical/>
        <horizontal/>
      </border>
    </dxf>
    <dxf>
      <numFmt numFmtId="19" formatCode="m/d/yyyy"/>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9" formatCode="m/d/yyyy"/>
      <fill>
        <patternFill patternType="none">
          <fgColor indexed="64"/>
          <bgColor auto="1"/>
        </patternFill>
      </fill>
      <alignment horizontal="general" vertical="bottom" textRotation="0" wrapText="1" indent="0" justifyLastLine="0" shrinkToFit="0" readingOrder="0"/>
      <border diagonalUp="0" diagonalDown="0">
        <left/>
        <right style="medium">
          <color auto="1"/>
        </right>
        <top style="thin">
          <color theme="4" tint="0.39994506668294322"/>
        </top>
        <bottom style="thin">
          <color theme="4" tint="0.39994506668294322"/>
        </bottom>
        <vertical style="medium">
          <color auto="1"/>
        </vertical>
        <horizontal style="thin">
          <color theme="4" tint="0.39994506668294322"/>
        </horizontal>
      </border>
    </dxf>
    <dxf>
      <numFmt numFmtId="19" formatCode="m/d/yyyy"/>
      <alignment horizontal="general" vertical="bottom"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9" formatCode="m/d/yyyy"/>
      <fill>
        <patternFill patternType="none">
          <fgColor indexed="64"/>
          <bgColor auto="1"/>
        </patternFill>
      </fill>
      <alignment horizontal="general" vertical="bottom" textRotation="0" wrapText="1" indent="0" justifyLastLine="0" shrinkToFit="0" readingOrder="0"/>
      <border diagonalUp="0" diagonalDown="0">
        <left/>
        <right/>
        <top style="thin">
          <color theme="4" tint="0.39994506668294322"/>
        </top>
        <bottom style="thin">
          <color theme="4" tint="0.39994506668294322"/>
        </bottom>
        <horizontal style="thin">
          <color theme="4" tint="0.39994506668294322"/>
        </horizontal>
      </border>
    </dxf>
    <dxf>
      <numFmt numFmtId="30" formatCode="@"/>
      <alignment horizontal="general" vertical="bottom"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general" vertical="bottom" textRotation="0" wrapText="1" indent="0" justifyLastLine="0" shrinkToFit="0" readingOrder="0"/>
      <border diagonalUp="0" diagonalDown="0">
        <left/>
        <right/>
        <top style="thin">
          <color theme="4" tint="0.39994506668294322"/>
        </top>
        <bottom style="thin">
          <color theme="4" tint="0.39994506668294322"/>
        </bottom>
        <horizontal style="thin">
          <color theme="4" tint="0.39994506668294322"/>
        </horizontal>
      </border>
    </dxf>
    <dxf>
      <numFmt numFmtId="30" formatCode="@"/>
      <alignment horizontal="general" vertical="bottom"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general" vertical="bottom" textRotation="0" wrapText="1" indent="0" justifyLastLine="0" shrinkToFit="0" readingOrder="0"/>
      <border diagonalUp="0" diagonalDown="0">
        <left/>
        <right/>
        <top style="thin">
          <color theme="4" tint="0.39994506668294322"/>
        </top>
        <bottom style="thin">
          <color theme="4" tint="0.39994506668294322"/>
        </bottom>
        <horizontal style="thin">
          <color theme="4" tint="0.39994506668294322"/>
        </horizontal>
      </border>
    </dxf>
    <dxf>
      <numFmt numFmtId="30" formatCode="@"/>
      <alignment horizontal="general" vertical="bottom"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general" vertical="bottom" textRotation="0" wrapText="1" indent="0" justifyLastLine="0" shrinkToFit="0" readingOrder="0"/>
      <border diagonalUp="0" diagonalDown="0">
        <left/>
        <right/>
        <top style="thin">
          <color theme="4" tint="0.39994506668294322"/>
        </top>
        <bottom style="thin">
          <color theme="4" tint="0.39994506668294322"/>
        </bottom>
        <horizontal style="thin">
          <color theme="4" tint="0.39994506668294322"/>
        </horizontal>
      </border>
    </dxf>
    <dxf>
      <font>
        <b val="0"/>
        <i val="0"/>
        <strike val="0"/>
        <condense val="0"/>
        <extend val="0"/>
        <outline val="0"/>
        <shadow val="0"/>
        <u val="none"/>
        <vertAlign val="baseline"/>
        <sz val="11"/>
        <color rgb="FF000000"/>
        <name val="Calibri"/>
        <family val="2"/>
        <scheme val="minor"/>
      </font>
      <numFmt numFmtId="30" formatCode="@"/>
      <alignment horizontal="general" vertical="bottom"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rgb="FF000000"/>
        <name val="Calibri"/>
        <family val="2"/>
        <scheme val="minor"/>
      </font>
      <numFmt numFmtId="30" formatCode="@"/>
      <fill>
        <patternFill patternType="none">
          <fgColor indexed="64"/>
          <bgColor auto="1"/>
        </patternFill>
      </fill>
      <alignment horizontal="general" vertical="bottom" textRotation="0" wrapText="1" indent="0" justifyLastLine="0" shrinkToFit="0" readingOrder="0"/>
      <border diagonalUp="0" diagonalDown="0">
        <left/>
        <right/>
        <top style="thin">
          <color theme="4" tint="0.39994506668294322"/>
        </top>
        <bottom style="thin">
          <color theme="4" tint="0.39994506668294322"/>
        </bottom>
        <horizontal style="thin">
          <color theme="4" tint="0.39994506668294322"/>
        </horizontal>
      </border>
    </dxf>
    <dxf>
      <numFmt numFmtId="30" formatCode="@"/>
      <alignment horizontal="left" vertical="bottom"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bottom" textRotation="0" wrapText="1" indent="0" justifyLastLine="0" shrinkToFit="0" readingOrder="0"/>
      <border diagonalUp="0" diagonalDown="0" outline="0">
        <left/>
        <right/>
        <top style="thin">
          <color theme="4" tint="0.39994506668294322"/>
        </top>
        <bottom style="thin">
          <color theme="4" tint="0.39994506668294322"/>
        </bottom>
      </border>
    </dxf>
    <dxf>
      <numFmt numFmtId="30" formatCode="@"/>
      <alignment horizontal="general" vertical="bottom"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general" vertical="bottom" textRotation="0" wrapText="1" indent="0" justifyLastLine="0" shrinkToFit="0" readingOrder="0"/>
      <border diagonalUp="0" diagonalDown="0" outline="0">
        <left/>
        <right/>
        <top style="thin">
          <color theme="4" tint="0.39994506668294322"/>
        </top>
        <bottom style="thin">
          <color theme="4" tint="0.39994506668294322"/>
        </bottom>
      </border>
    </dxf>
    <dxf>
      <numFmt numFmtId="30" formatCode="@"/>
      <alignment horizontal="general" vertical="bottom"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general" vertical="bottom" textRotation="0" wrapText="1" indent="0" justifyLastLine="0" shrinkToFit="0" readingOrder="0"/>
      <border diagonalUp="0" diagonalDown="0" outline="0">
        <left/>
        <right/>
        <top style="thin">
          <color theme="4" tint="0.39994506668294322"/>
        </top>
        <bottom style="thin">
          <color theme="4" tint="0.39994506668294322"/>
        </bottom>
      </border>
    </dxf>
    <dxf>
      <numFmt numFmtId="30" formatCode="@"/>
      <alignment horizontal="general" vertical="bottom"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general" vertical="bottom" textRotation="0" wrapText="1" indent="0" justifyLastLine="0" shrinkToFit="0" readingOrder="0"/>
      <border diagonalUp="0" diagonalDown="0">
        <left/>
        <right/>
        <top style="thin">
          <color theme="4" tint="0.39994506668294322"/>
        </top>
        <bottom style="thin">
          <color theme="4" tint="0.39994506668294322"/>
        </bottom>
        <horizontal style="thin">
          <color theme="4" tint="0.39994506668294322"/>
        </horizontal>
      </border>
    </dxf>
    <dxf>
      <border>
        <top style="thin">
          <color theme="4" tint="0.39994506668294322"/>
        </top>
      </border>
    </dxf>
    <dxf>
      <border diagonalUp="0" diagonalDown="0">
        <left/>
        <right style="medium">
          <color auto="1"/>
        </right>
        <top style="thin">
          <color theme="4" tint="0.39997558519241921"/>
        </top>
        <bottom style="thin">
          <color theme="4" tint="0.39997558519241921"/>
        </bottom>
      </border>
    </dxf>
    <dxf>
      <fill>
        <patternFill patternType="none">
          <fgColor indexed="64"/>
          <bgColor auto="1"/>
        </patternFill>
      </fill>
      <alignment vertical="bottom" textRotation="0" indent="0" justifyLastLine="0" shrinkToFit="0" readingOrder="0"/>
    </dxf>
    <dxf>
      <border>
        <bottom style="thin">
          <color theme="4" tint="0.39994506668294322"/>
        </bottom>
      </border>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bottom" textRotation="0" wrapText="1" indent="0" justifyLastLine="0" shrinkToFit="0" readingOrder="0"/>
    </dxf>
    <dxf>
      <numFmt numFmtId="165" formatCode="&quot;$&quot;#,##0.00"/>
      <alignment horizontal="center" vertical="bottom" textRotation="0" wrapText="1" indent="0" justifyLastLine="0" shrinkToFit="0" readingOrder="0"/>
      <border diagonalUp="0" diagonalDown="0">
        <top style="thin">
          <color theme="6" tint="0.39994506668294322"/>
        </top>
        <bottom style="thin">
          <color theme="6" tint="0.39994506668294322"/>
        </bottom>
        <horizontal style="thin">
          <color theme="6" tint="0.39994506668294322"/>
        </horizontal>
      </border>
    </dxf>
    <dxf>
      <numFmt numFmtId="13" formatCode="0%"/>
      <alignment horizontal="center" vertical="bottom" textRotation="0" wrapText="1" indent="0" justifyLastLine="0" shrinkToFit="0" readingOrder="0"/>
      <border diagonalUp="0" diagonalDown="0">
        <top style="thin">
          <color theme="6" tint="0.39994506668294322"/>
        </top>
        <bottom style="thin">
          <color theme="6" tint="0.39994506668294322"/>
        </bottom>
        <horizontal style="thin">
          <color theme="6" tint="0.39994506668294322"/>
        </horizontal>
      </border>
    </dxf>
    <dxf>
      <alignment horizontal="center" vertical="bottom" textRotation="0" wrapText="1" indent="0" justifyLastLine="0" shrinkToFit="0" readingOrder="0"/>
      <border diagonalUp="0" diagonalDown="0">
        <top style="thin">
          <color theme="6" tint="0.39994506668294322"/>
        </top>
        <bottom style="thin">
          <color theme="6" tint="0.39994506668294322"/>
        </bottom>
        <horizontal style="thin">
          <color theme="6" tint="0.39994506668294322"/>
        </horizontal>
      </border>
    </dxf>
    <dxf>
      <numFmt numFmtId="165" formatCode="&quot;$&quot;#,##0.00"/>
      <alignment horizontal="center" vertical="bottom" textRotation="0" wrapText="1" indent="0" justifyLastLine="0" shrinkToFit="0" readingOrder="0"/>
      <border diagonalUp="0" diagonalDown="0">
        <left style="thin">
          <color rgb="FF000000"/>
        </left>
        <right/>
        <top style="thin">
          <color theme="6" tint="0.39994506668294322"/>
        </top>
        <bottom style="thin">
          <color theme="6" tint="0.39994506668294322"/>
        </bottom>
        <horizontal style="thin">
          <color theme="6" tint="0.39994506668294322"/>
        </horizontal>
      </border>
    </dxf>
    <dxf>
      <alignment horizontal="center" vertical="bottom" textRotation="0" wrapText="1" indent="0" justifyLastLine="0" shrinkToFit="0" readingOrder="0"/>
      <border diagonalUp="0" diagonalDown="0">
        <top style="thin">
          <color theme="6" tint="0.39994506668294322"/>
        </top>
        <bottom style="thin">
          <color theme="6" tint="0.39994506668294322"/>
        </bottom>
        <horizontal style="thin">
          <color theme="6" tint="0.39994506668294322"/>
        </horizontal>
      </border>
    </dxf>
    <dxf>
      <alignment horizontal="center" vertical="bottom" textRotation="0" wrapText="1" indent="0" justifyLastLine="0" shrinkToFit="0" readingOrder="0"/>
      <border diagonalUp="0" diagonalDown="0">
        <top style="thin">
          <color theme="6" tint="0.39994506668294322"/>
        </top>
        <bottom style="thin">
          <color theme="6" tint="0.39994506668294322"/>
        </bottom>
        <horizontal style="thin">
          <color theme="6" tint="0.39994506668294322"/>
        </horizontal>
      </border>
    </dxf>
    <dxf>
      <alignment horizontal="general" vertical="bottom" textRotation="0" wrapText="1" indent="0" justifyLastLine="0" shrinkToFit="0" readingOrder="0"/>
      <border diagonalUp="0" diagonalDown="0">
        <left/>
        <right style="medium">
          <color auto="1"/>
        </right>
        <top style="thin">
          <color theme="6" tint="0.39994506668294322"/>
        </top>
        <bottom style="thin">
          <color theme="6" tint="0.39994506668294322"/>
        </bottom>
        <horizontal style="thin">
          <color theme="6" tint="0.39994506668294322"/>
        </horizontal>
      </border>
    </dxf>
    <dxf>
      <alignment horizontal="center" vertical="bottom" textRotation="0" wrapText="1" indent="0" justifyLastLine="0" shrinkToFit="0" readingOrder="0"/>
      <border diagonalUp="0" diagonalDown="0">
        <top style="thin">
          <color theme="6" tint="0.39994506668294322"/>
        </top>
        <bottom style="thin">
          <color theme="6" tint="0.39994506668294322"/>
        </bottom>
        <horizontal style="thin">
          <color theme="6" tint="0.39994506668294322"/>
        </horizontal>
      </border>
    </dxf>
    <dxf>
      <alignment horizontal="center" vertical="bottom" textRotation="0" wrapText="1" indent="0" justifyLastLine="0" shrinkToFit="0" readingOrder="0"/>
      <border diagonalUp="0" diagonalDown="0">
        <top style="thin">
          <color theme="6" tint="0.39994506668294322"/>
        </top>
        <bottom style="thin">
          <color theme="6" tint="0.39994506668294322"/>
        </bottom>
        <horizontal style="thin">
          <color theme="6" tint="0.39994506668294322"/>
        </horizontal>
      </border>
    </dxf>
    <dxf>
      <alignment horizontal="center" vertical="bottom" textRotation="0" wrapText="1" indent="0" justifyLastLine="0" shrinkToFit="0" readingOrder="0"/>
      <border diagonalUp="0" diagonalDown="0">
        <top style="thin">
          <color theme="6" tint="0.39994506668294322"/>
        </top>
        <bottom style="thin">
          <color theme="6" tint="0.39994506668294322"/>
        </bottom>
        <horizontal style="thin">
          <color theme="6" tint="0.39994506668294322"/>
        </horizontal>
      </border>
    </dxf>
    <dxf>
      <alignment horizontal="center" vertical="bottom" textRotation="0" wrapText="1" indent="0" justifyLastLine="0" shrinkToFit="0" readingOrder="0"/>
      <border diagonalUp="0" diagonalDown="0">
        <left style="medium">
          <color auto="1"/>
        </left>
        <right style="medium">
          <color auto="1"/>
        </right>
        <top style="thin">
          <color theme="6" tint="0.39994506668294322"/>
        </top>
        <bottom style="thin">
          <color theme="6" tint="0.39994506668294322"/>
        </bottom>
        <horizontal style="thin">
          <color theme="6" tint="0.39994506668294322"/>
        </horizontal>
      </border>
    </dxf>
    <dxf>
      <alignment horizontal="center" vertical="bottom" textRotation="0" wrapText="0" indent="0" justifyLastLine="0" shrinkToFit="0" readingOrder="0"/>
      <border diagonalUp="0" diagonalDown="0" outline="0">
        <left style="medium">
          <color auto="1"/>
        </left>
        <right style="medium">
          <color auto="1"/>
        </right>
        <top style="thin">
          <color theme="6" tint="0.39994506668294322"/>
        </top>
        <bottom style="thin">
          <color theme="6" tint="0.39994506668294322"/>
        </bottom>
      </border>
    </dxf>
    <dxf>
      <fill>
        <patternFill patternType="solid">
          <fgColor indexed="64"/>
          <bgColor rgb="FFFF0000"/>
        </patternFill>
      </fill>
      <alignment horizontal="center" vertical="bottom" textRotation="0" wrapText="0" indent="0" justifyLastLine="0" shrinkToFit="0" readingOrder="0"/>
      <border diagonalUp="0" diagonalDown="0" outline="0">
        <left/>
        <right style="medium">
          <color auto="1"/>
        </right>
        <top style="thin">
          <color theme="6" tint="0.39994506668294322"/>
        </top>
        <bottom/>
      </border>
    </dxf>
    <dxf>
      <numFmt numFmtId="1" formatCode="0"/>
      <alignment horizontal="center" vertical="bottom" textRotation="0" wrapText="1" indent="0" justifyLastLine="0" shrinkToFit="0" readingOrder="0"/>
      <border diagonalUp="0" diagonalDown="0" outline="0">
        <left/>
        <right style="medium">
          <color auto="1"/>
        </right>
        <top style="thin">
          <color theme="6" tint="0.39994506668294322"/>
        </top>
        <bottom/>
      </border>
    </dxf>
    <dxf>
      <numFmt numFmtId="19" formatCode="m/d/yyyy"/>
      <fill>
        <patternFill patternType="solid">
          <fgColor indexed="64"/>
          <bgColor rgb="FFFF0000"/>
        </patternFill>
      </fill>
      <alignment horizontal="general" vertical="bottom" textRotation="0" wrapText="1" indent="0" justifyLastLine="0" shrinkToFit="0" readingOrder="0"/>
      <border diagonalUp="0" diagonalDown="0" outline="0">
        <left style="medium">
          <color auto="1"/>
        </left>
        <right/>
        <top/>
        <bottom/>
      </border>
    </dxf>
    <dxf>
      <font>
        <b val="0"/>
        <i val="0"/>
        <strike val="0"/>
        <condense val="0"/>
        <extend val="0"/>
        <outline val="0"/>
        <shadow val="0"/>
        <u val="none"/>
        <vertAlign val="baseline"/>
        <sz val="11"/>
        <color rgb="FF000000"/>
        <name val="Calibri"/>
        <family val="2"/>
        <scheme val="minor"/>
      </font>
      <numFmt numFmtId="166" formatCode="mm/dd/yyyy"/>
      <alignment horizontal="center" vertical="bottom" textRotation="0" wrapText="0" indent="0" justifyLastLine="0" shrinkToFit="0" readingOrder="0"/>
      <border diagonalUp="0" diagonalDown="0" outline="0">
        <right style="medium">
          <color auto="1"/>
        </right>
        <top style="thin">
          <color theme="6" tint="0.39994506668294322"/>
        </top>
        <bottom style="thin">
          <color theme="6" tint="0.39994506668294322"/>
        </bottom>
      </border>
    </dxf>
    <dxf>
      <font>
        <b val="0"/>
        <i val="0"/>
        <strike val="0"/>
        <condense val="0"/>
        <extend val="0"/>
        <outline val="0"/>
        <shadow val="0"/>
        <u val="none"/>
        <vertAlign val="baseline"/>
        <sz val="11"/>
        <color rgb="FF000000"/>
        <name val="Calibri"/>
        <family val="2"/>
        <scheme val="minor"/>
      </font>
      <numFmt numFmtId="166" formatCode="mm/dd/yyyy"/>
      <alignment horizontal="center" vertical="bottom" textRotation="0" wrapText="0" indent="0" justifyLastLine="0" shrinkToFit="0" readingOrder="0"/>
      <border diagonalUp="0" diagonalDown="0">
        <left/>
        <right/>
        <top style="thin">
          <color theme="6" tint="0.39994506668294322"/>
        </top>
        <bottom/>
        <vertical/>
        <horizontal/>
      </border>
    </dxf>
    <dxf>
      <font>
        <b val="0"/>
        <i val="0"/>
        <strike val="0"/>
        <condense val="0"/>
        <extend val="0"/>
        <outline val="0"/>
        <shadow val="0"/>
        <u val="none"/>
        <vertAlign val="baseline"/>
        <sz val="11"/>
        <color rgb="FF000000"/>
        <name val="Calibri"/>
        <family val="2"/>
        <scheme val="minor"/>
      </font>
      <numFmt numFmtId="166" formatCode="mm/dd/yyyy"/>
      <alignment horizontal="center" vertical="bottom" textRotation="0" wrapText="0" indent="0" justifyLastLine="0" shrinkToFit="0" readingOrder="0"/>
      <border diagonalUp="0" diagonalDown="0">
        <top style="thin">
          <color theme="6" tint="0.39994506668294322"/>
        </top>
        <bottom style="thin">
          <color theme="6" tint="0.39994506668294322"/>
        </bottom>
        <horizontal style="thin">
          <color theme="6" tint="0.39994506668294322"/>
        </horizontal>
      </border>
    </dxf>
    <dxf>
      <font>
        <b val="0"/>
        <i val="0"/>
        <strike val="0"/>
        <outline val="0"/>
        <shadow val="0"/>
        <u val="none"/>
        <vertAlign val="baseline"/>
        <sz val="11"/>
        <color rgb="FF000000"/>
        <name val="Calibri"/>
        <family val="2"/>
        <scheme val="minor"/>
      </font>
      <numFmt numFmtId="166" formatCode="mm/dd/yyyy"/>
      <fill>
        <patternFill patternType="none">
          <fgColor indexed="64"/>
          <bgColor indexed="65"/>
        </patternFill>
      </fill>
      <alignment horizontal="center" vertical="bottom" textRotation="0" wrapText="0" indent="0" justifyLastLine="0" shrinkToFit="0" readingOrder="0"/>
      <border diagonalUp="0" diagonalDown="0">
        <left style="medium">
          <color auto="1"/>
        </left>
        <right/>
        <top style="thin">
          <color theme="6" tint="0.39994506668294322"/>
        </top>
        <bottom style="thin">
          <color theme="6" tint="0.39994506668294322"/>
        </bottom>
        <vertical/>
        <horizontal style="thin">
          <color theme="6" tint="0.39994506668294322"/>
        </horizontal>
      </border>
    </dxf>
    <dxf>
      <font>
        <b val="0"/>
        <i val="0"/>
        <strike val="0"/>
        <condense val="0"/>
        <extend val="0"/>
        <outline val="0"/>
        <shadow val="0"/>
        <u val="none"/>
        <vertAlign val="baseline"/>
        <sz val="11"/>
        <color theme="1"/>
        <name val="Calibri"/>
        <family val="2"/>
        <scheme val="minor"/>
      </font>
      <numFmt numFmtId="19" formatCode="m/d/yyyy"/>
      <fill>
        <patternFill patternType="none">
          <fgColor indexed="64"/>
          <bgColor indexed="65"/>
        </patternFill>
      </fill>
      <alignment horizontal="center" vertical="bottom" textRotation="0" wrapText="1" indent="0" justifyLastLine="0" shrinkToFit="0" readingOrder="0"/>
      <border diagonalUp="0" diagonalDown="0" outline="0">
        <left/>
        <top style="thin">
          <color theme="6" tint="0.39994506668294322"/>
        </top>
        <bottom style="thin">
          <color theme="6" tint="0.39994506668294322"/>
        </bottom>
      </border>
    </dxf>
    <dxf>
      <font>
        <b/>
        <i val="0"/>
        <strike val="0"/>
        <outline val="0"/>
        <shadow val="0"/>
        <u val="none"/>
        <vertAlign val="baseline"/>
        <sz val="11"/>
        <color theme="1"/>
        <name val="Calibri"/>
        <family val="2"/>
        <scheme val="minor"/>
      </font>
      <numFmt numFmtId="19" formatCode="m/d/yyyy"/>
      <fill>
        <patternFill patternType="none">
          <fgColor indexed="64"/>
          <bgColor indexed="65"/>
        </patternFill>
      </fill>
      <alignment horizontal="general" vertical="bottom" textRotation="0" wrapText="0" indent="0" justifyLastLine="0" shrinkToFit="0" readingOrder="0"/>
      <border diagonalUp="0" diagonalDown="0" outline="0">
        <top style="thin">
          <color theme="6" tint="0.39994506668294322"/>
        </top>
        <bottom style="thin">
          <color theme="6" tint="0.39994506668294322"/>
        </bottom>
      </border>
    </dxf>
    <dxf>
      <numFmt numFmtId="19" formatCode="m/d/yyyy"/>
      <fill>
        <patternFill patternType="none">
          <fgColor indexed="64"/>
          <bgColor indexed="65"/>
        </patternFill>
      </fill>
      <alignment horizontal="general" vertical="bottom" textRotation="0" wrapText="1" indent="0" justifyLastLine="0" shrinkToFit="0" readingOrder="0"/>
      <border diagonalUp="0" diagonalDown="0" outline="0">
        <right/>
        <top style="thin">
          <color theme="6" tint="0.39994506668294322"/>
        </top>
        <bottom style="thin">
          <color theme="6" tint="0.39994506668294322"/>
        </bottom>
      </border>
    </dxf>
    <dxf>
      <alignment horizontal="center" vertical="bottom" textRotation="0" wrapText="0" indent="0" justifyLastLine="0" shrinkToFit="0" readingOrder="0"/>
      <border diagonalUp="0" diagonalDown="0">
        <top style="thin">
          <color theme="6" tint="0.39994506668294322"/>
        </top>
        <bottom style="thin">
          <color theme="6" tint="0.39994506668294322"/>
        </bottom>
        <horizontal style="thin">
          <color theme="6" tint="0.39994506668294322"/>
        </horizontal>
      </border>
    </dxf>
    <dxf>
      <alignment horizontal="center" vertical="bottom" textRotation="0" wrapText="0" indent="0" justifyLastLine="0" shrinkToFit="0" readingOrder="0"/>
      <border diagonalUp="0" diagonalDown="0">
        <top style="thin">
          <color theme="6" tint="0.39994506668294322"/>
        </top>
        <bottom style="thin">
          <color theme="6" tint="0.39994506668294322"/>
        </bottom>
        <horizontal style="thin">
          <color theme="6" tint="0.39994506668294322"/>
        </horizontal>
      </border>
    </dxf>
    <dxf>
      <numFmt numFmtId="19" formatCode="m/d/yyyy"/>
      <fill>
        <patternFill patternType="none">
          <fgColor indexed="64"/>
          <bgColor indexed="65"/>
        </patternFill>
      </fill>
      <alignment horizontal="center" vertical="bottom" textRotation="0" wrapText="1" indent="0" justifyLastLine="0" shrinkToFit="0" readingOrder="0"/>
      <border diagonalUp="0" diagonalDown="0">
        <top style="thin">
          <color theme="6" tint="0.39994506668294322"/>
        </top>
        <bottom style="thin">
          <color theme="6" tint="0.39994506668294322"/>
        </bottom>
        <horizontal style="thin">
          <color theme="6" tint="0.39994506668294322"/>
        </horizontal>
      </border>
    </dxf>
    <dxf>
      <numFmt numFmtId="19" formatCode="m/d/yyyy"/>
      <fill>
        <patternFill patternType="none">
          <fgColor indexed="64"/>
          <bgColor indexed="65"/>
        </patternFill>
      </fill>
      <alignment horizontal="center" vertical="bottom" textRotation="0" wrapText="1" indent="0" justifyLastLine="0" shrinkToFit="0" readingOrder="0"/>
      <border diagonalUp="0" diagonalDown="0">
        <top style="thin">
          <color theme="6" tint="0.39994506668294322"/>
        </top>
        <bottom style="thin">
          <color theme="6" tint="0.39994506668294322"/>
        </bottom>
        <horizontal style="thin">
          <color theme="6" tint="0.39994506668294322"/>
        </horizontal>
      </border>
    </dxf>
    <dxf>
      <numFmt numFmtId="19" formatCode="m/d/yyyy"/>
      <fill>
        <patternFill patternType="none">
          <fgColor indexed="64"/>
          <bgColor indexed="65"/>
        </patternFill>
      </fill>
      <alignment horizontal="center" vertical="bottom" textRotation="0" wrapText="1" indent="0" justifyLastLine="0" shrinkToFit="0" readingOrder="0"/>
      <border diagonalUp="0" diagonalDown="0">
        <top style="thin">
          <color theme="6" tint="0.39994506668294322"/>
        </top>
        <bottom style="thin">
          <color theme="6" tint="0.39994506668294322"/>
        </bottom>
        <horizontal style="thin">
          <color theme="6" tint="0.39994506668294322"/>
        </horizontal>
      </border>
    </dxf>
    <dxf>
      <numFmt numFmtId="19" formatCode="m/d/yyyy"/>
      <fill>
        <patternFill patternType="none">
          <fgColor indexed="64"/>
          <bgColor indexed="65"/>
        </patternFill>
      </fill>
      <alignment horizontal="center" vertical="bottom" textRotation="0" wrapText="1" indent="0" justifyLastLine="0" shrinkToFit="0" readingOrder="0"/>
      <border diagonalUp="0" diagonalDown="0">
        <top style="thin">
          <color theme="6" tint="0.39994506668294322"/>
        </top>
        <bottom style="thin">
          <color theme="6" tint="0.39994506668294322"/>
        </bottom>
        <horizontal style="thin">
          <color theme="6" tint="0.39994506668294322"/>
        </horizontal>
      </border>
    </dxf>
    <dxf>
      <font>
        <strike val="0"/>
        <outline val="0"/>
        <shadow val="0"/>
        <u val="none"/>
        <vertAlign val="baseline"/>
        <sz val="11"/>
        <name val="Calibri"/>
        <family val="2"/>
        <scheme val="minor"/>
      </font>
      <numFmt numFmtId="19" formatCode="m/d/yyyy"/>
      <fill>
        <patternFill patternType="none">
          <fgColor indexed="64"/>
          <bgColor indexed="65"/>
        </patternFill>
      </fill>
      <alignment horizontal="center" vertical="bottom" textRotation="0" wrapText="1" indent="0" justifyLastLine="0" shrinkToFit="0" readingOrder="0"/>
      <border diagonalUp="0" diagonalDown="0">
        <top style="thin">
          <color theme="6" tint="0.39994506668294322"/>
        </top>
        <bottom style="thin">
          <color theme="6" tint="0.39994506668294322"/>
        </bottom>
        <horizontal style="thin">
          <color theme="6" tint="0.39994506668294322"/>
        </horizontal>
      </border>
    </dxf>
    <dxf>
      <fill>
        <patternFill patternType="none">
          <fgColor indexed="64"/>
          <bgColor auto="1"/>
        </patternFill>
      </fill>
      <alignment horizontal="general" vertical="bottom" textRotation="0" wrapText="1" indent="0" justifyLastLine="0" shrinkToFit="0" readingOrder="0"/>
      <border diagonalUp="0" diagonalDown="0">
        <left style="medium">
          <color auto="1"/>
        </left>
        <right style="medium">
          <color auto="1"/>
        </right>
        <top style="thin">
          <color theme="6" tint="0.39994506668294322"/>
        </top>
        <bottom style="thin">
          <color theme="6" tint="0.39994506668294322"/>
        </bottom>
        <vertical style="medium">
          <color auto="1"/>
        </vertical>
        <horizontal style="thin">
          <color theme="6" tint="0.39994506668294322"/>
        </horizontal>
      </border>
    </dxf>
    <dxf>
      <font>
        <b val="0"/>
        <i val="0"/>
        <strike val="0"/>
        <condense val="0"/>
        <extend val="0"/>
        <outline val="0"/>
        <shadow val="0"/>
        <u val="none"/>
        <vertAlign val="baseline"/>
        <sz val="8"/>
        <color rgb="FF000000"/>
        <name val="Calibri"/>
        <family val="2"/>
        <scheme val="none"/>
      </font>
      <alignment horizontal="center" vertical="bottom" textRotation="0" wrapText="0" indent="0" justifyLastLine="0" shrinkToFit="0" readingOrder="0"/>
      <border diagonalUp="0" diagonalDown="0">
        <left style="medium">
          <color auto="1"/>
        </left>
        <right/>
        <top style="thin">
          <color theme="6" tint="0.39994506668294322"/>
        </top>
        <bottom/>
        <vertical/>
        <horizontal/>
      </border>
    </dxf>
    <dxf>
      <font>
        <b val="0"/>
        <i val="0"/>
        <strike val="0"/>
        <condense val="0"/>
        <extend val="0"/>
        <outline val="0"/>
        <shadow val="0"/>
        <u val="none"/>
        <vertAlign val="baseline"/>
        <sz val="8"/>
        <color rgb="FF000000"/>
        <name val="Calibri"/>
        <family val="2"/>
        <scheme val="none"/>
      </font>
      <alignment horizontal="center" vertical="bottom" textRotation="0" wrapText="1" indent="0" justifyLastLine="0" shrinkToFit="0" readingOrder="0"/>
      <border diagonalUp="0" diagonalDown="0" outline="0">
        <left/>
        <right style="medium">
          <color auto="1"/>
        </right>
        <top style="thin">
          <color theme="6" tint="0.39994506668294322"/>
        </top>
        <bottom/>
      </border>
    </dxf>
    <dxf>
      <font>
        <b val="0"/>
        <i val="0"/>
        <strike val="0"/>
        <condense val="0"/>
        <extend val="0"/>
        <outline val="0"/>
        <shadow val="0"/>
        <u val="none"/>
        <vertAlign val="baseline"/>
        <sz val="8"/>
        <color rgb="FF000000"/>
        <name val="Calibri"/>
        <family val="2"/>
        <scheme val="none"/>
      </font>
      <alignment horizontal="center" vertical="bottom" textRotation="0" wrapText="1" indent="0" justifyLastLine="0" shrinkToFit="0" readingOrder="0"/>
      <border diagonalUp="0" diagonalDown="0" outline="0">
        <left/>
        <right/>
        <top style="thin">
          <color theme="6" tint="0.39994506668294322"/>
        </top>
        <bottom/>
      </border>
    </dxf>
    <dxf>
      <font>
        <b val="0"/>
        <i val="0"/>
        <strike val="0"/>
        <condense val="0"/>
        <extend val="0"/>
        <outline val="0"/>
        <shadow val="0"/>
        <u val="none"/>
        <vertAlign val="baseline"/>
        <sz val="8"/>
        <color rgb="FF000000"/>
        <name val="Calibri"/>
        <family val="2"/>
        <scheme val="none"/>
      </font>
      <alignment horizontal="center" vertical="bottom" textRotation="0" wrapText="1" indent="0" justifyLastLine="0" shrinkToFit="0" readingOrder="0"/>
      <border diagonalUp="0" diagonalDown="0" outline="0">
        <left/>
        <right/>
        <top style="thin">
          <color theme="6" tint="0.39994506668294322"/>
        </top>
        <bottom/>
      </border>
    </dxf>
    <dxf>
      <font>
        <b val="0"/>
        <i val="0"/>
        <strike val="0"/>
        <condense val="0"/>
        <extend val="0"/>
        <outline val="0"/>
        <shadow val="0"/>
        <u val="none"/>
        <vertAlign val="baseline"/>
        <sz val="8"/>
        <color rgb="FF000000"/>
        <name val="Calibri"/>
        <family val="2"/>
        <scheme val="none"/>
      </font>
      <alignment horizontal="center" vertical="bottom" textRotation="0" wrapText="1" indent="0" justifyLastLine="0" shrinkToFit="0" readingOrder="0"/>
      <border diagonalUp="0" diagonalDown="0" outline="0">
        <left/>
        <right/>
        <top style="thin">
          <color theme="6" tint="0.39994506668294322"/>
        </top>
        <bottom/>
      </border>
    </dxf>
    <dxf>
      <font>
        <b val="0"/>
        <i val="0"/>
        <strike val="0"/>
        <condense val="0"/>
        <extend val="0"/>
        <outline val="0"/>
        <shadow val="0"/>
        <u val="none"/>
        <vertAlign val="baseline"/>
        <sz val="11"/>
        <color rgb="FF000000"/>
        <name val="Calibri"/>
        <family val="2"/>
        <scheme val="none"/>
      </font>
      <alignment horizontal="center" vertical="bottom" textRotation="0" wrapText="1" indent="0" justifyLastLine="0" shrinkToFit="0" readingOrder="0"/>
      <border diagonalUp="0" diagonalDown="0" outline="0">
        <left style="medium">
          <color auto="1"/>
        </left>
        <right/>
        <top style="thin">
          <color theme="6" tint="0.39994506668294322"/>
        </top>
        <bottom/>
      </border>
    </dxf>
    <dxf>
      <border diagonalUp="0" diagonalDown="0" outline="0">
        <right style="medium">
          <color auto="1"/>
        </right>
        <top style="thin">
          <color theme="6" tint="0.39994506668294322"/>
        </top>
        <bottom style="thin">
          <color theme="6" tint="0.39994506668294322"/>
        </bottom>
      </border>
    </dxf>
    <dxf>
      <alignment vertical="bottom" textRotation="0" wrapText="1" indent="0" justifyLastLine="0" shrinkToFit="0" readingOrder="0"/>
      <border diagonalUp="0" diagonalDown="0">
        <top style="thin">
          <color theme="6" tint="0.39994506668294322"/>
        </top>
        <bottom style="thin">
          <color theme="6" tint="0.39994506668294322"/>
        </bottom>
        <horizontal style="thin">
          <color theme="6" tint="0.39994506668294322"/>
        </horizontal>
      </border>
    </dxf>
    <dxf>
      <numFmt numFmtId="19" formatCode="m/d/yyyy"/>
      <alignment horizontal="center" vertical="bottom" textRotation="0" indent="0" justifyLastLine="0" shrinkToFit="0" readingOrder="0"/>
      <border diagonalUp="0" diagonalDown="0">
        <left style="medium">
          <color auto="1"/>
        </left>
        <right/>
        <top style="thin">
          <color theme="6" tint="0.39994506668294322"/>
        </top>
        <bottom style="thin">
          <color theme="6" tint="0.39994506668294322"/>
        </bottom>
        <horizontal style="thin">
          <color theme="6" tint="0.39994506668294322"/>
        </horizontal>
      </border>
    </dxf>
    <dxf>
      <numFmt numFmtId="19" formatCode="m/d/yyyy"/>
      <fill>
        <patternFill patternType="none">
          <fgColor indexed="64"/>
          <bgColor indexed="65"/>
        </patternFill>
      </fill>
      <alignment horizontal="general" vertical="bottom" textRotation="0" wrapText="1" indent="0" justifyLastLine="0" shrinkToFit="0" readingOrder="0"/>
      <border diagonalUp="0" diagonalDown="0">
        <left style="medium">
          <color auto="1"/>
        </left>
        <right style="medium">
          <color auto="1"/>
        </right>
        <top style="thin">
          <color theme="6" tint="0.39994506668294322"/>
        </top>
        <bottom style="thin">
          <color theme="6" tint="0.39994506668294322"/>
        </bottom>
        <horizontal style="thin">
          <color theme="6" tint="0.39994506668294322"/>
        </horizontal>
      </border>
    </dxf>
    <dxf>
      <font>
        <b val="0"/>
        <i val="0"/>
        <strike val="0"/>
        <condense val="0"/>
        <extend val="0"/>
        <outline val="0"/>
        <shadow val="0"/>
        <u val="none"/>
        <vertAlign val="baseline"/>
        <sz val="11"/>
        <color theme="1"/>
        <name val="Calibri"/>
        <family val="2"/>
        <scheme val="minor"/>
      </font>
      <numFmt numFmtId="19" formatCode="m/d/yyyy"/>
      <fill>
        <patternFill patternType="none">
          <fgColor indexed="64"/>
          <bgColor auto="1"/>
        </patternFill>
      </fill>
      <alignment horizontal="general" vertical="bottom" textRotation="0" wrapText="1" indent="0" justifyLastLine="0" shrinkToFit="0" readingOrder="0"/>
      <border diagonalUp="0" diagonalDown="0">
        <left/>
        <right style="medium">
          <color auto="1"/>
        </right>
        <top style="thin">
          <color theme="6" tint="0.39994506668294322"/>
        </top>
        <bottom style="thin">
          <color theme="6" tint="0.39994506668294322"/>
        </bottom>
        <vertical/>
        <horizontal style="thin">
          <color theme="6" tint="0.39994506668294322"/>
        </horizontal>
      </border>
    </dxf>
    <dxf>
      <font>
        <b val="0"/>
        <i val="0"/>
        <strike val="0"/>
        <condense val="0"/>
        <extend val="0"/>
        <outline val="0"/>
        <shadow val="0"/>
        <u val="none"/>
        <vertAlign val="baseline"/>
        <sz val="11"/>
        <color theme="1"/>
        <name val="Calibri"/>
        <family val="2"/>
        <scheme val="minor"/>
      </font>
      <numFmt numFmtId="19" formatCode="m/d/yyyy"/>
      <fill>
        <patternFill patternType="none">
          <fgColor indexed="64"/>
          <bgColor auto="1"/>
        </patternFill>
      </fill>
      <alignment horizontal="general" vertical="bottom" textRotation="0" wrapText="1" indent="0" justifyLastLine="0" shrinkToFit="0" readingOrder="0"/>
      <border diagonalUp="0" diagonalDown="0">
        <left/>
        <right/>
        <top style="thin">
          <color theme="6" tint="0.39994506668294322"/>
        </top>
        <bottom style="thin">
          <color theme="6" tint="0.39994506668294322"/>
        </bottom>
        <vertical/>
        <horizontal style="thin">
          <color theme="6" tint="0.39994506668294322"/>
        </horizontal>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general" vertical="bottom" textRotation="0" wrapText="1" indent="0" justifyLastLine="0" shrinkToFit="0" readingOrder="0"/>
      <border diagonalUp="0" diagonalDown="0">
        <left/>
        <right/>
        <top style="thin">
          <color theme="6" tint="0.39994506668294322"/>
        </top>
        <bottom style="thin">
          <color theme="6" tint="0.39994506668294322"/>
        </bottom>
        <vertical/>
        <horizontal style="thin">
          <color theme="6" tint="0.39994506668294322"/>
        </horizontal>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general" vertical="bottom" textRotation="0" wrapText="1" indent="0" justifyLastLine="0" shrinkToFit="0" readingOrder="0"/>
      <border diagonalUp="0" diagonalDown="0">
        <left/>
        <right/>
        <top style="thin">
          <color theme="6" tint="0.39994506668294322"/>
        </top>
        <bottom style="thin">
          <color theme="6" tint="0.39994506668294322"/>
        </bottom>
        <vertical/>
        <horizontal style="thin">
          <color theme="6" tint="0.39994506668294322"/>
        </horizontal>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general" vertical="bottom" textRotation="0" wrapText="1" indent="0" justifyLastLine="0" shrinkToFit="0" readingOrder="0"/>
      <border diagonalUp="0" diagonalDown="0">
        <left/>
        <right/>
        <top style="thin">
          <color theme="6" tint="0.39994506668294322"/>
        </top>
        <bottom style="thin">
          <color theme="6" tint="0.39994506668294322"/>
        </bottom>
        <vertical/>
        <horizontal style="thin">
          <color theme="6" tint="0.39994506668294322"/>
        </horizontal>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general" vertical="bottom" textRotation="0" wrapText="1" indent="0" justifyLastLine="0" shrinkToFit="0" readingOrder="0"/>
      <border diagonalUp="0" diagonalDown="0">
        <left/>
        <right/>
        <top style="thin">
          <color theme="6" tint="0.39994506668294322"/>
        </top>
        <bottom style="thin">
          <color theme="6" tint="0.39994506668294322"/>
        </bottom>
        <vertical/>
        <horizontal style="thin">
          <color theme="6" tint="0.39994506668294322"/>
        </horizontal>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general" vertical="bottom" textRotation="0" wrapText="1" indent="0" justifyLastLine="0" shrinkToFit="0" readingOrder="0"/>
      <border diagonalUp="0" diagonalDown="0" outline="0">
        <left/>
        <right/>
        <top style="thin">
          <color theme="6" tint="0.39994506668294322"/>
        </top>
        <bottom style="thin">
          <color theme="6" tint="0.39994506668294322"/>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general" vertical="bottom" textRotation="0" wrapText="1" indent="0" justifyLastLine="0" shrinkToFit="0" readingOrder="0"/>
      <border diagonalUp="0" diagonalDown="0" outline="0">
        <left/>
        <right/>
        <top style="thin">
          <color theme="6" tint="0.39994506668294322"/>
        </top>
        <bottom style="thin">
          <color theme="6" tint="0.39994506668294322"/>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general" vertical="bottom" textRotation="0" wrapText="1" indent="0" justifyLastLine="0" shrinkToFit="0" readingOrder="0"/>
      <border diagonalUp="0" diagonalDown="0" outline="0">
        <left/>
        <right/>
        <top style="thin">
          <color theme="6" tint="0.39994506668294322"/>
        </top>
        <bottom style="thin">
          <color theme="6" tint="0.39994506668294322"/>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general" vertical="bottom" textRotation="0" wrapText="1" indent="0" justifyLastLine="0" shrinkToFit="0" readingOrder="0"/>
      <border diagonalUp="0" diagonalDown="0">
        <left/>
        <right/>
        <top style="thin">
          <color theme="6" tint="0.39994506668294322"/>
        </top>
        <bottom style="thin">
          <color theme="6" tint="0.39994506668294322"/>
        </bottom>
        <vertical/>
        <horizontal style="thin">
          <color theme="6" tint="0.39994506668294322"/>
        </horizontal>
      </border>
    </dxf>
    <dxf>
      <border>
        <top style="thin">
          <color theme="6" tint="0.39994506668294322"/>
        </top>
      </border>
    </dxf>
    <dxf>
      <border diagonalUp="0" diagonalDown="0">
        <left/>
        <right/>
        <bottom/>
      </border>
    </dxf>
    <dxf>
      <alignment vertical="bottom" textRotation="0" indent="0" justifyLastLine="0" shrinkToFit="0" readingOrder="0"/>
    </dxf>
    <dxf>
      <border>
        <bottom style="thin">
          <color theme="6" tint="0.39994506668294322"/>
        </bottom>
      </border>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center" vertical="bottom" textRotation="0" wrapText="1" indent="0" justifyLastLine="0" shrinkToFit="0" readingOrder="0"/>
    </dxf>
    <dxf>
      <font>
        <strike val="0"/>
      </font>
      <numFmt numFmtId="0" formatCode="General"/>
      <fill>
        <patternFill patternType="none"/>
      </fill>
      <alignment horizontal="center" vertical="bottom" textRotation="0" wrapText="1" indent="0" justifyLastLine="0" shrinkToFit="0" readingOrder="0"/>
    </dxf>
    <dxf>
      <font>
        <strike val="0"/>
      </font>
      <fill>
        <patternFill patternType="none"/>
      </fill>
      <alignment horizontal="center" vertical="bottom" textRotation="0" wrapText="1" indent="0" justifyLastLine="0" shrinkToFit="0" readingOrder="0"/>
      <border diagonalUp="0" diagonalDown="0">
        <left/>
        <right style="medium">
          <color auto="1"/>
        </right>
        <top style="thin">
          <color theme="7" tint="0.39994506668294322"/>
        </top>
        <bottom style="thin">
          <color theme="7" tint="0.39994506668294322"/>
        </bottom>
        <vertical/>
        <horizontal style="thin">
          <color theme="7" tint="0.39994506668294322"/>
        </horizontal>
      </border>
    </dxf>
    <dxf>
      <font>
        <b val="0"/>
        <i val="0"/>
        <strike val="0"/>
        <condense val="0"/>
        <extend val="0"/>
        <outline val="0"/>
        <shadow val="0"/>
        <u val="none"/>
        <vertAlign val="baseline"/>
        <sz val="11"/>
        <color rgb="FF000000"/>
        <name val="Calibri"/>
        <family val="2"/>
        <scheme val="minor"/>
      </font>
      <numFmt numFmtId="167" formatCode="_([$$-409]* #,##0.00_);_([$$-409]* \(#,##0.00\);_([$$-409]* &quot;-&quot;??_);_(@_)"/>
      <alignment horizontal="center" vertical="bottom" textRotation="0" wrapText="1" indent="0" justifyLastLine="0" shrinkToFit="0" readingOrder="0"/>
      <border diagonalUp="0" diagonalDown="0">
        <left/>
        <right/>
        <top style="thin">
          <color theme="7" tint="0.39994506668294322"/>
        </top>
        <bottom/>
        <vertical/>
        <horizontal/>
      </border>
    </dxf>
    <dxf>
      <font>
        <b val="0"/>
        <i val="0"/>
        <strike val="0"/>
        <condense val="0"/>
        <extend val="0"/>
        <outline val="0"/>
        <shadow val="0"/>
        <u val="none"/>
        <vertAlign val="baseline"/>
        <sz val="11"/>
        <color rgb="FF000000"/>
        <name val="Calibri"/>
        <family val="2"/>
        <scheme val="minor"/>
      </font>
      <numFmt numFmtId="167" formatCode="_([$$-409]* #,##0.00_);_([$$-409]* \(#,##0.00\);_([$$-409]* &quot;-&quot;??_);_(@_)"/>
      <alignment horizontal="center" vertical="bottom" textRotation="0" wrapText="1" indent="0" justifyLastLine="0" shrinkToFit="0" readingOrder="0"/>
      <border diagonalUp="0" diagonalDown="0">
        <left/>
        <right/>
        <top style="thin">
          <color theme="7" tint="0.39994506668294322"/>
        </top>
        <bottom/>
        <vertical/>
        <horizontal/>
      </border>
    </dxf>
    <dxf>
      <font>
        <strike val="0"/>
      </font>
      <numFmt numFmtId="167" formatCode="_([$$-409]* #,##0.00_);_([$$-409]* \(#,##0.00\);_([$$-409]* &quot;-&quot;??_);_(@_)"/>
      <fill>
        <patternFill patternType="solid">
          <fgColor indexed="64"/>
          <bgColor rgb="FFFF0000"/>
        </patternFill>
      </fill>
      <alignment horizontal="center" vertical="bottom" textRotation="0" wrapText="1" indent="0" justifyLastLine="0" shrinkToFit="0" readingOrder="0"/>
      <border diagonalUp="0" diagonalDown="0">
        <left style="medium">
          <color auto="1"/>
        </left>
        <right/>
        <top style="thin">
          <color theme="7" tint="0.39994506668294322"/>
        </top>
        <bottom style="thin">
          <color theme="7" tint="0.39994506668294322"/>
        </bottom>
        <vertical/>
        <horizontal style="thin">
          <color theme="7" tint="0.39994506668294322"/>
        </horizontal>
      </border>
    </dxf>
    <dxf>
      <font>
        <strike val="0"/>
      </font>
      <fill>
        <patternFill patternType="none"/>
      </fill>
      <alignment horizontal="left" vertical="bottom" textRotation="0" wrapText="1" indent="0" justifyLastLine="0" shrinkToFit="0" readingOrder="0"/>
      <border diagonalUp="0" diagonalDown="0" outline="0">
        <left/>
        <right style="medium">
          <color auto="1"/>
        </right>
        <top style="thin">
          <color theme="7" tint="0.39994506668294322"/>
        </top>
        <bottom style="thin">
          <color theme="7" tint="0.39994506668294322"/>
        </bottom>
      </border>
    </dxf>
    <dxf>
      <font>
        <strike val="0"/>
      </font>
      <numFmt numFmtId="19" formatCode="m/d/yyyy"/>
      <fill>
        <patternFill patternType="solid">
          <fgColor indexed="64"/>
          <bgColor rgb="FFFF0000"/>
        </patternFill>
      </fill>
      <alignment horizontal="center" vertical="bottom" textRotation="0" wrapText="1" indent="0" justifyLastLine="0" shrinkToFit="0" readingOrder="0"/>
      <border diagonalUp="0" diagonalDown="0">
        <left/>
        <right/>
        <top style="thin">
          <color theme="7" tint="0.39994506668294322"/>
        </top>
        <bottom style="thin">
          <color theme="7" tint="0.39994506668294322"/>
        </bottom>
      </border>
    </dxf>
    <dxf>
      <font>
        <b val="0"/>
        <color rgb="FF000000"/>
      </font>
      <numFmt numFmtId="19" formatCode="m/d/yyyy"/>
      <fill>
        <patternFill patternType="solid">
          <fgColor indexed="64"/>
          <bgColor rgb="FFFFFF00"/>
        </patternFill>
      </fill>
      <alignment horizontal="center" vertical="bottom" textRotation="0" wrapText="1" indent="0" justifyLastLine="0" shrinkToFit="0" readingOrder="0"/>
      <border diagonalUp="0" diagonalDown="0">
        <left/>
        <right/>
        <top style="thin">
          <color theme="7" tint="0.39994506668294322"/>
        </top>
        <bottom style="thin">
          <color theme="7" tint="0.39994506668294322"/>
        </bottom>
      </border>
    </dxf>
    <dxf>
      <font>
        <strike val="0"/>
      </font>
      <numFmt numFmtId="19" formatCode="m/d/yyyy"/>
      <fill>
        <patternFill patternType="none"/>
      </fill>
      <alignment horizontal="center" vertical="bottom" textRotation="0" wrapText="1" indent="0" justifyLastLine="0" shrinkToFit="0" readingOrder="0"/>
      <border diagonalUp="0" diagonalDown="0" outline="0">
        <left/>
        <right/>
        <top style="thin">
          <color theme="7" tint="0.39994506668294322"/>
        </top>
        <bottom style="thin">
          <color theme="7" tint="0.39994506668294322"/>
        </bottom>
      </border>
    </dxf>
    <dxf>
      <font>
        <b val="0"/>
        <i val="0"/>
        <strike val="0"/>
        <condense val="0"/>
        <extend val="0"/>
        <outline val="0"/>
        <shadow val="0"/>
        <u val="none"/>
        <vertAlign val="baseline"/>
        <sz val="11"/>
        <color theme="1"/>
        <name val="Calibri"/>
        <family val="2"/>
        <scheme val="minor"/>
      </font>
      <numFmt numFmtId="19" formatCode="m/d/yyyy"/>
      <fill>
        <patternFill patternType="none">
          <fgColor indexed="64"/>
          <bgColor indexed="65"/>
        </patternFill>
      </fill>
      <alignment horizontal="center" vertical="bottom" textRotation="0" wrapText="1" indent="0" justifyLastLine="0" shrinkToFit="0" readingOrder="0"/>
      <border diagonalUp="0" diagonalDown="0" outline="0">
        <left/>
        <top style="thin">
          <color theme="7" tint="0.39994506668294322"/>
        </top>
        <bottom style="thin">
          <color theme="7" tint="0.39994506668294322"/>
        </bottom>
      </border>
    </dxf>
    <dxf>
      <font>
        <strike val="0"/>
      </font>
      <numFmt numFmtId="19" formatCode="m/d/yyyy"/>
      <fill>
        <patternFill patternType="none"/>
      </fill>
      <alignment horizontal="center" vertical="bottom" textRotation="0" wrapText="1" indent="0" justifyLastLine="0" shrinkToFit="0" readingOrder="0"/>
      <border diagonalUp="0" diagonalDown="0" outline="0">
        <left/>
        <top style="thin">
          <color theme="7" tint="0.39994506668294322"/>
        </top>
        <bottom style="thin">
          <color theme="7" tint="0.39994506668294322"/>
        </bottom>
      </border>
    </dxf>
    <dxf>
      <font>
        <strike val="0"/>
      </font>
      <numFmt numFmtId="19" formatCode="m/d/yyyy"/>
      <fill>
        <patternFill patternType="none"/>
      </fill>
      <alignment horizontal="center" vertical="bottom" textRotation="0" wrapText="0" indent="0" justifyLastLine="0" shrinkToFit="0" readingOrder="0"/>
      <border diagonalUp="0" diagonalDown="0" outline="0">
        <left/>
        <top style="thin">
          <color theme="7" tint="0.39994506668294322"/>
        </top>
        <bottom style="thin">
          <color theme="7" tint="0.39994506668294322"/>
        </bottom>
      </border>
    </dxf>
    <dxf>
      <font>
        <strike val="0"/>
      </font>
      <numFmt numFmtId="19" formatCode="m/d/yyyy"/>
      <fill>
        <patternFill patternType="none"/>
      </fill>
      <alignment horizontal="center" vertical="bottom" textRotation="0" wrapText="0" indent="0" justifyLastLine="0" shrinkToFit="0" readingOrder="0"/>
      <border diagonalUp="0" diagonalDown="0" outline="0">
        <left style="medium">
          <color auto="1"/>
        </left>
        <right/>
        <top style="thin">
          <color theme="7" tint="0.39994506668294322"/>
        </top>
        <bottom style="thin">
          <color theme="7" tint="0.39994506668294322"/>
        </bottom>
      </border>
    </dxf>
    <dxf>
      <font>
        <strike val="0"/>
      </font>
      <fill>
        <patternFill patternType="none"/>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1" formatCode="0"/>
      <alignment horizontal="center" vertical="bottom" textRotation="0" wrapText="1" indent="0" justifyLastLine="0" shrinkToFit="0" readingOrder="0"/>
    </dxf>
    <dxf>
      <font>
        <strike val="0"/>
        <color rgb="FF000000"/>
      </font>
      <numFmt numFmtId="19" formatCode="m/d/yyyy"/>
      <fill>
        <patternFill patternType="solid">
          <fgColor indexed="64"/>
          <bgColor rgb="FFFF0000"/>
        </patternFill>
      </fill>
      <alignment horizontal="center" vertical="bottom" textRotation="0" wrapText="1" indent="0" justifyLastLine="0" shrinkToFit="0" readingOrder="0"/>
    </dxf>
    <dxf>
      <font>
        <b val="0"/>
        <i val="0"/>
        <strike val="0"/>
        <condense val="0"/>
        <extend val="0"/>
        <outline val="0"/>
        <shadow val="0"/>
        <u val="none"/>
        <vertAlign val="baseline"/>
        <sz val="11"/>
        <color rgb="FF000000"/>
        <name val="Calibri"/>
        <family val="2"/>
        <scheme val="minor"/>
      </font>
      <numFmt numFmtId="19" formatCode="m/d/yyyy"/>
      <fill>
        <patternFill patternType="solid">
          <fgColor indexed="64"/>
          <bgColor rgb="FFFF0000"/>
        </patternFill>
      </fill>
      <alignment horizontal="center" vertical="bottom" textRotation="0" wrapText="0" indent="0" justifyLastLine="0" shrinkToFit="0" readingOrder="0"/>
      <border diagonalUp="0" diagonalDown="0" outline="0">
        <left/>
        <right style="medium">
          <color auto="1"/>
        </right>
        <top style="thin">
          <color theme="7" tint="0.39994506668294322"/>
        </top>
        <bottom/>
      </border>
    </dxf>
    <dxf>
      <font>
        <b val="0"/>
        <i val="0"/>
        <strike val="0"/>
        <condense val="0"/>
        <extend val="0"/>
        <outline val="0"/>
        <shadow val="0"/>
        <u val="none"/>
        <vertAlign val="baseline"/>
        <sz val="11"/>
        <color rgb="FF000000"/>
        <name val="Calibri"/>
        <family val="2"/>
        <scheme val="minor"/>
      </font>
      <numFmt numFmtId="19" formatCode="m/d/yyyy"/>
      <fill>
        <patternFill patternType="solid">
          <fgColor indexed="64"/>
          <bgColor rgb="FFFF0000"/>
        </patternFill>
      </fill>
      <alignment horizontal="center" vertical="bottom" textRotation="0" wrapText="0" indent="0" justifyLastLine="0" shrinkToFit="0" readingOrder="0"/>
      <border diagonalUp="0" diagonalDown="0" outline="0">
        <left/>
        <right/>
        <top style="thin">
          <color theme="7" tint="0.39994506668294322"/>
        </top>
        <bottom/>
      </border>
    </dxf>
    <dxf>
      <font>
        <b val="0"/>
        <i val="0"/>
        <strike val="0"/>
        <condense val="0"/>
        <extend val="0"/>
        <outline val="0"/>
        <shadow val="0"/>
        <u val="none"/>
        <vertAlign val="baseline"/>
        <sz val="11"/>
        <color theme="1"/>
        <name val="Calibri"/>
        <family val="2"/>
        <scheme val="minor"/>
      </font>
      <numFmt numFmtId="19" formatCode="m/d/yyyy"/>
      <fill>
        <patternFill patternType="none">
          <fgColor indexed="64"/>
          <bgColor indexed="65"/>
        </patternFill>
      </fill>
      <alignment horizontal="general" vertical="bottom" textRotation="0" wrapText="1" indent="0" justifyLastLine="0" shrinkToFit="0" readingOrder="0"/>
      <border diagonalUp="0" diagonalDown="0">
        <top style="thin">
          <color theme="7" tint="0.39994506668294322"/>
        </top>
        <bottom style="thin">
          <color theme="7" tint="0.39994506668294322"/>
        </bottom>
        <horizontal style="thin">
          <color theme="7" tint="0.39994506668294322"/>
        </horizontal>
      </border>
    </dxf>
    <dxf>
      <font>
        <b val="0"/>
        <i val="0"/>
        <strike val="0"/>
        <outline val="0"/>
        <shadow val="0"/>
        <u val="none"/>
        <vertAlign val="baseline"/>
        <sz val="11"/>
        <name val="Calibri"/>
        <family val="2"/>
        <scheme val="minor"/>
      </font>
      <numFmt numFmtId="19" formatCode="m/d/yyyy"/>
      <fill>
        <patternFill patternType="none">
          <fgColor indexed="64"/>
          <bgColor indexed="65"/>
        </patternFill>
      </fill>
      <alignment horizontal="general" vertical="bottom" textRotation="0" wrapText="1" indent="0" justifyLastLine="0" shrinkToFit="0" readingOrder="0"/>
      <border diagonalUp="0" diagonalDown="0">
        <top style="thin">
          <color theme="7" tint="0.39994506668294322"/>
        </top>
        <bottom style="thin">
          <color theme="7" tint="0.39994506668294322"/>
        </bottom>
        <horizontal style="thin">
          <color theme="7" tint="0.39994506668294322"/>
        </horizontal>
      </border>
    </dxf>
    <dxf>
      <font>
        <b val="0"/>
        <strike val="0"/>
        <color rgb="FF000000"/>
      </font>
      <numFmt numFmtId="19" formatCode="m/d/yyyy"/>
      <fill>
        <patternFill patternType="solid">
          <fgColor indexed="64"/>
          <bgColor rgb="FFFF0000"/>
        </patternFill>
      </fill>
      <alignment horizontal="center" vertical="bottom" textRotation="0" wrapText="1" indent="0" justifyLastLine="0" shrinkToFit="0" readingOrder="0"/>
      <border diagonalUp="0" diagonalDown="0">
        <top style="thin">
          <color theme="7" tint="0.39994506668294322"/>
        </top>
        <bottom style="thin">
          <color theme="7" tint="0.39994506668294322"/>
        </bottom>
        <horizontal style="thin">
          <color theme="7" tint="0.39994506668294322"/>
        </horizontal>
      </border>
    </dxf>
    <dxf>
      <font>
        <b val="0"/>
        <strike/>
        <color rgb="FF000000"/>
      </font>
      <numFmt numFmtId="19" formatCode="m/d/yyyy"/>
      <fill>
        <patternFill patternType="solid">
          <fgColor indexed="64"/>
          <bgColor rgb="FFFF0000"/>
        </patternFill>
      </fill>
      <alignment horizontal="center" vertical="bottom" textRotation="0" wrapText="1" indent="0" justifyLastLine="0" shrinkToFit="0" readingOrder="0"/>
      <border diagonalUp="0" diagonalDown="0">
        <top style="thin">
          <color theme="7" tint="0.39994506668294322"/>
        </top>
        <bottom style="thin">
          <color theme="7" tint="0.39994506668294322"/>
        </bottom>
        <horizontal style="thin">
          <color theme="7" tint="0.39994506668294322"/>
        </horizontal>
      </border>
    </dxf>
    <dxf>
      <font>
        <b val="0"/>
        <strike/>
        <color rgb="FF000000"/>
      </font>
      <numFmt numFmtId="19" formatCode="m/d/yyyy"/>
      <fill>
        <patternFill patternType="solid">
          <fgColor indexed="64"/>
          <bgColor rgb="FFFF0000"/>
        </patternFill>
      </fill>
      <alignment horizontal="center" vertical="bottom" textRotation="0" wrapText="1" indent="0" justifyLastLine="0" shrinkToFit="0" readingOrder="0"/>
      <border diagonalUp="0" diagonalDown="0">
        <top style="thin">
          <color theme="7" tint="0.39994506668294322"/>
        </top>
        <bottom style="thin">
          <color theme="7" tint="0.39994506668294322"/>
        </bottom>
        <horizontal style="thin">
          <color theme="7" tint="0.39994506668294322"/>
        </horizontal>
      </border>
    </dxf>
    <dxf>
      <font>
        <b val="0"/>
        <strike/>
        <color rgb="FF000000"/>
      </font>
      <numFmt numFmtId="19" formatCode="m/d/yyyy"/>
      <fill>
        <patternFill patternType="solid">
          <fgColor indexed="64"/>
          <bgColor rgb="FFFF0000"/>
        </patternFill>
      </fill>
      <alignment horizontal="center" vertical="bottom" textRotation="0" wrapText="1" indent="0" justifyLastLine="0" shrinkToFit="0" readingOrder="0"/>
      <border diagonalUp="0" diagonalDown="0">
        <top style="thin">
          <color theme="7" tint="0.39994506668294322"/>
        </top>
        <bottom style="thin">
          <color theme="7" tint="0.39994506668294322"/>
        </bottom>
        <horizontal style="thin">
          <color theme="7" tint="0.39994506668294322"/>
        </horizontal>
      </border>
    </dxf>
    <dxf>
      <font>
        <b val="0"/>
        <strike val="0"/>
        <color rgb="FF000000"/>
      </font>
      <numFmt numFmtId="19" formatCode="m/d/yyyy"/>
      <fill>
        <patternFill patternType="solid">
          <fgColor indexed="64"/>
          <bgColor rgb="FFFF0000"/>
        </patternFill>
      </fill>
      <alignment horizontal="center" vertical="bottom" textRotation="0" wrapText="1" indent="0" justifyLastLine="0" shrinkToFit="0" readingOrder="0"/>
      <border diagonalUp="0" diagonalDown="0">
        <top style="thin">
          <color theme="7" tint="0.39994506668294322"/>
        </top>
        <bottom style="thin">
          <color theme="7" tint="0.39994506668294322"/>
        </bottom>
        <horizontal style="thin">
          <color theme="7" tint="0.39994506668294322"/>
        </horizontal>
      </border>
    </dxf>
    <dxf>
      <font>
        <b val="0"/>
        <strike val="0"/>
        <color rgb="FF000000"/>
      </font>
      <numFmt numFmtId="19" formatCode="m/d/yyyy"/>
      <fill>
        <patternFill patternType="solid">
          <fgColor indexed="64"/>
          <bgColor rgb="FFFF0000"/>
        </patternFill>
      </fill>
      <alignment horizontal="center" vertical="bottom" textRotation="0" wrapText="1" indent="0" justifyLastLine="0" shrinkToFit="0" readingOrder="0"/>
      <border diagonalUp="0" diagonalDown="0">
        <left style="medium">
          <color auto="1"/>
        </left>
        <right/>
        <top style="thin">
          <color theme="7" tint="0.39994506668294322"/>
        </top>
        <bottom style="thin">
          <color theme="7" tint="0.39994506668294322"/>
        </bottom>
      </border>
    </dxf>
    <dxf>
      <font>
        <strike val="0"/>
      </font>
      <numFmt numFmtId="19" formatCode="m/d/yyyy"/>
      <fill>
        <patternFill patternType="none">
          <fgColor indexed="64"/>
          <bgColor indexed="65"/>
        </patternFill>
      </fill>
      <alignment horizontal="center" vertical="bottom" textRotation="0" wrapText="1" indent="0" justifyLastLine="0" shrinkToFit="0" readingOrder="0"/>
    </dxf>
    <dxf>
      <font>
        <strike val="0"/>
      </font>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8"/>
        <color theme="1"/>
        <name val="Calibri"/>
        <family val="2"/>
        <scheme val="minor"/>
      </font>
      <alignment horizontal="left" vertical="bottom" textRotation="0" wrapText="1" indent="0" justifyLastLine="0" shrinkToFit="0" readingOrder="0"/>
      <border diagonalUp="0" diagonalDown="0">
        <left/>
        <right style="medium">
          <color rgb="FF000000"/>
        </right>
        <top style="thin">
          <color theme="7" tint="0.39994506668294322"/>
        </top>
        <bottom/>
        <vertical/>
        <horizontal/>
      </border>
    </dxf>
    <dxf>
      <font>
        <strike val="0"/>
        <outline val="0"/>
        <shadow val="0"/>
        <u val="none"/>
        <vertAlign val="baseline"/>
        <sz val="8"/>
        <color theme="1"/>
        <name val="Calibri"/>
        <family val="2"/>
        <scheme val="minor"/>
      </font>
      <alignment horizontal="center" vertical="bottom" textRotation="0" wrapText="1" indent="0" justifyLastLine="0" shrinkToFit="0" readingOrder="0"/>
    </dxf>
    <dxf>
      <font>
        <strike val="0"/>
        <outline val="0"/>
        <shadow val="0"/>
        <u val="none"/>
        <vertAlign val="baseline"/>
        <sz val="8"/>
        <color theme="1"/>
        <name val="Calibri"/>
        <family val="2"/>
        <scheme val="minor"/>
      </font>
      <alignment horizontal="center" vertical="bottom" textRotation="0" wrapText="1" indent="0" justifyLastLine="0" shrinkToFit="0" readingOrder="0"/>
    </dxf>
    <dxf>
      <font>
        <strike val="0"/>
        <outline val="0"/>
        <shadow val="0"/>
        <u val="none"/>
        <vertAlign val="baseline"/>
        <sz val="8"/>
        <color theme="1"/>
        <name val="Calibri"/>
        <family val="2"/>
        <scheme val="minor"/>
      </font>
      <alignment horizontal="center" vertical="bottom" textRotation="0" wrapText="1" indent="0" justifyLastLine="0" shrinkToFit="0" readingOrder="0"/>
    </dxf>
    <dxf>
      <font>
        <strike val="0"/>
        <outline val="0"/>
        <shadow val="0"/>
        <u val="none"/>
        <vertAlign val="baseline"/>
        <sz val="8"/>
        <color theme="1"/>
        <name val="Calibri"/>
        <family val="2"/>
        <scheme val="minor"/>
      </font>
      <alignment horizontal="center" vertical="bottom" textRotation="0" wrapText="1" indent="0" justifyLastLine="0" shrinkToFit="0" readingOrder="0"/>
    </dxf>
    <dxf>
      <alignment horizontal="center" vertical="bottom" textRotation="0" wrapText="1" indent="0" justifyLastLine="0" shrinkToFit="0" readingOrder="0"/>
      <border>
        <left style="thin">
          <color rgb="FF000000"/>
        </left>
      </border>
    </dxf>
    <dxf>
      <font>
        <strike val="0"/>
      </font>
      <fill>
        <patternFill patternType="none"/>
      </fill>
      <alignment horizontal="left" vertical="bottom" textRotation="0" wrapText="1" indent="0" justifyLastLine="0" shrinkToFit="0" readingOrder="0"/>
      <border diagonalUp="0" diagonalDown="0" outline="0">
        <left/>
        <right style="medium">
          <color auto="1"/>
        </right>
        <top style="thin">
          <color theme="7" tint="0.39994506668294322"/>
        </top>
        <bottom style="thin">
          <color theme="7" tint="0.39994506668294322"/>
        </bottom>
      </border>
    </dxf>
    <dxf>
      <font>
        <strike val="0"/>
      </font>
      <fill>
        <patternFill patternType="none"/>
      </fill>
      <alignment horizontal="left" vertical="bottom" textRotation="0" wrapText="1" indent="0" justifyLastLine="0" shrinkToFit="0" readingOrder="0"/>
      <border diagonalUp="0" diagonalDown="0" outline="0">
        <right/>
        <top style="thin">
          <color theme="7" tint="0.39994506668294322"/>
        </top>
        <bottom style="thin">
          <color theme="7" tint="0.39994506668294322"/>
        </bottom>
      </border>
    </dxf>
    <dxf>
      <font>
        <strike val="0"/>
      </font>
      <numFmt numFmtId="19" formatCode="m/d/yyyy"/>
      <fill>
        <patternFill patternType="none"/>
      </fill>
      <alignment horizontal="center" vertical="bottom" textRotation="0" wrapText="0" indent="0" justifyLastLine="0" shrinkToFit="0" readingOrder="0"/>
      <border diagonalUp="0" diagonalDown="0" outline="0">
        <left style="medium">
          <color auto="1"/>
        </left>
        <right/>
        <top style="thin">
          <color theme="7" tint="0.39994506668294322"/>
        </top>
        <bottom style="thin">
          <color theme="7" tint="0.39994506668294322"/>
        </bottom>
      </border>
    </dxf>
    <dxf>
      <font>
        <strike val="0"/>
        <color rgb="FF000000"/>
        <charset val="1"/>
      </font>
      <numFmt numFmtId="30" formatCode="@"/>
      <fill>
        <patternFill patternType="none">
          <fgColor indexed="64"/>
          <bgColor rgb="FFFF0000"/>
        </patternFill>
      </fill>
      <alignment horizontal="general" vertical="bottom" textRotation="0" wrapText="1" indent="0" justifyLastLine="0" shrinkToFit="0" readingOrder="0"/>
      <border diagonalUp="0" diagonalDown="0">
        <left style="medium">
          <color rgb="FF000000"/>
        </left>
        <right style="medium">
          <color rgb="FF000000"/>
        </right>
        <top/>
        <bottom/>
        <vertical/>
        <horizontal/>
      </border>
    </dxf>
    <dxf>
      <font>
        <b val="0"/>
        <i val="0"/>
        <strike val="0"/>
        <condense val="0"/>
        <extend val="0"/>
        <outline val="0"/>
        <shadow val="0"/>
        <u val="none"/>
        <vertAlign val="baseline"/>
        <sz val="11"/>
        <color rgb="FF000000"/>
        <name val="Calibri"/>
        <family val="2"/>
        <scheme val="minor"/>
      </font>
      <numFmt numFmtId="19" formatCode="m/d/yyyy"/>
      <fill>
        <patternFill patternType="none">
          <fgColor indexed="64"/>
          <bgColor auto="1"/>
        </patternFill>
      </fill>
      <alignment horizontal="general" vertical="bottom" textRotation="0" wrapText="1" indent="0" justifyLastLine="0" shrinkToFit="0" readingOrder="0"/>
      <border diagonalUp="0" diagonalDown="0">
        <left/>
        <right style="medium">
          <color auto="1"/>
        </right>
        <top style="thin">
          <color theme="7" tint="0.39994506668294322"/>
        </top>
        <bottom style="thin">
          <color theme="7" tint="0.39994506668294322"/>
        </bottom>
        <vertical/>
        <horizontal style="thin">
          <color theme="7" tint="0.39994506668294322"/>
        </horizontal>
      </border>
    </dxf>
    <dxf>
      <font>
        <b val="0"/>
        <i val="0"/>
        <strike val="0"/>
        <condense val="0"/>
        <extend val="0"/>
        <outline val="0"/>
        <shadow val="0"/>
        <u val="none"/>
        <vertAlign val="baseline"/>
        <sz val="11"/>
        <color theme="1"/>
        <name val="Calibri"/>
        <family val="2"/>
        <scheme val="minor"/>
      </font>
      <numFmt numFmtId="19" formatCode="m/d/yyyy"/>
      <fill>
        <patternFill patternType="none">
          <fgColor indexed="64"/>
          <bgColor auto="1"/>
        </patternFill>
      </fill>
      <alignment horizontal="general" vertical="bottom" textRotation="0" wrapText="1" indent="0" justifyLastLine="0" shrinkToFit="0" readingOrder="0"/>
      <border diagonalUp="0" diagonalDown="0">
        <left/>
        <right/>
        <top style="thin">
          <color theme="7" tint="0.39994506668294322"/>
        </top>
        <bottom style="thin">
          <color theme="7" tint="0.39994506668294322"/>
        </bottom>
        <vertical/>
        <horizontal style="thin">
          <color theme="7" tint="0.39994506668294322"/>
        </horizontal>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general" vertical="bottom" textRotation="0" wrapText="1" indent="0" justifyLastLine="0" shrinkToFit="0" readingOrder="0"/>
      <border diagonalUp="0" diagonalDown="0">
        <left/>
        <right/>
        <top style="thin">
          <color theme="7" tint="0.39994506668294322"/>
        </top>
        <bottom style="thin">
          <color theme="7" tint="0.39994506668294322"/>
        </bottom>
        <vertical/>
        <horizontal style="thin">
          <color theme="7" tint="0.39994506668294322"/>
        </horizontal>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general" vertical="bottom" textRotation="0" wrapText="1" indent="0" justifyLastLine="0" shrinkToFit="0" readingOrder="0"/>
      <border diagonalUp="0" diagonalDown="0" outline="0">
        <left/>
        <right/>
        <top style="thin">
          <color theme="7" tint="0.39994506668294322"/>
        </top>
        <bottom style="thin">
          <color theme="7" tint="0.39994506668294322"/>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rgb="FFFFFF00"/>
        </patternFill>
      </fill>
      <alignment horizontal="general" vertical="bottom" textRotation="0" wrapText="1" indent="0" justifyLastLine="0" shrinkToFit="0" readingOrder="0"/>
      <border diagonalUp="0" diagonalDown="0">
        <left/>
        <right/>
        <top style="thin">
          <color theme="7" tint="0.39994506668294322"/>
        </top>
        <bottom style="thin">
          <color theme="7" tint="0.39994506668294322"/>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general" vertical="bottom" textRotation="0" wrapText="1" indent="0" justifyLastLine="0" shrinkToFit="0" readingOrder="0"/>
      <border diagonalUp="0" diagonalDown="0" outline="0">
        <left/>
        <right/>
        <top style="thin">
          <color theme="7" tint="0.39994506668294322"/>
        </top>
        <bottom style="thin">
          <color theme="7" tint="0.39994506668294322"/>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general" vertical="bottom" textRotation="0" wrapText="1" indent="0" justifyLastLine="0" shrinkToFit="0" readingOrder="0"/>
      <border diagonalUp="0" diagonalDown="0" outline="0">
        <left/>
        <right/>
        <top style="thin">
          <color theme="7" tint="0.39994506668294322"/>
        </top>
        <bottom style="thin">
          <color theme="7" tint="0.39994506668294322"/>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left" vertical="bottom" textRotation="0" wrapText="1" indent="0" justifyLastLine="0" shrinkToFit="0" readingOrder="0"/>
      <border diagonalUp="0" diagonalDown="0" outline="0">
        <left/>
        <right/>
        <top style="thin">
          <color theme="7" tint="0.39994506668294322"/>
        </top>
        <bottom style="thin">
          <color theme="7" tint="0.39994506668294322"/>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general" vertical="bottom" textRotation="0" wrapText="1" indent="0" justifyLastLine="0" shrinkToFit="0" readingOrder="0"/>
      <border diagonalUp="0" diagonalDown="0" outline="0">
        <left/>
        <right/>
        <top style="thin">
          <color theme="7" tint="0.39994506668294322"/>
        </top>
        <bottom style="thin">
          <color theme="7" tint="0.39994506668294322"/>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general" vertical="bottom" textRotation="0" wrapText="1" indent="0" justifyLastLine="0" shrinkToFit="0" readingOrder="0"/>
      <border diagonalUp="0" diagonalDown="0">
        <left/>
        <right/>
        <top style="thin">
          <color theme="7" tint="0.39994506668294322"/>
        </top>
        <bottom style="thin">
          <color theme="7" tint="0.39994506668294322"/>
        </bottom>
        <vertical/>
        <horizontal style="thin">
          <color theme="7" tint="0.39994506668294322"/>
        </horizontal>
      </border>
    </dxf>
    <dxf>
      <border>
        <top style="thin">
          <color theme="7" tint="0.39994506668294322"/>
        </top>
      </border>
    </dxf>
    <dxf>
      <border diagonalUp="0" diagonalDown="0">
        <left/>
        <right style="thin">
          <color theme="7" tint="0.39997558519241921"/>
        </right>
      </border>
    </dxf>
    <dxf>
      <font>
        <strike val="0"/>
      </font>
      <fill>
        <patternFill patternType="none"/>
      </fill>
      <alignment horizontal="center" vertical="bottom" textRotation="0" wrapText="1" indent="0" justifyLastLine="0" shrinkToFit="0" readingOrder="0"/>
    </dxf>
    <dxf>
      <border>
        <bottom style="thin">
          <color theme="7" tint="0.39994506668294322"/>
        </bottom>
      </border>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center" vertical="bottom" textRotation="0" wrapText="1" indent="0" justifyLastLine="0" shrinkToFit="0" readingOrder="0"/>
    </dxf>
    <dxf>
      <font>
        <strike val="0"/>
        <outline val="0"/>
        <shadow val="0"/>
        <u val="none"/>
        <vertAlign val="baseline"/>
        <sz val="8"/>
        <name val="Calibri"/>
        <family val="2"/>
      </font>
      <alignment horizontal="left" textRotation="0" wrapText="0" indent="0" justifyLastLine="0" shrinkToFit="0" readingOrder="0"/>
      <border diagonalUp="0" diagonalDown="0" outline="0">
        <left/>
        <right style="medium">
          <color auto="1"/>
        </right>
      </border>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border diagonalUp="0" diagonalDown="0" outline="0">
        <left style="medium">
          <color auto="1"/>
        </left>
        <right/>
        <top/>
        <bottom/>
      </border>
    </dxf>
    <dxf>
      <font>
        <b val="0"/>
        <i val="0"/>
        <strike val="0"/>
        <condense val="0"/>
        <extend val="0"/>
        <outline val="0"/>
        <shadow val="0"/>
        <u val="none"/>
        <vertAlign val="baseline"/>
        <sz val="8"/>
        <color theme="1"/>
        <name val="Calibri"/>
        <family val="2"/>
        <scheme val="minor"/>
      </font>
      <numFmt numFmtId="165" formatCode="&quot;$&quot;#,##0.00"/>
      <alignment horizontal="left" vertical="bottom" textRotation="0" wrapText="0" indent="0" justifyLastLine="0" shrinkToFit="0" readingOrder="0"/>
      <border diagonalUp="0" diagonalDown="0" outline="0">
        <left style="medium">
          <color auto="1"/>
        </left>
        <right style="medium">
          <color auto="1"/>
        </right>
        <top/>
        <bottom/>
      </border>
    </dxf>
    <dxf>
      <font>
        <strike val="0"/>
        <outline val="0"/>
        <shadow val="0"/>
        <u val="none"/>
        <vertAlign val="baseline"/>
        <sz val="8"/>
        <name val="Calibri"/>
        <family val="2"/>
      </font>
      <numFmt numFmtId="19" formatCode="m/d/yyyy"/>
      <alignment horizontal="left" vertical="bottom" textRotation="0" wrapText="0" indent="0" justifyLastLine="0" shrinkToFit="0" readingOrder="0"/>
      <border diagonalUp="0" diagonalDown="0" outline="0">
        <left/>
        <right style="medium">
          <color auto="1"/>
        </right>
        <top/>
        <bottom/>
      </border>
    </dxf>
    <dxf>
      <font>
        <strike val="0"/>
        <outline val="0"/>
        <shadow val="0"/>
        <u val="none"/>
        <vertAlign val="baseline"/>
        <sz val="8"/>
        <name val="Calibri"/>
        <family val="2"/>
      </font>
      <numFmt numFmtId="165" formatCode="&quot;$&quot;#,##0.00"/>
      <alignment horizontal="left" vertical="bottom" textRotation="0" wrapText="0" indent="0" justifyLastLine="0" shrinkToFit="0" readingOrder="0"/>
    </dxf>
    <dxf>
      <font>
        <strike val="0"/>
        <outline val="0"/>
        <shadow val="0"/>
        <u val="none"/>
        <vertAlign val="baseline"/>
        <sz val="8"/>
        <name val="Calibri"/>
        <family val="2"/>
      </font>
      <numFmt numFmtId="165" formatCode="&quot;$&quot;#,##0.00"/>
      <alignment horizontal="left" vertical="bottom" textRotation="0" wrapText="0" indent="0" justifyLastLine="0" shrinkToFit="0" readingOrder="0"/>
    </dxf>
    <dxf>
      <font>
        <strike val="0"/>
        <outline val="0"/>
        <shadow val="0"/>
        <u val="none"/>
        <vertAlign val="baseline"/>
        <sz val="8"/>
        <name val="Calibri"/>
        <family val="2"/>
      </font>
      <numFmt numFmtId="1" formatCode="0"/>
      <alignment horizontal="left" vertical="bottom" textRotation="0" wrapText="0" indent="0" justifyLastLine="0" shrinkToFit="0" readingOrder="0"/>
    </dxf>
    <dxf>
      <font>
        <strike val="0"/>
        <outline val="0"/>
        <shadow val="0"/>
        <u val="none"/>
        <vertAlign val="baseline"/>
        <sz val="8"/>
        <color auto="1"/>
        <name val="Calibri"/>
        <family val="2"/>
      </font>
      <numFmt numFmtId="22" formatCode="mmm\-yy"/>
      <alignment horizontal="left" vertical="bottom" textRotation="0" wrapText="0" indent="0" justifyLastLine="0" shrinkToFit="0" readingOrder="0"/>
      <border diagonalUp="0" diagonalDown="0" outline="0">
        <left style="medium">
          <color auto="1"/>
        </left>
        <right/>
        <top/>
        <bottom/>
      </border>
    </dxf>
    <dxf>
      <font>
        <b val="0"/>
        <strike val="0"/>
        <outline val="0"/>
        <shadow val="0"/>
        <u val="none"/>
        <vertAlign val="baseline"/>
        <sz val="9"/>
        <name val="Calibri"/>
        <family val="2"/>
      </font>
      <alignment horizontal="general" vertical="bottom" textRotation="0" wrapText="0" indent="0" justifyLastLine="0" shrinkToFit="0" readingOrder="0"/>
      <border diagonalUp="0" diagonalDown="0" outline="0">
        <left/>
        <right style="medium">
          <color auto="1"/>
        </right>
      </border>
    </dxf>
    <dxf>
      <font>
        <b val="0"/>
        <strike val="0"/>
        <outline val="0"/>
        <shadow val="0"/>
        <u val="none"/>
        <vertAlign val="baseline"/>
        <sz val="9"/>
        <name val="Calibri"/>
        <family val="2"/>
      </font>
      <numFmt numFmtId="1" formatCode="0"/>
      <alignment horizontal="general" vertical="bottom" textRotation="0" wrapText="0" indent="0" justifyLastLine="0" shrinkToFit="0" readingOrder="0"/>
      <border diagonalUp="0" diagonalDown="0" outline="0">
        <left style="medium">
          <color auto="1"/>
        </left>
        <right/>
      </border>
    </dxf>
    <dxf>
      <numFmt numFmtId="1" formatCode="0"/>
      <alignment textRotation="0" wrapText="0" indent="0" justifyLastLine="0" shrinkToFit="0" readingOrder="0"/>
      <border diagonalUp="0" diagonalDown="0" outline="0">
        <left style="medium">
          <color auto="1"/>
        </left>
        <right style="medium">
          <color auto="1"/>
        </right>
        <top/>
        <bottom/>
      </border>
    </dxf>
    <dxf>
      <numFmt numFmtId="164" formatCode="&quot;$&quot;#,##0"/>
      <alignment horizontal="right" vertical="bottom" textRotation="0" wrapText="0" indent="0" justifyLastLine="0" shrinkToFit="0" readingOrder="0"/>
      <border diagonalUp="0" diagonalDown="0" outline="0">
        <left/>
        <right style="medium">
          <color auto="1"/>
        </right>
        <top/>
        <bottom/>
      </border>
    </dxf>
    <dxf>
      <numFmt numFmtId="165" formatCode="&quot;$&quot;#,##0.00"/>
      <fill>
        <patternFill patternType="solid">
          <fgColor indexed="64"/>
          <bgColor rgb="FFFFFF00"/>
        </patternFill>
      </fill>
      <alignment horizontal="right" vertical="bottom" textRotation="0" wrapText="0" indent="0" justifyLastLine="0" shrinkToFit="0" readingOrder="0"/>
    </dxf>
    <dxf>
      <numFmt numFmtId="165" formatCode="&quot;$&quot;#,##0.00"/>
      <alignment horizontal="left" vertical="bottom" textRotation="0" wrapText="0" indent="0" justifyLastLine="0" shrinkToFit="0" readingOrder="0"/>
    </dxf>
    <dxf>
      <numFmt numFmtId="165" formatCode="&quot;$&quot;#,##0.00"/>
      <alignment horizontal="right" vertical="bottom" textRotation="0" wrapText="0" indent="0" justifyLastLine="0" shrinkToFit="0" readingOrder="0"/>
    </dxf>
    <dxf>
      <numFmt numFmtId="165" formatCode="&quot;$&quot;#,##0.00"/>
      <alignment horizontal="right" vertical="bottom" textRotation="0" wrapText="0" indent="0" justifyLastLine="0" shrinkToFit="0" readingOrder="0"/>
    </dxf>
    <dxf>
      <numFmt numFmtId="165" formatCode="&quot;$&quot;#,##0.00"/>
      <alignment horizontal="right" vertical="bottom" textRotation="0" wrapText="0" indent="0" justifyLastLine="0" shrinkToFit="0" readingOrder="0"/>
    </dxf>
    <dxf>
      <numFmt numFmtId="164" formatCode="&quot;$&quot;#,##0"/>
      <alignment horizontal="right" vertical="bottom" textRotation="0" wrapText="0" indent="0" justifyLastLine="0" shrinkToFit="0" readingOrder="0"/>
    </dxf>
    <dxf>
      <numFmt numFmtId="165" formatCode="&quot;$&quot;#,##0.00"/>
      <alignment horizontal="right" vertical="bottom" textRotation="0" wrapText="0" indent="0" justifyLastLine="0" shrinkToFit="0" readingOrder="0"/>
    </dxf>
    <dxf>
      <numFmt numFmtId="164" formatCode="&quot;$&quot;#,##0"/>
      <alignment horizontal="right" vertical="bottom" textRotation="0" wrapText="0" indent="0" justifyLastLine="0" shrinkToFit="0" readingOrder="0"/>
    </dxf>
    <dxf>
      <numFmt numFmtId="165" formatCode="&quot;$&quot;#,##0.00"/>
      <alignment horizontal="right" vertical="bottom" textRotation="0" wrapText="0" indent="0" justifyLastLine="0" shrinkToFit="0" readingOrder="0"/>
    </dxf>
    <dxf>
      <numFmt numFmtId="164" formatCode="&quot;$&quot;#,##0"/>
      <alignment horizontal="right" vertical="bottom" textRotation="0" wrapText="0" indent="0" justifyLastLine="0" shrinkToFit="0" readingOrder="0"/>
    </dxf>
    <dxf>
      <numFmt numFmtId="164" formatCode="&quot;$&quot;#,##0"/>
      <alignment horizontal="right" vertical="bottom" textRotation="0" wrapText="0" indent="0" justifyLastLine="0" shrinkToFit="0" readingOrder="0"/>
    </dxf>
    <dxf>
      <numFmt numFmtId="19" formatCode="m/d/yyyy"/>
      <alignment horizontal="center" vertical="bottom" textRotation="0" wrapText="0" indent="0" justifyLastLine="0" shrinkToFit="0" readingOrder="0"/>
      <border diagonalUp="0" diagonalDown="0" outline="0">
        <left style="medium">
          <color auto="1"/>
        </left>
        <right/>
        <top/>
        <bottom/>
      </border>
    </dxf>
    <dxf>
      <font>
        <color auto="1"/>
      </font>
      <numFmt numFmtId="14" formatCode="0.00%"/>
      <fill>
        <patternFill patternType="none">
          <fgColor indexed="64"/>
          <bgColor auto="1"/>
        </patternFill>
      </fill>
      <alignment horizontal="center" vertical="bottom" textRotation="0" wrapText="0" indent="0" justifyLastLine="0" shrinkToFit="0" readingOrder="0"/>
      <border diagonalUp="0" diagonalDown="0" outline="0">
        <left/>
        <right style="medium">
          <color auto="1"/>
        </right>
        <top/>
        <bottom/>
      </border>
    </dxf>
    <dxf>
      <font>
        <b val="0"/>
        <i val="0"/>
        <strike val="0"/>
        <condense val="0"/>
        <extend val="0"/>
        <outline val="0"/>
        <shadow val="0"/>
        <u val="none"/>
        <vertAlign val="baseline"/>
        <sz val="11"/>
        <color auto="1"/>
        <name val="Calibri"/>
        <family val="2"/>
        <scheme val="minor"/>
      </font>
      <numFmt numFmtId="19" formatCode="m/d/yyyy"/>
      <fill>
        <patternFill patternType="solid">
          <fgColor indexed="64"/>
          <bgColor rgb="FFFF0000"/>
        </patternFill>
      </fill>
      <alignment horizontal="center" vertical="bottom" textRotation="0" wrapText="0" indent="0" justifyLastLine="0" shrinkToFit="0" readingOrder="0"/>
    </dxf>
    <dxf>
      <fill>
        <patternFill patternType="none">
          <fgColor indexed="64"/>
          <bgColor auto="1"/>
        </patternFill>
      </fill>
      <alignment textRotation="0" wrapText="0" indent="0" justifyLastLine="0" shrinkToFit="0" readingOrder="0"/>
    </dxf>
    <dxf>
      <fill>
        <patternFill patternType="none">
          <fgColor indexed="64"/>
          <bgColor auto="1"/>
        </patternFill>
      </fill>
      <alignment textRotation="0" wrapText="0" indent="0" justifyLastLine="0" shrinkToFit="0" readingOrder="0"/>
      <border diagonalUp="0" diagonalDown="0" outline="0">
        <left style="medium">
          <color auto="1"/>
        </left>
        <right/>
        <top/>
        <bottom/>
      </border>
    </dxf>
    <dxf>
      <numFmt numFmtId="19" formatCode="m/d/yyyy"/>
      <alignment textRotation="0" wrapText="0" indent="0" justifyLastLine="0" shrinkToFit="0" readingOrder="0"/>
      <border diagonalUp="0" diagonalDown="0" outline="0">
        <left/>
        <right style="medium">
          <color auto="1"/>
        </right>
        <top/>
        <bottom/>
      </border>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border diagonalUp="0" diagonalDown="0" outline="0">
        <left style="medium">
          <color auto="1"/>
        </left>
        <right/>
        <top/>
        <bottom/>
      </border>
    </dxf>
    <dxf>
      <alignment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1"/>
        <color auto="1"/>
        <name val="Calibri"/>
        <family val="2"/>
        <scheme val="minor"/>
      </font>
      <numFmt numFmtId="165" formatCode="&quot;$&quot;#,##0.00"/>
      <alignment horizontal="center" vertical="bottom"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1"/>
        <color auto="1"/>
        <name val="Calibri"/>
        <family val="2"/>
        <scheme val="minor"/>
      </font>
      <numFmt numFmtId="19" formatCode="m/d/yyyy"/>
      <fill>
        <patternFill patternType="solid">
          <fgColor indexed="64"/>
          <bgColor rgb="FFFFFF00"/>
        </patternFill>
      </fill>
      <alignment horizontal="center" vertical="bottom" textRotation="0" wrapText="0" indent="0" justifyLastLine="0" shrinkToFit="0" readingOrder="0"/>
      <border diagonalUp="0" diagonalDown="0" outline="0">
        <left style="medium">
          <color auto="1"/>
        </left>
        <right style="medium">
          <color auto="1"/>
        </right>
        <top/>
        <bottom/>
      </border>
    </dxf>
    <dxf>
      <numFmt numFmtId="165" formatCode="&quot;$&quot;#,##0.00"/>
      <alignment horizontal="right" textRotation="0" wrapText="0" indent="0" justifyLastLine="0" shrinkToFit="0" readingOrder="0"/>
      <border diagonalUp="0" diagonalDown="0" outline="0">
        <left/>
        <right style="medium">
          <color auto="1"/>
        </right>
        <top/>
        <bottom/>
      </border>
    </dxf>
    <dxf>
      <numFmt numFmtId="165" formatCode="&quot;$&quot;#,##0.00"/>
      <alignment horizontal="right" textRotation="0" wrapText="0" indent="0" justifyLastLine="0" shrinkToFit="0" readingOrder="0"/>
    </dxf>
    <dxf>
      <font>
        <strike val="0"/>
        <outline val="0"/>
        <shadow val="0"/>
        <u val="none"/>
        <vertAlign val="baseline"/>
        <sz val="11"/>
        <color auto="1"/>
        <name val="Calibri"/>
        <family val="2"/>
        <scheme val="minor"/>
      </font>
      <numFmt numFmtId="165" formatCode="&quot;$&quot;#,##0.00"/>
      <fill>
        <patternFill patternType="solid">
          <fgColor indexed="64"/>
          <bgColor theme="0" tint="-0.14999847407452621"/>
        </patternFill>
      </fill>
      <alignment horizontal="right" textRotation="0" wrapText="0" indent="0" justifyLastLine="0" shrinkToFit="0" readingOrder="0"/>
    </dxf>
    <dxf>
      <numFmt numFmtId="165" formatCode="&quot;$&quot;#,##0.00"/>
      <alignment horizontal="right" textRotation="0" wrapText="0" indent="0" justifyLastLine="0" shrinkToFit="0" readingOrder="0"/>
      <border diagonalUp="0" diagonalDown="0" outline="0">
        <left style="medium">
          <color auto="1"/>
        </left>
        <right/>
        <top/>
        <bottom/>
      </border>
    </dxf>
    <dxf>
      <font>
        <b val="0"/>
        <i val="0"/>
        <strike val="0"/>
        <condense val="0"/>
        <extend val="0"/>
        <outline val="0"/>
        <shadow val="0"/>
        <u val="none"/>
        <vertAlign val="baseline"/>
        <sz val="11"/>
        <color theme="1"/>
        <name val="Calibri"/>
        <family val="2"/>
        <scheme val="minor"/>
      </font>
      <numFmt numFmtId="3" formatCode="#,##0"/>
      <alignment horizontal="right" vertical="bottom"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1"/>
        <color theme="1"/>
        <name val="Calibri"/>
        <family val="2"/>
        <scheme val="minor"/>
      </font>
      <numFmt numFmtId="3" formatCode="#,##0"/>
      <fill>
        <patternFill patternType="none">
          <fgColor indexed="64"/>
          <bgColor auto="1"/>
        </patternFill>
      </fill>
      <alignment horizontal="right" vertical="bottom"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1"/>
        <color theme="1"/>
        <name val="Calibri"/>
        <family val="2"/>
        <scheme val="minor"/>
      </font>
      <numFmt numFmtId="165" formatCode="&quot;$&quot;#,##0.00"/>
      <alignment horizontal="right" vertical="bottom" textRotation="0" wrapText="0" indent="0" justifyLastLine="0" shrinkToFit="0" readingOrder="0"/>
      <border diagonalUp="0" diagonalDown="0" outline="0">
        <left/>
        <right style="medium">
          <color auto="1"/>
        </right>
        <top/>
        <bottom/>
      </border>
    </dxf>
    <dxf>
      <font>
        <b val="0"/>
        <i val="0"/>
        <strike val="0"/>
        <condense val="0"/>
        <extend val="0"/>
        <outline val="0"/>
        <shadow val="0"/>
        <u val="none"/>
        <vertAlign val="baseline"/>
        <sz val="11"/>
        <color theme="1"/>
        <name val="Calibri"/>
        <family val="2"/>
        <scheme val="minor"/>
      </font>
      <numFmt numFmtId="165" formatCode="&quot;$&quot;#,##0.00"/>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quot;$&quot;#,##0.00"/>
      <alignment horizontal="right" vertical="bottom" textRotation="0" wrapText="0" indent="0" justifyLastLine="0" shrinkToFit="0" readingOrder="0"/>
      <border diagonalUp="0" diagonalDown="0" outline="0">
        <left style="medium">
          <color auto="1"/>
        </left>
        <right/>
        <top/>
        <bottom/>
      </border>
    </dxf>
    <dxf>
      <font>
        <b/>
        <i val="0"/>
        <strike val="0"/>
        <condense val="0"/>
        <extend val="0"/>
        <outline val="0"/>
        <shadow val="0"/>
        <u val="none"/>
        <vertAlign val="baseline"/>
        <sz val="11"/>
        <color rgb="FF000000"/>
        <name val="Calibri"/>
        <family val="2"/>
        <scheme val="minor"/>
      </font>
      <numFmt numFmtId="14" formatCode="0.00%"/>
      <alignment horizontal="right" vertical="bottom" textRotation="0" wrapText="0" indent="0" justifyLastLine="0" shrinkToFit="0" readingOrder="0"/>
      <border diagonalUp="0" diagonalDown="0">
        <left style="medium">
          <color auto="1"/>
        </left>
        <right style="medium">
          <color auto="1"/>
        </right>
        <top/>
        <bottom/>
        <vertical/>
        <horizontal/>
      </border>
    </dxf>
    <dxf>
      <font>
        <b/>
      </font>
      <numFmt numFmtId="165" formatCode="&quot;$&quot;#,##0.00"/>
      <alignment horizontal="right" vertical="bottom" textRotation="0" wrapText="0" indent="0" justifyLastLine="0" shrinkToFit="0" readingOrder="0"/>
      <border diagonalUp="0" diagonalDown="0" outline="0">
        <left style="medium">
          <color auto="1"/>
        </left>
        <right style="medium">
          <color auto="1"/>
        </right>
        <top/>
        <bottom/>
      </border>
    </dxf>
    <dxf>
      <numFmt numFmtId="1" formatCode="0"/>
      <alignment horizontal="center" vertical="bottom" textRotation="0" wrapText="0" indent="0" justifyLastLine="0" shrinkToFit="0" readingOrder="0"/>
      <border diagonalUp="0" diagonalDown="0">
        <left style="medium">
          <color auto="1"/>
        </left>
        <right style="medium">
          <color auto="1"/>
        </right>
        <top/>
        <bottom/>
        <vertical/>
        <horizontal/>
      </border>
    </dxf>
    <dxf>
      <numFmt numFmtId="19" formatCode="m/d/yyyy"/>
      <alignment horizontal="right" textRotation="0" wrapText="0" indent="0" justifyLastLine="0" shrinkToFit="0" readingOrder="0"/>
      <border diagonalUp="0" diagonalDown="0">
        <left style="medium">
          <color auto="1"/>
        </left>
        <right style="medium">
          <color auto="1"/>
        </right>
        <top/>
        <bottom/>
        <vertical/>
        <horizontal/>
      </border>
    </dxf>
    <dxf>
      <numFmt numFmtId="19" formatCode="m/d/yyyy"/>
      <alignment textRotation="0" wrapText="0" indent="0" justifyLastLine="0" shrinkToFit="0" readingOrder="0"/>
      <border diagonalUp="0" diagonalDown="0" outline="0">
        <left/>
        <right style="medium">
          <color auto="1"/>
        </right>
        <top/>
        <bottom/>
      </border>
    </dxf>
    <dxf>
      <font>
        <b val="0"/>
      </font>
      <alignmen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 formatCode="0"/>
      <alignment textRotation="0" wrapText="0" indent="0" justifyLastLine="0" shrinkToFit="0" readingOrder="0"/>
    </dxf>
    <dxf>
      <font>
        <b val="0"/>
      </font>
      <alignment textRotation="0" wrapText="0" indent="0" justifyLastLine="0" shrinkToFit="0" readingOrder="0"/>
    </dxf>
    <dxf>
      <font>
        <b val="0"/>
      </font>
      <alignment horizontal="right" textRotation="0" wrapText="0" indent="0" justifyLastLine="0" shrinkToFit="0" readingOrder="0"/>
    </dxf>
    <dxf>
      <font>
        <b val="0"/>
      </font>
      <alignment textRotation="0" wrapText="0" indent="0" justifyLastLine="0" shrinkToFit="0" readingOrder="0"/>
    </dxf>
    <dxf>
      <font>
        <b val="0"/>
      </font>
      <numFmt numFmtId="30" formatCode="@"/>
      <alignment horizontal="general" vertical="bottom" textRotation="0" wrapText="0" indent="0" justifyLastLine="0" shrinkToFit="0" readingOrder="0"/>
    </dxf>
    <dxf>
      <font>
        <b val="0"/>
      </font>
      <alignment textRotation="0" wrapText="0" indent="0" justifyLastLine="0" shrinkToFit="0" readingOrder="0"/>
    </dxf>
    <dxf>
      <font>
        <b val="0"/>
      </font>
      <alignment textRotation="0" wrapText="0" indent="0" justifyLastLine="0" shrinkToFit="0" readingOrder="0"/>
    </dxf>
    <dxf>
      <font>
        <b val="0"/>
      </font>
      <alignment textRotation="0" wrapText="0" indent="0" justifyLastLine="0" shrinkToFit="0" readingOrder="0"/>
    </dxf>
    <dxf>
      <font>
        <b val="0"/>
      </font>
      <alignment textRotation="0" wrapText="0" indent="0" justifyLastLine="0" shrinkToFit="0" readingOrder="0"/>
    </dxf>
    <dxf>
      <font>
        <b val="0"/>
      </font>
      <alignment textRotation="0" wrapText="0" indent="0" justifyLastLine="0" shrinkToFit="0" readingOrder="0"/>
    </dxf>
    <dxf>
      <font>
        <b val="0"/>
      </font>
      <alignment textRotation="0" wrapText="0" indent="0" justifyLastLine="0" shrinkToFit="0" readingOrder="0"/>
    </dxf>
    <dxf>
      <font>
        <b val="0"/>
      </font>
      <alignment textRotation="0" wrapText="0" indent="0" justifyLastLine="0" shrinkToFit="0" readingOrder="0"/>
    </dxf>
    <dxf>
      <font>
        <b val="0"/>
      </font>
    </dxf>
    <dxf>
      <font>
        <b val="0"/>
      </font>
      <alignment textRotation="0" wrapText="0" indent="0" justifyLastLine="0" shrinkToFit="0" readingOrder="0"/>
    </dxf>
    <dxf>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indexed="64"/>
          <bgColor theme="0" tint="-0.34998626667073579"/>
        </patternFill>
      </fill>
      <alignment horizontal="left" vertical="bottom" textRotation="0" wrapText="0" indent="0" justifyLastLine="0" shrinkToFit="0" readingOrder="0"/>
      <border diagonalUp="0" diagonalDown="0" outline="0">
        <left/>
        <right style="medium">
          <color auto="1"/>
        </right>
        <top/>
        <bottom/>
      </border>
    </dxf>
    <dxf>
      <font>
        <strike val="0"/>
        <outline val="0"/>
        <shadow val="0"/>
        <u val="none"/>
        <vertAlign val="baseline"/>
        <sz val="8"/>
        <name val="Calibri"/>
        <family val="2"/>
      </font>
      <alignment horizontal="left" textRotation="0" wrapText="0" indent="0" justifyLastLine="0" shrinkToFit="0" readingOrder="0"/>
      <border diagonalUp="0" diagonalDown="0" outline="0">
        <left/>
        <right style="medium">
          <color auto="1"/>
        </right>
      </border>
    </dxf>
    <dxf>
      <font>
        <b val="0"/>
        <i val="0"/>
        <strike val="0"/>
        <condense val="0"/>
        <extend val="0"/>
        <outline val="0"/>
        <shadow val="0"/>
        <u val="none"/>
        <vertAlign val="baseline"/>
        <sz val="8"/>
        <color theme="1"/>
        <name val="Calibri"/>
        <family val="2"/>
        <scheme val="minor"/>
      </font>
      <numFmt numFmtId="3" formatCode="#,##0"/>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 formatCode="#,##0"/>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8"/>
        <name val="Calibri"/>
        <family val="2"/>
      </font>
      <numFmt numFmtId="3" formatCode="#,##0"/>
      <alignment horizontal="center" textRotation="0" wrapText="0" indent="0" justifyLastLine="0" shrinkToFit="0" readingOrder="0"/>
      <border diagonalUp="0" diagonalDown="0" outline="0">
        <left style="medium">
          <color auto="1"/>
        </left>
        <right/>
        <top/>
        <bottom/>
      </border>
    </dxf>
    <dxf>
      <font>
        <b val="0"/>
        <i val="0"/>
        <strike val="0"/>
        <condense val="0"/>
        <extend val="0"/>
        <outline val="0"/>
        <shadow val="0"/>
        <u val="none"/>
        <vertAlign val="baseline"/>
        <sz val="8"/>
        <color theme="1"/>
        <name val="Calibri"/>
        <family val="2"/>
        <scheme val="minor"/>
      </font>
      <numFmt numFmtId="165" formatCode="&quot;$&quot;#,##0.00"/>
      <alignment horizontal="right" vertical="bottom"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8"/>
        <color theme="1"/>
        <name val="Calibri"/>
        <family val="2"/>
        <scheme val="minor"/>
      </font>
      <numFmt numFmtId="165" formatCode="&quot;$&quot;#,##0.00"/>
      <alignment horizontal="right" vertical="bottom"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dxf>
    <dxf>
      <font>
        <strike val="0"/>
        <outline val="0"/>
        <shadow val="0"/>
        <u val="none"/>
        <vertAlign val="baseline"/>
        <sz val="8"/>
        <name val="Calibri"/>
        <family val="2"/>
      </font>
      <numFmt numFmtId="19" formatCode="m/d/yyyy"/>
      <alignment horizontal="left" vertical="bottom" textRotation="0" wrapText="0" indent="0" justifyLastLine="0" shrinkToFit="0" readingOrder="0"/>
      <border diagonalUp="0" diagonalDown="0" outline="0">
        <left/>
        <right style="medium">
          <color auto="1"/>
        </right>
        <top/>
        <bottom/>
      </border>
    </dxf>
    <dxf>
      <font>
        <b val="0"/>
        <i val="0"/>
        <strike val="0"/>
        <condense val="0"/>
        <extend val="0"/>
        <outline val="0"/>
        <shadow val="0"/>
        <u val="none"/>
        <vertAlign val="baseline"/>
        <sz val="8"/>
        <color theme="1"/>
        <name val="Calibri"/>
        <family val="2"/>
        <scheme val="minor"/>
      </font>
      <numFmt numFmtId="165" formatCode="&quot;$&quot;#,##0.00"/>
      <alignment horizontal="left" vertical="bottom" textRotation="0" wrapText="0" indent="0" justifyLastLine="0" shrinkToFit="0" readingOrder="0"/>
    </dxf>
    <dxf>
      <font>
        <strike val="0"/>
        <outline val="0"/>
        <shadow val="0"/>
        <u val="none"/>
        <vertAlign val="baseline"/>
        <sz val="8"/>
        <name val="Calibri"/>
        <family val="2"/>
      </font>
      <numFmt numFmtId="165" formatCode="&quot;$&quot;#,##0.00"/>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5" formatCode="&quot;$&quot;#,##0.00"/>
      <alignment horizontal="left" vertical="bottom" textRotation="0" wrapText="0" indent="0" justifyLastLine="0" shrinkToFit="0" readingOrder="0"/>
    </dxf>
    <dxf>
      <font>
        <strike val="0"/>
        <outline val="0"/>
        <shadow val="0"/>
        <u val="none"/>
        <vertAlign val="baseline"/>
        <sz val="8"/>
        <name val="Calibri"/>
        <family val="2"/>
      </font>
      <numFmt numFmtId="165" formatCode="&quot;$&quot;#,##0.00"/>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 formatCode="0"/>
      <alignment horizontal="left" vertical="bottom" textRotation="0" wrapText="0" indent="0" justifyLastLine="0" shrinkToFit="0" readingOrder="0"/>
    </dxf>
    <dxf>
      <font>
        <strike val="0"/>
        <outline val="0"/>
        <shadow val="0"/>
        <u val="none"/>
        <vertAlign val="baseline"/>
        <sz val="8"/>
        <name val="Calibri"/>
        <family val="2"/>
      </font>
      <numFmt numFmtId="1" formatCode="0"/>
      <alignment horizontal="left" vertical="bottom" textRotation="0" wrapText="0" indent="0" justifyLastLine="0" shrinkToFit="0" readingOrder="0"/>
    </dxf>
    <dxf>
      <font>
        <b val="0"/>
        <i val="0"/>
        <strike val="0"/>
        <condense val="0"/>
        <extend val="0"/>
        <outline val="0"/>
        <shadow val="0"/>
        <u val="none"/>
        <vertAlign val="baseline"/>
        <sz val="8"/>
        <color auto="1"/>
        <name val="Calibri"/>
        <family val="2"/>
        <scheme val="minor"/>
      </font>
      <numFmt numFmtId="22" formatCode="mmm\-yy"/>
      <alignment horizontal="left" vertical="bottom" textRotation="0" wrapText="0" indent="0" justifyLastLine="0" shrinkToFit="0" readingOrder="0"/>
      <border diagonalUp="0" diagonalDown="0" outline="0">
        <left style="medium">
          <color auto="1"/>
        </left>
        <right/>
        <top/>
        <bottom/>
      </border>
    </dxf>
    <dxf>
      <font>
        <strike val="0"/>
        <outline val="0"/>
        <shadow val="0"/>
        <u val="none"/>
        <vertAlign val="baseline"/>
        <sz val="8"/>
        <color auto="1"/>
        <name val="Calibri"/>
        <family val="2"/>
      </font>
      <numFmt numFmtId="22" formatCode="mmm\-yy"/>
      <alignment horizontal="left" vertical="bottom" textRotation="0" wrapText="0" indent="0" justifyLastLine="0" shrinkToFit="0" readingOrder="0"/>
      <border diagonalUp="0" diagonalDown="0" outline="0">
        <left style="medium">
          <color auto="1"/>
        </left>
        <right/>
        <top/>
        <bottom/>
      </border>
    </dxf>
    <dxf>
      <font>
        <b val="0"/>
        <i val="0"/>
        <strike val="0"/>
        <condense val="0"/>
        <extend val="0"/>
        <outline val="0"/>
        <shadow val="0"/>
        <u val="none"/>
        <vertAlign val="baseline"/>
        <sz val="9"/>
        <color theme="1"/>
        <name val="Calibri"/>
        <family val="2"/>
        <scheme val="minor"/>
      </font>
      <numFmt numFmtId="19" formatCode="m/d/yyyy"/>
      <border diagonalUp="0" diagonalDown="0" outline="0">
        <left/>
        <right style="medium">
          <color auto="1"/>
        </right>
        <top/>
        <bottom/>
      </border>
    </dxf>
    <dxf>
      <font>
        <b val="0"/>
        <strike val="0"/>
        <outline val="0"/>
        <shadow val="0"/>
        <u val="none"/>
        <vertAlign val="baseline"/>
        <sz val="9"/>
        <name val="Calibri"/>
        <family val="2"/>
      </font>
      <alignment horizontal="general" vertical="bottom" textRotation="0" wrapText="0" indent="0" justifyLastLine="0" shrinkToFit="0" readingOrder="0"/>
      <border diagonalUp="0" diagonalDown="0" outline="0">
        <left/>
        <right style="medium">
          <color auto="1"/>
        </right>
      </border>
    </dxf>
    <dxf>
      <font>
        <b val="0"/>
        <i val="0"/>
        <strike val="0"/>
        <condense val="0"/>
        <extend val="0"/>
        <outline val="0"/>
        <shadow val="0"/>
        <u val="none"/>
        <vertAlign val="baseline"/>
        <sz val="9"/>
        <color theme="1"/>
        <name val="Calibri"/>
        <family val="2"/>
        <scheme val="minor"/>
      </font>
      <numFmt numFmtId="1" formatCode="0"/>
    </dxf>
    <dxf>
      <font>
        <b val="0"/>
        <strike val="0"/>
        <outline val="0"/>
        <shadow val="0"/>
        <u val="none"/>
        <vertAlign val="baseline"/>
        <sz val="9"/>
        <name val="Calibri"/>
        <family val="2"/>
      </font>
      <numFmt numFmtId="1" formatCode="0"/>
      <alignment horizontal="general" vertical="bottom" textRotation="0" wrapText="0" indent="0" justifyLastLine="0" shrinkToFit="0" readingOrder="0"/>
      <border diagonalUp="0" diagonalDown="0" outline="0">
        <left style="medium">
          <color auto="1"/>
        </left>
        <right/>
      </border>
    </dxf>
    <dxf>
      <numFmt numFmtId="1" formatCode="0"/>
      <fill>
        <patternFill patternType="solid">
          <fgColor indexed="64"/>
          <bgColor theme="0" tint="-0.249977111117893"/>
        </patternFill>
      </fill>
      <alignment horizontal="right" vertical="bottom" textRotation="0" wrapText="0" indent="0" justifyLastLine="0" shrinkToFit="0" readingOrder="0"/>
      <border diagonalUp="0" diagonalDown="0" outline="0">
        <left style="medium">
          <color auto="1"/>
        </left>
        <right/>
        <top/>
        <bottom/>
      </border>
    </dxf>
    <dxf>
      <numFmt numFmtId="1" formatCode="0"/>
      <alignment horizontal="right" vertical="bottom" textRotation="0" wrapText="0" indent="0" justifyLastLine="0" shrinkToFit="0" readingOrder="0"/>
      <border diagonalUp="0" diagonalDown="0">
        <left style="medium">
          <color auto="1"/>
        </left>
        <right/>
        <top/>
        <bottom/>
        <vertical/>
        <horizontal/>
      </border>
    </dxf>
    <dxf>
      <numFmt numFmtId="1" formatCode="0"/>
      <fill>
        <patternFill patternType="solid">
          <fgColor indexed="64"/>
          <bgColor theme="0" tint="-0.249977111117893"/>
        </patternFill>
      </fill>
      <alignment horizontal="right" vertical="bottom" textRotation="0" wrapText="0" indent="0" justifyLastLine="0" shrinkToFit="0" readingOrder="0"/>
      <border diagonalUp="0" diagonalDown="0" outline="0">
        <left style="medium">
          <color auto="1"/>
        </left>
        <right/>
        <top/>
        <bottom/>
      </border>
    </dxf>
    <dxf>
      <numFmt numFmtId="1" formatCode="0"/>
      <alignment textRotation="0" wrapText="0" indent="0" justifyLastLine="0" shrinkToFit="0" readingOrder="0"/>
      <border diagonalUp="0" diagonalDown="0" outline="0">
        <left style="medium">
          <color auto="1"/>
        </left>
        <right style="medium">
          <color auto="1"/>
        </right>
        <top/>
        <bottom/>
      </border>
    </dxf>
    <dxf>
      <numFmt numFmtId="164" formatCode="&quot;$&quot;#,##0"/>
      <fill>
        <patternFill patternType="solid">
          <fgColor indexed="64"/>
          <bgColor theme="0" tint="-0.249977111117893"/>
        </patternFill>
      </fill>
      <alignment horizontal="right" vertical="bottom" textRotation="0" wrapText="0" indent="0" justifyLastLine="0" shrinkToFit="0" readingOrder="0"/>
      <border diagonalUp="0" diagonalDown="0" outline="0">
        <left/>
        <right style="medium">
          <color auto="1"/>
        </right>
        <top/>
        <bottom/>
      </border>
    </dxf>
    <dxf>
      <numFmt numFmtId="164" formatCode="&quot;$&quot;#,##0"/>
      <alignment horizontal="right" vertical="bottom" textRotation="0" wrapText="0" indent="0" justifyLastLine="0" shrinkToFit="0" readingOrder="0"/>
      <border diagonalUp="0" diagonalDown="0" outline="0">
        <left/>
        <right style="medium">
          <color auto="1"/>
        </right>
        <top/>
        <bottom/>
      </border>
    </dxf>
    <dxf>
      <numFmt numFmtId="165" formatCode="&quot;$&quot;#,##0.00"/>
      <fill>
        <patternFill patternType="solid">
          <fgColor indexed="64"/>
          <bgColor theme="0" tint="-0.249977111117893"/>
        </patternFill>
      </fill>
      <alignment horizontal="left" vertical="bottom" textRotation="0" wrapText="0" indent="0" justifyLastLine="0" shrinkToFit="0" readingOrder="0"/>
    </dxf>
    <dxf>
      <numFmt numFmtId="165" formatCode="&quot;$&quot;#,##0.00"/>
      <fill>
        <patternFill patternType="solid">
          <fgColor indexed="64"/>
          <bgColor rgb="FFFFFF00"/>
        </patternFill>
      </fill>
      <alignment horizontal="right" vertical="bottom" textRotation="0" wrapText="0" indent="0" justifyLastLine="0" shrinkToFit="0" readingOrder="0"/>
    </dxf>
    <dxf>
      <numFmt numFmtId="165" formatCode="&quot;$&quot;#,##0.00"/>
      <fill>
        <patternFill patternType="solid">
          <fgColor indexed="64"/>
          <bgColor theme="0" tint="-0.249977111117893"/>
        </patternFill>
      </fill>
      <alignment horizontal="left" vertical="bottom" textRotation="0" wrapText="0" indent="0" justifyLastLine="0" shrinkToFit="0" readingOrder="0"/>
    </dxf>
    <dxf>
      <numFmt numFmtId="165" formatCode="&quot;$&quot;#,##0.00"/>
      <alignment horizontal="left" vertical="bottom" textRotation="0" wrapText="0" indent="0" justifyLastLine="0" shrinkToFit="0" readingOrder="0"/>
    </dxf>
    <dxf>
      <numFmt numFmtId="165" formatCode="&quot;$&quot;#,##0.00"/>
      <fill>
        <patternFill patternType="solid">
          <fgColor indexed="64"/>
          <bgColor theme="0" tint="-0.249977111117893"/>
        </patternFill>
      </fill>
      <alignment horizontal="right" vertical="bottom" textRotation="0" wrapText="0" indent="0" justifyLastLine="0" shrinkToFit="0" readingOrder="0"/>
    </dxf>
    <dxf>
      <numFmt numFmtId="165" formatCode="&quot;$&quot;#,##0.00"/>
      <alignment horizontal="right" vertical="bottom" textRotation="0" wrapText="0" indent="0" justifyLastLine="0" shrinkToFit="0" readingOrder="0"/>
    </dxf>
    <dxf>
      <numFmt numFmtId="165" formatCode="&quot;$&quot;#,##0.00"/>
      <fill>
        <patternFill patternType="solid">
          <fgColor indexed="64"/>
          <bgColor theme="0" tint="-0.249977111117893"/>
        </patternFill>
      </fill>
      <alignment horizontal="right" vertical="bottom" textRotation="0" wrapText="0" indent="0" justifyLastLine="0" shrinkToFit="0" readingOrder="0"/>
    </dxf>
    <dxf>
      <numFmt numFmtId="165" formatCode="&quot;$&quot;#,##0.00"/>
      <alignment horizontal="right" vertical="bottom" textRotation="0" wrapText="0" indent="0" justifyLastLine="0" shrinkToFit="0" readingOrder="0"/>
    </dxf>
    <dxf>
      <numFmt numFmtId="165" formatCode="&quot;$&quot;#,##0.00"/>
      <fill>
        <patternFill patternType="solid">
          <fgColor indexed="64"/>
          <bgColor theme="0" tint="-0.249977111117893"/>
        </patternFill>
      </fill>
      <alignment horizontal="right" vertical="bottom" textRotation="0" wrapText="0" indent="0" justifyLastLine="0" shrinkToFit="0" readingOrder="0"/>
    </dxf>
    <dxf>
      <numFmt numFmtId="165" formatCode="&quot;$&quot;#,##0.00"/>
      <alignment horizontal="right" vertical="bottom" textRotation="0" wrapText="0" indent="0" justifyLastLine="0" shrinkToFit="0" readingOrder="0"/>
    </dxf>
    <dxf>
      <numFmt numFmtId="165" formatCode="&quot;$&quot;#,##0.00"/>
      <fill>
        <patternFill patternType="solid">
          <fgColor indexed="64"/>
          <bgColor theme="0" tint="-0.249977111117893"/>
        </patternFill>
      </fill>
      <alignment horizontal="right" vertical="bottom" textRotation="0" wrapText="0" indent="0" justifyLastLine="0" shrinkToFit="0" readingOrder="0"/>
    </dxf>
    <dxf>
      <numFmt numFmtId="164" formatCode="&quot;$&quot;#,##0"/>
      <alignment horizontal="right" vertical="bottom" textRotation="0" wrapText="0" indent="0" justifyLastLine="0" shrinkToFit="0" readingOrder="0"/>
    </dxf>
    <dxf>
      <numFmt numFmtId="165" formatCode="&quot;$&quot;#,##0.00"/>
      <fill>
        <patternFill patternType="solid">
          <fgColor indexed="64"/>
          <bgColor theme="0" tint="-0.249977111117893"/>
        </patternFill>
      </fill>
      <alignment horizontal="right" vertical="bottom" textRotation="0" wrapText="0" indent="0" justifyLastLine="0" shrinkToFit="0" readingOrder="0"/>
    </dxf>
    <dxf>
      <numFmt numFmtId="165" formatCode="&quot;$&quot;#,##0.00"/>
      <alignment horizontal="right" vertical="bottom" textRotation="0" wrapText="0" indent="0" justifyLastLine="0" shrinkToFit="0" readingOrder="0"/>
    </dxf>
    <dxf>
      <numFmt numFmtId="165" formatCode="&quot;$&quot;#,##0.00"/>
      <fill>
        <patternFill patternType="solid">
          <fgColor indexed="64"/>
          <bgColor theme="0" tint="-0.14999847407452621"/>
        </patternFill>
      </fill>
      <alignment horizontal="right" vertical="bottom" textRotation="0" wrapText="0" indent="0" justifyLastLine="0" shrinkToFit="0" readingOrder="0"/>
    </dxf>
    <dxf>
      <numFmt numFmtId="164" formatCode="&quot;$&quot;#,##0"/>
      <alignment horizontal="right" vertical="bottom" textRotation="0" wrapText="0" indent="0" justifyLastLine="0" shrinkToFit="0" readingOrder="0"/>
    </dxf>
    <dxf>
      <numFmt numFmtId="165" formatCode="&quot;$&quot;#,##0.00"/>
      <fill>
        <patternFill patternType="solid">
          <fgColor indexed="64"/>
          <bgColor theme="0" tint="-0.249977111117893"/>
        </patternFill>
      </fill>
      <alignment horizontal="right" vertical="bottom" textRotation="0" wrapText="0" indent="0" justifyLastLine="0" shrinkToFit="0" readingOrder="0"/>
    </dxf>
    <dxf>
      <numFmt numFmtId="165" formatCode="&quot;$&quot;#,##0.00"/>
      <alignment horizontal="right" vertical="bottom" textRotation="0" wrapText="0" indent="0" justifyLastLine="0" shrinkToFit="0" readingOrder="0"/>
    </dxf>
    <dxf>
      <numFmt numFmtId="1" formatCode="0"/>
      <fill>
        <patternFill patternType="solid">
          <fgColor indexed="64"/>
          <bgColor theme="0" tint="-0.249977111117893"/>
        </patternFill>
      </fill>
      <alignment horizontal="right" vertical="bottom" textRotation="0" wrapText="0" indent="0" justifyLastLine="0" shrinkToFit="0" readingOrder="0"/>
    </dxf>
    <dxf>
      <numFmt numFmtId="164" formatCode="&quot;$&quot;#,##0"/>
      <alignment horizontal="right" vertical="bottom" textRotation="0" wrapText="0" indent="0" justifyLastLine="0" shrinkToFit="0" readingOrder="0"/>
    </dxf>
    <dxf>
      <font>
        <b val="0"/>
        <i val="0"/>
        <strike val="0"/>
        <condense val="0"/>
        <extend val="0"/>
        <outline val="0"/>
        <shadow val="0"/>
        <u val="none"/>
        <vertAlign val="baseline"/>
        <sz val="11"/>
        <color rgb="FF00B0F0"/>
        <name val="Calibri"/>
        <family val="2"/>
        <scheme val="minor"/>
      </font>
      <numFmt numFmtId="19" formatCode="m/d/yyyy"/>
      <fill>
        <patternFill patternType="solid">
          <fgColor indexed="64"/>
          <bgColor theme="0" tint="-0.249977111117893"/>
        </patternFill>
      </fill>
      <alignment horizontal="right" vertical="bottom" textRotation="0" wrapText="0" indent="0" justifyLastLine="0" shrinkToFit="0" readingOrder="0"/>
    </dxf>
    <dxf>
      <numFmt numFmtId="164" formatCode="&quot;$&quot;#,##0"/>
      <alignment horizontal="right" vertical="bottom" textRotation="0" wrapText="0" indent="0" justifyLastLine="0" shrinkToFit="0" readingOrder="0"/>
    </dxf>
    <dxf>
      <numFmt numFmtId="19" formatCode="m/d/yyyy"/>
      <fill>
        <patternFill patternType="solid">
          <fgColor indexed="64"/>
          <bgColor theme="0" tint="-0.249977111117893"/>
        </patternFill>
      </fill>
      <alignment horizontal="center" vertical="bottom" textRotation="0" wrapText="0" indent="0" justifyLastLine="0" shrinkToFit="0" readingOrder="0"/>
      <border diagonalUp="0" diagonalDown="0" outline="0">
        <left style="medium">
          <color auto="1"/>
        </left>
        <right/>
        <top/>
        <bottom/>
      </border>
    </dxf>
    <dxf>
      <numFmt numFmtId="19" formatCode="m/d/yyyy"/>
      <alignment horizontal="center" vertical="bottom" textRotation="0" wrapText="0" indent="0" justifyLastLine="0" shrinkToFit="0" readingOrder="0"/>
      <border diagonalUp="0" diagonalDown="0" outline="0">
        <left style="medium">
          <color auto="1"/>
        </left>
        <right/>
        <top/>
        <bottom/>
      </border>
    </dxf>
    <dxf>
      <numFmt numFmtId="14" formatCode="0.00%"/>
      <alignment horizontal="center" vertical="bottom" textRotation="0" wrapText="0" indent="0" justifyLastLine="0" shrinkToFit="0" readingOrder="0"/>
      <border diagonalUp="0" diagonalDown="0" outline="0">
        <left/>
        <right style="medium">
          <color auto="1"/>
        </right>
        <top/>
        <bottom/>
      </border>
    </dxf>
    <dxf>
      <font>
        <color auto="1"/>
      </font>
      <numFmt numFmtId="14" formatCode="0.00%"/>
      <fill>
        <patternFill patternType="none">
          <fgColor indexed="64"/>
          <bgColor auto="1"/>
        </patternFill>
      </fill>
      <alignment horizontal="center" vertical="bottom" textRotation="0" wrapText="0" indent="0" justifyLastLine="0" shrinkToFit="0" readingOrder="0"/>
      <border diagonalUp="0" diagonalDown="0" outline="0">
        <left/>
        <right style="medium">
          <color auto="1"/>
        </right>
        <top/>
        <bottom/>
      </border>
    </dxf>
    <dxf>
      <font>
        <b val="0"/>
        <i val="0"/>
        <strike val="0"/>
        <condense val="0"/>
        <extend val="0"/>
        <outline val="0"/>
        <shadow val="0"/>
        <u val="none"/>
        <vertAlign val="baseline"/>
        <sz val="11"/>
        <color auto="1"/>
        <name val="Calibri"/>
        <family val="2"/>
        <scheme val="minor"/>
      </font>
      <numFmt numFmtId="34" formatCode="_(&quot;$&quot;* #,##0.00_);_(&quot;$&quot;* \(#,##0.00\);_(&quot;$&quot;* &quot;-&quot;??_);_(@_)"/>
      <fill>
        <patternFill patternType="solid">
          <fgColor indexed="64"/>
          <bgColor rgb="FFFF00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9" formatCode="m/d/yyyy"/>
      <fill>
        <patternFill patternType="solid">
          <fgColor indexed="64"/>
          <bgColor rgb="FFFF00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4" formatCode="_(&quot;$&quot;* #,##0.00_);_(&quot;$&quot;* \(#,##0.00\);_(&quot;$&quot;* &quot;-&quot;??_);_(@_)"/>
      <fill>
        <patternFill patternType="solid">
          <fgColor indexed="64"/>
          <bgColor rgb="FFFF0000"/>
        </patternFill>
      </fill>
      <alignment horizontal="center" vertical="bottom" textRotation="0" wrapText="0" indent="0" justifyLastLine="0" shrinkToFit="0" readingOrder="0"/>
    </dxf>
    <dxf>
      <fill>
        <patternFill patternType="none">
          <fgColor indexed="64"/>
          <bgColor auto="1"/>
        </patternFill>
      </fill>
      <alignment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4" formatCode="_(&quot;$&quot;* #,##0.00_);_(&quot;$&quot;* \(#,##0.00\);_(&quot;$&quot;* &quot;-&quot;??_);_(@_)"/>
      <fill>
        <patternFill patternType="solid">
          <fgColor indexed="64"/>
          <bgColor rgb="FFFF0000"/>
        </patternFill>
      </fill>
      <alignment horizontal="center" vertical="bottom" textRotation="0" wrapText="0" indent="0" justifyLastLine="0" shrinkToFit="0" readingOrder="0"/>
      <border diagonalUp="0" diagonalDown="0" outline="0">
        <left style="medium">
          <color auto="1"/>
        </left>
        <right/>
        <top/>
        <bottom/>
      </border>
    </dxf>
    <dxf>
      <fill>
        <patternFill patternType="none">
          <fgColor indexed="64"/>
          <bgColor auto="1"/>
        </patternFill>
      </fill>
      <alignment textRotation="0" wrapText="0" indent="0" justifyLastLine="0" shrinkToFit="0" readingOrder="0"/>
      <border diagonalUp="0" diagonalDown="0" outline="0">
        <left style="medium">
          <color auto="1"/>
        </left>
        <right/>
        <top/>
        <bottom/>
      </border>
    </dxf>
    <dxf>
      <font>
        <b val="0"/>
        <i val="0"/>
        <strike val="0"/>
        <condense val="0"/>
        <extend val="0"/>
        <outline val="0"/>
        <shadow val="0"/>
        <u val="none"/>
        <vertAlign val="baseline"/>
        <sz val="11"/>
        <color auto="1"/>
        <name val="Calibri"/>
        <family val="2"/>
        <scheme val="minor"/>
      </font>
      <numFmt numFmtId="19" formatCode="m/d/yyyy"/>
      <fill>
        <patternFill patternType="solid">
          <fgColor indexed="64"/>
          <bgColor rgb="FFFF0000"/>
        </patternFill>
      </fill>
      <alignment horizontal="center" vertical="bottom" textRotation="0" wrapText="0" indent="0" justifyLastLine="0" shrinkToFit="0" readingOrder="0"/>
      <border diagonalUp="0" diagonalDown="0" outline="0">
        <left/>
        <right style="medium">
          <color auto="1"/>
        </right>
        <top/>
        <bottom/>
      </border>
    </dxf>
    <dxf>
      <numFmt numFmtId="19" formatCode="m/d/yyyy"/>
      <alignment textRotation="0" wrapText="0" indent="0" justifyLastLine="0" shrinkToFit="0" readingOrder="0"/>
      <border diagonalUp="0" diagonalDown="0" outline="0">
        <left/>
        <right style="medium">
          <color auto="1"/>
        </right>
        <top/>
        <bottom/>
      </border>
    </dxf>
    <dxf>
      <numFmt numFmtId="165" formatCode="&quot;$&quot;#,##0.00"/>
      <fill>
        <patternFill patternType="solid">
          <fgColor indexed="64"/>
          <bgColor rgb="FFFF0000"/>
        </patternFill>
      </fill>
      <alignment horizontal="center" vertical="bottom" textRotation="0" wrapText="0" indent="0" justifyLastLine="0" shrinkToFit="0" readingOrder="0"/>
    </dxf>
    <dxf>
      <alignment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5" formatCode="&quot;$&quot;#,##0.00"/>
      <fill>
        <patternFill patternType="solid">
          <fgColor indexed="64"/>
          <bgColor rgb="FFFF0000"/>
        </patternFill>
      </fill>
      <alignment horizontal="center" vertical="bottom" textRotation="0" wrapText="0" indent="0" justifyLastLine="0" shrinkToFit="0" readingOrder="0"/>
    </dxf>
    <dxf>
      <alignment textRotation="0" wrapText="0" indent="0" justifyLastLine="0" shrinkToFit="0" readingOrder="0"/>
    </dxf>
    <dxf>
      <numFmt numFmtId="165" formatCode="&quot;$&quot;#,##0.00"/>
      <fill>
        <patternFill patternType="solid">
          <fgColor indexed="64"/>
          <bgColor rgb="FFFF0000"/>
        </patternFill>
      </fill>
      <alignment horizontal="center" vertical="bottom" textRotation="0" wrapText="0" indent="0" justifyLastLine="0" shrinkToFit="0" readingOrder="0"/>
      <border diagonalUp="0" diagonalDown="0" outline="0">
        <left style="medium">
          <color auto="1"/>
        </left>
        <right/>
        <top/>
        <bottom/>
      </border>
    </dxf>
    <dxf>
      <alignment textRotation="0" wrapText="0" indent="0" justifyLastLine="0" shrinkToFit="0" readingOrder="0"/>
      <border diagonalUp="0" diagonalDown="0" outline="0">
        <left style="medium">
          <color auto="1"/>
        </left>
        <right/>
        <top/>
        <bottom/>
      </border>
    </dxf>
    <dxf>
      <numFmt numFmtId="165" formatCode="&quot;$&quot;#,##0.00"/>
      <fill>
        <patternFill patternType="solid">
          <fgColor indexed="64"/>
          <bgColor rgb="FFFF0000"/>
        </patternFill>
      </fill>
      <alignment horizontal="center" vertical="bottom" textRotation="0" wrapText="0" indent="0" justifyLastLine="0" shrinkToFit="0" readingOrder="0"/>
      <border diagonalUp="0" diagonalDown="0" outline="0">
        <left style="medium">
          <color auto="1"/>
        </left>
        <right style="medium">
          <color auto="1"/>
        </right>
        <top/>
        <bottom/>
      </border>
    </dxf>
    <dxf>
      <alignment textRotation="0" wrapText="0" indent="0" justifyLastLine="0" shrinkToFit="0" readingOrder="0"/>
      <border diagonalUp="0" diagonalDown="0" outline="0">
        <left style="medium">
          <color auto="1"/>
        </left>
        <right style="medium">
          <color auto="1"/>
        </right>
        <top/>
        <bottom/>
      </border>
    </dxf>
    <dxf>
      <numFmt numFmtId="165" formatCode="&quot;$&quot;#,##0.00"/>
      <fill>
        <patternFill patternType="solid">
          <fgColor indexed="64"/>
          <bgColor rgb="FFFF0000"/>
        </patternFill>
      </fill>
      <alignment horizontal="center" vertical="bottom"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1"/>
        <color auto="1"/>
        <name val="Calibri"/>
        <family val="2"/>
        <scheme val="minor"/>
      </font>
      <numFmt numFmtId="165" formatCode="&quot;$&quot;#,##0.00"/>
      <alignment horizontal="center" vertical="bottom"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1"/>
        <color auto="1"/>
        <name val="Calibri"/>
        <family val="2"/>
        <scheme val="minor"/>
      </font>
      <numFmt numFmtId="19" formatCode="m/d/yyyy"/>
      <fill>
        <patternFill patternType="solid">
          <fgColor indexed="64"/>
          <bgColor rgb="FFFF0000"/>
        </patternFill>
      </fill>
      <alignment horizontal="center" vertical="bottom"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1"/>
        <color auto="1"/>
        <name val="Calibri"/>
        <family val="2"/>
        <scheme val="minor"/>
      </font>
      <numFmt numFmtId="19" formatCode="m/d/yyyy"/>
      <fill>
        <patternFill patternType="solid">
          <fgColor indexed="64"/>
          <bgColor rgb="FFFFFF00"/>
        </patternFill>
      </fill>
      <alignment horizontal="center" vertical="bottom"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1"/>
        <color rgb="FF000000"/>
        <name val="Calibri"/>
        <family val="2"/>
        <scheme val="minor"/>
      </font>
      <numFmt numFmtId="165" formatCode="&quot;$&quot;#,##0.00"/>
      <alignment horizontal="right" vertical="bottom" textRotation="0" wrapText="0" indent="0" justifyLastLine="0" shrinkToFit="0" readingOrder="0"/>
      <border diagonalUp="0" diagonalDown="0" outline="0">
        <left/>
        <right style="medium">
          <color auto="1"/>
        </right>
        <top/>
        <bottom/>
      </border>
    </dxf>
    <dxf>
      <numFmt numFmtId="165" formatCode="&quot;$&quot;#,##0.00"/>
      <alignment horizontal="right" textRotation="0" wrapText="0" indent="0" justifyLastLine="0" shrinkToFit="0" readingOrder="0"/>
      <border diagonalUp="0" diagonalDown="0" outline="0">
        <left/>
        <right style="medium">
          <color auto="1"/>
        </right>
        <top/>
        <bottom/>
      </border>
    </dxf>
    <dxf>
      <numFmt numFmtId="165" formatCode="&quot;$&quot;#,##0.00"/>
      <alignment horizontal="right" vertical="bottom" textRotation="0" wrapText="0" indent="0" justifyLastLine="0" shrinkToFit="0" readingOrder="0"/>
    </dxf>
    <dxf>
      <numFmt numFmtId="165" formatCode="&quot;$&quot;#,##0.00"/>
      <alignment horizontal="right"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5" formatCode="&quot;$&quot;#,##0.00"/>
      <fill>
        <patternFill patternType="solid">
          <fgColor indexed="64"/>
          <bgColor theme="0" tint="-0.14999847407452621"/>
        </patternFill>
      </fill>
      <alignment horizontal="right" vertical="bottom" textRotation="0" wrapText="0" indent="0" justifyLastLine="0" shrinkToFit="0" readingOrder="0"/>
    </dxf>
    <dxf>
      <font>
        <strike val="0"/>
        <outline val="0"/>
        <shadow val="0"/>
        <u val="none"/>
        <vertAlign val="baseline"/>
        <sz val="11"/>
        <color auto="1"/>
        <name val="Calibri"/>
        <family val="2"/>
        <scheme val="minor"/>
      </font>
      <numFmt numFmtId="165" formatCode="&quot;$&quot;#,##0.00"/>
      <fill>
        <patternFill patternType="solid">
          <fgColor indexed="64"/>
          <bgColor theme="0" tint="-0.14999847407452621"/>
        </patternFill>
      </fill>
      <alignment horizontal="right" textRotation="0" wrapText="0" indent="0" justifyLastLine="0" shrinkToFit="0" readingOrder="0"/>
    </dxf>
    <dxf>
      <numFmt numFmtId="165" formatCode="&quot;$&quot;#,##0.00"/>
      <alignment horizontal="right" vertical="bottom" textRotation="0" wrapText="0" indent="0" justifyLastLine="0" shrinkToFit="0" readingOrder="0"/>
      <border diagonalUp="0" diagonalDown="0" outline="0">
        <left style="medium">
          <color auto="1"/>
        </left>
        <right/>
        <top/>
        <bottom/>
      </border>
    </dxf>
    <dxf>
      <numFmt numFmtId="165" formatCode="&quot;$&quot;#,##0.00"/>
      <alignment horizontal="right" textRotation="0" wrapText="0" indent="0" justifyLastLine="0" shrinkToFit="0" readingOrder="0"/>
      <border diagonalUp="0" diagonalDown="0" outline="0">
        <left style="medium">
          <color auto="1"/>
        </left>
        <right/>
        <top/>
        <bottom/>
      </border>
    </dxf>
    <dxf>
      <font>
        <b val="0"/>
        <i val="0"/>
        <strike val="0"/>
        <condense val="0"/>
        <extend val="0"/>
        <outline val="0"/>
        <shadow val="0"/>
        <u val="none"/>
        <vertAlign val="baseline"/>
        <sz val="11"/>
        <color auto="1"/>
        <name val="Calibri"/>
        <family val="2"/>
        <scheme val="minor"/>
      </font>
      <numFmt numFmtId="3" formatCode="#,##0"/>
      <alignment horizontal="right" vertical="bottom"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1"/>
        <color theme="1"/>
        <name val="Calibri"/>
        <family val="2"/>
        <scheme val="minor"/>
      </font>
      <numFmt numFmtId="3" formatCode="#,##0"/>
      <alignment horizontal="right" vertical="bottom"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1"/>
        <color auto="1"/>
        <name val="Calibri"/>
        <family val="2"/>
        <scheme val="minor"/>
      </font>
      <numFmt numFmtId="3" formatCode="#,##0"/>
      <alignment horizontal="right" vertical="bottom"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1"/>
        <color theme="1"/>
        <name val="Calibri"/>
        <family val="2"/>
        <scheme val="minor"/>
      </font>
      <numFmt numFmtId="3" formatCode="#,##0"/>
      <alignment horizontal="right" vertical="bottom"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1"/>
        <color auto="1"/>
        <name val="Calibri"/>
        <family val="2"/>
        <scheme val="minor"/>
      </font>
      <numFmt numFmtId="165" formatCode="&quot;$&quot;#,##0.00"/>
      <fill>
        <patternFill patternType="solid">
          <fgColor indexed="64"/>
          <bgColor rgb="FFFF0000"/>
        </patternFill>
      </fill>
      <alignment horizontal="right" vertical="bottom" textRotation="0" wrapText="0" indent="0" justifyLastLine="0" shrinkToFit="0" readingOrder="0"/>
      <border diagonalUp="0" diagonalDown="0" outline="0">
        <left/>
        <right style="medium">
          <color auto="1"/>
        </right>
        <top/>
        <bottom/>
      </border>
    </dxf>
    <dxf>
      <font>
        <b val="0"/>
        <i val="0"/>
        <strike val="0"/>
        <condense val="0"/>
        <extend val="0"/>
        <outline val="0"/>
        <shadow val="0"/>
        <u val="none"/>
        <vertAlign val="baseline"/>
        <sz val="11"/>
        <color theme="1"/>
        <name val="Calibri"/>
        <family val="2"/>
        <scheme val="minor"/>
      </font>
      <numFmt numFmtId="165" formatCode="&quot;$&quot;#,##0.00"/>
      <alignment horizontal="right" vertical="bottom" textRotation="0" wrapText="0" indent="0" justifyLastLine="0" shrinkToFit="0" readingOrder="0"/>
      <border diagonalUp="0" diagonalDown="0" outline="0">
        <left/>
        <right style="medium">
          <color auto="1"/>
        </right>
        <top/>
        <bottom/>
      </border>
    </dxf>
    <dxf>
      <numFmt numFmtId="165" formatCode="&quot;$&quot;#,##0.00"/>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quot;$&quot;#,##0.00"/>
      <alignment horizontal="right" vertical="bottom" textRotation="0" wrapText="0" indent="0" justifyLastLine="0" shrinkToFit="0" readingOrder="0"/>
    </dxf>
    <dxf>
      <numFmt numFmtId="165" formatCode="&quot;$&quot;#,##0.00"/>
      <alignment horizontal="right" vertical="bottom" textRotation="0" wrapText="0" indent="0" justifyLastLine="0" shrinkToFit="0" readingOrder="0"/>
      <border diagonalUp="0" diagonalDown="0" outline="0">
        <left style="medium">
          <color auto="1"/>
        </left>
        <right/>
        <top/>
        <bottom/>
      </border>
    </dxf>
    <dxf>
      <font>
        <b val="0"/>
        <i val="0"/>
        <strike val="0"/>
        <condense val="0"/>
        <extend val="0"/>
        <outline val="0"/>
        <shadow val="0"/>
        <u val="none"/>
        <vertAlign val="baseline"/>
        <sz val="11"/>
        <color theme="1"/>
        <name val="Calibri"/>
        <family val="2"/>
        <scheme val="minor"/>
      </font>
      <numFmt numFmtId="165" formatCode="&quot;$&quot;#,##0.00"/>
      <alignment horizontal="right" vertical="bottom" textRotation="0" wrapText="0" indent="0" justifyLastLine="0" shrinkToFit="0" readingOrder="0"/>
      <border diagonalUp="0" diagonalDown="0" outline="0">
        <left style="medium">
          <color auto="1"/>
        </left>
        <right/>
        <top/>
        <bottom/>
      </border>
    </dxf>
    <dxf>
      <font>
        <b/>
        <i val="0"/>
        <strike val="0"/>
        <condense val="0"/>
        <extend val="0"/>
        <outline val="0"/>
        <shadow val="0"/>
        <u val="none"/>
        <vertAlign val="baseline"/>
        <sz val="11"/>
        <color theme="1"/>
        <name val="Calibri"/>
        <family val="2"/>
        <scheme val="minor"/>
      </font>
      <numFmt numFmtId="14" formatCode="0.00%"/>
      <alignment horizontal="right" vertical="bottom" textRotation="0" wrapText="0" indent="0" justifyLastLine="0" shrinkToFit="0" readingOrder="0"/>
      <border diagonalUp="0" diagonalDown="0" outline="0">
        <left style="medium">
          <color auto="1"/>
        </left>
        <right style="medium">
          <color auto="1"/>
        </right>
        <top/>
        <bottom/>
      </border>
    </dxf>
    <dxf>
      <font>
        <b/>
        <i val="0"/>
        <strike val="0"/>
        <condense val="0"/>
        <extend val="0"/>
        <outline val="0"/>
        <shadow val="0"/>
        <u val="none"/>
        <vertAlign val="baseline"/>
        <sz val="11"/>
        <color rgb="FF000000"/>
        <name val="Calibri"/>
        <family val="2"/>
        <scheme val="minor"/>
      </font>
      <numFmt numFmtId="14" formatCode="0.00%"/>
      <alignment horizontal="right" vertical="bottom" textRotation="0" wrapText="0" indent="0" justifyLastLine="0" shrinkToFit="0" readingOrder="0"/>
      <border diagonalUp="0" diagonalDown="0" outline="0">
        <left style="medium">
          <color auto="1"/>
        </left>
        <right style="medium">
          <color auto="1"/>
        </right>
        <top/>
        <bottom/>
      </border>
    </dxf>
    <dxf>
      <font>
        <b/>
        <i val="0"/>
        <strike val="0"/>
        <condense val="0"/>
        <extend val="0"/>
        <outline val="0"/>
        <shadow val="0"/>
        <u val="none"/>
        <vertAlign val="baseline"/>
        <sz val="11"/>
        <color auto="1"/>
        <name val="Calibri"/>
        <family val="2"/>
        <scheme val="minor"/>
      </font>
      <numFmt numFmtId="165" formatCode="&quot;$&quot;#,##0.00"/>
      <alignment horizontal="right" vertical="bottom" textRotation="0" wrapText="0" indent="0" justifyLastLine="0" shrinkToFit="0" readingOrder="0"/>
      <border diagonalUp="0" diagonalDown="0" outline="0">
        <left style="medium">
          <color auto="1"/>
        </left>
        <right style="medium">
          <color auto="1"/>
        </right>
        <top/>
        <bottom/>
      </border>
    </dxf>
    <dxf>
      <font>
        <b/>
      </font>
      <numFmt numFmtId="165" formatCode="&quot;$&quot;#,##0.00"/>
      <alignment horizontal="right" vertical="bottom" textRotation="0" wrapText="0" indent="0" justifyLastLine="0" shrinkToFit="0" readingOrder="0"/>
      <border diagonalUp="0" diagonalDown="0" outline="0">
        <left style="medium">
          <color auto="1"/>
        </left>
        <right style="medium">
          <color auto="1"/>
        </right>
        <top/>
        <bottom/>
      </border>
    </dxf>
    <dxf>
      <numFmt numFmtId="1" formatCode="0"/>
      <alignment horizontal="center" vertical="bottom" textRotation="0" wrapText="0" indent="0" justifyLastLine="0" shrinkToFit="0" readingOrder="0"/>
      <border diagonalUp="0" diagonalDown="0" outline="0">
        <left style="medium">
          <color auto="1"/>
        </left>
        <right style="medium">
          <color auto="1"/>
        </right>
        <top/>
        <bottom/>
      </border>
    </dxf>
    <dxf>
      <numFmt numFmtId="1" formatCode="0"/>
      <alignment horizontal="center" vertical="bottom"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1"/>
        <color auto="1"/>
        <name val="Calibri"/>
        <family val="2"/>
        <scheme val="minor"/>
      </font>
      <numFmt numFmtId="22" formatCode="mmm\-yy"/>
      <alignment horizontal="right" vertical="bottom" textRotation="0" wrapText="0" indent="0" justifyLastLine="0" shrinkToFit="0" readingOrder="0"/>
      <border diagonalUp="0" diagonalDown="0" outline="0">
        <left/>
        <right style="medium">
          <color auto="1"/>
        </right>
        <top/>
        <bottom/>
      </border>
    </dxf>
    <dxf>
      <numFmt numFmtId="19" formatCode="m/d/yyyy"/>
      <alignment horizontal="right" textRotation="0" wrapText="0" indent="0" justifyLastLine="0" shrinkToFit="0" readingOrder="0"/>
      <border diagonalUp="0" diagonalDown="0" outline="0">
        <left style="medium">
          <color auto="1"/>
        </left>
        <right style="medium">
          <color auto="1"/>
        </right>
        <top/>
        <bottom/>
      </border>
    </dxf>
    <dxf>
      <numFmt numFmtId="19" formatCode="m/d/yyyy"/>
      <border diagonalUp="0" diagonalDown="0" outline="0">
        <left/>
        <right style="medium">
          <color auto="1"/>
        </right>
        <top/>
        <bottom/>
      </border>
    </dxf>
    <dxf>
      <numFmt numFmtId="19" formatCode="m/d/yyyy"/>
      <alignment textRotation="0" wrapText="0" indent="0" justifyLastLine="0" shrinkToFit="0" readingOrder="0"/>
      <border diagonalUp="0" diagonalDown="0" outline="0">
        <left/>
        <right style="medium">
          <color auto="1"/>
        </right>
        <top/>
        <bottom/>
      </border>
    </dxf>
    <dxf>
      <numFmt numFmtId="19" formatCode="m/d/yyyy"/>
    </dxf>
    <dxf>
      <font>
        <b val="0"/>
      </font>
      <alignment vertical="bottom" textRotation="0" wrapText="0" indent="0" justifyLastLine="0" shrinkToFit="0" readingOrder="0"/>
    </dxf>
    <dxf>
      <numFmt numFmtId="1" formatCode="0"/>
    </dxf>
    <dxf>
      <font>
        <b val="0"/>
        <i val="0"/>
        <strike val="0"/>
        <condense val="0"/>
        <extend val="0"/>
        <outline val="0"/>
        <shadow val="0"/>
        <u val="none"/>
        <vertAlign val="baseline"/>
        <sz val="11"/>
        <color auto="1"/>
        <name val="Calibri"/>
        <family val="2"/>
        <scheme val="minor"/>
      </font>
      <numFmt numFmtId="1" formatCode="0"/>
      <alignment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9" formatCode="m/d/yyyy"/>
      <fill>
        <patternFill patternType="solid">
          <fgColor indexed="64"/>
          <bgColor rgb="FFFF0000"/>
        </patternFill>
      </fill>
    </dxf>
    <dxf>
      <font>
        <b val="0"/>
      </font>
      <alignment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9" formatCode="m/d/yyyy"/>
      <alignment horizontal="right" vertical="bottom" textRotation="0" wrapText="0" indent="0" justifyLastLine="0" shrinkToFit="0" readingOrder="0"/>
    </dxf>
    <dxf>
      <font>
        <b val="0"/>
      </font>
      <alignment horizontal="right" textRotation="0" wrapText="0" indent="0" justifyLastLine="0" shrinkToFit="0" readingOrder="0"/>
    </dxf>
    <dxf>
      <numFmt numFmtId="19" formatCode="m/d/yyyy"/>
    </dxf>
    <dxf>
      <font>
        <b val="0"/>
      </font>
      <alignment textRotation="0" wrapText="0" indent="0" justifyLastLine="0" shrinkToFit="0" readingOrder="0"/>
    </dxf>
    <dxf>
      <numFmt numFmtId="30" formatCode="@"/>
      <alignment horizontal="general" vertical="bottom" textRotation="0" wrapText="1" indent="0" justifyLastLine="0" shrinkToFit="0" readingOrder="0"/>
    </dxf>
    <dxf>
      <font>
        <b val="0"/>
      </font>
      <numFmt numFmtId="30" formatCode="@"/>
      <alignment horizontal="general" vertical="bottom" textRotation="0" wrapText="0" indent="0" justifyLastLine="0" shrinkToFit="0" readingOrder="0"/>
    </dxf>
    <dxf>
      <numFmt numFmtId="30" formatCode="@"/>
    </dxf>
    <dxf>
      <font>
        <b val="0"/>
      </font>
      <alignment textRotation="0" wrapText="0" indent="0" justifyLastLine="0" shrinkToFit="0" readingOrder="0"/>
    </dxf>
    <dxf>
      <numFmt numFmtId="30" formatCode="@"/>
    </dxf>
    <dxf>
      <font>
        <b val="0"/>
      </font>
      <alignment textRotation="0" wrapText="0" indent="0" justifyLastLine="0" shrinkToFit="0" readingOrder="0"/>
    </dxf>
    <dxf>
      <numFmt numFmtId="30" formatCode="@"/>
    </dxf>
    <dxf>
      <font>
        <b val="0"/>
      </font>
      <alignment textRotation="0" wrapText="0" indent="0" justifyLastLine="0" shrinkToFit="0" readingOrder="0"/>
    </dxf>
    <dxf>
      <numFmt numFmtId="30" formatCode="@"/>
    </dxf>
    <dxf>
      <font>
        <b val="0"/>
      </font>
      <alignment textRotation="0" wrapText="0" indent="0" justifyLastLine="0" shrinkToFit="0" readingOrder="0"/>
    </dxf>
    <dxf>
      <numFmt numFmtId="30" formatCode="@"/>
    </dxf>
    <dxf>
      <font>
        <b val="0"/>
      </font>
      <alignment textRotation="0" wrapText="0" indent="0" justifyLastLine="0" shrinkToFit="0" readingOrder="0"/>
    </dxf>
    <dxf>
      <numFmt numFmtId="30" formatCode="@"/>
    </dxf>
    <dxf>
      <font>
        <b val="0"/>
      </font>
      <alignment textRotation="0" wrapText="0" indent="0" justifyLastLine="0" shrinkToFit="0" readingOrder="0"/>
    </dxf>
    <dxf>
      <numFmt numFmtId="30" formatCode="@"/>
    </dxf>
    <dxf>
      <font>
        <b val="0"/>
      </font>
      <alignment textRotation="0" wrapText="0" indent="0" justifyLastLine="0" shrinkToFit="0" readingOrder="0"/>
    </dxf>
    <dxf>
      <font>
        <b val="0"/>
      </font>
    </dxf>
    <dxf>
      <font>
        <b val="0"/>
      </font>
      <alignment textRotation="0" wrapText="0" indent="0" justifyLastLine="0" shrinkToFit="0" readingOrder="0"/>
    </dxf>
    <dxf>
      <fill>
        <patternFill patternType="none">
          <fgColor indexed="64"/>
          <bgColor auto="1"/>
        </patternFill>
      </fill>
      <alignment horizontal="general" vertical="bottom" textRotation="0" wrapText="0" indent="0" justifyLastLine="0" shrinkToFit="0" readingOrder="0"/>
    </dxf>
    <dxf>
      <border diagonalUp="0" diagonalDown="0" outline="0">
        <left style="thick">
          <color auto="1"/>
        </left>
        <right style="thick">
          <color auto="1"/>
        </right>
        <top/>
        <bottom style="thick">
          <color auto="1"/>
        </bottom>
      </border>
    </dxf>
    <dxf>
      <numFmt numFmtId="0" formatCode="General"/>
      <fill>
        <patternFill patternType="none">
          <fgColor indexed="64"/>
          <bgColor auto="1"/>
        </patternFill>
      </fill>
      <border diagonalUp="0" diagonalDown="0">
        <left style="thick">
          <color auto="1"/>
        </left>
        <right style="thick">
          <color auto="1"/>
        </right>
        <top/>
        <bottom/>
        <vertical/>
        <horizontal/>
      </border>
    </dxf>
    <dxf>
      <numFmt numFmtId="169" formatCode="_(&quot;$&quot;* #,##0_);_(&quot;$&quot;* \(#,##0\);_(&quot;$&quot;* &quot;-&quot;??_);_(@_)"/>
      <border diagonalUp="0" diagonalDown="0" outline="0">
        <left/>
        <right/>
        <top/>
        <bottom style="thick">
          <color auto="1"/>
        </bottom>
      </border>
    </dxf>
    <dxf>
      <alignment horizontal="right" vertical="bottom" textRotation="0" wrapText="0" indent="0" justifyLastLine="0" shrinkToFit="0" readingOrder="0"/>
      <border diagonalUp="0" diagonalDown="0">
        <left/>
        <right style="thick">
          <color auto="1"/>
        </right>
        <top/>
        <bottom/>
        <vertical/>
        <horizontal/>
      </border>
    </dxf>
    <dxf>
      <numFmt numFmtId="169" formatCode="_(&quot;$&quot;* #,##0_);_(&quot;$&quot;* \(#,##0\);_(&quot;$&quot;* &quot;-&quot;??_);_(@_)"/>
      <border diagonalUp="0" diagonalDown="0" outline="0">
        <left/>
        <right/>
        <top/>
        <bottom style="thick">
          <color auto="1"/>
        </bottom>
      </border>
    </dxf>
    <dxf>
      <numFmt numFmtId="169" formatCode="_(&quot;$&quot;* #,##0_);_(&quot;$&quot;* \(#,##0\);_(&quot;$&quot;* &quot;-&quot;??_);_(@_)"/>
      <fill>
        <patternFill patternType="none">
          <fgColor indexed="64"/>
          <bgColor indexed="65"/>
        </patternFill>
      </fill>
      <alignment horizontal="right" vertical="bottom" textRotation="0" wrapText="0" indent="0" justifyLastLine="0" shrinkToFit="0" readingOrder="0"/>
    </dxf>
    <dxf>
      <border diagonalUp="0" diagonalDown="0" outline="0">
        <left/>
        <right/>
        <top/>
        <bottom style="thick">
          <color auto="1"/>
        </bottom>
      </border>
    </dxf>
    <dxf>
      <numFmt numFmtId="2" formatCode="0.00"/>
      <fill>
        <patternFill patternType="none">
          <fgColor indexed="64"/>
          <bgColor indexed="65"/>
        </patternFill>
      </fill>
      <alignment horizontal="right" vertical="bottom" textRotation="0" wrapText="0" indent="0" justifyLastLine="0" shrinkToFit="0" readingOrder="0"/>
    </dxf>
    <dxf>
      <numFmt numFmtId="30" formatCode="@"/>
      <alignment horizontal="right" vertical="bottom" textRotation="0" wrapText="0" indent="0" justifyLastLine="0" shrinkToFit="0" readingOrder="0"/>
      <border diagonalUp="0" diagonalDown="0" outline="0">
        <left/>
        <right/>
        <top/>
        <bottom style="thick">
          <color auto="1"/>
        </bottom>
      </border>
    </dxf>
    <dxf>
      <numFmt numFmtId="30" formatCode="@"/>
      <fill>
        <patternFill patternType="none">
          <fgColor indexed="64"/>
          <bgColor indexed="65"/>
        </patternFill>
      </fill>
      <alignment horizontal="right" vertical="bottom" textRotation="0" wrapText="0" indent="0" justifyLastLine="0" shrinkToFit="0" readingOrder="0"/>
    </dxf>
    <dxf>
      <numFmt numFmtId="30" formatCode="@"/>
      <alignment horizontal="right" vertical="bottom" textRotation="0" wrapText="0" indent="0" justifyLastLine="0" shrinkToFit="0" readingOrder="0"/>
      <border diagonalUp="0" diagonalDown="0" outline="0">
        <left style="thick">
          <color auto="1"/>
        </left>
        <right/>
        <top/>
        <bottom style="thick">
          <color auto="1"/>
        </bottom>
      </border>
    </dxf>
    <dxf>
      <numFmt numFmtId="30" formatCode="@"/>
      <fill>
        <patternFill patternType="none">
          <fgColor indexed="64"/>
          <bgColor indexed="65"/>
        </patternFill>
      </fill>
      <alignment horizontal="right" vertical="bottom" textRotation="0" wrapText="0" indent="0" justifyLastLine="0" shrinkToFit="0" readingOrder="0"/>
      <border diagonalUp="0" diagonalDown="0">
        <left style="thick">
          <color auto="1"/>
        </left>
        <right/>
        <top/>
        <bottom/>
        <vertical/>
        <horizontal/>
      </border>
    </dxf>
    <dxf>
      <numFmt numFmtId="13" formatCode="0%"/>
      <border diagonalUp="0" diagonalDown="0" outline="0">
        <left/>
        <right/>
        <top/>
        <bottom style="thick">
          <color auto="1"/>
        </bottom>
      </border>
    </dxf>
    <dxf>
      <font>
        <b val="0"/>
        <i val="0"/>
        <strike val="0"/>
        <condense val="0"/>
        <extend val="0"/>
        <outline val="0"/>
        <shadow val="0"/>
        <u val="none"/>
        <vertAlign val="baseline"/>
        <sz val="11"/>
        <color theme="1"/>
        <name val="Calibri"/>
        <family val="2"/>
        <scheme val="minor"/>
      </font>
      <numFmt numFmtId="13" formatCode="0%"/>
      <alignment horizontal="right" vertical="bottom" textRotation="0" wrapText="0" indent="0" justifyLastLine="0" shrinkToFit="0" readingOrder="0"/>
      <border diagonalUp="0" diagonalDown="0">
        <left style="double">
          <color auto="1"/>
        </left>
        <right/>
        <top/>
        <bottom/>
        <vertical/>
        <horizontal/>
      </border>
    </dxf>
    <dxf>
      <numFmt numFmtId="169" formatCode="_(&quot;$&quot;* #,##0_);_(&quot;$&quot;* \(#,##0\);_(&quot;$&quot;* &quot;-&quot;??_);_(@_)"/>
      <border diagonalUp="0" diagonalDown="0" outline="0">
        <left style="medium">
          <color auto="1"/>
        </left>
        <right/>
        <top/>
        <bottom style="thick">
          <color auto="1"/>
        </bottom>
      </border>
    </dxf>
    <dxf>
      <font>
        <b val="0"/>
        <i val="0"/>
        <strike val="0"/>
        <condense val="0"/>
        <extend val="0"/>
        <outline val="0"/>
        <shadow val="0"/>
        <u val="none"/>
        <vertAlign val="baseline"/>
        <sz val="11"/>
        <color theme="1"/>
        <name val="Calibri"/>
        <family val="2"/>
        <scheme val="minor"/>
      </font>
      <numFmt numFmtId="169" formatCode="_(&quot;$&quot;* #,##0_);_(&quot;$&quot;* \(#,##0\);_(&quot;$&quot;* &quot;-&quot;??_);_(@_)"/>
      <alignment horizontal="right" vertical="bottom" textRotation="0" wrapText="0" indent="0" justifyLastLine="0" shrinkToFit="0" readingOrder="0"/>
      <border diagonalUp="0" diagonalDown="0">
        <left style="medium">
          <color auto="1"/>
        </left>
        <right/>
        <top/>
        <bottom/>
        <vertical/>
        <horizontal/>
      </border>
    </dxf>
    <dxf>
      <numFmt numFmtId="13" formatCode="0%"/>
      <border diagonalUp="0" diagonalDown="0" outline="0">
        <left style="double">
          <color auto="1"/>
        </left>
        <right/>
        <top/>
        <bottom style="thick">
          <color auto="1"/>
        </bottom>
      </border>
    </dxf>
    <dxf>
      <numFmt numFmtId="13" formatCode="0%"/>
      <fill>
        <patternFill patternType="none">
          <fgColor indexed="64"/>
          <bgColor indexed="65"/>
        </patternFill>
      </fill>
      <alignment horizontal="right" vertical="bottom" textRotation="0" wrapText="0" indent="0" justifyLastLine="0" shrinkToFit="0" readingOrder="0"/>
      <border diagonalUp="0" diagonalDown="0">
        <left style="double">
          <color auto="1"/>
        </left>
        <right style="thick">
          <color auto="1"/>
        </right>
        <top/>
        <bottom/>
        <vertical/>
        <horizontal/>
      </border>
    </dxf>
    <dxf>
      <numFmt numFmtId="169" formatCode="_(&quot;$&quot;* #,##0_);_(&quot;$&quot;* \(#,##0\);_(&quot;$&quot;* &quot;-&quot;??_);_(@_)"/>
      <border diagonalUp="0" diagonalDown="0" outline="0">
        <left/>
        <right style="double">
          <color auto="1"/>
        </right>
        <top/>
        <bottom style="thick">
          <color auto="1"/>
        </bottom>
      </border>
    </dxf>
    <dxf>
      <numFmt numFmtId="169" formatCode="_(&quot;$&quot;* #,##0_);_(&quot;$&quot;* \(#,##0\);_(&quot;$&quot;* &quot;-&quot;??_);_(@_)"/>
      <alignment horizontal="right" vertical="bottom" textRotation="0" wrapText="0" indent="0" justifyLastLine="0" shrinkToFit="0" readingOrder="0"/>
      <border diagonalUp="0" diagonalDown="0">
        <left/>
        <right style="double">
          <color auto="1"/>
        </right>
        <top/>
        <bottom/>
        <vertical/>
        <horizontal/>
      </border>
    </dxf>
    <dxf>
      <border diagonalUp="0" diagonalDown="0" outline="0">
        <left style="thick">
          <color auto="1"/>
        </left>
        <right/>
        <top/>
        <bottom style="thick">
          <color auto="1"/>
        </bottom>
      </border>
    </dxf>
    <dxf>
      <numFmt numFmtId="2" formatCode="0.00"/>
      <alignment horizontal="right" vertical="bottom" textRotation="0" wrapText="0" indent="0" justifyLastLine="0" shrinkToFit="0" readingOrder="0"/>
      <border diagonalUp="0" diagonalDown="0">
        <left style="medium">
          <color auto="1"/>
        </left>
        <right/>
        <top/>
        <bottom/>
        <vertical/>
        <horizontal/>
      </border>
    </dxf>
    <dxf>
      <numFmt numFmtId="13" formatCode="0%"/>
      <border diagonalUp="0" diagonalDown="0" outline="0">
        <left style="double">
          <color auto="1"/>
        </left>
        <right style="thick">
          <color auto="1"/>
        </right>
        <top/>
        <bottom style="thick">
          <color auto="1"/>
        </bottom>
      </border>
    </dxf>
    <dxf>
      <alignment horizontal="right" vertical="bottom" textRotation="0" wrapText="0" indent="0" justifyLastLine="0" shrinkToFit="0" readingOrder="0"/>
      <border diagonalUp="0" diagonalDown="0">
        <left style="double">
          <color auto="1"/>
        </left>
        <right style="medium">
          <color auto="1"/>
        </right>
        <top/>
        <bottom/>
        <vertical/>
        <horizontal/>
      </border>
    </dxf>
    <dxf>
      <numFmt numFmtId="169" formatCode="_(&quot;$&quot;* #,##0_);_(&quot;$&quot;* \(#,##0\);_(&quot;$&quot;* &quot;-&quot;??_);_(@_)"/>
      <border diagonalUp="0" diagonalDown="0" outline="0">
        <left/>
        <right style="double">
          <color auto="1"/>
        </right>
        <top/>
        <bottom style="thick">
          <color auto="1"/>
        </bottom>
      </border>
    </dxf>
    <dxf>
      <numFmt numFmtId="169" formatCode="_(&quot;$&quot;* #,##0_);_(&quot;$&quot;* \(#,##0\);_(&quot;$&quot;* &quot;-&quot;??_);_(@_)"/>
      <fill>
        <patternFill patternType="none">
          <fgColor indexed="64"/>
          <bgColor indexed="65"/>
        </patternFill>
      </fill>
      <border diagonalUp="0" diagonalDown="0">
        <left/>
        <right style="double">
          <color auto="1"/>
        </right>
        <top/>
        <bottom/>
        <vertical/>
        <horizontal/>
      </border>
    </dxf>
    <dxf>
      <border diagonalUp="0" diagonalDown="0" outline="0">
        <left style="thick">
          <color auto="1"/>
        </left>
        <right/>
        <top/>
        <bottom style="thick">
          <color auto="1"/>
        </bottom>
      </border>
    </dxf>
    <dxf>
      <numFmt numFmtId="2" formatCode="0.00"/>
      <fill>
        <patternFill patternType="none">
          <fgColor indexed="64"/>
          <bgColor indexed="65"/>
        </patternFill>
      </fill>
      <border diagonalUp="0" diagonalDown="0">
        <left style="thick">
          <color auto="1"/>
        </left>
        <right/>
        <top/>
        <bottom/>
        <vertical/>
        <horizontal/>
      </border>
    </dxf>
    <dxf>
      <border diagonalUp="0" diagonalDown="0" outline="0">
        <left/>
        <right style="thick">
          <color auto="1"/>
        </right>
        <top/>
        <bottom style="thick">
          <color auto="1"/>
        </bottom>
      </border>
    </dxf>
    <dxf>
      <numFmt numFmtId="0" formatCode="General"/>
      <fill>
        <patternFill patternType="none">
          <fgColor indexed="64"/>
          <bgColor indexed="65"/>
        </patternFill>
      </fill>
    </dxf>
    <dxf>
      <border diagonalUp="0" diagonalDown="0" outline="0">
        <left style="medium">
          <color auto="1"/>
        </left>
        <right/>
        <top/>
        <bottom style="thick">
          <color auto="1"/>
        </bottom>
      </border>
    </dxf>
    <dxf>
      <fill>
        <patternFill patternType="none">
          <fgColor indexed="64"/>
          <bgColor indexed="65"/>
        </patternFill>
      </fill>
      <border diagonalUp="0" diagonalDown="0">
        <left style="medium">
          <color auto="1"/>
        </left>
        <right/>
        <top/>
        <bottom/>
        <vertical/>
        <horizontal/>
      </border>
    </dxf>
    <dxf>
      <border diagonalUp="0" diagonalDown="0" outline="0">
        <left style="thin">
          <color auto="1"/>
        </left>
        <right style="medium">
          <color auto="1"/>
        </right>
        <top/>
        <bottom style="thick">
          <color auto="1"/>
        </bottom>
      </border>
    </dxf>
    <dxf>
      <fill>
        <patternFill patternType="none">
          <fgColor indexed="64"/>
          <bgColor auto="1"/>
        </patternFill>
      </fill>
      <border diagonalUp="0" diagonalDown="0">
        <left style="thin">
          <color auto="1"/>
        </left>
        <right style="medium">
          <color auto="1"/>
        </right>
        <top/>
        <bottom/>
        <vertical/>
        <horizontal/>
      </border>
    </dxf>
    <dxf>
      <border diagonalUp="0" diagonalDown="0" outline="0">
        <left/>
        <right/>
        <top/>
        <bottom style="thick">
          <color auto="1"/>
        </bottom>
      </border>
    </dxf>
    <dxf>
      <numFmt numFmtId="0" formatCode="General"/>
      <fill>
        <patternFill patternType="none">
          <fgColor indexed="64"/>
          <bgColor auto="1"/>
        </patternFill>
      </fill>
    </dxf>
    <dxf>
      <border diagonalUp="0" diagonalDown="0" outline="0">
        <left/>
        <right/>
        <top/>
        <bottom style="thick">
          <color auto="1"/>
        </bottom>
      </border>
    </dxf>
    <dxf>
      <numFmt numFmtId="0" formatCode="General"/>
      <fill>
        <patternFill patternType="none">
          <fgColor indexed="64"/>
          <bgColor auto="1"/>
        </patternFill>
      </fill>
    </dxf>
    <dxf>
      <border diagonalUp="0" diagonalDown="0" outline="0">
        <left/>
        <right/>
        <top/>
        <bottom style="thick">
          <color auto="1"/>
        </bottom>
      </border>
    </dxf>
    <dxf>
      <numFmt numFmtId="0" formatCode="General"/>
      <fill>
        <patternFill patternType="none">
          <fgColor indexed="64"/>
          <bgColor indexed="65"/>
        </patternFill>
      </fill>
      <border diagonalUp="0" diagonalDown="0">
        <left style="medium">
          <color auto="1"/>
        </left>
        <right/>
        <top style="thin">
          <color theme="4" tint="0.39997558519241921"/>
        </top>
        <bottom style="thin">
          <color theme="4" tint="0.39997558519241921"/>
        </bottom>
        <vertical/>
        <horizontal/>
      </border>
    </dxf>
    <dxf>
      <border diagonalUp="0" diagonalDown="0" outline="0">
        <left style="thick">
          <color auto="1"/>
        </left>
        <right style="medium">
          <color auto="1"/>
        </right>
        <top/>
        <bottom style="thick">
          <color auto="1"/>
        </bottom>
      </border>
    </dxf>
    <dxf>
      <fill>
        <patternFill patternType="none">
          <fgColor indexed="64"/>
          <bgColor auto="1"/>
        </patternFill>
      </fill>
      <border diagonalUp="0" diagonalDown="0">
        <left style="medium">
          <color auto="1"/>
        </left>
        <right style="medium">
          <color auto="1"/>
        </right>
        <vertical/>
      </border>
    </dxf>
    <dxf>
      <fill>
        <patternFill patternType="none">
          <fgColor indexed="64"/>
          <bgColor auto="1"/>
        </patternFill>
      </fill>
    </dxf>
  </dxfs>
  <tableStyles count="0" defaultTableStyle="TableStyleMedium2" defaultPivotStyle="PivotStyleLight16"/>
  <colors>
    <mruColors>
      <color rgb="FFB208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22/11/relationships/FeaturePropertyBag" Target="featurePropertyBag/featurePropertyBag.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6.xml"/><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5.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ocumenttasks/documenttask1.xml><?xml version="1.0" encoding="utf-8"?>
<Tasks xmlns="http://schemas.microsoft.com/office/tasks/2019/documenttasks">
  <Task id="{5AC98C35-8C52-4A74-9D00-9AAF75E37025}">
    <Anchor>
      <Comment id="{CA443455-D561-4890-843A-F1A3364E0271}"/>
    </Anchor>
    <History>
      <Event time="2025-09-08T16:00:39.13" id="{5D479B40-3BD4-42B0-84D3-7195B4F44C6A}">
        <Attribution userId="S::eric.dina@kimley-horn.com::8f3d4d55-8829-47e8-9dd2-c16db35781e2" userName="Dina, Eric" userProvider="AD"/>
        <Anchor>
          <Comment id="{CA443455-D561-4890-843A-F1A3364E0271}"/>
        </Anchor>
        <Create/>
      </Event>
      <Event time="2025-09-08T16:00:39.13" id="{799AF741-1AE6-400B-950B-6A30DFAAA7FD}">
        <Attribution userId="S::eric.dina@kimley-horn.com::8f3d4d55-8829-47e8-9dd2-c16db35781e2" userName="Dina, Eric" userProvider="AD"/>
        <Anchor>
          <Comment id="{CA443455-D561-4890-843A-F1A3364E0271}"/>
        </Anchor>
        <Assign userId="S::Matt.Hopkins@kimley-horn.com::7aa1e521-2212-4c00-9714-2b583696a4c7" userName="Hopkins, Matt" userProvider="AD"/>
      </Event>
      <Event time="2025-09-08T16:00:39.13" id="{2D540EE4-EB4F-4D89-93C0-5D76D8953478}">
        <Attribution userId="S::eric.dina@kimley-horn.com::8f3d4d55-8829-47e8-9dd2-c16db35781e2" userName="Dina, Eric" userProvider="AD"/>
        <Anchor>
          <Comment id="{CA443455-D561-4890-843A-F1A3364E0271}"/>
        </Anchor>
        <SetTitle title="@Hopkins, Matt should the 20&quot; TR be 150' or 1,500'?"/>
      </Event>
      <Event time="2025-09-08T16:12:37.18" id="{090E236C-B549-4A35-969C-59C8BF86CE16}">
        <Attribution userId="S::Matt.Hopkins@kimley-horn.com::7aa1e521-2212-4c00-9714-2b583696a4c7" userName="Hopkins, Matt" userProvider="AD"/>
        <Progress percentComplete="100"/>
      </Event>
    </History>
  </Task>
  <Task id="{0ED37E47-08C3-476F-B929-FDC5041325B0}">
    <Anchor>
      <Comment id="{F0B52450-1F15-44C1-9B4D-572D24182E39}"/>
    </Anchor>
    <History>
      <Event time="2025-09-08T16:00:39.13" id="{5D479B40-3BD4-42B0-84D3-7195B4F44C6A}">
        <Attribution userId="S::eric.dina@kimley-horn.com::8f3d4d55-8829-47e8-9dd2-c16db35781e2" userName="Dina, Eric" userProvider="AD"/>
        <Anchor>
          <Comment id="{F0B52450-1F15-44C1-9B4D-572D24182E39}"/>
        </Anchor>
        <Create/>
      </Event>
      <Event time="2025-09-08T16:00:39.13" id="{799AF741-1AE6-400B-950B-6A30DFAAA7FD}">
        <Attribution userId="S::eric.dina@kimley-horn.com::8f3d4d55-8829-47e8-9dd2-c16db35781e2" userName="Dina, Eric" userProvider="AD"/>
        <Anchor>
          <Comment id="{F0B52450-1F15-44C1-9B4D-572D24182E39}"/>
        </Anchor>
        <Assign userId="S::Matt.Hopkins@kimley-horn.com::7aa1e521-2212-4c00-9714-2b583696a4c7" userName="Hopkins, Matt" userProvider="AD"/>
      </Event>
      <Event time="2025-09-08T16:00:39.13" id="{2D540EE4-EB4F-4D89-93C0-5D76D8953478}">
        <Attribution userId="S::eric.dina@kimley-horn.com::8f3d4d55-8829-47e8-9dd2-c16db35781e2" userName="Dina, Eric" userProvider="AD"/>
        <Anchor>
          <Comment id="{F0B52450-1F15-44C1-9B4D-572D24182E39}"/>
        </Anchor>
        <SetTitle title="@Hopkins, Matt should the 20&quot; TR be 150' or 1,500'?"/>
      </Event>
      <Event time="2025-09-08T16:12:37.18" id="{090E236C-B549-4A35-969C-59C8BF86CE16}">
        <Attribution userId="S::Matt.Hopkins@kimley-horn.com::7aa1e521-2212-4c00-9714-2b583696a4c7" userName="Hopkins, Matt" userProvider="AD"/>
        <Progress percentComplete="100"/>
      </Event>
    </History>
  </Task>
  <Task id="{ABD81F6F-8A87-44E3-A2D0-AEAC2E69E9FD}">
    <Anchor>
      <Comment id="{166D4D87-E632-4505-897A-7A4C35AFB138}"/>
    </Anchor>
    <History>
      <Event time="2025-05-22T21:52:26.11" id="{100650DE-8ED4-4E57-B200-D3DF9486EA52}">
        <Attribution userId="S::camille.corbi@kimley-horn.com::b80af43d-e18c-4b85-83af-a17cab61de64" userName="Corbi, Camille" userProvider="AD"/>
        <Anchor>
          <Comment id="{166D4D87-E632-4505-897A-7A4C35AFB138}"/>
        </Anchor>
        <Create/>
      </Event>
      <Event time="2025-05-22T21:52:26.11" id="{D52DA034-4558-4BF5-B0FC-6CEF6214B2B2}">
        <Attribution userId="S::camille.corbi@kimley-horn.com::b80af43d-e18c-4b85-83af-a17cab61de64" userName="Corbi, Camille" userProvider="AD"/>
        <Anchor>
          <Comment id="{166D4D87-E632-4505-897A-7A4C35AFB138}"/>
        </Anchor>
        <Assign userId="S::Ethan.Ekstrom@kimley-horn.com::1e70e216-c8e6-461c-bf63-53f1f0b1f361" userName="Ekstrom, Ethan" userProvider="AD"/>
      </Event>
      <Event time="2025-05-22T21:52:26.11" id="{001B637D-F5EE-4ED8-BD0F-21D616ED20C8}">
        <Attribution userId="S::camille.corbi@kimley-horn.com::b80af43d-e18c-4b85-83af-a17cab61de64" userName="Corbi, Camille" userProvider="AD"/>
        <Anchor>
          <Comment id="{166D4D87-E632-4505-897A-7A4C35AFB138}"/>
        </Anchor>
        <SetTitle title="@Ekstrom, Ethan are you planning to send this to shactee for drafting? if so update per the new guidance"/>
      </Event>
      <Event time="2025-05-27T13:34:15.62" id="{24FAC314-FC8F-4F99-8C64-E842D4BC7746}">
        <Attribution userId="S::Ethan.Ekstrom@kimley-horn.com::1e70e216-c8e6-461c-bf63-53f1f0b1f361" userName="Ekstrom, Ethan" userProvider="AD"/>
        <Progress percentComplete="100"/>
      </Event>
    </History>
  </Task>
  <Task id="{7D443494-0AB2-4BD8-B463-59FE8C13DB80}">
    <Anchor>
      <Comment id="{A4ED5344-76C9-49B7-8440-7BFE127F8554}"/>
    </Anchor>
    <History>
      <Event time="2025-05-22T21:52:26.11" id="{100650DE-8ED4-4E57-B200-D3DF9486EA52}">
        <Attribution userId="S::camille.corbi@kimley-horn.com::b80af43d-e18c-4b85-83af-a17cab61de64" userName="Corbi, Camille" userProvider="AD"/>
        <Anchor>
          <Comment id="{A4ED5344-76C9-49B7-8440-7BFE127F8554}"/>
        </Anchor>
        <Create/>
      </Event>
      <Event time="2025-05-22T21:52:26.11" id="{D52DA034-4558-4BF5-B0FC-6CEF6214B2B2}">
        <Attribution userId="S::camille.corbi@kimley-horn.com::b80af43d-e18c-4b85-83af-a17cab61de64" userName="Corbi, Camille" userProvider="AD"/>
        <Anchor>
          <Comment id="{A4ED5344-76C9-49B7-8440-7BFE127F8554}"/>
        </Anchor>
        <Assign userId="S::Ethan.Ekstrom@kimley-horn.com::1e70e216-c8e6-461c-bf63-53f1f0b1f361" userName="Ekstrom, Ethan" userProvider="AD"/>
      </Event>
      <Event time="2025-05-22T21:52:26.11" id="{001B637D-F5EE-4ED8-BD0F-21D616ED20C8}">
        <Attribution userId="S::camille.corbi@kimley-horn.com::b80af43d-e18c-4b85-83af-a17cab61de64" userName="Corbi, Camille" userProvider="AD"/>
        <Anchor>
          <Comment id="{A4ED5344-76C9-49B7-8440-7BFE127F8554}"/>
        </Anchor>
        <SetTitle title="@Ekstrom, Ethan are you planning to send this to shactee for drafting? if so update per the new guidance"/>
      </Event>
      <Event time="2025-05-27T13:34:15.62" id="{24FAC314-FC8F-4F99-8C64-E842D4BC7746}">
        <Attribution userId="S::Ethan.Ekstrom@kimley-horn.com::1e70e216-c8e6-461c-bf63-53f1f0b1f361" userName="Ekstrom, Ethan" userProvider="AD"/>
        <Progress percentComplete="100"/>
      </Event>
    </History>
  </Task>
  <Task id="{4224E1CC-DD69-4AEF-9B97-97F19624733C}">
    <Anchor>
      <Comment id="{2987BBDB-4862-40E5-8C87-B5C1276D0515}"/>
    </Anchor>
    <History>
      <Event time="2025-07-14T14:42:59.16" id="{F4E0FE8E-56DC-492E-AF64-21261968EEED}">
        <Attribution userId="S::camille.corbi@kimley-horn.com::b80af43d-e18c-4b85-83af-a17cab61de64" userName="Corbi, Camille" userProvider="AD"/>
        <Anchor>
          <Comment id="{2987BBDB-4862-40E5-8C87-B5C1276D0515}"/>
        </Anchor>
        <Create/>
      </Event>
      <Event time="2025-07-14T14:42:59.16" id="{B05EB040-E865-40FF-ADE3-55439BCDEF85}">
        <Attribution userId="S::camille.corbi@kimley-horn.com::b80af43d-e18c-4b85-83af-a17cab61de64" userName="Corbi, Camille" userProvider="AD"/>
        <Anchor>
          <Comment id="{2987BBDB-4862-40E5-8C87-B5C1276D0515}"/>
        </Anchor>
        <Assign userId="S::Mark.Stanley@kimley-horn.com::5a14f64c-58d4-4dbd-8edd-9219ccd94b84" userName="Stanley, Mark" userProvider="AD"/>
      </Event>
      <Event time="2025-07-14T14:42:59.16" id="{568B2694-1A48-4C4E-AE49-BDE83172885C}">
        <Attribution userId="S::camille.corbi@kimley-horn.com::b80af43d-e18c-4b85-83af-a17cab61de64" userName="Corbi, Camille" userProvider="AD"/>
        <Anchor>
          <Comment id="{2987BBDB-4862-40E5-8C87-B5C1276D0515}"/>
        </Anchor>
        <SetTitle title="@Stanley, Mark reminder to fill this out once you get an idea of if this will go to shactee"/>
      </Event>
    </History>
  </Task>
</Tasks>
</file>

<file path=xl/documenttasks/documenttask2.xml><?xml version="1.0" encoding="utf-8"?>
<Tasks xmlns="http://schemas.microsoft.com/office/tasks/2019/documenttasks">
  <Task id="{0906A51F-43D7-433E-AE45-0B43DD6BF356}">
    <Anchor>
      <Comment id="{725F14E4-EB11-44D6-9C59-4BE9FDC85216}"/>
    </Anchor>
    <History>
      <Event time="2025-07-07T18:02:58.09" id="{6699AC8E-9C24-4F40-9777-3B116ED355D6}">
        <Attribution userId="S::randy.castellon@kimley-horn.com::a8b4d359-bfa0-474b-8818-d9491bf2ecd0" userName="Castellon, Randy" userProvider="AD"/>
        <Anchor>
          <Comment id="{55765069-1983-4C41-82BD-76A7D57BAB63}"/>
        </Anchor>
        <Create/>
      </Event>
      <Event time="2025-07-07T18:02:58.09" id="{2E1F156B-C292-4146-BF73-65D7B811FB38}">
        <Attribution userId="S::randy.castellon@kimley-horn.com::a8b4d359-bfa0-474b-8818-d9491bf2ecd0" userName="Castellon, Randy" userProvider="AD"/>
        <Anchor>
          <Comment id="{55765069-1983-4C41-82BD-76A7D57BAB63}"/>
        </Anchor>
        <Assign userId="S::Tim.Purtell@kimley-horn.com::e6249a91-6954-40c6-a0ba-fa5ae3b88aed" userName="Purtell, Tim" userProvider="AD"/>
      </Event>
      <Event time="2025-07-07T18:02:58.09" id="{E2175BF1-5A5E-4767-BD73-F7442350DF23}">
        <Attribution userId="S::randy.castellon@kimley-horn.com::a8b4d359-bfa0-474b-8818-d9491bf2ecd0" userName="Castellon, Randy" userProvider="AD"/>
        <Anchor>
          <Comment id="{55765069-1983-4C41-82BD-76A7D57BAB63}"/>
        </Anchor>
        <SetTitle title="@Purtell, Tim @LaPorte, Marissa @Roman, Madeline Has a more realistic number been communicated recently with Nicor regarding the vault template hourly cost? If so, can you forward the correspondence associated to me?"/>
      </Event>
    </History>
  </Task>
  <Task id="{7A08922D-5A05-4971-B581-E4BBA79A11C7}">
    <Anchor>
      <Comment id="{E7118AA5-E9B6-4004-9561-3C9174B7CFED}"/>
    </Anchor>
    <History>
      <Event time="2025-09-09T14:20:12.83" id="{E51EE037-5F08-4840-9AF3-A21445D1F9AA}">
        <Attribution userId="S::eric.dina@kimley-horn.com::8f3d4d55-8829-47e8-9dd2-c16db35781e2" userName="Dina, Eric" userProvider="AD"/>
        <Anchor>
          <Comment id="{E7118AA5-E9B6-4004-9561-3C9174B7CFED}"/>
        </Anchor>
        <Create/>
      </Event>
      <Event time="2025-09-09T14:20:12.83" id="{069E6D16-AC07-48BC-B678-9EA8680BD029}">
        <Attribution userId="S::eric.dina@kimley-horn.com::8f3d4d55-8829-47e8-9dd2-c16db35781e2" userName="Dina, Eric" userProvider="AD"/>
        <Anchor>
          <Comment id="{E7118AA5-E9B6-4004-9561-3C9174B7CFED}"/>
        </Anchor>
        <Assign userId="S::Caroline.Kulach@kimley-horn.com::ca061318-582e-4200-80e9-abdeb64d0b61" userName="Kulach, Caroline" userProvider="AD"/>
      </Event>
      <Event time="2025-09-09T14:20:12.83" id="{263FF4D9-B774-4ACB-9680-605B6A375EAA}">
        <Attribution userId="S::eric.dina@kimley-horn.com::8f3d4d55-8829-47e8-9dd2-c16db35781e2" userName="Dina, Eric" userProvider="AD"/>
        <Anchor>
          <Comment id="{E7118AA5-E9B6-4004-9561-3C9174B7CFED}"/>
        </Anchor>
        <SetTitle title="@Kulach, Caroline can you update this to reflect where we are on it?"/>
      </Event>
      <Event time="2025-09-09T15:38:36.24" id="{4D6BD78B-35EC-479B-92AD-5AE14C507A46}">
        <Attribution userId="S::Caroline.Kulach@kimley-horn.com::ca061318-582e-4200-80e9-abdeb64d0b61" userName="Kulach, Caroline" userProvider="AD"/>
        <Progress percentComplete="100"/>
      </Event>
    </History>
  </Task>
  <Task id="{962FE643-7E3D-4E14-BB32-16948D9E63DA}">
    <Anchor>
      <Comment id="{C49550F1-6407-415C-9AD2-651E76C97F2E}"/>
    </Anchor>
    <History>
      <Event time="2025-09-03T18:55:11.19" id="{EF27EE41-AC12-41D4-BC77-496FD7BB7F47}">
        <Attribution userId="S::randy.castellon@kimley-horn.com::a8b4d359-bfa0-474b-8818-d9491bf2ecd0" userName="Castellon, Randy" userProvider="AD"/>
        <Anchor>
          <Comment id="{C49550F1-6407-415C-9AD2-651E76C97F2E}"/>
        </Anchor>
        <Create/>
      </Event>
      <Event time="2025-09-03T18:55:11.19" id="{ED29D040-BA42-440E-857A-F921BA6B9C71}">
        <Attribution userId="S::randy.castellon@kimley-horn.com::a8b4d359-bfa0-474b-8818-d9491bf2ecd0" userName="Castellon, Randy" userProvider="AD"/>
        <Anchor>
          <Comment id="{C49550F1-6407-415C-9AD2-651E76C97F2E}"/>
        </Anchor>
        <Assign userId="S::Marissa.LaPorte@kimley-horn.com::c85ca7b8-b5f4-4260-9b15-fd394e76ac9a" userName="LaPorte, Marissa" userProvider="AD"/>
      </Event>
      <Event time="2025-09-03T18:55:11.19" id="{E183DA5C-AA80-4F84-9783-DB09D72CE2BB}">
        <Attribution userId="S::randy.castellon@kimley-horn.com::a8b4d359-bfa0-474b-8818-d9491bf2ecd0" userName="Castellon, Randy" userProvider="AD"/>
        <Anchor>
          <Comment id="{C49550F1-6407-415C-9AD2-651E76C97F2E}"/>
        </Anchor>
        <SetTitle title="@LaPorte, Marissa update this to just the revision items"/>
      </Event>
      <Event time="2025-09-04T15:16:55.02" id="{77238692-8737-4AD9-84A5-1E0DC687206F}">
        <Attribution userId="S::Marissa.LaPorte@kimley-horn.com::c85ca7b8-b5f4-4260-9b15-fd394e76ac9a" userName="LaPorte, Marissa" userProvider="AD"/>
        <Progress percentComplete="100"/>
      </Event>
    </History>
  </Task>
  <Task id="{BF63985D-305B-4673-A782-BA4311EDA1F1}">
    <Anchor>
      <Comment id="{0DAA7E3B-2DDA-4578-9B47-5AB53C128EE5}"/>
    </Anchor>
    <History>
      <Event time="2025-09-16T14:26:51.48" id="{100967F9-DA7E-4223-ADF3-5E425323CFEC}">
        <Attribution userId="S::randy.castellon@kimley-horn.com::a8b4d359-bfa0-474b-8818-d9491bf2ecd0" userName="Castellon, Randy" userProvider="AD"/>
        <Anchor>
          <Comment id="{424024F5-B02A-45B6-808F-5E21B9BA565F}"/>
        </Anchor>
        <Create/>
      </Event>
      <Event time="2025-09-16T14:26:51.48" id="{02AA7F1E-8C89-45B8-88AF-0885C52910DD}">
        <Attribution userId="S::randy.castellon@kimley-horn.com::a8b4d359-bfa0-474b-8818-d9491bf2ecd0" userName="Castellon, Randy" userProvider="AD"/>
        <Anchor>
          <Comment id="{424024F5-B02A-45B6-808F-5E21B9BA565F}"/>
        </Anchor>
        <Assign userId="S::Mark.Stanley@kimley-horn.com::5a14f64c-58d4-4dbd-8edd-9219ccd94b84" userName="Stanley, Mark" userProvider="AD"/>
      </Event>
      <Event time="2025-09-16T14:26:51.48" id="{FA26CD3B-9C10-4897-9A01-789FBFE006FE}">
        <Attribution userId="S::randy.castellon@kimley-horn.com::a8b4d359-bfa0-474b-8818-d9491bf2ecd0" userName="Castellon, Randy" userProvider="AD"/>
        <Anchor>
          <Comment id="{424024F5-B02A-45B6-808F-5E21B9BA565F}"/>
        </Anchor>
        <SetTitle title="@Stanley, Mark looks like we are over our workplan. What do you anticipate the new workplan being? Do you think a revised workplan is needed?"/>
      </Event>
    </History>
  </Task>
  <Task id="{6B544A5E-EE70-448B-B867-5DE4D0920CB3}">
    <Anchor>
      <Comment id="{E6379C6A-606F-4CAC-A7B7-60B60DFF179D}"/>
    </Anchor>
    <History>
      <Event time="2025-08-26T18:26:10.99" id="{F482EBF9-51C0-4F82-A14E-3AD27566386B}">
        <Attribution userId="S::randy.castellon@kimley-horn.com::a8b4d359-bfa0-474b-8818-d9491bf2ecd0" userName="Castellon, Randy" userProvider="AD"/>
        <Anchor>
          <Comment id="{E6379C6A-606F-4CAC-A7B7-60B60DFF179D}"/>
        </Anchor>
        <Create/>
      </Event>
      <Event time="2025-08-26T18:26:10.99" id="{9CD7CA30-DD8F-4AB1-AFFD-8B7CE951BDC7}">
        <Attribution userId="S::randy.castellon@kimley-horn.com::a8b4d359-bfa0-474b-8818-d9491bf2ecd0" userName="Castellon, Randy" userProvider="AD"/>
        <Anchor>
          <Comment id="{E6379C6A-606F-4CAC-A7B7-60B60DFF179D}"/>
        </Anchor>
        <Assign userId="S::camille.corbi@kimley-horn.com::b80af43d-e18c-4b85-83af-a17cab61de64" userName="Corbi, Camille" userProvider="AD"/>
      </Event>
      <Event time="2025-08-26T18:26:10.99" id="{D06ABCC2-23C2-4AF5-A452-ACF4BC380056}">
        <Attribution userId="S::randy.castellon@kimley-horn.com::a8b4d359-bfa0-474b-8818-d9491bf2ecd0" userName="Castellon, Randy" userProvider="AD"/>
        <Anchor>
          <Comment id="{E6379C6A-606F-4CAC-A7B7-60B60DFF179D}"/>
        </Anchor>
        <SetTitle title="@Corbi, Camille is the workplan for the above vw50 account for this line?"/>
      </Event>
    </History>
  </Task>
  <Task id="{AC965991-94F0-46AD-BCB7-80B626413EE4}">
    <Anchor>
      <Comment id="{8536491F-B6A4-4796-9343-EC4F801DDDF5}"/>
    </Anchor>
    <History>
      <Event time="2025-08-26T18:33:04.27" id="{4CDA7A4B-1A13-411C-BAE9-E8AEC798BED9}">
        <Attribution userId="S::randy.castellon@kimley-horn.com::a8b4d359-bfa0-474b-8818-d9491bf2ecd0" userName="Castellon, Randy" userProvider="AD"/>
        <Anchor>
          <Comment id="{8536491F-B6A4-4796-9343-EC4F801DDDF5}"/>
        </Anchor>
        <Create/>
      </Event>
      <Event time="2025-08-26T18:33:04.27" id="{258E2E05-8148-4A13-9390-FB0C9C219FC6}">
        <Attribution userId="S::randy.castellon@kimley-horn.com::a8b4d359-bfa0-474b-8818-d9491bf2ecd0" userName="Castellon, Randy" userProvider="AD"/>
        <Anchor>
          <Comment id="{8536491F-B6A4-4796-9343-EC4F801DDDF5}"/>
        </Anchor>
        <Assign userId="S::Marissa.LaPorte@kimley-horn.com::c85ca7b8-b5f4-4260-9b15-fd394e76ac9a" userName="LaPorte, Marissa" userProvider="AD"/>
      </Event>
      <Event time="2025-08-26T18:33:04.27" id="{7AB9DBE4-29CB-4ABF-B2D7-BDFB8E080497}">
        <Attribution userId="S::randy.castellon@kimley-horn.com::a8b4d359-bfa0-474b-8818-d9491bf2ecd0" userName="Castellon, Randy" userProvider="AD"/>
        <Anchor>
          <Comment id="{8536491F-B6A4-4796-9343-EC4F801DDDF5}"/>
        </Anchor>
        <SetTitle title="@LaPorte, Marissa Please create a wirteup for this project ASAP since the amount went from 4k to 16k"/>
      </Event>
      <Event time="2025-08-26T21:28:58.82" id="{E2BA55FE-D07E-4646-BA3B-DF323E74092B}">
        <Attribution userId="S::Marissa.LaPorte@kimley-horn.com::c85ca7b8-b5f4-4260-9b15-fd394e76ac9a" userName="LaPorte, Marissa" userProvider="AD"/>
        <Progress percentComplete="100"/>
      </Event>
      <Event time="2025-09-03T18:54:27.03" id="{D254EB96-AA24-407A-AA50-68896CFCAB63}">
        <Attribution userId="S::randy.castellon@kimley-horn.com::a8b4d359-bfa0-474b-8818-d9491bf2ecd0" userName="Castellon, Randy" userProvider="AD"/>
        <Progress percentComplete="0"/>
      </Event>
      <Event time="2025-09-04T15:15:30.42" id="{88579D6B-B195-4E47-8B50-DC55C57FD67F}">
        <Attribution userId="S::Marissa.LaPorte@kimley-horn.com::c85ca7b8-b5f4-4260-9b15-fd394e76ac9a" userName="LaPorte, Marissa" userProvider="AD"/>
        <Progress percentComplete="100"/>
      </Event>
    </History>
  </Task>
  <Task id="{49345EAC-8CAE-4D56-B29E-84478BEEEA4F}">
    <Anchor>
      <Comment id="{7A64B558-9A0A-48DB-A4D4-5388D7733FA8}"/>
    </Anchor>
    <History>
      <Event time="2025-09-05T14:41:18.80" id="{3BA05F27-4E9C-4E55-B2BF-B5C5DCCB90B2}">
        <Attribution userId="S::randy.castellon@kimley-horn.com::a8b4d359-bfa0-474b-8818-d9491bf2ecd0" userName="Castellon, Randy" userProvider="AD"/>
        <Anchor>
          <Comment id="{7A64B558-9A0A-48DB-A4D4-5388D7733FA8}"/>
        </Anchor>
        <Create/>
      </Event>
      <Event time="2025-09-05T14:41:18.80" id="{CD4F36A6-E585-4439-AF4D-3B6C408B5B8D}">
        <Attribution userId="S::randy.castellon@kimley-horn.com::a8b4d359-bfa0-474b-8818-d9491bf2ecd0" userName="Castellon, Randy" userProvider="AD"/>
        <Anchor>
          <Comment id="{7A64B558-9A0A-48DB-A4D4-5388D7733FA8}"/>
        </Anchor>
        <Assign userId="S::Madeline.Roman@kimley-horn.com::79959d48-6dfc-4288-b24a-75dffb65d454" userName="Roman, Madeline" userProvider="AD"/>
      </Event>
      <Event time="2025-09-05T14:41:18.80" id="{53EAF16A-9344-4CC8-A7C5-9551B2266E64}">
        <Attribution userId="S::randy.castellon@kimley-horn.com::a8b4d359-bfa0-474b-8818-d9491bf2ecd0" userName="Castellon, Randy" userProvider="AD"/>
        <Anchor>
          <Comment id="{7A64B558-9A0A-48DB-A4D4-5388D7733FA8}"/>
        </Anchor>
        <SetTitle title="@Roman, Madeline Please provide a workplan for this project"/>
      </Event>
      <Event time="2025-09-09T22:17:47.52" id="{20D77DAD-2381-4A6B-BE0C-6FFF5B5B93B9}">
        <Attribution userId="S::Madeline.Roman@kimley-horn.com::79959d48-6dfc-4288-b24a-75dffb65d454" userName="Roman, Madeline" userProvider="AD"/>
        <Progress percentComplete="100"/>
      </Event>
    </History>
  </Task>
  <Task id="{D6AC1DB1-23BC-45B9-BEC6-177DD4AC45A2}">
    <Anchor>
      <Comment id="{70E0AD89-97E6-4810-B4C6-235E3524BCC4}"/>
    </Anchor>
    <History>
      <Event time="2025-06-17T17:52:13.56" id="{99F67119-FC0E-4E0F-839F-228A21A789D0}">
        <Attribution userId="S::randy.castellon@kimley-horn.com::a8b4d359-bfa0-474b-8818-d9491bf2ecd0" userName="Castellon, Randy" userProvider="AD"/>
        <Anchor>
          <Comment id="{70E0AD89-97E6-4810-B4C6-235E3524BCC4}"/>
        </Anchor>
        <Create/>
      </Event>
      <Event time="2025-06-17T17:52:13.56" id="{0A31AA29-8813-4D70-BD76-C1239AA877B0}">
        <Attribution userId="S::randy.castellon@kimley-horn.com::a8b4d359-bfa0-474b-8818-d9491bf2ecd0" userName="Castellon, Randy" userProvider="AD"/>
        <Anchor>
          <Comment id="{70E0AD89-97E6-4810-B4C6-235E3524BCC4}"/>
        </Anchor>
        <Assign userId="S::Madeline.Roman@kimley-horn.com::79959d48-6dfc-4288-b24a-75dffb65d454" userName="Roman, Madeline" userProvider="AD"/>
      </Event>
      <Event time="2025-06-17T17:52:13.56" id="{9F3AD1B0-425B-4AEC-AEE8-0B4F055D4620}">
        <Attribution userId="S::randy.castellon@kimley-horn.com::a8b4d359-bfa0-474b-8818-d9491bf2ecd0" userName="Castellon, Randy" userProvider="AD"/>
        <Anchor>
          <Comment id="{70E0AD89-97E6-4810-B4C6-235E3524BCC4}"/>
        </Anchor>
        <SetTitle title="@Roman, Madeline if you already created a workplan, please put anticipated amount in here."/>
      </Event>
    </History>
  </Task>
  <Task id="{CDCF5CFF-41BF-48B2-BE3B-D87B616952D3}">
    <Anchor>
      <Comment id="{CF0DB2B6-30DB-4EFE-9563-0F3E600F38DC}"/>
    </Anchor>
    <History>
      <Event time="2025-06-17T17:53:35.23" id="{CF11009A-4FBB-4B18-A4FB-0E0084EF7FCA}">
        <Attribution userId="S::randy.castellon@kimley-horn.com::a8b4d359-bfa0-474b-8818-d9491bf2ecd0" userName="Castellon, Randy" userProvider="AD"/>
        <Anchor>
          <Comment id="{CF0DB2B6-30DB-4EFE-9563-0F3E600F38DC}"/>
        </Anchor>
        <Create/>
      </Event>
      <Event time="2025-06-17T17:53:35.23" id="{DD9F610A-1EE2-4466-BAFB-2A51257BE667}">
        <Attribution userId="S::randy.castellon@kimley-horn.com::a8b4d359-bfa0-474b-8818-d9491bf2ecd0" userName="Castellon, Randy" userProvider="AD"/>
        <Anchor>
          <Comment id="{CF0DB2B6-30DB-4EFE-9563-0F3E600F38DC}"/>
        </Anchor>
        <Assign userId="S::Marissa.LaPorte@kimley-horn.com::c85ca7b8-b5f4-4260-9b15-fd394e76ac9a" userName="LaPorte, Marissa" userProvider="AD"/>
      </Event>
      <Event time="2025-06-17T17:53:35.23" id="{F5320AD1-273B-4913-B26C-6BB1FC48E5E4}">
        <Attribution userId="S::randy.castellon@kimley-horn.com::a8b4d359-bfa0-474b-8818-d9491bf2ecd0" userName="Castellon, Randy" userProvider="AD"/>
        <Anchor>
          <Comment id="{CF0DB2B6-30DB-4EFE-9563-0F3E600F38DC}"/>
        </Anchor>
        <SetTitle title="@LaPorte, Marissa if you already created a workplan, please put anticipated amount in here."/>
      </Event>
      <Event time="2025-06-23T17:39:36.90" id="{E4BC3298-63F9-42A7-8513-436E67E718CC}">
        <Attribution userId="S::Marissa.LaPorte@kimley-horn.com::c85ca7b8-b5f4-4260-9b15-fd394e76ac9a" userName="LaPorte, Marissa" userProvider="AD"/>
        <Progress percentComplete="100"/>
      </Event>
      <Event time="2025-07-16T18:00:24.64" id="{36FF5178-EB87-4FDE-A3E2-A816559B2EF7}">
        <Attribution userId="S::Tim.Purtell@kimley-horn.com::e6249a91-6954-40c6-a0ba-fa5ae3b88aed" userName="Purtell, Tim" userProvider="AD"/>
        <Progress percentComplete="0"/>
      </Event>
      <Event time="2025-09-09T14:21:55.92" id="{DD47D0F3-21D1-4475-8EB6-EA91EBE572B2}">
        <Attribution userId="S::Marissa.LaPorte@kimley-horn.com::c85ca7b8-b5f4-4260-9b15-fd394e76ac9a" userName="LaPorte, Marissa" userProvider="AD"/>
        <Progress percentComplete="100"/>
      </Event>
    </History>
  </Task>
</Tasks>
</file>

<file path=xl/documenttasks/documenttask3.xml><?xml version="1.0" encoding="utf-8"?>
<Tasks xmlns="http://schemas.microsoft.com/office/tasks/2019/documenttasks">
  <Task id="{D62D813C-CFE7-45A1-A773-8BB43271638B}">
    <Anchor>
      <Comment id="{76A8EB0B-B8F9-4988-9CF5-887A7B23B0A6}"/>
    </Anchor>
    <History>
      <Event time="2025-07-17T13:45:39.92" id="{2907B0C8-EC4B-4BD4-8DFB-542323B0A314}">
        <Attribution userId="S::randy.castellon@kimley-horn.com::a8b4d359-bfa0-474b-8818-d9491bf2ecd0" userName="Castellon, Randy" userProvider="AD"/>
        <Anchor>
          <Comment id="{76A8EB0B-B8F9-4988-9CF5-887A7B23B0A6}"/>
        </Anchor>
        <Create/>
      </Event>
      <Event time="2025-07-17T13:45:39.92" id="{191A8E73-A28A-4170-8FA0-0BF026877530}">
        <Attribution userId="S::randy.castellon@kimley-horn.com::a8b4d359-bfa0-474b-8818-d9491bf2ecd0" userName="Castellon, Randy" userProvider="AD"/>
        <Anchor>
          <Comment id="{76A8EB0B-B8F9-4988-9CF5-887A7B23B0A6}"/>
        </Anchor>
        <Assign userId="S::Caroline.Kulach@kimley-horn.com::ca061318-582e-4200-80e9-abdeb64d0b61" userName="Kulach, Caroline" userProvider="AD"/>
      </Event>
      <Event time="2025-07-17T13:45:39.92" id="{A185E644-3026-4A4F-A202-F803B77EBB32}">
        <Attribution userId="S::randy.castellon@kimley-horn.com::a8b4d359-bfa0-474b-8818-d9491bf2ecd0" userName="Castellon, Randy" userProvider="AD"/>
        <Anchor>
          <Comment id="{76A8EB0B-B8F9-4988-9CF5-887A7B23B0A6}"/>
        </Anchor>
        <SetTitle title="@Kulach, Caroline please fill out relevant PO items you are anticipating for this project. once released, be sure to send out the PID email and CC myself"/>
      </Event>
    </History>
  </Task>
</Tasks>
</file>

<file path=xl/documenttasks/documenttask4.xml><?xml version="1.0" encoding="utf-8"?>
<Tasks xmlns="http://schemas.microsoft.com/office/tasks/2019/documenttasks">
  <Task id="{9928BC12-49BB-435A-89EE-D4741C41C97E}">
    <Anchor>
      <Comment id="{8A68C6F2-663E-4739-A621-B9207EF3A6D8}"/>
    </Anchor>
    <History>
      <Event time="2025-06-17T22:22:55.89" id="{93B48421-B38E-4F2E-92D4-F20B01C525C5}">
        <Attribution userId="S::camille.corbi@kimley-horn.com::b80af43d-e18c-4b85-83af-a17cab61de64" userName="Corbi, Camille" userProvider="AD"/>
        <Anchor>
          <Comment id="{8A68C6F2-663E-4739-A621-B9207EF3A6D8}"/>
        </Anchor>
        <Create/>
      </Event>
      <Event time="2025-06-17T22:22:55.89" id="{CB8F332F-5BA6-45DC-A61E-D30CC6051ECF}">
        <Attribution userId="S::camille.corbi@kimley-horn.com::b80af43d-e18c-4b85-83af-a17cab61de64" userName="Corbi, Camille" userProvider="AD"/>
        <Anchor>
          <Comment id="{8A68C6F2-663E-4739-A621-B9207EF3A6D8}"/>
        </Anchor>
        <Assign userId="S::Taylor.Rojas@kimley-horn.com::07652e86-9c3b-48a3-a300-0d3201616d81" userName="Rojas, Taylor" userProvider="AD"/>
      </Event>
      <Event time="2025-06-17T22:22:55.89" id="{E847605F-8D59-4324-AD03-5C172F58D759}">
        <Attribution userId="S::camille.corbi@kimley-horn.com::b80af43d-e18c-4b85-83af-a17cab61de64" userName="Corbi, Camille" userProvider="AD"/>
        <Anchor>
          <Comment id="{8A68C6F2-663E-4739-A621-B9207EF3A6D8}"/>
        </Anchor>
        <SetTitle title="@Rojas, Taylor ca you please help me pull all the shactee effort for this project?"/>
      </Event>
      <Event time="2025-06-18T16:13:36.57" id="{DFA53DC0-3EBB-4028-B58A-998B401D6481}">
        <Attribution userId="S::Taylor.Rojas@kimley-horn.com::07652e86-9c3b-48a3-a300-0d3201616d81" userName="Rojas, Taylor" userProvider="AD"/>
        <Progress percentComplete="100"/>
      </Event>
    </History>
  </Task>
  <Task id="{E7D6FC18-9A09-4AA6-B4B3-AFB0B6CBB534}">
    <Anchor>
      <Comment id="{FE9547CE-7529-49A5-9C48-F88DFB0A82BC}"/>
    </Anchor>
    <History>
      <Event time="2025-09-15T22:18:31.36" id="{6948AB92-9D39-41B5-B226-2B4332F4C0EF}">
        <Attribution userId="S::eric.dina@kimley-horn.com::8f3d4d55-8829-47e8-9dd2-c16db35781e2" userName="Dina, Eric" userProvider="AD"/>
        <Anchor>
          <Comment id="{FE9547CE-7529-49A5-9C48-F88DFB0A82BC}"/>
        </Anchor>
        <Create/>
      </Event>
      <Event time="2025-09-15T22:18:31.36" id="{93142A62-84B4-46F6-941B-5579473B5B8A}">
        <Attribution userId="S::eric.dina@kimley-horn.com::8f3d4d55-8829-47e8-9dd2-c16db35781e2" userName="Dina, Eric" userProvider="AD"/>
        <Anchor>
          <Comment id="{FE9547CE-7529-49A5-9C48-F88DFB0A82BC}"/>
        </Anchor>
        <Assign userId="S::Caroline.Kulach@kimley-horn.com::ca061318-582e-4200-80e9-abdeb64d0b61" userName="Kulach, Caroline" userProvider="AD"/>
      </Event>
      <Event time="2025-09-15T22:18:31.36" id="{AF376548-9D2F-46EA-993A-FC176C6193B7}">
        <Attribution userId="S::eric.dina@kimley-horn.com::8f3d4d55-8829-47e8-9dd2-c16db35781e2" userName="Dina, Eric" userProvider="AD"/>
        <Anchor>
          <Comment id="{FE9547CE-7529-49A5-9C48-F88DFB0A82BC}"/>
        </Anchor>
        <SetTitle title="@Kulach, Caroline did we need to update permitting parameters for this? If not, change to N"/>
      </Event>
      <Event time="2025-09-15T23:30:19.65" id="{7C0EA84A-3E1C-48D8-BB6B-6A6A0181F975}">
        <Attribution userId="S::Caroline.Kulach@kimley-horn.com::ca061318-582e-4200-80e9-abdeb64d0b61" userName="Kulach, Caroline" userProvider="AD"/>
        <Progress percentComplete="100"/>
      </Event>
    </History>
  </Task>
  <Task id="{37045D3E-BFD9-4656-AF86-972ADA7489A0}">
    <Anchor>
      <Comment id="{E3494746-3693-4DD7-B362-43E246472BD6}"/>
    </Anchor>
    <History>
      <Event time="2025-09-15T22:59:06.02" id="{3F27FA86-C3C2-4009-85C6-5F87F3B59238}">
        <Attribution userId="S::eric.dina@kimley-horn.com::8f3d4d55-8829-47e8-9dd2-c16db35781e2" userName="Dina, Eric" userProvider="AD"/>
        <Anchor>
          <Comment id="{E3494746-3693-4DD7-B362-43E246472BD6}"/>
        </Anchor>
        <Create/>
      </Event>
      <Event time="2025-09-15T22:59:06.02" id="{6D2A2E7A-E1D8-496E-A071-579463CF2564}">
        <Attribution userId="S::eric.dina@kimley-horn.com::8f3d4d55-8829-47e8-9dd2-c16db35781e2" userName="Dina, Eric" userProvider="AD"/>
        <Anchor>
          <Comment id="{E3494746-3693-4DD7-B362-43E246472BD6}"/>
        </Anchor>
        <Assign userId="S::Conner.Chamernik@kimley-horn.com::99b12002-7407-47b9-a166-39043bdd2db5" userName="Chamernik, Conner" userProvider="AD"/>
      </Event>
      <Event time="2025-09-15T22:59:06.02" id="{4F43E929-11CD-402B-B8B2-822B67655761}">
        <Attribution userId="S::eric.dina@kimley-horn.com::8f3d4d55-8829-47e8-9dd2-c16db35781e2" userName="Dina, Eric" userProvider="AD"/>
        <Anchor>
          <Comment id="{E3494746-3693-4DD7-B362-43E246472BD6}"/>
        </Anchor>
        <SetTitle title="@Chamernik, Conner why did we call this one an addendum and not a redline revision?"/>
      </Event>
    </History>
  </Task>
  <Task id="{6F4A874C-F311-4F1A-AE48-D92F281F6176}">
    <Anchor>
      <Comment id="{7917EFB6-76FA-4520-B931-D5EB4351013F}"/>
    </Anchor>
    <History>
      <Event time="2025-07-15T20:55:58.94" id="{94BE09F7-9871-4EE4-B3D1-E8A111D3B85B}">
        <Attribution userId="S::Randy.Castellon@kimley-horn.com::a8b4d359-bfa0-474b-8818-d9491bf2ecd0" userName="Castellon, Randy" userProvider="AD"/>
        <Anchor>
          <Comment id="{7917EFB6-76FA-4520-B931-D5EB4351013F}"/>
        </Anchor>
        <Create/>
      </Event>
      <Event time="2025-07-15T20:55:58.94" id="{5989E905-81C3-4987-BAD1-C0C1A10208CC}">
        <Attribution userId="S::Randy.Castellon@kimley-horn.com::a8b4d359-bfa0-474b-8818-d9491bf2ecd0" userName="Castellon, Randy" userProvider="AD"/>
        <Anchor>
          <Comment id="{7917EFB6-76FA-4520-B931-D5EB4351013F}"/>
        </Anchor>
        <Assign userId="S::Matt.Hopkins@kimley-horn.com::7aa1e521-2212-4c00-9714-2b583696a4c7" userName="Hopkins, Matt" userProvider="AD"/>
      </Event>
      <Event time="2025-07-15T20:55:58.94" id="{EF7A1E3B-2DEC-4766-9885-A61C702EE608}">
        <Attribution userId="S::Randy.Castellon@kimley-horn.com::a8b4d359-bfa0-474b-8818-d9491bf2ecd0" userName="Castellon, Randy" userProvider="AD"/>
        <Anchor>
          <Comment id="{7917EFB6-76FA-4520-B931-D5EB4351013F}"/>
        </Anchor>
        <SetTitle title="@Hopkins, Matt retirement is showing 49,124.19"/>
      </Event>
      <Event time="2025-07-16T12:51:48.71" id="{054F3F93-1A47-4C14-A004-21255CCC31EE}">
        <Attribution userId="S::Matt.Hopkins@kimley-horn.com::7aa1e521-2212-4c00-9714-2b583696a4c7" userName="Hopkins, Matt" userProvider="AD"/>
        <Progress percentComplete="100"/>
      </Event>
      <Event time="2025-07-17T13:10:49.18" id="{8F5319B1-10D0-4EAD-8E84-E4648404B4A5}">
        <Attribution userId="S::Nick.Michaels@kimley-horn.com::033d6fb0-aecc-4731-aaaa-e91a3aeca032" userName="Michaels, Nick" userProvider="AD"/>
        <Progress percentComplete="0"/>
      </Event>
    </History>
  </Task>
  <Task id="{98BF954C-29C6-4CB9-B413-336C5A92CC0C}">
    <Anchor>
      <Comment id="{04F49A0F-1449-4BF5-B3F8-10FA21F3E3D4}"/>
    </Anchor>
    <History>
      <Event time="2025-06-16T14:05:47.62" id="{93F87303-4E49-4C4F-8AC0-7F7180623C6F}">
        <Attribution userId="S::eric.dina@kimley-horn.com::8f3d4d55-8829-47e8-9dd2-c16db35781e2" userName="Dina, Eric" userProvider="AD"/>
        <Anchor>
          <Comment id="{04F49A0F-1449-4BF5-B3F8-10FA21F3E3D4}"/>
        </Anchor>
        <Create/>
      </Event>
      <Event time="2025-06-16T14:05:47.62" id="{E3662320-C322-4626-AA9A-BA4AD8204ED0}">
        <Attribution userId="S::eric.dina@kimley-horn.com::8f3d4d55-8829-47e8-9dd2-c16db35781e2" userName="Dina, Eric" userProvider="AD"/>
        <Anchor>
          <Comment id="{04F49A0F-1449-4BF5-B3F8-10FA21F3E3D4}"/>
        </Anchor>
        <Assign userId="S::Matt.Hopkins@kimley-horn.com::7aa1e521-2212-4c00-9714-2b583696a4c7" userName="Hopkins, Matt" userProvider="AD"/>
      </Event>
      <Event time="2025-06-16T14:05:47.62" id="{EFDE994F-0121-42C6-99C8-FC023A7101E2}">
        <Attribution userId="S::eric.dina@kimley-horn.com::8f3d4d55-8829-47e8-9dd2-c16db35781e2" userName="Dina, Eric" userProvider="AD"/>
        <Anchor>
          <Comment id="{04F49A0F-1449-4BF5-B3F8-10FA21F3E3D4}"/>
        </Anchor>
        <SetTitle title="@Hopkins, Matt is this being used to track anything? I think this should just be &quot;Y&quot; if we have PO items."/>
      </Event>
      <Event time="2025-06-19T13:32:09.50" id="{A87BC08E-196A-4532-A39F-5AD5145542A2}">
        <Attribution userId="S::Matt.Hopkins@kimley-horn.com::7aa1e521-2212-4c00-9714-2b583696a4c7" userName="Hopkins, Matt" userProvider="AD"/>
        <Progress percentComplete="100"/>
      </Event>
    </History>
  </Task>
  <Task id="{25CD3B59-7DFD-4893-8462-E43FF1304313}">
    <Anchor>
      <Comment id="{25382274-697D-4830-9CB7-781E5781DB2E}"/>
    </Anchor>
    <History>
      <Event time="2025-09-11T16:46:17.05" id="{C376BDE6-6791-4D23-9FC1-B5B9F4E412D4}">
        <Attribution userId="S::Tim.Purtell@kimley-horn.com::e6249a91-6954-40c6-a0ba-fa5ae3b88aed" userName="Purtell, Tim" userProvider="AD"/>
        <Anchor>
          <Comment id="{25382274-697D-4830-9CB7-781E5781DB2E}"/>
        </Anchor>
        <Create/>
      </Event>
      <Event time="2025-09-11T16:46:17.05" id="{CC1290C0-8281-44B7-AED1-8D95D2445AB5}">
        <Attribution userId="S::Tim.Purtell@kimley-horn.com::e6249a91-6954-40c6-a0ba-fa5ae3b88aed" userName="Purtell, Tim" userProvider="AD"/>
        <Anchor>
          <Comment id="{25382274-697D-4830-9CB7-781E5781DB2E}"/>
        </Anchor>
        <Assign userId="S::Julia.Holstead@kimley-horn.com::4559812a-72af-459a-9e1e-4868b75d3d74" userName="Holstead, Julia" userProvider="AD"/>
      </Event>
      <Event time="2025-09-11T16:46:17.05" id="{468B7E83-4480-4CA4-A6FA-467775EBF520}">
        <Attribution userId="S::Tim.Purtell@kimley-horn.com::e6249a91-6954-40c6-a0ba-fa5ae3b88aed" userName="Purtell, Tim" userProvider="AD"/>
        <Anchor>
          <Comment id="{25382274-697D-4830-9CB7-781E5781DB2E}"/>
        </Anchor>
        <SetTitle title="@Holstead, Julia Can you please fill out highlighted cells? "/>
      </Event>
    </History>
  </Task>
  <Task id="{73F8E667-EED3-4D66-AEA5-B1DA35F066A8}">
    <Anchor>
      <Comment id="{94C37735-2D5E-4E03-BFD1-893766A6372D}"/>
    </Anchor>
    <History>
      <Event time="2025-08-20T14:08:16.57" id="{590D5592-D9B1-4FCA-9AC8-7BD1175A3754}">
        <Attribution userId="S::camille.corbi@kimley-horn.com::b80af43d-e18c-4b85-83af-a17cab61de64" userName="Corbi, Camille" userProvider="AD"/>
        <Anchor>
          <Comment id="{94C37735-2D5E-4E03-BFD1-893766A6372D}"/>
        </Anchor>
        <Create/>
      </Event>
      <Event time="2025-08-20T14:08:16.57" id="{E11FA48B-BF02-44E9-96D3-0E6838AAB848}">
        <Attribution userId="S::camille.corbi@kimley-horn.com::b80af43d-e18c-4b85-83af-a17cab61de64" userName="Corbi, Camille" userProvider="AD"/>
        <Anchor>
          <Comment id="{94C37735-2D5E-4E03-BFD1-893766A6372D}"/>
        </Anchor>
        <Assign userId="S::Taylor.Rojas@kimley-horn.com::07652e86-9c3b-48a3-a300-0d3201616d81" userName="Rojas, Taylor" userProvider="AD"/>
      </Event>
      <Event time="2025-08-20T14:08:16.57" id="{0E32E1B0-9AF6-4B82-AB59-E228E1AC4A03}">
        <Attribution userId="S::camille.corbi@kimley-horn.com::b80af43d-e18c-4b85-83af-a17cab61de64" userName="Corbi, Camille" userProvider="AD"/>
        <Anchor>
          <Comment id="{94C37735-2D5E-4E03-BFD1-893766A6372D}"/>
        </Anchor>
        <SetTitle title="@Rojas, Taylor can you please help me pull the shactee effort for this task"/>
      </Event>
      <Event time="2025-08-21T17:29:16.78" id="{6D7962EC-BEB0-488B-AF54-CBACCC991BDE}">
        <Attribution userId="S::Taylor.Rojas@kimley-horn.com::07652e86-9c3b-48a3-a300-0d3201616d81" userName="Rojas, Taylor" userProvider="AD"/>
        <Progress percentComplete="100"/>
      </Event>
    </History>
  </Task>
  <Task id="{E4584F6C-2C28-41F4-B35B-52D7C0EE4042}">
    <Anchor>
      <Comment id="{CB2EA8A4-7ABA-4DA6-A005-889266FA3A74}"/>
    </Anchor>
    <History>
      <Event time="2025-09-15T17:43:03.02" id="{FDC2CAD1-6FEB-4A7C-A329-97F3049EF400}">
        <Attribution userId="S::eric.dina@kimley-horn.com::8f3d4d55-8829-47e8-9dd2-c16db35781e2" userName="Dina, Eric" userProvider="AD"/>
        <Anchor>
          <Comment id="{CB2EA8A4-7ABA-4DA6-A005-889266FA3A74}"/>
        </Anchor>
        <Create/>
      </Event>
      <Event time="2025-09-15T17:43:03.02" id="{6B7AC0AA-C348-4E4D-A933-34E6C80C6CA7}">
        <Attribution userId="S::eric.dina@kimley-horn.com::8f3d4d55-8829-47e8-9dd2-c16db35781e2" userName="Dina, Eric" userProvider="AD"/>
        <Anchor>
          <Comment id="{CB2EA8A4-7ABA-4DA6-A005-889266FA3A74}"/>
        </Anchor>
        <Assign userId="S::Mark.Stanley@kimley-horn.com::5a14f64c-58d4-4dbd-8edd-9219ccd94b84" userName="Stanley, Mark" userProvider="AD"/>
      </Event>
      <Event time="2025-09-15T17:43:03.02" id="{3F579322-4614-41C0-968D-AF2C2155D0C9}">
        <Attribution userId="S::eric.dina@kimley-horn.com::8f3d4d55-8829-47e8-9dd2-c16db35781e2" userName="Dina, Eric" userProvider="AD"/>
        <Anchor>
          <Comment id="{CB2EA8A4-7ABA-4DA6-A005-889266FA3A74}"/>
        </Anchor>
        <SetTitle title="@Stanley, Mark please populate red cells"/>
      </Event>
    </History>
  </Task>
  <Task id="{133A9E98-9911-4D67-8CBE-BAC5E40772C5}">
    <Anchor>
      <Comment id="{ADA704B7-F959-452F-AED3-8C2B78CDABE5}"/>
    </Anchor>
    <History>
      <Event time="2025-08-18T16:21:23.55" id="{00D03D52-527C-41EE-8286-F281ACC92E5F}">
        <Attribution userId="S::eric.dina@kimley-horn.com::8f3d4d55-8829-47e8-9dd2-c16db35781e2" userName="Dina, Eric" userProvider="AD"/>
        <Anchor>
          <Comment id="{ADA704B7-F959-452F-AED3-8C2B78CDABE5}"/>
        </Anchor>
        <Create/>
      </Event>
      <Event time="2025-08-18T16:21:23.55" id="{8EAF287E-CD60-4533-847C-4A002972D47B}">
        <Attribution userId="S::eric.dina@kimley-horn.com::8f3d4d55-8829-47e8-9dd2-c16db35781e2" userName="Dina, Eric" userProvider="AD"/>
        <Anchor>
          <Comment id="{ADA704B7-F959-452F-AED3-8C2B78CDABE5}"/>
        </Anchor>
        <Assign userId="S::Marissa.LaPorte@kimley-horn.com::c85ca7b8-b5f4-4260-9b15-fd394e76ac9a" userName="LaPorte, Marissa" userProvider="AD"/>
      </Event>
      <Event time="2025-08-18T16:21:23.55" id="{34EE6EA5-FB6D-4454-9E86-94269A69723D}">
        <Attribution userId="S::eric.dina@kimley-horn.com::8f3d4d55-8829-47e8-9dd2-c16db35781e2" userName="Dina, Eric" userProvider="AD"/>
        <Anchor>
          <Comment id="{ADA704B7-F959-452F-AED3-8C2B78CDABE5}"/>
        </Anchor>
        <SetTitle title="@LaPorte, Marissa please save PCTS screenshots in folder showing this cost"/>
      </Event>
      <Event time="2025-08-18T17:19:06.38" id="{2D6F9E3E-905B-4C98-A95A-80FB680F8AB4}">
        <Attribution userId="S::Marissa.LaPorte@kimley-horn.com::c85ca7b8-b5f4-4260-9b15-fd394e76ac9a" userName="LaPorte, Marissa" userProvider="AD"/>
        <Progress percentComplete="100"/>
      </Event>
    </History>
  </Task>
  <Task id="{D264B798-08EF-4300-8427-FD400697C905}">
    <Anchor>
      <Comment id="{8C48CDE7-C3F0-40E7-96CB-01DE78F8663E}"/>
    </Anchor>
    <History>
      <Event time="2025-06-23T16:40:57.20" id="{59966C42-C8E3-45C6-B495-22B3CC6BB388}">
        <Attribution userId="S::eric.dina@kimley-horn.com::8f3d4d55-8829-47e8-9dd2-c16db35781e2" userName="Dina, Eric" userProvider="AD"/>
        <Anchor>
          <Comment id="{8C48CDE7-C3F0-40E7-96CB-01DE78F8663E}"/>
        </Anchor>
        <Create/>
      </Event>
      <Event time="2025-06-23T16:40:57.20" id="{17E84FBA-4619-4087-9A18-501E5FCEE9F4}">
        <Attribution userId="S::eric.dina@kimley-horn.com::8f3d4d55-8829-47e8-9dd2-c16db35781e2" userName="Dina, Eric" userProvider="AD"/>
        <Anchor>
          <Comment id="{8C48CDE7-C3F0-40E7-96CB-01DE78F8663E}"/>
        </Anchor>
        <Assign userId="S::Joseph.Betland@kimley-horn.com::57bf78ce-dcbd-4b6e-831b-185d4a6e51e1" userName="Betland, Joseph" userProvider="AD"/>
      </Event>
      <Event time="2025-06-23T16:40:57.20" id="{51A761DE-17B7-4EF3-89EF-C2327A9097AC}">
        <Attribution userId="S::eric.dina@kimley-horn.com::8f3d4d55-8829-47e8-9dd2-c16db35781e2" userName="Dina, Eric" userProvider="AD"/>
        <Anchor>
          <Comment id="{8C48CDE7-C3F0-40E7-96CB-01DE78F8663E}"/>
        </Anchor>
        <SetTitle title="@Betland, Joseph I called this one &quot;completed&quot; due to it having an EDSR. This probably fits more into &quot;Analysis&quot; outside of it having its own EDSR. Let me know if you have any issue w/ me changing it to analysis."/>
      </Event>
    </History>
  </Task>
  <Task id="{20EBD1B4-1DC2-43FC-AD4E-B713E7A17D33}">
    <Anchor>
      <Comment id="{21AD14EE-A2EA-4616-B2A2-CFD4737370D6}"/>
    </Anchor>
    <History>
      <Event time="2025-01-27T20:20:30.20" id="{36BB2404-8105-484A-8575-27E939F18534}">
        <Attribution userId="S::camille.corbi@kimley-horn.com::b80af43d-e18c-4b85-83af-a17cab61de64" userName="Corbi, Camille" userProvider="AD"/>
        <Anchor>
          <Comment id="{21AD14EE-A2EA-4616-B2A2-CFD4737370D6}"/>
        </Anchor>
        <Create/>
      </Event>
      <Event time="2025-01-27T20:20:30.20" id="{DFEE3C01-7CE3-457F-9A59-B06D2C1630E1}">
        <Attribution userId="S::camille.corbi@kimley-horn.com::b80af43d-e18c-4b85-83af-a17cab61de64" userName="Corbi, Camille" userProvider="AD"/>
        <Anchor>
          <Comment id="{21AD14EE-A2EA-4616-B2A2-CFD4737370D6}"/>
        </Anchor>
        <Assign userId="S::Taylor.Rojas@kimley-horn.com::07652e86-9c3b-48a3-a300-0d3201616d81" userName="Rojas, Taylor" userProvider="AD"/>
      </Event>
      <Event time="2025-01-27T20:20:30.20" id="{FA7A8C4C-FDE0-419F-B96F-443D2A91AE8A}">
        <Attribution userId="S::camille.corbi@kimley-horn.com::b80af43d-e18c-4b85-83af-a17cab61de64" userName="Corbi, Camille" userProvider="AD"/>
        <Anchor>
          <Comment id="{21AD14EE-A2EA-4616-B2A2-CFD4737370D6}"/>
        </Anchor>
        <SetTitle title="@Rojas, Taylor When you have a minute can you please help pull the effort from Shactee on this project?"/>
      </Event>
      <Event time="2025-01-28T15:09:15.36" id="{5FC571FA-B24D-4A5B-B215-E029CCCC94F4}">
        <Attribution userId="S::Taylor.Rojas@kimley-horn.com::07652e86-9c3b-48a3-a300-0d3201616d81" userName="Rojas, Taylor" userProvider="AD"/>
        <Progress percentComplete="100"/>
      </Event>
    </History>
  </Task>
  <Task id="{98760AB6-F647-40E9-B5CA-72DC70CFCB0F}">
    <Anchor>
      <Comment id="{AEB4966C-6084-4291-85FF-13AE71D4CF2F}"/>
    </Anchor>
    <History>
      <Event time="2025-07-18T15:04:40.24" id="{37A84F1D-8142-48AE-A64A-68355F0CFFB9}">
        <Attribution userId="S::camille.corbi@kimley-horn.com::b80af43d-e18c-4b85-83af-a17cab61de64" userName="Corbi, Camille" userProvider="AD"/>
        <Anchor>
          <Comment id="{AEB4966C-6084-4291-85FF-13AE71D4CF2F}"/>
        </Anchor>
        <Create/>
      </Event>
      <Event time="2025-07-18T15:04:40.24" id="{5D42D870-F09D-413C-ACFF-59382068A162}">
        <Attribution userId="S::camille.corbi@kimley-horn.com::b80af43d-e18c-4b85-83af-a17cab61de64" userName="Corbi, Camille" userProvider="AD"/>
        <Anchor>
          <Comment id="{AEB4966C-6084-4291-85FF-13AE71D4CF2F}"/>
        </Anchor>
        <Assign userId="S::Thomas.McTigue@kimley-horn.com::e0420c32-9b4b-455d-b9cf-7143037971d6" userName="McTigue, Thomas" userProvider="AD"/>
      </Event>
      <Event time="2025-07-18T15:04:40.24" id="{6DE202B0-501F-4F9E-881D-E73347000A8F}">
        <Attribution userId="S::camille.corbi@kimley-horn.com::b80af43d-e18c-4b85-83af-a17cab61de64" userName="Corbi, Camille" userProvider="AD"/>
        <Anchor>
          <Comment id="{AEB4966C-6084-4291-85FF-13AE71D4CF2F}"/>
        </Anchor>
        <SetTitle title="@McTigue, Thomas any po items? if so reminder to add it to the requestions tab"/>
      </Event>
      <Event time="2025-07-18T16:23:45.80" id="{6D440D05-37D4-420B-93E9-DD39A1516965}">
        <Attribution userId="S::Thomas.McTigue@kimley-horn.com::e0420c32-9b4b-455d-b9cf-7143037971d6" userName="McTigue, Thomas" userProvider="AD"/>
        <Progress percentComplete="100"/>
      </Event>
    </History>
  </Task>
  <Task id="{A4527BBE-104F-4691-94DF-2B4D50BFE783}">
    <Anchor>
      <Comment id="{7A0A0A00-FE95-4921-9FCD-AFEE013008E6}"/>
    </Anchor>
    <History>
      <Event time="2025-03-17T23:14:51.04" id="{EF62D4C7-7A5B-4C50-A270-849440D55F6E}">
        <Attribution userId="S::eric.dina@kimley-horn.com::8f3d4d55-8829-47e8-9dd2-c16db35781e2" userName="Dina, Eric" userProvider="AD"/>
        <Anchor>
          <Comment id="{D40C3F13-CA81-4B0A-83B6-E1A1A8A295DE}"/>
        </Anchor>
        <Create/>
      </Event>
      <Event time="2025-03-17T23:14:51.04" id="{3CA929EB-5259-4F93-AEC8-EE60DE628893}">
        <Attribution userId="S::eric.dina@kimley-horn.com::8f3d4d55-8829-47e8-9dd2-c16db35781e2" userName="Dina, Eric" userProvider="AD"/>
        <Anchor>
          <Comment id="{D40C3F13-CA81-4B0A-83B6-E1A1A8A295DE}"/>
        </Anchor>
        <Assign userId="S::Randy.Castellon@kimley-horn.com::a8b4d359-bfa0-474b-8818-d9491bf2ecd0" userName="Castellon, Randy" userProvider="AD"/>
      </Event>
      <Event time="2025-03-17T23:14:51.04" id="{7611CB3A-19D7-4073-BD44-478A3C84D6BE}">
        <Attribution userId="S::eric.dina@kimley-horn.com::8f3d4d55-8829-47e8-9dd2-c16db35781e2" userName="Dina, Eric" userProvider="AD"/>
        <Anchor>
          <Comment id="{D40C3F13-CA81-4B0A-83B6-E1A1A8A295DE}"/>
        </Anchor>
        <SetTitle title="@Castellon, Randy have you reviewed this revision reasoning for steering committee yet? Wording still needs to be revised."/>
      </Event>
    </History>
  </Task>
  <Task id="{6F8546C9-F718-4576-86D2-C3446CA1F139}">
    <Anchor>
      <Comment id="{AB80E45A-2DD7-4E16-820C-B5E52CE05EF2}"/>
    </Anchor>
    <History>
      <Event time="2025-07-15T20:55:25.54" id="{D144FEF3-0143-4912-B971-6B01C44DAFBD}">
        <Attribution userId="S::Randy.Castellon@kimley-horn.com::a8b4d359-bfa0-474b-8818-d9491bf2ecd0" userName="Castellon, Randy" userProvider="AD"/>
        <Anchor>
          <Comment id="{AB80E45A-2DD7-4E16-820C-B5E52CE05EF2}"/>
        </Anchor>
        <Create/>
      </Event>
      <Event time="2025-07-15T20:55:25.54" id="{A2B9AB72-8181-4C2A-9AF7-2458CDC0E3AE}">
        <Attribution userId="S::Randy.Castellon@kimley-horn.com::a8b4d359-bfa0-474b-8818-d9491bf2ecd0" userName="Castellon, Randy" userProvider="AD"/>
        <Anchor>
          <Comment id="{AB80E45A-2DD7-4E16-820C-B5E52CE05EF2}"/>
        </Anchor>
        <Assign userId="S::Matt.Hopkins@kimley-horn.com::7aa1e521-2212-4c00-9714-2b583696a4c7" userName="Hopkins, Matt" userProvider="AD"/>
      </Event>
      <Event time="2025-07-15T20:55:25.54" id="{9E835016-EB57-4FB1-9506-C2063B1A87AA}">
        <Attribution userId="S::Randy.Castellon@kimley-horn.com::a8b4d359-bfa0-474b-8818-d9491bf2ecd0" userName="Castellon, Randy" userProvider="AD"/>
        <Anchor>
          <Comment id="{AB80E45A-2DD7-4E16-820C-B5E52CE05EF2}"/>
        </Anchor>
        <SetTitle title="@Hopkins, Matt investment amount is showing $148,402.25. did you record? could you confirm"/>
      </Event>
      <Event time="2025-07-16T12:51:56.14" id="{C55E1718-94F5-4E1D-A585-15A864C1BA63}">
        <Attribution userId="S::Matt.Hopkins@kimley-horn.com::7aa1e521-2212-4c00-9714-2b583696a4c7" userName="Hopkins, Matt" userProvider="AD"/>
        <Progress percentComplete="100"/>
      </Event>
    </History>
  </Task>
</Tasks>
</file>

<file path=xl/documenttasks/documenttask5.xml><?xml version="1.0" encoding="utf-8"?>
<Tasks xmlns="http://schemas.microsoft.com/office/tasks/2019/documenttasks">
  <Task id="{41FEA505-155E-4544-81E6-293ECBB3C6FF}">
    <Anchor>
      <Comment id="{52FF3307-D388-411A-8056-E335470D4E70}"/>
    </Anchor>
    <History>
      <Event time="2025-07-17T12:49:45.60" id="{E8E153D2-E429-4D9A-87BF-B68624388FEB}">
        <Attribution userId="S::camille.corbi@kimley-horn.com::b80af43d-e18c-4b85-83af-a17cab61de64" userName="Corbi, Camille" userProvider="AD"/>
        <Anchor>
          <Comment id="{52FF3307-D388-411A-8056-E335470D4E70}"/>
        </Anchor>
        <Create/>
      </Event>
      <Event time="2025-07-17T12:49:45.60" id="{83B5E79C-0042-470A-B9DB-7637EB79D3F7}">
        <Attribution userId="S::camille.corbi@kimley-horn.com::b80af43d-e18c-4b85-83af-a17cab61de64" userName="Corbi, Camille" userProvider="AD"/>
        <Anchor>
          <Comment id="{52FF3307-D388-411A-8056-E335470D4E70}"/>
        </Anchor>
        <Assign userId="S::Nick.Michaels@kimley-horn.com::033d6fb0-aecc-4731-aaaa-e91a3aeca032" userName="Michaels, Nick" userProvider="AD"/>
      </Event>
      <Event time="2025-07-17T12:49:45.60" id="{FC758256-8EAB-46F3-82CE-97A267E167BB}">
        <Attribution userId="S::camille.corbi@kimley-horn.com::b80af43d-e18c-4b85-83af-a17cab61de64" userName="Corbi, Camille" userProvider="AD"/>
        <Anchor>
          <Comment id="{52FF3307-D388-411A-8056-E335470D4E70}"/>
        </Anchor>
        <SetTitle title="@Michaels, Nick going to go off the WO but i think this should be MR1926"/>
      </Event>
    </History>
  </Task>
  <Task id="{0D8B610C-FCBA-47A3-A333-56231A579A90}">
    <Anchor>
      <Comment id="{040B5710-2E48-4CAB-9B5B-B9710DE8CB70}"/>
    </Anchor>
    <History>
      <Event time="2025-06-30T13:44:24.58" id="{BBDA6D68-0B0F-4F63-B417-56FEDE38769A}">
        <Attribution userId="S::eric.dina@kimley-horn.com::8f3d4d55-8829-47e8-9dd2-c16db35781e2" userName="Dina, Eric" userProvider="AD"/>
        <Anchor>
          <Comment id="{040B5710-2E48-4CAB-9B5B-B9710DE8CB70}"/>
        </Anchor>
        <Create/>
      </Event>
      <Event time="2025-06-30T13:44:24.58" id="{9F801AB8-75EC-409C-B348-56920E595F1A}">
        <Attribution userId="S::eric.dina@kimley-horn.com::8f3d4d55-8829-47e8-9dd2-c16db35781e2" userName="Dina, Eric" userProvider="AD"/>
        <Anchor>
          <Comment id="{040B5710-2E48-4CAB-9B5B-B9710DE8CB70}"/>
        </Anchor>
        <Assign userId="S::Randy.Castellon@kimley-horn.com::a8b4d359-bfa0-474b-8818-d9491bf2ecd0" userName="Castellon, Randy" userProvider="AD"/>
      </Event>
      <Event time="2025-06-30T13:44:24.58" id="{AAC0A57C-96E2-4A4E-846C-ABD4512D1423}">
        <Attribution userId="S::eric.dina@kimley-horn.com::8f3d4d55-8829-47e8-9dd2-c16db35781e2" userName="Dina, Eric" userProvider="AD"/>
        <Anchor>
          <Comment id="{040B5710-2E48-4CAB-9B5B-B9710DE8CB70}"/>
        </Anchor>
        <SetTitle title="@Castellon, Randy please populate red cells"/>
      </Event>
    </History>
  </Task>
  <Task id="{6B058314-2F53-4ECF-AC06-75EA71ED06D9}">
    <Anchor>
      <Comment id="{DF7F3449-E18B-48CF-AD65-4E5299B7D8DE}"/>
    </Anchor>
    <History>
      <Event time="2025-06-30T13:44:40.66" id="{60468C3D-2128-456D-BB08-B17A8A994446}">
        <Attribution userId="S::eric.dina@kimley-horn.com::8f3d4d55-8829-47e8-9dd2-c16db35781e2" userName="Dina, Eric" userProvider="AD"/>
        <Anchor>
          <Comment id="{DF7F3449-E18B-48CF-AD65-4E5299B7D8DE}"/>
        </Anchor>
        <Create/>
      </Event>
      <Event time="2025-06-30T13:44:40.66" id="{77338D0E-3135-4E92-A1EF-882461CBA63A}">
        <Attribution userId="S::eric.dina@kimley-horn.com::8f3d4d55-8829-47e8-9dd2-c16db35781e2" userName="Dina, Eric" userProvider="AD"/>
        <Anchor>
          <Comment id="{DF7F3449-E18B-48CF-AD65-4E5299B7D8DE}"/>
        </Anchor>
        <Assign userId="S::Randy.Castellon@kimley-horn.com::a8b4d359-bfa0-474b-8818-d9491bf2ecd0" userName="Castellon, Randy" userProvider="AD"/>
      </Event>
      <Event time="2025-06-30T13:44:40.66" id="{6589908D-B8B2-4132-A4A2-249A8578D515}">
        <Attribution userId="S::eric.dina@kimley-horn.com::8f3d4d55-8829-47e8-9dd2-c16db35781e2" userName="Dina, Eric" userProvider="AD"/>
        <Anchor>
          <Comment id="{DF7F3449-E18B-48CF-AD65-4E5299B7D8DE}"/>
        </Anchor>
        <SetTitle title="@Castellon, Randy please populate red cells"/>
      </Event>
    </History>
  </Task>
  <Task id="{DAD8EC59-73CE-44EA-95BF-D8D0773F854F}">
    <Anchor>
      <Comment id="{11125BD7-C4C0-4B46-9E3D-F300B3F35E08}"/>
    </Anchor>
    <History>
      <Event time="2025-06-17T22:22:55.89" id="{93B48421-B38E-4F2E-92D4-F20B01C525C5}">
        <Attribution userId="S::camille.corbi@kimley-horn.com::b80af43d-e18c-4b85-83af-a17cab61de64" userName="Corbi, Camille" userProvider="AD"/>
        <Anchor>
          <Comment id="{11125BD7-C4C0-4B46-9E3D-F300B3F35E08}"/>
        </Anchor>
        <Create/>
      </Event>
      <Event time="2025-06-17T22:22:55.89" id="{CB8F332F-5BA6-45DC-A61E-D30CC6051ECF}">
        <Attribution userId="S::camille.corbi@kimley-horn.com::b80af43d-e18c-4b85-83af-a17cab61de64" userName="Corbi, Camille" userProvider="AD"/>
        <Anchor>
          <Comment id="{11125BD7-C4C0-4B46-9E3D-F300B3F35E08}"/>
        </Anchor>
        <Assign userId="S::Taylor.Rojas@kimley-horn.com::07652e86-9c3b-48a3-a300-0d3201616d81" userName="Rojas, Taylor" userProvider="AD"/>
      </Event>
      <Event time="2025-06-17T22:22:55.89" id="{E847605F-8D59-4324-AD03-5C172F58D759}">
        <Attribution userId="S::camille.corbi@kimley-horn.com::b80af43d-e18c-4b85-83af-a17cab61de64" userName="Corbi, Camille" userProvider="AD"/>
        <Anchor>
          <Comment id="{11125BD7-C4C0-4B46-9E3D-F300B3F35E08}"/>
        </Anchor>
        <SetTitle title="@Rojas, Taylor ca you please help me pull all the shactee effort for this project?"/>
      </Event>
      <Event time="2025-06-18T16:13:36.57" id="{DFA53DC0-3EBB-4028-B58A-998B401D6481}">
        <Attribution userId="S::Taylor.Rojas@kimley-horn.com::07652e86-9c3b-48a3-a300-0d3201616d81" userName="Rojas, Taylor" userProvider="AD"/>
        <Progress percentComplete="100"/>
      </Event>
    </History>
  </Task>
  <Task id="{3B39D567-3E94-482E-A60C-0AFE5690833C}">
    <Anchor>
      <Comment id="{8BC7D63D-C4B2-4470-B9AD-86345B15D309}"/>
    </Anchor>
    <History>
      <Event time="2025-07-21T16:15:24.52" id="{41A532E6-C8ED-4ABD-8CBF-5C0B079134A8}">
        <Attribution userId="S::eric.dina@kimley-horn.com::8f3d4d55-8829-47e8-9dd2-c16db35781e2" userName="Dina, Eric" userProvider="AD"/>
        <Anchor>
          <Comment id="{8BC7D63D-C4B2-4470-B9AD-86345B15D309}"/>
        </Anchor>
        <Create/>
      </Event>
      <Event time="2025-07-21T16:15:24.52" id="{85E3D0DF-0817-4076-B0DD-BA6F0870CC24}">
        <Attribution userId="S::eric.dina@kimley-horn.com::8f3d4d55-8829-47e8-9dd2-c16db35781e2" userName="Dina, Eric" userProvider="AD"/>
        <Anchor>
          <Comment id="{8BC7D63D-C4B2-4470-B9AD-86345B15D309}"/>
        </Anchor>
        <Assign userId="S::camille.corbi@kimley-horn.com::b80af43d-e18c-4b85-83af-a17cab61de64" userName="Corbi, Camille" userProvider="AD"/>
      </Event>
      <Event time="2025-07-21T16:15:24.52" id="{C23B7F69-81B0-49D8-B805-CFD224442FBC}">
        <Attribution userId="S::eric.dina@kimley-horn.com::8f3d4d55-8829-47e8-9dd2-c16db35781e2" userName="Dina, Eric" userProvider="AD"/>
        <Anchor>
          <Comment id="{8BC7D63D-C4B2-4470-B9AD-86345B15D309}"/>
        </Anchor>
        <SetTitle title="@Corbi, Camille this is showing as $84,507.50 per PCTS, which is a very minor cost discrepancy from the original PCTS estimate. Was anything updated in PCTS for the revision?"/>
      </Event>
    </History>
  </Task>
  <Task id="{AF4AC9C1-6E54-4789-AE70-5CA3B0ECFD55}">
    <Anchor>
      <Comment id="{4EE63D16-4C08-48FF-9BED-4F3A88B64B43}"/>
    </Anchor>
    <History>
      <Event time="2025-06-16T13:49:02.22" id="{FA2F6D9C-6AEA-464A-8720-3F37B0992CFB}">
        <Attribution userId="S::eric.dina@kimley-horn.com::8f3d4d55-8829-47e8-9dd2-c16db35781e2" userName="Dina, Eric" userProvider="AD"/>
        <Anchor>
          <Comment id="{4EE63D16-4C08-48FF-9BED-4F3A88B64B43}"/>
        </Anchor>
        <Create/>
      </Event>
      <Event time="2025-06-16T13:49:02.22" id="{6B494ACC-E9BF-448D-9D4E-66927F3C4696}">
        <Attribution userId="S::eric.dina@kimley-horn.com::8f3d4d55-8829-47e8-9dd2-c16db35781e2" userName="Dina, Eric" userProvider="AD"/>
        <Anchor>
          <Comment id="{4EE63D16-4C08-48FF-9BED-4F3A88B64B43}"/>
        </Anchor>
        <Assign userId="S::Taylor.Lierow@kimley-horn.com::f9cc7ed3-72e9-4132-a900-a356db234017" userName="Lierow, Taylor" userProvider="AD"/>
      </Event>
      <Event time="2025-06-16T13:49:02.22" id="{1B8DD649-570A-47D4-9ACF-71DE89A602BD}">
        <Attribution userId="S::eric.dina@kimley-horn.com::8f3d4d55-8829-47e8-9dd2-c16db35781e2" userName="Dina, Eric" userProvider="AD"/>
        <Anchor>
          <Comment id="{4EE63D16-4C08-48FF-9BED-4F3A88B64B43}"/>
        </Anchor>
        <SetTitle title="@Lierow, Taylor please populate red cells"/>
      </Event>
    </History>
  </Task>
  <Task id="{A978BEDD-8763-41AB-8F5F-7CB8253C3165}">
    <Anchor>
      <Comment id="{13C5FCC2-7833-4569-8817-0C0A5D16E138}"/>
    </Anchor>
    <History>
      <Event time="2025-01-27T20:20:30.20" id="{36BB2404-8105-484A-8575-27E939F18534}">
        <Attribution userId="S::camille.corbi@kimley-horn.com::b80af43d-e18c-4b85-83af-a17cab61de64" userName="Corbi, Camille" userProvider="AD"/>
        <Anchor>
          <Comment id="{13C5FCC2-7833-4569-8817-0C0A5D16E138}"/>
        </Anchor>
        <Create/>
      </Event>
      <Event time="2025-01-27T20:20:30.20" id="{DFEE3C01-7CE3-457F-9A59-B06D2C1630E1}">
        <Attribution userId="S::camille.corbi@kimley-horn.com::b80af43d-e18c-4b85-83af-a17cab61de64" userName="Corbi, Camille" userProvider="AD"/>
        <Anchor>
          <Comment id="{13C5FCC2-7833-4569-8817-0C0A5D16E138}"/>
        </Anchor>
        <Assign userId="S::Taylor.Rojas@kimley-horn.com::07652e86-9c3b-48a3-a300-0d3201616d81" userName="Rojas, Taylor" userProvider="AD"/>
      </Event>
      <Event time="2025-01-27T20:20:30.20" id="{FA7A8C4C-FDE0-419F-B96F-443D2A91AE8A}">
        <Attribution userId="S::camille.corbi@kimley-horn.com::b80af43d-e18c-4b85-83af-a17cab61de64" userName="Corbi, Camille" userProvider="AD"/>
        <Anchor>
          <Comment id="{13C5FCC2-7833-4569-8817-0C0A5D16E138}"/>
        </Anchor>
        <SetTitle title="@Rojas, Taylor When you have a minute can you please help pull the effort from Shactee on this project?"/>
      </Event>
      <Event time="2025-01-28T15:09:15.36" id="{5FC571FA-B24D-4A5B-B215-E029CCCC94F4}">
        <Attribution userId="S::Taylor.Rojas@kimley-horn.com::07652e86-9c3b-48a3-a300-0d3201616d81" userName="Rojas, Taylor" userProvider="AD"/>
        <Progress percentComplete="100"/>
      </Event>
    </History>
  </Task>
  <Task id="{325520FB-E059-436E-ADC3-6186A63F52F5}">
    <Anchor>
      <Comment id="{4F83217A-6802-4725-84F7-2B0DC6A405A2}"/>
    </Anchor>
    <History>
      <Event time="2025-06-26T17:25:03.59" id="{DADC9577-89B7-4C0F-B3A6-40C786785439}">
        <Attribution userId="S::eric.dina@kimley-horn.com::8f3d4d55-8829-47e8-9dd2-c16db35781e2" userName="Dina, Eric" userProvider="AD"/>
        <Anchor>
          <Comment id="{4F83217A-6802-4725-84F7-2B0DC6A405A2}"/>
        </Anchor>
        <Create/>
      </Event>
      <Event time="2025-06-26T17:25:03.59" id="{37011E93-4306-4FDD-98EA-34A9F0985D84}">
        <Attribution userId="S::eric.dina@kimley-horn.com::8f3d4d55-8829-47e8-9dd2-c16db35781e2" userName="Dina, Eric" userProvider="AD"/>
        <Anchor>
          <Comment id="{4F83217A-6802-4725-84F7-2B0DC6A405A2}"/>
        </Anchor>
        <Assign userId="S::Matt.Hopkins@kimley-horn.com::7aa1e521-2212-4c00-9714-2b583696a4c7" userName="Hopkins, Matt" userProvider="AD"/>
      </Event>
      <Event time="2025-06-26T17:25:03.59" id="{EDDB8F47-9072-4291-99ED-F7DFE9A93613}">
        <Attribution userId="S::eric.dina@kimley-horn.com::8f3d4d55-8829-47e8-9dd2-c16db35781e2" userName="Dina, Eric" userProvider="AD"/>
        <Anchor>
          <Comment id="{4F83217A-6802-4725-84F7-2B0DC6A405A2}"/>
        </Anchor>
        <SetTitle title="@Hopkins, Matt please populate red cells"/>
      </Event>
      <Event time="2025-06-26T19:38:51.85" id="{AE4B8B1C-35F7-432E-A145-188CE5BE108D}">
        <Attribution userId="S::Matt.Hopkins@kimley-horn.com::7aa1e521-2212-4c00-9714-2b583696a4c7" userName="Hopkins, Matt" userProvider="AD"/>
        <Progress percentComplete="100"/>
      </Event>
    </History>
  </Task>
</Task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49</xdr:col>
      <xdr:colOff>442632</xdr:colOff>
      <xdr:row>234</xdr:row>
      <xdr:rowOff>28015</xdr:rowOff>
    </xdr:from>
    <xdr:to>
      <xdr:col>54</xdr:col>
      <xdr:colOff>1349411</xdr:colOff>
      <xdr:row>256</xdr:row>
      <xdr:rowOff>130885</xdr:rowOff>
    </xdr:to>
    <xdr:pic>
      <xdr:nvPicPr>
        <xdr:cNvPr id="3" name="Picture 1">
          <a:extLst>
            <a:ext uri="{FF2B5EF4-FFF2-40B4-BE49-F238E27FC236}">
              <a16:creationId xmlns:a16="http://schemas.microsoft.com/office/drawing/2014/main" id="{5FA4608C-D657-4DB0-82CE-7F516FF8B96B}"/>
            </a:ext>
            <a:ext uri="{147F2762-F138-4A5C-976F-8EAC2B608ADB}">
              <a16:predDERef xmlns:a16="http://schemas.microsoft.com/office/drawing/2014/main" pred="{C3522C70-C61E-4BB8-A39B-CDA7C3958A55}"/>
            </a:ext>
          </a:extLst>
        </xdr:cNvPr>
        <xdr:cNvPicPr>
          <a:picLocks noChangeAspect="1"/>
        </xdr:cNvPicPr>
      </xdr:nvPicPr>
      <xdr:blipFill>
        <a:blip xmlns:r="http://schemas.openxmlformats.org/officeDocument/2006/relationships" r:embed="rId1"/>
        <a:stretch>
          <a:fillRect/>
        </a:stretch>
      </xdr:blipFill>
      <xdr:spPr>
        <a:xfrm>
          <a:off x="46705557" y="11124640"/>
          <a:ext cx="5145405" cy="429387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61</xdr:col>
      <xdr:colOff>192462</xdr:colOff>
      <xdr:row>198</xdr:row>
      <xdr:rowOff>172992</xdr:rowOff>
    </xdr:from>
    <xdr:to>
      <xdr:col>70</xdr:col>
      <xdr:colOff>148408</xdr:colOff>
      <xdr:row>221</xdr:row>
      <xdr:rowOff>27027</xdr:rowOff>
    </xdr:to>
    <xdr:pic>
      <xdr:nvPicPr>
        <xdr:cNvPr id="3" name="Picture 1">
          <a:extLst>
            <a:ext uri="{FF2B5EF4-FFF2-40B4-BE49-F238E27FC236}">
              <a16:creationId xmlns:a16="http://schemas.microsoft.com/office/drawing/2014/main" id="{BD2FB1DC-999F-4084-9607-6745F66D13A3}"/>
            </a:ext>
            <a:ext uri="{147F2762-F138-4A5C-976F-8EAC2B608ADB}">
              <a16:predDERef xmlns:a16="http://schemas.microsoft.com/office/drawing/2014/main" pred="{C3522C70-C61E-4BB8-A39B-CDA7C3958A55}"/>
            </a:ext>
          </a:extLst>
        </xdr:cNvPr>
        <xdr:cNvPicPr>
          <a:picLocks noChangeAspect="1"/>
        </xdr:cNvPicPr>
      </xdr:nvPicPr>
      <xdr:blipFill>
        <a:blip xmlns:r="http://schemas.openxmlformats.org/officeDocument/2006/relationships" r:embed="rId1"/>
        <a:stretch>
          <a:fillRect/>
        </a:stretch>
      </xdr:blipFill>
      <xdr:spPr>
        <a:xfrm>
          <a:off x="52960962" y="6126117"/>
          <a:ext cx="4794646" cy="42355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697643</xdr:colOff>
      <xdr:row>23</xdr:row>
      <xdr:rowOff>84930</xdr:rowOff>
    </xdr:from>
    <xdr:to>
      <xdr:col>17</xdr:col>
      <xdr:colOff>418328</xdr:colOff>
      <xdr:row>44</xdr:row>
      <xdr:rowOff>169412</xdr:rowOff>
    </xdr:to>
    <xdr:pic>
      <xdr:nvPicPr>
        <xdr:cNvPr id="3" name="Picture 1">
          <a:extLst>
            <a:ext uri="{FF2B5EF4-FFF2-40B4-BE49-F238E27FC236}">
              <a16:creationId xmlns:a16="http://schemas.microsoft.com/office/drawing/2014/main" id="{EAEEF1C0-32A8-40A0-887C-C99327036653}"/>
            </a:ext>
            <a:ext uri="{147F2762-F138-4A5C-976F-8EAC2B608ADB}">
              <a16:predDERef xmlns:a16="http://schemas.microsoft.com/office/drawing/2014/main" pred="{C3522C70-C61E-4BB8-A39B-CDA7C3958A55}"/>
            </a:ext>
          </a:extLst>
        </xdr:cNvPr>
        <xdr:cNvPicPr>
          <a:picLocks noChangeAspect="1"/>
        </xdr:cNvPicPr>
      </xdr:nvPicPr>
      <xdr:blipFill>
        <a:blip xmlns:r="http://schemas.openxmlformats.org/officeDocument/2006/relationships" r:embed="rId1"/>
        <a:stretch>
          <a:fillRect/>
        </a:stretch>
      </xdr:blipFill>
      <xdr:spPr>
        <a:xfrm>
          <a:off x="17918843" y="2513805"/>
          <a:ext cx="6886660" cy="395163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43</xdr:col>
      <xdr:colOff>218662</xdr:colOff>
      <xdr:row>1536</xdr:row>
      <xdr:rowOff>30023</xdr:rowOff>
    </xdr:from>
    <xdr:to>
      <xdr:col>49</xdr:col>
      <xdr:colOff>261712</xdr:colOff>
      <xdr:row>1553</xdr:row>
      <xdr:rowOff>109724</xdr:rowOff>
    </xdr:to>
    <xdr:pic>
      <xdr:nvPicPr>
        <xdr:cNvPr id="2" name="Picture 1">
          <a:extLst>
            <a:ext uri="{FF2B5EF4-FFF2-40B4-BE49-F238E27FC236}">
              <a16:creationId xmlns:a16="http://schemas.microsoft.com/office/drawing/2014/main" id="{36813446-3C2A-4C82-9960-99DC93F8CCC4}"/>
            </a:ext>
            <a:ext uri="{147F2762-F138-4A5C-976F-8EAC2B608ADB}">
              <a16:predDERef xmlns:a16="http://schemas.microsoft.com/office/drawing/2014/main" pred="{C3522C70-C61E-4BB8-A39B-CDA7C3958A55}"/>
            </a:ext>
          </a:extLst>
        </xdr:cNvPr>
        <xdr:cNvPicPr>
          <a:picLocks noChangeAspect="1"/>
        </xdr:cNvPicPr>
      </xdr:nvPicPr>
      <xdr:blipFill>
        <a:blip xmlns:r="http://schemas.openxmlformats.org/officeDocument/2006/relationships" r:embed="rId1"/>
        <a:stretch>
          <a:fillRect/>
        </a:stretch>
      </xdr:blipFill>
      <xdr:spPr>
        <a:xfrm>
          <a:off x="40280812" y="71057948"/>
          <a:ext cx="5126225" cy="3318201"/>
        </a:xfrm>
        <a:prstGeom prst="rect">
          <a:avLst/>
        </a:prstGeom>
      </xdr:spPr>
    </xdr:pic>
    <xdr:clientData/>
  </xdr:twoCellAnchor>
  <mc:AlternateContent xmlns:mc="http://schemas.openxmlformats.org/markup-compatibility/2006">
    <mc:Choice xmlns:a14="http://schemas.microsoft.com/office/drawing/2010/main" Requires="a14">
      <xdr:twoCellAnchor>
        <xdr:from>
          <xdr:col>83</xdr:col>
          <xdr:colOff>0</xdr:colOff>
          <xdr:row>1</xdr:row>
          <xdr:rowOff>180975</xdr:rowOff>
        </xdr:from>
        <xdr:to>
          <xdr:col>85</xdr:col>
          <xdr:colOff>638175</xdr:colOff>
          <xdr:row>4</xdr:row>
          <xdr:rowOff>180975</xdr:rowOff>
        </xdr:to>
        <xdr:sp macro="" textlink="">
          <xdr:nvSpPr>
            <xdr:cNvPr id="54782" name="Button 27134" hidden="1">
              <a:extLst>
                <a:ext uri="{63B3BB69-23CF-44E3-9099-C40C66FF867C}">
                  <a14:compatExt spid="_x0000_s54782"/>
                </a:ext>
                <a:ext uri="{FF2B5EF4-FFF2-40B4-BE49-F238E27FC236}">
                  <a16:creationId xmlns:a16="http://schemas.microsoft.com/office/drawing/2014/main" id="{00000000-0008-0000-0A00-0000FED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Highlight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628650</xdr:colOff>
          <xdr:row>5</xdr:row>
          <xdr:rowOff>180975</xdr:rowOff>
        </xdr:from>
        <xdr:to>
          <xdr:col>85</xdr:col>
          <xdr:colOff>628650</xdr:colOff>
          <xdr:row>9</xdr:row>
          <xdr:rowOff>9525</xdr:rowOff>
        </xdr:to>
        <xdr:sp macro="" textlink="">
          <xdr:nvSpPr>
            <xdr:cNvPr id="54783" name="Button 27135" hidden="1">
              <a:extLst>
                <a:ext uri="{63B3BB69-23CF-44E3-9099-C40C66FF867C}">
                  <a14:compatExt spid="_x0000_s54783"/>
                </a:ext>
                <a:ext uri="{FF2B5EF4-FFF2-40B4-BE49-F238E27FC236}">
                  <a16:creationId xmlns:a16="http://schemas.microsoft.com/office/drawing/2014/main" id="{00000000-0008-0000-0A00-0000FFD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Archive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0</xdr:colOff>
          <xdr:row>0</xdr:row>
          <xdr:rowOff>0</xdr:rowOff>
        </xdr:from>
        <xdr:to>
          <xdr:col>86</xdr:col>
          <xdr:colOff>0</xdr:colOff>
          <xdr:row>0</xdr:row>
          <xdr:rowOff>180975</xdr:rowOff>
        </xdr:to>
        <xdr:sp macro="" textlink="">
          <xdr:nvSpPr>
            <xdr:cNvPr id="54784" name="Button 27136" hidden="1">
              <a:extLst>
                <a:ext uri="{63B3BB69-23CF-44E3-9099-C40C66FF867C}">
                  <a14:compatExt spid="_x0000_s54784"/>
                </a:ext>
                <a:ext uri="{FF2B5EF4-FFF2-40B4-BE49-F238E27FC236}">
                  <a16:creationId xmlns:a16="http://schemas.microsoft.com/office/drawing/2014/main" id="{00000000-0008-0000-0A00-000000D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 All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619125</xdr:colOff>
          <xdr:row>10</xdr:row>
          <xdr:rowOff>0</xdr:rowOff>
        </xdr:from>
        <xdr:to>
          <xdr:col>86</xdr:col>
          <xdr:colOff>0</xdr:colOff>
          <xdr:row>12</xdr:row>
          <xdr:rowOff>180975</xdr:rowOff>
        </xdr:to>
        <xdr:sp macro="" textlink="">
          <xdr:nvSpPr>
            <xdr:cNvPr id="54785" name="Button 27137" hidden="1">
              <a:extLst>
                <a:ext uri="{63B3BB69-23CF-44E3-9099-C40C66FF867C}">
                  <a14:compatExt spid="_x0000_s54785"/>
                </a:ext>
                <a:ext uri="{FF2B5EF4-FFF2-40B4-BE49-F238E27FC236}">
                  <a16:creationId xmlns:a16="http://schemas.microsoft.com/office/drawing/2014/main" id="{00000000-0008-0000-0A00-000001D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Show Only Red and Yellow Highlights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0</xdr:colOff>
          <xdr:row>14</xdr:row>
          <xdr:rowOff>0</xdr:rowOff>
        </xdr:from>
        <xdr:to>
          <xdr:col>85</xdr:col>
          <xdr:colOff>638175</xdr:colOff>
          <xdr:row>17</xdr:row>
          <xdr:rowOff>0</xdr:rowOff>
        </xdr:to>
        <xdr:sp macro="" textlink="">
          <xdr:nvSpPr>
            <xdr:cNvPr id="54786" name="Button 27138" hidden="1">
              <a:extLst>
                <a:ext uri="{63B3BB69-23CF-44E3-9099-C40C66FF867C}">
                  <a14:compatExt spid="_x0000_s54786"/>
                </a:ext>
                <a:ext uri="{FF2B5EF4-FFF2-40B4-BE49-F238E27FC236}">
                  <a16:creationId xmlns:a16="http://schemas.microsoft.com/office/drawing/2014/main" id="{00000000-0008-0000-0A00-000002D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Print Sheet to PDF</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Eric" id="{1E253B56-DBF5-416C-B9F1-5F490995BE6D}">
    <nsvFilter filterId="{0073C658-46AA-469A-BDC3-142FA6152694}" ref="B1:Q311" tableId="0"/>
  </namedSheetView>
</namedSheetViews>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Eric" id="{8C664BEA-5B1B-4FCA-8C11-0E422FD7D4ED}">
    <nsvFilter filterId="{46BBDD78-9A8A-4BA2-85A0-8870FFFE5E8A}" ref="A2:CA192" tableId="6">
      <columnFilter colId="1" id="{405E9AD3-A467-4AE8-9130-69010696FAC7}">
        <filter colId="1">
          <x:filters>
            <x:filter val="DOT"/>
          </x:filters>
        </filter>
      </columnFilter>
      <columnFilter colId="14" id="{0A7E088B-02A0-4114-B608-BC9C8F936C0D}">
        <filter colId="14">
          <x:filters>
            <x:dateGroupItem year="2024" month="5" dateTimeGrouping="month"/>
            <x:dateGroupItem year="2024" month="6" dateTimeGrouping="month"/>
          </x:filters>
        </filter>
      </columnFilter>
      <sortRules>
        <sortRule colId="14" id="{0A7E088B-02A0-4114-B608-BC9C8F936C0D}">
          <sortCondition ref="O2:O192"/>
        </sortRule>
      </sortRules>
    </nsvFilter>
  </namedSheetView>
  <namedSheetView name="MARK" id="{957BB8B2-2DF1-4D8D-A63A-1E0C2A139316}">
    <nsvFilter filterId="{46BBDD78-9A8A-4BA2-85A0-8870FFFE5E8A}" ref="A2:CA192" tableId="6">
      <columnFilter colId="6" id="{908CE763-0A61-4526-89EA-F130945188EB}">
        <filter colId="6">
          <x:filters>
            <x:filter val="Mark Stanley"/>
          </x:filters>
        </filter>
      </columnFilter>
    </nsvFilter>
  </namedSheetView>
  <namedSheetView name="Nick" id="{08FC334A-A096-402E-BE5B-9A13D3BAC412}">
    <nsvFilter filterId="{46BBDD78-9A8A-4BA2-85A0-8870FFFE5E8A}" ref="A2:CA192" tableId="6"/>
  </namedSheetView>
</namedSheetViews>
</file>

<file path=xl/namedSheetViews/namedSheetView3.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Eric" id="{018F3481-A398-4159-BC46-1001701D5DCC}">
    <nsvFilter filterId="{BF615E37-72CE-4EA2-9BE9-3DB4402C3604}" ref="A2:BZ175" tableId="8">
      <columnFilter colId="1" id="{28504AD4-B41F-435D-BDC5-059017C0378C}">
        <filter colId="1">
          <x:filters>
            <x:filter val="DOT"/>
          </x:filters>
        </filter>
      </columnFilter>
      <columnFilter colId="41" id="{1F2D98CF-8260-4A85-AD25-E4CF29F3E9E9}">
        <filter colId="41">
          <x:filters>
            <x:filter val="$1,004,495.43"/>
            <x:filter val="$1,087,444.94"/>
            <x:filter val="$1,347,749.09"/>
            <x:filter val="$1,524,304.98"/>
            <x:filter val="$1,812,529.87"/>
            <x:filter val="$1,907,783.68"/>
            <x:filter val="$101,481.74"/>
            <x:filter val="$107,241.82"/>
            <x:filter val="$113,699.09"/>
            <x:filter val="$156,209.79"/>
            <x:filter val="$165,598.40"/>
            <x:filter val="$2,568,392.08"/>
            <x:filter val="$214,239.40"/>
            <x:filter val="$284,240.23"/>
            <x:filter val="$3,066,913.73"/>
            <x:filter val="$335,487.15"/>
            <x:filter val="$4,555,170.26"/>
            <x:filter val="$44,717.62"/>
            <x:filter val="$455,037.29"/>
            <x:filter val="$457,231.43"/>
            <x:filter val="$461,071.23"/>
            <x:filter val="$536,564.55"/>
            <x:filter val="$570,185.64"/>
            <x:filter val="$570,517.85"/>
            <x:filter val="$71,911.88"/>
            <x:filter val="$719,221.29"/>
            <x:filter val="$897,800.80"/>
            <x:filter val="$95,227.15"/>
            <x:filter val="$977,551.39"/>
            <x:filter val="$994,814.23"/>
          </x:filters>
        </filter>
      </columnFilter>
      <sortRules>
        <sortRule colId="10" id="{834C9BC1-F368-4148-A16A-38E1AF313742}">
          <sortCondition ref="K2:K175"/>
        </sortRule>
      </sortRules>
    </nsvFilter>
  </namedSheetView>
  <namedSheetView name="MARK" id="{8FB51B0F-CDA9-4C1E-9993-71C268874E01}">
    <nsvFilter filterId="{BF615E37-72CE-4EA2-9BE9-3DB4402C3604}" ref="A2:BZ175" tableId="8">
      <sortRules>
        <sortRule colId="10" id="{834C9BC1-F368-4148-A16A-38E1AF313742}">
          <sortCondition descending="1" ref="K2:K175"/>
        </sortRule>
      </sortRules>
    </nsvFilter>
  </namedSheetView>
  <namedSheetView name="Nick" id="{6D37C05B-7DC3-4421-A217-B422DE561056}"/>
  <namedSheetView name="Randy View" id="{2991A700-722A-4436-B28A-8EC292873CB2}">
    <nsvFilter filterId="{BF615E37-72CE-4EA2-9BE9-3DB4402C3604}" ref="A2:BZ175" tableId="8">
      <columnFilter colId="6" id="{2DD56B03-2C08-412F-8E97-5FDBA02615AE}">
        <filter colId="6">
          <x:filters>
            <x:filter val="Camille Corbi"/>
            <x:filter val="Camille Corbi/Ethan Ekstrom"/>
          </x:filters>
        </filter>
      </columnFilter>
    </nsvFilter>
  </namedSheetView>
</namedSheetViews>
</file>

<file path=xl/namedSheetViews/namedSheetView4.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Caroline" id="{82363B70-EEB8-4D93-9FAB-FCAFBD4D8FFB}">
    <nsvFilter filterId="{11F865D0-4B28-4FD3-BD8F-C0D6C8964C52}" ref="A2:AV41" tableId="5">
      <columnFilter colId="6" id="{2BD55C78-95D6-46F9-B698-443996B8079E}">
        <filter colId="6">
          <x:filters>
            <x:filter val="Marissa LaPorte / Caroline"/>
          </x:filters>
        </filter>
      </columnFilter>
    </nsvFilter>
  </namedSheetView>
  <namedSheetView name="Julia" id="{4DDD8815-8ADC-45AB-8450-CCC31C315ED7}">
    <nsvFilter filterId="{11F865D0-4B28-4FD3-BD8F-C0D6C8964C52}" ref="A2:AV41" tableId="5">
      <columnFilter colId="6" id="{2BD55C78-95D6-46F9-B698-443996B8079E}">
        <filter colId="6">
          <x:filters>
            <x:filter val="Julia Holstead"/>
            <x:filter val="Julia Holstead (Madie/Marissa)"/>
            <x:filter val="Julia Holstead (Marissa)"/>
            <x:filter val="Julia Holstead (Mitch)"/>
          </x:filters>
        </filter>
      </columnFilter>
    </nsvFilter>
  </namedSheetView>
  <namedSheetView name="Madie" id="{AE5FE97D-DD84-4759-B586-8304B743C7ED}">
    <nsvFilter filterId="{11F865D0-4B28-4FD3-BD8F-C0D6C8964C52}" ref="A2:AV41" tableId="5">
      <columnFilter colId="6" id="{2BD55C78-95D6-46F9-B698-443996B8079E}">
        <filter colId="6">
          <x:filters>
            <x:filter val="Julia Holstead (Madie/Marissa)"/>
            <x:filter val="Madie Roman"/>
          </x:filters>
        </filter>
      </columnFilter>
      <sortRules>
        <sortRule colId="9" id="{422A66F3-5EDA-4266-96F8-636FA5F6E4C1}">
          <sortCondition ref="J2:J41"/>
        </sortRule>
      </sortRules>
    </nsvFilter>
  </namedSheetView>
  <namedSheetView name="Randy" id="{FA161C1F-63C7-4536-A97B-7E8D75093007}">
    <nsvFilter filterId="{11F865D0-4B28-4FD3-BD8F-C0D6C8964C52}" ref="A2:AV41" tableId="5">
      <sortRules>
        <sortRule colId="2" id="{F65BF497-1D23-4B8E-8551-4EF9B0FBE175}">
          <sortCondition ref="C2:C41"/>
        </sortRule>
      </sortRules>
    </nsvFilter>
  </namedSheetView>
  <namedSheetView name="TOM" id="{9CF29C45-AA99-417D-8B4B-B4CEEB63668A}">
    <nsvFilter filterId="{11F865D0-4B28-4FD3-BD8F-C0D6C8964C52}" ref="A2:AV41" tableId="5">
      <columnFilter colId="6" id="{2BD55C78-95D6-46F9-B698-443996B8079E}">
        <filter colId="6">
          <x:filters>
            <x:filter val="Tom McTigue"/>
          </x:filters>
        </filter>
      </columnFilter>
    </nsvFilter>
  </namedSheetView>
</namedSheetViews>
</file>

<file path=xl/namedSheetViews/namedSheetView5.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MARK" id="{DBA5AEDA-94CD-48A0-AC4C-08A146735576}">
    <nsvFilter filterId="{A107E44C-C865-4866-9211-5DBF3A80DE93}" ref="A2:AX12" tableId="3">
      <columnFilter colId="6" id="{5A6E349C-5F91-49B5-87E3-82F39E06EE5A}">
        <filter colId="6">
          <x:filters>
            <x:filter val="Mark Stanley"/>
            <x:filter val="Tom McTigue"/>
          </x:filters>
        </filter>
      </columnFilter>
    </nsvFilter>
  </namedSheetView>
  <namedSheetView name="Tom" id="{53F31B58-029C-4EAC-96C4-CE16C7EE2616}">
    <nsvFilter filterId="{A107E44C-C865-4866-9211-5DBF3A80DE93}" ref="A2:AX12" tableId="3">
      <sortRules>
        <sortRule colId="6" id="{5A6E349C-5F91-49B5-87E3-82F39E06EE5A}">
          <sortCondition ref="G2:G12"/>
        </sortRule>
      </sortRules>
    </nsvFilter>
  </namedSheetView>
</namedSheetViews>
</file>

<file path=xl/namedSheetViews/namedSheetView6.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Camille" id="{67361FCD-0B73-4558-A8BD-98173B1C3C0B}">
    <nsvFilter filterId="{C2EE35C2-9D3D-49A1-BC20-B82563AB847E}" ref="A2:BC33" tableId="2">
      <columnFilter colId="6" id="{26D1F9B4-89AA-45C4-B53A-FA29C1AFB89E}">
        <filter colId="6">
          <x:filters>
            <x:filter val="Camille Corbi"/>
          </x:filters>
        </filter>
      </columnFilter>
      <sortRules>
        <sortRule colId="7" id="{8E08FE0E-6A8C-4B8F-BEB9-E84906F04CDB}">
          <sortCondition ref="H2:H33"/>
        </sortRule>
      </sortRules>
    </nsvFilter>
  </namedSheetView>
  <namedSheetView name="Caroline" id="{F75AED64-C3A4-40BF-A5B1-B4D9EB2090F4}">
    <nsvFilter filterId="{C2EE35C2-9D3D-49A1-BC20-B82563AB847E}" ref="A2:BC33" tableId="2">
      <columnFilter colId="6" id="{26D1F9B4-89AA-45C4-B53A-FA29C1AFB89E}">
        <filter colId="6">
          <x:filters>
            <x:filter val="Caroline Kulach"/>
            <x:filter val="Eric Dina"/>
          </x:filters>
        </filter>
      </columnFilter>
      <sortRules>
        <sortRule colId="7" id="{8E08FE0E-6A8C-4B8F-BEB9-E84906F04CDB}">
          <sortCondition ref="H2:H33"/>
        </sortRule>
      </sortRules>
    </nsvFilter>
  </namedSheetView>
  <namedSheetView name="Conner" id="{8295BC09-3824-4046-BB25-62D16050D8DF}">
    <nsvFilter filterId="{C2EE35C2-9D3D-49A1-BC20-B82563AB847E}" ref="A2:BC33" tableId="2">
      <columnFilter colId="6" id="{26D1F9B4-89AA-45C4-B53A-FA29C1AFB89E}">
        <filter colId="6">
          <x:filters>
            <x:filter val="Conner Chamernik"/>
          </x:filters>
        </filter>
      </columnFilter>
      <sortRules>
        <sortRule colId="7" id="{8E08FE0E-6A8C-4B8F-BEB9-E84906F04CDB}">
          <sortCondition ref="H2:H33"/>
        </sortRule>
      </sortRules>
    </nsvFilter>
  </namedSheetView>
  <namedSheetView name="Eric" id="{655DFDE2-2039-45F8-B55C-8EE9A58CA8ED}">
    <nsvFilter filterId="{C2EE35C2-9D3D-49A1-BC20-B82563AB847E}" ref="A2:BC33" tableId="2">
      <sortRules>
        <sortRule colId="6" id="{26D1F9B4-89AA-45C4-B53A-FA29C1AFB89E}">
          <sortCondition ref="G2:G33"/>
        </sortRule>
      </sortRules>
    </nsvFilter>
  </namedSheetView>
  <namedSheetView name="Ethan" id="{AF2737D6-A8D5-4EF4-A2D8-A10C002FA6C2}">
    <nsvFilter filterId="{C2EE35C2-9D3D-49A1-BC20-B82563AB847E}" ref="A2:BC33" tableId="2">
      <columnFilter colId="6" id="{26D1F9B4-89AA-45C4-B53A-FA29C1AFB89E}">
        <filter colId="6">
          <x:filters>
            <x:filter val="Ethan Ekstrom"/>
            <x:filter val="Taylor Lierow/Ethan Ekstrom"/>
          </x:filters>
        </filter>
      </columnFilter>
    </nsvFilter>
  </namedSheetView>
  <namedSheetView name="Joey" id="{866A11A3-089E-44AB-8598-7C3516301E73}">
    <nsvFilter filterId="{C2EE35C2-9D3D-49A1-BC20-B82563AB847E}" ref="A2:BC33" tableId="2"/>
  </namedSheetView>
  <namedSheetView name="Marissa" id="{42971D7E-2DB2-4499-BA8F-939B0D90F1E5}">
    <nsvFilter filterId="{C2EE35C2-9D3D-49A1-BC20-B82563AB847E}" ref="A2:BC33" tableId="2">
      <columnFilter colId="6" id="{26D1F9B4-89AA-45C4-B53A-FA29C1AFB89E}">
        <filter colId="6">
          <x:filters>
            <x:filter val="Marissa LaPorte"/>
          </x:filters>
        </filter>
      </columnFilter>
      <sortRules>
        <sortRule colId="7" id="{8E08FE0E-6A8C-4B8F-BEB9-E84906F04CDB}">
          <sortCondition ref="H2:H33"/>
        </sortRule>
      </sortRules>
    </nsvFilter>
  </namedSheetView>
  <namedSheetView name="Mark" id="{A68D121E-75E6-4ECC-B64B-2B75089E1E48}">
    <nsvFilter filterId="{C2EE35C2-9D3D-49A1-BC20-B82563AB847E}" ref="A2:BC33" tableId="2">
      <columnFilter colId="6" id="{26D1F9B4-89AA-45C4-B53A-FA29C1AFB89E}">
        <filter colId="6">
          <x:filters>
            <x:filter val="Mark Stanley"/>
          </x:filters>
        </filter>
      </columnFilter>
    </nsvFilter>
  </namedSheetView>
  <namedSheetView name="Matt H" id="{B3230433-259B-48E9-845C-7CA39C693EFE}">
    <nsvFilter filterId="{C2EE35C2-9D3D-49A1-BC20-B82563AB847E}" ref="A2:BC33" tableId="2">
      <columnFilter colId="6" id="{26D1F9B4-89AA-45C4-B53A-FA29C1AFB89E}">
        <filter colId="6">
          <x:filters>
            <x:filter val="Matt Hopkins"/>
          </x:filters>
        </filter>
      </columnFilter>
      <sortRules>
        <sortRule colId="7" id="{8E08FE0E-6A8C-4B8F-BEB9-E84906F04CDB}">
          <sortCondition ref="H2:H33"/>
        </sortRule>
      </sortRules>
    </nsvFilter>
  </namedSheetView>
  <namedSheetView name="Randy" id="{632046B4-93E7-4682-9987-A7A5D7ED8917}">
    <nsvFilter filterId="{C2EE35C2-9D3D-49A1-BC20-B82563AB847E}" ref="A2:BC33" tableId="2">
      <columnFilter colId="6" id="{26D1F9B4-89AA-45C4-B53A-FA29C1AFB89E}">
        <filter colId="6">
          <x:filters>
            <x:filter val="Taylor Lierow"/>
            <x:filter val="Taylor Lierow/Ethan Ekstrom"/>
            <x:filter val="Taylor Lierow/Michael Molloy"/>
          </x:filters>
        </filter>
      </columnFilter>
      <sortRules>
        <sortRule colId="9" id="{BC138D01-C54E-4980-8933-781F14DC9A9A}">
          <sortCondition ref="J2:J33"/>
        </sortRule>
      </sortRules>
    </nsvFilter>
  </namedSheetView>
  <namedSheetView name="Taylor" id="{12EEEFE9-D5BD-4F1D-87A3-228596E0D60F}">
    <nsvFilter filterId="{C2EE35C2-9D3D-49A1-BC20-B82563AB847E}" ref="A2:BC33" tableId="2">
      <columnFilter colId="6" id="{26D1F9B4-89AA-45C4-B53A-FA29C1AFB89E}">
        <filter colId="6">
          <x:filters>
            <x:filter val="Caroline Kulach"/>
            <x:filter val="Taylor Lierow"/>
          </x:filters>
        </filter>
      </columnFilter>
    </nsvFilter>
  </namedSheetView>
  <namedSheetView name="Tim" id="{E3A8EAAF-29C7-4A4A-BF3F-3A56EAA3B11D}"/>
  <namedSheetView name="Tom" id="{91FF0F5B-0183-4D77-831D-CC32D966F76B}">
    <nsvFilter filterId="{C2EE35C2-9D3D-49A1-BC20-B82563AB847E}" ref="A2:BC33" tableId="2">
      <sortRules>
        <sortRule colId="7" id="{8E08FE0E-6A8C-4B8F-BEB9-E84906F04CDB}">
          <sortCondition ref="H2:H33"/>
        </sortRule>
      </sortRules>
    </nsvFilter>
  </namedSheetView>
</namedSheetViews>
</file>

<file path=xl/namedSheetViews/namedSheetView7.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Eric" id="{6E2CA6D4-D66C-478F-A909-1A3FD216BFFB}">
    <nsvFilter filterId="{A099A056-23B4-4563-964A-1DD288782E0C}" ref="A2:V23" tableId="7">
      <columnFilter colId="1" id="{2E0AE227-6082-4F13-AB83-349B6336F877}">
        <filter colId="1">
          <x:filters>
            <x:filter val="DOT"/>
          </x:filters>
        </filter>
      </columnFilter>
      <sortRules>
        <sortRule colId="6" id="{10B21810-E7FD-4F58-A901-DFD7802FB619}">
          <sortCondition ref="G2:G23"/>
        </sortRule>
      </sortRules>
    </nsvFilter>
    <nsvFilter filterId="{4EBFCC43-7FAD-4A4C-92EC-8ADD8090BA57}" ref="H43" tableId="0"/>
  </namedSheetView>
  <namedSheetView name="Ethan" id="{DAD24F9E-5857-4428-B7AE-69FBD2D8E27E}">
    <nsvFilter filterId="{A099A056-23B4-4563-964A-1DD288782E0C}" ref="A2:V23" tableId="7">
      <sortRules>
        <sortRule colId="1" id="{2E0AE227-6082-4F13-AB83-349B6336F877}">
          <sortCondition ref="B2:B23"/>
        </sortRule>
      </sortRules>
    </nsvFilter>
  </namedSheetView>
  <namedSheetView name="Madie" id="{772C05E7-70C2-4207-A942-D91E49DBD4BD}">
    <nsvFilter filterId="{A099A056-23B4-4563-964A-1DD288782E0C}" ref="A2:V23" tableId="7">
      <columnFilter colId="6" id="{10B21810-E7FD-4F58-A901-DFD7802FB619}">
        <filter colId="6">
          <x:filters>
            <x:filter val="Madie Roman"/>
            <x:filter val="Marissa LaPorte"/>
          </x:filters>
        </filter>
      </columnFilter>
      <sortRules>
        <sortRule colId="9" id="{723A86FA-AB02-43CA-A44F-F0608643C528}">
          <sortCondition ref="J2:J23"/>
        </sortRule>
      </sortRules>
    </nsvFilter>
    <nsvFilter filterId="{4EBFCC43-7FAD-4A4C-92EC-8ADD8090BA57}" ref="H43" tableId="0"/>
  </namedSheetView>
  <namedSheetView name="MARK" id="{389D9F6A-05E5-463C-BFD1-6C758C09CF5B}">
    <nsvFilter filterId="{A099A056-23B4-4563-964A-1DD288782E0C}" ref="A2:V23" tableId="7">
      <columnFilter colId="6" id="{10B21810-E7FD-4F58-A901-DFD7802FB619}">
        <filter colId="6">
          <x:filters>
            <x:filter val="Mark Stanley"/>
          </x:filters>
        </filter>
      </columnFilter>
    </nsvFilter>
    <nsvFilter filterId="{4EBFCC43-7FAD-4A4C-92EC-8ADD8090BA57}" ref="H43" tableId="0"/>
  </namedSheetView>
  <namedSheetView name="Randy" id="{0FCE4023-78F2-40FD-9DE9-4172C40366A3}">
    <nsvFilter filterId="{A099A056-23B4-4563-964A-1DD288782E0C}" ref="A2:V23" tableId="7">
      <sortRules>
        <sortRule colId="2" id="{8B7A4039-D482-4467-983C-7CDABCF5F416}">
          <sortCondition ref="C2:C23"/>
        </sortRule>
      </sortRules>
    </nsvFilter>
    <nsvFilter filterId="{4EBFCC43-7FAD-4A4C-92EC-8ADD8090BA57}" ref="H43" tableId="0"/>
  </namedSheetView>
  <namedSheetView name="Tom" id="{512C1672-B4DA-406F-A796-5A242DF33AE5}">
    <nsvFilter filterId="{A099A056-23B4-4563-964A-1DD288782E0C}" ref="A2:V23" tableId="7">
      <columnFilter colId="1" id="{2E0AE227-6082-4F13-AB83-349B6336F877}">
        <filter colId="1">
          <x:filters>
            <x:filter val="DIMP BS"/>
            <x:filter val="DIMP MR"/>
          </x:filters>
        </filter>
      </columnFilter>
      <sortRules>
        <sortRule colId="9" id="{723A86FA-AB02-43CA-A44F-F0608643C528}">
          <sortCondition ref="J2:J23"/>
        </sortRule>
      </sortRules>
    </nsvFilter>
    <nsvFilter filterId="{4EBFCC43-7FAD-4A4C-92EC-8ADD8090BA57}" ref="H43" tableId="0"/>
  </namedSheetView>
</namedSheetViews>
</file>

<file path=xl/namedSheetViews/namedSheetView8.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Eric" id="{B95299D0-D3D8-4629-979F-032E1008A77F}">
    <nsvFilter filterId="{9809D18D-5CF0-40AC-82C8-C01B154F1217}" ref="A1:Y413" tableId="1">
      <columnFilter colId="2" id="{142C5162-CBD2-40DC-95E4-6141C954A3EC}">
        <filter colId="2">
          <x:filters>
            <x:filter val="DOT"/>
          </x:filters>
        </filter>
      </columnFilter>
    </nsvFilter>
  </namedSheetView>
  <namedSheetView name="MARK" id="{AF496912-A3CC-4741-AFF1-B96EE320F6FB}">
    <nsvFilter filterId="{9809D18D-5CF0-40AC-82C8-C01B154F1217}" ref="A1:Y413" tableId="1">
      <columnFilter colId="3" id="{3AC1E589-F3BA-4740-85AF-2EFC5C7D46CA}">
        <filter colId="3">
          <x:filters>
            <x:filter val="1913958"/>
          </x:filters>
        </filter>
      </columnFilter>
      <columnFilter colId="5" id="{B7187AC5-244C-4AAE-9731-44F9C30B656C}">
        <filter colId="5">
          <x:filters>
            <x:filter val="Joliet"/>
          </x:filters>
        </filter>
      </columnFilter>
      <columnFilter colId="6" id="{B7CE3941-E094-4B94-A7A2-8972F34F4536}">
        <filter colId="6">
          <x:filters>
            <x:filter val="Mark Stanley"/>
          </x:filters>
        </filter>
      </columnFilter>
    </nsvFilter>
  </namedSheetView>
  <namedSheetView name="Tom" id="{09739295-F3C3-407D-96ED-E19B2DDC143D}">
    <nsvFilter filterId="{9809D18D-5CF0-40AC-82C8-C01B154F1217}" ref="A1:Y413" tableId="1">
      <columnFilter colId="9" id="{93D1A9C3-7FF2-44A4-930E-C1F0792823B3}">
        <filter colId="9">
          <x:filters>
            <mc:AlternateContent xmlns:mc="http://schemas.openxmlformats.org/markup-compatibility/2006">
              <mc:Choice Requires="x14">
                <x14:filter val="1&quot; PIPE, 0.133&quot; W.T., GR-B, A106, FBE EXTERNAL COATING, SMLS, CS"/>
                <x14:filter val="12&quot; ANSI CL 300 PIPELINE SERIES FULL ENCIRCLEMENT LINE STOP SPLIT TEE W/SCARFED NIPPLE COMPLETION PLUG, 100% X-RAY, RF BLIND FLANGE W/ 3/4&quot; THREADED PORT AND NON-PROPRIETARY PLUG, INCLUDING BOLTS, NUTS AND GASKETS, 230 PSIG MOP, 0.5 DESIGN FACTOR, FOR INSTALLATION ON 0.219&quot; WT, GR-B PIPE, WITH REVIEW DRAWINGS, DESIGN CODE B31.8"/>
                <x14:filter val="16&quot; ANSI CL 300 PIPELINE SERIES FULL ENCIRCLEMENT LINE STOP SPLIT TEE W/SCARFED NIPPLE COMPLETION PLUG, 100% X-RAY, RF BLIND FLANGE W/ 3/4&quot; THREADED PORT AND NON-PROPRIETARY PLUG, INCLUDING BOLTS, NUTS AND GASKETS, 230 PSIG MOP, 0.5 DESIGN FACTOR, FOR INSTALLATION ON 0.250&quot; WT, GR-B PIPE, WITH REVIEW DRAWINGS, DESIGN CODE B31.8"/>
                <x14:filter val="2&quot; Ø PIPE, BARE STEEL LINE, 2.375&quot; OD x 0.154&quot; W.T. API-5L GR-B, ERW, SRL"/>
                <x14:filter val="2&quot; PIPE, BARE STEEL LINE, 2.375&quot; OD x 0.154&quot; W.T. API-5L GR-B, ERW, SRL"/>
                <x14:filter val="PIPE, BARE STEEL LINE, 2.375&quot; OD X 0.154&quot; W.T. API-5L GR-B, ERW, SRL"/>
              </mc:Choice>
              <mc:Fallback>
                <x:filter val="1&quot; PIPE, 0.133&quot; W.T., GR-B, A106, FBE EXTERNAL COATING, SMLS, CS"/>
                <x:filter val="2&quot; Ø PIPE, BARE STEEL LINE, 2.375&quot; OD x 0.154&quot; W.T. API-5L GR-B, ERW, SRL"/>
                <x:filter val="2&quot; PIPE, BARE STEEL LINE, 2.375&quot; OD x 0.154&quot; W.T. API-5L GR-B, ERW, SRL"/>
                <x:filter val="PIPE, BARE STEEL LINE, 2.375&quot; OD X 0.154&quot; W.T. API-5L GR-B, ERW, SRL"/>
              </mc:Fallback>
            </mc:AlternateContent>
          </x:filters>
        </filter>
      </columnFilter>
    </nsvFilter>
  </namedSheetView>
</namedSheetViews>
</file>

<file path=xl/namedSheetViews/namedSheetView9.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Caroline" id="{6C344517-4BB6-4BBC-8CA5-726E0D53FFB5}">
    <nsvFilter filterId="{BF615E37-72CE-4EA2-9BE9-3DB4402C3604}" ref="A2:CD1535" tableId="4">
      <columnFilter colId="2" id="{FFF375D5-21A7-4934-A672-A7E18125C564}">
        <filter colId="2">
          <x:filters>
            <x:filter val="N17865-1"/>
          </x:filters>
        </filter>
      </columnFilter>
    </nsvFilter>
  </namedSheetView>
  <namedSheetView name="Eric" id="{970C5A02-0A83-4E56-BE59-23476385BC50}">
    <nsvFilter filterId="{BF615E37-72CE-4EA2-9BE9-3DB4402C3604}" ref="A2:CD1535" tableId="4">
      <columnFilter colId="14" id="{6C90EADA-D0A1-46A9-BC3C-3684D8FB7549}">
        <filter colId="14">
          <x:filters>
            <x:dateGroupItem year="2025" month="8" dateTimeGrouping="month"/>
          </x:filters>
        </filter>
      </columnFilter>
      <columnFilter colId="15" id="{E6CB1561-7617-472D-BC9C-37E467DC5CC1}">
        <filter colId="15">
          <x:filters>
            <x:filter val="No"/>
          </x:filters>
        </filter>
      </columnFilter>
      <sortRules>
        <sortRule colId="14" id="{6C90EADA-D0A1-46A9-BC3C-3684D8FB7549}">
          <sortCondition ref="O2:O1535"/>
        </sortRule>
      </sortRules>
    </nsvFilter>
  </namedSheetView>
  <namedSheetView name="Ethan" id="{B6841440-0605-41EA-94EC-B2119FDCEA48}">
    <nsvFilter filterId="{BF615E37-72CE-4EA2-9BE9-3DB4402C3604}" ref="A2:CD1535" tableId="4">
      <columnFilter colId="2" id="{FFF375D5-21A7-4934-A672-A7E18125C564}">
        <filter colId="2">
          <x:filters>
            <x:filter val="SC25832"/>
          </x:filters>
        </filter>
      </columnFilter>
      <sortRules>
        <sortRule colId="2" id="{FFF375D5-21A7-4934-A672-A7E18125C564}">
          <sortCondition ref="C2:C1535"/>
        </sortRule>
      </sortRules>
    </nsvFilter>
  </namedSheetView>
  <namedSheetView name="Madie" id="{78A41318-CF90-4EE8-9F3F-8F6337B03F3D}">
    <nsvFilter filterId="{BF615E37-72CE-4EA2-9BE9-3DB4402C3604}" ref="A2:CD1535" tableId="4">
      <columnFilter colId="60" id="{8633A599-15E2-4063-A2FF-F40026D52650}">
        <filter colId="60">
          <x:filters blank="1">
            <x:filter val="N"/>
            <x:filter val="N/A"/>
          </x:filters>
        </filter>
      </columnFilter>
      <sortRules>
        <sortRule colId="7" id="{D8282018-ABD8-4CB5-89D0-4E5DEFD1E29E}">
          <sortCondition ref="H2:H1535"/>
        </sortRule>
      </sortRules>
    </nsvFilter>
  </namedSheetView>
  <namedSheetView name="MARK" id="{97301239-3C1F-4962-96D2-EC057E818199}">
    <nsvFilter filterId="{BF615E37-72CE-4EA2-9BE9-3DB4402C3604}" ref="A2:CD1535" tableId="4">
      <columnFilter colId="2" id="{FFF375D5-21A7-4934-A672-A7E18125C564}">
        <filter colId="2">
          <x:filters>
            <x:filter val="M15450"/>
          </x:filters>
        </filter>
      </columnFilter>
    </nsvFilter>
  </namedSheetView>
  <namedSheetView name="Nick" id="{1F6E8330-B8A9-4697-BA78-B0CA7C4D40B0}"/>
  <namedSheetView name="Randy View" id="{9BB1044C-4EB6-4536-8988-46F26A5B2733}">
    <nsvFilter filterId="{BF615E37-72CE-4EA2-9BE9-3DB4402C3604}" ref="A2:CD1535" tableId="4">
      <columnFilter colId="0" id="{159628D9-F826-4A2D-884C-40BECE82138F}">
        <filter colId="0">
          <x:filters>
            <x:filter val="2024"/>
            <x:filter val="2025"/>
            <x:filter val="2026"/>
          </x:filters>
        </filter>
      </columnFilter>
    </nsvFilter>
  </namedSheetView>
  <namedSheetView name="Tom" id="{372DD1D6-D7A1-41E0-A04D-0C53058F49CD}">
    <nsvFilter filterId="{BF615E37-72CE-4EA2-9BE9-3DB4402C3604}" ref="A2:CD1535" tableId="4">
      <columnFilter colId="4" id="{4F11F43B-FF83-441A-AC7F-7718D56EC615}">
        <filter colId="4">
          <x:filters>
            <x:filter val="ROSELLE"/>
            <x:filter val="(NonBlanks)"/>
          </x:filters>
        </filter>
      </columnFilter>
    </nsvFilter>
  </namedSheetView>
</namedSheetViews>
</file>

<file path=xl/namedSheetViews/namedSheetView10.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Caroline" id="{B01FFC9B-D9EF-4A85-906B-E56677FE77C0}">
    <nsvFilter filterId="{BF615E37-72CE-4EA2-9BE9-3DB4402C3604}" ref="A2:BZ210" tableId="9">
      <columnFilter colId="1" id="{786849D3-D2B7-4E86-94C9-97C01002C2F7}">
        <filter colId="1">
          <x:filters>
            <x:filter val="DOT"/>
          </x:filters>
        </filter>
      </columnFilter>
      <columnFilter colId="6" id="{B37DEDF2-1268-4AF9-A2BA-94406C6476FA}">
        <filter colId="6">
          <x:filters>
            <x:filter val="Caroline Kulach"/>
          </x:filters>
        </filter>
      </columnFilter>
      <columnFilter colId="39" id="{B12FC4C2-E649-4FBD-BAD7-53D94793C8DA}">
        <filter colId="39">
          <x:filters>
            <x:dateGroupItem year="2025" dateTimeGrouping="year"/>
            <x:dateGroupItem year="2024" dateTimeGrouping="year"/>
          </x:filters>
        </filter>
      </columnFilter>
      <sortRules>
        <sortRule colId="6" id="{B37DEDF2-1268-4AF9-A2BA-94406C6476FA}">
          <sortCondition ref="G2:G210"/>
        </sortRule>
      </sortRules>
    </nsvFilter>
  </namedSheetView>
  <namedSheetView name="Eric" id="{9314AE07-F386-49E9-BBA4-55704E7AEFBF}">
    <nsvFilter filterId="{BF615E37-72CE-4EA2-9BE9-3DB4402C3604}" ref="A2:BZ210" tableId="9">
      <columnFilter colId="1" id="{786849D3-D2B7-4E86-94C9-97C01002C2F7}">
        <filter colId="1">
          <x:filters>
            <x:filter val="DOT"/>
          </x:filters>
        </filter>
      </columnFilter>
      <sortRules>
        <sortRule colId="6" id="{B37DEDF2-1268-4AF9-A2BA-94406C6476FA}">
          <sortCondition ref="G2:G210"/>
        </sortRule>
      </sortRules>
    </nsvFilter>
  </namedSheetView>
  <namedSheetView name="Ethan" id="{59A9F872-A657-43DF-B4FF-FF8DC87343F1}">
    <nsvFilter filterId="{BF615E37-72CE-4EA2-9BE9-3DB4402C3604}" ref="A2:BZ210" tableId="9">
      <columnFilter colId="6" id="{B37DEDF2-1268-4AF9-A2BA-94406C6476FA}">
        <filter colId="6">
          <x:filters>
            <x:filter val="Camille Corbi/Ethan Ekstrom"/>
            <x:filter val="Eric Dina/Ethan Ekstrom"/>
            <x:filter val="Ethan Ekstrom"/>
          </x:filters>
        </filter>
      </columnFilter>
      <sortRules>
        <sortRule colId="10" id="{55D93C73-2A98-40FC-B06D-5FCFA47981F7}">
          <sortCondition descending="1" ref="K2:K210"/>
        </sortRule>
      </sortRules>
    </nsvFilter>
  </namedSheetView>
  <namedSheetView name="MARK" id="{BBDC6B9D-F0EA-4698-9522-92331D6242EB}">
    <nsvFilter filterId="{BF615E37-72CE-4EA2-9BE9-3DB4402C3604}" ref="A2:BZ210" tableId="9">
      <columnFilter colId="6" id="{B37DEDF2-1268-4AF9-A2BA-94406C6476FA}">
        <filter colId="6">
          <x:filters>
            <x:filter val="Mark Stanley"/>
            <x:filter val="Mark Stanley/Tom McTigue"/>
          </x:filters>
        </filter>
      </columnFilter>
      <sortRules>
        <sortRule colId="10" id="{55D93C73-2A98-40FC-B06D-5FCFA47981F7}">
          <sortCondition descending="1" ref="K2:K210"/>
        </sortRule>
      </sortRules>
    </nsvFilter>
  </namedSheetView>
  <namedSheetView name="Nick" id="{68C78632-2252-46E1-AEF4-1D62FAAF1AE7}"/>
  <namedSheetView name="Randy View" id="{A2463417-2BBE-42D3-9330-3075D90C416A}">
    <nsvFilter filterId="{BF615E37-72CE-4EA2-9BE9-3DB4402C3604}" ref="A2:BZ210" tableId="9">
      <columnFilter colId="6" id="{B37DEDF2-1268-4AF9-A2BA-94406C6476FA}">
        <filter colId="6">
          <x:filters>
            <x:filter val="Randy Castellon"/>
            <x:filter val="Randy Castellon/Caroline Kulach"/>
          </x:filters>
        </filter>
      </columnFilter>
    </nsvFilter>
  </namedSheetView>
  <namedSheetView name="Tom" id="{051D4C01-3D07-4F84-A05E-70AA001F2B93}">
    <nsvFilter filterId="{BF615E37-72CE-4EA2-9BE9-3DB4402C3604}" ref="A2:BZ210" tableId="9">
      <columnFilter colId="6" id="{B37DEDF2-1268-4AF9-A2BA-94406C6476FA}">
        <filter colId="6">
          <x:filters>
            <x:filter val="Camille Corbi"/>
            <x:filter val="Tom McTigue"/>
          </x:filters>
        </filter>
      </columnFilter>
      <sortRules>
        <sortRule colId="6" id="{B37DEDF2-1268-4AF9-A2BA-94406C6476FA}">
          <sortCondition ref="G2:G210"/>
        </sortRule>
      </sortRules>
    </nsvFilter>
  </namedSheetView>
</namedSheetViews>
</file>

<file path=xl/persons/person.xml><?xml version="1.0" encoding="utf-8"?>
<personList xmlns="http://schemas.microsoft.com/office/spreadsheetml/2018/threadedcomments" xmlns:x="http://schemas.openxmlformats.org/spreadsheetml/2006/main">
  <person displayName="Dina, Eric" id="{F9D0559D-AD59-4808-8048-C5973E55A36A}" userId="Eric.Dina@kimley-horn.com" providerId="PeoplePicker"/>
  <person displayName="Bruce, Logan" id="{73D9EF92-8C85-4A0A-9961-617D8678EEFB}" userId="Logan.Bruce@kimley-horn.com" providerId="PeoplePicker"/>
  <person displayName="Purtell, Tim" id="{04BCACC7-04FA-4A9D-9DCE-8E3808E45E3D}" userId="Tim.Purtell@kimley-horn.com" providerId="PeoplePicker"/>
  <person displayName="Castle, Kevin" id="{76DCB1DA-8402-4DE9-8C3D-F9539BFB531C}" userId="Kevin.Castle@kimley-horn.com" providerId="PeoplePicker"/>
  <person displayName="Stanley, Mark" id="{564B30FC-287F-49EB-AA0A-97AAB2676CF3}" userId="Mark.Stanley@kimley-horn.com" providerId="PeoplePicker"/>
  <person displayName="Hopkins, Matt" id="{9E19E8B3-7A88-4DEE-A51F-9DD7636E6CDB}" userId="Matt.Hopkins@kimley-horn.com" providerId="PeoplePicker"/>
  <person displayName="Rojas, Taylor" id="{FA85CEED-3E1F-4D20-BCFE-4E7CBFAF58D2}" userId="Taylor.Rojas@kimley-horn.com" providerId="PeoplePicker"/>
  <person displayName="Corbi, Camille" id="{ABEDD8C2-01F0-4304-90BA-79DEF386422B}" userId="Camille.Corbi@kimley-horn.com" providerId="PeoplePicker"/>
  <person displayName="Ekstrom, Ethan" id="{056D57C1-81F5-4319-9D83-599A1840E0BE}" userId="Ethan.Ekstrom@kimley-horn.com" providerId="PeoplePicker"/>
  <person displayName="Michaels, Nick" id="{B4D9CDF8-D824-45AC-9EAC-9C126A267B65}" userId="Nick.Michaels@kimley-horn.com" providerId="PeoplePicker"/>
  <person displayName="Lierow, Taylor" id="{502BF9D0-8DCD-49BB-B66D-0DCEA37B4151}" userId="Taylor.Lierow@kimley-horn.com" providerId="PeoplePicker"/>
  <person displayName="Whitson, Bryan" id="{46338084-C8BF-401F-9948-B0D316E50867}" userId="bryan.whitson@kimley-horn.com" providerId="PeoplePicker"/>
  <person displayName="Betland, Joseph" id="{E6421D29-A382-450E-BB08-617C1D9F9AED}" userId="Joseph.Betland@kimley-horn.com" providerId="PeoplePicker"/>
  <person displayName="Holstead, Julia" id="{97D9F2BC-0E21-4633-B402-0B1105F294EC}" userId="Julia.Holstead@kimley-horn.com" providerId="PeoplePicker"/>
  <person displayName="Roman, Madeline" id="{F82BB64F-7F44-410E-9AB8-C627433A244F}" userId="Madeline.Roman@kimley-horn.com" providerId="PeoplePicker"/>
  <person displayName="Molloy, Michael" id="{B08AFFDC-5CAB-4B56-B5E4-F1319CEC86C1}" userId="Michael.Molloy@kimley-horn.com" providerId="PeoplePicker"/>
  <person displayName="McTigue, Thomas" id="{64A125C0-C980-450F-B91F-164A54ED3500}" userId="Thomas.McTigue@kimley-horn.com" providerId="PeoplePicker"/>
  <person displayName="Kulach, Caroline" id="{024AE523-21F1-4810-9EBC-1F52184244F6}" userId="Caroline.Kulach@kimley-horn.com" providerId="PeoplePicker"/>
  <person displayName="LaPorte, Marissa" id="{E0C835FB-FC54-490F-842D-70FB64882B80}" userId="Marissa.LaPorte@kimley-horn.com" providerId="PeoplePicker"/>
  <person displayName="Castellon, Randy" id="{19AB77A6-6CAB-45F7-B79B-631A6192FCA1}" userId="Randy.Castellon@kimley-horn.com" providerId="PeoplePicker"/>
  <person displayName="Chamernik, Conner" id="{57B91CBD-0327-4D8C-B370-773C13F6634B}" userId="Conner.Chamernik@kimley-horn.com" providerId="PeoplePicker"/>
  <person displayName="Pohlman, Mitchell" id="{1465C73A-D205-4B93-A7A1-43F1AADD3CE4}" userId="Mitchell.Pohlman@kimley-horn.com" providerId="PeoplePicker"/>
  <person displayName="Dina, Eric" id="{B43CBA0C-5DE4-4FB3-8951-794B7F7C4646}" userId="S::eric.dina@kimley-horn.com::8f3d4d55-8829-47e8-9dd2-c16db35781e2" providerId="AD"/>
  <person displayName="Yordan, Anna" id="{BFDAC309-ED37-493D-BDEE-F306C500F8AD}" userId="S::Anna.Yordan@kimley-horn.com::1b71fd8e-6d9d-41ce-a26f-b054646e47e9" providerId="AD"/>
  <person displayName="Bruce, Logan" id="{1668D55C-847B-4D60-AC54-ECFA1E4C3366}" userId="S::Logan.Bruce@kimley-horn.com::fa90410d-13aa-49e0-b51a-7b3616f87ee9" providerId="AD"/>
  <person displayName="Purtell, Tim" id="{8B95014D-CB0C-4B46-AE57-ECA943BEAC36}" userId="S::Tim.Purtell@kimley-horn.com::e6249a91-6954-40c6-a0ba-fa5ae3b88aed" providerId="AD"/>
  <person displayName="Bruce, Logan" id="{734DDAD1-150E-41DC-8408-5A6DB107C271}" userId="S::logan.bruce@kimley-horn.com::fa90410d-13aa-49e0-b51a-7b3616f87ee9" providerId="AD"/>
  <person displayName="Purtell, Tim" id="{3BA37BBC-10FC-4BDA-B888-29DE350DF251}" userId="S::tim.purtell@kimley-horn.com::e6249a91-6954-40c6-a0ba-fa5ae3b88aed" providerId="AD"/>
  <person displayName="Stanley, Mark" id="{AB47663C-FFDC-4AA8-BB0F-84139200F338}" userId="S::Mark.Stanley@kimley-horn.com::5a14f64c-58d4-4dbd-8edd-9219ccd94b84" providerId="AD"/>
  <person displayName="Castle, Kevin" id="{87BCDE1B-A33B-4271-8ACA-813EBE6E011A}" userId="S::kevin.castle@kimley-horn.com::c6930a47-a21a-4a63-8f53-55913f159233" providerId="AD"/>
  <person displayName="Stanley, Mark" id="{F227819F-94A5-4B9E-BFE1-31C425F558EE}" userId="S::mark.stanley@kimley-horn.com::5a14f64c-58d4-4dbd-8edd-9219ccd94b84" providerId="AD"/>
  <person displayName="Hopkins, Matt" id="{A6785C6D-234D-4BD9-88A0-61CD519244F1}" userId="S::matt.hopkins@kimley-horn.com::7aa1e521-2212-4c00-9714-2b583696a4c7" providerId="AD"/>
  <person displayName="Staley, Megan" id="{82FE1273-AA16-4938-A966-A9B1D40525FC}" userId="S::megan.staley@kimley-horn.com::73f0944b-b7c3-4cc6-86e8-82b4c9bdc24c" providerId="AD"/>
  <person displayName="Rojas, Taylor" id="{B5DF8ED5-EB95-4808-A331-670F711A1DDE}" userId="S::taylor.rojas@kimley-horn.com::07652e86-9c3b-48a3-a300-0d3201616d81" providerId="AD"/>
  <person displayName="Michaels, Nick" id="{EB756D3C-0333-4781-801C-F36FB858F0FD}" userId="S::Nick.Michaels@kimley-horn.com::033d6fb0-aecc-4731-aaaa-e91a3aeca032" providerId="AD"/>
  <person displayName="Whitson, Bryan" id="{24E6244D-1EC0-4D28-8AA4-3342015D362A}" userId="S::bryan.whitson@kimley-horn.com::fd7065e8-0f33-4c27-b41a-aa681a8c93ad" providerId="AD"/>
  <person displayName="Corbi, Camille" id="{AD1FAA3F-1360-44AB-83DF-B4908D76B23C}" userId="S::camille.corbi@kimley-horn.com::b80af43d-e18c-4b85-83af-a17cab61de64" providerId="AD"/>
  <person displayName="Ekstrom, Ethan" id="{09294521-340C-4E79-A59B-3E18A24C5902}" userId="S::ethan.ekstrom@kimley-horn.com::1e70e216-c8e6-461c-bf63-53f1f0b1f361" providerId="AD"/>
  <person displayName="Michaels, Nick" id="{B4724FC5-43AB-4157-BA86-A31D51B278BB}" userId="S::nick.michaels@kimley-horn.com::033d6fb0-aecc-4731-aaaa-e91a3aeca032" providerId="AD"/>
  <person displayName="Lierow, Taylor" id="{E8EF2CEE-A9C0-4A56-A06B-BC6445822825}" userId="S::taylor.lierow@kimley-horn.com::f9cc7ed3-72e9-4132-a900-a356db234017" providerId="AD"/>
  <person displayName="Betland, Joseph" id="{1B2CDA8A-CEFC-4136-87C1-B34BF471D2DA}" userId="S::Joseph.Betland@kimley-horn.com::57bf78ce-dcbd-4b6e-831b-185d4a6e51e1" providerId="AD"/>
  <person displayName="Roman, Madeline" id="{9D3B0158-8FE0-44B5-9C17-6CB3F89C44B0}" userId="S::Madeline.Roman@kimley-horn.com::79959d48-6dfc-4288-b24a-75dffb65d454" providerId="AD"/>
  <person displayName="Betland, Joseph" id="{C292F702-D4C8-427F-8060-CA8E0A11E4F6}" userId="S::joseph.betland@kimley-horn.com::57bf78ce-dcbd-4b6e-831b-185d4a6e51e1" providerId="AD"/>
  <person displayName="Roman, Madeline" id="{923A6378-7149-496A-9AA9-5877E99B04E1}" userId="S::madeline.roman@kimley-horn.com::79959d48-6dfc-4288-b24a-75dffb65d454" providerId="AD"/>
  <person displayName="McTigue, Thomas" id="{170BCDB3-C00E-4DAB-8167-9427A631A4A5}" userId="S::thomas.mctigue@kimley-horn.com::e0420c32-9b4b-455d-b9cf-7143037971d6" providerId="AD"/>
  <person displayName="Kulach, Caroline" id="{0C89833E-8ABB-488B-84F5-2B758CCB897E}" userId="S::Caroline.Kulach@kimley-horn.com::ca061318-582e-4200-80e9-abdeb64d0b61" providerId="AD"/>
  <person displayName="Castellon, Randy" id="{27F0E165-551D-4425-9A07-BE2EBE52277D}" userId="S::Randy.Castellon@kimley-horn.com::a8b4d359-bfa0-474b-8818-d9491bf2ecd0" providerId="AD"/>
  <person displayName="Kulach, Caroline" id="{915C3B11-23A2-4CD7-8A65-134DE04A79BE}" userId="S::caroline.kulach@kimley-horn.com::ca061318-582e-4200-80e9-abdeb64d0b61" providerId="AD"/>
  <person displayName="LaPorte, Marissa" id="{9E62BE2C-0142-483B-A1E8-957D99ED07D0}" userId="S::marissa.laporte@kimley-horn.com::c85ca7b8-b5f4-4260-9b15-fd394e76ac9a" providerId="AD"/>
  <person displayName="Castellon, Randy" id="{3B2D5CBB-8EEF-4A78-9A0D-33CA3157BEED}" userId="S::randy.castellon@kimley-horn.com::a8b4d359-bfa0-474b-8818-d9491bf2ecd0" providerId="AD"/>
  <person displayName="Chamernik, Conner" id="{0F8BBC01-9FFE-46F1-A588-E756CD2DAAE0}" userId="S::conner.chamernik@kimley-horn.com::99b12002-7407-47b9-a166-39043bdd2db5" providerId="AD"/>
  <person displayName="Pohlman, Mitchell" id="{739B1764-671C-42A9-B3C0-653139EA152B}" userId="S::mitchell.pohlman@kimley-horn.com::7f6f8f80-215f-40fd-8167-0df5569c0d15"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6844B2-4DA9-475A-ABA5-2FBBD7D82983}" name="Table10" displayName="Table10" ref="C2:W19" totalsRowCount="1" dataDxfId="824">
  <autoFilter ref="C2:W18" xr:uid="{FD6844B2-4DA9-475A-ABA5-2FBBD7D82983}"/>
  <sortState xmlns:xlrd2="http://schemas.microsoft.com/office/spreadsheetml/2017/richdata2" ref="C3:W18">
    <sortCondition descending="1" ref="Q2:Q18"/>
  </sortState>
  <tableColumns count="21">
    <tableColumn id="1" xr3:uid="{02B8D62D-CCA7-4556-9277-04247EC7F65D}" name="Project Lead" dataDxfId="823" totalsRowDxfId="822"/>
    <tableColumn id="2" xr3:uid="{D10B0633-BDA4-4FA3-84AE-F5DE5D81633D}" name="CRA" totalsRowFunction="custom" dataDxfId="821" totalsRowDxfId="820">
      <calculatedColumnFormula>COUNTIF(CRA_Projects[Designer Name],Table10[[#This Row],[Project Lead]])</calculatedColumnFormula>
      <totalsRowFormula>SUM(Table10[CRA])</totalsRowFormula>
    </tableColumn>
    <tableColumn id="3" xr3:uid="{35AF69D1-532B-4BCF-9869-58A18F416125}" name="Non-DOT" totalsRowFunction="custom" dataDxfId="819" totalsRowDxfId="818">
      <calculatedColumnFormula>COUNTIF(NonDOT_Projects[Designer Name],Table10[[#This Row],[Project Lead]])</calculatedColumnFormula>
      <totalsRowFormula>SUM(Table10[Non-DOT])</totalsRowFormula>
    </tableColumn>
    <tableColumn id="4" xr3:uid="{CD44AA2E-6DB6-461A-966E-D29F969FADD7}" name="DOT" totalsRowFunction="custom" dataDxfId="817" totalsRowDxfId="816">
      <calculatedColumnFormula>COUNTIF(DOT_Projects[Designer Name],Table10[[#This Row],[Project Lead]])</calculatedColumnFormula>
      <totalsRowFormula>SUM(Table10[DOT])</totalsRowFormula>
    </tableColumn>
    <tableColumn id="5" xr3:uid="{1BB7403E-E7DD-4E64-B6DD-4D534F50DD16}" name="Total" totalsRowFunction="custom" dataDxfId="815" totalsRowDxfId="814">
      <calculatedColumnFormula>SUM(D3:F3)</calculatedColumnFormula>
      <totalsRowFormula>SUM(Table10[Total])</totalsRowFormula>
    </tableColumn>
    <tableColumn id="10" xr3:uid="{F84C9FF6-503F-45B6-AE70-DE3B4EFC495A}" name="2023 Comp." totalsRowFunction="custom" dataDxfId="813" totalsRowDxfId="812">
      <calculatedColumnFormula>COUNTIFS(Table15[DesignerName],Table10[[#This Row],[Project Lead]],Table15[Date Completed],"&gt;12/31/2022",Table15[Design Status],"=Completed")</calculatedColumnFormula>
      <totalsRowFormula>SUM(Table10[2023 Comp.])</totalsRowFormula>
    </tableColumn>
    <tableColumn id="8" xr3:uid="{57B4F716-B3C1-4397-AA84-67FEDB9FDDF3}" name="2023 Rev." totalsRowFunction="custom" dataDxfId="811" totalsRowDxfId="810">
      <calculatedColumnFormula>COUNTIFS(Table15[DesignerName],Table10[[#This Row],[Project Lead]],Table15[Date Completed],"&gt;12/31/2022",Table15[Engineering Approved Design Date],"=Revision")</calculatedColumnFormula>
      <totalsRowFormula>SUM(Table10[2023 Rev.])</totalsRowFormula>
    </tableColumn>
    <tableColumn id="13" xr3:uid="{99A3C9F2-6F11-4633-8899-4FE9F947DD29}" name="Jan-2023 YTD Mult" dataDxfId="809" totalsRowDxfId="808"/>
    <tableColumn id="11" xr3:uid="{7B9742AC-5EA6-46CF-8411-02916356A675}" name="Jan-2023 YTD Effort" totalsRowFunction="custom" dataDxfId="807" totalsRowDxfId="806">
      <totalsRowFormula>SUM(Table10[Jan-2023 YTD Effort])</totalsRowFormula>
    </tableColumn>
    <tableColumn id="18" xr3:uid="{15E16DA4-2200-405F-88AD-C0BB52DD305C}" name="Jan-2023 Dist YTD E" dataDxfId="805" totalsRowDxfId="804" dataCellStyle="Percent">
      <calculatedColumnFormula>Table10[[#This Row],[Jan-2023 YTD Effort]]/Table10[[#Totals],[Jan-2023 YTD Effort]]</calculatedColumnFormula>
    </tableColumn>
    <tableColumn id="17" xr3:uid="{9F42FB54-EAC4-4A3E-AFA8-AC5F40AE7443}" name="Feb-2023 YTD Mult" dataDxfId="803" totalsRowDxfId="802"/>
    <tableColumn id="15" xr3:uid="{2B69FEB3-8496-4098-A3DC-FA3AEE719B2C}" name="Feb-2023 YTD Effort" totalsRowFunction="custom" dataDxfId="801" totalsRowDxfId="800">
      <totalsRowFormula>SUM(Table10[Feb-2023 YTD Effort])</totalsRowFormula>
    </tableColumn>
    <tableColumn id="16" xr3:uid="{12AA78DF-0AAB-4323-A422-E84FD2A4ACE7}" name="2023 Dist YTD Effort" dataDxfId="799" totalsRowDxfId="798" dataCellStyle="Percent">
      <calculatedColumnFormula>Table10[[#This Row],[Feb-2023 YTD Effort]]/Table10[[#Totals],[Feb-2023 YTD Effort]]</calculatedColumnFormula>
    </tableColumn>
    <tableColumn id="20" xr3:uid="{59949351-0B39-4120-B29C-7ECCA21CC8F7}" name="Monthly Delta" totalsRowFunction="custom" dataDxfId="797" totalsRowDxfId="796" dataCellStyle="Percent">
      <calculatedColumnFormula>Table10[[#This Row],[Feb-2023 YTD Effort]]-Table10[[#This Row],[Jan-2023 YTD Effort]]</calculatedColumnFormula>
      <totalsRowFormula>SUM(Table10[Monthly Delta])</totalsRowFormula>
    </tableColumn>
    <tableColumn id="19" xr3:uid="{900B3AA2-B3A4-47BC-B330-7F0B74F3EB98}" name="Monthly Delta Dist" dataDxfId="795" totalsRowDxfId="794" dataCellStyle="Percent">
      <calculatedColumnFormula>Table10[[#This Row],[Monthly Delta]]/Table10[[#Totals],[Monthly Delta]]</calculatedColumnFormula>
    </tableColumn>
    <tableColumn id="9" xr3:uid="{F7B55F9A-AA0F-44AE-A652-3C2795572565}" name="2022 Comp." totalsRowFunction="custom" dataDxfId="793" totalsRowDxfId="792">
      <calculatedColumnFormula>COUNTIFS(Table15[DesignerName],Table10[[#This Row],[Project Lead]],Table15[Date Completed],"&gt;12/31/2021",Table15[Design Status],"=Completed")-Table10[[#This Row],[2023 Comp.]]</calculatedColumnFormula>
      <totalsRowFormula>SUM(Table10[2022 Comp.])</totalsRowFormula>
    </tableColumn>
    <tableColumn id="7" xr3:uid="{F1D9E100-2FC9-4469-9A31-6724FC89582F}" name="2022_x000a_Rev." totalsRowFunction="custom" dataDxfId="791" totalsRowDxfId="790">
      <calculatedColumnFormula>COUNTIFS(Table15[DesignerName],Table10[[#This Row],[Project Lead]],Table15[Date Completed],"&gt;12/31/2021",Table15[Engineering Approved Design Date],"=Revision")-Table10[[#This Row],[2023 Rev.]]</calculatedColumnFormula>
      <totalsRowFormula>SUM(Table10[2022
Rev.])</totalsRowFormula>
    </tableColumn>
    <tableColumn id="14" xr3:uid="{60593B19-A300-48AE-8AA9-17D7A3219DB2}" name="2022 Mult" dataDxfId="789" totalsRowDxfId="788"/>
    <tableColumn id="12" xr3:uid="{DA955F74-2352-4959-AF38-5480DEF5951C}" name="2022 Effort" totalsRowFunction="custom" dataDxfId="787" totalsRowDxfId="786">
      <totalsRowFormula>SUM(Table10[2022 Effort])</totalsRowFormula>
    </tableColumn>
    <tableColumn id="21" xr3:uid="{946769F9-FD1D-4928-A917-3AE3A643852B}" name="2022 Dist" dataDxfId="785" totalsRowDxfId="784" dataCellStyle="Percent">
      <calculatedColumnFormula>Table10[[#This Row],[2022 Effort]]/Table10[[#Totals],[2022 Effort]]</calculatedColumnFormula>
    </tableColumn>
    <tableColumn id="6" xr3:uid="{14B06DEB-6439-42FE-A837-7834026AFC3A}" name="Notes" dataDxfId="783" totalsRowDxfId="78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6491270-3F85-40C6-8662-5B4216870C62}" name="Table157" displayName="Table157" ref="A2:CA192" totalsRowShown="0" headerRowDxfId="781" dataDxfId="780" totalsRowDxfId="779">
  <autoFilter ref="A2:CA192" xr:uid="{46BBDD78-9A8A-4BA2-85A0-8870FFFE5E8A}">
    <filterColumn colId="2">
      <filters>
        <filter val="RS1075"/>
      </filters>
    </filterColumn>
  </autoFilter>
  <tableColumns count="79">
    <tableColumn id="1" xr3:uid="{557C0F74-571A-442F-A6EC-162FE822B744}" name="Year" dataDxfId="778" totalsRowDxfId="777"/>
    <tableColumn id="3" xr3:uid="{405E9AD3-A467-4AE8-9130-69010696FAC7}" name="DistDesTracking" dataDxfId="776" totalsRowDxfId="775"/>
    <tableColumn id="4" xr3:uid="{D8D4917C-4843-49E9-B7EF-DA7446A451DD}" name="Engineering Number" dataDxfId="774" totalsRowDxfId="773"/>
    <tableColumn id="5" xr3:uid="{46303146-D31A-4D25-9454-B21C4C8EA1AF}" name="WO Number" dataDxfId="772" totalsRowDxfId="771"/>
    <tableColumn id="7" xr3:uid="{60E828AD-BD05-4F62-AFE9-B0105CC86A63}" name="Town" dataDxfId="770" totalsRowDxfId="769"/>
    <tableColumn id="10" xr3:uid="{97DD8111-99A2-4D2B-83FF-5D4421B3A376}" name="Designer Supervisor" dataDxfId="768" totalsRowDxfId="767"/>
    <tableColumn id="11" xr3:uid="{908CE763-0A61-4526-89EA-F130945188EB}" name="DesignerName" dataDxfId="766" totalsRowDxfId="765"/>
    <tableColumn id="12" xr3:uid="{632E1E63-4E80-4E57-91DA-58AEC753E09D}" name="Design Status" dataDxfId="764" totalsRowDxfId="763"/>
    <tableColumn id="14" xr3:uid="{CF6430CC-CC07-4846-A7A9-B50BFC1B7691}" name="Date Assigned to Designer" dataDxfId="762" totalsRowDxfId="761"/>
    <tableColumn id="15" xr3:uid="{448C3124-0138-471C-B5B6-0DA24E401F73}" name="Engineering Approved Design Date" dataDxfId="760" totalsRowDxfId="759"/>
    <tableColumn id="16" xr3:uid="{C76C46E0-DD29-42E3-A896-90AD1B5AD8DB}" name="Date Completed" dataDxfId="758" totalsRowDxfId="757"/>
    <tableColumn id="101" xr3:uid="{F8D9182D-2345-435D-B0BC-59535C3477AE}" name="Time" dataDxfId="756" totalsRowDxfId="755">
      <calculatedColumnFormula>IF(ISTEXT(Table157[[#This Row],[Engineering Approved Design Date]]),Table157[[#This Row],[Date Completed]]-Table157[[#This Row],[Date Assigned to Designer]],Table157[[#This Row],[Engineering Approved Design Date]]-Table157[[#This Row],[Date Completed]])</calculatedColumnFormula>
    </tableColumn>
    <tableColumn id="17" xr3:uid="{5D021A2A-BDDB-46F9-B349-65AF338975AE}" name="Notes" dataDxfId="754" totalsRowDxfId="753"/>
    <tableColumn id="103" xr3:uid="{571022B8-77A0-4FC0-BFE9-4643DBBE2EF0}" name="Invoiced?" dataDxfId="752" totalsRowDxfId="751"/>
    <tableColumn id="52" xr3:uid="{0A7E088B-02A0-4114-B608-BC9C8F936C0D}" name="Billing Month" dataDxfId="750" totalsRowDxfId="749"/>
    <tableColumn id="53" xr3:uid="{C8FF748D-85EF-425D-8A9B-FC3D01982E44}" name="Invest in IL" dataDxfId="748" totalsRowDxfId="747"/>
    <tableColumn id="29" xr3:uid="{9363ADF1-C881-4452-9A0B-89F2DEF9E93A}" name="Amount Invoiced" dataDxfId="746" totalsRowDxfId="745">
      <calculatedColumnFormula>0.07*AA3</calculatedColumnFormula>
    </tableColumn>
    <tableColumn id="59" xr3:uid="{F964C00A-005D-4CD1-95A3-FD0DA3B09063}" name="Rate" dataDxfId="744" totalsRowDxfId="743"/>
    <tableColumn id="64" xr3:uid="{F92232B3-6A68-486A-A2AF-960A4DAEA981}" name="Shactee Effort" dataDxfId="742" totalsRowDxfId="741"/>
    <tableColumn id="62" xr3:uid="{E86A1E9C-E6CB-45E5-B48D-6B423AFCF002}" name="3rd Party Effort" dataDxfId="740" totalsRowDxfId="739"/>
    <tableColumn id="63" xr3:uid="{9A8AB810-C851-4230-A98E-62B2FC99E9B9}" name="KH Hourly Effort" dataDxfId="738" totalsRowDxfId="737"/>
    <tableColumn id="51" xr3:uid="{5E25927E-608D-4FF0-BA0C-824B7DCE2125}" name="LF of Main" dataDxfId="736" totalsRowDxfId="735"/>
    <tableColumn id="102" xr3:uid="{4FAF6C49-4363-4FDC-96CF-82C48102E4D5}" name="# of PV/STR/FV/TW/VLT" dataDxfId="734" totalsRowDxfId="733"/>
    <tableColumn id="56" xr3:uid="{5E2BF306-02B2-440C-AB26-95CCF590CAD4}" name="PCTS Investment Amount" dataDxfId="732" totalsRowDxfId="731"/>
    <tableColumn id="57" xr3:uid="{EF32F383-D133-4D00-9DE3-52842D0A0A22}" name="PCTS Sewer Amount" dataDxfId="730" totalsRowDxfId="729"/>
    <tableColumn id="54" xr3:uid="{63FC170E-F834-4F0F-ADAB-54BEAD9F1CE4}" name="PCTS Retirement Amount" dataDxfId="728" totalsRowDxfId="727"/>
    <tableColumn id="55" xr3:uid="{57C3EEF4-AFC4-4599-A20E-2729692C38D6}" name="Construction Cost to Bill From" dataDxfId="726" totalsRowDxfId="725">
      <calculatedColumnFormula>23365+0</calculatedColumnFormula>
    </tableColumn>
    <tableColumn id="100" xr3:uid="{F89B67B1-A5B2-4042-925B-033D308C62FB}" name="Estimate Approved?" dataDxfId="724" totalsRowDxfId="723"/>
    <tableColumn id="87" xr3:uid="{E12E4381-E6E5-4539-97E2-9D414D531B80}" name="PO Item" dataDxfId="722" totalsRowDxfId="721"/>
    <tableColumn id="94" xr3:uid="{3AD727A3-6675-4B95-8DAA-0679E1B1D77A}" name="Updated Permitting Parameters" dataDxfId="720" totalsRowDxfId="719"/>
    <tableColumn id="125" xr3:uid="{33DF7C5B-2A49-4441-AFC6-A7D9FE4A49DB}" name="SPO Updated?" dataDxfId="718" totalsRowDxfId="717"/>
    <tableColumn id="124" xr3:uid="{A109C1C4-8064-4B3C-AC76-197E2AD09E6B}" name="LL Updated?" dataDxfId="716" totalsRowDxfId="715"/>
    <tableColumn id="123" xr3:uid="{24B2824A-A920-4166-935E-0744813E804E}" name="Work Plan Reviewed?" dataDxfId="714" totalsRowDxfId="713"/>
    <tableColumn id="122" xr3:uid="{B4CECA5D-B325-4BDF-8F59-F9CAEE5BB013}" name="Debrief Complete?" dataDxfId="712" totalsRowDxfId="711"/>
    <tableColumn id="130" xr3:uid="{4C54C273-CDF0-4C46-9001-328A5C05B9F6}" name="Nicor Initiated DBE" dataDxfId="710" totalsRowDxfId="709"/>
    <tableColumn id="129" xr3:uid="{5B27204E-F8BD-45EC-874E-F87531740C9D}" name="Field Noting &amp; Locating" dataDxfId="708" totalsRowDxfId="707"/>
    <tableColumn id="28" xr3:uid="{6C1FB3F1-D5BD-454F-8E17-D0490DF609F3}" name="Staffing" dataDxfId="706" totalsRowDxfId="705"/>
    <tableColumn id="127" xr3:uid="{CB4B9DD4-3B5F-4D24-834B-33F0485BDA95}" name="DBE%" dataDxfId="704" totalsRowDxfId="703">
      <calculatedColumnFormula>SUM(Table157[[#This Row],[Nicor Initiated DBE]:[Staffing]])/(Table157[[#This Row],[Amount Invoiced]])</calculatedColumnFormula>
    </tableColumn>
    <tableColumn id="67" xr3:uid="{48AD27E2-43C8-4B5D-BCAC-26E75266B572}" name="Eligible to Reconcile" dataDxfId="702" totalsRowDxfId="701"/>
    <tableColumn id="46" xr3:uid="{31880F87-8FFD-4AAB-8FF4-B3F0E9E01681}" name="PCTS Approved" dataDxfId="700" totalsRowDxfId="699"/>
    <tableColumn id="83" xr3:uid="{F533C3BC-6774-45BC-AC67-C9B59551B1CC}" name="Project #" dataDxfId="698" totalsRowDxfId="697"/>
    <tableColumn id="50" xr3:uid="{3E01E852-2638-40DF-BDAE-442C7ACE1458}" name="Investment Amount (1#####)" dataDxfId="696" totalsRowDxfId="695"/>
    <tableColumn id="70" xr3:uid="{42EC977B-0DCD-46D5-9CD9-CD606F57C3DB}" name="Sewer" dataDxfId="694" totalsRowDxfId="693"/>
    <tableColumn id="49" xr3:uid="{B9169413-8CFE-4D69-AB07-485D23459AB8}" name="Retirement Amount (3#####)" dataDxfId="692" totalsRowDxfId="691"/>
    <tableColumn id="48" xr3:uid="{A79D4D2D-8D84-4DFE-BF44-EC3702302A8E}" name="Approved Construction Cost" dataDxfId="690" totalsRowDxfId="689">
      <calculatedColumnFormula>IF(Table157[[#This Row],[PCTS Approved]]="N",0,Table157[[#This Row],[Investment Amount (1'#'#'#'#'#)]]+Table157[[#This Row],[Retirement Amount (3'#'#'#'#'#)]])</calculatedColumnFormula>
    </tableColumn>
    <tableColumn id="58" xr3:uid="{B746222B-4013-4351-A9B5-CD6DC7F425BB}" name="Difference in Construction Cost" dataDxfId="688" totalsRowDxfId="687">
      <calculatedColumnFormula>IF(Table157[[#This Row],[Approved Construction Cost]]=0,0,Table157[[#This Row],[Approved Construction Cost]]-Table157[[#This Row],[Construction Cost to Bill From]])</calculatedColumnFormula>
    </tableColumn>
    <tableColumn id="65" xr3:uid="{C781FB71-1970-4600-B1E3-A3E353095B26}" name="Reconcile Amount" dataDxfId="686" totalsRowDxfId="685">
      <calculatedColumnFormula>Table157[[#This Row],[Difference in Construction Cost]]*Table157[[#This Row],[Rate]]</calculatedColumnFormula>
    </tableColumn>
    <tableColumn id="61" xr3:uid="{12EB56D2-9E22-438E-9554-483F7B00A0E2}" name="Revision Billed" dataDxfId="684" totalsRowDxfId="683"/>
    <tableColumn id="66" xr3:uid="{153BA05A-2C06-424A-9C14-32979CAE8613}" name="Reconcile Notes" dataDxfId="682" totalsRowDxfId="681"/>
    <tableColumn id="69" xr3:uid="{FD83E151-5230-4490-99E8-39CAB30198A7}" name="Approved Amount" dataDxfId="680" totalsRowDxfId="679"/>
    <tableColumn id="47" xr3:uid="{E8D159A4-8DEF-4024-B898-44E1577F5B7E}" name="Reconcile Invoiced?" dataDxfId="678" totalsRowDxfId="677"/>
    <tableColumn id="88" xr3:uid="{47A94D9F-65D2-4D01-A67A-0E811976BCA0}" name="COUNT" dataDxfId="676" totalsRowDxfId="675"/>
    <tableColumn id="2" xr3:uid="{A8C8069D-69C9-4B9E-8AF5-05ECF9893343}" name="N" dataDxfId="674" totalsRowDxfId="673"/>
    <tableColumn id="18" xr3:uid="{1C0FE219-4E54-441D-9A25-4316DF2A73B4}" name="Scope_x000a_Revision Code" dataDxfId="672" totalsRowDxfId="671"/>
    <tableColumn id="19" xr3:uid="{E4F94C85-5D86-4162-B3CE-7C5F790A4A1C}" name="Comments/Project Owner_x000a_Reason Revision &gt;5-Business Days" dataDxfId="670" totalsRowDxfId="669"/>
    <tableColumn id="93" xr3:uid="{12B73585-F6DB-4762-9A9F-D7AAF05A8311}" name="IDOT_x000a_" dataDxfId="668" totalsRowDxfId="667"/>
    <tableColumn id="92" xr3:uid="{5A5B009D-2CFB-490B-B42C-62FD60AA4DB0}" name="County_x000a_" dataDxfId="666" totalsRowDxfId="665"/>
    <tableColumn id="91" xr3:uid="{D1C6C6BF-78F0-4058-80EC-6B6B70816130}" name="Muni_x000a_" dataDxfId="664" totalsRowDxfId="663"/>
    <tableColumn id="90" xr3:uid="{13EA2190-DFF3-47D4-806D-DE3445AFED50}" name="Township_x000a_" dataDxfId="662" totalsRowDxfId="661"/>
    <tableColumn id="89" xr3:uid="{78E36F47-5DE2-42AF-B045-7D8B2F626269}" name="Other_x000a_" dataDxfId="660" totalsRowDxfId="659"/>
    <tableColumn id="128" xr3:uid="{8C1D41BD-1450-417D-A636-A2FDAAA3D3FB}" name="KH Billing No" dataDxfId="658" totalsRowDxfId="657"/>
    <tableColumn id="113" xr3:uid="{5969BE73-FA7A-4BE1-BD7F-29986555DF52}" name="600#" dataDxfId="656" totalsRowDxfId="655"/>
    <tableColumn id="114" xr3:uid="{B4AFE171-4D88-4D33-A15B-52862B53E2B4}" name="300#" dataDxfId="654" totalsRowDxfId="653"/>
    <tableColumn id="115" xr3:uid="{1F2BB12C-000A-4AE5-9DB1-ABC2487415B7}" name="230#" dataDxfId="652" totalsRowDxfId="651"/>
    <tableColumn id="116" xr3:uid="{21C3D7DE-F833-40AB-AB8D-50F0E79D2217}" name="60# &amp; less" dataDxfId="650" totalsRowDxfId="649"/>
    <tableColumn id="117" xr3:uid="{23C76950-FE71-4559-9D3F-F51A16CCCEC9}" name="16&quot;" dataDxfId="648" totalsRowDxfId="647"/>
    <tableColumn id="118" xr3:uid="{1AEFD60D-D56E-49E0-8876-EE8D28BE6706}" name="12&quot;" dataDxfId="646" totalsRowDxfId="645"/>
    <tableColumn id="119" xr3:uid="{A5939BBB-0A72-4461-A825-48A6F2154C8B}" name="10&quot;" dataDxfId="644" totalsRowDxfId="643"/>
    <tableColumn id="120" xr3:uid="{9E0FD24B-6CEB-47A4-88A6-1A79EFC19A4B}" name="8&quot;" dataDxfId="642" totalsRowDxfId="641"/>
    <tableColumn id="121" xr3:uid="{339F8125-D10B-4BAF-91A4-9F0A6852FFC8}" name="6&quot;" dataDxfId="640" totalsRowDxfId="639"/>
    <tableColumn id="112" xr3:uid="{22E7D067-B3B9-4D49-95D8-C6C413192AD2}" name="4&quot;" dataDxfId="638" totalsRowDxfId="637"/>
    <tableColumn id="111" xr3:uid="{A9B1EB89-D9DB-4D8F-91CF-12C5FDE2BAD4}" name="2&quot;" dataDxfId="636" totalsRowDxfId="635"/>
    <tableColumn id="110" xr3:uid="{8539AAE8-0BD9-47E6-AADA-BA21E7735A09}" name="Vault" dataDxfId="634" totalsRowDxfId="633"/>
    <tableColumn id="109" xr3:uid="{895745BA-A887-4834-8166-3D164614615A}" name="TW" dataDxfId="632" totalsRowDxfId="631"/>
    <tableColumn id="108" xr3:uid="{378D21E8-D22A-465D-8F02-C87B6DCD7F8E}" name="PV" dataDxfId="630" totalsRowDxfId="629">
      <calculatedColumnFormula>IF(DOT_Projects[[#This Row],[TDS (i.e. MOP main)]]="Y",DOT_Projects[[#This Row],[Engineering Approved Design Date]]-28,DOT_Projects[[#This Row],[Engineering Approved Design Date]]-21)</calculatedColumnFormula>
    </tableColumn>
    <tableColumn id="107" xr3:uid="{5FFAC03F-48B8-4E32-A09A-5B9819EC64F2}" name="STR" dataDxfId="628" totalsRowDxfId="627"/>
    <tableColumn id="106" xr3:uid="{34C7C229-28B8-4D09-9E6A-70E8ADB0D5B6}" name="FV" dataDxfId="626" totalsRowDxfId="625"/>
    <tableColumn id="105" xr3:uid="{CE369DBF-C439-49A5-8B56-32CB52C2E045}" name="MTR" dataDxfId="624" totalsRowDxfId="623"/>
    <tableColumn id="104" xr3:uid="{BC355659-34D8-4F5E-B8E7-957A47D2DDBF}" name="Comments" dataDxfId="622" totalsRowDxfId="6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F90BA1-639E-4BF7-AEB8-941E2916F333}" name="Table159" displayName="Table159" ref="A2:BZ175" totalsRowShown="0" headerRowDxfId="620" dataDxfId="619" totalsRowDxfId="618">
  <autoFilter ref="A2:BZ175" xr:uid="{BF615E37-72CE-4EA2-9BE9-3DB4402C3604}">
    <filterColumn colId="1">
      <filters>
        <filter val="DIMP BS"/>
        <filter val="DIMP MR"/>
        <filter val="NBA"/>
        <filter val="PRIM"/>
        <filter val="RS"/>
      </filters>
    </filterColumn>
    <filterColumn colId="41">
      <customFilters>
        <customFilter operator="notEqual" val=" "/>
      </customFilters>
    </filterColumn>
  </autoFilter>
  <sortState xmlns:xlrd2="http://schemas.microsoft.com/office/spreadsheetml/2017/richdata2" ref="A21:BZ131">
    <sortCondition ref="G2:G175"/>
  </sortState>
  <tableColumns count="78">
    <tableColumn id="1" xr3:uid="{1923C0A4-B512-43FF-8A98-0E9E899D4C18}" name="Year" dataDxfId="617"/>
    <tableColumn id="3" xr3:uid="{28504AD4-B41F-435D-BDC5-059017C0378C}" name="DistDesTracking" dataDxfId="616"/>
    <tableColumn id="4" xr3:uid="{FBC8F5A3-33D6-4F58-B370-C2E3F93F0452}" name="Engineering Number" dataDxfId="615"/>
    <tableColumn id="5" xr3:uid="{B7701681-294A-4168-8DE0-EE090557463B}" name="WO Number" dataDxfId="614"/>
    <tableColumn id="7" xr3:uid="{DEE9D88E-E1EA-4422-80A5-8A7FCF0A06B2}" name="Town" dataDxfId="613"/>
    <tableColumn id="10" xr3:uid="{4D9BAE0A-7A36-4711-920D-25EED9EFF7E2}" name="Designer Supervisor" dataDxfId="612"/>
    <tableColumn id="11" xr3:uid="{2DD56B03-2C08-412F-8E97-5FDBA02615AE}" name="DesignerName" dataDxfId="611"/>
    <tableColumn id="12" xr3:uid="{432BE2AC-C304-407A-B415-A7E5B05E56FA}" name="Design Status" dataDxfId="610"/>
    <tableColumn id="14" xr3:uid="{BCF0905E-768C-4DB4-8568-D6B98360FB0A}" name="Date Assigned to Designer" dataDxfId="609"/>
    <tableColumn id="15" xr3:uid="{CB70E5DC-1205-40F0-B9BF-EF6BD3917CA4}" name="Engineering Approved Design Date" dataDxfId="608"/>
    <tableColumn id="16" xr3:uid="{834C9BC1-F368-4148-A16A-38E1AF313742}" name="Date Completed" dataDxfId="607"/>
    <tableColumn id="101" xr3:uid="{517F4C81-6F2B-4626-BB7F-41F024C2919F}" name="Time" dataDxfId="606">
      <calculatedColumnFormula>IF(ISTEXT(Table159[[#This Row],[Engineering Approved Design Date]]),Table159[[#This Row],[Date Completed]]-Table159[[#This Row],[Date Assigned to Designer]],Table159[[#This Row],[Engineering Approved Design Date]]-Table159[[#This Row],[Date Completed]])</calculatedColumnFormula>
    </tableColumn>
    <tableColumn id="17" xr3:uid="{A61BD557-D3F5-4B99-AE78-45A7E152AE84}" name="Notes" dataDxfId="605"/>
    <tableColumn id="103" xr3:uid="{A642D58A-7100-4BA4-8600-3EA30D15233C}" name="Invoiced?" dataDxfId="604"/>
    <tableColumn id="52" xr3:uid="{AD902BC5-D736-4CFE-BE9F-61A30CF5C119}" name="Billing Month" dataDxfId="603"/>
    <tableColumn id="53" xr3:uid="{8B0E5B93-66CC-45E0-B75D-44EE07F9080A}" name="Invest in IL" dataDxfId="602"/>
    <tableColumn id="29" xr3:uid="{D2748A27-34C0-4695-B31E-076EE2A6C27B}" name="Amount Invoiced" dataDxfId="601">
      <calculatedColumnFormula>0.07*AA3</calculatedColumnFormula>
    </tableColumn>
    <tableColumn id="59" xr3:uid="{AE31950A-D4FC-4ED6-92E4-5AC2BEA2482E}" name="Rate" dataDxfId="600"/>
    <tableColumn id="64" xr3:uid="{352DB35A-70BB-4510-9228-9A496AD8FE34}" name="Shactee Effort" dataDxfId="599"/>
    <tableColumn id="62" xr3:uid="{77C8C487-1076-4464-B1E3-DC54141D6F3B}" name="3rd Party Effort" dataDxfId="598"/>
    <tableColumn id="63" xr3:uid="{815483AB-95BF-4C83-BDF8-28DD55125219}" name="KH Hourly Effort" dataDxfId="597"/>
    <tableColumn id="51" xr3:uid="{71754A37-4595-4925-8D67-878530C4AB0B}" name="LF of Main" dataDxfId="596"/>
    <tableColumn id="102" xr3:uid="{3BEBCBD4-7D8A-4A93-97E0-8E4AFA6F4220}" name="# of PV/STR/FV/TW/VLT" dataDxfId="595"/>
    <tableColumn id="56" xr3:uid="{1DF83799-C6F5-41AA-95DA-A556D97C26D8}" name="PCTS Investment Amount" dataDxfId="594"/>
    <tableColumn id="57" xr3:uid="{21E81A93-5337-414F-A53B-E1E93818EAAC}" name="PCTS Sewer Amount" dataDxfId="593"/>
    <tableColumn id="54" xr3:uid="{1E8543C6-AB88-4E5D-9CC9-83A3E3B0DA3A}" name="PCTS Retirement Amount" dataDxfId="592"/>
    <tableColumn id="55" xr3:uid="{89563B03-48D4-408F-83F3-0552B7B75094}" name="Construction Cost to Bill From" dataDxfId="591">
      <calculatedColumnFormula>23365+0</calculatedColumnFormula>
    </tableColumn>
    <tableColumn id="100" xr3:uid="{34D983B2-505F-4593-B520-8EC64A132C75}" name="Estimate Approved?" dataDxfId="590"/>
    <tableColumn id="87" xr3:uid="{93210F61-D7C4-4F6A-B902-4A22CD305F1B}" name="PO Item" dataDxfId="589"/>
    <tableColumn id="94" xr3:uid="{C76F9ECC-24B2-4ECF-BEFF-A8D9827DFDC7}" name="Updated Permitting Parameters" dataDxfId="588"/>
    <tableColumn id="125" xr3:uid="{D9310334-E850-4245-B75B-F9755C6E6838}" name="SPO Updated?" dataDxfId="587"/>
    <tableColumn id="124" xr3:uid="{11C065E3-93D4-4996-8053-5FBAE6542274}" name="LL Updated?" dataDxfId="586"/>
    <tableColumn id="123" xr3:uid="{8F1D0579-2998-4F93-B36E-40F7F82562EF}" name="Work Plan Reviewed?" dataDxfId="585"/>
    <tableColumn id="122" xr3:uid="{EA4FAD68-F205-44A3-8565-47D6445A70F9}" name="Debrief Complete?" dataDxfId="584"/>
    <tableColumn id="130" xr3:uid="{7507498B-58EB-4689-B472-E324A0A7EE43}" name="Nicor Initiated DBE" dataDxfId="583"/>
    <tableColumn id="129" xr3:uid="{CDB224E2-11D5-4B43-84AA-F2BF443213E6}" name="Field Noting &amp; Locating" dataDxfId="582"/>
    <tableColumn id="28" xr3:uid="{BF531CA7-19A3-43B5-9BF3-07DF4B8FC022}" name="Staffing" dataDxfId="581"/>
    <tableColumn id="127" xr3:uid="{7ABA9BC1-BD3C-464F-BE47-4063743DD626}" name="DBE%" dataDxfId="580">
      <calculatedColumnFormula>SUM(Table159[[#This Row],[Nicor Initiated DBE]:[Staffing]])/(Table159[[#This Row],[Amount Invoiced]])</calculatedColumnFormula>
    </tableColumn>
    <tableColumn id="67" xr3:uid="{BB97B1BA-3874-4AEA-B804-4E2D17A1ADCE}" name="Eligible to Reconcile" dataDxfId="579"/>
    <tableColumn id="46" xr3:uid="{6B0D0159-0423-4E4C-B624-27D609471D72}" name="PCTS Approved" dataDxfId="578"/>
    <tableColumn id="83" xr3:uid="{929A2F64-3F0E-4F7B-A279-9DE51EB714EE}" name="Project #" dataDxfId="577"/>
    <tableColumn id="50" xr3:uid="{1F2D98CF-8260-4A85-AD25-E4CF29F3E9E9}" name="Investment Amount (1#####)" dataDxfId="576"/>
    <tableColumn id="70" xr3:uid="{86BEC811-7BDA-4DF7-9DCF-DD88E7D85C52}" name="Sewer" dataDxfId="575"/>
    <tableColumn id="49" xr3:uid="{B0EB4992-5101-449F-8039-F5B1E4BE88BC}" name="Retirement Amount (3#####)" dataDxfId="574"/>
    <tableColumn id="48" xr3:uid="{4A4033D1-C016-41F1-A8F9-BEB0772F3F2D}" name="Approved Construction Cost" dataDxfId="573">
      <calculatedColumnFormula>IF(Table159[[#This Row],[PCTS Approved]]="N",0,Table159[[#This Row],[Investment Amount (1'#'#'#'#'#)]]+Table159[[#This Row],[Retirement Amount (3'#'#'#'#'#)]])</calculatedColumnFormula>
    </tableColumn>
    <tableColumn id="58" xr3:uid="{B39BB375-DCB9-4515-95DE-F61B90257D47}" name="Difference in Construction Cost" dataDxfId="572">
      <calculatedColumnFormula>IF(Table159[[#This Row],[Approved Construction Cost]]=0,0,Table159[[#This Row],[Approved Construction Cost]]-Table159[[#This Row],[Construction Cost to Bill From]])</calculatedColumnFormula>
    </tableColumn>
    <tableColumn id="65" xr3:uid="{26C9AAEC-4897-4022-B20C-C6C8F466D7E5}" name="Reconcile Amount" dataDxfId="571">
      <calculatedColumnFormula>Table159[[#This Row],[Difference in Construction Cost]]*Table159[[#This Row],[Rate]]</calculatedColumnFormula>
    </tableColumn>
    <tableColumn id="61" xr3:uid="{18DE4CAD-F204-4419-A608-27C5651D7B17}" name="Revision Billed" dataDxfId="570"/>
    <tableColumn id="66" xr3:uid="{C33CA857-9CF8-43FC-85D0-7DC82517B3E2}" name="Reconcile Notes" dataDxfId="569"/>
    <tableColumn id="69" xr3:uid="{E59F478C-5EB9-4C13-A739-0AE4BFD07637}" name="Approved Amount" dataDxfId="568"/>
    <tableColumn id="47" xr3:uid="{7F99CA64-5F3A-4CB2-A9AB-95F54B8394F2}" name="Reconcile Invoiced?" dataDxfId="567"/>
    <tableColumn id="88" xr3:uid="{DEA8F38C-057A-4B1C-BE11-8E6EF6722247}" name="COUNT" dataDxfId="566"/>
    <tableColumn id="18" xr3:uid="{D8AFBC9D-FC16-44B3-8CFE-D3E8A878AD7B}" name="Scope_x000a_Revision Code" dataDxfId="565"/>
    <tableColumn id="19" xr3:uid="{664495D1-2624-43AC-B687-0B2854F078CA}" name="Comments/Project Owner_x000a_Reason Revision &gt;5-Business Days" dataDxfId="564"/>
    <tableColumn id="93" xr3:uid="{A411E58A-A7BB-4B5B-8A25-5CEF59EFD1CE}" name="IDOT_x000a_" dataDxfId="563"/>
    <tableColumn id="92" xr3:uid="{6170D04C-1B43-49F8-B83E-2FD86BA50947}" name="County_x000a_" dataDxfId="562"/>
    <tableColumn id="91" xr3:uid="{DEC4E336-0847-4950-A1FE-E8D6B47EDCBE}" name="Muni_x000a_" dataDxfId="561"/>
    <tableColumn id="90" xr3:uid="{2C8C6E2A-8516-4163-85FA-5262280B9205}" name="Township_x000a_" dataDxfId="560"/>
    <tableColumn id="89" xr3:uid="{049EC5B4-08E7-4AC9-85BB-8E94359449DE}" name="Other_x000a_" dataDxfId="559"/>
    <tableColumn id="128" xr3:uid="{5C6BB49D-4F9D-4283-9892-5DEF01D3C89E}" name="KH Billing No" dataDxfId="558"/>
    <tableColumn id="113" xr3:uid="{C4B52837-288C-4B92-9F67-4719709FC78A}" name="600#" dataDxfId="557"/>
    <tableColumn id="114" xr3:uid="{E9D29C48-04EF-4603-AD0D-2D51D419BB2A}" name="300#" dataDxfId="556"/>
    <tableColumn id="115" xr3:uid="{26C72D8B-5491-4B58-8A86-67C47B0ACC96}" name="230#" dataDxfId="555"/>
    <tableColumn id="116" xr3:uid="{09C42BAA-FE42-4AED-B205-A0D726A465BA}" name="60# &amp; less" dataDxfId="554"/>
    <tableColumn id="117" xr3:uid="{20D390D3-6559-4295-84CA-5E3DFF1D5A5D}" name="16&quot;" dataDxfId="553"/>
    <tableColumn id="118" xr3:uid="{322091CC-F739-4447-AF8D-242E8BD7581D}" name="12&quot;" dataDxfId="552"/>
    <tableColumn id="119" xr3:uid="{5093E329-6B8B-493C-9BC8-A085666E7A65}" name="10&quot;" dataDxfId="551"/>
    <tableColumn id="120" xr3:uid="{6BBB4DA5-7D0B-424C-975A-FD33CB7DD35D}" name="8&quot;" dataDxfId="550"/>
    <tableColumn id="121" xr3:uid="{BED01A9A-7634-4A68-AE9F-2222F0A37B20}" name="6&quot;" dataDxfId="549"/>
    <tableColumn id="112" xr3:uid="{A83CAFEF-67BB-4381-91A3-1EDE0EC820BE}" name="4&quot;" dataDxfId="548"/>
    <tableColumn id="111" xr3:uid="{224E2FB7-7924-4624-B0B1-1BCEC1F96DF3}" name="2&quot;" dataDxfId="547"/>
    <tableColumn id="110" xr3:uid="{5E5BFE0B-7F23-4AE4-B8A8-8F282421763D}" name="Vault" dataDxfId="546"/>
    <tableColumn id="109" xr3:uid="{2C1FEE91-D10A-4A43-B0A2-0CA83536995D}" name="TW" dataDxfId="545"/>
    <tableColumn id="108" xr3:uid="{98BCEF68-7F92-41EE-9E1D-0D20649C5FFA}" name="PV" dataDxfId="544">
      <calculatedColumnFormula>IF(DOT_Projects[[#This Row],[TDS (i.e. MOP main)]]="Y",DOT_Projects[[#This Row],[Engineering Approved Design Date]]-28,DOT_Projects[[#This Row],[Engineering Approved Design Date]]-21)</calculatedColumnFormula>
    </tableColumn>
    <tableColumn id="107" xr3:uid="{4D8C3CB4-198B-490F-B442-E1F21DD14B5D}" name="STR" dataDxfId="543"/>
    <tableColumn id="106" xr3:uid="{1A8D9E4F-3DA5-4CCD-B3EC-911D3A298F14}" name="FV" dataDxfId="542"/>
    <tableColumn id="105" xr3:uid="{37AE79E3-1A3E-4220-95EC-3F8BC9859A5F}" name="MTR" dataDxfId="541"/>
    <tableColumn id="104" xr3:uid="{70D60FF8-6A58-491A-B438-14E17D380EE1}" name="Comments" dataDxfId="54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3D9C011-D784-47BE-89B4-A01355FCBB1F}" name="CRA_Projects" displayName="CRA_Projects" ref="A2:AV41" totalsRowShown="0" headerRowDxfId="539" dataDxfId="537" headerRowBorderDxfId="538" tableBorderDxfId="536" totalsRowBorderDxfId="535">
  <autoFilter ref="A2:AV41" xr:uid="{11F865D0-4B28-4FD3-BD8F-C0D6C8964C52}"/>
  <tableColumns count="48">
    <tableColumn id="1" xr3:uid="{2038ACB5-FE8D-4239-A2F9-336B258A30AF}" name="Year" dataDxfId="534"/>
    <tableColumn id="3" xr3:uid="{5432F960-9BE2-4FAA-B25D-48F949D885A9}" name="Project Type" dataDxfId="533"/>
    <tableColumn id="4" xr3:uid="{F65BF497-1D23-4B8E-8551-4EF9B0FBE175}" name="Engineering Number" dataDxfId="532"/>
    <tableColumn id="5" xr3:uid="{CF717BEE-A44E-4C8B-8354-DF04EC075DD2}" name="WO Number" dataDxfId="531"/>
    <tableColumn id="7" xr3:uid="{7A89B728-53FE-4C99-BFC9-EF432E4A3BB3}" name="Town" dataDxfId="530"/>
    <tableColumn id="10" xr3:uid="{08CB7D51-77C6-461F-8A68-09A848AD87B6}" name="Designer Supervisor" dataDxfId="529"/>
    <tableColumn id="11" xr3:uid="{2BD55C78-95D6-46F9-B698-443996B8079E}" name="Designer Name" dataDxfId="528"/>
    <tableColumn id="12" xr3:uid="{59EC572A-8CD6-42FF-A8E1-50B6EEEE384E}" name="Design Status" dataDxfId="527"/>
    <tableColumn id="14" xr3:uid="{59FA5BB0-D535-49B2-B217-34B546C6AA75}" name="Date Assigned to Designer" dataDxfId="526"/>
    <tableColumn id="15" xr3:uid="{422A66F3-5EDA-4266-96F8-636FA5F6E4C1}" name="Engineering Approved Design Date" dataDxfId="525"/>
    <tableColumn id="18" xr3:uid="{FA4835BC-46DA-4B74-B30B-74299AEB4446}" name="Action Items" dataDxfId="524"/>
    <tableColumn id="36" xr3:uid="{390E0F4F-7B3C-42F1-A054-37BB4596E60F}" name="Nicor System Improvement" dataDxfId="523">
      <calculatedColumnFormula>IF(OR(B3="TWV", B3="PV", B3="FV", B3="STR", B3="COR"), "No", IF(OR(B3="TW", B3="VLT"), "Yes", "Error"))</calculatedColumnFormula>
    </tableColumn>
    <tableColumn id="16" xr3:uid="{84E686DE-69A3-44F4-8463-7592573A3A10}" name="Project Scope" dataDxfId="522"/>
    <tableColumn id="17" xr3:uid="{32318BF4-F27C-4E4F-9618-374E53A80888}" name="Comments / Location" dataDxfId="521"/>
    <tableColumn id="53" xr3:uid="{42EAF6A4-311C-4E3C-B563-392D5FBA9385}" name="IDOT_x000a_" dataDxfId="520"/>
    <tableColumn id="52" xr3:uid="{4830E7FC-DDD3-4013-86A6-6BE1103865D2}" name="C_x000a_" dataDxfId="519"/>
    <tableColumn id="51" xr3:uid="{125AB20D-8F91-4D2D-81D5-003FC04E6841}" name="M_x000a_" dataDxfId="518"/>
    <tableColumn id="50" xr3:uid="{000CE0E1-DAA8-45F4-B839-F278D0BF15D6}" name="T_x000a_" dataDxfId="517"/>
    <tableColumn id="49" xr3:uid="{0413AA23-72C0-41BA-AF8E-42C18CDC80CA}" name="Other_x000a_" dataDxfId="516"/>
    <tableColumn id="23" xr3:uid="{C4F46391-9C71-44F9-9A42-D422B5CF0D94}" name="KH Billing No" dataDxfId="515"/>
    <tableColumn id="31" xr3:uid="{90F99114-A920-40F2-8B19-7E864D537978}" name="JULIE" dataDxfId="514"/>
    <tableColumn id="33" xr3:uid="{ED58FC1D-B87C-483B-B11C-E5A380010E22}" name="Site Visit" dataDxfId="513"/>
    <tableColumn id="32" xr3:uid="{6CBDBC7C-E2AB-4722-B854-4648B424C586}" name="BL to Shactee" dataDxfId="512"/>
    <tableColumn id="30" xr3:uid="{714A2810-8B06-46FA-A52A-740A4F94944F}" name="BL from Shactee" dataDxfId="511"/>
    <tableColumn id="38" xr3:uid="{1400D7B5-49D9-4C2D-8FE5-38D6D548A0CD}" name="Design to Shactee" dataDxfId="510"/>
    <tableColumn id="37" xr3:uid="{A106B0A2-7F14-41EA-9CBF-6D0FCFB63AFF}" name="Design from Shactee" dataDxfId="509"/>
    <tableColumn id="6" xr3:uid="{E95E8A1B-CBCF-4EFB-8B00-2BB893EFCA88}" name="Pre RR Review" dataDxfId="508"/>
    <tableColumn id="34" xr3:uid="{5FA88630-606D-4D0E-A591-A5FDF634CAB8}" name="Send out RR" dataDxfId="507"/>
    <tableColumn id="35" xr3:uid="{31CA2CEC-E63D-428F-934D-7618CC0A4526}" name="Absolute latest RR" dataDxfId="506">
      <calculatedColumnFormula>IF(CRA_Projects[[#This Row],[TDS (i.e. MOP main)]]="Y",CRA_Projects[[#This Row],[Engineering Approved Design Date]]-28,CRA_Projects[[#This Row],[Engineering Approved Design Date]]-21)</calculatedColumnFormula>
    </tableColumn>
    <tableColumn id="8" xr3:uid="{70C31F40-2582-44E3-BC0F-5358ACDE09D4}" name="Pre AFC Review" dataDxfId="505"/>
    <tableColumn id="54" xr3:uid="{8101A925-C172-42E7-B9B7-77B8F03E24D3}" name="TDS (i.e. MOP main)" dataDxfId="504"/>
    <tableColumn id="56" xr3:uid="{C974126D-5BEF-4F6D-BDCC-A92A6B84FF13}" name="In Workload" dataDxfId="503"/>
    <tableColumn id="42" xr3:uid="{356F5A84-FA1C-427C-893E-AA247404B6AF}" name="Workplan Date" dataDxfId="502"/>
    <tableColumn id="55" xr3:uid="{39B837CE-24B2-420C-A384-1BCF0B958CD1}" name="# of design pages" dataDxfId="501"/>
    <tableColumn id="28" xr3:uid="{134381FC-EA5C-4166-844C-0E9852D81529}" name="Foreign Pipeline" dataDxfId="500"/>
    <tableColumn id="19" xr3:uid="{D05F69E5-7F97-4F04-A968-6A1FAD2621E4}" name="Investigation Request [Sent]" dataDxfId="499"/>
    <tableColumn id="20" xr3:uid="{E33FCCD9-501A-4DE1-AF0F-8082E4EAFB06}" name="Real Estate [Rcv'd]" dataDxfId="498"/>
    <tableColumn id="21" xr3:uid="{B46B0BCD-5B48-4DFD-99B5-6D0D4DCE7FBE}" name="Environmental [Rcv'd]" dataDxfId="497"/>
    <tableColumn id="46" xr3:uid="{09430A3E-AC28-4386-9D27-3729D9DF9A28}" name="Community Outreach [Sent]" dataDxfId="496"/>
    <tableColumn id="2" xr3:uid="{6CAEEA4F-4C3C-488E-B1E1-EEF93C53F0F2}" name="MOP Verification [Sent]" dataDxfId="495"/>
    <tableColumn id="29" xr3:uid="{55E69B33-754C-40D0-ADED-E9F66880504D}" name="MOP Verification [Rcv'd]" dataDxfId="494"/>
    <tableColumn id="27" xr3:uid="{9BCDC304-FC59-4917-A37E-49AC0A6776F4}" name="DDA Submitted" dataDxfId="493"/>
    <tableColumn id="22" xr3:uid="{87CA185E-930E-45B2-9C10-F4B1A61B24EE}" name="Notes:" dataDxfId="492"/>
    <tableColumn id="41" xr3:uid="{83DCD86A-D1F1-41F8-A6E6-F9DE857DA089}" name="Cost Estimate" dataDxfId="491"/>
    <tableColumn id="9" xr3:uid="{81BE763B-E2DA-4A26-8920-D0CD46E02C05}" name="Rate" dataDxfId="490"/>
    <tableColumn id="13" xr3:uid="{921EF1A7-5EEB-4163-80BB-F3A65BF0BC64}" name="Invoice Total Forecast" dataDxfId="489">
      <calculatedColumnFormula>IF(OR(CRA_Projects[[#This Row],[Rate]]=12750,CRA_Projects[[#This Row],[Rate]]=14750,CRA_Projects[[#This Row],[Rate]]=9250), CRA_Projects[[#This Row],[Rate]], IF(CRA_Projects[[#This Row],[Project Type]]="COR", CRA_Projects[[#This Row],['# of design pages]]*5000, CRA_Projects[[#This Row],[Cost Estimate]] * CRA_Projects[[#This Row],[Rate]]))</calculatedColumnFormula>
    </tableColumn>
    <tableColumn id="47" xr3:uid="{760A813C-AF98-4999-AA96-402181B21788}" name="&gt; 500'?" dataDxfId="488"/>
    <tableColumn id="24" xr3:uid="{5E57B72E-43A8-483A-BF16-D3D29538ADDB}" name="Invoice Month" dataDxfId="487">
      <calculatedColumnFormula>IF(DAY(CRA_Projects[[#This Row],[Engineering Approved Design Date]]) &gt; 16, TEXT(EOMONTH(CRA_Projects[[#This Row],[Engineering Approved Design Date]], 0) + 1, "mmmm"), TEXT(EOMONTH(CRA_Projects[[#This Row],[Engineering Approved Design Date]], -1) + 1, "mmmm"))</calculatedColumnFormula>
    </tableColumn>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107E44C-C865-4866-9211-5DBF3A80DE93}" name="NonDOT_Projects" displayName="NonDOT_Projects" ref="A2:AX12" totalsRowShown="0" headerRowDxfId="486" dataDxfId="484" headerRowBorderDxfId="485" tableBorderDxfId="483" totalsRowBorderDxfId="482">
  <autoFilter ref="A2:AX12" xr:uid="{A107E44C-C865-4866-9211-5DBF3A80DE93}"/>
  <tableColumns count="50">
    <tableColumn id="1" xr3:uid="{FFE81E2B-1614-4AC7-B365-679ADF8471EB}" name="Year" dataDxfId="481"/>
    <tableColumn id="3" xr3:uid="{9771CC9F-604A-4B34-9BA5-B069E6E958C7}" name="Project Type" dataDxfId="480"/>
    <tableColumn id="4" xr3:uid="{65995CC2-7E54-48D5-8B8C-9E7D0F03B379}" name="Engineering Number" dataDxfId="479"/>
    <tableColumn id="5" xr3:uid="{999A3093-BA7D-4F16-926A-31895437443A}" name="WO Number" dataDxfId="478"/>
    <tableColumn id="7" xr3:uid="{6DCC3F7C-FB50-4A35-8547-07486A93E746}" name="Town" dataDxfId="477"/>
    <tableColumn id="10" xr3:uid="{2262C7EA-8EA3-48DC-BDE0-65C63249CD40}" name="Designer Supervisor" dataDxfId="476"/>
    <tableColumn id="11" xr3:uid="{5A6E349C-5F91-49B5-87E3-82F39E06EE5A}" name="Designer Name" dataDxfId="475"/>
    <tableColumn id="12" xr3:uid="{455C6A57-8C9F-4563-BF0F-FCC6DB7CA193}" name="Design Status" dataDxfId="474"/>
    <tableColumn id="14" xr3:uid="{6351DEE1-ED0D-4CDA-A42C-A4DFD4C7884B}" name="Date Assigned to Designer" dataDxfId="473"/>
    <tableColumn id="15" xr3:uid="{C5919987-815F-41B4-BF95-C23F0B0F5D81}" name="Engineering Approved Design Date" dataDxfId="472"/>
    <tableColumn id="18" xr3:uid="{2736A91F-9ED1-4B02-AF09-E4FE6363E282}" name="Action Items" dataDxfId="471"/>
    <tableColumn id="36" xr3:uid="{A247DBDB-6F00-4B11-A997-43B7F9BE6166}" name="Nicor System Improvement" dataDxfId="470"/>
    <tableColumn id="16" xr3:uid="{A2C1E0A8-EFF8-47E9-AE44-0AE5B88DE6CA}" name="Project Scope" dataDxfId="469"/>
    <tableColumn id="17" xr3:uid="{45974433-EC66-4984-AF4E-1126123BB407}" name="Comments/Location" dataDxfId="468"/>
    <tableColumn id="54" xr3:uid="{35A12C28-7FDA-4114-A332-9377A3909051}" name="IDOT_x000a_" dataDxfId="467"/>
    <tableColumn id="53" xr3:uid="{C98B0D35-CCDE-4F11-AD86-E7D2BB9F5D97}" name="C_x000a_" dataDxfId="466"/>
    <tableColumn id="52" xr3:uid="{7052C922-ADD4-4D50-A6AD-460EE575C326}" name="M_x000a_" dataDxfId="465"/>
    <tableColumn id="51" xr3:uid="{5A3476C7-ABE4-4998-B956-6626F77295B8}" name="T_x000a_" dataDxfId="464"/>
    <tableColumn id="50" xr3:uid="{6D499B80-0F25-4656-B2C9-5B032478FAF7}" name="Other_x000a_" dataDxfId="463"/>
    <tableColumn id="25" xr3:uid="{21FC1A23-5A2C-4074-9B5C-9291D34D18AD}" name="KH Billing No" dataDxfId="462"/>
    <tableColumn id="46" xr3:uid="{22E3927C-F302-4E05-8A78-CBCEFB5FF301}" name="JULIE" dataDxfId="461"/>
    <tableColumn id="33" xr3:uid="{77D5D9A6-7905-4C49-8CBA-D0A2E4113A83}" name="Site Visit" dataDxfId="460"/>
    <tableColumn id="32" xr3:uid="{85432D78-F8A1-40E5-9A3D-C199837FEE72}" name="BL to Shactee" dataDxfId="459"/>
    <tableColumn id="30" xr3:uid="{99F1717B-4DF1-435B-BE26-926045EDF293}" name="BL from Shactee" dataDxfId="458"/>
    <tableColumn id="38" xr3:uid="{0B7CA9E7-4F49-4DA4-920F-9B380B8A85AA}" name="Design to Shactee" dataDxfId="457"/>
    <tableColumn id="37" xr3:uid="{358982FD-4122-4D33-899E-73C5EFF32507}" name="Design from Shactee" dataDxfId="456"/>
    <tableColumn id="48" xr3:uid="{A7827A50-BFCE-4816-9095-2BA5D49CD247}" name="LG Drawing_x000a_[Y or N]" dataDxfId="455"/>
    <tableColumn id="6" xr3:uid="{E883DEBC-334B-457C-838C-8F8E150959BD}" name="Pre RR Review" dataDxfId="454"/>
    <tableColumn id="34" xr3:uid="{7FC75748-619F-4474-A163-0C09898758CF}" name="Send out RR" dataDxfId="453"/>
    <tableColumn id="35" xr3:uid="{2C96E17B-1E2F-4D10-B08B-0853B8ACB9C8}" name="Absolute latest RR" dataDxfId="452">
      <calculatedColumnFormula>IF(NonDOT_Projects[[#This Row],[TDS (i.e. MOP main)]]="Y",NonDOT_Projects[[#This Row],[Engineering Approved Design Date]]-28,NonDOT_Projects[[#This Row],[Engineering Approved Design Date]]-21)</calculatedColumnFormula>
    </tableColumn>
    <tableColumn id="8" xr3:uid="{0D7157E8-D6E0-4355-8E9C-56E838EFF1C0}" name="Pre AFC Review" dataDxfId="451"/>
    <tableColumn id="29" xr3:uid="{5F67C242-459E-4E4F-B7DA-BB004B912CC8}" name="3 (or 4) weeks prior to RR" dataDxfId="450">
      <calculatedColumnFormula>NonDOT_Projects[[#This Row],[Engineering Approved Design Date]]-(3*7)</calculatedColumnFormula>
    </tableColumn>
    <tableColumn id="47" xr3:uid="{2F95E117-A13D-47D1-A97D-BEF57BFA052D}" name="TDS (i.e. MOP main)" dataDxfId="449"/>
    <tableColumn id="27" xr3:uid="{BB3369C6-47D0-4B84-BA11-D0699A929DCC}" name="Bore Analysis?" dataDxfId="448"/>
    <tableColumn id="49" xr3:uid="{0986BC6A-643B-4F51-B836-68A27B7F63C2}" name="In Workload?" dataDxfId="447"/>
    <tableColumn id="42" xr3:uid="{84B9D76C-9F7F-4613-8F1F-F7EE452D0151}" name="Workplan Date" dataDxfId="446"/>
    <tableColumn id="55" xr3:uid="{6D40243D-6758-42DD-AD37-B14FB51BE62C}" name="# of design pages" dataDxfId="445"/>
    <tableColumn id="23" xr3:uid="{CB595E5D-BCED-4209-929D-8ABE3399551A}" name="Adjacent Work" dataDxfId="444"/>
    <tableColumn id="31" xr3:uid="{A01C4206-9306-42E9-8B70-C2A7ED2B4FBC}" name="Community Outreach" dataDxfId="443"/>
    <tableColumn id="28" xr3:uid="{F52DE4F9-C93C-42A7-9ACC-F2271B0C1902}" name="Foreign Pipeline (Y/N)_x000a_https://pvnpms.phmsa.dot.gov/PublicViewer/" dataDxfId="442"/>
    <tableColumn id="20" xr3:uid="{5FFBEB3D-564F-45D0-82A4-62B85B97BCF7}" name="Real Estate" dataDxfId="441"/>
    <tableColumn id="21" xr3:uid="{45585426-6C2F-4112-8961-96ABEE5804DE}" name="Environmental" dataDxfId="440"/>
    <tableColumn id="2" xr3:uid="{5F8A68DB-6A21-42BB-A2D5-34E71758ABFF}" name="MOP Verification" dataDxfId="439"/>
    <tableColumn id="22" xr3:uid="{81810FB6-C1B5-457C-9401-F719D8115E28}" name="Notes:" dataDxfId="438"/>
    <tableColumn id="9" xr3:uid="{1208F9FC-E030-45E3-8439-195A20A0C85B}" name="3rd Party Work" dataDxfId="437"/>
    <tableColumn id="13" xr3:uid="{8D4A7B3F-8904-44B6-9F7B-ADD4DFAC38B1}" name="3rd Party" dataDxfId="436"/>
    <tableColumn id="19" xr3:uid="{08B7E68D-0A8E-4F4B-A341-8654A3F7ADB9}" name="Current JS Contract Value" dataDxfId="435"/>
    <tableColumn id="24" xr3:uid="{864D2E07-5F2F-44E9-BF2C-8ABD6A46A9E7}" name="NM Guess Final Cost" dataDxfId="434"/>
    <tableColumn id="26" xr3:uid="{FA93E55F-6C1E-406F-B9EC-9D75585B07FD}" name="Rate" dataDxfId="433"/>
    <tableColumn id="39" xr3:uid="{9C350269-691D-4D1D-B5D0-E8B6DD0096A0}" name="Remaining JS" dataDxfId="432">
      <calculatedColumnFormula>(NonDOT_Projects[[#This Row],[NM Guess Final Cost]]*NonDOT_Projects[[#This Row],[Rate]])-(NonDOT_Projects[[#This Row],[Current JS Contract Value]]*NonDOT_Projects[[#This Row],[Rate]])</calculatedColumnFormula>
    </tableColumn>
  </tableColumns>
  <tableStyleInfo name="TableStyleMedium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2EE35C2-9D3D-49A1-BC20-B82563AB847E}" name="DOT_Projects" displayName="DOT_Projects" ref="A2:BC33" totalsRowShown="0" headerRowDxfId="431" dataDxfId="429" headerRowBorderDxfId="430" tableBorderDxfId="428" totalsRowBorderDxfId="427">
  <autoFilter ref="A2:BC33" xr:uid="{C2EE35C2-9D3D-49A1-BC20-B82563AB847E}"/>
  <tableColumns count="55">
    <tableColumn id="1" xr3:uid="{8516605B-006B-45F9-8C17-8C3F1DD92695}" name="Year" dataDxfId="426" totalsRowDxfId="425"/>
    <tableColumn id="3" xr3:uid="{10D274BD-B302-46FA-A506-D9E9D7A34045}" name="Project Type" dataDxfId="424" totalsRowDxfId="423"/>
    <tableColumn id="4" xr3:uid="{7CA13345-DFA6-4498-8B63-6BD425A404FD}" name="Engineering Number" dataDxfId="422" totalsRowDxfId="421"/>
    <tableColumn id="5" xr3:uid="{1FB4D42A-49A2-4AF8-BFA2-5696B68F56C3}" name="WO Number" dataDxfId="420" totalsRowDxfId="419"/>
    <tableColumn id="7" xr3:uid="{FCDB963C-1DCB-4F3C-B482-DA61FAED4605}" name="Town" dataDxfId="418" totalsRowDxfId="417"/>
    <tableColumn id="10" xr3:uid="{801CBD9D-4EAB-4560-B004-42C129E3D7BE}" name="Designer Supervisor" dataDxfId="416" totalsRowDxfId="415"/>
    <tableColumn id="11" xr3:uid="{26D1F9B4-89AA-45C4-B53A-FA29C1AFB89E}" name="Designer Name" dataDxfId="414" totalsRowDxfId="413"/>
    <tableColumn id="12" xr3:uid="{8E08FE0E-6A8C-4B8F-BEB9-E84906F04CDB}" name="Design Status" dataDxfId="412" totalsRowDxfId="411"/>
    <tableColumn id="14" xr3:uid="{B4321793-0F8C-4F82-8184-AD72B43FC7E5}" name="Date Assigned to Designer" dataDxfId="410" totalsRowDxfId="409"/>
    <tableColumn id="15" xr3:uid="{BC138D01-C54E-4980-8933-781F14DC9A9A}" name="Engineering Approved Design Date" dataDxfId="408" totalsRowDxfId="407"/>
    <tableColumn id="43" xr3:uid="{BE470C1C-2DF8-4CC3-92F9-599017CB858D}" name="Action Items" dataDxfId="406" totalsRowDxfId="405"/>
    <tableColumn id="41" xr3:uid="{82A9BB8F-FCB0-4BED-93C8-5B41054CD01A}" name="Project Scope / Location" dataDxfId="404" totalsRowDxfId="403"/>
    <tableColumn id="42" xr3:uid="{84ED4FC4-062A-4CC4-B002-D2247B7AB138}" name="Project Owner" dataDxfId="402" totalsRowDxfId="401"/>
    <tableColumn id="65" xr3:uid="{97EFB0C1-BE11-4B7A-B100-AAFE81E795B1}" name="IDOT_x000a_" dataDxfId="400" totalsRowDxfId="399"/>
    <tableColumn id="47" xr3:uid="{8A6701C0-B778-4EAA-8544-64742FE3A80C}" name="C_x000a_" dataDxfId="398" totalsRowDxfId="397"/>
    <tableColumn id="35" xr3:uid="{137A71BD-1AC4-45C8-9AB6-9A3CDD198399}" name="M_x000a_" dataDxfId="396" totalsRowDxfId="395"/>
    <tableColumn id="34" xr3:uid="{FED099DA-B5E5-44C8-94F2-C80EDE3B895D}" name="T_x000a_" dataDxfId="394" totalsRowDxfId="393"/>
    <tableColumn id="33" xr3:uid="{E6203E45-02D6-4159-BFFD-9E55233DC8AD}" name="Other_x000a_" dataDxfId="392" totalsRowDxfId="391"/>
    <tableColumn id="9" xr3:uid="{1C8B71A2-0D8E-4724-AEEF-328CE8934A02}" name="KH Billing No" dataDxfId="390"/>
    <tableColumn id="51" xr3:uid="{C5816593-426B-4698-B458-9F2951015281}" name="Site Visit" dataDxfId="389" totalsRowDxfId="388"/>
    <tableColumn id="24" xr3:uid="{71144BAA-F3EC-4F1A-863B-6EC385355DCC}" name="SOW to DOT" dataDxfId="387" totalsRowDxfId="386"/>
    <tableColumn id="67" xr3:uid="{DA130899-7615-4556-9E78-A976F10953BA}" name="SPO Docs Saved" dataDxfId="385" totalsRowDxfId="384"/>
    <tableColumn id="69" xr3:uid="{66B2320D-B192-4552-882D-57AF98D53F56}" name="Running Line Review" dataDxfId="383" totalsRowDxfId="382"/>
    <tableColumn id="53" xr3:uid="{B7FFC1B2-025D-4FAA-A2EE-2452F588F773}" name="BL to 3rd Party" dataDxfId="381" totalsRowDxfId="380"/>
    <tableColumn id="52" xr3:uid="{1EF4764C-D491-402A-BD93-0654A1CB1A5B}" name="BL From 3rd Party" dataDxfId="379" totalsRowDxfId="378"/>
    <tableColumn id="54" xr3:uid="{4999E3CC-7B6B-4AC9-9EA7-A297E046CF9B}" name="Design to 3rd Party" dataDxfId="377" totalsRowDxfId="376"/>
    <tableColumn id="50" xr3:uid="{5DEB5782-646F-49EB-8A8C-1535A056F305}" name="Design From 3rd Party" dataDxfId="375" totalsRowDxfId="374"/>
    <tableColumn id="31" xr3:uid="{2AA013AF-E219-4C1D-AE91-867AD6BF36EB}" name="LG Drawing" dataDxfId="373" totalsRowDxfId="372"/>
    <tableColumn id="8" xr3:uid="{7A392D10-4BF0-4007-896F-69462666B38C}" name="Pre RR Review" dataDxfId="371" totalsRowDxfId="370"/>
    <tableColumn id="58" xr3:uid="{221F1EC9-2383-484E-A7E3-ACC773037B87}" name="Send Out RR" dataDxfId="369" totalsRowDxfId="368"/>
    <tableColumn id="57" xr3:uid="{7BF47114-4BD0-4732-8D7B-7AA95B97B96E}" name="Absolute Latest RR" dataDxfId="367" totalsRowDxfId="366">
      <calculatedColumnFormula>IF(DOT_Projects[[#This Row],[TDS (i.e. MOP main)]]="Y",DOT_Projects[[#This Row],[Engineering Approved Design Date]]-28,DOT_Projects[[#This Row],[Engineering Approved Design Date]]-21)</calculatedColumnFormula>
    </tableColumn>
    <tableColumn id="2" xr3:uid="{4C56D15B-0D98-432E-87C5-8E7FEBDE54A4}" name="Pre AFC Review" dataDxfId="365" totalsRowDxfId="364"/>
    <tableColumn id="32" xr3:uid="{895C1FA0-ED00-417A-B66E-A842174E5812}" name="TDS (i.e. MOP main)" dataDxfId="363" totalsRowDxfId="362"/>
    <tableColumn id="61" xr3:uid="{BC8F5295-ABA4-4C0B-BAC7-DDDEABF69B53}" name="Workplan Date" dataDxfId="361" totalsRowDxfId="360"/>
    <tableColumn id="70" xr3:uid="{374C037D-7D14-4F9B-98E2-CDDE4EFCC3B9}" name="# of design pages" dataDxfId="359" totalsRowDxfId="358"/>
    <tableColumn id="16" xr3:uid="{FA83BA27-945A-4C3C-9A04-59E197D45424}" name="DOT Contact" dataDxfId="357" totalsRowDxfId="356"/>
    <tableColumn id="17" xr3:uid="{609CEB84-0534-4D4E-8E3B-94675816202A}" name="Contact Made" dataDxfId="355" totalsRowDxfId="354"/>
    <tableColumn id="45" xr3:uid="{896643BC-10F6-4D81-B9A3-D57182D7FB05}" name="Agency Project No." dataDxfId="353" totalsRowDxfId="352"/>
    <tableColumn id="18" xr3:uid="{C8CAEF8A-5E3B-4052-B9DF-B42821DD6198}" name="DOT Letting Date" dataDxfId="351" totalsRowDxfId="350"/>
    <tableColumn id="19" xr3:uid="{858DBF45-FE68-486B-B6C6-222EBFC76785}" name="DOT Const. Date" dataDxfId="349" totalsRowDxfId="348"/>
    <tableColumn id="20" xr3:uid="{A1C16C64-23BC-462E-8156-F7F0A552B4E3}" name="Plan Phase" dataDxfId="347" totalsRowDxfId="346"/>
    <tableColumn id="44" xr3:uid="{9A604169-58B7-440A-8627-15EB28E876F3}" name="CAD Files Received" dataDxfId="345" totalsRowDxfId="344"/>
    <tableColumn id="21" xr3:uid="{113DFDBD-F508-4FF1-B947-002E655D7C24}" name="DOT Notes" dataDxfId="343" totalsRowDxfId="342"/>
    <tableColumn id="48" xr3:uid="{6DF5D52B-4C7B-446D-8295-5711B7B9DA68}" name="Foreign Pipeline" dataDxfId="341" totalsRowDxfId="340"/>
    <tableColumn id="25" xr3:uid="{4A200E75-19D3-4F7A-A69D-ABAE3CFF3EE1}" name="Real Estate Received" dataDxfId="339" totalsRowDxfId="338"/>
    <tableColumn id="26" xr3:uid="{D6AEE16A-D024-4C39-B480-56771339A7AB}" name="Env. Received" dataDxfId="337" totalsRowDxfId="336"/>
    <tableColumn id="27" xr3:uid="{B2E7437F-B981-4177-8699-558E770EA227}" name="Reimbursable" dataDxfId="335" totalsRowDxfId="334"/>
    <tableColumn id="6" xr3:uid="{FDD49FE0-ED1A-42C8-8306-12D7346993E0}" name="MOP Verification" dataDxfId="333" totalsRowDxfId="332"/>
    <tableColumn id="22" xr3:uid="{6AC90ACB-D79C-4F3A-B5CC-976E0FD0DEB1}" name="DIMP Leak Request" dataDxfId="331" totalsRowDxfId="330"/>
    <tableColumn id="23" xr3:uid="{5410D4CF-1B31-4FC6-BF82-BED36F3255BF}" name="Nicor SP &amp; F" dataDxfId="329" totalsRowDxfId="328"/>
    <tableColumn id="40" xr3:uid="{11E07A20-8367-43C8-B15E-DD3B7DA93C39}" name="3rd Party Work" dataDxfId="327" totalsRowDxfId="326"/>
    <tableColumn id="64" xr3:uid="{E38830DD-7B40-4DCB-A04C-208E716FE612}" name="3rd Party" dataDxfId="325" totalsRowDxfId="324"/>
    <tableColumn id="28" xr3:uid="{01C97F12-EBB5-48F8-ADB2-567314563C98}" name="Preliminary Cost Estimate" dataDxfId="323" totalsRowDxfId="322"/>
    <tableColumn id="13" xr3:uid="{A5D5AF4F-331C-406A-A4EA-02B11A313350}" name="True Invoice Date" dataDxfId="321" totalsRowDxfId="320">
      <calculatedColumnFormula>IF(DAY(DOT_Projects[[#This Row],[Engineering Approved Design Date]]) &gt; 16, TEXT(EOMONTH(DOT_Projects[[#This Row],[Engineering Approved Design Date]], 0) + 1, "mmmm"), TEXT(EOMONTH(DOT_Projects[[#This Row],[Engineering Approved Design Date]], -1) + 1, "mmmm"))</calculatedColumnFormula>
    </tableColumn>
    <tableColumn id="36" xr3:uid="{02B20F93-720D-4307-BC32-B6EBC8C6CF82}" name="Potential Invoice Date" dataDxfId="319" totalsRowDxfId="318">
      <calculatedColumnFormula>IF(DAY(DOT_Projects[[#This Row],[Engineering Approved Design Date]]) &gt; 16, TEXT(EOMONTH(DOT_Projects[[#This Row],[Engineering Approved Design Date]], 0) + 1, "mmmm"), TEXT(EOMONTH(DOT_Projects[[#This Row],[Engineering Approved Design Date]], -1) + 1, "mmmm"))</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099A056-23B4-4563-964A-1DD288782E0C}" name="Table7" displayName="Table7" ref="A2:V23" totalsRowShown="0" headerRowDxfId="317" dataDxfId="316">
  <autoFilter ref="A2:V23" xr:uid="{A099A056-23B4-4563-964A-1DD288782E0C}"/>
  <tableColumns count="22">
    <tableColumn id="1" xr3:uid="{B29B4877-E21B-4A98-B581-D7FBF0669213}" name="Year" dataDxfId="315"/>
    <tableColumn id="2" xr3:uid="{2E0AE227-6082-4F13-AB83-349B6336F877}" name="Project Type"/>
    <tableColumn id="3" xr3:uid="{8B7A4039-D482-4467-983C-7CDABCF5F416}" name="Eng Number"/>
    <tableColumn id="4" xr3:uid="{6335E0C5-75C6-4E3A-8E5A-CC161F413CB8}" name="WO Number" dataDxfId="314"/>
    <tableColumn id="5" xr3:uid="{85B8A6B8-7410-4F7D-BE2D-2DEE044FDADC}" name="Town" dataDxfId="313"/>
    <tableColumn id="6" xr3:uid="{6B0E5DF6-6DC8-464F-8E3B-BB30640F7BB5}" name="Supervising Engineer"/>
    <tableColumn id="7" xr3:uid="{10B21810-E7FD-4F58-A901-DFD7802FB619}" name="Designer Name"/>
    <tableColumn id="8" xr3:uid="{6CABBE8A-6051-4764-A276-779A86CFBF77}" name="Design Status"/>
    <tableColumn id="9" xr3:uid="{FB8045DA-C00F-4DF9-937B-0AC4D6CE93E9}" name="Date Rev Assigned to Designer" dataDxfId="312"/>
    <tableColumn id="10" xr3:uid="{723A86FA-AB02-43CA-A44F-F0608643C528}" name="Target_x000a_Release Date" dataDxfId="311"/>
    <tableColumn id="11" xr3:uid="{9271B235-AC4B-46F3-9AB1-C14661C4CD23}" name="Action Items" dataDxfId="310"/>
    <tableColumn id="12" xr3:uid="{B9E92FE2-2FCB-4BDA-ACC9-33F1FE877DBE}" name="Reason for revision / Scope" dataDxfId="309"/>
    <tableColumn id="13" xr3:uid="{984B75DD-818A-428B-ADDB-38C10A3F6055}" name="Rev Code" dataDxfId="308"/>
    <tableColumn id="14" xr3:uid="{8FD1AD13-A502-44ED-889E-12A6EC0C51F9}" name="Complete within 7-days?" dataDxfId="307"/>
    <tableColumn id="15" xr3:uid="{7F8AA37E-5FBF-4AA9-B1BB-629D927C2076}" name="Reason" dataDxfId="306"/>
    <tableColumn id="16" xr3:uid="{F0A36E40-EEB5-4ACE-B226-43A7AE9F0A6B}" name="NSI?" dataDxfId="305"/>
    <tableColumn id="17" xr3:uid="{3780A7BF-2E8D-4A3C-BB53-5D2C437D8F37}" name="KH Project Number" dataDxfId="304"/>
    <tableColumn id="18" xr3:uid="{44C12C2E-18B1-4501-90D1-3C87AC5A85B7}" name="Monthly Writeup" dataDxfId="303"/>
    <tableColumn id="22" xr3:uid="{9A382237-7276-4C9F-9485-2443C79B7499}" name="ITD Effort" dataDxfId="302" dataCellStyle="Currency"/>
    <tableColumn id="19" xr3:uid="{6E49C36C-0549-4968-BC61-BDFC884CB847}" name="Updated Work Plan" dataDxfId="301"/>
    <tableColumn id="21" xr3:uid="{546DEDCC-F655-46A6-A7E9-65EFA42A4BBA}" name="Effort Reported to Nicor" dataDxfId="300"/>
    <tableColumn id="20" xr3:uid="{A475AA74-AF8C-4742-8AD7-B29E1F3119B3}" name="Month Reported to Nicor" dataDxfId="299"/>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809D18D-5CF0-40AC-82C8-C01B154F1217}" name="Requisitions_Tracker" displayName="Requisitions_Tracker" ref="A1:Y413" totalsRowShown="0" headerRowDxfId="298" dataDxfId="296" headerRowBorderDxfId="297" tableBorderDxfId="295" totalsRowBorderDxfId="294">
  <autoFilter ref="A1:Y413" xr:uid="{9809D18D-5CF0-40AC-82C8-C01B154F1217}"/>
  <tableColumns count="25">
    <tableColumn id="1" xr3:uid="{1C91C929-0B32-462B-8AC4-A91A6153B9CE}" name="80" dataDxfId="293"/>
    <tableColumn id="2" xr3:uid="{E73F50EC-A8C1-4B55-8D5C-34B90D998D16}" name="Engineering #" dataDxfId="292"/>
    <tableColumn id="25" xr3:uid="{142C5162-CBD2-40DC-95E4-6141C954A3EC}" name="Program" dataDxfId="291"/>
    <tableColumn id="3" xr3:uid="{3AC1E589-F3BA-4740-85AF-2EFC5C7D46CA}" name="Work Order" dataDxfId="290"/>
    <tableColumn id="4" xr3:uid="{D2A23F16-E4AA-4B92-9C27-8DE7B73E7E9D}" name="Project ID" dataDxfId="289"/>
    <tableColumn id="5" xr3:uid="{B7187AC5-244C-4AAE-9731-44F9C30B656C}" name="Town" dataDxfId="288"/>
    <tableColumn id="6" xr3:uid="{B7CE3941-E094-4B94-A7A2-8972F34F4536}" name="KH Project Lead" dataDxfId="287"/>
    <tableColumn id="7" xr3:uid="{87BD31AD-9AAC-4256-8ED5-40BEE80B8DF2}" name="Supervising Engineer" dataDxfId="286"/>
    <tableColumn id="8" xr3:uid="{22A4A307-0C2C-4D5A-AC06-C45D72E7B500}" name="ConOps Contact" dataDxfId="285"/>
    <tableColumn id="11" xr3:uid="{93D1A9C3-7FF2-44A4-930E-C1F0792823B3}" name="Item Description" dataDxfId="284"/>
    <tableColumn id="23" xr3:uid="{59197558-ED49-40D5-BEA0-71B1B4B1DD38}" name="Quantity" dataDxfId="283"/>
    <tableColumn id="22" xr3:uid="{284898F6-2B36-4BA4-8315-57FB892ED95F}" name="Unit" dataDxfId="282"/>
    <tableColumn id="12" xr3:uid="{AB88A2E1-7336-476E-81B9-BE93533E456C}" name="Project Status" dataDxfId="281"/>
    <tableColumn id="24" xr3:uid="{11BEEFC8-F4BC-4C03-B521-7EECA008B3B4}" name="General Notes/Follow Up" dataDxfId="280"/>
    <tableColumn id="13" xr3:uid="{E943E368-8CBF-4EBF-80C5-4969DBE70B25}" name="Shipping Destination" dataDxfId="279"/>
    <tableColumn id="10" xr3:uid="{EA18FD17-453F-445E-A4C0-B1C73802316E}" name="Delivery Contact _x000a_(If not ConOps Contact)" dataDxfId="278">
      <calculatedColumnFormula>Requisitions_Tracker[[#This Row],[ConOps Contact]]</calculatedColumnFormula>
    </tableColumn>
    <tableColumn id="14" xr3:uid="{35DEB7BE-072E-42EE-BB0B-4C73ECA330C5}" name="PR #" dataDxfId="277"/>
    <tableColumn id="15" xr3:uid="{DE259806-F1CF-4C4A-B532-E43333238F8C}" name="PR Request Date" dataDxfId="276"/>
    <tableColumn id="20" xr3:uid="{424338B9-2E52-400D-B1F8-1A6F6630F908}" name="Requested Delivery Date" dataDxfId="275"/>
    <tableColumn id="16" xr3:uid="{34FBE2C1-9E3E-415D-9565-837DC8442A42}" name="Purchase Order #" dataDxfId="274"/>
    <tableColumn id="17" xr3:uid="{8EB7A95B-60BE-412D-9822-4FD5B8A8FF1E}" name="PO Issued Date" dataDxfId="273"/>
    <tableColumn id="21" xr3:uid="{37828695-0325-4D41-A11B-0EC52262D6F4}" name="Anticipated Delivery Date" dataDxfId="272"/>
    <tableColumn id="18" xr3:uid="{6A8A36C4-4B6A-41BD-9A2F-1F3E0A9392E9}" name="Supplier" dataDxfId="271"/>
    <tableColumn id="9" xr3:uid="{4BB83A22-B58B-45A3-B51A-C82EFEA165C9}" name="Unit Price" dataDxfId="270" dataCellStyle="Currency"/>
    <tableColumn id="19" xr3:uid="{90366E15-8F77-4E24-8621-EDD9A76A44C9}" name="Total Price" dataDxfId="269" dataCellStyle="Currency">
      <calculatedColumnFormula>Requisitions_Tracker[[#This Row],[Unit Price]]*Requisitions_Tracker[[#This Row],[Quantity]]</calculatedColumnFormula>
    </tableColumn>
  </tableColumns>
  <tableStyleInfo name="TableStyleDark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F615E37-72CE-4EA2-9BE9-3DB4402C3604}" name="Table15" displayName="Table15" ref="A2:CD1535" totalsRowShown="0" headerRowDxfId="268" dataDxfId="267" totalsRowDxfId="266">
  <autoFilter ref="A2:CD1535" xr:uid="{BF615E37-72CE-4EA2-9BE9-3DB4402C3604}"/>
  <tableColumns count="82">
    <tableColumn id="1" xr3:uid="{159628D9-F826-4A2D-884C-40BECE82138F}" name="Year" dataDxfId="265" totalsRowDxfId="264"/>
    <tableColumn id="3" xr3:uid="{A4CDBA3B-7712-4827-B417-49928ED6200D}" name="DistDesTracking" dataDxfId="263" totalsRowDxfId="262"/>
    <tableColumn id="4" xr3:uid="{FFF375D5-21A7-4934-A672-A7E18125C564}" name="Engineering Number" dataDxfId="261" totalsRowDxfId="260"/>
    <tableColumn id="5" xr3:uid="{A9A22ED8-315F-4997-B4F6-540C47E2BE7F}" name="WO Number" dataDxfId="259" totalsRowDxfId="258"/>
    <tableColumn id="7" xr3:uid="{4F11F43B-FF83-441A-AC7F-7718D56EC615}" name="Town" dataDxfId="257" totalsRowDxfId="256"/>
    <tableColumn id="10" xr3:uid="{F1F39520-E6F4-4DB5-A0DD-9540DACF4663}" name="Designer Supervisor" dataDxfId="255" totalsRowDxfId="254"/>
    <tableColumn id="11" xr3:uid="{09286D85-2C57-4255-9655-72DC0DDF1BD8}" name="DesignerName" dataDxfId="253" totalsRowDxfId="252"/>
    <tableColumn id="12" xr3:uid="{D8282018-ABD8-4CB5-89D0-4E5DEFD1E29E}" name="Design Status" dataDxfId="251" totalsRowDxfId="250"/>
    <tableColumn id="14" xr3:uid="{AF5D99C5-81F8-41EE-A421-E6728585B3CD}" name="Date Assigned to Designer" dataDxfId="249" totalsRowDxfId="248"/>
    <tableColumn id="15" xr3:uid="{CB5100C5-12D4-4846-AE75-1C88B5248306}" name="Engineering Approved Design Date" dataDxfId="247" totalsRowDxfId="246"/>
    <tableColumn id="16" xr3:uid="{A3D1BAC0-9394-4853-88E0-80D8E6808E90}" name="Date Completed" dataDxfId="245" totalsRowDxfId="244"/>
    <tableColumn id="101" xr3:uid="{E04D1E9C-5AB9-4158-8FF2-4ED6A8AFCF34}" name="Time" dataDxfId="243" totalsRowDxfId="242">
      <calculatedColumnFormula>IF(ISTEXT(Table15[[#This Row],[Engineering Approved Design Date]]),Table15[[#This Row],[Date Completed]]-Table15[[#This Row],[Date Assigned to Designer]],Table15[[#This Row],[Engineering Approved Design Date]]-Table15[[#This Row],[Date Completed]])</calculatedColumnFormula>
    </tableColumn>
    <tableColumn id="17" xr3:uid="{2CBE92D8-0923-4BC7-A11A-11B35EE71066}" name="Notes" dataDxfId="241" totalsRowDxfId="240"/>
    <tableColumn id="103" xr3:uid="{70106F4C-EB1F-435E-B69F-32A44EEB453B}" name="Invoiced?" dataDxfId="239" totalsRowDxfId="238"/>
    <tableColumn id="52" xr3:uid="{6C90EADA-D0A1-46A9-BC3C-3684D8FB7549}" name="Billing Month" dataDxfId="237" totalsRowDxfId="236"/>
    <tableColumn id="53" xr3:uid="{E6CB1561-7617-472D-BC9C-37E467DC5CC1}" name="Nicor System Improvement/Invest in IL" dataDxfId="235" totalsRowDxfId="234"/>
    <tableColumn id="29" xr3:uid="{559DB02A-168A-4A1F-9A3C-BA3D648FBB1D}" name="Amount Invoiced" dataDxfId="233" totalsRowDxfId="232">
      <calculatedColumnFormula>0.07*AA3</calculatedColumnFormula>
    </tableColumn>
    <tableColumn id="59" xr3:uid="{504A2E27-8622-414D-A68A-066224775BA0}" name="Rate" dataDxfId="231" totalsRowDxfId="230"/>
    <tableColumn id="64" xr3:uid="{65020AE0-2821-47F0-B255-4430ED099826}" name="Shactee Effort" dataDxfId="229" totalsRowDxfId="228"/>
    <tableColumn id="62" xr3:uid="{16C59A1F-FBEB-4A6B-9921-85D209471ADE}" name="3rd Party Effort" dataDxfId="227" totalsRowDxfId="226"/>
    <tableColumn id="63" xr3:uid="{611EBA27-7946-4B82-8F38-F1C8156982A6}" name="KH Hourly Effort" dataDxfId="225" totalsRowDxfId="224"/>
    <tableColumn id="51" xr3:uid="{508E2FB7-C673-474A-A0AA-545B21DA77A7}" name="LF of Main" dataDxfId="223" totalsRowDxfId="222"/>
    <tableColumn id="102" xr3:uid="{0EE04628-4876-4D6D-82CE-AE3306BCB471}" name="# of PV/STR/FV/TW/VLT" dataDxfId="221" totalsRowDxfId="220"/>
    <tableColumn id="56" xr3:uid="{DC0ED672-9F9F-40D4-BCBA-91EEDAC94D7F}" name="PCTS Investment Amount" dataDxfId="219" totalsRowDxfId="218"/>
    <tableColumn id="57" xr3:uid="{DFDAA8D2-8B27-4AB0-BD6C-811E475BF40A}" name="PCTS Sewer Amount" dataDxfId="217" totalsRowDxfId="216"/>
    <tableColumn id="54" xr3:uid="{8EAD3F9F-0445-47C5-B002-E8D353590083}" name="PCTS Retirement Amount" dataDxfId="215" totalsRowDxfId="214"/>
    <tableColumn id="55" xr3:uid="{D12ADC8F-3E27-4556-8A7A-D8CDAC25F3D5}" name="Construction Cost to Bill From" dataDxfId="213" totalsRowDxfId="212">
      <calculatedColumnFormula>23365+0</calculatedColumnFormula>
    </tableColumn>
    <tableColumn id="100" xr3:uid="{82E13A2C-CD90-4456-A991-6F45D6AF16F4}" name="Estimate Approved?" dataDxfId="211" totalsRowDxfId="210"/>
    <tableColumn id="87" xr3:uid="{0D98F06A-CE95-4540-89F5-E6AA39646409}" name="PO Item" dataDxfId="209" totalsRowDxfId="208"/>
    <tableColumn id="94" xr3:uid="{43424F48-8EEC-48E8-A11D-3BA92FA0F20C}" name="Updated Permitting Parameters" dataDxfId="207" totalsRowDxfId="206"/>
    <tableColumn id="125" xr3:uid="{17E88936-63E0-4008-AD10-67A9E0A8909C}" name="SPO Updated?" dataDxfId="205" totalsRowDxfId="204"/>
    <tableColumn id="124" xr3:uid="{69C27504-E219-469A-BA19-5F4569C6CD37}" name="LL Updated?" dataDxfId="203" totalsRowDxfId="202"/>
    <tableColumn id="123" xr3:uid="{A2096BB8-EED4-4881-AEAB-39785C2243AE}" name="Work Plan Reviewed?" dataDxfId="201" totalsRowDxfId="200"/>
    <tableColumn id="122" xr3:uid="{16C6C746-8776-4A76-98AB-365ED10A2ECC}" name="Debrief Complete?" dataDxfId="199" totalsRowDxfId="198"/>
    <tableColumn id="130" xr3:uid="{D2D202BB-54EA-4230-B79D-CB621C1DE9EB}" name="Nicor Initiated DBE" dataDxfId="197" totalsRowDxfId="196"/>
    <tableColumn id="129" xr3:uid="{F9CF9917-53EB-4504-8EEB-D8B18D270473}" name="Field Noting &amp; Locating" dataDxfId="195" totalsRowDxfId="194"/>
    <tableColumn id="28" xr3:uid="{BE6278BE-41CC-4C2E-AAE8-4D7FED17DA6A}" name="Staffing" dataDxfId="193" totalsRowDxfId="192"/>
    <tableColumn id="127" xr3:uid="{0BA0FD6F-5574-4B29-A051-305C83ECACE5}" name="DBE%" dataDxfId="191" totalsRowDxfId="190">
      <calculatedColumnFormula>SUM(Table15[[#This Row],[Nicor Initiated DBE]:[Staffing]])/(Table15[[#This Row],[Amount Invoiced]])</calculatedColumnFormula>
    </tableColumn>
    <tableColumn id="67" xr3:uid="{812B16CE-503C-49B8-9A0C-134799A8B4DD}" name="Eligible to Reconcile" dataDxfId="189" totalsRowDxfId="188"/>
    <tableColumn id="46" xr3:uid="{30C9428A-54F7-4480-9DDD-69EEB66A1A2B}" name="PCTS Approved" dataDxfId="187" totalsRowDxfId="186"/>
    <tableColumn id="83" xr3:uid="{3C7DEB94-B188-48DA-92E6-36068A7AE584}" name="Project #" dataDxfId="185" totalsRowDxfId="184"/>
    <tableColumn id="50" xr3:uid="{81D4E146-A0F3-468B-9ACB-71D7E9653955}" name="Investment Amount (1#####)" dataDxfId="183" totalsRowDxfId="182"/>
    <tableColumn id="70" xr3:uid="{7990595E-C0A2-400A-9F17-F5F482DD47F4}" name="Sewer" dataDxfId="181" totalsRowDxfId="180"/>
    <tableColumn id="49" xr3:uid="{31BD82D2-0D4F-428A-9D25-D69DC4CE27BC}" name="Retirement Amount (3#####)" dataDxfId="179" totalsRowDxfId="178"/>
    <tableColumn id="48" xr3:uid="{290F2625-0593-4604-9909-79422CD8719C}" name="Approved Construction Cost" dataDxfId="177" totalsRowDxfId="176">
      <calculatedColumnFormula>IF(Table15[[#This Row],[PCTS Approved]]="N",0,Table15[[#This Row],[Investment Amount (1'#'#'#'#'#)]]+Table15[[#This Row],[Retirement Amount (3'#'#'#'#'#)]])</calculatedColumnFormula>
    </tableColumn>
    <tableColumn id="58" xr3:uid="{5F97CD7D-4718-418E-A644-E1968142F1EC}" name="Difference in Construction Cost" dataDxfId="175" totalsRowDxfId="174">
      <calculatedColumnFormula>IF(Table15[[#This Row],[Approved Construction Cost]]=0,0,Table15[[#This Row],[Approved Construction Cost]]-Table15[[#This Row],[Construction Cost to Bill From]])</calculatedColumnFormula>
    </tableColumn>
    <tableColumn id="65" xr3:uid="{9333C3FC-72D9-480A-A96F-630A7B8FC09E}" name="Reconcile Amount" dataDxfId="173" totalsRowDxfId="172">
      <calculatedColumnFormula>Table15[[#This Row],[Difference in Construction Cost]]*Table15[[#This Row],[Rate]]</calculatedColumnFormula>
    </tableColumn>
    <tableColumn id="61" xr3:uid="{64C359A5-7EE8-43E2-94D3-82502026E9C4}" name="Revision Billed" dataDxfId="171" totalsRowDxfId="170"/>
    <tableColumn id="66" xr3:uid="{F8A553E6-6C52-41C8-88DE-AE7CD9E052BA}" name="Reconcile Notes" dataDxfId="169" totalsRowDxfId="168"/>
    <tableColumn id="69" xr3:uid="{029F0508-8C1B-43F2-BC2E-27CF2B31E13A}" name="Approved Amount" dataDxfId="167" totalsRowDxfId="166"/>
    <tableColumn id="47" xr3:uid="{CBCFEC3A-D4E5-4961-8A75-A3C24AC3369E}" name="Reconcile Invoiced?" dataDxfId="165" totalsRowDxfId="164"/>
    <tableColumn id="88" xr3:uid="{A0746741-6201-4530-9C9B-691D15632B05}" name="COUNT" dataDxfId="163" totalsRowDxfId="162"/>
    <tableColumn id="18" xr3:uid="{6CD580D0-0561-4976-8C1F-B0DB03903D3D}" name="Scope_x000a_Revision Code" dataDxfId="161" totalsRowDxfId="160"/>
    <tableColumn id="19" xr3:uid="{6128C51F-6624-43DD-8B8F-9A19C9DE233C}" name="Comments/Project Owner_x000a_Reason Revision &gt;5-Business Days" dataDxfId="159" totalsRowDxfId="158"/>
    <tableColumn id="93" xr3:uid="{7CB9FC42-D741-4B53-B83F-6D2D655BCB00}" name="IDOT_x000a_" dataDxfId="157" totalsRowDxfId="156"/>
    <tableColumn id="92" xr3:uid="{62663425-DAB2-42F5-A75B-4DCC81E04A25}" name="County_x000a_" dataDxfId="155" totalsRowDxfId="154"/>
    <tableColumn id="91" xr3:uid="{BB437ED6-F7FA-47E6-B802-4AF83FB8CFA2}" name="Muni_x000a_" dataDxfId="153" totalsRowDxfId="152"/>
    <tableColumn id="90" xr3:uid="{27998945-7F44-4C71-B2AD-85D18DF6226A}" name="Township_x000a_" dataDxfId="151" totalsRowDxfId="150"/>
    <tableColumn id="89" xr3:uid="{7C90C022-6D07-4C0E-BB28-C595F7BE175F}" name="Other_x000a_" dataDxfId="149" totalsRowDxfId="148"/>
    <tableColumn id="128" xr3:uid="{B33BD492-F1EB-478F-8899-F0D29DECA6E1}" name="KH Billing No" dataDxfId="147" totalsRowDxfId="146"/>
    <tableColumn id="113" xr3:uid="{8633A599-15E2-4063-A2FF-F40026D52650}" name="600#" dataDxfId="145" totalsRowDxfId="144"/>
    <tableColumn id="114" xr3:uid="{3AD94787-39B8-4DBB-A1B1-810C3D45FEDA}" name="300#" dataDxfId="143" totalsRowDxfId="142"/>
    <tableColumn id="115" xr3:uid="{67BA14D0-563E-4952-A725-B12A0B07FE40}" name="230#" dataDxfId="141" totalsRowDxfId="140"/>
    <tableColumn id="116" xr3:uid="{D86F0EA4-2F1D-4D2F-812F-1F8A98042A48}" name="60# &amp; less" dataDxfId="139" totalsRowDxfId="138"/>
    <tableColumn id="117" xr3:uid="{EC465B4A-84FC-4201-AA2B-941398EA1AC1}" name="16&quot;" dataDxfId="137" totalsRowDxfId="136"/>
    <tableColumn id="118" xr3:uid="{28BBA463-52BE-4CF8-9632-EDC9192D916B}" name="12&quot;" dataDxfId="135" totalsRowDxfId="134"/>
    <tableColumn id="119" xr3:uid="{9D098CC7-054E-4998-86E5-CAE1788647E8}" name="10&quot;" dataDxfId="133" totalsRowDxfId="132"/>
    <tableColumn id="120" xr3:uid="{E4EC2946-00CF-4DEB-9397-938509887BC3}" name="8&quot;" dataDxfId="131" totalsRowDxfId="130"/>
    <tableColumn id="121" xr3:uid="{9FD5BACB-080F-4530-9D2B-CD02FE504E9F}" name="6&quot;" dataDxfId="129" totalsRowDxfId="128"/>
    <tableColumn id="112" xr3:uid="{32C8D531-313F-417F-9CDB-B27731C395EA}" name="4&quot;" dataDxfId="127" totalsRowDxfId="126"/>
    <tableColumn id="111" xr3:uid="{98C203B9-B4B2-48E4-A5CE-311F016D98C4}" name="2&quot;" dataDxfId="125" totalsRowDxfId="124"/>
    <tableColumn id="110" xr3:uid="{E30C4330-48A3-4396-98C3-1BDD5A02A492}" name="Vault" dataDxfId="123" totalsRowDxfId="122"/>
    <tableColumn id="109" xr3:uid="{227D8DDB-4966-4E48-80CD-2935C0D1E2B5}" name="TW" dataDxfId="121" totalsRowDxfId="120"/>
    <tableColumn id="108" xr3:uid="{3C5DA320-B697-4872-8B43-CF00D06FB48F}" name="PV" dataDxfId="119" totalsRowDxfId="118">
      <calculatedColumnFormula>IF(DOT_Projects[[#This Row],[TDS (i.e. MOP main)]]="Y",DOT_Projects[[#This Row],[Engineering Approved Design Date]]-28,DOT_Projects[[#This Row],[Engineering Approved Design Date]]-21)</calculatedColumnFormula>
    </tableColumn>
    <tableColumn id="107" xr3:uid="{7773944E-0AE1-4E12-A60F-416166D1D880}" name="STR" dataDxfId="117" totalsRowDxfId="116"/>
    <tableColumn id="106" xr3:uid="{2FF2DE46-4CD2-4F0D-BB2B-0C343B3F2E21}" name="FV" dataDxfId="115" totalsRowDxfId="114"/>
    <tableColumn id="105" xr3:uid="{8463ACB1-3F39-4F0E-8405-F69A2BBC1173}" name="MTR" dataDxfId="113" totalsRowDxfId="112"/>
    <tableColumn id="9" xr3:uid="{997B227F-7900-4A9F-87C9-9DC8C055EAE9}" name="EDV" totalsRowDxfId="111"/>
    <tableColumn id="104" xr3:uid="{CBC31833-4155-4638-A18C-8364AE70914C}" name="Comments" dataDxfId="110" totalsRowDxfId="109"/>
    <tableColumn id="2" xr3:uid="{578E0CDD-0C99-4A64-82EF-2F2A5CB2CA0F}" name="AHJ Count" dataDxfId="108" totalsRowDxfId="107"/>
    <tableColumn id="6" xr3:uid="{C776D91F-5B4A-4576-B0AC-17EB1E9F2B0C}" name="Project Complete" dataDxfId="106" totalsRowDxfId="105"/>
    <tableColumn id="8" xr3:uid="{7E529AEF-5A92-4F80-8116-D3E9F15361F8}" name="Unique ID" dataDxfId="104" totalsRowDxfId="103">
      <calculatedColumnFormula>Table15[[#This Row],[Engineering Number]]&amp;Table15[[#This Row],[WO Number]]&amp;Table15[[#This Row],[Date Assigned to Designer]]&amp;Table15[[#This Row],[Date Completed]]</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21CA0C-0E93-4321-BB00-700F4CB6FC82}" name="Table15910" displayName="Table15910" ref="A2:BZ210" totalsRowShown="0" headerRowDxfId="102" dataDxfId="101" totalsRowDxfId="100">
  <autoFilter ref="A2:BZ210" xr:uid="{BF615E37-72CE-4EA2-9BE9-3DB4402C3604}">
    <filterColumn colId="1">
      <filters>
        <filter val="DIMP BS"/>
        <filter val="DIMP MR"/>
      </filters>
    </filterColumn>
    <filterColumn colId="15">
      <filters>
        <filter val="Yes"/>
      </filters>
    </filterColumn>
    <filterColumn colId="41">
      <customFilters>
        <customFilter operator="notEqual" val=" "/>
      </customFilters>
    </filterColumn>
  </autoFilter>
  <sortState xmlns:xlrd2="http://schemas.microsoft.com/office/spreadsheetml/2017/richdata2" ref="A7:BZ37">
    <sortCondition ref="AN2:AN210"/>
  </sortState>
  <tableColumns count="78">
    <tableColumn id="1" xr3:uid="{1866BCA1-B72C-4468-A087-76502BE2B0AB}" name="Year" dataDxfId="99"/>
    <tableColumn id="3" xr3:uid="{786849D3-D2B7-4E86-94C9-97C01002C2F7}" name="DistDesTracking" dataDxfId="98"/>
    <tableColumn id="4" xr3:uid="{36B09DD6-E4A1-4DE1-8995-EA6E91D68BCF}" name="Engineering Number" dataDxfId="97"/>
    <tableColumn id="5" xr3:uid="{A3373E76-27C1-4903-AEB2-78A6BAD40C82}" name="WO Number" dataDxfId="96"/>
    <tableColumn id="7" xr3:uid="{1773BB6F-ED01-45E2-A17D-C6DD56872970}" name="Town" dataDxfId="95"/>
    <tableColumn id="10" xr3:uid="{697D65D1-17E3-4FF9-B304-0FDBC799D260}" name="Designer Supervisor" dataDxfId="94"/>
    <tableColumn id="11" xr3:uid="{B37DEDF2-1268-4AF9-A2BA-94406C6476FA}" name="Reconcile Lead" dataDxfId="93"/>
    <tableColumn id="12" xr3:uid="{950926B0-5981-4E11-A633-77348361F56D}" name="Design Status" dataDxfId="92"/>
    <tableColumn id="14" xr3:uid="{61605D4F-063E-44B2-83E1-61DB4ABAF139}" name="Date Assigned to Designer" dataDxfId="91"/>
    <tableColumn id="15" xr3:uid="{F51312A2-1F48-4C61-BB78-1156DC2DC65B}" name="Engineering Approved Design Date" dataDxfId="90"/>
    <tableColumn id="16" xr3:uid="{55D93C73-2A98-40FC-B06D-5FCFA47981F7}" name="Date Completed" dataDxfId="89"/>
    <tableColumn id="101" xr3:uid="{722C8133-D8D9-4537-9339-374D8DAB3616}" name="Time" dataDxfId="88">
      <calculatedColumnFormula>IF(ISTEXT(Table15910[[#This Row],[Engineering Approved Design Date]]),Table15910[[#This Row],[Date Completed]]-Table15910[[#This Row],[Date Assigned to Designer]],Table15910[[#This Row],[Engineering Approved Design Date]]-Table15910[[#This Row],[Date Completed]])</calculatedColumnFormula>
    </tableColumn>
    <tableColumn id="17" xr3:uid="{5D1A9A1B-45BF-4C42-9AA5-748B1B797222}" name="Notes" dataDxfId="87"/>
    <tableColumn id="103" xr3:uid="{1652B1A0-96D1-439B-A024-A068C1361F36}" name="Invoiced?" dataDxfId="86"/>
    <tableColumn id="52" xr3:uid="{0AD73A41-92F8-4402-955B-A96FB287B4E9}" name="Billing Month" dataDxfId="85"/>
    <tableColumn id="53" xr3:uid="{24A92D5B-FEFB-47FC-AED0-968031369EFC}" name="Invest in IL" dataDxfId="84"/>
    <tableColumn id="29" xr3:uid="{B5F70E3A-5E1D-413E-9882-FF6E80752CED}" name="Amount Invoiced" dataDxfId="83">
      <calculatedColumnFormula>0.07*AA3</calculatedColumnFormula>
    </tableColumn>
    <tableColumn id="59" xr3:uid="{96CF2B91-33FF-4EDD-8276-62AB74AA7E89}" name="Rate" dataDxfId="82"/>
    <tableColumn id="64" xr3:uid="{EB80164F-DE5B-4283-8F46-1B1954D1733F}" name="Shactee Effort" dataDxfId="81"/>
    <tableColumn id="62" xr3:uid="{18114527-8F89-46F7-BC56-038A6D68B863}" name="3rd Party Effort" dataDxfId="80"/>
    <tableColumn id="63" xr3:uid="{520C9439-DFE7-49B9-9B9B-F4925BC69535}" name="KH Hourly Effort" dataDxfId="79"/>
    <tableColumn id="51" xr3:uid="{D03D98A3-2F75-45A8-BAF4-10CECB913A4B}" name="LF of Main" dataDxfId="78"/>
    <tableColumn id="102" xr3:uid="{53E09669-DE92-40CF-8BBB-85D988B4C5AE}" name="# of PV/STR/FV/TW/VLT" dataDxfId="77"/>
    <tableColumn id="56" xr3:uid="{5BA7C159-76A7-4578-8124-89DBB7FF2F11}" name="PCTS Investment Amount" dataDxfId="76"/>
    <tableColumn id="57" xr3:uid="{72662806-54D0-4C43-97AC-81BA4B1F801D}" name="PCTS Sewer Amount" dataDxfId="75"/>
    <tableColumn id="54" xr3:uid="{77859A84-3FA8-4153-B999-279542C4AD2C}" name="PCTS Retirement Amount" dataDxfId="74"/>
    <tableColumn id="55" xr3:uid="{986C9DD6-18CB-431F-BF07-49887694EDAA}" name="Construction Cost to Bill From" dataDxfId="73">
      <calculatedColumnFormula>23365+0</calculatedColumnFormula>
    </tableColumn>
    <tableColumn id="100" xr3:uid="{19F14E52-D4D7-4AD7-B836-4E53C44FB2CD}" name="Estimate Approved?" dataDxfId="72"/>
    <tableColumn id="87" xr3:uid="{EF607C58-6582-4133-8240-7ECF6AADE6A8}" name="PO Item" dataDxfId="71"/>
    <tableColumn id="94" xr3:uid="{3239E0C3-6D2B-4619-9390-BA446BA040A5}" name="Updated Permitting Parameters" dataDxfId="70"/>
    <tableColumn id="125" xr3:uid="{BB46706C-422F-4A9F-B0DC-432803E3AB98}" name="SPO Updated?" dataDxfId="69"/>
    <tableColumn id="124" xr3:uid="{6F2C2983-9D01-41EF-9869-9CE2296BCF04}" name="LL Updated?" dataDxfId="68"/>
    <tableColumn id="123" xr3:uid="{801E5642-1797-4370-A0E7-81DB24383B1E}" name="Work Plan Reviewed?" dataDxfId="67"/>
    <tableColumn id="122" xr3:uid="{ED5D045B-4DF7-4465-A6E3-6112D7B9B94B}" name="Debrief Complete?" dataDxfId="66"/>
    <tableColumn id="130" xr3:uid="{6A29AA21-A87A-4DFE-95FA-588EF136F573}" name="Nicor Initiated DBE" dataDxfId="65"/>
    <tableColumn id="129" xr3:uid="{A764F51D-4DE7-44CA-AAC1-4BEFF074ABC4}" name="Field Noting &amp; Locating" dataDxfId="64"/>
    <tableColumn id="28" xr3:uid="{7B66E40F-EB13-4758-9797-4D8F17FE60F2}" name="Staffing" dataDxfId="63"/>
    <tableColumn id="127" xr3:uid="{6E67465C-01BC-4A66-9641-591C4D89E23A}" name="DBE%" dataDxfId="62">
      <calculatedColumnFormula>SUM(Table15910[[#This Row],[Nicor Initiated DBE]:[Staffing]])/(Table15910[[#This Row],[Amount Invoiced]])</calculatedColumnFormula>
    </tableColumn>
    <tableColumn id="67" xr3:uid="{ED0C607D-3669-40BB-8F9E-FFC937406E5B}" name="Eligible to Reconcile" dataDxfId="61"/>
    <tableColumn id="46" xr3:uid="{B12FC4C2-E649-4FBD-BAD7-53D94793C8DA}" name="PCTS Approved" dataDxfId="60"/>
    <tableColumn id="83" xr3:uid="{E10AE87A-02F6-4E97-81EA-7D2CB462C625}" name="Project #" dataDxfId="59"/>
    <tableColumn id="50" xr3:uid="{EAD4747C-177B-4D80-89F2-9193A6DA8F25}" name="Investment Amount (1#####)" dataDxfId="58"/>
    <tableColumn id="70" xr3:uid="{CE094B95-B526-4836-8C1E-D0413B6C0FE0}" name="Sewer" dataDxfId="57"/>
    <tableColumn id="49" xr3:uid="{8A80D58D-EAD1-40B3-B2FD-6BDC8A89ED7D}" name="Retirement Amount (3#####)" dataDxfId="56"/>
    <tableColumn id="48" xr3:uid="{98D754F9-D3E8-4143-BFD8-4D93D6AEDFFB}" name="Approved Construction Cost" dataDxfId="55">
      <calculatedColumnFormula>IF(Table15910[[#This Row],[PCTS Approved]]="N",0,Table15910[[#This Row],[Investment Amount (1'#'#'#'#'#)]]+Table15910[[#This Row],[Retirement Amount (3'#'#'#'#'#)]])</calculatedColumnFormula>
    </tableColumn>
    <tableColumn id="58" xr3:uid="{47B8A90A-DB23-473B-A438-9611AF315169}" name="Difference in Construction Cost" dataDxfId="54">
      <calculatedColumnFormula>IF(Table15910[[#This Row],[Approved Construction Cost]]=0,0,Table15910[[#This Row],[Approved Construction Cost]]-Table15910[[#This Row],[Construction Cost to Bill From]])</calculatedColumnFormula>
    </tableColumn>
    <tableColumn id="65" xr3:uid="{B025C03C-FEEF-4D56-A520-2E0CBAFBB466}" name="Reconcile Amount" dataDxfId="53">
      <calculatedColumnFormula>IFERROR(Table15910[[#This Row],[Difference in Construction Cost]]*Table15910[[#This Row],[Rate]],Table15910[[#This Row],[Difference in Construction Cost]]*0.085)</calculatedColumnFormula>
    </tableColumn>
    <tableColumn id="61" xr3:uid="{ECADE639-71DB-4E2B-B13D-758563794514}" name="Revision Billed" dataDxfId="52"/>
    <tableColumn id="66" xr3:uid="{DE56674F-4FC2-46A4-A0F3-66E20D805E06}" name="Reconcile Notes" dataDxfId="51"/>
    <tableColumn id="69" xr3:uid="{ADFA495B-2E86-4B82-A05F-C1860780EEA7}" name="Approved Amount" dataDxfId="50"/>
    <tableColumn id="47" xr3:uid="{340FAEAF-9A8A-4623-80C2-BA47E2BE677C}" name="Reconcile Invoiced?" dataDxfId="49"/>
    <tableColumn id="88" xr3:uid="{2CEFFDE4-9A62-4C2B-B5EB-AF0B0CAF2F00}" name="COUNT" dataDxfId="48"/>
    <tableColumn id="18" xr3:uid="{C24FFC28-4FC2-4182-A385-AB26439B59A3}" name="Scope_x000a_Revision Code" dataDxfId="47"/>
    <tableColumn id="19" xr3:uid="{47FBB8BE-4E8C-4AB1-B49A-4E80D74E56DB}" name="Comments/Project Owner_x000a_Reason Revision &gt;5-Business Days" dataDxfId="46"/>
    <tableColumn id="93" xr3:uid="{8C67A5C9-41B9-477C-A4D8-E32F3A114D22}" name="IDOT_x000a_" dataDxfId="45"/>
    <tableColumn id="92" xr3:uid="{BA40002D-A013-477D-B806-8E14A3D29D43}" name="County_x000a_" dataDxfId="44"/>
    <tableColumn id="91" xr3:uid="{A6F609BA-845B-4E95-A2CA-9052E829F503}" name="Muni_x000a_" dataDxfId="43"/>
    <tableColumn id="90" xr3:uid="{6DE01450-DB0E-4D9D-BF90-92D2158A219B}" name="Township_x000a_" dataDxfId="42"/>
    <tableColumn id="89" xr3:uid="{0D3D6A59-1443-4247-9D66-5120AAAAE454}" name="Other_x000a_" dataDxfId="41"/>
    <tableColumn id="128" xr3:uid="{1733D75F-98E9-4C0A-A539-4A60D758E0FA}" name="KH Billing No" dataDxfId="40"/>
    <tableColumn id="113" xr3:uid="{3060F6BE-F792-4B64-AB08-FA57BDE09B62}" name="600#" dataDxfId="39"/>
    <tableColumn id="114" xr3:uid="{7B2A068F-4CF2-4B77-872C-0424D095A434}" name="300#" dataDxfId="38"/>
    <tableColumn id="115" xr3:uid="{2971CB9F-E82E-45C7-A822-BC5106EF85B7}" name="230#" dataDxfId="37"/>
    <tableColumn id="116" xr3:uid="{A2E03E0F-7199-4E00-83DB-89C6E6483A27}" name="60# &amp; less" dataDxfId="36"/>
    <tableColumn id="117" xr3:uid="{875F0A70-4770-4A9B-9D15-66245EA3F9F5}" name="16&quot;" dataDxfId="35"/>
    <tableColumn id="118" xr3:uid="{046CBE0B-42AE-4D7F-9C82-FE32C584DAFC}" name="12&quot;" dataDxfId="34"/>
    <tableColumn id="119" xr3:uid="{592C26F3-0592-4D5A-87B7-ACCF194F5D34}" name="10&quot;" dataDxfId="33"/>
    <tableColumn id="120" xr3:uid="{222D27E0-8C0E-426F-AB7B-B1B733936AA0}" name="8&quot;" dataDxfId="32"/>
    <tableColumn id="121" xr3:uid="{5EDE5645-4338-43C2-B824-760516F8F4D5}" name="6&quot;" dataDxfId="31"/>
    <tableColumn id="112" xr3:uid="{3563B04E-F2EA-4ED6-8B29-75CA9E565BCD}" name="4&quot;" dataDxfId="30"/>
    <tableColumn id="111" xr3:uid="{15048270-BE08-41F6-A887-8B3EF98D95E8}" name="2&quot;" dataDxfId="29"/>
    <tableColumn id="110" xr3:uid="{393E6B5A-D2B3-4C9D-8CE2-C1C380846D43}" name="Vault" dataDxfId="28"/>
    <tableColumn id="109" xr3:uid="{224FBAE2-07B8-4973-9D26-97A672016688}" name="TW" dataDxfId="27"/>
    <tableColumn id="108" xr3:uid="{B8BAA19C-1876-4220-BD1B-5B2064A6694F}" name="PV" dataDxfId="26"/>
    <tableColumn id="107" xr3:uid="{577C6236-A65F-404A-A611-89A8097A65D8}" name="STR" dataDxfId="25"/>
    <tableColumn id="106" xr3:uid="{974F8E3D-1536-4B01-91D9-D9982CC80DC0}" name="FV" dataDxfId="24"/>
    <tableColumn id="105" xr3:uid="{5E221AD9-AEBC-4F99-9988-FFA3E080123E}" name="MTR" dataDxfId="23"/>
    <tableColumn id="104" xr3:uid="{AFCB8539-57D5-4360-AC2A-B51175926C9B}" name="Comments" dataDxfId="2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82" dT="2023-07-06T17:36:28.07" personId="{F227819F-94A5-4B9E-BFE1-31C425F558EE}" id="{F888DC05-8C07-46E3-BFB8-5E17B5091F23}">
    <text>@Michaels, Nick  - PR 6060 has been added in Maximo and routed to Kendra.</text>
    <mentions>
      <mention mentionpersonId="{B4D9CDF8-D824-45AC-9EAC-9C126A267B65}" mentionId="{7C596BD0-7D68-4210-ADC9-F9F71F3980F0}" startIndex="0" length="15"/>
    </mentions>
  </threadedComment>
  <threadedComment ref="I135" dT="2023-08-31T19:05:14.25" personId="{1B2CDA8A-CEFC-4136-87C1-B34BF471D2DA}" id="{5136862A-0F34-4AEF-A8A7-54837CE8A364}">
    <text xml:space="preserve">@Castellon, Randy we still pending PID?
</text>
    <mentions>
      <mention mentionpersonId="{19AB77A6-6CAB-45F7-B79B-631A6192FCA1}" mentionId="{826E368B-65B0-4370-A4C1-956BC0455AA3}" startIndex="0" length="17"/>
    </mentions>
  </threadedComment>
  <threadedComment ref="A232" dT="2023-07-20T18:32:47.60" personId="{AD1FAA3F-1360-44AB-83DF-B4908D76B23C}" id="{C6DABF18-935A-41A0-9477-CB06A04B72B7}">
    <text>Per coordination with Conops - this is getting pushed to 2024</text>
  </threadedComment>
</ThreadedComments>
</file>

<file path=xl/threadedComments/threadedComment2.xml><?xml version="1.0" encoding="utf-8"?>
<ThreadedComments xmlns="http://schemas.microsoft.com/office/spreadsheetml/2018/threadedcomments" xmlns:x="http://schemas.openxmlformats.org/spreadsheetml/2006/main">
  <threadedComment ref="AW4" dT="2024-07-15T20:19:06.05" personId="{AD1FAA3F-1360-44AB-83DF-B4908D76B23C}" id="{6266D740-9ADD-4BD0-9ADA-A08EC3F4A583}">
    <text>I am unsure of this there is nothing saved in the folder and no changes made by Nicor PCTS</text>
  </threadedComment>
  <threadedComment ref="J15" dT="2023-11-13T22:21:42.58" personId="{1B2CDA8A-CEFC-4136-87C1-B34BF471D2DA}" id="{AC5714DC-0145-4D45-B15B-1F862A0B64B9}">
    <text>@Corbi, Camille please continue to follow up on date extension with Kendra until we get that cleaned up</text>
    <mentions>
      <mention mentionpersonId="{ABEDD8C2-01F0-4304-90BA-79DEF386422B}" mentionId="{184C3DEA-2080-4E9A-AEDE-49C4D4B9C388}" startIndex="0" length="15"/>
    </mentions>
  </threadedComment>
  <threadedComment ref="J15" dT="2023-11-13T22:24:08.52" personId="{AD1FAA3F-1360-44AB-83DF-B4908D76B23C}" id="{0A452D5D-4FD2-4150-A0EB-2070E2CB033D}" parentId="{AC5714DC-0145-4D45-B15B-1F862A0B64B9}">
    <text>F/U 11/13</text>
  </threadedComment>
  <threadedComment ref="J15" dT="2023-11-17T19:34:39.94" personId="{AD1FAA3F-1360-44AB-83DF-B4908D76B23C}" id="{FD155C7E-2E42-42E0-9F8E-7769CBCC0BA6}" parentId="{AC5714DC-0145-4D45-B15B-1F862A0B64B9}">
    <text>F/U 11/17</text>
  </threadedComment>
  <threadedComment ref="J15" dT="2023-11-27T20:43:35.00" personId="{AD1FAA3F-1360-44AB-83DF-B4908D76B23C}" id="{AC1D2A51-F3E7-4435-AB43-9F930FCBC3D4}" parentId="{AC5714DC-0145-4D45-B15B-1F862A0B64B9}">
    <text>F/U 11/27</text>
  </threadedComment>
  <threadedComment ref="J15" dT="2023-12-18T16:05:03.99" personId="{AD1FAA3F-1360-44AB-83DF-B4908D76B23C}" id="{DB0E6EAC-1AB6-41B1-B908-A5BA3AC8358A}" parentId="{AC5714DC-0145-4D45-B15B-1F862A0B64B9}">
    <text>12/18</text>
  </threadedComment>
  <threadedComment ref="J15" dT="2024-01-24T22:19:43.52" personId="{AD1FAA3F-1360-44AB-83DF-B4908D76B23C}" id="{A94911E6-C19C-48AB-844D-1A432C12C04F}" parentId="{AC5714DC-0145-4D45-B15B-1F862A0B64B9}">
    <text>1/3</text>
  </threadedComment>
  <threadedComment ref="J15" dT="2024-01-24T22:23:27.66" personId="{AD1FAA3F-1360-44AB-83DF-B4908D76B23C}" id="{AE2C1E1F-3B42-4CD7-A958-F5B3F530A9D0}" parentId="{AC5714DC-0145-4D45-B15B-1F862A0B64B9}">
    <text>1/24</text>
  </threadedComment>
  <threadedComment ref="J15" dT="2024-03-06T20:19:02.29" personId="{AD1FAA3F-1360-44AB-83DF-B4908D76B23C}" id="{6C21DB22-F0CC-48FE-A66E-18560C567305}" parentId="{AC5714DC-0145-4D45-B15B-1F862A0B64B9}">
    <text>3/6</text>
  </threadedComment>
  <threadedComment ref="J15" dT="2024-05-02T15:01:22.92" personId="{AD1FAA3F-1360-44AB-83DF-B4908D76B23C}" id="{4B5E5AFA-2147-4D25-A1DC-FBFEE4F5124D}" parentId="{AC5714DC-0145-4D45-B15B-1F862A0B64B9}">
    <text>5/2</text>
  </threadedComment>
  <threadedComment ref="X17" dT="2024-03-11T13:37:09.06" personId="{24E6244D-1EC0-4D28-8AA4-3342015D362A}" id="{465B4B4D-7E8B-4FB9-8C81-0908E45C05C9}">
    <text>PCTS shows 846,228.66 (but was approved on 3/5/2024 so likely the discrepancy)</text>
  </threadedComment>
  <threadedComment ref="D20" dT="2023-08-21T16:07:43.59" personId="{EB756D3C-0333-4781-801C-F36FB858F0FD}" id="{3B5610F1-D128-413F-8EAA-7BD4CF3C6DE8}">
    <text xml:space="preserve">Used to be 1412040 - this was corrected during a revision. </text>
  </threadedComment>
  <threadedComment ref="V23" dT="2023-10-30T21:30:52.50" personId="{1B2CDA8A-CEFC-4136-87C1-B34BF471D2DA}" id="{9DA9D929-CC0E-40A5-BAB2-543144FC107C}">
    <text>@Castellon, Randy review and enter in values for red cells, highlight yellow and tag me when ready to be reviewed</text>
    <mentions>
      <mention mentionpersonId="{19AB77A6-6CAB-45F7-B79B-631A6192FCA1}" mentionId="{FF4B0EB6-4E8D-4CD7-B7D4-F9B3E32266FF}" startIndex="0" length="17"/>
    </mentions>
  </threadedComment>
  <threadedComment ref="V23" dT="2023-10-31T14:24:34.09" personId="{3B2D5CBB-8EEF-4A78-9A0D-33CA3157BEED}" id="{7374EDAD-CE3F-4DB4-BBE3-1C304C841EE1}" parentId="{9DA9D929-CC0E-40A5-BAB2-543144FC107C}">
    <text>@Betland, Joseph ready for your review</text>
    <mentions>
      <mention mentionpersonId="{E6421D29-A382-450E-BB08-617C1D9F9AED}" mentionId="{DBA0B09D-90B8-4EE2-ADE4-B5E93BB58CFD}" startIndex="0" length="16"/>
    </mentions>
  </threadedComment>
  <threadedComment ref="AN29" dT="2024-07-15T22:15:50.77" personId="{1B2CDA8A-CEFC-4136-87C1-B34BF471D2DA}" id="{F50A38FA-9994-42A1-BAD8-20258CC6196C}">
    <text>@Dina, Eric  can you update this column to be the date is was approved, and highlight the cells blue that you've updated to the right when you've confirmed they are good to go?</text>
    <mentions>
      <mention mentionpersonId="{F9D0559D-AD59-4808-8048-C5973E55A36A}" mentionId="{C4F8A007-1B9B-41C1-ACAB-6213B3FC3E47}" startIndex="0" length="11"/>
    </mentions>
  </threadedComment>
  <threadedComment ref="AN29" dT="2024-07-16T14:49:43.02" personId="{B43CBA0C-5DE4-4FB3-8951-794B7F7C4646}" id="{03845D98-8ED6-4203-8BBE-2E7E2E2493AA}" parentId="{F50A38FA-9994-42A1-BAD8-20258CC6196C}">
    <text>done</text>
  </threadedComment>
  <threadedComment ref="X30" dT="2024-03-11T13:49:44.50" personId="{24E6244D-1EC0-4D28-8AA4-3342015D362A}" id="{1CF5AA38-37CD-4ECB-8B84-D0C69CB3FB7E}">
    <text>PCTS shows 335,524.99</text>
  </threadedComment>
  <threadedComment ref="Z30" dT="2024-03-11T13:51:37.37" personId="{24E6244D-1EC0-4D28-8AA4-3342015D362A}" id="{F83739C3-3EED-45E8-8EC3-C751CB58D354}">
    <text>PCTS Shows 34,712.80</text>
  </threadedComment>
  <threadedComment ref="J33" dT="2023-11-29T17:53:16.43" personId="{1B2CDA8A-CEFC-4136-87C1-B34BF471D2DA}" id="{E8E4232F-AAE3-42DE-848A-7A7E7EBEA1A5}">
    <text>@Castellon, Randy please continue to follow up on this date</text>
    <mentions>
      <mention mentionpersonId="{19AB77A6-6CAB-45F7-B79B-631A6192FCA1}" mentionId="{776F4420-7EB9-4DBA-9D1A-9EA64C7D5A1E}" startIndex="0" length="17"/>
    </mentions>
  </threadedComment>
  <threadedComment ref="J33" dT="2024-02-22T16:19:29.35" personId="{3B2D5CBB-8EEF-4A78-9A0D-33CA3157BEED}" id="{16FAD1E4-5B94-42C9-A889-997D4085963F}" parentId="{E8E4232F-AAE3-42DE-848A-7A7E7EBEA1A5}">
    <text>F.U. 2/22</text>
  </threadedComment>
  <threadedComment ref="J33" dT="2024-04-01T13:58:43.96" personId="{3B2D5CBB-8EEF-4A78-9A0D-33CA3157BEED}" id="{04CAB78E-2DDA-4580-893B-E5CD0BE9B830}" parentId="{E8E4232F-AAE3-42DE-848A-7A7E7EBEA1A5}">
    <text>This got approved and i saved it down in the folder</text>
  </threadedComment>
  <threadedComment ref="AK37" dT="2024-07-12T18:51:24.91" personId="{0F8BBC01-9FFE-46F1-A588-E756CD2DAAE0}" id="{09013DE7-1F41-4C2F-ADD8-BB16555FFF1B}">
    <text>I chatted with Logan and we think its a possibility that Shactee didn't invoice us for the BL/D they did (returned to us on 12/27/24). Accounting doesn't have any invoice for this</text>
  </threadedComment>
  <threadedComment ref="X38" dT="2024-02-26T16:03:06.16" personId="{1B2CDA8A-CEFC-4136-87C1-B34BF471D2DA}" id="{283F040B-5DD2-47BF-B484-AE38993D33D7}">
    <text>@Chamernik, Conner please go in and take screenshots of PCTS as these numbers appeared to have chnaged and I want to document</text>
    <mentions>
      <mention mentionpersonId="{57B91CBD-0327-4D8C-B370-773C13F6634B}" mentionId="{6A97D93A-6C8D-4170-9CD0-44A392963FED}" startIndex="0" length="18"/>
    </mentions>
  </threadedComment>
  <threadedComment ref="X38" dT="2024-03-11T13:38:26.39" personId="{24E6244D-1EC0-4D28-8AA4-3342015D362A}" id="{5588DEDF-F6AA-4D80-84E3-702A310B3AB2}" parentId="{283F040B-5DD2-47BF-B484-AE38993D33D7}">
    <text>PCTS shows $172,318.47 (but was approved on 3/7/2024 so likely the discrepancy)</text>
  </threadedComment>
  <threadedComment ref="Z38" dT="2024-03-11T13:39:13.08" personId="{24E6244D-1EC0-4D28-8AA4-3342015D362A}" id="{186E2B0A-7D05-415A-92A8-D10BB104EB09}">
    <text>PCTS shows $54,594.16 (but was approved on 3/5/2024 so likely the discrepancy)</text>
  </threadedComment>
  <threadedComment ref="AW41" dT="2024-09-10T22:10:07.20" personId="{1B2CDA8A-CEFC-4136-87C1-B34BF471D2DA}" id="{737C7813-43EF-4E95-92FA-5F36EE2B0436}">
    <text>Please note that both SC18611 WOs were combined in this reconciliation</text>
  </threadedComment>
  <threadedComment ref="J42" dT="2024-01-02T14:36:43.00" personId="{1B2CDA8A-CEFC-4136-87C1-B34BF471D2DA}" id="{740AC4E0-32B0-474F-A5A5-42B6C4855D7F}">
    <text xml:space="preserve">@Lierow, Taylor please continue to follow up on this date </text>
    <mentions>
      <mention mentionpersonId="{502BF9D0-8DCD-49BB-B66D-0DCEA37B4151}" mentionId="{27C7D5BB-ACC9-4C9D-904C-B5A2FCCF7E41}" startIndex="0" length="15"/>
    </mentions>
  </threadedComment>
  <threadedComment ref="K48" dT="2024-05-14T17:03:38.39" personId="{C292F702-D4C8-427F-8060-CA8E0A11E4F6}" id="{CCA7688F-50E7-4DFC-ABC8-80D746050705}">
    <text>@Dina, Eric  can you pull in an analyst to fill out the red cells? Have them highlight yellow when ready for my review. Thanks!</text>
    <mentions>
      <mention mentionpersonId="{F9D0559D-AD59-4808-8048-C5973E55A36A}" mentionId="{62B881B3-74A8-44B8-992B-D0D4F4185ACA}" startIndex="0" length="11"/>
    </mentions>
  </threadedComment>
  <threadedComment ref="K48" dT="2024-05-14T19:53:35.41" personId="{B43CBA0C-5DE4-4FB3-8951-794B7F7C4646}" id="{21BA38DC-E15D-4B17-8BDF-8E4A1DEA92FA}" parentId="{CCA7688F-50E7-4DFC-ABC8-80D746050705}">
    <text>Done, with the exception of Shactee effort.  I'll populate once we get the invoice.</text>
  </threadedComment>
  <threadedComment ref="AM52" dT="2024-07-22T22:49:02.50" personId="{3BA37BBC-10FC-4BDA-B888-29DE350DF251}" id="{D85EBB95-64EC-478B-87C8-18D4FAEC61DA}">
    <text>@Whitson, Bryan This project was canceled and renewed under the same WO (RS928). I've included the pertinent information but updated this to be "N" in eligible to reconcile.</text>
    <mentions>
      <mention mentionpersonId="{46338084-C8BF-401F-9948-B0D316E50867}" mentionId="{40F5828A-813D-462A-B26D-FF7968435C7F}" startIndex="0" length="15"/>
    </mentions>
  </threadedComment>
  <threadedComment ref="AY55" dT="2024-07-24T16:31:42.02" personId="{EB756D3C-0333-4781-801C-F36FB858F0FD}" id="{CDBD59DD-E6A3-4BE2-9D2C-9B7C5E7E4F3E}">
    <text>Not reconciled this cycle due to not being approved by 6/30</text>
  </threadedComment>
  <threadedComment ref="Z56" dT="2024-07-01T14:40:31.18" personId="{EB756D3C-0333-4781-801C-F36FB858F0FD}" id="{A505A166-893E-40E9-80DE-ACC0753750EA}">
    <text>@Betland, Joseph / @Dina, Eric - This no longer matches PCTS/ Can we update this and the invoice prior to sending to Nicor? I see this as $329,053.63 in PCTS.</text>
    <mentions>
      <mention mentionpersonId="{E6421D29-A382-450E-BB08-617C1D9F9AED}" mentionId="{008936B7-CD95-47E8-BC1E-466FE5F81867}" startIndex="0" length="16"/>
      <mention mentionpersonId="{F9D0559D-AD59-4808-8048-C5973E55A36A}" mentionId="{26910126-7747-432B-9284-AF2F6E10CF40}" startIndex="19" length="11"/>
    </mentions>
  </threadedComment>
  <threadedComment ref="AJ56" dT="2024-06-06T14:35:26.73" personId="{0F8BBC01-9FFE-46F1-A588-E756CD2DAAE0}" id="{3747EF93-47AF-44FE-A58C-BED72DE6E840}">
    <text>Shactee locates ($1,368.34) + Helix ($6,850)</text>
  </threadedComment>
  <threadedComment ref="J129" dT="2023-11-15T16:26:30.51" personId="{A6785C6D-234D-4BD9-88A0-61CD519244F1}" id="{85325B17-EC53-46ED-B664-F837FCD48F40}">
    <text>@Lierow, Taylor EDSR shows this date as 5/5/2023, please continue to follow up</text>
    <mentions>
      <mention mentionpersonId="{502BF9D0-8DCD-49BB-B66D-0DCEA37B4151}" mentionId="{96D0C0D2-DBD9-4ED8-942B-6F930A9B0AE1}" startIndex="0" length="15"/>
    </mentions>
  </threadedComment>
  <threadedComment ref="J129" dT="2023-11-17T17:18:52.61" personId="{24E6244D-1EC0-4D28-8AA4-3342015D362A}" id="{9844FAB9-8CBB-43D4-8FDA-5BC59DA34730}" parentId="{85325B17-EC53-46ED-B664-F837FCD48F40}">
    <text>@Betland, Joseph &amp; @Lierow, Taylor - ping. This is still showing 5/5 in Nicor's system. Please work to get this updated and delete this comment out.</text>
    <mentions>
      <mention mentionpersonId="{E6421D29-A382-450E-BB08-617C1D9F9AED}" mentionId="{892988A5-45F1-46AF-A1BD-C28CC17E6D6E}" startIndex="0" length="16"/>
      <mention mentionpersonId="{502BF9D0-8DCD-49BB-B66D-0DCEA37B4151}" mentionId="{3F4C45FB-E5FF-41B9-9B02-1180AC400FE2}" startIndex="19" length="15"/>
    </mentions>
  </threadedComment>
  <threadedComment ref="J129" dT="2024-03-28T15:03:36.42" personId="{A6785C6D-234D-4BD9-88A0-61CD519244F1}" id="{44524917-24B6-4C6E-90D8-09C9BF8FD1DB}" parentId="{85325B17-EC53-46ED-B664-F837FCD48F40}">
    <text>Approved by Kendra on 3/28/2024</text>
  </threadedComment>
  <threadedComment ref="AC130" dT="2023-05-18T23:27:19.42" personId="{739B1764-671C-42A9-B3C0-653139EA152B}" id="{0333553E-BD81-4226-9BC9-BB693D57384A}">
    <text>Pending coordination with ConOps and Eng. 2024 Construction job so material ordering will be delayed and may be in coordination with the larger SW O'Hare project. Keep coordinated with Engineering.</text>
  </threadedComment>
  <threadedComment ref="AC137" dT="2023-09-12T13:46:46.25" personId="{BFDAC309-ED37-493D-BDEE-F306C500F8AD}" id="{AFF9D856-8541-47FA-9298-B2E3A1884724}">
    <text>Material procurement to occur at a later date. construction anticipated for 2024.</text>
  </threadedComment>
  <threadedComment ref="AC138" dT="2023-09-12T13:46:50.64" personId="{BFDAC309-ED37-493D-BDEE-F306C500F8AD}" id="{A5BC5542-3EEE-4F99-95BC-687F3003A0B4}">
    <text>Material procurement to occur at a later date. construction anticipated for 2024.</text>
  </threadedComment>
  <threadedComment ref="AC139" dT="2023-07-25T12:51:46.57" personId="{739B1764-671C-42A9-B3C0-653139EA152B}" id="{087ACD9E-2823-4907-8281-F9C06293C68B}">
    <text>Material procurement to occur at a later date. construction anticipated for 2024.</text>
  </threadedComment>
  <threadedComment ref="AE140" dT="2023-11-10T13:06:42.55" personId="{3BA37BBC-10FC-4BDA-B888-29DE350DF251}" id="{05EAFCEF-4544-4F78-988A-BB93CE8E96CC}">
    <text>@LaPorte, Marissa  Please fill out</text>
    <mentions>
      <mention mentionpersonId="{E0C835FB-FC54-490F-842D-70FB64882B80}" mentionId="{84F9983B-D1D7-46B5-A2A3-1282A170772A}" startIndex="0" length="17"/>
    </mentions>
  </threadedComment>
  <threadedComment ref="AC142" dT="2023-07-24T21:15:59.13" personId="{F227819F-94A5-4B9E-BFE1-31C425F558EE}" id="{0F767779-E7D9-4FA1-BA37-FAF2FAA398CA}" done="1">
    <text xml:space="preserve">Email out to ConOps and SysOps confirming order responsibility for meter set items. </text>
  </threadedComment>
  <threadedComment ref="AC142" dT="2023-07-26T13:17:00.49" personId="{F227819F-94A5-4B9E-BFE1-31C425F558EE}" id="{A2F55C5F-FD35-40C7-B52C-EB940DE83A05}" parentId="{0F767779-E7D9-4FA1-BA37-FAF2FAA398CA}">
    <text>F/U 7/26</text>
  </threadedComment>
  <threadedComment ref="AC142" dT="2023-07-26T16:36:36.64" personId="{F227819F-94A5-4B9E-BFE1-31C425F558EE}" id="{084C61C1-0047-42CE-8F65-7996528B656F}" parentId="{0F767779-E7D9-4FA1-BA37-FAF2FAA398CA}">
    <text xml:space="preserve">Sysops confirmed they will order meter set items. </text>
  </threadedComment>
  <threadedComment ref="AC143" dT="2023-07-26T16:36:05.59" personId="{F227819F-94A5-4B9E-BFE1-31C425F558EE}" id="{38D9AC22-7F60-4A47-B772-FBAF392679F2}" done="1">
    <text>Pending PID creation. Email out to Kendra 7/25.</text>
  </threadedComment>
  <threadedComment ref="AC143" dT="2023-07-27T20:45:32.64" personId="{F227819F-94A5-4B9E-BFE1-31C425F558EE}" id="{C133FE4C-239C-4501-91CA-8302F6A5E716}" parentId="{38D9AC22-7F60-4A47-B772-FBAF392679F2}">
    <text>F/U 7/27</text>
  </threadedComment>
  <threadedComment ref="AC143" dT="2023-08-04T17:04:00.14" personId="{F227819F-94A5-4B9E-BFE1-31C425F558EE}" id="{20DF1142-B444-44AE-B8C2-B0E854412A4C}" parentId="{38D9AC22-7F60-4A47-B772-FBAF392679F2}">
    <text>F/U 8/4</text>
  </threadedComment>
  <threadedComment ref="AC143" dT="2023-08-10T19:57:33.36" personId="{F227819F-94A5-4B9E-BFE1-31C425F558EE}" id="{573257EF-BF16-4FF4-A6FC-12669072A467}" parentId="{38D9AC22-7F60-4A47-B772-FBAF392679F2}">
    <text>PR6380 submitted 8/10</text>
  </threadedComment>
  <threadedComment ref="AC146" dT="2023-07-27T20:46:13.68" personId="{F227819F-94A5-4B9E-BFE1-31C425F558EE}" id="{71D85AB3-34AC-4647-BEA7-EFFC3392522E}" done="1">
    <text>SYSOPS should be ordering these PO items, email out on 7/26 to confirm.</text>
  </threadedComment>
  <threadedComment ref="AC146" dT="2023-08-04T18:38:42.22" personId="{F227819F-94A5-4B9E-BFE1-31C425F558EE}" id="{A930115E-66CE-4786-A390-6DB2A200A529}" parentId="{71D85AB3-34AC-4647-BEA7-EFFC3392522E}">
    <text>Confirmed 7/28</text>
  </threadedComment>
  <threadedComment ref="AC147" dT="2023-07-27T20:46:13.68" personId="{F227819F-94A5-4B9E-BFE1-31C425F558EE}" id="{6D2BF858-CE5D-4BBB-83D3-DC553AE042E2}" done="1">
    <text>SYSOPS should be ordering these PO items, email out on 7/26 to confirm.</text>
  </threadedComment>
  <threadedComment ref="AC147" dT="2023-08-04T18:38:42.22" personId="{F227819F-94A5-4B9E-BFE1-31C425F558EE}" id="{32D66142-5D86-4D36-85EF-C10FF125B0DF}" parentId="{6D2BF858-CE5D-4BBB-83D3-DC553AE042E2}">
    <text>Confirmed 7/28</text>
  </threadedComment>
  <threadedComment ref="AE148" dT="2023-11-10T13:06:46.71" personId="{3BA37BBC-10FC-4BDA-B888-29DE350DF251}" id="{1D8691D1-0443-4D53-B22B-1EC26708C369}">
    <text>@LaPorte, Marissa  Please fill out</text>
    <mentions>
      <mention mentionpersonId="{E0C835FB-FC54-490F-842D-70FB64882B80}" mentionId="{2A12A67C-3DDF-4A26-9F93-4FB26FB61A0B}" startIndex="0" length="17"/>
    </mentions>
  </threadedComment>
  <threadedComment ref="AE150" dT="2023-11-10T13:06:51.08" personId="{3BA37BBC-10FC-4BDA-B888-29DE350DF251}" id="{A1316B15-2BE6-447E-AD3B-E4C06FD77A24}">
    <text>@LaPorte, Marissa  Please fill out</text>
    <mentions>
      <mention mentionpersonId="{E0C835FB-FC54-490F-842D-70FB64882B80}" mentionId="{C1C143DB-2A89-40D4-B104-21CE8FDB6C3E}" startIndex="0" length="17"/>
    </mentions>
  </threadedComment>
  <threadedComment ref="AB157" dT="2023-11-09T13:53:29.71" personId="{F227819F-94A5-4B9E-BFE1-31C425F558EE}" id="{41C6C264-E23E-4373-9767-1A38C9057738}">
    <text>Review request sent 11/2. F/U 11/8. ConOps reports project is to be broken up into multiple WOs.</text>
  </threadedComment>
  <threadedComment ref="AC157" dT="2023-11-09T14:12:36.00" personId="{F227819F-94A5-4B9E-BFE1-31C425F558EE}" id="{7BF1F93B-E851-49E9-AAFA-3A1CF75F1289}">
    <text>Requisitions on hold, project is to be broken into multiple WOs.</text>
  </threadedComment>
  <threadedComment ref="J161" dT="2024-01-03T19:41:15.29" personId="{1B2CDA8A-CEFC-4136-87C1-B34BF471D2DA}" id="{67C5B32E-DDB3-4BE6-8213-57B30AC06641}">
    <text>@Lierow, Taylor please continue following up on these until they have been approved</text>
    <mentions>
      <mention mentionpersonId="{502BF9D0-8DCD-49BB-B66D-0DCEA37B4151}" mentionId="{07173433-09D0-441C-9E1B-2C2E8D04DDB3}" startIndex="0" length="15"/>
    </mentions>
  </threadedComment>
  <threadedComment ref="O161" dT="2023-12-21T19:44:41.20" personId="{1B2CDA8A-CEFC-4136-87C1-B34BF471D2DA}" id="{217D0D69-F8FD-4BEE-B53A-7290EC4B3342}">
    <text>@Whitson, Bryan aren't we holding this to 2024?</text>
    <mentions>
      <mention mentionpersonId="{46338084-C8BF-401F-9948-B0D316E50867}" mentionId="{DC59B6AF-A439-45B1-A175-AD01B7F6CD7E}" startIndex="0" length="15"/>
    </mentions>
  </threadedComment>
  <threadedComment ref="J162" dT="2023-11-17T16:26:38.30" personId="{1B2CDA8A-CEFC-4136-87C1-B34BF471D2DA}" id="{700419AD-AA13-4366-B4C9-358E3E0D0F65}">
    <text>@Lierow, Taylor please continue to follow up on these dates to get approved</text>
    <mentions>
      <mention mentionpersonId="{502BF9D0-8DCD-49BB-B66D-0DCEA37B4151}" mentionId="{45A6766C-52CC-4D45-807E-26D673134DD5}" startIndex="0" length="15"/>
    </mentions>
  </threadedComment>
  <threadedComment ref="J166" dT="2023-12-04T15:30:02.66" personId="{1B2CDA8A-CEFC-4136-87C1-B34BF471D2DA}" id="{CE4229FA-5281-4EF6-A4A6-9DA7FB374BEB}">
    <text xml:space="preserve">@Purtell, Tim @Corbi, Camille please update red cells and highlight yellow for my review. Also, please make sure that we are continuing to follow up on the date on this one, which still needs to be updated in the EDSR. </text>
    <mentions>
      <mention mentionpersonId="{04BCACC7-04FA-4A9D-9DCE-8E3808E45E3D}" mentionId="{937D07B5-8059-4B11-9592-918BB60FC52B}" startIndex="0" length="13"/>
      <mention mentionpersonId="{ABEDD8C2-01F0-4304-90BA-79DEF386422B}" mentionId="{C1CCB148-CD2E-4158-B982-4078C2005818}" startIndex="14" length="15"/>
    </mentions>
  </threadedComment>
  <threadedComment ref="J166" dT="2023-12-04T15:47:00.05" personId="{AD1FAA3F-1360-44AB-83DF-B4908D76B23C}" id="{CDBE6401-43CD-49A9-A9BA-969BDDED382B}" parentId="{CE4229FA-5281-4EF6-A4A6-9DA7FB374BEB}">
    <text>F/U 12/4</text>
  </threadedComment>
  <threadedComment ref="J167" dT="2023-12-14T20:26:31.32" personId="{1B2CDA8A-CEFC-4136-87C1-B34BF471D2DA}" id="{F4F29477-6A18-4987-803E-0FB7A1BC2533}">
    <text>@Castellon, Randy please continue to follow up on this date until the EDSR is updated. @Hopkins, Matt</text>
    <mentions>
      <mention mentionpersonId="{19AB77A6-6CAB-45F7-B79B-631A6192FCA1}" mentionId="{B6E523D8-2C43-473B-9A1D-591D75A0EB78}" startIndex="0" length="17"/>
      <mention mentionpersonId="{9E19E8B3-7A88-4DEE-A51F-9DD7636E6CDB}" mentionId="{656ED626-B007-44CD-B38B-E1020DC79B3E}" startIndex="87" length="14"/>
    </mentions>
  </threadedComment>
  <threadedComment ref="J167" dT="2024-02-22T16:25:19.24" personId="{3B2D5CBB-8EEF-4A78-9A0D-33CA3157BEED}" id="{A56E89FA-ABBA-44BC-BFC9-E005701987E1}" parentId="{F4F29477-6A18-4987-803E-0FB7A1BC2533}">
    <text>fu 2/22</text>
  </threadedComment>
  <threadedComment ref="J167" dT="2024-06-24T17:23:28.01" personId="{3B2D5CBB-8EEF-4A78-9A0D-33CA3157BEED}" id="{4D354886-37F9-4480-9AE4-7C124E075CED}" parentId="{F4F29477-6A18-4987-803E-0FB7A1BC2533}">
    <text>FU 6/24</text>
  </threadedComment>
  <threadedComment ref="BC168" dT="2023-07-21T14:11:17.16" personId="{C292F702-D4C8-427F-8060-CA8E0A11E4F6}" id="{1F26471E-F358-4C88-A126-D1AA63FF9CF8}">
    <text>@Castellon, Randy  reminder during the meeting with IDOT to discuss pipe removal</text>
    <mentions>
      <mention mentionpersonId="{19AB77A6-6CAB-45F7-B79B-631A6192FCA1}" mentionId="{9F1CA7B5-D5BF-4272-871B-FDBC5B302AE1}" startIndex="0" length="17"/>
    </mentions>
  </threadedComment>
  <threadedComment ref="X169" dT="2024-03-11T13:42:41.16" personId="{24E6244D-1EC0-4D28-8AA4-3342015D362A}" id="{220A7164-EDED-46DB-A806-031CC3BE4052}">
    <text>PCTS shows $303,560.19</text>
  </threadedComment>
  <threadedComment ref="Q170" dT="2024-02-27T20:32:15.90" personId="{C292F702-D4C8-427F-8060-CA8E0A11E4F6}" id="{F79B2696-4342-497C-A136-E7E28AEF82C3}">
    <text>@Bruce, Logan  @Rojas, Taylor  this project got added to our february billing</text>
    <mentions>
      <mention mentionpersonId="{73D9EF92-8C85-4A0A-9961-617D8678EEFB}" mentionId="{385BA3AB-A77D-4E9B-AF38-724F395D62BE}" startIndex="0" length="13"/>
      <mention mentionpersonId="{FA85CEED-3E1F-4D20-BCFE-4E7CBFAF58D2}" mentionId="{3142C196-6EC3-4EE3-9A8C-894AA7DD08BD}" startIndex="15" length="14"/>
    </mentions>
  </threadedComment>
  <threadedComment ref="X170" dT="2024-03-11T13:52:24.05" personId="{24E6244D-1EC0-4D28-8AA4-3342015D362A}" id="{0CA10068-38A2-4D5E-8C7C-5D043BC27C3E}">
    <text>PCTS shows 1,357,372.21</text>
  </threadedComment>
  <threadedComment ref="Z170" dT="2024-03-11T13:53:00.18" personId="{24E6244D-1EC0-4D28-8AA4-3342015D362A}" id="{A17001C0-81A3-402D-A4FB-D80EB9B1B3AC}">
    <text>PCTS shows 325,070.37</text>
  </threadedComment>
  <threadedComment ref="AJ171" dT="2024-02-27T16:43:02.81" personId="{0F8BBC01-9FFE-46F1-A588-E756CD2DAAE0}" id="{8F0598B2-478B-4877-9E56-CEBB96EC7740}">
    <text>Since there's 2 work orders, I have split this all the 3rd party costs between the two WOs.</text>
  </threadedComment>
  <threadedComment ref="AK175" dT="2024-03-08T20:33:03.46" personId="{EB756D3C-0333-4781-801C-F36FB858F0FD}" id="{C9EF2EC1-50B4-4DEA-9794-5AD211EEF34E}">
    <text>Reported in 2023</text>
  </threadedComment>
  <threadedComment ref="V178" dT="2024-04-17T18:28:06.81" personId="{C292F702-D4C8-427F-8060-CA8E0A11E4F6}" id="{8CD9AC82-2990-49AD-A1B6-732D774CB8AC}">
    <text>@Corbi, Camille  please fill out red cells and highlight yellow when ready for my review</text>
    <mentions>
      <mention mentionpersonId="{ABEDD8C2-01F0-4304-90BA-79DEF386422B}" mentionId="{311736C8-1246-4150-81EC-9B02E49B341D}" startIndex="0" length="15"/>
    </mentions>
  </threadedComment>
  <threadedComment ref="V179" dT="2024-04-18T18:07:09.19" personId="{1B2CDA8A-CEFC-4136-87C1-B34BF471D2DA}" id="{7140FEC7-AFC3-492F-956E-B48437E36C8A}">
    <text>@Lierow, Taylor please update red cells and highlight yellow when ready for my review</text>
    <mentions>
      <mention mentionpersonId="{502BF9D0-8DCD-49BB-B66D-0DCEA37B4151}" mentionId="{0582C7C7-F5F4-4345-8D13-809F26224F03}" startIndex="0" length="15"/>
    </mentions>
  </threadedComment>
  <threadedComment ref="V179" dT="2024-04-18T19:49:38.34" personId="{E8EF2CEE-A9C0-4A56-A06B-BC6445822825}" id="{2B84AF99-33F8-425A-93B4-78C779A70A19}" parentId="{7140FEC7-AFC3-492F-956E-B48437E36C8A}">
    <text>Updated!</text>
  </threadedComment>
  <threadedComment ref="X180" dT="2024-05-09T16:34:02.94" personId="{1B2CDA8A-CEFC-4136-87C1-B34BF471D2DA}" id="{A5D64F3A-6C0B-4D70-AF1B-5FB804A14C6A}">
    <text>@Dina, Eric just FYI, these numbers that you previously had in here included OH, I updated to be the direct estimates</text>
    <mentions>
      <mention mentionpersonId="{F9D0559D-AD59-4808-8048-C5973E55A36A}" mentionId="{3FE8CE1F-8B9A-41E8-918E-3F1942A0D7EE}" startIndex="0" length="11"/>
    </mentions>
  </threadedComment>
  <threadedComment ref="X180" dT="2024-05-09T16:53:24.76" personId="{B43CBA0C-5DE4-4FB3-8951-794B7F7C4646}" id="{E071FEE6-4121-4B6F-A216-4EDFF4871943}" parentId="{A5D64F3A-6C0B-4D70-AF1B-5FB804A14C6A}">
    <text>Thanks for making the change. @Hopkins, Matt  @Ekstrom, Ethan please note for next time</text>
    <mentions>
      <mention mentionpersonId="{9E19E8B3-7A88-4DEE-A51F-9DD7636E6CDB}" mentionId="{D04E3EAC-F9CB-45CD-8635-85B186B2900A}" startIndex="30" length="14"/>
      <mention mentionpersonId="{056D57C1-81F5-4319-9D83-599A1840E0BE}" mentionId="{842120AC-998D-49EA-A1AD-4858A442B2C7}" startIndex="46" length="15"/>
    </mentions>
  </threadedComment>
  <threadedComment ref="BJ180" dT="2024-05-16T15:31:15.92" personId="{1B2CDA8A-CEFC-4136-87C1-B34BF471D2DA}" id="{E2F329F8-A3DD-456F-A7D1-B6A37A7ABA63}" done="1">
    <text>@Ekstrom, Ethan @Castle, Kevin please help out @Dina, Eric and fill out red cells</text>
    <mentions>
      <mention mentionpersonId="{056D57C1-81F5-4319-9D83-599A1840E0BE}" mentionId="{A9CA06A5-8F21-4926-AA2A-2590412CD7BC}" startIndex="0" length="15"/>
      <mention mentionpersonId="{76DCB1DA-8402-4DE9-8C3D-F9539BFB531C}" mentionId="{AA542531-D6B2-4D22-BC2A-02244E99F15A}" startIndex="16" length="14"/>
      <mention mentionpersonId="{F9D0559D-AD59-4808-8048-C5973E55A36A}" mentionId="{705E9DE7-97AA-4E65-8AE5-2B72BB15A6A1}" startIndex="47" length="11"/>
    </mentions>
  </threadedComment>
  <threadedComment ref="BJ180" dT="2024-05-16T16:00:06.97" personId="{87BCDE1B-A33B-4271-8ACA-813EBE6E011A}" id="{01C07FBA-08F5-4C08-9397-3D4A6737A9FD}" parentId="{E2F329F8-A3DD-456F-A7D1-B6A37A7ABA63}">
    <text>DONE</text>
  </threadedComment>
  <threadedComment ref="K181" dT="2024-05-08T18:28:39.78" personId="{1B2CDA8A-CEFC-4136-87C1-B34BF471D2DA}" id="{13FD3845-9C83-4340-AE67-D1F39CAB1E62}">
    <text>@Lierow, Taylor please fill out red cells and highlight yellow when ready for my review. Please continue to follow up on this date as well</text>
    <mentions>
      <mention mentionpersonId="{502BF9D0-8DCD-49BB-B66D-0DCEA37B4151}" mentionId="{F8B94B32-6957-4898-85B6-63A3CC0A4B69}" startIndex="0" length="15"/>
    </mentions>
  </threadedComment>
  <threadedComment ref="AK182" dT="2024-05-22T14:48:33.73" personId="{923A6378-7149-496A-9AA9-5877E99B04E1}" id="{4A53BB79-9437-4A03-8702-A9B16718FB23}">
    <text>@LaPorte, Marissa I don't see how much Shactee charged for the BL/QC. Could you enter this?</text>
    <mentions>
      <mention mentionpersonId="{E0C835FB-FC54-490F-842D-70FB64882B80}" mentionId="{183C7063-8C76-4079-836B-FC2AF57046E5}" startIndex="0" length="17"/>
    </mentions>
  </threadedComment>
  <threadedComment ref="AD183" dT="2024-05-29T18:48:55.79" personId="{3BA37BBC-10FC-4BDA-B888-29DE350DF251}" id="{D728FE1A-445E-44DC-B579-AF22DD631B74}" done="1">
    <text>@LaPorte, Marissa  Please update</text>
    <mentions>
      <mention mentionpersonId="{E0C835FB-FC54-490F-842D-70FB64882B80}" mentionId="{81E1F2DD-5024-4B83-96A2-56D53431942B}" startIndex="0" length="17"/>
    </mentions>
  </threadedComment>
  <threadedComment ref="AI183" dT="2024-05-22T14:42:46.40" personId="{923A6378-7149-496A-9AA9-5877E99B04E1}" id="{53F4E396-6FB9-4378-B829-5F365D5C9240}">
    <text>Easement Plat Exhibit 
Does not include Survey +DryVac from previsou years (16750+10950)</text>
  </threadedComment>
  <threadedComment ref="D184" dT="2024-07-24T14:48:43.13" personId="{1B2CDA8A-CEFC-4136-87C1-B34BF471D2DA}" id="{8178B89F-47BD-4526-B1D6-B57B33640E35}" done="1">
    <text>@Corbi, Camille  could you do me a favor and add this info so that this project is fully updated</text>
    <mentions>
      <mention mentionpersonId="{ABEDD8C2-01F0-4304-90BA-79DEF386422B}" mentionId="{F32F7F40-8D80-4BFC-927D-40989D951D95}" startIndex="0" length="15"/>
    </mentions>
  </threadedComment>
  <threadedComment ref="J184" dT="2024-07-24T15:05:18.15" personId="{AD1FAA3F-1360-44AB-83DF-B4908D76B23C}" id="{F03DCB7D-22DE-4FC9-B989-48BD25577457}">
    <text>this was just to turn it around asap since it was the WO split</text>
  </threadedComment>
  <threadedComment ref="AN184" dT="2024-07-15T22:17:40.98" personId="{1B2CDA8A-CEFC-4136-87C1-B34BF471D2DA}" id="{46D0B7A3-48A0-4A8C-AE7A-E08F3AC676F8}" done="1">
    <text>@Corbi, Camille  in order to get a good idea of where the overall costs ended up for this project, I added this line as well - can you fill out all of the project and reconciliation information for this?</text>
    <mentions>
      <mention mentionpersonId="{ABEDD8C2-01F0-4304-90BA-79DEF386422B}" mentionId="{6EF021BA-7E8D-4D2F-822A-71285F1A2D38}" startIndex="0" length="15"/>
    </mentions>
  </threadedComment>
  <threadedComment ref="AN184" dT="2024-07-15T22:21:38.38" personId="{AD1FAA3F-1360-44AB-83DF-B4908D76B23C}" id="{FD3D46A4-1902-40F7-9539-1E99EB2D7547}" parentId="{46D0B7A3-48A0-4A8C-AE7A-E08F3AC676F8}">
    <text>Yes, the estimate for this one has not been approved yet. Would you still like me to fill it out?</text>
  </threadedComment>
  <threadedComment ref="AN184" dT="2024-07-15T22:30:01.59" personId="{C292F702-D4C8-427F-8060-CA8E0A11E4F6}" id="{903ED30F-5A85-4AA2-9926-7C69901EF81A}" parentId="{46D0B7A3-48A0-4A8C-AE7A-E08F3AC676F8}">
    <text>yeah just plug in the cost estimate numbers so that i can get an idea of overall cost between the two please!</text>
  </threadedComment>
  <threadedComment ref="BH185" dT="2023-12-26T16:14:24.63" personId="{1B2CDA8A-CEFC-4136-87C1-B34BF471D2DA}" id="{DDFC9672-F141-45DB-9C98-56F0AD7005C0}">
    <text>@Dina, Eric are we in cook county ROW here? Just wondering if we need to tihnk through this ADA item more</text>
    <mentions>
      <mention mentionpersonId="{F9D0559D-AD59-4808-8048-C5973E55A36A}" mentionId="{C0163B79-E6C1-4B7E-ADC7-09E6672706B5}" startIndex="0" length="11"/>
    </mentions>
  </threadedComment>
  <threadedComment ref="BH185" dT="2023-12-26T18:33:07.01" personId="{B43CBA0C-5DE4-4FB3-8951-794B7F7C4646}" id="{CDA2007B-785D-451B-B208-9DFCBB2E51D7}" parentId="{DDFC9672-F141-45DB-9C98-56F0AD7005C0}">
    <text>Only at 1 intersection.  If our replacement scope touches this area, I think we should be able to avoid any ADA disruption.</text>
  </threadedComment>
  <threadedComment ref="BH185" dT="2024-01-29T17:29:45.45" personId="{B43CBA0C-5DE4-4FB3-8951-794B7F7C4646}" id="{0111F422-AFE6-4990-BA04-76741569176F}" parentId="{DDFC9672-F141-45DB-9C98-56F0AD7005C0}">
    <text>Confirmed that we are not in Cook County ROW with our replacement</text>
  </threadedComment>
  <threadedComment ref="BJ186" dT="2024-06-24T16:03:30.21" personId="{C292F702-D4C8-427F-8060-CA8E0A11E4F6}" id="{A92B3E3D-8D38-4B34-A236-A73E69927211}" done="1">
    <text>@LaPorte, Marissa  please fill out</text>
    <mentions>
      <mention mentionpersonId="{E0C835FB-FC54-490F-842D-70FB64882B80}" mentionId="{F4A606A8-98AE-4218-9400-38F058D9F341}" startIndex="0" length="17"/>
    </mentions>
  </threadedComment>
  <threadedComment ref="J188" dT="2024-06-24T16:54:00.57" personId="{0F8BBC01-9FFE-46F1-A588-E756CD2DAAE0}" id="{A31F8E1F-A46F-48F1-923D-E2083C221E40}">
    <text>F/U 6/24</text>
  </threadedComment>
  <threadedComment ref="J188" dT="2024-07-15T14:01:06.13" personId="{0F8BBC01-9FFE-46F1-A588-E756CD2DAAE0}" id="{19AB73F4-1A73-4C27-A97D-250C7F1EEE58}" parentId="{A31F8E1F-A46F-48F1-923D-E2083C221E40}">
    <text>F/U 7/10</text>
  </threadedComment>
  <threadedComment ref="BL190" dT="2024-05-10T16:29:30.37" personId="{1B2CDA8A-CEFC-4136-87C1-B34BF471D2DA}" id="{9FEE2E63-E505-4BAA-B209-987B115CEF24}" done="1">
    <text>@Hopkins, Matt please update red cells</text>
    <mentions>
      <mention mentionpersonId="{9E19E8B3-7A88-4DEE-A51F-9DD7636E6CDB}" mentionId="{44E926C8-D756-44AF-9D67-FD9D254CF081}" startIndex="0" length="14"/>
    </mentions>
  </threadedComment>
  <threadedComment ref="BO190" dT="2024-04-22T12:34:03.60" personId="{AD1FAA3F-1360-44AB-83DF-B4908D76B23C}" id="{FA3A93EF-2A00-4EA2-81CA-3A012FCB18C0}" done="1">
    <text>@Hopkins, Matt Please fill out if you anticipate sending for shactee review</text>
    <mentions>
      <mention mentionpersonId="{9E19E8B3-7A88-4DEE-A51F-9DD7636E6CDB}" mentionId="{188DEF59-6E91-41E6-870E-C0C6D6E54810}" startIndex="0" length="14"/>
    </mentions>
  </threadedComment>
</ThreadedComments>
</file>

<file path=xl/threadedComments/threadedComment3.xml><?xml version="1.0" encoding="utf-8"?>
<ThreadedComments xmlns="http://schemas.microsoft.com/office/spreadsheetml/2018/threadedcomments" xmlns:x="http://schemas.openxmlformats.org/spreadsheetml/2006/main">
  <threadedComment ref="AN14" dT="2025-01-27T23:27:27.00" personId="{1B2CDA8A-CEFC-4136-87C1-B34BF471D2DA}" id="{EB46AB4C-0272-4BAD-A84F-724B16E76CDD}" done="1">
    <text>@Castellon, Randy  @Corbi, Camille  @Chamernik, Conner  @Hopkins, Matt  @Kulach, Caroline @Ekstrom, Ethan  could someone help me out and review my few projects for reconciliation please?</text>
    <mentions>
      <mention mentionpersonId="{19AB77A6-6CAB-45F7-B79B-631A6192FCA1}" mentionId="{5DC4B02B-3807-44A9-B747-4A81C1D92F12}" startIndex="0" length="17"/>
      <mention mentionpersonId="{ABEDD8C2-01F0-4304-90BA-79DEF386422B}" mentionId="{B4BCB9C9-5FC5-415B-9AA4-1B4059FCDB3E}" startIndex="19" length="15"/>
      <mention mentionpersonId="{57B91CBD-0327-4D8C-B370-773C13F6634B}" mentionId="{2C9CE22D-74B8-4921-9735-2392EF6063B3}" startIndex="36" length="18"/>
      <mention mentionpersonId="{9E19E8B3-7A88-4DEE-A51F-9DD7636E6CDB}" mentionId="{80BE8F20-7EF1-4E8C-9B94-F4B40F77306A}" startIndex="56" length="14"/>
      <mention mentionpersonId="{024AE523-21F1-4810-9EBC-1F52184244F6}" mentionId="{8957CE01-F63B-44F2-89C6-798BBC79AD44}" startIndex="72" length="17"/>
      <mention mentionpersonId="{056D57C1-81F5-4319-9D83-599A1840E0BE}" mentionId="{CC9081BC-898B-4DCF-8C76-ACD4AF1E1408}" startIndex="90" length="15"/>
    </mentions>
  </threadedComment>
  <threadedComment ref="AN14" dT="2025-01-27T23:32:13.60" personId="{AD1FAA3F-1360-44AB-83DF-B4908D76B23C}" id="{6D9EF371-FA72-4ED7-9F04-3FA49CF6DFF7}" parentId="{EB46AB4C-0272-4BAD-A84F-724B16E76CDD}">
    <text xml:space="preserve">I can help look into this if someone can pull the info from PCTS, im unable to access citrix </text>
  </threadedComment>
  <threadedComment ref="AN14" dT="2025-01-27T23:35:26.65" personId="{915C3B11-23A2-4CD7-8A65-134DE04A79BE}" id="{DBA59745-C741-4AB9-85FC-6404B681295B}" parentId="{EB46AB4C-0272-4BAD-A84F-724B16E76CDD}">
    <text>@Corbi, Camille i can help</text>
    <mentions>
      <mention mentionpersonId="{ABEDD8C2-01F0-4304-90BA-79DEF386422B}" mentionId="{CE8C6DA1-86DA-467D-B94C-99ECB1814610}" startIndex="0" length="15"/>
    </mentions>
  </threadedComment>
  <threadedComment ref="AN14" dT="2025-01-27T23:49:19.70" personId="{915C3B11-23A2-4CD7-8A65-134DE04A79BE}" id="{4ED65C32-1762-4CF9-A789-A3DC38E9B9BC}" parentId="{EB46AB4C-0272-4BAD-A84F-724B16E76CDD}">
    <text>Completed, none were approved.</text>
  </threadedComment>
  <threadedComment ref="AN14" dT="2025-01-28T13:55:21.83" personId="{C292F702-D4C8-427F-8060-CA8E0A11E4F6}" id="{423211EF-0CE9-4E49-A790-1367E74E6E70}" parentId="{EB46AB4C-0272-4BAD-A84F-724B16E76CDD}">
    <text>Thank you!</text>
  </threadedComment>
  <threadedComment ref="AC41" dT="2023-09-12T13:46:50.64" personId="{BFDAC309-ED37-493D-BDEE-F306C500F8AD}" id="{D9EF4BEA-12BB-4ED1-8AC7-53F5F41FC886}">
    <text>Material procurement to occur at a later date. construction anticipated for 2024.</text>
  </threadedComment>
  <threadedComment ref="AC42" dT="2023-09-12T13:46:46.25" personId="{BFDAC309-ED37-493D-BDEE-F306C500F8AD}" id="{9EF7601E-B7E7-4DB0-A5BB-0F8E72D3A382}">
    <text>Material procurement to occur at a later date. construction anticipated for 2024.</text>
  </threadedComment>
  <threadedComment ref="AW48" dT="2025-01-28T21:09:56.65" personId="{1B2CDA8A-CEFC-4136-87C1-B34BF471D2DA}" id="{C9CC371F-534A-4B26-B69E-773CEB18C47A}">
    <text>@Corbi, Camille  @Chamernik, Conner 
@Lierow, Taylor  @Castellon, Randy  whoever looked into this project, could you please give a description of the cost estimate that changed? Please make sure to use previously approved descriptions and other projects as a go-by</text>
    <mentions>
      <mention mentionpersonId="{ABEDD8C2-01F0-4304-90BA-79DEF386422B}" mentionId="{47B05D34-29A7-48AD-8627-BD6F1AD98683}" startIndex="0" length="15"/>
      <mention mentionpersonId="{57B91CBD-0327-4D8C-B370-773C13F6634B}" mentionId="{DAD77BEA-1938-446D-9E41-6A78A0F32C1D}" startIndex="17" length="18"/>
      <mention mentionpersonId="{502BF9D0-8DCD-49BB-B66D-0DCEA37B4151}" mentionId="{F35370F4-13B6-495E-9A80-8570665B6BF8}" startIndex="37" length="15"/>
      <mention mentionpersonId="{19AB77A6-6CAB-45F7-B79B-631A6192FCA1}" mentionId="{7B12623E-A017-4D25-AB91-792220050950}" startIndex="54" length="17"/>
    </mentions>
  </threadedComment>
  <threadedComment ref="AW48" dT="2025-01-28T23:20:50.00" personId="{E8EF2CEE-A9C0-4A56-A06B-BC6445822825}" id="{F248C0C6-0243-4999-AAA0-594CACFF3107}" parentId="{C9CC371F-534A-4B26-B69E-773CEB18C47A}">
    <text>I believe Randy did this one but I attempted to update</text>
  </threadedComment>
  <threadedComment ref="J54" dT="2024-07-19T13:36:15.47" personId="{AD1FAA3F-1360-44AB-83DF-B4908D76B23C}" id="{1346E096-170E-401D-A847-E3B2ACB4F500}">
    <text>f/u 7/19</text>
  </threadedComment>
  <threadedComment ref="J54" dT="2024-08-06T22:30:42.41" personId="{AD1FAA3F-1360-44AB-83DF-B4908D76B23C}" id="{E470740E-C414-4C11-BD9C-844AA588AF13}" parentId="{1346E096-170E-401D-A847-E3B2ACB4F500}">
    <text>8/6</text>
  </threadedComment>
  <threadedComment ref="J54" dT="2024-08-27T12:48:00.98" personId="{AD1FAA3F-1360-44AB-83DF-B4908D76B23C}" id="{15A5D5F0-CDDC-414B-967F-AF6DD73E3B35}" parentId="{1346E096-170E-401D-A847-E3B2ACB4F500}">
    <text>8/27</text>
  </threadedComment>
  <threadedComment ref="J54" dT="2024-10-10T17:43:11.35" personId="{AD1FAA3F-1360-44AB-83DF-B4908D76B23C}" id="{63AD613B-C66D-499D-B43A-7DA870133F13}" parentId="{1346E096-170E-401D-A847-E3B2ACB4F500}">
    <text>10/10</text>
  </threadedComment>
  <threadedComment ref="J54" dT="2024-10-16T22:24:57.71" personId="{AD1FAA3F-1360-44AB-83DF-B4908D76B23C}" id="{F1FB690B-E244-4068-8ADC-2F70D0B82016}" parentId="{1346E096-170E-401D-A847-E3B2ACB4F500}">
    <text>10/16</text>
  </threadedComment>
  <threadedComment ref="J54" dT="2024-11-07T13:44:23.32" personId="{AD1FAA3F-1360-44AB-83DF-B4908D76B23C}" id="{9FB100EA-DD6F-4398-A61C-E33EB36B8094}" parentId="{1346E096-170E-401D-A847-E3B2ACB4F500}">
    <text>11/7</text>
  </threadedComment>
  <threadedComment ref="J54" dT="2024-12-10T23:13:23.79" personId="{AD1FAA3F-1360-44AB-83DF-B4908D76B23C}" id="{46DA4EA0-E0CD-4B8A-834F-58A1DC334CCE}" parentId="{1346E096-170E-401D-A847-E3B2ACB4F500}">
    <text>12/10</text>
  </threadedComment>
  <threadedComment ref="J54" dT="2024-12-17T17:19:34.28" personId="{AD1FAA3F-1360-44AB-83DF-B4908D76B23C}" id="{4B0C74DE-6AE1-441D-AC7F-6789132926F9}" parentId="{1346E096-170E-401D-A847-E3B2ACB4F500}">
    <text>updated and reviewed</text>
  </threadedComment>
  <threadedComment ref="AW56" dT="2025-01-28T23:24:38.53" personId="{1B2CDA8A-CEFC-4136-87C1-B34BF471D2DA}" id="{B0951FF8-F4CB-4B0F-87E2-C1C6E024B1F4}">
    <text>@Corbi, Camille  do we know why they did that?</text>
    <mentions>
      <mention mentionpersonId="{ABEDD8C2-01F0-4304-90BA-79DEF386422B}" mentionId="{C08DF5E7-5A41-4B39-9F81-D9E4B4ECFBBF}" startIndex="0" length="15"/>
    </mentions>
  </threadedComment>
  <threadedComment ref="AW56" dT="2025-01-28T23:26:15.87" personId="{AD1FAA3F-1360-44AB-83DF-B4908D76B23C}" id="{4647AB0F-DC59-44E7-800E-A5C7594E2003}" parentId="{B0951FF8-F4CB-4B0F-87E2-C1C6E024B1F4}">
    <text>I do not, we confirmed during estimate review that time was sufficient</text>
  </threadedComment>
  <threadedComment ref="J58" dT="2024-11-18T15:19:21.09" personId="{EB756D3C-0333-4781-801C-F36FB858F0FD}" id="{7B6CB032-75EA-422D-8346-6FF6F6B89FF4}">
    <text>No EADD in EDSR form. 11/18 is self imposed date.</text>
  </threadedComment>
  <threadedComment ref="J60" dT="2024-08-15T16:11:03.61" personId="{0F8BBC01-9FFE-46F1-A588-E756CD2DAAE0}" id="{C279DFF3-6CE2-4A3A-90B6-3262BCDC8C59}">
    <text>F/U 8/15.</text>
  </threadedComment>
  <threadedComment ref="J60" dT="2024-08-27T13:10:12.65" personId="{0F8BBC01-9FFE-46F1-A588-E756CD2DAAE0}" id="{509FD1DC-1C2E-4402-862A-9CB90B645FCC}" parentId="{C279DFF3-6CE2-4A3A-90B6-3262BCDC8C59}">
    <text>F/U 8/27.</text>
  </threadedComment>
  <threadedComment ref="J60" dT="2024-09-12T22:21:33.31" personId="{0F8BBC01-9FFE-46F1-A588-E756CD2DAAE0}" id="{32C9411B-A634-44E3-9846-4443562F91C5}" parentId="{C279DFF3-6CE2-4A3A-90B6-3262BCDC8C59}">
    <text>F/u 9/12</text>
  </threadedComment>
  <threadedComment ref="J60" dT="2024-09-26T13:29:18.12" personId="{0F8BBC01-9FFE-46F1-A588-E756CD2DAAE0}" id="{F9343082-45E1-4B3E-8207-954DAE7FCAD7}" parentId="{C279DFF3-6CE2-4A3A-90B6-3262BCDC8C59}">
    <text>F/U 9/26</text>
  </threadedComment>
  <threadedComment ref="J60" dT="2024-10-11T13:41:03.42" personId="{0F8BBC01-9FFE-46F1-A588-E756CD2DAAE0}" id="{78FB8687-F80F-4089-9ADD-04C6D8AB7C30}" parentId="{C279DFF3-6CE2-4A3A-90B6-3262BCDC8C59}">
    <text>F/U 10/11</text>
  </threadedComment>
  <threadedComment ref="J60" dT="2024-10-24T20:39:35.81" personId="{0F8BBC01-9FFE-46F1-A588-E756CD2DAAE0}" id="{7C273701-DF00-4B0C-B4A4-22E8BE9E5B7A}" parentId="{C279DFF3-6CE2-4A3A-90B6-3262BCDC8C59}">
    <text>10/24</text>
  </threadedComment>
  <threadedComment ref="J60" dT="2024-12-04T14:50:57.74" personId="{0F8BBC01-9FFE-46F1-A588-E756CD2DAAE0}" id="{65586598-4198-4B68-B5A9-F30A3236FC8C}" parentId="{C279DFF3-6CE2-4A3A-90B6-3262BCDC8C59}">
    <text>F/U 12/4</text>
  </threadedComment>
  <threadedComment ref="J63" dT="2024-08-07T21:49:54.13" personId="{AD1FAA3F-1360-44AB-83DF-B4908D76B23C}" id="{7D5DA87B-607E-4278-B3B1-A4CF63026D0F}">
    <text>f/u 8/7</text>
  </threadedComment>
  <threadedComment ref="J63" dT="2024-08-16T14:29:23.21" personId="{EB756D3C-0333-4781-801C-F36FB858F0FD}" id="{8771FD78-C75B-4CB9-BC58-164F72AA067E}" parentId="{7D5DA87B-607E-4278-B3B1-A4CF63026D0F}">
    <text>@Corbi, Camille  - Please follow up if this is still outstanding.</text>
    <mentions>
      <mention mentionpersonId="{ABEDD8C2-01F0-4304-90BA-79DEF386422B}" mentionId="{664543F3-D651-416E-AD7C-D0E54487ED2F}" startIndex="0" length="15"/>
    </mentions>
  </threadedComment>
  <threadedComment ref="J63" dT="2024-08-16T14:33:00.84" personId="{AD1FAA3F-1360-44AB-83DF-B4908D76B23C}" id="{BB746AA9-7924-4CCB-95E5-D69FC2A0BF41}" parentId="{7D5DA87B-607E-4278-B3B1-A4CF63026D0F}">
    <text>8/16</text>
  </threadedComment>
  <threadedComment ref="J63" dT="2024-08-27T12:49:09.64" personId="{AD1FAA3F-1360-44AB-83DF-B4908D76B23C}" id="{C9997097-BAFA-4F7B-B2CB-D6A6CE3FF741}" parentId="{7D5DA87B-607E-4278-B3B1-A4CF63026D0F}">
    <text>8/27</text>
  </threadedComment>
  <threadedComment ref="J63" dT="2024-10-10T17:55:52.50" personId="{AD1FAA3F-1360-44AB-83DF-B4908D76B23C}" id="{291353E4-DF48-4667-9A72-6ED6FC5A7538}" parentId="{7D5DA87B-607E-4278-B3B1-A4CF63026D0F}">
    <text>10/10</text>
  </threadedComment>
  <threadedComment ref="J63" dT="2024-10-16T22:25:36.57" personId="{AD1FAA3F-1360-44AB-83DF-B4908D76B23C}" id="{F8E7099E-A4BC-4AE0-B436-0458EC437D8B}" parentId="{7D5DA87B-607E-4278-B3B1-A4CF63026D0F}">
    <text>10/16</text>
  </threadedComment>
  <threadedComment ref="J63" dT="2024-11-07T13:44:49.78" personId="{AD1FAA3F-1360-44AB-83DF-B4908D76B23C}" id="{6D622E1C-CCDE-40D9-8874-E9A623788D92}" parentId="{7D5DA87B-607E-4278-B3B1-A4CF63026D0F}">
    <text>11/7</text>
  </threadedComment>
  <threadedComment ref="J63" dT="2024-12-10T23:13:07.08" personId="{AD1FAA3F-1360-44AB-83DF-B4908D76B23C}" id="{32B7078E-CF64-4BE7-BDE0-E6ED82E148A6}" parentId="{7D5DA87B-607E-4278-B3B1-A4CF63026D0F}">
    <text>12/10</text>
  </threadedComment>
  <threadedComment ref="J63" dT="2024-12-17T17:37:20.05" personId="{AD1FAA3F-1360-44AB-83DF-B4908D76B23C}" id="{377BC63D-84D8-41D6-8D7B-FA169E882869}" parentId="{7D5DA87B-607E-4278-B3B1-A4CF63026D0F}">
    <text>reviewed and updated</text>
  </threadedComment>
  <threadedComment ref="AN70" dT="2025-01-27T23:26:52.68" personId="{1B2CDA8A-CEFC-4136-87C1-B34BF471D2DA}" id="{247EFDBD-1274-4B6A-A77F-E2A813B09556}">
    <text>@Dina, Eric  have you had a chance to look at your projects yet? I’d recommend having an analyst do it for you if you haven’t</text>
    <mentions>
      <mention mentionpersonId="{F9D0559D-AD59-4808-8048-C5973E55A36A}" mentionId="{FD28E53F-C8EF-42AA-83F5-0A84342E6654}" startIndex="0" length="11"/>
    </mentions>
  </threadedComment>
  <threadedComment ref="J81" dT="2024-07-19T13:44:21.39" personId="{AD1FAA3F-1360-44AB-83DF-B4908D76B23C}" id="{6CF31E49-CAE3-4E03-835F-F4CA05106890}">
    <text>7/19</text>
  </threadedComment>
  <threadedComment ref="J81" dT="2024-08-06T22:27:25.17" personId="{AD1FAA3F-1360-44AB-83DF-B4908D76B23C}" id="{A59CA1F3-4B0B-4575-988D-3B929F08EA74}" parentId="{6CF31E49-CAE3-4E03-835F-F4CA05106890}">
    <text>8/6</text>
  </threadedComment>
  <threadedComment ref="J81" dT="2024-08-27T12:51:57.50" personId="{AD1FAA3F-1360-44AB-83DF-B4908D76B23C}" id="{303C3659-E2FB-4D98-987E-4A7591DDC1F0}" parentId="{6CF31E49-CAE3-4E03-835F-F4CA05106890}">
    <text>8/27</text>
  </threadedComment>
  <threadedComment ref="J81" dT="2024-10-10T17:55:47.10" personId="{AD1FAA3F-1360-44AB-83DF-B4908D76B23C}" id="{1D28AB5E-7A0F-4D98-AA28-E7D788DFDD0A}" parentId="{6CF31E49-CAE3-4E03-835F-F4CA05106890}">
    <text>10/10</text>
  </threadedComment>
  <threadedComment ref="J81" dT="2024-10-16T22:25:24.32" personId="{AD1FAA3F-1360-44AB-83DF-B4908D76B23C}" id="{A631A215-75E9-40B2-9460-C9023B0D3281}" parentId="{6CF31E49-CAE3-4E03-835F-F4CA05106890}">
    <text>10/16</text>
  </threadedComment>
  <threadedComment ref="J81" dT="2024-11-07T13:44:45.01" personId="{AD1FAA3F-1360-44AB-83DF-B4908D76B23C}" id="{1146ED20-D82E-4B39-93DC-FB27FD7CB97A}" parentId="{6CF31E49-CAE3-4E03-835F-F4CA05106890}">
    <text>11/7</text>
  </threadedComment>
  <threadedComment ref="J81" dT="2024-12-17T17:33:38.84" personId="{AD1FAA3F-1360-44AB-83DF-B4908D76B23C}" id="{CDB828D1-AF59-4D3E-A2C3-F92DD368B150}" parentId="{6CF31E49-CAE3-4E03-835F-F4CA05106890}">
    <text>No EDSR is found when searched, looks like this one was closed out?</text>
  </threadedComment>
  <threadedComment ref="J81" dT="2024-12-17T17:33:47.09" personId="{AD1FAA3F-1360-44AB-83DF-B4908D76B23C}" id="{C91476E4-D1F9-4DB8-B24D-25C86825B64A}" parentId="{6CF31E49-CAE3-4E03-835F-F4CA05106890}">
    <text>on this list of TDE approvals</text>
  </threadedComment>
  <threadedComment ref="AJ83" dT="2024-02-27T16:43:02.81" personId="{0F8BBC01-9FFE-46F1-A588-E756CD2DAAE0}" id="{3064C460-ACAA-4A2C-8B74-6B16921C550F}">
    <text>Since there's 2 work orders, I have split this all the 3rd party costs between the two WOs.</text>
  </threadedComment>
  <threadedComment ref="AW83" dT="2025-01-28T23:23:33.50" personId="{1B2CDA8A-CEFC-4136-87C1-B34BF471D2DA}" id="{6BD0BA20-E114-4B07-B0E4-A14A06D2AE41}">
    <text>@Chamernik, Conner  what were all these changes due to? Were these just updates they made, or did we have something in the estimate wrong? Did we review these items prior to the cost estimate review and they were denied/changed?</text>
    <mentions>
      <mention mentionpersonId="{57B91CBD-0327-4D8C-B370-773C13F6634B}" mentionId="{2713067F-F535-47AA-8742-6A929B049003}" startIndex="0" length="18"/>
    </mentions>
  </threadedComment>
  <threadedComment ref="AW83" dT="2025-01-28T23:37:17.67" personId="{0F8BBC01-9FFE-46F1-A588-E756CD2DAAE0}" id="{187D89AA-324B-4195-BD08-80E5F5CFB465}" parentId="{6BD0BA20-E114-4B07-B0E4-A14A06D2AE41}">
    <text>We had calls with ConOps to go over the estimate. Calvin K upped a lot of those numbers/ added retirement trucking and Crew w/ Equip.
Working on how to word this.</text>
  </threadedComment>
  <threadedComment ref="AJ85" dT="2024-06-06T14:35:26.73" personId="{0F8BBC01-9FFE-46F1-A588-E756CD2DAAE0}" id="{415BF754-F5EB-4432-B59A-A92B8E51A700}">
    <text>Shactee locates ($1,368.34) + Helix ($6,850)</text>
  </threadedComment>
  <threadedComment ref="AW85" dT="2025-01-28T21:56:00.61" personId="{1B2CDA8A-CEFC-4136-87C1-B34BF471D2DA}" id="{AEBDEEAA-6BBC-4A88-B1E2-97C9F19059BD}">
    <text>@Bruce, Logan can you review this and confirm what @Chamernik, Conner is saying? I’m surprised we missed that in the original billing</text>
    <mentions>
      <mention mentionpersonId="{73D9EF92-8C85-4A0A-9961-617D8678EEFB}" mentionId="{8F684D70-F3CC-4396-9989-E12855E340BD}" startIndex="0" length="13"/>
      <mention mentionpersonId="{57B91CBD-0327-4D8C-B370-773C13F6634B}" mentionId="{9B510DE5-6B91-40E7-92B9-3EF8C086447E}" startIndex="51" length="18"/>
    </mentions>
  </threadedComment>
  <threadedComment ref="AW85" dT="2025-01-29T13:25:54.58" personId="{734DDAD1-150E-41DC-8408-5A6DB107C271}" id="{EBC39C89-3BA8-442C-9343-F0A896F150D8}" parentId="{AEBDEEAA-6BBC-4A88-B1E2-97C9F19059BD}">
    <text>@Chamernik, Conner please let me know when you have time to look at this this morning.</text>
    <mentions>
      <mention mentionpersonId="{57B91CBD-0327-4D8C-B370-773C13F6634B}" mentionId="{08EB8FAB-4770-46EE-9CE8-DCDDA61343C4}" startIndex="0" length="18"/>
    </mentions>
  </threadedComment>
  <threadedComment ref="AW85" dT="2025-01-29T20:28:07.82" personId="{0F8BBC01-9FFE-46F1-A588-E756CD2DAAE0}" id="{3B33A5EE-BED1-4039-B290-41111BCC59B8}" parentId="{AEBDEEAA-6BBC-4A88-B1E2-97C9F19059BD}">
    <text>@Betland, Joseph Logan and I chatted. Cell 63Z (retirement amount) is $720 higher than our recording/ what was approved in PCTS. We're not sure how this happened, but seems like the $72 can just be reconciled?</text>
    <mentions>
      <mention mentionpersonId="{E6421D29-A382-450E-BB08-617C1D9F9AED}" mentionId="{0386F1A1-7DAD-48F2-A23F-36F09A8A1217}" startIndex="0" length="16"/>
    </mentions>
  </threadedComment>
  <threadedComment ref="AW85" dT="2025-01-29T20:42:54.87" personId="{C292F702-D4C8-427F-8060-CA8E0A11E4F6}" id="{F7A31A8D-BCD5-46FD-B680-D09F8E4ADBAE}" parentId="{AEBDEEAA-6BBC-4A88-B1E2-97C9F19059BD}">
    <text>that's fine</text>
  </threadedComment>
  <threadedComment ref="AC88" dT="2023-07-26T16:36:05.59" personId="{F227819F-94A5-4B9E-BFE1-31C425F558EE}" id="{D410F9A8-C819-4F9F-8195-A2796EED2323}" done="1">
    <text>Pending PID creation. Email out to Kendra 7/25.</text>
  </threadedComment>
  <threadedComment ref="AC88" dT="2023-07-27T20:45:32.64" personId="{F227819F-94A5-4B9E-BFE1-31C425F558EE}" id="{150B357E-A5DF-4364-8FBE-E24217F3AF6D}" parentId="{D410F9A8-C819-4F9F-8195-A2796EED2323}">
    <text>F/U 7/27</text>
  </threadedComment>
  <threadedComment ref="AC88" dT="2023-08-04T17:04:00.14" personId="{F227819F-94A5-4B9E-BFE1-31C425F558EE}" id="{9375A9DC-6B1B-4C21-A78C-F650DFF77DD6}" parentId="{D410F9A8-C819-4F9F-8195-A2796EED2323}">
    <text>F/U 8/4</text>
  </threadedComment>
  <threadedComment ref="AC88" dT="2023-08-10T19:57:33.36" personId="{F227819F-94A5-4B9E-BFE1-31C425F558EE}" id="{1F57DC35-09C0-4401-B749-D1751C4A692F}" parentId="{D410F9A8-C819-4F9F-8195-A2796EED2323}">
    <text>PR6380 submitted 8/10</text>
  </threadedComment>
  <threadedComment ref="AB97" dT="2023-11-09T13:53:29.71" personId="{F227819F-94A5-4B9E-BFE1-31C425F558EE}" id="{6AF67219-E850-42CF-B6AA-ED6DF26D5B99}">
    <text>Review request sent 11/2. F/U 11/8. ConOps reports project is to be broken up into multiple WOs.</text>
  </threadedComment>
  <threadedComment ref="AC97" dT="2023-11-09T14:12:36.00" personId="{F227819F-94A5-4B9E-BFE1-31C425F558EE}" id="{58D8621D-BE6B-4642-856A-2F9D28D03988}">
    <text>Requisitions on hold, project is to be broken into multiple WOs.</text>
  </threadedComment>
  <threadedComment ref="AW102" dT="2025-01-28T23:28:41.46" personId="{1B2CDA8A-CEFC-4136-87C1-B34BF471D2DA}" id="{525B3B8E-7661-4A5A-8FD9-7317DBF11C31}">
    <text>@Chamernik, Conner did we ever discuss updating this cost estimate with Nicor? Wouldn’t the revision have changed this estimate a bit?</text>
    <mentions>
      <mention mentionpersonId="{57B91CBD-0327-4D8C-B370-773C13F6634B}" mentionId="{44784179-6B0F-42F1-9280-FAFC7E87E867}" startIndex="0" length="18"/>
    </mentions>
  </threadedComment>
  <threadedComment ref="AW102" dT="2025-01-29T01:01:22.04" personId="{0F8BBC01-9FFE-46F1-A588-E756CD2DAAE0}" id="{2A84DDE3-A17D-4FC3-AAB4-6C4BCAD65950}" parentId="{525B3B8E-7661-4A5A-8FD9-7317DBF11C31}">
    <text>We updated the cost estimate post revision per Nicor's request, but only for NBA10014004, since that is what changed. N17175 was the reimbursable DOT project, and that estimate did not change.</text>
  </threadedComment>
  <threadedComment ref="AW102" dT="2025-01-29T01:03:49.23" personId="{0F8BBC01-9FFE-46F1-A588-E756CD2DAAE0}" id="{11FA7C3C-33F3-48D3-8312-ED03D49A9CC9}" parentId="{525B3B8E-7661-4A5A-8FD9-7317DBF11C31}">
    <text>@Betland, Joseph Just now realizing that this revision was billed under the Re-DOT WO when it should've really been under the NBA WO. We had a combined DOT/NBA drawing set with two separate WOs. Let me know if this changes this approach</text>
    <mentions>
      <mention mentionpersonId="{E6421D29-A382-450E-BB08-617C1D9F9AED}" mentionId="{29C9A066-B218-493E-83D3-63629A73CBFA}" startIndex="0" length="16"/>
    </mentions>
  </threadedComment>
  <threadedComment ref="X104" dT="2024-05-09T16:34:02.94" personId="{1B2CDA8A-CEFC-4136-87C1-B34BF471D2DA}" id="{65EA01F5-7566-4AF4-8786-434FA323B711}">
    <text>@Dina, Eric just FYI, these numbers that you previously had in here included OH, I updated to be the direct estimates</text>
    <mentions>
      <mention mentionpersonId="{F9D0559D-AD59-4808-8048-C5973E55A36A}" mentionId="{865E042A-DFB2-4671-8A5A-C5B5690B6CAA}" startIndex="0" length="11"/>
    </mentions>
  </threadedComment>
  <threadedComment ref="X104" dT="2024-05-09T16:53:24.76" personId="{B43CBA0C-5DE4-4FB3-8951-794B7F7C4646}" id="{FCF34803-2640-4DAC-9B1E-923BBC0EF73D}" parentId="{65EA01F5-7566-4AF4-8786-434FA323B711}">
    <text>Thanks for making the change. @Hopkins, Matt  @Ekstrom, Ethan please note for next time</text>
    <mentions>
      <mention mentionpersonId="{9E19E8B3-7A88-4DEE-A51F-9DD7636E6CDB}" mentionId="{793B8DF4-B747-4FB2-B1BC-D3878DDA4235}" startIndex="30" length="14"/>
      <mention mentionpersonId="{056D57C1-81F5-4319-9D83-599A1840E0BE}" mentionId="{7DB83EB7-DAA2-4056-B40D-94EA80566821}" startIndex="46" length="15"/>
    </mentions>
  </threadedComment>
  <threadedComment ref="BG109" dT="2023-12-26T16:14:24.63" personId="{1B2CDA8A-CEFC-4136-87C1-B34BF471D2DA}" id="{F6A5BA19-06C9-4ACD-AF31-7D052CBAFD19}">
    <text>@Dina, Eric are we in cook county ROW here? Just wondering if we need to tihnk through this ADA item more</text>
    <mentions>
      <mention mentionpersonId="{F9D0559D-AD59-4808-8048-C5973E55A36A}" mentionId="{EB1653C6-E6EE-4FDD-9976-4437A88D63CF}" startIndex="0" length="11"/>
    </mentions>
  </threadedComment>
  <threadedComment ref="BG109" dT="2023-12-26T18:33:07.01" personId="{B43CBA0C-5DE4-4FB3-8951-794B7F7C4646}" id="{244DEE24-5568-4985-AB54-28EB945143D2}" parentId="{F6A5BA19-06C9-4ACD-AF31-7D052CBAFD19}">
    <text>Only at 1 intersection.  If our replacement scope touches this area, I think we should be able to avoid any ADA disruption.</text>
  </threadedComment>
  <threadedComment ref="BG109" dT="2024-01-29T17:29:45.45" personId="{B43CBA0C-5DE4-4FB3-8951-794B7F7C4646}" id="{F9F92012-E84A-42DF-9099-EE194FE0F985}" parentId="{F6A5BA19-06C9-4ACD-AF31-7D052CBAFD19}">
    <text>Confirmed that we are not in Cook County ROW with our replacement</text>
  </threadedComment>
  <threadedComment ref="BB117" dT="2023-07-21T14:11:17.16" personId="{C292F702-D4C8-427F-8060-CA8E0A11E4F6}" id="{02393CF2-2399-4972-A618-37F9B56D72B5}">
    <text>@Castellon, Randy  reminder during the meeting with IDOT to discuss pipe removal</text>
    <mentions>
      <mention mentionpersonId="{19AB77A6-6CAB-45F7-B79B-631A6192FCA1}" mentionId="{382FC8F3-CFD9-4EF3-BB18-F6210E9C7FA2}" startIndex="0" length="17"/>
    </mentions>
  </threadedComment>
  <threadedComment ref="X119" dT="2024-03-11T13:42:41.16" personId="{24E6244D-1EC0-4D28-8AA4-3342015D362A}" id="{BF986961-87ED-47B0-98C8-933D98DE3346}">
    <text>PCTS shows $303,560.19</text>
  </threadedComment>
  <threadedComment ref="Q120" dT="2024-02-27T20:32:15.90" personId="{C292F702-D4C8-427F-8060-CA8E0A11E4F6}" id="{E81C9DC2-DCEC-4A8C-AD77-D500A8D6121E}">
    <text>@Bruce, Logan  @Rojas, Taylor  this project got added to our february billing</text>
    <mentions>
      <mention mentionpersonId="{73D9EF92-8C85-4A0A-9961-617D8678EEFB}" mentionId="{47ECB27C-C73C-4610-95A7-6194F1DEA63B}" startIndex="0" length="13"/>
      <mention mentionpersonId="{FA85CEED-3E1F-4D20-BCFE-4E7CBFAF58D2}" mentionId="{74F80031-0E32-4697-87E0-3118B3D01BCA}" startIndex="15" length="14"/>
    </mentions>
  </threadedComment>
  <threadedComment ref="X120" dT="2024-03-11T13:52:24.05" personId="{24E6244D-1EC0-4D28-8AA4-3342015D362A}" id="{1F72ADCA-5F27-4045-8944-4D445C368347}">
    <text>PCTS shows 1,357,372.21</text>
  </threadedComment>
  <threadedComment ref="Z120" dT="2024-03-11T13:53:00.18" personId="{24E6244D-1EC0-4D28-8AA4-3342015D362A}" id="{4324F7E7-04F3-4D1E-9505-EDC6D6AF5455}">
    <text>PCTS shows 325,070.37</text>
  </threadedComment>
  <threadedComment ref="AA123" dT="2025-01-28T18:01:51.82" personId="{C292F702-D4C8-427F-8060-CA8E0A11E4F6}" id="{31FA8447-CED4-491C-A858-18E269BDEB63}">
    <text>@Bruce, Logan  @Rojas, Taylor  sorry for the mix-up - can you please verify that these cells match what we billed?</text>
    <mentions>
      <mention mentionpersonId="{73D9EF92-8C85-4A0A-9961-617D8678EEFB}" mentionId="{5BD13726-FC71-47F3-B6FF-7126522B6B63}" startIndex="0" length="13"/>
      <mention mentionpersonId="{FA85CEED-3E1F-4D20-BCFE-4E7CBFAF58D2}" mentionId="{D4DA1BB3-0EE8-4E07-9FC6-7B339BF83F5E}" startIndex="15" length="14"/>
    </mentions>
  </threadedComment>
  <threadedComment ref="AA123" dT="2025-01-28T18:29:00.51" personId="{734DDAD1-150E-41DC-8408-5A6DB107C271}" id="{BEA1AC35-7E80-4C30-8FCC-B57C3888E154}" parentId="{31FA8447-CED4-491C-A858-18E269BDEB63}">
    <text>@Betland, Joseph these all match</text>
    <mentions>
      <mention mentionpersonId="{E6421D29-A382-450E-BB08-617C1D9F9AED}" mentionId="{7617EB0F-5DB1-4D4A-8714-F0E809B44EB9}" startIndex="0" length="16"/>
    </mentions>
  </threadedComment>
  <threadedComment ref="AN123" dT="2025-01-22T20:46:28.66" personId="{3BA37BBC-10FC-4BDA-B888-29DE350DF251}" id="{A8B5F917-C16E-43EB-B9CA-A7F438F40AD4}">
    <text xml:space="preserve">Revision was reconciled under RS928 in July 2024. Project utilized same Work order but was renamed. </text>
  </threadedComment>
  <threadedComment ref="AS123" dT="2025-01-27T23:29:28.49" personId="{1B2CDA8A-CEFC-4136-87C1-B34BF471D2DA}" id="{A1AEEBEB-275E-4609-8131-4B088B43F3CC}">
    <text>@Bruce, Logan  @Rojas, Taylor  for each orange cell, could you please verify that this construction cost matches the amount that we billed Nicor for?</text>
    <mentions>
      <mention mentionpersonId="{73D9EF92-8C85-4A0A-9961-617D8678EEFB}" mentionId="{2F30A4EE-707C-4BFD-AAF2-522F25E23E5D}" startIndex="0" length="13"/>
      <mention mentionpersonId="{FA85CEED-3E1F-4D20-BCFE-4E7CBFAF58D2}" mentionId="{3ECD3953-A796-4325-AE41-33AF32C92E4A}" startIndex="15" length="14"/>
    </mentions>
  </threadedComment>
  <threadedComment ref="AS123" dT="2025-01-28T16:08:12.53" personId="{1668D55C-847B-4D60-AC54-ECFA1E4C3366}" id="{60C5C116-77AE-406B-B52D-5E4EB620B79D}" parentId="{A1AEEBEB-275E-4609-8131-4B088B43F3CC}">
    <text xml:space="preserve">@Betland, Joseph I don’t think any of these cells are going to match. What we billed nicor is in column AA. If anything additional was billed it was due to an increase or decrease on previous reconciliations. </text>
    <mentions>
      <mention mentionpersonId="{E6421D29-A382-450E-BB08-617C1D9F9AED}" mentionId="{090DE8DC-DB5A-401C-9F98-CBDAF7531115}" startIndex="0" length="16"/>
    </mentions>
  </threadedComment>
  <threadedComment ref="AW124" dT="2025-01-28T21:33:20.77" personId="{1B2CDA8A-CEFC-4136-87C1-B34BF471D2DA}" id="{92E290A1-F6F7-4FA3-8C89-A1D3A6FD8248}" done="1">
    <text>@Hopkins, Matt  are you saying that the contract was updated from 2024 to 2025? I would say “Contract updated to NPL 2025.”</text>
    <mentions>
      <mention mentionpersonId="{9E19E8B3-7A88-4DEE-A51F-9DD7636E6CDB}" mentionId="{F1A69D93-7D88-46FC-8BD6-E020C8567202}" startIndex="0" length="14"/>
    </mentions>
  </threadedComment>
  <threadedComment ref="AW124" dT="2025-01-28T21:36:08.57" personId="{A6785C6D-234D-4BD9-88A0-61CD519244F1}" id="{824A24F9-78C4-46D9-A522-D4DC0AA399B0}" parentId="{92E290A1-F6F7-4FA3-8C89-A1D3A6FD8248}">
    <text>Yes correct, I'll update the language</text>
  </threadedComment>
  <threadedComment ref="BK124" dT="2024-05-10T16:29:30.37" personId="{1B2CDA8A-CEFC-4136-87C1-B34BF471D2DA}" id="{C86EDF66-EC15-4905-9EE3-1F84E6218D26}" done="1">
    <text>@Hopkins, Matt please update red cells</text>
    <mentions>
      <mention mentionpersonId="{9E19E8B3-7A88-4DEE-A51F-9DD7636E6CDB}" mentionId="{3CD3FE2F-68A9-4173-A701-EFD1B044F68E}" startIndex="0" length="14"/>
    </mentions>
  </threadedComment>
  <threadedComment ref="BN124" dT="2024-04-22T12:34:03.60" personId="{AD1FAA3F-1360-44AB-83DF-B4908D76B23C}" id="{9CF41A99-34B2-430C-B6A6-AE5917A3A0A9}" done="1">
    <text>@Hopkins, Matt Please fill out if you anticipate sending for shactee review</text>
    <mentions>
      <mention mentionpersonId="{9E19E8B3-7A88-4DEE-A51F-9DD7636E6CDB}" mentionId="{8AE87B7E-6B53-4BA3-BDA6-94F7B01ECE5C}" startIndex="0" length="14"/>
    </mentions>
  </threadedComment>
  <threadedComment ref="AV125" dT="2025-01-28T20:56:13.07" personId="{1B2CDA8A-CEFC-4136-87C1-B34BF471D2DA}" id="{A215D9CD-269A-4A82-A4F6-A7724471BD29}">
    <text>@Dina, Eric  @Bruce, Logan  we need to include the amount for our new revision in this as well - those numbers aren’t in PCTS yet but please enter in the KH hourly amounts as well as any subconsultant amounts that we need</text>
    <mentions>
      <mention mentionpersonId="{F9D0559D-AD59-4808-8048-C5973E55A36A}" mentionId="{C819EE0F-0F38-4BF4-855F-4B9752D8BBE3}" startIndex="0" length="11"/>
      <mention mentionpersonId="{73D9EF92-8C85-4A0A-9961-617D8678EEFB}" mentionId="{5F24017C-EF3F-4B7B-B1B8-53350D51CB02}" startIndex="13" length="13"/>
    </mentions>
  </threadedComment>
  <threadedComment ref="AV125" dT="2025-01-28T21:17:53.02" personId="{734DDAD1-150E-41DC-8408-5A6DB107C271}" id="{014ACCBF-C19A-4560-A0F9-2B2D2AC18462}" parentId="{A215D9CD-269A-4A82-A4F6-A7724471BD29}">
    <text>@Dina, Eric there is $30,655 on 168777007.E.072 as of today in RTE. We have received $4,784.50 in sub expenses so far. Is the number we need to enter $35,439.50?</text>
    <mentions>
      <mention mentionpersonId="{F9D0559D-AD59-4808-8048-C5973E55A36A}" mentionId="{CF40D548-FD85-4D05-8E82-CBDB392634FF}" startIndex="0" length="11"/>
    </mentions>
  </threadedComment>
  <threadedComment ref="AV125" dT="2025-01-28T21:51:50.68" personId="{C292F702-D4C8-427F-8060-CA8E0A11E4F6}" id="{9C0734AA-9B66-4FDF-8387-2F7D0C27A244}" parentId="{A215D9CD-269A-4A82-A4F6-A7724471BD29}">
    <text>Eric please review and confirm when you are able</text>
  </threadedComment>
  <threadedComment ref="AV125" dT="2025-01-28T22:00:22.92" personId="{B43CBA0C-5DE4-4FB3-8951-794B7F7C4646}" id="{0C9C79E4-A92A-453D-BBFB-062CB2F2BFF7}" parentId="{A215D9CD-269A-4A82-A4F6-A7724471BD29}">
    <text>@Betland, Joseph I asked you about this one in an email earlier today (hourly write-ups).  Are you good with us billing this as expense or should we eat this cost?</text>
    <mentions>
      <mention mentionpersonId="{E6421D29-A382-450E-BB08-617C1D9F9AED}" mentionId="{8BCF627E-C320-4143-8224-4B5B53912003}" startIndex="0" length="16"/>
    </mentions>
  </threadedComment>
  <threadedComment ref="AV125" dT="2025-01-28T22:29:13.06" personId="{C292F702-D4C8-427F-8060-CA8E0A11E4F6}" id="{8F02766B-C986-4B52-AA18-30CED4665B62}" parentId="{A215D9CD-269A-4A82-A4F6-A7724471BD29}">
    <text>Let's not include those for this one</text>
  </threadedComment>
  <threadedComment ref="AV125" dT="2025-01-28T22:57:57.57" personId="{B43CBA0C-5DE4-4FB3-8951-794B7F7C4646}" id="{8CF3AA1A-0F85-48E2-BF1E-1B599044EC86}" parentId="{A215D9CD-269A-4A82-A4F6-A7724471BD29}">
    <text>Ok, thanks.  This has been updated.</text>
  </threadedComment>
  <threadedComment ref="AW125" dT="2025-01-28T23:47:56.58" personId="{1B2CDA8A-CEFC-4136-87C1-B34BF471D2DA}" id="{709E2321-591B-4D96-8A6A-701F8E1724E6}">
    <text>@Dina, Eric what caused the price increase - was that the revision (or one of them)? Or something else? Is the latest revision likely causing additional cost implications?</text>
    <mentions>
      <mention mentionpersonId="{F9D0559D-AD59-4808-8048-C5973E55A36A}" mentionId="{C60AE5DD-7103-426F-8DBD-B493D4E5A629}" startIndex="0" length="11"/>
    </mentions>
  </threadedComment>
  <threadedComment ref="AV132" dT="2025-01-28T20:50:27.13" personId="{1B2CDA8A-CEFC-4136-87C1-B34BF471D2DA}" id="{C612A107-25E0-421C-94BA-58FCD58A5A7F}">
    <text>@Castellon, Randy  aren’t we billing $9570 for this one shortly?</text>
    <mentions>
      <mention mentionpersonId="{19AB77A6-6CAB-45F7-B79B-631A6192FCA1}" mentionId="{410E149D-ECA3-4BE4-BF70-7988C37960AE}" startIndex="0" length="17"/>
    </mentions>
  </threadedComment>
  <threadedComment ref="AV132" dT="2025-01-28T21:01:30.75" personId="{3B2D5CBB-8EEF-4A78-9A0D-33CA3157BEED}" id="{80583624-0534-4E16-AC7B-FA6A3172EFC7}" parentId="{C612A107-25E0-421C-94BA-58FCD58A5A7F}">
    <text>hey joey - yes good point. i completed this prior to releasing the project. Should i include this cost?</text>
  </threadedComment>
  <threadedComment ref="AV132" dT="2025-01-28T21:01:50.68" personId="{1B2CDA8A-CEFC-4136-87C1-B34BF471D2DA}" id="{2BA69787-5750-409A-8713-BD6B25E5A8D9}" parentId="{C612A107-25E0-421C-94BA-58FCD58A5A7F}">
    <text>Yes please</text>
  </threadedComment>
  <threadedComment ref="AV132" dT="2025-01-28T21:05:06.47" personId="{3B2D5CBB-8EEF-4A78-9A0D-33CA3157BEED}" id="{45519ACE-3E08-4748-88EB-F9EEBC3F7717}" parentId="{C612A107-25E0-421C-94BA-58FCD58A5A7F}">
    <text xml:space="preserve">Updated to reflect what RTE is showing. </text>
  </threadedComment>
  <threadedComment ref="AW132" dT="2025-01-28T21:54:03.67" personId="{1B2CDA8A-CEFC-4136-87C1-B34BF471D2DA}" id="{2E8E9D00-2F33-4FB8-908D-18FEC3762F9F}">
    <text>@Castellon, Randy  why were they updated? Was it based off the revision? Please note if the revision impacted the cost estimate or not, use previous examples as guidance</text>
    <mentions>
      <mention mentionpersonId="{19AB77A6-6CAB-45F7-B79B-631A6192FCA1}" mentionId="{499C07F8-0566-46C1-9E0D-A8D541DA5AB5}" startIndex="0" length="17"/>
    </mentions>
  </threadedComment>
  <threadedComment ref="AW132" dT="2025-01-29T15:35:08.93" personId="{E8EF2CEE-A9C0-4A56-A06B-BC6445822825}" id="{C5E70A5C-F3F1-4F3C-8CB9-DEE4BAB5851C}" parentId="{2E8E9D00-2F33-4FB8-908D-18FEC3762F9F}">
    <text>@Betland, Joseph Same comment applies that I left on the other WO number, but the main install decreased 20' on this portion of the project</text>
    <mentions>
      <mention mentionpersonId="{E6421D29-A382-450E-BB08-617C1D9F9AED}" mentionId="{DAD555E0-FD28-49FF-8D5F-0DE4ABFB0A31}" startIndex="0" length="16"/>
    </mentions>
  </threadedComment>
  <threadedComment ref="AW133" dT="2025-01-28T23:33:20.69" personId="{1B2CDA8A-CEFC-4136-87C1-B34BF471D2DA}" id="{BD85A4CE-8943-4D1C-9CDF-E39A9DD8D206}">
    <text>@Castellon, Randy  same question as the original WO on this one</text>
    <mentions>
      <mention mentionpersonId="{19AB77A6-6CAB-45F7-B79B-631A6192FCA1}" mentionId="{EB41BCFD-E6C7-4559-9A3F-452E3D8C087D}" startIndex="0" length="17"/>
    </mentions>
  </threadedComment>
  <threadedComment ref="AW133" dT="2025-01-29T15:32:04.00" personId="{E8EF2CEE-A9C0-4A56-A06B-BC6445822825}" id="{564E1099-7778-47A2-B357-BC98EA49CAFB}" parentId="{BD85A4CE-8943-4D1C-9CDF-E39A9DD8D206}">
    <text>@Betland, Joseph It looks like the revision completed in January 2025 added a total of 108' of main to the drawings. It also appears that KH/Nicor didn't make any changes to the estimate due to this revision. The last change was made by Dan to the Labor Tab, Contract Estimate and PO on 6/25/2024. This was before we started recording PCTS so I'm not sure how much he increased values other than changing the labor/contract to 2024.</text>
    <mentions>
      <mention mentionpersonId="{E6421D29-A382-450E-BB08-617C1D9F9AED}" mentionId="{2BA02B76-FD0E-4CBF-A3EC-78E1C2C3962A}" startIndex="0" length="16"/>
    </mentions>
  </threadedComment>
  <threadedComment ref="AV137" dT="2025-01-28T20:52:23.91" personId="{1B2CDA8A-CEFC-4136-87C1-B34BF471D2DA}" id="{E41E0D3F-8AF6-498D-AA97-225894FE0787}">
    <text>@Castellon, Randy isn’t this $1,470?</text>
    <mentions>
      <mention mentionpersonId="{19AB77A6-6CAB-45F7-B79B-631A6192FCA1}" mentionId="{299BB30C-F82D-46E1-98E5-8E18F199FC0F}" startIndex="0" length="17"/>
    </mentions>
  </threadedComment>
  <threadedComment ref="AV137" dT="2025-01-28T21:05:50.03" personId="{3B2D5CBB-8EEF-4A78-9A0D-33CA3157BEED}" id="{275FC9DC-44D6-476B-8731-8D693DEA17DB}" parentId="{E41E0D3F-8AF6-498D-AA97-225894FE0787}">
    <text>yes. updated</text>
  </threadedComment>
  <threadedComment ref="AW137" dT="2025-01-28T21:57:08.78" personId="{1B2CDA8A-CEFC-4136-87C1-B34BF471D2DA}" id="{5E51DC00-3CFB-4B69-B500-3C48E20568A4}">
    <text>@Castellon, Randy  did we review those costs with ConOps prior to the cost estimate and they just added it after? Did the revision lead to this cost increase, or were the changes made prior to that?</text>
    <mentions>
      <mention mentionpersonId="{19AB77A6-6CAB-45F7-B79B-631A6192FCA1}" mentionId="{DE2BDB7E-6704-42B6-A997-291B132F9701}" startIndex="0" length="17"/>
    </mentions>
  </threadedComment>
  <threadedComment ref="AW137" dT="2025-01-29T23:40:52.99" personId="{E8EF2CEE-A9C0-4A56-A06B-BC6445822825}" id="{87D732E0-5712-40AB-ACF8-30723CEA5ED4}" parentId="{5E51DC00-3CFB-4B69-B500-3C48E20568A4}">
    <text xml:space="preserve">It looks like the revision led to this cost increase. Frank added items to the Contract and Labor tab on 8/1/2024 after the revision was released. Since the revision was to add a full lane width restoration, I think he bumped up restoration costs. </text>
  </threadedComment>
  <threadedComment ref="AW138" dT="2025-01-28T23:30:26.73" personId="{1B2CDA8A-CEFC-4136-87C1-B34BF471D2DA}" id="{5CD399AD-E0E4-4DFC-9BEF-CC98A9FC536B}">
    <text>@Castellon, Randy  how much did they update the crew and traffic control? Is that all they updated? Almost 100k is quite a bit so want to make sure we understand that</text>
    <mentions>
      <mention mentionpersonId="{19AB77A6-6CAB-45F7-B79B-631A6192FCA1}" mentionId="{88B94D39-4726-4627-9542-3F94549AE441}" startIndex="0" length="17"/>
    </mentions>
  </threadedComment>
  <threadedComment ref="AW139" dT="2025-01-29T00:49:36.48" personId="{1B2CDA8A-CEFC-4136-87C1-B34BF471D2DA}" id="{7AC44DD7-7BB1-4935-81C6-744280FCC64E}">
    <text>@Lierow, Taylor  wasn’t this IDOT? Is this accurate? 
Cost estimate decreased due to revision request and updated design from IDOT which resulted in a decrease in quantities and materials.</text>
    <mentions>
      <mention mentionpersonId="{502BF9D0-8DCD-49BB-B66D-0DCEA37B4151}" mentionId="{CB452E7B-5691-4111-B3E6-7DA0752BA974}" startIndex="0" length="15"/>
    </mentions>
  </threadedComment>
  <threadedComment ref="AW139" dT="2025-01-29T01:01:51.97" personId="{E8EF2CEE-A9C0-4A56-A06B-BC6445822825}" id="{9BCFD988-0B6D-47C4-BC62-3A69F81D081F}" parentId="{7AC44DD7-7BB1-4935-81C6-744280FCC64E}">
    <text>Yes sorry i got projects mixed up. I updated</text>
  </threadedComment>
  <threadedComment ref="AN140" dT="2025-01-28T18:51:02.94" personId="{0F8BBC01-9FFE-46F1-A588-E756CD2DAAE0}" id="{B7676E3B-63DC-49EE-80D0-B1BAEE70C618}">
    <text>10/16/2024</text>
  </threadedComment>
  <threadedComment ref="AN140" dT="2025-01-28T20:29:16.00" personId="{1B2CDA8A-CEFC-4136-87C1-B34BF471D2DA}" id="{22FDDDD5-8403-4529-8257-F94DB3A4D5D2}" parentId="{B7676E3B-63DC-49EE-80D0-B1BAEE70C618}">
    <text xml:space="preserve">@Lierow, Taylor can you confirm 10/16 is the date that should be there?
</text>
    <mentions>
      <mention mentionpersonId="{502BF9D0-8DCD-49BB-B66D-0DCEA37B4151}" mentionId="{0D7A13AB-629B-4FDE-9B89-D797DDB77180}" startIndex="0" length="15"/>
    </mentions>
  </threadedComment>
  <threadedComment ref="AN140" dT="2025-01-28T22:43:12.80" personId="{E8EF2CEE-A9C0-4A56-A06B-BC6445822825}" id="{D9F1FAF1-323C-4A70-B407-14EE8243614D}" parentId="{B7676E3B-63DC-49EE-80D0-B1BAEE70C618}">
    <text>Yes confirmed</text>
  </threadedComment>
  <threadedComment ref="AW140" dT="2025-01-29T00:59:51.76" personId="{1B2CDA8A-CEFC-4136-87C1-B34BF471D2DA}" id="{0C8BE57C-1654-49FB-BA85-151B8D710E21}">
    <text>@Lierow, Taylor  is this accurate?
Cost estimate decreased due to revision caused by updated County design, to avoid reimbursable Nicor relocation scope.</text>
    <mentions>
      <mention mentionpersonId="{502BF9D0-8DCD-49BB-B66D-0DCEA37B4151}" mentionId="{8F97989D-236D-46DE-8085-C6910F304617}" startIndex="0" length="15"/>
    </mentions>
  </threadedComment>
  <threadedComment ref="AW140" dT="2025-01-29T01:16:15.63" personId="{E8EF2CEE-A9C0-4A56-A06B-BC6445822825}" id="{044CFB24-EFAC-45D0-8FC8-5406EFFA8C19}" parentId="{0C8BE57C-1654-49FB-BA85-151B8D710E21}">
    <text xml:space="preserve">See comment on non reimbursable WO </text>
  </threadedComment>
  <threadedComment ref="AW140" dT="2025-01-29T01:20:14.98" personId="{E8EF2CEE-A9C0-4A56-A06B-BC6445822825}" id="{3680509F-AC3F-4EC4-9FA6-77E143AD490C}" parentId="{0C8BE57C-1654-49FB-BA85-151B8D710E21}">
    <text>We also ended up decreasing the amount Nicor was charging for reimbursement on the retirement WO after discussion with Chip</text>
  </threadedComment>
  <threadedComment ref="J142" dT="2024-08-27T12:54:35.55" personId="{A6785C6D-234D-4BD9-88A0-61CD519244F1}" id="{F892BBF6-132D-4E3C-9414-6CB6BA914978}">
    <text>F/U 8/27</text>
  </threadedComment>
  <threadedComment ref="AW143" dT="2025-01-28T23:35:51.55" personId="{1B2CDA8A-CEFC-4136-87C1-B34BF471D2DA}" id="{008A0B37-7A11-4C9A-9B54-AE7377032136}">
    <text>@Lierow, Taylor  can you go more into this revision - what led to the reduced scope? How much scope reduced?</text>
    <mentions>
      <mention mentionpersonId="{502BF9D0-8DCD-49BB-B66D-0DCEA37B4151}" mentionId="{B0DD7550-E44D-4465-B1B3-DACB8D95B915}" startIndex="0" length="15"/>
    </mentions>
  </threadedComment>
  <threadedComment ref="AW143" dT="2025-01-29T00:22:16.65" personId="{E8EF2CEE-A9C0-4A56-A06B-BC6445822825}" id="{92D9F455-D6EF-42B7-AD84-EECFA5BCE3E2}" parentId="{008A0B37-7A11-4C9A-9B54-AE7377032136}">
    <text>Updated</text>
  </threadedComment>
  <threadedComment ref="AW143" dT="2025-01-29T00:57:06.89" personId="{1B2CDA8A-CEFC-4136-87C1-B34BF471D2DA}" id="{CC702F28-316C-4C0A-9118-ED50EAD70D0F}" parentId="{008A0B37-7A11-4C9A-9B54-AE7377032136}">
    <text>Was the additional scope a system improvement? Or why did it not need to be relocated?</text>
  </threadedComment>
  <threadedComment ref="AW143" dT="2025-01-29T01:12:48.15" personId="{E8EF2CEE-A9C0-4A56-A06B-BC6445822825}" id="{B43D07FC-89B6-4E8E-A250-85D35B8602D9}" parentId="{008A0B37-7A11-4C9A-9B54-AE7377032136}">
    <text>When we were scoping out the reroute, we included replacement of 6" STL main in a partially reimbursable area and charged the County for this reimbursement. During their permit review, they asked why this needed to be relocated/why it was reimbursable and discussed with Nicor and ended up removing that relocation all together. This accounted for the decrease in both the reimbursable and non-reimbursable estimate.</text>
  </threadedComment>
  <threadedComment ref="J144" dT="2024-07-19T13:44:16.54" personId="{AD1FAA3F-1360-44AB-83DF-B4908D76B23C}" id="{5BC01287-FC9B-4EC6-915E-69BBEBD898CA}">
    <text>7/19</text>
  </threadedComment>
  <threadedComment ref="J144" dT="2024-08-06T22:28:17.90" personId="{AD1FAA3F-1360-44AB-83DF-B4908D76B23C}" id="{F0CDDE62-CF82-4800-8CB5-70C085FE2E0E}" parentId="{5BC01287-FC9B-4EC6-915E-69BBEBD898CA}">
    <text>8/6</text>
  </threadedComment>
  <threadedComment ref="J144" dT="2024-08-27T12:53:02.57" personId="{AD1FAA3F-1360-44AB-83DF-B4908D76B23C}" id="{93586F01-80FF-4237-9F89-D2FDFA48E1A9}" parentId="{5BC01287-FC9B-4EC6-915E-69BBEBD898CA}">
    <text>8/27</text>
  </threadedComment>
  <threadedComment ref="J144" dT="2024-10-10T17:55:40.91" personId="{AD1FAA3F-1360-44AB-83DF-B4908D76B23C}" id="{0F261495-85FA-4945-B37D-FD080FFA4E9F}" parentId="{5BC01287-FC9B-4EC6-915E-69BBEBD898CA}">
    <text>10/10</text>
  </threadedComment>
  <threadedComment ref="J144" dT="2024-10-16T22:25:18.93" personId="{AD1FAA3F-1360-44AB-83DF-B4908D76B23C}" id="{7B8B12E3-BD78-4646-98CB-6AB1CF65EFDF}" parentId="{5BC01287-FC9B-4EC6-915E-69BBEBD898CA}">
    <text>10/16</text>
  </threadedComment>
  <threadedComment ref="J144" dT="2024-11-07T13:44:38.20" personId="{AD1FAA3F-1360-44AB-83DF-B4908D76B23C}" id="{3C3485C6-034A-40D4-A507-405559C574E5}" parentId="{5BC01287-FC9B-4EC6-915E-69BBEBD898CA}">
    <text>11/7</text>
  </threadedComment>
  <threadedComment ref="J144" dT="2024-12-17T17:28:42.73" personId="{AD1FAA3F-1360-44AB-83DF-B4908D76B23C}" id="{71E8BD04-802F-4906-B7E4-A6BCED7F099A}" parentId="{5BC01287-FC9B-4EC6-915E-69BBEBD898CA}">
    <text>updated and reviewed</text>
  </threadedComment>
  <threadedComment ref="K146" dT="2024-05-08T18:28:39.78" personId="{1B2CDA8A-CEFC-4136-87C1-B34BF471D2DA}" id="{D57ADE72-A694-404B-82DB-DFCE5EB6FA55}">
    <text>@Lierow, Taylor please fill out red cells and highlight yellow when ready for my review. Please continue to follow up on this date as well</text>
    <mentions>
      <mention mentionpersonId="{502BF9D0-8DCD-49BB-B66D-0DCEA37B4151}" mentionId="{692F5E6C-7A44-44A0-ABD1-C55232BAE952}" startIndex="0" length="15"/>
    </mentions>
  </threadedComment>
  <threadedComment ref="AW146" dT="2025-01-28T23:32:12.83" personId="{1B2CDA8A-CEFC-4136-87C1-B34BF471D2DA}" id="{4D7898E0-C694-44E1-A853-1DFDA8ADE34F}">
    <text>@Lierow, Taylor can you go into detail a little more about what the revision caused - did sheets need to be added? How much additional relocation was caused?</text>
    <mentions>
      <mention mentionpersonId="{502BF9D0-8DCD-49BB-B66D-0DCEA37B4151}" mentionId="{9CA5F74E-F27A-4293-A7E5-5C6A26A38815}" startIndex="0" length="15"/>
    </mentions>
  </threadedComment>
  <threadedComment ref="AW146" dT="2025-01-28T23:45:25.43" personId="{E8EF2CEE-A9C0-4A56-A06B-BC6445822825}" id="{2A6B7BBB-D453-4189-B6A3-988F406856F9}" parentId="{4D7898E0-C694-44E1-A853-1DFDA8ADE34F}">
    <text>Updated</text>
  </threadedComment>
  <threadedComment ref="AW148" dT="2025-01-28T21:15:24.21" personId="{1B2CDA8A-CEFC-4136-87C1-B34BF471D2DA}" id="{7250F30A-1619-422E-A637-DC7CDE489B5B}">
    <text>@Purtell, Tim  what do you mean revised costs? What was revised and why?</text>
    <mentions>
      <mention mentionpersonId="{04BCACC7-04FA-4A9D-9DCE-8E3808E45E3D}" mentionId="{1F8CA6B7-074F-40CE-A07A-A690ACD1CC7A}" startIndex="0" length="13"/>
    </mentions>
  </threadedComment>
  <threadedComment ref="AW148" dT="2025-01-28T21:17:49.09" personId="{3BA37BBC-10FC-4BDA-B888-29DE350DF251}" id="{24FBF72B-A029-49CD-AE50-A632F3CC601A}" parentId="{7250F30A-1619-422E-A637-DC7CDE489B5B}">
    <text>@Betland, Joseph The contract year was updated from 2024 to 2025. This has a snowball effect for the cost estimate. No items were changed. This was the verbaige we used on last reconcilation for these instances</text>
    <mentions>
      <mention mentionpersonId="{E6421D29-A382-450E-BB08-617C1D9F9AED}" mentionId="{FF932438-2681-4557-9BD7-B01AF8F16452}" startIndex="0" length="16"/>
    </mentions>
  </threadedComment>
  <threadedComment ref="AW148" dT="2025-01-28T21:58:41.61" personId="{1B2CDA8A-CEFC-4136-87C1-B34BF471D2DA}" id="{EB1971B1-CD6C-473C-B729-763D6A61BD34}" parentId="{7250F30A-1619-422E-A637-DC7CDE489B5B}">
    <text>I know it’s a large project so just to confirm, the updated contract had a cost implication of 114k? No other items or quantities changed?</text>
  </threadedComment>
  <threadedComment ref="AW149" dT="2025-01-28T21:52:58.16" personId="{1B2CDA8A-CEFC-4136-87C1-B34BF471D2DA}" id="{12E810D7-C623-41D4-BC34-69E8BA5DCC1D}">
    <text xml:space="preserve">@Purtell, Tim  I realize that this wasn’t a big change, but was this material costs, labor, etc.? </text>
    <mentions>
      <mention mentionpersonId="{04BCACC7-04FA-4A9D-9DCE-8E3808E45E3D}" mentionId="{09C56C32-43E8-4958-8766-C5521BF87BE4}" startIndex="0" length="13"/>
    </mentions>
  </threadedComment>
  <threadedComment ref="AW149" dT="2025-01-28T21:56:10.57" personId="{3BA37BBC-10FC-4BDA-B888-29DE350DF251}" id="{90479429-C53B-467E-915F-288B933F9C3A}" parentId="{12E810D7-C623-41D4-BC34-69E8BA5DCC1D}">
    <text>material</text>
  </threadedComment>
  <threadedComment ref="AJ154" dT="2024-09-16T22:31:46.22" personId="{B43CBA0C-5DE4-4FB3-8951-794B7F7C4646}" id="{6D12EFCD-C67F-4AA3-8922-97FC20205363}" done="1">
    <text>It looks like Millennia forgot to bill us for a pothole.  Getting confirmation.</text>
  </threadedComment>
  <threadedComment ref="AJ154" dT="2024-10-01T23:59:56.65" personId="{EB756D3C-0333-4781-801C-F36FB858F0FD}" id="{99B2044C-FB80-4430-848B-6C350AB5D03C}" parentId="{6D12EFCD-C67F-4AA3-8922-97FC20205363}">
    <text>Pending response from Millenia</text>
  </threadedComment>
  <threadedComment ref="AC158" dT="2023-07-25T12:51:46.57" personId="{739B1764-671C-42A9-B3C0-653139EA152B}" id="{F4A88F25-90BA-45CE-82BA-D6883419351F}">
    <text>Material procurement to occur at a later date. construction anticipated for 2025</text>
  </threadedComment>
  <threadedComment ref="J164" dT="2024-10-10T17:02:54.78" personId="{9E62BE2C-0142-483B-A1E8-957D99ED07D0}" id="{5C3C1243-2CCA-4B65-AAAB-080C20AD59D2}">
    <text>sent 9/27, last f/u 10/22</text>
  </threadedComment>
  <threadedComment ref="J164" dT="2024-11-04T18:56:48.88" personId="{9D3B0158-8FE0-44B5-9C17-6CB3F89C44B0}" id="{445FC650-14E4-45CF-B21E-07622B455036}" parentId="{5C3C1243-2CCA-4B65-AAAB-080C20AD59D2}">
    <text>Outstanding extensions F/U 12/17</text>
  </threadedComment>
  <threadedComment ref="J164" dT="2024-11-22T21:34:22.72" personId="{9D3B0158-8FE0-44B5-9C17-6CB3F89C44B0}" id="{824EBB01-A61C-435C-AE36-FEEFE4EDEC97}" parentId="{5C3C1243-2CCA-4B65-AAAB-080C20AD59D2}">
    <text>Approved 11/21, not updated</text>
  </threadedComment>
  <threadedComment ref="J165" dT="2024-10-28T14:53:30.88" personId="{9D3B0158-8FE0-44B5-9C17-6CB3F89C44B0}" id="{96E6B7F8-9D0B-43A7-854F-A5E3B58B18B0}">
    <text>Originally 11/5
Sent 10/29, F/U 12/17</text>
  </threadedComment>
  <threadedComment ref="AK170" dT="2024-03-08T20:33:03.46" personId="{EB756D3C-0333-4781-801C-F36FB858F0FD}" id="{DAA4394C-978E-4A4A-9D0F-C1AFBBD27FEB}">
    <text>Reported in 2023</text>
  </threadedComment>
  <threadedComment ref="J173" dT="2024-10-08T16:49:31.33" personId="{9E62BE2C-0142-483B-A1E8-957D99ED07D0}" id="{0AA55748-CAD1-4771-A997-4ECEF768B9F5}">
    <text>approved, pending update to EDSR Form (last f/u 10/22)</text>
  </threadedComment>
  <threadedComment ref="J173" dT="2024-11-04T18:55:13.51" personId="{9D3B0158-8FE0-44B5-9C17-6CB3F89C44B0}" id="{051F20E3-17D7-406A-8BA1-68A252DFE183}" parentId="{0AA55748-CAD1-4771-A997-4ECEF768B9F5}">
    <text>Outstanding extensions F/U 12/17</text>
  </threadedComment>
  <threadedComment ref="J175" dT="2024-12-30T15:52:24.75" personId="{3BA37BBC-10FC-4BDA-B888-29DE350DF251}" id="{FE0056EB-6ECD-4EBD-B522-3FC86311C867}">
    <text>Originally 12/4
Sent 10/28
F/U 12/17
Approved 12/3, not updated in EDSR</text>
  </threadedComment>
</ThreadedComments>
</file>

<file path=xl/threadedComments/threadedComment4.xml><?xml version="1.0" encoding="utf-8"?>
<ThreadedComments xmlns="http://schemas.microsoft.com/office/spreadsheetml/2018/threadedcomments" xmlns:x="http://schemas.openxmlformats.org/spreadsheetml/2006/main">
  <threadedComment ref="J8" dT="2025-09-15T20:18:27.29" personId="{3BA37BBC-10FC-4BDA-B888-29DE350DF251}" id="{270E18AA-1A33-443A-92C4-DA800F5BA6CC}">
    <text>@Holstead, Julia Does this need a date extension?</text>
    <mentions>
      <mention mentionpersonId="{97D9F2BC-0E21-4633-B402-0B1105F294EC}" mentionId="{A1308FB9-2381-49FA-BE00-1A53C4837725}" startIndex="0" length="16"/>
    </mentions>
  </threadedComment>
  <threadedComment ref="J10" dT="2025-09-15T20:19:12.03" personId="{3BA37BBC-10FC-4BDA-B888-29DE350DF251}" id="{241B4E77-4C11-477E-B37E-6A7C7826FF96}">
    <text>@Holstead, Julia Does this need a date extension?</text>
    <mentions>
      <mention mentionpersonId="{97D9F2BC-0E21-4633-B402-0B1105F294EC}" mentionId="{94681E20-BD1E-44F6-ADA5-527064145CBB}" startIndex="0" length="16"/>
    </mentions>
  </threadedComment>
  <threadedComment ref="J14" dT="2025-08-11T15:35:52.70" personId="{170BCDB3-C00E-4DAB-8167-9427A631A4A5}" id="{4690FA0E-D12E-4F06-AF00-B856651936DC}">
    <text>Sent 8/11</text>
  </threadedComment>
  <threadedComment ref="W14" dT="2025-06-16T22:22:03.97" personId="{170BCDB3-C00E-4DAB-8167-9427A631A4A5}" id="{2B438DC7-7EFF-4B0D-AF63-C7EAB517F24C}">
    <text>Pending Survey</text>
  </threadedComment>
  <threadedComment ref="Y14" dT="2025-06-16T22:22:03.97" personId="{170BCDB3-C00E-4DAB-8167-9427A631A4A5}" id="{2C754200-12F6-4F98-AF34-BBF1574C835A}">
    <text>Pending Survey</text>
  </threadedComment>
  <threadedComment ref="AL14" dT="2025-09-11T18:12:04.20" personId="{8B95014D-CB0C-4B46-AE57-ECA943BEAC36}" id="{0733B366-3151-473F-B2D7-699DB8964F84}" done="1">
    <text>@McTigue, Thomas  Is this still pending?</text>
    <mentions>
      <mention mentionpersonId="{64A125C0-C980-450F-B91F-164A54ED3500}" mentionId="{55868621-CCD1-4FA0-8A3C-A585E775D2E1}" startIndex="0" length="16"/>
    </mentions>
  </threadedComment>
  <threadedComment ref="AL14" dT="2025-09-12T18:02:09.40" personId="{170BCDB3-C00E-4DAB-8167-9427A631A4A5}" id="{5AE6DA59-C5CE-4A09-BDA6-CD9F7CE22126}" parentId="{0733B366-3151-473F-B2D7-699DB8964F84}">
    <text>Yes</text>
  </threadedComment>
  <threadedComment ref="U17" dT="2025-08-11T18:42:22.83" personId="{9E62BE2C-0142-483B-A1E8-957D99ED07D0}" id="{3CB67A2E-71BC-4C06-820B-3FB34BB05B8C}">
    <text>@Holstead, Julia  - have we done a Julie call for this project? Or are we getting survey once the EDSR opens?</text>
    <mentions>
      <mention mentionpersonId="{97D9F2BC-0E21-4633-B402-0B1105F294EC}" mentionId="{25FD1443-BC6F-4FB0-9BB8-596EA9E9A3A8}" startIndex="0" length="16"/>
    </mentions>
  </threadedComment>
  <threadedComment ref="C29" dT="2025-09-17T23:10:20.54" personId="{9E62BE2C-0142-483B-A1E8-957D99ED07D0}" id="{194C0234-2DBF-4BF6-8B7B-9A662CB62EB9}">
    <text>No Engr # in EDSR</text>
  </threadedComment>
  <threadedComment ref="W29" dT="2025-05-22T22:19:24.82" personId="{923A6378-7149-496A-9AA9-5877E99B04E1}" id="{5EF8FF8B-36DA-4B5D-89F4-4C4F13402901}">
    <text>@Holstead, Julia  - If this is to be sent to shactee for drafting at some point, add to the 3rd party tracker and put your best guess for the NTP and deliverables due date. Add reasoning in the notes as needed (ie: pending facility location confirmation sent 5/x)</text>
    <mentions>
      <mention mentionpersonId="{97D9F2BC-0E21-4633-B402-0B1105F294EC}" mentionId="{5128F94F-B40D-4A7F-88DC-316128E7DF56}" startIndex="0" length="16"/>
    </mentions>
  </threadedComment>
  <threadedComment ref="J32" dT="2025-08-11T15:36:00.43" personId="{170BCDB3-C00E-4DAB-8167-9427A631A4A5}" id="{CFA9D52A-2B77-44F1-B651-0FE462ACE85D}">
    <text>Sent 8/11</text>
  </threadedComment>
  <threadedComment ref="W32" dT="2025-06-16T22:22:03.97" personId="{170BCDB3-C00E-4DAB-8167-9427A631A4A5}" id="{8CD98E44-9116-4585-87D4-4334E1E13EE8}">
    <text>Pending Survey</text>
  </threadedComment>
  <threadedComment ref="Y32" dT="2025-06-16T22:22:03.97" personId="{170BCDB3-C00E-4DAB-8167-9427A631A4A5}" id="{A6AC2347-1D0F-4438-9291-4AF111AD98B3}">
    <text>Pending Survey</text>
  </threadedComment>
  <threadedComment ref="AL32" dT="2025-09-11T18:11:34.08" personId="{8B95014D-CB0C-4B46-AE57-ECA943BEAC36}" id="{81BCE2FF-6435-462A-99C3-051BFEE8CB69}" done="1">
    <text xml:space="preserve">Is this still pending? @McTigue, Thomas </text>
    <mentions>
      <mention mentionpersonId="{64A125C0-C980-450F-B91F-164A54ED3500}" mentionId="{B9EA1632-93EC-4A78-A7E9-11DF11BE2D5D}" startIndex="23" length="16"/>
    </mentions>
  </threadedComment>
  <threadedComment ref="AL32" dT="2025-09-12T18:02:23.24" personId="{170BCDB3-C00E-4DAB-8167-9427A631A4A5}" id="{FC7D6AF0-C2DA-4CB5-9DB8-5D11D6E62128}" parentId="{81BCE2FF-6435-462A-99C3-051BFEE8CB69}">
    <text>Yes</text>
  </threadedComment>
</ThreadedComments>
</file>

<file path=xl/threadedComments/threadedComment5.xml><?xml version="1.0" encoding="utf-8"?>
<ThreadedComments xmlns="http://schemas.microsoft.com/office/spreadsheetml/2018/threadedcomments" xmlns:x="http://schemas.openxmlformats.org/spreadsheetml/2006/main">
  <threadedComment ref="N3" dT="2025-08-25T16:47:48.35" personId="{EB756D3C-0333-4781-801C-F36FB858F0FD}" id="{96BFFDAC-185C-4A44-B414-FE75EF5D5DCF}" done="1">
    <text>@McTigue, Thomas - could you help get this filled out while @Corbi, Camille  is out today?</text>
    <mentions>
      <mention mentionpersonId="{64A125C0-C980-450F-B91F-164A54ED3500}" mentionId="{6ADF30F9-7C5D-4717-8B9D-8BD95B57E6D6}" startIndex="0" length="16"/>
      <mention mentionpersonId="{ABEDD8C2-01F0-4304-90BA-79DEF386422B}" mentionId="{7D8A98D7-BF51-4343-834D-BF912A0D5272}" startIndex="60" length="15"/>
    </mentions>
  </threadedComment>
  <threadedComment ref="J6" dT="2025-08-20T13:39:56.21" personId="{AD1FAA3F-1360-44AB-83DF-B4908D76B23C}" id="{08AA3F73-7A5F-483E-B48C-FAB11DCF03A5}">
    <text>SENT FOR INTERNAL REVIEW 8/19</text>
  </threadedComment>
  <threadedComment ref="J6" dT="2025-08-25T12:58:16.47" personId="{AD1FAA3F-1360-44AB-83DF-B4908D76B23C}" id="{FC4232D7-523F-44AF-8B79-DD67A8036DFF}" parentId="{08AA3F73-7A5F-483E-B48C-FAB11DCF03A5}">
    <text>sent to Nicor 8/25</text>
  </threadedComment>
  <threadedComment ref="K8" dT="2025-09-15T14:35:51.56" personId="{8B95014D-CB0C-4B46-AE57-ECA943BEAC36}" id="{751A9DC3-E9C1-410C-B2B8-3AAD55E25B1C}">
    <text>@McTigue, Thomas Can you F/U today if we haven’t received?</text>
    <mentions>
      <mention mentionpersonId="{64A125C0-C980-450F-B91F-164A54ED3500}" mentionId="{55ACF98F-B88C-4D77-A0DA-3947E6A9E3EB}" startIndex="0" length="16"/>
    </mentions>
  </threadedComment>
  <threadedComment ref="AC8" dT="2025-08-20T12:47:27.88" personId="{170BCDB3-C00E-4DAB-8167-9427A631A4A5}" id="{70702E1E-4789-4F69-8558-173B329AF5B1}">
    <text>Date extension once survey is routed and approved</text>
  </threadedComment>
  <threadedComment ref="H9" dT="2025-09-03T13:58:27.74" personId="{EB756D3C-0333-4781-801C-F36FB858F0FD}" id="{2A307044-BCD8-4BFD-94DE-B5C758AD6806}" done="1">
    <text>@McTigue, Thomas - did we send out the IR yet? Can we change this to Phase 1 ASAP?</text>
    <mentions>
      <mention mentionpersonId="{64A125C0-C980-450F-B91F-164A54ED3500}" mentionId="{B5691709-8E56-47EF-A732-F58104C7B830}" startIndex="0" length="16"/>
    </mentions>
  </threadedComment>
</ThreadedComments>
</file>

<file path=xl/threadedComments/threadedComment6.xml><?xml version="1.0" encoding="utf-8"?>
<ThreadedComments xmlns="http://schemas.microsoft.com/office/spreadsheetml/2018/threadedcomments" xmlns:x="http://schemas.openxmlformats.org/spreadsheetml/2006/main">
  <threadedComment ref="L5" dT="2025-07-16T15:16:33.59" personId="{1B2CDA8A-CEFC-4136-87C1-B34BF471D2DA}" id="{02BF6FC4-37F8-4B37-9C2F-F4A40FF297F7}" done="1">
    <text>@Corbi, Camille  since this is a big project, is there anything we can get started on that seems like an obvious relocation, or getting potholes, locates, looking into disconnects, re-routes, etc?</text>
    <mentions>
      <mention mentionpersonId="{ABEDD8C2-01F0-4304-90BA-79DEF386422B}" mentionId="{F7F0423A-1E5E-4BA7-A7B9-3D64195CCE93}" startIndex="0" length="15"/>
    </mentions>
  </threadedComment>
  <threadedComment ref="L5" dT="2025-07-16T15:19:12.29" personId="{AD1FAA3F-1360-44AB-83DF-B4908D76B23C}" id="{18430A63-09F7-4F18-BB3B-A1181131B378}" parentId="{02BF6FC4-37F8-4B37-9C2F-F4A40FF297F7}">
    <text>I can have someone put together a quick UCM exhibit with the locates we obtained and take a look into those early next week/end of this week</text>
  </threadedComment>
  <threadedComment ref="L5" dT="2025-07-16T15:35:24.82" personId="{C292F702-D4C8-427F-8060-CA8E0A11E4F6}" id="{44B7534E-6A9B-4B52-A03D-0CDC21D13751}" parentId="{02BF6FC4-37F8-4B37-9C2F-F4A40FF297F7}">
    <text xml:space="preserve">I think that makes sense - I wouldn't spend more than 30-60 min on it. Just want to see if there's some large areas of relo that we can/should potentially talk to Nicor about geting started on, or at least coordinating if it requires dual main, large pipe, system planning disconnects, etc. </text>
  </threadedComment>
  <threadedComment ref="K6" dT="2025-08-18T19:26:16.14" personId="{3B2D5CBB-8EEF-4A78-9A0D-33CA3157BEED}" id="{B1C482FD-F055-4036-883D-2B219008D6C3}">
    <text>@Corbi, Camille is there any DBE spend on this</text>
    <mentions>
      <mention mentionpersonId="{ABEDD8C2-01F0-4304-90BA-79DEF386422B}" mentionId="{E5ABFD3D-BD32-438D-816E-BBA97BD38161}" startIndex="0" length="15"/>
    </mentions>
  </threadedComment>
  <threadedComment ref="K6" dT="2025-08-29T14:35:00.27" personId="{AD1FAA3F-1360-44AB-83DF-B4908D76B23C}" id="{55D09101-2D99-4A91-93C9-222DAAD94FC9}" parentId="{B1C482FD-F055-4036-883D-2B219008D6C3}">
    <text>no</text>
  </threadedComment>
  <threadedComment ref="T6" dT="2025-09-04T13:22:14.06" personId="{1B2CDA8A-CEFC-4136-87C1-B34BF471D2DA}" id="{8AF0CA5F-6DB0-46B8-BBE3-821CC24C9142}">
    <text>@Corbi, Camille  if we got locates, please note the date</text>
    <mentions>
      <mention mentionpersonId="{ABEDD8C2-01F0-4304-90BA-79DEF386422B}" mentionId="{0336E97D-AFE7-4890-B48D-3D854A098329}" startIndex="0" length="15"/>
    </mentions>
  </threadedComment>
  <threadedComment ref="AO6" dT="2025-06-09T17:18:03.70" personId="{1B2CDA8A-CEFC-4136-87C1-B34BF471D2DA}" id="{8FF05115-27B9-47AF-A63A-AEE12FE6C5A3}" done="1">
    <text xml:space="preserve">@Corbi, Camille </text>
    <mentions>
      <mention mentionpersonId="{ABEDD8C2-01F0-4304-90BA-79DEF386422B}" mentionId="{2805123A-D4B2-4C2D-9319-9F888F724946}" startIndex="0" length="15"/>
    </mentions>
  </threadedComment>
  <threadedComment ref="J13" dT="2025-07-29T18:00:54.24" personId="{1B2CDA8A-CEFC-4136-87C1-B34BF471D2DA}" id="{6C963064-3E7D-473A-A181-9C6986466226}">
    <text>@Ekstrom, Ethan  @Lierow, Taylor  @Dina, Eric  how are we feeling on this date if we’re only in Phase 1?</text>
    <mentions>
      <mention mentionpersonId="{056D57C1-81F5-4319-9D83-599A1840E0BE}" mentionId="{175DCF3C-8C3F-455F-B13C-0861E82E58EF}" startIndex="0" length="15"/>
      <mention mentionpersonId="{502BF9D0-8DCD-49BB-B66D-0DCEA37B4151}" mentionId="{0BD66094-AA35-43C2-91D3-68C5FAF774BE}" startIndex="17" length="15"/>
      <mention mentionpersonId="{F9D0559D-AD59-4808-8048-C5973E55A36A}" mentionId="{24357244-F0A1-4EAA-95D5-54833DC3A6AA}" startIndex="34" length="11"/>
    </mentions>
  </threadedComment>
  <threadedComment ref="J13" dT="2025-07-30T14:31:42.83" personId="{B43CBA0C-5DE4-4FB3-8951-794B7F7C4646}" id="{F0A7F0CA-67DE-4160-AC47-7E438239DCFE}" parentId="{6C963064-3E7D-473A-A181-9C6986466226}">
    <text>This status was incorrect.  Shactee is currently completing milestone 2 design.  The date looks good.</text>
  </threadedComment>
  <threadedComment ref="X13" dT="2025-05-22T21:52:26.10" personId="{AD1FAA3F-1360-44AB-83DF-B4908D76B23C}" id="{A4ED5344-76C9-49B7-8440-7BFE127F8554}" done="1">
    <text>@Ekstrom, Ethan are you planning to send this to shactee for drafting? if so update per the new guidance</text>
    <mentions>
      <mention mentionpersonId="{056D57C1-81F5-4319-9D83-599A1840E0BE}" mentionId="{E2D2BEA8-D81E-4CE1-9D5C-245536E17D1B}" startIndex="0" length="15"/>
    </mentions>
  </threadedComment>
  <threadedComment ref="J14" dT="2025-07-29T18:00:54.24" personId="{1B2CDA8A-CEFC-4136-87C1-B34BF471D2DA}" id="{52D50CD0-61DD-49EC-BC22-B43F110A25C0}">
    <text>@Ekstrom, Ethan  @Lierow, Taylor  @Dina, Eric  how are we feeling on this date if we’re only in Phase 1?</text>
    <mentions>
      <mention mentionpersonId="{056D57C1-81F5-4319-9D83-599A1840E0BE}" mentionId="{30D0C526-249F-43E4-B635-FE9ACBB4051D}" startIndex="0" length="15"/>
      <mention mentionpersonId="{502BF9D0-8DCD-49BB-B66D-0DCEA37B4151}" mentionId="{EC050F2C-E95D-4591-8463-AE79C5FFAD95}" startIndex="17" length="15"/>
      <mention mentionpersonId="{F9D0559D-AD59-4808-8048-C5973E55A36A}" mentionId="{5A00D972-34BF-4A76-97CA-1A45B3886233}" startIndex="34" length="11"/>
    </mentions>
  </threadedComment>
  <threadedComment ref="J14" dT="2025-07-30T14:31:42.83" personId="{B43CBA0C-5DE4-4FB3-8951-794B7F7C4646}" id="{8F5FAD67-B928-4D81-9A87-C9CB89C6D393}" parentId="{52D50CD0-61DD-49EC-BC22-B43F110A25C0}">
    <text>This status was incorrect.  Shactee is currently completing milestone 2 design.  The date looks good.</text>
  </threadedComment>
  <threadedComment ref="X14" dT="2025-05-22T21:52:26.10" personId="{AD1FAA3F-1360-44AB-83DF-B4908D76B23C}" id="{166D4D87-E632-4505-897A-7A4C35AFB138}" done="1">
    <text>@Ekstrom, Ethan are you planning to send this to shactee for drafting? if so update per the new guidance</text>
    <mentions>
      <mention mentionpersonId="{056D57C1-81F5-4319-9D83-599A1840E0BE}" mentionId="{FDF45266-9A2F-4932-AAB5-54ABF9A6A773}" startIndex="0" length="15"/>
    </mentions>
  </threadedComment>
  <threadedComment ref="J15" dT="2025-09-02T22:51:10.26" personId="{1B2CDA8A-CEFC-4136-87C1-B34BF471D2DA}" id="{2946B27B-218A-4FE6-A34C-0FCCA187F807}">
    <text>@LaPorte, Marissa  any update on this? We’ll likely need a date extension soon if not</text>
    <mentions>
      <mention mentionpersonId="{E0C835FB-FC54-490F-842D-70FB64882B80}" mentionId="{801B4CC3-D6D5-4AFA-9B44-F1FC7F7445C8}" startIndex="0" length="17"/>
    </mentions>
  </threadedComment>
  <threadedComment ref="K15" dT="2025-01-21T01:17:40.17" personId="{C292F702-D4C8-427F-8060-CA8E0A11E4F6}" id="{82344792-8B8B-488C-924E-2F094EAE4CE5}">
    <text>@LaPorte, Marissa  did we hear that they didn't accept the cost? Is Nicor continuing to coordinate with them and we're in a holding pattern? Let's make sure to try and push on what we can to see if we can get this closed out</text>
    <mentions>
      <mention mentionpersonId="{E0C835FB-FC54-490F-842D-70FB64882B80}" mentionId="{72B3FFC9-96CE-4A4F-9490-D5F9C06954D6}" startIndex="0" length="17"/>
    </mentions>
  </threadedComment>
  <threadedComment ref="K15" dT="2025-01-22T16:42:00.50" personId="{9E62BE2C-0142-483B-A1E8-957D99ED07D0}" id="{43993B28-12E8-47CF-A1F9-CCC224276F0A}" parentId="{82344792-8B8B-488C-924E-2F094EAE4CE5}">
    <text xml:space="preserve">Nicor is still trying to coordinate with the developer. Spoke with Alec on 1/21, he is looping in Josh to see what Nicor can do about the reimbursement. Once confirmed, he is going to let us know. I will follow up with Alec next week to see if replacement is required no matter what so we can move forward with survey. </text>
  </threadedComment>
  <threadedComment ref="K15" dT="2025-07-15T18:25:51.44" personId="{1B2CDA8A-CEFC-4136-87C1-B34BF471D2DA}" id="{8B95FBCF-EE29-43C7-8B1A-53FCF3065A29}" parentId="{82344792-8B8B-488C-924E-2F094EAE4CE5}">
    <text>Marissa, still no progress on this?</text>
  </threadedComment>
  <threadedComment ref="K15" dT="2025-09-04T13:03:47.56" personId="{1B2CDA8A-CEFC-4136-87C1-B34BF471D2DA}" id="{4712EC0F-7483-4FF3-8073-2BFD4DAB3162}" parentId="{82344792-8B8B-488C-924E-2F094EAE4CE5}">
    <text>@LaPorte, Marissa  please follow up</text>
    <mentions>
      <mention mentionpersonId="{E0C835FB-FC54-490F-842D-70FB64882B80}" mentionId="{8D962109-887C-4BEA-A6FD-B65EF086D9FF}" startIndex="0" length="17"/>
    </mentions>
  </threadedComment>
  <threadedComment ref="T16" dT="2025-09-04T13:22:19.42" personId="{1B2CDA8A-CEFC-4136-87C1-B34BF471D2DA}" id="{1BFA943E-FBF0-42A8-9BBE-AC83CF28C326}">
    <text>@Stanley, Mark   if we got locates, please note the date</text>
    <mentions>
      <mention mentionpersonId="{564B30FC-287F-49EB-AA0A-97AAB2676CF3}" mentionId="{F4C1B0D2-4D30-4A93-829B-0BA6E783AC45}" startIndex="0" length="14"/>
    </mentions>
  </threadedComment>
  <threadedComment ref="X16" dT="2025-07-14T14:42:59.24" personId="{AD1FAA3F-1360-44AB-83DF-B4908D76B23C}" id="{2987BBDB-4862-40E5-8C87-B5C1276D0515}">
    <text>@Stanley, Mark reminder to fill this out once you get an idea of if this will go to shactee</text>
    <mentions>
      <mention mentionpersonId="{564B30FC-287F-49EB-AA0A-97AAB2676CF3}" mentionId="{1509AA01-9D93-47C6-BA04-B27EA7795073}" startIndex="0" length="14"/>
    </mentions>
  </threadedComment>
  <threadedComment ref="X16" dT="2025-08-25T13:22:28.21" personId="{F227819F-94A5-4B9E-BFE1-31C425F558EE}" id="{C03E7373-C08B-4B6B-A769-955F7BE3A6F0}" parentId="{2987BBDB-4862-40E5-8C87-B5C1276D0515}">
    <text xml:space="preserve">This will go to Shactee if it becomes a project. </text>
  </threadedComment>
  <threadedComment ref="AT17" dT="2025-06-16T19:12:46.97" personId="{1B2CDA8A-CEFC-4136-87C1-B34BF471D2DA}" id="{CB738A4E-D53E-45F3-B843-644AF11A69F9}" done="1">
    <text>@Hopkins, Matt  did we hear back?</text>
    <mentions>
      <mention mentionpersonId="{9E19E8B3-7A88-4DEE-A51F-9DD7636E6CDB}" mentionId="{42F62835-9D1F-4887-BA0F-CE8D5FCE0089}" startIndex="0" length="14"/>
    </mentions>
  </threadedComment>
  <threadedComment ref="AT17" dT="2025-06-17T00:23:16.61" personId="{A6785C6D-234D-4BD9-88A0-61CD519244F1}" id="{59E96C16-B6F2-486B-88C3-8F02A6477981}" parentId="{CB738A4E-D53E-45F3-B843-644AF11A69F9}">
    <text>no</text>
  </threadedComment>
  <threadedComment ref="L18" dT="2025-07-29T21:30:57.42" personId="{1B2CDA8A-CEFC-4136-87C1-B34BF471D2DA}" id="{D79F5545-A461-4D75-BDCD-77B244FBC193}">
    <text>@Hopkins, Matt  did we consider getting potholes on the 20” main?</text>
    <mentions>
      <mention mentionpersonId="{9E19E8B3-7A88-4DEE-A51F-9DD7636E6CDB}" mentionId="{1AD10211-1E28-4EC8-A37F-A2A41821139B}" startIndex="0" length="14"/>
    </mentions>
  </threadedComment>
  <threadedComment ref="AT18" dT="2025-06-16T19:12:28.99" personId="{1B2CDA8A-CEFC-4136-87C1-B34BF471D2DA}" id="{4CED3ECA-0E13-4E7D-8BA3-0039CE1DBED1}">
    <text>@Hopkins, Matt  did we hear back?</text>
    <mentions>
      <mention mentionpersonId="{9E19E8B3-7A88-4DEE-A51F-9DD7636E6CDB}" mentionId="{9DF067FF-BB9B-4836-86A5-68EB88D6417C}" startIndex="0" length="14"/>
    </mentions>
  </threadedComment>
  <threadedComment ref="AT18" dT="2025-06-17T00:24:57.58" personId="{A6785C6D-234D-4BD9-88A0-61CD519244F1}" id="{DCE71D05-FC11-4937-951D-41E9917E31C5}" parentId="{4CED3ECA-0E13-4E7D-8BA3-0039CE1DBED1}">
    <text>Nicor environmental requested for the tollway's environmental report before assigning to a consultant, waiting to hear back from the Tollway</text>
  </threadedComment>
  <threadedComment ref="L19" dT="2025-09-08T16:00:39.17" personId="{B43CBA0C-5DE4-4FB3-8951-794B7F7C4646}" id="{CA443455-D561-4890-843A-F1A3364E0271}" done="1">
    <text>@Hopkins, Matt should the 20" TR be 150' or 1,500'?</text>
    <mentions>
      <mention mentionpersonId="{9E19E8B3-7A88-4DEE-A51F-9DD7636E6CDB}" mentionId="{DA152A0D-AD46-4D96-9D9B-06DEF28B3E56}" startIndex="0" length="14"/>
    </mentions>
  </threadedComment>
  <threadedComment ref="L19" dT="2025-09-08T16:12:28.90" personId="{A6785C6D-234D-4BD9-88A0-61CD519244F1}" id="{2CD4FAB2-EB68-462C-A4EC-9951F5B55645}" parentId="{CA443455-D561-4890-843A-F1A3364E0271}">
    <text>150'.  Updated to be 150'</text>
  </threadedComment>
  <threadedComment ref="J20" dT="2025-08-20T18:41:42.56" personId="{1B2CDA8A-CEFC-4136-87C1-B34BF471D2DA}" id="{954E7D57-EDE5-4556-B639-2AAB65337E67}">
    <text>@Hopkins, Matt  are we still pending design based on the potholes? Or are we relocating either way? If we are relocating either way I would delete the pothole comment, but if they come back and design changes we need a date extension</text>
    <mentions>
      <mention mentionpersonId="{9E19E8B3-7A88-4DEE-A51F-9DD7636E6CDB}" mentionId="{326EE9DF-79C2-4D6A-8077-4E93261E0AC3}" startIndex="0" length="14"/>
    </mentions>
  </threadedComment>
  <threadedComment ref="J20" dT="2025-08-20T19:07:43.74" personId="{A6785C6D-234D-4BD9-88A0-61CD519244F1}" id="{2A662E15-FDCB-4F13-A5B2-F69EA413C149}" parentId="{954E7D57-EDE5-4556-B639-2AAB65337E67}">
    <text xml:space="preserve">We are relocating either way, Nicor was comfortable proceeding without pothole confirmation.  I'll remove from the status.  </text>
  </threadedComment>
  <threadedComment ref="J20" dT="2025-09-02T22:49:55.39" personId="{1B2CDA8A-CEFC-4136-87C1-B34BF471D2DA}" id="{C031A62B-9134-40CB-90B7-79DC3FC53C81}" parentId="{954E7D57-EDE5-4556-B639-2AAB65337E67}">
    <text>Do we need a date extension on this? Is the status completely updated? It looks like we are moving on the drawings but are still waiting on something from the developer</text>
  </threadedComment>
  <threadedComment ref="J20" dT="2025-09-03T12:51:32.03" personId="{A6785C6D-234D-4BD9-88A0-61CD519244F1}" id="{E6DF99BD-4DFE-46F2-BA6F-50B6D92EA2E0}" parentId="{954E7D57-EDE5-4556-B639-2AAB65337E67}">
    <text>This WO will just be the cut &amp; caps, I think the 9/22 date is on track.
if the 6" STL needs to be relocated, then Kendra will open a -1 for this project and we will coordinate that relocation under a separate WO.</text>
  </threadedComment>
  <threadedComment ref="L20" dT="2025-09-08T16:00:39.17" personId="{B43CBA0C-5DE4-4FB3-8951-794B7F7C4646}" id="{F0B52450-1F15-44C1-9B4D-572D24182E39}" done="1">
    <text>@Hopkins, Matt should the 20" TR be 150' or 1,500'?</text>
    <mentions>
      <mention mentionpersonId="{9E19E8B3-7A88-4DEE-A51F-9DD7636E6CDB}" mentionId="{315F8E74-D5FB-4044-9712-67EFC8B9CC2C}" startIndex="0" length="14"/>
    </mentions>
  </threadedComment>
  <threadedComment ref="L20" dT="2025-09-08T16:12:28.90" personId="{A6785C6D-234D-4BD9-88A0-61CD519244F1}" id="{F3F31885-B4B7-4DB7-975F-26F05402DD26}" parentId="{F0B52450-1F15-44C1-9B4D-572D24182E39}">
    <text>150'.  Updated to be 150'</text>
  </threadedComment>
  <threadedComment ref="L22" dT="2025-07-29T21:31:34.08" personId="{1B2CDA8A-CEFC-4136-87C1-B34BF471D2DA}" id="{E3026317-EB05-422A-BEED-08268279570B}">
    <text>@Castellon, Randy  did we get potholes on the 4” MOP main? If not, maybe worth discussing with nicor getting those at strategic locations?</text>
    <mentions>
      <mention mentionpersonId="{19AB77A6-6CAB-45F7-B79B-631A6192FCA1}" mentionId="{924AE633-18B3-4EAA-A565-0E441BFA199E}" startIndex="0" length="17"/>
    </mentions>
  </threadedComment>
  <threadedComment ref="L22" dT="2025-08-13T23:59:37.93" personId="{3B2D5CBB-8EEF-4A78-9A0D-33CA3157BEED}" id="{365A1D68-8905-46FC-8958-766F6353D713}" parentId="{E3026317-EB05-422A-BEED-08268279570B}">
    <text>Did not. I can bring it up to nicor.. ill add to the list of items to do</text>
  </threadedComment>
  <threadedComment ref="L22" dT="2025-08-19T19:34:14.09" personId="{3B2D5CBB-8EEF-4A78-9A0D-33CA3157BEED}" id="{607926CD-21DA-4200-8399-B77E3362E009}" parentId="{E3026317-EB05-422A-BEED-08268279570B}">
    <text xml:space="preserve">As of 8/19 - Alec confirmed to wait for pre-final plans as he believe it will msot likely be a relocation and doesnt want to obtain potholes. ill document this. </text>
  </threadedComment>
  <threadedComment ref="K28" dT="2025-08-20T18:43:31.36" personId="{1B2CDA8A-CEFC-4136-87C1-B34BF471D2DA}" id="{C94A47E1-7E6B-4609-A6E6-8239EA876B3C}">
    <text xml:space="preserve">@Castellon, Randy  when was the last time we followed up on the first stage reg? 
Is the drainage update from IDOT holding us up from moving forward? If that’s going to change design we should definitely hit pause? @Dina, Eric </text>
    <mentions>
      <mention mentionpersonId="{19AB77A6-6CAB-45F7-B79B-631A6192FCA1}" mentionId="{33AF51BD-EA9D-4E2E-AAF4-72B938B446DC}" startIndex="0" length="17"/>
      <mention mentionpersonId="{F9D0559D-AD59-4808-8048-C5973E55A36A}" mentionId="{62C6015D-1C74-4CD6-B0BD-7FEA34AFC5FF}" startIndex="216" length="11"/>
    </mentions>
  </threadedComment>
  <threadedComment ref="K28" dT="2025-08-20T19:05:21.42" personId="{3B2D5CBB-8EEF-4A78-9A0D-33CA3157BEED}" id="{59F2BC6E-4F8E-4A61-A239-DA8B2F5EB414}" parentId="{C94A47E1-7E6B-4609-A6E6-8239EA876B3C}">
    <text>From the comments IDOT provided, it was 4 sheets or so that had updated drainage. we hit pause in these areas, but will continue on the others. ill notify nicor still with the design changes soon but thats the update there</text>
  </threadedComment>
  <threadedComment ref="K28" dT="2025-08-20T19:37:26.70" personId="{C292F702-D4C8-427F-8060-CA8E0A11E4F6}" id="{B8F688F4-D7D6-4656-9A9C-0BA601C48EC6}" parentId="{C94A47E1-7E6B-4609-A6E6-8239EA876B3C}">
    <text>I would stay on top of that to verify that isn't changing. Their design changes on woodstock caused a revision of $120k and I want to actively avoid that</text>
  </threadedComment>
  <threadedComment ref="K28" dT="2025-09-04T13:19:27.52" personId="{1B2CDA8A-CEFC-4136-87C1-B34BF471D2DA}" id="{01AB8081-6F0A-4920-BBD2-22596E856B86}" parentId="{C94A47E1-7E6B-4609-A6E6-8239EA876B3C}">
    <text>Are we still waiting on the first stage regulator feedback from nicor? If so, please follow up ASAP on that assuming it isn’t changing from IDOT’s design</text>
  </threadedComment>
  <threadedComment ref="K28" dT="2025-09-04T14:00:22.71" personId="{3B2D5CBB-8EEF-4A78-9A0D-33CA3157BEED}" id="{08A5017A-8E6D-4047-83DF-1E29592C0DDD}" parentId="{C94A47E1-7E6B-4609-A6E6-8239EA876B3C}">
    <text>we are still waiting on first stage feedback. it would not impact design, moreso a tie in method in one area. i followed up again though</text>
  </threadedComment>
  <threadedComment ref="K32" dT="2024-11-18T21:04:11.14" personId="{1B2CDA8A-CEFC-4136-87C1-B34BF471D2DA}" id="{2E7FF39D-6176-4BF9-A659-7A6E6F065410}">
    <text xml:space="preserve">@Lierow, Taylor  @Ekstrom, Ethan we’ve had a couple of revisions lately  where CCDOTH required us to add their traffic signal plans, special provisions, etc. to our drawings, but didn’t tell us during permitting. Worth asking them that if we get into design. See N18056 and N18268
@Dina, Eric </text>
    <mentions>
      <mention mentionpersonId="{502BF9D0-8DCD-49BB-B66D-0DCEA37B4151}" mentionId="{681A8FCB-3AE2-4802-90C0-8D1792B1CC5A}" startIndex="0" length="15"/>
      <mention mentionpersonId="{056D57C1-81F5-4319-9D83-599A1840E0BE}" mentionId="{A3B1868E-F105-4260-92CE-0479E8A7F78F}" startIndex="17" length="15"/>
      <mention mentionpersonId="{F9D0559D-AD59-4808-8048-C5973E55A36A}" mentionId="{88881447-51E9-4CE5-97E3-D1F69C613065}" startIndex="282" length="11"/>
    </mentions>
  </threadedComment>
  <threadedComment ref="K32" dT="2024-11-18T21:24:52.87" personId="{E8EF2CEE-A9C0-4A56-A06B-BC6445822825}" id="{55CE6215-AA2F-4E5A-AA99-6608E31EEC10}" parentId="{2E7FF39D-6176-4BF9-A659-7A6E6F065410}">
    <text>Sounds good, thanks for the heads up</text>
  </threadedComment>
  <threadedComment ref="K32" dT="2025-03-05T23:30:15.00" personId="{C292F702-D4C8-427F-8060-CA8E0A11E4F6}" id="{194C95EB-0D65-470D-B874-9702E1099428}" parentId="{2E7FF39D-6176-4BF9-A659-7A6E6F065410}">
    <text>when did we follow up on these plans, do we know when they're coming in? that date would be a little tight i imagine if we got those soon</text>
  </threadedComment>
  <threadedComment ref="K32" dT="2025-03-06T13:49:54.27" personId="{E8EF2CEE-A9C0-4A56-A06B-BC6445822825}" id="{B0FB2E1E-EFBE-41D4-B618-FB05491EB158}" parentId="{2E7FF39D-6176-4BF9-A659-7A6E6F065410}">
    <text xml:space="preserve">Followed up on Tuesday, they haven't given a date yet but said the plans were submitted to CC for review. We can issue a date extension for this one if they don't send plans within 2 weeks. We will need to do a UCM too, so planning to issue an extension during that coordination as well. </text>
  </threadedComment>
  <threadedComment ref="K32" dT="2025-06-09T14:52:36.19" personId="{1B2CDA8A-CEFC-4136-87C1-B34BF471D2DA}" id="{5D68CA16-AC8A-41F1-8B4A-21A0260EDF31}" parentId="{2E7FF39D-6176-4BF9-A659-7A6E6F065410}">
    <text>Let’s get this updated after the meeting today please</text>
  </threadedComment>
  <threadedComment ref="K32" dT="2025-06-16T18:40:48.47" personId="{1B2CDA8A-CEFC-4136-87C1-B34BF471D2DA}" id="{0E30A043-D30C-48E9-9C1E-E4793A96C6FE}" parentId="{2E7FF39D-6176-4BF9-A659-7A6E6F065410}">
    <text>Have we followed up on both of these requests? Do we know if Nicor wants us to hold up RR for the Cook County review?</text>
  </threadedComment>
  <threadedComment ref="K32" dT="2025-06-16T18:54:29.12" personId="{E8EF2CEE-A9C0-4A56-A06B-BC6445822825}" id="{1DE40BFC-C40A-4999-BBF5-8297B1398540}" parentId="{2E7FF39D-6176-4BF9-A659-7A6E6F065410}">
    <text>Ethan is following up today. Kendra confirmed on holding for the County's review and we discussed sending a realistic date extension to her once we receive comments back from CCDOTH</text>
  </threadedComment>
  <threadedComment ref="K32" dT="2025-07-07T13:47:43.57" personId="{E8EF2CEE-A9C0-4A56-A06B-BC6445822825}" id="{573F8438-6831-44DD-A4E4-E15E0EDA330C}" parentId="{2E7FF39D-6176-4BF9-A659-7A6E6F065410}">
    <text>@Ekstrom, Ethan Can you add ", response anticipated X/X" based on Josel's PTO date</text>
    <mentions>
      <mention mentionpersonId="{056D57C1-81F5-4319-9D83-599A1840E0BE}" mentionId="{910FD9CA-99B0-437D-BEF6-E784EE6A5228}" startIndex="0" length="15"/>
    </mentions>
  </threadedComment>
  <threadedComment ref="K32" dT="2025-09-02T13:41:31.05" personId="{E8EF2CEE-A9C0-4A56-A06B-BC6445822825}" id="{1AC9542C-0AF2-4729-80B0-2CF32986BCC7}" parentId="{2E7FF39D-6176-4BF9-A659-7A6E6F065410}">
    <text>@Ekstrom, Ethan Can you update to note that we are waiting on plans?</text>
    <mentions>
      <mention mentionpersonId="{056D57C1-81F5-4319-9D83-599A1840E0BE}" mentionId="{72A74EA5-4D69-40B4-99BF-6A3895DAC9C1}" startIndex="0" length="15"/>
    </mentions>
  </threadedComment>
  <threadedComment ref="H33" dT="2025-07-29T14:36:22.93" personId="{1B2CDA8A-CEFC-4136-87C1-B34BF471D2DA}" id="{1AEDE774-3060-4A7D-BAEF-EA1C0DB94182}">
    <text>@Lierow, Taylor  @Molloy, Michael  did @Dina, Eric  and I ever get a work plan for this?</text>
    <mentions>
      <mention mentionpersonId="{502BF9D0-8DCD-49BB-B66D-0DCEA37B4151}" mentionId="{C25E9260-28B7-4048-8EF0-3AA548331D69}" startIndex="0" length="15"/>
      <mention mentionpersonId="{B08AFFDC-5CAB-4B56-B5E4-F1319CEC86C1}" mentionId="{72D66D17-59D5-4CD6-9F4F-D54ECDF61123}" startIndex="17" length="16"/>
      <mention mentionpersonId="{F9D0559D-AD59-4808-8048-C5973E55A36A}" mentionId="{2BF5405C-2C8B-4413-B261-DF504BC0F782}" startIndex="39" length="11"/>
    </mentions>
  </threadedComment>
  <threadedComment ref="H33" dT="2025-07-29T14:39:34.40" personId="{E8EF2CEE-A9C0-4A56-A06B-BC6445822825}" id="{DDFA2CEA-B983-4555-96B6-9796DE2F575E}" parentId="{1AEDE774-3060-4A7D-BAEF-EA1C0DB94182}">
    <text>@Betland, Joseph We are still pending a large portion of scope from the UCM. I filled out as much as I could but wasn't going to send a workplan email until it was fully scoped out.</text>
    <mentions>
      <mention mentionpersonId="{E6421D29-A382-450E-BB08-617C1D9F9AED}" mentionId="{F63D3FE0-2B51-4316-9C28-0B2DB75D2274}" startIndex="0" length="16"/>
    </mentions>
  </threadedComment>
  <threadedComment ref="H33" dT="2025-07-29T14:47:18.41" personId="{C292F702-D4C8-427F-8060-CA8E0A11E4F6}" id="{62564966-905B-41DB-8960-081538B76544}" parentId="{1AEDE774-3060-4A7D-BAEF-EA1C0DB94182}">
    <text>got it, thanks!</text>
  </threadedComment>
  <threadedComment ref="K33" dT="2025-08-12T21:43:47.34" personId="{1B2CDA8A-CEFC-4136-87C1-B34BF471D2DA}" id="{369A29E9-F4D8-44D9-8B11-3CA374AD2C78}" done="1">
    <text>@Molloy, Michael  @Lierow, Taylor  might be worth discussing this one soon just so I’m aware of how it’s going. Do we need to have Chip/karey follow up with the DOT on this if it’s been almost a month?</text>
    <mentions>
      <mention mentionpersonId="{B08AFFDC-5CAB-4B56-B5E4-F1319CEC86C1}" mentionId="{490C6367-73C7-4AC4-B7E4-6C483C4FFF89}" startIndex="0" length="16"/>
      <mention mentionpersonId="{502BF9D0-8DCD-49BB-B66D-0DCEA37B4151}" mentionId="{401A0074-0561-483F-80F7-9152A415C08A}" startIndex="18" length="15"/>
    </mentions>
  </threadedComment>
  <threadedComment ref="K33" dT="2025-08-13T12:59:06.28" personId="{E8EF2CEE-A9C0-4A56-A06B-BC6445822825}" id="{A408E19F-833E-4BE7-B663-ED5F127ED9A5}" parentId="{369A29E9-F4D8-44D9-8B11-3CA374AD2C78}">
    <text>We can discuss soon if you would like. We discussed a path forward with Eric on Friday and are going to run some vibration calculations this week to figure out where we need to put the gas main. Then going to schedule a meeting with Land once we have an idea of how far we need to be from the bridge</text>
  </threadedComment>
  <threadedComment ref="L33" dT="2025-07-29T21:32:21.72" personId="{1B2CDA8A-CEFC-4136-87C1-B34BF471D2DA}" id="{EDB2FA85-FBE7-46DB-999A-A04FBE12E580}">
    <text>@Lierow, Taylor  @Molloy, Michael  seems like this could be a good candidate for potholes, survey, maybe geotech (railroad crossings or other?) Have we brought any of those up to Nicor?</text>
    <mentions>
      <mention mentionpersonId="{502BF9D0-8DCD-49BB-B66D-0DCEA37B4151}" mentionId="{C6F3609C-7738-47CC-BC6D-43DB81871224}" startIndex="0" length="15"/>
      <mention mentionpersonId="{B08AFFDC-5CAB-4B56-B5E4-F1319CEC86C1}" mentionId="{0B0DBF32-C009-4128-A139-EF60AF184BA7}" startIndex="17" length="16"/>
    </mentions>
  </threadedComment>
  <threadedComment ref="AH33" dT="2025-08-11T16:10:24.68" personId="{E8EF2CEE-A9C0-4A56-A06B-BC6445822825}" id="{8D4155FA-BBB6-468C-A204-6B16DED1A8E8}">
    <text>@Molloy, Michael Let's try and finalize this tomorrow since we have full scope nailed down</text>
    <mentions>
      <mention mentionpersonId="{B08AFFDC-5CAB-4B56-B5E4-F1319CEC86C1}" mentionId="{29432947-AEF7-4968-941D-548D790C4494}" startIndex="0" length="16"/>
    </mentions>
  </threadedComment>
  <threadedComment ref="AT33" dT="2025-06-16T19:12:35.67" personId="{1B2CDA8A-CEFC-4136-87C1-B34BF471D2DA}" id="{70C01959-0BA5-4EDD-A816-8857C01A27D3}">
    <text>@Lierow, Taylor  did we hear back?</text>
    <mentions>
      <mention mentionpersonId="{502BF9D0-8DCD-49BB-B66D-0DCEA37B4151}" mentionId="{25AEF725-BF00-4CEA-B675-825F56D6C299}" startIndex="0" length="15"/>
    </mentions>
  </threadedComment>
  <threadedComment ref="AT33" dT="2025-06-16T22:36:42.00" personId="{E8EF2CEE-A9C0-4A56-A06B-BC6445822825}" id="{1990C775-6025-4635-8596-9C4D1AC00E7A}" parentId="{70C01959-0BA5-4EDD-A816-8857C01A27D3}">
    <text>Still waiting, assuming its far down in the queue since its not a rush</text>
  </threadedComment>
  <threadedComment ref="AX33" dT="2025-09-17T13:38:59.98" personId="{E8EF2CEE-A9C0-4A56-A06B-BC6445822825}" id="{2A95859F-56F7-4194-94D3-FB166925CD0B}" done="1">
    <text>@Molloy, Michael Can you update this to the date sent?</text>
    <mentions>
      <mention mentionpersonId="{B08AFFDC-5CAB-4B56-B5E4-F1319CEC86C1}" mentionId="{B280C048-FCF7-4C91-82B8-854FA560F420}" startIndex="0" length="16"/>
    </mentions>
  </threadedComment>
</ThreadedComments>
</file>

<file path=xl/threadedComments/threadedComment7.xml><?xml version="1.0" encoding="utf-8"?>
<ThreadedComments xmlns="http://schemas.microsoft.com/office/spreadsheetml/2018/threadedcomments" xmlns:x="http://schemas.openxmlformats.org/spreadsheetml/2006/main">
  <threadedComment ref="A1" dT="2025-09-09T14:01:03.36" personId="{1B2CDA8A-CEFC-4136-87C1-B34BF471D2DA}" id="{7A1B7C39-9B6E-4C45-BAEF-00FBFB0387A1}">
    <text>@Michaels, Nick  @Dina, Eric  @Purtell, Tim  @LaPorte, Marissa  please verify that sheet is updated and update date</text>
    <mentions>
      <mention mentionpersonId="{B4D9CDF8-D824-45AC-9EAC-9C126A267B65}" mentionId="{20EA9B76-29C3-4D47-8598-940EEA8FB985}" startIndex="0" length="15"/>
      <mention mentionpersonId="{F9D0559D-AD59-4808-8048-C5973E55A36A}" mentionId="{A66C3050-677C-4B27-B4B2-4FECF9F5073C}" startIndex="17" length="11"/>
      <mention mentionpersonId="{04BCACC7-04FA-4A9D-9DCE-8E3808E45E3D}" mentionId="{87D9D929-6E06-4AE9-86AF-A50F7DCD39D5}" startIndex="30" length="13"/>
      <mention mentionpersonId="{E0C835FB-FC54-490F-842D-70FB64882B80}" mentionId="{E9D395F9-5D8C-4361-9646-AD9666007D5D}" startIndex="45" length="17"/>
    </mentions>
  </threadedComment>
  <threadedComment ref="S1" dT="2025-09-17T18:40:12.06" personId="{C292F702-D4C8-427F-8060-CA8E0A11E4F6}" id="{14074C30-1195-49EE-B5EA-B1B6D8C6A75C}">
    <text>@Rojas, Taylor  please update column S</text>
    <mentions>
      <mention mentionpersonId="{FA85CEED-3E1F-4D20-BCFE-4E7CBFAF58D2}" mentionId="{869BF8FC-1167-4D0B-B075-58966D69113B}" startIndex="0" length="14"/>
    </mentions>
  </threadedComment>
  <threadedComment ref="S1" dT="2025-09-17T20:03:28.21" personId="{B5DF8ED5-EB95-4808-A331-670F711A1DDE}" id="{96321794-0052-4CD8-8110-4ED3796FAA6F}" parentId="{14074C30-1195-49EE-B5EA-B1B6D8C6A75C}">
    <text>@Betland, Joseph updated</text>
    <mentions>
      <mention mentionpersonId="{E6421D29-A382-450E-BB08-617C1D9F9AED}" mentionId="{EB683B9A-E2B1-4783-B600-826A6789831E}" startIndex="0" length="16"/>
    </mentions>
  </threadedComment>
  <threadedComment ref="S1" dT="2025-09-17T23:57:36.95" personId="{1668D55C-847B-4D60-AC54-ECFA1E4C3366}" id="{F98A0D8D-04C1-492A-9A40-7E214655301A}" parentId="{14074C30-1195-49EE-B5EA-B1B6D8C6A75C}">
    <text xml:space="preserve">@Rojas, Taylor there were a couple missed I think because the KH project number had a space so when using a formula it would not show up. I updated it. Let me know if you have any questions. </text>
    <mentions>
      <mention mentionpersonId="{FA85CEED-3E1F-4D20-BCFE-4E7CBFAF58D2}" mentionId="{489A92A4-028E-43D3-9DF5-2FE2D099BDE4}" startIndex="0" length="14"/>
    </mentions>
  </threadedComment>
  <threadedComment ref="R2" dT="2025-01-21T21:40:46.70" personId="{C292F702-D4C8-427F-8060-CA8E0A11E4F6}" id="{4C326C5F-F26F-495D-AD57-18EA025352CE}">
    <text xml:space="preserve">@Castellon, Randy  @Dina, Eric  @Michaels, Nick  @Purtell, Tim  I added these two columns for our monthly writeups. I'm intending on having the PRoject Leads update both of these so that we can review/pull this information every month. </text>
    <mentions>
      <mention mentionpersonId="{19AB77A6-6CAB-45F7-B79B-631A6192FCA1}" mentionId="{B1F1D814-F236-4C07-9B6D-50E2F7F8DE16}" startIndex="0" length="17"/>
      <mention mentionpersonId="{F9D0559D-AD59-4808-8048-C5973E55A36A}" mentionId="{255FC413-6FB2-4144-8FB2-FDCF47A4BD3D}" startIndex="19" length="11"/>
      <mention mentionpersonId="{B4D9CDF8-D824-45AC-9EAC-9C126A267B65}" mentionId="{4ABD61A9-A76A-4929-A494-54ED659C64FA}" startIndex="32" length="15"/>
      <mention mentionpersonId="{04BCACC7-04FA-4A9D-9DCE-8E3808E45E3D}" mentionId="{67E49B92-F705-411C-8257-A74A6DE0A9B2}" startIndex="49" length="13"/>
    </mentions>
  </threadedComment>
  <threadedComment ref="S2" dT="2025-06-05T16:30:38.66" personId="{1B2CDA8A-CEFC-4136-87C1-B34BF471D2DA}" id="{D65AB752-27B0-4BD4-8DCD-DCEE75EC2FDC}">
    <text>@Bruce, Logan  @Rojas, Taylor  could I ask that ya’ll update this column for our tasks, twice a month when PM App and MM opens? And update the date at the top</text>
    <mentions>
      <mention mentionpersonId="{73D9EF92-8C85-4A0A-9961-617D8678EEFB}" mentionId="{6E93A3E2-6BEB-44E8-81E0-AC0B18987474}" startIndex="0" length="13"/>
      <mention mentionpersonId="{FA85CEED-3E1F-4D20-BCFE-4E7CBFAF58D2}" mentionId="{17EAE9C6-47C1-4CAF-B0F3-CB8D64478342}" startIndex="15" length="14"/>
    </mentions>
  </threadedComment>
  <threadedComment ref="S2" dT="2025-06-09T22:13:22.86" personId="{1B2CDA8A-CEFC-4136-87C1-B34BF471D2DA}" id="{811DF0FB-A0C0-4DFB-93FF-241D835003C5}" parentId="{D65AB752-27B0-4BD4-8DCD-DCEE75EC2FDC}">
    <text>Could you update the date at the top (row 1) so that I know when it’s been updated? Thanks!</text>
  </threadedComment>
  <threadedComment ref="S2" dT="2025-06-16T19:29:39.19" personId="{1B2CDA8A-CEFC-4136-87C1-B34BF471D2DA}" id="{7159A133-C142-4520-BF6E-50E43A2AF6C7}" parentId="{D65AB752-27B0-4BD4-8DCD-DCEE75EC2FDC}">
    <text>Just a reminder to please help us update these today (or when PM App comes out) and then update the date at the top. Thanks!</text>
  </threadedComment>
  <threadedComment ref="S2" dT="2025-06-17T17:14:44.11" personId="{1668D55C-847B-4D60-AC54-ECFA1E4C3366}" id="{0C27CB03-BDAB-4C07-BF73-2856A3DBF144}" parentId="{D65AB752-27B0-4BD4-8DCD-DCEE75EC2FDC}">
    <text>updated</text>
  </threadedComment>
  <threadedComment ref="S2" dT="2025-06-19T00:11:21.59" personId="{C292F702-D4C8-427F-8060-CA8E0A11E4F6}" id="{D75EA5B4-07C5-464A-AD56-B45E5EF3631A}" parentId="{D65AB752-27B0-4BD4-8DCD-DCEE75EC2FDC}">
    <text xml:space="preserve">Thanks Logan - if you'd be able to pudate the date in cell S1 that would be great as well. i updated </text>
  </threadedComment>
  <threadedComment ref="S2" dT="2025-07-07T17:22:22.17" personId="{1B2CDA8A-CEFC-4136-87C1-B34BF471D2DA}" id="{DE6A82CD-3EA9-417E-97C6-A39F9C44EBA5}" parentId="{D65AB752-27B0-4BD4-8DCD-DCEE75EC2FDC}">
    <text>@Bruce, Logan  @Rojas, Taylor  were these numbers updated with the last PM App cycle? The date above implies it was updated just during last mid month</text>
    <mentions>
      <mention mentionpersonId="{73D9EF92-8C85-4A0A-9961-617D8678EEFB}" mentionId="{D7FF2819-F983-4A1D-8C8B-A0CD3A5B32F4}" startIndex="0" length="13"/>
      <mention mentionpersonId="{FA85CEED-3E1F-4D20-BCFE-4E7CBFAF58D2}" mentionId="{5C331563-3E03-4BE7-8ECE-72ACCAD943AB}" startIndex="15" length="14"/>
    </mentions>
  </threadedComment>
  <threadedComment ref="S2" dT="2025-07-07T17:58:23.06" personId="{1668D55C-847B-4D60-AC54-ECFA1E4C3366}" id="{66224FA2-0953-4AB4-BD9B-AFC9F9DB248A}" parentId="{D65AB752-27B0-4BD4-8DCD-DCEE75EC2FDC}">
    <text xml:space="preserve">Updated. </text>
  </threadedComment>
  <threadedComment ref="U2" dT="2025-06-23T16:11:56.17" personId="{1B2CDA8A-CEFC-4136-87C1-B34BF471D2DA}" id="{7F5317D0-7BBF-47C0-B2BB-096999AC3542}">
    <text>@Castellon, Randy  I colored cells red in this column that I’m confused about - I don’t think we reported these to Nicor yet? If so, when?</text>
    <mentions>
      <mention mentionpersonId="{19AB77A6-6CAB-45F7-B79B-631A6192FCA1}" mentionId="{1057F8CD-F43B-42B8-9B6B-3D9A1084D53A}" startIndex="0" length="17"/>
    </mentions>
  </threadedComment>
  <threadedComment ref="U2" dT="2025-06-25T14:02:45.95" personId="{3B2D5CBB-8EEF-4A78-9A0D-33CA3157BEED}" id="{C5756978-0B28-426C-88B6-E501B7849315}" parentId="{7F5317D0-7BBF-47C0-B2BB-096999AC3542}">
    <text xml:space="preserve">@Betland, Joseph I went through the effort reported and double checked what was reported and what wasnt. On the "Month Reported to Nicor" Tab, i made comments on each one if: 
1. when it was reported
2. If it needs to be on the next cycle
3. if at the date i reviewed it, its at 10k or below, it doesn't need to be reported. 
Let me know if you want to make updates to that. </text>
    <mentions>
      <mention mentionpersonId="{E6421D29-A382-450E-BB08-617C1D9F9AED}" mentionId="{52344ABF-27EE-4415-8827-C7A1548AF6A7}" startIndex="0" length="16"/>
    </mentions>
  </threadedComment>
  <threadedComment ref="V2" dT="2025-06-05T14:04:54.54" personId="{1B2CDA8A-CEFC-4136-87C1-B34BF471D2DA}" id="{592903CF-80E9-461D-99E5-61CC8B817ED6}">
    <text>@Castellon, Randy  can you update this column to be the month that we communicated these tasks to Nicor (if we did)? And update column S to the amount that was communicated?</text>
    <mentions>
      <mention mentionpersonId="{19AB77A6-6CAB-45F7-B79B-631A6192FCA1}" mentionId="{61116B1E-8B3A-4105-9584-5D1DC42B2C7F}" startIndex="0" length="17"/>
    </mentions>
  </threadedComment>
  <threadedComment ref="V2" dT="2025-06-16T19:30:41.32" personId="{1B2CDA8A-CEFC-4136-87C1-B34BF471D2DA}" id="{7CC9FC55-5266-42E7-A0DF-FEBC8E6EF444}" parentId="{592903CF-80E9-461D-99E5-61CC8B817ED6}">
    <text>Can we make a note to make these consistent? Thinking either the date, TBD, and N/A probably make the most sense?</text>
  </threadedComment>
  <threadedComment ref="K3" dT="2025-06-09T17:40:16.17" personId="{1B2CDA8A-CEFC-4136-87C1-B34BF471D2DA}" id="{E0D0EF7F-F941-4618-9D31-FD19EFCC7C43}">
    <text>@Roman, Madeline  is there any status update on this that we could update the action item? Any follow ups that we’ve had that we could note?</text>
    <mentions>
      <mention mentionpersonId="{F82BB64F-7F44-410E-9AB8-C627433A244F}" mentionId="{309FD137-7EA0-4E6B-BE98-3D7A723189AE}" startIndex="0" length="16"/>
    </mentions>
  </threadedComment>
  <threadedComment ref="K3" dT="2025-06-09T17:47:35.14" personId="{923A6378-7149-496A-9AA9-5877E99B04E1}" id="{993BDDD9-CF99-4ACA-9A6F-797F5A2A57E3}" parentId="{E0D0EF7F-F941-4618-9D31-FD19EFCC7C43}">
    <text>Nicor is coordinating curb and gutter comment with CCDOTH (sent 5/6, f/u 6/5). 
This one pending the same question as one from Camille's Elk Grove NBA, so we are waiting on an answer from Nicor communication with CCDOT still</text>
  </threadedComment>
  <threadedComment ref="K3" dT="2025-09-04T13:43:50.27" personId="{EB756D3C-0333-4781-801C-F36FB858F0FD}" id="{84DE37C8-9D99-4C42-A80B-435D37C240C5}" parentId="{E0D0EF7F-F941-4618-9D31-FD19EFCC7C43}">
    <text>@Roman, Madeline - can we please move on this project now that we have direction from chip?</text>
    <mentions>
      <mention mentionpersonId="{F82BB64F-7F44-410E-9AB8-C627433A244F}" mentionId="{2A7B1DCB-03F7-4191-AAE4-3C0C45529BCB}" startIndex="0" length="16"/>
    </mentions>
  </threadedComment>
  <threadedComment ref="K3" dT="2025-09-04T13:47:25.74" personId="{923A6378-7149-496A-9AA9-5877E99B04E1}" id="{DCEE4C36-EEA4-47B2-A284-003FB187412D}" parentId="{E0D0EF7F-F941-4618-9D31-FD19EFCC7C43}">
    <text>Yes, I plan to schedule these out on someone next week</text>
  </threadedComment>
  <threadedComment ref="R4" dT="2025-09-03T18:55:11.40" personId="{3B2D5CBB-8EEF-4A78-9A0D-33CA3157BEED}" id="{C49550F1-6407-415C-9AD2-651E76C97F2E}" done="1">
    <text>@LaPorte, Marissa update this to just the revision items</text>
    <mentions>
      <mention mentionpersonId="{E0C835FB-FC54-490F-842D-70FB64882B80}" mentionId="{04BE4B12-0626-4971-BECE-9D66A6E37E78}" startIndex="0" length="17"/>
    </mentions>
  </threadedComment>
  <threadedComment ref="T4" dT="2025-08-28T15:36:14.46" personId="{3B2D5CBB-8EEF-4A78-9A0D-33CA3157BEED}" id="{32EC15BA-7597-447E-BAF8-B509391BDBAA}">
    <text>marking as N/A, looks to be tracking but same as workplan of 16,435</text>
  </threadedComment>
  <threadedComment ref="T4" dT="2025-09-03T19:43:54.24" personId="{9E62BE2C-0142-483B-A1E8-957D99ED07D0}" id="{608297D5-0712-43F7-BFA4-42385A403741}" parentId="{32EC15BA-7597-447E-BAF8-B509391BDBAA}">
    <text xml:space="preserve">Will WALT TMP time from .842 task once new task number is open </text>
  </threadedComment>
  <threadedComment ref="V4" dT="2025-09-16T14:53:48.49" personId="{3B2D5CBB-8EEF-4A78-9A0D-33CA3157BEED}" id="{CF719FDE-8143-437D-B7C2-46471F2A7DF8}">
    <text>Duplicate, included on other COR1060</text>
  </threadedComment>
  <threadedComment ref="K5" dT="2025-08-27T15:05:18.23" personId="{EB756D3C-0333-4781-801C-F36FB858F0FD}" id="{FE3DEE8D-C549-4EF4-B1F3-943C9893B7F9}" done="1">
    <text>@LaPorte, Marissa  is this a custom MOT or like a separate traffic exhibit? If so we should split that into its own task. Shoot me an IM on this.</text>
    <mentions>
      <mention mentionpersonId="{E0C835FB-FC54-490F-842D-70FB64882B80}" mentionId="{ACCF8E74-8CCC-463F-85EB-D74930611154}" startIndex="0" length="17"/>
    </mentions>
  </threadedComment>
  <threadedComment ref="K5" dT="2025-09-03T15:05:02.44" personId="{1B2CDA8A-CEFC-4136-87C1-B34BF471D2DA}" id="{C6EA7B93-690E-4856-9D69-61AA4D0734EE}" parentId="{FE3DEE8D-C549-4EF4-B1F3-943C9893B7F9}">
    <text>@LaPorte, Marissa  @Castellon, Randy  FYI, not going to report on this in my monthly email as this is getting split out into separate tasks. Once split out please verify that work plans are created and new writeups are done</text>
    <mentions>
      <mention mentionpersonId="{E0C835FB-FC54-490F-842D-70FB64882B80}" mentionId="{C1358CF9-5B76-4F70-A8E7-9F61B765F1A3}" startIndex="0" length="17"/>
      <mention mentionpersonId="{19AB77A6-6CAB-45F7-B79B-631A6192FCA1}" mentionId="{0CD80533-708B-4D1D-B781-B5C23E47B4CF}" startIndex="19" length="17"/>
    </mentions>
  </threadedComment>
  <threadedComment ref="R5" dT="2025-08-26T18:33:04.31" personId="{3B2D5CBB-8EEF-4A78-9A0D-33CA3157BEED}" id="{8536491F-B6A4-4796-9343-EC4F801DDDF5}" done="1">
    <text>@LaPorte, Marissa Please create a wirteup for this project ASAP since the amount went from 4k to 16k</text>
    <mentions>
      <mention mentionpersonId="{E0C835FB-FC54-490F-842D-70FB64882B80}" mentionId="{7DFBE7FC-8A33-4173-88A3-85C8C1041A1E}" startIndex="0" length="17"/>
    </mentions>
  </threadedComment>
  <threadedComment ref="R5" dT="2025-09-03T18:54:45.80" personId="{3B2D5CBB-8EEF-4A78-9A0D-33CA3157BEED}" id="{40B1626B-F73E-41C8-B88B-90FE400169A9}" parentId="{8536491F-B6A4-4796-9343-EC4F801DDDF5}">
    <text>@LaPorte, Marissa  update this for just the MOT plan SOW</text>
    <mentions>
      <mention mentionpersonId="{E0C835FB-FC54-490F-842D-70FB64882B80}" mentionId="{2B054C36-C772-4E94-A9B4-DF8D0BF2E78B}" startIndex="0" length="17"/>
    </mentions>
  </threadedComment>
  <threadedComment ref="S5" dT="2025-09-03T19:59:22.10" personId="{9E62BE2C-0142-483B-A1E8-957D99ED07D0}" id="{59CE767B-DE49-43CD-9DD7-F1F25BBBEF27}" done="1">
    <text xml:space="preserve">Effort to be split between two tasks </text>
  </threadedComment>
  <threadedComment ref="S5" dT="2025-09-04T14:51:12.53" personId="{1B2CDA8A-CEFC-4136-87C1-B34BF471D2DA}" id="{568E6B2E-E2D6-486C-9C59-8E24AFE66D1A}" parentId="{59CE767B-DE49-43CD-9DD7-F1F25BBBEF27}">
    <text>I see our work plan was at 7250 - is this effort going to be halved? How much effort is left to finish the task? We are behind on the work plan</text>
  </threadedComment>
  <threadedComment ref="S5" dT="2025-09-04T15:11:29.65" personId="{9E62BE2C-0142-483B-A1E8-957D99ED07D0}" id="{89C09E62-D62B-4420-A727-3A9FEFCC1F9D}" parentId="{59CE767B-DE49-43CD-9DD7-F1F25BBBEF27}">
    <text xml:space="preserve">@Betland, Joseph WALTing ~$5k of this task to the revision task above. Work plan of ~10k is based off of breakdown of effort we received from roadway.  </text>
    <mentions>
      <mention mentionpersonId="{E6421D29-A382-450E-BB08-617C1D9F9AED}" mentionId="{5502492F-B773-4BE8-94BC-FBDC707B8262}" startIndex="0" length="16"/>
    </mentions>
  </threadedComment>
  <threadedComment ref="S5" dT="2025-09-04T15:15:30.68" personId="{C292F702-D4C8-427F-8060-CA8E0A11E4F6}" id="{0381F262-EB98-4111-91B8-E02D799C7E6D}" parentId="{59CE767B-DE49-43CD-9DD7-F1F25BBBEF27}">
    <text>OK, can you send the work plan to myself or nick m for review?</text>
  </threadedComment>
  <threadedComment ref="T5" dT="2025-06-17T17:53:35.28" personId="{3B2D5CBB-8EEF-4A78-9A0D-33CA3157BEED}" id="{CF0DB2B6-30DB-4EFE-9563-0F3E600F38DC}" done="1">
    <text xml:space="preserve">@LaPorte, Marissa if you already created a workplan, please put anticipated amount in here. </text>
    <mentions>
      <mention mentionpersonId="{E0C835FB-FC54-490F-842D-70FB64882B80}" mentionId="{5ED293E3-8BFC-478C-BC02-BA8DDAEAD6BE}" startIndex="0" length="17"/>
    </mentions>
  </threadedComment>
  <threadedComment ref="T5" dT="2025-07-16T18:01:27.78" personId="{3BA37BBC-10FC-4BDA-B888-29DE350DF251}" id="{F20201C1-9F55-48C4-9E8A-9CE3F334ABEF}" parentId="{CF0DB2B6-30DB-4EFE-9563-0F3E600F38DC}">
    <text>@LaPorte, Marissa Once we receive direction from Nicor to complete the TMP let's add this monthly write up and update the WP</text>
    <mentions>
      <mention mentionpersonId="{E0C835FB-FC54-490F-842D-70FB64882B80}" mentionId="{D0EF0860-BAEC-4993-9D0E-DC32C3B0F803}" startIndex="0" length="17"/>
    </mentions>
  </threadedComment>
  <threadedComment ref="T5" dT="2025-09-03T14:20:29.02" personId="{1B2CDA8A-CEFC-4136-87C1-B34BF471D2DA}" id="{4C872E67-5546-443F-849B-BA08F788B01E}" parentId="{CF0DB2B6-30DB-4EFE-9563-0F3E600F38DC}">
    <text>@LaPorte, Marissa  I see we’ve gone over the work plan amount on this - is it almost released?</text>
    <mentions>
      <mention mentionpersonId="{E0C835FB-FC54-490F-842D-70FB64882B80}" mentionId="{3532A06F-68A4-4A28-B2D8-A2B9574B9F50}" startIndex="0" length="17"/>
    </mentions>
  </threadedComment>
  <threadedComment ref="T5" dT="2025-09-04T15:12:32.02" personId="{9E62BE2C-0142-483B-A1E8-957D99ED07D0}" id="{9E31DC55-C513-4BF7-8692-2771A60832BF}" parentId="{CF0DB2B6-30DB-4EFE-9563-0F3E600F38DC}">
    <text xml:space="preserve">@Betland, Joseph roadway is finalizing MOT/TMP this week. Pending contact information from nicor and then can be released </text>
    <mentions>
      <mention mentionpersonId="{E6421D29-A382-450E-BB08-617C1D9F9AED}" mentionId="{75F71A08-D147-4683-B2CD-3371545873BA}" startIndex="0" length="16"/>
    </mentions>
  </threadedComment>
  <threadedComment ref="T5" dT="2025-09-05T14:40:23.74" personId="{3B2D5CBB-8EEF-4A78-9A0D-33CA3157BEED}" id="{4E3529E8-6D73-4A0D-85A6-CD22435DA82E}" parentId="{CF0DB2B6-30DB-4EFE-9563-0F3E600F38DC}">
    <text xml:space="preserve">@LaPorte, Marissa please provide revised workplan ASAP. Workplan is underbudgeted for current effort shown. </text>
    <mentions>
      <mention mentionpersonId="{E0C835FB-FC54-490F-842D-70FB64882B80}" mentionId="{B13FD0FE-EADE-48E3-AAF0-BB3D5E9F52B8}" startIndex="0" length="17"/>
    </mentions>
  </threadedComment>
  <threadedComment ref="V6" dT="2025-09-16T14:54:33.46" personId="{3B2D5CBB-8EEF-4A78-9A0D-33CA3157BEED}" id="{0009715C-58BD-4481-9EFB-2398FC8ED64F}">
    <text>As of 9/16, showing as N/A due to WP amount of $7080</text>
  </threadedComment>
  <threadedComment ref="T7" dT="2025-08-20T21:11:24.31" personId="{1B2CDA8A-CEFC-4136-87C1-B34BF471D2DA}" id="{0DAA7E3B-2DDA-4578-9B47-5AB53C128EE5}">
    <text>@Stanley, Mark  @Michaels, Nick  we’ve gone over the work plan and it’s not released yet - did this change scope? What’s the reasoning here?</text>
    <mentions>
      <mention mentionpersonId="{564B30FC-287F-49EB-AA0A-97AAB2676CF3}" mentionId="{1E39B132-E235-4B58-AC75-E989909E1F91}" startIndex="0" length="14"/>
      <mention mentionpersonId="{B4D9CDF8-D824-45AC-9EAC-9C126A267B65}" mentionId="{61D9E549-0F1E-444D-AF15-5753B0E019F3}" startIndex="16" length="15"/>
    </mentions>
  </threadedComment>
  <threadedComment ref="T7" dT="2025-08-21T14:24:22.57" personId="{F227819F-94A5-4B9E-BFE1-31C425F558EE}" id="{0E30A5B6-110C-4FB3-9BB9-438E1AA26A4D}" parentId="{0DAA7E3B-2DDA-4578-9B47-5AB53C128EE5}">
    <text xml:space="preserve">@Betland, Joseph We have been pending a response from Chip on one of the items that Elgin is asking for in their revision review. Once we have his confirmation on either showing the extended restoration area or not, we can get a final QC on this and get it released.
</text>
    <mentions>
      <mention mentionpersonId="{E6421D29-A382-450E-BB08-617C1D9F9AED}" mentionId="{BC31EF3C-16E3-49B5-A55E-CE0D181CB23F}" startIndex="0" length="16"/>
    </mentions>
  </threadedComment>
  <threadedComment ref="T7" dT="2025-08-21T14:33:41.25" personId="{C292F702-D4C8-427F-8060-CA8E0A11E4F6}" id="{C7B002C1-197F-4837-B82B-8A57B08A2D12}" parentId="{0DAA7E3B-2DDA-4578-9B47-5AB53C128EE5}">
    <text>thanks for the update - let's just make sure that we are continuing to push to get this closed out, even if it feels like we're bothering nicor</text>
  </threadedComment>
  <threadedComment ref="T7" dT="2025-09-03T14:19:58.11" personId="{1B2CDA8A-CEFC-4136-87C1-B34BF471D2DA}" id="{C518B7D0-E17C-4D07-A973-4D8BB8B0E614}" parentId="{0DAA7E3B-2DDA-4578-9B47-5AB53C128EE5}">
    <text>Any update on this? Have we been following up, asking Karey to follow up, etc? Please let Taylor know what we’re waiting on prior to the next redline meeting so that we can bring this up as necessary</text>
  </threadedComment>
  <threadedComment ref="T7" dT="2025-09-03T17:26:25.66" personId="{F227819F-94A5-4B9E-BFE1-31C425F558EE}" id="{2DEEF31E-D2A2-4441-B980-6D611D3ACAFE}" parentId="{0DAA7E3B-2DDA-4578-9B47-5AB53C128EE5}">
    <text>Pushed another update out. Also updated the language in the writeup and revision reason to clarify that they are asking for standard MOT details, not a custom traffic plan.</text>
  </threadedComment>
  <threadedComment ref="T7" dT="2025-09-16T14:26:51.51" personId="{3B2D5CBB-8EEF-4A78-9A0D-33CA3157BEED}" id="{424024F5-B02A-45B6-808F-5E21B9BA565F}" parentId="{0DAA7E3B-2DDA-4578-9B47-5AB53C128EE5}">
    <text xml:space="preserve">@Stanley, Mark looks like we are over our workplan. What do you anticipate the new workplan being? Do you think a revised workplan is needed? </text>
    <mentions>
      <mention mentionpersonId="{564B30FC-287F-49EB-AA0A-97AAB2676CF3}" mentionId="{0312026B-D792-4962-849C-9C2385611DDD}" startIndex="0" length="14"/>
    </mentions>
  </threadedComment>
  <threadedComment ref="T7" dT="2025-09-16T16:54:46.64" personId="{F227819F-94A5-4B9E-BFE1-31C425F558EE}" id="{EB5A8D64-9A32-4723-9ECA-F029D78BC2DC}" parentId="{0DAA7E3B-2DDA-4578-9B47-5AB53C128EE5}">
    <text xml:space="preserve">Updated. Still pending a response from Nicor on the restoration issue. </text>
  </threadedComment>
  <threadedComment ref="O8" dT="2025-08-27T15:07:37.09" personId="{EB756D3C-0333-4781-801C-F36FB858F0FD}" id="{566F2B3C-294C-4A12-94D8-D06C4C455586}">
    <text>@Lierow, Taylor - can we update?</text>
    <mentions>
      <mention mentionpersonId="{502BF9D0-8DCD-49BB-B66D-0DCEA37B4151}" mentionId="{53D92F9C-4555-4723-B4BB-0B011462E068}" startIndex="0" length="15"/>
    </mentions>
  </threadedComment>
  <threadedComment ref="T8" dT="2025-08-20T21:12:35.02" personId="{1B2CDA8A-CEFC-4136-87C1-B34BF471D2DA}" id="{4EF814C6-D1F6-451B-812E-906A00240A43}">
    <text>@Lierow, Taylor  please provide work plan to @Michaels, Nick  when this is ready and enter here</text>
    <mentions>
      <mention mentionpersonId="{502BF9D0-8DCD-49BB-B66D-0DCEA37B4151}" mentionId="{8CACB37D-7D8B-4FA4-B942-57BF09B12CDE}" startIndex="0" length="15"/>
      <mention mentionpersonId="{B4D9CDF8-D824-45AC-9EAC-9C126A267B65}" mentionId="{DBB917FC-0E4A-4EF8-BE80-13534CD1E116}" startIndex="45" length="15"/>
    </mentions>
  </threadedComment>
  <threadedComment ref="T8" dT="2025-08-20T21:17:48.85" personId="{E8EF2CEE-A9C0-4A56-A06B-BC6445822825}" id="{AE345104-E260-484C-B88B-60F2C0AF51E6}" parentId="{4EF814C6-D1F6-451B-812E-906A00240A43}">
    <text>I might be able to negotiate out of this and it is unclear what the scope will be until I get the plans. Do you still want me to make one using some assumptions?</text>
  </threadedComment>
  <threadedComment ref="T8" dT="2025-08-20T21:34:07.27" personId="{C292F702-D4C8-427F-8060-CA8E0A11E4F6}" id="{181B1960-C8CD-405B-8FCA-C8BA8162F403}" parentId="{4EF814C6-D1F6-451B-812E-906A00240A43}">
    <text>probably fine to wait for the plans</text>
  </threadedComment>
  <threadedComment ref="T8" dT="2025-09-16T14:35:14.09" personId="{3B2D5CBB-8EEF-4A78-9A0D-33CA3157BEED}" id="{2778012B-D739-461D-AB40-5C323F772626}" parentId="{4EF814C6-D1F6-451B-812E-906A00240A43}">
    <text xml:space="preserve">as of 9/16, still pending plans. waiting for plans to prepare workplan. highlighting yellow for now. </text>
  </threadedComment>
  <threadedComment ref="V8" dT="2025-09-16T14:54:53.38" personId="{3B2D5CBB-8EEF-4A78-9A0D-33CA3157BEED}" id="{6C814E25-E8D0-4963-BBC2-C89991BB6F5D}">
    <text>as of 9/16, TBD until plans are provided</text>
  </threadedComment>
  <threadedComment ref="V11" dT="2025-08-26T18:17:49.14" personId="{3B2D5CBB-8EEF-4A78-9A0D-33CA3157BEED}" id="{6CC0B0B9-5260-4127-8EA1-59A428356A54}">
    <text>Randy to include in September writeup</text>
  </threadedComment>
  <threadedComment ref="J13" dT="2025-08-27T15:06:09.61" personId="{EB756D3C-0333-4781-801C-F36FB858F0FD}" id="{B9C7D903-07E9-416A-BDCD-66CA8ECED6D9}">
    <text>@Corbi, Camille - where does this stand with PC right now? Is this date feasible for having this completed?</text>
    <mentions>
      <mention mentionpersonId="{ABEDD8C2-01F0-4304-90BA-79DEF386422B}" mentionId="{82ADB62E-A81A-45CB-91B5-EA47272DBFBA}" startIndex="0" length="15"/>
    </mentions>
  </threadedComment>
  <threadedComment ref="J13" dT="2025-08-27T15:59:00.40" personId="{AD1FAA3F-1360-44AB-83DF-B4908D76B23C}" id="{8C4D1D5F-FA23-44C9-A90D-2A65E6747021}" parentId="{B9C7D903-07E9-416A-BDCD-66CA8ECED6D9}">
    <text>pending the IPO for this...not sure if they will think a detour meeting is required. I will update more once we get that IPO back</text>
  </threadedComment>
  <threadedComment ref="T13" dT="2025-08-26T18:26:11.03" personId="{3B2D5CBB-8EEF-4A78-9A0D-33CA3157BEED}" id="{E6379C6A-606F-4CAC-A7B7-60B60DFF179D}">
    <text xml:space="preserve">@Corbi, Camille is the workplan for the above vw50 account for this line? </text>
    <mentions>
      <mention mentionpersonId="{ABEDD8C2-01F0-4304-90BA-79DEF386422B}" mentionId="{40B9EA1D-CB7A-4FFD-A60D-8A77537DA010}" startIndex="0" length="15"/>
    </mentions>
  </threadedComment>
  <threadedComment ref="T13" dT="2025-08-26T18:39:11.49" personId="{3B2D5CBB-8EEF-4A78-9A0D-33CA3157BEED}" id="{B26CD664-5829-4C2E-BB1B-3EDF59D5A50B}" parentId="{E6379C6A-606F-4CAC-A7B7-60B60DFF179D}">
    <text xml:space="preserve">@Corbi, Camille as discussed, as of 8.26, the MOT plan is pending sub hours to get a cost estimate. once the sub provides these numbers, please generate a workplan for this project. </text>
    <mentions>
      <mention mentionpersonId="{ABEDD8C2-01F0-4304-90BA-79DEF386422B}" mentionId="{BFBCF44F-5D91-4629-8A7E-9AA3B4443BB0}" startIndex="0" length="15"/>
    </mentions>
  </threadedComment>
  <threadedComment ref="T13" dT="2025-08-26T23:19:38.46" personId="{AD1FAA3F-1360-44AB-83DF-B4908D76B23C}" id="{8E175DAC-D025-4824-A663-D4602C2B7012}" parentId="{E6379C6A-606F-4CAC-A7B7-60B60DFF179D}">
    <text>no that is for the Rev 1 work. I will create a WO plan for this - just pending estimated man hours from the subconsultant helping up out on this one</text>
  </threadedComment>
  <threadedComment ref="T13" dT="2025-09-03T14:21:14.31" personId="{1B2CDA8A-CEFC-4136-87C1-B34BF471D2DA}" id="{09CEA386-6689-4CDB-A158-121F3E9D8E79}" parentId="{E6379C6A-606F-4CAC-A7B7-60B60DFF179D}">
    <text>Any update on this work plan?</text>
  </threadedComment>
  <threadedComment ref="T13" dT="2025-09-03T14:23:57.86" personId="{AD1FAA3F-1360-44AB-83DF-B4908D76B23C}" id="{FB40EAEC-870E-4CB8-8DC2-16BFD56CD8C9}" parentId="{E6379C6A-606F-4CAC-A7B7-60B60DFF179D}">
    <text>Pelte Clark is still drafting the IPO i followed up yesterday</text>
  </threadedComment>
  <threadedComment ref="V13" dT="2025-09-05T14:42:51.17" personId="{3B2D5CBB-8EEF-4A78-9A0D-33CA3157BEED}" id="{02BB5545-7305-4F1B-ADC2-F6597248AC91}">
    <text>PENDING IPO Cost for MOT plan. Then will provide in October writeup</text>
  </threadedComment>
  <threadedComment ref="U14" dT="2025-06-26T17:48:57.06" personId="{3B2D5CBB-8EEF-4A78-9A0D-33CA3157BEED}" id="{CDCBD353-DDEA-4E83-A9F8-03B615E393EE}">
    <text>*Conservative and accounts for the situation where all design and conflicts need to be adjusted around Rivian’s updated round-about plans.</text>
  </threadedComment>
  <threadedComment ref="K15" dT="2025-09-09T14:20:12.94" personId="{B43CBA0C-5DE4-4FB3-8951-794B7F7C4646}" id="{E7118AA5-E9B6-4004-9561-3C9174B7CFED}" done="1">
    <text>@Kulach, Caroline can you update this to reflect where we are on it?</text>
    <mentions>
      <mention mentionpersonId="{024AE523-21F1-4810-9EBC-1F52184244F6}" mentionId="{8A599557-E7D7-457C-BF48-B647284F03CC}" startIndex="0" length="17"/>
    </mentions>
  </threadedComment>
  <threadedComment ref="K15" dT="2025-09-09T14:31:26.92" personId="{915C3B11-23A2-4CD7-8A65-134DE04A79BE}" id="{770881D9-0E93-4699-8FFB-1223C6CA5D2E}" parentId="{E7118AA5-E9B6-4004-9561-3C9174B7CFED}">
    <text>updated</text>
  </threadedComment>
  <threadedComment ref="V15" dT="2025-09-16T14:59:09.29" personId="{3B2D5CBB-8EEF-4A78-9A0D-33CA3157BEED}" id="{C320A968-E84F-4720-9699-1B853EDC9B5B}">
    <text>As of 9/16, showing as N/A due to WP amount of $3568</text>
  </threadedComment>
  <threadedComment ref="M16" dT="2025-06-11T16:01:08.64" personId="{1B2CDA8A-CEFC-4136-87C1-B34BF471D2DA}" id="{E991FAA1-367A-4363-A5D2-48B83EA4A7FB}" done="1">
    <text>@Michaels, Nick  @Corbi, Camille  wondering if this should be considered a 3A - wasn’t the change due to innacurate survey? We had a similar situation for SC19879</text>
    <mentions>
      <mention mentionpersonId="{B4D9CDF8-D824-45AC-9EAC-9C126A267B65}" mentionId="{EFB512FA-1A9D-486B-806A-CD53214A3736}" startIndex="0" length="15"/>
      <mention mentionpersonId="{ABEDD8C2-01F0-4304-90BA-79DEF386422B}" mentionId="{21D2D34F-6372-4CAD-A459-A3A8751E62DE}" startIndex="17" length="15"/>
    </mentions>
  </threadedComment>
  <threadedComment ref="Q17" dT="2025-07-10T18:43:15.03" personId="{8B95014D-CB0C-4B46-AE57-ECA943BEAC36}" id="{C6092DB5-58E5-4DBE-B7A5-92154B61BE1C}" done="1">
    <text>@LaPorte, Marissa Please update and fill out monthly write up</text>
    <mentions>
      <mention mentionpersonId="{E0C835FB-FC54-490F-842D-70FB64882B80}" mentionId="{C5B47F77-FD4C-409F-ACDB-9A66D5A725B3}" startIndex="0" length="17"/>
    </mentions>
  </threadedComment>
  <threadedComment ref="Q17" dT="2025-07-15T15:08:20.04" personId="{1B2CDA8A-CEFC-4136-87C1-B34BF471D2DA}" id="{4F68025A-950C-41DA-8E55-817932E13CA1}" parentId="{C6092DB5-58E5-4DBE-B7A5-92154B61BE1C}">
    <text>@LaPorte, Marissa  please complete these by EOD</text>
    <mentions>
      <mention mentionpersonId="{E0C835FB-FC54-490F-842D-70FB64882B80}" mentionId="{67FDA1DF-6969-4035-8450-9FB0670805CA}" startIndex="0" length="17"/>
    </mentions>
  </threadedComment>
  <threadedComment ref="V17" dT="2025-07-21T17:22:19.51" personId="{3B2D5CBB-8EEF-4A78-9A0D-33CA3157BEED}" id="{270DE46A-B350-447D-B3B2-5EDF0BF75810}">
    <text>As of 7/21, anticipated effort is at 8185. Updating to N/A</text>
  </threadedComment>
  <threadedComment ref="V17" dT="2025-09-16T14:59:28.89" personId="{3B2D5CBB-8EEF-4A78-9A0D-33CA3157BEED}" id="{A4466D41-D09E-44E2-A115-9E8832A3D2C0}" parentId="{270DE46A-B350-447D-B3B2-5EDF0BF75810}">
    <text>As of 9/16, showing as N/A due to WP amount of $8185</text>
  </threadedComment>
  <threadedComment ref="J18" dT="2025-08-27T15:07:01.25" personId="{EB756D3C-0333-4781-801C-F36FB858F0FD}" id="{792DC7F2-2B8E-4325-A52A-98F4B8D8D76B}">
    <text>@LaPorte, Marissa - is this done yet/do we anticipate any more effort? I thought I remember tim saying it was really close to being done prior to his NPL.</text>
    <mentions>
      <mention mentionpersonId="{E0C835FB-FC54-490F-842D-70FB64882B80}" mentionId="{500C718F-F89E-445E-A7CD-535E11D257A4}" startIndex="0" length="17"/>
    </mentions>
  </threadedComment>
  <threadedComment ref="J18" dT="2025-08-27T15:56:25.26" personId="{9E62BE2C-0142-483B-A1E8-957D99ED07D0}" id="{425EBAAD-D216-4FD3-9437-37EB6E7D3A5F}" parentId="{792DC7F2-2B8E-4325-A52A-98F4B8D8D76B}">
    <text xml:space="preserve">@Roman, Madeline - see Nick's question above </text>
    <mentions>
      <mention mentionpersonId="{F82BB64F-7F44-410E-9AB8-C627433A244F}" mentionId="{AE2F8891-8E4E-421F-B1D6-47473A9E2D65}" startIndex="0" length="16"/>
    </mentions>
  </threadedComment>
  <threadedComment ref="J18" dT="2025-08-27T16:03:38.31" personId="{923A6378-7149-496A-9AA9-5877E99B04E1}" id="{6F02D7EB-3261-440E-911B-43300F4A893A}" parentId="{792DC7F2-2B8E-4325-A52A-98F4B8D8D76B}">
    <text>There may be a few other comments from Nicor's end, but I don't anticipate any. We are mostly waiting for Nicor's approval for the 4" template. The 2" is done</text>
  </threadedComment>
  <threadedComment ref="K18" dT="2025-07-30T13:55:16.88" personId="{1B2CDA8A-CEFC-4136-87C1-B34BF471D2DA}" id="{9EA1FF4E-662C-436C-9087-C06CD8853640}">
    <text xml:space="preserve">@Roman, Madeline  please make sure we follow up on this more than once a week if it’s holding up a revision </text>
    <mentions>
      <mention mentionpersonId="{F82BB64F-7F44-410E-9AB8-C627433A244F}" mentionId="{6CCCB76D-AD66-432C-9F06-4F9E853B4AC6}" startIndex="0" length="16"/>
    </mentions>
  </threadedComment>
  <threadedComment ref="K18" dT="2025-07-31T14:19:57.85" personId="{923A6378-7149-496A-9AA9-5877E99B04E1}" id="{5B2EB3EC-9EE9-4869-905D-488BBAAF5CA3}" parentId="{9EA1FF4E-662C-436C-9087-C06CD8853640}">
    <text>This was coordinated with Tim prior to his leave. This is for the vault template task and is not a revision</text>
  </threadedComment>
  <threadedComment ref="T18" dT="2025-06-17T17:52:13.61" personId="{3B2D5CBB-8EEF-4A78-9A0D-33CA3157BEED}" id="{70E0AD89-97E6-4810-B4C6-235E3524BCC4}">
    <text xml:space="preserve">@Roman, Madeline if you already created a workplan, please put anticipated amount in here. </text>
    <mentions>
      <mention mentionpersonId="{F82BB64F-7F44-410E-9AB8-C627433A244F}" mentionId="{8C33E378-087A-47B1-A08F-2AA5FB858924}" startIndex="0" length="16"/>
    </mentions>
  </threadedComment>
  <threadedComment ref="T18" dT="2025-06-17T21:30:13.48" personId="{923A6378-7149-496A-9AA9-5877E99B04E1}" id="{2EB5D354-4F7F-42A6-92FD-095A3FA6D628}" parentId="{70E0AD89-97E6-4810-B4C6-235E3524BCC4}">
    <text>updated but numbers probably very off</text>
  </threadedComment>
  <threadedComment ref="U18" dT="2025-07-07T17:20:10.68" personId="{1B2CDA8A-CEFC-4136-87C1-B34BF471D2DA}" id="{725F14E4-EB11-44D6-9C59-4BE9FDC85216}">
    <text>@Castellon, Randy  please check with Tim as I believe that this has been communicated to them more recently, with a more reaslistic number</text>
    <mentions>
      <mention mentionpersonId="{19AB77A6-6CAB-45F7-B79B-631A6192FCA1}" mentionId="{9BD860CB-5485-49B0-8FC9-3AEF104C5514}" startIndex="0" length="17"/>
    </mentions>
  </threadedComment>
  <threadedComment ref="U18" dT="2025-07-07T18:02:58.12" personId="{3B2D5CBB-8EEF-4A78-9A0D-33CA3157BEED}" id="{55765069-1983-4C41-82BD-76A7D57BAB63}" parentId="{725F14E4-EB11-44D6-9C59-4BE9FDC85216}">
    <text xml:space="preserve">@Purtell, Tim @LaPorte, Marissa  @Roman, Madeline  Has a more realistic number been communicated recently with Nicor regarding the vault template hourly cost? If so, can you forward the correspondence associated to me? </text>
    <mentions>
      <mention mentionpersonId="{04BCACC7-04FA-4A9D-9DCE-8E3808E45E3D}" mentionId="{691066F1-33B5-4F5A-975E-9BB3C2B0A6B2}" startIndex="0" length="13"/>
      <mention mentionpersonId="{E0C835FB-FC54-490F-842D-70FB64882B80}" mentionId="{D55A85FB-964A-4F2C-8DAB-2DA6E6F6C487}" startIndex="14" length="17"/>
      <mention mentionpersonId="{F82BB64F-7F44-410E-9AB8-C627433A244F}" mentionId="{295DA12E-2CCC-4B5B-87AC-F9B597DC6288}" startIndex="33" length="16"/>
    </mentions>
  </threadedComment>
  <threadedComment ref="U18" dT="2025-07-07T18:14:30.65" personId="{3BA37BBC-10FC-4BDA-B888-29DE350DF251}" id="{E9F39341-81C2-4BD4-BD81-30CB51C1E31B}" parentId="{725F14E4-EB11-44D6-9C59-4BE9FDC85216}">
    <text>we have already invoiced Nicor for 75K and have 20K remaining effort to invoice. I'm not sure any additional communication other than the invoices have been discussed. I would recommend including this in our monthly email with only "Estimated effort remaining" and have 20K. we don't want to necessarily show 95K on the write up.
@Betland, Joseph are you comfortable with that approach?</text>
    <mentions>
      <mention mentionpersonId="{E6421D29-A382-450E-BB08-617C1D9F9AED}" mentionId="{336A0D9A-72F5-4750-9746-775D66044DE4}" startIndex="331" length="16"/>
    </mentions>
  </threadedComment>
  <threadedComment ref="U18" dT="2025-08-26T18:12:46.84" personId="{3B2D5CBB-8EEF-4A78-9A0D-33CA3157BEED}" id="{80879D94-174B-4E7E-8313-CD1ACA851192}" parentId="{725F14E4-EB11-44D6-9C59-4BE9FDC85216}">
    <text xml:space="preserve">@Betland, Joseph looks like there was a revised workplan for this project. can you confirm, and could you let me know if we want to provide the updated value to Nicor? @Roman, Madeline </text>
    <mentions>
      <mention mentionpersonId="{E6421D29-A382-450E-BB08-617C1D9F9AED}" mentionId="{C69377E6-B14B-4192-BA9D-01BACAC82D79}" startIndex="0" length="16"/>
      <mention mentionpersonId="{F82BB64F-7F44-410E-9AB8-C627433A244F}" mentionId="{6455EEA3-82CF-42D5-9958-7D3CC1DDD66C}" startIndex="168" length="16"/>
    </mentions>
  </threadedComment>
  <threadedComment ref="T19" dT="2025-09-05T14:41:18.87" personId="{3B2D5CBB-8EEF-4A78-9A0D-33CA3157BEED}" id="{7A64B558-9A0A-48DB-A4D4-5388D7733FA8}" done="1">
    <text xml:space="preserve">@Roman, Madeline Please provide a workplan for this project </text>
    <mentions>
      <mention mentionpersonId="{F82BB64F-7F44-410E-9AB8-C627433A244F}" mentionId="{9DFB1AC6-BAF0-468F-9473-393B32D0F7E4}" startIndex="0" length="16"/>
    </mentions>
  </threadedComment>
  <threadedComment ref="V19" dT="2025-09-16T15:00:07.81" personId="{3B2D5CBB-8EEF-4A78-9A0D-33CA3157BEED}" id="{B3A2077E-3A4C-4C48-9DB7-6EB60A2CBE1B}">
    <text>As of 9/16, showing as N/A due to WP amount of $4888</text>
  </threadedComment>
  <threadedComment ref="T21" dT="2025-09-16T14:43:06.16" personId="{3B2D5CBB-8EEF-4A78-9A0D-33CA3157BEED}" id="{BCC2C789-B338-42FB-B332-496C0562E399}" done="1">
    <text xml:space="preserve">@McTigue, Thomas please create a WP for this project. </text>
    <mentions>
      <mention mentionpersonId="{64A125C0-C980-450F-B91F-164A54ED3500}" mentionId="{A51EF055-980A-4EA4-B328-0A4D2E23020B}" startIndex="0" length="16"/>
    </mentions>
  </threadedComment>
  <threadedComment ref="T21" dT="2025-09-17T12:51:48.08" personId="{170BCDB3-C00E-4DAB-8167-9427A631A4A5}" id="{FB36A4A3-5CFE-4603-B6B2-91097975001A}" parentId="{BCC2C789-B338-42FB-B332-496C0562E399}">
    <text>Updated</text>
  </threadedComment>
</ThreadedComments>
</file>

<file path=xl/threadedComments/threadedComment8.xml><?xml version="1.0" encoding="utf-8"?>
<ThreadedComments xmlns="http://schemas.microsoft.com/office/spreadsheetml/2018/threadedcomments" xmlns:x="http://schemas.openxmlformats.org/spreadsheetml/2006/main">
  <threadedComment ref="B12" dT="2023-10-02T16:24:11.71" personId="{82FE1273-AA16-4938-A966-A9B1D40525FC}" id="{0195B00F-2D4B-4974-945B-BCC527DE5246}">
    <text>Need to find PR/PO</text>
  </threadedComment>
  <threadedComment ref="B26" dT="2023-10-03T20:55:04.09" personId="{82FE1273-AA16-4938-A966-A9B1D40525FC}" id="{A4B37AB2-4BB1-450F-9C44-EBBE897F8859}">
    <text>Searching by PID yields no PR/PO records</text>
  </threadedComment>
  <threadedComment ref="M92" dT="2024-12-12T17:28:43.52" personId="{27F0E165-551D-4425-9A07-BE2EBE52277D}" id="{2FB8AD47-5654-4157-8A91-C011518F0901}">
    <text xml:space="preserve">@Dina, Eric  The PR has been submitted for this project, could you check if the project status is in the next stage - Permits approved? You can check this within PCTS. If permits have not been aproved yet, make a note to the right on the last checked date. </text>
    <mentions>
      <mention mentionpersonId="{F9D0559D-AD59-4808-8048-C5973E55A36A}" mentionId="{2C8FA9B2-B5B6-4766-A967-85D69B97E87D}" startIndex="0" length="11"/>
    </mentions>
  </threadedComment>
  <threadedComment ref="M92" dT="2025-01-13T15:00:09.29" personId="{B43CBA0C-5DE4-4FB3-8951-794B7F7C4646}" id="{741F94C4-6955-4823-A12E-322CA1C0BD11}" parentId="{2FB8AD47-5654-4157-8A91-C011518F0901}">
    <text>Permits have not been approved yet.  I suspect that this project was completed without Nicor relocating their main.</text>
  </threadedComment>
  <threadedComment ref="M274" dT="2024-12-12T17:26:23.48" personId="{27F0E165-551D-4425-9A07-BE2EBE52277D}" id="{299020AC-3104-4AC7-B916-EE58D9B6F4CC}">
    <text xml:space="preserve">@Corbi, Camille Could you check on this project and see where we are at? I see PID is filled out, but this project is noted as region reivew. Whats the current status? If the PID has been created, has the PR been submitted? </text>
    <mentions>
      <mention mentionpersonId="{ABEDD8C2-01F0-4304-90BA-79DEF386422B}" mentionId="{0CF13CED-CFF5-49E7-8353-CDD3FC7938E7}" startIndex="0" length="15"/>
    </mentions>
  </threadedComment>
  <threadedComment ref="R275" dT="2024-06-26T20:47:41.16" personId="{3B2D5CBB-8EEF-4A78-9A0D-33CA3157BEED}" id="{629A9DA6-9173-4343-A03E-A0C5617F0A0C}">
    <text>@Corbi, Camille fill out these items too</text>
    <mentions>
      <mention mentionpersonId="{ABEDD8C2-01F0-4304-90BA-79DEF386422B}" mentionId="{C166568C-5F56-44E9-861A-10C1766CC0E3}" startIndex="0" length="15"/>
    </mentions>
  </threadedComment>
  <threadedComment ref="R275" dT="2025-02-20T21:55:50.78" personId="{AD1FAA3F-1360-44AB-83DF-B4908D76B23C}" id="{70BC535B-44A8-4B30-920E-4E47FBF7A2D4}" parentId="{629A9DA6-9173-4343-A03E-A0C5617F0A0C}">
    <text>already completed</text>
  </threadedComment>
  <threadedComment ref="M277" dT="2024-12-12T17:21:24.75" personId="{27F0E165-551D-4425-9A07-BE2EBE52277D}" id="{5B90F75B-C874-4ADD-8CDC-0DD189368239}">
    <text xml:space="preserve">@Corbi, Camille  This project is noted as pending PID, and released to nicor, but the PID tab is filled out. Could you confirm the status of this project? Has the PR been submitted? </text>
    <mentions>
      <mention mentionpersonId="{ABEDD8C2-01F0-4304-90BA-79DEF386422B}" mentionId="{92524711-68D8-4F5E-A325-B962B4F9D959}" startIndex="0" length="15"/>
    </mentions>
  </threadedComment>
  <threadedComment ref="M307" dT="2024-12-12T17:22:19.81" personId="{27F0E165-551D-4425-9A07-BE2EBE52277D}" id="{E5F16163-3EDB-49AD-96B6-E87FCE0328BB}">
    <text xml:space="preserve">@Purtell, Tim  Could you check on this project and see where we are at? I see PID is filled out, but this project is noted as pending PID. Whats the current status? If the PID has been created, has the PR been submitted? </text>
    <mentions>
      <mention mentionpersonId="{04BCACC7-04FA-4A9D-9DCE-8E3808E45E3D}" mentionId="{82D5C389-6FA6-4CF3-8CD0-1A605A97BBE1}" startIndex="0" length="13"/>
    </mentions>
  </threadedComment>
  <threadedComment ref="M309" dT="2024-12-12T17:22:29.51" personId="{27F0E165-551D-4425-9A07-BE2EBE52277D}" id="{A57E6F3D-AC4C-455A-A6F3-BFABB1E85821}">
    <text xml:space="preserve">@Purtell, Tim Could you check on this project and see where we are at? I see PID is filled out, but this project is noted as pending PID. Whats the current status? If the PID has been created, has the PR been submitted? </text>
    <mentions>
      <mention mentionpersonId="{04BCACC7-04FA-4A9D-9DCE-8E3808E45E3D}" mentionId="{8D08680F-548A-4F36-A9D0-4074A80E7953}" startIndex="0" length="13"/>
    </mentions>
  </threadedComment>
  <threadedComment ref="M313" dT="2024-12-12T17:20:16.42" personId="{27F0E165-551D-4425-9A07-BE2EBE52277D}" id="{639FF06B-8FE5-4ADF-8281-4F31BD04A82C}">
    <text xml:space="preserve">@Dina, Eric The PR has been submitted for this project, could you check if the project status is in the next stage - Permits approved? You can check this within PCTS.  If permits have not been aproved yet, make a note to the right on the last checked date. </text>
    <mentions>
      <mention mentionpersonId="{F9D0559D-AD59-4808-8048-C5973E55A36A}" mentionId="{E6E5D480-386F-4E68-8E10-AA0507C4522E}" startIndex="0" length="11"/>
    </mentions>
  </threadedComment>
  <threadedComment ref="E317" dT="2025-06-05T13:57:13.84" personId="{3B2D5CBB-8EEF-4A78-9A0D-33CA3157BEED}" id="{20CD9AE5-BF36-4124-9992-D3777EE84DC8}">
    <text xml:space="preserve">@Lierow, Taylor are we still pending the PID on this project? </text>
    <mentions>
      <mention mentionpersonId="{502BF9D0-8DCD-49BB-B66D-0DCEA37B4151}" mentionId="{1C9CE28B-1C2A-4FEF-9009-630AE7DC9F5A}" startIndex="0" length="15"/>
    </mentions>
  </threadedComment>
  <threadedComment ref="E317" dT="2025-06-05T14:03:56.72" personId="{E8EF2CEE-A9C0-4A56-A06B-BC6445822825}" id="{65C5F72A-7AC7-4446-BCEE-A58C984A8089}" parentId="{20CD9AE5-BF36-4124-9992-D3777EE84DC8}">
    <text>Yes</text>
  </threadedComment>
  <threadedComment ref="G365" dT="2025-06-05T13:55:07.96" personId="{3B2D5CBB-8EEF-4A78-9A0D-33CA3157BEED}" id="{D72088B0-EF71-411A-A0BB-A33D18199244}">
    <text xml:space="preserve">@Corbi, Camille are there requisition items that need to be added? please start the process of reaching out to the Nicor as necessary. </text>
    <mentions>
      <mention mentionpersonId="{ABEDD8C2-01F0-4304-90BA-79DEF386422B}" mentionId="{BC18CFF6-1E45-43A0-82FA-1AB2EC71E9B5}" startIndex="0" length="15"/>
    </mentions>
  </threadedComment>
  <threadedComment ref="G365" dT="2025-07-17T13:31:32.34" personId="{3B2D5CBB-8EEF-4A78-9A0D-33CA3157BEED}" id="{AF83F32F-88FE-47C2-B6BE-37130E48CAB9}" parentId="{D72088B0-EF71-411A-A0BB-A33D18199244}">
    <text xml:space="preserve">@Corbi, Camille could you fill out the PO items and send out the email requesting PID? please copy me in the emial . </text>
    <mentions>
      <mention mentionpersonId="{ABEDD8C2-01F0-4304-90BA-79DEF386422B}" mentionId="{DBCCCA6C-1128-4468-844C-78D43891C249}" startIndex="0" length="15"/>
    </mentions>
  </threadedComment>
  <threadedComment ref="G392" dT="2025-06-05T13:56:31.34" personId="{3B2D5CBB-8EEF-4A78-9A0D-33CA3157BEED}" id="{A886732F-B9CC-4B70-B1CB-9A2BF3295D36}">
    <text xml:space="preserve">@Chamernik, Conner could you FWD or copy me on the email sent to Nicor requesting the PID for this project? </text>
    <mentions>
      <mention mentionpersonId="{57B91CBD-0327-4D8C-B370-773C13F6634B}" mentionId="{0B5ADC8A-78DF-4DE2-AA51-A9E5F1D9BF5D}" startIndex="0" length="18"/>
    </mentions>
  </threadedComment>
  <threadedComment ref="G392" dT="2025-06-05T14:04:59.35" personId="{0F8BBC01-9FFE-46F1-A588-E756CD2DAAE0}" id="{39E70170-A9E0-4635-B685-CCF0992F96C6}" parentId="{A886732F-B9CC-4B70-B1CB-9A2BF3295D36}">
    <text>ConOps said they had that the PO material at a warehouse, so no PID was created.
I'll still forward you the email.</text>
  </threadedComment>
  <threadedComment ref="G392" dT="2025-06-05T14:06:34.23" personId="{0F8BBC01-9FFE-46F1-A588-E756CD2DAAE0}" id="{6B111723-7496-4E00-A1A4-79F282BBC921}" parentId="{A886732F-B9CC-4B70-B1CB-9A2BF3295D36}">
    <text>Actually sorry - there was a revision that added a PO item. They never got back to me on it, but originally they did not create a PID b/c they had the material already.</text>
  </threadedComment>
  <threadedComment ref="G392" dT="2025-07-17T13:40:17.65" personId="{3B2D5CBB-8EEF-4A78-9A0D-33CA3157BEED}" id="{3817D2DB-725A-42BD-9795-6B07BEE62DEB}" parentId="{A886732F-B9CC-4B70-B1CB-9A2BF3295D36}">
    <text>@Chamernik, Conner so are they ordering it? sounds like we dont have to do the ordering correct?</text>
    <mentions>
      <mention mentionpersonId="{57B91CBD-0327-4D8C-B370-773C13F6634B}" mentionId="{C1ED4DAF-4501-448F-96C7-93F8A05CD598}" startIndex="0" length="18"/>
    </mentions>
  </threadedComment>
  <threadedComment ref="G392" dT="2025-07-17T14:17:39.99" personId="{0F8BBC01-9FFE-46F1-A588-E756CD2DAAE0}" id="{C1FEE540-DC8B-4AEE-85DC-D5B95513441D}" parentId="{A886732F-B9CC-4B70-B1CB-9A2BF3295D36}">
    <text>The PO pipe is at NPL's warehouse so we're good on that front. As for the 8" elbow, I followed up on that again.</text>
  </threadedComment>
  <threadedComment ref="M394" dT="2025-03-13T18:30:20.26" personId="{3B2D5CBB-8EEF-4A78-9A0D-33CA3157BEED}" id="{6C088A1B-4880-43F0-9132-234F32E0D4D2}">
    <text>@Corbi, Camille  whats the status of this project? please look at other project status and update accordingly</text>
    <mentions>
      <mention mentionpersonId="{ABEDD8C2-01F0-4304-90BA-79DEF386422B}" mentionId="{8217F85F-8CC0-40B0-86D5-7A709E7661ED}" startIndex="0" length="15"/>
    </mentions>
  </threadedComment>
  <threadedComment ref="G399" dT="2025-06-05T14:03:57.69" personId="{3B2D5CBB-8EEF-4A78-9A0D-33CA3157BEED}" id="{308A5F87-7329-43E2-8E95-ABCB4079E799}">
    <text>@Lierow, Taylor fill out peesh</text>
    <mentions>
      <mention mentionpersonId="{502BF9D0-8DCD-49BB-B66D-0DCEA37B4151}" mentionId="{69614ABD-BFFA-493B-8649-DC946A5F5183}" startIndex="0" length="15"/>
    </mentions>
  </threadedComment>
  <threadedComment ref="G399" dT="2025-07-17T13:58:18.99" personId="{3B2D5CBB-8EEF-4A78-9A0D-33CA3157BEED}" id="{F5BBB3E1-0A41-4E44-881C-3933FFC3E2A1}" parentId="{308A5F87-7329-43E2-8E95-ABCB4079E799}">
    <text>@Lierow, Taylor getcho</text>
    <mentions>
      <mention mentionpersonId="{502BF9D0-8DCD-49BB-B66D-0DCEA37B4151}" mentionId="{DCF4C15F-9FBE-42EA-9AEE-68CB5B611947}" startIndex="0" length="15"/>
    </mentions>
  </threadedComment>
  <threadedComment ref="G400" dT="2025-07-17T13:45:40.00" personId="{3B2D5CBB-8EEF-4A78-9A0D-33CA3157BEED}" id="{76A8EB0B-B8F9-4988-9CF5-887A7B23B0A6}">
    <text>@Kulach, Caroline please fill out relevant PO items you are anticipating for this project. once released, be sure to send out the PID email and CC myself</text>
    <mentions>
      <mention mentionpersonId="{024AE523-21F1-4810-9EBC-1F52184244F6}" mentionId="{96CF93CA-BBEB-4AC1-8082-D016F3405C5C}" startIndex="0" length="17"/>
    </mentions>
  </threadedComment>
  <threadedComment ref="G401" dT="2025-07-17T13:41:31.39" personId="{3B2D5CBB-8EEF-4A78-9A0D-33CA3157BEED}" id="{606A606F-5CEF-42D3-927A-92363790F055}">
    <text>@Lierow, Taylor  and @Molloy, Michael please fill out the atnticipated PO items and relevant information</text>
    <mentions>
      <mention mentionpersonId="{502BF9D0-8DCD-49BB-B66D-0DCEA37B4151}" mentionId="{33C24059-110A-4B39-817C-E2F67434F4EF}" startIndex="0" length="15"/>
      <mention mentionpersonId="{B08AFFDC-5CAB-4B56-B5E4-F1319CEC86C1}" mentionId="{660E4CC9-2DFB-4F66-A516-6F196407B0AE}" startIndex="21" length="16"/>
    </mentions>
  </threadedComment>
</ThreadedComments>
</file>

<file path=xl/threadedComments/threadedComment9.xml><?xml version="1.0" encoding="utf-8"?>
<ThreadedComments xmlns="http://schemas.microsoft.com/office/spreadsheetml/2018/threadedcomments" xmlns:x="http://schemas.openxmlformats.org/spreadsheetml/2006/main">
  <threadedComment ref="D846" dT="2023-08-21T16:07:43.59" personId="{EB756D3C-0333-4781-801C-F36FB858F0FD}" id="{472A325E-4DE8-4231-94E4-7EAA9454C039}">
    <text xml:space="preserve">Used to be 1412040 - this was corrected during a revision. </text>
  </threadedComment>
  <threadedComment ref="D848" dT="2024-07-23T16:38:48.02" personId="{EB756D3C-0333-4781-801C-F36FB858F0FD}" id="{5F64E5A1-7B7A-40B8-A0E2-711512C574D3}">
    <text xml:space="preserve">Used to be 1412040 - this was corrected during a revision. </text>
  </threadedComment>
  <threadedComment ref="Q939" dT="2024-01-23T14:53:44.64" personId="{F227819F-94A5-4B9E-BFE1-31C425F558EE}" id="{CA3291CC-50D1-473D-9710-C7B727662CDE}">
    <text xml:space="preserve">Revision required extensive coordination with City of Geneva, including meetings with PW leadership, city engineer, and coordination with GIS department. </text>
  </threadedComment>
  <threadedComment ref="BA958" dT="2023-05-25T18:00:36.25" personId="{EB756D3C-0333-4781-801C-F36FB858F0FD}" id="{3CA92E63-DE5A-4CBF-9F98-7C787E68E391}" done="1">
    <text>@Corbi, Camille - Can you please just add the rough footage of the main here to this scope?</text>
    <mentions>
      <mention mentionpersonId="{ABEDD8C2-01F0-4304-90BA-79DEF386422B}" mentionId="{D8F90E43-F94F-4758-9955-CC0D4B777963}" startIndex="0" length="15"/>
    </mentions>
  </threadedComment>
  <threadedComment ref="BC961" dT="2025-08-07T15:33:16.39" personId="{EB756D3C-0333-4781-801C-F36FB858F0FD}" id="{C5B137B0-620D-45A8-982C-3BC110740B4A}" done="1">
    <text>@Dina, Eric - Please fill out and unhighlight</text>
    <mentions>
      <mention mentionpersonId="{F9D0559D-AD59-4808-8048-C5973E55A36A}" mentionId="{991E3D06-99BD-45F8-B2A2-7EC5C325D0A8}" startIndex="0" length="11"/>
    </mentions>
  </threadedComment>
  <threadedComment ref="AC986" dT="2023-09-12T13:46:50.64" personId="{BFDAC309-ED37-493D-BDEE-F306C500F8AD}" id="{8BD9B6B1-95EB-4F38-BE20-103DFB46E183}">
    <text>Material procurement to occur at a later date. construction anticipated for 2024.</text>
  </threadedComment>
  <threadedComment ref="AC987" dT="2023-09-12T13:46:46.25" personId="{BFDAC309-ED37-493D-BDEE-F306C500F8AD}" id="{F8EC474E-FEFB-4CFD-A3BB-6A9B8E46020A}">
    <text>Material procurement to occur at a later date. construction anticipated for 2024.</text>
  </threadedComment>
  <threadedComment ref="AC988" dT="2023-07-25T12:51:46.57" personId="{739B1764-671C-42A9-B3C0-653139EA152B}" id="{E5326600-5131-4424-B7DE-BE8591515E81}">
    <text>Material procurement to occur at a later date. construction anticipated for 2025</text>
  </threadedComment>
  <threadedComment ref="BC991" dT="2025-08-07T15:33:39.18" personId="{EB756D3C-0333-4781-801C-F36FB858F0FD}" id="{9A4E541C-22BF-48B4-94E0-35EB061F72F2}">
    <text>@Lierow, Taylor - please fill out and unhighlight</text>
    <mentions>
      <mention mentionpersonId="{502BF9D0-8DCD-49BB-B66D-0DCEA37B4151}" mentionId="{B52A09FD-DA21-499A-A425-7B73C52D3BAA}" startIndex="0" length="15"/>
    </mentions>
  </threadedComment>
  <threadedComment ref="AC1001" dT="2023-07-26T16:36:05.59" personId="{F227819F-94A5-4B9E-BFE1-31C425F558EE}" id="{D4EC9D48-C09F-41C1-B92B-031439826CDE}" done="1">
    <text>Pending PID creation. Email out to Kendra 7/25.</text>
  </threadedComment>
  <threadedComment ref="AC1001" dT="2023-07-27T20:45:32.64" personId="{F227819F-94A5-4B9E-BFE1-31C425F558EE}" id="{E756EABC-7EBE-4A45-BD62-128DE53AC708}" parentId="{D4EC9D48-C09F-41C1-B92B-031439826CDE}">
    <text>F/U 7/27</text>
  </threadedComment>
  <threadedComment ref="AC1001" dT="2023-08-04T17:04:00.14" personId="{F227819F-94A5-4B9E-BFE1-31C425F558EE}" id="{F3442794-EC85-45D9-9089-46BDFD53F763}" parentId="{D4EC9D48-C09F-41C1-B92B-031439826CDE}">
    <text>F/U 8/4</text>
  </threadedComment>
  <threadedComment ref="AC1001" dT="2023-08-10T19:57:33.36" personId="{F227819F-94A5-4B9E-BFE1-31C425F558EE}" id="{448DD39F-8859-46AA-ABAF-3465D0E35D49}" parentId="{D4EC9D48-C09F-41C1-B92B-031439826CDE}">
    <text>PR6380 submitted 8/10</text>
  </threadedComment>
  <threadedComment ref="AC1023" dT="2023-08-14T14:29:41.88" personId="{F227819F-94A5-4B9E-BFE1-31C425F558EE}" id="{34FD89A7-63B8-49EF-BA94-B888B3EB9B34}" done="1">
    <text>PR 6368 completed 8/1/23</text>
  </threadedComment>
  <threadedComment ref="Q1032" dT="2023-10-05T18:27:55.74" personId="{24E6244D-1EC0-4D28-8AA4-3342015D362A}" id="{37F02E77-B662-4057-AC9D-AEC2F165498E}">
    <text>Revision required a large amount of coordination with IDOT, analysis and incorporation of DOT plans, and other drawing updates.</text>
  </threadedComment>
  <threadedComment ref="Q1033" dT="2023-10-05T18:27:12.10" personId="{24E6244D-1EC0-4D28-8AA4-3342015D362A}" id="{393CCA94-B7BA-40F3-8244-003E92302109}">
    <text>the main effort of this revision was a custom MOT plan which neded multiple phases to be feasible which also increased the effort. the main effort of this revision was a custom MOT plan which needed multiple phases to be feasible which also increased the effort</text>
  </threadedComment>
  <threadedComment ref="Q1055" dT="2023-09-26T20:13:22.91" personId="{EB756D3C-0333-4781-801C-F36FB858F0FD}" id="{13EC8AA0-F206-4AA6-8203-15A5FA3A6F10}">
    <text>Revision required extensive custom MOT plan and queue analysis for install which was a heavy lift. Additionally, the rev required full re-working of our profile due to an atypical request from the rr to change the orientation. Additional time was spend with extensive coordination with Nicor to confirm WT install beneath IDOT road.</text>
  </threadedComment>
  <threadedComment ref="Q1056" dT="2023-09-21T13:47:48.53" personId="{1B2CDA8A-CEFC-4136-87C1-B34BF471D2DA}" id="{E744A060-E9A1-4E0B-8CE0-44EB3B58B6E7}">
    <text xml:space="preserve">@Dina, Eric please fill this out after this pay period ends, highlight yellow when ready for my review. </text>
    <mentions>
      <mention mentionpersonId="{F9D0559D-AD59-4808-8048-C5973E55A36A}" mentionId="{1BF1DA66-2525-4FDB-8653-8F17D666DAAE}" startIndex="0" length="11"/>
    </mentions>
  </threadedComment>
  <threadedComment ref="Q1056" dT="2023-10-12T15:06:40.85" personId="{1B2CDA8A-CEFC-4136-87C1-B34BF471D2DA}" id="{124F04D5-0435-4E73-B289-10D9840D15BD}" parentId="{E744A060-E9A1-4E0B-8CE0-44EB3B58B6E7}">
    <text>Ping</text>
  </threadedComment>
  <threadedComment ref="Q1056" dT="2023-10-19T12:53:52.28" personId="{1B2CDA8A-CEFC-4136-87C1-B34BF471D2DA}" id="{9A29B886-137D-41EB-82A1-9F0C96578CC8}" parentId="{E744A060-E9A1-4E0B-8CE0-44EB3B58B6E7}">
    <text>Ping</text>
  </threadedComment>
  <threadedComment ref="Q1056" dT="2023-10-27T15:33:15.76" personId="{24E6244D-1EC0-4D28-8AA4-3342015D362A}" id="{6AD8DF36-1FF4-4447-A9FE-761D8EDC7777}" parentId="{E744A060-E9A1-4E0B-8CE0-44EB3B58B6E7}">
    <text>@Betland, Joseph - could you please provide context why this was more than $5K?</text>
    <mentions>
      <mention mentionpersonId="{E6421D29-A382-450E-BB08-617C1D9F9AED}" mentionId="{AB55569C-F9E7-4FC4-81B0-620C43FFE166}" startIndex="0" length="16"/>
    </mentions>
  </threadedComment>
  <threadedComment ref="Q1059" dT="2023-10-23T22:34:42.01" personId="{EB756D3C-0333-4781-801C-F36FB858F0FD}" id="{39A4A053-0D7D-46A8-9983-0379E00BF3C8}">
    <text>Project involved detour plan and extensive coordination with IDOT including attendance of detour meeting.</text>
  </threadedComment>
  <threadedComment ref="Q1065" dT="2023-10-23T23:02:57.06" personId="{EB756D3C-0333-4781-801C-F36FB858F0FD}" id="{A068E82C-42E7-4A1A-97BC-98D011FDA1F1}">
    <text>Revision required addition of utility information not provided during initial community outreach/julie request. Running line changes were also needed which required large amount of coordination with eng/conops to get approved and then reviewed with AHJ and incorporate their comments.</text>
  </threadedComment>
  <threadedComment ref="Q1069" dT="2023-11-29T00:24:32.83" personId="{739B1764-671C-42A9-B3C0-653139EA152B}" id="{F4AEC78C-364C-4E8F-A8F2-7DD7AE963556}">
    <text>Revision required extended coordination with Environmental Team to incorporate updated wetland delineation data and revised environmental permitting measures adjacent to the Kankakee River and associated floodways and floodplains. Engineering requested project be released without updated data in order to progress all other permitting items and the material procurement process while the delineation was being completed.</text>
  </threadedComment>
  <threadedComment ref="AB1072" dT="2023-11-09T13:53:29.71" personId="{F227819F-94A5-4B9E-BFE1-31C425F558EE}" id="{B576D34B-8236-41C1-8D57-6E2A17FEA859}">
    <text>Review request sent 11/2. F/U 11/8. ConOps reports project is to be broken up into multiple WOs.</text>
  </threadedComment>
  <threadedComment ref="AC1072" dT="2023-11-09T14:12:36.00" personId="{F227819F-94A5-4B9E-BFE1-31C425F558EE}" id="{B6F67353-5C5F-42A0-ADB2-74B83E2AC896}">
    <text>Requisitions on hold, project is to be broken into multiple WOs.</text>
  </threadedComment>
  <threadedComment ref="Q1073" dT="2023-11-21T21:26:49.96" personId="{B4724FC5-43AB-4157-BA86-A31D51B278BB}" id="{DB92390D-0FF4-4CDB-8CF7-7EA42FD49470}">
    <text>Extensive MOT plan with multiple lane closures on high traffic-volume roads. Multiple phases needed. Detour committee meeting attended for preliminary IDOT approval.</text>
  </threadedComment>
  <threadedComment ref="Q1077" dT="2023-12-14T21:49:27.76" personId="{C292F702-D4C8-427F-8060-CA8E0A11E4F6}" id="{60FA3772-DF44-444C-BAFC-70B6EAB5A03B}">
    <text xml:space="preserve">Task through AFC drawings for Mulford portion of work, separate task opened for construction support. </text>
  </threadedComment>
  <threadedComment ref="J1080" dT="2023-11-13T22:21:42.58" personId="{1B2CDA8A-CEFC-4136-87C1-B34BF471D2DA}" id="{20E121E1-D6A2-4CBF-8CB9-1D00868AF2FF}">
    <text>@Corbi, Camille please continue to follow up on date extension with Kendra until we get that cleaned up</text>
    <mentions>
      <mention mentionpersonId="{ABEDD8C2-01F0-4304-90BA-79DEF386422B}" mentionId="{D0F44DB3-BE94-4F4E-AD18-3AFDEDA40334}" startIndex="0" length="15"/>
    </mentions>
  </threadedComment>
  <threadedComment ref="J1080" dT="2023-11-13T22:24:08.52" personId="{AD1FAA3F-1360-44AB-83DF-B4908D76B23C}" id="{816C382D-0761-4DD9-A3BF-A2BE96170AC9}" parentId="{20E121E1-D6A2-4CBF-8CB9-1D00868AF2FF}">
    <text>F/U 11/13</text>
  </threadedComment>
  <threadedComment ref="J1080" dT="2023-11-17T19:34:39.94" personId="{AD1FAA3F-1360-44AB-83DF-B4908D76B23C}" id="{2C7EAF1C-BC62-4B0D-980D-242B9DC42067}" parentId="{20E121E1-D6A2-4CBF-8CB9-1D00868AF2FF}">
    <text>F/U 11/17</text>
  </threadedComment>
  <threadedComment ref="J1080" dT="2023-11-27T20:43:35.00" personId="{AD1FAA3F-1360-44AB-83DF-B4908D76B23C}" id="{4EC4CC05-85AE-4724-965A-6F7E81A23570}" parentId="{20E121E1-D6A2-4CBF-8CB9-1D00868AF2FF}">
    <text>F/U 11/27</text>
  </threadedComment>
  <threadedComment ref="J1080" dT="2023-12-18T16:05:03.99" personId="{AD1FAA3F-1360-44AB-83DF-B4908D76B23C}" id="{DD869AE5-FEFD-46FE-BF71-CC27D4957EA5}" parentId="{20E121E1-D6A2-4CBF-8CB9-1D00868AF2FF}">
    <text>12/18</text>
  </threadedComment>
  <threadedComment ref="J1080" dT="2024-01-24T22:19:43.52" personId="{AD1FAA3F-1360-44AB-83DF-B4908D76B23C}" id="{59BC6501-226D-4F97-8CD0-2D2AFF467C97}" parentId="{20E121E1-D6A2-4CBF-8CB9-1D00868AF2FF}">
    <text>1/3</text>
  </threadedComment>
  <threadedComment ref="J1080" dT="2024-01-24T22:23:27.66" personId="{AD1FAA3F-1360-44AB-83DF-B4908D76B23C}" id="{BFC8C6F1-AF02-42EB-9390-2C5C6371B57B}" parentId="{20E121E1-D6A2-4CBF-8CB9-1D00868AF2FF}">
    <text>1/24</text>
  </threadedComment>
  <threadedComment ref="J1080" dT="2024-03-06T20:19:02.29" personId="{AD1FAA3F-1360-44AB-83DF-B4908D76B23C}" id="{FB839CDA-F94B-4974-97DF-C085312C3D57}" parentId="{20E121E1-D6A2-4CBF-8CB9-1D00868AF2FF}">
    <text>3/6</text>
  </threadedComment>
  <threadedComment ref="J1080" dT="2024-05-02T15:01:22.92" personId="{AD1FAA3F-1360-44AB-83DF-B4908D76B23C}" id="{36D766CD-F7DE-4CDE-84F3-8ACACCE738E9}" parentId="{20E121E1-D6A2-4CBF-8CB9-1D00868AF2FF}">
    <text>5/2</text>
  </threadedComment>
  <threadedComment ref="J1080" dT="2024-07-19T13:32:19.78" personId="{AD1FAA3F-1360-44AB-83DF-B4908D76B23C}" id="{17DB94BA-F202-400A-BFBD-6B6428AF1917}" parentId="{20E121E1-D6A2-4CBF-8CB9-1D00868AF2FF}">
    <text>7/19</text>
  </threadedComment>
  <threadedComment ref="J1080" dT="2024-08-06T22:32:58.23" personId="{AD1FAA3F-1360-44AB-83DF-B4908D76B23C}" id="{ED1F9359-ADB0-43ED-BAAA-59E60F972B7E}" parentId="{20E121E1-D6A2-4CBF-8CB9-1D00868AF2FF}">
    <text>8/6</text>
  </threadedComment>
  <threadedComment ref="J1080" dT="2024-08-27T12:46:57.60" personId="{AD1FAA3F-1360-44AB-83DF-B4908D76B23C}" id="{6C4D6EFD-23A3-426F-8D5F-6C449B1D4403}" parentId="{20E121E1-D6A2-4CBF-8CB9-1D00868AF2FF}">
    <text>8/27</text>
  </threadedComment>
  <threadedComment ref="J1080" dT="2024-10-10T17:42:36.33" personId="{AD1FAA3F-1360-44AB-83DF-B4908D76B23C}" id="{C1848718-1B64-4779-9B6A-C481067FC712}" parentId="{20E121E1-D6A2-4CBF-8CB9-1D00868AF2FF}">
    <text>10/10</text>
  </threadedComment>
  <threadedComment ref="J1080" dT="2024-10-16T22:24:33.30" personId="{AD1FAA3F-1360-44AB-83DF-B4908D76B23C}" id="{A8492B44-D1BF-4FE2-8395-AF864B78B47B}" parentId="{20E121E1-D6A2-4CBF-8CB9-1D00868AF2FF}">
    <text>10/16</text>
  </threadedComment>
  <threadedComment ref="J1080" dT="2024-11-07T13:44:12.12" personId="{AD1FAA3F-1360-44AB-83DF-B4908D76B23C}" id="{7A4EC773-9092-4AC6-AF1A-4EA21145DF01}" parentId="{20E121E1-D6A2-4CBF-8CB9-1D00868AF2FF}">
    <text>11/7</text>
  </threadedComment>
  <threadedComment ref="J1080" dT="2024-12-10T23:13:35.90" personId="{AD1FAA3F-1360-44AB-83DF-B4908D76B23C}" id="{DC66C273-0CFE-490A-A52C-FF6920158583}" parentId="{20E121E1-D6A2-4CBF-8CB9-1D00868AF2FF}">
    <text>12/10</text>
  </threadedComment>
  <threadedComment ref="J1080" dT="2024-12-17T16:35:54.11" personId="{1B2CDA8A-CEFC-4136-87C1-B34BF471D2DA}" id="{4F683C9F-E271-4E15-BB2A-EE8B46BC022F}" parentId="{20E121E1-D6A2-4CBF-8CB9-1D00868AF2FF}">
    <text>Did this not get approved in the last round of approvals?</text>
  </threadedComment>
  <threadedComment ref="J1080" dT="2024-12-17T17:09:48.04" personId="{AD1FAA3F-1360-44AB-83DF-B4908D76B23C}" id="{7399A6AC-8767-4EDF-AD86-B72830378D15}" parentId="{20E121E1-D6A2-4CBF-8CB9-1D00868AF2FF}">
    <text xml:space="preserve">updated and checked </text>
  </threadedComment>
  <threadedComment ref="S1082" dT="2023-11-17T16:27:29.97" personId="{1B2CDA8A-CEFC-4136-87C1-B34BF471D2DA}" id="{8A392302-117E-4931-9533-0641FAC5B0D8}">
    <text>@Corbi, Camille please update red cells and color yellow when ready for review. Recommend waiting until this pay cycle is complete before finalizing hourly costs</text>
    <mentions>
      <mention mentionpersonId="{ABEDD8C2-01F0-4304-90BA-79DEF386422B}" mentionId="{5AD002F1-035E-449E-864D-BB047868E224}" startIndex="0" length="15"/>
    </mentions>
  </threadedComment>
  <threadedComment ref="S1082" dT="2023-11-30T15:10:00.40" personId="{C292F702-D4C8-427F-8060-CA8E0A11E4F6}" id="{0B36E6F6-E96C-44AC-B18C-F79CBCCC903C}" parentId="{8A392302-117E-4931-9533-0641FAC5B0D8}">
    <text>No shactee locates?</text>
  </threadedComment>
  <threadedComment ref="S1082" dT="2023-12-14T21:46:02.53" personId="{C292F702-D4C8-427F-8060-CA8E0A11E4F6}" id="{0BE8E930-2A98-4DBA-A4D3-4EFC6165F771}" parentId="{8A392302-117E-4931-9533-0641FAC5B0D8}">
    <text>@Corbi, Camille  no shactee locates?</text>
    <mentions>
      <mention mentionpersonId="{ABEDD8C2-01F0-4304-90BA-79DEF386422B}" mentionId="{C08B802B-EEE9-4F03-A708-46B34DCC98D8}" startIndex="0" length="15"/>
    </mentions>
  </threadedComment>
  <threadedComment ref="S1082" dT="2023-12-18T16:01:27.40" personId="{1B2CDA8A-CEFC-4136-87C1-B34BF471D2DA}" id="{AFBEC491-D9BB-43F4-AABE-771A3413F460}" parentId="{8A392302-117E-4931-9533-0641FAC5B0D8}">
    <text>Ping</text>
  </threadedComment>
  <threadedComment ref="S1082" dT="2023-12-18T16:04:35.55" personId="{AD1FAA3F-1360-44AB-83DF-B4908D76B23C}" id="{9A7FBF88-5CC2-49CB-BC41-ED78770C9479}" parentId="{8A392302-117E-4931-9533-0641FAC5B0D8}">
    <text>@Betland, Joseph for the service analysis we did not get any locates. They just wanted an idea of the conflicts taking place so they would know how to install the new services. There is no shactee effort associated with this one.</text>
    <mentions>
      <mention mentionpersonId="{E6421D29-A382-450E-BB08-617C1D9F9AED}" mentionId="{92CC2D80-2C1C-4A91-8B9A-BC4BA79FA5FA}" startIndex="0" length="16"/>
    </mentions>
  </threadedComment>
  <threadedComment ref="Q1086" dT="2023-12-14T21:49:52.97" personId="{C292F702-D4C8-427F-8060-CA8E0A11E4F6}" id="{3B2228D6-8C43-4BDA-8E91-00B727573241}">
    <text xml:space="preserve">Service investigation (93 Services) to identify conflicts with proposed improvements. Cost includes design locates for services. </text>
  </threadedComment>
  <threadedComment ref="Q1087" dT="2023-11-21T21:26:49.96" personId="{B4724FC5-43AB-4157-BA86-A31D51B278BB}" id="{17221A7F-B45D-4000-B32A-E7A844D08102}">
    <text>Extensive MOT plan with multiple lane closures on high-traffic volume roads. Multiple phases needed. Detour committee meeting attended for preliminary IDOT approval.</text>
  </threadedComment>
  <threadedComment ref="Q1087" dT="2023-12-18T16:12:36.23" personId="{1B2CDA8A-CEFC-4136-87C1-B34BF471D2DA}" id="{5D7F35C3-81D5-4F8C-A765-0497FDDAA1C4}" parentId="{17221A7F-B45D-4000-B32A-E7A844D08102}">
    <text>@Michaels, Nick is this comment on the right project? This is an ADA project</text>
    <mentions>
      <mention mentionpersonId="{B4D9CDF8-D824-45AC-9EAC-9C126A267B65}" mentionId="{A7AAC9E2-4889-4603-B0C2-B7018EA2A109}" startIndex="0" length="15"/>
    </mentions>
  </threadedComment>
  <threadedComment ref="Q1087" dT="2023-12-18T16:22:24.80" personId="{B4724FC5-43AB-4157-BA86-A31D51B278BB}" id="{3488DE69-3921-4361-BDD8-7ECA8A0B32E6}" parentId="{17221A7F-B45D-4000-B32A-E7A844D08102}">
    <text>@Betland, Joseph - Hmm no this should be on BS588 MOT. I will fix. feel free to delete this comment.</text>
    <mentions>
      <mention mentionpersonId="{E6421D29-A382-450E-BB08-617C1D9F9AED}" mentionId="{5A89DB7E-3EDB-4CF4-A649-ADE315359672}" startIndex="0" length="16"/>
    </mentions>
  </threadedComment>
  <threadedComment ref="Q1087" dT="2023-12-18T16:23:29.86" personId="{B4724FC5-43AB-4157-BA86-A31D51B278BB}" id="{7805FE4A-07C9-4C5C-BC3E-9A1FF79522F8}" parentId="{17221A7F-B45D-4000-B32A-E7A844D08102}">
    <text>@Betland, Joseph  - Ahh I think someone must have format painted this and it brought over the comment.</text>
    <mentions>
      <mention mentionpersonId="{E6421D29-A382-450E-BB08-617C1D9F9AED}" mentionId="{1BC8155C-08BB-494C-AE7C-D34D46FA0DC4}" startIndex="0" length="16"/>
    </mentions>
  </threadedComment>
  <threadedComment ref="Q1096" dT="2023-12-11T16:36:41.30" personId="{3BA37BBC-10FC-4BDA-B888-29DE350DF251}" id="{4D8159E7-545A-4D97-8CC6-95C1FA2E770A}">
    <text>Revision required meeting with IDOT Detour Committee and presenting detour plans to get approval and plan updates</text>
  </threadedComment>
  <threadedComment ref="J1097" dT="2023-12-07T17:47:07.70" personId="{AD1FAA3F-1360-44AB-83DF-B4908D76B23C}" id="{002499EF-5D32-42B4-B541-217861797A7C}" done="1">
    <text>F/U 12/7</text>
  </threadedComment>
  <threadedComment ref="J1097" dT="2024-01-24T22:19:03.63" personId="{AD1FAA3F-1360-44AB-83DF-B4908D76B23C}" id="{905C4EEA-77E9-45D4-8B2F-017747285FB2}" parentId="{002499EF-5D32-42B4-B541-217861797A7C}">
    <text>1/22</text>
  </threadedComment>
  <threadedComment ref="J1097" dT="2024-03-06T20:17:39.80" personId="{AD1FAA3F-1360-44AB-83DF-B4908D76B23C}" id="{71A2C991-1AE6-48CF-8F9E-184812D8F0F9}" parentId="{002499EF-5D32-42B4-B541-217861797A7C}">
    <text>2/22</text>
  </threadedComment>
  <threadedComment ref="J1097" dT="2024-05-02T15:02:41.74" personId="{AD1FAA3F-1360-44AB-83DF-B4908D76B23C}" id="{550A9464-A2FE-4907-A57B-49F7089C0595}" parentId="{002499EF-5D32-42B4-B541-217861797A7C}">
    <text>5/2</text>
  </threadedComment>
  <threadedComment ref="J1097" dT="2024-07-19T13:34:13.82" personId="{AD1FAA3F-1360-44AB-83DF-B4908D76B23C}" id="{DDB0DDC7-C673-4BB8-A58A-F3AD369FCB43}" parentId="{002499EF-5D32-42B4-B541-217861797A7C}">
    <text>7/19</text>
  </threadedComment>
  <threadedComment ref="J1097" dT="2024-08-06T22:32:08.97" personId="{AD1FAA3F-1360-44AB-83DF-B4908D76B23C}" id="{A92992D2-F0A7-49AE-9B15-A986C70E4EFE}" parentId="{002499EF-5D32-42B4-B541-217861797A7C}">
    <text>8/6</text>
  </threadedComment>
  <threadedComment ref="J1097" dT="2024-08-27T12:51:05.19" personId="{AD1FAA3F-1360-44AB-83DF-B4908D76B23C}" id="{097BD8EE-B5BF-4E4F-A7AA-DA89B547322E}" parentId="{002499EF-5D32-42B4-B541-217861797A7C}">
    <text>8/27</text>
  </threadedComment>
  <threadedComment ref="J1097" dT="2024-10-10T17:55:25.00" personId="{AD1FAA3F-1360-44AB-83DF-B4908D76B23C}" id="{5BDE9720-2C0F-4F96-A80A-9A46DCA32FF7}" parentId="{002499EF-5D32-42B4-B541-217861797A7C}">
    <text>10/10</text>
  </threadedComment>
  <threadedComment ref="J1097" dT="2024-10-16T22:24:44.82" personId="{AD1FAA3F-1360-44AB-83DF-B4908D76B23C}" id="{883C5264-9F17-4D6B-ABAF-7B604933366C}" parentId="{002499EF-5D32-42B4-B541-217861797A7C}">
    <text>10/16</text>
  </threadedComment>
  <threadedComment ref="J1097" dT="2024-11-07T13:44:17.60" personId="{AD1FAA3F-1360-44AB-83DF-B4908D76B23C}" id="{4BDD9F6E-E927-4A30-9202-A68349B3E2C1}" parentId="{002499EF-5D32-42B4-B541-217861797A7C}">
    <text>11/7</text>
  </threadedComment>
  <threadedComment ref="J1097" dT="2024-12-10T23:13:29.84" personId="{AD1FAA3F-1360-44AB-83DF-B4908D76B23C}" id="{B9B6C3C5-2B41-45A7-B02C-405D508263B8}" parentId="{002499EF-5D32-42B4-B541-217861797A7C}">
    <text>12/10</text>
  </threadedComment>
  <threadedComment ref="J1097" dT="2024-12-17T16:35:22.95" personId="{1B2CDA8A-CEFC-4136-87C1-B34BF471D2DA}" id="{55AD34D5-9DA9-45DF-9F0C-5D62E5A25224}" parentId="{002499EF-5D32-42B4-B541-217861797A7C}">
    <text>Did this not get approved in the last round of approvals?</text>
  </threadedComment>
  <threadedComment ref="J1097" dT="2024-12-17T16:44:48.66" personId="{AD1FAA3F-1360-44AB-83DF-B4908D76B23C}" id="{EF2CF40C-CC39-44AA-8C35-ECCD559C9D5F}" parentId="{002499EF-5D32-42B4-B541-217861797A7C}">
    <text>Yes it did let me update</text>
  </threadedComment>
  <threadedComment ref="J1097" dT="2024-12-17T17:03:57.72" personId="{AD1FAA3F-1360-44AB-83DF-B4908D76B23C}" id="{00924195-1559-4F5E-8CEE-82466584E7C9}" parentId="{002499EF-5D32-42B4-B541-217861797A7C}">
    <text>Looks like the deleted this EDSR. It does not exist when you search it. Thinking they combined it with with SC18611</text>
  </threadedComment>
  <threadedComment ref="J1097" dT="2025-01-09T15:14:46.61" personId="{B43CBA0C-5DE4-4FB3-8951-794B7F7C4646}" id="{5DCDE5F3-ED94-4819-AB9F-F85F95BC473D}" parentId="{002499EF-5D32-42B4-B541-217861797A7C}">
    <text>Since the EDSR no longer exists, and we got blanket approval, I'm ok with removing the red highlight.</text>
  </threadedComment>
  <threadedComment ref="Q1100" dT="2023-12-18T21:58:54.37" personId="{EB756D3C-0333-4781-801C-F36FB858F0FD}" id="{DAC2BD05-6371-4D10-873D-D74F549B2F22}">
    <text>Revision of install method/bore profile beneath RR tracks due to flooding issues in J&amp;B pits. Bore was redesigned to HDD and required coordination with ConOps to review for constructability/space constraints.</text>
  </threadedComment>
  <threadedComment ref="Q1101" dT="2023-12-18T16:13:37.32" personId="{1B2CDA8A-CEFC-4136-87C1-B34BF471D2DA}" id="{386BCC29-3FEF-4FB2-86F1-E76548A60F18}">
    <text xml:space="preserve">Service investigation (23 Services) to identify conflicts proposed improvements. @Corbi, Camille please add additional context as to why this was requested just for clarification. </text>
    <mentions>
      <mention mentionpersonId="{ABEDD8C2-01F0-4304-90BA-79DEF386422B}" mentionId="{2CACDB34-5655-4F1D-99F4-3985ED66423C}" startIndex="81" length="15"/>
    </mentions>
  </threadedComment>
  <threadedComment ref="Q1101" dT="2023-12-18T16:17:46.80" personId="{AD1FAA3F-1360-44AB-83DF-B4908D76B23C}" id="{0ED60C9D-CDE8-42D4-941D-EB4B233D7AA9}" parentId="{386BCC29-3FEF-4FB2-86F1-E76548A60F18}">
    <text>Proposed 54" storm sewer to be installed down the middle of the street, wanted to gain a better understanding of locations/depths of services</text>
  </threadedComment>
  <threadedComment ref="AM1103" dT="2025-08-11T16:49:23.93" personId="{EB756D3C-0333-4781-801C-F36FB858F0FD}" id="{86DCD511-C07A-457B-97B2-6EA56E72DAD4}">
    <text>Cancelled WO in PCTS</text>
  </threadedComment>
  <threadedComment ref="AH1108" dT="2024-01-23T16:48:35.09" personId="{1B2CDA8A-CEFC-4136-87C1-B34BF471D2DA}" id="{D3149550-C257-4C84-8120-DFD47165E014}">
    <text xml:space="preserve">@Lierow, Taylor I'd still like to have a quick moment to debrief on these small ones during our monthly debrief - these are still relatively new to our team </text>
    <mentions>
      <mention mentionpersonId="{502BF9D0-8DCD-49BB-B66D-0DCEA37B4151}" mentionId="{7D72EF50-2926-4208-8CC6-01D9B8BD32F2}" startIndex="0" length="15"/>
    </mentions>
  </threadedComment>
  <threadedComment ref="AH1108" dT="2024-01-23T16:53:59.26" personId="{E8EF2CEE-A9C0-4A56-A06B-BC6445822825}" id="{0952E8F1-6D07-4640-B04C-6E732468FE71}" parentId="{D3149550-C257-4C84-8120-DFD47165E014}">
    <text xml:space="preserve">@Betland, Joseph This project is currently still open. This was just a task to grab electronic locates on the services. Calvin K told us to bill them hourly for it. I will make sure this gets covered in the debrief when the DOT project gets closed out. </text>
    <mentions>
      <mention mentionpersonId="{E6421D29-A382-450E-BB08-617C1D9F9AED}" mentionId="{36BEC640-B0B1-48E7-81BB-ECCF9E06DB28}" startIndex="0" length="16"/>
    </mentions>
  </threadedComment>
  <threadedComment ref="X1111" dT="2024-03-11T13:37:09.06" personId="{24E6244D-1EC0-4D28-8AA4-3342015D362A}" id="{CF5B2381-B9AB-4E0F-8896-02F9361A6874}">
    <text>PCTS shows 846,228.66 (but was approved on 3/5/2024 so likely the discrepancy)</text>
  </threadedComment>
  <threadedComment ref="M1113" dT="2024-04-08T18:01:17.88" personId="{24E6244D-1EC0-4D28-8AA4-3342015D362A}" id="{037E5A0B-3AC9-4972-B460-19F4C389645D}">
    <text>@Betland, Joseph / @Chamernik, Conner - can y'all add how we negotiated out of the revision? Conditional permit approval?</text>
    <mentions>
      <mention mentionpersonId="{E6421D29-A382-450E-BB08-617C1D9F9AED}" mentionId="{B82D51B3-FEBD-41E3-B66E-4D745745009A}" startIndex="0" length="16"/>
      <mention mentionpersonId="{57B91CBD-0327-4D8C-B370-773C13F6634B}" mentionId="{570070F1-61DF-496F-B703-38246DFD8B5E}" startIndex="19" length="18"/>
    </mentions>
  </threadedComment>
  <threadedComment ref="M1113" dT="2024-04-08T18:33:31.59" personId="{0F8BBC01-9FFE-46F1-A588-E756CD2DAAE0}" id="{C5416118-BAA2-4BD5-870E-AC4F179F2376}" parentId="{037E5A0B-3AC9-4972-B460-19F4C389645D}">
    <text>@Whitson, Bryan it was considered a Negotiated out of Revision since we got the greenlight on a PDF markup, instead of a formal revision. Is that the reason you want me to add?</text>
    <mentions>
      <mention mentionpersonId="{46338084-C8BF-401F-9948-B0D316E50867}" mentionId="{F42E9D3D-488A-4541-8CBA-8F59CED79D82}" startIndex="0" length="15"/>
    </mentions>
  </threadedComment>
  <threadedComment ref="AD1113" dT="2024-06-04T16:26:24.35" personId="{1B2CDA8A-CEFC-4136-87C1-B34BF471D2DA}" id="{673408D5-32F2-49F1-BACC-0AA472E66D59}">
    <text>@Chamernik, Conner please touch base with @Michaels, Nick to discuss updating Nicor permitting parameters</text>
    <mentions>
      <mention mentionpersonId="{57B91CBD-0327-4D8C-B370-773C13F6634B}" mentionId="{F6B70F61-F3FA-456C-9E41-A7AF6CBBC7C4}" startIndex="0" length="18"/>
      <mention mentionpersonId="{B4D9CDF8-D824-45AC-9EAC-9C126A267B65}" mentionId="{E5E7372A-7D2E-4C7E-998C-5A6A21B99FEF}" startIndex="42" length="15"/>
    </mentions>
  </threadedComment>
  <threadedComment ref="X1114" dT="2024-02-26T16:03:06.16" personId="{1B2CDA8A-CEFC-4136-87C1-B34BF471D2DA}" id="{6E5F6CBF-B8F9-4FF2-8164-1AD75EF42DE7}">
    <text>@Chamernik, Conner please go in and take screenshots of PCTS as these numbers appeared to have chnaged and I want to document</text>
    <mentions>
      <mention mentionpersonId="{57B91CBD-0327-4D8C-B370-773C13F6634B}" mentionId="{69A06D60-38C9-4DBB-A0D1-8CD22CD32AF1}" startIndex="0" length="18"/>
    </mentions>
  </threadedComment>
  <threadedComment ref="X1114" dT="2024-03-11T13:38:26.39" personId="{24E6244D-1EC0-4D28-8AA4-3342015D362A}" id="{77BD29A3-C35A-4458-A953-D1070E182C88}" parentId="{6E5F6CBF-B8F9-4FF2-8164-1AD75EF42DE7}">
    <text>PCTS shows $172,318.47 (but was approved on 3/7/2024 so likely the discrepancy)</text>
  </threadedComment>
  <threadedComment ref="Z1114" dT="2024-03-11T13:39:13.08" personId="{24E6244D-1EC0-4D28-8AA4-3342015D362A}" id="{4E09BEA2-6929-4572-A246-480353BAA590}">
    <text>PCTS shows $54,594.16 (but was approved on 3/5/2024 so likely the discrepancy)</text>
  </threadedComment>
  <threadedComment ref="X1116" dT="2024-03-11T13:42:41.16" personId="{24E6244D-1EC0-4D28-8AA4-3342015D362A}" id="{51EE4F4C-6FBE-470A-8873-0D65F0D10616}">
    <text>PCTS shows $303,560.19</text>
  </threadedComment>
  <threadedComment ref="K1119" dT="2024-04-08T18:02:20.53" personId="{24E6244D-1EC0-4D28-8AA4-3342015D362A}" id="{E1AB9459-FFB1-4537-996D-F18194310676}">
    <text>@Betland, Joseph / @Chamernik, Conner - how is this different than the one from 1/8?</text>
    <mentions>
      <mention mentionpersonId="{E6421D29-A382-450E-BB08-617C1D9F9AED}" mentionId="{B23E89FE-E199-4661-A017-D9C64CE38BC2}" startIndex="0" length="16"/>
      <mention mentionpersonId="{57B91CBD-0327-4D8C-B370-773C13F6634B}" mentionId="{8BAC813A-9CFD-47E4-BACA-DDF111387A8A}" startIndex="19" length="18"/>
    </mentions>
  </threadedComment>
  <threadedComment ref="K1119" dT="2024-04-08T18:56:17.17" personId="{0F8BBC01-9FFE-46F1-A588-E756CD2DAAE0}" id="{16251CEA-F075-4DD2-837E-FE2CACF42DEA}" parentId="{E1AB9459-FFB1-4537-996D-F18194310676}">
    <text>@Whitson, Bryan Winnebago Co sent back some more comments. We did the comments and were not required to complete a formal revision.</text>
    <mentions>
      <mention mentionpersonId="{46338084-C8BF-401F-9948-B0D316E50867}" mentionId="{EA7418CD-F2B8-4009-BB7C-BAF92A6FB27A}" startIndex="0" length="15"/>
    </mentions>
  </threadedComment>
  <threadedComment ref="M1119" dT="2024-04-08T18:00:46.06" personId="{24E6244D-1EC0-4D28-8AA4-3342015D362A}" id="{0B0DDBDF-7151-447A-8FD4-AA887E8BA280}">
    <text>@Betland, Joseph / @Chamernik, Conner - can y'all add how we negotiated out of the revision? Conditional permit approval?</text>
    <mentions>
      <mention mentionpersonId="{E6421D29-A382-450E-BB08-617C1D9F9AED}" mentionId="{0E7A159F-54D3-4AAB-94A2-D302C8011870}" startIndex="0" length="16"/>
      <mention mentionpersonId="{57B91CBD-0327-4D8C-B370-773C13F6634B}" mentionId="{F9AD5EE8-0452-45C4-94BA-0D28AF100F9B}" startIndex="19" length="18"/>
    </mentions>
  </threadedComment>
  <threadedComment ref="X1126" dT="2024-03-11T13:49:44.50" personId="{24E6244D-1EC0-4D28-8AA4-3342015D362A}" id="{19EA2F7F-D18B-4227-A096-96A038BFD86E}">
    <text>PCTS shows 335,524.99</text>
  </threadedComment>
  <threadedComment ref="Z1126" dT="2024-03-11T13:51:37.37" personId="{24E6244D-1EC0-4D28-8AA4-3342015D362A}" id="{C6EFD76D-CDCC-4C93-B07B-B9DBE448369E}">
    <text>PCTS Shows 34,712.80</text>
  </threadedComment>
  <threadedComment ref="X1128" dT="2024-03-11T13:52:24.05" personId="{24E6244D-1EC0-4D28-8AA4-3342015D362A}" id="{E2F7E153-8B94-49A1-9543-4528ED3B61DF}">
    <text>PCTS shows 1,357,372.21</text>
  </threadedComment>
  <threadedComment ref="Z1128" dT="2024-03-11T13:53:00.18" personId="{24E6244D-1EC0-4D28-8AA4-3342015D362A}" id="{524B0F80-BF13-4F71-B2B3-F29612C83015}">
    <text>PCTS shows 325,070.37</text>
  </threadedComment>
  <threadedComment ref="AJ1130" dT="2024-02-27T16:43:02.81" personId="{0F8BBC01-9FFE-46F1-A588-E756CD2DAAE0}" id="{0A78B21D-C209-4B5F-99C1-51B0678E4C87}">
    <text>Since there's 2 work orders, I have split this all the 3rd party costs between the two WOs.</text>
  </threadedComment>
  <threadedComment ref="Q1135" dT="2024-04-02T20:48:21.56" personId="{3BA37BBC-10FC-4BDA-B888-29DE350DF251}" id="{5117CB5D-685D-44D3-837C-84943BFF9A96}">
    <text>Municipality requesting these improvements be added to the sheets prior to permitting. Site visit and design changes we're required for permit approval.</text>
  </threadedComment>
  <threadedComment ref="AK1140" dT="2024-03-08T20:33:03.46" personId="{EB756D3C-0333-4781-801C-F36FB858F0FD}" id="{CDA12B6E-BDDE-4A65-9D2B-6220CA89970E}">
    <text>Reported in 2023</text>
  </threadedComment>
  <threadedComment ref="J1141" dT="2024-07-19T13:36:15.47" personId="{AD1FAA3F-1360-44AB-83DF-B4908D76B23C}" id="{6937382E-52AE-41C1-9B03-A5CBBB81B28A}">
    <text>f/u 7/19</text>
  </threadedComment>
  <threadedComment ref="J1141" dT="2024-08-06T22:30:42.41" personId="{AD1FAA3F-1360-44AB-83DF-B4908D76B23C}" id="{4947B011-20ED-4790-8802-ABF746440C49}" parentId="{6937382E-52AE-41C1-9B03-A5CBBB81B28A}">
    <text>8/6</text>
  </threadedComment>
  <threadedComment ref="J1141" dT="2024-08-27T12:48:00.98" personId="{AD1FAA3F-1360-44AB-83DF-B4908D76B23C}" id="{02979407-4484-4CE9-B934-BB4546280A5B}" parentId="{6937382E-52AE-41C1-9B03-A5CBBB81B28A}">
    <text>8/27</text>
  </threadedComment>
  <threadedComment ref="J1141" dT="2024-10-10T17:43:11.35" personId="{AD1FAA3F-1360-44AB-83DF-B4908D76B23C}" id="{A369EA6F-C71A-455A-B1EB-B5571D0EAA24}" parentId="{6937382E-52AE-41C1-9B03-A5CBBB81B28A}">
    <text>10/10</text>
  </threadedComment>
  <threadedComment ref="J1141" dT="2024-10-16T22:24:57.71" personId="{AD1FAA3F-1360-44AB-83DF-B4908D76B23C}" id="{113A9309-B02E-427D-B6D4-DB9BCA5C5EF3}" parentId="{6937382E-52AE-41C1-9B03-A5CBBB81B28A}">
    <text>10/16</text>
  </threadedComment>
  <threadedComment ref="J1141" dT="2024-11-07T13:44:23.32" personId="{AD1FAA3F-1360-44AB-83DF-B4908D76B23C}" id="{6C8D002D-8DFE-43BE-83D6-CC06B42131F4}" parentId="{6937382E-52AE-41C1-9B03-A5CBBB81B28A}">
    <text>11/7</text>
  </threadedComment>
  <threadedComment ref="J1141" dT="2024-12-10T23:13:23.79" personId="{AD1FAA3F-1360-44AB-83DF-B4908D76B23C}" id="{9A658B24-FFBD-48F6-B8CA-9BA059DA4F30}" parentId="{6937382E-52AE-41C1-9B03-A5CBBB81B28A}">
    <text>12/10</text>
  </threadedComment>
  <threadedComment ref="J1141" dT="2024-12-17T17:19:34.28" personId="{AD1FAA3F-1360-44AB-83DF-B4908D76B23C}" id="{A4F917E3-7919-4EDB-BCA9-314E838DF02C}" parentId="{6937382E-52AE-41C1-9B03-A5CBBB81B28A}">
    <text>updated and reviewed</text>
  </threadedComment>
  <threadedComment ref="J1143" dT="2024-07-19T13:39:41.40" personId="{AD1FAA3F-1360-44AB-83DF-B4908D76B23C}" id="{AAFA3DBC-4E4E-4477-8C1E-0F776720A681}">
    <text>7/19</text>
  </threadedComment>
  <threadedComment ref="J1143" dT="2024-08-06T22:29:33.38" personId="{AD1FAA3F-1360-44AB-83DF-B4908D76B23C}" id="{91A18F68-E982-40B9-8E9E-4E30F9CC22B4}" parentId="{AAFA3DBC-4E4E-4477-8C1E-0F776720A681}">
    <text>8/6</text>
  </threadedComment>
  <threadedComment ref="J1143" dT="2024-10-10T17:55:34.00" personId="{AD1FAA3F-1360-44AB-83DF-B4908D76B23C}" id="{771A4E27-E261-45F4-B366-003C613F8314}" parentId="{AAFA3DBC-4E4E-4477-8C1E-0F776720A681}">
    <text>10/10</text>
  </threadedComment>
  <threadedComment ref="J1143" dT="2024-10-16T22:25:02.96" personId="{AD1FAA3F-1360-44AB-83DF-B4908D76B23C}" id="{66FA84DA-358D-4E7E-B4EF-CE300B3A03B5}" parentId="{AAFA3DBC-4E4E-4477-8C1E-0F776720A681}">
    <text>10/16</text>
  </threadedComment>
  <threadedComment ref="J1143" dT="2024-11-07T13:44:30.29" personId="{AD1FAA3F-1360-44AB-83DF-B4908D76B23C}" id="{ECEA3ADA-9F91-44C3-A539-2BC89E2BFA89}" parentId="{AAFA3DBC-4E4E-4477-8C1E-0F776720A681}">
    <text>11/7</text>
  </threadedComment>
  <threadedComment ref="J1143" dT="2024-12-10T23:13:14.64" personId="{AD1FAA3F-1360-44AB-83DF-B4908D76B23C}" id="{879B6B33-EDE9-4393-8B06-8422EBF14CD1}" parentId="{AAFA3DBC-4E4E-4477-8C1E-0F776720A681}">
    <text>12/10</text>
  </threadedComment>
  <threadedComment ref="J1143" dT="2024-12-17T17:22:53.45" personId="{AD1FAA3F-1360-44AB-83DF-B4908D76B23C}" id="{F79C59E2-5D42-4C80-9321-09C3A1AB471D}" parentId="{AAFA3DBC-4E4E-4477-8C1E-0F776720A681}">
    <text>updated and reviewed</text>
  </threadedComment>
  <threadedComment ref="Q1148" dT="2024-04-22T19:11:53.42" personId="{EB756D3C-0333-4781-801C-F36FB858F0FD}" id="{1675432B-7C8D-465E-AC07-5E69EE5E9654}">
    <text>@Pohlman, Mitchell - Can you please reply with a comment with the justification for spend being more than $5k?</text>
    <mentions>
      <mention mentionpersonId="{1465C73A-D205-4B93-A7A1-43F1AADD3CE4}" mentionId="{A3728974-9493-4194-8FEA-F2436EAA84CF}" startIndex="0" length="18"/>
    </mentions>
  </threadedComment>
  <threadedComment ref="Q1148" dT="2024-04-22T22:24:42.95" personId="{739B1764-671C-42A9-B3C0-653139EA152B}" id="{4C13BADD-4FF9-4CFD-930F-ACE046C941BF}" parentId="{1675432B-7C8D-465E-AC07-5E69EE5E9654}">
    <text>Revision due to Engineering requested change in tie-in method to meets piggable transmission pipeline standards after revised departmental approach to classification. Revision required BOM material updates, plan sheet adjustments, and revised test data.</text>
  </threadedComment>
  <threadedComment ref="AJ1149" dT="2024-04-15T19:59:54.58" personId="{E8EF2CEE-A9C0-4A56-A06B-BC6445822825}" id="{70EDAF85-7348-4DBC-9C7B-7DF8A084E553}">
    <text xml:space="preserve">The service locates obtained were under the hourly task. The rest of the main was potholed by the developer. </text>
  </threadedComment>
  <threadedComment ref="X1156" dT="2024-05-09T16:34:02.94" personId="{1B2CDA8A-CEFC-4136-87C1-B34BF471D2DA}" id="{B421A5D4-3C76-4C20-A505-578F2935F8FB}">
    <text>@Dina, Eric just FYI, these numbers that you previously had in here included OH, I updated to be the direct estimates</text>
    <mentions>
      <mention mentionpersonId="{F9D0559D-AD59-4808-8048-C5973E55A36A}" mentionId="{7D34411D-8C45-46F9-A33D-B48CAAA513B5}" startIndex="0" length="11"/>
    </mentions>
  </threadedComment>
  <threadedComment ref="X1156" dT="2024-05-09T16:53:24.76" personId="{B43CBA0C-5DE4-4FB3-8951-794B7F7C4646}" id="{91363A4E-E3CD-490F-8C1E-D0ECF882E787}" parentId="{B421A5D4-3C76-4C20-A505-578F2935F8FB}">
    <text>Thanks for making the change. @Hopkins, Matt  @Ekstrom, Ethan please note for next time</text>
    <mentions>
      <mention mentionpersonId="{9E19E8B3-7A88-4DEE-A51F-9DD7636E6CDB}" mentionId="{5A04974C-BDB3-457F-997C-41A6492FB083}" startIndex="30" length="14"/>
      <mention mentionpersonId="{056D57C1-81F5-4319-9D83-599A1840E0BE}" mentionId="{DF93C675-5842-4DE1-B610-EA708AD539F9}" startIndex="46" length="15"/>
    </mentions>
  </threadedComment>
  <threadedComment ref="Q1157" dT="2024-06-26T20:48:06.09" personId="{24E6244D-1EC0-4D28-8AA4-3342015D362A}" id="{514ACFC5-108E-4AA5-88AD-E56F289A1CBF}">
    <text>@Betland, Joseph - could you please provide context to justify the amount of spend here?</text>
    <mentions>
      <mention mentionpersonId="{E6421D29-A382-450E-BB08-617C1D9F9AED}" mentionId="{A10999BF-F3AC-4F9F-AF99-EFBEEFFA078D}" startIndex="0" length="16"/>
    </mentions>
  </threadedComment>
  <threadedComment ref="Q1157" dT="2024-06-26T20:58:53.96" personId="{C292F702-D4C8-427F-8060-CA8E0A11E4F6}" id="{897E017A-011F-4D43-A88E-10D4D2538BFC}" parentId="{514ACFC5-108E-4AA5-88AD-E56F289A1CBF}">
    <text xml:space="preserve">Full re-route of 8 additional sheets in order to get around the settlment conditions identified by CCDOTH. Significant coordination with CCDOTH and Nicor, and Nicor Engineering determined that they did not want the risk of settlement issues. I discussed this revision with Josh and Chip previously as well. </text>
  </threadedComment>
  <threadedComment ref="BA1157" dT="2024-06-25T17:55:08.32" personId="{1B2CDA8A-CEFC-4136-87C1-B34BF471D2DA}" id="{5B3C5EBE-AD12-47C5-A12E-6F1BB9322693}">
    <text>County changed settlement requirements, Nicor determined it wasn't worth the risk and wanted to re-route</text>
  </threadedComment>
  <threadedComment ref="BI1157" dT="2024-05-16T15:30:47.60" personId="{1B2CDA8A-CEFC-4136-87C1-B34BF471D2DA}" id="{3E63A35F-A9D1-4749-AC53-E4219FEAF54E}">
    <text>@Chamernik, Conner please fill out all red cells</text>
    <mentions>
      <mention mentionpersonId="{57B91CBD-0327-4D8C-B370-773C13F6634B}" mentionId="{FDF60AC6-63A2-43C6-A292-F894793186FB}" startIndex="0" length="18"/>
    </mentions>
  </threadedComment>
  <threadedComment ref="BI1157" dT="2024-05-16T16:51:51.65" personId="{0F8BBC01-9FFE-46F1-A588-E756CD2DAAE0}" id="{7BE552E7-C8CF-4725-9011-C20125F0653C}" parentId="{3E63A35F-A9D1-4749-AC53-E4219FEAF54E}">
    <text>@Betland, Joseph  done</text>
    <mentions>
      <mention mentionpersonId="{E6421D29-A382-450E-BB08-617C1D9F9AED}" mentionId="{C350C5C4-5493-4D25-B584-6FD7CD7E82C4}" startIndex="0" length="16"/>
    </mentions>
  </threadedComment>
  <threadedComment ref="K1161" dT="2024-05-08T18:28:39.78" personId="{1B2CDA8A-CEFC-4136-87C1-B34BF471D2DA}" id="{C125FC65-80DC-4C7A-8926-FF183F1FAD97}">
    <text>@Lierow, Taylor please fill out red cells and highlight yellow when ready for my review. Please continue to follow up on this date as well</text>
    <mentions>
      <mention mentionpersonId="{502BF9D0-8DCD-49BB-B66D-0DCEA37B4151}" mentionId="{5FADC211-8430-44D5-A0D4-61C15AC233EE}" startIndex="0" length="15"/>
    </mentions>
  </threadedComment>
  <threadedComment ref="K1163" dT="2024-05-14T17:03:38.39" personId="{C292F702-D4C8-427F-8060-CA8E0A11E4F6}" id="{6D79263C-D6D2-4957-9EC0-E52D9747B38C}">
    <text>@Dina, Eric  can you pull in an analyst to fill out the red cells? Have them highlight yellow when ready for my review. Thanks!</text>
    <mentions>
      <mention mentionpersonId="{F9D0559D-AD59-4808-8048-C5973E55A36A}" mentionId="{E656F753-5CA1-457F-948F-8FEDE7AB56F8}" startIndex="0" length="11"/>
    </mentions>
  </threadedComment>
  <threadedComment ref="K1163" dT="2024-05-14T19:53:35.41" personId="{B43CBA0C-5DE4-4FB3-8951-794B7F7C4646}" id="{E9FC6CF2-39BF-4A6A-AE06-69032A358C2F}" parentId="{6D79263C-D6D2-4957-9EC0-E52D9747B38C}">
    <text>Done, with the exception of Shactee effort.  I'll populate once we get the invoice.</text>
  </threadedComment>
  <threadedComment ref="Q1167" dT="2024-06-20T21:58:34.40" personId="{EB756D3C-0333-4781-801C-F36FB858F0FD}" id="{FF7E8FCC-A6AE-431E-A9A7-6E075FF3DF68}">
    <text>Revision involved major design coordination and resulted in changes to large portions of the design changing. Install method was changed, quantities updated, scope was broken in two work orders, tie-ins were changed, and vault design was removed.</text>
  </threadedComment>
  <threadedComment ref="R1170" dT="2024-07-24T14:56:02.24" personId="{24E6244D-1EC0-4D28-8AA4-3342015D362A}" id="{5D1CFB9C-EFC8-4303-9885-49E59186B505}">
    <text>@Purtell, Tim/@Betland, Joseph   - updated this to "Hourly" and then entered in $14,750 in KH Hourly Effort to be consistent. I assume Logan has moved the time to an hourly task and then Walted the remaining time. It looks like your note in column M creates a record of this (however if you want to put something on this cell, I would just create a cell comment so that it doesn’t mess up the filters when we sort by hourly, %, etc.)</text>
    <mentions>
      <mention mentionpersonId="{04BCACC7-04FA-4A9D-9DCE-8E3808E45E3D}" mentionId="{DD09C42A-B273-4560-A15A-3AAE581D2481}" startIndex="0" length="13"/>
      <mention mentionpersonId="{E6421D29-A382-450E-BB08-617C1D9F9AED}" mentionId="{30BA5FEF-C32A-473D-B373-5500740514B6}" startIndex="14" length="16"/>
    </mentions>
  </threadedComment>
  <threadedComment ref="R1170" dT="2024-07-24T15:16:43.84" personId="{3BA37BBC-10FC-4BDA-B888-29DE350DF251}" id="{791E11A4-1C87-426C-82EA-6EB4B62DA1FA}" parentId="{5D1CFB9C-EFC8-4303-9885-49E59186B505}">
    <text>@Whitson, Bryan @Betland, Joseph  Logan did not move the effort to an hourly task and instead kept it under the $6,750 contract value (so the contract value for RS1202 is $6750+14750). This was the only way to bill exactly $14750. I do not think this would impact this change, but wanted to make you aware.</text>
    <mentions>
      <mention mentionpersonId="{46338084-C8BF-401F-9948-B0D316E50867}" mentionId="{3EFFA184-1EF5-400A-AE63-DEEAAFB49246}" startIndex="0" length="15"/>
      <mention mentionpersonId="{E6421D29-A382-450E-BB08-617C1D9F9AED}" mentionId="{139033D1-BB39-479D-93A7-AD61F95C102A}" startIndex="16" length="16"/>
    </mentions>
  </threadedComment>
  <threadedComment ref="Q1174" dT="2024-06-26T21:11:06.53" personId="{C292F702-D4C8-427F-8060-CA8E0A11E4F6}" id="{DCB0FF39-854C-4CF5-8022-48E6C01D07CF}">
    <text xml:space="preserve">17 sheet MOT plan along IL-19 and coordination associated with this. 3 stages of traffic plans in order to minimize the impact to traffic in the area. </text>
  </threadedComment>
  <threadedComment ref="AJ1178" dT="2024-06-06T14:35:26.73" personId="{0F8BBC01-9FFE-46F1-A588-E756CD2DAAE0}" id="{4E2BB3B0-DD31-439B-8B13-02FC249872AC}">
    <text>Shactee locates ($1,368.34) + Helix ($6,850)</text>
  </threadedComment>
  <threadedComment ref="H1183" dT="2025-06-05T15:40:25.98" personId="{1B2CDA8A-CEFC-4136-87C1-B34BF471D2DA}" id="{97456E6F-8D65-449F-8245-57C03618B828}">
    <text xml:space="preserve">@Michaels, Nick  curious to get your thoughts on this - this wasn’t technically a revision, it was a breakout of scope from the original SC18611 project. We didn’t report this in Steering Committee as a revision, and we didn’t list revision on the sheets. We are going through a revision now so want to nail this down. </text>
    <mentions>
      <mention mentionpersonId="{B4D9CDF8-D824-45AC-9EAC-9C126A267B65}" mentionId="{459F24EB-8B2A-46C5-9DD3-1742DE4D6CF1}" startIndex="0" length="15"/>
    </mentions>
  </threadedComment>
  <threadedComment ref="H1183" dT="2025-06-06T12:04:48.12" personId="{B4724FC5-43AB-4157-BA86-A31D51B278BB}" id="{8CC0334C-8D6C-4B36-83B5-1697FC70EA6D}" parentId="{97456E6F-8D65-449F-8245-57C03618B828}">
    <text>Hmm - did we count it as a "released" project when we originally finished it? If we did, then we should show it as a revision. If not, im wondering if this should still be out of scope analysis since technically this was never a project we "completed". Either way, this is likely one we will need to talk through as a group but those are my thoughts right now.</text>
  </threadedComment>
  <threadedComment ref="H1183" dT="2025-06-06T12:12:33.68" personId="{C292F702-D4C8-427F-8060-CA8E0A11E4F6}" id="{9F8CF86A-CD2F-4D04-BBAA-17EC39DCD167}" parentId="{97456E6F-8D65-449F-8245-57C03618B828}">
    <text>The original SC18611 was counted as a fully released project, yes. And I think I had agreed with your logic, which is why we had noted this as a revision in completed projects. However, we didn't note it on the plans or report as that during steering committee, and now we have a true revision on the project and so just want to make sure we note that correctly. We can discuss more later</text>
  </threadedComment>
  <threadedComment ref="Q1183" dT="2024-06-26T20:46:29.11" personId="{24E6244D-1EC0-4D28-8AA4-3342015D362A}" id="{4A37E278-04F9-4056-AF70-FD358B4298C9}">
    <text>@Betland, Joseph - could you please provide context to justify the amount of spend here?</text>
    <mentions>
      <mention mentionpersonId="{E6421D29-A382-450E-BB08-617C1D9F9AED}" mentionId="{6DDDC8B9-69D4-428A-A08B-D425DE0B2435}" startIndex="0" length="16"/>
    </mentions>
  </threadedComment>
  <threadedComment ref="Q1183" dT="2024-06-26T21:01:37.55" personId="{C292F702-D4C8-427F-8060-CA8E0A11E4F6}" id="{AD409793-092F-4808-A547-4DC388589DAC}" parentId="{4A37E278-04F9-4056-AF70-FD358B4298C9}">
    <text xml:space="preserve">This was a redesign to split out a significant portion of work from the original scope to reduce disturbance area for permitting. Redesign included a full new plan set, 8 design sheets, a full new cost estimate WO prepared, and coordination with Nicor departments. </text>
  </threadedComment>
  <threadedComment ref="Q1186" dT="2024-06-26T20:46:50.93" personId="{24E6244D-1EC0-4D28-8AA4-3342015D362A}" id="{4C70A033-6B22-4E73-852E-6BC87D0B68E3}">
    <text>@Betland, Joseph - could you please provide context to justify the amount of spend here?</text>
    <mentions>
      <mention mentionpersonId="{E6421D29-A382-450E-BB08-617C1D9F9AED}" mentionId="{D4B3F625-4076-4A6A-BAA5-9CFB499AB018}" startIndex="0" length="16"/>
    </mentions>
  </threadedComment>
  <threadedComment ref="Q1186" dT="2024-06-26T21:06:31.36" personId="{C292F702-D4C8-427F-8060-CA8E0A11E4F6}" id="{D2E6E598-498E-47BB-9D18-5AA948B84B9D}" parentId="{4C70A033-6B22-4E73-852E-6BC87D0B68E3}">
    <text xml:space="preserve">After project release, developer stated that they did not want to pay the cost that Nicor had provided them an estimate for. In June 2023 Nicor had approved KH to move forward while they coordinated the cost estimate. This cost included analysis of updated developer design, coordinating scope with Nicor, updating drawings (removed 1 sheet and updated design on others) and updating cost estimate for Nicor coordination with developer. </text>
  </threadedComment>
  <threadedComment ref="BK1187" dT="2024-05-10T16:29:30.37" personId="{1B2CDA8A-CEFC-4136-87C1-B34BF471D2DA}" id="{71B20A0C-7EEF-442D-87A8-213D362F712E}" done="1">
    <text>@Hopkins, Matt please update red cells</text>
    <mentions>
      <mention mentionpersonId="{9E19E8B3-7A88-4DEE-A51F-9DD7636E6CDB}" mentionId="{925D65B1-EAC2-467C-8013-D1660992FFA0}" startIndex="0" length="14"/>
    </mentions>
  </threadedComment>
  <threadedComment ref="BN1187" dT="2024-04-22T12:34:03.60" personId="{AD1FAA3F-1360-44AB-83DF-B4908D76B23C}" id="{871C5A9C-5487-461D-A5C7-D274735B98BE}" done="1">
    <text>@Hopkins, Matt Please fill out if you anticipate sending for shactee review</text>
    <mentions>
      <mention mentionpersonId="{9E19E8B3-7A88-4DEE-A51F-9DD7636E6CDB}" mentionId="{ED58C701-F8D0-4A4C-A084-234FBAAD4045}" startIndex="0" length="14"/>
    </mentions>
  </threadedComment>
  <threadedComment ref="O1188" dT="2024-06-24T17:01:18.12" personId="{1B2CDA8A-CEFC-4136-87C1-B34BF471D2DA}" id="{4ED4B113-6514-4FA6-87AC-E2067634A01E}">
    <text>@Michaels, Nick is this all closed out and should be billed in june?</text>
    <mentions>
      <mention mentionpersonId="{B4D9CDF8-D824-45AC-9EAC-9C126A267B65}" mentionId="{DC2DD32C-F09C-4734-ABAE-3F3DB4A8989E}" startIndex="0" length="15"/>
    </mentions>
  </threadedComment>
  <threadedComment ref="O1188" dT="2024-06-24T21:10:11.79" personId="{B4724FC5-43AB-4157-BA86-A31D51B278BB}" id="{030430A3-A69B-486A-B8B6-839F15A537C1}" parentId="{4ED4B113-6514-4FA6-87AC-E2067634A01E}">
    <text>@Betland, Joseph  - Updated</text>
    <mentions>
      <mention mentionpersonId="{E6421D29-A382-450E-BB08-617C1D9F9AED}" mentionId="{4B884099-AAFC-4EC5-9631-71D4AAF1F7FB}" startIndex="0" length="16"/>
    </mentions>
  </threadedComment>
  <threadedComment ref="Q1188" dT="2024-06-20T21:51:54.20" personId="{EB756D3C-0333-4781-801C-F36FB858F0FD}" id="{CD9DE999-BAB1-44A5-8118-989019118354}">
    <text>Revision included complete revision of running line for entire scope of project. Running line was moved from parkway into pavement and CCDOTH required notes and details were updated for the new design.</text>
  </threadedComment>
  <threadedComment ref="Q1195" dT="2024-07-23T19:57:45.82" personId="{EB756D3C-0333-4781-801C-F36FB858F0FD}" id="{7C9F007C-9B2D-4D9D-A42B-9C6943CBA6AF}">
    <text>Revision effort included running line changes and significant coordination with the village to get preliminary approval on the proposed changes (per request from Nicor).</text>
  </threadedComment>
  <threadedComment ref="AD1197" dT="2024-07-12T15:23:55.02" personId="{E8EF2CEE-A9C0-4A56-A06B-BC6445822825}" id="{6D7B0462-7FBF-413F-8782-487A5B5C328D}">
    <text xml:space="preserve">Revision was due to changes to DOT scope/design. </text>
  </threadedComment>
  <threadedComment ref="AM1210" dT="2025-07-21T19:04:00.92" personId="{EB756D3C-0333-4781-801C-F36FB858F0FD}" id="{C5B04004-413C-435C-9A08-04188C18163E}">
    <text>Billed Nicor hourly for additional effort</text>
  </threadedComment>
  <threadedComment ref="AM1211" dT="2025-07-21T19:04:53.35" personId="{EB756D3C-0333-4781-801C-F36FB858F0FD}" id="{26348461-40C8-454E-976E-A9F884D65192}">
    <text>Billed Nicor hourly for additional effort.</text>
  </threadedComment>
  <threadedComment ref="Q1212" dT="2025-01-07T16:41:29.97" personId="{EB756D3C-0333-4781-801C-F36FB858F0FD}" id="{4E485A7F-066B-4033-9150-28490BF5A2F7}">
    <text>Hourly invoice that Nicor (Josh Z) agreed to due to out of scope work/changes that occurred on original LS project. Approval of this hourly invoice saved down in project folder.</text>
  </threadedComment>
  <threadedComment ref="Q1227" dT="2024-10-17T14:44:56.55" personId="{EB756D3C-0333-4781-801C-F36FB858F0FD}" id="{2E3ECB00-33F6-40A5-B440-AD03430BB259}">
    <text>Project involved creation of entirely new drawing package to split original 2500 LF WO into 2 separate WO with new quantity, test data, sheet cuts/sheets, conflict analysis, updated design incorporation, and PCTS estimates. Eng was given notice of the increased effort on this project.</text>
  </threadedComment>
  <threadedComment ref="AJ1231" dT="2024-09-16T22:31:46.22" personId="{B43CBA0C-5DE4-4FB3-8951-794B7F7C4646}" id="{4370FE79-0994-4FDD-9BD1-ED39D4D91B2D}" done="1">
    <text>It looks like Millennia forgot to bill us for a pothole.  Getting confirmation.</text>
  </threadedComment>
  <threadedComment ref="AJ1231" dT="2024-10-01T23:59:56.65" personId="{EB756D3C-0333-4781-801C-F36FB858F0FD}" id="{6BADD1BC-7E3B-4122-B8BA-ECBD4077D3A1}" parentId="{4370FE79-0994-4FDD-9BD1-ED39D4D91B2D}">
    <text>Pending response from Millenia</text>
  </threadedComment>
  <threadedComment ref="Q1235" dT="2024-10-18T20:10:55.12" personId="{B43CBA0C-5DE4-4FB3-8951-794B7F7C4646}" id="{366DD6FB-15A5-45BE-BF0A-CAA8A3175DFB}">
    <text>Reasoning for Hourly Task: 
08/30/2023 – 10/26/2023: Redline Revision Items
Task was opened on 08/30/2023 with confirmation from Josh Ziliak. The Village of Barrington Engineer requested onsite meeting from Nicor due to Nicor having delays with construction of the project. These delays triggered adjustments to the plans for Nicor to relocate parts of the project to prevent delays with the Villages construction. Once the plans were redlined and submitted, follow ups were sent to Chip for closing the task. On 11/9/2023, Joey sent an email confirming on Steering Committee with Chip to leave the task open for any additional assistance in the future. 
12/08/2023: Direct &amp; Indirect Conflict Review
Task was used for providing critical areas of needed relocation for the N14915 Scope of Work. This was for Nicor to plan which areas need to be relocated next to prevent Village delays. 
Follows ups were sent monthly from 12/08 to 3/11 to close the task out. 
04/03/2024 – 07/10/2024
Nicor had requested a grading review, plan and submission for a regrading of the vault that was installed as part of this project. The concerns were the drainage in the area and how to improve for the village, and installing curbs for protection for the vault. This SOW included obtaining surveys, putting together grading plans (from asset management) and coordination with Nicor. This task remained open while Chip coordinated with the village. 
09/19/2024 - T&amp;M Closed out with a call with chip. </text>
  </threadedComment>
  <threadedComment ref="Q1235" dT="2024-10-31T22:18:11.23" personId="{EB756D3C-0333-4781-801C-F36FB858F0FD}" id="{0F12B6F4-1A6A-42C0-84B6-4AA534E21C5F}" parentId="{366DD6FB-15A5-45BE-BF0A-CAA8A3175DFB}">
    <text>TLDR: This task was open for quite awhile with Nicor and included a number of different things. Mostly this was construction phase services: multiple site visits, meetings, conflict reviews/exhibits, and then ultimately included the grading plan as well. Chip requested all this effort be lumped together.</text>
  </threadedComment>
  <threadedComment ref="Q1235" dT="2024-10-31T22:29:06.29" personId="{B43CBA0C-5DE4-4FB3-8951-794B7F7C4646}" id="{15F373E9-51D7-484A-9830-A2824F2C272F}" parentId="{366DD6FB-15A5-45BE-BF0A-CAA8A3175DFB}">
    <text>sounds good</text>
  </threadedComment>
  <threadedComment ref="Q1236" dT="2024-11-18T18:04:02.36" personId="{EB756D3C-0333-4781-801C-F36FB858F0FD}" id="{CD60EA5D-7412-4DE0-8546-063D31D79EB1}">
    <text>Over 5k, need comments</text>
  </threadedComment>
  <threadedComment ref="Q1236" dT="2024-11-18T18:04:38.32" personId="{EB756D3C-0333-4781-801C-F36FB858F0FD}" id="{0FF492A0-4444-4FD7-BC23-B95DA4B675A8}" parentId="{CD60EA5D-7412-4DE0-8546-063D31D79EB1}">
    <text>Is the rev 3 for this outstanding still? Another $797.50 charged to it.</text>
  </threadedComment>
  <threadedComment ref="Q1236" dT="2024-11-18T20:53:54.98" personId="{1B2CDA8A-CEFC-4136-87C1-B34BF471D2DA}" id="{1E0ED3F0-3FB8-49FC-B60B-C5AF3CE9310D}" parentId="{CD60EA5D-7412-4DE0-8546-063D31D79EB1}">
    <text xml:space="preserve">The comments for this one came shortly after Rev 1 was released, and were really a part of the first round of comments - they just came late because the County wasn’t coordinated very well. We chatted with Nicor about it and they wanted it released as a separate revision, but that determination wasn’t finalized until October or so, which is why we held off billing and reporting Rev 1. The proposed design didn’t actually, technically, interfere with the ADA ramp, but the County wanted the design added to be safe, and Chip agreed since some of the construction could break up the ramp. It’s worth noting that Nicor did not approve of paying for survey on this project, but we went and got it anyways (and didn’t charge them) due to the DOT not having provided appropriate survey to do a detailed ADA design, and because we knew it would yield a better design. 
Rev 3 comments came in late August but was able to be negotiated out of. </text>
  </threadedComment>
  <threadedComment ref="Q1241" dT="2024-10-03T18:00:27.31" personId="{EB756D3C-0333-4781-801C-F36FB858F0FD}" id="{DC1A200E-0586-446C-B7BA-3DD4D2F188BE}">
    <text>Project required extensive redesign due to unforeseen utility crowding. KH recommended survey during design, but Nicor refused. Additional effort required for site visit.</text>
  </threadedComment>
  <threadedComment ref="Q1243" dT="2024-10-18T12:40:20.85" personId="{AD1FAA3F-1360-44AB-83DF-B4908D76B23C}" id="{F47CCF3F-B1A9-46A2-A5D3-E2ED89DDD135}">
    <text>Nicor Engineering requested limits of WO 1413358 be extended farther west due to the Town of Normal extending construction limits west of the Rivian Entrance. Nicor Engineering requested KH to coordinate proposed tie-ins with SYS OPS, to confirm feasibility and preferences. Coordination with SYS OPS included two running line/tie-in meetings. Additionally, further coordination with multiple Nicor departments was required due to the need for a temporary bypass on the existing vault within the scope. The temporary bypass on the vault resulted in two meetings with Nicor, to confirm departments were comfortable with this design condition. Before the Addendum A request, the vault was to be installed and retired on the adjacent WO 1413964. However, with the western expansion, the temporary bypass line was required to avoid potential conflicts with the existing vault’s bypass line and the DOT’s improvements. KH updated design, design quantities, bill of materials, test sections, and test data sheets, test data tables as a result to the revised tie-in locations.  </text>
  </threadedComment>
  <threadedComment ref="Q1243" dT="2024-10-30T20:46:28.59" personId="{EB756D3C-0333-4781-801C-F36FB858F0FD}" id="{3B620BE1-3C27-41C7-9367-544E32C11728}" parentId="{F47CCF3F-B1A9-46A2-A5D3-E2ED89DDD135}">
    <text>TLDR: DOT project was extended an additional 600’ which included additional conflicts on EX Nicor main and also a vault which was not previously in conflict. Included significant Nicor coordination due to design including new vault bypass.</text>
  </threadedComment>
  <threadedComment ref="Q1244" dT="2024-11-18T18:03:18.56" personId="{EB756D3C-0333-4781-801C-F36FB858F0FD}" id="{9A98B17F-7426-41D4-882D-4FAD321F49DD}">
    <text>Over 5k, need comments</text>
  </threadedComment>
  <threadedComment ref="Q1244" dT="2024-11-18T22:06:45.33" personId="{1B2CDA8A-CEFC-4136-87C1-B34BF471D2DA}" id="{FA9A2508-30CF-4437-B969-B16FFA22A48E}" parentId="{9A98B17F-7426-41D4-882D-4FAD321F49DD}">
    <text xml:space="preserve">I tried being as descriptive as possible in the notes section, but basically this is a medium sized project that required a significant update due to updated Village design. The cost of 31k seems high based on just looking at the amount we expanded scope (only one sheet) but note that the design had to be updated/adjusted on multiple sheets, depth callouts added/adjusted, new linework added in and reviewed, a sheet outside of the DOT scope added that required JULIE coordination and aerial tracing. On top of that, coordinating with multiple Nicor departments from March 2024 to October 2024 to review updated scope/design, cost estimates, etc. led to quite a bit of effort. 
The expanded scope outside of the DOT project was due to increased Village storm sewer design that would have required us to go below the sewer, where there was shallow bedrock. Our design adjusted to get rid of that portion of the relocation, and add a re-route to the south of the DOT improvements. </text>
  </threadedComment>
  <threadedComment ref="Q1255" dT="2024-11-18T17:59:35.51" personId="{EB756D3C-0333-4781-801C-F36FB858F0FD}" id="{4C2DBEC4-1F43-4324-B691-E91F3501337C}">
    <text>Over 5k, need comments</text>
  </threadedComment>
  <threadedComment ref="Q1255" dT="2024-11-18T21:30:22.40" personId="{1B2CDA8A-CEFC-4136-87C1-B34BF471D2DA}" id="{B0D91D35-1EAF-453C-9898-0107029C1E8B}" parentId="{4C2DBEC4-1F43-4324-B691-E91F3501337C}">
    <text xml:space="preserve">This task included some coordination with Nicor to verify if this is something that they would want to include in future coordination/drawings as a precedent, which they did not. We also coordinated with IDOT on this project to push back on the comments and clarify them. Ultimately, Nicor wanted to move forward with the comments but did NOT want their permitting database updated, but want us to keep an eye on this in the future, so we have updated our permitting database accordingly. </text>
  </threadedComment>
  <threadedComment ref="Q1256" dT="2024-11-18T17:58:01.58" personId="{EB756D3C-0333-4781-801C-F36FB858F0FD}" id="{5BDD7D6F-052B-43B8-8533-9CC2D39F451C}">
    <text>This was an advance WO dwg that we completed as hourly per Nicor request. Effort involved 50’ of 8” MOP service design,TDS calculations, Region Review/TDS review and coordination, and multiple scoping and design calls with Nicor and Rivian.</text>
  </threadedComment>
  <threadedComment ref="Q1256" dT="2024-11-21T22:00:03.55" personId="{EB756D3C-0333-4781-801C-F36FB858F0FD}" id="{51131D2B-7611-4832-8C83-45CA5B1CED9C}" parentId="{5BDD7D6F-052B-43B8-8533-9CC2D39F451C}">
    <text>For reference, this saved Nicor ~$2k versus if we’d have billed it as a typical 8% of construction cost.</text>
  </threadedComment>
  <threadedComment ref="Q1263" dT="2025-01-07T16:47:50.91" personId="{EB756D3C-0333-4781-801C-F36FB858F0FD}" id="{EAAEB583-6911-471E-8454-C4CC13BAD8CD}">
    <text xml:space="preserve">All conflict tables on 16 design pages had to adjust for the updated drainage and grading (larger cut sections). ROW got wider in some areas but did not affect running line. Analysis had to be completed with 6" 2003 TR line at the US 20 and N Rees Road. </text>
  </threadedComment>
  <threadedComment ref="J1265" dT="2024-11-18T15:19:21.09" personId="{EB756D3C-0333-4781-801C-F36FB858F0FD}" id="{32ABA6A8-EB57-46BE-A901-F6D2D2B25D82}">
    <text>No EADD in EDSR form. 11/18 is self imposed date.</text>
  </threadedComment>
  <threadedComment ref="Q1266" dT="2024-12-16T23:28:52.08" personId="{EB756D3C-0333-4781-801C-F36FB858F0FD}" id="{2CDA44DF-1383-4E70-B073-ACC83A2236A8}">
    <text>2 Phase/9 Page MOT plan for 1 tie in area and 1 cut and cap/stop area in the middle of E Boughton Rd and IL 53. Multiple phase MOT needed to avoid detour to limit further permitting comments. Boughton (muni) and IL 53 (IDOT) are both very heavily trafficked roadways.</text>
  </threadedComment>
  <threadedComment ref="Q1268" dT="2024-12-16T17:50:09.86" personId="{1B2CDA8A-CEFC-4136-87C1-B34BF471D2DA}" id="{C8378B95-939A-4866-AF1F-289B6FFCFBC6}">
    <text>Need updated Shactee numbers to finalize invoice</text>
  </threadedComment>
  <threadedComment ref="Q1268" dT="2024-12-17T18:51:20.56" personId="{EB756D3C-0333-4781-801C-F36FB858F0FD}" id="{289F7112-BDE3-4CA1-8BCF-E5D7E1182348}" parentId="{C8378B95-939A-4866-AF1F-289B6FFCFBC6}">
    <text>Revision included coordination with multiple AHJs to coordinate an alternate design which IDOT would allow without needing a custom MOT plan which would require further review on their end and slow down the construction schedule. The design change required updating design and changing the baseline to both add and remove certain areas to the scope and changed multiple test sections.</text>
  </threadedComment>
  <threadedComment ref="S1268" dT="2024-12-04T16:27:12.31" personId="{0F8BBC01-9FFE-46F1-A588-E756CD2DAAE0}" id="{01C82F02-DC3E-4F9B-9419-C43029382AAD}">
    <text>TBD, waiting for invoice</text>
  </threadedComment>
  <threadedComment ref="S1268" dT="2024-12-16T16:28:27.86" personId="{1B2CDA8A-CEFC-4136-87C1-B34BF471D2DA}" id="{96B05420-9AC8-4E60-88BB-85A023EEC5B9}" parentId="{01C82F02-DC3E-4F9B-9419-C43029382AAD}">
    <text>@Bruce, Logan  @Chamernik, Conner  has this number been finalized yet? I’m seeing different numbers in the 2024 3rd Party Tracker</text>
    <mentions>
      <mention mentionpersonId="{73D9EF92-8C85-4A0A-9961-617D8678EEFB}" mentionId="{A8F1F6CA-8589-4AB1-806D-8DA1DBFCC857}" startIndex="0" length="13"/>
      <mention mentionpersonId="{57B91CBD-0327-4D8C-B370-773C13F6634B}" mentionId="{D88DF465-F748-41A0-8123-4B02D6406D6E}" startIndex="15" length="18"/>
    </mentions>
  </threadedComment>
  <threadedComment ref="S1268" dT="2024-12-16T17:30:57.87" personId="{734DDAD1-150E-41DC-8408-5A6DB107C271}" id="{FB631FFC-2B98-4544-A651-5FD2C988CB73}" parentId="{01C82F02-DC3E-4F9B-9419-C43029382AAD}">
    <text>we only have 144.25 invoiced from Shactee so far. the rest are estimates. Not sure where this initial number came from</text>
  </threadedComment>
  <threadedComment ref="S1268" dT="2024-12-16T17:40:13.37" personId="{0F8BBC01-9FFE-46F1-A588-E756CD2DAAE0}" id="{AC013B34-130A-4272-B054-2025A4B0EAA9}" parentId="{01C82F02-DC3E-4F9B-9419-C43029382AAD}">
    <text>This was the Shactee estimate when they returned a deliverable. I am still waiting on the invoice to come through to finalize this number.</text>
  </threadedComment>
  <threadedComment ref="S1268" dT="2024-12-16T17:45:08.04" personId="{C292F702-D4C8-427F-8060-CA8E0A11E4F6}" id="{04820907-0FFF-4A02-84A4-4EC778F5A524}" parentId="{01C82F02-DC3E-4F9B-9419-C43029382AAD}">
    <text>It was just an estimate</text>
  </threadedComment>
  <threadedComment ref="S1268" dT="2025-01-07T16:46:56.53" personId="{EB756D3C-0333-4781-801C-F36FB858F0FD}" id="{7F5F0DED-A77E-4D9B-B101-3182328EAC5B}" parentId="{01C82F02-DC3E-4F9B-9419-C43029382AAD}">
    <text>@Betland, Joseph - this is updated per 3rd party review now.</text>
    <mentions>
      <mention mentionpersonId="{E6421D29-A382-450E-BB08-617C1D9F9AED}" mentionId="{660FBC61-847C-46DB-88EC-DB23A6BF484E}" startIndex="0" length="16"/>
    </mentions>
  </threadedComment>
  <threadedComment ref="Q1271" dT="2024-12-16T23:33:08.41" personId="{EB756D3C-0333-4781-801C-F36FB858F0FD}" id="{88D67019-3C98-424E-969A-A93DA6A9018D}">
    <text>Hourly invoice to cover scoping/site visit effort of project that was ultimately cancelled. This project was assigned and we were asked to proceed as quickly as possible due to it being very high priority. Easement exhibits, cost estimate discussions, site visits, survey coordination, and scoping/scoping exhibits were all done/prepared during project kickoff prior to project being cancelled. Hourly invoice for this has already been coordinated with Josh Z.</text>
  </threadedComment>
  <threadedComment ref="Q1272" dT="2024-12-05T22:02:25.40" personId="{EB756D3C-0333-4781-801C-F36FB858F0FD}" id="{813FA110-9C85-4443-9776-35CAFBFC3F30}">
    <text>All effort moved to 168777007.K.501 when cancelled</text>
  </threadedComment>
  <threadedComment ref="U1272" dT="2024-12-02T20:29:03.50" personId="{EB756D3C-0333-4781-801C-F36FB858F0FD}" id="{0A575EBF-E9DB-49ED-A094-CB456ABC59B2}">
    <text>All effort put onto a single task for cancellation/close out.</text>
  </threadedComment>
  <threadedComment ref="Q1273" dT="2024-12-05T22:02:31.56" personId="{EB756D3C-0333-4781-801C-F36FB858F0FD}" id="{EEBE5938-2AE2-4B61-9630-8AC4E72B0A3D}">
    <text>All effort moved to 168777007.K.501 when cancelled</text>
  </threadedComment>
  <threadedComment ref="U1273" dT="2024-12-02T20:29:08.54" personId="{EB756D3C-0333-4781-801C-F36FB858F0FD}" id="{7243EAD2-0C77-46FF-A74B-7034A8E67632}">
    <text>All effort put onto a single task for cancellation/close out.</text>
  </threadedComment>
  <threadedComment ref="J1275" dT="2025-08-11T19:18:38.60" personId="{EB756D3C-0333-4781-801C-F36FB858F0FD}" id="{B49D8DB0-875E-4F88-B6EF-61C1ABC916B5}">
    <text>@Hopkins, Matt - Please provide a status update, follow up, or unhighlight if this is complete. Please make sure this gets addressed ASAP.</text>
    <mentions>
      <mention mentionpersonId="{9E19E8B3-7A88-4DEE-A51F-9DD7636E6CDB}" mentionId="{76EB96F7-340A-4F3B-9DAE-32DF18A0D0FA}" startIndex="0" length="14"/>
    </mentions>
  </threadedComment>
  <threadedComment ref="J1275" dT="2025-08-11T19:25:46.54" personId="{A6785C6D-234D-4BD9-88A0-61CD519244F1}" id="{C579A582-2E0B-4A29-A050-50B1721757ED}" parentId="{B49D8DB0-875E-4F88-B6EF-61C1ABC916B5}">
    <text>this has been included in the outstanding date extension spreadsheet we sent out bi-weekly in the "released project tab"</text>
  </threadedComment>
  <threadedComment ref="Q1288" dT="2025-01-28T17:04:37.39" personId="{EB756D3C-0333-4781-801C-F36FB858F0FD}" id="{1C3F997D-F730-4F0F-B6DF-B70B5971AAD0}">
    <text>Revision involved full redesign of ~1250LF of gas main from parkway into road and adjustment to pavt break quantities and tie-ins along this stretch as well.</text>
  </threadedComment>
  <threadedComment ref="Q1289" dT="2025-01-21T22:05:14.26" personId="{EB756D3C-0333-4781-801C-F36FB858F0FD}" id="{CB8B618D-8715-4CE1-BF46-15EDD6017366}">
    <text>@Betland, Joseph - add comment to justify spend over 5k</text>
    <mentions>
      <mention mentionpersonId="{E6421D29-A382-450E-BB08-617C1D9F9AED}" mentionId="{026FECCD-D2D5-4753-842C-757C6AAF8AE6}" startIndex="0" length="16"/>
    </mentions>
  </threadedComment>
  <threadedComment ref="Q1289" dT="2025-01-21T22:08:36.09" personId="{C292F702-D4C8-427F-8060-CA8E0A11E4F6}" id="{6CDE1284-92C7-4FA8-9683-C3AD089D2DD6}" parentId="{CB8B618D-8715-4CE1-BF46-15EDD6017366}">
    <text>KH team met with and coordinated with CCDOTH multiple times, as well as coordinated with Nicor, to verify that the comments that were incorporated were acceptable by Nicor. This was a project at a CCDOTH and IDOT intersection, so some of the comments from CCDOTH were technically in IDOT ROW. Nicor was frustrated by this, but ultimately had us add the comments that were needed to push this through. CCDOTH also wanted a full grading plan for a small amount of sidewalk restoration, which KH pushed back on somewhat successfully, and coordinated with Nicor to provide a blowup detail and some notes, as opposed to a full grading plan. CCDOTH reported to KH that thei reviews were not previously incorporating certain departments, which it sounds like they will be moving forrward. Chip is very aware of this revision and expressed continued frustration with CCDOTH.</text>
  </threadedComment>
  <threadedComment ref="Q1290" dT="2025-01-21T22:31:51.27" personId="{C292F702-D4C8-427F-8060-CA8E0A11E4F6}" id="{53908814-43A2-4302-AEBF-1A3CF4829B3D}">
    <text xml:space="preserve">Task was originally opened due to Nicor's request for KH to assist on reviewing different design options that would avoid the large re-route that was originally decided on, as well as got the main relocated in time for the DOT's construction schedule. The challenge with this project was the a ~30' grade cut to lower a road and build a bridge over it, effectively cut off the only 6" gas main connection point between two large systems, which is what caused the re-route. KH met with the Village and multiple Nicor departments a number of times to go over different options to cross the large grade cut, different ways of crossing the railroad, what needed to be relocated first, etc. Ultimately, Nicor elected to splitting the work into two phases, which accomplishes eliminating the large re-route to the north, as well as relocates the main that the DOT needs gone immediately. 
</text>
  </threadedComment>
  <threadedComment ref="D1303" dT="2025-04-15T17:27:02.82" personId="{923A6378-7149-496A-9AA9-5877E99B04E1}" id="{A2D96BD8-8006-4D80-9B93-DA7D84B1BD13}">
    <text>Previously 1014369. Changed due to IT issues on Nicor's end</text>
  </threadedComment>
  <threadedComment ref="Q1305" dT="2025-02-20T14:03:10.03" personId="{1B2CDA8A-CEFC-4136-87C1-B34BF471D2DA}" id="{BC252AC5-372F-4ABF-830D-560CDEA90407}">
    <text xml:space="preserve">There were 4 separate hourly requests from Nicor for this project:
On 10/16/24, Nicor ConOps requested Kimley-Horn to complete a redline markup to revise the main at the intersection of Archer Ave (IL-171) and Oak Grove Ave.  The hourly effort for this task included coordination, design, and the submittal of a redlined field exhibit.  This was submitted to Nicor on 10/24/24.
On 10/29/24, Nicor ConOps requested Kimley-Horn to analyze a running line along W 79th St that was provided in a markup that was a result of a site walk that they completed.  The hourly effort for this task included the analysis of the proposed running line against the proposed IDOT improvements and the submittal of an analysis exhibit.  The exhibit was submitted to Nicor on 10/31/24.
On 11/12/24, Nicor ConOps and Engineering requested Kimley-Horn to complete a running line analysis along W 79th St to potentially eliminate some of the relocation scope due to some originally identified conflicts being deemed as no conflict after Nicor discussions with IDOT.  The hourly effort for this task included the analysis of the conflicts and proposed relocation design along W 79th St, and the submittal included a exhibits and an email detailing the findings.  This was submitted to Nicor on 11/18/24.
On 11/19/24, Nicor Engineering requested Kimley-Horn to investigate a new conflict that was found during IDOT’s construction at the intersection of 88th Ave and W 81st St.  The conflict was due to the gas main being shown in a different location on the atlas pages than what was found during construction.  These findings resulted in a required main reroute to resolve the conflict.  The hourly effort for this task includes the effort to complete Revision 3.  Kimley-Horn also obtained additional electronic locates for the affected area.
</text>
  </threadedComment>
  <threadedComment ref="Q1307" dT="2025-02-20T14:04:17.82" personId="{1B2CDA8A-CEFC-4136-87C1-B34BF471D2DA}" id="{982B6AFC-DB58-4A9E-A085-3D5BD16E5BC4}">
    <text xml:space="preserve">Will County updated drawings that required updated running line changes to one design sheet, and multiple conflict tables on multiple design sheets. The ComEd updated design was provided and we originally were asked by Nicor to do a redline revision, but when Will County’s design required an update to the drawings, Nicor requested that the running line updates from ComEd’s design, was included in that as well. </text>
  </threadedComment>
  <threadedComment ref="AB1308" dT="2025-02-12T22:46:30.58" personId="{EB756D3C-0333-4781-801C-F36FB858F0FD}" id="{A3DC9674-2231-4CC6-B0FA-34F53B4148BA}">
    <text>Ron Westphal</text>
  </threadedComment>
  <threadedComment ref="AK1311" dT="2025-01-27T20:20:30.25" personId="{AD1FAA3F-1360-44AB-83DF-B4908D76B23C}" id="{21AD14EE-A2EA-4616-B2A2-CFD4737370D6}" done="1">
    <text>@Rojas, Taylor When you have a minute can you please help pull the effort from Shactee on this project?</text>
    <mentions>
      <mention mentionpersonId="{FA85CEED-3E1F-4D20-BCFE-4E7CBFAF58D2}" mentionId="{C48994DB-1FB2-48D2-B322-E89C7EB3C488}" startIndex="0" length="14"/>
    </mentions>
  </threadedComment>
  <threadedComment ref="J1315" dT="2025-03-07T14:17:17.95" personId="{E8EF2CEE-A9C0-4A56-A06B-BC6445822825}" id="{72316CF4-C75A-4BB7-8FEE-DC59D5ED8AFC}">
    <text>F/U 3/7</text>
  </threadedComment>
  <threadedComment ref="J1315" dT="2025-04-07T17:01:45.86" personId="{0C89833E-8ABB-488B-84F5-2B758CCB897E}" id="{8DD71344-9FC0-44CA-B37F-2B31F2CB1CAC}" parentId="{72316CF4-C75A-4BB7-8FEE-DC59D5ED8AFC}">
    <text>F/U 4/7</text>
  </threadedComment>
  <threadedComment ref="J1315" dT="2025-08-11T19:20:31.14" personId="{EB756D3C-0333-4781-801C-F36FB858F0FD}" id="{28B9D1C4-4AAA-42DB-B8EB-C6F71895DBE2}" parentId="{72316CF4-C75A-4BB7-8FEE-DC59D5ED8AFC}">
    <text>@Lierow, Taylor / @Kulach, Caroline - Please provide a status update, follow up, or unhighlight if this is complete. Please make sure this gets addressed ASAP.</text>
    <mentions>
      <mention mentionpersonId="{502BF9D0-8DCD-49BB-B66D-0DCEA37B4151}" mentionId="{7292472F-31D2-4565-8E89-6F6B62E329B6}" startIndex="0" length="15"/>
      <mention mentionpersonId="{024AE523-21F1-4810-9EBC-1F52184244F6}" mentionId="{D7D6982C-6056-4CA7-8DFF-8A10BC7F1CFD}" startIndex="18" length="17"/>
    </mentions>
  </threadedComment>
  <threadedComment ref="J1316" dT="2025-08-11T19:19:34.24" personId="{EB756D3C-0333-4781-801C-F36FB858F0FD}" id="{3F58AA1F-D114-4BAA-B6CD-C2B057DCF245}">
    <text>@Castellon, Randy - Please provide a status update, follow up, or unhighlight if this is complete. Please make sure this gets addressed ASAP.
@Lierow, Taylor  - can you coordinate this while Randy is out</text>
    <mentions>
      <mention mentionpersonId="{19AB77A6-6CAB-45F7-B79B-631A6192FCA1}" mentionId="{84AD7F31-D3FE-4D8D-9937-3A763794B489}" startIndex="0" length="17"/>
      <mention mentionpersonId="{502BF9D0-8DCD-49BB-B66D-0DCEA37B4151}" mentionId="{94611F43-F5D5-4D98-8AF0-0D85954E1D4D}" startIndex="143" length="15"/>
    </mentions>
  </threadedComment>
  <threadedComment ref="J1316" dT="2025-08-14T00:33:04.32" personId="{3B2D5CBB-8EEF-4A78-9A0D-33CA3157BEED}" id="{15DA1AEB-19D6-439B-9FCA-0C830C4E142C}" parentId="{3F58AA1F-D114-4BAA-B6CD-C2B057DCF245}">
    <text xml:space="preserve">Doesnt this get followed up on a monthly basis? @Hopkins, Matt </text>
    <mentions>
      <mention mentionpersonId="{9E19E8B3-7A88-4DEE-A51F-9DD7636E6CDB}" mentionId="{58A8D6FB-1771-402D-B2A5-EB7A79F4FBC4}" startIndex="48" length="14"/>
    </mentions>
  </threadedComment>
  <threadedComment ref="M1320" dT="2025-02-20T03:01:43.12" personId="{1B2CDA8A-CEFC-4136-87C1-B34BF471D2DA}" id="{7A0A0A00-FE95-4921-9FCD-AFEE013008E6}">
    <text xml:space="preserve">This WO is the second "phased" portion for N14359 Barrington . Originally, the project included a large reroute to avoid large DOT construction, grade cuts, and proposed utilities. The reroute was reviewed and approved previously, however Engineering had requested to review other options or a phased approach, which included reviewing different running line potentials within the DOT scope, reviewing feasibility of install with challenges such as a creek reroute, proposed and temporary roads, and anchored retaining walls. Much of the coordination included confirmation against the phased approach with System Planning/System Operations, multiple meetings with the Village of Barrington, and design discussion with Engineering and ConOps. The recommendation was to avoid the phased approach due to the schedule and timing imposed by System planning. Ultimately, Nicor moved forward with updating and creating new relocation drawings. 
WO 1214809 Includes a separate plan set with the design of N14359 included the addition of 5 new sheets including updated LG drawings and retirement. There is additional coordination and design considerations with the LG drawing, as well as unique design requirements with Nicor and the Village to communicate construction schedules to avoid any delays with construction. A new permit package for the LG drawing set will be put together for this cost as well. Any and all coordination between Nicor, the Village and IDOT will be included in the cost. </text>
  </threadedComment>
  <threadedComment ref="M1320" dT="2025-02-20T03:02:07.00" personId="{1B2CDA8A-CEFC-4136-87C1-B34BF471D2DA}" id="{A9028D57-BD39-4556-835A-39453016B4FD}" parentId="{7A0A0A00-FE95-4921-9FCD-AFEE013008E6}">
    <text>@Castellon, Randy  keeping this description here for record. Please update red cells and tag @Dina, Eric and I when they’re ready for review</text>
    <mentions>
      <mention mentionpersonId="{19AB77A6-6CAB-45F7-B79B-631A6192FCA1}" mentionId="{0E120E02-A419-4159-A38E-BDE62E4D46C9}" startIndex="0" length="17"/>
      <mention mentionpersonId="{F9D0559D-AD59-4808-8048-C5973E55A36A}" mentionId="{A15D8731-779A-47BA-B24F-84AA7FF43763}" startIndex="93" length="11"/>
    </mentions>
  </threadedComment>
  <threadedComment ref="M1320" dT="2025-03-17T23:14:51.10" personId="{B43CBA0C-5DE4-4FB3-8951-794B7F7C4646}" id="{D40C3F13-CA81-4B0A-83B6-E1A1A8A295DE}" parentId="{7A0A0A00-FE95-4921-9FCD-AFEE013008E6}">
    <text>@Castellon, Randy have you reviewed this revision reasoning for steering committee yet?  Wording still needs to be revised.</text>
    <mentions>
      <mention mentionpersonId="{19AB77A6-6CAB-45F7-B79B-631A6192FCA1}" mentionId="{209792D5-A69D-4762-862B-2A9EB6576CCC}" startIndex="0" length="17"/>
    </mentions>
  </threadedComment>
  <threadedComment ref="M1320" dT="2025-03-19T13:12:16.01" personId="{3B2D5CBB-8EEF-4A78-9A0D-33CA3157BEED}" id="{93339013-64B4-44E9-8F95-A4A3EC26389E}" parentId="{7A0A0A00-FE95-4921-9FCD-AFEE013008E6}">
    <text>@Dina, Eric This reasoning is ready for your review</text>
    <mentions>
      <mention mentionpersonId="{F9D0559D-AD59-4808-8048-C5973E55A36A}" mentionId="{0A8B8A80-A82C-472B-B98D-0FB99AA356C2}" startIndex="0" length="11"/>
    </mentions>
  </threadedComment>
  <threadedComment ref="J1321" dT="2025-08-11T19:16:43.95" personId="{EB756D3C-0333-4781-801C-F36FB858F0FD}" id="{8438E070-6111-4C4B-A734-25D60EE49720}">
    <text>@Corbi, Camille - Please provide a status update, follow up, or unhighlight if this is complete.</text>
    <mentions>
      <mention mentionpersonId="{ABEDD8C2-01F0-4304-90BA-79DEF386422B}" mentionId="{8A92F6AF-900B-4029-B23A-499DC366DEAE}" startIndex="0" length="15"/>
    </mentions>
  </threadedComment>
  <threadedComment ref="J1321" dT="2025-08-11T20:22:57.59" personId="{AD1FAA3F-1360-44AB-83DF-B4908D76B23C}" id="{B81AD281-008F-4924-8DBA-9FE878C2E942}" parentId="{8438E070-6111-4C4B-A734-25D60EE49720}">
    <text>In excel that is sent to eng biweekly - i thought we where using that instead of follow ups?</text>
  </threadedComment>
  <threadedComment ref="J1323" dT="2025-08-11T19:18:19.21" personId="{EB756D3C-0333-4781-801C-F36FB858F0FD}" id="{67D9A772-C2B6-40C0-A531-1952CBB5E698}">
    <text>@Hopkins, Matt - Please provide a status update, follow up, or unhighlight if this is complete. Please make sure this gets addressed ASAP.</text>
    <mentions>
      <mention mentionpersonId="{9E19E8B3-7A88-4DEE-A51F-9DD7636E6CDB}" mentionId="{4F6A3C67-AB7B-42C8-A55D-4F5EE5B070DA}" startIndex="0" length="14"/>
    </mentions>
  </threadedComment>
  <threadedComment ref="J1323" dT="2025-08-11T19:25:33.94" personId="{A6785C6D-234D-4BD9-88A0-61CD519244F1}" id="{B04E6790-57BD-415E-A162-2E954BCBD06C}" parentId="{67D9A772-C2B6-40C0-A531-1952CBB5E698}">
    <text>this has been included in the outstanding date extension spreadsheet we sent out bi-weekly in the "released project tab"</text>
  </threadedComment>
  <threadedComment ref="J1326" dT="2025-03-06T20:20:12.38" personId="{09294521-340C-4E79-A59B-3E18A24C5902}" id="{3E9B7FD1-70B7-4AA4-8A49-D4B89F9E79B5}">
    <text>Follow up 3/6</text>
  </threadedComment>
  <threadedComment ref="J1326" dT="2025-08-11T19:17:26.61" personId="{EB756D3C-0333-4781-801C-F36FB858F0FD}" id="{6CD5148C-DAC5-4E6F-9A8D-CF1C60A3342F}" parentId="{3E9B7FD1-70B7-4AA4-8A49-D4B89F9E79B5}">
    <text>@Ekstrom, Ethan - Please provide a status update, follow up, or unhighlight if this is complete.</text>
    <mentions>
      <mention mentionpersonId="{056D57C1-81F5-4319-9D83-599A1840E0BE}" mentionId="{7658D7A4-92EC-4F62-BACF-4B0E84F0E0AF}" startIndex="0" length="15"/>
    </mentions>
  </threadedComment>
  <threadedComment ref="J1326" dT="2025-08-11T22:16:37.16" personId="{09294521-340C-4E79-A59B-3E18A24C5902}" id="{7A6934C0-2153-4123-BC69-CF385EC6B578}" parentId="{3E9B7FD1-70B7-4AA4-8A49-D4B89F9E79B5}">
    <text>This project has been included in the outstanding date extension spreadsheet we sent out bi-weekly in the "released project tab"</text>
  </threadedComment>
  <threadedComment ref="J1327" dT="2025-08-11T19:17:19.18" personId="{EB756D3C-0333-4781-801C-F36FB858F0FD}" id="{70E70EA3-07CB-4F10-865D-D951ACB322A0}">
    <text>@Ekstrom, Ethan - Please provide a status update, follow up, or unhighlight if this is complete.</text>
    <mentions>
      <mention mentionpersonId="{056D57C1-81F5-4319-9D83-599A1840E0BE}" mentionId="{AD6CC7AB-FF3A-4BDE-8F48-1CE9F11E5058}" startIndex="0" length="15"/>
    </mentions>
  </threadedComment>
  <threadedComment ref="J1327" dT="2025-08-11T22:16:50.93" personId="{09294521-340C-4E79-A59B-3E18A24C5902}" id="{88F615B7-41F9-4866-B12A-F6176D6A88E0}" parentId="{70E70EA3-07CB-4F10-865D-D951ACB322A0}">
    <text>This project has been included in the outstanding date extension spreadsheet we sent out bi-weekly in the "released project tab"</text>
  </threadedComment>
  <threadedComment ref="AC1337" dT="2025-02-21T18:52:00.71" personId="{EB756D3C-0333-4781-801C-F36FB858F0FD}" id="{8D436583-C3C8-477E-B399-22997D111A64}" done="1">
    <text>@LaPorte, Marissa / @McTigue, Thomas - Would you please fill out the red cells in these rows?</text>
    <mentions>
      <mention mentionpersonId="{E0C835FB-FC54-490F-842D-70FB64882B80}" mentionId="{FC9B5D91-3CBE-446C-B299-28709B3B4B9A}" startIndex="0" length="17"/>
      <mention mentionpersonId="{64A125C0-C980-450F-B91F-164A54ED3500}" mentionId="{1B1B25BD-6385-4D7B-A047-60BCDD850F02}" startIndex="20" length="16"/>
    </mentions>
  </threadedComment>
  <threadedComment ref="AC1337" dT="2025-02-24T16:00:01.91" personId="{170BCDB3-C00E-4DAB-8167-9427A631A4A5}" id="{D37B5F3E-6AA0-4334-9750-E7CE0076A172}" parentId="{8D436583-C3C8-477E-B399-22997D111A64}">
    <text>Updated, debrief in March</text>
  </threadedComment>
  <threadedComment ref="Q1340" dT="2025-03-17T22:06:50.97" personId="{EB756D3C-0333-4781-801C-F36FB858F0FD}" id="{073E789F-D437-4001-A698-FE6EDE0CA524}">
    <text>Revision required re-combining of WO drawings that were once separate based on coordination with Nicor to keep all vintage PE main on its own WO. Re-combining of WO required test section, and tie in revisions for ~7700’ of main in a neighborhood (8 test sections).</text>
  </threadedComment>
  <threadedComment ref="J1341" dT="2025-08-11T19:18:28.05" personId="{EB756D3C-0333-4781-801C-F36FB858F0FD}" id="{E121105B-C3F5-4CF9-9899-2B0F3004CB73}">
    <text>@Hopkins, Matt - Please provide a status update, follow up, or unhighlight if this is complete. Please make sure this gets addressed ASAP.</text>
    <mentions>
      <mention mentionpersonId="{9E19E8B3-7A88-4DEE-A51F-9DD7636E6CDB}" mentionId="{7E611870-2905-40CE-A77A-B827E5A2F62A}" startIndex="0" length="14"/>
    </mentions>
  </threadedComment>
  <threadedComment ref="J1341" dT="2025-08-11T22:31:41.32" personId="{A6785C6D-234D-4BD9-88A0-61CD519244F1}" id="{FE81F189-A7F3-4C21-8DBB-FCA527C3740D}" parentId="{E121105B-C3F5-4CF9-9899-2B0F3004CB73}">
    <text>this has been included in the outstanding date extension spreadsheet we sent out bi-weekly in the "released project tab"
chatted with Joey and I will bring this up to Engineering when I'm on a call with them.</text>
  </threadedComment>
  <threadedComment ref="M1344" dT="2025-03-11T20:32:04.72" personId="{1B2CDA8A-CEFC-4136-87C1-B34BF471D2DA}" id="{19EE0DD8-92A3-4ECF-AAD3-20A5E4303730}">
    <text xml:space="preserve">@Chamernik, Conner  by end of this week, could you re-write this to be consistent with the other tasks that are marked “coordination”? See N15837 as a good example. Did we ever get this approved as an hourly task? Not seeing that uploaded to the folder so just curious
@Dina, Eric </text>
    <mentions>
      <mention mentionpersonId="{57B91CBD-0327-4D8C-B370-773C13F6634B}" mentionId="{1B81BC10-A41F-47DA-A6A6-976E11A07F3F}" startIndex="0" length="18"/>
      <mention mentionpersonId="{F9D0559D-AD59-4808-8048-C5973E55A36A}" mentionId="{8251F532-9D6A-499D-92EE-2A0BF073F991}" startIndex="270" length="11"/>
    </mentions>
  </threadedComment>
  <threadedComment ref="M1344" dT="2025-03-17T13:14:34.34" personId="{0F8BBC01-9FFE-46F1-A588-E756CD2DAAE0}" id="{E42631ED-64E2-421B-AFCB-96D4593971AB}" parentId="{19EE0DD8-92A3-4ECF-AAD3-20A5E4303730}">
    <text>I rewrote this and modeled it off N15837. Let me know if you have any questions or would like me to change anything. We did not get hourly approval on this.</text>
  </threadedComment>
  <threadedComment ref="M1344" dT="2025-03-18T12:42:01.95" personId="{1B2CDA8A-CEFC-4136-87C1-B34BF471D2DA}" id="{1590B3DA-1ADF-4776-A61E-F1234B4F17BC}" parentId="{19EE0DD8-92A3-4ECF-AAD3-20A5E4303730}">
    <text>Construction support of the SC21364 – City of St. Charles postponed their construction until spring of 2025. Nicor previously disconnected their main in order for the city to install their culvert. However due to the DOT's construction being delayed, Nicor requested to reconnect the system, disconnect the main again during the city's culvert installation in spring 2025, and then reconnect the system again through a sleeve that the city is installing on top of their culvert. Support also consisted of email coordination and meetings with the City of St Charles, the city's contractor, and various departments at Nicor. Additionally KH looked into alternative running lines/design options and provided preliminary cost estimates.</text>
  </threadedComment>
  <threadedComment ref="M1344" dT="2025-03-18T12:44:47.01" personId="{1B2CDA8A-CEFC-4136-87C1-B34BF471D2DA}" id="{5C4D8CC4-EECC-42AD-9AF7-7D12E3ECD857}" parentId="{19EE0DD8-92A3-4ECF-AAD3-20A5E4303730}">
    <text>I updated this slightly - was the reason that they needed us involved, for the reconnect design and coordination? Did the design end up changing at all?</text>
  </threadedComment>
  <threadedComment ref="M1344" dT="2025-03-18T15:38:01.13" personId="{0F8BBC01-9FFE-46F1-A588-E756CD2DAAE0}" id="{1DEEAB4C-7DA6-4D67-AC6E-70956D850DE7}" parentId="{19EE0DD8-92A3-4ECF-AAD3-20A5E4303730}">
    <text>Design did technically change - just went above instead of below the culvert. We did also explore alternative designs, costs estimates for those  alternative designs, and supported in estimates for rock boring.
We basically got involved when Calvin reached out about looking into alternative designs as ConOps was having some issues in the field going below the culvert. We decided and coordinated it would be feasible to go above if the city laid a PVC sleeve on top of their culvert for Nicor to go above (no clearance but Nicor preferred that). From there, ConOps disconnected the system to allow the city to install their culvert. Once they disconnected, the city pushed their construction out pretty far and Nicor was left with a disconnected system. That's when we really started exploring other options, cost estimates, etc.</text>
  </threadedComment>
  <threadedComment ref="M1344" dT="2025-03-18T22:00:44.34" personId="{1B2CDA8A-CEFC-4136-87C1-B34BF471D2DA}" id="{94D05576-A93E-4321-9CE6-792305856C25}" parentId="{19EE0DD8-92A3-4ECF-AAD3-20A5E4303730}">
    <text>No updated plans though, right?</text>
  </threadedComment>
  <threadedComment ref="J1347" dT="2025-08-11T19:19:18.99" personId="{EB756D3C-0333-4781-801C-F36FB858F0FD}" id="{B5259A27-5D56-48D8-A97D-5ABA8C628E3C}">
    <text>@Castellon, Randy - Please provide a status update, follow up, or unhighlight if this is complete. Please make sure this gets addressed ASAP.
@Lierow, Taylor - can you coordinate this while Randy is out</text>
    <mentions>
      <mention mentionpersonId="{19AB77A6-6CAB-45F7-B79B-631A6192FCA1}" mentionId="{DD2CD207-B941-45AB-94F3-2C6974DF2F65}" startIndex="0" length="17"/>
      <mention mentionpersonId="{502BF9D0-8DCD-49BB-B66D-0DCEA37B4151}" mentionId="{A5C08E61-656B-4584-B2A3-3C7F0A6AAE76}" startIndex="143" length="15"/>
    </mentions>
  </threadedComment>
  <threadedComment ref="J1347" dT="2025-08-11T19:31:22.71" personId="{E8EF2CEE-A9C0-4A56-A06B-BC6445822825}" id="{7209457D-8C98-4148-9B02-D7AFDBCD1A05}" parentId="{B5259A27-5D56-48D8-A97D-5ABA8C628E3C}">
    <text>@Hopkins, Matt Are you aware of this one?</text>
    <mentions>
      <mention mentionpersonId="{9E19E8B3-7A88-4DEE-A51F-9DD7636E6CDB}" mentionId="{AAC7D644-2137-4483-B9E8-4F359328F7F4}" startIndex="0" length="14"/>
    </mentions>
  </threadedComment>
  <threadedComment ref="J1347" dT="2025-08-11T19:36:01.79" personId="{A6785C6D-234D-4BD9-88A0-61CD519244F1}" id="{B58D7E58-CF62-4518-AA87-968561BBECDE}" parentId="{B5259A27-5D56-48D8-A97D-5ABA8C628E3C}">
    <text>this has been included in the outstanding date extension spreadsheet we sent out bi-weekly in the "released project tab"</text>
  </threadedComment>
  <threadedComment ref="J1349" dT="2025-03-07T15:37:57.00" personId="{0C89833E-8ABB-488B-84F5-2B758CCB897E}" id="{D7BDCAB4-C000-4843-8D7C-3AE2718FB49B}">
    <text>F/U 4/7</text>
  </threadedComment>
  <threadedComment ref="J1349" dT="2025-08-11T19:20:41.17" personId="{EB756D3C-0333-4781-801C-F36FB858F0FD}" id="{D62B80F6-7FB8-4DA7-BF72-ACD46FF7015D}" parentId="{D7BDCAB4-C000-4843-8D7C-3AE2718FB49B}">
    <text>@Lierow, Taylor / @Kulach, Caroline - Please provide a status update, follow up, or unhighlight if this is complete. Please make sure this gets addressed ASAP.</text>
    <mentions>
      <mention mentionpersonId="{502BF9D0-8DCD-49BB-B66D-0DCEA37B4151}" mentionId="{B562461A-76AF-4C0D-B984-FF64E40A6890}" startIndex="0" length="15"/>
      <mention mentionpersonId="{024AE523-21F1-4810-9EBC-1F52184244F6}" mentionId="{9692F59F-4E61-4D8A-826B-F5A3E7148D8F}" startIndex="18" length="17"/>
    </mentions>
  </threadedComment>
  <threadedComment ref="J1353" dT="2025-08-11T19:20:15.83" personId="{EB756D3C-0333-4781-801C-F36FB858F0FD}" id="{E74080F8-AF8A-4CFC-9CD2-391296A019AC}">
    <text>@Lierow, Taylor - Please provide a status update, follow up, or unhighlight if this is complete. Please make sure this gets addressed ASAP.</text>
    <mentions>
      <mention mentionpersonId="{502BF9D0-8DCD-49BB-B66D-0DCEA37B4151}" mentionId="{5D42A8BA-3472-4A5A-8DB6-103ABAF20466}" startIndex="0" length="15"/>
    </mentions>
  </threadedComment>
  <threadedComment ref="Q1364" dT="2025-03-17T22:11:14.87" personId="{EB756D3C-0333-4781-801C-F36FB858F0FD}" id="{8D61CDF5-4224-4022-AD5F-45F1BF0ACD0E}">
    <text>Project included “redlining” and incorporating 3 separate PI projects in the Village that they had not notified Nicor of or sent to them. Project also included revising gas main in these areas, conflict analysis, etc. to incorporate DOT improvements. In addition, other permitting comments included updating utility information in our planset. Since the project was released, the Village had created new atlas pages (dated after our project was released) which had their facilities updated in several locations. This involved Nicor design adjustments as well.</text>
  </threadedComment>
  <threadedComment ref="AD1379" dT="2025-03-18T16:30:01.66" personId="{3BA37BBC-10FC-4BDA-B888-29DE350DF251}" id="{B07780F5-B38D-43F9-AD8A-208D6E1AF95B}">
    <text>Madie to update by EOW</text>
  </threadedComment>
  <threadedComment ref="Q1380" dT="2025-04-21T15:24:36.58" personId="{EB756D3C-0333-4781-801C-F36FB858F0FD}" id="{8CA86324-EEB3-4B80-B930-3929BFE50A7A}">
    <text>4-stage 3-mile full MOT and Detour plan for difficult tie in to MOP main under the pavement of an IDOT road (Elmhurst Rd) and the install under pavement of CCDOTH road (Landmeier Rd). 60-page set.</text>
  </threadedComment>
  <threadedComment ref="Q1381" dT="2025-03-21T14:36:12.62" personId="{B43CBA0C-5DE4-4FB3-8951-794B7F7C4646}" id="{7A5FFF1D-2D54-4E83-8455-21CB26BA5924}">
    <text>EXTENDED REASONING: After project release, Nicor coordinate the reimbursable estimate with the developer in which they replied noting that the cost is not within their budget.  Developer provided updated plans and CAD files to avoid direct conflicts with Nicor's existing facilities and to avoid payment for relocation.  KH and Nicor met to discuss the changes to the improvments and to confirm the reimbursable limits to the project.  Nicor approved to open a T&amp;M task to update the WO Drawings with the updated plans from the developer and update the cost estimate to account for the updated reimbursable limits.</text>
  </threadedComment>
  <threadedComment ref="Q1387" dT="2025-03-27T15:46:51.93" personId="{EB756D3C-0333-4781-801C-F36FB858F0FD}" id="{2062131B-A46A-48F5-A00F-C4E4588DC1A6}">
    <text>Original revision effort was to update railroad ROW due to discrepancies in Land Investigation. During coordination for this change, further comments were received from the railroad that they were requesting that the proposed running line be completely revised for the section being jack and bored beneath multiple overpasses, including the UPRR bridge due to not accepting our initial variance request. Coordination with the railroad was required as the new design still required a variance. In addition, the custom MOT plan required extensive revisions for this work, including the addition of a full detour due to the design changes. Extensive coordination has been required for the detour, including presentation to the IDOT Detour Committee and coordination with CDOT (which is currently ongoing) in an effort to shorten the detour route per ConOps request.</text>
  </threadedComment>
  <threadedComment ref="U1392" dT="2025-04-21T21:19:44.34" personId="{EB756D3C-0333-4781-801C-F36FB858F0FD}" id="{7FC05BC6-9DA6-424C-A6D4-7DBC3409F7BC}">
    <text>16280</text>
  </threadedComment>
  <threadedComment ref="BA1397" dT="2025-04-21T17:39:37.27" personId="{1B2CDA8A-CEFC-4136-87C1-B34BF471D2DA}" id="{9AB0CB84-8A43-4862-A45F-1290D62F4168}">
    <text xml:space="preserve">Between this and 4A @Dina, Eric  @Michaels, Nick </text>
    <mentions>
      <mention mentionpersonId="{F9D0559D-AD59-4808-8048-C5973E55A36A}" mentionId="{1B35EDE9-E82F-4232-8E06-87CD578E8A46}" startIndex="20" length="11"/>
      <mention mentionpersonId="{B4D9CDF8-D824-45AC-9EAC-9C126A267B65}" mentionId="{7D1C583B-C94A-4C5C-B0A9-7251FB034846}" startIndex="33" length="15"/>
    </mentions>
  </threadedComment>
  <threadedComment ref="O1399" dT="2025-05-19T19:06:15.27" personId="{EB756D3C-0333-4781-801C-F36FB858F0FD}" id="{9F1D11F2-5800-4F7D-831D-B11B3AC35A64}">
    <text>Bill in June - transmission portion pending approval on how to bill.</text>
  </threadedComment>
  <threadedComment ref="X1399" dT="2025-06-16T22:19:58.71" personId="{1B2CDA8A-CEFC-4136-87C1-B34BF471D2DA}" id="{A94D189C-0455-4AE6-9B66-89DFC4AFB102}">
    <text xml:space="preserve">@Chamernik, Conner  can you please re-check and verify that these numbers are still accurate so that we can bill? Same with the N17865-T numbers in the TR tab. </text>
    <mentions>
      <mention mentionpersonId="{57B91CBD-0327-4D8C-B370-773C13F6634B}" mentionId="{06280D35-1E39-4126-B654-E8F5AEDBE7C7}" startIndex="0" length="18"/>
    </mentions>
  </threadedComment>
  <threadedComment ref="X1399" dT="2025-06-17T13:54:25.37" personId="{0F8BBC01-9FFE-46F1-A588-E756CD2DAAE0}" id="{D58FDEBF-B84A-4A0A-84D2-E28033E6E18F}" parentId="{A94D189C-0455-4AE6-9B66-89DFC4AFB102}">
    <text>@Betland, Joseph both investment and retirement haven't changed. Estimates confirmed.</text>
    <mentions>
      <mention mentionpersonId="{E6421D29-A382-450E-BB08-617C1D9F9AED}" mentionId="{38F66341-D674-439D-9606-9FBE1D40AD81}" startIndex="0" length="16"/>
    </mentions>
  </threadedComment>
  <threadedComment ref="AJ1399" dT="2025-04-15T22:39:33.14" personId="{0F8BBC01-9FFE-46F1-A588-E756CD2DAAE0}" id="{7801DA75-0BA3-4451-A13F-31E91195BB1E}">
    <text>All Helix Locates cost on this WO</text>
  </threadedComment>
  <threadedComment ref="BB1401" dT="2025-04-15T21:05:17.27" personId="{B43CBA0C-5DE4-4FB3-8951-794B7F7C4646}" id="{5059A085-348B-4352-B5F8-C63041F0A284}">
    <text>Will County reviewed this project internally and identified a direct conflict that was not part of our relocation scope.  This was due to the County analyzing existing surface elevations using CAD files that were not provided to Kimley-Horn.  Kimley-Horn used the information available in the PDF plans that were provided to analyze conflicts.  The County has since provided the existing surface file for Kimley-Horn to further analyze.  The hourly effort for this project is to analyze the existing surface file to identify any new conflicts, to identify any eliminated conflicts, and to adjust the proposed depth callouts on the WO drawings, as necessary.  The additional analysis resulted in the need to adjust the main relocation at the intersection of Manhattan Rd (US-52) and W Laraway Rd.  Kimley-Horn obtained additional electronic locates at the intersection which resulted in conflicting information from Nicor’s records.  Due to this, Kimley-Horn planned to obtain two potholes to help verify the main orientation.  During the preparatory electronic locates preceding the potholing activities, a strong signal was obtained that allowed the main to be located far enough to determine the layout of the existing main.  Actual potholes were not obtained due to sufficient data being obtained from the electronic locates and ensuing discussions with Nicor Engineering.  The additional design effort includes the creation of a bore profile, as requested by Nicor ConOps.  The hourly effort for this project will include the effort to complete Revision 3.</text>
  </threadedComment>
  <threadedComment ref="J1410" dT="2025-05-15T13:14:52.84" personId="{EB756D3C-0333-4781-801C-F36FB858F0FD}" id="{A09F6AFF-3A4D-4822-A4F7-5F06C34AB7B8}">
    <text>@Stanley, Mark - are we still pending this date extension? If so, please follow up and add the date of our last follow up.</text>
    <mentions>
      <mention mentionpersonId="{564B30FC-287F-49EB-AA0A-97AAB2676CF3}" mentionId="{95E17A46-24F1-4ADE-81F6-9FA554DD15E3}" startIndex="0" length="14"/>
    </mentions>
  </threadedComment>
  <threadedComment ref="J1410" dT="2025-05-15T14:49:29.94" personId="{F227819F-94A5-4B9E-BFE1-31C425F558EE}" id="{3607B308-9101-496B-90C5-E8BA02CBD1AD}" parentId="{A09F6AFF-3A4D-4822-A4F7-5F06C34AB7B8}">
    <text>Still pending, most recent f/u 5/15/25</text>
  </threadedComment>
  <threadedComment ref="J1410" dT="2025-06-12T16:12:52.46" personId="{F227819F-94A5-4B9E-BFE1-31C425F558EE}" id="{41C31632-6CE6-4227-874B-DB700A43D27C}" parentId="{A09F6AFF-3A4D-4822-A4F7-5F06C34AB7B8}">
    <text>F/U 6/12/25</text>
  </threadedComment>
  <threadedComment ref="J1410" dT="2025-07-07T14:39:58.70" personId="{EB756D3C-0333-4781-801C-F36FB858F0FD}" id="{57D41D45-9E22-4F3C-955F-1A56BE8BB929}" parentId="{A09F6AFF-3A4D-4822-A4F7-5F06C34AB7B8}">
    <text>@Stanley, Mark - please follow up on this if we are still pending approval on this date change.</text>
    <mentions>
      <mention mentionpersonId="{564B30FC-287F-49EB-AA0A-97AAB2676CF3}" mentionId="{E58E20BA-B281-456C-9967-A2E1C2C00B71}" startIndex="0" length="14"/>
    </mentions>
  </threadedComment>
  <threadedComment ref="J1410" dT="2025-07-07T15:24:51.42" personId="{F227819F-94A5-4B9E-BFE1-31C425F558EE}" id="{CE87C13C-9ABB-4375-A41A-DE3A19CE259A}" parentId="{A09F6AFF-3A4D-4822-A4F7-5F06C34AB7B8}">
    <text>f/u 7/7</text>
  </threadedComment>
  <threadedComment ref="J1410" dT="2025-08-11T19:18:04.81" personId="{EB756D3C-0333-4781-801C-F36FB858F0FD}" id="{4ADBCC61-8BE8-43F7-96CE-CAF914261D13}" parentId="{A09F6AFF-3A4D-4822-A4F7-5F06C34AB7B8}">
    <text>@Stanley, Mark / @McTigue, Thomas - Please provide a status update, follow up, or unhighlight if this is complete. Please make sure this gets addressed ASAP.</text>
    <mentions>
      <mention mentionpersonId="{564B30FC-287F-49EB-AA0A-97AAB2676CF3}" mentionId="{5117D8B6-5C54-4690-85B9-A3B93723C411}" startIndex="0" length="14"/>
      <mention mentionpersonId="{64A125C0-C980-450F-B91F-164A54ED3500}" mentionId="{5304819F-533D-4E88-8492-7CD2AFB43D3A}" startIndex="17" length="16"/>
    </mentions>
  </threadedComment>
  <threadedComment ref="J1410" dT="2025-08-15T16:49:50.67" personId="{F227819F-94A5-4B9E-BFE1-31C425F558EE}" id="{56B6B6AA-52AB-4398-AA5C-79C20E076E28}" parentId="{A09F6AFF-3A4D-4822-A4F7-5F06C34AB7B8}">
    <text>Confirmed that this project date change request is on the list that goes out regularly to Nicor. NICOR Date Extensions.xlsx</text>
    <extLst>
      <x:ext xmlns:xltc2="http://schemas.microsoft.com/office/spreadsheetml/2020/threadedcomments2" uri="{F7C98A9C-CBB3-438F-8F68-D28B6AF4A901}">
        <xltc2:checksum>3352011725</xltc2:checksum>
        <xltc2:hyperlink startIndex="97" length="26" url="https://kimleyhorn.sharepoint.com/:x:/r/sites/Nicor/Shared%20Documents/General/Date%20Extensions/NICOR%20Date%20Extensions.xlsx?d=wa598136f82d1423eb60af843eff9951f&amp;csf=1&amp;web=1&amp;e=Go3dQY"/>
      </x:ext>
    </extLst>
  </threadedComment>
  <threadedComment ref="M1423" dT="2025-04-28T21:05:23.17" personId="{B43CBA0C-5DE4-4FB3-8951-794B7F7C4646}" id="{4228BF0D-3380-4F59-AC50-B9A22812A928}">
    <text>EXTENDED REASONING: Nicor confirmed that the proposed improvements from Nicholas Associates on behalf of Rosemont will not be reimbursable to Nicor.  KH to update plans and PCTS.</text>
  </threadedComment>
  <threadedComment ref="M1423" dT="2025-04-30T18:37:46.90" personId="{1B2CDA8A-CEFC-4136-87C1-B34BF471D2DA}" id="{2CF46007-ABED-42D2-9873-951389E86E8F}" parentId="{4228BF0D-3380-4F59-AC50-B9A22812A928}">
    <text>@Hopkins, Matt  please update this reasoning to reflect what this actually involved - did we have to update the drawings to get rid of the reimbursable WO, and update PCTS?</text>
    <mentions>
      <mention mentionpersonId="{9E19E8B3-7A88-4DEE-A51F-9DD7636E6CDB}" mentionId="{5F170484-2DB4-464B-9885-82F215E1C4BE}" startIndex="0" length="14"/>
    </mentions>
  </threadedComment>
  <threadedComment ref="M1423" dT="2025-04-30T18:38:04.12" personId="{1B2CDA8A-CEFC-4136-87C1-B34BF471D2DA}" id="{BC4131A0-20BE-4204-A10C-C6CE36ADA7BD}" parentId="{4228BF0D-3380-4F59-AC50-B9A22812A928}">
    <text>Please use the previous M16177 reasoning as a go-by for consistent formatting</text>
  </threadedComment>
  <threadedComment ref="BA1423" dT="2025-05-05T15:46:33.01" personId="{1B2CDA8A-CEFC-4136-87C1-B34BF471D2DA}" id="{312705A8-41A2-4652-B79C-1B8781573647}" done="1">
    <text>@Dina, Eric  @Hopkins, Matt  @Michaels, Nick  I’m hoping ya’ll can discusss this one prior to liabilities next month as this is a little odd. The previous revision is being noted as 4A due to the muni/developer design change, and this one is due to Nicor adjusting their preference for reimbursable vs. non-reimbursable. I don’t necessarily see this as an “Engineering Design Revision” but wondering if it would fall under 11 “Other”?</text>
    <mentions>
      <mention mentionpersonId="{F9D0559D-AD59-4808-8048-C5973E55A36A}" mentionId="{54D86258-4F0A-4EB0-A17A-9EEEF6319710}" startIndex="0" length="11"/>
      <mention mentionpersonId="{9E19E8B3-7A88-4DEE-A51F-9DD7636E6CDB}" mentionId="{484D35EA-9530-46B1-87B7-B39ED08776DE}" startIndex="13" length="14"/>
      <mention mentionpersonId="{B4D9CDF8-D824-45AC-9EAC-9C126A267B65}" mentionId="{9C758DC6-A6A0-4F4B-8C5E-59C2819DCDE1}" startIndex="29" length="15"/>
    </mentions>
  </threadedComment>
  <threadedComment ref="BA1423" dT="2025-06-05T15:59:33.58" personId="{B43CBA0C-5DE4-4FB3-8951-794B7F7C4646}" id="{B9086FCD-2AE5-45A1-B47E-AAA90249D490}" parentId="{312705A8-41A2-4652-B79C-1B8781573647}">
    <text>confirmed 11 w/ Bryan.</text>
  </threadedComment>
  <threadedComment ref="J1424" dT="2025-02-05T21:10:04.08" personId="{AD1FAA3F-1360-44AB-83DF-B4908D76B23C}" id="{B33F4464-CA97-4C4E-BFE5-E769A21A76E9}">
    <text>sent 2/5</text>
  </threadedComment>
  <threadedComment ref="J1424" dT="2025-03-06T13:39:55.39" personId="{EB756D3C-0333-4781-801C-F36FB858F0FD}" id="{64554022-1DF4-461D-9FF4-2678147EB6D5}" parentId="{B33F4464-CA97-4C4E-BFE5-E769A21A76E9}">
    <text>Follow up 3/6</text>
  </threadedComment>
  <threadedComment ref="J1424" dT="2025-03-31T11:47:46.67" personId="{AD1FAA3F-1360-44AB-83DF-B4908D76B23C}" id="{59DF7760-64BC-4FCD-995A-8BA6A2D3A474}" parentId="{B33F4464-CA97-4C4E-BFE5-E769A21A76E9}">
    <text>3/31</text>
  </threadedComment>
  <threadedComment ref="J1424" dT="2025-04-29T12:50:38.08" personId="{EB756D3C-0333-4781-801C-F36FB858F0FD}" id="{CA0EAE8D-A6A6-4388-96B4-ADB74EE51FA5}" parentId="{B33F4464-CA97-4C4E-BFE5-E769A21A76E9}">
    <text>@Corbi, Camille - Please follow up on this if we havent gotten confirmation yet.</text>
    <mentions>
      <mention mentionpersonId="{ABEDD8C2-01F0-4304-90BA-79DEF386422B}" mentionId="{FCBCC661-F431-4767-86BD-C51335BA2DA3}" startIndex="0" length="15"/>
    </mentions>
  </threadedComment>
  <threadedComment ref="J1424" dT="2025-04-29T12:55:50.51" personId="{AD1FAA3F-1360-44AB-83DF-B4908D76B23C}" id="{1E2B79DA-B779-4307-81D2-85D70F69A427}" parentId="{B33F4464-CA97-4C4E-BFE5-E769A21A76E9}">
    <text>4/29</text>
  </threadedComment>
  <threadedComment ref="J1424" dT="2025-05-22T15:17:43.46" personId="{AD1FAA3F-1360-44AB-83DF-B4908D76B23C}" id="{3F8E7013-41B9-482C-8145-9F3C0893A4E2}" parentId="{B33F4464-CA97-4C4E-BFE5-E769A21A76E9}">
    <text>5/22</text>
  </threadedComment>
  <threadedComment ref="J1424" dT="2025-07-07T14:42:28.78" personId="{EB756D3C-0333-4781-801C-F36FB858F0FD}" id="{F1754393-A8EE-400A-88E2-C239A8666893}" parentId="{B33F4464-CA97-4C4E-BFE5-E769A21A76E9}">
    <text>@Corbi, Camille - please follow uyp on this if we have not gotten confirmation yet</text>
    <mentions>
      <mention mentionpersonId="{ABEDD8C2-01F0-4304-90BA-79DEF386422B}" mentionId="{29413B61-CBD7-4E5D-9DD3-3D0E79A4513A}" startIndex="0" length="15"/>
    </mentions>
  </threadedComment>
  <threadedComment ref="J1424" dT="2025-07-07T15:24:57.70" personId="{F227819F-94A5-4B9E-BFE1-31C425F558EE}" id="{1489B00A-C46A-400B-B232-AD6FA8138B07}" parentId="{B33F4464-CA97-4C4E-BFE5-E769A21A76E9}">
    <text>f/u 7/7</text>
  </threadedComment>
  <threadedComment ref="J1424" dT="2025-08-11T19:16:58.21" personId="{EB756D3C-0333-4781-801C-F36FB858F0FD}" id="{33FA0AE5-14A4-4B0C-A6D3-0954079944CF}" parentId="{B33F4464-CA97-4C4E-BFE5-E769A21A76E9}">
    <text>@Corbi, Camille - Please provide a status update, follow up, or unhighlight if this is complete.</text>
    <mentions>
      <mention mentionpersonId="{ABEDD8C2-01F0-4304-90BA-79DEF386422B}" mentionId="{5F223F86-B6E0-4F9B-A97B-FC01A1F2C6C1}" startIndex="0" length="15"/>
    </mentions>
  </threadedComment>
  <threadedComment ref="J1424" dT="2025-08-11T20:22:53.12" personId="{AD1FAA3F-1360-44AB-83DF-B4908D76B23C}" id="{5E79120F-1926-41AF-A6D6-166686C845D8}" parentId="{B33F4464-CA97-4C4E-BFE5-E769A21A76E9}">
    <text>In excel that is sent to eng biweekly - i thought we where using that instead of follow ups?</text>
  </threadedComment>
  <threadedComment ref="BB1424" dT="2025-03-11T15:15:46.12" personId="{EB756D3C-0333-4781-801C-F36FB858F0FD}" id="{79CD206D-CA12-4A3C-A17B-94ADF031CC0C}" done="1">
    <text xml:space="preserve">@Corbi, Camille - can you add the location of the project (as opposed to the permitting entity)? also, include the major streets and/or major intersection and town it is in? </text>
    <mentions>
      <mention mentionpersonId="{ABEDD8C2-01F0-4304-90BA-79DEF386422B}" mentionId="{75D6C7A3-8274-45E4-873B-C91A272386CE}" startIndex="0" length="15"/>
    </mentions>
  </threadedComment>
  <threadedComment ref="J1425" dT="2025-08-11T19:19:51.83" personId="{EB756D3C-0333-4781-801C-F36FB858F0FD}" id="{4D4DA7D8-7CB5-4F56-B394-384695B585DC}">
    <text>@Castellon, Randy - Please provide a status update, follow up, or unhighlight if this is complete. Please make sure this gets addressed ASAP.
@Lierow, Taylor  - can you coordinate this while Randy is out</text>
    <mentions>
      <mention mentionpersonId="{19AB77A6-6CAB-45F7-B79B-631A6192FCA1}" mentionId="{4B623D10-01F2-4662-AB7D-2AF13F98AA67}" startIndex="0" length="17"/>
      <mention mentionpersonId="{502BF9D0-8DCD-49BB-B66D-0DCEA37B4151}" mentionId="{82625EB1-06E6-4244-BBCA-15B9851E00A2}" startIndex="143" length="15"/>
    </mentions>
  </threadedComment>
  <threadedComment ref="J1425" dT="2025-08-14T00:35:45.60" personId="{3B2D5CBB-8EEF-4A78-9A0D-33CA3157BEED}" id="{51D7B54A-3DD7-498A-9FD4-EDAFAB020A7B}" parentId="{4D4DA7D8-7CB5-4F56-B394-384695B585DC}">
    <text xml:space="preserve">Doesnt this get followed up on a monthly basis? @Hopkins, Matt </text>
    <mentions>
      <mention mentionpersonId="{9E19E8B3-7A88-4DEE-A51F-9DD7636E6CDB}" mentionId="{F9168892-7410-4D4C-A847-8B33C4B6C03D}" startIndex="48" length="14"/>
    </mentions>
  </threadedComment>
  <threadedComment ref="M1432" dT="2025-05-09T23:47:02.89" personId="{B43CBA0C-5DE4-4FB3-8951-794B7F7C4646}" id="{CB42162C-5ABB-4F18-89A1-3BE94CB3C326}">
    <text>EXTENDED REASONING: Revision 1 was requested due to Kankakee County requiring full pipe removal to approve construction within County ROW.  Nicor pushed back on pipe removal comments since request is not stated within county's ordinance.  Nicor approved to remove pipe that will be underneath proposed pavements and for direct conflicts.  Nicor to negotiate pipe removal in the field.</text>
  </threadedComment>
  <threadedComment ref="M1432" dT="2025-05-28T14:05:52.31" personId="{1B2CDA8A-CEFC-4136-87C1-B34BF471D2DA}" id="{944E21CF-068E-4EC4-92CC-89F0C156A994}" parentId="{CB42162C-5ABB-4F18-89A1-3BE94CB3C326}">
    <text>@Hopkins, Matt  can we update the revision reasoning to note that we are removing only specific pipe underneath proposed pavement and/or in direct conflict?</text>
    <mentions>
      <mention mentionpersonId="{9E19E8B3-7A88-4DEE-A51F-9DD7636E6CDB}" mentionId="{7C788C19-5918-4CCB-8608-E602CCB6AC77}" startIndex="0" length="14"/>
    </mentions>
  </threadedComment>
  <threadedComment ref="O1433" dT="2025-06-17T01:25:49.04" personId="{8B95014D-CB0C-4B46-AE57-ECA943BEAC36}" id="{F8099EBB-09A5-4CC6-9557-17F11F873D9F}">
    <text>Do not bill. Tim to coordinate billing with Bryan when back from PTO.</text>
  </threadedComment>
  <threadedComment ref="O1433" dT="2025-07-16T17:49:44.64" personId="{8B95014D-CB0C-4B46-AE57-ECA943BEAC36}" id="{79B17BA3-DE57-411A-B4F2-9BBDAB8E70D8}" parentId="{F8099EBB-09A5-4CC6-9557-17F11F873D9F}">
    <text>Tim followed up with Bryan 7/16 on proposed invoice. Likely has to bill next month.</text>
  </threadedComment>
  <threadedComment ref="M1436" dT="2025-06-17T12:39:11.16" personId="{1B2CDA8A-CEFC-4136-87C1-B34BF471D2DA}" id="{BA1316BF-C600-4DB1-A244-C3BB76DDE962}">
    <text>@Chamernik, Conner  @Dina, Eric  I would proposed instead of “IDOT returned comments from a review sent to them on 3/14. They returned comments on 4/17, requesting MOTs, design adjustments, potholing, and a bore profile. KH negotiated out of all comments besides the bore profile and MOTs. IDOT took over a month to return their comments and by the time they sent them over, the project had already been released to Nicor.”
“Revision due to delay of IDOT review during design phase. IDOT made multiple requests and Kimley-Horn negotiated out of all of them except for an added bore profile and MOTs being added to the drawings.”</text>
    <mentions>
      <mention mentionpersonId="{57B91CBD-0327-4D8C-B370-773C13F6634B}" mentionId="{7CD4A667-F6E8-4D93-829E-77540DCC2985}" startIndex="0" length="18"/>
      <mention mentionpersonId="{F9D0559D-AD59-4808-8048-C5973E55A36A}" mentionId="{708CC23E-1B93-44DD-8CDA-8AD10D27B92D}" startIndex="20" length="11"/>
    </mentions>
  </threadedComment>
  <threadedComment ref="J1439" dT="2025-08-19T19:36:00.30" personId="{0F8BBC01-9FFE-46F1-A588-E756CD2DAAE0}" id="{42728FC9-D173-4FF1-A95B-3DEE25DC2C40}">
    <text>F/U 8/19</text>
  </threadedComment>
  <threadedComment ref="J1443" dT="2025-06-03T12:37:27.26" personId="{A6785C6D-234D-4BD9-88A0-61CD519244F1}" id="{4F647641-F436-47E5-891C-FE5D4DD99523}">
    <text>This date was approved by Engineering on 3/13/2025.</text>
  </threadedComment>
  <threadedComment ref="J1443" dT="2025-06-16T14:08:40.42" personId="{B43CBA0C-5DE4-4FB3-8951-794B7F7C4646}" id="{3FD93D66-A3D8-4D0F-B13E-AA1D5B6DD6AA}" parentId="{4F647641-F436-47E5-891C-FE5D4DD99523}">
    <text>If they approved and it's updated in the EDSR, this can be changed to regular font and unhighlighted.</text>
  </threadedComment>
  <threadedComment ref="J1443" dT="2025-06-17T01:15:03.52" personId="{1B2CDA8A-CEFC-4136-87C1-B34BF471D2DA}" id="{456DBE86-88D6-40AE-9DAE-9BE0655EFDB1}" parentId="{4F647641-F436-47E5-891C-FE5D4DD99523}">
    <text>Was it approved?</text>
  </threadedComment>
  <threadedComment ref="AC1443" dT="2025-06-16T14:05:47.69" personId="{B43CBA0C-5DE4-4FB3-8951-794B7F7C4646}" id="{04F49A0F-1449-4BF5-B3F8-10FA21F3E3D4}" done="1">
    <text>@Hopkins, Matt is this being used to track anything?  I think this should just be "Y" if we have PO items.</text>
    <mentions>
      <mention mentionpersonId="{9E19E8B3-7A88-4DEE-A51F-9DD7636E6CDB}" mentionId="{DA7B95AB-C4B0-453F-B486-EEB7E36F0737}" startIndex="0" length="14"/>
    </mentions>
  </threadedComment>
  <threadedComment ref="S1446" dT="2025-08-26T13:22:04.46" personId="{EB756D3C-0333-4781-801C-F36FB858F0FD}" id="{8C3A7B99-0F61-427F-9F43-1476B2775585}">
    <text>Should have been $1657.51</text>
  </threadedComment>
  <threadedComment ref="S1446" dT="2025-09-02T16:44:33.97" personId="{EB756D3C-0333-4781-801C-F36FB858F0FD}" id="{7D9F84CC-5E28-4DDA-A013-D6C537732D6B}" parentId="{8C3A7B99-0F61-427F-9F43-1476B2775585}">
    <text>26.60 WRITTEN OFF ON HOURLY DUE TO SLIGHT UNDERBILLING</text>
  </threadedComment>
  <threadedComment ref="M1447" dT="2025-06-05T16:01:21.85" personId="{B43CBA0C-5DE4-4FB3-8951-794B7F7C4646}" id="{1CDF5A34-2041-44D9-A686-CAEB82FA97A1}">
    <text>EXTENDED REASONING:
Revision request from City of Northlake to add construction notes, a pavement patching detail, the City of Northlake standard notes and to coordinate Nicor's proposed design with 2 other utilities relocating in the same area. Kimley-Horn is currently coordinating with Nicor on updating the proposed running line to avoid MCI's proposed relocation design. Nicor's WO drawings were submitted to the City for permit on 10/15/2024, but the review letter from the City was not provided until 3/31/2025, therefore, Lumen and MCI obtained relocation permits prior to Nicor's design being approved.</text>
  </threadedComment>
  <threadedComment ref="M1447" dT="2025-06-17T12:29:15.33" personId="{1B2CDA8A-CEFC-4136-87C1-B34BF471D2DA}" id="{E1E2C0F2-E1D2-4EE3-889F-B6E2FD6BD104}" parentId="{1CDF5A34-2041-44D9-A686-CAEB82FA97A1}">
    <text>@Dina, Eric  @Chamernik, Conner  are we truly still coordinating this work with the other utilities relocating in the same area? If so, why did we finalize and release this revision?</text>
    <mentions>
      <mention mentionpersonId="{F9D0559D-AD59-4808-8048-C5973E55A36A}" mentionId="{6ACC3AFB-8A7B-4218-828C-CAA28F2FAF27}" startIndex="0" length="11"/>
      <mention mentionpersonId="{57B91CBD-0327-4D8C-B370-773C13F6634B}" mentionId="{DE230CE4-62BE-4F69-94F9-A3970DBDCE4D}" startIndex="13" length="18"/>
    </mentions>
  </threadedComment>
  <threadedComment ref="M1447" dT="2025-06-17T13:04:28.89" personId="{0F8BBC01-9FFE-46F1-A588-E756CD2DAAE0}" id="{3C16340C-C8F9-4410-A523-3D07111A0360}" parentId="{1CDF5A34-2041-44D9-A686-CAEB82FA97A1}">
    <text>@Betland, Joseph MCI confirmed our design wouldn't be in conflict with theirs on 5/15.
In regard to Lumen, we re-designed around their proposed design. I sent them a set for review on 5/20 for them to confirm that us crossing their conduit for a tie-in would be fine. They did not get back to us, and after further internal discussions it was decided that Nicor crossing a small conduit for a tie-in would be fine as they said they would be willing to perform vertical adjustments.</text>
    <mentions>
      <mention mentionpersonId="{E6421D29-A382-450E-BB08-617C1D9F9AED}" mentionId="{49AF9D82-C405-4D7E-A4A2-2ADA42B8568C}" startIndex="0" length="16"/>
    </mentions>
  </threadedComment>
  <threadedComment ref="U1447" dT="2025-06-17T01:17:24.17" personId="{1B2CDA8A-CEFC-4136-87C1-B34BF471D2DA}" id="{13B1A0B9-86EA-4A35-A202-C98FCFA3F0C1}">
    <text>@Chamernik, Conner  @Dina, Eric  why is this N/A? Don’t’ we have hourly effort we’re going to be invoicing?</text>
    <mentions>
      <mention mentionpersonId="{57B91CBD-0327-4D8C-B370-773C13F6634B}" mentionId="{92D3D40F-136F-490B-AB8C-37B499140805}" startIndex="0" length="18"/>
      <mention mentionpersonId="{F9D0559D-AD59-4808-8048-C5973E55A36A}" mentionId="{E01A0552-BD51-4AFB-A7D7-7396813FB346}" startIndex="20" length="11"/>
    </mentions>
  </threadedComment>
  <threadedComment ref="U1447" dT="2025-06-17T12:27:08.80" personId="{1B2CDA8A-CEFC-4136-87C1-B34BF471D2DA}" id="{C8B0F33D-0F8B-4D89-8A02-5D037965E881}" parentId="{13B1A0B9-86EA-4A35-A202-C98FCFA3F0C1}">
    <text>11717.50 is what I see?</text>
  </threadedComment>
  <threadedComment ref="U1447" dT="2025-06-17T12:57:35.47" personId="{0F8BBC01-9FFE-46F1-A588-E756CD2DAAE0}" id="{B6CADDE2-1C3A-4984-849E-A04963A6C19A}" parentId="{13B1A0B9-86EA-4A35-A202-C98FCFA3F0C1}">
    <text>I agree with $11,717.50 based on RTE. Unsure why we had N/A there.</text>
  </threadedComment>
  <threadedComment ref="P1448" dT="2025-07-23T14:22:57.68" personId="{EB756D3C-0333-4781-801C-F36FB858F0FD}" id="{68D90DF5-59BD-4FD2-A6BA-EC51F639B306}">
    <text>Eng confirmed during design that this is INI even though EDSR listed as RB - which is why original project billed as INI.</text>
  </threadedComment>
  <threadedComment ref="Q1449" dT="2025-06-17T14:26:36.79" personId="{EB756D3C-0333-4781-801C-F36FB858F0FD}" id="{1045E089-D522-4C92-BB70-B2683ADB232E}">
    <text>$55840 previously billed</text>
  </threadedComment>
  <threadedComment ref="U1449" dT="2025-06-17T19:01:46.73" personId="{EB756D3C-0333-4781-801C-F36FB858F0FD}" id="{4AB51493-6BBA-40C3-8320-DBB7B6A43AD0}">
    <text>As of 6/1</text>
  </threadedComment>
  <threadedComment ref="M1456" dT="2025-06-05T21:59:52.38" personId="{B43CBA0C-5DE4-4FB3-8951-794B7F7C4646}" id="{C137BBC7-C522-47F9-938F-D4FD2927D741}">
    <text>EXTENDED REASONING:
Village of Rosemont provided comments to incorporate missing existing linework and have the proposed running line adjusted for the existing facilities.</text>
  </threadedComment>
  <threadedComment ref="M1456" dT="2025-06-17T12:33:31.47" personId="{1B2CDA8A-CEFC-4136-87C1-B34BF471D2DA}" id="{E52EABED-5C6F-49E2-A1B0-A9945AAE6C27}" parentId="{C137BBC7-C522-47F9-938F-D4FD2927D741}">
    <text>@Dina, Eric  @Hopkins, Matt  I would propose instead of “Revision due to Village of Rosemont provided comments to incorporate missing existing linework and have the proposed running line adjusted for the existing facilities.” 
“Revision to add existing linework and adjust design to account for underground electrical infrastructure, including a tunnel, that was not provided during the JULIE request process.”</text>
    <mentions>
      <mention mentionpersonId="{F9D0559D-AD59-4808-8048-C5973E55A36A}" mentionId="{E02A9CF4-5E89-475D-B182-CF63C368DF07}" startIndex="0" length="11"/>
      <mention mentionpersonId="{9E19E8B3-7A88-4DEE-A51F-9DD7636E6CDB}" mentionId="{7FFE3A4A-AC24-467F-B3AF-C6C4A1E5CFEA}" startIndex="13" length="14"/>
    </mentions>
  </threadedComment>
  <threadedComment ref="M1456" dT="2025-06-17T12:35:16.81" personId="{A6785C6D-234D-4BD9-88A0-61CD519244F1}" id="{67BE50B9-4EE9-4861-996D-1A91B4A9F59E}" parentId="{C137BBC7-C522-47F9-938F-D4FD2927D741}">
    <text>updated</text>
  </threadedComment>
  <threadedComment ref="U1456" dT="2025-06-17T12:36:54.54" personId="{A6785C6D-234D-4BD9-88A0-61CD519244F1}" id="{7A744A07-0D4D-4840-B001-AB4E1BB18DD0}">
    <text>Im seeing 11,727.50 in real time effort
I updated this value from 11,015.00 to 11,727.50</text>
  </threadedComment>
  <threadedComment ref="U1456" dT="2025-07-17T14:17:28.96" personId="{EB756D3C-0333-4781-801C-F36FB858F0FD}" id="{8369C85D-F9C1-435E-925C-8743C1CBDBC7}" parentId="{7A744A07-0D4D-4840-B001-AB4E1BB18DD0}">
    <text>@Hopkins, Matt / @Betland, Joseph - Im seeing 11157.50 in both RTE and PM App. Can you please verify and update?</text>
    <mentions>
      <mention mentionpersonId="{9E19E8B3-7A88-4DEE-A51F-9DD7636E6CDB}" mentionId="{A4924208-DDF0-4823-94B0-5A23802BF1D8}" startIndex="0" length="14"/>
      <mention mentionpersonId="{E6421D29-A382-450E-BB08-617C1D9F9AED}" mentionId="{7621F014-5D30-40A9-B185-50418A93BE16}" startIndex="17" length="16"/>
    </mentions>
  </threadedComment>
  <threadedComment ref="U1456" dT="2025-07-17T14:20:13.21" personId="{1B2CDA8A-CEFC-4136-87C1-B34BF471D2DA}" id="{85C03463-1E5C-448C-9E5C-4B9DF136648E}" parentId="{7A744A07-0D4D-4840-B001-AB4E1BB18DD0}">
    <text xml:space="preserve">I think you’re looking at Rev 1 - rev 3 is 11,727.50 </text>
  </threadedComment>
  <threadedComment ref="U1456" dT="2025-07-17T14:46:35.40" personId="{EB756D3C-0333-4781-801C-F36FB858F0FD}" id="{D2DF7B5B-ACF1-4670-B240-9A516EBC20D6}" parentId="{7A744A07-0D4D-4840-B001-AB4E1BB18DD0}">
    <text>Agreed - disregard</text>
  </threadedComment>
  <threadedComment ref="AH1456" dT="2025-07-15T20:59:01.61" personId="{1B2CDA8A-CEFC-4136-87C1-B34BF471D2DA}" id="{E2863BC0-E1C3-4A22-B618-84DA9B313DBA}">
    <text>@Lierow, Taylor  @Hopkins, Matt  @Castle, Kevin  I assume we didn’t complete debriefs of these revisions?</text>
    <mentions>
      <mention mentionpersonId="{502BF9D0-8DCD-49BB-B66D-0DCEA37B4151}" mentionId="{4790DFB9-E88E-4F2A-B2D6-56BDAF1EBBDC}" startIndex="0" length="15"/>
      <mention mentionpersonId="{9E19E8B3-7A88-4DEE-A51F-9DD7636E6CDB}" mentionId="{44671910-6635-4913-9C41-8E14A114D283}" startIndex="17" length="14"/>
      <mention mentionpersonId="{76DCB1DA-8402-4DE9-8C3D-F9539BFB531C}" mentionId="{5345CC26-3DB5-44F5-99F9-65E0D1AB1501}" startIndex="33" length="14"/>
    </mentions>
  </threadedComment>
  <threadedComment ref="AH1456" dT="2025-07-15T21:03:58.64" personId="{E8EF2CEE-A9C0-4A56-A06B-BC6445822825}" id="{A3CDAFA5-7527-4748-B9F8-AB4A135664DC}" parentId="{E2863BC0-E1C3-4A22-B618-84DA9B313DBA}">
    <text xml:space="preserve">@Castle, Kevin Did i cover the N12987 revision when I did the completed project? </text>
    <mentions>
      <mention mentionpersonId="{76DCB1DA-8402-4DE9-8C3D-F9539BFB531C}" mentionId="{314CE56E-7CD9-47C5-AF0E-30399BEDEE8D}" startIndex="0" length="14"/>
    </mentions>
  </threadedComment>
  <threadedComment ref="AK1461" dT="2025-06-17T22:22:55.98" personId="{AD1FAA3F-1360-44AB-83DF-B4908D76B23C}" id="{8A68C6F2-663E-4739-A621-B9207EF3A6D8}" done="1">
    <text>@Rojas, Taylor ca you please help me pull all the shactee effort for this project?</text>
    <mentions>
      <mention mentionpersonId="{FA85CEED-3E1F-4D20-BCFE-4E7CBFAF58D2}" mentionId="{FAA738D5-520C-4B76-A131-3E7ACF0C150D}" startIndex="0" length="14"/>
    </mentions>
  </threadedComment>
  <threadedComment ref="M1462" dT="2025-06-23T17:56:29.60" personId="{B43CBA0C-5DE4-4FB3-8951-794B7F7C4646}" id="{C16AF764-6C80-4E71-8724-9EA76270EFF9}">
    <text>EXTENDED REASONING:
REV 2 is due to County denying Nicor's REV 1 drawings of showing pipe removal for direct conflicts and underneath future pavement.</text>
  </threadedComment>
  <threadedComment ref="U1462" dT="2025-07-16T19:41:18.73" personId="{1B2CDA8A-CEFC-4136-87C1-B34BF471D2DA}" id="{C1FF5BF5-9800-4980-883A-34A12EF5705B}">
    <text>@Hopkins, Matt  I’m seeing 3132.50?</text>
    <mentions>
      <mention mentionpersonId="{9E19E8B3-7A88-4DEE-A51F-9DD7636E6CDB}" mentionId="{8F8AECE7-B22B-40E9-8522-9CBB28D1C329}" startIndex="0" length="14"/>
    </mentions>
  </threadedComment>
  <threadedComment ref="U1462" dT="2025-07-16T19:47:40.75" personId="{1B2CDA8A-CEFC-4136-87C1-B34BF471D2DA}" id="{CCB16FA3-C187-4372-9001-441153AED922}" parentId="{C1FF5BF5-9800-4980-883A-34A12EF5705B}">
    <text>Sorry, I mean 3715</text>
  </threadedComment>
  <threadedComment ref="U1462" dT="2025-07-16T19:47:52.62" personId="{A6785C6D-234D-4BD9-88A0-61CD519244F1}" id="{1068A06A-A3EA-4B53-AD21-3A8A90B7912F}" parentId="{C1FF5BF5-9800-4980-883A-34A12EF5705B}">
    <text xml:space="preserve">i checked real time effort &amp; PM App, Im seeing 3715.00.  I think time was charged to it after i input this value </text>
  </threadedComment>
  <threadedComment ref="U1462" dT="2025-07-16T19:51:45.55" personId="{1B2CDA8A-CEFC-4136-87C1-B34BF471D2DA}" id="{6F4E658B-A590-42B1-8ECE-82664FA600A0}" parentId="{C1FF5BF5-9800-4980-883A-34A12EF5705B}">
    <text>Yup - need to be careful about that</text>
  </threadedComment>
  <threadedComment ref="H1463" dT="2025-06-23T16:40:57.26" personId="{B43CBA0C-5DE4-4FB3-8951-794B7F7C4646}" id="{8C48CDE7-C3F0-40E7-96CB-01DE78F8663E}">
    <text>@Betland, Joseph I called this one "completed" due to it having an EDSR.  This probably fits more into "Analysis" outside of it having its own EDSR.  Let me know if you have any issue w/ me changing it to analysis.</text>
    <mentions>
      <mention mentionpersonId="{E6421D29-A382-450E-BB08-617C1D9F9AED}" mentionId="{4310F375-954B-46F3-B3B6-9793A2A76A25}" startIndex="0" length="16"/>
    </mentions>
  </threadedComment>
  <threadedComment ref="H1463" dT="2025-07-15T18:35:30.43" personId="{1B2CDA8A-CEFC-4136-87C1-B34BF471D2DA}" id="{B94B179E-713D-4F38-94F9-551A86DFF0CA}" parentId="{8C48CDE7-C3F0-40E7-96CB-01DE78F8663E}">
    <text>I vote we leave completed to match the EDSR, but I think we should put this information into the Out Of Scope Analysis in Steering Committee</text>
  </threadedComment>
  <threadedComment ref="H1463" dT="2025-07-15T22:05:07.45" personId="{1B2CDA8A-CEFC-4136-87C1-B34BF471D2DA}" id="{B6ED1562-B8F2-41E6-97A4-62B8644A21E2}" parentId="{8C48CDE7-C3F0-40E7-96CB-01DE78F8663E}">
    <text>I lied, I’m changing to service analysis</text>
  </threadedComment>
  <threadedComment ref="T1463" dT="2025-06-24T22:34:24.69" personId="{1B2CDA8A-CEFC-4136-87C1-B34BF471D2DA}" id="{3D526DE8-A832-4F0F-9BFE-03DA73C008D6}" done="1">
    <text>@Kulach, Caroline  @Hopkins, Matt  @Dina, Eric  wasn’t there helix effort in here too? We aren’t sure if we can bill yet but something to add in here for now</text>
    <mentions>
      <mention mentionpersonId="{024AE523-21F1-4810-9EBC-1F52184244F6}" mentionId="{141CF001-BB1E-4810-8F29-E2D02A37A820}" startIndex="0" length="17"/>
      <mention mentionpersonId="{9E19E8B3-7A88-4DEE-A51F-9DD7636E6CDB}" mentionId="{BDFBB032-9FB1-42D5-BDEF-0D0D44D79FFB}" startIndex="19" length="14"/>
      <mention mentionpersonId="{F9D0559D-AD59-4808-8048-C5973E55A36A}" mentionId="{EEB596B0-F985-431A-8A98-12FF89285818}" startIndex="35" length="11"/>
    </mentions>
  </threadedComment>
  <threadedComment ref="AF1463" dT="2025-07-10T17:07:30.83" personId="{1B2CDA8A-CEFC-4136-87C1-B34BF471D2DA}" id="{216ABC0F-1CBD-43BF-9E97-D7D1179F1CCB}" done="1">
    <text>@Kulach, Caroline  I would say a lesson learned here is when we get projects that appear to be only service analyses like this, review with Eric/Joey to determine path forward regarding hourly invoicing. Please update LL and change this to “Y” and unhighlight. Thanks!</text>
    <mentions>
      <mention mentionpersonId="{024AE523-21F1-4810-9EBC-1F52184244F6}" mentionId="{EA9A5A44-2CDC-4DBD-84EA-6EC29160398B}" startIndex="0" length="17"/>
    </mentions>
  </threadedComment>
  <threadedComment ref="AF1463" dT="2025-07-10T17:23:12.85" personId="{915C3B11-23A2-4CD7-8A65-134DE04A79BE}" id="{8AF211C9-1559-4ED8-A75E-52BECC074546}" parentId="{216ABC0F-1CBD-43BF-9E97-D7D1179F1CCB}">
    <text>added!</text>
  </threadedComment>
  <threadedComment ref="X1468" dT="2025-07-15T20:55:25.58" personId="{3B2D5CBB-8EEF-4A78-9A0D-33CA3157BEED}" id="{AB80E45A-2DD7-4E16-820C-B5E52CE05EF2}" done="1">
    <text xml:space="preserve">@Hopkins, Matt investment amount is showing $148,402.25. did you  record? could you confirm </text>
    <mentions>
      <mention mentionpersonId="{9E19E8B3-7A88-4DEE-A51F-9DD7636E6CDB}" mentionId="{757AA3C4-EE6E-4BBB-9F37-EA875C872537}" startIndex="0" length="14"/>
    </mentions>
  </threadedComment>
  <threadedComment ref="X1468" dT="2025-07-16T12:49:38.76" personId="{A6785C6D-234D-4BD9-88A0-61CD519244F1}" id="{9153B717-A7F0-47AE-8872-AE5848121CE5}" parentId="{AB80E45A-2DD7-4E16-820C-B5E52CE05EF2}">
    <text>Yes recording from 6/11 after ConOps review is showing 145,455.97.
Current PCTS amount notes 148,402.25.  Updated this cell to reflect 148,402.25</text>
  </threadedComment>
  <threadedComment ref="Z1468" dT="2025-07-15T20:55:59.02" personId="{3B2D5CBB-8EEF-4A78-9A0D-33CA3157BEED}" id="{7917EFB6-76FA-4520-B931-D5EB4351013F}">
    <text>@Hopkins, Matt retirement is showing 49,124.19</text>
    <mentions>
      <mention mentionpersonId="{9E19E8B3-7A88-4DEE-A51F-9DD7636E6CDB}" mentionId="{071C9B8D-BADC-4EEC-A250-6CABF033BD85}" startIndex="0" length="14"/>
    </mentions>
  </threadedComment>
  <threadedComment ref="Z1468" dT="2025-07-15T20:58:10.49" personId="{1B2CDA8A-CEFC-4136-87C1-B34BF471D2DA}" id="{7E6B02DF-3CE9-40BB-B905-7B4D41FD10AC}" parentId="{7917EFB6-76FA-4520-B931-D5EB4351013F}">
    <text>If they’ve been updated in PCTS Matt (for whatever reason) I would just update here so that we’re billing the correct amount</text>
  </threadedComment>
  <threadedComment ref="Z1468" dT="2025-07-16T12:51:36.53" personId="{A6785C6D-234D-4BD9-88A0-61CD519244F1}" id="{AEE11E45-6452-41B0-9EC3-04B77793525C}" parentId="{7917EFB6-76FA-4520-B931-D5EB4351013F}">
    <text>Understood.  Updated to show 49,124.19.
Recording from 6/11 after ConOps review shows 48,149.21.  Cell has been updated to reflect the current amount 49,124.19.</text>
  </threadedComment>
  <threadedComment ref="Z1468" dT="2025-07-17T13:11:24.30" personId="{EB756D3C-0333-4781-801C-F36FB858F0FD}" id="{4A89469A-942A-44FF-BEDD-C1187549FA73}" parentId="{7917EFB6-76FA-4520-B931-D5EB4351013F}">
    <text>@Hopkins, Matt / @Betland, Joseph - this cell wasn’t updated? Can we update to show 49124.19?</text>
    <mentions>
      <mention mentionpersonId="{9E19E8B3-7A88-4DEE-A51F-9DD7636E6CDB}" mentionId="{51BB5F92-370F-4932-B125-940038BAA308}" startIndex="0" length="14"/>
      <mention mentionpersonId="{E6421D29-A382-450E-BB08-617C1D9F9AED}" mentionId="{9CA81868-50D7-4CEF-9B61-32E552480E0B}" startIndex="17" length="16"/>
    </mentions>
  </threadedComment>
  <threadedComment ref="Z1468" dT="2025-07-17T13:18:45.92" personId="{1B2CDA8A-CEFC-4136-87C1-B34BF471D2DA}" id="{D1E6AD91-7781-4774-B5EC-F7AF48C91A3E}" parentId="{7917EFB6-76FA-4520-B931-D5EB4351013F}">
    <text>Yes that should be right - not sure why it wasn’t updated</text>
  </threadedComment>
  <threadedComment ref="M1469" dT="2025-07-10T17:05:56.12" personId="{1B2CDA8A-CEFC-4136-87C1-B34BF471D2DA}" id="{7DF7BAA7-B2E8-450B-BE80-03E0494B922B}">
    <text>@Castellon, Randy  does this make sense as a description?</text>
    <mentions>
      <mention mentionpersonId="{19AB77A6-6CAB-45F7-B79B-631A6192FCA1}" mentionId="{49A0DD5D-75C9-43AA-A5CC-0460562BD753}" startIndex="0" length="17"/>
    </mentions>
  </threadedComment>
  <threadedComment ref="M1469" dT="2025-07-10T20:54:56.68" personId="{3B2D5CBB-8EEF-4A78-9A0D-33CA3157BEED}" id="{6B8F8F2C-1559-41FA-8F62-80DB62DF2259}" parentId="{7DF7BAA7-B2E8-450B-BE80-03E0494B922B}">
    <text>this is exactly it</text>
  </threadedComment>
  <threadedComment ref="M1469" dT="2025-09-02T23:02:57.90" personId="{1B2CDA8A-CEFC-4136-87C1-B34BF471D2DA}" id="{9589D076-B899-4253-8A98-1060BB0CABB5}" parentId="{7DF7BAA7-B2E8-450B-BE80-03E0494B922B}">
    <text xml:space="preserve">Can you remind me what the exact scope was that we designed? Size and length of pipe, how many design sheets, and any challenges with the design, or extra time with reimbursable coordination, etc. Just for my knowledge. </text>
  </threadedComment>
  <threadedComment ref="M1469" dT="2025-09-03T19:18:19.33" personId="{3B2D5CBB-8EEF-4A78-9A0D-33CA3157BEED}" id="{FD40E193-88E3-4EDF-BC16-2A66310642AF}" parentId="{7DF7BAA7-B2E8-450B-BE80-03E0494B922B}">
    <text xml:space="preserve">380' of 12" MOP main install. 1 Sheet for design. Effort included all the way to release documents, as well as TDS review and approval by Nicor. Additional effort was needed to coordinate Rectified main, hydrotest variance (that didnt go through), and easement/land documentation review. 
Design in itself wasnt challenging, however there was time and effort for reviewing potholes over the existing gas main, effort with potholes and locate information having inconsistent data, effort with coordination with the developer on 3 separate set of plans to try to avoid relocation. 
</text>
  </threadedComment>
  <threadedComment ref="Q1477" dT="2025-07-16T22:53:31.75" personId="{8B95014D-CB0C-4B46-AE57-ECA943BEAC36}" id="{9363AC0F-CD39-40C3-8A35-06ADE2F68EBC}">
    <text>$76,387.50 previously billed</text>
  </threadedComment>
  <threadedComment ref="BA1481" dT="2025-08-14T14:35:28.03" personId="{EB756D3C-0333-4781-801C-F36FB858F0FD}" id="{8CCB0794-194B-4D30-AD30-D139E308AA13}" done="1">
    <text>@LaPorte, Marissa - Please fill out red cells in row and unhighlight.</text>
    <mentions>
      <mention mentionpersonId="{E0C835FB-FC54-490F-842D-70FB64882B80}" mentionId="{F4A3C438-0725-4978-AF4C-2C53694EA4E3}" startIndex="0" length="17"/>
    </mentions>
  </threadedComment>
  <threadedComment ref="S1482" dT="2025-08-25T21:23:59.22" personId="{EB756D3C-0333-4781-801C-F36FB858F0FD}" id="{A97ED978-1CEF-4539-9F19-5C0F663168B9}">
    <text>@LaPorte, Marissa - Im seeing 1514.90. Where did we get this number from?</text>
    <mentions>
      <mention mentionpersonId="{E0C835FB-FC54-490F-842D-70FB64882B80}" mentionId="{8CB49A33-9376-4600-B2EC-9F3D557EF20B}" startIndex="0" length="17"/>
    </mentions>
  </threadedComment>
  <threadedComment ref="K1483" dT="2025-07-16T21:44:20.07" personId="{EB756D3C-0333-4781-801C-F36FB858F0FD}" id="{19B8F8D0-6AA8-4D1D-81E6-8F9A5BB88A84}">
    <text>@Stanley, Mark - Please fill out all red cells in row and highlight yellow when ready for me to review.</text>
    <mentions>
      <mention mentionpersonId="{564B30FC-287F-49EB-AA0A-97AAB2676CF3}" mentionId="{E4FAC47A-D6E7-466A-A80A-7F4408AD7EC7}" startIndex="0" length="14"/>
    </mentions>
  </threadedComment>
  <threadedComment ref="K1483" dT="2025-07-24T15:20:58.76" personId="{EB756D3C-0333-4781-801C-F36FB858F0FD}" id="{C3BD4668-1A4A-40CB-AC59-7474EE60AD65}" parentId="{19B8F8D0-6AA8-4D1D-81E6-8F9A5BB88A84}">
    <text>@McTigue, Thomas - can you take a look at this?</text>
    <mentions>
      <mention mentionpersonId="{64A125C0-C980-450F-B91F-164A54ED3500}" mentionId="{BC50181C-4C1F-48C6-A291-54C07EE88499}" startIndex="0" length="16"/>
    </mentions>
  </threadedComment>
  <threadedComment ref="O1483" dT="2025-07-16T21:40:59.06" personId="{EB756D3C-0333-4781-801C-F36FB858F0FD}" id="{978702A2-5B6F-4942-9988-42FC7BF957B3}">
    <text>Bill in August</text>
  </threadedComment>
  <threadedComment ref="BH1484" dT="2025-08-14T14:20:21.43" personId="{EB756D3C-0333-4781-801C-F36FB858F0FD}" id="{3B87E529-F96F-41D1-B9B2-049763FB261B}">
    <text>@Bruce, Logan - we negotiated out of this task. Please WALT effort to 168777007.J.99A</text>
    <mentions>
      <mention mentionpersonId="{73D9EF92-8C85-4A0A-9961-617D8678EEFB}" mentionId="{AC2B03B8-C310-406D-A0B6-CDE3DEADA6A7}" startIndex="0" length="13"/>
    </mentions>
  </threadedComment>
  <threadedComment ref="BH1484" dT="2025-08-15T15:04:33.80" personId="{734DDAD1-150E-41DC-8408-5A6DB107C271}" id="{EA726D41-314E-49D8-AD3B-97EA42ACEE1C}" parentId="{3B87E529-F96F-41D1-B9B2-049763FB261B}">
    <text>done</text>
  </threadedComment>
  <threadedComment ref="M1485" dT="2025-08-13T22:04:43.02" personId="{1B2CDA8A-CEFC-4136-87C1-B34BF471D2DA}" id="{E6B26E42-A576-447F-9960-EB56C870A587}">
    <text xml:space="preserve">@Castellon, Randy  is this a new requirement that we weren’t aware of, or was this a miss? We might want to expand a bit on this as this seems like our miss. </text>
    <mentions>
      <mention mentionpersonId="{19AB77A6-6CAB-45F7-B79B-631A6192FCA1}" mentionId="{C7FF67DB-0D08-4C43-95EB-965150A0BC25}" startIndex="0" length="17"/>
    </mentions>
  </threadedComment>
  <threadedComment ref="M1485" dT="2025-08-13T23:57:58.62" personId="{3B2D5CBB-8EEF-4A78-9A0D-33CA3157BEED}" id="{D6D7DB75-D281-4A84-99B5-5511FC34B555}" parentId="{E6B26E42-A576-447F-9960-EB56C870A587}">
    <text xml:space="preserve">This was an atypical ask from CN as we typically do not show all proposed and existing utilities to not be shown on CN cross sections. </text>
  </threadedComment>
  <threadedComment ref="M1485" dT="2025-08-19T16:01:50.22" personId="{1B2CDA8A-CEFC-4136-87C1-B34BF471D2DA}" id="{D6FD62BA-0FA7-4CE8-9FD9-6CF372CD9B83}" parentId="{E6B26E42-A576-447F-9960-EB56C870A587}">
    <text xml:space="preserve">Did not get a response to this either @Castellon, Randy </text>
    <mentions>
      <mention mentionpersonId="{19AB77A6-6CAB-45F7-B79B-631A6192FCA1}" mentionId="{1FDF0B18-6CF3-4055-B406-BDA703ACAF69}" startIndex="38" length="17"/>
    </mentions>
  </threadedComment>
  <threadedComment ref="V1486" dT="2025-07-16T21:47:59.78" personId="{EB756D3C-0333-4781-801C-F36FB858F0FD}" id="{E0904613-683E-4D38-AA84-6CFD89396153}">
    <text>@Chamernik, Conner - Please fill out red cells in row and highlight yellow when ready for my review.</text>
    <mentions>
      <mention mentionpersonId="{57B91CBD-0327-4D8C-B370-773C13F6634B}" mentionId="{B9D85580-C1CF-412C-8948-1A57B7136FC4}" startIndex="0" length="18"/>
    </mentions>
  </threadedComment>
  <threadedComment ref="V1486" dT="2025-08-05T14:53:17.09" personId="{0F8BBC01-9FFE-46F1-A588-E756CD2DAAE0}" id="{A660AB55-DC93-4CB0-A872-19ABE269DB29}" parentId="{E0904613-683E-4D38-AA84-6CFD89396153}">
    <text xml:space="preserve">@Michaels, Nick sorry just now realizing I never responded to this comment. </text>
    <mentions>
      <mention mentionpersonId="{B4D9CDF8-D824-45AC-9EAC-9C126A267B65}" mentionId="{53760299-B1B8-406B-B8AF-5EC0706C3B48}" startIndex="0" length="15"/>
    </mentions>
  </threadedComment>
  <threadedComment ref="M1487" dT="2025-07-22T00:57:24.02" personId="{B43CBA0C-5DE4-4FB3-8951-794B7F7C4646}" id="{C200A5B0-B763-4E26-8C27-4DBAABAD6663}" done="1">
    <text xml:space="preserve">EXTENDED REASONING: Revision due to updated water main alignment, storm sewer alignment, and comments from IDOT. IDOT reviewed and approved the running line twice before project release. The final review was sent to IDOT in November of 2024, and comments were returned on 2/13/2025. These design changes required KH needing to revise design in one location (2 drawings sheets) due to IDOT’s change in storm sewer design, coordinate with Con Ops to confirm the clearance under the Union Pacific Rail Road is sufficient per IDOT’s request, and reanalyze 6 sheets of conflict crossings due to changes in proposed utilities.  These changes resulted in one meeting with Nicor engineering, one meeting with IDOT, and one meeting with Nicor Construction Operations. Nicor directed KH at this time to hold on the revision until IDOT confirmed if grading/drainage would be adjusted, or if it was final. 
IDOT sent final plans on 03/25/2025, which showed additional changes in storm sewer, water main, sanitary sewer, grading, and subgrade changes (3' of subgrade added throughout the scope). There was also an update to IDOT’s scope that included column supported ground improvements that required a review of the full proposed Nicor design and coordination with IDOT to verify the contractor’s intent. Column supported ground improvement discussion was also had with Nicor con Ops and Engineering to confirm a path forward.  The updates required KH to reanalyze all 180 conflict crossings as well as the whole design to verify all new conflicts where added to the conflict crossing tables. Nearly all conflicts crossing callouts have changed due to the proposed utilities, grading, and subgrade changes. 
ComEd then requested Nicor to shift the proposed design to account for underground design, although KH had requested plans multiple times during the project design phase. KH coordinated with Nicor and initially it was decided to not adjust design for ComEd since we had not been provided this information in the design phase. However, upon further coordination with Nicor and IDOT, a compromise between Nicor and ComEd was established to adjust certain elements of the design. After a full review of ComEd's proposed design provided, ComEd’s request required KH to change design in three areas. Coordination was also required with the City of Woodstock due to an updated change in water main plans that resulted in Nicor shifting the gas main alignment near the Union Pacific RR crossings. This design change resulted in updates to the design and LG drawings. Kimley-Horn held additional meetings with IDOT to confirm updates, and meetings with ComEd and IDOT to discuss how to avoid conflicts for future design. These changes resulted in three meetings with Nicor, one meeting with IDOT, one meeting with IDOT and ComEd, and one meeting with Nicor Construction Operations.
Kimley-Horn was requested by Nicor Engineering and Nicor Corrosion to update the WO drawings to incorporate new corrosion standards, which required adding anode beds and notes on 26 design sheets. Additional coordination with Nicor Corrosion to confirm corrosion updates as request from Corrosion differed from new standard. </text>
  </threadedComment>
  <threadedComment ref="M1487" dT="2025-08-13T22:06:04.29" personId="{1B2CDA8A-CEFC-4136-87C1-B34BF471D2DA}" id="{5DF9BAA8-41FA-43A3-9297-C708E629CA24}" parentId="{C200A5B0-B763-4E26-8C27-4DBAABAD6663}">
    <text>@Corbi, Camille  can you rewrite this to be more similar to the formatting we use to report to Nicor? Check out Steering Committee Tab 9 for examples. I would specifically look at revisions coded 3A or 4A</text>
    <mentions>
      <mention mentionpersonId="{ABEDD8C2-01F0-4304-90BA-79DEF386422B}" mentionId="{CE8C333B-875C-4146-BBD9-DFAC7A4D3AC4}" startIndex="0" length="15"/>
    </mentions>
  </threadedComment>
  <threadedComment ref="M1487" dT="2025-08-14T22:39:00.59" personId="{AD1FAA3F-1360-44AB-83DF-B4908D76B23C}" id="{ECD4A59D-CB4B-4721-B237-FC31B5700E2C}" parentId="{C200A5B0-B763-4E26-8C27-4DBAABAD6663}">
    <text xml:space="preserve">Revision due to updated plans by IDOT that were provided after the project was released. Kimley-Horn coordinated during the design phase and went through multiple IDOT reviews to ensure there would be no comments.  Initial comments from IDOT where due to changes in proposed storm sewer alignments, only for Final plans to be issued weeks later with changes in subgrade, grading, proposed water main, sanitary, and storm sewers. IDOT's change in plans resulted in Nicor's full design needing to be reanalyzed for potential conflicts (~180 conflict crossings needed to be reviewed, added, removed, or changed). Per coordination with Nicor Engineering, plans went through two rounds of Corrosion's reviews and comments. This resulted in updating ~26 sheets (twice) to include updated corrosion notes, BOM callouts, and anode banks. An additional request from Corrosion was to extend scope. This request resulted in one new sheet added to the plan set. This area was reviewed during the project's initial scoping phase and was requested to leave out of the relocation scope. Additional coordination was done due to lag in ComEd design. Kimley-Horn reached out to ComEd multiple times in the initial design phase, only for ComEd to be behind in the relocation process. Coordination with ComEd, resulted in design adjustments to three sheets. </text>
  </threadedComment>
  <threadedComment ref="AC1488" dT="2025-07-18T15:04:40.24" personId="{AD1FAA3F-1360-44AB-83DF-B4908D76B23C}" id="{AEB4966C-6084-4291-85FF-13AE71D4CF2F}" done="1">
    <text>@McTigue, Thomas any po items? if so reminder to add it to the requestions tab</text>
    <mentions>
      <mention mentionpersonId="{64A125C0-C980-450F-B91F-164A54ED3500}" mentionId="{15A3C8AF-9852-4FDF-9C5F-2D950FBB90D9}" startIndex="0" length="16"/>
    </mentions>
  </threadedComment>
  <threadedComment ref="R1493" dT="2025-07-24T14:00:15.06" personId="{3BA37BBC-10FC-4BDA-B888-29DE350DF251}" id="{8B4EE46C-040C-4C60-A334-E4FB2E686FB4}">
    <text>@LaPorte, Marissa @Michaels, Nick FYI I talked to Bryan about this one we're good to bill at 9% cause its an MR despite being less than 500'</text>
    <mentions>
      <mention mentionpersonId="{E0C835FB-FC54-490F-842D-70FB64882B80}" mentionId="{C06A7365-C594-47A5-9BDF-E075B08FF581}" startIndex="0" length="17"/>
      <mention mentionpersonId="{B4D9CDF8-D824-45AC-9EAC-9C126A267B65}" mentionId="{50AD609B-170E-4B35-8B3D-16B56A77CF2A}" startIndex="18" length="15"/>
    </mentions>
  </threadedComment>
  <threadedComment ref="K1495" dT="2025-07-29T19:27:41.41" personId="{EB756D3C-0333-4781-801C-F36FB858F0FD}" id="{8ABD2FA5-2783-410E-A8B4-AB45317B5D95}">
    <text>@Stanley, Mark - Please fill out all red cells in row and highlight yellow when ready for my review.</text>
    <mentions>
      <mention mentionpersonId="{564B30FC-287F-49EB-AA0A-97AAB2676CF3}" mentionId="{6562D665-E6D0-4D19-8ECF-F8824EA78DD7}" startIndex="0" length="14"/>
    </mentions>
  </threadedComment>
  <threadedComment ref="K1495" dT="2025-08-01T12:50:11.04" personId="{F227819F-94A5-4B9E-BFE1-31C425F558EE}" id="{B8B755CA-E8B3-4891-9BD3-778665F6AA79}" parentId="{8ABD2FA5-2783-410E-A8B4-AB45317B5D95}">
    <text>@Michaels, Nick - Task complete.</text>
    <mentions>
      <mention mentionpersonId="{B4D9CDF8-D824-45AC-9EAC-9C126A267B65}" mentionId="{9B946FA2-50FB-4C0D-869D-70754D7D9783}" startIndex="0" length="15"/>
    </mentions>
  </threadedComment>
  <threadedComment ref="X1497" dT="2025-08-18T16:21:23.60" personId="{B43CBA0C-5DE4-4FB3-8951-794B7F7C4646}" id="{ADA704B7-F959-452F-AED3-8C2B78CDABE5}" done="1">
    <text>@LaPorte, Marissa please save PCTS screenshots in folder showing investment and retirement costs.</text>
    <mentions>
      <mention mentionpersonId="{E0C835FB-FC54-490F-842D-70FB64882B80}" mentionId="{8D96A50D-3F79-43A4-9B8A-6D117B016B95}" startIndex="0" length="17"/>
    </mentions>
  </threadedComment>
  <threadedComment ref="O1499" dT="2025-08-14T21:41:06.58" personId="{EB756D3C-0333-4781-801C-F36FB858F0FD}" id="{C698B246-185E-4BED-B9F5-B4E81EC98816}">
    <text>Bill in Sept - pending estimate approval.</text>
  </threadedComment>
  <threadedComment ref="AK1499" dT="2025-08-11T20:11:31.12" personId="{AD1FAA3F-1360-44AB-83DF-B4908D76B23C}" id="{79B022B6-4A30-48C2-AF79-F5B803FD03D4}" done="1">
    <text xml:space="preserve">@Rojas, Taylor can you please help me pull the shactee effort for this project? </text>
    <mentions>
      <mention mentionpersonId="{FA85CEED-3E1F-4D20-BCFE-4E7CBFAF58D2}" mentionId="{5DE26426-0AC8-4DAF-96B1-108C8ED21CEB}" startIndex="0" length="14"/>
    </mentions>
  </threadedComment>
  <threadedComment ref="U1500" dT="2025-08-13T21:44:50.61" personId="{1B2CDA8A-CEFC-4136-87C1-B34BF471D2DA}" id="{53C3FA03-2F65-4029-A735-56A7DF94E988}">
    <text>Need to have a convo with Josh prior to finalizing this</text>
  </threadedComment>
  <threadedComment ref="U1500" dT="2025-08-25T21:12:25.70" personId="{EB756D3C-0333-4781-801C-F36FB858F0FD}" id="{546C9C48-D885-4380-8452-301381CFE6F6}" parentId="{53C3FA03-2F65-4029-A735-56A7DF94E988}">
    <text>@Betland, Joseph - is this even good to bill this month? Where is the task for this?</text>
    <mentions>
      <mention mentionpersonId="{E6421D29-A382-450E-BB08-617C1D9F9AED}" mentionId="{84EF6D1A-272F-4040-BF3D-F6C31ACEEE8C}" startIndex="0" length="16"/>
    </mentions>
  </threadedComment>
  <threadedComment ref="U1500" dT="2025-08-25T21:49:49.93" personId="{C292F702-D4C8-427F-8060-CA8E0A11E4F6}" id="{9A822E01-AB38-4999-BD1A-DABE69BED1F5}" parentId="{53C3FA03-2F65-4029-A735-56A7DF94E988}">
    <text xml:space="preserve">yes good to bill - 168777007.D.088
Let's talk through this one as it's unique. </text>
  </threadedComment>
  <threadedComment ref="AD1500" dT="2025-08-11T22:06:19.12" personId="{E8EF2CEE-A9C0-4A56-A06B-BC6445822825}" id="{E71E16E2-2D2E-45C6-A538-3FEA2A4D7632}">
    <text>@Castellon, Randy Was there anything here?</text>
    <mentions>
      <mention mentionpersonId="{19AB77A6-6CAB-45F7-B79B-631A6192FCA1}" mentionId="{3662E4B7-2E6F-4B2F-BF93-1D1074F644B8}" startIndex="0" length="17"/>
    </mentions>
  </threadedComment>
  <threadedComment ref="AD1500" dT="2025-08-14T00:27:53.97" personId="{3B2D5CBB-8EEF-4A78-9A0D-33CA3157BEED}" id="{C102733D-0161-4EF8-B9AB-9D0A8D508733}" parentId="{E71E16E2-2D2E-45C6-A538-3FEA2A4D7632}">
    <text>tay i added stuff to permitting paramters one note</text>
  </threadedComment>
  <threadedComment ref="BH1500" dT="2025-08-25T21:11:39.03" personId="{EB756D3C-0333-4781-801C-F36FB858F0FD}" id="{4BB9F4A9-49E6-4F90-AA3E-CBB2F1A43545}">
    <text>@Castellon, Randy / @Betland, Joseph / @Dina, Eric - where is the billing number that has the hourly effort for this?</text>
    <mentions>
      <mention mentionpersonId="{19AB77A6-6CAB-45F7-B79B-631A6192FCA1}" mentionId="{D77C2FD0-780D-4FAB-B7FE-C91C1B1D730D}" startIndex="0" length="17"/>
      <mention mentionpersonId="{E6421D29-A382-450E-BB08-617C1D9F9AED}" mentionId="{C29B7F5A-2A3A-4169-96F6-090D29D57A6D}" startIndex="20" length="16"/>
      <mention mentionpersonId="{F9D0559D-AD59-4808-8048-C5973E55A36A}" mentionId="{3485A7D3-5A60-43A7-80F2-6F15E859A393}" startIndex="39" length="11"/>
    </mentions>
  </threadedComment>
  <threadedComment ref="BH1500" dT="2025-08-25T21:52:54.77" personId="{C292F702-D4C8-427F-8060-CA8E0A11E4F6}" id="{7AE18B36-8716-423A-8543-F5456252E398}" parentId="{4BB9F4A9-49E6-4F90-AA3E-CBB2F1A43545}">
    <text xml:space="preserve">We didn't move this to a true hourly number due to it being so much effort - the number we reported is true to our current hourly rates, plus sub costs. </text>
  </threadedComment>
  <threadedComment ref="BH1501" dT="2025-08-14T14:20:31.94" personId="{EB756D3C-0333-4781-801C-F36FB858F0FD}" id="{2FDB9251-4D93-4F6A-B3F5-E17B827C7ACC}" done="1">
    <text>@Bruce, Logan  - we negotiated out of this task. Please WALT effort to 168777007.J.99A</text>
    <mentions>
      <mention mentionpersonId="{73D9EF92-8C85-4A0A-9961-617D8678EEFB}" mentionId="{C99D96FD-7E49-4D4B-86D8-E2EA8B58B8B8}" startIndex="0" length="13"/>
    </mentions>
  </threadedComment>
  <threadedComment ref="K1502" dT="2025-08-01T15:51:17.27" personId="{EB756D3C-0333-4781-801C-F36FB858F0FD}" id="{D88D8568-2028-4E37-AE28-88D447016B6F}">
    <text>@Stanley, Mark - Please fill out/update red cells and highlight yellow when ready for my review.</text>
    <mentions>
      <mention mentionpersonId="{564B30FC-287F-49EB-AA0A-97AAB2676CF3}" mentionId="{2361712C-AD28-4F7B-B61E-FE8B13AA3D93}" startIndex="0" length="14"/>
    </mentions>
  </threadedComment>
  <threadedComment ref="K1502" dT="2025-08-01T16:21:10.06" personId="{F227819F-94A5-4B9E-BFE1-31C425F558EE}" id="{F541BD7B-16F7-4EA8-B691-3D2166780BFB}" parentId="{D88D8568-2028-4E37-AE28-88D447016B6F}">
    <text>@Michaels, Nick - task complete</text>
    <mentions>
      <mention mentionpersonId="{B4D9CDF8-D824-45AC-9EAC-9C126A267B65}" mentionId="{D563FE7A-795B-4C56-8BFA-651C0235EF6B}" startIndex="0" length="15"/>
    </mentions>
  </threadedComment>
  <threadedComment ref="O1502" dT="2025-08-13T14:16:01.28" personId="{EB756D3C-0333-4781-801C-F36FB858F0FD}" id="{41ACAE41-A1DF-4C92-BB69-22B1D786E2EE}">
    <text>Bill in Sept.</text>
  </threadedComment>
  <threadedComment ref="AD1504" dT="2025-08-11T22:01:27.51" personId="{E8EF2CEE-A9C0-4A56-A06B-BC6445822825}" id="{31095542-6279-4481-A571-50B9F4EA2267}">
    <text>@Castellon, Randy Did Nicor's permitting get updated already?</text>
    <mentions>
      <mention mentionpersonId="{19AB77A6-6CAB-45F7-B79B-631A6192FCA1}" mentionId="{C5E39FBB-F075-4562-ACF4-DA742EB30274}" startIndex="0" length="17"/>
    </mentions>
  </threadedComment>
  <threadedComment ref="AD1504" dT="2025-08-14T00:28:18.18" personId="{3B2D5CBB-8EEF-4A78-9A0D-33CA3157BEED}" id="{DAFDFEF7-55C1-4F40-83C1-85EC3EE88D2A}" parentId="{31095542-6279-4481-A571-50B9F4EA2267}">
    <text>Since this was an atypical request, permitting paramaters was not updaed</text>
  </threadedComment>
  <threadedComment ref="H1505" dT="2025-09-02T23:17:55.22" personId="{1B2CDA8A-CEFC-4136-87C1-B34BF471D2DA}" id="{F7B92F4F-B1D2-441B-89BB-463E050732FC}">
    <text>@Kulach, Caroline  @Michaels, Nick  I may not be understanding why this is both a Revision and “Completed”? Nick, let’s make sure this is factored into the project counts</text>
    <mentions>
      <mention mentionpersonId="{024AE523-21F1-4810-9EBC-1F52184244F6}" mentionId="{E944B0E8-43AD-4E17-9E4A-7081CF0EDD46}" startIndex="0" length="17"/>
      <mention mentionpersonId="{B4D9CDF8-D824-45AC-9EAC-9C126A267B65}" mentionId="{A65D5671-6B38-40DD-BA58-6DA82935BDB3}" startIndex="19" length="15"/>
    </mentions>
  </threadedComment>
  <threadedComment ref="H1505" dT="2025-09-03T12:41:20.56" personId="{EB756D3C-0333-4781-801C-F36FB858F0FD}" id="{25305990-D7E0-411D-B273-395E06547B1A}" parentId="{F7B92F4F-B1D2-441B-89BB-463E050732FC}">
    <text xml:space="preserve">@LaPorte, Marissa - did you and Bryan talk about this one? I don’t love how we are showing it right now. In the past we have technically shown the breakout areas as revisions but I could get behind doing out of scope analysis but I don’t think we want this to be a completed project.
@Betland, Joseph </text>
    <mentions>
      <mention mentionpersonId="{E0C835FB-FC54-490F-842D-70FB64882B80}" mentionId="{25C2CF68-72A2-4A15-90BF-14A37A00986B}" startIndex="0" length="17"/>
      <mention mentionpersonId="{E6421D29-A382-450E-BB08-617C1D9F9AED}" mentionId="{57EC8AFC-D91E-449B-9C78-0FB9B1420036}" startIndex="285" length="16"/>
    </mentions>
  </threadedComment>
  <threadedComment ref="H1505" dT="2025-09-08T13:41:03.63" personId="{915C3B11-23A2-4CD7-8A65-134DE04A79BE}" id="{B09560AB-04EB-4CE4-AB11-A0DD16139310}" parentId="{F7B92F4F-B1D2-441B-89BB-463E050732FC}">
    <text xml:space="preserve">@Michaels, Nick @LaPorte, Marissa do we want to update to revision? </text>
    <mentions>
      <mention mentionpersonId="{B4D9CDF8-D824-45AC-9EAC-9C126A267B65}" mentionId="{19F31087-43AE-4B5D-A55B-AEA52A4A6431}" startIndex="0" length="15"/>
      <mention mentionpersonId="{E0C835FB-FC54-490F-842D-70FB64882B80}" mentionId="{8F591538-9AAE-4E83-BEB4-37FAE7393F4B}" startIndex="16" length="17"/>
    </mentions>
  </threadedComment>
  <threadedComment ref="K1507" dT="2025-08-07T14:55:50.11" personId="{EB756D3C-0333-4781-801C-F36FB858F0FD}" id="{6ECFFEEB-F9DC-4246-9D92-25E118C413BA}">
    <text>@Stanley, Mark - Please fill out all red cells in row and highlight yellow when ready for my review.</text>
    <mentions>
      <mention mentionpersonId="{564B30FC-287F-49EB-AA0A-97AAB2676CF3}" mentionId="{C3604B7B-90BF-4697-AAE7-7CC6E41CABEF}" startIndex="0" length="14"/>
    </mentions>
  </threadedComment>
  <threadedComment ref="K1507" dT="2025-08-07T21:40:04.40" personId="{AB47663C-FFDC-4AA8-BB0F-84139200F338}" id="{972DCFCF-D30B-4516-9C1A-39E4536557BD}" parentId="{6ECFFEEB-F9DC-4246-9D92-25E118C413BA}">
    <text>Task complete</text>
  </threadedComment>
  <threadedComment ref="O1507" dT="2025-08-14T21:38:54.18" personId="{EB756D3C-0333-4781-801C-F36FB858F0FD}" id="{DB2D3922-C6E2-4D2D-98DE-58777587603C}">
    <text>Bill in Sept</text>
  </threadedComment>
  <threadedComment ref="X1508" dT="2025-08-12T17:41:04.64" personId="{0F8BBC01-9FFE-46F1-A588-E756CD2DAAE0}" id="{4E192250-35D3-4E4F-865E-C62FA32A44F3}">
    <text>May increase, pending engineering response.</text>
  </threadedComment>
  <threadedComment ref="S1509" dT="2025-08-08T16:52:03.57" personId="{9E62BE2C-0142-483B-A1E8-957D99ED07D0}" id="{F39CA419-7914-4329-B765-06A0E5C2FB1F}" done="1">
    <text>@McTigue, Thomas please update</text>
    <mentions>
      <mention mentionpersonId="{64A125C0-C980-450F-B91F-164A54ED3500}" mentionId="{3765B459-F213-4200-A2D7-8A5469184CD3}" startIndex="0" length="16"/>
    </mentions>
  </threadedComment>
  <threadedComment ref="S1509" dT="2025-08-11T20:04:01.71" personId="{EB756D3C-0333-4781-801C-F36FB858F0FD}" id="{6973B20C-83C3-4C7B-9596-9C9D2D05710F}" parentId="{F39CA419-7914-4329-B765-06A0E5C2FB1F}">
    <text>@LaPorte, Marissa - This is a lump sum project - these columns are N/A for those.</text>
    <mentions>
      <mention mentionpersonId="{E0C835FB-FC54-490F-842D-70FB64882B80}" mentionId="{0092C8B5-9808-4456-9020-1B65E7BC5F9F}" startIndex="0" length="17"/>
    </mentions>
  </threadedComment>
  <threadedComment ref="O1510" dT="2025-08-14T21:42:01.62" personId="{EB756D3C-0333-4781-801C-F36FB858F0FD}" id="{2A1AB30E-CC03-45F3-B58E-3E3912C1226E}">
    <text>Bill in Sept - pending estimate approval</text>
  </threadedComment>
  <threadedComment ref="V1510" dT="2025-08-12T12:39:37.10" personId="{EB756D3C-0333-4781-801C-F36FB858F0FD}" id="{6EBB35D8-D48C-4BA1-A66F-25229AF9294A}" done="1">
    <text>@McTigue, Thomas - Please fill out red cells and highlight yellow when ready for my review.</text>
    <mentions>
      <mention mentionpersonId="{64A125C0-C980-450F-B91F-164A54ED3500}" mentionId="{97C5F1EA-A90B-4651-8D40-3910519B8F90}" startIndex="0" length="16"/>
    </mentions>
  </threadedComment>
  <threadedComment ref="V1515" dT="2025-08-18T17:34:00.65" personId="{9E62BE2C-0142-483B-A1E8-957D99ED07D0}" id="{913B316D-B2BF-4668-8DE1-B3F4DC9396F9}">
    <text xml:space="preserve">@Chamernik, Conner please fill out cells in red. </text>
    <mentions>
      <mention mentionpersonId="{57B91CBD-0327-4D8C-B370-773C13F6634B}" mentionId="{3C0379DA-75C6-48CF-A417-83E007E113C4}" startIndex="0" length="18"/>
    </mentions>
  </threadedComment>
  <threadedComment ref="V1515" dT="2025-08-19T18:28:46.95" personId="{0F8BBC01-9FFE-46F1-A588-E756CD2DAAE0}" id="{60D6C833-5C85-48B8-A868-F7428CD6D313}" parentId="{913B316D-B2BF-4668-8DE1-B3F4DC9396F9}">
    <text>Complete</text>
  </threadedComment>
  <threadedComment ref="O1517" dT="2025-08-14T21:35:43.03" personId="{EB756D3C-0333-4781-801C-F36FB858F0FD}" id="{53BDFE1E-A09B-4E2F-A30E-F68819485137}">
    <text>Bill in Sept</text>
  </threadedComment>
  <threadedComment ref="O1518" dT="2025-08-14T21:39:24.58" personId="{EB756D3C-0333-4781-801C-F36FB858F0FD}" id="{9199624F-A1F2-4400-856B-036CA22C8A24}">
    <text>Bill in Sept</text>
  </threadedComment>
  <threadedComment ref="S1519" dT="2025-08-20T14:08:16.58" personId="{AD1FAA3F-1360-44AB-83DF-B4908D76B23C}" id="{94C37735-2D5E-4E03-BFD1-893766A6372D}" done="1">
    <text>@Rojas, Taylor can you please help me pull the shactee effort for this task</text>
    <mentions>
      <mention mentionpersonId="{FA85CEED-3E1F-4D20-BCFE-4E7CBFAF58D2}" mentionId="{01A37FF4-7FEC-46D9-8F9E-4A833EC03CA5}" startIndex="0" length="14"/>
    </mentions>
  </threadedComment>
  <threadedComment ref="BB1523" dT="2025-09-18T17:46:55.53" personId="{3BA37BBC-10FC-4BDA-B888-29DE350DF251}" id="{1B8209AB-C597-46F4-8490-7C21569958E7}">
    <text>@LaPorte, Marissa FYI this is the wording i'm using for steering commitee</text>
    <mentions>
      <mention mentionpersonId="{E0C835FB-FC54-490F-842D-70FB64882B80}" mentionId="{4A7A9F27-ED97-4962-BEBD-B0E1871E866F}" startIndex="0" length="17"/>
    </mentions>
  </threadedComment>
  <threadedComment ref="AD1526" dT="2025-09-15T22:18:31.40" personId="{B43CBA0C-5DE4-4FB3-8951-794B7F7C4646}" id="{FE9547CE-7529-49A5-9C48-F88DFB0A82BC}" done="1">
    <text>@Kulach, Caroline did we need to update permitting parameters for this?  If not, change to N</text>
    <mentions>
      <mention mentionpersonId="{024AE523-21F1-4810-9EBC-1F52184244F6}" mentionId="{8263347C-F41B-4296-8197-9E8DE69723EE}" startIndex="0" length="17"/>
    </mentions>
  </threadedComment>
  <threadedComment ref="H1528" dT="2025-09-15T22:59:06.08" personId="{B43CBA0C-5DE4-4FB3-8951-794B7F7C4646}" id="{E3494746-3693-4DD7-B362-43E246472BD6}">
    <text>@Chamernik, Conner why did we call this one an addendum and not a redline revision?</text>
    <mentions>
      <mention mentionpersonId="{57B91CBD-0327-4D8C-B370-773C13F6634B}" mentionId="{D767D90B-D542-4542-8F4E-4C2F608D37E2}" startIndex="0" length="18"/>
    </mentions>
  </threadedComment>
  <threadedComment ref="H1528" dT="2025-09-15T23:26:26.40" personId="{0F8BBC01-9FFE-46F1-A588-E756CD2DAAE0}" id="{7E2EEA38-AC9C-4E1E-9284-47E7453301BC}" parentId="{E3494746-3693-4DD7-B362-43E246472BD6}">
    <text>I'm not 100% sure. ConOps kept calling it an addendum planset (like we did on SC17680 Wheaton), but both were just "redline revisions". Want me to change the titling on everything to Redline Revision?</text>
  </threadedComment>
  <threadedComment ref="K1528" dT="2025-08-27T14:48:54.55" personId="{EB756D3C-0333-4781-801C-F36FB858F0FD}" id="{0240FB94-8E18-4635-8327-24033C6328D5}">
    <text>@Chamernik, Conner - please fill out all red cells in row. Use past addendums as go-by for filling column M.</text>
    <mentions>
      <mention mentionpersonId="{57B91CBD-0327-4D8C-B370-773C13F6634B}" mentionId="{D59C178A-E17D-45AB-9EA4-0E7FF1D03C88}" startIndex="0" length="18"/>
    </mentions>
  </threadedComment>
  <threadedComment ref="V1531" dT="2025-09-11T16:46:17.06" personId="{8B95014D-CB0C-4B46-AE57-ECA943BEAC36}" id="{25382274-697D-4830-9CB7-781E5781DB2E}">
    <text xml:space="preserve">@Holstead, Julia  Can you please fill out highlighted cells? </text>
    <mentions>
      <mention mentionpersonId="{97D9F2BC-0E21-4633-B402-0B1105F294EC}" mentionId="{B71C767F-92B3-45FE-ADFF-3877554BCFC3}" startIndex="0" length="16"/>
    </mentions>
  </threadedComment>
  <threadedComment ref="V1531" dT="2025-09-15T16:20:48.09" personId="{8B95014D-CB0C-4B46-AE57-ECA943BEAC36}" id="{C9599EFA-CAA7-46C6-8AFE-8268545A272F}" parentId="{25382274-697D-4830-9CB7-781E5781DB2E}">
    <text>@Holstead, Julia  Please complete</text>
    <mentions>
      <mention mentionpersonId="{97D9F2BC-0E21-4633-B402-0B1105F294EC}" mentionId="{383FC46C-0BCA-4D3E-B920-4B83E66AA483}" startIndex="0" length="16"/>
    </mentions>
  </threadedComment>
  <threadedComment ref="S1532" dT="2025-09-15T16:10:25.07" personId="{8B95014D-CB0C-4B46-AE57-ECA943BEAC36}" id="{56967252-3949-4253-9BCC-1BCBC914251A}">
    <text>@McTigue, Thomas Can you please fill out this row?</text>
    <mentions>
      <mention mentionpersonId="{64A125C0-C980-450F-B91F-164A54ED3500}" mentionId="{BC1370EC-3639-4A1D-9A99-D0BBB4508E31}" startIndex="0" length="16"/>
    </mentions>
  </threadedComment>
  <threadedComment ref="S1533" dT="2025-09-15T16:10:30.04" personId="{8B95014D-CB0C-4B46-AE57-ECA943BEAC36}" id="{E6807F3B-A8B4-4EDB-B615-21731737C96D}">
    <text>@McTigue, Thomas Can you please fill out this row?</text>
  </threadedComment>
  <threadedComment ref="K1535" dT="2025-09-15T17:43:03.07" personId="{B43CBA0C-5DE4-4FB3-8951-794B7F7C4646}" id="{CB2EA8A4-7ABA-4DA6-A005-889266FA3A74}">
    <text>@Stanley, Mark please populate red cells</text>
    <mentions>
      <mention mentionpersonId="{564B30FC-287F-49EB-AA0A-97AAB2676CF3}" mentionId="{292A74BF-7119-422F-8DAE-78F35F711F0A}" startIndex="0" length="14"/>
    </mentions>
  </threadedComment>
  <threadedComment ref="K1535" dT="2025-09-16T19:09:45.59" personId="{F227819F-94A5-4B9E-BFE1-31C425F558EE}" id="{2D15381D-4FC0-476A-B93E-38BDF63D55CD}" parentId="{CB2EA8A4-7ABA-4DA6-A005-889266FA3A74}">
    <text>@Dina, Eric - Completed, ready for review.</text>
    <mentions>
      <mention mentionpersonId="{F9D0559D-AD59-4808-8048-C5973E55A36A}" mentionId="{A5B8B5B6-4B40-47F5-9746-902A9749438C}" startIndex="0" length="11"/>
    </mentions>
  </threadedComment>
</ThreadedComments>
</file>

<file path=xl/threadedComments/threadedComment10.xml><?xml version="1.0" encoding="utf-8"?>
<ThreadedComments xmlns="http://schemas.microsoft.com/office/spreadsheetml/2018/threadedcomments" xmlns:x="http://schemas.openxmlformats.org/spreadsheetml/2006/main">
  <threadedComment ref="C20" dT="2025-07-17T12:49:45.70" personId="{AD1FAA3F-1360-44AB-83DF-B4908D76B23C}" id="{52FF3307-D388-411A-8056-E335470D4E70}">
    <text>@Michaels, Nick going to go off the WO but i think this should be MR1926</text>
    <mentions>
      <mention mentionpersonId="{B4D9CDF8-D824-45AC-9EAC-9C126A267B65}" mentionId="{5407F9AF-8C9F-4B55-92A6-172651E1C61D}" startIndex="0" length="15"/>
    </mentions>
  </threadedComment>
  <threadedComment ref="C20" dT="2025-07-17T12:59:36.88" personId="{EB756D3C-0333-4781-801C-F36FB858F0FD}" id="{50CDDEFC-93E6-46AD-A71C-556E1E6B6C7D}" parentId="{52FF3307-D388-411A-8056-E335470D4E70}">
    <text>@Corbi, Camille - youre right. It was wrong in completed too. Just fixed, thank you!</text>
    <mentions>
      <mention mentionpersonId="{ABEDD8C2-01F0-4304-90BA-79DEF386422B}" mentionId="{2E821930-C53C-4159-886E-4D19E56F3BCA}" startIndex="0" length="15"/>
    </mentions>
  </threadedComment>
  <threadedComment ref="AC20" dT="2023-09-12T13:46:46.25" personId="{BFDAC309-ED37-493D-BDEE-F306C500F8AD}" id="{00F83D81-0A18-4758-A766-4908670B8985}">
    <text>Material procurement to occur at a later date. construction anticipated for 2024.</text>
  </threadedComment>
  <threadedComment ref="J23" dT="2024-11-18T15:19:21.09" personId="{EB756D3C-0333-4781-801C-F36FB858F0FD}" id="{D71E4DBB-5420-4817-8D2A-F30079C0161C}">
    <text>No EADD in EDSR form. 11/18 is self imposed date.</text>
  </threadedComment>
  <threadedComment ref="O33" dT="2025-06-17T12:58:44.08" personId="{1B2CDA8A-CEFC-4136-87C1-B34BF471D2DA}" id="{ED4ECF9D-79B8-4E8C-AC96-83C546477EE0}" done="1">
    <text xml:space="preserve">May add this to June billing if the cost estimate meeting on 6/18 goes smooth and there are no outstanding items. </text>
  </threadedComment>
  <threadedComment ref="Q33" dT="2025-06-17T15:03:15.17" personId="{1B2CDA8A-CEFC-4136-87C1-B34BF471D2DA}" id="{C96414F1-BB11-40A7-A8B1-E7985A1C3D8F}">
    <text>@Michaels, Nick  will be verified after cost estimate review meeting with conops tomorrow, would like to bill this month if possible</text>
    <mentions>
      <mention mentionpersonId="{B4D9CDF8-D824-45AC-9EAC-9C126A267B65}" mentionId="{57CA2513-14D5-4E5B-A039-1D0D94EAED6F}" startIndex="0" length="15"/>
    </mentions>
  </threadedComment>
  <threadedComment ref="Q33" dT="2025-06-17T15:27:21.85" personId="{1B2CDA8A-CEFC-4136-87C1-B34BF471D2DA}" id="{D62BF9BB-F946-4CD2-925D-0A12E5FCC87D}" parentId="{C96414F1-BB11-40A7-A8B1-E7985A1C3D8F}">
    <text>Pushing to next month</text>
  </threadedComment>
  <threadedComment ref="V33" dT="2025-06-16T13:49:02.29" personId="{B43CBA0C-5DE4-4FB3-8951-794B7F7C4646}" id="{4EE63D16-4C08-48FF-9BED-4F3A88B64B43}">
    <text>@Lierow, Taylor please populate red cells</text>
    <mentions>
      <mention mentionpersonId="{502BF9D0-8DCD-49BB-B66D-0DCEA37B4151}" mentionId="{680F81C3-F91F-454E-B052-8DE96852CB15}" startIndex="0" length="15"/>
    </mentions>
  </threadedComment>
  <threadedComment ref="AA33" dT="2025-06-17T14:55:12.68" personId="{1B2CDA8A-CEFC-4136-87C1-B34BF471D2DA}" id="{CB5F7DF4-48CA-4813-9008-1D89B84FF8AF}">
    <text xml:space="preserve">@Michaels, Nick just FYI it looks like there was some miscellaneous $100 charge in column Y for this. I deleted it, but I can’t unhide the cells to verify if there are others. Probably worth a look and then deleting this comment. </text>
    <mentions>
      <mention mentionpersonId="{B4D9CDF8-D824-45AC-9EAC-9C126A267B65}" mentionId="{AA48BAE7-28DC-473B-8032-125963BEA645}" startIndex="0" length="15"/>
    </mentions>
  </threadedComment>
  <threadedComment ref="AB33" dT="2025-06-17T19:03:28.89" personId="{EB756D3C-0333-4781-801C-F36FB858F0FD}" id="{37B462B3-9149-4458-BD1D-869C7BC13AC0}" done="1">
    <text>@Kulach, Caroline /@Dina, Eric - shouldn’t be a date here that’s in the future. Leave as Sent (x/x) until we get our actual approval from conops</text>
    <mentions>
      <mention mentionpersonId="{024AE523-21F1-4810-9EBC-1F52184244F6}" mentionId="{0EA29DC8-E4AD-4BC4-9F57-5730CA1224B9}" startIndex="0" length="17"/>
      <mention mentionpersonId="{F9D0559D-AD59-4808-8048-C5973E55A36A}" mentionId="{DEC5E2C9-728F-4C3E-8DAC-2A8B1ED13623}" startIndex="19" length="11"/>
    </mentions>
  </threadedComment>
  <threadedComment ref="AK39" dT="2025-01-27T20:20:30.25" personId="{AD1FAA3F-1360-44AB-83DF-B4908D76B23C}" id="{13C5FCC2-7833-4569-8817-0C0A5D16E138}" done="1">
    <text>@Rojas, Taylor When you have a minute can you please help pull the effort from Shactee on this project?</text>
    <mentions>
      <mention mentionpersonId="{FA85CEED-3E1F-4D20-BCFE-4E7CBFAF58D2}" mentionId="{E03635F0-A1C1-466D-AE5C-EC82E95A38EF}" startIndex="0" length="14"/>
    </mentions>
  </threadedComment>
  <threadedComment ref="J40" dT="2025-05-15T13:14:52.84" personId="{EB756D3C-0333-4781-801C-F36FB858F0FD}" id="{E86E51F5-7C57-4B94-95F2-0FC7ACD4F648}">
    <text>@Stanley, Mark - are we still pending this date extension? If so, please follow up and add the date of our last follow up.</text>
    <mentions>
      <mention mentionpersonId="{564B30FC-287F-49EB-AA0A-97AAB2676CF3}" mentionId="{2BBD0DD3-B376-4841-B8ED-953D3081C2B0}" startIndex="0" length="14"/>
    </mentions>
  </threadedComment>
  <threadedComment ref="J40" dT="2025-05-15T14:49:29.94" personId="{F227819F-94A5-4B9E-BFE1-31C425F558EE}" id="{DCC8F6AE-6812-46E2-9BD8-7ED075219592}" parentId="{E86E51F5-7C57-4B94-95F2-0FC7ACD4F648}">
    <text>Still pending, most recent f/u 5/15/25</text>
  </threadedComment>
  <threadedComment ref="J40" dT="2025-06-12T16:12:52.46" personId="{F227819F-94A5-4B9E-BFE1-31C425F558EE}" id="{D52B59F2-B9DF-4873-8411-544F59241EE4}" parentId="{E86E51F5-7C57-4B94-95F2-0FC7ACD4F648}">
    <text>F/U 6/12/25</text>
  </threadedComment>
  <threadedComment ref="AN45" dT="2025-07-21T16:22:44.78" personId="{B43CBA0C-5DE4-4FB3-8951-794B7F7C4646}" id="{960DE391-6DD0-4284-9598-6083AF279FF1}">
    <text>9/5/2024</text>
  </threadedComment>
  <threadedComment ref="AN45" dT="2025-07-22T16:18:49.12" personId="{1B2CDA8A-CEFC-4136-87C1-B34BF471D2DA}" id="{4B882276-5F60-4FB8-B594-85053F279257}" parentId="{960DE391-6DD0-4284-9598-6083AF279FF1}">
    <text>I assume this can be colored purple now?</text>
  </threadedComment>
  <threadedComment ref="AW45" dT="2025-07-21T16:26:03.46" personId="{B43CBA0C-5DE4-4FB3-8951-794B7F7C4646}" id="{E75C4765-207D-4795-9DC2-160E625379CF}" done="1">
    <text>Include the reason why the estimate increased.  Removing SysOps time should have decreased the estimate.</text>
  </threadedComment>
  <threadedComment ref="X47" dT="2024-03-11T13:52:24.05" personId="{24E6244D-1EC0-4D28-8AA4-3342015D362A}" id="{399D7A9B-F84D-40EA-A4E5-8A43D4231CC7}">
    <text>PCTS shows 1,357,372.21</text>
  </threadedComment>
  <threadedComment ref="Z47" dT="2024-03-11T13:53:00.18" personId="{24E6244D-1EC0-4D28-8AA4-3342015D362A}" id="{8FAD5ABC-833E-4A21-8546-61B1E1F4AF72}">
    <text>PCTS shows 325,070.37</text>
  </threadedComment>
  <threadedComment ref="AN48" dT="2025-07-07T18:52:58.84" personId="{3B2D5CBB-8EEF-4A78-9A0D-33CA3157BEED}" id="{0169D7E2-D350-42B3-BD6D-14309DDC35E3}">
    <text>This one has a approved date, but in the notes tab is showing as the WO has been cancelled, and the EDSR is showing as NOO/No Conflict.</text>
  </threadedComment>
  <threadedComment ref="AN48" dT="2025-07-21T13:05:57.01" personId="{1B2CDA8A-CEFC-4136-87C1-B34BF471D2DA}" id="{845DDEF5-B2CB-4B76-989C-D60704A4F9C6}" parentId="{0169D7E2-D350-42B3-BD6D-14309DDC35E3}">
    <text>Did we do a relocation for this? If so, we may want to reach out to the supervising engineer on this one to see the story. Maybe it was NOO in the field?</text>
  </threadedComment>
  <threadedComment ref="AN48" dT="2025-07-21T13:46:13.74" personId="{3B2D5CBB-8EEF-4A78-9A0D-33CA3157BEED}" id="{01C324D2-335A-4D50-B220-9EEC95CF77A0}" parentId="{0169D7E2-D350-42B3-BD6D-14309DDC35E3}">
    <text xml:space="preserve">We completed the drawings and an associated revision. Caroline had a conops site visit correspondence with Bart Sobol confirming they were able to negotiate out of the work, so yes it was in the field. 
</text>
  </threadedComment>
  <threadedComment ref="AN48" dT="2025-07-21T21:54:55.08" personId="{B43CBA0C-5DE4-4FB3-8951-794B7F7C4646}" id="{30276677-29F5-44B9-A03E-0B02AFFFD9F5}" parentId="{0169D7E2-D350-42B3-BD6D-14309DDC35E3}">
    <text>I agree with N/A for this.  The project is canceled in PCTS per Bart, NOO in EDSR per Karey or Kendra (KJ)</text>
  </threadedComment>
  <threadedComment ref="AJ51" dT="2024-09-16T22:31:46.22" personId="{B43CBA0C-5DE4-4FB3-8951-794B7F7C4646}" id="{D0056230-07B0-4AA3-86CF-9AE2729A1D7C}" done="1">
    <text>It looks like Millennia forgot to bill us for a pothole.  Getting confirmation.</text>
  </threadedComment>
  <threadedComment ref="AJ51" dT="2024-10-01T23:59:56.65" personId="{EB756D3C-0333-4781-801C-F36FB858F0FD}" id="{4456459E-8458-4933-8460-68FC82B3CEDD}" parentId="{D0056230-07B0-4AA3-86CF-9AE2729A1D7C}">
    <text>Pending response from Millenia</text>
  </threadedComment>
  <threadedComment ref="K69" dT="2025-06-05T13:39:59.78" personId="{EB756D3C-0333-4781-801C-F36FB858F0FD}" id="{A976B7CF-845D-4100-B12B-6F333FFB3699}" done="1">
    <text>@Corbi, Camille - what is our date of last follow up to land? Lets add that.</text>
    <mentions>
      <mention mentionpersonId="{ABEDD8C2-01F0-4304-90BA-79DEF386422B}" mentionId="{78EE8075-B1BD-4A98-B127-59EBD9A3ABD2}" startIndex="0" length="15"/>
    </mentions>
  </threadedComment>
  <threadedComment ref="K69" dT="2025-06-05T13:53:05.95" personId="{AD1FAA3F-1360-44AB-83DF-B4908D76B23C}" id="{198EA64F-7E5C-4522-88D0-B2A06AC3F878}" parentId="{A976B7CF-845D-4100-B12B-6F333FFB3699}">
    <text>following up everyday</text>
  </threadedComment>
  <threadedComment ref="O69" dT="2025-06-17T15:36:34.09" personId="{EB756D3C-0333-4781-801C-F36FB858F0FD}" id="{9F906DC7-8A03-42B4-8B01-561EF1AA81E8}">
    <text>Bill in July</text>
  </threadedComment>
  <threadedComment ref="V69" dT="2025-06-17T15:37:23.75" personId="{EB756D3C-0333-4781-801C-F36FB858F0FD}" id="{124896D2-C0C5-486C-8BCD-0E7A6D448367}">
    <text>@Corbi, Camille - Please fill out all red cells in row and highlight yellow when ready for my review.</text>
    <mentions>
      <mention mentionpersonId="{ABEDD8C2-01F0-4304-90BA-79DEF386422B}" mentionId="{A0ADD204-DD19-420F-B46E-F924707B84B2}" startIndex="0" length="15"/>
    </mentions>
  </threadedComment>
  <threadedComment ref="AK69" dT="2025-06-17T22:22:55.98" personId="{AD1FAA3F-1360-44AB-83DF-B4908D76B23C}" id="{11125BD7-C4C0-4B46-9E3D-F300B3F35E08}" done="1">
    <text>@Rojas, Taylor ca you please help me pull all the shactee effort for this project?</text>
    <mentions>
      <mention mentionpersonId="{FA85CEED-3E1F-4D20-BCFE-4E7CBFAF58D2}" mentionId="{5C255C4D-91ED-426D-BA74-78218F6C65AF}" startIndex="0" length="14"/>
    </mentions>
  </threadedComment>
  <threadedComment ref="AW70" dT="2025-07-21T17:00:06.58" personId="{B43CBA0C-5DE4-4FB3-8951-794B7F7C4646}" id="{86C8ECCE-E247-41F3-BB19-3995127195B8}">
    <text>What caused the cost to decrease?</text>
  </threadedComment>
  <threadedComment ref="AW70" dT="2025-07-22T14:46:40.34" personId="{0F8BBC01-9FFE-46F1-A588-E756CD2DAAE0}" id="{58AFEDB3-7B05-4B1C-A535-EB8340A6DA19}" parentId="{86C8ECCE-E247-41F3-BB19-3995127195B8}">
    <text>ConOps lowered 2 person boring crew, lowered (10026) trucking, and lowered traffic control. Is there something else you need on this?</text>
  </threadedComment>
  <threadedComment ref="AW70" dT="2025-07-22T17:18:18.80" personId="{1B2CDA8A-CEFC-4136-87C1-B34BF471D2DA}" id="{A6A315B5-B1FD-47B0-B844-810CC62FAFAE}" parentId="{86C8ECCE-E247-41F3-BB19-3995127195B8}">
    <text>Do we understand what the reason was behind this? Did we have documentation of them originally wanting to increase it, and then removing it later?</text>
  </threadedComment>
  <threadedComment ref="AW80" dT="2025-07-21T21:57:53.21" personId="{B43CBA0C-5DE4-4FB3-8951-794B7F7C4646}" id="{6BB99796-90E5-4E42-9012-8170DBFBF444}">
    <text>Can you comment on the $2M cost decrease?</text>
  </threadedComment>
  <threadedComment ref="AW80" dT="2025-07-22T13:49:27.65" personId="{3B2D5CBB-8EEF-4A78-9A0D-33CA3157BEED}" id="{B7A599F9-6EE2-4874-B519-72F634E46FAB}" parentId="{6BB99796-90E5-4E42-9012-8170DBFBF444}">
    <text xml:space="preserve">double click into the reconciliation notes N14359 - ~4K Revision due to IDOT permit comments
N14359 - ~29K Revision due to splitting up original drawings into two seperate WO's. 
N14359-1 - ~43K Revision due to the second WO drawings from the split being created. 
N14359-1 - ~3K Revision due to revised Village comments on RR drawings. 
N14359 was revised to be split up into two seperate Work Orders. The final cost of the investment and retirmement is under another Proj number - N14359-1.  The major cost decrease of the $2M was "moved" to the N143559-1 project, that has yet to be constructed. </text>
  </threadedComment>
  <threadedComment ref="AC86" dT="2025-02-21T18:52:00.71" personId="{EB756D3C-0333-4781-801C-F36FB858F0FD}" id="{A0618321-2981-4EDC-8CEB-FF6E61F09186}" done="1">
    <text>@LaPorte, Marissa / @McTigue, Thomas - Would you please fill out the red cells in these rows?</text>
    <mentions>
      <mention mentionpersonId="{E0C835FB-FC54-490F-842D-70FB64882B80}" mentionId="{4521F0D5-CB6B-4D24-BCCF-7084DA6EADBC}" startIndex="0" length="17"/>
      <mention mentionpersonId="{64A125C0-C980-450F-B91F-164A54ED3500}" mentionId="{829EB0AC-AB4E-4D6E-9348-F3720453D2FF}" startIndex="20" length="16"/>
    </mentions>
  </threadedComment>
  <threadedComment ref="AC86" dT="2025-02-24T16:00:01.91" personId="{170BCDB3-C00E-4DAB-8167-9427A631A4A5}" id="{3EEB5625-4147-4C1B-A309-AF922A5C3624}" parentId="{A0618321-2981-4EDC-8CEB-FF6E61F09186}">
    <text>Updated, debrief in March</text>
  </threadedComment>
  <threadedComment ref="AV88" dT="2025-07-08T16:16:31.67" personId="{E8EF2CEE-A9C0-4A56-A06B-BC6445822825}" id="{C016335E-EE40-40B2-AD1F-03192E38667C}">
    <text>Put full revision 1 cost under non-reimbursable WO</text>
  </threadedComment>
  <threadedComment ref="J89" dT="2024-07-19T13:36:15.47" personId="{AD1FAA3F-1360-44AB-83DF-B4908D76B23C}" id="{82226C32-9731-48C5-82E7-64137D5CD7E9}">
    <text>f/u 7/19</text>
  </threadedComment>
  <threadedComment ref="J89" dT="2024-08-06T22:30:42.41" personId="{AD1FAA3F-1360-44AB-83DF-B4908D76B23C}" id="{D7833BA4-2FEF-4ECD-BA7E-17061F75E4DB}" parentId="{82226C32-9731-48C5-82E7-64137D5CD7E9}">
    <text>8/6</text>
  </threadedComment>
  <threadedComment ref="J89" dT="2024-08-27T12:48:00.98" personId="{AD1FAA3F-1360-44AB-83DF-B4908D76B23C}" id="{6BAE7369-70B8-426B-952E-DF0F1CEE639F}" parentId="{82226C32-9731-48C5-82E7-64137D5CD7E9}">
    <text>8/27</text>
  </threadedComment>
  <threadedComment ref="J89" dT="2024-10-10T17:43:11.35" personId="{AD1FAA3F-1360-44AB-83DF-B4908D76B23C}" id="{CDB2B057-966F-4EAC-B667-A17A06BF053A}" parentId="{82226C32-9731-48C5-82E7-64137D5CD7E9}">
    <text>10/10</text>
  </threadedComment>
  <threadedComment ref="J89" dT="2024-10-16T22:24:57.71" personId="{AD1FAA3F-1360-44AB-83DF-B4908D76B23C}" id="{2A0DDCF1-41CF-46FB-819C-C701738E26DD}" parentId="{82226C32-9731-48C5-82E7-64137D5CD7E9}">
    <text>10/16</text>
  </threadedComment>
  <threadedComment ref="J89" dT="2024-11-07T13:44:23.32" personId="{AD1FAA3F-1360-44AB-83DF-B4908D76B23C}" id="{77C826EF-A50A-4A25-9032-E35194009960}" parentId="{82226C32-9731-48C5-82E7-64137D5CD7E9}">
    <text>11/7</text>
  </threadedComment>
  <threadedComment ref="J89" dT="2024-12-10T23:13:23.79" personId="{AD1FAA3F-1360-44AB-83DF-B4908D76B23C}" id="{CF3D047A-FBDE-4131-AB3A-D42978828850}" parentId="{82226C32-9731-48C5-82E7-64137D5CD7E9}">
    <text>12/10</text>
  </threadedComment>
  <threadedComment ref="J89" dT="2024-12-17T17:19:34.28" personId="{AD1FAA3F-1360-44AB-83DF-B4908D76B23C}" id="{C85D1D08-5477-4F91-BDB8-4A4E91D94221}" parentId="{82226C32-9731-48C5-82E7-64137D5CD7E9}">
    <text>updated and reviewed</text>
  </threadedComment>
  <threadedComment ref="AW89" dT="2025-07-21T16:28:34.94" personId="{B43CBA0C-5DE4-4FB3-8951-794B7F7C4646}" id="{12510A2B-9D2A-4476-BA09-CAA5B6784C8C}" done="1">
    <text>Why did the cost increase?</text>
  </threadedComment>
  <threadedComment ref="AJ93" dT="2024-06-06T14:35:26.73" personId="{0F8BBC01-9FFE-46F1-A588-E756CD2DAAE0}" id="{57712FF8-C7B2-437D-BF25-C1FDEC410C90}">
    <text>Shactee locates ($1,368.34) + Helix ($6,850)</text>
  </threadedComment>
  <threadedComment ref="AO95" dT="2025-07-21T22:34:20.62" personId="{B43CBA0C-5DE4-4FB3-8951-794B7F7C4646}" id="{FE96E3BB-72E8-4A46-9858-17547F4AD78F}">
    <text>11099260</text>
  </threadedComment>
  <threadedComment ref="AB108" dT="2023-11-09T13:53:29.71" personId="{F227819F-94A5-4B9E-BFE1-31C425F558EE}" id="{21980B56-D2C2-41AD-84A4-13CE5306603E}">
    <text>Review request sent 11/2. F/U 11/8. ConOps reports project is to be broken up into multiple WOs.</text>
  </threadedComment>
  <threadedComment ref="AC108" dT="2023-11-09T14:12:36.00" personId="{F227819F-94A5-4B9E-BFE1-31C425F558EE}" id="{B801DA13-E3F7-4F32-8DCC-FDE8DB09895F}">
    <text>Requisitions on hold, project is to be broken into multiple WOs.</text>
  </threadedComment>
  <threadedComment ref="AC109" dT="2023-07-26T16:36:05.59" personId="{F227819F-94A5-4B9E-BFE1-31C425F558EE}" id="{C80AE9A4-5282-451B-88BA-869143C67DF8}" done="1">
    <text>Pending PID creation. Email out to Kendra 7/25.</text>
  </threadedComment>
  <threadedComment ref="AC109" dT="2023-07-27T20:45:32.64" personId="{F227819F-94A5-4B9E-BFE1-31C425F558EE}" id="{2ED97A01-B296-4414-A49B-14509E806666}" parentId="{C80AE9A4-5282-451B-88BA-869143C67DF8}">
    <text>F/U 7/27</text>
  </threadedComment>
  <threadedComment ref="AC109" dT="2023-08-04T17:04:00.14" personId="{F227819F-94A5-4B9E-BFE1-31C425F558EE}" id="{A7CFBF26-9C73-41E1-BD69-CCBA7EB1D668}" parentId="{C80AE9A4-5282-451B-88BA-869143C67DF8}">
    <text>F/U 8/4</text>
  </threadedComment>
  <threadedComment ref="AC109" dT="2023-08-10T19:57:33.36" personId="{F227819F-94A5-4B9E-BFE1-31C425F558EE}" id="{CADA96C7-58B3-4A2B-8D7F-52759F3A7D9F}" parentId="{C80AE9A4-5282-451B-88BA-869143C67DF8}">
    <text>PR6380 submitted 8/10</text>
  </threadedComment>
  <threadedComment ref="K127" dT="2025-06-26T17:25:03.65" personId="{B43CBA0C-5DE4-4FB3-8951-794B7F7C4646}" id="{4F83217A-6802-4725-84F7-2B0DC6A405A2}" done="1">
    <text>@Hopkins, Matt please populate red cells</text>
    <mentions>
      <mention mentionpersonId="{9E19E8B3-7A88-4DEE-A51F-9DD7636E6CDB}" mentionId="{2A0C8EF9-0FEF-46AD-9478-E31AF9E8DA29}" startIndex="0" length="14"/>
    </mentions>
  </threadedComment>
  <threadedComment ref="X128" dT="2024-05-09T16:34:02.94" personId="{1B2CDA8A-CEFC-4136-87C1-B34BF471D2DA}" id="{ED8961F2-4DCF-4918-977A-D7F9A8B37D07}">
    <text>@Dina, Eric just FYI, these numbers that you previously had in here included OH, I updated to be the direct estimates</text>
    <mentions>
      <mention mentionpersonId="{F9D0559D-AD59-4808-8048-C5973E55A36A}" mentionId="{4E2B9280-B9A8-4BDE-8B40-5C5D1659ED95}" startIndex="0" length="11"/>
    </mentions>
  </threadedComment>
  <threadedComment ref="X128" dT="2024-05-09T16:53:24.76" personId="{B43CBA0C-5DE4-4FB3-8951-794B7F7C4646}" id="{186161D7-A885-4857-97C2-B9CB9E964A2B}" parentId="{ED8961F2-4DCF-4918-977A-D7F9A8B37D07}">
    <text>Thanks for making the change. @Hopkins, Matt  @Ekstrom, Ethan please note for next time</text>
    <mentions>
      <mention mentionpersonId="{9E19E8B3-7A88-4DEE-A51F-9DD7636E6CDB}" mentionId="{54024AF0-9985-4420-AB95-95EB807CB533}" startIndex="30" length="14"/>
      <mention mentionpersonId="{056D57C1-81F5-4319-9D83-599A1840E0BE}" mentionId="{B5C91FE2-AC0B-41AF-9E69-40C189DF9B7E}" startIndex="46" length="15"/>
    </mentions>
  </threadedComment>
  <threadedComment ref="AC134" dT="2023-07-25T12:51:46.57" personId="{739B1764-671C-42A9-B3C0-653139EA152B}" id="{2F3D187A-AE46-4C24-9B93-E56D012B002C}">
    <text>Material procurement to occur at a later date. construction anticipated for 2025</text>
  </threadedComment>
  <threadedComment ref="J137" dT="2025-03-06T20:20:12.38" personId="{09294521-340C-4E79-A59B-3E18A24C5902}" id="{0594D14A-2B07-4775-B000-3E31DFA0517B}">
    <text>Follow up 3/6</text>
  </threadedComment>
  <threadedComment ref="J139" dT="2025-03-07T15:37:57.00" personId="{0C89833E-8ABB-488B-84F5-2B758CCB897E}" id="{91C776E7-B610-4464-99E9-32ED12A08CDD}">
    <text>F/U 4/7</text>
  </threadedComment>
  <threadedComment ref="AJ140" dT="2024-02-27T16:43:02.81" personId="{0F8BBC01-9FFE-46F1-A588-E756CD2DAAE0}" id="{A6EFF359-7BC7-4F81-B361-320E27597194}">
    <text>Since there's 2 work orders, I have split this all the 3rd party costs between the two WOs.</text>
  </threadedComment>
  <threadedComment ref="AK142" dT="2024-03-08T20:33:03.46" personId="{EB756D3C-0333-4781-801C-F36FB858F0FD}" id="{0BBE80EB-E2D9-47C4-AAF3-B61318EBAC6F}">
    <text>Reported in 2023</text>
  </threadedComment>
  <threadedComment ref="K147" dT="2025-06-30T13:44:24.62" personId="{B43CBA0C-5DE4-4FB3-8951-794B7F7C4646}" id="{040B5710-2E48-4CAB-9B5B-B9710DE8CB70}">
    <text>@Castellon, Randy please populate red cells</text>
    <mentions>
      <mention mentionpersonId="{19AB77A6-6CAB-45F7-B79B-631A6192FCA1}" mentionId="{55357168-76B6-4AD9-9D69-AE09362A2263}" startIndex="0" length="17"/>
    </mentions>
  </threadedComment>
  <threadedComment ref="K148" dT="2025-06-30T13:44:40.70" personId="{B43CBA0C-5DE4-4FB3-8951-794B7F7C4646}" id="{DF7F3449-E18B-48CF-AD65-4E5299B7D8DE}">
    <text>@Castellon, Randy please populate red cells</text>
    <mentions>
      <mention mentionpersonId="{19AB77A6-6CAB-45F7-B79B-631A6192FCA1}" mentionId="{2DF19738-8A97-41BC-B0F6-461F6BE33F74}" startIndex="0" length="17"/>
    </mentions>
  </threadedComment>
  <threadedComment ref="AV149" dT="2025-07-21T22:14:08.69" personId="{B43CBA0C-5DE4-4FB3-8951-794B7F7C4646}" id="{2E88745A-2BEC-40AB-BD90-3E2E967466FE}">
    <text>$10,090.00 per completed projects.  Comment if this should be effectively split between the -1 number.</text>
  </threadedComment>
  <threadedComment ref="AV149" dT="2025-07-22T13:52:42.80" personId="{3B2D5CBB-8EEF-4A78-9A0D-33CA3157BEED}" id="{38FB8BB6-3958-4829-A015-26353F9A7294}" parentId="{2E88745A-2BEC-40AB-BD90-3E2E967466FE}">
    <text>shown as a split for the two projects</text>
  </threadedComment>
  <threadedComment ref="K153" dT="2024-05-08T18:28:39.78" personId="{1B2CDA8A-CEFC-4136-87C1-B34BF471D2DA}" id="{B664CE0E-E75B-4DDE-8D46-638D6A37AFB8}">
    <text>@Lierow, Taylor please fill out red cells and highlight yellow when ready for my review. Please continue to follow up on this date as well</text>
    <mentions>
      <mention mentionpersonId="{502BF9D0-8DCD-49BB-B66D-0DCEA37B4151}" mentionId="{D890D7D2-D796-47E4-B1D1-27C32C78B581}" startIndex="0" length="15"/>
    </mentions>
  </threadedComment>
  <threadedComment ref="AN154" dT="2025-07-07T18:42:35.88" personId="{3B2D5CBB-8EEF-4A78-9A0D-33CA3157BEED}" id="{7F3F250B-2296-41C2-8859-D94D8773BAD6}">
    <text>7/7 Update: project is being shown as NOO/No Conflict per Karey Notes as of 1/25/2025
Per joey "gonna have to look into this later"</text>
  </threadedComment>
  <threadedComment ref="AN154" dT="2025-07-21T22:11:07.09" personId="{B43CBA0C-5DE4-4FB3-8951-794B7F7C4646}" id="{6EF5B433-AEC4-4E04-B4A4-C3B20C8D7260}" parentId="{7F3F250B-2296-41C2-8859-D94D8773BAD6}">
    <text>NOO in EDSR and PCTS (Karey).  I agree w/ N/A.</text>
  </threadedComment>
  <threadedComment ref="AW158" dT="2025-07-21T22:23:36.88" personId="{B43CBA0C-5DE4-4FB3-8951-794B7F7C4646}" id="{B664F516-27F4-45DC-83D4-4384B83F5CD7}">
    <text>Was material moved from SC23070 to SC23070-1?  The cost change is about the same.</text>
  </threadedComment>
  <threadedComment ref="AW158" dT="2025-07-22T13:50:13.50" personId="{E8EF2CEE-A9C0-4A56-A06B-BC6445822825}" id="{B2048A75-897B-4ACD-9145-0A0B297A4048}" parentId="{B664F516-27F4-45DC-83D4-4384B83F5CD7}">
    <text>I looked for this, and based on the screen recordings I had, nothing was moved between estimates. I did look through some of the store item costs, and some went up and some went down, so I think that explains the minor changes</text>
  </threadedComment>
  <threadedComment ref="AN161" dT="2025-07-21T22:19:47.07" personId="{B43CBA0C-5DE4-4FB3-8951-794B7F7C4646}" id="{19D03F59-40D5-4EC5-909F-93C49D7D422C}">
    <text>Recently approved.  Please fill out.</text>
  </threadedComment>
  <threadedComment ref="X165" dT="2024-03-11T13:42:41.16" personId="{24E6244D-1EC0-4D28-8AA4-3342015D362A}" id="{B26152D6-8367-4BF5-90A7-125E41A4635F}">
    <text>PCTS shows $303,560.19</text>
  </threadedComment>
  <threadedComment ref="BK171" dT="2024-05-10T16:29:30.37" personId="{1B2CDA8A-CEFC-4136-87C1-B34BF471D2DA}" id="{0A18E7DF-A6A1-4473-B8D2-536771F9CB9B}" done="1">
    <text>@Hopkins, Matt please update red cells</text>
    <mentions>
      <mention mentionpersonId="{9E19E8B3-7A88-4DEE-A51F-9DD7636E6CDB}" mentionId="{F373CBF0-59FF-43BD-BEAC-8744FCAD953C}" startIndex="0" length="14"/>
    </mentions>
  </threadedComment>
  <threadedComment ref="BN171" dT="2024-04-22T12:34:03.60" personId="{AD1FAA3F-1360-44AB-83DF-B4908D76B23C}" id="{7D48C372-6E0E-46C8-92C5-FBFA6205282D}" done="1">
    <text>@Hopkins, Matt Please fill out if you anticipate sending for shactee review</text>
    <mentions>
      <mention mentionpersonId="{9E19E8B3-7A88-4DEE-A51F-9DD7636E6CDB}" mentionId="{1CFB84C3-CA40-49FA-91CD-268E80D13462}" startIndex="0" length="14"/>
    </mentions>
  </threadedComment>
  <threadedComment ref="AR175" dT="2025-07-21T16:15:24.58" personId="{B43CBA0C-5DE4-4FB3-8951-794B7F7C4646}" id="{8BC7D63D-C4B2-4470-B9AD-86345B15D309}">
    <text>@Corbi, Camille this is showing as $84,507.50 per PCTS, which is a very minor cost discrepancy from the original PCTS estimate.  Was anything updated in PCTS for the revision?</text>
    <mentions>
      <mention mentionpersonId="{ABEDD8C2-01F0-4304-90BA-79DEF386422B}" mentionId="{68DD9665-1F45-4A55-B958-7EC2531C9ACF}" startIndex="0" length="15"/>
    </mentions>
  </threadedComment>
  <threadedComment ref="AR175" dT="2025-07-21T16:29:36.28" personId="{AD1FAA3F-1360-44AB-83DF-B4908D76B23C}" id="{59A3392B-492E-45EA-BB5C-7FD099377E2C}" parentId="{8BC7D63D-C4B2-4470-B9AD-86345B15D309}">
    <text>No, they had specifically requested we not update the estimate for the revision</text>
  </threadedComment>
  <threadedComment ref="AR175" dT="2025-07-22T13:39:13.00" personId="{B43CBA0C-5DE4-4FB3-8951-794B7F7C4646}" id="{B9203EA7-B392-4C45-9119-1E8EE26E55B2}" parentId="{8BC7D63D-C4B2-4470-B9AD-86345B15D309}">
    <text>Got it.  Currently this is just a copy of the investment amount.  Can you adjust then number to the retirement amount and adjust the reasoning accordingly?</text>
  </threadedComment>
  <threadedComment ref="AR175" dT="2025-07-22T16:44:48.32" personId="{1B2CDA8A-CEFC-4136-87C1-B34BF471D2DA}" id="{9E44B017-6D1C-437F-8B4B-66BDB7217197}" parentId="{8BC7D63D-C4B2-4470-B9AD-86345B15D309}">
    <text>Can you let me know when this is updated?</text>
  </threadedComment>
  <threadedComment ref="AR175" dT="2025-07-22T17:35:18.16" personId="{AD1FAA3F-1360-44AB-83DF-B4908D76B23C}" id="{DD35A83F-BE9A-44BB-A5C3-719E1230962A}" parentId="{8BC7D63D-C4B2-4470-B9AD-86345B15D309}">
    <text>updated</text>
  </threadedComment>
  <threadedComment ref="AW175" dT="2025-07-22T17:45:57.36" personId="{AD1FAA3F-1360-44AB-83DF-B4908D76B23C}" id="{74C976DB-63DE-41EF-BCE2-B33498D1F913}">
    <text xml:space="preserve">My latest screen recording (taken at release on 3/25/25 has the investment of 694,528.40). All the tabs on the investment recording are the same as what PCTS is currently showing, but the direct estimate is now 694,722.02. No tabs appear to be updated from release until now, so I am not sure what is causing this discrepancy. Retirement costs are exactly the same. </text>
  </threadedComment>
  <threadedComment ref="H177" dT="2025-06-25T17:04:22.35" personId="{1B2CDA8A-CEFC-4136-87C1-B34BF471D2DA}" id="{0D50A65A-4BD9-4B2F-A811-EB4037E9CC85}">
    <text>@Lierow, Taylor  please fill out red cells and highlight yellow when ready for @Dina, Eric  and my review</text>
    <mentions>
      <mention mentionpersonId="{502BF9D0-8DCD-49BB-B66D-0DCEA37B4151}" mentionId="{A550265C-9363-4F0D-8879-DD0FA2B39520}" startIndex="0" length="15"/>
      <mention mentionpersonId="{F9D0559D-AD59-4808-8048-C5973E55A36A}" mentionId="{A4714AE3-8A55-4CB6-953E-1568DB7758FC}" startIndex="79" length="11"/>
    </mentions>
  </threadedComment>
  <threadedComment ref="H177" dT="2025-06-26T17:16:33.83" personId="{E8EF2CEE-A9C0-4A56-A06B-BC6445822825}" id="{F75F3B12-D448-4FBE-A197-227BCB34743F}" parentId="{0D50A65A-4BD9-4B2F-A811-EB4037E9CC85}">
    <text>Done</text>
  </threadedComment>
  <threadedComment ref="J177" dT="2025-06-27T14:08:46.39" personId="{A6785C6D-234D-4BD9-88A0-61CD519244F1}" id="{5F9EABE9-D1B8-4EBD-8C4D-259D006B8A77}">
    <text>this was approved, un-bolding the date</text>
  </threadedComment>
  <threadedComment ref="AN177" dT="2025-07-21T22:20:35.79" personId="{B43CBA0C-5DE4-4FB3-8951-794B7F7C4646}" id="{EC134AE3-6B2D-4ACC-8920-3823231767F0}">
    <text>Recently approved.  Please fill out.</text>
  </threadedComment>
  <threadedComment ref="AN183" dT="2025-07-21T22:46:49.97" personId="{B43CBA0C-5DE4-4FB3-8951-794B7F7C4646}" id="{4653E6CB-3786-4911-89D8-A4182DF98ECF}">
    <text>NOO per EDSR, I think we can change to N/A to remove from this list.</text>
  </threadedComment>
  <threadedComment ref="AN184" dT="2025-07-21T22:47:01.33" personId="{B43CBA0C-5DE4-4FB3-8951-794B7F7C4646}" id="{F6238734-473D-434D-9326-5308975C4EC5}">
    <text>NOO per EDSR, I think we can change to N/A to remove from this list.</text>
  </threadedComment>
  <threadedComment ref="AB185" dT="2025-02-12T22:46:30.58" personId="{EB756D3C-0333-4781-801C-F36FB858F0FD}" id="{093A364A-7747-4E33-B7DE-D7A2B38310FC}">
    <text>Ron Westphal</text>
  </threadedComment>
  <threadedComment ref="J186" dT="2025-03-07T14:17:17.95" personId="{E8EF2CEE-A9C0-4A56-A06B-BC6445822825}" id="{E5D6DA28-D578-405C-BF8E-E32256136567}">
    <text>F/U 3/7</text>
  </threadedComment>
  <threadedComment ref="J186" dT="2025-04-07T17:01:45.86" personId="{0C89833E-8ABB-488B-84F5-2B758CCB897E}" id="{8A7F7FA8-46C6-40C6-A36E-BE308B42ED65}" parentId="{E5D6DA28-D578-405C-BF8E-E32256136567}">
    <text>F/U 4/7</text>
  </threadedComment>
  <threadedComment ref="AN193" dT="2025-07-21T23:03:49.36" personId="{B43CBA0C-5DE4-4FB3-8951-794B7F7C4646}" id="{F3BBB480-8A4C-42F8-AFF5-FE43A51E92F7}">
    <text>Canceled per EDSR and PCTS.  I think we can change this to N/A to remove from list.</text>
  </threadedComment>
  <threadedComment ref="AN194" dT="2025-07-21T23:04:02.65" personId="{B43CBA0C-5DE4-4FB3-8951-794B7F7C4646}" id="{D689A768-D8FA-46C9-9109-2D102F05E537}">
    <text>Canceled per EDSR and PCTS.  I think we can change this to N/A to remove from list.</text>
  </threadedComment>
  <threadedComment ref="O200" dT="2025-06-16T17:43:15.53" personId="{EB756D3C-0333-4781-801C-F36FB858F0FD}" id="{EB935C8A-A0DF-461A-8C46-9DAB55CF13AC}">
    <text>Bill in July - pending conops est. approval</text>
  </threadedComment>
  <threadedComment ref="AC201" dT="2023-09-12T13:46:50.64" personId="{BFDAC309-ED37-493D-BDEE-F306C500F8AD}" id="{4FE8B830-5C90-4100-A579-D060FE40366F}">
    <text>Material procurement to occur at a later date. construction anticipated for 2024.</text>
  </threadedComment>
  <threadedComment ref="K205" dT="2025-06-30T21:32:12.53" personId="{EB756D3C-0333-4781-801C-F36FB858F0FD}" id="{E35F0E0D-1F36-4F4C-AD17-6BD599D6448E}">
    <text>@McTigue, Thomas - Please fill out all red cells in row and highlight yellow when ready for me to review</text>
    <mentions>
      <mention mentionpersonId="{64A125C0-C980-450F-B91F-164A54ED3500}" mentionId="{433B0713-ECE3-4F19-AF99-3A82C9F3F459}" startIndex="0" length="16"/>
    </mentions>
  </threadedComment>
  <threadedComment ref="AN206" dT="2025-07-21T23:13:32.30" personId="{B43CBA0C-5DE4-4FB3-8951-794B7F7C4646}" id="{37BB3B5B-6E66-406D-9242-D4D39446ABC0}">
    <text>Canceled per EDSR.  I think we can change this one to N/A.</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 Id="rId4" Type="http://schemas.microsoft.com/office/2019/04/relationships/namedSheetView" Target="../namedSheetViews/namedSheetView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microsoft.com/office/2019/04/relationships/namedSheetView" Target="../namedSheetViews/namedSheetView2.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microsoft.com/office/2019/04/relationships/namedSheetView" Target="../namedSheetViews/namedSheetView3.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3.xml"/><Relationship Id="rId5" Type="http://schemas.openxmlformats.org/officeDocument/2006/relationships/comments" Target="../comments4.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5.vml"/><Relationship Id="rId1" Type="http://schemas.openxmlformats.org/officeDocument/2006/relationships/printerSettings" Target="../printerSettings/printerSettings4.bin"/><Relationship Id="rId6" Type="http://schemas.microsoft.com/office/2019/04/relationships/namedSheetView" Target="../namedSheetViews/namedSheetView4.xml"/><Relationship Id="rId5" Type="http://schemas.microsoft.com/office/2017/10/relationships/threadedComment" Target="../threadedComments/threadedComment4.xml"/><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6" Type="http://schemas.microsoft.com/office/2019/04/relationships/namedSheetView" Target="../namedSheetViews/namedSheetView5.xml"/><Relationship Id="rId5" Type="http://schemas.microsoft.com/office/2017/10/relationships/threadedComment" Target="../threadedComments/threadedComment5.xml"/><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7" Type="http://schemas.microsoft.com/office/2019/04/relationships/namedSheetView" Target="../namedSheetViews/namedSheetView6.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6" Type="http://schemas.microsoft.com/office/2019/04/relationships/documenttask" Target="../documenttasks/documenttask1.xml"/><Relationship Id="rId5" Type="http://schemas.microsoft.com/office/2017/10/relationships/threadedComment" Target="../threadedComments/threadedComment6.xml"/><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8" Type="http://schemas.microsoft.com/office/2019/04/relationships/namedSheetView" Target="../namedSheetViews/namedSheetView7.xml"/><Relationship Id="rId3" Type="http://schemas.openxmlformats.org/officeDocument/2006/relationships/vmlDrawing" Target="../drawings/vmlDrawing8.vml"/><Relationship Id="rId7" Type="http://schemas.microsoft.com/office/2019/04/relationships/documenttask" Target="../documenttasks/documenttask2.x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microsoft.com/office/2017/10/relationships/threadedComment" Target="../threadedComments/threadedComment7.xml"/><Relationship Id="rId5" Type="http://schemas.openxmlformats.org/officeDocument/2006/relationships/comments" Target="../comments8.xml"/><Relationship Id="rId4"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8.xml"/><Relationship Id="rId1" Type="http://schemas.openxmlformats.org/officeDocument/2006/relationships/vmlDrawing" Target="../drawings/vmlDrawing9.vml"/><Relationship Id="rId6" Type="http://schemas.microsoft.com/office/2019/04/relationships/namedSheetView" Target="../namedSheetViews/namedSheetView8.xml"/><Relationship Id="rId5" Type="http://schemas.microsoft.com/office/2019/04/relationships/documenttask" Target="../documenttasks/documenttask3.xml"/><Relationship Id="rId4" Type="http://schemas.microsoft.com/office/2017/10/relationships/threadedComment" Target="../threadedComments/threadedComment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xml"/><Relationship Id="rId13" Type="http://schemas.microsoft.com/office/2019/04/relationships/namedSheetView" Target="../namedSheetViews/namedSheetView9.xml"/><Relationship Id="rId3" Type="http://schemas.openxmlformats.org/officeDocument/2006/relationships/vmlDrawing" Target="../drawings/vmlDrawing10.vml"/><Relationship Id="rId7" Type="http://schemas.openxmlformats.org/officeDocument/2006/relationships/ctrlProp" Target="../ctrlProps/ctrlProp4.xml"/><Relationship Id="rId12" Type="http://schemas.microsoft.com/office/2019/04/relationships/documenttask" Target="../documenttasks/documenttask4.xml"/><Relationship Id="rId2" Type="http://schemas.openxmlformats.org/officeDocument/2006/relationships/drawing" Target="../drawings/drawing4.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microsoft.com/office/2017/10/relationships/threadedComment" Target="../threadedComments/threadedComment9.xml"/><Relationship Id="rId5" Type="http://schemas.openxmlformats.org/officeDocument/2006/relationships/ctrlProp" Target="../ctrlProps/ctrlProp2.xml"/><Relationship Id="rId10" Type="http://schemas.openxmlformats.org/officeDocument/2006/relationships/comments" Target="../comments10.xml"/><Relationship Id="rId4" Type="http://schemas.openxmlformats.org/officeDocument/2006/relationships/ctrlProp" Target="../ctrlProps/ctrlProp1.xml"/><Relationship Id="rId9"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0.xml"/><Relationship Id="rId7" Type="http://schemas.microsoft.com/office/2019/04/relationships/namedSheetView" Target="../namedSheetViews/namedSheetView10.xml"/><Relationship Id="rId2" Type="http://schemas.openxmlformats.org/officeDocument/2006/relationships/vmlDrawing" Target="../drawings/vmlDrawing11.vml"/><Relationship Id="rId1" Type="http://schemas.openxmlformats.org/officeDocument/2006/relationships/printerSettings" Target="../printerSettings/printerSettings9.bin"/><Relationship Id="rId6" Type="http://schemas.microsoft.com/office/2019/04/relationships/documenttask" Target="../documenttasks/documenttask5.xml"/><Relationship Id="rId5" Type="http://schemas.microsoft.com/office/2017/10/relationships/threadedComment" Target="../threadedComments/threadedComment10.xml"/><Relationship Id="rId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D9C3-D431-4865-9AAE-0326A607D4E2}">
  <sheetPr codeName="Sheet2"/>
  <dimension ref="C1:W19"/>
  <sheetViews>
    <sheetView workbookViewId="0"/>
  </sheetViews>
  <sheetFormatPr defaultRowHeight="15" x14ac:dyDescent="0.25"/>
  <cols>
    <col min="3" max="3" width="17.7109375" bestFit="1" customWidth="1"/>
    <col min="4" max="9" width="9.140625" customWidth="1"/>
    <col min="10" max="10" width="11.7109375" customWidth="1"/>
    <col min="11" max="11" width="11.140625" bestFit="1" customWidth="1"/>
    <col min="12" max="13" width="11.140625" customWidth="1"/>
    <col min="14" max="14" width="13.140625" customWidth="1"/>
    <col min="15" max="16" width="11.140625" customWidth="1"/>
    <col min="17" max="20" width="9.140625" customWidth="1"/>
    <col min="21" max="22" width="14.28515625" customWidth="1"/>
    <col min="23" max="23" width="9.140625" customWidth="1"/>
  </cols>
  <sheetData>
    <row r="1" spans="3:23" ht="15.75" thickBot="1" x14ac:dyDescent="0.3">
      <c r="D1" s="1763" t="s">
        <v>0</v>
      </c>
      <c r="E1" s="1763"/>
      <c r="F1" s="1763"/>
      <c r="G1" s="1763"/>
    </row>
    <row r="2" spans="3:23" ht="30" customHeight="1" thickTop="1" x14ac:dyDescent="0.25">
      <c r="C2" s="250" t="s">
        <v>1</v>
      </c>
      <c r="D2" s="251" t="s">
        <v>2</v>
      </c>
      <c r="E2" s="252" t="s">
        <v>3</v>
      </c>
      <c r="F2" s="252" t="s">
        <v>4</v>
      </c>
      <c r="G2" s="253" t="s">
        <v>5</v>
      </c>
      <c r="H2" s="254" t="s">
        <v>6</v>
      </c>
      <c r="I2" s="255" t="s">
        <v>7</v>
      </c>
      <c r="J2" s="243" t="s">
        <v>8</v>
      </c>
      <c r="K2" s="244" t="s">
        <v>9</v>
      </c>
      <c r="L2" s="245" t="s">
        <v>10</v>
      </c>
      <c r="M2" s="243" t="s">
        <v>11</v>
      </c>
      <c r="N2" s="244" t="s">
        <v>12</v>
      </c>
      <c r="O2" s="265" t="s">
        <v>13</v>
      </c>
      <c r="P2" s="254" t="s">
        <v>14</v>
      </c>
      <c r="Q2" s="269" t="s">
        <v>15</v>
      </c>
      <c r="R2" s="243" t="s">
        <v>16</v>
      </c>
      <c r="S2" s="269" t="s">
        <v>17</v>
      </c>
      <c r="T2" s="269" t="s">
        <v>18</v>
      </c>
      <c r="U2" s="269" t="s">
        <v>19</v>
      </c>
      <c r="V2" s="269" t="s">
        <v>20</v>
      </c>
      <c r="W2" s="277" t="s">
        <v>21</v>
      </c>
    </row>
    <row r="3" spans="3:23" x14ac:dyDescent="0.25">
      <c r="C3" s="256" t="s">
        <v>22</v>
      </c>
      <c r="D3" s="214">
        <f>COUNTIF(CRA_Projects[Designer Name],Table10[[#This Row],[Project Lead]])</f>
        <v>0</v>
      </c>
      <c r="E3" s="215">
        <f>COUNTIF(NonDOT_Projects[Designer Name],Table10[[#This Row],[Project Lead]])</f>
        <v>0</v>
      </c>
      <c r="F3">
        <f>COUNTIF(DOT_Projects[Designer Name],Table10[[#This Row],[Project Lead]])</f>
        <v>0</v>
      </c>
      <c r="G3" s="226">
        <f t="shared" ref="G3:G18" si="0">SUM(D3:F3)</f>
        <v>0</v>
      </c>
      <c r="H3" s="1">
        <f>COUNTIFS(Table15[DesignerName],Table10[[#This Row],[Project Lead]],Table15[Date Completed],"&gt;12/31/2022",Table15[Design Status],"&lt;1/1/2024",Table15[Design Status],"=Completed")</f>
        <v>0</v>
      </c>
      <c r="I3" s="257">
        <f>COUNTIFS(Table15[DesignerName],Table10[[#This Row],[Project Lead]],Table15[Date Completed],"&gt;12/31/2022",Table15[Engineering Approved Design Date],"=Revision")</f>
        <v>7</v>
      </c>
      <c r="J3" s="246">
        <v>3.74</v>
      </c>
      <c r="K3" s="241">
        <v>156094</v>
      </c>
      <c r="L3" s="247">
        <f>Table10[[#This Row],[Jan-2023 YTD Effort]]/Table10[[#Totals],[Jan-2023 YTD Effort]]</f>
        <v>0.1585744210947643</v>
      </c>
      <c r="M3" s="246">
        <v>4.8945016270385171</v>
      </c>
      <c r="N3" s="241">
        <v>309461.75000000006</v>
      </c>
      <c r="O3" s="242">
        <f>Table10[[#This Row],[Feb-2023 YTD Effort]]/Table10[[#Totals],[Feb-2023 YTD Effort]]</f>
        <v>0.16096146640902578</v>
      </c>
      <c r="P3" s="267">
        <f>Table10[[#This Row],[Feb-2023 YTD Effort]]-Table10[[#This Row],[Jan-2023 YTD Effort]]</f>
        <v>153367.75000000006</v>
      </c>
      <c r="Q3" s="242">
        <f>Table10[[#This Row],[Monthly Delta]]/Table10[[#Totals],[Monthly Delta]]</f>
        <v>0.16346588443482024</v>
      </c>
      <c r="R3" s="271">
        <f>COUNTIFS(Table15[DesignerName],Table10[[#This Row],[Project Lead]],Table15[Date Completed],"&gt;12/31/2021",Table15[Design Status],"=Completed")-Table10[[#This Row],[2023 Comp.]]</f>
        <v>30</v>
      </c>
      <c r="S3" s="17">
        <f>COUNTIFS(Table15[DesignerName],Table10[[#This Row],[Project Lead]],Table15[Date Completed],"&gt;12/31/2021",Table15[Engineering Approved Design Date],"=Revision")-Table10[[#This Row],[2023 Rev.]]</f>
        <v>6</v>
      </c>
      <c r="T3" s="272">
        <v>5.0748527190996899</v>
      </c>
      <c r="U3" s="273">
        <v>1341688.95</v>
      </c>
      <c r="V3" s="280">
        <f>Table10[[#This Row],[2022 Effort]]/Table10[[#Totals],[2022 Effort]]</f>
        <v>0.15948954665496251</v>
      </c>
      <c r="W3" s="278"/>
    </row>
    <row r="4" spans="3:23" x14ac:dyDescent="0.25">
      <c r="C4" s="256" t="s">
        <v>23</v>
      </c>
      <c r="D4" s="214">
        <f>COUNTIF(CRA_Projects[Designer Name],Table10[[#This Row],[Project Lead]])</f>
        <v>0</v>
      </c>
      <c r="E4" s="215">
        <f>COUNTIF(NonDOT_Projects[Designer Name],Table10[[#This Row],[Project Lead]])</f>
        <v>0</v>
      </c>
      <c r="F4">
        <f>COUNTIF(DOT_Projects[Designer Name],Table10[[#This Row],[Project Lead]])</f>
        <v>0</v>
      </c>
      <c r="G4" s="226">
        <f t="shared" si="0"/>
        <v>0</v>
      </c>
      <c r="H4" s="1">
        <f>COUNTIFS(Table15[DesignerName],Table10[[#This Row],[Project Lead]],Table15[Date Completed],"&gt;12/31/2022",Table15[Design Status],"=Completed")</f>
        <v>15</v>
      </c>
      <c r="I4" s="257">
        <f>COUNTIFS(Table15[DesignerName],Table10[[#This Row],[Project Lead]],Table15[Date Completed],"&gt;12/31/2022",Table15[Engineering Approved Design Date],"=Revision")</f>
        <v>9</v>
      </c>
      <c r="J4" s="246">
        <v>5.29</v>
      </c>
      <c r="K4" s="241">
        <v>139695</v>
      </c>
      <c r="L4" s="247">
        <f>Table10[[#This Row],[Jan-2023 YTD Effort]]/Table10[[#Totals],[Jan-2023 YTD Effort]]</f>
        <v>0.14191483179899997</v>
      </c>
      <c r="M4" s="246">
        <v>5.4494266577250112</v>
      </c>
      <c r="N4" s="241">
        <v>277716.95999999996</v>
      </c>
      <c r="O4" s="242">
        <f>Table10[[#This Row],[Feb-2023 YTD Effort]]/Table10[[#Totals],[Feb-2023 YTD Effort]]</f>
        <v>0.14444993324136743</v>
      </c>
      <c r="P4" s="267">
        <f>Table10[[#This Row],[Feb-2023 YTD Effort]]-Table10[[#This Row],[Jan-2023 YTD Effort]]</f>
        <v>138021.95999999996</v>
      </c>
      <c r="Q4" s="242">
        <f>Table10[[#This Row],[Monthly Delta]]/Table10[[#Totals],[Monthly Delta]]</f>
        <v>0.14710968742012168</v>
      </c>
      <c r="R4" s="271">
        <f>COUNTIFS(Table15[DesignerName],Table10[[#This Row],[Project Lead]],Table15[Date Completed],"&gt;12/31/2021",Table15[Design Status],"=Completed")-Table10[[#This Row],[2023 Comp.]]</f>
        <v>25</v>
      </c>
      <c r="S4" s="17">
        <f>COUNTIFS(Table15[DesignerName],Table10[[#This Row],[Project Lead]],Table15[Date Completed],"&gt;12/31/2021",Table15[Engineering Approved Design Date],"=Revision")-Table10[[#This Row],[2023 Rev.]]</f>
        <v>20</v>
      </c>
      <c r="T4" s="272">
        <v>5.0263081692440208</v>
      </c>
      <c r="U4" s="273">
        <v>1209691.93</v>
      </c>
      <c r="V4" s="280">
        <f>Table10[[#This Row],[2022 Effort]]/Table10[[#Totals],[2022 Effort]]</f>
        <v>0.14379876759651827</v>
      </c>
      <c r="W4" s="278"/>
    </row>
    <row r="5" spans="3:23" x14ac:dyDescent="0.25">
      <c r="C5" s="256" t="s">
        <v>24</v>
      </c>
      <c r="D5" s="214">
        <f>COUNTIF(CRA_Projects[Designer Name],Table10[[#This Row],[Project Lead]])</f>
        <v>0</v>
      </c>
      <c r="E5" s="215">
        <f>COUNTIF(NonDOT_Projects[Designer Name],Table10[[#This Row],[Project Lead]])</f>
        <v>0</v>
      </c>
      <c r="F5">
        <f>COUNTIF(DOT_Projects[Designer Name],Table10[[#This Row],[Project Lead]])</f>
        <v>0</v>
      </c>
      <c r="G5" s="226">
        <f t="shared" si="0"/>
        <v>0</v>
      </c>
      <c r="H5" s="1">
        <f>COUNTIFS(Table15[DesignerName],Table10[[#This Row],[Project Lead]],Table15[Date Completed],"&gt;12/31/2022",Table15[Design Status],"=Completed")</f>
        <v>9</v>
      </c>
      <c r="I5" s="257">
        <f>COUNTIFS(Table15[DesignerName],Table10[[#This Row],[Project Lead]],Table15[Date Completed],"&gt;12/31/2022",Table15[Engineering Approved Design Date],"=Revision")</f>
        <v>5</v>
      </c>
      <c r="J5" s="246">
        <v>4.1399999999999997</v>
      </c>
      <c r="K5" s="241">
        <v>64176</v>
      </c>
      <c r="L5" s="247">
        <f>Table10[[#This Row],[Jan-2023 YTD Effort]]/Table10[[#Totals],[Jan-2023 YTD Effort]]</f>
        <v>6.5195792587656121E-2</v>
      </c>
      <c r="M5" s="246">
        <v>4.5764830605516904</v>
      </c>
      <c r="N5" s="241">
        <v>159660.87999999998</v>
      </c>
      <c r="O5" s="242">
        <f>Table10[[#This Row],[Feb-2023 YTD Effort]]/Table10[[#Totals],[Feb-2023 YTD Effort]]</f>
        <v>8.3044994649437251E-2</v>
      </c>
      <c r="P5" s="267">
        <f>Table10[[#This Row],[Feb-2023 YTD Effort]]-Table10[[#This Row],[Jan-2023 YTD Effort]]</f>
        <v>95484.879999999976</v>
      </c>
      <c r="Q5" s="242">
        <f>Table10[[#This Row],[Monthly Delta]]/Table10[[#Totals],[Monthly Delta]]</f>
        <v>0.101771854639275</v>
      </c>
      <c r="R5" s="271">
        <f>COUNTIFS(Table15[DesignerName],Table10[[#This Row],[Project Lead]],Table15[Date Completed],"&gt;12/31/2021",Table15[Design Status],"=Completed")-Table10[[#This Row],[2023 Comp.]]</f>
        <v>11</v>
      </c>
      <c r="S5" s="17">
        <f>COUNTIFS(Table15[DesignerName],Table10[[#This Row],[Project Lead]],Table15[Date Completed],"&gt;12/31/2021",Table15[Engineering Approved Design Date],"=Revision")-Table10[[#This Row],[2023 Rev.]]</f>
        <v>1</v>
      </c>
      <c r="T5" s="272">
        <v>4.6582483245683637</v>
      </c>
      <c r="U5" s="273">
        <v>556679.78</v>
      </c>
      <c r="V5" s="280">
        <f>Table10[[#This Row],[2022 Effort]]/Table10[[#Totals],[2022 Effort]]</f>
        <v>6.6173762364357458E-2</v>
      </c>
      <c r="W5" s="278"/>
    </row>
    <row r="6" spans="3:23" x14ac:dyDescent="0.25">
      <c r="C6" s="256" t="s">
        <v>25</v>
      </c>
      <c r="D6" s="214">
        <f>COUNTIF(CRA_Projects[Designer Name],Table10[[#This Row],[Project Lead]])</f>
        <v>0</v>
      </c>
      <c r="E6" s="215">
        <f>COUNTIF(NonDOT_Projects[Designer Name],Table10[[#This Row],[Project Lead]])</f>
        <v>0</v>
      </c>
      <c r="F6">
        <f>COUNTIF(DOT_Projects[Designer Name],Table10[[#This Row],[Project Lead]])</f>
        <v>3</v>
      </c>
      <c r="G6" s="226">
        <f t="shared" si="0"/>
        <v>3</v>
      </c>
      <c r="H6" s="1">
        <f>COUNTIFS(Table15[DesignerName],Table10[[#This Row],[Project Lead]],Table15[Date Completed],"&gt;12/31/2022",Table15[Design Status],"=Completed")</f>
        <v>27</v>
      </c>
      <c r="I6" s="257">
        <f>COUNTIFS(Table15[DesignerName],Table10[[#This Row],[Project Lead]],Table15[Date Completed],"&gt;12/31/2022",Table15[Engineering Approved Design Date],"=Revision")</f>
        <v>14</v>
      </c>
      <c r="J6" s="246">
        <v>6.78</v>
      </c>
      <c r="K6" s="241">
        <v>71548</v>
      </c>
      <c r="L6" s="247">
        <f>Table10[[#This Row],[Jan-2023 YTD Effort]]/Table10[[#Totals],[Jan-2023 YTD Effort]]</f>
        <v>7.2684937797020996E-2</v>
      </c>
      <c r="M6" s="246">
        <v>7.0639576212117641</v>
      </c>
      <c r="N6" s="241">
        <v>153803.55000000002</v>
      </c>
      <c r="O6" s="242">
        <f>Table10[[#This Row],[Feb-2023 YTD Effort]]/Table10[[#Totals],[Feb-2023 YTD Effort]]</f>
        <v>7.9998400276977411E-2</v>
      </c>
      <c r="P6" s="267">
        <f>Table10[[#This Row],[Feb-2023 YTD Effort]]-Table10[[#This Row],[Jan-2023 YTD Effort]]</f>
        <v>82255.550000000017</v>
      </c>
      <c r="Q6" s="242">
        <f>Table10[[#This Row],[Monthly Delta]]/Table10[[#Totals],[Monthly Delta]]</f>
        <v>8.7671470895429954E-2</v>
      </c>
      <c r="R6" s="271">
        <f>COUNTIFS(Table15[DesignerName],Table10[[#This Row],[Project Lead]],Table15[Date Completed],"&gt;12/31/2021",Table15[Design Status],"=Completed")-Table10[[#This Row],[2023 Comp.]]</f>
        <v>7</v>
      </c>
      <c r="S6" s="17">
        <f>COUNTIFS(Table15[DesignerName],Table10[[#This Row],[Project Lead]],Table15[Date Completed],"&gt;12/31/2021",Table15[Engineering Approved Design Date],"=Revision")-Table10[[#This Row],[2023 Rev.]]</f>
        <v>2</v>
      </c>
      <c r="T6" s="272">
        <v>4.3361139988314754</v>
      </c>
      <c r="U6" s="273">
        <v>544821.18000000005</v>
      </c>
      <c r="V6" s="280">
        <f>Table10[[#This Row],[2022 Effort]]/Table10[[#Totals],[2022 Effort]]</f>
        <v>6.476410423311732E-2</v>
      </c>
      <c r="W6" s="278"/>
    </row>
    <row r="7" spans="3:23" x14ac:dyDescent="0.25">
      <c r="C7" s="256" t="s">
        <v>26</v>
      </c>
      <c r="D7" s="214">
        <f>COUNTIF(CRA_Projects[Designer Name],Table10[[#This Row],[Project Lead]])</f>
        <v>6</v>
      </c>
      <c r="E7" s="215">
        <f>COUNTIF(NonDOT_Projects[Designer Name],Table10[[#This Row],[Project Lead]])</f>
        <v>0</v>
      </c>
      <c r="F7">
        <f>COUNTIF(DOT_Projects[Designer Name],Table10[[#This Row],[Project Lead]])</f>
        <v>1</v>
      </c>
      <c r="G7" s="226">
        <f t="shared" si="0"/>
        <v>7</v>
      </c>
      <c r="H7" s="1">
        <f>COUNTIFS(Table15[DesignerName],Table10[[#This Row],[Project Lead]],Table15[Date Completed],"&gt;12/31/2022",Table15[Design Status],"=Completed")</f>
        <v>33</v>
      </c>
      <c r="I7" s="257">
        <f>COUNTIFS(Table15[DesignerName],Table10[[#This Row],[Project Lead]],Table15[Date Completed],"&gt;12/31/2022",Table15[Engineering Approved Design Date],"=Revision")</f>
        <v>16</v>
      </c>
      <c r="J7" s="246">
        <v>4.95</v>
      </c>
      <c r="K7" s="241">
        <v>31500</v>
      </c>
      <c r="L7" s="247">
        <f>Table10[[#This Row],[Jan-2023 YTD Effort]]/Table10[[#Totals],[Jan-2023 YTD Effort]]</f>
        <v>3.2000552644464719E-2</v>
      </c>
      <c r="M7" s="246">
        <v>4.1726301304110516</v>
      </c>
      <c r="N7" s="241">
        <v>103697.3</v>
      </c>
      <c r="O7" s="242">
        <f>Table10[[#This Row],[Feb-2023 YTD Effort]]/Table10[[#Totals],[Feb-2023 YTD Effort]]</f>
        <v>5.3936454087319889E-2</v>
      </c>
      <c r="P7" s="267">
        <f>Table10[[#This Row],[Feb-2023 YTD Effort]]-Table10[[#This Row],[Jan-2023 YTD Effort]]</f>
        <v>72197.3</v>
      </c>
      <c r="Q7" s="242">
        <f>Table10[[#This Row],[Monthly Delta]]/Table10[[#Totals],[Monthly Delta]]</f>
        <v>7.6950959366007807E-2</v>
      </c>
      <c r="R7" s="271">
        <f>COUNTIFS(Table15[DesignerName],Table10[[#This Row],[Project Lead]],Table15[Date Completed],"&gt;12/31/2021",Table15[Design Status],"=Completed")-Table10[[#This Row],[2023 Comp.]]</f>
        <v>0</v>
      </c>
      <c r="S7" s="17">
        <f>COUNTIFS(Table15[DesignerName],Table10[[#This Row],[Project Lead]],Table15[Date Completed],"&gt;12/31/2021",Table15[Engineering Approved Design Date],"=Revision")-Table10[[#This Row],[2023 Rev.]]</f>
        <v>0</v>
      </c>
      <c r="T7" s="272">
        <v>4.7367378332334384</v>
      </c>
      <c r="U7" s="273">
        <v>81326.720000000001</v>
      </c>
      <c r="V7" s="280">
        <f>Table10[[#This Row],[2022 Effort]]/Table10[[#Totals],[2022 Effort]]</f>
        <v>9.6674879104691695E-3</v>
      </c>
      <c r="W7" s="278"/>
    </row>
    <row r="8" spans="3:23" x14ac:dyDescent="0.25">
      <c r="C8" s="256" t="s">
        <v>27</v>
      </c>
      <c r="D8" s="214">
        <f>COUNTIF(CRA_Projects[Designer Name],Table10[[#This Row],[Project Lead]])</f>
        <v>0</v>
      </c>
      <c r="E8" s="215">
        <f>COUNTIF(NonDOT_Projects[Designer Name],Table10[[#This Row],[Project Lead]])</f>
        <v>0</v>
      </c>
      <c r="F8">
        <f>COUNTIF(DOT_Projects[Designer Name],Table10[[#This Row],[Project Lead]])</f>
        <v>8</v>
      </c>
      <c r="G8" s="226">
        <f t="shared" si="0"/>
        <v>8</v>
      </c>
      <c r="H8" s="1">
        <f>COUNTIFS(Table15[DesignerName],Table10[[#This Row],[Project Lead]],Table15[Date Completed],"&gt;12/31/2022",Table15[Design Status],"=Completed")</f>
        <v>23</v>
      </c>
      <c r="I8" s="257">
        <f>COUNTIFS(Table15[DesignerName],Table10[[#This Row],[Project Lead]],Table15[Date Completed],"&gt;12/31/2022",Table15[Engineering Approved Design Date],"=Revision")</f>
        <v>12</v>
      </c>
      <c r="J8" s="246">
        <v>3.94</v>
      </c>
      <c r="K8" s="241">
        <v>137276</v>
      </c>
      <c r="L8" s="247">
        <f>Table10[[#This Row],[Jan-2023 YTD Effort]]/Table10[[#Totals],[Jan-2023 YTD Effort]]</f>
        <v>0.13945739253401709</v>
      </c>
      <c r="M8" s="246">
        <v>4.3523267166112847</v>
      </c>
      <c r="N8" s="241">
        <v>205151.31000000003</v>
      </c>
      <c r="O8" s="242">
        <f>Table10[[#This Row],[Feb-2023 YTD Effort]]/Table10[[#Totals],[Feb-2023 YTD Effort]]</f>
        <v>0.10670609758179365</v>
      </c>
      <c r="P8" s="267">
        <f>Table10[[#This Row],[Feb-2023 YTD Effort]]-Table10[[#This Row],[Jan-2023 YTD Effort]]</f>
        <v>67875.310000000027</v>
      </c>
      <c r="Q8" s="242">
        <f>Table10[[#This Row],[Monthly Delta]]/Table10[[#Totals],[Monthly Delta]]</f>
        <v>7.2344398222165998E-2</v>
      </c>
      <c r="R8" s="271">
        <f>COUNTIFS(Table15[DesignerName],Table10[[#This Row],[Project Lead]],Table15[Date Completed],"&gt;12/31/2021",Table15[Design Status],"=Completed")-Table10[[#This Row],[2023 Comp.]]</f>
        <v>9</v>
      </c>
      <c r="S8" s="17">
        <f>COUNTIFS(Table15[DesignerName],Table10[[#This Row],[Project Lead]],Table15[Date Completed],"&gt;12/31/2021",Table15[Engineering Approved Design Date],"=Revision")-Table10[[#This Row],[2023 Rev.]]</f>
        <v>0</v>
      </c>
      <c r="T8" s="272">
        <v>3.3033165585736155</v>
      </c>
      <c r="U8" s="273">
        <v>481182.2</v>
      </c>
      <c r="V8" s="280">
        <f>Table10[[#This Row],[2022 Effort]]/Table10[[#Totals],[2022 Effort]]</f>
        <v>5.7199197277757644E-2</v>
      </c>
      <c r="W8" s="278"/>
    </row>
    <row r="9" spans="3:23" x14ac:dyDescent="0.25">
      <c r="C9" s="256" t="s">
        <v>28</v>
      </c>
      <c r="D9" s="214">
        <f>COUNTIF(CRA_Projects[Designer Name],Table10[[#This Row],[Project Lead]])</f>
        <v>0</v>
      </c>
      <c r="E9" s="215">
        <f>COUNTIF(NonDOT_Projects[Designer Name],Table10[[#This Row],[Project Lead]])</f>
        <v>0</v>
      </c>
      <c r="F9">
        <f>COUNTIF(DOT_Projects[Designer Name],Table10[[#This Row],[Project Lead]])</f>
        <v>0</v>
      </c>
      <c r="G9" s="226">
        <f t="shared" si="0"/>
        <v>0</v>
      </c>
      <c r="H9" s="1">
        <f>COUNTIFS(Table15[DesignerName],Table10[[#This Row],[Project Lead]],Table15[Date Completed],"&gt;12/31/2022",Table15[Design Status],"=Completed")</f>
        <v>16</v>
      </c>
      <c r="I9" s="257">
        <f>COUNTIFS(Table15[DesignerName],Table10[[#This Row],[Project Lead]],Table15[Date Completed],"&gt;12/31/2022",Table15[Engineering Approved Design Date],"=Revision")</f>
        <v>6</v>
      </c>
      <c r="J9" s="246">
        <v>0</v>
      </c>
      <c r="K9" s="241">
        <v>0</v>
      </c>
      <c r="L9" s="247">
        <f>Table10[[#This Row],[Jan-2023 YTD Effort]]/Table10[[#Totals],[Jan-2023 YTD Effort]]</f>
        <v>0</v>
      </c>
      <c r="M9" s="246">
        <v>3.8204513774285651</v>
      </c>
      <c r="N9" s="241">
        <v>67094.429999999993</v>
      </c>
      <c r="O9" s="242">
        <f>Table10[[#This Row],[Feb-2023 YTD Effort]]/Table10[[#Totals],[Feb-2023 YTD Effort]]</f>
        <v>3.4898070086780447E-2</v>
      </c>
      <c r="P9" s="267">
        <f>Table10[[#This Row],[Feb-2023 YTD Effort]]-Table10[[#This Row],[Jan-2023 YTD Effort]]</f>
        <v>67094.429999999993</v>
      </c>
      <c r="Q9" s="242">
        <f>Table10[[#This Row],[Monthly Delta]]/Table10[[#Totals],[Monthly Delta]]</f>
        <v>7.1512103037308247E-2</v>
      </c>
      <c r="R9" s="271">
        <f>COUNTIFS(Table15[DesignerName],Table10[[#This Row],[Project Lead]],Table15[Date Completed],"&gt;12/31/2021",Table15[Design Status],"=Completed")-Table10[[#This Row],[2023 Comp.]]</f>
        <v>0</v>
      </c>
      <c r="S9" s="17">
        <f>COUNTIFS(Table15[DesignerName],Table10[[#This Row],[Project Lead]],Table15[Date Completed],"&gt;12/31/2021",Table15[Engineering Approved Design Date],"=Revision")-Table10[[#This Row],[2023 Rev.]]</f>
        <v>0</v>
      </c>
      <c r="T9" s="272" t="s">
        <v>29</v>
      </c>
      <c r="U9" s="273" t="s">
        <v>29</v>
      </c>
      <c r="V9" s="280" t="s">
        <v>29</v>
      </c>
      <c r="W9" s="278" t="s">
        <v>30</v>
      </c>
    </row>
    <row r="10" spans="3:23" x14ac:dyDescent="0.25">
      <c r="C10" s="256" t="s">
        <v>31</v>
      </c>
      <c r="D10" s="214">
        <f>COUNTIF(CRA_Projects[Designer Name],Table10[[#This Row],[Project Lead]])</f>
        <v>0</v>
      </c>
      <c r="E10" s="215">
        <f>COUNTIF(NonDOT_Projects[Designer Name],Table10[[#This Row],[Project Lead]])</f>
        <v>0</v>
      </c>
      <c r="F10">
        <f>COUNTIF(DOT_Projects[Designer Name],Table10[[#This Row],[Project Lead]])</f>
        <v>3</v>
      </c>
      <c r="G10" s="226">
        <f t="shared" si="0"/>
        <v>3</v>
      </c>
      <c r="H10" s="1">
        <f>COUNTIFS(Table15[DesignerName],Table10[[#This Row],[Project Lead]],Table15[Date Completed],"&gt;12/31/2022",Table15[Design Status],"=Completed")</f>
        <v>17</v>
      </c>
      <c r="I10" s="257">
        <f>COUNTIFS(Table15[DesignerName],Table10[[#This Row],[Project Lead]],Table15[Date Completed],"&gt;12/31/2022",Table15[Engineering Approved Design Date],"=Revision")</f>
        <v>19</v>
      </c>
      <c r="J10" s="246">
        <v>4.72</v>
      </c>
      <c r="K10" s="241">
        <v>33987</v>
      </c>
      <c r="L10" s="247">
        <f>Table10[[#This Row],[Jan-2023 YTD Effort]]/Table10[[#Totals],[Jan-2023 YTD Effort]]</f>
        <v>3.4527072467537216E-2</v>
      </c>
      <c r="M10" s="246">
        <v>5.0944985473388398</v>
      </c>
      <c r="N10" s="241">
        <v>93428.3</v>
      </c>
      <c r="O10" s="242">
        <f>Table10[[#This Row],[Feb-2023 YTD Effort]]/Table10[[#Totals],[Feb-2023 YTD Effort]]</f>
        <v>4.8595201740125819E-2</v>
      </c>
      <c r="P10" s="267">
        <f>Table10[[#This Row],[Feb-2023 YTD Effort]]-Table10[[#This Row],[Jan-2023 YTD Effort]]</f>
        <v>59441.3</v>
      </c>
      <c r="Q10" s="242">
        <f>Table10[[#This Row],[Monthly Delta]]/Table10[[#Totals],[Monthly Delta]]</f>
        <v>6.335507090933705E-2</v>
      </c>
      <c r="R10" s="271">
        <f>COUNTIFS(Table15[DesignerName],Table10[[#This Row],[Project Lead]],Table15[Date Completed],"&gt;12/31/2021",Table15[Design Status],"=Completed")-Table10[[#This Row],[2023 Comp.]]</f>
        <v>0</v>
      </c>
      <c r="S10" s="17">
        <f>COUNTIFS(Table15[DesignerName],Table10[[#This Row],[Project Lead]],Table15[Date Completed],"&gt;12/31/2021",Table15[Engineering Approved Design Date],"=Revision")-Table10[[#This Row],[2023 Rev.]]</f>
        <v>0</v>
      </c>
      <c r="T10" s="272">
        <v>4.7416074841178402</v>
      </c>
      <c r="U10" s="273">
        <v>108500.94</v>
      </c>
      <c r="V10" s="280">
        <f>Table10[[#This Row],[2022 Effort]]/Table10[[#Totals],[2022 Effort]]</f>
        <v>1.2897747821681984E-2</v>
      </c>
      <c r="W10" s="278"/>
    </row>
    <row r="11" spans="3:23" x14ac:dyDescent="0.25">
      <c r="C11" s="256" t="s">
        <v>32</v>
      </c>
      <c r="D11" s="214">
        <f>COUNTIF(CRA_Projects[Designer Name],Table10[[#This Row],[Project Lead]])</f>
        <v>0</v>
      </c>
      <c r="E11" s="215">
        <f>COUNTIF(NonDOT_Projects[Designer Name],Table10[[#This Row],[Project Lead]])</f>
        <v>1</v>
      </c>
      <c r="F11">
        <f>COUNTIF(DOT_Projects[Designer Name],Table10[[#This Row],[Project Lead]])</f>
        <v>1</v>
      </c>
      <c r="G11" s="226">
        <f t="shared" si="0"/>
        <v>2</v>
      </c>
      <c r="H11" s="1">
        <f>COUNTIFS(Table15[DesignerName],Table10[[#This Row],[Project Lead]],Table15[Date Completed],"&gt;12/31/2022",Table15[Design Status],"=Completed")</f>
        <v>23</v>
      </c>
      <c r="I11" s="257">
        <f>COUNTIFS(Table15[DesignerName],Table10[[#This Row],[Project Lead]],Table15[Date Completed],"&gt;12/31/2022",Table15[Engineering Approved Design Date],"=Revision")</f>
        <v>23</v>
      </c>
      <c r="J11" s="246">
        <v>2.68</v>
      </c>
      <c r="K11" s="241">
        <v>127186</v>
      </c>
      <c r="L11" s="247">
        <f>Table10[[#This Row],[Jan-2023 YTD Effort]]/Table10[[#Totals],[Jan-2023 YTD Effort]]</f>
        <v>0.12920705678218697</v>
      </c>
      <c r="M11" s="246">
        <v>4.2621053662231168</v>
      </c>
      <c r="N11" s="241">
        <v>185378</v>
      </c>
      <c r="O11" s="242">
        <f>Table10[[#This Row],[Feb-2023 YTD Effort]]/Table10[[#Totals],[Feb-2023 YTD Effort]]</f>
        <v>9.6421333880430699E-2</v>
      </c>
      <c r="P11" s="267">
        <f>Table10[[#This Row],[Feb-2023 YTD Effort]]-Table10[[#This Row],[Jan-2023 YTD Effort]]</f>
        <v>58192</v>
      </c>
      <c r="Q11" s="242">
        <f>Table10[[#This Row],[Monthly Delta]]/Table10[[#Totals],[Monthly Delta]]</f>
        <v>6.2023513724567624E-2</v>
      </c>
      <c r="R11" s="271">
        <f>COUNTIFS(Table15[DesignerName],Table10[[#This Row],[Project Lead]],Table15[Date Completed],"&gt;12/31/2021",Table15[Design Status],"=Completed")-Table10[[#This Row],[2023 Comp.]]</f>
        <v>12</v>
      </c>
      <c r="S11" s="17">
        <f>COUNTIFS(Table15[DesignerName],Table10[[#This Row],[Project Lead]],Table15[Date Completed],"&gt;12/31/2021",Table15[Engineering Approved Design Date],"=Revision")-Table10[[#This Row],[2023 Rev.]]</f>
        <v>4</v>
      </c>
      <c r="T11" s="272">
        <v>3.9765126228877521</v>
      </c>
      <c r="U11" s="273">
        <v>610080.78</v>
      </c>
      <c r="V11" s="280">
        <f>Table10[[#This Row],[2022 Effort]]/Table10[[#Totals],[2022 Effort]]</f>
        <v>7.2521657888816871E-2</v>
      </c>
      <c r="W11" s="278"/>
    </row>
    <row r="12" spans="3:23" x14ac:dyDescent="0.25">
      <c r="C12" s="256" t="s">
        <v>33</v>
      </c>
      <c r="D12" s="214">
        <f>COUNTIF(CRA_Projects[Designer Name],Table10[[#This Row],[Project Lead]])</f>
        <v>0</v>
      </c>
      <c r="E12" s="215">
        <f>COUNTIF(NonDOT_Projects[Designer Name],Table10[[#This Row],[Project Lead]])</f>
        <v>0</v>
      </c>
      <c r="F12">
        <f>COUNTIF(DOT_Projects[Designer Name],Table10[[#This Row],[Project Lead]])</f>
        <v>0</v>
      </c>
      <c r="G12" s="226">
        <f t="shared" si="0"/>
        <v>0</v>
      </c>
      <c r="H12" s="1">
        <f>COUNTIFS(Table15[DesignerName],Table10[[#This Row],[Project Lead]],Table15[Date Completed],"&gt;12/31/2022",Table15[Design Status],"=Completed")</f>
        <v>6</v>
      </c>
      <c r="I12" s="257">
        <f>COUNTIFS(Table15[DesignerName],Table10[[#This Row],[Project Lead]],Table15[Date Completed],"&gt;12/31/2022",Table15[Engineering Approved Design Date],"=Revision")</f>
        <v>0</v>
      </c>
      <c r="J12" s="246">
        <v>3.44</v>
      </c>
      <c r="K12" s="241">
        <v>37634</v>
      </c>
      <c r="L12" s="247">
        <f>Table10[[#This Row],[Jan-2023 YTD Effort]]/Table10[[#Totals],[Jan-2023 YTD Effort]]</f>
        <v>3.8232025340374134E-2</v>
      </c>
      <c r="M12" s="246">
        <v>2.8072796310062516</v>
      </c>
      <c r="N12" s="241">
        <v>76856.19</v>
      </c>
      <c r="O12" s="242">
        <f>Table10[[#This Row],[Feb-2023 YTD Effort]]/Table10[[#Totals],[Feb-2023 YTD Effort]]</f>
        <v>3.9975489846518032E-2</v>
      </c>
      <c r="P12" s="267">
        <f>Table10[[#This Row],[Feb-2023 YTD Effort]]-Table10[[#This Row],[Jan-2023 YTD Effort]]</f>
        <v>39222.19</v>
      </c>
      <c r="Q12" s="242">
        <f>Table10[[#This Row],[Monthly Delta]]/Table10[[#Totals],[Monthly Delta]]</f>
        <v>4.1804681739287169E-2</v>
      </c>
      <c r="R12" s="271">
        <f>COUNTIFS(Table15[DesignerName],Table10[[#This Row],[Project Lead]],Table15[Date Completed],"&gt;12/31/2021",Table15[Design Status],"=Completed")-Table10[[#This Row],[2023 Comp.]]</f>
        <v>0</v>
      </c>
      <c r="S12" s="17">
        <f>COUNTIFS(Table15[DesignerName],Table10[[#This Row],[Project Lead]],Table15[Date Completed],"&gt;12/31/2021",Table15[Engineering Approved Design Date],"=Revision")-Table10[[#This Row],[2023 Rev.]]</f>
        <v>0</v>
      </c>
      <c r="T12" s="272" t="s">
        <v>29</v>
      </c>
      <c r="U12" s="273" t="s">
        <v>29</v>
      </c>
      <c r="V12" s="280" t="s">
        <v>29</v>
      </c>
      <c r="W12" s="278"/>
    </row>
    <row r="13" spans="3:23" x14ac:dyDescent="0.25">
      <c r="C13" s="256" t="s">
        <v>34</v>
      </c>
      <c r="D13" s="214">
        <f>COUNTIF(CRA_Projects[Designer Name],Table10[[#This Row],[Project Lead]])</f>
        <v>9</v>
      </c>
      <c r="E13" s="215">
        <f>COUNTIF(NonDOT_Projects[Designer Name],Table10[[#This Row],[Project Lead]])</f>
        <v>0</v>
      </c>
      <c r="F13">
        <f>COUNTIF(DOT_Projects[Designer Name],Table10[[#This Row],[Project Lead]])</f>
        <v>1</v>
      </c>
      <c r="G13" s="226">
        <f t="shared" si="0"/>
        <v>10</v>
      </c>
      <c r="H13" s="1">
        <f>COUNTIFS(Table15[DesignerName],Table10[[#This Row],[Project Lead]],Table15[Date Completed],"&gt;12/31/2022",Table15[Design Status],"=Completed")</f>
        <v>65</v>
      </c>
      <c r="I13" s="257">
        <f>COUNTIFS(Table15[DesignerName],Table10[[#This Row],[Project Lead]],Table15[Date Completed],"&gt;12/31/2022",Table15[Engineering Approved Design Date],"=Revision")</f>
        <v>3</v>
      </c>
      <c r="J13" s="246">
        <v>2.79</v>
      </c>
      <c r="K13" s="241">
        <v>100290</v>
      </c>
      <c r="L13" s="247">
        <f>Table10[[#This Row],[Jan-2023 YTD Effort]]/Table10[[#Totals],[Jan-2023 YTD Effort]]</f>
        <v>0.10188366427661481</v>
      </c>
      <c r="M13" s="246">
        <v>3.5632831198085313</v>
      </c>
      <c r="N13" s="241">
        <v>134222.81</v>
      </c>
      <c r="O13" s="242">
        <f>Table10[[#This Row],[Feb-2023 YTD Effort]]/Table10[[#Totals],[Feb-2023 YTD Effort]]</f>
        <v>6.9813798710632397E-2</v>
      </c>
      <c r="P13" s="267">
        <f>Table10[[#This Row],[Feb-2023 YTD Effort]]-Table10[[#This Row],[Jan-2023 YTD Effort]]</f>
        <v>33932.81</v>
      </c>
      <c r="Q13" s="242">
        <f>Table10[[#This Row],[Monthly Delta]]/Table10[[#Totals],[Monthly Delta]]</f>
        <v>3.6167035103590622E-2</v>
      </c>
      <c r="R13" s="271">
        <f>COUNTIFS(Table15[DesignerName],Table10[[#This Row],[Project Lead]],Table15[Date Completed],"&gt;12/31/2021",Table15[Design Status],"=Completed")-Table10[[#This Row],[2023 Comp.]]</f>
        <v>25</v>
      </c>
      <c r="S13" s="17">
        <f>COUNTIFS(Table15[DesignerName],Table10[[#This Row],[Project Lead]],Table15[Date Completed],"&gt;12/31/2021",Table15[Engineering Approved Design Date],"=Revision")-Table10[[#This Row],[2023 Rev.]]</f>
        <v>3</v>
      </c>
      <c r="T13" s="272">
        <v>4.6683238397980391</v>
      </c>
      <c r="U13" s="273">
        <v>861848.08000000019</v>
      </c>
      <c r="V13" s="280">
        <f>Table10[[#This Row],[2022 Effort]]/Table10[[#Totals],[2022 Effort]]</f>
        <v>0.10244979625467579</v>
      </c>
      <c r="W13" s="278"/>
    </row>
    <row r="14" spans="3:23" x14ac:dyDescent="0.25">
      <c r="C14" s="256" t="s">
        <v>35</v>
      </c>
      <c r="D14" s="214">
        <f>COUNTIF(CRA_Projects[Designer Name],Table10[[#This Row],[Project Lead]])</f>
        <v>0</v>
      </c>
      <c r="E14" s="215">
        <f>COUNTIF(NonDOT_Projects[Designer Name],Table10[[#This Row],[Project Lead]])</f>
        <v>0</v>
      </c>
      <c r="F14">
        <f>COUNTIF(DOT_Projects[Designer Name],Table10[[#This Row],[Project Lead]])</f>
        <v>0</v>
      </c>
      <c r="G14" s="226">
        <f t="shared" si="0"/>
        <v>0</v>
      </c>
      <c r="H14" s="1">
        <f>COUNTIFS(Table15[DesignerName],Table10[[#This Row],[Project Lead]],Table15[Date Completed],"&gt;12/31/2022",Table15[Design Status],"=Completed")</f>
        <v>11</v>
      </c>
      <c r="I14" s="257">
        <f>COUNTIFS(Table15[DesignerName],Table10[[#This Row],[Project Lead]],Table15[Date Completed],"&gt;12/31/2022",Table15[Engineering Approved Design Date],"=Revision")</f>
        <v>5</v>
      </c>
      <c r="J14" s="246">
        <v>9.19</v>
      </c>
      <c r="K14" s="241">
        <v>42641</v>
      </c>
      <c r="L14" s="247">
        <f>Table10[[#This Row],[Jan-2023 YTD Effort]]/Table10[[#Totals],[Jan-2023 YTD Effort]]</f>
        <v>4.331858937500381E-2</v>
      </c>
      <c r="M14" s="246">
        <v>10.168338414845088</v>
      </c>
      <c r="N14" s="241">
        <v>71630.460000000006</v>
      </c>
      <c r="O14" s="242">
        <f>Table10[[#This Row],[Feb-2023 YTD Effort]]/Table10[[#Totals],[Feb-2023 YTD Effort]]</f>
        <v>3.7257411880961259E-2</v>
      </c>
      <c r="P14" s="267">
        <f>Table10[[#This Row],[Feb-2023 YTD Effort]]-Table10[[#This Row],[Jan-2023 YTD Effort]]</f>
        <v>28989.460000000006</v>
      </c>
      <c r="Q14" s="242">
        <f>Table10[[#This Row],[Monthly Delta]]/Table10[[#Totals],[Monthly Delta]]</f>
        <v>3.0898201989582839E-2</v>
      </c>
      <c r="R14" s="271">
        <f>COUNTIFS(Table15[DesignerName],Table10[[#This Row],[Project Lead]],Table15[Date Completed],"&gt;12/31/2021",Table15[Design Status],"=Completed")-Table10[[#This Row],[2023 Comp.]]</f>
        <v>23</v>
      </c>
      <c r="S14" s="17">
        <f>COUNTIFS(Table15[DesignerName],Table10[[#This Row],[Project Lead]],Table15[Date Completed],"&gt;12/31/2021",Table15[Engineering Approved Design Date],"=Revision")-Table10[[#This Row],[2023 Rev.]]</f>
        <v>5</v>
      </c>
      <c r="T14" s="272">
        <v>5.45</v>
      </c>
      <c r="U14" s="273">
        <v>934119</v>
      </c>
      <c r="V14" s="280">
        <f>Table10[[#This Row],[2022 Effort]]/Table10[[#Totals],[2022 Effort]]</f>
        <v>0.1110408010975919</v>
      </c>
      <c r="W14" s="278"/>
    </row>
    <row r="15" spans="3:23" x14ac:dyDescent="0.25">
      <c r="C15" s="256" t="s">
        <v>36</v>
      </c>
      <c r="D15" s="214">
        <f>COUNTIF(CRA_Projects[Designer Name],Table10[[#This Row],[Project Lead]])</f>
        <v>0</v>
      </c>
      <c r="E15" s="215">
        <f>COUNTIF(NonDOT_Projects[Designer Name],Table10[[#This Row],[Project Lead]])</f>
        <v>0</v>
      </c>
      <c r="F15">
        <f>COUNTIF(DOT_Projects[Designer Name],Table10[[#This Row],[Project Lead]])</f>
        <v>0</v>
      </c>
      <c r="G15" s="226">
        <f t="shared" si="0"/>
        <v>0</v>
      </c>
      <c r="H15" s="1">
        <f>COUNTIFS(Table15[DesignerName],Table10[[#This Row],[Project Lead]],Table15[Date Completed],"&gt;12/31/2022",Table15[Design Status],"=Completed")</f>
        <v>10</v>
      </c>
      <c r="I15" s="257">
        <f>COUNTIFS(Table15[DesignerName],Table10[[#This Row],[Project Lead]],Table15[Date Completed],"&gt;12/31/2022",Table15[Engineering Approved Design Date],"=Revision")</f>
        <v>11</v>
      </c>
      <c r="J15" s="246">
        <v>13.59</v>
      </c>
      <c r="K15" s="241">
        <v>36428</v>
      </c>
      <c r="L15" s="247">
        <f>Table10[[#This Row],[Jan-2023 YTD Effort]]/Table10[[#Totals],[Jan-2023 YTD Effort]]</f>
        <v>3.7006861324843196E-2</v>
      </c>
      <c r="M15" s="246">
        <v>11.491073527581486</v>
      </c>
      <c r="N15" s="241">
        <v>61574.51</v>
      </c>
      <c r="O15" s="242">
        <f>Table10[[#This Row],[Feb-2023 YTD Effort]]/Table10[[#Totals],[Feb-2023 YTD Effort]]</f>
        <v>3.2026974005728397E-2</v>
      </c>
      <c r="P15" s="267">
        <f>Table10[[#This Row],[Feb-2023 YTD Effort]]-Table10[[#This Row],[Jan-2023 YTD Effort]]</f>
        <v>25146.510000000002</v>
      </c>
      <c r="Q15" s="242">
        <f>Table10[[#This Row],[Monthly Delta]]/Table10[[#Totals],[Monthly Delta]]</f>
        <v>2.6802222094273735E-2</v>
      </c>
      <c r="R15" s="271">
        <f>COUNTIFS(Table15[DesignerName],Table10[[#This Row],[Project Lead]],Table15[Date Completed],"&gt;12/31/2021",Table15[Design Status],"=Completed")-Table10[[#This Row],[2023 Comp.]]</f>
        <v>14</v>
      </c>
      <c r="S15" s="17">
        <f>COUNTIFS(Table15[DesignerName],Table10[[#This Row],[Project Lead]],Table15[Date Completed],"&gt;12/31/2021",Table15[Engineering Approved Design Date],"=Revision")-Table10[[#This Row],[2023 Rev.]]</f>
        <v>12</v>
      </c>
      <c r="T15" s="272">
        <v>6.4</v>
      </c>
      <c r="U15" s="273">
        <v>976189</v>
      </c>
      <c r="V15" s="280">
        <f>Table10[[#This Row],[2022 Effort]]/Table10[[#Totals],[2022 Effort]]</f>
        <v>0.11604175547511307</v>
      </c>
      <c r="W15" s="278"/>
    </row>
    <row r="16" spans="3:23" x14ac:dyDescent="0.25">
      <c r="C16" s="258" t="s">
        <v>37</v>
      </c>
      <c r="D16" s="214">
        <f>COUNTIF(CRA_Projects[Designer Name],Table10[[#This Row],[Project Lead]])</f>
        <v>9</v>
      </c>
      <c r="E16">
        <f>COUNTIF(NonDOT_Projects[Designer Name],Table10[[#This Row],[Project Lead]])</f>
        <v>0</v>
      </c>
      <c r="F16">
        <f>COUNTIF(DOT_Projects[Designer Name],Table10[[#This Row],[Project Lead]])</f>
        <v>0</v>
      </c>
      <c r="G16" s="226">
        <f t="shared" si="0"/>
        <v>9</v>
      </c>
      <c r="H16" s="1">
        <f>COUNTIFS(Table15[DesignerName],Table10[[#This Row],[Project Lead]],Table15[Date Completed],"&gt;12/31/2022",Table15[Design Status],"=Completed")</f>
        <v>25</v>
      </c>
      <c r="I16" s="257">
        <f>COUNTIFS(Table15[DesignerName],Table10[[#This Row],[Project Lead]],Table15[Date Completed],"&gt;12/31/2022",Table15[Engineering Approved Design Date],"=Revision")</f>
        <v>10</v>
      </c>
      <c r="J16" s="246">
        <v>3.54</v>
      </c>
      <c r="K16" s="241">
        <v>5903</v>
      </c>
      <c r="L16" s="247">
        <f>Table10[[#This Row],[Jan-2023 YTD Effort]]/Table10[[#Totals],[Jan-2023 YTD Effort]]</f>
        <v>5.9968019765166735E-3</v>
      </c>
      <c r="M16" s="246">
        <v>4.4129797073440082</v>
      </c>
      <c r="N16" s="241">
        <v>22906.370000000003</v>
      </c>
      <c r="O16" s="242">
        <f>Table10[[#This Row],[Feb-2023 YTD Effort]]/Table10[[#Totals],[Feb-2023 YTD Effort]]</f>
        <v>1.191437360290154E-2</v>
      </c>
      <c r="P16" s="267">
        <f>Table10[[#This Row],[Feb-2023 YTD Effort]]-Table10[[#This Row],[Jan-2023 YTD Effort]]</f>
        <v>17003.370000000003</v>
      </c>
      <c r="Q16" s="242">
        <f>Table10[[#This Row],[Monthly Delta]]/Table10[[#Totals],[Monthly Delta]]</f>
        <v>1.8122916424231882E-2</v>
      </c>
      <c r="R16" s="271">
        <f>COUNTIFS(Table15[DesignerName],Table10[[#This Row],[Project Lead]],Table15[Date Completed],"&gt;12/31/2021",Table15[Design Status],"=Completed")-Table10[[#This Row],[2023 Comp.]]</f>
        <v>0</v>
      </c>
      <c r="S16" s="17">
        <f>COUNTIFS(Table15[DesignerName],Table10[[#This Row],[Project Lead]],Table15[Date Completed],"&gt;12/31/2021",Table15[Engineering Approved Design Date],"=Revision")-Table10[[#This Row],[2023 Rev.]]</f>
        <v>0</v>
      </c>
      <c r="T16" s="272">
        <v>4.3856109051465939</v>
      </c>
      <c r="U16" s="273">
        <v>28758.720000000001</v>
      </c>
      <c r="V16" s="280">
        <f>Table10[[#This Row],[2022 Effort]]/Table10[[#Totals],[2022 Effort]]</f>
        <v>3.4186129468957794E-3</v>
      </c>
      <c r="W16" s="278" t="s">
        <v>38</v>
      </c>
    </row>
    <row r="17" spans="3:23" x14ac:dyDescent="0.25">
      <c r="C17" s="258" t="s">
        <v>39</v>
      </c>
      <c r="D17" s="214">
        <f>COUNTIF(CRA_Projects[Designer Name],Table10[[#This Row],[Project Lead]])</f>
        <v>0</v>
      </c>
      <c r="E17">
        <f>COUNTIF(NonDOT_Projects[Designer Name],Table10[[#This Row],[Project Lead]])</f>
        <v>0</v>
      </c>
      <c r="F17">
        <f>COUNTIF(DOT_Projects[Designer Name],Table10[[#This Row],[Project Lead]])</f>
        <v>0</v>
      </c>
      <c r="G17" s="226">
        <f t="shared" si="0"/>
        <v>0</v>
      </c>
      <c r="H17" s="1">
        <f>COUNTIFS(Table15[DesignerName],Table10[[#This Row],[Project Lead]],Table15[Date Completed],"&gt;12/31/2022",Table15[Design Status],"=Completed")</f>
        <v>0</v>
      </c>
      <c r="I17" s="257">
        <f>COUNTIFS(Table15[DesignerName],Table10[[#This Row],[Project Lead]],Table15[Date Completed],"&gt;12/31/2022",Table15[Engineering Approved Design Date],"=Revision")</f>
        <v>4</v>
      </c>
      <c r="J17" s="246">
        <v>0</v>
      </c>
      <c r="K17" s="241">
        <v>0</v>
      </c>
      <c r="L17" s="247">
        <f>Table10[[#This Row],[Jan-2023 YTD Effort]]/Table10[[#Totals],[Jan-2023 YTD Effort]]</f>
        <v>0</v>
      </c>
      <c r="M17" s="246"/>
      <c r="N17" s="241"/>
      <c r="O17" s="242">
        <f>Table10[[#This Row],[Feb-2023 YTD Effort]]/Table10[[#Totals],[Feb-2023 YTD Effort]]</f>
        <v>0</v>
      </c>
      <c r="P17" s="267">
        <f>Table10[[#This Row],[Feb-2023 YTD Effort]]-Table10[[#This Row],[Jan-2023 YTD Effort]]</f>
        <v>0</v>
      </c>
      <c r="Q17" s="242">
        <f>Table10[[#This Row],[Monthly Delta]]/Table10[[#Totals],[Monthly Delta]]</f>
        <v>0</v>
      </c>
      <c r="R17" s="271">
        <f>COUNTIFS(Table15[DesignerName],Table10[[#This Row],[Project Lead]],Table15[Date Completed],"&gt;12/31/2021",Table15[Design Status],"=Completed")-Table10[[#This Row],[2023 Comp.]]</f>
        <v>8</v>
      </c>
      <c r="S17" s="17">
        <f>COUNTIFS(Table15[DesignerName],Table10[[#This Row],[Project Lead]],Table15[Date Completed],"&gt;12/31/2021",Table15[Engineering Approved Design Date],"=Revision")-Table10[[#This Row],[2023 Rev.]]</f>
        <v>11</v>
      </c>
      <c r="T17" s="272">
        <v>8.84</v>
      </c>
      <c r="U17" s="273">
        <v>480552</v>
      </c>
      <c r="V17" s="280">
        <f>Table10[[#This Row],[2022 Effort]]/Table10[[#Totals],[2022 Effort]]</f>
        <v>5.7124284003483482E-2</v>
      </c>
      <c r="W17" s="278"/>
    </row>
    <row r="18" spans="3:23" x14ac:dyDescent="0.25">
      <c r="C18" s="258" t="s">
        <v>40</v>
      </c>
      <c r="D18">
        <f>COUNTIF(CRA_Projects[Designer Name],Table10[[#This Row],[Project Lead]])</f>
        <v>0</v>
      </c>
      <c r="E18">
        <f>COUNTIF(NonDOT_Projects[Designer Name],Table10[[#This Row],[Project Lead]])</f>
        <v>0</v>
      </c>
      <c r="F18">
        <f>COUNTIF(DOT_Projects[Designer Name],Table10[[#This Row],[Project Lead]])</f>
        <v>0</v>
      </c>
      <c r="G18" s="226">
        <f t="shared" si="0"/>
        <v>0</v>
      </c>
      <c r="H18" s="1">
        <f>COUNTIFS(Table15[DesignerName],Table10[[#This Row],[Project Lead]],Table15[Date Completed],"&gt;12/31/2022",Table15[Design Status],"=Completed")</f>
        <v>0</v>
      </c>
      <c r="I18" s="257">
        <f>COUNTIFS(Table15[DesignerName],Table10[[#This Row],[Project Lead]],Table15[Date Completed],"&gt;12/31/2022",Table15[Engineering Approved Design Date],"=Revision")</f>
        <v>0</v>
      </c>
      <c r="J18" s="246">
        <v>0</v>
      </c>
      <c r="K18" s="241">
        <v>0</v>
      </c>
      <c r="L18" s="247">
        <f>Table10[[#This Row],[Jan-2023 YTD Effort]]/Table10[[#Totals],[Jan-2023 YTD Effort]]</f>
        <v>0</v>
      </c>
      <c r="M18" s="246"/>
      <c r="N18" s="241"/>
      <c r="O18" s="242">
        <f>Table10[[#This Row],[Feb-2023 YTD Effort]]/Table10[[#Totals],[Feb-2023 YTD Effort]]</f>
        <v>0</v>
      </c>
      <c r="P18" s="267">
        <f>Table10[[#This Row],[Feb-2023 YTD Effort]]-Table10[[#This Row],[Jan-2023 YTD Effort]]</f>
        <v>0</v>
      </c>
      <c r="Q18" s="242">
        <f>Table10[[#This Row],[Monthly Delta]]/Table10[[#Totals],[Monthly Delta]]</f>
        <v>0</v>
      </c>
      <c r="R18" s="271">
        <f>COUNTIFS(Table15[DesignerName],Table10[[#This Row],[Project Lead]],Table15[Date Completed],"&gt;12/31/2021",Table15[Design Status],"=Completed")-Table10[[#This Row],[2023 Comp.]]</f>
        <v>4</v>
      </c>
      <c r="S18" s="17">
        <f>COUNTIFS(Table15[DesignerName],Table10[[#This Row],[Project Lead]],Table15[Date Completed],"&gt;12/31/2021",Table15[Engineering Approved Design Date],"=Revision")-Table10[[#This Row],[2023 Rev.]]</f>
        <v>6</v>
      </c>
      <c r="T18" s="272">
        <v>7.76</v>
      </c>
      <c r="U18" s="273">
        <v>196955</v>
      </c>
      <c r="V18" s="280">
        <f>Table10[[#This Row],[2022 Effort]]/Table10[[#Totals],[2022 Effort]]</f>
        <v>2.3412478474558608E-2</v>
      </c>
      <c r="W18" s="278"/>
    </row>
    <row r="19" spans="3:23" ht="15.75" thickBot="1" x14ac:dyDescent="0.3">
      <c r="C19" s="259"/>
      <c r="D19" s="260">
        <f>SUM(Table10[CRA])</f>
        <v>24</v>
      </c>
      <c r="E19" s="260">
        <f>SUM(Table10[Non-DOT])</f>
        <v>1</v>
      </c>
      <c r="F19" s="260">
        <f>SUM(Table10[DOT])</f>
        <v>17</v>
      </c>
      <c r="G19" s="261">
        <f>SUM(Table10[Total])</f>
        <v>42</v>
      </c>
      <c r="H19" s="262">
        <f>SUM(Table10[2023 Comp.])</f>
        <v>280</v>
      </c>
      <c r="I19" s="263">
        <f>SUM(Table10[2023 Rev.])</f>
        <v>144</v>
      </c>
      <c r="J19" s="248"/>
      <c r="K19" s="249">
        <f>SUM(Table10[Jan-2023 YTD Effort])</f>
        <v>984358</v>
      </c>
      <c r="L19" s="264"/>
      <c r="M19" s="248"/>
      <c r="N19" s="249">
        <f>SUM(Table10[Feb-2023 YTD Effort])</f>
        <v>1922582.82</v>
      </c>
      <c r="O19" s="266"/>
      <c r="P19" s="268">
        <f>SUM(Table10[Monthly Delta])</f>
        <v>938224.82000000018</v>
      </c>
      <c r="Q19" s="270"/>
      <c r="R19" s="274">
        <f>SUM(Table10[2022 Comp.])</f>
        <v>168</v>
      </c>
      <c r="S19" s="275">
        <f>SUM(Table10[2022
Rev.])</f>
        <v>70</v>
      </c>
      <c r="T19" s="260"/>
      <c r="U19" s="276">
        <f>SUM(Table10[2022 Effort])</f>
        <v>8412394.2800000012</v>
      </c>
      <c r="V19" s="276"/>
      <c r="W19" s="279"/>
    </row>
  </sheetData>
  <mergeCells count="1">
    <mergeCell ref="D1:G1"/>
  </mergeCells>
  <phoneticPr fontId="19"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0B32C5-B33E-47CE-9051-9B6C98C9475E}">
  <sheetPr codeName="Sheet3" filterMode="1"/>
  <dimension ref="A1:R333"/>
  <sheetViews>
    <sheetView workbookViewId="0"/>
  </sheetViews>
  <sheetFormatPr defaultColWidth="9.140625" defaultRowHeight="15" x14ac:dyDescent="0.25"/>
  <cols>
    <col min="1" max="1" width="10.7109375" style="50" bestFit="1" customWidth="1"/>
    <col min="2" max="2" width="17.85546875" style="50" customWidth="1"/>
    <col min="3" max="3" width="14" style="50" bestFit="1" customWidth="1"/>
    <col min="4" max="4" width="17" style="50" bestFit="1" customWidth="1"/>
    <col min="5" max="5" width="17" style="50" customWidth="1"/>
    <col min="6" max="6" width="9.7109375" style="34" bestFit="1" customWidth="1"/>
    <col min="7" max="7" width="11" style="36" bestFit="1" customWidth="1"/>
    <col min="8" max="8" width="72.42578125" style="34" customWidth="1"/>
    <col min="9" max="9" width="34.5703125" style="34" customWidth="1"/>
    <col min="10" max="10" width="14.5703125" style="36" bestFit="1" customWidth="1"/>
    <col min="11" max="11" width="20" style="183" bestFit="1" customWidth="1"/>
    <col min="12" max="12" width="20" style="97" bestFit="1" customWidth="1"/>
    <col min="13" max="13" width="34.140625" style="34" bestFit="1" customWidth="1"/>
    <col min="14" max="14" width="29.85546875" style="34" bestFit="1" customWidth="1"/>
    <col min="15" max="15" width="19.28515625" style="34" bestFit="1" customWidth="1"/>
    <col min="16" max="16" width="23.5703125" style="34" bestFit="1" customWidth="1"/>
    <col min="17" max="18" width="18.85546875" style="34" bestFit="1" customWidth="1"/>
    <col min="19" max="16384" width="9.140625" style="34"/>
  </cols>
  <sheetData>
    <row r="1" spans="1:18" ht="30.75" thickBot="1" x14ac:dyDescent="0.3">
      <c r="A1" s="37" t="s">
        <v>41</v>
      </c>
      <c r="B1" s="37" t="s">
        <v>42</v>
      </c>
      <c r="C1" s="38" t="s">
        <v>43</v>
      </c>
      <c r="D1" s="38" t="s">
        <v>44</v>
      </c>
      <c r="E1" s="38" t="s">
        <v>45</v>
      </c>
      <c r="F1" s="38" t="s">
        <v>46</v>
      </c>
      <c r="G1" s="38" t="s">
        <v>47</v>
      </c>
      <c r="H1" s="38" t="s">
        <v>48</v>
      </c>
      <c r="I1" s="38" t="s">
        <v>49</v>
      </c>
      <c r="J1" s="38" t="s">
        <v>50</v>
      </c>
      <c r="K1" s="177" t="s">
        <v>51</v>
      </c>
      <c r="L1" s="177" t="s">
        <v>52</v>
      </c>
      <c r="M1" s="39" t="s">
        <v>53</v>
      </c>
      <c r="N1" s="39" t="s">
        <v>54</v>
      </c>
      <c r="O1" s="39" t="s">
        <v>55</v>
      </c>
      <c r="P1" s="38" t="s">
        <v>56</v>
      </c>
      <c r="Q1" s="40" t="s">
        <v>57</v>
      </c>
      <c r="R1" s="40" t="s">
        <v>58</v>
      </c>
    </row>
    <row r="2" spans="1:18" x14ac:dyDescent="0.25">
      <c r="A2" s="88" t="s">
        <v>59</v>
      </c>
      <c r="B2" s="88" t="s">
        <v>60</v>
      </c>
      <c r="C2" s="88">
        <v>129153</v>
      </c>
      <c r="D2" s="88" t="s">
        <v>61</v>
      </c>
      <c r="E2" s="88" t="s">
        <v>62</v>
      </c>
      <c r="F2" s="88">
        <v>480</v>
      </c>
      <c r="G2" s="47" t="s">
        <v>63</v>
      </c>
      <c r="H2" s="46" t="s">
        <v>64</v>
      </c>
      <c r="I2" s="89" t="s">
        <v>65</v>
      </c>
      <c r="J2" s="47" t="s">
        <v>66</v>
      </c>
      <c r="K2" s="62">
        <v>44176</v>
      </c>
      <c r="L2" s="178"/>
      <c r="M2" s="46"/>
      <c r="N2" s="46"/>
      <c r="O2" s="46"/>
      <c r="P2" s="46"/>
      <c r="Q2" s="46"/>
      <c r="R2" s="46"/>
    </row>
    <row r="3" spans="1:18" x14ac:dyDescent="0.25">
      <c r="A3" s="88" t="s">
        <v>67</v>
      </c>
      <c r="B3" s="91" t="s">
        <v>68</v>
      </c>
      <c r="C3" s="51" t="s">
        <v>69</v>
      </c>
      <c r="D3" s="91" t="s">
        <v>70</v>
      </c>
      <c r="E3" s="91" t="s">
        <v>71</v>
      </c>
      <c r="F3" s="91">
        <v>600</v>
      </c>
      <c r="G3" s="42" t="s">
        <v>63</v>
      </c>
      <c r="H3" s="41" t="s">
        <v>72</v>
      </c>
      <c r="I3" s="92" t="s">
        <v>73</v>
      </c>
      <c r="J3" s="42" t="s">
        <v>74</v>
      </c>
      <c r="K3" s="63"/>
      <c r="L3" s="53"/>
      <c r="M3" s="41"/>
      <c r="N3" s="41"/>
      <c r="O3" s="41"/>
      <c r="P3" s="41"/>
      <c r="Q3" s="41"/>
      <c r="R3" s="41"/>
    </row>
    <row r="4" spans="1:18" x14ac:dyDescent="0.25">
      <c r="A4" s="88" t="s">
        <v>67</v>
      </c>
      <c r="B4" s="1775" t="s">
        <v>75</v>
      </c>
      <c r="C4" s="1775">
        <v>101153</v>
      </c>
      <c r="D4" s="1775" t="s">
        <v>76</v>
      </c>
      <c r="E4" s="1774" t="s">
        <v>77</v>
      </c>
      <c r="F4" s="91">
        <v>4</v>
      </c>
      <c r="G4" s="91" t="s">
        <v>78</v>
      </c>
      <c r="H4" s="43" t="s">
        <v>79</v>
      </c>
      <c r="I4" s="1776" t="s">
        <v>80</v>
      </c>
      <c r="J4" s="42" t="s">
        <v>66</v>
      </c>
      <c r="K4" s="63">
        <v>44166</v>
      </c>
      <c r="L4" s="53"/>
      <c r="M4" s="41"/>
      <c r="N4" s="41"/>
      <c r="O4" s="41"/>
      <c r="P4" s="41"/>
      <c r="Q4" s="41"/>
      <c r="R4" s="41"/>
    </row>
    <row r="5" spans="1:18" x14ac:dyDescent="0.25">
      <c r="A5" s="88" t="s">
        <v>67</v>
      </c>
      <c r="B5" s="1775"/>
      <c r="C5" s="1775"/>
      <c r="D5" s="1775"/>
      <c r="E5" s="1774"/>
      <c r="F5" s="91">
        <v>2</v>
      </c>
      <c r="G5" s="91" t="s">
        <v>78</v>
      </c>
      <c r="H5" s="43" t="s">
        <v>81</v>
      </c>
      <c r="I5" s="1776"/>
      <c r="J5" s="42" t="s">
        <v>66</v>
      </c>
      <c r="K5" s="63">
        <v>44166</v>
      </c>
      <c r="L5" s="53"/>
      <c r="M5" s="41"/>
      <c r="N5" s="41"/>
      <c r="O5" s="41"/>
      <c r="P5" s="41"/>
      <c r="Q5" s="41"/>
      <c r="R5" s="41"/>
    </row>
    <row r="6" spans="1:18" x14ac:dyDescent="0.25">
      <c r="A6" s="88" t="s">
        <v>67</v>
      </c>
      <c r="B6" s="1775"/>
      <c r="C6" s="1775"/>
      <c r="D6" s="1775"/>
      <c r="E6" s="1774"/>
      <c r="F6" s="91">
        <v>3</v>
      </c>
      <c r="G6" s="91" t="s">
        <v>78</v>
      </c>
      <c r="H6" s="43" t="s">
        <v>82</v>
      </c>
      <c r="I6" s="1776"/>
      <c r="J6" s="42" t="s">
        <v>66</v>
      </c>
      <c r="K6" s="63">
        <v>44166</v>
      </c>
      <c r="L6" s="53"/>
      <c r="M6" s="41"/>
      <c r="N6" s="41"/>
      <c r="O6" s="41"/>
      <c r="P6" s="41"/>
      <c r="Q6" s="41"/>
      <c r="R6" s="41"/>
    </row>
    <row r="7" spans="1:18" x14ac:dyDescent="0.25">
      <c r="A7" s="88" t="s">
        <v>67</v>
      </c>
      <c r="B7" s="1775"/>
      <c r="C7" s="1775"/>
      <c r="D7" s="1775"/>
      <c r="E7" s="1774"/>
      <c r="F7" s="91">
        <v>1</v>
      </c>
      <c r="G7" s="91" t="s">
        <v>78</v>
      </c>
      <c r="H7" s="43" t="s">
        <v>83</v>
      </c>
      <c r="I7" s="1776"/>
      <c r="J7" s="42" t="s">
        <v>66</v>
      </c>
      <c r="K7" s="63">
        <v>44166</v>
      </c>
      <c r="L7" s="53"/>
      <c r="M7" s="41"/>
      <c r="N7" s="41"/>
      <c r="O7" s="41"/>
      <c r="P7" s="41"/>
      <c r="Q7" s="41"/>
      <c r="R7" s="41"/>
    </row>
    <row r="8" spans="1:18" ht="60" customHeight="1" x14ac:dyDescent="0.25">
      <c r="A8" s="88" t="s">
        <v>67</v>
      </c>
      <c r="B8" s="1775"/>
      <c r="C8" s="1775"/>
      <c r="D8" s="1775"/>
      <c r="E8" s="1774"/>
      <c r="F8" s="91">
        <v>1</v>
      </c>
      <c r="G8" s="91" t="s">
        <v>78</v>
      </c>
      <c r="H8" s="92" t="s">
        <v>84</v>
      </c>
      <c r="I8" s="1776"/>
      <c r="J8" s="42" t="s">
        <v>66</v>
      </c>
      <c r="K8" s="63">
        <v>44166</v>
      </c>
      <c r="L8" s="53"/>
      <c r="M8" s="41"/>
      <c r="N8" s="41"/>
      <c r="O8" s="41"/>
      <c r="P8" s="41"/>
      <c r="Q8" s="41"/>
      <c r="R8" s="41"/>
    </row>
    <row r="9" spans="1:18" ht="60" customHeight="1" x14ac:dyDescent="0.25">
      <c r="A9" s="88" t="s">
        <v>67</v>
      </c>
      <c r="B9" s="1775"/>
      <c r="C9" s="1775"/>
      <c r="D9" s="1775"/>
      <c r="E9" s="1774"/>
      <c r="F9" s="91">
        <v>1</v>
      </c>
      <c r="G9" s="91" t="s">
        <v>78</v>
      </c>
      <c r="H9" s="92" t="s">
        <v>85</v>
      </c>
      <c r="I9" s="1776"/>
      <c r="J9" s="42" t="s">
        <v>66</v>
      </c>
      <c r="K9" s="63">
        <v>44166</v>
      </c>
      <c r="L9" s="53"/>
      <c r="M9" s="41"/>
      <c r="N9" s="41"/>
      <c r="O9" s="41"/>
      <c r="P9" s="41"/>
      <c r="Q9" s="41"/>
      <c r="R9" s="41"/>
    </row>
    <row r="10" spans="1:18" x14ac:dyDescent="0.25">
      <c r="A10" s="88" t="s">
        <v>67</v>
      </c>
      <c r="B10" s="1774" t="s">
        <v>86</v>
      </c>
      <c r="C10" s="1774">
        <v>102114</v>
      </c>
      <c r="D10" s="1774" t="s">
        <v>87</v>
      </c>
      <c r="E10" s="1774" t="s">
        <v>77</v>
      </c>
      <c r="F10" s="91">
        <v>2</v>
      </c>
      <c r="G10" s="91" t="s">
        <v>78</v>
      </c>
      <c r="H10" s="92" t="s">
        <v>88</v>
      </c>
      <c r="I10" s="1777" t="s">
        <v>89</v>
      </c>
      <c r="J10" s="91" t="s">
        <v>74</v>
      </c>
      <c r="K10" s="63"/>
      <c r="L10" s="53"/>
      <c r="M10" s="41"/>
      <c r="N10" s="41"/>
      <c r="O10" s="41"/>
      <c r="P10" s="41"/>
      <c r="Q10" s="41"/>
      <c r="R10" s="41"/>
    </row>
    <row r="11" spans="1:18" x14ac:dyDescent="0.25">
      <c r="A11" s="88" t="s">
        <v>67</v>
      </c>
      <c r="B11" s="1774"/>
      <c r="C11" s="1774"/>
      <c r="D11" s="1774"/>
      <c r="E11" s="1774"/>
      <c r="F11" s="91">
        <v>1</v>
      </c>
      <c r="G11" s="91" t="s">
        <v>78</v>
      </c>
      <c r="H11" s="92" t="s">
        <v>82</v>
      </c>
      <c r="I11" s="1777"/>
      <c r="J11" s="91" t="s">
        <v>74</v>
      </c>
      <c r="K11" s="63"/>
      <c r="L11" s="53"/>
      <c r="M11" s="41"/>
      <c r="N11" s="41"/>
      <c r="O11" s="41"/>
      <c r="P11" s="41"/>
      <c r="Q11" s="41"/>
      <c r="R11" s="41"/>
    </row>
    <row r="12" spans="1:18" ht="45" x14ac:dyDescent="0.25">
      <c r="A12" s="88" t="s">
        <v>67</v>
      </c>
      <c r="B12" s="1774"/>
      <c r="C12" s="1774"/>
      <c r="D12" s="1774"/>
      <c r="E12" s="1774"/>
      <c r="F12" s="91">
        <v>1</v>
      </c>
      <c r="G12" s="91" t="s">
        <v>78</v>
      </c>
      <c r="H12" s="92" t="s">
        <v>90</v>
      </c>
      <c r="I12" s="1777"/>
      <c r="J12" s="91" t="s">
        <v>74</v>
      </c>
      <c r="K12" s="63"/>
      <c r="L12" s="53"/>
      <c r="M12" s="41"/>
      <c r="N12" s="41"/>
      <c r="O12" s="41"/>
      <c r="P12" s="41"/>
      <c r="Q12" s="41"/>
      <c r="R12" s="41"/>
    </row>
    <row r="13" spans="1:18" ht="45" x14ac:dyDescent="0.25">
      <c r="A13" s="88" t="s">
        <v>67</v>
      </c>
      <c r="B13" s="1774"/>
      <c r="C13" s="1774"/>
      <c r="D13" s="1774"/>
      <c r="E13" s="1774"/>
      <c r="F13" s="91">
        <v>1</v>
      </c>
      <c r="G13" s="91" t="s">
        <v>78</v>
      </c>
      <c r="H13" s="45" t="s">
        <v>91</v>
      </c>
      <c r="I13" s="1777"/>
      <c r="J13" s="91" t="s">
        <v>74</v>
      </c>
      <c r="K13" s="63"/>
      <c r="L13" s="53"/>
      <c r="M13" s="41"/>
      <c r="N13" s="41"/>
      <c r="O13" s="41"/>
      <c r="P13" s="41"/>
      <c r="Q13" s="41"/>
      <c r="R13" s="41"/>
    </row>
    <row r="14" spans="1:18" x14ac:dyDescent="0.25">
      <c r="A14" s="88" t="s">
        <v>67</v>
      </c>
      <c r="B14" s="1774" t="s">
        <v>92</v>
      </c>
      <c r="C14" s="1774">
        <v>102117</v>
      </c>
      <c r="D14" s="1774" t="s">
        <v>93</v>
      </c>
      <c r="E14" s="1774" t="s">
        <v>77</v>
      </c>
      <c r="F14" s="91">
        <v>2</v>
      </c>
      <c r="G14" s="91" t="s">
        <v>78</v>
      </c>
      <c r="H14" s="45" t="s">
        <v>88</v>
      </c>
      <c r="I14" s="1777" t="s">
        <v>94</v>
      </c>
      <c r="J14" s="1774" t="s">
        <v>74</v>
      </c>
      <c r="K14" s="63"/>
      <c r="L14" s="53"/>
      <c r="M14" s="41"/>
      <c r="N14" s="41"/>
      <c r="O14" s="41"/>
      <c r="P14" s="41"/>
      <c r="Q14" s="41"/>
      <c r="R14" s="41"/>
    </row>
    <row r="15" spans="1:18" x14ac:dyDescent="0.25">
      <c r="A15" s="88" t="s">
        <v>67</v>
      </c>
      <c r="B15" s="1774"/>
      <c r="C15" s="1774"/>
      <c r="D15" s="1774"/>
      <c r="E15" s="1774"/>
      <c r="F15" s="91">
        <v>6</v>
      </c>
      <c r="G15" s="91" t="s">
        <v>78</v>
      </c>
      <c r="H15" s="45" t="s">
        <v>82</v>
      </c>
      <c r="I15" s="1777"/>
      <c r="J15" s="1774"/>
      <c r="K15" s="63"/>
      <c r="L15" s="53"/>
      <c r="M15" s="41"/>
      <c r="N15" s="41"/>
      <c r="O15" s="41"/>
      <c r="P15" s="41"/>
      <c r="Q15" s="41"/>
      <c r="R15" s="41"/>
    </row>
    <row r="16" spans="1:18" x14ac:dyDescent="0.25">
      <c r="A16" s="88" t="s">
        <v>67</v>
      </c>
      <c r="B16" s="1774"/>
      <c r="C16" s="1774"/>
      <c r="D16" s="1774"/>
      <c r="E16" s="1774"/>
      <c r="F16" s="91">
        <v>1</v>
      </c>
      <c r="G16" s="91" t="s">
        <v>78</v>
      </c>
      <c r="H16" s="44" t="s">
        <v>95</v>
      </c>
      <c r="I16" s="1777"/>
      <c r="J16" s="1774"/>
      <c r="K16" s="63"/>
      <c r="L16" s="53"/>
      <c r="M16" s="41"/>
      <c r="N16" s="41"/>
      <c r="O16" s="41"/>
      <c r="P16" s="41"/>
      <c r="Q16" s="41"/>
      <c r="R16" s="41"/>
    </row>
    <row r="17" spans="1:18" x14ac:dyDescent="0.25">
      <c r="A17" s="88" t="s">
        <v>67</v>
      </c>
      <c r="B17" s="1774" t="s">
        <v>96</v>
      </c>
      <c r="C17" s="1774">
        <v>102116</v>
      </c>
      <c r="D17" s="1774" t="s">
        <v>97</v>
      </c>
      <c r="E17" s="1774" t="s">
        <v>77</v>
      </c>
      <c r="F17" s="91">
        <v>1</v>
      </c>
      <c r="G17" s="91" t="s">
        <v>78</v>
      </c>
      <c r="H17" s="44" t="s">
        <v>98</v>
      </c>
      <c r="I17" s="1777" t="s">
        <v>89</v>
      </c>
      <c r="J17" s="88" t="s">
        <v>74</v>
      </c>
      <c r="K17" s="63"/>
      <c r="L17" s="53"/>
      <c r="M17" s="41"/>
      <c r="N17" s="41"/>
      <c r="O17" s="41"/>
      <c r="P17" s="41"/>
      <c r="Q17" s="41"/>
      <c r="R17" s="41"/>
    </row>
    <row r="18" spans="1:18" x14ac:dyDescent="0.25">
      <c r="A18" s="88" t="s">
        <v>67</v>
      </c>
      <c r="B18" s="1774"/>
      <c r="C18" s="1774"/>
      <c r="D18" s="1774"/>
      <c r="E18" s="1774"/>
      <c r="F18" s="91">
        <v>9</v>
      </c>
      <c r="G18" s="91" t="s">
        <v>78</v>
      </c>
      <c r="H18" s="44" t="s">
        <v>82</v>
      </c>
      <c r="I18" s="1777"/>
      <c r="J18" s="88" t="s">
        <v>74</v>
      </c>
      <c r="K18" s="63"/>
      <c r="L18" s="53"/>
      <c r="M18" s="41"/>
      <c r="N18" s="41"/>
      <c r="O18" s="41"/>
      <c r="P18" s="41"/>
      <c r="Q18" s="41"/>
      <c r="R18" s="41"/>
    </row>
    <row r="19" spans="1:18" x14ac:dyDescent="0.25">
      <c r="A19" s="88" t="s">
        <v>67</v>
      </c>
      <c r="B19" s="1774"/>
      <c r="C19" s="1774"/>
      <c r="D19" s="1774"/>
      <c r="E19" s="1774"/>
      <c r="F19" s="91">
        <v>1</v>
      </c>
      <c r="G19" s="91" t="s">
        <v>78</v>
      </c>
      <c r="H19" s="44" t="s">
        <v>99</v>
      </c>
      <c r="I19" s="1777"/>
      <c r="J19" s="88" t="s">
        <v>74</v>
      </c>
      <c r="K19" s="63"/>
      <c r="L19" s="53"/>
      <c r="M19" s="41"/>
      <c r="N19" s="41"/>
      <c r="O19" s="41"/>
      <c r="P19" s="41"/>
      <c r="Q19" s="41"/>
      <c r="R19" s="41"/>
    </row>
    <row r="20" spans="1:18" x14ac:dyDescent="0.25">
      <c r="A20" s="88" t="s">
        <v>67</v>
      </c>
      <c r="B20" s="1774"/>
      <c r="C20" s="1774"/>
      <c r="D20" s="1774"/>
      <c r="E20" s="1774"/>
      <c r="F20" s="91">
        <v>1</v>
      </c>
      <c r="G20" s="91" t="s">
        <v>78</v>
      </c>
      <c r="H20" s="44" t="s">
        <v>100</v>
      </c>
      <c r="I20" s="1777"/>
      <c r="J20" s="88" t="s">
        <v>74</v>
      </c>
      <c r="K20" s="63"/>
      <c r="L20" s="53"/>
      <c r="M20" s="41"/>
      <c r="N20" s="41"/>
      <c r="O20" s="41"/>
      <c r="P20" s="41"/>
      <c r="Q20" s="41"/>
      <c r="R20" s="41"/>
    </row>
    <row r="21" spans="1:18" x14ac:dyDescent="0.25">
      <c r="A21" s="88" t="s">
        <v>67</v>
      </c>
      <c r="B21" s="1774"/>
      <c r="C21" s="1774"/>
      <c r="D21" s="1774"/>
      <c r="E21" s="1774"/>
      <c r="F21" s="91">
        <v>1</v>
      </c>
      <c r="G21" s="91" t="s">
        <v>78</v>
      </c>
      <c r="H21" s="44" t="s">
        <v>101</v>
      </c>
      <c r="I21" s="1777"/>
      <c r="J21" s="88" t="s">
        <v>74</v>
      </c>
      <c r="K21" s="63"/>
      <c r="L21" s="53"/>
      <c r="M21" s="41"/>
      <c r="N21" s="41"/>
      <c r="O21" s="41"/>
      <c r="P21" s="41"/>
      <c r="Q21" s="41"/>
      <c r="R21" s="41"/>
    </row>
    <row r="22" spans="1:18" x14ac:dyDescent="0.25">
      <c r="A22" s="88" t="s">
        <v>67</v>
      </c>
      <c r="B22" s="1774"/>
      <c r="C22" s="1774"/>
      <c r="D22" s="1774"/>
      <c r="E22" s="1774"/>
      <c r="F22" s="42">
        <v>1</v>
      </c>
      <c r="G22" s="42" t="s">
        <v>78</v>
      </c>
      <c r="H22" s="44" t="s">
        <v>102</v>
      </c>
      <c r="I22" s="1777"/>
      <c r="J22" s="42" t="s">
        <v>74</v>
      </c>
      <c r="K22" s="63"/>
      <c r="L22" s="53"/>
      <c r="M22" s="41"/>
      <c r="N22" s="41"/>
      <c r="O22" s="41"/>
      <c r="P22" s="41"/>
      <c r="Q22" s="41"/>
      <c r="R22" s="41"/>
    </row>
    <row r="23" spans="1:18" x14ac:dyDescent="0.25">
      <c r="A23" s="88" t="s">
        <v>67</v>
      </c>
      <c r="B23" s="1774" t="s">
        <v>103</v>
      </c>
      <c r="C23" s="1774">
        <v>101154</v>
      </c>
      <c r="D23" s="1774" t="s">
        <v>104</v>
      </c>
      <c r="E23" s="1774" t="s">
        <v>77</v>
      </c>
      <c r="F23" s="91">
        <v>2</v>
      </c>
      <c r="G23" s="91" t="s">
        <v>78</v>
      </c>
      <c r="H23" s="44" t="s">
        <v>79</v>
      </c>
      <c r="I23" s="1777" t="s">
        <v>105</v>
      </c>
      <c r="J23" s="1774" t="s">
        <v>66</v>
      </c>
      <c r="K23" s="63">
        <v>44166</v>
      </c>
      <c r="L23" s="53"/>
      <c r="M23" s="41"/>
      <c r="N23" s="41"/>
      <c r="O23" s="41"/>
      <c r="P23" s="41"/>
      <c r="Q23" s="41"/>
      <c r="R23" s="41"/>
    </row>
    <row r="24" spans="1:18" ht="45" x14ac:dyDescent="0.25">
      <c r="A24" s="88" t="s">
        <v>67</v>
      </c>
      <c r="B24" s="1774"/>
      <c r="C24" s="1774"/>
      <c r="D24" s="1774"/>
      <c r="E24" s="1774"/>
      <c r="F24" s="91">
        <v>1</v>
      </c>
      <c r="G24" s="91" t="s">
        <v>78</v>
      </c>
      <c r="H24" s="92" t="s">
        <v>90</v>
      </c>
      <c r="I24" s="1777"/>
      <c r="J24" s="1774"/>
      <c r="K24" s="63">
        <v>44166</v>
      </c>
      <c r="L24" s="53"/>
      <c r="M24" s="41"/>
      <c r="N24" s="41"/>
      <c r="O24" s="41"/>
      <c r="P24" s="41"/>
      <c r="Q24" s="41"/>
      <c r="R24" s="41"/>
    </row>
    <row r="25" spans="1:18" x14ac:dyDescent="0.25">
      <c r="A25" s="1774" t="s">
        <v>59</v>
      </c>
      <c r="B25" s="1774" t="s">
        <v>106</v>
      </c>
      <c r="C25" s="1780" t="s">
        <v>107</v>
      </c>
      <c r="D25" s="1774" t="s">
        <v>108</v>
      </c>
      <c r="E25" s="1774" t="s">
        <v>62</v>
      </c>
      <c r="F25" s="91">
        <v>2900</v>
      </c>
      <c r="G25" s="91" t="s">
        <v>63</v>
      </c>
      <c r="H25" s="92" t="s">
        <v>109</v>
      </c>
      <c r="I25" s="1778" t="s">
        <v>110</v>
      </c>
      <c r="J25" s="88" t="s">
        <v>74</v>
      </c>
      <c r="K25" s="63"/>
      <c r="L25" s="53"/>
      <c r="M25" s="41"/>
      <c r="N25" s="1774" t="s">
        <v>111</v>
      </c>
      <c r="O25" s="1774" t="s">
        <v>112</v>
      </c>
      <c r="P25" s="91"/>
      <c r="Q25" s="91"/>
      <c r="R25" s="91"/>
    </row>
    <row r="26" spans="1:18" x14ac:dyDescent="0.25">
      <c r="A26" s="1774"/>
      <c r="B26" s="1774"/>
      <c r="C26" s="1780"/>
      <c r="D26" s="1774"/>
      <c r="E26" s="1774"/>
      <c r="F26" s="91">
        <v>1000</v>
      </c>
      <c r="G26" s="91" t="s">
        <v>63</v>
      </c>
      <c r="H26" s="92" t="s">
        <v>113</v>
      </c>
      <c r="I26" s="1778"/>
      <c r="J26" s="88" t="s">
        <v>74</v>
      </c>
      <c r="K26" s="63"/>
      <c r="L26" s="53"/>
      <c r="M26" s="41"/>
      <c r="N26" s="1774"/>
      <c r="O26" s="1774"/>
      <c r="P26" s="91"/>
      <c r="Q26" s="91"/>
      <c r="R26" s="91"/>
    </row>
    <row r="27" spans="1:18" x14ac:dyDescent="0.25">
      <c r="A27" s="1774"/>
      <c r="B27" s="1774"/>
      <c r="C27" s="1780"/>
      <c r="D27" s="1774"/>
      <c r="E27" s="1774"/>
      <c r="F27" s="91">
        <v>1</v>
      </c>
      <c r="G27" s="91" t="s">
        <v>78</v>
      </c>
      <c r="H27" s="44" t="s">
        <v>114</v>
      </c>
      <c r="I27" s="1778"/>
      <c r="J27" s="91" t="s">
        <v>66</v>
      </c>
      <c r="K27" s="52" t="s">
        <v>115</v>
      </c>
      <c r="L27" s="52" t="s">
        <v>115</v>
      </c>
      <c r="M27" s="41"/>
      <c r="N27" s="1774"/>
      <c r="O27" s="1774"/>
      <c r="P27" s="91" t="s">
        <v>116</v>
      </c>
      <c r="Q27" s="91"/>
      <c r="R27" s="91"/>
    </row>
    <row r="28" spans="1:18" x14ac:dyDescent="0.25">
      <c r="A28" s="88" t="s">
        <v>59</v>
      </c>
      <c r="B28" s="91" t="s">
        <v>117</v>
      </c>
      <c r="C28" s="91">
        <v>129079</v>
      </c>
      <c r="D28" s="91" t="s">
        <v>118</v>
      </c>
      <c r="E28" s="91" t="s">
        <v>62</v>
      </c>
      <c r="F28" s="42">
        <v>440</v>
      </c>
      <c r="G28" s="42" t="s">
        <v>63</v>
      </c>
      <c r="H28" s="41" t="s">
        <v>109</v>
      </c>
      <c r="I28" s="43" t="s">
        <v>119</v>
      </c>
      <c r="J28" s="42" t="s">
        <v>120</v>
      </c>
      <c r="K28" s="63">
        <v>44176</v>
      </c>
      <c r="L28" s="53"/>
      <c r="M28" s="41"/>
      <c r="N28" s="41"/>
      <c r="O28" s="41"/>
      <c r="P28" s="41"/>
      <c r="Q28" s="41"/>
      <c r="R28" s="41"/>
    </row>
    <row r="29" spans="1:18" x14ac:dyDescent="0.25">
      <c r="A29" s="88" t="s">
        <v>59</v>
      </c>
      <c r="B29" s="91" t="s">
        <v>121</v>
      </c>
      <c r="C29" s="91">
        <v>120391</v>
      </c>
      <c r="D29" s="91" t="s">
        <v>122</v>
      </c>
      <c r="E29" s="91" t="s">
        <v>62</v>
      </c>
      <c r="F29" s="42">
        <v>3660</v>
      </c>
      <c r="G29" s="42" t="s">
        <v>63</v>
      </c>
      <c r="H29" s="41" t="s">
        <v>109</v>
      </c>
      <c r="I29" s="43" t="s">
        <v>123</v>
      </c>
      <c r="J29" s="42" t="s">
        <v>74</v>
      </c>
      <c r="K29" s="63"/>
      <c r="L29" s="53"/>
      <c r="M29" s="41"/>
      <c r="N29" s="41"/>
      <c r="O29" s="41"/>
      <c r="P29" s="41"/>
      <c r="Q29" s="41"/>
      <c r="R29" s="41"/>
    </row>
    <row r="30" spans="1:18" x14ac:dyDescent="0.25">
      <c r="A30" s="88" t="s">
        <v>67</v>
      </c>
      <c r="B30" s="91" t="s">
        <v>124</v>
      </c>
      <c r="C30" s="91">
        <v>129168</v>
      </c>
      <c r="D30" s="91" t="s">
        <v>125</v>
      </c>
      <c r="E30" s="91" t="s">
        <v>77</v>
      </c>
      <c r="F30" s="91">
        <v>2</v>
      </c>
      <c r="G30" s="91" t="s">
        <v>78</v>
      </c>
      <c r="H30" s="44" t="s">
        <v>126</v>
      </c>
      <c r="I30" s="43" t="s">
        <v>127</v>
      </c>
      <c r="J30" s="42" t="s">
        <v>74</v>
      </c>
      <c r="K30" s="63"/>
      <c r="L30" s="53"/>
      <c r="M30" s="41"/>
      <c r="N30" s="41"/>
      <c r="O30" s="41"/>
      <c r="P30" s="41"/>
      <c r="Q30" s="41"/>
      <c r="R30" s="41"/>
    </row>
    <row r="31" spans="1:18" x14ac:dyDescent="0.25">
      <c r="A31" s="88" t="s">
        <v>67</v>
      </c>
      <c r="B31" s="1774" t="s">
        <v>128</v>
      </c>
      <c r="C31" s="1774">
        <v>109157</v>
      </c>
      <c r="D31" s="1774" t="s">
        <v>129</v>
      </c>
      <c r="E31" s="1774" t="s">
        <v>130</v>
      </c>
      <c r="F31" s="91">
        <v>1</v>
      </c>
      <c r="G31" s="91" t="s">
        <v>78</v>
      </c>
      <c r="H31" s="44" t="s">
        <v>131</v>
      </c>
      <c r="I31" s="1777" t="s">
        <v>132</v>
      </c>
      <c r="J31" s="42" t="s">
        <v>74</v>
      </c>
      <c r="K31" s="63"/>
      <c r="L31" s="53"/>
      <c r="M31" s="41"/>
      <c r="N31" s="41"/>
      <c r="O31" s="41"/>
      <c r="P31" s="41"/>
      <c r="Q31" s="41"/>
      <c r="R31" s="41"/>
    </row>
    <row r="32" spans="1:18" ht="30" customHeight="1" x14ac:dyDescent="0.25">
      <c r="A32" s="88" t="s">
        <v>67</v>
      </c>
      <c r="B32" s="1774"/>
      <c r="C32" s="1774"/>
      <c r="D32" s="1774"/>
      <c r="E32" s="1774"/>
      <c r="F32" s="91">
        <v>1</v>
      </c>
      <c r="G32" s="91" t="s">
        <v>78</v>
      </c>
      <c r="H32" s="44" t="s">
        <v>133</v>
      </c>
      <c r="I32" s="1777"/>
      <c r="J32" s="42" t="s">
        <v>74</v>
      </c>
      <c r="K32" s="63"/>
      <c r="L32" s="53"/>
      <c r="M32" s="41"/>
      <c r="N32" s="41"/>
      <c r="O32" s="41"/>
      <c r="P32" s="41"/>
      <c r="Q32" s="41"/>
      <c r="R32" s="41"/>
    </row>
    <row r="33" spans="1:18" x14ac:dyDescent="0.25">
      <c r="A33" s="88" t="s">
        <v>67</v>
      </c>
      <c r="B33" s="1774" t="s">
        <v>134</v>
      </c>
      <c r="C33" s="1774">
        <v>140804</v>
      </c>
      <c r="D33" s="1774" t="s">
        <v>135</v>
      </c>
      <c r="E33" s="1774" t="s">
        <v>130</v>
      </c>
      <c r="F33" s="91">
        <v>2</v>
      </c>
      <c r="G33" s="91" t="s">
        <v>78</v>
      </c>
      <c r="H33" s="41" t="s">
        <v>81</v>
      </c>
      <c r="I33" s="1777" t="s">
        <v>89</v>
      </c>
      <c r="J33" s="42" t="s">
        <v>74</v>
      </c>
      <c r="K33" s="63"/>
      <c r="L33" s="53"/>
      <c r="M33" s="41"/>
      <c r="N33" s="41"/>
      <c r="O33" s="41"/>
      <c r="P33" s="41"/>
      <c r="Q33" s="41"/>
      <c r="R33" s="41"/>
    </row>
    <row r="34" spans="1:18" x14ac:dyDescent="0.25">
      <c r="A34" s="88" t="s">
        <v>67</v>
      </c>
      <c r="B34" s="1774"/>
      <c r="C34" s="1774"/>
      <c r="D34" s="1774"/>
      <c r="E34" s="1774"/>
      <c r="F34" s="91">
        <v>4</v>
      </c>
      <c r="G34" s="91" t="s">
        <v>78</v>
      </c>
      <c r="H34" s="44" t="s">
        <v>82</v>
      </c>
      <c r="I34" s="1777"/>
      <c r="J34" s="42" t="s">
        <v>74</v>
      </c>
      <c r="K34" s="63"/>
      <c r="L34" s="53"/>
      <c r="M34" s="41"/>
      <c r="N34" s="41"/>
      <c r="O34" s="41"/>
      <c r="P34" s="41"/>
      <c r="Q34" s="41"/>
      <c r="R34" s="41"/>
    </row>
    <row r="35" spans="1:18" x14ac:dyDescent="0.25">
      <c r="A35" s="88" t="s">
        <v>59</v>
      </c>
      <c r="B35" s="1774" t="s">
        <v>136</v>
      </c>
      <c r="C35" s="1774">
        <v>120437</v>
      </c>
      <c r="D35" s="1774" t="s">
        <v>137</v>
      </c>
      <c r="E35" s="1774" t="s">
        <v>130</v>
      </c>
      <c r="F35" s="91">
        <v>480</v>
      </c>
      <c r="G35" s="91" t="s">
        <v>63</v>
      </c>
      <c r="H35" s="44" t="s">
        <v>138</v>
      </c>
      <c r="I35" s="1777" t="s">
        <v>123</v>
      </c>
      <c r="J35" s="42" t="s">
        <v>74</v>
      </c>
      <c r="K35" s="63"/>
      <c r="L35" s="53"/>
      <c r="M35" s="41"/>
      <c r="N35" s="41"/>
      <c r="O35" s="41"/>
      <c r="P35" s="41"/>
      <c r="Q35" s="41"/>
      <c r="R35" s="41"/>
    </row>
    <row r="36" spans="1:18" x14ac:dyDescent="0.25">
      <c r="A36" s="88" t="s">
        <v>59</v>
      </c>
      <c r="B36" s="1774"/>
      <c r="C36" s="1774"/>
      <c r="D36" s="1774"/>
      <c r="E36" s="1774"/>
      <c r="F36" s="91">
        <v>1</v>
      </c>
      <c r="G36" s="91" t="s">
        <v>78</v>
      </c>
      <c r="H36" s="44" t="s">
        <v>139</v>
      </c>
      <c r="I36" s="1777"/>
      <c r="J36" s="42" t="s">
        <v>74</v>
      </c>
      <c r="K36" s="63"/>
      <c r="L36" s="53"/>
      <c r="M36" s="41"/>
      <c r="N36" s="41"/>
      <c r="O36" s="41"/>
      <c r="P36" s="41"/>
      <c r="Q36" s="41"/>
      <c r="R36" s="41"/>
    </row>
    <row r="37" spans="1:18" x14ac:dyDescent="0.25">
      <c r="A37" s="88" t="s">
        <v>59</v>
      </c>
      <c r="B37" s="91" t="s">
        <v>140</v>
      </c>
      <c r="C37" s="91">
        <v>140811</v>
      </c>
      <c r="D37" s="91" t="s">
        <v>141</v>
      </c>
      <c r="E37" s="91" t="s">
        <v>62</v>
      </c>
      <c r="F37" s="91">
        <v>2</v>
      </c>
      <c r="G37" s="91" t="s">
        <v>78</v>
      </c>
      <c r="H37" s="41" t="s">
        <v>142</v>
      </c>
      <c r="I37" s="43" t="s">
        <v>143</v>
      </c>
      <c r="J37" s="42" t="s">
        <v>74</v>
      </c>
      <c r="K37" s="63"/>
      <c r="L37" s="53"/>
      <c r="M37" s="41"/>
      <c r="N37" s="41"/>
      <c r="O37" s="41"/>
      <c r="P37" s="41"/>
      <c r="Q37" s="41"/>
      <c r="R37" s="41"/>
    </row>
    <row r="38" spans="1:18" x14ac:dyDescent="0.25">
      <c r="A38" s="88" t="s">
        <v>59</v>
      </c>
      <c r="B38" s="1774" t="s">
        <v>144</v>
      </c>
      <c r="C38" s="1774">
        <v>140807</v>
      </c>
      <c r="D38" s="1774" t="s">
        <v>141</v>
      </c>
      <c r="E38" s="1774" t="s">
        <v>62</v>
      </c>
      <c r="F38" s="91">
        <v>1</v>
      </c>
      <c r="G38" s="91" t="s">
        <v>78</v>
      </c>
      <c r="H38" s="41" t="s">
        <v>142</v>
      </c>
      <c r="I38" s="1777" t="s">
        <v>123</v>
      </c>
      <c r="J38" s="42" t="s">
        <v>66</v>
      </c>
      <c r="K38" s="63"/>
      <c r="L38" s="53"/>
      <c r="M38" s="41"/>
      <c r="N38" s="41"/>
      <c r="O38" s="41"/>
      <c r="P38" s="1783" t="s">
        <v>116</v>
      </c>
      <c r="Q38" s="41"/>
      <c r="R38" s="1783" t="s">
        <v>145</v>
      </c>
    </row>
    <row r="39" spans="1:18" x14ac:dyDescent="0.25">
      <c r="A39" s="88" t="s">
        <v>59</v>
      </c>
      <c r="B39" s="1774"/>
      <c r="C39" s="1774"/>
      <c r="D39" s="1774"/>
      <c r="E39" s="1774"/>
      <c r="F39" s="91">
        <v>880</v>
      </c>
      <c r="G39" s="91" t="s">
        <v>63</v>
      </c>
      <c r="H39" s="41" t="s">
        <v>146</v>
      </c>
      <c r="I39" s="1777"/>
      <c r="J39" s="42" t="s">
        <v>66</v>
      </c>
      <c r="K39" s="63"/>
      <c r="L39" s="53"/>
      <c r="M39" s="41"/>
      <c r="N39" s="41"/>
      <c r="O39" s="41"/>
      <c r="P39" s="1783"/>
      <c r="Q39" s="41"/>
      <c r="R39" s="1783"/>
    </row>
    <row r="40" spans="1:18" x14ac:dyDescent="0.25">
      <c r="A40" s="88" t="s">
        <v>59</v>
      </c>
      <c r="B40" s="1774"/>
      <c r="C40" s="1774"/>
      <c r="D40" s="1774"/>
      <c r="E40" s="1774"/>
      <c r="F40" s="91">
        <v>400</v>
      </c>
      <c r="G40" s="42" t="s">
        <v>63</v>
      </c>
      <c r="H40" s="44" t="s">
        <v>147</v>
      </c>
      <c r="I40" s="1777"/>
      <c r="J40" s="42" t="s">
        <v>66</v>
      </c>
      <c r="K40" s="63"/>
      <c r="L40" s="53"/>
      <c r="M40" s="41"/>
      <c r="N40" s="41"/>
      <c r="O40" s="41"/>
      <c r="P40" s="1783"/>
      <c r="Q40" s="41"/>
      <c r="R40" s="1783"/>
    </row>
    <row r="41" spans="1:18" s="35" customFormat="1" ht="30" x14ac:dyDescent="0.25">
      <c r="A41" s="88" t="s">
        <v>59</v>
      </c>
      <c r="B41" s="91" t="s">
        <v>148</v>
      </c>
      <c r="C41" s="91">
        <v>340479</v>
      </c>
      <c r="D41" s="91" t="s">
        <v>149</v>
      </c>
      <c r="E41" s="91" t="s">
        <v>62</v>
      </c>
      <c r="F41" s="91">
        <v>1</v>
      </c>
      <c r="G41" s="91" t="s">
        <v>78</v>
      </c>
      <c r="H41" s="49" t="s">
        <v>150</v>
      </c>
      <c r="I41" s="92" t="s">
        <v>151</v>
      </c>
      <c r="J41" s="91" t="s">
        <v>66</v>
      </c>
      <c r="K41" s="52">
        <v>44146</v>
      </c>
      <c r="L41" s="52">
        <v>44147</v>
      </c>
      <c r="M41" s="52">
        <v>44152</v>
      </c>
      <c r="N41" s="48" t="s">
        <v>152</v>
      </c>
      <c r="O41" s="91" t="s">
        <v>153</v>
      </c>
      <c r="P41" s="49"/>
      <c r="Q41" s="49"/>
      <c r="R41" s="49"/>
    </row>
    <row r="42" spans="1:18" ht="15" customHeight="1" x14ac:dyDescent="0.25">
      <c r="A42" s="88" t="s">
        <v>67</v>
      </c>
      <c r="B42" s="1774" t="s">
        <v>154</v>
      </c>
      <c r="C42" s="1774">
        <v>102125</v>
      </c>
      <c r="D42" s="1774" t="s">
        <v>155</v>
      </c>
      <c r="E42" s="1774" t="s">
        <v>77</v>
      </c>
      <c r="F42" s="91">
        <v>2</v>
      </c>
      <c r="G42" s="91" t="s">
        <v>78</v>
      </c>
      <c r="H42" s="44" t="s">
        <v>156</v>
      </c>
      <c r="I42" s="1777" t="s">
        <v>157</v>
      </c>
      <c r="J42" s="1774" t="s">
        <v>66</v>
      </c>
      <c r="K42" s="63">
        <v>44176</v>
      </c>
      <c r="L42" s="53"/>
      <c r="M42" s="41"/>
      <c r="N42" s="41"/>
      <c r="O42" s="41"/>
      <c r="P42" s="41"/>
      <c r="Q42" s="41"/>
      <c r="R42" s="41"/>
    </row>
    <row r="43" spans="1:18" ht="45" x14ac:dyDescent="0.25">
      <c r="A43" s="88" t="s">
        <v>67</v>
      </c>
      <c r="B43" s="1774"/>
      <c r="C43" s="1774"/>
      <c r="D43" s="1774"/>
      <c r="E43" s="1774"/>
      <c r="F43" s="91">
        <v>1</v>
      </c>
      <c r="G43" s="91" t="s">
        <v>78</v>
      </c>
      <c r="H43" s="92" t="s">
        <v>158</v>
      </c>
      <c r="I43" s="1777"/>
      <c r="J43" s="1774"/>
      <c r="K43" s="63">
        <v>44176</v>
      </c>
      <c r="L43" s="53"/>
      <c r="M43" s="41"/>
      <c r="N43" s="41"/>
      <c r="O43" s="41"/>
      <c r="P43" s="41"/>
      <c r="Q43" s="41"/>
      <c r="R43" s="41"/>
    </row>
    <row r="44" spans="1:18" x14ac:dyDescent="0.25">
      <c r="A44" s="88" t="s">
        <v>59</v>
      </c>
      <c r="B44" s="91" t="s">
        <v>159</v>
      </c>
      <c r="C44" s="91">
        <v>135708</v>
      </c>
      <c r="D44" s="91" t="s">
        <v>160</v>
      </c>
      <c r="E44" s="91" t="s">
        <v>161</v>
      </c>
      <c r="F44" s="91">
        <v>2640</v>
      </c>
      <c r="G44" s="91" t="s">
        <v>63</v>
      </c>
      <c r="H44" s="79" t="s">
        <v>109</v>
      </c>
      <c r="I44" s="54" t="s">
        <v>123</v>
      </c>
      <c r="J44" s="42" t="s">
        <v>66</v>
      </c>
      <c r="K44" s="63">
        <v>44208</v>
      </c>
      <c r="L44" s="53">
        <v>44222</v>
      </c>
      <c r="M44" s="41"/>
      <c r="N44" s="41"/>
      <c r="O44" s="41" t="s">
        <v>162</v>
      </c>
      <c r="P44" s="41"/>
      <c r="Q44" s="41"/>
      <c r="R44" s="41"/>
    </row>
    <row r="45" spans="1:18" x14ac:dyDescent="0.25">
      <c r="A45" s="88" t="s">
        <v>59</v>
      </c>
      <c r="B45" s="91" t="s">
        <v>163</v>
      </c>
      <c r="C45" s="91">
        <v>120533</v>
      </c>
      <c r="D45" s="91" t="s">
        <v>164</v>
      </c>
      <c r="E45" s="91" t="s">
        <v>165</v>
      </c>
      <c r="F45" s="91">
        <v>400</v>
      </c>
      <c r="G45" s="91" t="s">
        <v>63</v>
      </c>
      <c r="H45" s="44" t="s">
        <v>166</v>
      </c>
      <c r="I45" s="54" t="s">
        <v>157</v>
      </c>
      <c r="J45" s="42" t="s">
        <v>66</v>
      </c>
      <c r="K45" s="63">
        <v>44208</v>
      </c>
      <c r="L45" s="53">
        <v>44211</v>
      </c>
      <c r="M45" s="41"/>
      <c r="N45" s="41" t="s">
        <v>167</v>
      </c>
      <c r="O45" s="41" t="s">
        <v>168</v>
      </c>
      <c r="P45" s="53">
        <v>44323</v>
      </c>
      <c r="Q45" s="41"/>
      <c r="R45" s="41"/>
    </row>
    <row r="46" spans="1:18" x14ac:dyDescent="0.25">
      <c r="A46" s="88" t="s">
        <v>59</v>
      </c>
      <c r="B46" s="91" t="s">
        <v>163</v>
      </c>
      <c r="C46" s="91">
        <v>120533</v>
      </c>
      <c r="D46" s="91" t="s">
        <v>164</v>
      </c>
      <c r="E46" s="91" t="s">
        <v>165</v>
      </c>
      <c r="F46" s="91">
        <v>2</v>
      </c>
      <c r="G46" s="91" t="s">
        <v>78</v>
      </c>
      <c r="H46" s="44" t="s">
        <v>169</v>
      </c>
      <c r="I46" s="54" t="s">
        <v>157</v>
      </c>
      <c r="J46" s="42" t="s">
        <v>66</v>
      </c>
      <c r="K46" s="63">
        <v>44208</v>
      </c>
      <c r="L46" s="53">
        <v>44217</v>
      </c>
      <c r="M46" s="41"/>
      <c r="N46" s="41" t="s">
        <v>167</v>
      </c>
      <c r="O46" s="41" t="s">
        <v>168</v>
      </c>
      <c r="P46" s="53">
        <v>44323</v>
      </c>
      <c r="Q46" s="41"/>
      <c r="R46" s="41"/>
    </row>
    <row r="47" spans="1:18" x14ac:dyDescent="0.25">
      <c r="A47" s="88" t="s">
        <v>67</v>
      </c>
      <c r="B47" s="91" t="s">
        <v>170</v>
      </c>
      <c r="C47" s="91">
        <v>129299</v>
      </c>
      <c r="D47" s="91" t="s">
        <v>171</v>
      </c>
      <c r="E47" s="91" t="s">
        <v>165</v>
      </c>
      <c r="F47" s="91">
        <v>80</v>
      </c>
      <c r="G47" s="91" t="s">
        <v>63</v>
      </c>
      <c r="H47" s="44" t="s">
        <v>64</v>
      </c>
      <c r="I47" s="54" t="s">
        <v>157</v>
      </c>
      <c r="J47" s="42" t="s">
        <v>66</v>
      </c>
      <c r="K47" s="52">
        <v>44252</v>
      </c>
      <c r="L47" s="53">
        <v>44383</v>
      </c>
      <c r="M47" s="41"/>
      <c r="N47" s="41" t="s">
        <v>167</v>
      </c>
      <c r="O47" s="41" t="s">
        <v>172</v>
      </c>
      <c r="P47" s="41"/>
      <c r="Q47" s="41"/>
      <c r="R47" s="41"/>
    </row>
    <row r="48" spans="1:18" x14ac:dyDescent="0.25">
      <c r="A48" s="88" t="s">
        <v>67</v>
      </c>
      <c r="B48" s="91" t="s">
        <v>170</v>
      </c>
      <c r="C48" s="91">
        <v>129299</v>
      </c>
      <c r="D48" s="91" t="s">
        <v>171</v>
      </c>
      <c r="E48" s="91" t="s">
        <v>165</v>
      </c>
      <c r="F48" s="91">
        <v>2</v>
      </c>
      <c r="G48" s="91" t="s">
        <v>78</v>
      </c>
      <c r="H48" s="44" t="s">
        <v>173</v>
      </c>
      <c r="I48" s="54" t="s">
        <v>157</v>
      </c>
      <c r="J48" s="42" t="s">
        <v>66</v>
      </c>
      <c r="K48" s="52">
        <v>44252</v>
      </c>
      <c r="L48" s="53">
        <v>44383</v>
      </c>
      <c r="M48" s="41"/>
      <c r="N48" s="41" t="s">
        <v>167</v>
      </c>
      <c r="O48" s="41" t="s">
        <v>172</v>
      </c>
      <c r="P48" s="41"/>
      <c r="Q48" s="41"/>
      <c r="R48" s="41"/>
    </row>
    <row r="49" spans="1:18" x14ac:dyDescent="0.25">
      <c r="A49" s="88" t="s">
        <v>67</v>
      </c>
      <c r="B49" s="91" t="s">
        <v>170</v>
      </c>
      <c r="C49" s="91">
        <v>129299</v>
      </c>
      <c r="D49" s="91" t="s">
        <v>171</v>
      </c>
      <c r="E49" s="91" t="s">
        <v>165</v>
      </c>
      <c r="F49" s="91">
        <v>2</v>
      </c>
      <c r="G49" s="91" t="s">
        <v>78</v>
      </c>
      <c r="H49" s="44" t="s">
        <v>174</v>
      </c>
      <c r="I49" s="54" t="s">
        <v>157</v>
      </c>
      <c r="J49" s="42" t="s">
        <v>66</v>
      </c>
      <c r="K49" s="52">
        <v>44252</v>
      </c>
      <c r="L49" s="53">
        <v>44383</v>
      </c>
      <c r="M49" s="41"/>
      <c r="N49" s="41" t="s">
        <v>167</v>
      </c>
      <c r="O49" s="41" t="s">
        <v>172</v>
      </c>
      <c r="P49" s="41"/>
      <c r="Q49" s="41"/>
      <c r="R49" s="41"/>
    </row>
    <row r="50" spans="1:18" x14ac:dyDescent="0.25">
      <c r="A50" s="88" t="s">
        <v>59</v>
      </c>
      <c r="B50" s="90" t="s">
        <v>175</v>
      </c>
      <c r="C50" s="90">
        <v>120557</v>
      </c>
      <c r="D50" s="90" t="s">
        <v>176</v>
      </c>
      <c r="E50" s="90" t="s">
        <v>161</v>
      </c>
      <c r="F50" s="91">
        <v>1880</v>
      </c>
      <c r="G50" s="91" t="s">
        <v>63</v>
      </c>
      <c r="H50" s="79" t="s">
        <v>109</v>
      </c>
      <c r="I50" s="54" t="s">
        <v>157</v>
      </c>
      <c r="J50" s="42" t="s">
        <v>66</v>
      </c>
      <c r="K50" s="52">
        <v>44252</v>
      </c>
      <c r="L50" s="53">
        <v>44258</v>
      </c>
      <c r="M50" s="41"/>
      <c r="N50" s="41" t="s">
        <v>167</v>
      </c>
      <c r="O50" s="41" t="s">
        <v>162</v>
      </c>
      <c r="P50" s="41"/>
      <c r="Q50" s="41"/>
      <c r="R50" s="41"/>
    </row>
    <row r="51" spans="1:18" x14ac:dyDescent="0.25">
      <c r="A51" s="88" t="s">
        <v>59</v>
      </c>
      <c r="B51" s="55" t="s">
        <v>177</v>
      </c>
      <c r="C51" s="55">
        <v>135709</v>
      </c>
      <c r="D51" s="55" t="s">
        <v>178</v>
      </c>
      <c r="E51" s="55" t="s">
        <v>161</v>
      </c>
      <c r="F51" s="56">
        <v>3920</v>
      </c>
      <c r="G51" s="91" t="s">
        <v>63</v>
      </c>
      <c r="H51" s="79" t="s">
        <v>113</v>
      </c>
      <c r="I51" s="54" t="s">
        <v>157</v>
      </c>
      <c r="J51" s="42" t="s">
        <v>66</v>
      </c>
      <c r="K51" s="52">
        <v>44252</v>
      </c>
      <c r="L51" s="53">
        <v>44258</v>
      </c>
      <c r="M51" s="41"/>
      <c r="N51" s="41" t="s">
        <v>167</v>
      </c>
      <c r="O51" s="83" t="s">
        <v>179</v>
      </c>
      <c r="P51" s="41"/>
      <c r="Q51" s="41"/>
      <c r="R51" s="41"/>
    </row>
    <row r="52" spans="1:18" x14ac:dyDescent="0.25">
      <c r="A52" s="88" t="s">
        <v>67</v>
      </c>
      <c r="B52" s="57" t="s">
        <v>177</v>
      </c>
      <c r="C52" s="57">
        <v>135709</v>
      </c>
      <c r="D52" s="57" t="s">
        <v>178</v>
      </c>
      <c r="E52" s="57" t="s">
        <v>161</v>
      </c>
      <c r="F52" s="58">
        <v>2</v>
      </c>
      <c r="G52" s="90" t="s">
        <v>78</v>
      </c>
      <c r="H52" s="59" t="s">
        <v>180</v>
      </c>
      <c r="I52" s="54" t="s">
        <v>157</v>
      </c>
      <c r="J52" s="60" t="s">
        <v>66</v>
      </c>
      <c r="K52" s="52">
        <v>44252</v>
      </c>
      <c r="L52" s="67">
        <v>44383</v>
      </c>
      <c r="M52" s="61"/>
      <c r="N52" s="41" t="s">
        <v>167</v>
      </c>
      <c r="O52" s="61" t="s">
        <v>181</v>
      </c>
      <c r="P52" s="61"/>
      <c r="Q52" s="61"/>
      <c r="R52" s="61"/>
    </row>
    <row r="53" spans="1:18" x14ac:dyDescent="0.25">
      <c r="A53" s="88" t="s">
        <v>67</v>
      </c>
      <c r="B53" s="57" t="s">
        <v>182</v>
      </c>
      <c r="C53" s="57">
        <v>109166</v>
      </c>
      <c r="D53" s="57" t="s">
        <v>183</v>
      </c>
      <c r="E53" s="57" t="s">
        <v>77</v>
      </c>
      <c r="F53" s="58">
        <v>2</v>
      </c>
      <c r="G53" s="90" t="s">
        <v>78</v>
      </c>
      <c r="H53" s="59" t="s">
        <v>184</v>
      </c>
      <c r="I53" s="93" t="s">
        <v>157</v>
      </c>
      <c r="J53" s="60" t="s">
        <v>66</v>
      </c>
      <c r="K53" s="64">
        <v>44251</v>
      </c>
      <c r="L53" s="67"/>
      <c r="M53" s="61"/>
      <c r="N53" s="61"/>
      <c r="O53" s="61"/>
      <c r="P53" s="61"/>
      <c r="Q53" s="61"/>
      <c r="R53" s="61"/>
    </row>
    <row r="54" spans="1:18" ht="45" x14ac:dyDescent="0.25">
      <c r="A54" s="88" t="s">
        <v>67</v>
      </c>
      <c r="B54" s="91" t="s">
        <v>182</v>
      </c>
      <c r="C54" s="91">
        <v>109166</v>
      </c>
      <c r="D54" s="91" t="s">
        <v>183</v>
      </c>
      <c r="E54" s="91" t="s">
        <v>185</v>
      </c>
      <c r="F54" s="91">
        <v>1</v>
      </c>
      <c r="G54" s="91" t="s">
        <v>78</v>
      </c>
      <c r="H54" s="44" t="s">
        <v>186</v>
      </c>
      <c r="I54" s="43" t="s">
        <v>157</v>
      </c>
      <c r="J54" s="91" t="s">
        <v>66</v>
      </c>
      <c r="K54" s="52">
        <v>44251</v>
      </c>
      <c r="L54" s="53"/>
      <c r="M54" s="41"/>
      <c r="N54" s="41"/>
      <c r="O54" s="41"/>
      <c r="P54" s="41"/>
      <c r="Q54" s="41"/>
      <c r="R54" s="41"/>
    </row>
    <row r="55" spans="1:18" x14ac:dyDescent="0.25">
      <c r="A55" s="88" t="s">
        <v>67</v>
      </c>
      <c r="B55" s="1767" t="s">
        <v>187</v>
      </c>
      <c r="C55" s="1767">
        <v>135683</v>
      </c>
      <c r="D55" s="1767" t="s">
        <v>178</v>
      </c>
      <c r="E55" s="91" t="s">
        <v>185</v>
      </c>
      <c r="F55" s="91">
        <v>1840</v>
      </c>
      <c r="G55" s="91" t="s">
        <v>63</v>
      </c>
      <c r="H55" s="44" t="s">
        <v>188</v>
      </c>
      <c r="I55" s="43" t="s">
        <v>157</v>
      </c>
      <c r="J55" s="91" t="s">
        <v>66</v>
      </c>
      <c r="K55" s="52">
        <v>44264</v>
      </c>
      <c r="L55" s="53"/>
      <c r="M55" s="41" t="s">
        <v>189</v>
      </c>
      <c r="N55" s="41" t="s">
        <v>167</v>
      </c>
      <c r="O55" s="41" t="s">
        <v>190</v>
      </c>
      <c r="P55" s="41"/>
      <c r="Q55" s="42" t="s">
        <v>116</v>
      </c>
      <c r="R55" s="42"/>
    </row>
    <row r="56" spans="1:18" ht="30" x14ac:dyDescent="0.25">
      <c r="A56" s="88" t="s">
        <v>67</v>
      </c>
      <c r="B56" s="1767"/>
      <c r="C56" s="1767"/>
      <c r="D56" s="1767"/>
      <c r="E56" s="91" t="s">
        <v>185</v>
      </c>
      <c r="F56" s="91">
        <v>7</v>
      </c>
      <c r="G56" s="91" t="s">
        <v>78</v>
      </c>
      <c r="H56" s="44" t="s">
        <v>191</v>
      </c>
      <c r="I56" s="43" t="s">
        <v>157</v>
      </c>
      <c r="J56" s="91" t="s">
        <v>66</v>
      </c>
      <c r="K56" s="52"/>
      <c r="L56" s="53"/>
      <c r="M56" s="41" t="s">
        <v>189</v>
      </c>
      <c r="N56" s="41" t="s">
        <v>167</v>
      </c>
      <c r="O56" s="41" t="s">
        <v>190</v>
      </c>
      <c r="P56" s="41"/>
      <c r="Q56" s="41"/>
      <c r="R56" s="41"/>
    </row>
    <row r="57" spans="1:18" x14ac:dyDescent="0.25">
      <c r="A57" s="88" t="s">
        <v>67</v>
      </c>
      <c r="B57" s="1767"/>
      <c r="C57" s="1767"/>
      <c r="D57" s="1767"/>
      <c r="E57" s="91" t="s">
        <v>185</v>
      </c>
      <c r="F57" s="91">
        <v>1</v>
      </c>
      <c r="G57" s="91" t="s">
        <v>78</v>
      </c>
      <c r="H57" s="44" t="s">
        <v>192</v>
      </c>
      <c r="I57" s="43" t="s">
        <v>157</v>
      </c>
      <c r="J57" s="91" t="s">
        <v>66</v>
      </c>
      <c r="K57" s="52"/>
      <c r="L57" s="53"/>
      <c r="M57" s="41" t="s">
        <v>189</v>
      </c>
      <c r="N57" s="41" t="s">
        <v>167</v>
      </c>
      <c r="O57" s="41" t="s">
        <v>190</v>
      </c>
      <c r="P57" s="41"/>
      <c r="Q57" s="41"/>
      <c r="R57" s="41"/>
    </row>
    <row r="58" spans="1:18" x14ac:dyDescent="0.25">
      <c r="A58" s="88" t="s">
        <v>67</v>
      </c>
      <c r="B58" s="1767"/>
      <c r="C58" s="1767"/>
      <c r="D58" s="1767"/>
      <c r="E58" s="91" t="s">
        <v>185</v>
      </c>
      <c r="F58" s="91">
        <v>2</v>
      </c>
      <c r="G58" s="91" t="s">
        <v>78</v>
      </c>
      <c r="H58" s="44" t="s">
        <v>193</v>
      </c>
      <c r="I58" s="43" t="s">
        <v>157</v>
      </c>
      <c r="J58" s="91" t="s">
        <v>66</v>
      </c>
      <c r="K58" s="52"/>
      <c r="L58" s="53"/>
      <c r="M58" s="41" t="s">
        <v>189</v>
      </c>
      <c r="N58" s="41" t="s">
        <v>167</v>
      </c>
      <c r="O58" s="41" t="s">
        <v>190</v>
      </c>
      <c r="P58" s="41"/>
      <c r="Q58" s="41"/>
      <c r="R58" s="41"/>
    </row>
    <row r="59" spans="1:18" x14ac:dyDescent="0.25">
      <c r="A59" s="88" t="s">
        <v>67</v>
      </c>
      <c r="B59" s="1767"/>
      <c r="C59" s="1767"/>
      <c r="D59" s="1767"/>
      <c r="E59" s="91" t="s">
        <v>185</v>
      </c>
      <c r="F59" s="91">
        <v>2</v>
      </c>
      <c r="G59" s="91" t="s">
        <v>78</v>
      </c>
      <c r="H59" s="44" t="s">
        <v>194</v>
      </c>
      <c r="I59" s="43" t="s">
        <v>157</v>
      </c>
      <c r="J59" s="91" t="s">
        <v>66</v>
      </c>
      <c r="K59" s="52"/>
      <c r="L59" s="53"/>
      <c r="M59" s="41" t="s">
        <v>189</v>
      </c>
      <c r="N59" s="41" t="s">
        <v>167</v>
      </c>
      <c r="O59" s="41" t="s">
        <v>190</v>
      </c>
      <c r="P59" s="41"/>
      <c r="Q59" s="41"/>
      <c r="R59" s="41"/>
    </row>
    <row r="60" spans="1:18" x14ac:dyDescent="0.25">
      <c r="A60" s="1767" t="s">
        <v>67</v>
      </c>
      <c r="B60" s="1774" t="s">
        <v>195</v>
      </c>
      <c r="C60" s="1774">
        <v>135711</v>
      </c>
      <c r="D60" s="1774" t="s">
        <v>178</v>
      </c>
      <c r="E60" s="1774" t="s">
        <v>196</v>
      </c>
      <c r="F60" s="91">
        <v>180</v>
      </c>
      <c r="G60" s="91" t="s">
        <v>63</v>
      </c>
      <c r="H60" s="44" t="s">
        <v>197</v>
      </c>
      <c r="I60" s="43" t="s">
        <v>157</v>
      </c>
      <c r="J60" s="91"/>
      <c r="K60" s="52"/>
      <c r="L60" s="53"/>
      <c r="M60" s="41"/>
      <c r="N60" s="41"/>
      <c r="O60" s="41"/>
      <c r="P60" s="41"/>
      <c r="Q60" s="41"/>
      <c r="R60" s="41"/>
    </row>
    <row r="61" spans="1:18" x14ac:dyDescent="0.25">
      <c r="A61" s="1767"/>
      <c r="B61" s="1774"/>
      <c r="C61" s="1774"/>
      <c r="D61" s="1774"/>
      <c r="E61" s="1774"/>
      <c r="F61" s="91">
        <v>220</v>
      </c>
      <c r="G61" s="91" t="s">
        <v>63</v>
      </c>
      <c r="H61" s="44" t="s">
        <v>198</v>
      </c>
      <c r="I61" s="43" t="s">
        <v>157</v>
      </c>
      <c r="J61" s="91"/>
      <c r="K61" s="52"/>
      <c r="L61" s="53"/>
      <c r="M61" s="41"/>
      <c r="N61" s="41"/>
      <c r="O61" s="41"/>
      <c r="P61" s="41"/>
      <c r="Q61" s="41"/>
      <c r="R61" s="41"/>
    </row>
    <row r="62" spans="1:18" x14ac:dyDescent="0.25">
      <c r="A62" s="1767"/>
      <c r="B62" s="1774"/>
      <c r="C62" s="1774"/>
      <c r="D62" s="1774"/>
      <c r="E62" s="1774"/>
      <c r="F62" s="91">
        <v>20</v>
      </c>
      <c r="G62" s="91" t="s">
        <v>63</v>
      </c>
      <c r="H62" s="44" t="s">
        <v>199</v>
      </c>
      <c r="I62" s="43" t="s">
        <v>157</v>
      </c>
      <c r="J62" s="91"/>
      <c r="K62" s="52"/>
      <c r="L62" s="53"/>
      <c r="M62" s="41"/>
      <c r="N62" s="41"/>
      <c r="O62" s="41"/>
      <c r="P62" s="41"/>
      <c r="Q62" s="41"/>
      <c r="R62" s="41"/>
    </row>
    <row r="63" spans="1:18" x14ac:dyDescent="0.25">
      <c r="A63" s="1767"/>
      <c r="B63" s="1774"/>
      <c r="C63" s="1774"/>
      <c r="D63" s="1774"/>
      <c r="E63" s="1774"/>
      <c r="F63" s="91">
        <v>2</v>
      </c>
      <c r="G63" s="91" t="s">
        <v>78</v>
      </c>
      <c r="H63" s="44" t="s">
        <v>200</v>
      </c>
      <c r="I63" s="43" t="s">
        <v>157</v>
      </c>
      <c r="J63" s="91"/>
      <c r="K63" s="52"/>
      <c r="L63" s="53"/>
      <c r="M63" s="41"/>
      <c r="N63" s="41"/>
      <c r="O63" s="41"/>
      <c r="P63" s="41"/>
      <c r="Q63" s="41"/>
      <c r="R63" s="41"/>
    </row>
    <row r="64" spans="1:18" x14ac:dyDescent="0.25">
      <c r="A64" s="1767" t="s">
        <v>67</v>
      </c>
      <c r="B64" s="1774" t="s">
        <v>201</v>
      </c>
      <c r="C64" s="1774">
        <v>120531</v>
      </c>
      <c r="D64" s="1774" t="s">
        <v>202</v>
      </c>
      <c r="E64" s="1774" t="s">
        <v>196</v>
      </c>
      <c r="F64" s="91">
        <v>760</v>
      </c>
      <c r="G64" s="91" t="s">
        <v>63</v>
      </c>
      <c r="H64" s="44" t="s">
        <v>113</v>
      </c>
      <c r="I64" s="43" t="s">
        <v>157</v>
      </c>
      <c r="J64" s="91" t="s">
        <v>66</v>
      </c>
      <c r="K64" s="52">
        <v>44251</v>
      </c>
      <c r="L64" s="53">
        <v>44257</v>
      </c>
      <c r="M64" s="41"/>
      <c r="N64" s="41" t="s">
        <v>167</v>
      </c>
      <c r="O64" s="41"/>
      <c r="P64" s="41"/>
      <c r="Q64" s="41"/>
      <c r="R64" s="41"/>
    </row>
    <row r="65" spans="1:18" x14ac:dyDescent="0.25">
      <c r="A65" s="1767"/>
      <c r="B65" s="1774"/>
      <c r="C65" s="1774"/>
      <c r="D65" s="1774"/>
      <c r="E65" s="1774"/>
      <c r="F65" s="91">
        <v>1</v>
      </c>
      <c r="G65" s="91" t="s">
        <v>78</v>
      </c>
      <c r="H65" s="44" t="s">
        <v>114</v>
      </c>
      <c r="I65" s="43" t="s">
        <v>157</v>
      </c>
      <c r="J65" s="91" t="s">
        <v>115</v>
      </c>
      <c r="K65" s="52" t="s">
        <v>115</v>
      </c>
      <c r="L65" s="52" t="s">
        <v>115</v>
      </c>
      <c r="M65" s="41"/>
      <c r="N65" s="41" t="s">
        <v>203</v>
      </c>
      <c r="O65" s="41"/>
      <c r="P65" s="41"/>
      <c r="Q65" s="41"/>
      <c r="R65" s="41"/>
    </row>
    <row r="66" spans="1:18" x14ac:dyDescent="0.25">
      <c r="A66" s="88" t="s">
        <v>67</v>
      </c>
      <c r="B66" s="91" t="s">
        <v>204</v>
      </c>
      <c r="C66" s="91">
        <v>140830</v>
      </c>
      <c r="D66" s="91" t="s">
        <v>205</v>
      </c>
      <c r="E66" s="91" t="s">
        <v>196</v>
      </c>
      <c r="F66" s="91">
        <v>1440</v>
      </c>
      <c r="G66" s="91" t="s">
        <v>63</v>
      </c>
      <c r="H66" s="44" t="s">
        <v>109</v>
      </c>
      <c r="I66" s="43" t="s">
        <v>157</v>
      </c>
      <c r="J66" s="91"/>
      <c r="K66" s="52"/>
      <c r="L66" s="52"/>
      <c r="M66" s="41"/>
      <c r="N66" s="41"/>
      <c r="O66" s="41"/>
      <c r="P66" s="41"/>
      <c r="Q66" s="41"/>
      <c r="R66" s="41"/>
    </row>
    <row r="67" spans="1:18" x14ac:dyDescent="0.25">
      <c r="A67" s="88" t="s">
        <v>67</v>
      </c>
      <c r="B67" s="91" t="s">
        <v>206</v>
      </c>
      <c r="C67" s="91">
        <v>140861</v>
      </c>
      <c r="D67" s="91" t="s">
        <v>207</v>
      </c>
      <c r="E67" s="91" t="s">
        <v>165</v>
      </c>
      <c r="F67" s="91">
        <v>2</v>
      </c>
      <c r="G67" s="91" t="s">
        <v>78</v>
      </c>
      <c r="H67" s="44" t="s">
        <v>208</v>
      </c>
      <c r="I67" s="43" t="s">
        <v>157</v>
      </c>
      <c r="J67" s="91" t="s">
        <v>66</v>
      </c>
      <c r="K67" s="52">
        <v>44326</v>
      </c>
      <c r="L67" s="52"/>
      <c r="M67" s="41"/>
      <c r="N67" s="41" t="s">
        <v>209</v>
      </c>
      <c r="O67" s="41"/>
      <c r="P67" s="41"/>
      <c r="Q67" s="41"/>
      <c r="R67" s="41"/>
    </row>
    <row r="68" spans="1:18" x14ac:dyDescent="0.25">
      <c r="A68" s="88" t="s">
        <v>59</v>
      </c>
      <c r="B68" s="91" t="s">
        <v>210</v>
      </c>
      <c r="C68" s="91">
        <v>1510580</v>
      </c>
      <c r="D68" s="91" t="s">
        <v>211</v>
      </c>
      <c r="E68" s="91" t="s">
        <v>165</v>
      </c>
      <c r="F68" s="91">
        <v>360</v>
      </c>
      <c r="G68" s="91" t="s">
        <v>63</v>
      </c>
      <c r="H68" s="44" t="s">
        <v>109</v>
      </c>
      <c r="I68" s="43" t="s">
        <v>157</v>
      </c>
      <c r="J68" s="95" t="s">
        <v>212</v>
      </c>
      <c r="K68" s="168"/>
      <c r="L68" s="176"/>
      <c r="M68" s="96"/>
      <c r="N68" s="96"/>
      <c r="O68" s="96"/>
      <c r="P68" s="96"/>
      <c r="Q68" s="96"/>
      <c r="R68" s="96"/>
    </row>
    <row r="69" spans="1:18" x14ac:dyDescent="0.25">
      <c r="A69" s="88" t="s">
        <v>59</v>
      </c>
      <c r="B69" s="91" t="s">
        <v>213</v>
      </c>
      <c r="C69" s="91">
        <v>140862</v>
      </c>
      <c r="D69" s="91" t="s">
        <v>214</v>
      </c>
      <c r="E69" s="91" t="s">
        <v>165</v>
      </c>
      <c r="F69" s="91">
        <v>2880</v>
      </c>
      <c r="G69" s="91" t="s">
        <v>63</v>
      </c>
      <c r="H69" s="44" t="s">
        <v>109</v>
      </c>
      <c r="I69" s="43" t="s">
        <v>157</v>
      </c>
      <c r="J69" s="95" t="s">
        <v>212</v>
      </c>
      <c r="K69" s="168"/>
      <c r="L69" s="176"/>
      <c r="M69" s="96"/>
      <c r="N69" s="166"/>
      <c r="O69" s="166"/>
      <c r="P69" s="96"/>
      <c r="Q69" s="96"/>
      <c r="R69" s="96"/>
    </row>
    <row r="70" spans="1:18" x14ac:dyDescent="0.25">
      <c r="A70" s="162" t="s">
        <v>67</v>
      </c>
      <c r="B70" s="90" t="s">
        <v>215</v>
      </c>
      <c r="C70" s="90">
        <v>1210586</v>
      </c>
      <c r="D70" s="90" t="s">
        <v>111</v>
      </c>
      <c r="E70" s="90" t="s">
        <v>161</v>
      </c>
      <c r="F70" s="90">
        <v>1</v>
      </c>
      <c r="G70" s="90" t="s">
        <v>78</v>
      </c>
      <c r="H70" s="59" t="s">
        <v>216</v>
      </c>
      <c r="I70" s="93" t="s">
        <v>157</v>
      </c>
      <c r="J70" s="90"/>
      <c r="K70" s="64"/>
      <c r="L70" s="64"/>
      <c r="M70" s="163"/>
      <c r="N70" s="96"/>
      <c r="O70" s="96"/>
      <c r="P70" s="165"/>
      <c r="Q70" s="61"/>
      <c r="R70" s="61"/>
    </row>
    <row r="71" spans="1:18" ht="30" x14ac:dyDescent="0.25">
      <c r="A71" s="55" t="s">
        <v>59</v>
      </c>
      <c r="B71" s="55" t="s">
        <v>217</v>
      </c>
      <c r="C71" s="55">
        <v>1410799</v>
      </c>
      <c r="D71" s="55" t="s">
        <v>218</v>
      </c>
      <c r="E71" s="55" t="s">
        <v>219</v>
      </c>
      <c r="F71" s="55">
        <v>4</v>
      </c>
      <c r="G71" s="95" t="s">
        <v>78</v>
      </c>
      <c r="H71" s="167" t="s">
        <v>220</v>
      </c>
      <c r="I71" s="96" t="s">
        <v>221</v>
      </c>
      <c r="J71" s="95" t="s">
        <v>66</v>
      </c>
      <c r="K71" s="168">
        <v>44697</v>
      </c>
      <c r="L71" s="176">
        <v>44700</v>
      </c>
      <c r="M71" s="164"/>
      <c r="N71" s="96" t="s">
        <v>167</v>
      </c>
      <c r="O71" s="96" t="s">
        <v>222</v>
      </c>
      <c r="P71" s="161"/>
      <c r="Q71" s="96"/>
      <c r="R71" s="171" t="s">
        <v>223</v>
      </c>
    </row>
    <row r="72" spans="1:18" ht="60" x14ac:dyDescent="0.25">
      <c r="A72" s="1781" t="s">
        <v>67</v>
      </c>
      <c r="B72" s="1767" t="s">
        <v>224</v>
      </c>
      <c r="C72" s="1767">
        <v>102083</v>
      </c>
      <c r="D72" s="1767" t="s">
        <v>225</v>
      </c>
      <c r="E72" s="1767" t="s">
        <v>130</v>
      </c>
      <c r="F72" s="55">
        <v>1</v>
      </c>
      <c r="G72" s="55" t="s">
        <v>78</v>
      </c>
      <c r="H72" s="167" t="s">
        <v>226</v>
      </c>
      <c r="I72" s="1779" t="s">
        <v>221</v>
      </c>
      <c r="J72" s="55" t="s">
        <v>66</v>
      </c>
      <c r="K72" s="169">
        <v>44697</v>
      </c>
      <c r="L72" s="179"/>
      <c r="M72" s="170"/>
      <c r="N72" s="170" t="s">
        <v>227</v>
      </c>
      <c r="O72" s="170" t="s">
        <v>228</v>
      </c>
      <c r="P72" s="170"/>
      <c r="Q72" s="170"/>
      <c r="R72" s="170"/>
    </row>
    <row r="73" spans="1:18" ht="60" x14ac:dyDescent="0.25">
      <c r="A73" s="1781"/>
      <c r="B73" s="1767"/>
      <c r="C73" s="1767"/>
      <c r="D73" s="1767"/>
      <c r="E73" s="1767"/>
      <c r="F73" s="55">
        <v>1</v>
      </c>
      <c r="G73" s="55" t="s">
        <v>78</v>
      </c>
      <c r="H73" s="167" t="s">
        <v>229</v>
      </c>
      <c r="I73" s="1779"/>
      <c r="J73" s="55" t="s">
        <v>66</v>
      </c>
      <c r="K73" s="169">
        <v>44697</v>
      </c>
      <c r="L73" s="179">
        <v>44705</v>
      </c>
      <c r="M73" s="170"/>
      <c r="N73" s="170" t="s">
        <v>227</v>
      </c>
      <c r="O73" s="170" t="s">
        <v>228</v>
      </c>
      <c r="P73" s="170"/>
      <c r="Q73" s="170"/>
      <c r="R73" s="170"/>
    </row>
    <row r="74" spans="1:18" ht="30" x14ac:dyDescent="0.25">
      <c r="A74" s="1781"/>
      <c r="B74" s="1767"/>
      <c r="C74" s="1767"/>
      <c r="D74" s="1767"/>
      <c r="E74" s="1767"/>
      <c r="F74" s="55">
        <v>1</v>
      </c>
      <c r="G74" s="55" t="s">
        <v>78</v>
      </c>
      <c r="H74" s="167" t="s">
        <v>230</v>
      </c>
      <c r="I74" s="1779"/>
      <c r="J74" s="55" t="s">
        <v>66</v>
      </c>
      <c r="K74" s="169">
        <v>44697</v>
      </c>
      <c r="L74" s="179">
        <v>44701</v>
      </c>
      <c r="M74" s="170"/>
      <c r="N74" s="170" t="s">
        <v>227</v>
      </c>
      <c r="O74" s="170" t="s">
        <v>228</v>
      </c>
      <c r="P74" s="170"/>
      <c r="Q74" s="170"/>
      <c r="R74" s="170"/>
    </row>
    <row r="75" spans="1:18" ht="30" x14ac:dyDescent="0.25">
      <c r="A75" s="1781"/>
      <c r="B75" s="1767"/>
      <c r="C75" s="1767"/>
      <c r="D75" s="1767"/>
      <c r="E75" s="1767"/>
      <c r="F75" s="55">
        <v>1</v>
      </c>
      <c r="G75" s="55" t="s">
        <v>78</v>
      </c>
      <c r="H75" s="167" t="s">
        <v>220</v>
      </c>
      <c r="I75" s="1779"/>
      <c r="J75" s="55" t="s">
        <v>66</v>
      </c>
      <c r="K75" s="169">
        <v>44697</v>
      </c>
      <c r="L75" s="179"/>
      <c r="M75" s="170"/>
      <c r="N75" s="170" t="s">
        <v>227</v>
      </c>
      <c r="O75" s="170" t="s">
        <v>228</v>
      </c>
      <c r="P75" s="170"/>
      <c r="Q75" s="170"/>
      <c r="R75" s="170"/>
    </row>
    <row r="76" spans="1:18" ht="30" x14ac:dyDescent="0.25">
      <c r="A76" s="1782" t="s">
        <v>67</v>
      </c>
      <c r="B76" s="1767" t="s">
        <v>231</v>
      </c>
      <c r="C76" s="1767">
        <v>1410691</v>
      </c>
      <c r="D76" s="1767" t="s">
        <v>232</v>
      </c>
      <c r="E76" s="1767" t="s">
        <v>219</v>
      </c>
      <c r="F76" s="55">
        <v>8</v>
      </c>
      <c r="G76" s="95" t="s">
        <v>78</v>
      </c>
      <c r="H76" s="167" t="s">
        <v>220</v>
      </c>
      <c r="I76" s="170" t="s">
        <v>221</v>
      </c>
      <c r="J76" s="55" t="s">
        <v>66</v>
      </c>
      <c r="K76" s="169">
        <v>44707</v>
      </c>
      <c r="L76" s="179"/>
      <c r="M76" s="170"/>
      <c r="N76" s="170" t="s">
        <v>167</v>
      </c>
      <c r="O76" s="170" t="s">
        <v>222</v>
      </c>
      <c r="P76" s="170"/>
      <c r="Q76" s="170"/>
      <c r="R76" s="170"/>
    </row>
    <row r="77" spans="1:18" x14ac:dyDescent="0.25">
      <c r="A77" s="1782"/>
      <c r="B77" s="1767"/>
      <c r="C77" s="1767"/>
      <c r="D77" s="1767"/>
      <c r="E77" s="1767"/>
      <c r="F77" s="57">
        <v>1</v>
      </c>
      <c r="G77" s="180" t="s">
        <v>78</v>
      </c>
      <c r="H77" s="166" t="s">
        <v>233</v>
      </c>
      <c r="I77" s="166" t="s">
        <v>221</v>
      </c>
      <c r="J77" s="180" t="s">
        <v>66</v>
      </c>
      <c r="K77" s="182">
        <v>44707</v>
      </c>
      <c r="L77" s="181">
        <v>44725</v>
      </c>
      <c r="M77" s="166"/>
      <c r="N77" s="166" t="s">
        <v>167</v>
      </c>
      <c r="O77" s="166" t="s">
        <v>222</v>
      </c>
      <c r="P77" s="166"/>
      <c r="Q77" s="166"/>
      <c r="R77" s="171" t="s">
        <v>234</v>
      </c>
    </row>
    <row r="78" spans="1:18" ht="30" x14ac:dyDescent="0.25">
      <c r="A78" s="88" t="s">
        <v>59</v>
      </c>
      <c r="B78" s="91" t="s">
        <v>235</v>
      </c>
      <c r="C78" s="91">
        <v>1911489</v>
      </c>
      <c r="D78" s="91" t="s">
        <v>236</v>
      </c>
      <c r="E78" s="91" t="s">
        <v>23</v>
      </c>
      <c r="F78" s="91">
        <v>7720</v>
      </c>
      <c r="G78" s="91" t="s">
        <v>63</v>
      </c>
      <c r="H78" s="44" t="s">
        <v>109</v>
      </c>
      <c r="I78" s="92" t="s">
        <v>237</v>
      </c>
      <c r="J78" s="211" t="s">
        <v>66</v>
      </c>
      <c r="K78" s="168">
        <v>44811</v>
      </c>
      <c r="L78" s="176"/>
      <c r="M78" s="96"/>
      <c r="N78" s="96"/>
      <c r="O78" s="96"/>
      <c r="P78" s="96"/>
      <c r="Q78" s="96"/>
      <c r="R78" s="96"/>
    </row>
    <row r="79" spans="1:18" ht="30" x14ac:dyDescent="0.25">
      <c r="A79" s="1770" t="s">
        <v>67</v>
      </c>
      <c r="B79" s="1767" t="s">
        <v>238</v>
      </c>
      <c r="C79" s="1767">
        <v>1010970</v>
      </c>
      <c r="D79" s="1767" t="s">
        <v>239</v>
      </c>
      <c r="E79" s="1767" t="s">
        <v>130</v>
      </c>
      <c r="F79" s="96">
        <v>1</v>
      </c>
      <c r="G79" s="95" t="s">
        <v>78</v>
      </c>
      <c r="H79" s="167" t="s">
        <v>240</v>
      </c>
      <c r="I79" s="96" t="s">
        <v>221</v>
      </c>
      <c r="J79" s="95" t="s">
        <v>66</v>
      </c>
      <c r="K79" s="168">
        <v>44707</v>
      </c>
      <c r="L79" s="176"/>
      <c r="M79" s="96"/>
      <c r="N79" s="96" t="s">
        <v>241</v>
      </c>
      <c r="O79" s="96" t="s">
        <v>242</v>
      </c>
      <c r="P79" s="96"/>
      <c r="Q79" s="96"/>
      <c r="R79" s="96"/>
    </row>
    <row r="80" spans="1:18" x14ac:dyDescent="0.25">
      <c r="A80" s="1770"/>
      <c r="B80" s="1767"/>
      <c r="C80" s="1767"/>
      <c r="D80" s="1767"/>
      <c r="E80" s="1767"/>
      <c r="F80" s="96">
        <v>1</v>
      </c>
      <c r="G80" s="95" t="s">
        <v>78</v>
      </c>
      <c r="H80" s="166" t="s">
        <v>243</v>
      </c>
      <c r="I80" s="166" t="s">
        <v>221</v>
      </c>
      <c r="J80" s="180" t="s">
        <v>66</v>
      </c>
      <c r="K80" s="182">
        <v>44707</v>
      </c>
      <c r="L80" s="181"/>
      <c r="M80" s="166"/>
      <c r="N80" s="166" t="s">
        <v>241</v>
      </c>
      <c r="O80" s="166" t="s">
        <v>242</v>
      </c>
      <c r="P80" s="166"/>
      <c r="Q80" s="166"/>
      <c r="R80" s="166"/>
    </row>
    <row r="81" spans="1:18" x14ac:dyDescent="0.25">
      <c r="A81" s="366" t="s">
        <v>67</v>
      </c>
      <c r="B81" s="170" t="s">
        <v>244</v>
      </c>
      <c r="C81" s="170">
        <v>1211638</v>
      </c>
      <c r="D81" s="170" t="s">
        <v>245</v>
      </c>
      <c r="E81" s="55" t="s">
        <v>35</v>
      </c>
      <c r="F81" s="166">
        <v>4</v>
      </c>
      <c r="G81" s="236" t="s">
        <v>78</v>
      </c>
      <c r="H81" s="96" t="s">
        <v>246</v>
      </c>
      <c r="I81" s="364" t="s">
        <v>221</v>
      </c>
      <c r="J81" s="96" t="s">
        <v>120</v>
      </c>
      <c r="K81" s="365">
        <v>44979</v>
      </c>
      <c r="L81" s="365"/>
      <c r="M81" s="164"/>
      <c r="N81" s="96" t="s">
        <v>167</v>
      </c>
      <c r="O81" s="96" t="s">
        <v>247</v>
      </c>
      <c r="P81" s="96"/>
      <c r="Q81" s="96"/>
      <c r="R81" s="55"/>
    </row>
    <row r="82" spans="1:18" x14ac:dyDescent="0.25">
      <c r="A82" s="227" t="s">
        <v>67</v>
      </c>
      <c r="B82" s="91" t="s">
        <v>248</v>
      </c>
      <c r="C82" s="91">
        <v>1211332</v>
      </c>
      <c r="D82" s="91" t="s">
        <v>249</v>
      </c>
      <c r="E82" s="91" t="s">
        <v>62</v>
      </c>
      <c r="F82" s="41" t="s">
        <v>250</v>
      </c>
      <c r="G82" s="42" t="s">
        <v>250</v>
      </c>
      <c r="H82" s="41" t="s">
        <v>251</v>
      </c>
      <c r="I82" s="41" t="s">
        <v>252</v>
      </c>
      <c r="J82" s="42"/>
      <c r="K82" s="63"/>
      <c r="L82" s="63"/>
      <c r="M82" s="63"/>
      <c r="N82" s="41" t="s">
        <v>253</v>
      </c>
      <c r="O82" s="63" t="s">
        <v>254</v>
      </c>
      <c r="P82" s="63">
        <v>45113</v>
      </c>
      <c r="Q82" s="63"/>
      <c r="R82" s="52" t="s">
        <v>255</v>
      </c>
    </row>
    <row r="83" spans="1:18" x14ac:dyDescent="0.25">
      <c r="A83" s="227" t="s">
        <v>59</v>
      </c>
      <c r="B83" s="91" t="s">
        <v>248</v>
      </c>
      <c r="C83" s="91">
        <v>1211332</v>
      </c>
      <c r="D83" s="91" t="s">
        <v>249</v>
      </c>
      <c r="E83" s="91" t="s">
        <v>62</v>
      </c>
      <c r="F83" s="41" t="s">
        <v>250</v>
      </c>
      <c r="G83" s="42" t="s">
        <v>250</v>
      </c>
      <c r="H83" s="41" t="s">
        <v>256</v>
      </c>
      <c r="I83" s="41" t="s">
        <v>252</v>
      </c>
      <c r="J83" s="42" t="s">
        <v>120</v>
      </c>
      <c r="K83" s="63" t="s">
        <v>257</v>
      </c>
      <c r="L83" s="63" t="s">
        <v>257</v>
      </c>
      <c r="M83" s="63" t="s">
        <v>257</v>
      </c>
      <c r="N83" s="41" t="s">
        <v>257</v>
      </c>
      <c r="O83" s="63" t="s">
        <v>257</v>
      </c>
      <c r="P83" s="63" t="s">
        <v>257</v>
      </c>
      <c r="Q83" s="63" t="s">
        <v>257</v>
      </c>
      <c r="R83" s="52" t="s">
        <v>257</v>
      </c>
    </row>
    <row r="84" spans="1:18" x14ac:dyDescent="0.25">
      <c r="A84" s="227" t="s">
        <v>59</v>
      </c>
      <c r="B84" s="91" t="s">
        <v>258</v>
      </c>
      <c r="C84" s="91">
        <v>1211334</v>
      </c>
      <c r="D84" s="91" t="s">
        <v>259</v>
      </c>
      <c r="E84" s="91" t="s">
        <v>62</v>
      </c>
      <c r="F84" s="41" t="s">
        <v>250</v>
      </c>
      <c r="G84" s="42" t="s">
        <v>250</v>
      </c>
      <c r="H84" s="41" t="s">
        <v>260</v>
      </c>
      <c r="I84" s="41" t="s">
        <v>261</v>
      </c>
      <c r="J84" s="42" t="s">
        <v>120</v>
      </c>
      <c r="K84" s="63" t="s">
        <v>257</v>
      </c>
      <c r="L84" s="63" t="s">
        <v>257</v>
      </c>
      <c r="M84" s="63" t="s">
        <v>257</v>
      </c>
      <c r="N84" s="41" t="s">
        <v>257</v>
      </c>
      <c r="O84" s="63" t="s">
        <v>257</v>
      </c>
      <c r="P84" s="63" t="s">
        <v>257</v>
      </c>
      <c r="Q84" s="63" t="s">
        <v>257</v>
      </c>
      <c r="R84" s="52" t="s">
        <v>257</v>
      </c>
    </row>
    <row r="85" spans="1:18" x14ac:dyDescent="0.25">
      <c r="A85" s="227" t="s">
        <v>59</v>
      </c>
      <c r="B85" s="91" t="s">
        <v>262</v>
      </c>
      <c r="C85" s="91">
        <v>1211404</v>
      </c>
      <c r="D85" s="91" t="s">
        <v>263</v>
      </c>
      <c r="E85" s="91" t="s">
        <v>62</v>
      </c>
      <c r="F85" s="41" t="s">
        <v>250</v>
      </c>
      <c r="G85" s="42" t="s">
        <v>250</v>
      </c>
      <c r="H85" s="41" t="s">
        <v>264</v>
      </c>
      <c r="I85" s="41" t="s">
        <v>157</v>
      </c>
      <c r="J85" s="42" t="s">
        <v>120</v>
      </c>
      <c r="K85" s="63" t="s">
        <v>257</v>
      </c>
      <c r="L85" s="63" t="s">
        <v>257</v>
      </c>
      <c r="M85" s="63" t="s">
        <v>257</v>
      </c>
      <c r="N85" s="41" t="s">
        <v>257</v>
      </c>
      <c r="O85" s="63" t="s">
        <v>257</v>
      </c>
      <c r="P85" s="63" t="s">
        <v>257</v>
      </c>
      <c r="Q85" s="63" t="s">
        <v>257</v>
      </c>
      <c r="R85" s="52" t="s">
        <v>257</v>
      </c>
    </row>
    <row r="86" spans="1:18" x14ac:dyDescent="0.25">
      <c r="A86" s="227" t="s">
        <v>59</v>
      </c>
      <c r="B86" s="91" t="s">
        <v>265</v>
      </c>
      <c r="C86" s="91">
        <v>1911012</v>
      </c>
      <c r="D86" s="91" t="s">
        <v>232</v>
      </c>
      <c r="E86" s="91" t="s">
        <v>62</v>
      </c>
      <c r="F86" s="41" t="s">
        <v>250</v>
      </c>
      <c r="G86" s="42" t="s">
        <v>250</v>
      </c>
      <c r="H86" s="41" t="s">
        <v>266</v>
      </c>
      <c r="I86" s="41" t="s">
        <v>157</v>
      </c>
      <c r="J86" s="42" t="s">
        <v>120</v>
      </c>
      <c r="K86" s="63" t="s">
        <v>267</v>
      </c>
      <c r="L86" s="63" t="s">
        <v>267</v>
      </c>
      <c r="M86" s="63" t="s">
        <v>267</v>
      </c>
      <c r="N86" s="41" t="s">
        <v>267</v>
      </c>
      <c r="O86" s="63" t="s">
        <v>267</v>
      </c>
      <c r="P86" s="63" t="s">
        <v>267</v>
      </c>
      <c r="Q86" s="63" t="s">
        <v>267</v>
      </c>
      <c r="R86" s="52" t="s">
        <v>267</v>
      </c>
    </row>
    <row r="87" spans="1:18" x14ac:dyDescent="0.25">
      <c r="A87" s="228" t="s">
        <v>59</v>
      </c>
      <c r="B87" s="91" t="s">
        <v>268</v>
      </c>
      <c r="C87" s="91">
        <v>1211822</v>
      </c>
      <c r="D87" s="91" t="s">
        <v>111</v>
      </c>
      <c r="E87" s="91" t="s">
        <v>32</v>
      </c>
      <c r="F87" s="41">
        <v>1</v>
      </c>
      <c r="G87" s="42" t="s">
        <v>78</v>
      </c>
      <c r="H87" s="41" t="s">
        <v>269</v>
      </c>
      <c r="I87" s="41" t="s">
        <v>157</v>
      </c>
      <c r="J87" s="42"/>
      <c r="K87" s="63"/>
      <c r="L87" s="53"/>
      <c r="M87" s="230"/>
      <c r="N87" s="41" t="s">
        <v>167</v>
      </c>
      <c r="O87" s="96" t="s">
        <v>247</v>
      </c>
      <c r="P87" s="176">
        <v>45014</v>
      </c>
      <c r="Q87" s="176">
        <v>45035</v>
      </c>
      <c r="R87" s="55" t="s">
        <v>270</v>
      </c>
    </row>
    <row r="88" spans="1:18" x14ac:dyDescent="0.25">
      <c r="A88" s="170" t="s">
        <v>59</v>
      </c>
      <c r="B88" s="91" t="s">
        <v>271</v>
      </c>
      <c r="C88" s="91">
        <v>1211740</v>
      </c>
      <c r="D88" s="91" t="s">
        <v>272</v>
      </c>
      <c r="E88" s="91" t="s">
        <v>32</v>
      </c>
      <c r="F88" s="41">
        <v>2</v>
      </c>
      <c r="G88" s="42" t="s">
        <v>78</v>
      </c>
      <c r="H88" s="41" t="s">
        <v>273</v>
      </c>
      <c r="I88" s="41" t="s">
        <v>274</v>
      </c>
      <c r="J88" s="42" t="s">
        <v>74</v>
      </c>
      <c r="K88" s="63"/>
      <c r="L88" s="53"/>
      <c r="M88" s="230"/>
      <c r="N88" s="41"/>
      <c r="O88" s="96"/>
      <c r="P88" s="96"/>
      <c r="Q88" s="96"/>
      <c r="R88" s="55"/>
    </row>
    <row r="89" spans="1:18" x14ac:dyDescent="0.25">
      <c r="A89" s="170" t="s">
        <v>59</v>
      </c>
      <c r="B89" s="91" t="s">
        <v>271</v>
      </c>
      <c r="C89" s="91">
        <v>1211740</v>
      </c>
      <c r="D89" s="91" t="s">
        <v>272</v>
      </c>
      <c r="E89" s="91" t="s">
        <v>32</v>
      </c>
      <c r="F89" s="41">
        <v>290</v>
      </c>
      <c r="G89" s="42" t="s">
        <v>63</v>
      </c>
      <c r="H89" s="41" t="s">
        <v>275</v>
      </c>
      <c r="I89" s="41" t="s">
        <v>274</v>
      </c>
      <c r="J89" s="42" t="s">
        <v>74</v>
      </c>
      <c r="K89" s="63"/>
      <c r="L89" s="53"/>
      <c r="M89" s="230"/>
      <c r="N89" s="41"/>
      <c r="O89" s="96"/>
      <c r="P89" s="96"/>
      <c r="Q89" s="96"/>
      <c r="R89" s="55"/>
    </row>
    <row r="90" spans="1:18" x14ac:dyDescent="0.25">
      <c r="A90" s="55" t="s">
        <v>67</v>
      </c>
      <c r="B90" s="56" t="s">
        <v>276</v>
      </c>
      <c r="C90" s="91">
        <v>1511908</v>
      </c>
      <c r="D90" s="91" t="s">
        <v>277</v>
      </c>
      <c r="E90" s="91" t="s">
        <v>22</v>
      </c>
      <c r="F90" s="41" t="s">
        <v>115</v>
      </c>
      <c r="G90" s="42" t="s">
        <v>115</v>
      </c>
      <c r="H90" s="41" t="s">
        <v>278</v>
      </c>
      <c r="I90" s="41" t="s">
        <v>279</v>
      </c>
      <c r="J90" s="42" t="s">
        <v>74</v>
      </c>
      <c r="K90" s="63"/>
      <c r="L90" s="53"/>
      <c r="M90" s="230"/>
      <c r="N90" s="41"/>
      <c r="O90" s="96"/>
      <c r="P90" s="96"/>
      <c r="Q90" s="96"/>
      <c r="R90" s="55"/>
    </row>
    <row r="91" spans="1:18" x14ac:dyDescent="0.25">
      <c r="A91" s="55" t="s">
        <v>59</v>
      </c>
      <c r="B91" s="56" t="s">
        <v>280</v>
      </c>
      <c r="C91" s="91">
        <v>1611416</v>
      </c>
      <c r="D91" s="91" t="s">
        <v>281</v>
      </c>
      <c r="E91" s="91" t="s">
        <v>23</v>
      </c>
      <c r="F91" s="41" t="s">
        <v>115</v>
      </c>
      <c r="G91" s="42" t="s">
        <v>115</v>
      </c>
      <c r="H91" s="41" t="s">
        <v>282</v>
      </c>
      <c r="I91" s="41" t="s">
        <v>279</v>
      </c>
      <c r="J91" s="42" t="s">
        <v>120</v>
      </c>
      <c r="K91" s="63"/>
      <c r="L91" s="53"/>
      <c r="M91" s="230"/>
      <c r="N91" s="41"/>
      <c r="O91" s="96"/>
      <c r="P91" s="96"/>
      <c r="Q91" s="96"/>
      <c r="R91" s="55"/>
    </row>
    <row r="92" spans="1:18" x14ac:dyDescent="0.25">
      <c r="A92" s="290" t="s">
        <v>59</v>
      </c>
      <c r="B92" s="56" t="s">
        <v>283</v>
      </c>
      <c r="C92" s="91">
        <v>1412040</v>
      </c>
      <c r="D92" s="91" t="s">
        <v>284</v>
      </c>
      <c r="E92" s="91" t="s">
        <v>24</v>
      </c>
      <c r="F92" s="42">
        <v>1080</v>
      </c>
      <c r="G92" s="42" t="s">
        <v>63</v>
      </c>
      <c r="H92" s="41" t="s">
        <v>109</v>
      </c>
      <c r="I92" s="41" t="s">
        <v>279</v>
      </c>
      <c r="J92" s="42" t="s">
        <v>120</v>
      </c>
      <c r="K92" s="63">
        <v>44981</v>
      </c>
      <c r="L92" s="63" t="s">
        <v>267</v>
      </c>
      <c r="M92" s="63" t="s">
        <v>267</v>
      </c>
      <c r="N92" s="41" t="s">
        <v>167</v>
      </c>
      <c r="O92" s="96" t="s">
        <v>285</v>
      </c>
      <c r="P92" s="63" t="s">
        <v>267</v>
      </c>
      <c r="Q92" s="63" t="s">
        <v>267</v>
      </c>
      <c r="R92" s="52" t="s">
        <v>267</v>
      </c>
    </row>
    <row r="93" spans="1:18" x14ac:dyDescent="0.25">
      <c r="A93" s="1767" t="s">
        <v>67</v>
      </c>
      <c r="B93" s="360" t="s">
        <v>286</v>
      </c>
      <c r="C93" s="170">
        <v>1511907</v>
      </c>
      <c r="D93" s="170" t="s">
        <v>277</v>
      </c>
      <c r="E93" s="170" t="s">
        <v>22</v>
      </c>
      <c r="F93" s="95">
        <v>2480</v>
      </c>
      <c r="G93" s="232" t="s">
        <v>63</v>
      </c>
      <c r="H93" s="164" t="s">
        <v>287</v>
      </c>
      <c r="I93" s="96" t="s">
        <v>279</v>
      </c>
      <c r="J93" s="1764" t="s">
        <v>74</v>
      </c>
      <c r="K93" s="1769"/>
      <c r="L93" s="1769"/>
      <c r="M93" s="1769"/>
      <c r="N93" s="164"/>
      <c r="O93" s="166"/>
      <c r="P93" s="1769"/>
      <c r="Q93" s="1769"/>
      <c r="R93" s="1773"/>
    </row>
    <row r="94" spans="1:18" x14ac:dyDescent="0.25">
      <c r="A94" s="1767"/>
      <c r="B94" s="360" t="s">
        <v>288</v>
      </c>
      <c r="C94" s="170">
        <v>1511908</v>
      </c>
      <c r="D94" s="170" t="s">
        <v>277</v>
      </c>
      <c r="E94" s="170" t="s">
        <v>22</v>
      </c>
      <c r="F94" s="95">
        <v>1</v>
      </c>
      <c r="G94" s="232" t="s">
        <v>78</v>
      </c>
      <c r="H94" s="166" t="s">
        <v>289</v>
      </c>
      <c r="I94" s="96" t="s">
        <v>279</v>
      </c>
      <c r="J94" s="1764"/>
      <c r="K94" s="1769"/>
      <c r="L94" s="1769"/>
      <c r="M94" s="1769"/>
      <c r="N94" s="166"/>
      <c r="O94" s="166"/>
      <c r="P94" s="1769"/>
      <c r="Q94" s="1769"/>
      <c r="R94" s="1773"/>
    </row>
    <row r="95" spans="1:18" x14ac:dyDescent="0.25">
      <c r="A95" s="1767"/>
      <c r="B95" s="360" t="s">
        <v>290</v>
      </c>
      <c r="C95" s="170">
        <v>1511909</v>
      </c>
      <c r="D95" s="170" t="s">
        <v>277</v>
      </c>
      <c r="E95" s="170" t="s">
        <v>22</v>
      </c>
      <c r="F95" s="95">
        <v>1</v>
      </c>
      <c r="G95" s="232" t="s">
        <v>78</v>
      </c>
      <c r="H95" s="164" t="s">
        <v>291</v>
      </c>
      <c r="I95" s="96" t="s">
        <v>279</v>
      </c>
      <c r="J95" s="1764"/>
      <c r="K95" s="1769"/>
      <c r="L95" s="1769"/>
      <c r="M95" s="1769"/>
      <c r="N95" s="164"/>
      <c r="O95" s="166"/>
      <c r="P95" s="1769"/>
      <c r="Q95" s="1769"/>
      <c r="R95" s="1773"/>
    </row>
    <row r="96" spans="1:18" x14ac:dyDescent="0.25">
      <c r="A96" s="1767"/>
      <c r="B96" s="360" t="s">
        <v>292</v>
      </c>
      <c r="C96" s="170">
        <v>1511910</v>
      </c>
      <c r="D96" s="170" t="s">
        <v>277</v>
      </c>
      <c r="E96" s="170" t="s">
        <v>22</v>
      </c>
      <c r="F96" s="95">
        <v>1</v>
      </c>
      <c r="G96" s="232" t="s">
        <v>78</v>
      </c>
      <c r="H96" s="164" t="s">
        <v>293</v>
      </c>
      <c r="I96" s="96" t="s">
        <v>279</v>
      </c>
      <c r="J96" s="1764"/>
      <c r="K96" s="1769"/>
      <c r="L96" s="1769"/>
      <c r="M96" s="1769"/>
      <c r="N96" s="164"/>
      <c r="O96" s="166"/>
      <c r="P96" s="1769"/>
      <c r="Q96" s="1769"/>
      <c r="R96" s="1773"/>
    </row>
    <row r="97" spans="1:18" x14ac:dyDescent="0.25">
      <c r="A97" s="1767" t="s">
        <v>67</v>
      </c>
      <c r="B97" s="360" t="s">
        <v>294</v>
      </c>
      <c r="C97" s="170">
        <v>1011072</v>
      </c>
      <c r="D97" s="170" t="s">
        <v>295</v>
      </c>
      <c r="E97" s="170" t="s">
        <v>24</v>
      </c>
      <c r="F97" s="95">
        <v>1</v>
      </c>
      <c r="G97" s="95" t="s">
        <v>78</v>
      </c>
      <c r="H97" s="96" t="s">
        <v>296</v>
      </c>
      <c r="I97" s="96" t="s">
        <v>157</v>
      </c>
      <c r="J97" s="1764" t="s">
        <v>74</v>
      </c>
      <c r="K97" s="1772"/>
      <c r="L97" s="1772"/>
      <c r="M97" s="1772"/>
      <c r="N97" s="96"/>
      <c r="O97" s="181"/>
      <c r="P97" s="1772"/>
      <c r="Q97" s="1772"/>
      <c r="R97" s="1771"/>
    </row>
    <row r="98" spans="1:18" x14ac:dyDescent="0.25">
      <c r="A98" s="1767"/>
      <c r="B98" s="360" t="s">
        <v>297</v>
      </c>
      <c r="C98" s="170">
        <v>1011073</v>
      </c>
      <c r="D98" s="170" t="s">
        <v>295</v>
      </c>
      <c r="E98" s="170" t="s">
        <v>24</v>
      </c>
      <c r="F98" s="95">
        <v>1</v>
      </c>
      <c r="G98" s="95" t="s">
        <v>78</v>
      </c>
      <c r="H98" s="96" t="s">
        <v>298</v>
      </c>
      <c r="I98" s="96" t="s">
        <v>157</v>
      </c>
      <c r="J98" s="1764"/>
      <c r="K98" s="1772"/>
      <c r="L98" s="1772"/>
      <c r="M98" s="1772"/>
      <c r="N98" s="96"/>
      <c r="O98" s="181"/>
      <c r="P98" s="1772"/>
      <c r="Q98" s="1772"/>
      <c r="R98" s="1771"/>
    </row>
    <row r="99" spans="1:18" x14ac:dyDescent="0.25">
      <c r="A99" s="1767" t="s">
        <v>67</v>
      </c>
      <c r="B99" s="360" t="s">
        <v>299</v>
      </c>
      <c r="C99" s="170">
        <v>1011722</v>
      </c>
      <c r="D99" s="170" t="s">
        <v>300</v>
      </c>
      <c r="E99" s="170" t="s">
        <v>24</v>
      </c>
      <c r="F99" s="95">
        <v>1</v>
      </c>
      <c r="G99" s="95" t="s">
        <v>78</v>
      </c>
      <c r="H99" s="96" t="s">
        <v>301</v>
      </c>
      <c r="I99" s="166" t="s">
        <v>157</v>
      </c>
      <c r="J99" s="1769" t="s">
        <v>74</v>
      </c>
      <c r="K99" s="1772"/>
      <c r="L99" s="1772"/>
      <c r="M99" s="1772"/>
      <c r="N99" s="96"/>
      <c r="O99" s="181"/>
      <c r="P99" s="1772"/>
      <c r="Q99" s="1772"/>
      <c r="R99" s="1771"/>
    </row>
    <row r="100" spans="1:18" x14ac:dyDescent="0.25">
      <c r="A100" s="1767"/>
      <c r="B100" s="360" t="s">
        <v>302</v>
      </c>
      <c r="C100" s="170">
        <v>1011723</v>
      </c>
      <c r="D100" s="170" t="s">
        <v>300</v>
      </c>
      <c r="E100" s="170" t="s">
        <v>24</v>
      </c>
      <c r="F100" s="180">
        <v>1</v>
      </c>
      <c r="G100" s="180" t="s">
        <v>78</v>
      </c>
      <c r="H100" s="166" t="s">
        <v>303</v>
      </c>
      <c r="I100" s="166" t="s">
        <v>157</v>
      </c>
      <c r="J100" s="1769"/>
      <c r="K100" s="1772"/>
      <c r="L100" s="1772"/>
      <c r="M100" s="1772"/>
      <c r="N100" s="166"/>
      <c r="O100" s="181"/>
      <c r="P100" s="1772"/>
      <c r="Q100" s="1772"/>
      <c r="R100" s="1771"/>
    </row>
    <row r="101" spans="1:18" x14ac:dyDescent="0.25">
      <c r="A101" s="170" t="s">
        <v>67</v>
      </c>
      <c r="B101" s="231" t="s">
        <v>304</v>
      </c>
      <c r="C101" s="57">
        <v>1011558</v>
      </c>
      <c r="D101" s="57" t="s">
        <v>305</v>
      </c>
      <c r="E101" s="57" t="s">
        <v>24</v>
      </c>
      <c r="F101" s="180">
        <v>120</v>
      </c>
      <c r="G101" s="180" t="s">
        <v>63</v>
      </c>
      <c r="H101" s="166" t="s">
        <v>306</v>
      </c>
      <c r="I101" s="180" t="s">
        <v>157</v>
      </c>
      <c r="J101" s="180" t="s">
        <v>66</v>
      </c>
      <c r="K101" s="182">
        <v>44981</v>
      </c>
      <c r="L101" s="181"/>
      <c r="M101" s="166"/>
      <c r="N101" s="166" t="s">
        <v>167</v>
      </c>
      <c r="O101" s="166" t="s">
        <v>307</v>
      </c>
      <c r="P101" s="166"/>
      <c r="Q101" s="166"/>
      <c r="R101" s="57"/>
    </row>
    <row r="102" spans="1:18" x14ac:dyDescent="0.25">
      <c r="A102" s="1767" t="s">
        <v>67</v>
      </c>
      <c r="B102" s="360" t="s">
        <v>308</v>
      </c>
      <c r="C102" s="170">
        <v>1011090</v>
      </c>
      <c r="D102" s="170" t="s">
        <v>309</v>
      </c>
      <c r="E102" s="170" t="s">
        <v>24</v>
      </c>
      <c r="F102" s="95">
        <v>1</v>
      </c>
      <c r="G102" s="95" t="s">
        <v>78</v>
      </c>
      <c r="H102" s="96" t="s">
        <v>296</v>
      </c>
      <c r="I102" s="96" t="s">
        <v>157</v>
      </c>
      <c r="J102" s="1764" t="s">
        <v>74</v>
      </c>
      <c r="K102" s="1765"/>
      <c r="L102" s="1765"/>
      <c r="M102" s="1765"/>
      <c r="N102" s="96"/>
      <c r="O102" s="176"/>
      <c r="P102" s="1765"/>
      <c r="Q102" s="1765"/>
      <c r="R102" s="1768"/>
    </row>
    <row r="103" spans="1:18" x14ac:dyDescent="0.25">
      <c r="A103" s="1767"/>
      <c r="B103" s="360" t="s">
        <v>310</v>
      </c>
      <c r="C103" s="170">
        <v>1011091</v>
      </c>
      <c r="D103" s="170" t="s">
        <v>309</v>
      </c>
      <c r="E103" s="170" t="s">
        <v>24</v>
      </c>
      <c r="F103" s="180">
        <v>1</v>
      </c>
      <c r="G103" s="95" t="s">
        <v>78</v>
      </c>
      <c r="H103" s="166" t="s">
        <v>298</v>
      </c>
      <c r="I103" s="96" t="s">
        <v>157</v>
      </c>
      <c r="J103" s="1764"/>
      <c r="K103" s="1765"/>
      <c r="L103" s="1765"/>
      <c r="M103" s="1765"/>
      <c r="N103" s="166"/>
      <c r="O103" s="176"/>
      <c r="P103" s="1765"/>
      <c r="Q103" s="1765"/>
      <c r="R103" s="1768"/>
    </row>
    <row r="104" spans="1:18" x14ac:dyDescent="0.25">
      <c r="A104" s="1767" t="s">
        <v>67</v>
      </c>
      <c r="B104" s="360" t="s">
        <v>311</v>
      </c>
      <c r="C104" s="170">
        <v>1011993</v>
      </c>
      <c r="D104" s="170" t="s">
        <v>312</v>
      </c>
      <c r="E104" s="170" t="s">
        <v>24</v>
      </c>
      <c r="F104" s="95">
        <v>1</v>
      </c>
      <c r="G104" s="232" t="s">
        <v>78</v>
      </c>
      <c r="H104" s="164" t="s">
        <v>313</v>
      </c>
      <c r="I104" s="96" t="s">
        <v>157</v>
      </c>
      <c r="J104" s="1764" t="s">
        <v>74</v>
      </c>
      <c r="K104" s="1769"/>
      <c r="L104" s="1769"/>
      <c r="M104" s="1769"/>
      <c r="N104" s="164"/>
      <c r="O104" s="166"/>
      <c r="P104" s="1769"/>
      <c r="Q104" s="1769"/>
      <c r="R104" s="1773"/>
    </row>
    <row r="105" spans="1:18" x14ac:dyDescent="0.25">
      <c r="A105" s="1767"/>
      <c r="B105" s="360" t="s">
        <v>314</v>
      </c>
      <c r="C105" s="170">
        <v>1011994</v>
      </c>
      <c r="D105" s="170" t="s">
        <v>312</v>
      </c>
      <c r="E105" s="170" t="s">
        <v>24</v>
      </c>
      <c r="F105" s="95">
        <v>1</v>
      </c>
      <c r="G105" s="232" t="s">
        <v>78</v>
      </c>
      <c r="H105" s="166" t="s">
        <v>315</v>
      </c>
      <c r="I105" s="96" t="s">
        <v>157</v>
      </c>
      <c r="J105" s="1764"/>
      <c r="K105" s="1769"/>
      <c r="L105" s="1769"/>
      <c r="M105" s="1769"/>
      <c r="N105" s="166"/>
      <c r="O105" s="166"/>
      <c r="P105" s="1769"/>
      <c r="Q105" s="1769"/>
      <c r="R105" s="1773"/>
    </row>
    <row r="106" spans="1:18" x14ac:dyDescent="0.25">
      <c r="A106" s="1767"/>
      <c r="B106" s="360" t="s">
        <v>316</v>
      </c>
      <c r="C106" s="170">
        <v>1011995</v>
      </c>
      <c r="D106" s="170" t="s">
        <v>312</v>
      </c>
      <c r="E106" s="170" t="s">
        <v>24</v>
      </c>
      <c r="F106" s="95">
        <v>1</v>
      </c>
      <c r="G106" s="232" t="s">
        <v>78</v>
      </c>
      <c r="H106" s="164" t="s">
        <v>317</v>
      </c>
      <c r="I106" s="96" t="s">
        <v>157</v>
      </c>
      <c r="J106" s="1764"/>
      <c r="K106" s="1769"/>
      <c r="L106" s="1769"/>
      <c r="M106" s="1769"/>
      <c r="N106" s="164"/>
      <c r="O106" s="166"/>
      <c r="P106" s="1769"/>
      <c r="Q106" s="1769"/>
      <c r="R106" s="1773"/>
    </row>
    <row r="107" spans="1:18" x14ac:dyDescent="0.25">
      <c r="A107" s="1767"/>
      <c r="B107" s="360" t="s">
        <v>318</v>
      </c>
      <c r="C107" s="170">
        <v>1011996</v>
      </c>
      <c r="D107" s="170" t="s">
        <v>312</v>
      </c>
      <c r="E107" s="170" t="s">
        <v>24</v>
      </c>
      <c r="F107" s="180">
        <v>2</v>
      </c>
      <c r="G107" s="235" t="s">
        <v>78</v>
      </c>
      <c r="H107" s="236" t="s">
        <v>319</v>
      </c>
      <c r="I107" s="96" t="s">
        <v>157</v>
      </c>
      <c r="J107" s="1764"/>
      <c r="K107" s="1769"/>
      <c r="L107" s="1769"/>
      <c r="M107" s="1769"/>
      <c r="N107" s="236"/>
      <c r="O107" s="166"/>
      <c r="P107" s="1769"/>
      <c r="Q107" s="1769"/>
      <c r="R107" s="1773"/>
    </row>
    <row r="108" spans="1:18" ht="30" x14ac:dyDescent="0.25">
      <c r="A108" s="234" t="s">
        <v>67</v>
      </c>
      <c r="B108" s="55" t="s">
        <v>320</v>
      </c>
      <c r="C108" s="55">
        <v>129256</v>
      </c>
      <c r="D108" s="55" t="s">
        <v>104</v>
      </c>
      <c r="E108" s="55" t="s">
        <v>39</v>
      </c>
      <c r="F108" s="95">
        <v>3</v>
      </c>
      <c r="G108" s="233" t="s">
        <v>321</v>
      </c>
      <c r="H108" s="237" t="s">
        <v>322</v>
      </c>
      <c r="I108" s="95" t="s">
        <v>157</v>
      </c>
      <c r="J108" s="95" t="s">
        <v>74</v>
      </c>
      <c r="K108" s="238" t="s">
        <v>323</v>
      </c>
      <c r="L108" s="238" t="s">
        <v>323</v>
      </c>
      <c r="M108" s="161"/>
      <c r="N108" s="367" t="s">
        <v>324</v>
      </c>
      <c r="O108" s="96" t="s">
        <v>325</v>
      </c>
      <c r="P108" s="96"/>
      <c r="Q108" s="96"/>
      <c r="R108" s="55"/>
    </row>
    <row r="109" spans="1:18" x14ac:dyDescent="0.25">
      <c r="A109" s="234" t="s">
        <v>67</v>
      </c>
      <c r="B109" s="55" t="s">
        <v>326</v>
      </c>
      <c r="C109" s="55">
        <v>1011710</v>
      </c>
      <c r="D109" s="55" t="s">
        <v>327</v>
      </c>
      <c r="E109" s="55" t="s">
        <v>32</v>
      </c>
      <c r="F109" s="95">
        <v>1</v>
      </c>
      <c r="G109" s="233" t="s">
        <v>321</v>
      </c>
      <c r="H109" s="237" t="s">
        <v>328</v>
      </c>
      <c r="I109" s="95" t="s">
        <v>157</v>
      </c>
      <c r="J109" s="95" t="s">
        <v>74</v>
      </c>
      <c r="K109" s="238"/>
      <c r="L109" s="238"/>
      <c r="M109" s="161"/>
      <c r="N109" s="367" t="s">
        <v>329</v>
      </c>
      <c r="O109" s="96" t="s">
        <v>307</v>
      </c>
      <c r="P109" s="96"/>
      <c r="Q109" s="96"/>
      <c r="R109" s="55">
        <v>4962</v>
      </c>
    </row>
    <row r="110" spans="1:18" x14ac:dyDescent="0.25">
      <c r="A110" s="234" t="s">
        <v>67</v>
      </c>
      <c r="B110" s="55" t="s">
        <v>326</v>
      </c>
      <c r="C110" s="55">
        <v>1011710</v>
      </c>
      <c r="D110" s="55" t="s">
        <v>327</v>
      </c>
      <c r="E110" s="55" t="s">
        <v>32</v>
      </c>
      <c r="F110" s="95">
        <v>1</v>
      </c>
      <c r="G110" s="233" t="s">
        <v>321</v>
      </c>
      <c r="H110" s="237" t="s">
        <v>330</v>
      </c>
      <c r="I110" s="95" t="s">
        <v>157</v>
      </c>
      <c r="J110" s="95" t="s">
        <v>74</v>
      </c>
      <c r="K110" s="238"/>
      <c r="L110" s="238"/>
      <c r="M110" s="161"/>
      <c r="N110" s="367" t="s">
        <v>329</v>
      </c>
      <c r="O110" s="96" t="s">
        <v>307</v>
      </c>
      <c r="P110" s="96"/>
      <c r="Q110" s="96"/>
      <c r="R110" s="55">
        <v>4962</v>
      </c>
    </row>
    <row r="111" spans="1:18" x14ac:dyDescent="0.25">
      <c r="A111" s="234" t="s">
        <v>67</v>
      </c>
      <c r="B111" s="55" t="s">
        <v>326</v>
      </c>
      <c r="C111" s="55">
        <v>1011710</v>
      </c>
      <c r="D111" s="55" t="s">
        <v>327</v>
      </c>
      <c r="E111" s="55" t="s">
        <v>32</v>
      </c>
      <c r="F111" s="95">
        <v>1</v>
      </c>
      <c r="G111" s="233" t="s">
        <v>321</v>
      </c>
      <c r="H111" s="237" t="s">
        <v>331</v>
      </c>
      <c r="I111" s="95" t="s">
        <v>157</v>
      </c>
      <c r="J111" s="95" t="s">
        <v>74</v>
      </c>
      <c r="K111" s="238"/>
      <c r="L111" s="238"/>
      <c r="M111" s="161"/>
      <c r="N111" s="367" t="s">
        <v>329</v>
      </c>
      <c r="O111" s="96" t="s">
        <v>307</v>
      </c>
      <c r="P111" s="96"/>
      <c r="Q111" s="96"/>
      <c r="R111" s="55">
        <v>4962</v>
      </c>
    </row>
    <row r="112" spans="1:18" x14ac:dyDescent="0.25">
      <c r="A112" s="234" t="s">
        <v>67</v>
      </c>
      <c r="B112" s="55" t="s">
        <v>332</v>
      </c>
      <c r="C112" s="55">
        <v>1012008</v>
      </c>
      <c r="D112" s="55" t="s">
        <v>239</v>
      </c>
      <c r="E112" s="55" t="s">
        <v>32</v>
      </c>
      <c r="F112" s="95">
        <v>1</v>
      </c>
      <c r="G112" s="233" t="s">
        <v>321</v>
      </c>
      <c r="H112" s="237" t="s">
        <v>333</v>
      </c>
      <c r="I112" s="95" t="s">
        <v>157</v>
      </c>
      <c r="J112" s="95" t="s">
        <v>74</v>
      </c>
      <c r="K112" s="238"/>
      <c r="L112" s="238"/>
      <c r="M112" s="161"/>
      <c r="N112" s="367" t="s">
        <v>329</v>
      </c>
      <c r="O112" s="96" t="s">
        <v>307</v>
      </c>
      <c r="P112" s="96"/>
      <c r="Q112" s="96"/>
      <c r="R112" s="55">
        <v>4963</v>
      </c>
    </row>
    <row r="113" spans="1:18" x14ac:dyDescent="0.25">
      <c r="A113" s="234" t="s">
        <v>67</v>
      </c>
      <c r="B113" s="55" t="s">
        <v>332</v>
      </c>
      <c r="C113" s="55">
        <v>1012008</v>
      </c>
      <c r="D113" s="55" t="s">
        <v>239</v>
      </c>
      <c r="E113" s="55" t="s">
        <v>32</v>
      </c>
      <c r="F113" s="95">
        <v>1</v>
      </c>
      <c r="G113" s="233" t="s">
        <v>321</v>
      </c>
      <c r="H113" s="237" t="s">
        <v>334</v>
      </c>
      <c r="I113" s="95" t="s">
        <v>157</v>
      </c>
      <c r="J113" s="95" t="s">
        <v>74</v>
      </c>
      <c r="K113" s="238"/>
      <c r="L113" s="238"/>
      <c r="M113" s="161"/>
      <c r="N113" s="367" t="s">
        <v>329</v>
      </c>
      <c r="O113" s="96" t="s">
        <v>307</v>
      </c>
      <c r="P113" s="96"/>
      <c r="Q113" s="96"/>
      <c r="R113" s="55">
        <v>4963</v>
      </c>
    </row>
    <row r="114" spans="1:18" x14ac:dyDescent="0.25">
      <c r="A114" s="234" t="s">
        <v>67</v>
      </c>
      <c r="B114" s="55" t="s">
        <v>332</v>
      </c>
      <c r="C114" s="55">
        <v>1012008</v>
      </c>
      <c r="D114" s="55" t="s">
        <v>239</v>
      </c>
      <c r="E114" s="55" t="s">
        <v>32</v>
      </c>
      <c r="F114" s="95">
        <v>1</v>
      </c>
      <c r="G114" s="233" t="s">
        <v>321</v>
      </c>
      <c r="H114" s="237" t="s">
        <v>335</v>
      </c>
      <c r="I114" s="95" t="s">
        <v>157</v>
      </c>
      <c r="J114" s="95" t="s">
        <v>74</v>
      </c>
      <c r="K114" s="238"/>
      <c r="L114" s="238"/>
      <c r="M114" s="161"/>
      <c r="N114" s="367" t="s">
        <v>329</v>
      </c>
      <c r="O114" s="96" t="s">
        <v>307</v>
      </c>
      <c r="P114" s="96"/>
      <c r="Q114" s="96"/>
      <c r="R114" s="55">
        <v>4963</v>
      </c>
    </row>
    <row r="115" spans="1:18" x14ac:dyDescent="0.25">
      <c r="A115" s="234" t="s">
        <v>67</v>
      </c>
      <c r="B115" s="55" t="s">
        <v>332</v>
      </c>
      <c r="C115" s="55">
        <v>1012008</v>
      </c>
      <c r="D115" s="55" t="s">
        <v>239</v>
      </c>
      <c r="E115" s="55" t="s">
        <v>32</v>
      </c>
      <c r="F115" s="95">
        <v>1</v>
      </c>
      <c r="G115" s="233" t="s">
        <v>321</v>
      </c>
      <c r="H115" s="237" t="s">
        <v>298</v>
      </c>
      <c r="I115" s="95" t="s">
        <v>157</v>
      </c>
      <c r="J115" s="95" t="s">
        <v>74</v>
      </c>
      <c r="K115" s="238"/>
      <c r="L115" s="238"/>
      <c r="M115" s="161"/>
      <c r="N115" s="367" t="s">
        <v>329</v>
      </c>
      <c r="O115" s="96" t="s">
        <v>307</v>
      </c>
      <c r="P115" s="96"/>
      <c r="Q115" s="96"/>
      <c r="R115" s="55">
        <v>4963</v>
      </c>
    </row>
    <row r="116" spans="1:18" ht="60" x14ac:dyDescent="0.25">
      <c r="A116" s="234" t="s">
        <v>67</v>
      </c>
      <c r="B116" s="55" t="s">
        <v>336</v>
      </c>
      <c r="C116" s="55">
        <v>1011913</v>
      </c>
      <c r="D116" s="55" t="s">
        <v>305</v>
      </c>
      <c r="E116" s="55" t="s">
        <v>32</v>
      </c>
      <c r="F116" s="95">
        <v>1</v>
      </c>
      <c r="G116" s="233" t="s">
        <v>321</v>
      </c>
      <c r="H116" s="237" t="s">
        <v>337</v>
      </c>
      <c r="I116" s="95" t="s">
        <v>157</v>
      </c>
      <c r="J116" s="95" t="s">
        <v>74</v>
      </c>
      <c r="K116" s="238"/>
      <c r="L116" s="238"/>
      <c r="M116" s="161"/>
      <c r="N116" s="367" t="s">
        <v>329</v>
      </c>
      <c r="O116" s="96" t="s">
        <v>307</v>
      </c>
      <c r="P116" s="96"/>
      <c r="Q116" s="96"/>
      <c r="R116" s="55">
        <v>4113</v>
      </c>
    </row>
    <row r="117" spans="1:18" ht="60" x14ac:dyDescent="0.25">
      <c r="A117" s="234" t="s">
        <v>67</v>
      </c>
      <c r="B117" s="55" t="s">
        <v>336</v>
      </c>
      <c r="C117" s="55">
        <v>1011913</v>
      </c>
      <c r="D117" s="55" t="s">
        <v>305</v>
      </c>
      <c r="E117" s="55" t="s">
        <v>32</v>
      </c>
      <c r="F117" s="95">
        <v>1</v>
      </c>
      <c r="G117" s="233" t="s">
        <v>321</v>
      </c>
      <c r="H117" s="237" t="s">
        <v>338</v>
      </c>
      <c r="I117" s="95" t="s">
        <v>157</v>
      </c>
      <c r="J117" s="95" t="s">
        <v>74</v>
      </c>
      <c r="K117" s="238"/>
      <c r="L117" s="238"/>
      <c r="M117" s="161"/>
      <c r="N117" s="367" t="s">
        <v>329</v>
      </c>
      <c r="O117" s="96" t="s">
        <v>307</v>
      </c>
      <c r="P117" s="96"/>
      <c r="Q117" s="96"/>
      <c r="R117" s="55">
        <v>4113</v>
      </c>
    </row>
    <row r="118" spans="1:18" x14ac:dyDescent="0.25">
      <c r="A118" s="234" t="s">
        <v>67</v>
      </c>
      <c r="B118" s="55" t="s">
        <v>336</v>
      </c>
      <c r="C118" s="55">
        <v>1011913</v>
      </c>
      <c r="D118" s="55" t="s">
        <v>305</v>
      </c>
      <c r="E118" s="55" t="s">
        <v>32</v>
      </c>
      <c r="F118" s="95">
        <v>1</v>
      </c>
      <c r="G118" s="233" t="s">
        <v>321</v>
      </c>
      <c r="H118" s="237" t="s">
        <v>339</v>
      </c>
      <c r="I118" s="95" t="s">
        <v>157</v>
      </c>
      <c r="J118" s="95" t="s">
        <v>74</v>
      </c>
      <c r="K118" s="238"/>
      <c r="L118" s="238"/>
      <c r="M118" s="161"/>
      <c r="N118" s="367" t="s">
        <v>329</v>
      </c>
      <c r="O118" s="96" t="s">
        <v>307</v>
      </c>
      <c r="P118" s="96"/>
      <c r="Q118" s="96"/>
      <c r="R118" s="55">
        <v>4113</v>
      </c>
    </row>
    <row r="119" spans="1:18" x14ac:dyDescent="0.25">
      <c r="A119" s="234" t="s">
        <v>67</v>
      </c>
      <c r="B119" s="55" t="s">
        <v>336</v>
      </c>
      <c r="C119" s="55">
        <v>1011913</v>
      </c>
      <c r="D119" s="55" t="s">
        <v>305</v>
      </c>
      <c r="E119" s="55" t="s">
        <v>32</v>
      </c>
      <c r="F119" s="95">
        <v>1</v>
      </c>
      <c r="G119" s="233" t="s">
        <v>321</v>
      </c>
      <c r="H119" s="237" t="s">
        <v>340</v>
      </c>
      <c r="I119" s="95" t="s">
        <v>157</v>
      </c>
      <c r="J119" s="95" t="s">
        <v>74</v>
      </c>
      <c r="K119" s="238"/>
      <c r="L119" s="238"/>
      <c r="M119" s="161"/>
      <c r="N119" s="367" t="s">
        <v>329</v>
      </c>
      <c r="O119" s="96" t="s">
        <v>307</v>
      </c>
      <c r="P119" s="96"/>
      <c r="Q119" s="96"/>
      <c r="R119" s="55">
        <v>4113</v>
      </c>
    </row>
    <row r="120" spans="1:18" x14ac:dyDescent="0.25">
      <c r="A120" s="234" t="s">
        <v>67</v>
      </c>
      <c r="B120" s="55" t="s">
        <v>341</v>
      </c>
      <c r="C120" s="55">
        <v>1212094</v>
      </c>
      <c r="D120" s="55" t="s">
        <v>342</v>
      </c>
      <c r="E120" s="55" t="s">
        <v>32</v>
      </c>
      <c r="F120" s="95">
        <v>1</v>
      </c>
      <c r="G120" s="233" t="s">
        <v>321</v>
      </c>
      <c r="H120" s="237" t="s">
        <v>343</v>
      </c>
      <c r="I120" s="95" t="s">
        <v>157</v>
      </c>
      <c r="J120" s="95" t="s">
        <v>74</v>
      </c>
      <c r="K120" s="238"/>
      <c r="L120" s="238"/>
      <c r="M120" s="161"/>
      <c r="N120" s="367" t="s">
        <v>167</v>
      </c>
      <c r="O120" s="96" t="s">
        <v>247</v>
      </c>
      <c r="P120" s="96"/>
      <c r="Q120" s="96"/>
      <c r="R120" s="55">
        <v>4964</v>
      </c>
    </row>
    <row r="121" spans="1:18" x14ac:dyDescent="0.25">
      <c r="A121" s="234" t="s">
        <v>67</v>
      </c>
      <c r="B121" s="55" t="s">
        <v>341</v>
      </c>
      <c r="C121" s="55">
        <v>1212094</v>
      </c>
      <c r="D121" s="55" t="s">
        <v>342</v>
      </c>
      <c r="E121" s="55" t="s">
        <v>32</v>
      </c>
      <c r="F121" s="95">
        <v>1</v>
      </c>
      <c r="G121" s="233" t="s">
        <v>321</v>
      </c>
      <c r="H121" s="237" t="s">
        <v>344</v>
      </c>
      <c r="I121" s="95" t="s">
        <v>157</v>
      </c>
      <c r="J121" s="95" t="s">
        <v>74</v>
      </c>
      <c r="K121" s="238"/>
      <c r="L121" s="238"/>
      <c r="M121" s="161"/>
      <c r="N121" s="367" t="s">
        <v>167</v>
      </c>
      <c r="O121" s="96" t="s">
        <v>247</v>
      </c>
      <c r="P121" s="96"/>
      <c r="Q121" s="96"/>
      <c r="R121" s="55">
        <v>4964</v>
      </c>
    </row>
    <row r="122" spans="1:18" x14ac:dyDescent="0.25">
      <c r="A122" s="234" t="s">
        <v>67</v>
      </c>
      <c r="B122" s="55" t="s">
        <v>345</v>
      </c>
      <c r="C122" s="55">
        <v>1010234</v>
      </c>
      <c r="D122" s="55" t="s">
        <v>346</v>
      </c>
      <c r="E122" s="55" t="s">
        <v>347</v>
      </c>
      <c r="F122" s="95">
        <v>1</v>
      </c>
      <c r="G122" s="233" t="s">
        <v>321</v>
      </c>
      <c r="H122" s="237" t="s">
        <v>348</v>
      </c>
      <c r="I122" s="95" t="s">
        <v>157</v>
      </c>
      <c r="J122" s="95"/>
      <c r="K122" s="238"/>
      <c r="L122" s="238"/>
      <c r="M122" s="161"/>
      <c r="N122" s="367"/>
      <c r="O122" s="96"/>
      <c r="P122" s="96"/>
      <c r="Q122" s="96"/>
      <c r="R122" s="55"/>
    </row>
    <row r="123" spans="1:18" x14ac:dyDescent="0.25">
      <c r="A123" s="234" t="s">
        <v>67</v>
      </c>
      <c r="B123" s="55" t="s">
        <v>349</v>
      </c>
      <c r="C123" s="55">
        <v>101205</v>
      </c>
      <c r="D123" s="55" t="s">
        <v>350</v>
      </c>
      <c r="E123" s="55" t="s">
        <v>347</v>
      </c>
      <c r="F123" s="95">
        <v>1</v>
      </c>
      <c r="G123" s="233" t="s">
        <v>321</v>
      </c>
      <c r="H123" s="237" t="s">
        <v>348</v>
      </c>
      <c r="I123" s="95" t="s">
        <v>157</v>
      </c>
      <c r="J123" s="95"/>
      <c r="K123" s="238"/>
      <c r="L123" s="238"/>
      <c r="M123" s="161"/>
      <c r="N123" s="367"/>
      <c r="O123" s="96"/>
      <c r="P123" s="96"/>
      <c r="Q123" s="96"/>
      <c r="R123" s="55"/>
    </row>
    <row r="124" spans="1:18" x14ac:dyDescent="0.25">
      <c r="A124" s="234" t="s">
        <v>67</v>
      </c>
      <c r="B124" s="55" t="s">
        <v>351</v>
      </c>
      <c r="C124" s="55">
        <v>1010503</v>
      </c>
      <c r="D124" s="55" t="s">
        <v>352</v>
      </c>
      <c r="E124" s="55" t="s">
        <v>347</v>
      </c>
      <c r="F124" s="95">
        <v>1</v>
      </c>
      <c r="G124" s="233" t="s">
        <v>321</v>
      </c>
      <c r="H124" s="237" t="s">
        <v>348</v>
      </c>
      <c r="I124" s="95" t="s">
        <v>157</v>
      </c>
      <c r="J124" s="95"/>
      <c r="K124" s="238"/>
      <c r="L124" s="238"/>
      <c r="M124" s="161"/>
      <c r="N124" s="367"/>
      <c r="O124" s="96"/>
      <c r="P124" s="96"/>
      <c r="Q124" s="96"/>
      <c r="R124" s="55"/>
    </row>
    <row r="125" spans="1:18" x14ac:dyDescent="0.25">
      <c r="A125" s="234" t="s">
        <v>67</v>
      </c>
      <c r="B125" s="55" t="s">
        <v>353</v>
      </c>
      <c r="C125" s="55">
        <v>1212044</v>
      </c>
      <c r="D125" s="55" t="s">
        <v>354</v>
      </c>
      <c r="E125" s="55" t="s">
        <v>25</v>
      </c>
      <c r="F125" s="95">
        <v>1</v>
      </c>
      <c r="G125" s="233" t="s">
        <v>321</v>
      </c>
      <c r="H125" s="237" t="s">
        <v>355</v>
      </c>
      <c r="I125" s="95" t="s">
        <v>356</v>
      </c>
      <c r="J125" s="95"/>
      <c r="K125" s="238"/>
      <c r="L125" s="238"/>
      <c r="M125" s="161"/>
      <c r="N125" s="367" t="s">
        <v>357</v>
      </c>
      <c r="O125" s="96"/>
      <c r="P125" s="96"/>
      <c r="Q125" s="96"/>
      <c r="R125" s="55"/>
    </row>
    <row r="126" spans="1:18" x14ac:dyDescent="0.25">
      <c r="A126" s="234" t="s">
        <v>67</v>
      </c>
      <c r="B126" s="55" t="s">
        <v>353</v>
      </c>
      <c r="C126" s="55">
        <v>1212044</v>
      </c>
      <c r="D126" s="55" t="s">
        <v>354</v>
      </c>
      <c r="E126" s="55" t="s">
        <v>25</v>
      </c>
      <c r="F126" s="95">
        <v>1680</v>
      </c>
      <c r="G126" s="233" t="s">
        <v>63</v>
      </c>
      <c r="H126" s="237" t="s">
        <v>358</v>
      </c>
      <c r="I126" s="95" t="s">
        <v>356</v>
      </c>
      <c r="J126" s="95"/>
      <c r="K126" s="238"/>
      <c r="L126" s="238"/>
      <c r="M126" s="161"/>
      <c r="N126" s="367" t="s">
        <v>359</v>
      </c>
      <c r="O126" s="96"/>
      <c r="P126" s="96"/>
      <c r="Q126" s="96"/>
      <c r="R126" s="55"/>
    </row>
    <row r="127" spans="1:18" ht="30" x14ac:dyDescent="0.25">
      <c r="A127" s="234" t="s">
        <v>67</v>
      </c>
      <c r="B127" s="55" t="s">
        <v>360</v>
      </c>
      <c r="C127" s="55">
        <v>1212064</v>
      </c>
      <c r="D127" s="55" t="s">
        <v>361</v>
      </c>
      <c r="E127" s="55" t="s">
        <v>23</v>
      </c>
      <c r="F127" s="95">
        <v>4</v>
      </c>
      <c r="G127" s="233" t="s">
        <v>321</v>
      </c>
      <c r="H127" s="237" t="s">
        <v>362</v>
      </c>
      <c r="I127" s="211" t="s">
        <v>363</v>
      </c>
      <c r="J127" s="95" t="s">
        <v>74</v>
      </c>
      <c r="K127" s="239"/>
      <c r="L127" s="239"/>
      <c r="M127" s="239"/>
      <c r="N127" s="367" t="s">
        <v>167</v>
      </c>
      <c r="O127" s="96" t="s">
        <v>364</v>
      </c>
      <c r="P127" s="176">
        <v>45117</v>
      </c>
      <c r="Q127" s="176">
        <v>45138</v>
      </c>
      <c r="R127" s="55" t="s">
        <v>365</v>
      </c>
    </row>
    <row r="128" spans="1:18" ht="30" x14ac:dyDescent="0.25">
      <c r="A128" s="234" t="s">
        <v>67</v>
      </c>
      <c r="B128" s="55" t="s">
        <v>360</v>
      </c>
      <c r="C128" s="55">
        <v>1212064</v>
      </c>
      <c r="D128" s="55" t="s">
        <v>361</v>
      </c>
      <c r="E128" s="55" t="s">
        <v>23</v>
      </c>
      <c r="F128" s="95">
        <v>6880</v>
      </c>
      <c r="G128" s="233" t="s">
        <v>63</v>
      </c>
      <c r="H128" s="237" t="s">
        <v>358</v>
      </c>
      <c r="I128" s="211" t="s">
        <v>363</v>
      </c>
      <c r="J128" s="95" t="s">
        <v>74</v>
      </c>
      <c r="K128" s="239"/>
      <c r="L128" s="239"/>
      <c r="M128" s="239"/>
      <c r="N128" s="367" t="s">
        <v>167</v>
      </c>
      <c r="O128" s="96" t="s">
        <v>364</v>
      </c>
      <c r="P128" s="176">
        <v>45117</v>
      </c>
      <c r="Q128" s="176">
        <v>45138</v>
      </c>
      <c r="R128" s="55" t="s">
        <v>365</v>
      </c>
    </row>
    <row r="129" spans="1:18" x14ac:dyDescent="0.25">
      <c r="A129" s="286" t="s">
        <v>67</v>
      </c>
      <c r="B129" s="57" t="s">
        <v>366</v>
      </c>
      <c r="C129" s="57">
        <v>1212090</v>
      </c>
      <c r="D129" s="57" t="s">
        <v>367</v>
      </c>
      <c r="E129" s="57" t="s">
        <v>32</v>
      </c>
      <c r="F129" s="180">
        <v>1</v>
      </c>
      <c r="G129" s="284" t="s">
        <v>321</v>
      </c>
      <c r="H129" s="287" t="s">
        <v>334</v>
      </c>
      <c r="I129" s="180" t="s">
        <v>157</v>
      </c>
      <c r="J129" s="180" t="s">
        <v>74</v>
      </c>
      <c r="K129" s="288"/>
      <c r="L129" s="288"/>
      <c r="M129" s="289"/>
      <c r="N129" s="368"/>
      <c r="O129" s="166"/>
      <c r="P129" s="166"/>
      <c r="Q129" s="166"/>
      <c r="R129" s="57">
        <v>4965</v>
      </c>
    </row>
    <row r="130" spans="1:18" x14ac:dyDescent="0.25">
      <c r="A130" s="170" t="s">
        <v>67</v>
      </c>
      <c r="B130" s="55" t="s">
        <v>299</v>
      </c>
      <c r="C130" s="55">
        <v>1011722</v>
      </c>
      <c r="D130" s="55" t="s">
        <v>300</v>
      </c>
      <c r="E130" s="55" t="s">
        <v>24</v>
      </c>
      <c r="F130" s="96"/>
      <c r="G130" s="95"/>
      <c r="H130" s="96"/>
      <c r="I130" s="96"/>
      <c r="J130" s="95"/>
      <c r="K130" s="168"/>
      <c r="L130" s="176"/>
      <c r="M130" s="96"/>
      <c r="N130" s="96"/>
      <c r="O130" s="96"/>
      <c r="P130" s="96"/>
      <c r="Q130" s="96"/>
      <c r="R130" s="55"/>
    </row>
    <row r="131" spans="1:18" x14ac:dyDescent="0.25">
      <c r="A131" s="170" t="s">
        <v>67</v>
      </c>
      <c r="B131" s="55" t="s">
        <v>299</v>
      </c>
      <c r="C131" s="55">
        <v>1011722</v>
      </c>
      <c r="D131" s="55" t="s">
        <v>300</v>
      </c>
      <c r="E131" s="55" t="s">
        <v>24</v>
      </c>
      <c r="F131" s="96"/>
      <c r="G131" s="95"/>
      <c r="H131" s="96"/>
      <c r="I131" s="96"/>
      <c r="J131" s="95"/>
      <c r="K131" s="168"/>
      <c r="L131" s="176"/>
      <c r="M131" s="96"/>
      <c r="N131" s="96"/>
      <c r="O131" s="96"/>
      <c r="P131" s="96"/>
      <c r="Q131" s="96"/>
      <c r="R131" s="55"/>
    </row>
    <row r="132" spans="1:18" x14ac:dyDescent="0.25">
      <c r="A132" s="170" t="s">
        <v>67</v>
      </c>
      <c r="B132" s="55" t="s">
        <v>299</v>
      </c>
      <c r="C132" s="55">
        <v>1011722</v>
      </c>
      <c r="D132" s="55" t="s">
        <v>300</v>
      </c>
      <c r="E132" s="55" t="s">
        <v>24</v>
      </c>
      <c r="F132" s="96"/>
      <c r="G132" s="95"/>
      <c r="H132" s="96"/>
      <c r="I132" s="96"/>
      <c r="J132" s="95"/>
      <c r="K132" s="168"/>
      <c r="L132" s="176"/>
      <c r="M132" s="96"/>
      <c r="N132" s="96"/>
      <c r="O132" s="96"/>
      <c r="P132" s="96"/>
      <c r="Q132" s="96"/>
      <c r="R132" s="55"/>
    </row>
    <row r="133" spans="1:18" x14ac:dyDescent="0.25">
      <c r="A133" s="291" t="s">
        <v>67</v>
      </c>
      <c r="B133" s="57" t="s">
        <v>299</v>
      </c>
      <c r="C133" s="57">
        <v>1011722</v>
      </c>
      <c r="D133" s="57" t="s">
        <v>300</v>
      </c>
      <c r="E133" s="57" t="s">
        <v>24</v>
      </c>
      <c r="F133" s="166"/>
      <c r="G133" s="180"/>
      <c r="H133" s="166"/>
      <c r="I133" s="166"/>
      <c r="J133" s="180"/>
      <c r="K133" s="182"/>
      <c r="L133" s="181"/>
      <c r="M133" s="166"/>
      <c r="N133" s="166"/>
      <c r="O133" s="166"/>
      <c r="P133" s="166"/>
      <c r="Q133" s="166"/>
      <c r="R133" s="57"/>
    </row>
    <row r="134" spans="1:18" x14ac:dyDescent="0.25">
      <c r="A134" s="291" t="s">
        <v>67</v>
      </c>
      <c r="B134" s="57" t="s">
        <v>368</v>
      </c>
      <c r="C134" s="57">
        <v>1011937</v>
      </c>
      <c r="D134" s="57" t="s">
        <v>369</v>
      </c>
      <c r="E134" s="57" t="s">
        <v>27</v>
      </c>
      <c r="F134" s="166">
        <v>1</v>
      </c>
      <c r="G134" s="180" t="s">
        <v>321</v>
      </c>
      <c r="H134" s="166" t="s">
        <v>370</v>
      </c>
      <c r="I134" s="180" t="s">
        <v>371</v>
      </c>
      <c r="J134" s="180"/>
      <c r="K134" s="182"/>
      <c r="L134" s="181"/>
      <c r="M134" s="166"/>
      <c r="N134" s="166" t="s">
        <v>167</v>
      </c>
      <c r="O134" s="166" t="s">
        <v>172</v>
      </c>
      <c r="P134" s="166"/>
      <c r="Q134" s="166"/>
      <c r="R134" s="57">
        <v>5253</v>
      </c>
    </row>
    <row r="135" spans="1:18" x14ac:dyDescent="0.25">
      <c r="A135" s="291" t="s">
        <v>67</v>
      </c>
      <c r="B135" s="57" t="s">
        <v>372</v>
      </c>
      <c r="C135" s="57">
        <v>1212132</v>
      </c>
      <c r="D135" s="57" t="s">
        <v>373</v>
      </c>
      <c r="E135" s="57" t="s">
        <v>27</v>
      </c>
      <c r="F135" s="166">
        <v>80</v>
      </c>
      <c r="G135" s="180" t="s">
        <v>374</v>
      </c>
      <c r="H135" s="166" t="s">
        <v>287</v>
      </c>
      <c r="I135" s="298" t="s">
        <v>375</v>
      </c>
      <c r="J135" s="299" t="s">
        <v>74</v>
      </c>
      <c r="K135" s="294" t="s">
        <v>376</v>
      </c>
      <c r="L135" s="295" t="s">
        <v>376</v>
      </c>
      <c r="M135" s="292" t="s">
        <v>376</v>
      </c>
      <c r="N135" s="166" t="s">
        <v>376</v>
      </c>
      <c r="O135" s="292" t="s">
        <v>376</v>
      </c>
      <c r="P135" s="292" t="s">
        <v>376</v>
      </c>
      <c r="Q135" s="292" t="s">
        <v>376</v>
      </c>
      <c r="R135" s="372" t="s">
        <v>376</v>
      </c>
    </row>
    <row r="136" spans="1:18" x14ac:dyDescent="0.25">
      <c r="A136" s="291" t="s">
        <v>67</v>
      </c>
      <c r="B136" s="57" t="s">
        <v>377</v>
      </c>
      <c r="C136" s="57">
        <v>1211967</v>
      </c>
      <c r="D136" s="57" t="s">
        <v>373</v>
      </c>
      <c r="E136" s="57" t="s">
        <v>27</v>
      </c>
      <c r="F136" s="166">
        <v>5</v>
      </c>
      <c r="G136" s="180" t="s">
        <v>321</v>
      </c>
      <c r="H136" s="166" t="s">
        <v>378</v>
      </c>
      <c r="I136" s="298" t="s">
        <v>375</v>
      </c>
      <c r="J136" s="299" t="s">
        <v>74</v>
      </c>
      <c r="K136" s="294" t="s">
        <v>376</v>
      </c>
      <c r="L136" s="295" t="s">
        <v>376</v>
      </c>
      <c r="M136" s="292" t="s">
        <v>376</v>
      </c>
      <c r="N136" s="166" t="s">
        <v>376</v>
      </c>
      <c r="O136" s="292" t="s">
        <v>376</v>
      </c>
      <c r="P136" s="292" t="s">
        <v>376</v>
      </c>
      <c r="Q136" s="292" t="s">
        <v>376</v>
      </c>
      <c r="R136" s="372" t="s">
        <v>376</v>
      </c>
    </row>
    <row r="137" spans="1:18" x14ac:dyDescent="0.25">
      <c r="A137" s="291" t="s">
        <v>67</v>
      </c>
      <c r="B137" s="57" t="s">
        <v>377</v>
      </c>
      <c r="C137" s="57">
        <v>1211967</v>
      </c>
      <c r="D137" s="57" t="s">
        <v>373</v>
      </c>
      <c r="E137" s="57" t="s">
        <v>27</v>
      </c>
      <c r="F137" s="166">
        <v>800</v>
      </c>
      <c r="G137" s="180" t="s">
        <v>374</v>
      </c>
      <c r="H137" s="166" t="s">
        <v>287</v>
      </c>
      <c r="I137" s="298" t="s">
        <v>375</v>
      </c>
      <c r="J137" s="299" t="s">
        <v>74</v>
      </c>
      <c r="K137" s="294" t="s">
        <v>376</v>
      </c>
      <c r="L137" s="295" t="s">
        <v>376</v>
      </c>
      <c r="M137" s="292" t="s">
        <v>376</v>
      </c>
      <c r="N137" s="166" t="s">
        <v>376</v>
      </c>
      <c r="O137" s="292" t="s">
        <v>376</v>
      </c>
      <c r="P137" s="292" t="s">
        <v>376</v>
      </c>
      <c r="Q137" s="292" t="s">
        <v>376</v>
      </c>
      <c r="R137" s="372" t="s">
        <v>376</v>
      </c>
    </row>
    <row r="138" spans="1:18" x14ac:dyDescent="0.25">
      <c r="A138" s="291" t="s">
        <v>67</v>
      </c>
      <c r="B138" s="57" t="s">
        <v>377</v>
      </c>
      <c r="C138" s="57">
        <v>1211967</v>
      </c>
      <c r="D138" s="57" t="s">
        <v>373</v>
      </c>
      <c r="E138" s="57" t="s">
        <v>27</v>
      </c>
      <c r="F138" s="166">
        <v>1</v>
      </c>
      <c r="G138" s="180" t="s">
        <v>321</v>
      </c>
      <c r="H138" s="166" t="s">
        <v>379</v>
      </c>
      <c r="I138" s="298" t="s">
        <v>375</v>
      </c>
      <c r="J138" s="299" t="s">
        <v>74</v>
      </c>
      <c r="K138" s="294" t="s">
        <v>376</v>
      </c>
      <c r="L138" s="295" t="s">
        <v>376</v>
      </c>
      <c r="M138" s="292" t="s">
        <v>376</v>
      </c>
      <c r="N138" s="166" t="s">
        <v>376</v>
      </c>
      <c r="O138" s="292" t="s">
        <v>376</v>
      </c>
      <c r="P138" s="292" t="s">
        <v>376</v>
      </c>
      <c r="Q138" s="292" t="s">
        <v>376</v>
      </c>
      <c r="R138" s="372" t="s">
        <v>376</v>
      </c>
    </row>
    <row r="139" spans="1:18" x14ac:dyDescent="0.25">
      <c r="A139" s="170" t="s">
        <v>67</v>
      </c>
      <c r="B139" s="55" t="s">
        <v>380</v>
      </c>
      <c r="C139" s="55">
        <v>1211681</v>
      </c>
      <c r="D139" s="55" t="s">
        <v>111</v>
      </c>
      <c r="E139" s="55" t="s">
        <v>27</v>
      </c>
      <c r="F139" s="96">
        <v>2200</v>
      </c>
      <c r="G139" s="95" t="s">
        <v>374</v>
      </c>
      <c r="H139" s="96" t="s">
        <v>109</v>
      </c>
      <c r="I139" s="298" t="s">
        <v>381</v>
      </c>
      <c r="J139" s="293" t="s">
        <v>74</v>
      </c>
      <c r="K139" s="294" t="s">
        <v>376</v>
      </c>
      <c r="L139" s="295" t="s">
        <v>376</v>
      </c>
      <c r="M139" s="292" t="s">
        <v>376</v>
      </c>
      <c r="N139" s="96" t="s">
        <v>376</v>
      </c>
      <c r="O139" s="292" t="s">
        <v>376</v>
      </c>
      <c r="P139" s="292" t="s">
        <v>376</v>
      </c>
      <c r="Q139" s="292" t="s">
        <v>376</v>
      </c>
      <c r="R139" s="372" t="s">
        <v>376</v>
      </c>
    </row>
    <row r="140" spans="1:18" x14ac:dyDescent="0.25">
      <c r="A140" s="170" t="s">
        <v>67</v>
      </c>
      <c r="B140" s="55" t="s">
        <v>380</v>
      </c>
      <c r="C140" s="55">
        <v>1211681</v>
      </c>
      <c r="D140" s="55" t="s">
        <v>111</v>
      </c>
      <c r="E140" s="55" t="s">
        <v>27</v>
      </c>
      <c r="F140" s="96">
        <v>1</v>
      </c>
      <c r="G140" s="95" t="s">
        <v>321</v>
      </c>
      <c r="H140" s="96" t="s">
        <v>382</v>
      </c>
      <c r="I140" s="298" t="s">
        <v>381</v>
      </c>
      <c r="J140" s="293" t="s">
        <v>74</v>
      </c>
      <c r="K140" s="294" t="s">
        <v>376</v>
      </c>
      <c r="L140" s="295" t="s">
        <v>376</v>
      </c>
      <c r="M140" s="292" t="s">
        <v>376</v>
      </c>
      <c r="N140" s="96" t="s">
        <v>376</v>
      </c>
      <c r="O140" s="292" t="s">
        <v>376</v>
      </c>
      <c r="P140" s="292" t="s">
        <v>376</v>
      </c>
      <c r="Q140" s="292" t="s">
        <v>376</v>
      </c>
      <c r="R140" s="372" t="s">
        <v>376</v>
      </c>
    </row>
    <row r="141" spans="1:18" x14ac:dyDescent="0.25">
      <c r="A141" s="1767" t="s">
        <v>59</v>
      </c>
      <c r="B141" s="170" t="s">
        <v>383</v>
      </c>
      <c r="C141" s="170">
        <v>129327</v>
      </c>
      <c r="D141" s="170" t="s">
        <v>104</v>
      </c>
      <c r="E141" s="170" t="s">
        <v>36</v>
      </c>
      <c r="F141" s="96">
        <v>200</v>
      </c>
      <c r="G141" s="95" t="s">
        <v>63</v>
      </c>
      <c r="H141" s="96" t="s">
        <v>109</v>
      </c>
      <c r="I141" s="96" t="s">
        <v>279</v>
      </c>
      <c r="J141" s="1764" t="s">
        <v>267</v>
      </c>
      <c r="K141" s="1764" t="s">
        <v>267</v>
      </c>
      <c r="L141" s="1764" t="s">
        <v>267</v>
      </c>
      <c r="M141" s="1764" t="s">
        <v>267</v>
      </c>
      <c r="N141" s="96" t="s">
        <v>267</v>
      </c>
      <c r="O141" s="96" t="s">
        <v>267</v>
      </c>
      <c r="P141" s="1764" t="s">
        <v>267</v>
      </c>
      <c r="Q141" s="1764" t="s">
        <v>267</v>
      </c>
      <c r="R141" s="1767" t="s">
        <v>267</v>
      </c>
    </row>
    <row r="142" spans="1:18" x14ac:dyDescent="0.25">
      <c r="A142" s="1767"/>
      <c r="B142" s="170" t="s">
        <v>384</v>
      </c>
      <c r="C142" s="170">
        <v>129328</v>
      </c>
      <c r="D142" s="170" t="s">
        <v>104</v>
      </c>
      <c r="E142" s="170" t="s">
        <v>36</v>
      </c>
      <c r="F142" s="96">
        <v>400</v>
      </c>
      <c r="G142" s="95" t="s">
        <v>63</v>
      </c>
      <c r="H142" s="96" t="s">
        <v>358</v>
      </c>
      <c r="I142" s="96" t="s">
        <v>279</v>
      </c>
      <c r="J142" s="1764"/>
      <c r="K142" s="1764"/>
      <c r="L142" s="1764"/>
      <c r="M142" s="1764"/>
      <c r="N142" s="96" t="s">
        <v>267</v>
      </c>
      <c r="O142" s="96" t="s">
        <v>267</v>
      </c>
      <c r="P142" s="1764"/>
      <c r="Q142" s="1764"/>
      <c r="R142" s="1767"/>
    </row>
    <row r="143" spans="1:18" x14ac:dyDescent="0.25">
      <c r="A143" s="170" t="s">
        <v>59</v>
      </c>
      <c r="B143" s="170" t="s">
        <v>385</v>
      </c>
      <c r="C143" s="170">
        <v>135740</v>
      </c>
      <c r="D143" s="170" t="s">
        <v>386</v>
      </c>
      <c r="E143" s="170" t="s">
        <v>39</v>
      </c>
      <c r="F143" s="170">
        <v>1120</v>
      </c>
      <c r="G143" s="170" t="s">
        <v>374</v>
      </c>
      <c r="H143" s="96" t="s">
        <v>358</v>
      </c>
      <c r="I143" s="96" t="s">
        <v>279</v>
      </c>
      <c r="J143" s="96" t="s">
        <v>267</v>
      </c>
      <c r="K143" s="96" t="s">
        <v>267</v>
      </c>
      <c r="L143" s="96" t="s">
        <v>267</v>
      </c>
      <c r="M143" s="96" t="s">
        <v>267</v>
      </c>
      <c r="N143" s="96" t="s">
        <v>267</v>
      </c>
      <c r="O143" s="96" t="s">
        <v>267</v>
      </c>
      <c r="P143" s="96" t="s">
        <v>267</v>
      </c>
      <c r="Q143" s="96" t="s">
        <v>267</v>
      </c>
      <c r="R143" s="170" t="s">
        <v>267</v>
      </c>
    </row>
    <row r="144" spans="1:18" x14ac:dyDescent="0.25">
      <c r="A144" s="170" t="s">
        <v>67</v>
      </c>
      <c r="B144" s="55" t="s">
        <v>387</v>
      </c>
      <c r="C144" s="55">
        <v>1212705</v>
      </c>
      <c r="D144" s="55" t="s">
        <v>388</v>
      </c>
      <c r="E144" s="55" t="s">
        <v>28</v>
      </c>
      <c r="F144" s="96">
        <v>1800</v>
      </c>
      <c r="G144" s="95" t="s">
        <v>374</v>
      </c>
      <c r="H144" s="96" t="s">
        <v>109</v>
      </c>
      <c r="I144" s="95" t="s">
        <v>389</v>
      </c>
      <c r="J144" s="95" t="s">
        <v>267</v>
      </c>
      <c r="K144" s="95" t="s">
        <v>267</v>
      </c>
      <c r="L144" s="95" t="s">
        <v>267</v>
      </c>
      <c r="M144" s="95" t="s">
        <v>267</v>
      </c>
      <c r="N144" s="96" t="s">
        <v>267</v>
      </c>
      <c r="O144" s="95" t="s">
        <v>267</v>
      </c>
      <c r="P144" s="95" t="s">
        <v>267</v>
      </c>
      <c r="Q144" s="95" t="s">
        <v>267</v>
      </c>
      <c r="R144" s="55" t="s">
        <v>267</v>
      </c>
    </row>
    <row r="145" spans="1:18" x14ac:dyDescent="0.25">
      <c r="A145" s="170" t="s">
        <v>59</v>
      </c>
      <c r="B145" s="55" t="s">
        <v>390</v>
      </c>
      <c r="C145" s="55">
        <v>1212745</v>
      </c>
      <c r="D145" s="55" t="s">
        <v>391</v>
      </c>
      <c r="E145" s="55" t="s">
        <v>28</v>
      </c>
      <c r="F145" s="96">
        <v>200</v>
      </c>
      <c r="G145" s="95" t="s">
        <v>374</v>
      </c>
      <c r="H145" s="96" t="s">
        <v>109</v>
      </c>
      <c r="I145" s="95" t="s">
        <v>389</v>
      </c>
      <c r="J145" s="95" t="s">
        <v>267</v>
      </c>
      <c r="K145" s="95" t="s">
        <v>267</v>
      </c>
      <c r="L145" s="95" t="s">
        <v>267</v>
      </c>
      <c r="M145" s="95" t="s">
        <v>267</v>
      </c>
      <c r="N145" s="96" t="s">
        <v>267</v>
      </c>
      <c r="O145" s="95" t="s">
        <v>267</v>
      </c>
      <c r="P145" s="95" t="s">
        <v>267</v>
      </c>
      <c r="Q145" s="95" t="s">
        <v>267</v>
      </c>
      <c r="R145" s="55" t="s">
        <v>267</v>
      </c>
    </row>
    <row r="146" spans="1:18" x14ac:dyDescent="0.25">
      <c r="A146" s="170" t="s">
        <v>67</v>
      </c>
      <c r="B146" s="55" t="s">
        <v>392</v>
      </c>
      <c r="C146" s="55">
        <v>1212385</v>
      </c>
      <c r="D146" s="55" t="s">
        <v>393</v>
      </c>
      <c r="E146" s="55" t="s">
        <v>27</v>
      </c>
      <c r="F146" s="96">
        <v>2</v>
      </c>
      <c r="G146" s="95" t="s">
        <v>321</v>
      </c>
      <c r="H146" s="96" t="s">
        <v>394</v>
      </c>
      <c r="I146" s="95"/>
      <c r="J146" s="95"/>
      <c r="K146" s="95"/>
      <c r="L146" s="95"/>
      <c r="M146" s="95"/>
      <c r="N146" s="96"/>
      <c r="O146" s="95"/>
      <c r="P146" s="95"/>
      <c r="Q146" s="95"/>
      <c r="R146" s="55"/>
    </row>
    <row r="147" spans="1:18" x14ac:dyDescent="0.25">
      <c r="A147" s="170" t="s">
        <v>67</v>
      </c>
      <c r="B147" s="55" t="s">
        <v>392</v>
      </c>
      <c r="C147" s="55">
        <v>1212385</v>
      </c>
      <c r="D147" s="55" t="s">
        <v>393</v>
      </c>
      <c r="E147" s="55" t="s">
        <v>27</v>
      </c>
      <c r="F147" s="96">
        <v>3</v>
      </c>
      <c r="G147" s="95" t="s">
        <v>321</v>
      </c>
      <c r="H147" s="96" t="s">
        <v>395</v>
      </c>
      <c r="I147" s="96" t="s">
        <v>396</v>
      </c>
      <c r="J147" s="293" t="s">
        <v>74</v>
      </c>
      <c r="K147" s="294" t="s">
        <v>376</v>
      </c>
      <c r="L147" s="295" t="s">
        <v>376</v>
      </c>
      <c r="M147" s="292" t="s">
        <v>376</v>
      </c>
      <c r="N147" s="292" t="s">
        <v>376</v>
      </c>
      <c r="O147" s="292" t="s">
        <v>376</v>
      </c>
      <c r="P147" s="292" t="s">
        <v>376</v>
      </c>
      <c r="Q147" s="292" t="s">
        <v>376</v>
      </c>
      <c r="R147" s="372" t="s">
        <v>376</v>
      </c>
    </row>
    <row r="148" spans="1:18" x14ac:dyDescent="0.25">
      <c r="A148" s="170" t="s">
        <v>67</v>
      </c>
      <c r="B148" s="55" t="s">
        <v>397</v>
      </c>
      <c r="C148" s="55">
        <v>1212065</v>
      </c>
      <c r="D148" s="55" t="s">
        <v>398</v>
      </c>
      <c r="E148" s="55" t="s">
        <v>35</v>
      </c>
      <c r="F148" s="292"/>
      <c r="G148" s="95" t="s">
        <v>374</v>
      </c>
      <c r="H148" s="96" t="s">
        <v>109</v>
      </c>
      <c r="I148" s="292" t="s">
        <v>381</v>
      </c>
      <c r="J148" s="293"/>
      <c r="K148" s="294"/>
      <c r="L148" s="295"/>
      <c r="M148" s="292"/>
      <c r="N148" s="96" t="s">
        <v>167</v>
      </c>
      <c r="O148" s="292"/>
      <c r="P148" s="292"/>
      <c r="Q148" s="292"/>
      <c r="R148" s="372"/>
    </row>
    <row r="149" spans="1:18" x14ac:dyDescent="0.25">
      <c r="A149" s="170" t="s">
        <v>67</v>
      </c>
      <c r="B149" s="55" t="s">
        <v>399</v>
      </c>
      <c r="C149" s="308">
        <v>1212833</v>
      </c>
      <c r="D149" s="55" t="s">
        <v>400</v>
      </c>
      <c r="E149" s="55" t="s">
        <v>35</v>
      </c>
      <c r="F149" s="315">
        <v>2400</v>
      </c>
      <c r="G149" s="95" t="s">
        <v>374</v>
      </c>
      <c r="H149" s="96" t="s">
        <v>109</v>
      </c>
      <c r="I149" s="292" t="s">
        <v>381</v>
      </c>
      <c r="J149" s="293"/>
      <c r="K149" s="294"/>
      <c r="L149" s="295"/>
      <c r="M149" s="292"/>
      <c r="N149" s="96" t="s">
        <v>167</v>
      </c>
      <c r="O149" s="292"/>
      <c r="P149" s="292"/>
      <c r="Q149" s="292"/>
      <c r="R149" s="372"/>
    </row>
    <row r="150" spans="1:18" x14ac:dyDescent="0.25">
      <c r="A150" s="170" t="s">
        <v>67</v>
      </c>
      <c r="B150" s="55" t="s">
        <v>401</v>
      </c>
      <c r="C150" s="55">
        <v>1212723</v>
      </c>
      <c r="D150" s="55" t="s">
        <v>402</v>
      </c>
      <c r="E150" s="55" t="s">
        <v>25</v>
      </c>
      <c r="F150" s="96">
        <v>1</v>
      </c>
      <c r="G150" s="95" t="s">
        <v>321</v>
      </c>
      <c r="H150" s="96" t="s">
        <v>403</v>
      </c>
      <c r="I150" s="292" t="s">
        <v>381</v>
      </c>
      <c r="J150" s="293"/>
      <c r="K150" s="294"/>
      <c r="L150" s="295"/>
      <c r="M150" s="292"/>
      <c r="N150" s="96"/>
      <c r="O150" s="292"/>
      <c r="P150" s="292"/>
      <c r="Q150" s="292"/>
      <c r="R150" s="372"/>
    </row>
    <row r="151" spans="1:18" x14ac:dyDescent="0.25">
      <c r="A151" s="170" t="s">
        <v>67</v>
      </c>
      <c r="B151" s="55" t="s">
        <v>404</v>
      </c>
      <c r="C151" s="55">
        <v>1412627</v>
      </c>
      <c r="D151" s="55" t="s">
        <v>405</v>
      </c>
      <c r="E151" s="55" t="s">
        <v>28</v>
      </c>
      <c r="F151" s="96">
        <v>3</v>
      </c>
      <c r="G151" s="95" t="s">
        <v>321</v>
      </c>
      <c r="H151" s="96" t="s">
        <v>379</v>
      </c>
      <c r="I151" s="96" t="s">
        <v>157</v>
      </c>
      <c r="J151" s="95" t="s">
        <v>29</v>
      </c>
      <c r="K151" s="168" t="s">
        <v>29</v>
      </c>
      <c r="L151" s="168" t="s">
        <v>29</v>
      </c>
      <c r="M151" s="95" t="s">
        <v>29</v>
      </c>
      <c r="N151" s="96" t="s">
        <v>406</v>
      </c>
      <c r="O151" s="96" t="s">
        <v>407</v>
      </c>
      <c r="P151" s="176">
        <v>45132</v>
      </c>
      <c r="Q151" s="292"/>
      <c r="R151" s="55" t="s">
        <v>408</v>
      </c>
    </row>
    <row r="152" spans="1:18" x14ac:dyDescent="0.25">
      <c r="A152" s="55" t="s">
        <v>67</v>
      </c>
      <c r="B152" s="55" t="s">
        <v>409</v>
      </c>
      <c r="C152" s="55">
        <v>1412200</v>
      </c>
      <c r="D152" s="55" t="s">
        <v>141</v>
      </c>
      <c r="E152" s="55" t="s">
        <v>22</v>
      </c>
      <c r="F152" s="96">
        <v>400</v>
      </c>
      <c r="G152" s="95" t="s">
        <v>374</v>
      </c>
      <c r="H152" s="96" t="s">
        <v>410</v>
      </c>
      <c r="I152" s="96" t="s">
        <v>411</v>
      </c>
      <c r="J152" s="168" t="s">
        <v>412</v>
      </c>
      <c r="K152" s="168">
        <v>45043</v>
      </c>
      <c r="L152" s="176" t="s">
        <v>376</v>
      </c>
      <c r="M152" s="96" t="s">
        <v>376</v>
      </c>
      <c r="N152" s="96" t="s">
        <v>167</v>
      </c>
      <c r="O152" s="96" t="s">
        <v>222</v>
      </c>
      <c r="P152" s="96" t="s">
        <v>376</v>
      </c>
      <c r="Q152" s="96" t="s">
        <v>376</v>
      </c>
      <c r="R152" s="55">
        <v>5291</v>
      </c>
    </row>
    <row r="153" spans="1:18" x14ac:dyDescent="0.25">
      <c r="A153" s="55" t="s">
        <v>67</v>
      </c>
      <c r="B153" s="55" t="s">
        <v>409</v>
      </c>
      <c r="C153" s="55">
        <v>1412200</v>
      </c>
      <c r="D153" s="55" t="s">
        <v>141</v>
      </c>
      <c r="E153" s="55" t="s">
        <v>22</v>
      </c>
      <c r="F153" s="96">
        <v>2</v>
      </c>
      <c r="G153" s="95" t="s">
        <v>321</v>
      </c>
      <c r="H153" s="96" t="s">
        <v>220</v>
      </c>
      <c r="I153" s="96" t="s">
        <v>411</v>
      </c>
      <c r="J153" s="168" t="s">
        <v>412</v>
      </c>
      <c r="K153" s="168">
        <v>45043</v>
      </c>
      <c r="L153" s="176" t="s">
        <v>376</v>
      </c>
      <c r="M153" s="96" t="s">
        <v>376</v>
      </c>
      <c r="N153" s="96" t="s">
        <v>167</v>
      </c>
      <c r="O153" s="96" t="s">
        <v>222</v>
      </c>
      <c r="P153" s="96" t="s">
        <v>376</v>
      </c>
      <c r="Q153" s="96" t="s">
        <v>376</v>
      </c>
      <c r="R153" s="55">
        <v>5291</v>
      </c>
    </row>
    <row r="154" spans="1:18" x14ac:dyDescent="0.25">
      <c r="A154" s="55" t="s">
        <v>413</v>
      </c>
      <c r="B154" s="55" t="s">
        <v>414</v>
      </c>
      <c r="C154" s="55">
        <v>1212526</v>
      </c>
      <c r="D154" s="55" t="s">
        <v>415</v>
      </c>
      <c r="E154" s="55" t="s">
        <v>25</v>
      </c>
      <c r="F154" s="96">
        <v>213</v>
      </c>
      <c r="G154" s="95" t="s">
        <v>374</v>
      </c>
      <c r="H154" s="96" t="s">
        <v>109</v>
      </c>
      <c r="I154" s="96" t="s">
        <v>389</v>
      </c>
      <c r="J154" s="294" t="s">
        <v>74</v>
      </c>
      <c r="K154" s="294"/>
      <c r="L154" s="295"/>
      <c r="M154" s="292"/>
      <c r="N154" s="96"/>
      <c r="O154" s="292"/>
      <c r="P154" s="292"/>
      <c r="Q154" s="292"/>
      <c r="R154" s="372"/>
    </row>
    <row r="155" spans="1:18" x14ac:dyDescent="0.25">
      <c r="A155" s="55" t="s">
        <v>67</v>
      </c>
      <c r="B155" s="55" t="s">
        <v>414</v>
      </c>
      <c r="C155" s="55">
        <v>1212526</v>
      </c>
      <c r="D155" s="55" t="s">
        <v>415</v>
      </c>
      <c r="E155" s="55" t="s">
        <v>25</v>
      </c>
      <c r="F155" s="96">
        <v>2</v>
      </c>
      <c r="G155" s="95" t="s">
        <v>321</v>
      </c>
      <c r="H155" s="96" t="s">
        <v>395</v>
      </c>
      <c r="I155" s="292" t="s">
        <v>381</v>
      </c>
      <c r="J155" s="294"/>
      <c r="K155" s="294"/>
      <c r="L155" s="295"/>
      <c r="M155" s="292"/>
      <c r="N155" s="96"/>
      <c r="O155" s="292"/>
      <c r="P155" s="292"/>
      <c r="Q155" s="292"/>
      <c r="R155" s="372"/>
    </row>
    <row r="156" spans="1:18" x14ac:dyDescent="0.25">
      <c r="A156" s="55" t="s">
        <v>67</v>
      </c>
      <c r="B156" s="55" t="s">
        <v>416</v>
      </c>
      <c r="C156" s="55">
        <v>1011926</v>
      </c>
      <c r="D156" s="55" t="s">
        <v>309</v>
      </c>
      <c r="E156" s="55" t="s">
        <v>22</v>
      </c>
      <c r="F156" s="96">
        <v>8</v>
      </c>
      <c r="G156" s="95" t="s">
        <v>321</v>
      </c>
      <c r="H156" s="96" t="s">
        <v>417</v>
      </c>
      <c r="I156" s="96" t="s">
        <v>411</v>
      </c>
      <c r="J156" s="95" t="s">
        <v>412</v>
      </c>
      <c r="K156" s="168">
        <v>45043</v>
      </c>
      <c r="L156" s="176" t="s">
        <v>376</v>
      </c>
      <c r="M156" s="96" t="s">
        <v>376</v>
      </c>
      <c r="N156" s="96" t="s">
        <v>418</v>
      </c>
      <c r="O156" s="96" t="s">
        <v>407</v>
      </c>
      <c r="P156" s="96" t="s">
        <v>376</v>
      </c>
      <c r="Q156" s="96" t="s">
        <v>376</v>
      </c>
      <c r="R156" s="55">
        <v>5292</v>
      </c>
    </row>
    <row r="157" spans="1:18" x14ac:dyDescent="0.25">
      <c r="A157" s="55" t="s">
        <v>67</v>
      </c>
      <c r="B157" s="55" t="s">
        <v>416</v>
      </c>
      <c r="C157" s="55">
        <v>1011926</v>
      </c>
      <c r="D157" s="55" t="s">
        <v>309</v>
      </c>
      <c r="E157" s="55" t="s">
        <v>22</v>
      </c>
      <c r="F157" s="96">
        <v>6</v>
      </c>
      <c r="G157" s="95" t="s">
        <v>321</v>
      </c>
      <c r="H157" s="96" t="s">
        <v>419</v>
      </c>
      <c r="I157" s="96" t="s">
        <v>411</v>
      </c>
      <c r="J157" s="95" t="s">
        <v>412</v>
      </c>
      <c r="K157" s="168">
        <v>45043</v>
      </c>
      <c r="L157" s="176" t="s">
        <v>376</v>
      </c>
      <c r="M157" s="96" t="s">
        <v>376</v>
      </c>
      <c r="N157" s="96" t="s">
        <v>420</v>
      </c>
      <c r="O157" s="96" t="s">
        <v>407</v>
      </c>
      <c r="P157" s="96" t="s">
        <v>376</v>
      </c>
      <c r="Q157" s="96" t="s">
        <v>376</v>
      </c>
      <c r="R157" s="55">
        <v>5292</v>
      </c>
    </row>
    <row r="158" spans="1:18" x14ac:dyDescent="0.25">
      <c r="A158" s="55" t="s">
        <v>67</v>
      </c>
      <c r="B158" s="55" t="s">
        <v>416</v>
      </c>
      <c r="C158" s="55">
        <v>1011926</v>
      </c>
      <c r="D158" s="55" t="s">
        <v>309</v>
      </c>
      <c r="E158" s="55" t="s">
        <v>22</v>
      </c>
      <c r="F158" s="96">
        <v>5</v>
      </c>
      <c r="G158" s="95" t="s">
        <v>321</v>
      </c>
      <c r="H158" s="96" t="s">
        <v>421</v>
      </c>
      <c r="I158" s="96" t="s">
        <v>411</v>
      </c>
      <c r="J158" s="95" t="s">
        <v>412</v>
      </c>
      <c r="K158" s="168">
        <v>45043</v>
      </c>
      <c r="L158" s="176" t="s">
        <v>376</v>
      </c>
      <c r="M158" s="96" t="s">
        <v>376</v>
      </c>
      <c r="N158" s="96" t="s">
        <v>422</v>
      </c>
      <c r="O158" s="96" t="s">
        <v>407</v>
      </c>
      <c r="P158" s="96" t="s">
        <v>376</v>
      </c>
      <c r="Q158" s="96" t="s">
        <v>376</v>
      </c>
      <c r="R158" s="55">
        <v>5292</v>
      </c>
    </row>
    <row r="159" spans="1:18" x14ac:dyDescent="0.25">
      <c r="A159" s="57" t="s">
        <v>67</v>
      </c>
      <c r="B159" s="57" t="s">
        <v>416</v>
      </c>
      <c r="C159" s="57">
        <v>1011926</v>
      </c>
      <c r="D159" s="57" t="s">
        <v>309</v>
      </c>
      <c r="E159" s="57" t="s">
        <v>22</v>
      </c>
      <c r="F159" s="166">
        <v>4</v>
      </c>
      <c r="G159" s="180" t="s">
        <v>321</v>
      </c>
      <c r="H159" s="166" t="s">
        <v>423</v>
      </c>
      <c r="I159" s="96" t="s">
        <v>411</v>
      </c>
      <c r="J159" s="95" t="s">
        <v>412</v>
      </c>
      <c r="K159" s="168">
        <v>45043</v>
      </c>
      <c r="L159" s="176" t="s">
        <v>376</v>
      </c>
      <c r="M159" s="96" t="s">
        <v>376</v>
      </c>
      <c r="N159" s="166" t="s">
        <v>424</v>
      </c>
      <c r="O159" s="96" t="s">
        <v>407</v>
      </c>
      <c r="P159" s="96" t="s">
        <v>376</v>
      </c>
      <c r="Q159" s="96" t="s">
        <v>376</v>
      </c>
      <c r="R159" s="57">
        <v>5292</v>
      </c>
    </row>
    <row r="160" spans="1:18" ht="60" customHeight="1" x14ac:dyDescent="0.25">
      <c r="A160" s="1766" t="s">
        <v>413</v>
      </c>
      <c r="B160" s="170" t="s">
        <v>425</v>
      </c>
      <c r="C160" s="170">
        <v>102155</v>
      </c>
      <c r="D160" s="170" t="s">
        <v>426</v>
      </c>
      <c r="E160" s="170" t="s">
        <v>34</v>
      </c>
      <c r="F160" s="96">
        <v>1</v>
      </c>
      <c r="G160" s="95" t="s">
        <v>321</v>
      </c>
      <c r="H160" s="240" t="s">
        <v>427</v>
      </c>
      <c r="I160" s="170" t="s">
        <v>221</v>
      </c>
      <c r="J160" s="95" t="s">
        <v>66</v>
      </c>
      <c r="K160" s="168">
        <v>44961</v>
      </c>
      <c r="L160" s="1768"/>
      <c r="M160" s="1767"/>
      <c r="N160" s="238" t="s">
        <v>428</v>
      </c>
      <c r="O160" s="170" t="s">
        <v>429</v>
      </c>
      <c r="P160" s="1767"/>
      <c r="Q160" s="1767"/>
      <c r="R160" s="57">
        <v>4050</v>
      </c>
    </row>
    <row r="161" spans="1:18" ht="60" customHeight="1" x14ac:dyDescent="0.25">
      <c r="A161" s="1766"/>
      <c r="B161" s="170" t="s">
        <v>351</v>
      </c>
      <c r="C161" s="170">
        <v>102156</v>
      </c>
      <c r="D161" s="170" t="s">
        <v>426</v>
      </c>
      <c r="E161" s="170" t="s">
        <v>34</v>
      </c>
      <c r="F161" s="96">
        <v>1</v>
      </c>
      <c r="G161" s="95" t="s">
        <v>321</v>
      </c>
      <c r="H161" s="240" t="s">
        <v>430</v>
      </c>
      <c r="I161" s="170" t="s">
        <v>221</v>
      </c>
      <c r="J161" s="95" t="s">
        <v>66</v>
      </c>
      <c r="K161" s="168">
        <v>44961</v>
      </c>
      <c r="L161" s="1768"/>
      <c r="M161" s="1767"/>
      <c r="N161" s="238" t="s">
        <v>431</v>
      </c>
      <c r="O161" s="170" t="s">
        <v>429</v>
      </c>
      <c r="P161" s="1767"/>
      <c r="Q161" s="1767"/>
      <c r="R161" s="57">
        <v>4050</v>
      </c>
    </row>
    <row r="162" spans="1:18" x14ac:dyDescent="0.25">
      <c r="A162" s="296" t="s">
        <v>59</v>
      </c>
      <c r="B162" s="55" t="s">
        <v>432</v>
      </c>
      <c r="C162" s="55">
        <v>1010408</v>
      </c>
      <c r="D162" s="55" t="s">
        <v>433</v>
      </c>
      <c r="E162" s="55" t="s">
        <v>34</v>
      </c>
      <c r="F162" s="96">
        <v>2</v>
      </c>
      <c r="G162" s="95" t="s">
        <v>321</v>
      </c>
      <c r="H162" s="96" t="s">
        <v>434</v>
      </c>
      <c r="I162" s="96" t="s">
        <v>221</v>
      </c>
      <c r="J162" s="95" t="s">
        <v>66</v>
      </c>
      <c r="K162" s="168">
        <v>45020</v>
      </c>
      <c r="L162" s="176"/>
      <c r="M162" s="96"/>
      <c r="N162" s="96" t="s">
        <v>435</v>
      </c>
      <c r="O162" s="96" t="s">
        <v>436</v>
      </c>
      <c r="P162" s="96"/>
      <c r="Q162" s="96"/>
      <c r="R162" s="55">
        <v>4878</v>
      </c>
    </row>
    <row r="163" spans="1:18" ht="30" x14ac:dyDescent="0.25">
      <c r="A163" s="362" t="s">
        <v>413</v>
      </c>
      <c r="B163" s="361" t="s">
        <v>437</v>
      </c>
      <c r="C163" s="170">
        <v>1011935</v>
      </c>
      <c r="D163" s="170" t="s">
        <v>438</v>
      </c>
      <c r="E163" s="170" t="s">
        <v>34</v>
      </c>
      <c r="F163" s="96">
        <v>280</v>
      </c>
      <c r="G163" s="95" t="s">
        <v>374</v>
      </c>
      <c r="H163" s="164" t="s">
        <v>439</v>
      </c>
      <c r="I163" s="170" t="s">
        <v>221</v>
      </c>
      <c r="J163" s="95" t="s">
        <v>66</v>
      </c>
      <c r="K163" s="168">
        <v>45026</v>
      </c>
      <c r="L163" s="176"/>
      <c r="M163" s="96"/>
      <c r="N163" s="164" t="s">
        <v>167</v>
      </c>
      <c r="O163" s="166" t="s">
        <v>172</v>
      </c>
      <c r="P163" s="96"/>
      <c r="Q163" s="96"/>
      <c r="R163" s="57">
        <v>4934</v>
      </c>
    </row>
    <row r="164" spans="1:18" x14ac:dyDescent="0.25">
      <c r="A164" s="363"/>
      <c r="B164" s="361" t="s">
        <v>368</v>
      </c>
      <c r="C164" s="170">
        <v>1011936</v>
      </c>
      <c r="D164" s="170" t="s">
        <v>438</v>
      </c>
      <c r="E164" s="170" t="s">
        <v>34</v>
      </c>
      <c r="F164" s="96">
        <v>1</v>
      </c>
      <c r="G164" s="95" t="s">
        <v>321</v>
      </c>
      <c r="H164" s="164" t="s">
        <v>440</v>
      </c>
      <c r="I164" s="170" t="s">
        <v>221</v>
      </c>
      <c r="J164" s="297" t="s">
        <v>66</v>
      </c>
      <c r="K164" s="168">
        <v>45026</v>
      </c>
      <c r="L164" s="176"/>
      <c r="M164" s="96"/>
      <c r="N164" s="164" t="s">
        <v>167</v>
      </c>
      <c r="O164" s="166" t="s">
        <v>172</v>
      </c>
      <c r="P164" s="96"/>
      <c r="Q164" s="96"/>
      <c r="R164" s="57">
        <v>4934</v>
      </c>
    </row>
    <row r="165" spans="1:18" x14ac:dyDescent="0.25">
      <c r="A165" s="1766" t="s">
        <v>413</v>
      </c>
      <c r="B165" s="170" t="s">
        <v>441</v>
      </c>
      <c r="C165" s="360">
        <v>1011803</v>
      </c>
      <c r="D165" s="170" t="s">
        <v>277</v>
      </c>
      <c r="E165" s="170" t="s">
        <v>34</v>
      </c>
      <c r="F165" s="96">
        <v>80</v>
      </c>
      <c r="G165" s="95" t="s">
        <v>374</v>
      </c>
      <c r="H165" s="96" t="s">
        <v>442</v>
      </c>
      <c r="I165" s="170" t="s">
        <v>221</v>
      </c>
      <c r="J165" s="95" t="s">
        <v>66</v>
      </c>
      <c r="K165" s="168">
        <v>45041</v>
      </c>
      <c r="L165" s="1765"/>
      <c r="M165" s="1764"/>
      <c r="N165" s="96" t="s">
        <v>167</v>
      </c>
      <c r="O165" s="96" t="s">
        <v>443</v>
      </c>
      <c r="P165" s="1764"/>
      <c r="Q165" s="1764"/>
      <c r="R165" s="55">
        <v>5244</v>
      </c>
    </row>
    <row r="166" spans="1:18" ht="60" customHeight="1" x14ac:dyDescent="0.25">
      <c r="A166" s="1766"/>
      <c r="B166" s="170" t="s">
        <v>416</v>
      </c>
      <c r="C166" s="360">
        <v>1011804</v>
      </c>
      <c r="D166" s="170" t="s">
        <v>277</v>
      </c>
      <c r="E166" s="170" t="s">
        <v>34</v>
      </c>
      <c r="F166" s="96">
        <v>1</v>
      </c>
      <c r="G166" s="95" t="s">
        <v>321</v>
      </c>
      <c r="H166" s="240" t="s">
        <v>444</v>
      </c>
      <c r="I166" s="170" t="s">
        <v>221</v>
      </c>
      <c r="J166" s="95" t="s">
        <v>66</v>
      </c>
      <c r="K166" s="168">
        <v>45041</v>
      </c>
      <c r="L166" s="1765"/>
      <c r="M166" s="1764"/>
      <c r="N166" s="238" t="s">
        <v>167</v>
      </c>
      <c r="O166" s="96" t="s">
        <v>443</v>
      </c>
      <c r="P166" s="1764"/>
      <c r="Q166" s="1764"/>
      <c r="R166" s="55">
        <v>5244</v>
      </c>
    </row>
    <row r="167" spans="1:18" ht="60" customHeight="1" x14ac:dyDescent="0.25">
      <c r="A167" s="1766"/>
      <c r="B167" s="170" t="s">
        <v>445</v>
      </c>
      <c r="C167" s="360">
        <v>1011805</v>
      </c>
      <c r="D167" s="170" t="s">
        <v>277</v>
      </c>
      <c r="E167" s="170" t="s">
        <v>34</v>
      </c>
      <c r="F167" s="166">
        <v>1</v>
      </c>
      <c r="G167" s="180" t="s">
        <v>321</v>
      </c>
      <c r="H167" s="301" t="s">
        <v>446</v>
      </c>
      <c r="I167" s="170" t="s">
        <v>221</v>
      </c>
      <c r="J167" s="180" t="s">
        <v>66</v>
      </c>
      <c r="K167" s="182">
        <v>45041</v>
      </c>
      <c r="L167" s="1765"/>
      <c r="M167" s="1764"/>
      <c r="N167" s="288" t="s">
        <v>167</v>
      </c>
      <c r="O167" s="96" t="s">
        <v>443</v>
      </c>
      <c r="P167" s="1764"/>
      <c r="Q167" s="1764"/>
      <c r="R167" s="55">
        <v>5244</v>
      </c>
    </row>
    <row r="168" spans="1:18" s="41" customFormat="1" x14ac:dyDescent="0.25">
      <c r="A168" s="170" t="s">
        <v>67</v>
      </c>
      <c r="B168" s="91" t="s">
        <v>447</v>
      </c>
      <c r="C168" s="91">
        <v>1212254</v>
      </c>
      <c r="D168" s="91" t="s">
        <v>448</v>
      </c>
      <c r="E168" s="91" t="s">
        <v>23</v>
      </c>
      <c r="F168" s="41">
        <v>1</v>
      </c>
      <c r="G168" s="42" t="s">
        <v>321</v>
      </c>
      <c r="H168" s="164" t="s">
        <v>439</v>
      </c>
      <c r="I168" s="91" t="s">
        <v>411</v>
      </c>
      <c r="J168" s="42" t="s">
        <v>66</v>
      </c>
      <c r="K168" s="63">
        <v>45063</v>
      </c>
      <c r="L168" s="63"/>
      <c r="M168" s="42"/>
      <c r="N168" s="164"/>
      <c r="O168" s="302"/>
      <c r="P168" s="42"/>
      <c r="Q168" s="42"/>
      <c r="R168" s="91"/>
    </row>
    <row r="169" spans="1:18" s="41" customFormat="1" x14ac:dyDescent="0.25">
      <c r="A169" s="170" t="s">
        <v>67</v>
      </c>
      <c r="B169" s="91" t="s">
        <v>449</v>
      </c>
      <c r="C169" s="91">
        <v>1212258</v>
      </c>
      <c r="D169" s="91" t="s">
        <v>448</v>
      </c>
      <c r="E169" s="91" t="s">
        <v>23</v>
      </c>
      <c r="F169" s="41">
        <v>1</v>
      </c>
      <c r="G169" s="42" t="s">
        <v>321</v>
      </c>
      <c r="H169" s="164" t="s">
        <v>450</v>
      </c>
      <c r="I169" s="91" t="s">
        <v>411</v>
      </c>
      <c r="J169" s="42" t="s">
        <v>66</v>
      </c>
      <c r="K169" s="63">
        <v>45078</v>
      </c>
      <c r="L169" s="63"/>
      <c r="M169" s="42"/>
      <c r="N169" s="164"/>
      <c r="O169" s="302"/>
      <c r="P169" s="42"/>
      <c r="Q169" s="42"/>
      <c r="R169" s="91"/>
    </row>
    <row r="170" spans="1:18" x14ac:dyDescent="0.25">
      <c r="A170" s="170" t="s">
        <v>59</v>
      </c>
      <c r="B170" s="91" t="s">
        <v>451</v>
      </c>
      <c r="C170" s="91">
        <v>102169</v>
      </c>
      <c r="D170" s="91" t="s">
        <v>452</v>
      </c>
      <c r="E170" s="91" t="s">
        <v>34</v>
      </c>
      <c r="F170" s="41">
        <v>1</v>
      </c>
      <c r="G170" s="42" t="s">
        <v>321</v>
      </c>
      <c r="H170" s="164" t="s">
        <v>453</v>
      </c>
      <c r="I170" s="91" t="s">
        <v>157</v>
      </c>
      <c r="J170" s="95" t="s">
        <v>66</v>
      </c>
      <c r="K170" s="63">
        <v>45065</v>
      </c>
      <c r="L170" s="63"/>
      <c r="M170" s="42"/>
      <c r="N170" s="164" t="s">
        <v>167</v>
      </c>
      <c r="O170" s="302" t="s">
        <v>172</v>
      </c>
      <c r="P170" s="42"/>
      <c r="Q170" s="42"/>
      <c r="R170" s="91" t="s">
        <v>454</v>
      </c>
    </row>
    <row r="171" spans="1:18" x14ac:dyDescent="0.25">
      <c r="A171" s="170" t="s">
        <v>59</v>
      </c>
      <c r="B171" s="91" t="s">
        <v>451</v>
      </c>
      <c r="C171" s="91">
        <v>102169</v>
      </c>
      <c r="D171" s="91" t="s">
        <v>452</v>
      </c>
      <c r="E171" s="91" t="s">
        <v>34</v>
      </c>
      <c r="F171" s="41">
        <v>2</v>
      </c>
      <c r="G171" s="42" t="s">
        <v>321</v>
      </c>
      <c r="H171" s="164" t="s">
        <v>455</v>
      </c>
      <c r="I171" s="91" t="s">
        <v>157</v>
      </c>
      <c r="J171" s="95" t="s">
        <v>66</v>
      </c>
      <c r="K171" s="63">
        <v>45065</v>
      </c>
      <c r="L171" s="63"/>
      <c r="M171" s="42"/>
      <c r="N171" s="164" t="s">
        <v>167</v>
      </c>
      <c r="O171" s="302" t="s">
        <v>172</v>
      </c>
      <c r="P171" s="42"/>
      <c r="Q171" s="42"/>
      <c r="R171" s="91" t="s">
        <v>456</v>
      </c>
    </row>
    <row r="172" spans="1:18" x14ac:dyDescent="0.25">
      <c r="A172" s="170" t="s">
        <v>59</v>
      </c>
      <c r="B172" s="91" t="s">
        <v>457</v>
      </c>
      <c r="C172" s="91">
        <v>1011104</v>
      </c>
      <c r="D172" s="91" t="s">
        <v>458</v>
      </c>
      <c r="E172" s="91" t="s">
        <v>34</v>
      </c>
      <c r="F172" s="41">
        <v>1</v>
      </c>
      <c r="G172" s="42" t="s">
        <v>321</v>
      </c>
      <c r="H172" s="164" t="s">
        <v>459</v>
      </c>
      <c r="I172" s="91" t="s">
        <v>157</v>
      </c>
      <c r="J172" s="95" t="s">
        <v>66</v>
      </c>
      <c r="K172" s="63">
        <v>45065</v>
      </c>
      <c r="L172" s="63"/>
      <c r="M172" s="42"/>
      <c r="N172" s="164" t="s">
        <v>460</v>
      </c>
      <c r="O172" s="302" t="s">
        <v>461</v>
      </c>
      <c r="P172" s="42"/>
      <c r="Q172" s="42"/>
      <c r="R172" s="91">
        <v>5493</v>
      </c>
    </row>
    <row r="173" spans="1:18" x14ac:dyDescent="0.25">
      <c r="A173" s="170" t="s">
        <v>59</v>
      </c>
      <c r="B173" s="91" t="s">
        <v>457</v>
      </c>
      <c r="C173" s="91">
        <v>1011104</v>
      </c>
      <c r="D173" s="91" t="s">
        <v>458</v>
      </c>
      <c r="E173" s="91" t="s">
        <v>34</v>
      </c>
      <c r="F173" s="41">
        <v>1</v>
      </c>
      <c r="G173" s="42" t="s">
        <v>321</v>
      </c>
      <c r="H173" s="164" t="s">
        <v>455</v>
      </c>
      <c r="I173" s="91" t="s">
        <v>157</v>
      </c>
      <c r="J173" s="95" t="s">
        <v>66</v>
      </c>
      <c r="K173" s="63">
        <v>45065</v>
      </c>
      <c r="L173" s="63"/>
      <c r="M173" s="42"/>
      <c r="N173" s="164" t="s">
        <v>460</v>
      </c>
      <c r="O173" s="302" t="s">
        <v>461</v>
      </c>
      <c r="P173" s="42"/>
      <c r="Q173" s="42"/>
      <c r="R173" s="91">
        <v>5493</v>
      </c>
    </row>
    <row r="174" spans="1:18" x14ac:dyDescent="0.25">
      <c r="A174" s="170" t="s">
        <v>59</v>
      </c>
      <c r="B174" s="91" t="s">
        <v>462</v>
      </c>
      <c r="C174" s="91">
        <v>1011561</v>
      </c>
      <c r="D174" s="91" t="s">
        <v>463</v>
      </c>
      <c r="E174" s="91" t="s">
        <v>34</v>
      </c>
      <c r="F174" s="41">
        <v>1</v>
      </c>
      <c r="G174" s="42" t="s">
        <v>321</v>
      </c>
      <c r="H174" s="164" t="s">
        <v>464</v>
      </c>
      <c r="I174" s="91" t="s">
        <v>157</v>
      </c>
      <c r="J174" s="95" t="s">
        <v>66</v>
      </c>
      <c r="K174" s="63">
        <v>45078</v>
      </c>
      <c r="L174" s="63"/>
      <c r="M174" s="42"/>
      <c r="N174" s="164" t="s">
        <v>167</v>
      </c>
      <c r="O174" s="302" t="s">
        <v>465</v>
      </c>
      <c r="P174" s="42"/>
      <c r="Q174" s="42"/>
      <c r="R174" s="91">
        <v>5495</v>
      </c>
    </row>
    <row r="175" spans="1:18" x14ac:dyDescent="0.25">
      <c r="A175" s="170" t="s">
        <v>59</v>
      </c>
      <c r="B175" s="91" t="s">
        <v>466</v>
      </c>
      <c r="C175" s="91">
        <v>1011934</v>
      </c>
      <c r="D175" s="91" t="s">
        <v>467</v>
      </c>
      <c r="E175" s="91" t="s">
        <v>34</v>
      </c>
      <c r="F175" s="41">
        <v>1</v>
      </c>
      <c r="G175" s="42" t="s">
        <v>321</v>
      </c>
      <c r="H175" s="164" t="s">
        <v>468</v>
      </c>
      <c r="I175" s="91" t="s">
        <v>157</v>
      </c>
      <c r="J175" s="95" t="s">
        <v>66</v>
      </c>
      <c r="K175" s="63">
        <v>45078</v>
      </c>
      <c r="L175" s="63"/>
      <c r="M175" s="42"/>
      <c r="N175" s="164"/>
      <c r="O175" s="303"/>
      <c r="P175" s="42"/>
      <c r="Q175" s="42"/>
      <c r="R175" s="91">
        <v>5449</v>
      </c>
    </row>
    <row r="176" spans="1:18" x14ac:dyDescent="0.25">
      <c r="A176" s="170" t="s">
        <v>67</v>
      </c>
      <c r="B176" s="91" t="s">
        <v>469</v>
      </c>
      <c r="C176" s="91">
        <v>1010582</v>
      </c>
      <c r="D176" s="91" t="s">
        <v>470</v>
      </c>
      <c r="E176" s="91" t="s">
        <v>22</v>
      </c>
      <c r="F176" s="41">
        <v>880</v>
      </c>
      <c r="G176" s="42" t="s">
        <v>63</v>
      </c>
      <c r="H176" s="164" t="s">
        <v>471</v>
      </c>
      <c r="I176" s="91" t="s">
        <v>157</v>
      </c>
      <c r="J176" s="42"/>
      <c r="K176" s="63"/>
      <c r="L176" s="63"/>
      <c r="M176" s="42"/>
      <c r="N176" s="164" t="s">
        <v>167</v>
      </c>
      <c r="O176" s="303" t="s">
        <v>472</v>
      </c>
      <c r="P176" s="42"/>
      <c r="Q176" s="42"/>
      <c r="R176" s="91">
        <v>5695</v>
      </c>
    </row>
    <row r="177" spans="1:18" x14ac:dyDescent="0.25">
      <c r="A177" s="170" t="s">
        <v>67</v>
      </c>
      <c r="B177" s="91" t="s">
        <v>469</v>
      </c>
      <c r="C177" s="91">
        <v>1010582</v>
      </c>
      <c r="D177" s="91" t="s">
        <v>470</v>
      </c>
      <c r="E177" s="91" t="s">
        <v>22</v>
      </c>
      <c r="F177" s="41">
        <v>40</v>
      </c>
      <c r="G177" s="42" t="s">
        <v>63</v>
      </c>
      <c r="H177" s="164" t="s">
        <v>473</v>
      </c>
      <c r="I177" s="91" t="s">
        <v>157</v>
      </c>
      <c r="J177" s="42"/>
      <c r="K177" s="63"/>
      <c r="L177" s="63"/>
      <c r="M177" s="42"/>
      <c r="N177" s="164" t="s">
        <v>167</v>
      </c>
      <c r="O177" s="303" t="s">
        <v>472</v>
      </c>
      <c r="P177" s="42"/>
      <c r="Q177" s="42"/>
      <c r="R177" s="91">
        <v>5695</v>
      </c>
    </row>
    <row r="178" spans="1:18" x14ac:dyDescent="0.25">
      <c r="A178" s="170" t="s">
        <v>67</v>
      </c>
      <c r="B178" s="91" t="s">
        <v>469</v>
      </c>
      <c r="C178" s="91">
        <v>1010582</v>
      </c>
      <c r="D178" s="91" t="s">
        <v>470</v>
      </c>
      <c r="E178" s="91" t="s">
        <v>22</v>
      </c>
      <c r="F178" s="41">
        <v>40</v>
      </c>
      <c r="G178" s="42" t="s">
        <v>63</v>
      </c>
      <c r="H178" s="164" t="s">
        <v>474</v>
      </c>
      <c r="I178" s="91" t="s">
        <v>157</v>
      </c>
      <c r="J178" s="42"/>
      <c r="K178" s="63"/>
      <c r="L178" s="63"/>
      <c r="M178" s="42"/>
      <c r="N178" s="164" t="s">
        <v>167</v>
      </c>
      <c r="O178" s="303" t="s">
        <v>472</v>
      </c>
      <c r="P178" s="42"/>
      <c r="Q178" s="42"/>
      <c r="R178" s="91">
        <v>5695</v>
      </c>
    </row>
    <row r="179" spans="1:18" x14ac:dyDescent="0.25">
      <c r="A179" s="170" t="s">
        <v>67</v>
      </c>
      <c r="B179" s="91" t="s">
        <v>469</v>
      </c>
      <c r="C179" s="91">
        <v>1010582</v>
      </c>
      <c r="D179" s="91" t="s">
        <v>470</v>
      </c>
      <c r="E179" s="91" t="s">
        <v>22</v>
      </c>
      <c r="F179" s="41">
        <v>40</v>
      </c>
      <c r="G179" s="42" t="s">
        <v>63</v>
      </c>
      <c r="H179" s="164" t="s">
        <v>475</v>
      </c>
      <c r="I179" s="91" t="s">
        <v>157</v>
      </c>
      <c r="J179" s="42"/>
      <c r="K179" s="63"/>
      <c r="L179" s="63"/>
      <c r="M179" s="42"/>
      <c r="N179" s="164" t="s">
        <v>167</v>
      </c>
      <c r="O179" s="303" t="s">
        <v>472</v>
      </c>
      <c r="P179" s="42"/>
      <c r="Q179" s="42"/>
      <c r="R179" s="91">
        <v>5695</v>
      </c>
    </row>
    <row r="180" spans="1:18" x14ac:dyDescent="0.25">
      <c r="A180" s="170" t="s">
        <v>67</v>
      </c>
      <c r="B180" s="91" t="s">
        <v>469</v>
      </c>
      <c r="C180" s="91">
        <v>1010582</v>
      </c>
      <c r="D180" s="91" t="s">
        <v>470</v>
      </c>
      <c r="E180" s="91" t="s">
        <v>22</v>
      </c>
      <c r="F180" s="41">
        <v>40</v>
      </c>
      <c r="G180" s="42" t="s">
        <v>63</v>
      </c>
      <c r="H180" s="164" t="s">
        <v>476</v>
      </c>
      <c r="I180" s="91" t="s">
        <v>157</v>
      </c>
      <c r="J180" s="42"/>
      <c r="K180" s="63"/>
      <c r="L180" s="63"/>
      <c r="M180" s="42"/>
      <c r="N180" s="164" t="s">
        <v>167</v>
      </c>
      <c r="O180" s="303" t="s">
        <v>472</v>
      </c>
      <c r="P180" s="42"/>
      <c r="Q180" s="42"/>
      <c r="R180" s="91">
        <v>5695</v>
      </c>
    </row>
    <row r="181" spans="1:18" x14ac:dyDescent="0.25">
      <c r="A181" s="170" t="s">
        <v>67</v>
      </c>
      <c r="B181" s="91" t="s">
        <v>469</v>
      </c>
      <c r="C181" s="91">
        <v>1010582</v>
      </c>
      <c r="D181" s="91" t="s">
        <v>470</v>
      </c>
      <c r="E181" s="91" t="s">
        <v>22</v>
      </c>
      <c r="F181" s="41">
        <v>1</v>
      </c>
      <c r="G181" s="42" t="s">
        <v>321</v>
      </c>
      <c r="H181" s="164" t="s">
        <v>477</v>
      </c>
      <c r="I181" s="91" t="s">
        <v>157</v>
      </c>
      <c r="J181" s="42"/>
      <c r="K181" s="63"/>
      <c r="L181" s="63"/>
      <c r="M181" s="42"/>
      <c r="N181" s="164" t="s">
        <v>167</v>
      </c>
      <c r="O181" s="303" t="s">
        <v>472</v>
      </c>
      <c r="P181" s="42"/>
      <c r="Q181" s="42"/>
      <c r="R181" s="91">
        <v>5695</v>
      </c>
    </row>
    <row r="182" spans="1:18" x14ac:dyDescent="0.25">
      <c r="A182" s="170" t="s">
        <v>67</v>
      </c>
      <c r="B182" s="91" t="s">
        <v>469</v>
      </c>
      <c r="C182" s="91">
        <v>1010582</v>
      </c>
      <c r="D182" s="91" t="s">
        <v>470</v>
      </c>
      <c r="E182" s="91" t="s">
        <v>22</v>
      </c>
      <c r="F182" s="41">
        <v>2</v>
      </c>
      <c r="G182" s="42" t="s">
        <v>321</v>
      </c>
      <c r="H182" s="164" t="s">
        <v>478</v>
      </c>
      <c r="I182" s="91" t="s">
        <v>157</v>
      </c>
      <c r="J182" s="42"/>
      <c r="K182" s="63"/>
      <c r="L182" s="63"/>
      <c r="M182" s="42"/>
      <c r="N182" s="164" t="s">
        <v>167</v>
      </c>
      <c r="O182" s="303" t="s">
        <v>472</v>
      </c>
      <c r="P182" s="42"/>
      <c r="Q182" s="42"/>
      <c r="R182" s="91">
        <v>5695</v>
      </c>
    </row>
    <row r="183" spans="1:18" x14ac:dyDescent="0.25">
      <c r="A183" s="170" t="s">
        <v>67</v>
      </c>
      <c r="B183" s="91" t="s">
        <v>469</v>
      </c>
      <c r="C183" s="91">
        <v>1010582</v>
      </c>
      <c r="D183" s="91" t="s">
        <v>470</v>
      </c>
      <c r="E183" s="91" t="s">
        <v>22</v>
      </c>
      <c r="F183" s="41">
        <v>1</v>
      </c>
      <c r="G183" s="42" t="s">
        <v>321</v>
      </c>
      <c r="H183" s="164" t="s">
        <v>479</v>
      </c>
      <c r="I183" s="91" t="s">
        <v>157</v>
      </c>
      <c r="J183" s="42"/>
      <c r="K183" s="63"/>
      <c r="L183" s="63"/>
      <c r="M183" s="42"/>
      <c r="N183" s="164" t="s">
        <v>167</v>
      </c>
      <c r="O183" s="303" t="s">
        <v>472</v>
      </c>
      <c r="P183" s="42"/>
      <c r="Q183" s="42"/>
      <c r="R183" s="91">
        <v>5695</v>
      </c>
    </row>
    <row r="184" spans="1:18" x14ac:dyDescent="0.25">
      <c r="A184" s="170" t="s">
        <v>67</v>
      </c>
      <c r="B184" s="91" t="s">
        <v>469</v>
      </c>
      <c r="C184" s="91">
        <v>1010582</v>
      </c>
      <c r="D184" s="91" t="s">
        <v>470</v>
      </c>
      <c r="E184" s="91" t="s">
        <v>22</v>
      </c>
      <c r="F184" s="41">
        <v>2</v>
      </c>
      <c r="G184" s="42" t="s">
        <v>321</v>
      </c>
      <c r="H184" s="164" t="s">
        <v>480</v>
      </c>
      <c r="I184" s="91" t="s">
        <v>157</v>
      </c>
      <c r="J184" s="42"/>
      <c r="K184" s="63"/>
      <c r="L184" s="63"/>
      <c r="M184" s="42"/>
      <c r="N184" s="164" t="s">
        <v>167</v>
      </c>
      <c r="O184" s="303" t="s">
        <v>472</v>
      </c>
      <c r="P184" s="42"/>
      <c r="Q184" s="42"/>
      <c r="R184" s="91">
        <v>5695</v>
      </c>
    </row>
    <row r="185" spans="1:18" x14ac:dyDescent="0.25">
      <c r="A185" s="170" t="s">
        <v>67</v>
      </c>
      <c r="B185" s="91" t="s">
        <v>469</v>
      </c>
      <c r="C185" s="91">
        <v>1010582</v>
      </c>
      <c r="D185" s="91" t="s">
        <v>470</v>
      </c>
      <c r="E185" s="91" t="s">
        <v>22</v>
      </c>
      <c r="F185" s="41">
        <v>3</v>
      </c>
      <c r="G185" s="42" t="s">
        <v>321</v>
      </c>
      <c r="H185" s="164" t="s">
        <v>481</v>
      </c>
      <c r="I185" s="91" t="s">
        <v>157</v>
      </c>
      <c r="J185" s="42"/>
      <c r="K185" s="63"/>
      <c r="L185" s="63"/>
      <c r="M185" s="42"/>
      <c r="N185" s="164" t="s">
        <v>167</v>
      </c>
      <c r="O185" s="303" t="s">
        <v>472</v>
      </c>
      <c r="P185" s="42"/>
      <c r="Q185" s="42"/>
      <c r="R185" s="91">
        <v>5695</v>
      </c>
    </row>
    <row r="186" spans="1:18" x14ac:dyDescent="0.25">
      <c r="A186" s="170" t="s">
        <v>67</v>
      </c>
      <c r="B186" s="91" t="s">
        <v>469</v>
      </c>
      <c r="C186" s="91">
        <v>1010582</v>
      </c>
      <c r="D186" s="91" t="s">
        <v>470</v>
      </c>
      <c r="E186" s="91" t="s">
        <v>22</v>
      </c>
      <c r="F186" s="41">
        <v>2</v>
      </c>
      <c r="G186" s="42" t="s">
        <v>321</v>
      </c>
      <c r="H186" s="164" t="s">
        <v>482</v>
      </c>
      <c r="I186" s="91" t="s">
        <v>157</v>
      </c>
      <c r="J186" s="42"/>
      <c r="K186" s="63"/>
      <c r="L186" s="63"/>
      <c r="M186" s="42"/>
      <c r="N186" s="164" t="s">
        <v>167</v>
      </c>
      <c r="O186" s="303" t="s">
        <v>472</v>
      </c>
      <c r="P186" s="42"/>
      <c r="Q186" s="42"/>
      <c r="R186" s="91">
        <v>5695</v>
      </c>
    </row>
    <row r="187" spans="1:18" x14ac:dyDescent="0.25">
      <c r="A187" s="170" t="s">
        <v>67</v>
      </c>
      <c r="B187" s="91" t="s">
        <v>469</v>
      </c>
      <c r="C187" s="91">
        <v>1010582</v>
      </c>
      <c r="D187" s="91" t="s">
        <v>470</v>
      </c>
      <c r="E187" s="91" t="s">
        <v>22</v>
      </c>
      <c r="F187" s="41">
        <v>2</v>
      </c>
      <c r="G187" s="42" t="s">
        <v>321</v>
      </c>
      <c r="H187" s="164" t="s">
        <v>483</v>
      </c>
      <c r="I187" s="91" t="s">
        <v>157</v>
      </c>
      <c r="J187" s="42"/>
      <c r="K187" s="63"/>
      <c r="L187" s="63"/>
      <c r="M187" s="42"/>
      <c r="N187" s="164" t="s">
        <v>167</v>
      </c>
      <c r="O187" s="303" t="s">
        <v>472</v>
      </c>
      <c r="P187" s="42"/>
      <c r="Q187" s="42"/>
      <c r="R187" s="91">
        <v>5695</v>
      </c>
    </row>
    <row r="188" spans="1:18" x14ac:dyDescent="0.25">
      <c r="A188" s="170" t="s">
        <v>67</v>
      </c>
      <c r="B188" s="91" t="s">
        <v>469</v>
      </c>
      <c r="C188" s="91">
        <v>1010582</v>
      </c>
      <c r="D188" s="91" t="s">
        <v>470</v>
      </c>
      <c r="E188" s="91" t="s">
        <v>22</v>
      </c>
      <c r="F188" s="41">
        <v>10</v>
      </c>
      <c r="G188" s="42" t="s">
        <v>321</v>
      </c>
      <c r="H188" s="164" t="s">
        <v>484</v>
      </c>
      <c r="I188" s="91" t="s">
        <v>157</v>
      </c>
      <c r="J188" s="42"/>
      <c r="K188" s="63"/>
      <c r="L188" s="63"/>
      <c r="M188" s="42"/>
      <c r="N188" s="164" t="s">
        <v>167</v>
      </c>
      <c r="O188" s="303" t="s">
        <v>472</v>
      </c>
      <c r="P188" s="42"/>
      <c r="Q188" s="42"/>
      <c r="R188" s="91">
        <v>5695</v>
      </c>
    </row>
    <row r="189" spans="1:18" x14ac:dyDescent="0.25">
      <c r="A189" s="170" t="s">
        <v>67</v>
      </c>
      <c r="B189" s="91" t="s">
        <v>469</v>
      </c>
      <c r="C189" s="91">
        <v>1010582</v>
      </c>
      <c r="D189" s="91" t="s">
        <v>470</v>
      </c>
      <c r="E189" s="91" t="s">
        <v>22</v>
      </c>
      <c r="F189" s="41">
        <v>1</v>
      </c>
      <c r="G189" s="42" t="s">
        <v>321</v>
      </c>
      <c r="H189" s="164" t="s">
        <v>485</v>
      </c>
      <c r="I189" s="91" t="s">
        <v>157</v>
      </c>
      <c r="J189" s="42"/>
      <c r="K189" s="63"/>
      <c r="L189" s="63"/>
      <c r="M189" s="42"/>
      <c r="N189" s="164" t="s">
        <v>167</v>
      </c>
      <c r="O189" s="303" t="s">
        <v>472</v>
      </c>
      <c r="P189" s="42"/>
      <c r="Q189" s="42"/>
      <c r="R189" s="91">
        <v>5695</v>
      </c>
    </row>
    <row r="190" spans="1:18" x14ac:dyDescent="0.25">
      <c r="A190" s="170" t="s">
        <v>67</v>
      </c>
      <c r="B190" s="91" t="s">
        <v>469</v>
      </c>
      <c r="C190" s="91">
        <v>1010582</v>
      </c>
      <c r="D190" s="91" t="s">
        <v>470</v>
      </c>
      <c r="E190" s="91" t="s">
        <v>22</v>
      </c>
      <c r="F190" s="41">
        <v>1</v>
      </c>
      <c r="G190" s="42" t="s">
        <v>321</v>
      </c>
      <c r="H190" s="164" t="s">
        <v>486</v>
      </c>
      <c r="I190" s="91" t="s">
        <v>157</v>
      </c>
      <c r="J190" s="42"/>
      <c r="K190" s="63"/>
      <c r="L190" s="63"/>
      <c r="M190" s="42"/>
      <c r="N190" s="164" t="s">
        <v>167</v>
      </c>
      <c r="O190" s="303" t="s">
        <v>472</v>
      </c>
      <c r="P190" s="42"/>
      <c r="Q190" s="42"/>
      <c r="R190" s="91">
        <v>5695</v>
      </c>
    </row>
    <row r="191" spans="1:18" x14ac:dyDescent="0.25">
      <c r="A191" s="170" t="s">
        <v>67</v>
      </c>
      <c r="B191" s="91" t="s">
        <v>469</v>
      </c>
      <c r="C191" s="91">
        <v>1010582</v>
      </c>
      <c r="D191" s="91" t="s">
        <v>470</v>
      </c>
      <c r="E191" s="91" t="s">
        <v>22</v>
      </c>
      <c r="F191" s="41">
        <v>1</v>
      </c>
      <c r="G191" s="42" t="s">
        <v>321</v>
      </c>
      <c r="H191" s="164" t="s">
        <v>487</v>
      </c>
      <c r="I191" s="91" t="s">
        <v>157</v>
      </c>
      <c r="J191" s="42"/>
      <c r="K191" s="63"/>
      <c r="L191" s="63"/>
      <c r="M191" s="42"/>
      <c r="N191" s="164" t="s">
        <v>167</v>
      </c>
      <c r="O191" s="303" t="s">
        <v>472</v>
      </c>
      <c r="P191" s="42"/>
      <c r="Q191" s="42"/>
      <c r="R191" s="91">
        <v>5695</v>
      </c>
    </row>
    <row r="192" spans="1:18" x14ac:dyDescent="0.25">
      <c r="A192" s="170" t="s">
        <v>67</v>
      </c>
      <c r="B192" s="91" t="s">
        <v>469</v>
      </c>
      <c r="C192" s="91">
        <v>1010582</v>
      </c>
      <c r="D192" s="91" t="s">
        <v>470</v>
      </c>
      <c r="E192" s="91" t="s">
        <v>22</v>
      </c>
      <c r="F192" s="41">
        <v>16</v>
      </c>
      <c r="G192" s="42" t="s">
        <v>321</v>
      </c>
      <c r="H192" s="164" t="s">
        <v>488</v>
      </c>
      <c r="I192" s="91" t="s">
        <v>157</v>
      </c>
      <c r="J192" s="42"/>
      <c r="K192" s="63"/>
      <c r="L192" s="63"/>
      <c r="M192" s="42"/>
      <c r="N192" s="164" t="s">
        <v>167</v>
      </c>
      <c r="O192" s="303" t="s">
        <v>472</v>
      </c>
      <c r="P192" s="42"/>
      <c r="Q192" s="42"/>
      <c r="R192" s="91">
        <v>5695</v>
      </c>
    </row>
    <row r="193" spans="1:18" x14ac:dyDescent="0.25">
      <c r="A193" s="170" t="s">
        <v>67</v>
      </c>
      <c r="B193" s="91" t="s">
        <v>469</v>
      </c>
      <c r="C193" s="91">
        <v>1010582</v>
      </c>
      <c r="D193" s="91" t="s">
        <v>470</v>
      </c>
      <c r="E193" s="91" t="s">
        <v>22</v>
      </c>
      <c r="F193" s="41">
        <v>1</v>
      </c>
      <c r="G193" s="42" t="s">
        <v>321</v>
      </c>
      <c r="H193" s="164" t="s">
        <v>489</v>
      </c>
      <c r="I193" s="91" t="s">
        <v>157</v>
      </c>
      <c r="J193" s="42"/>
      <c r="K193" s="63"/>
      <c r="L193" s="63"/>
      <c r="M193" s="42"/>
      <c r="N193" s="164" t="s">
        <v>167</v>
      </c>
      <c r="O193" s="303" t="s">
        <v>472</v>
      </c>
      <c r="P193" s="42"/>
      <c r="Q193" s="42"/>
      <c r="R193" s="91">
        <v>5695</v>
      </c>
    </row>
    <row r="194" spans="1:18" x14ac:dyDescent="0.25">
      <c r="A194" s="170" t="s">
        <v>67</v>
      </c>
      <c r="B194" s="91" t="s">
        <v>469</v>
      </c>
      <c r="C194" s="91">
        <v>1010582</v>
      </c>
      <c r="D194" s="91" t="s">
        <v>470</v>
      </c>
      <c r="E194" s="91" t="s">
        <v>22</v>
      </c>
      <c r="F194" s="41">
        <v>2</v>
      </c>
      <c r="G194" s="42" t="s">
        <v>321</v>
      </c>
      <c r="H194" s="164" t="s">
        <v>490</v>
      </c>
      <c r="I194" s="91" t="s">
        <v>157</v>
      </c>
      <c r="J194" s="42"/>
      <c r="K194" s="63"/>
      <c r="L194" s="63"/>
      <c r="M194" s="42"/>
      <c r="N194" s="164" t="s">
        <v>167</v>
      </c>
      <c r="O194" s="303" t="s">
        <v>472</v>
      </c>
      <c r="P194" s="42"/>
      <c r="Q194" s="42"/>
      <c r="R194" s="91">
        <v>5695</v>
      </c>
    </row>
    <row r="195" spans="1:18" x14ac:dyDescent="0.25">
      <c r="A195" s="170" t="s">
        <v>67</v>
      </c>
      <c r="B195" s="91" t="s">
        <v>469</v>
      </c>
      <c r="C195" s="91">
        <v>1010582</v>
      </c>
      <c r="D195" s="91" t="s">
        <v>470</v>
      </c>
      <c r="E195" s="91" t="s">
        <v>22</v>
      </c>
      <c r="F195" s="41">
        <v>4</v>
      </c>
      <c r="G195" s="42" t="s">
        <v>321</v>
      </c>
      <c r="H195" s="164" t="s">
        <v>491</v>
      </c>
      <c r="I195" s="91" t="s">
        <v>157</v>
      </c>
      <c r="J195" s="42"/>
      <c r="K195" s="63"/>
      <c r="L195" s="63"/>
      <c r="M195" s="42"/>
      <c r="N195" s="164" t="s">
        <v>167</v>
      </c>
      <c r="O195" s="303" t="s">
        <v>472</v>
      </c>
      <c r="P195" s="42"/>
      <c r="Q195" s="42"/>
      <c r="R195" s="91">
        <v>5695</v>
      </c>
    </row>
    <row r="196" spans="1:18" x14ac:dyDescent="0.25">
      <c r="A196" s="170" t="s">
        <v>67</v>
      </c>
      <c r="B196" s="91" t="s">
        <v>469</v>
      </c>
      <c r="C196" s="91">
        <v>1010582</v>
      </c>
      <c r="D196" s="91" t="s">
        <v>470</v>
      </c>
      <c r="E196" s="91" t="s">
        <v>22</v>
      </c>
      <c r="F196" s="41">
        <v>2</v>
      </c>
      <c r="G196" s="42" t="s">
        <v>321</v>
      </c>
      <c r="H196" s="164" t="s">
        <v>492</v>
      </c>
      <c r="I196" s="91" t="s">
        <v>157</v>
      </c>
      <c r="J196" s="42"/>
      <c r="K196" s="63"/>
      <c r="L196" s="63"/>
      <c r="M196" s="42"/>
      <c r="N196" s="164" t="s">
        <v>167</v>
      </c>
      <c r="O196" s="303" t="s">
        <v>472</v>
      </c>
      <c r="P196" s="42"/>
      <c r="Q196" s="42"/>
      <c r="R196" s="91">
        <v>5695</v>
      </c>
    </row>
    <row r="197" spans="1:18" x14ac:dyDescent="0.25">
      <c r="A197" s="291" t="s">
        <v>67</v>
      </c>
      <c r="B197" s="90" t="s">
        <v>469</v>
      </c>
      <c r="C197" s="90">
        <v>1010582</v>
      </c>
      <c r="D197" s="90" t="s">
        <v>470</v>
      </c>
      <c r="E197" s="90" t="s">
        <v>22</v>
      </c>
      <c r="F197" s="61">
        <v>2</v>
      </c>
      <c r="G197" s="60" t="s">
        <v>321</v>
      </c>
      <c r="H197" s="236" t="s">
        <v>493</v>
      </c>
      <c r="I197" s="90" t="s">
        <v>157</v>
      </c>
      <c r="J197" s="60"/>
      <c r="K197" s="305"/>
      <c r="L197" s="305"/>
      <c r="M197" s="60"/>
      <c r="N197" s="236" t="s">
        <v>167</v>
      </c>
      <c r="O197" s="306" t="s">
        <v>472</v>
      </c>
      <c r="P197" s="60"/>
      <c r="Q197" s="60"/>
      <c r="R197" s="90">
        <v>5695</v>
      </c>
    </row>
    <row r="198" spans="1:18" x14ac:dyDescent="0.25">
      <c r="A198" s="170" t="s">
        <v>67</v>
      </c>
      <c r="B198" s="55" t="s">
        <v>494</v>
      </c>
      <c r="C198" s="55">
        <v>1312367</v>
      </c>
      <c r="D198" s="55" t="s">
        <v>495</v>
      </c>
      <c r="E198" s="55" t="s">
        <v>22</v>
      </c>
      <c r="F198" s="96">
        <v>1160</v>
      </c>
      <c r="G198" s="95" t="s">
        <v>63</v>
      </c>
      <c r="H198" s="96" t="s">
        <v>496</v>
      </c>
      <c r="I198" s="55" t="s">
        <v>157</v>
      </c>
      <c r="J198" s="95"/>
      <c r="K198" s="168"/>
      <c r="L198" s="176"/>
      <c r="M198" s="96"/>
      <c r="N198" s="96" t="s">
        <v>167</v>
      </c>
      <c r="O198" s="304" t="s">
        <v>497</v>
      </c>
      <c r="P198" s="96"/>
      <c r="Q198" s="96"/>
      <c r="R198" s="55">
        <v>4940</v>
      </c>
    </row>
    <row r="199" spans="1:18" x14ac:dyDescent="0.25">
      <c r="A199" s="170" t="s">
        <v>67</v>
      </c>
      <c r="B199" s="55" t="s">
        <v>494</v>
      </c>
      <c r="C199" s="55">
        <v>1312367</v>
      </c>
      <c r="D199" s="55" t="s">
        <v>495</v>
      </c>
      <c r="E199" s="55" t="s">
        <v>22</v>
      </c>
      <c r="F199" s="96">
        <v>1</v>
      </c>
      <c r="G199" s="95" t="s">
        <v>321</v>
      </c>
      <c r="H199" s="96" t="s">
        <v>498</v>
      </c>
      <c r="I199" s="55" t="s">
        <v>157</v>
      </c>
      <c r="J199" s="95"/>
      <c r="K199" s="168"/>
      <c r="L199" s="176"/>
      <c r="M199" s="96"/>
      <c r="N199" s="96" t="s">
        <v>167</v>
      </c>
      <c r="O199" s="304" t="s">
        <v>497</v>
      </c>
      <c r="P199" s="96"/>
      <c r="Q199" s="96"/>
      <c r="R199" s="55">
        <v>4940</v>
      </c>
    </row>
    <row r="200" spans="1:18" x14ac:dyDescent="0.25">
      <c r="A200" s="170" t="s">
        <v>67</v>
      </c>
      <c r="B200" s="55" t="s">
        <v>494</v>
      </c>
      <c r="C200" s="55">
        <v>1312367</v>
      </c>
      <c r="D200" s="55" t="s">
        <v>495</v>
      </c>
      <c r="E200" s="55" t="s">
        <v>22</v>
      </c>
      <c r="F200" s="96">
        <v>1</v>
      </c>
      <c r="G200" s="95" t="s">
        <v>321</v>
      </c>
      <c r="H200" s="96" t="s">
        <v>499</v>
      </c>
      <c r="I200" s="55" t="s">
        <v>157</v>
      </c>
      <c r="J200" s="95"/>
      <c r="K200" s="168"/>
      <c r="L200" s="176"/>
      <c r="M200" s="96"/>
      <c r="N200" s="96" t="s">
        <v>167</v>
      </c>
      <c r="O200" s="304" t="s">
        <v>497</v>
      </c>
      <c r="P200" s="96"/>
      <c r="Q200" s="96"/>
      <c r="R200" s="55">
        <v>4940</v>
      </c>
    </row>
    <row r="201" spans="1:18" x14ac:dyDescent="0.25">
      <c r="A201" s="170" t="s">
        <v>67</v>
      </c>
      <c r="B201" s="55" t="s">
        <v>494</v>
      </c>
      <c r="C201" s="55">
        <v>1312367</v>
      </c>
      <c r="D201" s="55" t="s">
        <v>495</v>
      </c>
      <c r="E201" s="55" t="s">
        <v>22</v>
      </c>
      <c r="F201" s="96">
        <v>1</v>
      </c>
      <c r="G201" s="95" t="s">
        <v>321</v>
      </c>
      <c r="H201" s="96" t="s">
        <v>500</v>
      </c>
      <c r="I201" s="55" t="s">
        <v>157</v>
      </c>
      <c r="J201" s="95"/>
      <c r="K201" s="168"/>
      <c r="L201" s="176"/>
      <c r="M201" s="96"/>
      <c r="N201" s="96" t="s">
        <v>167</v>
      </c>
      <c r="O201" s="304" t="s">
        <v>497</v>
      </c>
      <c r="P201" s="96"/>
      <c r="Q201" s="96"/>
      <c r="R201" s="55">
        <v>4940</v>
      </c>
    </row>
    <row r="202" spans="1:18" x14ac:dyDescent="0.25">
      <c r="A202" s="170" t="s">
        <v>67</v>
      </c>
      <c r="B202" s="55" t="s">
        <v>494</v>
      </c>
      <c r="C202" s="55">
        <v>1312367</v>
      </c>
      <c r="D202" s="55" t="s">
        <v>495</v>
      </c>
      <c r="E202" s="55" t="s">
        <v>22</v>
      </c>
      <c r="F202" s="96">
        <v>1</v>
      </c>
      <c r="G202" s="95" t="s">
        <v>321</v>
      </c>
      <c r="H202" s="96" t="s">
        <v>501</v>
      </c>
      <c r="I202" s="55" t="s">
        <v>157</v>
      </c>
      <c r="J202" s="95"/>
      <c r="K202" s="168"/>
      <c r="L202" s="176"/>
      <c r="M202" s="96"/>
      <c r="N202" s="96" t="s">
        <v>167</v>
      </c>
      <c r="O202" s="304" t="s">
        <v>497</v>
      </c>
      <c r="P202" s="96"/>
      <c r="Q202" s="96"/>
      <c r="R202" s="55">
        <v>4940</v>
      </c>
    </row>
    <row r="203" spans="1:18" x14ac:dyDescent="0.25">
      <c r="A203" s="170" t="s">
        <v>67</v>
      </c>
      <c r="B203" s="55" t="s">
        <v>494</v>
      </c>
      <c r="C203" s="55">
        <v>1312367</v>
      </c>
      <c r="D203" s="55" t="s">
        <v>495</v>
      </c>
      <c r="E203" s="55" t="s">
        <v>22</v>
      </c>
      <c r="F203" s="96">
        <v>2</v>
      </c>
      <c r="G203" s="95" t="s">
        <v>321</v>
      </c>
      <c r="H203" s="96" t="s">
        <v>502</v>
      </c>
      <c r="I203" s="55" t="s">
        <v>157</v>
      </c>
      <c r="J203" s="95"/>
      <c r="K203" s="168"/>
      <c r="L203" s="176"/>
      <c r="M203" s="96"/>
      <c r="N203" s="96" t="s">
        <v>167</v>
      </c>
      <c r="O203" s="304" t="s">
        <v>497</v>
      </c>
      <c r="P203" s="96"/>
      <c r="Q203" s="96"/>
      <c r="R203" s="55">
        <v>4940</v>
      </c>
    </row>
    <row r="204" spans="1:18" x14ac:dyDescent="0.25">
      <c r="A204" s="170" t="s">
        <v>67</v>
      </c>
      <c r="B204" s="55" t="s">
        <v>494</v>
      </c>
      <c r="C204" s="55">
        <v>1312367</v>
      </c>
      <c r="D204" s="55" t="s">
        <v>495</v>
      </c>
      <c r="E204" s="55" t="s">
        <v>22</v>
      </c>
      <c r="F204" s="96">
        <v>10</v>
      </c>
      <c r="G204" s="95" t="s">
        <v>321</v>
      </c>
      <c r="H204" s="96" t="s">
        <v>503</v>
      </c>
      <c r="I204" s="55" t="s">
        <v>157</v>
      </c>
      <c r="J204" s="95"/>
      <c r="K204" s="168"/>
      <c r="L204" s="176"/>
      <c r="M204" s="96"/>
      <c r="N204" s="96" t="s">
        <v>167</v>
      </c>
      <c r="O204" s="304" t="s">
        <v>497</v>
      </c>
      <c r="P204" s="96"/>
      <c r="Q204" s="96"/>
      <c r="R204" s="55">
        <v>4940</v>
      </c>
    </row>
    <row r="205" spans="1:18" x14ac:dyDescent="0.25">
      <c r="A205" s="170" t="s">
        <v>67</v>
      </c>
      <c r="B205" s="55" t="s">
        <v>494</v>
      </c>
      <c r="C205" s="55">
        <v>1312367</v>
      </c>
      <c r="D205" s="55" t="s">
        <v>495</v>
      </c>
      <c r="E205" s="55" t="s">
        <v>22</v>
      </c>
      <c r="F205" s="96">
        <v>2</v>
      </c>
      <c r="G205" s="95" t="s">
        <v>321</v>
      </c>
      <c r="H205" s="96" t="s">
        <v>504</v>
      </c>
      <c r="I205" s="55" t="s">
        <v>157</v>
      </c>
      <c r="J205" s="95"/>
      <c r="K205" s="168"/>
      <c r="L205" s="176"/>
      <c r="M205" s="96"/>
      <c r="N205" s="96" t="s">
        <v>167</v>
      </c>
      <c r="O205" s="304" t="s">
        <v>497</v>
      </c>
      <c r="P205" s="96"/>
      <c r="Q205" s="96"/>
      <c r="R205" s="55">
        <v>4940</v>
      </c>
    </row>
    <row r="206" spans="1:18" x14ac:dyDescent="0.25">
      <c r="A206" s="170" t="s">
        <v>67</v>
      </c>
      <c r="B206" s="55" t="s">
        <v>494</v>
      </c>
      <c r="C206" s="55">
        <v>1312367</v>
      </c>
      <c r="D206" s="55" t="s">
        <v>495</v>
      </c>
      <c r="E206" s="55" t="s">
        <v>22</v>
      </c>
      <c r="F206" s="96">
        <v>1</v>
      </c>
      <c r="G206" s="95" t="s">
        <v>321</v>
      </c>
      <c r="H206" s="96" t="s">
        <v>505</v>
      </c>
      <c r="I206" s="55" t="s">
        <v>157</v>
      </c>
      <c r="J206" s="95"/>
      <c r="K206" s="168"/>
      <c r="L206" s="176"/>
      <c r="M206" s="96"/>
      <c r="N206" s="96" t="s">
        <v>167</v>
      </c>
      <c r="O206" s="304" t="s">
        <v>497</v>
      </c>
      <c r="P206" s="96"/>
      <c r="Q206" s="96"/>
      <c r="R206" s="55">
        <v>4940</v>
      </c>
    </row>
    <row r="207" spans="1:18" x14ac:dyDescent="0.25">
      <c r="A207" s="170" t="s">
        <v>67</v>
      </c>
      <c r="B207" s="55" t="s">
        <v>494</v>
      </c>
      <c r="C207" s="55">
        <v>1312367</v>
      </c>
      <c r="D207" s="55" t="s">
        <v>495</v>
      </c>
      <c r="E207" s="55" t="s">
        <v>22</v>
      </c>
      <c r="F207" s="96">
        <v>5</v>
      </c>
      <c r="G207" s="95" t="s">
        <v>321</v>
      </c>
      <c r="H207" s="96" t="s">
        <v>506</v>
      </c>
      <c r="I207" s="55" t="s">
        <v>157</v>
      </c>
      <c r="J207" s="95"/>
      <c r="K207" s="168"/>
      <c r="L207" s="176"/>
      <c r="M207" s="96"/>
      <c r="N207" s="96" t="s">
        <v>167</v>
      </c>
      <c r="O207" s="304" t="s">
        <v>497</v>
      </c>
      <c r="P207" s="96"/>
      <c r="Q207" s="96"/>
      <c r="R207" s="55">
        <v>4940</v>
      </c>
    </row>
    <row r="208" spans="1:18" x14ac:dyDescent="0.25">
      <c r="A208" s="170" t="s">
        <v>67</v>
      </c>
      <c r="B208" s="55" t="s">
        <v>494</v>
      </c>
      <c r="C208" s="55">
        <v>1312367</v>
      </c>
      <c r="D208" s="55" t="s">
        <v>495</v>
      </c>
      <c r="E208" s="55" t="s">
        <v>22</v>
      </c>
      <c r="F208" s="96">
        <v>1</v>
      </c>
      <c r="G208" s="95" t="s">
        <v>321</v>
      </c>
      <c r="H208" s="96" t="s">
        <v>507</v>
      </c>
      <c r="I208" s="55" t="s">
        <v>157</v>
      </c>
      <c r="J208" s="95"/>
      <c r="K208" s="168"/>
      <c r="L208" s="176"/>
      <c r="M208" s="96"/>
      <c r="N208" s="96" t="s">
        <v>167</v>
      </c>
      <c r="O208" s="304" t="s">
        <v>497</v>
      </c>
      <c r="P208" s="96"/>
      <c r="Q208" s="96"/>
      <c r="R208" s="55">
        <v>4940</v>
      </c>
    </row>
    <row r="209" spans="1:18" x14ac:dyDescent="0.25">
      <c r="A209" s="170" t="s">
        <v>67</v>
      </c>
      <c r="B209" s="55" t="s">
        <v>494</v>
      </c>
      <c r="C209" s="55">
        <v>1312367</v>
      </c>
      <c r="D209" s="55" t="s">
        <v>495</v>
      </c>
      <c r="E209" s="55" t="s">
        <v>22</v>
      </c>
      <c r="F209" s="96">
        <v>2</v>
      </c>
      <c r="G209" s="95" t="s">
        <v>321</v>
      </c>
      <c r="H209" s="96" t="s">
        <v>508</v>
      </c>
      <c r="I209" s="55" t="s">
        <v>157</v>
      </c>
      <c r="J209" s="95"/>
      <c r="K209" s="168"/>
      <c r="L209" s="176"/>
      <c r="M209" s="96"/>
      <c r="N209" s="96" t="s">
        <v>167</v>
      </c>
      <c r="O209" s="304" t="s">
        <v>497</v>
      </c>
      <c r="P209" s="96"/>
      <c r="Q209" s="96"/>
      <c r="R209" s="55">
        <v>4940</v>
      </c>
    </row>
    <row r="210" spans="1:18" x14ac:dyDescent="0.25">
      <c r="A210" s="170" t="s">
        <v>67</v>
      </c>
      <c r="B210" s="55" t="s">
        <v>494</v>
      </c>
      <c r="C210" s="55">
        <v>1312367</v>
      </c>
      <c r="D210" s="55" t="s">
        <v>495</v>
      </c>
      <c r="E210" s="55" t="s">
        <v>22</v>
      </c>
      <c r="F210" s="96">
        <v>2</v>
      </c>
      <c r="G210" s="95" t="s">
        <v>321</v>
      </c>
      <c r="H210" s="96" t="s">
        <v>509</v>
      </c>
      <c r="I210" s="55" t="s">
        <v>157</v>
      </c>
      <c r="J210" s="95"/>
      <c r="K210" s="168"/>
      <c r="L210" s="176"/>
      <c r="M210" s="96"/>
      <c r="N210" s="96" t="s">
        <v>167</v>
      </c>
      <c r="O210" s="304" t="s">
        <v>497</v>
      </c>
      <c r="P210" s="96"/>
      <c r="Q210" s="96"/>
      <c r="R210" s="55">
        <v>4940</v>
      </c>
    </row>
    <row r="211" spans="1:18" x14ac:dyDescent="0.25">
      <c r="A211" s="170" t="s">
        <v>67</v>
      </c>
      <c r="B211" s="55" t="s">
        <v>494</v>
      </c>
      <c r="C211" s="55">
        <v>1312367</v>
      </c>
      <c r="D211" s="55" t="s">
        <v>495</v>
      </c>
      <c r="E211" s="55" t="s">
        <v>22</v>
      </c>
      <c r="F211" s="96">
        <v>1</v>
      </c>
      <c r="G211" s="95" t="s">
        <v>321</v>
      </c>
      <c r="H211" s="96" t="s">
        <v>510</v>
      </c>
      <c r="I211" s="55" t="s">
        <v>157</v>
      </c>
      <c r="J211" s="95"/>
      <c r="K211" s="168"/>
      <c r="L211" s="176"/>
      <c r="M211" s="96"/>
      <c r="N211" s="96" t="s">
        <v>167</v>
      </c>
      <c r="O211" s="304" t="s">
        <v>497</v>
      </c>
      <c r="P211" s="96"/>
      <c r="Q211" s="96"/>
      <c r="R211" s="55">
        <v>4940</v>
      </c>
    </row>
    <row r="212" spans="1:18" x14ac:dyDescent="0.25">
      <c r="A212" s="170" t="s">
        <v>67</v>
      </c>
      <c r="B212" s="55" t="s">
        <v>494</v>
      </c>
      <c r="C212" s="55">
        <v>1312367</v>
      </c>
      <c r="D212" s="55" t="s">
        <v>495</v>
      </c>
      <c r="E212" s="55" t="s">
        <v>22</v>
      </c>
      <c r="F212" s="96">
        <v>2</v>
      </c>
      <c r="G212" s="95" t="s">
        <v>321</v>
      </c>
      <c r="H212" s="96" t="s">
        <v>511</v>
      </c>
      <c r="I212" s="55" t="s">
        <v>157</v>
      </c>
      <c r="J212" s="95"/>
      <c r="K212" s="168"/>
      <c r="L212" s="176"/>
      <c r="M212" s="96"/>
      <c r="N212" s="96" t="s">
        <v>167</v>
      </c>
      <c r="O212" s="304" t="s">
        <v>497</v>
      </c>
      <c r="P212" s="96"/>
      <c r="Q212" s="96"/>
      <c r="R212" s="55">
        <v>4940</v>
      </c>
    </row>
    <row r="213" spans="1:18" x14ac:dyDescent="0.25">
      <c r="A213" s="170" t="s">
        <v>67</v>
      </c>
      <c r="B213" s="55" t="s">
        <v>494</v>
      </c>
      <c r="C213" s="55">
        <v>1312367</v>
      </c>
      <c r="D213" s="55" t="s">
        <v>495</v>
      </c>
      <c r="E213" s="55" t="s">
        <v>22</v>
      </c>
      <c r="F213" s="96">
        <v>2</v>
      </c>
      <c r="G213" s="95" t="s">
        <v>321</v>
      </c>
      <c r="H213" s="96" t="s">
        <v>512</v>
      </c>
      <c r="I213" s="55" t="s">
        <v>157</v>
      </c>
      <c r="J213" s="95"/>
      <c r="K213" s="168"/>
      <c r="L213" s="176"/>
      <c r="M213" s="96"/>
      <c r="N213" s="96" t="s">
        <v>167</v>
      </c>
      <c r="O213" s="304" t="s">
        <v>497</v>
      </c>
      <c r="P213" s="96"/>
      <c r="Q213" s="96"/>
      <c r="R213" s="55">
        <v>4940</v>
      </c>
    </row>
    <row r="214" spans="1:18" x14ac:dyDescent="0.25">
      <c r="A214" s="170" t="s">
        <v>67</v>
      </c>
      <c r="B214" s="55" t="s">
        <v>494</v>
      </c>
      <c r="C214" s="55">
        <v>1312367</v>
      </c>
      <c r="D214" s="55" t="s">
        <v>495</v>
      </c>
      <c r="E214" s="55" t="s">
        <v>22</v>
      </c>
      <c r="F214" s="96">
        <v>1</v>
      </c>
      <c r="G214" s="95" t="s">
        <v>321</v>
      </c>
      <c r="H214" s="96" t="s">
        <v>513</v>
      </c>
      <c r="I214" s="55" t="s">
        <v>157</v>
      </c>
      <c r="J214" s="95"/>
      <c r="K214" s="168"/>
      <c r="L214" s="176"/>
      <c r="M214" s="96"/>
      <c r="N214" s="96" t="s">
        <v>167</v>
      </c>
      <c r="O214" s="304" t="s">
        <v>497</v>
      </c>
      <c r="P214" s="96"/>
      <c r="Q214" s="96"/>
      <c r="R214" s="55">
        <v>4940</v>
      </c>
    </row>
    <row r="215" spans="1:18" x14ac:dyDescent="0.25">
      <c r="A215" s="170" t="s">
        <v>67</v>
      </c>
      <c r="B215" s="55" t="s">
        <v>494</v>
      </c>
      <c r="C215" s="55">
        <v>1312367</v>
      </c>
      <c r="D215" s="55" t="s">
        <v>495</v>
      </c>
      <c r="E215" s="55" t="s">
        <v>22</v>
      </c>
      <c r="F215" s="96">
        <v>1</v>
      </c>
      <c r="G215" s="95" t="s">
        <v>321</v>
      </c>
      <c r="H215" s="96" t="s">
        <v>514</v>
      </c>
      <c r="I215" s="55" t="s">
        <v>157</v>
      </c>
      <c r="J215" s="95"/>
      <c r="K215" s="168"/>
      <c r="L215" s="176"/>
      <c r="M215" s="96"/>
      <c r="N215" s="96" t="s">
        <v>167</v>
      </c>
      <c r="O215" s="304" t="s">
        <v>497</v>
      </c>
      <c r="P215" s="96"/>
      <c r="Q215" s="96"/>
      <c r="R215" s="55">
        <v>4940</v>
      </c>
    </row>
    <row r="216" spans="1:18" x14ac:dyDescent="0.25">
      <c r="A216" s="170" t="s">
        <v>67</v>
      </c>
      <c r="B216" s="55" t="s">
        <v>515</v>
      </c>
      <c r="C216" s="55">
        <v>140585</v>
      </c>
      <c r="D216" s="55" t="s">
        <v>516</v>
      </c>
      <c r="E216" s="55" t="s">
        <v>22</v>
      </c>
      <c r="F216" s="96">
        <v>800</v>
      </c>
      <c r="G216" s="95" t="s">
        <v>63</v>
      </c>
      <c r="H216" s="96" t="s">
        <v>517</v>
      </c>
      <c r="I216" s="55" t="s">
        <v>157</v>
      </c>
      <c r="J216" s="95" t="s">
        <v>518</v>
      </c>
      <c r="K216" s="168"/>
      <c r="L216" s="176"/>
      <c r="M216" s="96"/>
      <c r="N216" s="96" t="s">
        <v>167</v>
      </c>
      <c r="O216" s="307" t="s">
        <v>364</v>
      </c>
      <c r="P216" s="176">
        <v>45091</v>
      </c>
      <c r="Q216" s="96"/>
      <c r="R216" s="55"/>
    </row>
    <row r="217" spans="1:18" x14ac:dyDescent="0.25">
      <c r="A217" s="170" t="s">
        <v>67</v>
      </c>
      <c r="B217" s="55" t="s">
        <v>515</v>
      </c>
      <c r="C217" s="55">
        <v>140585</v>
      </c>
      <c r="D217" s="55" t="s">
        <v>516</v>
      </c>
      <c r="E217" s="55" t="s">
        <v>22</v>
      </c>
      <c r="F217" s="96">
        <v>3</v>
      </c>
      <c r="G217" s="95" t="s">
        <v>321</v>
      </c>
      <c r="H217" s="96" t="s">
        <v>519</v>
      </c>
      <c r="I217" s="55" t="s">
        <v>157</v>
      </c>
      <c r="J217" s="95"/>
      <c r="K217" s="168"/>
      <c r="L217" s="176"/>
      <c r="M217" s="96"/>
      <c r="N217" s="96" t="s">
        <v>167</v>
      </c>
      <c r="O217" s="307" t="s">
        <v>364</v>
      </c>
      <c r="P217" s="176">
        <v>45091</v>
      </c>
      <c r="Q217" s="96"/>
      <c r="R217" s="55" t="s">
        <v>520</v>
      </c>
    </row>
    <row r="218" spans="1:18" ht="30" x14ac:dyDescent="0.25">
      <c r="A218" s="170"/>
      <c r="B218" s="55" t="s">
        <v>521</v>
      </c>
      <c r="C218" s="55">
        <v>1212383</v>
      </c>
      <c r="D218" s="55" t="s">
        <v>522</v>
      </c>
      <c r="E218" s="55" t="s">
        <v>24</v>
      </c>
      <c r="F218" s="96">
        <v>1</v>
      </c>
      <c r="G218" s="95" t="s">
        <v>321</v>
      </c>
      <c r="H218" s="96" t="s">
        <v>523</v>
      </c>
      <c r="I218" s="55" t="s">
        <v>157</v>
      </c>
      <c r="J218" s="95"/>
      <c r="K218" s="168"/>
      <c r="L218" s="176"/>
      <c r="M218" s="96"/>
      <c r="N218" s="96"/>
      <c r="O218" s="307"/>
      <c r="P218" s="176"/>
      <c r="Q218" s="96"/>
      <c r="R218" s="373" t="s">
        <v>524</v>
      </c>
    </row>
    <row r="219" spans="1:18" ht="60" x14ac:dyDescent="0.25">
      <c r="A219" s="170" t="s">
        <v>67</v>
      </c>
      <c r="B219" s="55" t="s">
        <v>525</v>
      </c>
      <c r="C219" s="55">
        <v>1012417</v>
      </c>
      <c r="D219" s="55" t="s">
        <v>526</v>
      </c>
      <c r="E219" s="55" t="s">
        <v>37</v>
      </c>
      <c r="F219" s="309">
        <v>1</v>
      </c>
      <c r="G219" s="95" t="s">
        <v>321</v>
      </c>
      <c r="H219" s="310" t="s">
        <v>527</v>
      </c>
      <c r="I219" s="55" t="s">
        <v>157</v>
      </c>
      <c r="J219" s="95"/>
      <c r="K219" s="168"/>
      <c r="L219" s="176"/>
      <c r="M219" s="96"/>
      <c r="N219" s="369" t="s">
        <v>528</v>
      </c>
      <c r="O219" s="307"/>
      <c r="P219" s="176" t="s">
        <v>529</v>
      </c>
      <c r="Q219" s="96"/>
      <c r="R219" s="55">
        <v>5945</v>
      </c>
    </row>
    <row r="220" spans="1:18" ht="45" x14ac:dyDescent="0.25">
      <c r="A220" s="170" t="s">
        <v>67</v>
      </c>
      <c r="B220" s="55" t="s">
        <v>525</v>
      </c>
      <c r="C220" s="55">
        <v>1012417</v>
      </c>
      <c r="D220" s="55" t="s">
        <v>526</v>
      </c>
      <c r="E220" s="55" t="s">
        <v>37</v>
      </c>
      <c r="F220" s="311">
        <v>1</v>
      </c>
      <c r="G220" s="95" t="s">
        <v>321</v>
      </c>
      <c r="H220" s="312" t="s">
        <v>530</v>
      </c>
      <c r="I220" s="55" t="s">
        <v>157</v>
      </c>
      <c r="J220" s="95"/>
      <c r="K220" s="168"/>
      <c r="L220" s="176"/>
      <c r="M220" s="96"/>
      <c r="N220" s="370" t="s">
        <v>528</v>
      </c>
      <c r="O220" s="307"/>
      <c r="P220" s="176" t="s">
        <v>529</v>
      </c>
      <c r="Q220" s="96"/>
      <c r="R220" s="55">
        <v>5945</v>
      </c>
    </row>
    <row r="221" spans="1:18" x14ac:dyDescent="0.25">
      <c r="A221" s="170" t="s">
        <v>67</v>
      </c>
      <c r="B221" s="55" t="s">
        <v>525</v>
      </c>
      <c r="C221" s="55">
        <v>1012417</v>
      </c>
      <c r="D221" s="55" t="s">
        <v>526</v>
      </c>
      <c r="E221" s="55" t="s">
        <v>37</v>
      </c>
      <c r="F221" s="311">
        <v>1</v>
      </c>
      <c r="G221" s="95" t="s">
        <v>321</v>
      </c>
      <c r="H221" s="312" t="s">
        <v>531</v>
      </c>
      <c r="I221" s="55" t="s">
        <v>157</v>
      </c>
      <c r="J221" s="95"/>
      <c r="K221" s="168"/>
      <c r="L221" s="176"/>
      <c r="M221" s="96"/>
      <c r="N221" s="370" t="s">
        <v>528</v>
      </c>
      <c r="O221" s="307"/>
      <c r="P221" s="176" t="s">
        <v>529</v>
      </c>
      <c r="Q221" s="96"/>
      <c r="R221" s="55">
        <v>5945</v>
      </c>
    </row>
    <row r="222" spans="1:18" ht="60" x14ac:dyDescent="0.25">
      <c r="A222" s="170" t="s">
        <v>67</v>
      </c>
      <c r="B222" s="55" t="s">
        <v>525</v>
      </c>
      <c r="C222" s="55">
        <v>1012417</v>
      </c>
      <c r="D222" s="55" t="s">
        <v>526</v>
      </c>
      <c r="E222" s="55" t="s">
        <v>37</v>
      </c>
      <c r="F222" s="311">
        <v>2</v>
      </c>
      <c r="G222" s="95" t="s">
        <v>321</v>
      </c>
      <c r="H222" s="313" t="s">
        <v>532</v>
      </c>
      <c r="I222" s="55" t="s">
        <v>157</v>
      </c>
      <c r="J222" s="95"/>
      <c r="K222" s="168"/>
      <c r="L222" s="176"/>
      <c r="M222" s="96"/>
      <c r="N222" s="314" t="s">
        <v>528</v>
      </c>
      <c r="O222" s="307"/>
      <c r="P222" s="176" t="s">
        <v>529</v>
      </c>
      <c r="Q222" s="96"/>
      <c r="R222" s="55">
        <v>5945</v>
      </c>
    </row>
    <row r="223" spans="1:18" ht="60" x14ac:dyDescent="0.25">
      <c r="A223" s="170" t="s">
        <v>67</v>
      </c>
      <c r="B223" s="55" t="s">
        <v>525</v>
      </c>
      <c r="C223" s="55">
        <v>1012417</v>
      </c>
      <c r="D223" s="55" t="s">
        <v>526</v>
      </c>
      <c r="E223" s="55" t="s">
        <v>37</v>
      </c>
      <c r="F223" s="311">
        <v>2</v>
      </c>
      <c r="G223" s="95" t="s">
        <v>533</v>
      </c>
      <c r="H223" s="313" t="s">
        <v>534</v>
      </c>
      <c r="I223" s="55" t="s">
        <v>157</v>
      </c>
      <c r="J223" s="95"/>
      <c r="K223" s="168"/>
      <c r="L223" s="176"/>
      <c r="M223" s="96"/>
      <c r="N223" s="314" t="s">
        <v>528</v>
      </c>
      <c r="O223" s="307"/>
      <c r="P223" s="176" t="s">
        <v>529</v>
      </c>
      <c r="Q223" s="96"/>
      <c r="R223" s="55">
        <v>5945</v>
      </c>
    </row>
    <row r="224" spans="1:18" x14ac:dyDescent="0.25">
      <c r="A224" s="170" t="s">
        <v>67</v>
      </c>
      <c r="B224" s="55" t="s">
        <v>525</v>
      </c>
      <c r="C224" s="55">
        <v>1012417</v>
      </c>
      <c r="D224" s="55" t="s">
        <v>526</v>
      </c>
      <c r="E224" s="55" t="s">
        <v>37</v>
      </c>
      <c r="F224" s="311">
        <v>5</v>
      </c>
      <c r="G224" s="95" t="s">
        <v>321</v>
      </c>
      <c r="H224" s="314" t="s">
        <v>535</v>
      </c>
      <c r="I224" s="55" t="s">
        <v>157</v>
      </c>
      <c r="J224" s="95"/>
      <c r="K224" s="168"/>
      <c r="L224" s="176"/>
      <c r="M224" s="96"/>
      <c r="N224" s="314" t="s">
        <v>528</v>
      </c>
      <c r="O224" s="307"/>
      <c r="P224" s="176" t="s">
        <v>529</v>
      </c>
      <c r="Q224" s="96"/>
      <c r="R224" s="55">
        <v>5945</v>
      </c>
    </row>
    <row r="225" spans="1:18" x14ac:dyDescent="0.25">
      <c r="A225" s="170" t="s">
        <v>67</v>
      </c>
      <c r="B225" s="55" t="s">
        <v>525</v>
      </c>
      <c r="C225" s="55">
        <v>1012417</v>
      </c>
      <c r="D225" s="55" t="s">
        <v>526</v>
      </c>
      <c r="E225" s="55" t="s">
        <v>37</v>
      </c>
      <c r="F225" s="311">
        <v>3</v>
      </c>
      <c r="G225" s="95" t="s">
        <v>321</v>
      </c>
      <c r="H225" s="312" t="s">
        <v>536</v>
      </c>
      <c r="I225" s="55" t="s">
        <v>157</v>
      </c>
      <c r="J225" s="95"/>
      <c r="K225" s="168"/>
      <c r="L225" s="176"/>
      <c r="M225" s="96"/>
      <c r="N225" s="370" t="s">
        <v>528</v>
      </c>
      <c r="O225" s="307"/>
      <c r="P225" s="176" t="s">
        <v>529</v>
      </c>
      <c r="Q225" s="96"/>
      <c r="R225" s="55">
        <v>5945</v>
      </c>
    </row>
    <row r="226" spans="1:18" x14ac:dyDescent="0.25">
      <c r="A226" s="170" t="s">
        <v>67</v>
      </c>
      <c r="B226" s="55" t="s">
        <v>525</v>
      </c>
      <c r="C226" s="55">
        <v>1012417</v>
      </c>
      <c r="D226" s="55" t="s">
        <v>526</v>
      </c>
      <c r="E226" s="55" t="s">
        <v>37</v>
      </c>
      <c r="F226" s="311">
        <v>3</v>
      </c>
      <c r="G226" s="95" t="s">
        <v>321</v>
      </c>
      <c r="H226" s="313" t="s">
        <v>537</v>
      </c>
      <c r="I226" s="55" t="s">
        <v>157</v>
      </c>
      <c r="J226" s="95"/>
      <c r="K226" s="168"/>
      <c r="L226" s="176"/>
      <c r="M226" s="96"/>
      <c r="N226" s="314" t="s">
        <v>528</v>
      </c>
      <c r="O226" s="307"/>
      <c r="P226" s="176" t="s">
        <v>529</v>
      </c>
      <c r="Q226" s="96"/>
      <c r="R226" s="55">
        <v>5945</v>
      </c>
    </row>
    <row r="227" spans="1:18" ht="30" x14ac:dyDescent="0.25">
      <c r="A227" s="170" t="s">
        <v>67</v>
      </c>
      <c r="B227" s="55" t="s">
        <v>525</v>
      </c>
      <c r="C227" s="55">
        <v>1012417</v>
      </c>
      <c r="D227" s="55" t="s">
        <v>526</v>
      </c>
      <c r="E227" s="55" t="s">
        <v>37</v>
      </c>
      <c r="F227" s="311">
        <v>7</v>
      </c>
      <c r="G227" s="95" t="s">
        <v>533</v>
      </c>
      <c r="H227" s="313" t="s">
        <v>538</v>
      </c>
      <c r="I227" s="55" t="s">
        <v>157</v>
      </c>
      <c r="J227" s="95"/>
      <c r="K227" s="168"/>
      <c r="L227" s="176"/>
      <c r="M227" s="96"/>
      <c r="N227" s="314" t="s">
        <v>528</v>
      </c>
      <c r="O227" s="307"/>
      <c r="P227" s="176" t="s">
        <v>529</v>
      </c>
      <c r="Q227" s="96"/>
      <c r="R227" s="55">
        <v>5945</v>
      </c>
    </row>
    <row r="228" spans="1:18" x14ac:dyDescent="0.25">
      <c r="A228" s="170" t="s">
        <v>67</v>
      </c>
      <c r="B228" s="55" t="s">
        <v>525</v>
      </c>
      <c r="C228" s="55">
        <v>1012417</v>
      </c>
      <c r="D228" s="55" t="s">
        <v>526</v>
      </c>
      <c r="E228" s="55" t="s">
        <v>37</v>
      </c>
      <c r="F228" s="311">
        <v>1</v>
      </c>
      <c r="G228" s="95" t="s">
        <v>533</v>
      </c>
      <c r="H228" s="313" t="s">
        <v>539</v>
      </c>
      <c r="I228" s="55" t="s">
        <v>157</v>
      </c>
      <c r="J228" s="95"/>
      <c r="K228" s="168"/>
      <c r="L228" s="176"/>
      <c r="M228" s="96"/>
      <c r="N228" s="314" t="s">
        <v>528</v>
      </c>
      <c r="O228" s="307"/>
      <c r="P228" s="176" t="s">
        <v>529</v>
      </c>
      <c r="Q228" s="96"/>
      <c r="R228" s="55">
        <v>5945</v>
      </c>
    </row>
    <row r="229" spans="1:18" x14ac:dyDescent="0.25">
      <c r="A229" s="170" t="s">
        <v>67</v>
      </c>
      <c r="B229" s="55" t="s">
        <v>525</v>
      </c>
      <c r="C229" s="55">
        <v>1012417</v>
      </c>
      <c r="D229" s="55" t="s">
        <v>526</v>
      </c>
      <c r="E229" s="55" t="s">
        <v>37</v>
      </c>
      <c r="F229" s="311">
        <v>6</v>
      </c>
      <c r="G229" s="95" t="s">
        <v>321</v>
      </c>
      <c r="H229" s="314" t="s">
        <v>540</v>
      </c>
      <c r="I229" s="55" t="s">
        <v>157</v>
      </c>
      <c r="J229" s="95"/>
      <c r="K229" s="168"/>
      <c r="L229" s="176"/>
      <c r="M229" s="96"/>
      <c r="N229" s="314" t="s">
        <v>528</v>
      </c>
      <c r="O229" s="307"/>
      <c r="P229" s="176" t="s">
        <v>529</v>
      </c>
      <c r="Q229" s="96"/>
      <c r="R229" s="55">
        <v>5945</v>
      </c>
    </row>
    <row r="230" spans="1:18" ht="30" x14ac:dyDescent="0.25">
      <c r="A230" s="170" t="s">
        <v>67</v>
      </c>
      <c r="B230" s="55" t="s">
        <v>525</v>
      </c>
      <c r="C230" s="55">
        <v>1012417</v>
      </c>
      <c r="D230" s="55" t="s">
        <v>526</v>
      </c>
      <c r="E230" s="55" t="s">
        <v>37</v>
      </c>
      <c r="F230" s="311">
        <v>7</v>
      </c>
      <c r="G230" s="95" t="s">
        <v>321</v>
      </c>
      <c r="H230" s="313" t="s">
        <v>541</v>
      </c>
      <c r="I230" s="55" t="s">
        <v>157</v>
      </c>
      <c r="J230" s="95"/>
      <c r="K230" s="168"/>
      <c r="L230" s="176"/>
      <c r="M230" s="96"/>
      <c r="N230" s="314" t="s">
        <v>528</v>
      </c>
      <c r="O230" s="307"/>
      <c r="P230" s="176" t="s">
        <v>529</v>
      </c>
      <c r="Q230" s="96"/>
      <c r="R230" s="55">
        <v>5945</v>
      </c>
    </row>
    <row r="231" spans="1:18" x14ac:dyDescent="0.25">
      <c r="A231" s="291" t="s">
        <v>67</v>
      </c>
      <c r="B231" s="57" t="s">
        <v>525</v>
      </c>
      <c r="C231" s="57">
        <v>1012417</v>
      </c>
      <c r="D231" s="57" t="s">
        <v>526</v>
      </c>
      <c r="E231" s="57" t="s">
        <v>37</v>
      </c>
      <c r="F231" s="320">
        <v>3</v>
      </c>
      <c r="G231" s="180" t="s">
        <v>321</v>
      </c>
      <c r="H231" s="321" t="s">
        <v>542</v>
      </c>
      <c r="I231" s="57" t="s">
        <v>157</v>
      </c>
      <c r="J231" s="180"/>
      <c r="K231" s="182"/>
      <c r="L231" s="181"/>
      <c r="M231" s="166"/>
      <c r="N231" s="371" t="s">
        <v>528</v>
      </c>
      <c r="O231" s="319"/>
      <c r="P231" s="176" t="s">
        <v>529</v>
      </c>
      <c r="Q231" s="166"/>
      <c r="R231" s="57">
        <v>5945</v>
      </c>
    </row>
    <row r="232" spans="1:18" x14ac:dyDescent="0.25">
      <c r="A232" s="55" t="s">
        <v>543</v>
      </c>
      <c r="B232" s="322" t="s">
        <v>544</v>
      </c>
      <c r="C232" s="323">
        <v>1612421</v>
      </c>
      <c r="D232" s="318" t="s">
        <v>545</v>
      </c>
      <c r="E232" s="55" t="s">
        <v>31</v>
      </c>
      <c r="F232" s="96">
        <v>1</v>
      </c>
      <c r="G232" s="95" t="s">
        <v>321</v>
      </c>
      <c r="H232" s="96"/>
      <c r="I232" s="57" t="s">
        <v>157</v>
      </c>
      <c r="J232" s="95"/>
      <c r="K232" s="168"/>
      <c r="L232" s="176"/>
      <c r="M232" s="96"/>
      <c r="N232" s="96"/>
      <c r="O232" s="96"/>
      <c r="P232" s="96"/>
      <c r="Q232" s="96"/>
      <c r="R232" s="55"/>
    </row>
    <row r="233" spans="1:18" x14ac:dyDescent="0.25">
      <c r="A233" s="55" t="s">
        <v>543</v>
      </c>
      <c r="B233" s="322" t="s">
        <v>544</v>
      </c>
      <c r="C233" s="323">
        <v>1612421</v>
      </c>
      <c r="D233" s="318" t="s">
        <v>545</v>
      </c>
      <c r="E233" s="55" t="s">
        <v>31</v>
      </c>
      <c r="F233" s="96">
        <v>4880</v>
      </c>
      <c r="G233" s="95" t="s">
        <v>374</v>
      </c>
      <c r="H233" s="96"/>
      <c r="I233" s="57" t="s">
        <v>157</v>
      </c>
      <c r="J233" s="95"/>
      <c r="K233" s="168"/>
      <c r="L233" s="176"/>
      <c r="M233" s="96"/>
      <c r="N233" s="96"/>
      <c r="O233" s="96"/>
      <c r="P233" s="96"/>
      <c r="Q233" s="96"/>
      <c r="R233" s="55"/>
    </row>
    <row r="234" spans="1:18" x14ac:dyDescent="0.25">
      <c r="A234" s="55" t="s">
        <v>543</v>
      </c>
      <c r="B234" s="322" t="s">
        <v>544</v>
      </c>
      <c r="C234" s="323">
        <v>1612421</v>
      </c>
      <c r="D234" s="318" t="s">
        <v>545</v>
      </c>
      <c r="E234" s="55" t="s">
        <v>31</v>
      </c>
      <c r="F234" s="166">
        <v>320</v>
      </c>
      <c r="G234" s="180" t="s">
        <v>374</v>
      </c>
      <c r="H234" s="236"/>
      <c r="I234" s="55" t="s">
        <v>157</v>
      </c>
      <c r="J234" s="325"/>
      <c r="K234" s="182"/>
      <c r="L234" s="181"/>
      <c r="M234" s="166"/>
      <c r="N234" s="236"/>
      <c r="O234" s="166"/>
      <c r="P234" s="166"/>
      <c r="Q234" s="166"/>
      <c r="R234" s="57"/>
    </row>
    <row r="235" spans="1:18" ht="45" x14ac:dyDescent="0.25">
      <c r="A235" s="55" t="s">
        <v>543</v>
      </c>
      <c r="B235" s="322" t="s">
        <v>544</v>
      </c>
      <c r="C235" s="323">
        <v>1612421</v>
      </c>
      <c r="D235" s="318" t="s">
        <v>545</v>
      </c>
      <c r="E235" s="322" t="s">
        <v>31</v>
      </c>
      <c r="F235" s="96">
        <v>1</v>
      </c>
      <c r="G235" s="95" t="s">
        <v>321</v>
      </c>
      <c r="H235" s="240" t="s">
        <v>546</v>
      </c>
      <c r="I235" s="324" t="s">
        <v>157</v>
      </c>
      <c r="J235" s="95"/>
      <c r="K235" s="168"/>
      <c r="L235" s="176"/>
      <c r="M235" s="96"/>
      <c r="N235" s="238"/>
      <c r="O235" s="96"/>
      <c r="P235" s="96"/>
      <c r="Q235" s="96"/>
      <c r="R235" s="55"/>
    </row>
    <row r="236" spans="1:18" ht="45" x14ac:dyDescent="0.25">
      <c r="A236" s="55" t="s">
        <v>543</v>
      </c>
      <c r="B236" s="322" t="s">
        <v>544</v>
      </c>
      <c r="C236" s="323">
        <v>1612421</v>
      </c>
      <c r="D236" s="318" t="s">
        <v>545</v>
      </c>
      <c r="E236" s="322" t="s">
        <v>31</v>
      </c>
      <c r="F236" s="166">
        <v>1</v>
      </c>
      <c r="G236" s="180" t="s">
        <v>321</v>
      </c>
      <c r="H236" s="301" t="s">
        <v>547</v>
      </c>
      <c r="I236" s="326" t="s">
        <v>157</v>
      </c>
      <c r="J236" s="180"/>
      <c r="K236" s="182"/>
      <c r="L236" s="181"/>
      <c r="M236" s="166"/>
      <c r="N236" s="288"/>
      <c r="O236" s="166"/>
      <c r="P236" s="166"/>
      <c r="Q236" s="166"/>
      <c r="R236" s="57"/>
    </row>
    <row r="237" spans="1:18" x14ac:dyDescent="0.25">
      <c r="A237" s="55" t="s">
        <v>543</v>
      </c>
      <c r="B237" s="322" t="s">
        <v>544</v>
      </c>
      <c r="C237" s="323">
        <v>1612421</v>
      </c>
      <c r="D237" s="318" t="s">
        <v>545</v>
      </c>
      <c r="E237" s="322" t="s">
        <v>31</v>
      </c>
      <c r="F237" s="96">
        <v>1</v>
      </c>
      <c r="G237" s="95" t="s">
        <v>321</v>
      </c>
      <c r="H237" s="96" t="s">
        <v>548</v>
      </c>
      <c r="I237" s="55" t="s">
        <v>157</v>
      </c>
      <c r="J237" s="95"/>
      <c r="K237" s="168"/>
      <c r="L237" s="176"/>
      <c r="M237" s="96"/>
      <c r="N237" s="96"/>
      <c r="O237" s="96"/>
      <c r="P237" s="96"/>
      <c r="Q237" s="96"/>
      <c r="R237" s="55"/>
    </row>
    <row r="238" spans="1:18" x14ac:dyDescent="0.25">
      <c r="A238" s="55" t="s">
        <v>543</v>
      </c>
      <c r="B238" s="322" t="s">
        <v>544</v>
      </c>
      <c r="C238" s="323">
        <v>1612421</v>
      </c>
      <c r="D238" s="318" t="s">
        <v>545</v>
      </c>
      <c r="E238" s="322" t="s">
        <v>31</v>
      </c>
      <c r="F238" s="166">
        <v>1</v>
      </c>
      <c r="G238" s="180" t="s">
        <v>321</v>
      </c>
      <c r="H238" s="166" t="s">
        <v>549</v>
      </c>
      <c r="I238" s="57" t="s">
        <v>157</v>
      </c>
      <c r="J238" s="180"/>
      <c r="K238" s="182"/>
      <c r="L238" s="181"/>
      <c r="M238" s="166"/>
      <c r="N238" s="166"/>
      <c r="O238" s="166"/>
      <c r="P238" s="166"/>
      <c r="Q238" s="166"/>
      <c r="R238" s="57"/>
    </row>
    <row r="239" spans="1:18" x14ac:dyDescent="0.25">
      <c r="A239" s="55" t="s">
        <v>543</v>
      </c>
      <c r="B239" s="322" t="s">
        <v>544</v>
      </c>
      <c r="C239" s="323">
        <v>1612421</v>
      </c>
      <c r="D239" s="318" t="s">
        <v>545</v>
      </c>
      <c r="E239" s="322" t="s">
        <v>31</v>
      </c>
      <c r="F239" s="166">
        <v>1</v>
      </c>
      <c r="G239" s="180" t="s">
        <v>321</v>
      </c>
      <c r="H239" s="166" t="s">
        <v>550</v>
      </c>
      <c r="I239" s="57" t="s">
        <v>157</v>
      </c>
      <c r="J239" s="180"/>
      <c r="K239" s="182"/>
      <c r="L239" s="181"/>
      <c r="M239" s="166"/>
      <c r="N239" s="166"/>
      <c r="O239" s="166"/>
      <c r="P239" s="166"/>
      <c r="Q239" s="166"/>
      <c r="R239" s="57"/>
    </row>
    <row r="240" spans="1:18" x14ac:dyDescent="0.25">
      <c r="A240" s="55" t="s">
        <v>543</v>
      </c>
      <c r="B240" s="322" t="s">
        <v>544</v>
      </c>
      <c r="C240" s="323">
        <v>1612421</v>
      </c>
      <c r="D240" s="318" t="s">
        <v>545</v>
      </c>
      <c r="E240" s="322" t="s">
        <v>31</v>
      </c>
      <c r="F240" s="96">
        <v>1</v>
      </c>
      <c r="G240" s="95" t="s">
        <v>321</v>
      </c>
      <c r="H240" s="96" t="s">
        <v>551</v>
      </c>
      <c r="I240" s="55" t="s">
        <v>157</v>
      </c>
      <c r="J240" s="95"/>
      <c r="K240" s="168"/>
      <c r="L240" s="176"/>
      <c r="M240" s="96"/>
      <c r="N240" s="96"/>
      <c r="O240" s="96"/>
      <c r="P240" s="96"/>
      <c r="Q240" s="96"/>
      <c r="R240" s="55"/>
    </row>
    <row r="241" spans="1:18" x14ac:dyDescent="0.25">
      <c r="A241" s="55" t="s">
        <v>543</v>
      </c>
      <c r="B241" s="322" t="s">
        <v>544</v>
      </c>
      <c r="C241" s="323">
        <v>1612421</v>
      </c>
      <c r="D241" s="318" t="s">
        <v>545</v>
      </c>
      <c r="E241" s="322" t="s">
        <v>31</v>
      </c>
      <c r="F241" s="96">
        <v>1</v>
      </c>
      <c r="G241" s="95" t="s">
        <v>321</v>
      </c>
      <c r="H241" s="166" t="s">
        <v>552</v>
      </c>
      <c r="I241" s="57" t="s">
        <v>157</v>
      </c>
      <c r="J241" s="180"/>
      <c r="K241" s="182"/>
      <c r="L241" s="181"/>
      <c r="M241" s="166"/>
      <c r="N241" s="166"/>
      <c r="O241" s="166"/>
      <c r="P241" s="166"/>
      <c r="Q241" s="166"/>
      <c r="R241" s="57"/>
    </row>
    <row r="242" spans="1:18" x14ac:dyDescent="0.25">
      <c r="A242" s="55" t="s">
        <v>543</v>
      </c>
      <c r="B242" s="322" t="s">
        <v>544</v>
      </c>
      <c r="C242" s="323">
        <v>1612421</v>
      </c>
      <c r="D242" s="318" t="s">
        <v>545</v>
      </c>
      <c r="E242" s="322" t="s">
        <v>31</v>
      </c>
      <c r="F242" s="96">
        <v>1</v>
      </c>
      <c r="G242" s="233" t="s">
        <v>321</v>
      </c>
      <c r="H242" s="96" t="s">
        <v>553</v>
      </c>
      <c r="I242" s="55" t="s">
        <v>157</v>
      </c>
      <c r="J242" s="95"/>
      <c r="K242" s="168"/>
      <c r="L242" s="176"/>
      <c r="M242" s="96"/>
      <c r="N242" s="96"/>
      <c r="O242" s="96"/>
      <c r="P242" s="96"/>
      <c r="Q242" s="96"/>
      <c r="R242" s="55"/>
    </row>
    <row r="243" spans="1:18" x14ac:dyDescent="0.25">
      <c r="A243" s="55" t="s">
        <v>543</v>
      </c>
      <c r="B243" s="322" t="s">
        <v>544</v>
      </c>
      <c r="C243" s="323">
        <v>1612421</v>
      </c>
      <c r="D243" s="318" t="s">
        <v>545</v>
      </c>
      <c r="E243" s="322" t="s">
        <v>31</v>
      </c>
      <c r="F243" s="166">
        <v>4</v>
      </c>
      <c r="G243" s="284" t="s">
        <v>321</v>
      </c>
      <c r="H243" s="166" t="s">
        <v>554</v>
      </c>
      <c r="I243" s="57" t="s">
        <v>157</v>
      </c>
      <c r="J243" s="180"/>
      <c r="K243" s="182"/>
      <c r="L243" s="181"/>
      <c r="M243" s="166"/>
      <c r="N243" s="166"/>
      <c r="O243" s="166"/>
      <c r="P243" s="166"/>
      <c r="Q243" s="166"/>
      <c r="R243" s="57"/>
    </row>
    <row r="244" spans="1:18" x14ac:dyDescent="0.25">
      <c r="A244" s="55" t="s">
        <v>543</v>
      </c>
      <c r="B244" s="322" t="s">
        <v>544</v>
      </c>
      <c r="C244" s="323">
        <v>1612421</v>
      </c>
      <c r="D244" s="318" t="s">
        <v>545</v>
      </c>
      <c r="E244" s="322" t="s">
        <v>31</v>
      </c>
      <c r="F244" s="96">
        <v>1</v>
      </c>
      <c r="G244" s="95" t="s">
        <v>321</v>
      </c>
      <c r="H244" s="96" t="s">
        <v>555</v>
      </c>
      <c r="I244" s="55" t="s">
        <v>157</v>
      </c>
      <c r="J244" s="95"/>
      <c r="K244" s="168"/>
      <c r="L244" s="176"/>
      <c r="M244" s="96"/>
      <c r="N244" s="96"/>
      <c r="O244" s="96"/>
      <c r="P244" s="96"/>
      <c r="Q244" s="96"/>
      <c r="R244" s="55"/>
    </row>
    <row r="245" spans="1:18" x14ac:dyDescent="0.25">
      <c r="A245" s="55" t="s">
        <v>543</v>
      </c>
      <c r="B245" s="322" t="s">
        <v>544</v>
      </c>
      <c r="C245" s="323">
        <v>1612421</v>
      </c>
      <c r="D245" s="318" t="s">
        <v>545</v>
      </c>
      <c r="E245" s="322" t="s">
        <v>31</v>
      </c>
      <c r="F245" s="96">
        <v>1</v>
      </c>
      <c r="G245" s="95" t="s">
        <v>321</v>
      </c>
      <c r="H245" s="96" t="s">
        <v>556</v>
      </c>
      <c r="I245" s="55" t="s">
        <v>157</v>
      </c>
      <c r="J245" s="95"/>
      <c r="K245" s="168"/>
      <c r="L245" s="176"/>
      <c r="M245" s="96"/>
      <c r="N245" s="96"/>
      <c r="O245" s="96"/>
      <c r="P245" s="96"/>
      <c r="Q245" s="96"/>
      <c r="R245" s="55"/>
    </row>
    <row r="246" spans="1:18" x14ac:dyDescent="0.25">
      <c r="A246" s="55" t="s">
        <v>543</v>
      </c>
      <c r="B246" s="322" t="s">
        <v>544</v>
      </c>
      <c r="C246" s="323">
        <v>1612421</v>
      </c>
      <c r="D246" s="318" t="s">
        <v>545</v>
      </c>
      <c r="E246" s="322" t="s">
        <v>31</v>
      </c>
      <c r="F246" s="96">
        <v>1</v>
      </c>
      <c r="G246" s="95" t="s">
        <v>321</v>
      </c>
      <c r="H246" s="96" t="s">
        <v>557</v>
      </c>
      <c r="I246" s="55" t="s">
        <v>157</v>
      </c>
      <c r="J246" s="95"/>
      <c r="K246" s="168"/>
      <c r="L246" s="176"/>
      <c r="M246" s="96"/>
      <c r="N246" s="96"/>
      <c r="O246" s="96"/>
      <c r="P246" s="96"/>
      <c r="Q246" s="96"/>
      <c r="R246" s="55"/>
    </row>
    <row r="247" spans="1:18" x14ac:dyDescent="0.25">
      <c r="A247" s="55" t="s">
        <v>543</v>
      </c>
      <c r="B247" s="322" t="s">
        <v>544</v>
      </c>
      <c r="C247" s="323">
        <v>1612421</v>
      </c>
      <c r="D247" s="318" t="s">
        <v>545</v>
      </c>
      <c r="E247" s="322" t="s">
        <v>31</v>
      </c>
      <c r="F247" s="96" t="s">
        <v>558</v>
      </c>
      <c r="G247" s="95" t="s">
        <v>374</v>
      </c>
      <c r="H247" s="96" t="s">
        <v>559</v>
      </c>
      <c r="I247" s="55" t="s">
        <v>157</v>
      </c>
      <c r="J247" s="95"/>
      <c r="K247" s="168"/>
      <c r="L247" s="176"/>
      <c r="M247" s="96"/>
      <c r="N247" s="96"/>
      <c r="O247" s="96"/>
      <c r="P247" s="96"/>
      <c r="Q247" s="96"/>
      <c r="R247" s="55"/>
    </row>
    <row r="248" spans="1:18" x14ac:dyDescent="0.25">
      <c r="A248" s="55" t="s">
        <v>543</v>
      </c>
      <c r="B248" s="322" t="s">
        <v>544</v>
      </c>
      <c r="C248" s="323">
        <v>1612421</v>
      </c>
      <c r="D248" s="318" t="s">
        <v>545</v>
      </c>
      <c r="E248" s="322" t="s">
        <v>31</v>
      </c>
      <c r="F248" s="96">
        <v>2</v>
      </c>
      <c r="G248" s="95" t="s">
        <v>321</v>
      </c>
      <c r="H248" s="96" t="s">
        <v>560</v>
      </c>
      <c r="I248" s="55" t="s">
        <v>157</v>
      </c>
      <c r="J248" s="95"/>
      <c r="K248" s="168"/>
      <c r="L248" s="176"/>
      <c r="M248" s="96"/>
      <c r="N248" s="96"/>
      <c r="O248" s="96"/>
      <c r="P248" s="96"/>
      <c r="Q248" s="96"/>
      <c r="R248" s="55"/>
    </row>
    <row r="249" spans="1:18" x14ac:dyDescent="0.25">
      <c r="A249" s="55" t="s">
        <v>543</v>
      </c>
      <c r="B249" s="322" t="s">
        <v>544</v>
      </c>
      <c r="C249" s="323">
        <v>1612421</v>
      </c>
      <c r="D249" s="318" t="s">
        <v>545</v>
      </c>
      <c r="E249" s="322" t="s">
        <v>31</v>
      </c>
      <c r="F249" s="96">
        <v>2</v>
      </c>
      <c r="G249" s="95" t="s">
        <v>321</v>
      </c>
      <c r="H249" s="96" t="s">
        <v>561</v>
      </c>
      <c r="I249" s="55" t="s">
        <v>157</v>
      </c>
      <c r="J249" s="95"/>
      <c r="K249" s="168"/>
      <c r="L249" s="176"/>
      <c r="M249" s="96"/>
      <c r="N249" s="96"/>
      <c r="O249" s="96"/>
      <c r="P249" s="96"/>
      <c r="Q249" s="96"/>
      <c r="R249" s="55"/>
    </row>
    <row r="250" spans="1:18" x14ac:dyDescent="0.25">
      <c r="A250" s="55" t="s">
        <v>543</v>
      </c>
      <c r="B250" s="322" t="s">
        <v>544</v>
      </c>
      <c r="C250" s="323">
        <v>1612421</v>
      </c>
      <c r="D250" s="318" t="s">
        <v>545</v>
      </c>
      <c r="E250" s="322" t="s">
        <v>31</v>
      </c>
      <c r="F250" s="96">
        <v>6</v>
      </c>
      <c r="G250" s="95" t="s">
        <v>321</v>
      </c>
      <c r="H250" s="96" t="s">
        <v>562</v>
      </c>
      <c r="I250" s="55" t="s">
        <v>157</v>
      </c>
      <c r="J250" s="95"/>
      <c r="K250" s="168"/>
      <c r="L250" s="176"/>
      <c r="M250" s="96"/>
      <c r="N250" s="96"/>
      <c r="O250" s="96"/>
      <c r="P250" s="96"/>
      <c r="Q250" s="96"/>
      <c r="R250" s="55"/>
    </row>
    <row r="251" spans="1:18" x14ac:dyDescent="0.25">
      <c r="A251" s="55" t="s">
        <v>543</v>
      </c>
      <c r="B251" s="322" t="s">
        <v>544</v>
      </c>
      <c r="C251" s="323">
        <v>1612421</v>
      </c>
      <c r="D251" s="318" t="s">
        <v>545</v>
      </c>
      <c r="E251" s="322" t="s">
        <v>31</v>
      </c>
      <c r="F251" s="96">
        <v>1</v>
      </c>
      <c r="G251" s="95" t="s">
        <v>321</v>
      </c>
      <c r="H251" s="96" t="s">
        <v>563</v>
      </c>
      <c r="I251" s="55" t="s">
        <v>157</v>
      </c>
      <c r="J251" s="95"/>
      <c r="K251" s="168"/>
      <c r="L251" s="176"/>
      <c r="M251" s="96"/>
      <c r="N251" s="96"/>
      <c r="O251" s="96"/>
      <c r="P251" s="96"/>
      <c r="Q251" s="96"/>
      <c r="R251" s="55"/>
    </row>
    <row r="252" spans="1:18" x14ac:dyDescent="0.25">
      <c r="A252" s="55" t="s">
        <v>543</v>
      </c>
      <c r="B252" s="322" t="s">
        <v>544</v>
      </c>
      <c r="C252" s="323">
        <v>1612421</v>
      </c>
      <c r="D252" s="318" t="s">
        <v>545</v>
      </c>
      <c r="E252" s="322" t="s">
        <v>31</v>
      </c>
      <c r="F252" s="96">
        <v>2</v>
      </c>
      <c r="G252" s="95" t="s">
        <v>321</v>
      </c>
      <c r="H252" s="96" t="s">
        <v>564</v>
      </c>
      <c r="I252" s="55" t="s">
        <v>157</v>
      </c>
      <c r="J252" s="95"/>
      <c r="K252" s="168"/>
      <c r="L252" s="176"/>
      <c r="M252" s="96"/>
      <c r="N252" s="96"/>
      <c r="O252" s="96"/>
      <c r="P252" s="96"/>
      <c r="Q252" s="96"/>
      <c r="R252" s="55"/>
    </row>
    <row r="253" spans="1:18" x14ac:dyDescent="0.25">
      <c r="A253" s="57" t="s">
        <v>543</v>
      </c>
      <c r="B253" s="327" t="s">
        <v>544</v>
      </c>
      <c r="C253" s="328">
        <v>1612421</v>
      </c>
      <c r="D253" s="231" t="s">
        <v>545</v>
      </c>
      <c r="E253" s="327" t="s">
        <v>31</v>
      </c>
      <c r="F253" s="166">
        <v>1</v>
      </c>
      <c r="G253" s="180" t="s">
        <v>321</v>
      </c>
      <c r="H253" s="166" t="s">
        <v>565</v>
      </c>
      <c r="I253" s="57" t="s">
        <v>157</v>
      </c>
      <c r="J253" s="180"/>
      <c r="K253" s="182"/>
      <c r="L253" s="181"/>
      <c r="M253" s="166"/>
      <c r="N253" s="166"/>
      <c r="O253" s="166"/>
      <c r="P253" s="166"/>
      <c r="Q253" s="166"/>
      <c r="R253" s="57"/>
    </row>
    <row r="254" spans="1:18" x14ac:dyDescent="0.25">
      <c r="A254" s="170" t="s">
        <v>59</v>
      </c>
      <c r="B254" s="170" t="s">
        <v>566</v>
      </c>
      <c r="C254" s="170">
        <v>1410850</v>
      </c>
      <c r="D254" s="170" t="s">
        <v>567</v>
      </c>
      <c r="E254" s="170" t="s">
        <v>36</v>
      </c>
      <c r="F254" s="96">
        <v>1</v>
      </c>
      <c r="G254" s="95" t="s">
        <v>321</v>
      </c>
      <c r="H254" s="96" t="s">
        <v>568</v>
      </c>
      <c r="I254" s="96" t="s">
        <v>569</v>
      </c>
      <c r="J254" s="1764" t="s">
        <v>116</v>
      </c>
      <c r="K254" s="1765"/>
      <c r="L254" s="1765"/>
      <c r="M254" s="1764"/>
      <c r="N254" s="96"/>
      <c r="O254" s="96"/>
      <c r="P254" s="96"/>
      <c r="Q254" s="96"/>
      <c r="R254" s="55"/>
    </row>
    <row r="255" spans="1:18" x14ac:dyDescent="0.25">
      <c r="A255" s="170" t="s">
        <v>59</v>
      </c>
      <c r="B255" s="170" t="s">
        <v>570</v>
      </c>
      <c r="C255" s="170">
        <v>1410851</v>
      </c>
      <c r="D255" s="170" t="s">
        <v>567</v>
      </c>
      <c r="E255" s="170" t="s">
        <v>36</v>
      </c>
      <c r="F255" s="96">
        <v>1</v>
      </c>
      <c r="G255" s="95" t="s">
        <v>321</v>
      </c>
      <c r="H255" s="96" t="s">
        <v>571</v>
      </c>
      <c r="I255" s="96" t="s">
        <v>569</v>
      </c>
      <c r="J255" s="1764"/>
      <c r="K255" s="1765"/>
      <c r="L255" s="1765"/>
      <c r="M255" s="1764"/>
      <c r="N255" s="96"/>
      <c r="O255" s="96"/>
      <c r="P255" s="96"/>
      <c r="Q255" s="96"/>
      <c r="R255" s="55"/>
    </row>
    <row r="256" spans="1:18" x14ac:dyDescent="0.25">
      <c r="A256" s="170" t="s">
        <v>59</v>
      </c>
      <c r="B256" s="170" t="s">
        <v>572</v>
      </c>
      <c r="C256" s="170">
        <v>1410852</v>
      </c>
      <c r="D256" s="170" t="s">
        <v>567</v>
      </c>
      <c r="E256" s="170" t="s">
        <v>36</v>
      </c>
      <c r="F256" s="96">
        <v>320</v>
      </c>
      <c r="G256" s="95" t="s">
        <v>63</v>
      </c>
      <c r="H256" s="96" t="s">
        <v>573</v>
      </c>
      <c r="I256" s="96" t="s">
        <v>569</v>
      </c>
      <c r="J256" s="1764"/>
      <c r="K256" s="1765"/>
      <c r="L256" s="1765"/>
      <c r="M256" s="1764"/>
      <c r="N256" s="96"/>
      <c r="O256" s="96"/>
      <c r="P256" s="96"/>
      <c r="Q256" s="96"/>
      <c r="R256" s="55"/>
    </row>
    <row r="257" spans="1:18" x14ac:dyDescent="0.25">
      <c r="A257" s="170" t="s">
        <v>59</v>
      </c>
      <c r="B257" s="170" t="s">
        <v>574</v>
      </c>
      <c r="C257" s="170">
        <v>1410853</v>
      </c>
      <c r="D257" s="170" t="s">
        <v>567</v>
      </c>
      <c r="E257" s="170" t="s">
        <v>36</v>
      </c>
      <c r="F257" s="96">
        <v>1</v>
      </c>
      <c r="G257" s="95" t="s">
        <v>321</v>
      </c>
      <c r="H257" s="96" t="s">
        <v>317</v>
      </c>
      <c r="I257" s="96" t="s">
        <v>569</v>
      </c>
      <c r="J257" s="1764"/>
      <c r="K257" s="1765"/>
      <c r="L257" s="1765"/>
      <c r="M257" s="1764"/>
      <c r="N257" s="96"/>
      <c r="O257" s="96"/>
      <c r="P257" s="96"/>
      <c r="Q257" s="96"/>
      <c r="R257" s="55"/>
    </row>
    <row r="258" spans="1:18" x14ac:dyDescent="0.25">
      <c r="A258" s="170" t="s">
        <v>59</v>
      </c>
      <c r="B258" s="170" t="s">
        <v>575</v>
      </c>
      <c r="C258" s="170">
        <v>1410854</v>
      </c>
      <c r="D258" s="170" t="s">
        <v>567</v>
      </c>
      <c r="E258" s="170" t="s">
        <v>36</v>
      </c>
      <c r="F258" s="166" t="s">
        <v>29</v>
      </c>
      <c r="G258" s="180" t="s">
        <v>29</v>
      </c>
      <c r="H258" s="166" t="s">
        <v>576</v>
      </c>
      <c r="I258" s="96" t="s">
        <v>569</v>
      </c>
      <c r="J258" s="1764"/>
      <c r="K258" s="1765"/>
      <c r="L258" s="1765"/>
      <c r="M258" s="1764"/>
      <c r="N258" s="166"/>
      <c r="O258" s="96"/>
      <c r="P258" s="96"/>
      <c r="Q258" s="96"/>
      <c r="R258" s="55"/>
    </row>
    <row r="259" spans="1:18" s="330" customFormat="1" x14ac:dyDescent="0.25">
      <c r="A259" s="55" t="s">
        <v>67</v>
      </c>
      <c r="B259" s="322" t="s">
        <v>577</v>
      </c>
      <c r="C259" s="338">
        <v>101200</v>
      </c>
      <c r="D259" s="318" t="s">
        <v>578</v>
      </c>
      <c r="E259" s="322" t="s">
        <v>32</v>
      </c>
      <c r="F259" s="96">
        <v>1</v>
      </c>
      <c r="G259" s="95" t="s">
        <v>321</v>
      </c>
      <c r="H259" s="96" t="s">
        <v>579</v>
      </c>
      <c r="I259" s="55" t="s">
        <v>157</v>
      </c>
      <c r="J259" s="95"/>
      <c r="K259" s="168"/>
      <c r="L259" s="176"/>
      <c r="M259" s="96"/>
      <c r="N259" s="96"/>
      <c r="O259" s="96"/>
      <c r="P259" s="96" t="s">
        <v>381</v>
      </c>
      <c r="Q259" s="96"/>
      <c r="R259" s="55"/>
    </row>
    <row r="260" spans="1:18" s="330" customFormat="1" x14ac:dyDescent="0.25">
      <c r="A260" s="55" t="s">
        <v>67</v>
      </c>
      <c r="B260" s="322" t="s">
        <v>580</v>
      </c>
      <c r="C260" s="338">
        <v>1212584</v>
      </c>
      <c r="D260" s="318" t="s">
        <v>581</v>
      </c>
      <c r="E260" s="322" t="s">
        <v>32</v>
      </c>
      <c r="F260" s="96">
        <v>2960</v>
      </c>
      <c r="G260" s="95" t="s">
        <v>63</v>
      </c>
      <c r="H260" s="96" t="s">
        <v>582</v>
      </c>
      <c r="I260" s="55" t="s">
        <v>157</v>
      </c>
      <c r="J260" s="95" t="s">
        <v>212</v>
      </c>
      <c r="K260" s="168"/>
      <c r="L260" s="176"/>
      <c r="M260" s="96"/>
      <c r="N260" s="96"/>
      <c r="O260" s="96"/>
      <c r="P260" s="96"/>
      <c r="Q260" s="96"/>
      <c r="R260" s="55"/>
    </row>
    <row r="261" spans="1:18" s="330" customFormat="1" x14ac:dyDescent="0.25">
      <c r="A261" s="55" t="s">
        <v>67</v>
      </c>
      <c r="B261" s="322" t="s">
        <v>580</v>
      </c>
      <c r="C261" s="338">
        <v>1212584</v>
      </c>
      <c r="D261" s="318" t="s">
        <v>581</v>
      </c>
      <c r="E261" s="322" t="s">
        <v>32</v>
      </c>
      <c r="F261" s="96">
        <v>400</v>
      </c>
      <c r="G261" s="95" t="s">
        <v>63</v>
      </c>
      <c r="H261" s="96" t="s">
        <v>583</v>
      </c>
      <c r="I261" s="55" t="s">
        <v>157</v>
      </c>
      <c r="J261" s="95" t="s">
        <v>212</v>
      </c>
      <c r="K261" s="168"/>
      <c r="L261" s="176"/>
      <c r="M261" s="96"/>
      <c r="N261" s="96"/>
      <c r="O261" s="96"/>
      <c r="P261" s="96"/>
      <c r="Q261" s="96"/>
      <c r="R261" s="55"/>
    </row>
    <row r="262" spans="1:18" x14ac:dyDescent="0.25">
      <c r="A262" s="57" t="s">
        <v>67</v>
      </c>
      <c r="B262" s="327" t="s">
        <v>580</v>
      </c>
      <c r="C262" s="339">
        <v>1212584</v>
      </c>
      <c r="D262" s="231" t="s">
        <v>581</v>
      </c>
      <c r="E262" s="327" t="s">
        <v>32</v>
      </c>
      <c r="F262" s="166">
        <v>2</v>
      </c>
      <c r="G262" s="180" t="s">
        <v>321</v>
      </c>
      <c r="H262" s="166" t="s">
        <v>584</v>
      </c>
      <c r="I262" s="57" t="s">
        <v>157</v>
      </c>
      <c r="J262" s="180"/>
      <c r="K262" s="182"/>
      <c r="L262" s="181"/>
      <c r="M262" s="166"/>
      <c r="N262" s="166" t="s">
        <v>585</v>
      </c>
      <c r="O262" s="166" t="s">
        <v>586</v>
      </c>
      <c r="P262" s="337">
        <v>45148</v>
      </c>
      <c r="Q262" s="166"/>
      <c r="R262" s="57">
        <v>6380</v>
      </c>
    </row>
    <row r="263" spans="1:18" s="41" customFormat="1" x14ac:dyDescent="0.25">
      <c r="A263" s="90" t="s">
        <v>59</v>
      </c>
      <c r="B263" s="90" t="s">
        <v>587</v>
      </c>
      <c r="C263" s="90">
        <v>1212818</v>
      </c>
      <c r="D263" s="90" t="s">
        <v>588</v>
      </c>
      <c r="E263" s="90" t="s">
        <v>23</v>
      </c>
      <c r="F263" s="61">
        <v>520</v>
      </c>
      <c r="G263" s="60" t="s">
        <v>63</v>
      </c>
      <c r="H263" s="61" t="s">
        <v>583</v>
      </c>
      <c r="I263" s="90" t="s">
        <v>569</v>
      </c>
      <c r="J263" s="60" t="s">
        <v>116</v>
      </c>
      <c r="K263" s="305">
        <v>45133</v>
      </c>
      <c r="L263" s="67"/>
      <c r="M263" s="61"/>
      <c r="N263" s="61" t="s">
        <v>589</v>
      </c>
      <c r="O263" s="61" t="s">
        <v>590</v>
      </c>
      <c r="P263" s="61"/>
      <c r="Q263" s="61"/>
      <c r="R263" s="90"/>
    </row>
    <row r="264" spans="1:18" x14ac:dyDescent="0.25">
      <c r="A264" s="90" t="s">
        <v>59</v>
      </c>
      <c r="B264" s="55" t="s">
        <v>591</v>
      </c>
      <c r="C264" s="55">
        <v>1612618</v>
      </c>
      <c r="D264" s="55" t="s">
        <v>592</v>
      </c>
      <c r="E264" s="55" t="s">
        <v>31</v>
      </c>
      <c r="F264" s="96">
        <v>2</v>
      </c>
      <c r="G264" s="95" t="s">
        <v>321</v>
      </c>
      <c r="H264" s="238" t="s">
        <v>593</v>
      </c>
      <c r="I264" s="55" t="s">
        <v>157</v>
      </c>
      <c r="J264" s="95"/>
      <c r="K264" s="168">
        <v>45189</v>
      </c>
      <c r="L264" s="176"/>
      <c r="M264" s="96"/>
      <c r="N264" s="61" t="s">
        <v>589</v>
      </c>
      <c r="O264" s="61" t="s">
        <v>590</v>
      </c>
      <c r="P264" s="96"/>
      <c r="Q264" s="96"/>
      <c r="R264" s="90">
        <v>6626</v>
      </c>
    </row>
    <row r="265" spans="1:18" x14ac:dyDescent="0.25">
      <c r="A265" s="57" t="s">
        <v>67</v>
      </c>
      <c r="B265" s="57" t="s">
        <v>594</v>
      </c>
      <c r="C265" s="57">
        <v>1912867</v>
      </c>
      <c r="D265" s="57" t="s">
        <v>595</v>
      </c>
      <c r="E265" s="57" t="s">
        <v>32</v>
      </c>
      <c r="F265" s="96">
        <v>40</v>
      </c>
      <c r="G265" s="95" t="s">
        <v>63</v>
      </c>
      <c r="H265" s="96" t="s">
        <v>596</v>
      </c>
      <c r="I265" s="57" t="s">
        <v>597</v>
      </c>
      <c r="J265" s="95" t="s">
        <v>29</v>
      </c>
      <c r="K265" s="168" t="s">
        <v>29</v>
      </c>
      <c r="L265" s="176" t="s">
        <v>29</v>
      </c>
      <c r="M265" s="96" t="s">
        <v>29</v>
      </c>
      <c r="N265" s="96"/>
      <c r="O265" s="96" t="s">
        <v>598</v>
      </c>
      <c r="P265" s="96">
        <v>45139</v>
      </c>
      <c r="Q265" s="96"/>
      <c r="R265" s="55" t="s">
        <v>599</v>
      </c>
    </row>
    <row r="266" spans="1:18" x14ac:dyDescent="0.25">
      <c r="A266" s="57" t="s">
        <v>67</v>
      </c>
      <c r="B266" s="57" t="s">
        <v>594</v>
      </c>
      <c r="C266" s="57">
        <v>1912867</v>
      </c>
      <c r="D266" s="57" t="s">
        <v>595</v>
      </c>
      <c r="E266" s="57" t="s">
        <v>32</v>
      </c>
      <c r="F266" s="96">
        <v>40</v>
      </c>
      <c r="G266" s="95" t="s">
        <v>63</v>
      </c>
      <c r="H266" s="96" t="s">
        <v>600</v>
      </c>
      <c r="I266" s="57" t="s">
        <v>597</v>
      </c>
      <c r="J266" s="95" t="s">
        <v>29</v>
      </c>
      <c r="K266" s="168" t="s">
        <v>29</v>
      </c>
      <c r="L266" s="176" t="s">
        <v>29</v>
      </c>
      <c r="M266" s="96" t="s">
        <v>29</v>
      </c>
      <c r="N266" s="96"/>
      <c r="O266" s="96" t="s">
        <v>598</v>
      </c>
      <c r="P266" s="96">
        <v>45139</v>
      </c>
      <c r="Q266" s="96"/>
      <c r="R266" s="55" t="s">
        <v>599</v>
      </c>
    </row>
    <row r="267" spans="1:18" x14ac:dyDescent="0.25">
      <c r="A267" s="57" t="s">
        <v>67</v>
      </c>
      <c r="B267" s="57" t="s">
        <v>594</v>
      </c>
      <c r="C267" s="57">
        <v>1912867</v>
      </c>
      <c r="D267" s="57" t="s">
        <v>595</v>
      </c>
      <c r="E267" s="57" t="s">
        <v>32</v>
      </c>
      <c r="F267" s="96">
        <v>1</v>
      </c>
      <c r="G267" s="95" t="s">
        <v>321</v>
      </c>
      <c r="H267" s="96" t="s">
        <v>601</v>
      </c>
      <c r="I267" s="57" t="s">
        <v>597</v>
      </c>
      <c r="J267" s="95" t="s">
        <v>29</v>
      </c>
      <c r="K267" s="168" t="s">
        <v>29</v>
      </c>
      <c r="L267" s="176" t="s">
        <v>29</v>
      </c>
      <c r="M267" s="96" t="s">
        <v>29</v>
      </c>
      <c r="N267" s="96"/>
      <c r="O267" s="96" t="s">
        <v>598</v>
      </c>
      <c r="P267" s="96">
        <v>45139</v>
      </c>
      <c r="Q267" s="96"/>
      <c r="R267" s="55" t="s">
        <v>599</v>
      </c>
    </row>
    <row r="268" spans="1:18" x14ac:dyDescent="0.25">
      <c r="A268" s="55" t="s">
        <v>67</v>
      </c>
      <c r="B268" s="55" t="s">
        <v>594</v>
      </c>
      <c r="C268" s="55">
        <v>1912867</v>
      </c>
      <c r="D268" s="55" t="s">
        <v>595</v>
      </c>
      <c r="E268" s="55" t="s">
        <v>32</v>
      </c>
      <c r="F268" s="96">
        <v>6</v>
      </c>
      <c r="G268" s="95" t="s">
        <v>321</v>
      </c>
      <c r="H268" s="96" t="s">
        <v>602</v>
      </c>
      <c r="I268" s="55" t="s">
        <v>597</v>
      </c>
      <c r="J268" s="95" t="s">
        <v>29</v>
      </c>
      <c r="K268" s="168" t="s">
        <v>29</v>
      </c>
      <c r="L268" s="176" t="s">
        <v>29</v>
      </c>
      <c r="M268" s="96" t="s">
        <v>29</v>
      </c>
      <c r="N268" s="96"/>
      <c r="O268" s="96" t="s">
        <v>598</v>
      </c>
      <c r="P268" s="96">
        <v>45139</v>
      </c>
      <c r="Q268" s="96"/>
      <c r="R268" s="55" t="s">
        <v>599</v>
      </c>
    </row>
    <row r="269" spans="1:18" ht="45" x14ac:dyDescent="0.25">
      <c r="A269" s="57" t="s">
        <v>603</v>
      </c>
      <c r="B269" s="57" t="s">
        <v>604</v>
      </c>
      <c r="C269" s="57">
        <v>1012573</v>
      </c>
      <c r="D269" s="57" t="s">
        <v>605</v>
      </c>
      <c r="E269" s="57" t="s">
        <v>37</v>
      </c>
      <c r="F269" s="96">
        <v>1</v>
      </c>
      <c r="G269" s="95" t="s">
        <v>321</v>
      </c>
      <c r="H269" s="331" t="s">
        <v>606</v>
      </c>
      <c r="I269" s="57" t="s">
        <v>157</v>
      </c>
      <c r="J269" s="95"/>
      <c r="K269" s="168"/>
      <c r="L269" s="176"/>
      <c r="M269" s="96"/>
      <c r="N269" s="307" t="s">
        <v>607</v>
      </c>
      <c r="O269" s="96" t="s">
        <v>472</v>
      </c>
      <c r="P269" s="96"/>
      <c r="Q269" s="96"/>
      <c r="R269" s="55" t="s">
        <v>608</v>
      </c>
    </row>
    <row r="270" spans="1:18" ht="45" x14ac:dyDescent="0.25">
      <c r="A270" s="57" t="s">
        <v>603</v>
      </c>
      <c r="B270" s="57" t="s">
        <v>604</v>
      </c>
      <c r="C270" s="57">
        <v>1012573</v>
      </c>
      <c r="D270" s="57" t="s">
        <v>605</v>
      </c>
      <c r="E270" s="57" t="s">
        <v>37</v>
      </c>
      <c r="F270" s="96">
        <v>1</v>
      </c>
      <c r="G270" s="95" t="s">
        <v>321</v>
      </c>
      <c r="H270" s="167" t="s">
        <v>609</v>
      </c>
      <c r="I270" s="57" t="s">
        <v>157</v>
      </c>
      <c r="J270" s="95"/>
      <c r="K270" s="168"/>
      <c r="L270" s="176"/>
      <c r="M270" s="96"/>
      <c r="N270" s="96" t="s">
        <v>607</v>
      </c>
      <c r="O270" s="96" t="s">
        <v>472</v>
      </c>
      <c r="P270" s="96"/>
      <c r="Q270" s="96"/>
      <c r="R270" s="55" t="s">
        <v>608</v>
      </c>
    </row>
    <row r="271" spans="1:18" x14ac:dyDescent="0.25">
      <c r="A271" s="57" t="s">
        <v>603</v>
      </c>
      <c r="B271" s="57" t="s">
        <v>604</v>
      </c>
      <c r="C271" s="57">
        <v>1012573</v>
      </c>
      <c r="D271" s="57" t="s">
        <v>605</v>
      </c>
      <c r="E271" s="57" t="s">
        <v>37</v>
      </c>
      <c r="F271" s="96">
        <v>1</v>
      </c>
      <c r="G271" s="95" t="s">
        <v>321</v>
      </c>
      <c r="H271" s="167" t="s">
        <v>548</v>
      </c>
      <c r="I271" s="57" t="s">
        <v>157</v>
      </c>
      <c r="J271" s="95"/>
      <c r="K271" s="168"/>
      <c r="L271" s="176"/>
      <c r="M271" s="96"/>
      <c r="N271" s="96" t="s">
        <v>607</v>
      </c>
      <c r="O271" s="96" t="s">
        <v>472</v>
      </c>
      <c r="P271" s="96"/>
      <c r="Q271" s="96"/>
      <c r="R271" s="55" t="s">
        <v>608</v>
      </c>
    </row>
    <row r="272" spans="1:18" x14ac:dyDescent="0.25">
      <c r="A272" s="57" t="s">
        <v>603</v>
      </c>
      <c r="B272" s="57" t="s">
        <v>604</v>
      </c>
      <c r="C272" s="57">
        <v>1012573</v>
      </c>
      <c r="D272" s="57" t="s">
        <v>605</v>
      </c>
      <c r="E272" s="57" t="s">
        <v>37</v>
      </c>
      <c r="F272" s="96">
        <v>1</v>
      </c>
      <c r="G272" s="95" t="s">
        <v>321</v>
      </c>
      <c r="H272" s="167" t="s">
        <v>610</v>
      </c>
      <c r="I272" s="57" t="s">
        <v>157</v>
      </c>
      <c r="J272" s="95"/>
      <c r="K272" s="168"/>
      <c r="L272" s="176"/>
      <c r="M272" s="96"/>
      <c r="N272" s="96" t="s">
        <v>607</v>
      </c>
      <c r="O272" s="96" t="s">
        <v>472</v>
      </c>
      <c r="P272" s="96"/>
      <c r="Q272" s="96"/>
      <c r="R272" s="55" t="s">
        <v>608</v>
      </c>
    </row>
    <row r="273" spans="1:18" x14ac:dyDescent="0.25">
      <c r="A273" s="57" t="s">
        <v>603</v>
      </c>
      <c r="B273" s="57" t="s">
        <v>604</v>
      </c>
      <c r="C273" s="57">
        <v>1012573</v>
      </c>
      <c r="D273" s="57" t="s">
        <v>605</v>
      </c>
      <c r="E273" s="57" t="s">
        <v>37</v>
      </c>
      <c r="F273" s="96">
        <v>1</v>
      </c>
      <c r="G273" s="95" t="s">
        <v>321</v>
      </c>
      <c r="H273" s="167" t="s">
        <v>611</v>
      </c>
      <c r="I273" s="57" t="s">
        <v>157</v>
      </c>
      <c r="J273" s="95"/>
      <c r="K273" s="168"/>
      <c r="L273" s="176"/>
      <c r="M273" s="96"/>
      <c r="N273" s="96" t="s">
        <v>607</v>
      </c>
      <c r="O273" s="96" t="s">
        <v>472</v>
      </c>
      <c r="P273" s="96"/>
      <c r="Q273" s="96"/>
      <c r="R273" s="55" t="s">
        <v>608</v>
      </c>
    </row>
    <row r="274" spans="1:18" x14ac:dyDescent="0.25">
      <c r="A274" s="57" t="s">
        <v>603</v>
      </c>
      <c r="B274" s="57" t="s">
        <v>604</v>
      </c>
      <c r="C274" s="57">
        <v>1012573</v>
      </c>
      <c r="D274" s="57" t="s">
        <v>605</v>
      </c>
      <c r="E274" s="57" t="s">
        <v>37</v>
      </c>
      <c r="F274" s="96">
        <v>1</v>
      </c>
      <c r="G274" s="95" t="s">
        <v>321</v>
      </c>
      <c r="H274" s="167" t="s">
        <v>551</v>
      </c>
      <c r="I274" s="57" t="s">
        <v>157</v>
      </c>
      <c r="J274" s="95"/>
      <c r="K274" s="168"/>
      <c r="L274" s="176"/>
      <c r="M274" s="96"/>
      <c r="N274" s="96" t="s">
        <v>607</v>
      </c>
      <c r="O274" s="96" t="s">
        <v>472</v>
      </c>
      <c r="P274" s="96"/>
      <c r="Q274" s="96"/>
      <c r="R274" s="55" t="s">
        <v>608</v>
      </c>
    </row>
    <row r="275" spans="1:18" x14ac:dyDescent="0.25">
      <c r="A275" s="57" t="s">
        <v>603</v>
      </c>
      <c r="B275" s="57" t="s">
        <v>604</v>
      </c>
      <c r="C275" s="57">
        <v>1012573</v>
      </c>
      <c r="D275" s="57" t="s">
        <v>605</v>
      </c>
      <c r="E275" s="57" t="s">
        <v>37</v>
      </c>
      <c r="F275" s="96">
        <v>1</v>
      </c>
      <c r="G275" s="95" t="s">
        <v>321</v>
      </c>
      <c r="H275" s="167" t="s">
        <v>612</v>
      </c>
      <c r="I275" s="57" t="s">
        <v>157</v>
      </c>
      <c r="J275" s="95"/>
      <c r="K275" s="168"/>
      <c r="L275" s="176"/>
      <c r="M275" s="96"/>
      <c r="N275" s="96" t="s">
        <v>607</v>
      </c>
      <c r="O275" s="96" t="s">
        <v>472</v>
      </c>
      <c r="P275" s="96"/>
      <c r="Q275" s="96"/>
      <c r="R275" s="55" t="s">
        <v>608</v>
      </c>
    </row>
    <row r="276" spans="1:18" x14ac:dyDescent="0.25">
      <c r="A276" s="57" t="s">
        <v>603</v>
      </c>
      <c r="B276" s="57" t="s">
        <v>604</v>
      </c>
      <c r="C276" s="57">
        <v>1012573</v>
      </c>
      <c r="D276" s="57" t="s">
        <v>605</v>
      </c>
      <c r="E276" s="57" t="s">
        <v>37</v>
      </c>
      <c r="F276" s="96">
        <v>1</v>
      </c>
      <c r="G276" s="95" t="s">
        <v>321</v>
      </c>
      <c r="H276" s="167" t="s">
        <v>613</v>
      </c>
      <c r="I276" s="57" t="s">
        <v>157</v>
      </c>
      <c r="J276" s="95"/>
      <c r="K276" s="168"/>
      <c r="L276" s="176"/>
      <c r="M276" s="96"/>
      <c r="N276" s="96" t="s">
        <v>607</v>
      </c>
      <c r="O276" s="96" t="s">
        <v>472</v>
      </c>
      <c r="P276" s="96"/>
      <c r="Q276" s="96"/>
      <c r="R276" s="55" t="s">
        <v>608</v>
      </c>
    </row>
    <row r="277" spans="1:18" x14ac:dyDescent="0.25">
      <c r="A277" s="57" t="s">
        <v>603</v>
      </c>
      <c r="B277" s="57" t="s">
        <v>604</v>
      </c>
      <c r="C277" s="57">
        <v>1012573</v>
      </c>
      <c r="D277" s="57" t="s">
        <v>605</v>
      </c>
      <c r="E277" s="57" t="s">
        <v>37</v>
      </c>
      <c r="F277" s="96">
        <v>4</v>
      </c>
      <c r="G277" s="95" t="s">
        <v>321</v>
      </c>
      <c r="H277" s="167" t="s">
        <v>614</v>
      </c>
      <c r="I277" s="57" t="s">
        <v>157</v>
      </c>
      <c r="J277" s="95"/>
      <c r="K277" s="168"/>
      <c r="L277" s="176"/>
      <c r="M277" s="96"/>
      <c r="N277" s="96" t="s">
        <v>607</v>
      </c>
      <c r="O277" s="96" t="s">
        <v>472</v>
      </c>
      <c r="P277" s="96"/>
      <c r="Q277" s="96"/>
      <c r="R277" s="55" t="s">
        <v>608</v>
      </c>
    </row>
    <row r="278" spans="1:18" x14ac:dyDescent="0.25">
      <c r="A278" s="57" t="s">
        <v>603</v>
      </c>
      <c r="B278" s="57" t="s">
        <v>604</v>
      </c>
      <c r="C278" s="57">
        <v>1012573</v>
      </c>
      <c r="D278" s="57" t="s">
        <v>605</v>
      </c>
      <c r="E278" s="57" t="s">
        <v>37</v>
      </c>
      <c r="F278" s="96">
        <v>1</v>
      </c>
      <c r="G278" s="95" t="s">
        <v>321</v>
      </c>
      <c r="H278" s="167" t="s">
        <v>555</v>
      </c>
      <c r="I278" s="57" t="s">
        <v>157</v>
      </c>
      <c r="J278" s="95"/>
      <c r="K278" s="168"/>
      <c r="L278" s="176"/>
      <c r="M278" s="96"/>
      <c r="N278" s="96" t="s">
        <v>607</v>
      </c>
      <c r="O278" s="96" t="s">
        <v>472</v>
      </c>
      <c r="P278" s="96"/>
      <c r="Q278" s="96"/>
      <c r="R278" s="55" t="s">
        <v>608</v>
      </c>
    </row>
    <row r="279" spans="1:18" x14ac:dyDescent="0.25">
      <c r="A279" s="57" t="s">
        <v>603</v>
      </c>
      <c r="B279" s="57" t="s">
        <v>604</v>
      </c>
      <c r="C279" s="57">
        <v>1012573</v>
      </c>
      <c r="D279" s="57" t="s">
        <v>605</v>
      </c>
      <c r="E279" s="57" t="s">
        <v>37</v>
      </c>
      <c r="F279" s="96">
        <v>1</v>
      </c>
      <c r="G279" s="95" t="s">
        <v>321</v>
      </c>
      <c r="H279" s="167" t="s">
        <v>556</v>
      </c>
      <c r="I279" s="57" t="s">
        <v>157</v>
      </c>
      <c r="J279" s="95"/>
      <c r="K279" s="168"/>
      <c r="L279" s="176"/>
      <c r="M279" s="96"/>
      <c r="N279" s="96" t="s">
        <v>607</v>
      </c>
      <c r="O279" s="96" t="s">
        <v>472</v>
      </c>
      <c r="P279" s="96"/>
      <c r="Q279" s="96"/>
      <c r="R279" s="55" t="s">
        <v>608</v>
      </c>
    </row>
    <row r="280" spans="1:18" x14ac:dyDescent="0.25">
      <c r="A280" s="170" t="s">
        <v>67</v>
      </c>
      <c r="B280" s="55" t="s">
        <v>445</v>
      </c>
      <c r="C280" s="55">
        <v>1011925</v>
      </c>
      <c r="D280" s="55" t="s">
        <v>615</v>
      </c>
      <c r="E280" s="55" t="s">
        <v>34</v>
      </c>
      <c r="F280" s="311">
        <v>1</v>
      </c>
      <c r="G280" s="95" t="s">
        <v>321</v>
      </c>
      <c r="H280" s="313" t="s">
        <v>616</v>
      </c>
      <c r="I280" s="55" t="s">
        <v>157</v>
      </c>
      <c r="J280" s="95"/>
      <c r="K280" s="168"/>
      <c r="L280" s="176"/>
      <c r="M280" s="96"/>
      <c r="N280" s="314" t="s">
        <v>617</v>
      </c>
      <c r="O280" s="307" t="s">
        <v>247</v>
      </c>
      <c r="P280" s="176"/>
      <c r="Q280" s="96"/>
      <c r="R280" s="55" t="s">
        <v>618</v>
      </c>
    </row>
    <row r="281" spans="1:18" ht="45" x14ac:dyDescent="0.25">
      <c r="A281" s="170" t="s">
        <v>67</v>
      </c>
      <c r="B281" s="55" t="s">
        <v>445</v>
      </c>
      <c r="C281" s="55">
        <v>1011925</v>
      </c>
      <c r="D281" s="55" t="s">
        <v>615</v>
      </c>
      <c r="E281" s="55" t="s">
        <v>34</v>
      </c>
      <c r="F281" s="311">
        <v>1</v>
      </c>
      <c r="G281" s="95" t="s">
        <v>321</v>
      </c>
      <c r="H281" s="313" t="s">
        <v>619</v>
      </c>
      <c r="I281" s="55" t="s">
        <v>157</v>
      </c>
      <c r="J281" s="95"/>
      <c r="K281" s="168"/>
      <c r="L281" s="176"/>
      <c r="M281" s="96"/>
      <c r="N281" s="314" t="s">
        <v>617</v>
      </c>
      <c r="O281" s="307" t="s">
        <v>247</v>
      </c>
      <c r="P281" s="176"/>
      <c r="Q281" s="96"/>
      <c r="R281" s="55" t="s">
        <v>618</v>
      </c>
    </row>
    <row r="282" spans="1:18" x14ac:dyDescent="0.25">
      <c r="A282" s="170" t="s">
        <v>67</v>
      </c>
      <c r="B282" s="55" t="s">
        <v>445</v>
      </c>
      <c r="C282" s="55">
        <v>1011925</v>
      </c>
      <c r="D282" s="55" t="s">
        <v>615</v>
      </c>
      <c r="E282" s="55" t="s">
        <v>34</v>
      </c>
      <c r="F282" s="311">
        <v>40</v>
      </c>
      <c r="G282" s="95" t="s">
        <v>63</v>
      </c>
      <c r="H282" s="313" t="s">
        <v>620</v>
      </c>
      <c r="I282" s="55" t="s">
        <v>157</v>
      </c>
      <c r="J282" s="95"/>
      <c r="K282" s="168"/>
      <c r="L282" s="176"/>
      <c r="M282" s="96"/>
      <c r="N282" s="314" t="s">
        <v>617</v>
      </c>
      <c r="O282" s="307" t="s">
        <v>247</v>
      </c>
      <c r="P282" s="176"/>
      <c r="Q282" s="96"/>
      <c r="R282" s="55" t="s">
        <v>618</v>
      </c>
    </row>
    <row r="283" spans="1:18" x14ac:dyDescent="0.25">
      <c r="A283" s="170" t="s">
        <v>67</v>
      </c>
      <c r="B283" s="55" t="s">
        <v>445</v>
      </c>
      <c r="C283" s="55">
        <v>1011925</v>
      </c>
      <c r="D283" s="55" t="s">
        <v>615</v>
      </c>
      <c r="E283" s="55" t="s">
        <v>34</v>
      </c>
      <c r="F283" s="311">
        <v>2</v>
      </c>
      <c r="G283" s="95" t="s">
        <v>321</v>
      </c>
      <c r="H283" s="313" t="s">
        <v>548</v>
      </c>
      <c r="I283" s="55" t="s">
        <v>157</v>
      </c>
      <c r="J283" s="95"/>
      <c r="K283" s="168"/>
      <c r="L283" s="176"/>
      <c r="M283" s="96"/>
      <c r="N283" s="314" t="s">
        <v>617</v>
      </c>
      <c r="O283" s="307" t="s">
        <v>247</v>
      </c>
      <c r="P283" s="176"/>
      <c r="Q283" s="96"/>
      <c r="R283" s="55" t="s">
        <v>618</v>
      </c>
    </row>
    <row r="284" spans="1:18" x14ac:dyDescent="0.25">
      <c r="A284" s="170" t="s">
        <v>67</v>
      </c>
      <c r="B284" s="55" t="s">
        <v>445</v>
      </c>
      <c r="C284" s="55">
        <v>1011925</v>
      </c>
      <c r="D284" s="55" t="s">
        <v>615</v>
      </c>
      <c r="E284" s="55" t="s">
        <v>34</v>
      </c>
      <c r="F284" s="311">
        <v>2</v>
      </c>
      <c r="G284" s="95" t="s">
        <v>321</v>
      </c>
      <c r="H284" s="313" t="s">
        <v>621</v>
      </c>
      <c r="I284" s="55" t="s">
        <v>157</v>
      </c>
      <c r="J284" s="95"/>
      <c r="K284" s="168"/>
      <c r="L284" s="176"/>
      <c r="M284" s="96"/>
      <c r="N284" s="314" t="s">
        <v>617</v>
      </c>
      <c r="O284" s="307" t="s">
        <v>247</v>
      </c>
      <c r="P284" s="176"/>
      <c r="Q284" s="96"/>
      <c r="R284" s="55" t="s">
        <v>618</v>
      </c>
    </row>
    <row r="285" spans="1:18" x14ac:dyDescent="0.25">
      <c r="A285" s="170" t="s">
        <v>67</v>
      </c>
      <c r="B285" s="55" t="s">
        <v>445</v>
      </c>
      <c r="C285" s="55">
        <v>1011925</v>
      </c>
      <c r="D285" s="55" t="s">
        <v>615</v>
      </c>
      <c r="E285" s="55" t="s">
        <v>34</v>
      </c>
      <c r="F285" s="311">
        <v>2</v>
      </c>
      <c r="G285" s="95" t="s">
        <v>321</v>
      </c>
      <c r="H285" s="313" t="s">
        <v>611</v>
      </c>
      <c r="I285" s="55" t="s">
        <v>157</v>
      </c>
      <c r="J285" s="95"/>
      <c r="K285" s="168"/>
      <c r="L285" s="176"/>
      <c r="M285" s="96"/>
      <c r="N285" s="314" t="s">
        <v>617</v>
      </c>
      <c r="O285" s="307" t="s">
        <v>247</v>
      </c>
      <c r="P285" s="176"/>
      <c r="Q285" s="96"/>
      <c r="R285" s="55" t="s">
        <v>618</v>
      </c>
    </row>
    <row r="286" spans="1:18" x14ac:dyDescent="0.25">
      <c r="A286" s="170" t="s">
        <v>67</v>
      </c>
      <c r="B286" s="55" t="s">
        <v>445</v>
      </c>
      <c r="C286" s="55">
        <v>1011925</v>
      </c>
      <c r="D286" s="55" t="s">
        <v>615</v>
      </c>
      <c r="E286" s="55" t="s">
        <v>34</v>
      </c>
      <c r="F286" s="311">
        <v>2</v>
      </c>
      <c r="G286" s="95" t="s">
        <v>321</v>
      </c>
      <c r="H286" s="313" t="s">
        <v>622</v>
      </c>
      <c r="I286" s="55" t="s">
        <v>157</v>
      </c>
      <c r="J286" s="95"/>
      <c r="K286" s="168"/>
      <c r="L286" s="176"/>
      <c r="M286" s="96"/>
      <c r="N286" s="314" t="s">
        <v>617</v>
      </c>
      <c r="O286" s="307" t="s">
        <v>247</v>
      </c>
      <c r="P286" s="176"/>
      <c r="Q286" s="96"/>
      <c r="R286" s="55" t="s">
        <v>618</v>
      </c>
    </row>
    <row r="287" spans="1:18" x14ac:dyDescent="0.25">
      <c r="A287" s="170" t="s">
        <v>67</v>
      </c>
      <c r="B287" s="55" t="s">
        <v>445</v>
      </c>
      <c r="C287" s="55">
        <v>1011925</v>
      </c>
      <c r="D287" s="55" t="s">
        <v>615</v>
      </c>
      <c r="E287" s="55" t="s">
        <v>34</v>
      </c>
      <c r="F287" s="311">
        <v>1</v>
      </c>
      <c r="G287" s="95" t="s">
        <v>321</v>
      </c>
      <c r="H287" s="313" t="s">
        <v>623</v>
      </c>
      <c r="I287" s="55" t="s">
        <v>157</v>
      </c>
      <c r="J287" s="95"/>
      <c r="K287" s="168"/>
      <c r="L287" s="176"/>
      <c r="M287" s="96"/>
      <c r="N287" s="314" t="s">
        <v>617</v>
      </c>
      <c r="O287" s="307" t="s">
        <v>247</v>
      </c>
      <c r="P287" s="176"/>
      <c r="Q287" s="96"/>
      <c r="R287" s="55" t="s">
        <v>618</v>
      </c>
    </row>
    <row r="288" spans="1:18" x14ac:dyDescent="0.25">
      <c r="A288" s="170" t="s">
        <v>67</v>
      </c>
      <c r="B288" s="55" t="s">
        <v>445</v>
      </c>
      <c r="C288" s="55">
        <v>1011925</v>
      </c>
      <c r="D288" s="55" t="s">
        <v>615</v>
      </c>
      <c r="E288" s="55" t="s">
        <v>34</v>
      </c>
      <c r="F288" s="311">
        <v>4</v>
      </c>
      <c r="G288" s="95" t="s">
        <v>321</v>
      </c>
      <c r="H288" s="313" t="s">
        <v>613</v>
      </c>
      <c r="I288" s="55" t="s">
        <v>157</v>
      </c>
      <c r="J288" s="95"/>
      <c r="K288" s="168"/>
      <c r="L288" s="176"/>
      <c r="M288" s="96"/>
      <c r="N288" s="314" t="s">
        <v>617</v>
      </c>
      <c r="O288" s="307" t="s">
        <v>247</v>
      </c>
      <c r="P288" s="176"/>
      <c r="Q288" s="96"/>
      <c r="R288" s="55" t="s">
        <v>618</v>
      </c>
    </row>
    <row r="289" spans="1:18" ht="45" x14ac:dyDescent="0.25">
      <c r="A289" s="170" t="s">
        <v>67</v>
      </c>
      <c r="B289" s="55" t="s">
        <v>445</v>
      </c>
      <c r="C289" s="55">
        <v>1011925</v>
      </c>
      <c r="D289" s="55" t="s">
        <v>615</v>
      </c>
      <c r="E289" s="55" t="s">
        <v>34</v>
      </c>
      <c r="F289" s="311">
        <v>1</v>
      </c>
      <c r="G289" s="95" t="s">
        <v>321</v>
      </c>
      <c r="H289" s="313" t="s">
        <v>624</v>
      </c>
      <c r="I289" s="55" t="s">
        <v>157</v>
      </c>
      <c r="J289" s="95"/>
      <c r="K289" s="168"/>
      <c r="L289" s="176"/>
      <c r="M289" s="96"/>
      <c r="N289" s="314" t="s">
        <v>617</v>
      </c>
      <c r="O289" s="307" t="s">
        <v>247</v>
      </c>
      <c r="P289" s="176"/>
      <c r="Q289" s="96"/>
      <c r="R289" s="55" t="s">
        <v>618</v>
      </c>
    </row>
    <row r="290" spans="1:18" ht="45" x14ac:dyDescent="0.25">
      <c r="A290" s="170" t="s">
        <v>67</v>
      </c>
      <c r="B290" s="55" t="s">
        <v>445</v>
      </c>
      <c r="C290" s="55">
        <v>1011925</v>
      </c>
      <c r="D290" s="55" t="s">
        <v>615</v>
      </c>
      <c r="E290" s="55" t="s">
        <v>34</v>
      </c>
      <c r="F290" s="311">
        <v>1</v>
      </c>
      <c r="G290" s="95" t="s">
        <v>321</v>
      </c>
      <c r="H290" s="313" t="s">
        <v>625</v>
      </c>
      <c r="I290" s="55" t="s">
        <v>157</v>
      </c>
      <c r="J290" s="95"/>
      <c r="K290" s="168"/>
      <c r="L290" s="176"/>
      <c r="M290" s="96"/>
      <c r="N290" s="314" t="s">
        <v>617</v>
      </c>
      <c r="O290" s="307" t="s">
        <v>247</v>
      </c>
      <c r="P290" s="176"/>
      <c r="Q290" s="96"/>
      <c r="R290" s="55" t="s">
        <v>618</v>
      </c>
    </row>
    <row r="291" spans="1:18" x14ac:dyDescent="0.25">
      <c r="A291" s="170" t="s">
        <v>67</v>
      </c>
      <c r="B291" s="55" t="s">
        <v>445</v>
      </c>
      <c r="C291" s="55">
        <v>1011925</v>
      </c>
      <c r="D291" s="55" t="s">
        <v>615</v>
      </c>
      <c r="E291" s="55" t="s">
        <v>34</v>
      </c>
      <c r="F291" s="311">
        <v>1</v>
      </c>
      <c r="G291" s="95" t="s">
        <v>321</v>
      </c>
      <c r="H291" s="313" t="s">
        <v>626</v>
      </c>
      <c r="I291" s="55" t="s">
        <v>157</v>
      </c>
      <c r="J291" s="95"/>
      <c r="K291" s="168"/>
      <c r="L291" s="176"/>
      <c r="M291" s="96"/>
      <c r="N291" s="314" t="s">
        <v>617</v>
      </c>
      <c r="O291" s="307" t="s">
        <v>247</v>
      </c>
      <c r="P291" s="176"/>
      <c r="Q291" s="96"/>
      <c r="R291" s="55" t="s">
        <v>618</v>
      </c>
    </row>
    <row r="292" spans="1:18" x14ac:dyDescent="0.25">
      <c r="A292" s="170" t="s">
        <v>67</v>
      </c>
      <c r="B292" s="55" t="s">
        <v>445</v>
      </c>
      <c r="C292" s="55">
        <v>1011925</v>
      </c>
      <c r="D292" s="55" t="s">
        <v>615</v>
      </c>
      <c r="E292" s="55" t="s">
        <v>34</v>
      </c>
      <c r="F292" s="311">
        <v>1</v>
      </c>
      <c r="G292" s="95" t="s">
        <v>321</v>
      </c>
      <c r="H292" s="313" t="s">
        <v>627</v>
      </c>
      <c r="I292" s="55" t="s">
        <v>157</v>
      </c>
      <c r="J292" s="95"/>
      <c r="K292" s="168"/>
      <c r="L292" s="176"/>
      <c r="M292" s="96"/>
      <c r="N292" s="314" t="s">
        <v>617</v>
      </c>
      <c r="O292" s="307" t="s">
        <v>247</v>
      </c>
      <c r="P292" s="176"/>
      <c r="Q292" s="96"/>
      <c r="R292" s="55" t="s">
        <v>618</v>
      </c>
    </row>
    <row r="293" spans="1:18" x14ac:dyDescent="0.25">
      <c r="A293" s="170" t="s">
        <v>67</v>
      </c>
      <c r="B293" s="55" t="s">
        <v>445</v>
      </c>
      <c r="C293" s="55">
        <v>1011925</v>
      </c>
      <c r="D293" s="55" t="s">
        <v>615</v>
      </c>
      <c r="E293" s="55" t="s">
        <v>34</v>
      </c>
      <c r="F293" s="311">
        <v>1</v>
      </c>
      <c r="G293" s="95" t="s">
        <v>321</v>
      </c>
      <c r="H293" s="313" t="s">
        <v>628</v>
      </c>
      <c r="I293" s="55" t="s">
        <v>157</v>
      </c>
      <c r="J293" s="95"/>
      <c r="K293" s="168"/>
      <c r="L293" s="176"/>
      <c r="M293" s="96"/>
      <c r="N293" s="314" t="s">
        <v>617</v>
      </c>
      <c r="O293" s="307" t="s">
        <v>247</v>
      </c>
      <c r="P293" s="176"/>
      <c r="Q293" s="96"/>
      <c r="R293" s="55" t="s">
        <v>618</v>
      </c>
    </row>
    <row r="294" spans="1:18" x14ac:dyDescent="0.25">
      <c r="A294" s="170" t="s">
        <v>67</v>
      </c>
      <c r="B294" s="55" t="s">
        <v>445</v>
      </c>
      <c r="C294" s="55">
        <v>1011925</v>
      </c>
      <c r="D294" s="55" t="s">
        <v>615</v>
      </c>
      <c r="E294" s="55" t="s">
        <v>34</v>
      </c>
      <c r="F294" s="311">
        <v>2</v>
      </c>
      <c r="G294" s="95" t="s">
        <v>321</v>
      </c>
      <c r="H294" s="313" t="s">
        <v>629</v>
      </c>
      <c r="I294" s="55" t="s">
        <v>157</v>
      </c>
      <c r="J294" s="95"/>
      <c r="K294" s="168"/>
      <c r="L294" s="176"/>
      <c r="M294" s="96"/>
      <c r="N294" s="314" t="s">
        <v>617</v>
      </c>
      <c r="O294" s="307" t="s">
        <v>247</v>
      </c>
      <c r="P294" s="176"/>
      <c r="Q294" s="96"/>
      <c r="R294" s="55" t="s">
        <v>618</v>
      </c>
    </row>
    <row r="295" spans="1:18" x14ac:dyDescent="0.25">
      <c r="A295" s="170" t="s">
        <v>67</v>
      </c>
      <c r="B295" s="55" t="s">
        <v>445</v>
      </c>
      <c r="C295" s="55">
        <v>1011925</v>
      </c>
      <c r="D295" s="55" t="s">
        <v>615</v>
      </c>
      <c r="E295" s="55" t="s">
        <v>34</v>
      </c>
      <c r="F295" s="311">
        <v>1</v>
      </c>
      <c r="G295" s="95" t="s">
        <v>321</v>
      </c>
      <c r="H295" s="313" t="s">
        <v>630</v>
      </c>
      <c r="I295" s="55" t="s">
        <v>157</v>
      </c>
      <c r="J295" s="95"/>
      <c r="K295" s="168"/>
      <c r="L295" s="176"/>
      <c r="M295" s="96"/>
      <c r="N295" s="314" t="s">
        <v>617</v>
      </c>
      <c r="O295" s="307" t="s">
        <v>247</v>
      </c>
      <c r="P295" s="176"/>
      <c r="Q295" s="96"/>
      <c r="R295" s="55" t="s">
        <v>618</v>
      </c>
    </row>
    <row r="296" spans="1:18" x14ac:dyDescent="0.25">
      <c r="A296" s="170" t="s">
        <v>67</v>
      </c>
      <c r="B296" s="55" t="s">
        <v>224</v>
      </c>
      <c r="C296" s="55">
        <v>102083</v>
      </c>
      <c r="D296" s="55" t="s">
        <v>631</v>
      </c>
      <c r="E296" s="55" t="s">
        <v>34</v>
      </c>
      <c r="F296" s="311">
        <v>440</v>
      </c>
      <c r="G296" s="95" t="s">
        <v>63</v>
      </c>
      <c r="H296" s="313" t="s">
        <v>632</v>
      </c>
      <c r="I296" s="55" t="s">
        <v>157</v>
      </c>
      <c r="J296" s="95"/>
      <c r="K296" s="168"/>
      <c r="L296" s="176"/>
      <c r="M296" s="96"/>
      <c r="N296" s="314" t="s">
        <v>633</v>
      </c>
      <c r="O296" s="307" t="s">
        <v>465</v>
      </c>
      <c r="P296" s="176"/>
      <c r="Q296" s="96"/>
      <c r="R296" s="55" t="s">
        <v>634</v>
      </c>
    </row>
    <row r="297" spans="1:18" x14ac:dyDescent="0.25">
      <c r="A297" s="170" t="s">
        <v>67</v>
      </c>
      <c r="B297" s="55" t="s">
        <v>224</v>
      </c>
      <c r="C297" s="55">
        <v>102083</v>
      </c>
      <c r="D297" s="55" t="s">
        <v>631</v>
      </c>
      <c r="E297" s="55" t="s">
        <v>34</v>
      </c>
      <c r="F297" s="311">
        <v>120</v>
      </c>
      <c r="G297" s="95" t="s">
        <v>63</v>
      </c>
      <c r="H297" s="313" t="s">
        <v>635</v>
      </c>
      <c r="I297" s="55" t="s">
        <v>157</v>
      </c>
      <c r="J297" s="95"/>
      <c r="K297" s="168"/>
      <c r="L297" s="176"/>
      <c r="M297" s="96"/>
      <c r="N297" s="314" t="s">
        <v>633</v>
      </c>
      <c r="O297" s="307" t="s">
        <v>465</v>
      </c>
      <c r="P297" s="176"/>
      <c r="Q297" s="96"/>
      <c r="R297" s="55" t="s">
        <v>634</v>
      </c>
    </row>
    <row r="298" spans="1:18" ht="45" x14ac:dyDescent="0.25">
      <c r="A298" s="170" t="s">
        <v>67</v>
      </c>
      <c r="B298" s="55" t="s">
        <v>224</v>
      </c>
      <c r="C298" s="55">
        <v>102083</v>
      </c>
      <c r="D298" s="55" t="s">
        <v>631</v>
      </c>
      <c r="E298" s="55" t="s">
        <v>34</v>
      </c>
      <c r="F298" s="311">
        <v>1</v>
      </c>
      <c r="G298" s="95" t="s">
        <v>321</v>
      </c>
      <c r="H298" s="313" t="s">
        <v>636</v>
      </c>
      <c r="I298" s="55" t="s">
        <v>157</v>
      </c>
      <c r="J298" s="95"/>
      <c r="K298" s="168"/>
      <c r="L298" s="176"/>
      <c r="M298" s="96"/>
      <c r="N298" s="314" t="s">
        <v>633</v>
      </c>
      <c r="O298" s="307" t="s">
        <v>465</v>
      </c>
      <c r="P298" s="176"/>
      <c r="Q298" s="96"/>
      <c r="R298" s="55" t="s">
        <v>634</v>
      </c>
    </row>
    <row r="299" spans="1:18" ht="45" x14ac:dyDescent="0.25">
      <c r="A299" s="170" t="s">
        <v>67</v>
      </c>
      <c r="B299" s="55" t="s">
        <v>224</v>
      </c>
      <c r="C299" s="55">
        <v>102083</v>
      </c>
      <c r="D299" s="55" t="s">
        <v>631</v>
      </c>
      <c r="E299" s="55" t="s">
        <v>34</v>
      </c>
      <c r="F299" s="311">
        <v>1</v>
      </c>
      <c r="G299" s="95" t="s">
        <v>321</v>
      </c>
      <c r="H299" s="313" t="s">
        <v>637</v>
      </c>
      <c r="I299" s="55" t="s">
        <v>157</v>
      </c>
      <c r="J299" s="95"/>
      <c r="K299" s="168"/>
      <c r="L299" s="176"/>
      <c r="M299" s="96"/>
      <c r="N299" s="314" t="s">
        <v>633</v>
      </c>
      <c r="O299" s="307" t="s">
        <v>465</v>
      </c>
      <c r="P299" s="176"/>
      <c r="Q299" s="96"/>
      <c r="R299" s="55" t="s">
        <v>634</v>
      </c>
    </row>
    <row r="300" spans="1:18" x14ac:dyDescent="0.25">
      <c r="A300" s="170" t="s">
        <v>67</v>
      </c>
      <c r="B300" s="55" t="s">
        <v>224</v>
      </c>
      <c r="C300" s="55">
        <v>102083</v>
      </c>
      <c r="D300" s="55" t="s">
        <v>631</v>
      </c>
      <c r="E300" s="55" t="s">
        <v>34</v>
      </c>
      <c r="F300" s="311">
        <v>40</v>
      </c>
      <c r="G300" s="95" t="s">
        <v>63</v>
      </c>
      <c r="H300" s="313" t="s">
        <v>638</v>
      </c>
      <c r="I300" s="55" t="s">
        <v>157</v>
      </c>
      <c r="J300" s="95"/>
      <c r="K300" s="168"/>
      <c r="L300" s="176"/>
      <c r="M300" s="96"/>
      <c r="N300" s="314" t="s">
        <v>633</v>
      </c>
      <c r="O300" s="307" t="s">
        <v>465</v>
      </c>
      <c r="P300" s="176"/>
      <c r="Q300" s="96"/>
      <c r="R300" s="55" t="s">
        <v>634</v>
      </c>
    </row>
    <row r="301" spans="1:18" x14ac:dyDescent="0.25">
      <c r="A301" s="170" t="s">
        <v>67</v>
      </c>
      <c r="B301" s="55" t="s">
        <v>224</v>
      </c>
      <c r="C301" s="55">
        <v>102083</v>
      </c>
      <c r="D301" s="55" t="s">
        <v>631</v>
      </c>
      <c r="E301" s="55" t="s">
        <v>34</v>
      </c>
      <c r="F301" s="311">
        <v>1</v>
      </c>
      <c r="G301" s="95" t="s">
        <v>321</v>
      </c>
      <c r="H301" s="313" t="s">
        <v>548</v>
      </c>
      <c r="I301" s="55" t="s">
        <v>157</v>
      </c>
      <c r="J301" s="95"/>
      <c r="K301" s="168"/>
      <c r="L301" s="176"/>
      <c r="M301" s="96"/>
      <c r="N301" s="314" t="s">
        <v>633</v>
      </c>
      <c r="O301" s="307" t="s">
        <v>465</v>
      </c>
      <c r="P301" s="176"/>
      <c r="Q301" s="96"/>
      <c r="R301" s="55" t="s">
        <v>634</v>
      </c>
    </row>
    <row r="302" spans="1:18" x14ac:dyDescent="0.25">
      <c r="A302" s="170" t="s">
        <v>67</v>
      </c>
      <c r="B302" s="55" t="s">
        <v>224</v>
      </c>
      <c r="C302" s="55">
        <v>102083</v>
      </c>
      <c r="D302" s="55" t="s">
        <v>631</v>
      </c>
      <c r="E302" s="55" t="s">
        <v>34</v>
      </c>
      <c r="F302" s="311">
        <v>1</v>
      </c>
      <c r="G302" s="95" t="s">
        <v>321</v>
      </c>
      <c r="H302" s="313" t="s">
        <v>639</v>
      </c>
      <c r="I302" s="55" t="s">
        <v>157</v>
      </c>
      <c r="J302" s="95"/>
      <c r="K302" s="168"/>
      <c r="L302" s="176"/>
      <c r="M302" s="96"/>
      <c r="N302" s="314" t="s">
        <v>633</v>
      </c>
      <c r="O302" s="307" t="s">
        <v>465</v>
      </c>
      <c r="P302" s="176"/>
      <c r="Q302" s="96"/>
      <c r="R302" s="55" t="s">
        <v>634</v>
      </c>
    </row>
    <row r="303" spans="1:18" x14ac:dyDescent="0.25">
      <c r="A303" s="170" t="s">
        <v>67</v>
      </c>
      <c r="B303" s="55" t="s">
        <v>224</v>
      </c>
      <c r="C303" s="55">
        <v>102083</v>
      </c>
      <c r="D303" s="55" t="s">
        <v>631</v>
      </c>
      <c r="E303" s="55" t="s">
        <v>34</v>
      </c>
      <c r="F303" s="311">
        <v>1</v>
      </c>
      <c r="G303" s="95" t="s">
        <v>321</v>
      </c>
      <c r="H303" s="313" t="s">
        <v>611</v>
      </c>
      <c r="I303" s="55" t="s">
        <v>157</v>
      </c>
      <c r="J303" s="95"/>
      <c r="K303" s="168"/>
      <c r="L303" s="176"/>
      <c r="M303" s="96"/>
      <c r="N303" s="314" t="s">
        <v>633</v>
      </c>
      <c r="O303" s="307" t="s">
        <v>465</v>
      </c>
      <c r="P303" s="176"/>
      <c r="Q303" s="96"/>
      <c r="R303" s="55" t="s">
        <v>634</v>
      </c>
    </row>
    <row r="304" spans="1:18" x14ac:dyDescent="0.25">
      <c r="A304" s="170" t="s">
        <v>67</v>
      </c>
      <c r="B304" s="55" t="s">
        <v>224</v>
      </c>
      <c r="C304" s="55">
        <v>102083</v>
      </c>
      <c r="D304" s="55" t="s">
        <v>631</v>
      </c>
      <c r="E304" s="55" t="s">
        <v>34</v>
      </c>
      <c r="F304" s="311">
        <v>1</v>
      </c>
      <c r="G304" s="95" t="s">
        <v>321</v>
      </c>
      <c r="H304" s="313" t="s">
        <v>622</v>
      </c>
      <c r="I304" s="55" t="s">
        <v>157</v>
      </c>
      <c r="J304" s="95"/>
      <c r="K304" s="168"/>
      <c r="L304" s="176"/>
      <c r="M304" s="96"/>
      <c r="N304" s="314" t="s">
        <v>633</v>
      </c>
      <c r="O304" s="307" t="s">
        <v>465</v>
      </c>
      <c r="P304" s="176"/>
      <c r="Q304" s="96"/>
      <c r="R304" s="55" t="s">
        <v>634</v>
      </c>
    </row>
    <row r="305" spans="1:18" x14ac:dyDescent="0.25">
      <c r="A305" s="170" t="s">
        <v>67</v>
      </c>
      <c r="B305" s="55" t="s">
        <v>224</v>
      </c>
      <c r="C305" s="55">
        <v>102083</v>
      </c>
      <c r="D305" s="55" t="s">
        <v>631</v>
      </c>
      <c r="E305" s="55" t="s">
        <v>34</v>
      </c>
      <c r="F305" s="311">
        <v>1</v>
      </c>
      <c r="G305" s="95" t="s">
        <v>321</v>
      </c>
      <c r="H305" s="313" t="s">
        <v>612</v>
      </c>
      <c r="I305" s="55" t="s">
        <v>157</v>
      </c>
      <c r="J305" s="95"/>
      <c r="K305" s="168"/>
      <c r="L305" s="176"/>
      <c r="M305" s="96"/>
      <c r="N305" s="314" t="s">
        <v>633</v>
      </c>
      <c r="O305" s="307" t="s">
        <v>465</v>
      </c>
      <c r="P305" s="176"/>
      <c r="Q305" s="96"/>
      <c r="R305" s="55" t="s">
        <v>634</v>
      </c>
    </row>
    <row r="306" spans="1:18" x14ac:dyDescent="0.25">
      <c r="A306" s="170" t="s">
        <v>67</v>
      </c>
      <c r="B306" s="55" t="s">
        <v>224</v>
      </c>
      <c r="C306" s="55">
        <v>102083</v>
      </c>
      <c r="D306" s="55" t="s">
        <v>631</v>
      </c>
      <c r="E306" s="55" t="s">
        <v>34</v>
      </c>
      <c r="F306" s="311">
        <v>1</v>
      </c>
      <c r="G306" s="95" t="s">
        <v>321</v>
      </c>
      <c r="H306" s="313" t="s">
        <v>613</v>
      </c>
      <c r="I306" s="55" t="s">
        <v>157</v>
      </c>
      <c r="J306" s="95"/>
      <c r="K306" s="168"/>
      <c r="L306" s="176"/>
      <c r="M306" s="96"/>
      <c r="N306" s="314" t="s">
        <v>633</v>
      </c>
      <c r="O306" s="307" t="s">
        <v>465</v>
      </c>
      <c r="P306" s="176"/>
      <c r="Q306" s="96"/>
      <c r="R306" s="55" t="s">
        <v>634</v>
      </c>
    </row>
    <row r="307" spans="1:18" x14ac:dyDescent="0.25">
      <c r="A307" s="170" t="s">
        <v>67</v>
      </c>
      <c r="B307" s="55" t="s">
        <v>224</v>
      </c>
      <c r="C307" s="55">
        <v>102083</v>
      </c>
      <c r="D307" s="55" t="s">
        <v>631</v>
      </c>
      <c r="E307" s="55" t="s">
        <v>34</v>
      </c>
      <c r="F307" s="311">
        <v>4</v>
      </c>
      <c r="G307" s="95" t="s">
        <v>321</v>
      </c>
      <c r="H307" s="313" t="s">
        <v>614</v>
      </c>
      <c r="I307" s="55" t="s">
        <v>157</v>
      </c>
      <c r="J307" s="95"/>
      <c r="K307" s="168"/>
      <c r="L307" s="176"/>
      <c r="M307" s="96"/>
      <c r="N307" s="314" t="s">
        <v>633</v>
      </c>
      <c r="O307" s="307" t="s">
        <v>465</v>
      </c>
      <c r="P307" s="176"/>
      <c r="Q307" s="96"/>
      <c r="R307" s="55" t="s">
        <v>634</v>
      </c>
    </row>
    <row r="308" spans="1:18" x14ac:dyDescent="0.25">
      <c r="A308" s="170" t="s">
        <v>67</v>
      </c>
      <c r="B308" s="55" t="s">
        <v>224</v>
      </c>
      <c r="C308" s="55">
        <v>102083</v>
      </c>
      <c r="D308" s="55" t="s">
        <v>631</v>
      </c>
      <c r="E308" s="55" t="s">
        <v>34</v>
      </c>
      <c r="F308" s="311">
        <v>1</v>
      </c>
      <c r="G308" s="95" t="s">
        <v>321</v>
      </c>
      <c r="H308" s="313" t="s">
        <v>555</v>
      </c>
      <c r="I308" s="55" t="s">
        <v>157</v>
      </c>
      <c r="J308" s="95"/>
      <c r="K308" s="168"/>
      <c r="L308" s="176"/>
      <c r="M308" s="96"/>
      <c r="N308" s="314" t="s">
        <v>633</v>
      </c>
      <c r="O308" s="307" t="s">
        <v>465</v>
      </c>
      <c r="P308" s="176"/>
      <c r="Q308" s="96"/>
      <c r="R308" s="55" t="s">
        <v>634</v>
      </c>
    </row>
    <row r="309" spans="1:18" x14ac:dyDescent="0.25">
      <c r="A309" s="291" t="s">
        <v>67</v>
      </c>
      <c r="B309" s="57" t="s">
        <v>224</v>
      </c>
      <c r="C309" s="57">
        <v>102083</v>
      </c>
      <c r="D309" s="57" t="s">
        <v>631</v>
      </c>
      <c r="E309" s="57" t="s">
        <v>34</v>
      </c>
      <c r="F309" s="320">
        <v>1</v>
      </c>
      <c r="G309" s="180" t="s">
        <v>321</v>
      </c>
      <c r="H309" s="321" t="s">
        <v>556</v>
      </c>
      <c r="I309" s="57" t="s">
        <v>157</v>
      </c>
      <c r="J309" s="180"/>
      <c r="K309" s="182"/>
      <c r="L309" s="181"/>
      <c r="M309" s="166"/>
      <c r="N309" s="371" t="s">
        <v>633</v>
      </c>
      <c r="O309" s="319" t="s">
        <v>465</v>
      </c>
      <c r="P309" s="181"/>
      <c r="Q309" s="166"/>
      <c r="R309" s="57" t="s">
        <v>634</v>
      </c>
    </row>
    <row r="310" spans="1:18" x14ac:dyDescent="0.25">
      <c r="A310" s="55" t="s">
        <v>59</v>
      </c>
      <c r="B310" s="55" t="s">
        <v>640</v>
      </c>
      <c r="C310" s="55">
        <v>1412948</v>
      </c>
      <c r="D310" s="55" t="s">
        <v>641</v>
      </c>
      <c r="E310" s="55" t="s">
        <v>31</v>
      </c>
      <c r="F310" s="96">
        <v>3</v>
      </c>
      <c r="G310" s="95" t="s">
        <v>321</v>
      </c>
      <c r="H310" s="96" t="s">
        <v>403</v>
      </c>
      <c r="I310" s="57" t="s">
        <v>157</v>
      </c>
      <c r="J310" s="95"/>
      <c r="K310" s="168">
        <v>45189</v>
      </c>
      <c r="L310" s="176"/>
      <c r="M310" s="96"/>
      <c r="N310" s="96" t="s">
        <v>642</v>
      </c>
      <c r="O310" s="96" t="s">
        <v>461</v>
      </c>
      <c r="P310" s="96"/>
      <c r="Q310" s="96"/>
      <c r="R310" s="55">
        <v>7178</v>
      </c>
    </row>
    <row r="311" spans="1:18" x14ac:dyDescent="0.25">
      <c r="A311" s="55" t="s">
        <v>59</v>
      </c>
      <c r="B311" s="55" t="s">
        <v>643</v>
      </c>
      <c r="C311" s="55">
        <v>1412948</v>
      </c>
      <c r="D311" s="55" t="s">
        <v>641</v>
      </c>
      <c r="E311" s="55" t="s">
        <v>31</v>
      </c>
      <c r="F311" s="96">
        <v>3</v>
      </c>
      <c r="G311" s="95" t="s">
        <v>321</v>
      </c>
      <c r="H311" s="164" t="s">
        <v>644</v>
      </c>
      <c r="I311" s="55" t="s">
        <v>157</v>
      </c>
      <c r="J311" s="325"/>
      <c r="K311" s="168">
        <v>45189</v>
      </c>
      <c r="L311" s="181"/>
      <c r="M311" s="166"/>
      <c r="N311" s="96" t="s">
        <v>642</v>
      </c>
      <c r="O311" s="96" t="s">
        <v>461</v>
      </c>
      <c r="P311" s="166"/>
      <c r="Q311" s="166"/>
      <c r="R311" s="57">
        <v>7178</v>
      </c>
    </row>
    <row r="312" spans="1:18" ht="45" x14ac:dyDescent="0.25">
      <c r="A312" s="55" t="s">
        <v>59</v>
      </c>
      <c r="B312" s="322" t="s">
        <v>591</v>
      </c>
      <c r="C312" s="323">
        <v>1612624</v>
      </c>
      <c r="D312" s="318" t="s">
        <v>592</v>
      </c>
      <c r="E312" s="55" t="s">
        <v>31</v>
      </c>
      <c r="F312" s="96">
        <v>1</v>
      </c>
      <c r="G312" s="95" t="s">
        <v>321</v>
      </c>
      <c r="H312" s="167" t="s">
        <v>645</v>
      </c>
      <c r="I312" s="327" t="s">
        <v>157</v>
      </c>
      <c r="J312" s="95"/>
      <c r="K312" s="168">
        <v>45189</v>
      </c>
      <c r="L312" s="176"/>
      <c r="M312" s="96"/>
      <c r="N312" s="96" t="s">
        <v>646</v>
      </c>
      <c r="O312" s="96" t="s">
        <v>590</v>
      </c>
      <c r="P312" s="96"/>
      <c r="Q312" s="96"/>
      <c r="R312" s="96">
        <v>7174</v>
      </c>
    </row>
    <row r="313" spans="1:18" ht="45" x14ac:dyDescent="0.25">
      <c r="A313" s="55" t="s">
        <v>59</v>
      </c>
      <c r="B313" s="322" t="s">
        <v>591</v>
      </c>
      <c r="C313" s="323">
        <v>1612624</v>
      </c>
      <c r="D313" s="318" t="s">
        <v>592</v>
      </c>
      <c r="E313" s="55" t="s">
        <v>31</v>
      </c>
      <c r="F313" s="96">
        <v>1</v>
      </c>
      <c r="G313" s="95" t="s">
        <v>321</v>
      </c>
      <c r="H313" s="167" t="s">
        <v>647</v>
      </c>
      <c r="I313" s="327" t="s">
        <v>157</v>
      </c>
      <c r="J313" s="95"/>
      <c r="K313" s="168">
        <v>45189</v>
      </c>
      <c r="L313" s="176"/>
      <c r="M313" s="96"/>
      <c r="N313" s="96" t="s">
        <v>646</v>
      </c>
      <c r="O313" s="96" t="s">
        <v>590</v>
      </c>
      <c r="P313" s="96"/>
      <c r="Q313" s="96"/>
      <c r="R313" s="96">
        <v>7174</v>
      </c>
    </row>
    <row r="314" spans="1:18" x14ac:dyDescent="0.25">
      <c r="A314" s="55" t="s">
        <v>59</v>
      </c>
      <c r="B314" s="322" t="s">
        <v>591</v>
      </c>
      <c r="C314" s="323">
        <v>1612624</v>
      </c>
      <c r="D314" s="318" t="s">
        <v>592</v>
      </c>
      <c r="E314" s="55" t="s">
        <v>31</v>
      </c>
      <c r="F314" s="166">
        <v>40</v>
      </c>
      <c r="G314" s="180" t="s">
        <v>63</v>
      </c>
      <c r="H314" s="313" t="s">
        <v>638</v>
      </c>
      <c r="I314" s="322" t="s">
        <v>157</v>
      </c>
      <c r="J314" s="95"/>
      <c r="K314" s="168">
        <v>45189</v>
      </c>
      <c r="L314" s="176"/>
      <c r="M314" s="96"/>
      <c r="N314" s="96" t="s">
        <v>646</v>
      </c>
      <c r="O314" s="96" t="s">
        <v>590</v>
      </c>
      <c r="P314" s="96"/>
      <c r="Q314" s="96"/>
      <c r="R314" s="96">
        <v>7174</v>
      </c>
    </row>
    <row r="315" spans="1:18" x14ac:dyDescent="0.25">
      <c r="A315" s="55" t="s">
        <v>59</v>
      </c>
      <c r="B315" s="322" t="s">
        <v>591</v>
      </c>
      <c r="C315" s="323">
        <v>1612624</v>
      </c>
      <c r="D315" s="318" t="s">
        <v>592</v>
      </c>
      <c r="E315" s="322" t="s">
        <v>31</v>
      </c>
      <c r="F315" s="96">
        <v>1</v>
      </c>
      <c r="G315" s="95" t="s">
        <v>321</v>
      </c>
      <c r="H315" s="313" t="s">
        <v>548</v>
      </c>
      <c r="I315" s="324" t="s">
        <v>157</v>
      </c>
      <c r="J315" s="95"/>
      <c r="K315" s="168">
        <v>45189</v>
      </c>
      <c r="L315" s="176"/>
      <c r="M315" s="96"/>
      <c r="N315" s="96" t="s">
        <v>646</v>
      </c>
      <c r="O315" s="96" t="s">
        <v>590</v>
      </c>
      <c r="P315" s="96"/>
      <c r="Q315" s="96"/>
      <c r="R315" s="96">
        <v>7174</v>
      </c>
    </row>
    <row r="316" spans="1:18" x14ac:dyDescent="0.25">
      <c r="A316" s="55" t="s">
        <v>59</v>
      </c>
      <c r="B316" s="322" t="s">
        <v>591</v>
      </c>
      <c r="C316" s="323">
        <v>1612624</v>
      </c>
      <c r="D316" s="318" t="s">
        <v>592</v>
      </c>
      <c r="E316" s="322" t="s">
        <v>31</v>
      </c>
      <c r="F316" s="166">
        <v>1</v>
      </c>
      <c r="G316" s="180" t="s">
        <v>321</v>
      </c>
      <c r="H316" s="313" t="s">
        <v>639</v>
      </c>
      <c r="I316" s="326" t="s">
        <v>157</v>
      </c>
      <c r="J316" s="95"/>
      <c r="K316" s="168">
        <v>45189</v>
      </c>
      <c r="L316" s="176"/>
      <c r="M316" s="96"/>
      <c r="N316" s="96" t="s">
        <v>646</v>
      </c>
      <c r="O316" s="96" t="s">
        <v>590</v>
      </c>
      <c r="P316" s="96"/>
      <c r="Q316" s="96"/>
      <c r="R316" s="96">
        <v>7174</v>
      </c>
    </row>
    <row r="317" spans="1:18" x14ac:dyDescent="0.25">
      <c r="A317" s="55" t="s">
        <v>59</v>
      </c>
      <c r="B317" s="322" t="s">
        <v>591</v>
      </c>
      <c r="C317" s="323">
        <v>1612624</v>
      </c>
      <c r="D317" s="318" t="s">
        <v>592</v>
      </c>
      <c r="E317" s="322" t="s">
        <v>31</v>
      </c>
      <c r="F317" s="96">
        <v>1</v>
      </c>
      <c r="G317" s="95" t="s">
        <v>321</v>
      </c>
      <c r="H317" s="313" t="s">
        <v>611</v>
      </c>
      <c r="I317" s="322" t="s">
        <v>157</v>
      </c>
      <c r="J317" s="95"/>
      <c r="K317" s="168">
        <v>45189</v>
      </c>
      <c r="L317" s="176"/>
      <c r="M317" s="96"/>
      <c r="N317" s="96" t="s">
        <v>646</v>
      </c>
      <c r="O317" s="96" t="s">
        <v>590</v>
      </c>
      <c r="P317" s="96"/>
      <c r="Q317" s="96"/>
      <c r="R317" s="96">
        <v>7174</v>
      </c>
    </row>
    <row r="318" spans="1:18" x14ac:dyDescent="0.25">
      <c r="A318" s="55" t="s">
        <v>59</v>
      </c>
      <c r="B318" s="322" t="s">
        <v>591</v>
      </c>
      <c r="C318" s="323">
        <v>1612624</v>
      </c>
      <c r="D318" s="318" t="s">
        <v>592</v>
      </c>
      <c r="E318" s="322" t="s">
        <v>31</v>
      </c>
      <c r="F318" s="166">
        <v>1</v>
      </c>
      <c r="G318" s="180" t="s">
        <v>321</v>
      </c>
      <c r="H318" s="313" t="s">
        <v>622</v>
      </c>
      <c r="I318" s="327" t="s">
        <v>157</v>
      </c>
      <c r="J318" s="95"/>
      <c r="K318" s="168">
        <v>45189</v>
      </c>
      <c r="L318" s="176"/>
      <c r="M318" s="96"/>
      <c r="N318" s="96" t="s">
        <v>646</v>
      </c>
      <c r="O318" s="96" t="s">
        <v>590</v>
      </c>
      <c r="P318" s="96"/>
      <c r="Q318" s="96"/>
      <c r="R318" s="96">
        <v>7174</v>
      </c>
    </row>
    <row r="319" spans="1:18" x14ac:dyDescent="0.25">
      <c r="A319" s="55" t="s">
        <v>59</v>
      </c>
      <c r="B319" s="322" t="s">
        <v>591</v>
      </c>
      <c r="C319" s="323">
        <v>1612624</v>
      </c>
      <c r="D319" s="318" t="s">
        <v>592</v>
      </c>
      <c r="E319" s="322" t="s">
        <v>31</v>
      </c>
      <c r="F319" s="166">
        <v>1</v>
      </c>
      <c r="G319" s="180" t="s">
        <v>321</v>
      </c>
      <c r="H319" s="313" t="s">
        <v>612</v>
      </c>
      <c r="I319" s="327" t="s">
        <v>157</v>
      </c>
      <c r="J319" s="95"/>
      <c r="K319" s="168">
        <v>45189</v>
      </c>
      <c r="L319" s="176"/>
      <c r="M319" s="96"/>
      <c r="N319" s="96" t="s">
        <v>646</v>
      </c>
      <c r="O319" s="96" t="s">
        <v>590</v>
      </c>
      <c r="P319" s="96"/>
      <c r="Q319" s="96"/>
      <c r="R319" s="96">
        <v>7174</v>
      </c>
    </row>
    <row r="320" spans="1:18" x14ac:dyDescent="0.25">
      <c r="A320" s="55" t="s">
        <v>59</v>
      </c>
      <c r="B320" s="322" t="s">
        <v>591</v>
      </c>
      <c r="C320" s="323">
        <v>1612624</v>
      </c>
      <c r="D320" s="318" t="s">
        <v>592</v>
      </c>
      <c r="E320" s="322" t="s">
        <v>31</v>
      </c>
      <c r="F320" s="96">
        <v>1</v>
      </c>
      <c r="G320" s="180" t="s">
        <v>321</v>
      </c>
      <c r="H320" s="313" t="s">
        <v>613</v>
      </c>
      <c r="I320" s="322" t="s">
        <v>157</v>
      </c>
      <c r="J320" s="95"/>
      <c r="K320" s="168">
        <v>45189</v>
      </c>
      <c r="L320" s="176"/>
      <c r="M320" s="96"/>
      <c r="N320" s="96" t="s">
        <v>646</v>
      </c>
      <c r="O320" s="96" t="s">
        <v>590</v>
      </c>
      <c r="P320" s="96"/>
      <c r="Q320" s="96"/>
      <c r="R320" s="96">
        <v>7174</v>
      </c>
    </row>
    <row r="321" spans="1:18" x14ac:dyDescent="0.25">
      <c r="A321" s="55" t="s">
        <v>59</v>
      </c>
      <c r="B321" s="322" t="s">
        <v>591</v>
      </c>
      <c r="C321" s="323">
        <v>1612624</v>
      </c>
      <c r="D321" s="318" t="s">
        <v>592</v>
      </c>
      <c r="E321" s="322" t="s">
        <v>31</v>
      </c>
      <c r="F321" s="96">
        <v>4</v>
      </c>
      <c r="G321" s="180" t="s">
        <v>321</v>
      </c>
      <c r="H321" s="313" t="s">
        <v>614</v>
      </c>
      <c r="I321" s="327" t="s">
        <v>157</v>
      </c>
      <c r="J321" s="95"/>
      <c r="K321" s="168">
        <v>45189</v>
      </c>
      <c r="L321" s="176"/>
      <c r="M321" s="96"/>
      <c r="N321" s="96" t="s">
        <v>646</v>
      </c>
      <c r="O321" s="96" t="s">
        <v>590</v>
      </c>
      <c r="P321" s="96"/>
      <c r="Q321" s="96"/>
      <c r="R321" s="96">
        <v>7174</v>
      </c>
    </row>
    <row r="322" spans="1:18" x14ac:dyDescent="0.25">
      <c r="A322" s="55" t="s">
        <v>59</v>
      </c>
      <c r="B322" s="322" t="s">
        <v>591</v>
      </c>
      <c r="C322" s="323">
        <v>1612624</v>
      </c>
      <c r="D322" s="318" t="s">
        <v>592</v>
      </c>
      <c r="E322" s="322" t="s">
        <v>31</v>
      </c>
      <c r="F322" s="96">
        <v>1</v>
      </c>
      <c r="G322" s="233" t="s">
        <v>321</v>
      </c>
      <c r="H322" s="167" t="s">
        <v>555</v>
      </c>
      <c r="I322" s="322" t="s">
        <v>157</v>
      </c>
      <c r="J322" s="95"/>
      <c r="K322" s="168">
        <v>45189</v>
      </c>
      <c r="L322" s="176"/>
      <c r="M322" s="96"/>
      <c r="N322" s="96" t="s">
        <v>646</v>
      </c>
      <c r="O322" s="96" t="s">
        <v>590</v>
      </c>
      <c r="P322" s="96"/>
      <c r="Q322" s="96"/>
      <c r="R322" s="96">
        <v>7174</v>
      </c>
    </row>
    <row r="323" spans="1:18" x14ac:dyDescent="0.25">
      <c r="A323" s="55" t="s">
        <v>59</v>
      </c>
      <c r="B323" s="322" t="s">
        <v>591</v>
      </c>
      <c r="C323" s="323">
        <v>1612624</v>
      </c>
      <c r="D323" s="318" t="s">
        <v>592</v>
      </c>
      <c r="E323" s="322" t="s">
        <v>31</v>
      </c>
      <c r="F323" s="166">
        <v>1</v>
      </c>
      <c r="G323" s="284" t="s">
        <v>321</v>
      </c>
      <c r="H323" s="167" t="s">
        <v>556</v>
      </c>
      <c r="I323" s="327" t="s">
        <v>157</v>
      </c>
      <c r="J323" s="95"/>
      <c r="K323" s="168">
        <v>45189</v>
      </c>
      <c r="L323" s="176"/>
      <c r="M323" s="96"/>
      <c r="N323" s="96" t="s">
        <v>646</v>
      </c>
      <c r="O323" s="96" t="s">
        <v>590</v>
      </c>
      <c r="P323" s="96"/>
      <c r="Q323" s="96"/>
      <c r="R323" s="96">
        <v>7174</v>
      </c>
    </row>
    <row r="324" spans="1:18" x14ac:dyDescent="0.25">
      <c r="A324" s="55" t="s">
        <v>59</v>
      </c>
      <c r="B324" s="322" t="s">
        <v>591</v>
      </c>
      <c r="C324" s="323">
        <v>1612624</v>
      </c>
      <c r="D324" s="318" t="s">
        <v>592</v>
      </c>
      <c r="E324" s="322" t="s">
        <v>31</v>
      </c>
      <c r="F324" s="96">
        <v>1</v>
      </c>
      <c r="G324" s="95" t="s">
        <v>321</v>
      </c>
      <c r="H324" s="96" t="s">
        <v>648</v>
      </c>
      <c r="I324" s="322" t="s">
        <v>157</v>
      </c>
      <c r="J324" s="95"/>
      <c r="K324" s="168">
        <v>45189</v>
      </c>
      <c r="L324" s="176"/>
      <c r="M324" s="96"/>
      <c r="N324" s="96" t="s">
        <v>646</v>
      </c>
      <c r="O324" s="96" t="s">
        <v>590</v>
      </c>
      <c r="P324" s="96"/>
      <c r="Q324" s="96"/>
      <c r="R324" s="96">
        <v>7174</v>
      </c>
    </row>
    <row r="325" spans="1:18" x14ac:dyDescent="0.25">
      <c r="A325" s="55" t="s">
        <v>59</v>
      </c>
      <c r="B325" s="322" t="s">
        <v>591</v>
      </c>
      <c r="C325" s="323">
        <v>1612624</v>
      </c>
      <c r="D325" s="318" t="s">
        <v>592</v>
      </c>
      <c r="E325" s="322" t="s">
        <v>31</v>
      </c>
      <c r="F325" s="96">
        <v>1</v>
      </c>
      <c r="G325" s="95" t="s">
        <v>321</v>
      </c>
      <c r="H325" s="96" t="s">
        <v>649</v>
      </c>
      <c r="I325" s="322" t="s">
        <v>157</v>
      </c>
      <c r="J325" s="95"/>
      <c r="K325" s="168">
        <v>45189</v>
      </c>
      <c r="L325" s="176"/>
      <c r="M325" s="96"/>
      <c r="N325" s="96" t="s">
        <v>646</v>
      </c>
      <c r="O325" s="96" t="s">
        <v>590</v>
      </c>
      <c r="P325" s="96"/>
      <c r="Q325" s="96"/>
      <c r="R325" s="96">
        <v>7174</v>
      </c>
    </row>
    <row r="326" spans="1:18" x14ac:dyDescent="0.25">
      <c r="A326" s="55" t="s">
        <v>59</v>
      </c>
      <c r="B326" s="322" t="s">
        <v>591</v>
      </c>
      <c r="C326" s="323">
        <v>1612624</v>
      </c>
      <c r="D326" s="318" t="s">
        <v>592</v>
      </c>
      <c r="E326" s="322" t="s">
        <v>31</v>
      </c>
      <c r="F326" s="96">
        <v>1</v>
      </c>
      <c r="G326" s="95" t="s">
        <v>321</v>
      </c>
      <c r="H326" s="96" t="s">
        <v>650</v>
      </c>
      <c r="I326" s="322" t="s">
        <v>157</v>
      </c>
      <c r="J326" s="95"/>
      <c r="K326" s="168">
        <v>45189</v>
      </c>
      <c r="L326" s="176"/>
      <c r="M326" s="96"/>
      <c r="N326" s="96" t="s">
        <v>646</v>
      </c>
      <c r="O326" s="96" t="s">
        <v>590</v>
      </c>
      <c r="P326" s="96"/>
      <c r="Q326" s="96"/>
      <c r="R326" s="96">
        <v>7174</v>
      </c>
    </row>
    <row r="327" spans="1:18" x14ac:dyDescent="0.25">
      <c r="A327" s="55" t="s">
        <v>59</v>
      </c>
      <c r="B327" s="322" t="s">
        <v>591</v>
      </c>
      <c r="C327" s="323">
        <v>1612624</v>
      </c>
      <c r="D327" s="318" t="s">
        <v>592</v>
      </c>
      <c r="E327" s="322" t="s">
        <v>31</v>
      </c>
      <c r="F327" s="96">
        <v>1</v>
      </c>
      <c r="G327" s="95" t="s">
        <v>321</v>
      </c>
      <c r="H327" s="96" t="s">
        <v>651</v>
      </c>
      <c r="I327" s="322" t="s">
        <v>157</v>
      </c>
      <c r="J327" s="95"/>
      <c r="K327" s="168">
        <v>45189</v>
      </c>
      <c r="L327" s="176"/>
      <c r="M327" s="96"/>
      <c r="N327" s="96" t="s">
        <v>646</v>
      </c>
      <c r="O327" s="96" t="s">
        <v>590</v>
      </c>
      <c r="P327" s="96"/>
      <c r="Q327" s="96"/>
      <c r="R327" s="96">
        <v>7174</v>
      </c>
    </row>
    <row r="328" spans="1:18" x14ac:dyDescent="0.25">
      <c r="A328" s="55" t="s">
        <v>59</v>
      </c>
      <c r="B328" s="322" t="s">
        <v>591</v>
      </c>
      <c r="C328" s="323">
        <v>1612624</v>
      </c>
      <c r="D328" s="318" t="s">
        <v>592</v>
      </c>
      <c r="E328" s="322" t="s">
        <v>31</v>
      </c>
      <c r="F328" s="96">
        <v>20</v>
      </c>
      <c r="G328" s="95" t="s">
        <v>374</v>
      </c>
      <c r="H328" s="96" t="s">
        <v>559</v>
      </c>
      <c r="I328" s="322" t="s">
        <v>157</v>
      </c>
      <c r="J328" s="95"/>
      <c r="K328" s="168">
        <v>45189</v>
      </c>
      <c r="L328" s="176"/>
      <c r="M328" s="96"/>
      <c r="N328" s="96" t="s">
        <v>646</v>
      </c>
      <c r="O328" s="96" t="s">
        <v>590</v>
      </c>
      <c r="P328" s="96"/>
      <c r="Q328" s="96"/>
      <c r="R328" s="96">
        <v>7174</v>
      </c>
    </row>
    <row r="329" spans="1:18" x14ac:dyDescent="0.25">
      <c r="A329" s="55" t="s">
        <v>59</v>
      </c>
      <c r="B329" s="322" t="s">
        <v>591</v>
      </c>
      <c r="C329" s="323">
        <v>1612624</v>
      </c>
      <c r="D329" s="318" t="s">
        <v>592</v>
      </c>
      <c r="E329" s="322" t="s">
        <v>31</v>
      </c>
      <c r="F329" s="96">
        <v>1</v>
      </c>
      <c r="G329" s="95" t="s">
        <v>321</v>
      </c>
      <c r="H329" s="96" t="s">
        <v>652</v>
      </c>
      <c r="I329" s="322" t="s">
        <v>157</v>
      </c>
      <c r="J329" s="95"/>
      <c r="K329" s="168">
        <v>45189</v>
      </c>
      <c r="L329" s="176"/>
      <c r="M329" s="96"/>
      <c r="N329" s="96" t="s">
        <v>646</v>
      </c>
      <c r="O329" s="96" t="s">
        <v>590</v>
      </c>
      <c r="P329" s="96"/>
      <c r="Q329" s="96"/>
      <c r="R329" s="96">
        <v>7174</v>
      </c>
    </row>
    <row r="330" spans="1:18" x14ac:dyDescent="0.25">
      <c r="A330" s="55"/>
      <c r="B330" s="322"/>
      <c r="C330" s="323"/>
      <c r="D330" s="318"/>
      <c r="E330" s="322"/>
      <c r="F330" s="96"/>
      <c r="G330" s="95"/>
      <c r="H330" s="96"/>
      <c r="I330" s="322"/>
      <c r="J330" s="95"/>
      <c r="K330" s="168"/>
      <c r="L330" s="176"/>
      <c r="M330" s="96"/>
      <c r="N330" s="96"/>
      <c r="O330" s="96"/>
      <c r="P330" s="96"/>
      <c r="Q330" s="96"/>
      <c r="R330" s="96"/>
    </row>
    <row r="331" spans="1:18" x14ac:dyDescent="0.25">
      <c r="A331" s="55"/>
      <c r="B331" s="322"/>
      <c r="C331" s="323"/>
      <c r="D331" s="318"/>
      <c r="E331" s="322"/>
      <c r="F331" s="96"/>
      <c r="G331" s="95"/>
      <c r="H331" s="96"/>
      <c r="I331" s="322"/>
      <c r="J331" s="180"/>
      <c r="K331" s="182"/>
      <c r="L331" s="181"/>
      <c r="M331" s="166"/>
      <c r="N331" s="166"/>
      <c r="O331" s="166"/>
      <c r="P331" s="166"/>
      <c r="Q331" s="166"/>
      <c r="R331" s="166"/>
    </row>
    <row r="332" spans="1:18" x14ac:dyDescent="0.25">
      <c r="A332" s="55"/>
      <c r="B332" s="322"/>
      <c r="C332" s="323"/>
      <c r="D332" s="318"/>
      <c r="E332" s="322"/>
      <c r="F332" s="96"/>
      <c r="G332" s="95"/>
      <c r="H332" s="96"/>
      <c r="I332" s="322"/>
      <c r="J332" s="95"/>
      <c r="K332" s="168"/>
      <c r="L332" s="176"/>
      <c r="M332" s="96"/>
      <c r="N332" s="96"/>
      <c r="O332" s="96"/>
      <c r="P332" s="96"/>
      <c r="Q332" s="96"/>
      <c r="R332" s="96"/>
    </row>
    <row r="333" spans="1:18" x14ac:dyDescent="0.25">
      <c r="A333" s="55"/>
      <c r="B333" s="322"/>
      <c r="C333" s="323"/>
      <c r="D333" s="318"/>
      <c r="E333" s="322"/>
      <c r="F333" s="96"/>
      <c r="G333" s="95"/>
      <c r="H333" s="96"/>
      <c r="I333" s="322"/>
      <c r="J333" s="95"/>
      <c r="K333" s="168"/>
      <c r="L333" s="176"/>
      <c r="M333" s="96"/>
      <c r="N333" s="96"/>
      <c r="O333" s="96"/>
      <c r="P333" s="96"/>
      <c r="Q333" s="96"/>
      <c r="R333" s="96"/>
    </row>
  </sheetData>
  <autoFilter ref="B1:Q311" xr:uid="{0073C658-46AA-469A-BDC3-142FA6152694}">
    <filterColumn colId="3">
      <filters>
        <filter val="Eric Dina"/>
        <filter val="Joey Betland"/>
        <filter val="Randy Castellon"/>
        <filter val="Taylor Lierow"/>
        <filter val="Tim Purtell"/>
      </filters>
    </filterColumn>
  </autoFilter>
  <mergeCells count="154">
    <mergeCell ref="R38:R40"/>
    <mergeCell ref="P38:P40"/>
    <mergeCell ref="A97:A98"/>
    <mergeCell ref="J97:J98"/>
    <mergeCell ref="L97:L98"/>
    <mergeCell ref="M97:M98"/>
    <mergeCell ref="P97:P98"/>
    <mergeCell ref="Q97:Q98"/>
    <mergeCell ref="R97:R98"/>
    <mergeCell ref="K97:K98"/>
    <mergeCell ref="P93:P96"/>
    <mergeCell ref="Q93:Q96"/>
    <mergeCell ref="R93:R96"/>
    <mergeCell ref="A93:A96"/>
    <mergeCell ref="J93:J96"/>
    <mergeCell ref="K93:K96"/>
    <mergeCell ref="L93:L96"/>
    <mergeCell ref="M93:M96"/>
    <mergeCell ref="A60:A63"/>
    <mergeCell ref="E64:E65"/>
    <mergeCell ref="B60:B63"/>
    <mergeCell ref="C60:C63"/>
    <mergeCell ref="D60:D63"/>
    <mergeCell ref="E60:E63"/>
    <mergeCell ref="A72:A75"/>
    <mergeCell ref="K99:K100"/>
    <mergeCell ref="A64:A65"/>
    <mergeCell ref="B64:B65"/>
    <mergeCell ref="C64:C65"/>
    <mergeCell ref="D64:D65"/>
    <mergeCell ref="A76:A77"/>
    <mergeCell ref="B76:B77"/>
    <mergeCell ref="C76:C77"/>
    <mergeCell ref="D76:D77"/>
    <mergeCell ref="E76:E77"/>
    <mergeCell ref="J42:J43"/>
    <mergeCell ref="B42:B43"/>
    <mergeCell ref="C42:C43"/>
    <mergeCell ref="D42:D43"/>
    <mergeCell ref="E42:E43"/>
    <mergeCell ref="I42:I43"/>
    <mergeCell ref="D38:D40"/>
    <mergeCell ref="C38:C40"/>
    <mergeCell ref="B38:B40"/>
    <mergeCell ref="I38:I40"/>
    <mergeCell ref="E38:E40"/>
    <mergeCell ref="N25:N27"/>
    <mergeCell ref="O25:O27"/>
    <mergeCell ref="C25:C27"/>
    <mergeCell ref="D25:D27"/>
    <mergeCell ref="D33:D34"/>
    <mergeCell ref="C33:C34"/>
    <mergeCell ref="E31:E32"/>
    <mergeCell ref="E33:E34"/>
    <mergeCell ref="I10:I13"/>
    <mergeCell ref="E23:E24"/>
    <mergeCell ref="C31:C32"/>
    <mergeCell ref="D31:D32"/>
    <mergeCell ref="I31:I32"/>
    <mergeCell ref="I33:I34"/>
    <mergeCell ref="E25:E27"/>
    <mergeCell ref="B17:B22"/>
    <mergeCell ref="C17:C22"/>
    <mergeCell ref="D17:D22"/>
    <mergeCell ref="I17:I22"/>
    <mergeCell ref="I72:I75"/>
    <mergeCell ref="E72:E75"/>
    <mergeCell ref="D72:D75"/>
    <mergeCell ref="C72:C75"/>
    <mergeCell ref="B72:B75"/>
    <mergeCell ref="B31:B32"/>
    <mergeCell ref="B33:B34"/>
    <mergeCell ref="B35:B36"/>
    <mergeCell ref="C35:C36"/>
    <mergeCell ref="D35:D36"/>
    <mergeCell ref="I35:I36"/>
    <mergeCell ref="E35:E36"/>
    <mergeCell ref="D55:D59"/>
    <mergeCell ref="C55:C59"/>
    <mergeCell ref="B55:B59"/>
    <mergeCell ref="A25:A27"/>
    <mergeCell ref="J23:J24"/>
    <mergeCell ref="C4:C9"/>
    <mergeCell ref="D4:D9"/>
    <mergeCell ref="B4:B9"/>
    <mergeCell ref="I4:I9"/>
    <mergeCell ref="B23:B24"/>
    <mergeCell ref="C23:C24"/>
    <mergeCell ref="D23:D24"/>
    <mergeCell ref="I23:I24"/>
    <mergeCell ref="J14:J16"/>
    <mergeCell ref="E4:E9"/>
    <mergeCell ref="E10:E13"/>
    <mergeCell ref="E14:E16"/>
    <mergeCell ref="E17:E22"/>
    <mergeCell ref="B25:B27"/>
    <mergeCell ref="I25:I27"/>
    <mergeCell ref="D10:D13"/>
    <mergeCell ref="C10:C13"/>
    <mergeCell ref="B10:B13"/>
    <mergeCell ref="B14:B16"/>
    <mergeCell ref="C14:C16"/>
    <mergeCell ref="D14:D16"/>
    <mergeCell ref="I14:I16"/>
    <mergeCell ref="Q160:Q161"/>
    <mergeCell ref="R99:R100"/>
    <mergeCell ref="L99:L100"/>
    <mergeCell ref="M99:M100"/>
    <mergeCell ref="P99:P100"/>
    <mergeCell ref="Q99:Q100"/>
    <mergeCell ref="R104:R107"/>
    <mergeCell ref="R102:R103"/>
    <mergeCell ref="M141:M142"/>
    <mergeCell ref="P141:P142"/>
    <mergeCell ref="Q141:Q142"/>
    <mergeCell ref="R141:R142"/>
    <mergeCell ref="L104:L107"/>
    <mergeCell ref="M104:M107"/>
    <mergeCell ref="P104:P107"/>
    <mergeCell ref="Q104:Q107"/>
    <mergeCell ref="L102:L103"/>
    <mergeCell ref="M102:M103"/>
    <mergeCell ref="P102:P103"/>
    <mergeCell ref="Q102:Q103"/>
    <mergeCell ref="L141:L142"/>
    <mergeCell ref="A160:A161"/>
    <mergeCell ref="J104:J107"/>
    <mergeCell ref="B79:B80"/>
    <mergeCell ref="C79:C80"/>
    <mergeCell ref="D79:D80"/>
    <mergeCell ref="E79:E80"/>
    <mergeCell ref="L160:L161"/>
    <mergeCell ref="M160:M161"/>
    <mergeCell ref="P160:P161"/>
    <mergeCell ref="A99:A100"/>
    <mergeCell ref="J99:J100"/>
    <mergeCell ref="K104:K107"/>
    <mergeCell ref="A102:A103"/>
    <mergeCell ref="J102:J103"/>
    <mergeCell ref="K102:K103"/>
    <mergeCell ref="A104:A107"/>
    <mergeCell ref="A141:A142"/>
    <mergeCell ref="J141:J142"/>
    <mergeCell ref="K141:K142"/>
    <mergeCell ref="A79:A80"/>
    <mergeCell ref="J254:J258"/>
    <mergeCell ref="K254:K258"/>
    <mergeCell ref="L254:L258"/>
    <mergeCell ref="M254:M258"/>
    <mergeCell ref="A165:A167"/>
    <mergeCell ref="L165:L167"/>
    <mergeCell ref="M165:M167"/>
    <mergeCell ref="P165:P167"/>
    <mergeCell ref="Q165:Q167"/>
  </mergeCells>
  <phoneticPr fontId="19" type="noConversion"/>
  <conditionalFormatting sqref="A2:A25 A76 A108:A141 A168:A231">
    <cfRule type="cellIs" dxfId="21" priority="97" operator="equal">
      <formula>"Completed"</formula>
    </cfRule>
    <cfRule type="cellIs" dxfId="20" priority="98" operator="equal">
      <formula>"In Progress"</formula>
    </cfRule>
  </conditionalFormatting>
  <conditionalFormatting sqref="A28:A60">
    <cfRule type="cellIs" dxfId="19" priority="85" operator="equal">
      <formula>"Completed"</formula>
    </cfRule>
    <cfRule type="cellIs" dxfId="18" priority="86" operator="equal">
      <formula>"In Progress"</formula>
    </cfRule>
  </conditionalFormatting>
  <conditionalFormatting sqref="A64">
    <cfRule type="cellIs" dxfId="17" priority="83" operator="equal">
      <formula>"Completed"</formula>
    </cfRule>
    <cfRule type="cellIs" dxfId="16" priority="84" operator="equal">
      <formula>"In Progress"</formula>
    </cfRule>
  </conditionalFormatting>
  <conditionalFormatting sqref="A66:A72">
    <cfRule type="cellIs" dxfId="15" priority="69" operator="equal">
      <formula>"Completed"</formula>
    </cfRule>
    <cfRule type="cellIs" dxfId="14" priority="70" operator="equal">
      <formula>"In Progress"</formula>
    </cfRule>
  </conditionalFormatting>
  <conditionalFormatting sqref="A78:A79">
    <cfRule type="cellIs" dxfId="13" priority="67" operator="equal">
      <formula>"Completed"</formula>
    </cfRule>
    <cfRule type="cellIs" dxfId="12" priority="68" operator="equal">
      <formula>"In Progress"</formula>
    </cfRule>
  </conditionalFormatting>
  <conditionalFormatting sqref="A81:A93">
    <cfRule type="cellIs" dxfId="11" priority="13" operator="equal">
      <formula>"Completed"</formula>
    </cfRule>
    <cfRule type="cellIs" dxfId="10" priority="14" operator="equal">
      <formula>"In Progress"</formula>
    </cfRule>
  </conditionalFormatting>
  <conditionalFormatting sqref="A97 A101:A102">
    <cfRule type="cellIs" dxfId="9" priority="101" operator="equal">
      <formula>"Completed"</formula>
    </cfRule>
    <cfRule type="cellIs" dxfId="8" priority="103" operator="equal">
      <formula>"In Progress"</formula>
    </cfRule>
  </conditionalFormatting>
  <conditionalFormatting sqref="A99">
    <cfRule type="cellIs" dxfId="7" priority="21" operator="equal">
      <formula>"Completed"</formula>
    </cfRule>
    <cfRule type="cellIs" dxfId="6" priority="22" operator="equal">
      <formula>"In Progress"</formula>
    </cfRule>
  </conditionalFormatting>
  <conditionalFormatting sqref="A104">
    <cfRule type="cellIs" dxfId="5" priority="15" operator="equal">
      <formula>"Completed"</formula>
    </cfRule>
    <cfRule type="cellIs" dxfId="4" priority="16" operator="equal">
      <formula>"In Progress"</formula>
    </cfRule>
  </conditionalFormatting>
  <conditionalFormatting sqref="A143:A151">
    <cfRule type="cellIs" dxfId="3" priority="9" operator="equal">
      <formula>"Completed"</formula>
    </cfRule>
    <cfRule type="cellIs" dxfId="2" priority="10" operator="equal">
      <formula>"In Progress"</formula>
    </cfRule>
  </conditionalFormatting>
  <conditionalFormatting sqref="A280:A309">
    <cfRule type="cellIs" dxfId="1" priority="1" operator="equal">
      <formula>"Completed"</formula>
    </cfRule>
    <cfRule type="cellIs" dxfId="0" priority="2" operator="equal">
      <formula>"In Progress"</formula>
    </cfRule>
  </conditionalFormatting>
  <dataValidations count="1">
    <dataValidation type="list" allowBlank="1" showInputMessage="1" showErrorMessage="1" sqref="A2:A25 A64 A66:A70 A28:A60 A78 A99 A104 A101:A102 A82:A93 A97 A108:A124" xr:uid="{716893BC-B15C-4F45-A18D-67C3B9D8823F}">
      <formula1>"In Progress, Completed"</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756D5-D43A-4C05-B4A9-5C7FAC6B8F5C}">
  <sheetPr codeName="Sheet9"/>
  <dimension ref="A1:CA460"/>
  <sheetViews>
    <sheetView workbookViewId="0"/>
  </sheetViews>
  <sheetFormatPr defaultColWidth="9.140625" defaultRowHeight="15" x14ac:dyDescent="0.25"/>
  <cols>
    <col min="1" max="1" width="7.42578125" customWidth="1"/>
    <col min="2" max="2" width="11" customWidth="1"/>
    <col min="3" max="3" width="15" customWidth="1"/>
    <col min="4" max="4" width="16.28515625" style="447" bestFit="1" customWidth="1"/>
    <col min="5" max="5" width="18.7109375" customWidth="1"/>
    <col min="6" max="6" width="16.85546875" customWidth="1"/>
    <col min="7" max="7" width="15.42578125" customWidth="1"/>
    <col min="8" max="8" width="19.28515625" customWidth="1"/>
    <col min="9" max="9" width="13.28515625" customWidth="1"/>
    <col min="10" max="10" width="14" style="11" hidden="1" customWidth="1"/>
    <col min="11" max="11" width="14.42578125" hidden="1" customWidth="1"/>
    <col min="12" max="12" width="10.85546875" style="16" hidden="1" customWidth="1"/>
    <col min="13" max="13" width="48.85546875" hidden="1" customWidth="1"/>
    <col min="14" max="14" width="9.140625" style="555" hidden="1" customWidth="1"/>
    <col min="15" max="15" width="10.28515625" style="78" hidden="1" customWidth="1"/>
    <col min="16" max="16" width="12" style="78" hidden="1" customWidth="1"/>
    <col min="17" max="17" width="17.28515625" style="22" customWidth="1"/>
    <col min="18" max="18" width="19.28515625" style="74" customWidth="1"/>
    <col min="19" max="19" width="14.85546875" style="24" hidden="1" customWidth="1"/>
    <col min="20" max="20" width="11.28515625" style="538" hidden="1" customWidth="1"/>
    <col min="21" max="21" width="11.85546875" style="28" hidden="1" customWidth="1"/>
    <col min="22" max="22" width="15.7109375" style="437" hidden="1" customWidth="1"/>
    <col min="23" max="23" width="10.7109375" style="437" customWidth="1"/>
    <col min="24" max="24" width="14.7109375" style="1" customWidth="1"/>
    <col min="25" max="25" width="0.140625" style="596" customWidth="1"/>
    <col min="26" max="26" width="15.28515625" style="14" customWidth="1"/>
    <col min="27" max="27" width="16.42578125" style="445" customWidth="1"/>
    <col min="28" max="28" width="12.85546875" style="205" customWidth="1"/>
    <col min="29" max="29" width="11.7109375" style="107" hidden="1" customWidth="1"/>
    <col min="30" max="30" width="13" style="107" hidden="1" customWidth="1"/>
    <col min="31" max="31" width="11.7109375" style="344" hidden="1" customWidth="1"/>
    <col min="32" max="32" width="11.7109375" style="574" hidden="1" customWidth="1"/>
    <col min="33" max="33" width="12.140625" style="574" hidden="1" customWidth="1"/>
    <col min="34" max="34" width="11.7109375" style="351" hidden="1" customWidth="1"/>
    <col min="35" max="35" width="11.7109375" style="474" hidden="1" customWidth="1"/>
    <col min="36" max="37" width="11.7109375" style="566" hidden="1" customWidth="1"/>
    <col min="38" max="38" width="11.7109375" style="351" customWidth="1"/>
    <col min="39" max="39" width="14.85546875" style="359" customWidth="1"/>
    <col min="40" max="40" width="13.140625" style="18" bestFit="1" customWidth="1"/>
    <col min="41" max="41" width="12.7109375" style="555" customWidth="1"/>
    <col min="42" max="42" width="15.5703125" style="14" customWidth="1"/>
    <col min="43" max="43" width="0.140625" style="14" customWidth="1"/>
    <col min="44" max="44" width="17.5703125" style="14" customWidth="1"/>
    <col min="45" max="45" width="15.85546875" style="14" customWidth="1"/>
    <col min="46" max="46" width="17.5703125" style="14" bestFit="1" customWidth="1"/>
    <col min="47" max="47" width="14.42578125" style="14" customWidth="1"/>
    <col min="48" max="48" width="12.28515625" style="600" customWidth="1"/>
    <col min="49" max="49" width="31.28515625" style="600" customWidth="1"/>
    <col min="50" max="50" width="15.7109375" style="18" customWidth="1"/>
    <col min="51" max="51" width="14.7109375" style="333" customWidth="1"/>
    <col min="52" max="52" width="9.140625" style="605" customWidth="1"/>
    <col min="53" max="53" width="11.85546875" style="332" customWidth="1"/>
    <col min="54" max="54" width="12.140625" style="608" customWidth="1"/>
    <col min="55" max="55" width="45.5703125" style="543" customWidth="1"/>
    <col min="56" max="56" width="9.140625" style="480" customWidth="1"/>
    <col min="57" max="59" width="9.140625" style="588" customWidth="1"/>
    <col min="60" max="60" width="9.140625" style="482" customWidth="1"/>
    <col min="61" max="61" width="11.42578125" style="613" bestFit="1" customWidth="1"/>
    <col min="62" max="62" width="6.5703125" style="535" customWidth="1"/>
    <col min="63" max="65" width="6.5703125" style="547" customWidth="1"/>
    <col min="66" max="67" width="6.140625" style="547" customWidth="1"/>
    <col min="68" max="68" width="9.42578125" style="547" bestFit="1" customWidth="1"/>
    <col min="69" max="69" width="9.85546875" style="547" bestFit="1" customWidth="1"/>
    <col min="70" max="71" width="8.85546875" style="547" bestFit="1" customWidth="1"/>
    <col min="72" max="72" width="9.85546875" style="547" bestFit="1" customWidth="1"/>
    <col min="73" max="73" width="11.42578125" style="547" bestFit="1" customWidth="1"/>
    <col min="74" max="74" width="9.5703125" style="547" bestFit="1" customWidth="1"/>
    <col min="75" max="75" width="9.42578125" style="547" bestFit="1" customWidth="1"/>
    <col min="76" max="76" width="10.5703125" style="547" bestFit="1" customWidth="1"/>
    <col min="77" max="77" width="9.42578125" style="547" bestFit="1" customWidth="1"/>
    <col min="78" max="78" width="11.140625" style="547" bestFit="1" customWidth="1"/>
    <col min="79" max="79" width="36.5703125" style="482" bestFit="1" customWidth="1"/>
    <col min="88" max="88" width="12.7109375" bestFit="1" customWidth="1"/>
  </cols>
  <sheetData>
    <row r="1" spans="1:79" ht="18.75" x14ac:dyDescent="0.3">
      <c r="A1" s="81" t="s">
        <v>653</v>
      </c>
      <c r="E1" t="s">
        <v>41</v>
      </c>
      <c r="Y1" s="14"/>
      <c r="AM1" s="98" t="s">
        <v>654</v>
      </c>
      <c r="AN1" s="14"/>
      <c r="AO1" s="14"/>
      <c r="AV1" s="14"/>
      <c r="AW1" s="14"/>
      <c r="AX1" s="538"/>
      <c r="BC1" s="527"/>
      <c r="BD1" s="481" t="s">
        <v>655</v>
      </c>
      <c r="BE1" s="548"/>
      <c r="BF1" s="548"/>
      <c r="BG1" s="548"/>
      <c r="BJ1" s="1784" t="s">
        <v>656</v>
      </c>
      <c r="BK1" s="1785"/>
      <c r="BL1" s="1785"/>
      <c r="BM1" s="1785"/>
      <c r="BN1" s="1785" t="s">
        <v>657</v>
      </c>
      <c r="BO1" s="1785"/>
      <c r="BP1" s="1785"/>
      <c r="BQ1" s="1785"/>
      <c r="BR1" s="1785"/>
      <c r="BS1" s="1785"/>
      <c r="BT1" s="1785"/>
      <c r="BU1" s="1785" t="s">
        <v>658</v>
      </c>
      <c r="BV1" s="1785"/>
      <c r="BW1" s="1785"/>
      <c r="BX1" s="1785"/>
      <c r="BY1" s="1785"/>
      <c r="BZ1" s="1785"/>
    </row>
    <row r="2" spans="1:79" ht="45" customHeight="1" x14ac:dyDescent="0.25">
      <c r="A2" s="470" t="s">
        <v>659</v>
      </c>
      <c r="B2" s="470" t="s">
        <v>660</v>
      </c>
      <c r="C2" s="470" t="s">
        <v>661</v>
      </c>
      <c r="D2" s="470" t="s">
        <v>662</v>
      </c>
      <c r="E2" s="470" t="s">
        <v>44</v>
      </c>
      <c r="F2" s="470" t="s">
        <v>663</v>
      </c>
      <c r="G2" s="470" t="s">
        <v>664</v>
      </c>
      <c r="H2" s="470" t="s">
        <v>665</v>
      </c>
      <c r="I2" s="470" t="s">
        <v>666</v>
      </c>
      <c r="J2" s="2" t="s">
        <v>667</v>
      </c>
      <c r="K2" s="2" t="s">
        <v>668</v>
      </c>
      <c r="L2" s="448" t="s">
        <v>669</v>
      </c>
      <c r="M2" s="453" t="s">
        <v>21</v>
      </c>
      <c r="N2" s="2" t="s">
        <v>670</v>
      </c>
      <c r="O2" s="589" t="s">
        <v>671</v>
      </c>
      <c r="P2" s="33" t="s">
        <v>672</v>
      </c>
      <c r="Q2" s="72" t="s">
        <v>673</v>
      </c>
      <c r="R2" s="73" t="s">
        <v>674</v>
      </c>
      <c r="S2" s="23" t="s">
        <v>675</v>
      </c>
      <c r="T2" s="560" t="s">
        <v>676</v>
      </c>
      <c r="U2" s="438" t="s">
        <v>677</v>
      </c>
      <c r="V2" s="439" t="s">
        <v>678</v>
      </c>
      <c r="W2" s="439" t="s">
        <v>679</v>
      </c>
      <c r="X2" s="69" t="s">
        <v>680</v>
      </c>
      <c r="Y2" s="564" t="s">
        <v>681</v>
      </c>
      <c r="Z2" s="564" t="s">
        <v>682</v>
      </c>
      <c r="AA2" s="335" t="s">
        <v>683</v>
      </c>
      <c r="AB2" s="206" t="s">
        <v>684</v>
      </c>
      <c r="AC2" s="72" t="s">
        <v>685</v>
      </c>
      <c r="AD2" s="72" t="s">
        <v>686</v>
      </c>
      <c r="AE2" s="347" t="s">
        <v>687</v>
      </c>
      <c r="AF2" s="578" t="s">
        <v>688</v>
      </c>
      <c r="AG2" s="578" t="s">
        <v>689</v>
      </c>
      <c r="AH2" s="352" t="s">
        <v>690</v>
      </c>
      <c r="AI2" s="475" t="s">
        <v>691</v>
      </c>
      <c r="AJ2" s="567" t="s">
        <v>692</v>
      </c>
      <c r="AK2" s="567" t="s">
        <v>693</v>
      </c>
      <c r="AL2" s="352" t="s">
        <v>694</v>
      </c>
      <c r="AM2" s="446" t="s">
        <v>695</v>
      </c>
      <c r="AN2" s="597" t="s">
        <v>696</v>
      </c>
      <c r="AO2" s="598" t="s">
        <v>697</v>
      </c>
      <c r="AP2" s="564" t="s">
        <v>698</v>
      </c>
      <c r="AQ2" s="564" t="s">
        <v>699</v>
      </c>
      <c r="AR2" s="564" t="s">
        <v>700</v>
      </c>
      <c r="AS2" s="564" t="s">
        <v>701</v>
      </c>
      <c r="AT2" s="564" t="s">
        <v>702</v>
      </c>
      <c r="AU2" s="564" t="s">
        <v>703</v>
      </c>
      <c r="AV2" s="564" t="s">
        <v>704</v>
      </c>
      <c r="AW2" s="599" t="s">
        <v>705</v>
      </c>
      <c r="AX2" s="599" t="s">
        <v>706</v>
      </c>
      <c r="AY2" s="635" t="s">
        <v>707</v>
      </c>
      <c r="AZ2" s="606" t="s">
        <v>708</v>
      </c>
      <c r="BA2" s="336" t="s">
        <v>709</v>
      </c>
      <c r="BB2" s="609" t="s">
        <v>710</v>
      </c>
      <c r="BC2" s="610" t="s">
        <v>711</v>
      </c>
      <c r="BD2" s="477" t="s">
        <v>712</v>
      </c>
      <c r="BE2" s="587" t="s">
        <v>713</v>
      </c>
      <c r="BF2" s="587" t="s">
        <v>714</v>
      </c>
      <c r="BG2" s="587" t="s">
        <v>715</v>
      </c>
      <c r="BH2" s="611" t="s">
        <v>716</v>
      </c>
      <c r="BI2" s="614" t="s">
        <v>717</v>
      </c>
      <c r="BJ2" s="616" t="s">
        <v>718</v>
      </c>
      <c r="BK2" s="617" t="s">
        <v>719</v>
      </c>
      <c r="BL2" s="617" t="s">
        <v>720</v>
      </c>
      <c r="BM2" s="617" t="s">
        <v>721</v>
      </c>
      <c r="BN2" s="617" t="s">
        <v>722</v>
      </c>
      <c r="BO2" s="617" t="s">
        <v>723</v>
      </c>
      <c r="BP2" s="617" t="s">
        <v>724</v>
      </c>
      <c r="BQ2" s="617" t="s">
        <v>725</v>
      </c>
      <c r="BR2" s="617" t="s">
        <v>726</v>
      </c>
      <c r="BS2" s="617" t="s">
        <v>727</v>
      </c>
      <c r="BT2" s="617" t="s">
        <v>728</v>
      </c>
      <c r="BU2" s="617" t="s">
        <v>729</v>
      </c>
      <c r="BV2" s="617" t="s">
        <v>730</v>
      </c>
      <c r="BW2" s="617" t="s">
        <v>731</v>
      </c>
      <c r="BX2" s="617" t="s">
        <v>732</v>
      </c>
      <c r="BY2" s="617" t="s">
        <v>733</v>
      </c>
      <c r="BZ2" s="617" t="s">
        <v>734</v>
      </c>
      <c r="CA2" s="471" t="s">
        <v>735</v>
      </c>
    </row>
    <row r="3" spans="1:79" ht="15" hidden="1" customHeight="1" x14ac:dyDescent="0.25">
      <c r="A3" s="8">
        <v>2021</v>
      </c>
      <c r="B3" s="8" t="s">
        <v>4</v>
      </c>
      <c r="C3" s="656" t="s">
        <v>736</v>
      </c>
      <c r="D3" s="8" t="s">
        <v>737</v>
      </c>
      <c r="E3" s="8" t="s">
        <v>259</v>
      </c>
      <c r="F3" s="8" t="s">
        <v>738</v>
      </c>
      <c r="G3" s="8" t="s">
        <v>39</v>
      </c>
      <c r="H3" s="8" t="s">
        <v>59</v>
      </c>
      <c r="I3" s="642">
        <v>44356</v>
      </c>
      <c r="J3" s="18">
        <v>44519</v>
      </c>
      <c r="K3" s="97">
        <v>44487</v>
      </c>
      <c r="L3" s="16">
        <f>IF(ISTEXT(Table157[[#This Row],[Engineering Approved Design Date]]),Table157[[#This Row],[Date Completed]]-Table157[[#This Row],[Date Assigned to Designer]],Table157[[#This Row],[Engineering Approved Design Date]]-Table157[[#This Row],[Date Completed]])</f>
        <v>32</v>
      </c>
      <c r="M3" s="642"/>
      <c r="N3" s="642" t="s">
        <v>120</v>
      </c>
      <c r="O3" s="534">
        <f>K3</f>
        <v>44487</v>
      </c>
      <c r="P3" s="68" t="s">
        <v>739</v>
      </c>
      <c r="Q3" s="74">
        <f>R3*AA3</f>
        <v>14252.601999999999</v>
      </c>
      <c r="R3" s="75">
        <v>0.1</v>
      </c>
      <c r="S3" s="24" t="s">
        <v>709</v>
      </c>
      <c r="T3" s="538" t="s">
        <v>709</v>
      </c>
      <c r="U3" s="87" t="s">
        <v>709</v>
      </c>
      <c r="V3" s="466"/>
      <c r="X3" s="24">
        <v>118596.97</v>
      </c>
      <c r="Y3" s="591"/>
      <c r="Z3" s="538">
        <v>23929.05</v>
      </c>
      <c r="AA3" s="87">
        <f>X3+Z3</f>
        <v>142526.01999999999</v>
      </c>
      <c r="AB3" s="208"/>
      <c r="AC3" s="109" t="s">
        <v>709</v>
      </c>
      <c r="AD3" s="109"/>
      <c r="AE3" s="349"/>
      <c r="AF3" s="579"/>
      <c r="AG3" s="579"/>
      <c r="AH3" s="354"/>
      <c r="AI3" s="489"/>
      <c r="AJ3" s="553"/>
      <c r="AK3" s="553"/>
      <c r="AL3" s="495">
        <f>SUM(Table157[[#This Row],[Nicor Initiated DBE]:[Staffing]])/(Table157[[#This Row],[Amount Invoiced]])</f>
        <v>0</v>
      </c>
      <c r="AM3" s="21" t="s">
        <v>116</v>
      </c>
      <c r="AN3" s="680">
        <v>44594</v>
      </c>
      <c r="AO3" s="681">
        <v>11039638</v>
      </c>
      <c r="AP3" s="538">
        <v>120668.28</v>
      </c>
      <c r="AQ3" s="538"/>
      <c r="AR3" s="538">
        <v>23929.05</v>
      </c>
      <c r="AS3" s="538">
        <f>IF(Table157[[#This Row],[PCTS Approved]]="N",0,Table157[[#This Row],[Investment Amount (1'#'#'#'#'#)]]+Table157[[#This Row],[Retirement Amount (3'#'#'#'#'#)]])</f>
        <v>144597.32999999999</v>
      </c>
      <c r="AT3" s="538">
        <f>IF(Table157[[#This Row],[Approved Construction Cost]]=0,0,Table157[[#This Row],[Approved Construction Cost]]-Table157[[#This Row],[Construction Cost to Bill From]])</f>
        <v>2071.3099999999977</v>
      </c>
      <c r="AU3" s="538">
        <f>IFERROR(Table157[[#This Row],[Difference in Construction Cost]]*Table157[[#This Row],[Rate]],Table157[[#This Row],[Difference in Construction Cost]]*0.085)</f>
        <v>207.13099999999977</v>
      </c>
      <c r="AV3" s="682">
        <v>4265</v>
      </c>
      <c r="AW3" s="686" t="s">
        <v>740</v>
      </c>
      <c r="AX3" s="538">
        <v>0</v>
      </c>
      <c r="AY3" s="638">
        <v>45566</v>
      </c>
      <c r="AZ3" s="443">
        <v>63</v>
      </c>
      <c r="BA3" s="334" t="s">
        <v>4</v>
      </c>
      <c r="BB3" s="652" t="s">
        <v>741</v>
      </c>
      <c r="BC3" s="644" t="s">
        <v>742</v>
      </c>
      <c r="BD3" s="478" t="s">
        <v>709</v>
      </c>
      <c r="BE3" s="544" t="s">
        <v>743</v>
      </c>
      <c r="BF3" s="544" t="s">
        <v>744</v>
      </c>
      <c r="BG3" s="544" t="s">
        <v>709</v>
      </c>
      <c r="BH3" s="512" t="s">
        <v>709</v>
      </c>
      <c r="BI3" s="545"/>
      <c r="BJ3" s="511" t="s">
        <v>709</v>
      </c>
      <c r="BK3" s="546" t="s">
        <v>709</v>
      </c>
      <c r="BL3" s="546" t="s">
        <v>709</v>
      </c>
      <c r="BM3" s="546" t="s">
        <v>116</v>
      </c>
      <c r="BN3" s="546" t="s">
        <v>709</v>
      </c>
      <c r="BO3" s="546" t="s">
        <v>709</v>
      </c>
      <c r="BP3" s="546" t="s">
        <v>709</v>
      </c>
      <c r="BQ3" s="546" t="s">
        <v>709</v>
      </c>
      <c r="BR3" s="546" t="s">
        <v>709</v>
      </c>
      <c r="BS3" s="546" t="s">
        <v>709</v>
      </c>
      <c r="BT3" s="546">
        <v>900</v>
      </c>
      <c r="BU3" s="546" t="s">
        <v>745</v>
      </c>
      <c r="BV3" s="546" t="s">
        <v>709</v>
      </c>
      <c r="BW3" s="546" t="s">
        <v>745</v>
      </c>
      <c r="BX3" s="546" t="s">
        <v>709</v>
      </c>
      <c r="BY3" s="546" t="s">
        <v>745</v>
      </c>
      <c r="BZ3" s="546" t="s">
        <v>745</v>
      </c>
      <c r="CA3" s="506"/>
    </row>
    <row r="4" spans="1:79" ht="15" hidden="1" customHeight="1" x14ac:dyDescent="0.25">
      <c r="A4" s="13">
        <v>2023</v>
      </c>
      <c r="B4" s="13" t="s">
        <v>4</v>
      </c>
      <c r="C4" s="737" t="s">
        <v>746</v>
      </c>
      <c r="D4" s="13">
        <v>1412152</v>
      </c>
      <c r="E4" s="13" t="s">
        <v>309</v>
      </c>
      <c r="F4" s="452" t="s">
        <v>747</v>
      </c>
      <c r="G4" s="8" t="s">
        <v>31</v>
      </c>
      <c r="H4" s="13" t="s">
        <v>59</v>
      </c>
      <c r="I4" s="642">
        <v>44851</v>
      </c>
      <c r="J4" s="18">
        <v>45002</v>
      </c>
      <c r="K4" s="642">
        <v>44999</v>
      </c>
      <c r="L4" s="649">
        <f>IF(ISTEXT(Table157[[#This Row],[Engineering Approved Design Date]]),Table157[[#This Row],[Date Completed]]-Table157[[#This Row],[Date Assigned to Designer]],Table157[[#This Row],[Engineering Approved Design Date]]-Table157[[#This Row],[Date Completed]])</f>
        <v>3</v>
      </c>
      <c r="N4" s="642" t="s">
        <v>120</v>
      </c>
      <c r="O4" s="510">
        <v>44995</v>
      </c>
      <c r="P4" s="68" t="s">
        <v>739</v>
      </c>
      <c r="Q4" s="74">
        <f>Table157[[#This Row],[Rate]]*Table157[[#This Row],[Construction Cost to Bill From]]</f>
        <v>30439.990999999998</v>
      </c>
      <c r="R4" s="77">
        <v>0.1</v>
      </c>
      <c r="V4" s="437">
        <v>1498</v>
      </c>
      <c r="W4" s="437">
        <v>0</v>
      </c>
      <c r="X4" s="24">
        <v>293021.40999999997</v>
      </c>
      <c r="Y4" s="591"/>
      <c r="Z4" s="538">
        <v>11378.5</v>
      </c>
      <c r="AA4" s="300">
        <f>Table157[[#This Row],[PCTS Investment Amount]]+Table157[[#This Row],[PCTS Retirement Amount]]</f>
        <v>304399.90999999997</v>
      </c>
      <c r="AB4" s="207">
        <v>45008</v>
      </c>
      <c r="AC4" s="108" t="s">
        <v>709</v>
      </c>
      <c r="AD4" s="229" t="s">
        <v>29</v>
      </c>
      <c r="AE4" s="350"/>
      <c r="AF4" s="581"/>
      <c r="AG4" s="581"/>
      <c r="AH4" s="355"/>
      <c r="AI4" s="490"/>
      <c r="AJ4" s="583"/>
      <c r="AK4" s="583"/>
      <c r="AL4" s="496">
        <f>SUM(Table157[[#This Row],[Nicor Initiated DBE]:[Staffing]])/(Table157[[#This Row],[Amount Invoiced]])</f>
        <v>0</v>
      </c>
      <c r="AM4" s="21" t="s">
        <v>116</v>
      </c>
      <c r="AN4" s="680">
        <v>45154</v>
      </c>
      <c r="AO4" s="681">
        <v>11069143</v>
      </c>
      <c r="AP4" s="538">
        <v>298544.57</v>
      </c>
      <c r="AQ4" s="694"/>
      <c r="AR4" s="538">
        <v>11378.5</v>
      </c>
      <c r="AS4" s="538">
        <f>IF(Table157[[#This Row],[PCTS Approved]]="N",0,Table157[[#This Row],[Investment Amount (1'#'#'#'#'#)]]+Table157[[#This Row],[Retirement Amount (3'#'#'#'#'#)]])</f>
        <v>309923.07</v>
      </c>
      <c r="AT4" s="538">
        <f>IF(Table157[[#This Row],[Approved Construction Cost]]=0,0,Table157[[#This Row],[Approved Construction Cost]]-Table157[[#This Row],[Construction Cost to Bill From]])</f>
        <v>5523.1600000000326</v>
      </c>
      <c r="AU4" s="556">
        <f>IFERROR(Table157[[#This Row],[Difference in Construction Cost]]*Table157[[#This Row],[Rate]],Table157[[#This Row],[Difference in Construction Cost]]*0.085)</f>
        <v>552.31600000000333</v>
      </c>
      <c r="AV4" s="682">
        <v>0</v>
      </c>
      <c r="AW4" s="686" t="s">
        <v>748</v>
      </c>
      <c r="AX4" s="538">
        <v>552.32000000000005</v>
      </c>
      <c r="AY4" s="636">
        <v>45566</v>
      </c>
      <c r="AZ4" s="443">
        <v>79</v>
      </c>
      <c r="BA4" s="334" t="s">
        <v>4</v>
      </c>
      <c r="BB4" s="667"/>
      <c r="BD4" s="478"/>
      <c r="BE4" s="544"/>
      <c r="BF4" s="544"/>
      <c r="BG4" s="544"/>
      <c r="BH4" s="512"/>
      <c r="BI4" s="545"/>
      <c r="BJ4" s="511" t="s">
        <v>709</v>
      </c>
      <c r="BK4" s="546" t="s">
        <v>709</v>
      </c>
      <c r="BL4" s="546" t="s">
        <v>709</v>
      </c>
      <c r="BM4" s="546" t="s">
        <v>116</v>
      </c>
      <c r="BN4" s="546" t="s">
        <v>709</v>
      </c>
      <c r="BO4" s="546" t="s">
        <v>709</v>
      </c>
      <c r="BP4" s="546" t="s">
        <v>709</v>
      </c>
      <c r="BQ4" s="546" t="s">
        <v>709</v>
      </c>
      <c r="BR4" s="546" t="s">
        <v>709</v>
      </c>
      <c r="BS4" s="546">
        <v>1498</v>
      </c>
      <c r="BT4" s="546" t="s">
        <v>709</v>
      </c>
      <c r="BU4" s="546" t="s">
        <v>745</v>
      </c>
      <c r="BV4" s="546" t="s">
        <v>709</v>
      </c>
      <c r="BW4" s="546" t="s">
        <v>745</v>
      </c>
      <c r="BX4" s="546" t="s">
        <v>709</v>
      </c>
      <c r="BY4" s="546" t="s">
        <v>745</v>
      </c>
      <c r="BZ4" s="546" t="s">
        <v>745</v>
      </c>
      <c r="CA4" s="506"/>
    </row>
    <row r="5" spans="1:79" ht="15" customHeight="1" x14ac:dyDescent="0.25">
      <c r="A5" s="8" t="s">
        <v>749</v>
      </c>
      <c r="B5" s="8" t="s">
        <v>730</v>
      </c>
      <c r="C5" s="8" t="s">
        <v>750</v>
      </c>
      <c r="D5" s="8" t="s">
        <v>751</v>
      </c>
      <c r="E5" s="8" t="s">
        <v>218</v>
      </c>
      <c r="F5" s="8" t="s">
        <v>752</v>
      </c>
      <c r="G5" s="8" t="s">
        <v>34</v>
      </c>
      <c r="H5" s="8" t="s">
        <v>59</v>
      </c>
      <c r="I5" s="642">
        <v>44784</v>
      </c>
      <c r="J5" s="18">
        <v>44888</v>
      </c>
      <c r="K5" s="97">
        <v>44886</v>
      </c>
      <c r="L5" s="16">
        <f>IF(ISTEXT(Table157[[#This Row],[Engineering Approved Design Date]]),Table157[[#This Row],[Date Completed]]-Table157[[#This Row],[Date Assigned to Designer]],Table157[[#This Row],[Engineering Approved Design Date]]-Table157[[#This Row],[Date Completed]])</f>
        <v>2</v>
      </c>
      <c r="M5" s="642"/>
      <c r="N5" s="642" t="s">
        <v>120</v>
      </c>
      <c r="O5" s="510">
        <v>44896</v>
      </c>
      <c r="P5" s="68" t="s">
        <v>120</v>
      </c>
      <c r="Q5" s="375">
        <f>R5*AA5</f>
        <v>19590.898500000003</v>
      </c>
      <c r="R5" s="75">
        <v>0.09</v>
      </c>
      <c r="U5" s="87"/>
      <c r="V5" s="437">
        <v>1090</v>
      </c>
      <c r="X5" s="106">
        <v>179966.26</v>
      </c>
      <c r="Y5" s="592"/>
      <c r="Z5" s="570">
        <v>37710.39</v>
      </c>
      <c r="AA5" s="300">
        <f>Table157[[#This Row],[PCTS Investment Amount]]+Table157[[#This Row],[PCTS Retirement Amount]]</f>
        <v>217676.65000000002</v>
      </c>
      <c r="AB5" s="207">
        <v>44900</v>
      </c>
      <c r="AC5" s="108" t="s">
        <v>709</v>
      </c>
      <c r="AD5" s="108" t="s">
        <v>29</v>
      </c>
      <c r="AE5" s="349"/>
      <c r="AF5" s="579"/>
      <c r="AG5" s="579"/>
      <c r="AH5" s="354"/>
      <c r="AI5" s="341"/>
      <c r="AJ5" s="183"/>
      <c r="AK5" s="183"/>
      <c r="AL5" s="494">
        <f>SUM(Table157[[#This Row],[Nicor Initiated DBE]:[Staffing]])/(Table157[[#This Row],[Amount Invoiced]])</f>
        <v>0</v>
      </c>
      <c r="AM5" s="21" t="s">
        <v>116</v>
      </c>
      <c r="AN5" s="680">
        <v>45309</v>
      </c>
      <c r="AO5" s="708">
        <v>11050947</v>
      </c>
      <c r="AP5" s="538">
        <v>185200.89</v>
      </c>
      <c r="AQ5" s="538"/>
      <c r="AR5" s="538">
        <v>39072.379999999997</v>
      </c>
      <c r="AS5" s="538">
        <f>IF(Table157[[#This Row],[PCTS Approved]]="N",0,Table157[[#This Row],[Investment Amount (1'#'#'#'#'#)]]+Table157[[#This Row],[Retirement Amount (3'#'#'#'#'#)]])</f>
        <v>224273.27000000002</v>
      </c>
      <c r="AT5" s="538">
        <f>IF(Table157[[#This Row],[Approved Construction Cost]]=0,0,Table157[[#This Row],[Approved Construction Cost]]-Table157[[#This Row],[Construction Cost to Bill From]])</f>
        <v>6596.6199999999953</v>
      </c>
      <c r="AU5" s="556">
        <f>IFERROR(Table157[[#This Row],[Difference in Construction Cost]]*Table157[[#This Row],[Rate]],Table157[[#This Row],[Difference in Construction Cost]]*0.085)</f>
        <v>593.69579999999951</v>
      </c>
      <c r="AV5" s="682" t="s">
        <v>29</v>
      </c>
      <c r="AW5" s="686" t="s">
        <v>753</v>
      </c>
      <c r="AX5" s="538"/>
      <c r="AY5" s="636" t="s">
        <v>709</v>
      </c>
      <c r="AZ5" s="443">
        <v>29</v>
      </c>
      <c r="BA5" s="334" t="s">
        <v>2</v>
      </c>
      <c r="BB5" s="652" t="s">
        <v>754</v>
      </c>
      <c r="BC5" s="644" t="s">
        <v>755</v>
      </c>
      <c r="BD5" s="478" t="s">
        <v>756</v>
      </c>
      <c r="BE5" s="544" t="s">
        <v>757</v>
      </c>
      <c r="BF5" s="544" t="s">
        <v>115</v>
      </c>
      <c r="BG5" s="544" t="s">
        <v>758</v>
      </c>
      <c r="BH5" s="512" t="s">
        <v>115</v>
      </c>
      <c r="BI5" s="645"/>
      <c r="BJ5" s="511" t="s">
        <v>709</v>
      </c>
      <c r="BK5" s="546" t="s">
        <v>709</v>
      </c>
      <c r="BL5" s="546" t="s">
        <v>709</v>
      </c>
      <c r="BM5" s="546" t="s">
        <v>116</v>
      </c>
      <c r="BN5" s="546" t="s">
        <v>709</v>
      </c>
      <c r="BO5" s="546" t="s">
        <v>709</v>
      </c>
      <c r="BP5" s="546" t="s">
        <v>709</v>
      </c>
      <c r="BQ5" s="546" t="s">
        <v>709</v>
      </c>
      <c r="BR5" s="546" t="s">
        <v>709</v>
      </c>
      <c r="BS5" s="546" t="s">
        <v>709</v>
      </c>
      <c r="BT5" s="546">
        <v>1090</v>
      </c>
      <c r="BU5" s="546" t="s">
        <v>709</v>
      </c>
      <c r="BV5" s="546" t="s">
        <v>709</v>
      </c>
      <c r="BW5" s="546" t="s">
        <v>745</v>
      </c>
      <c r="BX5" s="546" t="s">
        <v>709</v>
      </c>
      <c r="BY5" s="546" t="s">
        <v>709</v>
      </c>
      <c r="BZ5" s="546" t="s">
        <v>745</v>
      </c>
      <c r="CA5" s="506"/>
    </row>
    <row r="6" spans="1:79" ht="15" hidden="1" customHeight="1" x14ac:dyDescent="0.25">
      <c r="A6" s="8" t="s">
        <v>749</v>
      </c>
      <c r="B6" s="8" t="s">
        <v>759</v>
      </c>
      <c r="C6" s="8" t="s">
        <v>760</v>
      </c>
      <c r="D6" s="8" t="s">
        <v>761</v>
      </c>
      <c r="E6" s="8" t="s">
        <v>762</v>
      </c>
      <c r="F6" s="8" t="s">
        <v>752</v>
      </c>
      <c r="G6" s="8" t="s">
        <v>34</v>
      </c>
      <c r="H6" s="13" t="s">
        <v>59</v>
      </c>
      <c r="I6" s="642">
        <v>44965</v>
      </c>
      <c r="J6" s="18">
        <v>45107</v>
      </c>
      <c r="K6" s="175">
        <v>45105</v>
      </c>
      <c r="L6" s="649">
        <f>IF(ISTEXT(Table157[[#This Row],[Engineering Approved Design Date]]),Table157[[#This Row],[Date Completed]]-Table157[[#This Row],[Date Assigned to Designer]],Table157[[#This Row],[Engineering Approved Design Date]]-Table157[[#This Row],[Date Completed]])</f>
        <v>2</v>
      </c>
      <c r="M6" s="642"/>
      <c r="N6" s="642" t="s">
        <v>120</v>
      </c>
      <c r="O6" s="510">
        <v>45108</v>
      </c>
      <c r="P6" s="221" t="s">
        <v>120</v>
      </c>
      <c r="Q6" s="74">
        <f>Table157[[#This Row],[Rate]]*Table157[[#This Row],[Construction Cost to Bill From]]</f>
        <v>100782.07699999999</v>
      </c>
      <c r="R6" s="75">
        <v>0.11</v>
      </c>
      <c r="U6" s="87"/>
      <c r="V6" s="437">
        <v>682</v>
      </c>
      <c r="W6" s="437">
        <v>1</v>
      </c>
      <c r="X6" s="94">
        <v>759209.61</v>
      </c>
      <c r="Y6" s="592">
        <v>45049</v>
      </c>
      <c r="Z6" s="552">
        <v>156991.09</v>
      </c>
      <c r="AA6" s="300">
        <f>Table157[[#This Row],[PCTS Investment Amount]]+Table157[[#This Row],[PCTS Retirement Amount]]</f>
        <v>916200.7</v>
      </c>
      <c r="AB6" s="207">
        <v>45125</v>
      </c>
      <c r="AC6" s="108" t="s">
        <v>763</v>
      </c>
      <c r="AD6" s="108" t="s">
        <v>29</v>
      </c>
      <c r="AE6" s="187" t="s">
        <v>116</v>
      </c>
      <c r="AF6" s="568" t="s">
        <v>756</v>
      </c>
      <c r="AG6" s="568" t="s">
        <v>29</v>
      </c>
      <c r="AH6" s="356" t="s">
        <v>116</v>
      </c>
      <c r="AI6" s="341"/>
      <c r="AJ6" s="183"/>
      <c r="AK6" s="183"/>
      <c r="AL6" s="494">
        <f>SUM(Table157[[#This Row],[Nicor Initiated DBE]:[Staffing]])/(Table157[[#This Row],[Amount Invoiced]])</f>
        <v>0</v>
      </c>
      <c r="AM6" s="21" t="s">
        <v>116</v>
      </c>
      <c r="AN6" s="680">
        <v>45309</v>
      </c>
      <c r="AO6" s="681">
        <v>11031821</v>
      </c>
      <c r="AP6" s="538">
        <v>759339.67</v>
      </c>
      <c r="AQ6" s="538"/>
      <c r="AR6" s="538">
        <v>156991.09</v>
      </c>
      <c r="AS6" s="538">
        <f>IF(Table157[[#This Row],[PCTS Approved]]="N",0,Table157[[#This Row],[Investment Amount (1'#'#'#'#'#)]]+Table157[[#This Row],[Retirement Amount (3'#'#'#'#'#)]])</f>
        <v>916330.76</v>
      </c>
      <c r="AT6" s="538">
        <f>IF(Table157[[#This Row],[Approved Construction Cost]]=0,0,Table157[[#This Row],[Approved Construction Cost]]-Table157[[#This Row],[Construction Cost to Bill From]])</f>
        <v>130.06000000005588</v>
      </c>
      <c r="AU6" s="556">
        <f>IFERROR(Table157[[#This Row],[Difference in Construction Cost]]*Table157[[#This Row],[Rate]],Table157[[#This Row],[Difference in Construction Cost]]*0.085)</f>
        <v>14.306600000006148</v>
      </c>
      <c r="AV6" s="682" t="s">
        <v>29</v>
      </c>
      <c r="AW6" s="660" t="s">
        <v>764</v>
      </c>
      <c r="AX6" s="555"/>
      <c r="AY6" s="636" t="s">
        <v>709</v>
      </c>
      <c r="AZ6" s="443">
        <v>155</v>
      </c>
      <c r="BA6" s="334" t="s">
        <v>2</v>
      </c>
      <c r="BB6" s="659" t="s">
        <v>765</v>
      </c>
      <c r="BC6" s="644" t="s">
        <v>766</v>
      </c>
      <c r="BD6" s="478"/>
      <c r="BE6" s="544"/>
      <c r="BF6" s="544" t="s">
        <v>767</v>
      </c>
      <c r="BG6" s="548" t="s">
        <v>115</v>
      </c>
      <c r="BH6" s="483" t="s">
        <v>115</v>
      </c>
      <c r="BI6" s="26" t="s">
        <v>768</v>
      </c>
      <c r="BJ6" s="511" t="s">
        <v>709</v>
      </c>
      <c r="BK6" s="546" t="s">
        <v>709</v>
      </c>
      <c r="BL6" s="546" t="s">
        <v>116</v>
      </c>
      <c r="BM6" s="546" t="s">
        <v>116</v>
      </c>
      <c r="BN6" s="546" t="s">
        <v>709</v>
      </c>
      <c r="BO6" s="546" t="s">
        <v>709</v>
      </c>
      <c r="BP6" s="546" t="s">
        <v>709</v>
      </c>
      <c r="BQ6" s="546" t="s">
        <v>709</v>
      </c>
      <c r="BR6" s="546">
        <v>69</v>
      </c>
      <c r="BS6" s="546">
        <v>435</v>
      </c>
      <c r="BT6" s="546">
        <v>10</v>
      </c>
      <c r="BU6" s="546">
        <v>1</v>
      </c>
      <c r="BV6" s="546" t="s">
        <v>709</v>
      </c>
      <c r="BW6" s="546" t="s">
        <v>709</v>
      </c>
      <c r="BX6" s="546" t="s">
        <v>709</v>
      </c>
      <c r="BY6" s="546">
        <v>1</v>
      </c>
      <c r="BZ6" s="546" t="s">
        <v>709</v>
      </c>
      <c r="CA6" s="506" t="s">
        <v>769</v>
      </c>
    </row>
    <row r="7" spans="1:79" ht="15" hidden="1" customHeight="1" x14ac:dyDescent="0.25">
      <c r="A7" s="8" t="s">
        <v>770</v>
      </c>
      <c r="B7" s="8" t="s">
        <v>771</v>
      </c>
      <c r="C7" s="8" t="s">
        <v>772</v>
      </c>
      <c r="D7" s="8" t="s">
        <v>773</v>
      </c>
      <c r="E7" s="8" t="s">
        <v>774</v>
      </c>
      <c r="F7" s="8" t="s">
        <v>747</v>
      </c>
      <c r="G7" s="8" t="s">
        <v>22</v>
      </c>
      <c r="H7" s="8" t="s">
        <v>59</v>
      </c>
      <c r="I7" s="642">
        <v>44522</v>
      </c>
      <c r="J7" s="18">
        <v>44862</v>
      </c>
      <c r="K7" s="97">
        <v>44837</v>
      </c>
      <c r="L7" s="16">
        <f>IF(ISTEXT(Table157[[#This Row],[Engineering Approved Design Date]]),Table157[[#This Row],[Date Completed]]-Table157[[#This Row],[Date Assigned to Designer]],Table157[[#This Row],[Engineering Approved Design Date]]-Table157[[#This Row],[Date Completed]])</f>
        <v>25</v>
      </c>
      <c r="M7" s="642"/>
      <c r="N7" s="642" t="s">
        <v>120</v>
      </c>
      <c r="O7" s="534">
        <f>Table157[[#This Row],[Date Completed]]</f>
        <v>44837</v>
      </c>
      <c r="P7" s="68" t="s">
        <v>120</v>
      </c>
      <c r="Q7" s="375">
        <f>R7*AA7</f>
        <v>108539.11349999999</v>
      </c>
      <c r="R7" s="75">
        <v>0.09</v>
      </c>
      <c r="U7" s="87"/>
      <c r="V7" s="437">
        <v>3925</v>
      </c>
      <c r="X7" s="106">
        <v>1159057.98</v>
      </c>
      <c r="Y7" s="592"/>
      <c r="Z7" s="570">
        <v>46932.17</v>
      </c>
      <c r="AA7" s="300">
        <f>Table157[[#This Row],[PCTS Investment Amount]]+Table157[[#This Row],[PCTS Retirement Amount]]</f>
        <v>1205990.1499999999</v>
      </c>
      <c r="AB7" s="207">
        <v>44845</v>
      </c>
      <c r="AC7" s="108" t="s">
        <v>709</v>
      </c>
      <c r="AD7" s="108" t="s">
        <v>116</v>
      </c>
      <c r="AE7" s="349"/>
      <c r="AF7" s="579"/>
      <c r="AG7" s="579"/>
      <c r="AH7" s="354"/>
      <c r="AI7" s="341"/>
      <c r="AJ7" s="183"/>
      <c r="AK7" s="183"/>
      <c r="AL7" s="494">
        <f>SUM(Table157[[#This Row],[Nicor Initiated DBE]:[Staffing]])/(Table157[[#This Row],[Amount Invoiced]])</f>
        <v>0</v>
      </c>
      <c r="AM7" s="21" t="s">
        <v>116</v>
      </c>
      <c r="AN7" s="710">
        <v>45315</v>
      </c>
      <c r="AO7" s="711">
        <v>11039385</v>
      </c>
      <c r="AP7" s="712">
        <v>1194474.69</v>
      </c>
      <c r="AQ7" s="682"/>
      <c r="AR7" s="538">
        <v>49558.21</v>
      </c>
      <c r="AS7" s="538">
        <f>IF(Table157[[#This Row],[PCTS Approved]]="N",0,Table157[[#This Row],[Investment Amount (1'#'#'#'#'#)]]+Table157[[#This Row],[Retirement Amount (3'#'#'#'#'#)]])</f>
        <v>1244032.8999999999</v>
      </c>
      <c r="AT7" s="538">
        <f>IF(Table157[[#This Row],[Approved Construction Cost]]=0,0,Table157[[#This Row],[Approved Construction Cost]]-Table157[[#This Row],[Construction Cost to Bill From]])</f>
        <v>38042.75</v>
      </c>
      <c r="AU7" s="538">
        <f>IFERROR(Table157[[#This Row],[Difference in Construction Cost]]*Table157[[#This Row],[Rate]],Table157[[#This Row],[Difference in Construction Cost]]*0.085)</f>
        <v>3423.8474999999999</v>
      </c>
      <c r="AV7" s="712">
        <v>4632.5</v>
      </c>
      <c r="AW7" s="717" t="s">
        <v>775</v>
      </c>
      <c r="AX7" s="538">
        <v>0</v>
      </c>
      <c r="AY7" s="636">
        <v>45566</v>
      </c>
      <c r="AZ7" s="443">
        <v>27</v>
      </c>
      <c r="BA7" s="334" t="s">
        <v>3</v>
      </c>
      <c r="BB7" s="652" t="s">
        <v>776</v>
      </c>
      <c r="BC7" s="644" t="s">
        <v>777</v>
      </c>
      <c r="BD7" s="478" t="s">
        <v>116</v>
      </c>
      <c r="BE7" s="544" t="s">
        <v>115</v>
      </c>
      <c r="BF7" s="544" t="s">
        <v>778</v>
      </c>
      <c r="BG7" s="544" t="s">
        <v>779</v>
      </c>
      <c r="BH7" s="512" t="s">
        <v>115</v>
      </c>
      <c r="BI7" s="645" t="s">
        <v>780</v>
      </c>
      <c r="BJ7" s="625" t="s">
        <v>709</v>
      </c>
      <c r="BK7" s="623" t="s">
        <v>709</v>
      </c>
      <c r="BL7" s="623" t="s">
        <v>116</v>
      </c>
      <c r="BM7" s="623" t="s">
        <v>116</v>
      </c>
      <c r="BN7" s="623" t="s">
        <v>709</v>
      </c>
      <c r="BO7" s="623" t="s">
        <v>709</v>
      </c>
      <c r="BP7" s="623" t="s">
        <v>709</v>
      </c>
      <c r="BQ7" s="623">
        <v>3435</v>
      </c>
      <c r="BR7" s="623">
        <v>10</v>
      </c>
      <c r="BS7" s="623" t="s">
        <v>709</v>
      </c>
      <c r="BT7" s="623">
        <v>480</v>
      </c>
      <c r="BU7" s="623" t="s">
        <v>709</v>
      </c>
      <c r="BV7" s="623" t="s">
        <v>709</v>
      </c>
      <c r="BW7" s="623" t="s">
        <v>709</v>
      </c>
      <c r="BX7" s="623" t="s">
        <v>709</v>
      </c>
      <c r="BY7" s="623" t="s">
        <v>745</v>
      </c>
      <c r="BZ7" s="623" t="s">
        <v>709</v>
      </c>
      <c r="CA7" s="506"/>
    </row>
    <row r="8" spans="1:79" ht="15" hidden="1" customHeight="1" x14ac:dyDescent="0.25">
      <c r="A8" s="8" t="s">
        <v>781</v>
      </c>
      <c r="B8" s="8" t="s">
        <v>4</v>
      </c>
      <c r="C8" s="656" t="s">
        <v>385</v>
      </c>
      <c r="D8" s="8" t="s">
        <v>782</v>
      </c>
      <c r="E8" s="8" t="s">
        <v>783</v>
      </c>
      <c r="F8" s="8" t="s">
        <v>784</v>
      </c>
      <c r="G8" s="8" t="s">
        <v>27</v>
      </c>
      <c r="H8" s="13" t="s">
        <v>59</v>
      </c>
      <c r="I8" s="642">
        <v>44090</v>
      </c>
      <c r="J8" s="18">
        <v>45077</v>
      </c>
      <c r="K8" s="175">
        <v>45070</v>
      </c>
      <c r="L8" s="649">
        <f>IF(ISTEXT(Table157[[#This Row],[Engineering Approved Design Date]]),Table157[[#This Row],[Date Completed]]-Table157[[#This Row],[Date Assigned to Designer]],Table157[[#This Row],[Engineering Approved Design Date]]-Table157[[#This Row],[Date Completed]])</f>
        <v>7</v>
      </c>
      <c r="M8" s="642"/>
      <c r="N8" s="642" t="s">
        <v>120</v>
      </c>
      <c r="O8" s="510">
        <v>45108</v>
      </c>
      <c r="P8" s="221" t="s">
        <v>739</v>
      </c>
      <c r="Q8" s="74">
        <f>Table157[[#This Row],[Rate]]*Table157[[#This Row],[Construction Cost to Bill From]]</f>
        <v>142900.239</v>
      </c>
      <c r="R8" s="75">
        <v>0.1</v>
      </c>
      <c r="U8" s="87"/>
      <c r="V8" s="437">
        <v>1538</v>
      </c>
      <c r="W8" s="437">
        <v>0</v>
      </c>
      <c r="X8" s="94">
        <v>1202937.49</v>
      </c>
      <c r="Y8" s="592"/>
      <c r="Z8" s="552">
        <v>226064.9</v>
      </c>
      <c r="AA8" s="300">
        <f>SUM(Table157[[#This Row],[PCTS Investment Amount]:[PCTS Retirement Amount]])</f>
        <v>1429002.39</v>
      </c>
      <c r="AB8" s="207">
        <v>45105</v>
      </c>
      <c r="AC8" s="108" t="s">
        <v>116</v>
      </c>
      <c r="AD8" s="108" t="s">
        <v>116</v>
      </c>
      <c r="AE8" s="187" t="s">
        <v>116</v>
      </c>
      <c r="AF8" s="568" t="s">
        <v>756</v>
      </c>
      <c r="AG8" s="568" t="s">
        <v>116</v>
      </c>
      <c r="AH8" s="356">
        <v>45222</v>
      </c>
      <c r="AI8" s="489"/>
      <c r="AJ8" s="553"/>
      <c r="AK8" s="553"/>
      <c r="AL8" s="495">
        <f>SUM(Table157[[#This Row],[Nicor Initiated DBE]:[Staffing]])/(Table157[[#This Row],[Amount Invoiced]])</f>
        <v>0</v>
      </c>
      <c r="AM8" s="21" t="s">
        <v>116</v>
      </c>
      <c r="AN8" s="680">
        <v>45315</v>
      </c>
      <c r="AO8" s="681">
        <v>11042302</v>
      </c>
      <c r="AP8" s="538">
        <v>1203788.45</v>
      </c>
      <c r="AQ8" s="538"/>
      <c r="AR8" s="538">
        <v>226066.57</v>
      </c>
      <c r="AS8" s="538">
        <f>IF(Table157[[#This Row],[PCTS Approved]]="N",0,Table157[[#This Row],[Investment Amount (1'#'#'#'#'#)]]+Table157[[#This Row],[Retirement Amount (3'#'#'#'#'#)]])</f>
        <v>1429855.02</v>
      </c>
      <c r="AT8" s="538">
        <f>IF(Table157[[#This Row],[Approved Construction Cost]]=0,0,Table157[[#This Row],[Approved Construction Cost]]-Table157[[#This Row],[Construction Cost to Bill From]])</f>
        <v>852.63000000012107</v>
      </c>
      <c r="AU8" s="556">
        <f>IFERROR(Table157[[#This Row],[Difference in Construction Cost]]*Table157[[#This Row],[Rate]],Table157[[#This Row],[Difference in Construction Cost]]*0.085)</f>
        <v>85.263000000012113</v>
      </c>
      <c r="AV8" s="682">
        <v>0</v>
      </c>
      <c r="AW8" s="686" t="s">
        <v>785</v>
      </c>
      <c r="AX8" s="538">
        <v>85.26</v>
      </c>
      <c r="AY8" s="636">
        <v>45566</v>
      </c>
      <c r="AZ8" s="443">
        <v>87</v>
      </c>
      <c r="BA8" s="334" t="s">
        <v>4</v>
      </c>
      <c r="BB8" s="652" t="s">
        <v>786</v>
      </c>
      <c r="BC8" s="644" t="s">
        <v>787</v>
      </c>
      <c r="BD8" s="478" t="s">
        <v>709</v>
      </c>
      <c r="BE8" s="544" t="s">
        <v>788</v>
      </c>
      <c r="BF8" s="544" t="s">
        <v>115</v>
      </c>
      <c r="BG8" s="544" t="s">
        <v>789</v>
      </c>
      <c r="BH8" s="512" t="s">
        <v>709</v>
      </c>
      <c r="BI8" s="545" t="s">
        <v>790</v>
      </c>
      <c r="BJ8" s="511" t="s">
        <v>709</v>
      </c>
      <c r="BK8" s="546" t="s">
        <v>709</v>
      </c>
      <c r="BL8" s="546" t="s">
        <v>709</v>
      </c>
      <c r="BM8" s="546" t="s">
        <v>116</v>
      </c>
      <c r="BN8" s="546" t="s">
        <v>709</v>
      </c>
      <c r="BO8" s="546">
        <v>1222</v>
      </c>
      <c r="BP8" s="546" t="s">
        <v>709</v>
      </c>
      <c r="BQ8" s="546" t="s">
        <v>709</v>
      </c>
      <c r="BR8" s="546">
        <v>63</v>
      </c>
      <c r="BS8" s="546">
        <v>100</v>
      </c>
      <c r="BT8" s="546">
        <v>153</v>
      </c>
      <c r="BU8" s="546" t="s">
        <v>745</v>
      </c>
      <c r="BV8" s="546" t="s">
        <v>709</v>
      </c>
      <c r="BW8" s="546" t="s">
        <v>745</v>
      </c>
      <c r="BX8" s="546" t="s">
        <v>709</v>
      </c>
      <c r="BY8" s="546" t="s">
        <v>745</v>
      </c>
      <c r="BZ8" s="546" t="s">
        <v>745</v>
      </c>
      <c r="CA8" s="506"/>
    </row>
    <row r="9" spans="1:79" ht="15" hidden="1" customHeight="1" x14ac:dyDescent="0.25">
      <c r="A9" s="8">
        <v>2022</v>
      </c>
      <c r="B9" s="8" t="s">
        <v>730</v>
      </c>
      <c r="C9" s="8" t="s">
        <v>791</v>
      </c>
      <c r="D9" s="647" t="s">
        <v>792</v>
      </c>
      <c r="E9" s="8" t="s">
        <v>793</v>
      </c>
      <c r="F9" s="8" t="s">
        <v>747</v>
      </c>
      <c r="G9" s="8" t="s">
        <v>31</v>
      </c>
      <c r="H9" s="8" t="s">
        <v>59</v>
      </c>
      <c r="I9" s="642">
        <v>44263</v>
      </c>
      <c r="J9" s="449">
        <v>44392</v>
      </c>
      <c r="K9" s="642">
        <v>44392</v>
      </c>
      <c r="L9" s="16">
        <f>IF(ISTEXT(Table157[[#This Row],[Engineering Approved Design Date]]),Table157[[#This Row],[Date Completed]]-Table157[[#This Row],[Date Assigned to Designer]],Table157[[#This Row],[Engineering Approved Design Date]]-Table157[[#This Row],[Date Completed]])</f>
        <v>0</v>
      </c>
      <c r="M9" s="642"/>
      <c r="N9" s="642" t="s">
        <v>120</v>
      </c>
      <c r="O9" s="534">
        <v>44392</v>
      </c>
      <c r="P9" s="68" t="s">
        <v>120</v>
      </c>
      <c r="Q9" s="436">
        <f>(Table157[[#This Row],[Construction Cost to Bill From]]*0.085)+5250</f>
        <v>17937.723900000001</v>
      </c>
      <c r="R9" s="75" t="s">
        <v>794</v>
      </c>
      <c r="S9" s="24" t="s">
        <v>709</v>
      </c>
      <c r="T9" s="538" t="s">
        <v>709</v>
      </c>
      <c r="U9" s="28" t="s">
        <v>709</v>
      </c>
      <c r="V9" s="440">
        <v>455</v>
      </c>
      <c r="W9" s="440">
        <v>1</v>
      </c>
      <c r="X9" s="29">
        <v>113697.78</v>
      </c>
      <c r="Y9" s="592"/>
      <c r="Z9" s="551">
        <v>35569.56</v>
      </c>
      <c r="AA9" s="87">
        <f>X9+Z9</f>
        <v>149267.34</v>
      </c>
      <c r="AB9" s="208"/>
      <c r="AC9" s="108" t="s">
        <v>709</v>
      </c>
      <c r="AD9" s="109"/>
      <c r="AE9" s="349"/>
      <c r="AF9" s="579"/>
      <c r="AG9" s="579"/>
      <c r="AH9" s="354"/>
      <c r="AI9" s="341"/>
      <c r="AJ9" s="183"/>
      <c r="AK9" s="183"/>
      <c r="AL9" s="494">
        <f>SUM(Table157[[#This Row],[Nicor Initiated DBE]:[Staffing]])/(Table157[[#This Row],[Amount Invoiced]])</f>
        <v>0</v>
      </c>
      <c r="AM9" s="21" t="s">
        <v>116</v>
      </c>
      <c r="AN9" s="680">
        <v>45315</v>
      </c>
      <c r="AO9" s="681">
        <v>11033709</v>
      </c>
      <c r="AP9" s="538">
        <v>141620.94</v>
      </c>
      <c r="AQ9" s="538"/>
      <c r="AR9" s="538">
        <v>37610.74</v>
      </c>
      <c r="AS9" s="538">
        <f>IF(Table157[[#This Row],[PCTS Approved]]="N",0,Table157[[#This Row],[Investment Amount (1'#'#'#'#'#)]]+Table157[[#This Row],[Retirement Amount (3'#'#'#'#'#)]])</f>
        <v>179231.68</v>
      </c>
      <c r="AT9" s="538">
        <f>IF(Table157[[#This Row],[Approved Construction Cost]]=0,0,Table157[[#This Row],[Approved Construction Cost]]-Table157[[#This Row],[Construction Cost to Bill From]])</f>
        <v>29964.339999999997</v>
      </c>
      <c r="AU9" s="556">
        <f>IFERROR(Table157[[#This Row],[Difference in Construction Cost]]*Table157[[#This Row],[Rate]],Table157[[#This Row],[Difference in Construction Cost]]*0.085)</f>
        <v>2546.9688999999998</v>
      </c>
      <c r="AV9" s="682">
        <v>0</v>
      </c>
      <c r="AW9" s="686" t="s">
        <v>795</v>
      </c>
      <c r="AX9" s="538"/>
      <c r="AY9" s="636" t="s">
        <v>709</v>
      </c>
      <c r="AZ9" s="443">
        <v>165</v>
      </c>
      <c r="BA9" s="334" t="s">
        <v>2</v>
      </c>
      <c r="BB9" s="652" t="s">
        <v>796</v>
      </c>
      <c r="BC9" s="644" t="s">
        <v>797</v>
      </c>
      <c r="BD9" s="478" t="s">
        <v>116</v>
      </c>
      <c r="BE9" s="544" t="s">
        <v>709</v>
      </c>
      <c r="BF9" s="544" t="s">
        <v>709</v>
      </c>
      <c r="BG9" s="544" t="s">
        <v>798</v>
      </c>
      <c r="BH9" s="512" t="s">
        <v>799</v>
      </c>
      <c r="BI9" s="645"/>
      <c r="BJ9" s="511" t="s">
        <v>709</v>
      </c>
      <c r="BK9" s="546" t="s">
        <v>709</v>
      </c>
      <c r="BL9" s="546" t="s">
        <v>116</v>
      </c>
      <c r="BM9" s="546" t="s">
        <v>709</v>
      </c>
      <c r="BN9" s="546" t="s">
        <v>709</v>
      </c>
      <c r="BO9" s="546" t="s">
        <v>709</v>
      </c>
      <c r="BP9" s="546" t="s">
        <v>709</v>
      </c>
      <c r="BQ9" s="546" t="s">
        <v>709</v>
      </c>
      <c r="BR9" s="546" t="s">
        <v>709</v>
      </c>
      <c r="BS9" s="546" t="s">
        <v>709</v>
      </c>
      <c r="BT9" s="546">
        <v>455</v>
      </c>
      <c r="BU9" s="546" t="s">
        <v>709</v>
      </c>
      <c r="BV9" s="546" t="s">
        <v>709</v>
      </c>
      <c r="BW9" s="546" t="s">
        <v>709</v>
      </c>
      <c r="BX9" s="546" t="s">
        <v>709</v>
      </c>
      <c r="BY9" s="546" t="s">
        <v>709</v>
      </c>
      <c r="BZ9" s="546" t="s">
        <v>709</v>
      </c>
      <c r="CA9" s="506" t="s">
        <v>730</v>
      </c>
    </row>
    <row r="10" spans="1:79" ht="15" hidden="1" customHeight="1" x14ac:dyDescent="0.25">
      <c r="A10" s="8" t="s">
        <v>800</v>
      </c>
      <c r="B10" s="8" t="s">
        <v>4</v>
      </c>
      <c r="C10" s="656" t="s">
        <v>801</v>
      </c>
      <c r="D10" s="8" t="s">
        <v>802</v>
      </c>
      <c r="E10" s="8" t="s">
        <v>239</v>
      </c>
      <c r="F10" s="8" t="s">
        <v>747</v>
      </c>
      <c r="G10" s="8" t="s">
        <v>26</v>
      </c>
      <c r="H10" s="8" t="s">
        <v>59</v>
      </c>
      <c r="I10" s="642">
        <v>45027</v>
      </c>
      <c r="J10" s="18">
        <v>45260</v>
      </c>
      <c r="K10" s="97">
        <v>45218</v>
      </c>
      <c r="L10" s="16">
        <f>IF(ISTEXT(Table157[[#This Row],[Engineering Approved Design Date]]),Table157[[#This Row],[Date Completed]]-Table157[[#This Row],[Date Assigned to Designer]],Table157[[#This Row],[Engineering Approved Design Date]]-Table157[[#This Row],[Date Completed]])</f>
        <v>42</v>
      </c>
      <c r="M10" s="642"/>
      <c r="N10" s="642" t="s">
        <v>120</v>
      </c>
      <c r="O10" s="510">
        <v>45231</v>
      </c>
      <c r="P10" s="221" t="s">
        <v>739</v>
      </c>
      <c r="Q10" s="74">
        <f>Table157[[#This Row],[Rate]]*Table157[[#This Row],[Construction Cost to Bill From]]</f>
        <v>77333.657000000007</v>
      </c>
      <c r="R10" s="75">
        <v>0.1</v>
      </c>
      <c r="U10" s="87"/>
      <c r="V10" s="437">
        <v>2014</v>
      </c>
      <c r="W10" s="437">
        <v>0</v>
      </c>
      <c r="X10" s="24">
        <v>680014.29</v>
      </c>
      <c r="Y10" s="551"/>
      <c r="Z10" s="552">
        <v>93322.28</v>
      </c>
      <c r="AA10" s="300">
        <f>Table157[[#This Row],[PCTS Retirement Amount]]+Table157[[#This Row],[PCTS Investment Amount]]</f>
        <v>773336.57000000007</v>
      </c>
      <c r="AB10" s="207">
        <v>45212</v>
      </c>
      <c r="AC10" s="108" t="s">
        <v>709</v>
      </c>
      <c r="AD10" s="108" t="s">
        <v>29</v>
      </c>
      <c r="AE10" s="187" t="s">
        <v>756</v>
      </c>
      <c r="AF10" s="568" t="s">
        <v>116</v>
      </c>
      <c r="AG10" s="568" t="s">
        <v>116</v>
      </c>
      <c r="AH10" s="356">
        <v>45308</v>
      </c>
      <c r="AI10" s="489"/>
      <c r="AJ10" s="553"/>
      <c r="AK10" s="553"/>
      <c r="AL10" s="495">
        <f>SUM(Table157[[#This Row],[Nicor Initiated DBE]:[Staffing]])/(Table157[[#This Row],[Amount Invoiced]])</f>
        <v>0</v>
      </c>
      <c r="AM10" s="21" t="s">
        <v>116</v>
      </c>
      <c r="AN10" s="680">
        <v>45316</v>
      </c>
      <c r="AO10" s="681">
        <v>11077599</v>
      </c>
      <c r="AP10" s="538">
        <v>693761.18</v>
      </c>
      <c r="AQ10" s="538"/>
      <c r="AR10" s="538">
        <v>93331.88</v>
      </c>
      <c r="AS10" s="538">
        <f>IF(Table157[[#This Row],[PCTS Approved]]="N",0,Table157[[#This Row],[Investment Amount (1'#'#'#'#'#)]]+Table157[[#This Row],[Retirement Amount (3'#'#'#'#'#)]])</f>
        <v>787093.06</v>
      </c>
      <c r="AT10" s="538">
        <f>IF(Table157[[#This Row],[Approved Construction Cost]]=0,0,Table157[[#This Row],[Approved Construction Cost]]-Table157[[#This Row],[Construction Cost to Bill From]])</f>
        <v>13756.489999999991</v>
      </c>
      <c r="AU10" s="556">
        <f>IFERROR(Table157[[#This Row],[Difference in Construction Cost]]*Table157[[#This Row],[Rate]],Table157[[#This Row],[Difference in Construction Cost]]*0.085)</f>
        <v>1375.6489999999992</v>
      </c>
      <c r="AV10" s="682">
        <v>0</v>
      </c>
      <c r="AW10" s="686" t="s">
        <v>803</v>
      </c>
      <c r="AX10" s="538">
        <v>1375.65</v>
      </c>
      <c r="AY10" s="636">
        <v>45566</v>
      </c>
      <c r="AZ10" s="443">
        <v>101</v>
      </c>
      <c r="BA10" s="334" t="s">
        <v>4</v>
      </c>
      <c r="BB10" s="659" t="s">
        <v>804</v>
      </c>
      <c r="BC10" s="653" t="s">
        <v>805</v>
      </c>
      <c r="BD10" s="478" t="s">
        <v>709</v>
      </c>
      <c r="BE10" s="544" t="s">
        <v>806</v>
      </c>
      <c r="BF10" s="559" t="s">
        <v>805</v>
      </c>
      <c r="BG10" s="554" t="s">
        <v>807</v>
      </c>
      <c r="BH10" s="483" t="s">
        <v>709</v>
      </c>
      <c r="BI10" s="537"/>
      <c r="BJ10" s="511" t="s">
        <v>709</v>
      </c>
      <c r="BK10" s="546" t="s">
        <v>709</v>
      </c>
      <c r="BL10" s="546" t="s">
        <v>709</v>
      </c>
      <c r="BM10" s="546" t="s">
        <v>116</v>
      </c>
      <c r="BN10" s="546" t="s">
        <v>709</v>
      </c>
      <c r="BO10" s="546" t="s">
        <v>709</v>
      </c>
      <c r="BP10" s="546" t="s">
        <v>709</v>
      </c>
      <c r="BQ10" s="546" t="s">
        <v>709</v>
      </c>
      <c r="BR10" s="546" t="s">
        <v>709</v>
      </c>
      <c r="BS10" s="546">
        <v>918</v>
      </c>
      <c r="BT10" s="546">
        <v>1096</v>
      </c>
      <c r="BU10" s="546" t="s">
        <v>709</v>
      </c>
      <c r="BV10" s="546" t="s">
        <v>709</v>
      </c>
      <c r="BW10" s="546" t="s">
        <v>709</v>
      </c>
      <c r="BX10" s="546" t="s">
        <v>709</v>
      </c>
      <c r="BY10" s="546" t="s">
        <v>745</v>
      </c>
      <c r="BZ10" s="546" t="s">
        <v>709</v>
      </c>
      <c r="CA10" s="506"/>
    </row>
    <row r="11" spans="1:79" ht="15" hidden="1" customHeight="1" x14ac:dyDescent="0.25">
      <c r="A11" s="8">
        <v>2022</v>
      </c>
      <c r="B11" s="8" t="s">
        <v>730</v>
      </c>
      <c r="C11" s="8" t="s">
        <v>808</v>
      </c>
      <c r="D11" s="8" t="s">
        <v>809</v>
      </c>
      <c r="E11" s="8" t="s">
        <v>810</v>
      </c>
      <c r="F11" s="8" t="s">
        <v>747</v>
      </c>
      <c r="G11" s="8" t="s">
        <v>34</v>
      </c>
      <c r="H11" s="8" t="s">
        <v>59</v>
      </c>
      <c r="I11" s="642">
        <v>44350</v>
      </c>
      <c r="J11" s="18">
        <v>44680</v>
      </c>
      <c r="K11" s="97">
        <v>44680</v>
      </c>
      <c r="L11" s="16">
        <f>IF(ISTEXT(Table157[[#This Row],[Engineering Approved Design Date]]),Table157[[#This Row],[Date Completed]]-Table157[[#This Row],[Date Assigned to Designer]],Table157[[#This Row],[Engineering Approved Design Date]]-Table157[[#This Row],[Date Completed]])</f>
        <v>0</v>
      </c>
      <c r="M11" s="642"/>
      <c r="N11" s="642" t="s">
        <v>120</v>
      </c>
      <c r="O11" s="534">
        <v>44682</v>
      </c>
      <c r="P11" s="68" t="s">
        <v>120</v>
      </c>
      <c r="Q11" s="375">
        <f>(Table157[[#This Row],[Construction Cost to Bill From]]*0.085)+5250</f>
        <v>19954.719499999999</v>
      </c>
      <c r="R11" s="75" t="s">
        <v>794</v>
      </c>
      <c r="S11" s="24" t="s">
        <v>709</v>
      </c>
      <c r="T11" s="538" t="s">
        <v>709</v>
      </c>
      <c r="U11" s="87" t="s">
        <v>709</v>
      </c>
      <c r="V11" s="440">
        <v>114</v>
      </c>
      <c r="W11" s="440">
        <v>1</v>
      </c>
      <c r="X11" s="29">
        <v>131865.51999999999</v>
      </c>
      <c r="Y11" s="592"/>
      <c r="Z11" s="551">
        <v>41131.18</v>
      </c>
      <c r="AA11" s="87">
        <f>Table157[[#This Row],[PCTS Investment Amount]]+Table157[[#This Row],[PCTS Retirement Amount]]</f>
        <v>172996.69999999998</v>
      </c>
      <c r="AB11" s="208"/>
      <c r="AC11" s="108" t="s">
        <v>811</v>
      </c>
      <c r="AD11" s="108" t="s">
        <v>29</v>
      </c>
      <c r="AE11" s="349"/>
      <c r="AF11" s="579"/>
      <c r="AG11" s="579"/>
      <c r="AH11" s="354"/>
      <c r="AI11" s="341"/>
      <c r="AJ11" s="183"/>
      <c r="AK11" s="183"/>
      <c r="AL11" s="494">
        <f>SUM(Table157[[#This Row],[Nicor Initiated DBE]:[Staffing]])/(Table157[[#This Row],[Amount Invoiced]])</f>
        <v>0</v>
      </c>
      <c r="AM11" s="21" t="s">
        <v>116</v>
      </c>
      <c r="AN11" s="680">
        <v>45316</v>
      </c>
      <c r="AO11" s="681">
        <v>11037911</v>
      </c>
      <c r="AP11" s="538">
        <v>153723.87</v>
      </c>
      <c r="AQ11" s="538"/>
      <c r="AR11" s="538">
        <v>43169.120000000003</v>
      </c>
      <c r="AS11" s="538">
        <f>IF(Table157[[#This Row],[PCTS Approved]]="N",0,Table157[[#This Row],[Investment Amount (1'#'#'#'#'#)]]+Table157[[#This Row],[Retirement Amount (3'#'#'#'#'#)]])</f>
        <v>196892.99</v>
      </c>
      <c r="AT11" s="538">
        <f>IF(Table157[[#This Row],[Approved Construction Cost]]=0,0,Table157[[#This Row],[Approved Construction Cost]]-Table157[[#This Row],[Construction Cost to Bill From]])</f>
        <v>23896.290000000008</v>
      </c>
      <c r="AU11" s="556">
        <f>IFERROR(Table157[[#This Row],[Difference in Construction Cost]]*Table157[[#This Row],[Rate]],Table157[[#This Row],[Difference in Construction Cost]]*0.085)</f>
        <v>2031.1846500000008</v>
      </c>
      <c r="AV11" s="682" t="s">
        <v>29</v>
      </c>
      <c r="AW11" s="686" t="s">
        <v>812</v>
      </c>
      <c r="AX11" s="538"/>
      <c r="AY11" s="636" t="s">
        <v>709</v>
      </c>
      <c r="AZ11" s="443">
        <v>167</v>
      </c>
      <c r="BA11" s="334" t="s">
        <v>2</v>
      </c>
      <c r="BB11" s="652" t="s">
        <v>813</v>
      </c>
      <c r="BC11" s="644" t="s">
        <v>814</v>
      </c>
      <c r="BD11" s="478" t="s">
        <v>709</v>
      </c>
      <c r="BE11" s="544" t="s">
        <v>815</v>
      </c>
      <c r="BF11" s="544" t="s">
        <v>709</v>
      </c>
      <c r="BG11" s="544" t="s">
        <v>709</v>
      </c>
      <c r="BH11" s="512" t="s">
        <v>709</v>
      </c>
      <c r="BI11" s="645"/>
      <c r="BJ11" s="511" t="s">
        <v>709</v>
      </c>
      <c r="BK11" s="546" t="s">
        <v>116</v>
      </c>
      <c r="BL11" s="546" t="s">
        <v>709</v>
      </c>
      <c r="BM11" s="546" t="s">
        <v>116</v>
      </c>
      <c r="BN11" s="546" t="s">
        <v>709</v>
      </c>
      <c r="BO11" s="546" t="s">
        <v>709</v>
      </c>
      <c r="BP11" s="546" t="s">
        <v>709</v>
      </c>
      <c r="BQ11" s="546" t="s">
        <v>709</v>
      </c>
      <c r="BR11" s="546" t="s">
        <v>709</v>
      </c>
      <c r="BS11" s="546">
        <v>26</v>
      </c>
      <c r="BT11" s="546">
        <v>87</v>
      </c>
      <c r="BU11" s="546" t="s">
        <v>745</v>
      </c>
      <c r="BV11" s="546">
        <v>1</v>
      </c>
      <c r="BW11" s="546" t="s">
        <v>745</v>
      </c>
      <c r="BX11" s="546" t="s">
        <v>709</v>
      </c>
      <c r="BY11" s="546">
        <v>1</v>
      </c>
      <c r="BZ11" s="546" t="s">
        <v>745</v>
      </c>
      <c r="CA11" s="506"/>
    </row>
    <row r="12" spans="1:79" ht="15" hidden="1" customHeight="1" x14ac:dyDescent="0.25">
      <c r="A12" s="8" t="s">
        <v>749</v>
      </c>
      <c r="B12" s="8" t="s">
        <v>730</v>
      </c>
      <c r="C12" s="8" t="s">
        <v>816</v>
      </c>
      <c r="D12" s="8" t="s">
        <v>817</v>
      </c>
      <c r="E12" s="8" t="s">
        <v>818</v>
      </c>
      <c r="F12" s="8" t="s">
        <v>752</v>
      </c>
      <c r="G12" s="8" t="s">
        <v>34</v>
      </c>
      <c r="H12" s="8" t="s">
        <v>59</v>
      </c>
      <c r="I12" s="642">
        <v>44831</v>
      </c>
      <c r="J12" s="18">
        <v>44925</v>
      </c>
      <c r="K12" s="97">
        <v>44916</v>
      </c>
      <c r="L12" s="16">
        <f>IF(ISTEXT(Table157[[#This Row],[Engineering Approved Design Date]]),Table157[[#This Row],[Date Completed]]-Table157[[#This Row],[Date Assigned to Designer]],Table157[[#This Row],[Engineering Approved Design Date]]-Table157[[#This Row],[Date Completed]])</f>
        <v>9</v>
      </c>
      <c r="M12" s="642"/>
      <c r="N12" s="642" t="s">
        <v>120</v>
      </c>
      <c r="O12" s="510">
        <v>44927</v>
      </c>
      <c r="P12" s="68" t="s">
        <v>120</v>
      </c>
      <c r="Q12" s="375">
        <f>R12*AA12</f>
        <v>26163.556200000003</v>
      </c>
      <c r="R12" s="75">
        <v>0.09</v>
      </c>
      <c r="U12" s="87"/>
      <c r="V12" s="437">
        <v>1228</v>
      </c>
      <c r="X12" s="94">
        <v>262991.71000000002</v>
      </c>
      <c r="Y12" s="592"/>
      <c r="Z12" s="552">
        <v>27714.47</v>
      </c>
      <c r="AA12" s="300">
        <f>Table157[[#This Row],[PCTS Investment Amount]]+Table157[[#This Row],[PCTS Retirement Amount]]</f>
        <v>290706.18000000005</v>
      </c>
      <c r="AB12" s="207">
        <v>44922</v>
      </c>
      <c r="AC12" s="108" t="s">
        <v>709</v>
      </c>
      <c r="AD12" s="108" t="s">
        <v>29</v>
      </c>
      <c r="AE12" s="349"/>
      <c r="AF12" s="579"/>
      <c r="AG12" s="579"/>
      <c r="AH12" s="354"/>
      <c r="AI12" s="341"/>
      <c r="AJ12" s="183"/>
      <c r="AK12" s="183"/>
      <c r="AL12" s="494">
        <f>SUM(Table157[[#This Row],[Nicor Initiated DBE]:[Staffing]])/(Table157[[#This Row],[Amount Invoiced]])</f>
        <v>0</v>
      </c>
      <c r="AM12" s="21" t="s">
        <v>116</v>
      </c>
      <c r="AN12" s="680">
        <v>45316</v>
      </c>
      <c r="AO12" s="681">
        <v>11050945</v>
      </c>
      <c r="AP12" s="682">
        <v>272022.90000000002</v>
      </c>
      <c r="AQ12" s="682"/>
      <c r="AR12" s="538">
        <v>28525.24</v>
      </c>
      <c r="AS12" s="538">
        <f>IF(Table157[[#This Row],[PCTS Approved]]="N",0,Table157[[#This Row],[Investment Amount (1'#'#'#'#'#)]]+Table157[[#This Row],[Retirement Amount (3'#'#'#'#'#)]])</f>
        <v>300548.14</v>
      </c>
      <c r="AT12" s="538">
        <f>IF(Table157[[#This Row],[Approved Construction Cost]]=0,0,Table157[[#This Row],[Approved Construction Cost]]-Table157[[#This Row],[Construction Cost to Bill From]])</f>
        <v>9841.9599999999627</v>
      </c>
      <c r="AU12" s="538">
        <f>IFERROR(Table157[[#This Row],[Difference in Construction Cost]]*Table157[[#This Row],[Rate]],Table157[[#This Row],[Difference in Construction Cost]]*0.085)</f>
        <v>885.77639999999667</v>
      </c>
      <c r="AV12" s="682">
        <v>2522.5</v>
      </c>
      <c r="AW12" s="686" t="s">
        <v>819</v>
      </c>
      <c r="AX12" s="538"/>
      <c r="AY12" s="636" t="s">
        <v>709</v>
      </c>
      <c r="AZ12" s="443">
        <v>31</v>
      </c>
      <c r="BA12" s="334" t="s">
        <v>2</v>
      </c>
      <c r="BB12" s="652" t="s">
        <v>820</v>
      </c>
      <c r="BC12" s="644" t="s">
        <v>821</v>
      </c>
      <c r="BD12" s="478" t="s">
        <v>116</v>
      </c>
      <c r="BE12" s="544" t="s">
        <v>115</v>
      </c>
      <c r="BF12" s="544" t="s">
        <v>822</v>
      </c>
      <c r="BG12" s="544" t="s">
        <v>115</v>
      </c>
      <c r="BH12" s="512" t="s">
        <v>115</v>
      </c>
      <c r="BI12" s="645"/>
      <c r="BJ12" s="511" t="s">
        <v>709</v>
      </c>
      <c r="BK12" s="546" t="s">
        <v>709</v>
      </c>
      <c r="BL12" s="546" t="s">
        <v>709</v>
      </c>
      <c r="BM12" s="546" t="s">
        <v>116</v>
      </c>
      <c r="BN12" s="546" t="s">
        <v>709</v>
      </c>
      <c r="BO12" s="546" t="s">
        <v>709</v>
      </c>
      <c r="BP12" s="546" t="s">
        <v>709</v>
      </c>
      <c r="BQ12" s="546" t="s">
        <v>709</v>
      </c>
      <c r="BR12" s="546" t="s">
        <v>709</v>
      </c>
      <c r="BS12" s="546" t="s">
        <v>709</v>
      </c>
      <c r="BT12" s="546">
        <v>1228</v>
      </c>
      <c r="BU12" s="546" t="s">
        <v>709</v>
      </c>
      <c r="BV12" s="546" t="s">
        <v>709</v>
      </c>
      <c r="BW12" s="546" t="s">
        <v>709</v>
      </c>
      <c r="BX12" s="546" t="s">
        <v>709</v>
      </c>
      <c r="BY12" s="546" t="s">
        <v>709</v>
      </c>
      <c r="BZ12" s="546" t="s">
        <v>709</v>
      </c>
      <c r="CA12" s="506" t="s">
        <v>2</v>
      </c>
    </row>
    <row r="13" spans="1:79" ht="15" hidden="1" customHeight="1" x14ac:dyDescent="0.25">
      <c r="A13" s="8" t="s">
        <v>749</v>
      </c>
      <c r="B13" s="8" t="s">
        <v>730</v>
      </c>
      <c r="C13" s="8" t="s">
        <v>823</v>
      </c>
      <c r="D13" s="8" t="s">
        <v>824</v>
      </c>
      <c r="E13" s="8" t="s">
        <v>825</v>
      </c>
      <c r="F13" s="8" t="s">
        <v>752</v>
      </c>
      <c r="G13" s="8" t="s">
        <v>37</v>
      </c>
      <c r="H13" s="8" t="s">
        <v>59</v>
      </c>
      <c r="I13" s="642">
        <v>44981</v>
      </c>
      <c r="J13" s="18">
        <v>45107</v>
      </c>
      <c r="K13" s="175">
        <v>45104</v>
      </c>
      <c r="L13" s="16">
        <f>IF(ISTEXT(Table157[[#This Row],[Engineering Approved Design Date]]),Table157[[#This Row],[Date Completed]]-Table157[[#This Row],[Date Assigned to Designer]],Table157[[#This Row],[Engineering Approved Design Date]]-Table157[[#This Row],[Date Completed]])</f>
        <v>3</v>
      </c>
      <c r="M13" s="642"/>
      <c r="N13" s="642" t="s">
        <v>120</v>
      </c>
      <c r="O13" s="510">
        <v>45108</v>
      </c>
      <c r="P13" s="221" t="s">
        <v>120</v>
      </c>
      <c r="Q13" s="74">
        <f>Table157[[#This Row],[Rate]]*Table157[[#This Row],[Construction Cost to Bill From]]</f>
        <v>30697.238699999998</v>
      </c>
      <c r="R13" s="75">
        <v>0.09</v>
      </c>
      <c r="U13" s="87"/>
      <c r="V13" s="437">
        <v>698</v>
      </c>
      <c r="W13" s="437">
        <v>0</v>
      </c>
      <c r="X13" s="24">
        <v>264573.13</v>
      </c>
      <c r="Y13" s="592">
        <v>45051</v>
      </c>
      <c r="Z13" s="552">
        <v>76507.3</v>
      </c>
      <c r="AA13" s="300">
        <f>Table157[[#This Row],[PCTS Investment Amount]]+Table157[[#This Row],[PCTS Retirement Amount]]</f>
        <v>341080.43</v>
      </c>
      <c r="AB13" s="207">
        <v>45117</v>
      </c>
      <c r="AC13" s="108" t="s">
        <v>29</v>
      </c>
      <c r="AD13" s="108" t="s">
        <v>29</v>
      </c>
      <c r="AE13" s="187" t="s">
        <v>756</v>
      </c>
      <c r="AF13" s="568" t="s">
        <v>29</v>
      </c>
      <c r="AG13" s="568" t="s">
        <v>116</v>
      </c>
      <c r="AH13" s="356" t="s">
        <v>116</v>
      </c>
      <c r="AI13" s="341"/>
      <c r="AJ13" s="183"/>
      <c r="AK13" s="183"/>
      <c r="AL13" s="494">
        <f>SUM(Table157[[#This Row],[Nicor Initiated DBE]:[Staffing]])/(Table157[[#This Row],[Amount Invoiced]])</f>
        <v>0</v>
      </c>
      <c r="AM13" s="21" t="s">
        <v>116</v>
      </c>
      <c r="AN13" s="680">
        <v>45316</v>
      </c>
      <c r="AO13" s="681">
        <v>11059512</v>
      </c>
      <c r="AP13" s="682">
        <v>264599.78000000003</v>
      </c>
      <c r="AQ13" s="682"/>
      <c r="AR13" s="538">
        <v>76507.3</v>
      </c>
      <c r="AS13" s="538">
        <f>IF(Table157[[#This Row],[PCTS Approved]]="N",0,Table157[[#This Row],[Investment Amount (1'#'#'#'#'#)]]+Table157[[#This Row],[Retirement Amount (3'#'#'#'#'#)]])</f>
        <v>341107.08</v>
      </c>
      <c r="AT13" s="538">
        <f>IF(Table157[[#This Row],[Approved Construction Cost]]=0,0,Table157[[#This Row],[Approved Construction Cost]]-Table157[[#This Row],[Construction Cost to Bill From]])</f>
        <v>26.650000000023283</v>
      </c>
      <c r="AU13" s="538">
        <f>IFERROR(Table157[[#This Row],[Difference in Construction Cost]]*Table157[[#This Row],[Rate]],Table157[[#This Row],[Difference in Construction Cost]]*0.085)</f>
        <v>2.3985000000020955</v>
      </c>
      <c r="AV13" s="682">
        <v>3182.5</v>
      </c>
      <c r="AW13" s="686" t="s">
        <v>826</v>
      </c>
      <c r="AX13" s="538"/>
      <c r="AY13" s="636" t="s">
        <v>709</v>
      </c>
      <c r="AZ13" s="443">
        <v>48</v>
      </c>
      <c r="BA13" s="334" t="s">
        <v>2</v>
      </c>
      <c r="BB13" s="652" t="s">
        <v>827</v>
      </c>
      <c r="BC13" s="644" t="s">
        <v>828</v>
      </c>
      <c r="BD13" s="478"/>
      <c r="BE13" s="544"/>
      <c r="BF13" s="544" t="s">
        <v>829</v>
      </c>
      <c r="BG13" s="544" t="s">
        <v>830</v>
      </c>
      <c r="BH13" s="512" t="s">
        <v>115</v>
      </c>
      <c r="BI13" s="645" t="s">
        <v>831</v>
      </c>
      <c r="BJ13" s="625" t="s">
        <v>709</v>
      </c>
      <c r="BK13" s="623" t="s">
        <v>709</v>
      </c>
      <c r="BL13" s="623" t="s">
        <v>709</v>
      </c>
      <c r="BM13" s="623" t="s">
        <v>116</v>
      </c>
      <c r="BN13" s="623" t="s">
        <v>709</v>
      </c>
      <c r="BO13" s="623" t="s">
        <v>709</v>
      </c>
      <c r="BP13" s="623" t="s">
        <v>709</v>
      </c>
      <c r="BQ13" s="623" t="s">
        <v>709</v>
      </c>
      <c r="BR13" s="623" t="s">
        <v>709</v>
      </c>
      <c r="BS13" s="623">
        <v>698</v>
      </c>
      <c r="BT13" s="623" t="s">
        <v>709</v>
      </c>
      <c r="BU13" s="623" t="s">
        <v>709</v>
      </c>
      <c r="BV13" s="623" t="s">
        <v>709</v>
      </c>
      <c r="BW13" s="623" t="s">
        <v>709</v>
      </c>
      <c r="BX13" s="623" t="s">
        <v>709</v>
      </c>
      <c r="BY13" s="623" t="s">
        <v>745</v>
      </c>
      <c r="BZ13" s="623" t="s">
        <v>709</v>
      </c>
      <c r="CA13" s="507" t="s">
        <v>769</v>
      </c>
    </row>
    <row r="14" spans="1:79" ht="15" hidden="1" customHeight="1" x14ac:dyDescent="0.25">
      <c r="A14" s="8" t="s">
        <v>800</v>
      </c>
      <c r="B14" s="8" t="s">
        <v>4</v>
      </c>
      <c r="C14" s="656" t="s">
        <v>832</v>
      </c>
      <c r="D14" s="8" t="s">
        <v>833</v>
      </c>
      <c r="E14" s="8" t="s">
        <v>834</v>
      </c>
      <c r="F14" s="8" t="s">
        <v>747</v>
      </c>
      <c r="G14" s="8" t="s">
        <v>25</v>
      </c>
      <c r="H14" s="8" t="s">
        <v>59</v>
      </c>
      <c r="I14" s="642">
        <v>45258</v>
      </c>
      <c r="J14" s="18">
        <v>45345</v>
      </c>
      <c r="K14" s="97">
        <v>45322</v>
      </c>
      <c r="L14" s="16">
        <f>IF(ISTEXT(Table157[[#This Row],[Engineering Approved Design Date]]),Table157[[#This Row],[Date Completed]]-Table157[[#This Row],[Date Assigned to Designer]],Table157[[#This Row],[Engineering Approved Design Date]]-Table157[[#This Row],[Date Completed]])</f>
        <v>23</v>
      </c>
      <c r="M14" s="642"/>
      <c r="N14" s="671" t="s">
        <v>120</v>
      </c>
      <c r="O14" s="510">
        <v>45323</v>
      </c>
      <c r="P14" s="221" t="s">
        <v>739</v>
      </c>
      <c r="Q14" s="74">
        <f>Table157[[#This Row],[Rate]]*Table157[[#This Row],[Construction Cost to Bill From]]</f>
        <v>15681.652000000002</v>
      </c>
      <c r="R14" s="75">
        <v>0.1</v>
      </c>
      <c r="U14" s="87"/>
      <c r="V14" s="437">
        <v>461</v>
      </c>
      <c r="W14" s="437">
        <v>0</v>
      </c>
      <c r="X14" s="70">
        <v>148130.85</v>
      </c>
      <c r="Y14" s="551"/>
      <c r="Z14" s="570">
        <v>8685.67</v>
      </c>
      <c r="AA14" s="300">
        <f>Table157[[#This Row],[PCTS Retirement Amount]]+Table157[[#This Row],[PCTS Investment Amount]]</f>
        <v>156816.52000000002</v>
      </c>
      <c r="AB14" s="207">
        <v>45321</v>
      </c>
      <c r="AC14" s="108" t="s">
        <v>709</v>
      </c>
      <c r="AD14" s="108" t="s">
        <v>29</v>
      </c>
      <c r="AE14" s="187" t="s">
        <v>116</v>
      </c>
      <c r="AF14" s="568" t="s">
        <v>29</v>
      </c>
      <c r="AG14" s="183">
        <v>45366</v>
      </c>
      <c r="AH14" s="356">
        <v>45366</v>
      </c>
      <c r="AI14" s="499">
        <v>0</v>
      </c>
      <c r="AJ14" s="541">
        <v>5050.8500000000004</v>
      </c>
      <c r="AK14" s="541">
        <v>5712.25</v>
      </c>
      <c r="AL14" s="494">
        <f>SUM(Table157[[#This Row],[Nicor Initiated DBE]:[Staffing]])/(Table157[[#This Row],[Amount Invoiced]])</f>
        <v>0.68634988201498148</v>
      </c>
      <c r="AM14" s="21" t="s">
        <v>116</v>
      </c>
      <c r="AN14" s="680">
        <v>45334</v>
      </c>
      <c r="AO14" s="681">
        <v>11078441</v>
      </c>
      <c r="AP14" s="538">
        <v>148130.85</v>
      </c>
      <c r="AQ14" s="538"/>
      <c r="AR14" s="538">
        <v>8685.67</v>
      </c>
      <c r="AS14" s="538">
        <f>IF(Table157[[#This Row],[PCTS Approved]]="N",0,Table157[[#This Row],[Investment Amount (1'#'#'#'#'#)]]+Table157[[#This Row],[Retirement Amount (3'#'#'#'#'#)]])</f>
        <v>156816.52000000002</v>
      </c>
      <c r="AT14" s="538">
        <f>IF(Table157[[#This Row],[Approved Construction Cost]]=0,0,Table157[[#This Row],[Approved Construction Cost]]-Table157[[#This Row],[Construction Cost to Bill From]])</f>
        <v>0</v>
      </c>
      <c r="AU14" s="556">
        <f>IFERROR(Table157[[#This Row],[Difference in Construction Cost]]*Table157[[#This Row],[Rate]],Table157[[#This Row],[Difference in Construction Cost]]*0.085)</f>
        <v>0</v>
      </c>
      <c r="AV14" s="682">
        <v>0</v>
      </c>
      <c r="AW14" s="660"/>
      <c r="AX14" s="538">
        <v>0</v>
      </c>
      <c r="AY14" s="636">
        <v>45566</v>
      </c>
      <c r="AZ14" s="443">
        <v>122</v>
      </c>
      <c r="BA14" s="334" t="s">
        <v>4</v>
      </c>
      <c r="BB14" s="651" t="s">
        <v>835</v>
      </c>
      <c r="BC14" s="644" t="s">
        <v>836</v>
      </c>
      <c r="BD14" s="479" t="s">
        <v>709</v>
      </c>
      <c r="BE14" s="554" t="s">
        <v>837</v>
      </c>
      <c r="BF14" s="588" t="s">
        <v>838</v>
      </c>
      <c r="BG14" s="588" t="s">
        <v>839</v>
      </c>
      <c r="BH14" s="483" t="s">
        <v>840</v>
      </c>
      <c r="BI14" s="487" t="s">
        <v>841</v>
      </c>
      <c r="BJ14" s="511" t="s">
        <v>709</v>
      </c>
      <c r="BK14" s="623" t="s">
        <v>709</v>
      </c>
      <c r="BL14" s="546" t="s">
        <v>709</v>
      </c>
      <c r="BM14" s="546" t="s">
        <v>116</v>
      </c>
      <c r="BN14" s="622" t="s">
        <v>709</v>
      </c>
      <c r="BO14" s="623" t="s">
        <v>709</v>
      </c>
      <c r="BP14" s="622" t="s">
        <v>709</v>
      </c>
      <c r="BQ14" s="622" t="s">
        <v>709</v>
      </c>
      <c r="BR14" s="623" t="s">
        <v>709</v>
      </c>
      <c r="BS14" s="623" t="s">
        <v>709</v>
      </c>
      <c r="BT14" s="623">
        <v>461</v>
      </c>
      <c r="BU14" s="623" t="s">
        <v>709</v>
      </c>
      <c r="BV14" s="623" t="s">
        <v>709</v>
      </c>
      <c r="BW14" s="623" t="s">
        <v>709</v>
      </c>
      <c r="BX14" s="623" t="s">
        <v>709</v>
      </c>
      <c r="BY14" s="546" t="s">
        <v>709</v>
      </c>
      <c r="BZ14" s="623" t="s">
        <v>709</v>
      </c>
      <c r="CA14" s="506"/>
    </row>
    <row r="15" spans="1:79" ht="15" hidden="1" customHeight="1" x14ac:dyDescent="0.25">
      <c r="A15" s="8" t="s">
        <v>749</v>
      </c>
      <c r="B15" s="8" t="s">
        <v>4</v>
      </c>
      <c r="C15" s="656" t="s">
        <v>842</v>
      </c>
      <c r="D15" s="8" t="s">
        <v>843</v>
      </c>
      <c r="E15" s="8" t="s">
        <v>844</v>
      </c>
      <c r="F15" s="8" t="s">
        <v>784</v>
      </c>
      <c r="G15" s="8" t="s">
        <v>31</v>
      </c>
      <c r="H15" s="8" t="s">
        <v>413</v>
      </c>
      <c r="I15" s="642">
        <v>45202</v>
      </c>
      <c r="J15" s="472">
        <v>45247</v>
      </c>
      <c r="K15" s="97">
        <v>45243</v>
      </c>
      <c r="L15" s="649">
        <f>IF(ISTEXT(Table157[[#This Row],[Engineering Approved Design Date]]),Table157[[#This Row],[Date Completed]]-Table157[[#This Row],[Date Assigned to Designer]],Table157[[#This Row],[Engineering Approved Design Date]]-Table157[[#This Row],[Date Completed]])</f>
        <v>4</v>
      </c>
      <c r="M15" s="642"/>
      <c r="N15" s="642" t="s">
        <v>120</v>
      </c>
      <c r="O15" s="510">
        <v>45261</v>
      </c>
      <c r="P15" s="221" t="s">
        <v>739</v>
      </c>
      <c r="Q15" s="74">
        <f>Table157[[#This Row],[Rate]]*Table157[[#This Row],[Construction Cost to Bill From]]</f>
        <v>12350.125</v>
      </c>
      <c r="R15" s="75">
        <v>0.1</v>
      </c>
      <c r="U15" s="87"/>
      <c r="V15" s="437">
        <v>196</v>
      </c>
      <c r="W15" s="437">
        <v>0</v>
      </c>
      <c r="X15" s="94">
        <v>98117.29</v>
      </c>
      <c r="Y15" s="551"/>
      <c r="Z15" s="552">
        <v>25383.96</v>
      </c>
      <c r="AA15" s="300">
        <f>SUM(Table157[[#This Row],[PCTS Investment Amount]:[PCTS Retirement Amount]])</f>
        <v>123501.25</v>
      </c>
      <c r="AB15" s="207">
        <v>45257</v>
      </c>
      <c r="AC15" s="108" t="s">
        <v>709</v>
      </c>
      <c r="AD15" s="108" t="s">
        <v>29</v>
      </c>
      <c r="AE15" s="187" t="s">
        <v>116</v>
      </c>
      <c r="AF15" s="568" t="s">
        <v>756</v>
      </c>
      <c r="AG15" s="183">
        <v>45308</v>
      </c>
      <c r="AH15" s="356">
        <v>45308</v>
      </c>
      <c r="AI15" s="489"/>
      <c r="AJ15" s="553"/>
      <c r="AK15" s="553"/>
      <c r="AL15" s="495">
        <f>SUM(Table157[[#This Row],[Nicor Initiated DBE]:[Staffing]])/(Table157[[#This Row],[Amount Invoiced]])</f>
        <v>0</v>
      </c>
      <c r="AM15" s="21" t="s">
        <v>116</v>
      </c>
      <c r="AN15" s="680">
        <v>45348</v>
      </c>
      <c r="AO15" s="681">
        <v>11079101</v>
      </c>
      <c r="AP15" s="538">
        <v>98117.29</v>
      </c>
      <c r="AQ15" s="538"/>
      <c r="AR15" s="538">
        <v>25384.51</v>
      </c>
      <c r="AS15" s="538">
        <f>IF(Table157[[#This Row],[PCTS Approved]]="N",0,Table157[[#This Row],[Investment Amount (1'#'#'#'#'#)]]+Table157[[#This Row],[Retirement Amount (3'#'#'#'#'#)]])</f>
        <v>123501.79999999999</v>
      </c>
      <c r="AT15" s="538">
        <f>IF(Table157[[#This Row],[Approved Construction Cost]]=0,0,Table157[[#This Row],[Approved Construction Cost]]-Table157[[#This Row],[Construction Cost to Bill From]])</f>
        <v>0.54999999998835847</v>
      </c>
      <c r="AU15" s="556">
        <f>IFERROR(Table157[[#This Row],[Difference in Construction Cost]]*Table157[[#This Row],[Rate]],Table157[[#This Row],[Difference in Construction Cost]]*0.085)</f>
        <v>5.4999999998835848E-2</v>
      </c>
      <c r="AV15" s="682">
        <v>0</v>
      </c>
      <c r="AW15" s="660"/>
      <c r="AX15" s="538">
        <v>0.05</v>
      </c>
      <c r="AY15" s="636">
        <v>45566</v>
      </c>
      <c r="AZ15" s="443">
        <v>103</v>
      </c>
      <c r="BA15" s="334" t="s">
        <v>4</v>
      </c>
      <c r="BB15" s="651" t="s">
        <v>845</v>
      </c>
      <c r="BC15" s="644" t="s">
        <v>846</v>
      </c>
      <c r="BD15" s="478" t="s">
        <v>709</v>
      </c>
      <c r="BE15" s="544" t="s">
        <v>115</v>
      </c>
      <c r="BF15" s="544" t="s">
        <v>846</v>
      </c>
      <c r="BG15" s="544" t="s">
        <v>115</v>
      </c>
      <c r="BH15" s="483" t="s">
        <v>115</v>
      </c>
      <c r="BI15" s="537" t="s">
        <v>847</v>
      </c>
      <c r="BJ15" s="511" t="s">
        <v>709</v>
      </c>
      <c r="BK15" s="623" t="s">
        <v>709</v>
      </c>
      <c r="BL15" s="546" t="s">
        <v>709</v>
      </c>
      <c r="BM15" s="546" t="s">
        <v>116</v>
      </c>
      <c r="BN15" s="622" t="s">
        <v>709</v>
      </c>
      <c r="BO15" s="623" t="s">
        <v>709</v>
      </c>
      <c r="BP15" s="622" t="s">
        <v>709</v>
      </c>
      <c r="BQ15" s="622" t="s">
        <v>709</v>
      </c>
      <c r="BR15" s="623" t="s">
        <v>709</v>
      </c>
      <c r="BS15" s="623" t="s">
        <v>709</v>
      </c>
      <c r="BT15" s="623">
        <v>196</v>
      </c>
      <c r="BU15" s="623" t="s">
        <v>709</v>
      </c>
      <c r="BV15" s="623" t="s">
        <v>709</v>
      </c>
      <c r="BW15" s="623" t="s">
        <v>709</v>
      </c>
      <c r="BX15" s="623" t="s">
        <v>709</v>
      </c>
      <c r="BY15" s="546" t="s">
        <v>745</v>
      </c>
      <c r="BZ15" s="623" t="s">
        <v>709</v>
      </c>
      <c r="CA15" s="506"/>
    </row>
    <row r="16" spans="1:79" ht="15" hidden="1" customHeight="1" x14ac:dyDescent="0.25">
      <c r="A16" s="8" t="s">
        <v>800</v>
      </c>
      <c r="B16" s="8" t="s">
        <v>4</v>
      </c>
      <c r="C16" s="656" t="s">
        <v>848</v>
      </c>
      <c r="D16" s="8" t="s">
        <v>849</v>
      </c>
      <c r="E16" s="8" t="s">
        <v>850</v>
      </c>
      <c r="F16" s="8" t="s">
        <v>851</v>
      </c>
      <c r="G16" s="8" t="s">
        <v>22</v>
      </c>
      <c r="H16" s="8" t="s">
        <v>59</v>
      </c>
      <c r="I16" s="642">
        <v>45216</v>
      </c>
      <c r="J16" s="18">
        <v>45309</v>
      </c>
      <c r="K16" s="97">
        <v>45308</v>
      </c>
      <c r="L16" s="16">
        <f>IF(ISTEXT(Table157[[#This Row],[Engineering Approved Design Date]]),Table157[[#This Row],[Date Completed]]-Table157[[#This Row],[Date Assigned to Designer]],Table157[[#This Row],[Engineering Approved Design Date]]-Table157[[#This Row],[Date Completed]])</f>
        <v>1</v>
      </c>
      <c r="M16" s="642"/>
      <c r="N16" s="642" t="s">
        <v>120</v>
      </c>
      <c r="O16" s="510">
        <v>45323</v>
      </c>
      <c r="P16" s="221" t="s">
        <v>739</v>
      </c>
      <c r="Q16" s="74">
        <f>Table157[[#This Row],[Rate]]*Table157[[#This Row],[Construction Cost to Bill From]]</f>
        <v>68612.563000000009</v>
      </c>
      <c r="R16" s="75">
        <v>0.1</v>
      </c>
      <c r="U16" s="87"/>
      <c r="V16" s="437">
        <v>1090</v>
      </c>
      <c r="W16" s="437">
        <v>0</v>
      </c>
      <c r="X16" s="70">
        <v>456995.48</v>
      </c>
      <c r="Y16" s="551"/>
      <c r="Z16" s="570">
        <v>229130.15</v>
      </c>
      <c r="AA16" s="300">
        <f>Table157[[#This Row],[PCTS Investment Amount]]+Table157[[#This Row],[PCTS Retirement Amount]]</f>
        <v>686125.63</v>
      </c>
      <c r="AB16" s="207">
        <v>45315</v>
      </c>
      <c r="AC16" s="108" t="s">
        <v>709</v>
      </c>
      <c r="AD16" s="108" t="s">
        <v>29</v>
      </c>
      <c r="AE16" s="187" t="s">
        <v>116</v>
      </c>
      <c r="AF16" s="568" t="s">
        <v>29</v>
      </c>
      <c r="AG16" s="183">
        <v>45447</v>
      </c>
      <c r="AH16" s="356">
        <v>45447</v>
      </c>
      <c r="AI16" s="499">
        <v>0</v>
      </c>
      <c r="AJ16" s="541">
        <v>4430.75</v>
      </c>
      <c r="AK16" s="541">
        <v>17</v>
      </c>
      <c r="AL16" s="494">
        <f>SUM(Table157[[#This Row],[Nicor Initiated DBE]:[Staffing]])/(Table157[[#This Row],[Amount Invoiced]])</f>
        <v>6.4824134320707411E-2</v>
      </c>
      <c r="AM16" s="21" t="s">
        <v>116</v>
      </c>
      <c r="AN16" s="680">
        <v>45349</v>
      </c>
      <c r="AO16" s="681">
        <v>11079278</v>
      </c>
      <c r="AP16" s="538">
        <v>456995.48</v>
      </c>
      <c r="AQ16" s="538"/>
      <c r="AR16" s="538">
        <v>231428.89</v>
      </c>
      <c r="AS16" s="538">
        <f>IF(Table157[[#This Row],[PCTS Approved]]="N",0,Table157[[#This Row],[Investment Amount (1'#'#'#'#'#)]]+Table157[[#This Row],[Retirement Amount (3'#'#'#'#'#)]])</f>
        <v>688424.37</v>
      </c>
      <c r="AT16" s="538">
        <f>IF(Table157[[#This Row],[Approved Construction Cost]]=0,0,Table157[[#This Row],[Approved Construction Cost]]-Table157[[#This Row],[Construction Cost to Bill From]])</f>
        <v>2298.7399999999907</v>
      </c>
      <c r="AU16" s="556">
        <f>IFERROR(Table157[[#This Row],[Difference in Construction Cost]]*Table157[[#This Row],[Rate]],Table157[[#This Row],[Difference in Construction Cost]]*0.085)</f>
        <v>229.87399999999909</v>
      </c>
      <c r="AV16" s="682">
        <v>0</v>
      </c>
      <c r="AW16" s="660" t="s">
        <v>852</v>
      </c>
      <c r="AX16" s="538">
        <v>229.87</v>
      </c>
      <c r="AY16" s="636">
        <v>45566</v>
      </c>
      <c r="AZ16" s="443">
        <v>119</v>
      </c>
      <c r="BA16" s="334" t="s">
        <v>4</v>
      </c>
      <c r="BB16" s="651" t="s">
        <v>853</v>
      </c>
      <c r="BC16" s="644" t="s">
        <v>854</v>
      </c>
      <c r="BD16" s="479" t="s">
        <v>709</v>
      </c>
      <c r="BE16" s="554" t="s">
        <v>709</v>
      </c>
      <c r="BF16" s="588" t="s">
        <v>855</v>
      </c>
      <c r="BG16" s="588" t="s">
        <v>709</v>
      </c>
      <c r="BH16" s="483" t="s">
        <v>709</v>
      </c>
      <c r="BI16" s="487" t="s">
        <v>856</v>
      </c>
      <c r="BJ16" s="511" t="s">
        <v>709</v>
      </c>
      <c r="BK16" s="623" t="s">
        <v>709</v>
      </c>
      <c r="BL16" s="546" t="s">
        <v>709</v>
      </c>
      <c r="BM16" s="546" t="s">
        <v>116</v>
      </c>
      <c r="BN16" s="622" t="s">
        <v>709</v>
      </c>
      <c r="BO16" s="623" t="s">
        <v>709</v>
      </c>
      <c r="BP16" s="622" t="s">
        <v>709</v>
      </c>
      <c r="BQ16" s="622" t="s">
        <v>709</v>
      </c>
      <c r="BR16" s="623" t="s">
        <v>709</v>
      </c>
      <c r="BS16" s="623" t="s">
        <v>709</v>
      </c>
      <c r="BT16" s="623">
        <v>1090</v>
      </c>
      <c r="BU16" s="623" t="s">
        <v>745</v>
      </c>
      <c r="BV16" s="623" t="s">
        <v>709</v>
      </c>
      <c r="BW16" s="623" t="s">
        <v>709</v>
      </c>
      <c r="BX16" s="623" t="s">
        <v>709</v>
      </c>
      <c r="BY16" s="546" t="s">
        <v>745</v>
      </c>
      <c r="BZ16" s="623" t="s">
        <v>745</v>
      </c>
      <c r="CA16" s="506"/>
    </row>
    <row r="17" spans="1:79" ht="15" hidden="1" customHeight="1" x14ac:dyDescent="0.25">
      <c r="A17" s="8" t="s">
        <v>800</v>
      </c>
      <c r="B17" s="8" t="s">
        <v>4</v>
      </c>
      <c r="C17" s="656" t="s">
        <v>857</v>
      </c>
      <c r="D17" s="8" t="s">
        <v>858</v>
      </c>
      <c r="E17" s="8" t="s">
        <v>859</v>
      </c>
      <c r="F17" s="8" t="s">
        <v>851</v>
      </c>
      <c r="G17" s="8" t="s">
        <v>25</v>
      </c>
      <c r="H17" s="8" t="s">
        <v>59</v>
      </c>
      <c r="I17" s="642">
        <v>45191</v>
      </c>
      <c r="J17" s="18">
        <v>45303</v>
      </c>
      <c r="K17" s="97">
        <v>45294</v>
      </c>
      <c r="L17" s="16">
        <f>IF(ISTEXT(Table157[[#This Row],[Engineering Approved Design Date]]),Table157[[#This Row],[Date Completed]]-Table157[[#This Row],[Date Assigned to Designer]],Table157[[#This Row],[Engineering Approved Design Date]]-Table157[[#This Row],[Date Completed]])</f>
        <v>9</v>
      </c>
      <c r="M17" s="642"/>
      <c r="N17" s="642" t="s">
        <v>120</v>
      </c>
      <c r="O17" s="510">
        <v>45323</v>
      </c>
      <c r="P17" s="221" t="s">
        <v>739</v>
      </c>
      <c r="Q17" s="74">
        <f>Table157[[#This Row],[Rate]]*Table157[[#This Row],[Construction Cost to Bill From]]</f>
        <v>128020.91400000002</v>
      </c>
      <c r="R17" s="75">
        <v>0.1</v>
      </c>
      <c r="U17" s="87"/>
      <c r="V17" s="437">
        <v>4285</v>
      </c>
      <c r="W17" s="437">
        <v>0</v>
      </c>
      <c r="X17" s="220">
        <v>837750.8</v>
      </c>
      <c r="Y17" s="551"/>
      <c r="Z17" s="570">
        <v>442458.34</v>
      </c>
      <c r="AA17" s="300">
        <f>SUM(Table157[[#This Row],[PCTS Investment Amount]:[PCTS Retirement Amount]])</f>
        <v>1280209.1400000001</v>
      </c>
      <c r="AB17" s="207">
        <v>45273</v>
      </c>
      <c r="AC17" s="108" t="s">
        <v>709</v>
      </c>
      <c r="AD17" s="108" t="s">
        <v>116</v>
      </c>
      <c r="AE17" s="187" t="s">
        <v>756</v>
      </c>
      <c r="AF17" s="568" t="s">
        <v>116</v>
      </c>
      <c r="AG17" s="568" t="s">
        <v>376</v>
      </c>
      <c r="AH17" s="356">
        <v>45308</v>
      </c>
      <c r="AI17" s="499">
        <v>0</v>
      </c>
      <c r="AJ17" s="541">
        <v>5175.75</v>
      </c>
      <c r="AK17" s="541">
        <v>3424</v>
      </c>
      <c r="AL17" s="494">
        <f>SUM(Table157[[#This Row],[Nicor Initiated DBE]:[Staffing]])/(Table157[[#This Row],[Amount Invoiced]])</f>
        <v>6.7174571179830805E-2</v>
      </c>
      <c r="AM17" s="21" t="s">
        <v>116</v>
      </c>
      <c r="AN17" s="680">
        <v>45356</v>
      </c>
      <c r="AO17" s="681">
        <v>11079547</v>
      </c>
      <c r="AP17" s="538">
        <v>846228.66</v>
      </c>
      <c r="AQ17" s="538"/>
      <c r="AR17" s="538">
        <v>442231.03</v>
      </c>
      <c r="AS17" s="538">
        <f>IF(Table157[[#This Row],[PCTS Approved]]="N",0,Table157[[#This Row],[Investment Amount (1'#'#'#'#'#)]]+Table157[[#This Row],[Retirement Amount (3'#'#'#'#'#)]])</f>
        <v>1288459.69</v>
      </c>
      <c r="AT17" s="538">
        <f>IF(Table157[[#This Row],[Approved Construction Cost]]=0,0,Table157[[#This Row],[Approved Construction Cost]]-Table157[[#This Row],[Construction Cost to Bill From]])</f>
        <v>8250.5499999998137</v>
      </c>
      <c r="AU17" s="556">
        <f>IFERROR(Table157[[#This Row],[Difference in Construction Cost]]*Table157[[#This Row],[Rate]],Table157[[#This Row],[Difference in Construction Cost]]*0.085)</f>
        <v>825.05499999998142</v>
      </c>
      <c r="AV17" s="682">
        <v>0</v>
      </c>
      <c r="AW17" s="660" t="s">
        <v>785</v>
      </c>
      <c r="AX17" s="538">
        <v>825.05</v>
      </c>
      <c r="AY17" s="636">
        <v>45566</v>
      </c>
      <c r="AZ17" s="443">
        <v>116</v>
      </c>
      <c r="BA17" s="334" t="s">
        <v>4</v>
      </c>
      <c r="BB17" s="651" t="s">
        <v>860</v>
      </c>
      <c r="BC17" s="644" t="s">
        <v>861</v>
      </c>
      <c r="BD17" s="479" t="s">
        <v>709</v>
      </c>
      <c r="BE17" s="554" t="s">
        <v>862</v>
      </c>
      <c r="BF17" s="588" t="s">
        <v>863</v>
      </c>
      <c r="BG17" s="588" t="s">
        <v>709</v>
      </c>
      <c r="BH17" s="483" t="s">
        <v>709</v>
      </c>
      <c r="BI17" s="487" t="s">
        <v>864</v>
      </c>
      <c r="BJ17" s="511" t="s">
        <v>709</v>
      </c>
      <c r="BK17" s="623" t="s">
        <v>709</v>
      </c>
      <c r="BL17" s="546" t="s">
        <v>709</v>
      </c>
      <c r="BM17" s="546" t="s">
        <v>116</v>
      </c>
      <c r="BN17" s="622" t="s">
        <v>709</v>
      </c>
      <c r="BO17" s="623" t="s">
        <v>709</v>
      </c>
      <c r="BP17" s="622" t="s">
        <v>709</v>
      </c>
      <c r="BQ17" s="622" t="s">
        <v>709</v>
      </c>
      <c r="BR17" s="623" t="s">
        <v>709</v>
      </c>
      <c r="BS17" s="623" t="s">
        <v>709</v>
      </c>
      <c r="BT17" s="623">
        <v>4285</v>
      </c>
      <c r="BU17" s="623" t="s">
        <v>745</v>
      </c>
      <c r="BV17" s="623" t="s">
        <v>709</v>
      </c>
      <c r="BW17" s="623" t="s">
        <v>745</v>
      </c>
      <c r="BX17" s="623" t="s">
        <v>709</v>
      </c>
      <c r="BY17" s="546" t="s">
        <v>745</v>
      </c>
      <c r="BZ17" s="623" t="s">
        <v>745</v>
      </c>
      <c r="CA17" s="506"/>
    </row>
    <row r="18" spans="1:79" ht="15" hidden="1" customHeight="1" x14ac:dyDescent="0.25">
      <c r="A18" s="8" t="s">
        <v>749</v>
      </c>
      <c r="B18" s="8" t="s">
        <v>4</v>
      </c>
      <c r="C18" s="656" t="s">
        <v>865</v>
      </c>
      <c r="D18" s="8" t="s">
        <v>866</v>
      </c>
      <c r="E18" s="8" t="s">
        <v>867</v>
      </c>
      <c r="F18" s="8" t="s">
        <v>851</v>
      </c>
      <c r="G18" s="8" t="s">
        <v>28</v>
      </c>
      <c r="H18" s="8" t="s">
        <v>59</v>
      </c>
      <c r="I18" s="642">
        <v>45103</v>
      </c>
      <c r="J18" s="175">
        <v>45299</v>
      </c>
      <c r="K18" s="97">
        <v>45282</v>
      </c>
      <c r="L18" s="16">
        <f>IF(ISTEXT(Table157[[#This Row],[Engineering Approved Design Date]]),Table157[[#This Row],[Date Completed]]-Table157[[#This Row],[Date Assigned to Designer]],Table157[[#This Row],[Engineering Approved Design Date]]-Table157[[#This Row],[Date Completed]])</f>
        <v>17</v>
      </c>
      <c r="M18" s="642"/>
      <c r="N18" s="642" t="s">
        <v>120</v>
      </c>
      <c r="O18" s="510">
        <v>45292</v>
      </c>
      <c r="P18" s="221" t="s">
        <v>739</v>
      </c>
      <c r="Q18" s="343">
        <f>Table157[[#This Row],[Rate]]*Table157[[#This Row],[Construction Cost to Bill From]]</f>
        <v>15738.49</v>
      </c>
      <c r="R18" s="75">
        <v>0.1</v>
      </c>
      <c r="U18" s="87"/>
      <c r="V18" s="437">
        <v>458</v>
      </c>
      <c r="W18" s="437">
        <v>0</v>
      </c>
      <c r="X18" s="70">
        <v>127620.77</v>
      </c>
      <c r="Y18" s="551"/>
      <c r="Z18" s="570">
        <v>29764.13</v>
      </c>
      <c r="AA18" s="300">
        <f>SUM(Table157[[#This Row],[PCTS Investment Amount]:[PCTS Retirement Amount]])</f>
        <v>157384.9</v>
      </c>
      <c r="AB18" s="207">
        <v>45294</v>
      </c>
      <c r="AC18" s="108" t="s">
        <v>709</v>
      </c>
      <c r="AD18" s="108" t="s">
        <v>29</v>
      </c>
      <c r="AE18" s="187" t="s">
        <v>116</v>
      </c>
      <c r="AF18" s="568" t="s">
        <v>116</v>
      </c>
      <c r="AG18" s="568" t="s">
        <v>116</v>
      </c>
      <c r="AH18" s="356">
        <v>45308</v>
      </c>
      <c r="AI18" s="499">
        <v>0</v>
      </c>
      <c r="AJ18" s="541">
        <v>849.32</v>
      </c>
      <c r="AK18" s="541">
        <v>492</v>
      </c>
      <c r="AL18" s="494">
        <f>SUM(Table157[[#This Row],[Nicor Initiated DBE]:[Staffing]])/(Table157[[#This Row],[Amount Invoiced]])</f>
        <v>8.5225456825908971E-2</v>
      </c>
      <c r="AM18" s="21" t="s">
        <v>116</v>
      </c>
      <c r="AN18" s="680">
        <v>45359</v>
      </c>
      <c r="AO18" s="681">
        <v>11079675</v>
      </c>
      <c r="AP18" s="538">
        <v>133514.34</v>
      </c>
      <c r="AQ18" s="718"/>
      <c r="AR18" s="538">
        <v>26077.23</v>
      </c>
      <c r="AS18" s="538">
        <f>IF(Table157[[#This Row],[PCTS Approved]]="N",0,Table157[[#This Row],[Investment Amount (1'#'#'#'#'#)]]+Table157[[#This Row],[Retirement Amount (3'#'#'#'#'#)]])</f>
        <v>159591.57</v>
      </c>
      <c r="AT18" s="538">
        <f>IF(Table157[[#This Row],[Approved Construction Cost]]=0,0,Table157[[#This Row],[Approved Construction Cost]]-Table157[[#This Row],[Construction Cost to Bill From]])</f>
        <v>2206.6700000000128</v>
      </c>
      <c r="AU18" s="538">
        <f>IFERROR(Table157[[#This Row],[Difference in Construction Cost]]*Table157[[#This Row],[Rate]],Table157[[#This Row],[Difference in Construction Cost]]*0.085)</f>
        <v>220.66700000000128</v>
      </c>
      <c r="AV18" s="682">
        <v>1332.5</v>
      </c>
      <c r="AW18" s="660" t="s">
        <v>868</v>
      </c>
      <c r="AX18" s="538">
        <v>0</v>
      </c>
      <c r="AY18" s="636">
        <v>45566</v>
      </c>
      <c r="AZ18" s="443">
        <v>113</v>
      </c>
      <c r="BA18" s="334" t="s">
        <v>4</v>
      </c>
      <c r="BB18" s="651" t="s">
        <v>869</v>
      </c>
      <c r="BC18" s="644" t="s">
        <v>870</v>
      </c>
      <c r="BD18" s="479" t="s">
        <v>116</v>
      </c>
      <c r="BE18" s="554" t="s">
        <v>709</v>
      </c>
      <c r="BF18" s="588" t="s">
        <v>871</v>
      </c>
      <c r="BG18" s="588" t="s">
        <v>709</v>
      </c>
      <c r="BH18" s="483" t="s">
        <v>709</v>
      </c>
      <c r="BI18" s="487" t="s">
        <v>872</v>
      </c>
      <c r="BJ18" s="511" t="s">
        <v>709</v>
      </c>
      <c r="BK18" s="623" t="s">
        <v>709</v>
      </c>
      <c r="BL18" s="546" t="s">
        <v>709</v>
      </c>
      <c r="BM18" s="546" t="s">
        <v>116</v>
      </c>
      <c r="BN18" s="622" t="s">
        <v>709</v>
      </c>
      <c r="BO18" s="623" t="s">
        <v>709</v>
      </c>
      <c r="BP18" s="622" t="s">
        <v>709</v>
      </c>
      <c r="BQ18" s="622" t="s">
        <v>709</v>
      </c>
      <c r="BR18" s="623" t="s">
        <v>709</v>
      </c>
      <c r="BS18" s="623">
        <v>458</v>
      </c>
      <c r="BT18" s="623" t="s">
        <v>709</v>
      </c>
      <c r="BU18" s="623" t="s">
        <v>745</v>
      </c>
      <c r="BV18" s="623" t="s">
        <v>709</v>
      </c>
      <c r="BW18" s="623" t="s">
        <v>745</v>
      </c>
      <c r="BX18" s="623" t="s">
        <v>709</v>
      </c>
      <c r="BY18" s="546" t="s">
        <v>745</v>
      </c>
      <c r="BZ18" s="623" t="s">
        <v>745</v>
      </c>
      <c r="CA18" s="506"/>
    </row>
    <row r="19" spans="1:79" ht="15" hidden="1" customHeight="1" x14ac:dyDescent="0.25">
      <c r="A19" s="8" t="s">
        <v>781</v>
      </c>
      <c r="B19" s="8" t="s">
        <v>4</v>
      </c>
      <c r="C19" s="656" t="s">
        <v>873</v>
      </c>
      <c r="D19" s="8" t="s">
        <v>874</v>
      </c>
      <c r="E19" s="8" t="s">
        <v>104</v>
      </c>
      <c r="F19" s="8" t="s">
        <v>738</v>
      </c>
      <c r="G19" s="8" t="s">
        <v>39</v>
      </c>
      <c r="H19" s="8" t="s">
        <v>59</v>
      </c>
      <c r="I19" s="642">
        <v>43887</v>
      </c>
      <c r="J19" s="18">
        <v>44805</v>
      </c>
      <c r="K19" s="97">
        <v>44783</v>
      </c>
      <c r="L19" s="16">
        <f>IF(ISTEXT(Table157[[#This Row],[Engineering Approved Design Date]]),Table157[[#This Row],[Date Completed]]-Table157[[#This Row],[Date Assigned to Designer]],Table157[[#This Row],[Engineering Approved Design Date]]-Table157[[#This Row],[Date Completed]])</f>
        <v>22</v>
      </c>
      <c r="M19" s="642"/>
      <c r="N19" s="642" t="s">
        <v>120</v>
      </c>
      <c r="O19" s="534">
        <f>Table157[[#This Row],[Date Completed]]</f>
        <v>44783</v>
      </c>
      <c r="P19" s="68" t="s">
        <v>739</v>
      </c>
      <c r="Q19" s="375">
        <f>R19*AA19</f>
        <v>125940.702</v>
      </c>
      <c r="R19" s="75">
        <v>0.1</v>
      </c>
      <c r="U19" s="87"/>
      <c r="V19" s="437">
        <v>2270</v>
      </c>
      <c r="X19" s="94">
        <v>1015048.15</v>
      </c>
      <c r="Y19" s="592"/>
      <c r="Z19" s="552">
        <v>244358.87</v>
      </c>
      <c r="AA19" s="300">
        <f>Table157[[#This Row],[PCTS Investment Amount]]+Table157[[#This Row],[PCTS Retirement Amount]]</f>
        <v>1259407.02</v>
      </c>
      <c r="AB19" s="208">
        <v>44788</v>
      </c>
      <c r="AC19" s="109" t="s">
        <v>116</v>
      </c>
      <c r="AD19" s="109"/>
      <c r="AE19" s="349"/>
      <c r="AF19" s="579"/>
      <c r="AG19" s="579"/>
      <c r="AH19" s="354"/>
      <c r="AI19" s="489"/>
      <c r="AJ19" s="553"/>
      <c r="AK19" s="553"/>
      <c r="AL19" s="495">
        <f>SUM(Table157[[#This Row],[Nicor Initiated DBE]:[Staffing]])/(Table157[[#This Row],[Amount Invoiced]])</f>
        <v>0</v>
      </c>
      <c r="AM19" s="21" t="s">
        <v>116</v>
      </c>
      <c r="AN19" s="680">
        <v>45363</v>
      </c>
      <c r="AO19" s="681">
        <v>11031424</v>
      </c>
      <c r="AP19" s="538">
        <v>1545806.63</v>
      </c>
      <c r="AQ19" s="718"/>
      <c r="AR19" s="538">
        <v>253895.6</v>
      </c>
      <c r="AS19" s="538">
        <f>IF(Table157[[#This Row],[PCTS Approved]]="N",0,Table157[[#This Row],[Investment Amount (1'#'#'#'#'#)]]+Table157[[#This Row],[Retirement Amount (3'#'#'#'#'#)]])</f>
        <v>1799702.23</v>
      </c>
      <c r="AT19" s="538">
        <f>IF(Table157[[#This Row],[Approved Construction Cost]]=0,0,Table157[[#This Row],[Approved Construction Cost]]-Table157[[#This Row],[Construction Cost to Bill From]])</f>
        <v>540295.21</v>
      </c>
      <c r="AU19" s="538">
        <f>IFERROR(Table157[[#This Row],[Difference in Construction Cost]]*Table157[[#This Row],[Rate]],Table157[[#This Row],[Difference in Construction Cost]]*0.085)</f>
        <v>54029.521000000001</v>
      </c>
      <c r="AV19" s="682">
        <v>18355</v>
      </c>
      <c r="AW19" s="660" t="s">
        <v>875</v>
      </c>
      <c r="AX19" s="538">
        <v>0</v>
      </c>
      <c r="AY19" s="636">
        <v>45566</v>
      </c>
      <c r="AZ19" s="443">
        <v>70</v>
      </c>
      <c r="BA19" s="334" t="s">
        <v>4</v>
      </c>
      <c r="BB19" s="652" t="s">
        <v>876</v>
      </c>
      <c r="BC19" s="644" t="s">
        <v>877</v>
      </c>
      <c r="BD19" s="478" t="s">
        <v>116</v>
      </c>
      <c r="BE19" s="544" t="s">
        <v>115</v>
      </c>
      <c r="BF19" s="544" t="s">
        <v>376</v>
      </c>
      <c r="BG19" s="544" t="s">
        <v>115</v>
      </c>
      <c r="BH19" s="512" t="s">
        <v>115</v>
      </c>
      <c r="BI19" s="545"/>
      <c r="BJ19" s="511" t="s">
        <v>709</v>
      </c>
      <c r="BK19" s="546" t="s">
        <v>709</v>
      </c>
      <c r="BL19" s="546" t="s">
        <v>709</v>
      </c>
      <c r="BM19" s="546" t="s">
        <v>116</v>
      </c>
      <c r="BN19" s="546" t="s">
        <v>709</v>
      </c>
      <c r="BO19" s="546" t="s">
        <v>709</v>
      </c>
      <c r="BP19" s="546" t="s">
        <v>709</v>
      </c>
      <c r="BQ19" s="546">
        <v>1708</v>
      </c>
      <c r="BR19" s="546" t="s">
        <v>709</v>
      </c>
      <c r="BS19" s="546" t="s">
        <v>709</v>
      </c>
      <c r="BT19" s="546">
        <v>562</v>
      </c>
      <c r="BU19" s="546" t="s">
        <v>745</v>
      </c>
      <c r="BV19" s="546" t="s">
        <v>709</v>
      </c>
      <c r="BW19" s="546" t="s">
        <v>745</v>
      </c>
      <c r="BX19" s="546" t="s">
        <v>709</v>
      </c>
      <c r="BY19" s="546" t="s">
        <v>745</v>
      </c>
      <c r="BZ19" s="546" t="s">
        <v>745</v>
      </c>
      <c r="CA19" s="506"/>
    </row>
    <row r="20" spans="1:79" s="646" customFormat="1" ht="15" hidden="1" customHeight="1" x14ac:dyDescent="0.25">
      <c r="A20" s="8">
        <v>2023</v>
      </c>
      <c r="B20" s="8" t="s">
        <v>771</v>
      </c>
      <c r="C20" s="8" t="s">
        <v>283</v>
      </c>
      <c r="D20" s="656" t="s">
        <v>878</v>
      </c>
      <c r="E20" s="8" t="s">
        <v>284</v>
      </c>
      <c r="F20" s="8" t="s">
        <v>747</v>
      </c>
      <c r="G20" s="8" t="s">
        <v>36</v>
      </c>
      <c r="H20" s="8" t="s">
        <v>59</v>
      </c>
      <c r="I20" s="642">
        <v>44875</v>
      </c>
      <c r="J20" s="18">
        <v>44981</v>
      </c>
      <c r="K20" s="97">
        <v>44970</v>
      </c>
      <c r="L20" s="16">
        <f>IF(ISTEXT(Table157[[#This Row],[Engineering Approved Design Date]]),Table157[[#This Row],[Date Completed]]-Table157[[#This Row],[Date Assigned to Designer]],Table157[[#This Row],[Engineering Approved Design Date]]-Table157[[#This Row],[Date Completed]])</f>
        <v>11</v>
      </c>
      <c r="M20" s="642"/>
      <c r="N20" s="642" t="s">
        <v>120</v>
      </c>
      <c r="O20" s="510">
        <f>Table157[[#This Row],[Date Completed]]</f>
        <v>44970</v>
      </c>
      <c r="P20" s="221" t="s">
        <v>120</v>
      </c>
      <c r="Q20" s="375">
        <f>R20*AA20</f>
        <v>39204.328500000003</v>
      </c>
      <c r="R20" s="77">
        <v>0.09</v>
      </c>
      <c r="S20" s="24"/>
      <c r="T20" s="538"/>
      <c r="U20" s="87"/>
      <c r="V20" s="437">
        <v>962</v>
      </c>
      <c r="W20" s="437"/>
      <c r="X20" s="94">
        <v>412849.09</v>
      </c>
      <c r="Y20" s="592"/>
      <c r="Z20" s="552">
        <v>22754.560000000001</v>
      </c>
      <c r="AA20" s="300">
        <f>Table157[[#This Row],[PCTS Investment Amount]]+Table157[[#This Row],[PCTS Retirement Amount]]</f>
        <v>435603.65</v>
      </c>
      <c r="AB20" s="207">
        <v>44977</v>
      </c>
      <c r="AC20" s="108" t="s">
        <v>116</v>
      </c>
      <c r="AD20" s="108" t="s">
        <v>116</v>
      </c>
      <c r="AE20" s="349"/>
      <c r="AF20" s="579"/>
      <c r="AG20" s="579"/>
      <c r="AH20" s="354"/>
      <c r="AI20" s="341"/>
      <c r="AJ20" s="183"/>
      <c r="AK20" s="183"/>
      <c r="AL20" s="494">
        <f>SUM(Table157[[#This Row],[Nicor Initiated DBE]:[Staffing]])/(Table157[[#This Row],[Amount Invoiced]])</f>
        <v>0</v>
      </c>
      <c r="AM20" s="21" t="s">
        <v>116</v>
      </c>
      <c r="AN20" s="710">
        <v>45364</v>
      </c>
      <c r="AO20" s="711">
        <v>11079903</v>
      </c>
      <c r="AP20" s="538">
        <v>473425.15</v>
      </c>
      <c r="AQ20" s="682"/>
      <c r="AR20" s="538">
        <v>23426.91</v>
      </c>
      <c r="AS20" s="538">
        <f>IF(Table157[[#This Row],[PCTS Approved]]="N",0,Table157[[#This Row],[Investment Amount (1'#'#'#'#'#)]]+Table157[[#This Row],[Retirement Amount (3'#'#'#'#'#)]])</f>
        <v>496852.06</v>
      </c>
      <c r="AT20" s="538">
        <f>IF(Table157[[#This Row],[Approved Construction Cost]]=0,0,Table157[[#This Row],[Approved Construction Cost]]-Table157[[#This Row],[Construction Cost to Bill From]])</f>
        <v>61248.409999999974</v>
      </c>
      <c r="AU20" s="538">
        <f>IFERROR(Table157[[#This Row],[Difference in Construction Cost]]*Table157[[#This Row],[Rate]],Table157[[#This Row],[Difference in Construction Cost]]*0.085)</f>
        <v>5512.356899999997</v>
      </c>
      <c r="AV20" s="712">
        <v>21680</v>
      </c>
      <c r="AW20" s="713" t="s">
        <v>879</v>
      </c>
      <c r="AX20" s="538">
        <v>0</v>
      </c>
      <c r="AY20" s="636">
        <v>45566</v>
      </c>
      <c r="AZ20" s="443">
        <v>34</v>
      </c>
      <c r="BA20" s="334" t="s">
        <v>3</v>
      </c>
      <c r="BB20" s="652" t="s">
        <v>880</v>
      </c>
      <c r="BC20" s="644" t="s">
        <v>881</v>
      </c>
      <c r="BD20" s="478" t="s">
        <v>709</v>
      </c>
      <c r="BE20" s="544" t="s">
        <v>882</v>
      </c>
      <c r="BF20" s="544" t="s">
        <v>883</v>
      </c>
      <c r="BG20" s="544" t="s">
        <v>115</v>
      </c>
      <c r="BH20" s="512" t="s">
        <v>115</v>
      </c>
      <c r="BI20" s="645" t="s">
        <v>884</v>
      </c>
      <c r="BJ20" s="511" t="s">
        <v>709</v>
      </c>
      <c r="BK20" s="546" t="s">
        <v>709</v>
      </c>
      <c r="BL20" s="546" t="s">
        <v>709</v>
      </c>
      <c r="BM20" s="546" t="s">
        <v>116</v>
      </c>
      <c r="BN20" s="546" t="s">
        <v>709</v>
      </c>
      <c r="BO20" s="546" t="s">
        <v>709</v>
      </c>
      <c r="BP20" s="546" t="s">
        <v>709</v>
      </c>
      <c r="BQ20" s="546">
        <v>962</v>
      </c>
      <c r="BR20" s="546" t="s">
        <v>709</v>
      </c>
      <c r="BS20" s="546" t="s">
        <v>709</v>
      </c>
      <c r="BT20" s="546" t="s">
        <v>709</v>
      </c>
      <c r="BU20" s="546" t="s">
        <v>709</v>
      </c>
      <c r="BV20" s="546" t="s">
        <v>709</v>
      </c>
      <c r="BW20" s="546" t="s">
        <v>709</v>
      </c>
      <c r="BX20" s="546" t="s">
        <v>709</v>
      </c>
      <c r="BY20" s="546" t="s">
        <v>745</v>
      </c>
      <c r="BZ20" s="546" t="s">
        <v>709</v>
      </c>
      <c r="CA20" s="506"/>
    </row>
    <row r="21" spans="1:79" ht="15" hidden="1" customHeight="1" x14ac:dyDescent="0.25">
      <c r="A21" s="8">
        <v>2023</v>
      </c>
      <c r="B21" s="8" t="s">
        <v>771</v>
      </c>
      <c r="C21" s="8" t="s">
        <v>885</v>
      </c>
      <c r="D21" s="8" t="s">
        <v>886</v>
      </c>
      <c r="E21" s="8" t="s">
        <v>887</v>
      </c>
      <c r="F21" s="8" t="s">
        <v>784</v>
      </c>
      <c r="G21" s="8" t="s">
        <v>32</v>
      </c>
      <c r="H21" s="8" t="s">
        <v>59</v>
      </c>
      <c r="I21" s="642">
        <v>44862</v>
      </c>
      <c r="J21" s="18">
        <v>44926</v>
      </c>
      <c r="K21" s="97">
        <v>44922</v>
      </c>
      <c r="L21" s="16">
        <f>IF(ISTEXT(Table157[[#This Row],[Engineering Approved Design Date]]),Table157[[#This Row],[Date Completed]]-Table157[[#This Row],[Date Assigned to Designer]],Table157[[#This Row],[Engineering Approved Design Date]]-Table157[[#This Row],[Date Completed]])</f>
        <v>4</v>
      </c>
      <c r="M21" s="642"/>
      <c r="N21" s="642" t="s">
        <v>120</v>
      </c>
      <c r="O21" s="510">
        <v>44928</v>
      </c>
      <c r="P21" s="221" t="s">
        <v>120</v>
      </c>
      <c r="Q21" s="375">
        <f>R21*AA21</f>
        <v>19625.104800000001</v>
      </c>
      <c r="R21" s="75">
        <v>0.09</v>
      </c>
      <c r="U21" s="87"/>
      <c r="V21" s="437">
        <v>780</v>
      </c>
      <c r="W21" s="437">
        <v>0</v>
      </c>
      <c r="X21" s="94">
        <v>196578</v>
      </c>
      <c r="Y21" s="592"/>
      <c r="Z21" s="552">
        <v>21478.720000000001</v>
      </c>
      <c r="AA21" s="300">
        <f>Table157[[#This Row],[PCTS Investment Amount]]+Table157[[#This Row],[PCTS Retirement Amount]]</f>
        <v>218056.72</v>
      </c>
      <c r="AB21" s="207">
        <v>44929</v>
      </c>
      <c r="AC21" s="108" t="s">
        <v>709</v>
      </c>
      <c r="AD21" s="108" t="s">
        <v>116</v>
      </c>
      <c r="AE21" s="349"/>
      <c r="AF21" s="579"/>
      <c r="AG21" s="579"/>
      <c r="AH21" s="354"/>
      <c r="AI21" s="341"/>
      <c r="AJ21" s="183"/>
      <c r="AK21" s="183"/>
      <c r="AL21" s="494">
        <f>SUM(Table157[[#This Row],[Nicor Initiated DBE]:[Staffing]])/(Table157[[#This Row],[Amount Invoiced]])</f>
        <v>0</v>
      </c>
      <c r="AM21" s="21" t="s">
        <v>116</v>
      </c>
      <c r="AN21" s="710">
        <v>45365</v>
      </c>
      <c r="AO21" s="711">
        <v>11079905</v>
      </c>
      <c r="AP21" s="538">
        <v>205113.92</v>
      </c>
      <c r="AQ21" s="712"/>
      <c r="AR21" s="538">
        <v>23188.47</v>
      </c>
      <c r="AS21" s="538">
        <f>IF(Table157[[#This Row],[PCTS Approved]]="N",0,Table157[[#This Row],[Investment Amount (1'#'#'#'#'#)]]+Table157[[#This Row],[Retirement Amount (3'#'#'#'#'#)]])</f>
        <v>228302.39</v>
      </c>
      <c r="AT21" s="538">
        <f>IF(Table157[[#This Row],[Approved Construction Cost]]=0,0,Table157[[#This Row],[Approved Construction Cost]]-Table157[[#This Row],[Construction Cost to Bill From]])</f>
        <v>10245.670000000013</v>
      </c>
      <c r="AU21" s="538">
        <f>IFERROR(Table157[[#This Row],[Difference in Construction Cost]]*Table157[[#This Row],[Rate]],Table157[[#This Row],[Difference in Construction Cost]]*0.085)</f>
        <v>922.11030000000108</v>
      </c>
      <c r="AV21" s="712">
        <v>4252.5</v>
      </c>
      <c r="AW21" s="717" t="s">
        <v>888</v>
      </c>
      <c r="AX21" s="538">
        <v>0</v>
      </c>
      <c r="AY21" s="636">
        <v>45566</v>
      </c>
      <c r="AZ21" s="443">
        <v>32</v>
      </c>
      <c r="BA21" s="334" t="s">
        <v>3</v>
      </c>
      <c r="BB21" s="652" t="s">
        <v>889</v>
      </c>
      <c r="BC21" s="644" t="s">
        <v>890</v>
      </c>
      <c r="BD21" s="478" t="s">
        <v>709</v>
      </c>
      <c r="BE21" s="544" t="s">
        <v>115</v>
      </c>
      <c r="BF21" s="544" t="s">
        <v>891</v>
      </c>
      <c r="BG21" s="544" t="s">
        <v>115</v>
      </c>
      <c r="BH21" s="512" t="s">
        <v>115</v>
      </c>
      <c r="BI21" s="645"/>
      <c r="BJ21" s="511" t="s">
        <v>709</v>
      </c>
      <c r="BK21" s="546" t="s">
        <v>709</v>
      </c>
      <c r="BL21" s="546" t="s">
        <v>709</v>
      </c>
      <c r="BM21" s="546" t="s">
        <v>116</v>
      </c>
      <c r="BN21" s="546" t="s">
        <v>709</v>
      </c>
      <c r="BO21" s="546" t="s">
        <v>709</v>
      </c>
      <c r="BP21" s="546" t="s">
        <v>709</v>
      </c>
      <c r="BQ21" s="546" t="s">
        <v>709</v>
      </c>
      <c r="BR21" s="546" t="s">
        <v>709</v>
      </c>
      <c r="BS21" s="546">
        <v>136</v>
      </c>
      <c r="BT21" s="546">
        <v>644</v>
      </c>
      <c r="BU21" s="546" t="s">
        <v>745</v>
      </c>
      <c r="BV21" s="546" t="s">
        <v>709</v>
      </c>
      <c r="BW21" s="546" t="s">
        <v>709</v>
      </c>
      <c r="BX21" s="546" t="s">
        <v>709</v>
      </c>
      <c r="BY21" s="546" t="s">
        <v>745</v>
      </c>
      <c r="BZ21" s="546" t="s">
        <v>745</v>
      </c>
      <c r="CA21" s="506"/>
    </row>
    <row r="22" spans="1:79" ht="15" hidden="1" customHeight="1" x14ac:dyDescent="0.25">
      <c r="A22" s="8" t="s">
        <v>749</v>
      </c>
      <c r="B22" s="8" t="s">
        <v>4</v>
      </c>
      <c r="C22" s="656" t="s">
        <v>892</v>
      </c>
      <c r="D22" s="8" t="s">
        <v>893</v>
      </c>
      <c r="E22" s="8" t="s">
        <v>402</v>
      </c>
      <c r="F22" s="8" t="s">
        <v>747</v>
      </c>
      <c r="G22" s="8" t="s">
        <v>25</v>
      </c>
      <c r="H22" s="13" t="s">
        <v>59</v>
      </c>
      <c r="I22" s="642">
        <v>45012</v>
      </c>
      <c r="J22" s="18">
        <v>45121</v>
      </c>
      <c r="K22" s="175">
        <v>45119</v>
      </c>
      <c r="L22" s="649">
        <f>IF(ISTEXT(Table157[[#This Row],[Engineering Approved Design Date]]),Table157[[#This Row],[Date Completed]]-Table157[[#This Row],[Date Assigned to Designer]],Table157[[#This Row],[Engineering Approved Design Date]]-Table157[[#This Row],[Date Completed]])</f>
        <v>2</v>
      </c>
      <c r="M22" s="642"/>
      <c r="N22" s="642" t="s">
        <v>120</v>
      </c>
      <c r="O22" s="510">
        <v>45108</v>
      </c>
      <c r="P22" s="221" t="s">
        <v>739</v>
      </c>
      <c r="Q22" s="74">
        <f>Table157[[#This Row],[Rate]]*Table157[[#This Row],[Construction Cost to Bill From]]</f>
        <v>89531.521000000008</v>
      </c>
      <c r="R22" s="75">
        <v>0.1</v>
      </c>
      <c r="U22" s="87"/>
      <c r="V22" s="437">
        <v>2738</v>
      </c>
      <c r="W22" s="437">
        <v>0</v>
      </c>
      <c r="X22" s="94">
        <v>427610.51</v>
      </c>
      <c r="Y22" s="592"/>
      <c r="Z22" s="552">
        <v>467704.7</v>
      </c>
      <c r="AA22" s="300">
        <f>SUM(Table157[[#This Row],[PCTS Investment Amount]:[PCTS Retirement Amount]])</f>
        <v>895315.21</v>
      </c>
      <c r="AB22" s="207">
        <v>45105</v>
      </c>
      <c r="AC22" s="108" t="s">
        <v>116</v>
      </c>
      <c r="AD22" s="108" t="s">
        <v>116</v>
      </c>
      <c r="AE22" s="187" t="s">
        <v>116</v>
      </c>
      <c r="AF22" s="568" t="s">
        <v>116</v>
      </c>
      <c r="AG22" s="568" t="s">
        <v>116</v>
      </c>
      <c r="AH22" s="356">
        <v>45097</v>
      </c>
      <c r="AI22" s="489"/>
      <c r="AJ22" s="553"/>
      <c r="AK22" s="553"/>
      <c r="AL22" s="495">
        <f>SUM(Table157[[#This Row],[Nicor Initiated DBE]:[Staffing]])/(Table157[[#This Row],[Amount Invoiced]])</f>
        <v>0</v>
      </c>
      <c r="AM22" s="21" t="s">
        <v>116</v>
      </c>
      <c r="AN22" s="680">
        <v>45365</v>
      </c>
      <c r="AO22" s="681">
        <v>11079930</v>
      </c>
      <c r="AP22" s="538">
        <v>440744.45</v>
      </c>
      <c r="AQ22" s="538"/>
      <c r="AR22" s="538">
        <v>472375.89</v>
      </c>
      <c r="AS22" s="538">
        <f>IF(Table157[[#This Row],[PCTS Approved]]="N",0,Table157[[#This Row],[Investment Amount (1'#'#'#'#'#)]]+Table157[[#This Row],[Retirement Amount (3'#'#'#'#'#)]])</f>
        <v>913120.34000000008</v>
      </c>
      <c r="AT22" s="538">
        <f>IF(Table157[[#This Row],[Approved Construction Cost]]=0,0,Table157[[#This Row],[Approved Construction Cost]]-Table157[[#This Row],[Construction Cost to Bill From]])</f>
        <v>17805.130000000121</v>
      </c>
      <c r="AU22" s="556">
        <f>IFERROR(Table157[[#This Row],[Difference in Construction Cost]]*Table157[[#This Row],[Rate]],Table157[[#This Row],[Difference in Construction Cost]]*0.085)</f>
        <v>1780.5130000000122</v>
      </c>
      <c r="AV22" s="682">
        <v>0</v>
      </c>
      <c r="AW22" s="683" t="s">
        <v>894</v>
      </c>
      <c r="AX22" s="538">
        <f>IFERROR(Table157[[#This Row],[Difference in Construction Cost]]*Table157[[#This Row],[Rate]],Table157[[#This Row],[Difference in Construction Cost]]*0.085)</f>
        <v>1780.5130000000122</v>
      </c>
      <c r="AY22" s="636">
        <v>45566</v>
      </c>
      <c r="AZ22" s="443">
        <v>89</v>
      </c>
      <c r="BA22" s="334" t="s">
        <v>4</v>
      </c>
      <c r="BB22" s="652" t="s">
        <v>895</v>
      </c>
      <c r="BC22" s="644" t="s">
        <v>896</v>
      </c>
      <c r="BD22" s="478"/>
      <c r="BE22" s="544"/>
      <c r="BF22" s="544" t="s">
        <v>897</v>
      </c>
      <c r="BG22" s="544" t="s">
        <v>898</v>
      </c>
      <c r="BH22" s="483" t="s">
        <v>709</v>
      </c>
      <c r="BI22" s="537" t="s">
        <v>899</v>
      </c>
      <c r="BJ22" s="511" t="s">
        <v>709</v>
      </c>
      <c r="BK22" s="546" t="s">
        <v>709</v>
      </c>
      <c r="BL22" s="546" t="s">
        <v>709</v>
      </c>
      <c r="BM22" s="546" t="s">
        <v>116</v>
      </c>
      <c r="BN22" s="546" t="s">
        <v>709</v>
      </c>
      <c r="BO22" s="546" t="s">
        <v>709</v>
      </c>
      <c r="BP22" s="546" t="s">
        <v>709</v>
      </c>
      <c r="BQ22" s="546" t="s">
        <v>709</v>
      </c>
      <c r="BR22" s="546" t="s">
        <v>709</v>
      </c>
      <c r="BS22" s="546">
        <v>2705</v>
      </c>
      <c r="BT22" s="546">
        <v>33</v>
      </c>
      <c r="BU22" s="546" t="s">
        <v>709</v>
      </c>
      <c r="BV22" s="546" t="s">
        <v>709</v>
      </c>
      <c r="BW22" s="546" t="s">
        <v>709</v>
      </c>
      <c r="BX22" s="546" t="s">
        <v>709</v>
      </c>
      <c r="BY22" s="546" t="s">
        <v>709</v>
      </c>
      <c r="BZ22" s="546" t="s">
        <v>709</v>
      </c>
      <c r="CA22" s="506"/>
    </row>
    <row r="23" spans="1:79" ht="15" hidden="1" customHeight="1" x14ac:dyDescent="0.25">
      <c r="A23" s="8" t="s">
        <v>749</v>
      </c>
      <c r="B23" s="8" t="s">
        <v>4</v>
      </c>
      <c r="C23" s="656" t="s">
        <v>900</v>
      </c>
      <c r="D23" s="8" t="s">
        <v>901</v>
      </c>
      <c r="E23" s="8" t="s">
        <v>902</v>
      </c>
      <c r="F23" s="8" t="s">
        <v>784</v>
      </c>
      <c r="G23" s="8" t="s">
        <v>27</v>
      </c>
      <c r="H23" s="8" t="s">
        <v>59</v>
      </c>
      <c r="I23" s="642">
        <v>45103</v>
      </c>
      <c r="J23" s="18">
        <v>45230</v>
      </c>
      <c r="K23" s="97">
        <v>45225</v>
      </c>
      <c r="L23" s="16">
        <f>IF(ISTEXT(Table157[[#This Row],[Engineering Approved Design Date]]),Table157[[#This Row],[Date Completed]]-Table157[[#This Row],[Date Assigned to Designer]],Table157[[#This Row],[Engineering Approved Design Date]]-Table157[[#This Row],[Date Completed]])</f>
        <v>5</v>
      </c>
      <c r="M23" s="642"/>
      <c r="N23" s="642" t="s">
        <v>120</v>
      </c>
      <c r="O23" s="510">
        <v>45231</v>
      </c>
      <c r="P23" s="221" t="s">
        <v>739</v>
      </c>
      <c r="Q23" s="74">
        <f>Table157[[#This Row],[Rate]]*Table157[[#This Row],[Construction Cost to Bill From]]</f>
        <v>82182.983000000007</v>
      </c>
      <c r="R23" s="75">
        <v>0.1</v>
      </c>
      <c r="U23" s="87"/>
      <c r="V23" s="437">
        <v>2174</v>
      </c>
      <c r="W23" s="437">
        <v>0</v>
      </c>
      <c r="X23" s="24">
        <v>714309.61</v>
      </c>
      <c r="Y23" s="551"/>
      <c r="Z23" s="552">
        <v>107520.22</v>
      </c>
      <c r="AA23" s="300">
        <f>SUM(Table157[[#This Row],[PCTS Investment Amount]:[PCTS Retirement Amount]])</f>
        <v>821829.83</v>
      </c>
      <c r="AB23" s="207">
        <v>45217</v>
      </c>
      <c r="AC23" s="108" t="s">
        <v>116</v>
      </c>
      <c r="AD23" s="108" t="s">
        <v>29</v>
      </c>
      <c r="AE23" s="187" t="s">
        <v>116</v>
      </c>
      <c r="AF23" s="568" t="s">
        <v>756</v>
      </c>
      <c r="AG23" s="183">
        <v>45371</v>
      </c>
      <c r="AH23" s="356">
        <v>45371</v>
      </c>
      <c r="AI23" s="489"/>
      <c r="AJ23" s="553"/>
      <c r="AK23" s="553"/>
      <c r="AL23" s="495">
        <f>SUM(Table157[[#This Row],[Nicor Initiated DBE]:[Staffing]])/(Table157[[#This Row],[Amount Invoiced]])</f>
        <v>0</v>
      </c>
      <c r="AM23" s="21" t="s">
        <v>116</v>
      </c>
      <c r="AN23" s="680">
        <v>45369</v>
      </c>
      <c r="AO23" s="681">
        <v>11080052</v>
      </c>
      <c r="AP23" s="538">
        <v>685524.31</v>
      </c>
      <c r="AQ23" s="538"/>
      <c r="AR23" s="538">
        <v>107524.76</v>
      </c>
      <c r="AS23" s="538">
        <f>IF(Table157[[#This Row],[PCTS Approved]]="N",0,Table157[[#This Row],[Investment Amount (1'#'#'#'#'#)]]+Table157[[#This Row],[Retirement Amount (3'#'#'#'#'#)]])</f>
        <v>793049.07000000007</v>
      </c>
      <c r="AT23" s="538">
        <f>IF(Table157[[#This Row],[Approved Construction Cost]]=0,0,Table157[[#This Row],[Approved Construction Cost]]-Table157[[#This Row],[Construction Cost to Bill From]])</f>
        <v>-28780.759999999893</v>
      </c>
      <c r="AU23" s="556">
        <f>IFERROR(Table157[[#This Row],[Difference in Construction Cost]]*Table157[[#This Row],[Rate]],Table157[[#This Row],[Difference in Construction Cost]]*0.085)</f>
        <v>-2878.0759999999896</v>
      </c>
      <c r="AV23" s="682">
        <v>0</v>
      </c>
      <c r="AW23" s="686" t="s">
        <v>903</v>
      </c>
      <c r="AX23" s="538">
        <v>-2878.08</v>
      </c>
      <c r="AY23" s="636">
        <v>45566</v>
      </c>
      <c r="AZ23" s="443">
        <v>102</v>
      </c>
      <c r="BA23" s="334" t="s">
        <v>4</v>
      </c>
      <c r="BB23" s="659" t="s">
        <v>904</v>
      </c>
      <c r="BC23" s="653" t="s">
        <v>905</v>
      </c>
      <c r="BD23" s="478" t="s">
        <v>116</v>
      </c>
      <c r="BE23" s="544" t="s">
        <v>906</v>
      </c>
      <c r="BF23" s="559" t="s">
        <v>907</v>
      </c>
      <c r="BG23" s="554" t="s">
        <v>709</v>
      </c>
      <c r="BH23" s="483" t="s">
        <v>709</v>
      </c>
      <c r="BI23" s="537"/>
      <c r="BJ23" s="511" t="s">
        <v>709</v>
      </c>
      <c r="BK23" s="546" t="s">
        <v>709</v>
      </c>
      <c r="BL23" s="546" t="s">
        <v>709</v>
      </c>
      <c r="BM23" s="546" t="s">
        <v>116</v>
      </c>
      <c r="BN23" s="546" t="s">
        <v>709</v>
      </c>
      <c r="BO23" s="546" t="s">
        <v>709</v>
      </c>
      <c r="BP23" s="546" t="s">
        <v>709</v>
      </c>
      <c r="BQ23" s="546" t="s">
        <v>709</v>
      </c>
      <c r="BR23" s="546" t="s">
        <v>709</v>
      </c>
      <c r="BS23" s="546" t="s">
        <v>709</v>
      </c>
      <c r="BT23" s="546">
        <v>2174</v>
      </c>
      <c r="BU23" s="546" t="s">
        <v>709</v>
      </c>
      <c r="BV23" s="546" t="s">
        <v>709</v>
      </c>
      <c r="BW23" s="546" t="s">
        <v>709</v>
      </c>
      <c r="BX23" s="546" t="s">
        <v>709</v>
      </c>
      <c r="BY23" s="546" t="s">
        <v>745</v>
      </c>
      <c r="BZ23" s="546" t="s">
        <v>709</v>
      </c>
      <c r="CA23" s="506"/>
    </row>
    <row r="24" spans="1:79" ht="15" hidden="1" customHeight="1" x14ac:dyDescent="0.25">
      <c r="A24" s="8" t="s">
        <v>800</v>
      </c>
      <c r="B24" s="8" t="s">
        <v>4</v>
      </c>
      <c r="C24" s="656" t="s">
        <v>908</v>
      </c>
      <c r="D24" s="8" t="s">
        <v>909</v>
      </c>
      <c r="E24" s="8" t="s">
        <v>910</v>
      </c>
      <c r="F24" s="8" t="s">
        <v>784</v>
      </c>
      <c r="G24" s="8" t="s">
        <v>36</v>
      </c>
      <c r="H24" s="8" t="s">
        <v>59</v>
      </c>
      <c r="I24" s="642">
        <v>45293</v>
      </c>
      <c r="J24" s="18">
        <v>45359</v>
      </c>
      <c r="K24" s="97">
        <v>45350</v>
      </c>
      <c r="L24" s="16">
        <f>IF(ISTEXT(Table157[[#This Row],[Engineering Approved Design Date]]),Table157[[#This Row],[Date Completed]]-Table157[[#This Row],[Date Assigned to Designer]],Table157[[#This Row],[Engineering Approved Design Date]]-Table157[[#This Row],[Date Completed]])</f>
        <v>9</v>
      </c>
      <c r="M24" s="642"/>
      <c r="N24" s="642" t="s">
        <v>120</v>
      </c>
      <c r="O24" s="510">
        <v>45352</v>
      </c>
      <c r="P24" s="221" t="s">
        <v>739</v>
      </c>
      <c r="Q24" s="74">
        <f>Table157[[#This Row],[Rate]]*Table157[[#This Row],[Construction Cost to Bill From]]</f>
        <v>34371.571000000004</v>
      </c>
      <c r="R24" s="75">
        <v>0.1</v>
      </c>
      <c r="U24" s="87"/>
      <c r="V24" s="437">
        <v>846</v>
      </c>
      <c r="W24" s="437">
        <v>0</v>
      </c>
      <c r="X24" s="70">
        <v>254263.42</v>
      </c>
      <c r="Y24" s="595"/>
      <c r="Z24" s="570">
        <v>89452.29</v>
      </c>
      <c r="AA24" s="300">
        <f>Table157[[#This Row],[PCTS Retirement Amount]]+Table157[[#This Row],[PCTS Investment Amount]]</f>
        <v>343715.71</v>
      </c>
      <c r="AB24" s="207">
        <v>45359</v>
      </c>
      <c r="AC24" s="22" t="s">
        <v>709</v>
      </c>
      <c r="AD24" s="22" t="s">
        <v>29</v>
      </c>
      <c r="AE24" s="187" t="s">
        <v>116</v>
      </c>
      <c r="AF24" s="568" t="s">
        <v>116</v>
      </c>
      <c r="AG24" s="183" t="s">
        <v>29</v>
      </c>
      <c r="AH24" s="356">
        <v>45406</v>
      </c>
      <c r="AI24" s="499">
        <v>0</v>
      </c>
      <c r="AJ24" s="541">
        <v>9474</v>
      </c>
      <c r="AK24" s="541">
        <v>3315</v>
      </c>
      <c r="AL24" s="494">
        <f>SUM(Table157[[#This Row],[Nicor Initiated DBE]:[Staffing]])/(Table157[[#This Row],[Amount Invoiced]])</f>
        <v>0.37208075243345723</v>
      </c>
      <c r="AM24" s="21" t="s">
        <v>116</v>
      </c>
      <c r="AN24" s="680">
        <v>45369</v>
      </c>
      <c r="AO24" s="681">
        <v>11080051</v>
      </c>
      <c r="AP24" s="538">
        <v>254263.42</v>
      </c>
      <c r="AQ24" s="538"/>
      <c r="AR24" s="538">
        <v>89452.29</v>
      </c>
      <c r="AS24" s="538">
        <f>IF(Table157[[#This Row],[PCTS Approved]]="N",0,Table157[[#This Row],[Investment Amount (1'#'#'#'#'#)]]+Table157[[#This Row],[Retirement Amount (3'#'#'#'#'#)]])</f>
        <v>343715.71</v>
      </c>
      <c r="AT24" s="538">
        <f>IF(Table157[[#This Row],[Approved Construction Cost]]=0,0,Table157[[#This Row],[Approved Construction Cost]]-Table157[[#This Row],[Construction Cost to Bill From]])</f>
        <v>0</v>
      </c>
      <c r="AU24" s="556">
        <f>IFERROR(Table157[[#This Row],[Difference in Construction Cost]]*Table157[[#This Row],[Rate]],Table157[[#This Row],[Difference in Construction Cost]]*0.085)</f>
        <v>0</v>
      </c>
      <c r="AV24" s="682">
        <v>0</v>
      </c>
      <c r="AW24" s="660"/>
      <c r="AX24" s="538">
        <v>0</v>
      </c>
      <c r="AY24" s="636">
        <v>45566</v>
      </c>
      <c r="AZ24" s="443">
        <v>127</v>
      </c>
      <c r="BA24" s="334" t="s">
        <v>4</v>
      </c>
      <c r="BB24" s="651" t="s">
        <v>911</v>
      </c>
      <c r="BC24" s="644" t="s">
        <v>912</v>
      </c>
      <c r="BD24" s="479" t="s">
        <v>709</v>
      </c>
      <c r="BE24" s="554" t="s">
        <v>709</v>
      </c>
      <c r="BF24" s="588" t="s">
        <v>913</v>
      </c>
      <c r="BG24" s="588" t="s">
        <v>745</v>
      </c>
      <c r="BH24" s="483" t="s">
        <v>29</v>
      </c>
      <c r="BI24" s="487" t="s">
        <v>914</v>
      </c>
      <c r="BJ24" s="511" t="s">
        <v>709</v>
      </c>
      <c r="BK24" s="623" t="s">
        <v>709</v>
      </c>
      <c r="BL24" s="546" t="s">
        <v>709</v>
      </c>
      <c r="BM24" s="546" t="s">
        <v>116</v>
      </c>
      <c r="BN24" s="622" t="s">
        <v>709</v>
      </c>
      <c r="BO24" s="623" t="s">
        <v>709</v>
      </c>
      <c r="BP24" s="622" t="s">
        <v>709</v>
      </c>
      <c r="BQ24" s="622" t="s">
        <v>709</v>
      </c>
      <c r="BR24" s="623" t="s">
        <v>709</v>
      </c>
      <c r="BS24" s="623" t="s">
        <v>709</v>
      </c>
      <c r="BT24" s="623">
        <v>846</v>
      </c>
      <c r="BU24" s="623" t="s">
        <v>709</v>
      </c>
      <c r="BV24" s="623" t="s">
        <v>709</v>
      </c>
      <c r="BW24" s="623" t="s">
        <v>709</v>
      </c>
      <c r="BX24" s="623" t="s">
        <v>709</v>
      </c>
      <c r="BY24" s="546" t="s">
        <v>709</v>
      </c>
      <c r="BZ24" s="623" t="s">
        <v>709</v>
      </c>
      <c r="CA24" s="506" t="s">
        <v>915</v>
      </c>
    </row>
    <row r="25" spans="1:79" ht="15" hidden="1" customHeight="1" x14ac:dyDescent="0.25">
      <c r="A25" s="8" t="s">
        <v>781</v>
      </c>
      <c r="B25" s="8" t="s">
        <v>4</v>
      </c>
      <c r="C25" s="656" t="s">
        <v>916</v>
      </c>
      <c r="D25" s="8" t="s">
        <v>917</v>
      </c>
      <c r="E25" s="8" t="s">
        <v>918</v>
      </c>
      <c r="F25" s="8" t="s">
        <v>919</v>
      </c>
      <c r="G25" s="8" t="s">
        <v>39</v>
      </c>
      <c r="H25" s="8" t="s">
        <v>59</v>
      </c>
      <c r="I25" s="642">
        <v>44356</v>
      </c>
      <c r="J25" s="18">
        <v>44439</v>
      </c>
      <c r="K25" s="642">
        <v>44431</v>
      </c>
      <c r="L25" s="16">
        <f>IF(ISTEXT(Table157[[#This Row],[Engineering Approved Design Date]]),Table157[[#This Row],[Date Completed]]-Table157[[#This Row],[Date Assigned to Designer]],Table157[[#This Row],[Engineering Approved Design Date]]-Table157[[#This Row],[Date Completed]])</f>
        <v>8</v>
      </c>
      <c r="M25" s="642"/>
      <c r="N25" s="642" t="s">
        <v>120</v>
      </c>
      <c r="O25" s="534">
        <f>Table157[[#This Row],[Date Completed]]</f>
        <v>44431</v>
      </c>
      <c r="P25" s="68" t="s">
        <v>739</v>
      </c>
      <c r="Q25" s="436">
        <f>R25*AA25</f>
        <v>41324.991999999998</v>
      </c>
      <c r="R25" s="75">
        <v>0.1</v>
      </c>
      <c r="S25" s="24" t="s">
        <v>709</v>
      </c>
      <c r="T25" s="538" t="s">
        <v>709</v>
      </c>
      <c r="U25" s="28" t="s">
        <v>709</v>
      </c>
      <c r="V25" s="437">
        <f>1152+44</f>
        <v>1196</v>
      </c>
      <c r="X25" s="24">
        <v>377669.11</v>
      </c>
      <c r="Y25" s="591"/>
      <c r="Z25" s="538">
        <v>35580.81</v>
      </c>
      <c r="AA25" s="28">
        <f>X25+Z25</f>
        <v>413249.92</v>
      </c>
      <c r="AB25" s="208"/>
      <c r="AC25" s="109" t="s">
        <v>709</v>
      </c>
      <c r="AD25" s="109"/>
      <c r="AE25" s="349"/>
      <c r="AF25" s="579"/>
      <c r="AG25" s="579"/>
      <c r="AH25" s="354"/>
      <c r="AI25" s="489"/>
      <c r="AJ25" s="553"/>
      <c r="AK25" s="553"/>
      <c r="AL25" s="495">
        <f>SUM(Table157[[#This Row],[Nicor Initiated DBE]:[Staffing]])/(Table157[[#This Row],[Amount Invoiced]])</f>
        <v>0</v>
      </c>
      <c r="AM25" s="21" t="s">
        <v>116</v>
      </c>
      <c r="AN25" s="680">
        <v>45371</v>
      </c>
      <c r="AO25" s="681">
        <v>11080190</v>
      </c>
      <c r="AP25" s="538">
        <v>443358.64</v>
      </c>
      <c r="AQ25" s="538"/>
      <c r="AR25" s="538">
        <v>39643.230000000003</v>
      </c>
      <c r="AS25" s="538">
        <f>IF(Table157[[#This Row],[PCTS Approved]]="N",0,Table157[[#This Row],[Investment Amount (1'#'#'#'#'#)]]+Table157[[#This Row],[Retirement Amount (3'#'#'#'#'#)]])</f>
        <v>483001.87</v>
      </c>
      <c r="AT25" s="538">
        <f>IF(Table157[[#This Row],[Approved Construction Cost]]=0,0,Table157[[#This Row],[Approved Construction Cost]]-Table157[[#This Row],[Construction Cost to Bill From]])</f>
        <v>69751.950000000012</v>
      </c>
      <c r="AU25" s="556">
        <f>IFERROR(Table157[[#This Row],[Difference in Construction Cost]]*Table157[[#This Row],[Rate]],Table157[[#This Row],[Difference in Construction Cost]]*0.085)</f>
        <v>6975.1950000000015</v>
      </c>
      <c r="AV25" s="682">
        <v>0</v>
      </c>
      <c r="AW25" s="686" t="s">
        <v>920</v>
      </c>
      <c r="AX25" s="538">
        <f>IFERROR(Table157[[#This Row],[Difference in Construction Cost]]*Table157[[#This Row],[Rate]],Table157[[#This Row],[Difference in Construction Cost]]*0.085)</f>
        <v>6975.1950000000015</v>
      </c>
      <c r="AY25" s="636">
        <v>45566</v>
      </c>
      <c r="AZ25" s="443">
        <v>62</v>
      </c>
      <c r="BA25" s="334" t="s">
        <v>4</v>
      </c>
      <c r="BB25" s="652" t="s">
        <v>921</v>
      </c>
      <c r="BC25" s="644" t="s">
        <v>922</v>
      </c>
      <c r="BD25" s="478" t="s">
        <v>709</v>
      </c>
      <c r="BE25" s="544" t="s">
        <v>709</v>
      </c>
      <c r="BF25" s="544" t="s">
        <v>923</v>
      </c>
      <c r="BG25" s="544" t="s">
        <v>923</v>
      </c>
      <c r="BH25" s="512" t="s">
        <v>709</v>
      </c>
      <c r="BI25" s="545"/>
      <c r="BJ25" s="511" t="s">
        <v>709</v>
      </c>
      <c r="BK25" s="546" t="s">
        <v>709</v>
      </c>
      <c r="BL25" s="546" t="s">
        <v>709</v>
      </c>
      <c r="BM25" s="546" t="s">
        <v>116</v>
      </c>
      <c r="BN25" s="546" t="s">
        <v>709</v>
      </c>
      <c r="BO25" s="546" t="s">
        <v>709</v>
      </c>
      <c r="BP25" s="546" t="s">
        <v>709</v>
      </c>
      <c r="BQ25" s="546" t="s">
        <v>709</v>
      </c>
      <c r="BR25" s="546" t="s">
        <v>709</v>
      </c>
      <c r="BS25" s="546">
        <v>1152</v>
      </c>
      <c r="BT25" s="546">
        <v>44</v>
      </c>
      <c r="BU25" s="546" t="s">
        <v>745</v>
      </c>
      <c r="BV25" s="546" t="s">
        <v>709</v>
      </c>
      <c r="BW25" s="546" t="s">
        <v>745</v>
      </c>
      <c r="BX25" s="546" t="s">
        <v>709</v>
      </c>
      <c r="BY25" s="546" t="s">
        <v>745</v>
      </c>
      <c r="BZ25" s="546" t="s">
        <v>745</v>
      </c>
      <c r="CA25" s="506"/>
    </row>
    <row r="26" spans="1:79" ht="15" hidden="1" customHeight="1" x14ac:dyDescent="0.25">
      <c r="A26" s="8">
        <v>2023</v>
      </c>
      <c r="B26" s="8" t="s">
        <v>771</v>
      </c>
      <c r="C26" s="8" t="s">
        <v>924</v>
      </c>
      <c r="D26" s="656" t="s">
        <v>925</v>
      </c>
      <c r="E26" s="8" t="s">
        <v>926</v>
      </c>
      <c r="F26" s="8" t="s">
        <v>784</v>
      </c>
      <c r="G26" s="8" t="s">
        <v>31</v>
      </c>
      <c r="H26" s="8" t="s">
        <v>59</v>
      </c>
      <c r="I26" s="642">
        <v>45100</v>
      </c>
      <c r="J26" s="18">
        <v>45190</v>
      </c>
      <c r="K26" s="97">
        <v>45188</v>
      </c>
      <c r="L26" s="16">
        <f>IF(ISTEXT(Table157[[#This Row],[Engineering Approved Design Date]]),Table157[[#This Row],[Date Completed]]-Table157[[#This Row],[Date Assigned to Designer]],Table157[[#This Row],[Engineering Approved Design Date]]-Table157[[#This Row],[Date Completed]])</f>
        <v>2</v>
      </c>
      <c r="M26" s="642"/>
      <c r="N26" s="642" t="s">
        <v>120</v>
      </c>
      <c r="O26" s="510">
        <v>45200</v>
      </c>
      <c r="P26" s="221" t="s">
        <v>120</v>
      </c>
      <c r="Q26" s="74">
        <f>Table157[[#This Row],[Rate]]*Table157[[#This Row],[Construction Cost to Bill From]]</f>
        <v>33379.236900000004</v>
      </c>
      <c r="R26" s="75">
        <v>0.09</v>
      </c>
      <c r="U26" s="87"/>
      <c r="V26" s="437">
        <v>1867</v>
      </c>
      <c r="W26" s="437">
        <v>0</v>
      </c>
      <c r="X26" s="70">
        <v>356049.77</v>
      </c>
      <c r="Y26" s="551"/>
      <c r="Z26" s="570">
        <v>14830.64</v>
      </c>
      <c r="AA26" s="300">
        <f>Table157[[#This Row],[PCTS Retirement Amount]]+Table157[[#This Row],[PCTS Investment Amount]]</f>
        <v>370880.41000000003</v>
      </c>
      <c r="AB26" s="207">
        <v>45190</v>
      </c>
      <c r="AC26" s="108" t="s">
        <v>709</v>
      </c>
      <c r="AD26" s="108" t="s">
        <v>29</v>
      </c>
      <c r="AE26" s="187" t="s">
        <v>756</v>
      </c>
      <c r="AF26" s="568" t="s">
        <v>29</v>
      </c>
      <c r="AG26" s="568" t="s">
        <v>116</v>
      </c>
      <c r="AH26" s="356" t="s">
        <v>29</v>
      </c>
      <c r="AI26" s="341"/>
      <c r="AJ26" s="183"/>
      <c r="AK26" s="183"/>
      <c r="AL26" s="494">
        <f>SUM(Table157[[#This Row],[Nicor Initiated DBE]:[Staffing]])/(Table157[[#This Row],[Amount Invoiced]])</f>
        <v>0</v>
      </c>
      <c r="AM26" s="21" t="s">
        <v>116</v>
      </c>
      <c r="AN26" s="710">
        <v>45372</v>
      </c>
      <c r="AO26" s="711">
        <v>11070337</v>
      </c>
      <c r="AP26" s="538">
        <v>356161.13</v>
      </c>
      <c r="AQ26" s="682"/>
      <c r="AR26" s="538">
        <v>17521.46</v>
      </c>
      <c r="AS26" s="538">
        <f>IF(Table157[[#This Row],[PCTS Approved]]="N",0,Table157[[#This Row],[Investment Amount (1'#'#'#'#'#)]]+Table157[[#This Row],[Retirement Amount (3'#'#'#'#'#)]])</f>
        <v>373682.59</v>
      </c>
      <c r="AT26" s="538">
        <f>IF(Table157[[#This Row],[Approved Construction Cost]]=0,0,Table157[[#This Row],[Approved Construction Cost]]-Table157[[#This Row],[Construction Cost to Bill From]])</f>
        <v>2802.179999999993</v>
      </c>
      <c r="AU26" s="538">
        <f>IFERROR(Table157[[#This Row],[Difference in Construction Cost]]*Table157[[#This Row],[Rate]],Table157[[#This Row],[Difference in Construction Cost]]*0.085)</f>
        <v>252.19619999999935</v>
      </c>
      <c r="AV26" s="712">
        <v>2900</v>
      </c>
      <c r="AW26" s="713" t="s">
        <v>927</v>
      </c>
      <c r="AX26" s="538">
        <v>0</v>
      </c>
      <c r="AY26" s="636">
        <v>45566</v>
      </c>
      <c r="AZ26" s="443">
        <v>50</v>
      </c>
      <c r="BA26" s="334" t="s">
        <v>3</v>
      </c>
      <c r="BB26" s="659" t="s">
        <v>928</v>
      </c>
      <c r="BC26" s="653" t="s">
        <v>929</v>
      </c>
      <c r="BD26" s="478"/>
      <c r="BE26" s="544"/>
      <c r="BF26" s="544"/>
      <c r="BG26" s="544"/>
      <c r="BH26" s="512"/>
      <c r="BI26" s="645" t="s">
        <v>930</v>
      </c>
      <c r="BJ26" s="511" t="s">
        <v>709</v>
      </c>
      <c r="BK26" s="546" t="s">
        <v>709</v>
      </c>
      <c r="BL26" s="546" t="s">
        <v>709</v>
      </c>
      <c r="BM26" s="546" t="s">
        <v>116</v>
      </c>
      <c r="BN26" s="546" t="s">
        <v>709</v>
      </c>
      <c r="BO26" s="546" t="s">
        <v>709</v>
      </c>
      <c r="BP26" s="546" t="s">
        <v>709</v>
      </c>
      <c r="BQ26" s="546" t="s">
        <v>709</v>
      </c>
      <c r="BR26" s="546" t="s">
        <v>709</v>
      </c>
      <c r="BS26" s="546">
        <v>1867</v>
      </c>
      <c r="BT26" s="546" t="s">
        <v>709</v>
      </c>
      <c r="BU26" s="546" t="s">
        <v>709</v>
      </c>
      <c r="BV26" s="546" t="s">
        <v>709</v>
      </c>
      <c r="BW26" s="546" t="s">
        <v>709</v>
      </c>
      <c r="BX26" s="546" t="s">
        <v>709</v>
      </c>
      <c r="BY26" s="546" t="s">
        <v>745</v>
      </c>
      <c r="BZ26" s="546" t="s">
        <v>709</v>
      </c>
      <c r="CA26" s="506"/>
    </row>
    <row r="27" spans="1:79" ht="15" hidden="1" customHeight="1" x14ac:dyDescent="0.25">
      <c r="A27" s="8">
        <v>2023</v>
      </c>
      <c r="B27" s="8" t="s">
        <v>771</v>
      </c>
      <c r="C27" s="8" t="s">
        <v>931</v>
      </c>
      <c r="D27" s="8" t="s">
        <v>932</v>
      </c>
      <c r="E27" s="8" t="s">
        <v>887</v>
      </c>
      <c r="F27" s="8" t="s">
        <v>784</v>
      </c>
      <c r="G27" s="8" t="s">
        <v>32</v>
      </c>
      <c r="H27" s="13" t="s">
        <v>59</v>
      </c>
      <c r="I27" s="642">
        <v>44862</v>
      </c>
      <c r="J27" s="18">
        <v>45009</v>
      </c>
      <c r="K27" s="97">
        <v>45008</v>
      </c>
      <c r="L27" s="16">
        <f>IF(ISTEXT(Table157[[#This Row],[Engineering Approved Design Date]]),Table157[[#This Row],[Date Completed]]-Table157[[#This Row],[Date Assigned to Designer]],Table157[[#This Row],[Engineering Approved Design Date]]-Table157[[#This Row],[Date Completed]])</f>
        <v>1</v>
      </c>
      <c r="M27" s="642"/>
      <c r="N27" s="642" t="s">
        <v>120</v>
      </c>
      <c r="O27" s="510">
        <v>45017</v>
      </c>
      <c r="P27" s="221" t="s">
        <v>120</v>
      </c>
      <c r="Q27" s="74">
        <f>Table157[[#This Row],[Rate]]*Table157[[#This Row],[Construction Cost to Bill From]]</f>
        <v>212873.31899999999</v>
      </c>
      <c r="R27" s="75">
        <v>0.06</v>
      </c>
      <c r="U27" s="87"/>
      <c r="V27" s="437">
        <v>9968</v>
      </c>
      <c r="W27" s="437">
        <v>0</v>
      </c>
      <c r="X27" s="94">
        <v>3091707.63</v>
      </c>
      <c r="Y27" s="592"/>
      <c r="Z27" s="552">
        <v>456181.02</v>
      </c>
      <c r="AA27" s="300">
        <f>Table157[[#This Row],[PCTS Investment Amount]]+Table157[[#This Row],[PCTS Retirement Amount]]</f>
        <v>3547888.65</v>
      </c>
      <c r="AB27" s="207">
        <v>45020</v>
      </c>
      <c r="AC27" s="108" t="s">
        <v>709</v>
      </c>
      <c r="AD27" s="108" t="s">
        <v>29</v>
      </c>
      <c r="AE27" s="349"/>
      <c r="AF27" s="579"/>
      <c r="AG27" s="579"/>
      <c r="AH27" s="354"/>
      <c r="AI27" s="341"/>
      <c r="AJ27" s="183"/>
      <c r="AK27" s="183"/>
      <c r="AL27" s="494">
        <f>SUM(Table157[[#This Row],[Nicor Initiated DBE]:[Staffing]])/(Table157[[#This Row],[Amount Invoiced]])</f>
        <v>0</v>
      </c>
      <c r="AM27" s="21" t="s">
        <v>116</v>
      </c>
      <c r="AN27" s="710">
        <v>45373</v>
      </c>
      <c r="AO27" s="711">
        <v>11080213</v>
      </c>
      <c r="AP27" s="538">
        <v>3211918.08</v>
      </c>
      <c r="AQ27" s="712"/>
      <c r="AR27" s="538">
        <v>482952.38</v>
      </c>
      <c r="AS27" s="538">
        <f>IF(Table157[[#This Row],[PCTS Approved]]="N",0,Table157[[#This Row],[Investment Amount (1'#'#'#'#'#)]]+Table157[[#This Row],[Retirement Amount (3'#'#'#'#'#)]])</f>
        <v>3694870.46</v>
      </c>
      <c r="AT27" s="538">
        <f>IF(Table157[[#This Row],[Approved Construction Cost]]=0,0,Table157[[#This Row],[Approved Construction Cost]]-Table157[[#This Row],[Construction Cost to Bill From]])</f>
        <v>146981.81000000006</v>
      </c>
      <c r="AU27" s="538">
        <f>IFERROR(Table157[[#This Row],[Difference in Construction Cost]]*Table157[[#This Row],[Rate]],Table157[[#This Row],[Difference in Construction Cost]]*0.085)</f>
        <v>8818.9086000000025</v>
      </c>
      <c r="AV27" s="712">
        <v>20005</v>
      </c>
      <c r="AW27" s="713" t="s">
        <v>933</v>
      </c>
      <c r="AX27" s="538">
        <v>0</v>
      </c>
      <c r="AY27" s="636">
        <v>45566</v>
      </c>
      <c r="AZ27" s="443">
        <v>5</v>
      </c>
      <c r="BA27" s="334" t="s">
        <v>3</v>
      </c>
      <c r="BB27" s="652" t="s">
        <v>934</v>
      </c>
      <c r="BC27" s="644" t="s">
        <v>935</v>
      </c>
      <c r="BD27" s="478" t="s">
        <v>116</v>
      </c>
      <c r="BE27" s="544" t="s">
        <v>115</v>
      </c>
      <c r="BF27" s="544" t="s">
        <v>891</v>
      </c>
      <c r="BG27" s="544" t="s">
        <v>115</v>
      </c>
      <c r="BH27" s="512" t="s">
        <v>115</v>
      </c>
      <c r="BI27" s="645"/>
      <c r="BJ27" s="511" t="s">
        <v>709</v>
      </c>
      <c r="BK27" s="546" t="s">
        <v>709</v>
      </c>
      <c r="BL27" s="546" t="s">
        <v>709</v>
      </c>
      <c r="BM27" s="546" t="s">
        <v>116</v>
      </c>
      <c r="BN27" s="546" t="s">
        <v>709</v>
      </c>
      <c r="BO27" s="546" t="s">
        <v>709</v>
      </c>
      <c r="BP27" s="546" t="s">
        <v>709</v>
      </c>
      <c r="BQ27" s="546" t="s">
        <v>709</v>
      </c>
      <c r="BR27" s="546">
        <v>6338</v>
      </c>
      <c r="BS27" s="546">
        <v>103</v>
      </c>
      <c r="BT27" s="546">
        <v>3527</v>
      </c>
      <c r="BU27" s="546" t="s">
        <v>709</v>
      </c>
      <c r="BV27" s="546" t="s">
        <v>709</v>
      </c>
      <c r="BW27" s="546" t="s">
        <v>709</v>
      </c>
      <c r="BX27" s="546" t="s">
        <v>709</v>
      </c>
      <c r="BY27" s="546" t="s">
        <v>709</v>
      </c>
      <c r="BZ27" s="546" t="s">
        <v>709</v>
      </c>
      <c r="CA27" s="506"/>
    </row>
    <row r="28" spans="1:79" ht="15" hidden="1" customHeight="1" x14ac:dyDescent="0.25">
      <c r="A28" s="8">
        <v>2022</v>
      </c>
      <c r="B28" s="8" t="s">
        <v>4</v>
      </c>
      <c r="C28" s="656" t="s">
        <v>936</v>
      </c>
      <c r="D28" s="8" t="s">
        <v>937</v>
      </c>
      <c r="E28" s="8" t="s">
        <v>887</v>
      </c>
      <c r="F28" s="8" t="s">
        <v>738</v>
      </c>
      <c r="G28" s="8" t="s">
        <v>37</v>
      </c>
      <c r="H28" s="8" t="s">
        <v>59</v>
      </c>
      <c r="I28" s="642">
        <v>44466</v>
      </c>
      <c r="J28" s="18">
        <v>44552</v>
      </c>
      <c r="K28" s="97">
        <v>44547</v>
      </c>
      <c r="L28" s="16">
        <f>IF(ISTEXT(Table157[[#This Row],[Engineering Approved Design Date]]),Table157[[#This Row],[Date Completed]]-Table157[[#This Row],[Date Assigned to Designer]],Table157[[#This Row],[Engineering Approved Design Date]]-Table157[[#This Row],[Date Completed]])</f>
        <v>5</v>
      </c>
      <c r="M28" s="642"/>
      <c r="N28" s="642" t="s">
        <v>120</v>
      </c>
      <c r="O28" s="534">
        <f>Table157[[#This Row],[Date Completed]]</f>
        <v>44547</v>
      </c>
      <c r="P28" s="68" t="s">
        <v>739</v>
      </c>
      <c r="Q28" s="74">
        <f>R28*AA28</f>
        <v>73860.525999999998</v>
      </c>
      <c r="R28" s="75">
        <v>0.1</v>
      </c>
      <c r="S28" s="24" t="s">
        <v>709</v>
      </c>
      <c r="T28" s="538" t="s">
        <v>709</v>
      </c>
      <c r="U28" s="87" t="s">
        <v>709</v>
      </c>
      <c r="V28" s="437">
        <v>6428</v>
      </c>
      <c r="X28" s="70">
        <v>656968.89</v>
      </c>
      <c r="Y28" s="591"/>
      <c r="Z28" s="556">
        <v>81636.37</v>
      </c>
      <c r="AA28" s="28">
        <f>Table157[[#This Row],[PCTS Investment Amount]]+Table157[[#This Row],[PCTS Retirement Amount]]</f>
        <v>738605.26</v>
      </c>
      <c r="AB28" s="208"/>
      <c r="AC28" s="109" t="s">
        <v>709</v>
      </c>
      <c r="AD28" s="109"/>
      <c r="AE28" s="349"/>
      <c r="AF28" s="579"/>
      <c r="AG28" s="579"/>
      <c r="AH28" s="354"/>
      <c r="AI28" s="489"/>
      <c r="AJ28" s="553"/>
      <c r="AK28" s="553"/>
      <c r="AL28" s="495">
        <f>SUM(Table157[[#This Row],[Nicor Initiated DBE]:[Staffing]])/(Table157[[#This Row],[Amount Invoiced]])</f>
        <v>0</v>
      </c>
      <c r="AM28" s="21" t="s">
        <v>116</v>
      </c>
      <c r="AN28" s="680">
        <v>45377</v>
      </c>
      <c r="AO28" s="681">
        <v>11080450</v>
      </c>
      <c r="AP28" s="538">
        <v>827093.69</v>
      </c>
      <c r="AQ28" s="718"/>
      <c r="AR28" s="538">
        <v>110442.9</v>
      </c>
      <c r="AS28" s="538">
        <f>IF(Table157[[#This Row],[PCTS Approved]]="N",0,Table157[[#This Row],[Investment Amount (1'#'#'#'#'#)]]+Table157[[#This Row],[Retirement Amount (3'#'#'#'#'#)]])</f>
        <v>937536.59</v>
      </c>
      <c r="AT28" s="538">
        <f>IF(Table157[[#This Row],[Approved Construction Cost]]=0,0,Table157[[#This Row],[Approved Construction Cost]]-Table157[[#This Row],[Construction Cost to Bill From]])</f>
        <v>198931.32999999996</v>
      </c>
      <c r="AU28" s="538">
        <f>IFERROR(Table157[[#This Row],[Difference in Construction Cost]]*Table157[[#This Row],[Rate]],Table157[[#This Row],[Difference in Construction Cost]]*0.085)</f>
        <v>19893.132999999998</v>
      </c>
      <c r="AV28" s="682">
        <v>2822.5</v>
      </c>
      <c r="AW28" s="688" t="s">
        <v>938</v>
      </c>
      <c r="AX28" s="538">
        <v>0</v>
      </c>
      <c r="AY28" s="638">
        <v>45566</v>
      </c>
      <c r="AZ28" s="443">
        <v>65</v>
      </c>
      <c r="BA28" s="334" t="s">
        <v>4</v>
      </c>
      <c r="BB28" s="652" t="s">
        <v>939</v>
      </c>
      <c r="BC28" s="644" t="s">
        <v>877</v>
      </c>
      <c r="BD28" s="478" t="s">
        <v>709</v>
      </c>
      <c r="BE28" s="544" t="s">
        <v>709</v>
      </c>
      <c r="BF28" s="544" t="s">
        <v>891</v>
      </c>
      <c r="BG28" s="544" t="s">
        <v>940</v>
      </c>
      <c r="BH28" s="512" t="s">
        <v>709</v>
      </c>
      <c r="BI28" s="545"/>
      <c r="BJ28" s="511" t="s">
        <v>709</v>
      </c>
      <c r="BK28" s="546" t="s">
        <v>709</v>
      </c>
      <c r="BL28" s="546" t="s">
        <v>709</v>
      </c>
      <c r="BM28" s="546" t="s">
        <v>116</v>
      </c>
      <c r="BN28" s="546" t="s">
        <v>709</v>
      </c>
      <c r="BO28" s="546" t="s">
        <v>709</v>
      </c>
      <c r="BP28" s="546" t="s">
        <v>709</v>
      </c>
      <c r="BQ28" s="546" t="s">
        <v>709</v>
      </c>
      <c r="BR28" s="546" t="s">
        <v>709</v>
      </c>
      <c r="BS28" s="546">
        <v>3946</v>
      </c>
      <c r="BT28" s="546">
        <v>2482</v>
      </c>
      <c r="BU28" s="546" t="s">
        <v>745</v>
      </c>
      <c r="BV28" s="546" t="s">
        <v>709</v>
      </c>
      <c r="BW28" s="546" t="s">
        <v>745</v>
      </c>
      <c r="BX28" s="546" t="s">
        <v>709</v>
      </c>
      <c r="BY28" s="546" t="s">
        <v>745</v>
      </c>
      <c r="BZ28" s="546" t="s">
        <v>745</v>
      </c>
      <c r="CA28" s="506"/>
    </row>
    <row r="29" spans="1:79" ht="15" hidden="1" customHeight="1" x14ac:dyDescent="0.25">
      <c r="A29" s="8" t="s">
        <v>749</v>
      </c>
      <c r="B29" s="8" t="s">
        <v>4</v>
      </c>
      <c r="C29" s="656" t="s">
        <v>390</v>
      </c>
      <c r="D29" s="8" t="s">
        <v>941</v>
      </c>
      <c r="E29" s="8" t="s">
        <v>391</v>
      </c>
      <c r="F29" s="8" t="s">
        <v>784</v>
      </c>
      <c r="G29" s="8" t="s">
        <v>28</v>
      </c>
      <c r="H29" s="13" t="s">
        <v>59</v>
      </c>
      <c r="I29" s="642">
        <v>45006</v>
      </c>
      <c r="J29" s="18">
        <v>45107</v>
      </c>
      <c r="K29" s="175">
        <v>45098</v>
      </c>
      <c r="L29" s="649">
        <f>IF(ISTEXT(Table157[[#This Row],[Engineering Approved Design Date]]),Table157[[#This Row],[Date Completed]]-Table157[[#This Row],[Date Assigned to Designer]],Table157[[#This Row],[Engineering Approved Design Date]]-Table157[[#This Row],[Date Completed]])</f>
        <v>9</v>
      </c>
      <c r="M29" s="642"/>
      <c r="N29" s="642" t="s">
        <v>120</v>
      </c>
      <c r="O29" s="510">
        <f>Table157[[#This Row],[Date Completed]]</f>
        <v>45098</v>
      </c>
      <c r="P29" s="221" t="s">
        <v>739</v>
      </c>
      <c r="Q29" s="74">
        <f>Table157[[#This Row],[Rate]]*Table157[[#This Row],[Construction Cost to Bill From]]</f>
        <v>38837.469000000005</v>
      </c>
      <c r="R29" s="75">
        <v>0.1</v>
      </c>
      <c r="U29" s="87"/>
      <c r="V29" s="443">
        <v>413</v>
      </c>
      <c r="W29" s="443">
        <v>0</v>
      </c>
      <c r="X29" s="94">
        <v>366075.82</v>
      </c>
      <c r="Y29" s="592"/>
      <c r="Z29" s="552">
        <v>22298.87</v>
      </c>
      <c r="AA29" s="300">
        <f>SUM(Table157[[#This Row],[PCTS Investment Amount]:[PCTS Retirement Amount]])</f>
        <v>388374.69</v>
      </c>
      <c r="AB29" s="207">
        <v>45090</v>
      </c>
      <c r="AC29" s="108" t="s">
        <v>116</v>
      </c>
      <c r="AD29" s="108" t="s">
        <v>29</v>
      </c>
      <c r="AE29" s="349"/>
      <c r="AF29" s="579"/>
      <c r="AG29" s="579"/>
      <c r="AH29" s="354"/>
      <c r="AI29" s="489"/>
      <c r="AJ29" s="553"/>
      <c r="AK29" s="553"/>
      <c r="AL29" s="495">
        <f>SUM(Table157[[#This Row],[Nicor Initiated DBE]:[Staffing]])/(Table157[[#This Row],[Amount Invoiced]])</f>
        <v>0</v>
      </c>
      <c r="AM29" s="21" t="s">
        <v>116</v>
      </c>
      <c r="AN29" s="680">
        <v>45377</v>
      </c>
      <c r="AO29" s="681">
        <v>11080464</v>
      </c>
      <c r="AP29" s="538">
        <v>400878.68</v>
      </c>
      <c r="AQ29" s="538"/>
      <c r="AR29" s="538">
        <v>23468.15</v>
      </c>
      <c r="AS29" s="538">
        <f>IF(Table157[[#This Row],[PCTS Approved]]="N",0,Table157[[#This Row],[Investment Amount (1'#'#'#'#'#)]]+Table157[[#This Row],[Retirement Amount (3'#'#'#'#'#)]])</f>
        <v>424346.83</v>
      </c>
      <c r="AT29" s="538">
        <f>IF(Table157[[#This Row],[Approved Construction Cost]]=0,0,Table157[[#This Row],[Approved Construction Cost]]-Table157[[#This Row],[Construction Cost to Bill From]])</f>
        <v>35972.140000000014</v>
      </c>
      <c r="AU29" s="556">
        <f>IFERROR(Table157[[#This Row],[Difference in Construction Cost]]*Table157[[#This Row],[Rate]],Table157[[#This Row],[Difference in Construction Cost]]*0.085)</f>
        <v>3597.2140000000018</v>
      </c>
      <c r="AV29" s="682">
        <v>0</v>
      </c>
      <c r="AW29" s="686" t="s">
        <v>942</v>
      </c>
      <c r="AX29" s="538">
        <f>IFERROR(Table157[[#This Row],[Difference in Construction Cost]]*Table157[[#This Row],[Rate]],Table157[[#This Row],[Difference in Construction Cost]]*0.085)</f>
        <v>3597.2140000000018</v>
      </c>
      <c r="AY29" s="638">
        <v>45566</v>
      </c>
      <c r="AZ29" s="443">
        <v>88</v>
      </c>
      <c r="BA29" s="334" t="s">
        <v>4</v>
      </c>
      <c r="BB29" s="652" t="s">
        <v>943</v>
      </c>
      <c r="BC29" s="644" t="s">
        <v>944</v>
      </c>
      <c r="BD29" s="478" t="s">
        <v>116</v>
      </c>
      <c r="BE29" s="544" t="s">
        <v>709</v>
      </c>
      <c r="BF29" s="544" t="s">
        <v>944</v>
      </c>
      <c r="BG29" s="544" t="s">
        <v>945</v>
      </c>
      <c r="BH29" s="512" t="s">
        <v>709</v>
      </c>
      <c r="BI29" s="545" t="s">
        <v>946</v>
      </c>
      <c r="BJ29" s="511" t="s">
        <v>709</v>
      </c>
      <c r="BK29" s="546" t="s">
        <v>709</v>
      </c>
      <c r="BL29" s="546" t="s">
        <v>709</v>
      </c>
      <c r="BM29" s="546" t="s">
        <v>116</v>
      </c>
      <c r="BN29" s="546" t="s">
        <v>709</v>
      </c>
      <c r="BO29" s="546" t="s">
        <v>709</v>
      </c>
      <c r="BP29" s="546" t="s">
        <v>709</v>
      </c>
      <c r="BQ29" s="546">
        <v>413</v>
      </c>
      <c r="BR29" s="546" t="s">
        <v>709</v>
      </c>
      <c r="BS29" s="546" t="s">
        <v>709</v>
      </c>
      <c r="BT29" s="546" t="s">
        <v>709</v>
      </c>
      <c r="BU29" s="546" t="s">
        <v>709</v>
      </c>
      <c r="BV29" s="546" t="s">
        <v>709</v>
      </c>
      <c r="BW29" s="546" t="s">
        <v>709</v>
      </c>
      <c r="BX29" s="546" t="s">
        <v>709</v>
      </c>
      <c r="BY29" s="546" t="s">
        <v>745</v>
      </c>
      <c r="BZ29" s="546" t="s">
        <v>709</v>
      </c>
      <c r="CA29" s="506"/>
    </row>
    <row r="30" spans="1:79" ht="15" hidden="1" customHeight="1" x14ac:dyDescent="0.25">
      <c r="A30" s="8" t="s">
        <v>800</v>
      </c>
      <c r="B30" s="8" t="s">
        <v>4</v>
      </c>
      <c r="C30" s="656" t="s">
        <v>947</v>
      </c>
      <c r="D30" s="8" t="s">
        <v>948</v>
      </c>
      <c r="E30" s="8" t="s">
        <v>949</v>
      </c>
      <c r="F30" s="8" t="s">
        <v>784</v>
      </c>
      <c r="G30" s="8" t="s">
        <v>26</v>
      </c>
      <c r="H30" s="8" t="s">
        <v>59</v>
      </c>
      <c r="I30" s="642">
        <v>45216</v>
      </c>
      <c r="J30" s="18">
        <v>45338</v>
      </c>
      <c r="K30" s="97">
        <v>45336</v>
      </c>
      <c r="L30" s="16">
        <f>IF(ISTEXT(Table157[[#This Row],[Engineering Approved Design Date]]),Table157[[#This Row],[Date Completed]]-Table157[[#This Row],[Date Assigned to Designer]],Table157[[#This Row],[Engineering Approved Design Date]]-Table157[[#This Row],[Date Completed]])</f>
        <v>2</v>
      </c>
      <c r="M30" s="642"/>
      <c r="N30" s="642" t="s">
        <v>120</v>
      </c>
      <c r="O30" s="510">
        <v>45323</v>
      </c>
      <c r="P30" s="221" t="s">
        <v>739</v>
      </c>
      <c r="Q30" s="74">
        <f>Table157[[#This Row],[Rate]]*Table157[[#This Row],[Construction Cost to Bill From]]</f>
        <v>36681.165000000001</v>
      </c>
      <c r="R30" s="75">
        <v>0.1</v>
      </c>
      <c r="U30" s="87"/>
      <c r="V30" s="437">
        <v>875</v>
      </c>
      <c r="W30" s="437">
        <v>0</v>
      </c>
      <c r="X30" s="25">
        <v>332101.24</v>
      </c>
      <c r="Y30" s="551"/>
      <c r="Z30" s="561">
        <v>34710.410000000003</v>
      </c>
      <c r="AA30" s="300">
        <f>Table157[[#This Row],[PCTS Investment Amount]]+Table157[[#This Row],[PCTS Retirement Amount]]</f>
        <v>366811.65</v>
      </c>
      <c r="AB30" s="207">
        <v>45335</v>
      </c>
      <c r="AC30" s="108" t="s">
        <v>709</v>
      </c>
      <c r="AD30" s="108" t="s">
        <v>29</v>
      </c>
      <c r="AE30" s="187" t="s">
        <v>116</v>
      </c>
      <c r="AF30" s="568" t="s">
        <v>29</v>
      </c>
      <c r="AG30" s="183">
        <v>45366</v>
      </c>
      <c r="AH30" s="356">
        <v>45366</v>
      </c>
      <c r="AI30" s="499">
        <v>0</v>
      </c>
      <c r="AJ30" s="541">
        <v>3000</v>
      </c>
      <c r="AK30" s="540">
        <v>672</v>
      </c>
      <c r="AL30" s="494">
        <f>SUM(Table157[[#This Row],[Nicor Initiated DBE]:[Staffing]])/(Table157[[#This Row],[Amount Invoiced]])</f>
        <v>0.10010587177370184</v>
      </c>
      <c r="AM30" s="21" t="s">
        <v>116</v>
      </c>
      <c r="AN30" s="680">
        <v>45377</v>
      </c>
      <c r="AO30" s="681">
        <v>11080424</v>
      </c>
      <c r="AP30" s="538">
        <v>335524.99</v>
      </c>
      <c r="AQ30" s="538"/>
      <c r="AR30" s="538">
        <v>34712.800000000003</v>
      </c>
      <c r="AS30" s="538">
        <f>IF(Table157[[#This Row],[PCTS Approved]]="N",0,Table157[[#This Row],[Investment Amount (1'#'#'#'#'#)]]+Table157[[#This Row],[Retirement Amount (3'#'#'#'#'#)]])</f>
        <v>370237.79</v>
      </c>
      <c r="AT30" s="538">
        <f>IF(Table157[[#This Row],[Approved Construction Cost]]=0,0,Table157[[#This Row],[Approved Construction Cost]]-Table157[[#This Row],[Construction Cost to Bill From]])</f>
        <v>3426.1399999999558</v>
      </c>
      <c r="AU30" s="556">
        <f>IFERROR(Table157[[#This Row],[Difference in Construction Cost]]*Table157[[#This Row],[Rate]],Table157[[#This Row],[Difference in Construction Cost]]*0.085)</f>
        <v>342.6139999999956</v>
      </c>
      <c r="AV30" s="682">
        <v>0</v>
      </c>
      <c r="AW30" s="660" t="s">
        <v>950</v>
      </c>
      <c r="AX30" s="538">
        <f>IFERROR(Table157[[#This Row],[Difference in Construction Cost]]*Table157[[#This Row],[Rate]],Table157[[#This Row],[Difference in Construction Cost]]*0.085)</f>
        <v>342.6139999999956</v>
      </c>
      <c r="AY30" s="636">
        <v>45566</v>
      </c>
      <c r="AZ30" s="443">
        <v>123</v>
      </c>
      <c r="BA30" s="334" t="s">
        <v>4</v>
      </c>
      <c r="BB30" s="651" t="s">
        <v>951</v>
      </c>
      <c r="BC30" s="644" t="s">
        <v>905</v>
      </c>
      <c r="BD30" s="479" t="s">
        <v>116</v>
      </c>
      <c r="BE30" s="554" t="s">
        <v>952</v>
      </c>
      <c r="BF30" s="588" t="s">
        <v>953</v>
      </c>
      <c r="BG30" s="588" t="s">
        <v>954</v>
      </c>
      <c r="BH30" s="483" t="s">
        <v>709</v>
      </c>
      <c r="BI30" s="487" t="s">
        <v>955</v>
      </c>
      <c r="BJ30" s="511" t="s">
        <v>709</v>
      </c>
      <c r="BK30" s="623" t="s">
        <v>709</v>
      </c>
      <c r="BL30" s="546" t="s">
        <v>709</v>
      </c>
      <c r="BM30" s="546" t="s">
        <v>116</v>
      </c>
      <c r="BN30" s="622" t="s">
        <v>709</v>
      </c>
      <c r="BO30" s="623" t="s">
        <v>709</v>
      </c>
      <c r="BP30" s="622" t="s">
        <v>709</v>
      </c>
      <c r="BQ30" s="622" t="s">
        <v>709</v>
      </c>
      <c r="BR30" s="623">
        <v>115</v>
      </c>
      <c r="BS30" s="623" t="s">
        <v>709</v>
      </c>
      <c r="BT30" s="623">
        <v>760</v>
      </c>
      <c r="BU30" s="623" t="s">
        <v>709</v>
      </c>
      <c r="BV30" s="623" t="s">
        <v>709</v>
      </c>
      <c r="BW30" s="623" t="s">
        <v>709</v>
      </c>
      <c r="BX30" s="623" t="s">
        <v>709</v>
      </c>
      <c r="BY30" s="546" t="s">
        <v>709</v>
      </c>
      <c r="BZ30" s="623" t="s">
        <v>709</v>
      </c>
      <c r="CA30" s="506"/>
    </row>
    <row r="31" spans="1:79" ht="15" hidden="1" customHeight="1" x14ac:dyDescent="0.25">
      <c r="A31" s="8" t="s">
        <v>749</v>
      </c>
      <c r="B31" s="8" t="s">
        <v>4</v>
      </c>
      <c r="C31" s="656" t="s">
        <v>956</v>
      </c>
      <c r="D31" s="8" t="s">
        <v>957</v>
      </c>
      <c r="E31" s="8" t="s">
        <v>958</v>
      </c>
      <c r="F31" s="8" t="s">
        <v>784</v>
      </c>
      <c r="G31" s="8" t="s">
        <v>31</v>
      </c>
      <c r="H31" s="8" t="s">
        <v>59</v>
      </c>
      <c r="I31" s="642">
        <v>45191</v>
      </c>
      <c r="J31" s="18">
        <v>45334</v>
      </c>
      <c r="K31" s="97">
        <v>45314</v>
      </c>
      <c r="L31" s="16">
        <f>IF(ISTEXT(Table157[[#This Row],[Engineering Approved Design Date]]),Table157[[#This Row],[Date Completed]]-Table157[[#This Row],[Date Assigned to Designer]],Table157[[#This Row],[Engineering Approved Design Date]]-Table157[[#This Row],[Date Completed]])</f>
        <v>20</v>
      </c>
      <c r="M31" s="642"/>
      <c r="N31" s="642" t="s">
        <v>120</v>
      </c>
      <c r="O31" s="510">
        <v>45292</v>
      </c>
      <c r="P31" s="221" t="s">
        <v>739</v>
      </c>
      <c r="Q31" s="343">
        <f>Table157[[#This Row],[Rate]]*Table157[[#This Row],[Construction Cost to Bill From]]</f>
        <v>19990.944000000003</v>
      </c>
      <c r="R31" s="75">
        <v>0.1</v>
      </c>
      <c r="U31" s="87"/>
      <c r="V31" s="437">
        <v>1004</v>
      </c>
      <c r="W31" s="437">
        <v>0</v>
      </c>
      <c r="X31" s="70">
        <v>159361.79</v>
      </c>
      <c r="Y31" s="551"/>
      <c r="Z31" s="570">
        <v>40547.65</v>
      </c>
      <c r="AA31" s="300">
        <f>Table157[[#This Row],[PCTS Retirement Amount]]+Table157[[#This Row],[PCTS Investment Amount]]</f>
        <v>199909.44</v>
      </c>
      <c r="AB31" s="207">
        <v>45225</v>
      </c>
      <c r="AC31" s="108" t="s">
        <v>709</v>
      </c>
      <c r="AD31" s="108" t="s">
        <v>29</v>
      </c>
      <c r="AE31" s="187" t="s">
        <v>116</v>
      </c>
      <c r="AF31" s="568" t="s">
        <v>756</v>
      </c>
      <c r="AG31" s="183">
        <v>45371</v>
      </c>
      <c r="AH31" s="356">
        <v>45371</v>
      </c>
      <c r="AI31" s="526"/>
      <c r="AJ31" s="584">
        <v>2255</v>
      </c>
      <c r="AK31" s="584">
        <v>974</v>
      </c>
      <c r="AL31" s="525">
        <f>SUM(Table157[[#This Row],[Nicor Initiated DBE]:[Staffing]])/(Table157[[#This Row],[Amount Invoiced]])</f>
        <v>0.16152313767674001</v>
      </c>
      <c r="AM31" s="21" t="s">
        <v>116</v>
      </c>
      <c r="AN31" s="680">
        <v>45394</v>
      </c>
      <c r="AO31" s="681">
        <v>11080741</v>
      </c>
      <c r="AP31" s="538">
        <v>149397.6</v>
      </c>
      <c r="AQ31" s="538"/>
      <c r="AR31" s="538">
        <v>44102.61</v>
      </c>
      <c r="AS31" s="538">
        <f>IF(Table157[[#This Row],[PCTS Approved]]="N",0,Table157[[#This Row],[Investment Amount (1'#'#'#'#'#)]]+Table157[[#This Row],[Retirement Amount (3'#'#'#'#'#)]])</f>
        <v>193500.21000000002</v>
      </c>
      <c r="AT31" s="538">
        <f>IF(Table157[[#This Row],[Approved Construction Cost]]=0,0,Table157[[#This Row],[Approved Construction Cost]]-Table157[[#This Row],[Construction Cost to Bill From]])</f>
        <v>-6409.2299999999814</v>
      </c>
      <c r="AU31" s="556">
        <f>IFERROR(Table157[[#This Row],[Difference in Construction Cost]]*Table157[[#This Row],[Rate]],Table157[[#This Row],[Difference in Construction Cost]]*0.085)</f>
        <v>-640.92299999999818</v>
      </c>
      <c r="AV31" s="719">
        <v>0</v>
      </c>
      <c r="AW31" s="691" t="s">
        <v>959</v>
      </c>
      <c r="AX31" s="538">
        <f>IFERROR(Table157[[#This Row],[Difference in Construction Cost]]*Table157[[#This Row],[Rate]],Table157[[#This Row],[Difference in Construction Cost]]*0.085)</f>
        <v>-640.92299999999818</v>
      </c>
      <c r="AY31" s="636">
        <v>45566</v>
      </c>
      <c r="AZ31" s="443">
        <v>120</v>
      </c>
      <c r="BA31" s="334" t="s">
        <v>4</v>
      </c>
      <c r="BB31" s="670" t="s">
        <v>960</v>
      </c>
      <c r="BC31" s="671" t="s">
        <v>961</v>
      </c>
      <c r="BD31" s="479" t="s">
        <v>709</v>
      </c>
      <c r="BE31" s="554" t="s">
        <v>709</v>
      </c>
      <c r="BF31" s="588" t="s">
        <v>592</v>
      </c>
      <c r="BG31" s="588" t="s">
        <v>709</v>
      </c>
      <c r="BH31" s="483" t="s">
        <v>962</v>
      </c>
      <c r="BI31" s="487" t="s">
        <v>963</v>
      </c>
      <c r="BJ31" s="511" t="s">
        <v>709</v>
      </c>
      <c r="BK31" s="623" t="s">
        <v>709</v>
      </c>
      <c r="BL31" s="546" t="s">
        <v>116</v>
      </c>
      <c r="BM31" s="546" t="s">
        <v>709</v>
      </c>
      <c r="BN31" s="546" t="s">
        <v>709</v>
      </c>
      <c r="BO31" s="546" t="s">
        <v>709</v>
      </c>
      <c r="BP31" s="546" t="s">
        <v>709</v>
      </c>
      <c r="BQ31" s="546" t="s">
        <v>709</v>
      </c>
      <c r="BR31" s="546" t="s">
        <v>709</v>
      </c>
      <c r="BS31" s="623">
        <v>1004</v>
      </c>
      <c r="BT31" s="623" t="s">
        <v>709</v>
      </c>
      <c r="BU31" s="623" t="s">
        <v>709</v>
      </c>
      <c r="BV31" s="623" t="s">
        <v>709</v>
      </c>
      <c r="BW31" s="623" t="s">
        <v>709</v>
      </c>
      <c r="BX31" s="623" t="s">
        <v>709</v>
      </c>
      <c r="BY31" s="623" t="s">
        <v>709</v>
      </c>
      <c r="BZ31" s="623" t="s">
        <v>709</v>
      </c>
      <c r="CA31" s="506"/>
    </row>
    <row r="32" spans="1:79" ht="15" hidden="1" customHeight="1" x14ac:dyDescent="0.25">
      <c r="A32" s="8" t="s">
        <v>749</v>
      </c>
      <c r="B32" s="8" t="s">
        <v>4</v>
      </c>
      <c r="C32" s="656" t="s">
        <v>964</v>
      </c>
      <c r="D32" s="8" t="s">
        <v>965</v>
      </c>
      <c r="E32" s="8" t="s">
        <v>966</v>
      </c>
      <c r="F32" s="8" t="s">
        <v>784</v>
      </c>
      <c r="G32" s="8" t="s">
        <v>25</v>
      </c>
      <c r="H32" s="13" t="s">
        <v>59</v>
      </c>
      <c r="I32" s="642">
        <v>45005</v>
      </c>
      <c r="J32" s="18">
        <v>45163</v>
      </c>
      <c r="K32" s="175">
        <v>45153</v>
      </c>
      <c r="L32" s="16">
        <f>IF(ISTEXT(Table157[[#This Row],[Engineering Approved Design Date]]),Table157[[#This Row],[Date Completed]]-Table157[[#This Row],[Date Assigned to Designer]],Table157[[#This Row],[Engineering Approved Design Date]]-Table157[[#This Row],[Date Completed]])</f>
        <v>10</v>
      </c>
      <c r="M32" s="642"/>
      <c r="N32" s="642" t="s">
        <v>120</v>
      </c>
      <c r="O32" s="510">
        <v>45170</v>
      </c>
      <c r="P32" s="221" t="s">
        <v>739</v>
      </c>
      <c r="Q32" s="74">
        <f>Table157[[#This Row],[Rate]]*Table157[[#This Row],[Construction Cost to Bill From]]</f>
        <v>358660.56700000004</v>
      </c>
      <c r="R32" s="75">
        <v>0.1</v>
      </c>
      <c r="U32" s="87"/>
      <c r="V32" s="437">
        <v>5546</v>
      </c>
      <c r="W32" s="437">
        <v>0</v>
      </c>
      <c r="X32" s="106">
        <v>2051036.21</v>
      </c>
      <c r="Y32" s="551"/>
      <c r="Z32" s="552">
        <v>1535569.46</v>
      </c>
      <c r="AA32" s="300">
        <f>SUM(Table157[[#This Row],[PCTS Investment Amount]:[PCTS Retirement Amount]])</f>
        <v>3586605.67</v>
      </c>
      <c r="AB32" s="207">
        <v>45159</v>
      </c>
      <c r="AC32" s="108" t="s">
        <v>709</v>
      </c>
      <c r="AD32" s="108" t="s">
        <v>116</v>
      </c>
      <c r="AE32" s="187" t="s">
        <v>756</v>
      </c>
      <c r="AF32" s="568" t="s">
        <v>116</v>
      </c>
      <c r="AG32" s="568" t="s">
        <v>116</v>
      </c>
      <c r="AH32" s="356">
        <v>45160</v>
      </c>
      <c r="AI32" s="489"/>
      <c r="AJ32" s="553"/>
      <c r="AK32" s="553"/>
      <c r="AL32" s="495">
        <f>SUM(Table157[[#This Row],[Nicor Initiated DBE]:[Staffing]])/(Table157[[#This Row],[Amount Invoiced]])</f>
        <v>0</v>
      </c>
      <c r="AM32" s="21" t="s">
        <v>116</v>
      </c>
      <c r="AN32" s="680">
        <v>45398</v>
      </c>
      <c r="AO32" s="681">
        <v>11080446</v>
      </c>
      <c r="AP32" s="538">
        <v>2069755.83</v>
      </c>
      <c r="AQ32" s="538"/>
      <c r="AR32" s="538">
        <v>1535578.54</v>
      </c>
      <c r="AS32" s="538">
        <f>IF(Table157[[#This Row],[PCTS Approved]]="N",0,Table157[[#This Row],[Investment Amount (1'#'#'#'#'#)]]+Table157[[#This Row],[Retirement Amount (3'#'#'#'#'#)]])</f>
        <v>3605334.37</v>
      </c>
      <c r="AT32" s="538">
        <f>IF(Table157[[#This Row],[Approved Construction Cost]]=0,0,Table157[[#This Row],[Approved Construction Cost]]-Table157[[#This Row],[Construction Cost to Bill From]])</f>
        <v>18728.700000000186</v>
      </c>
      <c r="AU32" s="556">
        <f>IFERROR(Table157[[#This Row],[Difference in Construction Cost]]*Table157[[#This Row],[Rate]],Table157[[#This Row],[Difference in Construction Cost]]*0.085)</f>
        <v>1872.8700000000188</v>
      </c>
      <c r="AV32" s="682">
        <v>0</v>
      </c>
      <c r="AW32" s="660" t="s">
        <v>967</v>
      </c>
      <c r="AX32" s="538">
        <f>IFERROR(Table157[[#This Row],[Difference in Construction Cost]]*Table157[[#This Row],[Rate]],Table157[[#This Row],[Difference in Construction Cost]]*0.085)</f>
        <v>1872.8700000000188</v>
      </c>
      <c r="AY32" s="636">
        <v>45566</v>
      </c>
      <c r="AZ32" s="443">
        <v>95</v>
      </c>
      <c r="BA32" s="334" t="s">
        <v>4</v>
      </c>
      <c r="BB32" s="652" t="s">
        <v>968</v>
      </c>
      <c r="BC32" s="644" t="s">
        <v>870</v>
      </c>
      <c r="BD32" s="478" t="s">
        <v>116</v>
      </c>
      <c r="BE32" s="544" t="s">
        <v>969</v>
      </c>
      <c r="BF32" s="544" t="s">
        <v>970</v>
      </c>
      <c r="BG32" s="544" t="s">
        <v>709</v>
      </c>
      <c r="BH32" s="483" t="s">
        <v>971</v>
      </c>
      <c r="BI32" s="537" t="s">
        <v>972</v>
      </c>
      <c r="BJ32" s="511" t="s">
        <v>709</v>
      </c>
      <c r="BK32" s="546" t="s">
        <v>709</v>
      </c>
      <c r="BL32" s="546" t="s">
        <v>709</v>
      </c>
      <c r="BM32" s="546" t="s">
        <v>116</v>
      </c>
      <c r="BN32" s="546" t="s">
        <v>709</v>
      </c>
      <c r="BO32" s="546" t="s">
        <v>709</v>
      </c>
      <c r="BP32" s="546" t="s">
        <v>709</v>
      </c>
      <c r="BQ32" s="546" t="s">
        <v>709</v>
      </c>
      <c r="BR32" s="546">
        <v>4733</v>
      </c>
      <c r="BS32" s="546">
        <v>384</v>
      </c>
      <c r="BT32" s="546">
        <v>429</v>
      </c>
      <c r="BU32" s="546" t="s">
        <v>709</v>
      </c>
      <c r="BV32" s="546" t="s">
        <v>709</v>
      </c>
      <c r="BW32" s="546" t="s">
        <v>709</v>
      </c>
      <c r="BX32" s="546" t="s">
        <v>709</v>
      </c>
      <c r="BY32" s="546" t="s">
        <v>745</v>
      </c>
      <c r="BZ32" s="546" t="s">
        <v>709</v>
      </c>
      <c r="CA32" s="506"/>
    </row>
    <row r="33" spans="1:79" ht="15" hidden="1" customHeight="1" x14ac:dyDescent="0.25">
      <c r="A33" s="8">
        <v>2023</v>
      </c>
      <c r="B33" s="8" t="s">
        <v>4</v>
      </c>
      <c r="C33" s="656" t="s">
        <v>973</v>
      </c>
      <c r="D33" s="8" t="s">
        <v>974</v>
      </c>
      <c r="E33" s="8" t="s">
        <v>975</v>
      </c>
      <c r="F33" s="8" t="s">
        <v>747</v>
      </c>
      <c r="G33" s="8" t="s">
        <v>27</v>
      </c>
      <c r="H33" s="8" t="s">
        <v>413</v>
      </c>
      <c r="I33" s="642">
        <v>44120</v>
      </c>
      <c r="J33" s="18">
        <v>45260</v>
      </c>
      <c r="K33" s="97">
        <v>45251</v>
      </c>
      <c r="L33" s="16">
        <f>IF(ISTEXT(Table157[[#This Row],[Engineering Approved Design Date]]),Table157[[#This Row],[Date Completed]]-Table157[[#This Row],[Date Assigned to Designer]],Table157[[#This Row],[Engineering Approved Design Date]]-Table157[[#This Row],[Date Completed]])</f>
        <v>9</v>
      </c>
      <c r="M33" s="642"/>
      <c r="N33" s="642" t="s">
        <v>120</v>
      </c>
      <c r="O33" s="510">
        <v>45261</v>
      </c>
      <c r="P33" s="221" t="s">
        <v>739</v>
      </c>
      <c r="Q33" s="74">
        <f>Table157[[#This Row],[Rate]]*Table157[[#This Row],[Construction Cost to Bill From]]</f>
        <v>25911.984</v>
      </c>
      <c r="R33" s="75">
        <v>0.1</v>
      </c>
      <c r="U33" s="87"/>
      <c r="V33" s="437">
        <v>240</v>
      </c>
      <c r="W33" s="437">
        <v>0</v>
      </c>
      <c r="X33" s="24">
        <v>221240.09</v>
      </c>
      <c r="Y33" s="551"/>
      <c r="Z33" s="552">
        <v>37879.75</v>
      </c>
      <c r="AA33" s="300">
        <f>SUM(Table157[[#This Row],[PCTS Investment Amount]:[PCTS Retirement Amount]])</f>
        <v>259119.84</v>
      </c>
      <c r="AB33" s="207">
        <v>45259</v>
      </c>
      <c r="AC33" s="108" t="s">
        <v>29</v>
      </c>
      <c r="AD33" s="108" t="s">
        <v>29</v>
      </c>
      <c r="AE33" s="187" t="s">
        <v>116</v>
      </c>
      <c r="AF33" s="568" t="s">
        <v>756</v>
      </c>
      <c r="AG33" s="183">
        <v>45371</v>
      </c>
      <c r="AH33" s="356">
        <v>45371</v>
      </c>
      <c r="AI33" s="489"/>
      <c r="AJ33" s="553"/>
      <c r="AK33" s="553"/>
      <c r="AL33" s="495"/>
      <c r="AM33" s="21" t="s">
        <v>116</v>
      </c>
      <c r="AN33" s="680">
        <v>45406</v>
      </c>
      <c r="AO33" s="681">
        <v>11081728</v>
      </c>
      <c r="AP33" s="538">
        <v>221242.69</v>
      </c>
      <c r="AQ33" s="538"/>
      <c r="AR33" s="538">
        <v>38476.71</v>
      </c>
      <c r="AS33" s="538">
        <f>IF(Table157[[#This Row],[PCTS Approved]]="N",0,Table157[[#This Row],[Investment Amount (1'#'#'#'#'#)]]+Table157[[#This Row],[Retirement Amount (3'#'#'#'#'#)]])</f>
        <v>259719.4</v>
      </c>
      <c r="AT33" s="538">
        <f>IF(Table157[[#This Row],[Approved Construction Cost]]=0,0,Table157[[#This Row],[Approved Construction Cost]]-Table157[[#This Row],[Construction Cost to Bill From]])</f>
        <v>599.55999999999767</v>
      </c>
      <c r="AU33" s="556">
        <f>IFERROR(Table157[[#This Row],[Difference in Construction Cost]]*Table157[[#This Row],[Rate]],Table157[[#This Row],[Difference in Construction Cost]]*0.085)</f>
        <v>59.955999999999769</v>
      </c>
      <c r="AV33" s="682">
        <v>0</v>
      </c>
      <c r="AW33" s="660" t="s">
        <v>976</v>
      </c>
      <c r="AX33" s="538">
        <f>IFERROR(Table157[[#This Row],[Difference in Construction Cost]]*Table157[[#This Row],[Rate]],Table157[[#This Row],[Difference in Construction Cost]]*0.085)</f>
        <v>59.955999999999769</v>
      </c>
      <c r="AY33" s="636">
        <v>45566</v>
      </c>
      <c r="AZ33" s="443">
        <v>108</v>
      </c>
      <c r="BA33" s="334" t="s">
        <v>4</v>
      </c>
      <c r="BB33" s="651" t="s">
        <v>977</v>
      </c>
      <c r="BC33" s="644" t="s">
        <v>978</v>
      </c>
      <c r="BD33" s="479" t="s">
        <v>709</v>
      </c>
      <c r="BE33" s="554" t="s">
        <v>882</v>
      </c>
      <c r="BF33" s="588" t="s">
        <v>979</v>
      </c>
      <c r="BG33" s="588" t="s">
        <v>709</v>
      </c>
      <c r="BH33" s="483" t="s">
        <v>980</v>
      </c>
      <c r="BI33" s="537" t="s">
        <v>981</v>
      </c>
      <c r="BJ33" s="511" t="s">
        <v>709</v>
      </c>
      <c r="BK33" s="623" t="s">
        <v>709</v>
      </c>
      <c r="BL33" s="546" t="s">
        <v>709</v>
      </c>
      <c r="BM33" s="546" t="s">
        <v>116</v>
      </c>
      <c r="BN33" s="622" t="s">
        <v>709</v>
      </c>
      <c r="BO33" s="623" t="s">
        <v>709</v>
      </c>
      <c r="BP33" s="622" t="s">
        <v>709</v>
      </c>
      <c r="BQ33" s="622" t="s">
        <v>709</v>
      </c>
      <c r="BR33" s="623" t="s">
        <v>709</v>
      </c>
      <c r="BS33" s="623" t="s">
        <v>709</v>
      </c>
      <c r="BT33" s="623">
        <v>240</v>
      </c>
      <c r="BU33" s="623" t="s">
        <v>709</v>
      </c>
      <c r="BV33" s="623" t="s">
        <v>709</v>
      </c>
      <c r="BW33" s="623" t="s">
        <v>709</v>
      </c>
      <c r="BX33" s="623" t="s">
        <v>709</v>
      </c>
      <c r="BY33" s="546" t="s">
        <v>709</v>
      </c>
      <c r="BZ33" s="623" t="s">
        <v>709</v>
      </c>
      <c r="CA33" s="506"/>
    </row>
    <row r="34" spans="1:79" ht="15" hidden="1" customHeight="1" x14ac:dyDescent="0.25">
      <c r="A34" s="8" t="s">
        <v>800</v>
      </c>
      <c r="B34" s="8" t="s">
        <v>4</v>
      </c>
      <c r="C34" s="656" t="s">
        <v>982</v>
      </c>
      <c r="D34" s="8" t="s">
        <v>983</v>
      </c>
      <c r="E34" s="8" t="s">
        <v>354</v>
      </c>
      <c r="F34" s="8" t="s">
        <v>784</v>
      </c>
      <c r="G34" s="8" t="s">
        <v>26</v>
      </c>
      <c r="H34" s="8" t="s">
        <v>59</v>
      </c>
      <c r="I34" s="642">
        <v>45177</v>
      </c>
      <c r="J34" s="18">
        <v>45282</v>
      </c>
      <c r="K34" s="97">
        <v>45268</v>
      </c>
      <c r="L34" s="16">
        <f>IF(ISTEXT(Table157[[#This Row],[Engineering Approved Design Date]]),Table157[[#This Row],[Date Completed]]-Table157[[#This Row],[Date Assigned to Designer]],Table157[[#This Row],[Engineering Approved Design Date]]-Table157[[#This Row],[Date Completed]])</f>
        <v>14</v>
      </c>
      <c r="M34" s="642"/>
      <c r="N34" s="642" t="s">
        <v>120</v>
      </c>
      <c r="O34" s="510">
        <v>45292</v>
      </c>
      <c r="P34" s="221" t="s">
        <v>739</v>
      </c>
      <c r="Q34" s="343">
        <f>Table157[[#This Row],[Rate]]*Table157[[#This Row],[Construction Cost to Bill From]]</f>
        <v>80522.115000000005</v>
      </c>
      <c r="R34" s="75">
        <v>0.1</v>
      </c>
      <c r="U34" s="87"/>
      <c r="V34" s="437">
        <v>934</v>
      </c>
      <c r="W34" s="437">
        <v>0</v>
      </c>
      <c r="X34" s="70">
        <v>713766.41</v>
      </c>
      <c r="Y34" s="551"/>
      <c r="Z34" s="570">
        <v>91454.74</v>
      </c>
      <c r="AA34" s="300">
        <f>SUM(Table157[[#This Row],[PCTS Investment Amount]:[PCTS Retirement Amount]])</f>
        <v>805221.15</v>
      </c>
      <c r="AB34" s="207">
        <v>45257</v>
      </c>
      <c r="AC34" s="108" t="s">
        <v>709</v>
      </c>
      <c r="AD34" s="108" t="s">
        <v>29</v>
      </c>
      <c r="AE34" s="187" t="s">
        <v>116</v>
      </c>
      <c r="AF34" s="568" t="s">
        <v>116</v>
      </c>
      <c r="AG34" s="568" t="s">
        <v>116</v>
      </c>
      <c r="AH34" s="356">
        <v>45308</v>
      </c>
      <c r="AI34" s="505">
        <v>0</v>
      </c>
      <c r="AJ34" s="586"/>
      <c r="AK34" s="586">
        <v>777</v>
      </c>
      <c r="AL34" s="494">
        <f>SUM(Table157[[#This Row],[Nicor Initiated DBE]:[Staffing]])/(Table157[[#This Row],[Amount Invoiced]])</f>
        <v>9.6495229912925157E-3</v>
      </c>
      <c r="AM34" s="21" t="s">
        <v>116</v>
      </c>
      <c r="AN34" s="680">
        <v>45406</v>
      </c>
      <c r="AO34" s="681">
        <v>11081357</v>
      </c>
      <c r="AP34" s="538">
        <v>724927.25</v>
      </c>
      <c r="AQ34" s="538"/>
      <c r="AR34" s="538">
        <v>103189.68</v>
      </c>
      <c r="AS34" s="538">
        <f>IF(Table157[[#This Row],[PCTS Approved]]="N",0,Table157[[#This Row],[Investment Amount (1'#'#'#'#'#)]]+Table157[[#This Row],[Retirement Amount (3'#'#'#'#'#)]])</f>
        <v>828116.92999999993</v>
      </c>
      <c r="AT34" s="538">
        <f>IF(Table157[[#This Row],[Approved Construction Cost]]=0,0,Table157[[#This Row],[Approved Construction Cost]]-Table157[[#This Row],[Construction Cost to Bill From]])</f>
        <v>22895.779999999912</v>
      </c>
      <c r="AU34" s="556">
        <f>IFERROR(Table157[[#This Row],[Difference in Construction Cost]]*Table157[[#This Row],[Rate]],Table157[[#This Row],[Difference in Construction Cost]]*0.085)</f>
        <v>2289.5779999999913</v>
      </c>
      <c r="AV34" s="682">
        <v>0</v>
      </c>
      <c r="AW34" s="660" t="s">
        <v>984</v>
      </c>
      <c r="AX34" s="538">
        <f>IFERROR(Table157[[#This Row],[Difference in Construction Cost]]*Table157[[#This Row],[Rate]],Table157[[#This Row],[Difference in Construction Cost]]*0.085)</f>
        <v>2289.5779999999913</v>
      </c>
      <c r="AY34" s="636">
        <v>45566</v>
      </c>
      <c r="AZ34" s="443">
        <v>111</v>
      </c>
      <c r="BA34" s="334" t="s">
        <v>4</v>
      </c>
      <c r="BB34" s="668" t="s">
        <v>985</v>
      </c>
      <c r="BC34" s="669" t="s">
        <v>986</v>
      </c>
      <c r="BD34" s="663" t="s">
        <v>709</v>
      </c>
      <c r="BE34" s="664" t="s">
        <v>743</v>
      </c>
      <c r="BF34" s="664" t="s">
        <v>588</v>
      </c>
      <c r="BG34" s="664" t="s">
        <v>709</v>
      </c>
      <c r="BH34" s="483" t="s">
        <v>709</v>
      </c>
      <c r="BI34" s="537" t="s">
        <v>987</v>
      </c>
      <c r="BJ34" s="511" t="s">
        <v>709</v>
      </c>
      <c r="BK34" s="623" t="s">
        <v>709</v>
      </c>
      <c r="BL34" s="546" t="s">
        <v>709</v>
      </c>
      <c r="BM34" s="546" t="s">
        <v>116</v>
      </c>
      <c r="BN34" s="622" t="s">
        <v>709</v>
      </c>
      <c r="BO34" s="623" t="s">
        <v>709</v>
      </c>
      <c r="BP34" s="622" t="s">
        <v>709</v>
      </c>
      <c r="BQ34" s="622" t="s">
        <v>709</v>
      </c>
      <c r="BR34" s="623">
        <v>648</v>
      </c>
      <c r="BS34" s="623" t="s">
        <v>709</v>
      </c>
      <c r="BT34" s="623">
        <v>286</v>
      </c>
      <c r="BU34" s="623" t="s">
        <v>709</v>
      </c>
      <c r="BV34" s="623" t="s">
        <v>709</v>
      </c>
      <c r="BW34" s="623" t="s">
        <v>709</v>
      </c>
      <c r="BX34" s="623" t="s">
        <v>709</v>
      </c>
      <c r="BY34" s="546" t="s">
        <v>709</v>
      </c>
      <c r="BZ34" s="623" t="s">
        <v>709</v>
      </c>
      <c r="CA34" s="506"/>
    </row>
    <row r="35" spans="1:79" ht="15" hidden="1" customHeight="1" x14ac:dyDescent="0.25">
      <c r="A35" s="8" t="s">
        <v>800</v>
      </c>
      <c r="B35" s="8" t="s">
        <v>4</v>
      </c>
      <c r="C35" s="656" t="s">
        <v>988</v>
      </c>
      <c r="D35" s="8" t="s">
        <v>989</v>
      </c>
      <c r="E35" s="8" t="s">
        <v>354</v>
      </c>
      <c r="F35" s="8" t="s">
        <v>784</v>
      </c>
      <c r="G35" s="8" t="s">
        <v>35</v>
      </c>
      <c r="H35" s="8" t="s">
        <v>59</v>
      </c>
      <c r="I35" s="642">
        <v>45293</v>
      </c>
      <c r="J35" s="18">
        <v>45357</v>
      </c>
      <c r="K35" s="97">
        <v>45357</v>
      </c>
      <c r="L35" s="16">
        <f>IF(ISTEXT(Table157[[#This Row],[Engineering Approved Design Date]]),Table157[[#This Row],[Date Completed]]-Table157[[#This Row],[Date Assigned to Designer]],Table157[[#This Row],[Engineering Approved Design Date]]-Table157[[#This Row],[Date Completed]])</f>
        <v>0</v>
      </c>
      <c r="M35" s="642"/>
      <c r="N35" s="642" t="s">
        <v>120</v>
      </c>
      <c r="O35" s="510">
        <v>45352</v>
      </c>
      <c r="P35" s="221" t="s">
        <v>739</v>
      </c>
      <c r="Q35" s="74">
        <f>Table157[[#This Row],[Rate]]*Table157[[#This Row],[Construction Cost to Bill From]]</f>
        <v>135052.08799999999</v>
      </c>
      <c r="R35" s="75">
        <v>0.1</v>
      </c>
      <c r="U35" s="87"/>
      <c r="V35" s="437">
        <v>1129</v>
      </c>
      <c r="W35" s="437">
        <v>0</v>
      </c>
      <c r="X35" s="70">
        <v>942013.64</v>
      </c>
      <c r="Y35" s="595"/>
      <c r="Z35" s="570">
        <v>408507.24</v>
      </c>
      <c r="AA35" s="300">
        <f>Table157[[#This Row],[PCTS Retirement Amount]]+Table157[[#This Row],[PCTS Investment Amount]]</f>
        <v>1350520.88</v>
      </c>
      <c r="AB35" s="207">
        <v>45359</v>
      </c>
      <c r="AC35" s="22" t="s">
        <v>116</v>
      </c>
      <c r="AD35" s="22" t="s">
        <v>29</v>
      </c>
      <c r="AE35" s="187" t="s">
        <v>116</v>
      </c>
      <c r="AF35" s="568" t="s">
        <v>116</v>
      </c>
      <c r="AG35" s="183" t="s">
        <v>376</v>
      </c>
      <c r="AH35" s="356">
        <v>45406</v>
      </c>
      <c r="AI35" s="499">
        <v>0</v>
      </c>
      <c r="AJ35" s="541">
        <v>9990</v>
      </c>
      <c r="AK35" s="541">
        <v>14813.5</v>
      </c>
      <c r="AL35" s="494">
        <f>SUM(Table157[[#This Row],[Nicor Initiated DBE]:[Staffing]])/(Table157[[#This Row],[Amount Invoiced]])</f>
        <v>0.18365876727503838</v>
      </c>
      <c r="AM35" s="21" t="s">
        <v>116</v>
      </c>
      <c r="AN35" s="680">
        <v>45406</v>
      </c>
      <c r="AO35" s="681">
        <v>11080859</v>
      </c>
      <c r="AP35" s="538">
        <v>940384.55</v>
      </c>
      <c r="AQ35" s="538"/>
      <c r="AR35" s="538">
        <v>417182.09</v>
      </c>
      <c r="AS35" s="538">
        <f>IF(Table157[[#This Row],[PCTS Approved]]="N",0,Table157[[#This Row],[Investment Amount (1'#'#'#'#'#)]]+Table157[[#This Row],[Retirement Amount (3'#'#'#'#'#)]])</f>
        <v>1357566.6400000001</v>
      </c>
      <c r="AT35" s="538">
        <f>IF(Table157[[#This Row],[Approved Construction Cost]]=0,0,Table157[[#This Row],[Approved Construction Cost]]-Table157[[#This Row],[Construction Cost to Bill From]])</f>
        <v>7045.7600000002421</v>
      </c>
      <c r="AU35" s="556">
        <f>IFERROR(Table157[[#This Row],[Difference in Construction Cost]]*Table157[[#This Row],[Rate]],Table157[[#This Row],[Difference in Construction Cost]]*0.085)</f>
        <v>704.57600000002424</v>
      </c>
      <c r="AV35" s="682">
        <v>0</v>
      </c>
      <c r="AW35" s="660" t="s">
        <v>990</v>
      </c>
      <c r="AX35" s="538">
        <f>IFERROR(Table157[[#This Row],[Difference in Construction Cost]]*Table157[[#This Row],[Rate]],Table157[[#This Row],[Difference in Construction Cost]]*0.085)</f>
        <v>704.57600000002424</v>
      </c>
      <c r="AY35" s="636">
        <v>45566</v>
      </c>
      <c r="AZ35" s="443">
        <v>128</v>
      </c>
      <c r="BA35" s="334" t="s">
        <v>4</v>
      </c>
      <c r="BB35" s="651" t="s">
        <v>991</v>
      </c>
      <c r="BC35" s="644" t="s">
        <v>986</v>
      </c>
      <c r="BD35" s="479" t="s">
        <v>992</v>
      </c>
      <c r="BE35" s="554" t="s">
        <v>743</v>
      </c>
      <c r="BF35" s="588" t="s">
        <v>588</v>
      </c>
      <c r="BG35" s="588" t="s">
        <v>588</v>
      </c>
      <c r="BH35" s="483" t="s">
        <v>709</v>
      </c>
      <c r="BI35" s="487" t="s">
        <v>993</v>
      </c>
      <c r="BJ35" s="511" t="s">
        <v>709</v>
      </c>
      <c r="BK35" s="623" t="s">
        <v>709</v>
      </c>
      <c r="BL35" s="546" t="s">
        <v>709</v>
      </c>
      <c r="BM35" s="546" t="s">
        <v>116</v>
      </c>
      <c r="BN35" s="622" t="s">
        <v>709</v>
      </c>
      <c r="BO35" s="623">
        <v>254</v>
      </c>
      <c r="BP35" s="622" t="s">
        <v>709</v>
      </c>
      <c r="BQ35" s="622" t="s">
        <v>709</v>
      </c>
      <c r="BR35" s="623" t="s">
        <v>709</v>
      </c>
      <c r="BS35" s="623">
        <v>55</v>
      </c>
      <c r="BT35" s="623">
        <v>820</v>
      </c>
      <c r="BU35" s="623" t="s">
        <v>745</v>
      </c>
      <c r="BV35" s="623" t="s">
        <v>709</v>
      </c>
      <c r="BW35" s="623" t="s">
        <v>745</v>
      </c>
      <c r="BX35" s="623" t="s">
        <v>709</v>
      </c>
      <c r="BY35" s="546" t="s">
        <v>745</v>
      </c>
      <c r="BZ35" s="623" t="s">
        <v>745</v>
      </c>
      <c r="CA35" s="506"/>
    </row>
    <row r="36" spans="1:79" ht="15" hidden="1" customHeight="1" x14ac:dyDescent="0.25">
      <c r="A36" s="8" t="s">
        <v>994</v>
      </c>
      <c r="B36" s="8" t="s">
        <v>4</v>
      </c>
      <c r="C36" s="656" t="s">
        <v>995</v>
      </c>
      <c r="D36" s="656" t="s">
        <v>996</v>
      </c>
      <c r="E36" s="8" t="s">
        <v>997</v>
      </c>
      <c r="F36" s="8" t="s">
        <v>325</v>
      </c>
      <c r="G36" s="8" t="s">
        <v>31</v>
      </c>
      <c r="H36" s="8" t="s">
        <v>59</v>
      </c>
      <c r="I36" s="642">
        <v>43700</v>
      </c>
      <c r="J36" s="18">
        <v>43819</v>
      </c>
      <c r="K36" s="642">
        <v>43822</v>
      </c>
      <c r="L36" s="16">
        <f>IF(ISTEXT(Table157[[#This Row],[Engineering Approved Design Date]]),Table157[[#This Row],[Date Completed]]-Table157[[#This Row],[Date Assigned to Designer]],Table157[[#This Row],[Engineering Approved Design Date]]-Table157[[#This Row],[Date Completed]])</f>
        <v>-3</v>
      </c>
      <c r="M36" s="642" t="s">
        <v>998</v>
      </c>
      <c r="N36" s="642" t="s">
        <v>120</v>
      </c>
      <c r="O36" s="534">
        <v>43831</v>
      </c>
      <c r="P36" s="68" t="s">
        <v>739</v>
      </c>
      <c r="Q36" s="436">
        <f>AA36*R36</f>
        <v>11475.480800000001</v>
      </c>
      <c r="R36" s="76">
        <v>7.0000000000000007E-2</v>
      </c>
      <c r="V36" s="437">
        <v>252</v>
      </c>
      <c r="X36" s="24">
        <v>118214.29</v>
      </c>
      <c r="Y36" s="592">
        <v>0</v>
      </c>
      <c r="Z36" s="538">
        <v>45721.15</v>
      </c>
      <c r="AA36" s="28">
        <f>X36-Y36+Z36</f>
        <v>163935.44</v>
      </c>
      <c r="AB36" s="68"/>
      <c r="AC36" s="22"/>
      <c r="AD36" s="22"/>
      <c r="AE36" s="348"/>
      <c r="AF36" s="580"/>
      <c r="AG36" s="580"/>
      <c r="AH36" s="353"/>
      <c r="AI36" s="426"/>
      <c r="AJ36" s="542"/>
      <c r="AK36" s="542"/>
      <c r="AL36" s="493">
        <f>SUM(Table157[[#This Row],[Nicor Initiated DBE]:[Staffing]])/(Table157[[#This Row],[Amount Invoiced]])</f>
        <v>0</v>
      </c>
      <c r="AM36" s="21" t="s">
        <v>116</v>
      </c>
      <c r="AN36" s="680">
        <v>45428</v>
      </c>
      <c r="AO36" s="681">
        <v>11082704</v>
      </c>
      <c r="AP36" s="538">
        <v>128004.43</v>
      </c>
      <c r="AQ36" s="538"/>
      <c r="AR36" s="538">
        <v>59714.71</v>
      </c>
      <c r="AS36" s="538">
        <f>IF(Table157[[#This Row],[PCTS Approved]]="N",0,Table157[[#This Row],[Investment Amount (1'#'#'#'#'#)]]+Table157[[#This Row],[Retirement Amount (3'#'#'#'#'#)]])</f>
        <v>187719.13999999998</v>
      </c>
      <c r="AT36" s="538">
        <f>IF(Table157[[#This Row],[Approved Construction Cost]]=0,0,Table157[[#This Row],[Approved Construction Cost]]-Table157[[#This Row],[Construction Cost to Bill From]])</f>
        <v>23783.699999999983</v>
      </c>
      <c r="AU36" s="556">
        <f>IFERROR(Table157[[#This Row],[Difference in Construction Cost]]*Table157[[#This Row],[Rate]],Table157[[#This Row],[Difference in Construction Cost]]*0.085)</f>
        <v>1664.858999999999</v>
      </c>
      <c r="AV36" s="682">
        <v>0</v>
      </c>
      <c r="AW36" s="686" t="s">
        <v>999</v>
      </c>
      <c r="AX36" s="538">
        <f>IFERROR(Table157[[#This Row],[Difference in Construction Cost]]*Table157[[#This Row],[Rate]],Table157[[#This Row],[Difference in Construction Cost]]*0.085)</f>
        <v>1664.858999999999</v>
      </c>
      <c r="AY36" s="636">
        <v>45566</v>
      </c>
      <c r="AZ36" s="443">
        <v>53</v>
      </c>
      <c r="BA36" s="334" t="s">
        <v>4</v>
      </c>
      <c r="BB36" s="652" t="s">
        <v>1000</v>
      </c>
      <c r="BC36" s="644" t="s">
        <v>1001</v>
      </c>
      <c r="BD36" s="478"/>
      <c r="BE36" s="544"/>
      <c r="BF36" s="544"/>
      <c r="BG36" s="544"/>
      <c r="BH36" s="512"/>
      <c r="BI36" s="545"/>
      <c r="BJ36" s="511" t="s">
        <v>709</v>
      </c>
      <c r="BK36" s="546" t="s">
        <v>709</v>
      </c>
      <c r="BL36" s="546" t="s">
        <v>709</v>
      </c>
      <c r="BM36" s="546" t="s">
        <v>116</v>
      </c>
      <c r="BN36" s="546" t="s">
        <v>709</v>
      </c>
      <c r="BO36" s="546" t="s">
        <v>709</v>
      </c>
      <c r="BP36" s="546" t="s">
        <v>709</v>
      </c>
      <c r="BQ36" s="546" t="s">
        <v>709</v>
      </c>
      <c r="BR36" s="546" t="s">
        <v>709</v>
      </c>
      <c r="BS36" s="546">
        <v>252</v>
      </c>
      <c r="BT36" s="546" t="s">
        <v>709</v>
      </c>
      <c r="BU36" s="546" t="s">
        <v>709</v>
      </c>
      <c r="BV36" s="546" t="s">
        <v>709</v>
      </c>
      <c r="BW36" s="546" t="s">
        <v>709</v>
      </c>
      <c r="BX36" s="546" t="s">
        <v>709</v>
      </c>
      <c r="BY36" s="546" t="s">
        <v>709</v>
      </c>
      <c r="BZ36" s="546" t="s">
        <v>709</v>
      </c>
      <c r="CA36" s="506"/>
    </row>
    <row r="37" spans="1:79" ht="15" hidden="1" customHeight="1" x14ac:dyDescent="0.25">
      <c r="A37" s="8" t="s">
        <v>800</v>
      </c>
      <c r="B37" s="8" t="s">
        <v>4</v>
      </c>
      <c r="C37" s="656" t="s">
        <v>1002</v>
      </c>
      <c r="D37" s="8" t="s">
        <v>1003</v>
      </c>
      <c r="E37" s="8" t="s">
        <v>1004</v>
      </c>
      <c r="F37" s="8" t="s">
        <v>851</v>
      </c>
      <c r="G37" s="8" t="s">
        <v>26</v>
      </c>
      <c r="H37" s="8" t="s">
        <v>59</v>
      </c>
      <c r="I37" s="642">
        <v>45148</v>
      </c>
      <c r="J37" s="18">
        <v>45317</v>
      </c>
      <c r="K37" s="97">
        <v>45314</v>
      </c>
      <c r="L37" s="16">
        <f>IF(ISTEXT(Table157[[#This Row],[Engineering Approved Design Date]]),Table157[[#This Row],[Date Completed]]-Table157[[#This Row],[Date Assigned to Designer]],Table157[[#This Row],[Engineering Approved Design Date]]-Table157[[#This Row],[Date Completed]])</f>
        <v>3</v>
      </c>
      <c r="M37" s="642"/>
      <c r="N37" s="642" t="s">
        <v>120</v>
      </c>
      <c r="O37" s="510">
        <v>45352</v>
      </c>
      <c r="P37" s="221" t="s">
        <v>739</v>
      </c>
      <c r="Q37" s="74">
        <f>Table157[[#This Row],[Rate]]*Table157[[#This Row],[Construction Cost to Bill From]]</f>
        <v>24982.948000000004</v>
      </c>
      <c r="R37" s="75">
        <v>0.1</v>
      </c>
      <c r="U37" s="87"/>
      <c r="V37" s="437">
        <v>470</v>
      </c>
      <c r="W37" s="437">
        <v>0</v>
      </c>
      <c r="X37" s="70">
        <v>178607.67</v>
      </c>
      <c r="Y37" s="550"/>
      <c r="Z37" s="570">
        <v>71221.81</v>
      </c>
      <c r="AA37" s="300">
        <f>Table157[[#This Row],[PCTS Retirement Amount]]+Table157[[#This Row],[PCTS Investment Amount]]</f>
        <v>249829.48</v>
      </c>
      <c r="AB37" s="207">
        <v>45315</v>
      </c>
      <c r="AC37" s="108" t="s">
        <v>709</v>
      </c>
      <c r="AD37" s="108" t="s">
        <v>29</v>
      </c>
      <c r="AE37" s="187" t="s">
        <v>116</v>
      </c>
      <c r="AF37" s="568" t="s">
        <v>756</v>
      </c>
      <c r="AG37" s="183">
        <v>45366</v>
      </c>
      <c r="AH37" s="356">
        <v>45366</v>
      </c>
      <c r="AI37" s="499">
        <v>0</v>
      </c>
      <c r="AJ37" s="541">
        <v>1357</v>
      </c>
      <c r="AK37" s="585">
        <v>0</v>
      </c>
      <c r="AL37" s="494">
        <f>SUM(Table157[[#This Row],[Nicor Initiated DBE]:[Staffing]])/(Table157[[#This Row],[Amount Invoiced]])</f>
        <v>5.4317048572490319E-2</v>
      </c>
      <c r="AM37" s="21" t="s">
        <v>116</v>
      </c>
      <c r="AN37" s="687">
        <v>45429</v>
      </c>
      <c r="AO37" s="681">
        <v>11082766</v>
      </c>
      <c r="AP37" s="538">
        <v>178680.32000000001</v>
      </c>
      <c r="AQ37" s="538"/>
      <c r="AR37" s="538">
        <v>71221.81</v>
      </c>
      <c r="AS37" s="538">
        <f>IF(Table157[[#This Row],[PCTS Approved]]="N",0,Table157[[#This Row],[Investment Amount (1'#'#'#'#'#)]]+Table157[[#This Row],[Retirement Amount (3'#'#'#'#'#)]])</f>
        <v>249902.13</v>
      </c>
      <c r="AT37" s="538">
        <f>IF(Table157[[#This Row],[Approved Construction Cost]]=0,0,Table157[[#This Row],[Approved Construction Cost]]-Table157[[#This Row],[Construction Cost to Bill From]])</f>
        <v>72.649999999994179</v>
      </c>
      <c r="AU37" s="556">
        <f>IFERROR(Table157[[#This Row],[Difference in Construction Cost]]*Table157[[#This Row],[Rate]],Table157[[#This Row],[Difference in Construction Cost]]*0.085)</f>
        <v>7.2649999999994179</v>
      </c>
      <c r="AV37" s="682">
        <v>0</v>
      </c>
      <c r="AW37" s="660" t="s">
        <v>1005</v>
      </c>
      <c r="AX37" s="538">
        <f>IFERROR(Table157[[#This Row],[Difference in Construction Cost]]*Table157[[#This Row],[Rate]],Table157[[#This Row],[Difference in Construction Cost]]*0.085)</f>
        <v>7.2649999999994179</v>
      </c>
      <c r="AY37" s="638">
        <v>45566</v>
      </c>
      <c r="AZ37" s="443">
        <v>121</v>
      </c>
      <c r="BA37" s="334" t="s">
        <v>4</v>
      </c>
      <c r="BB37" s="670" t="s">
        <v>1006</v>
      </c>
      <c r="BC37" s="671" t="s">
        <v>961</v>
      </c>
      <c r="BD37" s="479" t="s">
        <v>709</v>
      </c>
      <c r="BE37" s="554" t="s">
        <v>862</v>
      </c>
      <c r="BF37" s="588" t="s">
        <v>495</v>
      </c>
      <c r="BG37" s="588" t="s">
        <v>709</v>
      </c>
      <c r="BH37" s="483" t="s">
        <v>709</v>
      </c>
      <c r="BI37" s="487" t="s">
        <v>1007</v>
      </c>
      <c r="BJ37" s="511" t="s">
        <v>709</v>
      </c>
      <c r="BK37" s="623" t="s">
        <v>709</v>
      </c>
      <c r="BL37" s="546" t="s">
        <v>709</v>
      </c>
      <c r="BM37" s="546" t="s">
        <v>116</v>
      </c>
      <c r="BN37" s="622" t="s">
        <v>709</v>
      </c>
      <c r="BO37" s="623" t="s">
        <v>709</v>
      </c>
      <c r="BP37" s="622" t="s">
        <v>709</v>
      </c>
      <c r="BQ37" s="622" t="s">
        <v>709</v>
      </c>
      <c r="BR37" s="623">
        <v>347</v>
      </c>
      <c r="BS37" s="623" t="s">
        <v>709</v>
      </c>
      <c r="BT37" s="623">
        <v>123</v>
      </c>
      <c r="BU37" s="623" t="s">
        <v>709</v>
      </c>
      <c r="BV37" s="623" t="s">
        <v>709</v>
      </c>
      <c r="BW37" s="623" t="s">
        <v>709</v>
      </c>
      <c r="BX37" s="623" t="s">
        <v>709</v>
      </c>
      <c r="BY37" s="546" t="s">
        <v>709</v>
      </c>
      <c r="BZ37" s="623" t="s">
        <v>709</v>
      </c>
      <c r="CA37" s="506"/>
    </row>
    <row r="38" spans="1:79" ht="15" hidden="1" customHeight="1" x14ac:dyDescent="0.25">
      <c r="A38" s="8" t="s">
        <v>800</v>
      </c>
      <c r="B38" s="8" t="s">
        <v>4</v>
      </c>
      <c r="C38" s="656" t="s">
        <v>1008</v>
      </c>
      <c r="D38" s="8" t="s">
        <v>1009</v>
      </c>
      <c r="E38" s="8" t="s">
        <v>354</v>
      </c>
      <c r="F38" s="8" t="s">
        <v>784</v>
      </c>
      <c r="G38" s="8" t="s">
        <v>26</v>
      </c>
      <c r="H38" s="8" t="s">
        <v>59</v>
      </c>
      <c r="I38" s="642">
        <v>44958</v>
      </c>
      <c r="J38" s="18">
        <v>45310</v>
      </c>
      <c r="K38" s="97">
        <v>45300</v>
      </c>
      <c r="L38" s="16">
        <f>IF(ISTEXT(Table157[[#This Row],[Engineering Approved Design Date]]),Table157[[#This Row],[Date Completed]]-Table157[[#This Row],[Date Assigned to Designer]],Table157[[#This Row],[Engineering Approved Design Date]]-Table157[[#This Row],[Date Completed]])</f>
        <v>10</v>
      </c>
      <c r="M38" s="642"/>
      <c r="N38" s="642" t="s">
        <v>120</v>
      </c>
      <c r="O38" s="510">
        <v>45323</v>
      </c>
      <c r="P38" s="221" t="s">
        <v>739</v>
      </c>
      <c r="Q38" s="74">
        <f>Table157[[#This Row],[Rate]]*Table157[[#This Row],[Construction Cost to Bill From]]</f>
        <v>23783.065000000002</v>
      </c>
      <c r="R38" s="75">
        <v>0.1</v>
      </c>
      <c r="U38" s="87"/>
      <c r="V38" s="437">
        <v>110</v>
      </c>
      <c r="W38" s="437">
        <v>0</v>
      </c>
      <c r="X38" s="220">
        <v>176508.39</v>
      </c>
      <c r="Y38" s="551"/>
      <c r="Z38" s="571">
        <v>61322.26</v>
      </c>
      <c r="AA38" s="300">
        <f>SUM(Table157[[#This Row],[PCTS Investment Amount]:[PCTS Retirement Amount]])</f>
        <v>237830.65000000002</v>
      </c>
      <c r="AB38" s="207">
        <v>45301</v>
      </c>
      <c r="AC38" s="108" t="s">
        <v>709</v>
      </c>
      <c r="AD38" s="108" t="s">
        <v>29</v>
      </c>
      <c r="AE38" s="187" t="s">
        <v>116</v>
      </c>
      <c r="AF38" s="568" t="s">
        <v>756</v>
      </c>
      <c r="AG38" s="183">
        <v>45366</v>
      </c>
      <c r="AH38" s="356">
        <v>45366</v>
      </c>
      <c r="AI38" s="499">
        <v>0</v>
      </c>
      <c r="AJ38" s="541">
        <v>2547</v>
      </c>
      <c r="AK38" s="541">
        <v>0</v>
      </c>
      <c r="AL38" s="494">
        <f>SUM(Table157[[#This Row],[Nicor Initiated DBE]:[Staffing]])/(Table157[[#This Row],[Amount Invoiced]])</f>
        <v>0.10709300924838744</v>
      </c>
      <c r="AM38" s="21" t="s">
        <v>116</v>
      </c>
      <c r="AN38" s="680">
        <v>45441</v>
      </c>
      <c r="AO38" s="681">
        <v>11078712</v>
      </c>
      <c r="AP38" s="538">
        <v>326549.63</v>
      </c>
      <c r="AQ38" s="718"/>
      <c r="AR38" s="538">
        <v>74469.759999999995</v>
      </c>
      <c r="AS38" s="538">
        <f>IF(Table157[[#This Row],[PCTS Approved]]="N",0,Table157[[#This Row],[Investment Amount (1'#'#'#'#'#)]]+Table157[[#This Row],[Retirement Amount (3'#'#'#'#'#)]])</f>
        <v>401019.39</v>
      </c>
      <c r="AT38" s="538">
        <f>IF(Table157[[#This Row],[Approved Construction Cost]]=0,0,Table157[[#This Row],[Approved Construction Cost]]-Table157[[#This Row],[Construction Cost to Bill From]])</f>
        <v>163188.74</v>
      </c>
      <c r="AU38" s="538">
        <f>IFERROR(Table157[[#This Row],[Difference in Construction Cost]]*Table157[[#This Row],[Rate]],Table157[[#This Row],[Difference in Construction Cost]]*0.085)</f>
        <v>16318.874</v>
      </c>
      <c r="AV38" s="729">
        <v>25615</v>
      </c>
      <c r="AW38" s="660" t="s">
        <v>1010</v>
      </c>
      <c r="AX38" s="538">
        <v>0</v>
      </c>
      <c r="AY38" s="636">
        <v>45566</v>
      </c>
      <c r="AZ38" s="443">
        <v>117</v>
      </c>
      <c r="BA38" s="334" t="s">
        <v>4</v>
      </c>
      <c r="BB38" s="651" t="s">
        <v>1011</v>
      </c>
      <c r="BC38" s="644" t="s">
        <v>905</v>
      </c>
      <c r="BD38" s="479" t="s">
        <v>116</v>
      </c>
      <c r="BE38" s="554" t="s">
        <v>709</v>
      </c>
      <c r="BF38" s="588" t="s">
        <v>1012</v>
      </c>
      <c r="BG38" s="588" t="s">
        <v>709</v>
      </c>
      <c r="BH38" s="483" t="s">
        <v>709</v>
      </c>
      <c r="BI38" s="487" t="s">
        <v>1013</v>
      </c>
      <c r="BJ38" s="511" t="s">
        <v>709</v>
      </c>
      <c r="BK38" s="623" t="s">
        <v>709</v>
      </c>
      <c r="BL38" s="546" t="s">
        <v>709</v>
      </c>
      <c r="BM38" s="546" t="s">
        <v>116</v>
      </c>
      <c r="BN38" s="622" t="s">
        <v>709</v>
      </c>
      <c r="BO38" s="623" t="s">
        <v>709</v>
      </c>
      <c r="BP38" s="622" t="s">
        <v>709</v>
      </c>
      <c r="BQ38" s="622" t="s">
        <v>709</v>
      </c>
      <c r="BR38" s="623">
        <v>110</v>
      </c>
      <c r="BS38" s="623" t="s">
        <v>709</v>
      </c>
      <c r="BT38" s="623" t="s">
        <v>709</v>
      </c>
      <c r="BU38" s="623" t="s">
        <v>745</v>
      </c>
      <c r="BV38" s="623" t="s">
        <v>709</v>
      </c>
      <c r="BW38" s="623" t="s">
        <v>745</v>
      </c>
      <c r="BX38" s="623" t="s">
        <v>709</v>
      </c>
      <c r="BY38" s="546" t="s">
        <v>745</v>
      </c>
      <c r="BZ38" s="623" t="s">
        <v>745</v>
      </c>
      <c r="CA38" s="506"/>
    </row>
    <row r="39" spans="1:79" ht="15" hidden="1" customHeight="1" x14ac:dyDescent="0.25">
      <c r="A39" s="8" t="s">
        <v>749</v>
      </c>
      <c r="B39" s="8" t="s">
        <v>759</v>
      </c>
      <c r="C39" s="8" t="s">
        <v>1014</v>
      </c>
      <c r="D39" s="8" t="s">
        <v>1015</v>
      </c>
      <c r="E39" s="8" t="s">
        <v>1016</v>
      </c>
      <c r="F39" s="8" t="s">
        <v>752</v>
      </c>
      <c r="G39" s="8" t="s">
        <v>34</v>
      </c>
      <c r="H39" s="13" t="s">
        <v>59</v>
      </c>
      <c r="I39" s="642">
        <v>44978</v>
      </c>
      <c r="J39" s="18">
        <v>45068</v>
      </c>
      <c r="K39" s="97">
        <v>45068</v>
      </c>
      <c r="L39" s="16">
        <f>IF(ISTEXT(Table157[[#This Row],[Engineering Approved Design Date]]),Table157[[#This Row],[Date Completed]]-Table157[[#This Row],[Date Assigned to Designer]],Table157[[#This Row],[Engineering Approved Design Date]]-Table157[[#This Row],[Date Completed]])</f>
        <v>0</v>
      </c>
      <c r="M39" s="642"/>
      <c r="N39" s="642" t="s">
        <v>120</v>
      </c>
      <c r="O39" s="510">
        <v>45078</v>
      </c>
      <c r="P39" s="221" t="s">
        <v>120</v>
      </c>
      <c r="Q39" s="74">
        <f>Table157[[#This Row],[Construction Cost to Bill From]]*0.11</f>
        <v>80082.852299999999</v>
      </c>
      <c r="R39" s="75">
        <v>0.11</v>
      </c>
      <c r="U39" s="87"/>
      <c r="V39" s="437">
        <v>529</v>
      </c>
      <c r="W39" s="437">
        <v>1</v>
      </c>
      <c r="X39" s="94">
        <v>622486.57999999996</v>
      </c>
      <c r="Y39" s="592"/>
      <c r="Z39" s="552">
        <v>105539.35</v>
      </c>
      <c r="AA39" s="300">
        <f>Table157[[#This Row],[PCTS Investment Amount]]+Table157[[#This Row],[PCTS Retirement Amount]]</f>
        <v>728025.92999999993</v>
      </c>
      <c r="AB39" s="207">
        <v>45099</v>
      </c>
      <c r="AC39" s="109" t="s">
        <v>709</v>
      </c>
      <c r="AD39" s="108" t="s">
        <v>29</v>
      </c>
      <c r="AE39" s="349"/>
      <c r="AF39" s="579"/>
      <c r="AG39" s="579"/>
      <c r="AH39" s="354"/>
      <c r="AI39" s="341"/>
      <c r="AJ39" s="183"/>
      <c r="AK39" s="183"/>
      <c r="AL39" s="494">
        <f>SUM(Table157[[#This Row],[Nicor Initiated DBE]:[Staffing]])/(Table157[[#This Row],[Amount Invoiced]])</f>
        <v>0</v>
      </c>
      <c r="AM39" s="21" t="s">
        <v>116</v>
      </c>
      <c r="AN39" s="680">
        <v>45441</v>
      </c>
      <c r="AO39" s="681">
        <v>11059511</v>
      </c>
      <c r="AP39" s="682">
        <v>668746.32999999996</v>
      </c>
      <c r="AQ39" s="682"/>
      <c r="AR39" s="538">
        <v>107669.85</v>
      </c>
      <c r="AS39" s="538">
        <f>IF(Table157[[#This Row],[PCTS Approved]]="N",0,Table157[[#This Row],[Investment Amount (1'#'#'#'#'#)]]+Table157[[#This Row],[Retirement Amount (3'#'#'#'#'#)]])</f>
        <v>776416.17999999993</v>
      </c>
      <c r="AT39" s="538">
        <f>IF(Table157[[#This Row],[Approved Construction Cost]]=0,0,Table157[[#This Row],[Approved Construction Cost]]-Table157[[#This Row],[Construction Cost to Bill From]])</f>
        <v>48390.25</v>
      </c>
      <c r="AU39" s="538">
        <f>IFERROR(Table157[[#This Row],[Difference in Construction Cost]]*Table157[[#This Row],[Rate]],Table157[[#This Row],[Difference in Construction Cost]]*0.085)</f>
        <v>5322.9274999999998</v>
      </c>
      <c r="AV39" s="682">
        <v>7257.5</v>
      </c>
      <c r="AW39" s="686" t="s">
        <v>1017</v>
      </c>
      <c r="AX39" s="538"/>
      <c r="AY39" s="636" t="s">
        <v>709</v>
      </c>
      <c r="AZ39" s="443">
        <v>153</v>
      </c>
      <c r="BA39" s="334" t="s">
        <v>2</v>
      </c>
      <c r="BB39" s="652" t="s">
        <v>1018</v>
      </c>
      <c r="BC39" s="644" t="s">
        <v>1019</v>
      </c>
      <c r="BD39" s="478" t="s">
        <v>115</v>
      </c>
      <c r="BE39" s="544" t="s">
        <v>788</v>
      </c>
      <c r="BF39" s="544" t="s">
        <v>1020</v>
      </c>
      <c r="BG39" s="544" t="s">
        <v>115</v>
      </c>
      <c r="BH39" s="512"/>
      <c r="BI39" s="645" t="s">
        <v>1021</v>
      </c>
      <c r="BJ39" s="511" t="s">
        <v>709</v>
      </c>
      <c r="BK39" s="546" t="s">
        <v>709</v>
      </c>
      <c r="BL39" s="546" t="s">
        <v>116</v>
      </c>
      <c r="BM39" s="546" t="s">
        <v>116</v>
      </c>
      <c r="BN39" s="546" t="s">
        <v>709</v>
      </c>
      <c r="BO39" s="546" t="s">
        <v>709</v>
      </c>
      <c r="BP39" s="546" t="s">
        <v>709</v>
      </c>
      <c r="BQ39" s="546" t="s">
        <v>709</v>
      </c>
      <c r="BR39" s="546">
        <v>202</v>
      </c>
      <c r="BS39" s="546">
        <v>187</v>
      </c>
      <c r="BT39" s="546">
        <v>50</v>
      </c>
      <c r="BU39" s="546">
        <v>1</v>
      </c>
      <c r="BV39" s="546" t="s">
        <v>709</v>
      </c>
      <c r="BW39" s="546" t="s">
        <v>709</v>
      </c>
      <c r="BX39" s="546">
        <v>1</v>
      </c>
      <c r="BY39" s="546">
        <v>1</v>
      </c>
      <c r="BZ39" s="546" t="s">
        <v>709</v>
      </c>
      <c r="CA39" s="506" t="s">
        <v>1022</v>
      </c>
    </row>
    <row r="40" spans="1:79" ht="15" hidden="1" customHeight="1" x14ac:dyDescent="0.25">
      <c r="A40" s="8" t="s">
        <v>749</v>
      </c>
      <c r="B40" s="8" t="s">
        <v>4</v>
      </c>
      <c r="C40" s="656" t="s">
        <v>1023</v>
      </c>
      <c r="D40" s="8" t="s">
        <v>1024</v>
      </c>
      <c r="E40" s="8" t="s">
        <v>245</v>
      </c>
      <c r="F40" s="8" t="s">
        <v>784</v>
      </c>
      <c r="G40" s="8" t="s">
        <v>31</v>
      </c>
      <c r="H40" s="8" t="s">
        <v>413</v>
      </c>
      <c r="I40" s="642">
        <v>45041</v>
      </c>
      <c r="J40" s="18">
        <v>45184</v>
      </c>
      <c r="K40" s="97">
        <v>45181</v>
      </c>
      <c r="L40" s="16">
        <f>IF(ISTEXT(Table157[[#This Row],[Engineering Approved Design Date]]),Table157[[#This Row],[Date Completed]]-Table157[[#This Row],[Date Assigned to Designer]],Table157[[#This Row],[Engineering Approved Design Date]]-Table157[[#This Row],[Date Completed]])</f>
        <v>3</v>
      </c>
      <c r="M40" s="642"/>
      <c r="N40" s="642" t="s">
        <v>120</v>
      </c>
      <c r="O40" s="510">
        <v>45200</v>
      </c>
      <c r="P40" s="221" t="s">
        <v>739</v>
      </c>
      <c r="Q40" s="74">
        <f>Table157[[#This Row],[Rate]]*Table157[[#This Row],[Construction Cost to Bill From]]</f>
        <v>162543.111</v>
      </c>
      <c r="R40" s="75">
        <v>0.1</v>
      </c>
      <c r="U40" s="87"/>
      <c r="V40" s="437">
        <v>5390</v>
      </c>
      <c r="W40" s="437">
        <v>1</v>
      </c>
      <c r="X40" s="24">
        <v>1456392.16</v>
      </c>
      <c r="Y40" s="551"/>
      <c r="Z40" s="570">
        <v>169038.95</v>
      </c>
      <c r="AA40" s="300">
        <f>SUM(Table157[[#This Row],[PCTS Investment Amount]:[PCTS Retirement Amount]])</f>
        <v>1625431.1099999999</v>
      </c>
      <c r="AB40" s="207">
        <v>45159</v>
      </c>
      <c r="AC40" s="108" t="s">
        <v>745</v>
      </c>
      <c r="AD40" s="108" t="s">
        <v>29</v>
      </c>
      <c r="AE40" s="187" t="s">
        <v>756</v>
      </c>
      <c r="AF40" s="568" t="s">
        <v>756</v>
      </c>
      <c r="AG40" s="568" t="s">
        <v>116</v>
      </c>
      <c r="AH40" s="356">
        <v>45222</v>
      </c>
      <c r="AI40" s="489"/>
      <c r="AJ40" s="553"/>
      <c r="AK40" s="553"/>
      <c r="AL40" s="495">
        <f>SUM(Table157[[#This Row],[Nicor Initiated DBE]:[Staffing]])/(Table157[[#This Row],[Amount Invoiced]])</f>
        <v>0</v>
      </c>
      <c r="AM40" s="21" t="s">
        <v>116</v>
      </c>
      <c r="AN40" s="680">
        <v>45442</v>
      </c>
      <c r="AO40" s="681">
        <v>11083250</v>
      </c>
      <c r="AP40" s="538">
        <v>1479075.05</v>
      </c>
      <c r="AQ40" s="538"/>
      <c r="AR40" s="538">
        <v>171367.36</v>
      </c>
      <c r="AS40" s="538">
        <f>IF(Table157[[#This Row],[PCTS Approved]]="N",0,Table157[[#This Row],[Investment Amount (1'#'#'#'#'#)]]+Table157[[#This Row],[Retirement Amount (3'#'#'#'#'#)]])</f>
        <v>1650442.4100000001</v>
      </c>
      <c r="AT40" s="538">
        <f>IF(Table157[[#This Row],[Approved Construction Cost]]=0,0,Table157[[#This Row],[Approved Construction Cost]]-Table157[[#This Row],[Construction Cost to Bill From]])</f>
        <v>25011.300000000279</v>
      </c>
      <c r="AU40" s="556">
        <f>IFERROR(Table157[[#This Row],[Difference in Construction Cost]]*Table157[[#This Row],[Rate]],Table157[[#This Row],[Difference in Construction Cost]]*0.085)</f>
        <v>2501.1300000000283</v>
      </c>
      <c r="AV40" s="682">
        <v>0</v>
      </c>
      <c r="AW40" s="692" t="s">
        <v>1025</v>
      </c>
      <c r="AX40" s="538">
        <f>IFERROR(Table157[[#This Row],[Difference in Construction Cost]]*Table157[[#This Row],[Rate]],Table157[[#This Row],[Difference in Construction Cost]]*0.085)</f>
        <v>2501.1300000000283</v>
      </c>
      <c r="AY40" s="636">
        <v>45566</v>
      </c>
      <c r="AZ40" s="443">
        <v>99</v>
      </c>
      <c r="BA40" s="334" t="s">
        <v>4</v>
      </c>
      <c r="BB40" s="659" t="s">
        <v>1026</v>
      </c>
      <c r="BC40" s="653" t="s">
        <v>1027</v>
      </c>
      <c r="BD40" s="478" t="s">
        <v>709</v>
      </c>
      <c r="BE40" s="544" t="s">
        <v>115</v>
      </c>
      <c r="BF40" s="559" t="s">
        <v>1028</v>
      </c>
      <c r="BG40" s="554" t="s">
        <v>709</v>
      </c>
      <c r="BH40" s="483" t="s">
        <v>709</v>
      </c>
      <c r="BI40" s="537" t="s">
        <v>1029</v>
      </c>
      <c r="BJ40" s="511" t="s">
        <v>709</v>
      </c>
      <c r="BK40" s="546" t="s">
        <v>709</v>
      </c>
      <c r="BL40" s="546" t="s">
        <v>709</v>
      </c>
      <c r="BM40" s="546" t="s">
        <v>116</v>
      </c>
      <c r="BN40" s="546" t="s">
        <v>709</v>
      </c>
      <c r="BO40" s="546" t="s">
        <v>709</v>
      </c>
      <c r="BP40" s="546" t="s">
        <v>709</v>
      </c>
      <c r="BQ40" s="546" t="s">
        <v>709</v>
      </c>
      <c r="BR40" s="546">
        <v>2812</v>
      </c>
      <c r="BS40" s="546" t="s">
        <v>709</v>
      </c>
      <c r="BT40" s="546">
        <v>2578</v>
      </c>
      <c r="BU40" s="546" t="s">
        <v>709</v>
      </c>
      <c r="BV40" s="546" t="s">
        <v>709</v>
      </c>
      <c r="BW40" s="546">
        <v>1</v>
      </c>
      <c r="BX40" s="546" t="s">
        <v>709</v>
      </c>
      <c r="BY40" s="546" t="s">
        <v>709</v>
      </c>
      <c r="BZ40" s="546" t="s">
        <v>709</v>
      </c>
      <c r="CA40" s="506"/>
    </row>
    <row r="41" spans="1:79" ht="15" hidden="1" customHeight="1" x14ac:dyDescent="0.25">
      <c r="A41" s="8" t="s">
        <v>800</v>
      </c>
      <c r="B41" s="8" t="s">
        <v>4</v>
      </c>
      <c r="C41" s="656" t="s">
        <v>1030</v>
      </c>
      <c r="D41" s="8" t="s">
        <v>1031</v>
      </c>
      <c r="E41" s="8" t="s">
        <v>1032</v>
      </c>
      <c r="F41" s="8" t="s">
        <v>747</v>
      </c>
      <c r="G41" s="8" t="s">
        <v>31</v>
      </c>
      <c r="H41" s="8" t="s">
        <v>59</v>
      </c>
      <c r="I41" s="642">
        <v>45177</v>
      </c>
      <c r="J41" s="472">
        <v>45371</v>
      </c>
      <c r="K41" s="97">
        <v>45369</v>
      </c>
      <c r="L41" s="16">
        <f>IF(ISTEXT(Table157[[#This Row],[Engineering Approved Design Date]]),Table157[[#This Row],[Date Completed]]-Table157[[#This Row],[Date Assigned to Designer]],Table157[[#This Row],[Engineering Approved Design Date]]-Table157[[#This Row],[Date Completed]])</f>
        <v>2</v>
      </c>
      <c r="M41" s="642"/>
      <c r="N41" s="642" t="s">
        <v>120</v>
      </c>
      <c r="O41" s="510">
        <v>45352</v>
      </c>
      <c r="P41" s="221" t="s">
        <v>739</v>
      </c>
      <c r="Q41" s="74">
        <f>Table157[[#This Row],[Rate]]*Table157[[#This Row],[Construction Cost to Bill From]]</f>
        <v>342513.63300000003</v>
      </c>
      <c r="R41" s="75">
        <v>0.1</v>
      </c>
      <c r="U41" s="87"/>
      <c r="V41" s="437">
        <v>12027</v>
      </c>
      <c r="W41" s="437">
        <v>1</v>
      </c>
      <c r="X41" s="70">
        <v>3142203.6</v>
      </c>
      <c r="Y41" s="595"/>
      <c r="Z41" s="570">
        <v>282932.73</v>
      </c>
      <c r="AA41" s="300">
        <f>Table157[[#This Row],[PCTS Retirement Amount]]+Table157[[#This Row],[PCTS Investment Amount]]</f>
        <v>3425136.33</v>
      </c>
      <c r="AB41" s="207">
        <v>45349</v>
      </c>
      <c r="AC41" s="22" t="s">
        <v>116</v>
      </c>
      <c r="AD41" s="22" t="s">
        <v>29</v>
      </c>
      <c r="AE41" s="187" t="s">
        <v>756</v>
      </c>
      <c r="AF41" s="568" t="s">
        <v>756</v>
      </c>
      <c r="AG41" s="183">
        <v>45371</v>
      </c>
      <c r="AH41" s="356">
        <v>45371</v>
      </c>
      <c r="AI41" s="499">
        <v>5950</v>
      </c>
      <c r="AJ41" s="541">
        <v>7300</v>
      </c>
      <c r="AK41" s="541">
        <f>1042+1989</f>
        <v>3031</v>
      </c>
      <c r="AL41" s="494">
        <f>SUM(Table157[[#This Row],[Nicor Initiated DBE]:[Staffing]])/(Table157[[#This Row],[Amount Invoiced]])</f>
        <v>4.7533874366980304E-2</v>
      </c>
      <c r="AM41" s="21" t="s">
        <v>116</v>
      </c>
      <c r="AN41" s="680">
        <v>45447</v>
      </c>
      <c r="AO41" s="681">
        <v>11082654</v>
      </c>
      <c r="AP41" s="538">
        <v>3406471.77</v>
      </c>
      <c r="AQ41" s="538"/>
      <c r="AR41" s="538">
        <v>339987.06</v>
      </c>
      <c r="AS41" s="538">
        <f>IF(Table157[[#This Row],[PCTS Approved]]="N",0,Table157[[#This Row],[Investment Amount (1'#'#'#'#'#)]]+Table157[[#This Row],[Retirement Amount (3'#'#'#'#'#)]])</f>
        <v>3746458.83</v>
      </c>
      <c r="AT41" s="538">
        <f>IF(Table157[[#This Row],[Approved Construction Cost]]=0,0,Table157[[#This Row],[Approved Construction Cost]]-Table157[[#This Row],[Construction Cost to Bill From]])</f>
        <v>321322.5</v>
      </c>
      <c r="AU41" s="538">
        <f>IFERROR(Table157[[#This Row],[Difference in Construction Cost]]*Table157[[#This Row],[Rate]],Table157[[#This Row],[Difference in Construction Cost]]*0.085)</f>
        <v>32132.25</v>
      </c>
      <c r="AV41" s="682">
        <v>15295</v>
      </c>
      <c r="AW41" s="660" t="s">
        <v>1033</v>
      </c>
      <c r="AX41" s="538">
        <v>0</v>
      </c>
      <c r="AY41" s="638">
        <v>45566</v>
      </c>
      <c r="AZ41" s="443">
        <v>131</v>
      </c>
      <c r="BA41" s="334" t="s">
        <v>4</v>
      </c>
      <c r="BB41" s="651" t="s">
        <v>1034</v>
      </c>
      <c r="BC41" s="644" t="s">
        <v>1035</v>
      </c>
      <c r="BD41" s="479" t="s">
        <v>116</v>
      </c>
      <c r="BE41" s="554" t="s">
        <v>1036</v>
      </c>
      <c r="BF41" s="588" t="s">
        <v>1037</v>
      </c>
      <c r="BG41" s="588" t="s">
        <v>745</v>
      </c>
      <c r="BH41" s="483" t="s">
        <v>1038</v>
      </c>
      <c r="BI41" s="487" t="s">
        <v>1039</v>
      </c>
      <c r="BJ41" s="511" t="s">
        <v>709</v>
      </c>
      <c r="BK41" s="623" t="s">
        <v>116</v>
      </c>
      <c r="BL41" s="546" t="s">
        <v>709</v>
      </c>
      <c r="BM41" s="546" t="s">
        <v>116</v>
      </c>
      <c r="BN41" s="622" t="s">
        <v>709</v>
      </c>
      <c r="BO41" s="623" t="s">
        <v>709</v>
      </c>
      <c r="BP41" s="622" t="s">
        <v>709</v>
      </c>
      <c r="BQ41" s="622">
        <v>5032</v>
      </c>
      <c r="BR41" s="623">
        <f>434+5547</f>
        <v>5981</v>
      </c>
      <c r="BS41" s="623">
        <f>773+99</f>
        <v>872</v>
      </c>
      <c r="BT41" s="623">
        <f>25+5</f>
        <v>30</v>
      </c>
      <c r="BU41" s="623" t="s">
        <v>116</v>
      </c>
      <c r="BV41" s="623" t="s">
        <v>116</v>
      </c>
      <c r="BW41" s="623" t="s">
        <v>116</v>
      </c>
      <c r="BX41" s="623" t="s">
        <v>709</v>
      </c>
      <c r="BY41" s="546" t="s">
        <v>116</v>
      </c>
      <c r="BZ41" s="623" t="s">
        <v>745</v>
      </c>
      <c r="CA41" s="506" t="s">
        <v>1040</v>
      </c>
    </row>
    <row r="42" spans="1:79" ht="15" hidden="1" customHeight="1" x14ac:dyDescent="0.25">
      <c r="A42" s="8" t="s">
        <v>800</v>
      </c>
      <c r="B42" s="8" t="s">
        <v>4</v>
      </c>
      <c r="C42" s="656" t="s">
        <v>1041</v>
      </c>
      <c r="D42" s="8" t="s">
        <v>1042</v>
      </c>
      <c r="E42" s="8" t="s">
        <v>232</v>
      </c>
      <c r="F42" s="8" t="s">
        <v>747</v>
      </c>
      <c r="G42" s="8" t="s">
        <v>25</v>
      </c>
      <c r="H42" s="8" t="s">
        <v>59</v>
      </c>
      <c r="I42" s="642">
        <v>44806</v>
      </c>
      <c r="J42" s="472">
        <v>45303</v>
      </c>
      <c r="K42" s="97">
        <v>45286</v>
      </c>
      <c r="L42" s="16">
        <f>IF(ISTEXT(Table157[[#This Row],[Engineering Approved Design Date]]),Table157[[#This Row],[Date Completed]]-Table157[[#This Row],[Date Assigned to Designer]],Table157[[#This Row],[Engineering Approved Design Date]]-Table157[[#This Row],[Date Completed]])</f>
        <v>17</v>
      </c>
      <c r="M42" s="642"/>
      <c r="N42" s="642" t="s">
        <v>120</v>
      </c>
      <c r="O42" s="510">
        <v>45292</v>
      </c>
      <c r="P42" s="221" t="s">
        <v>739</v>
      </c>
      <c r="Q42" s="343">
        <f>Table157[[#This Row],[Rate]]*Table157[[#This Row],[Construction Cost to Bill From]]</f>
        <v>196942.08200000002</v>
      </c>
      <c r="R42" s="75">
        <v>0.1</v>
      </c>
      <c r="U42" s="87"/>
      <c r="V42" s="437">
        <v>2416</v>
      </c>
      <c r="W42" s="437">
        <v>0</v>
      </c>
      <c r="X42" s="70">
        <v>699460.52</v>
      </c>
      <c r="Y42" s="551"/>
      <c r="Z42" s="570">
        <v>1269960.3</v>
      </c>
      <c r="AA42" s="300">
        <f>SUM(Table157[[#This Row],[PCTS Investment Amount]:[PCTS Retirement Amount]])</f>
        <v>1969420.82</v>
      </c>
      <c r="AB42" s="207">
        <v>45273</v>
      </c>
      <c r="AC42" s="108" t="s">
        <v>116</v>
      </c>
      <c r="AD42" s="108" t="s">
        <v>116</v>
      </c>
      <c r="AE42" s="187" t="s">
        <v>756</v>
      </c>
      <c r="AF42" s="568" t="s">
        <v>116</v>
      </c>
      <c r="AG42" s="568" t="s">
        <v>116</v>
      </c>
      <c r="AH42" s="356">
        <v>45308</v>
      </c>
      <c r="AI42" s="499">
        <v>0</v>
      </c>
      <c r="AJ42" s="541">
        <v>8611</v>
      </c>
      <c r="AK42" s="541">
        <v>1513.5</v>
      </c>
      <c r="AL42" s="494">
        <f>SUM(Table157[[#This Row],[Nicor Initiated DBE]:[Staffing]])/(Table157[[#This Row],[Amount Invoiced]])</f>
        <v>5.1408515118673309E-2</v>
      </c>
      <c r="AM42" s="21" t="s">
        <v>116</v>
      </c>
      <c r="AN42" s="680">
        <v>45448</v>
      </c>
      <c r="AO42" s="681">
        <v>11079929</v>
      </c>
      <c r="AP42" s="538">
        <v>708091.52</v>
      </c>
      <c r="AQ42" s="538"/>
      <c r="AR42" s="538">
        <v>1331341.94</v>
      </c>
      <c r="AS42" s="538">
        <f>IF(Table157[[#This Row],[PCTS Approved]]="N",0,Table157[[#This Row],[Investment Amount (1'#'#'#'#'#)]]+Table157[[#This Row],[Retirement Amount (3'#'#'#'#'#)]])</f>
        <v>2039433.46</v>
      </c>
      <c r="AT42" s="538">
        <f>IF(Table157[[#This Row],[Approved Construction Cost]]=0,0,Table157[[#This Row],[Approved Construction Cost]]-Table157[[#This Row],[Construction Cost to Bill From]])</f>
        <v>70012.639999999898</v>
      </c>
      <c r="AU42" s="556">
        <f>IFERROR(Table157[[#This Row],[Difference in Construction Cost]]*Table157[[#This Row],[Rate]],Table157[[#This Row],[Difference in Construction Cost]]*0.085)</f>
        <v>7001.2639999999901</v>
      </c>
      <c r="AV42" s="682">
        <v>0</v>
      </c>
      <c r="AW42" s="660" t="s">
        <v>1043</v>
      </c>
      <c r="AX42" s="538">
        <f>IFERROR(Table157[[#This Row],[Difference in Construction Cost]]*Table157[[#This Row],[Rate]],Table157[[#This Row],[Difference in Construction Cost]]*0.085)</f>
        <v>7001.2639999999901</v>
      </c>
      <c r="AY42" s="636">
        <v>45566</v>
      </c>
      <c r="AZ42" s="443">
        <v>114</v>
      </c>
      <c r="BA42" s="334" t="s">
        <v>4</v>
      </c>
      <c r="BB42" s="651" t="s">
        <v>1044</v>
      </c>
      <c r="BC42" s="644" t="s">
        <v>1045</v>
      </c>
      <c r="BD42" s="479" t="s">
        <v>709</v>
      </c>
      <c r="BE42" s="554" t="s">
        <v>709</v>
      </c>
      <c r="BF42" s="588" t="s">
        <v>595</v>
      </c>
      <c r="BG42" s="588" t="s">
        <v>923</v>
      </c>
      <c r="BH42" s="483" t="s">
        <v>709</v>
      </c>
      <c r="BI42" s="487" t="s">
        <v>1046</v>
      </c>
      <c r="BJ42" s="511" t="s">
        <v>709</v>
      </c>
      <c r="BK42" s="623" t="s">
        <v>709</v>
      </c>
      <c r="BL42" s="546" t="s">
        <v>709</v>
      </c>
      <c r="BM42" s="546" t="s">
        <v>116</v>
      </c>
      <c r="BN42" s="622" t="s">
        <v>709</v>
      </c>
      <c r="BO42" s="623" t="s">
        <v>709</v>
      </c>
      <c r="BP42" s="622" t="s">
        <v>709</v>
      </c>
      <c r="BQ42" s="622" t="s">
        <v>709</v>
      </c>
      <c r="BR42" s="623">
        <v>2392</v>
      </c>
      <c r="BS42" s="623" t="s">
        <v>709</v>
      </c>
      <c r="BT42" s="623">
        <v>24</v>
      </c>
      <c r="BU42" s="623" t="s">
        <v>745</v>
      </c>
      <c r="BV42" s="623" t="s">
        <v>709</v>
      </c>
      <c r="BW42" s="623" t="s">
        <v>745</v>
      </c>
      <c r="BX42" s="623" t="s">
        <v>709</v>
      </c>
      <c r="BY42" s="546" t="s">
        <v>745</v>
      </c>
      <c r="BZ42" s="623" t="s">
        <v>745</v>
      </c>
      <c r="CA42" s="506"/>
    </row>
    <row r="43" spans="1:79" ht="15" hidden="1" customHeight="1" x14ac:dyDescent="0.25">
      <c r="A43" s="8">
        <v>2023</v>
      </c>
      <c r="B43" s="8" t="s">
        <v>730</v>
      </c>
      <c r="C43" s="8" t="s">
        <v>1047</v>
      </c>
      <c r="D43" s="8" t="s">
        <v>1048</v>
      </c>
      <c r="E43" s="8" t="s">
        <v>1049</v>
      </c>
      <c r="F43" s="8" t="s">
        <v>752</v>
      </c>
      <c r="G43" s="8" t="s">
        <v>34</v>
      </c>
      <c r="H43" s="8" t="s">
        <v>59</v>
      </c>
      <c r="I43" s="642">
        <v>44735</v>
      </c>
      <c r="J43" s="18">
        <v>44834</v>
      </c>
      <c r="K43" s="175">
        <v>44834</v>
      </c>
      <c r="L43" s="16">
        <f>IF(ISTEXT(Table157[[#This Row],[Engineering Approved Design Date]]),Table157[[#This Row],[Date Completed]]-Table157[[#This Row],[Date Assigned to Designer]],Table157[[#This Row],[Engineering Approved Design Date]]-Table157[[#This Row],[Date Completed]])</f>
        <v>0</v>
      </c>
      <c r="M43" s="642"/>
      <c r="N43" s="642" t="s">
        <v>120</v>
      </c>
      <c r="O43" s="510">
        <v>44866</v>
      </c>
      <c r="P43" s="68" t="s">
        <v>120</v>
      </c>
      <c r="Q43" s="435">
        <f>(Table157[[#This Row],[Construction Cost to Bill From]]*0.085)+(5250*1)</f>
        <v>10805.4555</v>
      </c>
      <c r="R43" s="75" t="s">
        <v>794</v>
      </c>
      <c r="U43" s="87"/>
      <c r="V43" s="437">
        <v>0</v>
      </c>
      <c r="W43" s="437">
        <v>1</v>
      </c>
      <c r="X43" s="94">
        <v>0</v>
      </c>
      <c r="Y43" s="592"/>
      <c r="Z43" s="570">
        <v>65358.3</v>
      </c>
      <c r="AA43" s="300">
        <f>Table157[[#This Row],[PCTS Investment Amount]]+Table157[[#This Row],[PCTS Retirement Amount]]</f>
        <v>65358.3</v>
      </c>
      <c r="AB43" s="207">
        <v>44841</v>
      </c>
      <c r="AC43" s="108" t="s">
        <v>709</v>
      </c>
      <c r="AD43" s="108" t="s">
        <v>29</v>
      </c>
      <c r="AE43" s="349"/>
      <c r="AF43" s="579"/>
      <c r="AG43" s="579"/>
      <c r="AH43" s="354"/>
      <c r="AI43" s="341"/>
      <c r="AJ43" s="183"/>
      <c r="AK43" s="183"/>
      <c r="AL43" s="494">
        <f>SUM(Table157[[#This Row],[Nicor Initiated DBE]:[Staffing]])/(Table157[[#This Row],[Amount Invoiced]])</f>
        <v>0</v>
      </c>
      <c r="AM43" s="21" t="s">
        <v>116</v>
      </c>
      <c r="AN43" s="680">
        <v>45448</v>
      </c>
      <c r="AO43" s="681">
        <v>11083546</v>
      </c>
      <c r="AP43" s="538">
        <v>0</v>
      </c>
      <c r="AQ43" s="538"/>
      <c r="AR43" s="538">
        <v>68571.92</v>
      </c>
      <c r="AS43" s="538">
        <f>IF(Table157[[#This Row],[PCTS Approved]]="N",0,Table157[[#This Row],[Investment Amount (1'#'#'#'#'#)]]+Table157[[#This Row],[Retirement Amount (3'#'#'#'#'#)]])</f>
        <v>68571.92</v>
      </c>
      <c r="AT43" s="538">
        <f>IF(Table157[[#This Row],[Approved Construction Cost]]=0,0,Table157[[#This Row],[Approved Construction Cost]]-Table157[[#This Row],[Construction Cost to Bill From]])</f>
        <v>3213.6199999999953</v>
      </c>
      <c r="AU43" s="556">
        <f>IFERROR(Table157[[#This Row],[Difference in Construction Cost]]*Table157[[#This Row],[Rate]],Table157[[#This Row],[Difference in Construction Cost]]*0.085)</f>
        <v>273.15769999999964</v>
      </c>
      <c r="AV43" s="682" t="s">
        <v>29</v>
      </c>
      <c r="AW43" s="686" t="s">
        <v>1050</v>
      </c>
      <c r="AX43" s="538"/>
      <c r="AY43" s="636" t="s">
        <v>709</v>
      </c>
      <c r="AZ43" s="443">
        <v>176</v>
      </c>
      <c r="BA43" s="334" t="s">
        <v>2</v>
      </c>
      <c r="BB43" s="652" t="s">
        <v>1051</v>
      </c>
      <c r="BC43" s="644" t="s">
        <v>1052</v>
      </c>
      <c r="BD43" s="478" t="s">
        <v>115</v>
      </c>
      <c r="BE43" s="544" t="s">
        <v>115</v>
      </c>
      <c r="BF43" s="544" t="s">
        <v>463</v>
      </c>
      <c r="BG43" s="544" t="s">
        <v>115</v>
      </c>
      <c r="BH43" s="512" t="s">
        <v>115</v>
      </c>
      <c r="BI43" s="645"/>
      <c r="BJ43" s="511"/>
      <c r="BK43" s="546"/>
      <c r="BL43" s="546"/>
      <c r="BM43" s="546"/>
      <c r="BN43" s="546"/>
      <c r="BO43" s="546"/>
      <c r="BP43" s="546"/>
      <c r="BQ43" s="546"/>
      <c r="BR43" s="546"/>
      <c r="BS43" s="546"/>
      <c r="BT43" s="546"/>
      <c r="BU43" s="546"/>
      <c r="BV43" s="546"/>
      <c r="BW43" s="546"/>
      <c r="BX43" s="546"/>
      <c r="BY43" s="546"/>
      <c r="BZ43" s="546"/>
      <c r="CA43" s="506" t="s">
        <v>1053</v>
      </c>
    </row>
    <row r="44" spans="1:79" ht="15" hidden="1" customHeight="1" x14ac:dyDescent="0.25">
      <c r="A44" s="8" t="s">
        <v>749</v>
      </c>
      <c r="B44" s="8" t="s">
        <v>759</v>
      </c>
      <c r="C44" s="8" t="s">
        <v>462</v>
      </c>
      <c r="D44" s="8" t="s">
        <v>1054</v>
      </c>
      <c r="E44" s="8" t="s">
        <v>1049</v>
      </c>
      <c r="F44" s="8" t="s">
        <v>752</v>
      </c>
      <c r="G44" s="8" t="s">
        <v>34</v>
      </c>
      <c r="H44" s="8" t="s">
        <v>59</v>
      </c>
      <c r="I44" s="642">
        <v>44733</v>
      </c>
      <c r="J44" s="18">
        <v>44834</v>
      </c>
      <c r="K44" s="175">
        <v>44834</v>
      </c>
      <c r="L44" s="16">
        <f>IF(ISTEXT(Table157[[#This Row],[Engineering Approved Design Date]]),Table157[[#This Row],[Date Completed]]-Table157[[#This Row],[Date Assigned to Designer]],Table157[[#This Row],[Engineering Approved Design Date]]-Table157[[#This Row],[Date Completed]])</f>
        <v>0</v>
      </c>
      <c r="M44" s="642"/>
      <c r="N44" s="642" t="s">
        <v>120</v>
      </c>
      <c r="O44" s="510">
        <v>44835</v>
      </c>
      <c r="P44" s="68" t="s">
        <v>120</v>
      </c>
      <c r="Q44" s="436">
        <f>(Table157[[#This Row],[Construction Cost to Bill From]]*0.085)+7750</f>
        <v>66628.344849999994</v>
      </c>
      <c r="R44" s="75" t="s">
        <v>1055</v>
      </c>
      <c r="U44" s="87" t="s">
        <v>709</v>
      </c>
      <c r="V44" s="437">
        <v>1549</v>
      </c>
      <c r="W44" s="437">
        <v>1</v>
      </c>
      <c r="X44" s="106">
        <v>581607.93999999994</v>
      </c>
      <c r="Y44" s="592"/>
      <c r="Z44" s="570">
        <v>111078.47</v>
      </c>
      <c r="AA44" s="300">
        <f>Table157[[#This Row],[PCTS Investment Amount]]+Table157[[#This Row],[PCTS Retirement Amount]]</f>
        <v>692686.40999999992</v>
      </c>
      <c r="AB44" s="207">
        <v>44841</v>
      </c>
      <c r="AC44" s="108" t="s">
        <v>1056</v>
      </c>
      <c r="AD44" s="108" t="s">
        <v>29</v>
      </c>
      <c r="AE44" s="349"/>
      <c r="AF44" s="579"/>
      <c r="AG44" s="579"/>
      <c r="AH44" s="354"/>
      <c r="AI44" s="341"/>
      <c r="AJ44" s="183"/>
      <c r="AK44" s="183"/>
      <c r="AL44" s="494">
        <f>SUM(Table157[[#This Row],[Nicor Initiated DBE]:[Staffing]])/(Table157[[#This Row],[Amount Invoiced]])</f>
        <v>0</v>
      </c>
      <c r="AM44" s="21" t="s">
        <v>116</v>
      </c>
      <c r="AN44" s="680">
        <v>45448</v>
      </c>
      <c r="AO44" s="681">
        <v>11058432</v>
      </c>
      <c r="AP44" s="538">
        <v>601264.84</v>
      </c>
      <c r="AQ44" s="538"/>
      <c r="AR44" s="538">
        <v>116373.11</v>
      </c>
      <c r="AS44" s="538">
        <f>IF(Table157[[#This Row],[PCTS Approved]]="N",0,Table157[[#This Row],[Investment Amount (1'#'#'#'#'#)]]+Table157[[#This Row],[Retirement Amount (3'#'#'#'#'#)]])</f>
        <v>717637.95</v>
      </c>
      <c r="AT44" s="538">
        <f>IF(Table157[[#This Row],[Approved Construction Cost]]=0,0,Table157[[#This Row],[Approved Construction Cost]]-Table157[[#This Row],[Construction Cost to Bill From]])</f>
        <v>24951.540000000037</v>
      </c>
      <c r="AU44" s="556">
        <f>IFERROR(Table157[[#This Row],[Difference in Construction Cost]]*Table157[[#This Row],[Rate]],Table157[[#This Row],[Difference in Construction Cost]]*0.085)</f>
        <v>2120.8809000000033</v>
      </c>
      <c r="AV44" s="682" t="s">
        <v>29</v>
      </c>
      <c r="AW44" s="686" t="s">
        <v>1057</v>
      </c>
      <c r="AX44" s="538"/>
      <c r="AY44" s="636" t="s">
        <v>709</v>
      </c>
      <c r="AZ44" s="443">
        <v>188</v>
      </c>
      <c r="BA44" s="334" t="s">
        <v>2</v>
      </c>
      <c r="BB44" s="652" t="s">
        <v>1058</v>
      </c>
      <c r="BC44" s="644" t="s">
        <v>1059</v>
      </c>
      <c r="BD44" s="478" t="s">
        <v>116</v>
      </c>
      <c r="BE44" s="544" t="s">
        <v>115</v>
      </c>
      <c r="BF44" s="544" t="s">
        <v>463</v>
      </c>
      <c r="BG44" s="544" t="s">
        <v>115</v>
      </c>
      <c r="BH44" s="512" t="s">
        <v>115</v>
      </c>
      <c r="BI44" s="645"/>
      <c r="BJ44" s="511"/>
      <c r="BK44" s="546"/>
      <c r="BL44" s="546"/>
      <c r="BM44" s="546"/>
      <c r="BN44" s="546"/>
      <c r="BO44" s="546"/>
      <c r="BP44" s="546"/>
      <c r="BQ44" s="546"/>
      <c r="BR44" s="546"/>
      <c r="BS44" s="546"/>
      <c r="BT44" s="546"/>
      <c r="BU44" s="546"/>
      <c r="BV44" s="546"/>
      <c r="BW44" s="546"/>
      <c r="BX44" s="546"/>
      <c r="BY44" s="546"/>
      <c r="BZ44" s="546"/>
      <c r="CA44" s="506" t="s">
        <v>915</v>
      </c>
    </row>
    <row r="45" spans="1:79" ht="15" hidden="1" customHeight="1" x14ac:dyDescent="0.25">
      <c r="A45" s="8">
        <v>2023</v>
      </c>
      <c r="B45" s="8" t="s">
        <v>771</v>
      </c>
      <c r="C45" s="8" t="s">
        <v>1060</v>
      </c>
      <c r="D45" s="656" t="s">
        <v>1061</v>
      </c>
      <c r="E45" s="8" t="s">
        <v>1062</v>
      </c>
      <c r="F45" s="8" t="s">
        <v>784</v>
      </c>
      <c r="G45" s="8" t="s">
        <v>31</v>
      </c>
      <c r="H45" s="13" t="s">
        <v>59</v>
      </c>
      <c r="I45" s="642">
        <v>44943</v>
      </c>
      <c r="J45" s="18">
        <v>45020</v>
      </c>
      <c r="K45" s="97">
        <v>45014</v>
      </c>
      <c r="L45" s="16">
        <f>IF(ISTEXT(Table157[[#This Row],[Engineering Approved Design Date]]),Table157[[#This Row],[Date Completed]]-Table157[[#This Row],[Date Assigned to Designer]],Table157[[#This Row],[Engineering Approved Design Date]]-Table157[[#This Row],[Date Completed]])</f>
        <v>6</v>
      </c>
      <c r="M45" s="642"/>
      <c r="N45" s="642" t="s">
        <v>120</v>
      </c>
      <c r="O45" s="510">
        <v>45017</v>
      </c>
      <c r="P45" s="221" t="s">
        <v>120</v>
      </c>
      <c r="Q45" s="74">
        <f>Table157[[#This Row],[Rate]]*Table157[[#This Row],[Construction Cost to Bill From]]</f>
        <v>36352.372499999998</v>
      </c>
      <c r="R45" s="75">
        <v>0.09</v>
      </c>
      <c r="U45" s="87"/>
      <c r="V45" s="437">
        <v>322</v>
      </c>
      <c r="W45" s="437">
        <v>0</v>
      </c>
      <c r="X45" s="94">
        <v>357790.75</v>
      </c>
      <c r="Y45" s="592"/>
      <c r="Z45" s="552">
        <v>46124.5</v>
      </c>
      <c r="AA45" s="300">
        <f>Table157[[#This Row],[PCTS Investment Amount]]+Table157[[#This Row],[PCTS Retirement Amount]]</f>
        <v>403915.25</v>
      </c>
      <c r="AB45" s="207">
        <v>45015</v>
      </c>
      <c r="AC45" s="108" t="s">
        <v>709</v>
      </c>
      <c r="AD45" s="108" t="s">
        <v>29</v>
      </c>
      <c r="AE45" s="349"/>
      <c r="AF45" s="579"/>
      <c r="AG45" s="579"/>
      <c r="AH45" s="354"/>
      <c r="AI45" s="341"/>
      <c r="AJ45" s="183"/>
      <c r="AK45" s="183"/>
      <c r="AL45" s="494">
        <f>SUM(Table157[[#This Row],[Nicor Initiated DBE]:[Staffing]])/(Table157[[#This Row],[Amount Invoiced]])</f>
        <v>0</v>
      </c>
      <c r="AM45" s="21" t="s">
        <v>116</v>
      </c>
      <c r="AN45" s="710">
        <v>45462</v>
      </c>
      <c r="AO45" s="711">
        <v>11084647</v>
      </c>
      <c r="AP45" s="538">
        <v>370552.83</v>
      </c>
      <c r="AQ45" s="538"/>
      <c r="AR45" s="538">
        <v>47519.26</v>
      </c>
      <c r="AS45" s="538">
        <f>IF(Table157[[#This Row],[PCTS Approved]]="N",0,Table157[[#This Row],[Investment Amount (1'#'#'#'#'#)]]+Table157[[#This Row],[Retirement Amount (3'#'#'#'#'#)]])</f>
        <v>418072.09</v>
      </c>
      <c r="AT45" s="538">
        <f>IF(Table157[[#This Row],[Approved Construction Cost]]=0,0,Table157[[#This Row],[Approved Construction Cost]]-Table157[[#This Row],[Construction Cost to Bill From]])</f>
        <v>14156.840000000026</v>
      </c>
      <c r="AU45" s="556">
        <f>IFERROR(Table157[[#This Row],[Difference in Construction Cost]]*Table157[[#This Row],[Rate]],Table157[[#This Row],[Difference in Construction Cost]]*0.085)</f>
        <v>1274.1156000000024</v>
      </c>
      <c r="AV45" s="712">
        <v>0</v>
      </c>
      <c r="AW45" s="713" t="s">
        <v>1063</v>
      </c>
      <c r="AX45" s="538">
        <v>1274.1199999999999</v>
      </c>
      <c r="AY45" s="636">
        <v>45566</v>
      </c>
      <c r="AZ45" s="443">
        <v>39</v>
      </c>
      <c r="BA45" s="334" t="s">
        <v>3</v>
      </c>
      <c r="BB45" s="652" t="s">
        <v>1064</v>
      </c>
      <c r="BC45" s="644" t="s">
        <v>1065</v>
      </c>
      <c r="BD45" s="478" t="s">
        <v>709</v>
      </c>
      <c r="BE45" s="544" t="s">
        <v>1066</v>
      </c>
      <c r="BF45" s="544" t="s">
        <v>115</v>
      </c>
      <c r="BG45" s="544" t="s">
        <v>115</v>
      </c>
      <c r="BH45" s="512" t="s">
        <v>1067</v>
      </c>
      <c r="BI45" s="645"/>
      <c r="BJ45" s="511" t="s">
        <v>709</v>
      </c>
      <c r="BK45" s="546" t="s">
        <v>709</v>
      </c>
      <c r="BL45" s="546" t="s">
        <v>709</v>
      </c>
      <c r="BM45" s="546" t="s">
        <v>116</v>
      </c>
      <c r="BN45" s="546" t="s">
        <v>709</v>
      </c>
      <c r="BO45" s="546" t="s">
        <v>709</v>
      </c>
      <c r="BP45" s="546" t="s">
        <v>709</v>
      </c>
      <c r="BQ45" s="546" t="s">
        <v>709</v>
      </c>
      <c r="BR45" s="546">
        <v>322</v>
      </c>
      <c r="BS45" s="546" t="s">
        <v>709</v>
      </c>
      <c r="BT45" s="546" t="s">
        <v>709</v>
      </c>
      <c r="BU45" s="546" t="s">
        <v>745</v>
      </c>
      <c r="BV45" s="546" t="s">
        <v>709</v>
      </c>
      <c r="BW45" s="546" t="s">
        <v>745</v>
      </c>
      <c r="BX45" s="546" t="s">
        <v>709</v>
      </c>
      <c r="BY45" s="546" t="s">
        <v>745</v>
      </c>
      <c r="BZ45" s="546" t="s">
        <v>745</v>
      </c>
      <c r="CA45" s="506"/>
    </row>
    <row r="46" spans="1:79" ht="15" hidden="1" customHeight="1" x14ac:dyDescent="0.25">
      <c r="A46" s="8" t="s">
        <v>749</v>
      </c>
      <c r="B46" s="8" t="s">
        <v>4</v>
      </c>
      <c r="C46" s="656" t="s">
        <v>1068</v>
      </c>
      <c r="D46" s="8" t="s">
        <v>1069</v>
      </c>
      <c r="E46" s="8" t="s">
        <v>818</v>
      </c>
      <c r="F46" s="8" t="s">
        <v>851</v>
      </c>
      <c r="G46" s="8" t="s">
        <v>26</v>
      </c>
      <c r="H46" s="8" t="s">
        <v>413</v>
      </c>
      <c r="I46" s="642">
        <v>45153</v>
      </c>
      <c r="J46" s="18">
        <v>45245</v>
      </c>
      <c r="K46" s="97">
        <v>45244</v>
      </c>
      <c r="L46" s="649">
        <f>IF(ISTEXT(Table157[[#This Row],[Engineering Approved Design Date]]),Table157[[#This Row],[Date Completed]]-Table157[[#This Row],[Date Assigned to Designer]],Table157[[#This Row],[Engineering Approved Design Date]]-Table157[[#This Row],[Date Completed]])</f>
        <v>1</v>
      </c>
      <c r="M46" s="642"/>
      <c r="N46" s="642" t="s">
        <v>120</v>
      </c>
      <c r="O46" s="510">
        <v>45261</v>
      </c>
      <c r="P46" s="221" t="s">
        <v>739</v>
      </c>
      <c r="Q46" s="74">
        <f>Table157[[#This Row],[Rate]]*Table157[[#This Row],[Construction Cost to Bill From]]</f>
        <v>14673.89</v>
      </c>
      <c r="R46" s="75">
        <v>0.1</v>
      </c>
      <c r="U46" s="87"/>
      <c r="V46" s="437">
        <v>515</v>
      </c>
      <c r="X46" s="94">
        <v>135816.75</v>
      </c>
      <c r="Y46" s="551"/>
      <c r="Z46" s="552">
        <v>10922.15</v>
      </c>
      <c r="AA46" s="300">
        <f>SUM(Table157[[#This Row],[PCTS Investment Amount]:[PCTS Retirement Amount]])</f>
        <v>146738.9</v>
      </c>
      <c r="AB46" s="207">
        <v>45210</v>
      </c>
      <c r="AC46" s="108" t="s">
        <v>709</v>
      </c>
      <c r="AD46" s="108" t="s">
        <v>29</v>
      </c>
      <c r="AE46" s="187" t="s">
        <v>116</v>
      </c>
      <c r="AF46" s="568" t="s">
        <v>756</v>
      </c>
      <c r="AG46" s="568" t="s">
        <v>116</v>
      </c>
      <c r="AH46" s="356">
        <v>45308</v>
      </c>
      <c r="AI46" s="489"/>
      <c r="AJ46" s="553"/>
      <c r="AK46" s="553"/>
      <c r="AL46" s="495">
        <f>SUM(Table157[[#This Row],[Nicor Initiated DBE]:[Staffing]])/(Table157[[#This Row],[Amount Invoiced]])</f>
        <v>0</v>
      </c>
      <c r="AM46" s="21" t="s">
        <v>116</v>
      </c>
      <c r="AN46" s="680">
        <v>45468</v>
      </c>
      <c r="AO46" s="681">
        <v>11084991</v>
      </c>
      <c r="AP46" s="538">
        <v>135820.13</v>
      </c>
      <c r="AQ46" s="538"/>
      <c r="AR46" s="538">
        <v>10922.15</v>
      </c>
      <c r="AS46" s="538">
        <f>IF(Table157[[#This Row],[PCTS Approved]]="N",0,Table157[[#This Row],[Investment Amount (1'#'#'#'#'#)]]+Table157[[#This Row],[Retirement Amount (3'#'#'#'#'#)]])</f>
        <v>146742.28</v>
      </c>
      <c r="AT46" s="538">
        <f>IF(Table157[[#This Row],[Approved Construction Cost]]=0,0,Table157[[#This Row],[Approved Construction Cost]]-Table157[[#This Row],[Construction Cost to Bill From]])</f>
        <v>3.3800000000046566</v>
      </c>
      <c r="AU46" s="556">
        <f>IFERROR(Table157[[#This Row],[Difference in Construction Cost]]*Table157[[#This Row],[Rate]],Table157[[#This Row],[Difference in Construction Cost]]*0.085)</f>
        <v>0.33800000000046571</v>
      </c>
      <c r="AV46" s="682">
        <v>0</v>
      </c>
      <c r="AW46" s="660" t="s">
        <v>1005</v>
      </c>
      <c r="AX46" s="538">
        <f>IFERROR(Table157[[#This Row],[Difference in Construction Cost]]*Table157[[#This Row],[Rate]],Table157[[#This Row],[Difference in Construction Cost]]*0.085)</f>
        <v>0.33800000000046571</v>
      </c>
      <c r="AY46" s="636">
        <v>45566</v>
      </c>
      <c r="AZ46" s="443">
        <v>104</v>
      </c>
      <c r="BA46" s="334" t="s">
        <v>4</v>
      </c>
      <c r="BB46" s="651" t="s">
        <v>1070</v>
      </c>
      <c r="BC46" s="644" t="s">
        <v>1071</v>
      </c>
      <c r="BD46" s="479" t="s">
        <v>116</v>
      </c>
      <c r="BE46" s="554" t="s">
        <v>862</v>
      </c>
      <c r="BF46" s="588" t="s">
        <v>822</v>
      </c>
      <c r="BG46" s="588" t="s">
        <v>709</v>
      </c>
      <c r="BH46" s="483" t="s">
        <v>709</v>
      </c>
      <c r="BI46" s="537" t="s">
        <v>1072</v>
      </c>
      <c r="BJ46" s="511" t="s">
        <v>709</v>
      </c>
      <c r="BK46" s="623" t="s">
        <v>709</v>
      </c>
      <c r="BL46" s="546" t="s">
        <v>709</v>
      </c>
      <c r="BM46" s="546" t="s">
        <v>116</v>
      </c>
      <c r="BN46" s="622" t="s">
        <v>709</v>
      </c>
      <c r="BO46" s="623" t="s">
        <v>709</v>
      </c>
      <c r="BP46" s="622" t="s">
        <v>709</v>
      </c>
      <c r="BQ46" s="622" t="s">
        <v>709</v>
      </c>
      <c r="BR46" s="623" t="s">
        <v>709</v>
      </c>
      <c r="BS46" s="623" t="s">
        <v>709</v>
      </c>
      <c r="BT46" s="623">
        <v>515</v>
      </c>
      <c r="BU46" s="623" t="s">
        <v>709</v>
      </c>
      <c r="BV46" s="623" t="s">
        <v>709</v>
      </c>
      <c r="BW46" s="623" t="s">
        <v>709</v>
      </c>
      <c r="BX46" s="623" t="s">
        <v>709</v>
      </c>
      <c r="BY46" s="546" t="s">
        <v>745</v>
      </c>
      <c r="BZ46" s="623" t="s">
        <v>709</v>
      </c>
      <c r="CA46" s="506"/>
    </row>
    <row r="47" spans="1:79" ht="15" hidden="1" customHeight="1" x14ac:dyDescent="0.25">
      <c r="A47" s="8" t="s">
        <v>800</v>
      </c>
      <c r="B47" s="8" t="s">
        <v>1073</v>
      </c>
      <c r="C47" s="656" t="s">
        <v>1074</v>
      </c>
      <c r="D47" s="656" t="s">
        <v>1075</v>
      </c>
      <c r="E47" s="8" t="s">
        <v>818</v>
      </c>
      <c r="F47" s="8" t="s">
        <v>851</v>
      </c>
      <c r="G47" s="8" t="s">
        <v>36</v>
      </c>
      <c r="H47" s="8" t="s">
        <v>59</v>
      </c>
      <c r="I47" s="642">
        <v>45307</v>
      </c>
      <c r="J47" s="18">
        <v>45377</v>
      </c>
      <c r="K47" s="97">
        <v>45371</v>
      </c>
      <c r="L47" s="16">
        <f>IF(ISTEXT(Table157[[#This Row],[Engineering Approved Design Date]]),Table157[[#This Row],[Date Completed]]-Table157[[#This Row],[Date Assigned to Designer]],Table157[[#This Row],[Engineering Approved Design Date]]-Table157[[#This Row],[Date Completed]])</f>
        <v>6</v>
      </c>
      <c r="M47" s="642"/>
      <c r="N47" s="642" t="s">
        <v>120</v>
      </c>
      <c r="O47" s="510">
        <v>45352</v>
      </c>
      <c r="P47" s="221" t="s">
        <v>739</v>
      </c>
      <c r="Q47" s="74">
        <f>Table157[[#This Row],[Rate]]*Table157[[#This Row],[Construction Cost to Bill From]]</f>
        <v>29150.774399999998</v>
      </c>
      <c r="R47" s="75">
        <v>0.08</v>
      </c>
      <c r="U47" s="87"/>
      <c r="V47" s="437">
        <v>2138</v>
      </c>
      <c r="W47" s="437">
        <v>0</v>
      </c>
      <c r="X47" s="70">
        <v>364384.68</v>
      </c>
      <c r="Y47" s="595"/>
      <c r="Z47" s="570">
        <v>0</v>
      </c>
      <c r="AA47" s="300">
        <f>Table157[[#This Row],[PCTS Retirement Amount]]+Table157[[#This Row],[PCTS Investment Amount]]</f>
        <v>364384.68</v>
      </c>
      <c r="AB47" s="207">
        <v>45371</v>
      </c>
      <c r="AC47" s="22" t="s">
        <v>709</v>
      </c>
      <c r="AD47" s="22" t="s">
        <v>29</v>
      </c>
      <c r="AE47" s="187" t="s">
        <v>116</v>
      </c>
      <c r="AF47" s="568" t="s">
        <v>116</v>
      </c>
      <c r="AG47" s="568" t="s">
        <v>116</v>
      </c>
      <c r="AH47" s="356" t="s">
        <v>116</v>
      </c>
      <c r="AI47" s="499">
        <v>0</v>
      </c>
      <c r="AJ47" s="541">
        <v>0</v>
      </c>
      <c r="AK47" s="541">
        <v>6332</v>
      </c>
      <c r="AL47" s="494">
        <f>SUM(Table157[[#This Row],[Nicor Initiated DBE]:[Staffing]])/(Table157[[#This Row],[Amount Invoiced]])</f>
        <v>0.21721549874160462</v>
      </c>
      <c r="AM47" s="21" t="s">
        <v>116</v>
      </c>
      <c r="AN47" s="710">
        <v>45468</v>
      </c>
      <c r="AO47" s="711">
        <v>11084897</v>
      </c>
      <c r="AP47" s="538">
        <v>364412.66</v>
      </c>
      <c r="AQ47" s="538"/>
      <c r="AR47" s="538">
        <v>0</v>
      </c>
      <c r="AS47" s="538">
        <f>IF(Table157[[#This Row],[PCTS Approved]]="N",0,Table157[[#This Row],[Investment Amount (1'#'#'#'#'#)]]+Table157[[#This Row],[Retirement Amount (3'#'#'#'#'#)]])</f>
        <v>364412.66</v>
      </c>
      <c r="AT47" s="538">
        <f>IF(Table157[[#This Row],[Approved Construction Cost]]=0,0,Table157[[#This Row],[Approved Construction Cost]]-Table157[[#This Row],[Construction Cost to Bill From]])</f>
        <v>27.979999999981374</v>
      </c>
      <c r="AU47" s="556">
        <f>IFERROR(Table157[[#This Row],[Difference in Construction Cost]]*Table157[[#This Row],[Rate]],Table157[[#This Row],[Difference in Construction Cost]]*0.085)</f>
        <v>2.23839999999851</v>
      </c>
      <c r="AV47" s="712">
        <v>0</v>
      </c>
      <c r="AW47" s="714" t="s">
        <v>1076</v>
      </c>
      <c r="AX47" s="538">
        <v>2.2400000000000002</v>
      </c>
      <c r="AY47" s="636">
        <v>45566</v>
      </c>
      <c r="AZ47" s="443">
        <v>20</v>
      </c>
      <c r="BA47" s="334" t="s">
        <v>3</v>
      </c>
      <c r="BB47" s="651" t="s">
        <v>1077</v>
      </c>
      <c r="BC47" s="644" t="s">
        <v>1078</v>
      </c>
      <c r="BD47" s="479" t="s">
        <v>115</v>
      </c>
      <c r="BE47" s="554" t="s">
        <v>115</v>
      </c>
      <c r="BF47" s="588" t="s">
        <v>822</v>
      </c>
      <c r="BG47" s="588" t="s">
        <v>115</v>
      </c>
      <c r="BH47" s="483" t="s">
        <v>115</v>
      </c>
      <c r="BI47" s="487" t="s">
        <v>1079</v>
      </c>
      <c r="BJ47" s="511" t="s">
        <v>709</v>
      </c>
      <c r="BK47" s="546" t="s">
        <v>709</v>
      </c>
      <c r="BL47" s="546" t="s">
        <v>709</v>
      </c>
      <c r="BM47" s="546" t="s">
        <v>116</v>
      </c>
      <c r="BN47" s="546" t="s">
        <v>709</v>
      </c>
      <c r="BO47" s="546" t="s">
        <v>709</v>
      </c>
      <c r="BP47" s="546" t="s">
        <v>709</v>
      </c>
      <c r="BQ47" s="546" t="s">
        <v>709</v>
      </c>
      <c r="BR47" s="546" t="s">
        <v>709</v>
      </c>
      <c r="BS47" s="546">
        <v>1033</v>
      </c>
      <c r="BT47" s="546">
        <v>1105</v>
      </c>
      <c r="BU47" s="546" t="s">
        <v>709</v>
      </c>
      <c r="BV47" s="546" t="s">
        <v>709</v>
      </c>
      <c r="BW47" s="546" t="s">
        <v>709</v>
      </c>
      <c r="BX47" s="546" t="s">
        <v>709</v>
      </c>
      <c r="BY47" s="546" t="s">
        <v>709</v>
      </c>
      <c r="BZ47" s="546" t="s">
        <v>709</v>
      </c>
      <c r="CA47" s="508" t="s">
        <v>1080</v>
      </c>
    </row>
    <row r="48" spans="1:79" ht="15" hidden="1" customHeight="1" x14ac:dyDescent="0.25">
      <c r="A48" s="8" t="s">
        <v>800</v>
      </c>
      <c r="B48" s="8" t="s">
        <v>4</v>
      </c>
      <c r="C48" s="656" t="s">
        <v>1081</v>
      </c>
      <c r="D48" s="8" t="s">
        <v>1082</v>
      </c>
      <c r="E48" s="8" t="s">
        <v>155</v>
      </c>
      <c r="F48" s="8" t="s">
        <v>784</v>
      </c>
      <c r="G48" s="8" t="s">
        <v>28</v>
      </c>
      <c r="H48" s="8" t="s">
        <v>59</v>
      </c>
      <c r="I48" s="642">
        <v>45100</v>
      </c>
      <c r="J48" s="18">
        <v>45429</v>
      </c>
      <c r="K48" s="97">
        <v>45425</v>
      </c>
      <c r="L48" s="16">
        <f>IF(ISTEXT(Table157[[#This Row],[Engineering Approved Design Date]]),Table157[[#This Row],[Date Completed]]-Table157[[#This Row],[Date Assigned to Designer]],Table157[[#This Row],[Engineering Approved Design Date]]-Table157[[#This Row],[Date Completed]])</f>
        <v>4</v>
      </c>
      <c r="M48" s="642"/>
      <c r="N48" s="642" t="s">
        <v>120</v>
      </c>
      <c r="O48" s="510">
        <v>45413</v>
      </c>
      <c r="P48" s="221" t="s">
        <v>739</v>
      </c>
      <c r="Q48" s="74">
        <f>Table157[[#This Row],[Rate]]*Table157[[#This Row],[Construction Cost to Bill From]]</f>
        <v>52914.180000000008</v>
      </c>
      <c r="R48" s="75">
        <v>0.1</v>
      </c>
      <c r="U48" s="87"/>
      <c r="V48" s="437">
        <v>746</v>
      </c>
      <c r="W48" s="437">
        <v>0</v>
      </c>
      <c r="X48" s="24">
        <v>416727.01</v>
      </c>
      <c r="Y48" s="551"/>
      <c r="Z48" s="552">
        <v>112414.79</v>
      </c>
      <c r="AA48" s="300">
        <f>SUM(Table157[[#This Row],[PCTS Investment Amount]:[PCTS Retirement Amount]])</f>
        <v>529141.80000000005</v>
      </c>
      <c r="AB48" s="207">
        <v>45411</v>
      </c>
      <c r="AC48" s="22" t="s">
        <v>29</v>
      </c>
      <c r="AD48" s="22" t="s">
        <v>29</v>
      </c>
      <c r="AE48" s="359" t="s">
        <v>116</v>
      </c>
      <c r="AF48" s="568" t="s">
        <v>116</v>
      </c>
      <c r="AG48" s="568" t="s">
        <v>376</v>
      </c>
      <c r="AH48" s="356" t="s">
        <v>376</v>
      </c>
      <c r="AI48" s="499">
        <v>0</v>
      </c>
      <c r="AJ48" s="541">
        <v>550.02</v>
      </c>
      <c r="AK48" s="541">
        <v>17944</v>
      </c>
      <c r="AL48" s="494">
        <f>SUM(Table157[[#This Row],[Nicor Initiated DBE]:[Staffing]])/(Table157[[#This Row],[Amount Invoiced]])</f>
        <v>0.34950971554316818</v>
      </c>
      <c r="AM48" s="21" t="s">
        <v>116</v>
      </c>
      <c r="AN48" s="680">
        <v>45470</v>
      </c>
      <c r="AO48" s="681">
        <v>11085291</v>
      </c>
      <c r="AP48" s="538">
        <v>424547.5</v>
      </c>
      <c r="AQ48" s="538"/>
      <c r="AR48" s="538">
        <v>115837.08</v>
      </c>
      <c r="AS48" s="538">
        <f>IF(Table157[[#This Row],[PCTS Approved]]="N",0,Table157[[#This Row],[Investment Amount (1'#'#'#'#'#)]]+Table157[[#This Row],[Retirement Amount (3'#'#'#'#'#)]])</f>
        <v>540384.57999999996</v>
      </c>
      <c r="AT48" s="538">
        <f>IF(Table157[[#This Row],[Approved Construction Cost]]=0,0,Table157[[#This Row],[Approved Construction Cost]]-Table157[[#This Row],[Construction Cost to Bill From]])</f>
        <v>11242.779999999912</v>
      </c>
      <c r="AU48" s="556">
        <f>IFERROR(Table157[[#This Row],[Difference in Construction Cost]]*Table157[[#This Row],[Rate]],Table157[[#This Row],[Difference in Construction Cost]]*0.085)</f>
        <v>1124.2779999999912</v>
      </c>
      <c r="AV48" s="682">
        <v>0</v>
      </c>
      <c r="AW48" s="660" t="s">
        <v>1083</v>
      </c>
      <c r="AX48" s="538">
        <f>IFERROR(Table157[[#This Row],[Difference in Construction Cost]]*Table157[[#This Row],[Rate]],Table157[[#This Row],[Difference in Construction Cost]]*0.085)</f>
        <v>1124.2779999999912</v>
      </c>
      <c r="AY48" s="636">
        <v>45566</v>
      </c>
      <c r="AZ48" s="443">
        <v>139</v>
      </c>
      <c r="BA48" s="334" t="s">
        <v>4</v>
      </c>
      <c r="BB48" s="651" t="s">
        <v>1084</v>
      </c>
      <c r="BC48" s="644" t="s">
        <v>870</v>
      </c>
      <c r="BD48" s="479" t="s">
        <v>116</v>
      </c>
      <c r="BE48" s="554" t="s">
        <v>882</v>
      </c>
      <c r="BF48" s="588" t="s">
        <v>1085</v>
      </c>
      <c r="BG48" s="588" t="s">
        <v>709</v>
      </c>
      <c r="BH48" s="483" t="s">
        <v>709</v>
      </c>
      <c r="BI48" s="487" t="s">
        <v>1086</v>
      </c>
      <c r="BJ48" s="535" t="s">
        <v>709</v>
      </c>
      <c r="BK48" s="547" t="s">
        <v>709</v>
      </c>
      <c r="BL48" s="547" t="s">
        <v>709</v>
      </c>
      <c r="BM48" s="547" t="s">
        <v>116</v>
      </c>
      <c r="BN48" s="547" t="s">
        <v>709</v>
      </c>
      <c r="BO48" s="547" t="s">
        <v>709</v>
      </c>
      <c r="BP48" s="547" t="s">
        <v>709</v>
      </c>
      <c r="BQ48" s="626" t="s">
        <v>709</v>
      </c>
      <c r="BR48" s="626">
        <v>685</v>
      </c>
      <c r="BS48" s="549" t="s">
        <v>709</v>
      </c>
      <c r="BT48" s="549">
        <v>61</v>
      </c>
      <c r="BU48" s="547" t="s">
        <v>745</v>
      </c>
      <c r="BV48" s="547" t="s">
        <v>709</v>
      </c>
      <c r="BW48" s="547" t="s">
        <v>745</v>
      </c>
      <c r="BX48" s="547" t="s">
        <v>709</v>
      </c>
      <c r="BY48" s="547" t="s">
        <v>745</v>
      </c>
      <c r="BZ48" s="547" t="s">
        <v>745</v>
      </c>
      <c r="CA48" s="483" t="s">
        <v>29</v>
      </c>
    </row>
    <row r="49" spans="1:79" ht="15" hidden="1" customHeight="1" x14ac:dyDescent="0.25">
      <c r="A49" s="8" t="s">
        <v>749</v>
      </c>
      <c r="B49" s="8" t="s">
        <v>4</v>
      </c>
      <c r="C49" s="8" t="s">
        <v>1087</v>
      </c>
      <c r="D49" s="8" t="s">
        <v>1088</v>
      </c>
      <c r="E49" s="8" t="s">
        <v>309</v>
      </c>
      <c r="F49" s="8" t="s">
        <v>747</v>
      </c>
      <c r="G49" s="8" t="s">
        <v>27</v>
      </c>
      <c r="H49" s="8" t="s">
        <v>59</v>
      </c>
      <c r="I49" s="642">
        <v>44637</v>
      </c>
      <c r="J49" s="18">
        <v>44895</v>
      </c>
      <c r="K49" s="97">
        <v>44894</v>
      </c>
      <c r="L49" s="16">
        <f>IF(ISTEXT(Table157[[#This Row],[Engineering Approved Design Date]]),Table157[[#This Row],[Date Completed]]-Table157[[#This Row],[Date Assigned to Designer]],Table157[[#This Row],[Engineering Approved Design Date]]-Table157[[#This Row],[Date Completed]])</f>
        <v>1</v>
      </c>
      <c r="M49" s="642"/>
      <c r="N49" s="642" t="s">
        <v>120</v>
      </c>
      <c r="O49" s="510">
        <v>44896</v>
      </c>
      <c r="P49" s="68" t="s">
        <v>739</v>
      </c>
      <c r="Q49" s="375">
        <f>R49*AA49</f>
        <v>171948.44900000002</v>
      </c>
      <c r="R49" s="75">
        <v>0.1</v>
      </c>
      <c r="U49" s="87"/>
      <c r="V49" s="437">
        <v>3234</v>
      </c>
      <c r="X49" s="106">
        <v>980442.02</v>
      </c>
      <c r="Y49" s="592"/>
      <c r="Z49" s="570">
        <v>739042.47</v>
      </c>
      <c r="AA49" s="300">
        <f>Table157[[#This Row],[PCTS Investment Amount]]+Table157[[#This Row],[PCTS Retirement Amount]]</f>
        <v>1719484.49</v>
      </c>
      <c r="AB49" s="207" t="s">
        <v>1089</v>
      </c>
      <c r="AC49" s="108" t="s">
        <v>709</v>
      </c>
      <c r="AD49" s="108" t="s">
        <v>116</v>
      </c>
      <c r="AE49" s="349"/>
      <c r="AF49" s="579"/>
      <c r="AG49" s="579"/>
      <c r="AH49" s="354"/>
      <c r="AI49" s="489"/>
      <c r="AJ49" s="553"/>
      <c r="AK49" s="553"/>
      <c r="AL49" s="495">
        <f>SUM(Table157[[#This Row],[Nicor Initiated DBE]:[Staffing]])/(Table157[[#This Row],[Amount Invoiced]])</f>
        <v>0</v>
      </c>
      <c r="AM49" s="21" t="s">
        <v>116</v>
      </c>
      <c r="AN49" s="680">
        <v>45475</v>
      </c>
      <c r="AO49" s="681">
        <v>11085682</v>
      </c>
      <c r="AP49" s="718">
        <v>994814.23</v>
      </c>
      <c r="AQ49" s="718"/>
      <c r="AR49" s="718">
        <v>747269.27</v>
      </c>
      <c r="AS49" s="538">
        <f>IF(Table157[[#This Row],[PCTS Approved]]="N",0,Table157[[#This Row],[Investment Amount (1'#'#'#'#'#)]]+Table157[[#This Row],[Retirement Amount (3'#'#'#'#'#)]])</f>
        <v>1742083.5</v>
      </c>
      <c r="AT49" s="538">
        <f>IF(Table157[[#This Row],[Approved Construction Cost]]=0,0,Table157[[#This Row],[Approved Construction Cost]]-Table157[[#This Row],[Construction Cost to Bill From]])</f>
        <v>22599.010000000009</v>
      </c>
      <c r="AU49" s="538">
        <f>IFERROR(Table157[[#This Row],[Difference in Construction Cost]]*Table157[[#This Row],[Rate]],Table157[[#This Row],[Difference in Construction Cost]]*0.085)</f>
        <v>2259.9010000000012</v>
      </c>
      <c r="AV49" s="682">
        <v>0</v>
      </c>
      <c r="AW49" s="686" t="s">
        <v>1090</v>
      </c>
      <c r="AX49" s="538"/>
      <c r="AY49" s="636" t="s">
        <v>709</v>
      </c>
      <c r="AZ49" s="443">
        <v>77</v>
      </c>
      <c r="BA49" s="334" t="s">
        <v>4</v>
      </c>
      <c r="BB49" s="652" t="s">
        <v>1091</v>
      </c>
      <c r="BC49" s="644" t="s">
        <v>1092</v>
      </c>
      <c r="BD49" s="478" t="s">
        <v>116</v>
      </c>
      <c r="BE49" s="544" t="s">
        <v>837</v>
      </c>
      <c r="BF49" s="544" t="s">
        <v>1093</v>
      </c>
      <c r="BG49" s="544" t="s">
        <v>115</v>
      </c>
      <c r="BH49" s="512" t="s">
        <v>115</v>
      </c>
      <c r="BI49" s="545" t="s">
        <v>1094</v>
      </c>
      <c r="BJ49" s="511" t="s">
        <v>709</v>
      </c>
      <c r="BK49" s="546" t="s">
        <v>709</v>
      </c>
      <c r="BL49" s="546" t="s">
        <v>709</v>
      </c>
      <c r="BM49" s="546" t="s">
        <v>116</v>
      </c>
      <c r="BN49" s="546" t="s">
        <v>709</v>
      </c>
      <c r="BO49" s="546" t="s">
        <v>709</v>
      </c>
      <c r="BP49" s="546" t="s">
        <v>709</v>
      </c>
      <c r="BQ49" s="546" t="s">
        <v>709</v>
      </c>
      <c r="BR49" s="546" t="s">
        <v>709</v>
      </c>
      <c r="BS49" s="546">
        <v>3138</v>
      </c>
      <c r="BT49" s="546">
        <v>96</v>
      </c>
      <c r="BU49" s="546" t="s">
        <v>709</v>
      </c>
      <c r="BV49" s="546" t="s">
        <v>709</v>
      </c>
      <c r="BW49" s="546" t="s">
        <v>709</v>
      </c>
      <c r="BX49" s="546" t="s">
        <v>709</v>
      </c>
      <c r="BY49" s="546" t="s">
        <v>745</v>
      </c>
      <c r="BZ49" s="546" t="s">
        <v>709</v>
      </c>
      <c r="CA49" s="506"/>
    </row>
    <row r="50" spans="1:79" ht="15" hidden="1" customHeight="1" x14ac:dyDescent="0.25">
      <c r="A50" s="8" t="s">
        <v>749</v>
      </c>
      <c r="B50" s="8" t="s">
        <v>4</v>
      </c>
      <c r="C50" s="8" t="s">
        <v>1095</v>
      </c>
      <c r="D50" s="8" t="s">
        <v>1096</v>
      </c>
      <c r="E50" s="8" t="s">
        <v>309</v>
      </c>
      <c r="F50" s="8" t="s">
        <v>747</v>
      </c>
      <c r="G50" s="8" t="s">
        <v>27</v>
      </c>
      <c r="H50" s="8" t="s">
        <v>59</v>
      </c>
      <c r="I50" s="642">
        <v>44791</v>
      </c>
      <c r="J50" s="18">
        <v>44895</v>
      </c>
      <c r="K50" s="97">
        <v>44894</v>
      </c>
      <c r="L50" s="16">
        <f>IF(ISTEXT(Table157[[#This Row],[Engineering Approved Design Date]]),Table157[[#This Row],[Date Completed]]-Table157[[#This Row],[Date Assigned to Designer]],Table157[[#This Row],[Engineering Approved Design Date]]-Table157[[#This Row],[Date Completed]])</f>
        <v>1</v>
      </c>
      <c r="M50" s="642"/>
      <c r="N50" s="642" t="s">
        <v>120</v>
      </c>
      <c r="O50" s="510">
        <v>44896</v>
      </c>
      <c r="P50" s="68" t="s">
        <v>739</v>
      </c>
      <c r="Q50" s="375">
        <f>R50*AA50</f>
        <v>103641.395</v>
      </c>
      <c r="R50" s="75">
        <v>0.1</v>
      </c>
      <c r="U50" s="87"/>
      <c r="V50" s="437">
        <v>2473</v>
      </c>
      <c r="X50" s="106">
        <v>688510.01</v>
      </c>
      <c r="Y50" s="592"/>
      <c r="Z50" s="570">
        <v>347903.94</v>
      </c>
      <c r="AA50" s="300">
        <f>Table157[[#This Row],[PCTS Investment Amount]]+Table157[[#This Row],[PCTS Retirement Amount]]</f>
        <v>1036413.95</v>
      </c>
      <c r="AB50" s="207" t="s">
        <v>1089</v>
      </c>
      <c r="AC50" s="108" t="s">
        <v>709</v>
      </c>
      <c r="AD50" s="108" t="s">
        <v>116</v>
      </c>
      <c r="AE50" s="349"/>
      <c r="AF50" s="579"/>
      <c r="AG50" s="579"/>
      <c r="AH50" s="354"/>
      <c r="AI50" s="489"/>
      <c r="AJ50" s="553"/>
      <c r="AK50" s="553"/>
      <c r="AL50" s="495">
        <f>SUM(Table157[[#This Row],[Nicor Initiated DBE]:[Staffing]])/(Table157[[#This Row],[Amount Invoiced]])</f>
        <v>0</v>
      </c>
      <c r="AM50" s="21" t="s">
        <v>116</v>
      </c>
      <c r="AN50" s="680">
        <v>45475</v>
      </c>
      <c r="AO50" s="681">
        <v>11082174</v>
      </c>
      <c r="AP50" s="718">
        <v>719145.63</v>
      </c>
      <c r="AQ50" s="718"/>
      <c r="AR50" s="718">
        <v>412093.4</v>
      </c>
      <c r="AS50" s="538">
        <f>IF(Table157[[#This Row],[PCTS Approved]]="N",0,Table157[[#This Row],[Investment Amount (1'#'#'#'#'#)]]+Table157[[#This Row],[Retirement Amount (3'#'#'#'#'#)]])</f>
        <v>1131239.03</v>
      </c>
      <c r="AT50" s="538">
        <f>IF(Table157[[#This Row],[Approved Construction Cost]]=0,0,Table157[[#This Row],[Approved Construction Cost]]-Table157[[#This Row],[Construction Cost to Bill From]])</f>
        <v>94825.080000000075</v>
      </c>
      <c r="AU50" s="538">
        <f>IFERROR(Table157[[#This Row],[Difference in Construction Cost]]*Table157[[#This Row],[Rate]],Table157[[#This Row],[Difference in Construction Cost]]*0.085)</f>
        <v>9482.5080000000071</v>
      </c>
      <c r="AV50" s="682">
        <v>0</v>
      </c>
      <c r="AW50" s="686" t="s">
        <v>1097</v>
      </c>
      <c r="AX50" s="538"/>
      <c r="AY50" s="636" t="s">
        <v>709</v>
      </c>
      <c r="AZ50" s="443">
        <v>76</v>
      </c>
      <c r="BA50" s="334" t="s">
        <v>4</v>
      </c>
      <c r="BB50" s="652" t="s">
        <v>1098</v>
      </c>
      <c r="BC50" s="644" t="s">
        <v>1092</v>
      </c>
      <c r="BD50" s="478" t="s">
        <v>116</v>
      </c>
      <c r="BE50" s="544" t="s">
        <v>837</v>
      </c>
      <c r="BF50" s="544" t="s">
        <v>1093</v>
      </c>
      <c r="BG50" s="544" t="s">
        <v>115</v>
      </c>
      <c r="BH50" s="512" t="s">
        <v>115</v>
      </c>
      <c r="BI50" s="545" t="s">
        <v>1094</v>
      </c>
      <c r="BJ50" s="511" t="s">
        <v>709</v>
      </c>
      <c r="BK50" s="546" t="s">
        <v>709</v>
      </c>
      <c r="BL50" s="546" t="s">
        <v>709</v>
      </c>
      <c r="BM50" s="546" t="s">
        <v>116</v>
      </c>
      <c r="BN50" s="546" t="s">
        <v>709</v>
      </c>
      <c r="BO50" s="546" t="s">
        <v>709</v>
      </c>
      <c r="BP50" s="546" t="s">
        <v>709</v>
      </c>
      <c r="BQ50" s="546" t="s">
        <v>709</v>
      </c>
      <c r="BR50" s="546" t="s">
        <v>709</v>
      </c>
      <c r="BS50" s="546">
        <v>2473</v>
      </c>
      <c r="BT50" s="546" t="s">
        <v>709</v>
      </c>
      <c r="BU50" s="546" t="s">
        <v>745</v>
      </c>
      <c r="BV50" s="546" t="s">
        <v>709</v>
      </c>
      <c r="BW50" s="546" t="s">
        <v>745</v>
      </c>
      <c r="BX50" s="546" t="s">
        <v>709</v>
      </c>
      <c r="BY50" s="546" t="s">
        <v>745</v>
      </c>
      <c r="BZ50" s="546" t="s">
        <v>745</v>
      </c>
      <c r="CA50" s="506"/>
    </row>
    <row r="51" spans="1:79" ht="15" hidden="1" customHeight="1" x14ac:dyDescent="0.25">
      <c r="A51" s="8" t="s">
        <v>800</v>
      </c>
      <c r="B51" s="8" t="s">
        <v>4</v>
      </c>
      <c r="C51" s="8" t="s">
        <v>1099</v>
      </c>
      <c r="D51" s="8" t="s">
        <v>1100</v>
      </c>
      <c r="E51" s="8" t="s">
        <v>1101</v>
      </c>
      <c r="F51" s="8" t="s">
        <v>1102</v>
      </c>
      <c r="G51" s="8" t="s">
        <v>31</v>
      </c>
      <c r="H51" s="8" t="s">
        <v>59</v>
      </c>
      <c r="I51" s="642">
        <v>45401</v>
      </c>
      <c r="J51" s="472">
        <v>45492</v>
      </c>
      <c r="K51" s="97">
        <v>45462</v>
      </c>
      <c r="L51" s="16">
        <f>IF(ISTEXT(Table157[[#This Row],[Engineering Approved Design Date]]),Table157[[#This Row],[Date Completed]]-Table157[[#This Row],[Date Assigned to Designer]],Table157[[#This Row],[Engineering Approved Design Date]]-Table157[[#This Row],[Date Completed]])</f>
        <v>30</v>
      </c>
      <c r="M51" s="642"/>
      <c r="N51" s="642" t="s">
        <v>120</v>
      </c>
      <c r="O51" s="510">
        <v>45444</v>
      </c>
      <c r="P51" s="221" t="s">
        <v>739</v>
      </c>
      <c r="Q51" s="74">
        <f>Table157[[#This Row],[Rate]]*Table157[[#This Row],[Construction Cost to Bill From]]</f>
        <v>12368.651000000002</v>
      </c>
      <c r="R51" s="75">
        <v>0.1</v>
      </c>
      <c r="U51" s="87"/>
      <c r="V51" s="437">
        <v>90</v>
      </c>
      <c r="W51" s="437">
        <v>0</v>
      </c>
      <c r="X51" s="24">
        <v>100367.72</v>
      </c>
      <c r="Y51" s="551"/>
      <c r="Z51" s="552">
        <v>23318.79</v>
      </c>
      <c r="AA51" s="300">
        <f>SUM(Table157[[#This Row],[PCTS Investment Amount]:[PCTS Retirement Amount]])</f>
        <v>123686.51000000001</v>
      </c>
      <c r="AB51" s="207">
        <v>45456</v>
      </c>
      <c r="AC51" s="22" t="s">
        <v>709</v>
      </c>
      <c r="AD51" s="22" t="s">
        <v>29</v>
      </c>
      <c r="AE51" s="187" t="s">
        <v>756</v>
      </c>
      <c r="AF51" s="568" t="s">
        <v>756</v>
      </c>
      <c r="AG51" s="568" t="s">
        <v>376</v>
      </c>
      <c r="AH51" s="356" t="s">
        <v>376</v>
      </c>
      <c r="AI51" s="499">
        <v>0</v>
      </c>
      <c r="AJ51" s="541">
        <v>2950</v>
      </c>
      <c r="AK51" s="541">
        <v>2942</v>
      </c>
      <c r="AL51" s="494">
        <f>SUM(Table157[[#This Row],[Nicor Initiated DBE]:[Staffing]])/(Table157[[#This Row],[Amount Invoiced]])</f>
        <v>0.47636561173890341</v>
      </c>
      <c r="AM51" s="21" t="s">
        <v>116</v>
      </c>
      <c r="AN51" s="680">
        <v>45475</v>
      </c>
      <c r="AO51" s="681">
        <v>11085612</v>
      </c>
      <c r="AP51" s="718">
        <v>101481.74</v>
      </c>
      <c r="AQ51" s="718"/>
      <c r="AR51" s="718">
        <v>23578.45</v>
      </c>
      <c r="AS51" s="538">
        <f>IF(Table157[[#This Row],[PCTS Approved]]="N",0,Table157[[#This Row],[Investment Amount (1'#'#'#'#'#)]]+Table157[[#This Row],[Retirement Amount (3'#'#'#'#'#)]])</f>
        <v>125060.19</v>
      </c>
      <c r="AT51" s="538">
        <f>IF(Table157[[#This Row],[Approved Construction Cost]]=0,0,Table157[[#This Row],[Approved Construction Cost]]-Table157[[#This Row],[Construction Cost to Bill From]])</f>
        <v>1373.679999999993</v>
      </c>
      <c r="AU51" s="538">
        <f>IFERROR(Table157[[#This Row],[Difference in Construction Cost]]*Table157[[#This Row],[Rate]],Table157[[#This Row],[Difference in Construction Cost]]*0.085)</f>
        <v>137.36799999999931</v>
      </c>
      <c r="AV51" s="682">
        <v>0</v>
      </c>
      <c r="AW51" s="660" t="s">
        <v>1103</v>
      </c>
      <c r="AX51" s="538"/>
      <c r="AY51" s="636" t="s">
        <v>709</v>
      </c>
      <c r="AZ51" s="443">
        <v>147</v>
      </c>
      <c r="BA51" s="334" t="s">
        <v>4</v>
      </c>
      <c r="BB51" s="651" t="s">
        <v>1104</v>
      </c>
      <c r="BC51" s="644" t="s">
        <v>1105</v>
      </c>
      <c r="BD51" s="479" t="s">
        <v>709</v>
      </c>
      <c r="BE51" s="554" t="s">
        <v>882</v>
      </c>
      <c r="BF51" s="588" t="s">
        <v>1106</v>
      </c>
      <c r="BG51" s="588" t="s">
        <v>709</v>
      </c>
      <c r="BH51" s="483" t="s">
        <v>709</v>
      </c>
      <c r="BI51" s="487" t="s">
        <v>1107</v>
      </c>
      <c r="BJ51" s="535" t="s">
        <v>709</v>
      </c>
      <c r="BK51" s="547" t="s">
        <v>709</v>
      </c>
      <c r="BL51" s="547" t="s">
        <v>709</v>
      </c>
      <c r="BM51" s="547" t="s">
        <v>116</v>
      </c>
      <c r="BN51" s="547" t="s">
        <v>709</v>
      </c>
      <c r="BO51" s="547" t="s">
        <v>709</v>
      </c>
      <c r="BP51" s="547" t="s">
        <v>709</v>
      </c>
      <c r="BQ51" s="547" t="s">
        <v>709</v>
      </c>
      <c r="BR51" s="547" t="s">
        <v>709</v>
      </c>
      <c r="BS51" s="547" t="s">
        <v>709</v>
      </c>
      <c r="BT51" s="549">
        <v>90</v>
      </c>
      <c r="BU51" s="547" t="s">
        <v>745</v>
      </c>
      <c r="BV51" s="547" t="s">
        <v>745</v>
      </c>
      <c r="BW51" s="547" t="s">
        <v>745</v>
      </c>
      <c r="BX51" s="547" t="s">
        <v>745</v>
      </c>
      <c r="BY51" s="547" t="s">
        <v>745</v>
      </c>
      <c r="BZ51" s="547" t="s">
        <v>745</v>
      </c>
      <c r="CA51" s="483"/>
    </row>
    <row r="52" spans="1:79" ht="15" hidden="1" customHeight="1" x14ac:dyDescent="0.25">
      <c r="A52" s="8" t="s">
        <v>770</v>
      </c>
      <c r="B52" s="8" t="s">
        <v>1108</v>
      </c>
      <c r="C52" s="654" t="s">
        <v>1109</v>
      </c>
      <c r="D52" s="8" t="s">
        <v>761</v>
      </c>
      <c r="E52" s="8" t="s">
        <v>1110</v>
      </c>
      <c r="F52" s="8" t="s">
        <v>1111</v>
      </c>
      <c r="G52" s="8" t="s">
        <v>27</v>
      </c>
      <c r="H52" s="8" t="s">
        <v>59</v>
      </c>
      <c r="I52" s="642">
        <v>44105</v>
      </c>
      <c r="J52" s="18">
        <v>44342</v>
      </c>
      <c r="K52" s="642">
        <v>44340</v>
      </c>
      <c r="L52" s="16">
        <f>IF(ISTEXT(Table157[[#This Row],[Engineering Approved Design Date]]),Table157[[#This Row],[Date Completed]]-Table157[[#This Row],[Date Assigned to Designer]],Table157[[#This Row],[Engineering Approved Design Date]]-Table157[[#This Row],[Date Completed]])</f>
        <v>2</v>
      </c>
      <c r="M52" s="642"/>
      <c r="N52" s="642" t="s">
        <v>120</v>
      </c>
      <c r="O52" s="534">
        <v>44340</v>
      </c>
      <c r="P52" s="68" t="s">
        <v>739</v>
      </c>
      <c r="Q52" s="74">
        <f>(Table157[[#This Row],[Construction Cost to Bill From]]*0.085)+7750</f>
        <v>56111.2379</v>
      </c>
      <c r="R52" s="75" t="s">
        <v>1055</v>
      </c>
      <c r="S52" s="24" t="s">
        <v>709</v>
      </c>
      <c r="T52" s="538" t="s">
        <v>709</v>
      </c>
      <c r="U52" s="28" t="s">
        <v>709</v>
      </c>
      <c r="X52" s="24">
        <v>485306.62</v>
      </c>
      <c r="Y52" s="591"/>
      <c r="Z52" s="538">
        <v>83649.119999999995</v>
      </c>
      <c r="AA52" s="28">
        <f>X52+Z52</f>
        <v>568955.74</v>
      </c>
      <c r="AB52" s="207"/>
      <c r="AC52" s="108" t="s">
        <v>116</v>
      </c>
      <c r="AD52" s="108"/>
      <c r="AE52" s="349"/>
      <c r="AF52" s="579"/>
      <c r="AG52" s="579"/>
      <c r="AH52" s="354"/>
      <c r="AI52" s="341"/>
      <c r="AJ52" s="183"/>
      <c r="AK52" s="183"/>
      <c r="AL52" s="494">
        <f>SUM(Table157[[#This Row],[Nicor Initiated DBE]:[Staffing]])/(Table157[[#This Row],[Amount Invoiced]])</f>
        <v>0</v>
      </c>
      <c r="AM52" s="21" t="s">
        <v>709</v>
      </c>
      <c r="AN52" s="680"/>
      <c r="AO52" s="681"/>
      <c r="AP52" s="712"/>
      <c r="AQ52" s="682"/>
      <c r="AR52" s="712"/>
      <c r="AS52" s="538"/>
      <c r="AT52" s="538"/>
      <c r="AU52" s="538"/>
      <c r="AV52" s="682"/>
      <c r="AW52" s="686"/>
      <c r="AX52" s="538"/>
      <c r="AY52" s="636" t="s">
        <v>709</v>
      </c>
      <c r="AZ52" s="443">
        <v>182</v>
      </c>
      <c r="BA52" s="334" t="s">
        <v>2</v>
      </c>
      <c r="BB52" s="652" t="s">
        <v>1112</v>
      </c>
      <c r="BC52" s="644" t="s">
        <v>1113</v>
      </c>
      <c r="BD52" s="478" t="s">
        <v>116</v>
      </c>
      <c r="BE52" s="544" t="s">
        <v>709</v>
      </c>
      <c r="BF52" s="544" t="s">
        <v>1114</v>
      </c>
      <c r="BG52" s="544" t="s">
        <v>709</v>
      </c>
      <c r="BH52" s="512" t="s">
        <v>709</v>
      </c>
      <c r="BI52" s="645"/>
      <c r="BJ52" s="511"/>
      <c r="BK52" s="546"/>
      <c r="BL52" s="546"/>
      <c r="BM52" s="546"/>
      <c r="BN52" s="546"/>
      <c r="BO52" s="546"/>
      <c r="BP52" s="546"/>
      <c r="BQ52" s="546"/>
      <c r="BR52" s="546"/>
      <c r="BS52" s="546"/>
      <c r="BT52" s="546"/>
      <c r="BU52" s="546"/>
      <c r="BV52" s="546"/>
      <c r="BW52" s="546"/>
      <c r="BX52" s="546"/>
      <c r="BY52" s="546"/>
      <c r="BZ52" s="546"/>
      <c r="CA52" s="506" t="s">
        <v>1053</v>
      </c>
    </row>
    <row r="53" spans="1:79" ht="15" hidden="1" customHeight="1" x14ac:dyDescent="0.25">
      <c r="A53" s="8" t="s">
        <v>800</v>
      </c>
      <c r="B53" s="8" t="s">
        <v>4</v>
      </c>
      <c r="C53" s="8" t="s">
        <v>1115</v>
      </c>
      <c r="D53" s="8" t="s">
        <v>1116</v>
      </c>
      <c r="E53" s="8" t="s">
        <v>1117</v>
      </c>
      <c r="F53" s="8" t="s">
        <v>784</v>
      </c>
      <c r="G53" s="8" t="s">
        <v>35</v>
      </c>
      <c r="H53" s="8" t="s">
        <v>59</v>
      </c>
      <c r="I53" s="642">
        <v>45307</v>
      </c>
      <c r="J53" s="18">
        <v>45380</v>
      </c>
      <c r="K53" s="97">
        <v>45376</v>
      </c>
      <c r="L53" s="16">
        <f>IF(ISTEXT(Table157[[#This Row],[Engineering Approved Design Date]]),Table157[[#This Row],[Date Completed]]-Table157[[#This Row],[Date Assigned to Designer]],Table157[[#This Row],[Engineering Approved Design Date]]-Table157[[#This Row],[Date Completed]])</f>
        <v>4</v>
      </c>
      <c r="M53" s="642"/>
      <c r="N53" s="642" t="s">
        <v>120</v>
      </c>
      <c r="O53" s="510">
        <v>45352</v>
      </c>
      <c r="P53" s="221" t="s">
        <v>739</v>
      </c>
      <c r="Q53" s="74">
        <f>Table157[[#This Row],[Rate]]*Table157[[#This Row],[Construction Cost to Bill From]]</f>
        <v>54325.762000000002</v>
      </c>
      <c r="R53" s="75">
        <v>0.1</v>
      </c>
      <c r="U53" s="87"/>
      <c r="V53" s="437">
        <f>964+48+27</f>
        <v>1039</v>
      </c>
      <c r="W53" s="437">
        <v>0</v>
      </c>
      <c r="X53" s="70">
        <v>457410.42</v>
      </c>
      <c r="Y53" s="595"/>
      <c r="Z53" s="570">
        <v>85847.2</v>
      </c>
      <c r="AA53" s="300">
        <f>Table157[[#This Row],[PCTS Retirement Amount]]+Table157[[#This Row],[PCTS Investment Amount]]</f>
        <v>543257.62</v>
      </c>
      <c r="AB53" s="207">
        <v>45369</v>
      </c>
      <c r="AC53" s="22" t="s">
        <v>709</v>
      </c>
      <c r="AD53" s="22" t="s">
        <v>29</v>
      </c>
      <c r="AE53" s="187" t="s">
        <v>116</v>
      </c>
      <c r="AF53" s="568" t="s">
        <v>116</v>
      </c>
      <c r="AG53" s="568" t="s">
        <v>376</v>
      </c>
      <c r="AH53" s="356">
        <v>45406</v>
      </c>
      <c r="AI53" s="499">
        <v>0</v>
      </c>
      <c r="AJ53" s="541">
        <v>11870</v>
      </c>
      <c r="AK53" s="541">
        <v>14616.5</v>
      </c>
      <c r="AL53" s="494">
        <f>SUM(Table157[[#This Row],[Nicor Initiated DBE]:[Staffing]])/(Table157[[#This Row],[Amount Invoiced]])</f>
        <v>0.48754953497016756</v>
      </c>
      <c r="AM53" s="21" t="s">
        <v>116</v>
      </c>
      <c r="AN53" s="680">
        <v>45482</v>
      </c>
      <c r="AO53" s="681">
        <v>11085908</v>
      </c>
      <c r="AP53" s="718">
        <v>457231.43</v>
      </c>
      <c r="AQ53" s="718"/>
      <c r="AR53" s="718">
        <v>87246.76</v>
      </c>
      <c r="AS53" s="538">
        <f>IF(Table157[[#This Row],[PCTS Approved]]="N",0,Table157[[#This Row],[Investment Amount (1'#'#'#'#'#)]]+Table157[[#This Row],[Retirement Amount (3'#'#'#'#'#)]])</f>
        <v>544478.18999999994</v>
      </c>
      <c r="AT53" s="538">
        <f>IF(Table157[[#This Row],[Approved Construction Cost]]=0,0,Table157[[#This Row],[Approved Construction Cost]]-Table157[[#This Row],[Construction Cost to Bill From]])</f>
        <v>1220.5699999999488</v>
      </c>
      <c r="AU53" s="538">
        <f>IFERROR(Table157[[#This Row],[Difference in Construction Cost]]*Table157[[#This Row],[Rate]],Table157[[#This Row],[Difference in Construction Cost]]*0.085)</f>
        <v>122.05699999999489</v>
      </c>
      <c r="AV53" s="682">
        <v>0</v>
      </c>
      <c r="AW53" s="660" t="s">
        <v>1118</v>
      </c>
      <c r="AX53" s="538"/>
      <c r="AY53" s="636" t="s">
        <v>709</v>
      </c>
      <c r="AZ53" s="443">
        <v>133</v>
      </c>
      <c r="BA53" s="334" t="s">
        <v>4</v>
      </c>
      <c r="BB53" s="651" t="s">
        <v>1119</v>
      </c>
      <c r="BC53" s="644" t="s">
        <v>1120</v>
      </c>
      <c r="BD53" s="479" t="s">
        <v>116</v>
      </c>
      <c r="BE53" s="554" t="s">
        <v>709</v>
      </c>
      <c r="BF53" s="588" t="s">
        <v>709</v>
      </c>
      <c r="BG53" s="588" t="s">
        <v>745</v>
      </c>
      <c r="BH53" s="483" t="s">
        <v>709</v>
      </c>
      <c r="BI53" s="487" t="s">
        <v>1121</v>
      </c>
      <c r="BJ53" s="535" t="s">
        <v>709</v>
      </c>
      <c r="BK53" s="549" t="s">
        <v>709</v>
      </c>
      <c r="BL53" s="547" t="s">
        <v>116</v>
      </c>
      <c r="BM53" s="547" t="s">
        <v>116</v>
      </c>
      <c r="BN53" s="626" t="s">
        <v>709</v>
      </c>
      <c r="BO53" s="549" t="s">
        <v>709</v>
      </c>
      <c r="BP53" s="626" t="s">
        <v>709</v>
      </c>
      <c r="BQ53" s="626" t="s">
        <v>709</v>
      </c>
      <c r="BR53" s="549">
        <v>75</v>
      </c>
      <c r="BS53" s="549">
        <v>0</v>
      </c>
      <c r="BT53" s="549">
        <v>964</v>
      </c>
      <c r="BU53" s="549" t="s">
        <v>745</v>
      </c>
      <c r="BV53" s="549" t="s">
        <v>709</v>
      </c>
      <c r="BW53" s="549" t="s">
        <v>745</v>
      </c>
      <c r="BX53" s="549" t="s">
        <v>709</v>
      </c>
      <c r="BY53" s="547" t="s">
        <v>745</v>
      </c>
      <c r="BZ53" s="549" t="s">
        <v>745</v>
      </c>
      <c r="CA53" s="483"/>
    </row>
    <row r="54" spans="1:79" ht="15" hidden="1" customHeight="1" x14ac:dyDescent="0.25">
      <c r="A54" s="8" t="s">
        <v>800</v>
      </c>
      <c r="B54" s="8" t="s">
        <v>4</v>
      </c>
      <c r="C54" s="8" t="s">
        <v>1122</v>
      </c>
      <c r="D54" s="8" t="s">
        <v>1123</v>
      </c>
      <c r="E54" s="8" t="s">
        <v>910</v>
      </c>
      <c r="F54" s="8" t="s">
        <v>784</v>
      </c>
      <c r="G54" s="8" t="s">
        <v>25</v>
      </c>
      <c r="H54" s="8" t="s">
        <v>59</v>
      </c>
      <c r="I54" s="642">
        <v>45336</v>
      </c>
      <c r="J54" s="472">
        <v>45443</v>
      </c>
      <c r="K54" s="97">
        <v>45418</v>
      </c>
      <c r="L54" s="16">
        <f>IF(ISTEXT(Table157[[#This Row],[Engineering Approved Design Date]]),Table157[[#This Row],[Date Completed]]-Table157[[#This Row],[Date Assigned to Designer]],Table157[[#This Row],[Engineering Approved Design Date]]-Table157[[#This Row],[Date Completed]])</f>
        <v>25</v>
      </c>
      <c r="M54" s="642"/>
      <c r="N54" s="642" t="s">
        <v>120</v>
      </c>
      <c r="O54" s="510">
        <v>45413</v>
      </c>
      <c r="P54" s="221" t="s">
        <v>739</v>
      </c>
      <c r="Q54" s="74">
        <f>Table157[[#This Row],[Rate]]*Table157[[#This Row],[Construction Cost to Bill From]]</f>
        <v>33373.732000000004</v>
      </c>
      <c r="R54" s="75">
        <v>0.1</v>
      </c>
      <c r="U54" s="87"/>
      <c r="V54" s="437">
        <v>368</v>
      </c>
      <c r="W54" s="437">
        <v>0</v>
      </c>
      <c r="X54" s="24">
        <v>279430.8</v>
      </c>
      <c r="Y54" s="551"/>
      <c r="Z54" s="552">
        <v>54306.52</v>
      </c>
      <c r="AA54" s="300">
        <f>SUM(Table157[[#This Row],[PCTS Investment Amount]:[PCTS Retirement Amount]])</f>
        <v>333737.32</v>
      </c>
      <c r="AB54" s="207">
        <v>45414</v>
      </c>
      <c r="AC54" s="22" t="s">
        <v>29</v>
      </c>
      <c r="AD54" s="22" t="s">
        <v>29</v>
      </c>
      <c r="AE54" s="187" t="s">
        <v>116</v>
      </c>
      <c r="AF54" s="568" t="s">
        <v>29</v>
      </c>
      <c r="AG54" s="568" t="s">
        <v>376</v>
      </c>
      <c r="AH54" s="356" t="s">
        <v>376</v>
      </c>
      <c r="AI54" s="499">
        <v>0</v>
      </c>
      <c r="AJ54" s="541">
        <f>36250+706.5</f>
        <v>36956.5</v>
      </c>
      <c r="AK54" s="541">
        <f>777</f>
        <v>777</v>
      </c>
      <c r="AL54" s="494">
        <f>SUM(Table157[[#This Row],[Nicor Initiated DBE]:[Staffing]])/(Table157[[#This Row],[Amount Invoiced]])</f>
        <v>1.1306347159496575</v>
      </c>
      <c r="AM54" s="21" t="s">
        <v>116</v>
      </c>
      <c r="AN54" s="680">
        <v>45482</v>
      </c>
      <c r="AO54" s="681">
        <v>11085898</v>
      </c>
      <c r="AP54" s="718">
        <v>284240.23</v>
      </c>
      <c r="AQ54" s="718"/>
      <c r="AR54" s="718">
        <v>55608.68</v>
      </c>
      <c r="AS54" s="538">
        <f>IF(Table157[[#This Row],[PCTS Approved]]="N",0,Table157[[#This Row],[Investment Amount (1'#'#'#'#'#)]]+Table157[[#This Row],[Retirement Amount (3'#'#'#'#'#)]])</f>
        <v>339848.91</v>
      </c>
      <c r="AT54" s="538">
        <f>IF(Table157[[#This Row],[Approved Construction Cost]]=0,0,Table157[[#This Row],[Approved Construction Cost]]-Table157[[#This Row],[Construction Cost to Bill From]])</f>
        <v>6111.5899999999674</v>
      </c>
      <c r="AU54" s="538">
        <f>IFERROR(Table157[[#This Row],[Difference in Construction Cost]]*Table157[[#This Row],[Rate]],Table157[[#This Row],[Difference in Construction Cost]]*0.085)</f>
        <v>611.15899999999681</v>
      </c>
      <c r="AV54" s="682">
        <v>0</v>
      </c>
      <c r="AW54" s="660" t="s">
        <v>1124</v>
      </c>
      <c r="AX54" s="538"/>
      <c r="AY54" s="636" t="s">
        <v>709</v>
      </c>
      <c r="AZ54" s="443">
        <v>137</v>
      </c>
      <c r="BA54" s="334" t="s">
        <v>4</v>
      </c>
      <c r="BB54" s="651" t="s">
        <v>1125</v>
      </c>
      <c r="BC54" s="644" t="s">
        <v>912</v>
      </c>
      <c r="BD54" s="479" t="s">
        <v>116</v>
      </c>
      <c r="BE54" s="554" t="s">
        <v>709</v>
      </c>
      <c r="BF54" s="588" t="s">
        <v>913</v>
      </c>
      <c r="BG54" s="588" t="s">
        <v>709</v>
      </c>
      <c r="BH54" s="483" t="s">
        <v>709</v>
      </c>
      <c r="BI54" s="487" t="s">
        <v>1126</v>
      </c>
      <c r="BJ54" s="535" t="s">
        <v>709</v>
      </c>
      <c r="BK54" s="547" t="s">
        <v>709</v>
      </c>
      <c r="BL54" s="547" t="s">
        <v>709</v>
      </c>
      <c r="BM54" s="547" t="s">
        <v>116</v>
      </c>
      <c r="BN54" s="547" t="s">
        <v>709</v>
      </c>
      <c r="BO54" s="547" t="s">
        <v>709</v>
      </c>
      <c r="BP54" s="547" t="s">
        <v>709</v>
      </c>
      <c r="BQ54" s="626" t="s">
        <v>709</v>
      </c>
      <c r="BR54" s="626" t="s">
        <v>709</v>
      </c>
      <c r="BS54" s="549" t="s">
        <v>709</v>
      </c>
      <c r="BT54" s="549">
        <v>368</v>
      </c>
      <c r="BU54" s="547" t="s">
        <v>745</v>
      </c>
      <c r="BV54" s="547" t="s">
        <v>709</v>
      </c>
      <c r="BW54" s="547" t="s">
        <v>745</v>
      </c>
      <c r="BX54" s="547" t="s">
        <v>709</v>
      </c>
      <c r="BY54" s="547" t="s">
        <v>745</v>
      </c>
      <c r="BZ54" s="547" t="s">
        <v>745</v>
      </c>
      <c r="CA54" s="483"/>
    </row>
    <row r="55" spans="1:79" ht="15" hidden="1" customHeight="1" x14ac:dyDescent="0.25">
      <c r="A55" s="8" t="s">
        <v>749</v>
      </c>
      <c r="B55" s="8" t="s">
        <v>771</v>
      </c>
      <c r="C55" s="8" t="s">
        <v>1127</v>
      </c>
      <c r="D55" s="8" t="s">
        <v>1128</v>
      </c>
      <c r="E55" s="8" t="s">
        <v>1129</v>
      </c>
      <c r="F55" s="8" t="s">
        <v>784</v>
      </c>
      <c r="G55" s="8" t="s">
        <v>32</v>
      </c>
      <c r="H55" s="13" t="s">
        <v>59</v>
      </c>
      <c r="I55" s="642">
        <v>44946</v>
      </c>
      <c r="J55" s="18">
        <v>45036</v>
      </c>
      <c r="K55" s="97">
        <v>45023</v>
      </c>
      <c r="L55" s="16">
        <f>IF(ISTEXT(Table157[[#This Row],[Engineering Approved Design Date]]),Table157[[#This Row],[Date Completed]]-Table157[[#This Row],[Date Assigned to Designer]],Table157[[#This Row],[Engineering Approved Design Date]]-Table157[[#This Row],[Date Completed]])</f>
        <v>13</v>
      </c>
      <c r="M55" s="642"/>
      <c r="N55" s="642" t="s">
        <v>120</v>
      </c>
      <c r="O55" s="510">
        <v>45047</v>
      </c>
      <c r="P55" s="221" t="s">
        <v>120</v>
      </c>
      <c r="Q55" s="74">
        <f>Table157[[#This Row],[Rate]]*Table157[[#This Row],[Construction Cost to Bill From]]</f>
        <v>38230.177499999998</v>
      </c>
      <c r="R55" s="75">
        <v>0.09</v>
      </c>
      <c r="U55" s="87"/>
      <c r="V55" s="437">
        <v>1538</v>
      </c>
      <c r="W55" s="437">
        <v>0</v>
      </c>
      <c r="X55" s="94">
        <v>393521.83</v>
      </c>
      <c r="Y55" s="592"/>
      <c r="Z55" s="552">
        <v>31257.919999999998</v>
      </c>
      <c r="AA55" s="300">
        <f>SUM(Table157[[#This Row],[PCTS Investment Amount]:[PCTS Retirement Amount]])</f>
        <v>424779.75</v>
      </c>
      <c r="AB55" s="207">
        <v>45028</v>
      </c>
      <c r="AC55" s="108" t="s">
        <v>709</v>
      </c>
      <c r="AD55" s="108" t="s">
        <v>116</v>
      </c>
      <c r="AE55" s="349"/>
      <c r="AF55" s="579"/>
      <c r="AG55" s="579"/>
      <c r="AH55" s="354"/>
      <c r="AI55" s="341"/>
      <c r="AJ55" s="183"/>
      <c r="AK55" s="183"/>
      <c r="AL55" s="494">
        <f>SUM(Table157[[#This Row],[Nicor Initiated DBE]:[Staffing]])/(Table157[[#This Row],[Amount Invoiced]])</f>
        <v>0</v>
      </c>
      <c r="AM55" s="21" t="s">
        <v>116</v>
      </c>
      <c r="AN55" s="710">
        <v>45483</v>
      </c>
      <c r="AO55" s="711">
        <v>11086005</v>
      </c>
      <c r="AP55" s="712">
        <v>437457.65</v>
      </c>
      <c r="AQ55" s="712"/>
      <c r="AR55" s="712">
        <v>81907.31</v>
      </c>
      <c r="AS55" s="538">
        <f>IF(Table157[[#This Row],[PCTS Approved]]="N",0,Table157[[#This Row],[Investment Amount (1'#'#'#'#'#)]]+Table157[[#This Row],[Retirement Amount (3'#'#'#'#'#)]])</f>
        <v>519364.96</v>
      </c>
      <c r="AT55" s="538">
        <f>IF(Table157[[#This Row],[Approved Construction Cost]]=0,0,Table157[[#This Row],[Approved Construction Cost]]-Table157[[#This Row],[Construction Cost to Bill From]])</f>
        <v>94585.210000000021</v>
      </c>
      <c r="AU55" s="538">
        <f>IFERROR(Table157[[#This Row],[Difference in Construction Cost]]*Table157[[#This Row],[Rate]],Table157[[#This Row],[Difference in Construction Cost]]*0.085)</f>
        <v>8512.6689000000024</v>
      </c>
      <c r="AV55" s="712">
        <v>0</v>
      </c>
      <c r="AW55" s="713" t="s">
        <v>1130</v>
      </c>
      <c r="AX55" s="538"/>
      <c r="AY55" s="636" t="s">
        <v>709</v>
      </c>
      <c r="AZ55" s="443">
        <v>40</v>
      </c>
      <c r="BA55" s="334" t="s">
        <v>3</v>
      </c>
      <c r="BB55" s="652" t="s">
        <v>1131</v>
      </c>
      <c r="BC55" s="644" t="s">
        <v>1132</v>
      </c>
      <c r="BD55" s="478" t="s">
        <v>116</v>
      </c>
      <c r="BE55" s="544" t="s">
        <v>1066</v>
      </c>
      <c r="BF55" s="544" t="s">
        <v>1133</v>
      </c>
      <c r="BG55" s="544" t="s">
        <v>1133</v>
      </c>
      <c r="BH55" s="512" t="s">
        <v>115</v>
      </c>
      <c r="BI55" s="645"/>
      <c r="BJ55" s="511" t="s">
        <v>709</v>
      </c>
      <c r="BK55" s="546" t="s">
        <v>709</v>
      </c>
      <c r="BL55" s="546" t="s">
        <v>709</v>
      </c>
      <c r="BM55" s="546" t="s">
        <v>116</v>
      </c>
      <c r="BN55" s="546" t="s">
        <v>709</v>
      </c>
      <c r="BO55" s="546" t="s">
        <v>709</v>
      </c>
      <c r="BP55" s="546" t="s">
        <v>709</v>
      </c>
      <c r="BQ55" s="546" t="s">
        <v>709</v>
      </c>
      <c r="BR55" s="546" t="s">
        <v>709</v>
      </c>
      <c r="BS55" s="546">
        <v>1054</v>
      </c>
      <c r="BT55" s="546">
        <v>484</v>
      </c>
      <c r="BU55" s="546" t="s">
        <v>745</v>
      </c>
      <c r="BV55" s="546" t="s">
        <v>709</v>
      </c>
      <c r="BW55" s="546" t="s">
        <v>745</v>
      </c>
      <c r="BX55" s="546" t="s">
        <v>709</v>
      </c>
      <c r="BY55" s="546" t="s">
        <v>745</v>
      </c>
      <c r="BZ55" s="546" t="s">
        <v>745</v>
      </c>
      <c r="CA55" s="506"/>
    </row>
    <row r="56" spans="1:79" ht="15" hidden="1" customHeight="1" x14ac:dyDescent="0.25">
      <c r="A56" s="8" t="s">
        <v>800</v>
      </c>
      <c r="B56" s="8" t="s">
        <v>4</v>
      </c>
      <c r="C56" s="8" t="s">
        <v>1134</v>
      </c>
      <c r="D56" s="8" t="s">
        <v>1135</v>
      </c>
      <c r="E56" s="8" t="s">
        <v>1136</v>
      </c>
      <c r="F56" s="8" t="s">
        <v>784</v>
      </c>
      <c r="G56" s="8" t="s">
        <v>26</v>
      </c>
      <c r="H56" s="8" t="s">
        <v>59</v>
      </c>
      <c r="I56" s="642">
        <v>45321</v>
      </c>
      <c r="J56" s="18">
        <v>45450</v>
      </c>
      <c r="K56" s="97">
        <v>45447</v>
      </c>
      <c r="L56" s="16">
        <f>IF(ISTEXT(Table157[[#This Row],[Engineering Approved Design Date]]),Table157[[#This Row],[Date Completed]]-Table157[[#This Row],[Date Assigned to Designer]],Table157[[#This Row],[Engineering Approved Design Date]]-Table157[[#This Row],[Date Completed]])</f>
        <v>3</v>
      </c>
      <c r="M56" s="642"/>
      <c r="N56" s="642" t="s">
        <v>120</v>
      </c>
      <c r="O56" s="510">
        <v>45444</v>
      </c>
      <c r="P56" s="221" t="s">
        <v>739</v>
      </c>
      <c r="Q56" s="74">
        <f>Table157[[#This Row],[Rate]]*Table157[[#This Row],[Construction Cost to Bill From]]</f>
        <v>223755.73100000003</v>
      </c>
      <c r="R56" s="75">
        <v>0.1</v>
      </c>
      <c r="U56" s="87"/>
      <c r="V56" s="437">
        <v>3851</v>
      </c>
      <c r="W56" s="437">
        <v>0</v>
      </c>
      <c r="X56" s="24">
        <v>1907783.6799999999</v>
      </c>
      <c r="Y56" s="551"/>
      <c r="Z56" s="565">
        <v>329773.63</v>
      </c>
      <c r="AA56" s="300">
        <f>SUM(Table157[[#This Row],[PCTS Investment Amount]:[PCTS Retirement Amount]])</f>
        <v>2237557.31</v>
      </c>
      <c r="AB56" s="207">
        <v>45433</v>
      </c>
      <c r="AC56" s="22" t="s">
        <v>116</v>
      </c>
      <c r="AD56" s="22" t="s">
        <v>29</v>
      </c>
      <c r="AE56" s="187" t="s">
        <v>116</v>
      </c>
      <c r="AF56" s="568" t="s">
        <v>116</v>
      </c>
      <c r="AG56" s="568" t="s">
        <v>116</v>
      </c>
      <c r="AH56" s="356" t="s">
        <v>376</v>
      </c>
      <c r="AI56" s="499">
        <v>17900</v>
      </c>
      <c r="AJ56" s="541">
        <v>8218.34</v>
      </c>
      <c r="AK56" s="541">
        <v>13090.25</v>
      </c>
      <c r="AL56" s="494">
        <f>SUM(Table157[[#This Row],[Nicor Initiated DBE]:[Staffing]])/(Table157[[#This Row],[Amount Invoiced]])</f>
        <v>0.17522943356476528</v>
      </c>
      <c r="AM56" s="21" t="s">
        <v>116</v>
      </c>
      <c r="AN56" s="680">
        <v>45484</v>
      </c>
      <c r="AO56" s="681">
        <v>11086100</v>
      </c>
      <c r="AP56" s="718">
        <v>1907783.6799999999</v>
      </c>
      <c r="AQ56" s="718"/>
      <c r="AR56" s="718">
        <v>329053.63</v>
      </c>
      <c r="AS56" s="538">
        <f>IF(Table157[[#This Row],[PCTS Approved]]="N",0,Table157[[#This Row],[Investment Amount (1'#'#'#'#'#)]]+Table157[[#This Row],[Retirement Amount (3'#'#'#'#'#)]])</f>
        <v>2236837.31</v>
      </c>
      <c r="AT56" s="538">
        <f>IF(Table157[[#This Row],[Approved Construction Cost]]=0,0,Table157[[#This Row],[Approved Construction Cost]]-Table157[[#This Row],[Construction Cost to Bill From]])</f>
        <v>-720</v>
      </c>
      <c r="AU56" s="538">
        <f>IFERROR(Table157[[#This Row],[Difference in Construction Cost]]*Table157[[#This Row],[Rate]],Table157[[#This Row],[Difference in Construction Cost]]*0.085)</f>
        <v>-72</v>
      </c>
      <c r="AV56" s="682">
        <v>0</v>
      </c>
      <c r="AW56" s="660" t="s">
        <v>1137</v>
      </c>
      <c r="AX56" s="538"/>
      <c r="AY56" s="636" t="s">
        <v>709</v>
      </c>
      <c r="AZ56" s="443">
        <v>142</v>
      </c>
      <c r="BA56" s="334" t="s">
        <v>4</v>
      </c>
      <c r="BB56" s="643" t="s">
        <v>1138</v>
      </c>
      <c r="BC56" s="644" t="s">
        <v>1139</v>
      </c>
      <c r="BD56" s="479" t="s">
        <v>709</v>
      </c>
      <c r="BE56" s="554" t="s">
        <v>1140</v>
      </c>
      <c r="BF56" s="588" t="s">
        <v>709</v>
      </c>
      <c r="BG56" s="588" t="s">
        <v>745</v>
      </c>
      <c r="BH56" s="483" t="s">
        <v>29</v>
      </c>
      <c r="BI56" s="487" t="s">
        <v>1141</v>
      </c>
      <c r="BJ56" s="535" t="s">
        <v>709</v>
      </c>
      <c r="BK56" s="547" t="s">
        <v>709</v>
      </c>
      <c r="BL56" s="547" t="s">
        <v>116</v>
      </c>
      <c r="BM56" s="547" t="s">
        <v>116</v>
      </c>
      <c r="BN56" s="547" t="s">
        <v>709</v>
      </c>
      <c r="BO56" s="547">
        <v>381</v>
      </c>
      <c r="BP56" s="547" t="s">
        <v>709</v>
      </c>
      <c r="BQ56" s="626" t="s">
        <v>709</v>
      </c>
      <c r="BR56" s="626" t="s">
        <v>709</v>
      </c>
      <c r="BS56" s="549">
        <v>369</v>
      </c>
      <c r="BT56" s="549">
        <v>3101</v>
      </c>
      <c r="BU56" s="547" t="s">
        <v>709</v>
      </c>
      <c r="BV56" s="547" t="s">
        <v>709</v>
      </c>
      <c r="BW56" s="547" t="s">
        <v>709</v>
      </c>
      <c r="BX56" s="547" t="s">
        <v>709</v>
      </c>
      <c r="BY56" s="547" t="s">
        <v>709</v>
      </c>
      <c r="BZ56" s="547" t="s">
        <v>709</v>
      </c>
      <c r="CA56" s="483" t="s">
        <v>29</v>
      </c>
    </row>
    <row r="57" spans="1:79" ht="15" hidden="1" customHeight="1" x14ac:dyDescent="0.25">
      <c r="A57" s="8" t="s">
        <v>994</v>
      </c>
      <c r="B57" s="8" t="s">
        <v>4</v>
      </c>
      <c r="C57" s="8" t="s">
        <v>1142</v>
      </c>
      <c r="D57" s="656" t="s">
        <v>1143</v>
      </c>
      <c r="E57" s="8" t="s">
        <v>859</v>
      </c>
      <c r="F57" s="8" t="s">
        <v>919</v>
      </c>
      <c r="G57" s="8" t="s">
        <v>31</v>
      </c>
      <c r="H57" s="8" t="s">
        <v>59</v>
      </c>
      <c r="I57" s="642">
        <v>43784</v>
      </c>
      <c r="J57" s="18">
        <v>43889</v>
      </c>
      <c r="K57" s="642">
        <v>43879</v>
      </c>
      <c r="L57" s="16">
        <f>IF(ISTEXT(Table157[[#This Row],[Engineering Approved Design Date]]),Table157[[#This Row],[Date Completed]]-Table157[[#This Row],[Date Assigned to Designer]],Table157[[#This Row],[Engineering Approved Design Date]]-Table157[[#This Row],[Date Completed]])</f>
        <v>10</v>
      </c>
      <c r="M57" s="642"/>
      <c r="N57" s="642" t="s">
        <v>120</v>
      </c>
      <c r="O57" s="534">
        <v>43879</v>
      </c>
      <c r="P57" s="68" t="s">
        <v>739</v>
      </c>
      <c r="Q57" s="436">
        <f>AA57*R57</f>
        <v>935.61400000000003</v>
      </c>
      <c r="R57" s="76">
        <v>0.1</v>
      </c>
      <c r="S57" s="24" t="s">
        <v>709</v>
      </c>
      <c r="T57" s="538" t="s">
        <v>709</v>
      </c>
      <c r="U57" s="28" t="s">
        <v>115</v>
      </c>
      <c r="V57" s="437" t="s">
        <v>115</v>
      </c>
      <c r="X57" s="24">
        <v>0</v>
      </c>
      <c r="Y57" s="592">
        <v>0</v>
      </c>
      <c r="Z57" s="538">
        <v>9356.14</v>
      </c>
      <c r="AA57" s="28">
        <f>X57-Y57+Z57</f>
        <v>9356.14</v>
      </c>
      <c r="AB57" s="68"/>
      <c r="AC57" s="22"/>
      <c r="AD57" s="22"/>
      <c r="AE57" s="348"/>
      <c r="AF57" s="580"/>
      <c r="AG57" s="580"/>
      <c r="AH57" s="353"/>
      <c r="AI57" s="426"/>
      <c r="AJ57" s="542"/>
      <c r="AK57" s="542"/>
      <c r="AL57" s="493">
        <f>SUM(Table157[[#This Row],[Nicor Initiated DBE]:[Staffing]])/(Table157[[#This Row],[Amount Invoiced]])</f>
        <v>0</v>
      </c>
      <c r="AM57" s="21" t="s">
        <v>116</v>
      </c>
      <c r="AN57" s="680" t="s">
        <v>709</v>
      </c>
      <c r="AO57" s="681" t="s">
        <v>115</v>
      </c>
      <c r="AP57" s="682"/>
      <c r="AQ57" s="682"/>
      <c r="AR57" s="682"/>
      <c r="AS57" s="538">
        <f>IF(Table157[[#This Row],[PCTS Approved]]="N",0,Table157[[#This Row],[Investment Amount (1'#'#'#'#'#)]]+Table157[[#This Row],[Retirement Amount (3'#'#'#'#'#)]])</f>
        <v>0</v>
      </c>
      <c r="AT57" s="538">
        <f>IF(Table157[[#This Row],[Approved Construction Cost]]=0,0,Table157[[#This Row],[Approved Construction Cost]]-Table157[[#This Row],[Construction Cost to Bill From]])</f>
        <v>0</v>
      </c>
      <c r="AU57" s="538">
        <f>IFERROR(Table157[[#This Row],[Difference in Construction Cost]]*Table157[[#This Row],[Rate]],Table157[[#This Row],[Difference in Construction Cost]]*0.085)</f>
        <v>0</v>
      </c>
      <c r="AV57" s="682"/>
      <c r="AW57" s="686"/>
      <c r="AX57" s="538"/>
      <c r="AY57" s="636" t="s">
        <v>709</v>
      </c>
      <c r="AZ57" s="443">
        <v>54</v>
      </c>
      <c r="BA57" s="334" t="s">
        <v>4</v>
      </c>
      <c r="BB57" s="652" t="s">
        <v>1144</v>
      </c>
      <c r="BC57" s="644" t="s">
        <v>1145</v>
      </c>
      <c r="BD57" s="478"/>
      <c r="BE57" s="544"/>
      <c r="BF57" s="544"/>
      <c r="BG57" s="544"/>
      <c r="BH57" s="512"/>
      <c r="BI57" s="545"/>
      <c r="BJ57" s="511" t="s">
        <v>709</v>
      </c>
      <c r="BK57" s="546" t="s">
        <v>709</v>
      </c>
      <c r="BL57" s="546" t="s">
        <v>709</v>
      </c>
      <c r="BM57" s="546" t="s">
        <v>709</v>
      </c>
      <c r="BN57" s="546" t="s">
        <v>709</v>
      </c>
      <c r="BO57" s="546" t="s">
        <v>709</v>
      </c>
      <c r="BP57" s="546" t="s">
        <v>709</v>
      </c>
      <c r="BQ57" s="546" t="s">
        <v>709</v>
      </c>
      <c r="BR57" s="546" t="s">
        <v>709</v>
      </c>
      <c r="BS57" s="546" t="s">
        <v>709</v>
      </c>
      <c r="BT57" s="546" t="s">
        <v>709</v>
      </c>
      <c r="BU57" s="546" t="s">
        <v>709</v>
      </c>
      <c r="BV57" s="546" t="s">
        <v>709</v>
      </c>
      <c r="BW57" s="546" t="s">
        <v>709</v>
      </c>
      <c r="BX57" s="546" t="s">
        <v>709</v>
      </c>
      <c r="BY57" s="546" t="s">
        <v>709</v>
      </c>
      <c r="BZ57" s="546" t="s">
        <v>709</v>
      </c>
      <c r="CA57" s="506" t="s">
        <v>1146</v>
      </c>
    </row>
    <row r="58" spans="1:79" ht="15" hidden="1" customHeight="1" x14ac:dyDescent="0.25">
      <c r="A58" s="8" t="s">
        <v>994</v>
      </c>
      <c r="B58" s="8" t="s">
        <v>4</v>
      </c>
      <c r="C58" s="8" t="s">
        <v>1147</v>
      </c>
      <c r="D58" s="656" t="s">
        <v>1148</v>
      </c>
      <c r="E58" s="8" t="s">
        <v>1149</v>
      </c>
      <c r="F58" s="8" t="s">
        <v>919</v>
      </c>
      <c r="G58" s="8" t="s">
        <v>37</v>
      </c>
      <c r="H58" s="8" t="s">
        <v>59</v>
      </c>
      <c r="I58" s="642">
        <v>44069</v>
      </c>
      <c r="J58" s="18">
        <v>44113</v>
      </c>
      <c r="K58" s="642">
        <v>44119</v>
      </c>
      <c r="L58" s="16">
        <v>0</v>
      </c>
      <c r="M58" s="642" t="s">
        <v>1150</v>
      </c>
      <c r="N58" s="642" t="s">
        <v>120</v>
      </c>
      <c r="O58" s="534">
        <v>44119</v>
      </c>
      <c r="P58" s="68" t="s">
        <v>739</v>
      </c>
      <c r="Q58" s="74">
        <f>R58*AA58</f>
        <v>32221.179</v>
      </c>
      <c r="R58" s="75">
        <v>0.1</v>
      </c>
      <c r="V58" s="437">
        <v>402</v>
      </c>
      <c r="X58" s="24">
        <v>292732.42</v>
      </c>
      <c r="Y58" s="591"/>
      <c r="Z58" s="538">
        <v>29479.37</v>
      </c>
      <c r="AA58" s="87">
        <f t="shared" ref="AA58:AA75" si="0">X58+Z58</f>
        <v>322211.78999999998</v>
      </c>
      <c r="AB58" s="207"/>
      <c r="AC58" s="108"/>
      <c r="AD58" s="108"/>
      <c r="AE58" s="349"/>
      <c r="AF58" s="579"/>
      <c r="AG58" s="579"/>
      <c r="AH58" s="354"/>
      <c r="AI58" s="489"/>
      <c r="AJ58" s="553"/>
      <c r="AK58" s="553"/>
      <c r="AL58" s="495">
        <f>SUM(Table157[[#This Row],[Nicor Initiated DBE]:[Staffing]])/(Table157[[#This Row],[Amount Invoiced]])</f>
        <v>0</v>
      </c>
      <c r="AM58" s="21" t="s">
        <v>116</v>
      </c>
      <c r="AN58" s="680" t="s">
        <v>709</v>
      </c>
      <c r="AO58" s="601" t="s">
        <v>115</v>
      </c>
      <c r="AP58" s="572"/>
      <c r="AQ58" s="572"/>
      <c r="AR58" s="572"/>
      <c r="AS58" s="538">
        <f>IF(Table157[[#This Row],[PCTS Approved]]="N",0,Table157[[#This Row],[Investment Amount (1'#'#'#'#'#)]]+Table157[[#This Row],[Retirement Amount (3'#'#'#'#'#)]])</f>
        <v>0</v>
      </c>
      <c r="AT58" s="538">
        <f>IF(Table157[[#This Row],[Approved Construction Cost]]=0,0,Table157[[#This Row],[Approved Construction Cost]]-Table157[[#This Row],[Construction Cost to Bill From]])</f>
        <v>0</v>
      </c>
      <c r="AU58" s="538">
        <f>IFERROR(Table157[[#This Row],[Difference in Construction Cost]]*Table157[[#This Row],[Rate]],Table157[[#This Row],[Difference in Construction Cost]]*0.085)</f>
        <v>0</v>
      </c>
      <c r="AV58" s="572"/>
      <c r="AW58" s="639"/>
      <c r="AX58" s="538"/>
      <c r="AY58" s="636" t="s">
        <v>709</v>
      </c>
      <c r="AZ58" s="443">
        <v>55</v>
      </c>
      <c r="BA58" s="334" t="s">
        <v>4</v>
      </c>
      <c r="BB58" s="652" t="s">
        <v>1151</v>
      </c>
      <c r="BC58" s="644"/>
      <c r="BD58" s="478"/>
      <c r="BE58" s="544"/>
      <c r="BF58" s="544"/>
      <c r="BG58" s="544"/>
      <c r="BH58" s="512"/>
      <c r="BI58" s="545"/>
      <c r="BJ58" s="511" t="s">
        <v>709</v>
      </c>
      <c r="BK58" s="546" t="s">
        <v>709</v>
      </c>
      <c r="BL58" s="546" t="s">
        <v>709</v>
      </c>
      <c r="BM58" s="546" t="s">
        <v>116</v>
      </c>
      <c r="BN58" s="546" t="s">
        <v>709</v>
      </c>
      <c r="BO58" s="546" t="s">
        <v>709</v>
      </c>
      <c r="BP58" s="546" t="s">
        <v>709</v>
      </c>
      <c r="BQ58" s="546">
        <v>193</v>
      </c>
      <c r="BR58" s="546" t="s">
        <v>709</v>
      </c>
      <c r="BS58" s="546">
        <v>48</v>
      </c>
      <c r="BT58" s="546">
        <v>161</v>
      </c>
      <c r="BU58" s="546" t="s">
        <v>745</v>
      </c>
      <c r="BV58" s="546" t="s">
        <v>709</v>
      </c>
      <c r="BW58" s="546" t="s">
        <v>745</v>
      </c>
      <c r="BX58" s="546" t="s">
        <v>709</v>
      </c>
      <c r="BY58" s="546" t="s">
        <v>745</v>
      </c>
      <c r="BZ58" s="546" t="s">
        <v>745</v>
      </c>
      <c r="CA58" s="506"/>
    </row>
    <row r="59" spans="1:79" ht="15" hidden="1" customHeight="1" x14ac:dyDescent="0.25">
      <c r="A59" s="8" t="s">
        <v>770</v>
      </c>
      <c r="B59" s="8" t="s">
        <v>4</v>
      </c>
      <c r="C59" s="8" t="s">
        <v>1152</v>
      </c>
      <c r="D59" s="656" t="s">
        <v>1153</v>
      </c>
      <c r="E59" s="8" t="s">
        <v>1154</v>
      </c>
      <c r="F59" s="8" t="s">
        <v>919</v>
      </c>
      <c r="G59" s="8" t="s">
        <v>27</v>
      </c>
      <c r="H59" s="8" t="s">
        <v>59</v>
      </c>
      <c r="I59" s="642">
        <v>44166</v>
      </c>
      <c r="J59" s="18">
        <v>44217</v>
      </c>
      <c r="K59" s="642">
        <v>44217</v>
      </c>
      <c r="L59" s="16">
        <f>IF(ISTEXT(Table157[[#This Row],[Engineering Approved Design Date]]),Table157[[#This Row],[Date Completed]]-Table157[[#This Row],[Date Assigned to Designer]],Table157[[#This Row],[Engineering Approved Design Date]]-Table157[[#This Row],[Date Completed]])</f>
        <v>0</v>
      </c>
      <c r="M59" s="642"/>
      <c r="N59" s="642" t="s">
        <v>120</v>
      </c>
      <c r="O59" s="534">
        <v>44214</v>
      </c>
      <c r="P59" s="68" t="s">
        <v>739</v>
      </c>
      <c r="Q59" s="74">
        <f>R59*AA59</f>
        <v>26108.262999999999</v>
      </c>
      <c r="R59" s="75">
        <v>0.1</v>
      </c>
      <c r="V59" s="440">
        <v>407</v>
      </c>
      <c r="W59" s="440"/>
      <c r="X59" s="29">
        <v>253431.11</v>
      </c>
      <c r="Y59" s="592"/>
      <c r="Z59" s="551">
        <v>7651.52</v>
      </c>
      <c r="AA59" s="87">
        <f t="shared" si="0"/>
        <v>261082.62999999998</v>
      </c>
      <c r="AB59" s="208"/>
      <c r="AC59" s="109" t="s">
        <v>709</v>
      </c>
      <c r="AD59" s="109"/>
      <c r="AE59" s="349"/>
      <c r="AF59" s="579"/>
      <c r="AG59" s="579"/>
      <c r="AH59" s="354"/>
      <c r="AI59" s="489"/>
      <c r="AJ59" s="553"/>
      <c r="AK59" s="553"/>
      <c r="AL59" s="495">
        <f>SUM(Table157[[#This Row],[Nicor Initiated DBE]:[Staffing]])/(Table157[[#This Row],[Amount Invoiced]])</f>
        <v>0</v>
      </c>
      <c r="AM59" s="21" t="s">
        <v>116</v>
      </c>
      <c r="AN59" s="680" t="s">
        <v>709</v>
      </c>
      <c r="AO59" s="601" t="s">
        <v>115</v>
      </c>
      <c r="AP59" s="572"/>
      <c r="AQ59" s="572"/>
      <c r="AR59" s="572"/>
      <c r="AS59" s="538">
        <f>IF(Table157[[#This Row],[PCTS Approved]]="N",0,Table157[[#This Row],[Investment Amount (1'#'#'#'#'#)]]+Table157[[#This Row],[Retirement Amount (3'#'#'#'#'#)]])</f>
        <v>0</v>
      </c>
      <c r="AT59" s="538">
        <f>IF(Table157[[#This Row],[Approved Construction Cost]]=0,0,Table157[[#This Row],[Approved Construction Cost]]-Table157[[#This Row],[Construction Cost to Bill From]])</f>
        <v>0</v>
      </c>
      <c r="AU59" s="538">
        <f>IFERROR(Table157[[#This Row],[Difference in Construction Cost]]*Table157[[#This Row],[Rate]],Table157[[#This Row],[Difference in Construction Cost]]*0.085)</f>
        <v>0</v>
      </c>
      <c r="AV59" s="572"/>
      <c r="AW59" s="639"/>
      <c r="AX59" s="538"/>
      <c r="AY59" s="636" t="s">
        <v>709</v>
      </c>
      <c r="AZ59" s="443">
        <v>56</v>
      </c>
      <c r="BA59" s="334" t="s">
        <v>4</v>
      </c>
      <c r="BB59" s="652" t="s">
        <v>1155</v>
      </c>
      <c r="BC59" s="644" t="s">
        <v>1156</v>
      </c>
      <c r="BD59" s="478" t="s">
        <v>709</v>
      </c>
      <c r="BE59" s="544" t="s">
        <v>709</v>
      </c>
      <c r="BF59" s="544" t="s">
        <v>709</v>
      </c>
      <c r="BG59" s="544" t="s">
        <v>1157</v>
      </c>
      <c r="BH59" s="512" t="s">
        <v>709</v>
      </c>
      <c r="BI59" s="545"/>
      <c r="BJ59" s="511" t="s">
        <v>709</v>
      </c>
      <c r="BK59" s="546" t="s">
        <v>709</v>
      </c>
      <c r="BL59" s="546" t="s">
        <v>709</v>
      </c>
      <c r="BM59" s="546" t="s">
        <v>116</v>
      </c>
      <c r="BN59" s="546" t="s">
        <v>709</v>
      </c>
      <c r="BO59" s="546" t="s">
        <v>709</v>
      </c>
      <c r="BP59" s="546" t="s">
        <v>709</v>
      </c>
      <c r="BQ59" s="546" t="s">
        <v>709</v>
      </c>
      <c r="BR59" s="546" t="s">
        <v>709</v>
      </c>
      <c r="BS59" s="546" t="s">
        <v>709</v>
      </c>
      <c r="BT59" s="546">
        <v>407</v>
      </c>
      <c r="BU59" s="546" t="s">
        <v>745</v>
      </c>
      <c r="BV59" s="546" t="s">
        <v>709</v>
      </c>
      <c r="BW59" s="546" t="s">
        <v>745</v>
      </c>
      <c r="BX59" s="546" t="s">
        <v>709</v>
      </c>
      <c r="BY59" s="546" t="s">
        <v>745</v>
      </c>
      <c r="BZ59" s="546" t="s">
        <v>745</v>
      </c>
      <c r="CA59" s="506"/>
    </row>
    <row r="60" spans="1:79" ht="15" hidden="1" customHeight="1" x14ac:dyDescent="0.25">
      <c r="A60" s="8" t="s">
        <v>994</v>
      </c>
      <c r="B60" s="8" t="s">
        <v>4</v>
      </c>
      <c r="C60" s="8" t="s">
        <v>204</v>
      </c>
      <c r="D60" s="656" t="s">
        <v>1158</v>
      </c>
      <c r="E60" s="8" t="s">
        <v>1159</v>
      </c>
      <c r="F60" s="8" t="s">
        <v>919</v>
      </c>
      <c r="G60" s="8" t="s">
        <v>37</v>
      </c>
      <c r="H60" s="8" t="s">
        <v>59</v>
      </c>
      <c r="I60" s="642">
        <v>43887</v>
      </c>
      <c r="J60" s="18">
        <v>44239</v>
      </c>
      <c r="K60" s="642">
        <v>44237</v>
      </c>
      <c r="L60" s="16">
        <f>IF(ISTEXT(Table157[[#This Row],[Engineering Approved Design Date]]),Table157[[#This Row],[Date Completed]]-Table157[[#This Row],[Date Assigned to Designer]],Table157[[#This Row],[Engineering Approved Design Date]]-Table157[[#This Row],[Date Completed]])</f>
        <v>2</v>
      </c>
      <c r="M60" s="642"/>
      <c r="N60" s="642" t="s">
        <v>120</v>
      </c>
      <c r="O60" s="534">
        <v>44237</v>
      </c>
      <c r="P60" s="68" t="s">
        <v>739</v>
      </c>
      <c r="Q60" s="74">
        <f>R60*AA60</f>
        <v>72501.573000000004</v>
      </c>
      <c r="R60" s="75">
        <v>0.1</v>
      </c>
      <c r="S60" s="24" t="s">
        <v>709</v>
      </c>
      <c r="T60" s="538" t="s">
        <v>709</v>
      </c>
      <c r="U60" s="28" t="s">
        <v>709</v>
      </c>
      <c r="V60" s="440">
        <v>2309</v>
      </c>
      <c r="W60" s="440"/>
      <c r="X60" s="29">
        <v>671732.85</v>
      </c>
      <c r="Y60" s="594"/>
      <c r="Z60" s="551">
        <v>53282.879999999997</v>
      </c>
      <c r="AA60" s="87">
        <f t="shared" si="0"/>
        <v>725015.73</v>
      </c>
      <c r="AB60" s="208"/>
      <c r="AC60" s="109" t="s">
        <v>116</v>
      </c>
      <c r="AD60" s="109"/>
      <c r="AE60" s="349"/>
      <c r="AF60" s="579"/>
      <c r="AG60" s="579"/>
      <c r="AH60" s="354"/>
      <c r="AI60" s="489"/>
      <c r="AJ60" s="553"/>
      <c r="AK60" s="553"/>
      <c r="AL60" s="495">
        <f>SUM(Table157[[#This Row],[Nicor Initiated DBE]:[Staffing]])/(Table157[[#This Row],[Amount Invoiced]])</f>
        <v>0</v>
      </c>
      <c r="AM60" s="21" t="s">
        <v>116</v>
      </c>
      <c r="AN60" s="680" t="s">
        <v>709</v>
      </c>
      <c r="AO60" s="601" t="s">
        <v>115</v>
      </c>
      <c r="AP60" s="572"/>
      <c r="AQ60" s="572"/>
      <c r="AR60" s="572"/>
      <c r="AS60" s="538">
        <f>IF(Table157[[#This Row],[PCTS Approved]]="N",0,Table157[[#This Row],[Investment Amount (1'#'#'#'#'#)]]+Table157[[#This Row],[Retirement Amount (3'#'#'#'#'#)]])</f>
        <v>0</v>
      </c>
      <c r="AT60" s="538">
        <f>IF(Table157[[#This Row],[Approved Construction Cost]]=0,0,Table157[[#This Row],[Approved Construction Cost]]-Table157[[#This Row],[Construction Cost to Bill From]])</f>
        <v>0</v>
      </c>
      <c r="AU60" s="538">
        <f>IFERROR(Table157[[#This Row],[Difference in Construction Cost]]*Table157[[#This Row],[Rate]],Table157[[#This Row],[Difference in Construction Cost]]*0.085)</f>
        <v>0</v>
      </c>
      <c r="AV60" s="572"/>
      <c r="AW60" s="639"/>
      <c r="AX60" s="538"/>
      <c r="AY60" s="636" t="s">
        <v>709</v>
      </c>
      <c r="AZ60" s="443">
        <v>57</v>
      </c>
      <c r="BA60" s="334" t="s">
        <v>4</v>
      </c>
      <c r="BB60" s="652" t="s">
        <v>1160</v>
      </c>
      <c r="BC60" s="644" t="s">
        <v>1161</v>
      </c>
      <c r="BD60" s="478"/>
      <c r="BE60" s="544"/>
      <c r="BF60" s="544"/>
      <c r="BG60" s="544"/>
      <c r="BH60" s="512"/>
      <c r="BI60" s="545"/>
      <c r="BJ60" s="511" t="s">
        <v>709</v>
      </c>
      <c r="BK60" s="546" t="s">
        <v>709</v>
      </c>
      <c r="BL60" s="546" t="s">
        <v>116</v>
      </c>
      <c r="BM60" s="546" t="s">
        <v>116</v>
      </c>
      <c r="BN60" s="546" t="s">
        <v>709</v>
      </c>
      <c r="BO60" s="546" t="s">
        <v>709</v>
      </c>
      <c r="BP60" s="546" t="s">
        <v>709</v>
      </c>
      <c r="BQ60" s="546">
        <v>1485</v>
      </c>
      <c r="BR60" s="546" t="s">
        <v>709</v>
      </c>
      <c r="BS60" s="546">
        <v>822</v>
      </c>
      <c r="BT60" s="546" t="s">
        <v>709</v>
      </c>
      <c r="BU60" s="546" t="s">
        <v>709</v>
      </c>
      <c r="BV60" s="546" t="s">
        <v>709</v>
      </c>
      <c r="BW60" s="546" t="s">
        <v>745</v>
      </c>
      <c r="BX60" s="546" t="s">
        <v>709</v>
      </c>
      <c r="BY60" s="546" t="s">
        <v>709</v>
      </c>
      <c r="BZ60" s="546" t="s">
        <v>745</v>
      </c>
      <c r="CA60" s="506"/>
    </row>
    <row r="61" spans="1:79" ht="15" hidden="1" customHeight="1" x14ac:dyDescent="0.25">
      <c r="A61" s="8" t="s">
        <v>770</v>
      </c>
      <c r="B61" s="8" t="s">
        <v>1162</v>
      </c>
      <c r="C61" s="8" t="s">
        <v>195</v>
      </c>
      <c r="D61" s="656" t="s">
        <v>1163</v>
      </c>
      <c r="E61" s="8" t="s">
        <v>1164</v>
      </c>
      <c r="F61" s="8" t="s">
        <v>738</v>
      </c>
      <c r="G61" s="8" t="s">
        <v>37</v>
      </c>
      <c r="H61" s="8" t="s">
        <v>59</v>
      </c>
      <c r="I61" s="642">
        <v>44166</v>
      </c>
      <c r="J61" s="18">
        <v>44259</v>
      </c>
      <c r="K61" s="642">
        <v>44259</v>
      </c>
      <c r="L61" s="16">
        <f>IF(ISTEXT(Table157[[#This Row],[Engineering Approved Design Date]]),Table157[[#This Row],[Date Completed]]-Table157[[#This Row],[Date Assigned to Designer]],Table157[[#This Row],[Engineering Approved Design Date]]-Table157[[#This Row],[Date Completed]])</f>
        <v>0</v>
      </c>
      <c r="M61" s="642"/>
      <c r="N61" s="642" t="s">
        <v>120</v>
      </c>
      <c r="O61" s="534">
        <v>44259</v>
      </c>
      <c r="P61" s="68" t="s">
        <v>739</v>
      </c>
      <c r="Q61" s="74">
        <f>R61*AA61</f>
        <v>34108.435900000004</v>
      </c>
      <c r="R61" s="75">
        <v>7.0000000000000007E-2</v>
      </c>
      <c r="S61" s="29"/>
      <c r="U61" s="441"/>
      <c r="V61" s="440">
        <v>2887</v>
      </c>
      <c r="W61" s="440"/>
      <c r="X61" s="29">
        <v>474251.77</v>
      </c>
      <c r="Y61" s="591"/>
      <c r="Z61" s="551">
        <v>13011.6</v>
      </c>
      <c r="AA61" s="28">
        <f t="shared" si="0"/>
        <v>487263.37</v>
      </c>
      <c r="AB61" s="207"/>
      <c r="AC61" s="108" t="s">
        <v>116</v>
      </c>
      <c r="AD61" s="108"/>
      <c r="AE61" s="349"/>
      <c r="AF61" s="579"/>
      <c r="AG61" s="579"/>
      <c r="AH61" s="354"/>
      <c r="AI61" s="341"/>
      <c r="AJ61" s="183"/>
      <c r="AK61" s="183"/>
      <c r="AL61" s="494">
        <f>SUM(Table157[[#This Row],[Nicor Initiated DBE]:[Staffing]])/(Table157[[#This Row],[Amount Invoiced]])</f>
        <v>0</v>
      </c>
      <c r="AM61" s="21" t="s">
        <v>116</v>
      </c>
      <c r="AN61" s="680" t="s">
        <v>709</v>
      </c>
      <c r="AO61" s="681">
        <v>11033199</v>
      </c>
      <c r="AP61" s="572"/>
      <c r="AQ61" s="572"/>
      <c r="AR61" s="572"/>
      <c r="AS61" s="538">
        <f>IF(Table157[[#This Row],[PCTS Approved]]="N",0,Table157[[#This Row],[Investment Amount (1'#'#'#'#'#)]]+Table157[[#This Row],[Retirement Amount (3'#'#'#'#'#)]])</f>
        <v>0</v>
      </c>
      <c r="AT61" s="538">
        <f>IF(Table157[[#This Row],[Approved Construction Cost]]=0,0,Table157[[#This Row],[Approved Construction Cost]]-Table157[[#This Row],[Construction Cost to Bill From]])</f>
        <v>0</v>
      </c>
      <c r="AU61" s="538">
        <f>IFERROR(Table157[[#This Row],[Difference in Construction Cost]]*Table157[[#This Row],[Rate]],Table157[[#This Row],[Difference in Construction Cost]]*0.085)</f>
        <v>0</v>
      </c>
      <c r="AV61" s="572"/>
      <c r="AW61" s="639"/>
      <c r="AX61" s="538"/>
      <c r="AY61" s="636" t="s">
        <v>709</v>
      </c>
      <c r="AZ61" s="443">
        <v>9</v>
      </c>
      <c r="BA61" s="334" t="s">
        <v>3</v>
      </c>
      <c r="BB61" s="652" t="s">
        <v>1165</v>
      </c>
      <c r="BC61" s="644" t="s">
        <v>1166</v>
      </c>
      <c r="BD61" s="478" t="s">
        <v>709</v>
      </c>
      <c r="BE61" s="544" t="s">
        <v>1167</v>
      </c>
      <c r="BF61" s="544" t="s">
        <v>709</v>
      </c>
      <c r="BG61" s="544" t="s">
        <v>1168</v>
      </c>
      <c r="BH61" s="512" t="s">
        <v>709</v>
      </c>
      <c r="BI61" s="645"/>
      <c r="BJ61" s="511" t="s">
        <v>709</v>
      </c>
      <c r="BK61" s="546" t="s">
        <v>709</v>
      </c>
      <c r="BL61" s="546" t="s">
        <v>709</v>
      </c>
      <c r="BM61" s="546" t="s">
        <v>116</v>
      </c>
      <c r="BN61" s="546" t="s">
        <v>709</v>
      </c>
      <c r="BO61" s="546" t="s">
        <v>709</v>
      </c>
      <c r="BP61" s="546" t="s">
        <v>709</v>
      </c>
      <c r="BQ61" s="546">
        <v>189</v>
      </c>
      <c r="BR61" s="546">
        <v>1085</v>
      </c>
      <c r="BS61" s="546">
        <v>1755</v>
      </c>
      <c r="BT61" s="546">
        <v>93</v>
      </c>
      <c r="BU61" s="546" t="s">
        <v>745</v>
      </c>
      <c r="BV61" s="546" t="s">
        <v>709</v>
      </c>
      <c r="BW61" s="546" t="s">
        <v>745</v>
      </c>
      <c r="BX61" s="546" t="s">
        <v>709</v>
      </c>
      <c r="BY61" s="546" t="s">
        <v>745</v>
      </c>
      <c r="BZ61" s="546" t="s">
        <v>745</v>
      </c>
      <c r="CA61" s="506"/>
    </row>
    <row r="62" spans="1:79" ht="15" hidden="1" customHeight="1" x14ac:dyDescent="0.25">
      <c r="A62" s="8" t="s">
        <v>770</v>
      </c>
      <c r="B62" s="8" t="s">
        <v>1108</v>
      </c>
      <c r="C62" s="8" t="s">
        <v>1169</v>
      </c>
      <c r="D62" s="656" t="s">
        <v>1170</v>
      </c>
      <c r="E62" s="8" t="s">
        <v>1171</v>
      </c>
      <c r="F62" s="8" t="s">
        <v>1172</v>
      </c>
      <c r="G62" s="8" t="s">
        <v>27</v>
      </c>
      <c r="H62" s="8" t="s">
        <v>59</v>
      </c>
      <c r="I62" s="642">
        <v>44188</v>
      </c>
      <c r="J62" s="18">
        <v>44274</v>
      </c>
      <c r="K62" s="642">
        <v>44274</v>
      </c>
      <c r="L62" s="16">
        <f>IF(ISTEXT(Table157[[#This Row],[Engineering Approved Design Date]]),Table157[[#This Row],[Date Completed]]-Table157[[#This Row],[Date Assigned to Designer]],Table157[[#This Row],[Engineering Approved Design Date]]-Table157[[#This Row],[Date Completed]])</f>
        <v>0</v>
      </c>
      <c r="M62" s="642"/>
      <c r="N62" s="642" t="s">
        <v>120</v>
      </c>
      <c r="O62" s="534">
        <v>44274</v>
      </c>
      <c r="P62" s="68" t="s">
        <v>739</v>
      </c>
      <c r="Q62" s="74">
        <f>(Table157[[#This Row],[Construction Cost to Bill From]]*0.085)+7750</f>
        <v>22430.406950000004</v>
      </c>
      <c r="R62" s="75" t="s">
        <v>1055</v>
      </c>
      <c r="S62" s="24" t="s">
        <v>709</v>
      </c>
      <c r="T62" s="538" t="s">
        <v>709</v>
      </c>
      <c r="U62" s="441" t="s">
        <v>709</v>
      </c>
      <c r="V62" s="440">
        <v>8</v>
      </c>
      <c r="W62" s="440"/>
      <c r="X62" s="29">
        <v>165048.51</v>
      </c>
      <c r="Y62" s="593"/>
      <c r="Z62" s="551">
        <v>7662.16</v>
      </c>
      <c r="AA62" s="28">
        <f t="shared" si="0"/>
        <v>172710.67</v>
      </c>
      <c r="AB62" s="207"/>
      <c r="AC62" s="108" t="s">
        <v>116</v>
      </c>
      <c r="AD62" s="108"/>
      <c r="AE62" s="349"/>
      <c r="AF62" s="579"/>
      <c r="AG62" s="579"/>
      <c r="AH62" s="354"/>
      <c r="AI62" s="341"/>
      <c r="AJ62" s="183"/>
      <c r="AK62" s="183"/>
      <c r="AL62" s="494">
        <f>SUM(Table157[[#This Row],[Nicor Initiated DBE]:[Staffing]])/(Table157[[#This Row],[Amount Invoiced]])</f>
        <v>0</v>
      </c>
      <c r="AM62" s="21" t="s">
        <v>116</v>
      </c>
      <c r="AN62" s="680" t="s">
        <v>709</v>
      </c>
      <c r="AO62" s="601" t="s">
        <v>115</v>
      </c>
      <c r="AP62" s="572"/>
      <c r="AQ62" s="572"/>
      <c r="AR62" s="572"/>
      <c r="AS62" s="538">
        <f>IF(Table157[[#This Row],[PCTS Approved]]="N",0,Table157[[#This Row],[Investment Amount (1'#'#'#'#'#)]]+Table157[[#This Row],[Retirement Amount (3'#'#'#'#'#)]])</f>
        <v>0</v>
      </c>
      <c r="AT62" s="538">
        <f>IF(Table157[[#This Row],[Approved Construction Cost]]=0,0,Table157[[#This Row],[Approved Construction Cost]]-Table157[[#This Row],[Construction Cost to Bill From]])</f>
        <v>0</v>
      </c>
      <c r="AU62" s="538">
        <f>IFERROR(Table157[[#This Row],[Difference in Construction Cost]]*Table157[[#This Row],[Rate]],Table157[[#This Row],[Difference in Construction Cost]]*0.085)</f>
        <v>0</v>
      </c>
      <c r="AV62" s="572"/>
      <c r="AW62" s="639"/>
      <c r="AX62" s="538"/>
      <c r="AY62" s="636" t="s">
        <v>709</v>
      </c>
      <c r="AZ62" s="443">
        <v>177</v>
      </c>
      <c r="BA62" s="334" t="s">
        <v>2</v>
      </c>
      <c r="BB62" s="652" t="s">
        <v>1173</v>
      </c>
      <c r="BC62" s="644" t="s">
        <v>1174</v>
      </c>
      <c r="BD62" s="478" t="s">
        <v>116</v>
      </c>
      <c r="BE62" s="544" t="s">
        <v>709</v>
      </c>
      <c r="BF62" s="544" t="s">
        <v>709</v>
      </c>
      <c r="BG62" s="544" t="s">
        <v>709</v>
      </c>
      <c r="BH62" s="512" t="s">
        <v>709</v>
      </c>
      <c r="BI62" s="645"/>
      <c r="BJ62" s="511" t="s">
        <v>709</v>
      </c>
      <c r="BK62" s="546" t="s">
        <v>709</v>
      </c>
      <c r="BL62" s="546" t="s">
        <v>116</v>
      </c>
      <c r="BM62" s="546" t="s">
        <v>709</v>
      </c>
      <c r="BN62" s="546" t="s">
        <v>709</v>
      </c>
      <c r="BO62" s="546" t="s">
        <v>709</v>
      </c>
      <c r="BP62" s="546" t="s">
        <v>709</v>
      </c>
      <c r="BQ62" s="546">
        <v>4</v>
      </c>
      <c r="BR62" s="546">
        <v>4</v>
      </c>
      <c r="BS62" s="546" t="s">
        <v>709</v>
      </c>
      <c r="BT62" s="546" t="s">
        <v>709</v>
      </c>
      <c r="BU62" s="546" t="s">
        <v>709</v>
      </c>
      <c r="BV62" s="546" t="s">
        <v>709</v>
      </c>
      <c r="BW62" s="546" t="s">
        <v>709</v>
      </c>
      <c r="BX62" s="546">
        <v>2</v>
      </c>
      <c r="BY62" s="546" t="s">
        <v>709</v>
      </c>
      <c r="BZ62" s="546" t="s">
        <v>709</v>
      </c>
      <c r="CA62" s="506" t="s">
        <v>2</v>
      </c>
    </row>
    <row r="63" spans="1:79" ht="15" hidden="1" customHeight="1" x14ac:dyDescent="0.25">
      <c r="A63" s="8">
        <v>2021</v>
      </c>
      <c r="B63" s="8" t="s">
        <v>1108</v>
      </c>
      <c r="C63" s="8" t="s">
        <v>1175</v>
      </c>
      <c r="D63" s="656" t="s">
        <v>1176</v>
      </c>
      <c r="E63" s="8" t="s">
        <v>111</v>
      </c>
      <c r="F63" s="8" t="s">
        <v>1111</v>
      </c>
      <c r="G63" s="8" t="s">
        <v>27</v>
      </c>
      <c r="H63" s="8" t="s">
        <v>59</v>
      </c>
      <c r="I63" s="642">
        <v>44176</v>
      </c>
      <c r="J63" s="18">
        <v>44295</v>
      </c>
      <c r="K63" s="642">
        <v>44293</v>
      </c>
      <c r="L63" s="16">
        <f>IF(ISTEXT(Table157[[#This Row],[Engineering Approved Design Date]]),Table157[[#This Row],[Date Completed]]-Table157[[#This Row],[Date Assigned to Designer]],Table157[[#This Row],[Engineering Approved Design Date]]-Table157[[#This Row],[Date Completed]])</f>
        <v>2</v>
      </c>
      <c r="M63" s="642"/>
      <c r="N63" s="642" t="s">
        <v>120</v>
      </c>
      <c r="O63" s="534">
        <v>44293</v>
      </c>
      <c r="P63" s="68" t="s">
        <v>739</v>
      </c>
      <c r="Q63" s="74">
        <f>(Table157[[#This Row],[Construction Cost to Bill From]]*0.085)+7750</f>
        <v>24899.581300000002</v>
      </c>
      <c r="R63" s="75" t="s">
        <v>1055</v>
      </c>
      <c r="S63" s="24" t="s">
        <v>709</v>
      </c>
      <c r="T63" s="538" t="s">
        <v>709</v>
      </c>
      <c r="U63" s="28" t="s">
        <v>709</v>
      </c>
      <c r="X63" s="24">
        <v>173111.31</v>
      </c>
      <c r="Y63" s="591"/>
      <c r="Z63" s="538">
        <v>28648.47</v>
      </c>
      <c r="AA63" s="28">
        <f t="shared" si="0"/>
        <v>201759.78</v>
      </c>
      <c r="AB63" s="207"/>
      <c r="AC63" s="108" t="s">
        <v>1177</v>
      </c>
      <c r="AD63" s="108"/>
      <c r="AE63" s="349"/>
      <c r="AF63" s="579"/>
      <c r="AG63" s="579"/>
      <c r="AH63" s="354"/>
      <c r="AI63" s="341"/>
      <c r="AJ63" s="183"/>
      <c r="AK63" s="183"/>
      <c r="AL63" s="494">
        <f>SUM(Table157[[#This Row],[Nicor Initiated DBE]:[Staffing]])/(Table157[[#This Row],[Amount Invoiced]])</f>
        <v>0</v>
      </c>
      <c r="AM63" s="21" t="s">
        <v>116</v>
      </c>
      <c r="AN63" s="680" t="s">
        <v>709</v>
      </c>
      <c r="AO63" s="601" t="s">
        <v>115</v>
      </c>
      <c r="AP63" s="572"/>
      <c r="AQ63" s="572"/>
      <c r="AR63" s="572"/>
      <c r="AS63" s="538">
        <f>IF(Table157[[#This Row],[PCTS Approved]]="N",0,Table157[[#This Row],[Investment Amount (1'#'#'#'#'#)]]+Table157[[#This Row],[Retirement Amount (3'#'#'#'#'#)]])</f>
        <v>0</v>
      </c>
      <c r="AT63" s="538">
        <f>IF(Table157[[#This Row],[Approved Construction Cost]]=0,0,Table157[[#This Row],[Approved Construction Cost]]-Table157[[#This Row],[Construction Cost to Bill From]])</f>
        <v>0</v>
      </c>
      <c r="AU63" s="538">
        <f>IFERROR(Table157[[#This Row],[Difference in Construction Cost]]*Table157[[#This Row],[Rate]],Table157[[#This Row],[Difference in Construction Cost]]*0.085)</f>
        <v>0</v>
      </c>
      <c r="AV63" s="572"/>
      <c r="AW63" s="639"/>
      <c r="AX63" s="538"/>
      <c r="AY63" s="636" t="s">
        <v>709</v>
      </c>
      <c r="AZ63" s="443">
        <v>178</v>
      </c>
      <c r="BA63" s="334" t="s">
        <v>2</v>
      </c>
      <c r="BB63" s="652" t="s">
        <v>1178</v>
      </c>
      <c r="BC63" s="644" t="s">
        <v>1179</v>
      </c>
      <c r="BD63" s="478" t="s">
        <v>116</v>
      </c>
      <c r="BE63" s="544" t="s">
        <v>709</v>
      </c>
      <c r="BF63" s="544" t="s">
        <v>1114</v>
      </c>
      <c r="BG63" s="544" t="s">
        <v>709</v>
      </c>
      <c r="BH63" s="512" t="s">
        <v>709</v>
      </c>
      <c r="BI63" s="645"/>
      <c r="BJ63" s="511" t="s">
        <v>709</v>
      </c>
      <c r="BK63" s="546" t="s">
        <v>709</v>
      </c>
      <c r="BL63" s="546" t="s">
        <v>116</v>
      </c>
      <c r="BM63" s="546" t="s">
        <v>116</v>
      </c>
      <c r="BN63" s="546" t="s">
        <v>709</v>
      </c>
      <c r="BO63" s="546" t="s">
        <v>709</v>
      </c>
      <c r="BP63" s="546" t="s">
        <v>709</v>
      </c>
      <c r="BQ63" s="546" t="s">
        <v>709</v>
      </c>
      <c r="BR63" s="546" t="s">
        <v>709</v>
      </c>
      <c r="BS63" s="546">
        <v>5</v>
      </c>
      <c r="BT63" s="546">
        <v>64</v>
      </c>
      <c r="BU63" s="546" t="s">
        <v>709</v>
      </c>
      <c r="BV63" s="546">
        <v>1</v>
      </c>
      <c r="BW63" s="546" t="s">
        <v>709</v>
      </c>
      <c r="BX63" s="546">
        <v>1</v>
      </c>
      <c r="BY63" s="546" t="s">
        <v>709</v>
      </c>
      <c r="BZ63" s="546" t="s">
        <v>709</v>
      </c>
      <c r="CA63" s="506" t="s">
        <v>2</v>
      </c>
    </row>
    <row r="64" spans="1:79" ht="15" hidden="1" customHeight="1" x14ac:dyDescent="0.25">
      <c r="A64" s="8" t="s">
        <v>770</v>
      </c>
      <c r="B64" s="8" t="s">
        <v>1108</v>
      </c>
      <c r="C64" s="8" t="s">
        <v>1180</v>
      </c>
      <c r="D64" s="656" t="s">
        <v>1181</v>
      </c>
      <c r="E64" s="8" t="s">
        <v>1182</v>
      </c>
      <c r="F64" s="8" t="s">
        <v>1111</v>
      </c>
      <c r="G64" s="8" t="s">
        <v>27</v>
      </c>
      <c r="H64" s="8" t="s">
        <v>59</v>
      </c>
      <c r="I64" s="642">
        <v>44105</v>
      </c>
      <c r="J64" s="18">
        <v>44302</v>
      </c>
      <c r="K64" s="642">
        <v>44293</v>
      </c>
      <c r="L64" s="16">
        <f>IF(ISTEXT(Table157[[#This Row],[Engineering Approved Design Date]]),Table157[[#This Row],[Date Completed]]-Table157[[#This Row],[Date Assigned to Designer]],Table157[[#This Row],[Engineering Approved Design Date]]-Table157[[#This Row],[Date Completed]])</f>
        <v>9</v>
      </c>
      <c r="M64" s="642"/>
      <c r="N64" s="642" t="s">
        <v>120</v>
      </c>
      <c r="O64" s="534">
        <v>44293</v>
      </c>
      <c r="P64" s="68" t="s">
        <v>739</v>
      </c>
      <c r="Q64" s="74">
        <f>(Table157[[#This Row],[Construction Cost to Bill From]]*0.085)+7750</f>
        <v>25162.796549999999</v>
      </c>
      <c r="R64" s="75" t="s">
        <v>1055</v>
      </c>
      <c r="S64" s="24" t="s">
        <v>709</v>
      </c>
      <c r="T64" s="538" t="s">
        <v>709</v>
      </c>
      <c r="U64" s="28" t="s">
        <v>709</v>
      </c>
      <c r="X64" s="24">
        <v>177808.07</v>
      </c>
      <c r="Y64" s="591"/>
      <c r="Z64" s="538">
        <v>27048.36</v>
      </c>
      <c r="AA64" s="28">
        <f t="shared" si="0"/>
        <v>204856.43</v>
      </c>
      <c r="AB64" s="207"/>
      <c r="AC64" s="108" t="s">
        <v>116</v>
      </c>
      <c r="AD64" s="108"/>
      <c r="AE64" s="349"/>
      <c r="AF64" s="579"/>
      <c r="AG64" s="579"/>
      <c r="AH64" s="354"/>
      <c r="AI64" s="341"/>
      <c r="AJ64" s="183"/>
      <c r="AK64" s="183"/>
      <c r="AL64" s="494">
        <f>SUM(Table157[[#This Row],[Nicor Initiated DBE]:[Staffing]])/(Table157[[#This Row],[Amount Invoiced]])</f>
        <v>0</v>
      </c>
      <c r="AM64" s="21" t="s">
        <v>116</v>
      </c>
      <c r="AN64" s="680" t="s">
        <v>709</v>
      </c>
      <c r="AO64" s="601" t="s">
        <v>115</v>
      </c>
      <c r="AP64" s="572"/>
      <c r="AQ64" s="572"/>
      <c r="AR64" s="572"/>
      <c r="AS64" s="538">
        <f>IF(Table157[[#This Row],[PCTS Approved]]="N",0,Table157[[#This Row],[Investment Amount (1'#'#'#'#'#)]]+Table157[[#This Row],[Retirement Amount (3'#'#'#'#'#)]])</f>
        <v>0</v>
      </c>
      <c r="AT64" s="538">
        <f>IF(Table157[[#This Row],[Approved Construction Cost]]=0,0,Table157[[#This Row],[Approved Construction Cost]]-Table157[[#This Row],[Construction Cost to Bill From]])</f>
        <v>0</v>
      </c>
      <c r="AU64" s="538">
        <f>IFERROR(Table157[[#This Row],[Difference in Construction Cost]]*Table157[[#This Row],[Rate]],Table157[[#This Row],[Difference in Construction Cost]]*0.085)</f>
        <v>0</v>
      </c>
      <c r="AV64" s="572"/>
      <c r="AW64" s="639"/>
      <c r="AX64" s="538"/>
      <c r="AY64" s="636" t="s">
        <v>709</v>
      </c>
      <c r="AZ64" s="443">
        <v>179</v>
      </c>
      <c r="BA64" s="334" t="s">
        <v>2</v>
      </c>
      <c r="BB64" s="652" t="s">
        <v>1183</v>
      </c>
      <c r="BC64" s="644" t="s">
        <v>1184</v>
      </c>
      <c r="BD64" s="478" t="s">
        <v>709</v>
      </c>
      <c r="BE64" s="544" t="s">
        <v>709</v>
      </c>
      <c r="BF64" s="544" t="s">
        <v>1185</v>
      </c>
      <c r="BG64" s="544" t="s">
        <v>709</v>
      </c>
      <c r="BH64" s="512" t="s">
        <v>709</v>
      </c>
      <c r="BI64" s="645"/>
      <c r="BJ64" s="511" t="s">
        <v>709</v>
      </c>
      <c r="BK64" s="546" t="s">
        <v>709</v>
      </c>
      <c r="BL64" s="546" t="s">
        <v>116</v>
      </c>
      <c r="BM64" s="546" t="s">
        <v>116</v>
      </c>
      <c r="BN64" s="546" t="s">
        <v>709</v>
      </c>
      <c r="BO64" s="546" t="s">
        <v>709</v>
      </c>
      <c r="BP64" s="546" t="s">
        <v>709</v>
      </c>
      <c r="BQ64" s="546" t="s">
        <v>709</v>
      </c>
      <c r="BR64" s="546" t="s">
        <v>709</v>
      </c>
      <c r="BS64" s="546">
        <v>11</v>
      </c>
      <c r="BT64" s="546">
        <v>33</v>
      </c>
      <c r="BU64" s="546" t="s">
        <v>709</v>
      </c>
      <c r="BV64" s="546">
        <v>1</v>
      </c>
      <c r="BW64" s="546" t="s">
        <v>709</v>
      </c>
      <c r="BX64" s="546">
        <v>1</v>
      </c>
      <c r="BY64" s="546">
        <v>1</v>
      </c>
      <c r="BZ64" s="546" t="s">
        <v>709</v>
      </c>
      <c r="CA64" s="506" t="s">
        <v>2</v>
      </c>
    </row>
    <row r="65" spans="1:79" ht="15" hidden="1" customHeight="1" x14ac:dyDescent="0.25">
      <c r="A65" s="8" t="s">
        <v>770</v>
      </c>
      <c r="B65" s="8" t="s">
        <v>769</v>
      </c>
      <c r="C65" s="8" t="s">
        <v>1186</v>
      </c>
      <c r="D65" s="656" t="s">
        <v>1187</v>
      </c>
      <c r="E65" s="8" t="s">
        <v>393</v>
      </c>
      <c r="F65" s="8" t="s">
        <v>738</v>
      </c>
      <c r="G65" s="8" t="s">
        <v>34</v>
      </c>
      <c r="H65" s="8" t="s">
        <v>59</v>
      </c>
      <c r="I65" s="642">
        <v>44105</v>
      </c>
      <c r="J65" s="18">
        <v>44309</v>
      </c>
      <c r="K65" s="642">
        <v>44307</v>
      </c>
      <c r="L65" s="16">
        <f>IF(ISTEXT(Table157[[#This Row],[Engineering Approved Design Date]]),Table157[[#This Row],[Date Completed]]-Table157[[#This Row],[Date Assigned to Designer]],Table157[[#This Row],[Engineering Approved Design Date]]-Table157[[#This Row],[Date Completed]])</f>
        <v>2</v>
      </c>
      <c r="M65" s="642"/>
      <c r="N65" s="642" t="s">
        <v>120</v>
      </c>
      <c r="O65" s="534">
        <v>44307</v>
      </c>
      <c r="P65" s="68" t="s">
        <v>739</v>
      </c>
      <c r="Q65" s="74">
        <f>(Table157[[#This Row],[Construction Cost to Bill From]]*0.085)+(3*5250)</f>
        <v>101557.56375</v>
      </c>
      <c r="R65" s="75" t="s">
        <v>794</v>
      </c>
      <c r="S65" s="24" t="s">
        <v>709</v>
      </c>
      <c r="T65" s="538" t="s">
        <v>709</v>
      </c>
      <c r="U65" s="300" t="s">
        <v>709</v>
      </c>
      <c r="V65" s="437">
        <f>11108+1550+80+546</f>
        <v>13284</v>
      </c>
      <c r="X65" s="24">
        <v>763186.12</v>
      </c>
      <c r="Y65" s="591"/>
      <c r="Z65" s="538">
        <v>246314.63</v>
      </c>
      <c r="AA65" s="87">
        <f t="shared" si="0"/>
        <v>1009500.75</v>
      </c>
      <c r="AB65" s="207"/>
      <c r="AC65" s="108" t="s">
        <v>709</v>
      </c>
      <c r="AD65" s="108"/>
      <c r="AE65" s="349"/>
      <c r="AF65" s="579"/>
      <c r="AG65" s="579"/>
      <c r="AH65" s="354"/>
      <c r="AI65" s="341"/>
      <c r="AJ65" s="183"/>
      <c r="AK65" s="183"/>
      <c r="AL65" s="494">
        <f>SUM(Table157[[#This Row],[Nicor Initiated DBE]:[Staffing]])/(Table157[[#This Row],[Amount Invoiced]])</f>
        <v>0</v>
      </c>
      <c r="AM65" s="21" t="s">
        <v>116</v>
      </c>
      <c r="AN65" s="680" t="s">
        <v>709</v>
      </c>
      <c r="AO65" s="601">
        <v>11039270</v>
      </c>
      <c r="AP65" s="572"/>
      <c r="AQ65" s="572"/>
      <c r="AR65" s="572"/>
      <c r="AS65" s="538">
        <f>IF(Table157[[#This Row],[PCTS Approved]]="N",0,Table157[[#This Row],[Investment Amount (1'#'#'#'#'#)]]+Table157[[#This Row],[Retirement Amount (3'#'#'#'#'#)]])</f>
        <v>0</v>
      </c>
      <c r="AT65" s="538">
        <f>IF(Table157[[#This Row],[Approved Construction Cost]]=0,0,Table157[[#This Row],[Approved Construction Cost]]-Table157[[#This Row],[Construction Cost to Bill From]])</f>
        <v>0</v>
      </c>
      <c r="AU65" s="538">
        <f>IFERROR(Table157[[#This Row],[Difference in Construction Cost]]*Table157[[#This Row],[Rate]],Table157[[#This Row],[Difference in Construction Cost]]*0.085)</f>
        <v>0</v>
      </c>
      <c r="AV65" s="572"/>
      <c r="AW65" s="639"/>
      <c r="AX65" s="538"/>
      <c r="AY65" s="636" t="s">
        <v>709</v>
      </c>
      <c r="AZ65" s="443">
        <v>164</v>
      </c>
      <c r="BA65" s="334" t="s">
        <v>2</v>
      </c>
      <c r="BB65" s="652" t="s">
        <v>1188</v>
      </c>
      <c r="BC65" s="644" t="s">
        <v>1189</v>
      </c>
      <c r="BD65" s="478" t="s">
        <v>116</v>
      </c>
      <c r="BE65" s="544" t="s">
        <v>1066</v>
      </c>
      <c r="BF65" s="544" t="s">
        <v>1190</v>
      </c>
      <c r="BG65" s="544" t="s">
        <v>709</v>
      </c>
      <c r="BH65" s="512" t="s">
        <v>709</v>
      </c>
      <c r="BI65" s="645" t="s">
        <v>1191</v>
      </c>
      <c r="BJ65" s="511" t="s">
        <v>709</v>
      </c>
      <c r="BK65" s="546" t="s">
        <v>709</v>
      </c>
      <c r="BL65" s="546" t="s">
        <v>709</v>
      </c>
      <c r="BM65" s="546" t="s">
        <v>116</v>
      </c>
      <c r="BN65" s="546" t="s">
        <v>709</v>
      </c>
      <c r="BO65" s="546" t="s">
        <v>709</v>
      </c>
      <c r="BP65" s="546" t="s">
        <v>709</v>
      </c>
      <c r="BQ65" s="546" t="s">
        <v>709</v>
      </c>
      <c r="BR65" s="546">
        <v>546</v>
      </c>
      <c r="BS65" s="546">
        <v>507</v>
      </c>
      <c r="BT65" s="546">
        <v>1553</v>
      </c>
      <c r="BU65" s="546" t="s">
        <v>709</v>
      </c>
      <c r="BV65" s="546" t="s">
        <v>709</v>
      </c>
      <c r="BW65" s="546" t="s">
        <v>709</v>
      </c>
      <c r="BX65" s="546" t="s">
        <v>709</v>
      </c>
      <c r="BY65" s="546" t="s">
        <v>709</v>
      </c>
      <c r="BZ65" s="546" t="s">
        <v>709</v>
      </c>
      <c r="CA65" s="506" t="s">
        <v>769</v>
      </c>
    </row>
    <row r="66" spans="1:79" ht="15" hidden="1" customHeight="1" x14ac:dyDescent="0.25">
      <c r="A66" s="8" t="s">
        <v>770</v>
      </c>
      <c r="B66" s="8" t="s">
        <v>1108</v>
      </c>
      <c r="C66" s="8" t="s">
        <v>1192</v>
      </c>
      <c r="D66" s="656" t="s">
        <v>1193</v>
      </c>
      <c r="E66" s="8" t="s">
        <v>249</v>
      </c>
      <c r="F66" s="8" t="s">
        <v>1111</v>
      </c>
      <c r="G66" s="8" t="s">
        <v>27</v>
      </c>
      <c r="H66" s="8" t="s">
        <v>59</v>
      </c>
      <c r="I66" s="642">
        <v>44176</v>
      </c>
      <c r="J66" s="18">
        <v>44309</v>
      </c>
      <c r="K66" s="642">
        <v>44309</v>
      </c>
      <c r="L66" s="16">
        <f>IF(ISTEXT(Table157[[#This Row],[Engineering Approved Design Date]]),Table157[[#This Row],[Date Completed]]-Table157[[#This Row],[Date Assigned to Designer]],Table157[[#This Row],[Engineering Approved Design Date]]-Table157[[#This Row],[Date Completed]])</f>
        <v>0</v>
      </c>
      <c r="M66" s="642"/>
      <c r="N66" s="642" t="s">
        <v>120</v>
      </c>
      <c r="O66" s="534">
        <v>44317</v>
      </c>
      <c r="P66" s="68" t="s">
        <v>739</v>
      </c>
      <c r="Q66" s="74">
        <f>(Table157[[#This Row],[Construction Cost to Bill From]]*0.085)+7750</f>
        <v>30205.770050000003</v>
      </c>
      <c r="R66" s="75" t="s">
        <v>1055</v>
      </c>
      <c r="S66" s="24" t="s">
        <v>709</v>
      </c>
      <c r="T66" s="538" t="s">
        <v>709</v>
      </c>
      <c r="U66" s="28" t="s">
        <v>709</v>
      </c>
      <c r="V66" s="440"/>
      <c r="W66" s="440"/>
      <c r="X66" s="29">
        <v>237292.7</v>
      </c>
      <c r="Y66" s="591"/>
      <c r="Z66" s="551">
        <v>26892.83</v>
      </c>
      <c r="AA66" s="87">
        <f t="shared" si="0"/>
        <v>264185.53000000003</v>
      </c>
      <c r="AB66" s="207"/>
      <c r="AC66" s="108" t="s">
        <v>116</v>
      </c>
      <c r="AD66" s="108"/>
      <c r="AE66" s="349"/>
      <c r="AF66" s="579"/>
      <c r="AG66" s="579"/>
      <c r="AH66" s="354"/>
      <c r="AI66" s="341"/>
      <c r="AJ66" s="183"/>
      <c r="AK66" s="183"/>
      <c r="AL66" s="494">
        <f>SUM(Table157[[#This Row],[Nicor Initiated DBE]:[Staffing]])/(Table157[[#This Row],[Amount Invoiced]])</f>
        <v>0</v>
      </c>
      <c r="AM66" s="21" t="s">
        <v>116</v>
      </c>
      <c r="AN66" s="680" t="s">
        <v>709</v>
      </c>
      <c r="AO66" s="601" t="s">
        <v>115</v>
      </c>
      <c r="AP66" s="572"/>
      <c r="AQ66" s="572"/>
      <c r="AR66" s="572"/>
      <c r="AS66" s="538">
        <f>IF(Table157[[#This Row],[PCTS Approved]]="N",0,Table157[[#This Row],[Investment Amount (1'#'#'#'#'#)]]+Table157[[#This Row],[Retirement Amount (3'#'#'#'#'#)]])</f>
        <v>0</v>
      </c>
      <c r="AT66" s="538">
        <f>IF(Table157[[#This Row],[Approved Construction Cost]]=0,0,Table157[[#This Row],[Approved Construction Cost]]-Table157[[#This Row],[Construction Cost to Bill From]])</f>
        <v>0</v>
      </c>
      <c r="AU66" s="538">
        <f>IFERROR(Table157[[#This Row],[Difference in Construction Cost]]*Table157[[#This Row],[Rate]],Table157[[#This Row],[Difference in Construction Cost]]*0.085)</f>
        <v>0</v>
      </c>
      <c r="AV66" s="572"/>
      <c r="AW66" s="639"/>
      <c r="AX66" s="538"/>
      <c r="AY66" s="636" t="s">
        <v>709</v>
      </c>
      <c r="AZ66" s="443">
        <v>180</v>
      </c>
      <c r="BA66" s="334" t="s">
        <v>2</v>
      </c>
      <c r="BB66" s="652" t="s">
        <v>1194</v>
      </c>
      <c r="BC66" s="644" t="s">
        <v>1174</v>
      </c>
      <c r="BD66" s="478" t="s">
        <v>116</v>
      </c>
      <c r="BE66" s="544" t="s">
        <v>709</v>
      </c>
      <c r="BF66" s="544" t="s">
        <v>709</v>
      </c>
      <c r="BG66" s="544" t="s">
        <v>709</v>
      </c>
      <c r="BH66" s="512" t="s">
        <v>709</v>
      </c>
      <c r="BI66" s="645"/>
      <c r="BJ66" s="511" t="s">
        <v>709</v>
      </c>
      <c r="BK66" s="546" t="s">
        <v>709</v>
      </c>
      <c r="BL66" s="546" t="s">
        <v>709</v>
      </c>
      <c r="BM66" s="546" t="s">
        <v>116</v>
      </c>
      <c r="BN66" s="546" t="s">
        <v>709</v>
      </c>
      <c r="BO66" s="546" t="s">
        <v>709</v>
      </c>
      <c r="BP66" s="546" t="s">
        <v>709</v>
      </c>
      <c r="BQ66" s="546">
        <v>3</v>
      </c>
      <c r="BR66" s="546">
        <v>23</v>
      </c>
      <c r="BS66" s="546">
        <v>5</v>
      </c>
      <c r="BT66" s="546" t="s">
        <v>709</v>
      </c>
      <c r="BU66" s="546" t="s">
        <v>709</v>
      </c>
      <c r="BV66" s="546" t="s">
        <v>709</v>
      </c>
      <c r="BW66" s="546" t="s">
        <v>709</v>
      </c>
      <c r="BX66" s="546">
        <v>1</v>
      </c>
      <c r="BY66" s="546" t="s">
        <v>709</v>
      </c>
      <c r="BZ66" s="546" t="s">
        <v>709</v>
      </c>
      <c r="CA66" s="506" t="s">
        <v>2</v>
      </c>
    </row>
    <row r="67" spans="1:79" ht="15" hidden="1" customHeight="1" x14ac:dyDescent="0.25">
      <c r="A67" s="8">
        <v>2021</v>
      </c>
      <c r="B67" s="8" t="s">
        <v>1108</v>
      </c>
      <c r="C67" s="8" t="s">
        <v>1195</v>
      </c>
      <c r="D67" s="656" t="s">
        <v>1196</v>
      </c>
      <c r="E67" s="8" t="s">
        <v>155</v>
      </c>
      <c r="F67" s="8" t="s">
        <v>1111</v>
      </c>
      <c r="G67" s="8" t="s">
        <v>27</v>
      </c>
      <c r="H67" s="8" t="s">
        <v>59</v>
      </c>
      <c r="I67" s="642">
        <v>44229</v>
      </c>
      <c r="J67" s="18">
        <v>44326</v>
      </c>
      <c r="K67" s="642">
        <v>44323</v>
      </c>
      <c r="L67" s="16">
        <f>IF(ISTEXT(Table157[[#This Row],[Engineering Approved Design Date]]),Table157[[#This Row],[Date Completed]]-Table157[[#This Row],[Date Assigned to Designer]],Table157[[#This Row],[Engineering Approved Design Date]]-Table157[[#This Row],[Date Completed]])</f>
        <v>3</v>
      </c>
      <c r="M67" s="642"/>
      <c r="N67" s="642" t="s">
        <v>120</v>
      </c>
      <c r="O67" s="534">
        <v>44323</v>
      </c>
      <c r="P67" s="68" t="s">
        <v>739</v>
      </c>
      <c r="Q67" s="74">
        <f>(Table157[[#This Row],[Construction Cost to Bill From]]*0.085)+7750</f>
        <v>27091.844349999999</v>
      </c>
      <c r="R67" s="75" t="s">
        <v>1055</v>
      </c>
      <c r="S67" s="24" t="s">
        <v>709</v>
      </c>
      <c r="T67" s="538" t="s">
        <v>709</v>
      </c>
      <c r="U67" s="28" t="s">
        <v>709</v>
      </c>
      <c r="V67" s="440">
        <v>48</v>
      </c>
      <c r="W67" s="440"/>
      <c r="X67" s="24">
        <v>180757.62</v>
      </c>
      <c r="Y67" s="591"/>
      <c r="Z67" s="538">
        <v>46793.49</v>
      </c>
      <c r="AA67" s="28">
        <f t="shared" si="0"/>
        <v>227551.11</v>
      </c>
      <c r="AB67" s="207"/>
      <c r="AC67" s="108" t="s">
        <v>709</v>
      </c>
      <c r="AD67" s="108"/>
      <c r="AE67" s="349"/>
      <c r="AF67" s="579"/>
      <c r="AG67" s="579"/>
      <c r="AH67" s="354"/>
      <c r="AI67" s="341"/>
      <c r="AJ67" s="183"/>
      <c r="AK67" s="183"/>
      <c r="AL67" s="494">
        <f>SUM(Table157[[#This Row],[Nicor Initiated DBE]:[Staffing]])/(Table157[[#This Row],[Amount Invoiced]])</f>
        <v>0</v>
      </c>
      <c r="AM67" s="21" t="s">
        <v>116</v>
      </c>
      <c r="AN67" s="680" t="s">
        <v>709</v>
      </c>
      <c r="AO67" s="601" t="s">
        <v>115</v>
      </c>
      <c r="AP67" s="572"/>
      <c r="AQ67" s="572"/>
      <c r="AR67" s="572"/>
      <c r="AS67" s="538">
        <f>IF(Table157[[#This Row],[PCTS Approved]]="N",0,Table157[[#This Row],[Investment Amount (1'#'#'#'#'#)]]+Table157[[#This Row],[Retirement Amount (3'#'#'#'#'#)]])</f>
        <v>0</v>
      </c>
      <c r="AT67" s="538">
        <f>IF(Table157[[#This Row],[Approved Construction Cost]]=0,0,Table157[[#This Row],[Approved Construction Cost]]-Table157[[#This Row],[Construction Cost to Bill From]])</f>
        <v>0</v>
      </c>
      <c r="AU67" s="538">
        <f>IFERROR(Table157[[#This Row],[Difference in Construction Cost]]*Table157[[#This Row],[Rate]],Table157[[#This Row],[Difference in Construction Cost]]*0.085)</f>
        <v>0</v>
      </c>
      <c r="AV67" s="572"/>
      <c r="AW67" s="639"/>
      <c r="AX67" s="538"/>
      <c r="AY67" s="636" t="s">
        <v>709</v>
      </c>
      <c r="AZ67" s="443">
        <v>181</v>
      </c>
      <c r="BA67" s="334" t="s">
        <v>2</v>
      </c>
      <c r="BB67" s="652" t="s">
        <v>1197</v>
      </c>
      <c r="BC67" s="644" t="s">
        <v>1174</v>
      </c>
      <c r="BD67" s="478" t="s">
        <v>116</v>
      </c>
      <c r="BE67" s="544" t="s">
        <v>709</v>
      </c>
      <c r="BF67" s="544" t="s">
        <v>709</v>
      </c>
      <c r="BG67" s="544" t="s">
        <v>709</v>
      </c>
      <c r="BH67" s="512" t="s">
        <v>709</v>
      </c>
      <c r="BI67" s="645"/>
      <c r="BJ67" s="511" t="s">
        <v>709</v>
      </c>
      <c r="BK67" s="546" t="s">
        <v>709</v>
      </c>
      <c r="BL67" s="546" t="s">
        <v>116</v>
      </c>
      <c r="BM67" s="546" t="s">
        <v>709</v>
      </c>
      <c r="BN67" s="546" t="s">
        <v>709</v>
      </c>
      <c r="BO67" s="546" t="s">
        <v>709</v>
      </c>
      <c r="BP67" s="546" t="s">
        <v>709</v>
      </c>
      <c r="BQ67" s="546" t="s">
        <v>709</v>
      </c>
      <c r="BR67" s="546" t="s">
        <v>709</v>
      </c>
      <c r="BS67" s="546">
        <v>48</v>
      </c>
      <c r="BT67" s="546" t="s">
        <v>709</v>
      </c>
      <c r="BU67" s="546" t="s">
        <v>709</v>
      </c>
      <c r="BV67" s="546" t="s">
        <v>709</v>
      </c>
      <c r="BW67" s="546" t="s">
        <v>709</v>
      </c>
      <c r="BX67" s="546">
        <v>1</v>
      </c>
      <c r="BY67" s="546">
        <v>1</v>
      </c>
      <c r="BZ67" s="546" t="s">
        <v>709</v>
      </c>
      <c r="CA67" s="506" t="s">
        <v>2</v>
      </c>
    </row>
    <row r="68" spans="1:79" ht="15" hidden="1" customHeight="1" x14ac:dyDescent="0.25">
      <c r="A68" s="8">
        <v>2021</v>
      </c>
      <c r="B68" s="8" t="s">
        <v>4</v>
      </c>
      <c r="C68" s="8" t="s">
        <v>1198</v>
      </c>
      <c r="D68" s="655" t="s">
        <v>1199</v>
      </c>
      <c r="E68" s="8" t="s">
        <v>1200</v>
      </c>
      <c r="F68" s="8" t="s">
        <v>738</v>
      </c>
      <c r="G68" s="8" t="s">
        <v>39</v>
      </c>
      <c r="H68" s="8" t="s">
        <v>59</v>
      </c>
      <c r="I68" s="642">
        <v>44264</v>
      </c>
      <c r="J68" s="18">
        <v>44327</v>
      </c>
      <c r="K68" s="642">
        <v>44326</v>
      </c>
      <c r="L68" s="16">
        <f>IF(ISTEXT(Table157[[#This Row],[Engineering Approved Design Date]]),Table157[[#This Row],[Date Completed]]-Table157[[#This Row],[Date Assigned to Designer]],Table157[[#This Row],[Engineering Approved Design Date]]-Table157[[#This Row],[Date Completed]])</f>
        <v>1</v>
      </c>
      <c r="M68" s="642"/>
      <c r="N68" s="642" t="s">
        <v>120</v>
      </c>
      <c r="O68" s="534">
        <v>44326</v>
      </c>
      <c r="P68" s="68" t="s">
        <v>739</v>
      </c>
      <c r="Q68" s="74">
        <f>R68*AA68</f>
        <v>51302.567000000003</v>
      </c>
      <c r="R68" s="75">
        <v>0.1</v>
      </c>
      <c r="S68" s="24" t="s">
        <v>709</v>
      </c>
      <c r="T68" s="538" t="s">
        <v>709</v>
      </c>
      <c r="U68" s="28" t="s">
        <v>709</v>
      </c>
      <c r="V68" s="440">
        <v>2622</v>
      </c>
      <c r="W68" s="440"/>
      <c r="X68" s="29">
        <f>484057.24</f>
        <v>484057.24</v>
      </c>
      <c r="Y68" s="591"/>
      <c r="Z68" s="538">
        <f>28968.43</f>
        <v>28968.43</v>
      </c>
      <c r="AA68" s="28">
        <f t="shared" si="0"/>
        <v>513025.67</v>
      </c>
      <c r="AB68" s="208"/>
      <c r="AC68" s="109" t="s">
        <v>709</v>
      </c>
      <c r="AD68" s="109"/>
      <c r="AE68" s="349"/>
      <c r="AF68" s="579"/>
      <c r="AG68" s="579"/>
      <c r="AH68" s="354"/>
      <c r="AI68" s="489"/>
      <c r="AJ68" s="553"/>
      <c r="AK68" s="553"/>
      <c r="AL68" s="495">
        <f>SUM(Table157[[#This Row],[Nicor Initiated DBE]:[Staffing]])/(Table157[[#This Row],[Amount Invoiced]])</f>
        <v>0</v>
      </c>
      <c r="AM68" s="21" t="s">
        <v>116</v>
      </c>
      <c r="AN68" s="680" t="s">
        <v>709</v>
      </c>
      <c r="AO68" s="601" t="s">
        <v>115</v>
      </c>
      <c r="AP68" s="572"/>
      <c r="AQ68" s="572"/>
      <c r="AR68" s="572"/>
      <c r="AS68" s="538">
        <f>IF(Table157[[#This Row],[PCTS Approved]]="N",0,Table157[[#This Row],[Investment Amount (1'#'#'#'#'#)]]+Table157[[#This Row],[Retirement Amount (3'#'#'#'#'#)]])</f>
        <v>0</v>
      </c>
      <c r="AT68" s="538">
        <f>IF(Table157[[#This Row],[Approved Construction Cost]]=0,0,Table157[[#This Row],[Approved Construction Cost]]-Table157[[#This Row],[Construction Cost to Bill From]])</f>
        <v>0</v>
      </c>
      <c r="AU68" s="538">
        <f>IFERROR(Table157[[#This Row],[Difference in Construction Cost]]*Table157[[#This Row],[Rate]],Table157[[#This Row],[Difference in Construction Cost]]*0.085)</f>
        <v>0</v>
      </c>
      <c r="AV68" s="572"/>
      <c r="AW68" s="639"/>
      <c r="AX68" s="538"/>
      <c r="AY68" s="636" t="s">
        <v>709</v>
      </c>
      <c r="AZ68" s="443">
        <v>58</v>
      </c>
      <c r="BA68" s="334" t="s">
        <v>4</v>
      </c>
      <c r="BB68" s="652" t="s">
        <v>1201</v>
      </c>
      <c r="BC68" s="644" t="s">
        <v>1202</v>
      </c>
      <c r="BD68" s="478" t="s">
        <v>116</v>
      </c>
      <c r="BE68" s="544" t="s">
        <v>709</v>
      </c>
      <c r="BF68" s="544" t="s">
        <v>1203</v>
      </c>
      <c r="BG68" s="544" t="s">
        <v>709</v>
      </c>
      <c r="BH68" s="512" t="s">
        <v>709</v>
      </c>
      <c r="BI68" s="545"/>
      <c r="BJ68" s="511" t="s">
        <v>709</v>
      </c>
      <c r="BK68" s="546" t="s">
        <v>709</v>
      </c>
      <c r="BL68" s="546" t="s">
        <v>709</v>
      </c>
      <c r="BM68" s="546" t="s">
        <v>116</v>
      </c>
      <c r="BN68" s="546" t="s">
        <v>709</v>
      </c>
      <c r="BO68" s="546" t="s">
        <v>709</v>
      </c>
      <c r="BP68" s="546" t="s">
        <v>709</v>
      </c>
      <c r="BQ68" s="546" t="s">
        <v>709</v>
      </c>
      <c r="BR68" s="546" t="s">
        <v>709</v>
      </c>
      <c r="BS68" s="546">
        <v>1439</v>
      </c>
      <c r="BT68" s="546">
        <v>1183</v>
      </c>
      <c r="BU68" s="546" t="s">
        <v>745</v>
      </c>
      <c r="BV68" s="546" t="s">
        <v>709</v>
      </c>
      <c r="BW68" s="546" t="s">
        <v>745</v>
      </c>
      <c r="BX68" s="546" t="s">
        <v>709</v>
      </c>
      <c r="BY68" s="546" t="s">
        <v>745</v>
      </c>
      <c r="BZ68" s="546" t="s">
        <v>745</v>
      </c>
      <c r="CA68" s="506"/>
    </row>
    <row r="69" spans="1:79" ht="15" hidden="1" customHeight="1" x14ac:dyDescent="0.25">
      <c r="A69" s="8">
        <v>2021</v>
      </c>
      <c r="B69" s="8" t="s">
        <v>4</v>
      </c>
      <c r="C69" s="8" t="s">
        <v>1198</v>
      </c>
      <c r="D69" s="655" t="s">
        <v>1204</v>
      </c>
      <c r="E69" s="8" t="s">
        <v>1200</v>
      </c>
      <c r="F69" s="8" t="s">
        <v>738</v>
      </c>
      <c r="G69" s="8" t="s">
        <v>39</v>
      </c>
      <c r="H69" s="8" t="s">
        <v>59</v>
      </c>
      <c r="I69" s="642">
        <v>44264</v>
      </c>
      <c r="J69" s="18">
        <v>44327</v>
      </c>
      <c r="K69" s="642">
        <v>44326</v>
      </c>
      <c r="L69" s="16">
        <f>IF(ISTEXT(Table157[[#This Row],[Engineering Approved Design Date]]),Table157[[#This Row],[Date Completed]]-Table157[[#This Row],[Date Assigned to Designer]],Table157[[#This Row],[Engineering Approved Design Date]]-Table157[[#This Row],[Date Completed]])</f>
        <v>1</v>
      </c>
      <c r="M69" s="642"/>
      <c r="N69" s="642" t="s">
        <v>120</v>
      </c>
      <c r="O69" s="534">
        <v>44326</v>
      </c>
      <c r="P69" s="68" t="s">
        <v>739</v>
      </c>
      <c r="Q69" s="74">
        <f>R69*AA69</f>
        <v>19836.063000000002</v>
      </c>
      <c r="R69" s="75">
        <v>0.1</v>
      </c>
      <c r="S69" s="24" t="s">
        <v>709</v>
      </c>
      <c r="T69" s="538" t="s">
        <v>709</v>
      </c>
      <c r="U69" s="28" t="s">
        <v>709</v>
      </c>
      <c r="V69" s="440">
        <v>834</v>
      </c>
      <c r="W69" s="440"/>
      <c r="X69" s="29">
        <f>169446.82</f>
        <v>169446.82</v>
      </c>
      <c r="Y69" s="591"/>
      <c r="Z69" s="538">
        <f>28913.81</f>
        <v>28913.81</v>
      </c>
      <c r="AA69" s="28">
        <f t="shared" si="0"/>
        <v>198360.63</v>
      </c>
      <c r="AB69" s="208"/>
      <c r="AC69" s="109" t="s">
        <v>709</v>
      </c>
      <c r="AD69" s="109"/>
      <c r="AE69" s="349"/>
      <c r="AF69" s="579"/>
      <c r="AG69" s="579"/>
      <c r="AH69" s="354"/>
      <c r="AI69" s="489"/>
      <c r="AJ69" s="553"/>
      <c r="AK69" s="553"/>
      <c r="AL69" s="495">
        <f>SUM(Table157[[#This Row],[Nicor Initiated DBE]:[Staffing]])/(Table157[[#This Row],[Amount Invoiced]])</f>
        <v>0</v>
      </c>
      <c r="AM69" s="21" t="s">
        <v>116</v>
      </c>
      <c r="AN69" s="680" t="s">
        <v>709</v>
      </c>
      <c r="AO69" s="601" t="s">
        <v>115</v>
      </c>
      <c r="AP69" s="572"/>
      <c r="AQ69" s="572"/>
      <c r="AR69" s="572"/>
      <c r="AS69" s="538">
        <f>IF(Table157[[#This Row],[PCTS Approved]]="N",0,Table157[[#This Row],[Investment Amount (1'#'#'#'#'#)]]+Table157[[#This Row],[Retirement Amount (3'#'#'#'#'#)]])</f>
        <v>0</v>
      </c>
      <c r="AT69" s="538">
        <f>IF(Table157[[#This Row],[Approved Construction Cost]]=0,0,Table157[[#This Row],[Approved Construction Cost]]-Table157[[#This Row],[Construction Cost to Bill From]])</f>
        <v>0</v>
      </c>
      <c r="AU69" s="538">
        <f>IFERROR(Table157[[#This Row],[Difference in Construction Cost]]*Table157[[#This Row],[Rate]],Table157[[#This Row],[Difference in Construction Cost]]*0.085)</f>
        <v>0</v>
      </c>
      <c r="AV69" s="572"/>
      <c r="AW69" s="639"/>
      <c r="AX69" s="538"/>
      <c r="AY69" s="636" t="s">
        <v>709</v>
      </c>
      <c r="AZ69" s="443">
        <v>59</v>
      </c>
      <c r="BA69" s="334" t="s">
        <v>4</v>
      </c>
      <c r="BB69" s="652" t="s">
        <v>1201</v>
      </c>
      <c r="BC69" s="644" t="s">
        <v>1202</v>
      </c>
      <c r="BD69" s="478" t="s">
        <v>116</v>
      </c>
      <c r="BE69" s="544" t="s">
        <v>709</v>
      </c>
      <c r="BF69" s="544" t="s">
        <v>1203</v>
      </c>
      <c r="BG69" s="544" t="s">
        <v>709</v>
      </c>
      <c r="BH69" s="512" t="s">
        <v>709</v>
      </c>
      <c r="BI69" s="545"/>
      <c r="BJ69" s="511" t="s">
        <v>709</v>
      </c>
      <c r="BK69" s="546" t="s">
        <v>709</v>
      </c>
      <c r="BL69" s="546" t="s">
        <v>709</v>
      </c>
      <c r="BM69" s="546" t="s">
        <v>116</v>
      </c>
      <c r="BN69" s="546" t="s">
        <v>709</v>
      </c>
      <c r="BO69" s="546" t="s">
        <v>709</v>
      </c>
      <c r="BP69" s="546" t="s">
        <v>709</v>
      </c>
      <c r="BQ69" s="546" t="s">
        <v>709</v>
      </c>
      <c r="BR69" s="546" t="s">
        <v>709</v>
      </c>
      <c r="BS69" s="546">
        <v>1439</v>
      </c>
      <c r="BT69" s="546">
        <v>1183</v>
      </c>
      <c r="BU69" s="546" t="s">
        <v>745</v>
      </c>
      <c r="BV69" s="546" t="s">
        <v>709</v>
      </c>
      <c r="BW69" s="546" t="s">
        <v>745</v>
      </c>
      <c r="BX69" s="546" t="s">
        <v>709</v>
      </c>
      <c r="BY69" s="546" t="s">
        <v>745</v>
      </c>
      <c r="BZ69" s="546" t="s">
        <v>745</v>
      </c>
      <c r="CA69" s="506"/>
    </row>
    <row r="70" spans="1:79" ht="15" hidden="1" customHeight="1" x14ac:dyDescent="0.25">
      <c r="A70" s="8" t="s">
        <v>770</v>
      </c>
      <c r="B70" s="8" t="s">
        <v>1205</v>
      </c>
      <c r="C70" s="8" t="s">
        <v>1206</v>
      </c>
      <c r="D70" s="656" t="s">
        <v>1207</v>
      </c>
      <c r="E70" s="8" t="s">
        <v>1159</v>
      </c>
      <c r="F70" s="8" t="s">
        <v>919</v>
      </c>
      <c r="G70" s="8" t="s">
        <v>37</v>
      </c>
      <c r="H70" s="8" t="s">
        <v>59</v>
      </c>
      <c r="I70" s="642">
        <v>44179</v>
      </c>
      <c r="J70" s="18">
        <v>44372</v>
      </c>
      <c r="K70" s="642">
        <v>44365</v>
      </c>
      <c r="L70" s="16">
        <f>IF(ISTEXT(Table157[[#This Row],[Engineering Approved Design Date]]),Table157[[#This Row],[Date Completed]]-Table157[[#This Row],[Date Assigned to Designer]],Table157[[#This Row],[Engineering Approved Design Date]]-Table157[[#This Row],[Date Completed]])</f>
        <v>7</v>
      </c>
      <c r="M70" s="642"/>
      <c r="N70" s="642" t="s">
        <v>120</v>
      </c>
      <c r="O70" s="534">
        <v>44365</v>
      </c>
      <c r="P70" s="68" t="s">
        <v>739</v>
      </c>
      <c r="Q70" s="436">
        <f>R70*AA70</f>
        <v>31711.634099999999</v>
      </c>
      <c r="R70" s="75">
        <v>0.09</v>
      </c>
      <c r="S70" s="24" t="s">
        <v>709</v>
      </c>
      <c r="T70" s="538" t="s">
        <v>709</v>
      </c>
      <c r="U70" s="28" t="s">
        <v>709</v>
      </c>
      <c r="V70" s="440">
        <v>1362</v>
      </c>
      <c r="W70" s="440"/>
      <c r="X70" s="29">
        <v>320730.27</v>
      </c>
      <c r="Y70" s="591"/>
      <c r="Z70" s="551">
        <v>31621.22</v>
      </c>
      <c r="AA70" s="87">
        <f t="shared" si="0"/>
        <v>352351.49</v>
      </c>
      <c r="AB70" s="207"/>
      <c r="AC70" s="108" t="s">
        <v>116</v>
      </c>
      <c r="AD70" s="108"/>
      <c r="AE70" s="349"/>
      <c r="AF70" s="579"/>
      <c r="AG70" s="579"/>
      <c r="AH70" s="354"/>
      <c r="AI70" s="341"/>
      <c r="AJ70" s="183"/>
      <c r="AK70" s="183"/>
      <c r="AL70" s="494">
        <f>SUM(Table157[[#This Row],[Nicor Initiated DBE]:[Staffing]])/(Table157[[#This Row],[Amount Invoiced]])</f>
        <v>0</v>
      </c>
      <c r="AM70" s="21" t="s">
        <v>116</v>
      </c>
      <c r="AN70" s="680" t="s">
        <v>709</v>
      </c>
      <c r="AO70" s="601" t="s">
        <v>115</v>
      </c>
      <c r="AP70" s="572"/>
      <c r="AQ70" s="572"/>
      <c r="AR70" s="572"/>
      <c r="AS70" s="538">
        <f>IF(Table157[[#This Row],[PCTS Approved]]="N",0,Table157[[#This Row],[Investment Amount (1'#'#'#'#'#)]]+Table157[[#This Row],[Retirement Amount (3'#'#'#'#'#)]])</f>
        <v>0</v>
      </c>
      <c r="AT70" s="538">
        <f>IF(Table157[[#This Row],[Approved Construction Cost]]=0,0,Table157[[#This Row],[Approved Construction Cost]]-Table157[[#This Row],[Construction Cost to Bill From]])</f>
        <v>0</v>
      </c>
      <c r="AU70" s="538">
        <f>IFERROR(Table157[[#This Row],[Difference in Construction Cost]]*Table157[[#This Row],[Rate]],Table157[[#This Row],[Difference in Construction Cost]]*0.085)</f>
        <v>0</v>
      </c>
      <c r="AV70" s="572"/>
      <c r="AW70" s="639"/>
      <c r="AX70" s="538"/>
      <c r="AY70" s="636" t="s">
        <v>709</v>
      </c>
      <c r="AZ70" s="443">
        <v>21</v>
      </c>
      <c r="BA70" s="334" t="s">
        <v>3</v>
      </c>
      <c r="BB70" s="652" t="s">
        <v>1208</v>
      </c>
      <c r="BC70" s="644" t="s">
        <v>1209</v>
      </c>
      <c r="BD70" s="478" t="s">
        <v>116</v>
      </c>
      <c r="BE70" s="544" t="s">
        <v>709</v>
      </c>
      <c r="BF70" s="544" t="s">
        <v>1210</v>
      </c>
      <c r="BG70" s="544" t="s">
        <v>709</v>
      </c>
      <c r="BH70" s="512" t="s">
        <v>1211</v>
      </c>
      <c r="BI70" s="645"/>
      <c r="BJ70" s="511" t="s">
        <v>709</v>
      </c>
      <c r="BK70" s="546" t="s">
        <v>709</v>
      </c>
      <c r="BL70" s="546" t="s">
        <v>116</v>
      </c>
      <c r="BM70" s="546" t="s">
        <v>709</v>
      </c>
      <c r="BN70" s="546" t="s">
        <v>709</v>
      </c>
      <c r="BO70" s="546" t="s">
        <v>709</v>
      </c>
      <c r="BP70" s="546" t="s">
        <v>709</v>
      </c>
      <c r="BQ70" s="546">
        <v>1362</v>
      </c>
      <c r="BR70" s="546" t="s">
        <v>709</v>
      </c>
      <c r="BS70" s="546" t="s">
        <v>709</v>
      </c>
      <c r="BT70" s="546" t="s">
        <v>709</v>
      </c>
      <c r="BU70" s="546" t="s">
        <v>745</v>
      </c>
      <c r="BV70" s="546" t="s">
        <v>709</v>
      </c>
      <c r="BW70" s="546" t="s">
        <v>745</v>
      </c>
      <c r="BX70" s="546" t="s">
        <v>709</v>
      </c>
      <c r="BY70" s="546" t="s">
        <v>745</v>
      </c>
      <c r="BZ70" s="546" t="s">
        <v>745</v>
      </c>
      <c r="CA70" s="506"/>
    </row>
    <row r="71" spans="1:79" ht="15" hidden="1" customHeight="1" x14ac:dyDescent="0.25">
      <c r="A71" s="8">
        <v>2021</v>
      </c>
      <c r="B71" s="8" t="s">
        <v>4</v>
      </c>
      <c r="C71" s="8" t="s">
        <v>1212</v>
      </c>
      <c r="D71" s="8" t="s">
        <v>1213</v>
      </c>
      <c r="E71" s="8" t="s">
        <v>1214</v>
      </c>
      <c r="F71" s="8" t="s">
        <v>919</v>
      </c>
      <c r="G71" s="8" t="s">
        <v>27</v>
      </c>
      <c r="H71" s="8" t="s">
        <v>59</v>
      </c>
      <c r="I71" s="642">
        <v>44308</v>
      </c>
      <c r="J71" s="18">
        <v>44379</v>
      </c>
      <c r="K71" s="642">
        <v>44378</v>
      </c>
      <c r="L71" s="16">
        <f>IF(ISTEXT(Table157[[#This Row],[Engineering Approved Design Date]]),Table157[[#This Row],[Date Completed]]-Table157[[#This Row],[Date Assigned to Designer]],Table157[[#This Row],[Engineering Approved Design Date]]-Table157[[#This Row],[Date Completed]])</f>
        <v>1</v>
      </c>
      <c r="M71" s="642"/>
      <c r="N71" s="642" t="s">
        <v>120</v>
      </c>
      <c r="O71" s="534">
        <v>44378</v>
      </c>
      <c r="P71" s="68" t="s">
        <v>739</v>
      </c>
      <c r="Q71" s="74">
        <f>R71*AA71</f>
        <v>47608.161</v>
      </c>
      <c r="R71" s="75">
        <v>0.1</v>
      </c>
      <c r="S71" s="24" t="s">
        <v>709</v>
      </c>
      <c r="T71" s="538" t="s">
        <v>709</v>
      </c>
      <c r="U71" s="103" t="s">
        <v>709</v>
      </c>
      <c r="V71" s="440">
        <v>1888</v>
      </c>
      <c r="W71" s="440"/>
      <c r="X71" s="29">
        <v>446359.68</v>
      </c>
      <c r="Y71" s="592"/>
      <c r="Z71" s="551">
        <v>29721.93</v>
      </c>
      <c r="AA71" s="87">
        <f t="shared" si="0"/>
        <v>476081.61</v>
      </c>
      <c r="AB71" s="208"/>
      <c r="AC71" s="109" t="s">
        <v>709</v>
      </c>
      <c r="AD71" s="109"/>
      <c r="AE71" s="349"/>
      <c r="AF71" s="579"/>
      <c r="AG71" s="579"/>
      <c r="AH71" s="354"/>
      <c r="AI71" s="489"/>
      <c r="AJ71" s="553"/>
      <c r="AK71" s="553"/>
      <c r="AL71" s="495">
        <f>SUM(Table157[[#This Row],[Nicor Initiated DBE]:[Staffing]])/(Table157[[#This Row],[Amount Invoiced]])</f>
        <v>0</v>
      </c>
      <c r="AM71" s="21" t="s">
        <v>116</v>
      </c>
      <c r="AN71" s="680" t="s">
        <v>709</v>
      </c>
      <c r="AO71" s="601" t="s">
        <v>115</v>
      </c>
      <c r="AP71" s="572"/>
      <c r="AQ71" s="572"/>
      <c r="AR71" s="572"/>
      <c r="AS71" s="538">
        <f>IF(Table157[[#This Row],[PCTS Approved]]="N",0,Table157[[#This Row],[Investment Amount (1'#'#'#'#'#)]]+Table157[[#This Row],[Retirement Amount (3'#'#'#'#'#)]])</f>
        <v>0</v>
      </c>
      <c r="AT71" s="538">
        <f>IF(Table157[[#This Row],[Approved Construction Cost]]=0,0,Table157[[#This Row],[Approved Construction Cost]]-Table157[[#This Row],[Construction Cost to Bill From]])</f>
        <v>0</v>
      </c>
      <c r="AU71" s="538">
        <f>IFERROR(Table157[[#This Row],[Difference in Construction Cost]]*Table157[[#This Row],[Rate]],Table157[[#This Row],[Difference in Construction Cost]]*0.085)</f>
        <v>0</v>
      </c>
      <c r="AV71" s="572"/>
      <c r="AW71" s="639"/>
      <c r="AX71" s="538"/>
      <c r="AY71" s="636" t="s">
        <v>709</v>
      </c>
      <c r="AZ71" s="443">
        <v>60</v>
      </c>
      <c r="BA71" s="334" t="s">
        <v>4</v>
      </c>
      <c r="BB71" s="652" t="s">
        <v>1215</v>
      </c>
      <c r="BC71" s="644" t="s">
        <v>1216</v>
      </c>
      <c r="BD71" s="478" t="s">
        <v>116</v>
      </c>
      <c r="BE71" s="544" t="s">
        <v>709</v>
      </c>
      <c r="BF71" s="544" t="s">
        <v>1217</v>
      </c>
      <c r="BG71" s="544" t="s">
        <v>709</v>
      </c>
      <c r="BH71" s="512" t="s">
        <v>709</v>
      </c>
      <c r="BI71" s="545"/>
      <c r="BJ71" s="511" t="s">
        <v>709</v>
      </c>
      <c r="BK71" s="546" t="s">
        <v>709</v>
      </c>
      <c r="BL71" s="546" t="s">
        <v>709</v>
      </c>
      <c r="BM71" s="546" t="s">
        <v>116</v>
      </c>
      <c r="BN71" s="546" t="s">
        <v>709</v>
      </c>
      <c r="BO71" s="546" t="s">
        <v>709</v>
      </c>
      <c r="BP71" s="546" t="s">
        <v>709</v>
      </c>
      <c r="BQ71" s="546" t="s">
        <v>709</v>
      </c>
      <c r="BR71" s="546">
        <v>1762</v>
      </c>
      <c r="BS71" s="546" t="s">
        <v>709</v>
      </c>
      <c r="BT71" s="546">
        <v>126</v>
      </c>
      <c r="BU71" s="546" t="s">
        <v>745</v>
      </c>
      <c r="BV71" s="546" t="s">
        <v>709</v>
      </c>
      <c r="BW71" s="546" t="s">
        <v>745</v>
      </c>
      <c r="BX71" s="546" t="s">
        <v>709</v>
      </c>
      <c r="BY71" s="546" t="s">
        <v>745</v>
      </c>
      <c r="BZ71" s="546" t="s">
        <v>745</v>
      </c>
      <c r="CA71" s="506"/>
    </row>
    <row r="72" spans="1:79" ht="15" hidden="1" customHeight="1" x14ac:dyDescent="0.25">
      <c r="A72" s="8">
        <v>2021</v>
      </c>
      <c r="B72" s="8" t="s">
        <v>4</v>
      </c>
      <c r="C72" s="8" t="s">
        <v>1218</v>
      </c>
      <c r="D72" s="8" t="s">
        <v>1219</v>
      </c>
      <c r="E72" s="8" t="s">
        <v>1129</v>
      </c>
      <c r="F72" s="8" t="s">
        <v>738</v>
      </c>
      <c r="G72" s="8" t="s">
        <v>39</v>
      </c>
      <c r="H72" s="8" t="s">
        <v>59</v>
      </c>
      <c r="I72" s="642">
        <v>44355</v>
      </c>
      <c r="J72" s="18">
        <v>44386</v>
      </c>
      <c r="K72" s="642">
        <v>44384</v>
      </c>
      <c r="L72" s="16">
        <f>IF(ISTEXT(Table157[[#This Row],[Engineering Approved Design Date]]),Table157[[#This Row],[Date Completed]]-Table157[[#This Row],[Date Assigned to Designer]],Table157[[#This Row],[Engineering Approved Design Date]]-Table157[[#This Row],[Date Completed]])</f>
        <v>2</v>
      </c>
      <c r="M72" s="642"/>
      <c r="N72" s="642" t="s">
        <v>120</v>
      </c>
      <c r="O72" s="534">
        <v>44384</v>
      </c>
      <c r="P72" s="68" t="s">
        <v>739</v>
      </c>
      <c r="Q72" s="74">
        <f>R72*AA72</f>
        <v>7728.6</v>
      </c>
      <c r="R72" s="75">
        <v>0.1</v>
      </c>
      <c r="S72" s="24" t="s">
        <v>709</v>
      </c>
      <c r="T72" s="538" t="s">
        <v>709</v>
      </c>
      <c r="U72" s="441" t="s">
        <v>709</v>
      </c>
      <c r="V72" s="467"/>
      <c r="W72" s="440"/>
      <c r="X72" s="24">
        <v>55579.41</v>
      </c>
      <c r="Y72" s="591"/>
      <c r="Z72" s="538">
        <v>21706.59</v>
      </c>
      <c r="AA72" s="87">
        <f t="shared" si="0"/>
        <v>77286</v>
      </c>
      <c r="AB72" s="208"/>
      <c r="AC72" s="109" t="s">
        <v>709</v>
      </c>
      <c r="AD72" s="109"/>
      <c r="AE72" s="349"/>
      <c r="AF72" s="579"/>
      <c r="AG72" s="579"/>
      <c r="AH72" s="354"/>
      <c r="AI72" s="489"/>
      <c r="AJ72" s="553"/>
      <c r="AK72" s="553"/>
      <c r="AL72" s="495">
        <f>SUM(Table157[[#This Row],[Nicor Initiated DBE]:[Staffing]])/(Table157[[#This Row],[Amount Invoiced]])</f>
        <v>0</v>
      </c>
      <c r="AM72" s="21" t="s">
        <v>116</v>
      </c>
      <c r="AN72" s="680" t="s">
        <v>709</v>
      </c>
      <c r="AO72" s="601" t="s">
        <v>115</v>
      </c>
      <c r="AP72" s="572"/>
      <c r="AQ72" s="572"/>
      <c r="AR72" s="572"/>
      <c r="AS72" s="538">
        <f>IF(Table157[[#This Row],[PCTS Approved]]="N",0,Table157[[#This Row],[Investment Amount (1'#'#'#'#'#)]]+Table157[[#This Row],[Retirement Amount (3'#'#'#'#'#)]])</f>
        <v>0</v>
      </c>
      <c r="AT72" s="538">
        <f>IF(Table157[[#This Row],[Approved Construction Cost]]=0,0,Table157[[#This Row],[Approved Construction Cost]]-Table157[[#This Row],[Construction Cost to Bill From]])</f>
        <v>0</v>
      </c>
      <c r="AU72" s="538">
        <f>IFERROR(Table157[[#This Row],[Difference in Construction Cost]]*Table157[[#This Row],[Rate]],Table157[[#This Row],[Difference in Construction Cost]]*0.085)</f>
        <v>0</v>
      </c>
      <c r="AV72" s="572"/>
      <c r="AW72" s="639"/>
      <c r="AX72" s="538"/>
      <c r="AY72" s="636" t="s">
        <v>709</v>
      </c>
      <c r="AZ72" s="443">
        <v>61</v>
      </c>
      <c r="BA72" s="334" t="s">
        <v>4</v>
      </c>
      <c r="BB72" s="652" t="s">
        <v>1220</v>
      </c>
      <c r="BC72" s="644" t="s">
        <v>1221</v>
      </c>
      <c r="BD72" s="478" t="s">
        <v>709</v>
      </c>
      <c r="BE72" s="544" t="s">
        <v>1066</v>
      </c>
      <c r="BF72" s="544" t="s">
        <v>709</v>
      </c>
      <c r="BG72" s="544" t="s">
        <v>709</v>
      </c>
      <c r="BH72" s="512" t="s">
        <v>709</v>
      </c>
      <c r="BI72" s="545"/>
      <c r="BJ72" s="511" t="s">
        <v>709</v>
      </c>
      <c r="BK72" s="546" t="s">
        <v>709</v>
      </c>
      <c r="BL72" s="546" t="s">
        <v>709</v>
      </c>
      <c r="BM72" s="546" t="s">
        <v>116</v>
      </c>
      <c r="BN72" s="546" t="s">
        <v>709</v>
      </c>
      <c r="BO72" s="546" t="s">
        <v>709</v>
      </c>
      <c r="BP72" s="546" t="s">
        <v>709</v>
      </c>
      <c r="BQ72" s="546" t="s">
        <v>709</v>
      </c>
      <c r="BR72" s="546" t="s">
        <v>709</v>
      </c>
      <c r="BS72" s="546" t="s">
        <v>709</v>
      </c>
      <c r="BT72" s="546">
        <v>55</v>
      </c>
      <c r="BU72" s="546" t="s">
        <v>745</v>
      </c>
      <c r="BV72" s="546" t="s">
        <v>709</v>
      </c>
      <c r="BW72" s="546" t="s">
        <v>745</v>
      </c>
      <c r="BX72" s="546" t="s">
        <v>709</v>
      </c>
      <c r="BY72" s="546" t="s">
        <v>745</v>
      </c>
      <c r="BZ72" s="546" t="s">
        <v>745</v>
      </c>
      <c r="CA72" s="506"/>
    </row>
    <row r="73" spans="1:79" ht="15" hidden="1" customHeight="1" x14ac:dyDescent="0.25">
      <c r="A73" s="8">
        <v>2022</v>
      </c>
      <c r="B73" s="8" t="s">
        <v>730</v>
      </c>
      <c r="C73" s="8" t="s">
        <v>1222</v>
      </c>
      <c r="D73" s="8" t="s">
        <v>1223</v>
      </c>
      <c r="E73" s="8" t="s">
        <v>1224</v>
      </c>
      <c r="F73" s="8" t="s">
        <v>747</v>
      </c>
      <c r="G73" s="8" t="s">
        <v>31</v>
      </c>
      <c r="H73" s="8" t="s">
        <v>59</v>
      </c>
      <c r="I73" s="642">
        <v>44320</v>
      </c>
      <c r="J73" s="18">
        <v>44435</v>
      </c>
      <c r="K73" s="642">
        <v>44427</v>
      </c>
      <c r="L73" s="16">
        <f>IF(ISTEXT(Table157[[#This Row],[Engineering Approved Design Date]]),Table157[[#This Row],[Date Completed]]-Table157[[#This Row],[Date Assigned to Designer]],Table157[[#This Row],[Engineering Approved Design Date]]-Table157[[#This Row],[Date Completed]])</f>
        <v>8</v>
      </c>
      <c r="M73" s="642"/>
      <c r="N73" s="642" t="s">
        <v>120</v>
      </c>
      <c r="O73" s="534">
        <f>Table157[[#This Row],[Date Completed]]</f>
        <v>44427</v>
      </c>
      <c r="P73" s="68" t="s">
        <v>120</v>
      </c>
      <c r="Q73" s="436">
        <f>(Table157[[#This Row],[Construction Cost to Bill From]]*0.085)+5250</f>
        <v>27388.629950000002</v>
      </c>
      <c r="R73" s="75" t="s">
        <v>794</v>
      </c>
      <c r="S73" s="24" t="s">
        <v>709</v>
      </c>
      <c r="T73" s="538" t="s">
        <v>709</v>
      </c>
      <c r="U73" s="28" t="s">
        <v>709</v>
      </c>
      <c r="V73" s="437">
        <v>189</v>
      </c>
      <c r="X73" s="24">
        <v>219773.31</v>
      </c>
      <c r="Y73" s="591"/>
      <c r="Z73" s="538">
        <v>40681.160000000003</v>
      </c>
      <c r="AA73" s="87">
        <f t="shared" si="0"/>
        <v>260454.47</v>
      </c>
      <c r="AB73" s="208"/>
      <c r="AC73" s="108" t="s">
        <v>1177</v>
      </c>
      <c r="AD73" s="109"/>
      <c r="AE73" s="349"/>
      <c r="AF73" s="579"/>
      <c r="AG73" s="579"/>
      <c r="AH73" s="354"/>
      <c r="AI73" s="341"/>
      <c r="AJ73" s="183"/>
      <c r="AK73" s="183"/>
      <c r="AL73" s="494">
        <f>SUM(Table157[[#This Row],[Nicor Initiated DBE]:[Staffing]])/(Table157[[#This Row],[Amount Invoiced]])</f>
        <v>0</v>
      </c>
      <c r="AM73" s="21" t="s">
        <v>116</v>
      </c>
      <c r="AN73" s="680" t="s">
        <v>709</v>
      </c>
      <c r="AO73" s="681">
        <v>11038370</v>
      </c>
      <c r="AP73" s="682"/>
      <c r="AQ73" s="682"/>
      <c r="AR73" s="682"/>
      <c r="AS73" s="538">
        <f>IF(Table157[[#This Row],[PCTS Approved]]="N",0,Table157[[#This Row],[Investment Amount (1'#'#'#'#'#)]]+Table157[[#This Row],[Retirement Amount (3'#'#'#'#'#)]])</f>
        <v>0</v>
      </c>
      <c r="AT73" s="538">
        <f>IF(Table157[[#This Row],[Approved Construction Cost]]=0,0,Table157[[#This Row],[Approved Construction Cost]]-Table157[[#This Row],[Construction Cost to Bill From]])</f>
        <v>0</v>
      </c>
      <c r="AU73" s="538">
        <f>IFERROR(Table157[[#This Row],[Difference in Construction Cost]]*Table157[[#This Row],[Rate]],Table157[[#This Row],[Difference in Construction Cost]]*0.085)</f>
        <v>0</v>
      </c>
      <c r="AV73" s="682"/>
      <c r="AW73" s="686"/>
      <c r="AX73" s="538"/>
      <c r="AY73" s="636" t="s">
        <v>709</v>
      </c>
      <c r="AZ73" s="443">
        <v>166</v>
      </c>
      <c r="BA73" s="334" t="s">
        <v>2</v>
      </c>
      <c r="BB73" s="652" t="s">
        <v>1225</v>
      </c>
      <c r="BC73" s="644" t="s">
        <v>1226</v>
      </c>
      <c r="BD73" s="478" t="s">
        <v>709</v>
      </c>
      <c r="BE73" s="544" t="s">
        <v>1227</v>
      </c>
      <c r="BF73" s="544" t="s">
        <v>709</v>
      </c>
      <c r="BG73" s="544" t="s">
        <v>709</v>
      </c>
      <c r="BH73" s="512" t="s">
        <v>709</v>
      </c>
      <c r="BI73" s="645"/>
      <c r="BJ73" s="511" t="s">
        <v>709</v>
      </c>
      <c r="BK73" s="546" t="s">
        <v>116</v>
      </c>
      <c r="BL73" s="546" t="s">
        <v>709</v>
      </c>
      <c r="BM73" s="546" t="s">
        <v>116</v>
      </c>
      <c r="BN73" s="546" t="s">
        <v>709</v>
      </c>
      <c r="BO73" s="546" t="s">
        <v>709</v>
      </c>
      <c r="BP73" s="546" t="s">
        <v>709</v>
      </c>
      <c r="BQ73" s="546" t="s">
        <v>709</v>
      </c>
      <c r="BR73" s="546" t="s">
        <v>709</v>
      </c>
      <c r="BS73" s="546" t="s">
        <v>709</v>
      </c>
      <c r="BT73" s="546">
        <v>189</v>
      </c>
      <c r="BU73" s="546" t="s">
        <v>709</v>
      </c>
      <c r="BV73" s="546">
        <v>1</v>
      </c>
      <c r="BW73" s="546" t="s">
        <v>709</v>
      </c>
      <c r="BX73" s="546" t="s">
        <v>709</v>
      </c>
      <c r="BY73" s="546">
        <v>1</v>
      </c>
      <c r="BZ73" s="546" t="s">
        <v>709</v>
      </c>
      <c r="CA73" s="506" t="s">
        <v>730</v>
      </c>
    </row>
    <row r="74" spans="1:79" ht="15" hidden="1" customHeight="1" x14ac:dyDescent="0.25">
      <c r="A74" s="8" t="s">
        <v>770</v>
      </c>
      <c r="B74" s="8" t="s">
        <v>771</v>
      </c>
      <c r="C74" s="8" t="s">
        <v>1228</v>
      </c>
      <c r="D74" s="656" t="s">
        <v>1229</v>
      </c>
      <c r="E74" s="8" t="s">
        <v>104</v>
      </c>
      <c r="F74" s="8" t="s">
        <v>738</v>
      </c>
      <c r="G74" s="8" t="s">
        <v>31</v>
      </c>
      <c r="H74" s="8" t="s">
        <v>59</v>
      </c>
      <c r="I74" s="642">
        <v>44250</v>
      </c>
      <c r="J74" s="18">
        <v>44526</v>
      </c>
      <c r="K74" s="97">
        <v>44524</v>
      </c>
      <c r="L74" s="16">
        <f>IF(ISTEXT(Table157[[#This Row],[Engineering Approved Design Date]]),Table157[[#This Row],[Date Completed]]-Table157[[#This Row],[Date Assigned to Designer]],Table157[[#This Row],[Engineering Approved Design Date]]-Table157[[#This Row],[Date Completed]])</f>
        <v>2</v>
      </c>
      <c r="M74" s="642"/>
      <c r="N74" s="642" t="s">
        <v>120</v>
      </c>
      <c r="O74" s="534">
        <v>44531</v>
      </c>
      <c r="P74" s="68" t="s">
        <v>120</v>
      </c>
      <c r="Q74" s="343">
        <f>R74*AA74</f>
        <v>100097.7831</v>
      </c>
      <c r="R74" s="75">
        <v>0.09</v>
      </c>
      <c r="S74" s="24" t="s">
        <v>709</v>
      </c>
      <c r="T74" s="538" t="s">
        <v>709</v>
      </c>
      <c r="U74" s="87" t="s">
        <v>709</v>
      </c>
      <c r="V74" s="437">
        <v>1526</v>
      </c>
      <c r="X74" s="70">
        <v>1031524.91</v>
      </c>
      <c r="Y74" s="591"/>
      <c r="Z74" s="556">
        <v>80672.679999999993</v>
      </c>
      <c r="AA74" s="87">
        <f t="shared" si="0"/>
        <v>1112197.5900000001</v>
      </c>
      <c r="AB74" s="207"/>
      <c r="AC74" s="108" t="s">
        <v>709</v>
      </c>
      <c r="AD74" s="108"/>
      <c r="AE74" s="349"/>
      <c r="AF74" s="579"/>
      <c r="AG74" s="579"/>
      <c r="AH74" s="354"/>
      <c r="AI74" s="341"/>
      <c r="AJ74" s="183"/>
      <c r="AK74" s="183"/>
      <c r="AL74" s="494">
        <f>SUM(Table157[[#This Row],[Nicor Initiated DBE]:[Staffing]])/(Table157[[#This Row],[Amount Invoiced]])</f>
        <v>0</v>
      </c>
      <c r="AM74" s="21" t="s">
        <v>116</v>
      </c>
      <c r="AN74" s="680" t="s">
        <v>709</v>
      </c>
      <c r="AO74" s="681" t="s">
        <v>115</v>
      </c>
      <c r="AP74" s="682"/>
      <c r="AQ74" s="682"/>
      <c r="AR74" s="682"/>
      <c r="AS74" s="538">
        <f>IF(Table157[[#This Row],[PCTS Approved]]="N",0,Table157[[#This Row],[Investment Amount (1'#'#'#'#'#)]]+Table157[[#This Row],[Retirement Amount (3'#'#'#'#'#)]])</f>
        <v>0</v>
      </c>
      <c r="AT74" s="538">
        <f>IF(Table157[[#This Row],[Approved Construction Cost]]=0,0,Table157[[#This Row],[Approved Construction Cost]]-Table157[[#This Row],[Construction Cost to Bill From]])</f>
        <v>0</v>
      </c>
      <c r="AU74" s="538">
        <f>IFERROR(Table157[[#This Row],[Difference in Construction Cost]]*Table157[[#This Row],[Rate]],Table157[[#This Row],[Difference in Construction Cost]]*0.085)</f>
        <v>0</v>
      </c>
      <c r="AV74" s="682"/>
      <c r="AW74" s="686"/>
      <c r="AX74" s="538"/>
      <c r="AY74" s="637" t="s">
        <v>709</v>
      </c>
      <c r="AZ74" s="443">
        <v>22</v>
      </c>
      <c r="BA74" s="334" t="s">
        <v>3</v>
      </c>
      <c r="BB74" s="652" t="s">
        <v>1230</v>
      </c>
      <c r="BC74" s="644" t="s">
        <v>1231</v>
      </c>
      <c r="BD74" s="478" t="s">
        <v>709</v>
      </c>
      <c r="BE74" s="544" t="s">
        <v>709</v>
      </c>
      <c r="BF74" s="544" t="s">
        <v>1232</v>
      </c>
      <c r="BG74" s="544" t="s">
        <v>709</v>
      </c>
      <c r="BH74" s="512" t="s">
        <v>709</v>
      </c>
      <c r="BI74" s="645"/>
      <c r="BJ74" s="511" t="s">
        <v>709</v>
      </c>
      <c r="BK74" s="546" t="s">
        <v>709</v>
      </c>
      <c r="BL74" s="546" t="s">
        <v>709</v>
      </c>
      <c r="BM74" s="546" t="s">
        <v>116</v>
      </c>
      <c r="BN74" s="546" t="s">
        <v>709</v>
      </c>
      <c r="BO74" s="546" t="s">
        <v>709</v>
      </c>
      <c r="BP74" s="546" t="s">
        <v>709</v>
      </c>
      <c r="BQ74" s="546" t="s">
        <v>709</v>
      </c>
      <c r="BR74" s="546">
        <v>1299</v>
      </c>
      <c r="BS74" s="546">
        <v>170</v>
      </c>
      <c r="BT74" s="546">
        <v>57</v>
      </c>
      <c r="BU74" s="546" t="s">
        <v>745</v>
      </c>
      <c r="BV74" s="546" t="s">
        <v>709</v>
      </c>
      <c r="BW74" s="546" t="s">
        <v>745</v>
      </c>
      <c r="BX74" s="546" t="s">
        <v>709</v>
      </c>
      <c r="BY74" s="546" t="s">
        <v>745</v>
      </c>
      <c r="BZ74" s="546" t="s">
        <v>745</v>
      </c>
      <c r="CA74" s="506"/>
    </row>
    <row r="75" spans="1:79" ht="15" hidden="1" customHeight="1" x14ac:dyDescent="0.25">
      <c r="A75" s="8" t="s">
        <v>749</v>
      </c>
      <c r="B75" s="8" t="s">
        <v>4</v>
      </c>
      <c r="C75" s="8" t="s">
        <v>1233</v>
      </c>
      <c r="D75" s="8" t="s">
        <v>1234</v>
      </c>
      <c r="E75" s="8" t="s">
        <v>1101</v>
      </c>
      <c r="F75" s="8" t="s">
        <v>919</v>
      </c>
      <c r="G75" s="8" t="s">
        <v>27</v>
      </c>
      <c r="H75" s="8" t="s">
        <v>59</v>
      </c>
      <c r="I75" s="642">
        <v>44188</v>
      </c>
      <c r="J75" s="18">
        <v>44610</v>
      </c>
      <c r="K75" s="97">
        <v>44539</v>
      </c>
      <c r="L75" s="16">
        <f>IF(ISTEXT(Table157[[#This Row],[Engineering Approved Design Date]]),Table157[[#This Row],[Date Completed]]-Table157[[#This Row],[Date Assigned to Designer]],Table157[[#This Row],[Engineering Approved Design Date]]-Table157[[#This Row],[Date Completed]])</f>
        <v>71</v>
      </c>
      <c r="M75" s="642"/>
      <c r="N75" s="642" t="s">
        <v>120</v>
      </c>
      <c r="O75" s="534">
        <f>Table157[[#This Row],[Date Completed]]</f>
        <v>44539</v>
      </c>
      <c r="P75" s="68" t="s">
        <v>739</v>
      </c>
      <c r="Q75" s="74">
        <f>R75*AA75</f>
        <v>179188.223</v>
      </c>
      <c r="R75" s="75">
        <v>0.1</v>
      </c>
      <c r="S75" s="24" t="s">
        <v>709</v>
      </c>
      <c r="T75" s="538" t="s">
        <v>709</v>
      </c>
      <c r="U75" s="87" t="s">
        <v>709</v>
      </c>
      <c r="V75" s="437">
        <v>5487</v>
      </c>
      <c r="X75" s="70">
        <v>1669599.84</v>
      </c>
      <c r="Y75" s="591"/>
      <c r="Z75" s="556">
        <v>122282.39</v>
      </c>
      <c r="AA75" s="28">
        <f t="shared" si="0"/>
        <v>1791882.23</v>
      </c>
      <c r="AB75" s="208"/>
      <c r="AC75" s="109" t="s">
        <v>116</v>
      </c>
      <c r="AD75" s="109"/>
      <c r="AE75" s="349"/>
      <c r="AF75" s="579"/>
      <c r="AG75" s="579"/>
      <c r="AH75" s="354"/>
      <c r="AI75" s="489"/>
      <c r="AJ75" s="553"/>
      <c r="AK75" s="553"/>
      <c r="AL75" s="495">
        <f>SUM(Table157[[#This Row],[Nicor Initiated DBE]:[Staffing]])/(Table157[[#This Row],[Amount Invoiced]])</f>
        <v>0</v>
      </c>
      <c r="AM75" s="21" t="s">
        <v>116</v>
      </c>
      <c r="AN75" s="680" t="s">
        <v>709</v>
      </c>
      <c r="AO75" s="572" t="s">
        <v>115</v>
      </c>
      <c r="AP75" s="572"/>
      <c r="AQ75" s="689"/>
      <c r="AR75" s="572"/>
      <c r="AS75" s="538">
        <f>IF(Table157[[#This Row],[PCTS Approved]]="N",0,Table157[[#This Row],[Investment Amount (1'#'#'#'#'#)]]+Table157[[#This Row],[Retirement Amount (3'#'#'#'#'#)]])</f>
        <v>0</v>
      </c>
      <c r="AT75" s="538">
        <f>IF(Table157[[#This Row],[Approved Construction Cost]]=0,0,Table157[[#This Row],[Approved Construction Cost]]-Table157[[#This Row],[Construction Cost to Bill From]])</f>
        <v>0</v>
      </c>
      <c r="AU75" s="538">
        <f>IFERROR(Table157[[#This Row],[Difference in Construction Cost]]*Table157[[#This Row],[Rate]],Table157[[#This Row],[Difference in Construction Cost]]*0.085)</f>
        <v>0</v>
      </c>
      <c r="AV75" s="639"/>
      <c r="AW75" s="639"/>
      <c r="AX75" s="538"/>
      <c r="AY75" s="637" t="s">
        <v>709</v>
      </c>
      <c r="AZ75" s="443">
        <v>64</v>
      </c>
      <c r="BA75" s="334" t="s">
        <v>4</v>
      </c>
      <c r="BB75" s="652" t="s">
        <v>1235</v>
      </c>
      <c r="BC75" s="644" t="s">
        <v>1236</v>
      </c>
      <c r="BD75" s="478"/>
      <c r="BE75" s="544"/>
      <c r="BF75" s="544"/>
      <c r="BG75" s="544"/>
      <c r="BH75" s="512"/>
      <c r="BI75" s="545"/>
      <c r="BJ75" s="511" t="s">
        <v>709</v>
      </c>
      <c r="BK75" s="546" t="s">
        <v>709</v>
      </c>
      <c r="BL75" s="546" t="s">
        <v>709</v>
      </c>
      <c r="BM75" s="546" t="s">
        <v>116</v>
      </c>
      <c r="BN75" s="546" t="s">
        <v>709</v>
      </c>
      <c r="BO75" s="546" t="s">
        <v>709</v>
      </c>
      <c r="BP75" s="546" t="s">
        <v>709</v>
      </c>
      <c r="BQ75" s="546">
        <v>1747</v>
      </c>
      <c r="BR75" s="546">
        <v>498</v>
      </c>
      <c r="BS75" s="546">
        <v>1564</v>
      </c>
      <c r="BT75" s="546">
        <v>1588</v>
      </c>
      <c r="BU75" s="546">
        <v>1</v>
      </c>
      <c r="BV75" s="546" t="s">
        <v>709</v>
      </c>
      <c r="BW75" s="546" t="s">
        <v>745</v>
      </c>
      <c r="BX75" s="546" t="s">
        <v>709</v>
      </c>
      <c r="BY75" s="546">
        <v>1</v>
      </c>
      <c r="BZ75" s="546" t="s">
        <v>745</v>
      </c>
      <c r="CA75" s="506" t="s">
        <v>1237</v>
      </c>
    </row>
    <row r="76" spans="1:79" ht="15" hidden="1" customHeight="1" x14ac:dyDescent="0.25">
      <c r="A76" s="8" t="s">
        <v>770</v>
      </c>
      <c r="B76" s="8" t="s">
        <v>771</v>
      </c>
      <c r="C76" s="8" t="s">
        <v>1238</v>
      </c>
      <c r="D76" s="656" t="s">
        <v>1239</v>
      </c>
      <c r="E76" s="8" t="s">
        <v>272</v>
      </c>
      <c r="F76" s="8" t="s">
        <v>919</v>
      </c>
      <c r="G76" s="8" t="s">
        <v>34</v>
      </c>
      <c r="H76" s="8" t="s">
        <v>59</v>
      </c>
      <c r="I76" s="642">
        <v>44448</v>
      </c>
      <c r="J76" s="18">
        <v>44655</v>
      </c>
      <c r="K76" s="18">
        <v>44588</v>
      </c>
      <c r="L76" s="16">
        <f>IF(ISTEXT(Table157[[#This Row],[Engineering Approved Design Date]]),Table157[[#This Row],[Date Completed]]-Table157[[#This Row],[Date Assigned to Designer]],Table157[[#This Row],[Engineering Approved Design Date]]-Table157[[#This Row],[Date Completed]])</f>
        <v>67</v>
      </c>
      <c r="M76" s="642"/>
      <c r="N76" s="642" t="s">
        <v>120</v>
      </c>
      <c r="O76" s="534">
        <v>44593</v>
      </c>
      <c r="P76" s="68" t="s">
        <v>120</v>
      </c>
      <c r="Q76" s="74">
        <f>R76*AA76</f>
        <v>68083.122599999988</v>
      </c>
      <c r="R76" s="75">
        <v>0.09</v>
      </c>
      <c r="S76" s="24" t="s">
        <v>709</v>
      </c>
      <c r="T76" s="538" t="s">
        <v>709</v>
      </c>
      <c r="U76" s="87" t="s">
        <v>709</v>
      </c>
      <c r="V76" s="440">
        <v>1953</v>
      </c>
      <c r="W76" s="440"/>
      <c r="X76" s="29">
        <v>716899.69</v>
      </c>
      <c r="Y76" s="592"/>
      <c r="Z76" s="551">
        <v>39579.449999999997</v>
      </c>
      <c r="AA76" s="87">
        <f>Table157[[#This Row],[PCTS Investment Amount]]+Table157[[#This Row],[PCTS Retirement Amount]]</f>
        <v>756479.1399999999</v>
      </c>
      <c r="AB76" s="207"/>
      <c r="AC76" s="108" t="s">
        <v>116</v>
      </c>
      <c r="AD76" s="108"/>
      <c r="AE76" s="349"/>
      <c r="AF76" s="579"/>
      <c r="AG76" s="579"/>
      <c r="AH76" s="354"/>
      <c r="AI76" s="341"/>
      <c r="AJ76" s="183"/>
      <c r="AK76" s="183"/>
      <c r="AL76" s="494">
        <f>SUM(Table157[[#This Row],[Nicor Initiated DBE]:[Staffing]])/(Table157[[#This Row],[Amount Invoiced]])</f>
        <v>0</v>
      </c>
      <c r="AM76" s="21" t="s">
        <v>116</v>
      </c>
      <c r="AN76" s="680" t="s">
        <v>709</v>
      </c>
      <c r="AO76" s="681">
        <v>11038988</v>
      </c>
      <c r="AP76" s="572"/>
      <c r="AQ76" s="572"/>
      <c r="AR76" s="572"/>
      <c r="AS76" s="538">
        <f>IF(Table157[[#This Row],[PCTS Approved]]="N",0,Table157[[#This Row],[Investment Amount (1'#'#'#'#'#)]]+Table157[[#This Row],[Retirement Amount (3'#'#'#'#'#)]])</f>
        <v>0</v>
      </c>
      <c r="AT76" s="538">
        <f>IF(Table157[[#This Row],[Approved Construction Cost]]=0,0,Table157[[#This Row],[Approved Construction Cost]]-Table157[[#This Row],[Construction Cost to Bill From]])</f>
        <v>0</v>
      </c>
      <c r="AU76" s="538">
        <f>IFERROR(Table157[[#This Row],[Difference in Construction Cost]]*Table157[[#This Row],[Rate]],Table157[[#This Row],[Difference in Construction Cost]]*0.085)</f>
        <v>0</v>
      </c>
      <c r="AV76" s="572"/>
      <c r="AW76" s="639"/>
      <c r="AX76" s="538"/>
      <c r="AY76" s="636" t="s">
        <v>709</v>
      </c>
      <c r="AZ76" s="443">
        <v>23</v>
      </c>
      <c r="BA76" s="334" t="s">
        <v>3</v>
      </c>
      <c r="BB76" s="652" t="s">
        <v>1240</v>
      </c>
      <c r="BC76" s="644" t="s">
        <v>1241</v>
      </c>
      <c r="BD76" s="478" t="s">
        <v>709</v>
      </c>
      <c r="BE76" s="544" t="s">
        <v>709</v>
      </c>
      <c r="BF76" s="544" t="s">
        <v>1242</v>
      </c>
      <c r="BG76" s="544" t="s">
        <v>709</v>
      </c>
      <c r="BH76" s="512" t="s">
        <v>1243</v>
      </c>
      <c r="BI76" s="645"/>
      <c r="BJ76" s="511" t="s">
        <v>709</v>
      </c>
      <c r="BK76" s="546" t="s">
        <v>709</v>
      </c>
      <c r="BL76" s="546" t="s">
        <v>709</v>
      </c>
      <c r="BM76" s="546" t="s">
        <v>116</v>
      </c>
      <c r="BN76" s="546" t="s">
        <v>709</v>
      </c>
      <c r="BO76" s="546" t="s">
        <v>709</v>
      </c>
      <c r="BP76" s="546" t="s">
        <v>709</v>
      </c>
      <c r="BQ76" s="546" t="s">
        <v>709</v>
      </c>
      <c r="BR76" s="546">
        <v>1164</v>
      </c>
      <c r="BS76" s="546" t="s">
        <v>709</v>
      </c>
      <c r="BT76" s="546">
        <v>789</v>
      </c>
      <c r="BU76" s="546" t="s">
        <v>745</v>
      </c>
      <c r="BV76" s="546" t="s">
        <v>709</v>
      </c>
      <c r="BW76" s="546" t="s">
        <v>745</v>
      </c>
      <c r="BX76" s="546" t="s">
        <v>709</v>
      </c>
      <c r="BY76" s="546" t="s">
        <v>745</v>
      </c>
      <c r="BZ76" s="546" t="s">
        <v>745</v>
      </c>
      <c r="CA76" s="506"/>
    </row>
    <row r="77" spans="1:79" ht="15" hidden="1" customHeight="1" x14ac:dyDescent="0.25">
      <c r="A77" s="8" t="s">
        <v>781</v>
      </c>
      <c r="B77" s="8" t="s">
        <v>731</v>
      </c>
      <c r="C77" s="8" t="s">
        <v>1244</v>
      </c>
      <c r="D77" s="8" t="s">
        <v>1245</v>
      </c>
      <c r="E77" s="8" t="s">
        <v>277</v>
      </c>
      <c r="F77" s="8" t="s">
        <v>752</v>
      </c>
      <c r="G77" s="8" t="s">
        <v>36</v>
      </c>
      <c r="H77" s="8" t="s">
        <v>59</v>
      </c>
      <c r="I77" s="642">
        <v>44571</v>
      </c>
      <c r="J77" s="18">
        <v>44662</v>
      </c>
      <c r="K77" s="18">
        <v>44656</v>
      </c>
      <c r="L77" s="16">
        <f>IF(ISTEXT(Table157[[#This Row],[Engineering Approved Design Date]]),Table157[[#This Row],[Date Completed]]-Table157[[#This Row],[Date Assigned to Designer]],Table157[[#This Row],[Engineering Approved Design Date]]-Table157[[#This Row],[Date Completed]])</f>
        <v>6</v>
      </c>
      <c r="M77" s="642"/>
      <c r="N77" s="642" t="s">
        <v>120</v>
      </c>
      <c r="O77" s="534">
        <f>Table157[[#This Row],[Date Completed]]</f>
        <v>44656</v>
      </c>
      <c r="P77" s="68" t="s">
        <v>739</v>
      </c>
      <c r="Q77" s="74">
        <f>R77*AA77</f>
        <v>7334.3042999999998</v>
      </c>
      <c r="R77" s="75">
        <v>0.09</v>
      </c>
      <c r="S77" s="24" t="s">
        <v>709</v>
      </c>
      <c r="T77" s="538" t="s">
        <v>709</v>
      </c>
      <c r="U77" s="87" t="s">
        <v>709</v>
      </c>
      <c r="V77" s="440"/>
      <c r="W77" s="440"/>
      <c r="X77" s="29"/>
      <c r="Y77" s="591"/>
      <c r="Z77" s="551">
        <v>81492.27</v>
      </c>
      <c r="AA77" s="87">
        <f>Table157[[#This Row],[PCTS Investment Amount]]+Table157[[#This Row],[PCTS Retirement Amount]]</f>
        <v>81492.27</v>
      </c>
      <c r="AB77" s="208"/>
      <c r="AC77" s="108" t="s">
        <v>709</v>
      </c>
      <c r="AD77" s="109"/>
      <c r="AE77" s="349"/>
      <c r="AF77" s="579"/>
      <c r="AG77" s="579"/>
      <c r="AH77" s="354"/>
      <c r="AI77" s="341"/>
      <c r="AJ77" s="183"/>
      <c r="AK77" s="183"/>
      <c r="AL77" s="494">
        <f>SUM(Table157[[#This Row],[Nicor Initiated DBE]:[Staffing]])/(Table157[[#This Row],[Amount Invoiced]])</f>
        <v>0</v>
      </c>
      <c r="AM77" s="21" t="s">
        <v>116</v>
      </c>
      <c r="AN77" s="634" t="s">
        <v>709</v>
      </c>
      <c r="AO77" s="601" t="s">
        <v>115</v>
      </c>
      <c r="AP77" s="572"/>
      <c r="AQ77" s="572"/>
      <c r="AR77" s="572"/>
      <c r="AS77" s="538">
        <f>IF(Table157[[#This Row],[PCTS Approved]]="N",0,Table157[[#This Row],[Investment Amount (1'#'#'#'#'#)]]+Table157[[#This Row],[Retirement Amount (3'#'#'#'#'#)]])</f>
        <v>0</v>
      </c>
      <c r="AT77" s="538">
        <f>IF(Table157[[#This Row],[Approved Construction Cost]]=0,0,Table157[[#This Row],[Approved Construction Cost]]-Table157[[#This Row],[Construction Cost to Bill From]])</f>
        <v>0</v>
      </c>
      <c r="AU77" s="538">
        <f>IFERROR(Table157[[#This Row],[Difference in Construction Cost]]*Table157[[#This Row],[Rate]],Table157[[#This Row],[Difference in Construction Cost]]*0.085)</f>
        <v>0</v>
      </c>
      <c r="AV77" s="572"/>
      <c r="AW77" s="639"/>
      <c r="AX77" s="538"/>
      <c r="AY77" s="636" t="s">
        <v>709</v>
      </c>
      <c r="AZ77" s="443">
        <v>24</v>
      </c>
      <c r="BA77" s="334" t="s">
        <v>2</v>
      </c>
      <c r="BB77" s="652" t="s">
        <v>1246</v>
      </c>
      <c r="BC77" s="644" t="s">
        <v>1247</v>
      </c>
      <c r="BD77" s="478" t="s">
        <v>116</v>
      </c>
      <c r="BE77" s="544" t="s">
        <v>709</v>
      </c>
      <c r="BF77" s="544" t="s">
        <v>709</v>
      </c>
      <c r="BG77" s="544" t="s">
        <v>709</v>
      </c>
      <c r="BH77" s="512" t="s">
        <v>1248</v>
      </c>
      <c r="BI77" s="645"/>
      <c r="BJ77" s="511" t="s">
        <v>709</v>
      </c>
      <c r="BK77" s="546" t="s">
        <v>709</v>
      </c>
      <c r="BL77" s="546" t="s">
        <v>709</v>
      </c>
      <c r="BM77" s="546" t="s">
        <v>709</v>
      </c>
      <c r="BN77" s="546" t="s">
        <v>709</v>
      </c>
      <c r="BO77" s="546" t="s">
        <v>709</v>
      </c>
      <c r="BP77" s="546" t="s">
        <v>709</v>
      </c>
      <c r="BQ77" s="546" t="s">
        <v>709</v>
      </c>
      <c r="BR77" s="546" t="s">
        <v>709</v>
      </c>
      <c r="BS77" s="546" t="s">
        <v>709</v>
      </c>
      <c r="BT77" s="546" t="s">
        <v>709</v>
      </c>
      <c r="BU77" s="546" t="s">
        <v>745</v>
      </c>
      <c r="BV77" s="546" t="s">
        <v>709</v>
      </c>
      <c r="BW77" s="546">
        <v>1</v>
      </c>
      <c r="BX77" s="546" t="s">
        <v>709</v>
      </c>
      <c r="BY77" s="546" t="s">
        <v>745</v>
      </c>
      <c r="BZ77" s="546" t="s">
        <v>745</v>
      </c>
      <c r="CA77" s="506" t="s">
        <v>731</v>
      </c>
    </row>
    <row r="78" spans="1:79" ht="15" hidden="1" customHeight="1" x14ac:dyDescent="0.25">
      <c r="A78" s="8" t="s">
        <v>781</v>
      </c>
      <c r="B78" s="8" t="s">
        <v>730</v>
      </c>
      <c r="C78" s="8" t="s">
        <v>294</v>
      </c>
      <c r="D78" s="8" t="s">
        <v>1249</v>
      </c>
      <c r="E78" s="8" t="s">
        <v>295</v>
      </c>
      <c r="F78" s="8" t="s">
        <v>752</v>
      </c>
      <c r="G78" s="8" t="s">
        <v>27</v>
      </c>
      <c r="H78" s="8" t="s">
        <v>59</v>
      </c>
      <c r="I78" s="642">
        <v>44603</v>
      </c>
      <c r="J78" s="18">
        <v>44715</v>
      </c>
      <c r="K78" s="18">
        <v>44685</v>
      </c>
      <c r="L78" s="16">
        <f>IF(ISTEXT(Table157[[#This Row],[Engineering Approved Design Date]]),Table157[[#This Row],[Date Completed]]-Table157[[#This Row],[Date Assigned to Designer]],Table157[[#This Row],[Engineering Approved Design Date]]-Table157[[#This Row],[Date Completed]])</f>
        <v>30</v>
      </c>
      <c r="M78" s="642"/>
      <c r="N78" s="642" t="s">
        <v>120</v>
      </c>
      <c r="O78" s="534">
        <f>Table157[[#This Row],[Date Completed]]</f>
        <v>44685</v>
      </c>
      <c r="P78" s="68" t="s">
        <v>739</v>
      </c>
      <c r="Q78" s="375">
        <f>(Table157[[#This Row],[Construction Cost to Bill From]]*0.085)+5250</f>
        <v>26388.316800000001</v>
      </c>
      <c r="R78" s="75" t="s">
        <v>794</v>
      </c>
      <c r="S78" s="24" t="s">
        <v>709</v>
      </c>
      <c r="T78" s="538" t="s">
        <v>709</v>
      </c>
      <c r="U78" s="87" t="s">
        <v>709</v>
      </c>
      <c r="V78" s="440">
        <v>125</v>
      </c>
      <c r="W78" s="440">
        <v>1</v>
      </c>
      <c r="X78" s="29">
        <v>210299.3</v>
      </c>
      <c r="Y78" s="592"/>
      <c r="Z78" s="551">
        <v>38386.78</v>
      </c>
      <c r="AA78" s="87">
        <f>Table157[[#This Row],[PCTS Investment Amount]]+Table157[[#This Row],[PCTS Retirement Amount]]</f>
        <v>248686.07999999999</v>
      </c>
      <c r="AB78" s="208"/>
      <c r="AC78" s="108" t="s">
        <v>1056</v>
      </c>
      <c r="AD78" s="109"/>
      <c r="AE78" s="349"/>
      <c r="AF78" s="579"/>
      <c r="AG78" s="579"/>
      <c r="AH78" s="354"/>
      <c r="AI78" s="341"/>
      <c r="AJ78" s="183"/>
      <c r="AK78" s="183"/>
      <c r="AL78" s="494">
        <f>SUM(Table157[[#This Row],[Nicor Initiated DBE]:[Staffing]])/(Table157[[#This Row],[Amount Invoiced]])</f>
        <v>0</v>
      </c>
      <c r="AM78" s="21" t="s">
        <v>116</v>
      </c>
      <c r="AN78" s="680" t="s">
        <v>709</v>
      </c>
      <c r="AO78" s="681">
        <v>11042140</v>
      </c>
      <c r="AP78" s="572"/>
      <c r="AQ78" s="572"/>
      <c r="AR78" s="572"/>
      <c r="AS78" s="538">
        <f>IF(Table157[[#This Row],[PCTS Approved]]="N",0,Table157[[#This Row],[Investment Amount (1'#'#'#'#'#)]]+Table157[[#This Row],[Retirement Amount (3'#'#'#'#'#)]])</f>
        <v>0</v>
      </c>
      <c r="AT78" s="538">
        <f>IF(Table157[[#This Row],[Approved Construction Cost]]=0,0,Table157[[#This Row],[Approved Construction Cost]]-Table157[[#This Row],[Construction Cost to Bill From]])</f>
        <v>0</v>
      </c>
      <c r="AU78" s="538">
        <f>IFERROR(Table157[[#This Row],[Difference in Construction Cost]]*Table157[[#This Row],[Rate]],Table157[[#This Row],[Difference in Construction Cost]]*0.085)</f>
        <v>0</v>
      </c>
      <c r="AV78" s="572"/>
      <c r="AW78" s="572"/>
      <c r="AX78" s="538"/>
      <c r="AY78" s="636" t="s">
        <v>709</v>
      </c>
      <c r="AZ78" s="443">
        <v>168</v>
      </c>
      <c r="BA78" s="334" t="s">
        <v>2</v>
      </c>
      <c r="BB78" s="652" t="s">
        <v>1250</v>
      </c>
      <c r="BC78" s="644" t="s">
        <v>1251</v>
      </c>
      <c r="BD78" s="478" t="s">
        <v>709</v>
      </c>
      <c r="BE78" s="544" t="s">
        <v>709</v>
      </c>
      <c r="BF78" s="544" t="s">
        <v>1252</v>
      </c>
      <c r="BG78" s="544" t="s">
        <v>1252</v>
      </c>
      <c r="BH78" s="512" t="s">
        <v>709</v>
      </c>
      <c r="BI78" s="645"/>
      <c r="BJ78" s="511" t="s">
        <v>709</v>
      </c>
      <c r="BK78" s="546" t="s">
        <v>116</v>
      </c>
      <c r="BL78" s="546" t="s">
        <v>709</v>
      </c>
      <c r="BM78" s="546" t="s">
        <v>116</v>
      </c>
      <c r="BN78" s="546" t="s">
        <v>709</v>
      </c>
      <c r="BO78" s="546" t="s">
        <v>709</v>
      </c>
      <c r="BP78" s="546" t="s">
        <v>709</v>
      </c>
      <c r="BQ78" s="546" t="s">
        <v>709</v>
      </c>
      <c r="BR78" s="546" t="s">
        <v>709</v>
      </c>
      <c r="BS78" s="546" t="s">
        <v>709</v>
      </c>
      <c r="BT78" s="546">
        <v>125</v>
      </c>
      <c r="BU78" s="546" t="s">
        <v>745</v>
      </c>
      <c r="BV78" s="546">
        <v>1</v>
      </c>
      <c r="BW78" s="546" t="s">
        <v>745</v>
      </c>
      <c r="BX78" s="546" t="s">
        <v>709</v>
      </c>
      <c r="BY78" s="546">
        <v>1</v>
      </c>
      <c r="BZ78" s="546" t="s">
        <v>745</v>
      </c>
      <c r="CA78" s="506"/>
    </row>
    <row r="79" spans="1:79" ht="15" hidden="1" customHeight="1" x14ac:dyDescent="0.25">
      <c r="A79" s="8" t="s">
        <v>781</v>
      </c>
      <c r="B79" s="8" t="s">
        <v>4</v>
      </c>
      <c r="C79" s="8" t="s">
        <v>1253</v>
      </c>
      <c r="D79" s="8" t="s">
        <v>1254</v>
      </c>
      <c r="E79" s="8" t="s">
        <v>1255</v>
      </c>
      <c r="F79" s="8" t="s">
        <v>738</v>
      </c>
      <c r="G79" s="8" t="s">
        <v>37</v>
      </c>
      <c r="H79" s="8" t="s">
        <v>59</v>
      </c>
      <c r="I79" s="642">
        <v>44631</v>
      </c>
      <c r="J79" s="18">
        <v>44694</v>
      </c>
      <c r="K79" s="18">
        <v>44690</v>
      </c>
      <c r="L79" s="16">
        <f>IF(ISTEXT(Table157[[#This Row],[Engineering Approved Design Date]]),Table157[[#This Row],[Date Completed]]-Table157[[#This Row],[Date Assigned to Designer]],Table157[[#This Row],[Engineering Approved Design Date]]-Table157[[#This Row],[Date Completed]])</f>
        <v>4</v>
      </c>
      <c r="M79" s="642"/>
      <c r="N79" s="642" t="s">
        <v>120</v>
      </c>
      <c r="O79" s="534">
        <f>Table157[[#This Row],[Date Completed]]</f>
        <v>44690</v>
      </c>
      <c r="P79" s="68" t="s">
        <v>739</v>
      </c>
      <c r="Q79" s="436">
        <f>R79*AA79</f>
        <v>34712.473000000005</v>
      </c>
      <c r="R79" s="75">
        <v>0.1</v>
      </c>
      <c r="S79" s="24" t="s">
        <v>709</v>
      </c>
      <c r="T79" s="538" t="s">
        <v>709</v>
      </c>
      <c r="U79" s="87" t="s">
        <v>709</v>
      </c>
      <c r="V79" s="440">
        <v>1282</v>
      </c>
      <c r="W79" s="440"/>
      <c r="X79" s="29">
        <v>308709.96000000002</v>
      </c>
      <c r="Y79" s="592"/>
      <c r="Z79" s="551">
        <v>38414.769999999997</v>
      </c>
      <c r="AA79" s="87">
        <f>Table157[[#This Row],[PCTS Investment Amount]]+Table157[[#This Row],[PCTS Retirement Amount]]</f>
        <v>347124.73000000004</v>
      </c>
      <c r="AB79" s="208"/>
      <c r="AC79" s="109" t="s">
        <v>709</v>
      </c>
      <c r="AD79" s="109"/>
      <c r="AE79" s="349"/>
      <c r="AF79" s="579"/>
      <c r="AG79" s="579"/>
      <c r="AH79" s="354"/>
      <c r="AI79" s="489"/>
      <c r="AJ79" s="553"/>
      <c r="AK79" s="553"/>
      <c r="AL79" s="495">
        <f>SUM(Table157[[#This Row],[Nicor Initiated DBE]:[Staffing]])/(Table157[[#This Row],[Amount Invoiced]])</f>
        <v>0</v>
      </c>
      <c r="AM79" s="21" t="s">
        <v>116</v>
      </c>
      <c r="AN79" s="680" t="s">
        <v>709</v>
      </c>
      <c r="AO79" s="601" t="s">
        <v>115</v>
      </c>
      <c r="AP79" s="572"/>
      <c r="AQ79" s="572"/>
      <c r="AR79" s="572"/>
      <c r="AS79" s="538">
        <f>IF(Table157[[#This Row],[PCTS Approved]]="N",0,Table157[[#This Row],[Investment Amount (1'#'#'#'#'#)]]+Table157[[#This Row],[Retirement Amount (3'#'#'#'#'#)]])</f>
        <v>0</v>
      </c>
      <c r="AT79" s="538">
        <f>IF(Table157[[#This Row],[Approved Construction Cost]]=0,0,Table157[[#This Row],[Approved Construction Cost]]-Table157[[#This Row],[Construction Cost to Bill From]])</f>
        <v>0</v>
      </c>
      <c r="AU79" s="538">
        <f>IFERROR(Table157[[#This Row],[Difference in Construction Cost]]*Table157[[#This Row],[Rate]],Table157[[#This Row],[Difference in Construction Cost]]*0.085)</f>
        <v>0</v>
      </c>
      <c r="AV79" s="572"/>
      <c r="AW79" s="639"/>
      <c r="AX79" s="538"/>
      <c r="AY79" s="636" t="s">
        <v>709</v>
      </c>
      <c r="AZ79" s="443">
        <v>66</v>
      </c>
      <c r="BA79" s="334" t="s">
        <v>4</v>
      </c>
      <c r="BB79" s="652" t="s">
        <v>1256</v>
      </c>
      <c r="BC79" s="644" t="s">
        <v>1257</v>
      </c>
      <c r="BD79" s="478" t="s">
        <v>116</v>
      </c>
      <c r="BE79" s="544" t="s">
        <v>709</v>
      </c>
      <c r="BF79" s="544" t="s">
        <v>1258</v>
      </c>
      <c r="BG79" s="544" t="s">
        <v>709</v>
      </c>
      <c r="BH79" s="512" t="s">
        <v>709</v>
      </c>
      <c r="BI79" s="545"/>
      <c r="BJ79" s="511" t="s">
        <v>709</v>
      </c>
      <c r="BK79" s="546" t="s">
        <v>709</v>
      </c>
      <c r="BL79" s="546" t="s">
        <v>709</v>
      </c>
      <c r="BM79" s="546" t="s">
        <v>116</v>
      </c>
      <c r="BN79" s="546" t="s">
        <v>709</v>
      </c>
      <c r="BO79" s="546" t="s">
        <v>709</v>
      </c>
      <c r="BP79" s="546" t="s">
        <v>709</v>
      </c>
      <c r="BQ79" s="546" t="s">
        <v>709</v>
      </c>
      <c r="BR79" s="546" t="s">
        <v>709</v>
      </c>
      <c r="BS79" s="546">
        <v>1070</v>
      </c>
      <c r="BT79" s="546">
        <v>212</v>
      </c>
      <c r="BU79" s="546" t="s">
        <v>745</v>
      </c>
      <c r="BV79" s="546" t="s">
        <v>709</v>
      </c>
      <c r="BW79" s="546" t="s">
        <v>745</v>
      </c>
      <c r="BX79" s="546" t="s">
        <v>709</v>
      </c>
      <c r="BY79" s="546" t="s">
        <v>745</v>
      </c>
      <c r="BZ79" s="546" t="s">
        <v>745</v>
      </c>
      <c r="CA79" s="506"/>
    </row>
    <row r="80" spans="1:79" ht="15" hidden="1" customHeight="1" x14ac:dyDescent="0.25">
      <c r="A80" s="8" t="s">
        <v>781</v>
      </c>
      <c r="B80" s="8" t="s">
        <v>759</v>
      </c>
      <c r="C80" s="661" t="s">
        <v>1259</v>
      </c>
      <c r="D80" s="8" t="s">
        <v>1260</v>
      </c>
      <c r="E80" s="8" t="s">
        <v>1261</v>
      </c>
      <c r="F80" s="8" t="s">
        <v>752</v>
      </c>
      <c r="G80" s="8" t="s">
        <v>27</v>
      </c>
      <c r="H80" s="8" t="s">
        <v>59</v>
      </c>
      <c r="I80" s="642">
        <v>44582</v>
      </c>
      <c r="J80" s="450">
        <v>44694</v>
      </c>
      <c r="K80" s="18">
        <v>44691</v>
      </c>
      <c r="L80" s="16">
        <f>IF(ISTEXT(Table157[[#This Row],[Engineering Approved Design Date]]),Table157[[#This Row],[Date Completed]]-Table157[[#This Row],[Date Assigned to Designer]],Table157[[#This Row],[Engineering Approved Design Date]]-Table157[[#This Row],[Date Completed]])</f>
        <v>3</v>
      </c>
      <c r="M80" s="642"/>
      <c r="N80" s="642" t="s">
        <v>120</v>
      </c>
      <c r="O80" s="534">
        <f>Table157[[#This Row],[Date Completed]]</f>
        <v>44691</v>
      </c>
      <c r="P80" s="68" t="s">
        <v>120</v>
      </c>
      <c r="Q80" s="375">
        <f>(Table157[[#This Row],[Construction Cost to Bill From]]*0.085)+5250</f>
        <v>58634.540699999998</v>
      </c>
      <c r="R80" s="75" t="s">
        <v>1055</v>
      </c>
      <c r="S80" s="24" t="s">
        <v>709</v>
      </c>
      <c r="T80" s="538" t="s">
        <v>709</v>
      </c>
      <c r="U80" s="87" t="s">
        <v>709</v>
      </c>
      <c r="V80" s="440">
        <v>662</v>
      </c>
      <c r="W80" s="440">
        <v>1</v>
      </c>
      <c r="X80" s="29">
        <v>544357.96</v>
      </c>
      <c r="Y80" s="592"/>
      <c r="Z80" s="551">
        <v>83695.460000000006</v>
      </c>
      <c r="AA80" s="87">
        <f>Table157[[#This Row],[PCTS Investment Amount]]+Table157[[#This Row],[PCTS Retirement Amount]]</f>
        <v>628053.41999999993</v>
      </c>
      <c r="AB80" s="208"/>
      <c r="AC80" s="109" t="s">
        <v>1056</v>
      </c>
      <c r="AD80" s="109"/>
      <c r="AE80" s="349"/>
      <c r="AF80" s="579"/>
      <c r="AG80" s="579"/>
      <c r="AH80" s="354"/>
      <c r="AI80" s="341"/>
      <c r="AJ80" s="183"/>
      <c r="AK80" s="183"/>
      <c r="AL80" s="494">
        <f>SUM(Table157[[#This Row],[Nicor Initiated DBE]:[Staffing]])/(Table157[[#This Row],[Amount Invoiced]])</f>
        <v>0</v>
      </c>
      <c r="AM80" s="21" t="s">
        <v>116</v>
      </c>
      <c r="AN80" s="680" t="s">
        <v>709</v>
      </c>
      <c r="AO80" s="681">
        <v>11039510</v>
      </c>
      <c r="AP80" s="572"/>
      <c r="AQ80" s="572"/>
      <c r="AR80" s="572"/>
      <c r="AS80" s="538">
        <f>IF(Table157[[#This Row],[PCTS Approved]]="N",0,Table157[[#This Row],[Investment Amount (1'#'#'#'#'#)]]+Table157[[#This Row],[Retirement Amount (3'#'#'#'#'#)]])</f>
        <v>0</v>
      </c>
      <c r="AT80" s="538">
        <f>IF(Table157[[#This Row],[Approved Construction Cost]]=0,0,Table157[[#This Row],[Approved Construction Cost]]-Table157[[#This Row],[Construction Cost to Bill From]])</f>
        <v>0</v>
      </c>
      <c r="AU80" s="538">
        <f>IFERROR(Table157[[#This Row],[Difference in Construction Cost]]*Table157[[#This Row],[Rate]],Table157[[#This Row],[Difference in Construction Cost]]*0.085)</f>
        <v>0</v>
      </c>
      <c r="AV80" s="572"/>
      <c r="AW80" s="572"/>
      <c r="AX80" s="538"/>
      <c r="AY80" s="636" t="s">
        <v>709</v>
      </c>
      <c r="AZ80" s="443">
        <v>183</v>
      </c>
      <c r="BA80" s="334" t="s">
        <v>2</v>
      </c>
      <c r="BB80" s="652" t="s">
        <v>1262</v>
      </c>
      <c r="BC80" s="644" t="s">
        <v>1263</v>
      </c>
      <c r="BD80" s="478" t="s">
        <v>709</v>
      </c>
      <c r="BE80" s="544" t="s">
        <v>1066</v>
      </c>
      <c r="BF80" s="544" t="s">
        <v>709</v>
      </c>
      <c r="BG80" s="544" t="s">
        <v>709</v>
      </c>
      <c r="BH80" s="512" t="s">
        <v>709</v>
      </c>
      <c r="BI80" s="645"/>
      <c r="BJ80" s="511" t="s">
        <v>709</v>
      </c>
      <c r="BK80" s="546" t="s">
        <v>709</v>
      </c>
      <c r="BL80" s="546" t="s">
        <v>116</v>
      </c>
      <c r="BM80" s="546" t="s">
        <v>116</v>
      </c>
      <c r="BN80" s="546" t="s">
        <v>709</v>
      </c>
      <c r="BO80" s="546">
        <v>104</v>
      </c>
      <c r="BP80" s="546" t="s">
        <v>709</v>
      </c>
      <c r="BQ80" s="546">
        <v>141</v>
      </c>
      <c r="BR80" s="546">
        <v>276</v>
      </c>
      <c r="BS80" s="546">
        <v>45</v>
      </c>
      <c r="BT80" s="546">
        <v>5</v>
      </c>
      <c r="BU80" s="546">
        <v>1</v>
      </c>
      <c r="BV80" s="546" t="s">
        <v>709</v>
      </c>
      <c r="BW80" s="546" t="s">
        <v>745</v>
      </c>
      <c r="BX80" s="546">
        <v>1</v>
      </c>
      <c r="BY80" s="546">
        <v>1</v>
      </c>
      <c r="BZ80" s="546" t="s">
        <v>745</v>
      </c>
      <c r="CA80" s="506"/>
    </row>
    <row r="81" spans="1:79" ht="15" hidden="1" customHeight="1" x14ac:dyDescent="0.25">
      <c r="A81" s="8" t="s">
        <v>781</v>
      </c>
      <c r="B81" s="8" t="s">
        <v>730</v>
      </c>
      <c r="C81" s="8" t="s">
        <v>457</v>
      </c>
      <c r="D81" s="8" t="s">
        <v>1264</v>
      </c>
      <c r="E81" s="8" t="s">
        <v>1265</v>
      </c>
      <c r="F81" s="8" t="s">
        <v>752</v>
      </c>
      <c r="G81" s="8" t="s">
        <v>34</v>
      </c>
      <c r="H81" s="8" t="s">
        <v>59</v>
      </c>
      <c r="I81" s="642">
        <v>44607</v>
      </c>
      <c r="J81" s="18">
        <v>44693</v>
      </c>
      <c r="K81" s="18">
        <v>44692</v>
      </c>
      <c r="L81" s="16">
        <f>IF(ISTEXT(Table157[[#This Row],[Engineering Approved Design Date]]),Table157[[#This Row],[Date Completed]]-Table157[[#This Row],[Date Assigned to Designer]],Table157[[#This Row],[Engineering Approved Design Date]]-Table157[[#This Row],[Date Completed]])</f>
        <v>1</v>
      </c>
      <c r="M81" s="642"/>
      <c r="N81" s="642" t="s">
        <v>120</v>
      </c>
      <c r="O81" s="534">
        <f>Table157[[#This Row],[Date Completed]]</f>
        <v>44692</v>
      </c>
      <c r="P81" s="68" t="s">
        <v>739</v>
      </c>
      <c r="Q81" s="436">
        <f>(Table157[[#This Row],[Construction Cost to Bill From]]*0.085)+5250</f>
        <v>12895.919150000002</v>
      </c>
      <c r="R81" s="75" t="s">
        <v>794</v>
      </c>
      <c r="S81" s="24" t="s">
        <v>709</v>
      </c>
      <c r="T81" s="538" t="s">
        <v>709</v>
      </c>
      <c r="U81" s="87" t="s">
        <v>709</v>
      </c>
      <c r="V81" s="440">
        <v>60</v>
      </c>
      <c r="W81" s="467"/>
      <c r="X81" s="29">
        <v>76483.740000000005</v>
      </c>
      <c r="Y81" s="592"/>
      <c r="Z81" s="551">
        <v>13468.25</v>
      </c>
      <c r="AA81" s="87">
        <f>Table157[[#This Row],[PCTS Investment Amount]]+Table157[[#This Row],[PCTS Retirement Amount]]</f>
        <v>89951.99</v>
      </c>
      <c r="AB81" s="208"/>
      <c r="AC81" s="108" t="s">
        <v>116</v>
      </c>
      <c r="AD81" s="108" t="s">
        <v>29</v>
      </c>
      <c r="AE81" s="349"/>
      <c r="AF81" s="579"/>
      <c r="AG81" s="579"/>
      <c r="AH81" s="354"/>
      <c r="AI81" s="341"/>
      <c r="AJ81" s="183"/>
      <c r="AK81" s="183"/>
      <c r="AL81" s="494">
        <f>SUM(Table157[[#This Row],[Nicor Initiated DBE]:[Staffing]])/(Table157[[#This Row],[Amount Invoiced]])</f>
        <v>0</v>
      </c>
      <c r="AM81" s="21" t="s">
        <v>116</v>
      </c>
      <c r="AN81" s="680" t="s">
        <v>709</v>
      </c>
      <c r="AO81" s="601">
        <v>11058433</v>
      </c>
      <c r="AP81" s="572"/>
      <c r="AQ81" s="572"/>
      <c r="AR81" s="572"/>
      <c r="AS81" s="538">
        <f>IF(Table157[[#This Row],[PCTS Approved]]="N",0,Table157[[#This Row],[Investment Amount (1'#'#'#'#'#)]]+Table157[[#This Row],[Retirement Amount (3'#'#'#'#'#)]])</f>
        <v>0</v>
      </c>
      <c r="AT81" s="538">
        <f>IF(Table157[[#This Row],[Approved Construction Cost]]=0,0,Table157[[#This Row],[Approved Construction Cost]]-Table157[[#This Row],[Construction Cost to Bill From]])</f>
        <v>0</v>
      </c>
      <c r="AU81" s="538">
        <f>IFERROR(Table157[[#This Row],[Difference in Construction Cost]]*Table157[[#This Row],[Rate]],Table157[[#This Row],[Difference in Construction Cost]]*0.085)</f>
        <v>0</v>
      </c>
      <c r="AV81" s="572"/>
      <c r="AW81" s="639"/>
      <c r="AX81" s="538"/>
      <c r="AY81" s="636" t="s">
        <v>709</v>
      </c>
      <c r="AZ81" s="443">
        <v>169</v>
      </c>
      <c r="BA81" s="334" t="s">
        <v>2</v>
      </c>
      <c r="BB81" s="652" t="s">
        <v>1266</v>
      </c>
      <c r="BC81" s="644" t="s">
        <v>1267</v>
      </c>
      <c r="BD81" s="478" t="s">
        <v>709</v>
      </c>
      <c r="BE81" s="544" t="s">
        <v>709</v>
      </c>
      <c r="BF81" s="544" t="s">
        <v>709</v>
      </c>
      <c r="BG81" s="544" t="s">
        <v>1268</v>
      </c>
      <c r="BH81" s="512" t="s">
        <v>709</v>
      </c>
      <c r="BI81" s="645"/>
      <c r="BJ81" s="511" t="s">
        <v>116</v>
      </c>
      <c r="BK81" s="546" t="s">
        <v>709</v>
      </c>
      <c r="BL81" s="546" t="s">
        <v>709</v>
      </c>
      <c r="BM81" s="546" t="s">
        <v>709</v>
      </c>
      <c r="BN81" s="546" t="s">
        <v>709</v>
      </c>
      <c r="BO81" s="546" t="s">
        <v>709</v>
      </c>
      <c r="BP81" s="546" t="s">
        <v>709</v>
      </c>
      <c r="BQ81" s="546" t="s">
        <v>709</v>
      </c>
      <c r="BR81" s="546" t="s">
        <v>709</v>
      </c>
      <c r="BS81" s="546" t="s">
        <v>709</v>
      </c>
      <c r="BT81" s="546">
        <v>60</v>
      </c>
      <c r="BU81" s="546" t="s">
        <v>745</v>
      </c>
      <c r="BV81" s="546" t="s">
        <v>709</v>
      </c>
      <c r="BW81" s="546" t="s">
        <v>745</v>
      </c>
      <c r="BX81" s="546" t="s">
        <v>709</v>
      </c>
      <c r="BY81" s="546">
        <v>1</v>
      </c>
      <c r="BZ81" s="546" t="s">
        <v>745</v>
      </c>
      <c r="CA81" s="506"/>
    </row>
    <row r="82" spans="1:79" ht="15" hidden="1" customHeight="1" x14ac:dyDescent="0.25">
      <c r="A82" s="8" t="s">
        <v>1269</v>
      </c>
      <c r="B82" s="8" t="s">
        <v>759</v>
      </c>
      <c r="C82" s="8" t="s">
        <v>224</v>
      </c>
      <c r="D82" s="8" t="s">
        <v>1270</v>
      </c>
      <c r="E82" s="8" t="s">
        <v>225</v>
      </c>
      <c r="F82" s="8" t="s">
        <v>738</v>
      </c>
      <c r="G82" s="8" t="s">
        <v>34</v>
      </c>
      <c r="H82" s="8" t="s">
        <v>59</v>
      </c>
      <c r="I82" s="18">
        <v>44425</v>
      </c>
      <c r="J82" s="450">
        <v>44712</v>
      </c>
      <c r="K82" s="18">
        <v>44694</v>
      </c>
      <c r="L82" s="16">
        <f>IF(ISTEXT(Table157[[#This Row],[Engineering Approved Design Date]]),Table157[[#This Row],[Date Completed]]-Table157[[#This Row],[Date Assigned to Designer]],Table157[[#This Row],[Engineering Approved Design Date]]-Table157[[#This Row],[Date Completed]])</f>
        <v>18</v>
      </c>
      <c r="M82" s="642"/>
      <c r="N82" s="642" t="s">
        <v>120</v>
      </c>
      <c r="O82" s="534">
        <f>Table157[[#This Row],[Date Completed]]</f>
        <v>44694</v>
      </c>
      <c r="P82" s="68" t="s">
        <v>120</v>
      </c>
      <c r="Q82" s="436">
        <f>(Table157[[#This Row],[Construction Cost to Bill From]]*0.085)+5250</f>
        <v>94710.559450000001</v>
      </c>
      <c r="R82" s="75" t="s">
        <v>1055</v>
      </c>
      <c r="S82" s="24" t="s">
        <v>709</v>
      </c>
      <c r="T82" s="538" t="s">
        <v>709</v>
      </c>
      <c r="U82" s="87" t="s">
        <v>709</v>
      </c>
      <c r="V82" s="440">
        <v>940</v>
      </c>
      <c r="W82" s="440">
        <v>514</v>
      </c>
      <c r="X82" s="29">
        <v>979255.57</v>
      </c>
      <c r="Y82" s="592"/>
      <c r="Z82" s="551">
        <v>73221.600000000006</v>
      </c>
      <c r="AA82" s="87">
        <f>Table157[[#This Row],[PCTS Investment Amount]]+Table157[[#This Row],[PCTS Retirement Amount]]</f>
        <v>1052477.17</v>
      </c>
      <c r="AB82" s="207"/>
      <c r="AC82" s="108" t="s">
        <v>116</v>
      </c>
      <c r="AD82" s="108"/>
      <c r="AE82" s="349"/>
      <c r="AF82" s="579"/>
      <c r="AG82" s="579"/>
      <c r="AH82" s="354"/>
      <c r="AI82" s="341"/>
      <c r="AJ82" s="183"/>
      <c r="AK82" s="183"/>
      <c r="AL82" s="494">
        <f>SUM(Table157[[#This Row],[Nicor Initiated DBE]:[Staffing]])/(Table157[[#This Row],[Amount Invoiced]])</f>
        <v>0</v>
      </c>
      <c r="AM82" s="21" t="s">
        <v>116</v>
      </c>
      <c r="AN82" s="680" t="s">
        <v>709</v>
      </c>
      <c r="AO82" s="601">
        <v>11015976</v>
      </c>
      <c r="AP82" s="572"/>
      <c r="AQ82" s="572"/>
      <c r="AR82" s="572"/>
      <c r="AS82" s="538">
        <f>IF(Table157[[#This Row],[PCTS Approved]]="N",0,Table157[[#This Row],[Investment Amount (1'#'#'#'#'#)]]+Table157[[#This Row],[Retirement Amount (3'#'#'#'#'#)]])</f>
        <v>0</v>
      </c>
      <c r="AT82" s="538">
        <f>IF(Table157[[#This Row],[Approved Construction Cost]]=0,0,Table157[[#This Row],[Approved Construction Cost]]-Table157[[#This Row],[Construction Cost to Bill From]])</f>
        <v>0</v>
      </c>
      <c r="AU82" s="538">
        <f>IFERROR(Table157[[#This Row],[Difference in Construction Cost]]*Table157[[#This Row],[Rate]],Table157[[#This Row],[Difference in Construction Cost]]*0.085)</f>
        <v>0</v>
      </c>
      <c r="AV82" s="572"/>
      <c r="AW82" s="639"/>
      <c r="AX82" s="538"/>
      <c r="AY82" s="636" t="s">
        <v>709</v>
      </c>
      <c r="AZ82" s="443">
        <v>184</v>
      </c>
      <c r="BA82" s="334" t="s">
        <v>2</v>
      </c>
      <c r="BB82" s="652" t="s">
        <v>1271</v>
      </c>
      <c r="BC82" s="644" t="s">
        <v>1272</v>
      </c>
      <c r="BD82" s="478"/>
      <c r="BE82" s="544"/>
      <c r="BF82" s="544"/>
      <c r="BG82" s="544"/>
      <c r="BH82" s="512"/>
      <c r="BI82" s="645" t="s">
        <v>1273</v>
      </c>
      <c r="BJ82" s="511" t="s">
        <v>709</v>
      </c>
      <c r="BK82" s="546" t="s">
        <v>709</v>
      </c>
      <c r="BL82" s="546" t="s">
        <v>116</v>
      </c>
      <c r="BM82" s="546" t="s">
        <v>116</v>
      </c>
      <c r="BN82" s="546" t="s">
        <v>709</v>
      </c>
      <c r="BO82" s="546" t="s">
        <v>709</v>
      </c>
      <c r="BP82" s="546" t="s">
        <v>709</v>
      </c>
      <c r="BQ82" s="546">
        <v>724</v>
      </c>
      <c r="BR82" s="546">
        <v>70</v>
      </c>
      <c r="BS82" s="546">
        <v>45</v>
      </c>
      <c r="BT82" s="546">
        <v>10</v>
      </c>
      <c r="BU82" s="546">
        <v>1</v>
      </c>
      <c r="BV82" s="546" t="s">
        <v>709</v>
      </c>
      <c r="BW82" s="546" t="s">
        <v>745</v>
      </c>
      <c r="BX82" s="546">
        <v>1</v>
      </c>
      <c r="BY82" s="546" t="s">
        <v>709</v>
      </c>
      <c r="BZ82" s="546" t="s">
        <v>745</v>
      </c>
      <c r="CA82" s="506" t="s">
        <v>769</v>
      </c>
    </row>
    <row r="83" spans="1:79" ht="15" hidden="1" customHeight="1" x14ac:dyDescent="0.25">
      <c r="A83" s="8">
        <v>2022</v>
      </c>
      <c r="B83" s="8" t="s">
        <v>730</v>
      </c>
      <c r="C83" s="8" t="s">
        <v>1274</v>
      </c>
      <c r="D83" s="8" t="s">
        <v>1275</v>
      </c>
      <c r="E83" s="8" t="s">
        <v>1276</v>
      </c>
      <c r="F83" s="8" t="s">
        <v>747</v>
      </c>
      <c r="G83" s="8" t="s">
        <v>34</v>
      </c>
      <c r="H83" s="8" t="s">
        <v>59</v>
      </c>
      <c r="I83" s="642">
        <v>44418</v>
      </c>
      <c r="J83" s="18">
        <v>44712</v>
      </c>
      <c r="K83" s="18">
        <v>44704</v>
      </c>
      <c r="L83" s="16">
        <f>IF(ISTEXT(Table157[[#This Row],[Engineering Approved Design Date]]),Table157[[#This Row],[Date Completed]]-Table157[[#This Row],[Date Assigned to Designer]],Table157[[#This Row],[Engineering Approved Design Date]]-Table157[[#This Row],[Date Completed]])</f>
        <v>8</v>
      </c>
      <c r="M83" s="642"/>
      <c r="N83" s="642" t="s">
        <v>120</v>
      </c>
      <c r="O83" s="534">
        <f>Table157[[#This Row],[Date Completed]]</f>
        <v>44704</v>
      </c>
      <c r="P83" s="68" t="s">
        <v>120</v>
      </c>
      <c r="Q83" s="436">
        <f>(Table157[[#This Row],[Construction Cost to Bill From]]*0.085)+(5250*2)</f>
        <v>42952.833400000003</v>
      </c>
      <c r="R83" s="75" t="s">
        <v>794</v>
      </c>
      <c r="S83" s="24" t="s">
        <v>709</v>
      </c>
      <c r="T83" s="538" t="s">
        <v>709</v>
      </c>
      <c r="U83" s="87" t="s">
        <v>709</v>
      </c>
      <c r="V83" s="440">
        <v>230</v>
      </c>
      <c r="W83" s="467"/>
      <c r="X83" s="29">
        <v>327874.32</v>
      </c>
      <c r="Y83" s="592"/>
      <c r="Z83" s="551">
        <v>53923.72</v>
      </c>
      <c r="AA83" s="87">
        <f>Table157[[#This Row],[PCTS Investment Amount]]+Table157[[#This Row],[PCTS Retirement Amount]]</f>
        <v>381798.04000000004</v>
      </c>
      <c r="AB83" s="208"/>
      <c r="AC83" s="108" t="s">
        <v>811</v>
      </c>
      <c r="AD83" s="108" t="s">
        <v>29</v>
      </c>
      <c r="AE83" s="349"/>
      <c r="AF83" s="579"/>
      <c r="AG83" s="579"/>
      <c r="AH83" s="354"/>
      <c r="AI83" s="341"/>
      <c r="AJ83" s="183"/>
      <c r="AK83" s="183"/>
      <c r="AL83" s="494">
        <f>SUM(Table157[[#This Row],[Nicor Initiated DBE]:[Staffing]])/(Table157[[#This Row],[Amount Invoiced]])</f>
        <v>0</v>
      </c>
      <c r="AM83" s="21" t="s">
        <v>116</v>
      </c>
      <c r="AN83" s="680" t="s">
        <v>709</v>
      </c>
      <c r="AO83" s="601">
        <v>11038167</v>
      </c>
      <c r="AP83" s="572"/>
      <c r="AQ83" s="572"/>
      <c r="AR83" s="572"/>
      <c r="AS83" s="538">
        <f>IF(Table157[[#This Row],[PCTS Approved]]="N",0,Table157[[#This Row],[Investment Amount (1'#'#'#'#'#)]]+Table157[[#This Row],[Retirement Amount (3'#'#'#'#'#)]])</f>
        <v>0</v>
      </c>
      <c r="AT83" s="538">
        <f>IF(Table157[[#This Row],[Approved Construction Cost]]=0,0,Table157[[#This Row],[Approved Construction Cost]]-Table157[[#This Row],[Construction Cost to Bill From]])</f>
        <v>0</v>
      </c>
      <c r="AU83" s="538">
        <f>IFERROR(Table157[[#This Row],[Difference in Construction Cost]]*Table157[[#This Row],[Rate]],Table157[[#This Row],[Difference in Construction Cost]]*0.085)</f>
        <v>0</v>
      </c>
      <c r="AV83" s="572"/>
      <c r="AW83" s="639"/>
      <c r="AX83" s="538"/>
      <c r="AY83" s="636" t="s">
        <v>709</v>
      </c>
      <c r="AZ83" s="443">
        <v>170</v>
      </c>
      <c r="BA83" s="334" t="s">
        <v>2</v>
      </c>
      <c r="BB83" s="652" t="s">
        <v>1277</v>
      </c>
      <c r="BC83" s="644" t="s">
        <v>1226</v>
      </c>
      <c r="BD83" s="478" t="s">
        <v>116</v>
      </c>
      <c r="BE83" s="544" t="s">
        <v>709</v>
      </c>
      <c r="BF83" s="544" t="s">
        <v>709</v>
      </c>
      <c r="BG83" s="544" t="s">
        <v>709</v>
      </c>
      <c r="BH83" s="512" t="s">
        <v>709</v>
      </c>
      <c r="BI83" s="645"/>
      <c r="BJ83" s="511" t="s">
        <v>116</v>
      </c>
      <c r="BK83" s="546" t="s">
        <v>709</v>
      </c>
      <c r="BL83" s="546" t="s">
        <v>116</v>
      </c>
      <c r="BM83" s="546" t="s">
        <v>116</v>
      </c>
      <c r="BN83" s="546" t="s">
        <v>709</v>
      </c>
      <c r="BO83" s="546" t="s">
        <v>709</v>
      </c>
      <c r="BP83" s="546" t="s">
        <v>709</v>
      </c>
      <c r="BQ83" s="546" t="s">
        <v>709</v>
      </c>
      <c r="BR83" s="546" t="s">
        <v>709</v>
      </c>
      <c r="BS83" s="546">
        <v>26</v>
      </c>
      <c r="BT83" s="546">
        <v>204</v>
      </c>
      <c r="BU83" s="546" t="s">
        <v>745</v>
      </c>
      <c r="BV83" s="546">
        <v>2</v>
      </c>
      <c r="BW83" s="546" t="s">
        <v>745</v>
      </c>
      <c r="BX83" s="546" t="s">
        <v>709</v>
      </c>
      <c r="BY83" s="546">
        <v>1</v>
      </c>
      <c r="BZ83" s="546" t="s">
        <v>745</v>
      </c>
      <c r="CA83" s="506"/>
    </row>
    <row r="84" spans="1:79" ht="15" hidden="1" customHeight="1" x14ac:dyDescent="0.25">
      <c r="A84" s="8">
        <v>2022</v>
      </c>
      <c r="B84" s="8" t="s">
        <v>4</v>
      </c>
      <c r="C84" s="8" t="s">
        <v>1278</v>
      </c>
      <c r="D84" s="8" t="s">
        <v>1279</v>
      </c>
      <c r="E84" s="8" t="s">
        <v>1280</v>
      </c>
      <c r="F84" s="8" t="s">
        <v>738</v>
      </c>
      <c r="G84" s="8" t="s">
        <v>35</v>
      </c>
      <c r="H84" s="8" t="s">
        <v>59</v>
      </c>
      <c r="I84" s="642">
        <v>44656</v>
      </c>
      <c r="J84" s="97">
        <v>44705</v>
      </c>
      <c r="K84" s="97">
        <v>44704</v>
      </c>
      <c r="L84" s="16">
        <f>IF(ISTEXT(Table157[[#This Row],[Engineering Approved Design Date]]),Table157[[#This Row],[Date Completed]]-Table157[[#This Row],[Date Assigned to Designer]],Table157[[#This Row],[Engineering Approved Design Date]]-Table157[[#This Row],[Date Completed]])</f>
        <v>1</v>
      </c>
      <c r="M84" s="642"/>
      <c r="N84" s="642" t="s">
        <v>120</v>
      </c>
      <c r="O84" s="534">
        <f>Table157[[#This Row],[Date Completed]]</f>
        <v>44704</v>
      </c>
      <c r="P84" s="68" t="s">
        <v>739</v>
      </c>
      <c r="Q84" s="375">
        <f>R84*AA84</f>
        <v>10622.783000000001</v>
      </c>
      <c r="R84" s="75">
        <v>0.1</v>
      </c>
      <c r="S84" s="24" t="s">
        <v>709</v>
      </c>
      <c r="T84" s="538" t="s">
        <v>709</v>
      </c>
      <c r="U84" s="87" t="s">
        <v>709</v>
      </c>
      <c r="V84" s="440">
        <v>81</v>
      </c>
      <c r="W84" s="440"/>
      <c r="X84" s="29">
        <v>92799.81</v>
      </c>
      <c r="Y84" s="592"/>
      <c r="Z84" s="551">
        <v>13428.02</v>
      </c>
      <c r="AA84" s="87">
        <f>Table157[[#This Row],[PCTS Investment Amount]]+Table157[[#This Row],[PCTS Retirement Amount]]</f>
        <v>106227.83</v>
      </c>
      <c r="AB84" s="208"/>
      <c r="AC84" s="109" t="s">
        <v>709</v>
      </c>
      <c r="AD84" s="108" t="s">
        <v>709</v>
      </c>
      <c r="AE84" s="349"/>
      <c r="AF84" s="579"/>
      <c r="AG84" s="579"/>
      <c r="AH84" s="354"/>
      <c r="AI84" s="489"/>
      <c r="AJ84" s="553"/>
      <c r="AK84" s="553"/>
      <c r="AL84" s="495">
        <f>SUM(Table157[[#This Row],[Nicor Initiated DBE]:[Staffing]])/(Table157[[#This Row],[Amount Invoiced]])</f>
        <v>0</v>
      </c>
      <c r="AM84" s="21" t="s">
        <v>116</v>
      </c>
      <c r="AN84" s="680" t="s">
        <v>709</v>
      </c>
      <c r="AO84" s="601" t="s">
        <v>115</v>
      </c>
      <c r="AP84" s="572"/>
      <c r="AQ84" s="572"/>
      <c r="AR84" s="572"/>
      <c r="AS84" s="538">
        <f>IF(Table157[[#This Row],[PCTS Approved]]="N",0,Table157[[#This Row],[Investment Amount (1'#'#'#'#'#)]]+Table157[[#This Row],[Retirement Amount (3'#'#'#'#'#)]])</f>
        <v>0</v>
      </c>
      <c r="AT84" s="538">
        <f>IF(Table157[[#This Row],[Approved Construction Cost]]=0,0,Table157[[#This Row],[Approved Construction Cost]]-Table157[[#This Row],[Construction Cost to Bill From]])</f>
        <v>0</v>
      </c>
      <c r="AU84" s="538">
        <f>IFERROR(Table157[[#This Row],[Difference in Construction Cost]]*Table157[[#This Row],[Rate]],Table157[[#This Row],[Difference in Construction Cost]]*0.085)</f>
        <v>0</v>
      </c>
      <c r="AV84" s="572"/>
      <c r="AW84" s="639"/>
      <c r="AX84" s="538"/>
      <c r="AY84" s="636" t="s">
        <v>709</v>
      </c>
      <c r="AZ84" s="443">
        <v>67</v>
      </c>
      <c r="BA84" s="334" t="s">
        <v>4</v>
      </c>
      <c r="BB84" s="652" t="s">
        <v>1281</v>
      </c>
      <c r="BC84" s="644" t="s">
        <v>1282</v>
      </c>
      <c r="BD84" s="478" t="s">
        <v>709</v>
      </c>
      <c r="BE84" s="544" t="s">
        <v>709</v>
      </c>
      <c r="BF84" s="544" t="s">
        <v>1283</v>
      </c>
      <c r="BG84" s="544" t="s">
        <v>709</v>
      </c>
      <c r="BH84" s="512" t="s">
        <v>709</v>
      </c>
      <c r="BI84" s="545"/>
      <c r="BJ84" s="511" t="s">
        <v>709</v>
      </c>
      <c r="BK84" s="546" t="s">
        <v>709</v>
      </c>
      <c r="BL84" s="546" t="s">
        <v>709</v>
      </c>
      <c r="BM84" s="546" t="s">
        <v>116</v>
      </c>
      <c r="BN84" s="546" t="s">
        <v>709</v>
      </c>
      <c r="BO84" s="546" t="s">
        <v>709</v>
      </c>
      <c r="BP84" s="546" t="s">
        <v>709</v>
      </c>
      <c r="BQ84" s="546" t="s">
        <v>709</v>
      </c>
      <c r="BR84" s="546" t="s">
        <v>709</v>
      </c>
      <c r="BS84" s="546" t="s">
        <v>709</v>
      </c>
      <c r="BT84" s="546">
        <v>81</v>
      </c>
      <c r="BU84" s="546" t="s">
        <v>745</v>
      </c>
      <c r="BV84" s="546" t="s">
        <v>709</v>
      </c>
      <c r="BW84" s="546" t="s">
        <v>745</v>
      </c>
      <c r="BX84" s="546" t="s">
        <v>709</v>
      </c>
      <c r="BY84" s="546" t="s">
        <v>745</v>
      </c>
      <c r="BZ84" s="546" t="s">
        <v>745</v>
      </c>
      <c r="CA84" s="506"/>
    </row>
    <row r="85" spans="1:79" ht="15" hidden="1" customHeight="1" x14ac:dyDescent="0.25">
      <c r="A85" s="8" t="s">
        <v>781</v>
      </c>
      <c r="B85" s="8" t="s">
        <v>730</v>
      </c>
      <c r="C85" s="8" t="s">
        <v>1284</v>
      </c>
      <c r="D85" s="8" t="s">
        <v>1285</v>
      </c>
      <c r="E85" s="8" t="s">
        <v>1286</v>
      </c>
      <c r="F85" s="8" t="s">
        <v>752</v>
      </c>
      <c r="G85" s="8" t="s">
        <v>36</v>
      </c>
      <c r="H85" s="8" t="s">
        <v>59</v>
      </c>
      <c r="I85" s="642">
        <v>44607</v>
      </c>
      <c r="J85" s="451">
        <v>44722</v>
      </c>
      <c r="K85" s="18">
        <v>44720</v>
      </c>
      <c r="L85" s="16">
        <f>IF(ISTEXT(Table157[[#This Row],[Engineering Approved Design Date]]),Table157[[#This Row],[Date Completed]]-Table157[[#This Row],[Date Assigned to Designer]],Table157[[#This Row],[Engineering Approved Design Date]]-Table157[[#This Row],[Date Completed]])</f>
        <v>2</v>
      </c>
      <c r="M85" s="642"/>
      <c r="N85" s="642" t="s">
        <v>120</v>
      </c>
      <c r="O85" s="534">
        <f>Table157[[#This Row],[Date Completed]]</f>
        <v>44720</v>
      </c>
      <c r="P85" s="68" t="s">
        <v>739</v>
      </c>
      <c r="Q85" s="375">
        <f>(Table157[[#This Row],[Construction Cost to Bill From]]*0.085)+(5250*2)</f>
        <v>35341.335850000003</v>
      </c>
      <c r="R85" s="75" t="s">
        <v>794</v>
      </c>
      <c r="S85" s="24" t="s">
        <v>709</v>
      </c>
      <c r="T85" s="538" t="s">
        <v>709</v>
      </c>
      <c r="U85" s="87" t="s">
        <v>709</v>
      </c>
      <c r="V85" s="440">
        <v>312</v>
      </c>
      <c r="W85" s="467"/>
      <c r="X85" s="29">
        <v>241769.56</v>
      </c>
      <c r="Y85" s="592"/>
      <c r="Z85" s="551">
        <v>50481.45</v>
      </c>
      <c r="AA85" s="87">
        <f>Table157[[#This Row],[PCTS Retirement Amount]]+Table157[[#This Row],[PCTS Investment Amount]]</f>
        <v>292251.01</v>
      </c>
      <c r="AB85" s="208"/>
      <c r="AC85" s="108" t="s">
        <v>1056</v>
      </c>
      <c r="AD85" s="109"/>
      <c r="AE85" s="349"/>
      <c r="AF85" s="579"/>
      <c r="AG85" s="579"/>
      <c r="AH85" s="354"/>
      <c r="AI85" s="341"/>
      <c r="AJ85" s="183"/>
      <c r="AK85" s="183"/>
      <c r="AL85" s="494">
        <f>SUM(Table157[[#This Row],[Nicor Initiated DBE]:[Staffing]])/(Table157[[#This Row],[Amount Invoiced]])</f>
        <v>0</v>
      </c>
      <c r="AM85" s="21" t="s">
        <v>116</v>
      </c>
      <c r="AN85" s="634" t="s">
        <v>709</v>
      </c>
      <c r="AO85" s="601">
        <v>11042525</v>
      </c>
      <c r="AP85" s="572"/>
      <c r="AQ85" s="572"/>
      <c r="AR85" s="572"/>
      <c r="AS85" s="538">
        <f>IF(Table157[[#This Row],[PCTS Approved]]="N",0,Table157[[#This Row],[Investment Amount (1'#'#'#'#'#)]]+Table157[[#This Row],[Retirement Amount (3'#'#'#'#'#)]])</f>
        <v>0</v>
      </c>
      <c r="AT85" s="538">
        <f>IF(Table157[[#This Row],[Approved Construction Cost]]=0,0,Table157[[#This Row],[Approved Construction Cost]]-Table157[[#This Row],[Construction Cost to Bill From]])</f>
        <v>0</v>
      </c>
      <c r="AU85" s="538">
        <f>IFERROR(Table157[[#This Row],[Difference in Construction Cost]]*Table157[[#This Row],[Rate]],Table157[[#This Row],[Difference in Construction Cost]]*0.085)</f>
        <v>0</v>
      </c>
      <c r="AV85" s="572"/>
      <c r="AW85" s="639"/>
      <c r="AX85" s="538"/>
      <c r="AY85" s="636" t="s">
        <v>709</v>
      </c>
      <c r="AZ85" s="443">
        <v>171</v>
      </c>
      <c r="BA85" s="334" t="s">
        <v>2</v>
      </c>
      <c r="BB85" s="652" t="s">
        <v>1287</v>
      </c>
      <c r="BC85" s="644" t="s">
        <v>1288</v>
      </c>
      <c r="BD85" s="478" t="s">
        <v>709</v>
      </c>
      <c r="BE85" s="544" t="s">
        <v>709</v>
      </c>
      <c r="BF85" s="544" t="s">
        <v>709</v>
      </c>
      <c r="BG85" s="544" t="s">
        <v>1289</v>
      </c>
      <c r="BH85" s="512" t="s">
        <v>709</v>
      </c>
      <c r="BI85" s="645"/>
      <c r="BJ85" s="511" t="s">
        <v>116</v>
      </c>
      <c r="BK85" s="546" t="s">
        <v>116</v>
      </c>
      <c r="BL85" s="546" t="s">
        <v>709</v>
      </c>
      <c r="BM85" s="546" t="s">
        <v>116</v>
      </c>
      <c r="BN85" s="546" t="s">
        <v>709</v>
      </c>
      <c r="BO85" s="546" t="s">
        <v>709</v>
      </c>
      <c r="BP85" s="546" t="s">
        <v>709</v>
      </c>
      <c r="BQ85" s="546" t="s">
        <v>709</v>
      </c>
      <c r="BR85" s="546" t="s">
        <v>709</v>
      </c>
      <c r="BS85" s="546" t="s">
        <v>709</v>
      </c>
      <c r="BT85" s="546">
        <v>312</v>
      </c>
      <c r="BU85" s="546" t="s">
        <v>745</v>
      </c>
      <c r="BV85" s="546">
        <v>2</v>
      </c>
      <c r="BW85" s="546" t="s">
        <v>745</v>
      </c>
      <c r="BX85" s="546" t="s">
        <v>709</v>
      </c>
      <c r="BY85" s="546">
        <v>1</v>
      </c>
      <c r="BZ85" s="546" t="s">
        <v>745</v>
      </c>
      <c r="CA85" s="506" t="s">
        <v>769</v>
      </c>
    </row>
    <row r="86" spans="1:79" ht="15" hidden="1" customHeight="1" x14ac:dyDescent="0.25">
      <c r="A86" s="8" t="s">
        <v>781</v>
      </c>
      <c r="B86" s="8" t="s">
        <v>730</v>
      </c>
      <c r="C86" s="8" t="s">
        <v>1290</v>
      </c>
      <c r="D86" s="8" t="s">
        <v>1291</v>
      </c>
      <c r="E86" s="8" t="s">
        <v>1292</v>
      </c>
      <c r="F86" s="8" t="s">
        <v>752</v>
      </c>
      <c r="G86" s="8" t="s">
        <v>22</v>
      </c>
      <c r="H86" s="8" t="s">
        <v>59</v>
      </c>
      <c r="I86" s="642">
        <v>44603</v>
      </c>
      <c r="J86" s="451">
        <v>44736</v>
      </c>
      <c r="K86" s="18">
        <v>44733</v>
      </c>
      <c r="L86" s="16">
        <f>IF(ISTEXT(Table157[[#This Row],[Engineering Approved Design Date]]),Table157[[#This Row],[Date Completed]]-Table157[[#This Row],[Date Assigned to Designer]],Table157[[#This Row],[Engineering Approved Design Date]]-Table157[[#This Row],[Date Completed]])</f>
        <v>3</v>
      </c>
      <c r="M86" s="642"/>
      <c r="N86" s="642" t="s">
        <v>120</v>
      </c>
      <c r="O86" s="534">
        <f>Table157[[#This Row],[Date Completed]]</f>
        <v>44733</v>
      </c>
      <c r="P86" s="68" t="s">
        <v>739</v>
      </c>
      <c r="Q86" s="375">
        <f>(Table157[[#This Row],[Construction Cost to Bill From]]*0.085)+(5250*1)</f>
        <v>25371.576550000002</v>
      </c>
      <c r="R86" s="75" t="s">
        <v>794</v>
      </c>
      <c r="S86" s="24" t="s">
        <v>709</v>
      </c>
      <c r="T86" s="538" t="s">
        <v>709</v>
      </c>
      <c r="U86" s="87" t="s">
        <v>709</v>
      </c>
      <c r="V86" s="440">
        <v>279</v>
      </c>
      <c r="W86" s="440">
        <v>1</v>
      </c>
      <c r="X86" s="29">
        <v>183205.61</v>
      </c>
      <c r="Y86" s="592"/>
      <c r="Z86" s="551">
        <v>53518.82</v>
      </c>
      <c r="AA86" s="87">
        <f>Table157[[#This Row],[PCTS Investment Amount]]+Table157[[#This Row],[PCTS Retirement Amount]]</f>
        <v>236724.43</v>
      </c>
      <c r="AB86" s="208"/>
      <c r="AC86" s="108" t="s">
        <v>1056</v>
      </c>
      <c r="AD86" s="109" t="s">
        <v>29</v>
      </c>
      <c r="AE86" s="349"/>
      <c r="AF86" s="579"/>
      <c r="AG86" s="579"/>
      <c r="AH86" s="354"/>
      <c r="AI86" s="341"/>
      <c r="AJ86" s="183"/>
      <c r="AK86" s="183"/>
      <c r="AL86" s="494">
        <f>SUM(Table157[[#This Row],[Nicor Initiated DBE]:[Staffing]])/(Table157[[#This Row],[Amount Invoiced]])</f>
        <v>0</v>
      </c>
      <c r="AM86" s="21" t="s">
        <v>116</v>
      </c>
      <c r="AN86" s="680" t="s">
        <v>709</v>
      </c>
      <c r="AO86" s="601">
        <v>11042120</v>
      </c>
      <c r="AP86" s="572"/>
      <c r="AQ86" s="572"/>
      <c r="AR86" s="572"/>
      <c r="AS86" s="538">
        <f>IF(Table157[[#This Row],[PCTS Approved]]="N",0,Table157[[#This Row],[Investment Amount (1'#'#'#'#'#)]]+Table157[[#This Row],[Retirement Amount (3'#'#'#'#'#)]])</f>
        <v>0</v>
      </c>
      <c r="AT86" s="538">
        <f>IF(Table157[[#This Row],[Approved Construction Cost]]=0,0,Table157[[#This Row],[Approved Construction Cost]]-Table157[[#This Row],[Construction Cost to Bill From]])</f>
        <v>0</v>
      </c>
      <c r="AU86" s="538">
        <f>IFERROR(Table157[[#This Row],[Difference in Construction Cost]]*Table157[[#This Row],[Rate]],Table157[[#This Row],[Difference in Construction Cost]]*0.085)</f>
        <v>0</v>
      </c>
      <c r="AV86" s="572"/>
      <c r="AW86" s="639"/>
      <c r="AX86" s="538"/>
      <c r="AY86" s="636" t="s">
        <v>709</v>
      </c>
      <c r="AZ86" s="443">
        <v>172</v>
      </c>
      <c r="BA86" s="334" t="s">
        <v>2</v>
      </c>
      <c r="BB86" s="652" t="s">
        <v>1293</v>
      </c>
      <c r="BC86" s="644" t="s">
        <v>1294</v>
      </c>
      <c r="BD86" s="478" t="s">
        <v>709</v>
      </c>
      <c r="BE86" s="544" t="s">
        <v>709</v>
      </c>
      <c r="BF86" s="544" t="s">
        <v>1292</v>
      </c>
      <c r="BG86" s="544" t="s">
        <v>709</v>
      </c>
      <c r="BH86" s="512" t="s">
        <v>709</v>
      </c>
      <c r="BI86" s="645"/>
      <c r="BJ86" s="511" t="s">
        <v>709</v>
      </c>
      <c r="BK86" s="546" t="s">
        <v>116</v>
      </c>
      <c r="BL86" s="546" t="s">
        <v>709</v>
      </c>
      <c r="BM86" s="546" t="s">
        <v>116</v>
      </c>
      <c r="BN86" s="546" t="s">
        <v>709</v>
      </c>
      <c r="BO86" s="546" t="s">
        <v>709</v>
      </c>
      <c r="BP86" s="546" t="s">
        <v>709</v>
      </c>
      <c r="BQ86" s="546" t="s">
        <v>709</v>
      </c>
      <c r="BR86" s="546" t="s">
        <v>709</v>
      </c>
      <c r="BS86" s="546" t="s">
        <v>709</v>
      </c>
      <c r="BT86" s="546">
        <v>279</v>
      </c>
      <c r="BU86" s="546" t="s">
        <v>745</v>
      </c>
      <c r="BV86" s="546">
        <v>1</v>
      </c>
      <c r="BW86" s="546" t="s">
        <v>745</v>
      </c>
      <c r="BX86" s="546" t="s">
        <v>709</v>
      </c>
      <c r="BY86" s="546">
        <v>1</v>
      </c>
      <c r="BZ86" s="546" t="s">
        <v>745</v>
      </c>
      <c r="CA86" s="506"/>
    </row>
    <row r="87" spans="1:79" ht="15" hidden="1" customHeight="1" x14ac:dyDescent="0.25">
      <c r="A87" s="8" t="s">
        <v>781</v>
      </c>
      <c r="B87" s="8" t="s">
        <v>730</v>
      </c>
      <c r="C87" s="8" t="s">
        <v>308</v>
      </c>
      <c r="D87" s="8" t="s">
        <v>1295</v>
      </c>
      <c r="E87" s="8" t="s">
        <v>309</v>
      </c>
      <c r="F87" s="8" t="s">
        <v>752</v>
      </c>
      <c r="G87" s="8" t="s">
        <v>36</v>
      </c>
      <c r="H87" s="8" t="s">
        <v>59</v>
      </c>
      <c r="I87" s="642">
        <v>44607</v>
      </c>
      <c r="J87" s="18">
        <v>44762</v>
      </c>
      <c r="K87" s="18">
        <v>44740</v>
      </c>
      <c r="L87" s="16">
        <f>IF(ISTEXT(Table157[[#This Row],[Engineering Approved Design Date]]),Table157[[#This Row],[Date Completed]]-Table157[[#This Row],[Date Assigned to Designer]],Table157[[#This Row],[Engineering Approved Design Date]]-Table157[[#This Row],[Date Completed]])</f>
        <v>22</v>
      </c>
      <c r="M87" s="642"/>
      <c r="N87" s="642" t="s">
        <v>120</v>
      </c>
      <c r="O87" s="534">
        <v>44743</v>
      </c>
      <c r="P87" s="68" t="s">
        <v>739</v>
      </c>
      <c r="Q87" s="436">
        <f>(Table157[[#This Row],[Construction Cost to Bill From]]*0.085)+(5250*1)</f>
        <v>28111.990999999998</v>
      </c>
      <c r="R87" s="75" t="s">
        <v>794</v>
      </c>
      <c r="U87" s="87"/>
      <c r="V87" s="437">
        <v>528</v>
      </c>
      <c r="W87" s="466"/>
      <c r="X87" s="24">
        <v>176710.62</v>
      </c>
      <c r="Y87" s="592"/>
      <c r="Z87" s="538">
        <v>92253.98</v>
      </c>
      <c r="AA87" s="87">
        <f>Table157[[#This Row],[PCTS Investment Amount]]+Table157[[#This Row],[PCTS Retirement Amount]]</f>
        <v>268964.59999999998</v>
      </c>
      <c r="AB87" s="208"/>
      <c r="AC87" s="108" t="s">
        <v>1296</v>
      </c>
      <c r="AD87" s="109" t="s">
        <v>116</v>
      </c>
      <c r="AE87" s="349"/>
      <c r="AF87" s="579"/>
      <c r="AG87" s="579"/>
      <c r="AH87" s="354"/>
      <c r="AI87" s="341"/>
      <c r="AJ87" s="183"/>
      <c r="AK87" s="183"/>
      <c r="AL87" s="494">
        <f>SUM(Table157[[#This Row],[Nicor Initiated DBE]:[Staffing]])/(Table157[[#This Row],[Amount Invoiced]])</f>
        <v>0</v>
      </c>
      <c r="AM87" s="21" t="s">
        <v>116</v>
      </c>
      <c r="AN87" s="634" t="s">
        <v>709</v>
      </c>
      <c r="AO87" s="601">
        <v>11042074</v>
      </c>
      <c r="AP87" s="572"/>
      <c r="AQ87" s="572"/>
      <c r="AR87" s="572"/>
      <c r="AS87" s="538">
        <f>IF(Table157[[#This Row],[PCTS Approved]]="N",0,Table157[[#This Row],[Investment Amount (1'#'#'#'#'#)]]+Table157[[#This Row],[Retirement Amount (3'#'#'#'#'#)]])</f>
        <v>0</v>
      </c>
      <c r="AT87" s="538">
        <f>IF(Table157[[#This Row],[Approved Construction Cost]]=0,0,Table157[[#This Row],[Approved Construction Cost]]-Table157[[#This Row],[Construction Cost to Bill From]])</f>
        <v>0</v>
      </c>
      <c r="AU87" s="538">
        <f>IFERROR(Table157[[#This Row],[Difference in Construction Cost]]*Table157[[#This Row],[Rate]],Table157[[#This Row],[Difference in Construction Cost]]*0.085)</f>
        <v>0</v>
      </c>
      <c r="AV87" s="572"/>
      <c r="AW87" s="639"/>
      <c r="AX87" s="538"/>
      <c r="AY87" s="636" t="s">
        <v>709</v>
      </c>
      <c r="AZ87" s="443">
        <v>173</v>
      </c>
      <c r="BA87" s="334" t="s">
        <v>2</v>
      </c>
      <c r="BB87" s="652" t="s">
        <v>1297</v>
      </c>
      <c r="BC87" s="644" t="s">
        <v>1298</v>
      </c>
      <c r="BD87" s="478" t="s">
        <v>116</v>
      </c>
      <c r="BE87" s="544" t="s">
        <v>837</v>
      </c>
      <c r="BF87" s="544" t="s">
        <v>709</v>
      </c>
      <c r="BG87" s="544" t="s">
        <v>709</v>
      </c>
      <c r="BH87" s="512" t="s">
        <v>709</v>
      </c>
      <c r="BI87" s="645"/>
      <c r="BJ87" s="511" t="s">
        <v>709</v>
      </c>
      <c r="BK87" s="546" t="s">
        <v>709</v>
      </c>
      <c r="BL87" s="546" t="s">
        <v>116</v>
      </c>
      <c r="BM87" s="546" t="s">
        <v>116</v>
      </c>
      <c r="BN87" s="546" t="s">
        <v>709</v>
      </c>
      <c r="BO87" s="546" t="s">
        <v>709</v>
      </c>
      <c r="BP87" s="546" t="s">
        <v>709</v>
      </c>
      <c r="BQ87" s="546" t="s">
        <v>709</v>
      </c>
      <c r="BR87" s="546" t="s">
        <v>709</v>
      </c>
      <c r="BS87" s="546" t="s">
        <v>709</v>
      </c>
      <c r="BT87" s="546">
        <v>528</v>
      </c>
      <c r="BU87" s="546" t="s">
        <v>745</v>
      </c>
      <c r="BV87" s="546">
        <v>1</v>
      </c>
      <c r="BW87" s="546" t="s">
        <v>745</v>
      </c>
      <c r="BX87" s="546" t="s">
        <v>709</v>
      </c>
      <c r="BY87" s="546">
        <v>1</v>
      </c>
      <c r="BZ87" s="546" t="s">
        <v>745</v>
      </c>
      <c r="CA87" s="506"/>
    </row>
    <row r="88" spans="1:79" ht="15" hidden="1" customHeight="1" x14ac:dyDescent="0.25">
      <c r="A88" s="8" t="s">
        <v>781</v>
      </c>
      <c r="B88" s="8" t="s">
        <v>730</v>
      </c>
      <c r="C88" s="8" t="s">
        <v>1299</v>
      </c>
      <c r="D88" s="8" t="s">
        <v>1300</v>
      </c>
      <c r="E88" s="8" t="s">
        <v>1301</v>
      </c>
      <c r="F88" s="8" t="s">
        <v>752</v>
      </c>
      <c r="G88" s="8" t="s">
        <v>32</v>
      </c>
      <c r="H88" s="8" t="s">
        <v>59</v>
      </c>
      <c r="I88" s="642">
        <v>44692</v>
      </c>
      <c r="J88" s="18">
        <v>44750</v>
      </c>
      <c r="K88" s="97">
        <v>44749</v>
      </c>
      <c r="L88" s="16">
        <f>IF(ISTEXT(Table157[[#This Row],[Engineering Approved Design Date]]),Table157[[#This Row],[Date Completed]]-Table157[[#This Row],[Date Assigned to Designer]],Table157[[#This Row],[Engineering Approved Design Date]]-Table157[[#This Row],[Date Completed]])</f>
        <v>1</v>
      </c>
      <c r="M88" s="642"/>
      <c r="N88" s="642" t="s">
        <v>120</v>
      </c>
      <c r="O88" s="534">
        <f>Table157[[#This Row],[Date Completed]]</f>
        <v>44749</v>
      </c>
      <c r="P88" s="68" t="s">
        <v>739</v>
      </c>
      <c r="Q88" s="436">
        <f>(Table157[[#This Row],[Construction Cost to Bill From]]*0.085)+(5250*1)</f>
        <v>17915.941800000001</v>
      </c>
      <c r="R88" s="75" t="s">
        <v>794</v>
      </c>
      <c r="U88" s="87"/>
      <c r="V88" s="437">
        <v>41</v>
      </c>
      <c r="W88" s="437">
        <v>1</v>
      </c>
      <c r="X88" s="24">
        <v>122879.35</v>
      </c>
      <c r="Y88" s="592"/>
      <c r="Z88" s="538">
        <v>26131.73</v>
      </c>
      <c r="AA88" s="87">
        <f>Table157[[#This Row],[PCTS Investment Amount]]+Table157[[#This Row],[PCTS Retirement Amount]]</f>
        <v>149011.08000000002</v>
      </c>
      <c r="AB88" s="207" t="s">
        <v>29</v>
      </c>
      <c r="AC88" s="108" t="s">
        <v>116</v>
      </c>
      <c r="AD88" s="108" t="s">
        <v>116</v>
      </c>
      <c r="AE88" s="349"/>
      <c r="AF88" s="579"/>
      <c r="AG88" s="579"/>
      <c r="AH88" s="354"/>
      <c r="AI88" s="341"/>
      <c r="AJ88" s="183"/>
      <c r="AK88" s="183"/>
      <c r="AL88" s="494">
        <f>SUM(Table157[[#This Row],[Nicor Initiated DBE]:[Staffing]])/(Table157[[#This Row],[Amount Invoiced]])</f>
        <v>0</v>
      </c>
      <c r="AM88" s="21" t="s">
        <v>116</v>
      </c>
      <c r="AN88" s="680" t="s">
        <v>709</v>
      </c>
      <c r="AO88" s="601" t="s">
        <v>115</v>
      </c>
      <c r="AP88" s="572"/>
      <c r="AQ88" s="572"/>
      <c r="AR88" s="572"/>
      <c r="AS88" s="538">
        <f>IF(Table157[[#This Row],[PCTS Approved]]="N",0,Table157[[#This Row],[Investment Amount (1'#'#'#'#'#)]]+Table157[[#This Row],[Retirement Amount (3'#'#'#'#'#)]])</f>
        <v>0</v>
      </c>
      <c r="AT88" s="538">
        <f>IF(Table157[[#This Row],[Approved Construction Cost]]=0,0,Table157[[#This Row],[Approved Construction Cost]]-Table157[[#This Row],[Construction Cost to Bill From]])</f>
        <v>0</v>
      </c>
      <c r="AU88" s="538">
        <f>IFERROR(Table157[[#This Row],[Difference in Construction Cost]]*Table157[[#This Row],[Rate]],Table157[[#This Row],[Difference in Construction Cost]]*0.085)</f>
        <v>0</v>
      </c>
      <c r="AV88" s="572"/>
      <c r="AW88" s="639"/>
      <c r="AX88" s="538"/>
      <c r="AY88" s="636" t="s">
        <v>709</v>
      </c>
      <c r="AZ88" s="443">
        <v>174</v>
      </c>
      <c r="BA88" s="334" t="s">
        <v>2</v>
      </c>
      <c r="BB88" s="652" t="s">
        <v>1302</v>
      </c>
      <c r="BC88" s="644" t="s">
        <v>1303</v>
      </c>
      <c r="BD88" s="478" t="s">
        <v>709</v>
      </c>
      <c r="BE88" s="544" t="s">
        <v>709</v>
      </c>
      <c r="BF88" s="544" t="s">
        <v>709</v>
      </c>
      <c r="BG88" s="544" t="s">
        <v>709</v>
      </c>
      <c r="BH88" s="512" t="s">
        <v>709</v>
      </c>
      <c r="BI88" s="645"/>
      <c r="BJ88" s="511" t="s">
        <v>709</v>
      </c>
      <c r="BK88" s="546" t="s">
        <v>709</v>
      </c>
      <c r="BL88" s="546" t="s">
        <v>116</v>
      </c>
      <c r="BM88" s="546" t="s">
        <v>709</v>
      </c>
      <c r="BN88" s="546" t="s">
        <v>709</v>
      </c>
      <c r="BO88" s="546" t="s">
        <v>709</v>
      </c>
      <c r="BP88" s="546" t="s">
        <v>709</v>
      </c>
      <c r="BQ88" s="546" t="s">
        <v>709</v>
      </c>
      <c r="BR88" s="546" t="s">
        <v>709</v>
      </c>
      <c r="BS88" s="546" t="s">
        <v>709</v>
      </c>
      <c r="BT88" s="546">
        <v>41</v>
      </c>
      <c r="BU88" s="546" t="s">
        <v>745</v>
      </c>
      <c r="BV88" s="546" t="s">
        <v>709</v>
      </c>
      <c r="BW88" s="546" t="s">
        <v>745</v>
      </c>
      <c r="BX88" s="546" t="s">
        <v>709</v>
      </c>
      <c r="BY88" s="546">
        <v>1</v>
      </c>
      <c r="BZ88" s="546" t="s">
        <v>745</v>
      </c>
      <c r="CA88" s="506"/>
    </row>
    <row r="89" spans="1:79" ht="15" hidden="1" customHeight="1" x14ac:dyDescent="0.25">
      <c r="A89" s="8" t="s">
        <v>781</v>
      </c>
      <c r="B89" s="8" t="s">
        <v>4</v>
      </c>
      <c r="C89" s="8" t="s">
        <v>1304</v>
      </c>
      <c r="D89" s="8" t="s">
        <v>1305</v>
      </c>
      <c r="E89" s="8" t="s">
        <v>1306</v>
      </c>
      <c r="F89" s="8" t="s">
        <v>738</v>
      </c>
      <c r="G89" s="8" t="s">
        <v>27</v>
      </c>
      <c r="H89" s="8" t="s">
        <v>59</v>
      </c>
      <c r="I89" s="642">
        <v>44684</v>
      </c>
      <c r="J89" s="97">
        <v>44757</v>
      </c>
      <c r="K89" s="97">
        <v>44753</v>
      </c>
      <c r="L89" s="16">
        <f>IF(ISTEXT(Table157[[#This Row],[Engineering Approved Design Date]]),Table157[[#This Row],[Date Completed]]-Table157[[#This Row],[Date Assigned to Designer]],Table157[[#This Row],[Engineering Approved Design Date]]-Table157[[#This Row],[Date Completed]])</f>
        <v>4</v>
      </c>
      <c r="M89" s="642"/>
      <c r="N89" s="642" t="s">
        <v>120</v>
      </c>
      <c r="O89" s="534">
        <f>Table157[[#This Row],[Date Completed]]</f>
        <v>44753</v>
      </c>
      <c r="P89" s="68" t="s">
        <v>739</v>
      </c>
      <c r="Q89" s="436">
        <f>R89*AA89</f>
        <v>17769.143</v>
      </c>
      <c r="R89" s="77">
        <v>0.1</v>
      </c>
      <c r="S89" s="24" t="s">
        <v>709</v>
      </c>
      <c r="T89" s="538" t="s">
        <v>709</v>
      </c>
      <c r="U89" s="87" t="s">
        <v>709</v>
      </c>
      <c r="V89" s="440">
        <v>576</v>
      </c>
      <c r="W89" s="440"/>
      <c r="X89" s="29">
        <v>132282.79999999999</v>
      </c>
      <c r="Y89" s="592"/>
      <c r="Z89" s="551">
        <v>45408.63</v>
      </c>
      <c r="AA89" s="87">
        <f>Table157[[#This Row],[PCTS Investment Amount]]+Table157[[#This Row],[PCTS Retirement Amount]]</f>
        <v>177691.43</v>
      </c>
      <c r="AB89" s="207"/>
      <c r="AC89" s="108" t="s">
        <v>709</v>
      </c>
      <c r="AD89" s="108"/>
      <c r="AE89" s="349"/>
      <c r="AF89" s="579"/>
      <c r="AG89" s="579"/>
      <c r="AH89" s="354"/>
      <c r="AI89" s="489"/>
      <c r="AJ89" s="553"/>
      <c r="AK89" s="553"/>
      <c r="AL89" s="495">
        <f>SUM(Table157[[#This Row],[Nicor Initiated DBE]:[Staffing]])/(Table157[[#This Row],[Amount Invoiced]])</f>
        <v>0</v>
      </c>
      <c r="AM89" s="21" t="s">
        <v>116</v>
      </c>
      <c r="AN89" s="680" t="s">
        <v>709</v>
      </c>
      <c r="AO89" s="601"/>
      <c r="AP89" s="572"/>
      <c r="AQ89" s="572"/>
      <c r="AR89" s="572"/>
      <c r="AS89" s="538">
        <f>IF(Table157[[#This Row],[PCTS Approved]]="N",0,Table157[[#This Row],[Investment Amount (1'#'#'#'#'#)]]+Table157[[#This Row],[Retirement Amount (3'#'#'#'#'#)]])</f>
        <v>0</v>
      </c>
      <c r="AT89" s="538">
        <f>IF(Table157[[#This Row],[Approved Construction Cost]]=0,0,Table157[[#This Row],[Approved Construction Cost]]-Table157[[#This Row],[Construction Cost to Bill From]])</f>
        <v>0</v>
      </c>
      <c r="AU89" s="538">
        <f>IFERROR(Table157[[#This Row],[Difference in Construction Cost]]*Table157[[#This Row],[Rate]],Table157[[#This Row],[Difference in Construction Cost]]*0.085)</f>
        <v>0</v>
      </c>
      <c r="AV89" s="572"/>
      <c r="AW89" s="639"/>
      <c r="AX89" s="538"/>
      <c r="AY89" s="636" t="s">
        <v>709</v>
      </c>
      <c r="AZ89" s="443">
        <v>68</v>
      </c>
      <c r="BA89" s="334" t="s">
        <v>4</v>
      </c>
      <c r="BB89" s="652" t="s">
        <v>1307</v>
      </c>
      <c r="BC89" s="644" t="s">
        <v>1308</v>
      </c>
      <c r="BD89" s="478" t="s">
        <v>709</v>
      </c>
      <c r="BE89" s="544" t="s">
        <v>709</v>
      </c>
      <c r="BF89" s="544" t="s">
        <v>1309</v>
      </c>
      <c r="BG89" s="544" t="s">
        <v>709</v>
      </c>
      <c r="BH89" s="512" t="s">
        <v>709</v>
      </c>
      <c r="BI89" s="545"/>
      <c r="BJ89" s="511" t="s">
        <v>709</v>
      </c>
      <c r="BK89" s="546" t="s">
        <v>709</v>
      </c>
      <c r="BL89" s="546" t="s">
        <v>709</v>
      </c>
      <c r="BM89" s="546" t="s">
        <v>116</v>
      </c>
      <c r="BN89" s="546" t="s">
        <v>709</v>
      </c>
      <c r="BO89" s="546" t="s">
        <v>709</v>
      </c>
      <c r="BP89" s="546" t="s">
        <v>709</v>
      </c>
      <c r="BQ89" s="546" t="s">
        <v>709</v>
      </c>
      <c r="BR89" s="546" t="s">
        <v>709</v>
      </c>
      <c r="BS89" s="546">
        <v>576</v>
      </c>
      <c r="BT89" s="546" t="s">
        <v>709</v>
      </c>
      <c r="BU89" s="546" t="s">
        <v>745</v>
      </c>
      <c r="BV89" s="546" t="s">
        <v>709</v>
      </c>
      <c r="BW89" s="546" t="s">
        <v>745</v>
      </c>
      <c r="BX89" s="546" t="s">
        <v>709</v>
      </c>
      <c r="BY89" s="546" t="s">
        <v>745</v>
      </c>
      <c r="BZ89" s="546" t="s">
        <v>745</v>
      </c>
      <c r="CA89" s="506"/>
    </row>
    <row r="90" spans="1:79" ht="15" hidden="1" customHeight="1" x14ac:dyDescent="0.25">
      <c r="A90" s="8" t="s">
        <v>781</v>
      </c>
      <c r="B90" s="8" t="s">
        <v>4</v>
      </c>
      <c r="C90" s="8" t="s">
        <v>1310</v>
      </c>
      <c r="D90" s="8" t="s">
        <v>1311</v>
      </c>
      <c r="E90" s="8" t="s">
        <v>183</v>
      </c>
      <c r="F90" s="8" t="s">
        <v>738</v>
      </c>
      <c r="G90" s="8" t="s">
        <v>26</v>
      </c>
      <c r="H90" s="8" t="s">
        <v>59</v>
      </c>
      <c r="I90" s="642">
        <v>44693</v>
      </c>
      <c r="J90" s="97">
        <v>44771</v>
      </c>
      <c r="K90" s="97">
        <v>44763</v>
      </c>
      <c r="L90" s="16">
        <f>IF(ISTEXT(Table157[[#This Row],[Engineering Approved Design Date]]),Table157[[#This Row],[Date Completed]]-Table157[[#This Row],[Date Assigned to Designer]],Table157[[#This Row],[Engineering Approved Design Date]]-Table157[[#This Row],[Date Completed]])</f>
        <v>8</v>
      </c>
      <c r="M90" s="642"/>
      <c r="N90" s="642" t="s">
        <v>120</v>
      </c>
      <c r="O90" s="534">
        <f>Table157[[#This Row],[Date Completed]]</f>
        <v>44763</v>
      </c>
      <c r="P90" s="68" t="s">
        <v>739</v>
      </c>
      <c r="Q90" s="436">
        <f>R90*AA90</f>
        <v>21583.229000000003</v>
      </c>
      <c r="R90" s="77">
        <v>0.1</v>
      </c>
      <c r="S90" s="24" t="s">
        <v>709</v>
      </c>
      <c r="T90" s="538" t="s">
        <v>709</v>
      </c>
      <c r="U90" s="87" t="s">
        <v>709</v>
      </c>
      <c r="V90" s="440">
        <v>738</v>
      </c>
      <c r="W90" s="440"/>
      <c r="X90" s="29">
        <v>199493.89</v>
      </c>
      <c r="Y90" s="592"/>
      <c r="Z90" s="551">
        <v>16338.4</v>
      </c>
      <c r="AA90" s="87">
        <f>Table157[[#This Row],[PCTS Investment Amount]]+Table157[[#This Row],[PCTS Retirement Amount]]</f>
        <v>215832.29</v>
      </c>
      <c r="AB90" s="208"/>
      <c r="AC90" s="109" t="s">
        <v>709</v>
      </c>
      <c r="AD90" s="109"/>
      <c r="AE90" s="349"/>
      <c r="AF90" s="579"/>
      <c r="AG90" s="579"/>
      <c r="AH90" s="354"/>
      <c r="AI90" s="489"/>
      <c r="AJ90" s="553"/>
      <c r="AK90" s="553"/>
      <c r="AL90" s="495">
        <f>SUM(Table157[[#This Row],[Nicor Initiated DBE]:[Staffing]])/(Table157[[#This Row],[Amount Invoiced]])</f>
        <v>0</v>
      </c>
      <c r="AM90" s="21" t="s">
        <v>116</v>
      </c>
      <c r="AN90" s="680" t="s">
        <v>709</v>
      </c>
      <c r="AO90" s="601" t="s">
        <v>115</v>
      </c>
      <c r="AP90" s="572"/>
      <c r="AQ90" s="572"/>
      <c r="AR90" s="572"/>
      <c r="AS90" s="538">
        <f>IF(Table157[[#This Row],[PCTS Approved]]="N",0,Table157[[#This Row],[Investment Amount (1'#'#'#'#'#)]]+Table157[[#This Row],[Retirement Amount (3'#'#'#'#'#)]])</f>
        <v>0</v>
      </c>
      <c r="AT90" s="538">
        <f>IF(Table157[[#This Row],[Approved Construction Cost]]=0,0,Table157[[#This Row],[Approved Construction Cost]]-Table157[[#This Row],[Construction Cost to Bill From]])</f>
        <v>0</v>
      </c>
      <c r="AU90" s="538">
        <f>IFERROR(Table157[[#This Row],[Difference in Construction Cost]]*Table157[[#This Row],[Rate]],Table157[[#This Row],[Difference in Construction Cost]]*0.085)</f>
        <v>0</v>
      </c>
      <c r="AV90" s="572"/>
      <c r="AW90" s="639"/>
      <c r="AX90" s="538"/>
      <c r="AY90" s="636" t="s">
        <v>709</v>
      </c>
      <c r="AZ90" s="443">
        <v>69</v>
      </c>
      <c r="BA90" s="334" t="s">
        <v>4</v>
      </c>
      <c r="BB90" s="652" t="s">
        <v>1312</v>
      </c>
      <c r="BC90" s="644" t="s">
        <v>1313</v>
      </c>
      <c r="BD90" s="478" t="s">
        <v>709</v>
      </c>
      <c r="BE90" s="544" t="s">
        <v>709</v>
      </c>
      <c r="BF90" s="544" t="s">
        <v>1314</v>
      </c>
      <c r="BG90" s="544" t="s">
        <v>709</v>
      </c>
      <c r="BH90" s="512" t="s">
        <v>709</v>
      </c>
      <c r="BI90" s="545"/>
      <c r="BJ90" s="511" t="s">
        <v>709</v>
      </c>
      <c r="BK90" s="546" t="s">
        <v>709</v>
      </c>
      <c r="BL90" s="546" t="s">
        <v>709</v>
      </c>
      <c r="BM90" s="546" t="s">
        <v>116</v>
      </c>
      <c r="BN90" s="546" t="s">
        <v>709</v>
      </c>
      <c r="BO90" s="546" t="s">
        <v>709</v>
      </c>
      <c r="BP90" s="546" t="s">
        <v>709</v>
      </c>
      <c r="BQ90" s="546" t="s">
        <v>709</v>
      </c>
      <c r="BR90" s="546" t="s">
        <v>709</v>
      </c>
      <c r="BS90" s="546" t="s">
        <v>709</v>
      </c>
      <c r="BT90" s="546">
        <v>738</v>
      </c>
      <c r="BU90" s="546" t="s">
        <v>745</v>
      </c>
      <c r="BV90" s="546" t="s">
        <v>709</v>
      </c>
      <c r="BW90" s="546" t="s">
        <v>745</v>
      </c>
      <c r="BX90" s="546" t="s">
        <v>709</v>
      </c>
      <c r="BY90" s="546" t="s">
        <v>709</v>
      </c>
      <c r="BZ90" s="546" t="s">
        <v>745</v>
      </c>
      <c r="CA90" s="506"/>
    </row>
    <row r="91" spans="1:79" ht="15" hidden="1" customHeight="1" x14ac:dyDescent="0.25">
      <c r="A91" s="8" t="s">
        <v>781</v>
      </c>
      <c r="B91" s="8" t="s">
        <v>1108</v>
      </c>
      <c r="C91" s="8" t="s">
        <v>1315</v>
      </c>
      <c r="D91" s="8" t="s">
        <v>1316</v>
      </c>
      <c r="E91" s="8" t="s">
        <v>818</v>
      </c>
      <c r="F91" s="8" t="s">
        <v>752</v>
      </c>
      <c r="G91" s="8" t="s">
        <v>34</v>
      </c>
      <c r="H91" s="8" t="s">
        <v>59</v>
      </c>
      <c r="I91" s="642">
        <v>44480</v>
      </c>
      <c r="J91" s="18">
        <v>44764</v>
      </c>
      <c r="K91" s="97">
        <v>44764</v>
      </c>
      <c r="L91" s="16">
        <f>IF(ISTEXT(Table157[[#This Row],[Engineering Approved Design Date]]),Table157[[#This Row],[Date Completed]]-Table157[[#This Row],[Date Assigned to Designer]],Table157[[#This Row],[Engineering Approved Design Date]]-Table157[[#This Row],[Date Completed]])</f>
        <v>0</v>
      </c>
      <c r="M91" s="642"/>
      <c r="N91" s="642" t="s">
        <v>120</v>
      </c>
      <c r="O91" s="534">
        <f>Table157[[#This Row],[Date Completed]]</f>
        <v>44764</v>
      </c>
      <c r="P91" s="68" t="s">
        <v>120</v>
      </c>
      <c r="Q91" s="375">
        <f>(Table157[[#This Row],[Construction Cost to Bill From]]*0.085)+7750</f>
        <v>80510.001700000008</v>
      </c>
      <c r="R91" s="75" t="s">
        <v>1055</v>
      </c>
      <c r="S91" s="24" t="s">
        <v>709</v>
      </c>
      <c r="T91" s="538" t="s">
        <v>709</v>
      </c>
      <c r="U91" s="87" t="s">
        <v>709</v>
      </c>
      <c r="V91" s="437">
        <v>506</v>
      </c>
      <c r="W91" s="466"/>
      <c r="X91" s="24">
        <v>712423.59</v>
      </c>
      <c r="Y91" s="592"/>
      <c r="Z91" s="538">
        <v>143576.43</v>
      </c>
      <c r="AA91" s="87">
        <f>Table157[[#This Row],[PCTS Investment Amount]]+Table157[[#This Row],[PCTS Retirement Amount]]</f>
        <v>856000.02</v>
      </c>
      <c r="AB91" s="207"/>
      <c r="AC91" s="108" t="s">
        <v>1177</v>
      </c>
      <c r="AD91" s="108" t="s">
        <v>29</v>
      </c>
      <c r="AE91" s="349"/>
      <c r="AF91" s="579"/>
      <c r="AG91" s="579"/>
      <c r="AH91" s="354"/>
      <c r="AI91" s="341"/>
      <c r="AJ91" s="183"/>
      <c r="AK91" s="183"/>
      <c r="AL91" s="494">
        <f>SUM(Table157[[#This Row],[Nicor Initiated DBE]:[Staffing]])/(Table157[[#This Row],[Amount Invoiced]])</f>
        <v>0</v>
      </c>
      <c r="AM91" s="21" t="s">
        <v>116</v>
      </c>
      <c r="AN91" s="680" t="s">
        <v>709</v>
      </c>
      <c r="AO91" s="601">
        <v>11038425</v>
      </c>
      <c r="AP91" s="572"/>
      <c r="AQ91" s="572"/>
      <c r="AR91" s="572"/>
      <c r="AS91" s="538">
        <f>IF(Table157[[#This Row],[PCTS Approved]]="N",0,Table157[[#This Row],[Investment Amount (1'#'#'#'#'#)]]+Table157[[#This Row],[Retirement Amount (3'#'#'#'#'#)]])</f>
        <v>0</v>
      </c>
      <c r="AT91" s="538">
        <f>IF(Table157[[#This Row],[Approved Construction Cost]]=0,0,Table157[[#This Row],[Approved Construction Cost]]-Table157[[#This Row],[Construction Cost to Bill From]])</f>
        <v>0</v>
      </c>
      <c r="AU91" s="538">
        <f>IFERROR(Table157[[#This Row],[Difference in Construction Cost]]*Table157[[#This Row],[Rate]],Table157[[#This Row],[Difference in Construction Cost]]*0.085)</f>
        <v>0</v>
      </c>
      <c r="AV91" s="572"/>
      <c r="AW91" s="639"/>
      <c r="AX91" s="538"/>
      <c r="AY91" s="636" t="s">
        <v>709</v>
      </c>
      <c r="AZ91" s="443">
        <v>185</v>
      </c>
      <c r="BA91" s="334" t="s">
        <v>2</v>
      </c>
      <c r="BB91" s="652" t="s">
        <v>1317</v>
      </c>
      <c r="BC91" s="644" t="s">
        <v>1318</v>
      </c>
      <c r="BD91" s="478" t="s">
        <v>709</v>
      </c>
      <c r="BE91" s="544" t="s">
        <v>709</v>
      </c>
      <c r="BF91" s="544" t="s">
        <v>822</v>
      </c>
      <c r="BG91" s="544" t="s">
        <v>709</v>
      </c>
      <c r="BH91" s="512" t="s">
        <v>709</v>
      </c>
      <c r="BI91" s="645"/>
      <c r="BJ91" s="511" t="s">
        <v>709</v>
      </c>
      <c r="BK91" s="546" t="s">
        <v>709</v>
      </c>
      <c r="BL91" s="546" t="s">
        <v>116</v>
      </c>
      <c r="BM91" s="546" t="s">
        <v>116</v>
      </c>
      <c r="BN91" s="546" t="s">
        <v>709</v>
      </c>
      <c r="BO91" s="546">
        <v>90</v>
      </c>
      <c r="BP91" s="546" t="s">
        <v>709</v>
      </c>
      <c r="BQ91" s="546">
        <v>92</v>
      </c>
      <c r="BR91" s="546">
        <v>69</v>
      </c>
      <c r="BS91" s="546" t="s">
        <v>709</v>
      </c>
      <c r="BT91" s="546" t="s">
        <v>709</v>
      </c>
      <c r="BU91" s="546" t="s">
        <v>709</v>
      </c>
      <c r="BV91" s="546" t="s">
        <v>709</v>
      </c>
      <c r="BW91" s="546" t="s">
        <v>745</v>
      </c>
      <c r="BX91" s="546">
        <v>1</v>
      </c>
      <c r="BY91" s="546" t="s">
        <v>745</v>
      </c>
      <c r="BZ91" s="546" t="s">
        <v>745</v>
      </c>
      <c r="CA91" s="506" t="s">
        <v>2</v>
      </c>
    </row>
    <row r="92" spans="1:79" ht="15" hidden="1" customHeight="1" x14ac:dyDescent="0.25">
      <c r="A92" s="8" t="s">
        <v>781</v>
      </c>
      <c r="B92" s="8" t="s">
        <v>759</v>
      </c>
      <c r="C92" s="8" t="s">
        <v>1319</v>
      </c>
      <c r="D92" s="8" t="s">
        <v>1320</v>
      </c>
      <c r="E92" s="8" t="s">
        <v>245</v>
      </c>
      <c r="F92" s="8" t="s">
        <v>752</v>
      </c>
      <c r="G92" s="8" t="s">
        <v>34</v>
      </c>
      <c r="H92" s="8" t="s">
        <v>59</v>
      </c>
      <c r="I92" s="642">
        <v>44580</v>
      </c>
      <c r="J92" s="18">
        <v>44764</v>
      </c>
      <c r="K92" s="97">
        <v>44764</v>
      </c>
      <c r="L92" s="16">
        <f>IF(ISTEXT(Table157[[#This Row],[Engineering Approved Design Date]]),Table157[[#This Row],[Date Completed]]-Table157[[#This Row],[Date Assigned to Designer]],Table157[[#This Row],[Engineering Approved Design Date]]-Table157[[#This Row],[Date Completed]])</f>
        <v>0</v>
      </c>
      <c r="M92" s="642"/>
      <c r="N92" s="642" t="s">
        <v>120</v>
      </c>
      <c r="O92" s="534">
        <v>44774</v>
      </c>
      <c r="P92" s="68" t="s">
        <v>120</v>
      </c>
      <c r="Q92" s="436">
        <f>(Table157[[#This Row],[Construction Cost to Bill From]]*0.085)+7750</f>
        <v>103950.74665</v>
      </c>
      <c r="R92" s="75" t="s">
        <v>1055</v>
      </c>
      <c r="S92" s="24" t="s">
        <v>709</v>
      </c>
      <c r="T92" s="538" t="s">
        <v>709</v>
      </c>
      <c r="U92" s="87" t="s">
        <v>709</v>
      </c>
      <c r="V92" s="437">
        <v>1358</v>
      </c>
      <c r="W92" s="466"/>
      <c r="X92" s="94">
        <v>980455.18</v>
      </c>
      <c r="Y92" s="592"/>
      <c r="Z92" s="552">
        <v>151318.31</v>
      </c>
      <c r="AA92" s="87">
        <f>Table157[[#This Row],[PCTS Investment Amount]]+Table157[[#This Row],[PCTS Retirement Amount]]</f>
        <v>1131773.49</v>
      </c>
      <c r="AB92" s="207">
        <v>44768</v>
      </c>
      <c r="AC92" s="108" t="s">
        <v>1056</v>
      </c>
      <c r="AD92" s="108" t="s">
        <v>29</v>
      </c>
      <c r="AE92" s="349"/>
      <c r="AF92" s="579"/>
      <c r="AG92" s="579"/>
      <c r="AH92" s="354"/>
      <c r="AI92" s="341"/>
      <c r="AJ92" s="183"/>
      <c r="AK92" s="183"/>
      <c r="AL92" s="494">
        <f>SUM(Table157[[#This Row],[Nicor Initiated DBE]:[Staffing]])/(Table157[[#This Row],[Amount Invoiced]])</f>
        <v>0</v>
      </c>
      <c r="AM92" s="21" t="s">
        <v>116</v>
      </c>
      <c r="AN92" s="680" t="s">
        <v>709</v>
      </c>
      <c r="AO92" s="601">
        <v>11039840</v>
      </c>
      <c r="AP92" s="572"/>
      <c r="AQ92" s="572"/>
      <c r="AR92" s="572"/>
      <c r="AS92" s="538">
        <f>IF(Table157[[#This Row],[PCTS Approved]]="N",0,Table157[[#This Row],[Investment Amount (1'#'#'#'#'#)]]+Table157[[#This Row],[Retirement Amount (3'#'#'#'#'#)]])</f>
        <v>0</v>
      </c>
      <c r="AT92" s="538">
        <f>IF(Table157[[#This Row],[Approved Construction Cost]]=0,0,Table157[[#This Row],[Approved Construction Cost]]-Table157[[#This Row],[Construction Cost to Bill From]])</f>
        <v>0</v>
      </c>
      <c r="AU92" s="538">
        <f>IFERROR(Table157[[#This Row],[Difference in Construction Cost]]*Table157[[#This Row],[Rate]],Table157[[#This Row],[Difference in Construction Cost]]*0.085)</f>
        <v>0</v>
      </c>
      <c r="AV92" s="572"/>
      <c r="AW92" s="639"/>
      <c r="AX92" s="538"/>
      <c r="AY92" s="636" t="s">
        <v>709</v>
      </c>
      <c r="AZ92" s="443">
        <v>186</v>
      </c>
      <c r="BA92" s="334" t="s">
        <v>2</v>
      </c>
      <c r="BB92" s="652" t="s">
        <v>1321</v>
      </c>
      <c r="BC92" s="644" t="s">
        <v>1322</v>
      </c>
      <c r="BD92" s="478" t="s">
        <v>116</v>
      </c>
      <c r="BE92" s="544" t="s">
        <v>1140</v>
      </c>
      <c r="BF92" s="544" t="s">
        <v>709</v>
      </c>
      <c r="BG92" s="544" t="s">
        <v>1028</v>
      </c>
      <c r="BH92" s="512" t="s">
        <v>709</v>
      </c>
      <c r="BI92" s="645"/>
      <c r="BJ92" s="511" t="s">
        <v>709</v>
      </c>
      <c r="BK92" s="546" t="s">
        <v>709</v>
      </c>
      <c r="BL92" s="546" t="s">
        <v>116</v>
      </c>
      <c r="BM92" s="546" t="s">
        <v>709</v>
      </c>
      <c r="BN92" s="546" t="s">
        <v>709</v>
      </c>
      <c r="BO92" s="546" t="s">
        <v>709</v>
      </c>
      <c r="BP92" s="546" t="s">
        <v>709</v>
      </c>
      <c r="BQ92" s="546">
        <v>604</v>
      </c>
      <c r="BR92" s="546">
        <v>395</v>
      </c>
      <c r="BS92" s="546">
        <v>74</v>
      </c>
      <c r="BT92" s="546" t="s">
        <v>709</v>
      </c>
      <c r="BU92" s="546" t="s">
        <v>709</v>
      </c>
      <c r="BV92" s="546" t="s">
        <v>709</v>
      </c>
      <c r="BW92" s="546" t="s">
        <v>745</v>
      </c>
      <c r="BX92" s="546">
        <v>2</v>
      </c>
      <c r="BY92" s="546" t="s">
        <v>745</v>
      </c>
      <c r="BZ92" s="546" t="s">
        <v>745</v>
      </c>
      <c r="CA92" s="506" t="s">
        <v>2</v>
      </c>
    </row>
    <row r="93" spans="1:79" ht="15" hidden="1" customHeight="1" x14ac:dyDescent="0.25">
      <c r="A93" s="8" t="s">
        <v>781</v>
      </c>
      <c r="B93" s="8" t="s">
        <v>759</v>
      </c>
      <c r="C93" s="8" t="s">
        <v>1323</v>
      </c>
      <c r="D93" s="8" t="s">
        <v>1324</v>
      </c>
      <c r="E93" s="8" t="s">
        <v>1325</v>
      </c>
      <c r="F93" s="8" t="s">
        <v>752</v>
      </c>
      <c r="G93" s="8" t="s">
        <v>34</v>
      </c>
      <c r="H93" s="8" t="s">
        <v>59</v>
      </c>
      <c r="I93" s="642">
        <v>44603</v>
      </c>
      <c r="J93" s="18">
        <v>44771</v>
      </c>
      <c r="K93" s="97">
        <v>44771</v>
      </c>
      <c r="L93" s="16">
        <f>IF(ISTEXT(Table157[[#This Row],[Engineering Approved Design Date]]),Table157[[#This Row],[Date Completed]]-Table157[[#This Row],[Date Assigned to Designer]],Table157[[#This Row],[Engineering Approved Design Date]]-Table157[[#This Row],[Date Completed]])</f>
        <v>0</v>
      </c>
      <c r="M93" s="642"/>
      <c r="N93" s="642" t="s">
        <v>120</v>
      </c>
      <c r="O93" s="534">
        <v>44774</v>
      </c>
      <c r="P93" s="68" t="s">
        <v>739</v>
      </c>
      <c r="Q93" s="436">
        <f>(Table157[[#This Row],[Construction Cost to Bill From]]*0.085)+7750</f>
        <v>34223.024750000004</v>
      </c>
      <c r="R93" s="75" t="s">
        <v>1055</v>
      </c>
      <c r="S93" s="24" t="s">
        <v>709</v>
      </c>
      <c r="T93" s="538" t="s">
        <v>709</v>
      </c>
      <c r="U93" s="87" t="s">
        <v>709</v>
      </c>
      <c r="V93" s="437">
        <v>208</v>
      </c>
      <c r="W93" s="466"/>
      <c r="X93" s="94">
        <v>256912.92</v>
      </c>
      <c r="Y93" s="592"/>
      <c r="Z93" s="552">
        <v>54534.43</v>
      </c>
      <c r="AA93" s="87">
        <f>Table157[[#This Row],[PCTS Investment Amount]]+Table157[[#This Row],[PCTS Retirement Amount]]</f>
        <v>311447.35000000003</v>
      </c>
      <c r="AB93" s="207">
        <v>44789</v>
      </c>
      <c r="AC93" s="108" t="s">
        <v>1177</v>
      </c>
      <c r="AD93" s="108" t="s">
        <v>29</v>
      </c>
      <c r="AE93" s="349"/>
      <c r="AF93" s="579"/>
      <c r="AG93" s="579"/>
      <c r="AH93" s="354"/>
      <c r="AI93" s="341"/>
      <c r="AJ93" s="183"/>
      <c r="AK93" s="183"/>
      <c r="AL93" s="494">
        <f>SUM(Table157[[#This Row],[Nicor Initiated DBE]:[Staffing]])/(Table157[[#This Row],[Amount Invoiced]])</f>
        <v>0</v>
      </c>
      <c r="AM93" s="21" t="s">
        <v>116</v>
      </c>
      <c r="AN93" s="680" t="s">
        <v>709</v>
      </c>
      <c r="AO93" s="601">
        <v>11041770</v>
      </c>
      <c r="AP93" s="572"/>
      <c r="AQ93" s="572"/>
      <c r="AR93" s="572"/>
      <c r="AS93" s="538">
        <f>IF(Table157[[#This Row],[PCTS Approved]]="N",0,Table157[[#This Row],[Investment Amount (1'#'#'#'#'#)]]+Table157[[#This Row],[Retirement Amount (3'#'#'#'#'#)]])</f>
        <v>0</v>
      </c>
      <c r="AT93" s="538">
        <f>IF(Table157[[#This Row],[Approved Construction Cost]]=0,0,Table157[[#This Row],[Approved Construction Cost]]-Table157[[#This Row],[Construction Cost to Bill From]])</f>
        <v>0</v>
      </c>
      <c r="AU93" s="538">
        <f>IFERROR(Table157[[#This Row],[Difference in Construction Cost]]*Table157[[#This Row],[Rate]],Table157[[#This Row],[Difference in Construction Cost]]*0.085)</f>
        <v>0</v>
      </c>
      <c r="AV93" s="572"/>
      <c r="AW93" s="639"/>
      <c r="AX93" s="538"/>
      <c r="AY93" s="636" t="s">
        <v>709</v>
      </c>
      <c r="AZ93" s="443">
        <v>187</v>
      </c>
      <c r="BA93" s="334" t="s">
        <v>2</v>
      </c>
      <c r="BB93" s="652" t="s">
        <v>1326</v>
      </c>
      <c r="BC93" s="644" t="s">
        <v>1327</v>
      </c>
      <c r="BD93" s="478" t="s">
        <v>709</v>
      </c>
      <c r="BE93" s="544" t="s">
        <v>1328</v>
      </c>
      <c r="BF93" s="544" t="s">
        <v>1328</v>
      </c>
      <c r="BG93" s="544" t="s">
        <v>1329</v>
      </c>
      <c r="BH93" s="512" t="s">
        <v>709</v>
      </c>
      <c r="BI93" s="645"/>
      <c r="BJ93" s="511" t="s">
        <v>709</v>
      </c>
      <c r="BK93" s="546" t="s">
        <v>116</v>
      </c>
      <c r="BL93" s="546" t="s">
        <v>709</v>
      </c>
      <c r="BM93" s="546" t="s">
        <v>116</v>
      </c>
      <c r="BN93" s="546" t="s">
        <v>709</v>
      </c>
      <c r="BO93" s="546" t="s">
        <v>709</v>
      </c>
      <c r="BP93" s="546" t="s">
        <v>709</v>
      </c>
      <c r="BQ93" s="546" t="s">
        <v>709</v>
      </c>
      <c r="BR93" s="546" t="s">
        <v>709</v>
      </c>
      <c r="BS93" s="546">
        <v>125</v>
      </c>
      <c r="BT93" s="546">
        <v>60</v>
      </c>
      <c r="BU93" s="546">
        <v>1</v>
      </c>
      <c r="BV93" s="546" t="s">
        <v>709</v>
      </c>
      <c r="BW93" s="546" t="s">
        <v>745</v>
      </c>
      <c r="BX93" s="546" t="s">
        <v>709</v>
      </c>
      <c r="BY93" s="546">
        <v>1</v>
      </c>
      <c r="BZ93" s="546" t="s">
        <v>745</v>
      </c>
      <c r="CA93" s="506"/>
    </row>
    <row r="94" spans="1:79" ht="15" hidden="1" customHeight="1" x14ac:dyDescent="0.25">
      <c r="A94" s="8" t="s">
        <v>749</v>
      </c>
      <c r="B94" s="8" t="s">
        <v>1073</v>
      </c>
      <c r="C94" s="8" t="s">
        <v>235</v>
      </c>
      <c r="D94" s="656" t="s">
        <v>1330</v>
      </c>
      <c r="E94" s="8" t="s">
        <v>236</v>
      </c>
      <c r="F94" s="8" t="s">
        <v>747</v>
      </c>
      <c r="G94" s="8" t="s">
        <v>37</v>
      </c>
      <c r="H94" s="8" t="s">
        <v>59</v>
      </c>
      <c r="I94" s="642">
        <v>44715</v>
      </c>
      <c r="J94" s="18">
        <v>44799</v>
      </c>
      <c r="K94" s="97">
        <v>44797</v>
      </c>
      <c r="L94" s="16">
        <f>IF(ISTEXT(Table157[[#This Row],[Engineering Approved Design Date]]),Table157[[#This Row],[Date Completed]]-Table157[[#This Row],[Date Assigned to Designer]],Table157[[#This Row],[Engineering Approved Design Date]]-Table157[[#This Row],[Date Completed]])</f>
        <v>2</v>
      </c>
      <c r="M94" s="642"/>
      <c r="N94" s="642" t="s">
        <v>120</v>
      </c>
      <c r="O94" s="590">
        <v>44805</v>
      </c>
      <c r="P94" s="68" t="s">
        <v>739</v>
      </c>
      <c r="Q94" s="375">
        <f>R94*AA94</f>
        <v>126321.63390000002</v>
      </c>
      <c r="R94" s="75">
        <v>7.0000000000000007E-2</v>
      </c>
      <c r="U94" s="87"/>
      <c r="V94" s="437">
        <v>7490</v>
      </c>
      <c r="X94" s="29">
        <v>1756139</v>
      </c>
      <c r="Y94" s="592"/>
      <c r="Z94" s="552">
        <v>48455.77</v>
      </c>
      <c r="AA94" s="300">
        <f>Table157[[#This Row],[PCTS Investment Amount]]+Table157[[#This Row],[PCTS Retirement Amount]]</f>
        <v>1804594.77</v>
      </c>
      <c r="AB94" s="207">
        <v>44798</v>
      </c>
      <c r="AC94" s="108" t="s">
        <v>116</v>
      </c>
      <c r="AD94" s="108" t="s">
        <v>116</v>
      </c>
      <c r="AE94" s="349"/>
      <c r="AF94" s="579"/>
      <c r="AG94" s="579"/>
      <c r="AH94" s="354"/>
      <c r="AI94" s="341"/>
      <c r="AJ94" s="183"/>
      <c r="AK94" s="183"/>
      <c r="AL94" s="494">
        <f>SUM(Table157[[#This Row],[Nicor Initiated DBE]:[Staffing]])/(Table157[[#This Row],[Amount Invoiced]])</f>
        <v>0</v>
      </c>
      <c r="AM94" s="21" t="s">
        <v>116</v>
      </c>
      <c r="AN94" s="680" t="s">
        <v>709</v>
      </c>
      <c r="AO94" s="681">
        <v>11041926</v>
      </c>
      <c r="AP94" s="572"/>
      <c r="AQ94" s="572"/>
      <c r="AR94" s="572"/>
      <c r="AS94" s="538">
        <f>IF(Table157[[#This Row],[PCTS Approved]]="N",0,Table157[[#This Row],[Investment Amount (1'#'#'#'#'#)]]+Table157[[#This Row],[Retirement Amount (3'#'#'#'#'#)]])</f>
        <v>0</v>
      </c>
      <c r="AT94" s="538">
        <f>IF(Table157[[#This Row],[Approved Construction Cost]]=0,0,Table157[[#This Row],[Approved Construction Cost]]-Table157[[#This Row],[Construction Cost to Bill From]])</f>
        <v>0</v>
      </c>
      <c r="AU94" s="538">
        <f>IFERROR(Table157[[#This Row],[Difference in Construction Cost]]*Table157[[#This Row],[Rate]],Table157[[#This Row],[Difference in Construction Cost]]*0.085)</f>
        <v>0</v>
      </c>
      <c r="AV94" s="572"/>
      <c r="AW94" s="639"/>
      <c r="AX94" s="538"/>
      <c r="AY94" s="636" t="s">
        <v>709</v>
      </c>
      <c r="AZ94" s="443">
        <v>10</v>
      </c>
      <c r="BA94" s="334" t="s">
        <v>3</v>
      </c>
      <c r="BB94" s="652" t="s">
        <v>1331</v>
      </c>
      <c r="BC94" s="644" t="s">
        <v>1332</v>
      </c>
      <c r="BD94" s="478" t="s">
        <v>115</v>
      </c>
      <c r="BE94" s="544" t="s">
        <v>1333</v>
      </c>
      <c r="BF94" s="544" t="s">
        <v>1334</v>
      </c>
      <c r="BG94" s="544" t="s">
        <v>115</v>
      </c>
      <c r="BH94" s="512" t="s">
        <v>1335</v>
      </c>
      <c r="BI94" s="645"/>
      <c r="BJ94" s="511" t="s">
        <v>709</v>
      </c>
      <c r="BK94" s="546" t="s">
        <v>709</v>
      </c>
      <c r="BL94" s="546" t="s">
        <v>709</v>
      </c>
      <c r="BM94" s="546" t="s">
        <v>116</v>
      </c>
      <c r="BN94" s="546" t="s">
        <v>709</v>
      </c>
      <c r="BO94" s="546" t="s">
        <v>709</v>
      </c>
      <c r="BP94" s="546" t="s">
        <v>709</v>
      </c>
      <c r="BQ94" s="546">
        <v>7001</v>
      </c>
      <c r="BR94" s="546">
        <v>18</v>
      </c>
      <c r="BS94" s="546">
        <v>110</v>
      </c>
      <c r="BT94" s="546">
        <v>361</v>
      </c>
      <c r="BU94" s="546" t="s">
        <v>745</v>
      </c>
      <c r="BV94" s="546" t="s">
        <v>709</v>
      </c>
      <c r="BW94" s="546" t="s">
        <v>745</v>
      </c>
      <c r="BX94" s="546" t="s">
        <v>709</v>
      </c>
      <c r="BY94" s="546" t="s">
        <v>745</v>
      </c>
      <c r="BZ94" s="546" t="s">
        <v>709</v>
      </c>
      <c r="CA94" s="506"/>
    </row>
    <row r="95" spans="1:79" ht="15" hidden="1" customHeight="1" x14ac:dyDescent="0.25">
      <c r="A95" s="8" t="s">
        <v>781</v>
      </c>
      <c r="B95" s="8" t="s">
        <v>1205</v>
      </c>
      <c r="C95" s="8" t="s">
        <v>262</v>
      </c>
      <c r="D95" s="656" t="s">
        <v>1336</v>
      </c>
      <c r="E95" s="8" t="s">
        <v>263</v>
      </c>
      <c r="F95" s="8" t="s">
        <v>747</v>
      </c>
      <c r="G95" s="8" t="s">
        <v>36</v>
      </c>
      <c r="H95" s="8" t="s">
        <v>59</v>
      </c>
      <c r="I95" s="642">
        <v>44683</v>
      </c>
      <c r="J95" s="18">
        <v>44799</v>
      </c>
      <c r="K95" s="97">
        <v>44799</v>
      </c>
      <c r="L95" s="16">
        <f>IF(ISTEXT(Table157[[#This Row],[Engineering Approved Design Date]]),Table157[[#This Row],[Date Completed]]-Table157[[#This Row],[Date Assigned to Designer]],Table157[[#This Row],[Engineering Approved Design Date]]-Table157[[#This Row],[Date Completed]])</f>
        <v>0</v>
      </c>
      <c r="M95" s="642"/>
      <c r="N95" s="642" t="s">
        <v>120</v>
      </c>
      <c r="O95" s="590">
        <v>44805</v>
      </c>
      <c r="P95" s="68" t="s">
        <v>120</v>
      </c>
      <c r="Q95" s="375">
        <f>R95*AA95</f>
        <v>85129.174799999993</v>
      </c>
      <c r="R95" s="75">
        <v>0.09</v>
      </c>
      <c r="U95" s="87"/>
      <c r="V95" s="437">
        <v>997</v>
      </c>
      <c r="X95" s="94">
        <v>893074.41</v>
      </c>
      <c r="Y95" s="592"/>
      <c r="Z95" s="552">
        <v>52805.31</v>
      </c>
      <c r="AA95" s="300">
        <f>Table157[[#This Row],[PCTS Investment Amount]]+Table157[[#This Row],[PCTS Retirement Amount]]</f>
        <v>945879.72</v>
      </c>
      <c r="AB95" s="212">
        <v>44820</v>
      </c>
      <c r="AC95" s="108" t="s">
        <v>116</v>
      </c>
      <c r="AD95" s="108"/>
      <c r="AE95" s="349"/>
      <c r="AF95" s="579"/>
      <c r="AG95" s="579"/>
      <c r="AH95" s="354"/>
      <c r="AI95" s="341"/>
      <c r="AJ95" s="183"/>
      <c r="AK95" s="183"/>
      <c r="AL95" s="494">
        <f>SUM(Table157[[#This Row],[Nicor Initiated DBE]:[Staffing]])/(Table157[[#This Row],[Amount Invoiced]])</f>
        <v>0</v>
      </c>
      <c r="AM95" s="21" t="s">
        <v>116</v>
      </c>
      <c r="AN95" s="680" t="s">
        <v>709</v>
      </c>
      <c r="AO95" s="681">
        <v>11042197</v>
      </c>
      <c r="AP95" s="572"/>
      <c r="AQ95" s="572"/>
      <c r="AR95" s="572"/>
      <c r="AS95" s="538">
        <f>IF(Table157[[#This Row],[PCTS Approved]]="N",0,Table157[[#This Row],[Investment Amount (1'#'#'#'#'#)]]+Table157[[#This Row],[Retirement Amount (3'#'#'#'#'#)]])</f>
        <v>0</v>
      </c>
      <c r="AT95" s="538">
        <f>IF(Table157[[#This Row],[Approved Construction Cost]]=0,0,Table157[[#This Row],[Approved Construction Cost]]-Table157[[#This Row],[Construction Cost to Bill From]])</f>
        <v>0</v>
      </c>
      <c r="AU95" s="538">
        <f>IFERROR(Table157[[#This Row],[Difference in Construction Cost]]*Table157[[#This Row],[Rate]],Table157[[#This Row],[Difference in Construction Cost]]*0.085)</f>
        <v>0</v>
      </c>
      <c r="AV95" s="572"/>
      <c r="AW95" s="639"/>
      <c r="AX95" s="538"/>
      <c r="AY95" s="636" t="s">
        <v>709</v>
      </c>
      <c r="AZ95" s="443">
        <v>25</v>
      </c>
      <c r="BA95" s="334" t="s">
        <v>3</v>
      </c>
      <c r="BB95" s="652" t="s">
        <v>1337</v>
      </c>
      <c r="BC95" s="644" t="s">
        <v>1338</v>
      </c>
      <c r="BD95" s="478" t="s">
        <v>115</v>
      </c>
      <c r="BE95" s="544" t="s">
        <v>115</v>
      </c>
      <c r="BF95" s="544" t="s">
        <v>1339</v>
      </c>
      <c r="BG95" s="544" t="s">
        <v>115</v>
      </c>
      <c r="BH95" s="512" t="s">
        <v>1340</v>
      </c>
      <c r="BI95" s="645"/>
      <c r="BJ95" s="511" t="s">
        <v>709</v>
      </c>
      <c r="BK95" s="546" t="s">
        <v>709</v>
      </c>
      <c r="BL95" s="546" t="s">
        <v>116</v>
      </c>
      <c r="BM95" s="546" t="s">
        <v>709</v>
      </c>
      <c r="BN95" s="546" t="s">
        <v>709</v>
      </c>
      <c r="BO95" s="546">
        <v>769</v>
      </c>
      <c r="BP95" s="546" t="s">
        <v>709</v>
      </c>
      <c r="BQ95" s="546" t="s">
        <v>709</v>
      </c>
      <c r="BR95" s="546">
        <v>173</v>
      </c>
      <c r="BS95" s="546">
        <v>55</v>
      </c>
      <c r="BT95" s="546" t="s">
        <v>709</v>
      </c>
      <c r="BU95" s="546" t="s">
        <v>745</v>
      </c>
      <c r="BV95" s="546" t="s">
        <v>709</v>
      </c>
      <c r="BW95" s="546" t="s">
        <v>745</v>
      </c>
      <c r="BX95" s="546" t="s">
        <v>709</v>
      </c>
      <c r="BY95" s="546" t="s">
        <v>745</v>
      </c>
      <c r="BZ95" s="546" t="s">
        <v>745</v>
      </c>
      <c r="CA95" s="506"/>
    </row>
    <row r="96" spans="1:79" ht="15" hidden="1" customHeight="1" x14ac:dyDescent="0.25">
      <c r="A96" s="8" t="s">
        <v>781</v>
      </c>
      <c r="B96" s="8" t="s">
        <v>4</v>
      </c>
      <c r="C96" s="8" t="s">
        <v>1341</v>
      </c>
      <c r="D96" s="8" t="s">
        <v>1342</v>
      </c>
      <c r="E96" s="8" t="s">
        <v>1136</v>
      </c>
      <c r="F96" s="8" t="s">
        <v>784</v>
      </c>
      <c r="G96" s="8" t="s">
        <v>35</v>
      </c>
      <c r="H96" s="8" t="s">
        <v>59</v>
      </c>
      <c r="I96" s="642">
        <v>44718</v>
      </c>
      <c r="J96" s="18">
        <v>44819</v>
      </c>
      <c r="K96" s="97">
        <v>44817</v>
      </c>
      <c r="L96" s="16">
        <f>IF(ISTEXT(Table157[[#This Row],[Engineering Approved Design Date]]),Table157[[#This Row],[Date Completed]]-Table157[[#This Row],[Date Assigned to Designer]],Table157[[#This Row],[Engineering Approved Design Date]]-Table157[[#This Row],[Date Completed]])</f>
        <v>2</v>
      </c>
      <c r="M96" s="642"/>
      <c r="N96" s="642" t="s">
        <v>120</v>
      </c>
      <c r="O96" s="534">
        <v>44835</v>
      </c>
      <c r="P96" s="68" t="s">
        <v>739</v>
      </c>
      <c r="Q96" s="375">
        <f>R96*AA96</f>
        <v>83840.455000000016</v>
      </c>
      <c r="R96" s="75">
        <v>0.1</v>
      </c>
      <c r="U96" s="87"/>
      <c r="V96" s="437">
        <v>2909</v>
      </c>
      <c r="X96" s="220">
        <v>798419.77</v>
      </c>
      <c r="Y96" s="592"/>
      <c r="Z96" s="571">
        <v>39984.78</v>
      </c>
      <c r="AA96" s="300">
        <f>Table157[[#This Row],[PCTS Investment Amount]]+Table157[[#This Row],[PCTS Retirement Amount]]</f>
        <v>838404.55</v>
      </c>
      <c r="AB96" s="207">
        <v>44853</v>
      </c>
      <c r="AC96" s="108" t="s">
        <v>709</v>
      </c>
      <c r="AD96" s="108" t="s">
        <v>29</v>
      </c>
      <c r="AE96" s="349"/>
      <c r="AF96" s="579"/>
      <c r="AG96" s="579"/>
      <c r="AH96" s="354"/>
      <c r="AI96" s="489"/>
      <c r="AJ96" s="553"/>
      <c r="AK96" s="553"/>
      <c r="AL96" s="495">
        <f>SUM(Table157[[#This Row],[Nicor Initiated DBE]:[Staffing]])/(Table157[[#This Row],[Amount Invoiced]])</f>
        <v>0</v>
      </c>
      <c r="AM96" s="21" t="s">
        <v>116</v>
      </c>
      <c r="AN96" s="680" t="s">
        <v>709</v>
      </c>
      <c r="AO96" s="601" t="s">
        <v>115</v>
      </c>
      <c r="AP96" s="572"/>
      <c r="AQ96" s="572"/>
      <c r="AR96" s="572"/>
      <c r="AS96" s="538">
        <f>IF(Table157[[#This Row],[PCTS Approved]]="N",0,Table157[[#This Row],[Investment Amount (1'#'#'#'#'#)]]+Table157[[#This Row],[Retirement Amount (3'#'#'#'#'#)]])</f>
        <v>0</v>
      </c>
      <c r="AT96" s="538">
        <f>IF(Table157[[#This Row],[Approved Construction Cost]]=0,0,Table157[[#This Row],[Approved Construction Cost]]-Table157[[#This Row],[Construction Cost to Bill From]])</f>
        <v>0</v>
      </c>
      <c r="AU96" s="538">
        <f>IFERROR(Table157[[#This Row],[Difference in Construction Cost]]*Table157[[#This Row],[Rate]],Table157[[#This Row],[Difference in Construction Cost]]*0.085)</f>
        <v>0</v>
      </c>
      <c r="AV96" s="572"/>
      <c r="AW96" s="639"/>
      <c r="AX96" s="538"/>
      <c r="AY96" s="636" t="s">
        <v>709</v>
      </c>
      <c r="AZ96" s="443">
        <v>71</v>
      </c>
      <c r="BA96" s="334" t="s">
        <v>4</v>
      </c>
      <c r="BB96" s="652" t="s">
        <v>1343</v>
      </c>
      <c r="BC96" s="644" t="s">
        <v>1344</v>
      </c>
      <c r="BD96" s="478" t="s">
        <v>115</v>
      </c>
      <c r="BE96" s="544" t="s">
        <v>115</v>
      </c>
      <c r="BF96" s="544" t="s">
        <v>115</v>
      </c>
      <c r="BG96" s="544" t="s">
        <v>1028</v>
      </c>
      <c r="BH96" s="512" t="s">
        <v>115</v>
      </c>
      <c r="BI96" s="545"/>
      <c r="BJ96" s="511" t="s">
        <v>709</v>
      </c>
      <c r="BK96" s="546" t="s">
        <v>709</v>
      </c>
      <c r="BL96" s="546" t="s">
        <v>709</v>
      </c>
      <c r="BM96" s="546" t="s">
        <v>116</v>
      </c>
      <c r="BN96" s="546" t="s">
        <v>709</v>
      </c>
      <c r="BO96" s="546" t="s">
        <v>709</v>
      </c>
      <c r="BP96" s="546" t="s">
        <v>709</v>
      </c>
      <c r="BQ96" s="546" t="s">
        <v>709</v>
      </c>
      <c r="BR96" s="546">
        <v>133</v>
      </c>
      <c r="BS96" s="546" t="s">
        <v>709</v>
      </c>
      <c r="BT96" s="546">
        <v>2027</v>
      </c>
      <c r="BU96" s="546" t="s">
        <v>745</v>
      </c>
      <c r="BV96" s="546" t="s">
        <v>709</v>
      </c>
      <c r="BW96" s="546" t="s">
        <v>745</v>
      </c>
      <c r="BX96" s="546" t="s">
        <v>709</v>
      </c>
      <c r="BY96" s="546" t="s">
        <v>745</v>
      </c>
      <c r="BZ96" s="546" t="s">
        <v>745</v>
      </c>
      <c r="CA96" s="506"/>
    </row>
    <row r="97" spans="1:79" ht="15" hidden="1" customHeight="1" x14ac:dyDescent="0.25">
      <c r="A97" s="8" t="s">
        <v>749</v>
      </c>
      <c r="B97" s="8" t="s">
        <v>730</v>
      </c>
      <c r="C97" s="8" t="s">
        <v>1345</v>
      </c>
      <c r="D97" s="8" t="s">
        <v>1346</v>
      </c>
      <c r="E97" s="8" t="s">
        <v>1347</v>
      </c>
      <c r="F97" s="8" t="s">
        <v>752</v>
      </c>
      <c r="G97" s="8" t="s">
        <v>36</v>
      </c>
      <c r="H97" s="8" t="s">
        <v>59</v>
      </c>
      <c r="I97" s="642">
        <v>44739</v>
      </c>
      <c r="J97" s="18">
        <v>44834</v>
      </c>
      <c r="K97" s="97">
        <v>44824</v>
      </c>
      <c r="L97" s="16">
        <f>IF(ISTEXT(Table157[[#This Row],[Engineering Approved Design Date]]),Table157[[#This Row],[Date Completed]]-Table157[[#This Row],[Date Assigned to Designer]],Table157[[#This Row],[Engineering Approved Design Date]]-Table157[[#This Row],[Date Completed]])</f>
        <v>10</v>
      </c>
      <c r="M97" s="642"/>
      <c r="N97" s="642" t="s">
        <v>120</v>
      </c>
      <c r="O97" s="534">
        <v>44835</v>
      </c>
      <c r="P97" s="68" t="s">
        <v>120</v>
      </c>
      <c r="Q97" s="375">
        <f>R97*AA97</f>
        <v>25770.5658</v>
      </c>
      <c r="R97" s="75">
        <v>0.09</v>
      </c>
      <c r="U97" s="87"/>
      <c r="V97" s="437">
        <v>2147</v>
      </c>
      <c r="X97" s="106">
        <v>271016.56</v>
      </c>
      <c r="Y97" s="592"/>
      <c r="Z97" s="570">
        <v>15323.06</v>
      </c>
      <c r="AA97" s="300">
        <f>Table157[[#This Row],[PCTS Investment Amount]]+Table157[[#This Row],[PCTS Retirement Amount]]</f>
        <v>286339.62</v>
      </c>
      <c r="AB97" s="207">
        <v>44831</v>
      </c>
      <c r="AC97" s="108" t="s">
        <v>709</v>
      </c>
      <c r="AD97" s="108" t="s">
        <v>29</v>
      </c>
      <c r="AE97" s="349"/>
      <c r="AF97" s="579"/>
      <c r="AG97" s="579"/>
      <c r="AH97" s="354"/>
      <c r="AI97" s="341"/>
      <c r="AJ97" s="183"/>
      <c r="AK97" s="183"/>
      <c r="AL97" s="494">
        <f>SUM(Table157[[#This Row],[Nicor Initiated DBE]:[Staffing]])/(Table157[[#This Row],[Amount Invoiced]])</f>
        <v>0</v>
      </c>
      <c r="AM97" s="21" t="s">
        <v>116</v>
      </c>
      <c r="AN97" s="634" t="s">
        <v>709</v>
      </c>
      <c r="AO97" s="601" t="s">
        <v>115</v>
      </c>
      <c r="AP97" s="572"/>
      <c r="AQ97" s="572"/>
      <c r="AR97" s="572"/>
      <c r="AS97" s="538">
        <f>IF(Table157[[#This Row],[PCTS Approved]]="N",0,Table157[[#This Row],[Investment Amount (1'#'#'#'#'#)]]+Table157[[#This Row],[Retirement Amount (3'#'#'#'#'#)]])</f>
        <v>0</v>
      </c>
      <c r="AT97" s="538">
        <f>IF(Table157[[#This Row],[Approved Construction Cost]]=0,0,Table157[[#This Row],[Approved Construction Cost]]-Table157[[#This Row],[Construction Cost to Bill From]])</f>
        <v>0</v>
      </c>
      <c r="AU97" s="538">
        <f>IFERROR(Table157[[#This Row],[Difference in Construction Cost]]*Table157[[#This Row],[Rate]],Table157[[#This Row],[Difference in Construction Cost]]*0.085)</f>
        <v>0</v>
      </c>
      <c r="AV97" s="572"/>
      <c r="AW97" s="639"/>
      <c r="AX97" s="538"/>
      <c r="AY97" s="636" t="s">
        <v>709</v>
      </c>
      <c r="AZ97" s="443">
        <v>26</v>
      </c>
      <c r="BA97" s="334" t="s">
        <v>2</v>
      </c>
      <c r="BB97" s="652" t="s">
        <v>1348</v>
      </c>
      <c r="BC97" s="644" t="s">
        <v>1349</v>
      </c>
      <c r="BD97" s="478" t="s">
        <v>115</v>
      </c>
      <c r="BE97" s="544" t="s">
        <v>837</v>
      </c>
      <c r="BF97" s="544" t="s">
        <v>1350</v>
      </c>
      <c r="BG97" s="544" t="s">
        <v>115</v>
      </c>
      <c r="BH97" s="512" t="s">
        <v>115</v>
      </c>
      <c r="BI97" s="645"/>
      <c r="BJ97" s="511" t="s">
        <v>709</v>
      </c>
      <c r="BK97" s="546" t="s">
        <v>709</v>
      </c>
      <c r="BL97" s="546" t="s">
        <v>709</v>
      </c>
      <c r="BM97" s="546" t="s">
        <v>116</v>
      </c>
      <c r="BN97" s="546" t="s">
        <v>709</v>
      </c>
      <c r="BO97" s="546" t="s">
        <v>709</v>
      </c>
      <c r="BP97" s="546" t="s">
        <v>709</v>
      </c>
      <c r="BQ97" s="546" t="s">
        <v>709</v>
      </c>
      <c r="BR97" s="546" t="s">
        <v>709</v>
      </c>
      <c r="BS97" s="546">
        <v>2174</v>
      </c>
      <c r="BT97" s="546" t="s">
        <v>709</v>
      </c>
      <c r="BU97" s="546" t="s">
        <v>745</v>
      </c>
      <c r="BV97" s="546" t="s">
        <v>709</v>
      </c>
      <c r="BW97" s="546" t="s">
        <v>745</v>
      </c>
      <c r="BX97" s="546" t="s">
        <v>709</v>
      </c>
      <c r="BY97" s="546" t="s">
        <v>709</v>
      </c>
      <c r="BZ97" s="546" t="s">
        <v>745</v>
      </c>
      <c r="CA97" s="506"/>
    </row>
    <row r="98" spans="1:79" ht="15" hidden="1" customHeight="1" x14ac:dyDescent="0.25">
      <c r="A98" s="8" t="s">
        <v>749</v>
      </c>
      <c r="B98" s="8" t="s">
        <v>730</v>
      </c>
      <c r="C98" s="8" t="s">
        <v>304</v>
      </c>
      <c r="D98" s="8" t="s">
        <v>1351</v>
      </c>
      <c r="E98" s="8" t="s">
        <v>1352</v>
      </c>
      <c r="F98" s="8" t="s">
        <v>752</v>
      </c>
      <c r="G98" s="8" t="s">
        <v>36</v>
      </c>
      <c r="H98" s="8" t="s">
        <v>59</v>
      </c>
      <c r="I98" s="642">
        <v>44733</v>
      </c>
      <c r="J98" s="18">
        <v>44825</v>
      </c>
      <c r="K98" s="97">
        <v>44824</v>
      </c>
      <c r="L98" s="16">
        <f>IF(ISTEXT(Table157[[#This Row],[Engineering Approved Design Date]]),Table157[[#This Row],[Date Completed]]-Table157[[#This Row],[Date Assigned to Designer]],Table157[[#This Row],[Engineering Approved Design Date]]-Table157[[#This Row],[Date Completed]])</f>
        <v>1</v>
      </c>
      <c r="M98" s="642"/>
      <c r="N98" s="642" t="s">
        <v>120</v>
      </c>
      <c r="O98" s="558">
        <f>Table157[[#This Row],[Date Completed]]</f>
        <v>44824</v>
      </c>
      <c r="P98" s="68" t="s">
        <v>120</v>
      </c>
      <c r="Q98" s="375">
        <f>(Table157[[#This Row],[Construction Cost to Bill From]]*0.085)+(5250*1)</f>
        <v>30110.493150000002</v>
      </c>
      <c r="R98" s="75" t="s">
        <v>794</v>
      </c>
      <c r="U98" s="87"/>
      <c r="V98" s="437">
        <v>562</v>
      </c>
      <c r="W98" s="466"/>
      <c r="X98" s="94">
        <v>245071.24</v>
      </c>
      <c r="Y98" s="592"/>
      <c r="Z98" s="552">
        <v>47405.15</v>
      </c>
      <c r="AA98" s="300">
        <f>Table157[[#This Row],[PCTS Investment Amount]]+Table157[[#This Row],[PCTS Retirement Amount]]</f>
        <v>292476.39</v>
      </c>
      <c r="AB98" s="207">
        <v>44830</v>
      </c>
      <c r="AC98" s="108" t="s">
        <v>1056</v>
      </c>
      <c r="AD98" s="108" t="s">
        <v>29</v>
      </c>
      <c r="AE98" s="349"/>
      <c r="AF98" s="579"/>
      <c r="AG98" s="579"/>
      <c r="AH98" s="354"/>
      <c r="AI98" s="341"/>
      <c r="AJ98" s="183"/>
      <c r="AK98" s="183"/>
      <c r="AL98" s="494">
        <f>SUM(Table157[[#This Row],[Nicor Initiated DBE]:[Staffing]])/(Table157[[#This Row],[Amount Invoiced]])</f>
        <v>0</v>
      </c>
      <c r="AM98" s="21" t="s">
        <v>116</v>
      </c>
      <c r="AN98" s="634" t="s">
        <v>709</v>
      </c>
      <c r="AO98" s="601">
        <v>11042622</v>
      </c>
      <c r="AP98" s="572"/>
      <c r="AQ98" s="572"/>
      <c r="AR98" s="572"/>
      <c r="AS98" s="538">
        <f>IF(Table157[[#This Row],[PCTS Approved]]="N",0,Table157[[#This Row],[Investment Amount (1'#'#'#'#'#)]]+Table157[[#This Row],[Retirement Amount (3'#'#'#'#'#)]])</f>
        <v>0</v>
      </c>
      <c r="AT98" s="538">
        <f>IF(Table157[[#This Row],[Approved Construction Cost]]=0,0,Table157[[#This Row],[Approved Construction Cost]]-Table157[[#This Row],[Construction Cost to Bill From]])</f>
        <v>0</v>
      </c>
      <c r="AU98" s="538">
        <f>IFERROR(Table157[[#This Row],[Difference in Construction Cost]]*Table157[[#This Row],[Rate]],Table157[[#This Row],[Difference in Construction Cost]]*0.085)</f>
        <v>0</v>
      </c>
      <c r="AV98" s="572"/>
      <c r="AW98" s="639"/>
      <c r="AX98" s="538"/>
      <c r="AY98" s="636" t="s">
        <v>709</v>
      </c>
      <c r="AZ98" s="443">
        <v>175</v>
      </c>
      <c r="BA98" s="334" t="s">
        <v>2</v>
      </c>
      <c r="BB98" s="652" t="s">
        <v>1353</v>
      </c>
      <c r="BC98" s="644" t="s">
        <v>1354</v>
      </c>
      <c r="BD98" s="478" t="s">
        <v>116</v>
      </c>
      <c r="BE98" s="544" t="s">
        <v>115</v>
      </c>
      <c r="BF98" s="544" t="s">
        <v>1355</v>
      </c>
      <c r="BG98" s="544" t="s">
        <v>115</v>
      </c>
      <c r="BH98" s="512" t="s">
        <v>115</v>
      </c>
      <c r="BI98" s="645" t="s">
        <v>1356</v>
      </c>
      <c r="BJ98" s="511" t="s">
        <v>709</v>
      </c>
      <c r="BK98" s="546" t="s">
        <v>709</v>
      </c>
      <c r="BL98" s="546" t="s">
        <v>116</v>
      </c>
      <c r="BM98" s="546" t="s">
        <v>116</v>
      </c>
      <c r="BN98" s="546" t="s">
        <v>709</v>
      </c>
      <c r="BO98" s="546" t="s">
        <v>709</v>
      </c>
      <c r="BP98" s="546" t="s">
        <v>709</v>
      </c>
      <c r="BQ98" s="546" t="s">
        <v>709</v>
      </c>
      <c r="BR98" s="546" t="s">
        <v>709</v>
      </c>
      <c r="BS98" s="546">
        <v>406</v>
      </c>
      <c r="BT98" s="546">
        <v>156</v>
      </c>
      <c r="BU98" s="546" t="s">
        <v>709</v>
      </c>
      <c r="BV98" s="546">
        <v>1</v>
      </c>
      <c r="BW98" s="546" t="s">
        <v>709</v>
      </c>
      <c r="BX98" s="546" t="s">
        <v>709</v>
      </c>
      <c r="BY98" s="546">
        <v>1</v>
      </c>
      <c r="BZ98" s="546" t="s">
        <v>709</v>
      </c>
      <c r="CA98" s="506" t="s">
        <v>2</v>
      </c>
    </row>
    <row r="99" spans="1:79" ht="15" hidden="1" customHeight="1" x14ac:dyDescent="0.25">
      <c r="A99" s="8" t="s">
        <v>781</v>
      </c>
      <c r="B99" s="8" t="s">
        <v>4</v>
      </c>
      <c r="C99" s="8" t="s">
        <v>1357</v>
      </c>
      <c r="D99" s="8" t="s">
        <v>1358</v>
      </c>
      <c r="E99" s="8" t="s">
        <v>958</v>
      </c>
      <c r="F99" s="8" t="s">
        <v>784</v>
      </c>
      <c r="G99" s="8" t="s">
        <v>35</v>
      </c>
      <c r="H99" s="8" t="s">
        <v>59</v>
      </c>
      <c r="I99" s="642">
        <v>44774</v>
      </c>
      <c r="J99" s="18">
        <v>44862</v>
      </c>
      <c r="K99" s="97">
        <v>44852</v>
      </c>
      <c r="L99" s="16">
        <f>IF(ISTEXT(Table157[[#This Row],[Engineering Approved Design Date]]),Table157[[#This Row],[Date Completed]]-Table157[[#This Row],[Date Assigned to Designer]],Table157[[#This Row],[Engineering Approved Design Date]]-Table157[[#This Row],[Date Completed]])</f>
        <v>10</v>
      </c>
      <c r="M99" s="642"/>
      <c r="N99" s="642" t="s">
        <v>120</v>
      </c>
      <c r="O99" s="510">
        <v>44896</v>
      </c>
      <c r="P99" s="68" t="s">
        <v>739</v>
      </c>
      <c r="Q99" s="375">
        <f>R99*AA99</f>
        <v>77940.687000000005</v>
      </c>
      <c r="R99" s="75">
        <v>0.1</v>
      </c>
      <c r="U99" s="87"/>
      <c r="V99" s="437">
        <f>1052+1889</f>
        <v>2941</v>
      </c>
      <c r="X99" s="106">
        <v>747426.32</v>
      </c>
      <c r="Y99" s="592"/>
      <c r="Z99" s="570">
        <v>31980.55</v>
      </c>
      <c r="AA99" s="300">
        <f>Table157[[#This Row],[PCTS Investment Amount]]+Table157[[#This Row],[PCTS Retirement Amount]]</f>
        <v>779406.87</v>
      </c>
      <c r="AB99" s="207">
        <v>44886</v>
      </c>
      <c r="AC99" s="108" t="s">
        <v>709</v>
      </c>
      <c r="AD99" s="108" t="s">
        <v>709</v>
      </c>
      <c r="AE99" s="349"/>
      <c r="AF99" s="579"/>
      <c r="AG99" s="579"/>
      <c r="AH99" s="354"/>
      <c r="AI99" s="489"/>
      <c r="AJ99" s="553"/>
      <c r="AK99" s="553"/>
      <c r="AL99" s="495">
        <f>SUM(Table157[[#This Row],[Nicor Initiated DBE]:[Staffing]])/(Table157[[#This Row],[Amount Invoiced]])</f>
        <v>0</v>
      </c>
      <c r="AM99" s="21" t="s">
        <v>116</v>
      </c>
      <c r="AN99" s="680" t="s">
        <v>709</v>
      </c>
      <c r="AO99" s="601" t="s">
        <v>115</v>
      </c>
      <c r="AP99" s="572"/>
      <c r="AQ99" s="572"/>
      <c r="AR99" s="572"/>
      <c r="AS99" s="538">
        <f>IF(Table157[[#This Row],[PCTS Approved]]="N",0,Table157[[#This Row],[Investment Amount (1'#'#'#'#'#)]]+Table157[[#This Row],[Retirement Amount (3'#'#'#'#'#)]])</f>
        <v>0</v>
      </c>
      <c r="AT99" s="538">
        <f>IF(Table157[[#This Row],[Approved Construction Cost]]=0,0,Table157[[#This Row],[Approved Construction Cost]]-Table157[[#This Row],[Construction Cost to Bill From]])</f>
        <v>0</v>
      </c>
      <c r="AU99" s="538">
        <f>IFERROR(Table157[[#This Row],[Difference in Construction Cost]]*Table157[[#This Row],[Rate]],Table157[[#This Row],[Difference in Construction Cost]]*0.085)</f>
        <v>0</v>
      </c>
      <c r="AV99" s="572"/>
      <c r="AW99" s="639"/>
      <c r="AX99" s="538"/>
      <c r="AY99" s="636" t="s">
        <v>709</v>
      </c>
      <c r="AZ99" s="443">
        <v>72</v>
      </c>
      <c r="BA99" s="334" t="s">
        <v>4</v>
      </c>
      <c r="BB99" s="657">
        <v>7</v>
      </c>
      <c r="BC99" s="650" t="s">
        <v>1359</v>
      </c>
      <c r="BD99" s="478" t="s">
        <v>116</v>
      </c>
      <c r="BE99" s="544" t="s">
        <v>115</v>
      </c>
      <c r="BF99" s="544" t="s">
        <v>592</v>
      </c>
      <c r="BG99" s="544" t="s">
        <v>115</v>
      </c>
      <c r="BH99" s="512" t="s">
        <v>115</v>
      </c>
      <c r="BI99" s="545"/>
      <c r="BJ99" s="511" t="s">
        <v>709</v>
      </c>
      <c r="BK99" s="546" t="s">
        <v>709</v>
      </c>
      <c r="BL99" s="546" t="s">
        <v>709</v>
      </c>
      <c r="BM99" s="546" t="s">
        <v>116</v>
      </c>
      <c r="BN99" s="546" t="s">
        <v>709</v>
      </c>
      <c r="BO99" s="546" t="s">
        <v>709</v>
      </c>
      <c r="BP99" s="546" t="s">
        <v>709</v>
      </c>
      <c r="BQ99" s="546" t="s">
        <v>709</v>
      </c>
      <c r="BR99" s="546" t="s">
        <v>709</v>
      </c>
      <c r="BS99" s="546">
        <v>1889</v>
      </c>
      <c r="BT99" s="546">
        <v>1052</v>
      </c>
      <c r="BU99" s="546" t="s">
        <v>745</v>
      </c>
      <c r="BV99" s="546" t="s">
        <v>709</v>
      </c>
      <c r="BW99" s="546" t="s">
        <v>745</v>
      </c>
      <c r="BX99" s="546" t="s">
        <v>709</v>
      </c>
      <c r="BY99" s="546" t="s">
        <v>745</v>
      </c>
      <c r="BZ99" s="546" t="s">
        <v>745</v>
      </c>
      <c r="CA99" s="506"/>
    </row>
    <row r="100" spans="1:79" ht="15" hidden="1" customHeight="1" x14ac:dyDescent="0.25">
      <c r="A100" s="8" t="s">
        <v>781</v>
      </c>
      <c r="B100" s="8" t="s">
        <v>1073</v>
      </c>
      <c r="C100" s="8" t="s">
        <v>1360</v>
      </c>
      <c r="D100" s="656" t="s">
        <v>1361</v>
      </c>
      <c r="E100" s="8" t="s">
        <v>281</v>
      </c>
      <c r="F100" s="8" t="s">
        <v>784</v>
      </c>
      <c r="G100" s="8" t="s">
        <v>37</v>
      </c>
      <c r="H100" s="8" t="s">
        <v>59</v>
      </c>
      <c r="I100" s="642">
        <v>44818</v>
      </c>
      <c r="J100" s="18">
        <v>44876</v>
      </c>
      <c r="K100" s="97">
        <v>44859</v>
      </c>
      <c r="L100" s="16">
        <f>IF(ISTEXT(Table157[[#This Row],[Engineering Approved Design Date]]),Table157[[#This Row],[Date Completed]]-Table157[[#This Row],[Date Assigned to Designer]],Table157[[#This Row],[Engineering Approved Design Date]]-Table157[[#This Row],[Date Completed]])</f>
        <v>17</v>
      </c>
      <c r="M100" s="642"/>
      <c r="N100" s="642" t="s">
        <v>120</v>
      </c>
      <c r="O100" s="534">
        <v>44866</v>
      </c>
      <c r="P100" s="68" t="s">
        <v>739</v>
      </c>
      <c r="Q100" s="435">
        <f>R100*AA100</f>
        <v>18768.990100000003</v>
      </c>
      <c r="R100" s="75">
        <v>7.0000000000000007E-2</v>
      </c>
      <c r="U100" s="87"/>
      <c r="V100" s="437">
        <v>1175</v>
      </c>
      <c r="X100" s="106">
        <v>254704.24</v>
      </c>
      <c r="Y100" s="592"/>
      <c r="Z100" s="570">
        <v>13424.19</v>
      </c>
      <c r="AA100" s="300">
        <f>Table157[[#This Row],[PCTS Investment Amount]]+Table157[[#This Row],[PCTS Retirement Amount]]</f>
        <v>268128.43</v>
      </c>
      <c r="AB100" s="207">
        <v>44860</v>
      </c>
      <c r="AC100" s="108" t="s">
        <v>709</v>
      </c>
      <c r="AD100" s="108" t="s">
        <v>116</v>
      </c>
      <c r="AE100" s="349"/>
      <c r="AF100" s="579"/>
      <c r="AG100" s="579"/>
      <c r="AH100" s="354"/>
      <c r="AI100" s="341"/>
      <c r="AJ100" s="183"/>
      <c r="AK100" s="183"/>
      <c r="AL100" s="494">
        <f>SUM(Table157[[#This Row],[Nicor Initiated DBE]:[Staffing]])/(Table157[[#This Row],[Amount Invoiced]])</f>
        <v>0</v>
      </c>
      <c r="AM100" s="21" t="s">
        <v>116</v>
      </c>
      <c r="AN100" s="680" t="s">
        <v>709</v>
      </c>
      <c r="AO100" s="601" t="s">
        <v>115</v>
      </c>
      <c r="AP100" s="572"/>
      <c r="AQ100" s="572"/>
      <c r="AR100" s="572"/>
      <c r="AS100" s="538">
        <f>IF(Table157[[#This Row],[PCTS Approved]]="N",0,Table157[[#This Row],[Investment Amount (1'#'#'#'#'#)]]+Table157[[#This Row],[Retirement Amount (3'#'#'#'#'#)]])</f>
        <v>0</v>
      </c>
      <c r="AT100" s="538">
        <f>IF(Table157[[#This Row],[Approved Construction Cost]]=0,0,Table157[[#This Row],[Approved Construction Cost]]-Table157[[#This Row],[Construction Cost to Bill From]])</f>
        <v>0</v>
      </c>
      <c r="AU100" s="538">
        <f>IFERROR(Table157[[#This Row],[Difference in Construction Cost]]*Table157[[#This Row],[Rate]],Table157[[#This Row],[Difference in Construction Cost]]*0.085)</f>
        <v>0</v>
      </c>
      <c r="AV100" s="572"/>
      <c r="AW100" s="639"/>
      <c r="AX100" s="538"/>
      <c r="AY100" s="636" t="s">
        <v>709</v>
      </c>
      <c r="AZ100" s="443">
        <v>11</v>
      </c>
      <c r="BA100" s="334" t="s">
        <v>3</v>
      </c>
      <c r="BB100" s="652" t="s">
        <v>1362</v>
      </c>
      <c r="BC100" s="644" t="s">
        <v>1363</v>
      </c>
      <c r="BD100" s="478" t="s">
        <v>115</v>
      </c>
      <c r="BE100" s="544" t="s">
        <v>115</v>
      </c>
      <c r="BF100" s="544" t="s">
        <v>1364</v>
      </c>
      <c r="BG100" s="544" t="s">
        <v>1364</v>
      </c>
      <c r="BH100" s="512" t="s">
        <v>115</v>
      </c>
      <c r="BI100" s="645"/>
      <c r="BJ100" s="511" t="s">
        <v>709</v>
      </c>
      <c r="BK100" s="546" t="s">
        <v>709</v>
      </c>
      <c r="BL100" s="546" t="s">
        <v>709</v>
      </c>
      <c r="BM100" s="546" t="s">
        <v>116</v>
      </c>
      <c r="BN100" s="546" t="s">
        <v>709</v>
      </c>
      <c r="BO100" s="546" t="s">
        <v>709</v>
      </c>
      <c r="BP100" s="546" t="s">
        <v>709</v>
      </c>
      <c r="BQ100" s="546" t="s">
        <v>709</v>
      </c>
      <c r="BR100" s="546" t="s">
        <v>709</v>
      </c>
      <c r="BS100" s="546">
        <v>1175</v>
      </c>
      <c r="BT100" s="546" t="s">
        <v>709</v>
      </c>
      <c r="BU100" s="546" t="s">
        <v>745</v>
      </c>
      <c r="BV100" s="546" t="s">
        <v>709</v>
      </c>
      <c r="BW100" s="546" t="s">
        <v>709</v>
      </c>
      <c r="BX100" s="546" t="s">
        <v>709</v>
      </c>
      <c r="BY100" s="546" t="s">
        <v>745</v>
      </c>
      <c r="BZ100" s="546" t="s">
        <v>745</v>
      </c>
      <c r="CA100" s="506"/>
    </row>
    <row r="101" spans="1:79" ht="15" hidden="1" customHeight="1" x14ac:dyDescent="0.25">
      <c r="A101" s="8" t="s">
        <v>781</v>
      </c>
      <c r="B101" s="8" t="s">
        <v>4</v>
      </c>
      <c r="C101" s="8" t="s">
        <v>1365</v>
      </c>
      <c r="D101" s="8" t="s">
        <v>1366</v>
      </c>
      <c r="E101" s="8" t="s">
        <v>1004</v>
      </c>
      <c r="F101" s="8" t="s">
        <v>747</v>
      </c>
      <c r="G101" s="8" t="s">
        <v>26</v>
      </c>
      <c r="H101" s="8" t="s">
        <v>59</v>
      </c>
      <c r="I101" s="642">
        <v>44631</v>
      </c>
      <c r="J101" s="18">
        <v>44862</v>
      </c>
      <c r="K101" s="97">
        <v>44860</v>
      </c>
      <c r="L101" s="16">
        <f>IF(ISTEXT(Table157[[#This Row],[Engineering Approved Design Date]]),Table157[[#This Row],[Date Completed]]-Table157[[#This Row],[Date Assigned to Designer]],Table157[[#This Row],[Engineering Approved Design Date]]-Table157[[#This Row],[Date Completed]])</f>
        <v>2</v>
      </c>
      <c r="M101" s="642"/>
      <c r="N101" s="642" t="s">
        <v>120</v>
      </c>
      <c r="O101" s="510">
        <v>44896</v>
      </c>
      <c r="P101" s="68" t="s">
        <v>739</v>
      </c>
      <c r="Q101" s="375">
        <f>R101*AA101</f>
        <v>162589.47100000002</v>
      </c>
      <c r="R101" s="75">
        <v>0.1</v>
      </c>
      <c r="U101" s="87"/>
      <c r="V101" s="437">
        <v>6132</v>
      </c>
      <c r="X101" s="106">
        <v>1560406.45</v>
      </c>
      <c r="Y101" s="592"/>
      <c r="Z101" s="570">
        <v>65488.26</v>
      </c>
      <c r="AA101" s="300">
        <f>Table157[[#This Row],[PCTS Investment Amount]]+Table157[[#This Row],[PCTS Retirement Amount]]</f>
        <v>1625894.71</v>
      </c>
      <c r="AB101" s="207">
        <v>44881</v>
      </c>
      <c r="AC101" s="108" t="s">
        <v>709</v>
      </c>
      <c r="AD101" s="108" t="s">
        <v>29</v>
      </c>
      <c r="AE101" s="349"/>
      <c r="AF101" s="579"/>
      <c r="AG101" s="579"/>
      <c r="AH101" s="354"/>
      <c r="AI101" s="489"/>
      <c r="AJ101" s="553"/>
      <c r="AK101" s="553"/>
      <c r="AL101" s="495">
        <f>SUM(Table157[[#This Row],[Nicor Initiated DBE]:[Staffing]])/(Table157[[#This Row],[Amount Invoiced]])</f>
        <v>0</v>
      </c>
      <c r="AM101" s="21" t="s">
        <v>116</v>
      </c>
      <c r="AN101" s="680" t="s">
        <v>709</v>
      </c>
      <c r="AO101" s="601">
        <v>11051711</v>
      </c>
      <c r="AP101" s="572"/>
      <c r="AQ101" s="572"/>
      <c r="AR101" s="572"/>
      <c r="AS101" s="538">
        <f>IF(Table157[[#This Row],[PCTS Approved]]="N",0,Table157[[#This Row],[Investment Amount (1'#'#'#'#'#)]]+Table157[[#This Row],[Retirement Amount (3'#'#'#'#'#)]])</f>
        <v>0</v>
      </c>
      <c r="AT101" s="538">
        <f>IF(Table157[[#This Row],[Approved Construction Cost]]=0,0,Table157[[#This Row],[Approved Construction Cost]]-Table157[[#This Row],[Construction Cost to Bill From]])</f>
        <v>0</v>
      </c>
      <c r="AU101" s="538">
        <f>IFERROR(Table157[[#This Row],[Difference in Construction Cost]]*Table157[[#This Row],[Rate]],Table157[[#This Row],[Difference in Construction Cost]]*0.085)</f>
        <v>0</v>
      </c>
      <c r="AV101" s="572"/>
      <c r="AW101" s="639"/>
      <c r="AX101" s="538"/>
      <c r="AY101" s="636" t="s">
        <v>709</v>
      </c>
      <c r="AZ101" s="443">
        <v>73</v>
      </c>
      <c r="BA101" s="334" t="s">
        <v>4</v>
      </c>
      <c r="BB101" s="652" t="s">
        <v>1367</v>
      </c>
      <c r="BC101" s="644" t="s">
        <v>787</v>
      </c>
      <c r="BD101" s="478" t="s">
        <v>116</v>
      </c>
      <c r="BE101" s="544" t="s">
        <v>788</v>
      </c>
      <c r="BF101" s="544" t="s">
        <v>495</v>
      </c>
      <c r="BG101" s="544" t="s">
        <v>115</v>
      </c>
      <c r="BH101" s="512" t="s">
        <v>115</v>
      </c>
      <c r="BI101" s="545"/>
      <c r="BJ101" s="511" t="s">
        <v>709</v>
      </c>
      <c r="BK101" s="546" t="s">
        <v>709</v>
      </c>
      <c r="BL101" s="546" t="s">
        <v>116</v>
      </c>
      <c r="BM101" s="546" t="s">
        <v>116</v>
      </c>
      <c r="BN101" s="546" t="s">
        <v>709</v>
      </c>
      <c r="BO101" s="546">
        <v>189</v>
      </c>
      <c r="BP101" s="546" t="s">
        <v>709</v>
      </c>
      <c r="BQ101" s="546" t="s">
        <v>709</v>
      </c>
      <c r="BR101" s="546" t="s">
        <v>709</v>
      </c>
      <c r="BS101" s="546">
        <v>3731</v>
      </c>
      <c r="BT101" s="546">
        <v>2212</v>
      </c>
      <c r="BU101" s="546" t="s">
        <v>745</v>
      </c>
      <c r="BV101" s="546" t="s">
        <v>709</v>
      </c>
      <c r="BW101" s="546" t="s">
        <v>745</v>
      </c>
      <c r="BX101" s="546" t="s">
        <v>709</v>
      </c>
      <c r="BY101" s="546" t="s">
        <v>709</v>
      </c>
      <c r="BZ101" s="546" t="s">
        <v>745</v>
      </c>
      <c r="CA101" s="506"/>
    </row>
    <row r="102" spans="1:79" ht="15" hidden="1" customHeight="1" x14ac:dyDescent="0.25">
      <c r="A102" s="8" t="s">
        <v>749</v>
      </c>
      <c r="B102" s="8" t="s">
        <v>759</v>
      </c>
      <c r="C102" s="8" t="s">
        <v>326</v>
      </c>
      <c r="D102" s="8" t="s">
        <v>1368</v>
      </c>
      <c r="E102" s="8" t="s">
        <v>327</v>
      </c>
      <c r="F102" s="8" t="s">
        <v>752</v>
      </c>
      <c r="G102" s="8" t="s">
        <v>32</v>
      </c>
      <c r="H102" s="8" t="s">
        <v>59</v>
      </c>
      <c r="I102" s="642">
        <v>44788</v>
      </c>
      <c r="J102" s="18">
        <v>44865</v>
      </c>
      <c r="K102" s="97">
        <v>44861</v>
      </c>
      <c r="L102" s="16">
        <f>IF(ISTEXT(Table157[[#This Row],[Engineering Approved Design Date]]),Table157[[#This Row],[Date Completed]]-Table157[[#This Row],[Date Assigned to Designer]],Table157[[#This Row],[Engineering Approved Design Date]]-Table157[[#This Row],[Date Completed]])</f>
        <v>4</v>
      </c>
      <c r="M102" s="642"/>
      <c r="N102" s="642" t="s">
        <v>120</v>
      </c>
      <c r="O102" s="534">
        <v>44866</v>
      </c>
      <c r="P102" s="68" t="s">
        <v>739</v>
      </c>
      <c r="Q102" s="425">
        <f>(Table157[[#This Row],[Construction Cost to Bill From]]*0.085)+7750</f>
        <v>25950.77375</v>
      </c>
      <c r="R102" s="75" t="s">
        <v>1055</v>
      </c>
      <c r="U102" s="87"/>
      <c r="V102" s="437">
        <v>6</v>
      </c>
      <c r="W102" s="437">
        <v>3</v>
      </c>
      <c r="X102" s="106">
        <v>173326.94</v>
      </c>
      <c r="Y102" s="592"/>
      <c r="Z102" s="570">
        <v>40799.81</v>
      </c>
      <c r="AA102" s="300">
        <f>Table157[[#This Row],[PCTS Investment Amount]]+Table157[[#This Row],[PCTS Retirement Amount]]</f>
        <v>214126.75</v>
      </c>
      <c r="AB102" s="207">
        <v>44887</v>
      </c>
      <c r="AC102" s="108" t="s">
        <v>116</v>
      </c>
      <c r="AD102" s="108" t="s">
        <v>709</v>
      </c>
      <c r="AE102" s="349"/>
      <c r="AF102" s="579"/>
      <c r="AG102" s="579"/>
      <c r="AH102" s="354"/>
      <c r="AI102" s="341"/>
      <c r="AJ102" s="183"/>
      <c r="AK102" s="183"/>
      <c r="AL102" s="494">
        <f>SUM(Table157[[#This Row],[Nicor Initiated DBE]:[Staffing]])/(Table157[[#This Row],[Amount Invoiced]])</f>
        <v>0</v>
      </c>
      <c r="AM102" s="21" t="s">
        <v>116</v>
      </c>
      <c r="AN102" s="680" t="s">
        <v>709</v>
      </c>
      <c r="AO102" s="601" t="s">
        <v>115</v>
      </c>
      <c r="AP102" s="572"/>
      <c r="AQ102" s="572"/>
      <c r="AR102" s="572"/>
      <c r="AS102" s="538">
        <f>IF(Table157[[#This Row],[PCTS Approved]]="N",0,Table157[[#This Row],[Investment Amount (1'#'#'#'#'#)]]+Table157[[#This Row],[Retirement Amount (3'#'#'#'#'#)]])</f>
        <v>0</v>
      </c>
      <c r="AT102" s="538">
        <f>IF(Table157[[#This Row],[Approved Construction Cost]]=0,0,Table157[[#This Row],[Approved Construction Cost]]-Table157[[#This Row],[Construction Cost to Bill From]])</f>
        <v>0</v>
      </c>
      <c r="AU102" s="538">
        <f>IFERROR(Table157[[#This Row],[Difference in Construction Cost]]*Table157[[#This Row],[Rate]],Table157[[#This Row],[Difference in Construction Cost]]*0.085)</f>
        <v>0</v>
      </c>
      <c r="AV102" s="572"/>
      <c r="AW102" s="639"/>
      <c r="AX102" s="538"/>
      <c r="AY102" s="636" t="s">
        <v>709</v>
      </c>
      <c r="AZ102" s="443">
        <v>189</v>
      </c>
      <c r="BA102" s="334" t="s">
        <v>2</v>
      </c>
      <c r="BB102" s="652" t="s">
        <v>1369</v>
      </c>
      <c r="BC102" s="644" t="s">
        <v>1370</v>
      </c>
      <c r="BD102" s="478" t="s">
        <v>709</v>
      </c>
      <c r="BE102" s="544" t="s">
        <v>882</v>
      </c>
      <c r="BF102" s="544" t="s">
        <v>448</v>
      </c>
      <c r="BG102" s="544" t="s">
        <v>115</v>
      </c>
      <c r="BH102" s="512" t="s">
        <v>115</v>
      </c>
      <c r="BI102" s="645"/>
      <c r="BJ102" s="511" t="s">
        <v>709</v>
      </c>
      <c r="BK102" s="546" t="s">
        <v>709</v>
      </c>
      <c r="BL102" s="546" t="s">
        <v>116</v>
      </c>
      <c r="BM102" s="546" t="s">
        <v>709</v>
      </c>
      <c r="BN102" s="546" t="s">
        <v>709</v>
      </c>
      <c r="BO102" s="546" t="s">
        <v>709</v>
      </c>
      <c r="BP102" s="546" t="s">
        <v>709</v>
      </c>
      <c r="BQ102" s="546" t="s">
        <v>709</v>
      </c>
      <c r="BR102" s="546" t="s">
        <v>709</v>
      </c>
      <c r="BS102" s="546">
        <v>6</v>
      </c>
      <c r="BT102" s="546" t="s">
        <v>709</v>
      </c>
      <c r="BU102" s="546" t="s">
        <v>745</v>
      </c>
      <c r="BV102" s="546" t="s">
        <v>709</v>
      </c>
      <c r="BW102" s="546" t="s">
        <v>745</v>
      </c>
      <c r="BX102" s="546">
        <v>1</v>
      </c>
      <c r="BY102" s="546">
        <v>1</v>
      </c>
      <c r="BZ102" s="546" t="s">
        <v>745</v>
      </c>
      <c r="CA102" s="506" t="s">
        <v>2</v>
      </c>
    </row>
    <row r="103" spans="1:79" ht="15" hidden="1" customHeight="1" x14ac:dyDescent="0.25">
      <c r="A103" s="8">
        <v>2023</v>
      </c>
      <c r="B103" s="8" t="s">
        <v>730</v>
      </c>
      <c r="C103" s="8" t="s">
        <v>1371</v>
      </c>
      <c r="D103" s="8" t="s">
        <v>1372</v>
      </c>
      <c r="E103" s="8" t="s">
        <v>1373</v>
      </c>
      <c r="F103" s="8" t="s">
        <v>752</v>
      </c>
      <c r="G103" s="8" t="s">
        <v>34</v>
      </c>
      <c r="H103" s="8" t="s">
        <v>59</v>
      </c>
      <c r="I103" s="642">
        <v>44750</v>
      </c>
      <c r="J103" s="18">
        <v>44862</v>
      </c>
      <c r="K103" s="97">
        <v>44862</v>
      </c>
      <c r="L103" s="16">
        <f>IF(ISTEXT(Table157[[#This Row],[Engineering Approved Design Date]]),Table157[[#This Row],[Date Completed]]-Table157[[#This Row],[Date Assigned to Designer]],Table157[[#This Row],[Engineering Approved Design Date]]-Table157[[#This Row],[Date Completed]])</f>
        <v>0</v>
      </c>
      <c r="M103" s="642"/>
      <c r="N103" s="642" t="s">
        <v>120</v>
      </c>
      <c r="O103" s="534">
        <v>44866</v>
      </c>
      <c r="P103" s="68" t="s">
        <v>120</v>
      </c>
      <c r="Q103" s="435">
        <f t="shared" ref="Q103:Q109" si="1">R103*AA103</f>
        <v>40167.617399999996</v>
      </c>
      <c r="R103" s="75">
        <v>0.09</v>
      </c>
      <c r="U103" s="87"/>
      <c r="V103" s="437">
        <v>1949</v>
      </c>
      <c r="X103" s="106">
        <v>405369.01</v>
      </c>
      <c r="Y103" s="592"/>
      <c r="Z103" s="570">
        <v>40937.85</v>
      </c>
      <c r="AA103" s="300">
        <f>Table157[[#This Row],[PCTS Investment Amount]]+Table157[[#This Row],[PCTS Retirement Amount]]</f>
        <v>446306.86</v>
      </c>
      <c r="AB103" s="207">
        <v>44867</v>
      </c>
      <c r="AC103" s="108" t="s">
        <v>709</v>
      </c>
      <c r="AD103" s="108" t="s">
        <v>709</v>
      </c>
      <c r="AE103" s="349"/>
      <c r="AF103" s="579"/>
      <c r="AG103" s="579"/>
      <c r="AH103" s="354"/>
      <c r="AI103" s="341"/>
      <c r="AJ103" s="183"/>
      <c r="AK103" s="183"/>
      <c r="AL103" s="494">
        <f>SUM(Table157[[#This Row],[Nicor Initiated DBE]:[Staffing]])/(Table157[[#This Row],[Amount Invoiced]])</f>
        <v>0</v>
      </c>
      <c r="AM103" s="21" t="s">
        <v>116</v>
      </c>
      <c r="AN103" s="680" t="s">
        <v>709</v>
      </c>
      <c r="AO103" s="601" t="s">
        <v>115</v>
      </c>
      <c r="AP103" s="572"/>
      <c r="AQ103" s="572"/>
      <c r="AR103" s="572"/>
      <c r="AS103" s="538">
        <f>IF(Table157[[#This Row],[PCTS Approved]]="N",0,Table157[[#This Row],[Investment Amount (1'#'#'#'#'#)]]+Table157[[#This Row],[Retirement Amount (3'#'#'#'#'#)]])</f>
        <v>0</v>
      </c>
      <c r="AT103" s="538">
        <f>IF(Table157[[#This Row],[Approved Construction Cost]]=0,0,Table157[[#This Row],[Approved Construction Cost]]-Table157[[#This Row],[Construction Cost to Bill From]])</f>
        <v>0</v>
      </c>
      <c r="AU103" s="538">
        <f>IFERROR(Table157[[#This Row],[Difference in Construction Cost]]*Table157[[#This Row],[Rate]],Table157[[#This Row],[Difference in Construction Cost]]*0.085)</f>
        <v>0</v>
      </c>
      <c r="AV103" s="572"/>
      <c r="AW103" s="639"/>
      <c r="AX103" s="538"/>
      <c r="AY103" s="636" t="s">
        <v>709</v>
      </c>
      <c r="AZ103" s="443">
        <v>28</v>
      </c>
      <c r="BA103" s="334" t="s">
        <v>2</v>
      </c>
      <c r="BB103" s="652" t="s">
        <v>1374</v>
      </c>
      <c r="BC103" s="644" t="s">
        <v>1375</v>
      </c>
      <c r="BD103" s="478" t="s">
        <v>116</v>
      </c>
      <c r="BE103" s="544" t="s">
        <v>115</v>
      </c>
      <c r="BF103" s="544" t="s">
        <v>115</v>
      </c>
      <c r="BG103" s="544" t="s">
        <v>1376</v>
      </c>
      <c r="BH103" s="512" t="s">
        <v>115</v>
      </c>
      <c r="BI103" s="645"/>
      <c r="BJ103" s="511" t="s">
        <v>709</v>
      </c>
      <c r="BK103" s="546" t="s">
        <v>709</v>
      </c>
      <c r="BL103" s="546" t="s">
        <v>709</v>
      </c>
      <c r="BM103" s="546" t="s">
        <v>116</v>
      </c>
      <c r="BN103" s="546" t="s">
        <v>709</v>
      </c>
      <c r="BO103" s="546" t="s">
        <v>709</v>
      </c>
      <c r="BP103" s="546" t="s">
        <v>709</v>
      </c>
      <c r="BQ103" s="546" t="s">
        <v>709</v>
      </c>
      <c r="BR103" s="546" t="s">
        <v>709</v>
      </c>
      <c r="BS103" s="546" t="s">
        <v>709</v>
      </c>
      <c r="BT103" s="546">
        <v>1949</v>
      </c>
      <c r="BU103" s="546" t="s">
        <v>709</v>
      </c>
      <c r="BV103" s="546" t="s">
        <v>709</v>
      </c>
      <c r="BW103" s="546" t="s">
        <v>745</v>
      </c>
      <c r="BX103" s="546" t="s">
        <v>709</v>
      </c>
      <c r="BY103" s="546" t="s">
        <v>709</v>
      </c>
      <c r="BZ103" s="546" t="s">
        <v>745</v>
      </c>
      <c r="CA103" s="506"/>
    </row>
    <row r="104" spans="1:79" ht="15" hidden="1" customHeight="1" x14ac:dyDescent="0.25">
      <c r="A104" s="8" t="s">
        <v>749</v>
      </c>
      <c r="B104" s="8" t="s">
        <v>4</v>
      </c>
      <c r="C104" s="8" t="s">
        <v>1377</v>
      </c>
      <c r="D104" s="8" t="s">
        <v>1378</v>
      </c>
      <c r="E104" s="8" t="s">
        <v>1154</v>
      </c>
      <c r="F104" s="8" t="s">
        <v>747</v>
      </c>
      <c r="G104" s="8" t="s">
        <v>26</v>
      </c>
      <c r="H104" s="8" t="s">
        <v>59</v>
      </c>
      <c r="I104" s="642">
        <v>44806</v>
      </c>
      <c r="J104" s="18">
        <v>44897</v>
      </c>
      <c r="K104" s="97">
        <v>44886</v>
      </c>
      <c r="L104" s="16">
        <f>IF(ISTEXT(Table157[[#This Row],[Engineering Approved Design Date]]),Table157[[#This Row],[Date Completed]]-Table157[[#This Row],[Date Assigned to Designer]],Table157[[#This Row],[Engineering Approved Design Date]]-Table157[[#This Row],[Date Completed]])</f>
        <v>11</v>
      </c>
      <c r="M104" s="642"/>
      <c r="N104" s="642" t="s">
        <v>120</v>
      </c>
      <c r="O104" s="510">
        <v>44896</v>
      </c>
      <c r="P104" s="68" t="s">
        <v>739</v>
      </c>
      <c r="Q104" s="375">
        <f t="shared" si="1"/>
        <v>34386.415000000001</v>
      </c>
      <c r="R104" s="75">
        <v>0.1</v>
      </c>
      <c r="U104" s="87"/>
      <c r="V104" s="437">
        <v>1494</v>
      </c>
      <c r="X104" s="94">
        <v>288923.75</v>
      </c>
      <c r="Y104" s="592"/>
      <c r="Z104" s="552">
        <v>54940.4</v>
      </c>
      <c r="AA104" s="300">
        <f>Table157[[#This Row],[PCTS Investment Amount]]+Table157[[#This Row],[PCTS Retirement Amount]]</f>
        <v>343864.15</v>
      </c>
      <c r="AB104" s="207">
        <v>44888</v>
      </c>
      <c r="AC104" s="108" t="s">
        <v>709</v>
      </c>
      <c r="AD104" s="108" t="s">
        <v>116</v>
      </c>
      <c r="AE104" s="349"/>
      <c r="AF104" s="579"/>
      <c r="AG104" s="579"/>
      <c r="AH104" s="354"/>
      <c r="AI104" s="489"/>
      <c r="AJ104" s="553"/>
      <c r="AK104" s="553"/>
      <c r="AL104" s="495">
        <f>SUM(Table157[[#This Row],[Nicor Initiated DBE]:[Staffing]])/(Table157[[#This Row],[Amount Invoiced]])</f>
        <v>0</v>
      </c>
      <c r="AM104" s="21" t="s">
        <v>116</v>
      </c>
      <c r="AN104" s="680" t="s">
        <v>709</v>
      </c>
      <c r="AO104" s="601" t="s">
        <v>115</v>
      </c>
      <c r="AP104" s="572"/>
      <c r="AQ104" s="572"/>
      <c r="AR104" s="572"/>
      <c r="AS104" s="538">
        <f>IF(Table157[[#This Row],[PCTS Approved]]="N",0,Table157[[#This Row],[Investment Amount (1'#'#'#'#'#)]]+Table157[[#This Row],[Retirement Amount (3'#'#'#'#'#)]])</f>
        <v>0</v>
      </c>
      <c r="AT104" s="538">
        <f>IF(Table157[[#This Row],[Approved Construction Cost]]=0,0,Table157[[#This Row],[Approved Construction Cost]]-Table157[[#This Row],[Construction Cost to Bill From]])</f>
        <v>0</v>
      </c>
      <c r="AU104" s="538">
        <f>IFERROR(Table157[[#This Row],[Difference in Construction Cost]]*Table157[[#This Row],[Rate]],Table157[[#This Row],[Difference in Construction Cost]]*0.085)</f>
        <v>0</v>
      </c>
      <c r="AV104" s="572"/>
      <c r="AW104" s="639"/>
      <c r="AX104" s="538"/>
      <c r="AY104" s="636" t="s">
        <v>709</v>
      </c>
      <c r="AZ104" s="443">
        <v>74</v>
      </c>
      <c r="BA104" s="334" t="s">
        <v>4</v>
      </c>
      <c r="BB104" s="652" t="s">
        <v>1379</v>
      </c>
      <c r="BC104" s="644" t="s">
        <v>1380</v>
      </c>
      <c r="BD104" s="478" t="s">
        <v>115</v>
      </c>
      <c r="BE104" s="544" t="s">
        <v>115</v>
      </c>
      <c r="BF104" s="544" t="s">
        <v>1381</v>
      </c>
      <c r="BG104" s="544" t="s">
        <v>1157</v>
      </c>
      <c r="BH104" s="512" t="s">
        <v>115</v>
      </c>
      <c r="BI104" s="545"/>
      <c r="BJ104" s="511" t="s">
        <v>709</v>
      </c>
      <c r="BK104" s="546" t="s">
        <v>709</v>
      </c>
      <c r="BL104" s="546" t="s">
        <v>709</v>
      </c>
      <c r="BM104" s="546" t="s">
        <v>116</v>
      </c>
      <c r="BN104" s="546" t="s">
        <v>709</v>
      </c>
      <c r="BO104" s="546" t="s">
        <v>709</v>
      </c>
      <c r="BP104" s="546" t="s">
        <v>709</v>
      </c>
      <c r="BQ104" s="546" t="s">
        <v>709</v>
      </c>
      <c r="BR104" s="546">
        <v>1189</v>
      </c>
      <c r="BS104" s="546">
        <v>287</v>
      </c>
      <c r="BT104" s="546">
        <v>18</v>
      </c>
      <c r="BU104" s="546" t="s">
        <v>745</v>
      </c>
      <c r="BV104" s="546" t="s">
        <v>709</v>
      </c>
      <c r="BW104" s="546" t="s">
        <v>745</v>
      </c>
      <c r="BX104" s="546" t="s">
        <v>709</v>
      </c>
      <c r="BY104" s="546" t="s">
        <v>745</v>
      </c>
      <c r="BZ104" s="546" t="s">
        <v>745</v>
      </c>
      <c r="CA104" s="506"/>
    </row>
    <row r="105" spans="1:79" ht="15" hidden="1" customHeight="1" x14ac:dyDescent="0.25">
      <c r="A105" s="8" t="s">
        <v>781</v>
      </c>
      <c r="B105" s="8" t="s">
        <v>4</v>
      </c>
      <c r="C105" s="8" t="s">
        <v>1382</v>
      </c>
      <c r="D105" s="8" t="s">
        <v>1383</v>
      </c>
      <c r="E105" s="8" t="s">
        <v>1384</v>
      </c>
      <c r="F105" s="8" t="s">
        <v>747</v>
      </c>
      <c r="G105" s="8" t="s">
        <v>35</v>
      </c>
      <c r="H105" s="8" t="s">
        <v>59</v>
      </c>
      <c r="I105" s="642">
        <v>44721</v>
      </c>
      <c r="J105" s="18">
        <v>44895</v>
      </c>
      <c r="K105" s="97">
        <v>44893</v>
      </c>
      <c r="L105" s="16">
        <f>IF(ISTEXT(Table157[[#This Row],[Engineering Approved Design Date]]),Table157[[#This Row],[Date Completed]]-Table157[[#This Row],[Date Assigned to Designer]],Table157[[#This Row],[Engineering Approved Design Date]]-Table157[[#This Row],[Date Completed]])</f>
        <v>2</v>
      </c>
      <c r="M105" s="642"/>
      <c r="N105" s="642" t="s">
        <v>120</v>
      </c>
      <c r="O105" s="510">
        <v>44896</v>
      </c>
      <c r="P105" s="68" t="s">
        <v>739</v>
      </c>
      <c r="Q105" s="375">
        <f t="shared" si="1"/>
        <v>57646.325000000004</v>
      </c>
      <c r="R105" s="75">
        <v>0.1</v>
      </c>
      <c r="U105" s="87"/>
      <c r="V105" s="437">
        <f>2081+25+4</f>
        <v>2110</v>
      </c>
      <c r="X105" s="106">
        <v>534271.6</v>
      </c>
      <c r="Y105" s="592"/>
      <c r="Z105" s="570">
        <v>42191.65</v>
      </c>
      <c r="AA105" s="300">
        <f>Table157[[#This Row],[PCTS Investment Amount]]+Table157[[#This Row],[PCTS Retirement Amount]]</f>
        <v>576463.25</v>
      </c>
      <c r="AB105" s="207" t="s">
        <v>709</v>
      </c>
      <c r="AC105" s="108" t="s">
        <v>709</v>
      </c>
      <c r="AD105" s="108" t="s">
        <v>29</v>
      </c>
      <c r="AE105" s="349"/>
      <c r="AF105" s="579"/>
      <c r="AG105" s="579"/>
      <c r="AH105" s="354"/>
      <c r="AI105" s="489"/>
      <c r="AJ105" s="553"/>
      <c r="AK105" s="553"/>
      <c r="AL105" s="495">
        <f>SUM(Table157[[#This Row],[Nicor Initiated DBE]:[Staffing]])/(Table157[[#This Row],[Amount Invoiced]])</f>
        <v>0</v>
      </c>
      <c r="AM105" s="21" t="s">
        <v>116</v>
      </c>
      <c r="AN105" s="680" t="s">
        <v>709</v>
      </c>
      <c r="AO105" s="601" t="s">
        <v>115</v>
      </c>
      <c r="AP105" s="572"/>
      <c r="AQ105" s="572"/>
      <c r="AR105" s="572"/>
      <c r="AS105" s="538">
        <f>IF(Table157[[#This Row],[PCTS Approved]]="N",0,Table157[[#This Row],[Investment Amount (1'#'#'#'#'#)]]+Table157[[#This Row],[Retirement Amount (3'#'#'#'#'#)]])</f>
        <v>0</v>
      </c>
      <c r="AT105" s="538">
        <f>IF(Table157[[#This Row],[Approved Construction Cost]]=0,0,Table157[[#This Row],[Approved Construction Cost]]-Table157[[#This Row],[Construction Cost to Bill From]])</f>
        <v>0</v>
      </c>
      <c r="AU105" s="538">
        <f>IFERROR(Table157[[#This Row],[Difference in Construction Cost]]*Table157[[#This Row],[Rate]],Table157[[#This Row],[Difference in Construction Cost]]*0.085)</f>
        <v>0</v>
      </c>
      <c r="AV105" s="572"/>
      <c r="AW105" s="639"/>
      <c r="AX105" s="538"/>
      <c r="AY105" s="636" t="s">
        <v>709</v>
      </c>
      <c r="AZ105" s="443">
        <v>75</v>
      </c>
      <c r="BA105" s="334" t="s">
        <v>4</v>
      </c>
      <c r="BB105" s="652" t="s">
        <v>1385</v>
      </c>
      <c r="BC105" s="644" t="s">
        <v>1386</v>
      </c>
      <c r="BD105" s="478" t="s">
        <v>709</v>
      </c>
      <c r="BE105" s="544" t="s">
        <v>115</v>
      </c>
      <c r="BF105" s="544" t="s">
        <v>1387</v>
      </c>
      <c r="BG105" s="544" t="s">
        <v>115</v>
      </c>
      <c r="BH105" s="512" t="s">
        <v>115</v>
      </c>
      <c r="BI105" s="545"/>
      <c r="BJ105" s="511" t="s">
        <v>709</v>
      </c>
      <c r="BK105" s="546" t="s">
        <v>709</v>
      </c>
      <c r="BL105" s="546" t="s">
        <v>709</v>
      </c>
      <c r="BM105" s="546" t="s">
        <v>116</v>
      </c>
      <c r="BN105" s="546" t="s">
        <v>709</v>
      </c>
      <c r="BO105" s="546" t="s">
        <v>709</v>
      </c>
      <c r="BP105" s="546" t="s">
        <v>709</v>
      </c>
      <c r="BQ105" s="546" t="s">
        <v>709</v>
      </c>
      <c r="BR105" s="546">
        <v>2081</v>
      </c>
      <c r="BS105" s="546">
        <v>4</v>
      </c>
      <c r="BT105" s="546">
        <v>25</v>
      </c>
      <c r="BU105" s="546" t="s">
        <v>745</v>
      </c>
      <c r="BV105" s="546" t="s">
        <v>709</v>
      </c>
      <c r="BW105" s="546" t="s">
        <v>745</v>
      </c>
      <c r="BX105" s="546" t="s">
        <v>709</v>
      </c>
      <c r="BY105" s="546" t="s">
        <v>745</v>
      </c>
      <c r="BZ105" s="546" t="s">
        <v>745</v>
      </c>
      <c r="CA105" s="506"/>
    </row>
    <row r="106" spans="1:79" ht="15" hidden="1" customHeight="1" x14ac:dyDescent="0.25">
      <c r="A106" s="8">
        <v>2023</v>
      </c>
      <c r="B106" s="8" t="s">
        <v>1205</v>
      </c>
      <c r="C106" s="8" t="s">
        <v>271</v>
      </c>
      <c r="D106" s="656" t="s">
        <v>1388</v>
      </c>
      <c r="E106" s="8" t="s">
        <v>272</v>
      </c>
      <c r="F106" s="8" t="s">
        <v>747</v>
      </c>
      <c r="G106" s="8" t="s">
        <v>32</v>
      </c>
      <c r="H106" s="8" t="s">
        <v>59</v>
      </c>
      <c r="I106" s="642">
        <v>44795</v>
      </c>
      <c r="J106" s="18">
        <v>44909</v>
      </c>
      <c r="K106" s="97">
        <v>44901</v>
      </c>
      <c r="L106" s="16">
        <f>IF(ISTEXT(Table157[[#This Row],[Engineering Approved Design Date]]),Table157[[#This Row],[Date Completed]]-Table157[[#This Row],[Date Assigned to Designer]],Table157[[#This Row],[Engineering Approved Design Date]]-Table157[[#This Row],[Date Completed]])</f>
        <v>8</v>
      </c>
      <c r="M106" s="642"/>
      <c r="N106" s="642" t="s">
        <v>120</v>
      </c>
      <c r="O106" s="510">
        <f>Table157[[#This Row],[Date Completed]]</f>
        <v>44901</v>
      </c>
      <c r="P106" s="68" t="s">
        <v>120</v>
      </c>
      <c r="Q106" s="375">
        <f t="shared" si="1"/>
        <v>39511.660499999998</v>
      </c>
      <c r="R106" s="75">
        <v>0.09</v>
      </c>
      <c r="U106" s="87"/>
      <c r="V106" s="440">
        <v>279</v>
      </c>
      <c r="W106" s="440">
        <v>0</v>
      </c>
      <c r="X106" s="106">
        <v>406784.84</v>
      </c>
      <c r="Y106" s="592"/>
      <c r="Z106" s="570">
        <v>32233.61</v>
      </c>
      <c r="AA106" s="300">
        <f>Table157[[#This Row],[PCTS Investment Amount]]+Table157[[#This Row],[PCTS Retirement Amount]]</f>
        <v>439018.45</v>
      </c>
      <c r="AB106" s="207">
        <v>44902</v>
      </c>
      <c r="AC106" s="108" t="s">
        <v>1177</v>
      </c>
      <c r="AD106" s="108" t="s">
        <v>709</v>
      </c>
      <c r="AE106" s="349"/>
      <c r="AF106" s="579"/>
      <c r="AG106" s="579"/>
      <c r="AH106" s="354"/>
      <c r="AI106" s="341"/>
      <c r="AJ106" s="183"/>
      <c r="AK106" s="183"/>
      <c r="AL106" s="494">
        <f>SUM(Table157[[#This Row],[Nicor Initiated DBE]:[Staffing]])/(Table157[[#This Row],[Amount Invoiced]])</f>
        <v>0</v>
      </c>
      <c r="AM106" s="21" t="s">
        <v>116</v>
      </c>
      <c r="AN106" s="680" t="s">
        <v>709</v>
      </c>
      <c r="AO106" s="681">
        <v>11050949</v>
      </c>
      <c r="AP106" s="572"/>
      <c r="AQ106" s="572"/>
      <c r="AR106" s="572"/>
      <c r="AS106" s="538">
        <f>IF(Table157[[#This Row],[PCTS Approved]]="N",0,Table157[[#This Row],[Investment Amount (1'#'#'#'#'#)]]+Table157[[#This Row],[Retirement Amount (3'#'#'#'#'#)]])</f>
        <v>0</v>
      </c>
      <c r="AT106" s="538">
        <f>IF(Table157[[#This Row],[Approved Construction Cost]]=0,0,Table157[[#This Row],[Approved Construction Cost]]-Table157[[#This Row],[Construction Cost to Bill From]])</f>
        <v>0</v>
      </c>
      <c r="AU106" s="538">
        <f>IFERROR(Table157[[#This Row],[Difference in Construction Cost]]*Table157[[#This Row],[Rate]],Table157[[#This Row],[Difference in Construction Cost]]*0.085)</f>
        <v>0</v>
      </c>
      <c r="AV106" s="572"/>
      <c r="AW106" s="639"/>
      <c r="AX106" s="538"/>
      <c r="AY106" s="636" t="s">
        <v>709</v>
      </c>
      <c r="AZ106" s="443">
        <v>30</v>
      </c>
      <c r="BA106" s="334" t="s">
        <v>3</v>
      </c>
      <c r="BB106" s="652" t="s">
        <v>1389</v>
      </c>
      <c r="BC106" s="644" t="s">
        <v>1390</v>
      </c>
      <c r="BD106" s="478" t="s">
        <v>116</v>
      </c>
      <c r="BE106" s="544" t="s">
        <v>115</v>
      </c>
      <c r="BF106" s="544" t="s">
        <v>1242</v>
      </c>
      <c r="BG106" s="544" t="s">
        <v>115</v>
      </c>
      <c r="BH106" s="512" t="s">
        <v>1391</v>
      </c>
      <c r="BI106" s="645"/>
      <c r="BJ106" s="511" t="s">
        <v>709</v>
      </c>
      <c r="BK106" s="546" t="s">
        <v>709</v>
      </c>
      <c r="BL106" s="546" t="s">
        <v>709</v>
      </c>
      <c r="BM106" s="546" t="s">
        <v>116</v>
      </c>
      <c r="BN106" s="546" t="s">
        <v>709</v>
      </c>
      <c r="BO106" s="546" t="s">
        <v>709</v>
      </c>
      <c r="BP106" s="546" t="s">
        <v>709</v>
      </c>
      <c r="BQ106" s="546" t="s">
        <v>709</v>
      </c>
      <c r="BR106" s="546" t="s">
        <v>709</v>
      </c>
      <c r="BS106" s="546">
        <v>261</v>
      </c>
      <c r="BT106" s="546">
        <v>18</v>
      </c>
      <c r="BU106" s="546" t="s">
        <v>745</v>
      </c>
      <c r="BV106" s="546" t="s">
        <v>709</v>
      </c>
      <c r="BW106" s="546" t="s">
        <v>745</v>
      </c>
      <c r="BX106" s="546" t="s">
        <v>709</v>
      </c>
      <c r="BY106" s="546" t="s">
        <v>745</v>
      </c>
      <c r="BZ106" s="546" t="s">
        <v>745</v>
      </c>
      <c r="CA106" s="506"/>
    </row>
    <row r="107" spans="1:79" ht="15" hidden="1" customHeight="1" x14ac:dyDescent="0.25">
      <c r="A107" s="8">
        <v>2023</v>
      </c>
      <c r="B107" s="8" t="s">
        <v>1205</v>
      </c>
      <c r="C107" s="8" t="s">
        <v>1392</v>
      </c>
      <c r="D107" s="656" t="s">
        <v>1393</v>
      </c>
      <c r="E107" s="8" t="s">
        <v>426</v>
      </c>
      <c r="F107" s="8" t="s">
        <v>784</v>
      </c>
      <c r="G107" s="8" t="s">
        <v>32</v>
      </c>
      <c r="H107" s="8" t="s">
        <v>59</v>
      </c>
      <c r="I107" s="642">
        <v>44832</v>
      </c>
      <c r="J107" s="18">
        <v>44925</v>
      </c>
      <c r="K107" s="97">
        <v>44922</v>
      </c>
      <c r="L107" s="16">
        <f>IF(ISTEXT(Table157[[#This Row],[Engineering Approved Design Date]]),Table157[[#This Row],[Date Completed]]-Table157[[#This Row],[Date Assigned to Designer]],Table157[[#This Row],[Engineering Approved Design Date]]-Table157[[#This Row],[Date Completed]])</f>
        <v>3</v>
      </c>
      <c r="M107" s="642"/>
      <c r="N107" s="642" t="s">
        <v>120</v>
      </c>
      <c r="O107" s="510">
        <v>44928</v>
      </c>
      <c r="P107" s="221" t="s">
        <v>120</v>
      </c>
      <c r="Q107" s="375">
        <f t="shared" si="1"/>
        <v>76364.406900000002</v>
      </c>
      <c r="R107" s="75">
        <v>0.09</v>
      </c>
      <c r="U107" s="87"/>
      <c r="V107" s="437">
        <v>568</v>
      </c>
      <c r="W107" s="437">
        <v>0</v>
      </c>
      <c r="X107" s="94">
        <v>659699.77</v>
      </c>
      <c r="Y107" s="592"/>
      <c r="Z107" s="552">
        <v>188793.64</v>
      </c>
      <c r="AA107" s="300">
        <f>Table157[[#This Row],[PCTS Investment Amount]]+Table157[[#This Row],[PCTS Retirement Amount]]</f>
        <v>848493.41</v>
      </c>
      <c r="AB107" s="207">
        <v>44930</v>
      </c>
      <c r="AC107" s="108" t="s">
        <v>709</v>
      </c>
      <c r="AD107" s="108" t="s">
        <v>116</v>
      </c>
      <c r="AE107" s="349"/>
      <c r="AF107" s="579"/>
      <c r="AG107" s="579"/>
      <c r="AH107" s="354"/>
      <c r="AI107" s="341"/>
      <c r="AJ107" s="183"/>
      <c r="AK107" s="183"/>
      <c r="AL107" s="494">
        <f>SUM(Table157[[#This Row],[Nicor Initiated DBE]:[Staffing]])/(Table157[[#This Row],[Amount Invoiced]])</f>
        <v>0</v>
      </c>
      <c r="AM107" s="21" t="s">
        <v>116</v>
      </c>
      <c r="AN107" s="680" t="s">
        <v>709</v>
      </c>
      <c r="AO107" s="681">
        <v>11050935</v>
      </c>
      <c r="AP107" s="572"/>
      <c r="AQ107" s="572"/>
      <c r="AR107" s="572"/>
      <c r="AS107" s="538">
        <f>IF(Table157[[#This Row],[PCTS Approved]]="N",0,Table157[[#This Row],[Investment Amount (1'#'#'#'#'#)]]+Table157[[#This Row],[Retirement Amount (3'#'#'#'#'#)]])</f>
        <v>0</v>
      </c>
      <c r="AT107" s="538">
        <f>IF(Table157[[#This Row],[Approved Construction Cost]]=0,0,Table157[[#This Row],[Approved Construction Cost]]-Table157[[#This Row],[Construction Cost to Bill From]])</f>
        <v>0</v>
      </c>
      <c r="AU107" s="538">
        <f>IFERROR(Table157[[#This Row],[Difference in Construction Cost]]*Table157[[#This Row],[Rate]],Table157[[#This Row],[Difference in Construction Cost]]*0.085)</f>
        <v>0</v>
      </c>
      <c r="AV107" s="572"/>
      <c r="AW107" s="639"/>
      <c r="AX107" s="538"/>
      <c r="AY107" s="636" t="s">
        <v>709</v>
      </c>
      <c r="AZ107" s="443">
        <v>33</v>
      </c>
      <c r="BA107" s="334" t="s">
        <v>3</v>
      </c>
      <c r="BB107" s="652" t="s">
        <v>1394</v>
      </c>
      <c r="BC107" s="644" t="s">
        <v>1395</v>
      </c>
      <c r="BD107" s="478" t="s">
        <v>709</v>
      </c>
      <c r="BE107" s="544" t="s">
        <v>115</v>
      </c>
      <c r="BF107" s="544" t="s">
        <v>1396</v>
      </c>
      <c r="BG107" s="544" t="s">
        <v>115</v>
      </c>
      <c r="BH107" s="512" t="s">
        <v>1397</v>
      </c>
      <c r="BI107" s="645"/>
      <c r="BJ107" s="511" t="s">
        <v>709</v>
      </c>
      <c r="BK107" s="546" t="s">
        <v>709</v>
      </c>
      <c r="BL107" s="546" t="s">
        <v>709</v>
      </c>
      <c r="BM107" s="546" t="s">
        <v>116</v>
      </c>
      <c r="BN107" s="546" t="s">
        <v>709</v>
      </c>
      <c r="BO107" s="546" t="s">
        <v>709</v>
      </c>
      <c r="BP107" s="546" t="s">
        <v>709</v>
      </c>
      <c r="BQ107" s="546" t="s">
        <v>709</v>
      </c>
      <c r="BR107" s="546">
        <v>473</v>
      </c>
      <c r="BS107" s="546">
        <v>13</v>
      </c>
      <c r="BT107" s="546">
        <v>82</v>
      </c>
      <c r="BU107" s="546" t="s">
        <v>745</v>
      </c>
      <c r="BV107" s="546" t="s">
        <v>709</v>
      </c>
      <c r="BW107" s="546" t="s">
        <v>745</v>
      </c>
      <c r="BX107" s="546" t="s">
        <v>709</v>
      </c>
      <c r="BY107" s="546" t="s">
        <v>745</v>
      </c>
      <c r="BZ107" s="546" t="s">
        <v>745</v>
      </c>
      <c r="CA107" s="506"/>
    </row>
    <row r="108" spans="1:79" ht="15" hidden="1" customHeight="1" x14ac:dyDescent="0.25">
      <c r="A108" s="8" t="s">
        <v>749</v>
      </c>
      <c r="B108" s="8" t="s">
        <v>759</v>
      </c>
      <c r="C108" s="8" t="s">
        <v>368</v>
      </c>
      <c r="D108" s="8" t="s">
        <v>1398</v>
      </c>
      <c r="E108" s="8" t="s">
        <v>369</v>
      </c>
      <c r="F108" s="8" t="s">
        <v>752</v>
      </c>
      <c r="G108" s="8" t="s">
        <v>27</v>
      </c>
      <c r="H108" s="8" t="s">
        <v>59</v>
      </c>
      <c r="I108" s="642">
        <v>44838</v>
      </c>
      <c r="J108" s="18">
        <v>44964</v>
      </c>
      <c r="K108" s="97">
        <v>44956</v>
      </c>
      <c r="L108" s="16">
        <f>IF(ISTEXT(Table157[[#This Row],[Engineering Approved Design Date]]),Table157[[#This Row],[Date Completed]]-Table157[[#This Row],[Date Assigned to Designer]],Table157[[#This Row],[Engineering Approved Design Date]]-Table157[[#This Row],[Date Completed]])</f>
        <v>8</v>
      </c>
      <c r="M108" s="642"/>
      <c r="N108" s="642" t="s">
        <v>120</v>
      </c>
      <c r="O108" s="510">
        <v>44958</v>
      </c>
      <c r="P108" s="221" t="s">
        <v>120</v>
      </c>
      <c r="Q108" s="375">
        <f t="shared" si="1"/>
        <v>51070.6394</v>
      </c>
      <c r="R108" s="75">
        <v>0.11</v>
      </c>
      <c r="T108" s="538">
        <v>5000</v>
      </c>
      <c r="U108" s="87">
        <v>0</v>
      </c>
      <c r="V108" s="437">
        <v>840</v>
      </c>
      <c r="X108" s="94">
        <v>411073.66</v>
      </c>
      <c r="Y108" s="592"/>
      <c r="Z108" s="552">
        <v>53204.88</v>
      </c>
      <c r="AA108" s="300">
        <f>Table157[[#This Row],[PCTS Investment Amount]]+Table157[[#This Row],[PCTS Retirement Amount]]</f>
        <v>464278.54</v>
      </c>
      <c r="AB108" s="207" t="s">
        <v>709</v>
      </c>
      <c r="AC108" s="108" t="s">
        <v>1177</v>
      </c>
      <c r="AD108" s="108" t="s">
        <v>29</v>
      </c>
      <c r="AE108" s="349"/>
      <c r="AF108" s="579"/>
      <c r="AG108" s="579"/>
      <c r="AH108" s="354"/>
      <c r="AI108" s="341"/>
      <c r="AJ108" s="183"/>
      <c r="AK108" s="183"/>
      <c r="AL108" s="494">
        <f>SUM(Table157[[#This Row],[Nicor Initiated DBE]:[Staffing]])/(Table157[[#This Row],[Amount Invoiced]])</f>
        <v>0</v>
      </c>
      <c r="AM108" s="21" t="s">
        <v>116</v>
      </c>
      <c r="AN108" s="680" t="s">
        <v>709</v>
      </c>
      <c r="AO108" s="601" t="s">
        <v>115</v>
      </c>
      <c r="AP108" s="572"/>
      <c r="AQ108" s="572"/>
      <c r="AR108" s="572"/>
      <c r="AS108" s="538">
        <f>IF(Table157[[#This Row],[PCTS Approved]]="N",0,Table157[[#This Row],[Investment Amount (1'#'#'#'#'#)]]+Table157[[#This Row],[Retirement Amount (3'#'#'#'#'#)]])</f>
        <v>0</v>
      </c>
      <c r="AT108" s="538">
        <f>IF(Table157[[#This Row],[Approved Construction Cost]]=0,0,Table157[[#This Row],[Approved Construction Cost]]-Table157[[#This Row],[Construction Cost to Bill From]])</f>
        <v>0</v>
      </c>
      <c r="AU108" s="538">
        <f>IFERROR(Table157[[#This Row],[Difference in Construction Cost]]*Table157[[#This Row],[Rate]],Table157[[#This Row],[Difference in Construction Cost]]*0.085)</f>
        <v>0</v>
      </c>
      <c r="AV108" s="572"/>
      <c r="AW108" s="639"/>
      <c r="AX108" s="538"/>
      <c r="AY108" s="636" t="s">
        <v>709</v>
      </c>
      <c r="AZ108" s="443">
        <v>149</v>
      </c>
      <c r="BA108" s="334" t="s">
        <v>2</v>
      </c>
      <c r="BB108" s="652" t="s">
        <v>1399</v>
      </c>
      <c r="BC108" s="644" t="s">
        <v>1400</v>
      </c>
      <c r="BD108" s="478" t="s">
        <v>709</v>
      </c>
      <c r="BE108" s="544" t="s">
        <v>115</v>
      </c>
      <c r="BF108" s="544" t="s">
        <v>1401</v>
      </c>
      <c r="BG108" s="544" t="s">
        <v>115</v>
      </c>
      <c r="BH108" s="512" t="s">
        <v>115</v>
      </c>
      <c r="BI108" s="645"/>
      <c r="BJ108" s="511" t="s">
        <v>709</v>
      </c>
      <c r="BK108" s="546" t="s">
        <v>116</v>
      </c>
      <c r="BL108" s="546" t="s">
        <v>709</v>
      </c>
      <c r="BM108" s="546" t="s">
        <v>116</v>
      </c>
      <c r="BN108" s="546" t="s">
        <v>709</v>
      </c>
      <c r="BO108" s="546" t="s">
        <v>709</v>
      </c>
      <c r="BP108" s="546" t="s">
        <v>709</v>
      </c>
      <c r="BQ108" s="546" t="s">
        <v>709</v>
      </c>
      <c r="BR108" s="546" t="s">
        <v>709</v>
      </c>
      <c r="BS108" s="546" t="s">
        <v>709</v>
      </c>
      <c r="BT108" s="546">
        <v>750</v>
      </c>
      <c r="BU108" s="546">
        <v>1</v>
      </c>
      <c r="BV108" s="546" t="s">
        <v>709</v>
      </c>
      <c r="BW108" s="546" t="s">
        <v>745</v>
      </c>
      <c r="BX108" s="546">
        <v>1</v>
      </c>
      <c r="BY108" s="546">
        <v>1</v>
      </c>
      <c r="BZ108" s="546" t="s">
        <v>745</v>
      </c>
      <c r="CA108" s="506"/>
    </row>
    <row r="109" spans="1:79" ht="15" hidden="1" customHeight="1" x14ac:dyDescent="0.25">
      <c r="A109" s="8" t="s">
        <v>749</v>
      </c>
      <c r="B109" s="8" t="s">
        <v>771</v>
      </c>
      <c r="C109" s="8" t="s">
        <v>1402</v>
      </c>
      <c r="D109" s="656" t="s">
        <v>1403</v>
      </c>
      <c r="E109" s="8" t="s">
        <v>1404</v>
      </c>
      <c r="F109" s="8" t="s">
        <v>784</v>
      </c>
      <c r="G109" s="8" t="s">
        <v>37</v>
      </c>
      <c r="H109" s="8" t="s">
        <v>59</v>
      </c>
      <c r="I109" s="642">
        <v>44875</v>
      </c>
      <c r="J109" s="18">
        <v>44981</v>
      </c>
      <c r="K109" s="97">
        <v>44970</v>
      </c>
      <c r="L109" s="16">
        <f>IF(ISTEXT(Table157[[#This Row],[Engineering Approved Design Date]]),Table157[[#This Row],[Date Completed]]-Table157[[#This Row],[Date Assigned to Designer]],Table157[[#This Row],[Engineering Approved Design Date]]-Table157[[#This Row],[Date Completed]])</f>
        <v>11</v>
      </c>
      <c r="M109" s="642"/>
      <c r="N109" s="642" t="s">
        <v>120</v>
      </c>
      <c r="O109" s="510">
        <f>Table157[[#This Row],[Date Completed]]</f>
        <v>44970</v>
      </c>
      <c r="P109" s="221" t="s">
        <v>120</v>
      </c>
      <c r="Q109" s="375">
        <f t="shared" si="1"/>
        <v>26265.086100000004</v>
      </c>
      <c r="R109" s="77">
        <v>0.09</v>
      </c>
      <c r="U109" s="87"/>
      <c r="V109" s="437">
        <v>1197</v>
      </c>
      <c r="X109" s="94">
        <v>254931.95</v>
      </c>
      <c r="Y109" s="592"/>
      <c r="Z109" s="552">
        <v>36902.339999999997</v>
      </c>
      <c r="AA109" s="300">
        <f>SUM(Table157[[#This Row],[PCTS Investment Amount]:[PCTS Retirement Amount]])</f>
        <v>291834.29000000004</v>
      </c>
      <c r="AB109" s="207">
        <v>44965</v>
      </c>
      <c r="AC109" s="108" t="s">
        <v>709</v>
      </c>
      <c r="AD109" s="108" t="s">
        <v>29</v>
      </c>
      <c r="AE109" s="349"/>
      <c r="AF109" s="579"/>
      <c r="AG109" s="579"/>
      <c r="AH109" s="354"/>
      <c r="AI109" s="341"/>
      <c r="AJ109" s="183"/>
      <c r="AK109" s="183"/>
      <c r="AL109" s="494">
        <f>SUM(Table157[[#This Row],[Nicor Initiated DBE]:[Staffing]])/(Table157[[#This Row],[Amount Invoiced]])</f>
        <v>0</v>
      </c>
      <c r="AM109" s="21" t="s">
        <v>116</v>
      </c>
      <c r="AN109" s="680" t="s">
        <v>709</v>
      </c>
      <c r="AO109" s="601" t="s">
        <v>115</v>
      </c>
      <c r="AP109" s="572"/>
      <c r="AQ109" s="572"/>
      <c r="AR109" s="572"/>
      <c r="AS109" s="538">
        <f>IF(Table157[[#This Row],[PCTS Approved]]="N",0,Table157[[#This Row],[Investment Amount (1'#'#'#'#'#)]]+Table157[[#This Row],[Retirement Amount (3'#'#'#'#'#)]])</f>
        <v>0</v>
      </c>
      <c r="AT109" s="538">
        <f>IF(Table157[[#This Row],[Approved Construction Cost]]=0,0,Table157[[#This Row],[Approved Construction Cost]]-Table157[[#This Row],[Construction Cost to Bill From]])</f>
        <v>0</v>
      </c>
      <c r="AU109" s="538">
        <f>IFERROR(Table157[[#This Row],[Difference in Construction Cost]]*Table157[[#This Row],[Rate]],Table157[[#This Row],[Difference in Construction Cost]]*0.085)</f>
        <v>0</v>
      </c>
      <c r="AV109" s="572"/>
      <c r="AW109" s="639"/>
      <c r="AX109" s="538"/>
      <c r="AY109" s="636" t="s">
        <v>709</v>
      </c>
      <c r="AZ109" s="443">
        <v>35</v>
      </c>
      <c r="BA109" s="334" t="s">
        <v>3</v>
      </c>
      <c r="BB109" s="652" t="s">
        <v>1405</v>
      </c>
      <c r="BC109" s="644" t="s">
        <v>1406</v>
      </c>
      <c r="BD109" s="478" t="s">
        <v>116</v>
      </c>
      <c r="BE109" s="544" t="s">
        <v>115</v>
      </c>
      <c r="BF109" s="544" t="s">
        <v>115</v>
      </c>
      <c r="BG109" s="544" t="s">
        <v>1407</v>
      </c>
      <c r="BH109" s="512" t="s">
        <v>115</v>
      </c>
      <c r="BI109" s="645"/>
      <c r="BJ109" s="511" t="s">
        <v>709</v>
      </c>
      <c r="BK109" s="546" t="s">
        <v>709</v>
      </c>
      <c r="BL109" s="546" t="s">
        <v>709</v>
      </c>
      <c r="BM109" s="546" t="s">
        <v>116</v>
      </c>
      <c r="BN109" s="546" t="s">
        <v>709</v>
      </c>
      <c r="BO109" s="546" t="s">
        <v>709</v>
      </c>
      <c r="BP109" s="546" t="s">
        <v>709</v>
      </c>
      <c r="BQ109" s="546" t="s">
        <v>709</v>
      </c>
      <c r="BR109" s="546" t="s">
        <v>709</v>
      </c>
      <c r="BS109" s="546">
        <v>1197</v>
      </c>
      <c r="BT109" s="546" t="s">
        <v>709</v>
      </c>
      <c r="BU109" s="546" t="s">
        <v>745</v>
      </c>
      <c r="BV109" s="546" t="s">
        <v>709</v>
      </c>
      <c r="BW109" s="546" t="s">
        <v>745</v>
      </c>
      <c r="BX109" s="546" t="s">
        <v>709</v>
      </c>
      <c r="BY109" s="546" t="s">
        <v>745</v>
      </c>
      <c r="BZ109" s="546" t="s">
        <v>745</v>
      </c>
      <c r="CA109" s="506"/>
    </row>
    <row r="110" spans="1:79" ht="15" hidden="1" customHeight="1" x14ac:dyDescent="0.25">
      <c r="A110" s="8">
        <v>2023</v>
      </c>
      <c r="B110" s="8" t="s">
        <v>4</v>
      </c>
      <c r="C110" s="8" t="s">
        <v>1408</v>
      </c>
      <c r="D110" s="8" t="s">
        <v>1409</v>
      </c>
      <c r="E110" s="8" t="s">
        <v>164</v>
      </c>
      <c r="F110" s="8" t="s">
        <v>784</v>
      </c>
      <c r="G110" s="8" t="s">
        <v>26</v>
      </c>
      <c r="H110" s="8" t="s">
        <v>59</v>
      </c>
      <c r="I110" s="642">
        <v>44778</v>
      </c>
      <c r="J110" s="18">
        <v>44981</v>
      </c>
      <c r="K110" s="97">
        <v>44980</v>
      </c>
      <c r="L110" s="16">
        <f>IF(ISTEXT(Table157[[#This Row],[Engineering Approved Design Date]]),Table157[[#This Row],[Date Completed]]-Table157[[#This Row],[Date Assigned to Designer]],Table157[[#This Row],[Engineering Approved Design Date]]-Table157[[#This Row],[Date Completed]])</f>
        <v>1</v>
      </c>
      <c r="M110" s="642"/>
      <c r="N110" s="642" t="s">
        <v>120</v>
      </c>
      <c r="O110" s="510">
        <v>45017</v>
      </c>
      <c r="P110" s="221" t="s">
        <v>739</v>
      </c>
      <c r="Q110" s="74">
        <f>Table157[[#This Row],[Rate]]*Table157[[#This Row],[Construction Cost to Bill From]]</f>
        <v>126536.67300000001</v>
      </c>
      <c r="R110" s="75">
        <v>0.1</v>
      </c>
      <c r="U110" s="87"/>
      <c r="V110" s="437">
        <v>3291</v>
      </c>
      <c r="X110" s="94">
        <v>1230812.25</v>
      </c>
      <c r="Y110" s="592"/>
      <c r="Z110" s="552">
        <v>34554.480000000003</v>
      </c>
      <c r="AA110" s="300">
        <f>Table157[[#This Row],[PCTS Investment Amount]]+Table157[[#This Row],[PCTS Retirement Amount]]</f>
        <v>1265366.73</v>
      </c>
      <c r="AB110" s="207">
        <v>45033</v>
      </c>
      <c r="AC110" s="108" t="s">
        <v>709</v>
      </c>
      <c r="AD110" s="108" t="s">
        <v>29</v>
      </c>
      <c r="AE110" s="349"/>
      <c r="AF110" s="579"/>
      <c r="AG110" s="579"/>
      <c r="AH110" s="354"/>
      <c r="AI110" s="489"/>
      <c r="AJ110" s="553"/>
      <c r="AK110" s="553"/>
      <c r="AL110" s="495">
        <f>SUM(Table157[[#This Row],[Nicor Initiated DBE]:[Staffing]])/(Table157[[#This Row],[Amount Invoiced]])</f>
        <v>0</v>
      </c>
      <c r="AM110" s="21" t="s">
        <v>116</v>
      </c>
      <c r="AN110" s="680" t="s">
        <v>709</v>
      </c>
      <c r="AO110" s="601" t="s">
        <v>115</v>
      </c>
      <c r="AP110" s="572"/>
      <c r="AQ110" s="572"/>
      <c r="AR110" s="572"/>
      <c r="AS110" s="538">
        <f>IF(Table157[[#This Row],[PCTS Approved]]="N",0,Table157[[#This Row],[Investment Amount (1'#'#'#'#'#)]]+Table157[[#This Row],[Retirement Amount (3'#'#'#'#'#)]])</f>
        <v>0</v>
      </c>
      <c r="AT110" s="538">
        <f>IF(Table157[[#This Row],[Approved Construction Cost]]=0,0,Table157[[#This Row],[Approved Construction Cost]]-Table157[[#This Row],[Construction Cost to Bill From]])</f>
        <v>0</v>
      </c>
      <c r="AU110" s="538">
        <f>IFERROR(Table157[[#This Row],[Difference in Construction Cost]]*Table157[[#This Row],[Rate]],Table157[[#This Row],[Difference in Construction Cost]]*0.085)</f>
        <v>0</v>
      </c>
      <c r="AV110" s="572"/>
      <c r="AW110" s="639"/>
      <c r="AX110" s="538"/>
      <c r="AY110" s="636" t="s">
        <v>709</v>
      </c>
      <c r="AZ110" s="443">
        <v>78</v>
      </c>
      <c r="BA110" s="334" t="s">
        <v>4</v>
      </c>
      <c r="BB110" s="652" t="s">
        <v>1410</v>
      </c>
      <c r="BC110" s="644" t="s">
        <v>1411</v>
      </c>
      <c r="BD110" s="478" t="s">
        <v>115</v>
      </c>
      <c r="BE110" s="544" t="s">
        <v>115</v>
      </c>
      <c r="BF110" s="544" t="s">
        <v>1411</v>
      </c>
      <c r="BG110" s="544" t="s">
        <v>115</v>
      </c>
      <c r="BH110" s="512" t="s">
        <v>115</v>
      </c>
      <c r="BI110" s="545"/>
      <c r="BJ110" s="511" t="s">
        <v>709</v>
      </c>
      <c r="BK110" s="546" t="s">
        <v>709</v>
      </c>
      <c r="BL110" s="546" t="s">
        <v>709</v>
      </c>
      <c r="BM110" s="546" t="s">
        <v>116</v>
      </c>
      <c r="BN110" s="546" t="s">
        <v>709</v>
      </c>
      <c r="BO110" s="546" t="s">
        <v>709</v>
      </c>
      <c r="BP110" s="546" t="s">
        <v>709</v>
      </c>
      <c r="BQ110" s="546" t="s">
        <v>709</v>
      </c>
      <c r="BR110" s="546" t="s">
        <v>709</v>
      </c>
      <c r="BS110" s="546">
        <v>2067</v>
      </c>
      <c r="BT110" s="546">
        <v>1224</v>
      </c>
      <c r="BU110" s="546" t="s">
        <v>745</v>
      </c>
      <c r="BV110" s="546" t="s">
        <v>709</v>
      </c>
      <c r="BW110" s="546" t="s">
        <v>745</v>
      </c>
      <c r="BX110" s="546" t="s">
        <v>709</v>
      </c>
      <c r="BY110" s="546" t="s">
        <v>745</v>
      </c>
      <c r="BZ110" s="546" t="s">
        <v>745</v>
      </c>
      <c r="CA110" s="506"/>
    </row>
    <row r="111" spans="1:79" ht="15" hidden="1" customHeight="1" x14ac:dyDescent="0.25">
      <c r="A111" s="13" t="s">
        <v>749</v>
      </c>
      <c r="B111" s="13" t="s">
        <v>759</v>
      </c>
      <c r="C111" s="13" t="s">
        <v>1412</v>
      </c>
      <c r="D111" s="13">
        <v>1011916</v>
      </c>
      <c r="E111" s="13" t="s">
        <v>361</v>
      </c>
      <c r="F111" s="452" t="s">
        <v>752</v>
      </c>
      <c r="G111" s="13" t="s">
        <v>34</v>
      </c>
      <c r="H111" s="13" t="s">
        <v>59</v>
      </c>
      <c r="I111" s="642">
        <v>44837</v>
      </c>
      <c r="J111" s="18">
        <v>45000</v>
      </c>
      <c r="K111" s="642">
        <v>45000</v>
      </c>
      <c r="L111" s="649">
        <f>IF(ISTEXT(Table157[[#This Row],[Engineering Approved Design Date]]),Table157[[#This Row],[Date Completed]]-Table157[[#This Row],[Date Assigned to Designer]],Table157[[#This Row],[Engineering Approved Design Date]]-Table157[[#This Row],[Date Completed]])</f>
        <v>0</v>
      </c>
      <c r="N111" s="642" t="s">
        <v>120</v>
      </c>
      <c r="O111" s="510">
        <v>45017</v>
      </c>
      <c r="P111" s="68" t="s">
        <v>120</v>
      </c>
      <c r="Q111" s="74">
        <f>Table157[[#This Row],[Rate]]*Table157[[#This Row],[Construction Cost to Bill From]]</f>
        <v>116426.8501</v>
      </c>
      <c r="R111" s="77">
        <v>0.11</v>
      </c>
      <c r="V111" s="442">
        <v>1904</v>
      </c>
      <c r="W111" s="442">
        <v>1</v>
      </c>
      <c r="X111" s="94">
        <v>972576.23</v>
      </c>
      <c r="Y111" s="591"/>
      <c r="Z111" s="552">
        <v>85849.68</v>
      </c>
      <c r="AA111" s="300">
        <f>Table157[[#This Row],[PCTS Investment Amount]]+Table157[[#This Row],[PCTS Retirement Amount]]</f>
        <v>1058425.9099999999</v>
      </c>
      <c r="AB111" s="212">
        <v>45029</v>
      </c>
      <c r="AC111" s="229" t="s">
        <v>1177</v>
      </c>
      <c r="AD111" s="229" t="s">
        <v>29</v>
      </c>
      <c r="AE111" s="350"/>
      <c r="AF111" s="581"/>
      <c r="AG111" s="581"/>
      <c r="AH111" s="355"/>
      <c r="AI111" s="476"/>
      <c r="AJ111" s="573"/>
      <c r="AK111" s="573"/>
      <c r="AL111" s="497">
        <f>SUM(Table157[[#This Row],[Nicor Initiated DBE]:[Staffing]])/(Table157[[#This Row],[Amount Invoiced]])</f>
        <v>0</v>
      </c>
      <c r="AM111" s="21" t="s">
        <v>116</v>
      </c>
      <c r="AN111" s="680" t="s">
        <v>709</v>
      </c>
      <c r="AO111" s="603" t="s">
        <v>115</v>
      </c>
      <c r="AP111" s="572"/>
      <c r="AQ111" s="603"/>
      <c r="AR111" s="572"/>
      <c r="AS111" s="538">
        <f>IF(Table157[[#This Row],[PCTS Approved]]="N",0,Table157[[#This Row],[Investment Amount (1'#'#'#'#'#)]]+Table157[[#This Row],[Retirement Amount (3'#'#'#'#'#)]])</f>
        <v>0</v>
      </c>
      <c r="AT111" s="538">
        <f>IF(Table157[[#This Row],[Approved Construction Cost]]=0,0,Table157[[#This Row],[Approved Construction Cost]]-Table157[[#This Row],[Construction Cost to Bill From]])</f>
        <v>0</v>
      </c>
      <c r="AU111" s="538">
        <f>IFERROR(Table157[[#This Row],[Difference in Construction Cost]]*Table157[[#This Row],[Rate]],Table157[[#This Row],[Difference in Construction Cost]]*0.085)</f>
        <v>0</v>
      </c>
      <c r="AV111" s="572"/>
      <c r="AW111" s="639"/>
      <c r="AX111" s="538"/>
      <c r="AY111" s="636" t="s">
        <v>709</v>
      </c>
      <c r="AZ111" s="443">
        <v>150</v>
      </c>
      <c r="BA111" s="334" t="s">
        <v>2</v>
      </c>
      <c r="BB111" s="652" t="s">
        <v>1413</v>
      </c>
      <c r="BC111" s="543" t="s">
        <v>1414</v>
      </c>
      <c r="BD111" s="478" t="s">
        <v>250</v>
      </c>
      <c r="BE111" s="544" t="s">
        <v>115</v>
      </c>
      <c r="BF111" s="544" t="s">
        <v>1415</v>
      </c>
      <c r="BG111" s="544" t="s">
        <v>115</v>
      </c>
      <c r="BH111" s="512" t="s">
        <v>115</v>
      </c>
      <c r="BI111" s="645"/>
      <c r="BJ111" s="511" t="s">
        <v>709</v>
      </c>
      <c r="BK111" s="546" t="s">
        <v>709</v>
      </c>
      <c r="BL111" s="546" t="s">
        <v>116</v>
      </c>
      <c r="BM111" s="546" t="s">
        <v>116</v>
      </c>
      <c r="BN111" s="546" t="s">
        <v>709</v>
      </c>
      <c r="BO111" s="546" t="s">
        <v>709</v>
      </c>
      <c r="BP111" s="546" t="s">
        <v>709</v>
      </c>
      <c r="BQ111" s="546" t="s">
        <v>709</v>
      </c>
      <c r="BR111" s="546">
        <v>1631</v>
      </c>
      <c r="BS111" s="546">
        <v>133</v>
      </c>
      <c r="BT111" s="546">
        <v>50</v>
      </c>
      <c r="BU111" s="546">
        <v>1</v>
      </c>
      <c r="BV111" s="546" t="s">
        <v>709</v>
      </c>
      <c r="BW111" s="546" t="s">
        <v>745</v>
      </c>
      <c r="BX111" s="546">
        <v>1</v>
      </c>
      <c r="BY111" s="546" t="s">
        <v>709</v>
      </c>
      <c r="BZ111" s="546" t="s">
        <v>745</v>
      </c>
      <c r="CA111" s="506"/>
    </row>
    <row r="112" spans="1:79" ht="15" hidden="1" customHeight="1" x14ac:dyDescent="0.25">
      <c r="A112" s="8">
        <v>2023</v>
      </c>
      <c r="B112" s="8" t="s">
        <v>771</v>
      </c>
      <c r="C112" s="8" t="s">
        <v>353</v>
      </c>
      <c r="D112" s="656" t="s">
        <v>1416</v>
      </c>
      <c r="E112" s="8" t="s">
        <v>354</v>
      </c>
      <c r="F112" s="8" t="s">
        <v>784</v>
      </c>
      <c r="G112" s="8" t="s">
        <v>25</v>
      </c>
      <c r="H112" s="13" t="s">
        <v>59</v>
      </c>
      <c r="I112" s="642">
        <v>44875</v>
      </c>
      <c r="J112" s="18">
        <v>45002</v>
      </c>
      <c r="K112" s="97">
        <v>45001</v>
      </c>
      <c r="L112" s="16">
        <f>IF(ISTEXT(Table157[[#This Row],[Engineering Approved Design Date]]),Table157[[#This Row],[Date Completed]]-Table157[[#This Row],[Date Assigned to Designer]],Table157[[#This Row],[Engineering Approved Design Date]]-Table157[[#This Row],[Date Completed]])</f>
        <v>1</v>
      </c>
      <c r="M112" s="642"/>
      <c r="N112" s="642" t="s">
        <v>120</v>
      </c>
      <c r="O112" s="510">
        <v>44995</v>
      </c>
      <c r="P112" s="221" t="s">
        <v>120</v>
      </c>
      <c r="Q112" s="74">
        <f>Table157[[#This Row],[Rate]]*Table157[[#This Row],[Construction Cost to Bill From]]</f>
        <v>153674.31689999998</v>
      </c>
      <c r="R112" s="75">
        <v>0.09</v>
      </c>
      <c r="U112" s="87"/>
      <c r="V112" s="437">
        <v>2383</v>
      </c>
      <c r="W112" s="437">
        <v>0</v>
      </c>
      <c r="X112" s="94">
        <v>1636616.73</v>
      </c>
      <c r="Y112" s="592"/>
      <c r="Z112" s="552">
        <v>70875.679999999993</v>
      </c>
      <c r="AA112" s="300">
        <f>Table157[[#This Row],[PCTS Investment Amount]]+Table157[[#This Row],[PCTS Retirement Amount]]</f>
        <v>1707492.41</v>
      </c>
      <c r="AB112" s="207">
        <v>45006</v>
      </c>
      <c r="AC112" s="108" t="s">
        <v>116</v>
      </c>
      <c r="AD112" s="108" t="s">
        <v>29</v>
      </c>
      <c r="AE112" s="349"/>
      <c r="AF112" s="579"/>
      <c r="AG112" s="579"/>
      <c r="AH112" s="354"/>
      <c r="AI112" s="341"/>
      <c r="AJ112" s="183"/>
      <c r="AK112" s="183"/>
      <c r="AL112" s="494">
        <f>SUM(Table157[[#This Row],[Nicor Initiated DBE]:[Staffing]])/(Table157[[#This Row],[Amount Invoiced]])</f>
        <v>0</v>
      </c>
      <c r="AM112" s="21" t="s">
        <v>116</v>
      </c>
      <c r="AN112" s="680" t="s">
        <v>709</v>
      </c>
      <c r="AO112" s="601" t="s">
        <v>115</v>
      </c>
      <c r="AP112" s="572"/>
      <c r="AQ112" s="572"/>
      <c r="AR112" s="572"/>
      <c r="AS112" s="538">
        <f>IF(Table157[[#This Row],[PCTS Approved]]="N",0,Table157[[#This Row],[Investment Amount (1'#'#'#'#'#)]]+Table157[[#This Row],[Retirement Amount (3'#'#'#'#'#)]])</f>
        <v>0</v>
      </c>
      <c r="AT112" s="538">
        <f>IF(Table157[[#This Row],[Approved Construction Cost]]=0,0,Table157[[#This Row],[Approved Construction Cost]]-Table157[[#This Row],[Construction Cost to Bill From]])</f>
        <v>0</v>
      </c>
      <c r="AU112" s="538">
        <f>IFERROR(Table157[[#This Row],[Difference in Construction Cost]]*Table157[[#This Row],[Rate]],Table157[[#This Row],[Difference in Construction Cost]]*0.085)</f>
        <v>0</v>
      </c>
      <c r="AV112" s="572"/>
      <c r="AW112" s="639"/>
      <c r="AX112" s="538"/>
      <c r="AY112" s="636" t="s">
        <v>709</v>
      </c>
      <c r="AZ112" s="443">
        <v>36</v>
      </c>
      <c r="BA112" s="334" t="s">
        <v>3</v>
      </c>
      <c r="BB112" s="652" t="s">
        <v>1417</v>
      </c>
      <c r="BC112" s="644" t="s">
        <v>1418</v>
      </c>
      <c r="BD112" s="478" t="s">
        <v>116</v>
      </c>
      <c r="BE112" s="544" t="s">
        <v>115</v>
      </c>
      <c r="BF112" s="544" t="s">
        <v>588</v>
      </c>
      <c r="BG112" s="544" t="s">
        <v>115</v>
      </c>
      <c r="BH112" s="512" t="s">
        <v>1419</v>
      </c>
      <c r="BI112" s="645"/>
      <c r="BJ112" s="511" t="s">
        <v>709</v>
      </c>
      <c r="BK112" s="546" t="s">
        <v>709</v>
      </c>
      <c r="BL112" s="546" t="s">
        <v>116</v>
      </c>
      <c r="BM112" s="546" t="s">
        <v>709</v>
      </c>
      <c r="BN112" s="546" t="s">
        <v>709</v>
      </c>
      <c r="BO112" s="546">
        <v>1616</v>
      </c>
      <c r="BP112" s="546" t="s">
        <v>709</v>
      </c>
      <c r="BQ112" s="546">
        <v>285</v>
      </c>
      <c r="BR112" s="546">
        <v>482</v>
      </c>
      <c r="BS112" s="546" t="s">
        <v>709</v>
      </c>
      <c r="BT112" s="546" t="s">
        <v>709</v>
      </c>
      <c r="BU112" s="546" t="s">
        <v>745</v>
      </c>
      <c r="BV112" s="546" t="s">
        <v>709</v>
      </c>
      <c r="BW112" s="546" t="s">
        <v>745</v>
      </c>
      <c r="BX112" s="546" t="s">
        <v>709</v>
      </c>
      <c r="BY112" s="546" t="s">
        <v>745</v>
      </c>
      <c r="BZ112" s="546" t="s">
        <v>745</v>
      </c>
      <c r="CA112" s="506"/>
    </row>
    <row r="113" spans="1:79" ht="15" hidden="1" customHeight="1" x14ac:dyDescent="0.25">
      <c r="A113" s="8">
        <v>2023</v>
      </c>
      <c r="B113" s="8" t="s">
        <v>4</v>
      </c>
      <c r="C113" s="8" t="s">
        <v>1420</v>
      </c>
      <c r="D113" s="8" t="s">
        <v>1421</v>
      </c>
      <c r="E113" s="8" t="s">
        <v>1422</v>
      </c>
      <c r="F113" s="8" t="s">
        <v>784</v>
      </c>
      <c r="G113" s="8" t="s">
        <v>25</v>
      </c>
      <c r="H113" s="13" t="s">
        <v>59</v>
      </c>
      <c r="I113" s="642">
        <v>44907</v>
      </c>
      <c r="J113" s="18">
        <v>45016</v>
      </c>
      <c r="K113" s="97">
        <v>45002</v>
      </c>
      <c r="L113" s="16">
        <f>IF(ISTEXT(Table157[[#This Row],[Engineering Approved Design Date]]),Table157[[#This Row],[Date Completed]]-Table157[[#This Row],[Date Assigned to Designer]],Table157[[#This Row],[Engineering Approved Design Date]]-Table157[[#This Row],[Date Completed]])</f>
        <v>14</v>
      </c>
      <c r="M113" s="642"/>
      <c r="N113" s="642" t="s">
        <v>120</v>
      </c>
      <c r="O113" s="510">
        <v>45017</v>
      </c>
      <c r="P113" s="221" t="s">
        <v>739</v>
      </c>
      <c r="Q113" s="74">
        <f>Table157[[#This Row],[Rate]]*Table157[[#This Row],[Construction Cost to Bill From]]</f>
        <v>10427.678</v>
      </c>
      <c r="R113" s="75">
        <v>0.1</v>
      </c>
      <c r="U113" s="87"/>
      <c r="V113" s="437">
        <v>131</v>
      </c>
      <c r="W113" s="437">
        <v>0</v>
      </c>
      <c r="X113" s="94">
        <v>95628.03</v>
      </c>
      <c r="Y113" s="592"/>
      <c r="Z113" s="552">
        <v>8648.75</v>
      </c>
      <c r="AA113" s="300">
        <f>Table157[[#This Row],[PCTS Investment Amount]]+Table157[[#This Row],[PCTS Retirement Amount]]</f>
        <v>104276.78</v>
      </c>
      <c r="AB113" s="207" t="s">
        <v>709</v>
      </c>
      <c r="AC113" s="108" t="s">
        <v>709</v>
      </c>
      <c r="AD113" s="108" t="s">
        <v>29</v>
      </c>
      <c r="AE113" s="349"/>
      <c r="AF113" s="579"/>
      <c r="AG113" s="579"/>
      <c r="AH113" s="354"/>
      <c r="AI113" s="489"/>
      <c r="AJ113" s="553"/>
      <c r="AK113" s="553"/>
      <c r="AL113" s="495">
        <f>SUM(Table157[[#This Row],[Nicor Initiated DBE]:[Staffing]])/(Table157[[#This Row],[Amount Invoiced]])</f>
        <v>0</v>
      </c>
      <c r="AM113" s="21" t="s">
        <v>116</v>
      </c>
      <c r="AN113" s="680" t="s">
        <v>709</v>
      </c>
      <c r="AO113" s="601" t="s">
        <v>115</v>
      </c>
      <c r="AP113" s="572"/>
      <c r="AQ113" s="572"/>
      <c r="AR113" s="572"/>
      <c r="AS113" s="538">
        <f>IF(Table157[[#This Row],[PCTS Approved]]="N",0,Table157[[#This Row],[Investment Amount (1'#'#'#'#'#)]]+Table157[[#This Row],[Retirement Amount (3'#'#'#'#'#)]])</f>
        <v>0</v>
      </c>
      <c r="AT113" s="538">
        <f>IF(Table157[[#This Row],[Approved Construction Cost]]=0,0,Table157[[#This Row],[Approved Construction Cost]]-Table157[[#This Row],[Construction Cost to Bill From]])</f>
        <v>0</v>
      </c>
      <c r="AU113" s="538">
        <f>IFERROR(Table157[[#This Row],[Difference in Construction Cost]]*Table157[[#This Row],[Rate]],Table157[[#This Row],[Difference in Construction Cost]]*0.085)</f>
        <v>0</v>
      </c>
      <c r="AV113" s="572"/>
      <c r="AW113" s="639"/>
      <c r="AX113" s="538"/>
      <c r="AY113" s="636" t="s">
        <v>709</v>
      </c>
      <c r="AZ113" s="443">
        <v>80</v>
      </c>
      <c r="BA113" s="334" t="s">
        <v>4</v>
      </c>
      <c r="BB113" s="652" t="s">
        <v>1423</v>
      </c>
      <c r="BC113" s="644" t="s">
        <v>1424</v>
      </c>
      <c r="BD113" s="478" t="s">
        <v>116</v>
      </c>
      <c r="BE113" s="544" t="s">
        <v>115</v>
      </c>
      <c r="BF113" s="544" t="s">
        <v>1425</v>
      </c>
      <c r="BG113" s="544" t="s">
        <v>115</v>
      </c>
      <c r="BH113" s="512" t="s">
        <v>115</v>
      </c>
      <c r="BI113" s="545"/>
      <c r="BJ113" s="511" t="s">
        <v>709</v>
      </c>
      <c r="BK113" s="546" t="s">
        <v>709</v>
      </c>
      <c r="BL113" s="546" t="s">
        <v>709</v>
      </c>
      <c r="BM113" s="546" t="s">
        <v>116</v>
      </c>
      <c r="BN113" s="546" t="s">
        <v>709</v>
      </c>
      <c r="BO113" s="546" t="s">
        <v>709</v>
      </c>
      <c r="BP113" s="546" t="s">
        <v>709</v>
      </c>
      <c r="BQ113" s="546" t="s">
        <v>709</v>
      </c>
      <c r="BR113" s="546" t="s">
        <v>709</v>
      </c>
      <c r="BS113" s="546" t="s">
        <v>709</v>
      </c>
      <c r="BT113" s="546">
        <v>131</v>
      </c>
      <c r="BU113" s="546" t="s">
        <v>745</v>
      </c>
      <c r="BV113" s="546" t="s">
        <v>709</v>
      </c>
      <c r="BW113" s="546" t="s">
        <v>745</v>
      </c>
      <c r="BX113" s="546" t="s">
        <v>709</v>
      </c>
      <c r="BY113" s="546" t="s">
        <v>745</v>
      </c>
      <c r="BZ113" s="546" t="s">
        <v>745</v>
      </c>
      <c r="CA113" s="506"/>
    </row>
    <row r="114" spans="1:79" ht="15" hidden="1" customHeight="1" x14ac:dyDescent="0.25">
      <c r="A114" s="8">
        <v>2023</v>
      </c>
      <c r="B114" s="8" t="s">
        <v>730</v>
      </c>
      <c r="C114" s="8" t="s">
        <v>1426</v>
      </c>
      <c r="D114" s="8" t="s">
        <v>1427</v>
      </c>
      <c r="E114" s="8" t="s">
        <v>1428</v>
      </c>
      <c r="F114" s="8" t="s">
        <v>752</v>
      </c>
      <c r="G114" s="8" t="s">
        <v>36</v>
      </c>
      <c r="H114" s="8" t="s">
        <v>59</v>
      </c>
      <c r="I114" s="642">
        <v>44888</v>
      </c>
      <c r="J114" s="18">
        <v>45009</v>
      </c>
      <c r="K114" s="97">
        <v>45005</v>
      </c>
      <c r="L114" s="16">
        <f>IF(ISTEXT(Table157[[#This Row],[Engineering Approved Design Date]]),Table157[[#This Row],[Date Completed]]-Table157[[#This Row],[Date Assigned to Designer]],Table157[[#This Row],[Engineering Approved Design Date]]-Table157[[#This Row],[Date Completed]])</f>
        <v>4</v>
      </c>
      <c r="M114" s="642"/>
      <c r="N114" s="642" t="s">
        <v>120</v>
      </c>
      <c r="O114" s="510">
        <v>45017</v>
      </c>
      <c r="P114" s="221" t="s">
        <v>120</v>
      </c>
      <c r="Q114" s="74">
        <f>Table157[[#This Row],[Rate]]*Table157[[#This Row],[Construction Cost to Bill From]]</f>
        <v>46794.15</v>
      </c>
      <c r="R114" s="75">
        <v>0.09</v>
      </c>
      <c r="U114" s="87"/>
      <c r="V114" s="437">
        <v>3077</v>
      </c>
      <c r="W114" s="437">
        <v>2</v>
      </c>
      <c r="X114" s="24">
        <v>452148.43</v>
      </c>
      <c r="Y114" s="592"/>
      <c r="Z114" s="552">
        <v>67786.570000000007</v>
      </c>
      <c r="AA114" s="300">
        <f>Table157[[#This Row],[PCTS Investment Amount]]+Table157[[#This Row],[PCTS Retirement Amount]]</f>
        <v>519935</v>
      </c>
      <c r="AB114" s="208" t="s">
        <v>709</v>
      </c>
      <c r="AC114" s="108" t="s">
        <v>709</v>
      </c>
      <c r="AD114" s="108" t="s">
        <v>29</v>
      </c>
      <c r="AE114" s="349"/>
      <c r="AF114" s="579"/>
      <c r="AG114" s="579"/>
      <c r="AH114" s="354"/>
      <c r="AI114" s="341"/>
      <c r="AJ114" s="183"/>
      <c r="AK114" s="183"/>
      <c r="AL114" s="494">
        <f>SUM(Table157[[#This Row],[Nicor Initiated DBE]:[Staffing]])/(Table157[[#This Row],[Amount Invoiced]])</f>
        <v>0</v>
      </c>
      <c r="AM114" s="21" t="s">
        <v>116</v>
      </c>
      <c r="AN114" s="634" t="s">
        <v>709</v>
      </c>
      <c r="AO114" s="601">
        <v>11056677</v>
      </c>
      <c r="AP114" s="572"/>
      <c r="AQ114" s="572"/>
      <c r="AR114" s="572"/>
      <c r="AS114" s="538">
        <f>IF(Table157[[#This Row],[PCTS Approved]]="N",0,Table157[[#This Row],[Investment Amount (1'#'#'#'#'#)]]+Table157[[#This Row],[Retirement Amount (3'#'#'#'#'#)]])</f>
        <v>0</v>
      </c>
      <c r="AT114" s="538">
        <f>IF(Table157[[#This Row],[Approved Construction Cost]]=0,0,Table157[[#This Row],[Approved Construction Cost]]-Table157[[#This Row],[Construction Cost to Bill From]])</f>
        <v>0</v>
      </c>
      <c r="AU114" s="538">
        <f>IFERROR(Table157[[#This Row],[Difference in Construction Cost]]*Table157[[#This Row],[Rate]],Table157[[#This Row],[Difference in Construction Cost]]*0.085)</f>
        <v>0</v>
      </c>
      <c r="AV114" s="572"/>
      <c r="AW114" s="639"/>
      <c r="AX114" s="538"/>
      <c r="AY114" s="636" t="s">
        <v>709</v>
      </c>
      <c r="AZ114" s="443">
        <v>37</v>
      </c>
      <c r="BA114" s="334" t="s">
        <v>2</v>
      </c>
      <c r="BB114" s="652" t="s">
        <v>1429</v>
      </c>
      <c r="BC114" s="644" t="s">
        <v>1430</v>
      </c>
      <c r="BD114" s="478" t="s">
        <v>115</v>
      </c>
      <c r="BE114" s="544" t="s">
        <v>1066</v>
      </c>
      <c r="BF114" s="544" t="s">
        <v>1431</v>
      </c>
      <c r="BG114" s="544" t="s">
        <v>1432</v>
      </c>
      <c r="BH114" s="512" t="s">
        <v>115</v>
      </c>
      <c r="BI114" s="645" t="s">
        <v>1433</v>
      </c>
      <c r="BJ114" s="511" t="s">
        <v>709</v>
      </c>
      <c r="BK114" s="546" t="s">
        <v>709</v>
      </c>
      <c r="BL114" s="546" t="s">
        <v>709</v>
      </c>
      <c r="BM114" s="546" t="s">
        <v>116</v>
      </c>
      <c r="BN114" s="546" t="s">
        <v>709</v>
      </c>
      <c r="BO114" s="546" t="s">
        <v>709</v>
      </c>
      <c r="BP114" s="546" t="s">
        <v>709</v>
      </c>
      <c r="BQ114" s="546" t="s">
        <v>709</v>
      </c>
      <c r="BR114" s="546" t="s">
        <v>709</v>
      </c>
      <c r="BS114" s="546">
        <v>3047</v>
      </c>
      <c r="BT114" s="546">
        <v>30</v>
      </c>
      <c r="BU114" s="546" t="s">
        <v>709</v>
      </c>
      <c r="BV114" s="546" t="s">
        <v>709</v>
      </c>
      <c r="BW114" s="546" t="s">
        <v>709</v>
      </c>
      <c r="BX114" s="546" t="s">
        <v>709</v>
      </c>
      <c r="BY114" s="546" t="s">
        <v>709</v>
      </c>
      <c r="BZ114" s="546" t="s">
        <v>709</v>
      </c>
      <c r="CA114" s="506"/>
    </row>
    <row r="115" spans="1:79" ht="15" hidden="1" customHeight="1" x14ac:dyDescent="0.25">
      <c r="A115" s="8" t="s">
        <v>770</v>
      </c>
      <c r="B115" s="8" t="s">
        <v>771</v>
      </c>
      <c r="C115" s="8" t="s">
        <v>383</v>
      </c>
      <c r="D115" s="656" t="s">
        <v>1434</v>
      </c>
      <c r="E115" s="8" t="s">
        <v>104</v>
      </c>
      <c r="F115" s="8" t="s">
        <v>784</v>
      </c>
      <c r="G115" s="8" t="s">
        <v>36</v>
      </c>
      <c r="H115" s="13" t="s">
        <v>59</v>
      </c>
      <c r="I115" s="642">
        <v>44250</v>
      </c>
      <c r="J115" s="18">
        <v>45016</v>
      </c>
      <c r="K115" s="97">
        <v>45008</v>
      </c>
      <c r="L115" s="16">
        <f>IF(ISTEXT(Table157[[#This Row],[Engineering Approved Design Date]]),Table157[[#This Row],[Date Completed]]-Table157[[#This Row],[Date Assigned to Designer]],Table157[[#This Row],[Engineering Approved Design Date]]-Table157[[#This Row],[Date Completed]])</f>
        <v>8</v>
      </c>
      <c r="M115" s="642"/>
      <c r="N115" s="642" t="s">
        <v>120</v>
      </c>
      <c r="O115" s="510">
        <v>45017</v>
      </c>
      <c r="P115" s="221" t="s">
        <v>120</v>
      </c>
      <c r="Q115" s="74">
        <f>Table157[[#This Row],[Rate]]*Table157[[#This Row],[Construction Cost to Bill From]]</f>
        <v>148271.67179999998</v>
      </c>
      <c r="R115" s="75">
        <v>0.09</v>
      </c>
      <c r="U115" s="87"/>
      <c r="V115" s="437">
        <v>1626</v>
      </c>
      <c r="W115" s="437">
        <v>0</v>
      </c>
      <c r="X115" s="94">
        <v>1586798.2</v>
      </c>
      <c r="Y115" s="592"/>
      <c r="Z115" s="552">
        <v>60664.82</v>
      </c>
      <c r="AA115" s="300">
        <f>Table157[[#This Row],[PCTS Investment Amount]]+Table157[[#This Row],[PCTS Retirement Amount]]</f>
        <v>1647463.02</v>
      </c>
      <c r="AB115" s="207">
        <v>45040</v>
      </c>
      <c r="AC115" s="108" t="s">
        <v>1177</v>
      </c>
      <c r="AD115" s="108" t="s">
        <v>29</v>
      </c>
      <c r="AE115" s="349"/>
      <c r="AF115" s="579"/>
      <c r="AG115" s="579"/>
      <c r="AH115" s="354"/>
      <c r="AI115" s="341"/>
      <c r="AJ115" s="183"/>
      <c r="AK115" s="183"/>
      <c r="AL115" s="494">
        <f>SUM(Table157[[#This Row],[Nicor Initiated DBE]:[Staffing]])/(Table157[[#This Row],[Amount Invoiced]])</f>
        <v>0</v>
      </c>
      <c r="AM115" s="21" t="s">
        <v>116</v>
      </c>
      <c r="AN115" s="680" t="s">
        <v>709</v>
      </c>
      <c r="AO115" s="681">
        <v>11037256</v>
      </c>
      <c r="AP115" s="572"/>
      <c r="AQ115" s="572"/>
      <c r="AR115" s="572"/>
      <c r="AS115" s="538">
        <f>IF(Table157[[#This Row],[PCTS Approved]]="N",0,Table157[[#This Row],[Investment Amount (1'#'#'#'#'#)]]+Table157[[#This Row],[Retirement Amount (3'#'#'#'#'#)]])</f>
        <v>0</v>
      </c>
      <c r="AT115" s="538">
        <f>IF(Table157[[#This Row],[Approved Construction Cost]]=0,0,Table157[[#This Row],[Approved Construction Cost]]-Table157[[#This Row],[Construction Cost to Bill From]])</f>
        <v>0</v>
      </c>
      <c r="AU115" s="538">
        <f>IFERROR(Table157[[#This Row],[Difference in Construction Cost]]*Table157[[#This Row],[Rate]],Table157[[#This Row],[Difference in Construction Cost]]*0.085)</f>
        <v>0</v>
      </c>
      <c r="AV115" s="572"/>
      <c r="AW115" s="639"/>
      <c r="AX115" s="538"/>
      <c r="AY115" s="636" t="s">
        <v>709</v>
      </c>
      <c r="AZ115" s="443">
        <v>38</v>
      </c>
      <c r="BA115" s="334" t="s">
        <v>3</v>
      </c>
      <c r="BB115" s="652" t="s">
        <v>1435</v>
      </c>
      <c r="BC115" s="644" t="s">
        <v>1436</v>
      </c>
      <c r="BD115" s="478" t="s">
        <v>116</v>
      </c>
      <c r="BE115" s="544" t="s">
        <v>115</v>
      </c>
      <c r="BF115" s="544" t="s">
        <v>1232</v>
      </c>
      <c r="BG115" s="544" t="s">
        <v>115</v>
      </c>
      <c r="BH115" s="512"/>
      <c r="BI115" s="645"/>
      <c r="BJ115" s="511" t="s">
        <v>709</v>
      </c>
      <c r="BK115" s="546" t="s">
        <v>709</v>
      </c>
      <c r="BL115" s="546" t="s">
        <v>709</v>
      </c>
      <c r="BM115" s="546" t="s">
        <v>116</v>
      </c>
      <c r="BN115" s="546" t="s">
        <v>709</v>
      </c>
      <c r="BO115" s="546">
        <v>533</v>
      </c>
      <c r="BP115" s="546" t="s">
        <v>709</v>
      </c>
      <c r="BQ115" s="546">
        <v>228</v>
      </c>
      <c r="BR115" s="546">
        <v>422</v>
      </c>
      <c r="BS115" s="546">
        <v>414</v>
      </c>
      <c r="BT115" s="546">
        <v>22</v>
      </c>
      <c r="BU115" s="546" t="s">
        <v>745</v>
      </c>
      <c r="BV115" s="546" t="s">
        <v>709</v>
      </c>
      <c r="BW115" s="546" t="s">
        <v>745</v>
      </c>
      <c r="BX115" s="546" t="s">
        <v>709</v>
      </c>
      <c r="BY115" s="546" t="s">
        <v>745</v>
      </c>
      <c r="BZ115" s="546" t="s">
        <v>745</v>
      </c>
      <c r="CA115" s="506"/>
    </row>
    <row r="116" spans="1:79" ht="15" hidden="1" customHeight="1" x14ac:dyDescent="0.25">
      <c r="A116" s="13">
        <v>2023</v>
      </c>
      <c r="B116" s="13" t="s">
        <v>759</v>
      </c>
      <c r="C116" s="13" t="s">
        <v>416</v>
      </c>
      <c r="D116" s="13">
        <v>1011926</v>
      </c>
      <c r="E116" s="13" t="s">
        <v>309</v>
      </c>
      <c r="F116" s="452" t="s">
        <v>752</v>
      </c>
      <c r="G116" s="13" t="s">
        <v>22</v>
      </c>
      <c r="H116" s="13" t="s">
        <v>59</v>
      </c>
      <c r="I116" s="642">
        <v>44838</v>
      </c>
      <c r="J116" s="18">
        <v>45016</v>
      </c>
      <c r="K116" s="642">
        <v>45015</v>
      </c>
      <c r="L116" s="649">
        <f>IF(ISTEXT(Table157[[#This Row],[Engineering Approved Design Date]]),Table157[[#This Row],[Date Completed]]-Table157[[#This Row],[Date Assigned to Designer]],Table157[[#This Row],[Engineering Approved Design Date]]-Table157[[#This Row],[Date Completed]])</f>
        <v>1</v>
      </c>
      <c r="N116" s="642" t="s">
        <v>120</v>
      </c>
      <c r="O116" s="510">
        <v>45047</v>
      </c>
      <c r="P116" s="68" t="s">
        <v>120</v>
      </c>
      <c r="Q116" s="74">
        <f>Table157[[#This Row],[Rate]]*Table157[[#This Row],[Construction Cost to Bill From]]</f>
        <v>92865.143799999991</v>
      </c>
      <c r="R116" s="77">
        <v>0.11</v>
      </c>
      <c r="V116" s="442">
        <v>403</v>
      </c>
      <c r="W116" s="442">
        <v>2</v>
      </c>
      <c r="X116" s="106">
        <v>737349.19</v>
      </c>
      <c r="Y116" s="591"/>
      <c r="Z116" s="570">
        <v>106879.39</v>
      </c>
      <c r="AA116" s="300">
        <f>Table157[[#This Row],[PCTS Investment Amount]]+Table157[[#This Row],[PCTS Retirement Amount]]</f>
        <v>844228.58</v>
      </c>
      <c r="AB116" s="212">
        <v>45028</v>
      </c>
      <c r="AC116" s="229" t="s">
        <v>1296</v>
      </c>
      <c r="AD116" s="229" t="s">
        <v>29</v>
      </c>
      <c r="AE116" s="350"/>
      <c r="AF116" s="581"/>
      <c r="AG116" s="581"/>
      <c r="AH116" s="355"/>
      <c r="AI116" s="476"/>
      <c r="AJ116" s="573"/>
      <c r="AK116" s="573"/>
      <c r="AL116" s="497">
        <f>SUM(Table157[[#This Row],[Nicor Initiated DBE]:[Staffing]])/(Table157[[#This Row],[Amount Invoiced]])</f>
        <v>0</v>
      </c>
      <c r="AM116" s="21" t="s">
        <v>116</v>
      </c>
      <c r="AN116" s="680" t="s">
        <v>709</v>
      </c>
      <c r="AO116" s="604">
        <v>11050929</v>
      </c>
      <c r="AP116" s="572"/>
      <c r="AQ116" s="603"/>
      <c r="AR116" s="572"/>
      <c r="AS116" s="538">
        <f>IF(Table157[[#This Row],[PCTS Approved]]="N",0,Table157[[#This Row],[Investment Amount (1'#'#'#'#'#)]]+Table157[[#This Row],[Retirement Amount (3'#'#'#'#'#)]])</f>
        <v>0</v>
      </c>
      <c r="AT116" s="538">
        <f>IF(Table157[[#This Row],[Approved Construction Cost]]=0,0,Table157[[#This Row],[Approved Construction Cost]]-Table157[[#This Row],[Construction Cost to Bill From]])</f>
        <v>0</v>
      </c>
      <c r="AU116" s="538">
        <f>IFERROR(Table157[[#This Row],[Difference in Construction Cost]]*Table157[[#This Row],[Rate]],Table157[[#This Row],[Difference in Construction Cost]]*0.085)</f>
        <v>0</v>
      </c>
      <c r="AV116" s="572"/>
      <c r="AW116" s="639"/>
      <c r="AX116" s="538"/>
      <c r="AY116" s="636" t="s">
        <v>709</v>
      </c>
      <c r="AZ116" s="443">
        <v>151</v>
      </c>
      <c r="BA116" s="334" t="s">
        <v>2</v>
      </c>
      <c r="BB116" s="652" t="s">
        <v>1437</v>
      </c>
      <c r="BC116" s="543" t="s">
        <v>1438</v>
      </c>
      <c r="BD116" s="478" t="s">
        <v>115</v>
      </c>
      <c r="BE116" s="544" t="s">
        <v>709</v>
      </c>
      <c r="BF116" s="544" t="s">
        <v>709</v>
      </c>
      <c r="BG116" s="544" t="s">
        <v>1439</v>
      </c>
      <c r="BH116" s="512" t="s">
        <v>115</v>
      </c>
      <c r="BI116" s="645"/>
      <c r="BJ116" s="625" t="s">
        <v>709</v>
      </c>
      <c r="BK116" s="623" t="s">
        <v>709</v>
      </c>
      <c r="BL116" s="623" t="s">
        <v>116</v>
      </c>
      <c r="BM116" s="623" t="s">
        <v>116</v>
      </c>
      <c r="BN116" s="623" t="s">
        <v>709</v>
      </c>
      <c r="BO116" s="623" t="s">
        <v>709</v>
      </c>
      <c r="BP116" s="623" t="s">
        <v>709</v>
      </c>
      <c r="BQ116" s="623" t="s">
        <v>709</v>
      </c>
      <c r="BR116" s="623">
        <v>139</v>
      </c>
      <c r="BS116" s="623">
        <v>140</v>
      </c>
      <c r="BT116" s="623">
        <v>54</v>
      </c>
      <c r="BU116" s="623" t="s">
        <v>709</v>
      </c>
      <c r="BV116" s="623" t="s">
        <v>709</v>
      </c>
      <c r="BW116" s="623" t="s">
        <v>709</v>
      </c>
      <c r="BX116" s="623">
        <v>1</v>
      </c>
      <c r="BY116" s="623">
        <v>1</v>
      </c>
      <c r="BZ116" s="623" t="s">
        <v>709</v>
      </c>
      <c r="CA116" s="507" t="s">
        <v>1440</v>
      </c>
    </row>
    <row r="117" spans="1:79" ht="15" hidden="1" customHeight="1" x14ac:dyDescent="0.25">
      <c r="A117" s="13" t="s">
        <v>749</v>
      </c>
      <c r="B117" s="13" t="s">
        <v>759</v>
      </c>
      <c r="C117" s="13" t="s">
        <v>437</v>
      </c>
      <c r="D117" s="13">
        <v>1011935</v>
      </c>
      <c r="E117" s="13" t="s">
        <v>438</v>
      </c>
      <c r="F117" s="452" t="s">
        <v>752</v>
      </c>
      <c r="G117" s="13" t="s">
        <v>34</v>
      </c>
      <c r="H117" s="13" t="s">
        <v>59</v>
      </c>
      <c r="I117" s="642">
        <v>44838</v>
      </c>
      <c r="J117" s="175">
        <v>45016</v>
      </c>
      <c r="K117" s="642">
        <v>45016</v>
      </c>
      <c r="L117" s="649">
        <f>IF(ISTEXT(Table157[[#This Row],[Engineering Approved Design Date]]),Table157[[#This Row],[Date Completed]]-Table157[[#This Row],[Date Assigned to Designer]],Table157[[#This Row],[Engineering Approved Design Date]]-Table157[[#This Row],[Date Completed]])</f>
        <v>0</v>
      </c>
      <c r="N117" s="642" t="s">
        <v>120</v>
      </c>
      <c r="O117" s="510">
        <v>45017</v>
      </c>
      <c r="P117" s="68" t="s">
        <v>120</v>
      </c>
      <c r="Q117" s="74">
        <f>Table157[[#This Row],[Rate]]*Table157[[#This Row],[Construction Cost to Bill From]]</f>
        <v>102706.21130000001</v>
      </c>
      <c r="R117" s="77">
        <v>0.11</v>
      </c>
      <c r="V117" s="442">
        <v>1253</v>
      </c>
      <c r="W117" s="442">
        <v>3</v>
      </c>
      <c r="X117" s="94">
        <v>818002.56</v>
      </c>
      <c r="Y117" s="591"/>
      <c r="Z117" s="552">
        <v>115690.27</v>
      </c>
      <c r="AA117" s="300">
        <f>Table157[[#This Row],[PCTS Investment Amount]]+Table157[[#This Row],[PCTS Retirement Amount]]</f>
        <v>933692.83000000007</v>
      </c>
      <c r="AB117" s="212">
        <v>45028</v>
      </c>
      <c r="AC117" s="229" t="s">
        <v>1441</v>
      </c>
      <c r="AD117" s="229" t="s">
        <v>29</v>
      </c>
      <c r="AE117" s="350"/>
      <c r="AF117" s="581"/>
      <c r="AG117" s="581"/>
      <c r="AH117" s="355"/>
      <c r="AI117" s="476"/>
      <c r="AJ117" s="573"/>
      <c r="AK117" s="573"/>
      <c r="AL117" s="497">
        <f>SUM(Table157[[#This Row],[Nicor Initiated DBE]:[Staffing]])/(Table157[[#This Row],[Amount Invoiced]])</f>
        <v>0</v>
      </c>
      <c r="AM117" s="21" t="s">
        <v>116</v>
      </c>
      <c r="AN117" s="680" t="s">
        <v>709</v>
      </c>
      <c r="AO117" s="604">
        <v>11056663</v>
      </c>
      <c r="AP117" s="572"/>
      <c r="AQ117" s="603"/>
      <c r="AR117" s="572"/>
      <c r="AS117" s="538">
        <f>IF(Table157[[#This Row],[PCTS Approved]]="N",0,Table157[[#This Row],[Investment Amount (1'#'#'#'#'#)]]+Table157[[#This Row],[Retirement Amount (3'#'#'#'#'#)]])</f>
        <v>0</v>
      </c>
      <c r="AT117" s="538">
        <f>IF(Table157[[#This Row],[Approved Construction Cost]]=0,0,Table157[[#This Row],[Approved Construction Cost]]-Table157[[#This Row],[Construction Cost to Bill From]])</f>
        <v>0</v>
      </c>
      <c r="AU117" s="538">
        <f>IFERROR(Table157[[#This Row],[Difference in Construction Cost]]*Table157[[#This Row],[Rate]],Table157[[#This Row],[Difference in Construction Cost]]*0.085)</f>
        <v>0</v>
      </c>
      <c r="AV117" s="572"/>
      <c r="AW117" s="639"/>
      <c r="AX117" s="538"/>
      <c r="AY117" s="636" t="s">
        <v>709</v>
      </c>
      <c r="AZ117" s="443">
        <v>152</v>
      </c>
      <c r="BA117" s="334" t="s">
        <v>2</v>
      </c>
      <c r="BB117" s="652" t="s">
        <v>1442</v>
      </c>
      <c r="BC117" s="543" t="s">
        <v>1443</v>
      </c>
      <c r="BD117" s="478" t="s">
        <v>115</v>
      </c>
      <c r="BE117" s="544" t="s">
        <v>115</v>
      </c>
      <c r="BF117" s="544" t="s">
        <v>1444</v>
      </c>
      <c r="BG117" s="544" t="s">
        <v>115</v>
      </c>
      <c r="BH117" s="512" t="s">
        <v>115</v>
      </c>
      <c r="BI117" s="645" t="s">
        <v>1445</v>
      </c>
      <c r="BJ117" s="511" t="s">
        <v>709</v>
      </c>
      <c r="BK117" s="546" t="s">
        <v>709</v>
      </c>
      <c r="BL117" s="546" t="s">
        <v>709</v>
      </c>
      <c r="BM117" s="546" t="s">
        <v>116</v>
      </c>
      <c r="BN117" s="546" t="s">
        <v>709</v>
      </c>
      <c r="BO117" s="546" t="s">
        <v>709</v>
      </c>
      <c r="BP117" s="546" t="s">
        <v>709</v>
      </c>
      <c r="BQ117" s="546">
        <v>354</v>
      </c>
      <c r="BR117" s="546">
        <v>759</v>
      </c>
      <c r="BS117" s="546">
        <v>45</v>
      </c>
      <c r="BT117" s="546">
        <v>5</v>
      </c>
      <c r="BU117" s="546">
        <v>1</v>
      </c>
      <c r="BV117" s="546" t="s">
        <v>709</v>
      </c>
      <c r="BW117" s="546" t="s">
        <v>709</v>
      </c>
      <c r="BX117" s="546">
        <v>1</v>
      </c>
      <c r="BY117" s="546">
        <v>1</v>
      </c>
      <c r="BZ117" s="546" t="s">
        <v>709</v>
      </c>
      <c r="CA117" s="506" t="s">
        <v>1022</v>
      </c>
    </row>
    <row r="118" spans="1:79" ht="15" hidden="1" customHeight="1" x14ac:dyDescent="0.25">
      <c r="A118" s="8" t="s">
        <v>800</v>
      </c>
      <c r="B118" s="8" t="s">
        <v>4</v>
      </c>
      <c r="C118" s="8" t="s">
        <v>377</v>
      </c>
      <c r="D118" s="8" t="s">
        <v>1446</v>
      </c>
      <c r="E118" s="8" t="s">
        <v>373</v>
      </c>
      <c r="F118" s="8" t="s">
        <v>784</v>
      </c>
      <c r="G118" s="8" t="s">
        <v>27</v>
      </c>
      <c r="H118" s="8" t="s">
        <v>59</v>
      </c>
      <c r="I118" s="642">
        <v>44784</v>
      </c>
      <c r="J118" s="18">
        <v>45077</v>
      </c>
      <c r="K118" s="97">
        <v>45037</v>
      </c>
      <c r="L118" s="16">
        <f>IF(ISTEXT(Table157[[#This Row],[Engineering Approved Design Date]]),Table157[[#This Row],[Date Completed]]-Table157[[#This Row],[Date Assigned to Designer]],Table157[[#This Row],[Engineering Approved Design Date]]-Table157[[#This Row],[Date Completed]])</f>
        <v>40</v>
      </c>
      <c r="M118" s="642"/>
      <c r="N118" s="642" t="s">
        <v>120</v>
      </c>
      <c r="O118" s="510">
        <f>Table157[[#This Row],[Date Completed]]</f>
        <v>45037</v>
      </c>
      <c r="P118" s="221" t="s">
        <v>739</v>
      </c>
      <c r="Q118" s="74">
        <f>Table157[[#This Row],[Rate]]*Table157[[#This Row],[Construction Cost to Bill From]]</f>
        <v>165330.28700000001</v>
      </c>
      <c r="R118" s="75">
        <v>0.1</v>
      </c>
      <c r="U118" s="87"/>
      <c r="V118" s="437">
        <f>9+6289+692</f>
        <v>6990</v>
      </c>
      <c r="W118" s="437">
        <v>0</v>
      </c>
      <c r="X118" s="24">
        <v>1623644.96</v>
      </c>
      <c r="Y118" s="592"/>
      <c r="Z118" s="552">
        <v>29657.91</v>
      </c>
      <c r="AA118" s="300">
        <f>Table157[[#This Row],[PCTS Investment Amount]]+Table157[[#This Row],[PCTS Retirement Amount]]</f>
        <v>1653302.8699999999</v>
      </c>
      <c r="AB118" s="207" t="s">
        <v>709</v>
      </c>
      <c r="AC118" s="108" t="s">
        <v>116</v>
      </c>
      <c r="AD118" s="108" t="s">
        <v>29</v>
      </c>
      <c r="AE118" s="349"/>
      <c r="AF118" s="579"/>
      <c r="AG118" s="579"/>
      <c r="AH118" s="354"/>
      <c r="AI118" s="489"/>
      <c r="AJ118" s="553"/>
      <c r="AK118" s="553"/>
      <c r="AL118" s="495">
        <f>SUM(Table157[[#This Row],[Nicor Initiated DBE]:[Staffing]])/(Table157[[#This Row],[Amount Invoiced]])</f>
        <v>0</v>
      </c>
      <c r="AM118" s="21" t="s">
        <v>116</v>
      </c>
      <c r="AN118" s="680" t="s">
        <v>709</v>
      </c>
      <c r="AO118" s="601"/>
      <c r="AP118" s="572"/>
      <c r="AQ118" s="572"/>
      <c r="AR118" s="572"/>
      <c r="AS118" s="538">
        <f>IF(Table157[[#This Row],[PCTS Approved]]="N",0,Table157[[#This Row],[Investment Amount (1'#'#'#'#'#)]]+Table157[[#This Row],[Retirement Amount (3'#'#'#'#'#)]])</f>
        <v>0</v>
      </c>
      <c r="AT118" s="538">
        <f>IF(Table157[[#This Row],[Approved Construction Cost]]=0,0,Table157[[#This Row],[Approved Construction Cost]]-Table157[[#This Row],[Construction Cost to Bill From]])</f>
        <v>0</v>
      </c>
      <c r="AU118" s="538">
        <f>IFERROR(Table157[[#This Row],[Difference in Construction Cost]]*Table157[[#This Row],[Rate]],Table157[[#This Row],[Difference in Construction Cost]]*0.085)</f>
        <v>0</v>
      </c>
      <c r="AV118" s="572"/>
      <c r="AW118" s="639"/>
      <c r="AX118" s="538"/>
      <c r="AY118" s="636" t="s">
        <v>709</v>
      </c>
      <c r="AZ118" s="443">
        <v>81</v>
      </c>
      <c r="BA118" s="334" t="s">
        <v>4</v>
      </c>
      <c r="BB118" s="652" t="s">
        <v>1447</v>
      </c>
      <c r="BC118" s="644" t="s">
        <v>905</v>
      </c>
      <c r="BD118" s="478" t="s">
        <v>116</v>
      </c>
      <c r="BE118" s="544" t="s">
        <v>1448</v>
      </c>
      <c r="BF118" s="544" t="s">
        <v>1449</v>
      </c>
      <c r="BG118" s="544" t="s">
        <v>1450</v>
      </c>
      <c r="BH118" s="512" t="s">
        <v>709</v>
      </c>
      <c r="BI118" s="545"/>
      <c r="BJ118" s="511" t="s">
        <v>709</v>
      </c>
      <c r="BK118" s="546" t="s">
        <v>116</v>
      </c>
      <c r="BL118" s="546" t="s">
        <v>709</v>
      </c>
      <c r="BM118" s="546" t="s">
        <v>709</v>
      </c>
      <c r="BN118" s="546" t="s">
        <v>709</v>
      </c>
      <c r="BO118" s="546" t="s">
        <v>709</v>
      </c>
      <c r="BP118" s="546" t="s">
        <v>709</v>
      </c>
      <c r="BQ118" s="546" t="s">
        <v>709</v>
      </c>
      <c r="BR118" s="546" t="s">
        <v>709</v>
      </c>
      <c r="BS118" s="546">
        <v>978</v>
      </c>
      <c r="BT118" s="546" t="s">
        <v>709</v>
      </c>
      <c r="BU118" s="546" t="s">
        <v>745</v>
      </c>
      <c r="BV118" s="546" t="s">
        <v>709</v>
      </c>
      <c r="BW118" s="546" t="s">
        <v>745</v>
      </c>
      <c r="BX118" s="546" t="s">
        <v>709</v>
      </c>
      <c r="BY118" s="546" t="s">
        <v>745</v>
      </c>
      <c r="BZ118" s="546" t="s">
        <v>745</v>
      </c>
      <c r="CA118" s="506"/>
    </row>
    <row r="119" spans="1:79" ht="15" hidden="1" customHeight="1" x14ac:dyDescent="0.25">
      <c r="A119" s="8" t="s">
        <v>800</v>
      </c>
      <c r="B119" s="8" t="s">
        <v>4</v>
      </c>
      <c r="C119" s="8" t="s">
        <v>372</v>
      </c>
      <c r="D119" s="8" t="s">
        <v>1451</v>
      </c>
      <c r="E119" s="8" t="s">
        <v>373</v>
      </c>
      <c r="F119" s="8" t="s">
        <v>784</v>
      </c>
      <c r="G119" s="8" t="s">
        <v>27</v>
      </c>
      <c r="H119" s="8" t="s">
        <v>59</v>
      </c>
      <c r="I119" s="642">
        <v>44784</v>
      </c>
      <c r="J119" s="18">
        <v>45077</v>
      </c>
      <c r="K119" s="97">
        <v>45037</v>
      </c>
      <c r="L119" s="16">
        <f>IF(ISTEXT(Table157[[#This Row],[Engineering Approved Design Date]]),Table157[[#This Row],[Date Completed]]-Table157[[#This Row],[Date Assigned to Designer]],Table157[[#This Row],[Engineering Approved Design Date]]-Table157[[#This Row],[Date Completed]])</f>
        <v>40</v>
      </c>
      <c r="M119" s="642"/>
      <c r="N119" s="642" t="s">
        <v>120</v>
      </c>
      <c r="O119" s="510">
        <f>Table157[[#This Row],[Date Completed]]</f>
        <v>45037</v>
      </c>
      <c r="P119" s="221" t="s">
        <v>739</v>
      </c>
      <c r="Q119" s="74">
        <f>Table157[[#This Row],[Rate]]*Table157[[#This Row],[Construction Cost to Bill From]]</f>
        <v>17358.519</v>
      </c>
      <c r="R119" s="75">
        <v>0.1</v>
      </c>
      <c r="U119" s="87"/>
      <c r="V119" s="437">
        <f>928+50</f>
        <v>978</v>
      </c>
      <c r="W119" s="437">
        <v>0</v>
      </c>
      <c r="X119" s="24">
        <v>161986.32</v>
      </c>
      <c r="Y119" s="592"/>
      <c r="Z119" s="552">
        <v>11598.87</v>
      </c>
      <c r="AA119" s="300">
        <f>Table157[[#This Row],[PCTS Investment Amount]]+Table157[[#This Row],[PCTS Retirement Amount]]</f>
        <v>173585.19</v>
      </c>
      <c r="AB119" s="207" t="s">
        <v>709</v>
      </c>
      <c r="AC119" s="108" t="s">
        <v>116</v>
      </c>
      <c r="AD119" s="108" t="s">
        <v>29</v>
      </c>
      <c r="AE119" s="349"/>
      <c r="AF119" s="579"/>
      <c r="AG119" s="579"/>
      <c r="AH119" s="354"/>
      <c r="AI119" s="489"/>
      <c r="AJ119" s="553"/>
      <c r="AK119" s="553"/>
      <c r="AL119" s="495">
        <f>SUM(Table157[[#This Row],[Nicor Initiated DBE]:[Staffing]])/(Table157[[#This Row],[Amount Invoiced]])</f>
        <v>0</v>
      </c>
      <c r="AM119" s="21" t="s">
        <v>116</v>
      </c>
      <c r="AN119" s="680" t="s">
        <v>709</v>
      </c>
      <c r="AO119" s="601"/>
      <c r="AP119" s="572"/>
      <c r="AQ119" s="572"/>
      <c r="AR119" s="572"/>
      <c r="AS119" s="538">
        <f>IF(Table157[[#This Row],[PCTS Approved]]="N",0,Table157[[#This Row],[Investment Amount (1'#'#'#'#'#)]]+Table157[[#This Row],[Retirement Amount (3'#'#'#'#'#)]])</f>
        <v>0</v>
      </c>
      <c r="AT119" s="538">
        <f>IF(Table157[[#This Row],[Approved Construction Cost]]=0,0,Table157[[#This Row],[Approved Construction Cost]]-Table157[[#This Row],[Construction Cost to Bill From]])</f>
        <v>0</v>
      </c>
      <c r="AU119" s="538">
        <f>IFERROR(Table157[[#This Row],[Difference in Construction Cost]]*Table157[[#This Row],[Rate]],Table157[[#This Row],[Difference in Construction Cost]]*0.085)</f>
        <v>0</v>
      </c>
      <c r="AV119" s="572"/>
      <c r="AW119" s="639"/>
      <c r="AX119" s="538"/>
      <c r="AY119" s="636" t="s">
        <v>709</v>
      </c>
      <c r="AZ119" s="443">
        <v>82</v>
      </c>
      <c r="BA119" s="334" t="s">
        <v>4</v>
      </c>
      <c r="BB119" s="652" t="s">
        <v>1452</v>
      </c>
      <c r="BC119" s="644" t="s">
        <v>905</v>
      </c>
      <c r="BD119" s="478" t="s">
        <v>116</v>
      </c>
      <c r="BE119" s="544" t="s">
        <v>1448</v>
      </c>
      <c r="BF119" s="544" t="s">
        <v>1449</v>
      </c>
      <c r="BG119" s="544" t="s">
        <v>1450</v>
      </c>
      <c r="BH119" s="512" t="s">
        <v>709</v>
      </c>
      <c r="BI119" s="545"/>
      <c r="BJ119" s="511" t="s">
        <v>709</v>
      </c>
      <c r="BK119" s="546" t="s">
        <v>116</v>
      </c>
      <c r="BL119" s="546" t="s">
        <v>709</v>
      </c>
      <c r="BM119" s="546" t="s">
        <v>709</v>
      </c>
      <c r="BN119" s="546" t="s">
        <v>709</v>
      </c>
      <c r="BO119" s="546" t="s">
        <v>709</v>
      </c>
      <c r="BP119" s="546" t="s">
        <v>709</v>
      </c>
      <c r="BQ119" s="546" t="s">
        <v>709</v>
      </c>
      <c r="BR119" s="546" t="s">
        <v>709</v>
      </c>
      <c r="BS119" s="546">
        <v>978</v>
      </c>
      <c r="BT119" s="546" t="s">
        <v>709</v>
      </c>
      <c r="BU119" s="546" t="s">
        <v>745</v>
      </c>
      <c r="BV119" s="546" t="s">
        <v>709</v>
      </c>
      <c r="BW119" s="546" t="s">
        <v>745</v>
      </c>
      <c r="BX119" s="546" t="s">
        <v>709</v>
      </c>
      <c r="BY119" s="546" t="s">
        <v>745</v>
      </c>
      <c r="BZ119" s="546" t="s">
        <v>745</v>
      </c>
      <c r="CA119" s="506"/>
    </row>
    <row r="120" spans="1:79" ht="15" hidden="1" customHeight="1" x14ac:dyDescent="0.25">
      <c r="A120" s="8" t="s">
        <v>749</v>
      </c>
      <c r="B120" s="8" t="s">
        <v>4</v>
      </c>
      <c r="C120" s="8" t="s">
        <v>1453</v>
      </c>
      <c r="D120" s="8" t="s">
        <v>1454</v>
      </c>
      <c r="E120" s="8" t="s">
        <v>342</v>
      </c>
      <c r="F120" s="8" t="s">
        <v>784</v>
      </c>
      <c r="G120" s="8" t="s">
        <v>27</v>
      </c>
      <c r="H120" s="8" t="s">
        <v>59</v>
      </c>
      <c r="I120" s="642">
        <v>44959</v>
      </c>
      <c r="J120" s="18">
        <v>45047</v>
      </c>
      <c r="K120" s="97">
        <v>45040</v>
      </c>
      <c r="L120" s="16">
        <f>IF(ISTEXT(Table157[[#This Row],[Engineering Approved Design Date]]),Table157[[#This Row],[Date Completed]]-Table157[[#This Row],[Date Assigned to Designer]],Table157[[#This Row],[Engineering Approved Design Date]]-Table157[[#This Row],[Date Completed]])</f>
        <v>7</v>
      </c>
      <c r="M120" s="642"/>
      <c r="N120" s="642" t="s">
        <v>120</v>
      </c>
      <c r="O120" s="510">
        <f>Table157[[#This Row],[Date Completed]]</f>
        <v>45040</v>
      </c>
      <c r="P120" s="221" t="s">
        <v>739</v>
      </c>
      <c r="Q120" s="74">
        <f>Table157[[#This Row],[Rate]]*Table157[[#This Row],[Construction Cost to Bill From]]</f>
        <v>26887.298999999999</v>
      </c>
      <c r="R120" s="75">
        <v>0.1</v>
      </c>
      <c r="U120" s="87"/>
      <c r="V120" s="437">
        <v>294</v>
      </c>
      <c r="W120" s="437">
        <v>0</v>
      </c>
      <c r="X120" s="24">
        <v>245464.03</v>
      </c>
      <c r="Y120" s="592"/>
      <c r="Z120" s="552">
        <v>23408.959999999999</v>
      </c>
      <c r="AA120" s="300">
        <f>Table157[[#This Row],[PCTS Investment Amount]]+Table157[[#This Row],[PCTS Retirement Amount]]</f>
        <v>268872.99</v>
      </c>
      <c r="AB120" s="207">
        <v>45041</v>
      </c>
      <c r="AC120" s="108" t="s">
        <v>709</v>
      </c>
      <c r="AD120" s="108" t="s">
        <v>116</v>
      </c>
      <c r="AE120" s="187" t="s">
        <v>756</v>
      </c>
      <c r="AF120" s="568" t="s">
        <v>29</v>
      </c>
      <c r="AG120" s="568" t="s">
        <v>116</v>
      </c>
      <c r="AH120" s="356">
        <v>45160</v>
      </c>
      <c r="AI120" s="489"/>
      <c r="AJ120" s="553"/>
      <c r="AK120" s="553"/>
      <c r="AL120" s="495">
        <f>SUM(Table157[[#This Row],[Nicor Initiated DBE]:[Staffing]])/(Table157[[#This Row],[Amount Invoiced]])</f>
        <v>0</v>
      </c>
      <c r="AM120" s="21" t="s">
        <v>116</v>
      </c>
      <c r="AN120" s="680" t="s">
        <v>709</v>
      </c>
      <c r="AO120" s="601"/>
      <c r="AP120" s="572"/>
      <c r="AQ120" s="572"/>
      <c r="AR120" s="572"/>
      <c r="AS120" s="538">
        <f>IF(Table157[[#This Row],[PCTS Approved]]="N",0,Table157[[#This Row],[Investment Amount (1'#'#'#'#'#)]]+Table157[[#This Row],[Retirement Amount (3'#'#'#'#'#)]])</f>
        <v>0</v>
      </c>
      <c r="AT120" s="538">
        <f>IF(Table157[[#This Row],[Approved Construction Cost]]=0,0,Table157[[#This Row],[Approved Construction Cost]]-Table157[[#This Row],[Construction Cost to Bill From]])</f>
        <v>0</v>
      </c>
      <c r="AU120" s="538">
        <f>IFERROR(Table157[[#This Row],[Difference in Construction Cost]]*Table157[[#This Row],[Rate]],Table157[[#This Row],[Difference in Construction Cost]]*0.085)</f>
        <v>0</v>
      </c>
      <c r="AV120" s="572"/>
      <c r="AW120" s="639"/>
      <c r="AX120" s="538"/>
      <c r="AY120" s="636" t="s">
        <v>709</v>
      </c>
      <c r="AZ120" s="443">
        <v>83</v>
      </c>
      <c r="BA120" s="334" t="s">
        <v>4</v>
      </c>
      <c r="BB120" s="652" t="s">
        <v>1455</v>
      </c>
      <c r="BC120" s="644" t="s">
        <v>1456</v>
      </c>
      <c r="BD120" s="478" t="s">
        <v>709</v>
      </c>
      <c r="BE120" s="544" t="s">
        <v>709</v>
      </c>
      <c r="BF120" s="544" t="s">
        <v>1456</v>
      </c>
      <c r="BG120" s="544" t="s">
        <v>709</v>
      </c>
      <c r="BH120" s="512" t="s">
        <v>709</v>
      </c>
      <c r="BI120" s="545"/>
      <c r="BJ120" s="511" t="s">
        <v>709</v>
      </c>
      <c r="BK120" s="546" t="s">
        <v>709</v>
      </c>
      <c r="BL120" s="546" t="s">
        <v>709</v>
      </c>
      <c r="BM120" s="546" t="s">
        <v>116</v>
      </c>
      <c r="BN120" s="546" t="s">
        <v>709</v>
      </c>
      <c r="BO120" s="546" t="s">
        <v>709</v>
      </c>
      <c r="BP120" s="546" t="s">
        <v>709</v>
      </c>
      <c r="BQ120" s="546" t="s">
        <v>709</v>
      </c>
      <c r="BR120" s="546" t="s">
        <v>709</v>
      </c>
      <c r="BS120" s="546">
        <v>183</v>
      </c>
      <c r="BT120" s="546">
        <v>111</v>
      </c>
      <c r="BU120" s="546" t="s">
        <v>709</v>
      </c>
      <c r="BV120" s="546" t="s">
        <v>709</v>
      </c>
      <c r="BW120" s="546" t="s">
        <v>745</v>
      </c>
      <c r="BX120" s="546" t="s">
        <v>709</v>
      </c>
      <c r="BY120" s="546" t="s">
        <v>745</v>
      </c>
      <c r="BZ120" s="546" t="s">
        <v>745</v>
      </c>
      <c r="CA120" s="506"/>
    </row>
    <row r="121" spans="1:79" ht="15" hidden="1" customHeight="1" x14ac:dyDescent="0.25">
      <c r="A121" s="8" t="s">
        <v>781</v>
      </c>
      <c r="B121" s="8" t="s">
        <v>769</v>
      </c>
      <c r="C121" s="8" t="s">
        <v>1457</v>
      </c>
      <c r="D121" s="656" t="s">
        <v>1458</v>
      </c>
      <c r="E121" s="8" t="s">
        <v>1459</v>
      </c>
      <c r="F121" s="8" t="s">
        <v>747</v>
      </c>
      <c r="G121" s="8" t="s">
        <v>22</v>
      </c>
      <c r="H121" s="8" t="s">
        <v>59</v>
      </c>
      <c r="I121" s="642">
        <v>45020</v>
      </c>
      <c r="J121" s="18">
        <v>45044</v>
      </c>
      <c r="K121" s="97">
        <v>45042</v>
      </c>
      <c r="L121" s="16">
        <f>IF(ISTEXT(Table157[[#This Row],[Engineering Approved Design Date]]),Table157[[#This Row],[Date Completed]]-Table157[[#This Row],[Date Assigned to Designer]],Table157[[#This Row],[Engineering Approved Design Date]]-Table157[[#This Row],[Date Completed]])</f>
        <v>2</v>
      </c>
      <c r="M121" s="642"/>
      <c r="N121" s="642" t="s">
        <v>120</v>
      </c>
      <c r="O121" s="510">
        <v>45047</v>
      </c>
      <c r="P121" s="221" t="s">
        <v>739</v>
      </c>
      <c r="Q121" s="74">
        <f>Table157[[#This Row],[Rate]]*Table157[[#This Row],[Construction Cost to Bill From]]</f>
        <v>39668.469600000004</v>
      </c>
      <c r="R121" s="75">
        <v>0.08</v>
      </c>
      <c r="U121" s="87"/>
      <c r="V121" s="437">
        <v>1832</v>
      </c>
      <c r="X121" s="24">
        <v>470513.43</v>
      </c>
      <c r="Y121" s="592"/>
      <c r="Z121" s="552">
        <v>25342.44</v>
      </c>
      <c r="AA121" s="300">
        <f>SUM(Table157[[#This Row],[PCTS Investment Amount]:[PCTS Retirement Amount]])</f>
        <v>495855.87</v>
      </c>
      <c r="AB121" s="207">
        <v>45054</v>
      </c>
      <c r="AC121" s="108" t="s">
        <v>1441</v>
      </c>
      <c r="AD121" s="108" t="s">
        <v>29</v>
      </c>
      <c r="AE121" s="349"/>
      <c r="AF121" s="579"/>
      <c r="AG121" s="579"/>
      <c r="AH121" s="354"/>
      <c r="AI121" s="341"/>
      <c r="AJ121" s="183"/>
      <c r="AK121" s="183"/>
      <c r="AL121" s="494">
        <f>SUM(Table157[[#This Row],[Nicor Initiated DBE]:[Staffing]])/(Table157[[#This Row],[Amount Invoiced]])</f>
        <v>0</v>
      </c>
      <c r="AM121" s="21" t="s">
        <v>116</v>
      </c>
      <c r="AN121" s="680" t="s">
        <v>709</v>
      </c>
      <c r="AO121" s="601" t="s">
        <v>115</v>
      </c>
      <c r="AP121" s="572"/>
      <c r="AQ121" s="572"/>
      <c r="AR121" s="572"/>
      <c r="AS121" s="538">
        <f>IF(Table157[[#This Row],[PCTS Approved]]="N",0,Table157[[#This Row],[Investment Amount (1'#'#'#'#'#)]]+Table157[[#This Row],[Retirement Amount (3'#'#'#'#'#)]])</f>
        <v>0</v>
      </c>
      <c r="AT121" s="538">
        <f>IF(Table157[[#This Row],[Approved Construction Cost]]=0,0,Table157[[#This Row],[Approved Construction Cost]]-Table157[[#This Row],[Construction Cost to Bill From]])</f>
        <v>0</v>
      </c>
      <c r="AU121" s="538">
        <f>IFERROR(Table157[[#This Row],[Difference in Construction Cost]]*Table157[[#This Row],[Rate]],Table157[[#This Row],[Difference in Construction Cost]]*0.085)</f>
        <v>0</v>
      </c>
      <c r="AV121" s="572"/>
      <c r="AW121" s="639"/>
      <c r="AX121" s="538"/>
      <c r="AY121" s="636" t="s">
        <v>709</v>
      </c>
      <c r="AZ121" s="443">
        <v>12</v>
      </c>
      <c r="BA121" s="334" t="s">
        <v>3</v>
      </c>
      <c r="BB121" s="652" t="s">
        <v>1460</v>
      </c>
      <c r="BC121" s="644" t="s">
        <v>1461</v>
      </c>
      <c r="BD121" s="478" t="s">
        <v>115</v>
      </c>
      <c r="BE121" s="544" t="s">
        <v>1462</v>
      </c>
      <c r="BF121" s="544" t="s">
        <v>115</v>
      </c>
      <c r="BG121" s="544" t="s">
        <v>115</v>
      </c>
      <c r="BH121" s="512" t="s">
        <v>1463</v>
      </c>
      <c r="BI121" s="645"/>
      <c r="BJ121" s="511" t="s">
        <v>709</v>
      </c>
      <c r="BK121" s="546" t="s">
        <v>116</v>
      </c>
      <c r="BL121" s="546" t="s">
        <v>116</v>
      </c>
      <c r="BM121" s="546" t="s">
        <v>116</v>
      </c>
      <c r="BN121" s="546" t="s">
        <v>709</v>
      </c>
      <c r="BO121" s="546" t="s">
        <v>709</v>
      </c>
      <c r="BP121" s="546" t="s">
        <v>709</v>
      </c>
      <c r="BQ121" s="546" t="s">
        <v>709</v>
      </c>
      <c r="BR121" s="546" t="s">
        <v>709</v>
      </c>
      <c r="BS121" s="546">
        <v>3</v>
      </c>
      <c r="BT121" s="546">
        <v>43</v>
      </c>
      <c r="BU121" s="546" t="s">
        <v>745</v>
      </c>
      <c r="BV121" s="546" t="s">
        <v>709</v>
      </c>
      <c r="BW121" s="546" t="s">
        <v>745</v>
      </c>
      <c r="BX121" s="546" t="s">
        <v>709</v>
      </c>
      <c r="BY121" s="546" t="s">
        <v>745</v>
      </c>
      <c r="BZ121" s="546">
        <v>1</v>
      </c>
      <c r="CA121" s="506" t="s">
        <v>769</v>
      </c>
    </row>
    <row r="122" spans="1:79" ht="15" hidden="1" customHeight="1" x14ac:dyDescent="0.25">
      <c r="A122" s="8" t="s">
        <v>781</v>
      </c>
      <c r="B122" s="8" t="s">
        <v>769</v>
      </c>
      <c r="C122" s="8" t="s">
        <v>469</v>
      </c>
      <c r="D122" s="656" t="s">
        <v>1464</v>
      </c>
      <c r="E122" s="8" t="s">
        <v>1459</v>
      </c>
      <c r="F122" s="8" t="s">
        <v>747</v>
      </c>
      <c r="G122" s="8" t="s">
        <v>22</v>
      </c>
      <c r="H122" s="13" t="s">
        <v>59</v>
      </c>
      <c r="I122" s="642">
        <v>44439</v>
      </c>
      <c r="J122" s="18">
        <v>45044</v>
      </c>
      <c r="K122" s="97">
        <v>45042</v>
      </c>
      <c r="L122" s="16">
        <f>IF(ISTEXT(Table157[[#This Row],[Engineering Approved Design Date]]),Table157[[#This Row],[Date Completed]]-Table157[[#This Row],[Date Assigned to Designer]],Table157[[#This Row],[Engineering Approved Design Date]]-Table157[[#This Row],[Date Completed]])</f>
        <v>2</v>
      </c>
      <c r="M122" s="642"/>
      <c r="N122" s="642" t="s">
        <v>120</v>
      </c>
      <c r="O122" s="510">
        <v>45047</v>
      </c>
      <c r="P122" s="221" t="s">
        <v>739</v>
      </c>
      <c r="Q122" s="74">
        <f>Table157[[#This Row],[Rate]]*Table157[[#This Row],[Construction Cost to Bill From]]</f>
        <v>16797.376799999998</v>
      </c>
      <c r="R122" s="75">
        <v>0.08</v>
      </c>
      <c r="U122" s="87"/>
      <c r="V122" s="437">
        <v>51</v>
      </c>
      <c r="X122" s="94">
        <v>184560.22</v>
      </c>
      <c r="Y122" s="592"/>
      <c r="Z122" s="552">
        <v>25406.99</v>
      </c>
      <c r="AA122" s="300">
        <f>SUM(Table157[[#This Row],[PCTS Investment Amount]:[PCTS Retirement Amount]])</f>
        <v>209967.21</v>
      </c>
      <c r="AB122" s="207">
        <v>45054</v>
      </c>
      <c r="AC122" s="108" t="s">
        <v>1441</v>
      </c>
      <c r="AD122" s="108" t="s">
        <v>29</v>
      </c>
      <c r="AE122" s="349"/>
      <c r="AF122" s="579"/>
      <c r="AG122" s="579"/>
      <c r="AH122" s="354"/>
      <c r="AI122" s="341"/>
      <c r="AJ122" s="183"/>
      <c r="AK122" s="183"/>
      <c r="AL122" s="494">
        <f>SUM(Table157[[#This Row],[Nicor Initiated DBE]:[Staffing]])/(Table157[[#This Row],[Amount Invoiced]])</f>
        <v>0</v>
      </c>
      <c r="AM122" s="21" t="s">
        <v>116</v>
      </c>
      <c r="AN122" s="680" t="s">
        <v>709</v>
      </c>
      <c r="AO122" s="681">
        <v>11065639</v>
      </c>
      <c r="AP122" s="572"/>
      <c r="AQ122" s="572"/>
      <c r="AR122" s="572"/>
      <c r="AS122" s="538">
        <f>IF(Table157[[#This Row],[PCTS Approved]]="N",0,Table157[[#This Row],[Investment Amount (1'#'#'#'#'#)]]+Table157[[#This Row],[Retirement Amount (3'#'#'#'#'#)]])</f>
        <v>0</v>
      </c>
      <c r="AT122" s="538">
        <f>IF(Table157[[#This Row],[Approved Construction Cost]]=0,0,Table157[[#This Row],[Approved Construction Cost]]-Table157[[#This Row],[Construction Cost to Bill From]])</f>
        <v>0</v>
      </c>
      <c r="AU122" s="538">
        <f>IFERROR(Table157[[#This Row],[Difference in Construction Cost]]*Table157[[#This Row],[Rate]],Table157[[#This Row],[Difference in Construction Cost]]*0.085)</f>
        <v>0</v>
      </c>
      <c r="AV122" s="572"/>
      <c r="AW122" s="639"/>
      <c r="AX122" s="538"/>
      <c r="AY122" s="636" t="s">
        <v>709</v>
      </c>
      <c r="AZ122" s="443">
        <v>13</v>
      </c>
      <c r="BA122" s="334" t="s">
        <v>3</v>
      </c>
      <c r="BB122" s="652" t="s">
        <v>1465</v>
      </c>
      <c r="BC122" s="644" t="s">
        <v>1461</v>
      </c>
      <c r="BD122" s="478" t="s">
        <v>115</v>
      </c>
      <c r="BE122" s="544" t="s">
        <v>1462</v>
      </c>
      <c r="BF122" s="544" t="s">
        <v>115</v>
      </c>
      <c r="BG122" s="544" t="s">
        <v>115</v>
      </c>
      <c r="BH122" s="512" t="s">
        <v>1463</v>
      </c>
      <c r="BI122" s="645"/>
      <c r="BJ122" s="511" t="s">
        <v>709</v>
      </c>
      <c r="BK122" s="546" t="s">
        <v>116</v>
      </c>
      <c r="BL122" s="546" t="s">
        <v>116</v>
      </c>
      <c r="BM122" s="546" t="s">
        <v>116</v>
      </c>
      <c r="BN122" s="546" t="s">
        <v>709</v>
      </c>
      <c r="BO122" s="546" t="s">
        <v>709</v>
      </c>
      <c r="BP122" s="546" t="s">
        <v>709</v>
      </c>
      <c r="BQ122" s="546" t="s">
        <v>709</v>
      </c>
      <c r="BR122" s="546" t="s">
        <v>709</v>
      </c>
      <c r="BS122" s="546">
        <v>3</v>
      </c>
      <c r="BT122" s="546">
        <v>43</v>
      </c>
      <c r="BU122" s="546" t="s">
        <v>745</v>
      </c>
      <c r="BV122" s="546" t="s">
        <v>709</v>
      </c>
      <c r="BW122" s="546" t="s">
        <v>745</v>
      </c>
      <c r="BX122" s="546" t="s">
        <v>709</v>
      </c>
      <c r="BY122" s="546" t="s">
        <v>745</v>
      </c>
      <c r="BZ122" s="546">
        <v>1</v>
      </c>
      <c r="CA122" s="506" t="s">
        <v>769</v>
      </c>
    </row>
    <row r="123" spans="1:79" ht="15" hidden="1" customHeight="1" x14ac:dyDescent="0.25">
      <c r="A123" s="8" t="s">
        <v>781</v>
      </c>
      <c r="B123" s="8" t="s">
        <v>769</v>
      </c>
      <c r="C123" s="8" t="s">
        <v>1466</v>
      </c>
      <c r="D123" s="656" t="s">
        <v>1467</v>
      </c>
      <c r="E123" s="8" t="s">
        <v>1459</v>
      </c>
      <c r="F123" s="8" t="s">
        <v>747</v>
      </c>
      <c r="G123" s="8" t="s">
        <v>22</v>
      </c>
      <c r="H123" s="13" t="s">
        <v>59</v>
      </c>
      <c r="I123" s="642">
        <v>45020</v>
      </c>
      <c r="J123" s="18">
        <v>45044</v>
      </c>
      <c r="K123" s="97">
        <v>45042</v>
      </c>
      <c r="L123" s="16">
        <f>IF(ISTEXT(Table157[[#This Row],[Engineering Approved Design Date]]),Table157[[#This Row],[Date Completed]]-Table157[[#This Row],[Date Assigned to Designer]],Table157[[#This Row],[Engineering Approved Design Date]]-Table157[[#This Row],[Date Completed]])</f>
        <v>2</v>
      </c>
      <c r="M123" s="642"/>
      <c r="N123" s="642" t="s">
        <v>120</v>
      </c>
      <c r="O123" s="510">
        <v>45047</v>
      </c>
      <c r="P123" s="221" t="s">
        <v>739</v>
      </c>
      <c r="Q123" s="74">
        <f>Table157[[#This Row],[Rate]]*Table157[[#This Row],[Construction Cost to Bill From]]</f>
        <v>8425.1904000000013</v>
      </c>
      <c r="R123" s="75">
        <v>0.08</v>
      </c>
      <c r="U123" s="87"/>
      <c r="V123" s="437">
        <v>0</v>
      </c>
      <c r="X123" s="94">
        <v>79103.53</v>
      </c>
      <c r="Y123" s="592"/>
      <c r="Z123" s="552">
        <v>26211.35</v>
      </c>
      <c r="AA123" s="300">
        <f>SUM(Table157[[#This Row],[PCTS Investment Amount]:[PCTS Retirement Amount]])</f>
        <v>105314.88</v>
      </c>
      <c r="AB123" s="207">
        <v>45054</v>
      </c>
      <c r="AC123" s="108" t="s">
        <v>1441</v>
      </c>
      <c r="AD123" s="108" t="s">
        <v>29</v>
      </c>
      <c r="AE123" s="349"/>
      <c r="AF123" s="579"/>
      <c r="AG123" s="579"/>
      <c r="AH123" s="354"/>
      <c r="AI123" s="341"/>
      <c r="AJ123" s="183"/>
      <c r="AK123" s="183"/>
      <c r="AL123" s="494">
        <f>SUM(Table157[[#This Row],[Nicor Initiated DBE]:[Staffing]])/(Table157[[#This Row],[Amount Invoiced]])</f>
        <v>0</v>
      </c>
      <c r="AM123" s="21" t="s">
        <v>116</v>
      </c>
      <c r="AN123" s="680" t="s">
        <v>709</v>
      </c>
      <c r="AO123" s="601" t="s">
        <v>115</v>
      </c>
      <c r="AP123" s="572"/>
      <c r="AQ123" s="572"/>
      <c r="AR123" s="572"/>
      <c r="AS123" s="538">
        <f>IF(Table157[[#This Row],[PCTS Approved]]="N",0,Table157[[#This Row],[Investment Amount (1'#'#'#'#'#)]]+Table157[[#This Row],[Retirement Amount (3'#'#'#'#'#)]])</f>
        <v>0</v>
      </c>
      <c r="AT123" s="538">
        <f>IF(Table157[[#This Row],[Approved Construction Cost]]=0,0,Table157[[#This Row],[Approved Construction Cost]]-Table157[[#This Row],[Construction Cost to Bill From]])</f>
        <v>0</v>
      </c>
      <c r="AU123" s="538">
        <f>IFERROR(Table157[[#This Row],[Difference in Construction Cost]]*Table157[[#This Row],[Rate]],Table157[[#This Row],[Difference in Construction Cost]]*0.085)</f>
        <v>0</v>
      </c>
      <c r="AV123" s="572"/>
      <c r="AW123" s="639"/>
      <c r="AX123" s="538"/>
      <c r="AY123" s="636" t="s">
        <v>709</v>
      </c>
      <c r="AZ123" s="443">
        <v>14</v>
      </c>
      <c r="BA123" s="334" t="s">
        <v>3</v>
      </c>
      <c r="BB123" s="652" t="s">
        <v>1468</v>
      </c>
      <c r="BC123" s="644" t="s">
        <v>1461</v>
      </c>
      <c r="BD123" s="478" t="s">
        <v>115</v>
      </c>
      <c r="BE123" s="544" t="s">
        <v>1462</v>
      </c>
      <c r="BF123" s="544" t="s">
        <v>115</v>
      </c>
      <c r="BG123" s="544" t="s">
        <v>115</v>
      </c>
      <c r="BH123" s="512" t="s">
        <v>1463</v>
      </c>
      <c r="BI123" s="645"/>
      <c r="BJ123" s="511" t="s">
        <v>709</v>
      </c>
      <c r="BK123" s="546" t="s">
        <v>116</v>
      </c>
      <c r="BL123" s="546" t="s">
        <v>116</v>
      </c>
      <c r="BM123" s="546" t="s">
        <v>116</v>
      </c>
      <c r="BN123" s="546" t="s">
        <v>709</v>
      </c>
      <c r="BO123" s="546" t="s">
        <v>709</v>
      </c>
      <c r="BP123" s="546" t="s">
        <v>709</v>
      </c>
      <c r="BQ123" s="546" t="s">
        <v>709</v>
      </c>
      <c r="BR123" s="546" t="s">
        <v>709</v>
      </c>
      <c r="BS123" s="546">
        <v>3</v>
      </c>
      <c r="BT123" s="546">
        <v>43</v>
      </c>
      <c r="BU123" s="546" t="s">
        <v>745</v>
      </c>
      <c r="BV123" s="546" t="s">
        <v>709</v>
      </c>
      <c r="BW123" s="546" t="s">
        <v>745</v>
      </c>
      <c r="BX123" s="546" t="s">
        <v>709</v>
      </c>
      <c r="BY123" s="546" t="s">
        <v>745</v>
      </c>
      <c r="BZ123" s="546">
        <v>1</v>
      </c>
      <c r="CA123" s="506" t="s">
        <v>769</v>
      </c>
    </row>
    <row r="124" spans="1:79" ht="15" hidden="1" customHeight="1" x14ac:dyDescent="0.25">
      <c r="A124" s="8">
        <v>2023</v>
      </c>
      <c r="B124" s="8" t="s">
        <v>771</v>
      </c>
      <c r="C124" s="8" t="s">
        <v>1469</v>
      </c>
      <c r="D124" s="656" t="s">
        <v>1470</v>
      </c>
      <c r="E124" s="8" t="s">
        <v>1129</v>
      </c>
      <c r="F124" s="8" t="s">
        <v>784</v>
      </c>
      <c r="G124" s="8" t="s">
        <v>32</v>
      </c>
      <c r="H124" s="13" t="s">
        <v>59</v>
      </c>
      <c r="I124" s="642">
        <v>44946</v>
      </c>
      <c r="J124" s="18">
        <v>45065</v>
      </c>
      <c r="K124" s="97">
        <v>45043</v>
      </c>
      <c r="L124" s="16">
        <f>IF(ISTEXT(Table157[[#This Row],[Engineering Approved Design Date]]),Table157[[#This Row],[Date Completed]]-Table157[[#This Row],[Date Assigned to Designer]],Table157[[#This Row],[Engineering Approved Design Date]]-Table157[[#This Row],[Date Completed]])</f>
        <v>22</v>
      </c>
      <c r="M124" s="642"/>
      <c r="N124" s="642" t="s">
        <v>120</v>
      </c>
      <c r="O124" s="510">
        <v>45061</v>
      </c>
      <c r="P124" s="221" t="s">
        <v>120</v>
      </c>
      <c r="Q124" s="74">
        <f>Table157[[#This Row],[Rate]]*Table157[[#This Row],[Construction Cost to Bill From]]</f>
        <v>62958.712499999994</v>
      </c>
      <c r="R124" s="75">
        <v>0.09</v>
      </c>
      <c r="U124" s="87"/>
      <c r="V124" s="437">
        <v>3016</v>
      </c>
      <c r="W124" s="437">
        <v>0</v>
      </c>
      <c r="X124" s="94">
        <v>670013.47</v>
      </c>
      <c r="Y124" s="592"/>
      <c r="Z124" s="552">
        <v>29527.78</v>
      </c>
      <c r="AA124" s="300">
        <f>SUM(Table157[[#This Row],[PCTS Investment Amount]:[PCTS Retirement Amount]])</f>
        <v>699541.25</v>
      </c>
      <c r="AB124" s="207">
        <v>45047</v>
      </c>
      <c r="AC124" s="108" t="s">
        <v>709</v>
      </c>
      <c r="AD124" s="108" t="s">
        <v>116</v>
      </c>
      <c r="AE124" s="349"/>
      <c r="AF124" s="579"/>
      <c r="AG124" s="579"/>
      <c r="AH124" s="354"/>
      <c r="AI124" s="341"/>
      <c r="AJ124" s="183"/>
      <c r="AK124" s="183"/>
      <c r="AL124" s="494">
        <f>SUM(Table157[[#This Row],[Nicor Initiated DBE]:[Staffing]])/(Table157[[#This Row],[Amount Invoiced]])</f>
        <v>0</v>
      </c>
      <c r="AM124" s="21" t="s">
        <v>116</v>
      </c>
      <c r="AN124" s="680" t="s">
        <v>709</v>
      </c>
      <c r="AO124" s="601" t="s">
        <v>115</v>
      </c>
      <c r="AP124" s="572"/>
      <c r="AQ124" s="572"/>
      <c r="AR124" s="572"/>
      <c r="AS124" s="538">
        <f>IF(Table157[[#This Row],[PCTS Approved]]="N",0,Table157[[#This Row],[Investment Amount (1'#'#'#'#'#)]]+Table157[[#This Row],[Retirement Amount (3'#'#'#'#'#)]])</f>
        <v>0</v>
      </c>
      <c r="AT124" s="538">
        <f>IF(Table157[[#This Row],[Approved Construction Cost]]=0,0,Table157[[#This Row],[Approved Construction Cost]]-Table157[[#This Row],[Construction Cost to Bill From]])</f>
        <v>0</v>
      </c>
      <c r="AU124" s="538">
        <f>IFERROR(Table157[[#This Row],[Difference in Construction Cost]]*Table157[[#This Row],[Rate]],Table157[[#This Row],[Difference in Construction Cost]]*0.085)</f>
        <v>0</v>
      </c>
      <c r="AV124" s="572"/>
      <c r="AW124" s="639"/>
      <c r="AX124" s="538"/>
      <c r="AY124" s="636" t="s">
        <v>709</v>
      </c>
      <c r="AZ124" s="443">
        <v>41</v>
      </c>
      <c r="BA124" s="334" t="s">
        <v>3</v>
      </c>
      <c r="BB124" s="652" t="s">
        <v>1471</v>
      </c>
      <c r="BC124" s="644" t="s">
        <v>1132</v>
      </c>
      <c r="BD124" s="478" t="s">
        <v>116</v>
      </c>
      <c r="BE124" s="544" t="s">
        <v>1066</v>
      </c>
      <c r="BF124" s="544" t="s">
        <v>1133</v>
      </c>
      <c r="BG124" s="544" t="s">
        <v>1133</v>
      </c>
      <c r="BH124" s="512" t="s">
        <v>115</v>
      </c>
      <c r="BI124" s="645" t="s">
        <v>1472</v>
      </c>
      <c r="BJ124" s="511" t="s">
        <v>709</v>
      </c>
      <c r="BK124" s="546" t="s">
        <v>709</v>
      </c>
      <c r="BL124" s="546" t="s">
        <v>709</v>
      </c>
      <c r="BM124" s="546" t="s">
        <v>116</v>
      </c>
      <c r="BN124" s="546" t="s">
        <v>709</v>
      </c>
      <c r="BO124" s="546" t="s">
        <v>709</v>
      </c>
      <c r="BP124" s="546" t="s">
        <v>709</v>
      </c>
      <c r="BQ124" s="546" t="s">
        <v>709</v>
      </c>
      <c r="BR124" s="546" t="s">
        <v>709</v>
      </c>
      <c r="BS124" s="546">
        <v>762</v>
      </c>
      <c r="BT124" s="546">
        <v>2290</v>
      </c>
      <c r="BU124" s="546" t="s">
        <v>745</v>
      </c>
      <c r="BV124" s="546" t="s">
        <v>709</v>
      </c>
      <c r="BW124" s="546" t="s">
        <v>745</v>
      </c>
      <c r="BX124" s="546" t="s">
        <v>709</v>
      </c>
      <c r="BY124" s="546" t="s">
        <v>745</v>
      </c>
      <c r="BZ124" s="546" t="s">
        <v>745</v>
      </c>
      <c r="CA124" s="506"/>
    </row>
    <row r="125" spans="1:79" ht="15" hidden="1" customHeight="1" x14ac:dyDescent="0.25">
      <c r="A125" s="8" t="s">
        <v>749</v>
      </c>
      <c r="B125" s="8" t="s">
        <v>4</v>
      </c>
      <c r="C125" s="8" t="s">
        <v>1473</v>
      </c>
      <c r="D125" s="8" t="s">
        <v>1474</v>
      </c>
      <c r="E125" s="8" t="s">
        <v>1154</v>
      </c>
      <c r="F125" s="8" t="s">
        <v>747</v>
      </c>
      <c r="G125" s="8" t="s">
        <v>28</v>
      </c>
      <c r="H125" s="8" t="s">
        <v>59</v>
      </c>
      <c r="I125" s="642">
        <v>44939</v>
      </c>
      <c r="J125" s="18">
        <v>45044</v>
      </c>
      <c r="K125" s="97">
        <v>45044</v>
      </c>
      <c r="L125" s="16">
        <f>IF(ISTEXT(Table157[[#This Row],[Engineering Approved Design Date]]),Table157[[#This Row],[Date Completed]]-Table157[[#This Row],[Date Assigned to Designer]],Table157[[#This Row],[Engineering Approved Design Date]]-Table157[[#This Row],[Date Completed]])</f>
        <v>0</v>
      </c>
      <c r="M125" s="642"/>
      <c r="N125" s="642" t="s">
        <v>120</v>
      </c>
      <c r="O125" s="510">
        <v>45047</v>
      </c>
      <c r="P125" s="221" t="s">
        <v>739</v>
      </c>
      <c r="Q125" s="74">
        <f>Table157[[#This Row],[Rate]]*Table157[[#This Row],[Construction Cost to Bill From]]</f>
        <v>82497.73000000001</v>
      </c>
      <c r="R125" s="75">
        <v>0.1</v>
      </c>
      <c r="U125" s="87"/>
      <c r="V125" s="437">
        <v>2410</v>
      </c>
      <c r="W125" s="437">
        <v>0</v>
      </c>
      <c r="X125" s="24">
        <v>756203.8</v>
      </c>
      <c r="Y125" s="592"/>
      <c r="Z125" s="552">
        <v>68773.5</v>
      </c>
      <c r="AA125" s="300">
        <f>Table157[[#This Row],[PCTS Investment Amount]]+Table157[[#This Row],[PCTS Retirement Amount]]</f>
        <v>824977.3</v>
      </c>
      <c r="AB125" s="207">
        <v>45054</v>
      </c>
      <c r="AC125" s="108" t="s">
        <v>709</v>
      </c>
      <c r="AD125" s="108" t="s">
        <v>116</v>
      </c>
      <c r="AE125" s="349"/>
      <c r="AF125" s="579"/>
      <c r="AG125" s="579"/>
      <c r="AH125" s="354"/>
      <c r="AI125" s="489"/>
      <c r="AJ125" s="553"/>
      <c r="AK125" s="553"/>
      <c r="AL125" s="495">
        <f>SUM(Table157[[#This Row],[Nicor Initiated DBE]:[Staffing]])/(Table157[[#This Row],[Amount Invoiced]])</f>
        <v>0</v>
      </c>
      <c r="AM125" s="21" t="s">
        <v>116</v>
      </c>
      <c r="AN125" s="680" t="s">
        <v>709</v>
      </c>
      <c r="AO125" s="601" t="s">
        <v>115</v>
      </c>
      <c r="AP125" s="572"/>
      <c r="AQ125" s="572"/>
      <c r="AR125" s="572"/>
      <c r="AS125" s="538">
        <f>IF(Table157[[#This Row],[PCTS Approved]]="N",0,Table157[[#This Row],[Investment Amount (1'#'#'#'#'#)]]+Table157[[#This Row],[Retirement Amount (3'#'#'#'#'#)]])</f>
        <v>0</v>
      </c>
      <c r="AT125" s="538">
        <f>IF(Table157[[#This Row],[Approved Construction Cost]]=0,0,Table157[[#This Row],[Approved Construction Cost]]-Table157[[#This Row],[Construction Cost to Bill From]])</f>
        <v>0</v>
      </c>
      <c r="AU125" s="538">
        <f>IFERROR(Table157[[#This Row],[Difference in Construction Cost]]*Table157[[#This Row],[Rate]],Table157[[#This Row],[Difference in Construction Cost]]*0.085)</f>
        <v>0</v>
      </c>
      <c r="AV125" s="572"/>
      <c r="AW125" s="639"/>
      <c r="AX125" s="538"/>
      <c r="AY125" s="636" t="s">
        <v>709</v>
      </c>
      <c r="AZ125" s="443">
        <v>84</v>
      </c>
      <c r="BA125" s="334" t="s">
        <v>4</v>
      </c>
      <c r="BB125" s="652" t="s">
        <v>1475</v>
      </c>
      <c r="BC125" s="644" t="s">
        <v>1380</v>
      </c>
      <c r="BD125" s="478" t="s">
        <v>116</v>
      </c>
      <c r="BE125" s="544" t="s">
        <v>709</v>
      </c>
      <c r="BF125" s="544" t="s">
        <v>1381</v>
      </c>
      <c r="BG125" s="544" t="s">
        <v>709</v>
      </c>
      <c r="BH125" s="512" t="s">
        <v>709</v>
      </c>
      <c r="BI125" s="545" t="s">
        <v>1476</v>
      </c>
      <c r="BJ125" s="511" t="s">
        <v>709</v>
      </c>
      <c r="BK125" s="546" t="s">
        <v>709</v>
      </c>
      <c r="BL125" s="546" t="s">
        <v>709</v>
      </c>
      <c r="BM125" s="546" t="s">
        <v>116</v>
      </c>
      <c r="BN125" s="546" t="s">
        <v>709</v>
      </c>
      <c r="BO125" s="546" t="s">
        <v>709</v>
      </c>
      <c r="BP125" s="546" t="s">
        <v>709</v>
      </c>
      <c r="BQ125" s="546" t="s">
        <v>709</v>
      </c>
      <c r="BR125" s="546">
        <v>733</v>
      </c>
      <c r="BS125" s="546">
        <v>904</v>
      </c>
      <c r="BT125" s="546">
        <v>773</v>
      </c>
      <c r="BU125" s="546" t="s">
        <v>745</v>
      </c>
      <c r="BV125" s="546" t="s">
        <v>709</v>
      </c>
      <c r="BW125" s="546" t="s">
        <v>745</v>
      </c>
      <c r="BX125" s="546" t="s">
        <v>709</v>
      </c>
      <c r="BY125" s="546" t="s">
        <v>745</v>
      </c>
      <c r="BZ125" s="546" t="s">
        <v>745</v>
      </c>
      <c r="CA125" s="506"/>
    </row>
    <row r="126" spans="1:79" ht="15" hidden="1" customHeight="1" x14ac:dyDescent="0.25">
      <c r="A126" s="8" t="s">
        <v>749</v>
      </c>
      <c r="B126" s="8" t="s">
        <v>771</v>
      </c>
      <c r="C126" s="8" t="s">
        <v>447</v>
      </c>
      <c r="D126" s="656" t="s">
        <v>1477</v>
      </c>
      <c r="E126" s="8" t="s">
        <v>327</v>
      </c>
      <c r="F126" s="8" t="s">
        <v>784</v>
      </c>
      <c r="G126" s="8" t="s">
        <v>37</v>
      </c>
      <c r="H126" s="13" t="s">
        <v>59</v>
      </c>
      <c r="I126" s="642">
        <v>44939</v>
      </c>
      <c r="J126" s="18">
        <v>45056</v>
      </c>
      <c r="K126" s="97">
        <v>45055</v>
      </c>
      <c r="L126" s="16">
        <f>IF(ISTEXT(Table157[[#This Row],[Engineering Approved Design Date]]),Table157[[#This Row],[Date Completed]]-Table157[[#This Row],[Date Assigned to Designer]],Table157[[#This Row],[Engineering Approved Design Date]]-Table157[[#This Row],[Date Completed]])</f>
        <v>1</v>
      </c>
      <c r="M126" s="642"/>
      <c r="N126" s="642" t="s">
        <v>120</v>
      </c>
      <c r="O126" s="510">
        <v>45047</v>
      </c>
      <c r="P126" s="221" t="s">
        <v>120</v>
      </c>
      <c r="Q126" s="74">
        <f>Table157[[#This Row],[Rate]]*Table157[[#This Row],[Construction Cost to Bill From]]</f>
        <v>113072.59349999999</v>
      </c>
      <c r="R126" s="75">
        <v>0.09</v>
      </c>
      <c r="U126" s="87"/>
      <c r="V126" s="437">
        <v>1338</v>
      </c>
      <c r="W126" s="437">
        <v>0</v>
      </c>
      <c r="X126" s="94">
        <v>1222821.21</v>
      </c>
      <c r="Y126" s="592"/>
      <c r="Z126" s="552">
        <v>33540.94</v>
      </c>
      <c r="AA126" s="300">
        <f>SUM(Table157[[#This Row],[PCTS Investment Amount]:[PCTS Retirement Amount]])</f>
        <v>1256362.1499999999</v>
      </c>
      <c r="AB126" s="207">
        <v>45056</v>
      </c>
      <c r="AC126" s="108" t="s">
        <v>1441</v>
      </c>
      <c r="AD126" s="108" t="s">
        <v>116</v>
      </c>
      <c r="AE126" s="349"/>
      <c r="AF126" s="579"/>
      <c r="AG126" s="579"/>
      <c r="AH126" s="354"/>
      <c r="AI126" s="341"/>
      <c r="AJ126" s="183"/>
      <c r="AK126" s="183"/>
      <c r="AL126" s="494">
        <f>SUM(Table157[[#This Row],[Nicor Initiated DBE]:[Staffing]])/(Table157[[#This Row],[Amount Invoiced]])</f>
        <v>0</v>
      </c>
      <c r="AM126" s="21" t="s">
        <v>116</v>
      </c>
      <c r="AN126" s="680" t="s">
        <v>709</v>
      </c>
      <c r="AO126" s="681">
        <v>11058971</v>
      </c>
      <c r="AP126" s="572"/>
      <c r="AQ126" s="572"/>
      <c r="AR126" s="572"/>
      <c r="AS126" s="538">
        <f>IF(Table157[[#This Row],[PCTS Approved]]="N",0,Table157[[#This Row],[Investment Amount (1'#'#'#'#'#)]]+Table157[[#This Row],[Retirement Amount (3'#'#'#'#'#)]])</f>
        <v>0</v>
      </c>
      <c r="AT126" s="538">
        <f>IF(Table157[[#This Row],[Approved Construction Cost]]=0,0,Table157[[#This Row],[Approved Construction Cost]]-Table157[[#This Row],[Construction Cost to Bill From]])</f>
        <v>0</v>
      </c>
      <c r="AU126" s="538">
        <f>IFERROR(Table157[[#This Row],[Difference in Construction Cost]]*Table157[[#This Row],[Rate]],Table157[[#This Row],[Difference in Construction Cost]]*0.085)</f>
        <v>0</v>
      </c>
      <c r="AV126" s="572"/>
      <c r="AW126" s="639"/>
      <c r="AX126" s="538"/>
      <c r="AY126" s="636" t="s">
        <v>709</v>
      </c>
      <c r="AZ126" s="443">
        <v>42</v>
      </c>
      <c r="BA126" s="334" t="s">
        <v>3</v>
      </c>
      <c r="BB126" s="652" t="s">
        <v>1478</v>
      </c>
      <c r="BC126" s="644" t="s">
        <v>1479</v>
      </c>
      <c r="BD126" s="478" t="s">
        <v>709</v>
      </c>
      <c r="BE126" s="544" t="s">
        <v>115</v>
      </c>
      <c r="BF126" s="544" t="s">
        <v>448</v>
      </c>
      <c r="BG126" s="544" t="s">
        <v>115</v>
      </c>
      <c r="BH126" s="512" t="s">
        <v>1480</v>
      </c>
      <c r="BI126" s="645" t="s">
        <v>1481</v>
      </c>
      <c r="BJ126" s="511" t="s">
        <v>709</v>
      </c>
      <c r="BK126" s="546" t="s">
        <v>709</v>
      </c>
      <c r="BL126" s="546" t="s">
        <v>709</v>
      </c>
      <c r="BM126" s="546" t="s">
        <v>116</v>
      </c>
      <c r="BN126" s="546" t="s">
        <v>709</v>
      </c>
      <c r="BO126" s="546" t="s">
        <v>709</v>
      </c>
      <c r="BP126" s="546" t="s">
        <v>709</v>
      </c>
      <c r="BQ126" s="546">
        <v>1309</v>
      </c>
      <c r="BR126" s="546" t="s">
        <v>709</v>
      </c>
      <c r="BS126" s="546" t="s">
        <v>709</v>
      </c>
      <c r="BT126" s="546">
        <v>29</v>
      </c>
      <c r="BU126" s="546" t="s">
        <v>709</v>
      </c>
      <c r="BV126" s="546" t="s">
        <v>709</v>
      </c>
      <c r="BW126" s="546" t="s">
        <v>745</v>
      </c>
      <c r="BX126" s="546" t="s">
        <v>709</v>
      </c>
      <c r="BY126" s="546" t="s">
        <v>709</v>
      </c>
      <c r="BZ126" s="546" t="s">
        <v>745</v>
      </c>
      <c r="CA126" s="506"/>
    </row>
    <row r="127" spans="1:79" ht="15" hidden="1" customHeight="1" x14ac:dyDescent="0.25">
      <c r="A127" s="8" t="s">
        <v>749</v>
      </c>
      <c r="B127" s="8" t="s">
        <v>4</v>
      </c>
      <c r="C127" s="8" t="s">
        <v>1482</v>
      </c>
      <c r="D127" s="8" t="s">
        <v>1483</v>
      </c>
      <c r="E127" s="8" t="s">
        <v>354</v>
      </c>
      <c r="F127" s="8" t="s">
        <v>784</v>
      </c>
      <c r="G127" s="8" t="s">
        <v>27</v>
      </c>
      <c r="H127" s="8" t="s">
        <v>59</v>
      </c>
      <c r="I127" s="642">
        <v>44974</v>
      </c>
      <c r="J127" s="18">
        <v>45058</v>
      </c>
      <c r="K127" s="97">
        <v>45057</v>
      </c>
      <c r="L127" s="16">
        <f>IF(ISTEXT(Table157[[#This Row],[Engineering Approved Design Date]]),Table157[[#This Row],[Date Completed]]-Table157[[#This Row],[Date Assigned to Designer]],Table157[[#This Row],[Engineering Approved Design Date]]-Table157[[#This Row],[Date Completed]])</f>
        <v>1</v>
      </c>
      <c r="M127" s="642"/>
      <c r="N127" s="642" t="s">
        <v>120</v>
      </c>
      <c r="O127" s="510">
        <v>45061</v>
      </c>
      <c r="P127" s="221" t="s">
        <v>739</v>
      </c>
      <c r="Q127" s="74">
        <f>Table157[[#This Row],[Rate]]*Table157[[#This Row],[Construction Cost to Bill From]]</f>
        <v>5264.8130000000001</v>
      </c>
      <c r="R127" s="75">
        <v>0.1</v>
      </c>
      <c r="U127" s="87"/>
      <c r="V127" s="437">
        <v>0</v>
      </c>
      <c r="W127" s="437">
        <v>0</v>
      </c>
      <c r="X127" s="24">
        <v>0</v>
      </c>
      <c r="Y127" s="592"/>
      <c r="Z127" s="552">
        <v>52648.13</v>
      </c>
      <c r="AA127" s="300">
        <f>SUM(Table157[[#This Row],[PCTS Investment Amount]:[PCTS Retirement Amount]])</f>
        <v>52648.13</v>
      </c>
      <c r="AB127" s="207" t="s">
        <v>29</v>
      </c>
      <c r="AC127" s="108" t="s">
        <v>709</v>
      </c>
      <c r="AD127" s="108" t="s">
        <v>29</v>
      </c>
      <c r="AE127" s="187" t="s">
        <v>116</v>
      </c>
      <c r="AF127" s="568" t="s">
        <v>29</v>
      </c>
      <c r="AG127" s="568" t="s">
        <v>29</v>
      </c>
      <c r="AH127" s="356">
        <v>45160</v>
      </c>
      <c r="AI127" s="489"/>
      <c r="AJ127" s="553"/>
      <c r="AK127" s="553"/>
      <c r="AL127" s="495">
        <f>SUM(Table157[[#This Row],[Nicor Initiated DBE]:[Staffing]])/(Table157[[#This Row],[Amount Invoiced]])</f>
        <v>0</v>
      </c>
      <c r="AM127" s="21" t="s">
        <v>116</v>
      </c>
      <c r="AN127" s="680" t="s">
        <v>709</v>
      </c>
      <c r="AO127" s="601"/>
      <c r="AP127" s="601"/>
      <c r="AQ127" s="601"/>
      <c r="AR127" s="601"/>
      <c r="AS127" s="538">
        <f>IF(Table157[[#This Row],[PCTS Approved]]="N",0,Table157[[#This Row],[Investment Amount (1'#'#'#'#'#)]]+Table157[[#This Row],[Retirement Amount (3'#'#'#'#'#)]])</f>
        <v>0</v>
      </c>
      <c r="AT127" s="538">
        <f>IF(Table157[[#This Row],[Approved Construction Cost]]=0,0,Table157[[#This Row],[Approved Construction Cost]]-Table157[[#This Row],[Construction Cost to Bill From]])</f>
        <v>0</v>
      </c>
      <c r="AU127" s="538">
        <f>IFERROR(Table157[[#This Row],[Difference in Construction Cost]]*Table157[[#This Row],[Rate]],Table157[[#This Row],[Difference in Construction Cost]]*0.085)</f>
        <v>0</v>
      </c>
      <c r="AV127" s="601"/>
      <c r="AW127" s="601"/>
      <c r="AX127" s="538"/>
      <c r="AY127" s="636" t="s">
        <v>709</v>
      </c>
      <c r="AZ127" s="443">
        <v>85</v>
      </c>
      <c r="BA127" s="334" t="s">
        <v>4</v>
      </c>
      <c r="BB127" s="652" t="s">
        <v>1484</v>
      </c>
      <c r="BC127" s="644" t="s">
        <v>1485</v>
      </c>
      <c r="BD127" s="478" t="s">
        <v>709</v>
      </c>
      <c r="BE127" s="544" t="s">
        <v>709</v>
      </c>
      <c r="BF127" s="544" t="s">
        <v>588</v>
      </c>
      <c r="BG127" s="544" t="s">
        <v>709</v>
      </c>
      <c r="BH127" s="512" t="s">
        <v>709</v>
      </c>
      <c r="BI127" s="545" t="s">
        <v>1486</v>
      </c>
      <c r="BJ127" s="511" t="s">
        <v>709</v>
      </c>
      <c r="BK127" s="546" t="s">
        <v>709</v>
      </c>
      <c r="BL127" s="546" t="s">
        <v>709</v>
      </c>
      <c r="BM127" s="546" t="s">
        <v>709</v>
      </c>
      <c r="BN127" s="546" t="s">
        <v>709</v>
      </c>
      <c r="BO127" s="546" t="s">
        <v>709</v>
      </c>
      <c r="BP127" s="546" t="s">
        <v>709</v>
      </c>
      <c r="BQ127" s="546" t="s">
        <v>709</v>
      </c>
      <c r="BR127" s="546" t="s">
        <v>709</v>
      </c>
      <c r="BS127" s="546" t="s">
        <v>709</v>
      </c>
      <c r="BT127" s="546" t="s">
        <v>709</v>
      </c>
      <c r="BU127" s="546" t="s">
        <v>745</v>
      </c>
      <c r="BV127" s="546" t="s">
        <v>709</v>
      </c>
      <c r="BW127" s="546" t="s">
        <v>745</v>
      </c>
      <c r="BX127" s="546" t="s">
        <v>709</v>
      </c>
      <c r="BY127" s="546" t="s">
        <v>745</v>
      </c>
      <c r="BZ127" s="546" t="s">
        <v>745</v>
      </c>
      <c r="CA127" s="506" t="s">
        <v>1146</v>
      </c>
    </row>
    <row r="128" spans="1:79" ht="15" hidden="1" customHeight="1" x14ac:dyDescent="0.25">
      <c r="A128" s="8">
        <v>2023</v>
      </c>
      <c r="B128" s="8" t="s">
        <v>771</v>
      </c>
      <c r="C128" s="8" t="s">
        <v>449</v>
      </c>
      <c r="D128" s="656" t="s">
        <v>1487</v>
      </c>
      <c r="E128" s="8" t="s">
        <v>327</v>
      </c>
      <c r="F128" s="8" t="s">
        <v>784</v>
      </c>
      <c r="G128" s="8" t="s">
        <v>37</v>
      </c>
      <c r="H128" s="8" t="s">
        <v>59</v>
      </c>
      <c r="I128" s="642">
        <v>44939</v>
      </c>
      <c r="J128" s="18">
        <v>45065</v>
      </c>
      <c r="K128" s="97">
        <v>45061</v>
      </c>
      <c r="L128" s="16">
        <f>IF(ISTEXT(Table157[[#This Row],[Engineering Approved Design Date]]),Table157[[#This Row],[Date Completed]]-Table157[[#This Row],[Date Assigned to Designer]],Table157[[#This Row],[Engineering Approved Design Date]]-Table157[[#This Row],[Date Completed]])</f>
        <v>4</v>
      </c>
      <c r="M128" s="642"/>
      <c r="N128" s="642" t="s">
        <v>120</v>
      </c>
      <c r="O128" s="510">
        <v>45078</v>
      </c>
      <c r="P128" s="221" t="s">
        <v>120</v>
      </c>
      <c r="Q128" s="74">
        <f>Table157[[#This Row],[Rate]]*Table157[[#This Row],[Construction Cost to Bill From]]</f>
        <v>161460.64619999999</v>
      </c>
      <c r="R128" s="75">
        <v>0.06</v>
      </c>
      <c r="U128" s="87"/>
      <c r="V128" s="437">
        <v>10511</v>
      </c>
      <c r="W128" s="437">
        <v>0</v>
      </c>
      <c r="X128" s="24">
        <v>2575270.17</v>
      </c>
      <c r="Y128" s="592"/>
      <c r="Z128" s="552">
        <v>115740.6</v>
      </c>
      <c r="AA128" s="300">
        <f>SUM(Table157[[#This Row],[PCTS Investment Amount]:[PCTS Retirement Amount]])</f>
        <v>2691010.77</v>
      </c>
      <c r="AB128" s="207">
        <v>45068</v>
      </c>
      <c r="AC128" s="108" t="s">
        <v>1441</v>
      </c>
      <c r="AD128" s="108" t="s">
        <v>116</v>
      </c>
      <c r="AE128" s="349"/>
      <c r="AF128" s="579"/>
      <c r="AG128" s="579"/>
      <c r="AH128" s="354"/>
      <c r="AI128" s="341"/>
      <c r="AJ128" s="183"/>
      <c r="AK128" s="183"/>
      <c r="AL128" s="494">
        <f>SUM(Table157[[#This Row],[Nicor Initiated DBE]:[Staffing]])/(Table157[[#This Row],[Amount Invoiced]])</f>
        <v>0</v>
      </c>
      <c r="AM128" s="21" t="s">
        <v>116</v>
      </c>
      <c r="AN128" s="680" t="s">
        <v>709</v>
      </c>
      <c r="AO128" s="681">
        <v>11060024</v>
      </c>
      <c r="AP128" s="572"/>
      <c r="AQ128" s="572"/>
      <c r="AR128" s="572"/>
      <c r="AS128" s="538">
        <f>IF(Table157[[#This Row],[PCTS Approved]]="N",0,Table157[[#This Row],[Investment Amount (1'#'#'#'#'#)]]+Table157[[#This Row],[Retirement Amount (3'#'#'#'#'#)]])</f>
        <v>0</v>
      </c>
      <c r="AT128" s="538">
        <f>IF(Table157[[#This Row],[Approved Construction Cost]]=0,0,Table157[[#This Row],[Approved Construction Cost]]-Table157[[#This Row],[Construction Cost to Bill From]])</f>
        <v>0</v>
      </c>
      <c r="AU128" s="538">
        <f>IFERROR(Table157[[#This Row],[Difference in Construction Cost]]*Table157[[#This Row],[Rate]],Table157[[#This Row],[Difference in Construction Cost]]*0.085)</f>
        <v>0</v>
      </c>
      <c r="AV128" s="572"/>
      <c r="AW128" s="639"/>
      <c r="AX128" s="538"/>
      <c r="AY128" s="636" t="s">
        <v>709</v>
      </c>
      <c r="AZ128" s="443">
        <v>6</v>
      </c>
      <c r="BA128" s="334" t="s">
        <v>3</v>
      </c>
      <c r="BB128" s="652" t="s">
        <v>1488</v>
      </c>
      <c r="BC128" s="644" t="s">
        <v>1479</v>
      </c>
      <c r="BD128" s="478" t="s">
        <v>709</v>
      </c>
      <c r="BE128" s="544" t="s">
        <v>115</v>
      </c>
      <c r="BF128" s="544" t="s">
        <v>448</v>
      </c>
      <c r="BG128" s="544" t="s">
        <v>115</v>
      </c>
      <c r="BH128" s="512" t="s">
        <v>115</v>
      </c>
      <c r="BI128" s="645" t="s">
        <v>1489</v>
      </c>
      <c r="BJ128" s="511" t="s">
        <v>709</v>
      </c>
      <c r="BK128" s="546" t="s">
        <v>709</v>
      </c>
      <c r="BL128" s="546" t="s">
        <v>709</v>
      </c>
      <c r="BM128" s="546" t="s">
        <v>116</v>
      </c>
      <c r="BN128" s="546" t="s">
        <v>709</v>
      </c>
      <c r="BO128" s="546" t="s">
        <v>709</v>
      </c>
      <c r="BP128" s="546" t="s">
        <v>709</v>
      </c>
      <c r="BQ128" s="546" t="s">
        <v>709</v>
      </c>
      <c r="BR128" s="546">
        <v>1240</v>
      </c>
      <c r="BS128" s="546">
        <v>1503</v>
      </c>
      <c r="BT128" s="546">
        <v>7768</v>
      </c>
      <c r="BU128" s="546" t="s">
        <v>745</v>
      </c>
      <c r="BV128" s="546" t="s">
        <v>709</v>
      </c>
      <c r="BW128" s="546" t="s">
        <v>745</v>
      </c>
      <c r="BX128" s="546" t="s">
        <v>709</v>
      </c>
      <c r="BY128" s="546" t="s">
        <v>745</v>
      </c>
      <c r="BZ128" s="546" t="s">
        <v>745</v>
      </c>
      <c r="CA128" s="506"/>
    </row>
    <row r="129" spans="1:79" ht="15" hidden="1" customHeight="1" x14ac:dyDescent="0.25">
      <c r="A129" s="8" t="s">
        <v>749</v>
      </c>
      <c r="B129" s="8" t="s">
        <v>4</v>
      </c>
      <c r="C129" s="8" t="s">
        <v>1490</v>
      </c>
      <c r="D129" s="8" t="s">
        <v>1491</v>
      </c>
      <c r="E129" s="8" t="s">
        <v>1492</v>
      </c>
      <c r="F129" s="8" t="s">
        <v>784</v>
      </c>
      <c r="G129" s="8" t="s">
        <v>25</v>
      </c>
      <c r="H129" s="13" t="s">
        <v>59</v>
      </c>
      <c r="I129" s="642">
        <v>44966</v>
      </c>
      <c r="J129" s="18">
        <v>45077</v>
      </c>
      <c r="K129" s="175">
        <v>45062</v>
      </c>
      <c r="L129" s="16">
        <f>IF(ISTEXT(Table157[[#This Row],[Engineering Approved Design Date]]),Table157[[#This Row],[Date Completed]]-Table157[[#This Row],[Date Assigned to Designer]],Table157[[#This Row],[Engineering Approved Design Date]]-Table157[[#This Row],[Date Completed]])</f>
        <v>15</v>
      </c>
      <c r="M129" s="642"/>
      <c r="N129" s="642" t="s">
        <v>120</v>
      </c>
      <c r="O129" s="510">
        <v>45061</v>
      </c>
      <c r="P129" s="221" t="s">
        <v>739</v>
      </c>
      <c r="Q129" s="74">
        <f>Table157[[#This Row],[Rate]]*Table157[[#This Row],[Construction Cost to Bill From]]</f>
        <v>17623.817000000003</v>
      </c>
      <c r="R129" s="75">
        <v>0.1</v>
      </c>
      <c r="U129" s="87"/>
      <c r="V129" s="437">
        <v>601</v>
      </c>
      <c r="W129" s="437">
        <v>0</v>
      </c>
      <c r="X129" s="94">
        <v>157687.95000000001</v>
      </c>
      <c r="Y129" s="592"/>
      <c r="Z129" s="552">
        <v>18550.22</v>
      </c>
      <c r="AA129" s="300">
        <f>SUM(Table157[[#This Row],[PCTS Investment Amount]:[PCTS Retirement Amount]])</f>
        <v>176238.17</v>
      </c>
      <c r="AB129" s="207">
        <v>45047</v>
      </c>
      <c r="AC129" s="108" t="s">
        <v>709</v>
      </c>
      <c r="AD129" s="108" t="s">
        <v>29</v>
      </c>
      <c r="AE129" s="187" t="s">
        <v>116</v>
      </c>
      <c r="AF129" s="568" t="s">
        <v>116</v>
      </c>
      <c r="AG129" s="568" t="s">
        <v>116</v>
      </c>
      <c r="AH129" s="356">
        <v>45086</v>
      </c>
      <c r="AI129" s="489"/>
      <c r="AJ129" s="553"/>
      <c r="AK129" s="553"/>
      <c r="AL129" s="495">
        <f>SUM(Table157[[#This Row],[Nicor Initiated DBE]:[Staffing]])/(Table157[[#This Row],[Amount Invoiced]])</f>
        <v>0</v>
      </c>
      <c r="AM129" s="21" t="s">
        <v>116</v>
      </c>
      <c r="AN129" s="680" t="s">
        <v>709</v>
      </c>
      <c r="AO129" s="601" t="s">
        <v>115</v>
      </c>
      <c r="AP129" s="572"/>
      <c r="AQ129" s="572"/>
      <c r="AR129" s="572"/>
      <c r="AS129" s="538">
        <f>IF(Table157[[#This Row],[PCTS Approved]]="N",0,Table157[[#This Row],[Investment Amount (1'#'#'#'#'#)]]+Table157[[#This Row],[Retirement Amount (3'#'#'#'#'#)]])</f>
        <v>0</v>
      </c>
      <c r="AT129" s="538">
        <f>IF(Table157[[#This Row],[Approved Construction Cost]]=0,0,Table157[[#This Row],[Approved Construction Cost]]-Table157[[#This Row],[Construction Cost to Bill From]])</f>
        <v>0</v>
      </c>
      <c r="AU129" s="538">
        <f>IFERROR(Table157[[#This Row],[Difference in Construction Cost]]*Table157[[#This Row],[Rate]],Table157[[#This Row],[Difference in Construction Cost]]*0.085)</f>
        <v>0</v>
      </c>
      <c r="AV129" s="572"/>
      <c r="AW129" s="639"/>
      <c r="AX129" s="538"/>
      <c r="AY129" s="636" t="s">
        <v>709</v>
      </c>
      <c r="AZ129" s="443">
        <v>86</v>
      </c>
      <c r="BA129" s="334" t="s">
        <v>4</v>
      </c>
      <c r="BB129" s="652" t="s">
        <v>1493</v>
      </c>
      <c r="BC129" s="644" t="s">
        <v>1494</v>
      </c>
      <c r="BD129" s="478" t="s">
        <v>116</v>
      </c>
      <c r="BE129" s="544" t="s">
        <v>743</v>
      </c>
      <c r="BF129" s="544" t="s">
        <v>545</v>
      </c>
      <c r="BG129" s="544" t="s">
        <v>1495</v>
      </c>
      <c r="BH129" s="512" t="s">
        <v>1496</v>
      </c>
      <c r="BI129" s="545" t="s">
        <v>1497</v>
      </c>
      <c r="BJ129" s="511" t="s">
        <v>709</v>
      </c>
      <c r="BK129" s="546" t="s">
        <v>709</v>
      </c>
      <c r="BL129" s="546" t="s">
        <v>709</v>
      </c>
      <c r="BM129" s="546" t="s">
        <v>116</v>
      </c>
      <c r="BN129" s="546" t="s">
        <v>709</v>
      </c>
      <c r="BO129" s="546" t="s">
        <v>709</v>
      </c>
      <c r="BP129" s="546" t="s">
        <v>709</v>
      </c>
      <c r="BQ129" s="546" t="s">
        <v>709</v>
      </c>
      <c r="BR129" s="546">
        <v>601</v>
      </c>
      <c r="BS129" s="546" t="s">
        <v>709</v>
      </c>
      <c r="BT129" s="546" t="s">
        <v>709</v>
      </c>
      <c r="BU129" s="546" t="s">
        <v>745</v>
      </c>
      <c r="BV129" s="546" t="s">
        <v>709</v>
      </c>
      <c r="BW129" s="546" t="s">
        <v>745</v>
      </c>
      <c r="BX129" s="546" t="s">
        <v>709</v>
      </c>
      <c r="BY129" s="546" t="s">
        <v>745</v>
      </c>
      <c r="BZ129" s="546" t="s">
        <v>745</v>
      </c>
      <c r="CA129" s="506"/>
    </row>
    <row r="130" spans="1:79" ht="15" hidden="1" customHeight="1" x14ac:dyDescent="0.25">
      <c r="A130" s="8" t="s">
        <v>800</v>
      </c>
      <c r="B130" s="8" t="s">
        <v>1205</v>
      </c>
      <c r="C130" s="8" t="s">
        <v>1498</v>
      </c>
      <c r="D130" s="656" t="s">
        <v>1499</v>
      </c>
      <c r="E130" s="8" t="s">
        <v>1500</v>
      </c>
      <c r="F130" s="8" t="s">
        <v>1501</v>
      </c>
      <c r="G130" s="8" t="s">
        <v>22</v>
      </c>
      <c r="H130" s="13" t="s">
        <v>59</v>
      </c>
      <c r="I130" s="642">
        <v>44704</v>
      </c>
      <c r="J130" s="18">
        <v>45065</v>
      </c>
      <c r="K130" s="97">
        <v>45064</v>
      </c>
      <c r="L130" s="16">
        <f>IF(ISTEXT(Table157[[#This Row],[Engineering Approved Design Date]]),Table157[[#This Row],[Date Completed]]-Table157[[#This Row],[Date Assigned to Designer]],Table157[[#This Row],[Engineering Approved Design Date]]-Table157[[#This Row],[Date Completed]])</f>
        <v>1</v>
      </c>
      <c r="M130" s="642"/>
      <c r="N130" s="642" t="s">
        <v>120</v>
      </c>
      <c r="O130" s="510">
        <f>Table157[[#This Row],[Date Completed]]</f>
        <v>45064</v>
      </c>
      <c r="P130" s="221" t="s">
        <v>120</v>
      </c>
      <c r="Q130" s="74">
        <f>Table157[[#This Row],[Rate]]*Table157[[#This Row],[Construction Cost to Bill From]]</f>
        <v>302998.19759999996</v>
      </c>
      <c r="R130" s="75">
        <v>0.09</v>
      </c>
      <c r="U130" s="87"/>
      <c r="V130" s="437">
        <v>1030</v>
      </c>
      <c r="W130" s="437">
        <v>0</v>
      </c>
      <c r="X130" s="94">
        <v>3121172.84</v>
      </c>
      <c r="Y130" s="592"/>
      <c r="Z130" s="552">
        <v>245473.8</v>
      </c>
      <c r="AA130" s="300">
        <f>SUM(Table157[[#This Row],[PCTS Investment Amount]:[PCTS Retirement Amount]])</f>
        <v>3366646.6399999997</v>
      </c>
      <c r="AB130" s="207">
        <v>45069</v>
      </c>
      <c r="AC130" s="108" t="s">
        <v>709</v>
      </c>
      <c r="AD130" s="108" t="s">
        <v>116</v>
      </c>
      <c r="AE130" s="349"/>
      <c r="AF130" s="579"/>
      <c r="AG130" s="579"/>
      <c r="AH130" s="354"/>
      <c r="AI130" s="341"/>
      <c r="AJ130" s="183"/>
      <c r="AK130" s="183"/>
      <c r="AL130" s="494">
        <f>SUM(Table157[[#This Row],[Nicor Initiated DBE]:[Staffing]])/(Table157[[#This Row],[Amount Invoiced]])</f>
        <v>0</v>
      </c>
      <c r="AM130" s="21" t="s">
        <v>116</v>
      </c>
      <c r="AN130" s="680" t="s">
        <v>709</v>
      </c>
      <c r="AO130" s="681">
        <v>11043653</v>
      </c>
      <c r="AP130" s="572"/>
      <c r="AQ130" s="572"/>
      <c r="AR130" s="572"/>
      <c r="AS130" s="538">
        <f>IF(Table157[[#This Row],[PCTS Approved]]="N",0,Table157[[#This Row],[Investment Amount (1'#'#'#'#'#)]]+Table157[[#This Row],[Retirement Amount (3'#'#'#'#'#)]])</f>
        <v>0</v>
      </c>
      <c r="AT130" s="538">
        <f>IF(Table157[[#This Row],[Approved Construction Cost]]=0,0,Table157[[#This Row],[Approved Construction Cost]]-Table157[[#This Row],[Construction Cost to Bill From]])</f>
        <v>0</v>
      </c>
      <c r="AU130" s="538">
        <f>IFERROR(Table157[[#This Row],[Difference in Construction Cost]]*Table157[[#This Row],[Rate]],Table157[[#This Row],[Difference in Construction Cost]]*0.085)</f>
        <v>0</v>
      </c>
      <c r="AV130" s="572"/>
      <c r="AW130" s="639"/>
      <c r="AX130" s="538"/>
      <c r="AY130" s="636" t="s">
        <v>709</v>
      </c>
      <c r="AZ130" s="443">
        <v>43</v>
      </c>
      <c r="BA130" s="334" t="s">
        <v>3</v>
      </c>
      <c r="BB130" s="652" t="s">
        <v>1502</v>
      </c>
      <c r="BC130" s="644" t="s">
        <v>1503</v>
      </c>
      <c r="BD130" s="478" t="s">
        <v>116</v>
      </c>
      <c r="BE130" s="544" t="s">
        <v>115</v>
      </c>
      <c r="BF130" s="544" t="s">
        <v>1504</v>
      </c>
      <c r="BG130" s="544" t="s">
        <v>115</v>
      </c>
      <c r="BH130" s="512" t="s">
        <v>1505</v>
      </c>
      <c r="BI130" s="645" t="s">
        <v>1506</v>
      </c>
      <c r="BJ130" s="511" t="s">
        <v>709</v>
      </c>
      <c r="BK130" s="546" t="s">
        <v>709</v>
      </c>
      <c r="BL130" s="546" t="s">
        <v>116</v>
      </c>
      <c r="BM130" s="546" t="s">
        <v>709</v>
      </c>
      <c r="BN130" s="546" t="s">
        <v>709</v>
      </c>
      <c r="BO130" s="546" t="s">
        <v>709</v>
      </c>
      <c r="BP130" s="546" t="s">
        <v>709</v>
      </c>
      <c r="BQ130" s="546" t="s">
        <v>709</v>
      </c>
      <c r="BR130" s="546" t="s">
        <v>709</v>
      </c>
      <c r="BS130" s="546" t="s">
        <v>709</v>
      </c>
      <c r="BT130" s="546" t="s">
        <v>709</v>
      </c>
      <c r="BU130" s="546" t="s">
        <v>745</v>
      </c>
      <c r="BV130" s="546" t="s">
        <v>709</v>
      </c>
      <c r="BW130" s="546" t="s">
        <v>745</v>
      </c>
      <c r="BX130" s="546" t="s">
        <v>709</v>
      </c>
      <c r="BY130" s="546" t="s">
        <v>745</v>
      </c>
      <c r="BZ130" s="546" t="s">
        <v>745</v>
      </c>
      <c r="CA130" s="506" t="s">
        <v>1507</v>
      </c>
    </row>
    <row r="131" spans="1:79" ht="15" hidden="1" customHeight="1" x14ac:dyDescent="0.25">
      <c r="A131" s="8">
        <v>2023</v>
      </c>
      <c r="B131" s="8" t="s">
        <v>1205</v>
      </c>
      <c r="C131" s="8" t="s">
        <v>515</v>
      </c>
      <c r="D131" s="656" t="s">
        <v>1508</v>
      </c>
      <c r="E131" s="8" t="s">
        <v>1509</v>
      </c>
      <c r="F131" s="8" t="s">
        <v>747</v>
      </c>
      <c r="G131" s="8" t="s">
        <v>22</v>
      </c>
      <c r="H131" s="13" t="s">
        <v>59</v>
      </c>
      <c r="I131" s="642">
        <v>44790</v>
      </c>
      <c r="J131" s="18">
        <v>45107</v>
      </c>
      <c r="K131" s="97">
        <v>45064</v>
      </c>
      <c r="L131" s="16">
        <f>IF(ISTEXT(Table157[[#This Row],[Engineering Approved Design Date]]),Table157[[#This Row],[Date Completed]]-Table157[[#This Row],[Date Assigned to Designer]],Table157[[#This Row],[Engineering Approved Design Date]]-Table157[[#This Row],[Date Completed]])</f>
        <v>43</v>
      </c>
      <c r="M131" s="642"/>
      <c r="N131" s="642" t="s">
        <v>120</v>
      </c>
      <c r="O131" s="510">
        <v>45078</v>
      </c>
      <c r="P131" s="221" t="s">
        <v>120</v>
      </c>
      <c r="Q131" s="74">
        <f>Table157[[#This Row],[Rate]]*Table157[[#This Row],[Construction Cost to Bill From]]</f>
        <v>61998.634799999993</v>
      </c>
      <c r="R131" s="75">
        <v>0.09</v>
      </c>
      <c r="U131" s="87"/>
      <c r="V131" s="437">
        <v>2082</v>
      </c>
      <c r="W131" s="437">
        <v>0</v>
      </c>
      <c r="X131" s="94">
        <v>581681.93999999994</v>
      </c>
      <c r="Y131" s="592"/>
      <c r="Z131" s="552">
        <v>107191.78</v>
      </c>
      <c r="AA131" s="300">
        <f>SUM(Table157[[#This Row],[PCTS Investment Amount]:[PCTS Retirement Amount]])</f>
        <v>688873.72</v>
      </c>
      <c r="AB131" s="207">
        <v>45091</v>
      </c>
      <c r="AC131" s="108" t="s">
        <v>1441</v>
      </c>
      <c r="AD131" s="108" t="s">
        <v>29</v>
      </c>
      <c r="AE131" s="349"/>
      <c r="AF131" s="579"/>
      <c r="AG131" s="579"/>
      <c r="AH131" s="354"/>
      <c r="AI131" s="341"/>
      <c r="AJ131" s="183"/>
      <c r="AK131" s="183"/>
      <c r="AL131" s="494">
        <f>SUM(Table157[[#This Row],[Nicor Initiated DBE]:[Staffing]])/(Table157[[#This Row],[Amount Invoiced]])</f>
        <v>0</v>
      </c>
      <c r="AM131" s="21" t="s">
        <v>116</v>
      </c>
      <c r="AN131" s="680" t="s">
        <v>709</v>
      </c>
      <c r="AO131" s="681">
        <v>11033946</v>
      </c>
      <c r="AP131" s="572"/>
      <c r="AQ131" s="572"/>
      <c r="AR131" s="572"/>
      <c r="AS131" s="538">
        <f>IF(Table157[[#This Row],[PCTS Approved]]="N",0,Table157[[#This Row],[Investment Amount (1'#'#'#'#'#)]]+Table157[[#This Row],[Retirement Amount (3'#'#'#'#'#)]])</f>
        <v>0</v>
      </c>
      <c r="AT131" s="538">
        <f>IF(Table157[[#This Row],[Approved Construction Cost]]=0,0,Table157[[#This Row],[Approved Construction Cost]]-Table157[[#This Row],[Construction Cost to Bill From]])</f>
        <v>0</v>
      </c>
      <c r="AU131" s="538">
        <f>IFERROR(Table157[[#This Row],[Difference in Construction Cost]]*Table157[[#This Row],[Rate]],Table157[[#This Row],[Difference in Construction Cost]]*0.085)</f>
        <v>0</v>
      </c>
      <c r="AV131" s="572"/>
      <c r="AW131" s="639"/>
      <c r="AX131" s="538"/>
      <c r="AY131" s="636" t="s">
        <v>709</v>
      </c>
      <c r="AZ131" s="443">
        <v>44</v>
      </c>
      <c r="BA131" s="334" t="s">
        <v>3</v>
      </c>
      <c r="BB131" s="652" t="s">
        <v>1510</v>
      </c>
      <c r="BC131" s="644" t="s">
        <v>1511</v>
      </c>
      <c r="BD131" s="478" t="s">
        <v>709</v>
      </c>
      <c r="BE131" s="544" t="s">
        <v>115</v>
      </c>
      <c r="BF131" s="544" t="s">
        <v>115</v>
      </c>
      <c r="BG131" s="544" t="s">
        <v>1512</v>
      </c>
      <c r="BH131" s="512" t="s">
        <v>115</v>
      </c>
      <c r="BI131" s="645" t="s">
        <v>1513</v>
      </c>
      <c r="BJ131" s="511" t="s">
        <v>709</v>
      </c>
      <c r="BK131" s="546" t="s">
        <v>116</v>
      </c>
      <c r="BL131" s="546" t="s">
        <v>709</v>
      </c>
      <c r="BM131" s="546" t="s">
        <v>709</v>
      </c>
      <c r="BN131" s="546" t="s">
        <v>709</v>
      </c>
      <c r="BO131" s="546" t="s">
        <v>709</v>
      </c>
      <c r="BP131" s="546" t="s">
        <v>709</v>
      </c>
      <c r="BQ131" s="546">
        <v>2082</v>
      </c>
      <c r="BR131" s="546" t="s">
        <v>709</v>
      </c>
      <c r="BS131" s="546" t="s">
        <v>709</v>
      </c>
      <c r="BT131" s="546" t="s">
        <v>709</v>
      </c>
      <c r="BU131" s="546" t="s">
        <v>745</v>
      </c>
      <c r="BV131" s="546" t="s">
        <v>709</v>
      </c>
      <c r="BW131" s="546" t="s">
        <v>745</v>
      </c>
      <c r="BX131" s="546" t="s">
        <v>709</v>
      </c>
      <c r="BY131" s="546" t="s">
        <v>745</v>
      </c>
      <c r="BZ131" s="546" t="s">
        <v>745</v>
      </c>
      <c r="CA131" s="506"/>
    </row>
    <row r="132" spans="1:79" ht="15" hidden="1" customHeight="1" x14ac:dyDescent="0.25">
      <c r="A132" s="8">
        <v>2023</v>
      </c>
      <c r="B132" s="8" t="s">
        <v>771</v>
      </c>
      <c r="C132" s="8" t="s">
        <v>494</v>
      </c>
      <c r="D132" s="656" t="s">
        <v>1514</v>
      </c>
      <c r="E132" s="8" t="s">
        <v>1004</v>
      </c>
      <c r="F132" s="8" t="s">
        <v>1515</v>
      </c>
      <c r="G132" s="8" t="s">
        <v>22</v>
      </c>
      <c r="H132" s="8" t="s">
        <v>59</v>
      </c>
      <c r="I132" s="642">
        <v>44957</v>
      </c>
      <c r="J132" s="18">
        <v>45072</v>
      </c>
      <c r="K132" s="97">
        <v>45072</v>
      </c>
      <c r="L132" s="16">
        <f>IF(ISTEXT(Table157[[#This Row],[Engineering Approved Design Date]]),Table157[[#This Row],[Date Completed]]-Table157[[#This Row],[Date Assigned to Designer]],Table157[[#This Row],[Engineering Approved Design Date]]-Table157[[#This Row],[Date Completed]])</f>
        <v>0</v>
      </c>
      <c r="M132" s="642"/>
      <c r="N132" s="642" t="s">
        <v>120</v>
      </c>
      <c r="O132" s="510">
        <v>45078</v>
      </c>
      <c r="P132" s="221" t="s">
        <v>120</v>
      </c>
      <c r="Q132" s="74">
        <f>Table157[[#This Row],[Rate]]*Table157[[#This Row],[Construction Cost to Bill From]]</f>
        <v>143735.7726</v>
      </c>
      <c r="R132" s="75">
        <v>0.09</v>
      </c>
      <c r="U132" s="87"/>
      <c r="V132" s="437">
        <v>1021</v>
      </c>
      <c r="W132" s="437">
        <v>0</v>
      </c>
      <c r="X132" s="24">
        <v>1139019.48</v>
      </c>
      <c r="Y132" s="592"/>
      <c r="Z132" s="552">
        <v>458044.66</v>
      </c>
      <c r="AA132" s="300">
        <f>SUM(Table157[[#This Row],[PCTS Investment Amount]:[PCTS Retirement Amount]])</f>
        <v>1597064.14</v>
      </c>
      <c r="AB132" s="207">
        <v>45077</v>
      </c>
      <c r="AC132" s="108" t="s">
        <v>1516</v>
      </c>
      <c r="AD132" s="108" t="s">
        <v>29</v>
      </c>
      <c r="AE132" s="349"/>
      <c r="AF132" s="579"/>
      <c r="AG132" s="579"/>
      <c r="AH132" s="354"/>
      <c r="AI132" s="341"/>
      <c r="AJ132" s="183"/>
      <c r="AK132" s="183"/>
      <c r="AL132" s="494">
        <f>SUM(Table157[[#This Row],[Nicor Initiated DBE]:[Staffing]])/(Table157[[#This Row],[Amount Invoiced]])</f>
        <v>0</v>
      </c>
      <c r="AM132" s="21" t="s">
        <v>116</v>
      </c>
      <c r="AN132" s="680" t="s">
        <v>709</v>
      </c>
      <c r="AO132" s="681">
        <v>11057162</v>
      </c>
      <c r="AP132" s="572"/>
      <c r="AQ132" s="572"/>
      <c r="AR132" s="572"/>
      <c r="AS132" s="538">
        <f>IF(Table157[[#This Row],[PCTS Approved]]="N",0,Table157[[#This Row],[Investment Amount (1'#'#'#'#'#)]]+Table157[[#This Row],[Retirement Amount (3'#'#'#'#'#)]])</f>
        <v>0</v>
      </c>
      <c r="AT132" s="538">
        <f>IF(Table157[[#This Row],[Approved Construction Cost]]=0,0,Table157[[#This Row],[Approved Construction Cost]]-Table157[[#This Row],[Construction Cost to Bill From]])</f>
        <v>0</v>
      </c>
      <c r="AU132" s="538">
        <f>IFERROR(Table157[[#This Row],[Difference in Construction Cost]]*Table157[[#This Row],[Rate]],Table157[[#This Row],[Difference in Construction Cost]]*0.085)</f>
        <v>0</v>
      </c>
      <c r="AV132" s="572"/>
      <c r="AW132" s="639"/>
      <c r="AX132" s="538"/>
      <c r="AY132" s="636" t="s">
        <v>709</v>
      </c>
      <c r="AZ132" s="443">
        <v>45</v>
      </c>
      <c r="BA132" s="334" t="s">
        <v>3</v>
      </c>
      <c r="BB132" s="666" t="s">
        <v>1517</v>
      </c>
      <c r="BC132" s="644" t="s">
        <v>1518</v>
      </c>
      <c r="BD132" s="478" t="s">
        <v>116</v>
      </c>
      <c r="BE132" s="544" t="s">
        <v>862</v>
      </c>
      <c r="BF132" s="544" t="s">
        <v>495</v>
      </c>
      <c r="BG132" s="544" t="s">
        <v>709</v>
      </c>
      <c r="BH132" s="512" t="s">
        <v>1519</v>
      </c>
      <c r="BI132" s="645" t="s">
        <v>1520</v>
      </c>
      <c r="BJ132" s="511" t="s">
        <v>709</v>
      </c>
      <c r="BK132" s="546" t="s">
        <v>709</v>
      </c>
      <c r="BL132" s="546" t="s">
        <v>116</v>
      </c>
      <c r="BM132" s="546" t="s">
        <v>709</v>
      </c>
      <c r="BN132" s="546">
        <v>1016</v>
      </c>
      <c r="BO132" s="546">
        <v>5</v>
      </c>
      <c r="BP132" s="546" t="s">
        <v>709</v>
      </c>
      <c r="BQ132" s="546" t="s">
        <v>709</v>
      </c>
      <c r="BR132" s="546" t="s">
        <v>709</v>
      </c>
      <c r="BS132" s="546" t="s">
        <v>709</v>
      </c>
      <c r="BT132" s="546" t="s">
        <v>709</v>
      </c>
      <c r="BU132" s="546" t="s">
        <v>709</v>
      </c>
      <c r="BV132" s="546" t="s">
        <v>709</v>
      </c>
      <c r="BW132" s="546" t="s">
        <v>709</v>
      </c>
      <c r="BX132" s="546" t="s">
        <v>709</v>
      </c>
      <c r="BY132" s="546" t="s">
        <v>709</v>
      </c>
      <c r="BZ132" s="546" t="s">
        <v>709</v>
      </c>
      <c r="CA132" s="506"/>
    </row>
    <row r="133" spans="1:79" ht="15" hidden="1" customHeight="1" x14ac:dyDescent="0.25">
      <c r="A133" s="8" t="s">
        <v>800</v>
      </c>
      <c r="B133" s="8" t="s">
        <v>759</v>
      </c>
      <c r="C133" s="8" t="s">
        <v>525</v>
      </c>
      <c r="D133" s="8" t="s">
        <v>1521</v>
      </c>
      <c r="E133" s="8" t="s">
        <v>1522</v>
      </c>
      <c r="F133" s="8" t="s">
        <v>752</v>
      </c>
      <c r="G133" s="8" t="s">
        <v>37</v>
      </c>
      <c r="H133" s="13" t="s">
        <v>59</v>
      </c>
      <c r="I133" s="642">
        <v>44979</v>
      </c>
      <c r="J133" s="18">
        <v>45079</v>
      </c>
      <c r="K133" s="175">
        <v>45079</v>
      </c>
      <c r="L133" s="16">
        <f>IF(ISTEXT(Table157[[#This Row],[Engineering Approved Design Date]]),Table157[[#This Row],[Date Completed]]-Table157[[#This Row],[Date Assigned to Designer]],Table157[[#This Row],[Engineering Approved Design Date]]-Table157[[#This Row],[Date Completed]])</f>
        <v>0</v>
      </c>
      <c r="M133" s="642"/>
      <c r="N133" s="642" t="s">
        <v>120</v>
      </c>
      <c r="O133" s="510">
        <f>Table157[[#This Row],[Date Completed]]</f>
        <v>45079</v>
      </c>
      <c r="P133" s="221" t="s">
        <v>120</v>
      </c>
      <c r="Q133" s="74">
        <f>Table157[[#This Row],[Rate]]*Table157[[#This Row],[Construction Cost to Bill From]]</f>
        <v>66982.895100000009</v>
      </c>
      <c r="R133" s="75">
        <v>0.11</v>
      </c>
      <c r="U133" s="87"/>
      <c r="V133" s="437">
        <v>267</v>
      </c>
      <c r="W133" s="437">
        <v>1</v>
      </c>
      <c r="X133" s="94">
        <v>517133.74</v>
      </c>
      <c r="Y133" s="592"/>
      <c r="Z133" s="552">
        <v>91801.67</v>
      </c>
      <c r="AA133" s="300">
        <f>Table157[[#This Row],[PCTS Investment Amount]]+Table157[[#This Row],[PCTS Retirement Amount]]</f>
        <v>608935.41</v>
      </c>
      <c r="AB133" s="207">
        <v>45091</v>
      </c>
      <c r="AC133" s="108" t="s">
        <v>1523</v>
      </c>
      <c r="AD133" s="108" t="s">
        <v>29</v>
      </c>
      <c r="AE133" s="349"/>
      <c r="AF133" s="579"/>
      <c r="AG133" s="579"/>
      <c r="AH133" s="354"/>
      <c r="AI133" s="341"/>
      <c r="AJ133" s="183"/>
      <c r="AK133" s="183"/>
      <c r="AL133" s="494">
        <f>SUM(Table157[[#This Row],[Nicor Initiated DBE]:[Staffing]])/(Table157[[#This Row],[Amount Invoiced]])</f>
        <v>0</v>
      </c>
      <c r="AM133" s="21" t="s">
        <v>116</v>
      </c>
      <c r="AN133" s="680" t="s">
        <v>709</v>
      </c>
      <c r="AO133" s="601" t="s">
        <v>115</v>
      </c>
      <c r="AP133" s="572"/>
      <c r="AQ133" s="572"/>
      <c r="AR133" s="572"/>
      <c r="AS133" s="538">
        <f>IF(Table157[[#This Row],[PCTS Approved]]="N",0,Table157[[#This Row],[Investment Amount (1'#'#'#'#'#)]]+Table157[[#This Row],[Retirement Amount (3'#'#'#'#'#)]])</f>
        <v>0</v>
      </c>
      <c r="AT133" s="538">
        <f>IF(Table157[[#This Row],[Approved Construction Cost]]=0,0,Table157[[#This Row],[Approved Construction Cost]]-Table157[[#This Row],[Construction Cost to Bill From]])</f>
        <v>0</v>
      </c>
      <c r="AU133" s="538">
        <f>IFERROR(Table157[[#This Row],[Difference in Construction Cost]]*Table157[[#This Row],[Rate]],Table157[[#This Row],[Difference in Construction Cost]]*0.085)</f>
        <v>0</v>
      </c>
      <c r="AV133" s="572"/>
      <c r="AW133" s="639"/>
      <c r="AX133" s="538"/>
      <c r="AY133" s="636" t="s">
        <v>709</v>
      </c>
      <c r="AZ133" s="443">
        <v>154</v>
      </c>
      <c r="BA133" s="334" t="s">
        <v>2</v>
      </c>
      <c r="BB133" s="652" t="s">
        <v>1524</v>
      </c>
      <c r="BC133" s="644" t="s">
        <v>1525</v>
      </c>
      <c r="BD133" s="478" t="s">
        <v>115</v>
      </c>
      <c r="BE133" s="544" t="s">
        <v>115</v>
      </c>
      <c r="BF133" s="544" t="s">
        <v>115</v>
      </c>
      <c r="BG133" s="544" t="s">
        <v>526</v>
      </c>
      <c r="BH133" s="512" t="s">
        <v>115</v>
      </c>
      <c r="BI133" s="645" t="s">
        <v>1526</v>
      </c>
      <c r="BJ133" s="511" t="s">
        <v>709</v>
      </c>
      <c r="BK133" s="546" t="s">
        <v>709</v>
      </c>
      <c r="BL133" s="546" t="s">
        <v>116</v>
      </c>
      <c r="BM133" s="546" t="s">
        <v>116</v>
      </c>
      <c r="BN133" s="546" t="s">
        <v>709</v>
      </c>
      <c r="BO133" s="546" t="s">
        <v>709</v>
      </c>
      <c r="BP133" s="546" t="s">
        <v>709</v>
      </c>
      <c r="BQ133" s="546">
        <v>128</v>
      </c>
      <c r="BR133" s="546" t="s">
        <v>709</v>
      </c>
      <c r="BS133" s="546">
        <v>9</v>
      </c>
      <c r="BT133" s="546" t="s">
        <v>709</v>
      </c>
      <c r="BU133" s="546" t="s">
        <v>709</v>
      </c>
      <c r="BV133" s="546" t="s">
        <v>709</v>
      </c>
      <c r="BW133" s="546" t="s">
        <v>709</v>
      </c>
      <c r="BX133" s="546">
        <v>1</v>
      </c>
      <c r="BY133" s="546" t="s">
        <v>745</v>
      </c>
      <c r="BZ133" s="546" t="s">
        <v>709</v>
      </c>
      <c r="CA133" s="506" t="s">
        <v>1022</v>
      </c>
    </row>
    <row r="134" spans="1:79" ht="15" hidden="1" customHeight="1" x14ac:dyDescent="0.25">
      <c r="A134" s="8">
        <v>2023</v>
      </c>
      <c r="B134" s="8" t="s">
        <v>771</v>
      </c>
      <c r="C134" s="8" t="s">
        <v>1527</v>
      </c>
      <c r="D134" s="656" t="s">
        <v>1528</v>
      </c>
      <c r="E134" s="8" t="s">
        <v>1529</v>
      </c>
      <c r="F134" s="8" t="s">
        <v>784</v>
      </c>
      <c r="G134" s="8" t="s">
        <v>32</v>
      </c>
      <c r="H134" s="8" t="s">
        <v>59</v>
      </c>
      <c r="I134" s="642">
        <v>45006</v>
      </c>
      <c r="J134" s="18">
        <v>45098</v>
      </c>
      <c r="K134" s="97">
        <v>45085</v>
      </c>
      <c r="L134" s="16">
        <f>IF(ISTEXT(Table157[[#This Row],[Engineering Approved Design Date]]),Table157[[#This Row],[Date Completed]]-Table157[[#This Row],[Date Assigned to Designer]],Table157[[#This Row],[Engineering Approved Design Date]]-Table157[[#This Row],[Date Completed]])</f>
        <v>13</v>
      </c>
      <c r="M134" s="642"/>
      <c r="N134" s="642" t="s">
        <v>120</v>
      </c>
      <c r="O134" s="510">
        <f>Table157[[#This Row],[Date Completed]]</f>
        <v>45085</v>
      </c>
      <c r="P134" s="221" t="s">
        <v>120</v>
      </c>
      <c r="Q134" s="74">
        <f>Table157[[#This Row],[Rate]]*Table157[[#This Row],[Construction Cost to Bill From]]</f>
        <v>44915.480100000001</v>
      </c>
      <c r="R134" s="75">
        <v>0.09</v>
      </c>
      <c r="U134" s="87"/>
      <c r="V134" s="437">
        <v>1694</v>
      </c>
      <c r="W134" s="437">
        <v>0</v>
      </c>
      <c r="X134" s="24">
        <v>456922.55</v>
      </c>
      <c r="Y134" s="592"/>
      <c r="Z134" s="552">
        <v>42138.34</v>
      </c>
      <c r="AA134" s="300">
        <f>SUM(Table157[[#This Row],[PCTS Investment Amount]:[PCTS Retirement Amount]])</f>
        <v>499060.89</v>
      </c>
      <c r="AB134" s="207">
        <v>45086</v>
      </c>
      <c r="AC134" s="108" t="s">
        <v>29</v>
      </c>
      <c r="AD134" s="108" t="s">
        <v>116</v>
      </c>
      <c r="AE134" s="349"/>
      <c r="AF134" s="568" t="s">
        <v>116</v>
      </c>
      <c r="AG134" s="568" t="s">
        <v>116</v>
      </c>
      <c r="AH134" s="354"/>
      <c r="AI134" s="341"/>
      <c r="AJ134" s="183"/>
      <c r="AK134" s="183"/>
      <c r="AL134" s="494">
        <f>SUM(Table157[[#This Row],[Nicor Initiated DBE]:[Staffing]])/(Table157[[#This Row],[Amount Invoiced]])</f>
        <v>0</v>
      </c>
      <c r="AM134" s="21" t="s">
        <v>116</v>
      </c>
      <c r="AN134" s="680" t="s">
        <v>709</v>
      </c>
      <c r="AO134" s="601" t="s">
        <v>115</v>
      </c>
      <c r="AP134" s="572"/>
      <c r="AQ134" s="572"/>
      <c r="AR134" s="572"/>
      <c r="AS134" s="538">
        <f>IF(Table157[[#This Row],[PCTS Approved]]="N",0,Table157[[#This Row],[Investment Amount (1'#'#'#'#'#)]]+Table157[[#This Row],[Retirement Amount (3'#'#'#'#'#)]])</f>
        <v>0</v>
      </c>
      <c r="AT134" s="538">
        <f>IF(Table157[[#This Row],[Approved Construction Cost]]=0,0,Table157[[#This Row],[Approved Construction Cost]]-Table157[[#This Row],[Construction Cost to Bill From]])</f>
        <v>0</v>
      </c>
      <c r="AU134" s="538">
        <f>IFERROR(Table157[[#This Row],[Difference in Construction Cost]]*Table157[[#This Row],[Rate]],Table157[[#This Row],[Difference in Construction Cost]]*0.085)</f>
        <v>0</v>
      </c>
      <c r="AV134" s="572"/>
      <c r="AW134" s="639"/>
      <c r="AX134" s="538"/>
      <c r="AY134" s="636" t="s">
        <v>709</v>
      </c>
      <c r="AZ134" s="443">
        <v>46</v>
      </c>
      <c r="BA134" s="334" t="s">
        <v>3</v>
      </c>
      <c r="BB134" s="652" t="s">
        <v>1530</v>
      </c>
      <c r="BC134" s="644" t="s">
        <v>1531</v>
      </c>
      <c r="BD134" s="478" t="s">
        <v>709</v>
      </c>
      <c r="BE134" s="544" t="s">
        <v>882</v>
      </c>
      <c r="BF134" s="544" t="s">
        <v>581</v>
      </c>
      <c r="BG134" s="544" t="s">
        <v>115</v>
      </c>
      <c r="BH134" s="512" t="s">
        <v>115</v>
      </c>
      <c r="BI134" s="645" t="s">
        <v>1532</v>
      </c>
      <c r="BJ134" s="511" t="s">
        <v>709</v>
      </c>
      <c r="BK134" s="546" t="s">
        <v>709</v>
      </c>
      <c r="BL134" s="546" t="s">
        <v>709</v>
      </c>
      <c r="BM134" s="546" t="s">
        <v>116</v>
      </c>
      <c r="BN134" s="546" t="s">
        <v>709</v>
      </c>
      <c r="BO134" s="546" t="s">
        <v>709</v>
      </c>
      <c r="BP134" s="546" t="s">
        <v>709</v>
      </c>
      <c r="BQ134" s="546" t="s">
        <v>709</v>
      </c>
      <c r="BR134" s="546" t="s">
        <v>709</v>
      </c>
      <c r="BS134" s="546" t="s">
        <v>709</v>
      </c>
      <c r="BT134" s="546">
        <v>1694</v>
      </c>
      <c r="BU134" s="546" t="s">
        <v>745</v>
      </c>
      <c r="BV134" s="546" t="s">
        <v>709</v>
      </c>
      <c r="BW134" s="546" t="s">
        <v>745</v>
      </c>
      <c r="BX134" s="546" t="s">
        <v>709</v>
      </c>
      <c r="BY134" s="546" t="s">
        <v>745</v>
      </c>
      <c r="BZ134" s="546" t="s">
        <v>745</v>
      </c>
      <c r="CA134" s="506"/>
    </row>
    <row r="135" spans="1:79" ht="15" hidden="1" customHeight="1" x14ac:dyDescent="0.25">
      <c r="A135" s="8" t="s">
        <v>749</v>
      </c>
      <c r="B135" s="8" t="s">
        <v>730</v>
      </c>
      <c r="C135" s="8" t="s">
        <v>1533</v>
      </c>
      <c r="D135" s="8" t="s">
        <v>1534</v>
      </c>
      <c r="E135" s="8" t="s">
        <v>1535</v>
      </c>
      <c r="F135" s="8" t="s">
        <v>752</v>
      </c>
      <c r="G135" s="8" t="s">
        <v>36</v>
      </c>
      <c r="H135" s="8" t="s">
        <v>59</v>
      </c>
      <c r="I135" s="642">
        <v>44980</v>
      </c>
      <c r="J135" s="18">
        <v>45107</v>
      </c>
      <c r="K135" s="175">
        <v>45104</v>
      </c>
      <c r="L135" s="16">
        <f>IF(ISTEXT(Table157[[#This Row],[Engineering Approved Design Date]]),Table157[[#This Row],[Date Completed]]-Table157[[#This Row],[Date Assigned to Designer]],Table157[[#This Row],[Engineering Approved Design Date]]-Table157[[#This Row],[Date Completed]])</f>
        <v>3</v>
      </c>
      <c r="M135" s="642"/>
      <c r="N135" s="642" t="s">
        <v>120</v>
      </c>
      <c r="O135" s="510">
        <v>45108</v>
      </c>
      <c r="P135" s="221" t="s">
        <v>120</v>
      </c>
      <c r="Q135" s="74">
        <f>Table157[[#This Row],[Rate]]*Table157[[#This Row],[Construction Cost to Bill From]]</f>
        <v>62040.957299999995</v>
      </c>
      <c r="R135" s="75">
        <v>0.09</v>
      </c>
      <c r="U135" s="87"/>
      <c r="V135" s="437">
        <v>1876</v>
      </c>
      <c r="W135" s="437">
        <v>2</v>
      </c>
      <c r="X135" s="24">
        <v>595893.63</v>
      </c>
      <c r="Y135" s="592">
        <v>45049</v>
      </c>
      <c r="Z135" s="552">
        <v>93450.34</v>
      </c>
      <c r="AA135" s="300">
        <f>Table157[[#This Row],[PCTS Investment Amount]]+Table157[[#This Row],[PCTS Retirement Amount]]</f>
        <v>689343.97</v>
      </c>
      <c r="AB135" s="207">
        <v>45083</v>
      </c>
      <c r="AC135" s="108" t="s">
        <v>29</v>
      </c>
      <c r="AD135" s="108" t="s">
        <v>29</v>
      </c>
      <c r="AE135" s="345"/>
      <c r="AF135" s="575"/>
      <c r="AG135" s="575"/>
      <c r="AH135" s="357"/>
      <c r="AI135" s="341"/>
      <c r="AJ135" s="183"/>
      <c r="AK135" s="183"/>
      <c r="AL135" s="494">
        <f>SUM(Table157[[#This Row],[Nicor Initiated DBE]:[Staffing]])/(Table157[[#This Row],[Amount Invoiced]])</f>
        <v>0</v>
      </c>
      <c r="AM135" s="21" t="s">
        <v>116</v>
      </c>
      <c r="AN135" s="634" t="s">
        <v>709</v>
      </c>
      <c r="AO135" s="601">
        <v>11059557</v>
      </c>
      <c r="AP135" s="572"/>
      <c r="AQ135" s="572"/>
      <c r="AR135" s="572"/>
      <c r="AS135" s="538">
        <f>IF(Table157[[#This Row],[PCTS Approved]]="N",0,Table157[[#This Row],[Investment Amount (1'#'#'#'#'#)]]+Table157[[#This Row],[Retirement Amount (3'#'#'#'#'#)]])</f>
        <v>0</v>
      </c>
      <c r="AT135" s="538">
        <f>IF(Table157[[#This Row],[Approved Construction Cost]]=0,0,Table157[[#This Row],[Approved Construction Cost]]-Table157[[#This Row],[Construction Cost to Bill From]])</f>
        <v>0</v>
      </c>
      <c r="AU135" s="538">
        <f>IFERROR(Table157[[#This Row],[Difference in Construction Cost]]*Table157[[#This Row],[Rate]],Table157[[#This Row],[Difference in Construction Cost]]*0.085)</f>
        <v>0</v>
      </c>
      <c r="AV135" s="572"/>
      <c r="AW135" s="639"/>
      <c r="AX135" s="538"/>
      <c r="AY135" s="636" t="s">
        <v>709</v>
      </c>
      <c r="AZ135" s="443">
        <v>47</v>
      </c>
      <c r="BA135" s="334" t="s">
        <v>2</v>
      </c>
      <c r="BB135" s="652" t="s">
        <v>1536</v>
      </c>
      <c r="BC135" s="644" t="s">
        <v>1537</v>
      </c>
      <c r="BD135" s="478"/>
      <c r="BE135" s="544"/>
      <c r="BF135" s="544" t="s">
        <v>1538</v>
      </c>
      <c r="BG135" s="544" t="s">
        <v>115</v>
      </c>
      <c r="BH135" s="512" t="s">
        <v>115</v>
      </c>
      <c r="BI135" s="645" t="s">
        <v>1539</v>
      </c>
      <c r="BJ135" s="511" t="s">
        <v>709</v>
      </c>
      <c r="BK135" s="546" t="s">
        <v>709</v>
      </c>
      <c r="BL135" s="546" t="s">
        <v>709</v>
      </c>
      <c r="BM135" s="546" t="s">
        <v>116</v>
      </c>
      <c r="BN135" s="546" t="s">
        <v>709</v>
      </c>
      <c r="BO135" s="546" t="s">
        <v>709</v>
      </c>
      <c r="BP135" s="546" t="s">
        <v>709</v>
      </c>
      <c r="BQ135" s="546" t="s">
        <v>709</v>
      </c>
      <c r="BR135" s="546" t="s">
        <v>709</v>
      </c>
      <c r="BS135" s="546">
        <v>1287</v>
      </c>
      <c r="BT135" s="546">
        <v>589</v>
      </c>
      <c r="BU135" s="546" t="s">
        <v>709</v>
      </c>
      <c r="BV135" s="546" t="s">
        <v>709</v>
      </c>
      <c r="BW135" s="546" t="s">
        <v>709</v>
      </c>
      <c r="BX135" s="546" t="s">
        <v>709</v>
      </c>
      <c r="BY135" s="546" t="s">
        <v>745</v>
      </c>
      <c r="BZ135" s="546" t="s">
        <v>709</v>
      </c>
      <c r="CA135" s="506"/>
    </row>
    <row r="136" spans="1:79" ht="15" hidden="1" customHeight="1" x14ac:dyDescent="0.25">
      <c r="A136" s="8">
        <v>2023</v>
      </c>
      <c r="B136" s="8" t="s">
        <v>1073</v>
      </c>
      <c r="C136" s="8" t="s">
        <v>544</v>
      </c>
      <c r="D136" s="656" t="s">
        <v>1540</v>
      </c>
      <c r="E136" s="8" t="s">
        <v>1492</v>
      </c>
      <c r="F136" s="8" t="s">
        <v>784</v>
      </c>
      <c r="G136" s="8" t="s">
        <v>31</v>
      </c>
      <c r="H136" s="13" t="s">
        <v>59</v>
      </c>
      <c r="I136" s="642">
        <v>44978</v>
      </c>
      <c r="J136" s="18">
        <v>45106</v>
      </c>
      <c r="K136" s="97">
        <v>45106</v>
      </c>
      <c r="L136" s="16">
        <f>IF(ISTEXT(Table157[[#This Row],[Engineering Approved Design Date]]),Table157[[#This Row],[Date Completed]]-Table157[[#This Row],[Date Assigned to Designer]],Table157[[#This Row],[Engineering Approved Design Date]]-Table157[[#This Row],[Date Completed]])</f>
        <v>0</v>
      </c>
      <c r="M136" s="642"/>
      <c r="N136" s="642" t="s">
        <v>120</v>
      </c>
      <c r="O136" s="510">
        <v>45108</v>
      </c>
      <c r="P136" s="221" t="s">
        <v>739</v>
      </c>
      <c r="Q136" s="74">
        <f>Table157[[#This Row],[Rate]]*Table157[[#This Row],[Construction Cost to Bill From]]</f>
        <v>217618.17120000001</v>
      </c>
      <c r="R136" s="75">
        <v>0.08</v>
      </c>
      <c r="U136" s="87"/>
      <c r="V136" s="437">
        <v>7379</v>
      </c>
      <c r="W136" s="437">
        <v>1</v>
      </c>
      <c r="X136" s="94">
        <v>2642675.2400000002</v>
      </c>
      <c r="Y136" s="592"/>
      <c r="Z136" s="552">
        <v>77551.899999999994</v>
      </c>
      <c r="AA136" s="300">
        <f>SUM(Table157[[#This Row],[PCTS Investment Amount]:[PCTS Retirement Amount]])</f>
        <v>2720227.14</v>
      </c>
      <c r="AB136" s="207">
        <v>45107</v>
      </c>
      <c r="AC136" s="108" t="s">
        <v>116</v>
      </c>
      <c r="AD136" s="108" t="s">
        <v>29</v>
      </c>
      <c r="AE136" s="187" t="s">
        <v>756</v>
      </c>
      <c r="AF136" s="568" t="s">
        <v>29</v>
      </c>
      <c r="AG136" s="568" t="s">
        <v>116</v>
      </c>
      <c r="AH136" s="356" t="s">
        <v>29</v>
      </c>
      <c r="AI136" s="341"/>
      <c r="AJ136" s="183"/>
      <c r="AK136" s="183"/>
      <c r="AL136" s="494">
        <f>SUM(Table157[[#This Row],[Nicor Initiated DBE]:[Staffing]])/(Table157[[#This Row],[Amount Invoiced]])</f>
        <v>0</v>
      </c>
      <c r="AM136" s="21" t="s">
        <v>116</v>
      </c>
      <c r="AN136" s="680" t="s">
        <v>709</v>
      </c>
      <c r="AO136" s="681">
        <v>11060045</v>
      </c>
      <c r="AP136" s="682"/>
      <c r="AQ136" s="682"/>
      <c r="AR136" s="682"/>
      <c r="AS136" s="538">
        <f>IF(Table157[[#This Row],[PCTS Approved]]="N",0,Table157[[#This Row],[Investment Amount (1'#'#'#'#'#)]]+Table157[[#This Row],[Retirement Amount (3'#'#'#'#'#)]])</f>
        <v>0</v>
      </c>
      <c r="AT136" s="538">
        <f>IF(Table157[[#This Row],[Approved Construction Cost]]=0,0,Table157[[#This Row],[Approved Construction Cost]]-Table157[[#This Row],[Construction Cost to Bill From]])</f>
        <v>0</v>
      </c>
      <c r="AU136" s="538">
        <f>IFERROR(Table157[[#This Row],[Difference in Construction Cost]]*Table157[[#This Row],[Rate]],Table157[[#This Row],[Difference in Construction Cost]]*0.085)</f>
        <v>0</v>
      </c>
      <c r="AV136" s="682"/>
      <c r="AW136" s="686"/>
      <c r="AX136" s="538"/>
      <c r="AY136" s="636" t="s">
        <v>709</v>
      </c>
      <c r="AZ136" s="443">
        <v>15</v>
      </c>
      <c r="BA136" s="334" t="s">
        <v>3</v>
      </c>
      <c r="BB136" s="652" t="s">
        <v>1541</v>
      </c>
      <c r="BC136" s="644" t="s">
        <v>1542</v>
      </c>
      <c r="BD136" s="478" t="s">
        <v>116</v>
      </c>
      <c r="BE136" s="544" t="s">
        <v>115</v>
      </c>
      <c r="BF136" s="544" t="s">
        <v>545</v>
      </c>
      <c r="BG136" s="544" t="s">
        <v>115</v>
      </c>
      <c r="BH136" s="512" t="s">
        <v>1543</v>
      </c>
      <c r="BI136" s="645" t="s">
        <v>1544</v>
      </c>
      <c r="BJ136" s="625" t="s">
        <v>116</v>
      </c>
      <c r="BK136" s="623" t="s">
        <v>709</v>
      </c>
      <c r="BL136" s="623" t="s">
        <v>709</v>
      </c>
      <c r="BM136" s="623" t="s">
        <v>116</v>
      </c>
      <c r="BN136" s="623" t="s">
        <v>709</v>
      </c>
      <c r="BO136" s="623" t="s">
        <v>709</v>
      </c>
      <c r="BP136" s="623" t="s">
        <v>709</v>
      </c>
      <c r="BQ136" s="623">
        <v>4800</v>
      </c>
      <c r="BR136" s="623">
        <v>2447</v>
      </c>
      <c r="BS136" s="623">
        <v>45</v>
      </c>
      <c r="BT136" s="623">
        <v>5</v>
      </c>
      <c r="BU136" s="623">
        <v>1</v>
      </c>
      <c r="BV136" s="623" t="s">
        <v>709</v>
      </c>
      <c r="BW136" s="623" t="s">
        <v>709</v>
      </c>
      <c r="BX136" s="623" t="s">
        <v>709</v>
      </c>
      <c r="BY136" s="623">
        <v>1</v>
      </c>
      <c r="BZ136" s="623" t="s">
        <v>709</v>
      </c>
      <c r="CA136" s="506"/>
    </row>
    <row r="137" spans="1:79" ht="15" hidden="1" customHeight="1" x14ac:dyDescent="0.25">
      <c r="A137" s="8" t="s">
        <v>800</v>
      </c>
      <c r="B137" s="8" t="s">
        <v>771</v>
      </c>
      <c r="C137" s="8" t="s">
        <v>1545</v>
      </c>
      <c r="D137" s="656" t="s">
        <v>1546</v>
      </c>
      <c r="E137" s="8" t="s">
        <v>1200</v>
      </c>
      <c r="F137" s="8" t="s">
        <v>784</v>
      </c>
      <c r="G137" s="8" t="s">
        <v>37</v>
      </c>
      <c r="H137" s="13" t="s">
        <v>59</v>
      </c>
      <c r="I137" s="642">
        <v>44838</v>
      </c>
      <c r="J137" s="18">
        <v>45119</v>
      </c>
      <c r="K137" s="97">
        <v>45118</v>
      </c>
      <c r="L137" s="649">
        <f>IF(ISTEXT(Table157[[#This Row],[Engineering Approved Design Date]]),Table157[[#This Row],[Date Completed]]-Table157[[#This Row],[Date Assigned to Designer]],Table157[[#This Row],[Engineering Approved Design Date]]-Table157[[#This Row],[Date Completed]])</f>
        <v>1</v>
      </c>
      <c r="M137" s="642"/>
      <c r="N137" s="642" t="s">
        <v>120</v>
      </c>
      <c r="O137" s="510">
        <v>45108</v>
      </c>
      <c r="P137" s="221" t="s">
        <v>120</v>
      </c>
      <c r="Q137" s="343">
        <f>Table157[[#This Row],[Rate]]*Table157[[#This Row],[Construction Cost to Bill From]]</f>
        <v>247260.61259999999</v>
      </c>
      <c r="R137" s="75">
        <v>0.06</v>
      </c>
      <c r="U137" s="87"/>
      <c r="V137" s="437">
        <v>5676</v>
      </c>
      <c r="W137" s="443">
        <v>0</v>
      </c>
      <c r="X137" s="94">
        <v>4068856.64</v>
      </c>
      <c r="Y137" s="592"/>
      <c r="Z137" s="552">
        <v>52153.57</v>
      </c>
      <c r="AA137" s="300">
        <f>SUM(Table157[[#This Row],[PCTS Investment Amount]]+Table157[[#This Row],[PCTS Retirement Amount]])</f>
        <v>4121010.21</v>
      </c>
      <c r="AB137" s="207">
        <v>45131</v>
      </c>
      <c r="AC137" s="109" t="s">
        <v>116</v>
      </c>
      <c r="AD137" s="108" t="s">
        <v>116</v>
      </c>
      <c r="AE137" s="187" t="s">
        <v>116</v>
      </c>
      <c r="AF137" s="568" t="s">
        <v>116</v>
      </c>
      <c r="AG137" s="568" t="s">
        <v>116</v>
      </c>
      <c r="AH137" s="356" t="s">
        <v>116</v>
      </c>
      <c r="AI137" s="341"/>
      <c r="AJ137" s="183"/>
      <c r="AK137" s="183"/>
      <c r="AL137" s="494">
        <f>SUM(Table157[[#This Row],[Nicor Initiated DBE]:[Staffing]])/(Table157[[#This Row],[Amount Invoiced]])</f>
        <v>0</v>
      </c>
      <c r="AM137" s="21" t="s">
        <v>116</v>
      </c>
      <c r="AN137" s="680" t="s">
        <v>709</v>
      </c>
      <c r="AO137" s="681">
        <v>11067715</v>
      </c>
      <c r="AP137" s="572"/>
      <c r="AQ137" s="572"/>
      <c r="AR137" s="572"/>
      <c r="AS137" s="538">
        <f>IF(Table157[[#This Row],[PCTS Approved]]="N",0,Table157[[#This Row],[Investment Amount (1'#'#'#'#'#)]]+Table157[[#This Row],[Retirement Amount (3'#'#'#'#'#)]])</f>
        <v>0</v>
      </c>
      <c r="AT137" s="538">
        <f>IF(Table157[[#This Row],[Approved Construction Cost]]=0,0,Table157[[#This Row],[Approved Construction Cost]]-Table157[[#This Row],[Construction Cost to Bill From]])</f>
        <v>0</v>
      </c>
      <c r="AU137" s="538">
        <f>IFERROR(Table157[[#This Row],[Difference in Construction Cost]]*Table157[[#This Row],[Rate]],Table157[[#This Row],[Difference in Construction Cost]]*0.085)</f>
        <v>0</v>
      </c>
      <c r="AV137" s="572"/>
      <c r="AW137" s="639"/>
      <c r="AX137" s="538"/>
      <c r="AY137" s="636" t="s">
        <v>709</v>
      </c>
      <c r="AZ137" s="443">
        <v>7</v>
      </c>
      <c r="BA137" s="334" t="s">
        <v>3</v>
      </c>
      <c r="BB137" s="652" t="s">
        <v>1547</v>
      </c>
      <c r="BC137" s="644" t="s">
        <v>1548</v>
      </c>
      <c r="BD137" s="478" t="s">
        <v>116</v>
      </c>
      <c r="BE137" s="544" t="s">
        <v>115</v>
      </c>
      <c r="BF137" s="544" t="s">
        <v>1549</v>
      </c>
      <c r="BG137" s="544" t="s">
        <v>115</v>
      </c>
      <c r="BH137" s="512" t="s">
        <v>1550</v>
      </c>
      <c r="BI137" s="645" t="s">
        <v>1551</v>
      </c>
      <c r="BJ137" s="511" t="s">
        <v>709</v>
      </c>
      <c r="BK137" s="546" t="s">
        <v>709</v>
      </c>
      <c r="BL137" s="546" t="s">
        <v>709</v>
      </c>
      <c r="BM137" s="546" t="s">
        <v>116</v>
      </c>
      <c r="BN137" s="546" t="s">
        <v>709</v>
      </c>
      <c r="BO137" s="546" t="s">
        <v>709</v>
      </c>
      <c r="BP137" s="546" t="s">
        <v>709</v>
      </c>
      <c r="BQ137" s="546">
        <v>704</v>
      </c>
      <c r="BR137" s="546">
        <v>3943</v>
      </c>
      <c r="BS137" s="546">
        <v>74</v>
      </c>
      <c r="BT137" s="546">
        <v>954</v>
      </c>
      <c r="BU137" s="546" t="s">
        <v>709</v>
      </c>
      <c r="BV137" s="546" t="s">
        <v>709</v>
      </c>
      <c r="BW137" s="546" t="s">
        <v>709</v>
      </c>
      <c r="BX137" s="546" t="s">
        <v>709</v>
      </c>
      <c r="BY137" s="546" t="s">
        <v>745</v>
      </c>
      <c r="BZ137" s="546" t="s">
        <v>709</v>
      </c>
      <c r="CA137" s="506"/>
    </row>
    <row r="138" spans="1:79" ht="15" hidden="1" customHeight="1" x14ac:dyDescent="0.25">
      <c r="A138" s="8" t="s">
        <v>800</v>
      </c>
      <c r="B138" s="8" t="s">
        <v>771</v>
      </c>
      <c r="C138" s="8" t="s">
        <v>1552</v>
      </c>
      <c r="D138" s="656" t="s">
        <v>1553</v>
      </c>
      <c r="E138" s="8" t="s">
        <v>1554</v>
      </c>
      <c r="F138" s="8" t="s">
        <v>784</v>
      </c>
      <c r="G138" s="8" t="s">
        <v>37</v>
      </c>
      <c r="H138" s="13" t="s">
        <v>59</v>
      </c>
      <c r="I138" s="642">
        <v>44838</v>
      </c>
      <c r="J138" s="18">
        <v>45119</v>
      </c>
      <c r="K138" s="97">
        <v>45118</v>
      </c>
      <c r="L138" s="649">
        <f>IF(ISTEXT(Table157[[#This Row],[Engineering Approved Design Date]]),Table157[[#This Row],[Date Completed]]-Table157[[#This Row],[Date Assigned to Designer]],Table157[[#This Row],[Engineering Approved Design Date]]-Table157[[#This Row],[Date Completed]])</f>
        <v>1</v>
      </c>
      <c r="M138" s="642"/>
      <c r="N138" s="642" t="s">
        <v>120</v>
      </c>
      <c r="O138" s="510">
        <v>45108</v>
      </c>
      <c r="P138" s="221" t="s">
        <v>120</v>
      </c>
      <c r="Q138" s="343">
        <f>Table157[[#This Row],[Rate]]*Table157[[#This Row],[Construction Cost to Bill From]]</f>
        <v>200595.49109999998</v>
      </c>
      <c r="R138" s="75">
        <v>0.09</v>
      </c>
      <c r="U138" s="87"/>
      <c r="V138" s="437">
        <v>3200</v>
      </c>
      <c r="W138" s="443">
        <v>0</v>
      </c>
      <c r="X138" s="94">
        <v>2198073.4900000002</v>
      </c>
      <c r="Y138" s="592"/>
      <c r="Z138" s="552">
        <v>30765.3</v>
      </c>
      <c r="AA138" s="300">
        <f>SUM(Table157[[#This Row],[PCTS Investment Amount]]+Table157[[#This Row],[PCTS Retirement Amount]])</f>
        <v>2228838.79</v>
      </c>
      <c r="AB138" s="207">
        <v>45131</v>
      </c>
      <c r="AC138" s="109" t="s">
        <v>116</v>
      </c>
      <c r="AD138" s="108" t="s">
        <v>116</v>
      </c>
      <c r="AE138" s="187" t="s">
        <v>116</v>
      </c>
      <c r="AF138" s="568" t="s">
        <v>116</v>
      </c>
      <c r="AG138" s="568" t="s">
        <v>116</v>
      </c>
      <c r="AH138" s="356" t="s">
        <v>116</v>
      </c>
      <c r="AI138" s="341"/>
      <c r="AJ138" s="183"/>
      <c r="AK138" s="183"/>
      <c r="AL138" s="494">
        <f>SUM(Table157[[#This Row],[Nicor Initiated DBE]:[Staffing]])/(Table157[[#This Row],[Amount Invoiced]])</f>
        <v>0</v>
      </c>
      <c r="AM138" s="21" t="s">
        <v>116</v>
      </c>
      <c r="AN138" s="680" t="s">
        <v>709</v>
      </c>
      <c r="AO138" s="681">
        <v>11050933</v>
      </c>
      <c r="AP138" s="572"/>
      <c r="AQ138" s="572"/>
      <c r="AR138" s="572"/>
      <c r="AS138" s="538">
        <f>IF(Table157[[#This Row],[PCTS Approved]]="N",0,Table157[[#This Row],[Investment Amount (1'#'#'#'#'#)]]+Table157[[#This Row],[Retirement Amount (3'#'#'#'#'#)]])</f>
        <v>0</v>
      </c>
      <c r="AT138" s="538">
        <f>IF(Table157[[#This Row],[Approved Construction Cost]]=0,0,Table157[[#This Row],[Approved Construction Cost]]-Table157[[#This Row],[Construction Cost to Bill From]])</f>
        <v>0</v>
      </c>
      <c r="AU138" s="538">
        <f>IFERROR(Table157[[#This Row],[Difference in Construction Cost]]*Table157[[#This Row],[Rate]],Table157[[#This Row],[Difference in Construction Cost]]*0.085)</f>
        <v>0</v>
      </c>
      <c r="AV138" s="572"/>
      <c r="AW138" s="639"/>
      <c r="AX138" s="538"/>
      <c r="AY138" s="636" t="s">
        <v>709</v>
      </c>
      <c r="AZ138" s="443">
        <v>49</v>
      </c>
      <c r="BA138" s="334" t="s">
        <v>3</v>
      </c>
      <c r="BB138" s="652" t="s">
        <v>1555</v>
      </c>
      <c r="BC138" s="644" t="s">
        <v>1556</v>
      </c>
      <c r="BD138" s="478" t="s">
        <v>116</v>
      </c>
      <c r="BE138" s="544" t="s">
        <v>115</v>
      </c>
      <c r="BF138" s="544" t="s">
        <v>1557</v>
      </c>
      <c r="BG138" s="544" t="s">
        <v>115</v>
      </c>
      <c r="BH138" s="512" t="s">
        <v>1558</v>
      </c>
      <c r="BI138" s="645" t="s">
        <v>1559</v>
      </c>
      <c r="BJ138" s="511" t="s">
        <v>709</v>
      </c>
      <c r="BK138" s="546" t="s">
        <v>709</v>
      </c>
      <c r="BL138" s="546" t="s">
        <v>709</v>
      </c>
      <c r="BM138" s="546" t="s">
        <v>116</v>
      </c>
      <c r="BN138" s="546" t="s">
        <v>709</v>
      </c>
      <c r="BO138" s="546" t="s">
        <v>709</v>
      </c>
      <c r="BP138" s="546" t="s">
        <v>709</v>
      </c>
      <c r="BQ138" s="546">
        <v>1492</v>
      </c>
      <c r="BR138" s="546">
        <v>1374</v>
      </c>
      <c r="BS138" s="546">
        <v>44</v>
      </c>
      <c r="BT138" s="546">
        <v>290</v>
      </c>
      <c r="BU138" s="546" t="s">
        <v>709</v>
      </c>
      <c r="BV138" s="546" t="s">
        <v>709</v>
      </c>
      <c r="BW138" s="546" t="s">
        <v>709</v>
      </c>
      <c r="BX138" s="546" t="s">
        <v>709</v>
      </c>
      <c r="BY138" s="546" t="s">
        <v>709</v>
      </c>
      <c r="BZ138" s="546" t="s">
        <v>709</v>
      </c>
      <c r="CA138" s="506"/>
    </row>
    <row r="139" spans="1:79" ht="15" hidden="1" customHeight="1" x14ac:dyDescent="0.25">
      <c r="A139" s="8" t="s">
        <v>800</v>
      </c>
      <c r="B139" s="8" t="s">
        <v>771</v>
      </c>
      <c r="C139" s="8" t="s">
        <v>1560</v>
      </c>
      <c r="D139" s="656" t="s">
        <v>1561</v>
      </c>
      <c r="E139" s="8" t="s">
        <v>1200</v>
      </c>
      <c r="F139" s="8" t="s">
        <v>784</v>
      </c>
      <c r="G139" s="8" t="s">
        <v>22</v>
      </c>
      <c r="H139" s="13" t="s">
        <v>59</v>
      </c>
      <c r="I139" s="642">
        <v>44838</v>
      </c>
      <c r="J139" s="18">
        <v>45119</v>
      </c>
      <c r="K139" s="97">
        <v>45118</v>
      </c>
      <c r="L139" s="649">
        <f>IF(ISTEXT(Table157[[#This Row],[Engineering Approved Design Date]]),Table157[[#This Row],[Date Completed]]-Table157[[#This Row],[Date Assigned to Designer]],Table157[[#This Row],[Engineering Approved Design Date]]-Table157[[#This Row],[Date Completed]])</f>
        <v>1</v>
      </c>
      <c r="M139" s="642"/>
      <c r="N139" s="642" t="s">
        <v>120</v>
      </c>
      <c r="O139" s="510">
        <v>45108</v>
      </c>
      <c r="P139" s="221" t="s">
        <v>120</v>
      </c>
      <c r="Q139" s="343">
        <f>Table157[[#This Row],[Rate]]*Table157[[#This Row],[Construction Cost to Bill From]]</f>
        <v>265496.85680000001</v>
      </c>
      <c r="R139" s="75">
        <v>0.04</v>
      </c>
      <c r="U139" s="87"/>
      <c r="V139" s="442">
        <v>10571</v>
      </c>
      <c r="W139" s="444">
        <v>0</v>
      </c>
      <c r="X139" s="94">
        <v>6496699.1200000001</v>
      </c>
      <c r="Y139" s="592"/>
      <c r="Z139" s="552">
        <v>140722.29999999999</v>
      </c>
      <c r="AA139" s="300">
        <f>SUM(Table157[[#This Row],[PCTS Investment Amount]]+Table157[[#This Row],[PCTS Retirement Amount]])</f>
        <v>6637421.4199999999</v>
      </c>
      <c r="AB139" s="207">
        <v>45131</v>
      </c>
      <c r="AC139" s="329" t="s">
        <v>116</v>
      </c>
      <c r="AD139" s="229" t="s">
        <v>116</v>
      </c>
      <c r="AE139" s="455" t="s">
        <v>116</v>
      </c>
      <c r="AF139" s="576" t="s">
        <v>116</v>
      </c>
      <c r="AG139" s="576" t="s">
        <v>116</v>
      </c>
      <c r="AH139" s="456" t="s">
        <v>116</v>
      </c>
      <c r="AI139" s="476"/>
      <c r="AJ139" s="573"/>
      <c r="AK139" s="573"/>
      <c r="AL139" s="497">
        <f>SUM(Table157[[#This Row],[Nicor Initiated DBE]:[Staffing]])/(Table157[[#This Row],[Amount Invoiced]])</f>
        <v>0</v>
      </c>
      <c r="AM139" s="21" t="s">
        <v>116</v>
      </c>
      <c r="AN139" s="680" t="s">
        <v>709</v>
      </c>
      <c r="AO139" s="681">
        <v>11056658</v>
      </c>
      <c r="AP139" s="572"/>
      <c r="AQ139" s="572"/>
      <c r="AR139" s="572"/>
      <c r="AS139" s="538">
        <f>IF(Table157[[#This Row],[PCTS Approved]]="N",0,Table157[[#This Row],[Investment Amount (1'#'#'#'#'#)]]+Table157[[#This Row],[Retirement Amount (3'#'#'#'#'#)]])</f>
        <v>0</v>
      </c>
      <c r="AT139" s="538">
        <f>IF(Table157[[#This Row],[Approved Construction Cost]]=0,0,Table157[[#This Row],[Approved Construction Cost]]-Table157[[#This Row],[Construction Cost to Bill From]])</f>
        <v>0</v>
      </c>
      <c r="AU139" s="538">
        <f>IFERROR(Table157[[#This Row],[Difference in Construction Cost]]*Table157[[#This Row],[Rate]],Table157[[#This Row],[Difference in Construction Cost]]*0.085)</f>
        <v>0</v>
      </c>
      <c r="AV139" s="572"/>
      <c r="AW139" s="639"/>
      <c r="AX139" s="538"/>
      <c r="AY139" s="636" t="s">
        <v>709</v>
      </c>
      <c r="AZ139" s="443">
        <v>1</v>
      </c>
      <c r="BA139" s="334" t="s">
        <v>3</v>
      </c>
      <c r="BB139" s="652" t="s">
        <v>1562</v>
      </c>
      <c r="BC139" s="644" t="s">
        <v>1563</v>
      </c>
      <c r="BD139" s="478" t="s">
        <v>116</v>
      </c>
      <c r="BE139" s="544" t="s">
        <v>115</v>
      </c>
      <c r="BF139" s="544" t="s">
        <v>1203</v>
      </c>
      <c r="BG139" s="544" t="s">
        <v>115</v>
      </c>
      <c r="BH139" s="512" t="s">
        <v>1564</v>
      </c>
      <c r="BI139" s="645" t="s">
        <v>1565</v>
      </c>
      <c r="BJ139" s="511" t="s">
        <v>709</v>
      </c>
      <c r="BK139" s="546" t="s">
        <v>709</v>
      </c>
      <c r="BL139" s="546" t="s">
        <v>709</v>
      </c>
      <c r="BM139" s="546" t="s">
        <v>116</v>
      </c>
      <c r="BN139" s="546" t="s">
        <v>709</v>
      </c>
      <c r="BO139" s="546" t="s">
        <v>709</v>
      </c>
      <c r="BP139" s="546" t="s">
        <v>709</v>
      </c>
      <c r="BQ139" s="546">
        <v>4375</v>
      </c>
      <c r="BR139" s="546">
        <v>1866</v>
      </c>
      <c r="BS139" s="546" t="s">
        <v>709</v>
      </c>
      <c r="BT139" s="546">
        <v>4330</v>
      </c>
      <c r="BU139" s="546" t="s">
        <v>709</v>
      </c>
      <c r="BV139" s="546" t="s">
        <v>709</v>
      </c>
      <c r="BW139" s="546" t="s">
        <v>709</v>
      </c>
      <c r="BX139" s="546" t="s">
        <v>709</v>
      </c>
      <c r="BY139" s="546" t="s">
        <v>745</v>
      </c>
      <c r="BZ139" s="546" t="s">
        <v>709</v>
      </c>
      <c r="CA139" s="506"/>
    </row>
    <row r="140" spans="1:79" ht="15" hidden="1" customHeight="1" x14ac:dyDescent="0.25">
      <c r="A140" s="13" t="s">
        <v>749</v>
      </c>
      <c r="B140" s="13" t="s">
        <v>759</v>
      </c>
      <c r="C140" s="13" t="s">
        <v>1566</v>
      </c>
      <c r="D140" s="13">
        <v>1010976</v>
      </c>
      <c r="E140" s="13" t="s">
        <v>108</v>
      </c>
      <c r="F140" s="452" t="s">
        <v>752</v>
      </c>
      <c r="G140" s="8" t="s">
        <v>22</v>
      </c>
      <c r="H140" s="13" t="s">
        <v>59</v>
      </c>
      <c r="I140" s="642">
        <v>44582</v>
      </c>
      <c r="J140" s="18">
        <v>45135</v>
      </c>
      <c r="K140" s="642">
        <v>45124</v>
      </c>
      <c r="L140" s="649">
        <f>IF(ISTEXT(Table157[[#This Row],[Engineering Approved Design Date]]),Table157[[#This Row],[Date Completed]]-Table157[[#This Row],[Date Assigned to Designer]],Table157[[#This Row],[Engineering Approved Design Date]]-Table157[[#This Row],[Date Completed]])</f>
        <v>11</v>
      </c>
      <c r="N140" s="642" t="s">
        <v>120</v>
      </c>
      <c r="O140" s="510">
        <v>45139</v>
      </c>
      <c r="P140" s="221" t="s">
        <v>120</v>
      </c>
      <c r="Q140" s="74">
        <f>Table157[[#This Row],[Rate]]*Table157[[#This Row],[Construction Cost to Bill From]]</f>
        <v>217852.57560000001</v>
      </c>
      <c r="R140" s="77">
        <v>0.11</v>
      </c>
      <c r="V140" s="442">
        <v>4735</v>
      </c>
      <c r="W140" s="442">
        <v>1</v>
      </c>
      <c r="X140" s="106">
        <v>1876996.96</v>
      </c>
      <c r="Y140" s="550">
        <v>45019</v>
      </c>
      <c r="Z140" s="552">
        <v>103481</v>
      </c>
      <c r="AA140" s="300">
        <f>Table157[[#This Row],[PCTS Retirement Amount]]+Table157[[#This Row],[PCTS Investment Amount]]</f>
        <v>1980477.96</v>
      </c>
      <c r="AB140" s="212">
        <v>45141</v>
      </c>
      <c r="AC140" s="229" t="s">
        <v>1441</v>
      </c>
      <c r="AD140" s="329" t="s">
        <v>29</v>
      </c>
      <c r="AE140" s="346"/>
      <c r="AF140" s="577"/>
      <c r="AG140" s="577"/>
      <c r="AH140" s="358"/>
      <c r="AI140" s="476"/>
      <c r="AJ140" s="573"/>
      <c r="AK140" s="573"/>
      <c r="AL140" s="497">
        <f>SUM(Table157[[#This Row],[Nicor Initiated DBE]:[Staffing]])/(Table157[[#This Row],[Amount Invoiced]])</f>
        <v>0</v>
      </c>
      <c r="AM140" s="21" t="s">
        <v>116</v>
      </c>
      <c r="AN140" s="680" t="s">
        <v>709</v>
      </c>
      <c r="AO140" s="601">
        <v>11039437</v>
      </c>
      <c r="AP140" s="572"/>
      <c r="AQ140" s="572"/>
      <c r="AR140" s="572"/>
      <c r="AS140" s="538">
        <f>IF(Table157[[#This Row],[PCTS Approved]]="N",0,Table157[[#This Row],[Investment Amount (1'#'#'#'#'#)]]+Table157[[#This Row],[Retirement Amount (3'#'#'#'#'#)]])</f>
        <v>0</v>
      </c>
      <c r="AT140" s="538">
        <f>IF(Table157[[#This Row],[Approved Construction Cost]]=0,0,Table157[[#This Row],[Approved Construction Cost]]-Table157[[#This Row],[Construction Cost to Bill From]])</f>
        <v>0</v>
      </c>
      <c r="AU140" s="538">
        <f>IFERROR(Table157[[#This Row],[Difference in Construction Cost]]*Table157[[#This Row],[Rate]],Table157[[#This Row],[Difference in Construction Cost]]*0.085)</f>
        <v>0</v>
      </c>
      <c r="AV140" s="572"/>
      <c r="AW140" s="639"/>
      <c r="AX140" s="538"/>
      <c r="AY140" s="636" t="s">
        <v>709</v>
      </c>
      <c r="AZ140" s="443">
        <v>156</v>
      </c>
      <c r="BA140" s="334" t="s">
        <v>2</v>
      </c>
      <c r="BB140" s="652" t="s">
        <v>1567</v>
      </c>
      <c r="BC140" s="543" t="s">
        <v>1568</v>
      </c>
      <c r="BD140" s="478" t="s">
        <v>250</v>
      </c>
      <c r="BE140" s="544" t="s">
        <v>115</v>
      </c>
      <c r="BF140" s="544" t="s">
        <v>1569</v>
      </c>
      <c r="BG140" s="544" t="s">
        <v>115</v>
      </c>
      <c r="BH140" s="512" t="s">
        <v>115</v>
      </c>
      <c r="BI140" s="645" t="s">
        <v>1570</v>
      </c>
      <c r="BJ140" s="625" t="s">
        <v>709</v>
      </c>
      <c r="BK140" s="623" t="s">
        <v>709</v>
      </c>
      <c r="BL140" s="623" t="s">
        <v>709</v>
      </c>
      <c r="BM140" s="623" t="s">
        <v>116</v>
      </c>
      <c r="BN140" s="623" t="s">
        <v>709</v>
      </c>
      <c r="BO140" s="623" t="s">
        <v>709</v>
      </c>
      <c r="BP140" s="623" t="s">
        <v>709</v>
      </c>
      <c r="BQ140" s="623" t="s">
        <v>709</v>
      </c>
      <c r="BR140" s="623">
        <v>3960</v>
      </c>
      <c r="BS140" s="623">
        <v>95</v>
      </c>
      <c r="BT140" s="623">
        <v>590</v>
      </c>
      <c r="BU140" s="623">
        <v>1</v>
      </c>
      <c r="BV140" s="623" t="s">
        <v>709</v>
      </c>
      <c r="BW140" s="623" t="s">
        <v>709</v>
      </c>
      <c r="BX140" s="623">
        <v>1</v>
      </c>
      <c r="BY140" s="623">
        <v>1</v>
      </c>
      <c r="BZ140" s="623" t="s">
        <v>709</v>
      </c>
      <c r="CA140" s="507" t="s">
        <v>1022</v>
      </c>
    </row>
    <row r="141" spans="1:79" ht="15" hidden="1" customHeight="1" x14ac:dyDescent="0.25">
      <c r="A141" s="8" t="s">
        <v>749</v>
      </c>
      <c r="B141" s="8" t="s">
        <v>4</v>
      </c>
      <c r="C141" s="8" t="s">
        <v>1571</v>
      </c>
      <c r="D141" s="8" t="s">
        <v>1572</v>
      </c>
      <c r="E141" s="8" t="s">
        <v>1573</v>
      </c>
      <c r="F141" s="8" t="s">
        <v>747</v>
      </c>
      <c r="G141" s="8" t="s">
        <v>26</v>
      </c>
      <c r="H141" s="13" t="s">
        <v>59</v>
      </c>
      <c r="I141" s="642">
        <v>44994</v>
      </c>
      <c r="J141" s="18">
        <v>45128</v>
      </c>
      <c r="K141" s="175">
        <v>45128</v>
      </c>
      <c r="L141" s="649">
        <f>IF(ISTEXT(Table157[[#This Row],[Engineering Approved Design Date]]),Table157[[#This Row],[Date Completed]]-Table157[[#This Row],[Date Assigned to Designer]],Table157[[#This Row],[Engineering Approved Design Date]]-Table157[[#This Row],[Date Completed]])</f>
        <v>0</v>
      </c>
      <c r="M141" s="642"/>
      <c r="N141" s="642" t="s">
        <v>120</v>
      </c>
      <c r="O141" s="510">
        <v>45139</v>
      </c>
      <c r="P141" s="221" t="s">
        <v>739</v>
      </c>
      <c r="Q141" s="74">
        <f>Table157[[#This Row],[Rate]]*Table157[[#This Row],[Construction Cost to Bill From]]</f>
        <v>59941.532000000007</v>
      </c>
      <c r="R141" s="75">
        <v>0.1</v>
      </c>
      <c r="U141" s="87"/>
      <c r="V141" s="437">
        <v>1748</v>
      </c>
      <c r="W141" s="437">
        <v>0</v>
      </c>
      <c r="X141" s="94">
        <v>581279.28</v>
      </c>
      <c r="Y141" s="592"/>
      <c r="Z141" s="552">
        <v>18136.04</v>
      </c>
      <c r="AA141" s="300">
        <f>SUM(Table157[[#This Row],[PCTS Investment Amount]:[PCTS Retirement Amount]])</f>
        <v>599415.32000000007</v>
      </c>
      <c r="AB141" s="207">
        <v>45134</v>
      </c>
      <c r="AC141" s="108" t="s">
        <v>709</v>
      </c>
      <c r="AD141" s="108" t="s">
        <v>29</v>
      </c>
      <c r="AE141" s="187" t="s">
        <v>116</v>
      </c>
      <c r="AF141" s="568" t="s">
        <v>116</v>
      </c>
      <c r="AG141" s="568" t="s">
        <v>116</v>
      </c>
      <c r="AH141" s="356">
        <v>45160</v>
      </c>
      <c r="AI141" s="489"/>
      <c r="AJ141" s="553"/>
      <c r="AK141" s="553"/>
      <c r="AL141" s="495">
        <f>SUM(Table157[[#This Row],[Nicor Initiated DBE]:[Staffing]])/(Table157[[#This Row],[Amount Invoiced]])</f>
        <v>0</v>
      </c>
      <c r="AM141" s="21" t="s">
        <v>116</v>
      </c>
      <c r="AN141" s="680" t="s">
        <v>709</v>
      </c>
      <c r="AO141" s="601" t="s">
        <v>115</v>
      </c>
      <c r="AP141" s="572"/>
      <c r="AQ141" s="572"/>
      <c r="AR141" s="572"/>
      <c r="AS141" s="538">
        <f>IF(Table157[[#This Row],[PCTS Approved]]="N",0,Table157[[#This Row],[Investment Amount (1'#'#'#'#'#)]]+Table157[[#This Row],[Retirement Amount (3'#'#'#'#'#)]])</f>
        <v>0</v>
      </c>
      <c r="AT141" s="538">
        <f>IF(Table157[[#This Row],[Approved Construction Cost]]=0,0,Table157[[#This Row],[Approved Construction Cost]]-Table157[[#This Row],[Construction Cost to Bill From]])</f>
        <v>0</v>
      </c>
      <c r="AU141" s="538">
        <f>IFERROR(Table157[[#This Row],[Difference in Construction Cost]]*Table157[[#This Row],[Rate]],Table157[[#This Row],[Difference in Construction Cost]]*0.085)</f>
        <v>0</v>
      </c>
      <c r="AV141" s="572"/>
      <c r="AW141" s="641"/>
      <c r="AX141" s="555"/>
      <c r="AY141" s="636" t="s">
        <v>709</v>
      </c>
      <c r="AZ141" s="443">
        <v>90</v>
      </c>
      <c r="BA141" s="334" t="s">
        <v>4</v>
      </c>
      <c r="BB141" s="652" t="s">
        <v>1574</v>
      </c>
      <c r="BC141" s="644" t="s">
        <v>870</v>
      </c>
      <c r="BD141" s="478" t="s">
        <v>709</v>
      </c>
      <c r="BE141" s="544" t="s">
        <v>837</v>
      </c>
      <c r="BF141" s="544" t="s">
        <v>1575</v>
      </c>
      <c r="BG141" s="544" t="s">
        <v>839</v>
      </c>
      <c r="BH141" s="483" t="s">
        <v>1576</v>
      </c>
      <c r="BI141" s="537" t="s">
        <v>1577</v>
      </c>
      <c r="BJ141" s="511" t="s">
        <v>709</v>
      </c>
      <c r="BK141" s="546" t="s">
        <v>709</v>
      </c>
      <c r="BL141" s="546" t="s">
        <v>709</v>
      </c>
      <c r="BM141" s="546" t="s">
        <v>116</v>
      </c>
      <c r="BN141" s="546" t="s">
        <v>709</v>
      </c>
      <c r="BO141" s="546" t="s">
        <v>709</v>
      </c>
      <c r="BP141" s="546" t="s">
        <v>709</v>
      </c>
      <c r="BQ141" s="546" t="s">
        <v>709</v>
      </c>
      <c r="BR141" s="546" t="s">
        <v>709</v>
      </c>
      <c r="BS141" s="546" t="s">
        <v>709</v>
      </c>
      <c r="BT141" s="546">
        <v>1748</v>
      </c>
      <c r="BU141" s="546" t="s">
        <v>709</v>
      </c>
      <c r="BV141" s="546" t="s">
        <v>709</v>
      </c>
      <c r="BW141" s="546" t="s">
        <v>709</v>
      </c>
      <c r="BX141" s="546" t="s">
        <v>709</v>
      </c>
      <c r="BY141" s="546" t="s">
        <v>745</v>
      </c>
      <c r="BZ141" s="546" t="s">
        <v>709</v>
      </c>
      <c r="CA141" s="506"/>
    </row>
    <row r="142" spans="1:79" ht="15" hidden="1" customHeight="1" x14ac:dyDescent="0.25">
      <c r="A142" s="8">
        <v>2023</v>
      </c>
      <c r="B142" s="8" t="s">
        <v>769</v>
      </c>
      <c r="C142" s="8" t="s">
        <v>1578</v>
      </c>
      <c r="D142" s="656" t="s">
        <v>1579</v>
      </c>
      <c r="E142" s="8" t="s">
        <v>232</v>
      </c>
      <c r="F142" s="8" t="s">
        <v>747</v>
      </c>
      <c r="G142" s="8" t="s">
        <v>32</v>
      </c>
      <c r="H142" s="13" t="s">
        <v>59</v>
      </c>
      <c r="I142" s="642">
        <v>45056</v>
      </c>
      <c r="J142" s="18">
        <v>45145</v>
      </c>
      <c r="K142" s="175">
        <v>45128</v>
      </c>
      <c r="L142" s="16">
        <f>IF(ISTEXT(Table157[[#This Row],[Engineering Approved Design Date]]),Table157[[#This Row],[Date Completed]]-Table157[[#This Row],[Date Assigned to Designer]],Table157[[#This Row],[Engineering Approved Design Date]]-Table157[[#This Row],[Date Completed]])</f>
        <v>17</v>
      </c>
      <c r="M142" s="642"/>
      <c r="N142" s="642" t="s">
        <v>120</v>
      </c>
      <c r="O142" s="510">
        <v>45108</v>
      </c>
      <c r="P142" s="221" t="s">
        <v>739</v>
      </c>
      <c r="Q142" s="74">
        <f>Table157[[#This Row],[Rate]]*Table157[[#This Row],[Construction Cost to Bill From]]</f>
        <v>18842.86</v>
      </c>
      <c r="R142" s="75">
        <v>0.08</v>
      </c>
      <c r="U142" s="87"/>
      <c r="V142" s="437">
        <v>27</v>
      </c>
      <c r="W142" s="437">
        <v>0</v>
      </c>
      <c r="X142" s="94">
        <v>188113.79</v>
      </c>
      <c r="Y142" s="592"/>
      <c r="Z142" s="552">
        <v>47421.96</v>
      </c>
      <c r="AA142" s="300">
        <f>Table157[[#This Row],[PCTS Retirement Amount]]+Table157[[#This Row],[PCTS Investment Amount]]</f>
        <v>235535.75</v>
      </c>
      <c r="AB142" s="207">
        <v>45132</v>
      </c>
      <c r="AC142" s="108" t="s">
        <v>1177</v>
      </c>
      <c r="AD142" s="108" t="s">
        <v>29</v>
      </c>
      <c r="AE142" s="187" t="s">
        <v>29</v>
      </c>
      <c r="AF142" s="568" t="s">
        <v>116</v>
      </c>
      <c r="AG142" s="568" t="s">
        <v>709</v>
      </c>
      <c r="AH142" s="356" t="s">
        <v>709</v>
      </c>
      <c r="AI142" s="341"/>
      <c r="AJ142" s="183"/>
      <c r="AK142" s="183"/>
      <c r="AL142" s="494">
        <f>SUM(Table157[[#This Row],[Nicor Initiated DBE]:[Staffing]])/(Table157[[#This Row],[Amount Invoiced]])</f>
        <v>0</v>
      </c>
      <c r="AM142" s="21" t="s">
        <v>116</v>
      </c>
      <c r="AN142" s="680" t="s">
        <v>709</v>
      </c>
      <c r="AO142" s="601" t="s">
        <v>115</v>
      </c>
      <c r="AP142" s="572"/>
      <c r="AQ142" s="572"/>
      <c r="AR142" s="572"/>
      <c r="AS142" s="538">
        <f>IF(Table157[[#This Row],[PCTS Approved]]="N",0,Table157[[#This Row],[Investment Amount (1'#'#'#'#'#)]]+Table157[[#This Row],[Retirement Amount (3'#'#'#'#'#)]])</f>
        <v>0</v>
      </c>
      <c r="AT142" s="538">
        <f>IF(Table157[[#This Row],[Approved Construction Cost]]=0,0,Table157[[#This Row],[Approved Construction Cost]]-Table157[[#This Row],[Construction Cost to Bill From]])</f>
        <v>0</v>
      </c>
      <c r="AU142" s="538">
        <f>IFERROR(Table157[[#This Row],[Difference in Construction Cost]]*Table157[[#This Row],[Rate]],Table157[[#This Row],[Difference in Construction Cost]]*0.085)</f>
        <v>0</v>
      </c>
      <c r="AV142" s="572"/>
      <c r="AW142" s="639"/>
      <c r="AX142" s="538"/>
      <c r="AY142" s="636" t="s">
        <v>709</v>
      </c>
      <c r="AZ142" s="443">
        <v>16</v>
      </c>
      <c r="BA142" s="334" t="s">
        <v>3</v>
      </c>
      <c r="BB142" s="652" t="s">
        <v>1580</v>
      </c>
      <c r="BC142" s="644" t="s">
        <v>1581</v>
      </c>
      <c r="BD142" s="478" t="s">
        <v>709</v>
      </c>
      <c r="BE142" s="544" t="s">
        <v>837</v>
      </c>
      <c r="BF142" s="544" t="s">
        <v>595</v>
      </c>
      <c r="BG142" s="544" t="s">
        <v>595</v>
      </c>
      <c r="BH142" s="512" t="s">
        <v>1582</v>
      </c>
      <c r="BI142" s="645" t="s">
        <v>1583</v>
      </c>
      <c r="BJ142" s="511" t="s">
        <v>709</v>
      </c>
      <c r="BK142" s="546" t="s">
        <v>709</v>
      </c>
      <c r="BL142" s="546" t="s">
        <v>116</v>
      </c>
      <c r="BM142" s="546" t="s">
        <v>116</v>
      </c>
      <c r="BN142" s="546" t="s">
        <v>709</v>
      </c>
      <c r="BO142" s="546" t="s">
        <v>709</v>
      </c>
      <c r="BP142" s="546" t="s">
        <v>709</v>
      </c>
      <c r="BQ142" s="546" t="s">
        <v>709</v>
      </c>
      <c r="BR142" s="546" t="s">
        <v>709</v>
      </c>
      <c r="BS142" s="546">
        <v>27</v>
      </c>
      <c r="BT142" s="546" t="s">
        <v>709</v>
      </c>
      <c r="BU142" s="546" t="s">
        <v>709</v>
      </c>
      <c r="BV142" s="546" t="s">
        <v>709</v>
      </c>
      <c r="BW142" s="546" t="s">
        <v>709</v>
      </c>
      <c r="BX142" s="546" t="s">
        <v>709</v>
      </c>
      <c r="BY142" s="546" t="s">
        <v>709</v>
      </c>
      <c r="BZ142" s="546">
        <v>1</v>
      </c>
      <c r="CA142" s="506" t="s">
        <v>769</v>
      </c>
    </row>
    <row r="143" spans="1:79" ht="15" hidden="1" customHeight="1" x14ac:dyDescent="0.25">
      <c r="A143" s="8">
        <v>2023</v>
      </c>
      <c r="B143" s="8" t="s">
        <v>771</v>
      </c>
      <c r="C143" s="8" t="s">
        <v>580</v>
      </c>
      <c r="D143" s="656" t="s">
        <v>1584</v>
      </c>
      <c r="E143" s="8" t="s">
        <v>1529</v>
      </c>
      <c r="F143" s="8" t="s">
        <v>784</v>
      </c>
      <c r="G143" s="8" t="s">
        <v>32</v>
      </c>
      <c r="H143" s="13" t="s">
        <v>59</v>
      </c>
      <c r="I143" s="642">
        <v>45006</v>
      </c>
      <c r="J143" s="18">
        <v>45128</v>
      </c>
      <c r="K143" s="175">
        <v>45128</v>
      </c>
      <c r="L143" s="16">
        <f>IF(ISTEXT(Table157[[#This Row],[Engineering Approved Design Date]]),Table157[[#This Row],[Date Completed]]-Table157[[#This Row],[Date Assigned to Designer]],Table157[[#This Row],[Engineering Approved Design Date]]-Table157[[#This Row],[Date Completed]])</f>
        <v>0</v>
      </c>
      <c r="M143" s="642"/>
      <c r="N143" s="642" t="s">
        <v>120</v>
      </c>
      <c r="O143" s="510">
        <v>45139</v>
      </c>
      <c r="P143" s="221" t="s">
        <v>120</v>
      </c>
      <c r="Q143" s="74">
        <f>Table157[[#This Row],[Rate]]*Table157[[#This Row],[Construction Cost to Bill From]]</f>
        <v>172700.64400000003</v>
      </c>
      <c r="R143" s="75">
        <v>0.04</v>
      </c>
      <c r="U143" s="87"/>
      <c r="V143" s="437">
        <v>16406</v>
      </c>
      <c r="W143" s="437">
        <v>0</v>
      </c>
      <c r="X143" s="106">
        <v>4176248.62</v>
      </c>
      <c r="Y143" s="551"/>
      <c r="Z143" s="552">
        <v>141267.48000000001</v>
      </c>
      <c r="AA143" s="300">
        <f>Table157[[#This Row],[PCTS Retirement Amount]]+Table157[[#This Row],[PCTS Investment Amount]]</f>
        <v>4317516.1000000006</v>
      </c>
      <c r="AB143" s="207">
        <v>45133</v>
      </c>
      <c r="AC143" s="108" t="s">
        <v>1441</v>
      </c>
      <c r="AD143" s="108" t="s">
        <v>116</v>
      </c>
      <c r="AE143" s="187" t="s">
        <v>756</v>
      </c>
      <c r="AF143" s="568" t="s">
        <v>116</v>
      </c>
      <c r="AG143" s="568" t="s">
        <v>709</v>
      </c>
      <c r="AH143" s="356" t="s">
        <v>709</v>
      </c>
      <c r="AI143" s="341"/>
      <c r="AJ143" s="183"/>
      <c r="AK143" s="183"/>
      <c r="AL143" s="494">
        <f>SUM(Table157[[#This Row],[Nicor Initiated DBE]:[Staffing]])/(Table157[[#This Row],[Amount Invoiced]])</f>
        <v>0</v>
      </c>
      <c r="AM143" s="21" t="s">
        <v>116</v>
      </c>
      <c r="AN143" s="680" t="s">
        <v>709</v>
      </c>
      <c r="AO143" s="681">
        <v>11068638</v>
      </c>
      <c r="AP143" s="572"/>
      <c r="AQ143" s="572"/>
      <c r="AR143" s="572"/>
      <c r="AS143" s="538">
        <f>IF(Table157[[#This Row],[PCTS Approved]]="N",0,Table157[[#This Row],[Investment Amount (1'#'#'#'#'#)]]+Table157[[#This Row],[Retirement Amount (3'#'#'#'#'#)]])</f>
        <v>0</v>
      </c>
      <c r="AT143" s="538">
        <f>IF(Table157[[#This Row],[Approved Construction Cost]]=0,0,Table157[[#This Row],[Approved Construction Cost]]-Table157[[#This Row],[Construction Cost to Bill From]])</f>
        <v>0</v>
      </c>
      <c r="AU143" s="538">
        <f>IFERROR(Table157[[#This Row],[Difference in Construction Cost]]*Table157[[#This Row],[Rate]],Table157[[#This Row],[Difference in Construction Cost]]*0.085)</f>
        <v>0</v>
      </c>
      <c r="AV143" s="572"/>
      <c r="AW143" s="639"/>
      <c r="AX143" s="538"/>
      <c r="AY143" s="636" t="s">
        <v>709</v>
      </c>
      <c r="AZ143" s="443">
        <v>2</v>
      </c>
      <c r="BA143" s="334" t="s">
        <v>3</v>
      </c>
      <c r="BB143" s="652" t="s">
        <v>1585</v>
      </c>
      <c r="BC143" s="644" t="s">
        <v>1586</v>
      </c>
      <c r="BD143" s="478" t="s">
        <v>116</v>
      </c>
      <c r="BE143" s="544" t="s">
        <v>882</v>
      </c>
      <c r="BF143" s="544" t="s">
        <v>581</v>
      </c>
      <c r="BG143" s="544" t="s">
        <v>115</v>
      </c>
      <c r="BH143" s="512" t="s">
        <v>1496</v>
      </c>
      <c r="BI143" s="645" t="s">
        <v>1587</v>
      </c>
      <c r="BJ143" s="625" t="s">
        <v>709</v>
      </c>
      <c r="BK143" s="623" t="s">
        <v>709</v>
      </c>
      <c r="BL143" s="623" t="s">
        <v>709</v>
      </c>
      <c r="BM143" s="623" t="s">
        <v>116</v>
      </c>
      <c r="BN143" s="623" t="s">
        <v>709</v>
      </c>
      <c r="BO143" s="623" t="s">
        <v>709</v>
      </c>
      <c r="BP143" s="623" t="s">
        <v>709</v>
      </c>
      <c r="BQ143" s="623">
        <v>3073</v>
      </c>
      <c r="BR143" s="623">
        <v>1001</v>
      </c>
      <c r="BS143" s="623">
        <v>1733</v>
      </c>
      <c r="BT143" s="623">
        <v>10602</v>
      </c>
      <c r="BU143" s="623" t="s">
        <v>709</v>
      </c>
      <c r="BV143" s="623" t="s">
        <v>709</v>
      </c>
      <c r="BW143" s="623" t="s">
        <v>709</v>
      </c>
      <c r="BX143" s="623" t="s">
        <v>709</v>
      </c>
      <c r="BY143" s="623" t="s">
        <v>709</v>
      </c>
      <c r="BZ143" s="623" t="s">
        <v>709</v>
      </c>
      <c r="CA143" s="506"/>
    </row>
    <row r="144" spans="1:79" ht="15" hidden="1" customHeight="1" x14ac:dyDescent="0.25">
      <c r="A144" s="8" t="s">
        <v>749</v>
      </c>
      <c r="B144" s="8" t="s">
        <v>4</v>
      </c>
      <c r="C144" s="8" t="s">
        <v>1588</v>
      </c>
      <c r="D144" s="8" t="s">
        <v>1589</v>
      </c>
      <c r="E144" s="8" t="s">
        <v>388</v>
      </c>
      <c r="F144" s="8" t="s">
        <v>747</v>
      </c>
      <c r="G144" s="8" t="s">
        <v>28</v>
      </c>
      <c r="H144" s="13" t="s">
        <v>59</v>
      </c>
      <c r="I144" s="642">
        <v>44915</v>
      </c>
      <c r="J144" s="18">
        <v>45135</v>
      </c>
      <c r="K144" s="175">
        <v>45133</v>
      </c>
      <c r="L144" s="649">
        <f>IF(ISTEXT(Table157[[#This Row],[Engineering Approved Design Date]]),Table157[[#This Row],[Date Completed]]-Table157[[#This Row],[Date Assigned to Designer]],Table157[[#This Row],[Engineering Approved Design Date]]-Table157[[#This Row],[Date Completed]])</f>
        <v>2</v>
      </c>
      <c r="M144" s="642"/>
      <c r="N144" s="642" t="s">
        <v>120</v>
      </c>
      <c r="O144" s="510">
        <v>45139</v>
      </c>
      <c r="P144" s="221" t="s">
        <v>739</v>
      </c>
      <c r="Q144" s="74">
        <f>Table157[[#This Row],[Rate]]*Table157[[#This Row],[Construction Cost to Bill From]]</f>
        <v>25017.435000000001</v>
      </c>
      <c r="R144" s="75">
        <v>0.1</v>
      </c>
      <c r="U144" s="87"/>
      <c r="V144" s="437">
        <v>485</v>
      </c>
      <c r="W144" s="437">
        <v>0</v>
      </c>
      <c r="X144" s="94">
        <v>250174.35</v>
      </c>
      <c r="Y144" s="592"/>
      <c r="Z144" s="552">
        <v>0</v>
      </c>
      <c r="AA144" s="300">
        <f>SUM(Table157[[#This Row],[PCTS Investment Amount]:[PCTS Retirement Amount]])</f>
        <v>250174.35</v>
      </c>
      <c r="AB144" s="207">
        <v>45028</v>
      </c>
      <c r="AC144" s="108" t="s">
        <v>116</v>
      </c>
      <c r="AD144" s="108" t="s">
        <v>29</v>
      </c>
      <c r="AE144" s="187" t="s">
        <v>756</v>
      </c>
      <c r="AF144" s="568" t="s">
        <v>756</v>
      </c>
      <c r="AG144" s="568" t="s">
        <v>116</v>
      </c>
      <c r="AH144" s="356">
        <v>45163</v>
      </c>
      <c r="AI144" s="489"/>
      <c r="AJ144" s="553"/>
      <c r="AK144" s="553"/>
      <c r="AL144" s="495">
        <f>SUM(Table157[[#This Row],[Nicor Initiated DBE]:[Staffing]])/(Table157[[#This Row],[Amount Invoiced]])</f>
        <v>0</v>
      </c>
      <c r="AM144" s="21" t="s">
        <v>116</v>
      </c>
      <c r="AN144" s="680" t="s">
        <v>709</v>
      </c>
      <c r="AO144" s="601" t="s">
        <v>115</v>
      </c>
      <c r="AP144" s="572"/>
      <c r="AQ144" s="572"/>
      <c r="AR144" s="572"/>
      <c r="AS144" s="538">
        <f>IF(Table157[[#This Row],[PCTS Approved]]="N",0,Table157[[#This Row],[Investment Amount (1'#'#'#'#'#)]]+Table157[[#This Row],[Retirement Amount (3'#'#'#'#'#)]])</f>
        <v>0</v>
      </c>
      <c r="AT144" s="538">
        <f>IF(Table157[[#This Row],[Approved Construction Cost]]=0,0,Table157[[#This Row],[Approved Construction Cost]]-Table157[[#This Row],[Construction Cost to Bill From]])</f>
        <v>0</v>
      </c>
      <c r="AU144" s="538">
        <f>IFERROR(Table157[[#This Row],[Difference in Construction Cost]]*Table157[[#This Row],[Rate]],Table157[[#This Row],[Difference in Construction Cost]]*0.085)</f>
        <v>0</v>
      </c>
      <c r="AV144" s="572"/>
      <c r="AW144" s="641"/>
      <c r="AX144" s="555"/>
      <c r="AY144" s="636" t="s">
        <v>709</v>
      </c>
      <c r="AZ144" s="443">
        <v>91</v>
      </c>
      <c r="BA144" s="334" t="s">
        <v>4</v>
      </c>
      <c r="BB144" s="652" t="s">
        <v>1590</v>
      </c>
      <c r="BC144" s="644" t="s">
        <v>870</v>
      </c>
      <c r="BD144" s="478" t="s">
        <v>116</v>
      </c>
      <c r="BE144" s="544" t="s">
        <v>709</v>
      </c>
      <c r="BF144" s="544" t="s">
        <v>1591</v>
      </c>
      <c r="BG144" s="544" t="s">
        <v>709</v>
      </c>
      <c r="BH144" s="483" t="s">
        <v>709</v>
      </c>
      <c r="BI144" s="537" t="s">
        <v>1592</v>
      </c>
      <c r="BJ144" s="511" t="s">
        <v>709</v>
      </c>
      <c r="BK144" s="546" t="s">
        <v>709</v>
      </c>
      <c r="BL144" s="546" t="s">
        <v>709</v>
      </c>
      <c r="BM144" s="546" t="s">
        <v>116</v>
      </c>
      <c r="BN144" s="546" t="s">
        <v>709</v>
      </c>
      <c r="BO144" s="546" t="s">
        <v>709</v>
      </c>
      <c r="BP144" s="546" t="s">
        <v>709</v>
      </c>
      <c r="BQ144" s="546">
        <v>1187</v>
      </c>
      <c r="BR144" s="546">
        <v>14</v>
      </c>
      <c r="BS144" s="546">
        <v>280</v>
      </c>
      <c r="BT144" s="546">
        <v>189</v>
      </c>
      <c r="BU144" s="546" t="s">
        <v>709</v>
      </c>
      <c r="BV144" s="546" t="s">
        <v>709</v>
      </c>
      <c r="BW144" s="546" t="s">
        <v>709</v>
      </c>
      <c r="BX144" s="546" t="s">
        <v>709</v>
      </c>
      <c r="BY144" s="546" t="s">
        <v>745</v>
      </c>
      <c r="BZ144" s="546" t="s">
        <v>709</v>
      </c>
      <c r="CA144" s="506"/>
    </row>
    <row r="145" spans="1:79" ht="15" hidden="1" customHeight="1" x14ac:dyDescent="0.25">
      <c r="A145" s="8" t="s">
        <v>749</v>
      </c>
      <c r="B145" s="8" t="s">
        <v>4</v>
      </c>
      <c r="C145" s="8" t="s">
        <v>387</v>
      </c>
      <c r="D145" s="8" t="s">
        <v>1593</v>
      </c>
      <c r="E145" s="8" t="s">
        <v>388</v>
      </c>
      <c r="F145" s="8" t="s">
        <v>747</v>
      </c>
      <c r="G145" s="8" t="s">
        <v>28</v>
      </c>
      <c r="H145" s="13" t="s">
        <v>59</v>
      </c>
      <c r="I145" s="642">
        <v>44915</v>
      </c>
      <c r="J145" s="18">
        <v>45135</v>
      </c>
      <c r="K145" s="175">
        <v>45133</v>
      </c>
      <c r="L145" s="649">
        <f>IF(ISTEXT(Table157[[#This Row],[Engineering Approved Design Date]]),Table157[[#This Row],[Date Completed]]-Table157[[#This Row],[Date Assigned to Designer]],Table157[[#This Row],[Engineering Approved Design Date]]-Table157[[#This Row],[Date Completed]])</f>
        <v>2</v>
      </c>
      <c r="M145" s="642"/>
      <c r="N145" s="642" t="s">
        <v>120</v>
      </c>
      <c r="O145" s="510">
        <v>45139</v>
      </c>
      <c r="P145" s="221" t="s">
        <v>739</v>
      </c>
      <c r="Q145" s="74">
        <f>Table157[[#This Row],[Rate]]*Table157[[#This Row],[Construction Cost to Bill From]]</f>
        <v>101276.04000000001</v>
      </c>
      <c r="R145" s="75">
        <v>0.1</v>
      </c>
      <c r="U145" s="87"/>
      <c r="V145" s="437">
        <v>1670</v>
      </c>
      <c r="W145" s="437">
        <v>0</v>
      </c>
      <c r="X145" s="94">
        <v>910834.15</v>
      </c>
      <c r="Y145" s="592"/>
      <c r="Z145" s="552">
        <v>101926.25</v>
      </c>
      <c r="AA145" s="300">
        <f>SUM(Table157[[#This Row],[PCTS Investment Amount]:[PCTS Retirement Amount]])</f>
        <v>1012760.4</v>
      </c>
      <c r="AB145" s="207">
        <v>45124</v>
      </c>
      <c r="AC145" s="108" t="s">
        <v>116</v>
      </c>
      <c r="AD145" s="108" t="s">
        <v>29</v>
      </c>
      <c r="AE145" s="187" t="s">
        <v>756</v>
      </c>
      <c r="AF145" s="568" t="s">
        <v>756</v>
      </c>
      <c r="AG145" s="568" t="s">
        <v>116</v>
      </c>
      <c r="AH145" s="356">
        <v>45163</v>
      </c>
      <c r="AI145" s="489"/>
      <c r="AJ145" s="553"/>
      <c r="AK145" s="553"/>
      <c r="AL145" s="495">
        <f>SUM(Table157[[#This Row],[Nicor Initiated DBE]:[Staffing]])/(Table157[[#This Row],[Amount Invoiced]])</f>
        <v>0</v>
      </c>
      <c r="AM145" s="21" t="s">
        <v>116</v>
      </c>
      <c r="AN145" s="680" t="s">
        <v>709</v>
      </c>
      <c r="AO145" s="601" t="s">
        <v>115</v>
      </c>
      <c r="AP145" s="572"/>
      <c r="AQ145" s="572"/>
      <c r="AR145" s="572"/>
      <c r="AS145" s="538">
        <f>IF(Table157[[#This Row],[PCTS Approved]]="N",0,Table157[[#This Row],[Investment Amount (1'#'#'#'#'#)]]+Table157[[#This Row],[Retirement Amount (3'#'#'#'#'#)]])</f>
        <v>0</v>
      </c>
      <c r="AT145" s="538">
        <f>IF(Table157[[#This Row],[Approved Construction Cost]]=0,0,Table157[[#This Row],[Approved Construction Cost]]-Table157[[#This Row],[Construction Cost to Bill From]])</f>
        <v>0</v>
      </c>
      <c r="AU145" s="538">
        <f>IFERROR(Table157[[#This Row],[Difference in Construction Cost]]*Table157[[#This Row],[Rate]],Table157[[#This Row],[Difference in Construction Cost]]*0.085)</f>
        <v>0</v>
      </c>
      <c r="AV145" s="572"/>
      <c r="AW145" s="641"/>
      <c r="AX145" s="555"/>
      <c r="AY145" s="636" t="s">
        <v>709</v>
      </c>
      <c r="AZ145" s="443">
        <v>92</v>
      </c>
      <c r="BA145" s="334" t="s">
        <v>4</v>
      </c>
      <c r="BB145" s="652" t="s">
        <v>1590</v>
      </c>
      <c r="BC145" s="644" t="s">
        <v>870</v>
      </c>
      <c r="BD145" s="478" t="s">
        <v>116</v>
      </c>
      <c r="BE145" s="544" t="s">
        <v>709</v>
      </c>
      <c r="BF145" s="544" t="s">
        <v>1591</v>
      </c>
      <c r="BG145" s="544" t="s">
        <v>709</v>
      </c>
      <c r="BH145" s="483" t="s">
        <v>709</v>
      </c>
      <c r="BI145" s="537" t="s">
        <v>1594</v>
      </c>
      <c r="BJ145" s="511" t="s">
        <v>709</v>
      </c>
      <c r="BK145" s="546" t="s">
        <v>709</v>
      </c>
      <c r="BL145" s="546" t="s">
        <v>709</v>
      </c>
      <c r="BM145" s="546" t="s">
        <v>116</v>
      </c>
      <c r="BN145" s="546" t="s">
        <v>709</v>
      </c>
      <c r="BO145" s="546" t="s">
        <v>709</v>
      </c>
      <c r="BP145" s="546" t="s">
        <v>709</v>
      </c>
      <c r="BQ145" s="546">
        <v>1187</v>
      </c>
      <c r="BR145" s="546">
        <v>14</v>
      </c>
      <c r="BS145" s="546">
        <v>280</v>
      </c>
      <c r="BT145" s="546">
        <v>189</v>
      </c>
      <c r="BU145" s="546" t="s">
        <v>709</v>
      </c>
      <c r="BV145" s="546" t="s">
        <v>709</v>
      </c>
      <c r="BW145" s="546" t="s">
        <v>709</v>
      </c>
      <c r="BX145" s="546" t="s">
        <v>709</v>
      </c>
      <c r="BY145" s="546" t="s">
        <v>745</v>
      </c>
      <c r="BZ145" s="546" t="s">
        <v>709</v>
      </c>
      <c r="CA145" s="506"/>
    </row>
    <row r="146" spans="1:79" ht="15" hidden="1" customHeight="1" x14ac:dyDescent="0.25">
      <c r="A146" s="8">
        <v>2023</v>
      </c>
      <c r="B146" s="8" t="s">
        <v>769</v>
      </c>
      <c r="C146" s="8" t="s">
        <v>1595</v>
      </c>
      <c r="D146" s="656" t="s">
        <v>1596</v>
      </c>
      <c r="E146" s="8" t="s">
        <v>1597</v>
      </c>
      <c r="F146" s="8" t="s">
        <v>747</v>
      </c>
      <c r="G146" s="8" t="s">
        <v>32</v>
      </c>
      <c r="H146" s="13" t="s">
        <v>59</v>
      </c>
      <c r="I146" s="642">
        <v>45056</v>
      </c>
      <c r="J146" s="18">
        <v>45145</v>
      </c>
      <c r="K146" s="175">
        <v>45133</v>
      </c>
      <c r="L146" s="16">
        <f>IF(ISTEXT(Table157[[#This Row],[Engineering Approved Design Date]]),Table157[[#This Row],[Date Completed]]-Table157[[#This Row],[Date Assigned to Designer]],Table157[[#This Row],[Engineering Approved Design Date]]-Table157[[#This Row],[Date Completed]])</f>
        <v>12</v>
      </c>
      <c r="M146" s="642"/>
      <c r="N146" s="642" t="s">
        <v>120</v>
      </c>
      <c r="O146" s="510">
        <v>45139</v>
      </c>
      <c r="P146" s="221" t="s">
        <v>739</v>
      </c>
      <c r="Q146" s="74">
        <f>Table157[[#This Row],[Rate]]*Table157[[#This Row],[Construction Cost to Bill From]]</f>
        <v>10081.120800000001</v>
      </c>
      <c r="R146" s="75">
        <v>0.08</v>
      </c>
      <c r="U146" s="87"/>
      <c r="V146" s="437">
        <v>17</v>
      </c>
      <c r="W146" s="437">
        <v>0</v>
      </c>
      <c r="X146" s="94">
        <f>80666.59</f>
        <v>80666.59</v>
      </c>
      <c r="Y146" s="551"/>
      <c r="Z146" s="552">
        <f>45347.42</f>
        <v>45347.42</v>
      </c>
      <c r="AA146" s="300">
        <f>SUM(Table157[[#This Row],[PCTS Investment Amount]:[PCTS Retirement Amount]])</f>
        <v>126014.01</v>
      </c>
      <c r="AB146" s="207">
        <v>45142</v>
      </c>
      <c r="AC146" s="108" t="s">
        <v>1177</v>
      </c>
      <c r="AD146" s="108" t="s">
        <v>29</v>
      </c>
      <c r="AE146" s="187" t="s">
        <v>29</v>
      </c>
      <c r="AF146" s="568" t="s">
        <v>116</v>
      </c>
      <c r="AG146" s="568" t="s">
        <v>709</v>
      </c>
      <c r="AH146" s="356" t="s">
        <v>709</v>
      </c>
      <c r="AI146" s="341"/>
      <c r="AJ146" s="183"/>
      <c r="AK146" s="183"/>
      <c r="AL146" s="494">
        <f>SUM(Table157[[#This Row],[Nicor Initiated DBE]:[Staffing]])/(Table157[[#This Row],[Amount Invoiced]])</f>
        <v>0</v>
      </c>
      <c r="AM146" s="21" t="s">
        <v>116</v>
      </c>
      <c r="AN146" s="680" t="s">
        <v>709</v>
      </c>
      <c r="AO146" s="601" t="s">
        <v>115</v>
      </c>
      <c r="AP146" s="572"/>
      <c r="AQ146" s="572"/>
      <c r="AR146" s="572"/>
      <c r="AS146" s="538">
        <f>IF(Table157[[#This Row],[PCTS Approved]]="N",0,Table157[[#This Row],[Investment Amount (1'#'#'#'#'#)]]+Table157[[#This Row],[Retirement Amount (3'#'#'#'#'#)]])</f>
        <v>0</v>
      </c>
      <c r="AT146" s="538">
        <f>IF(Table157[[#This Row],[Approved Construction Cost]]=0,0,Table157[[#This Row],[Approved Construction Cost]]-Table157[[#This Row],[Construction Cost to Bill From]])</f>
        <v>0</v>
      </c>
      <c r="AU146" s="538">
        <f>IFERROR(Table157[[#This Row],[Difference in Construction Cost]]*Table157[[#This Row],[Rate]],Table157[[#This Row],[Difference in Construction Cost]]*0.085)</f>
        <v>0</v>
      </c>
      <c r="AV146" s="572"/>
      <c r="AW146" s="639"/>
      <c r="AX146" s="538"/>
      <c r="AY146" s="636" t="s">
        <v>709</v>
      </c>
      <c r="AZ146" s="443">
        <v>17</v>
      </c>
      <c r="BA146" s="334" t="s">
        <v>3</v>
      </c>
      <c r="BB146" s="652" t="s">
        <v>1598</v>
      </c>
      <c r="BC146" s="644" t="s">
        <v>1599</v>
      </c>
      <c r="BD146" s="478" t="s">
        <v>709</v>
      </c>
      <c r="BE146" s="544" t="s">
        <v>837</v>
      </c>
      <c r="BF146" s="544" t="s">
        <v>1600</v>
      </c>
      <c r="BG146" s="544" t="s">
        <v>1600</v>
      </c>
      <c r="BH146" s="512" t="s">
        <v>1582</v>
      </c>
      <c r="BI146" s="645" t="s">
        <v>1601</v>
      </c>
      <c r="BJ146" s="511" t="s">
        <v>709</v>
      </c>
      <c r="BK146" s="546" t="s">
        <v>709</v>
      </c>
      <c r="BL146" s="546" t="s">
        <v>116</v>
      </c>
      <c r="BM146" s="546" t="s">
        <v>116</v>
      </c>
      <c r="BN146" s="546" t="s">
        <v>709</v>
      </c>
      <c r="BO146" s="546" t="s">
        <v>709</v>
      </c>
      <c r="BP146" s="546" t="s">
        <v>709</v>
      </c>
      <c r="BQ146" s="546" t="s">
        <v>709</v>
      </c>
      <c r="BR146" s="546" t="s">
        <v>709</v>
      </c>
      <c r="BS146" s="546">
        <v>17</v>
      </c>
      <c r="BT146" s="546" t="s">
        <v>709</v>
      </c>
      <c r="BU146" s="546" t="s">
        <v>709</v>
      </c>
      <c r="BV146" s="546" t="s">
        <v>709</v>
      </c>
      <c r="BW146" s="546" t="s">
        <v>709</v>
      </c>
      <c r="BX146" s="546" t="s">
        <v>709</v>
      </c>
      <c r="BY146" s="546" t="s">
        <v>745</v>
      </c>
      <c r="BZ146" s="546" t="s">
        <v>1602</v>
      </c>
      <c r="CA146" s="506" t="s">
        <v>769</v>
      </c>
    </row>
    <row r="147" spans="1:79" ht="15" hidden="1" customHeight="1" x14ac:dyDescent="0.25">
      <c r="A147" s="8">
        <v>2023</v>
      </c>
      <c r="B147" s="8" t="s">
        <v>769</v>
      </c>
      <c r="C147" s="8" t="s">
        <v>1595</v>
      </c>
      <c r="D147" s="656" t="s">
        <v>1603</v>
      </c>
      <c r="E147" s="8" t="s">
        <v>1597</v>
      </c>
      <c r="F147" s="8" t="s">
        <v>747</v>
      </c>
      <c r="G147" s="8" t="s">
        <v>32</v>
      </c>
      <c r="H147" s="13" t="s">
        <v>59</v>
      </c>
      <c r="I147" s="642">
        <v>45056</v>
      </c>
      <c r="J147" s="18">
        <v>45145</v>
      </c>
      <c r="K147" s="175">
        <v>45133</v>
      </c>
      <c r="L147" s="16">
        <f>IF(ISTEXT(Table157[[#This Row],[Engineering Approved Design Date]]),Table157[[#This Row],[Date Completed]]-Table157[[#This Row],[Date Assigned to Designer]],Table157[[#This Row],[Engineering Approved Design Date]]-Table157[[#This Row],[Date Completed]])</f>
        <v>12</v>
      </c>
      <c r="M147" s="642"/>
      <c r="N147" s="642" t="s">
        <v>120</v>
      </c>
      <c r="O147" s="510">
        <v>45139</v>
      </c>
      <c r="P147" s="221" t="s">
        <v>739</v>
      </c>
      <c r="Q147" s="74">
        <f>Table157[[#This Row],[Rate]]*Table157[[#This Row],[Construction Cost to Bill From]]</f>
        <v>8924.6623999999993</v>
      </c>
      <c r="R147" s="75">
        <v>0.08</v>
      </c>
      <c r="U147" s="87"/>
      <c r="V147" s="437">
        <v>17</v>
      </c>
      <c r="W147" s="437">
        <v>0</v>
      </c>
      <c r="X147" s="94">
        <v>93106.99</v>
      </c>
      <c r="Y147" s="551"/>
      <c r="Z147" s="552">
        <v>18451.29</v>
      </c>
      <c r="AA147" s="300">
        <f>SUM(Table157[[#This Row],[PCTS Investment Amount]:[PCTS Retirement Amount]])</f>
        <v>111558.28</v>
      </c>
      <c r="AB147" s="207">
        <v>45142</v>
      </c>
      <c r="AC147" s="108" t="s">
        <v>1177</v>
      </c>
      <c r="AD147" s="108" t="s">
        <v>29</v>
      </c>
      <c r="AE147" s="187" t="s">
        <v>29</v>
      </c>
      <c r="AF147" s="568" t="s">
        <v>116</v>
      </c>
      <c r="AG147" s="568" t="s">
        <v>709</v>
      </c>
      <c r="AH147" s="356" t="s">
        <v>709</v>
      </c>
      <c r="AI147" s="341"/>
      <c r="AJ147" s="183"/>
      <c r="AK147" s="183"/>
      <c r="AL147" s="494">
        <f>SUM(Table157[[#This Row],[Nicor Initiated DBE]:[Staffing]])/(Table157[[#This Row],[Amount Invoiced]])</f>
        <v>0</v>
      </c>
      <c r="AM147" s="21" t="s">
        <v>116</v>
      </c>
      <c r="AN147" s="680" t="s">
        <v>709</v>
      </c>
      <c r="AO147" s="681">
        <v>11082769</v>
      </c>
      <c r="AP147" s="572"/>
      <c r="AQ147" s="572"/>
      <c r="AR147" s="572"/>
      <c r="AS147" s="538">
        <f>IF(Table157[[#This Row],[PCTS Approved]]="N",0,Table157[[#This Row],[Investment Amount (1'#'#'#'#'#)]]+Table157[[#This Row],[Retirement Amount (3'#'#'#'#'#)]])</f>
        <v>0</v>
      </c>
      <c r="AT147" s="538">
        <f>IF(Table157[[#This Row],[Approved Construction Cost]]=0,0,Table157[[#This Row],[Approved Construction Cost]]-Table157[[#This Row],[Construction Cost to Bill From]])</f>
        <v>0</v>
      </c>
      <c r="AU147" s="538">
        <f>IFERROR(Table157[[#This Row],[Difference in Construction Cost]]*Table157[[#This Row],[Rate]],Table157[[#This Row],[Difference in Construction Cost]]*0.085)</f>
        <v>0</v>
      </c>
      <c r="AV147" s="572"/>
      <c r="AW147" s="639"/>
      <c r="AX147" s="538"/>
      <c r="AY147" s="636" t="s">
        <v>709</v>
      </c>
      <c r="AZ147" s="443">
        <v>18</v>
      </c>
      <c r="BA147" s="334" t="s">
        <v>3</v>
      </c>
      <c r="BB147" s="652" t="s">
        <v>1598</v>
      </c>
      <c r="BC147" s="644" t="s">
        <v>1599</v>
      </c>
      <c r="BD147" s="478" t="s">
        <v>709</v>
      </c>
      <c r="BE147" s="544" t="s">
        <v>837</v>
      </c>
      <c r="BF147" s="544" t="s">
        <v>1600</v>
      </c>
      <c r="BG147" s="544" t="s">
        <v>1600</v>
      </c>
      <c r="BH147" s="512" t="s">
        <v>1582</v>
      </c>
      <c r="BI147" s="645" t="s">
        <v>1601</v>
      </c>
      <c r="BJ147" s="511" t="s">
        <v>709</v>
      </c>
      <c r="BK147" s="546" t="s">
        <v>709</v>
      </c>
      <c r="BL147" s="546" t="s">
        <v>116</v>
      </c>
      <c r="BM147" s="546" t="s">
        <v>116</v>
      </c>
      <c r="BN147" s="546" t="s">
        <v>709</v>
      </c>
      <c r="BO147" s="546" t="s">
        <v>709</v>
      </c>
      <c r="BP147" s="546" t="s">
        <v>709</v>
      </c>
      <c r="BQ147" s="546" t="s">
        <v>709</v>
      </c>
      <c r="BR147" s="546" t="s">
        <v>709</v>
      </c>
      <c r="BS147" s="546">
        <v>17</v>
      </c>
      <c r="BT147" s="546" t="s">
        <v>709</v>
      </c>
      <c r="BU147" s="546" t="s">
        <v>709</v>
      </c>
      <c r="BV147" s="546" t="s">
        <v>709</v>
      </c>
      <c r="BW147" s="546" t="s">
        <v>709</v>
      </c>
      <c r="BX147" s="546" t="s">
        <v>709</v>
      </c>
      <c r="BY147" s="546" t="s">
        <v>745</v>
      </c>
      <c r="BZ147" s="546" t="s">
        <v>1602</v>
      </c>
      <c r="CA147" s="506" t="s">
        <v>769</v>
      </c>
    </row>
    <row r="148" spans="1:79" ht="15" hidden="1" customHeight="1" x14ac:dyDescent="0.25">
      <c r="A148" s="8" t="s">
        <v>749</v>
      </c>
      <c r="B148" s="8" t="s">
        <v>759</v>
      </c>
      <c r="C148" s="8" t="s">
        <v>445</v>
      </c>
      <c r="D148" s="8" t="s">
        <v>1604</v>
      </c>
      <c r="E148" s="8" t="s">
        <v>1605</v>
      </c>
      <c r="F148" s="8" t="s">
        <v>752</v>
      </c>
      <c r="G148" s="8" t="s">
        <v>34</v>
      </c>
      <c r="H148" s="13" t="s">
        <v>59</v>
      </c>
      <c r="I148" s="642">
        <v>44838</v>
      </c>
      <c r="J148" s="18">
        <v>45138</v>
      </c>
      <c r="K148" s="175">
        <v>45135</v>
      </c>
      <c r="L148" s="16">
        <f>IF(ISTEXT(Table157[[#This Row],[Engineering Approved Design Date]]),Table157[[#This Row],[Date Completed]]-Table157[[#This Row],[Date Assigned to Designer]],Table157[[#This Row],[Engineering Approved Design Date]]-Table157[[#This Row],[Date Completed]])</f>
        <v>3</v>
      </c>
      <c r="M148" s="642"/>
      <c r="N148" s="642" t="s">
        <v>120</v>
      </c>
      <c r="O148" s="510">
        <v>45139</v>
      </c>
      <c r="P148" s="221" t="s">
        <v>120</v>
      </c>
      <c r="Q148" s="74">
        <f>Table157[[#This Row],[Rate]]*Table157[[#This Row],[Construction Cost to Bill From]]</f>
        <v>240051.9682</v>
      </c>
      <c r="R148" s="75">
        <v>0.11</v>
      </c>
      <c r="U148" s="87"/>
      <c r="V148" s="437">
        <v>2503</v>
      </c>
      <c r="W148" s="437">
        <v>2</v>
      </c>
      <c r="X148" s="106">
        <v>1835781.07</v>
      </c>
      <c r="Y148" s="551"/>
      <c r="Z148" s="552">
        <v>346509.55</v>
      </c>
      <c r="AA148" s="300">
        <f>SUM(Table157[[#This Row],[PCTS Investment Amount]:[PCTS Retirement Amount]])</f>
        <v>2182290.62</v>
      </c>
      <c r="AB148" s="207">
        <v>45141</v>
      </c>
      <c r="AC148" s="108" t="s">
        <v>1441</v>
      </c>
      <c r="AD148" s="108" t="s">
        <v>29</v>
      </c>
      <c r="AE148" s="187"/>
      <c r="AF148" s="568"/>
      <c r="AG148" s="568"/>
      <c r="AH148" s="356"/>
      <c r="AI148" s="341"/>
      <c r="AJ148" s="183"/>
      <c r="AK148" s="183"/>
      <c r="AL148" s="494">
        <f>SUM(Table157[[#This Row],[Nicor Initiated DBE]:[Staffing]])/(Table157[[#This Row],[Amount Invoiced]])</f>
        <v>0</v>
      </c>
      <c r="AM148" s="21" t="s">
        <v>116</v>
      </c>
      <c r="AN148" s="680" t="s">
        <v>709</v>
      </c>
      <c r="AO148" s="601">
        <v>11058963</v>
      </c>
      <c r="AP148" s="572"/>
      <c r="AQ148" s="572"/>
      <c r="AR148" s="572"/>
      <c r="AS148" s="538">
        <f>IF(Table157[[#This Row],[PCTS Approved]]="N",0,Table157[[#This Row],[Investment Amount (1'#'#'#'#'#)]]+Table157[[#This Row],[Retirement Amount (3'#'#'#'#'#)]])</f>
        <v>0</v>
      </c>
      <c r="AT148" s="538">
        <f>IF(Table157[[#This Row],[Approved Construction Cost]]=0,0,Table157[[#This Row],[Approved Construction Cost]]-Table157[[#This Row],[Construction Cost to Bill From]])</f>
        <v>0</v>
      </c>
      <c r="AU148" s="538">
        <f>IFERROR(Table157[[#This Row],[Difference in Construction Cost]]*Table157[[#This Row],[Rate]],Table157[[#This Row],[Difference in Construction Cost]]*0.085)</f>
        <v>0</v>
      </c>
      <c r="AV148" s="572"/>
      <c r="AW148" s="639"/>
      <c r="AX148" s="538"/>
      <c r="AY148" s="636" t="s">
        <v>709</v>
      </c>
      <c r="AZ148" s="443">
        <v>157</v>
      </c>
      <c r="BA148" s="334" t="s">
        <v>2</v>
      </c>
      <c r="BB148" s="659" t="s">
        <v>1606</v>
      </c>
      <c r="BC148" s="648" t="s">
        <v>1607</v>
      </c>
      <c r="BD148" s="478" t="s">
        <v>250</v>
      </c>
      <c r="BE148" s="544" t="s">
        <v>837</v>
      </c>
      <c r="BF148" s="544" t="s">
        <v>615</v>
      </c>
      <c r="BG148" s="544" t="s">
        <v>115</v>
      </c>
      <c r="BH148" s="512" t="s">
        <v>115</v>
      </c>
      <c r="BI148" s="645"/>
      <c r="BJ148" s="625" t="s">
        <v>709</v>
      </c>
      <c r="BK148" s="623" t="s">
        <v>709</v>
      </c>
      <c r="BL148" s="623" t="s">
        <v>116</v>
      </c>
      <c r="BM148" s="623" t="s">
        <v>116</v>
      </c>
      <c r="BN148" s="623" t="s">
        <v>709</v>
      </c>
      <c r="BO148" s="623">
        <v>583</v>
      </c>
      <c r="BP148" s="623" t="s">
        <v>709</v>
      </c>
      <c r="BQ148" s="623">
        <v>451</v>
      </c>
      <c r="BR148" s="623">
        <v>1148</v>
      </c>
      <c r="BS148" s="623">
        <v>86</v>
      </c>
      <c r="BT148" s="623">
        <v>55</v>
      </c>
      <c r="BU148" s="623">
        <v>2</v>
      </c>
      <c r="BV148" s="623" t="s">
        <v>709</v>
      </c>
      <c r="BW148" s="623" t="s">
        <v>709</v>
      </c>
      <c r="BX148" s="623">
        <v>2</v>
      </c>
      <c r="BY148" s="623">
        <v>2</v>
      </c>
      <c r="BZ148" s="623" t="s">
        <v>709</v>
      </c>
      <c r="CA148" s="507" t="s">
        <v>1022</v>
      </c>
    </row>
    <row r="149" spans="1:79" ht="15" hidden="1" customHeight="1" x14ac:dyDescent="0.25">
      <c r="A149" s="8" t="s">
        <v>749</v>
      </c>
      <c r="B149" s="8" t="s">
        <v>4</v>
      </c>
      <c r="C149" s="8" t="s">
        <v>1608</v>
      </c>
      <c r="D149" s="8" t="s">
        <v>1609</v>
      </c>
      <c r="E149" s="8" t="s">
        <v>232</v>
      </c>
      <c r="F149" s="8" t="s">
        <v>747</v>
      </c>
      <c r="G149" s="8" t="s">
        <v>31</v>
      </c>
      <c r="H149" s="13" t="s">
        <v>59</v>
      </c>
      <c r="I149" s="642">
        <v>44977</v>
      </c>
      <c r="J149" s="18">
        <v>45142</v>
      </c>
      <c r="K149" s="175">
        <v>45142</v>
      </c>
      <c r="L149" s="649">
        <f>IF(ISTEXT(Table157[[#This Row],[Engineering Approved Design Date]]),Table157[[#This Row],[Date Completed]]-Table157[[#This Row],[Date Assigned to Designer]],Table157[[#This Row],[Engineering Approved Design Date]]-Table157[[#This Row],[Date Completed]])</f>
        <v>0</v>
      </c>
      <c r="M149" s="642" t="s">
        <v>1610</v>
      </c>
      <c r="N149" s="642" t="s">
        <v>120</v>
      </c>
      <c r="O149" s="510">
        <v>45200</v>
      </c>
      <c r="P149" s="221" t="s">
        <v>739</v>
      </c>
      <c r="Q149" s="74">
        <f>Table157[[#This Row],[Rate]]*Table157[[#This Row],[Construction Cost to Bill From]]</f>
        <v>24659.753000000001</v>
      </c>
      <c r="R149" s="75">
        <v>0.1</v>
      </c>
      <c r="U149" s="87"/>
      <c r="V149" s="437">
        <v>905</v>
      </c>
      <c r="W149" s="437">
        <v>0</v>
      </c>
      <c r="X149" s="94">
        <v>213292.88</v>
      </c>
      <c r="Y149" s="592"/>
      <c r="Z149" s="552">
        <v>33304.65</v>
      </c>
      <c r="AA149" s="300">
        <f>SUM(Table157[[#This Row],[PCTS Investment Amount]:[PCTS Retirement Amount]])</f>
        <v>246597.53</v>
      </c>
      <c r="AB149" s="207">
        <v>45026</v>
      </c>
      <c r="AC149" s="108" t="s">
        <v>709</v>
      </c>
      <c r="AD149" s="108" t="s">
        <v>29</v>
      </c>
      <c r="AE149" s="187" t="s">
        <v>756</v>
      </c>
      <c r="AF149" s="568" t="s">
        <v>29</v>
      </c>
      <c r="AG149" s="568" t="s">
        <v>29</v>
      </c>
      <c r="AH149" s="356" t="s">
        <v>29</v>
      </c>
      <c r="AI149" s="489"/>
      <c r="AJ149" s="553"/>
      <c r="AK149" s="553"/>
      <c r="AL149" s="495">
        <f>SUM(Table157[[#This Row],[Nicor Initiated DBE]:[Staffing]])/(Table157[[#This Row],[Amount Invoiced]])</f>
        <v>0</v>
      </c>
      <c r="AM149" s="21" t="s">
        <v>116</v>
      </c>
      <c r="AN149" s="680" t="s">
        <v>709</v>
      </c>
      <c r="AO149" s="681"/>
      <c r="AP149" s="682"/>
      <c r="AQ149" s="682"/>
      <c r="AR149" s="682"/>
      <c r="AS149" s="538">
        <f>IF(Table157[[#This Row],[PCTS Approved]]="N",0,Table157[[#This Row],[Investment Amount (1'#'#'#'#'#)]]+Table157[[#This Row],[Retirement Amount (3'#'#'#'#'#)]])</f>
        <v>0</v>
      </c>
      <c r="AT149" s="538">
        <f>IF(Table157[[#This Row],[Approved Construction Cost]]=0,0,Table157[[#This Row],[Approved Construction Cost]]-Table157[[#This Row],[Construction Cost to Bill From]])</f>
        <v>0</v>
      </c>
      <c r="AU149" s="538">
        <f>IFERROR(Table157[[#This Row],[Difference in Construction Cost]]*Table157[[#This Row],[Rate]],Table157[[#This Row],[Difference in Construction Cost]]*0.085)</f>
        <v>0</v>
      </c>
      <c r="AV149" s="682"/>
      <c r="AW149" s="683"/>
      <c r="AX149" s="555"/>
      <c r="AY149" s="636" t="s">
        <v>709</v>
      </c>
      <c r="AZ149" s="443">
        <v>93</v>
      </c>
      <c r="BA149" s="334" t="s">
        <v>4</v>
      </c>
      <c r="BB149" s="652" t="s">
        <v>1611</v>
      </c>
      <c r="BC149" s="644" t="s">
        <v>1045</v>
      </c>
      <c r="BD149" s="478" t="s">
        <v>709</v>
      </c>
      <c r="BE149" s="544" t="s">
        <v>1092</v>
      </c>
      <c r="BF149" s="544" t="s">
        <v>595</v>
      </c>
      <c r="BG149" s="544" t="s">
        <v>595</v>
      </c>
      <c r="BH149" s="483" t="s">
        <v>709</v>
      </c>
      <c r="BI149" s="537" t="s">
        <v>1612</v>
      </c>
      <c r="BJ149" s="511" t="s">
        <v>709</v>
      </c>
      <c r="BK149" s="546" t="s">
        <v>709</v>
      </c>
      <c r="BL149" s="546" t="s">
        <v>709</v>
      </c>
      <c r="BM149" s="546" t="s">
        <v>116</v>
      </c>
      <c r="BN149" s="546" t="s">
        <v>709</v>
      </c>
      <c r="BO149" s="546" t="s">
        <v>709</v>
      </c>
      <c r="BP149" s="546" t="s">
        <v>709</v>
      </c>
      <c r="BQ149" s="546" t="s">
        <v>709</v>
      </c>
      <c r="BR149" s="546" t="s">
        <v>709</v>
      </c>
      <c r="BS149" s="546">
        <v>535</v>
      </c>
      <c r="BT149" s="546">
        <v>370</v>
      </c>
      <c r="BU149" s="546" t="s">
        <v>709</v>
      </c>
      <c r="BV149" s="546" t="s">
        <v>709</v>
      </c>
      <c r="BW149" s="546" t="s">
        <v>709</v>
      </c>
      <c r="BX149" s="546" t="s">
        <v>709</v>
      </c>
      <c r="BY149" s="546" t="s">
        <v>745</v>
      </c>
      <c r="BZ149" s="546" t="s">
        <v>709</v>
      </c>
      <c r="CA149" s="506"/>
    </row>
    <row r="150" spans="1:79" ht="15" hidden="1" customHeight="1" x14ac:dyDescent="0.25">
      <c r="A150" s="13">
        <v>2023</v>
      </c>
      <c r="B150" s="13" t="s">
        <v>759</v>
      </c>
      <c r="C150" s="13" t="s">
        <v>224</v>
      </c>
      <c r="D150" s="13">
        <v>102083</v>
      </c>
      <c r="E150" s="13" t="s">
        <v>225</v>
      </c>
      <c r="F150" s="452" t="s">
        <v>752</v>
      </c>
      <c r="G150" s="13" t="s">
        <v>34</v>
      </c>
      <c r="H150" s="13" t="s">
        <v>59</v>
      </c>
      <c r="I150" s="642">
        <v>44965</v>
      </c>
      <c r="J150" s="18">
        <v>45142</v>
      </c>
      <c r="K150" s="175">
        <v>45142</v>
      </c>
      <c r="L150" s="649">
        <f>IF(ISTEXT(Table157[[#This Row],[Engineering Approved Design Date]]),Table157[[#This Row],[Date Completed]]-Table157[[#This Row],[Date Assigned to Designer]],Table157[[#This Row],[Engineering Approved Design Date]]-Table157[[#This Row],[Date Completed]])</f>
        <v>0</v>
      </c>
      <c r="N150" s="642" t="s">
        <v>120</v>
      </c>
      <c r="O150" s="558">
        <v>45170</v>
      </c>
      <c r="P150" s="221" t="s">
        <v>120</v>
      </c>
      <c r="Q150" s="74">
        <f>Table157[[#This Row],[Rate]]*Table157[[#This Row],[Construction Cost to Bill From]]</f>
        <v>150646.77649999998</v>
      </c>
      <c r="R150" s="77">
        <v>0.11</v>
      </c>
      <c r="V150" s="442">
        <v>776</v>
      </c>
      <c r="W150" s="442">
        <v>1</v>
      </c>
      <c r="X150" s="94">
        <v>1256808.9099999999</v>
      </c>
      <c r="Y150" s="550"/>
      <c r="Z150" s="552">
        <v>112707.24</v>
      </c>
      <c r="AA150" s="300">
        <f>SUM(Table157[[#This Row],[PCTS Investment Amount]:[PCTS Retirement Amount]])</f>
        <v>1369516.15</v>
      </c>
      <c r="AB150" s="212">
        <v>45166</v>
      </c>
      <c r="AC150" s="229" t="s">
        <v>1441</v>
      </c>
      <c r="AD150" s="229" t="s">
        <v>29</v>
      </c>
      <c r="AE150" s="455"/>
      <c r="AF150" s="576"/>
      <c r="AG150" s="576"/>
      <c r="AH150" s="456"/>
      <c r="AI150" s="476"/>
      <c r="AJ150" s="573"/>
      <c r="AK150" s="573"/>
      <c r="AL150" s="497">
        <f>SUM(Table157[[#This Row],[Nicor Initiated DBE]:[Staffing]])/(Table157[[#This Row],[Amount Invoiced]])</f>
        <v>0</v>
      </c>
      <c r="AM150" s="21" t="s">
        <v>116</v>
      </c>
      <c r="AN150" s="680" t="s">
        <v>709</v>
      </c>
      <c r="AO150" s="601">
        <v>11015976</v>
      </c>
      <c r="AP150" s="572"/>
      <c r="AQ150" s="572"/>
      <c r="AR150" s="572"/>
      <c r="AS150" s="538">
        <f>IF(Table157[[#This Row],[PCTS Approved]]="N",0,Table157[[#This Row],[Investment Amount (1'#'#'#'#'#)]]+Table157[[#This Row],[Retirement Amount (3'#'#'#'#'#)]])</f>
        <v>0</v>
      </c>
      <c r="AT150" s="538">
        <f>IF(Table157[[#This Row],[Approved Construction Cost]]=0,0,Table157[[#This Row],[Approved Construction Cost]]-Table157[[#This Row],[Construction Cost to Bill From]])</f>
        <v>0</v>
      </c>
      <c r="AU150" s="538">
        <f>IFERROR(Table157[[#This Row],[Difference in Construction Cost]]*Table157[[#This Row],[Rate]],Table157[[#This Row],[Difference in Construction Cost]]*0.085)</f>
        <v>0</v>
      </c>
      <c r="AV150" s="572"/>
      <c r="AW150" s="639"/>
      <c r="AX150" s="538"/>
      <c r="AY150" s="636" t="s">
        <v>709</v>
      </c>
      <c r="AZ150" s="443">
        <v>158</v>
      </c>
      <c r="BA150" s="334" t="s">
        <v>2</v>
      </c>
      <c r="BB150" s="652" t="s">
        <v>1613</v>
      </c>
      <c r="BC150" s="543" t="s">
        <v>1614</v>
      </c>
      <c r="BD150" s="478" t="s">
        <v>250</v>
      </c>
      <c r="BE150" s="544" t="s">
        <v>1066</v>
      </c>
      <c r="BF150" s="544" t="s">
        <v>115</v>
      </c>
      <c r="BG150" s="544" t="s">
        <v>115</v>
      </c>
      <c r="BH150" s="512" t="s">
        <v>115</v>
      </c>
      <c r="BI150" s="645" t="s">
        <v>1273</v>
      </c>
      <c r="BJ150" s="511" t="s">
        <v>709</v>
      </c>
      <c r="BK150" s="546" t="s">
        <v>709</v>
      </c>
      <c r="BL150" s="546" t="s">
        <v>709</v>
      </c>
      <c r="BM150" s="546" t="s">
        <v>116</v>
      </c>
      <c r="BN150" s="546" t="s">
        <v>709</v>
      </c>
      <c r="BO150" s="546" t="s">
        <v>709</v>
      </c>
      <c r="BP150" s="546" t="s">
        <v>709</v>
      </c>
      <c r="BQ150" s="546">
        <v>547</v>
      </c>
      <c r="BR150" s="546">
        <v>41</v>
      </c>
      <c r="BS150" s="546">
        <v>73</v>
      </c>
      <c r="BT150" s="546">
        <v>25</v>
      </c>
      <c r="BU150" s="546">
        <v>1</v>
      </c>
      <c r="BV150" s="546" t="s">
        <v>709</v>
      </c>
      <c r="BW150" s="546" t="s">
        <v>745</v>
      </c>
      <c r="BX150" s="546">
        <v>1</v>
      </c>
      <c r="BY150" s="546" t="s">
        <v>709</v>
      </c>
      <c r="BZ150" s="546" t="s">
        <v>745</v>
      </c>
      <c r="CA150" s="506" t="s">
        <v>1022</v>
      </c>
    </row>
    <row r="151" spans="1:79" ht="15" hidden="1" customHeight="1" x14ac:dyDescent="0.25">
      <c r="A151" s="8" t="s">
        <v>749</v>
      </c>
      <c r="B151" s="8" t="s">
        <v>4</v>
      </c>
      <c r="C151" s="8" t="s">
        <v>404</v>
      </c>
      <c r="D151" s="8" t="s">
        <v>1615</v>
      </c>
      <c r="E151" s="8" t="s">
        <v>405</v>
      </c>
      <c r="F151" s="8" t="s">
        <v>747</v>
      </c>
      <c r="G151" s="8" t="s">
        <v>28</v>
      </c>
      <c r="H151" s="13" t="s">
        <v>59</v>
      </c>
      <c r="I151" s="642">
        <v>44963</v>
      </c>
      <c r="J151" s="18">
        <v>45148</v>
      </c>
      <c r="K151" s="175">
        <v>45147</v>
      </c>
      <c r="L151" s="649">
        <f>IF(ISTEXT(Table157[[#This Row],[Engineering Approved Design Date]]),Table157[[#This Row],[Date Completed]]-Table157[[#This Row],[Date Assigned to Designer]],Table157[[#This Row],[Engineering Approved Design Date]]-Table157[[#This Row],[Date Completed]])</f>
        <v>1</v>
      </c>
      <c r="M151" s="642"/>
      <c r="N151" s="642" t="s">
        <v>120</v>
      </c>
      <c r="O151" s="510">
        <v>45139</v>
      </c>
      <c r="P151" s="221" t="s">
        <v>739</v>
      </c>
      <c r="Q151" s="74">
        <f>Table157[[#This Row],[Rate]]*Table157[[#This Row],[Construction Cost to Bill From]]</f>
        <v>65280.822</v>
      </c>
      <c r="R151" s="75">
        <v>0.1</v>
      </c>
      <c r="U151" s="87"/>
      <c r="V151" s="437">
        <v>5576</v>
      </c>
      <c r="W151" s="437">
        <v>0</v>
      </c>
      <c r="X151" s="94">
        <v>626842.82999999996</v>
      </c>
      <c r="Y151" s="592"/>
      <c r="Z151" s="552">
        <v>25965.39</v>
      </c>
      <c r="AA151" s="300">
        <f>SUM(Table157[[#This Row],[PCTS Investment Amount]:[PCTS Retirement Amount]])</f>
        <v>652808.22</v>
      </c>
      <c r="AB151" s="207">
        <v>45141</v>
      </c>
      <c r="AC151" s="108" t="s">
        <v>116</v>
      </c>
      <c r="AD151" s="108" t="s">
        <v>29</v>
      </c>
      <c r="AE151" s="187" t="s">
        <v>756</v>
      </c>
      <c r="AF151" s="568" t="s">
        <v>756</v>
      </c>
      <c r="AG151" s="568" t="s">
        <v>116</v>
      </c>
      <c r="AH151" s="356">
        <v>45163</v>
      </c>
      <c r="AI151" s="489"/>
      <c r="AJ151" s="553"/>
      <c r="AK151" s="553"/>
      <c r="AL151" s="495">
        <f>SUM(Table157[[#This Row],[Nicor Initiated DBE]:[Staffing]])/(Table157[[#This Row],[Amount Invoiced]])</f>
        <v>0</v>
      </c>
      <c r="AM151" s="21" t="s">
        <v>116</v>
      </c>
      <c r="AN151" s="680" t="s">
        <v>709</v>
      </c>
      <c r="AO151" s="601"/>
      <c r="AP151" s="572"/>
      <c r="AQ151" s="572"/>
      <c r="AR151" s="572"/>
      <c r="AS151" s="538">
        <f>IF(Table157[[#This Row],[PCTS Approved]]="N",0,Table157[[#This Row],[Investment Amount (1'#'#'#'#'#)]]+Table157[[#This Row],[Retirement Amount (3'#'#'#'#'#)]])</f>
        <v>0</v>
      </c>
      <c r="AT151" s="538">
        <f>IF(Table157[[#This Row],[Approved Construction Cost]]=0,0,Table157[[#This Row],[Approved Construction Cost]]-Table157[[#This Row],[Construction Cost to Bill From]])</f>
        <v>0</v>
      </c>
      <c r="AU151" s="538">
        <f>IFERROR(Table157[[#This Row],[Difference in Construction Cost]]*Table157[[#This Row],[Rate]],Table157[[#This Row],[Difference in Construction Cost]]*0.085)</f>
        <v>0</v>
      </c>
      <c r="AV151" s="572"/>
      <c r="AW151" s="641"/>
      <c r="AX151" s="555"/>
      <c r="AY151" s="636" t="s">
        <v>709</v>
      </c>
      <c r="AZ151" s="443">
        <v>94</v>
      </c>
      <c r="BA151" s="334" t="s">
        <v>4</v>
      </c>
      <c r="BB151" s="652" t="s">
        <v>1616</v>
      </c>
      <c r="BC151" s="644" t="s">
        <v>1617</v>
      </c>
      <c r="BD151" s="478" t="s">
        <v>116</v>
      </c>
      <c r="BE151" s="544" t="s">
        <v>709</v>
      </c>
      <c r="BF151" s="544" t="s">
        <v>115</v>
      </c>
      <c r="BG151" s="544" t="s">
        <v>115</v>
      </c>
      <c r="BH151" s="483" t="s">
        <v>1618</v>
      </c>
      <c r="BI151" s="537" t="s">
        <v>1619</v>
      </c>
      <c r="BJ151" s="511" t="s">
        <v>709</v>
      </c>
      <c r="BK151" s="546" t="s">
        <v>116</v>
      </c>
      <c r="BL151" s="546" t="s">
        <v>709</v>
      </c>
      <c r="BM151" s="546" t="s">
        <v>709</v>
      </c>
      <c r="BN151" s="546" t="s">
        <v>709</v>
      </c>
      <c r="BO151" s="546" t="s">
        <v>709</v>
      </c>
      <c r="BP151" s="546" t="s">
        <v>709</v>
      </c>
      <c r="BQ151" s="546" t="s">
        <v>709</v>
      </c>
      <c r="BR151" s="546" t="s">
        <v>709</v>
      </c>
      <c r="BS151" s="546" t="s">
        <v>709</v>
      </c>
      <c r="BT151" s="546">
        <v>5576</v>
      </c>
      <c r="BU151" s="546" t="s">
        <v>709</v>
      </c>
      <c r="BV151" s="546" t="s">
        <v>709</v>
      </c>
      <c r="BW151" s="546" t="s">
        <v>709</v>
      </c>
      <c r="BX151" s="546" t="s">
        <v>709</v>
      </c>
      <c r="BY151" s="546" t="s">
        <v>745</v>
      </c>
      <c r="BZ151" s="546" t="s">
        <v>709</v>
      </c>
      <c r="CA151" s="506"/>
    </row>
    <row r="152" spans="1:79" ht="15" hidden="1" customHeight="1" x14ac:dyDescent="0.25">
      <c r="A152" s="8">
        <v>2023</v>
      </c>
      <c r="B152" s="8" t="s">
        <v>4</v>
      </c>
      <c r="C152" s="8" t="s">
        <v>414</v>
      </c>
      <c r="D152" s="8" t="s">
        <v>1620</v>
      </c>
      <c r="E152" s="8" t="s">
        <v>415</v>
      </c>
      <c r="F152" s="8" t="s">
        <v>784</v>
      </c>
      <c r="G152" s="8" t="s">
        <v>25</v>
      </c>
      <c r="H152" s="8" t="s">
        <v>59</v>
      </c>
      <c r="I152" s="642">
        <v>44946</v>
      </c>
      <c r="J152" s="18">
        <v>45156</v>
      </c>
      <c r="K152" s="97">
        <v>45155</v>
      </c>
      <c r="L152" s="16">
        <f>IF(ISTEXT(Table157[[#This Row],[Engineering Approved Design Date]]),Table157[[#This Row],[Date Completed]]-Table157[[#This Row],[Date Assigned to Designer]],Table157[[#This Row],[Engineering Approved Design Date]]-Table157[[#This Row],[Date Completed]])</f>
        <v>1</v>
      </c>
      <c r="M152" s="642"/>
      <c r="N152" s="642" t="s">
        <v>120</v>
      </c>
      <c r="O152" s="510">
        <v>45170</v>
      </c>
      <c r="P152" s="221" t="s">
        <v>739</v>
      </c>
      <c r="Q152" s="74">
        <f>Table157[[#This Row],[Rate]]*Table157[[#This Row],[Construction Cost to Bill From]]</f>
        <v>125752.53700000001</v>
      </c>
      <c r="R152" s="75">
        <v>0.1</v>
      </c>
      <c r="U152" s="87"/>
      <c r="V152" s="437">
        <v>1441</v>
      </c>
      <c r="W152" s="437">
        <v>0</v>
      </c>
      <c r="X152" s="24">
        <v>1112669.8700000001</v>
      </c>
      <c r="Y152" s="551"/>
      <c r="Z152" s="570">
        <v>144855.5</v>
      </c>
      <c r="AA152" s="300">
        <f>SUM(Table157[[#This Row],[PCTS Investment Amount]:[PCTS Retirement Amount]])</f>
        <v>1257525.3700000001</v>
      </c>
      <c r="AB152" s="207">
        <v>45125</v>
      </c>
      <c r="AC152" s="108" t="s">
        <v>116</v>
      </c>
      <c r="AD152" s="108" t="s">
        <v>29</v>
      </c>
      <c r="AE152" s="187" t="s">
        <v>756</v>
      </c>
      <c r="AF152" s="568" t="s">
        <v>116</v>
      </c>
      <c r="AG152" s="568" t="s">
        <v>116</v>
      </c>
      <c r="AH152" s="356">
        <v>45160</v>
      </c>
      <c r="AI152" s="489"/>
      <c r="AJ152" s="553"/>
      <c r="AK152" s="553"/>
      <c r="AL152" s="495">
        <f>SUM(Table157[[#This Row],[Nicor Initiated DBE]:[Staffing]])/(Table157[[#This Row],[Amount Invoiced]])</f>
        <v>0</v>
      </c>
      <c r="AM152" s="21" t="s">
        <v>116</v>
      </c>
      <c r="AN152" s="680" t="s">
        <v>709</v>
      </c>
      <c r="AO152" s="601"/>
      <c r="AP152" s="572"/>
      <c r="AQ152" s="572"/>
      <c r="AR152" s="572"/>
      <c r="AS152" s="538">
        <f>IF(Table157[[#This Row],[PCTS Approved]]="N",0,Table157[[#This Row],[Investment Amount (1'#'#'#'#'#)]]+Table157[[#This Row],[Retirement Amount (3'#'#'#'#'#)]])</f>
        <v>0</v>
      </c>
      <c r="AT152" s="538">
        <f>IF(Table157[[#This Row],[Approved Construction Cost]]=0,0,Table157[[#This Row],[Approved Construction Cost]]-Table157[[#This Row],[Construction Cost to Bill From]])</f>
        <v>0</v>
      </c>
      <c r="AU152" s="538">
        <f>IFERROR(Table157[[#This Row],[Difference in Construction Cost]]*Table157[[#This Row],[Rate]],Table157[[#This Row],[Difference in Construction Cost]]*0.085)</f>
        <v>0</v>
      </c>
      <c r="AV152" s="572"/>
      <c r="AW152" s="639"/>
      <c r="AX152" s="538"/>
      <c r="AY152" s="636" t="s">
        <v>709</v>
      </c>
      <c r="AZ152" s="443">
        <v>96</v>
      </c>
      <c r="BA152" s="334" t="s">
        <v>4</v>
      </c>
      <c r="BB152" s="659" t="s">
        <v>1621</v>
      </c>
      <c r="BC152" s="653" t="s">
        <v>870</v>
      </c>
      <c r="BD152" s="478" t="s">
        <v>116</v>
      </c>
      <c r="BE152" s="544" t="s">
        <v>709</v>
      </c>
      <c r="BF152" s="559" t="s">
        <v>1622</v>
      </c>
      <c r="BG152" s="554" t="s">
        <v>709</v>
      </c>
      <c r="BH152" s="483" t="s">
        <v>709</v>
      </c>
      <c r="BI152" s="537"/>
      <c r="BJ152" s="511" t="s">
        <v>709</v>
      </c>
      <c r="BK152" s="546" t="s">
        <v>709</v>
      </c>
      <c r="BL152" s="546" t="s">
        <v>709</v>
      </c>
      <c r="BM152" s="546" t="s">
        <v>116</v>
      </c>
      <c r="BN152" s="546" t="s">
        <v>709</v>
      </c>
      <c r="BO152" s="546" t="s">
        <v>709</v>
      </c>
      <c r="BP152" s="546" t="s">
        <v>709</v>
      </c>
      <c r="BQ152" s="546">
        <v>723</v>
      </c>
      <c r="BR152" s="546">
        <v>591</v>
      </c>
      <c r="BS152" s="546" t="s">
        <v>709</v>
      </c>
      <c r="BT152" s="546">
        <v>127</v>
      </c>
      <c r="BU152" s="546" t="s">
        <v>709</v>
      </c>
      <c r="BV152" s="546" t="s">
        <v>709</v>
      </c>
      <c r="BW152" s="546" t="s">
        <v>745</v>
      </c>
      <c r="BX152" s="546" t="s">
        <v>709</v>
      </c>
      <c r="BY152" s="546" t="s">
        <v>709</v>
      </c>
      <c r="BZ152" s="546" t="s">
        <v>709</v>
      </c>
      <c r="CA152" s="506"/>
    </row>
    <row r="153" spans="1:79" ht="15" hidden="1" customHeight="1" x14ac:dyDescent="0.25">
      <c r="A153" s="8" t="s">
        <v>749</v>
      </c>
      <c r="B153" s="8" t="s">
        <v>4</v>
      </c>
      <c r="C153" s="8" t="s">
        <v>1623</v>
      </c>
      <c r="D153" s="8" t="s">
        <v>1624</v>
      </c>
      <c r="E153" s="8" t="s">
        <v>400</v>
      </c>
      <c r="F153" s="8" t="s">
        <v>784</v>
      </c>
      <c r="G153" s="8" t="s">
        <v>35</v>
      </c>
      <c r="H153" s="8" t="s">
        <v>59</v>
      </c>
      <c r="I153" s="642">
        <v>45027</v>
      </c>
      <c r="J153" s="18">
        <v>45173</v>
      </c>
      <c r="K153" s="97">
        <v>45168</v>
      </c>
      <c r="L153" s="16">
        <f>IF(ISTEXT(Table157[[#This Row],[Engineering Approved Design Date]]),Table157[[#This Row],[Date Completed]]-Table157[[#This Row],[Date Assigned to Designer]],Table157[[#This Row],[Engineering Approved Design Date]]-Table157[[#This Row],[Date Completed]])</f>
        <v>5</v>
      </c>
      <c r="M153" s="642"/>
      <c r="N153" s="642" t="s">
        <v>120</v>
      </c>
      <c r="O153" s="510">
        <v>45170</v>
      </c>
      <c r="P153" s="221" t="s">
        <v>739</v>
      </c>
      <c r="Q153" s="74">
        <f>Table157[[#This Row],[Rate]]*Table157[[#This Row],[Construction Cost to Bill From]]</f>
        <v>80882.487000000008</v>
      </c>
      <c r="R153" s="75">
        <v>0.1</v>
      </c>
      <c r="U153" s="87"/>
      <c r="V153" s="437">
        <v>1531</v>
      </c>
      <c r="W153" s="437">
        <v>0</v>
      </c>
      <c r="X153" s="24">
        <v>766647.95</v>
      </c>
      <c r="Y153" s="551"/>
      <c r="Z153" s="570">
        <v>42176.92</v>
      </c>
      <c r="AA153" s="300">
        <f>SUM(Table157[[#This Row],[PCTS Investment Amount]:[PCTS Retirement Amount]])</f>
        <v>808824.87</v>
      </c>
      <c r="AB153" s="207">
        <v>45107</v>
      </c>
      <c r="AC153" s="108" t="s">
        <v>116</v>
      </c>
      <c r="AD153" s="108" t="s">
        <v>29</v>
      </c>
      <c r="AE153" s="187" t="s">
        <v>756</v>
      </c>
      <c r="AF153" s="568" t="s">
        <v>29</v>
      </c>
      <c r="AG153" s="569" t="s">
        <v>756</v>
      </c>
      <c r="AH153" s="356" t="s">
        <v>29</v>
      </c>
      <c r="AI153" s="489"/>
      <c r="AJ153" s="553"/>
      <c r="AK153" s="553"/>
      <c r="AL153" s="495">
        <f>SUM(Table157[[#This Row],[Nicor Initiated DBE]:[Staffing]])/(Table157[[#This Row],[Amount Invoiced]])</f>
        <v>0</v>
      </c>
      <c r="AM153" s="21" t="s">
        <v>116</v>
      </c>
      <c r="AN153" s="680" t="s">
        <v>709</v>
      </c>
      <c r="AO153" s="601"/>
      <c r="AP153" s="572"/>
      <c r="AQ153" s="572"/>
      <c r="AR153" s="572"/>
      <c r="AS153" s="538">
        <f>IF(Table157[[#This Row],[PCTS Approved]]="N",0,Table157[[#This Row],[Investment Amount (1'#'#'#'#'#)]]+Table157[[#This Row],[Retirement Amount (3'#'#'#'#'#)]])</f>
        <v>0</v>
      </c>
      <c r="AT153" s="538">
        <f>IF(Table157[[#This Row],[Approved Construction Cost]]=0,0,Table157[[#This Row],[Approved Construction Cost]]-Table157[[#This Row],[Construction Cost to Bill From]])</f>
        <v>0</v>
      </c>
      <c r="AU153" s="538">
        <f>IFERROR(Table157[[#This Row],[Difference in Construction Cost]]*Table157[[#This Row],[Rate]],Table157[[#This Row],[Difference in Construction Cost]]*0.085)</f>
        <v>0</v>
      </c>
      <c r="AV153" s="572"/>
      <c r="AW153" s="639"/>
      <c r="AX153" s="538"/>
      <c r="AY153" s="636" t="s">
        <v>709</v>
      </c>
      <c r="AZ153" s="443">
        <v>97</v>
      </c>
      <c r="BA153" s="334" t="s">
        <v>4</v>
      </c>
      <c r="BB153" s="659" t="s">
        <v>1625</v>
      </c>
      <c r="BC153" s="653" t="s">
        <v>870</v>
      </c>
      <c r="BD153" s="478" t="s">
        <v>115</v>
      </c>
      <c r="BE153" s="544" t="s">
        <v>1626</v>
      </c>
      <c r="BF153" s="559" t="s">
        <v>1627</v>
      </c>
      <c r="BG153" s="554" t="s">
        <v>709</v>
      </c>
      <c r="BH153" s="483" t="s">
        <v>709</v>
      </c>
      <c r="BI153" s="537"/>
      <c r="BJ153" s="511" t="s">
        <v>709</v>
      </c>
      <c r="BK153" s="546" t="s">
        <v>709</v>
      </c>
      <c r="BL153" s="546" t="s">
        <v>116</v>
      </c>
      <c r="BM153" s="546" t="s">
        <v>709</v>
      </c>
      <c r="BN153" s="546" t="s">
        <v>709</v>
      </c>
      <c r="BO153" s="546" t="s">
        <v>709</v>
      </c>
      <c r="BP153" s="546" t="s">
        <v>709</v>
      </c>
      <c r="BQ153" s="546">
        <v>600</v>
      </c>
      <c r="BR153" s="546" t="s">
        <v>709</v>
      </c>
      <c r="BS153" s="546" t="s">
        <v>709</v>
      </c>
      <c r="BT153" s="546" t="s">
        <v>709</v>
      </c>
      <c r="BU153" s="546" t="s">
        <v>709</v>
      </c>
      <c r="BV153" s="546" t="s">
        <v>709</v>
      </c>
      <c r="BW153" s="546" t="s">
        <v>745</v>
      </c>
      <c r="BX153" s="546" t="s">
        <v>709</v>
      </c>
      <c r="BY153" s="546" t="s">
        <v>709</v>
      </c>
      <c r="BZ153" s="546" t="s">
        <v>709</v>
      </c>
      <c r="CA153" s="506"/>
    </row>
    <row r="154" spans="1:79" ht="15" hidden="1" customHeight="1" x14ac:dyDescent="0.25">
      <c r="A154" s="8" t="s">
        <v>749</v>
      </c>
      <c r="B154" s="8" t="s">
        <v>4</v>
      </c>
      <c r="C154" s="8" t="s">
        <v>399</v>
      </c>
      <c r="D154" s="8" t="s">
        <v>1628</v>
      </c>
      <c r="E154" s="8" t="s">
        <v>400</v>
      </c>
      <c r="F154" s="8" t="s">
        <v>784</v>
      </c>
      <c r="G154" s="8" t="s">
        <v>35</v>
      </c>
      <c r="H154" s="8" t="s">
        <v>59</v>
      </c>
      <c r="I154" s="642">
        <v>45027</v>
      </c>
      <c r="J154" s="18">
        <v>45173</v>
      </c>
      <c r="K154" s="97">
        <v>45168</v>
      </c>
      <c r="L154" s="16">
        <f>IF(ISTEXT(Table157[[#This Row],[Engineering Approved Design Date]]),Table157[[#This Row],[Date Completed]]-Table157[[#This Row],[Date Assigned to Designer]],Table157[[#This Row],[Engineering Approved Design Date]]-Table157[[#This Row],[Date Completed]])</f>
        <v>5</v>
      </c>
      <c r="M154" s="642"/>
      <c r="N154" s="642" t="s">
        <v>120</v>
      </c>
      <c r="O154" s="510">
        <v>45170</v>
      </c>
      <c r="P154" s="221" t="s">
        <v>739</v>
      </c>
      <c r="Q154" s="74">
        <f>Table157[[#This Row],[Rate]]*Table157[[#This Row],[Construction Cost to Bill From]]</f>
        <v>22244.629000000001</v>
      </c>
      <c r="R154" s="75">
        <v>0.1</v>
      </c>
      <c r="U154" s="87"/>
      <c r="V154" s="437">
        <v>600</v>
      </c>
      <c r="W154" s="437">
        <v>0</v>
      </c>
      <c r="X154" s="24">
        <v>210973.81</v>
      </c>
      <c r="Y154" s="551"/>
      <c r="Z154" s="570">
        <v>11472.48</v>
      </c>
      <c r="AA154" s="300">
        <f>SUM(Table157[[#This Row],[PCTS Investment Amount]:[PCTS Retirement Amount]])</f>
        <v>222446.29</v>
      </c>
      <c r="AB154" s="207">
        <v>45107</v>
      </c>
      <c r="AC154" s="108" t="s">
        <v>116</v>
      </c>
      <c r="AD154" s="108" t="s">
        <v>29</v>
      </c>
      <c r="AE154" s="187" t="s">
        <v>756</v>
      </c>
      <c r="AF154" s="568" t="s">
        <v>29</v>
      </c>
      <c r="AG154" s="569" t="s">
        <v>756</v>
      </c>
      <c r="AH154" s="356" t="s">
        <v>29</v>
      </c>
      <c r="AI154" s="489"/>
      <c r="AJ154" s="553"/>
      <c r="AK154" s="553"/>
      <c r="AL154" s="495">
        <f>SUM(Table157[[#This Row],[Nicor Initiated DBE]:[Staffing]])/(Table157[[#This Row],[Amount Invoiced]])</f>
        <v>0</v>
      </c>
      <c r="AM154" s="21" t="s">
        <v>116</v>
      </c>
      <c r="AN154" s="680" t="s">
        <v>709</v>
      </c>
      <c r="AO154" s="601"/>
      <c r="AP154" s="572"/>
      <c r="AQ154" s="572"/>
      <c r="AR154" s="572"/>
      <c r="AS154" s="538">
        <f>IF(Table157[[#This Row],[PCTS Approved]]="N",0,Table157[[#This Row],[Investment Amount (1'#'#'#'#'#)]]+Table157[[#This Row],[Retirement Amount (3'#'#'#'#'#)]])</f>
        <v>0</v>
      </c>
      <c r="AT154" s="538">
        <f>IF(Table157[[#This Row],[Approved Construction Cost]]=0,0,Table157[[#This Row],[Approved Construction Cost]]-Table157[[#This Row],[Construction Cost to Bill From]])</f>
        <v>0</v>
      </c>
      <c r="AU154" s="538">
        <f>IFERROR(Table157[[#This Row],[Difference in Construction Cost]]*Table157[[#This Row],[Rate]],Table157[[#This Row],[Difference in Construction Cost]]*0.085)</f>
        <v>0</v>
      </c>
      <c r="AV154" s="572"/>
      <c r="AW154" s="639"/>
      <c r="AX154" s="538"/>
      <c r="AY154" s="636" t="s">
        <v>709</v>
      </c>
      <c r="AZ154" s="443">
        <v>98</v>
      </c>
      <c r="BA154" s="334" t="s">
        <v>4</v>
      </c>
      <c r="BB154" s="659" t="s">
        <v>1629</v>
      </c>
      <c r="BC154" s="653" t="s">
        <v>870</v>
      </c>
      <c r="BD154" s="478" t="s">
        <v>115</v>
      </c>
      <c r="BE154" s="544" t="s">
        <v>1626</v>
      </c>
      <c r="BF154" s="559" t="s">
        <v>1627</v>
      </c>
      <c r="BG154" s="554" t="s">
        <v>709</v>
      </c>
      <c r="BH154" s="483" t="s">
        <v>709</v>
      </c>
      <c r="BI154" s="537" t="s">
        <v>1630</v>
      </c>
      <c r="BJ154" s="511" t="s">
        <v>709</v>
      </c>
      <c r="BK154" s="546" t="s">
        <v>709</v>
      </c>
      <c r="BL154" s="546" t="s">
        <v>116</v>
      </c>
      <c r="BM154" s="546" t="s">
        <v>709</v>
      </c>
      <c r="BN154" s="546" t="s">
        <v>709</v>
      </c>
      <c r="BO154" s="546" t="s">
        <v>709</v>
      </c>
      <c r="BP154" s="546" t="s">
        <v>709</v>
      </c>
      <c r="BQ154" s="546">
        <v>600</v>
      </c>
      <c r="BR154" s="546" t="s">
        <v>709</v>
      </c>
      <c r="BS154" s="546" t="s">
        <v>709</v>
      </c>
      <c r="BT154" s="546" t="s">
        <v>709</v>
      </c>
      <c r="BU154" s="546" t="s">
        <v>709</v>
      </c>
      <c r="BV154" s="546" t="s">
        <v>709</v>
      </c>
      <c r="BW154" s="546" t="s">
        <v>745</v>
      </c>
      <c r="BX154" s="546" t="s">
        <v>709</v>
      </c>
      <c r="BY154" s="546" t="s">
        <v>709</v>
      </c>
      <c r="BZ154" s="546" t="s">
        <v>709</v>
      </c>
      <c r="CA154" s="506"/>
    </row>
    <row r="155" spans="1:79" ht="15" hidden="1" customHeight="1" x14ac:dyDescent="0.25">
      <c r="A155" s="8" t="s">
        <v>749</v>
      </c>
      <c r="B155" s="8" t="s">
        <v>4</v>
      </c>
      <c r="C155" s="8" t="s">
        <v>1631</v>
      </c>
      <c r="D155" s="8" t="s">
        <v>1632</v>
      </c>
      <c r="E155" s="8" t="s">
        <v>1633</v>
      </c>
      <c r="F155" s="8" t="s">
        <v>784</v>
      </c>
      <c r="G155" s="8" t="s">
        <v>25</v>
      </c>
      <c r="H155" s="8" t="s">
        <v>59</v>
      </c>
      <c r="I155" s="642">
        <v>44966</v>
      </c>
      <c r="J155" s="18">
        <v>45191</v>
      </c>
      <c r="K155" s="97">
        <v>45188</v>
      </c>
      <c r="L155" s="16">
        <f>IF(ISTEXT(Table157[[#This Row],[Engineering Approved Design Date]]),Table157[[#This Row],[Date Completed]]-Table157[[#This Row],[Date Assigned to Designer]],Table157[[#This Row],[Engineering Approved Design Date]]-Table157[[#This Row],[Date Completed]])</f>
        <v>3</v>
      </c>
      <c r="M155" s="642"/>
      <c r="N155" s="642" t="s">
        <v>120</v>
      </c>
      <c r="O155" s="510">
        <v>45200</v>
      </c>
      <c r="P155" s="221" t="s">
        <v>739</v>
      </c>
      <c r="Q155" s="74">
        <f>Table157[[#This Row],[Rate]]*Table157[[#This Row],[Construction Cost to Bill From]]</f>
        <v>70945.646999999997</v>
      </c>
      <c r="R155" s="75">
        <v>0.1</v>
      </c>
      <c r="U155" s="87"/>
      <c r="V155" s="437">
        <v>2830</v>
      </c>
      <c r="W155" s="437">
        <v>0</v>
      </c>
      <c r="X155" s="24">
        <v>680056.27</v>
      </c>
      <c r="Y155" s="551"/>
      <c r="Z155" s="570">
        <v>29400.2</v>
      </c>
      <c r="AA155" s="300">
        <f>Table157[[#This Row],[PCTS Retirement Amount]]+Table157[[#This Row],[PCTS Investment Amount]]</f>
        <v>709456.47</v>
      </c>
      <c r="AB155" s="207">
        <v>45175</v>
      </c>
      <c r="AC155" s="108" t="s">
        <v>709</v>
      </c>
      <c r="AD155" s="108" t="s">
        <v>29</v>
      </c>
      <c r="AE155" s="187" t="s">
        <v>756</v>
      </c>
      <c r="AF155" s="568" t="s">
        <v>756</v>
      </c>
      <c r="AG155" s="568" t="s">
        <v>116</v>
      </c>
      <c r="AH155" s="356">
        <v>45222</v>
      </c>
      <c r="AI155" s="489"/>
      <c r="AJ155" s="553"/>
      <c r="AK155" s="553"/>
      <c r="AL155" s="495">
        <f>SUM(Table157[[#This Row],[Nicor Initiated DBE]:[Staffing]])/(Table157[[#This Row],[Amount Invoiced]])</f>
        <v>0</v>
      </c>
      <c r="AM155" s="21" t="s">
        <v>116</v>
      </c>
      <c r="AN155" s="680" t="s">
        <v>709</v>
      </c>
      <c r="AO155" s="601"/>
      <c r="AP155" s="572"/>
      <c r="AQ155" s="572"/>
      <c r="AR155" s="572"/>
      <c r="AS155" s="538">
        <f>IF(Table157[[#This Row],[PCTS Approved]]="N",0,Table157[[#This Row],[Investment Amount (1'#'#'#'#'#)]]+Table157[[#This Row],[Retirement Amount (3'#'#'#'#'#)]])</f>
        <v>0</v>
      </c>
      <c r="AT155" s="538">
        <f>IF(Table157[[#This Row],[Approved Construction Cost]]=0,0,Table157[[#This Row],[Approved Construction Cost]]-Table157[[#This Row],[Construction Cost to Bill From]])</f>
        <v>0</v>
      </c>
      <c r="AU155" s="538">
        <f>IFERROR(Table157[[#This Row],[Difference in Construction Cost]]*Table157[[#This Row],[Rate]],Table157[[#This Row],[Difference in Construction Cost]]*0.085)</f>
        <v>0</v>
      </c>
      <c r="AV155" s="572"/>
      <c r="AW155" s="639"/>
      <c r="AX155" s="538"/>
      <c r="AY155" s="636" t="s">
        <v>709</v>
      </c>
      <c r="AZ155" s="443">
        <v>100</v>
      </c>
      <c r="BA155" s="334" t="s">
        <v>4</v>
      </c>
      <c r="BB155" s="659" t="s">
        <v>1634</v>
      </c>
      <c r="BC155" s="653" t="s">
        <v>1635</v>
      </c>
      <c r="BD155" s="478" t="s">
        <v>709</v>
      </c>
      <c r="BE155" s="544" t="s">
        <v>788</v>
      </c>
      <c r="BF155" s="559" t="s">
        <v>1636</v>
      </c>
      <c r="BG155" s="554" t="s">
        <v>709</v>
      </c>
      <c r="BH155" s="483" t="s">
        <v>709</v>
      </c>
      <c r="BI155" s="537" t="s">
        <v>1637</v>
      </c>
      <c r="BJ155" s="511" t="s">
        <v>709</v>
      </c>
      <c r="BK155" s="546" t="s">
        <v>709</v>
      </c>
      <c r="BL155" s="546" t="s">
        <v>709</v>
      </c>
      <c r="BM155" s="546" t="s">
        <v>116</v>
      </c>
      <c r="BN155" s="546" t="s">
        <v>709</v>
      </c>
      <c r="BO155" s="546" t="s">
        <v>709</v>
      </c>
      <c r="BP155" s="546" t="s">
        <v>709</v>
      </c>
      <c r="BQ155" s="546" t="s">
        <v>709</v>
      </c>
      <c r="BR155" s="546" t="s">
        <v>709</v>
      </c>
      <c r="BS155" s="546">
        <v>1359</v>
      </c>
      <c r="BT155" s="546">
        <v>1473</v>
      </c>
      <c r="BU155" s="546" t="s">
        <v>709</v>
      </c>
      <c r="BV155" s="546" t="s">
        <v>709</v>
      </c>
      <c r="BW155" s="546" t="s">
        <v>745</v>
      </c>
      <c r="BX155" s="546" t="s">
        <v>709</v>
      </c>
      <c r="BY155" s="546" t="s">
        <v>709</v>
      </c>
      <c r="BZ155" s="546" t="s">
        <v>709</v>
      </c>
      <c r="CA155" s="506"/>
    </row>
    <row r="156" spans="1:79" ht="15" hidden="1" customHeight="1" x14ac:dyDescent="0.25">
      <c r="A156" s="8" t="s">
        <v>800</v>
      </c>
      <c r="B156" s="8" t="s">
        <v>730</v>
      </c>
      <c r="C156" s="8" t="s">
        <v>1638</v>
      </c>
      <c r="D156" s="8" t="s">
        <v>1639</v>
      </c>
      <c r="E156" s="8" t="s">
        <v>232</v>
      </c>
      <c r="F156" s="8" t="s">
        <v>752</v>
      </c>
      <c r="G156" s="8" t="s">
        <v>37</v>
      </c>
      <c r="H156" s="13" t="s">
        <v>59</v>
      </c>
      <c r="I156" s="642">
        <v>45089</v>
      </c>
      <c r="J156" s="18">
        <v>45211</v>
      </c>
      <c r="K156" s="175">
        <v>45194</v>
      </c>
      <c r="L156" s="649">
        <f>IF(ISTEXT(Table157[[#This Row],[Engineering Approved Design Date]]),Table157[[#This Row],[Date Completed]]-Table157[[#This Row],[Date Assigned to Designer]],Table157[[#This Row],[Engineering Approved Design Date]]-Table157[[#This Row],[Date Completed]])</f>
        <v>17</v>
      </c>
      <c r="M156" s="642"/>
      <c r="N156" s="642" t="s">
        <v>120</v>
      </c>
      <c r="O156" s="510">
        <v>45231</v>
      </c>
      <c r="P156" s="221" t="s">
        <v>120</v>
      </c>
      <c r="Q156" s="74">
        <f>Table157[[#This Row],[Rate]]*Table157[[#This Row],[Construction Cost to Bill From]]</f>
        <v>124640.64630000001</v>
      </c>
      <c r="R156" s="75">
        <v>0.09</v>
      </c>
      <c r="U156" s="87"/>
      <c r="V156" s="437">
        <v>3831</v>
      </c>
      <c r="W156" s="437">
        <v>0</v>
      </c>
      <c r="X156" s="94">
        <v>1261547.47</v>
      </c>
      <c r="Y156" s="551"/>
      <c r="Z156" s="552">
        <v>123348.6</v>
      </c>
      <c r="AA156" s="300">
        <f>Table157[[#This Row],[PCTS Retirement Amount]]+Table157[[#This Row],[PCTS Investment Amount]]</f>
        <v>1384896.07</v>
      </c>
      <c r="AB156" s="207">
        <v>45194</v>
      </c>
      <c r="AC156" s="108" t="s">
        <v>709</v>
      </c>
      <c r="AD156" s="108" t="s">
        <v>29</v>
      </c>
      <c r="AE156" s="345"/>
      <c r="AF156" s="575"/>
      <c r="AG156" s="575"/>
      <c r="AH156" s="357"/>
      <c r="AI156" s="341"/>
      <c r="AJ156" s="183"/>
      <c r="AK156" s="183"/>
      <c r="AL156" s="494">
        <f>SUM(Table157[[#This Row],[Nicor Initiated DBE]:[Staffing]])/(Table157[[#This Row],[Amount Invoiced]])</f>
        <v>0</v>
      </c>
      <c r="AM156" s="21" t="s">
        <v>116</v>
      </c>
      <c r="AN156" s="680" t="s">
        <v>709</v>
      </c>
      <c r="AO156" s="601"/>
      <c r="AP156" s="572"/>
      <c r="AQ156" s="572"/>
      <c r="AR156" s="572"/>
      <c r="AS156" s="538">
        <f>IF(Table157[[#This Row],[PCTS Approved]]="N",0,Table157[[#This Row],[Investment Amount (1'#'#'#'#'#)]]+Table157[[#This Row],[Retirement Amount (3'#'#'#'#'#)]])</f>
        <v>0</v>
      </c>
      <c r="AT156" s="538">
        <f>IF(Table157[[#This Row],[Approved Construction Cost]]=0,0,Table157[[#This Row],[Approved Construction Cost]]-Table157[[#This Row],[Construction Cost to Bill From]])</f>
        <v>0</v>
      </c>
      <c r="AU156" s="538">
        <f>IFERROR(Table157[[#This Row],[Difference in Construction Cost]]*Table157[[#This Row],[Rate]],Table157[[#This Row],[Difference in Construction Cost]]*0.085)</f>
        <v>0</v>
      </c>
      <c r="AV156" s="602"/>
      <c r="AW156" s="640"/>
      <c r="AX156" s="555"/>
      <c r="AY156" s="636" t="s">
        <v>709</v>
      </c>
      <c r="AZ156" s="443">
        <v>51</v>
      </c>
      <c r="BA156" s="334" t="s">
        <v>2</v>
      </c>
      <c r="BB156" s="659" t="s">
        <v>1640</v>
      </c>
      <c r="BC156" s="644" t="s">
        <v>1641</v>
      </c>
      <c r="BD156" s="478"/>
      <c r="BE156" s="544"/>
      <c r="BF156" s="544"/>
      <c r="BG156" s="544"/>
      <c r="BH156" s="512"/>
      <c r="BI156" s="645"/>
      <c r="BJ156" s="511" t="s">
        <v>709</v>
      </c>
      <c r="BK156" s="546" t="s">
        <v>709</v>
      </c>
      <c r="BL156" s="546" t="s">
        <v>709</v>
      </c>
      <c r="BM156" s="546" t="s">
        <v>116</v>
      </c>
      <c r="BN156" s="546" t="s">
        <v>709</v>
      </c>
      <c r="BO156" s="546" t="s">
        <v>709</v>
      </c>
      <c r="BP156" s="546" t="s">
        <v>709</v>
      </c>
      <c r="BQ156" s="546" t="s">
        <v>709</v>
      </c>
      <c r="BR156" s="546" t="s">
        <v>709</v>
      </c>
      <c r="BS156" s="546">
        <v>3831</v>
      </c>
      <c r="BT156" s="546" t="s">
        <v>709</v>
      </c>
      <c r="BU156" s="546" t="s">
        <v>709</v>
      </c>
      <c r="BV156" s="546" t="s">
        <v>709</v>
      </c>
      <c r="BW156" s="546" t="s">
        <v>709</v>
      </c>
      <c r="BX156" s="546" t="s">
        <v>709</v>
      </c>
      <c r="BY156" s="546">
        <v>1</v>
      </c>
      <c r="BZ156" s="546" t="s">
        <v>709</v>
      </c>
      <c r="CA156" s="506"/>
    </row>
    <row r="157" spans="1:79" ht="15" hidden="1" customHeight="1" x14ac:dyDescent="0.25">
      <c r="A157" s="8" t="s">
        <v>800</v>
      </c>
      <c r="B157" s="8" t="s">
        <v>771</v>
      </c>
      <c r="C157" s="8" t="s">
        <v>1642</v>
      </c>
      <c r="D157" s="656" t="s">
        <v>1643</v>
      </c>
      <c r="E157" s="8" t="s">
        <v>1644</v>
      </c>
      <c r="F157" s="8" t="s">
        <v>747</v>
      </c>
      <c r="G157" s="8" t="s">
        <v>32</v>
      </c>
      <c r="H157" s="8" t="s">
        <v>59</v>
      </c>
      <c r="I157" s="642">
        <v>44977</v>
      </c>
      <c r="J157" s="175">
        <v>45233</v>
      </c>
      <c r="K157" s="97">
        <v>45232</v>
      </c>
      <c r="L157" s="649">
        <f>IF(ISTEXT(Table157[[#This Row],[Engineering Approved Design Date]]),Table157[[#This Row],[Date Completed]]-Table157[[#This Row],[Date Assigned to Designer]],Table157[[#This Row],[Engineering Approved Design Date]]-Table157[[#This Row],[Date Completed]])</f>
        <v>1</v>
      </c>
      <c r="M157" s="16"/>
      <c r="N157" s="642" t="s">
        <v>120</v>
      </c>
      <c r="O157" s="510">
        <v>45292</v>
      </c>
      <c r="P157" s="68" t="s">
        <v>120</v>
      </c>
      <c r="Q157" s="74">
        <f>Table157[[#This Row],[Rate]]*Table157[[#This Row],[Construction Cost to Bill From]]</f>
        <v>488768.6764</v>
      </c>
      <c r="R157" s="77">
        <v>0.04</v>
      </c>
      <c r="U157" s="454"/>
      <c r="V157" s="437">
        <v>13516</v>
      </c>
      <c r="W157" s="437">
        <v>0</v>
      </c>
      <c r="X157" s="24">
        <v>11635927.51</v>
      </c>
      <c r="Y157" s="551"/>
      <c r="Z157" s="556">
        <v>583289.4</v>
      </c>
      <c r="AA157" s="300">
        <f>SUM(Table157[[#This Row],[PCTS Investment Amount]:[PCTS Retirement Amount]])</f>
        <v>12219216.91</v>
      </c>
      <c r="AB157" s="207" t="s">
        <v>709</v>
      </c>
      <c r="AC157" s="108" t="s">
        <v>116</v>
      </c>
      <c r="AD157" s="22" t="s">
        <v>116</v>
      </c>
      <c r="AE157" s="359" t="s">
        <v>709</v>
      </c>
      <c r="AF157" s="569" t="s">
        <v>116</v>
      </c>
      <c r="AG157" s="569" t="s">
        <v>709</v>
      </c>
      <c r="AH157" s="85" t="s">
        <v>376</v>
      </c>
      <c r="AI157" s="21"/>
      <c r="AJ157" s="536"/>
      <c r="AK157" s="536"/>
      <c r="AL157" s="492">
        <f>SUM(Table157[[#This Row],[Nicor Initiated DBE]:[Staffing]])/(Table157[[#This Row],[Amount Invoiced]])</f>
        <v>0</v>
      </c>
      <c r="AM157" s="21" t="s">
        <v>116</v>
      </c>
      <c r="AN157" s="680" t="s">
        <v>709</v>
      </c>
      <c r="AO157" s="681">
        <v>11065457</v>
      </c>
      <c r="AP157" s="572"/>
      <c r="AQ157" s="572"/>
      <c r="AR157" s="572"/>
      <c r="AS157" s="538">
        <f>IF(Table157[[#This Row],[PCTS Approved]]="N",0,Table157[[#This Row],[Investment Amount (1'#'#'#'#'#)]]+Table157[[#This Row],[Retirement Amount (3'#'#'#'#'#)]])</f>
        <v>0</v>
      </c>
      <c r="AT157" s="538">
        <f>IF(Table157[[#This Row],[Approved Construction Cost]]=0,0,Table157[[#This Row],[Approved Construction Cost]]-Table157[[#This Row],[Construction Cost to Bill From]])</f>
        <v>0</v>
      </c>
      <c r="AU157" s="538">
        <f>IFERROR(Table157[[#This Row],[Difference in Construction Cost]]*Table157[[#This Row],[Rate]],Table157[[#This Row],[Difference in Construction Cost]]*0.085)</f>
        <v>0</v>
      </c>
      <c r="AV157" s="572"/>
      <c r="AW157" s="639"/>
      <c r="AX157" s="538"/>
      <c r="AY157" s="636" t="s">
        <v>709</v>
      </c>
      <c r="AZ157" s="443">
        <v>3</v>
      </c>
      <c r="BA157" s="334" t="s">
        <v>3</v>
      </c>
      <c r="BB157" s="643" t="s">
        <v>1645</v>
      </c>
      <c r="BC157" s="653" t="s">
        <v>1646</v>
      </c>
      <c r="BD157" s="478"/>
      <c r="BE157" s="544"/>
      <c r="BF157" s="544"/>
      <c r="BG157" s="544"/>
      <c r="BH157" s="512"/>
      <c r="BI157" s="645" t="s">
        <v>1647</v>
      </c>
      <c r="BJ157" s="511" t="s">
        <v>709</v>
      </c>
      <c r="BK157" s="546" t="s">
        <v>709</v>
      </c>
      <c r="BL157" s="546" t="s">
        <v>709</v>
      </c>
      <c r="BM157" s="546" t="s">
        <v>116</v>
      </c>
      <c r="BN157" s="546" t="s">
        <v>709</v>
      </c>
      <c r="BO157" s="546">
        <v>9540</v>
      </c>
      <c r="BP157" s="546" t="s">
        <v>709</v>
      </c>
      <c r="BQ157" s="546">
        <v>10</v>
      </c>
      <c r="BR157" s="546">
        <v>388</v>
      </c>
      <c r="BS157" s="546">
        <v>2788</v>
      </c>
      <c r="BT157" s="546">
        <v>790</v>
      </c>
      <c r="BU157" s="546" t="s">
        <v>709</v>
      </c>
      <c r="BV157" s="546" t="s">
        <v>709</v>
      </c>
      <c r="BW157" s="546" t="s">
        <v>709</v>
      </c>
      <c r="BX157" s="546" t="s">
        <v>709</v>
      </c>
      <c r="BY157" s="546" t="s">
        <v>709</v>
      </c>
      <c r="BZ157" s="546" t="s">
        <v>709</v>
      </c>
      <c r="CA157" s="507"/>
    </row>
    <row r="158" spans="1:79" ht="15" hidden="1" customHeight="1" x14ac:dyDescent="0.25">
      <c r="A158" s="8" t="s">
        <v>800</v>
      </c>
      <c r="B158" s="8" t="s">
        <v>759</v>
      </c>
      <c r="C158" s="8" t="s">
        <v>1648</v>
      </c>
      <c r="D158" s="8" t="s">
        <v>1649</v>
      </c>
      <c r="E158" s="8" t="s">
        <v>1650</v>
      </c>
      <c r="F158" s="8" t="s">
        <v>752</v>
      </c>
      <c r="G158" s="8" t="s">
        <v>37</v>
      </c>
      <c r="H158" s="13" t="s">
        <v>59</v>
      </c>
      <c r="I158" s="642">
        <v>45103</v>
      </c>
      <c r="J158" s="18">
        <v>45239</v>
      </c>
      <c r="K158" s="97">
        <v>45239</v>
      </c>
      <c r="L158" s="16">
        <f>IF(ISTEXT(Table157[[#This Row],[Engineering Approved Design Date]]),Table157[[#This Row],[Date Completed]]-Table157[[#This Row],[Date Assigned to Designer]],Table157[[#This Row],[Engineering Approved Design Date]]-Table157[[#This Row],[Date Completed]])</f>
        <v>0</v>
      </c>
      <c r="M158" s="642"/>
      <c r="N158" s="642" t="s">
        <v>120</v>
      </c>
      <c r="O158" s="510">
        <v>45261</v>
      </c>
      <c r="P158" s="221" t="s">
        <v>120</v>
      </c>
      <c r="Q158" s="74">
        <f>Table157[[#This Row],[Rate]]*Table157[[#This Row],[Construction Cost to Bill From]]</f>
        <v>113917.20450000001</v>
      </c>
      <c r="R158" s="75">
        <v>0.11</v>
      </c>
      <c r="U158" s="87"/>
      <c r="V158" s="437">
        <v>2092</v>
      </c>
      <c r="W158" s="437">
        <v>3</v>
      </c>
      <c r="X158" s="94">
        <v>940183.43</v>
      </c>
      <c r="Y158" s="551"/>
      <c r="Z158" s="552">
        <v>95427.520000000004</v>
      </c>
      <c r="AA158" s="300">
        <f>SUM(Table157[[#This Row],[PCTS Investment Amount]:[PCTS Retirement Amount]])</f>
        <v>1035610.9500000001</v>
      </c>
      <c r="AB158" s="207">
        <v>45245</v>
      </c>
      <c r="AC158" s="108" t="s">
        <v>811</v>
      </c>
      <c r="AD158" s="108" t="s">
        <v>116</v>
      </c>
      <c r="AE158" s="341">
        <v>45239</v>
      </c>
      <c r="AF158" s="183">
        <v>45240</v>
      </c>
      <c r="AG158" s="183">
        <v>45245</v>
      </c>
      <c r="AH158" s="356">
        <v>45245</v>
      </c>
      <c r="AI158" s="341"/>
      <c r="AJ158" s="183"/>
      <c r="AK158" s="183"/>
      <c r="AL158" s="494">
        <f>SUM(Table157[[#This Row],[Nicor Initiated DBE]:[Staffing]])/(Table157[[#This Row],[Amount Invoiced]])</f>
        <v>0</v>
      </c>
      <c r="AM158" s="21" t="s">
        <v>116</v>
      </c>
      <c r="AN158" s="680" t="s">
        <v>709</v>
      </c>
      <c r="AO158" s="601"/>
      <c r="AP158" s="572"/>
      <c r="AQ158" s="572"/>
      <c r="AR158" s="572"/>
      <c r="AS158" s="538">
        <f>IF(Table157[[#This Row],[PCTS Approved]]="N",0,Table157[[#This Row],[Investment Amount (1'#'#'#'#'#)]]+Table157[[#This Row],[Retirement Amount (3'#'#'#'#'#)]])</f>
        <v>0</v>
      </c>
      <c r="AT158" s="538">
        <f>IF(Table157[[#This Row],[Approved Construction Cost]]=0,0,Table157[[#This Row],[Approved Construction Cost]]-Table157[[#This Row],[Construction Cost to Bill From]])</f>
        <v>0</v>
      </c>
      <c r="AU158" s="538">
        <f>IFERROR(Table157[[#This Row],[Difference in Construction Cost]]*Table157[[#This Row],[Rate]],Table157[[#This Row],[Difference in Construction Cost]]*0.085)</f>
        <v>0</v>
      </c>
      <c r="AV158" s="572"/>
      <c r="AW158" s="639"/>
      <c r="AX158" s="538"/>
      <c r="AY158" s="636" t="s">
        <v>709</v>
      </c>
      <c r="AZ158" s="443">
        <v>159</v>
      </c>
      <c r="BA158" s="334" t="s">
        <v>2</v>
      </c>
      <c r="BB158" s="659" t="s">
        <v>1651</v>
      </c>
      <c r="BC158" s="648" t="s">
        <v>1652</v>
      </c>
      <c r="BD158" s="479"/>
      <c r="BE158" s="554"/>
      <c r="BH158" s="483"/>
      <c r="BI158" s="645" t="s">
        <v>1653</v>
      </c>
      <c r="BJ158" s="511" t="s">
        <v>709</v>
      </c>
      <c r="BK158" s="546" t="s">
        <v>709</v>
      </c>
      <c r="BL158" s="546" t="s">
        <v>116</v>
      </c>
      <c r="BM158" s="546" t="s">
        <v>116</v>
      </c>
      <c r="BN158" s="546" t="s">
        <v>709</v>
      </c>
      <c r="BO158" s="546" t="s">
        <v>709</v>
      </c>
      <c r="BP158" s="546" t="s">
        <v>709</v>
      </c>
      <c r="BQ158" s="546">
        <v>125</v>
      </c>
      <c r="BR158" s="546">
        <v>1883</v>
      </c>
      <c r="BS158" s="546">
        <v>164</v>
      </c>
      <c r="BT158" s="546">
        <v>45</v>
      </c>
      <c r="BU158" s="546">
        <v>1</v>
      </c>
      <c r="BV158" s="546" t="s">
        <v>709</v>
      </c>
      <c r="BW158" s="546" t="s">
        <v>709</v>
      </c>
      <c r="BX158" s="546">
        <v>1</v>
      </c>
      <c r="BY158" s="546" t="s">
        <v>709</v>
      </c>
      <c r="BZ158" s="546" t="s">
        <v>709</v>
      </c>
      <c r="CA158" s="506" t="s">
        <v>769</v>
      </c>
    </row>
    <row r="159" spans="1:79" ht="15" hidden="1" customHeight="1" x14ac:dyDescent="0.25">
      <c r="A159" s="8" t="s">
        <v>800</v>
      </c>
      <c r="B159" s="8" t="s">
        <v>759</v>
      </c>
      <c r="C159" s="8" t="s">
        <v>1654</v>
      </c>
      <c r="D159" s="8" t="s">
        <v>1655</v>
      </c>
      <c r="E159" s="8" t="s">
        <v>1149</v>
      </c>
      <c r="F159" s="8" t="s">
        <v>752</v>
      </c>
      <c r="G159" s="8" t="s">
        <v>34</v>
      </c>
      <c r="H159" s="13" t="s">
        <v>59</v>
      </c>
      <c r="I159" s="642">
        <v>45103</v>
      </c>
      <c r="J159" s="18">
        <v>45240</v>
      </c>
      <c r="K159" s="97">
        <v>45239</v>
      </c>
      <c r="L159" s="16">
        <f>IF(ISTEXT(Table157[[#This Row],[Engineering Approved Design Date]]),Table157[[#This Row],[Date Completed]]-Table157[[#This Row],[Date Assigned to Designer]],Table157[[#This Row],[Engineering Approved Design Date]]-Table157[[#This Row],[Date Completed]])</f>
        <v>1</v>
      </c>
      <c r="M159" s="642"/>
      <c r="N159" s="642" t="s">
        <v>120</v>
      </c>
      <c r="O159" s="510">
        <v>45261</v>
      </c>
      <c r="P159" s="221" t="s">
        <v>120</v>
      </c>
      <c r="Q159" s="74">
        <f>Table157[[#This Row],[Rate]]*Table157[[#This Row],[Construction Cost to Bill From]]</f>
        <v>141816.94339999999</v>
      </c>
      <c r="R159" s="75">
        <v>0.11</v>
      </c>
      <c r="U159" s="87"/>
      <c r="V159" s="437">
        <v>1578</v>
      </c>
      <c r="W159" s="437">
        <v>3</v>
      </c>
      <c r="X159" s="94">
        <v>1112237.6399999999</v>
      </c>
      <c r="Y159" s="551"/>
      <c r="Z159" s="552">
        <v>177007.3</v>
      </c>
      <c r="AA159" s="300">
        <f>SUM(Table157[[#This Row],[PCTS Investment Amount]:[PCTS Retirement Amount]])</f>
        <v>1289244.94</v>
      </c>
      <c r="AB159" s="207">
        <v>45245</v>
      </c>
      <c r="AC159" s="108" t="s">
        <v>811</v>
      </c>
      <c r="AD159" s="108" t="s">
        <v>29</v>
      </c>
      <c r="AE159" s="341">
        <v>45239</v>
      </c>
      <c r="AF159" s="183">
        <v>45240</v>
      </c>
      <c r="AG159" s="183">
        <v>45245</v>
      </c>
      <c r="AH159" s="356">
        <v>45245</v>
      </c>
      <c r="AI159" s="341"/>
      <c r="AJ159" s="183"/>
      <c r="AK159" s="183"/>
      <c r="AL159" s="494">
        <f>SUM(Table157[[#This Row],[Nicor Initiated DBE]:[Staffing]])/(Table157[[#This Row],[Amount Invoiced]])</f>
        <v>0</v>
      </c>
      <c r="AM159" s="21" t="s">
        <v>116</v>
      </c>
      <c r="AN159" s="680" t="s">
        <v>709</v>
      </c>
      <c r="AO159" s="601">
        <v>11071464</v>
      </c>
      <c r="AP159" s="572"/>
      <c r="AQ159" s="572"/>
      <c r="AR159" s="572"/>
      <c r="AS159" s="538">
        <f>IF(Table157[[#This Row],[PCTS Approved]]="N",0,Table157[[#This Row],[Investment Amount (1'#'#'#'#'#)]]+Table157[[#This Row],[Retirement Amount (3'#'#'#'#'#)]])</f>
        <v>0</v>
      </c>
      <c r="AT159" s="538">
        <f>IF(Table157[[#This Row],[Approved Construction Cost]]=0,0,Table157[[#This Row],[Approved Construction Cost]]-Table157[[#This Row],[Construction Cost to Bill From]])</f>
        <v>0</v>
      </c>
      <c r="AU159" s="538">
        <f>IFERROR(Table157[[#This Row],[Difference in Construction Cost]]*Table157[[#This Row],[Rate]],Table157[[#This Row],[Difference in Construction Cost]]*0.085)</f>
        <v>0</v>
      </c>
      <c r="AV159" s="572"/>
      <c r="AW159" s="639"/>
      <c r="AX159" s="538"/>
      <c r="AY159" s="636" t="s">
        <v>709</v>
      </c>
      <c r="AZ159" s="443">
        <v>160</v>
      </c>
      <c r="BA159" s="334" t="s">
        <v>2</v>
      </c>
      <c r="BB159" s="659" t="s">
        <v>1656</v>
      </c>
      <c r="BC159" s="648" t="s">
        <v>1657</v>
      </c>
      <c r="BD159" s="479"/>
      <c r="BE159" s="554"/>
      <c r="BH159" s="483"/>
      <c r="BI159" s="645" t="s">
        <v>1658</v>
      </c>
      <c r="BJ159" s="511" t="s">
        <v>709</v>
      </c>
      <c r="BK159" s="623" t="s">
        <v>709</v>
      </c>
      <c r="BL159" s="546" t="s">
        <v>116</v>
      </c>
      <c r="BM159" s="546" t="s">
        <v>116</v>
      </c>
      <c r="BN159" s="546" t="s">
        <v>709</v>
      </c>
      <c r="BO159" s="546">
        <v>248</v>
      </c>
      <c r="BP159" s="546" t="s">
        <v>709</v>
      </c>
      <c r="BQ159" s="546">
        <v>26</v>
      </c>
      <c r="BR159" s="546">
        <v>1169</v>
      </c>
      <c r="BS159" s="546">
        <v>40</v>
      </c>
      <c r="BT159" s="546">
        <v>5</v>
      </c>
      <c r="BU159" s="546">
        <v>1</v>
      </c>
      <c r="BV159" s="546" t="s">
        <v>709</v>
      </c>
      <c r="BW159" s="546" t="s">
        <v>709</v>
      </c>
      <c r="BX159" s="546" t="s">
        <v>709</v>
      </c>
      <c r="BY159" s="546">
        <v>1</v>
      </c>
      <c r="BZ159" s="546" t="s">
        <v>709</v>
      </c>
      <c r="CA159" s="506" t="s">
        <v>769</v>
      </c>
    </row>
    <row r="160" spans="1:79" ht="15" hidden="1" customHeight="1" x14ac:dyDescent="0.25">
      <c r="A160" s="8" t="s">
        <v>749</v>
      </c>
      <c r="B160" s="8" t="s">
        <v>759</v>
      </c>
      <c r="C160" s="8" t="s">
        <v>1259</v>
      </c>
      <c r="D160" s="8" t="s">
        <v>1260</v>
      </c>
      <c r="E160" s="8" t="s">
        <v>1261</v>
      </c>
      <c r="F160" s="8" t="s">
        <v>752</v>
      </c>
      <c r="G160" s="8" t="s">
        <v>34</v>
      </c>
      <c r="H160" s="13" t="s">
        <v>59</v>
      </c>
      <c r="I160" s="642">
        <v>45015</v>
      </c>
      <c r="J160" s="18">
        <v>45247</v>
      </c>
      <c r="K160" s="175">
        <v>45243</v>
      </c>
      <c r="L160" s="16">
        <f>IF(ISTEXT(Table157[[#This Row],[Engineering Approved Design Date]]),Table157[[#This Row],[Date Completed]]-Table157[[#This Row],[Date Assigned to Designer]],Table157[[#This Row],[Engineering Approved Design Date]]-Table157[[#This Row],[Date Completed]])</f>
        <v>4</v>
      </c>
      <c r="M160" s="642"/>
      <c r="N160" s="642" t="s">
        <v>120</v>
      </c>
      <c r="O160" s="510">
        <v>45261</v>
      </c>
      <c r="P160" s="221" t="s">
        <v>120</v>
      </c>
      <c r="Q160" s="74">
        <f>Table157[[#This Row],[Rate]]*Table157[[#This Row],[Construction Cost to Bill From]]</f>
        <v>98159.153399999996</v>
      </c>
      <c r="R160" s="75">
        <v>0.11</v>
      </c>
      <c r="U160" s="87"/>
      <c r="V160" s="437">
        <v>1146</v>
      </c>
      <c r="W160" s="437">
        <v>3</v>
      </c>
      <c r="X160" s="94">
        <v>808862.07</v>
      </c>
      <c r="Y160" s="551"/>
      <c r="Z160" s="552">
        <v>83493.87</v>
      </c>
      <c r="AA160" s="300">
        <f>SUM(Table157[[#This Row],[PCTS Investment Amount]:[PCTS Retirement Amount]])</f>
        <v>892355.94</v>
      </c>
      <c r="AB160" s="207">
        <v>45257</v>
      </c>
      <c r="AC160" s="108" t="s">
        <v>1659</v>
      </c>
      <c r="AD160" s="108" t="s">
        <v>29</v>
      </c>
      <c r="AE160" s="341" t="s">
        <v>756</v>
      </c>
      <c r="AF160" s="183" t="s">
        <v>29</v>
      </c>
      <c r="AG160" s="539" t="s">
        <v>376</v>
      </c>
      <c r="AH160" s="357" t="s">
        <v>376</v>
      </c>
      <c r="AI160" s="341"/>
      <c r="AJ160" s="183"/>
      <c r="AK160" s="183"/>
      <c r="AL160" s="494">
        <f>SUM(Table157[[#This Row],[Nicor Initiated DBE]:[Staffing]])/(Table157[[#This Row],[Amount Invoiced]])</f>
        <v>0</v>
      </c>
      <c r="AM160" s="21" t="s">
        <v>116</v>
      </c>
      <c r="AN160" s="680" t="s">
        <v>709</v>
      </c>
      <c r="AO160" s="601">
        <v>11039510</v>
      </c>
      <c r="AP160" s="572"/>
      <c r="AQ160" s="572"/>
      <c r="AR160" s="572"/>
      <c r="AS160" s="538">
        <f>IF(Table157[[#This Row],[PCTS Approved]]="N",0,Table157[[#This Row],[Investment Amount (1'#'#'#'#'#)]]+Table157[[#This Row],[Retirement Amount (3'#'#'#'#'#)]])</f>
        <v>0</v>
      </c>
      <c r="AT160" s="538">
        <f>IF(Table157[[#This Row],[Approved Construction Cost]]=0,0,Table157[[#This Row],[Approved Construction Cost]]-Table157[[#This Row],[Construction Cost to Bill From]])</f>
        <v>0</v>
      </c>
      <c r="AU160" s="538">
        <f>IFERROR(Table157[[#This Row],[Difference in Construction Cost]]*Table157[[#This Row],[Rate]],Table157[[#This Row],[Difference in Construction Cost]]*0.085)</f>
        <v>0</v>
      </c>
      <c r="AV160" s="572"/>
      <c r="AW160" s="639"/>
      <c r="AX160" s="538"/>
      <c r="AY160" s="636" t="s">
        <v>709</v>
      </c>
      <c r="AZ160" s="443">
        <v>161</v>
      </c>
      <c r="BA160" s="334" t="s">
        <v>2</v>
      </c>
      <c r="BB160" s="659" t="s">
        <v>1660</v>
      </c>
      <c r="BC160" s="648" t="s">
        <v>1661</v>
      </c>
      <c r="BD160" s="478" t="s">
        <v>115</v>
      </c>
      <c r="BE160" s="544" t="s">
        <v>1066</v>
      </c>
      <c r="BF160" s="544"/>
      <c r="BG160" s="544" t="s">
        <v>115</v>
      </c>
      <c r="BH160" s="512" t="s">
        <v>115</v>
      </c>
      <c r="BI160" s="645" t="s">
        <v>1662</v>
      </c>
      <c r="BJ160" s="511" t="s">
        <v>709</v>
      </c>
      <c r="BK160" s="546" t="s">
        <v>709</v>
      </c>
      <c r="BL160" s="546" t="s">
        <v>116</v>
      </c>
      <c r="BM160" s="546" t="s">
        <v>116</v>
      </c>
      <c r="BN160" s="546" t="s">
        <v>709</v>
      </c>
      <c r="BO160" s="546" t="s">
        <v>709</v>
      </c>
      <c r="BP160" s="546" t="s">
        <v>709</v>
      </c>
      <c r="BQ160" s="546">
        <v>789</v>
      </c>
      <c r="BR160" s="546">
        <v>164</v>
      </c>
      <c r="BS160" s="546">
        <v>45</v>
      </c>
      <c r="BT160" s="546">
        <v>5</v>
      </c>
      <c r="BU160" s="546">
        <v>1</v>
      </c>
      <c r="BV160" s="546" t="s">
        <v>709</v>
      </c>
      <c r="BW160" s="546" t="s">
        <v>709</v>
      </c>
      <c r="BX160" s="546">
        <v>1</v>
      </c>
      <c r="BY160" s="546">
        <v>1</v>
      </c>
      <c r="BZ160" s="546" t="s">
        <v>709</v>
      </c>
      <c r="CA160" s="506" t="s">
        <v>769</v>
      </c>
    </row>
    <row r="161" spans="1:79" ht="15" hidden="1" customHeight="1" x14ac:dyDescent="0.25">
      <c r="A161" s="8" t="s">
        <v>749</v>
      </c>
      <c r="B161" s="8" t="s">
        <v>4</v>
      </c>
      <c r="C161" s="8" t="s">
        <v>1663</v>
      </c>
      <c r="D161" s="8" t="s">
        <v>1664</v>
      </c>
      <c r="E161" s="8" t="s">
        <v>1665</v>
      </c>
      <c r="F161" s="8" t="s">
        <v>784</v>
      </c>
      <c r="G161" s="8" t="s">
        <v>25</v>
      </c>
      <c r="H161" s="8" t="s">
        <v>413</v>
      </c>
      <c r="I161" s="642">
        <v>45064</v>
      </c>
      <c r="J161" s="472">
        <v>45247</v>
      </c>
      <c r="K161" s="97">
        <v>45246</v>
      </c>
      <c r="L161" s="649">
        <f>IF(ISTEXT(Table157[[#This Row],[Engineering Approved Design Date]]),Table157[[#This Row],[Date Completed]]-Table157[[#This Row],[Date Assigned to Designer]],Table157[[#This Row],[Engineering Approved Design Date]]-Table157[[#This Row],[Date Completed]])</f>
        <v>1</v>
      </c>
      <c r="M161" s="642"/>
      <c r="N161" s="642" t="s">
        <v>120</v>
      </c>
      <c r="O161" s="510">
        <v>45261</v>
      </c>
      <c r="P161" s="221" t="s">
        <v>739</v>
      </c>
      <c r="Q161" s="74">
        <f>Table157[[#This Row],[Rate]]*Table157[[#This Row],[Construction Cost to Bill From]]</f>
        <v>69581.989000000001</v>
      </c>
      <c r="R161" s="75">
        <v>0.1</v>
      </c>
      <c r="U161" s="87"/>
      <c r="V161" s="437">
        <v>1144</v>
      </c>
      <c r="W161" s="437">
        <v>0</v>
      </c>
      <c r="X161" s="24">
        <v>256271.07</v>
      </c>
      <c r="Y161" s="551"/>
      <c r="Z161" s="552">
        <v>439548.82</v>
      </c>
      <c r="AA161" s="300">
        <f>SUM(Table157[[#This Row],[PCTS Investment Amount]:[PCTS Retirement Amount]])</f>
        <v>695819.89</v>
      </c>
      <c r="AB161" s="207">
        <v>45180</v>
      </c>
      <c r="AC161" s="108" t="s">
        <v>709</v>
      </c>
      <c r="AD161" s="108" t="s">
        <v>29</v>
      </c>
      <c r="AE161" s="187" t="s">
        <v>116</v>
      </c>
      <c r="AF161" s="568" t="s">
        <v>756</v>
      </c>
      <c r="AG161" s="575" t="s">
        <v>376</v>
      </c>
      <c r="AH161" s="356">
        <v>45308</v>
      </c>
      <c r="AI161" s="489"/>
      <c r="AJ161" s="553"/>
      <c r="AK161" s="553"/>
      <c r="AL161" s="495">
        <f>SUM(Table157[[#This Row],[Nicor Initiated DBE]:[Staffing]])/(Table157[[#This Row],[Amount Invoiced]])</f>
        <v>0</v>
      </c>
      <c r="AM161" s="21" t="s">
        <v>116</v>
      </c>
      <c r="AN161" s="680" t="s">
        <v>709</v>
      </c>
      <c r="AO161" s="601"/>
      <c r="AP161" s="572"/>
      <c r="AQ161" s="572"/>
      <c r="AR161" s="572"/>
      <c r="AS161" s="538">
        <f>IF(Table157[[#This Row],[PCTS Approved]]="N",0,Table157[[#This Row],[Investment Amount (1'#'#'#'#'#)]]+Table157[[#This Row],[Retirement Amount (3'#'#'#'#'#)]])</f>
        <v>0</v>
      </c>
      <c r="AT161" s="538">
        <f>IF(Table157[[#This Row],[Approved Construction Cost]]=0,0,Table157[[#This Row],[Approved Construction Cost]]-Table157[[#This Row],[Construction Cost to Bill From]])</f>
        <v>0</v>
      </c>
      <c r="AU161" s="538">
        <f>IFERROR(Table157[[#This Row],[Difference in Construction Cost]]*Table157[[#This Row],[Rate]],Table157[[#This Row],[Difference in Construction Cost]]*0.085)</f>
        <v>0</v>
      </c>
      <c r="AV161" s="602"/>
      <c r="AW161" s="640"/>
      <c r="AX161" s="555"/>
      <c r="AY161" s="636" t="s">
        <v>709</v>
      </c>
      <c r="AZ161" s="443">
        <v>105</v>
      </c>
      <c r="BA161" s="334" t="s">
        <v>4</v>
      </c>
      <c r="BB161" s="651" t="s">
        <v>1666</v>
      </c>
      <c r="BC161" s="644" t="s">
        <v>870</v>
      </c>
      <c r="BD161" s="479" t="s">
        <v>709</v>
      </c>
      <c r="BE161" s="554" t="s">
        <v>1626</v>
      </c>
      <c r="BF161" s="588" t="s">
        <v>1667</v>
      </c>
      <c r="BG161" s="588" t="s">
        <v>709</v>
      </c>
      <c r="BH161" s="483"/>
      <c r="BI161" s="645" t="s">
        <v>1668</v>
      </c>
      <c r="BJ161" s="511" t="s">
        <v>709</v>
      </c>
      <c r="BK161" s="546" t="s">
        <v>709</v>
      </c>
      <c r="BL161" s="546" t="s">
        <v>709</v>
      </c>
      <c r="BM161" s="546" t="s">
        <v>116</v>
      </c>
      <c r="BN161" s="546" t="s">
        <v>709</v>
      </c>
      <c r="BO161" s="546" t="s">
        <v>709</v>
      </c>
      <c r="BP161" s="546" t="s">
        <v>709</v>
      </c>
      <c r="BQ161" s="546" t="s">
        <v>709</v>
      </c>
      <c r="BR161" s="546">
        <v>7663</v>
      </c>
      <c r="BS161" s="546">
        <v>1674</v>
      </c>
      <c r="BT161" s="546">
        <v>2204</v>
      </c>
      <c r="BU161" s="546" t="s">
        <v>709</v>
      </c>
      <c r="BV161" s="546" t="s">
        <v>709</v>
      </c>
      <c r="BW161" s="546" t="s">
        <v>709</v>
      </c>
      <c r="BX161" s="546" t="s">
        <v>709</v>
      </c>
      <c r="BY161" s="546" t="s">
        <v>745</v>
      </c>
      <c r="BZ161" s="546" t="s">
        <v>709</v>
      </c>
      <c r="CA161" s="506"/>
    </row>
    <row r="162" spans="1:79" ht="15" hidden="1" customHeight="1" x14ac:dyDescent="0.25">
      <c r="A162" s="8" t="s">
        <v>749</v>
      </c>
      <c r="B162" s="8" t="s">
        <v>4</v>
      </c>
      <c r="C162" s="8" t="s">
        <v>1669</v>
      </c>
      <c r="D162" s="8" t="s">
        <v>1670</v>
      </c>
      <c r="E162" s="8" t="s">
        <v>1665</v>
      </c>
      <c r="F162" s="8" t="s">
        <v>784</v>
      </c>
      <c r="G162" s="8" t="s">
        <v>25</v>
      </c>
      <c r="H162" s="8" t="s">
        <v>413</v>
      </c>
      <c r="I162" s="642">
        <v>45064</v>
      </c>
      <c r="J162" s="472">
        <v>45247</v>
      </c>
      <c r="K162" s="97">
        <v>45246</v>
      </c>
      <c r="L162" s="649">
        <f>IF(ISTEXT(Table157[[#This Row],[Engineering Approved Design Date]]),Table157[[#This Row],[Date Completed]]-Table157[[#This Row],[Date Assigned to Designer]],Table157[[#This Row],[Engineering Approved Design Date]]-Table157[[#This Row],[Date Completed]])</f>
        <v>1</v>
      </c>
      <c r="M162" s="642"/>
      <c r="N162" s="642" t="s">
        <v>120</v>
      </c>
      <c r="O162" s="510">
        <v>45292</v>
      </c>
      <c r="P162" s="221" t="s">
        <v>739</v>
      </c>
      <c r="Q162" s="343">
        <f>Table157[[#This Row],[Rate]]*Table157[[#This Row],[Construction Cost to Bill From]]</f>
        <v>515321.83799999999</v>
      </c>
      <c r="R162" s="75">
        <v>0.1</v>
      </c>
      <c r="U162" s="87"/>
      <c r="V162" s="437">
        <v>11549</v>
      </c>
      <c r="W162" s="437">
        <v>0</v>
      </c>
      <c r="X162" s="70">
        <v>3052987.02</v>
      </c>
      <c r="Y162" s="551"/>
      <c r="Z162" s="570">
        <v>2100231.36</v>
      </c>
      <c r="AA162" s="300">
        <f>SUM(Table157[[#This Row],[PCTS Investment Amount]:[PCTS Retirement Amount]])</f>
        <v>5153218.38</v>
      </c>
      <c r="AB162" s="207">
        <v>45225</v>
      </c>
      <c r="AC162" s="108" t="s">
        <v>709</v>
      </c>
      <c r="AD162" s="108" t="s">
        <v>116</v>
      </c>
      <c r="AE162" s="187" t="s">
        <v>116</v>
      </c>
      <c r="AF162" s="568" t="s">
        <v>116</v>
      </c>
      <c r="AG162" s="568" t="s">
        <v>376</v>
      </c>
      <c r="AH162" s="356">
        <v>45308</v>
      </c>
      <c r="AI162" s="505">
        <v>9850</v>
      </c>
      <c r="AJ162" s="586">
        <v>9217.5</v>
      </c>
      <c r="AK162" s="586">
        <f>3550+1992</f>
        <v>5542</v>
      </c>
      <c r="AL162" s="494">
        <f>SUM(Table157[[#This Row],[Nicor Initiated DBE]:[Staffing]])/(Table157[[#This Row],[Amount Invoiced]])</f>
        <v>4.7755593078514173E-2</v>
      </c>
      <c r="AM162" s="21" t="s">
        <v>116</v>
      </c>
      <c r="AN162" s="680" t="s">
        <v>709</v>
      </c>
      <c r="AO162" s="601"/>
      <c r="AP162" s="572"/>
      <c r="AQ162" s="572"/>
      <c r="AR162" s="572"/>
      <c r="AS162" s="538">
        <f>IF(Table157[[#This Row],[PCTS Approved]]="N",0,Table157[[#This Row],[Investment Amount (1'#'#'#'#'#)]]+Table157[[#This Row],[Retirement Amount (3'#'#'#'#'#)]])</f>
        <v>0</v>
      </c>
      <c r="AT162" s="538">
        <f>IF(Table157[[#This Row],[Approved Construction Cost]]=0,0,Table157[[#This Row],[Approved Construction Cost]]-Table157[[#This Row],[Construction Cost to Bill From]])</f>
        <v>0</v>
      </c>
      <c r="AU162" s="538">
        <f>IFERROR(Table157[[#This Row],[Difference in Construction Cost]]*Table157[[#This Row],[Rate]],Table157[[#This Row],[Difference in Construction Cost]]*0.085)</f>
        <v>0</v>
      </c>
      <c r="AV162" s="602"/>
      <c r="AW162" s="640"/>
      <c r="AX162" s="555"/>
      <c r="AY162" s="636" t="s">
        <v>709</v>
      </c>
      <c r="AZ162" s="443">
        <v>106</v>
      </c>
      <c r="BA162" s="334" t="s">
        <v>4</v>
      </c>
      <c r="BB162" s="651" t="s">
        <v>1671</v>
      </c>
      <c r="BC162" s="644" t="s">
        <v>870</v>
      </c>
      <c r="BD162" s="479" t="s">
        <v>709</v>
      </c>
      <c r="BE162" s="554" t="s">
        <v>1626</v>
      </c>
      <c r="BF162" s="588" t="s">
        <v>1667</v>
      </c>
      <c r="BG162" s="588" t="s">
        <v>709</v>
      </c>
      <c r="BH162" s="483" t="s">
        <v>709</v>
      </c>
      <c r="BI162" s="645" t="s">
        <v>1668</v>
      </c>
      <c r="BJ162" s="511" t="s">
        <v>709</v>
      </c>
      <c r="BK162" s="546" t="s">
        <v>709</v>
      </c>
      <c r="BL162" s="546" t="s">
        <v>709</v>
      </c>
      <c r="BM162" s="546" t="s">
        <v>116</v>
      </c>
      <c r="BN162" s="546" t="s">
        <v>709</v>
      </c>
      <c r="BO162" s="546" t="s">
        <v>709</v>
      </c>
      <c r="BP162" s="546" t="s">
        <v>709</v>
      </c>
      <c r="BQ162" s="546" t="s">
        <v>709</v>
      </c>
      <c r="BR162" s="546">
        <v>7665</v>
      </c>
      <c r="BS162" s="546">
        <v>1674</v>
      </c>
      <c r="BT162" s="546">
        <v>2210</v>
      </c>
      <c r="BU162" s="546" t="s">
        <v>709</v>
      </c>
      <c r="BV162" s="546" t="s">
        <v>709</v>
      </c>
      <c r="BW162" s="546" t="s">
        <v>709</v>
      </c>
      <c r="BX162" s="546" t="s">
        <v>709</v>
      </c>
      <c r="BY162" s="546" t="s">
        <v>745</v>
      </c>
      <c r="BZ162" s="546" t="s">
        <v>709</v>
      </c>
      <c r="CA162" s="506"/>
    </row>
    <row r="163" spans="1:79" ht="15" hidden="1" customHeight="1" x14ac:dyDescent="0.25">
      <c r="A163" s="8" t="s">
        <v>749</v>
      </c>
      <c r="B163" s="8" t="s">
        <v>4</v>
      </c>
      <c r="C163" s="8" t="s">
        <v>1672</v>
      </c>
      <c r="D163" s="8" t="s">
        <v>1673</v>
      </c>
      <c r="E163" s="8" t="s">
        <v>1674</v>
      </c>
      <c r="F163" s="8" t="s">
        <v>784</v>
      </c>
      <c r="G163" s="8" t="s">
        <v>26</v>
      </c>
      <c r="H163" s="8" t="s">
        <v>413</v>
      </c>
      <c r="I163" s="642">
        <v>45027</v>
      </c>
      <c r="J163" s="18">
        <v>45254</v>
      </c>
      <c r="K163" s="97">
        <v>45251</v>
      </c>
      <c r="L163" s="16">
        <f>IF(ISTEXT(Table157[[#This Row],[Engineering Approved Design Date]]),Table157[[#This Row],[Date Completed]]-Table157[[#This Row],[Date Assigned to Designer]],Table157[[#This Row],[Engineering Approved Design Date]]-Table157[[#This Row],[Date Completed]])</f>
        <v>3</v>
      </c>
      <c r="M163" s="642"/>
      <c r="N163" s="642" t="s">
        <v>120</v>
      </c>
      <c r="O163" s="510">
        <v>45261</v>
      </c>
      <c r="P163" s="221" t="s">
        <v>739</v>
      </c>
      <c r="Q163" s="74">
        <f>Table157[[#This Row],[Rate]]*Table157[[#This Row],[Construction Cost to Bill From]]</f>
        <v>5355.2860000000001</v>
      </c>
      <c r="R163" s="75">
        <v>0.1</v>
      </c>
      <c r="U163" s="87"/>
      <c r="V163" s="437">
        <v>0</v>
      </c>
      <c r="W163" s="437">
        <v>0</v>
      </c>
      <c r="X163" s="24">
        <v>0</v>
      </c>
      <c r="Y163" s="551"/>
      <c r="Z163" s="552">
        <v>53552.86</v>
      </c>
      <c r="AA163" s="300">
        <f>SUM(Table157[[#This Row],[PCTS Investment Amount]:[PCTS Retirement Amount]])</f>
        <v>53552.86</v>
      </c>
      <c r="AB163" s="207">
        <v>45257</v>
      </c>
      <c r="AC163" s="108" t="s">
        <v>709</v>
      </c>
      <c r="AD163" s="108" t="s">
        <v>29</v>
      </c>
      <c r="AE163" s="187" t="s">
        <v>116</v>
      </c>
      <c r="AF163" s="568" t="s">
        <v>756</v>
      </c>
      <c r="AG163" s="568" t="s">
        <v>116</v>
      </c>
      <c r="AH163" s="356">
        <v>45308</v>
      </c>
      <c r="AI163" s="489"/>
      <c r="AJ163" s="553"/>
      <c r="AK163" s="553"/>
      <c r="AL163" s="495"/>
      <c r="AM163" s="21" t="s">
        <v>116</v>
      </c>
      <c r="AN163" s="680" t="s">
        <v>709</v>
      </c>
      <c r="AO163" s="601"/>
      <c r="AP163" s="572"/>
      <c r="AQ163" s="572"/>
      <c r="AR163" s="572"/>
      <c r="AS163" s="538">
        <f>IF(Table157[[#This Row],[PCTS Approved]]="N",0,Table157[[#This Row],[Investment Amount (1'#'#'#'#'#)]]+Table157[[#This Row],[Retirement Amount (3'#'#'#'#'#)]])</f>
        <v>0</v>
      </c>
      <c r="AT163" s="538">
        <f>IF(Table157[[#This Row],[Approved Construction Cost]]=0,0,Table157[[#This Row],[Approved Construction Cost]]-Table157[[#This Row],[Construction Cost to Bill From]])</f>
        <v>0</v>
      </c>
      <c r="AU163" s="538">
        <f>IFERROR(Table157[[#This Row],[Difference in Construction Cost]]*Table157[[#This Row],[Rate]],Table157[[#This Row],[Difference in Construction Cost]]*0.085)</f>
        <v>0</v>
      </c>
      <c r="AV163" s="602"/>
      <c r="AW163" s="640"/>
      <c r="AX163" s="555"/>
      <c r="AY163" s="636" t="s">
        <v>709</v>
      </c>
      <c r="AZ163" s="443">
        <v>107</v>
      </c>
      <c r="BA163" s="334" t="s">
        <v>4</v>
      </c>
      <c r="BB163" s="668" t="s">
        <v>1675</v>
      </c>
      <c r="BC163" s="669" t="s">
        <v>1071</v>
      </c>
      <c r="BD163" s="479" t="s">
        <v>709</v>
      </c>
      <c r="BE163" s="554" t="s">
        <v>1167</v>
      </c>
      <c r="BF163" s="588" t="s">
        <v>709</v>
      </c>
      <c r="BG163" s="588" t="s">
        <v>1676</v>
      </c>
      <c r="BH163" s="483" t="s">
        <v>709</v>
      </c>
      <c r="BI163" s="537" t="s">
        <v>1677</v>
      </c>
      <c r="BJ163" s="511" t="s">
        <v>709</v>
      </c>
      <c r="BK163" s="623" t="s">
        <v>709</v>
      </c>
      <c r="BL163" s="546" t="s">
        <v>709</v>
      </c>
      <c r="BM163" s="546" t="s">
        <v>709</v>
      </c>
      <c r="BN163" s="622" t="s">
        <v>709</v>
      </c>
      <c r="BO163" s="623" t="s">
        <v>709</v>
      </c>
      <c r="BP163" s="622" t="s">
        <v>709</v>
      </c>
      <c r="BQ163" s="622" t="s">
        <v>709</v>
      </c>
      <c r="BR163" s="623" t="s">
        <v>709</v>
      </c>
      <c r="BS163" s="623" t="s">
        <v>709</v>
      </c>
      <c r="BT163" s="623" t="s">
        <v>709</v>
      </c>
      <c r="BU163" s="623" t="s">
        <v>709</v>
      </c>
      <c r="BV163" s="623" t="s">
        <v>709</v>
      </c>
      <c r="BW163" s="623" t="s">
        <v>709</v>
      </c>
      <c r="BX163" s="623" t="s">
        <v>709</v>
      </c>
      <c r="BY163" s="546" t="s">
        <v>709</v>
      </c>
      <c r="BZ163" s="623" t="s">
        <v>709</v>
      </c>
      <c r="CA163" s="506" t="s">
        <v>1146</v>
      </c>
    </row>
    <row r="164" spans="1:79" ht="15" hidden="1" customHeight="1" x14ac:dyDescent="0.25">
      <c r="A164" s="8" t="s">
        <v>749</v>
      </c>
      <c r="B164" s="8" t="s">
        <v>4</v>
      </c>
      <c r="C164" s="8" t="s">
        <v>1678</v>
      </c>
      <c r="D164" s="8" t="s">
        <v>1679</v>
      </c>
      <c r="E164" s="8" t="s">
        <v>1680</v>
      </c>
      <c r="F164" s="8" t="s">
        <v>851</v>
      </c>
      <c r="G164" s="8" t="s">
        <v>25</v>
      </c>
      <c r="H164" s="8" t="s">
        <v>1681</v>
      </c>
      <c r="I164" s="642">
        <v>45135</v>
      </c>
      <c r="J164" s="18">
        <v>45275</v>
      </c>
      <c r="K164" s="97">
        <v>45259</v>
      </c>
      <c r="L164" s="16">
        <f>IF(ISTEXT(Table157[[#This Row],[Engineering Approved Design Date]]),Table157[[#This Row],[Date Completed]]-Table157[[#This Row],[Date Assigned to Designer]],Table157[[#This Row],[Engineering Approved Design Date]]-Table157[[#This Row],[Date Completed]])</f>
        <v>16</v>
      </c>
      <c r="M164" s="642" t="s">
        <v>1682</v>
      </c>
      <c r="N164" s="642" t="s">
        <v>120</v>
      </c>
      <c r="O164" s="510">
        <v>45261</v>
      </c>
      <c r="P164" s="221" t="s">
        <v>739</v>
      </c>
      <c r="Q164" s="74">
        <f>Table157[[#This Row],[Rate]]*Table157[[#This Row],[Construction Cost to Bill From]]</f>
        <v>10853.37</v>
      </c>
      <c r="R164" s="75">
        <v>0.1</v>
      </c>
      <c r="U164" s="87"/>
      <c r="V164" s="437">
        <v>0</v>
      </c>
      <c r="W164" s="437">
        <v>0</v>
      </c>
      <c r="X164" s="24">
        <v>76598.83</v>
      </c>
      <c r="Y164" s="551"/>
      <c r="Z164" s="552">
        <v>31934.87</v>
      </c>
      <c r="AA164" s="300">
        <f>SUM(Table157[[#This Row],[PCTS Investment Amount]:[PCTS Retirement Amount]])</f>
        <v>108533.7</v>
      </c>
      <c r="AB164" s="207">
        <v>45238</v>
      </c>
      <c r="AC164" s="108" t="s">
        <v>29</v>
      </c>
      <c r="AD164" s="108" t="s">
        <v>29</v>
      </c>
      <c r="AE164" s="187" t="s">
        <v>116</v>
      </c>
      <c r="AF164" s="568" t="s">
        <v>29</v>
      </c>
      <c r="AG164" s="568" t="s">
        <v>29</v>
      </c>
      <c r="AH164" s="356">
        <v>45447</v>
      </c>
      <c r="AI164" s="489"/>
      <c r="AJ164" s="553"/>
      <c r="AK164" s="553"/>
      <c r="AL164" s="495">
        <f>SUM(Table157[[#This Row],[Nicor Initiated DBE]:[Staffing]])/(Table157[[#This Row],[Amount Invoiced]])</f>
        <v>0</v>
      </c>
      <c r="AM164" s="21" t="s">
        <v>116</v>
      </c>
      <c r="AN164" s="680" t="s">
        <v>709</v>
      </c>
      <c r="AO164" s="601"/>
      <c r="AP164" s="572"/>
      <c r="AQ164" s="572"/>
      <c r="AR164" s="572"/>
      <c r="AS164" s="538">
        <f>IF(Table157[[#This Row],[PCTS Approved]]="N",0,Table157[[#This Row],[Investment Amount (1'#'#'#'#'#)]]+Table157[[#This Row],[Retirement Amount (3'#'#'#'#'#)]])</f>
        <v>0</v>
      </c>
      <c r="AT164" s="538">
        <f>IF(Table157[[#This Row],[Approved Construction Cost]]=0,0,Table157[[#This Row],[Approved Construction Cost]]-Table157[[#This Row],[Construction Cost to Bill From]])</f>
        <v>0</v>
      </c>
      <c r="AU164" s="538">
        <f>IFERROR(Table157[[#This Row],[Difference in Construction Cost]]*Table157[[#This Row],[Rate]],Table157[[#This Row],[Difference in Construction Cost]]*0.085)</f>
        <v>0</v>
      </c>
      <c r="AV164" s="602"/>
      <c r="AW164" s="640"/>
      <c r="AX164" s="555"/>
      <c r="AY164" s="636" t="s">
        <v>709</v>
      </c>
      <c r="AZ164" s="443">
        <v>109</v>
      </c>
      <c r="BA164" s="334" t="s">
        <v>4</v>
      </c>
      <c r="BB164" s="659" t="s">
        <v>1683</v>
      </c>
      <c r="BC164" s="653" t="s">
        <v>1684</v>
      </c>
      <c r="BD164" s="478" t="s">
        <v>116</v>
      </c>
      <c r="BE164" s="544" t="s">
        <v>788</v>
      </c>
      <c r="BF164" s="559" t="s">
        <v>1684</v>
      </c>
      <c r="BG164" s="554" t="s">
        <v>709</v>
      </c>
      <c r="BH164" s="483" t="s">
        <v>709</v>
      </c>
      <c r="BI164" s="537" t="s">
        <v>1685</v>
      </c>
      <c r="BJ164" s="535" t="s">
        <v>709</v>
      </c>
      <c r="BK164" s="547" t="s">
        <v>709</v>
      </c>
      <c r="BL164" s="547" t="s">
        <v>709</v>
      </c>
      <c r="BM164" s="547" t="s">
        <v>116</v>
      </c>
      <c r="BN164" s="547" t="s">
        <v>709</v>
      </c>
      <c r="BO164" s="547" t="s">
        <v>709</v>
      </c>
      <c r="BP164" s="547" t="s">
        <v>709</v>
      </c>
      <c r="BQ164" s="547" t="s">
        <v>709</v>
      </c>
      <c r="BR164" s="547" t="s">
        <v>709</v>
      </c>
      <c r="BS164" s="547" t="s">
        <v>709</v>
      </c>
      <c r="BT164" s="547">
        <v>87</v>
      </c>
      <c r="BU164" s="547" t="s">
        <v>709</v>
      </c>
      <c r="BV164" s="547" t="s">
        <v>709</v>
      </c>
      <c r="BW164" s="547" t="s">
        <v>709</v>
      </c>
      <c r="BX164" s="547" t="s">
        <v>709</v>
      </c>
      <c r="BY164" s="547" t="s">
        <v>709</v>
      </c>
      <c r="BZ164" s="547" t="s">
        <v>709</v>
      </c>
      <c r="CA164" s="485" t="s">
        <v>915</v>
      </c>
    </row>
    <row r="165" spans="1:79" ht="15" hidden="1" customHeight="1" x14ac:dyDescent="0.25">
      <c r="A165" s="8" t="s">
        <v>749</v>
      </c>
      <c r="B165" s="8" t="s">
        <v>1073</v>
      </c>
      <c r="C165" s="8" t="s">
        <v>1686</v>
      </c>
      <c r="D165" s="656" t="s">
        <v>1687</v>
      </c>
      <c r="E165" s="8" t="s">
        <v>1674</v>
      </c>
      <c r="F165" s="8" t="s">
        <v>1688</v>
      </c>
      <c r="G165" s="8" t="s">
        <v>37</v>
      </c>
      <c r="H165" s="8" t="s">
        <v>59</v>
      </c>
      <c r="I165" s="642">
        <v>45190</v>
      </c>
      <c r="J165" s="18">
        <v>45264</v>
      </c>
      <c r="K165" s="97">
        <v>45260</v>
      </c>
      <c r="L165" s="649">
        <f>IF(ISTEXT(Table157[[#This Row],[Engineering Approved Design Date]]),Table157[[#This Row],[Date Completed]]-Table157[[#This Row],[Date Assigned to Designer]],Table157[[#This Row],[Engineering Approved Design Date]]-Table157[[#This Row],[Date Completed]])</f>
        <v>4</v>
      </c>
      <c r="M165" s="642"/>
      <c r="N165" s="642" t="s">
        <v>120</v>
      </c>
      <c r="O165" s="510">
        <v>45261</v>
      </c>
      <c r="P165" s="221" t="s">
        <v>739</v>
      </c>
      <c r="Q165" s="74">
        <f>Table157[[#This Row],[Rate]]*Table157[[#This Row],[Construction Cost to Bill From]]</f>
        <v>29967.556</v>
      </c>
      <c r="R165" s="75">
        <v>0.08</v>
      </c>
      <c r="U165" s="87"/>
      <c r="V165" s="437">
        <v>1484</v>
      </c>
      <c r="W165" s="437">
        <v>0</v>
      </c>
      <c r="X165" s="94">
        <v>374594.45</v>
      </c>
      <c r="Y165" s="551"/>
      <c r="Z165" s="552">
        <v>0</v>
      </c>
      <c r="AA165" s="300">
        <f>SUM(Table157[[#This Row],[PCTS Investment Amount]:[PCTS Retirement Amount]])</f>
        <v>374594.45</v>
      </c>
      <c r="AB165" s="207">
        <v>45261</v>
      </c>
      <c r="AC165" s="108" t="s">
        <v>709</v>
      </c>
      <c r="AD165" s="108" t="s">
        <v>29</v>
      </c>
      <c r="AE165" s="187" t="s">
        <v>116</v>
      </c>
      <c r="AF165" s="568" t="s">
        <v>116</v>
      </c>
      <c r="AG165" s="568" t="s">
        <v>376</v>
      </c>
      <c r="AH165" s="356" t="s">
        <v>376</v>
      </c>
      <c r="AI165" s="341"/>
      <c r="AJ165" s="183"/>
      <c r="AK165" s="183"/>
      <c r="AL165" s="494">
        <f>SUM(Table157[[#This Row],[Nicor Initiated DBE]:[Staffing]])/(Table157[[#This Row],[Amount Invoiced]])</f>
        <v>0</v>
      </c>
      <c r="AM165" s="21" t="s">
        <v>116</v>
      </c>
      <c r="AN165" s="680" t="s">
        <v>709</v>
      </c>
      <c r="AO165" s="601"/>
      <c r="AP165" s="572"/>
      <c r="AQ165" s="572"/>
      <c r="AR165" s="572"/>
      <c r="AS165" s="538">
        <f>IF(Table157[[#This Row],[PCTS Approved]]="N",0,Table157[[#This Row],[Investment Amount (1'#'#'#'#'#)]]+Table157[[#This Row],[Retirement Amount (3'#'#'#'#'#)]])</f>
        <v>0</v>
      </c>
      <c r="AT165" s="538">
        <f>IF(Table157[[#This Row],[Approved Construction Cost]]=0,0,Table157[[#This Row],[Approved Construction Cost]]-Table157[[#This Row],[Construction Cost to Bill From]])</f>
        <v>0</v>
      </c>
      <c r="AU165" s="538">
        <f>IFERROR(Table157[[#This Row],[Difference in Construction Cost]]*Table157[[#This Row],[Rate]],Table157[[#This Row],[Difference in Construction Cost]]*0.085)</f>
        <v>0</v>
      </c>
      <c r="AV165" s="602"/>
      <c r="AW165" s="640"/>
      <c r="AX165" s="555"/>
      <c r="AY165" s="636" t="s">
        <v>709</v>
      </c>
      <c r="AZ165" s="443">
        <v>19</v>
      </c>
      <c r="BA165" s="334" t="s">
        <v>3</v>
      </c>
      <c r="BB165" s="651" t="s">
        <v>1689</v>
      </c>
      <c r="BC165" s="644" t="s">
        <v>1690</v>
      </c>
      <c r="BD165" s="479" t="s">
        <v>116</v>
      </c>
      <c r="BE165" s="554" t="s">
        <v>709</v>
      </c>
      <c r="BF165" s="588" t="s">
        <v>1691</v>
      </c>
      <c r="BG165" s="588" t="s">
        <v>115</v>
      </c>
      <c r="BH165" s="483"/>
      <c r="BI165" s="537" t="s">
        <v>1677</v>
      </c>
      <c r="BJ165" s="511" t="s">
        <v>709</v>
      </c>
      <c r="BK165" s="546" t="s">
        <v>709</v>
      </c>
      <c r="BL165" s="546" t="s">
        <v>709</v>
      </c>
      <c r="BM165" s="546" t="s">
        <v>116</v>
      </c>
      <c r="BN165" s="546" t="s">
        <v>709</v>
      </c>
      <c r="BO165" s="546" t="s">
        <v>709</v>
      </c>
      <c r="BP165" s="546" t="s">
        <v>709</v>
      </c>
      <c r="BQ165" s="546" t="s">
        <v>709</v>
      </c>
      <c r="BR165" s="546" t="s">
        <v>709</v>
      </c>
      <c r="BS165" s="546">
        <v>1484</v>
      </c>
      <c r="BT165" s="546" t="s">
        <v>709</v>
      </c>
      <c r="BU165" s="546" t="s">
        <v>709</v>
      </c>
      <c r="BV165" s="546" t="s">
        <v>709</v>
      </c>
      <c r="BW165" s="546" t="s">
        <v>709</v>
      </c>
      <c r="BX165" s="546" t="s">
        <v>709</v>
      </c>
      <c r="BY165" s="546" t="s">
        <v>709</v>
      </c>
      <c r="BZ165" s="546" t="s">
        <v>709</v>
      </c>
      <c r="CA165" s="506"/>
    </row>
    <row r="166" spans="1:79" ht="15" hidden="1" customHeight="1" x14ac:dyDescent="0.25">
      <c r="A166" s="8" t="s">
        <v>800</v>
      </c>
      <c r="B166" s="8" t="s">
        <v>4</v>
      </c>
      <c r="C166" s="8" t="s">
        <v>397</v>
      </c>
      <c r="D166" s="8" t="s">
        <v>1692</v>
      </c>
      <c r="E166" s="8" t="s">
        <v>398</v>
      </c>
      <c r="F166" s="8" t="s">
        <v>784</v>
      </c>
      <c r="G166" s="8" t="s">
        <v>35</v>
      </c>
      <c r="H166" s="8" t="s">
        <v>59</v>
      </c>
      <c r="I166" s="642">
        <v>44854</v>
      </c>
      <c r="J166" s="472">
        <v>45267</v>
      </c>
      <c r="K166" s="97">
        <v>45261</v>
      </c>
      <c r="L166" s="16">
        <f>IF(ISTEXT(Table157[[#This Row],[Engineering Approved Design Date]]),Table157[[#This Row],[Date Completed]]-Table157[[#This Row],[Date Assigned to Designer]],Table157[[#This Row],[Engineering Approved Design Date]]-Table157[[#This Row],[Date Completed]])</f>
        <v>6</v>
      </c>
      <c r="M166" s="642"/>
      <c r="N166" s="642" t="s">
        <v>120</v>
      </c>
      <c r="O166" s="510">
        <v>45292</v>
      </c>
      <c r="P166" s="221" t="s">
        <v>739</v>
      </c>
      <c r="Q166" s="343">
        <f>Table157[[#This Row],[Rate]]*Table157[[#This Row],[Construction Cost to Bill From]]</f>
        <v>584340.76300000004</v>
      </c>
      <c r="R166" s="75">
        <v>0.1</v>
      </c>
      <c r="U166" s="87"/>
      <c r="V166" s="437">
        <v>15156</v>
      </c>
      <c r="W166" s="437">
        <v>0</v>
      </c>
      <c r="X166" s="70">
        <v>4473504.66</v>
      </c>
      <c r="Y166" s="551"/>
      <c r="Z166" s="570">
        <v>1369902.97</v>
      </c>
      <c r="AA166" s="300">
        <f>SUM(Table157[[#This Row],[PCTS Investment Amount]:[PCTS Retirement Amount]])</f>
        <v>5843407.6299999999</v>
      </c>
      <c r="AB166" s="207">
        <v>45244</v>
      </c>
      <c r="AC166" s="108" t="s">
        <v>116</v>
      </c>
      <c r="AD166" s="108" t="s">
        <v>29</v>
      </c>
      <c r="AE166" s="187" t="s">
        <v>116</v>
      </c>
      <c r="AF166" s="568" t="s">
        <v>116</v>
      </c>
      <c r="AG166" s="568" t="s">
        <v>376</v>
      </c>
      <c r="AH166" s="356">
        <v>45308</v>
      </c>
      <c r="AI166" s="505">
        <v>6220</v>
      </c>
      <c r="AJ166" s="553"/>
      <c r="AK166" s="586">
        <v>2232.5</v>
      </c>
      <c r="AL166" s="494">
        <f>SUM(Table157[[#This Row],[Nicor Initiated DBE]:[Staffing]])/(Table157[[#This Row],[Amount Invoiced]])</f>
        <v>1.4465018590530881E-2</v>
      </c>
      <c r="AM166" s="21" t="s">
        <v>116</v>
      </c>
      <c r="AN166" s="680" t="s">
        <v>709</v>
      </c>
      <c r="AO166" s="601"/>
      <c r="AP166" s="572"/>
      <c r="AQ166" s="572"/>
      <c r="AR166" s="572"/>
      <c r="AS166" s="538">
        <f>IF(Table157[[#This Row],[PCTS Approved]]="N",0,Table157[[#This Row],[Investment Amount (1'#'#'#'#'#)]]+Table157[[#This Row],[Retirement Amount (3'#'#'#'#'#)]])</f>
        <v>0</v>
      </c>
      <c r="AT166" s="538">
        <f>IF(Table157[[#This Row],[Approved Construction Cost]]=0,0,Table157[[#This Row],[Approved Construction Cost]]-Table157[[#This Row],[Construction Cost to Bill From]])</f>
        <v>0</v>
      </c>
      <c r="AU166" s="538">
        <f>IFERROR(Table157[[#This Row],[Difference in Construction Cost]]*Table157[[#This Row],[Rate]],Table157[[#This Row],[Difference in Construction Cost]]*0.085)</f>
        <v>0</v>
      </c>
      <c r="AV166" s="602"/>
      <c r="AW166" s="640"/>
      <c r="AX166" s="555"/>
      <c r="AY166" s="636" t="s">
        <v>709</v>
      </c>
      <c r="AZ166" s="443">
        <v>110</v>
      </c>
      <c r="BA166" s="334" t="s">
        <v>4</v>
      </c>
      <c r="BB166" s="651" t="s">
        <v>1693</v>
      </c>
      <c r="BC166" s="644" t="s">
        <v>870</v>
      </c>
      <c r="BD166" s="479" t="s">
        <v>116</v>
      </c>
      <c r="BE166" s="554" t="s">
        <v>1626</v>
      </c>
      <c r="BF166" s="588" t="s">
        <v>115</v>
      </c>
      <c r="BG166" s="588" t="s">
        <v>709</v>
      </c>
      <c r="BH166" s="483" t="s">
        <v>1694</v>
      </c>
      <c r="BI166" s="537" t="s">
        <v>1695</v>
      </c>
      <c r="BJ166" s="511" t="s">
        <v>709</v>
      </c>
      <c r="BK166" s="623" t="s">
        <v>709</v>
      </c>
      <c r="BL166" s="546" t="s">
        <v>116</v>
      </c>
      <c r="BM166" s="546" t="s">
        <v>116</v>
      </c>
      <c r="BN166" s="622" t="s">
        <v>709</v>
      </c>
      <c r="BO166" s="623" t="s">
        <v>709</v>
      </c>
      <c r="BP166" s="622" t="s">
        <v>709</v>
      </c>
      <c r="BQ166" s="622">
        <v>1010</v>
      </c>
      <c r="BR166" s="623">
        <v>6628</v>
      </c>
      <c r="BS166" s="623">
        <v>7033</v>
      </c>
      <c r="BT166" s="623">
        <v>485</v>
      </c>
      <c r="BU166" s="623" t="s">
        <v>709</v>
      </c>
      <c r="BV166" s="623" t="s">
        <v>709</v>
      </c>
      <c r="BW166" s="623" t="s">
        <v>709</v>
      </c>
      <c r="BX166" s="623" t="s">
        <v>709</v>
      </c>
      <c r="BY166" s="546" t="s">
        <v>709</v>
      </c>
      <c r="BZ166" s="623" t="s">
        <v>709</v>
      </c>
      <c r="CA166" s="506"/>
    </row>
    <row r="167" spans="1:79" ht="15" hidden="1" customHeight="1" x14ac:dyDescent="0.25">
      <c r="A167" s="8" t="s">
        <v>749</v>
      </c>
      <c r="B167" s="8" t="s">
        <v>4</v>
      </c>
      <c r="C167" s="8" t="s">
        <v>1696</v>
      </c>
      <c r="D167" s="8" t="s">
        <v>1697</v>
      </c>
      <c r="E167" s="8" t="s">
        <v>1698</v>
      </c>
      <c r="F167" s="8" t="s">
        <v>784</v>
      </c>
      <c r="G167" s="8" t="s">
        <v>27</v>
      </c>
      <c r="H167" s="8" t="s">
        <v>59</v>
      </c>
      <c r="I167" s="642">
        <v>45188</v>
      </c>
      <c r="J167" s="472">
        <v>45306</v>
      </c>
      <c r="K167" s="97">
        <v>45273</v>
      </c>
      <c r="L167" s="16">
        <f>IF(ISTEXT(Table157[[#This Row],[Engineering Approved Design Date]]),Table157[[#This Row],[Date Completed]]-Table157[[#This Row],[Date Assigned to Designer]],Table157[[#This Row],[Engineering Approved Design Date]]-Table157[[#This Row],[Date Completed]])</f>
        <v>33</v>
      </c>
      <c r="M167" s="642"/>
      <c r="N167" s="642" t="s">
        <v>120</v>
      </c>
      <c r="O167" s="510">
        <v>45292</v>
      </c>
      <c r="P167" s="221" t="s">
        <v>739</v>
      </c>
      <c r="Q167" s="74">
        <f>Table157[[#This Row],[Rate]]*Table157[[#This Row],[Construction Cost to Bill From]]</f>
        <v>85706.26400000001</v>
      </c>
      <c r="R167" s="75">
        <v>0.1</v>
      </c>
      <c r="U167" s="87"/>
      <c r="V167" s="437">
        <v>306</v>
      </c>
      <c r="W167" s="437">
        <v>0</v>
      </c>
      <c r="X167" s="70">
        <v>654133.12</v>
      </c>
      <c r="Y167" s="551"/>
      <c r="Z167" s="570">
        <v>202929.52</v>
      </c>
      <c r="AA167" s="300">
        <f>SUM(Table157[[#This Row],[PCTS Investment Amount]:[PCTS Retirement Amount]])</f>
        <v>857062.64</v>
      </c>
      <c r="AB167" s="207">
        <v>45264</v>
      </c>
      <c r="AC167" s="108" t="s">
        <v>116</v>
      </c>
      <c r="AD167" s="108" t="s">
        <v>29</v>
      </c>
      <c r="AE167" s="187" t="s">
        <v>116</v>
      </c>
      <c r="AF167" s="568" t="s">
        <v>116</v>
      </c>
      <c r="AG167" s="183">
        <v>45371</v>
      </c>
      <c r="AH167" s="356">
        <v>45371</v>
      </c>
      <c r="AI167" s="499">
        <v>0</v>
      </c>
      <c r="AJ167" s="585">
        <v>1599.5</v>
      </c>
      <c r="AK167" s="585">
        <v>682</v>
      </c>
      <c r="AL167" s="494">
        <f>SUM(Table157[[#This Row],[Nicor Initiated DBE]:[Staffing]])/(Table157[[#This Row],[Amount Invoiced]])</f>
        <v>2.6619991276250237E-2</v>
      </c>
      <c r="AM167" s="21" t="s">
        <v>116</v>
      </c>
      <c r="AN167" s="680" t="s">
        <v>709</v>
      </c>
      <c r="AO167" s="601"/>
      <c r="AP167" s="572"/>
      <c r="AQ167" s="572"/>
      <c r="AR167" s="572"/>
      <c r="AS167" s="538">
        <f>IF(Table157[[#This Row],[PCTS Approved]]="N",0,Table157[[#This Row],[Investment Amount (1'#'#'#'#'#)]]+Table157[[#This Row],[Retirement Amount (3'#'#'#'#'#)]])</f>
        <v>0</v>
      </c>
      <c r="AT167" s="538">
        <f>IF(Table157[[#This Row],[Approved Construction Cost]]=0,0,Table157[[#This Row],[Approved Construction Cost]]-Table157[[#This Row],[Construction Cost to Bill From]])</f>
        <v>0</v>
      </c>
      <c r="AU167" s="538">
        <f>IFERROR(Table157[[#This Row],[Difference in Construction Cost]]*Table157[[#This Row],[Rate]],Table157[[#This Row],[Difference in Construction Cost]]*0.085)</f>
        <v>0</v>
      </c>
      <c r="AV167" s="602"/>
      <c r="AW167" s="640"/>
      <c r="AX167" s="555"/>
      <c r="AY167" s="636" t="s">
        <v>709</v>
      </c>
      <c r="AZ167" s="443">
        <v>112</v>
      </c>
      <c r="BA167" s="334" t="s">
        <v>4</v>
      </c>
      <c r="BB167" s="651" t="s">
        <v>1699</v>
      </c>
      <c r="BC167" s="644" t="s">
        <v>870</v>
      </c>
      <c r="BD167" s="479" t="s">
        <v>116</v>
      </c>
      <c r="BE167" s="554" t="s">
        <v>882</v>
      </c>
      <c r="BF167" s="588" t="s">
        <v>1700</v>
      </c>
      <c r="BG167" s="588" t="s">
        <v>709</v>
      </c>
      <c r="BH167" s="483" t="s">
        <v>709</v>
      </c>
      <c r="BI167" s="487" t="s">
        <v>1701</v>
      </c>
      <c r="BJ167" s="511" t="s">
        <v>709</v>
      </c>
      <c r="BK167" s="623" t="s">
        <v>709</v>
      </c>
      <c r="BL167" s="546" t="s">
        <v>709</v>
      </c>
      <c r="BM167" s="546" t="s">
        <v>116</v>
      </c>
      <c r="BN167" s="622" t="s">
        <v>709</v>
      </c>
      <c r="BO167" s="623">
        <v>153</v>
      </c>
      <c r="BP167" s="622" t="s">
        <v>709</v>
      </c>
      <c r="BQ167" s="622" t="s">
        <v>709</v>
      </c>
      <c r="BR167" s="623">
        <v>92</v>
      </c>
      <c r="BS167" s="623">
        <v>61</v>
      </c>
      <c r="BT167" s="623" t="s">
        <v>709</v>
      </c>
      <c r="BU167" s="623" t="s">
        <v>709</v>
      </c>
      <c r="BV167" s="623" t="s">
        <v>709</v>
      </c>
      <c r="BW167" s="623" t="s">
        <v>709</v>
      </c>
      <c r="BX167" s="623" t="s">
        <v>709</v>
      </c>
      <c r="BY167" s="546" t="s">
        <v>709</v>
      </c>
      <c r="BZ167" s="623" t="s">
        <v>709</v>
      </c>
      <c r="CA167" s="506"/>
    </row>
    <row r="168" spans="1:79" ht="15" hidden="1" customHeight="1" x14ac:dyDescent="0.25">
      <c r="A168" s="8" t="s">
        <v>800</v>
      </c>
      <c r="B168" s="8" t="s">
        <v>4</v>
      </c>
      <c r="C168" s="8" t="s">
        <v>392</v>
      </c>
      <c r="D168" s="8" t="s">
        <v>1702</v>
      </c>
      <c r="E168" s="8" t="s">
        <v>393</v>
      </c>
      <c r="F168" s="8" t="s">
        <v>784</v>
      </c>
      <c r="G168" s="8" t="s">
        <v>27</v>
      </c>
      <c r="H168" s="8" t="s">
        <v>59</v>
      </c>
      <c r="I168" s="642">
        <v>44886</v>
      </c>
      <c r="J168" s="18">
        <v>45289</v>
      </c>
      <c r="K168" s="97">
        <v>45288</v>
      </c>
      <c r="L168" s="16">
        <f>IF(ISTEXT(Table157[[#This Row],[Engineering Approved Design Date]]),Table157[[#This Row],[Date Completed]]-Table157[[#This Row],[Date Assigned to Designer]],Table157[[#This Row],[Engineering Approved Design Date]]-Table157[[#This Row],[Date Completed]])</f>
        <v>1</v>
      </c>
      <c r="M168" s="642"/>
      <c r="N168" s="642" t="s">
        <v>120</v>
      </c>
      <c r="O168" s="510">
        <v>45292</v>
      </c>
      <c r="P168" s="221" t="s">
        <v>739</v>
      </c>
      <c r="Q168" s="74">
        <f>Table157[[#This Row],[Rate]]*Table157[[#This Row],[Construction Cost to Bill From]]</f>
        <v>414065.52400000003</v>
      </c>
      <c r="R168" s="75">
        <v>0.1</v>
      </c>
      <c r="U168" s="87"/>
      <c r="V168" s="437">
        <v>8446</v>
      </c>
      <c r="W168" s="437">
        <v>0</v>
      </c>
      <c r="X168" s="70">
        <v>3141483.87</v>
      </c>
      <c r="Y168" s="551"/>
      <c r="Z168" s="570">
        <v>999171.37</v>
      </c>
      <c r="AA168" s="300">
        <f>SUM(Table157[[#This Row],[PCTS Investment Amount]:[PCTS Retirement Amount]])</f>
        <v>4140655.24</v>
      </c>
      <c r="AB168" s="207">
        <v>45288</v>
      </c>
      <c r="AC168" s="108" t="s">
        <v>116</v>
      </c>
      <c r="AD168" s="108" t="s">
        <v>116</v>
      </c>
      <c r="AE168" s="187" t="s">
        <v>116</v>
      </c>
      <c r="AF168" s="568" t="s">
        <v>116</v>
      </c>
      <c r="AG168" s="568" t="s">
        <v>116</v>
      </c>
      <c r="AH168" s="356">
        <v>45366</v>
      </c>
      <c r="AI168" s="498">
        <v>0</v>
      </c>
      <c r="AJ168" s="585">
        <v>9588.4</v>
      </c>
      <c r="AK168" s="585">
        <v>2448.75</v>
      </c>
      <c r="AL168" s="494">
        <f>SUM(Table157[[#This Row],[Nicor Initiated DBE]:[Staffing]])/(Table157[[#This Row],[Amount Invoiced]])</f>
        <v>2.9070640520170422E-2</v>
      </c>
      <c r="AM168" s="21" t="s">
        <v>116</v>
      </c>
      <c r="AN168" s="680" t="s">
        <v>709</v>
      </c>
      <c r="AO168" s="601"/>
      <c r="AP168" s="572"/>
      <c r="AQ168" s="572"/>
      <c r="AR168" s="572"/>
      <c r="AS168" s="538">
        <f>IF(Table157[[#This Row],[PCTS Approved]]="N",0,Table157[[#This Row],[Investment Amount (1'#'#'#'#'#)]]+Table157[[#This Row],[Retirement Amount (3'#'#'#'#'#)]])</f>
        <v>0</v>
      </c>
      <c r="AT168" s="538">
        <f>IF(Table157[[#This Row],[Approved Construction Cost]]=0,0,Table157[[#This Row],[Approved Construction Cost]]-Table157[[#This Row],[Construction Cost to Bill From]])</f>
        <v>0</v>
      </c>
      <c r="AU168" s="538">
        <f>IFERROR(Table157[[#This Row],[Difference in Construction Cost]]*Table157[[#This Row],[Rate]],Table157[[#This Row],[Difference in Construction Cost]]*0.085)</f>
        <v>0</v>
      </c>
      <c r="AV168" s="602"/>
      <c r="AW168" s="640"/>
      <c r="AX168" s="555"/>
      <c r="AY168" s="636" t="s">
        <v>709</v>
      </c>
      <c r="AZ168" s="443">
        <v>115</v>
      </c>
      <c r="BA168" s="334" t="s">
        <v>4</v>
      </c>
      <c r="BB168" s="651" t="s">
        <v>1703</v>
      </c>
      <c r="BC168" s="644" t="s">
        <v>1704</v>
      </c>
      <c r="BD168" s="479" t="s">
        <v>116</v>
      </c>
      <c r="BE168" s="554" t="s">
        <v>1066</v>
      </c>
      <c r="BF168" s="588" t="s">
        <v>1705</v>
      </c>
      <c r="BG168" s="588" t="s">
        <v>1706</v>
      </c>
      <c r="BH168" s="483" t="s">
        <v>1707</v>
      </c>
      <c r="BI168" s="487" t="s">
        <v>1708</v>
      </c>
      <c r="BJ168" s="511" t="s">
        <v>709</v>
      </c>
      <c r="BK168" s="623" t="s">
        <v>709</v>
      </c>
      <c r="BL168" s="546" t="s">
        <v>709</v>
      </c>
      <c r="BM168" s="546" t="s">
        <v>116</v>
      </c>
      <c r="BN168" s="622" t="s">
        <v>709</v>
      </c>
      <c r="BO168" s="623" t="s">
        <v>709</v>
      </c>
      <c r="BP168" s="622" t="s">
        <v>709</v>
      </c>
      <c r="BQ168" s="622">
        <v>250</v>
      </c>
      <c r="BR168" s="623">
        <v>5956</v>
      </c>
      <c r="BS168" s="623">
        <v>928</v>
      </c>
      <c r="BT168" s="623">
        <v>1562</v>
      </c>
      <c r="BU168" s="623" t="s">
        <v>745</v>
      </c>
      <c r="BV168" s="623" t="s">
        <v>709</v>
      </c>
      <c r="BW168" s="623" t="s">
        <v>745</v>
      </c>
      <c r="BX168" s="623" t="s">
        <v>709</v>
      </c>
      <c r="BY168" s="546" t="s">
        <v>745</v>
      </c>
      <c r="BZ168" s="623" t="s">
        <v>745</v>
      </c>
      <c r="CA168" s="506"/>
    </row>
    <row r="169" spans="1:79" ht="15" hidden="1" customHeight="1" x14ac:dyDescent="0.25">
      <c r="A169" s="8" t="s">
        <v>800</v>
      </c>
      <c r="B169" s="8" t="s">
        <v>4</v>
      </c>
      <c r="C169" s="8" t="s">
        <v>1709</v>
      </c>
      <c r="D169" s="8" t="s">
        <v>1710</v>
      </c>
      <c r="E169" s="8" t="s">
        <v>1605</v>
      </c>
      <c r="F169" s="8" t="s">
        <v>747</v>
      </c>
      <c r="G169" s="8" t="s">
        <v>25</v>
      </c>
      <c r="H169" s="8" t="s">
        <v>59</v>
      </c>
      <c r="I169" s="642">
        <v>45230</v>
      </c>
      <c r="J169" s="18">
        <v>45317</v>
      </c>
      <c r="K169" s="97">
        <v>45303</v>
      </c>
      <c r="L169" s="16">
        <f>IF(ISTEXT(Table157[[#This Row],[Engineering Approved Design Date]]),Table157[[#This Row],[Date Completed]]-Table157[[#This Row],[Date Assigned to Designer]],Table157[[#This Row],[Engineering Approved Design Date]]-Table157[[#This Row],[Date Completed]])</f>
        <v>14</v>
      </c>
      <c r="M169" s="642"/>
      <c r="N169" s="642" t="s">
        <v>120</v>
      </c>
      <c r="O169" s="510">
        <v>45323</v>
      </c>
      <c r="P169" s="221" t="s">
        <v>739</v>
      </c>
      <c r="Q169" s="74">
        <f>Table157[[#This Row],[Rate]]*Table157[[#This Row],[Construction Cost to Bill From]]</f>
        <v>32968.318999999996</v>
      </c>
      <c r="R169" s="75">
        <v>0.1</v>
      </c>
      <c r="U169" s="87"/>
      <c r="V169" s="437">
        <v>1336</v>
      </c>
      <c r="W169" s="437">
        <v>0</v>
      </c>
      <c r="X169" s="25">
        <v>303555.40999999997</v>
      </c>
      <c r="Y169" s="551"/>
      <c r="Z169" s="570">
        <v>26127.78</v>
      </c>
      <c r="AA169" s="300">
        <f>Table157[[#This Row],[PCTS Investment Amount]]+Table157[[#This Row],[PCTS Retirement Amount]]</f>
        <v>329683.18999999994</v>
      </c>
      <c r="AB169" s="207">
        <v>45294</v>
      </c>
      <c r="AC169" s="108" t="s">
        <v>709</v>
      </c>
      <c r="AD169" s="22" t="s">
        <v>29</v>
      </c>
      <c r="AE169" s="187" t="s">
        <v>756</v>
      </c>
      <c r="AF169" s="568" t="s">
        <v>29</v>
      </c>
      <c r="AG169" s="183" t="s">
        <v>116</v>
      </c>
      <c r="AH169" s="356">
        <v>45308</v>
      </c>
      <c r="AI169" s="499">
        <v>58383</v>
      </c>
      <c r="AJ169" s="541">
        <v>4502</v>
      </c>
      <c r="AK169" s="541">
        <v>0</v>
      </c>
      <c r="AL169" s="494">
        <f>SUM(Table157[[#This Row],[Nicor Initiated DBE]:[Staffing]])/(Table157[[#This Row],[Amount Invoiced]])</f>
        <v>1.9074372581750378</v>
      </c>
      <c r="AM169" s="21" t="s">
        <v>116</v>
      </c>
      <c r="AN169" s="680" t="s">
        <v>709</v>
      </c>
      <c r="AO169" s="601"/>
      <c r="AP169" s="572"/>
      <c r="AQ169" s="572"/>
      <c r="AR169" s="572"/>
      <c r="AS169" s="538">
        <f>IF(Table157[[#This Row],[PCTS Approved]]="N",0,Table157[[#This Row],[Investment Amount (1'#'#'#'#'#)]]+Table157[[#This Row],[Retirement Amount (3'#'#'#'#'#)]])</f>
        <v>0</v>
      </c>
      <c r="AT169" s="538">
        <f>IF(Table157[[#This Row],[Approved Construction Cost]]=0,0,Table157[[#This Row],[Approved Construction Cost]]-Table157[[#This Row],[Construction Cost to Bill From]])</f>
        <v>0</v>
      </c>
      <c r="AU169" s="538">
        <f>IFERROR(Table157[[#This Row],[Difference in Construction Cost]]*Table157[[#This Row],[Rate]],Table157[[#This Row],[Difference in Construction Cost]]*0.085)</f>
        <v>0</v>
      </c>
      <c r="AV169" s="602"/>
      <c r="AW169" s="640"/>
      <c r="AX169" s="555"/>
      <c r="AY169" s="636" t="s">
        <v>709</v>
      </c>
      <c r="AZ169" s="443">
        <v>118</v>
      </c>
      <c r="BA169" s="334" t="s">
        <v>4</v>
      </c>
      <c r="BB169" s="651" t="s">
        <v>1711</v>
      </c>
      <c r="BC169" s="644" t="s">
        <v>1712</v>
      </c>
      <c r="BD169" s="479" t="s">
        <v>709</v>
      </c>
      <c r="BE169" s="554" t="s">
        <v>837</v>
      </c>
      <c r="BF169" s="588" t="s">
        <v>615</v>
      </c>
      <c r="BG169" s="588" t="s">
        <v>709</v>
      </c>
      <c r="BH169" s="483" t="s">
        <v>709</v>
      </c>
      <c r="BI169" s="487" t="s">
        <v>1713</v>
      </c>
      <c r="BJ169" s="511" t="s">
        <v>709</v>
      </c>
      <c r="BK169" s="623" t="s">
        <v>709</v>
      </c>
      <c r="BL169" s="546" t="s">
        <v>709</v>
      </c>
      <c r="BM169" s="546" t="s">
        <v>116</v>
      </c>
      <c r="BN169" s="622" t="s">
        <v>709</v>
      </c>
      <c r="BO169" s="623" t="s">
        <v>709</v>
      </c>
      <c r="BP169" s="622" t="s">
        <v>709</v>
      </c>
      <c r="BQ169" s="622" t="s">
        <v>709</v>
      </c>
      <c r="BR169" s="623" t="s">
        <v>709</v>
      </c>
      <c r="BS169" s="623" t="s">
        <v>709</v>
      </c>
      <c r="BT169" s="623">
        <v>1336</v>
      </c>
      <c r="BU169" s="623" t="s">
        <v>745</v>
      </c>
      <c r="BV169" s="623" t="s">
        <v>709</v>
      </c>
      <c r="BW169" s="623" t="s">
        <v>745</v>
      </c>
      <c r="BX169" s="623" t="s">
        <v>709</v>
      </c>
      <c r="BY169" s="546" t="s">
        <v>745</v>
      </c>
      <c r="BZ169" s="623" t="s">
        <v>745</v>
      </c>
      <c r="CA169" s="506"/>
    </row>
    <row r="170" spans="1:79" ht="15" hidden="1" customHeight="1" x14ac:dyDescent="0.25">
      <c r="A170" s="8">
        <v>2024</v>
      </c>
      <c r="B170" s="8" t="s">
        <v>4</v>
      </c>
      <c r="C170" s="8" t="s">
        <v>1714</v>
      </c>
      <c r="D170" s="8" t="s">
        <v>1715</v>
      </c>
      <c r="E170" s="8" t="s">
        <v>1716</v>
      </c>
      <c r="F170" s="8" t="s">
        <v>784</v>
      </c>
      <c r="G170" s="8" t="s">
        <v>26</v>
      </c>
      <c r="H170" s="8" t="s">
        <v>59</v>
      </c>
      <c r="I170" s="642">
        <v>45252</v>
      </c>
      <c r="J170" s="18">
        <v>45345</v>
      </c>
      <c r="K170" s="97">
        <v>45344</v>
      </c>
      <c r="L170" s="16">
        <f>IF(ISTEXT(Table157[[#This Row],[Engineering Approved Design Date]]),Table157[[#This Row],[Date Completed]]-Table157[[#This Row],[Date Assigned to Designer]],Table157[[#This Row],[Engineering Approved Design Date]]-Table157[[#This Row],[Date Completed]])</f>
        <v>1</v>
      </c>
      <c r="M170" s="642"/>
      <c r="N170" s="642" t="s">
        <v>120</v>
      </c>
      <c r="O170" s="510">
        <v>45323</v>
      </c>
      <c r="P170" s="221" t="s">
        <v>739</v>
      </c>
      <c r="Q170" s="74">
        <f>Table157[[#This Row],[Rate]]*Table157[[#This Row],[Construction Cost to Bill From]]</f>
        <v>168227.36300000001</v>
      </c>
      <c r="R170" s="75">
        <v>0.1</v>
      </c>
      <c r="U170" s="87"/>
      <c r="V170" s="437">
        <v>3635</v>
      </c>
      <c r="W170" s="437">
        <v>0</v>
      </c>
      <c r="X170" s="25">
        <v>1357205.65</v>
      </c>
      <c r="Y170" s="551"/>
      <c r="Z170" s="561">
        <v>325067.98</v>
      </c>
      <c r="AA170" s="300">
        <f>Table157[[#This Row],[PCTS Retirement Amount]]+Table157[[#This Row],[PCTS Investment Amount]]</f>
        <v>1682273.63</v>
      </c>
      <c r="AB170" s="207">
        <v>45348</v>
      </c>
      <c r="AC170" s="108" t="s">
        <v>709</v>
      </c>
      <c r="AD170" s="108" t="s">
        <v>29</v>
      </c>
      <c r="AE170" s="187" t="s">
        <v>116</v>
      </c>
      <c r="AF170" s="568" t="s">
        <v>116</v>
      </c>
      <c r="AG170" s="183">
        <v>45366</v>
      </c>
      <c r="AH170" s="356">
        <v>45366</v>
      </c>
      <c r="AI170" s="499">
        <v>0</v>
      </c>
      <c r="AJ170" s="541">
        <v>3800</v>
      </c>
      <c r="AK170" s="540">
        <v>14250</v>
      </c>
      <c r="AL170" s="494">
        <f>SUM(Table157[[#This Row],[Nicor Initiated DBE]:[Staffing]])/(Table157[[#This Row],[Amount Invoiced]])</f>
        <v>0.10729526801177998</v>
      </c>
      <c r="AM170" s="21" t="s">
        <v>116</v>
      </c>
      <c r="AN170" s="680" t="s">
        <v>709</v>
      </c>
      <c r="AO170" s="601"/>
      <c r="AP170" s="572"/>
      <c r="AQ170" s="572"/>
      <c r="AR170" s="572"/>
      <c r="AS170" s="538">
        <f>IF(Table157[[#This Row],[PCTS Approved]]="N",0,Table157[[#This Row],[Investment Amount (1'#'#'#'#'#)]]+Table157[[#This Row],[Retirement Amount (3'#'#'#'#'#)]])</f>
        <v>0</v>
      </c>
      <c r="AT170" s="538">
        <f>IF(Table157[[#This Row],[Approved Construction Cost]]=0,0,Table157[[#This Row],[Approved Construction Cost]]-Table157[[#This Row],[Construction Cost to Bill From]])</f>
        <v>0</v>
      </c>
      <c r="AU170" s="538">
        <f>IFERROR(Table157[[#This Row],[Difference in Construction Cost]]*Table157[[#This Row],[Rate]],Table157[[#This Row],[Difference in Construction Cost]]*0.085)</f>
        <v>0</v>
      </c>
      <c r="AV170" s="602"/>
      <c r="AW170" s="640"/>
      <c r="AX170" s="555"/>
      <c r="AY170" s="636" t="s">
        <v>709</v>
      </c>
      <c r="AZ170" s="443">
        <v>124</v>
      </c>
      <c r="BA170" s="334" t="s">
        <v>4</v>
      </c>
      <c r="BB170" s="651" t="s">
        <v>1717</v>
      </c>
      <c r="BC170" s="644" t="s">
        <v>1718</v>
      </c>
      <c r="BD170" s="479" t="s">
        <v>709</v>
      </c>
      <c r="BE170" s="554" t="s">
        <v>882</v>
      </c>
      <c r="BF170" s="588" t="s">
        <v>1719</v>
      </c>
      <c r="BG170" s="588" t="s">
        <v>1396</v>
      </c>
      <c r="BH170" s="483" t="s">
        <v>709</v>
      </c>
      <c r="BI170" s="487" t="s">
        <v>1720</v>
      </c>
      <c r="BJ170" s="511" t="s">
        <v>709</v>
      </c>
      <c r="BK170" s="623" t="s">
        <v>709</v>
      </c>
      <c r="BL170" s="546" t="s">
        <v>709</v>
      </c>
      <c r="BM170" s="546" t="s">
        <v>116</v>
      </c>
      <c r="BN170" s="622" t="s">
        <v>709</v>
      </c>
      <c r="BO170" s="623" t="s">
        <v>709</v>
      </c>
      <c r="BP170" s="622" t="s">
        <v>709</v>
      </c>
      <c r="BQ170" s="622" t="s">
        <v>709</v>
      </c>
      <c r="BR170" s="623" t="s">
        <v>709</v>
      </c>
      <c r="BS170" s="623">
        <v>2942</v>
      </c>
      <c r="BT170" s="623">
        <v>693</v>
      </c>
      <c r="BU170" s="623" t="s">
        <v>709</v>
      </c>
      <c r="BV170" s="623" t="s">
        <v>709</v>
      </c>
      <c r="BW170" s="623" t="s">
        <v>709</v>
      </c>
      <c r="BX170" s="623" t="s">
        <v>709</v>
      </c>
      <c r="BY170" s="546" t="s">
        <v>709</v>
      </c>
      <c r="BZ170" s="623" t="s">
        <v>709</v>
      </c>
      <c r="CA170" s="506"/>
    </row>
    <row r="171" spans="1:79" ht="15" hidden="1" customHeight="1" x14ac:dyDescent="0.25">
      <c r="A171" s="8" t="s">
        <v>800</v>
      </c>
      <c r="B171" s="8" t="s">
        <v>4</v>
      </c>
      <c r="C171" s="8" t="s">
        <v>1721</v>
      </c>
      <c r="D171" s="8" t="s">
        <v>1722</v>
      </c>
      <c r="E171" s="8" t="s">
        <v>850</v>
      </c>
      <c r="F171" s="8" t="s">
        <v>851</v>
      </c>
      <c r="G171" s="8" t="s">
        <v>26</v>
      </c>
      <c r="H171" s="8" t="s">
        <v>59</v>
      </c>
      <c r="I171" s="642">
        <v>45191</v>
      </c>
      <c r="J171" s="18">
        <v>45350</v>
      </c>
      <c r="K171" s="97">
        <v>45348</v>
      </c>
      <c r="L171" s="16">
        <f>IF(ISTEXT(Table157[[#This Row],[Engineering Approved Design Date]]),Table157[[#This Row],[Date Completed]]-Table157[[#This Row],[Date Assigned to Designer]],Table157[[#This Row],[Engineering Approved Design Date]]-Table157[[#This Row],[Date Completed]])</f>
        <v>2</v>
      </c>
      <c r="M171" s="642"/>
      <c r="N171" s="642" t="s">
        <v>120</v>
      </c>
      <c r="O171" s="510">
        <v>45352</v>
      </c>
      <c r="P171" s="221" t="s">
        <v>739</v>
      </c>
      <c r="Q171" s="74">
        <f>Table157[[#This Row],[Rate]]*Table157[[#This Row],[Construction Cost to Bill From]]</f>
        <v>51974.387000000002</v>
      </c>
      <c r="R171" s="75">
        <v>0.1</v>
      </c>
      <c r="U171" s="87"/>
      <c r="V171" s="437">
        <v>1770</v>
      </c>
      <c r="W171" s="437">
        <v>0</v>
      </c>
      <c r="X171" s="70">
        <v>474635.76</v>
      </c>
      <c r="Y171" s="550"/>
      <c r="Z171" s="570">
        <v>45108.11</v>
      </c>
      <c r="AA171" s="300">
        <f>Table157[[#This Row],[PCTS Investment Amount]]+Table157[[#This Row],[PCTS Retirement Amount]]</f>
        <v>519743.87</v>
      </c>
      <c r="AB171" s="207">
        <v>45329</v>
      </c>
      <c r="AC171" s="22" t="s">
        <v>709</v>
      </c>
      <c r="AD171" s="108" t="s">
        <v>29</v>
      </c>
      <c r="AE171" s="187" t="s">
        <v>116</v>
      </c>
      <c r="AF171" s="568" t="s">
        <v>116</v>
      </c>
      <c r="AG171" s="183">
        <v>45366</v>
      </c>
      <c r="AH171" s="356">
        <v>45366</v>
      </c>
      <c r="AI171" s="499">
        <v>0</v>
      </c>
      <c r="AJ171" s="541">
        <v>2142</v>
      </c>
      <c r="AK171" s="541">
        <v>656.625</v>
      </c>
      <c r="AL171" s="494">
        <f>SUM(Table157[[#This Row],[Nicor Initiated DBE]:[Staffing]])/(Table157[[#This Row],[Amount Invoiced]])</f>
        <v>5.3846233915178253E-2</v>
      </c>
      <c r="AM171" s="21" t="s">
        <v>116</v>
      </c>
      <c r="AN171" s="680" t="s">
        <v>709</v>
      </c>
      <c r="AO171" s="601"/>
      <c r="AP171" s="572"/>
      <c r="AQ171" s="572"/>
      <c r="AR171" s="572"/>
      <c r="AS171" s="538">
        <f>IF(Table157[[#This Row],[PCTS Approved]]="N",0,Table157[[#This Row],[Investment Amount (1'#'#'#'#'#)]]+Table157[[#This Row],[Retirement Amount (3'#'#'#'#'#)]])</f>
        <v>0</v>
      </c>
      <c r="AT171" s="538">
        <f>IF(Table157[[#This Row],[Approved Construction Cost]]=0,0,Table157[[#This Row],[Approved Construction Cost]]-Table157[[#This Row],[Construction Cost to Bill From]])</f>
        <v>0</v>
      </c>
      <c r="AU171" s="538">
        <f>IFERROR(Table157[[#This Row],[Difference in Construction Cost]]*Table157[[#This Row],[Rate]],Table157[[#This Row],[Difference in Construction Cost]]*0.085)</f>
        <v>0</v>
      </c>
      <c r="AV171" s="602"/>
      <c r="AW171" s="640"/>
      <c r="AX171" s="555"/>
      <c r="AY171" s="636" t="s">
        <v>709</v>
      </c>
      <c r="AZ171" s="443">
        <v>125</v>
      </c>
      <c r="BA171" s="334" t="s">
        <v>4</v>
      </c>
      <c r="BB171" s="670" t="s">
        <v>1723</v>
      </c>
      <c r="BC171" s="671" t="s">
        <v>854</v>
      </c>
      <c r="BD171" s="479" t="s">
        <v>709</v>
      </c>
      <c r="BE171" s="554" t="s">
        <v>862</v>
      </c>
      <c r="BF171" s="588" t="s">
        <v>855</v>
      </c>
      <c r="BG171" s="588" t="s">
        <v>709</v>
      </c>
      <c r="BH171" s="483" t="s">
        <v>1724</v>
      </c>
      <c r="BI171" s="487" t="s">
        <v>1725</v>
      </c>
      <c r="BJ171" s="511" t="s">
        <v>709</v>
      </c>
      <c r="BK171" s="623" t="s">
        <v>709</v>
      </c>
      <c r="BL171" s="546" t="s">
        <v>709</v>
      </c>
      <c r="BM171" s="546" t="s">
        <v>116</v>
      </c>
      <c r="BN171" s="622" t="s">
        <v>709</v>
      </c>
      <c r="BO171" s="623" t="s">
        <v>709</v>
      </c>
      <c r="BP171" s="622" t="s">
        <v>709</v>
      </c>
      <c r="BQ171" s="622" t="s">
        <v>709</v>
      </c>
      <c r="BR171" s="623">
        <v>1301</v>
      </c>
      <c r="BS171" s="623" t="s">
        <v>709</v>
      </c>
      <c r="BT171" s="623">
        <v>469</v>
      </c>
      <c r="BU171" s="623" t="s">
        <v>709</v>
      </c>
      <c r="BV171" s="623" t="s">
        <v>709</v>
      </c>
      <c r="BW171" s="623" t="s">
        <v>709</v>
      </c>
      <c r="BX171" s="623" t="s">
        <v>709</v>
      </c>
      <c r="BY171" s="546" t="s">
        <v>709</v>
      </c>
      <c r="BZ171" s="623" t="s">
        <v>709</v>
      </c>
      <c r="CA171" s="506"/>
    </row>
    <row r="172" spans="1:79" ht="15" hidden="1" customHeight="1" x14ac:dyDescent="0.25">
      <c r="A172" s="8">
        <v>2024</v>
      </c>
      <c r="B172" s="8" t="s">
        <v>4</v>
      </c>
      <c r="C172" s="8" t="s">
        <v>1726</v>
      </c>
      <c r="D172" s="8" t="s">
        <v>1727</v>
      </c>
      <c r="E172" s="8" t="s">
        <v>850</v>
      </c>
      <c r="F172" s="8" t="s">
        <v>851</v>
      </c>
      <c r="G172" s="8" t="s">
        <v>26</v>
      </c>
      <c r="H172" s="8" t="s">
        <v>59</v>
      </c>
      <c r="I172" s="642">
        <v>45191</v>
      </c>
      <c r="J172" s="18">
        <v>45350</v>
      </c>
      <c r="K172" s="97">
        <v>45348</v>
      </c>
      <c r="L172" s="16">
        <f>IF(ISTEXT(Table157[[#This Row],[Engineering Approved Design Date]]),Table157[[#This Row],[Date Completed]]-Table157[[#This Row],[Date Assigned to Designer]],Table157[[#This Row],[Engineering Approved Design Date]]-Table157[[#This Row],[Date Completed]])</f>
        <v>2</v>
      </c>
      <c r="M172" s="642"/>
      <c r="N172" s="642" t="s">
        <v>120</v>
      </c>
      <c r="O172" s="510">
        <v>45352</v>
      </c>
      <c r="P172" s="221" t="s">
        <v>739</v>
      </c>
      <c r="Q172" s="74">
        <f>Table157[[#This Row],[Rate]]*Table157[[#This Row],[Construction Cost to Bill From]]</f>
        <v>42993.122000000003</v>
      </c>
      <c r="R172" s="75">
        <v>0.1</v>
      </c>
      <c r="U172" s="87"/>
      <c r="V172" s="437">
        <v>1419</v>
      </c>
      <c r="W172" s="437">
        <v>0</v>
      </c>
      <c r="X172" s="70">
        <v>411689.63</v>
      </c>
      <c r="Y172" s="550"/>
      <c r="Z172" s="570">
        <v>18241.59</v>
      </c>
      <c r="AA172" s="300">
        <f>Table157[[#This Row],[PCTS Investment Amount]]+Table157[[#This Row],[PCTS Retirement Amount]]</f>
        <v>429931.22000000003</v>
      </c>
      <c r="AB172" s="207">
        <v>45329</v>
      </c>
      <c r="AC172" s="22" t="s">
        <v>709</v>
      </c>
      <c r="AD172" s="108" t="s">
        <v>29</v>
      </c>
      <c r="AE172" s="187" t="s">
        <v>116</v>
      </c>
      <c r="AF172" s="568" t="s">
        <v>116</v>
      </c>
      <c r="AG172" s="183">
        <v>45366</v>
      </c>
      <c r="AH172" s="356">
        <v>45366</v>
      </c>
      <c r="AI172" s="499">
        <v>0</v>
      </c>
      <c r="AJ172" s="541">
        <v>2142</v>
      </c>
      <c r="AK172" s="541">
        <v>656.625</v>
      </c>
      <c r="AL172" s="494">
        <f>SUM(Table157[[#This Row],[Nicor Initiated DBE]:[Staffing]])/(Table157[[#This Row],[Amount Invoiced]])</f>
        <v>6.509471445223261E-2</v>
      </c>
      <c r="AM172" s="21" t="s">
        <v>116</v>
      </c>
      <c r="AN172" s="680" t="s">
        <v>709</v>
      </c>
      <c r="AO172" s="601"/>
      <c r="AP172" s="572"/>
      <c r="AQ172" s="572"/>
      <c r="AR172" s="572"/>
      <c r="AS172" s="538">
        <f>IF(Table157[[#This Row],[PCTS Approved]]="N",0,Table157[[#This Row],[Investment Amount (1'#'#'#'#'#)]]+Table157[[#This Row],[Retirement Amount (3'#'#'#'#'#)]])</f>
        <v>0</v>
      </c>
      <c r="AT172" s="538">
        <f>IF(Table157[[#This Row],[Approved Construction Cost]]=0,0,Table157[[#This Row],[Approved Construction Cost]]-Table157[[#This Row],[Construction Cost to Bill From]])</f>
        <v>0</v>
      </c>
      <c r="AU172" s="538">
        <f>IFERROR(Table157[[#This Row],[Difference in Construction Cost]]*Table157[[#This Row],[Rate]],Table157[[#This Row],[Difference in Construction Cost]]*0.085)</f>
        <v>0</v>
      </c>
      <c r="AV172" s="602"/>
      <c r="AW172" s="640"/>
      <c r="AX172" s="555"/>
      <c r="AY172" s="636" t="s">
        <v>709</v>
      </c>
      <c r="AZ172" s="443">
        <v>126</v>
      </c>
      <c r="BA172" s="334" t="s">
        <v>4</v>
      </c>
      <c r="BB172" s="670" t="s">
        <v>1728</v>
      </c>
      <c r="BC172" s="671" t="s">
        <v>854</v>
      </c>
      <c r="BD172" s="479" t="s">
        <v>709</v>
      </c>
      <c r="BE172" s="554" t="s">
        <v>862</v>
      </c>
      <c r="BF172" s="588" t="s">
        <v>855</v>
      </c>
      <c r="BG172" s="588" t="s">
        <v>709</v>
      </c>
      <c r="BH172" s="483" t="s">
        <v>1724</v>
      </c>
      <c r="BI172" s="487" t="s">
        <v>1729</v>
      </c>
      <c r="BJ172" s="511" t="s">
        <v>709</v>
      </c>
      <c r="BK172" s="623" t="s">
        <v>709</v>
      </c>
      <c r="BL172" s="546" t="s">
        <v>709</v>
      </c>
      <c r="BM172" s="546" t="s">
        <v>116</v>
      </c>
      <c r="BN172" s="622" t="s">
        <v>709</v>
      </c>
      <c r="BO172" s="623" t="s">
        <v>709</v>
      </c>
      <c r="BP172" s="622" t="s">
        <v>709</v>
      </c>
      <c r="BQ172" s="622" t="s">
        <v>709</v>
      </c>
      <c r="BR172" s="623">
        <v>1301</v>
      </c>
      <c r="BS172" s="623" t="s">
        <v>709</v>
      </c>
      <c r="BT172" s="623">
        <v>469</v>
      </c>
      <c r="BU172" s="623" t="s">
        <v>709</v>
      </c>
      <c r="BV172" s="623" t="s">
        <v>709</v>
      </c>
      <c r="BW172" s="623" t="s">
        <v>709</v>
      </c>
      <c r="BX172" s="623" t="s">
        <v>709</v>
      </c>
      <c r="BY172" s="546" t="s">
        <v>709</v>
      </c>
      <c r="BZ172" s="623" t="s">
        <v>709</v>
      </c>
      <c r="CA172" s="506"/>
    </row>
    <row r="173" spans="1:79" ht="15" hidden="1" customHeight="1" x14ac:dyDescent="0.25">
      <c r="A173" s="8" t="s">
        <v>800</v>
      </c>
      <c r="B173" s="8" t="s">
        <v>4</v>
      </c>
      <c r="C173" s="8" t="s">
        <v>1730</v>
      </c>
      <c r="D173" s="8" t="s">
        <v>1731</v>
      </c>
      <c r="E173" s="8" t="s">
        <v>818</v>
      </c>
      <c r="F173" s="8" t="s">
        <v>851</v>
      </c>
      <c r="G173" s="8" t="s">
        <v>35</v>
      </c>
      <c r="H173" s="8" t="s">
        <v>59</v>
      </c>
      <c r="I173" s="642">
        <v>45293</v>
      </c>
      <c r="J173" s="18">
        <v>45401</v>
      </c>
      <c r="K173" s="97">
        <v>45357</v>
      </c>
      <c r="L173" s="16">
        <f>IF(ISTEXT(Table157[[#This Row],[Engineering Approved Design Date]]),Table157[[#This Row],[Date Completed]]-Table157[[#This Row],[Date Assigned to Designer]],Table157[[#This Row],[Engineering Approved Design Date]]-Table157[[#This Row],[Date Completed]])</f>
        <v>44</v>
      </c>
      <c r="M173" s="642"/>
      <c r="N173" s="642" t="s">
        <v>120</v>
      </c>
      <c r="O173" s="510">
        <v>45352</v>
      </c>
      <c r="P173" s="221" t="s">
        <v>739</v>
      </c>
      <c r="Q173" s="74">
        <f>Table157[[#This Row],[Rate]]*Table157[[#This Row],[Construction Cost to Bill From]]</f>
        <v>18737.776999999998</v>
      </c>
      <c r="R173" s="75">
        <v>0.1</v>
      </c>
      <c r="U173" s="87"/>
      <c r="V173" s="437">
        <v>247</v>
      </c>
      <c r="W173" s="437">
        <v>0</v>
      </c>
      <c r="X173" s="70">
        <v>163426.01999999999</v>
      </c>
      <c r="Y173" s="595"/>
      <c r="Z173" s="570">
        <v>23951.75</v>
      </c>
      <c r="AA173" s="300">
        <f>Table157[[#This Row],[PCTS Retirement Amount]]+Table157[[#This Row],[PCTS Investment Amount]]</f>
        <v>187377.77</v>
      </c>
      <c r="AB173" s="207">
        <v>45370</v>
      </c>
      <c r="AC173" s="22" t="s">
        <v>709</v>
      </c>
      <c r="AD173" s="22" t="s">
        <v>29</v>
      </c>
      <c r="AE173" s="187" t="s">
        <v>756</v>
      </c>
      <c r="AF173" s="568" t="s">
        <v>29</v>
      </c>
      <c r="AG173" s="183" t="s">
        <v>376</v>
      </c>
      <c r="AH173" s="672">
        <v>45406</v>
      </c>
      <c r="AI173" s="499">
        <v>0</v>
      </c>
      <c r="AJ173" s="541">
        <v>0</v>
      </c>
      <c r="AK173" s="541">
        <v>4399</v>
      </c>
      <c r="AL173" s="494">
        <f>SUM(Table157[[#This Row],[Nicor Initiated DBE]:[Staffing]])/(Table157[[#This Row],[Amount Invoiced]])</f>
        <v>0.23476637596871819</v>
      </c>
      <c r="AM173" s="21" t="s">
        <v>116</v>
      </c>
      <c r="AN173" s="680" t="s">
        <v>709</v>
      </c>
      <c r="AO173" s="601"/>
      <c r="AP173" s="572"/>
      <c r="AQ173" s="572"/>
      <c r="AR173" s="572"/>
      <c r="AS173" s="538">
        <f>IF(Table157[[#This Row],[PCTS Approved]]="N",0,Table157[[#This Row],[Investment Amount (1'#'#'#'#'#)]]+Table157[[#This Row],[Retirement Amount (3'#'#'#'#'#)]])</f>
        <v>0</v>
      </c>
      <c r="AT173" s="538">
        <f>IF(Table157[[#This Row],[Approved Construction Cost]]=0,0,Table157[[#This Row],[Approved Construction Cost]]-Table157[[#This Row],[Construction Cost to Bill From]])</f>
        <v>0</v>
      </c>
      <c r="AU173" s="538">
        <f>IFERROR(Table157[[#This Row],[Difference in Construction Cost]]*Table157[[#This Row],[Rate]],Table157[[#This Row],[Difference in Construction Cost]]*0.085)</f>
        <v>0</v>
      </c>
      <c r="AV173" s="602"/>
      <c r="AW173" s="640"/>
      <c r="AX173" s="555"/>
      <c r="AY173" s="636" t="s">
        <v>709</v>
      </c>
      <c r="AZ173" s="443">
        <v>129</v>
      </c>
      <c r="BA173" s="334" t="s">
        <v>4</v>
      </c>
      <c r="BB173" s="651" t="s">
        <v>1732</v>
      </c>
      <c r="BC173" s="644" t="s">
        <v>1733</v>
      </c>
      <c r="BD173" s="479" t="s">
        <v>709</v>
      </c>
      <c r="BE173" s="554" t="s">
        <v>709</v>
      </c>
      <c r="BF173" s="588" t="s">
        <v>822</v>
      </c>
      <c r="BG173" s="588" t="s">
        <v>745</v>
      </c>
      <c r="BH173" s="483" t="s">
        <v>709</v>
      </c>
      <c r="BI173" s="487" t="s">
        <v>1734</v>
      </c>
      <c r="BJ173" s="511" t="s">
        <v>709</v>
      </c>
      <c r="BK173" s="623" t="s">
        <v>709</v>
      </c>
      <c r="BL173" s="546" t="s">
        <v>116</v>
      </c>
      <c r="BM173" s="546" t="s">
        <v>709</v>
      </c>
      <c r="BN173" s="622" t="s">
        <v>709</v>
      </c>
      <c r="BO173" s="623" t="s">
        <v>709</v>
      </c>
      <c r="BP173" s="622" t="s">
        <v>709</v>
      </c>
      <c r="BQ173" s="622" t="s">
        <v>709</v>
      </c>
      <c r="BR173" s="623" t="s">
        <v>709</v>
      </c>
      <c r="BS173" s="623" t="s">
        <v>709</v>
      </c>
      <c r="BT173" s="623">
        <v>247</v>
      </c>
      <c r="BU173" s="623" t="s">
        <v>745</v>
      </c>
      <c r="BV173" s="623" t="s">
        <v>709</v>
      </c>
      <c r="BW173" s="623" t="s">
        <v>745</v>
      </c>
      <c r="BX173" s="623" t="s">
        <v>709</v>
      </c>
      <c r="BY173" s="546" t="s">
        <v>745</v>
      </c>
      <c r="BZ173" s="623" t="s">
        <v>745</v>
      </c>
      <c r="CA173" s="506"/>
    </row>
    <row r="174" spans="1:79" ht="15" hidden="1" customHeight="1" x14ac:dyDescent="0.25">
      <c r="A174" s="8" t="s">
        <v>800</v>
      </c>
      <c r="B174" s="8" t="s">
        <v>1205</v>
      </c>
      <c r="C174" s="8" t="s">
        <v>1735</v>
      </c>
      <c r="D174" s="656" t="s">
        <v>1736</v>
      </c>
      <c r="E174" s="8" t="s">
        <v>818</v>
      </c>
      <c r="F174" s="8" t="s">
        <v>851</v>
      </c>
      <c r="G174" s="8" t="s">
        <v>36</v>
      </c>
      <c r="H174" s="8" t="s">
        <v>59</v>
      </c>
      <c r="I174" s="642">
        <v>45307</v>
      </c>
      <c r="J174" s="18">
        <v>45377</v>
      </c>
      <c r="K174" s="97">
        <v>45358</v>
      </c>
      <c r="L174" s="16">
        <f>IF(ISTEXT(Table157[[#This Row],[Engineering Approved Design Date]]),Table157[[#This Row],[Date Completed]]-Table157[[#This Row],[Date Assigned to Designer]],Table157[[#This Row],[Engineering Approved Design Date]]-Table157[[#This Row],[Date Completed]])</f>
        <v>19</v>
      </c>
      <c r="M174" s="642"/>
      <c r="N174" s="642" t="s">
        <v>120</v>
      </c>
      <c r="O174" s="510">
        <v>45352</v>
      </c>
      <c r="P174" s="221" t="s">
        <v>739</v>
      </c>
      <c r="Q174" s="74">
        <f>Table157[[#This Row],[Rate]]*Table157[[#This Row],[Construction Cost to Bill From]]</f>
        <v>18967.2948</v>
      </c>
      <c r="R174" s="75">
        <v>0.09</v>
      </c>
      <c r="U174" s="87"/>
      <c r="V174" s="437">
        <v>1051</v>
      </c>
      <c r="W174" s="437">
        <v>0</v>
      </c>
      <c r="X174" s="70">
        <v>210747.72</v>
      </c>
      <c r="Y174" s="595">
        <v>0</v>
      </c>
      <c r="Z174" s="570">
        <v>0</v>
      </c>
      <c r="AA174" s="300">
        <f>Table157[[#This Row],[PCTS Retirement Amount]]+Table157[[#This Row],[PCTS Investment Amount]]</f>
        <v>210747.72</v>
      </c>
      <c r="AB174" s="207">
        <v>45370</v>
      </c>
      <c r="AC174" s="22" t="s">
        <v>709</v>
      </c>
      <c r="AD174" s="22" t="s">
        <v>116</v>
      </c>
      <c r="AE174" s="187" t="s">
        <v>116</v>
      </c>
      <c r="AF174" s="568" t="s">
        <v>116</v>
      </c>
      <c r="AG174" s="183" t="s">
        <v>116</v>
      </c>
      <c r="AH174" s="356" t="s">
        <v>116</v>
      </c>
      <c r="AI174" s="499">
        <v>0</v>
      </c>
      <c r="AJ174" s="541">
        <v>630</v>
      </c>
      <c r="AK174" s="541">
        <v>8249.5</v>
      </c>
      <c r="AL174" s="494">
        <f>SUM(Table157[[#This Row],[Nicor Initiated DBE]:[Staffing]])/(Table157[[#This Row],[Amount Invoiced]])</f>
        <v>0.46814794063305221</v>
      </c>
      <c r="AM174" s="21" t="s">
        <v>116</v>
      </c>
      <c r="AN174" s="680" t="s">
        <v>709</v>
      </c>
      <c r="AO174" s="601"/>
      <c r="AP174" s="572"/>
      <c r="AQ174" s="572"/>
      <c r="AR174" s="572"/>
      <c r="AS174" s="538">
        <f>IF(Table157[[#This Row],[PCTS Approved]]="N",0,Table157[[#This Row],[Investment Amount (1'#'#'#'#'#)]]+Table157[[#This Row],[Retirement Amount (3'#'#'#'#'#)]])</f>
        <v>0</v>
      </c>
      <c r="AT174" s="538">
        <f>IF(Table157[[#This Row],[Approved Construction Cost]]=0,0,Table157[[#This Row],[Approved Construction Cost]]-Table157[[#This Row],[Construction Cost to Bill From]])</f>
        <v>0</v>
      </c>
      <c r="AU174" s="538">
        <f>IFERROR(Table157[[#This Row],[Difference in Construction Cost]]*Table157[[#This Row],[Rate]],Table157[[#This Row],[Difference in Construction Cost]]*0.085)</f>
        <v>0</v>
      </c>
      <c r="AV174" s="602"/>
      <c r="AW174" s="640"/>
      <c r="AX174" s="555"/>
      <c r="AY174" s="636" t="s">
        <v>709</v>
      </c>
      <c r="AZ174" s="443">
        <v>52</v>
      </c>
      <c r="BA174" s="334" t="s">
        <v>3</v>
      </c>
      <c r="BB174" s="651" t="s">
        <v>1737</v>
      </c>
      <c r="BC174" s="644" t="s">
        <v>1738</v>
      </c>
      <c r="BD174" s="479" t="s">
        <v>116</v>
      </c>
      <c r="BE174" s="554" t="s">
        <v>115</v>
      </c>
      <c r="BF174" s="588" t="s">
        <v>822</v>
      </c>
      <c r="BG174" s="588" t="s">
        <v>115</v>
      </c>
      <c r="BH174" s="483" t="s">
        <v>115</v>
      </c>
      <c r="BI174" s="487" t="s">
        <v>1739</v>
      </c>
      <c r="BJ174" s="511" t="s">
        <v>709</v>
      </c>
      <c r="BK174" s="623" t="s">
        <v>709</v>
      </c>
      <c r="BL174" s="546" t="s">
        <v>709</v>
      </c>
      <c r="BM174" s="546" t="s">
        <v>116</v>
      </c>
      <c r="BN174" s="622" t="s">
        <v>709</v>
      </c>
      <c r="BO174" s="623" t="s">
        <v>709</v>
      </c>
      <c r="BP174" s="622" t="s">
        <v>709</v>
      </c>
      <c r="BQ174" s="622" t="s">
        <v>709</v>
      </c>
      <c r="BR174" s="623" t="s">
        <v>709</v>
      </c>
      <c r="BS174" s="623" t="s">
        <v>709</v>
      </c>
      <c r="BT174" s="623">
        <v>1051</v>
      </c>
      <c r="BU174" s="623" t="s">
        <v>709</v>
      </c>
      <c r="BV174" s="623" t="s">
        <v>709</v>
      </c>
      <c r="BW174" s="623" t="s">
        <v>709</v>
      </c>
      <c r="BX174" s="623" t="s">
        <v>709</v>
      </c>
      <c r="BY174" s="546" t="s">
        <v>709</v>
      </c>
      <c r="BZ174" s="623" t="s">
        <v>709</v>
      </c>
      <c r="CA174" s="506"/>
    </row>
    <row r="175" spans="1:79" ht="15" hidden="1" customHeight="1" x14ac:dyDescent="0.25">
      <c r="A175" s="8" t="s">
        <v>800</v>
      </c>
      <c r="B175" s="8" t="s">
        <v>771</v>
      </c>
      <c r="C175" s="8" t="s">
        <v>1740</v>
      </c>
      <c r="D175" s="656" t="s">
        <v>1741</v>
      </c>
      <c r="E175" s="8" t="s">
        <v>104</v>
      </c>
      <c r="F175" s="8" t="s">
        <v>784</v>
      </c>
      <c r="G175" s="8" t="s">
        <v>36</v>
      </c>
      <c r="H175" s="8" t="s">
        <v>59</v>
      </c>
      <c r="I175" s="642">
        <v>44946</v>
      </c>
      <c r="J175" s="18">
        <v>45366</v>
      </c>
      <c r="K175" s="97">
        <v>45359</v>
      </c>
      <c r="L175" s="16">
        <f>IF(ISTEXT(Table157[[#This Row],[Engineering Approved Design Date]]),Table157[[#This Row],[Date Completed]]-Table157[[#This Row],[Date Assigned to Designer]],Table157[[#This Row],[Engineering Approved Design Date]]-Table157[[#This Row],[Date Completed]])</f>
        <v>7</v>
      </c>
      <c r="M175" s="642"/>
      <c r="N175" s="642" t="s">
        <v>120</v>
      </c>
      <c r="O175" s="510">
        <v>45352</v>
      </c>
      <c r="P175" s="221" t="s">
        <v>120</v>
      </c>
      <c r="Q175" s="74">
        <f>Table157[[#This Row],[Rate]]*Table157[[#This Row],[Construction Cost to Bill From]]</f>
        <v>265333.7268</v>
      </c>
      <c r="R175" s="75">
        <v>0.06</v>
      </c>
      <c r="U175" s="87"/>
      <c r="V175" s="437">
        <v>8803</v>
      </c>
      <c r="W175" s="437">
        <v>0</v>
      </c>
      <c r="X175" s="70">
        <v>4101169.29</v>
      </c>
      <c r="Y175" s="595"/>
      <c r="Z175" s="570">
        <v>321059.49</v>
      </c>
      <c r="AA175" s="300">
        <f>Table157[[#This Row],[PCTS Retirement Amount]]+Table157[[#This Row],[PCTS Investment Amount]]</f>
        <v>4422228.78</v>
      </c>
      <c r="AB175" s="207">
        <v>45369</v>
      </c>
      <c r="AC175" s="22" t="s">
        <v>709</v>
      </c>
      <c r="AD175" s="22" t="s">
        <v>116</v>
      </c>
      <c r="AE175" s="187" t="s">
        <v>116</v>
      </c>
      <c r="AF175" s="568" t="s">
        <v>116</v>
      </c>
      <c r="AG175" s="183" t="s">
        <v>116</v>
      </c>
      <c r="AH175" s="356" t="s">
        <v>116</v>
      </c>
      <c r="AI175" s="499">
        <v>0</v>
      </c>
      <c r="AJ175" s="541">
        <v>0</v>
      </c>
      <c r="AK175" s="541">
        <v>0</v>
      </c>
      <c r="AL175" s="494">
        <f>SUM(Table157[[#This Row],[Nicor Initiated DBE]:[Staffing]])/(Table157[[#This Row],[Amount Invoiced]])</f>
        <v>0</v>
      </c>
      <c r="AM175" s="21" t="s">
        <v>116</v>
      </c>
      <c r="AN175" s="680" t="s">
        <v>709</v>
      </c>
      <c r="AO175" s="601"/>
      <c r="AP175" s="572"/>
      <c r="AQ175" s="572"/>
      <c r="AR175" s="572"/>
      <c r="AS175" s="538">
        <f>IF(Table157[[#This Row],[PCTS Approved]]="N",0,Table157[[#This Row],[Investment Amount (1'#'#'#'#'#)]]+Table157[[#This Row],[Retirement Amount (3'#'#'#'#'#)]])</f>
        <v>0</v>
      </c>
      <c r="AT175" s="538">
        <f>IF(Table157[[#This Row],[Approved Construction Cost]]=0,0,Table157[[#This Row],[Approved Construction Cost]]-Table157[[#This Row],[Construction Cost to Bill From]])</f>
        <v>0</v>
      </c>
      <c r="AU175" s="538">
        <f>IFERROR(Table157[[#This Row],[Difference in Construction Cost]]*Table157[[#This Row],[Rate]],Table157[[#This Row],[Difference in Construction Cost]]*0.085)</f>
        <v>0</v>
      </c>
      <c r="AV175" s="602"/>
      <c r="AW175" s="640"/>
      <c r="AX175" s="555"/>
      <c r="AY175" s="636" t="s">
        <v>709</v>
      </c>
      <c r="AZ175" s="443">
        <v>8</v>
      </c>
      <c r="BA175" s="334" t="s">
        <v>3</v>
      </c>
      <c r="BB175" s="651" t="s">
        <v>1742</v>
      </c>
      <c r="BC175" s="644" t="s">
        <v>1743</v>
      </c>
      <c r="BD175" s="479" t="s">
        <v>116</v>
      </c>
      <c r="BE175" s="554" t="s">
        <v>115</v>
      </c>
      <c r="BF175" s="588" t="s">
        <v>1232</v>
      </c>
      <c r="BG175" s="588" t="s">
        <v>115</v>
      </c>
      <c r="BH175" s="483" t="s">
        <v>1480</v>
      </c>
      <c r="BI175" s="487" t="s">
        <v>1744</v>
      </c>
      <c r="BJ175" s="511" t="s">
        <v>709</v>
      </c>
      <c r="BK175" s="623" t="s">
        <v>709</v>
      </c>
      <c r="BL175" s="546" t="s">
        <v>709</v>
      </c>
      <c r="BM175" s="546" t="s">
        <v>116</v>
      </c>
      <c r="BN175" s="622" t="s">
        <v>709</v>
      </c>
      <c r="BO175" s="623">
        <v>2784</v>
      </c>
      <c r="BP175" s="622" t="s">
        <v>709</v>
      </c>
      <c r="BQ175" s="622">
        <v>3955</v>
      </c>
      <c r="BR175" s="623" t="s">
        <v>709</v>
      </c>
      <c r="BS175" s="623">
        <f>737+396+88</f>
        <v>1221</v>
      </c>
      <c r="BT175" s="623">
        <f>81+762</f>
        <v>843</v>
      </c>
      <c r="BU175" s="623" t="s">
        <v>709</v>
      </c>
      <c r="BV175" s="623" t="s">
        <v>709</v>
      </c>
      <c r="BW175" s="623" t="s">
        <v>709</v>
      </c>
      <c r="BX175" s="623" t="s">
        <v>709</v>
      </c>
      <c r="BY175" s="546" t="s">
        <v>709</v>
      </c>
      <c r="BZ175" s="623" t="s">
        <v>709</v>
      </c>
      <c r="CA175" s="506" t="s">
        <v>1745</v>
      </c>
    </row>
    <row r="176" spans="1:79" ht="15" hidden="1" customHeight="1" x14ac:dyDescent="0.25">
      <c r="A176" s="8" t="s">
        <v>800</v>
      </c>
      <c r="B176" s="8" t="s">
        <v>4</v>
      </c>
      <c r="C176" s="8" t="s">
        <v>1746</v>
      </c>
      <c r="D176" s="8" t="s">
        <v>1747</v>
      </c>
      <c r="E176" s="8" t="s">
        <v>1748</v>
      </c>
      <c r="F176" s="8" t="s">
        <v>784</v>
      </c>
      <c r="G176" s="8" t="s">
        <v>31</v>
      </c>
      <c r="H176" s="8" t="s">
        <v>59</v>
      </c>
      <c r="I176" s="642">
        <v>45252</v>
      </c>
      <c r="J176" s="472">
        <v>45380</v>
      </c>
      <c r="K176" s="97">
        <v>45363</v>
      </c>
      <c r="L176" s="16">
        <f>IF(ISTEXT(Table157[[#This Row],[Engineering Approved Design Date]]),Table157[[#This Row],[Date Completed]]-Table157[[#This Row],[Date Assigned to Designer]],Table157[[#This Row],[Engineering Approved Design Date]]-Table157[[#This Row],[Date Completed]])</f>
        <v>17</v>
      </c>
      <c r="M176" s="642"/>
      <c r="N176" s="642" t="s">
        <v>120</v>
      </c>
      <c r="O176" s="510">
        <v>45352</v>
      </c>
      <c r="P176" s="221" t="s">
        <v>739</v>
      </c>
      <c r="Q176" s="74">
        <f>Table157[[#This Row],[Rate]]*Table157[[#This Row],[Construction Cost to Bill From]]</f>
        <v>29913.794000000002</v>
      </c>
      <c r="R176" s="75">
        <v>0.1</v>
      </c>
      <c r="U176" s="87"/>
      <c r="V176" s="437">
        <v>285</v>
      </c>
      <c r="W176" s="437">
        <v>0</v>
      </c>
      <c r="X176" s="70">
        <v>211063.84</v>
      </c>
      <c r="Y176" s="595"/>
      <c r="Z176" s="570">
        <v>88074.1</v>
      </c>
      <c r="AA176" s="300">
        <f>Table157[[#This Row],[PCTS Retirement Amount]]+Table157[[#This Row],[PCTS Investment Amount]]</f>
        <v>299137.94</v>
      </c>
      <c r="AB176" s="207">
        <v>45334</v>
      </c>
      <c r="AC176" s="22" t="s">
        <v>709</v>
      </c>
      <c r="AD176" s="22"/>
      <c r="AE176" s="187" t="s">
        <v>116</v>
      </c>
      <c r="AF176" s="568" t="s">
        <v>756</v>
      </c>
      <c r="AG176" s="183">
        <v>45371</v>
      </c>
      <c r="AH176" s="356">
        <v>45371</v>
      </c>
      <c r="AI176" s="499">
        <v>0</v>
      </c>
      <c r="AJ176" s="541">
        <v>2955.65</v>
      </c>
      <c r="AK176" s="541">
        <v>5344.5</v>
      </c>
      <c r="AL176" s="494">
        <f>SUM(Table157[[#This Row],[Nicor Initiated DBE]:[Staffing]])/(Table157[[#This Row],[Amount Invoiced]])</f>
        <v>0.27746898303839357</v>
      </c>
      <c r="AM176" s="21" t="s">
        <v>116</v>
      </c>
      <c r="AN176" s="680" t="s">
        <v>709</v>
      </c>
      <c r="AO176" s="681"/>
      <c r="AP176" s="682"/>
      <c r="AQ176" s="682"/>
      <c r="AR176" s="682"/>
      <c r="AS176" s="538">
        <f>IF(Table157[[#This Row],[PCTS Approved]]="N",0,Table157[[#This Row],[Investment Amount (1'#'#'#'#'#)]]+Table157[[#This Row],[Retirement Amount (3'#'#'#'#'#)]])</f>
        <v>0</v>
      </c>
      <c r="AT176" s="538">
        <f>IF(Table157[[#This Row],[Approved Construction Cost]]=0,0,Table157[[#This Row],[Approved Construction Cost]]-Table157[[#This Row],[Construction Cost to Bill From]])</f>
        <v>0</v>
      </c>
      <c r="AU176" s="538">
        <f>IFERROR(Table157[[#This Row],[Difference in Construction Cost]]*Table157[[#This Row],[Rate]],Table157[[#This Row],[Difference in Construction Cost]]*0.085)</f>
        <v>0</v>
      </c>
      <c r="AV176" s="690"/>
      <c r="AW176" s="660"/>
      <c r="AX176" s="555"/>
      <c r="AY176" s="636" t="s">
        <v>709</v>
      </c>
      <c r="AZ176" s="443">
        <v>130</v>
      </c>
      <c r="BA176" s="334" t="s">
        <v>4</v>
      </c>
      <c r="BB176" s="651" t="s">
        <v>1749</v>
      </c>
      <c r="BC176" s="644" t="s">
        <v>1750</v>
      </c>
      <c r="BD176" s="479" t="s">
        <v>116</v>
      </c>
      <c r="BE176" s="554" t="s">
        <v>1751</v>
      </c>
      <c r="BF176" s="588" t="s">
        <v>1752</v>
      </c>
      <c r="BG176" s="588" t="s">
        <v>709</v>
      </c>
      <c r="BH176" s="483" t="s">
        <v>1753</v>
      </c>
      <c r="BI176" s="487" t="s">
        <v>1754</v>
      </c>
      <c r="BJ176" s="511" t="s">
        <v>709</v>
      </c>
      <c r="BK176" s="623" t="s">
        <v>709</v>
      </c>
      <c r="BL176" s="546" t="s">
        <v>709</v>
      </c>
      <c r="BM176" s="546" t="s">
        <v>116</v>
      </c>
      <c r="BN176" s="622" t="s">
        <v>709</v>
      </c>
      <c r="BO176" s="623" t="s">
        <v>709</v>
      </c>
      <c r="BP176" s="622" t="s">
        <v>709</v>
      </c>
      <c r="BQ176" s="622" t="s">
        <v>709</v>
      </c>
      <c r="BR176" s="623" t="s">
        <v>709</v>
      </c>
      <c r="BS176" s="623">
        <v>285</v>
      </c>
      <c r="BT176" s="623" t="s">
        <v>709</v>
      </c>
      <c r="BU176" s="623" t="s">
        <v>745</v>
      </c>
      <c r="BV176" s="623" t="s">
        <v>709</v>
      </c>
      <c r="BW176" s="623" t="s">
        <v>745</v>
      </c>
      <c r="BX176" s="623" t="s">
        <v>709</v>
      </c>
      <c r="BY176" s="546" t="s">
        <v>745</v>
      </c>
      <c r="BZ176" s="623" t="s">
        <v>745</v>
      </c>
      <c r="CA176" s="506" t="s">
        <v>29</v>
      </c>
    </row>
    <row r="177" spans="1:79" ht="15" hidden="1" customHeight="1" x14ac:dyDescent="0.25">
      <c r="A177" s="8" t="s">
        <v>800</v>
      </c>
      <c r="B177" s="8" t="s">
        <v>4</v>
      </c>
      <c r="C177" s="8" t="s">
        <v>1755</v>
      </c>
      <c r="D177" s="8" t="s">
        <v>1756</v>
      </c>
      <c r="E177" s="8" t="s">
        <v>239</v>
      </c>
      <c r="F177" s="8" t="s">
        <v>1757</v>
      </c>
      <c r="G177" s="8" t="s">
        <v>26</v>
      </c>
      <c r="H177" s="8" t="s">
        <v>59</v>
      </c>
      <c r="I177" s="642">
        <v>45233</v>
      </c>
      <c r="J177" s="18">
        <v>45369</v>
      </c>
      <c r="K177" s="97">
        <v>45369</v>
      </c>
      <c r="L177" s="16">
        <f>IF(ISTEXT(Table157[[#This Row],[Engineering Approved Design Date]]),Table157[[#This Row],[Date Completed]]-Table157[[#This Row],[Date Assigned to Designer]],Table157[[#This Row],[Engineering Approved Design Date]]-Table157[[#This Row],[Date Completed]])</f>
        <v>0</v>
      </c>
      <c r="M177" s="642"/>
      <c r="N177" s="642" t="s">
        <v>120</v>
      </c>
      <c r="O177" s="510">
        <v>45352</v>
      </c>
      <c r="P177" s="221" t="s">
        <v>739</v>
      </c>
      <c r="Q177" s="74">
        <f>Table157[[#This Row],[Rate]]*Table157[[#This Row],[Construction Cost to Bill From]]</f>
        <v>92635.680999999997</v>
      </c>
      <c r="R177" s="75">
        <v>0.1</v>
      </c>
      <c r="U177" s="87"/>
      <c r="V177" s="437">
        <v>2927</v>
      </c>
      <c r="W177" s="437">
        <v>0</v>
      </c>
      <c r="X177" s="70">
        <v>818439.95</v>
      </c>
      <c r="Y177" s="595"/>
      <c r="Z177" s="570">
        <v>107916.86</v>
      </c>
      <c r="AA177" s="300">
        <f>Table157[[#This Row],[PCTS Retirement Amount]]+Table157[[#This Row],[PCTS Investment Amount]]</f>
        <v>926356.80999999994</v>
      </c>
      <c r="AB177" s="207">
        <v>45366</v>
      </c>
      <c r="AC177" s="22" t="s">
        <v>709</v>
      </c>
      <c r="AD177" s="22" t="s">
        <v>29</v>
      </c>
      <c r="AE177" s="187" t="s">
        <v>756</v>
      </c>
      <c r="AF177" s="568" t="s">
        <v>116</v>
      </c>
      <c r="AG177" s="568" t="s">
        <v>376</v>
      </c>
      <c r="AH177" s="356">
        <v>45406</v>
      </c>
      <c r="AI177" s="499">
        <v>0</v>
      </c>
      <c r="AJ177" s="541">
        <v>10040</v>
      </c>
      <c r="AK177" s="541">
        <v>7499.5</v>
      </c>
      <c r="AL177" s="494">
        <f>SUM(Table157[[#This Row],[Nicor Initiated DBE]:[Staffing]])/(Table157[[#This Row],[Amount Invoiced]])</f>
        <v>0.18933849042465614</v>
      </c>
      <c r="AM177" s="21" t="s">
        <v>116</v>
      </c>
      <c r="AN177" s="680" t="s">
        <v>709</v>
      </c>
      <c r="AO177" s="601"/>
      <c r="AP177" s="572"/>
      <c r="AQ177" s="572"/>
      <c r="AR177" s="572"/>
      <c r="AS177" s="538">
        <f>IF(Table157[[#This Row],[PCTS Approved]]="N",0,Table157[[#This Row],[Investment Amount (1'#'#'#'#'#)]]+Table157[[#This Row],[Retirement Amount (3'#'#'#'#'#)]])</f>
        <v>0</v>
      </c>
      <c r="AT177" s="538">
        <f>IF(Table157[[#This Row],[Approved Construction Cost]]=0,0,Table157[[#This Row],[Approved Construction Cost]]-Table157[[#This Row],[Construction Cost to Bill From]])</f>
        <v>0</v>
      </c>
      <c r="AU177" s="538">
        <f>IFERROR(Table157[[#This Row],[Difference in Construction Cost]]*Table157[[#This Row],[Rate]],Table157[[#This Row],[Difference in Construction Cost]]*0.085)</f>
        <v>0</v>
      </c>
      <c r="AV177" s="602"/>
      <c r="AW177" s="640"/>
      <c r="AX177" s="555"/>
      <c r="AY177" s="636" t="s">
        <v>709</v>
      </c>
      <c r="AZ177" s="443">
        <v>132</v>
      </c>
      <c r="BA177" s="334" t="s">
        <v>4</v>
      </c>
      <c r="BB177" s="651" t="s">
        <v>1758</v>
      </c>
      <c r="BC177" s="644" t="s">
        <v>805</v>
      </c>
      <c r="BD177" s="479" t="s">
        <v>116</v>
      </c>
      <c r="BE177" s="554" t="s">
        <v>709</v>
      </c>
      <c r="BF177" s="588" t="s">
        <v>807</v>
      </c>
      <c r="BG177" s="588" t="s">
        <v>709</v>
      </c>
      <c r="BH177" s="483" t="s">
        <v>1759</v>
      </c>
      <c r="BI177" s="487" t="s">
        <v>1760</v>
      </c>
      <c r="BJ177" s="511" t="s">
        <v>709</v>
      </c>
      <c r="BK177" s="623" t="s">
        <v>709</v>
      </c>
      <c r="BL177" s="546" t="s">
        <v>709</v>
      </c>
      <c r="BM177" s="546" t="s">
        <v>116</v>
      </c>
      <c r="BN177" s="622" t="s">
        <v>709</v>
      </c>
      <c r="BO177" s="623" t="s">
        <v>709</v>
      </c>
      <c r="BP177" s="622" t="s">
        <v>709</v>
      </c>
      <c r="BQ177" s="622" t="s">
        <v>709</v>
      </c>
      <c r="BR177" s="623">
        <v>86</v>
      </c>
      <c r="BS177" s="623">
        <v>242</v>
      </c>
      <c r="BT177" s="623">
        <v>2599</v>
      </c>
      <c r="BU177" s="623" t="s">
        <v>709</v>
      </c>
      <c r="BV177" s="623" t="s">
        <v>709</v>
      </c>
      <c r="BW177" s="623" t="s">
        <v>709</v>
      </c>
      <c r="BX177" s="623" t="s">
        <v>709</v>
      </c>
      <c r="BY177" s="546" t="s">
        <v>709</v>
      </c>
      <c r="BZ177" s="623" t="s">
        <v>709</v>
      </c>
      <c r="CA177" s="506"/>
    </row>
    <row r="178" spans="1:79" ht="15" hidden="1" customHeight="1" x14ac:dyDescent="0.25">
      <c r="A178" s="8">
        <v>2024</v>
      </c>
      <c r="B178" s="8" t="s">
        <v>4</v>
      </c>
      <c r="C178" s="8" t="s">
        <v>1761</v>
      </c>
      <c r="D178" s="8" t="s">
        <v>1762</v>
      </c>
      <c r="E178" s="8" t="s">
        <v>1763</v>
      </c>
      <c r="F178" s="8" t="s">
        <v>784</v>
      </c>
      <c r="G178" s="8" t="s">
        <v>31</v>
      </c>
      <c r="H178" s="8" t="s">
        <v>413</v>
      </c>
      <c r="I178" s="642">
        <v>45251</v>
      </c>
      <c r="J178" s="18">
        <v>45401</v>
      </c>
      <c r="K178" s="97">
        <v>45399</v>
      </c>
      <c r="L178" s="16">
        <f>IF(ISTEXT(Table157[[#This Row],[Engineering Approved Design Date]]),Table157[[#This Row],[Date Completed]]-Table157[[#This Row],[Date Assigned to Designer]],Table157[[#This Row],[Engineering Approved Design Date]]-Table157[[#This Row],[Date Completed]])</f>
        <v>2</v>
      </c>
      <c r="M178" s="642"/>
      <c r="N178" s="642" t="s">
        <v>120</v>
      </c>
      <c r="O178" s="510">
        <v>45383</v>
      </c>
      <c r="P178" s="221" t="s">
        <v>739</v>
      </c>
      <c r="Q178" s="74">
        <f>Table157[[#This Row],[Rate]]*Table157[[#This Row],[Construction Cost to Bill From]]</f>
        <v>39601.827000000005</v>
      </c>
      <c r="R178" s="75">
        <v>0.1</v>
      </c>
      <c r="U178" s="87"/>
      <c r="V178" s="437">
        <v>869</v>
      </c>
      <c r="W178" s="437">
        <v>0</v>
      </c>
      <c r="X178" s="70">
        <v>329235.82</v>
      </c>
      <c r="Y178" s="595"/>
      <c r="Z178" s="570">
        <v>66782.45</v>
      </c>
      <c r="AA178" s="300">
        <f>SUM(Table157[[#This Row],[PCTS Investment Amount]:[PCTS Retirement Amount]])</f>
        <v>396018.27</v>
      </c>
      <c r="AB178" s="207">
        <v>45392</v>
      </c>
      <c r="AC178" s="22" t="s">
        <v>709</v>
      </c>
      <c r="AD178" s="22" t="s">
        <v>29</v>
      </c>
      <c r="AE178" s="187" t="s">
        <v>116</v>
      </c>
      <c r="AF178" s="568" t="s">
        <v>116</v>
      </c>
      <c r="AG178" s="568" t="s">
        <v>376</v>
      </c>
      <c r="AH178" s="356" t="s">
        <v>376</v>
      </c>
      <c r="AI178" s="499">
        <v>0</v>
      </c>
      <c r="AJ178" s="541">
        <f>5478.94</f>
        <v>5478.94</v>
      </c>
      <c r="AK178" s="541">
        <f>1975.75+3227</f>
        <v>5202.75</v>
      </c>
      <c r="AL178" s="494">
        <f>SUM(Table157[[#This Row],[Nicor Initiated DBE]:[Staffing]])/(Table157[[#This Row],[Amount Invoiced]])</f>
        <v>0.26972720223236157</v>
      </c>
      <c r="AM178" s="21" t="s">
        <v>116</v>
      </c>
      <c r="AN178" s="680" t="s">
        <v>709</v>
      </c>
      <c r="AO178" s="681"/>
      <c r="AP178" s="682"/>
      <c r="AQ178" s="682"/>
      <c r="AR178" s="682"/>
      <c r="AS178" s="538">
        <f>IF(Table157[[#This Row],[PCTS Approved]]="N",0,Table157[[#This Row],[Investment Amount (1'#'#'#'#'#)]]+Table157[[#This Row],[Retirement Amount (3'#'#'#'#'#)]])</f>
        <v>0</v>
      </c>
      <c r="AT178" s="538">
        <f>IF(Table157[[#This Row],[Approved Construction Cost]]=0,0,Table157[[#This Row],[Approved Construction Cost]]-Table157[[#This Row],[Construction Cost to Bill From]])</f>
        <v>0</v>
      </c>
      <c r="AU178" s="538">
        <f>IFERROR(Table157[[#This Row],[Difference in Construction Cost]]*Table157[[#This Row],[Rate]],Table157[[#This Row],[Difference in Construction Cost]]*0.085)</f>
        <v>0</v>
      </c>
      <c r="AV178" s="690"/>
      <c r="AW178" s="660"/>
      <c r="AX178" s="555"/>
      <c r="AY178" s="636" t="s">
        <v>709</v>
      </c>
      <c r="AZ178" s="443">
        <v>134</v>
      </c>
      <c r="BA178" s="334" t="s">
        <v>4</v>
      </c>
      <c r="BB178" s="651" t="s">
        <v>1764</v>
      </c>
      <c r="BC178" s="644" t="s">
        <v>1765</v>
      </c>
      <c r="BD178" s="479" t="s">
        <v>709</v>
      </c>
      <c r="BE178" s="554" t="s">
        <v>882</v>
      </c>
      <c r="BF178" s="588" t="s">
        <v>1766</v>
      </c>
      <c r="BG178" s="588" t="s">
        <v>1767</v>
      </c>
      <c r="BH178" s="483" t="s">
        <v>709</v>
      </c>
      <c r="BI178" s="487" t="s">
        <v>1768</v>
      </c>
      <c r="BJ178" s="535" t="s">
        <v>709</v>
      </c>
      <c r="BK178" s="549" t="s">
        <v>709</v>
      </c>
      <c r="BL178" s="547" t="s">
        <v>709</v>
      </c>
      <c r="BM178" s="547" t="s">
        <v>116</v>
      </c>
      <c r="BN178" s="626" t="s">
        <v>709</v>
      </c>
      <c r="BO178" s="626" t="s">
        <v>709</v>
      </c>
      <c r="BP178" s="626" t="s">
        <v>709</v>
      </c>
      <c r="BQ178" s="626" t="s">
        <v>709</v>
      </c>
      <c r="BR178" s="626" t="s">
        <v>709</v>
      </c>
      <c r="BS178" s="549" t="s">
        <v>709</v>
      </c>
      <c r="BT178" s="549">
        <v>869</v>
      </c>
      <c r="BU178" s="549" t="s">
        <v>709</v>
      </c>
      <c r="BV178" s="549" t="s">
        <v>709</v>
      </c>
      <c r="BW178" s="549" t="s">
        <v>709</v>
      </c>
      <c r="BX178" s="549" t="s">
        <v>709</v>
      </c>
      <c r="BY178" s="547" t="s">
        <v>709</v>
      </c>
      <c r="BZ178" s="549" t="s">
        <v>709</v>
      </c>
      <c r="CA178" s="483"/>
    </row>
    <row r="179" spans="1:79" ht="15" hidden="1" customHeight="1" x14ac:dyDescent="0.25">
      <c r="A179" s="8" t="s">
        <v>800</v>
      </c>
      <c r="B179" s="8" t="s">
        <v>4</v>
      </c>
      <c r="C179" s="8" t="s">
        <v>1769</v>
      </c>
      <c r="D179" s="8" t="s">
        <v>1770</v>
      </c>
      <c r="E179" s="8" t="s">
        <v>910</v>
      </c>
      <c r="F179" s="8" t="s">
        <v>784</v>
      </c>
      <c r="G179" s="8" t="s">
        <v>25</v>
      </c>
      <c r="H179" s="8" t="s">
        <v>59</v>
      </c>
      <c r="I179" s="642">
        <v>45293</v>
      </c>
      <c r="J179" s="472">
        <v>45411</v>
      </c>
      <c r="K179" s="97">
        <v>45400</v>
      </c>
      <c r="L179" s="16">
        <f>IF(ISTEXT(Table157[[#This Row],[Engineering Approved Design Date]]),Table157[[#This Row],[Date Completed]]-Table157[[#This Row],[Date Assigned to Designer]],Table157[[#This Row],[Engineering Approved Design Date]]-Table157[[#This Row],[Date Completed]])</f>
        <v>11</v>
      </c>
      <c r="M179" s="642"/>
      <c r="N179" s="642" t="s">
        <v>120</v>
      </c>
      <c r="O179" s="510">
        <v>45383</v>
      </c>
      <c r="P179" s="221" t="s">
        <v>739</v>
      </c>
      <c r="Q179" s="74">
        <f>Table157[[#This Row],[Rate]]*Table157[[#This Row],[Construction Cost to Bill From]]</f>
        <v>78947.281000000017</v>
      </c>
      <c r="R179" s="75">
        <v>0.1</v>
      </c>
      <c r="U179" s="87"/>
      <c r="V179" s="437">
        <v>1231</v>
      </c>
      <c r="W179" s="437">
        <v>0</v>
      </c>
      <c r="X179" s="70">
        <v>635337.11</v>
      </c>
      <c r="Y179" s="551"/>
      <c r="Z179" s="570">
        <v>154135.70000000001</v>
      </c>
      <c r="AA179" s="300">
        <f>SUM(Table157[[#This Row],[PCTS Investment Amount]:[PCTS Retirement Amount]])</f>
        <v>789472.81</v>
      </c>
      <c r="AB179" s="207">
        <v>45392</v>
      </c>
      <c r="AC179" s="22" t="s">
        <v>709</v>
      </c>
      <c r="AD179" s="22" t="s">
        <v>29</v>
      </c>
      <c r="AE179" s="187" t="s">
        <v>116</v>
      </c>
      <c r="AF179" s="568" t="s">
        <v>29</v>
      </c>
      <c r="AG179" s="568" t="s">
        <v>376</v>
      </c>
      <c r="AH179" s="356" t="s">
        <v>376</v>
      </c>
      <c r="AI179" s="499">
        <v>0</v>
      </c>
      <c r="AJ179" s="541">
        <v>5900</v>
      </c>
      <c r="AK179" s="541">
        <v>13415.75</v>
      </c>
      <c r="AL179" s="494">
        <f>SUM(Table157[[#This Row],[Nicor Initiated DBE]:[Staffing]])/(Table157[[#This Row],[Amount Invoiced]])</f>
        <v>0.2446664375939685</v>
      </c>
      <c r="AM179" s="21" t="s">
        <v>116</v>
      </c>
      <c r="AN179" s="680" t="s">
        <v>709</v>
      </c>
      <c r="AO179" s="601"/>
      <c r="AP179" s="572"/>
      <c r="AQ179" s="572"/>
      <c r="AR179" s="572"/>
      <c r="AS179" s="538">
        <f>IF(Table157[[#This Row],[PCTS Approved]]="N",0,Table157[[#This Row],[Investment Amount (1'#'#'#'#'#)]]+Table157[[#This Row],[Retirement Amount (3'#'#'#'#'#)]])</f>
        <v>0</v>
      </c>
      <c r="AT179" s="538">
        <f>IF(Table157[[#This Row],[Approved Construction Cost]]=0,0,Table157[[#This Row],[Approved Construction Cost]]-Table157[[#This Row],[Construction Cost to Bill From]])</f>
        <v>0</v>
      </c>
      <c r="AU179" s="538">
        <f>IFERROR(Table157[[#This Row],[Difference in Construction Cost]]*Table157[[#This Row],[Rate]],Table157[[#This Row],[Difference in Construction Cost]]*0.085)</f>
        <v>0</v>
      </c>
      <c r="AV179" s="602"/>
      <c r="AW179" s="640"/>
      <c r="AX179" s="555"/>
      <c r="AY179" s="636" t="s">
        <v>709</v>
      </c>
      <c r="AZ179" s="443">
        <v>135</v>
      </c>
      <c r="BA179" s="334" t="s">
        <v>4</v>
      </c>
      <c r="BB179" s="651" t="s">
        <v>1771</v>
      </c>
      <c r="BC179" s="644" t="s">
        <v>870</v>
      </c>
      <c r="BD179" s="479" t="s">
        <v>992</v>
      </c>
      <c r="BE179" s="554" t="s">
        <v>709</v>
      </c>
      <c r="BF179" s="588" t="s">
        <v>709</v>
      </c>
      <c r="BG179" s="588" t="s">
        <v>745</v>
      </c>
      <c r="BH179" s="483" t="s">
        <v>29</v>
      </c>
      <c r="BI179" s="487" t="s">
        <v>1772</v>
      </c>
      <c r="BJ179" s="620" t="s">
        <v>709</v>
      </c>
      <c r="BK179" s="621" t="s">
        <v>709</v>
      </c>
      <c r="BL179" s="621" t="s">
        <v>709</v>
      </c>
      <c r="BM179" s="621" t="s">
        <v>116</v>
      </c>
      <c r="BN179" s="621" t="s">
        <v>709</v>
      </c>
      <c r="BO179" s="621" t="s">
        <v>709</v>
      </c>
      <c r="BP179" s="621" t="s">
        <v>709</v>
      </c>
      <c r="BQ179" s="627" t="s">
        <v>709</v>
      </c>
      <c r="BR179" s="627">
        <v>1231</v>
      </c>
      <c r="BS179" s="624" t="s">
        <v>709</v>
      </c>
      <c r="BT179" s="624" t="s">
        <v>709</v>
      </c>
      <c r="BU179" s="624" t="s">
        <v>745</v>
      </c>
      <c r="BV179" s="624" t="s">
        <v>709</v>
      </c>
      <c r="BW179" s="624" t="s">
        <v>745</v>
      </c>
      <c r="BX179" s="624" t="s">
        <v>709</v>
      </c>
      <c r="BY179" s="621" t="s">
        <v>745</v>
      </c>
      <c r="BZ179" s="624" t="s">
        <v>745</v>
      </c>
      <c r="CA179" s="486" t="s">
        <v>1773</v>
      </c>
    </row>
    <row r="180" spans="1:79" ht="15" hidden="1" customHeight="1" x14ac:dyDescent="0.25">
      <c r="A180" s="8" t="s">
        <v>800</v>
      </c>
      <c r="B180" s="8" t="s">
        <v>4</v>
      </c>
      <c r="C180" s="8" t="s">
        <v>1774</v>
      </c>
      <c r="D180" s="8" t="s">
        <v>1775</v>
      </c>
      <c r="E180" s="8" t="s">
        <v>155</v>
      </c>
      <c r="F180" s="8" t="s">
        <v>784</v>
      </c>
      <c r="G180" s="8" t="s">
        <v>28</v>
      </c>
      <c r="H180" s="8" t="s">
        <v>59</v>
      </c>
      <c r="I180" s="642">
        <v>45307</v>
      </c>
      <c r="J180" s="18">
        <v>45436</v>
      </c>
      <c r="K180" s="97">
        <v>45413</v>
      </c>
      <c r="L180" s="16">
        <f>IF(ISTEXT(Table157[[#This Row],[Engineering Approved Design Date]]),Table157[[#This Row],[Date Completed]]-Table157[[#This Row],[Date Assigned to Designer]],Table157[[#This Row],[Engineering Approved Design Date]]-Table157[[#This Row],[Date Completed]])</f>
        <v>23</v>
      </c>
      <c r="M180" s="642"/>
      <c r="N180" s="642" t="s">
        <v>120</v>
      </c>
      <c r="O180" s="510">
        <v>45413</v>
      </c>
      <c r="P180" s="221" t="s">
        <v>739</v>
      </c>
      <c r="Q180" s="74">
        <f>Table157[[#This Row],[Rate]]*Table157[[#This Row],[Construction Cost to Bill From]]</f>
        <v>11779.631000000001</v>
      </c>
      <c r="R180" s="75">
        <v>0.1</v>
      </c>
      <c r="U180" s="87"/>
      <c r="V180" s="437">
        <v>203</v>
      </c>
      <c r="W180" s="437">
        <v>0</v>
      </c>
      <c r="X180" s="24">
        <v>104917.16</v>
      </c>
      <c r="Y180" s="551"/>
      <c r="Z180" s="552">
        <v>12879.15</v>
      </c>
      <c r="AA180" s="300">
        <f>SUM(Table157[[#This Row],[PCTS Investment Amount]:[PCTS Retirement Amount]])</f>
        <v>117796.31</v>
      </c>
      <c r="AB180" s="207">
        <v>45352</v>
      </c>
      <c r="AC180" s="22" t="s">
        <v>29</v>
      </c>
      <c r="AD180" s="22" t="s">
        <v>29</v>
      </c>
      <c r="AE180" s="187" t="s">
        <v>116</v>
      </c>
      <c r="AF180" s="568" t="s">
        <v>116</v>
      </c>
      <c r="AG180" s="568" t="s">
        <v>376</v>
      </c>
      <c r="AH180" s="356">
        <v>45447</v>
      </c>
      <c r="AI180" s="499" t="s">
        <v>115</v>
      </c>
      <c r="AJ180" s="541">
        <v>2550</v>
      </c>
      <c r="AK180" s="541" t="s">
        <v>115</v>
      </c>
      <c r="AL180" s="494">
        <f>SUM(Table157[[#This Row],[Nicor Initiated DBE]:[Staffing]])/(Table157[[#This Row],[Amount Invoiced]])</f>
        <v>0.21647537176673867</v>
      </c>
      <c r="AM180" s="21" t="s">
        <v>116</v>
      </c>
      <c r="AN180" s="680" t="s">
        <v>709</v>
      </c>
      <c r="AO180" s="601"/>
      <c r="AP180" s="572"/>
      <c r="AQ180" s="572"/>
      <c r="AR180" s="572"/>
      <c r="AS180" s="538">
        <f>IF(Table157[[#This Row],[PCTS Approved]]="N",0,Table157[[#This Row],[Investment Amount (1'#'#'#'#'#)]]+Table157[[#This Row],[Retirement Amount (3'#'#'#'#'#)]])</f>
        <v>0</v>
      </c>
      <c r="AT180" s="538">
        <f>IF(Table157[[#This Row],[Approved Construction Cost]]=0,0,Table157[[#This Row],[Approved Construction Cost]]-Table157[[#This Row],[Construction Cost to Bill From]])</f>
        <v>0</v>
      </c>
      <c r="AU180" s="538">
        <f>IFERROR(Table157[[#This Row],[Difference in Construction Cost]]*Table157[[#This Row],[Rate]],Table157[[#This Row],[Difference in Construction Cost]]*0.085)</f>
        <v>0</v>
      </c>
      <c r="AV180" s="602"/>
      <c r="AW180" s="640"/>
      <c r="AX180" s="555"/>
      <c r="AY180" s="636" t="s">
        <v>709</v>
      </c>
      <c r="AZ180" s="443">
        <v>136</v>
      </c>
      <c r="BA180" s="334" t="s">
        <v>4</v>
      </c>
      <c r="BB180" s="651" t="s">
        <v>1776</v>
      </c>
      <c r="BC180" s="644" t="s">
        <v>1750</v>
      </c>
      <c r="BD180" s="479" t="s">
        <v>709</v>
      </c>
      <c r="BE180" s="554" t="s">
        <v>882</v>
      </c>
      <c r="BF180" s="588" t="s">
        <v>709</v>
      </c>
      <c r="BG180" s="588" t="s">
        <v>709</v>
      </c>
      <c r="BH180" s="483" t="s">
        <v>1505</v>
      </c>
      <c r="BI180" s="487" t="s">
        <v>1777</v>
      </c>
      <c r="BJ180" s="628" t="s">
        <v>709</v>
      </c>
      <c r="BK180" s="629" t="s">
        <v>709</v>
      </c>
      <c r="BL180" s="630" t="s">
        <v>709</v>
      </c>
      <c r="BM180" s="630" t="s">
        <v>116</v>
      </c>
      <c r="BN180" s="631" t="s">
        <v>709</v>
      </c>
      <c r="BO180" s="631" t="s">
        <v>709</v>
      </c>
      <c r="BP180" s="631" t="s">
        <v>709</v>
      </c>
      <c r="BQ180" s="631" t="s">
        <v>709</v>
      </c>
      <c r="BR180" s="631" t="s">
        <v>709</v>
      </c>
      <c r="BS180" s="629">
        <v>203</v>
      </c>
      <c r="BT180" s="629" t="s">
        <v>709</v>
      </c>
      <c r="BU180" s="629" t="s">
        <v>745</v>
      </c>
      <c r="BV180" s="629" t="s">
        <v>709</v>
      </c>
      <c r="BW180" s="629" t="s">
        <v>745</v>
      </c>
      <c r="BX180" s="629" t="s">
        <v>709</v>
      </c>
      <c r="BY180" s="630" t="s">
        <v>745</v>
      </c>
      <c r="BZ180" s="629" t="s">
        <v>745</v>
      </c>
      <c r="CA180" s="483" t="s">
        <v>29</v>
      </c>
    </row>
    <row r="181" spans="1:79" ht="15" hidden="1" customHeight="1" x14ac:dyDescent="0.25">
      <c r="A181" s="8" t="s">
        <v>800</v>
      </c>
      <c r="B181" s="8" t="s">
        <v>4</v>
      </c>
      <c r="C181" s="8" t="s">
        <v>1778</v>
      </c>
      <c r="D181" s="8" t="s">
        <v>1779</v>
      </c>
      <c r="E181" s="8" t="s">
        <v>1780</v>
      </c>
      <c r="F181" s="8" t="s">
        <v>747</v>
      </c>
      <c r="G181" s="8" t="s">
        <v>25</v>
      </c>
      <c r="H181" s="8" t="s">
        <v>59</v>
      </c>
      <c r="I181" s="642">
        <v>45280</v>
      </c>
      <c r="J181" s="472">
        <v>45422</v>
      </c>
      <c r="K181" s="97">
        <v>45420</v>
      </c>
      <c r="L181" s="16">
        <f>IF(ISTEXT(Table157[[#This Row],[Engineering Approved Design Date]]),Table157[[#This Row],[Date Completed]]-Table157[[#This Row],[Date Assigned to Designer]],Table157[[#This Row],[Engineering Approved Design Date]]-Table157[[#This Row],[Date Completed]])</f>
        <v>2</v>
      </c>
      <c r="M181" s="642"/>
      <c r="N181" s="642" t="s">
        <v>120</v>
      </c>
      <c r="O181" s="510">
        <v>45413</v>
      </c>
      <c r="P181" s="221" t="s">
        <v>739</v>
      </c>
      <c r="Q181" s="74">
        <f>Table157[[#This Row],[Rate]]*Table157[[#This Row],[Construction Cost to Bill From]]</f>
        <v>130376.22600000001</v>
      </c>
      <c r="R181" s="75">
        <v>0.1</v>
      </c>
      <c r="U181" s="87"/>
      <c r="V181" s="437">
        <v>6050</v>
      </c>
      <c r="W181" s="437">
        <v>0</v>
      </c>
      <c r="X181" s="24">
        <v>1125658.07</v>
      </c>
      <c r="Y181" s="551"/>
      <c r="Z181" s="552">
        <v>178104.19</v>
      </c>
      <c r="AA181" s="300">
        <f>SUM(Table157[[#This Row],[PCTS Investment Amount]:[PCTS Retirement Amount]])</f>
        <v>1303762.26</v>
      </c>
      <c r="AB181" s="207">
        <v>45407</v>
      </c>
      <c r="AC181" s="22" t="s">
        <v>29</v>
      </c>
      <c r="AD181" s="22" t="s">
        <v>29</v>
      </c>
      <c r="AE181" s="187" t="s">
        <v>116</v>
      </c>
      <c r="AF181" s="568" t="s">
        <v>116</v>
      </c>
      <c r="AG181" s="568" t="s">
        <v>376</v>
      </c>
      <c r="AH181" s="356" t="s">
        <v>376</v>
      </c>
      <c r="AI181" s="499">
        <v>20300</v>
      </c>
      <c r="AJ181" s="541">
        <f>1753+10430</f>
        <v>12183</v>
      </c>
      <c r="AK181" s="541">
        <v>19881</v>
      </c>
      <c r="AL181" s="494">
        <f>SUM(Table157[[#This Row],[Nicor Initiated DBE]:[Staffing]])/(Table157[[#This Row],[Amount Invoiced]])</f>
        <v>0.40163764212656378</v>
      </c>
      <c r="AM181" s="21" t="s">
        <v>116</v>
      </c>
      <c r="AN181" s="680" t="s">
        <v>709</v>
      </c>
      <c r="AO181" s="601"/>
      <c r="AP181" s="572"/>
      <c r="AQ181" s="572"/>
      <c r="AR181" s="572"/>
      <c r="AS181" s="538">
        <f>IF(Table157[[#This Row],[PCTS Approved]]="N",0,Table157[[#This Row],[Investment Amount (1'#'#'#'#'#)]]+Table157[[#This Row],[Retirement Amount (3'#'#'#'#'#)]])</f>
        <v>0</v>
      </c>
      <c r="AT181" s="538">
        <f>IF(Table157[[#This Row],[Approved Construction Cost]]=0,0,Table157[[#This Row],[Approved Construction Cost]]-Table157[[#This Row],[Construction Cost to Bill From]])</f>
        <v>0</v>
      </c>
      <c r="AU181" s="538">
        <f>IFERROR(Table157[[#This Row],[Difference in Construction Cost]]*Table157[[#This Row],[Rate]],Table157[[#This Row],[Difference in Construction Cost]]*0.085)</f>
        <v>0</v>
      </c>
      <c r="AV181" s="602"/>
      <c r="AW181" s="640"/>
      <c r="AX181" s="555"/>
      <c r="AY181" s="636" t="s">
        <v>709</v>
      </c>
      <c r="AZ181" s="443">
        <v>138</v>
      </c>
      <c r="BA181" s="334" t="s">
        <v>4</v>
      </c>
      <c r="BB181" s="651" t="s">
        <v>1781</v>
      </c>
      <c r="BC181" s="644" t="s">
        <v>1782</v>
      </c>
      <c r="BD181" s="479" t="s">
        <v>992</v>
      </c>
      <c r="BE181" s="554" t="s">
        <v>709</v>
      </c>
      <c r="BF181" s="588" t="s">
        <v>1783</v>
      </c>
      <c r="BG181" s="588" t="s">
        <v>709</v>
      </c>
      <c r="BH181" s="483" t="s">
        <v>709</v>
      </c>
      <c r="BI181" s="487" t="s">
        <v>1784</v>
      </c>
      <c r="BJ181" s="535" t="s">
        <v>709</v>
      </c>
      <c r="BK181" s="547" t="s">
        <v>709</v>
      </c>
      <c r="BL181" s="547" t="s">
        <v>709</v>
      </c>
      <c r="BM181" s="547" t="s">
        <v>116</v>
      </c>
      <c r="BN181" s="547" t="s">
        <v>709</v>
      </c>
      <c r="BO181" s="547" t="s">
        <v>709</v>
      </c>
      <c r="BP181" s="547" t="s">
        <v>709</v>
      </c>
      <c r="BQ181" s="626" t="s">
        <v>709</v>
      </c>
      <c r="BR181" s="626" t="s">
        <v>709</v>
      </c>
      <c r="BS181" s="549" t="s">
        <v>116</v>
      </c>
      <c r="BT181" s="549" t="s">
        <v>116</v>
      </c>
      <c r="BU181" s="547" t="s">
        <v>709</v>
      </c>
      <c r="BV181" s="547" t="s">
        <v>709</v>
      </c>
      <c r="BW181" s="547" t="s">
        <v>709</v>
      </c>
      <c r="BX181" s="547" t="s">
        <v>709</v>
      </c>
      <c r="BY181" s="547" t="s">
        <v>709</v>
      </c>
      <c r="BZ181" s="547" t="s">
        <v>709</v>
      </c>
      <c r="CA181" s="483"/>
    </row>
    <row r="182" spans="1:79" ht="15" hidden="1" customHeight="1" x14ac:dyDescent="0.25">
      <c r="A182" s="8" t="s">
        <v>800</v>
      </c>
      <c r="B182" s="8" t="s">
        <v>759</v>
      </c>
      <c r="C182" s="8" t="s">
        <v>1785</v>
      </c>
      <c r="D182" s="8" t="s">
        <v>1786</v>
      </c>
      <c r="E182" s="8" t="s">
        <v>1787</v>
      </c>
      <c r="F182" s="8" t="s">
        <v>752</v>
      </c>
      <c r="G182" s="8" t="s">
        <v>34</v>
      </c>
      <c r="H182" s="8" t="s">
        <v>59</v>
      </c>
      <c r="I182" s="642">
        <v>45296</v>
      </c>
      <c r="J182" s="18">
        <v>45428</v>
      </c>
      <c r="K182" s="642">
        <v>45428</v>
      </c>
      <c r="L182" s="16">
        <f>IF(ISTEXT(Table157[[#This Row],[Engineering Approved Design Date]]),Table157[[#This Row],[Date Completed]]-Table157[[#This Row],[Date Assigned to Designer]],Table157[[#This Row],[Engineering Approved Design Date]]-Table157[[#This Row],[Date Completed]])</f>
        <v>0</v>
      </c>
      <c r="M182" s="642"/>
      <c r="N182" s="642" t="s">
        <v>120</v>
      </c>
      <c r="O182" s="510">
        <v>45413</v>
      </c>
      <c r="P182" s="221" t="s">
        <v>120</v>
      </c>
      <c r="Q182" s="74">
        <f>Table157[[#This Row],[Rate]]*Table157[[#This Row],[Construction Cost to Bill From]]</f>
        <v>101543.1164</v>
      </c>
      <c r="R182" s="77">
        <v>0.11</v>
      </c>
      <c r="U182" s="87"/>
      <c r="V182" s="437">
        <f>247+967+90+5+40+160+82</f>
        <v>1591</v>
      </c>
      <c r="W182" s="437">
        <v>1</v>
      </c>
      <c r="X182" s="24">
        <v>784377</v>
      </c>
      <c r="Y182" s="551"/>
      <c r="Z182" s="552">
        <v>138742.24</v>
      </c>
      <c r="AA182" s="300">
        <f>SUM(Table157[[#This Row],[PCTS Investment Amount]:[PCTS Retirement Amount]])</f>
        <v>923119.24</v>
      </c>
      <c r="AB182" s="207">
        <v>45429</v>
      </c>
      <c r="AC182" s="22" t="s">
        <v>1177</v>
      </c>
      <c r="AD182" s="209" t="s">
        <v>29</v>
      </c>
      <c r="AE182" s="359" t="s">
        <v>116</v>
      </c>
      <c r="AF182" s="575" t="s">
        <v>29</v>
      </c>
      <c r="AG182" s="582"/>
      <c r="AH182" s="357" t="s">
        <v>29</v>
      </c>
      <c r="AI182" s="499">
        <v>13590</v>
      </c>
      <c r="AJ182" s="541">
        <v>0</v>
      </c>
      <c r="AK182" s="585"/>
      <c r="AL182" s="525"/>
      <c r="AM182" s="21" t="s">
        <v>116</v>
      </c>
      <c r="AN182" s="680" t="s">
        <v>709</v>
      </c>
      <c r="AO182" s="601"/>
      <c r="AP182" s="572"/>
      <c r="AQ182" s="572"/>
      <c r="AR182" s="572"/>
      <c r="AS182" s="538">
        <f>IF(Table157[[#This Row],[PCTS Approved]]="N",0,Table157[[#This Row],[Investment Amount (1'#'#'#'#'#)]]+Table157[[#This Row],[Retirement Amount (3'#'#'#'#'#)]])</f>
        <v>0</v>
      </c>
      <c r="AT182" s="538">
        <f>IF(Table157[[#This Row],[Approved Construction Cost]]=0,0,Table157[[#This Row],[Approved Construction Cost]]-Table157[[#This Row],[Construction Cost to Bill From]])</f>
        <v>0</v>
      </c>
      <c r="AU182" s="538">
        <f>IFERROR(Table157[[#This Row],[Difference in Construction Cost]]*Table157[[#This Row],[Rate]],Table157[[#This Row],[Difference in Construction Cost]]*0.085)</f>
        <v>0</v>
      </c>
      <c r="AV182" s="572"/>
      <c r="AW182" s="639"/>
      <c r="AX182" s="538"/>
      <c r="AY182" s="637" t="s">
        <v>709</v>
      </c>
      <c r="AZ182" s="443">
        <v>162</v>
      </c>
      <c r="BA182" s="334" t="s">
        <v>2</v>
      </c>
      <c r="BB182" s="643" t="s">
        <v>1788</v>
      </c>
      <c r="BC182" s="644" t="s">
        <v>1789</v>
      </c>
      <c r="BD182" s="479" t="s">
        <v>115</v>
      </c>
      <c r="BE182" s="554" t="s">
        <v>1790</v>
      </c>
      <c r="BF182" s="588" t="s">
        <v>1791</v>
      </c>
      <c r="BG182" s="588" t="s">
        <v>115</v>
      </c>
      <c r="BH182" s="483" t="s">
        <v>115</v>
      </c>
      <c r="BI182" s="487" t="s">
        <v>1792</v>
      </c>
      <c r="BJ182" s="511" t="s">
        <v>709</v>
      </c>
      <c r="BK182" s="546" t="s">
        <v>709</v>
      </c>
      <c r="BL182" s="546" t="s">
        <v>709</v>
      </c>
      <c r="BM182" s="546" t="s">
        <v>116</v>
      </c>
      <c r="BN182" s="546" t="s">
        <v>709</v>
      </c>
      <c r="BO182" s="546" t="s">
        <v>709</v>
      </c>
      <c r="BP182" s="546" t="s">
        <v>709</v>
      </c>
      <c r="BQ182" s="622">
        <v>82</v>
      </c>
      <c r="BR182" s="622">
        <f>160+967</f>
        <v>1127</v>
      </c>
      <c r="BS182" s="623">
        <v>40</v>
      </c>
      <c r="BT182" s="623">
        <f>5+247</f>
        <v>252</v>
      </c>
      <c r="BU182" s="546">
        <v>1</v>
      </c>
      <c r="BV182" s="546" t="s">
        <v>709</v>
      </c>
      <c r="BW182" s="546" t="s">
        <v>745</v>
      </c>
      <c r="BX182" s="546">
        <v>1</v>
      </c>
      <c r="BY182" s="546">
        <v>1</v>
      </c>
      <c r="BZ182" s="546" t="s">
        <v>745</v>
      </c>
      <c r="CA182" s="506" t="s">
        <v>1022</v>
      </c>
    </row>
    <row r="183" spans="1:79" ht="15" hidden="1" customHeight="1" x14ac:dyDescent="0.25">
      <c r="A183" s="8" t="s">
        <v>749</v>
      </c>
      <c r="B183" s="8" t="s">
        <v>759</v>
      </c>
      <c r="C183" s="8" t="s">
        <v>1793</v>
      </c>
      <c r="D183" s="8" t="s">
        <v>1794</v>
      </c>
      <c r="E183" s="8" t="s">
        <v>1787</v>
      </c>
      <c r="F183" s="8" t="s">
        <v>752</v>
      </c>
      <c r="G183" s="8" t="s">
        <v>34</v>
      </c>
      <c r="H183" s="8" t="s">
        <v>59</v>
      </c>
      <c r="I183" s="642">
        <v>44582</v>
      </c>
      <c r="J183" s="18">
        <v>45429</v>
      </c>
      <c r="K183" s="642">
        <v>45429</v>
      </c>
      <c r="L183" s="16">
        <f>IF(ISTEXT(Table157[[#This Row],[Engineering Approved Design Date]]),Table157[[#This Row],[Date Completed]]-Table157[[#This Row],[Date Assigned to Designer]],Table157[[#This Row],[Engineering Approved Design Date]]-Table157[[#This Row],[Date Completed]])</f>
        <v>0</v>
      </c>
      <c r="M183" s="642"/>
      <c r="N183" s="642" t="s">
        <v>120</v>
      </c>
      <c r="O183" s="510">
        <v>45413</v>
      </c>
      <c r="P183" s="221" t="s">
        <v>120</v>
      </c>
      <c r="Q183" s="74">
        <f>Table157[[#This Row],[Rate]]*Table157[[#This Row],[Construction Cost to Bill From]]</f>
        <v>146559.3965</v>
      </c>
      <c r="R183" s="77">
        <v>0.11</v>
      </c>
      <c r="U183" s="87"/>
      <c r="V183" s="437">
        <v>1638</v>
      </c>
      <c r="W183" s="437">
        <v>1</v>
      </c>
      <c r="X183" s="24">
        <v>1222435.18</v>
      </c>
      <c r="Y183" s="551"/>
      <c r="Z183" s="552">
        <v>109922.97</v>
      </c>
      <c r="AA183" s="300">
        <f>SUM(Table157[[#This Row],[PCTS Investment Amount]:[PCTS Retirement Amount]])</f>
        <v>1332358.1499999999</v>
      </c>
      <c r="AB183" s="207">
        <v>45426</v>
      </c>
      <c r="AC183" s="22" t="s">
        <v>1056</v>
      </c>
      <c r="AD183" s="22" t="s">
        <v>29</v>
      </c>
      <c r="AE183" s="359" t="s">
        <v>116</v>
      </c>
      <c r="AF183" s="568" t="s">
        <v>116</v>
      </c>
      <c r="AG183" s="568" t="s">
        <v>29</v>
      </c>
      <c r="AH183" s="356" t="s">
        <v>376</v>
      </c>
      <c r="AI183" s="499">
        <f>30900</f>
        <v>30900</v>
      </c>
      <c r="AJ183" s="541">
        <v>0</v>
      </c>
      <c r="AK183" s="541">
        <v>0</v>
      </c>
      <c r="AL183" s="525"/>
      <c r="AM183" s="21" t="s">
        <v>116</v>
      </c>
      <c r="AN183" s="680" t="s">
        <v>709</v>
      </c>
      <c r="AO183" s="601"/>
      <c r="AP183" s="572"/>
      <c r="AQ183" s="572"/>
      <c r="AR183" s="572"/>
      <c r="AS183" s="538">
        <f>IF(Table157[[#This Row],[PCTS Approved]]="N",0,Table157[[#This Row],[Investment Amount (1'#'#'#'#'#)]]+Table157[[#This Row],[Retirement Amount (3'#'#'#'#'#)]])</f>
        <v>0</v>
      </c>
      <c r="AT183" s="538">
        <f>IF(Table157[[#This Row],[Approved Construction Cost]]=0,0,Table157[[#This Row],[Approved Construction Cost]]-Table157[[#This Row],[Construction Cost to Bill From]])</f>
        <v>0</v>
      </c>
      <c r="AU183" s="538">
        <f>IFERROR(Table157[[#This Row],[Difference in Construction Cost]]*Table157[[#This Row],[Rate]],Table157[[#This Row],[Difference in Construction Cost]]*0.085)</f>
        <v>0</v>
      </c>
      <c r="AV183" s="572"/>
      <c r="AW183" s="639"/>
      <c r="AX183" s="538"/>
      <c r="AY183" s="637" t="s">
        <v>709</v>
      </c>
      <c r="AZ183" s="443">
        <v>163</v>
      </c>
      <c r="BA183" s="334" t="s">
        <v>2</v>
      </c>
      <c r="BB183" s="643" t="s">
        <v>1795</v>
      </c>
      <c r="BC183" s="644" t="s">
        <v>1796</v>
      </c>
      <c r="BD183" s="479" t="s">
        <v>250</v>
      </c>
      <c r="BE183" s="554" t="s">
        <v>882</v>
      </c>
      <c r="BF183" s="588" t="s">
        <v>1791</v>
      </c>
      <c r="BG183" s="588" t="s">
        <v>115</v>
      </c>
      <c r="BH183" s="483" t="s">
        <v>1496</v>
      </c>
      <c r="BI183" s="487" t="s">
        <v>1797</v>
      </c>
      <c r="BJ183" s="511" t="s">
        <v>709</v>
      </c>
      <c r="BK183" s="546" t="s">
        <v>1798</v>
      </c>
      <c r="BL183" s="546" t="s">
        <v>709</v>
      </c>
      <c r="BM183" s="546" t="s">
        <v>116</v>
      </c>
      <c r="BN183" s="546" t="s">
        <v>709</v>
      </c>
      <c r="BO183" s="546" t="s">
        <v>709</v>
      </c>
      <c r="BP183" s="546" t="s">
        <v>709</v>
      </c>
      <c r="BQ183" s="622" t="s">
        <v>709</v>
      </c>
      <c r="BR183" s="622">
        <f>40+1</f>
        <v>41</v>
      </c>
      <c r="BS183" s="623">
        <f>216+1317+4</f>
        <v>1537</v>
      </c>
      <c r="BT183" s="623">
        <v>11</v>
      </c>
      <c r="BU183" s="546" t="s">
        <v>745</v>
      </c>
      <c r="BV183" s="546" t="s">
        <v>709</v>
      </c>
      <c r="BW183" s="546" t="s">
        <v>745</v>
      </c>
      <c r="BX183" s="546">
        <v>1</v>
      </c>
      <c r="BY183" s="546" t="s">
        <v>745</v>
      </c>
      <c r="BZ183" s="546" t="s">
        <v>745</v>
      </c>
      <c r="CA183" s="506" t="s">
        <v>1799</v>
      </c>
    </row>
    <row r="184" spans="1:79" ht="15" hidden="1" customHeight="1" x14ac:dyDescent="0.25">
      <c r="A184" s="8" t="s">
        <v>800</v>
      </c>
      <c r="B184" s="8" t="s">
        <v>4</v>
      </c>
      <c r="C184" s="8" t="s">
        <v>1800</v>
      </c>
      <c r="D184" s="721" t="s">
        <v>1801</v>
      </c>
      <c r="E184" s="721" t="s">
        <v>1032</v>
      </c>
      <c r="F184" s="721" t="s">
        <v>1102</v>
      </c>
      <c r="G184" s="721" t="s">
        <v>31</v>
      </c>
      <c r="H184" s="721" t="s">
        <v>413</v>
      </c>
      <c r="I184" s="722">
        <v>45433</v>
      </c>
      <c r="J184" s="723"/>
      <c r="K184" s="724">
        <v>45440</v>
      </c>
      <c r="L184" s="649">
        <f>IF(ISTEXT(Table157[[#This Row],[Engineering Approved Design Date]]),Table157[[#This Row],[Date Completed]]-Table157[[#This Row],[Date Assigned to Designer]],Table157[[#This Row],[Engineering Approved Design Date]]-Table157[[#This Row],[Date Completed]])</f>
        <v>-45440</v>
      </c>
      <c r="M184" s="642"/>
      <c r="N184" s="642"/>
      <c r="O184" s="693"/>
      <c r="P184" s="221"/>
      <c r="Q184" s="74">
        <f>0.07*AA184</f>
        <v>0</v>
      </c>
      <c r="R184" s="77"/>
      <c r="X184" s="70">
        <v>0</v>
      </c>
      <c r="Y184" s="592">
        <v>0</v>
      </c>
      <c r="Z184" s="570">
        <v>0</v>
      </c>
      <c r="AA184" s="300">
        <f>Table157[[#This Row],[PCTS Retirement Amount]]+Table157[[#This Row],[PCTS Investment Amount]]</f>
        <v>0</v>
      </c>
      <c r="AB184" s="208">
        <v>45349</v>
      </c>
      <c r="AC184" s="108" t="s">
        <v>745</v>
      </c>
      <c r="AD184" s="22" t="s">
        <v>29</v>
      </c>
      <c r="AE184" s="187"/>
      <c r="AF184" s="568"/>
      <c r="AG184" s="183"/>
      <c r="AH184" s="356"/>
      <c r="AI184" s="499">
        <v>0</v>
      </c>
      <c r="AJ184" s="541">
        <v>0</v>
      </c>
      <c r="AK184" s="582">
        <v>0</v>
      </c>
      <c r="AL184" s="494" t="e">
        <f>SUM(Table157[[#This Row],[Nicor Initiated DBE]:[Staffing]])/(Table157[[#This Row],[Amount Invoiced]])</f>
        <v>#DIV/0!</v>
      </c>
      <c r="AM184" s="21" t="s">
        <v>116</v>
      </c>
      <c r="AN184" s="707" t="s">
        <v>709</v>
      </c>
      <c r="AO184" s="706"/>
      <c r="AP184" s="704">
        <v>2194970.29</v>
      </c>
      <c r="AQ184" s="706"/>
      <c r="AR184" s="704">
        <v>201506.67</v>
      </c>
      <c r="AS184" s="694">
        <f>IF(Table157[[#This Row],[PCTS Approved]]="N",0,Table157[[#This Row],[Investment Amount (1'#'#'#'#'#)]]+Table157[[#This Row],[Retirement Amount (3'#'#'#'#'#)]])</f>
        <v>0</v>
      </c>
      <c r="AT184" s="538">
        <f>IF(Table157[[#This Row],[Approved Construction Cost]]=0,0,Table157[[#This Row],[Approved Construction Cost]]-Table157[[#This Row],[Construction Cost to Bill From]])</f>
        <v>0</v>
      </c>
      <c r="AU184" s="538">
        <f>Table157[[#This Row],[Difference in Construction Cost]]*Table157[[#This Row],[Rate]]</f>
        <v>0</v>
      </c>
      <c r="AV184" s="704">
        <v>9505</v>
      </c>
      <c r="AW184" s="705"/>
      <c r="AX184" s="562"/>
      <c r="AY184" s="637"/>
      <c r="AZ184" s="443"/>
      <c r="BA184" s="334"/>
      <c r="BB184" s="695"/>
      <c r="BC184" s="669"/>
      <c r="BD184" s="696"/>
      <c r="BE184" s="697"/>
      <c r="BF184" s="698"/>
      <c r="BG184" s="698"/>
      <c r="BH184" s="699"/>
      <c r="BI184" s="487"/>
      <c r="BJ184" s="700"/>
      <c r="BK184" s="701"/>
      <c r="BL184" s="702"/>
      <c r="BM184" s="702"/>
      <c r="BN184" s="665"/>
      <c r="BO184" s="701"/>
      <c r="BP184" s="665"/>
      <c r="BQ184" s="665"/>
      <c r="BR184" s="701"/>
      <c r="BS184" s="701"/>
      <c r="BT184" s="701"/>
      <c r="BU184" s="701"/>
      <c r="BV184" s="701"/>
      <c r="BW184" s="701" t="e">
        <f>IF(DOT_Projects[[#This Row],[TDS (i.e. MOP main)]]="Y",DOT_Projects[[#This Row],[Engineering Approved Design Date]]-28,DOT_Projects[[#This Row],[Engineering Approved Design Date]]-21)</f>
        <v>#VALUE!</v>
      </c>
      <c r="BX184" s="701"/>
      <c r="BY184" s="702"/>
      <c r="BZ184" s="701"/>
      <c r="CA184" s="703"/>
    </row>
    <row r="185" spans="1:79" ht="15" hidden="1" customHeight="1" x14ac:dyDescent="0.25">
      <c r="A185" s="8" t="s">
        <v>800</v>
      </c>
      <c r="B185" s="8" t="s">
        <v>4</v>
      </c>
      <c r="C185" s="8" t="s">
        <v>1802</v>
      </c>
      <c r="D185" s="8" t="s">
        <v>1803</v>
      </c>
      <c r="E185" s="8" t="s">
        <v>1804</v>
      </c>
      <c r="F185" s="8" t="s">
        <v>851</v>
      </c>
      <c r="G185" s="8" t="s">
        <v>28</v>
      </c>
      <c r="H185" s="8" t="s">
        <v>59</v>
      </c>
      <c r="I185" s="642">
        <v>45216</v>
      </c>
      <c r="J185" s="18">
        <v>45443</v>
      </c>
      <c r="K185" s="642">
        <v>45442</v>
      </c>
      <c r="L185" s="16">
        <f>IF(ISTEXT(Table157[[#This Row],[Engineering Approved Design Date]]),Table157[[#This Row],[Date Completed]]-Table157[[#This Row],[Date Assigned to Designer]],Table157[[#This Row],[Engineering Approved Design Date]]-Table157[[#This Row],[Date Completed]])</f>
        <v>1</v>
      </c>
      <c r="M185" s="642"/>
      <c r="N185" s="642" t="s">
        <v>120</v>
      </c>
      <c r="O185" s="510">
        <v>45444</v>
      </c>
      <c r="P185" s="221" t="s">
        <v>739</v>
      </c>
      <c r="Q185" s="74">
        <f>Table157[[#This Row],[Rate]]*Table157[[#This Row],[Construction Cost to Bill From]]</f>
        <v>297748.33100000001</v>
      </c>
      <c r="R185" s="75">
        <v>0.1</v>
      </c>
      <c r="U185" s="87"/>
      <c r="V185" s="437">
        <v>7041</v>
      </c>
      <c r="W185" s="437">
        <v>0</v>
      </c>
      <c r="X185" s="24">
        <v>2529591.65</v>
      </c>
      <c r="Y185" s="551"/>
      <c r="Z185" s="552">
        <v>447891.66</v>
      </c>
      <c r="AA185" s="300">
        <f>SUM(Table157[[#This Row],[PCTS Investment Amount]:[PCTS Retirement Amount]])</f>
        <v>2977483.31</v>
      </c>
      <c r="AB185" s="207">
        <v>45433</v>
      </c>
      <c r="AC185" s="22" t="s">
        <v>116</v>
      </c>
      <c r="AD185" s="22" t="s">
        <v>29</v>
      </c>
      <c r="AE185" s="359" t="s">
        <v>116</v>
      </c>
      <c r="AF185" s="568" t="s">
        <v>116</v>
      </c>
      <c r="AG185" s="568" t="s">
        <v>376</v>
      </c>
      <c r="AH185" s="356" t="s">
        <v>376</v>
      </c>
      <c r="AI185" s="509">
        <v>0</v>
      </c>
      <c r="AJ185" s="541">
        <f>12500+7300</f>
        <v>19800</v>
      </c>
      <c r="AK185" s="541">
        <v>7092</v>
      </c>
      <c r="AL185" s="494">
        <f>SUM(Table157[[#This Row],[Nicor Initiated DBE]:[Staffing]])/(Table157[[#This Row],[Amount Invoiced]])</f>
        <v>9.0317886618145313E-2</v>
      </c>
      <c r="AM185" s="21" t="s">
        <v>116</v>
      </c>
      <c r="AN185" s="680" t="s">
        <v>709</v>
      </c>
      <c r="AO185" s="601"/>
      <c r="AP185" s="572"/>
      <c r="AQ185" s="572"/>
      <c r="AR185" s="572"/>
      <c r="AS185" s="538">
        <f>IF(Table157[[#This Row],[PCTS Approved]]="N",0,Table157[[#This Row],[Investment Amount (1'#'#'#'#'#)]]+Table157[[#This Row],[Retirement Amount (3'#'#'#'#'#)]])</f>
        <v>0</v>
      </c>
      <c r="AT185" s="538">
        <f>IF(Table157[[#This Row],[Approved Construction Cost]]=0,0,Table157[[#This Row],[Approved Construction Cost]]-Table157[[#This Row],[Construction Cost to Bill From]])</f>
        <v>0</v>
      </c>
      <c r="AU185" s="538">
        <f>IFERROR(Table157[[#This Row],[Difference in Construction Cost]]*Table157[[#This Row],[Rate]],Table157[[#This Row],[Difference in Construction Cost]]*0.085)</f>
        <v>0</v>
      </c>
      <c r="AV185" s="602"/>
      <c r="AW185" s="640"/>
      <c r="AX185" s="555"/>
      <c r="AY185" s="636" t="s">
        <v>709</v>
      </c>
      <c r="AZ185" s="443">
        <v>140</v>
      </c>
      <c r="BA185" s="334" t="s">
        <v>4</v>
      </c>
      <c r="BB185" s="643" t="s">
        <v>1805</v>
      </c>
      <c r="BC185" s="644" t="s">
        <v>1806</v>
      </c>
      <c r="BD185" s="479" t="s">
        <v>992</v>
      </c>
      <c r="BE185" s="554" t="s">
        <v>882</v>
      </c>
      <c r="BF185" s="588" t="s">
        <v>1807</v>
      </c>
      <c r="BG185" s="588" t="s">
        <v>907</v>
      </c>
      <c r="BH185" s="483" t="s">
        <v>709</v>
      </c>
      <c r="BI185" s="487" t="s">
        <v>1808</v>
      </c>
      <c r="BJ185" s="535" t="s">
        <v>709</v>
      </c>
      <c r="BK185" s="547" t="s">
        <v>709</v>
      </c>
      <c r="BL185" s="547" t="s">
        <v>709</v>
      </c>
      <c r="BM185" s="547" t="s">
        <v>116</v>
      </c>
      <c r="BN185" s="547" t="s">
        <v>709</v>
      </c>
      <c r="BO185" s="547" t="s">
        <v>709</v>
      </c>
      <c r="BP185" s="547" t="s">
        <v>709</v>
      </c>
      <c r="BQ185" s="626">
        <v>6395</v>
      </c>
      <c r="BR185" s="626" t="s">
        <v>709</v>
      </c>
      <c r="BS185" s="549">
        <v>209</v>
      </c>
      <c r="BT185" s="549">
        <v>437</v>
      </c>
      <c r="BU185" s="547" t="s">
        <v>709</v>
      </c>
      <c r="BV185" s="547" t="s">
        <v>709</v>
      </c>
      <c r="BW185" s="547" t="s">
        <v>709</v>
      </c>
      <c r="BX185" s="547" t="s">
        <v>709</v>
      </c>
      <c r="BY185" s="547" t="s">
        <v>709</v>
      </c>
      <c r="BZ185" s="547" t="s">
        <v>709</v>
      </c>
      <c r="CA185" s="483"/>
    </row>
    <row r="186" spans="1:79" ht="15" hidden="1" customHeight="1" x14ac:dyDescent="0.25">
      <c r="A186" s="8" t="s">
        <v>800</v>
      </c>
      <c r="B186" s="8" t="s">
        <v>771</v>
      </c>
      <c r="C186" s="8" t="s">
        <v>1809</v>
      </c>
      <c r="D186" s="656" t="s">
        <v>1810</v>
      </c>
      <c r="E186" s="8" t="s">
        <v>149</v>
      </c>
      <c r="F186" s="8" t="s">
        <v>784</v>
      </c>
      <c r="G186" s="8" t="s">
        <v>34</v>
      </c>
      <c r="H186" s="8" t="s">
        <v>59</v>
      </c>
      <c r="I186" s="642">
        <v>45216</v>
      </c>
      <c r="J186" s="18">
        <v>45450</v>
      </c>
      <c r="K186" s="97">
        <v>45446</v>
      </c>
      <c r="L186" s="16">
        <f>IF(ISTEXT(Table157[[#This Row],[Engineering Approved Design Date]]),Table157[[#This Row],[Date Completed]]-Table157[[#This Row],[Date Assigned to Designer]],Table157[[#This Row],[Engineering Approved Design Date]]-Table157[[#This Row],[Date Completed]])</f>
        <v>4</v>
      </c>
      <c r="M186" s="642"/>
      <c r="N186" s="642" t="s">
        <v>120</v>
      </c>
      <c r="O186" s="510">
        <v>45444</v>
      </c>
      <c r="P186" s="221" t="s">
        <v>120</v>
      </c>
      <c r="Q186" s="74">
        <f>Table157[[#This Row],[Rate]]*Table157[[#This Row],[Construction Cost to Bill From]]</f>
        <v>278927.18040000001</v>
      </c>
      <c r="R186" s="75">
        <v>0.04</v>
      </c>
      <c r="U186" s="87"/>
      <c r="V186" s="437">
        <v>27260</v>
      </c>
      <c r="W186" s="437">
        <v>0</v>
      </c>
      <c r="X186" s="24">
        <v>6755557.0300000003</v>
      </c>
      <c r="Y186" s="551"/>
      <c r="Z186" s="552">
        <v>217622.48</v>
      </c>
      <c r="AA186" s="300">
        <f>SUM(Table157[[#This Row],[PCTS Investment Amount]:[PCTS Retirement Amount]])</f>
        <v>6973179.5100000007</v>
      </c>
      <c r="AB186" s="207">
        <v>45448</v>
      </c>
      <c r="AC186" s="22" t="s">
        <v>116</v>
      </c>
      <c r="AD186" s="22" t="s">
        <v>29</v>
      </c>
      <c r="AE186" s="359" t="s">
        <v>116</v>
      </c>
      <c r="AF186" s="568" t="s">
        <v>116</v>
      </c>
      <c r="AG186" s="568" t="s">
        <v>116</v>
      </c>
      <c r="AH186" s="356" t="s">
        <v>376</v>
      </c>
      <c r="AI186" s="529">
        <v>65810</v>
      </c>
      <c r="AJ186" s="541"/>
      <c r="AK186" s="541">
        <v>6175.5</v>
      </c>
      <c r="AL186" s="494">
        <f>SUM(Table157[[#This Row],[Nicor Initiated DBE]:[Staffing]])/(Table157[[#This Row],[Amount Invoiced]])</f>
        <v>0.25807990421287746</v>
      </c>
      <c r="AM186" s="21" t="s">
        <v>116</v>
      </c>
      <c r="AN186" s="680" t="s">
        <v>709</v>
      </c>
      <c r="AO186" s="601"/>
      <c r="AP186" s="572"/>
      <c r="AQ186" s="572"/>
      <c r="AR186" s="572"/>
      <c r="AS186" s="538">
        <f>IF(Table157[[#This Row],[PCTS Approved]]="N",0,Table157[[#This Row],[Investment Amount (1'#'#'#'#'#)]]+Table157[[#This Row],[Retirement Amount (3'#'#'#'#'#)]])</f>
        <v>0</v>
      </c>
      <c r="AT186" s="538">
        <f>IF(Table157[[#This Row],[Approved Construction Cost]]=0,0,Table157[[#This Row],[Approved Construction Cost]]-Table157[[#This Row],[Construction Cost to Bill From]])</f>
        <v>0</v>
      </c>
      <c r="AU186" s="538">
        <f>IFERROR(Table157[[#This Row],[Difference in Construction Cost]]*Table157[[#This Row],[Rate]],Table157[[#This Row],[Difference in Construction Cost]]*0.085)</f>
        <v>0</v>
      </c>
      <c r="AV186" s="602"/>
      <c r="AW186" s="640"/>
      <c r="AX186" s="555"/>
      <c r="AY186" s="636" t="s">
        <v>709</v>
      </c>
      <c r="AZ186" s="443">
        <v>4</v>
      </c>
      <c r="BA186" s="334" t="s">
        <v>3</v>
      </c>
      <c r="BB186" s="643" t="s">
        <v>1811</v>
      </c>
      <c r="BC186" s="644" t="s">
        <v>1812</v>
      </c>
      <c r="BD186" s="479" t="s">
        <v>116</v>
      </c>
      <c r="BE186" s="554" t="s">
        <v>115</v>
      </c>
      <c r="BF186" s="588" t="s">
        <v>1813</v>
      </c>
      <c r="BG186" s="588" t="s">
        <v>115</v>
      </c>
      <c r="BH186" s="483" t="s">
        <v>1814</v>
      </c>
      <c r="BI186" s="487" t="s">
        <v>1815</v>
      </c>
      <c r="BJ186" s="535" t="s">
        <v>709</v>
      </c>
      <c r="BK186" s="549" t="s">
        <v>709</v>
      </c>
      <c r="BL186" s="547" t="s">
        <v>709</v>
      </c>
      <c r="BM186" s="547" t="s">
        <v>116</v>
      </c>
      <c r="BN186" s="626" t="s">
        <v>709</v>
      </c>
      <c r="BO186" s="549" t="s">
        <v>709</v>
      </c>
      <c r="BP186" s="626" t="s">
        <v>709</v>
      </c>
      <c r="BQ186" s="626" t="s">
        <v>709</v>
      </c>
      <c r="BR186" s="549" t="s">
        <v>709</v>
      </c>
      <c r="BS186" s="549" t="s">
        <v>116</v>
      </c>
      <c r="BT186" s="549" t="s">
        <v>116</v>
      </c>
      <c r="BU186" s="549" t="s">
        <v>709</v>
      </c>
      <c r="BV186" s="549" t="s">
        <v>709</v>
      </c>
      <c r="BW186" s="549" t="s">
        <v>709</v>
      </c>
      <c r="BX186" s="549" t="s">
        <v>709</v>
      </c>
      <c r="BY186" s="547" t="s">
        <v>709</v>
      </c>
      <c r="BZ186" s="549" t="s">
        <v>709</v>
      </c>
      <c r="CA186" s="483"/>
    </row>
    <row r="187" spans="1:79" ht="15" hidden="1" customHeight="1" x14ac:dyDescent="0.25">
      <c r="A187" s="8" t="s">
        <v>800</v>
      </c>
      <c r="B187" s="8" t="s">
        <v>4</v>
      </c>
      <c r="C187" s="8" t="s">
        <v>1816</v>
      </c>
      <c r="D187" s="8" t="s">
        <v>1817</v>
      </c>
      <c r="E187" s="8" t="s">
        <v>1347</v>
      </c>
      <c r="F187" s="8" t="s">
        <v>1102</v>
      </c>
      <c r="G187" s="8" t="s">
        <v>35</v>
      </c>
      <c r="H187" s="8" t="s">
        <v>59</v>
      </c>
      <c r="I187" s="642">
        <v>45352</v>
      </c>
      <c r="J187" s="472">
        <v>45450</v>
      </c>
      <c r="K187" s="97">
        <v>45447</v>
      </c>
      <c r="L187" s="16">
        <f>IF(ISTEXT(Table157[[#This Row],[Engineering Approved Design Date]]),Table157[[#This Row],[Date Completed]]-Table157[[#This Row],[Date Assigned to Designer]],Table157[[#This Row],[Engineering Approved Design Date]]-Table157[[#This Row],[Date Completed]])</f>
        <v>3</v>
      </c>
      <c r="M187" s="642"/>
      <c r="N187" s="642" t="s">
        <v>120</v>
      </c>
      <c r="O187" s="510">
        <v>45444</v>
      </c>
      <c r="P187" s="221" t="s">
        <v>739</v>
      </c>
      <c r="Q187" s="74">
        <f>Table157[[#This Row],[Rate]]*Table157[[#This Row],[Construction Cost to Bill From]]</f>
        <v>55458.917000000009</v>
      </c>
      <c r="R187" s="75">
        <v>0.1</v>
      </c>
      <c r="U187" s="87"/>
      <c r="V187" s="437">
        <v>1877</v>
      </c>
      <c r="W187" s="437">
        <v>0</v>
      </c>
      <c r="X187" s="24">
        <v>449671.96</v>
      </c>
      <c r="Y187" s="551"/>
      <c r="Z187" s="552">
        <v>104917.21</v>
      </c>
      <c r="AA187" s="300">
        <f>SUM(Table157[[#This Row],[PCTS Investment Amount]:[PCTS Retirement Amount]])</f>
        <v>554589.17000000004</v>
      </c>
      <c r="AB187" s="207">
        <v>45447</v>
      </c>
      <c r="AC187" s="22" t="s">
        <v>709</v>
      </c>
      <c r="AD187" s="22" t="s">
        <v>29</v>
      </c>
      <c r="AE187" s="187" t="s">
        <v>116</v>
      </c>
      <c r="AF187" s="568" t="s">
        <v>29</v>
      </c>
      <c r="AG187" s="568" t="s">
        <v>376</v>
      </c>
      <c r="AH187" s="356" t="s">
        <v>376</v>
      </c>
      <c r="AI187" s="499">
        <v>0</v>
      </c>
      <c r="AJ187" s="541">
        <v>4100</v>
      </c>
      <c r="AK187" s="541">
        <v>8442.5</v>
      </c>
      <c r="AL187" s="494">
        <f>SUM(Table157[[#This Row],[Nicor Initiated DBE]:[Staffing]])/(Table157[[#This Row],[Amount Invoiced]])</f>
        <v>0.22615840118190547</v>
      </c>
      <c r="AM187" s="21" t="s">
        <v>116</v>
      </c>
      <c r="AN187" s="680" t="s">
        <v>709</v>
      </c>
      <c r="AO187" s="601"/>
      <c r="AP187" s="572"/>
      <c r="AQ187" s="572"/>
      <c r="AR187" s="572"/>
      <c r="AS187" s="538">
        <f>IF(Table157[[#This Row],[PCTS Approved]]="N",0,Table157[[#This Row],[Investment Amount (1'#'#'#'#'#)]]+Table157[[#This Row],[Retirement Amount (3'#'#'#'#'#)]])</f>
        <v>0</v>
      </c>
      <c r="AT187" s="538">
        <f>IF(Table157[[#This Row],[Approved Construction Cost]]=0,0,Table157[[#This Row],[Approved Construction Cost]]-Table157[[#This Row],[Construction Cost to Bill From]])</f>
        <v>0</v>
      </c>
      <c r="AU187" s="538">
        <f>IFERROR(Table157[[#This Row],[Difference in Construction Cost]]*Table157[[#This Row],[Rate]],Table157[[#This Row],[Difference in Construction Cost]]*0.085)</f>
        <v>0</v>
      </c>
      <c r="AV187" s="602"/>
      <c r="AW187" s="640"/>
      <c r="AX187" s="555"/>
      <c r="AY187" s="636" t="s">
        <v>709</v>
      </c>
      <c r="AZ187" s="443">
        <v>141</v>
      </c>
      <c r="BA187" s="334" t="s">
        <v>4</v>
      </c>
      <c r="BB187" s="643" t="s">
        <v>1818</v>
      </c>
      <c r="BC187" s="644" t="s">
        <v>1819</v>
      </c>
      <c r="BD187" s="479" t="s">
        <v>709</v>
      </c>
      <c r="BE187" s="554" t="s">
        <v>709</v>
      </c>
      <c r="BF187" s="588" t="s">
        <v>1819</v>
      </c>
      <c r="BG187" s="588" t="s">
        <v>709</v>
      </c>
      <c r="BH187" s="483" t="s">
        <v>29</v>
      </c>
      <c r="BI187" s="487" t="s">
        <v>1820</v>
      </c>
      <c r="BJ187" s="535" t="s">
        <v>709</v>
      </c>
      <c r="BK187" s="547" t="s">
        <v>709</v>
      </c>
      <c r="BL187" s="547" t="s">
        <v>709</v>
      </c>
      <c r="BM187" s="547" t="s">
        <v>116</v>
      </c>
      <c r="BN187" s="547" t="s">
        <v>709</v>
      </c>
      <c r="BO187" s="547" t="s">
        <v>709</v>
      </c>
      <c r="BP187" s="547" t="s">
        <v>709</v>
      </c>
      <c r="BQ187" s="626" t="s">
        <v>709</v>
      </c>
      <c r="BR187" s="626" t="s">
        <v>709</v>
      </c>
      <c r="BS187" s="549" t="s">
        <v>709</v>
      </c>
      <c r="BT187" s="549">
        <v>1877</v>
      </c>
      <c r="BU187" s="547" t="s">
        <v>745</v>
      </c>
      <c r="BV187" s="547" t="s">
        <v>709</v>
      </c>
      <c r="BW187" s="547" t="s">
        <v>745</v>
      </c>
      <c r="BX187" s="547" t="s">
        <v>709</v>
      </c>
      <c r="BY187" s="547" t="s">
        <v>745</v>
      </c>
      <c r="BZ187" s="547" t="s">
        <v>745</v>
      </c>
      <c r="CA187" s="483"/>
    </row>
    <row r="188" spans="1:79" ht="15" hidden="1" customHeight="1" x14ac:dyDescent="0.25">
      <c r="A188" s="8">
        <v>2024</v>
      </c>
      <c r="B188" s="8" t="s">
        <v>4</v>
      </c>
      <c r="C188" s="8" t="s">
        <v>1821</v>
      </c>
      <c r="D188" s="8" t="s">
        <v>1822</v>
      </c>
      <c r="E188" s="8" t="s">
        <v>1154</v>
      </c>
      <c r="F188" s="8" t="s">
        <v>1102</v>
      </c>
      <c r="G188" s="8" t="s">
        <v>26</v>
      </c>
      <c r="H188" s="8" t="s">
        <v>59</v>
      </c>
      <c r="I188" s="642">
        <v>45348</v>
      </c>
      <c r="J188" s="472">
        <v>45457</v>
      </c>
      <c r="K188" s="97">
        <v>45448</v>
      </c>
      <c r="L188" s="16">
        <f>IF(ISTEXT(Table157[[#This Row],[Engineering Approved Design Date]]),Table157[[#This Row],[Date Completed]]-Table157[[#This Row],[Date Assigned to Designer]],Table157[[#This Row],[Engineering Approved Design Date]]-Table157[[#This Row],[Date Completed]])</f>
        <v>9</v>
      </c>
      <c r="M188" s="16">
        <f>IF(ISTEXT(Table157[[#This Row],[Engineering Approved Design Date]]),Table157[[#This Row],[Date Completed]]-Table157[[#This Row],[Date Assigned to Designer]],Table157[[#This Row],[Engineering Approved Design Date]]-Table157[[#This Row],[Date Completed]])</f>
        <v>9</v>
      </c>
      <c r="N188" s="642" t="s">
        <v>120</v>
      </c>
      <c r="O188" s="510">
        <v>45444</v>
      </c>
      <c r="P188" s="221" t="s">
        <v>739</v>
      </c>
      <c r="Q188" s="74">
        <f>Table157[[#This Row],[Rate]]*Table157[[#This Row],[Construction Cost to Bill From]]</f>
        <v>45482.546000000002</v>
      </c>
      <c r="R188" s="75">
        <v>0.1</v>
      </c>
      <c r="U188" s="87"/>
      <c r="V188" s="437">
        <v>1529</v>
      </c>
      <c r="W188" s="437">
        <v>0</v>
      </c>
      <c r="X188" s="24">
        <v>401411.53</v>
      </c>
      <c r="Y188" s="551"/>
      <c r="Z188" s="552">
        <v>53413.93</v>
      </c>
      <c r="AA188" s="300">
        <f>SUM(Table157[[#This Row],[PCTS Investment Amount]:[PCTS Retirement Amount]])</f>
        <v>454825.46</v>
      </c>
      <c r="AB188" s="207">
        <v>45422</v>
      </c>
      <c r="AC188" s="22" t="s">
        <v>709</v>
      </c>
      <c r="AD188" s="22" t="s">
        <v>29</v>
      </c>
      <c r="AE188" s="359" t="s">
        <v>116</v>
      </c>
      <c r="AF188" s="569" t="s">
        <v>116</v>
      </c>
      <c r="AG188" s="569" t="s">
        <v>116</v>
      </c>
      <c r="AH188" s="356" t="s">
        <v>376</v>
      </c>
      <c r="AI188" s="499"/>
      <c r="AJ188" s="541">
        <v>4200</v>
      </c>
      <c r="AK188" s="541">
        <v>8015.75</v>
      </c>
      <c r="AL188" s="494">
        <f>SUM(Table157[[#This Row],[Nicor Initiated DBE]:[Staffing]])/(Table157[[#This Row],[Amount Invoiced]])</f>
        <v>0.26858105084970396</v>
      </c>
      <c r="AM188" s="21" t="s">
        <v>116</v>
      </c>
      <c r="AN188" s="680" t="s">
        <v>709</v>
      </c>
      <c r="AO188" s="601"/>
      <c r="AP188" s="572"/>
      <c r="AQ188" s="572"/>
      <c r="AR188" s="572"/>
      <c r="AS188" s="538">
        <f>IF(Table157[[#This Row],[PCTS Approved]]="N",0,Table157[[#This Row],[Investment Amount (1'#'#'#'#'#)]]+Table157[[#This Row],[Retirement Amount (3'#'#'#'#'#)]])</f>
        <v>0</v>
      </c>
      <c r="AT188" s="538">
        <f>IF(Table157[[#This Row],[Approved Construction Cost]]=0,0,Table157[[#This Row],[Approved Construction Cost]]-Table157[[#This Row],[Construction Cost to Bill From]])</f>
        <v>0</v>
      </c>
      <c r="AU188" s="538">
        <f>IFERROR(Table157[[#This Row],[Difference in Construction Cost]]*Table157[[#This Row],[Rate]],Table157[[#This Row],[Difference in Construction Cost]]*0.085)</f>
        <v>0</v>
      </c>
      <c r="AV188" s="602"/>
      <c r="AW188" s="640"/>
      <c r="AX188" s="555"/>
      <c r="AY188" s="636" t="s">
        <v>709</v>
      </c>
      <c r="AZ188" s="443">
        <v>143</v>
      </c>
      <c r="BA188" s="334" t="s">
        <v>4</v>
      </c>
      <c r="BB188" s="643" t="s">
        <v>1823</v>
      </c>
      <c r="BC188" s="644" t="s">
        <v>1092</v>
      </c>
      <c r="BD188" s="479" t="s">
        <v>877</v>
      </c>
      <c r="BE188" s="554" t="s">
        <v>709</v>
      </c>
      <c r="BF188" s="588" t="s">
        <v>709</v>
      </c>
      <c r="BG188" s="588" t="s">
        <v>1381</v>
      </c>
      <c r="BH188" s="483" t="s">
        <v>709</v>
      </c>
      <c r="BI188" s="487" t="s">
        <v>1824</v>
      </c>
      <c r="BJ188" s="535" t="s">
        <v>709</v>
      </c>
      <c r="BK188" s="547" t="s">
        <v>709</v>
      </c>
      <c r="BL188" s="547" t="s">
        <v>709</v>
      </c>
      <c r="BM188" s="547" t="s">
        <v>116</v>
      </c>
      <c r="BN188" s="547" t="s">
        <v>709</v>
      </c>
      <c r="BO188" s="547" t="s">
        <v>709</v>
      </c>
      <c r="BP188" s="547" t="s">
        <v>709</v>
      </c>
      <c r="BQ188" s="547" t="s">
        <v>709</v>
      </c>
      <c r="BR188" s="547" t="s">
        <v>709</v>
      </c>
      <c r="BS188" s="549">
        <v>273</v>
      </c>
      <c r="BT188" s="549">
        <v>1256</v>
      </c>
      <c r="BU188" s="547" t="s">
        <v>709</v>
      </c>
      <c r="BV188" s="547" t="s">
        <v>709</v>
      </c>
      <c r="BW188" s="547" t="s">
        <v>709</v>
      </c>
      <c r="BX188" s="547" t="s">
        <v>709</v>
      </c>
      <c r="BY188" s="547" t="s">
        <v>709</v>
      </c>
      <c r="BZ188" s="547" t="s">
        <v>709</v>
      </c>
      <c r="CA188" s="483"/>
    </row>
    <row r="189" spans="1:79" ht="15" hidden="1" customHeight="1" x14ac:dyDescent="0.25">
      <c r="A189" s="8" t="s">
        <v>800</v>
      </c>
      <c r="B189" s="8" t="s">
        <v>4</v>
      </c>
      <c r="C189" s="8" t="s">
        <v>1825</v>
      </c>
      <c r="D189" s="8" t="s">
        <v>1826</v>
      </c>
      <c r="E189" s="8" t="s">
        <v>1827</v>
      </c>
      <c r="F189" s="8" t="s">
        <v>1102</v>
      </c>
      <c r="G189" s="8" t="s">
        <v>35</v>
      </c>
      <c r="H189" s="8" t="s">
        <v>59</v>
      </c>
      <c r="I189" s="642">
        <v>45369</v>
      </c>
      <c r="J189" s="472">
        <v>45450</v>
      </c>
      <c r="K189" s="97">
        <v>45449</v>
      </c>
      <c r="L189" s="16">
        <f>IF(ISTEXT(Table157[[#This Row],[Engineering Approved Design Date]]),Table157[[#This Row],[Date Completed]]-Table157[[#This Row],[Date Assigned to Designer]],Table157[[#This Row],[Engineering Approved Design Date]]-Table157[[#This Row],[Date Completed]])</f>
        <v>1</v>
      </c>
      <c r="M189" s="642"/>
      <c r="N189" s="642" t="s">
        <v>120</v>
      </c>
      <c r="O189" s="510">
        <v>45444</v>
      </c>
      <c r="P189" s="221" t="s">
        <v>739</v>
      </c>
      <c r="Q189" s="74">
        <f>Table157[[#This Row],[Rate]]*Table157[[#This Row],[Construction Cost to Bill From]]</f>
        <v>77953.919000000009</v>
      </c>
      <c r="R189" s="75">
        <v>0.1</v>
      </c>
      <c r="U189" s="87"/>
      <c r="V189" s="437">
        <v>4962</v>
      </c>
      <c r="W189" s="437">
        <v>0</v>
      </c>
      <c r="X189" s="24">
        <v>642426.15</v>
      </c>
      <c r="Y189" s="551"/>
      <c r="Z189" s="552">
        <v>137113.04</v>
      </c>
      <c r="AA189" s="300">
        <f>SUM(Table157[[#This Row],[PCTS Investment Amount]:[PCTS Retirement Amount]])</f>
        <v>779539.19000000006</v>
      </c>
      <c r="AB189" s="207">
        <v>45447</v>
      </c>
      <c r="AC189" s="22" t="s">
        <v>709</v>
      </c>
      <c r="AD189" s="22" t="s">
        <v>29</v>
      </c>
      <c r="AE189" s="187" t="s">
        <v>116</v>
      </c>
      <c r="AF189" s="568" t="s">
        <v>116</v>
      </c>
      <c r="AG189" s="568" t="s">
        <v>376</v>
      </c>
      <c r="AH189" s="356" t="s">
        <v>376</v>
      </c>
      <c r="AI189" s="499">
        <v>0</v>
      </c>
      <c r="AJ189" s="541">
        <v>5525</v>
      </c>
      <c r="AK189" s="541">
        <v>7000</v>
      </c>
      <c r="AL189" s="494">
        <f>SUM(Table157[[#This Row],[Nicor Initiated DBE]:[Staffing]])/(Table157[[#This Row],[Amount Invoiced]])</f>
        <v>0.16067184511916582</v>
      </c>
      <c r="AM189" s="21" t="s">
        <v>116</v>
      </c>
      <c r="AN189" s="680" t="s">
        <v>709</v>
      </c>
      <c r="AO189" s="601"/>
      <c r="AP189" s="572"/>
      <c r="AQ189" s="572"/>
      <c r="AR189" s="572"/>
      <c r="AS189" s="538">
        <f>IF(Table157[[#This Row],[PCTS Approved]]="N",0,Table157[[#This Row],[Investment Amount (1'#'#'#'#'#)]]+Table157[[#This Row],[Retirement Amount (3'#'#'#'#'#)]])</f>
        <v>0</v>
      </c>
      <c r="AT189" s="538">
        <f>IF(Table157[[#This Row],[Approved Construction Cost]]=0,0,Table157[[#This Row],[Approved Construction Cost]]-Table157[[#This Row],[Construction Cost to Bill From]])</f>
        <v>0</v>
      </c>
      <c r="AU189" s="538">
        <f>IFERROR(Table157[[#This Row],[Difference in Construction Cost]]*Table157[[#This Row],[Rate]],Table157[[#This Row],[Difference in Construction Cost]]*0.085)</f>
        <v>0</v>
      </c>
      <c r="AV189" s="602"/>
      <c r="AW189" s="640"/>
      <c r="AX189" s="555"/>
      <c r="AY189" s="636" t="s">
        <v>709</v>
      </c>
      <c r="AZ189" s="443">
        <v>144</v>
      </c>
      <c r="BA189" s="334" t="s">
        <v>4</v>
      </c>
      <c r="BB189" s="643" t="s">
        <v>1828</v>
      </c>
      <c r="BC189" s="644" t="s">
        <v>1829</v>
      </c>
      <c r="BD189" s="479" t="s">
        <v>709</v>
      </c>
      <c r="BE189" s="554" t="s">
        <v>757</v>
      </c>
      <c r="BF189" s="588" t="s">
        <v>1830</v>
      </c>
      <c r="BG189" s="588" t="s">
        <v>709</v>
      </c>
      <c r="BH189" s="483" t="s">
        <v>709</v>
      </c>
      <c r="BI189" s="487" t="s">
        <v>1831</v>
      </c>
      <c r="BJ189" s="535" t="s">
        <v>709</v>
      </c>
      <c r="BK189" s="547" t="s">
        <v>709</v>
      </c>
      <c r="BL189" s="547" t="s">
        <v>709</v>
      </c>
      <c r="BM189" s="547" t="s">
        <v>116</v>
      </c>
      <c r="BN189" s="547" t="s">
        <v>709</v>
      </c>
      <c r="BO189" s="547" t="s">
        <v>709</v>
      </c>
      <c r="BP189" s="547" t="s">
        <v>709</v>
      </c>
      <c r="BQ189" s="626" t="s">
        <v>709</v>
      </c>
      <c r="BR189" s="626" t="s">
        <v>709</v>
      </c>
      <c r="BS189" s="549" t="s">
        <v>116</v>
      </c>
      <c r="BT189" s="549" t="s">
        <v>709</v>
      </c>
      <c r="BU189" s="547" t="s">
        <v>709</v>
      </c>
      <c r="BV189" s="547" t="s">
        <v>709</v>
      </c>
      <c r="BW189" s="547" t="s">
        <v>709</v>
      </c>
      <c r="BX189" s="547" t="s">
        <v>709</v>
      </c>
      <c r="BY189" s="547" t="s">
        <v>709</v>
      </c>
      <c r="BZ189" s="547" t="s">
        <v>709</v>
      </c>
      <c r="CA189" s="483" t="s">
        <v>29</v>
      </c>
    </row>
    <row r="190" spans="1:79" ht="15" hidden="1" customHeight="1" x14ac:dyDescent="0.25">
      <c r="A190" s="8" t="s">
        <v>800</v>
      </c>
      <c r="B190" s="8" t="s">
        <v>4</v>
      </c>
      <c r="C190" s="8" t="s">
        <v>1832</v>
      </c>
      <c r="D190" s="8" t="s">
        <v>1833</v>
      </c>
      <c r="E190" s="8" t="s">
        <v>1149</v>
      </c>
      <c r="F190" s="8" t="s">
        <v>851</v>
      </c>
      <c r="G190" s="8" t="s">
        <v>27</v>
      </c>
      <c r="H190" s="8" t="s">
        <v>59</v>
      </c>
      <c r="I190" s="642">
        <v>45335</v>
      </c>
      <c r="J190" s="472">
        <v>45464</v>
      </c>
      <c r="K190" s="97">
        <v>45454</v>
      </c>
      <c r="L190" s="16">
        <f>IF(ISTEXT(Table157[[#This Row],[Engineering Approved Design Date]]),Table157[[#This Row],[Date Completed]]-Table157[[#This Row],[Date Assigned to Designer]],Table157[[#This Row],[Engineering Approved Design Date]]-Table157[[#This Row],[Date Completed]])</f>
        <v>10</v>
      </c>
      <c r="M190" s="642"/>
      <c r="N190" s="642" t="s">
        <v>120</v>
      </c>
      <c r="O190" s="510">
        <v>45444</v>
      </c>
      <c r="P190" s="221" t="s">
        <v>739</v>
      </c>
      <c r="Q190" s="74">
        <f>Table157[[#This Row],[Rate]]*Table157[[#This Row],[Construction Cost to Bill From]]</f>
        <v>11886.872000000001</v>
      </c>
      <c r="R190" s="75">
        <v>0.1</v>
      </c>
      <c r="U190" s="87"/>
      <c r="V190" s="437">
        <v>58</v>
      </c>
      <c r="W190" s="437">
        <v>0</v>
      </c>
      <c r="X190" s="24">
        <v>93888.57</v>
      </c>
      <c r="Y190" s="551"/>
      <c r="Z190" s="552">
        <v>24980.15</v>
      </c>
      <c r="AA190" s="300">
        <f>SUM(Table157[[#This Row],[PCTS Investment Amount]:[PCTS Retirement Amount]])</f>
        <v>118868.72</v>
      </c>
      <c r="AB190" s="207">
        <v>45447</v>
      </c>
      <c r="AC190" s="22" t="s">
        <v>709</v>
      </c>
      <c r="AD190" s="22" t="s">
        <v>29</v>
      </c>
      <c r="AE190" s="187" t="s">
        <v>116</v>
      </c>
      <c r="AF190" s="568" t="s">
        <v>116</v>
      </c>
      <c r="AG190" s="568" t="s">
        <v>376</v>
      </c>
      <c r="AH190" s="356" t="s">
        <v>376</v>
      </c>
      <c r="AI190" s="499">
        <v>0</v>
      </c>
      <c r="AJ190" s="541">
        <v>2400</v>
      </c>
      <c r="AK190" s="541">
        <f>2575+1075</f>
        <v>3650</v>
      </c>
      <c r="AL190" s="494">
        <f>SUM(Table157[[#This Row],[Nicor Initiated DBE]:[Staffing]])/(Table157[[#This Row],[Amount Invoiced]])</f>
        <v>0.5089648479431762</v>
      </c>
      <c r="AM190" s="21" t="s">
        <v>116</v>
      </c>
      <c r="AN190" s="680" t="s">
        <v>709</v>
      </c>
      <c r="AO190" s="601"/>
      <c r="AP190" s="572"/>
      <c r="AQ190" s="572"/>
      <c r="AR190" s="572"/>
      <c r="AS190" s="538">
        <f>IF(Table157[[#This Row],[PCTS Approved]]="N",0,Table157[[#This Row],[Investment Amount (1'#'#'#'#'#)]]+Table157[[#This Row],[Retirement Amount (3'#'#'#'#'#)]])</f>
        <v>0</v>
      </c>
      <c r="AT190" s="538">
        <f>IF(Table157[[#This Row],[Approved Construction Cost]]=0,0,Table157[[#This Row],[Approved Construction Cost]]-Table157[[#This Row],[Construction Cost to Bill From]])</f>
        <v>0</v>
      </c>
      <c r="AU190" s="538">
        <f>IFERROR(Table157[[#This Row],[Difference in Construction Cost]]*Table157[[#This Row],[Rate]],Table157[[#This Row],[Difference in Construction Cost]]*0.085)</f>
        <v>0</v>
      </c>
      <c r="AV190" s="602"/>
      <c r="AW190" s="640"/>
      <c r="AX190" s="555"/>
      <c r="AY190" s="636" t="s">
        <v>709</v>
      </c>
      <c r="AZ190" s="443">
        <v>145</v>
      </c>
      <c r="BA190" s="334" t="s">
        <v>4</v>
      </c>
      <c r="BB190" s="643" t="s">
        <v>1834</v>
      </c>
      <c r="BC190" s="644" t="s">
        <v>870</v>
      </c>
      <c r="BD190" s="479" t="s">
        <v>116</v>
      </c>
      <c r="BE190" s="554" t="s">
        <v>709</v>
      </c>
      <c r="BF190" s="588" t="s">
        <v>1835</v>
      </c>
      <c r="BG190" s="588" t="s">
        <v>1835</v>
      </c>
      <c r="BH190" s="483" t="s">
        <v>709</v>
      </c>
      <c r="BI190" s="487" t="s">
        <v>1836</v>
      </c>
      <c r="BJ190" s="535" t="s">
        <v>709</v>
      </c>
      <c r="BK190" s="547" t="s">
        <v>709</v>
      </c>
      <c r="BL190" s="547" t="s">
        <v>709</v>
      </c>
      <c r="BM190" s="547" t="s">
        <v>116</v>
      </c>
      <c r="BN190" s="547" t="s">
        <v>709</v>
      </c>
      <c r="BO190" s="547" t="s">
        <v>709</v>
      </c>
      <c r="BP190" s="547" t="s">
        <v>709</v>
      </c>
      <c r="BQ190" s="626" t="s">
        <v>709</v>
      </c>
      <c r="BR190" s="626" t="s">
        <v>709</v>
      </c>
      <c r="BS190" s="549" t="s">
        <v>709</v>
      </c>
      <c r="BT190" s="549" t="s">
        <v>116</v>
      </c>
      <c r="BU190" s="547" t="s">
        <v>709</v>
      </c>
      <c r="BV190" s="547" t="s">
        <v>709</v>
      </c>
      <c r="BW190" s="547" t="s">
        <v>709</v>
      </c>
      <c r="BX190" s="547" t="s">
        <v>709</v>
      </c>
      <c r="BY190" s="547" t="s">
        <v>709</v>
      </c>
      <c r="BZ190" s="547" t="s">
        <v>709</v>
      </c>
      <c r="CA190" s="483" t="s">
        <v>1837</v>
      </c>
    </row>
    <row r="191" spans="1:79" ht="15.75" hidden="1" customHeight="1" x14ac:dyDescent="0.25">
      <c r="A191" s="8" t="s">
        <v>800</v>
      </c>
      <c r="B191" s="8" t="s">
        <v>4</v>
      </c>
      <c r="C191" s="8" t="s">
        <v>1838</v>
      </c>
      <c r="D191" s="8" t="s">
        <v>1839</v>
      </c>
      <c r="E191" s="8" t="s">
        <v>1032</v>
      </c>
      <c r="F191" s="8" t="s">
        <v>1102</v>
      </c>
      <c r="G191" s="8" t="s">
        <v>31</v>
      </c>
      <c r="H191" s="8" t="s">
        <v>413</v>
      </c>
      <c r="I191" s="642">
        <v>45378</v>
      </c>
      <c r="J191" s="472">
        <v>45471</v>
      </c>
      <c r="K191" s="97">
        <v>45461</v>
      </c>
      <c r="L191" s="16">
        <f>IF(ISTEXT(Table157[[#This Row],[Engineering Approved Design Date]]),Table157[[#This Row],[Date Completed]]-Table157[[#This Row],[Date Assigned to Designer]],Table157[[#This Row],[Engineering Approved Design Date]]-Table157[[#This Row],[Date Completed]])</f>
        <v>10</v>
      </c>
      <c r="M191" s="642"/>
      <c r="N191" s="642" t="s">
        <v>120</v>
      </c>
      <c r="O191" s="510">
        <v>45444</v>
      </c>
      <c r="P191" s="221" t="s">
        <v>739</v>
      </c>
      <c r="Q191" s="74">
        <f>Table157[[#This Row],[Rate]]*Table157[[#This Row],[Construction Cost to Bill From]]</f>
        <v>8929.3410000000003</v>
      </c>
      <c r="R191" s="75">
        <v>0.1</v>
      </c>
      <c r="U191" s="87"/>
      <c r="V191" s="437">
        <v>41</v>
      </c>
      <c r="W191" s="437">
        <v>0</v>
      </c>
      <c r="X191" s="24">
        <v>63667.62</v>
      </c>
      <c r="Y191" s="551"/>
      <c r="Z191" s="552">
        <v>25625.79</v>
      </c>
      <c r="AA191" s="300">
        <f>SUM(Table157[[#This Row],[PCTS Investment Amount]:[PCTS Retirement Amount]])</f>
        <v>89293.41</v>
      </c>
      <c r="AB191" s="207">
        <v>45447</v>
      </c>
      <c r="AC191" s="22" t="s">
        <v>709</v>
      </c>
      <c r="AD191" s="22" t="s">
        <v>29</v>
      </c>
      <c r="AE191" s="187" t="s">
        <v>756</v>
      </c>
      <c r="AF191" s="568" t="s">
        <v>756</v>
      </c>
      <c r="AG191" s="568" t="s">
        <v>376</v>
      </c>
      <c r="AH191" s="356" t="s">
        <v>376</v>
      </c>
      <c r="AI191" s="499">
        <v>0</v>
      </c>
      <c r="AJ191" s="541">
        <v>2368.25</v>
      </c>
      <c r="AK191" s="541">
        <v>4483.24</v>
      </c>
      <c r="AL191" s="494">
        <f>SUM(Table157[[#This Row],[Nicor Initiated DBE]:[Staffing]])/(Table157[[#This Row],[Amount Invoiced]])</f>
        <v>0.76730074481420296</v>
      </c>
      <c r="AM191" s="21" t="s">
        <v>116</v>
      </c>
      <c r="AN191" s="680" t="s">
        <v>709</v>
      </c>
      <c r="AO191" s="681"/>
      <c r="AP191" s="682"/>
      <c r="AQ191" s="682"/>
      <c r="AR191" s="682"/>
      <c r="AS191" s="538">
        <f>IF(Table157[[#This Row],[PCTS Approved]]="N",0,Table157[[#This Row],[Investment Amount (1'#'#'#'#'#)]]+Table157[[#This Row],[Retirement Amount (3'#'#'#'#'#)]])</f>
        <v>0</v>
      </c>
      <c r="AT191" s="538">
        <f>IF(Table157[[#This Row],[Approved Construction Cost]]=0,0,Table157[[#This Row],[Approved Construction Cost]]-Table157[[#This Row],[Construction Cost to Bill From]])</f>
        <v>0</v>
      </c>
      <c r="AU191" s="538">
        <f>IFERROR(Table157[[#This Row],[Difference in Construction Cost]]*Table157[[#This Row],[Rate]],Table157[[#This Row],[Difference in Construction Cost]]*0.085)</f>
        <v>0</v>
      </c>
      <c r="AV191" s="690"/>
      <c r="AW191" s="660"/>
      <c r="AX191" s="555"/>
      <c r="AY191" s="636" t="s">
        <v>709</v>
      </c>
      <c r="AZ191" s="443">
        <v>146</v>
      </c>
      <c r="BA191" s="334" t="s">
        <v>4</v>
      </c>
      <c r="BB191" s="651" t="s">
        <v>1840</v>
      </c>
      <c r="BC191" s="644" t="s">
        <v>1035</v>
      </c>
      <c r="BD191" s="479" t="s">
        <v>709</v>
      </c>
      <c r="BE191" s="554" t="s">
        <v>709</v>
      </c>
      <c r="BF191" s="588" t="s">
        <v>1841</v>
      </c>
      <c r="BG191" s="588" t="s">
        <v>709</v>
      </c>
      <c r="BH191" s="483" t="s">
        <v>709</v>
      </c>
      <c r="BI191" s="487" t="s">
        <v>1842</v>
      </c>
      <c r="BJ191" s="535" t="s">
        <v>709</v>
      </c>
      <c r="BK191" s="547" t="s">
        <v>709</v>
      </c>
      <c r="BL191" s="547" t="s">
        <v>709</v>
      </c>
      <c r="BM191" s="547" t="s">
        <v>116</v>
      </c>
      <c r="BN191" s="547" t="s">
        <v>709</v>
      </c>
      <c r="BO191" s="547" t="s">
        <v>709</v>
      </c>
      <c r="BP191" s="547" t="s">
        <v>709</v>
      </c>
      <c r="BQ191" s="547" t="s">
        <v>709</v>
      </c>
      <c r="BR191" s="547" t="s">
        <v>709</v>
      </c>
      <c r="BS191" s="547" t="s">
        <v>709</v>
      </c>
      <c r="BT191" s="549">
        <v>41</v>
      </c>
      <c r="BU191" s="547" t="s">
        <v>745</v>
      </c>
      <c r="BV191" s="547" t="s">
        <v>745</v>
      </c>
      <c r="BW191" s="547" t="s">
        <v>745</v>
      </c>
      <c r="BX191" s="547" t="s">
        <v>745</v>
      </c>
      <c r="BY191" s="547" t="s">
        <v>745</v>
      </c>
      <c r="BZ191" s="547" t="s">
        <v>745</v>
      </c>
      <c r="CA191" s="514"/>
    </row>
    <row r="192" spans="1:79" ht="15" hidden="1" customHeight="1" x14ac:dyDescent="0.25">
      <c r="A192" s="8" t="s">
        <v>800</v>
      </c>
      <c r="B192" s="8" t="s">
        <v>4</v>
      </c>
      <c r="C192" s="8" t="s">
        <v>1843</v>
      </c>
      <c r="D192" s="8" t="s">
        <v>1844</v>
      </c>
      <c r="E192" s="8" t="s">
        <v>1845</v>
      </c>
      <c r="F192" s="8" t="s">
        <v>1102</v>
      </c>
      <c r="G192" s="8" t="s">
        <v>27</v>
      </c>
      <c r="H192" s="8" t="s">
        <v>59</v>
      </c>
      <c r="I192" s="642">
        <v>45328</v>
      </c>
      <c r="J192" s="18">
        <v>45474</v>
      </c>
      <c r="K192" s="97">
        <v>45469</v>
      </c>
      <c r="L192" s="16">
        <f>IF(ISTEXT(Table157[[#This Row],[Engineering Approved Design Date]]),Table157[[#This Row],[Date Completed]]-Table157[[#This Row],[Date Assigned to Designer]],Table157[[#This Row],[Engineering Approved Design Date]]-Table157[[#This Row],[Date Completed]])</f>
        <v>5</v>
      </c>
      <c r="M192" s="642"/>
      <c r="N192" s="642" t="s">
        <v>739</v>
      </c>
      <c r="O192" s="510" t="s">
        <v>376</v>
      </c>
      <c r="P192" s="221" t="s">
        <v>739</v>
      </c>
      <c r="Q192" s="531"/>
      <c r="R192" s="75">
        <v>0.1</v>
      </c>
      <c r="U192" s="87"/>
      <c r="V192" s="437">
        <v>712</v>
      </c>
      <c r="W192" s="437">
        <v>0</v>
      </c>
      <c r="X192" s="24">
        <v>881604.73</v>
      </c>
      <c r="Y192" s="563"/>
      <c r="Z192" s="552">
        <v>45934.95</v>
      </c>
      <c r="AA192" s="300">
        <f>SUM(Table157[[#This Row],[PCTS Investment Amount]:[PCTS Retirement Amount]])</f>
        <v>927539.67999999993</v>
      </c>
      <c r="AB192" s="207">
        <v>45456</v>
      </c>
      <c r="AC192" s="22" t="s">
        <v>756</v>
      </c>
      <c r="AD192" s="22" t="s">
        <v>116</v>
      </c>
      <c r="AE192" s="187" t="s">
        <v>756</v>
      </c>
      <c r="AF192" s="568" t="s">
        <v>756</v>
      </c>
      <c r="AG192" s="568" t="s">
        <v>116</v>
      </c>
      <c r="AH192" s="374"/>
      <c r="AI192" s="498"/>
      <c r="AJ192" s="585"/>
      <c r="AK192" s="585"/>
      <c r="AL192" s="491"/>
      <c r="AM192" s="21" t="s">
        <v>116</v>
      </c>
      <c r="AN192" s="680" t="s">
        <v>709</v>
      </c>
      <c r="AO192" s="601"/>
      <c r="AP192" s="572"/>
      <c r="AQ192" s="572"/>
      <c r="AR192" s="572"/>
      <c r="AS192" s="538">
        <f>IF(Table157[[#This Row],[PCTS Approved]]="N",0,Table157[[#This Row],[Investment Amount (1'#'#'#'#'#)]]+Table157[[#This Row],[Retirement Amount (3'#'#'#'#'#)]])</f>
        <v>0</v>
      </c>
      <c r="AT192" s="538">
        <f>IF(Table157[[#This Row],[Approved Construction Cost]]=0,0,Table157[[#This Row],[Approved Construction Cost]]-Table157[[#This Row],[Construction Cost to Bill From]])</f>
        <v>0</v>
      </c>
      <c r="AU192" s="538">
        <f>IFERROR(Table157[[#This Row],[Difference in Construction Cost]]*Table157[[#This Row],[Rate]],Table157[[#This Row],[Difference in Construction Cost]]*0.085)</f>
        <v>0</v>
      </c>
      <c r="AV192" s="602"/>
      <c r="AW192" s="640"/>
      <c r="AX192" s="555"/>
      <c r="AY192" s="636" t="s">
        <v>709</v>
      </c>
      <c r="AZ192" s="443">
        <v>148</v>
      </c>
      <c r="BA192" s="334" t="s">
        <v>4</v>
      </c>
      <c r="BB192" s="643" t="s">
        <v>1846</v>
      </c>
      <c r="BC192" s="644" t="s">
        <v>870</v>
      </c>
      <c r="BD192" s="479" t="s">
        <v>877</v>
      </c>
      <c r="BE192" s="559" t="s">
        <v>882</v>
      </c>
      <c r="BF192" s="554" t="s">
        <v>1847</v>
      </c>
      <c r="BG192" s="588" t="s">
        <v>709</v>
      </c>
      <c r="BH192" s="612" t="s">
        <v>709</v>
      </c>
      <c r="BI192" s="487" t="s">
        <v>1848</v>
      </c>
      <c r="BJ192" s="618"/>
      <c r="BK192" s="619"/>
      <c r="BL192" s="619"/>
      <c r="BM192" s="619"/>
      <c r="BN192" s="619"/>
      <c r="BO192" s="619"/>
      <c r="BP192" s="619"/>
      <c r="BQ192" s="632"/>
      <c r="BR192" s="632"/>
      <c r="BS192" s="633"/>
      <c r="BT192" s="633"/>
      <c r="BU192" s="619"/>
      <c r="BV192" s="619"/>
      <c r="BW192" s="619"/>
      <c r="BX192" s="619"/>
      <c r="BY192" s="619"/>
      <c r="BZ192" s="619"/>
      <c r="CA192" s="483"/>
    </row>
    <row r="197" spans="2:40" x14ac:dyDescent="0.25">
      <c r="B197" s="677" t="s">
        <v>1849</v>
      </c>
      <c r="C197" s="678" t="s">
        <v>1850</v>
      </c>
    </row>
    <row r="198" spans="2:40" x14ac:dyDescent="0.25">
      <c r="B198" s="730" t="s">
        <v>1851</v>
      </c>
      <c r="C198" s="679"/>
      <c r="AN198" s="538"/>
    </row>
    <row r="199" spans="2:40" x14ac:dyDescent="0.25">
      <c r="B199" s="730" t="s">
        <v>1852</v>
      </c>
      <c r="C199" s="684" t="s">
        <v>1853</v>
      </c>
    </row>
    <row r="200" spans="2:40" x14ac:dyDescent="0.25">
      <c r="B200" s="730" t="s">
        <v>1854</v>
      </c>
      <c r="C200" s="684" t="s">
        <v>1855</v>
      </c>
    </row>
    <row r="201" spans="2:40" x14ac:dyDescent="0.25">
      <c r="B201" s="730" t="s">
        <v>1856</v>
      </c>
      <c r="C201" s="684" t="s">
        <v>1855</v>
      </c>
    </row>
    <row r="202" spans="2:40" x14ac:dyDescent="0.25">
      <c r="B202" s="730" t="s">
        <v>1857</v>
      </c>
      <c r="C202" s="684" t="s">
        <v>1858</v>
      </c>
    </row>
    <row r="203" spans="2:40" x14ac:dyDescent="0.25">
      <c r="B203" s="730" t="s">
        <v>1859</v>
      </c>
      <c r="C203" s="679"/>
    </row>
    <row r="204" spans="2:40" x14ac:dyDescent="0.25">
      <c r="B204" s="730" t="s">
        <v>1860</v>
      </c>
      <c r="C204" s="684" t="s">
        <v>1861</v>
      </c>
    </row>
    <row r="205" spans="2:40" x14ac:dyDescent="0.25">
      <c r="B205" s="730" t="s">
        <v>1862</v>
      </c>
      <c r="C205" s="684" t="s">
        <v>1863</v>
      </c>
    </row>
    <row r="206" spans="2:40" x14ac:dyDescent="0.25">
      <c r="B206" s="730" t="s">
        <v>1864</v>
      </c>
      <c r="C206" s="684" t="s">
        <v>1865</v>
      </c>
    </row>
    <row r="207" spans="2:40" x14ac:dyDescent="0.25">
      <c r="B207" s="730" t="s">
        <v>1866</v>
      </c>
      <c r="C207" s="684" t="s">
        <v>1867</v>
      </c>
    </row>
    <row r="208" spans="2:40" x14ac:dyDescent="0.25">
      <c r="B208" s="730" t="s">
        <v>1868</v>
      </c>
      <c r="C208" s="684" t="s">
        <v>1869</v>
      </c>
    </row>
    <row r="209" spans="2:3" x14ac:dyDescent="0.25">
      <c r="B209" s="730" t="s">
        <v>1870</v>
      </c>
      <c r="C209" s="684" t="s">
        <v>1871</v>
      </c>
    </row>
    <row r="210" spans="2:3" x14ac:dyDescent="0.25">
      <c r="B210" s="730" t="s">
        <v>1872</v>
      </c>
      <c r="C210" s="684" t="s">
        <v>1873</v>
      </c>
    </row>
    <row r="435" spans="1:79" s="555" customFormat="1" x14ac:dyDescent="0.25">
      <c r="A435"/>
      <c r="B435"/>
      <c r="C435"/>
      <c r="D435" s="447"/>
      <c r="E435"/>
      <c r="F435"/>
      <c r="G435"/>
      <c r="H435"/>
      <c r="I435"/>
      <c r="J435" s="11"/>
      <c r="K435"/>
      <c r="L435" s="16"/>
      <c r="M435" t="s">
        <v>1874</v>
      </c>
      <c r="O435" s="78"/>
      <c r="P435" s="78"/>
      <c r="Q435" s="22"/>
      <c r="R435" s="74"/>
      <c r="S435" s="24"/>
      <c r="T435" s="538"/>
      <c r="U435" s="28"/>
      <c r="V435" s="437"/>
      <c r="W435" s="437"/>
      <c r="X435" s="1"/>
      <c r="Y435" s="596"/>
      <c r="Z435" s="14"/>
      <c r="AA435" s="445"/>
      <c r="AB435" s="205"/>
      <c r="AC435" s="107"/>
      <c r="AD435" s="107"/>
      <c r="AE435" s="344"/>
      <c r="AF435" s="574"/>
      <c r="AG435" s="574"/>
      <c r="AH435" s="351"/>
      <c r="AI435" s="474"/>
      <c r="AJ435" s="566"/>
      <c r="AK435" s="566"/>
      <c r="AL435" s="351"/>
      <c r="AM435" s="359"/>
      <c r="AN435" s="18"/>
      <c r="AP435" s="14"/>
      <c r="AQ435" s="14"/>
      <c r="AR435" s="14"/>
      <c r="AS435" s="14"/>
      <c r="AT435" s="14"/>
      <c r="AU435" s="14"/>
      <c r="AV435" s="600"/>
      <c r="AW435" s="600"/>
      <c r="AX435" s="18"/>
      <c r="AY435" s="333"/>
      <c r="AZ435" s="605"/>
      <c r="BA435" s="332"/>
      <c r="BB435" s="608"/>
      <c r="BC435" s="543"/>
      <c r="BD435" s="480"/>
      <c r="BE435" s="588"/>
      <c r="BF435" s="588"/>
      <c r="BG435" s="588"/>
      <c r="BH435" s="482"/>
      <c r="BI435" s="613"/>
      <c r="BJ435" s="535"/>
      <c r="BK435" s="547"/>
      <c r="BL435" s="547"/>
      <c r="BM435" s="547"/>
      <c r="BN435" s="547"/>
      <c r="BO435" s="547"/>
      <c r="BP435" s="547"/>
      <c r="BQ435" s="547"/>
      <c r="BR435" s="547"/>
      <c r="BS435" s="547"/>
      <c r="BT435" s="547"/>
      <c r="BU435" s="547"/>
      <c r="BV435" s="547"/>
      <c r="BW435" s="547"/>
      <c r="BX435" s="547"/>
      <c r="BY435" s="547"/>
      <c r="BZ435" s="547"/>
      <c r="CA435" s="482"/>
    </row>
    <row r="460" spans="1:79" s="555" customFormat="1" x14ac:dyDescent="0.25">
      <c r="A460"/>
      <c r="B460"/>
      <c r="C460"/>
      <c r="D460" s="447"/>
      <c r="E460"/>
      <c r="F460"/>
      <c r="G460"/>
      <c r="H460"/>
      <c r="I460"/>
      <c r="J460" s="11"/>
      <c r="K460"/>
      <c r="L460" s="16"/>
      <c r="M460" t="s">
        <v>1875</v>
      </c>
      <c r="O460" s="78"/>
      <c r="P460" s="78"/>
      <c r="Q460" s="22"/>
      <c r="R460" s="74"/>
      <c r="S460" s="24"/>
      <c r="T460" s="538"/>
      <c r="U460" s="28"/>
      <c r="V460" s="437"/>
      <c r="W460" s="437"/>
      <c r="X460" s="1"/>
      <c r="Y460" s="596"/>
      <c r="Z460" s="14"/>
      <c r="AA460" s="445"/>
      <c r="AB460" s="205"/>
      <c r="AC460" s="107"/>
      <c r="AD460" s="107"/>
      <c r="AE460" s="344"/>
      <c r="AF460" s="574"/>
      <c r="AG460" s="574"/>
      <c r="AH460" s="351"/>
      <c r="AI460" s="474"/>
      <c r="AJ460" s="566"/>
      <c r="AK460" s="566"/>
      <c r="AL460" s="351"/>
      <c r="AM460" s="359"/>
      <c r="AN460" s="18"/>
      <c r="AP460" s="14"/>
      <c r="AQ460" s="14"/>
      <c r="AR460" s="14"/>
      <c r="AS460" s="14"/>
      <c r="AT460" s="14"/>
      <c r="AU460" s="14"/>
      <c r="AV460" s="600"/>
      <c r="AW460" s="600"/>
      <c r="AX460" s="18"/>
      <c r="AY460" s="333"/>
      <c r="AZ460" s="605"/>
      <c r="BA460" s="332"/>
      <c r="BB460" s="608"/>
      <c r="BC460" s="543"/>
      <c r="BD460" s="480"/>
      <c r="BE460" s="588"/>
      <c r="BF460" s="588"/>
      <c r="BG460" s="588"/>
      <c r="BH460" s="482"/>
      <c r="BI460" s="613"/>
      <c r="BJ460" s="535"/>
      <c r="BK460" s="547"/>
      <c r="BL460" s="547"/>
      <c r="BM460" s="547"/>
      <c r="BN460" s="547"/>
      <c r="BO460" s="547"/>
      <c r="BP460" s="547"/>
      <c r="BQ460" s="547"/>
      <c r="BR460" s="547"/>
      <c r="BS460" s="547"/>
      <c r="BT460" s="547"/>
      <c r="BU460" s="547"/>
      <c r="BV460" s="547"/>
      <c r="BW460" s="547"/>
      <c r="BX460" s="547"/>
      <c r="BY460" s="547"/>
      <c r="BZ460" s="547"/>
      <c r="CA460" s="482"/>
    </row>
  </sheetData>
  <mergeCells count="3">
    <mergeCell ref="BJ1:BM1"/>
    <mergeCell ref="BN1:BT1"/>
    <mergeCell ref="BU1:BZ1"/>
  </mergeCells>
  <pageMargins left="0.7" right="0.7" top="0.75" bottom="0.75" header="0.3" footer="0.3"/>
  <pageSetup orientation="portrait"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940A6-805D-46EC-833D-7D72CA064DAB}">
  <sheetPr codeName="Sheet12"/>
  <dimension ref="A1:CG1271"/>
  <sheetViews>
    <sheetView topLeftCell="A87" workbookViewId="0">
      <selection activeCell="A2" sqref="A2:XFD13"/>
    </sheetView>
  </sheetViews>
  <sheetFormatPr defaultRowHeight="15" x14ac:dyDescent="0.25"/>
  <cols>
    <col min="17" max="17" width="9.28515625" bestFit="1" customWidth="1"/>
    <col min="21" max="21" width="9.28515625" bestFit="1" customWidth="1"/>
    <col min="24" max="27" width="9.28515625" bestFit="1" customWidth="1"/>
    <col min="41" max="41" width="9.85546875" bestFit="1" customWidth="1"/>
    <col min="42" max="48" width="9.28515625" bestFit="1" customWidth="1"/>
    <col min="50" max="50" width="9.28515625" bestFit="1" customWidth="1"/>
    <col min="83" max="83" width="16" bestFit="1" customWidth="1"/>
    <col min="85" max="85" width="16" bestFit="1" customWidth="1"/>
  </cols>
  <sheetData>
    <row r="1" spans="1:83" x14ac:dyDescent="0.25">
      <c r="A1" t="s">
        <v>659</v>
      </c>
      <c r="B1" t="s">
        <v>660</v>
      </c>
      <c r="C1" t="s">
        <v>661</v>
      </c>
      <c r="D1" t="s">
        <v>662</v>
      </c>
      <c r="E1" t="s">
        <v>44</v>
      </c>
      <c r="F1" t="s">
        <v>663</v>
      </c>
      <c r="G1" t="s">
        <v>664</v>
      </c>
      <c r="H1" t="s">
        <v>665</v>
      </c>
      <c r="I1" t="s">
        <v>666</v>
      </c>
      <c r="J1" t="s">
        <v>667</v>
      </c>
      <c r="K1" t="s">
        <v>668</v>
      </c>
      <c r="L1" t="s">
        <v>669</v>
      </c>
      <c r="M1" t="s">
        <v>21</v>
      </c>
      <c r="N1" t="s">
        <v>670</v>
      </c>
      <c r="O1" t="s">
        <v>671</v>
      </c>
      <c r="P1" t="s">
        <v>1876</v>
      </c>
      <c r="Q1" t="s">
        <v>673</v>
      </c>
      <c r="R1" t="s">
        <v>674</v>
      </c>
      <c r="S1" t="s">
        <v>675</v>
      </c>
      <c r="T1" t="s">
        <v>676</v>
      </c>
      <c r="U1" t="s">
        <v>677</v>
      </c>
      <c r="V1" t="s">
        <v>678</v>
      </c>
      <c r="W1" t="s">
        <v>679</v>
      </c>
      <c r="X1" t="s">
        <v>680</v>
      </c>
      <c r="Y1" t="s">
        <v>681</v>
      </c>
      <c r="Z1" t="s">
        <v>682</v>
      </c>
      <c r="AA1" t="s">
        <v>683</v>
      </c>
      <c r="AB1" t="s">
        <v>684</v>
      </c>
      <c r="AC1" t="s">
        <v>685</v>
      </c>
      <c r="AD1" t="s">
        <v>686</v>
      </c>
      <c r="AE1" t="s">
        <v>687</v>
      </c>
      <c r="AF1" t="s">
        <v>688</v>
      </c>
      <c r="AG1" t="s">
        <v>689</v>
      </c>
      <c r="AH1" t="s">
        <v>690</v>
      </c>
      <c r="AI1" t="s">
        <v>691</v>
      </c>
      <c r="AJ1" t="s">
        <v>692</v>
      </c>
      <c r="AK1" t="s">
        <v>693</v>
      </c>
      <c r="AL1" t="s">
        <v>694</v>
      </c>
      <c r="AM1" t="s">
        <v>695</v>
      </c>
      <c r="AN1" t="s">
        <v>696</v>
      </c>
      <c r="AO1" t="s">
        <v>697</v>
      </c>
      <c r="AP1" t="s">
        <v>698</v>
      </c>
      <c r="AQ1" t="s">
        <v>699</v>
      </c>
      <c r="AR1" t="s">
        <v>700</v>
      </c>
      <c r="AS1" t="s">
        <v>701</v>
      </c>
      <c r="AT1" t="s">
        <v>702</v>
      </c>
      <c r="AU1" t="s">
        <v>703</v>
      </c>
      <c r="AV1" t="s">
        <v>704</v>
      </c>
      <c r="AW1" t="s">
        <v>705</v>
      </c>
      <c r="AX1" t="s">
        <v>706</v>
      </c>
      <c r="AY1" t="s">
        <v>707</v>
      </c>
      <c r="AZ1" t="s">
        <v>708</v>
      </c>
      <c r="BA1" t="s">
        <v>710</v>
      </c>
      <c r="BB1" t="s">
        <v>711</v>
      </c>
      <c r="BC1" t="s">
        <v>712</v>
      </c>
      <c r="BD1" t="s">
        <v>713</v>
      </c>
      <c r="BE1" t="s">
        <v>714</v>
      </c>
      <c r="BF1" t="s">
        <v>715</v>
      </c>
      <c r="BG1" t="s">
        <v>716</v>
      </c>
      <c r="BH1" t="s">
        <v>717</v>
      </c>
      <c r="BI1" t="s">
        <v>718</v>
      </c>
      <c r="BJ1" t="s">
        <v>719</v>
      </c>
      <c r="BK1" t="s">
        <v>720</v>
      </c>
      <c r="BL1" t="s">
        <v>721</v>
      </c>
      <c r="BM1" t="s">
        <v>722</v>
      </c>
      <c r="BN1" t="s">
        <v>723</v>
      </c>
      <c r="BO1" t="s">
        <v>724</v>
      </c>
      <c r="BP1" t="s">
        <v>725</v>
      </c>
      <c r="BQ1" t="s">
        <v>726</v>
      </c>
      <c r="BR1" t="s">
        <v>727</v>
      </c>
      <c r="BS1" t="s">
        <v>728</v>
      </c>
      <c r="BT1" t="s">
        <v>729</v>
      </c>
      <c r="BU1" t="s">
        <v>730</v>
      </c>
      <c r="BV1" t="s">
        <v>731</v>
      </c>
      <c r="BW1" t="s">
        <v>732</v>
      </c>
      <c r="BX1" t="s">
        <v>733</v>
      </c>
      <c r="BY1" t="s">
        <v>734</v>
      </c>
      <c r="BZ1" t="s">
        <v>1877</v>
      </c>
      <c r="CA1" t="s">
        <v>735</v>
      </c>
      <c r="CB1" t="s">
        <v>1878</v>
      </c>
      <c r="CC1" t="s">
        <v>1879</v>
      </c>
      <c r="CD1" t="s">
        <v>1880</v>
      </c>
      <c r="CE1" t="s">
        <v>1881</v>
      </c>
    </row>
    <row r="2" spans="1:83" ht="105" x14ac:dyDescent="0.25">
      <c r="A2">
        <v>2016</v>
      </c>
      <c r="B2" t="s">
        <v>759</v>
      </c>
      <c r="C2" t="s">
        <v>224</v>
      </c>
      <c r="D2" t="s">
        <v>1270</v>
      </c>
      <c r="E2" t="s">
        <v>225</v>
      </c>
      <c r="F2" t="s">
        <v>738</v>
      </c>
      <c r="G2" t="s">
        <v>1882</v>
      </c>
      <c r="H2" t="s">
        <v>59</v>
      </c>
      <c r="I2">
        <v>44425</v>
      </c>
      <c r="J2">
        <v>44712</v>
      </c>
      <c r="K2">
        <v>44694</v>
      </c>
      <c r="L2">
        <v>18</v>
      </c>
      <c r="N2" t="s">
        <v>120</v>
      </c>
      <c r="O2">
        <v>44694</v>
      </c>
      <c r="P2" t="s">
        <v>120</v>
      </c>
      <c r="Q2">
        <v>94710.559500000003</v>
      </c>
      <c r="R2" t="s">
        <v>1055</v>
      </c>
      <c r="S2" t="s">
        <v>709</v>
      </c>
      <c r="T2" t="s">
        <v>709</v>
      </c>
      <c r="U2" t="s">
        <v>709</v>
      </c>
      <c r="V2">
        <v>940</v>
      </c>
      <c r="W2">
        <v>514</v>
      </c>
      <c r="X2">
        <v>979255.57</v>
      </c>
      <c r="Z2">
        <v>73221.600000000006</v>
      </c>
      <c r="AA2">
        <v>1052477.17</v>
      </c>
      <c r="AC2" t="s">
        <v>116</v>
      </c>
      <c r="AM2" t="s">
        <v>116</v>
      </c>
      <c r="AN2" t="s">
        <v>709</v>
      </c>
      <c r="AO2">
        <v>11015976</v>
      </c>
      <c r="AS2">
        <v>0</v>
      </c>
      <c r="AT2">
        <v>0</v>
      </c>
      <c r="AU2">
        <v>0</v>
      </c>
      <c r="AY2" t="s">
        <v>709</v>
      </c>
      <c r="AZ2">
        <v>184</v>
      </c>
      <c r="BA2" t="s">
        <v>1271</v>
      </c>
      <c r="BB2" s="4" t="s">
        <v>1272</v>
      </c>
      <c r="BH2" t="s">
        <v>1273</v>
      </c>
      <c r="BI2" t="s">
        <v>709</v>
      </c>
      <c r="BJ2" t="s">
        <v>709</v>
      </c>
      <c r="BK2" t="s">
        <v>116</v>
      </c>
      <c r="BL2" t="s">
        <v>116</v>
      </c>
      <c r="BM2" t="s">
        <v>709</v>
      </c>
      <c r="BN2" t="s">
        <v>709</v>
      </c>
      <c r="BO2" t="s">
        <v>709</v>
      </c>
      <c r="BP2">
        <v>724</v>
      </c>
      <c r="BQ2">
        <v>70</v>
      </c>
      <c r="BR2">
        <v>45</v>
      </c>
      <c r="BS2">
        <v>10</v>
      </c>
      <c r="BT2">
        <v>1</v>
      </c>
      <c r="BU2" t="s">
        <v>709</v>
      </c>
      <c r="BV2" t="s">
        <v>745</v>
      </c>
      <c r="BW2">
        <v>1</v>
      </c>
      <c r="BX2" t="s">
        <v>709</v>
      </c>
      <c r="BY2" t="s">
        <v>745</v>
      </c>
      <c r="BZ2" t="s">
        <v>709</v>
      </c>
      <c r="CA2" t="s">
        <v>769</v>
      </c>
      <c r="CB2">
        <v>614</v>
      </c>
      <c r="CC2" t="b">
        <v>1</v>
      </c>
      <c r="CD2" t="s">
        <v>1883</v>
      </c>
      <c r="CE2" s="1482">
        <v>45880.699687499997</v>
      </c>
    </row>
    <row r="3" spans="1:83" x14ac:dyDescent="0.25">
      <c r="A3">
        <v>2018</v>
      </c>
      <c r="B3" t="s">
        <v>771</v>
      </c>
      <c r="C3" t="s">
        <v>1884</v>
      </c>
      <c r="D3" t="s">
        <v>1885</v>
      </c>
      <c r="E3" t="s">
        <v>272</v>
      </c>
      <c r="F3" t="s">
        <v>1886</v>
      </c>
      <c r="G3" t="s">
        <v>1887</v>
      </c>
      <c r="H3" t="s">
        <v>59</v>
      </c>
      <c r="I3">
        <v>42808</v>
      </c>
      <c r="J3">
        <v>42916</v>
      </c>
      <c r="K3">
        <v>42916</v>
      </c>
      <c r="L3">
        <v>0</v>
      </c>
      <c r="N3" t="s">
        <v>120</v>
      </c>
      <c r="O3">
        <v>43466</v>
      </c>
      <c r="P3" t="s">
        <v>120</v>
      </c>
      <c r="Q3" t="s">
        <v>115</v>
      </c>
      <c r="R3" t="s">
        <v>115</v>
      </c>
      <c r="V3">
        <v>7579</v>
      </c>
      <c r="X3" t="s">
        <v>115</v>
      </c>
      <c r="Y3" t="s">
        <v>115</v>
      </c>
      <c r="Z3" t="s">
        <v>115</v>
      </c>
      <c r="AA3" t="s">
        <v>115</v>
      </c>
      <c r="AM3" t="s">
        <v>709</v>
      </c>
      <c r="AY3" t="s">
        <v>29</v>
      </c>
      <c r="BB3" s="4"/>
      <c r="CA3" t="s">
        <v>1053</v>
      </c>
      <c r="CB3">
        <v>1</v>
      </c>
      <c r="CC3" t="b">
        <v>1</v>
      </c>
      <c r="CD3" t="s">
        <v>1888</v>
      </c>
      <c r="CE3" s="1482">
        <v>45880.731782407405</v>
      </c>
    </row>
    <row r="4" spans="1:83" x14ac:dyDescent="0.25">
      <c r="A4">
        <v>2019</v>
      </c>
      <c r="B4" t="s">
        <v>771</v>
      </c>
      <c r="C4" t="s">
        <v>1889</v>
      </c>
      <c r="D4" t="s">
        <v>1890</v>
      </c>
      <c r="E4" t="s">
        <v>141</v>
      </c>
      <c r="F4" t="s">
        <v>1891</v>
      </c>
      <c r="G4" t="s">
        <v>1887</v>
      </c>
      <c r="H4" t="s">
        <v>59</v>
      </c>
      <c r="I4">
        <v>42852</v>
      </c>
      <c r="J4">
        <v>42947</v>
      </c>
      <c r="K4">
        <v>42947</v>
      </c>
      <c r="L4">
        <v>0</v>
      </c>
      <c r="N4" t="s">
        <v>120</v>
      </c>
      <c r="O4">
        <v>43466</v>
      </c>
      <c r="P4" t="s">
        <v>120</v>
      </c>
      <c r="Q4" t="s">
        <v>115</v>
      </c>
      <c r="R4" t="s">
        <v>115</v>
      </c>
      <c r="V4">
        <v>7310</v>
      </c>
      <c r="X4" t="s">
        <v>115</v>
      </c>
      <c r="Y4" t="s">
        <v>115</v>
      </c>
      <c r="Z4" t="s">
        <v>115</v>
      </c>
      <c r="AA4" t="s">
        <v>115</v>
      </c>
      <c r="AM4" t="s">
        <v>709</v>
      </c>
      <c r="AY4" t="s">
        <v>29</v>
      </c>
      <c r="CA4" t="s">
        <v>1053</v>
      </c>
      <c r="CB4">
        <v>2</v>
      </c>
      <c r="CC4" t="b">
        <v>1</v>
      </c>
      <c r="CD4" t="s">
        <v>1892</v>
      </c>
      <c r="CE4" s="1482">
        <v>45880.731782407405</v>
      </c>
    </row>
    <row r="5" spans="1:83" x14ac:dyDescent="0.25">
      <c r="A5">
        <v>2019</v>
      </c>
      <c r="B5" t="s">
        <v>4</v>
      </c>
      <c r="C5" t="s">
        <v>1893</v>
      </c>
      <c r="D5" t="s">
        <v>1894</v>
      </c>
      <c r="E5" t="s">
        <v>225</v>
      </c>
      <c r="F5" t="s">
        <v>1895</v>
      </c>
      <c r="G5" t="s">
        <v>1896</v>
      </c>
      <c r="H5" t="s">
        <v>59</v>
      </c>
      <c r="I5">
        <v>43468</v>
      </c>
      <c r="J5">
        <v>43556</v>
      </c>
      <c r="K5">
        <v>43556</v>
      </c>
      <c r="L5">
        <v>0</v>
      </c>
      <c r="M5" t="s">
        <v>1897</v>
      </c>
      <c r="N5" t="s">
        <v>120</v>
      </c>
      <c r="O5">
        <v>43556</v>
      </c>
      <c r="P5" t="s">
        <v>739</v>
      </c>
      <c r="Q5">
        <v>2418.5637000000002</v>
      </c>
      <c r="R5">
        <v>7.0000000000000007E-2</v>
      </c>
      <c r="V5">
        <v>485</v>
      </c>
      <c r="X5">
        <v>33730.28</v>
      </c>
      <c r="Y5">
        <v>7299.25</v>
      </c>
      <c r="Z5">
        <v>8119.88</v>
      </c>
      <c r="AA5">
        <v>34550.910000000003</v>
      </c>
      <c r="AM5" t="s">
        <v>116</v>
      </c>
      <c r="AN5">
        <v>43750</v>
      </c>
      <c r="AO5" t="s">
        <v>115</v>
      </c>
      <c r="AP5">
        <v>41185.46</v>
      </c>
      <c r="AQ5">
        <v>0</v>
      </c>
      <c r="AR5">
        <v>7478.36</v>
      </c>
      <c r="AS5">
        <v>48663.82</v>
      </c>
      <c r="AT5">
        <v>14112.91</v>
      </c>
      <c r="AU5">
        <v>987.90369999999996</v>
      </c>
      <c r="AV5">
        <v>0</v>
      </c>
      <c r="AW5" t="s">
        <v>1898</v>
      </c>
      <c r="AY5">
        <v>43983</v>
      </c>
      <c r="BA5" t="s">
        <v>1899</v>
      </c>
      <c r="BB5" t="s">
        <v>1900</v>
      </c>
      <c r="BI5" t="s">
        <v>709</v>
      </c>
      <c r="BJ5" t="s">
        <v>709</v>
      </c>
      <c r="BK5" t="s">
        <v>709</v>
      </c>
      <c r="BL5" t="s">
        <v>116</v>
      </c>
      <c r="BM5" t="s">
        <v>709</v>
      </c>
      <c r="BN5" t="s">
        <v>709</v>
      </c>
      <c r="BO5" t="s">
        <v>709</v>
      </c>
      <c r="BP5" t="s">
        <v>709</v>
      </c>
      <c r="BQ5" t="s">
        <v>709</v>
      </c>
      <c r="BR5" t="s">
        <v>709</v>
      </c>
      <c r="BS5">
        <v>485</v>
      </c>
      <c r="BT5" t="s">
        <v>709</v>
      </c>
      <c r="BU5" t="s">
        <v>709</v>
      </c>
      <c r="BV5" t="s">
        <v>709</v>
      </c>
      <c r="BW5" t="s">
        <v>709</v>
      </c>
      <c r="BX5" t="s">
        <v>709</v>
      </c>
      <c r="BY5" t="s">
        <v>709</v>
      </c>
      <c r="BZ5" t="s">
        <v>709</v>
      </c>
      <c r="CB5">
        <v>3</v>
      </c>
      <c r="CC5" t="b">
        <v>1</v>
      </c>
      <c r="CD5" t="s">
        <v>1901</v>
      </c>
      <c r="CE5" s="1482">
        <v>45880.731782407405</v>
      </c>
    </row>
    <row r="6" spans="1:83" x14ac:dyDescent="0.25">
      <c r="A6">
        <v>2019</v>
      </c>
      <c r="B6" t="s">
        <v>4</v>
      </c>
      <c r="C6" t="s">
        <v>1902</v>
      </c>
      <c r="D6" t="s">
        <v>115</v>
      </c>
      <c r="E6" t="s">
        <v>1117</v>
      </c>
      <c r="F6" t="s">
        <v>1895</v>
      </c>
      <c r="G6" t="s">
        <v>1896</v>
      </c>
      <c r="H6" t="s">
        <v>1903</v>
      </c>
      <c r="I6">
        <v>43516</v>
      </c>
      <c r="J6">
        <v>43598</v>
      </c>
      <c r="K6">
        <v>43557</v>
      </c>
      <c r="L6">
        <v>41</v>
      </c>
      <c r="M6" t="s">
        <v>1904</v>
      </c>
      <c r="N6" t="s">
        <v>120</v>
      </c>
      <c r="O6">
        <v>43557</v>
      </c>
      <c r="P6" t="s">
        <v>739</v>
      </c>
      <c r="Q6" t="s">
        <v>115</v>
      </c>
      <c r="R6" t="s">
        <v>115</v>
      </c>
      <c r="X6" t="s">
        <v>115</v>
      </c>
      <c r="Y6" t="s">
        <v>115</v>
      </c>
      <c r="Z6" t="s">
        <v>115</v>
      </c>
      <c r="AA6">
        <v>0</v>
      </c>
      <c r="AM6" t="s">
        <v>709</v>
      </c>
      <c r="AY6" t="s">
        <v>29</v>
      </c>
      <c r="BA6" t="s">
        <v>1905</v>
      </c>
      <c r="BB6" t="s">
        <v>1900</v>
      </c>
      <c r="CB6">
        <v>4</v>
      </c>
      <c r="CC6" t="b">
        <v>1</v>
      </c>
      <c r="CD6" t="s">
        <v>1906</v>
      </c>
      <c r="CE6" s="1482">
        <v>45880.731782407405</v>
      </c>
    </row>
    <row r="7" spans="1:83" x14ac:dyDescent="0.25">
      <c r="A7">
        <v>2019</v>
      </c>
      <c r="B7" t="s">
        <v>4</v>
      </c>
      <c r="C7" t="s">
        <v>1907</v>
      </c>
      <c r="D7" t="s">
        <v>115</v>
      </c>
      <c r="E7" t="s">
        <v>1908</v>
      </c>
      <c r="F7" t="s">
        <v>1895</v>
      </c>
      <c r="G7" t="s">
        <v>1887</v>
      </c>
      <c r="H7" t="s">
        <v>1681</v>
      </c>
      <c r="I7">
        <v>43544</v>
      </c>
      <c r="J7">
        <v>43586</v>
      </c>
      <c r="K7">
        <v>43566</v>
      </c>
      <c r="L7">
        <v>20</v>
      </c>
      <c r="M7" t="s">
        <v>1909</v>
      </c>
      <c r="N7" t="s">
        <v>120</v>
      </c>
      <c r="O7">
        <v>43566</v>
      </c>
      <c r="P7" t="s">
        <v>739</v>
      </c>
      <c r="Q7" t="s">
        <v>115</v>
      </c>
      <c r="R7" t="s">
        <v>115</v>
      </c>
      <c r="X7" t="s">
        <v>115</v>
      </c>
      <c r="Y7" t="s">
        <v>115</v>
      </c>
      <c r="Z7" t="s">
        <v>115</v>
      </c>
      <c r="AA7">
        <v>0</v>
      </c>
      <c r="AM7" t="s">
        <v>709</v>
      </c>
      <c r="AY7" t="s">
        <v>29</v>
      </c>
      <c r="BA7" t="s">
        <v>1910</v>
      </c>
      <c r="BB7" t="s">
        <v>1911</v>
      </c>
      <c r="CB7">
        <v>5</v>
      </c>
      <c r="CC7" t="b">
        <v>1</v>
      </c>
      <c r="CD7" t="s">
        <v>1912</v>
      </c>
      <c r="CE7" s="1482">
        <v>45880.731782407405</v>
      </c>
    </row>
    <row r="8" spans="1:83" x14ac:dyDescent="0.25">
      <c r="A8">
        <v>2019</v>
      </c>
      <c r="B8" t="s">
        <v>4</v>
      </c>
      <c r="C8" t="s">
        <v>1913</v>
      </c>
      <c r="D8" t="s">
        <v>1914</v>
      </c>
      <c r="E8" t="s">
        <v>1915</v>
      </c>
      <c r="F8" t="s">
        <v>1895</v>
      </c>
      <c r="G8" t="s">
        <v>1896</v>
      </c>
      <c r="H8" t="s">
        <v>59</v>
      </c>
      <c r="I8">
        <v>43523</v>
      </c>
      <c r="J8">
        <v>43605</v>
      </c>
      <c r="K8">
        <v>43570</v>
      </c>
      <c r="L8">
        <v>35</v>
      </c>
      <c r="M8" t="s">
        <v>1916</v>
      </c>
      <c r="N8" t="s">
        <v>120</v>
      </c>
      <c r="O8">
        <v>43570</v>
      </c>
      <c r="P8" t="s">
        <v>739</v>
      </c>
      <c r="Q8">
        <v>8014.2467999999999</v>
      </c>
      <c r="R8">
        <v>7.0000000000000007E-2</v>
      </c>
      <c r="V8">
        <v>2322</v>
      </c>
      <c r="X8">
        <v>99170.64</v>
      </c>
      <c r="Y8">
        <v>7525</v>
      </c>
      <c r="Z8">
        <v>22843.599999999999</v>
      </c>
      <c r="AA8">
        <v>114489.24</v>
      </c>
      <c r="AM8" t="s">
        <v>116</v>
      </c>
      <c r="AN8">
        <v>43616</v>
      </c>
      <c r="AO8">
        <v>176928</v>
      </c>
      <c r="AP8">
        <v>112999.18</v>
      </c>
      <c r="AQ8">
        <v>7976.5</v>
      </c>
      <c r="AR8">
        <v>22844.06</v>
      </c>
      <c r="AS8">
        <v>135843.24</v>
      </c>
      <c r="AT8">
        <v>21354</v>
      </c>
      <c r="AU8">
        <v>1494.78</v>
      </c>
      <c r="AV8">
        <v>0</v>
      </c>
      <c r="AW8" t="s">
        <v>1898</v>
      </c>
      <c r="AY8">
        <v>43983</v>
      </c>
      <c r="BA8" t="s">
        <v>1917</v>
      </c>
      <c r="BB8" t="s">
        <v>1900</v>
      </c>
      <c r="BI8" t="s">
        <v>709</v>
      </c>
      <c r="BJ8" t="s">
        <v>709</v>
      </c>
      <c r="BK8" t="s">
        <v>709</v>
      </c>
      <c r="BL8" t="s">
        <v>116</v>
      </c>
      <c r="BM8" t="s">
        <v>709</v>
      </c>
      <c r="BN8" t="s">
        <v>709</v>
      </c>
      <c r="BO8" t="s">
        <v>709</v>
      </c>
      <c r="BP8" t="s">
        <v>709</v>
      </c>
      <c r="BQ8" t="s">
        <v>709</v>
      </c>
      <c r="BR8">
        <v>455</v>
      </c>
      <c r="BS8">
        <v>75</v>
      </c>
      <c r="BT8" t="s">
        <v>709</v>
      </c>
      <c r="BU8" t="s">
        <v>709</v>
      </c>
      <c r="BV8" t="s">
        <v>709</v>
      </c>
      <c r="BW8" t="s">
        <v>709</v>
      </c>
      <c r="BX8" t="s">
        <v>709</v>
      </c>
      <c r="BY8" t="s">
        <v>709</v>
      </c>
      <c r="BZ8" t="s">
        <v>709</v>
      </c>
      <c r="CB8">
        <v>6</v>
      </c>
      <c r="CC8" t="b">
        <v>1</v>
      </c>
      <c r="CD8" t="s">
        <v>1918</v>
      </c>
      <c r="CE8" s="1482">
        <v>45880.731782407405</v>
      </c>
    </row>
    <row r="9" spans="1:83" x14ac:dyDescent="0.25">
      <c r="A9">
        <v>2019</v>
      </c>
      <c r="B9" t="s">
        <v>1073</v>
      </c>
      <c r="C9" t="s">
        <v>1919</v>
      </c>
      <c r="D9" t="s">
        <v>115</v>
      </c>
      <c r="E9" t="s">
        <v>1920</v>
      </c>
      <c r="F9" t="s">
        <v>1895</v>
      </c>
      <c r="G9" t="s">
        <v>1896</v>
      </c>
      <c r="H9" t="s">
        <v>59</v>
      </c>
      <c r="I9">
        <v>43559</v>
      </c>
      <c r="J9">
        <v>43591</v>
      </c>
      <c r="K9">
        <v>43591</v>
      </c>
      <c r="L9">
        <v>0</v>
      </c>
      <c r="M9" t="s">
        <v>1921</v>
      </c>
      <c r="N9" t="s">
        <v>120</v>
      </c>
      <c r="O9">
        <v>43591</v>
      </c>
      <c r="P9" t="s">
        <v>739</v>
      </c>
      <c r="Q9" t="s">
        <v>1922</v>
      </c>
      <c r="R9" t="s">
        <v>1922</v>
      </c>
      <c r="V9" t="s">
        <v>115</v>
      </c>
      <c r="X9" t="s">
        <v>115</v>
      </c>
      <c r="Y9" t="s">
        <v>115</v>
      </c>
      <c r="Z9" t="s">
        <v>115</v>
      </c>
      <c r="AA9" t="s">
        <v>115</v>
      </c>
      <c r="AM9" t="s">
        <v>709</v>
      </c>
      <c r="AY9" t="s">
        <v>29</v>
      </c>
      <c r="BA9" t="s">
        <v>1923</v>
      </c>
      <c r="BB9" t="s">
        <v>1924</v>
      </c>
      <c r="BZ9" t="s">
        <v>709</v>
      </c>
      <c r="CA9" t="s">
        <v>915</v>
      </c>
      <c r="CB9">
        <v>7</v>
      </c>
      <c r="CC9" t="b">
        <v>1</v>
      </c>
      <c r="CD9" t="s">
        <v>1925</v>
      </c>
      <c r="CE9" s="1482">
        <v>45880.731782407405</v>
      </c>
    </row>
    <row r="10" spans="1:83" x14ac:dyDescent="0.25">
      <c r="A10">
        <v>2019</v>
      </c>
      <c r="B10" t="s">
        <v>1073</v>
      </c>
      <c r="C10" t="s">
        <v>1926</v>
      </c>
      <c r="D10" t="s">
        <v>115</v>
      </c>
      <c r="E10" t="s">
        <v>1920</v>
      </c>
      <c r="F10" t="s">
        <v>1895</v>
      </c>
      <c r="G10" t="s">
        <v>1887</v>
      </c>
      <c r="H10" t="s">
        <v>59</v>
      </c>
      <c r="I10">
        <v>43560</v>
      </c>
      <c r="J10">
        <v>43609</v>
      </c>
      <c r="K10">
        <v>43598</v>
      </c>
      <c r="L10">
        <v>11</v>
      </c>
      <c r="M10" t="s">
        <v>1927</v>
      </c>
      <c r="N10" t="s">
        <v>120</v>
      </c>
      <c r="O10">
        <v>43598</v>
      </c>
      <c r="P10" t="s">
        <v>739</v>
      </c>
      <c r="Q10" t="s">
        <v>1922</v>
      </c>
      <c r="R10" t="s">
        <v>1922</v>
      </c>
      <c r="V10" t="s">
        <v>115</v>
      </c>
      <c r="X10" t="s">
        <v>115</v>
      </c>
      <c r="Y10" t="e">
        <v>#VALUE!</v>
      </c>
      <c r="Z10" t="s">
        <v>115</v>
      </c>
      <c r="AA10" t="s">
        <v>115</v>
      </c>
      <c r="AM10" t="s">
        <v>709</v>
      </c>
      <c r="AY10" t="s">
        <v>29</v>
      </c>
      <c r="BA10" t="s">
        <v>1928</v>
      </c>
      <c r="BB10" t="s">
        <v>1929</v>
      </c>
      <c r="BZ10" t="s">
        <v>709</v>
      </c>
      <c r="CA10" t="s">
        <v>915</v>
      </c>
      <c r="CB10">
        <v>8</v>
      </c>
      <c r="CC10" t="b">
        <v>1</v>
      </c>
      <c r="CD10" t="s">
        <v>1930</v>
      </c>
      <c r="CE10" s="1482">
        <v>45880.731782407405</v>
      </c>
    </row>
    <row r="11" spans="1:83" x14ac:dyDescent="0.25">
      <c r="A11">
        <v>2019</v>
      </c>
      <c r="B11" t="s">
        <v>4</v>
      </c>
      <c r="C11" t="s">
        <v>1931</v>
      </c>
      <c r="D11" t="s">
        <v>1932</v>
      </c>
      <c r="E11" t="s">
        <v>183</v>
      </c>
      <c r="F11" t="s">
        <v>1895</v>
      </c>
      <c r="G11" t="s">
        <v>1896</v>
      </c>
      <c r="H11" t="s">
        <v>59</v>
      </c>
      <c r="I11">
        <v>43516</v>
      </c>
      <c r="J11">
        <v>43586</v>
      </c>
      <c r="K11">
        <v>43614</v>
      </c>
      <c r="L11">
        <v>-28</v>
      </c>
      <c r="M11" t="s">
        <v>1933</v>
      </c>
      <c r="N11" t="s">
        <v>120</v>
      </c>
      <c r="O11">
        <v>43614</v>
      </c>
      <c r="P11" t="s">
        <v>739</v>
      </c>
      <c r="Q11">
        <v>2474.0225999999998</v>
      </c>
      <c r="R11">
        <v>7.0000000000000007E-2</v>
      </c>
      <c r="V11">
        <v>150</v>
      </c>
      <c r="X11">
        <v>29480.32</v>
      </c>
      <c r="Y11">
        <v>2257.5</v>
      </c>
      <c r="Z11">
        <v>8120.36</v>
      </c>
      <c r="AA11">
        <v>35343.18</v>
      </c>
      <c r="AM11" t="s">
        <v>116</v>
      </c>
      <c r="AN11">
        <v>43957</v>
      </c>
      <c r="AO11" t="s">
        <v>115</v>
      </c>
      <c r="AP11">
        <v>31233.5</v>
      </c>
      <c r="AQ11">
        <v>2407.5</v>
      </c>
      <c r="AR11">
        <v>8561.7800000000007</v>
      </c>
      <c r="AS11">
        <v>39795.279999999999</v>
      </c>
      <c r="AT11">
        <v>4452.1000000000004</v>
      </c>
      <c r="AU11">
        <v>311.64699999999999</v>
      </c>
      <c r="AV11" t="s">
        <v>709</v>
      </c>
      <c r="AW11" t="s">
        <v>1934</v>
      </c>
      <c r="AY11" t="s">
        <v>1935</v>
      </c>
      <c r="BA11" t="s">
        <v>1936</v>
      </c>
      <c r="BB11" t="s">
        <v>1937</v>
      </c>
      <c r="BI11" t="s">
        <v>709</v>
      </c>
      <c r="BJ11" t="s">
        <v>709</v>
      </c>
      <c r="BK11" t="s">
        <v>709</v>
      </c>
      <c r="BL11" t="s">
        <v>116</v>
      </c>
      <c r="BM11" t="s">
        <v>709</v>
      </c>
      <c r="BN11" t="s">
        <v>709</v>
      </c>
      <c r="BO11" t="s">
        <v>709</v>
      </c>
      <c r="BP11" t="s">
        <v>709</v>
      </c>
      <c r="BQ11" t="s">
        <v>709</v>
      </c>
      <c r="BR11" t="s">
        <v>709</v>
      </c>
      <c r="BS11">
        <v>150</v>
      </c>
      <c r="BT11" t="s">
        <v>709</v>
      </c>
      <c r="BU11" t="s">
        <v>709</v>
      </c>
      <c r="BV11" t="s">
        <v>709</v>
      </c>
      <c r="BW11" t="s">
        <v>709</v>
      </c>
      <c r="BX11" t="s">
        <v>709</v>
      </c>
      <c r="BY11" t="s">
        <v>709</v>
      </c>
      <c r="BZ11" t="s">
        <v>709</v>
      </c>
      <c r="CB11">
        <v>9</v>
      </c>
      <c r="CC11" t="b">
        <v>1</v>
      </c>
      <c r="CD11" t="s">
        <v>1938</v>
      </c>
      <c r="CE11" s="1482">
        <v>45880.731782407405</v>
      </c>
    </row>
    <row r="12" spans="1:83" x14ac:dyDescent="0.25">
      <c r="A12">
        <v>2019</v>
      </c>
      <c r="B12" t="s">
        <v>4</v>
      </c>
      <c r="C12" t="s">
        <v>1939</v>
      </c>
      <c r="D12" t="s">
        <v>115</v>
      </c>
      <c r="E12" t="s">
        <v>966</v>
      </c>
      <c r="F12" t="s">
        <v>325</v>
      </c>
      <c r="G12" t="s">
        <v>1896</v>
      </c>
      <c r="H12" t="s">
        <v>1681</v>
      </c>
      <c r="I12">
        <v>43592</v>
      </c>
      <c r="J12">
        <v>43634</v>
      </c>
      <c r="K12">
        <v>43616</v>
      </c>
      <c r="L12">
        <v>18</v>
      </c>
      <c r="M12" t="s">
        <v>1909</v>
      </c>
      <c r="N12" t="s">
        <v>120</v>
      </c>
      <c r="O12">
        <v>43616</v>
      </c>
      <c r="P12" t="s">
        <v>739</v>
      </c>
      <c r="Q12" t="s">
        <v>115</v>
      </c>
      <c r="R12" t="s">
        <v>115</v>
      </c>
      <c r="X12" t="s">
        <v>115</v>
      </c>
      <c r="Y12" t="s">
        <v>115</v>
      </c>
      <c r="Z12" t="s">
        <v>115</v>
      </c>
      <c r="AA12">
        <v>0</v>
      </c>
      <c r="AM12" t="s">
        <v>709</v>
      </c>
      <c r="AY12" t="s">
        <v>29</v>
      </c>
      <c r="BA12" t="s">
        <v>1940</v>
      </c>
      <c r="BB12" t="s">
        <v>1941</v>
      </c>
      <c r="CB12">
        <v>10</v>
      </c>
      <c r="CC12" t="b">
        <v>1</v>
      </c>
      <c r="CD12" t="s">
        <v>1942</v>
      </c>
      <c r="CE12" s="1482">
        <v>45880.731782407405</v>
      </c>
    </row>
    <row r="13" spans="1:83" x14ac:dyDescent="0.25">
      <c r="A13">
        <v>2019</v>
      </c>
      <c r="B13" t="s">
        <v>1205</v>
      </c>
      <c r="C13" t="s">
        <v>1943</v>
      </c>
      <c r="D13" t="s">
        <v>1944</v>
      </c>
      <c r="E13" t="s">
        <v>1945</v>
      </c>
      <c r="F13" t="s">
        <v>1895</v>
      </c>
      <c r="G13" t="s">
        <v>1896</v>
      </c>
      <c r="H13" t="s">
        <v>59</v>
      </c>
      <c r="I13">
        <v>43523</v>
      </c>
      <c r="J13">
        <v>43623</v>
      </c>
      <c r="K13">
        <v>43622</v>
      </c>
      <c r="L13">
        <v>1</v>
      </c>
      <c r="M13" t="s">
        <v>1946</v>
      </c>
      <c r="N13" t="s">
        <v>120</v>
      </c>
      <c r="O13">
        <v>43622</v>
      </c>
      <c r="P13" t="s">
        <v>739</v>
      </c>
      <c r="Q13">
        <v>7542.7641000000003</v>
      </c>
      <c r="R13">
        <v>0.09</v>
      </c>
      <c r="V13">
        <v>940</v>
      </c>
      <c r="X13">
        <v>89599.19</v>
      </c>
      <c r="Y13">
        <v>14607.6</v>
      </c>
      <c r="Z13">
        <v>8816.9</v>
      </c>
      <c r="AA13">
        <v>83808.490000000005</v>
      </c>
      <c r="AM13" t="s">
        <v>116</v>
      </c>
      <c r="AN13">
        <v>43657</v>
      </c>
      <c r="AO13">
        <v>174954</v>
      </c>
      <c r="AP13">
        <v>92447.14</v>
      </c>
      <c r="AQ13">
        <v>14607.6</v>
      </c>
      <c r="AR13">
        <v>8816.9</v>
      </c>
      <c r="AS13">
        <v>101264.04</v>
      </c>
      <c r="AT13">
        <v>17455.55</v>
      </c>
      <c r="AU13">
        <v>1570.9994999999999</v>
      </c>
      <c r="AV13">
        <v>0</v>
      </c>
      <c r="AW13" t="s">
        <v>1947</v>
      </c>
      <c r="AY13">
        <v>43983</v>
      </c>
      <c r="BA13" t="s">
        <v>1948</v>
      </c>
      <c r="BB13" t="s">
        <v>1949</v>
      </c>
      <c r="BI13" t="s">
        <v>709</v>
      </c>
      <c r="BJ13" t="s">
        <v>709</v>
      </c>
      <c r="BK13" t="s">
        <v>709</v>
      </c>
      <c r="BL13" t="s">
        <v>116</v>
      </c>
      <c r="BM13" t="s">
        <v>709</v>
      </c>
      <c r="BN13" t="s">
        <v>709</v>
      </c>
      <c r="BO13" t="s">
        <v>709</v>
      </c>
      <c r="BP13" t="s">
        <v>709</v>
      </c>
      <c r="BQ13" t="s">
        <v>709</v>
      </c>
      <c r="BR13" t="s">
        <v>709</v>
      </c>
      <c r="BS13">
        <v>940</v>
      </c>
      <c r="BT13" t="s">
        <v>709</v>
      </c>
      <c r="BU13" t="s">
        <v>709</v>
      </c>
      <c r="BV13" t="s">
        <v>709</v>
      </c>
      <c r="BW13" t="s">
        <v>709</v>
      </c>
      <c r="BX13" t="s">
        <v>709</v>
      </c>
      <c r="BY13" t="s">
        <v>709</v>
      </c>
      <c r="BZ13" t="s">
        <v>709</v>
      </c>
      <c r="CB13">
        <v>11</v>
      </c>
      <c r="CC13" t="b">
        <v>1</v>
      </c>
      <c r="CD13" t="s">
        <v>1950</v>
      </c>
      <c r="CE13" s="1482">
        <v>45880.731782407405</v>
      </c>
    </row>
    <row r="14" spans="1:83" ht="75" x14ac:dyDescent="0.25">
      <c r="A14">
        <v>2019</v>
      </c>
      <c r="B14" t="s">
        <v>4</v>
      </c>
      <c r="C14" t="s">
        <v>1951</v>
      </c>
      <c r="D14" t="s">
        <v>1952</v>
      </c>
      <c r="E14" t="s">
        <v>1154</v>
      </c>
      <c r="F14" t="s">
        <v>1895</v>
      </c>
      <c r="G14" t="s">
        <v>1896</v>
      </c>
      <c r="H14" t="s">
        <v>59</v>
      </c>
      <c r="I14">
        <v>43557</v>
      </c>
      <c r="J14">
        <v>43623</v>
      </c>
      <c r="K14">
        <v>43622</v>
      </c>
      <c r="L14">
        <v>1</v>
      </c>
      <c r="N14" t="s">
        <v>120</v>
      </c>
      <c r="O14">
        <v>43622</v>
      </c>
      <c r="P14" t="s">
        <v>739</v>
      </c>
      <c r="Q14">
        <v>580.72910000000002</v>
      </c>
      <c r="R14">
        <v>7.0000000000000007E-2</v>
      </c>
      <c r="V14" t="s">
        <v>115</v>
      </c>
      <c r="X14">
        <v>0</v>
      </c>
      <c r="Y14">
        <v>0</v>
      </c>
      <c r="Z14">
        <v>8296.1299999999992</v>
      </c>
      <c r="AA14">
        <v>8296.1299999999992</v>
      </c>
      <c r="AM14" t="s">
        <v>116</v>
      </c>
      <c r="AN14">
        <v>43630</v>
      </c>
      <c r="AO14">
        <v>177412</v>
      </c>
      <c r="AP14">
        <v>0</v>
      </c>
      <c r="AQ14">
        <v>0</v>
      </c>
      <c r="AR14">
        <v>8296.1299999999992</v>
      </c>
      <c r="AS14">
        <v>8296.1299999999992</v>
      </c>
      <c r="AT14">
        <v>0</v>
      </c>
      <c r="AU14">
        <v>0</v>
      </c>
      <c r="AV14">
        <v>0</v>
      </c>
      <c r="AW14" t="s">
        <v>29</v>
      </c>
      <c r="AY14">
        <v>43983</v>
      </c>
      <c r="BA14" t="s">
        <v>1953</v>
      </c>
      <c r="BB14" s="4" t="s">
        <v>1954</v>
      </c>
      <c r="BI14" t="s">
        <v>709</v>
      </c>
      <c r="BJ14" t="s">
        <v>709</v>
      </c>
      <c r="BK14" t="s">
        <v>709</v>
      </c>
      <c r="BL14" t="s">
        <v>709</v>
      </c>
      <c r="BM14" t="s">
        <v>709</v>
      </c>
      <c r="BN14" t="s">
        <v>709</v>
      </c>
      <c r="BO14" t="s">
        <v>709</v>
      </c>
      <c r="BP14" t="s">
        <v>709</v>
      </c>
      <c r="BQ14" t="s">
        <v>709</v>
      </c>
      <c r="BR14" t="s">
        <v>709</v>
      </c>
      <c r="BS14" t="s">
        <v>709</v>
      </c>
      <c r="BT14" t="s">
        <v>709</v>
      </c>
      <c r="BU14" t="s">
        <v>709</v>
      </c>
      <c r="BV14" t="s">
        <v>709</v>
      </c>
      <c r="BW14" t="s">
        <v>709</v>
      </c>
      <c r="BX14" t="s">
        <v>709</v>
      </c>
      <c r="BY14" t="s">
        <v>709</v>
      </c>
      <c r="BZ14" t="s">
        <v>709</v>
      </c>
      <c r="CA14" t="s">
        <v>1146</v>
      </c>
      <c r="CB14">
        <v>12</v>
      </c>
      <c r="CC14" t="b">
        <v>1</v>
      </c>
      <c r="CD14" t="s">
        <v>1955</v>
      </c>
      <c r="CE14" s="1482">
        <v>45880.731782407405</v>
      </c>
    </row>
    <row r="15" spans="1:83" ht="75" x14ac:dyDescent="0.25">
      <c r="A15">
        <v>2019</v>
      </c>
      <c r="B15" t="s">
        <v>4</v>
      </c>
      <c r="C15" t="s">
        <v>1956</v>
      </c>
      <c r="D15" t="s">
        <v>115</v>
      </c>
      <c r="E15" t="s">
        <v>1957</v>
      </c>
      <c r="F15" t="s">
        <v>325</v>
      </c>
      <c r="G15" t="s">
        <v>1896</v>
      </c>
      <c r="H15" t="s">
        <v>1681</v>
      </c>
      <c r="I15">
        <v>43560</v>
      </c>
      <c r="J15">
        <v>43649</v>
      </c>
      <c r="K15">
        <v>43623</v>
      </c>
      <c r="L15">
        <v>26</v>
      </c>
      <c r="M15" t="s">
        <v>1909</v>
      </c>
      <c r="N15" t="s">
        <v>120</v>
      </c>
      <c r="O15">
        <v>43623</v>
      </c>
      <c r="P15" t="s">
        <v>739</v>
      </c>
      <c r="Q15" t="s">
        <v>115</v>
      </c>
      <c r="R15" t="s">
        <v>115</v>
      </c>
      <c r="X15" t="s">
        <v>115</v>
      </c>
      <c r="Y15" t="s">
        <v>115</v>
      </c>
      <c r="Z15" t="s">
        <v>115</v>
      </c>
      <c r="AA15">
        <v>0</v>
      </c>
      <c r="AM15" t="s">
        <v>709</v>
      </c>
      <c r="AY15" t="s">
        <v>29</v>
      </c>
      <c r="BA15" t="s">
        <v>1958</v>
      </c>
      <c r="BB15" s="4" t="s">
        <v>1900</v>
      </c>
      <c r="BZ15" t="s">
        <v>709</v>
      </c>
      <c r="CB15">
        <v>13</v>
      </c>
      <c r="CC15" t="b">
        <v>1</v>
      </c>
      <c r="CD15" t="s">
        <v>1959</v>
      </c>
      <c r="CE15" s="1482">
        <v>45880.731782407405</v>
      </c>
    </row>
    <row r="16" spans="1:83" ht="180" x14ac:dyDescent="0.25">
      <c r="A16">
        <v>2019</v>
      </c>
      <c r="B16" t="s">
        <v>4</v>
      </c>
      <c r="C16" t="s">
        <v>1960</v>
      </c>
      <c r="D16" t="s">
        <v>1961</v>
      </c>
      <c r="E16" t="s">
        <v>245</v>
      </c>
      <c r="F16" t="s">
        <v>325</v>
      </c>
      <c r="G16" t="s">
        <v>1896</v>
      </c>
      <c r="H16" t="s">
        <v>59</v>
      </c>
      <c r="I16">
        <v>43539</v>
      </c>
      <c r="J16">
        <v>43627</v>
      </c>
      <c r="K16">
        <v>43626</v>
      </c>
      <c r="L16">
        <v>1</v>
      </c>
      <c r="M16" t="s">
        <v>1962</v>
      </c>
      <c r="N16" t="s">
        <v>120</v>
      </c>
      <c r="O16">
        <v>43626</v>
      </c>
      <c r="P16" t="s">
        <v>739</v>
      </c>
      <c r="Q16">
        <v>3192.77</v>
      </c>
      <c r="R16">
        <v>7.0000000000000007E-2</v>
      </c>
      <c r="V16">
        <v>480</v>
      </c>
      <c r="X16">
        <v>37088.61</v>
      </c>
      <c r="Y16">
        <v>0</v>
      </c>
      <c r="Z16">
        <v>8522.39</v>
      </c>
      <c r="AA16">
        <v>45611</v>
      </c>
      <c r="AM16" t="s">
        <v>116</v>
      </c>
      <c r="AN16">
        <v>43678</v>
      </c>
      <c r="AO16">
        <v>178257</v>
      </c>
      <c r="AP16">
        <v>47652.92</v>
      </c>
      <c r="AQ16">
        <v>0</v>
      </c>
      <c r="AR16">
        <v>10090.370000000001</v>
      </c>
      <c r="AS16">
        <v>57743.29</v>
      </c>
      <c r="AT16">
        <v>12132.29</v>
      </c>
      <c r="AU16">
        <v>849.26030000000003</v>
      </c>
      <c r="AV16">
        <v>0</v>
      </c>
      <c r="AW16" t="s">
        <v>1963</v>
      </c>
      <c r="AY16">
        <v>43983</v>
      </c>
      <c r="BA16" t="s">
        <v>1964</v>
      </c>
      <c r="BB16" s="4" t="s">
        <v>1965</v>
      </c>
      <c r="BI16" t="s">
        <v>709</v>
      </c>
      <c r="BJ16" t="s">
        <v>709</v>
      </c>
      <c r="BK16" t="s">
        <v>709</v>
      </c>
      <c r="BL16" t="s">
        <v>116</v>
      </c>
      <c r="BM16" t="s">
        <v>709</v>
      </c>
      <c r="BN16" t="s">
        <v>709</v>
      </c>
      <c r="BO16" t="s">
        <v>709</v>
      </c>
      <c r="BP16" t="s">
        <v>709</v>
      </c>
      <c r="BQ16" t="s">
        <v>709</v>
      </c>
      <c r="BR16">
        <v>480</v>
      </c>
      <c r="BS16" t="s">
        <v>709</v>
      </c>
      <c r="BT16" t="s">
        <v>709</v>
      </c>
      <c r="BU16" t="s">
        <v>709</v>
      </c>
      <c r="BV16" t="s">
        <v>709</v>
      </c>
      <c r="BW16" t="s">
        <v>709</v>
      </c>
      <c r="BX16" t="s">
        <v>709</v>
      </c>
      <c r="BY16" t="s">
        <v>709</v>
      </c>
      <c r="BZ16" t="s">
        <v>709</v>
      </c>
      <c r="CB16">
        <v>14</v>
      </c>
      <c r="CC16" t="b">
        <v>1</v>
      </c>
      <c r="CD16" t="s">
        <v>1966</v>
      </c>
      <c r="CE16" s="1482">
        <v>45880.731793981482</v>
      </c>
    </row>
    <row r="17" spans="1:85" x14ac:dyDescent="0.25">
      <c r="A17">
        <v>2019</v>
      </c>
      <c r="B17" t="s">
        <v>4</v>
      </c>
      <c r="C17" t="s">
        <v>1967</v>
      </c>
      <c r="D17" t="s">
        <v>1968</v>
      </c>
      <c r="E17" t="s">
        <v>1969</v>
      </c>
      <c r="F17" t="s">
        <v>325</v>
      </c>
      <c r="G17" t="s">
        <v>1896</v>
      </c>
      <c r="H17" t="s">
        <v>59</v>
      </c>
      <c r="I17">
        <v>43584</v>
      </c>
      <c r="J17">
        <v>43630</v>
      </c>
      <c r="K17">
        <v>43629</v>
      </c>
      <c r="L17">
        <v>1</v>
      </c>
      <c r="M17" t="s">
        <v>1970</v>
      </c>
      <c r="N17" t="s">
        <v>120</v>
      </c>
      <c r="O17">
        <v>43629</v>
      </c>
      <c r="P17" t="s">
        <v>739</v>
      </c>
      <c r="Q17">
        <v>2591.7269000000001</v>
      </c>
      <c r="R17">
        <v>7.0000000000000007E-2</v>
      </c>
      <c r="V17">
        <v>150</v>
      </c>
      <c r="X17">
        <v>32056.57</v>
      </c>
      <c r="Y17">
        <v>2257.5</v>
      </c>
      <c r="Z17">
        <v>7225.6</v>
      </c>
      <c r="AA17">
        <v>37024.67</v>
      </c>
      <c r="AM17" t="s">
        <v>116</v>
      </c>
      <c r="AN17">
        <v>43679</v>
      </c>
      <c r="AO17">
        <v>178078</v>
      </c>
      <c r="AP17">
        <v>35731.160000000003</v>
      </c>
      <c r="AQ17">
        <v>2331</v>
      </c>
      <c r="AR17">
        <v>7443.38</v>
      </c>
      <c r="AS17">
        <v>43174.54</v>
      </c>
      <c r="AT17">
        <v>6149.87</v>
      </c>
      <c r="AU17">
        <v>430.49090000000001</v>
      </c>
      <c r="AV17">
        <v>0</v>
      </c>
      <c r="AW17" t="s">
        <v>1971</v>
      </c>
      <c r="AY17">
        <v>43983</v>
      </c>
      <c r="BA17" t="s">
        <v>1972</v>
      </c>
      <c r="BB17" t="s">
        <v>1973</v>
      </c>
      <c r="BI17" t="s">
        <v>709</v>
      </c>
      <c r="BJ17" t="s">
        <v>709</v>
      </c>
      <c r="BK17" t="s">
        <v>709</v>
      </c>
      <c r="BL17" t="s">
        <v>116</v>
      </c>
      <c r="BM17" t="s">
        <v>709</v>
      </c>
      <c r="BN17" t="s">
        <v>709</v>
      </c>
      <c r="BO17" t="s">
        <v>709</v>
      </c>
      <c r="BP17" t="s">
        <v>709</v>
      </c>
      <c r="BQ17" t="s">
        <v>709</v>
      </c>
      <c r="BR17" t="s">
        <v>709</v>
      </c>
      <c r="BS17">
        <v>150</v>
      </c>
      <c r="BT17" t="s">
        <v>709</v>
      </c>
      <c r="BU17" t="s">
        <v>709</v>
      </c>
      <c r="BV17" t="s">
        <v>709</v>
      </c>
      <c r="BW17" t="s">
        <v>709</v>
      </c>
      <c r="BX17" t="s">
        <v>709</v>
      </c>
      <c r="BY17" t="s">
        <v>709</v>
      </c>
      <c r="BZ17" t="s">
        <v>709</v>
      </c>
      <c r="CB17">
        <v>15</v>
      </c>
      <c r="CC17" t="b">
        <v>1</v>
      </c>
      <c r="CD17" t="s">
        <v>1974</v>
      </c>
      <c r="CE17" s="1482">
        <v>45880.731793981482</v>
      </c>
    </row>
    <row r="18" spans="1:85" x14ac:dyDescent="0.25">
      <c r="A18">
        <v>2019</v>
      </c>
      <c r="B18" t="s">
        <v>4</v>
      </c>
      <c r="C18" t="s">
        <v>1975</v>
      </c>
      <c r="D18" t="s">
        <v>1976</v>
      </c>
      <c r="E18" t="s">
        <v>111</v>
      </c>
      <c r="F18" t="s">
        <v>325</v>
      </c>
      <c r="G18" t="s">
        <v>1896</v>
      </c>
      <c r="H18" t="s">
        <v>59</v>
      </c>
      <c r="I18">
        <v>43468</v>
      </c>
      <c r="J18">
        <v>43630</v>
      </c>
      <c r="K18">
        <v>43637</v>
      </c>
      <c r="L18">
        <v>0</v>
      </c>
      <c r="M18" t="s">
        <v>1977</v>
      </c>
      <c r="N18" t="s">
        <v>120</v>
      </c>
      <c r="O18">
        <v>43637</v>
      </c>
      <c r="P18" t="s">
        <v>739</v>
      </c>
      <c r="Q18">
        <v>5516.5613999999996</v>
      </c>
      <c r="R18">
        <v>7.0000000000000007E-2</v>
      </c>
      <c r="V18">
        <v>830</v>
      </c>
      <c r="X18">
        <v>80008.899999999994</v>
      </c>
      <c r="Y18">
        <v>12491.5</v>
      </c>
      <c r="Z18">
        <v>11290.62</v>
      </c>
      <c r="AA18">
        <v>78808.02</v>
      </c>
      <c r="AM18" t="s">
        <v>116</v>
      </c>
      <c r="AN18">
        <v>43682</v>
      </c>
      <c r="AO18">
        <v>178191</v>
      </c>
      <c r="AP18">
        <v>79410.7</v>
      </c>
      <c r="AQ18">
        <v>12898.2</v>
      </c>
      <c r="AR18">
        <v>11607.42</v>
      </c>
      <c r="AS18">
        <v>91018.12</v>
      </c>
      <c r="AT18">
        <v>12210.1</v>
      </c>
      <c r="AU18">
        <v>854.70699999999999</v>
      </c>
      <c r="AV18">
        <v>0</v>
      </c>
      <c r="AW18" t="s">
        <v>1978</v>
      </c>
      <c r="AY18">
        <v>43983</v>
      </c>
      <c r="BA18" t="s">
        <v>1979</v>
      </c>
      <c r="BB18" t="s">
        <v>1900</v>
      </c>
      <c r="BI18" t="s">
        <v>709</v>
      </c>
      <c r="BJ18" t="s">
        <v>709</v>
      </c>
      <c r="BK18" t="s">
        <v>709</v>
      </c>
      <c r="BL18" t="s">
        <v>116</v>
      </c>
      <c r="BM18" t="s">
        <v>709</v>
      </c>
      <c r="BN18" t="s">
        <v>709</v>
      </c>
      <c r="BO18" t="s">
        <v>709</v>
      </c>
      <c r="BP18" t="s">
        <v>709</v>
      </c>
      <c r="BQ18" t="s">
        <v>709</v>
      </c>
      <c r="BR18" t="s">
        <v>709</v>
      </c>
      <c r="BS18">
        <v>830</v>
      </c>
      <c r="BT18" t="s">
        <v>709</v>
      </c>
      <c r="BU18" t="s">
        <v>709</v>
      </c>
      <c r="BV18" t="s">
        <v>709</v>
      </c>
      <c r="BW18" t="s">
        <v>709</v>
      </c>
      <c r="BX18" t="s">
        <v>709</v>
      </c>
      <c r="BY18" t="s">
        <v>709</v>
      </c>
      <c r="BZ18" t="s">
        <v>709</v>
      </c>
      <c r="CB18">
        <v>16</v>
      </c>
      <c r="CC18" t="b">
        <v>1</v>
      </c>
      <c r="CD18" t="s">
        <v>1980</v>
      </c>
      <c r="CE18" s="1482">
        <v>45880.731793981482</v>
      </c>
      <c r="CG18" s="1482"/>
    </row>
    <row r="19" spans="1:85" x14ac:dyDescent="0.25">
      <c r="A19">
        <v>2019</v>
      </c>
      <c r="B19" t="s">
        <v>1981</v>
      </c>
      <c r="C19" t="s">
        <v>1982</v>
      </c>
      <c r="D19" t="s">
        <v>115</v>
      </c>
      <c r="E19" t="s">
        <v>141</v>
      </c>
      <c r="F19" t="s">
        <v>1983</v>
      </c>
      <c r="G19" t="s">
        <v>1896</v>
      </c>
      <c r="H19" t="s">
        <v>59</v>
      </c>
      <c r="I19">
        <v>43584</v>
      </c>
      <c r="J19">
        <v>43637</v>
      </c>
      <c r="K19">
        <v>43637</v>
      </c>
      <c r="L19">
        <v>0</v>
      </c>
      <c r="M19" t="s">
        <v>1984</v>
      </c>
      <c r="N19" t="s">
        <v>120</v>
      </c>
      <c r="O19">
        <v>43637</v>
      </c>
      <c r="P19" t="s">
        <v>739</v>
      </c>
      <c r="Q19" t="s">
        <v>1922</v>
      </c>
      <c r="R19" t="s">
        <v>1922</v>
      </c>
      <c r="X19" t="s">
        <v>115</v>
      </c>
      <c r="Y19" t="s">
        <v>115</v>
      </c>
      <c r="Z19" t="s">
        <v>115</v>
      </c>
      <c r="AA19" t="s">
        <v>115</v>
      </c>
      <c r="AM19" t="s">
        <v>709</v>
      </c>
      <c r="AY19" t="s">
        <v>29</v>
      </c>
      <c r="BA19" t="s">
        <v>1985</v>
      </c>
      <c r="BB19" t="s">
        <v>1986</v>
      </c>
      <c r="BZ19" t="s">
        <v>709</v>
      </c>
      <c r="CA19" t="s">
        <v>915</v>
      </c>
      <c r="CB19">
        <v>17</v>
      </c>
      <c r="CC19" t="b">
        <v>1</v>
      </c>
      <c r="CD19" t="s">
        <v>1987</v>
      </c>
      <c r="CE19" s="1482"/>
      <c r="CF19" t="s">
        <v>1988</v>
      </c>
      <c r="CG19" s="1482">
        <v>45880.731793981482</v>
      </c>
    </row>
    <row r="20" spans="1:85" x14ac:dyDescent="0.25">
      <c r="A20">
        <v>2019</v>
      </c>
      <c r="B20" t="s">
        <v>4</v>
      </c>
      <c r="C20" t="s">
        <v>1989</v>
      </c>
      <c r="D20" t="s">
        <v>1990</v>
      </c>
      <c r="E20" t="s">
        <v>1136</v>
      </c>
      <c r="F20" t="s">
        <v>325</v>
      </c>
      <c r="G20" t="s">
        <v>1896</v>
      </c>
      <c r="H20" t="s">
        <v>59</v>
      </c>
      <c r="I20">
        <v>43559</v>
      </c>
      <c r="J20">
        <v>43630</v>
      </c>
      <c r="K20">
        <v>43641</v>
      </c>
      <c r="L20">
        <v>0</v>
      </c>
      <c r="M20" t="s">
        <v>1991</v>
      </c>
      <c r="N20" t="s">
        <v>120</v>
      </c>
      <c r="O20">
        <v>43641</v>
      </c>
      <c r="P20" t="s">
        <v>739</v>
      </c>
      <c r="Q20">
        <v>4658.3711999999996</v>
      </c>
      <c r="R20">
        <v>7.0000000000000007E-2</v>
      </c>
      <c r="V20">
        <v>785</v>
      </c>
      <c r="X20">
        <v>70264.28</v>
      </c>
      <c r="Y20">
        <v>11814.25</v>
      </c>
      <c r="Z20">
        <v>8098.13</v>
      </c>
      <c r="AA20">
        <v>66548.160000000003</v>
      </c>
      <c r="AM20" t="s">
        <v>116</v>
      </c>
      <c r="AN20">
        <v>43714</v>
      </c>
      <c r="AO20">
        <v>178743</v>
      </c>
      <c r="AP20">
        <v>77820.22</v>
      </c>
      <c r="AQ20">
        <v>12198.9</v>
      </c>
      <c r="AR20">
        <v>14851.31</v>
      </c>
      <c r="AS20">
        <v>92671.53</v>
      </c>
      <c r="AT20">
        <v>26123.37</v>
      </c>
      <c r="AU20">
        <v>1828.6359</v>
      </c>
      <c r="AV20">
        <v>0</v>
      </c>
      <c r="AW20" t="s">
        <v>1992</v>
      </c>
      <c r="AY20">
        <v>43983</v>
      </c>
      <c r="BA20" t="s">
        <v>1993</v>
      </c>
      <c r="BB20" t="s">
        <v>1900</v>
      </c>
      <c r="BI20" t="s">
        <v>709</v>
      </c>
      <c r="BJ20" t="s">
        <v>709</v>
      </c>
      <c r="BK20" t="s">
        <v>709</v>
      </c>
      <c r="BL20" t="s">
        <v>116</v>
      </c>
      <c r="BM20" t="s">
        <v>709</v>
      </c>
      <c r="BN20" t="s">
        <v>709</v>
      </c>
      <c r="BO20" t="s">
        <v>709</v>
      </c>
      <c r="BP20" t="s">
        <v>709</v>
      </c>
      <c r="BQ20" t="s">
        <v>709</v>
      </c>
      <c r="BR20" t="s">
        <v>709</v>
      </c>
      <c r="BS20">
        <v>785</v>
      </c>
      <c r="BT20" t="s">
        <v>709</v>
      </c>
      <c r="BU20" t="s">
        <v>709</v>
      </c>
      <c r="BV20" t="s">
        <v>709</v>
      </c>
      <c r="BW20" t="s">
        <v>709</v>
      </c>
      <c r="BX20" t="s">
        <v>709</v>
      </c>
      <c r="BY20" t="s">
        <v>709</v>
      </c>
      <c r="BZ20" t="s">
        <v>709</v>
      </c>
      <c r="CB20">
        <v>18</v>
      </c>
      <c r="CC20" t="b">
        <v>1</v>
      </c>
      <c r="CD20" t="s">
        <v>1994</v>
      </c>
      <c r="CE20" s="1482">
        <v>45880.731793981482</v>
      </c>
    </row>
    <row r="21" spans="1:85" x14ac:dyDescent="0.25">
      <c r="A21">
        <v>2019</v>
      </c>
      <c r="B21" t="s">
        <v>1981</v>
      </c>
      <c r="C21" t="s">
        <v>1995</v>
      </c>
      <c r="D21" t="s">
        <v>115</v>
      </c>
      <c r="E21" t="s">
        <v>232</v>
      </c>
      <c r="F21" t="s">
        <v>1983</v>
      </c>
      <c r="G21" t="s">
        <v>1896</v>
      </c>
      <c r="H21" t="s">
        <v>59</v>
      </c>
      <c r="I21">
        <v>43584</v>
      </c>
      <c r="J21">
        <v>43644</v>
      </c>
      <c r="K21">
        <v>43644</v>
      </c>
      <c r="L21">
        <v>0</v>
      </c>
      <c r="M21" t="s">
        <v>1984</v>
      </c>
      <c r="N21" t="s">
        <v>120</v>
      </c>
      <c r="O21">
        <v>43644</v>
      </c>
      <c r="P21" t="s">
        <v>739</v>
      </c>
      <c r="Q21" t="s">
        <v>1922</v>
      </c>
      <c r="R21" t="s">
        <v>1922</v>
      </c>
      <c r="AM21" t="s">
        <v>709</v>
      </c>
      <c r="AY21" t="s">
        <v>29</v>
      </c>
      <c r="BA21" t="s">
        <v>1996</v>
      </c>
      <c r="BB21" t="s">
        <v>1986</v>
      </c>
      <c r="BZ21" t="s">
        <v>709</v>
      </c>
      <c r="CA21" t="s">
        <v>915</v>
      </c>
      <c r="CB21">
        <v>19</v>
      </c>
      <c r="CC21" t="b">
        <v>1</v>
      </c>
      <c r="CD21" t="s">
        <v>1997</v>
      </c>
      <c r="CE21" s="1482">
        <v>45880.731793981482</v>
      </c>
    </row>
    <row r="22" spans="1:85" ht="360" x14ac:dyDescent="0.25">
      <c r="A22">
        <v>2020</v>
      </c>
      <c r="B22" t="s">
        <v>771</v>
      </c>
      <c r="C22" t="s">
        <v>1998</v>
      </c>
      <c r="D22" t="s">
        <v>1999</v>
      </c>
      <c r="E22" t="s">
        <v>2000</v>
      </c>
      <c r="F22" t="s">
        <v>325</v>
      </c>
      <c r="G22" t="s">
        <v>1896</v>
      </c>
      <c r="H22" t="s">
        <v>59</v>
      </c>
      <c r="I22">
        <v>43584</v>
      </c>
      <c r="J22">
        <v>43630</v>
      </c>
      <c r="K22">
        <v>43647</v>
      </c>
      <c r="L22">
        <v>0</v>
      </c>
      <c r="M22" t="s">
        <v>2001</v>
      </c>
      <c r="N22" t="s">
        <v>120</v>
      </c>
      <c r="O22">
        <v>43647</v>
      </c>
      <c r="P22" t="s">
        <v>120</v>
      </c>
      <c r="Q22">
        <v>19101.733199999999</v>
      </c>
      <c r="R22">
        <v>0.09</v>
      </c>
      <c r="V22">
        <v>2340</v>
      </c>
      <c r="X22">
        <v>219482.03</v>
      </c>
      <c r="Y22">
        <v>35217</v>
      </c>
      <c r="Z22">
        <v>27976.45</v>
      </c>
      <c r="AA22">
        <v>212241.48</v>
      </c>
      <c r="AM22" t="s">
        <v>116</v>
      </c>
      <c r="AN22">
        <v>43865</v>
      </c>
      <c r="AO22">
        <v>181336</v>
      </c>
      <c r="AP22">
        <v>438970.79</v>
      </c>
      <c r="AQ22">
        <v>36363.599999999999</v>
      </c>
      <c r="AR22">
        <v>28844.75</v>
      </c>
      <c r="AS22">
        <v>467815.54</v>
      </c>
      <c r="AT22">
        <v>255574.06</v>
      </c>
      <c r="AU22">
        <v>23001.665400000002</v>
      </c>
      <c r="AV22">
        <v>1540</v>
      </c>
      <c r="AW22" s="4" t="s">
        <v>2002</v>
      </c>
      <c r="AY22">
        <v>43983</v>
      </c>
      <c r="BA22" t="s">
        <v>2003</v>
      </c>
      <c r="BB22" t="s">
        <v>2004</v>
      </c>
      <c r="BI22" t="s">
        <v>709</v>
      </c>
      <c r="BJ22" t="s">
        <v>709</v>
      </c>
      <c r="BK22" t="s">
        <v>709</v>
      </c>
      <c r="BL22" t="s">
        <v>116</v>
      </c>
      <c r="BM22" t="s">
        <v>709</v>
      </c>
      <c r="BN22" t="s">
        <v>709</v>
      </c>
      <c r="BO22" t="s">
        <v>709</v>
      </c>
      <c r="BP22" t="s">
        <v>709</v>
      </c>
      <c r="BQ22" t="s">
        <v>709</v>
      </c>
      <c r="BR22" t="s">
        <v>709</v>
      </c>
      <c r="BS22">
        <v>2340</v>
      </c>
      <c r="BT22" t="s">
        <v>709</v>
      </c>
      <c r="BU22" t="s">
        <v>709</v>
      </c>
      <c r="BV22" t="s">
        <v>709</v>
      </c>
      <c r="BW22" t="s">
        <v>709</v>
      </c>
      <c r="BX22" t="s">
        <v>709</v>
      </c>
      <c r="BY22" t="s">
        <v>709</v>
      </c>
      <c r="BZ22" t="s">
        <v>709</v>
      </c>
      <c r="CB22">
        <v>20</v>
      </c>
      <c r="CC22" t="b">
        <v>1</v>
      </c>
      <c r="CD22" t="s">
        <v>2005</v>
      </c>
      <c r="CE22" s="1482">
        <v>45880.731793981482</v>
      </c>
    </row>
    <row r="23" spans="1:85" x14ac:dyDescent="0.25">
      <c r="A23">
        <v>2019</v>
      </c>
      <c r="B23" t="s">
        <v>1073</v>
      </c>
      <c r="C23" t="s">
        <v>2006</v>
      </c>
      <c r="D23" t="s">
        <v>2007</v>
      </c>
      <c r="E23" t="s">
        <v>2008</v>
      </c>
      <c r="F23" t="s">
        <v>325</v>
      </c>
      <c r="G23" t="s">
        <v>1896</v>
      </c>
      <c r="H23" t="s">
        <v>59</v>
      </c>
      <c r="I23">
        <v>43619</v>
      </c>
      <c r="J23">
        <v>43668</v>
      </c>
      <c r="K23">
        <v>43668</v>
      </c>
      <c r="L23">
        <v>0</v>
      </c>
      <c r="M23" t="s">
        <v>2009</v>
      </c>
      <c r="N23" t="s">
        <v>120</v>
      </c>
      <c r="O23">
        <v>43668</v>
      </c>
      <c r="P23" t="s">
        <v>739</v>
      </c>
      <c r="Q23" t="s">
        <v>1922</v>
      </c>
      <c r="R23" t="s">
        <v>1922</v>
      </c>
      <c r="V23">
        <v>1130</v>
      </c>
      <c r="X23">
        <v>75427.839999999997</v>
      </c>
      <c r="Y23">
        <v>17560.2</v>
      </c>
      <c r="Z23">
        <v>0</v>
      </c>
      <c r="AA23">
        <v>57867.64</v>
      </c>
      <c r="AM23" t="s">
        <v>709</v>
      </c>
      <c r="AY23" t="s">
        <v>29</v>
      </c>
      <c r="BA23" t="s">
        <v>2010</v>
      </c>
      <c r="BI23" t="s">
        <v>709</v>
      </c>
      <c r="BJ23" t="s">
        <v>709</v>
      </c>
      <c r="BK23" t="s">
        <v>709</v>
      </c>
      <c r="BL23" t="s">
        <v>116</v>
      </c>
      <c r="BM23" t="s">
        <v>709</v>
      </c>
      <c r="BN23" t="s">
        <v>709</v>
      </c>
      <c r="BO23" t="s">
        <v>709</v>
      </c>
      <c r="BP23" t="s">
        <v>709</v>
      </c>
      <c r="BQ23" t="s">
        <v>709</v>
      </c>
      <c r="BR23">
        <v>1130</v>
      </c>
      <c r="BS23" t="s">
        <v>709</v>
      </c>
      <c r="BT23" t="s">
        <v>709</v>
      </c>
      <c r="BU23" t="s">
        <v>709</v>
      </c>
      <c r="BV23" t="s">
        <v>709</v>
      </c>
      <c r="BW23" t="s">
        <v>709</v>
      </c>
      <c r="BX23" t="s">
        <v>709</v>
      </c>
      <c r="BY23" t="s">
        <v>709</v>
      </c>
      <c r="BZ23" t="s">
        <v>709</v>
      </c>
      <c r="CB23">
        <v>21</v>
      </c>
      <c r="CC23" t="b">
        <v>1</v>
      </c>
      <c r="CD23" t="s">
        <v>2011</v>
      </c>
      <c r="CE23" s="1482">
        <v>45880.731793981482</v>
      </c>
    </row>
    <row r="24" spans="1:85" x14ac:dyDescent="0.25">
      <c r="A24">
        <v>2019</v>
      </c>
      <c r="B24" t="s">
        <v>1981</v>
      </c>
      <c r="C24" t="s">
        <v>2012</v>
      </c>
      <c r="D24" t="s">
        <v>115</v>
      </c>
      <c r="E24" t="s">
        <v>2013</v>
      </c>
      <c r="F24" t="s">
        <v>1983</v>
      </c>
      <c r="G24" t="s">
        <v>1896</v>
      </c>
      <c r="H24" t="s">
        <v>59</v>
      </c>
      <c r="I24">
        <v>43577</v>
      </c>
      <c r="J24">
        <v>43665</v>
      </c>
      <c r="K24">
        <v>43671</v>
      </c>
      <c r="L24">
        <v>0</v>
      </c>
      <c r="M24" t="s">
        <v>2014</v>
      </c>
      <c r="N24" t="s">
        <v>120</v>
      </c>
      <c r="O24">
        <v>43671</v>
      </c>
      <c r="P24" t="s">
        <v>739</v>
      </c>
      <c r="Q24" t="s">
        <v>1922</v>
      </c>
      <c r="R24" t="s">
        <v>1922</v>
      </c>
      <c r="AM24" t="s">
        <v>709</v>
      </c>
      <c r="AY24" t="s">
        <v>29</v>
      </c>
      <c r="BA24" t="s">
        <v>2015</v>
      </c>
      <c r="BB24" t="s">
        <v>1986</v>
      </c>
      <c r="BZ24" t="s">
        <v>709</v>
      </c>
      <c r="CA24" t="s">
        <v>1053</v>
      </c>
      <c r="CB24">
        <v>23</v>
      </c>
      <c r="CC24" t="b">
        <v>1</v>
      </c>
      <c r="CD24" t="s">
        <v>2016</v>
      </c>
      <c r="CE24" s="1482">
        <v>45880.731793981482</v>
      </c>
    </row>
    <row r="25" spans="1:85" x14ac:dyDescent="0.25">
      <c r="A25">
        <v>2019</v>
      </c>
      <c r="B25" t="s">
        <v>1981</v>
      </c>
      <c r="C25" t="s">
        <v>2017</v>
      </c>
      <c r="D25" t="s">
        <v>115</v>
      </c>
      <c r="E25" t="s">
        <v>1159</v>
      </c>
      <c r="F25" t="s">
        <v>1983</v>
      </c>
      <c r="G25" t="s">
        <v>1896</v>
      </c>
      <c r="H25" t="s">
        <v>59</v>
      </c>
      <c r="I25">
        <v>43584</v>
      </c>
      <c r="J25">
        <v>43665</v>
      </c>
      <c r="K25">
        <v>43671</v>
      </c>
      <c r="L25">
        <v>0</v>
      </c>
      <c r="M25" t="s">
        <v>2014</v>
      </c>
      <c r="N25" t="s">
        <v>120</v>
      </c>
      <c r="O25">
        <v>43671</v>
      </c>
      <c r="P25" t="s">
        <v>739</v>
      </c>
      <c r="Q25" t="s">
        <v>1922</v>
      </c>
      <c r="R25" t="s">
        <v>1922</v>
      </c>
      <c r="AM25" t="s">
        <v>709</v>
      </c>
      <c r="AY25" t="s">
        <v>29</v>
      </c>
      <c r="BA25" t="s">
        <v>2018</v>
      </c>
      <c r="BB25" t="s">
        <v>1986</v>
      </c>
      <c r="BZ25" t="s">
        <v>709</v>
      </c>
      <c r="CA25" t="s">
        <v>915</v>
      </c>
      <c r="CB25">
        <v>22</v>
      </c>
      <c r="CC25" t="b">
        <v>1</v>
      </c>
      <c r="CD25" t="s">
        <v>2019</v>
      </c>
      <c r="CE25" s="1482">
        <v>45880.731793981482</v>
      </c>
    </row>
    <row r="26" spans="1:85" x14ac:dyDescent="0.25">
      <c r="A26">
        <v>2019</v>
      </c>
      <c r="B26" t="s">
        <v>4</v>
      </c>
      <c r="C26" t="s">
        <v>2020</v>
      </c>
      <c r="D26" t="s">
        <v>2021</v>
      </c>
      <c r="E26" t="s">
        <v>1136</v>
      </c>
      <c r="F26" t="s">
        <v>325</v>
      </c>
      <c r="G26" t="s">
        <v>1896</v>
      </c>
      <c r="H26" t="s">
        <v>59</v>
      </c>
      <c r="I26">
        <v>43557</v>
      </c>
      <c r="J26">
        <v>43662</v>
      </c>
      <c r="K26">
        <v>43676</v>
      </c>
      <c r="L26">
        <v>0</v>
      </c>
      <c r="M26" t="s">
        <v>2022</v>
      </c>
      <c r="N26" t="s">
        <v>120</v>
      </c>
      <c r="O26">
        <v>43676</v>
      </c>
      <c r="P26" t="s">
        <v>739</v>
      </c>
      <c r="Q26">
        <v>5133.3645999999999</v>
      </c>
      <c r="R26">
        <v>7.0000000000000007E-2</v>
      </c>
      <c r="V26">
        <v>1105</v>
      </c>
      <c r="X26">
        <v>87675.62</v>
      </c>
      <c r="Y26">
        <v>17171.7</v>
      </c>
      <c r="Z26">
        <v>2829.86</v>
      </c>
      <c r="AA26">
        <v>73333.78</v>
      </c>
      <c r="AM26" t="s">
        <v>116</v>
      </c>
      <c r="AN26">
        <v>43714</v>
      </c>
      <c r="AO26" t="s">
        <v>115</v>
      </c>
      <c r="AP26">
        <v>87915.96</v>
      </c>
      <c r="AQ26">
        <v>17171.7</v>
      </c>
      <c r="AR26">
        <v>13103.29</v>
      </c>
      <c r="AS26">
        <v>101019.25</v>
      </c>
      <c r="AT26">
        <v>27685.47</v>
      </c>
      <c r="AU26">
        <v>1937.9829</v>
      </c>
      <c r="AV26">
        <v>0</v>
      </c>
      <c r="AW26" t="s">
        <v>2023</v>
      </c>
      <c r="AY26">
        <v>43983</v>
      </c>
      <c r="BA26" t="s">
        <v>2024</v>
      </c>
      <c r="BB26" t="s">
        <v>1900</v>
      </c>
      <c r="BI26" t="s">
        <v>709</v>
      </c>
      <c r="BJ26" t="s">
        <v>709</v>
      </c>
      <c r="BK26" t="s">
        <v>709</v>
      </c>
      <c r="BL26" t="s">
        <v>116</v>
      </c>
      <c r="BM26" t="s">
        <v>709</v>
      </c>
      <c r="BN26" t="s">
        <v>709</v>
      </c>
      <c r="BO26" t="s">
        <v>709</v>
      </c>
      <c r="BP26" t="s">
        <v>709</v>
      </c>
      <c r="BQ26" t="s">
        <v>709</v>
      </c>
      <c r="BR26" t="s">
        <v>709</v>
      </c>
      <c r="BS26">
        <v>1105</v>
      </c>
      <c r="BT26" t="s">
        <v>709</v>
      </c>
      <c r="BU26" t="s">
        <v>709</v>
      </c>
      <c r="BV26" t="s">
        <v>709</v>
      </c>
      <c r="BW26" t="s">
        <v>709</v>
      </c>
      <c r="BX26" t="s">
        <v>709</v>
      </c>
      <c r="BY26" t="s">
        <v>709</v>
      </c>
      <c r="BZ26" t="s">
        <v>709</v>
      </c>
      <c r="CB26">
        <v>24</v>
      </c>
      <c r="CC26" t="b">
        <v>1</v>
      </c>
      <c r="CD26" t="s">
        <v>2025</v>
      </c>
      <c r="CE26" s="1482">
        <v>45880.731805555559</v>
      </c>
    </row>
    <row r="27" spans="1:85" x14ac:dyDescent="0.25">
      <c r="A27">
        <v>2019</v>
      </c>
      <c r="B27" t="s">
        <v>4</v>
      </c>
      <c r="C27" t="s">
        <v>2026</v>
      </c>
      <c r="D27" t="s">
        <v>115</v>
      </c>
      <c r="E27" t="s">
        <v>391</v>
      </c>
      <c r="F27" t="s">
        <v>325</v>
      </c>
      <c r="G27" t="s">
        <v>1896</v>
      </c>
      <c r="H27" t="s">
        <v>1903</v>
      </c>
      <c r="I27">
        <v>43665</v>
      </c>
      <c r="J27">
        <v>43686</v>
      </c>
      <c r="K27">
        <v>43678</v>
      </c>
      <c r="L27">
        <v>8</v>
      </c>
      <c r="M27" t="s">
        <v>2027</v>
      </c>
      <c r="N27" t="s">
        <v>120</v>
      </c>
      <c r="O27">
        <v>43678</v>
      </c>
      <c r="P27" t="s">
        <v>739</v>
      </c>
      <c r="Q27" t="s">
        <v>115</v>
      </c>
      <c r="R27" t="s">
        <v>115</v>
      </c>
      <c r="AA27">
        <v>0</v>
      </c>
      <c r="AM27" t="s">
        <v>709</v>
      </c>
      <c r="AY27" t="s">
        <v>29</v>
      </c>
      <c r="BA27" t="s">
        <v>2028</v>
      </c>
      <c r="CB27">
        <v>25</v>
      </c>
      <c r="CC27" t="b">
        <v>1</v>
      </c>
      <c r="CD27" t="s">
        <v>2029</v>
      </c>
      <c r="CE27" s="1482">
        <v>45880.731805555559</v>
      </c>
    </row>
    <row r="28" spans="1:85" x14ac:dyDescent="0.25">
      <c r="A28">
        <v>2019</v>
      </c>
      <c r="B28" t="s">
        <v>1073</v>
      </c>
      <c r="C28" t="s">
        <v>2030</v>
      </c>
      <c r="D28" t="s">
        <v>2031</v>
      </c>
      <c r="E28" t="s">
        <v>2032</v>
      </c>
      <c r="F28" t="s">
        <v>325</v>
      </c>
      <c r="G28" t="s">
        <v>1896</v>
      </c>
      <c r="H28" t="s">
        <v>59</v>
      </c>
      <c r="I28">
        <v>43619</v>
      </c>
      <c r="J28">
        <v>43675</v>
      </c>
      <c r="K28">
        <v>43678</v>
      </c>
      <c r="L28">
        <v>-3</v>
      </c>
      <c r="M28" t="s">
        <v>2033</v>
      </c>
      <c r="N28" t="s">
        <v>120</v>
      </c>
      <c r="O28">
        <v>43678</v>
      </c>
      <c r="P28" t="s">
        <v>739</v>
      </c>
      <c r="Q28" t="s">
        <v>1922</v>
      </c>
      <c r="R28" t="s">
        <v>1922</v>
      </c>
      <c r="V28">
        <v>2330</v>
      </c>
      <c r="AM28" t="s">
        <v>709</v>
      </c>
      <c r="AY28" t="s">
        <v>29</v>
      </c>
      <c r="BA28" t="s">
        <v>2034</v>
      </c>
      <c r="BI28" t="s">
        <v>709</v>
      </c>
      <c r="BJ28" t="s">
        <v>709</v>
      </c>
      <c r="BK28" t="s">
        <v>709</v>
      </c>
      <c r="BL28" t="s">
        <v>116</v>
      </c>
      <c r="BM28" t="s">
        <v>709</v>
      </c>
      <c r="BN28" t="s">
        <v>709</v>
      </c>
      <c r="BO28" t="s">
        <v>709</v>
      </c>
      <c r="BP28" t="s">
        <v>709</v>
      </c>
      <c r="BQ28" t="s">
        <v>709</v>
      </c>
      <c r="BR28">
        <v>2330</v>
      </c>
      <c r="BS28" t="s">
        <v>709</v>
      </c>
      <c r="BT28" t="s">
        <v>709</v>
      </c>
      <c r="BU28" t="s">
        <v>709</v>
      </c>
      <c r="BV28" t="s">
        <v>709</v>
      </c>
      <c r="BW28" t="s">
        <v>709</v>
      </c>
      <c r="BX28" t="s">
        <v>709</v>
      </c>
      <c r="BY28" t="s">
        <v>709</v>
      </c>
      <c r="BZ28" t="s">
        <v>709</v>
      </c>
      <c r="CB28">
        <v>26</v>
      </c>
      <c r="CC28" t="b">
        <v>1</v>
      </c>
      <c r="CD28" t="s">
        <v>2035</v>
      </c>
      <c r="CE28" s="1482">
        <v>45880.731805555559</v>
      </c>
    </row>
    <row r="29" spans="1:85" x14ac:dyDescent="0.25">
      <c r="A29">
        <v>2019</v>
      </c>
      <c r="B29" t="s">
        <v>4</v>
      </c>
      <c r="C29" t="s">
        <v>2036</v>
      </c>
      <c r="D29" t="s">
        <v>2037</v>
      </c>
      <c r="E29" t="s">
        <v>2038</v>
      </c>
      <c r="F29" t="s">
        <v>325</v>
      </c>
      <c r="G29" t="s">
        <v>1896</v>
      </c>
      <c r="H29" t="s">
        <v>59</v>
      </c>
      <c r="I29">
        <v>43592</v>
      </c>
      <c r="J29">
        <v>43669</v>
      </c>
      <c r="K29">
        <v>43682</v>
      </c>
      <c r="L29">
        <v>0</v>
      </c>
      <c r="M29" t="s">
        <v>2039</v>
      </c>
      <c r="N29" t="s">
        <v>120</v>
      </c>
      <c r="O29">
        <v>43682</v>
      </c>
      <c r="P29" t="s">
        <v>739</v>
      </c>
      <c r="Q29">
        <v>5384.4153999999999</v>
      </c>
      <c r="R29">
        <v>7.0000000000000007E-2</v>
      </c>
      <c r="V29">
        <v>250</v>
      </c>
      <c r="X29">
        <v>67548.399999999994</v>
      </c>
      <c r="Y29">
        <v>3080</v>
      </c>
      <c r="Z29">
        <v>12451.82</v>
      </c>
      <c r="AA29">
        <v>76920.22</v>
      </c>
      <c r="AM29" t="s">
        <v>116</v>
      </c>
      <c r="AN29">
        <v>43698</v>
      </c>
      <c r="AO29">
        <v>178507</v>
      </c>
      <c r="AP29">
        <v>68660.36</v>
      </c>
      <c r="AQ29">
        <v>3080</v>
      </c>
      <c r="AR29">
        <v>12453.84</v>
      </c>
      <c r="AS29">
        <v>81114.2</v>
      </c>
      <c r="AT29">
        <v>4193.9799999999996</v>
      </c>
      <c r="AU29">
        <v>293.57859999999999</v>
      </c>
      <c r="AV29">
        <v>0</v>
      </c>
      <c r="AW29" t="s">
        <v>2040</v>
      </c>
      <c r="AY29">
        <v>43983</v>
      </c>
      <c r="BA29" t="s">
        <v>2041</v>
      </c>
      <c r="BB29" t="s">
        <v>1900</v>
      </c>
      <c r="BI29" t="s">
        <v>709</v>
      </c>
      <c r="BJ29" t="s">
        <v>709</v>
      </c>
      <c r="BK29" t="s">
        <v>709</v>
      </c>
      <c r="BL29" t="s">
        <v>116</v>
      </c>
      <c r="BM29" t="s">
        <v>709</v>
      </c>
      <c r="BN29" t="s">
        <v>709</v>
      </c>
      <c r="BO29" t="s">
        <v>709</v>
      </c>
      <c r="BP29" t="s">
        <v>709</v>
      </c>
      <c r="BQ29" t="s">
        <v>709</v>
      </c>
      <c r="BR29">
        <v>250</v>
      </c>
      <c r="BS29" t="s">
        <v>709</v>
      </c>
      <c r="BT29" t="s">
        <v>709</v>
      </c>
      <c r="BU29" t="s">
        <v>709</v>
      </c>
      <c r="BV29" t="s">
        <v>709</v>
      </c>
      <c r="BW29" t="s">
        <v>709</v>
      </c>
      <c r="BX29" t="s">
        <v>709</v>
      </c>
      <c r="BY29" t="s">
        <v>709</v>
      </c>
      <c r="BZ29" t="s">
        <v>709</v>
      </c>
      <c r="CB29">
        <v>27</v>
      </c>
      <c r="CC29" t="b">
        <v>1</v>
      </c>
      <c r="CD29" t="s">
        <v>2042</v>
      </c>
      <c r="CE29" s="1482">
        <v>45880.731805555559</v>
      </c>
    </row>
    <row r="30" spans="1:85" x14ac:dyDescent="0.25">
      <c r="A30">
        <v>2019</v>
      </c>
      <c r="B30" t="s">
        <v>1073</v>
      </c>
      <c r="C30" t="s">
        <v>2043</v>
      </c>
      <c r="D30" t="s">
        <v>29</v>
      </c>
      <c r="E30" t="s">
        <v>2032</v>
      </c>
      <c r="F30" t="s">
        <v>325</v>
      </c>
      <c r="G30" t="s">
        <v>1896</v>
      </c>
      <c r="H30" t="s">
        <v>59</v>
      </c>
      <c r="I30">
        <v>43619</v>
      </c>
      <c r="J30">
        <v>43682</v>
      </c>
      <c r="K30">
        <v>43684</v>
      </c>
      <c r="L30">
        <v>0</v>
      </c>
      <c r="M30" t="s">
        <v>2044</v>
      </c>
      <c r="N30" t="s">
        <v>120</v>
      </c>
      <c r="O30">
        <v>43684</v>
      </c>
      <c r="P30" t="s">
        <v>115</v>
      </c>
      <c r="Q30" t="s">
        <v>115</v>
      </c>
      <c r="R30" t="s">
        <v>115</v>
      </c>
      <c r="V30" t="s">
        <v>2045</v>
      </c>
      <c r="AM30" t="s">
        <v>709</v>
      </c>
      <c r="AY30" t="s">
        <v>29</v>
      </c>
      <c r="BA30" t="s">
        <v>2046</v>
      </c>
      <c r="BB30" t="s">
        <v>787</v>
      </c>
      <c r="BI30" t="s">
        <v>709</v>
      </c>
      <c r="BJ30" t="s">
        <v>709</v>
      </c>
      <c r="BK30" t="s">
        <v>709</v>
      </c>
      <c r="BL30" t="s">
        <v>116</v>
      </c>
      <c r="BM30" t="s">
        <v>709</v>
      </c>
      <c r="BN30" t="s">
        <v>709</v>
      </c>
      <c r="BO30" t="s">
        <v>709</v>
      </c>
      <c r="BP30" t="s">
        <v>709</v>
      </c>
      <c r="BQ30">
        <v>365</v>
      </c>
      <c r="BR30">
        <v>1115</v>
      </c>
      <c r="BS30" t="s">
        <v>709</v>
      </c>
      <c r="BT30" t="s">
        <v>709</v>
      </c>
      <c r="BU30" t="s">
        <v>709</v>
      </c>
      <c r="BV30" t="s">
        <v>709</v>
      </c>
      <c r="BW30" t="s">
        <v>709</v>
      </c>
      <c r="BX30" t="s">
        <v>709</v>
      </c>
      <c r="BY30" t="s">
        <v>709</v>
      </c>
      <c r="BZ30" t="s">
        <v>709</v>
      </c>
      <c r="CB30">
        <v>29</v>
      </c>
      <c r="CC30" t="b">
        <v>1</v>
      </c>
      <c r="CD30" t="s">
        <v>2047</v>
      </c>
      <c r="CE30" s="1482">
        <v>45880.731805555559</v>
      </c>
    </row>
    <row r="31" spans="1:85" x14ac:dyDescent="0.25">
      <c r="A31">
        <v>2019</v>
      </c>
      <c r="B31" t="s">
        <v>1073</v>
      </c>
      <c r="C31" t="s">
        <v>2043</v>
      </c>
      <c r="D31" t="s">
        <v>2048</v>
      </c>
      <c r="E31" t="s">
        <v>2032</v>
      </c>
      <c r="F31" t="s">
        <v>325</v>
      </c>
      <c r="G31" t="s">
        <v>1896</v>
      </c>
      <c r="H31" t="s">
        <v>59</v>
      </c>
      <c r="I31">
        <v>43619</v>
      </c>
      <c r="J31">
        <v>43682</v>
      </c>
      <c r="K31">
        <v>43684</v>
      </c>
      <c r="L31">
        <v>0</v>
      </c>
      <c r="M31" t="s">
        <v>2044</v>
      </c>
      <c r="N31" t="s">
        <v>120</v>
      </c>
      <c r="O31">
        <v>43684</v>
      </c>
      <c r="P31" t="s">
        <v>739</v>
      </c>
      <c r="Q31" t="s">
        <v>1922</v>
      </c>
      <c r="R31" t="s">
        <v>1922</v>
      </c>
      <c r="V31">
        <v>1480</v>
      </c>
      <c r="X31">
        <v>132658.07999999999</v>
      </c>
      <c r="Z31">
        <v>8938.9500000000007</v>
      </c>
      <c r="AM31" t="s">
        <v>709</v>
      </c>
      <c r="AY31" t="s">
        <v>29</v>
      </c>
      <c r="BA31" t="s">
        <v>2049</v>
      </c>
      <c r="BB31" t="s">
        <v>969</v>
      </c>
      <c r="BI31" t="s">
        <v>709</v>
      </c>
      <c r="BJ31" t="s">
        <v>709</v>
      </c>
      <c r="BK31" t="s">
        <v>709</v>
      </c>
      <c r="BL31" t="s">
        <v>116</v>
      </c>
      <c r="BM31" t="s">
        <v>709</v>
      </c>
      <c r="BN31" t="s">
        <v>709</v>
      </c>
      <c r="BO31" t="s">
        <v>709</v>
      </c>
      <c r="BP31" t="s">
        <v>709</v>
      </c>
      <c r="BQ31">
        <v>365</v>
      </c>
      <c r="BR31">
        <v>1115</v>
      </c>
      <c r="BS31" t="s">
        <v>709</v>
      </c>
      <c r="BT31" t="s">
        <v>709</v>
      </c>
      <c r="BU31" t="s">
        <v>709</v>
      </c>
      <c r="BV31" t="s">
        <v>709</v>
      </c>
      <c r="BW31" t="s">
        <v>709</v>
      </c>
      <c r="BX31" t="s">
        <v>709</v>
      </c>
      <c r="BY31" t="s">
        <v>709</v>
      </c>
      <c r="BZ31" t="s">
        <v>709</v>
      </c>
      <c r="CB31">
        <v>28</v>
      </c>
      <c r="CC31" t="b">
        <v>1</v>
      </c>
      <c r="CD31" t="s">
        <v>2050</v>
      </c>
      <c r="CE31" s="1482">
        <v>45880.731805555559</v>
      </c>
    </row>
    <row r="32" spans="1:85" x14ac:dyDescent="0.25">
      <c r="A32">
        <v>2019</v>
      </c>
      <c r="B32" t="s">
        <v>1073</v>
      </c>
      <c r="C32" t="s">
        <v>2030</v>
      </c>
      <c r="D32" t="s">
        <v>2031</v>
      </c>
      <c r="E32" t="s">
        <v>2032</v>
      </c>
      <c r="F32" t="s">
        <v>325</v>
      </c>
      <c r="G32" t="s">
        <v>1896</v>
      </c>
      <c r="H32" t="s">
        <v>2051</v>
      </c>
      <c r="I32">
        <v>43619</v>
      </c>
      <c r="J32" t="s">
        <v>2052</v>
      </c>
      <c r="K32">
        <v>43698</v>
      </c>
      <c r="L32">
        <v>79</v>
      </c>
      <c r="M32" t="s">
        <v>2053</v>
      </c>
      <c r="N32" t="s">
        <v>120</v>
      </c>
      <c r="O32">
        <v>43709</v>
      </c>
      <c r="P32" t="s">
        <v>739</v>
      </c>
      <c r="Q32">
        <v>420</v>
      </c>
      <c r="R32" t="s">
        <v>1922</v>
      </c>
      <c r="V32">
        <v>2330</v>
      </c>
      <c r="AM32" t="s">
        <v>709</v>
      </c>
      <c r="AY32" t="s">
        <v>29</v>
      </c>
      <c r="BA32">
        <v>4</v>
      </c>
      <c r="BI32" t="s">
        <v>709</v>
      </c>
      <c r="BJ32" t="s">
        <v>709</v>
      </c>
      <c r="BK32" t="s">
        <v>709</v>
      </c>
      <c r="BL32" t="s">
        <v>116</v>
      </c>
      <c r="BM32" t="s">
        <v>709</v>
      </c>
      <c r="BN32" t="s">
        <v>709</v>
      </c>
      <c r="BO32" t="s">
        <v>709</v>
      </c>
      <c r="BP32" t="s">
        <v>709</v>
      </c>
      <c r="BQ32" t="s">
        <v>709</v>
      </c>
      <c r="BR32">
        <v>2330</v>
      </c>
      <c r="BS32" t="s">
        <v>709</v>
      </c>
      <c r="BT32" t="s">
        <v>709</v>
      </c>
      <c r="BU32" t="s">
        <v>709</v>
      </c>
      <c r="BV32" t="s">
        <v>709</v>
      </c>
      <c r="BW32" t="s">
        <v>709</v>
      </c>
      <c r="BX32" t="s">
        <v>709</v>
      </c>
      <c r="BY32" t="s">
        <v>709</v>
      </c>
      <c r="BZ32" t="s">
        <v>709</v>
      </c>
      <c r="CB32">
        <v>30</v>
      </c>
      <c r="CC32" t="b">
        <v>1</v>
      </c>
      <c r="CD32" t="s">
        <v>2054</v>
      </c>
      <c r="CE32" s="1482">
        <v>45880.731805555559</v>
      </c>
    </row>
    <row r="33" spans="1:83" x14ac:dyDescent="0.25">
      <c r="A33">
        <v>2020</v>
      </c>
      <c r="B33" t="s">
        <v>771</v>
      </c>
      <c r="C33" t="s">
        <v>1998</v>
      </c>
      <c r="D33" t="s">
        <v>1999</v>
      </c>
      <c r="E33" t="s">
        <v>2000</v>
      </c>
      <c r="F33" t="s">
        <v>325</v>
      </c>
      <c r="G33" t="s">
        <v>1896</v>
      </c>
      <c r="H33" t="s">
        <v>2051</v>
      </c>
      <c r="I33">
        <v>43480</v>
      </c>
      <c r="J33" t="s">
        <v>2052</v>
      </c>
      <c r="K33">
        <v>43700</v>
      </c>
      <c r="L33">
        <v>220</v>
      </c>
      <c r="M33" t="s">
        <v>2055</v>
      </c>
      <c r="N33" t="s">
        <v>120</v>
      </c>
      <c r="O33">
        <v>43709</v>
      </c>
      <c r="P33" t="s">
        <v>120</v>
      </c>
      <c r="Q33">
        <v>1540</v>
      </c>
      <c r="R33" t="s">
        <v>1922</v>
      </c>
      <c r="AM33" t="s">
        <v>709</v>
      </c>
      <c r="AY33" t="s">
        <v>29</v>
      </c>
      <c r="BA33">
        <v>10</v>
      </c>
      <c r="BI33" t="s">
        <v>709</v>
      </c>
      <c r="BJ33" t="s">
        <v>709</v>
      </c>
      <c r="BK33" t="s">
        <v>709</v>
      </c>
      <c r="BL33" t="s">
        <v>116</v>
      </c>
      <c r="BM33" t="s">
        <v>709</v>
      </c>
      <c r="BN33" t="s">
        <v>709</v>
      </c>
      <c r="BO33" t="s">
        <v>709</v>
      </c>
      <c r="BP33" t="s">
        <v>709</v>
      </c>
      <c r="BQ33" t="s">
        <v>709</v>
      </c>
      <c r="BR33" t="s">
        <v>709</v>
      </c>
      <c r="BS33">
        <v>2340</v>
      </c>
      <c r="BT33" t="s">
        <v>709</v>
      </c>
      <c r="BU33" t="s">
        <v>709</v>
      </c>
      <c r="BV33" t="s">
        <v>709</v>
      </c>
      <c r="BW33" t="s">
        <v>709</v>
      </c>
      <c r="BX33" t="s">
        <v>709</v>
      </c>
      <c r="BY33" t="s">
        <v>709</v>
      </c>
      <c r="BZ33" t="s">
        <v>709</v>
      </c>
      <c r="CB33">
        <v>31</v>
      </c>
      <c r="CC33" t="b">
        <v>1</v>
      </c>
      <c r="CD33" t="s">
        <v>2056</v>
      </c>
      <c r="CE33" s="1482">
        <v>45880.731805555559</v>
      </c>
    </row>
    <row r="34" spans="1:83" x14ac:dyDescent="0.25">
      <c r="A34">
        <v>2019</v>
      </c>
      <c r="B34" t="s">
        <v>771</v>
      </c>
      <c r="C34" t="s">
        <v>1889</v>
      </c>
      <c r="D34" t="s">
        <v>1890</v>
      </c>
      <c r="E34" t="s">
        <v>141</v>
      </c>
      <c r="F34" t="s">
        <v>1891</v>
      </c>
      <c r="G34" t="s">
        <v>1887</v>
      </c>
      <c r="H34" t="s">
        <v>2051</v>
      </c>
      <c r="I34">
        <v>42852</v>
      </c>
      <c r="J34" t="s">
        <v>2052</v>
      </c>
      <c r="K34">
        <v>43703</v>
      </c>
      <c r="L34">
        <v>851</v>
      </c>
      <c r="M34" t="s">
        <v>2057</v>
      </c>
      <c r="N34" t="s">
        <v>120</v>
      </c>
      <c r="O34">
        <v>43709</v>
      </c>
      <c r="P34" t="s">
        <v>739</v>
      </c>
      <c r="Q34">
        <v>5027.5</v>
      </c>
      <c r="R34" t="s">
        <v>1922</v>
      </c>
      <c r="AM34" t="s">
        <v>709</v>
      </c>
      <c r="AY34" t="s">
        <v>29</v>
      </c>
      <c r="BA34">
        <v>6</v>
      </c>
      <c r="BZ34" t="s">
        <v>709</v>
      </c>
      <c r="CA34" t="s">
        <v>1053</v>
      </c>
      <c r="CB34">
        <v>32</v>
      </c>
      <c r="CC34" t="b">
        <v>1</v>
      </c>
      <c r="CD34" t="s">
        <v>2058</v>
      </c>
      <c r="CE34" s="1482">
        <v>45880.731817129628</v>
      </c>
    </row>
    <row r="35" spans="1:83" x14ac:dyDescent="0.25">
      <c r="A35">
        <v>2019</v>
      </c>
      <c r="B35" t="s">
        <v>1073</v>
      </c>
      <c r="C35" t="s">
        <v>2059</v>
      </c>
      <c r="D35" t="s">
        <v>2060</v>
      </c>
      <c r="E35" t="s">
        <v>2061</v>
      </c>
      <c r="F35" t="s">
        <v>919</v>
      </c>
      <c r="G35" t="s">
        <v>1896</v>
      </c>
      <c r="H35" t="s">
        <v>59</v>
      </c>
      <c r="I35">
        <v>43635</v>
      </c>
      <c r="J35">
        <v>43696</v>
      </c>
      <c r="K35">
        <v>43704</v>
      </c>
      <c r="L35">
        <v>0</v>
      </c>
      <c r="M35" t="s">
        <v>2062</v>
      </c>
      <c r="N35" t="s">
        <v>120</v>
      </c>
      <c r="O35">
        <v>43709</v>
      </c>
      <c r="P35" t="s">
        <v>739</v>
      </c>
      <c r="Q35" t="s">
        <v>115</v>
      </c>
      <c r="R35" t="s">
        <v>115</v>
      </c>
      <c r="V35" t="s">
        <v>2045</v>
      </c>
      <c r="AM35" t="s">
        <v>709</v>
      </c>
      <c r="AY35" t="s">
        <v>29</v>
      </c>
      <c r="BA35" t="s">
        <v>2063</v>
      </c>
      <c r="BI35" t="s">
        <v>709</v>
      </c>
      <c r="BJ35" t="s">
        <v>709</v>
      </c>
      <c r="BK35" t="s">
        <v>709</v>
      </c>
      <c r="BL35" t="s">
        <v>116</v>
      </c>
      <c r="BM35" t="s">
        <v>709</v>
      </c>
      <c r="BN35" t="s">
        <v>709</v>
      </c>
      <c r="BO35" t="s">
        <v>709</v>
      </c>
      <c r="BP35" t="s">
        <v>709</v>
      </c>
      <c r="BQ35" t="s">
        <v>709</v>
      </c>
      <c r="BR35">
        <v>3140</v>
      </c>
      <c r="BS35">
        <v>95</v>
      </c>
      <c r="BT35" t="s">
        <v>709</v>
      </c>
      <c r="BU35" t="s">
        <v>709</v>
      </c>
      <c r="BV35" t="s">
        <v>709</v>
      </c>
      <c r="BW35" t="s">
        <v>709</v>
      </c>
      <c r="BX35" t="s">
        <v>709</v>
      </c>
      <c r="BY35" t="s">
        <v>709</v>
      </c>
      <c r="BZ35" t="s">
        <v>709</v>
      </c>
      <c r="CB35">
        <v>35</v>
      </c>
      <c r="CC35" t="b">
        <v>1</v>
      </c>
      <c r="CD35" t="s">
        <v>2064</v>
      </c>
      <c r="CE35" s="1482">
        <v>45880.731817129628</v>
      </c>
    </row>
    <row r="36" spans="1:83" x14ac:dyDescent="0.25">
      <c r="A36">
        <v>2019</v>
      </c>
      <c r="B36" t="s">
        <v>1073</v>
      </c>
      <c r="C36" t="s">
        <v>2059</v>
      </c>
      <c r="D36" t="s">
        <v>2065</v>
      </c>
      <c r="E36" t="s">
        <v>2061</v>
      </c>
      <c r="F36" t="s">
        <v>919</v>
      </c>
      <c r="G36" t="s">
        <v>1896</v>
      </c>
      <c r="H36" t="s">
        <v>59</v>
      </c>
      <c r="I36">
        <v>43635</v>
      </c>
      <c r="J36">
        <v>43696</v>
      </c>
      <c r="K36">
        <v>43704</v>
      </c>
      <c r="L36">
        <v>0</v>
      </c>
      <c r="M36" t="s">
        <v>2062</v>
      </c>
      <c r="N36" t="s">
        <v>120</v>
      </c>
      <c r="O36">
        <v>43704</v>
      </c>
      <c r="P36" t="s">
        <v>739</v>
      </c>
      <c r="Q36" t="s">
        <v>1922</v>
      </c>
      <c r="R36" t="s">
        <v>1922</v>
      </c>
      <c r="V36">
        <v>3235</v>
      </c>
      <c r="AM36" t="s">
        <v>709</v>
      </c>
      <c r="AW36" s="4"/>
      <c r="AY36" t="s">
        <v>29</v>
      </c>
      <c r="BA36" t="s">
        <v>2066</v>
      </c>
      <c r="BI36" t="s">
        <v>709</v>
      </c>
      <c r="BJ36" t="s">
        <v>709</v>
      </c>
      <c r="BK36" t="s">
        <v>709</v>
      </c>
      <c r="BL36" t="s">
        <v>116</v>
      </c>
      <c r="BM36" t="s">
        <v>709</v>
      </c>
      <c r="BN36" t="s">
        <v>709</v>
      </c>
      <c r="BO36" t="s">
        <v>709</v>
      </c>
      <c r="BP36" t="s">
        <v>709</v>
      </c>
      <c r="BQ36" t="s">
        <v>709</v>
      </c>
      <c r="BR36">
        <v>3140</v>
      </c>
      <c r="BS36">
        <v>95</v>
      </c>
      <c r="BT36" t="s">
        <v>709</v>
      </c>
      <c r="BU36" t="s">
        <v>709</v>
      </c>
      <c r="BV36" t="s">
        <v>709</v>
      </c>
      <c r="BW36" t="s">
        <v>709</v>
      </c>
      <c r="BX36" t="s">
        <v>709</v>
      </c>
      <c r="BY36" t="s">
        <v>709</v>
      </c>
      <c r="BZ36" t="s">
        <v>709</v>
      </c>
      <c r="CB36">
        <v>33</v>
      </c>
      <c r="CC36" t="b">
        <v>1</v>
      </c>
      <c r="CD36" t="s">
        <v>2067</v>
      </c>
      <c r="CE36" s="1482">
        <v>45880.731817129628</v>
      </c>
    </row>
    <row r="37" spans="1:83" x14ac:dyDescent="0.25">
      <c r="A37">
        <v>2020</v>
      </c>
      <c r="B37" t="s">
        <v>4</v>
      </c>
      <c r="C37" t="s">
        <v>2068</v>
      </c>
      <c r="D37" t="s">
        <v>115</v>
      </c>
      <c r="E37" t="s">
        <v>1159</v>
      </c>
      <c r="F37" t="s">
        <v>919</v>
      </c>
      <c r="G37" t="s">
        <v>1896</v>
      </c>
      <c r="H37" t="s">
        <v>1903</v>
      </c>
      <c r="I37">
        <v>43661</v>
      </c>
      <c r="J37">
        <v>43756</v>
      </c>
      <c r="K37">
        <v>43704</v>
      </c>
      <c r="L37">
        <v>52</v>
      </c>
      <c r="M37" t="s">
        <v>2069</v>
      </c>
      <c r="N37" t="s">
        <v>120</v>
      </c>
      <c r="O37">
        <v>43709</v>
      </c>
      <c r="P37" t="s">
        <v>739</v>
      </c>
      <c r="Q37" t="s">
        <v>115</v>
      </c>
      <c r="R37" t="s">
        <v>115</v>
      </c>
      <c r="AA37">
        <v>0</v>
      </c>
      <c r="AM37" t="s">
        <v>709</v>
      </c>
      <c r="AW37" s="4"/>
      <c r="AY37" t="s">
        <v>29</v>
      </c>
      <c r="BA37" t="s">
        <v>2070</v>
      </c>
      <c r="CB37">
        <v>34</v>
      </c>
      <c r="CC37" t="b">
        <v>1</v>
      </c>
      <c r="CD37" t="s">
        <v>2071</v>
      </c>
      <c r="CE37" s="1482">
        <v>45880.731817129628</v>
      </c>
    </row>
    <row r="38" spans="1:83" ht="330" x14ac:dyDescent="0.25">
      <c r="A38">
        <v>2019</v>
      </c>
      <c r="B38" t="s">
        <v>4</v>
      </c>
      <c r="C38" t="s">
        <v>2072</v>
      </c>
      <c r="D38" t="s">
        <v>2073</v>
      </c>
      <c r="E38" t="s">
        <v>2074</v>
      </c>
      <c r="F38" t="s">
        <v>919</v>
      </c>
      <c r="G38" t="s">
        <v>1896</v>
      </c>
      <c r="H38" t="s">
        <v>59</v>
      </c>
      <c r="I38">
        <v>43643</v>
      </c>
      <c r="J38">
        <v>43699</v>
      </c>
      <c r="K38">
        <v>43712</v>
      </c>
      <c r="L38">
        <v>0</v>
      </c>
      <c r="M38" t="s">
        <v>2039</v>
      </c>
      <c r="N38" t="s">
        <v>120</v>
      </c>
      <c r="O38">
        <v>43712</v>
      </c>
      <c r="P38" t="s">
        <v>739</v>
      </c>
      <c r="Q38">
        <v>9819.2311000000009</v>
      </c>
      <c r="R38">
        <v>7.0000000000000007E-2</v>
      </c>
      <c r="V38">
        <v>820</v>
      </c>
      <c r="X38">
        <v>140563.48000000001</v>
      </c>
      <c r="Y38">
        <v>12742.8</v>
      </c>
      <c r="Z38">
        <v>12454.05</v>
      </c>
      <c r="AA38">
        <v>140274.73000000001</v>
      </c>
      <c r="AM38" t="s">
        <v>116</v>
      </c>
      <c r="AN38">
        <v>43770</v>
      </c>
      <c r="AO38">
        <v>181376</v>
      </c>
      <c r="AP38">
        <v>158799.18</v>
      </c>
      <c r="AQ38">
        <v>12742.8</v>
      </c>
      <c r="AR38">
        <v>12454.05</v>
      </c>
      <c r="AS38">
        <v>171253.23</v>
      </c>
      <c r="AT38">
        <v>30978.5</v>
      </c>
      <c r="AU38">
        <v>2168.4949999999999</v>
      </c>
      <c r="AV38">
        <v>6120</v>
      </c>
      <c r="AW38" s="4" t="s">
        <v>2075</v>
      </c>
      <c r="AY38">
        <v>43983</v>
      </c>
      <c r="BA38" t="s">
        <v>2076</v>
      </c>
      <c r="BB38" t="s">
        <v>1900</v>
      </c>
      <c r="BI38" t="s">
        <v>709</v>
      </c>
      <c r="BJ38" t="s">
        <v>709</v>
      </c>
      <c r="BK38" t="s">
        <v>116</v>
      </c>
      <c r="BL38" t="s">
        <v>709</v>
      </c>
      <c r="BM38" t="s">
        <v>709</v>
      </c>
      <c r="BN38" t="s">
        <v>709</v>
      </c>
      <c r="BO38" t="s">
        <v>709</v>
      </c>
      <c r="BP38" t="s">
        <v>709</v>
      </c>
      <c r="BQ38" t="s">
        <v>709</v>
      </c>
      <c r="BR38">
        <v>820</v>
      </c>
      <c r="BS38" t="s">
        <v>709</v>
      </c>
      <c r="BT38" t="s">
        <v>709</v>
      </c>
      <c r="BU38" t="s">
        <v>709</v>
      </c>
      <c r="BV38" t="s">
        <v>709</v>
      </c>
      <c r="BW38" t="s">
        <v>709</v>
      </c>
      <c r="BX38" t="s">
        <v>709</v>
      </c>
      <c r="BY38" t="s">
        <v>709</v>
      </c>
      <c r="BZ38" t="s">
        <v>709</v>
      </c>
      <c r="CB38">
        <v>36</v>
      </c>
      <c r="CC38" t="b">
        <v>1</v>
      </c>
      <c r="CD38" t="s">
        <v>2077</v>
      </c>
      <c r="CE38" s="1482">
        <v>45880.731817129628</v>
      </c>
    </row>
    <row r="39" spans="1:83" x14ac:dyDescent="0.25">
      <c r="A39">
        <v>2019</v>
      </c>
      <c r="B39" t="s">
        <v>4</v>
      </c>
      <c r="C39" t="s">
        <v>2078</v>
      </c>
      <c r="D39" t="s">
        <v>2079</v>
      </c>
      <c r="E39" t="s">
        <v>245</v>
      </c>
      <c r="F39" t="s">
        <v>325</v>
      </c>
      <c r="G39" t="s">
        <v>1896</v>
      </c>
      <c r="H39" t="s">
        <v>59</v>
      </c>
      <c r="I39">
        <v>43523</v>
      </c>
      <c r="J39">
        <v>43710</v>
      </c>
      <c r="K39">
        <v>43712</v>
      </c>
      <c r="L39">
        <v>0</v>
      </c>
      <c r="M39" t="s">
        <v>2080</v>
      </c>
      <c r="N39" t="s">
        <v>120</v>
      </c>
      <c r="O39">
        <v>43712</v>
      </c>
      <c r="P39" t="s">
        <v>739</v>
      </c>
      <c r="Q39">
        <v>13429.945900000001</v>
      </c>
      <c r="R39">
        <v>7.0000000000000007E-2</v>
      </c>
      <c r="V39">
        <v>960</v>
      </c>
      <c r="X39">
        <v>184975.74</v>
      </c>
      <c r="Y39">
        <v>15151.5</v>
      </c>
      <c r="Z39">
        <v>22032.13</v>
      </c>
      <c r="AA39">
        <v>191856.37</v>
      </c>
      <c r="AM39" t="s">
        <v>116</v>
      </c>
      <c r="AN39">
        <v>43874</v>
      </c>
      <c r="AO39">
        <v>182014</v>
      </c>
      <c r="AP39">
        <v>182124.16</v>
      </c>
      <c r="AQ39">
        <v>14918.4</v>
      </c>
      <c r="AR39">
        <v>24047.9</v>
      </c>
      <c r="AS39">
        <v>206172.06</v>
      </c>
      <c r="AT39">
        <v>14315.69</v>
      </c>
      <c r="AU39">
        <v>1002.0983</v>
      </c>
      <c r="AV39">
        <v>3617.5</v>
      </c>
      <c r="AW39" t="s">
        <v>2081</v>
      </c>
      <c r="AY39" t="s">
        <v>1935</v>
      </c>
      <c r="BA39" t="s">
        <v>2082</v>
      </c>
      <c r="BB39" t="s">
        <v>2083</v>
      </c>
      <c r="BI39" t="s">
        <v>709</v>
      </c>
      <c r="BJ39" t="s">
        <v>709</v>
      </c>
      <c r="BK39" t="s">
        <v>709</v>
      </c>
      <c r="BL39" t="s">
        <v>116</v>
      </c>
      <c r="BM39" t="s">
        <v>709</v>
      </c>
      <c r="BN39" t="s">
        <v>709</v>
      </c>
      <c r="BO39" t="s">
        <v>709</v>
      </c>
      <c r="BP39" t="s">
        <v>709</v>
      </c>
      <c r="BQ39">
        <v>285</v>
      </c>
      <c r="BR39" t="s">
        <v>709</v>
      </c>
      <c r="BS39" t="s">
        <v>709</v>
      </c>
      <c r="BT39" t="s">
        <v>709</v>
      </c>
      <c r="BU39" t="s">
        <v>709</v>
      </c>
      <c r="BV39" t="s">
        <v>709</v>
      </c>
      <c r="BW39" t="s">
        <v>709</v>
      </c>
      <c r="BX39" t="s">
        <v>709</v>
      </c>
      <c r="BY39" t="s">
        <v>709</v>
      </c>
      <c r="BZ39" t="s">
        <v>709</v>
      </c>
      <c r="CB39">
        <v>37</v>
      </c>
      <c r="CC39" t="b">
        <v>1</v>
      </c>
      <c r="CD39" t="s">
        <v>2084</v>
      </c>
      <c r="CE39" s="1482">
        <v>45880.731817129628</v>
      </c>
    </row>
    <row r="40" spans="1:83" x14ac:dyDescent="0.25">
      <c r="A40">
        <v>2020</v>
      </c>
      <c r="B40" t="s">
        <v>771</v>
      </c>
      <c r="C40" t="s">
        <v>2085</v>
      </c>
      <c r="D40" t="s">
        <v>2086</v>
      </c>
      <c r="E40" t="s">
        <v>104</v>
      </c>
      <c r="F40" t="s">
        <v>325</v>
      </c>
      <c r="G40" t="s">
        <v>1896</v>
      </c>
      <c r="H40" t="s">
        <v>59</v>
      </c>
      <c r="I40">
        <v>43621</v>
      </c>
      <c r="J40">
        <v>43713</v>
      </c>
      <c r="K40">
        <v>43713</v>
      </c>
      <c r="L40">
        <v>0</v>
      </c>
      <c r="M40" t="s">
        <v>115</v>
      </c>
      <c r="N40" t="s">
        <v>120</v>
      </c>
      <c r="O40">
        <v>43713</v>
      </c>
      <c r="P40" t="s">
        <v>120</v>
      </c>
      <c r="Q40">
        <v>8742</v>
      </c>
      <c r="R40" t="s">
        <v>2087</v>
      </c>
      <c r="V40">
        <v>5640</v>
      </c>
      <c r="X40">
        <v>676237.73</v>
      </c>
      <c r="Y40">
        <v>87645.6</v>
      </c>
      <c r="Z40">
        <v>32194.99</v>
      </c>
      <c r="AA40">
        <v>620787.12</v>
      </c>
      <c r="AM40" t="s">
        <v>709</v>
      </c>
      <c r="AY40" t="s">
        <v>29</v>
      </c>
      <c r="BA40" t="s">
        <v>2088</v>
      </c>
      <c r="BI40" t="s">
        <v>709</v>
      </c>
      <c r="BJ40" t="s">
        <v>709</v>
      </c>
      <c r="BK40" t="s">
        <v>709</v>
      </c>
      <c r="BL40" t="s">
        <v>116</v>
      </c>
      <c r="BM40" t="s">
        <v>709</v>
      </c>
      <c r="BN40" t="s">
        <v>709</v>
      </c>
      <c r="BO40" t="s">
        <v>709</v>
      </c>
      <c r="BP40" t="s">
        <v>709</v>
      </c>
      <c r="BQ40" t="s">
        <v>709</v>
      </c>
      <c r="BR40" t="s">
        <v>709</v>
      </c>
      <c r="BS40">
        <v>5640</v>
      </c>
      <c r="BT40" t="s">
        <v>709</v>
      </c>
      <c r="BU40" t="s">
        <v>709</v>
      </c>
      <c r="BV40" t="s">
        <v>709</v>
      </c>
      <c r="BW40" t="s">
        <v>709</v>
      </c>
      <c r="BX40" t="s">
        <v>709</v>
      </c>
      <c r="BY40" t="s">
        <v>709</v>
      </c>
      <c r="BZ40" t="s">
        <v>709</v>
      </c>
      <c r="CB40">
        <v>38</v>
      </c>
      <c r="CC40" t="b">
        <v>1</v>
      </c>
      <c r="CD40" t="s">
        <v>2089</v>
      </c>
      <c r="CE40" s="1482">
        <v>45880.731817129628</v>
      </c>
    </row>
    <row r="41" spans="1:83" x14ac:dyDescent="0.25">
      <c r="A41">
        <v>2019</v>
      </c>
      <c r="B41" t="s">
        <v>4</v>
      </c>
      <c r="C41" t="s">
        <v>2090</v>
      </c>
      <c r="D41" t="s">
        <v>2091</v>
      </c>
      <c r="E41" t="s">
        <v>2092</v>
      </c>
      <c r="F41" t="s">
        <v>919</v>
      </c>
      <c r="G41" t="s">
        <v>1896</v>
      </c>
      <c r="H41" t="s">
        <v>59</v>
      </c>
      <c r="I41">
        <v>43655</v>
      </c>
      <c r="J41">
        <v>43718</v>
      </c>
      <c r="K41">
        <v>43718</v>
      </c>
      <c r="L41">
        <v>0</v>
      </c>
      <c r="M41" t="s">
        <v>115</v>
      </c>
      <c r="N41" t="s">
        <v>120</v>
      </c>
      <c r="O41">
        <v>43718</v>
      </c>
      <c r="P41" t="s">
        <v>739</v>
      </c>
      <c r="Q41">
        <v>15941.7377</v>
      </c>
      <c r="R41">
        <v>7.0000000000000007E-2</v>
      </c>
      <c r="V41">
        <v>705</v>
      </c>
      <c r="X41">
        <v>234992.78</v>
      </c>
      <c r="Y41">
        <v>10955.7</v>
      </c>
      <c r="Z41">
        <v>3702.03</v>
      </c>
      <c r="AA41">
        <v>227739.11</v>
      </c>
      <c r="AM41" t="s">
        <v>116</v>
      </c>
      <c r="AN41">
        <v>43767</v>
      </c>
      <c r="AO41">
        <v>179789</v>
      </c>
      <c r="AP41">
        <v>205952.33</v>
      </c>
      <c r="AQ41">
        <v>10955.7</v>
      </c>
      <c r="AR41">
        <v>8225.7800000000007</v>
      </c>
      <c r="AS41">
        <v>214178.11</v>
      </c>
      <c r="AT41">
        <v>-13561</v>
      </c>
      <c r="AU41">
        <v>-949.27</v>
      </c>
      <c r="AV41">
        <v>0</v>
      </c>
      <c r="AW41" t="s">
        <v>2093</v>
      </c>
      <c r="AY41">
        <v>43983</v>
      </c>
      <c r="BA41" t="s">
        <v>2094</v>
      </c>
      <c r="BB41" t="s">
        <v>2083</v>
      </c>
      <c r="BI41" t="s">
        <v>709</v>
      </c>
      <c r="BJ41" t="s">
        <v>709</v>
      </c>
      <c r="BK41" t="s">
        <v>709</v>
      </c>
      <c r="BL41" t="s">
        <v>116</v>
      </c>
      <c r="BM41" t="s">
        <v>709</v>
      </c>
      <c r="BN41" t="s">
        <v>709</v>
      </c>
      <c r="BO41" t="s">
        <v>709</v>
      </c>
      <c r="BP41" t="s">
        <v>709</v>
      </c>
      <c r="BQ41" t="s">
        <v>709</v>
      </c>
      <c r="BR41" t="s">
        <v>709</v>
      </c>
      <c r="BS41">
        <v>705</v>
      </c>
      <c r="BT41" t="s">
        <v>709</v>
      </c>
      <c r="BU41" t="s">
        <v>709</v>
      </c>
      <c r="BV41" t="s">
        <v>709</v>
      </c>
      <c r="BW41" t="s">
        <v>709</v>
      </c>
      <c r="BX41" t="s">
        <v>709</v>
      </c>
      <c r="BY41" t="s">
        <v>709</v>
      </c>
      <c r="BZ41" t="s">
        <v>709</v>
      </c>
      <c r="CB41">
        <v>39</v>
      </c>
      <c r="CC41" t="b">
        <v>1</v>
      </c>
      <c r="CD41" t="s">
        <v>2095</v>
      </c>
      <c r="CE41" s="1482">
        <v>45880.731828703705</v>
      </c>
    </row>
    <row r="42" spans="1:83" x14ac:dyDescent="0.25">
      <c r="A42">
        <v>2020</v>
      </c>
      <c r="B42" t="s">
        <v>771</v>
      </c>
      <c r="C42" t="s">
        <v>2096</v>
      </c>
      <c r="D42" t="s">
        <v>2097</v>
      </c>
      <c r="E42" t="s">
        <v>249</v>
      </c>
      <c r="F42" t="s">
        <v>325</v>
      </c>
      <c r="G42" t="s">
        <v>1896</v>
      </c>
      <c r="H42" t="s">
        <v>59</v>
      </c>
      <c r="I42">
        <v>43626</v>
      </c>
      <c r="J42">
        <v>43720</v>
      </c>
      <c r="K42">
        <v>43720</v>
      </c>
      <c r="L42">
        <v>0</v>
      </c>
      <c r="M42" t="s">
        <v>115</v>
      </c>
      <c r="N42" t="s">
        <v>120</v>
      </c>
      <c r="O42">
        <v>43720</v>
      </c>
      <c r="P42" t="s">
        <v>120</v>
      </c>
      <c r="Q42">
        <v>13520</v>
      </c>
      <c r="R42" t="s">
        <v>1922</v>
      </c>
      <c r="V42">
        <v>155</v>
      </c>
      <c r="X42">
        <v>41212.97</v>
      </c>
      <c r="Y42">
        <v>0</v>
      </c>
      <c r="Z42">
        <v>26941.99</v>
      </c>
      <c r="AA42">
        <v>68154.960000000006</v>
      </c>
      <c r="AM42" t="s">
        <v>709</v>
      </c>
      <c r="AY42" t="s">
        <v>29</v>
      </c>
      <c r="BA42" t="s">
        <v>2098</v>
      </c>
      <c r="BB42" s="4"/>
      <c r="BI42" t="s">
        <v>709</v>
      </c>
      <c r="BJ42" t="s">
        <v>709</v>
      </c>
      <c r="BK42" t="s">
        <v>709</v>
      </c>
      <c r="BL42" t="s">
        <v>116</v>
      </c>
      <c r="BM42" t="s">
        <v>709</v>
      </c>
      <c r="BN42" t="s">
        <v>709</v>
      </c>
      <c r="BO42" t="s">
        <v>709</v>
      </c>
      <c r="BP42" t="s">
        <v>709</v>
      </c>
      <c r="BQ42" t="s">
        <v>709</v>
      </c>
      <c r="BR42" t="s">
        <v>709</v>
      </c>
      <c r="BS42">
        <v>155</v>
      </c>
      <c r="BT42" t="s">
        <v>745</v>
      </c>
      <c r="BU42" t="s">
        <v>709</v>
      </c>
      <c r="BV42" t="s">
        <v>709</v>
      </c>
      <c r="BW42" t="s">
        <v>709</v>
      </c>
      <c r="BX42" t="s">
        <v>745</v>
      </c>
      <c r="BY42" t="s">
        <v>709</v>
      </c>
      <c r="BZ42" t="s">
        <v>709</v>
      </c>
      <c r="CB42">
        <v>40</v>
      </c>
      <c r="CC42" t="b">
        <v>1</v>
      </c>
      <c r="CD42" t="s">
        <v>2099</v>
      </c>
      <c r="CE42" s="1482">
        <v>45880.731828703705</v>
      </c>
    </row>
    <row r="43" spans="1:83" x14ac:dyDescent="0.25">
      <c r="A43">
        <v>2019</v>
      </c>
      <c r="B43" t="s">
        <v>1073</v>
      </c>
      <c r="C43" t="s">
        <v>2100</v>
      </c>
      <c r="D43" t="s">
        <v>2101</v>
      </c>
      <c r="E43" t="s">
        <v>2102</v>
      </c>
      <c r="F43" t="s">
        <v>919</v>
      </c>
      <c r="G43" t="s">
        <v>1896</v>
      </c>
      <c r="H43" t="s">
        <v>59</v>
      </c>
      <c r="I43">
        <v>43676</v>
      </c>
      <c r="J43">
        <v>43727</v>
      </c>
      <c r="K43">
        <v>43724</v>
      </c>
      <c r="L43">
        <v>3</v>
      </c>
      <c r="M43" t="s">
        <v>115</v>
      </c>
      <c r="N43" t="s">
        <v>120</v>
      </c>
      <c r="O43">
        <v>43724</v>
      </c>
      <c r="P43" t="s">
        <v>739</v>
      </c>
      <c r="Q43">
        <v>14302.5</v>
      </c>
      <c r="R43" t="s">
        <v>1922</v>
      </c>
      <c r="V43">
        <v>2280</v>
      </c>
      <c r="AM43" t="s">
        <v>709</v>
      </c>
      <c r="AY43" t="s">
        <v>29</v>
      </c>
      <c r="BA43" t="s">
        <v>2103</v>
      </c>
      <c r="BB43" s="4"/>
      <c r="BI43" t="s">
        <v>709</v>
      </c>
      <c r="BJ43" t="s">
        <v>709</v>
      </c>
      <c r="BK43" t="s">
        <v>709</v>
      </c>
      <c r="BL43" t="s">
        <v>116</v>
      </c>
      <c r="BM43" t="s">
        <v>709</v>
      </c>
      <c r="BN43" t="s">
        <v>709</v>
      </c>
      <c r="BO43" t="s">
        <v>709</v>
      </c>
      <c r="BP43" t="s">
        <v>709</v>
      </c>
      <c r="BQ43" t="s">
        <v>709</v>
      </c>
      <c r="BR43" t="s">
        <v>709</v>
      </c>
      <c r="BS43">
        <v>2280</v>
      </c>
      <c r="BT43" t="s">
        <v>709</v>
      </c>
      <c r="BU43" t="s">
        <v>709</v>
      </c>
      <c r="BV43" t="s">
        <v>709</v>
      </c>
      <c r="BW43" t="s">
        <v>709</v>
      </c>
      <c r="BX43" t="s">
        <v>709</v>
      </c>
      <c r="BY43" t="s">
        <v>709</v>
      </c>
      <c r="BZ43" t="s">
        <v>709</v>
      </c>
      <c r="CB43">
        <v>41</v>
      </c>
      <c r="CC43" t="b">
        <v>1</v>
      </c>
      <c r="CD43" t="s">
        <v>2104</v>
      </c>
      <c r="CE43" s="1482">
        <v>45880.731828703705</v>
      </c>
    </row>
    <row r="44" spans="1:83" ht="135" x14ac:dyDescent="0.25">
      <c r="A44">
        <v>2019</v>
      </c>
      <c r="B44" t="s">
        <v>1981</v>
      </c>
      <c r="C44" t="s">
        <v>2105</v>
      </c>
      <c r="D44" t="s">
        <v>115</v>
      </c>
      <c r="E44" t="s">
        <v>2106</v>
      </c>
      <c r="F44" t="s">
        <v>919</v>
      </c>
      <c r="G44" t="s">
        <v>2107</v>
      </c>
      <c r="H44" t="s">
        <v>59</v>
      </c>
      <c r="I44">
        <v>43703</v>
      </c>
      <c r="J44">
        <v>43738</v>
      </c>
      <c r="K44">
        <v>43735</v>
      </c>
      <c r="L44">
        <v>3</v>
      </c>
      <c r="M44" t="s">
        <v>115</v>
      </c>
      <c r="N44" t="s">
        <v>120</v>
      </c>
      <c r="O44">
        <v>43739</v>
      </c>
      <c r="P44" t="s">
        <v>739</v>
      </c>
      <c r="Q44">
        <v>8175</v>
      </c>
      <c r="R44" t="s">
        <v>1922</v>
      </c>
      <c r="AM44" t="s">
        <v>709</v>
      </c>
      <c r="AY44" t="s">
        <v>29</v>
      </c>
      <c r="BA44" t="s">
        <v>2108</v>
      </c>
      <c r="BB44" s="4" t="s">
        <v>2109</v>
      </c>
      <c r="BZ44" t="s">
        <v>709</v>
      </c>
      <c r="CA44" t="s">
        <v>915</v>
      </c>
      <c r="CB44">
        <v>44</v>
      </c>
      <c r="CC44" t="b">
        <v>1</v>
      </c>
      <c r="CD44" t="s">
        <v>2110</v>
      </c>
      <c r="CE44" s="1482">
        <v>45880.731828703705</v>
      </c>
    </row>
    <row r="45" spans="1:83" x14ac:dyDescent="0.25">
      <c r="A45">
        <v>2019</v>
      </c>
      <c r="B45" t="s">
        <v>4</v>
      </c>
      <c r="C45" t="s">
        <v>2072</v>
      </c>
      <c r="D45" t="s">
        <v>2073</v>
      </c>
      <c r="E45" t="s">
        <v>2074</v>
      </c>
      <c r="F45" t="s">
        <v>919</v>
      </c>
      <c r="G45" t="s">
        <v>1896</v>
      </c>
      <c r="H45" t="s">
        <v>2051</v>
      </c>
      <c r="I45">
        <v>43643</v>
      </c>
      <c r="J45" t="s">
        <v>2052</v>
      </c>
      <c r="K45">
        <v>43735</v>
      </c>
      <c r="L45">
        <v>92</v>
      </c>
      <c r="M45" t="s">
        <v>2111</v>
      </c>
      <c r="N45" t="s">
        <v>120</v>
      </c>
      <c r="O45">
        <v>43735</v>
      </c>
      <c r="P45" t="s">
        <v>739</v>
      </c>
      <c r="Q45">
        <v>2330</v>
      </c>
      <c r="R45" t="s">
        <v>1922</v>
      </c>
      <c r="AM45" t="s">
        <v>709</v>
      </c>
      <c r="AY45" t="s">
        <v>29</v>
      </c>
      <c r="BA45">
        <v>12</v>
      </c>
      <c r="BB45" s="4"/>
      <c r="BI45" t="s">
        <v>709</v>
      </c>
      <c r="BJ45" t="s">
        <v>709</v>
      </c>
      <c r="BK45" t="s">
        <v>116</v>
      </c>
      <c r="BL45" t="s">
        <v>709</v>
      </c>
      <c r="BM45" t="s">
        <v>709</v>
      </c>
      <c r="BN45" t="s">
        <v>709</v>
      </c>
      <c r="BO45" t="s">
        <v>709</v>
      </c>
      <c r="BP45" t="s">
        <v>709</v>
      </c>
      <c r="BQ45" t="s">
        <v>709</v>
      </c>
      <c r="BR45">
        <v>820</v>
      </c>
      <c r="BS45" t="s">
        <v>709</v>
      </c>
      <c r="BT45" t="s">
        <v>709</v>
      </c>
      <c r="BU45" t="s">
        <v>709</v>
      </c>
      <c r="BV45" t="s">
        <v>709</v>
      </c>
      <c r="BW45" t="s">
        <v>709</v>
      </c>
      <c r="BX45" t="s">
        <v>709</v>
      </c>
      <c r="BY45" t="s">
        <v>709</v>
      </c>
      <c r="BZ45" t="s">
        <v>709</v>
      </c>
      <c r="CB45">
        <v>43</v>
      </c>
      <c r="CC45" t="b">
        <v>1</v>
      </c>
      <c r="CD45" t="s">
        <v>2112</v>
      </c>
      <c r="CE45" s="1482">
        <v>45880.731828703705</v>
      </c>
    </row>
    <row r="46" spans="1:83" x14ac:dyDescent="0.25">
      <c r="A46">
        <v>2020</v>
      </c>
      <c r="B46" t="s">
        <v>4</v>
      </c>
      <c r="C46" t="s">
        <v>2113</v>
      </c>
      <c r="D46" t="s">
        <v>115</v>
      </c>
      <c r="E46" t="s">
        <v>2114</v>
      </c>
      <c r="F46" t="s">
        <v>325</v>
      </c>
      <c r="G46" t="s">
        <v>1887</v>
      </c>
      <c r="H46" t="s">
        <v>1903</v>
      </c>
      <c r="I46">
        <v>43705</v>
      </c>
      <c r="J46">
        <v>43797</v>
      </c>
      <c r="K46">
        <v>43735</v>
      </c>
      <c r="L46">
        <v>62</v>
      </c>
      <c r="M46" t="s">
        <v>2115</v>
      </c>
      <c r="N46" t="s">
        <v>120</v>
      </c>
      <c r="O46">
        <v>43735</v>
      </c>
      <c r="P46" t="s">
        <v>739</v>
      </c>
      <c r="Q46" t="s">
        <v>115</v>
      </c>
      <c r="R46" t="s">
        <v>115</v>
      </c>
      <c r="AA46">
        <v>0</v>
      </c>
      <c r="AM46" t="s">
        <v>709</v>
      </c>
      <c r="AY46" t="s">
        <v>29</v>
      </c>
      <c r="BA46" t="s">
        <v>2116</v>
      </c>
      <c r="BB46" t="s">
        <v>739</v>
      </c>
      <c r="CB46">
        <v>42</v>
      </c>
      <c r="CC46" t="b">
        <v>1</v>
      </c>
      <c r="CD46" t="s">
        <v>2117</v>
      </c>
      <c r="CE46" s="1482">
        <v>45880.731828703705</v>
      </c>
    </row>
    <row r="47" spans="1:83" ht="150" x14ac:dyDescent="0.25">
      <c r="A47">
        <v>2019</v>
      </c>
      <c r="B47" t="s">
        <v>1981</v>
      </c>
      <c r="C47" t="s">
        <v>2118</v>
      </c>
      <c r="D47" t="s">
        <v>115</v>
      </c>
      <c r="E47" t="s">
        <v>2119</v>
      </c>
      <c r="F47" t="s">
        <v>919</v>
      </c>
      <c r="G47" t="s">
        <v>1887</v>
      </c>
      <c r="H47" t="s">
        <v>59</v>
      </c>
      <c r="I47">
        <v>43703</v>
      </c>
      <c r="J47">
        <v>43738</v>
      </c>
      <c r="K47">
        <v>43739</v>
      </c>
      <c r="L47">
        <v>0</v>
      </c>
      <c r="M47" t="s">
        <v>2120</v>
      </c>
      <c r="N47" t="s">
        <v>120</v>
      </c>
      <c r="O47">
        <v>43739</v>
      </c>
      <c r="P47" t="s">
        <v>739</v>
      </c>
      <c r="Q47">
        <v>10860</v>
      </c>
      <c r="R47" t="s">
        <v>1922</v>
      </c>
      <c r="AM47" t="s">
        <v>709</v>
      </c>
      <c r="AY47" t="s">
        <v>29</v>
      </c>
      <c r="BA47" t="s">
        <v>2121</v>
      </c>
      <c r="BB47" s="4" t="s">
        <v>2122</v>
      </c>
      <c r="BZ47" t="s">
        <v>709</v>
      </c>
      <c r="CA47" t="s">
        <v>915</v>
      </c>
      <c r="CB47">
        <v>45</v>
      </c>
      <c r="CC47" t="b">
        <v>1</v>
      </c>
      <c r="CD47" t="s">
        <v>2123</v>
      </c>
      <c r="CE47" s="1482">
        <v>45880.731840277775</v>
      </c>
    </row>
    <row r="48" spans="1:83" x14ac:dyDescent="0.25">
      <c r="A48">
        <v>2019</v>
      </c>
      <c r="B48" t="s">
        <v>1162</v>
      </c>
      <c r="C48" t="s">
        <v>2124</v>
      </c>
      <c r="D48" t="s">
        <v>2125</v>
      </c>
      <c r="E48" t="s">
        <v>2126</v>
      </c>
      <c r="F48" t="s">
        <v>1895</v>
      </c>
      <c r="G48" t="s">
        <v>1896</v>
      </c>
      <c r="H48" t="s">
        <v>2127</v>
      </c>
      <c r="I48">
        <v>43474</v>
      </c>
      <c r="J48">
        <v>43739</v>
      </c>
      <c r="K48">
        <v>43739</v>
      </c>
      <c r="L48">
        <v>0</v>
      </c>
      <c r="M48" t="s">
        <v>2128</v>
      </c>
      <c r="N48" t="s">
        <v>120</v>
      </c>
      <c r="O48">
        <v>43739</v>
      </c>
      <c r="P48" t="s">
        <v>739</v>
      </c>
      <c r="Q48" t="s">
        <v>115</v>
      </c>
      <c r="R48" t="s">
        <v>115</v>
      </c>
      <c r="AE48" t="s">
        <v>29</v>
      </c>
      <c r="AF48" t="s">
        <v>29</v>
      </c>
      <c r="AG48" t="s">
        <v>29</v>
      </c>
      <c r="AH48" t="s">
        <v>29</v>
      </c>
      <c r="AM48" t="s">
        <v>709</v>
      </c>
      <c r="AY48" t="s">
        <v>29</v>
      </c>
      <c r="BA48" t="s">
        <v>2129</v>
      </c>
      <c r="BB48" t="s">
        <v>2130</v>
      </c>
      <c r="BZ48" t="s">
        <v>709</v>
      </c>
      <c r="CA48" t="s">
        <v>915</v>
      </c>
      <c r="CB48">
        <v>46</v>
      </c>
      <c r="CC48" t="b">
        <v>1</v>
      </c>
      <c r="CD48" t="s">
        <v>2131</v>
      </c>
      <c r="CE48" s="1482">
        <v>45880.731840277775</v>
      </c>
    </row>
    <row r="49" spans="1:83" x14ac:dyDescent="0.25">
      <c r="A49">
        <v>2020</v>
      </c>
      <c r="B49" t="s">
        <v>771</v>
      </c>
      <c r="C49" t="s">
        <v>2132</v>
      </c>
      <c r="D49" t="s">
        <v>2133</v>
      </c>
      <c r="E49" t="s">
        <v>1529</v>
      </c>
      <c r="F49" t="s">
        <v>325</v>
      </c>
      <c r="G49" t="s">
        <v>1896</v>
      </c>
      <c r="H49" t="s">
        <v>59</v>
      </c>
      <c r="I49">
        <v>43655</v>
      </c>
      <c r="J49">
        <v>43747</v>
      </c>
      <c r="K49">
        <v>43741</v>
      </c>
      <c r="L49">
        <v>6</v>
      </c>
      <c r="M49" t="s">
        <v>115</v>
      </c>
      <c r="N49" t="s">
        <v>120</v>
      </c>
      <c r="O49">
        <v>43741</v>
      </c>
      <c r="P49" t="s">
        <v>120</v>
      </c>
      <c r="Q49">
        <v>8959.7546999999995</v>
      </c>
      <c r="R49">
        <v>0.09</v>
      </c>
      <c r="V49">
        <v>820</v>
      </c>
      <c r="X49">
        <v>109557.64</v>
      </c>
      <c r="Y49">
        <v>37785</v>
      </c>
      <c r="Z49">
        <v>27780.19</v>
      </c>
      <c r="AA49">
        <v>99552.83</v>
      </c>
      <c r="AM49" t="s">
        <v>116</v>
      </c>
      <c r="AN49">
        <v>43878</v>
      </c>
      <c r="AO49">
        <v>181756</v>
      </c>
      <c r="AP49">
        <v>153165.16</v>
      </c>
      <c r="AQ49">
        <v>0</v>
      </c>
      <c r="AR49">
        <v>27780.19</v>
      </c>
      <c r="AS49">
        <v>180945.35</v>
      </c>
      <c r="AT49">
        <v>81392.52</v>
      </c>
      <c r="AU49">
        <v>7325.3267999999998</v>
      </c>
      <c r="AV49">
        <v>0</v>
      </c>
      <c r="AW49" t="s">
        <v>2134</v>
      </c>
      <c r="AY49">
        <v>43983</v>
      </c>
      <c r="BA49" t="s">
        <v>2135</v>
      </c>
      <c r="BI49" t="s">
        <v>709</v>
      </c>
      <c r="BJ49" t="s">
        <v>709</v>
      </c>
      <c r="BK49" t="s">
        <v>709</v>
      </c>
      <c r="BL49" t="s">
        <v>116</v>
      </c>
      <c r="BM49" t="s">
        <v>709</v>
      </c>
      <c r="BN49" t="s">
        <v>709</v>
      </c>
      <c r="BO49" t="s">
        <v>709</v>
      </c>
      <c r="BP49" t="s">
        <v>709</v>
      </c>
      <c r="BQ49" t="s">
        <v>709</v>
      </c>
      <c r="BR49" t="s">
        <v>709</v>
      </c>
      <c r="BS49">
        <v>820</v>
      </c>
      <c r="BT49" t="s">
        <v>745</v>
      </c>
      <c r="BU49" t="s">
        <v>709</v>
      </c>
      <c r="BV49" t="s">
        <v>709</v>
      </c>
      <c r="BW49" t="s">
        <v>709</v>
      </c>
      <c r="BX49" t="s">
        <v>745</v>
      </c>
      <c r="BY49" t="s">
        <v>709</v>
      </c>
      <c r="BZ49" t="s">
        <v>709</v>
      </c>
      <c r="CB49">
        <v>47</v>
      </c>
      <c r="CC49" t="b">
        <v>1</v>
      </c>
      <c r="CD49" t="s">
        <v>2136</v>
      </c>
      <c r="CE49" s="1482">
        <v>45880.731840277775</v>
      </c>
    </row>
    <row r="50" spans="1:83" ht="150" x14ac:dyDescent="0.25">
      <c r="A50">
        <v>2019</v>
      </c>
      <c r="B50" t="s">
        <v>1981</v>
      </c>
      <c r="C50" t="s">
        <v>2137</v>
      </c>
      <c r="D50" t="s">
        <v>115</v>
      </c>
      <c r="E50" t="s">
        <v>354</v>
      </c>
      <c r="F50" t="s">
        <v>919</v>
      </c>
      <c r="G50" t="s">
        <v>1887</v>
      </c>
      <c r="H50" t="s">
        <v>59</v>
      </c>
      <c r="I50">
        <v>43703</v>
      </c>
      <c r="J50">
        <v>43738</v>
      </c>
      <c r="K50">
        <v>43742</v>
      </c>
      <c r="L50">
        <v>0</v>
      </c>
      <c r="M50" t="s">
        <v>2138</v>
      </c>
      <c r="N50" t="s">
        <v>120</v>
      </c>
      <c r="O50">
        <v>43742</v>
      </c>
      <c r="P50" t="s">
        <v>739</v>
      </c>
      <c r="Q50">
        <v>10810</v>
      </c>
      <c r="R50" t="s">
        <v>1922</v>
      </c>
      <c r="AM50" t="s">
        <v>709</v>
      </c>
      <c r="AY50" t="s">
        <v>29</v>
      </c>
      <c r="BA50" t="s">
        <v>2139</v>
      </c>
      <c r="BB50" s="4" t="s">
        <v>2140</v>
      </c>
      <c r="BZ50" t="s">
        <v>709</v>
      </c>
      <c r="CA50" t="s">
        <v>915</v>
      </c>
      <c r="CB50">
        <v>48</v>
      </c>
      <c r="CC50" t="b">
        <v>1</v>
      </c>
      <c r="CD50" t="s">
        <v>2141</v>
      </c>
      <c r="CE50" s="1482">
        <v>45880.731840277775</v>
      </c>
    </row>
    <row r="51" spans="1:83" x14ac:dyDescent="0.25">
      <c r="A51">
        <v>2019</v>
      </c>
      <c r="B51" t="s">
        <v>1981</v>
      </c>
      <c r="C51" t="s">
        <v>2142</v>
      </c>
      <c r="D51" t="s">
        <v>2143</v>
      </c>
      <c r="E51" t="s">
        <v>2144</v>
      </c>
      <c r="F51" t="s">
        <v>919</v>
      </c>
      <c r="G51" t="s">
        <v>1887</v>
      </c>
      <c r="H51" t="s">
        <v>59</v>
      </c>
      <c r="I51">
        <v>43703</v>
      </c>
      <c r="J51">
        <v>43738</v>
      </c>
      <c r="K51">
        <v>43745</v>
      </c>
      <c r="L51">
        <v>0</v>
      </c>
      <c r="M51" t="s">
        <v>2145</v>
      </c>
      <c r="N51" t="s">
        <v>120</v>
      </c>
      <c r="O51">
        <v>43745</v>
      </c>
      <c r="P51" t="s">
        <v>739</v>
      </c>
      <c r="Q51">
        <v>15490</v>
      </c>
      <c r="R51" t="s">
        <v>1922</v>
      </c>
      <c r="X51">
        <v>68303.14</v>
      </c>
      <c r="Y51">
        <v>8857.7999999999993</v>
      </c>
      <c r="Z51">
        <v>10401.5</v>
      </c>
      <c r="AA51">
        <v>69846.84</v>
      </c>
      <c r="AM51" t="s">
        <v>709</v>
      </c>
      <c r="AY51" t="s">
        <v>29</v>
      </c>
      <c r="BA51" t="s">
        <v>2146</v>
      </c>
      <c r="BI51" t="s">
        <v>709</v>
      </c>
      <c r="BJ51" t="s">
        <v>709</v>
      </c>
      <c r="BK51" t="s">
        <v>709</v>
      </c>
      <c r="BL51" t="s">
        <v>116</v>
      </c>
      <c r="BM51" t="s">
        <v>709</v>
      </c>
      <c r="BN51" t="s">
        <v>709</v>
      </c>
      <c r="BO51" t="s">
        <v>709</v>
      </c>
      <c r="BP51" t="s">
        <v>709</v>
      </c>
      <c r="BQ51" t="s">
        <v>709</v>
      </c>
      <c r="BR51" t="s">
        <v>709</v>
      </c>
      <c r="BS51">
        <v>565</v>
      </c>
      <c r="BT51" t="s">
        <v>709</v>
      </c>
      <c r="BU51" t="s">
        <v>709</v>
      </c>
      <c r="BV51" t="s">
        <v>709</v>
      </c>
      <c r="BW51" t="s">
        <v>709</v>
      </c>
      <c r="BX51" t="s">
        <v>709</v>
      </c>
      <c r="BY51" t="s">
        <v>709</v>
      </c>
      <c r="BZ51" t="s">
        <v>709</v>
      </c>
      <c r="CB51">
        <v>49</v>
      </c>
      <c r="CC51" t="b">
        <v>1</v>
      </c>
      <c r="CD51" t="s">
        <v>2147</v>
      </c>
      <c r="CE51" s="1482">
        <v>45880.731840277775</v>
      </c>
    </row>
    <row r="52" spans="1:83" x14ac:dyDescent="0.25">
      <c r="A52">
        <v>2020</v>
      </c>
      <c r="B52" t="s">
        <v>771</v>
      </c>
      <c r="C52" t="s">
        <v>2148</v>
      </c>
      <c r="D52" t="s">
        <v>2149</v>
      </c>
      <c r="E52" t="s">
        <v>1529</v>
      </c>
      <c r="F52" t="s">
        <v>325</v>
      </c>
      <c r="G52" t="s">
        <v>1896</v>
      </c>
      <c r="H52" t="s">
        <v>59</v>
      </c>
      <c r="I52">
        <v>43658</v>
      </c>
      <c r="J52">
        <v>43752</v>
      </c>
      <c r="K52">
        <v>43747</v>
      </c>
      <c r="L52">
        <v>5</v>
      </c>
      <c r="M52" t="s">
        <v>115</v>
      </c>
      <c r="N52" t="s">
        <v>120</v>
      </c>
      <c r="O52">
        <v>43747</v>
      </c>
      <c r="P52" t="s">
        <v>120</v>
      </c>
      <c r="Q52">
        <v>5961.1778999999997</v>
      </c>
      <c r="R52">
        <v>0.09</v>
      </c>
      <c r="V52">
        <v>90</v>
      </c>
      <c r="X52">
        <v>49607.5</v>
      </c>
      <c r="Y52">
        <v>0</v>
      </c>
      <c r="Z52">
        <v>16627.810000000001</v>
      </c>
      <c r="AA52">
        <v>66235.31</v>
      </c>
      <c r="AM52" t="s">
        <v>116</v>
      </c>
      <c r="AN52">
        <v>43878</v>
      </c>
      <c r="AO52">
        <v>182407</v>
      </c>
      <c r="AP52">
        <v>69182.399999999994</v>
      </c>
      <c r="AQ52">
        <v>0</v>
      </c>
      <c r="AR52">
        <v>16627.810000000001</v>
      </c>
      <c r="AS52">
        <v>85810.21</v>
      </c>
      <c r="AT52">
        <v>19574.900000000001</v>
      </c>
      <c r="AU52">
        <v>1761.741</v>
      </c>
      <c r="AV52">
        <v>0</v>
      </c>
      <c r="AW52" t="s">
        <v>1971</v>
      </c>
      <c r="AY52">
        <v>43983</v>
      </c>
      <c r="BA52" t="s">
        <v>2150</v>
      </c>
      <c r="BI52" t="s">
        <v>709</v>
      </c>
      <c r="BJ52" t="s">
        <v>709</v>
      </c>
      <c r="BK52" t="s">
        <v>709</v>
      </c>
      <c r="BL52" t="s">
        <v>116</v>
      </c>
      <c r="BM52" t="s">
        <v>709</v>
      </c>
      <c r="BN52" t="s">
        <v>709</v>
      </c>
      <c r="BO52" t="s">
        <v>709</v>
      </c>
      <c r="BP52" t="s">
        <v>709</v>
      </c>
      <c r="BQ52" t="s">
        <v>709</v>
      </c>
      <c r="BR52" t="s">
        <v>709</v>
      </c>
      <c r="BS52">
        <v>90</v>
      </c>
      <c r="BT52" t="s">
        <v>745</v>
      </c>
      <c r="BU52" t="s">
        <v>709</v>
      </c>
      <c r="BV52" t="s">
        <v>709</v>
      </c>
      <c r="BW52" t="s">
        <v>709</v>
      </c>
      <c r="BX52" t="s">
        <v>709</v>
      </c>
      <c r="BY52" t="s">
        <v>709</v>
      </c>
      <c r="BZ52" t="s">
        <v>709</v>
      </c>
      <c r="CB52">
        <v>50</v>
      </c>
      <c r="CC52" t="b">
        <v>1</v>
      </c>
      <c r="CD52" t="s">
        <v>2151</v>
      </c>
      <c r="CE52" s="1482">
        <v>45880.731851851851</v>
      </c>
    </row>
    <row r="53" spans="1:83" x14ac:dyDescent="0.25">
      <c r="A53">
        <v>2019</v>
      </c>
      <c r="B53" t="s">
        <v>4</v>
      </c>
      <c r="C53" t="s">
        <v>2152</v>
      </c>
      <c r="D53" t="s">
        <v>2153</v>
      </c>
      <c r="E53" t="s">
        <v>1957</v>
      </c>
      <c r="F53" t="s">
        <v>325</v>
      </c>
      <c r="G53" t="s">
        <v>1896</v>
      </c>
      <c r="H53" t="s">
        <v>1681</v>
      </c>
      <c r="I53">
        <v>43614</v>
      </c>
      <c r="J53">
        <v>43672</v>
      </c>
      <c r="K53">
        <v>43748</v>
      </c>
      <c r="L53">
        <v>0</v>
      </c>
      <c r="M53" t="s">
        <v>2154</v>
      </c>
      <c r="N53" t="s">
        <v>120</v>
      </c>
      <c r="O53">
        <v>43748</v>
      </c>
      <c r="P53" t="s">
        <v>739</v>
      </c>
      <c r="Q53" t="s">
        <v>115</v>
      </c>
      <c r="R53" t="s">
        <v>115</v>
      </c>
      <c r="AA53">
        <v>0</v>
      </c>
      <c r="AM53" t="s">
        <v>709</v>
      </c>
      <c r="AY53" t="s">
        <v>29</v>
      </c>
      <c r="BA53" t="s">
        <v>2155</v>
      </c>
      <c r="BB53" t="s">
        <v>1900</v>
      </c>
      <c r="CB53">
        <v>51</v>
      </c>
      <c r="CC53" t="b">
        <v>1</v>
      </c>
      <c r="CD53" t="s">
        <v>2156</v>
      </c>
      <c r="CE53" s="1482">
        <v>45880.731851851851</v>
      </c>
    </row>
    <row r="54" spans="1:83" x14ac:dyDescent="0.25">
      <c r="A54">
        <v>2019</v>
      </c>
      <c r="B54" t="s">
        <v>1981</v>
      </c>
      <c r="C54" t="s">
        <v>2157</v>
      </c>
      <c r="D54" t="s">
        <v>115</v>
      </c>
      <c r="E54" t="s">
        <v>354</v>
      </c>
      <c r="F54" t="s">
        <v>325</v>
      </c>
      <c r="G54" t="s">
        <v>1887</v>
      </c>
      <c r="H54" t="s">
        <v>59</v>
      </c>
      <c r="I54">
        <v>43725</v>
      </c>
      <c r="J54">
        <v>43755</v>
      </c>
      <c r="K54">
        <v>43749</v>
      </c>
      <c r="L54">
        <v>6</v>
      </c>
      <c r="M54" t="s">
        <v>115</v>
      </c>
      <c r="N54" t="s">
        <v>120</v>
      </c>
      <c r="O54">
        <v>43749</v>
      </c>
      <c r="P54" t="s">
        <v>739</v>
      </c>
      <c r="Q54">
        <v>6207.5</v>
      </c>
      <c r="R54" t="s">
        <v>1922</v>
      </c>
      <c r="AM54" t="s">
        <v>709</v>
      </c>
      <c r="AY54" t="s">
        <v>29</v>
      </c>
      <c r="BA54" t="s">
        <v>2158</v>
      </c>
      <c r="BB54" t="s">
        <v>2159</v>
      </c>
      <c r="BZ54" t="s">
        <v>709</v>
      </c>
      <c r="CA54" t="s">
        <v>915</v>
      </c>
      <c r="CB54">
        <v>52</v>
      </c>
      <c r="CC54" t="b">
        <v>1</v>
      </c>
      <c r="CD54" t="s">
        <v>2160</v>
      </c>
      <c r="CE54" s="1482">
        <v>45880.731851851851</v>
      </c>
    </row>
    <row r="55" spans="1:83" ht="409.5" x14ac:dyDescent="0.25">
      <c r="A55">
        <v>2020</v>
      </c>
      <c r="B55" t="s">
        <v>771</v>
      </c>
      <c r="C55" t="s">
        <v>2161</v>
      </c>
      <c r="D55" t="s">
        <v>2162</v>
      </c>
      <c r="E55" t="s">
        <v>1529</v>
      </c>
      <c r="F55" t="s">
        <v>325</v>
      </c>
      <c r="G55" t="s">
        <v>1896</v>
      </c>
      <c r="H55" t="s">
        <v>59</v>
      </c>
      <c r="I55">
        <v>43658</v>
      </c>
      <c r="J55">
        <v>43752</v>
      </c>
      <c r="K55">
        <v>43752</v>
      </c>
      <c r="L55">
        <v>0</v>
      </c>
      <c r="M55" t="s">
        <v>115</v>
      </c>
      <c r="N55" t="s">
        <v>120</v>
      </c>
      <c r="O55">
        <v>43752</v>
      </c>
      <c r="P55" t="s">
        <v>120</v>
      </c>
      <c r="Q55">
        <v>18618.135300000002</v>
      </c>
      <c r="R55">
        <v>0.09</v>
      </c>
      <c r="V55">
        <v>1108</v>
      </c>
      <c r="X55">
        <v>166521.70000000001</v>
      </c>
      <c r="Y55">
        <v>13597.5</v>
      </c>
      <c r="Z55">
        <v>53943.97</v>
      </c>
      <c r="AA55">
        <v>206868.17</v>
      </c>
      <c r="AM55" t="s">
        <v>116</v>
      </c>
      <c r="AN55">
        <v>43881</v>
      </c>
      <c r="AO55">
        <v>182397</v>
      </c>
      <c r="AP55">
        <v>356118.81</v>
      </c>
      <c r="AQ55">
        <v>17218.32</v>
      </c>
      <c r="AR55">
        <v>54615.95</v>
      </c>
      <c r="AS55">
        <v>410734.76</v>
      </c>
      <c r="AT55">
        <v>203866.59</v>
      </c>
      <c r="AU55">
        <v>18347.9931</v>
      </c>
      <c r="AV55">
        <v>7596</v>
      </c>
      <c r="AW55" s="4" t="s">
        <v>2163</v>
      </c>
      <c r="AY55">
        <v>43983</v>
      </c>
      <c r="BA55" t="s">
        <v>2164</v>
      </c>
      <c r="BI55" t="s">
        <v>709</v>
      </c>
      <c r="BJ55" t="s">
        <v>709</v>
      </c>
      <c r="BK55" t="s">
        <v>709</v>
      </c>
      <c r="BL55" t="s">
        <v>116</v>
      </c>
      <c r="BM55" t="s">
        <v>709</v>
      </c>
      <c r="BN55" t="s">
        <v>709</v>
      </c>
      <c r="BO55" t="s">
        <v>709</v>
      </c>
      <c r="BP55" t="s">
        <v>709</v>
      </c>
      <c r="BQ55" t="s">
        <v>709</v>
      </c>
      <c r="BR55" t="s">
        <v>709</v>
      </c>
      <c r="BS55">
        <v>875</v>
      </c>
      <c r="BT55" t="s">
        <v>745</v>
      </c>
      <c r="BU55" t="s">
        <v>709</v>
      </c>
      <c r="BV55" t="s">
        <v>709</v>
      </c>
      <c r="BW55" t="s">
        <v>709</v>
      </c>
      <c r="BX55" t="s">
        <v>745</v>
      </c>
      <c r="BY55" t="s">
        <v>709</v>
      </c>
      <c r="BZ55" t="s">
        <v>709</v>
      </c>
      <c r="CB55">
        <v>53</v>
      </c>
      <c r="CC55" t="b">
        <v>1</v>
      </c>
      <c r="CD55" t="s">
        <v>2165</v>
      </c>
      <c r="CE55" s="1482">
        <v>45880.731851851851</v>
      </c>
    </row>
    <row r="56" spans="1:83" x14ac:dyDescent="0.25">
      <c r="A56">
        <v>2019</v>
      </c>
      <c r="B56" t="s">
        <v>1981</v>
      </c>
      <c r="C56" t="s">
        <v>2166</v>
      </c>
      <c r="D56" t="s">
        <v>115</v>
      </c>
      <c r="E56" t="s">
        <v>93</v>
      </c>
      <c r="F56" t="s">
        <v>919</v>
      </c>
      <c r="G56" t="s">
        <v>1887</v>
      </c>
      <c r="H56" t="s">
        <v>59</v>
      </c>
      <c r="I56">
        <v>43725</v>
      </c>
      <c r="J56">
        <v>43755</v>
      </c>
      <c r="K56">
        <v>43753</v>
      </c>
      <c r="L56">
        <v>2</v>
      </c>
      <c r="M56" t="s">
        <v>115</v>
      </c>
      <c r="N56" t="s">
        <v>120</v>
      </c>
      <c r="O56">
        <v>43753</v>
      </c>
      <c r="P56" t="s">
        <v>739</v>
      </c>
      <c r="Q56">
        <v>6500</v>
      </c>
      <c r="R56" t="s">
        <v>1922</v>
      </c>
      <c r="AM56" t="s">
        <v>709</v>
      </c>
      <c r="AY56" t="s">
        <v>29</v>
      </c>
      <c r="BA56" t="s">
        <v>2158</v>
      </c>
      <c r="BB56" t="s">
        <v>2159</v>
      </c>
      <c r="BZ56" t="s">
        <v>709</v>
      </c>
      <c r="CA56" t="s">
        <v>915</v>
      </c>
      <c r="CB56">
        <v>55</v>
      </c>
      <c r="CC56" t="b">
        <v>1</v>
      </c>
      <c r="CD56" t="s">
        <v>2167</v>
      </c>
      <c r="CE56" s="1482">
        <v>45880.731851851851</v>
      </c>
    </row>
    <row r="57" spans="1:83" x14ac:dyDescent="0.25">
      <c r="A57">
        <v>2019</v>
      </c>
      <c r="B57" t="s">
        <v>4</v>
      </c>
      <c r="C57" t="s">
        <v>2072</v>
      </c>
      <c r="D57" t="s">
        <v>2073</v>
      </c>
      <c r="E57" t="s">
        <v>2074</v>
      </c>
      <c r="F57" t="s">
        <v>919</v>
      </c>
      <c r="G57" t="s">
        <v>1896</v>
      </c>
      <c r="H57" t="s">
        <v>2051</v>
      </c>
      <c r="I57">
        <v>43643</v>
      </c>
      <c r="J57" t="s">
        <v>2052</v>
      </c>
      <c r="K57">
        <v>43753</v>
      </c>
      <c r="L57">
        <v>110</v>
      </c>
      <c r="M57" t="s">
        <v>2168</v>
      </c>
      <c r="N57" t="s">
        <v>120</v>
      </c>
      <c r="O57">
        <v>43753</v>
      </c>
      <c r="P57" t="s">
        <v>739</v>
      </c>
      <c r="Q57">
        <v>1460</v>
      </c>
      <c r="R57" t="s">
        <v>1922</v>
      </c>
      <c r="AM57" t="s">
        <v>709</v>
      </c>
      <c r="AY57" t="s">
        <v>29</v>
      </c>
      <c r="BA57">
        <v>1</v>
      </c>
      <c r="BI57" t="s">
        <v>709</v>
      </c>
      <c r="BJ57" t="s">
        <v>709</v>
      </c>
      <c r="BK57" t="s">
        <v>116</v>
      </c>
      <c r="BL57" t="s">
        <v>709</v>
      </c>
      <c r="BM57" t="s">
        <v>709</v>
      </c>
      <c r="BN57" t="s">
        <v>709</v>
      </c>
      <c r="BO57" t="s">
        <v>709</v>
      </c>
      <c r="BP57" t="s">
        <v>709</v>
      </c>
      <c r="BQ57" t="s">
        <v>709</v>
      </c>
      <c r="BR57">
        <v>820</v>
      </c>
      <c r="BS57" t="s">
        <v>709</v>
      </c>
      <c r="BT57" t="s">
        <v>709</v>
      </c>
      <c r="BU57" t="s">
        <v>709</v>
      </c>
      <c r="BV57" t="s">
        <v>709</v>
      </c>
      <c r="BW57" t="s">
        <v>709</v>
      </c>
      <c r="BX57" t="s">
        <v>709</v>
      </c>
      <c r="BY57" t="s">
        <v>709</v>
      </c>
      <c r="BZ57" t="s">
        <v>709</v>
      </c>
      <c r="CB57">
        <v>54</v>
      </c>
      <c r="CC57" t="b">
        <v>1</v>
      </c>
      <c r="CD57" t="s">
        <v>2169</v>
      </c>
      <c r="CE57" s="1482">
        <v>45880.731863425928</v>
      </c>
    </row>
    <row r="58" spans="1:83" x14ac:dyDescent="0.25">
      <c r="A58">
        <v>2019</v>
      </c>
      <c r="B58" t="s">
        <v>1981</v>
      </c>
      <c r="C58" t="s">
        <v>2170</v>
      </c>
      <c r="D58" t="s">
        <v>115</v>
      </c>
      <c r="E58" t="s">
        <v>1957</v>
      </c>
      <c r="F58" t="s">
        <v>325</v>
      </c>
      <c r="G58" t="s">
        <v>1887</v>
      </c>
      <c r="H58" t="s">
        <v>2127</v>
      </c>
      <c r="I58">
        <v>43725</v>
      </c>
      <c r="J58">
        <v>43755</v>
      </c>
      <c r="K58">
        <v>43754</v>
      </c>
      <c r="L58">
        <v>1</v>
      </c>
      <c r="M58" t="s">
        <v>2171</v>
      </c>
      <c r="N58" t="s">
        <v>120</v>
      </c>
      <c r="O58">
        <v>43754</v>
      </c>
      <c r="P58" t="s">
        <v>739</v>
      </c>
      <c r="Q58">
        <v>6432.5</v>
      </c>
      <c r="R58" t="s">
        <v>1922</v>
      </c>
      <c r="AM58" t="s">
        <v>709</v>
      </c>
      <c r="AY58" t="s">
        <v>29</v>
      </c>
      <c r="BA58" t="s">
        <v>2158</v>
      </c>
      <c r="BB58" t="s">
        <v>2159</v>
      </c>
      <c r="CA58" t="s">
        <v>915</v>
      </c>
      <c r="CB58">
        <v>56</v>
      </c>
      <c r="CC58" t="b">
        <v>1</v>
      </c>
      <c r="CD58" t="s">
        <v>2172</v>
      </c>
      <c r="CE58" s="1482">
        <v>45880.731863425928</v>
      </c>
    </row>
    <row r="59" spans="1:83" x14ac:dyDescent="0.25">
      <c r="A59">
        <v>2020</v>
      </c>
      <c r="B59" t="s">
        <v>771</v>
      </c>
      <c r="C59" t="s">
        <v>2173</v>
      </c>
      <c r="D59" t="s">
        <v>2174</v>
      </c>
      <c r="E59" t="s">
        <v>1529</v>
      </c>
      <c r="F59" t="s">
        <v>325</v>
      </c>
      <c r="G59" t="s">
        <v>1896</v>
      </c>
      <c r="H59" t="s">
        <v>59</v>
      </c>
      <c r="I59">
        <v>43664</v>
      </c>
      <c r="J59">
        <v>43760</v>
      </c>
      <c r="K59">
        <v>43759</v>
      </c>
      <c r="L59">
        <v>1</v>
      </c>
      <c r="M59" t="s">
        <v>115</v>
      </c>
      <c r="N59" t="s">
        <v>120</v>
      </c>
      <c r="O59">
        <v>43759</v>
      </c>
      <c r="P59" t="s">
        <v>120</v>
      </c>
      <c r="Q59">
        <v>57142.688399999999</v>
      </c>
      <c r="R59">
        <v>0.09</v>
      </c>
      <c r="V59">
        <v>2065</v>
      </c>
      <c r="X59">
        <v>393012.24</v>
      </c>
      <c r="Y59">
        <v>32090.1</v>
      </c>
      <c r="Z59">
        <v>273996.62</v>
      </c>
      <c r="AA59">
        <v>634918.76</v>
      </c>
      <c r="AM59" t="s">
        <v>116</v>
      </c>
      <c r="AN59">
        <v>43882</v>
      </c>
      <c r="AO59" t="s">
        <v>115</v>
      </c>
      <c r="AP59">
        <v>747851.17</v>
      </c>
      <c r="AQ59">
        <v>32090.1</v>
      </c>
      <c r="AR59">
        <v>253238.76</v>
      </c>
      <c r="AS59">
        <v>1001089.93</v>
      </c>
      <c r="AT59">
        <v>366171.17</v>
      </c>
      <c r="AU59">
        <v>32955.405299999999</v>
      </c>
      <c r="AV59">
        <v>0</v>
      </c>
      <c r="AW59" t="s">
        <v>2175</v>
      </c>
      <c r="AY59">
        <v>43983</v>
      </c>
      <c r="BA59" t="s">
        <v>2176</v>
      </c>
      <c r="BI59" t="s">
        <v>709</v>
      </c>
      <c r="BJ59" t="s">
        <v>709</v>
      </c>
      <c r="BK59" t="s">
        <v>709</v>
      </c>
      <c r="BL59" t="s">
        <v>116</v>
      </c>
      <c r="BM59" t="s">
        <v>709</v>
      </c>
      <c r="BN59" t="s">
        <v>709</v>
      </c>
      <c r="BO59" t="s">
        <v>709</v>
      </c>
      <c r="BP59" t="s">
        <v>709</v>
      </c>
      <c r="BQ59" t="s">
        <v>709</v>
      </c>
      <c r="BR59" t="s">
        <v>709</v>
      </c>
      <c r="BS59">
        <v>2065</v>
      </c>
      <c r="BT59" t="s">
        <v>709</v>
      </c>
      <c r="BU59" t="s">
        <v>709</v>
      </c>
      <c r="BV59" t="s">
        <v>745</v>
      </c>
      <c r="BW59" t="s">
        <v>709</v>
      </c>
      <c r="BX59" t="s">
        <v>745</v>
      </c>
      <c r="BY59" t="s">
        <v>745</v>
      </c>
      <c r="BZ59" t="s">
        <v>709</v>
      </c>
      <c r="CB59">
        <v>57</v>
      </c>
      <c r="CC59" t="b">
        <v>1</v>
      </c>
      <c r="CD59" t="s">
        <v>2177</v>
      </c>
      <c r="CE59" s="1482">
        <v>45880.731863425928</v>
      </c>
    </row>
    <row r="60" spans="1:83" x14ac:dyDescent="0.25">
      <c r="A60">
        <v>2020</v>
      </c>
      <c r="B60" t="s">
        <v>771</v>
      </c>
      <c r="C60" t="s">
        <v>2178</v>
      </c>
      <c r="D60" t="s">
        <v>2179</v>
      </c>
      <c r="E60" t="s">
        <v>1529</v>
      </c>
      <c r="F60" t="s">
        <v>325</v>
      </c>
      <c r="G60" t="s">
        <v>1896</v>
      </c>
      <c r="H60" t="s">
        <v>59</v>
      </c>
      <c r="I60">
        <v>43664</v>
      </c>
      <c r="J60">
        <v>43762</v>
      </c>
      <c r="K60">
        <v>43760</v>
      </c>
      <c r="L60">
        <v>2</v>
      </c>
      <c r="M60" t="s">
        <v>115</v>
      </c>
      <c r="N60" t="s">
        <v>120</v>
      </c>
      <c r="O60">
        <v>43760</v>
      </c>
      <c r="P60" t="s">
        <v>120</v>
      </c>
      <c r="Q60">
        <v>18183.330000000002</v>
      </c>
      <c r="R60">
        <v>0.09</v>
      </c>
      <c r="V60">
        <v>658</v>
      </c>
      <c r="X60">
        <v>149356.17000000001</v>
      </c>
      <c r="Y60">
        <v>10225.32</v>
      </c>
      <c r="Z60">
        <v>62906.15</v>
      </c>
      <c r="AA60">
        <v>202037</v>
      </c>
      <c r="AM60" t="s">
        <v>116</v>
      </c>
      <c r="AN60">
        <v>43896</v>
      </c>
      <c r="AO60">
        <v>183867</v>
      </c>
      <c r="AP60">
        <v>132022.42000000001</v>
      </c>
      <c r="AQ60">
        <v>10225.32</v>
      </c>
      <c r="AR60">
        <v>74651.17</v>
      </c>
      <c r="AS60">
        <v>206673.59</v>
      </c>
      <c r="AT60">
        <v>4636.59</v>
      </c>
      <c r="AU60">
        <v>417.29309999999998</v>
      </c>
      <c r="AV60">
        <v>3905</v>
      </c>
      <c r="AW60" t="s">
        <v>2180</v>
      </c>
      <c r="AY60" t="s">
        <v>1935</v>
      </c>
      <c r="BA60" t="s">
        <v>2181</v>
      </c>
      <c r="BI60" t="s">
        <v>709</v>
      </c>
      <c r="BJ60" t="s">
        <v>709</v>
      </c>
      <c r="BK60" t="s">
        <v>709</v>
      </c>
      <c r="BL60" t="s">
        <v>116</v>
      </c>
      <c r="BM60" t="s">
        <v>709</v>
      </c>
      <c r="BN60" t="s">
        <v>709</v>
      </c>
      <c r="BO60" t="s">
        <v>709</v>
      </c>
      <c r="BP60" t="s">
        <v>709</v>
      </c>
      <c r="BQ60" t="s">
        <v>709</v>
      </c>
      <c r="BR60" t="s">
        <v>709</v>
      </c>
      <c r="BS60">
        <v>658</v>
      </c>
      <c r="BT60" t="s">
        <v>745</v>
      </c>
      <c r="BU60" t="s">
        <v>709</v>
      </c>
      <c r="BV60" t="s">
        <v>709</v>
      </c>
      <c r="BW60" t="s">
        <v>709</v>
      </c>
      <c r="BX60" t="s">
        <v>745</v>
      </c>
      <c r="BY60" t="s">
        <v>709</v>
      </c>
      <c r="BZ60" t="s">
        <v>709</v>
      </c>
      <c r="CB60">
        <v>58</v>
      </c>
      <c r="CC60" t="b">
        <v>1</v>
      </c>
      <c r="CD60" t="s">
        <v>2182</v>
      </c>
      <c r="CE60" s="1482">
        <v>45880.731863425928</v>
      </c>
    </row>
    <row r="61" spans="1:83" x14ac:dyDescent="0.25">
      <c r="A61">
        <v>2019</v>
      </c>
      <c r="B61" t="s">
        <v>4</v>
      </c>
      <c r="C61" t="s">
        <v>2078</v>
      </c>
      <c r="D61" t="s">
        <v>2079</v>
      </c>
      <c r="E61" t="s">
        <v>245</v>
      </c>
      <c r="F61" t="s">
        <v>325</v>
      </c>
      <c r="G61" t="s">
        <v>1896</v>
      </c>
      <c r="H61" t="s">
        <v>2051</v>
      </c>
      <c r="I61">
        <v>43523</v>
      </c>
      <c r="J61" t="s">
        <v>2052</v>
      </c>
      <c r="K61">
        <v>43761</v>
      </c>
      <c r="L61">
        <v>238</v>
      </c>
      <c r="M61" t="s">
        <v>2183</v>
      </c>
      <c r="N61" t="s">
        <v>120</v>
      </c>
      <c r="O61">
        <v>43761</v>
      </c>
      <c r="P61" t="s">
        <v>739</v>
      </c>
      <c r="Q61">
        <v>3617.5</v>
      </c>
      <c r="R61" t="s">
        <v>1922</v>
      </c>
      <c r="AM61" t="s">
        <v>709</v>
      </c>
      <c r="AY61" t="s">
        <v>29</v>
      </c>
      <c r="BA61">
        <v>12</v>
      </c>
      <c r="BI61" t="s">
        <v>709</v>
      </c>
      <c r="BJ61" t="s">
        <v>709</v>
      </c>
      <c r="BK61" t="s">
        <v>709</v>
      </c>
      <c r="BL61" t="s">
        <v>116</v>
      </c>
      <c r="BM61" t="s">
        <v>709</v>
      </c>
      <c r="BN61" t="s">
        <v>709</v>
      </c>
      <c r="BO61" t="s">
        <v>709</v>
      </c>
      <c r="BP61" t="s">
        <v>709</v>
      </c>
      <c r="BQ61">
        <v>960</v>
      </c>
      <c r="BR61" t="s">
        <v>709</v>
      </c>
      <c r="BS61" t="s">
        <v>709</v>
      </c>
      <c r="BT61" t="s">
        <v>709</v>
      </c>
      <c r="BU61" t="s">
        <v>709</v>
      </c>
      <c r="BV61" t="s">
        <v>709</v>
      </c>
      <c r="BW61" t="s">
        <v>709</v>
      </c>
      <c r="BX61" t="s">
        <v>709</v>
      </c>
      <c r="BY61" t="s">
        <v>709</v>
      </c>
      <c r="BZ61" t="s">
        <v>709</v>
      </c>
      <c r="CB61">
        <v>61</v>
      </c>
      <c r="CC61" t="b">
        <v>1</v>
      </c>
      <c r="CD61" t="s">
        <v>2184</v>
      </c>
      <c r="CE61" s="1482">
        <v>45880.731863425928</v>
      </c>
    </row>
    <row r="62" spans="1:83" x14ac:dyDescent="0.25">
      <c r="A62">
        <v>2019</v>
      </c>
      <c r="B62" t="s">
        <v>4</v>
      </c>
      <c r="C62" t="s">
        <v>2185</v>
      </c>
      <c r="D62" t="s">
        <v>2186</v>
      </c>
      <c r="E62" t="s">
        <v>2187</v>
      </c>
      <c r="F62" t="s">
        <v>919</v>
      </c>
      <c r="G62" t="s">
        <v>1896</v>
      </c>
      <c r="H62" t="s">
        <v>59</v>
      </c>
      <c r="I62">
        <v>43472</v>
      </c>
      <c r="J62">
        <v>43678</v>
      </c>
      <c r="K62">
        <v>43761</v>
      </c>
      <c r="L62">
        <v>0</v>
      </c>
      <c r="M62" t="s">
        <v>2188</v>
      </c>
      <c r="N62" t="s">
        <v>120</v>
      </c>
      <c r="O62">
        <v>43761</v>
      </c>
      <c r="P62" t="s">
        <v>739</v>
      </c>
      <c r="Q62">
        <v>50067.360699999997</v>
      </c>
      <c r="R62">
        <v>7.0000000000000007E-2</v>
      </c>
      <c r="V62">
        <v>2518</v>
      </c>
      <c r="X62">
        <v>658150.05000000005</v>
      </c>
      <c r="Y62">
        <v>39129.72</v>
      </c>
      <c r="Z62">
        <v>96227.68</v>
      </c>
      <c r="AA62">
        <v>715248.01</v>
      </c>
      <c r="AM62" t="s">
        <v>116</v>
      </c>
      <c r="AN62">
        <v>43922</v>
      </c>
      <c r="AO62">
        <v>182441</v>
      </c>
      <c r="AP62">
        <v>649966.29</v>
      </c>
      <c r="AQ62">
        <v>39129.72</v>
      </c>
      <c r="AR62">
        <v>42149.03</v>
      </c>
      <c r="AS62">
        <v>692115.32</v>
      </c>
      <c r="AT62">
        <v>-23132.69</v>
      </c>
      <c r="AU62">
        <v>-1619.2882999999999</v>
      </c>
      <c r="AV62">
        <v>8070</v>
      </c>
      <c r="AW62" t="s">
        <v>2189</v>
      </c>
      <c r="AY62" t="s">
        <v>1935</v>
      </c>
      <c r="BA62" t="s">
        <v>2190</v>
      </c>
      <c r="BB62" t="s">
        <v>2191</v>
      </c>
      <c r="BI62" t="s">
        <v>709</v>
      </c>
      <c r="BJ62" t="s">
        <v>709</v>
      </c>
      <c r="BK62" t="s">
        <v>709</v>
      </c>
      <c r="BL62" t="s">
        <v>116</v>
      </c>
      <c r="BM62" t="s">
        <v>709</v>
      </c>
      <c r="BN62" t="s">
        <v>709</v>
      </c>
      <c r="BO62" t="s">
        <v>709</v>
      </c>
      <c r="BP62" t="s">
        <v>709</v>
      </c>
      <c r="BQ62">
        <v>2323</v>
      </c>
      <c r="BR62">
        <v>181</v>
      </c>
      <c r="BS62">
        <v>14</v>
      </c>
      <c r="BT62" t="s">
        <v>709</v>
      </c>
      <c r="BU62" t="s">
        <v>709</v>
      </c>
      <c r="BV62" t="s">
        <v>709</v>
      </c>
      <c r="BW62" t="s">
        <v>709</v>
      </c>
      <c r="BX62" t="s">
        <v>709</v>
      </c>
      <c r="BY62" t="s">
        <v>709</v>
      </c>
      <c r="BZ62" t="s">
        <v>709</v>
      </c>
      <c r="CB62">
        <v>59</v>
      </c>
      <c r="CC62" t="b">
        <v>1</v>
      </c>
      <c r="CD62" t="s">
        <v>2192</v>
      </c>
      <c r="CE62" s="1482">
        <v>45880.731874999998</v>
      </c>
    </row>
    <row r="63" spans="1:83" x14ac:dyDescent="0.25">
      <c r="A63">
        <v>2020</v>
      </c>
      <c r="B63" t="s">
        <v>771</v>
      </c>
      <c r="C63" t="s">
        <v>2193</v>
      </c>
      <c r="D63" t="s">
        <v>2194</v>
      </c>
      <c r="E63" t="s">
        <v>249</v>
      </c>
      <c r="F63" t="s">
        <v>325</v>
      </c>
      <c r="G63" t="s">
        <v>1896</v>
      </c>
      <c r="H63" t="s">
        <v>59</v>
      </c>
      <c r="I63">
        <v>43664</v>
      </c>
      <c r="J63">
        <v>43766</v>
      </c>
      <c r="K63">
        <v>43761</v>
      </c>
      <c r="L63">
        <v>5</v>
      </c>
      <c r="M63" t="s">
        <v>115</v>
      </c>
      <c r="N63" t="s">
        <v>120</v>
      </c>
      <c r="O63">
        <v>43761</v>
      </c>
      <c r="P63" t="s">
        <v>120</v>
      </c>
      <c r="Q63">
        <v>13739.6916</v>
      </c>
      <c r="R63">
        <v>0.09</v>
      </c>
      <c r="V63">
        <v>435</v>
      </c>
      <c r="X63">
        <v>89757.09</v>
      </c>
      <c r="Y63">
        <v>0</v>
      </c>
      <c r="Z63">
        <v>62906.15</v>
      </c>
      <c r="AA63">
        <v>152663.24</v>
      </c>
      <c r="AM63" t="s">
        <v>116</v>
      </c>
      <c r="AN63">
        <v>43859</v>
      </c>
      <c r="AO63">
        <v>181875</v>
      </c>
      <c r="AP63">
        <v>147014.92000000001</v>
      </c>
      <c r="AQ63">
        <v>0</v>
      </c>
      <c r="AR63">
        <v>34434.120000000003</v>
      </c>
      <c r="AS63">
        <v>181449.04</v>
      </c>
      <c r="AT63">
        <v>28785.8</v>
      </c>
      <c r="AU63">
        <v>2590.7220000000002</v>
      </c>
      <c r="AV63">
        <v>0</v>
      </c>
      <c r="AW63" t="s">
        <v>2195</v>
      </c>
      <c r="AY63">
        <v>43983</v>
      </c>
      <c r="BA63" t="s">
        <v>2196</v>
      </c>
      <c r="BI63" t="s">
        <v>709</v>
      </c>
      <c r="BJ63" t="s">
        <v>709</v>
      </c>
      <c r="BK63" t="s">
        <v>709</v>
      </c>
      <c r="BL63" t="s">
        <v>116</v>
      </c>
      <c r="BM63" t="s">
        <v>709</v>
      </c>
      <c r="BN63" t="s">
        <v>709</v>
      </c>
      <c r="BO63" t="s">
        <v>709</v>
      </c>
      <c r="BP63" t="s">
        <v>709</v>
      </c>
      <c r="BQ63" t="s">
        <v>709</v>
      </c>
      <c r="BR63" t="s">
        <v>709</v>
      </c>
      <c r="BS63">
        <v>435</v>
      </c>
      <c r="BT63" t="s">
        <v>745</v>
      </c>
      <c r="BU63" t="s">
        <v>709</v>
      </c>
      <c r="BV63" t="s">
        <v>709</v>
      </c>
      <c r="BW63" t="s">
        <v>709</v>
      </c>
      <c r="BX63" t="s">
        <v>745</v>
      </c>
      <c r="BY63" t="s">
        <v>709</v>
      </c>
      <c r="BZ63" t="s">
        <v>709</v>
      </c>
      <c r="CB63">
        <v>60</v>
      </c>
      <c r="CC63" t="b">
        <v>1</v>
      </c>
      <c r="CD63" t="s">
        <v>2197</v>
      </c>
      <c r="CE63" s="1482">
        <v>45880.731874999998</v>
      </c>
    </row>
    <row r="64" spans="1:83" ht="90" x14ac:dyDescent="0.25">
      <c r="A64">
        <v>2019</v>
      </c>
      <c r="B64" t="s">
        <v>4</v>
      </c>
      <c r="C64" t="s">
        <v>2198</v>
      </c>
      <c r="D64" t="s">
        <v>2199</v>
      </c>
      <c r="E64" t="s">
        <v>1969</v>
      </c>
      <c r="F64" t="s">
        <v>919</v>
      </c>
      <c r="G64" t="s">
        <v>1896</v>
      </c>
      <c r="H64" t="s">
        <v>59</v>
      </c>
      <c r="I64">
        <v>43698</v>
      </c>
      <c r="J64">
        <v>43770</v>
      </c>
      <c r="K64">
        <v>43767</v>
      </c>
      <c r="L64">
        <v>3</v>
      </c>
      <c r="M64" t="s">
        <v>2200</v>
      </c>
      <c r="N64" t="s">
        <v>120</v>
      </c>
      <c r="O64">
        <v>43770</v>
      </c>
      <c r="P64" t="s">
        <v>739</v>
      </c>
      <c r="Q64">
        <v>12418.3969</v>
      </c>
      <c r="R64">
        <v>7.0000000000000007E-2</v>
      </c>
      <c r="V64">
        <v>2186</v>
      </c>
      <c r="X64">
        <v>174353.22</v>
      </c>
      <c r="Y64">
        <v>24118.080000000002</v>
      </c>
      <c r="Z64">
        <v>27170.53</v>
      </c>
      <c r="AA64">
        <v>177405.67</v>
      </c>
      <c r="AM64" t="s">
        <v>116</v>
      </c>
      <c r="AN64">
        <v>43886</v>
      </c>
      <c r="AO64">
        <v>182001</v>
      </c>
      <c r="AP64">
        <v>230727.15</v>
      </c>
      <c r="AQ64">
        <v>33970.44</v>
      </c>
      <c r="AR64">
        <v>35432.07</v>
      </c>
      <c r="AS64">
        <v>266159.21999999997</v>
      </c>
      <c r="AT64">
        <v>88753.55</v>
      </c>
      <c r="AU64">
        <v>6212.7484999999997</v>
      </c>
      <c r="AV64">
        <v>9949.5</v>
      </c>
      <c r="AW64" s="4" t="s">
        <v>2201</v>
      </c>
      <c r="AY64" t="s">
        <v>1935</v>
      </c>
      <c r="BA64" t="s">
        <v>2202</v>
      </c>
      <c r="BB64" t="s">
        <v>1911</v>
      </c>
      <c r="BI64" t="s">
        <v>709</v>
      </c>
      <c r="BJ64" t="s">
        <v>709</v>
      </c>
      <c r="BK64" t="s">
        <v>709</v>
      </c>
      <c r="BL64" t="s">
        <v>116</v>
      </c>
      <c r="BM64" t="s">
        <v>709</v>
      </c>
      <c r="BN64" t="s">
        <v>709</v>
      </c>
      <c r="BO64" t="s">
        <v>709</v>
      </c>
      <c r="BP64" t="s">
        <v>709</v>
      </c>
      <c r="BQ64" t="s">
        <v>709</v>
      </c>
      <c r="BR64" t="s">
        <v>709</v>
      </c>
      <c r="BS64">
        <v>1552</v>
      </c>
      <c r="BT64" t="s">
        <v>709</v>
      </c>
      <c r="BU64" t="s">
        <v>709</v>
      </c>
      <c r="BV64" t="s">
        <v>709</v>
      </c>
      <c r="BW64" t="s">
        <v>709</v>
      </c>
      <c r="BX64" t="s">
        <v>709</v>
      </c>
      <c r="BY64" t="s">
        <v>709</v>
      </c>
      <c r="BZ64" t="s">
        <v>709</v>
      </c>
      <c r="CB64">
        <v>62</v>
      </c>
      <c r="CC64" t="b">
        <v>1</v>
      </c>
      <c r="CD64" t="s">
        <v>2203</v>
      </c>
      <c r="CE64" s="1482">
        <v>45880.731874999998</v>
      </c>
    </row>
    <row r="65" spans="1:83" ht="330" x14ac:dyDescent="0.25">
      <c r="A65">
        <v>2020</v>
      </c>
      <c r="B65" t="s">
        <v>771</v>
      </c>
      <c r="C65" t="s">
        <v>2204</v>
      </c>
      <c r="D65" t="s">
        <v>2205</v>
      </c>
      <c r="E65" t="s">
        <v>1529</v>
      </c>
      <c r="F65" t="s">
        <v>325</v>
      </c>
      <c r="G65" t="s">
        <v>1896</v>
      </c>
      <c r="H65" t="s">
        <v>59</v>
      </c>
      <c r="I65">
        <v>43664</v>
      </c>
      <c r="J65">
        <v>43770</v>
      </c>
      <c r="K65">
        <v>43767</v>
      </c>
      <c r="L65">
        <v>3</v>
      </c>
      <c r="M65" t="s">
        <v>2200</v>
      </c>
      <c r="N65" t="s">
        <v>120</v>
      </c>
      <c r="O65">
        <v>43770</v>
      </c>
      <c r="P65" t="s">
        <v>120</v>
      </c>
      <c r="Q65">
        <v>50078.332799999996</v>
      </c>
      <c r="R65">
        <v>0.09</v>
      </c>
      <c r="V65">
        <v>2106</v>
      </c>
      <c r="X65">
        <v>473160.03</v>
      </c>
      <c r="Y65">
        <v>33053.58</v>
      </c>
      <c r="Z65">
        <v>116319.47</v>
      </c>
      <c r="AA65">
        <v>556425.92000000004</v>
      </c>
      <c r="AM65" t="s">
        <v>116</v>
      </c>
      <c r="AN65">
        <v>43878</v>
      </c>
      <c r="AO65" t="s">
        <v>115</v>
      </c>
      <c r="AP65">
        <v>547764.02</v>
      </c>
      <c r="AQ65">
        <v>32727.24</v>
      </c>
      <c r="AR65">
        <v>62686.58</v>
      </c>
      <c r="AS65">
        <v>610450.6</v>
      </c>
      <c r="AT65">
        <v>54024.68</v>
      </c>
      <c r="AU65">
        <v>4862.2212</v>
      </c>
      <c r="AV65">
        <v>4410</v>
      </c>
      <c r="AW65" s="4" t="s">
        <v>2206</v>
      </c>
      <c r="AY65">
        <v>43983</v>
      </c>
      <c r="BA65" t="s">
        <v>2207</v>
      </c>
      <c r="BI65" t="s">
        <v>709</v>
      </c>
      <c r="BJ65" t="s">
        <v>709</v>
      </c>
      <c r="BK65" t="s">
        <v>709</v>
      </c>
      <c r="BL65" t="s">
        <v>116</v>
      </c>
      <c r="BM65" t="s">
        <v>709</v>
      </c>
      <c r="BN65" t="s">
        <v>709</v>
      </c>
      <c r="BO65" t="s">
        <v>709</v>
      </c>
      <c r="BP65" t="s">
        <v>709</v>
      </c>
      <c r="BQ65" t="s">
        <v>709</v>
      </c>
      <c r="BR65" t="s">
        <v>709</v>
      </c>
      <c r="BS65">
        <v>2127</v>
      </c>
      <c r="BT65" t="s">
        <v>745</v>
      </c>
      <c r="BU65" t="s">
        <v>709</v>
      </c>
      <c r="BV65" t="s">
        <v>709</v>
      </c>
      <c r="BW65" t="s">
        <v>709</v>
      </c>
      <c r="BX65" t="s">
        <v>709</v>
      </c>
      <c r="BY65" t="s">
        <v>709</v>
      </c>
      <c r="BZ65" t="s">
        <v>709</v>
      </c>
      <c r="CB65">
        <v>63</v>
      </c>
      <c r="CC65" t="b">
        <v>1</v>
      </c>
      <c r="CD65" t="s">
        <v>2208</v>
      </c>
      <c r="CE65" s="1482">
        <v>45880.731874999998</v>
      </c>
    </row>
    <row r="66" spans="1:83" x14ac:dyDescent="0.25">
      <c r="A66">
        <v>2019</v>
      </c>
      <c r="B66" t="s">
        <v>1073</v>
      </c>
      <c r="C66" t="s">
        <v>2209</v>
      </c>
      <c r="D66" t="s">
        <v>2210</v>
      </c>
      <c r="E66" t="s">
        <v>2074</v>
      </c>
      <c r="F66" t="s">
        <v>919</v>
      </c>
      <c r="G66" t="s">
        <v>1896</v>
      </c>
      <c r="H66" t="s">
        <v>59</v>
      </c>
      <c r="I66">
        <v>43605</v>
      </c>
      <c r="J66">
        <v>43649</v>
      </c>
      <c r="K66">
        <v>43774</v>
      </c>
      <c r="L66">
        <v>-125</v>
      </c>
      <c r="M66" t="s">
        <v>2211</v>
      </c>
      <c r="N66" t="s">
        <v>120</v>
      </c>
      <c r="O66">
        <v>43774</v>
      </c>
      <c r="P66" t="s">
        <v>739</v>
      </c>
      <c r="Q66">
        <v>60382.417600000001</v>
      </c>
      <c r="R66">
        <v>7.0000000000000007E-2</v>
      </c>
      <c r="V66">
        <v>5192</v>
      </c>
      <c r="X66">
        <v>741258.39</v>
      </c>
      <c r="Y66">
        <v>80683.679999999993</v>
      </c>
      <c r="Z66">
        <v>91316.97</v>
      </c>
      <c r="AA66">
        <v>751891.68</v>
      </c>
      <c r="AM66" t="s">
        <v>116</v>
      </c>
      <c r="AN66">
        <v>43879</v>
      </c>
      <c r="AO66">
        <v>181499</v>
      </c>
      <c r="AP66">
        <v>777665.7</v>
      </c>
      <c r="AQ66">
        <v>80683.679999999993</v>
      </c>
      <c r="AR66">
        <v>91307.04</v>
      </c>
      <c r="AS66">
        <v>868972.74</v>
      </c>
      <c r="AT66">
        <v>117081.06</v>
      </c>
      <c r="AU66">
        <v>8195.6741999999995</v>
      </c>
      <c r="AV66">
        <v>0</v>
      </c>
      <c r="AW66" t="s">
        <v>2212</v>
      </c>
      <c r="AY66">
        <v>43983</v>
      </c>
      <c r="BA66" t="s">
        <v>2213</v>
      </c>
      <c r="BI66" t="s">
        <v>709</v>
      </c>
      <c r="BJ66" t="s">
        <v>709</v>
      </c>
      <c r="BK66" t="s">
        <v>116</v>
      </c>
      <c r="BL66" t="s">
        <v>709</v>
      </c>
      <c r="BM66" t="s">
        <v>709</v>
      </c>
      <c r="BN66">
        <v>40</v>
      </c>
      <c r="BO66" t="s">
        <v>709</v>
      </c>
      <c r="BP66">
        <v>805</v>
      </c>
      <c r="BQ66">
        <v>4212</v>
      </c>
      <c r="BR66">
        <v>40</v>
      </c>
      <c r="BS66">
        <v>5</v>
      </c>
      <c r="BT66">
        <v>1</v>
      </c>
      <c r="BU66" t="s">
        <v>709</v>
      </c>
      <c r="BV66" t="s">
        <v>709</v>
      </c>
      <c r="BW66" t="s">
        <v>709</v>
      </c>
      <c r="BX66">
        <v>1</v>
      </c>
      <c r="BY66" t="s">
        <v>709</v>
      </c>
      <c r="BZ66" t="s">
        <v>709</v>
      </c>
      <c r="CB66">
        <v>64</v>
      </c>
      <c r="CC66" t="b">
        <v>1</v>
      </c>
      <c r="CD66" t="s">
        <v>2214</v>
      </c>
      <c r="CE66" s="1482">
        <v>45880.731874999998</v>
      </c>
    </row>
    <row r="67" spans="1:83" x14ac:dyDescent="0.25">
      <c r="A67">
        <v>2019</v>
      </c>
      <c r="B67" t="s">
        <v>1205</v>
      </c>
      <c r="C67" t="s">
        <v>2215</v>
      </c>
      <c r="D67" t="s">
        <v>2216</v>
      </c>
      <c r="E67" t="s">
        <v>2217</v>
      </c>
      <c r="F67" t="s">
        <v>919</v>
      </c>
      <c r="G67" t="s">
        <v>1896</v>
      </c>
      <c r="H67" t="s">
        <v>59</v>
      </c>
      <c r="I67">
        <v>43497</v>
      </c>
      <c r="J67">
        <v>43784</v>
      </c>
      <c r="K67">
        <v>43780</v>
      </c>
      <c r="L67">
        <v>4</v>
      </c>
      <c r="M67" t="s">
        <v>2218</v>
      </c>
      <c r="N67" t="s">
        <v>120</v>
      </c>
      <c r="O67">
        <v>43780</v>
      </c>
      <c r="P67" t="s">
        <v>739</v>
      </c>
      <c r="Q67">
        <v>21782.4012</v>
      </c>
      <c r="R67">
        <v>0.09</v>
      </c>
      <c r="V67">
        <v>651</v>
      </c>
      <c r="X67">
        <v>233987.04</v>
      </c>
      <c r="Y67">
        <v>10116.540000000001</v>
      </c>
      <c r="Z67">
        <v>18156.18</v>
      </c>
      <c r="AA67">
        <v>242026.68</v>
      </c>
      <c r="AM67" t="s">
        <v>116</v>
      </c>
      <c r="AN67">
        <v>44754</v>
      </c>
      <c r="AO67">
        <v>11017224</v>
      </c>
      <c r="AP67">
        <v>251195.73</v>
      </c>
      <c r="AR67">
        <v>18123.560000000001</v>
      </c>
      <c r="AS67">
        <v>269319.28999999998</v>
      </c>
      <c r="AT67">
        <v>27292.61</v>
      </c>
      <c r="AU67">
        <v>2456.3348999999998</v>
      </c>
      <c r="AV67" t="s">
        <v>709</v>
      </c>
      <c r="AW67" t="s">
        <v>2219</v>
      </c>
      <c r="AX67">
        <v>2456.3348999999998</v>
      </c>
      <c r="AY67">
        <v>45008</v>
      </c>
      <c r="BA67" t="s">
        <v>2220</v>
      </c>
      <c r="BB67" t="s">
        <v>2221</v>
      </c>
      <c r="BI67" t="s">
        <v>709</v>
      </c>
      <c r="BJ67" t="s">
        <v>709</v>
      </c>
      <c r="BK67" t="s">
        <v>709</v>
      </c>
      <c r="BL67" t="s">
        <v>116</v>
      </c>
      <c r="BM67" t="s">
        <v>709</v>
      </c>
      <c r="BN67" t="s">
        <v>709</v>
      </c>
      <c r="BO67" t="s">
        <v>709</v>
      </c>
      <c r="BP67" t="s">
        <v>709</v>
      </c>
      <c r="BQ67" t="s">
        <v>709</v>
      </c>
      <c r="BR67">
        <v>651</v>
      </c>
      <c r="BS67" t="s">
        <v>709</v>
      </c>
      <c r="BT67" t="s">
        <v>709</v>
      </c>
      <c r="BU67" t="s">
        <v>709</v>
      </c>
      <c r="BV67" t="s">
        <v>709</v>
      </c>
      <c r="BW67" t="s">
        <v>709</v>
      </c>
      <c r="BX67" t="s">
        <v>709</v>
      </c>
      <c r="BY67" t="s">
        <v>709</v>
      </c>
      <c r="BZ67" t="s">
        <v>709</v>
      </c>
      <c r="CB67">
        <v>65</v>
      </c>
      <c r="CC67" t="b">
        <v>1</v>
      </c>
      <c r="CD67" t="s">
        <v>2222</v>
      </c>
      <c r="CE67" s="1482">
        <v>45880.731886574074</v>
      </c>
    </row>
    <row r="68" spans="1:83" x14ac:dyDescent="0.25">
      <c r="A68">
        <v>2019</v>
      </c>
      <c r="B68" t="s">
        <v>1073</v>
      </c>
      <c r="C68" t="s">
        <v>2030</v>
      </c>
      <c r="D68" t="s">
        <v>2031</v>
      </c>
      <c r="E68" t="s">
        <v>2032</v>
      </c>
      <c r="F68" t="s">
        <v>325</v>
      </c>
      <c r="G68" t="s">
        <v>1896</v>
      </c>
      <c r="H68" t="s">
        <v>2051</v>
      </c>
      <c r="I68">
        <v>43619</v>
      </c>
      <c r="J68" t="s">
        <v>2052</v>
      </c>
      <c r="K68">
        <v>43780</v>
      </c>
      <c r="L68">
        <v>161</v>
      </c>
      <c r="M68" t="s">
        <v>2223</v>
      </c>
      <c r="N68" t="s">
        <v>120</v>
      </c>
      <c r="O68">
        <v>43780</v>
      </c>
      <c r="P68" t="s">
        <v>739</v>
      </c>
      <c r="Q68">
        <v>3305</v>
      </c>
      <c r="R68" t="s">
        <v>1922</v>
      </c>
      <c r="AM68" t="s">
        <v>709</v>
      </c>
      <c r="AY68" t="s">
        <v>29</v>
      </c>
      <c r="BA68">
        <v>4</v>
      </c>
      <c r="BI68" t="s">
        <v>709</v>
      </c>
      <c r="BJ68" t="s">
        <v>709</v>
      </c>
      <c r="BK68" t="s">
        <v>709</v>
      </c>
      <c r="BL68" t="s">
        <v>116</v>
      </c>
      <c r="BM68" t="s">
        <v>709</v>
      </c>
      <c r="BN68" t="s">
        <v>709</v>
      </c>
      <c r="BO68" t="s">
        <v>709</v>
      </c>
      <c r="BP68" t="s">
        <v>709</v>
      </c>
      <c r="BQ68" t="s">
        <v>709</v>
      </c>
      <c r="BR68">
        <v>2330</v>
      </c>
      <c r="BS68" t="s">
        <v>709</v>
      </c>
      <c r="BT68" t="s">
        <v>709</v>
      </c>
      <c r="BU68" t="s">
        <v>709</v>
      </c>
      <c r="BV68" t="s">
        <v>709</v>
      </c>
      <c r="BW68" t="s">
        <v>709</v>
      </c>
      <c r="BX68" t="s">
        <v>709</v>
      </c>
      <c r="BY68" t="s">
        <v>709</v>
      </c>
      <c r="BZ68" t="s">
        <v>709</v>
      </c>
      <c r="CB68">
        <v>66</v>
      </c>
      <c r="CC68" t="b">
        <v>1</v>
      </c>
      <c r="CD68" t="s">
        <v>2224</v>
      </c>
      <c r="CE68" s="1482">
        <v>45880.731886574074</v>
      </c>
    </row>
    <row r="69" spans="1:83" x14ac:dyDescent="0.25">
      <c r="A69">
        <v>2019</v>
      </c>
      <c r="B69" t="s">
        <v>1205</v>
      </c>
      <c r="C69" t="s">
        <v>2225</v>
      </c>
      <c r="D69" t="s">
        <v>2226</v>
      </c>
      <c r="E69" t="s">
        <v>104</v>
      </c>
      <c r="F69" t="s">
        <v>325</v>
      </c>
      <c r="G69" t="s">
        <v>1887</v>
      </c>
      <c r="H69" t="s">
        <v>59</v>
      </c>
      <c r="I69">
        <v>43755</v>
      </c>
      <c r="J69">
        <v>43790</v>
      </c>
      <c r="K69">
        <v>43783</v>
      </c>
      <c r="L69">
        <v>7</v>
      </c>
      <c r="N69" t="s">
        <v>120</v>
      </c>
      <c r="O69">
        <v>43783</v>
      </c>
      <c r="P69" t="s">
        <v>739</v>
      </c>
      <c r="Q69">
        <v>9058.0589999999993</v>
      </c>
      <c r="R69">
        <v>0.09</v>
      </c>
      <c r="V69">
        <v>136</v>
      </c>
      <c r="X69">
        <v>86303.73</v>
      </c>
      <c r="Y69">
        <v>2113.44</v>
      </c>
      <c r="Z69">
        <v>16454.810000000001</v>
      </c>
      <c r="AA69">
        <v>100645.1</v>
      </c>
      <c r="AM69" t="s">
        <v>116</v>
      </c>
      <c r="AN69">
        <v>43854</v>
      </c>
      <c r="AO69">
        <v>181299</v>
      </c>
      <c r="AP69">
        <v>87163.71</v>
      </c>
      <c r="AQ69">
        <v>2113.44</v>
      </c>
      <c r="AR69">
        <v>22422.36</v>
      </c>
      <c r="AS69">
        <v>109586.07</v>
      </c>
      <c r="AT69">
        <v>8940.9699999999993</v>
      </c>
      <c r="AU69">
        <v>804.68730000000005</v>
      </c>
      <c r="AV69">
        <v>0</v>
      </c>
      <c r="AW69" t="s">
        <v>2227</v>
      </c>
      <c r="AY69">
        <v>43983</v>
      </c>
      <c r="BA69" t="s">
        <v>2228</v>
      </c>
      <c r="BI69" t="s">
        <v>709</v>
      </c>
      <c r="BJ69" t="s">
        <v>709</v>
      </c>
      <c r="BK69" t="s">
        <v>709</v>
      </c>
      <c r="BL69" t="s">
        <v>116</v>
      </c>
      <c r="BM69" t="s">
        <v>709</v>
      </c>
      <c r="BN69" t="s">
        <v>709</v>
      </c>
      <c r="BO69" t="s">
        <v>709</v>
      </c>
      <c r="BP69" t="s">
        <v>709</v>
      </c>
      <c r="BQ69" t="s">
        <v>709</v>
      </c>
      <c r="BR69">
        <v>136</v>
      </c>
      <c r="BS69" t="s">
        <v>709</v>
      </c>
      <c r="BT69" t="s">
        <v>709</v>
      </c>
      <c r="BU69" t="s">
        <v>709</v>
      </c>
      <c r="BV69" t="s">
        <v>709</v>
      </c>
      <c r="BW69" t="s">
        <v>709</v>
      </c>
      <c r="BX69" t="s">
        <v>709</v>
      </c>
      <c r="BY69" t="s">
        <v>709</v>
      </c>
      <c r="BZ69" t="s">
        <v>709</v>
      </c>
      <c r="CB69">
        <v>67</v>
      </c>
      <c r="CC69" t="b">
        <v>1</v>
      </c>
      <c r="CD69" t="s">
        <v>2229</v>
      </c>
      <c r="CE69" s="1482">
        <v>45880.731886574074</v>
      </c>
    </row>
    <row r="70" spans="1:83" x14ac:dyDescent="0.25">
      <c r="A70">
        <v>2019</v>
      </c>
      <c r="B70" t="s">
        <v>1073</v>
      </c>
      <c r="C70" t="s">
        <v>2230</v>
      </c>
      <c r="D70" t="s">
        <v>2231</v>
      </c>
      <c r="E70" t="s">
        <v>2126</v>
      </c>
      <c r="F70" t="s">
        <v>325</v>
      </c>
      <c r="G70" t="s">
        <v>2232</v>
      </c>
      <c r="H70" t="s">
        <v>59</v>
      </c>
      <c r="I70">
        <v>43665</v>
      </c>
      <c r="J70">
        <v>43791</v>
      </c>
      <c r="K70">
        <v>43788</v>
      </c>
      <c r="L70">
        <v>3</v>
      </c>
      <c r="M70" t="s">
        <v>2233</v>
      </c>
      <c r="N70" t="s">
        <v>120</v>
      </c>
      <c r="O70">
        <v>43788</v>
      </c>
      <c r="P70" t="s">
        <v>739</v>
      </c>
      <c r="Q70">
        <v>24927.5</v>
      </c>
      <c r="R70" t="s">
        <v>1922</v>
      </c>
      <c r="V70">
        <v>1687</v>
      </c>
      <c r="X70">
        <v>76073.23</v>
      </c>
      <c r="Y70">
        <v>20783.84</v>
      </c>
      <c r="Z70">
        <v>0</v>
      </c>
      <c r="AA70">
        <v>55289.39</v>
      </c>
      <c r="AM70" t="s">
        <v>709</v>
      </c>
      <c r="AY70" t="s">
        <v>29</v>
      </c>
      <c r="BA70" t="s">
        <v>2234</v>
      </c>
      <c r="BI70" t="s">
        <v>709</v>
      </c>
      <c r="BJ70" t="s">
        <v>709</v>
      </c>
      <c r="BK70" t="s">
        <v>709</v>
      </c>
      <c r="BL70" t="s">
        <v>116</v>
      </c>
      <c r="BM70" t="s">
        <v>709</v>
      </c>
      <c r="BN70" t="s">
        <v>709</v>
      </c>
      <c r="BO70" t="s">
        <v>709</v>
      </c>
      <c r="BP70" t="s">
        <v>709</v>
      </c>
      <c r="BQ70" t="s">
        <v>709</v>
      </c>
      <c r="BR70" t="s">
        <v>709</v>
      </c>
      <c r="BS70">
        <v>1687</v>
      </c>
      <c r="BT70" t="s">
        <v>709</v>
      </c>
      <c r="BU70" t="s">
        <v>709</v>
      </c>
      <c r="BV70" t="s">
        <v>709</v>
      </c>
      <c r="BW70" t="s">
        <v>709</v>
      </c>
      <c r="BX70" t="s">
        <v>709</v>
      </c>
      <c r="BY70" t="s">
        <v>709</v>
      </c>
      <c r="BZ70" t="s">
        <v>709</v>
      </c>
      <c r="CB70">
        <v>68</v>
      </c>
      <c r="CC70" t="b">
        <v>1</v>
      </c>
      <c r="CD70" t="s">
        <v>2235</v>
      </c>
      <c r="CE70" s="1482">
        <v>45880.731886574074</v>
      </c>
    </row>
    <row r="71" spans="1:83" x14ac:dyDescent="0.25">
      <c r="A71">
        <v>2020</v>
      </c>
      <c r="B71" t="s">
        <v>4</v>
      </c>
      <c r="C71" t="s">
        <v>2236</v>
      </c>
      <c r="D71" t="s">
        <v>2237</v>
      </c>
      <c r="E71" t="s">
        <v>1016</v>
      </c>
      <c r="F71" t="s">
        <v>919</v>
      </c>
      <c r="G71" t="s">
        <v>1896</v>
      </c>
      <c r="H71" t="s">
        <v>59</v>
      </c>
      <c r="I71">
        <v>43679</v>
      </c>
      <c r="J71">
        <v>43791</v>
      </c>
      <c r="K71">
        <v>43788</v>
      </c>
      <c r="L71">
        <v>3</v>
      </c>
      <c r="N71" t="s">
        <v>120</v>
      </c>
      <c r="O71">
        <v>43788</v>
      </c>
      <c r="P71" t="s">
        <v>739</v>
      </c>
      <c r="Q71">
        <v>5602.5585000000001</v>
      </c>
      <c r="R71">
        <v>7.0000000000000007E-2</v>
      </c>
      <c r="V71">
        <v>722</v>
      </c>
      <c r="X71">
        <v>77319.13</v>
      </c>
      <c r="Y71">
        <v>7303.8</v>
      </c>
      <c r="Z71">
        <v>10021.219999999999</v>
      </c>
      <c r="AA71">
        <v>80036.55</v>
      </c>
      <c r="AM71" t="s">
        <v>116</v>
      </c>
      <c r="AN71">
        <v>44076</v>
      </c>
      <c r="AO71">
        <v>185063</v>
      </c>
      <c r="AP71">
        <v>206027.82</v>
      </c>
      <c r="AR71">
        <v>4945.8999999999996</v>
      </c>
      <c r="AS71">
        <v>210973.72</v>
      </c>
      <c r="AT71">
        <v>130937.17</v>
      </c>
      <c r="AU71">
        <v>9165.6018999999997</v>
      </c>
      <c r="AV71">
        <v>14487.75</v>
      </c>
      <c r="AW71" t="s">
        <v>2238</v>
      </c>
      <c r="AY71" t="s">
        <v>1935</v>
      </c>
      <c r="BA71" t="s">
        <v>2239</v>
      </c>
      <c r="BB71" t="s">
        <v>2240</v>
      </c>
      <c r="BI71" t="s">
        <v>709</v>
      </c>
      <c r="BJ71" t="s">
        <v>709</v>
      </c>
      <c r="BK71" t="s">
        <v>709</v>
      </c>
      <c r="BL71" t="s">
        <v>116</v>
      </c>
      <c r="BM71" t="s">
        <v>709</v>
      </c>
      <c r="BN71" t="s">
        <v>709</v>
      </c>
      <c r="BO71" t="s">
        <v>709</v>
      </c>
      <c r="BP71" t="s">
        <v>709</v>
      </c>
      <c r="BQ71" t="s">
        <v>709</v>
      </c>
      <c r="BR71">
        <v>470</v>
      </c>
      <c r="BS71" t="s">
        <v>709</v>
      </c>
      <c r="BT71" t="s">
        <v>709</v>
      </c>
      <c r="BU71" t="s">
        <v>709</v>
      </c>
      <c r="BV71" t="s">
        <v>709</v>
      </c>
      <c r="BW71" t="s">
        <v>709</v>
      </c>
      <c r="BX71" t="s">
        <v>709</v>
      </c>
      <c r="BY71" t="s">
        <v>709</v>
      </c>
      <c r="BZ71" t="s">
        <v>709</v>
      </c>
      <c r="CB71">
        <v>69</v>
      </c>
      <c r="CC71" t="b">
        <v>1</v>
      </c>
      <c r="CD71" t="s">
        <v>2241</v>
      </c>
      <c r="CE71" s="1482">
        <v>45880.731898148151</v>
      </c>
    </row>
    <row r="72" spans="1:83" x14ac:dyDescent="0.25">
      <c r="A72">
        <v>2019</v>
      </c>
      <c r="B72" t="s">
        <v>1981</v>
      </c>
      <c r="C72" t="s">
        <v>2142</v>
      </c>
      <c r="D72" t="s">
        <v>2143</v>
      </c>
      <c r="E72" t="s">
        <v>2144</v>
      </c>
      <c r="F72" t="s">
        <v>919</v>
      </c>
      <c r="G72" t="s">
        <v>1887</v>
      </c>
      <c r="H72" t="s">
        <v>2051</v>
      </c>
      <c r="I72">
        <v>43703</v>
      </c>
      <c r="J72" t="s">
        <v>2052</v>
      </c>
      <c r="K72">
        <v>43790</v>
      </c>
      <c r="L72">
        <v>87</v>
      </c>
      <c r="M72" t="s">
        <v>2242</v>
      </c>
      <c r="N72" t="s">
        <v>120</v>
      </c>
      <c r="O72">
        <v>43790</v>
      </c>
      <c r="P72" t="s">
        <v>739</v>
      </c>
      <c r="Q72">
        <v>2940</v>
      </c>
      <c r="R72" t="s">
        <v>1922</v>
      </c>
      <c r="AM72" t="s">
        <v>709</v>
      </c>
      <c r="AY72" t="s">
        <v>29</v>
      </c>
      <c r="BA72">
        <v>4</v>
      </c>
      <c r="BI72" t="s">
        <v>709</v>
      </c>
      <c r="BJ72" t="s">
        <v>709</v>
      </c>
      <c r="BK72" t="s">
        <v>709</v>
      </c>
      <c r="BL72" t="s">
        <v>116</v>
      </c>
      <c r="BM72" t="s">
        <v>709</v>
      </c>
      <c r="BN72" t="s">
        <v>709</v>
      </c>
      <c r="BO72" t="s">
        <v>709</v>
      </c>
      <c r="BP72" t="s">
        <v>709</v>
      </c>
      <c r="BQ72" t="s">
        <v>709</v>
      </c>
      <c r="BR72" t="s">
        <v>709</v>
      </c>
      <c r="BS72">
        <v>570</v>
      </c>
      <c r="BT72" t="s">
        <v>709</v>
      </c>
      <c r="BU72" t="s">
        <v>709</v>
      </c>
      <c r="BV72" t="s">
        <v>709</v>
      </c>
      <c r="BW72" t="s">
        <v>709</v>
      </c>
      <c r="BX72" t="s">
        <v>709</v>
      </c>
      <c r="BY72" t="s">
        <v>709</v>
      </c>
      <c r="BZ72" t="s">
        <v>709</v>
      </c>
      <c r="CB72">
        <v>70</v>
      </c>
      <c r="CC72" t="b">
        <v>1</v>
      </c>
      <c r="CD72" t="s">
        <v>2243</v>
      </c>
      <c r="CE72" s="1482">
        <v>45880.731898148151</v>
      </c>
    </row>
    <row r="73" spans="1:83" x14ac:dyDescent="0.25">
      <c r="A73">
        <v>2020</v>
      </c>
      <c r="B73" t="s">
        <v>771</v>
      </c>
      <c r="C73" t="s">
        <v>2244</v>
      </c>
      <c r="D73" t="s">
        <v>2245</v>
      </c>
      <c r="E73" t="s">
        <v>2246</v>
      </c>
      <c r="F73" t="s">
        <v>919</v>
      </c>
      <c r="G73" t="s">
        <v>1896</v>
      </c>
      <c r="H73" t="s">
        <v>59</v>
      </c>
      <c r="I73">
        <v>43699</v>
      </c>
      <c r="J73">
        <v>43791</v>
      </c>
      <c r="K73">
        <v>43790</v>
      </c>
      <c r="L73">
        <v>1</v>
      </c>
      <c r="N73" t="s">
        <v>120</v>
      </c>
      <c r="O73">
        <v>43790</v>
      </c>
      <c r="P73" t="s">
        <v>120</v>
      </c>
      <c r="Q73">
        <v>19140.95</v>
      </c>
      <c r="R73" t="s">
        <v>2087</v>
      </c>
      <c r="V73">
        <v>12349</v>
      </c>
      <c r="X73">
        <v>1327571.5</v>
      </c>
      <c r="Y73">
        <v>191903.46</v>
      </c>
      <c r="Z73">
        <v>159512.91</v>
      </c>
      <c r="AA73">
        <v>1295180.95</v>
      </c>
      <c r="AM73" t="s">
        <v>709</v>
      </c>
      <c r="AY73" t="s">
        <v>29</v>
      </c>
      <c r="BA73" t="s">
        <v>2247</v>
      </c>
      <c r="BB73" t="s">
        <v>2248</v>
      </c>
      <c r="BI73" t="s">
        <v>709</v>
      </c>
      <c r="BJ73" t="s">
        <v>709</v>
      </c>
      <c r="BK73" t="s">
        <v>709</v>
      </c>
      <c r="BL73" t="s">
        <v>116</v>
      </c>
      <c r="BM73" t="s">
        <v>709</v>
      </c>
      <c r="BN73" t="s">
        <v>709</v>
      </c>
      <c r="BO73" t="s">
        <v>709</v>
      </c>
      <c r="BP73" t="s">
        <v>709</v>
      </c>
      <c r="BQ73" t="s">
        <v>709</v>
      </c>
      <c r="BR73" t="s">
        <v>709</v>
      </c>
      <c r="BS73">
        <v>10090</v>
      </c>
      <c r="BT73" t="s">
        <v>745</v>
      </c>
      <c r="BU73" t="s">
        <v>709</v>
      </c>
      <c r="BV73" t="s">
        <v>745</v>
      </c>
      <c r="BW73" t="s">
        <v>709</v>
      </c>
      <c r="BX73" t="s">
        <v>745</v>
      </c>
      <c r="BY73" t="s">
        <v>745</v>
      </c>
      <c r="BZ73" t="s">
        <v>709</v>
      </c>
      <c r="CB73">
        <v>71</v>
      </c>
      <c r="CC73" t="b">
        <v>1</v>
      </c>
      <c r="CD73" t="s">
        <v>2249</v>
      </c>
      <c r="CE73" s="1482">
        <v>45880.731898148151</v>
      </c>
    </row>
    <row r="74" spans="1:83" ht="120" x14ac:dyDescent="0.25">
      <c r="A74">
        <v>2020</v>
      </c>
      <c r="B74" t="s">
        <v>4</v>
      </c>
      <c r="C74" t="s">
        <v>2250</v>
      </c>
      <c r="D74" t="s">
        <v>2251</v>
      </c>
      <c r="E74" t="s">
        <v>391</v>
      </c>
      <c r="F74" t="s">
        <v>325</v>
      </c>
      <c r="G74" t="s">
        <v>1896</v>
      </c>
      <c r="H74" t="s">
        <v>59</v>
      </c>
      <c r="I74">
        <v>43690</v>
      </c>
      <c r="J74">
        <v>43782</v>
      </c>
      <c r="K74">
        <v>43794</v>
      </c>
      <c r="L74">
        <v>0</v>
      </c>
      <c r="M74" t="s">
        <v>2252</v>
      </c>
      <c r="N74" t="s">
        <v>120</v>
      </c>
      <c r="O74">
        <v>43794</v>
      </c>
      <c r="P74" t="s">
        <v>739</v>
      </c>
      <c r="Q74">
        <v>38727.312400000003</v>
      </c>
      <c r="R74">
        <v>7.0000000000000007E-2</v>
      </c>
      <c r="V74">
        <v>2370</v>
      </c>
      <c r="X74">
        <v>548857.56999999995</v>
      </c>
      <c r="Y74">
        <v>36829.800000000003</v>
      </c>
      <c r="Z74">
        <v>41219.550000000003</v>
      </c>
      <c r="AA74">
        <v>553247.31999999995</v>
      </c>
      <c r="AM74" t="s">
        <v>116</v>
      </c>
      <c r="AN74">
        <v>43924</v>
      </c>
      <c r="AO74">
        <v>182436</v>
      </c>
      <c r="AP74">
        <v>445452.33</v>
      </c>
      <c r="AQ74">
        <v>36829.800000000003</v>
      </c>
      <c r="AR74">
        <v>52755.72</v>
      </c>
      <c r="AS74">
        <v>498208.05</v>
      </c>
      <c r="AT74">
        <v>-55039.27</v>
      </c>
      <c r="AU74">
        <v>-3852.7489</v>
      </c>
      <c r="AV74">
        <v>0</v>
      </c>
      <c r="AW74" t="s">
        <v>2253</v>
      </c>
      <c r="AY74">
        <v>43983</v>
      </c>
      <c r="BA74" t="s">
        <v>2254</v>
      </c>
      <c r="BB74" s="4" t="s">
        <v>2255</v>
      </c>
      <c r="BI74" t="s">
        <v>709</v>
      </c>
      <c r="BJ74" t="s">
        <v>709</v>
      </c>
      <c r="BK74" t="s">
        <v>709</v>
      </c>
      <c r="BL74" t="s">
        <v>116</v>
      </c>
      <c r="BM74" t="s">
        <v>709</v>
      </c>
      <c r="BN74" t="s">
        <v>709</v>
      </c>
      <c r="BO74" t="s">
        <v>709</v>
      </c>
      <c r="BP74">
        <v>1851</v>
      </c>
      <c r="BQ74" t="s">
        <v>709</v>
      </c>
      <c r="BR74" t="s">
        <v>709</v>
      </c>
      <c r="BS74">
        <v>519</v>
      </c>
      <c r="BT74" t="s">
        <v>745</v>
      </c>
      <c r="BU74" t="s">
        <v>709</v>
      </c>
      <c r="BV74" t="s">
        <v>709</v>
      </c>
      <c r="BW74" t="s">
        <v>709</v>
      </c>
      <c r="BX74" t="s">
        <v>745</v>
      </c>
      <c r="BY74" t="s">
        <v>709</v>
      </c>
      <c r="BZ74" t="s">
        <v>709</v>
      </c>
      <c r="CB74">
        <v>72</v>
      </c>
      <c r="CC74" t="b">
        <v>1</v>
      </c>
      <c r="CD74" t="s">
        <v>2256</v>
      </c>
      <c r="CE74" s="1482">
        <v>45880.731898148151</v>
      </c>
    </row>
    <row r="75" spans="1:83" x14ac:dyDescent="0.25">
      <c r="A75">
        <v>2020</v>
      </c>
      <c r="B75" t="s">
        <v>4</v>
      </c>
      <c r="C75" t="s">
        <v>2257</v>
      </c>
      <c r="D75" t="s">
        <v>115</v>
      </c>
      <c r="E75" t="s">
        <v>2258</v>
      </c>
      <c r="F75" t="s">
        <v>325</v>
      </c>
      <c r="G75" t="s">
        <v>1896</v>
      </c>
      <c r="H75" t="s">
        <v>2127</v>
      </c>
      <c r="I75">
        <v>43763</v>
      </c>
      <c r="J75">
        <v>43854</v>
      </c>
      <c r="K75">
        <v>43803</v>
      </c>
      <c r="L75">
        <v>51</v>
      </c>
      <c r="M75" t="s">
        <v>2259</v>
      </c>
      <c r="N75" t="s">
        <v>120</v>
      </c>
      <c r="O75">
        <v>43803</v>
      </c>
      <c r="P75" t="s">
        <v>739</v>
      </c>
      <c r="Q75" t="s">
        <v>115</v>
      </c>
      <c r="R75" t="s">
        <v>115</v>
      </c>
      <c r="AA75">
        <v>0</v>
      </c>
      <c r="AM75" t="s">
        <v>709</v>
      </c>
      <c r="AY75" t="s">
        <v>29</v>
      </c>
      <c r="BA75" t="s">
        <v>2260</v>
      </c>
      <c r="BB75" t="s">
        <v>2261</v>
      </c>
      <c r="BZ75" t="s">
        <v>709</v>
      </c>
      <c r="CA75" t="s">
        <v>915</v>
      </c>
      <c r="CB75">
        <v>73</v>
      </c>
      <c r="CC75" t="b">
        <v>1</v>
      </c>
      <c r="CD75" t="s">
        <v>2262</v>
      </c>
      <c r="CE75" s="1482">
        <v>45880.731909722221</v>
      </c>
    </row>
    <row r="76" spans="1:83" x14ac:dyDescent="0.25">
      <c r="A76">
        <v>2019</v>
      </c>
      <c r="B76" t="s">
        <v>1981</v>
      </c>
      <c r="C76" t="s">
        <v>2142</v>
      </c>
      <c r="D76" t="s">
        <v>2143</v>
      </c>
      <c r="E76" t="s">
        <v>2144</v>
      </c>
      <c r="F76" t="s">
        <v>919</v>
      </c>
      <c r="G76" t="s">
        <v>1887</v>
      </c>
      <c r="H76" t="s">
        <v>2051</v>
      </c>
      <c r="I76">
        <v>43703</v>
      </c>
      <c r="J76" t="s">
        <v>2052</v>
      </c>
      <c r="K76">
        <v>43811</v>
      </c>
      <c r="L76">
        <v>108</v>
      </c>
      <c r="M76" t="s">
        <v>2263</v>
      </c>
      <c r="N76" t="s">
        <v>120</v>
      </c>
      <c r="O76">
        <v>43811</v>
      </c>
      <c r="P76" t="s">
        <v>739</v>
      </c>
      <c r="Q76">
        <v>2460</v>
      </c>
      <c r="R76" t="s">
        <v>1922</v>
      </c>
      <c r="AM76" t="s">
        <v>709</v>
      </c>
      <c r="AY76" t="s">
        <v>29</v>
      </c>
      <c r="BA76">
        <v>4</v>
      </c>
      <c r="BI76" t="s">
        <v>709</v>
      </c>
      <c r="BJ76" t="s">
        <v>709</v>
      </c>
      <c r="BK76" t="s">
        <v>709</v>
      </c>
      <c r="BL76" t="s">
        <v>116</v>
      </c>
      <c r="BM76" t="s">
        <v>709</v>
      </c>
      <c r="BN76" t="s">
        <v>709</v>
      </c>
      <c r="BO76" t="s">
        <v>709</v>
      </c>
      <c r="BP76" t="s">
        <v>709</v>
      </c>
      <c r="BQ76" t="s">
        <v>709</v>
      </c>
      <c r="BR76" t="s">
        <v>709</v>
      </c>
      <c r="BS76">
        <v>592</v>
      </c>
      <c r="BT76" t="s">
        <v>709</v>
      </c>
      <c r="BU76" t="s">
        <v>709</v>
      </c>
      <c r="BV76" t="s">
        <v>709</v>
      </c>
      <c r="BW76" t="s">
        <v>709</v>
      </c>
      <c r="BX76" t="s">
        <v>709</v>
      </c>
      <c r="BY76" t="s">
        <v>709</v>
      </c>
      <c r="BZ76" t="s">
        <v>709</v>
      </c>
      <c r="CB76">
        <v>75</v>
      </c>
      <c r="CC76" t="b">
        <v>1</v>
      </c>
      <c r="CD76" t="s">
        <v>2264</v>
      </c>
      <c r="CE76" s="1482">
        <v>45880.731909722221</v>
      </c>
    </row>
    <row r="77" spans="1:83" x14ac:dyDescent="0.25">
      <c r="A77">
        <v>2020</v>
      </c>
      <c r="B77" t="s">
        <v>4</v>
      </c>
      <c r="C77" t="s">
        <v>2265</v>
      </c>
      <c r="D77" t="s">
        <v>2266</v>
      </c>
      <c r="E77" t="s">
        <v>2267</v>
      </c>
      <c r="F77" t="s">
        <v>919</v>
      </c>
      <c r="G77" t="s">
        <v>36</v>
      </c>
      <c r="H77" t="s">
        <v>59</v>
      </c>
      <c r="I77">
        <v>43720</v>
      </c>
      <c r="J77">
        <v>43811</v>
      </c>
      <c r="K77">
        <v>43811</v>
      </c>
      <c r="L77">
        <v>0</v>
      </c>
      <c r="N77" t="s">
        <v>120</v>
      </c>
      <c r="O77">
        <v>43811</v>
      </c>
      <c r="P77" t="s">
        <v>739</v>
      </c>
      <c r="Q77">
        <v>7689.5910000000003</v>
      </c>
      <c r="R77">
        <v>7.0000000000000007E-2</v>
      </c>
      <c r="V77">
        <v>1628</v>
      </c>
      <c r="X77">
        <v>119698.14</v>
      </c>
      <c r="Y77">
        <v>25609.919999999998</v>
      </c>
      <c r="Z77">
        <v>15763.08</v>
      </c>
      <c r="AA77">
        <v>109851.3</v>
      </c>
      <c r="AM77" t="s">
        <v>116</v>
      </c>
      <c r="AN77">
        <v>43892</v>
      </c>
      <c r="AO77">
        <v>182620</v>
      </c>
      <c r="AP77">
        <v>103620.65</v>
      </c>
      <c r="AQ77">
        <v>0</v>
      </c>
      <c r="AR77">
        <v>16077.3</v>
      </c>
      <c r="AS77">
        <v>119697.95</v>
      </c>
      <c r="AT77">
        <v>9846.65</v>
      </c>
      <c r="AU77">
        <v>689.26549999999997</v>
      </c>
      <c r="AV77">
        <v>9731</v>
      </c>
      <c r="AW77" t="s">
        <v>2268</v>
      </c>
      <c r="AY77" t="s">
        <v>1935</v>
      </c>
      <c r="BA77" t="s">
        <v>2269</v>
      </c>
      <c r="BB77" t="s">
        <v>2270</v>
      </c>
      <c r="BI77" t="s">
        <v>709</v>
      </c>
      <c r="BJ77" t="s">
        <v>709</v>
      </c>
      <c r="BK77" t="s">
        <v>709</v>
      </c>
      <c r="BL77" t="s">
        <v>116</v>
      </c>
      <c r="BM77" t="s">
        <v>709</v>
      </c>
      <c r="BN77" t="s">
        <v>709</v>
      </c>
      <c r="BO77" t="s">
        <v>709</v>
      </c>
      <c r="BP77" t="s">
        <v>709</v>
      </c>
      <c r="BQ77" t="s">
        <v>709</v>
      </c>
      <c r="BR77">
        <v>1648</v>
      </c>
      <c r="BS77" t="s">
        <v>709</v>
      </c>
      <c r="BT77" t="s">
        <v>709</v>
      </c>
      <c r="BU77" t="s">
        <v>709</v>
      </c>
      <c r="BV77" t="s">
        <v>709</v>
      </c>
      <c r="BW77" t="s">
        <v>709</v>
      </c>
      <c r="BX77" t="s">
        <v>709</v>
      </c>
      <c r="BY77" t="s">
        <v>709</v>
      </c>
      <c r="BZ77" t="s">
        <v>709</v>
      </c>
      <c r="CB77">
        <v>74</v>
      </c>
      <c r="CC77" t="b">
        <v>1</v>
      </c>
      <c r="CD77" t="s">
        <v>2271</v>
      </c>
      <c r="CE77" s="1482">
        <v>45880.731909722221</v>
      </c>
    </row>
    <row r="78" spans="1:83" x14ac:dyDescent="0.25">
      <c r="A78">
        <v>2020</v>
      </c>
      <c r="B78" t="s">
        <v>4</v>
      </c>
      <c r="C78" t="s">
        <v>2272</v>
      </c>
      <c r="D78" t="s">
        <v>2273</v>
      </c>
      <c r="E78" t="s">
        <v>2274</v>
      </c>
      <c r="F78" t="s">
        <v>919</v>
      </c>
      <c r="G78" t="s">
        <v>36</v>
      </c>
      <c r="H78" t="s">
        <v>59</v>
      </c>
      <c r="I78">
        <v>43700</v>
      </c>
      <c r="J78">
        <v>43817</v>
      </c>
      <c r="K78">
        <v>43816</v>
      </c>
      <c r="L78">
        <v>1</v>
      </c>
      <c r="N78" t="s">
        <v>120</v>
      </c>
      <c r="O78">
        <v>43816</v>
      </c>
      <c r="P78" t="s">
        <v>739</v>
      </c>
      <c r="Q78">
        <v>12401.612999999999</v>
      </c>
      <c r="R78">
        <v>7.0000000000000007E-2</v>
      </c>
      <c r="V78">
        <v>2083</v>
      </c>
      <c r="X78">
        <v>187204.62</v>
      </c>
      <c r="Y78">
        <v>32369.82</v>
      </c>
      <c r="Z78">
        <v>22331.1</v>
      </c>
      <c r="AA78">
        <v>177165.9</v>
      </c>
      <c r="AM78" t="s">
        <v>116</v>
      </c>
      <c r="AN78">
        <v>43906</v>
      </c>
      <c r="AO78">
        <v>182207</v>
      </c>
      <c r="AP78">
        <v>187192.16</v>
      </c>
      <c r="AQ78">
        <v>32369.82</v>
      </c>
      <c r="AR78">
        <v>22331.1</v>
      </c>
      <c r="AS78">
        <v>209523.26</v>
      </c>
      <c r="AT78">
        <v>32357.360000000001</v>
      </c>
      <c r="AU78">
        <v>2265.0151999999998</v>
      </c>
      <c r="AV78">
        <v>0</v>
      </c>
      <c r="AW78" t="s">
        <v>2275</v>
      </c>
      <c r="AY78">
        <v>43983</v>
      </c>
      <c r="BA78" t="s">
        <v>2276</v>
      </c>
      <c r="BB78" t="s">
        <v>2270</v>
      </c>
      <c r="BI78" t="s">
        <v>709</v>
      </c>
      <c r="BJ78" t="s">
        <v>709</v>
      </c>
      <c r="BK78" t="s">
        <v>709</v>
      </c>
      <c r="BL78" t="s">
        <v>116</v>
      </c>
      <c r="BM78" t="s">
        <v>709</v>
      </c>
      <c r="BN78" t="s">
        <v>709</v>
      </c>
      <c r="BO78" t="s">
        <v>709</v>
      </c>
      <c r="BP78" t="s">
        <v>709</v>
      </c>
      <c r="BQ78" t="s">
        <v>709</v>
      </c>
      <c r="BR78">
        <v>1247</v>
      </c>
      <c r="BS78">
        <v>836</v>
      </c>
      <c r="BT78" t="s">
        <v>709</v>
      </c>
      <c r="BU78" t="s">
        <v>709</v>
      </c>
      <c r="BV78" t="s">
        <v>709</v>
      </c>
      <c r="BW78" t="s">
        <v>709</v>
      </c>
      <c r="BX78" t="s">
        <v>709</v>
      </c>
      <c r="BY78" t="s">
        <v>709</v>
      </c>
      <c r="BZ78" t="s">
        <v>709</v>
      </c>
      <c r="CB78">
        <v>76</v>
      </c>
      <c r="CC78" t="b">
        <v>1</v>
      </c>
      <c r="CD78" t="s">
        <v>2277</v>
      </c>
      <c r="CE78" s="1482">
        <v>45880.731921296298</v>
      </c>
    </row>
    <row r="79" spans="1:83" x14ac:dyDescent="0.25">
      <c r="A79">
        <v>2020</v>
      </c>
      <c r="B79" t="s">
        <v>771</v>
      </c>
      <c r="C79" t="s">
        <v>2278</v>
      </c>
      <c r="D79" t="s">
        <v>2279</v>
      </c>
      <c r="E79" t="s">
        <v>2280</v>
      </c>
      <c r="F79" t="s">
        <v>919</v>
      </c>
      <c r="G79" t="s">
        <v>1882</v>
      </c>
      <c r="H79" t="s">
        <v>59</v>
      </c>
      <c r="I79">
        <v>43699</v>
      </c>
      <c r="J79">
        <v>43822</v>
      </c>
      <c r="K79">
        <v>43819</v>
      </c>
      <c r="L79">
        <v>3</v>
      </c>
      <c r="N79" t="s">
        <v>120</v>
      </c>
      <c r="O79">
        <v>43831</v>
      </c>
      <c r="P79" t="s">
        <v>120</v>
      </c>
      <c r="Q79">
        <v>8783.85</v>
      </c>
      <c r="R79" t="s">
        <v>2087</v>
      </c>
      <c r="V79">
        <v>6338</v>
      </c>
      <c r="X79">
        <v>642772.78</v>
      </c>
      <c r="Y79">
        <v>87288.18</v>
      </c>
      <c r="Z79">
        <v>57346.879999999997</v>
      </c>
      <c r="AA79">
        <v>612831.48</v>
      </c>
      <c r="AM79" t="s">
        <v>709</v>
      </c>
      <c r="AW79" s="4"/>
      <c r="AY79" t="s">
        <v>29</v>
      </c>
      <c r="BA79" t="s">
        <v>2281</v>
      </c>
      <c r="BB79" t="s">
        <v>2282</v>
      </c>
      <c r="BI79" t="s">
        <v>709</v>
      </c>
      <c r="BJ79" t="s">
        <v>709</v>
      </c>
      <c r="BK79" t="s">
        <v>709</v>
      </c>
      <c r="BL79" t="s">
        <v>116</v>
      </c>
      <c r="BM79" t="s">
        <v>709</v>
      </c>
      <c r="BN79" t="s">
        <v>709</v>
      </c>
      <c r="BO79" t="s">
        <v>709</v>
      </c>
      <c r="BP79">
        <v>1234</v>
      </c>
      <c r="BQ79" t="s">
        <v>709</v>
      </c>
      <c r="BR79" t="s">
        <v>709</v>
      </c>
      <c r="BS79">
        <v>4433</v>
      </c>
      <c r="BT79" t="s">
        <v>709</v>
      </c>
      <c r="BU79" t="s">
        <v>709</v>
      </c>
      <c r="BV79" t="s">
        <v>709</v>
      </c>
      <c r="BW79" t="s">
        <v>709</v>
      </c>
      <c r="BX79" t="s">
        <v>709</v>
      </c>
      <c r="BY79" t="s">
        <v>709</v>
      </c>
      <c r="BZ79" t="s">
        <v>709</v>
      </c>
      <c r="CB79">
        <v>77</v>
      </c>
      <c r="CC79" t="b">
        <v>1</v>
      </c>
      <c r="CD79" t="s">
        <v>2283</v>
      </c>
      <c r="CE79" s="1482">
        <v>45880.731921296298</v>
      </c>
    </row>
    <row r="80" spans="1:83" ht="75" x14ac:dyDescent="0.25">
      <c r="A80">
        <v>2020</v>
      </c>
      <c r="B80" t="s">
        <v>4</v>
      </c>
      <c r="C80" t="s">
        <v>2284</v>
      </c>
      <c r="D80" t="s">
        <v>2285</v>
      </c>
      <c r="E80" t="s">
        <v>1016</v>
      </c>
      <c r="F80" t="s">
        <v>919</v>
      </c>
      <c r="G80" t="s">
        <v>2232</v>
      </c>
      <c r="H80" t="s">
        <v>59</v>
      </c>
      <c r="I80">
        <v>43679</v>
      </c>
      <c r="J80">
        <v>43819</v>
      </c>
      <c r="K80">
        <v>43819</v>
      </c>
      <c r="L80">
        <v>0</v>
      </c>
      <c r="N80" t="s">
        <v>120</v>
      </c>
      <c r="O80">
        <v>43831</v>
      </c>
      <c r="P80" t="s">
        <v>739</v>
      </c>
      <c r="Q80">
        <v>8222.25</v>
      </c>
      <c r="R80">
        <v>0.1</v>
      </c>
      <c r="V80" t="s">
        <v>115</v>
      </c>
      <c r="X80">
        <v>0</v>
      </c>
      <c r="Y80">
        <v>0</v>
      </c>
      <c r="Z80">
        <v>82222.5</v>
      </c>
      <c r="AA80">
        <v>82222.5</v>
      </c>
      <c r="AM80" t="s">
        <v>116</v>
      </c>
      <c r="AN80">
        <v>43969</v>
      </c>
      <c r="AO80">
        <v>183338</v>
      </c>
      <c r="AP80">
        <v>0</v>
      </c>
      <c r="AQ80">
        <v>0</v>
      </c>
      <c r="AR80">
        <v>108633.15</v>
      </c>
      <c r="AS80">
        <v>108633.15</v>
      </c>
      <c r="AT80">
        <v>26410.65</v>
      </c>
      <c r="AU80">
        <v>2641.0650000000001</v>
      </c>
      <c r="AV80" t="s">
        <v>709</v>
      </c>
      <c r="AW80" s="4" t="s">
        <v>2286</v>
      </c>
      <c r="AX80">
        <v>2641.0650000000001</v>
      </c>
      <c r="AY80">
        <v>44501</v>
      </c>
      <c r="BA80" t="s">
        <v>2287</v>
      </c>
      <c r="BB80" t="s">
        <v>2288</v>
      </c>
      <c r="BI80" t="s">
        <v>709</v>
      </c>
      <c r="BJ80" t="s">
        <v>709</v>
      </c>
      <c r="BK80" t="s">
        <v>709</v>
      </c>
      <c r="BL80" t="s">
        <v>709</v>
      </c>
      <c r="BM80" t="s">
        <v>709</v>
      </c>
      <c r="BN80" t="s">
        <v>709</v>
      </c>
      <c r="BO80" t="s">
        <v>709</v>
      </c>
      <c r="BP80" t="s">
        <v>709</v>
      </c>
      <c r="BQ80" t="s">
        <v>709</v>
      </c>
      <c r="BR80" t="s">
        <v>709</v>
      </c>
      <c r="BS80" t="s">
        <v>709</v>
      </c>
      <c r="BT80" t="s">
        <v>709</v>
      </c>
      <c r="BU80" t="s">
        <v>709</v>
      </c>
      <c r="BW80" t="s">
        <v>709</v>
      </c>
      <c r="BX80" t="s">
        <v>709</v>
      </c>
      <c r="BY80" t="s">
        <v>709</v>
      </c>
      <c r="BZ80" t="s">
        <v>709</v>
      </c>
      <c r="CA80" t="s">
        <v>1146</v>
      </c>
      <c r="CB80">
        <v>79</v>
      </c>
      <c r="CC80" t="b">
        <v>1</v>
      </c>
      <c r="CD80" t="s">
        <v>2289</v>
      </c>
      <c r="CE80" s="1482">
        <v>45880.731921296298</v>
      </c>
    </row>
    <row r="81" spans="1:83" x14ac:dyDescent="0.25">
      <c r="A81">
        <v>2020</v>
      </c>
      <c r="B81" t="s">
        <v>4</v>
      </c>
      <c r="C81" t="s">
        <v>2290</v>
      </c>
      <c r="D81" t="s">
        <v>2291</v>
      </c>
      <c r="E81" t="s">
        <v>1492</v>
      </c>
      <c r="F81" t="s">
        <v>325</v>
      </c>
      <c r="G81" t="s">
        <v>1896</v>
      </c>
      <c r="H81" t="s">
        <v>2127</v>
      </c>
      <c r="I81">
        <v>43783</v>
      </c>
      <c r="J81">
        <v>43839</v>
      </c>
      <c r="K81">
        <v>43819</v>
      </c>
      <c r="L81">
        <v>20</v>
      </c>
      <c r="M81" t="s">
        <v>2292</v>
      </c>
      <c r="N81" t="s">
        <v>120</v>
      </c>
      <c r="O81">
        <v>43831</v>
      </c>
      <c r="P81" t="s">
        <v>739</v>
      </c>
      <c r="Q81" t="s">
        <v>115</v>
      </c>
      <c r="R81" t="s">
        <v>115</v>
      </c>
      <c r="AM81" t="s">
        <v>709</v>
      </c>
      <c r="AY81" t="s">
        <v>29</v>
      </c>
      <c r="BA81" t="s">
        <v>2293</v>
      </c>
      <c r="BB81" t="s">
        <v>2294</v>
      </c>
      <c r="BZ81" t="s">
        <v>709</v>
      </c>
      <c r="CA81" t="s">
        <v>915</v>
      </c>
      <c r="CB81">
        <v>78</v>
      </c>
      <c r="CC81" t="b">
        <v>1</v>
      </c>
      <c r="CD81" t="s">
        <v>2295</v>
      </c>
      <c r="CE81" s="1482">
        <v>45880.731921296298</v>
      </c>
    </row>
    <row r="82" spans="1:83" x14ac:dyDescent="0.25">
      <c r="A82">
        <v>2020</v>
      </c>
      <c r="B82" t="s">
        <v>771</v>
      </c>
      <c r="C82" t="s">
        <v>2296</v>
      </c>
      <c r="D82" t="s">
        <v>2297</v>
      </c>
      <c r="E82" t="s">
        <v>2298</v>
      </c>
      <c r="F82" t="s">
        <v>919</v>
      </c>
      <c r="G82" t="s">
        <v>1882</v>
      </c>
      <c r="H82" t="s">
        <v>59</v>
      </c>
      <c r="I82">
        <v>43700</v>
      </c>
      <c r="J82">
        <v>43822</v>
      </c>
      <c r="K82">
        <v>43822</v>
      </c>
      <c r="L82">
        <v>0</v>
      </c>
      <c r="N82" t="s">
        <v>120</v>
      </c>
      <c r="O82">
        <v>43831</v>
      </c>
      <c r="P82" t="s">
        <v>120</v>
      </c>
      <c r="Q82">
        <v>15236.5</v>
      </c>
      <c r="R82" t="s">
        <v>2087</v>
      </c>
      <c r="V82">
        <v>9830</v>
      </c>
      <c r="X82">
        <v>828283.28</v>
      </c>
      <c r="Y82">
        <v>152758.20000000001</v>
      </c>
      <c r="Z82">
        <v>136908.51999999999</v>
      </c>
      <c r="AA82">
        <v>812433.6</v>
      </c>
      <c r="AM82" t="s">
        <v>709</v>
      </c>
      <c r="AY82" t="s">
        <v>29</v>
      </c>
      <c r="BA82" t="s">
        <v>2299</v>
      </c>
      <c r="BB82" t="s">
        <v>2300</v>
      </c>
      <c r="BI82" t="s">
        <v>709</v>
      </c>
      <c r="BJ82" t="s">
        <v>709</v>
      </c>
      <c r="BK82" t="s">
        <v>709</v>
      </c>
      <c r="BL82" t="s">
        <v>116</v>
      </c>
      <c r="BM82" t="s">
        <v>709</v>
      </c>
      <c r="BN82" t="s">
        <v>709</v>
      </c>
      <c r="BO82" t="s">
        <v>709</v>
      </c>
      <c r="BP82" t="s">
        <v>709</v>
      </c>
      <c r="BQ82" t="s">
        <v>709</v>
      </c>
      <c r="BR82">
        <v>3286</v>
      </c>
      <c r="BS82">
        <v>6544</v>
      </c>
      <c r="BT82" t="s">
        <v>709</v>
      </c>
      <c r="BU82" t="s">
        <v>709</v>
      </c>
      <c r="BV82" t="s">
        <v>709</v>
      </c>
      <c r="BW82" t="s">
        <v>709</v>
      </c>
      <c r="BX82" t="s">
        <v>709</v>
      </c>
      <c r="BY82" t="s">
        <v>709</v>
      </c>
      <c r="BZ82" t="s">
        <v>709</v>
      </c>
      <c r="CB82">
        <v>82</v>
      </c>
      <c r="CC82" t="b">
        <v>1</v>
      </c>
      <c r="CD82" t="s">
        <v>2301</v>
      </c>
      <c r="CE82" s="1482">
        <v>45880.731932870367</v>
      </c>
    </row>
    <row r="83" spans="1:83" x14ac:dyDescent="0.25">
      <c r="A83">
        <v>2020</v>
      </c>
      <c r="B83" t="s">
        <v>771</v>
      </c>
      <c r="C83" t="s">
        <v>2302</v>
      </c>
      <c r="D83" t="s">
        <v>2303</v>
      </c>
      <c r="E83" t="s">
        <v>2304</v>
      </c>
      <c r="F83" t="s">
        <v>919</v>
      </c>
      <c r="G83" t="s">
        <v>1896</v>
      </c>
      <c r="H83" t="s">
        <v>59</v>
      </c>
      <c r="I83">
        <v>43613</v>
      </c>
      <c r="J83">
        <v>43697</v>
      </c>
      <c r="K83">
        <v>43822</v>
      </c>
      <c r="L83">
        <v>-125</v>
      </c>
      <c r="M83" t="s">
        <v>2211</v>
      </c>
      <c r="N83" t="s">
        <v>120</v>
      </c>
      <c r="O83">
        <v>43831</v>
      </c>
      <c r="P83" t="s">
        <v>120</v>
      </c>
      <c r="Q83">
        <v>33672.199999999997</v>
      </c>
      <c r="R83" t="s">
        <v>2087</v>
      </c>
      <c r="V83">
        <v>21749</v>
      </c>
      <c r="X83">
        <v>2780932.14</v>
      </c>
      <c r="Y83">
        <v>337590.96</v>
      </c>
      <c r="Z83">
        <v>274986.5</v>
      </c>
      <c r="AA83">
        <v>2718327.68</v>
      </c>
      <c r="AM83" t="s">
        <v>709</v>
      </c>
      <c r="AY83" t="s">
        <v>29</v>
      </c>
      <c r="BA83" t="s">
        <v>2305</v>
      </c>
      <c r="BB83" t="s">
        <v>2306</v>
      </c>
      <c r="BI83" t="s">
        <v>709</v>
      </c>
      <c r="BJ83" t="s">
        <v>709</v>
      </c>
      <c r="BK83" t="s">
        <v>709</v>
      </c>
      <c r="BL83" t="s">
        <v>116</v>
      </c>
      <c r="BM83" t="s">
        <v>709</v>
      </c>
      <c r="BN83" t="s">
        <v>709</v>
      </c>
      <c r="BO83" t="s">
        <v>709</v>
      </c>
      <c r="BP83">
        <v>4592</v>
      </c>
      <c r="BQ83">
        <v>1768</v>
      </c>
      <c r="BR83">
        <v>22</v>
      </c>
      <c r="BS83">
        <v>15342</v>
      </c>
      <c r="BT83" t="s">
        <v>709</v>
      </c>
      <c r="BU83" t="s">
        <v>709</v>
      </c>
      <c r="BV83" t="s">
        <v>745</v>
      </c>
      <c r="BW83" t="s">
        <v>709</v>
      </c>
      <c r="BX83" t="s">
        <v>745</v>
      </c>
      <c r="BY83" t="s">
        <v>745</v>
      </c>
      <c r="BZ83" t="s">
        <v>709</v>
      </c>
      <c r="CB83">
        <v>80</v>
      </c>
      <c r="CC83" t="b">
        <v>1</v>
      </c>
      <c r="CD83" t="s">
        <v>2307</v>
      </c>
      <c r="CE83" s="1482">
        <v>45880.731932870367</v>
      </c>
    </row>
    <row r="84" spans="1:83" ht="285" x14ac:dyDescent="0.25">
      <c r="A84">
        <v>2020</v>
      </c>
      <c r="B84" t="s">
        <v>4</v>
      </c>
      <c r="C84" t="s">
        <v>995</v>
      </c>
      <c r="D84" t="s">
        <v>996</v>
      </c>
      <c r="E84" t="s">
        <v>997</v>
      </c>
      <c r="F84" t="s">
        <v>325</v>
      </c>
      <c r="G84" t="s">
        <v>2232</v>
      </c>
      <c r="H84" t="s">
        <v>59</v>
      </c>
      <c r="I84">
        <v>43700</v>
      </c>
      <c r="J84">
        <v>43819</v>
      </c>
      <c r="K84">
        <v>43822</v>
      </c>
      <c r="L84">
        <v>-3</v>
      </c>
      <c r="M84" t="s">
        <v>998</v>
      </c>
      <c r="N84" t="s">
        <v>120</v>
      </c>
      <c r="O84">
        <v>43831</v>
      </c>
      <c r="P84" t="s">
        <v>739</v>
      </c>
      <c r="Q84">
        <v>16393.544000000002</v>
      </c>
      <c r="R84">
        <v>0.1</v>
      </c>
      <c r="V84">
        <v>252</v>
      </c>
      <c r="X84">
        <v>118214.29</v>
      </c>
      <c r="Y84">
        <v>0</v>
      </c>
      <c r="Z84">
        <v>45721.15</v>
      </c>
      <c r="AA84">
        <v>163935.44</v>
      </c>
      <c r="AM84" t="s">
        <v>116</v>
      </c>
      <c r="AN84">
        <v>45428</v>
      </c>
      <c r="AO84">
        <v>11082704</v>
      </c>
      <c r="AP84">
        <v>128004.43</v>
      </c>
      <c r="AR84">
        <v>59714.71</v>
      </c>
      <c r="AS84">
        <v>187719.14</v>
      </c>
      <c r="AT84">
        <v>23783.7</v>
      </c>
      <c r="AU84">
        <v>1664.8589999999999</v>
      </c>
      <c r="AV84">
        <v>0</v>
      </c>
      <c r="AW84" t="s">
        <v>999</v>
      </c>
      <c r="AX84">
        <v>1664.86</v>
      </c>
      <c r="AY84">
        <v>45566</v>
      </c>
      <c r="AZ84">
        <v>53</v>
      </c>
      <c r="BA84" s="4" t="s">
        <v>1000</v>
      </c>
      <c r="BB84" t="s">
        <v>1001</v>
      </c>
      <c r="BI84" t="s">
        <v>709</v>
      </c>
      <c r="BJ84" t="s">
        <v>709</v>
      </c>
      <c r="BK84" t="s">
        <v>709</v>
      </c>
      <c r="BL84" t="s">
        <v>116</v>
      </c>
      <c r="BM84" t="s">
        <v>709</v>
      </c>
      <c r="BN84" t="s">
        <v>709</v>
      </c>
      <c r="BO84" t="s">
        <v>709</v>
      </c>
      <c r="BP84" t="s">
        <v>709</v>
      </c>
      <c r="BQ84" t="s">
        <v>709</v>
      </c>
      <c r="BR84">
        <v>252</v>
      </c>
      <c r="BS84" t="s">
        <v>709</v>
      </c>
      <c r="BT84" t="s">
        <v>709</v>
      </c>
      <c r="BU84" t="s">
        <v>709</v>
      </c>
      <c r="BV84" t="s">
        <v>709</v>
      </c>
      <c r="BW84" t="s">
        <v>709</v>
      </c>
      <c r="BX84" t="s">
        <v>709</v>
      </c>
      <c r="BY84" t="s">
        <v>709</v>
      </c>
      <c r="BZ84" t="s">
        <v>709</v>
      </c>
      <c r="CB84">
        <v>81</v>
      </c>
      <c r="CC84" t="b">
        <v>1</v>
      </c>
      <c r="CD84" t="s">
        <v>2308</v>
      </c>
      <c r="CE84" s="1482">
        <v>45880.731932870367</v>
      </c>
    </row>
    <row r="85" spans="1:83" ht="315" x14ac:dyDescent="0.25">
      <c r="A85">
        <v>2020</v>
      </c>
      <c r="B85" t="s">
        <v>4</v>
      </c>
      <c r="C85" t="s">
        <v>2309</v>
      </c>
      <c r="D85" t="s">
        <v>2310</v>
      </c>
      <c r="E85" t="s">
        <v>2311</v>
      </c>
      <c r="F85" t="s">
        <v>919</v>
      </c>
      <c r="G85" t="s">
        <v>1896</v>
      </c>
      <c r="H85" t="s">
        <v>59</v>
      </c>
      <c r="I85">
        <v>43700</v>
      </c>
      <c r="J85">
        <v>43840</v>
      </c>
      <c r="K85">
        <v>43836</v>
      </c>
      <c r="L85">
        <v>4</v>
      </c>
      <c r="N85" t="s">
        <v>120</v>
      </c>
      <c r="O85">
        <v>43836</v>
      </c>
      <c r="P85" t="s">
        <v>739</v>
      </c>
      <c r="Q85">
        <v>17624.137999999999</v>
      </c>
      <c r="R85">
        <v>0.1</v>
      </c>
      <c r="V85">
        <v>3246</v>
      </c>
      <c r="X85">
        <v>157819.72</v>
      </c>
      <c r="Y85">
        <v>30862.44</v>
      </c>
      <c r="Z85">
        <v>18421.66</v>
      </c>
      <c r="AA85">
        <v>176241.38</v>
      </c>
      <c r="AM85" t="s">
        <v>116</v>
      </c>
      <c r="AN85">
        <v>43949</v>
      </c>
      <c r="AO85">
        <v>182948</v>
      </c>
      <c r="AP85">
        <v>264237.67</v>
      </c>
      <c r="AQ85">
        <v>50442.84</v>
      </c>
      <c r="AR85">
        <v>29534.76</v>
      </c>
      <c r="AS85">
        <v>293772.43</v>
      </c>
      <c r="AT85" t="s">
        <v>2312</v>
      </c>
      <c r="AU85">
        <v>11753.105</v>
      </c>
      <c r="AV85">
        <v>5070</v>
      </c>
      <c r="AW85" s="4" t="s">
        <v>2313</v>
      </c>
      <c r="AY85">
        <v>43983</v>
      </c>
      <c r="BA85" s="4" t="s">
        <v>2314</v>
      </c>
      <c r="BB85" t="s">
        <v>2315</v>
      </c>
      <c r="BI85" t="s">
        <v>709</v>
      </c>
      <c r="BJ85" t="s">
        <v>709</v>
      </c>
      <c r="BK85" t="s">
        <v>709</v>
      </c>
      <c r="BL85" t="s">
        <v>116</v>
      </c>
      <c r="BM85" t="s">
        <v>709</v>
      </c>
      <c r="BN85" t="s">
        <v>709</v>
      </c>
      <c r="BO85" t="s">
        <v>709</v>
      </c>
      <c r="BP85" t="s">
        <v>709</v>
      </c>
      <c r="BQ85" t="s">
        <v>709</v>
      </c>
      <c r="BR85" t="s">
        <v>709</v>
      </c>
      <c r="BS85">
        <v>1986</v>
      </c>
      <c r="BT85" t="s">
        <v>709</v>
      </c>
      <c r="BU85" t="s">
        <v>709</v>
      </c>
      <c r="BV85" t="s">
        <v>709</v>
      </c>
      <c r="BW85" t="s">
        <v>709</v>
      </c>
      <c r="BX85" t="s">
        <v>709</v>
      </c>
      <c r="BY85" t="s">
        <v>709</v>
      </c>
      <c r="BZ85" t="s">
        <v>709</v>
      </c>
      <c r="CB85">
        <v>83</v>
      </c>
      <c r="CC85" t="b">
        <v>1</v>
      </c>
      <c r="CD85" t="s">
        <v>2316</v>
      </c>
      <c r="CE85" s="1482">
        <v>45880.731944444444</v>
      </c>
    </row>
    <row r="86" spans="1:83" x14ac:dyDescent="0.25">
      <c r="A86">
        <v>2020</v>
      </c>
      <c r="B86" t="s">
        <v>769</v>
      </c>
      <c r="C86" t="s">
        <v>128</v>
      </c>
      <c r="D86" t="s">
        <v>2317</v>
      </c>
      <c r="E86" t="s">
        <v>129</v>
      </c>
      <c r="F86" t="s">
        <v>325</v>
      </c>
      <c r="G86" t="s">
        <v>1882</v>
      </c>
      <c r="H86" t="s">
        <v>59</v>
      </c>
      <c r="I86">
        <v>43697</v>
      </c>
      <c r="J86">
        <v>43787</v>
      </c>
      <c r="K86">
        <v>43845</v>
      </c>
      <c r="L86">
        <v>-58</v>
      </c>
      <c r="M86" t="s">
        <v>2318</v>
      </c>
      <c r="N86" t="s">
        <v>120</v>
      </c>
      <c r="O86">
        <v>43845</v>
      </c>
      <c r="P86" t="s">
        <v>120</v>
      </c>
      <c r="Q86">
        <v>38588.527800000003</v>
      </c>
      <c r="R86" t="s">
        <v>1055</v>
      </c>
      <c r="T86">
        <v>24150</v>
      </c>
      <c r="V86">
        <v>859</v>
      </c>
      <c r="X86">
        <v>314457.46999999997</v>
      </c>
      <c r="Y86">
        <v>13348.86</v>
      </c>
      <c r="Z86">
        <v>61697.599999999999</v>
      </c>
      <c r="AA86">
        <v>362806.21</v>
      </c>
      <c r="AM86" t="s">
        <v>116</v>
      </c>
      <c r="AN86">
        <v>44305</v>
      </c>
      <c r="AO86">
        <v>182225</v>
      </c>
      <c r="AP86">
        <v>556187.34</v>
      </c>
      <c r="AR86">
        <v>52502.3</v>
      </c>
      <c r="AS86">
        <v>608689.64</v>
      </c>
      <c r="AT86">
        <v>245883.43</v>
      </c>
      <c r="AU86">
        <v>20900.0916</v>
      </c>
      <c r="AV86" t="s">
        <v>709</v>
      </c>
      <c r="AW86" t="s">
        <v>2319</v>
      </c>
      <c r="AX86">
        <v>20900.0916</v>
      </c>
      <c r="AY86">
        <v>44501</v>
      </c>
      <c r="BA86" t="s">
        <v>2320</v>
      </c>
      <c r="BB86" t="s">
        <v>2321</v>
      </c>
      <c r="BI86" t="s">
        <v>709</v>
      </c>
      <c r="BJ86" t="s">
        <v>709</v>
      </c>
      <c r="BK86" t="s">
        <v>116</v>
      </c>
      <c r="BL86" t="s">
        <v>116</v>
      </c>
      <c r="BM86" t="s">
        <v>709</v>
      </c>
      <c r="BN86" t="s">
        <v>709</v>
      </c>
      <c r="BO86" t="s">
        <v>709</v>
      </c>
      <c r="BP86">
        <v>378</v>
      </c>
      <c r="BQ86">
        <v>285</v>
      </c>
      <c r="BR86">
        <v>40</v>
      </c>
      <c r="BS86">
        <v>66</v>
      </c>
      <c r="BT86">
        <v>1</v>
      </c>
      <c r="BU86" t="s">
        <v>709</v>
      </c>
      <c r="BV86" t="s">
        <v>745</v>
      </c>
      <c r="BW86" t="s">
        <v>709</v>
      </c>
      <c r="BX86">
        <v>1</v>
      </c>
      <c r="BY86" t="s">
        <v>745</v>
      </c>
      <c r="BZ86" t="s">
        <v>709</v>
      </c>
      <c r="CA86" t="s">
        <v>769</v>
      </c>
      <c r="CB86">
        <v>84</v>
      </c>
      <c r="CC86" t="b">
        <v>1</v>
      </c>
      <c r="CD86" t="s">
        <v>2322</v>
      </c>
      <c r="CE86" s="1482">
        <v>45880.731944444444</v>
      </c>
    </row>
    <row r="87" spans="1:83" ht="330" x14ac:dyDescent="0.25">
      <c r="A87">
        <v>2020</v>
      </c>
      <c r="B87" t="s">
        <v>771</v>
      </c>
      <c r="C87" t="s">
        <v>384</v>
      </c>
      <c r="D87" t="s">
        <v>2323</v>
      </c>
      <c r="E87" t="s">
        <v>104</v>
      </c>
      <c r="F87" t="s">
        <v>325</v>
      </c>
      <c r="G87" t="s">
        <v>1882</v>
      </c>
      <c r="H87" t="s">
        <v>59</v>
      </c>
      <c r="I87">
        <v>43760</v>
      </c>
      <c r="J87">
        <v>43852</v>
      </c>
      <c r="K87">
        <v>43851</v>
      </c>
      <c r="L87">
        <v>1</v>
      </c>
      <c r="N87" t="s">
        <v>120</v>
      </c>
      <c r="O87">
        <v>43851</v>
      </c>
      <c r="P87" t="s">
        <v>120</v>
      </c>
      <c r="Q87">
        <v>14829.211799999999</v>
      </c>
      <c r="R87">
        <v>0.09</v>
      </c>
      <c r="V87">
        <v>744</v>
      </c>
      <c r="X87">
        <v>159186.51999999999</v>
      </c>
      <c r="Y87">
        <v>11561.76</v>
      </c>
      <c r="Z87">
        <v>17144.259999999998</v>
      </c>
      <c r="AA87">
        <v>164769.01999999999</v>
      </c>
      <c r="AM87" t="s">
        <v>116</v>
      </c>
      <c r="AN87">
        <v>43878</v>
      </c>
      <c r="AO87">
        <v>181722</v>
      </c>
      <c r="AP87">
        <v>155921.64000000001</v>
      </c>
      <c r="AQ87">
        <v>11561.76</v>
      </c>
      <c r="AR87">
        <v>17454.82</v>
      </c>
      <c r="AS87">
        <v>173376.46</v>
      </c>
      <c r="AT87">
        <v>8607.44</v>
      </c>
      <c r="AU87">
        <v>774.66959999999995</v>
      </c>
      <c r="AV87">
        <v>0</v>
      </c>
      <c r="AW87" t="s">
        <v>2324</v>
      </c>
      <c r="AX87">
        <v>22951.253700000001</v>
      </c>
      <c r="AY87">
        <v>43983</v>
      </c>
      <c r="BA87" s="4" t="s">
        <v>2325</v>
      </c>
      <c r="BB87" t="s">
        <v>2326</v>
      </c>
      <c r="BI87" t="s">
        <v>709</v>
      </c>
      <c r="BJ87" t="s">
        <v>709</v>
      </c>
      <c r="BK87" t="s">
        <v>709</v>
      </c>
      <c r="BL87" t="s">
        <v>116</v>
      </c>
      <c r="BM87" t="s">
        <v>709</v>
      </c>
      <c r="BN87" t="s">
        <v>709</v>
      </c>
      <c r="BO87" t="s">
        <v>709</v>
      </c>
      <c r="BP87" t="s">
        <v>709</v>
      </c>
      <c r="BQ87">
        <v>677</v>
      </c>
      <c r="BR87" t="s">
        <v>709</v>
      </c>
      <c r="BS87">
        <v>67</v>
      </c>
      <c r="BT87" t="s">
        <v>709</v>
      </c>
      <c r="BU87" t="s">
        <v>709</v>
      </c>
      <c r="BV87" t="s">
        <v>745</v>
      </c>
      <c r="BW87" t="s">
        <v>709</v>
      </c>
      <c r="BX87" t="s">
        <v>745</v>
      </c>
      <c r="BY87" t="s">
        <v>745</v>
      </c>
      <c r="BZ87" t="s">
        <v>709</v>
      </c>
      <c r="CB87">
        <v>86</v>
      </c>
      <c r="CC87" t="b">
        <v>1</v>
      </c>
      <c r="CD87" t="s">
        <v>2327</v>
      </c>
      <c r="CE87" s="1482">
        <v>45880.731944444444</v>
      </c>
    </row>
    <row r="88" spans="1:83" x14ac:dyDescent="0.25">
      <c r="A88">
        <v>2020</v>
      </c>
      <c r="B88" t="s">
        <v>769</v>
      </c>
      <c r="C88" t="s">
        <v>2328</v>
      </c>
      <c r="D88" t="s">
        <v>2329</v>
      </c>
      <c r="E88" t="s">
        <v>393</v>
      </c>
      <c r="F88" t="s">
        <v>325</v>
      </c>
      <c r="G88" t="s">
        <v>1882</v>
      </c>
      <c r="H88" t="s">
        <v>59</v>
      </c>
      <c r="I88">
        <v>43761</v>
      </c>
      <c r="J88">
        <v>43853</v>
      </c>
      <c r="K88">
        <v>43851</v>
      </c>
      <c r="L88">
        <v>2</v>
      </c>
      <c r="N88" t="s">
        <v>120</v>
      </c>
      <c r="O88">
        <v>43851</v>
      </c>
      <c r="P88" t="s">
        <v>120</v>
      </c>
      <c r="Q88">
        <v>16905.7886</v>
      </c>
      <c r="R88" t="s">
        <v>1055</v>
      </c>
      <c r="V88" t="s">
        <v>115</v>
      </c>
      <c r="X88">
        <v>0</v>
      </c>
      <c r="Y88">
        <v>0</v>
      </c>
      <c r="Z88">
        <v>107715.16</v>
      </c>
      <c r="AA88">
        <v>107715.16</v>
      </c>
      <c r="AM88" t="s">
        <v>116</v>
      </c>
      <c r="AN88">
        <v>44002</v>
      </c>
      <c r="AO88" t="s">
        <v>115</v>
      </c>
      <c r="AP88">
        <v>0</v>
      </c>
      <c r="AR88">
        <v>270119.06</v>
      </c>
      <c r="AS88">
        <v>270119.06</v>
      </c>
      <c r="AT88">
        <v>162403.9</v>
      </c>
      <c r="AU88">
        <v>13804.3315</v>
      </c>
      <c r="AV88">
        <v>30876.75</v>
      </c>
      <c r="AW88" t="s">
        <v>2330</v>
      </c>
      <c r="AY88" t="s">
        <v>1935</v>
      </c>
      <c r="BA88" t="s">
        <v>2331</v>
      </c>
      <c r="BB88" t="s">
        <v>2332</v>
      </c>
      <c r="BI88" t="s">
        <v>709</v>
      </c>
      <c r="BJ88" t="s">
        <v>709</v>
      </c>
      <c r="BK88" t="s">
        <v>709</v>
      </c>
      <c r="BL88" t="s">
        <v>709</v>
      </c>
      <c r="BM88" t="s">
        <v>709</v>
      </c>
      <c r="BN88" t="s">
        <v>709</v>
      </c>
      <c r="BO88" t="s">
        <v>709</v>
      </c>
      <c r="BP88" t="s">
        <v>709</v>
      </c>
      <c r="BQ88" t="s">
        <v>709</v>
      </c>
      <c r="BR88" t="s">
        <v>709</v>
      </c>
      <c r="BS88" t="s">
        <v>709</v>
      </c>
      <c r="BT88" t="s">
        <v>709</v>
      </c>
      <c r="BU88" t="s">
        <v>709</v>
      </c>
      <c r="BV88" t="s">
        <v>709</v>
      </c>
      <c r="BW88" t="s">
        <v>709</v>
      </c>
      <c r="BX88" t="s">
        <v>709</v>
      </c>
      <c r="BY88" t="s">
        <v>709</v>
      </c>
      <c r="BZ88" t="s">
        <v>709</v>
      </c>
      <c r="CA88" t="s">
        <v>2333</v>
      </c>
      <c r="CB88">
        <v>85</v>
      </c>
      <c r="CC88" t="b">
        <v>1</v>
      </c>
      <c r="CD88" t="s">
        <v>2334</v>
      </c>
      <c r="CE88" s="1482">
        <v>45880.731956018521</v>
      </c>
    </row>
    <row r="89" spans="1:83" x14ac:dyDescent="0.25">
      <c r="A89">
        <v>2020</v>
      </c>
      <c r="B89" t="s">
        <v>1162</v>
      </c>
      <c r="C89" t="s">
        <v>2335</v>
      </c>
      <c r="D89" t="s">
        <v>2336</v>
      </c>
      <c r="E89" t="s">
        <v>2337</v>
      </c>
      <c r="F89" t="s">
        <v>919</v>
      </c>
      <c r="G89" t="s">
        <v>1882</v>
      </c>
      <c r="H89" t="s">
        <v>59</v>
      </c>
      <c r="I89">
        <v>43761</v>
      </c>
      <c r="J89">
        <v>43853</v>
      </c>
      <c r="K89">
        <v>43852</v>
      </c>
      <c r="L89">
        <v>1</v>
      </c>
      <c r="N89" t="s">
        <v>120</v>
      </c>
      <c r="O89">
        <v>43852</v>
      </c>
      <c r="P89" t="s">
        <v>739</v>
      </c>
      <c r="Q89">
        <v>38347.236900000004</v>
      </c>
      <c r="R89">
        <v>7.0000000000000007E-2</v>
      </c>
      <c r="V89">
        <v>5375</v>
      </c>
      <c r="X89">
        <v>572441.63</v>
      </c>
      <c r="Y89">
        <v>83527.5</v>
      </c>
      <c r="Z89">
        <v>58903.54</v>
      </c>
      <c r="AA89">
        <v>547817.67000000004</v>
      </c>
      <c r="AM89" t="s">
        <v>116</v>
      </c>
      <c r="AN89">
        <v>43957</v>
      </c>
      <c r="AO89" t="s">
        <v>115</v>
      </c>
      <c r="AP89">
        <v>566154.80000000005</v>
      </c>
      <c r="AQ89">
        <v>83527.5</v>
      </c>
      <c r="AR89">
        <v>54307.88</v>
      </c>
      <c r="AS89">
        <v>620462.68000000005</v>
      </c>
      <c r="AT89">
        <v>72645.009999999995</v>
      </c>
      <c r="AU89">
        <v>5085.1507000000001</v>
      </c>
      <c r="AV89">
        <v>0</v>
      </c>
      <c r="AW89" t="s">
        <v>2338</v>
      </c>
      <c r="AY89">
        <v>43983</v>
      </c>
      <c r="BA89" t="s">
        <v>2339</v>
      </c>
      <c r="BB89" t="s">
        <v>2340</v>
      </c>
      <c r="BI89" t="s">
        <v>709</v>
      </c>
      <c r="BJ89" t="s">
        <v>709</v>
      </c>
      <c r="BK89" t="s">
        <v>709</v>
      </c>
      <c r="BL89" t="s">
        <v>116</v>
      </c>
      <c r="BM89" t="s">
        <v>709</v>
      </c>
      <c r="BN89" t="s">
        <v>709</v>
      </c>
      <c r="BO89" t="s">
        <v>709</v>
      </c>
      <c r="BP89" t="s">
        <v>709</v>
      </c>
      <c r="BQ89">
        <v>2368</v>
      </c>
      <c r="BR89">
        <v>2929</v>
      </c>
      <c r="BS89">
        <v>78</v>
      </c>
      <c r="BT89" t="s">
        <v>709</v>
      </c>
      <c r="BU89" t="s">
        <v>709</v>
      </c>
      <c r="BV89" t="s">
        <v>709</v>
      </c>
      <c r="BW89" t="s">
        <v>709</v>
      </c>
      <c r="BX89" t="s">
        <v>709</v>
      </c>
      <c r="BY89" t="s">
        <v>709</v>
      </c>
      <c r="BZ89" t="s">
        <v>709</v>
      </c>
      <c r="CB89">
        <v>87</v>
      </c>
      <c r="CC89" t="b">
        <v>1</v>
      </c>
      <c r="CD89" t="s">
        <v>2341</v>
      </c>
      <c r="CE89" s="1482">
        <v>45880.731956018521</v>
      </c>
    </row>
    <row r="90" spans="1:83" x14ac:dyDescent="0.25">
      <c r="A90">
        <v>2020</v>
      </c>
      <c r="B90" t="s">
        <v>771</v>
      </c>
      <c r="C90" t="s">
        <v>2204</v>
      </c>
      <c r="D90" t="s">
        <v>2205</v>
      </c>
      <c r="E90" t="s">
        <v>1529</v>
      </c>
      <c r="F90" t="s">
        <v>325</v>
      </c>
      <c r="G90" t="s">
        <v>1896</v>
      </c>
      <c r="H90" t="s">
        <v>2051</v>
      </c>
      <c r="I90">
        <v>43845</v>
      </c>
      <c r="J90" t="s">
        <v>2052</v>
      </c>
      <c r="K90">
        <v>43858</v>
      </c>
      <c r="L90">
        <v>13</v>
      </c>
      <c r="M90" t="s">
        <v>2342</v>
      </c>
      <c r="N90" t="s">
        <v>120</v>
      </c>
      <c r="O90">
        <v>43862</v>
      </c>
      <c r="P90" t="s">
        <v>120</v>
      </c>
      <c r="Q90">
        <v>4410</v>
      </c>
      <c r="R90" t="s">
        <v>1922</v>
      </c>
      <c r="S90" t="s">
        <v>709</v>
      </c>
      <c r="T90" t="s">
        <v>709</v>
      </c>
      <c r="U90">
        <v>4410</v>
      </c>
      <c r="X90">
        <v>471536.74</v>
      </c>
      <c r="Y90">
        <v>32727.24</v>
      </c>
      <c r="Z90">
        <v>116319.47</v>
      </c>
      <c r="AA90">
        <v>555128.97</v>
      </c>
      <c r="AM90" t="s">
        <v>709</v>
      </c>
      <c r="AY90" t="s">
        <v>29</v>
      </c>
      <c r="BA90">
        <v>4</v>
      </c>
      <c r="BI90" t="s">
        <v>709</v>
      </c>
      <c r="BJ90" t="s">
        <v>709</v>
      </c>
      <c r="BK90" t="s">
        <v>709</v>
      </c>
      <c r="BL90" t="s">
        <v>116</v>
      </c>
      <c r="BM90" t="s">
        <v>709</v>
      </c>
      <c r="BN90" t="s">
        <v>709</v>
      </c>
      <c r="BO90" t="s">
        <v>709</v>
      </c>
      <c r="BP90" t="s">
        <v>709</v>
      </c>
      <c r="BQ90" t="s">
        <v>709</v>
      </c>
      <c r="BR90" t="s">
        <v>709</v>
      </c>
      <c r="BS90">
        <v>2106</v>
      </c>
      <c r="BT90" t="s">
        <v>709</v>
      </c>
      <c r="BU90" t="s">
        <v>709</v>
      </c>
      <c r="BV90" t="s">
        <v>709</v>
      </c>
      <c r="BW90" t="s">
        <v>709</v>
      </c>
      <c r="BX90" t="s">
        <v>709</v>
      </c>
      <c r="BY90" t="s">
        <v>709</v>
      </c>
      <c r="BZ90" t="s">
        <v>709</v>
      </c>
      <c r="CB90">
        <v>88</v>
      </c>
      <c r="CC90" t="b">
        <v>1</v>
      </c>
      <c r="CD90" t="s">
        <v>2343</v>
      </c>
      <c r="CE90" s="1482">
        <v>45880.731956018521</v>
      </c>
    </row>
    <row r="91" spans="1:83" x14ac:dyDescent="0.25">
      <c r="A91">
        <v>2020</v>
      </c>
      <c r="B91" t="s">
        <v>1073</v>
      </c>
      <c r="C91" t="s">
        <v>2344</v>
      </c>
      <c r="D91" t="s">
        <v>2345</v>
      </c>
      <c r="E91" t="s">
        <v>218</v>
      </c>
      <c r="F91" t="s">
        <v>919</v>
      </c>
      <c r="G91" t="s">
        <v>2232</v>
      </c>
      <c r="H91" t="s">
        <v>59</v>
      </c>
      <c r="I91">
        <v>43817</v>
      </c>
      <c r="J91">
        <v>43868</v>
      </c>
      <c r="K91">
        <v>43859</v>
      </c>
      <c r="L91">
        <v>9</v>
      </c>
      <c r="N91" t="s">
        <v>120</v>
      </c>
      <c r="O91">
        <v>43862</v>
      </c>
      <c r="P91" t="s">
        <v>739</v>
      </c>
      <c r="Q91">
        <v>12266.5</v>
      </c>
      <c r="R91" t="s">
        <v>1922</v>
      </c>
      <c r="S91">
        <v>271.5</v>
      </c>
      <c r="T91" t="s">
        <v>709</v>
      </c>
      <c r="U91">
        <v>11995</v>
      </c>
      <c r="V91">
        <v>460</v>
      </c>
      <c r="AA91">
        <v>23365</v>
      </c>
      <c r="AM91" t="s">
        <v>709</v>
      </c>
      <c r="AY91" t="s">
        <v>29</v>
      </c>
      <c r="BA91" t="s">
        <v>2346</v>
      </c>
      <c r="BI91" t="s">
        <v>709</v>
      </c>
      <c r="BJ91" t="s">
        <v>709</v>
      </c>
      <c r="BK91" t="s">
        <v>709</v>
      </c>
      <c r="BL91" t="s">
        <v>116</v>
      </c>
      <c r="BM91" t="s">
        <v>709</v>
      </c>
      <c r="BN91" t="s">
        <v>709</v>
      </c>
      <c r="BO91" t="s">
        <v>709</v>
      </c>
      <c r="BP91" t="s">
        <v>709</v>
      </c>
      <c r="BQ91" t="s">
        <v>709</v>
      </c>
      <c r="BR91" t="s">
        <v>709</v>
      </c>
      <c r="BS91">
        <v>460</v>
      </c>
      <c r="BT91" t="s">
        <v>709</v>
      </c>
      <c r="BU91" t="s">
        <v>709</v>
      </c>
      <c r="BV91" t="s">
        <v>709</v>
      </c>
      <c r="BW91" t="s">
        <v>709</v>
      </c>
      <c r="BX91" t="s">
        <v>709</v>
      </c>
      <c r="BY91" t="s">
        <v>709</v>
      </c>
      <c r="BZ91" t="s">
        <v>709</v>
      </c>
      <c r="CB91">
        <v>89</v>
      </c>
      <c r="CC91" t="b">
        <v>1</v>
      </c>
      <c r="CD91" t="s">
        <v>2347</v>
      </c>
      <c r="CE91" s="1482">
        <v>45880.73196759259</v>
      </c>
    </row>
    <row r="92" spans="1:83" x14ac:dyDescent="0.25">
      <c r="A92">
        <v>2020</v>
      </c>
      <c r="B92" t="s">
        <v>771</v>
      </c>
      <c r="C92" t="s">
        <v>2348</v>
      </c>
      <c r="D92" t="s">
        <v>2349</v>
      </c>
      <c r="E92" t="s">
        <v>2350</v>
      </c>
      <c r="F92" t="s">
        <v>325</v>
      </c>
      <c r="G92" t="s">
        <v>36</v>
      </c>
      <c r="H92" t="s">
        <v>59</v>
      </c>
      <c r="I92">
        <v>43784</v>
      </c>
      <c r="J92">
        <v>43875</v>
      </c>
      <c r="K92">
        <v>43874</v>
      </c>
      <c r="L92">
        <v>1</v>
      </c>
      <c r="N92" t="s">
        <v>120</v>
      </c>
      <c r="O92">
        <v>43874</v>
      </c>
      <c r="P92" t="s">
        <v>120</v>
      </c>
      <c r="Q92">
        <v>13657.05</v>
      </c>
      <c r="R92" t="s">
        <v>2087</v>
      </c>
      <c r="S92" t="s">
        <v>709</v>
      </c>
      <c r="T92" t="s">
        <v>709</v>
      </c>
      <c r="U92" t="s">
        <v>115</v>
      </c>
      <c r="V92">
        <v>8811</v>
      </c>
      <c r="X92">
        <v>854319.25</v>
      </c>
      <c r="Y92">
        <v>136922.94</v>
      </c>
      <c r="Z92">
        <v>82301.86</v>
      </c>
      <c r="AA92">
        <v>799698.17</v>
      </c>
      <c r="AM92" t="s">
        <v>709</v>
      </c>
      <c r="AY92" t="s">
        <v>29</v>
      </c>
      <c r="BA92" t="s">
        <v>2351</v>
      </c>
      <c r="BB92" t="s">
        <v>2352</v>
      </c>
      <c r="BI92" t="s">
        <v>709</v>
      </c>
      <c r="BJ92" t="s">
        <v>709</v>
      </c>
      <c r="BK92" t="s">
        <v>709</v>
      </c>
      <c r="BL92" t="s">
        <v>116</v>
      </c>
      <c r="BM92" t="s">
        <v>709</v>
      </c>
      <c r="BN92" t="s">
        <v>709</v>
      </c>
      <c r="BO92" t="s">
        <v>709</v>
      </c>
      <c r="BP92" t="s">
        <v>709</v>
      </c>
      <c r="BQ92" t="s">
        <v>709</v>
      </c>
      <c r="BR92" t="s">
        <v>709</v>
      </c>
      <c r="BS92">
        <v>8811</v>
      </c>
      <c r="BT92" t="s">
        <v>709</v>
      </c>
      <c r="BU92" t="s">
        <v>709</v>
      </c>
      <c r="BV92" t="s">
        <v>709</v>
      </c>
      <c r="BW92" t="s">
        <v>709</v>
      </c>
      <c r="BX92" t="s">
        <v>709</v>
      </c>
      <c r="BY92" t="s">
        <v>709</v>
      </c>
      <c r="BZ92" t="s">
        <v>709</v>
      </c>
      <c r="CB92">
        <v>91</v>
      </c>
      <c r="CC92" t="b">
        <v>1</v>
      </c>
      <c r="CD92" t="s">
        <v>2353</v>
      </c>
      <c r="CE92" s="1482">
        <v>45880.73196759259</v>
      </c>
    </row>
    <row r="93" spans="1:83" x14ac:dyDescent="0.25">
      <c r="A93">
        <v>2020</v>
      </c>
      <c r="B93" t="s">
        <v>771</v>
      </c>
      <c r="C93" t="s">
        <v>2354</v>
      </c>
      <c r="D93" t="s">
        <v>2355</v>
      </c>
      <c r="E93" t="s">
        <v>149</v>
      </c>
      <c r="F93" t="s">
        <v>325</v>
      </c>
      <c r="G93" t="s">
        <v>1882</v>
      </c>
      <c r="H93" t="s">
        <v>59</v>
      </c>
      <c r="I93">
        <v>43787</v>
      </c>
      <c r="J93">
        <v>43879</v>
      </c>
      <c r="K93">
        <v>43874</v>
      </c>
      <c r="L93">
        <v>5</v>
      </c>
      <c r="N93" t="s">
        <v>120</v>
      </c>
      <c r="O93">
        <v>43874</v>
      </c>
      <c r="P93" t="s">
        <v>120</v>
      </c>
      <c r="Q93">
        <v>15963.45</v>
      </c>
      <c r="R93" t="s">
        <v>2087</v>
      </c>
      <c r="S93" t="s">
        <v>709</v>
      </c>
      <c r="T93" t="s">
        <v>709</v>
      </c>
      <c r="U93" t="s">
        <v>115</v>
      </c>
      <c r="V93">
        <v>10299</v>
      </c>
      <c r="X93">
        <v>1134813.52</v>
      </c>
      <c r="Y93">
        <v>160046.46</v>
      </c>
      <c r="Z93">
        <v>124937.06</v>
      </c>
      <c r="AA93">
        <v>1099704.1200000001</v>
      </c>
      <c r="AM93" t="s">
        <v>709</v>
      </c>
      <c r="AY93" t="s">
        <v>29</v>
      </c>
      <c r="BA93" t="s">
        <v>2356</v>
      </c>
      <c r="BB93" t="s">
        <v>2357</v>
      </c>
      <c r="BI93" t="s">
        <v>709</v>
      </c>
      <c r="BJ93" t="s">
        <v>709</v>
      </c>
      <c r="BK93" t="s">
        <v>709</v>
      </c>
      <c r="BL93" t="s">
        <v>116</v>
      </c>
      <c r="BM93" t="s">
        <v>709</v>
      </c>
      <c r="BN93" t="s">
        <v>709</v>
      </c>
      <c r="BO93" t="s">
        <v>709</v>
      </c>
      <c r="BP93">
        <v>115</v>
      </c>
      <c r="BQ93">
        <v>1128</v>
      </c>
      <c r="BR93">
        <v>2609</v>
      </c>
      <c r="BS93">
        <v>6447</v>
      </c>
      <c r="BT93" t="s">
        <v>709</v>
      </c>
      <c r="BU93" t="s">
        <v>709</v>
      </c>
      <c r="BV93" t="s">
        <v>709</v>
      </c>
      <c r="BW93" t="s">
        <v>709</v>
      </c>
      <c r="BX93" t="s">
        <v>709</v>
      </c>
      <c r="BY93" t="s">
        <v>709</v>
      </c>
      <c r="BZ93" t="s">
        <v>709</v>
      </c>
      <c r="CB93">
        <v>92</v>
      </c>
      <c r="CC93" t="b">
        <v>1</v>
      </c>
      <c r="CD93" t="s">
        <v>2358</v>
      </c>
      <c r="CE93" s="1482">
        <v>45880.73196759259</v>
      </c>
    </row>
    <row r="94" spans="1:83" x14ac:dyDescent="0.25">
      <c r="A94">
        <v>2020</v>
      </c>
      <c r="B94" t="s">
        <v>771</v>
      </c>
      <c r="C94" t="s">
        <v>2359</v>
      </c>
      <c r="D94" t="s">
        <v>2360</v>
      </c>
      <c r="E94" t="s">
        <v>2361</v>
      </c>
      <c r="F94" t="s">
        <v>919</v>
      </c>
      <c r="G94" t="s">
        <v>1882</v>
      </c>
      <c r="H94" t="s">
        <v>59</v>
      </c>
      <c r="I94">
        <v>43783</v>
      </c>
      <c r="J94">
        <v>43875</v>
      </c>
      <c r="K94">
        <v>43874</v>
      </c>
      <c r="L94">
        <v>1</v>
      </c>
      <c r="N94" t="s">
        <v>120</v>
      </c>
      <c r="O94">
        <v>43874</v>
      </c>
      <c r="P94" t="s">
        <v>120</v>
      </c>
      <c r="Q94">
        <v>34693.65</v>
      </c>
      <c r="R94" t="s">
        <v>2087</v>
      </c>
      <c r="S94" t="s">
        <v>709</v>
      </c>
      <c r="T94" t="s">
        <v>709</v>
      </c>
      <c r="U94" t="s">
        <v>115</v>
      </c>
      <c r="V94">
        <v>22383</v>
      </c>
      <c r="X94">
        <v>2444997.73</v>
      </c>
      <c r="Y94">
        <v>347831.82</v>
      </c>
      <c r="Z94">
        <v>254842.56</v>
      </c>
      <c r="AA94">
        <v>2352008.4700000002</v>
      </c>
      <c r="AM94" t="s">
        <v>709</v>
      </c>
      <c r="AY94" t="s">
        <v>29</v>
      </c>
      <c r="BA94" t="s">
        <v>2362</v>
      </c>
      <c r="BB94" t="s">
        <v>2363</v>
      </c>
      <c r="BI94" t="s">
        <v>709</v>
      </c>
      <c r="BJ94" t="s">
        <v>709</v>
      </c>
      <c r="BK94" t="s">
        <v>709</v>
      </c>
      <c r="BL94" t="s">
        <v>116</v>
      </c>
      <c r="BM94" t="s">
        <v>709</v>
      </c>
      <c r="BN94" t="s">
        <v>709</v>
      </c>
      <c r="BO94" t="s">
        <v>709</v>
      </c>
      <c r="BP94" t="s">
        <v>709</v>
      </c>
      <c r="BQ94" t="s">
        <v>709</v>
      </c>
      <c r="BR94" t="s">
        <v>709</v>
      </c>
      <c r="BS94">
        <v>22383</v>
      </c>
      <c r="BT94" t="s">
        <v>709</v>
      </c>
      <c r="BU94" t="s">
        <v>709</v>
      </c>
      <c r="BV94" t="s">
        <v>709</v>
      </c>
      <c r="BW94" t="s">
        <v>709</v>
      </c>
      <c r="BX94" t="s">
        <v>709</v>
      </c>
      <c r="BY94" t="s">
        <v>709</v>
      </c>
      <c r="BZ94" t="s">
        <v>709</v>
      </c>
      <c r="CB94">
        <v>90</v>
      </c>
      <c r="CC94" t="b">
        <v>1</v>
      </c>
      <c r="CD94" t="s">
        <v>2364</v>
      </c>
      <c r="CE94" s="1482">
        <v>45880.731979166667</v>
      </c>
    </row>
    <row r="95" spans="1:83" x14ac:dyDescent="0.25">
      <c r="A95">
        <v>2019</v>
      </c>
      <c r="B95" t="s">
        <v>4</v>
      </c>
      <c r="C95" t="s">
        <v>2198</v>
      </c>
      <c r="D95" t="s">
        <v>2199</v>
      </c>
      <c r="E95" t="s">
        <v>1969</v>
      </c>
      <c r="F95" t="s">
        <v>919</v>
      </c>
      <c r="G95" t="s">
        <v>1896</v>
      </c>
      <c r="H95" t="s">
        <v>2051</v>
      </c>
      <c r="I95">
        <v>43698</v>
      </c>
      <c r="J95" t="s">
        <v>2052</v>
      </c>
      <c r="K95">
        <v>43875</v>
      </c>
      <c r="L95">
        <v>177</v>
      </c>
      <c r="M95" t="s">
        <v>2365</v>
      </c>
      <c r="N95" t="s">
        <v>120</v>
      </c>
      <c r="O95">
        <v>43875</v>
      </c>
      <c r="P95" t="s">
        <v>739</v>
      </c>
      <c r="Q95">
        <v>9949.5</v>
      </c>
      <c r="R95" t="s">
        <v>1922</v>
      </c>
      <c r="S95">
        <v>232</v>
      </c>
      <c r="T95" t="s">
        <v>709</v>
      </c>
      <c r="U95">
        <v>9717.5</v>
      </c>
      <c r="AM95" t="s">
        <v>709</v>
      </c>
      <c r="AY95" t="s">
        <v>29</v>
      </c>
      <c r="BA95" s="4">
        <v>12</v>
      </c>
      <c r="BI95" t="s">
        <v>709</v>
      </c>
      <c r="BJ95" t="s">
        <v>709</v>
      </c>
      <c r="BK95" t="s">
        <v>709</v>
      </c>
      <c r="BL95" t="s">
        <v>116</v>
      </c>
      <c r="BM95" t="s">
        <v>709</v>
      </c>
      <c r="BN95" t="s">
        <v>709</v>
      </c>
      <c r="BO95" t="s">
        <v>709</v>
      </c>
      <c r="BP95" t="s">
        <v>709</v>
      </c>
      <c r="BQ95" t="s">
        <v>709</v>
      </c>
      <c r="BR95" t="s">
        <v>709</v>
      </c>
      <c r="BS95">
        <v>2186</v>
      </c>
      <c r="BT95" t="s">
        <v>709</v>
      </c>
      <c r="BU95" t="s">
        <v>709</v>
      </c>
      <c r="BV95" t="s">
        <v>709</v>
      </c>
      <c r="BW95" t="s">
        <v>709</v>
      </c>
      <c r="BX95" t="s">
        <v>709</v>
      </c>
      <c r="BY95" t="s">
        <v>709</v>
      </c>
      <c r="BZ95" t="s">
        <v>709</v>
      </c>
      <c r="CB95">
        <v>93</v>
      </c>
      <c r="CC95" t="b">
        <v>1</v>
      </c>
      <c r="CD95" t="s">
        <v>2366</v>
      </c>
      <c r="CE95" s="1482">
        <v>45880.731979166667</v>
      </c>
    </row>
    <row r="96" spans="1:83" x14ac:dyDescent="0.25">
      <c r="A96">
        <v>2020</v>
      </c>
      <c r="B96" t="s">
        <v>771</v>
      </c>
      <c r="C96" t="s">
        <v>2161</v>
      </c>
      <c r="D96" t="s">
        <v>2162</v>
      </c>
      <c r="E96" t="s">
        <v>1529</v>
      </c>
      <c r="F96" t="s">
        <v>325</v>
      </c>
      <c r="G96" t="s">
        <v>1896</v>
      </c>
      <c r="H96" t="s">
        <v>2051</v>
      </c>
      <c r="I96">
        <v>43658</v>
      </c>
      <c r="J96" t="s">
        <v>2052</v>
      </c>
      <c r="K96">
        <v>43875</v>
      </c>
      <c r="L96">
        <v>217</v>
      </c>
      <c r="M96" t="s">
        <v>2367</v>
      </c>
      <c r="N96" t="s">
        <v>120</v>
      </c>
      <c r="O96">
        <v>43875</v>
      </c>
      <c r="P96" t="s">
        <v>120</v>
      </c>
      <c r="Q96">
        <v>7596</v>
      </c>
      <c r="R96" t="s">
        <v>1922</v>
      </c>
      <c r="S96">
        <v>203.5</v>
      </c>
      <c r="T96" t="s">
        <v>709</v>
      </c>
      <c r="U96">
        <v>7392.5</v>
      </c>
      <c r="X96">
        <v>166521.70000000001</v>
      </c>
      <c r="Y96">
        <v>13597.5</v>
      </c>
      <c r="Z96">
        <v>53943.97</v>
      </c>
      <c r="AA96">
        <v>206868.17</v>
      </c>
      <c r="AM96" t="s">
        <v>709</v>
      </c>
      <c r="AY96" t="s">
        <v>29</v>
      </c>
      <c r="BA96" s="4">
        <v>4</v>
      </c>
      <c r="BI96" t="s">
        <v>709</v>
      </c>
      <c r="BJ96" t="s">
        <v>709</v>
      </c>
      <c r="BK96" t="s">
        <v>709</v>
      </c>
      <c r="BL96" t="s">
        <v>116</v>
      </c>
      <c r="BM96" t="s">
        <v>709</v>
      </c>
      <c r="BN96" t="s">
        <v>709</v>
      </c>
      <c r="BO96" t="s">
        <v>709</v>
      </c>
      <c r="BP96" t="s">
        <v>709</v>
      </c>
      <c r="BQ96" t="s">
        <v>709</v>
      </c>
      <c r="BR96" t="s">
        <v>709</v>
      </c>
      <c r="BS96">
        <v>1108</v>
      </c>
      <c r="BT96" t="s">
        <v>709</v>
      </c>
      <c r="BU96" t="s">
        <v>709</v>
      </c>
      <c r="BV96" t="s">
        <v>709</v>
      </c>
      <c r="BW96" t="s">
        <v>709</v>
      </c>
      <c r="BX96" t="s">
        <v>709</v>
      </c>
      <c r="BY96" t="s">
        <v>709</v>
      </c>
      <c r="BZ96" t="s">
        <v>709</v>
      </c>
      <c r="CB96">
        <v>94</v>
      </c>
      <c r="CC96" t="b">
        <v>1</v>
      </c>
      <c r="CD96" t="s">
        <v>2368</v>
      </c>
      <c r="CE96" s="1482">
        <v>45880.731979166667</v>
      </c>
    </row>
    <row r="97" spans="1:83" x14ac:dyDescent="0.25">
      <c r="A97">
        <v>2020</v>
      </c>
      <c r="B97" t="s">
        <v>4</v>
      </c>
      <c r="C97" t="s">
        <v>2369</v>
      </c>
      <c r="D97" t="s">
        <v>2370</v>
      </c>
      <c r="E97" t="s">
        <v>245</v>
      </c>
      <c r="F97" t="s">
        <v>325</v>
      </c>
      <c r="G97" t="s">
        <v>1896</v>
      </c>
      <c r="H97" t="s">
        <v>59</v>
      </c>
      <c r="I97">
        <v>43784</v>
      </c>
      <c r="J97">
        <v>43875</v>
      </c>
      <c r="K97">
        <v>43875</v>
      </c>
      <c r="L97">
        <v>0</v>
      </c>
      <c r="N97" t="s">
        <v>120</v>
      </c>
      <c r="O97">
        <v>43875</v>
      </c>
      <c r="P97" t="s">
        <v>739</v>
      </c>
      <c r="Q97">
        <v>41888.093999999997</v>
      </c>
      <c r="R97">
        <v>0.1</v>
      </c>
      <c r="S97" t="s">
        <v>709</v>
      </c>
      <c r="T97" t="s">
        <v>709</v>
      </c>
      <c r="U97" t="s">
        <v>115</v>
      </c>
      <c r="V97">
        <v>3566</v>
      </c>
      <c r="X97">
        <v>378091.66</v>
      </c>
      <c r="Y97">
        <v>55415.64</v>
      </c>
      <c r="Z97">
        <v>40789.279999999999</v>
      </c>
      <c r="AA97">
        <v>418880.94</v>
      </c>
      <c r="AM97" t="s">
        <v>116</v>
      </c>
      <c r="AN97">
        <v>43980</v>
      </c>
      <c r="AO97">
        <v>186675</v>
      </c>
      <c r="AP97">
        <v>378091.66</v>
      </c>
      <c r="AQ97">
        <v>55415.64</v>
      </c>
      <c r="AR97">
        <v>40789.279999999999</v>
      </c>
      <c r="AS97">
        <v>418880.94</v>
      </c>
      <c r="AT97">
        <v>0</v>
      </c>
      <c r="AU97">
        <v>0</v>
      </c>
      <c r="AV97" t="s">
        <v>709</v>
      </c>
      <c r="AW97" s="4" t="s">
        <v>115</v>
      </c>
      <c r="AY97" t="s">
        <v>1935</v>
      </c>
      <c r="BA97" t="s">
        <v>2371</v>
      </c>
      <c r="BB97" t="s">
        <v>2372</v>
      </c>
      <c r="BI97" t="s">
        <v>709</v>
      </c>
      <c r="BJ97" t="s">
        <v>709</v>
      </c>
      <c r="BK97" t="s">
        <v>709</v>
      </c>
      <c r="BL97" t="s">
        <v>116</v>
      </c>
      <c r="BM97" t="s">
        <v>709</v>
      </c>
      <c r="BN97" t="s">
        <v>709</v>
      </c>
      <c r="BO97" t="s">
        <v>709</v>
      </c>
      <c r="BP97" t="s">
        <v>709</v>
      </c>
      <c r="BQ97" t="s">
        <v>709</v>
      </c>
      <c r="BR97" t="s">
        <v>709</v>
      </c>
      <c r="BS97">
        <v>3556</v>
      </c>
      <c r="BT97" t="s">
        <v>709</v>
      </c>
      <c r="BU97" t="s">
        <v>709</v>
      </c>
      <c r="BV97" t="s">
        <v>709</v>
      </c>
      <c r="BW97" t="s">
        <v>709</v>
      </c>
      <c r="BX97" t="s">
        <v>709</v>
      </c>
      <c r="BY97" t="s">
        <v>709</v>
      </c>
      <c r="BZ97" t="s">
        <v>709</v>
      </c>
      <c r="CA97" t="s">
        <v>915</v>
      </c>
      <c r="CB97">
        <v>95</v>
      </c>
      <c r="CC97" t="b">
        <v>1</v>
      </c>
      <c r="CD97" t="s">
        <v>2373</v>
      </c>
      <c r="CE97" s="1482">
        <v>45880.731990740744</v>
      </c>
    </row>
    <row r="98" spans="1:83" x14ac:dyDescent="0.25">
      <c r="A98">
        <v>2020</v>
      </c>
      <c r="B98" t="s">
        <v>1073</v>
      </c>
      <c r="C98" t="s">
        <v>2374</v>
      </c>
      <c r="D98" t="s">
        <v>115</v>
      </c>
      <c r="E98" t="s">
        <v>2375</v>
      </c>
      <c r="F98" t="s">
        <v>325</v>
      </c>
      <c r="G98" t="s">
        <v>36</v>
      </c>
      <c r="H98" t="s">
        <v>2127</v>
      </c>
      <c r="I98">
        <v>43857</v>
      </c>
      <c r="J98">
        <v>43945</v>
      </c>
      <c r="K98">
        <v>43876</v>
      </c>
      <c r="L98">
        <v>69</v>
      </c>
      <c r="N98" t="s">
        <v>120</v>
      </c>
      <c r="O98">
        <v>43876</v>
      </c>
      <c r="P98" t="s">
        <v>739</v>
      </c>
      <c r="Q98">
        <v>7390</v>
      </c>
      <c r="R98" t="s">
        <v>1922</v>
      </c>
      <c r="S98" t="s">
        <v>709</v>
      </c>
      <c r="T98" t="s">
        <v>709</v>
      </c>
      <c r="U98">
        <v>7390</v>
      </c>
      <c r="AA98">
        <v>23365</v>
      </c>
      <c r="AM98" t="s">
        <v>709</v>
      </c>
      <c r="AW98" s="4"/>
      <c r="AY98" t="s">
        <v>29</v>
      </c>
      <c r="BZ98" t="s">
        <v>709</v>
      </c>
      <c r="CA98" t="s">
        <v>915</v>
      </c>
      <c r="CB98">
        <v>96</v>
      </c>
      <c r="CC98" t="b">
        <v>1</v>
      </c>
      <c r="CD98" t="s">
        <v>2376</v>
      </c>
      <c r="CE98" s="1482">
        <v>45880.731990740744</v>
      </c>
    </row>
    <row r="99" spans="1:83" x14ac:dyDescent="0.25">
      <c r="A99">
        <v>2020</v>
      </c>
      <c r="B99" t="s">
        <v>771</v>
      </c>
      <c r="C99" t="s">
        <v>2377</v>
      </c>
      <c r="D99" t="s">
        <v>2378</v>
      </c>
      <c r="E99" t="s">
        <v>149</v>
      </c>
      <c r="F99" t="s">
        <v>325</v>
      </c>
      <c r="G99" t="s">
        <v>1882</v>
      </c>
      <c r="H99" t="s">
        <v>59</v>
      </c>
      <c r="I99">
        <v>43787</v>
      </c>
      <c r="J99">
        <v>43879</v>
      </c>
      <c r="K99">
        <v>43877</v>
      </c>
      <c r="L99">
        <v>2</v>
      </c>
      <c r="N99" t="s">
        <v>120</v>
      </c>
      <c r="O99">
        <v>44613</v>
      </c>
      <c r="P99" t="s">
        <v>120</v>
      </c>
      <c r="Q99">
        <v>17090.3</v>
      </c>
      <c r="R99" t="s">
        <v>2087</v>
      </c>
      <c r="S99" t="s">
        <v>709</v>
      </c>
      <c r="T99" t="s">
        <v>709</v>
      </c>
      <c r="U99" t="s">
        <v>115</v>
      </c>
      <c r="V99">
        <v>11026</v>
      </c>
      <c r="X99">
        <v>1169179.32</v>
      </c>
      <c r="Y99">
        <v>171344.04</v>
      </c>
      <c r="Z99">
        <v>138216.54</v>
      </c>
      <c r="AA99">
        <v>1136051.82</v>
      </c>
      <c r="AM99" t="s">
        <v>709</v>
      </c>
      <c r="AY99" t="s">
        <v>29</v>
      </c>
      <c r="BA99" t="s">
        <v>2379</v>
      </c>
      <c r="BB99" t="s">
        <v>2380</v>
      </c>
      <c r="BI99" t="s">
        <v>709</v>
      </c>
      <c r="BJ99" t="s">
        <v>709</v>
      </c>
      <c r="BK99" t="s">
        <v>709</v>
      </c>
      <c r="BL99" t="s">
        <v>116</v>
      </c>
      <c r="BM99" t="s">
        <v>709</v>
      </c>
      <c r="BN99" t="s">
        <v>709</v>
      </c>
      <c r="BO99" t="s">
        <v>709</v>
      </c>
      <c r="BP99" t="s">
        <v>709</v>
      </c>
      <c r="BQ99">
        <v>1676</v>
      </c>
      <c r="BR99">
        <v>600</v>
      </c>
      <c r="BS99">
        <v>8750</v>
      </c>
      <c r="BT99" t="s">
        <v>745</v>
      </c>
      <c r="BU99" t="s">
        <v>709</v>
      </c>
      <c r="BV99" t="s">
        <v>745</v>
      </c>
      <c r="BW99" t="s">
        <v>709</v>
      </c>
      <c r="BX99" t="s">
        <v>745</v>
      </c>
      <c r="BY99" t="s">
        <v>745</v>
      </c>
      <c r="BZ99" t="s">
        <v>709</v>
      </c>
      <c r="CB99">
        <v>97</v>
      </c>
      <c r="CC99" t="b">
        <v>1</v>
      </c>
      <c r="CD99" t="s">
        <v>2381</v>
      </c>
      <c r="CE99" s="1482">
        <v>45880.732002314813</v>
      </c>
    </row>
    <row r="100" spans="1:83" x14ac:dyDescent="0.25">
      <c r="A100">
        <v>2020</v>
      </c>
      <c r="B100" t="s">
        <v>4</v>
      </c>
      <c r="C100" t="s">
        <v>2265</v>
      </c>
      <c r="D100" t="s">
        <v>2266</v>
      </c>
      <c r="E100" t="s">
        <v>2267</v>
      </c>
      <c r="F100" t="s">
        <v>919</v>
      </c>
      <c r="G100" t="s">
        <v>36</v>
      </c>
      <c r="H100" t="s">
        <v>2051</v>
      </c>
      <c r="I100">
        <v>43720</v>
      </c>
      <c r="J100" t="s">
        <v>2052</v>
      </c>
      <c r="K100">
        <v>43879</v>
      </c>
      <c r="L100">
        <v>159</v>
      </c>
      <c r="M100" t="s">
        <v>2382</v>
      </c>
      <c r="N100" t="s">
        <v>120</v>
      </c>
      <c r="O100">
        <v>43891</v>
      </c>
      <c r="P100" t="s">
        <v>739</v>
      </c>
      <c r="Q100">
        <v>9731</v>
      </c>
      <c r="R100" t="s">
        <v>1922</v>
      </c>
      <c r="S100">
        <v>581</v>
      </c>
      <c r="T100" t="s">
        <v>709</v>
      </c>
      <c r="U100">
        <v>9150</v>
      </c>
      <c r="AM100" t="s">
        <v>709</v>
      </c>
      <c r="AY100" t="s">
        <v>29</v>
      </c>
      <c r="BA100">
        <v>11</v>
      </c>
      <c r="BI100" t="s">
        <v>709</v>
      </c>
      <c r="BJ100" t="s">
        <v>709</v>
      </c>
      <c r="BK100" t="s">
        <v>709</v>
      </c>
      <c r="BL100" t="s">
        <v>116</v>
      </c>
      <c r="BM100" t="s">
        <v>709</v>
      </c>
      <c r="BN100" t="s">
        <v>709</v>
      </c>
      <c r="BO100" t="s">
        <v>709</v>
      </c>
      <c r="BP100" t="s">
        <v>709</v>
      </c>
      <c r="BQ100" t="s">
        <v>709</v>
      </c>
      <c r="BR100">
        <v>1628</v>
      </c>
      <c r="BS100" t="s">
        <v>709</v>
      </c>
      <c r="BT100" t="s">
        <v>709</v>
      </c>
      <c r="BU100" t="s">
        <v>709</v>
      </c>
      <c r="BV100" t="s">
        <v>709</v>
      </c>
      <c r="BW100" t="s">
        <v>709</v>
      </c>
      <c r="BX100" t="s">
        <v>709</v>
      </c>
      <c r="BY100" t="s">
        <v>709</v>
      </c>
      <c r="BZ100" t="s">
        <v>709</v>
      </c>
      <c r="CB100">
        <v>99</v>
      </c>
      <c r="CC100" t="b">
        <v>1</v>
      </c>
      <c r="CD100" t="s">
        <v>2383</v>
      </c>
      <c r="CE100" s="1482">
        <v>45880.732002314813</v>
      </c>
    </row>
    <row r="101" spans="1:83" x14ac:dyDescent="0.25">
      <c r="A101">
        <v>2020</v>
      </c>
      <c r="B101" t="s">
        <v>4</v>
      </c>
      <c r="C101" t="s">
        <v>1142</v>
      </c>
      <c r="D101" t="s">
        <v>1143</v>
      </c>
      <c r="E101" t="s">
        <v>859</v>
      </c>
      <c r="F101" t="s">
        <v>919</v>
      </c>
      <c r="G101" t="s">
        <v>1896</v>
      </c>
      <c r="H101" t="s">
        <v>59</v>
      </c>
      <c r="I101">
        <v>43784</v>
      </c>
      <c r="J101">
        <v>43889</v>
      </c>
      <c r="K101">
        <v>43879</v>
      </c>
      <c r="L101">
        <v>10</v>
      </c>
      <c r="N101" t="s">
        <v>120</v>
      </c>
      <c r="O101">
        <v>43879</v>
      </c>
      <c r="P101" t="s">
        <v>739</v>
      </c>
      <c r="Q101">
        <v>935.61400000000003</v>
      </c>
      <c r="R101">
        <v>0.1</v>
      </c>
      <c r="S101" t="s">
        <v>709</v>
      </c>
      <c r="T101" t="s">
        <v>709</v>
      </c>
      <c r="U101" t="s">
        <v>115</v>
      </c>
      <c r="V101" t="s">
        <v>115</v>
      </c>
      <c r="X101">
        <v>0</v>
      </c>
      <c r="Y101">
        <v>0</v>
      </c>
      <c r="Z101">
        <v>9356.14</v>
      </c>
      <c r="AA101">
        <v>9356.14</v>
      </c>
      <c r="AM101" t="s">
        <v>116</v>
      </c>
      <c r="AN101" t="s">
        <v>709</v>
      </c>
      <c r="AO101" t="s">
        <v>115</v>
      </c>
      <c r="AS101">
        <v>0</v>
      </c>
      <c r="AT101">
        <v>0</v>
      </c>
      <c r="AU101">
        <v>0</v>
      </c>
      <c r="AY101" t="s">
        <v>709</v>
      </c>
      <c r="AZ101">
        <v>54</v>
      </c>
      <c r="BA101" t="s">
        <v>1144</v>
      </c>
      <c r="BB101" t="s">
        <v>1145</v>
      </c>
      <c r="BI101" t="s">
        <v>709</v>
      </c>
      <c r="BJ101" t="s">
        <v>709</v>
      </c>
      <c r="BK101" t="s">
        <v>709</v>
      </c>
      <c r="BL101" t="s">
        <v>709</v>
      </c>
      <c r="BM101" t="s">
        <v>709</v>
      </c>
      <c r="BN101" t="s">
        <v>709</v>
      </c>
      <c r="BO101" t="s">
        <v>709</v>
      </c>
      <c r="BP101" t="s">
        <v>709</v>
      </c>
      <c r="BQ101" t="s">
        <v>709</v>
      </c>
      <c r="BR101" t="s">
        <v>709</v>
      </c>
      <c r="BS101" t="s">
        <v>709</v>
      </c>
      <c r="BT101" t="s">
        <v>709</v>
      </c>
      <c r="BU101" t="s">
        <v>709</v>
      </c>
      <c r="BV101" t="s">
        <v>709</v>
      </c>
      <c r="BW101" t="s">
        <v>709</v>
      </c>
      <c r="BX101" t="s">
        <v>709</v>
      </c>
      <c r="BY101" t="s">
        <v>709</v>
      </c>
      <c r="BZ101" t="s">
        <v>709</v>
      </c>
      <c r="CA101" t="s">
        <v>1146</v>
      </c>
      <c r="CB101">
        <v>98</v>
      </c>
      <c r="CC101" t="b">
        <v>1</v>
      </c>
      <c r="CD101" t="s">
        <v>2384</v>
      </c>
      <c r="CE101" s="1482">
        <v>45880.732002314813</v>
      </c>
    </row>
    <row r="102" spans="1:83" x14ac:dyDescent="0.25">
      <c r="A102">
        <v>2020</v>
      </c>
      <c r="B102" t="s">
        <v>4</v>
      </c>
      <c r="C102" t="s">
        <v>2385</v>
      </c>
      <c r="D102" t="s">
        <v>115</v>
      </c>
      <c r="E102" t="s">
        <v>2386</v>
      </c>
      <c r="F102" t="s">
        <v>919</v>
      </c>
      <c r="G102" t="s">
        <v>1887</v>
      </c>
      <c r="H102" t="s">
        <v>59</v>
      </c>
      <c r="I102">
        <v>43852</v>
      </c>
      <c r="J102">
        <v>43885</v>
      </c>
      <c r="K102">
        <v>43880</v>
      </c>
      <c r="L102">
        <v>5</v>
      </c>
      <c r="M102" t="s">
        <v>2387</v>
      </c>
      <c r="N102" t="s">
        <v>120</v>
      </c>
      <c r="O102">
        <v>43891</v>
      </c>
      <c r="P102" t="s">
        <v>739</v>
      </c>
      <c r="Q102">
        <v>4891.25</v>
      </c>
      <c r="R102" t="s">
        <v>1922</v>
      </c>
      <c r="S102">
        <v>1066.25</v>
      </c>
      <c r="T102" t="s">
        <v>709</v>
      </c>
      <c r="U102">
        <v>3825</v>
      </c>
      <c r="V102" t="s">
        <v>115</v>
      </c>
      <c r="AA102">
        <v>0</v>
      </c>
      <c r="AM102" t="s">
        <v>709</v>
      </c>
      <c r="AY102" t="s">
        <v>29</v>
      </c>
      <c r="BA102" t="s">
        <v>2388</v>
      </c>
      <c r="BZ102" t="s">
        <v>709</v>
      </c>
      <c r="CA102" t="s">
        <v>915</v>
      </c>
      <c r="CB102">
        <v>100</v>
      </c>
      <c r="CC102" t="b">
        <v>1</v>
      </c>
      <c r="CD102" t="s">
        <v>2389</v>
      </c>
      <c r="CE102" s="1482">
        <v>45880.73201388889</v>
      </c>
    </row>
    <row r="103" spans="1:83" x14ac:dyDescent="0.25">
      <c r="A103">
        <v>2020</v>
      </c>
      <c r="B103" t="s">
        <v>4</v>
      </c>
      <c r="C103" t="s">
        <v>2272</v>
      </c>
      <c r="D103" t="s">
        <v>2273</v>
      </c>
      <c r="E103" t="s">
        <v>2274</v>
      </c>
      <c r="F103" t="s">
        <v>919</v>
      </c>
      <c r="G103" t="s">
        <v>36</v>
      </c>
      <c r="H103" t="s">
        <v>2051</v>
      </c>
      <c r="I103">
        <v>43700</v>
      </c>
      <c r="J103" t="s">
        <v>2052</v>
      </c>
      <c r="K103">
        <v>43882</v>
      </c>
      <c r="L103">
        <v>182</v>
      </c>
      <c r="M103" t="s">
        <v>2390</v>
      </c>
      <c r="N103" t="s">
        <v>120</v>
      </c>
      <c r="O103">
        <v>43891</v>
      </c>
      <c r="P103" t="s">
        <v>739</v>
      </c>
      <c r="Q103">
        <v>970</v>
      </c>
      <c r="R103" t="s">
        <v>1922</v>
      </c>
      <c r="S103" t="s">
        <v>709</v>
      </c>
      <c r="T103" t="s">
        <v>709</v>
      </c>
      <c r="U103">
        <v>970</v>
      </c>
      <c r="AM103" t="s">
        <v>709</v>
      </c>
      <c r="AY103" t="s">
        <v>29</v>
      </c>
      <c r="BA103">
        <v>4</v>
      </c>
      <c r="BI103" t="s">
        <v>709</v>
      </c>
      <c r="BJ103" t="s">
        <v>709</v>
      </c>
      <c r="BK103" t="s">
        <v>709</v>
      </c>
      <c r="BL103" t="s">
        <v>116</v>
      </c>
      <c r="BM103" t="s">
        <v>709</v>
      </c>
      <c r="BN103" t="s">
        <v>709</v>
      </c>
      <c r="BO103" t="s">
        <v>709</v>
      </c>
      <c r="BP103" t="s">
        <v>709</v>
      </c>
      <c r="BQ103" t="s">
        <v>709</v>
      </c>
      <c r="BR103">
        <v>1247</v>
      </c>
      <c r="BS103">
        <v>836</v>
      </c>
      <c r="BT103" t="s">
        <v>709</v>
      </c>
      <c r="BU103" t="s">
        <v>709</v>
      </c>
      <c r="BV103" t="s">
        <v>709</v>
      </c>
      <c r="BW103" t="s">
        <v>709</v>
      </c>
      <c r="BX103" t="s">
        <v>709</v>
      </c>
      <c r="BY103" t="s">
        <v>709</v>
      </c>
      <c r="BZ103" t="s">
        <v>709</v>
      </c>
      <c r="CB103">
        <v>101</v>
      </c>
      <c r="CC103" t="b">
        <v>1</v>
      </c>
      <c r="CD103" t="s">
        <v>2391</v>
      </c>
      <c r="CE103" s="1482">
        <v>45880.73201388889</v>
      </c>
    </row>
    <row r="104" spans="1:83" x14ac:dyDescent="0.25">
      <c r="A104">
        <v>2019</v>
      </c>
      <c r="B104" t="s">
        <v>4</v>
      </c>
      <c r="C104" t="s">
        <v>2185</v>
      </c>
      <c r="D104" t="s">
        <v>2186</v>
      </c>
      <c r="E104" t="s">
        <v>2187</v>
      </c>
      <c r="F104" t="s">
        <v>919</v>
      </c>
      <c r="G104" t="s">
        <v>1896</v>
      </c>
      <c r="H104" t="s">
        <v>2051</v>
      </c>
      <c r="I104">
        <v>43472</v>
      </c>
      <c r="J104" t="s">
        <v>2052</v>
      </c>
      <c r="K104">
        <v>43886</v>
      </c>
      <c r="L104">
        <v>414</v>
      </c>
      <c r="M104" t="s">
        <v>2392</v>
      </c>
      <c r="N104" t="s">
        <v>120</v>
      </c>
      <c r="O104">
        <v>43891</v>
      </c>
      <c r="P104" t="s">
        <v>739</v>
      </c>
      <c r="Q104">
        <v>8070</v>
      </c>
      <c r="R104" t="s">
        <v>1922</v>
      </c>
      <c r="S104" t="s">
        <v>709</v>
      </c>
      <c r="T104" t="s">
        <v>709</v>
      </c>
      <c r="U104">
        <v>8070</v>
      </c>
      <c r="X104">
        <v>658150.05000000005</v>
      </c>
      <c r="Y104">
        <v>39129.72</v>
      </c>
      <c r="Z104">
        <v>96227.68</v>
      </c>
      <c r="AA104">
        <v>715248.01</v>
      </c>
      <c r="AM104" t="s">
        <v>709</v>
      </c>
      <c r="AY104" t="s">
        <v>29</v>
      </c>
      <c r="BA104">
        <v>3</v>
      </c>
      <c r="BI104" t="s">
        <v>709</v>
      </c>
      <c r="BJ104" t="s">
        <v>709</v>
      </c>
      <c r="BK104" t="s">
        <v>709</v>
      </c>
      <c r="BL104" t="s">
        <v>116</v>
      </c>
      <c r="BM104" t="s">
        <v>709</v>
      </c>
      <c r="BN104" t="s">
        <v>709</v>
      </c>
      <c r="BO104" t="s">
        <v>709</v>
      </c>
      <c r="BP104" t="s">
        <v>709</v>
      </c>
      <c r="BQ104">
        <v>2323</v>
      </c>
      <c r="BR104">
        <v>181</v>
      </c>
      <c r="BS104">
        <v>14</v>
      </c>
      <c r="BT104" t="s">
        <v>709</v>
      </c>
      <c r="BU104" t="s">
        <v>709</v>
      </c>
      <c r="BV104" t="s">
        <v>709</v>
      </c>
      <c r="BW104" t="s">
        <v>709</v>
      </c>
      <c r="BX104" t="s">
        <v>709</v>
      </c>
      <c r="BY104" t="s">
        <v>709</v>
      </c>
      <c r="BZ104" t="s">
        <v>709</v>
      </c>
      <c r="CB104">
        <v>102</v>
      </c>
      <c r="CC104" t="b">
        <v>1</v>
      </c>
      <c r="CD104" t="s">
        <v>2393</v>
      </c>
      <c r="CE104" s="1482">
        <v>45880.732025462959</v>
      </c>
    </row>
    <row r="105" spans="1:83" x14ac:dyDescent="0.25">
      <c r="A105">
        <v>2020</v>
      </c>
      <c r="B105" t="s">
        <v>771</v>
      </c>
      <c r="C105" t="s">
        <v>2178</v>
      </c>
      <c r="D105" t="s">
        <v>2179</v>
      </c>
      <c r="E105" t="s">
        <v>1529</v>
      </c>
      <c r="F105" t="s">
        <v>325</v>
      </c>
      <c r="G105" t="s">
        <v>1896</v>
      </c>
      <c r="H105" t="s">
        <v>2051</v>
      </c>
      <c r="I105">
        <v>43664</v>
      </c>
      <c r="J105" t="s">
        <v>2052</v>
      </c>
      <c r="K105">
        <v>43886</v>
      </c>
      <c r="L105">
        <v>222</v>
      </c>
      <c r="M105" t="s">
        <v>2394</v>
      </c>
      <c r="N105" t="s">
        <v>120</v>
      </c>
      <c r="O105">
        <v>43891</v>
      </c>
      <c r="P105" t="s">
        <v>120</v>
      </c>
      <c r="Q105">
        <v>1150</v>
      </c>
      <c r="R105" t="s">
        <v>1922</v>
      </c>
      <c r="S105" t="s">
        <v>709</v>
      </c>
      <c r="T105" t="s">
        <v>709</v>
      </c>
      <c r="U105">
        <v>1150</v>
      </c>
      <c r="X105">
        <v>149356.17000000001</v>
      </c>
      <c r="Y105">
        <v>10225.32</v>
      </c>
      <c r="Z105">
        <v>62906.15</v>
      </c>
      <c r="AA105">
        <v>202037</v>
      </c>
      <c r="AM105" t="s">
        <v>709</v>
      </c>
      <c r="AW105" s="4"/>
      <c r="AY105" t="s">
        <v>29</v>
      </c>
      <c r="BA105">
        <v>2</v>
      </c>
      <c r="BI105" t="s">
        <v>709</v>
      </c>
      <c r="BJ105" t="s">
        <v>709</v>
      </c>
      <c r="BK105" t="s">
        <v>709</v>
      </c>
      <c r="BL105" t="s">
        <v>116</v>
      </c>
      <c r="BM105" t="s">
        <v>709</v>
      </c>
      <c r="BN105" t="s">
        <v>709</v>
      </c>
      <c r="BO105" t="s">
        <v>709</v>
      </c>
      <c r="BP105" t="s">
        <v>709</v>
      </c>
      <c r="BQ105" t="s">
        <v>709</v>
      </c>
      <c r="BR105" t="s">
        <v>709</v>
      </c>
      <c r="BS105">
        <v>658</v>
      </c>
      <c r="BT105" t="s">
        <v>709</v>
      </c>
      <c r="BU105" t="s">
        <v>709</v>
      </c>
      <c r="BV105" t="s">
        <v>709</v>
      </c>
      <c r="BW105" t="s">
        <v>709</v>
      </c>
      <c r="BX105" t="s">
        <v>709</v>
      </c>
      <c r="BY105" t="s">
        <v>709</v>
      </c>
      <c r="BZ105" t="s">
        <v>709</v>
      </c>
      <c r="CB105">
        <v>103</v>
      </c>
      <c r="CC105" t="b">
        <v>1</v>
      </c>
      <c r="CD105" t="s">
        <v>2395</v>
      </c>
      <c r="CE105" s="1482">
        <v>45880.732025462959</v>
      </c>
    </row>
    <row r="106" spans="1:83" x14ac:dyDescent="0.25">
      <c r="A106">
        <v>2020</v>
      </c>
      <c r="B106" t="s">
        <v>771</v>
      </c>
      <c r="C106" t="s">
        <v>2278</v>
      </c>
      <c r="D106" t="s">
        <v>2279</v>
      </c>
      <c r="E106" t="s">
        <v>2280</v>
      </c>
      <c r="F106" t="s">
        <v>919</v>
      </c>
      <c r="G106" t="s">
        <v>1882</v>
      </c>
      <c r="H106" t="s">
        <v>2396</v>
      </c>
      <c r="I106">
        <v>43699</v>
      </c>
      <c r="J106" t="s">
        <v>2397</v>
      </c>
      <c r="K106">
        <v>43892</v>
      </c>
      <c r="L106">
        <v>193</v>
      </c>
      <c r="N106" t="s">
        <v>120</v>
      </c>
      <c r="O106">
        <v>43892</v>
      </c>
      <c r="P106" t="s">
        <v>120</v>
      </c>
      <c r="Q106">
        <v>2693.75</v>
      </c>
      <c r="R106" t="s">
        <v>1922</v>
      </c>
      <c r="S106">
        <v>276.25</v>
      </c>
      <c r="T106" t="s">
        <v>709</v>
      </c>
      <c r="U106">
        <v>2417.5</v>
      </c>
      <c r="AM106" t="s">
        <v>709</v>
      </c>
      <c r="AW106" s="4"/>
      <c r="AY106" t="s">
        <v>29</v>
      </c>
      <c r="BA106" t="s">
        <v>2281</v>
      </c>
      <c r="BB106" t="s">
        <v>2282</v>
      </c>
      <c r="BI106" t="s">
        <v>709</v>
      </c>
      <c r="BJ106" t="s">
        <v>709</v>
      </c>
      <c r="BK106" t="s">
        <v>709</v>
      </c>
      <c r="BL106" t="s">
        <v>116</v>
      </c>
      <c r="BM106" t="s">
        <v>709</v>
      </c>
      <c r="BN106" t="s">
        <v>709</v>
      </c>
      <c r="BO106" t="s">
        <v>709</v>
      </c>
      <c r="BP106" t="s">
        <v>709</v>
      </c>
      <c r="BQ106" t="s">
        <v>709</v>
      </c>
      <c r="BR106" t="s">
        <v>709</v>
      </c>
      <c r="BS106">
        <v>721</v>
      </c>
      <c r="BT106" t="s">
        <v>709</v>
      </c>
      <c r="BU106" t="s">
        <v>709</v>
      </c>
      <c r="BV106" t="s">
        <v>709</v>
      </c>
      <c r="BW106" t="s">
        <v>709</v>
      </c>
      <c r="BX106" t="s">
        <v>709</v>
      </c>
      <c r="BY106" t="s">
        <v>709</v>
      </c>
      <c r="BZ106" t="s">
        <v>709</v>
      </c>
      <c r="CB106">
        <v>104</v>
      </c>
      <c r="CC106" t="b">
        <v>1</v>
      </c>
      <c r="CD106" t="s">
        <v>2398</v>
      </c>
      <c r="CE106" s="1482">
        <v>45880.732025462959</v>
      </c>
    </row>
    <row r="107" spans="1:83" x14ac:dyDescent="0.25">
      <c r="A107">
        <v>2020</v>
      </c>
      <c r="B107" t="s">
        <v>771</v>
      </c>
      <c r="C107" t="s">
        <v>68</v>
      </c>
      <c r="D107" t="s">
        <v>69</v>
      </c>
      <c r="E107" t="s">
        <v>70</v>
      </c>
      <c r="F107" t="s">
        <v>919</v>
      </c>
      <c r="G107" t="s">
        <v>2232</v>
      </c>
      <c r="H107" t="s">
        <v>59</v>
      </c>
      <c r="I107">
        <v>43789</v>
      </c>
      <c r="J107">
        <v>43881</v>
      </c>
      <c r="K107">
        <v>43896</v>
      </c>
      <c r="L107">
        <v>0</v>
      </c>
      <c r="M107" t="s">
        <v>2399</v>
      </c>
      <c r="N107" t="s">
        <v>120</v>
      </c>
      <c r="O107">
        <v>43896</v>
      </c>
      <c r="P107" t="s">
        <v>120</v>
      </c>
      <c r="Q107">
        <v>21163.7</v>
      </c>
      <c r="R107" t="s">
        <v>2087</v>
      </c>
      <c r="S107" t="s">
        <v>709</v>
      </c>
      <c r="T107" t="s">
        <v>709</v>
      </c>
      <c r="U107" t="s">
        <v>709</v>
      </c>
      <c r="V107">
        <v>13654</v>
      </c>
      <c r="AM107" t="s">
        <v>709</v>
      </c>
      <c r="AY107" t="s">
        <v>29</v>
      </c>
      <c r="BA107" t="s">
        <v>2400</v>
      </c>
      <c r="BB107" t="s">
        <v>2401</v>
      </c>
      <c r="BI107" t="s">
        <v>709</v>
      </c>
      <c r="BJ107" t="s">
        <v>709</v>
      </c>
      <c r="BK107" t="s">
        <v>709</v>
      </c>
      <c r="BL107" t="s">
        <v>116</v>
      </c>
      <c r="BM107" t="s">
        <v>709</v>
      </c>
      <c r="BN107" t="s">
        <v>709</v>
      </c>
      <c r="BO107" t="s">
        <v>709</v>
      </c>
      <c r="BP107">
        <v>1252</v>
      </c>
      <c r="BQ107">
        <v>2605</v>
      </c>
      <c r="BR107">
        <v>19</v>
      </c>
      <c r="BS107">
        <v>9778</v>
      </c>
      <c r="BT107" t="s">
        <v>709</v>
      </c>
      <c r="BU107" t="s">
        <v>709</v>
      </c>
      <c r="BV107" t="s">
        <v>745</v>
      </c>
      <c r="BW107" t="s">
        <v>709</v>
      </c>
      <c r="BX107" t="s">
        <v>745</v>
      </c>
      <c r="BY107" t="s">
        <v>745</v>
      </c>
      <c r="BZ107" t="s">
        <v>709</v>
      </c>
      <c r="CB107">
        <v>105</v>
      </c>
      <c r="CC107" t="b">
        <v>1</v>
      </c>
      <c r="CD107" t="s">
        <v>2402</v>
      </c>
      <c r="CE107" s="1482">
        <v>45880.732037037036</v>
      </c>
    </row>
    <row r="108" spans="1:83" x14ac:dyDescent="0.25">
      <c r="A108">
        <v>2020</v>
      </c>
      <c r="B108" t="s">
        <v>771</v>
      </c>
      <c r="C108" t="s">
        <v>2403</v>
      </c>
      <c r="D108" t="s">
        <v>2404</v>
      </c>
      <c r="E108" t="s">
        <v>361</v>
      </c>
      <c r="F108" t="s">
        <v>325</v>
      </c>
      <c r="G108" t="s">
        <v>2232</v>
      </c>
      <c r="H108" t="s">
        <v>59</v>
      </c>
      <c r="I108">
        <v>43809</v>
      </c>
      <c r="J108">
        <v>43921</v>
      </c>
      <c r="K108">
        <v>43901</v>
      </c>
      <c r="L108">
        <v>20</v>
      </c>
      <c r="N108" t="s">
        <v>120</v>
      </c>
      <c r="O108">
        <v>43901</v>
      </c>
      <c r="P108" t="s">
        <v>120</v>
      </c>
      <c r="Q108">
        <v>19578.05</v>
      </c>
      <c r="R108" t="s">
        <v>2087</v>
      </c>
      <c r="S108" t="s">
        <v>709</v>
      </c>
      <c r="T108" t="s">
        <v>709</v>
      </c>
      <c r="U108" t="s">
        <v>709</v>
      </c>
      <c r="V108">
        <v>12631</v>
      </c>
      <c r="AM108" t="s">
        <v>709</v>
      </c>
      <c r="AY108" t="s">
        <v>29</v>
      </c>
      <c r="BA108" t="s">
        <v>2405</v>
      </c>
      <c r="BB108" t="s">
        <v>2406</v>
      </c>
      <c r="BI108" t="s">
        <v>709</v>
      </c>
      <c r="BJ108" t="s">
        <v>709</v>
      </c>
      <c r="BK108" t="s">
        <v>709</v>
      </c>
      <c r="BL108" t="s">
        <v>116</v>
      </c>
      <c r="BM108" t="s">
        <v>709</v>
      </c>
      <c r="BN108" t="s">
        <v>709</v>
      </c>
      <c r="BO108" t="s">
        <v>709</v>
      </c>
      <c r="BP108">
        <v>5313</v>
      </c>
      <c r="BQ108">
        <v>1429</v>
      </c>
      <c r="BR108">
        <v>1406</v>
      </c>
      <c r="BS108">
        <v>15154</v>
      </c>
      <c r="BT108" t="s">
        <v>709</v>
      </c>
      <c r="BU108" t="s">
        <v>709</v>
      </c>
      <c r="BV108" t="s">
        <v>709</v>
      </c>
      <c r="BW108" t="s">
        <v>709</v>
      </c>
      <c r="BX108" t="s">
        <v>709</v>
      </c>
      <c r="BY108" t="s">
        <v>709</v>
      </c>
      <c r="BZ108" t="s">
        <v>709</v>
      </c>
      <c r="CB108">
        <v>106</v>
      </c>
      <c r="CC108" t="b">
        <v>1</v>
      </c>
      <c r="CD108" t="s">
        <v>2407</v>
      </c>
      <c r="CE108" s="1482">
        <v>45880.732037037036</v>
      </c>
    </row>
    <row r="109" spans="1:83" x14ac:dyDescent="0.25">
      <c r="A109">
        <v>2020</v>
      </c>
      <c r="B109" t="s">
        <v>4</v>
      </c>
      <c r="C109" t="s">
        <v>2236</v>
      </c>
      <c r="D109" t="s">
        <v>2237</v>
      </c>
      <c r="E109" t="s">
        <v>1016</v>
      </c>
      <c r="F109" t="s">
        <v>919</v>
      </c>
      <c r="G109" t="s">
        <v>1896</v>
      </c>
      <c r="H109" t="s">
        <v>2051</v>
      </c>
      <c r="I109">
        <v>43679</v>
      </c>
      <c r="J109" t="s">
        <v>2052</v>
      </c>
      <c r="K109">
        <v>43903</v>
      </c>
      <c r="L109">
        <v>224</v>
      </c>
      <c r="M109" t="s">
        <v>2408</v>
      </c>
      <c r="N109" t="s">
        <v>120</v>
      </c>
      <c r="O109">
        <v>43903</v>
      </c>
      <c r="P109" t="s">
        <v>739</v>
      </c>
      <c r="Q109">
        <v>14487.75</v>
      </c>
      <c r="R109" t="s">
        <v>1922</v>
      </c>
      <c r="S109">
        <v>512.75</v>
      </c>
      <c r="T109" t="s">
        <v>709</v>
      </c>
      <c r="U109">
        <v>13975</v>
      </c>
      <c r="AM109" t="s">
        <v>709</v>
      </c>
      <c r="AW109" s="4"/>
      <c r="AY109" t="s">
        <v>29</v>
      </c>
      <c r="BA109">
        <v>12</v>
      </c>
      <c r="BI109" t="s">
        <v>709</v>
      </c>
      <c r="BJ109" t="s">
        <v>709</v>
      </c>
      <c r="BK109" t="s">
        <v>709</v>
      </c>
      <c r="BL109" t="s">
        <v>116</v>
      </c>
      <c r="BM109" t="s">
        <v>709</v>
      </c>
      <c r="BN109" t="s">
        <v>709</v>
      </c>
      <c r="BO109" t="s">
        <v>709</v>
      </c>
      <c r="BP109" t="s">
        <v>709</v>
      </c>
      <c r="BQ109" t="s">
        <v>709</v>
      </c>
      <c r="BR109">
        <v>722</v>
      </c>
      <c r="BS109" t="s">
        <v>709</v>
      </c>
      <c r="BT109" t="s">
        <v>709</v>
      </c>
      <c r="BU109" t="s">
        <v>709</v>
      </c>
      <c r="BV109" t="s">
        <v>709</v>
      </c>
      <c r="BW109" t="s">
        <v>709</v>
      </c>
      <c r="BX109" t="s">
        <v>709</v>
      </c>
      <c r="BY109" t="s">
        <v>709</v>
      </c>
      <c r="BZ109" t="s">
        <v>709</v>
      </c>
      <c r="CB109">
        <v>107</v>
      </c>
      <c r="CC109" t="b">
        <v>1</v>
      </c>
      <c r="CD109" t="s">
        <v>2409</v>
      </c>
      <c r="CE109" s="1482">
        <v>45880.732048611113</v>
      </c>
    </row>
    <row r="110" spans="1:83" ht="270" x14ac:dyDescent="0.25">
      <c r="A110">
        <v>2020</v>
      </c>
      <c r="B110" t="s">
        <v>1205</v>
      </c>
      <c r="C110" t="s">
        <v>60</v>
      </c>
      <c r="D110" t="s">
        <v>2410</v>
      </c>
      <c r="E110" t="s">
        <v>61</v>
      </c>
      <c r="F110" t="s">
        <v>325</v>
      </c>
      <c r="G110" t="s">
        <v>36</v>
      </c>
      <c r="H110" t="s">
        <v>59</v>
      </c>
      <c r="I110">
        <v>43755</v>
      </c>
      <c r="J110">
        <v>43907</v>
      </c>
      <c r="K110">
        <v>43906</v>
      </c>
      <c r="L110">
        <v>1</v>
      </c>
      <c r="N110" t="s">
        <v>120</v>
      </c>
      <c r="O110">
        <v>43906</v>
      </c>
      <c r="P110" t="s">
        <v>739</v>
      </c>
      <c r="Q110">
        <v>30543.625800000002</v>
      </c>
      <c r="R110">
        <v>0.09</v>
      </c>
      <c r="S110" t="s">
        <v>709</v>
      </c>
      <c r="T110">
        <v>42504</v>
      </c>
      <c r="U110" t="s">
        <v>709</v>
      </c>
      <c r="V110">
        <v>687</v>
      </c>
      <c r="X110">
        <v>329230.81</v>
      </c>
      <c r="Y110">
        <v>10675.98</v>
      </c>
      <c r="Z110">
        <v>10142.81</v>
      </c>
      <c r="AA110">
        <v>339373.62</v>
      </c>
      <c r="AM110" t="s">
        <v>116</v>
      </c>
      <c r="AN110">
        <v>44063</v>
      </c>
      <c r="AO110">
        <v>189214</v>
      </c>
      <c r="AP110">
        <v>332285.09999999998</v>
      </c>
      <c r="AR110">
        <v>7557</v>
      </c>
      <c r="AS110">
        <v>339842.1</v>
      </c>
      <c r="AT110">
        <v>468.48</v>
      </c>
      <c r="AU110">
        <v>42.163200000000003</v>
      </c>
      <c r="AV110">
        <v>1605</v>
      </c>
      <c r="AW110" s="4" t="s">
        <v>2411</v>
      </c>
      <c r="AX110">
        <v>42.163200000000003</v>
      </c>
      <c r="AY110">
        <v>44501</v>
      </c>
      <c r="BA110" t="s">
        <v>2412</v>
      </c>
      <c r="BB110" t="s">
        <v>2413</v>
      </c>
      <c r="BI110" t="s">
        <v>709</v>
      </c>
      <c r="BJ110" t="s">
        <v>709</v>
      </c>
      <c r="BK110" t="s">
        <v>709</v>
      </c>
      <c r="BL110" t="s">
        <v>116</v>
      </c>
      <c r="BM110" t="s">
        <v>709</v>
      </c>
      <c r="BN110" t="s">
        <v>709</v>
      </c>
      <c r="BO110" t="s">
        <v>709</v>
      </c>
      <c r="BP110" t="s">
        <v>709</v>
      </c>
      <c r="BQ110">
        <v>464</v>
      </c>
      <c r="BR110" t="s">
        <v>709</v>
      </c>
      <c r="BS110">
        <v>223</v>
      </c>
      <c r="BT110" t="s">
        <v>745</v>
      </c>
      <c r="BU110" t="s">
        <v>709</v>
      </c>
      <c r="BV110" t="s">
        <v>745</v>
      </c>
      <c r="BW110" t="s">
        <v>709</v>
      </c>
      <c r="BX110" t="s">
        <v>745</v>
      </c>
      <c r="BY110" t="s">
        <v>745</v>
      </c>
      <c r="BZ110" t="s">
        <v>709</v>
      </c>
      <c r="CB110">
        <v>108</v>
      </c>
      <c r="CC110" t="b">
        <v>1</v>
      </c>
      <c r="CD110" t="s">
        <v>2414</v>
      </c>
      <c r="CE110" s="1482">
        <v>45880.732048611113</v>
      </c>
    </row>
    <row r="111" spans="1:83" x14ac:dyDescent="0.25">
      <c r="A111">
        <v>2020</v>
      </c>
      <c r="B111" t="s">
        <v>4</v>
      </c>
      <c r="C111" t="s">
        <v>124</v>
      </c>
      <c r="D111" t="s">
        <v>2415</v>
      </c>
      <c r="E111" t="s">
        <v>125</v>
      </c>
      <c r="F111" t="s">
        <v>325</v>
      </c>
      <c r="G111" t="s">
        <v>40</v>
      </c>
      <c r="H111" t="s">
        <v>59</v>
      </c>
      <c r="I111">
        <v>43784</v>
      </c>
      <c r="J111">
        <v>43914</v>
      </c>
      <c r="K111">
        <v>43906</v>
      </c>
      <c r="L111">
        <v>8</v>
      </c>
      <c r="N111" t="s">
        <v>120</v>
      </c>
      <c r="O111">
        <v>43906</v>
      </c>
      <c r="P111" t="s">
        <v>739</v>
      </c>
      <c r="Q111">
        <v>8294.5810000000001</v>
      </c>
      <c r="R111">
        <v>0.1</v>
      </c>
      <c r="S111" t="s">
        <v>709</v>
      </c>
      <c r="T111" t="s">
        <v>709</v>
      </c>
      <c r="U111" t="s">
        <v>709</v>
      </c>
      <c r="V111">
        <v>773</v>
      </c>
      <c r="X111">
        <v>74549.88</v>
      </c>
      <c r="Y111">
        <v>12012.42</v>
      </c>
      <c r="Z111">
        <v>8395.93</v>
      </c>
      <c r="AA111">
        <v>82945.81</v>
      </c>
      <c r="AM111" t="s">
        <v>116</v>
      </c>
      <c r="AN111">
        <v>43957</v>
      </c>
      <c r="AO111">
        <v>189317</v>
      </c>
      <c r="AP111">
        <v>73589.05</v>
      </c>
      <c r="AQ111">
        <v>12012.42</v>
      </c>
      <c r="AR111">
        <v>8879.66</v>
      </c>
      <c r="AS111">
        <v>82468.710000000006</v>
      </c>
      <c r="AT111">
        <v>-477.1</v>
      </c>
      <c r="AU111">
        <v>-47.71</v>
      </c>
      <c r="AV111" t="s">
        <v>709</v>
      </c>
      <c r="AW111" t="s">
        <v>2416</v>
      </c>
      <c r="AX111">
        <v>-47.71</v>
      </c>
      <c r="AY111">
        <v>44501</v>
      </c>
      <c r="BA111" t="s">
        <v>2417</v>
      </c>
      <c r="BB111" t="s">
        <v>2418</v>
      </c>
      <c r="BI111" t="s">
        <v>709</v>
      </c>
      <c r="BJ111" t="s">
        <v>709</v>
      </c>
      <c r="BK111" t="s">
        <v>709</v>
      </c>
      <c r="BL111" t="s">
        <v>116</v>
      </c>
      <c r="BM111" t="s">
        <v>709</v>
      </c>
      <c r="BN111" t="s">
        <v>709</v>
      </c>
      <c r="BO111" t="s">
        <v>709</v>
      </c>
      <c r="BP111" t="s">
        <v>709</v>
      </c>
      <c r="BQ111" t="s">
        <v>709</v>
      </c>
      <c r="BR111" t="s">
        <v>709</v>
      </c>
      <c r="BS111">
        <v>773</v>
      </c>
      <c r="BT111" t="s">
        <v>709</v>
      </c>
      <c r="BU111" t="s">
        <v>709</v>
      </c>
      <c r="BV111" t="s">
        <v>709</v>
      </c>
      <c r="BW111" t="s">
        <v>709</v>
      </c>
      <c r="BX111" t="s">
        <v>709</v>
      </c>
      <c r="BY111" t="s">
        <v>709</v>
      </c>
      <c r="BZ111" t="s">
        <v>709</v>
      </c>
      <c r="CB111">
        <v>109</v>
      </c>
      <c r="CC111" t="b">
        <v>1</v>
      </c>
      <c r="CD111" t="s">
        <v>2419</v>
      </c>
      <c r="CE111" s="1482">
        <v>45880.732048611113</v>
      </c>
    </row>
    <row r="112" spans="1:83" x14ac:dyDescent="0.25">
      <c r="A112">
        <v>2020</v>
      </c>
      <c r="B112" t="s">
        <v>771</v>
      </c>
      <c r="C112" t="s">
        <v>2302</v>
      </c>
      <c r="D112" t="s">
        <v>2303</v>
      </c>
      <c r="E112" t="s">
        <v>2304</v>
      </c>
      <c r="F112" t="s">
        <v>919</v>
      </c>
      <c r="G112" t="s">
        <v>1896</v>
      </c>
      <c r="H112" t="s">
        <v>2051</v>
      </c>
      <c r="I112">
        <v>43613</v>
      </c>
      <c r="J112" t="s">
        <v>2052</v>
      </c>
      <c r="K112">
        <v>43909</v>
      </c>
      <c r="L112">
        <v>296</v>
      </c>
      <c r="M112" t="s">
        <v>2420</v>
      </c>
      <c r="N112" t="s">
        <v>120</v>
      </c>
      <c r="O112">
        <v>43909</v>
      </c>
      <c r="P112" t="s">
        <v>120</v>
      </c>
      <c r="Q112">
        <v>1920</v>
      </c>
      <c r="R112" t="s">
        <v>1922</v>
      </c>
      <c r="S112" t="s">
        <v>709</v>
      </c>
      <c r="T112" t="s">
        <v>709</v>
      </c>
      <c r="U112">
        <v>1920</v>
      </c>
      <c r="AM112" t="s">
        <v>709</v>
      </c>
      <c r="AY112" t="s">
        <v>29</v>
      </c>
      <c r="BA112">
        <v>1</v>
      </c>
      <c r="BB112" s="4"/>
      <c r="BI112" t="s">
        <v>709</v>
      </c>
      <c r="BJ112" t="s">
        <v>709</v>
      </c>
      <c r="BK112" t="s">
        <v>709</v>
      </c>
      <c r="BL112" t="s">
        <v>116</v>
      </c>
      <c r="BM112" t="s">
        <v>709</v>
      </c>
      <c r="BN112" t="s">
        <v>709</v>
      </c>
      <c r="BO112" t="s">
        <v>709</v>
      </c>
      <c r="BP112">
        <v>4592</v>
      </c>
      <c r="BQ112">
        <v>1768</v>
      </c>
      <c r="BR112">
        <v>22</v>
      </c>
      <c r="BS112">
        <v>15367</v>
      </c>
      <c r="BT112" t="s">
        <v>709</v>
      </c>
      <c r="BU112" t="s">
        <v>709</v>
      </c>
      <c r="BV112" t="s">
        <v>745</v>
      </c>
      <c r="BW112" t="s">
        <v>709</v>
      </c>
      <c r="BX112" t="s">
        <v>745</v>
      </c>
      <c r="BY112" t="s">
        <v>745</v>
      </c>
      <c r="BZ112" t="s">
        <v>709</v>
      </c>
      <c r="CB112">
        <v>110</v>
      </c>
      <c r="CC112" t="b">
        <v>1</v>
      </c>
      <c r="CD112" t="s">
        <v>2421</v>
      </c>
      <c r="CE112" s="1482">
        <v>45880.732060185182</v>
      </c>
    </row>
    <row r="113" spans="1:83" ht="60" x14ac:dyDescent="0.25">
      <c r="A113">
        <v>2020</v>
      </c>
      <c r="B113" t="s">
        <v>771</v>
      </c>
      <c r="C113" t="s">
        <v>2422</v>
      </c>
      <c r="D113" t="s">
        <v>2423</v>
      </c>
      <c r="E113" t="s">
        <v>149</v>
      </c>
      <c r="F113" t="s">
        <v>325</v>
      </c>
      <c r="G113" t="s">
        <v>1882</v>
      </c>
      <c r="H113" t="s">
        <v>59</v>
      </c>
      <c r="I113">
        <v>43787</v>
      </c>
      <c r="J113">
        <v>43893</v>
      </c>
      <c r="K113">
        <v>43910</v>
      </c>
      <c r="L113">
        <v>0</v>
      </c>
      <c r="M113" t="s">
        <v>2424</v>
      </c>
      <c r="N113" t="s">
        <v>120</v>
      </c>
      <c r="O113">
        <v>43910</v>
      </c>
      <c r="P113" t="s">
        <v>120</v>
      </c>
      <c r="Q113">
        <v>22901.25</v>
      </c>
      <c r="R113" t="s">
        <v>2087</v>
      </c>
      <c r="S113" t="s">
        <v>709</v>
      </c>
      <c r="T113" t="s">
        <v>709</v>
      </c>
      <c r="U113" t="s">
        <v>709</v>
      </c>
      <c r="V113">
        <v>14775</v>
      </c>
      <c r="Y113" t="s">
        <v>115</v>
      </c>
      <c r="AM113" t="s">
        <v>709</v>
      </c>
      <c r="AY113" t="s">
        <v>29</v>
      </c>
      <c r="BA113" t="s">
        <v>2425</v>
      </c>
      <c r="BB113" s="4" t="s">
        <v>2426</v>
      </c>
      <c r="BI113" t="s">
        <v>709</v>
      </c>
      <c r="BJ113" t="s">
        <v>709</v>
      </c>
      <c r="BK113" t="s">
        <v>709</v>
      </c>
      <c r="BL113" t="s">
        <v>116</v>
      </c>
      <c r="BM113" t="s">
        <v>709</v>
      </c>
      <c r="BN113" t="s">
        <v>709</v>
      </c>
      <c r="BO113" t="s">
        <v>709</v>
      </c>
      <c r="BP113" t="s">
        <v>709</v>
      </c>
      <c r="BQ113" t="s">
        <v>709</v>
      </c>
      <c r="BR113">
        <v>4569</v>
      </c>
      <c r="BS113">
        <v>10206</v>
      </c>
      <c r="BT113" t="s">
        <v>709</v>
      </c>
      <c r="BU113" t="s">
        <v>709</v>
      </c>
      <c r="BV113" t="s">
        <v>709</v>
      </c>
      <c r="BW113" t="s">
        <v>709</v>
      </c>
      <c r="BX113" t="s">
        <v>709</v>
      </c>
      <c r="BY113" t="s">
        <v>709</v>
      </c>
      <c r="BZ113" t="s">
        <v>709</v>
      </c>
      <c r="CB113">
        <v>111</v>
      </c>
      <c r="CC113" t="b">
        <v>1</v>
      </c>
      <c r="CD113" t="s">
        <v>2427</v>
      </c>
      <c r="CE113" s="1482">
        <v>45880.732060185182</v>
      </c>
    </row>
    <row r="114" spans="1:83" x14ac:dyDescent="0.25">
      <c r="A114">
        <v>2020</v>
      </c>
      <c r="B114" t="s">
        <v>4</v>
      </c>
      <c r="C114" t="s">
        <v>2428</v>
      </c>
      <c r="D114" t="s">
        <v>2429</v>
      </c>
      <c r="E114" t="s">
        <v>2430</v>
      </c>
      <c r="F114" t="s">
        <v>919</v>
      </c>
      <c r="G114" t="s">
        <v>40</v>
      </c>
      <c r="H114" t="s">
        <v>59</v>
      </c>
      <c r="I114">
        <v>43858</v>
      </c>
      <c r="J114">
        <v>43910</v>
      </c>
      <c r="K114">
        <v>43910</v>
      </c>
      <c r="L114">
        <v>0</v>
      </c>
      <c r="N114" t="s">
        <v>120</v>
      </c>
      <c r="O114">
        <v>43910</v>
      </c>
      <c r="P114" t="s">
        <v>739</v>
      </c>
      <c r="Q114">
        <v>8013.9989999999998</v>
      </c>
      <c r="R114">
        <v>0.1</v>
      </c>
      <c r="S114" t="s">
        <v>709</v>
      </c>
      <c r="T114" t="s">
        <v>709</v>
      </c>
      <c r="U114" t="s">
        <v>709</v>
      </c>
      <c r="V114">
        <v>466</v>
      </c>
      <c r="X114">
        <v>70884.479999999996</v>
      </c>
      <c r="Y114">
        <v>0</v>
      </c>
      <c r="Z114">
        <v>9255.51</v>
      </c>
      <c r="AA114">
        <v>80139.990000000005</v>
      </c>
      <c r="AM114" t="s">
        <v>116</v>
      </c>
      <c r="AN114">
        <v>44027</v>
      </c>
      <c r="AO114">
        <v>189244</v>
      </c>
      <c r="AP114">
        <v>80852.39</v>
      </c>
      <c r="AR114">
        <v>11753.43</v>
      </c>
      <c r="AS114">
        <v>92605.82</v>
      </c>
      <c r="AT114">
        <v>12465.83</v>
      </c>
      <c r="AU114">
        <v>1246.5830000000001</v>
      </c>
      <c r="AV114" t="s">
        <v>709</v>
      </c>
      <c r="AW114" t="s">
        <v>2431</v>
      </c>
      <c r="AX114">
        <v>1246.5830000000001</v>
      </c>
      <c r="AY114">
        <v>44501</v>
      </c>
      <c r="BA114" t="s">
        <v>2432</v>
      </c>
      <c r="BB114" t="s">
        <v>2288</v>
      </c>
      <c r="BI114" t="s">
        <v>709</v>
      </c>
      <c r="BJ114" t="s">
        <v>709</v>
      </c>
      <c r="BK114" t="s">
        <v>709</v>
      </c>
      <c r="BL114" t="s">
        <v>116</v>
      </c>
      <c r="BM114" t="s">
        <v>709</v>
      </c>
      <c r="BN114" t="s">
        <v>709</v>
      </c>
      <c r="BO114" t="s">
        <v>709</v>
      </c>
      <c r="BP114" t="s">
        <v>709</v>
      </c>
      <c r="BQ114">
        <v>466</v>
      </c>
      <c r="BR114" t="s">
        <v>709</v>
      </c>
      <c r="BS114" t="s">
        <v>709</v>
      </c>
      <c r="BT114" t="s">
        <v>709</v>
      </c>
      <c r="BU114" t="s">
        <v>709</v>
      </c>
      <c r="BV114" t="s">
        <v>709</v>
      </c>
      <c r="BW114" t="s">
        <v>709</v>
      </c>
      <c r="BX114" t="s">
        <v>709</v>
      </c>
      <c r="BY114" t="s">
        <v>709</v>
      </c>
      <c r="BZ114" t="s">
        <v>709</v>
      </c>
      <c r="CB114">
        <v>112</v>
      </c>
      <c r="CC114" t="b">
        <v>1</v>
      </c>
      <c r="CD114" t="s">
        <v>2433</v>
      </c>
      <c r="CE114" s="1482">
        <v>45880.732071759259</v>
      </c>
    </row>
    <row r="115" spans="1:83" x14ac:dyDescent="0.25">
      <c r="A115">
        <v>2020</v>
      </c>
      <c r="B115" t="s">
        <v>771</v>
      </c>
      <c r="C115" t="s">
        <v>2354</v>
      </c>
      <c r="D115" t="s">
        <v>2355</v>
      </c>
      <c r="E115" t="s">
        <v>149</v>
      </c>
      <c r="F115" t="s">
        <v>325</v>
      </c>
      <c r="G115" t="s">
        <v>1882</v>
      </c>
      <c r="H115" t="s">
        <v>2051</v>
      </c>
      <c r="I115">
        <v>43787</v>
      </c>
      <c r="J115" t="s">
        <v>2052</v>
      </c>
      <c r="K115">
        <v>43914</v>
      </c>
      <c r="L115">
        <v>127</v>
      </c>
      <c r="M115" t="s">
        <v>2434</v>
      </c>
      <c r="N115" t="s">
        <v>120</v>
      </c>
      <c r="O115">
        <v>43922</v>
      </c>
      <c r="P115" t="s">
        <v>120</v>
      </c>
      <c r="Q115">
        <v>4430</v>
      </c>
      <c r="R115" t="s">
        <v>1922</v>
      </c>
      <c r="S115" t="s">
        <v>709</v>
      </c>
      <c r="T115" t="s">
        <v>709</v>
      </c>
      <c r="U115">
        <v>4430</v>
      </c>
      <c r="AM115" t="s">
        <v>709</v>
      </c>
      <c r="AY115" t="s">
        <v>29</v>
      </c>
      <c r="BA115">
        <v>1</v>
      </c>
      <c r="BI115" t="s">
        <v>709</v>
      </c>
      <c r="BJ115" t="s">
        <v>709</v>
      </c>
      <c r="BK115" t="s">
        <v>709</v>
      </c>
      <c r="BL115" t="s">
        <v>116</v>
      </c>
      <c r="BM115" t="s">
        <v>709</v>
      </c>
      <c r="BN115" t="s">
        <v>709</v>
      </c>
      <c r="BO115" t="s">
        <v>709</v>
      </c>
      <c r="BP115">
        <v>115</v>
      </c>
      <c r="BQ115">
        <v>1131</v>
      </c>
      <c r="BR115">
        <v>2606</v>
      </c>
      <c r="BS115">
        <v>6447</v>
      </c>
      <c r="BT115" t="s">
        <v>709</v>
      </c>
      <c r="BU115" t="s">
        <v>709</v>
      </c>
      <c r="BV115" t="s">
        <v>709</v>
      </c>
      <c r="BW115" t="s">
        <v>709</v>
      </c>
      <c r="BX115" t="s">
        <v>709</v>
      </c>
      <c r="BY115" t="s">
        <v>709</v>
      </c>
      <c r="BZ115" t="s">
        <v>709</v>
      </c>
      <c r="CB115">
        <v>113</v>
      </c>
      <c r="CC115" t="b">
        <v>1</v>
      </c>
      <c r="CD115" t="s">
        <v>2435</v>
      </c>
      <c r="CE115" s="1482">
        <v>45880.732071759259</v>
      </c>
    </row>
    <row r="116" spans="1:83" x14ac:dyDescent="0.25">
      <c r="A116">
        <v>2020</v>
      </c>
      <c r="B116" t="s">
        <v>771</v>
      </c>
      <c r="C116" t="s">
        <v>2377</v>
      </c>
      <c r="D116" t="s">
        <v>2378</v>
      </c>
      <c r="E116" t="s">
        <v>149</v>
      </c>
      <c r="F116" t="s">
        <v>325</v>
      </c>
      <c r="G116" t="s">
        <v>1882</v>
      </c>
      <c r="H116" t="s">
        <v>2051</v>
      </c>
      <c r="I116">
        <v>43787</v>
      </c>
      <c r="J116" t="s">
        <v>2052</v>
      </c>
      <c r="K116">
        <v>43914</v>
      </c>
      <c r="L116">
        <v>127</v>
      </c>
      <c r="M116" t="s">
        <v>2434</v>
      </c>
      <c r="N116" t="s">
        <v>120</v>
      </c>
      <c r="O116">
        <v>43922</v>
      </c>
      <c r="P116" t="s">
        <v>120</v>
      </c>
      <c r="Q116">
        <v>3077.5</v>
      </c>
      <c r="R116" t="s">
        <v>1922</v>
      </c>
      <c r="S116" t="s">
        <v>709</v>
      </c>
      <c r="T116" t="s">
        <v>709</v>
      </c>
      <c r="U116">
        <v>3077.5</v>
      </c>
      <c r="AM116" t="s">
        <v>709</v>
      </c>
      <c r="AY116" t="s">
        <v>29</v>
      </c>
      <c r="BA116">
        <v>1</v>
      </c>
      <c r="BI116" t="s">
        <v>709</v>
      </c>
      <c r="BJ116" t="s">
        <v>709</v>
      </c>
      <c r="BK116" t="s">
        <v>709</v>
      </c>
      <c r="BL116" t="s">
        <v>116</v>
      </c>
      <c r="BM116" t="s">
        <v>709</v>
      </c>
      <c r="BN116" t="s">
        <v>709</v>
      </c>
      <c r="BO116" t="s">
        <v>709</v>
      </c>
      <c r="BP116" t="s">
        <v>709</v>
      </c>
      <c r="BQ116">
        <v>1676</v>
      </c>
      <c r="BR116">
        <v>600</v>
      </c>
      <c r="BS116">
        <v>8750</v>
      </c>
      <c r="BT116" t="s">
        <v>709</v>
      </c>
      <c r="BU116" t="s">
        <v>709</v>
      </c>
      <c r="BV116" t="s">
        <v>709</v>
      </c>
      <c r="BW116" t="s">
        <v>709</v>
      </c>
      <c r="BX116" t="s">
        <v>709</v>
      </c>
      <c r="BY116" t="s">
        <v>709</v>
      </c>
      <c r="BZ116" t="s">
        <v>709</v>
      </c>
      <c r="CB116">
        <v>114</v>
      </c>
      <c r="CC116" t="b">
        <v>1</v>
      </c>
      <c r="CD116" t="s">
        <v>2436</v>
      </c>
      <c r="CE116" s="1482">
        <v>45880.732071759259</v>
      </c>
    </row>
    <row r="117" spans="1:83" x14ac:dyDescent="0.25">
      <c r="A117">
        <v>2020</v>
      </c>
      <c r="B117" t="s">
        <v>4</v>
      </c>
      <c r="C117" t="s">
        <v>2437</v>
      </c>
      <c r="D117" t="s">
        <v>2438</v>
      </c>
      <c r="E117" t="s">
        <v>232</v>
      </c>
      <c r="F117" t="s">
        <v>919</v>
      </c>
      <c r="G117" t="s">
        <v>1882</v>
      </c>
      <c r="H117" t="s">
        <v>59</v>
      </c>
      <c r="I117">
        <v>43838</v>
      </c>
      <c r="J117">
        <v>43929</v>
      </c>
      <c r="K117">
        <v>43917</v>
      </c>
      <c r="L117">
        <v>12</v>
      </c>
      <c r="N117" t="s">
        <v>120</v>
      </c>
      <c r="O117">
        <v>43922</v>
      </c>
      <c r="P117" t="s">
        <v>739</v>
      </c>
      <c r="Q117">
        <v>8549.2880000000005</v>
      </c>
      <c r="R117">
        <v>0.1</v>
      </c>
      <c r="S117" t="s">
        <v>709</v>
      </c>
      <c r="T117" t="s">
        <v>709</v>
      </c>
      <c r="U117" t="s">
        <v>709</v>
      </c>
      <c r="V117">
        <v>578</v>
      </c>
      <c r="X117">
        <v>75579.17</v>
      </c>
      <c r="Y117">
        <v>10675.98</v>
      </c>
      <c r="Z117">
        <v>9913.7099999999991</v>
      </c>
      <c r="AA117">
        <v>85492.88</v>
      </c>
      <c r="AM117" t="s">
        <v>116</v>
      </c>
      <c r="AN117">
        <v>43969</v>
      </c>
      <c r="AO117">
        <v>183337</v>
      </c>
      <c r="AP117">
        <v>77898.44</v>
      </c>
      <c r="AQ117">
        <v>0</v>
      </c>
      <c r="AR117">
        <v>9913.77</v>
      </c>
      <c r="AS117">
        <v>87812.21</v>
      </c>
      <c r="AT117">
        <v>2319.33</v>
      </c>
      <c r="AU117">
        <v>231.93299999999999</v>
      </c>
      <c r="AV117" t="s">
        <v>709</v>
      </c>
      <c r="AW117" t="s">
        <v>2439</v>
      </c>
      <c r="AX117">
        <v>231.93299999999999</v>
      </c>
      <c r="AY117">
        <v>44501</v>
      </c>
      <c r="BA117" t="s">
        <v>2440</v>
      </c>
      <c r="BB117" t="s">
        <v>2441</v>
      </c>
      <c r="BI117" t="s">
        <v>709</v>
      </c>
      <c r="BJ117" t="s">
        <v>709</v>
      </c>
      <c r="BK117" t="s">
        <v>709</v>
      </c>
      <c r="BL117" t="s">
        <v>116</v>
      </c>
      <c r="BM117" t="s">
        <v>709</v>
      </c>
      <c r="BN117" t="s">
        <v>709</v>
      </c>
      <c r="BO117" t="s">
        <v>709</v>
      </c>
      <c r="BP117" t="s">
        <v>709</v>
      </c>
      <c r="BQ117" t="s">
        <v>709</v>
      </c>
      <c r="BR117">
        <v>578</v>
      </c>
      <c r="BS117" t="s">
        <v>709</v>
      </c>
      <c r="BT117" t="s">
        <v>709</v>
      </c>
      <c r="BU117" t="s">
        <v>709</v>
      </c>
      <c r="BV117" t="s">
        <v>709</v>
      </c>
      <c r="BW117" t="s">
        <v>709</v>
      </c>
      <c r="BX117" t="s">
        <v>709</v>
      </c>
      <c r="BY117" t="s">
        <v>709</v>
      </c>
      <c r="BZ117" t="s">
        <v>709</v>
      </c>
      <c r="CB117">
        <v>115</v>
      </c>
      <c r="CC117" t="b">
        <v>1</v>
      </c>
      <c r="CD117" t="s">
        <v>2442</v>
      </c>
      <c r="CE117" s="1482">
        <v>45880.732083333336</v>
      </c>
    </row>
    <row r="118" spans="1:83" x14ac:dyDescent="0.25">
      <c r="A118">
        <v>2020</v>
      </c>
      <c r="B118" t="s">
        <v>1073</v>
      </c>
      <c r="C118" t="s">
        <v>2443</v>
      </c>
      <c r="D118" t="s">
        <v>2444</v>
      </c>
      <c r="E118" t="s">
        <v>1522</v>
      </c>
      <c r="F118" t="s">
        <v>919</v>
      </c>
      <c r="G118" t="s">
        <v>1882</v>
      </c>
      <c r="H118" t="s">
        <v>59</v>
      </c>
      <c r="I118">
        <v>43852</v>
      </c>
      <c r="J118">
        <v>43892</v>
      </c>
      <c r="K118">
        <v>43923</v>
      </c>
      <c r="L118">
        <v>0</v>
      </c>
      <c r="M118" t="s">
        <v>2445</v>
      </c>
      <c r="N118" t="s">
        <v>120</v>
      </c>
      <c r="O118">
        <v>43923</v>
      </c>
      <c r="P118" t="s">
        <v>739</v>
      </c>
      <c r="Q118">
        <v>17506.5</v>
      </c>
      <c r="R118" t="s">
        <v>1922</v>
      </c>
      <c r="S118">
        <v>619</v>
      </c>
      <c r="T118" t="s">
        <v>709</v>
      </c>
      <c r="U118">
        <v>16887.5</v>
      </c>
      <c r="V118">
        <v>1461</v>
      </c>
      <c r="AM118" t="s">
        <v>709</v>
      </c>
      <c r="AY118" t="s">
        <v>29</v>
      </c>
      <c r="BA118" t="s">
        <v>2446</v>
      </c>
      <c r="BB118" t="s">
        <v>2447</v>
      </c>
      <c r="BI118" t="s">
        <v>709</v>
      </c>
      <c r="BJ118" t="s">
        <v>709</v>
      </c>
      <c r="BK118" t="s">
        <v>709</v>
      </c>
      <c r="BL118" t="s">
        <v>116</v>
      </c>
      <c r="BM118" t="s">
        <v>709</v>
      </c>
      <c r="BN118" t="s">
        <v>709</v>
      </c>
      <c r="BO118" t="s">
        <v>709</v>
      </c>
      <c r="BP118" t="s">
        <v>709</v>
      </c>
      <c r="BQ118" t="s">
        <v>709</v>
      </c>
      <c r="BR118">
        <v>1461</v>
      </c>
      <c r="BS118" t="s">
        <v>709</v>
      </c>
      <c r="BT118" t="s">
        <v>745</v>
      </c>
      <c r="BU118" t="s">
        <v>709</v>
      </c>
      <c r="BV118" t="s">
        <v>745</v>
      </c>
      <c r="BW118" t="s">
        <v>709</v>
      </c>
      <c r="BX118" t="s">
        <v>745</v>
      </c>
      <c r="BY118" t="s">
        <v>745</v>
      </c>
      <c r="BZ118" t="s">
        <v>709</v>
      </c>
      <c r="CB118">
        <v>116</v>
      </c>
      <c r="CC118" t="b">
        <v>1</v>
      </c>
      <c r="CD118" t="s">
        <v>2448</v>
      </c>
      <c r="CE118" s="1482">
        <v>45880.732083333336</v>
      </c>
    </row>
    <row r="119" spans="1:83" x14ac:dyDescent="0.25">
      <c r="A119">
        <v>2020</v>
      </c>
      <c r="B119" t="s">
        <v>771</v>
      </c>
      <c r="C119" t="s">
        <v>2359</v>
      </c>
      <c r="D119" t="s">
        <v>2360</v>
      </c>
      <c r="E119" t="s">
        <v>2361</v>
      </c>
      <c r="F119" t="s">
        <v>919</v>
      </c>
      <c r="G119" t="s">
        <v>1882</v>
      </c>
      <c r="H119" t="s">
        <v>2051</v>
      </c>
      <c r="I119">
        <v>43783</v>
      </c>
      <c r="J119" t="s">
        <v>2052</v>
      </c>
      <c r="K119">
        <v>43927</v>
      </c>
      <c r="L119">
        <v>144</v>
      </c>
      <c r="M119" t="s">
        <v>2449</v>
      </c>
      <c r="N119" t="s">
        <v>120</v>
      </c>
      <c r="O119">
        <v>43927</v>
      </c>
      <c r="P119" t="s">
        <v>120</v>
      </c>
      <c r="Q119">
        <v>3057.5</v>
      </c>
      <c r="R119" t="s">
        <v>1922</v>
      </c>
      <c r="S119" t="s">
        <v>709</v>
      </c>
      <c r="T119" t="s">
        <v>709</v>
      </c>
      <c r="U119">
        <v>3057.5</v>
      </c>
      <c r="X119">
        <v>2444997.73</v>
      </c>
      <c r="Y119">
        <v>347831.82</v>
      </c>
      <c r="Z119">
        <v>254842.56</v>
      </c>
      <c r="AA119">
        <v>2352008.4700000002</v>
      </c>
      <c r="AM119" t="s">
        <v>709</v>
      </c>
      <c r="AY119" t="s">
        <v>29</v>
      </c>
      <c r="BA119">
        <v>1</v>
      </c>
      <c r="BI119" t="s">
        <v>709</v>
      </c>
      <c r="BJ119" t="s">
        <v>709</v>
      </c>
      <c r="BK119" t="s">
        <v>709</v>
      </c>
      <c r="BL119" t="s">
        <v>116</v>
      </c>
      <c r="BM119" t="s">
        <v>709</v>
      </c>
      <c r="BN119" t="s">
        <v>709</v>
      </c>
      <c r="BO119" t="s">
        <v>709</v>
      </c>
      <c r="BP119" t="s">
        <v>709</v>
      </c>
      <c r="BQ119" t="s">
        <v>709</v>
      </c>
      <c r="BR119" t="s">
        <v>709</v>
      </c>
      <c r="BS119">
        <v>22573</v>
      </c>
      <c r="BT119" t="s">
        <v>709</v>
      </c>
      <c r="BU119" t="s">
        <v>709</v>
      </c>
      <c r="BV119" t="s">
        <v>709</v>
      </c>
      <c r="BW119" t="s">
        <v>709</v>
      </c>
      <c r="BX119" t="s">
        <v>709</v>
      </c>
      <c r="BY119" t="s">
        <v>709</v>
      </c>
      <c r="BZ119" t="s">
        <v>709</v>
      </c>
      <c r="CB119">
        <v>117</v>
      </c>
      <c r="CC119" t="b">
        <v>1</v>
      </c>
      <c r="CD119" t="s">
        <v>2450</v>
      </c>
      <c r="CE119" s="1482">
        <v>45880.732094907406</v>
      </c>
    </row>
    <row r="120" spans="1:83" x14ac:dyDescent="0.25">
      <c r="A120">
        <v>2020</v>
      </c>
      <c r="B120" t="s">
        <v>771</v>
      </c>
      <c r="C120" t="s">
        <v>2403</v>
      </c>
      <c r="D120" t="s">
        <v>2451</v>
      </c>
      <c r="E120" t="s">
        <v>361</v>
      </c>
      <c r="F120" t="s">
        <v>325</v>
      </c>
      <c r="G120" t="s">
        <v>1896</v>
      </c>
      <c r="H120" t="s">
        <v>59</v>
      </c>
      <c r="I120">
        <v>43809</v>
      </c>
      <c r="J120">
        <v>43921</v>
      </c>
      <c r="K120">
        <v>43928</v>
      </c>
      <c r="L120">
        <v>0</v>
      </c>
      <c r="M120" t="s">
        <v>2452</v>
      </c>
      <c r="N120" t="s">
        <v>120</v>
      </c>
      <c r="O120">
        <v>43928</v>
      </c>
      <c r="P120" t="s">
        <v>120</v>
      </c>
      <c r="Q120">
        <v>36118.1</v>
      </c>
      <c r="R120" t="s">
        <v>2087</v>
      </c>
      <c r="S120" t="s">
        <v>709</v>
      </c>
      <c r="T120" t="s">
        <v>709</v>
      </c>
      <c r="U120" t="s">
        <v>709</v>
      </c>
      <c r="V120">
        <v>23302</v>
      </c>
      <c r="AM120" t="s">
        <v>709</v>
      </c>
      <c r="AY120" t="s">
        <v>29</v>
      </c>
      <c r="BA120" t="s">
        <v>2405</v>
      </c>
      <c r="BB120" t="s">
        <v>2453</v>
      </c>
      <c r="BI120" t="s">
        <v>709</v>
      </c>
      <c r="BJ120" t="s">
        <v>709</v>
      </c>
      <c r="BK120" t="s">
        <v>709</v>
      </c>
      <c r="BL120" t="s">
        <v>116</v>
      </c>
      <c r="BM120" t="s">
        <v>709</v>
      </c>
      <c r="BN120" t="s">
        <v>709</v>
      </c>
      <c r="BO120" t="s">
        <v>709</v>
      </c>
      <c r="BP120" t="s">
        <v>709</v>
      </c>
      <c r="BQ120" t="s">
        <v>709</v>
      </c>
      <c r="BR120">
        <v>1855</v>
      </c>
      <c r="BS120">
        <v>10776</v>
      </c>
      <c r="BT120" t="s">
        <v>709</v>
      </c>
      <c r="BU120" t="s">
        <v>709</v>
      </c>
      <c r="BV120" t="s">
        <v>709</v>
      </c>
      <c r="BW120" t="s">
        <v>709</v>
      </c>
      <c r="BX120" t="s">
        <v>709</v>
      </c>
      <c r="BY120" t="s">
        <v>709</v>
      </c>
      <c r="BZ120" t="s">
        <v>709</v>
      </c>
      <c r="CB120">
        <v>118</v>
      </c>
      <c r="CC120" t="b">
        <v>1</v>
      </c>
      <c r="CD120" t="s">
        <v>2454</v>
      </c>
      <c r="CE120" s="1482">
        <v>45880.732094907406</v>
      </c>
    </row>
    <row r="121" spans="1:83" x14ac:dyDescent="0.25">
      <c r="A121">
        <v>2020</v>
      </c>
      <c r="B121" t="s">
        <v>4</v>
      </c>
      <c r="C121" t="s">
        <v>2455</v>
      </c>
      <c r="D121" t="s">
        <v>2456</v>
      </c>
      <c r="E121" t="s">
        <v>2457</v>
      </c>
      <c r="F121" t="s">
        <v>919</v>
      </c>
      <c r="G121" t="s">
        <v>40</v>
      </c>
      <c r="H121" t="s">
        <v>59</v>
      </c>
      <c r="I121">
        <v>43761</v>
      </c>
      <c r="J121">
        <v>43931</v>
      </c>
      <c r="K121">
        <v>43931</v>
      </c>
      <c r="L121">
        <v>0</v>
      </c>
      <c r="N121" t="s">
        <v>120</v>
      </c>
      <c r="O121">
        <v>43931</v>
      </c>
      <c r="P121" t="s">
        <v>739</v>
      </c>
      <c r="Q121">
        <v>79478.375</v>
      </c>
      <c r="R121">
        <v>0.1</v>
      </c>
      <c r="S121" t="s">
        <v>709</v>
      </c>
      <c r="T121" t="s">
        <v>709</v>
      </c>
      <c r="U121" t="s">
        <v>709</v>
      </c>
      <c r="V121">
        <v>3932</v>
      </c>
      <c r="X121">
        <v>591591.87</v>
      </c>
      <c r="Y121">
        <v>61103.28</v>
      </c>
      <c r="Z121">
        <v>203191.88</v>
      </c>
      <c r="AA121">
        <v>794783.75</v>
      </c>
      <c r="AM121" t="s">
        <v>116</v>
      </c>
      <c r="AN121">
        <v>44518</v>
      </c>
      <c r="AO121">
        <v>11038016</v>
      </c>
      <c r="AP121">
        <v>1013556.15</v>
      </c>
      <c r="AR121">
        <v>176930.11</v>
      </c>
      <c r="AS121">
        <v>1190486.26</v>
      </c>
      <c r="AT121">
        <v>395702.51</v>
      </c>
      <c r="AU121">
        <v>39570.250999999997</v>
      </c>
      <c r="AV121">
        <v>21770</v>
      </c>
      <c r="AW121" t="s">
        <v>2458</v>
      </c>
      <c r="AX121">
        <v>0</v>
      </c>
      <c r="AY121">
        <v>45008</v>
      </c>
      <c r="BA121" t="s">
        <v>2459</v>
      </c>
      <c r="BB121" t="s">
        <v>2288</v>
      </c>
      <c r="BI121" t="s">
        <v>709</v>
      </c>
      <c r="BJ121" t="s">
        <v>709</v>
      </c>
      <c r="BK121" t="s">
        <v>709</v>
      </c>
      <c r="BL121" t="s">
        <v>116</v>
      </c>
      <c r="BM121" t="s">
        <v>709</v>
      </c>
      <c r="BN121" t="s">
        <v>709</v>
      </c>
      <c r="BO121" t="s">
        <v>709</v>
      </c>
      <c r="BP121" t="s">
        <v>709</v>
      </c>
      <c r="BQ121">
        <v>3800</v>
      </c>
      <c r="BR121" t="s">
        <v>709</v>
      </c>
      <c r="BS121">
        <v>132</v>
      </c>
      <c r="BT121" t="s">
        <v>745</v>
      </c>
      <c r="BU121" t="s">
        <v>709</v>
      </c>
      <c r="BV121" t="s">
        <v>745</v>
      </c>
      <c r="BW121" t="s">
        <v>709</v>
      </c>
      <c r="BX121" t="s">
        <v>745</v>
      </c>
      <c r="BY121" t="s">
        <v>745</v>
      </c>
      <c r="BZ121" t="s">
        <v>709</v>
      </c>
      <c r="CB121">
        <v>119</v>
      </c>
      <c r="CC121" t="b">
        <v>1</v>
      </c>
      <c r="CD121" t="s">
        <v>2460</v>
      </c>
      <c r="CE121" s="1482">
        <v>45880.732106481482</v>
      </c>
    </row>
    <row r="122" spans="1:83" x14ac:dyDescent="0.25">
      <c r="A122">
        <v>2020</v>
      </c>
      <c r="B122" t="s">
        <v>4</v>
      </c>
      <c r="C122" t="s">
        <v>2461</v>
      </c>
      <c r="D122" t="s">
        <v>115</v>
      </c>
      <c r="E122" t="s">
        <v>2126</v>
      </c>
      <c r="F122" t="s">
        <v>325</v>
      </c>
      <c r="G122" t="s">
        <v>1896</v>
      </c>
      <c r="H122" t="s">
        <v>1681</v>
      </c>
      <c r="I122">
        <v>43871</v>
      </c>
      <c r="J122">
        <v>43941</v>
      </c>
      <c r="K122">
        <v>43935</v>
      </c>
      <c r="L122">
        <v>6</v>
      </c>
      <c r="M122" t="s">
        <v>2462</v>
      </c>
      <c r="N122" t="s">
        <v>120</v>
      </c>
      <c r="O122">
        <v>43935</v>
      </c>
      <c r="P122" t="s">
        <v>739</v>
      </c>
      <c r="Q122" t="s">
        <v>115</v>
      </c>
      <c r="R122" t="s">
        <v>115</v>
      </c>
      <c r="AA122">
        <v>0</v>
      </c>
      <c r="AM122" t="s">
        <v>709</v>
      </c>
      <c r="AW122" s="4"/>
      <c r="AY122" t="s">
        <v>29</v>
      </c>
      <c r="BA122" t="s">
        <v>2463</v>
      </c>
      <c r="BB122" t="s">
        <v>2464</v>
      </c>
      <c r="CB122">
        <v>120</v>
      </c>
      <c r="CC122" t="b">
        <v>1</v>
      </c>
      <c r="CD122" t="s">
        <v>2465</v>
      </c>
      <c r="CE122" s="1482">
        <v>45880.732106481482</v>
      </c>
    </row>
    <row r="123" spans="1:83" ht="120" x14ac:dyDescent="0.25">
      <c r="A123">
        <v>2020</v>
      </c>
      <c r="B123" t="s">
        <v>4</v>
      </c>
      <c r="C123" t="s">
        <v>117</v>
      </c>
      <c r="D123" t="s">
        <v>2466</v>
      </c>
      <c r="E123" t="s">
        <v>118</v>
      </c>
      <c r="F123" t="s">
        <v>325</v>
      </c>
      <c r="G123" t="s">
        <v>36</v>
      </c>
      <c r="H123" t="s">
        <v>59</v>
      </c>
      <c r="I123">
        <v>43490</v>
      </c>
      <c r="J123">
        <v>43945</v>
      </c>
      <c r="K123">
        <v>43936</v>
      </c>
      <c r="L123">
        <v>9</v>
      </c>
      <c r="N123" t="s">
        <v>120</v>
      </c>
      <c r="O123">
        <v>43936</v>
      </c>
      <c r="P123" t="s">
        <v>739</v>
      </c>
      <c r="Q123">
        <v>20731.493999999999</v>
      </c>
      <c r="R123">
        <v>0.1</v>
      </c>
      <c r="S123" t="s">
        <v>709</v>
      </c>
      <c r="T123" t="s">
        <v>709</v>
      </c>
      <c r="U123" t="s">
        <v>709</v>
      </c>
      <c r="V123">
        <v>392</v>
      </c>
      <c r="X123">
        <v>164066.76999999999</v>
      </c>
      <c r="Y123">
        <v>0</v>
      </c>
      <c r="Z123">
        <v>43248.17</v>
      </c>
      <c r="AA123">
        <v>207314.94</v>
      </c>
      <c r="AM123" t="s">
        <v>116</v>
      </c>
      <c r="AN123">
        <v>43985</v>
      </c>
      <c r="AO123">
        <v>181064</v>
      </c>
      <c r="AP123">
        <v>166795.03</v>
      </c>
      <c r="AR123">
        <v>41259.019999999997</v>
      </c>
      <c r="AS123">
        <v>208054.05</v>
      </c>
      <c r="AT123">
        <v>739.11</v>
      </c>
      <c r="AU123">
        <v>73.911000000000001</v>
      </c>
      <c r="AV123" t="s">
        <v>709</v>
      </c>
      <c r="AW123" s="4" t="s">
        <v>2467</v>
      </c>
      <c r="AX123">
        <v>73.911000000000001</v>
      </c>
      <c r="AY123">
        <v>44501</v>
      </c>
      <c r="BA123" t="s">
        <v>2468</v>
      </c>
      <c r="BB123" t="s">
        <v>2469</v>
      </c>
      <c r="BI123" t="s">
        <v>709</v>
      </c>
      <c r="BJ123" t="s">
        <v>709</v>
      </c>
      <c r="BK123" t="s">
        <v>116</v>
      </c>
      <c r="BL123" t="s">
        <v>709</v>
      </c>
      <c r="BM123" t="s">
        <v>709</v>
      </c>
      <c r="BN123" t="s">
        <v>709</v>
      </c>
      <c r="BO123" t="s">
        <v>709</v>
      </c>
      <c r="BP123">
        <v>392</v>
      </c>
      <c r="BQ123" t="s">
        <v>709</v>
      </c>
      <c r="BR123" t="s">
        <v>709</v>
      </c>
      <c r="BS123" t="s">
        <v>709</v>
      </c>
      <c r="BT123" t="s">
        <v>709</v>
      </c>
      <c r="BU123" t="s">
        <v>709</v>
      </c>
      <c r="BV123" t="s">
        <v>709</v>
      </c>
      <c r="BW123" t="s">
        <v>709</v>
      </c>
      <c r="BX123" t="s">
        <v>709</v>
      </c>
      <c r="BY123" t="s">
        <v>709</v>
      </c>
      <c r="BZ123" t="s">
        <v>709</v>
      </c>
      <c r="CB123">
        <v>121</v>
      </c>
      <c r="CC123" t="b">
        <v>1</v>
      </c>
      <c r="CD123" t="s">
        <v>2470</v>
      </c>
      <c r="CE123" s="1482">
        <v>45880.732118055559</v>
      </c>
    </row>
    <row r="124" spans="1:83" ht="180" x14ac:dyDescent="0.25">
      <c r="A124">
        <v>2020</v>
      </c>
      <c r="B124" t="s">
        <v>4</v>
      </c>
      <c r="C124" t="s">
        <v>2471</v>
      </c>
      <c r="D124" t="s">
        <v>2472</v>
      </c>
      <c r="E124" t="s">
        <v>1149</v>
      </c>
      <c r="F124" t="s">
        <v>919</v>
      </c>
      <c r="G124" t="s">
        <v>2473</v>
      </c>
      <c r="H124" t="s">
        <v>59</v>
      </c>
      <c r="I124">
        <v>43661</v>
      </c>
      <c r="J124">
        <v>43959</v>
      </c>
      <c r="K124">
        <v>43938</v>
      </c>
      <c r="L124">
        <v>21</v>
      </c>
      <c r="N124" t="s">
        <v>120</v>
      </c>
      <c r="O124">
        <v>43938</v>
      </c>
      <c r="P124" t="s">
        <v>739</v>
      </c>
      <c r="Q124">
        <v>67152.463000000003</v>
      </c>
      <c r="R124">
        <v>0.1</v>
      </c>
      <c r="S124" t="s">
        <v>709</v>
      </c>
      <c r="T124" t="s">
        <v>709</v>
      </c>
      <c r="U124" t="s">
        <v>709</v>
      </c>
      <c r="V124">
        <v>1746</v>
      </c>
      <c r="X124">
        <v>526344.12</v>
      </c>
      <c r="Y124">
        <v>27132.84</v>
      </c>
      <c r="Z124">
        <v>145180.51</v>
      </c>
      <c r="AA124">
        <v>671524.63</v>
      </c>
      <c r="AM124" t="s">
        <v>116</v>
      </c>
      <c r="AN124">
        <v>43985</v>
      </c>
      <c r="AO124">
        <v>183200</v>
      </c>
      <c r="AP124">
        <v>506688.09</v>
      </c>
      <c r="AQ124">
        <v>27132.84</v>
      </c>
      <c r="AR124">
        <v>145180.51</v>
      </c>
      <c r="AS124">
        <v>651868.6</v>
      </c>
      <c r="AT124">
        <v>-19656.03</v>
      </c>
      <c r="AU124">
        <v>-1965.6030000000001</v>
      </c>
      <c r="AV124" t="s">
        <v>709</v>
      </c>
      <c r="AW124" t="s">
        <v>2474</v>
      </c>
      <c r="AX124">
        <v>-1965.6030000000001</v>
      </c>
      <c r="AY124">
        <v>44501</v>
      </c>
      <c r="BA124" s="4" t="s">
        <v>2475</v>
      </c>
      <c r="BB124" t="s">
        <v>2240</v>
      </c>
      <c r="BI124" t="s">
        <v>709</v>
      </c>
      <c r="BJ124" t="s">
        <v>709</v>
      </c>
      <c r="BK124" t="s">
        <v>709</v>
      </c>
      <c r="BL124" t="s">
        <v>116</v>
      </c>
      <c r="BM124" t="s">
        <v>709</v>
      </c>
      <c r="BN124" t="s">
        <v>709</v>
      </c>
      <c r="BO124" t="s">
        <v>709</v>
      </c>
      <c r="BP124">
        <v>1394</v>
      </c>
      <c r="BQ124">
        <v>291</v>
      </c>
      <c r="BR124">
        <v>35</v>
      </c>
      <c r="BS124">
        <v>26</v>
      </c>
      <c r="BT124" t="s">
        <v>709</v>
      </c>
      <c r="BU124" t="s">
        <v>709</v>
      </c>
      <c r="BV124" t="s">
        <v>709</v>
      </c>
      <c r="BW124" t="s">
        <v>709</v>
      </c>
      <c r="BX124" t="s">
        <v>709</v>
      </c>
      <c r="BY124" t="s">
        <v>709</v>
      </c>
      <c r="BZ124" t="s">
        <v>709</v>
      </c>
      <c r="CB124">
        <v>123</v>
      </c>
      <c r="CC124" t="b">
        <v>1</v>
      </c>
      <c r="CD124" t="s">
        <v>2476</v>
      </c>
      <c r="CE124" s="1482">
        <v>45880.732118055559</v>
      </c>
    </row>
    <row r="125" spans="1:83" x14ac:dyDescent="0.25">
      <c r="A125">
        <v>2020</v>
      </c>
      <c r="B125" t="s">
        <v>4</v>
      </c>
      <c r="C125" t="s">
        <v>2309</v>
      </c>
      <c r="D125" t="s">
        <v>2310</v>
      </c>
      <c r="E125" t="s">
        <v>2311</v>
      </c>
      <c r="F125" t="s">
        <v>919</v>
      </c>
      <c r="G125" t="s">
        <v>1896</v>
      </c>
      <c r="H125" t="s">
        <v>2051</v>
      </c>
      <c r="I125">
        <v>43700</v>
      </c>
      <c r="J125" t="s">
        <v>2052</v>
      </c>
      <c r="K125">
        <v>43938</v>
      </c>
      <c r="L125">
        <v>238</v>
      </c>
      <c r="M125" t="s">
        <v>2477</v>
      </c>
      <c r="N125" t="s">
        <v>120</v>
      </c>
      <c r="O125">
        <v>43938</v>
      </c>
      <c r="P125" t="s">
        <v>739</v>
      </c>
      <c r="Q125">
        <v>5520</v>
      </c>
      <c r="R125" t="s">
        <v>1922</v>
      </c>
      <c r="S125" t="s">
        <v>709</v>
      </c>
      <c r="T125" t="s">
        <v>709</v>
      </c>
      <c r="U125">
        <v>5520</v>
      </c>
      <c r="V125" t="s">
        <v>115</v>
      </c>
      <c r="AM125" t="s">
        <v>709</v>
      </c>
      <c r="AY125" t="s">
        <v>29</v>
      </c>
      <c r="BA125" s="4">
        <v>6</v>
      </c>
      <c r="BI125" t="s">
        <v>709</v>
      </c>
      <c r="BJ125" t="s">
        <v>709</v>
      </c>
      <c r="BK125" t="s">
        <v>709</v>
      </c>
      <c r="BL125" t="s">
        <v>116</v>
      </c>
      <c r="BM125" t="s">
        <v>709</v>
      </c>
      <c r="BN125" t="s">
        <v>709</v>
      </c>
      <c r="BO125" t="s">
        <v>709</v>
      </c>
      <c r="BP125" t="s">
        <v>709</v>
      </c>
      <c r="BQ125" t="s">
        <v>709</v>
      </c>
      <c r="BR125" t="s">
        <v>709</v>
      </c>
      <c r="BS125">
        <v>3246</v>
      </c>
      <c r="BT125" t="s">
        <v>709</v>
      </c>
      <c r="BU125" t="s">
        <v>709</v>
      </c>
      <c r="BV125" t="s">
        <v>709</v>
      </c>
      <c r="BW125" t="s">
        <v>709</v>
      </c>
      <c r="BX125" t="s">
        <v>709</v>
      </c>
      <c r="BY125" t="s">
        <v>709</v>
      </c>
      <c r="BZ125" t="s">
        <v>709</v>
      </c>
      <c r="CB125">
        <v>122</v>
      </c>
      <c r="CC125" t="b">
        <v>1</v>
      </c>
      <c r="CD125" t="s">
        <v>2478</v>
      </c>
      <c r="CE125" s="1482">
        <v>45880.732129629629</v>
      </c>
    </row>
    <row r="126" spans="1:83" x14ac:dyDescent="0.25">
      <c r="A126">
        <v>2020</v>
      </c>
      <c r="B126" t="s">
        <v>771</v>
      </c>
      <c r="C126" t="s">
        <v>2403</v>
      </c>
      <c r="D126" t="s">
        <v>2404</v>
      </c>
      <c r="E126" t="s">
        <v>361</v>
      </c>
      <c r="F126" t="s">
        <v>325</v>
      </c>
      <c r="G126" t="s">
        <v>2232</v>
      </c>
      <c r="H126" t="s">
        <v>2051</v>
      </c>
      <c r="I126">
        <v>43809</v>
      </c>
      <c r="J126" t="s">
        <v>2052</v>
      </c>
      <c r="K126">
        <v>43943</v>
      </c>
      <c r="L126">
        <v>134</v>
      </c>
      <c r="M126" t="s">
        <v>2479</v>
      </c>
      <c r="N126" t="s">
        <v>120</v>
      </c>
      <c r="O126">
        <v>43952</v>
      </c>
      <c r="P126" t="s">
        <v>120</v>
      </c>
      <c r="Q126">
        <v>1397.5</v>
      </c>
      <c r="R126" t="s">
        <v>1922</v>
      </c>
      <c r="S126" t="s">
        <v>709</v>
      </c>
      <c r="T126" t="s">
        <v>709</v>
      </c>
      <c r="U126">
        <v>1397.5</v>
      </c>
      <c r="AM126" t="s">
        <v>709</v>
      </c>
      <c r="AY126" t="s">
        <v>29</v>
      </c>
      <c r="BA126">
        <v>1</v>
      </c>
      <c r="BI126" t="s">
        <v>709</v>
      </c>
      <c r="BJ126" t="s">
        <v>709</v>
      </c>
      <c r="BK126" t="s">
        <v>709</v>
      </c>
      <c r="BL126" t="s">
        <v>116</v>
      </c>
      <c r="BM126" t="s">
        <v>709</v>
      </c>
      <c r="BN126" t="s">
        <v>709</v>
      </c>
      <c r="BO126" t="s">
        <v>709</v>
      </c>
      <c r="BP126" t="s">
        <v>709</v>
      </c>
      <c r="BQ126" t="s">
        <v>709</v>
      </c>
      <c r="BR126">
        <v>1855</v>
      </c>
      <c r="BS126">
        <v>10776</v>
      </c>
      <c r="BT126" t="s">
        <v>709</v>
      </c>
      <c r="BU126" t="s">
        <v>709</v>
      </c>
      <c r="BV126" t="s">
        <v>709</v>
      </c>
      <c r="BW126" t="s">
        <v>709</v>
      </c>
      <c r="BX126" t="s">
        <v>709</v>
      </c>
      <c r="BY126" t="s">
        <v>709</v>
      </c>
      <c r="BZ126" t="s">
        <v>709</v>
      </c>
      <c r="CB126">
        <v>125</v>
      </c>
      <c r="CC126" t="b">
        <v>1</v>
      </c>
      <c r="CD126" t="s">
        <v>2480</v>
      </c>
      <c r="CE126" s="1482">
        <v>45880.732129629629</v>
      </c>
    </row>
    <row r="127" spans="1:83" x14ac:dyDescent="0.25">
      <c r="A127">
        <v>2021</v>
      </c>
      <c r="B127" t="s">
        <v>771</v>
      </c>
      <c r="C127" t="s">
        <v>136</v>
      </c>
      <c r="D127" t="s">
        <v>2481</v>
      </c>
      <c r="E127" t="s">
        <v>137</v>
      </c>
      <c r="F127" t="s">
        <v>325</v>
      </c>
      <c r="G127" t="s">
        <v>1882</v>
      </c>
      <c r="H127" t="s">
        <v>59</v>
      </c>
      <c r="I127">
        <v>43852</v>
      </c>
      <c r="J127">
        <v>43943</v>
      </c>
      <c r="K127">
        <v>43943</v>
      </c>
      <c r="L127">
        <v>0</v>
      </c>
      <c r="N127" t="s">
        <v>120</v>
      </c>
      <c r="O127">
        <v>43943</v>
      </c>
      <c r="P127" t="s">
        <v>120</v>
      </c>
      <c r="Q127">
        <v>27540.400000000001</v>
      </c>
      <c r="R127" t="s">
        <v>2087</v>
      </c>
      <c r="S127" t="s">
        <v>709</v>
      </c>
      <c r="T127" t="s">
        <v>709</v>
      </c>
      <c r="U127" t="s">
        <v>709</v>
      </c>
      <c r="V127">
        <v>17768</v>
      </c>
      <c r="AM127" t="s">
        <v>709</v>
      </c>
      <c r="AY127" t="s">
        <v>29</v>
      </c>
      <c r="BA127" t="s">
        <v>2482</v>
      </c>
      <c r="BB127" t="s">
        <v>2483</v>
      </c>
      <c r="BC127" t="s">
        <v>116</v>
      </c>
      <c r="BD127" t="s">
        <v>709</v>
      </c>
      <c r="BE127" t="s">
        <v>2484</v>
      </c>
      <c r="BF127" t="s">
        <v>709</v>
      </c>
      <c r="BG127" t="s">
        <v>2485</v>
      </c>
      <c r="BI127" t="s">
        <v>709</v>
      </c>
      <c r="BJ127" t="s">
        <v>709</v>
      </c>
      <c r="BK127" t="s">
        <v>709</v>
      </c>
      <c r="BL127" t="s">
        <v>116</v>
      </c>
      <c r="BM127" t="s">
        <v>709</v>
      </c>
      <c r="BN127" t="s">
        <v>709</v>
      </c>
      <c r="BO127" t="s">
        <v>709</v>
      </c>
      <c r="BP127" t="s">
        <v>709</v>
      </c>
      <c r="BQ127" t="s">
        <v>709</v>
      </c>
      <c r="BR127">
        <v>5655</v>
      </c>
      <c r="BS127">
        <v>12113</v>
      </c>
      <c r="BT127" t="s">
        <v>709</v>
      </c>
      <c r="BU127" t="s">
        <v>709</v>
      </c>
      <c r="BV127" t="s">
        <v>709</v>
      </c>
      <c r="BW127" t="s">
        <v>709</v>
      </c>
      <c r="BX127" t="s">
        <v>709</v>
      </c>
      <c r="BY127" t="s">
        <v>709</v>
      </c>
      <c r="BZ127" t="s">
        <v>709</v>
      </c>
      <c r="CB127">
        <v>124</v>
      </c>
      <c r="CC127" t="b">
        <v>1</v>
      </c>
      <c r="CD127" t="s">
        <v>2486</v>
      </c>
      <c r="CE127" s="1482">
        <v>45880.732141203705</v>
      </c>
    </row>
    <row r="128" spans="1:83" x14ac:dyDescent="0.25">
      <c r="A128">
        <v>2020</v>
      </c>
      <c r="B128" t="s">
        <v>771</v>
      </c>
      <c r="C128" t="s">
        <v>2178</v>
      </c>
      <c r="D128" t="s">
        <v>2179</v>
      </c>
      <c r="E128" t="s">
        <v>1529</v>
      </c>
      <c r="F128" t="s">
        <v>325</v>
      </c>
      <c r="G128" t="s">
        <v>1896</v>
      </c>
      <c r="H128" t="s">
        <v>2051</v>
      </c>
      <c r="I128">
        <v>43664</v>
      </c>
      <c r="J128" t="s">
        <v>2052</v>
      </c>
      <c r="K128">
        <v>43948</v>
      </c>
      <c r="L128">
        <v>284</v>
      </c>
      <c r="M128" t="s">
        <v>2487</v>
      </c>
      <c r="N128" t="s">
        <v>120</v>
      </c>
      <c r="O128">
        <v>43952</v>
      </c>
      <c r="P128" t="s">
        <v>120</v>
      </c>
      <c r="Q128">
        <v>2755</v>
      </c>
      <c r="R128" t="s">
        <v>1922</v>
      </c>
      <c r="S128" t="s">
        <v>709</v>
      </c>
      <c r="T128" t="s">
        <v>709</v>
      </c>
      <c r="U128">
        <v>2755</v>
      </c>
      <c r="AM128" t="s">
        <v>709</v>
      </c>
      <c r="AY128" t="s">
        <v>29</v>
      </c>
      <c r="BA128">
        <v>4</v>
      </c>
      <c r="BI128" t="s">
        <v>709</v>
      </c>
      <c r="BJ128" t="s">
        <v>709</v>
      </c>
      <c r="BK128" t="s">
        <v>709</v>
      </c>
      <c r="BL128" t="s">
        <v>116</v>
      </c>
      <c r="BM128" t="s">
        <v>709</v>
      </c>
      <c r="BN128" t="s">
        <v>709</v>
      </c>
      <c r="BO128" t="s">
        <v>709</v>
      </c>
      <c r="BP128" t="s">
        <v>709</v>
      </c>
      <c r="BQ128" t="s">
        <v>709</v>
      </c>
      <c r="BR128" t="s">
        <v>709</v>
      </c>
      <c r="BS128">
        <v>658</v>
      </c>
      <c r="BT128" t="s">
        <v>709</v>
      </c>
      <c r="BU128" t="s">
        <v>709</v>
      </c>
      <c r="BV128" t="s">
        <v>709</v>
      </c>
      <c r="BW128" t="s">
        <v>709</v>
      </c>
      <c r="BX128" t="s">
        <v>709</v>
      </c>
      <c r="BY128" t="s">
        <v>709</v>
      </c>
      <c r="BZ128" t="s">
        <v>709</v>
      </c>
      <c r="CB128">
        <v>126</v>
      </c>
      <c r="CC128" t="b">
        <v>1</v>
      </c>
      <c r="CD128" t="s">
        <v>2488</v>
      </c>
      <c r="CE128" s="1482">
        <v>45880.732141203705</v>
      </c>
    </row>
    <row r="129" spans="1:83" x14ac:dyDescent="0.25">
      <c r="A129">
        <v>2020</v>
      </c>
      <c r="B129" t="s">
        <v>771</v>
      </c>
      <c r="C129" t="s">
        <v>2173</v>
      </c>
      <c r="D129" t="s">
        <v>2174</v>
      </c>
      <c r="E129" t="s">
        <v>1529</v>
      </c>
      <c r="F129" t="s">
        <v>325</v>
      </c>
      <c r="G129" t="s">
        <v>1896</v>
      </c>
      <c r="H129" t="s">
        <v>2051</v>
      </c>
      <c r="I129">
        <v>43664</v>
      </c>
      <c r="J129" t="s">
        <v>2052</v>
      </c>
      <c r="K129">
        <v>43951</v>
      </c>
      <c r="L129">
        <v>287</v>
      </c>
      <c r="M129" t="s">
        <v>2489</v>
      </c>
      <c r="N129" t="s">
        <v>120</v>
      </c>
      <c r="O129">
        <v>43952</v>
      </c>
      <c r="P129" t="s">
        <v>120</v>
      </c>
      <c r="Q129">
        <v>3830</v>
      </c>
      <c r="R129" t="s">
        <v>1922</v>
      </c>
      <c r="S129" t="s">
        <v>709</v>
      </c>
      <c r="T129" t="s">
        <v>709</v>
      </c>
      <c r="U129">
        <v>3830</v>
      </c>
      <c r="AM129" t="s">
        <v>709</v>
      </c>
      <c r="AY129" t="s">
        <v>29</v>
      </c>
      <c r="BA129">
        <v>4</v>
      </c>
      <c r="BI129" t="s">
        <v>709</v>
      </c>
      <c r="BJ129" t="s">
        <v>709</v>
      </c>
      <c r="BK129" t="s">
        <v>709</v>
      </c>
      <c r="BL129" t="s">
        <v>116</v>
      </c>
      <c r="BM129" t="s">
        <v>709</v>
      </c>
      <c r="BN129" t="s">
        <v>709</v>
      </c>
      <c r="BO129" t="s">
        <v>709</v>
      </c>
      <c r="BP129" t="s">
        <v>709</v>
      </c>
      <c r="BQ129" t="s">
        <v>709</v>
      </c>
      <c r="BR129" t="s">
        <v>709</v>
      </c>
      <c r="BS129">
        <v>2092</v>
      </c>
      <c r="BT129" t="s">
        <v>709</v>
      </c>
      <c r="BU129" t="s">
        <v>709</v>
      </c>
      <c r="BV129" t="s">
        <v>745</v>
      </c>
      <c r="BW129" t="s">
        <v>709</v>
      </c>
      <c r="BX129" t="s">
        <v>745</v>
      </c>
      <c r="BY129" t="s">
        <v>745</v>
      </c>
      <c r="BZ129" t="s">
        <v>709</v>
      </c>
      <c r="CB129">
        <v>127</v>
      </c>
      <c r="CC129" t="b">
        <v>1</v>
      </c>
      <c r="CD129" t="s">
        <v>2490</v>
      </c>
      <c r="CE129" s="1482">
        <v>45880.732152777775</v>
      </c>
    </row>
    <row r="130" spans="1:83" x14ac:dyDescent="0.25">
      <c r="A130">
        <v>2020</v>
      </c>
      <c r="B130" t="s">
        <v>771</v>
      </c>
      <c r="C130" t="s">
        <v>2491</v>
      </c>
      <c r="D130" t="s">
        <v>2492</v>
      </c>
      <c r="E130" t="s">
        <v>272</v>
      </c>
      <c r="F130" t="s">
        <v>919</v>
      </c>
      <c r="G130" t="s">
        <v>36</v>
      </c>
      <c r="H130" t="s">
        <v>59</v>
      </c>
      <c r="I130">
        <v>43832</v>
      </c>
      <c r="J130">
        <v>43923</v>
      </c>
      <c r="K130">
        <v>43964</v>
      </c>
      <c r="L130">
        <v>-41</v>
      </c>
      <c r="M130" t="s">
        <v>2493</v>
      </c>
      <c r="N130" t="s">
        <v>120</v>
      </c>
      <c r="O130">
        <v>43964</v>
      </c>
      <c r="P130" t="s">
        <v>120</v>
      </c>
      <c r="Q130">
        <v>25040.25</v>
      </c>
      <c r="R130" t="s">
        <v>2087</v>
      </c>
      <c r="S130" t="s">
        <v>709</v>
      </c>
      <c r="T130" t="s">
        <v>709</v>
      </c>
      <c r="U130" t="s">
        <v>709</v>
      </c>
      <c r="V130">
        <v>16155</v>
      </c>
      <c r="X130">
        <v>2558234.6</v>
      </c>
      <c r="Z130">
        <v>204109.81</v>
      </c>
      <c r="AM130" t="s">
        <v>709</v>
      </c>
      <c r="AY130" t="s">
        <v>29</v>
      </c>
      <c r="BA130" t="s">
        <v>2494</v>
      </c>
      <c r="BB130" t="s">
        <v>2495</v>
      </c>
      <c r="BI130" t="s">
        <v>709</v>
      </c>
      <c r="BJ130" t="s">
        <v>709</v>
      </c>
      <c r="BK130" t="s">
        <v>709</v>
      </c>
      <c r="BL130" t="s">
        <v>116</v>
      </c>
      <c r="BM130" t="s">
        <v>709</v>
      </c>
      <c r="BN130" t="s">
        <v>709</v>
      </c>
      <c r="BO130" t="s">
        <v>709</v>
      </c>
      <c r="BP130">
        <v>4363</v>
      </c>
      <c r="BQ130" t="s">
        <v>709</v>
      </c>
      <c r="BR130">
        <v>1215</v>
      </c>
      <c r="BS130">
        <v>10577</v>
      </c>
      <c r="BT130" t="s">
        <v>745</v>
      </c>
      <c r="BU130" t="s">
        <v>709</v>
      </c>
      <c r="BV130" t="s">
        <v>745</v>
      </c>
      <c r="BW130" t="s">
        <v>709</v>
      </c>
      <c r="BX130" t="s">
        <v>745</v>
      </c>
      <c r="BY130" t="s">
        <v>745</v>
      </c>
      <c r="BZ130" t="s">
        <v>709</v>
      </c>
      <c r="CB130">
        <v>128</v>
      </c>
      <c r="CC130" t="b">
        <v>1</v>
      </c>
      <c r="CD130" t="s">
        <v>2496</v>
      </c>
      <c r="CE130" s="1482">
        <v>45880.732152777775</v>
      </c>
    </row>
    <row r="131" spans="1:83" x14ac:dyDescent="0.25">
      <c r="A131">
        <v>2020</v>
      </c>
      <c r="B131" t="s">
        <v>4</v>
      </c>
      <c r="C131" t="s">
        <v>2497</v>
      </c>
      <c r="D131" t="s">
        <v>2498</v>
      </c>
      <c r="E131" t="s">
        <v>1554</v>
      </c>
      <c r="F131" t="s">
        <v>325</v>
      </c>
      <c r="G131" t="s">
        <v>40</v>
      </c>
      <c r="H131" t="s">
        <v>59</v>
      </c>
      <c r="I131">
        <v>43809</v>
      </c>
      <c r="J131">
        <v>43966</v>
      </c>
      <c r="K131">
        <v>43964</v>
      </c>
      <c r="L131">
        <v>2</v>
      </c>
      <c r="N131" t="s">
        <v>120</v>
      </c>
      <c r="O131">
        <v>43964</v>
      </c>
      <c r="P131" t="s">
        <v>739</v>
      </c>
      <c r="Q131">
        <v>44051.292999999998</v>
      </c>
      <c r="R131">
        <v>0.1</v>
      </c>
      <c r="S131" t="s">
        <v>709</v>
      </c>
      <c r="T131" t="s">
        <v>709</v>
      </c>
      <c r="U131" t="s">
        <v>709</v>
      </c>
      <c r="V131">
        <v>1735</v>
      </c>
      <c r="X131">
        <v>353229.13</v>
      </c>
      <c r="Y131" t="s">
        <v>115</v>
      </c>
      <c r="Z131">
        <v>87283.8</v>
      </c>
      <c r="AA131">
        <v>440512.93</v>
      </c>
      <c r="AM131" t="s">
        <v>116</v>
      </c>
      <c r="AN131">
        <v>44186</v>
      </c>
      <c r="AO131">
        <v>188082</v>
      </c>
      <c r="AP131">
        <v>359551.56</v>
      </c>
      <c r="AR131">
        <v>68487.509999999995</v>
      </c>
      <c r="AS131">
        <v>428039.07</v>
      </c>
      <c r="AT131">
        <v>-12473.86</v>
      </c>
      <c r="AU131">
        <v>-1247.386</v>
      </c>
      <c r="AV131">
        <v>2090</v>
      </c>
      <c r="AW131" t="s">
        <v>2499</v>
      </c>
      <c r="AX131">
        <v>-1247.386</v>
      </c>
      <c r="AY131">
        <v>44501</v>
      </c>
      <c r="BA131" t="s">
        <v>2500</v>
      </c>
      <c r="BB131" t="s">
        <v>2270</v>
      </c>
      <c r="BI131" t="s">
        <v>709</v>
      </c>
      <c r="BJ131" t="s">
        <v>709</v>
      </c>
      <c r="BK131" t="s">
        <v>709</v>
      </c>
      <c r="BL131" t="s">
        <v>116</v>
      </c>
      <c r="BM131" t="s">
        <v>709</v>
      </c>
      <c r="BN131" t="s">
        <v>709</v>
      </c>
      <c r="BO131" t="s">
        <v>709</v>
      </c>
      <c r="BP131" t="s">
        <v>709</v>
      </c>
      <c r="BQ131" t="s">
        <v>709</v>
      </c>
      <c r="BR131" t="s">
        <v>709</v>
      </c>
      <c r="BS131">
        <v>1735</v>
      </c>
      <c r="BT131" t="s">
        <v>709</v>
      </c>
      <c r="BU131" t="s">
        <v>709</v>
      </c>
      <c r="BV131" t="s">
        <v>709</v>
      </c>
      <c r="BW131" t="s">
        <v>709</v>
      </c>
      <c r="BX131" t="s">
        <v>709</v>
      </c>
      <c r="BY131" t="s">
        <v>709</v>
      </c>
      <c r="BZ131" t="s">
        <v>709</v>
      </c>
      <c r="CB131">
        <v>129</v>
      </c>
      <c r="CC131" t="b">
        <v>1</v>
      </c>
      <c r="CD131" t="s">
        <v>2501</v>
      </c>
      <c r="CE131" s="1482">
        <v>45880.732164351852</v>
      </c>
    </row>
    <row r="132" spans="1:83" x14ac:dyDescent="0.25">
      <c r="A132">
        <v>2020</v>
      </c>
      <c r="B132" t="s">
        <v>4</v>
      </c>
      <c r="C132" t="s">
        <v>2502</v>
      </c>
      <c r="D132" t="s">
        <v>2503</v>
      </c>
      <c r="E132" t="s">
        <v>2504</v>
      </c>
      <c r="F132" t="s">
        <v>325</v>
      </c>
      <c r="G132" t="s">
        <v>36</v>
      </c>
      <c r="H132" t="s">
        <v>59</v>
      </c>
      <c r="I132">
        <v>43920</v>
      </c>
      <c r="J132">
        <v>43966</v>
      </c>
      <c r="K132">
        <v>43964</v>
      </c>
      <c r="L132">
        <v>2</v>
      </c>
      <c r="N132" t="s">
        <v>120</v>
      </c>
      <c r="O132">
        <v>43964</v>
      </c>
      <c r="P132" t="s">
        <v>739</v>
      </c>
      <c r="Q132">
        <v>7990.3059999999996</v>
      </c>
      <c r="R132">
        <v>0.1</v>
      </c>
      <c r="S132" t="s">
        <v>709</v>
      </c>
      <c r="T132" t="s">
        <v>709</v>
      </c>
      <c r="U132" t="s">
        <v>709</v>
      </c>
      <c r="V132">
        <v>500</v>
      </c>
      <c r="X132">
        <v>73186.92</v>
      </c>
      <c r="Y132" t="s">
        <v>115</v>
      </c>
      <c r="Z132">
        <v>6716.14</v>
      </c>
      <c r="AA132">
        <v>79903.06</v>
      </c>
      <c r="AM132" t="s">
        <v>116</v>
      </c>
      <c r="AN132">
        <v>44154</v>
      </c>
      <c r="AO132">
        <v>189331</v>
      </c>
      <c r="AP132">
        <v>74138.740000000005</v>
      </c>
      <c r="AR132">
        <v>1247.3399999999999</v>
      </c>
      <c r="AS132">
        <v>75386.080000000002</v>
      </c>
      <c r="AT132">
        <v>-4516.9799999999996</v>
      </c>
      <c r="AU132">
        <v>-451.69799999999998</v>
      </c>
      <c r="AV132" t="s">
        <v>709</v>
      </c>
      <c r="AW132" t="s">
        <v>2505</v>
      </c>
      <c r="AX132">
        <v>-451.69799999999998</v>
      </c>
      <c r="AY132">
        <v>44501</v>
      </c>
      <c r="BA132" t="s">
        <v>2506</v>
      </c>
      <c r="BB132" t="s">
        <v>2507</v>
      </c>
      <c r="BI132" t="s">
        <v>709</v>
      </c>
      <c r="BJ132" t="s">
        <v>709</v>
      </c>
      <c r="BK132" t="s">
        <v>709</v>
      </c>
      <c r="BL132" t="s">
        <v>116</v>
      </c>
      <c r="BM132" t="s">
        <v>709</v>
      </c>
      <c r="BN132" t="s">
        <v>709</v>
      </c>
      <c r="BO132" t="s">
        <v>709</v>
      </c>
      <c r="BP132" t="s">
        <v>709</v>
      </c>
      <c r="BQ132" t="s">
        <v>709</v>
      </c>
      <c r="BR132" t="s">
        <v>709</v>
      </c>
      <c r="BS132">
        <v>500</v>
      </c>
      <c r="BT132" t="s">
        <v>745</v>
      </c>
      <c r="BU132" t="s">
        <v>709</v>
      </c>
      <c r="BV132" t="s">
        <v>745</v>
      </c>
      <c r="BW132" t="s">
        <v>709</v>
      </c>
      <c r="BX132" t="s">
        <v>745</v>
      </c>
      <c r="BY132" t="s">
        <v>745</v>
      </c>
      <c r="BZ132" t="s">
        <v>709</v>
      </c>
      <c r="CB132">
        <v>130</v>
      </c>
      <c r="CC132" t="b">
        <v>1</v>
      </c>
      <c r="CD132" t="s">
        <v>2508</v>
      </c>
      <c r="CE132" s="1482">
        <v>45880.732164351852</v>
      </c>
    </row>
    <row r="133" spans="1:83" x14ac:dyDescent="0.25">
      <c r="A133">
        <v>2019</v>
      </c>
      <c r="B133" t="s">
        <v>4</v>
      </c>
      <c r="C133" t="s">
        <v>2509</v>
      </c>
      <c r="D133" t="s">
        <v>2510</v>
      </c>
      <c r="E133" t="s">
        <v>2511</v>
      </c>
      <c r="F133" t="s">
        <v>325</v>
      </c>
      <c r="G133" t="s">
        <v>40</v>
      </c>
      <c r="H133" t="s">
        <v>59</v>
      </c>
      <c r="I133">
        <v>43468</v>
      </c>
      <c r="J133">
        <v>43977</v>
      </c>
      <c r="K133">
        <v>43965</v>
      </c>
      <c r="L133">
        <v>12</v>
      </c>
      <c r="N133" t="s">
        <v>120</v>
      </c>
      <c r="O133">
        <v>43965</v>
      </c>
      <c r="P133" t="s">
        <v>739</v>
      </c>
      <c r="Q133">
        <v>54452.627</v>
      </c>
      <c r="R133">
        <v>0.1</v>
      </c>
      <c r="S133" t="s">
        <v>709</v>
      </c>
      <c r="T133" t="s">
        <v>709</v>
      </c>
      <c r="U133" t="s">
        <v>709</v>
      </c>
      <c r="V133">
        <v>1760</v>
      </c>
      <c r="X133">
        <v>416788.86</v>
      </c>
      <c r="Y133" t="s">
        <v>115</v>
      </c>
      <c r="Z133">
        <v>127737.41</v>
      </c>
      <c r="AA133">
        <v>544526.27</v>
      </c>
      <c r="AM133" t="s">
        <v>116</v>
      </c>
      <c r="AN133">
        <v>44169</v>
      </c>
      <c r="AO133">
        <v>11033475</v>
      </c>
      <c r="AP133">
        <v>425142.38</v>
      </c>
      <c r="AR133">
        <v>112712.29</v>
      </c>
      <c r="AS133">
        <v>537854.67000000004</v>
      </c>
      <c r="AT133">
        <v>-6671.6</v>
      </c>
      <c r="AU133">
        <v>-667.16</v>
      </c>
      <c r="AV133">
        <v>8150</v>
      </c>
      <c r="AW133" t="s">
        <v>2512</v>
      </c>
      <c r="AX133">
        <v>0</v>
      </c>
      <c r="AY133">
        <v>45008</v>
      </c>
      <c r="BA133" t="s">
        <v>2513</v>
      </c>
      <c r="BB133" t="s">
        <v>2514</v>
      </c>
      <c r="BI133" t="s">
        <v>709</v>
      </c>
      <c r="BJ133" t="s">
        <v>709</v>
      </c>
      <c r="BK133" t="s">
        <v>709</v>
      </c>
      <c r="BL133" t="s">
        <v>116</v>
      </c>
      <c r="BM133" t="s">
        <v>709</v>
      </c>
      <c r="BN133" t="s">
        <v>709</v>
      </c>
      <c r="BO133" t="s">
        <v>709</v>
      </c>
      <c r="BP133" t="s">
        <v>709</v>
      </c>
      <c r="BQ133" t="s">
        <v>709</v>
      </c>
      <c r="BR133">
        <v>1760</v>
      </c>
      <c r="BS133" t="s">
        <v>709</v>
      </c>
      <c r="BT133" t="s">
        <v>745</v>
      </c>
      <c r="BU133" t="s">
        <v>709</v>
      </c>
      <c r="BV133" t="s">
        <v>745</v>
      </c>
      <c r="BW133" t="s">
        <v>709</v>
      </c>
      <c r="BX133" t="s">
        <v>745</v>
      </c>
      <c r="BY133" t="s">
        <v>745</v>
      </c>
      <c r="BZ133" t="s">
        <v>709</v>
      </c>
      <c r="CB133">
        <v>132</v>
      </c>
      <c r="CC133" t="b">
        <v>1</v>
      </c>
      <c r="CD133" t="s">
        <v>2515</v>
      </c>
      <c r="CE133" s="1482">
        <v>45880.732175925928</v>
      </c>
    </row>
    <row r="134" spans="1:83" x14ac:dyDescent="0.25">
      <c r="A134">
        <v>2020</v>
      </c>
      <c r="B134" t="s">
        <v>4</v>
      </c>
      <c r="C134" t="s">
        <v>2516</v>
      </c>
      <c r="D134" t="s">
        <v>2517</v>
      </c>
      <c r="E134" t="s">
        <v>361</v>
      </c>
      <c r="F134" t="s">
        <v>325</v>
      </c>
      <c r="G134" t="s">
        <v>40</v>
      </c>
      <c r="H134" t="s">
        <v>59</v>
      </c>
      <c r="I134">
        <v>43887</v>
      </c>
      <c r="J134">
        <v>43966</v>
      </c>
      <c r="K134">
        <v>43965</v>
      </c>
      <c r="L134">
        <v>1</v>
      </c>
      <c r="N134" t="s">
        <v>120</v>
      </c>
      <c r="O134">
        <v>43965</v>
      </c>
      <c r="P134" t="s">
        <v>739</v>
      </c>
      <c r="Q134">
        <v>67076.471999999994</v>
      </c>
      <c r="R134">
        <v>0.1</v>
      </c>
      <c r="S134" t="s">
        <v>709</v>
      </c>
      <c r="T134" t="s">
        <v>709</v>
      </c>
      <c r="U134" t="s">
        <v>709</v>
      </c>
      <c r="V134">
        <v>4661</v>
      </c>
      <c r="X134">
        <v>625264.04</v>
      </c>
      <c r="Z134">
        <v>45500.68</v>
      </c>
      <c r="AA134">
        <v>670764.72</v>
      </c>
      <c r="AM134" t="s">
        <v>116</v>
      </c>
      <c r="AN134">
        <v>44165</v>
      </c>
      <c r="AO134">
        <v>186697</v>
      </c>
      <c r="AP134">
        <v>681311.72</v>
      </c>
      <c r="AR134">
        <v>33455.550000000003</v>
      </c>
      <c r="AS134">
        <v>714767.27</v>
      </c>
      <c r="AT134">
        <v>44002.55</v>
      </c>
      <c r="AU134">
        <v>4400.2550000000001</v>
      </c>
      <c r="AV134" t="s">
        <v>709</v>
      </c>
      <c r="AW134" t="s">
        <v>2518</v>
      </c>
      <c r="AX134">
        <v>4400.2550000000001</v>
      </c>
      <c r="AY134">
        <v>44501</v>
      </c>
      <c r="BA134" t="s">
        <v>2519</v>
      </c>
      <c r="BB134" t="s">
        <v>1156</v>
      </c>
      <c r="BI134" t="s">
        <v>709</v>
      </c>
      <c r="BJ134" t="s">
        <v>709</v>
      </c>
      <c r="BK134" t="s">
        <v>709</v>
      </c>
      <c r="BL134" t="s">
        <v>116</v>
      </c>
      <c r="BM134" t="s">
        <v>709</v>
      </c>
      <c r="BN134" t="s">
        <v>709</v>
      </c>
      <c r="BO134" t="s">
        <v>709</v>
      </c>
      <c r="BP134" t="s">
        <v>709</v>
      </c>
      <c r="BQ134" t="s">
        <v>709</v>
      </c>
      <c r="BR134">
        <v>1727</v>
      </c>
      <c r="BS134">
        <v>2934</v>
      </c>
      <c r="BT134" t="s">
        <v>709</v>
      </c>
      <c r="BU134" t="s">
        <v>709</v>
      </c>
      <c r="BV134" t="s">
        <v>745</v>
      </c>
      <c r="BW134" t="s">
        <v>709</v>
      </c>
      <c r="BX134" t="s">
        <v>709</v>
      </c>
      <c r="BY134" t="s">
        <v>745</v>
      </c>
      <c r="BZ134" t="s">
        <v>709</v>
      </c>
      <c r="CB134">
        <v>131</v>
      </c>
      <c r="CC134" t="b">
        <v>1</v>
      </c>
      <c r="CD134" t="s">
        <v>2520</v>
      </c>
      <c r="CE134" s="1482">
        <v>45880.732175925928</v>
      </c>
    </row>
    <row r="135" spans="1:83" x14ac:dyDescent="0.25">
      <c r="A135">
        <v>2020</v>
      </c>
      <c r="B135" t="s">
        <v>4</v>
      </c>
      <c r="C135" t="s">
        <v>106</v>
      </c>
      <c r="D135" t="s">
        <v>2521</v>
      </c>
      <c r="E135" t="s">
        <v>108</v>
      </c>
      <c r="F135" t="s">
        <v>325</v>
      </c>
      <c r="G135" t="s">
        <v>36</v>
      </c>
      <c r="H135" t="s">
        <v>59</v>
      </c>
      <c r="I135">
        <v>43705</v>
      </c>
      <c r="J135">
        <v>43966</v>
      </c>
      <c r="K135">
        <v>43965</v>
      </c>
      <c r="L135">
        <v>1</v>
      </c>
      <c r="N135" t="s">
        <v>120</v>
      </c>
      <c r="O135">
        <v>43965</v>
      </c>
      <c r="P135" t="s">
        <v>739</v>
      </c>
      <c r="Q135">
        <v>399146.60200000001</v>
      </c>
      <c r="R135">
        <v>0.1</v>
      </c>
      <c r="S135" t="s">
        <v>709</v>
      </c>
      <c r="T135" t="s">
        <v>709</v>
      </c>
      <c r="U135" t="s">
        <v>709</v>
      </c>
      <c r="V135">
        <v>5764</v>
      </c>
      <c r="X135">
        <v>2379329.2400000002</v>
      </c>
      <c r="Y135" t="s">
        <v>115</v>
      </c>
      <c r="Z135">
        <v>1612136.78</v>
      </c>
      <c r="AA135">
        <v>3991466.02</v>
      </c>
      <c r="AM135" t="s">
        <v>116</v>
      </c>
      <c r="AN135">
        <v>44090</v>
      </c>
      <c r="AO135" t="s">
        <v>2522</v>
      </c>
      <c r="AP135">
        <v>2424963.2000000002</v>
      </c>
      <c r="AR135">
        <v>1554255.52</v>
      </c>
      <c r="AS135">
        <v>3979218.72</v>
      </c>
      <c r="AT135">
        <v>-12247.3</v>
      </c>
      <c r="AU135">
        <v>-1224.73</v>
      </c>
      <c r="AV135">
        <v>8235</v>
      </c>
      <c r="AW135" t="s">
        <v>2523</v>
      </c>
      <c r="AY135" t="s">
        <v>1935</v>
      </c>
      <c r="BA135" t="s">
        <v>2524</v>
      </c>
      <c r="BB135" t="s">
        <v>2525</v>
      </c>
      <c r="BI135" t="s">
        <v>709</v>
      </c>
      <c r="BJ135" t="s">
        <v>709</v>
      </c>
      <c r="BK135" t="s">
        <v>709</v>
      </c>
      <c r="BL135" t="s">
        <v>116</v>
      </c>
      <c r="BM135" t="s">
        <v>709</v>
      </c>
      <c r="BN135">
        <v>959</v>
      </c>
      <c r="BO135" t="s">
        <v>709</v>
      </c>
      <c r="BP135">
        <v>2838</v>
      </c>
      <c r="BQ135" t="s">
        <v>709</v>
      </c>
      <c r="BR135">
        <v>116</v>
      </c>
      <c r="BS135">
        <v>51</v>
      </c>
      <c r="BT135" t="s">
        <v>709</v>
      </c>
      <c r="BU135" t="s">
        <v>709</v>
      </c>
      <c r="BV135" t="s">
        <v>709</v>
      </c>
      <c r="BW135" t="s">
        <v>709</v>
      </c>
      <c r="BX135" t="s">
        <v>709</v>
      </c>
      <c r="BY135" t="s">
        <v>709</v>
      </c>
      <c r="BZ135" t="s">
        <v>709</v>
      </c>
      <c r="CB135">
        <v>133</v>
      </c>
      <c r="CC135" t="b">
        <v>1</v>
      </c>
      <c r="CD135" t="s">
        <v>2526</v>
      </c>
      <c r="CE135" s="1482">
        <v>45880.732187499998</v>
      </c>
    </row>
    <row r="136" spans="1:83" x14ac:dyDescent="0.25">
      <c r="A136">
        <v>2020</v>
      </c>
      <c r="B136" t="s">
        <v>1981</v>
      </c>
      <c r="C136" t="s">
        <v>2527</v>
      </c>
      <c r="D136" t="s">
        <v>115</v>
      </c>
      <c r="E136" t="s">
        <v>122</v>
      </c>
      <c r="F136" t="s">
        <v>919</v>
      </c>
      <c r="G136" t="s">
        <v>2528</v>
      </c>
      <c r="H136" t="s">
        <v>59</v>
      </c>
      <c r="I136">
        <v>43871</v>
      </c>
      <c r="J136">
        <v>43966</v>
      </c>
      <c r="K136">
        <v>43966</v>
      </c>
      <c r="L136">
        <v>0</v>
      </c>
      <c r="M136" t="s">
        <v>2529</v>
      </c>
      <c r="N136" t="s">
        <v>120</v>
      </c>
      <c r="O136">
        <v>43966</v>
      </c>
      <c r="P136" t="s">
        <v>739</v>
      </c>
      <c r="Q136">
        <v>70519</v>
      </c>
      <c r="R136" t="s">
        <v>1922</v>
      </c>
      <c r="S136">
        <v>2009</v>
      </c>
      <c r="T136" t="s">
        <v>709</v>
      </c>
      <c r="U136">
        <v>68510</v>
      </c>
      <c r="V136" t="s">
        <v>115</v>
      </c>
      <c r="X136" t="s">
        <v>115</v>
      </c>
      <c r="Y136" t="s">
        <v>115</v>
      </c>
      <c r="Z136" t="s">
        <v>115</v>
      </c>
      <c r="AA136" t="s">
        <v>115</v>
      </c>
      <c r="AC136" t="s">
        <v>709</v>
      </c>
      <c r="AM136" t="s">
        <v>709</v>
      </c>
      <c r="AY136" t="s">
        <v>29</v>
      </c>
      <c r="BA136" t="s">
        <v>2530</v>
      </c>
      <c r="BI136" t="s">
        <v>709</v>
      </c>
      <c r="BJ136" t="s">
        <v>709</v>
      </c>
      <c r="BK136" t="s">
        <v>709</v>
      </c>
      <c r="BL136" t="s">
        <v>709</v>
      </c>
      <c r="BM136" t="s">
        <v>709</v>
      </c>
      <c r="BN136" t="s">
        <v>709</v>
      </c>
      <c r="BO136" t="s">
        <v>709</v>
      </c>
      <c r="BP136" t="s">
        <v>709</v>
      </c>
      <c r="BQ136" t="s">
        <v>709</v>
      </c>
      <c r="BR136" t="s">
        <v>709</v>
      </c>
      <c r="BS136" t="s">
        <v>709</v>
      </c>
      <c r="BT136" t="s">
        <v>745</v>
      </c>
      <c r="BU136" t="s">
        <v>709</v>
      </c>
      <c r="BV136" t="s">
        <v>745</v>
      </c>
      <c r="BW136" t="s">
        <v>709</v>
      </c>
      <c r="BX136" t="s">
        <v>745</v>
      </c>
      <c r="BY136" t="s">
        <v>745</v>
      </c>
      <c r="BZ136" t="s">
        <v>709</v>
      </c>
      <c r="CA136" t="s">
        <v>2531</v>
      </c>
      <c r="CB136">
        <v>134</v>
      </c>
      <c r="CC136" t="b">
        <v>1</v>
      </c>
      <c r="CD136" t="s">
        <v>2532</v>
      </c>
      <c r="CE136" s="1482">
        <v>45880.732187499998</v>
      </c>
    </row>
    <row r="137" spans="1:83" ht="225" x14ac:dyDescent="0.25">
      <c r="A137">
        <v>2020</v>
      </c>
      <c r="B137" t="s">
        <v>4</v>
      </c>
      <c r="C137" t="s">
        <v>2533</v>
      </c>
      <c r="D137" t="s">
        <v>2534</v>
      </c>
      <c r="E137" t="s">
        <v>2535</v>
      </c>
      <c r="F137" t="s">
        <v>325</v>
      </c>
      <c r="G137" t="s">
        <v>1882</v>
      </c>
      <c r="H137" t="s">
        <v>59</v>
      </c>
      <c r="I137">
        <v>43934</v>
      </c>
      <c r="J137">
        <v>43976</v>
      </c>
      <c r="K137">
        <v>43972</v>
      </c>
      <c r="L137">
        <v>4</v>
      </c>
      <c r="N137" t="s">
        <v>120</v>
      </c>
      <c r="O137">
        <v>43972</v>
      </c>
      <c r="P137" t="s">
        <v>739</v>
      </c>
      <c r="Q137">
        <v>30536.673999999999</v>
      </c>
      <c r="R137">
        <v>0.1</v>
      </c>
      <c r="S137" t="s">
        <v>709</v>
      </c>
      <c r="T137" t="s">
        <v>709</v>
      </c>
      <c r="U137" t="s">
        <v>709</v>
      </c>
      <c r="V137">
        <v>1261</v>
      </c>
      <c r="X137">
        <v>155983.97</v>
      </c>
      <c r="Y137" t="s">
        <v>115</v>
      </c>
      <c r="Z137">
        <v>149382.76999999999</v>
      </c>
      <c r="AA137">
        <v>305366.74</v>
      </c>
      <c r="AM137" t="s">
        <v>116</v>
      </c>
      <c r="AN137">
        <v>43980</v>
      </c>
      <c r="AO137">
        <v>183705</v>
      </c>
      <c r="AP137">
        <v>158020.44</v>
      </c>
      <c r="AR137">
        <v>144740</v>
      </c>
      <c r="AS137">
        <v>302760.44</v>
      </c>
      <c r="AT137">
        <v>-2606.3000000000002</v>
      </c>
      <c r="AU137">
        <v>-260.63</v>
      </c>
      <c r="AV137">
        <v>920</v>
      </c>
      <c r="AW137" s="4" t="s">
        <v>2536</v>
      </c>
      <c r="AY137" t="s">
        <v>1935</v>
      </c>
      <c r="BA137" t="s">
        <v>2537</v>
      </c>
      <c r="BB137" t="s">
        <v>2538</v>
      </c>
      <c r="BI137" t="s">
        <v>709</v>
      </c>
      <c r="BJ137" t="s">
        <v>709</v>
      </c>
      <c r="BK137" t="s">
        <v>709</v>
      </c>
      <c r="BL137" t="s">
        <v>116</v>
      </c>
      <c r="BM137" t="s">
        <v>709</v>
      </c>
      <c r="BN137" t="s">
        <v>709</v>
      </c>
      <c r="BO137" t="s">
        <v>709</v>
      </c>
      <c r="BP137" t="s">
        <v>709</v>
      </c>
      <c r="BQ137" t="s">
        <v>709</v>
      </c>
      <c r="BR137" t="s">
        <v>709</v>
      </c>
      <c r="BS137">
        <v>1261</v>
      </c>
      <c r="BT137" t="s">
        <v>745</v>
      </c>
      <c r="BU137" t="s">
        <v>709</v>
      </c>
      <c r="BV137" t="s">
        <v>745</v>
      </c>
      <c r="BW137" t="s">
        <v>709</v>
      </c>
      <c r="BX137" t="s">
        <v>745</v>
      </c>
      <c r="BY137" t="s">
        <v>745</v>
      </c>
      <c r="BZ137" t="s">
        <v>709</v>
      </c>
      <c r="CB137">
        <v>136</v>
      </c>
      <c r="CC137" t="b">
        <v>1</v>
      </c>
      <c r="CD137" t="s">
        <v>2539</v>
      </c>
      <c r="CE137" s="1482">
        <v>45880.732199074075</v>
      </c>
    </row>
    <row r="138" spans="1:83" x14ac:dyDescent="0.25">
      <c r="A138">
        <v>2020</v>
      </c>
      <c r="B138" t="s">
        <v>4</v>
      </c>
      <c r="C138" t="s">
        <v>2540</v>
      </c>
      <c r="D138" t="s">
        <v>2541</v>
      </c>
      <c r="E138" t="s">
        <v>1957</v>
      </c>
      <c r="F138" t="s">
        <v>325</v>
      </c>
      <c r="G138" t="s">
        <v>2528</v>
      </c>
      <c r="H138" t="s">
        <v>59</v>
      </c>
      <c r="I138">
        <v>43920</v>
      </c>
      <c r="J138">
        <v>43983</v>
      </c>
      <c r="K138">
        <v>43972</v>
      </c>
      <c r="L138">
        <v>11</v>
      </c>
      <c r="N138" t="s">
        <v>120</v>
      </c>
      <c r="O138">
        <v>43972</v>
      </c>
      <c r="P138" t="s">
        <v>739</v>
      </c>
      <c r="Q138">
        <v>10441.084000000001</v>
      </c>
      <c r="R138">
        <v>0.1</v>
      </c>
      <c r="S138" t="s">
        <v>709</v>
      </c>
      <c r="T138" t="s">
        <v>709</v>
      </c>
      <c r="U138" t="s">
        <v>709</v>
      </c>
      <c r="V138">
        <v>223</v>
      </c>
      <c r="X138">
        <v>95173.5</v>
      </c>
      <c r="Y138" t="s">
        <v>115</v>
      </c>
      <c r="Z138">
        <v>9237.34</v>
      </c>
      <c r="AA138">
        <v>104410.84</v>
      </c>
      <c r="AM138" t="s">
        <v>116</v>
      </c>
      <c r="AN138">
        <v>44002</v>
      </c>
      <c r="AO138">
        <v>184062</v>
      </c>
      <c r="AP138">
        <v>96925.1</v>
      </c>
      <c r="AR138">
        <v>6396.02</v>
      </c>
      <c r="AS138">
        <v>103321.12</v>
      </c>
      <c r="AT138">
        <v>-1089.72</v>
      </c>
      <c r="AU138">
        <v>-108.97199999999999</v>
      </c>
      <c r="AV138" t="s">
        <v>709</v>
      </c>
      <c r="AW138" t="s">
        <v>2542</v>
      </c>
      <c r="AX138">
        <v>-108.97199999999999</v>
      </c>
      <c r="AY138">
        <v>44501</v>
      </c>
      <c r="BA138" t="s">
        <v>2543</v>
      </c>
      <c r="BB138" t="s">
        <v>2544</v>
      </c>
      <c r="BI138" t="s">
        <v>709</v>
      </c>
      <c r="BJ138" t="s">
        <v>709</v>
      </c>
      <c r="BK138" t="s">
        <v>709</v>
      </c>
      <c r="BL138" t="s">
        <v>116</v>
      </c>
      <c r="BM138" t="s">
        <v>709</v>
      </c>
      <c r="BN138" t="s">
        <v>709</v>
      </c>
      <c r="BO138" t="s">
        <v>709</v>
      </c>
      <c r="BP138" t="s">
        <v>709</v>
      </c>
      <c r="BQ138" t="s">
        <v>709</v>
      </c>
      <c r="BR138">
        <v>117</v>
      </c>
      <c r="BS138">
        <v>106</v>
      </c>
      <c r="BT138" t="s">
        <v>745</v>
      </c>
      <c r="BU138" t="s">
        <v>709</v>
      </c>
      <c r="BV138" t="s">
        <v>745</v>
      </c>
      <c r="BW138" t="s">
        <v>709</v>
      </c>
      <c r="BX138" t="s">
        <v>745</v>
      </c>
      <c r="BY138" t="s">
        <v>745</v>
      </c>
      <c r="BZ138" t="s">
        <v>709</v>
      </c>
      <c r="CB138">
        <v>135</v>
      </c>
      <c r="CC138" t="b">
        <v>1</v>
      </c>
      <c r="CD138" t="s">
        <v>2545</v>
      </c>
      <c r="CE138" s="1482">
        <v>45880.732199074075</v>
      </c>
    </row>
    <row r="139" spans="1:83" x14ac:dyDescent="0.25">
      <c r="A139">
        <v>2020</v>
      </c>
      <c r="B139" t="s">
        <v>771</v>
      </c>
      <c r="C139" t="s">
        <v>2244</v>
      </c>
      <c r="D139" t="s">
        <v>2245</v>
      </c>
      <c r="E139" t="s">
        <v>2246</v>
      </c>
      <c r="F139" t="s">
        <v>919</v>
      </c>
      <c r="G139" t="s">
        <v>1896</v>
      </c>
      <c r="H139" t="s">
        <v>2051</v>
      </c>
      <c r="I139">
        <v>43699</v>
      </c>
      <c r="J139" t="s">
        <v>2052</v>
      </c>
      <c r="K139">
        <v>43972</v>
      </c>
      <c r="L139">
        <v>273</v>
      </c>
      <c r="M139" t="s">
        <v>2546</v>
      </c>
      <c r="N139" t="s">
        <v>120</v>
      </c>
      <c r="O139">
        <v>43983</v>
      </c>
      <c r="P139" t="s">
        <v>120</v>
      </c>
      <c r="Q139">
        <v>5442.5</v>
      </c>
      <c r="R139" t="s">
        <v>1922</v>
      </c>
      <c r="S139" t="s">
        <v>709</v>
      </c>
      <c r="T139" t="s">
        <v>709</v>
      </c>
      <c r="U139">
        <v>5442.5</v>
      </c>
      <c r="V139" t="s">
        <v>115</v>
      </c>
      <c r="X139" t="s">
        <v>115</v>
      </c>
      <c r="Y139" t="s">
        <v>115</v>
      </c>
      <c r="Z139" t="s">
        <v>115</v>
      </c>
      <c r="AA139" t="s">
        <v>115</v>
      </c>
      <c r="AM139" t="s">
        <v>709</v>
      </c>
      <c r="AY139" t="s">
        <v>29</v>
      </c>
      <c r="BA139">
        <v>11</v>
      </c>
      <c r="BI139" t="s">
        <v>709</v>
      </c>
      <c r="BJ139" t="s">
        <v>709</v>
      </c>
      <c r="BK139" t="s">
        <v>709</v>
      </c>
      <c r="BL139" t="s">
        <v>116</v>
      </c>
      <c r="BM139" t="s">
        <v>709</v>
      </c>
      <c r="BN139" t="s">
        <v>709</v>
      </c>
      <c r="BO139" t="s">
        <v>709</v>
      </c>
      <c r="BP139" t="s">
        <v>709</v>
      </c>
      <c r="BQ139" t="s">
        <v>709</v>
      </c>
      <c r="BR139" t="s">
        <v>709</v>
      </c>
      <c r="BS139">
        <v>10105</v>
      </c>
      <c r="BT139" t="s">
        <v>745</v>
      </c>
      <c r="BU139" t="s">
        <v>709</v>
      </c>
      <c r="BV139" t="s">
        <v>745</v>
      </c>
      <c r="BW139" t="s">
        <v>709</v>
      </c>
      <c r="BX139" t="s">
        <v>745</v>
      </c>
      <c r="BY139" t="s">
        <v>745</v>
      </c>
      <c r="BZ139" t="s">
        <v>709</v>
      </c>
      <c r="CB139">
        <v>137</v>
      </c>
      <c r="CC139" t="b">
        <v>1</v>
      </c>
      <c r="CD139" t="s">
        <v>2547</v>
      </c>
      <c r="CE139" s="1482">
        <v>45880.732210648152</v>
      </c>
    </row>
    <row r="140" spans="1:83" x14ac:dyDescent="0.25">
      <c r="A140">
        <v>2020</v>
      </c>
      <c r="B140" t="s">
        <v>4</v>
      </c>
      <c r="C140" t="s">
        <v>2548</v>
      </c>
      <c r="D140" t="s">
        <v>2549</v>
      </c>
      <c r="E140" t="s">
        <v>910</v>
      </c>
      <c r="F140" t="s">
        <v>738</v>
      </c>
      <c r="G140" t="s">
        <v>40</v>
      </c>
      <c r="H140" t="s">
        <v>59</v>
      </c>
      <c r="I140">
        <v>43909</v>
      </c>
      <c r="J140">
        <v>43980</v>
      </c>
      <c r="K140">
        <v>43978</v>
      </c>
      <c r="L140">
        <v>2</v>
      </c>
      <c r="N140" t="s">
        <v>120</v>
      </c>
      <c r="O140">
        <v>43983</v>
      </c>
      <c r="P140" t="s">
        <v>739</v>
      </c>
      <c r="Q140">
        <v>3883.6860000000001</v>
      </c>
      <c r="R140">
        <v>0.1</v>
      </c>
      <c r="S140" t="s">
        <v>709</v>
      </c>
      <c r="T140" t="s">
        <v>709</v>
      </c>
      <c r="U140" t="s">
        <v>709</v>
      </c>
      <c r="V140">
        <v>90</v>
      </c>
      <c r="X140">
        <v>34288.6</v>
      </c>
      <c r="Y140" t="s">
        <v>115</v>
      </c>
      <c r="Z140">
        <v>4548.26</v>
      </c>
      <c r="AA140">
        <v>38836.86</v>
      </c>
      <c r="AM140" t="s">
        <v>116</v>
      </c>
      <c r="AN140">
        <v>44032</v>
      </c>
      <c r="AO140">
        <v>189276</v>
      </c>
      <c r="AP140">
        <v>34334.35</v>
      </c>
      <c r="AR140">
        <v>8959.7800000000007</v>
      </c>
      <c r="AS140">
        <v>43294.13</v>
      </c>
      <c r="AT140">
        <v>4457.2700000000004</v>
      </c>
      <c r="AU140">
        <v>445.72699999999998</v>
      </c>
      <c r="AV140" t="s">
        <v>709</v>
      </c>
      <c r="AW140" t="s">
        <v>2550</v>
      </c>
      <c r="AX140">
        <v>445.72699999999998</v>
      </c>
      <c r="AY140">
        <v>44501</v>
      </c>
      <c r="BA140" t="s">
        <v>2551</v>
      </c>
      <c r="BB140" t="s">
        <v>2372</v>
      </c>
      <c r="BI140" t="s">
        <v>709</v>
      </c>
      <c r="BJ140" t="s">
        <v>709</v>
      </c>
      <c r="BK140" t="s">
        <v>709</v>
      </c>
      <c r="BL140" t="s">
        <v>116</v>
      </c>
      <c r="BM140" t="s">
        <v>709</v>
      </c>
      <c r="BN140" t="s">
        <v>709</v>
      </c>
      <c r="BO140" t="s">
        <v>709</v>
      </c>
      <c r="BP140" t="s">
        <v>709</v>
      </c>
      <c r="BQ140" t="s">
        <v>709</v>
      </c>
      <c r="BR140" t="s">
        <v>709</v>
      </c>
      <c r="BS140">
        <v>90</v>
      </c>
      <c r="BT140" t="s">
        <v>745</v>
      </c>
      <c r="BU140" t="s">
        <v>709</v>
      </c>
      <c r="BV140" t="s">
        <v>745</v>
      </c>
      <c r="BW140" t="s">
        <v>709</v>
      </c>
      <c r="BX140" t="s">
        <v>745</v>
      </c>
      <c r="BY140" t="s">
        <v>745</v>
      </c>
      <c r="BZ140" t="s">
        <v>709</v>
      </c>
      <c r="CB140">
        <v>138</v>
      </c>
      <c r="CC140" t="b">
        <v>1</v>
      </c>
      <c r="CD140" t="s">
        <v>2552</v>
      </c>
      <c r="CE140" s="1482">
        <v>45880.732210648152</v>
      </c>
    </row>
    <row r="141" spans="1:83" x14ac:dyDescent="0.25">
      <c r="A141">
        <v>2020</v>
      </c>
      <c r="B141" t="s">
        <v>1981</v>
      </c>
      <c r="C141" t="s">
        <v>2553</v>
      </c>
      <c r="D141" t="s">
        <v>115</v>
      </c>
      <c r="E141" t="s">
        <v>2554</v>
      </c>
      <c r="F141" t="s">
        <v>919</v>
      </c>
      <c r="G141" t="s">
        <v>2528</v>
      </c>
      <c r="H141" t="s">
        <v>59</v>
      </c>
      <c r="I141">
        <v>43871</v>
      </c>
      <c r="J141">
        <v>43980</v>
      </c>
      <c r="K141">
        <v>43979</v>
      </c>
      <c r="L141">
        <v>1</v>
      </c>
      <c r="N141" t="s">
        <v>120</v>
      </c>
      <c r="O141">
        <v>43983</v>
      </c>
      <c r="P141" t="s">
        <v>739</v>
      </c>
      <c r="Q141">
        <v>137536.5</v>
      </c>
      <c r="R141" t="s">
        <v>1922</v>
      </c>
      <c r="S141">
        <v>2904</v>
      </c>
      <c r="T141" t="s">
        <v>709</v>
      </c>
      <c r="U141">
        <v>134632.5</v>
      </c>
      <c r="V141" t="s">
        <v>115</v>
      </c>
      <c r="X141" t="s">
        <v>115</v>
      </c>
      <c r="Y141" t="s">
        <v>115</v>
      </c>
      <c r="Z141" t="s">
        <v>115</v>
      </c>
      <c r="AA141" t="s">
        <v>115</v>
      </c>
      <c r="AM141" t="s">
        <v>709</v>
      </c>
      <c r="AW141" s="4"/>
      <c r="AY141" t="s">
        <v>29</v>
      </c>
      <c r="BA141" t="s">
        <v>2530</v>
      </c>
      <c r="BI141" t="s">
        <v>709</v>
      </c>
      <c r="BJ141" t="s">
        <v>709</v>
      </c>
      <c r="BK141" t="s">
        <v>709</v>
      </c>
      <c r="BL141" t="s">
        <v>709</v>
      </c>
      <c r="BM141" t="s">
        <v>709</v>
      </c>
      <c r="BN141" t="s">
        <v>709</v>
      </c>
      <c r="BO141" t="s">
        <v>709</v>
      </c>
      <c r="BP141" t="s">
        <v>709</v>
      </c>
      <c r="BQ141" t="s">
        <v>709</v>
      </c>
      <c r="BR141" t="s">
        <v>709</v>
      </c>
      <c r="BS141" t="s">
        <v>709</v>
      </c>
      <c r="BT141" t="s">
        <v>745</v>
      </c>
      <c r="BU141" t="s">
        <v>709</v>
      </c>
      <c r="BV141" t="s">
        <v>745</v>
      </c>
      <c r="BW141" t="s">
        <v>709</v>
      </c>
      <c r="BX141" t="s">
        <v>745</v>
      </c>
      <c r="BY141" t="s">
        <v>745</v>
      </c>
      <c r="BZ141" t="s">
        <v>709</v>
      </c>
      <c r="CA141" t="s">
        <v>2531</v>
      </c>
      <c r="CB141">
        <v>139</v>
      </c>
      <c r="CC141" t="b">
        <v>1</v>
      </c>
      <c r="CD141" t="s">
        <v>2555</v>
      </c>
      <c r="CE141" s="1482">
        <v>45880.732222222221</v>
      </c>
    </row>
    <row r="142" spans="1:83" ht="285" x14ac:dyDescent="0.25">
      <c r="A142">
        <v>2019</v>
      </c>
      <c r="B142" t="s">
        <v>4</v>
      </c>
      <c r="C142" t="s">
        <v>121</v>
      </c>
      <c r="D142" t="s">
        <v>2556</v>
      </c>
      <c r="E142" t="s">
        <v>122</v>
      </c>
      <c r="F142" t="s">
        <v>919</v>
      </c>
      <c r="G142" t="s">
        <v>36</v>
      </c>
      <c r="H142" t="s">
        <v>59</v>
      </c>
      <c r="I142">
        <v>43497</v>
      </c>
      <c r="J142">
        <v>43847</v>
      </c>
      <c r="K142">
        <v>43986</v>
      </c>
      <c r="L142">
        <v>0</v>
      </c>
      <c r="M142" t="s">
        <v>2557</v>
      </c>
      <c r="N142" t="s">
        <v>120</v>
      </c>
      <c r="O142">
        <v>43986</v>
      </c>
      <c r="P142" t="s">
        <v>739</v>
      </c>
      <c r="Q142">
        <v>148949.85200000001</v>
      </c>
      <c r="R142">
        <v>0.1</v>
      </c>
      <c r="S142" t="s">
        <v>709</v>
      </c>
      <c r="T142" t="s">
        <v>709</v>
      </c>
      <c r="U142" t="s">
        <v>709</v>
      </c>
      <c r="V142">
        <v>6726</v>
      </c>
      <c r="X142">
        <v>1303254.77</v>
      </c>
      <c r="Y142" t="s">
        <v>115</v>
      </c>
      <c r="Z142">
        <v>186243.75</v>
      </c>
      <c r="AA142">
        <v>1489498.52</v>
      </c>
      <c r="AM142" t="s">
        <v>116</v>
      </c>
      <c r="AN142">
        <v>44692</v>
      </c>
      <c r="AO142">
        <v>11038066</v>
      </c>
      <c r="AP142">
        <v>1639431.66</v>
      </c>
      <c r="AR142">
        <v>189109.22</v>
      </c>
      <c r="AS142">
        <v>1828540.88</v>
      </c>
      <c r="AT142">
        <v>339042.36</v>
      </c>
      <c r="AU142">
        <v>33904.235999999997</v>
      </c>
      <c r="AV142">
        <v>10215</v>
      </c>
      <c r="AW142" s="4" t="s">
        <v>2558</v>
      </c>
      <c r="AX142">
        <v>0</v>
      </c>
      <c r="AY142">
        <v>45008</v>
      </c>
      <c r="BA142" t="s">
        <v>2559</v>
      </c>
      <c r="BB142" t="s">
        <v>2270</v>
      </c>
      <c r="BI142" t="s">
        <v>709</v>
      </c>
      <c r="BJ142" t="s">
        <v>709</v>
      </c>
      <c r="BK142" t="s">
        <v>709</v>
      </c>
      <c r="BL142" t="s">
        <v>116</v>
      </c>
      <c r="BM142" t="s">
        <v>709</v>
      </c>
      <c r="BN142" t="s">
        <v>709</v>
      </c>
      <c r="BO142" t="s">
        <v>709</v>
      </c>
      <c r="BP142">
        <v>3618</v>
      </c>
      <c r="BQ142">
        <v>2805</v>
      </c>
      <c r="BR142">
        <v>12</v>
      </c>
      <c r="BS142">
        <v>291</v>
      </c>
      <c r="BT142" t="s">
        <v>745</v>
      </c>
      <c r="BU142" t="s">
        <v>709</v>
      </c>
      <c r="BV142" t="s">
        <v>745</v>
      </c>
      <c r="BW142" t="s">
        <v>709</v>
      </c>
      <c r="BX142" t="s">
        <v>745</v>
      </c>
      <c r="BY142" t="s">
        <v>745</v>
      </c>
      <c r="BZ142" t="s">
        <v>709</v>
      </c>
      <c r="CB142">
        <v>140</v>
      </c>
      <c r="CC142" t="b">
        <v>1</v>
      </c>
      <c r="CD142" t="s">
        <v>2560</v>
      </c>
      <c r="CE142" s="1482">
        <v>45880.732222222221</v>
      </c>
    </row>
    <row r="143" spans="1:83" x14ac:dyDescent="0.25">
      <c r="A143">
        <v>2020</v>
      </c>
      <c r="B143" t="s">
        <v>1073</v>
      </c>
      <c r="C143" t="s">
        <v>2443</v>
      </c>
      <c r="D143" t="s">
        <v>2444</v>
      </c>
      <c r="E143" t="s">
        <v>1522</v>
      </c>
      <c r="F143" t="s">
        <v>919</v>
      </c>
      <c r="G143" t="s">
        <v>1882</v>
      </c>
      <c r="H143" t="s">
        <v>2051</v>
      </c>
      <c r="I143">
        <v>43852</v>
      </c>
      <c r="J143" t="s">
        <v>2052</v>
      </c>
      <c r="K143">
        <v>43986</v>
      </c>
      <c r="L143">
        <v>134</v>
      </c>
      <c r="M143" t="s">
        <v>2561</v>
      </c>
      <c r="N143" t="s">
        <v>120</v>
      </c>
      <c r="O143">
        <v>43986</v>
      </c>
      <c r="P143" t="s">
        <v>739</v>
      </c>
      <c r="Q143">
        <v>1317.5</v>
      </c>
      <c r="R143" t="s">
        <v>1922</v>
      </c>
      <c r="S143" t="s">
        <v>709</v>
      </c>
      <c r="T143" t="s">
        <v>709</v>
      </c>
      <c r="U143">
        <v>1317.5</v>
      </c>
      <c r="V143" t="s">
        <v>115</v>
      </c>
      <c r="AM143" t="s">
        <v>709</v>
      </c>
      <c r="AY143" t="s">
        <v>29</v>
      </c>
      <c r="BA143">
        <v>4</v>
      </c>
      <c r="BI143" t="s">
        <v>709</v>
      </c>
      <c r="BJ143" t="s">
        <v>709</v>
      </c>
      <c r="BK143" t="s">
        <v>709</v>
      </c>
      <c r="BL143" t="s">
        <v>116</v>
      </c>
      <c r="BM143" t="s">
        <v>709</v>
      </c>
      <c r="BN143" t="s">
        <v>709</v>
      </c>
      <c r="BO143" t="s">
        <v>709</v>
      </c>
      <c r="BP143" t="s">
        <v>709</v>
      </c>
      <c r="BQ143" t="s">
        <v>709</v>
      </c>
      <c r="BR143">
        <v>1461</v>
      </c>
      <c r="BS143" t="s">
        <v>709</v>
      </c>
      <c r="BT143" t="s">
        <v>745</v>
      </c>
      <c r="BU143" t="s">
        <v>709</v>
      </c>
      <c r="BV143" t="s">
        <v>745</v>
      </c>
      <c r="BW143" t="s">
        <v>709</v>
      </c>
      <c r="BX143" t="s">
        <v>745</v>
      </c>
      <c r="BY143" t="s">
        <v>745</v>
      </c>
      <c r="BZ143" t="s">
        <v>709</v>
      </c>
      <c r="CB143">
        <v>141</v>
      </c>
      <c r="CC143" t="b">
        <v>1</v>
      </c>
      <c r="CD143" t="s">
        <v>2562</v>
      </c>
      <c r="CE143" s="1482">
        <v>45880.732233796298</v>
      </c>
    </row>
    <row r="144" spans="1:83" x14ac:dyDescent="0.25">
      <c r="A144">
        <v>2020</v>
      </c>
      <c r="B144" t="s">
        <v>1073</v>
      </c>
      <c r="C144" t="s">
        <v>2563</v>
      </c>
      <c r="D144" t="s">
        <v>2564</v>
      </c>
      <c r="E144" t="s">
        <v>1633</v>
      </c>
      <c r="F144" t="s">
        <v>325</v>
      </c>
      <c r="G144" t="s">
        <v>2528</v>
      </c>
      <c r="H144" t="s">
        <v>59</v>
      </c>
      <c r="I144">
        <v>43943</v>
      </c>
      <c r="J144">
        <v>43985</v>
      </c>
      <c r="K144">
        <v>43986</v>
      </c>
      <c r="L144">
        <v>0</v>
      </c>
      <c r="M144" t="s">
        <v>2565</v>
      </c>
      <c r="N144" t="s">
        <v>120</v>
      </c>
      <c r="O144">
        <v>43986</v>
      </c>
      <c r="P144" t="s">
        <v>739</v>
      </c>
      <c r="Q144">
        <v>7458</v>
      </c>
      <c r="R144" t="s">
        <v>1922</v>
      </c>
      <c r="S144">
        <v>453</v>
      </c>
      <c r="T144" t="s">
        <v>709</v>
      </c>
      <c r="U144">
        <v>7005</v>
      </c>
      <c r="V144">
        <v>261</v>
      </c>
      <c r="AM144" t="s">
        <v>709</v>
      </c>
      <c r="AY144" t="s">
        <v>29</v>
      </c>
      <c r="BA144" t="s">
        <v>2566</v>
      </c>
      <c r="BI144" t="s">
        <v>709</v>
      </c>
      <c r="BJ144" t="s">
        <v>709</v>
      </c>
      <c r="BK144" t="s">
        <v>709</v>
      </c>
      <c r="BL144" t="s">
        <v>116</v>
      </c>
      <c r="BM144" t="s">
        <v>709</v>
      </c>
      <c r="BN144" t="s">
        <v>709</v>
      </c>
      <c r="BO144" t="s">
        <v>709</v>
      </c>
      <c r="BP144" t="s">
        <v>709</v>
      </c>
      <c r="BQ144" t="s">
        <v>709</v>
      </c>
      <c r="BR144" t="s">
        <v>709</v>
      </c>
      <c r="BS144">
        <v>261</v>
      </c>
      <c r="BT144" t="s">
        <v>745</v>
      </c>
      <c r="BU144" t="s">
        <v>709</v>
      </c>
      <c r="BV144" t="s">
        <v>745</v>
      </c>
      <c r="BW144" t="s">
        <v>709</v>
      </c>
      <c r="BX144" t="s">
        <v>745</v>
      </c>
      <c r="BY144" t="s">
        <v>745</v>
      </c>
      <c r="BZ144" t="s">
        <v>709</v>
      </c>
      <c r="CB144">
        <v>142</v>
      </c>
      <c r="CC144" t="b">
        <v>1</v>
      </c>
      <c r="CD144" t="s">
        <v>2567</v>
      </c>
      <c r="CE144" s="1482">
        <v>45880.732233796298</v>
      </c>
    </row>
    <row r="145" spans="1:83" x14ac:dyDescent="0.25">
      <c r="A145">
        <v>2020</v>
      </c>
      <c r="B145" t="s">
        <v>4</v>
      </c>
      <c r="C145" t="s">
        <v>2533</v>
      </c>
      <c r="D145" t="s">
        <v>2534</v>
      </c>
      <c r="E145" t="s">
        <v>2535</v>
      </c>
      <c r="F145" t="s">
        <v>325</v>
      </c>
      <c r="G145" t="s">
        <v>1882</v>
      </c>
      <c r="H145" t="s">
        <v>2051</v>
      </c>
      <c r="I145">
        <v>43934</v>
      </c>
      <c r="J145" t="s">
        <v>2052</v>
      </c>
      <c r="K145">
        <v>43990</v>
      </c>
      <c r="L145">
        <v>56</v>
      </c>
      <c r="M145" t="s">
        <v>2568</v>
      </c>
      <c r="N145" t="s">
        <v>120</v>
      </c>
      <c r="O145">
        <v>43990</v>
      </c>
      <c r="P145" t="s">
        <v>739</v>
      </c>
      <c r="Q145">
        <v>920</v>
      </c>
      <c r="R145" t="s">
        <v>1922</v>
      </c>
      <c r="S145" t="s">
        <v>709</v>
      </c>
      <c r="T145" t="s">
        <v>709</v>
      </c>
      <c r="U145">
        <v>920</v>
      </c>
      <c r="V145" t="s">
        <v>115</v>
      </c>
      <c r="AM145" t="s">
        <v>709</v>
      </c>
      <c r="AY145" t="s">
        <v>29</v>
      </c>
      <c r="BA145">
        <v>4</v>
      </c>
      <c r="BI145" t="s">
        <v>709</v>
      </c>
      <c r="BJ145" t="s">
        <v>709</v>
      </c>
      <c r="BK145" t="s">
        <v>709</v>
      </c>
      <c r="BL145" t="s">
        <v>116</v>
      </c>
      <c r="BM145" t="s">
        <v>709</v>
      </c>
      <c r="BN145" t="s">
        <v>709</v>
      </c>
      <c r="BO145" t="s">
        <v>709</v>
      </c>
      <c r="BP145" t="s">
        <v>709</v>
      </c>
      <c r="BQ145" t="s">
        <v>709</v>
      </c>
      <c r="BR145" t="s">
        <v>709</v>
      </c>
      <c r="BS145">
        <v>1261</v>
      </c>
      <c r="BT145" t="s">
        <v>745</v>
      </c>
      <c r="BU145" t="s">
        <v>709</v>
      </c>
      <c r="BV145" t="s">
        <v>745</v>
      </c>
      <c r="BW145" t="s">
        <v>709</v>
      </c>
      <c r="BX145" t="s">
        <v>745</v>
      </c>
      <c r="BY145" t="s">
        <v>745</v>
      </c>
      <c r="BZ145" t="s">
        <v>709</v>
      </c>
      <c r="CB145">
        <v>143</v>
      </c>
      <c r="CC145" t="b">
        <v>1</v>
      </c>
      <c r="CD145" t="s">
        <v>2569</v>
      </c>
      <c r="CE145" s="1482">
        <v>45880.732245370367</v>
      </c>
    </row>
    <row r="146" spans="1:83" x14ac:dyDescent="0.25">
      <c r="A146">
        <v>2020</v>
      </c>
      <c r="B146" t="s">
        <v>769</v>
      </c>
      <c r="C146" t="s">
        <v>2328</v>
      </c>
      <c r="D146" t="s">
        <v>2329</v>
      </c>
      <c r="E146" t="s">
        <v>393</v>
      </c>
      <c r="F146" t="s">
        <v>325</v>
      </c>
      <c r="G146" t="s">
        <v>1882</v>
      </c>
      <c r="H146" t="s">
        <v>2051</v>
      </c>
      <c r="I146">
        <v>43761</v>
      </c>
      <c r="J146" t="s">
        <v>2052</v>
      </c>
      <c r="K146">
        <v>43992</v>
      </c>
      <c r="L146">
        <v>231</v>
      </c>
      <c r="M146" t="s">
        <v>2570</v>
      </c>
      <c r="N146" t="s">
        <v>120</v>
      </c>
      <c r="O146">
        <v>43992</v>
      </c>
      <c r="P146" t="s">
        <v>739</v>
      </c>
      <c r="Q146">
        <v>30876.75</v>
      </c>
      <c r="R146" t="s">
        <v>1922</v>
      </c>
      <c r="S146">
        <v>1466.75</v>
      </c>
      <c r="T146" t="s">
        <v>709</v>
      </c>
      <c r="U146">
        <v>29410</v>
      </c>
      <c r="V146">
        <v>0</v>
      </c>
      <c r="AM146" t="s">
        <v>709</v>
      </c>
      <c r="AY146" t="s">
        <v>29</v>
      </c>
      <c r="BA146">
        <v>5</v>
      </c>
      <c r="BI146" t="s">
        <v>709</v>
      </c>
      <c r="BJ146" t="s">
        <v>709</v>
      </c>
      <c r="BK146" t="s">
        <v>709</v>
      </c>
      <c r="BL146" t="s">
        <v>709</v>
      </c>
      <c r="BM146" t="s">
        <v>709</v>
      </c>
      <c r="BN146" t="s">
        <v>709</v>
      </c>
      <c r="BO146" t="s">
        <v>709</v>
      </c>
      <c r="BP146" t="s">
        <v>709</v>
      </c>
      <c r="BQ146" t="s">
        <v>709</v>
      </c>
      <c r="BR146" t="s">
        <v>709</v>
      </c>
      <c r="BS146" t="s">
        <v>709</v>
      </c>
      <c r="BT146" t="s">
        <v>709</v>
      </c>
      <c r="BU146" t="s">
        <v>709</v>
      </c>
      <c r="BV146" t="s">
        <v>709</v>
      </c>
      <c r="BW146" t="s">
        <v>709</v>
      </c>
      <c r="BX146" t="s">
        <v>709</v>
      </c>
      <c r="BY146" t="s">
        <v>709</v>
      </c>
      <c r="BZ146" t="s">
        <v>709</v>
      </c>
      <c r="CA146" t="s">
        <v>2333</v>
      </c>
      <c r="CB146">
        <v>144</v>
      </c>
      <c r="CC146" t="b">
        <v>1</v>
      </c>
      <c r="CD146" t="s">
        <v>2571</v>
      </c>
      <c r="CE146" s="1482">
        <v>45880.732245370367</v>
      </c>
    </row>
    <row r="147" spans="1:83" x14ac:dyDescent="0.25">
      <c r="A147">
        <v>2020</v>
      </c>
      <c r="B147" t="s">
        <v>1981</v>
      </c>
      <c r="C147" t="s">
        <v>2572</v>
      </c>
      <c r="D147" t="s">
        <v>115</v>
      </c>
      <c r="E147" t="s">
        <v>2573</v>
      </c>
      <c r="F147" t="s">
        <v>919</v>
      </c>
      <c r="G147" t="s">
        <v>2528</v>
      </c>
      <c r="H147" t="s">
        <v>59</v>
      </c>
      <c r="I147">
        <v>43913</v>
      </c>
      <c r="J147">
        <v>44005</v>
      </c>
      <c r="K147">
        <v>43999</v>
      </c>
      <c r="L147">
        <v>6</v>
      </c>
      <c r="N147" t="s">
        <v>120</v>
      </c>
      <c r="O147">
        <v>43999</v>
      </c>
      <c r="P147" t="s">
        <v>739</v>
      </c>
      <c r="Q147">
        <v>60432.25</v>
      </c>
      <c r="R147" t="s">
        <v>1922</v>
      </c>
      <c r="S147">
        <v>2087.25</v>
      </c>
      <c r="T147" t="s">
        <v>709</v>
      </c>
      <c r="U147">
        <v>58345</v>
      </c>
      <c r="V147">
        <v>0</v>
      </c>
      <c r="AM147" t="s">
        <v>709</v>
      </c>
      <c r="AY147" t="s">
        <v>29</v>
      </c>
      <c r="BA147" t="s">
        <v>2530</v>
      </c>
      <c r="BB147" t="s">
        <v>2574</v>
      </c>
      <c r="BI147" t="s">
        <v>709</v>
      </c>
      <c r="BJ147" t="s">
        <v>709</v>
      </c>
      <c r="BK147" t="s">
        <v>709</v>
      </c>
      <c r="BL147" t="s">
        <v>709</v>
      </c>
      <c r="BM147" t="s">
        <v>709</v>
      </c>
      <c r="BN147" t="s">
        <v>709</v>
      </c>
      <c r="BO147" t="s">
        <v>709</v>
      </c>
      <c r="BP147" t="s">
        <v>709</v>
      </c>
      <c r="BQ147" t="s">
        <v>709</v>
      </c>
      <c r="BR147" t="s">
        <v>709</v>
      </c>
      <c r="BS147" t="s">
        <v>709</v>
      </c>
      <c r="BT147" t="s">
        <v>745</v>
      </c>
      <c r="BU147" t="s">
        <v>709</v>
      </c>
      <c r="BV147" t="s">
        <v>745</v>
      </c>
      <c r="BW147" t="s">
        <v>709</v>
      </c>
      <c r="BX147" t="s">
        <v>745</v>
      </c>
      <c r="BY147" t="s">
        <v>745</v>
      </c>
      <c r="BZ147" t="s">
        <v>709</v>
      </c>
      <c r="CA147" t="s">
        <v>2531</v>
      </c>
      <c r="CB147">
        <v>145</v>
      </c>
      <c r="CC147" t="b">
        <v>1</v>
      </c>
      <c r="CD147" t="s">
        <v>2575</v>
      </c>
      <c r="CE147" s="1482">
        <v>45880.732256944444</v>
      </c>
    </row>
    <row r="148" spans="1:83" x14ac:dyDescent="0.25">
      <c r="A148">
        <v>2020</v>
      </c>
      <c r="B148" t="s">
        <v>4</v>
      </c>
      <c r="C148" t="s">
        <v>2576</v>
      </c>
      <c r="D148" t="s">
        <v>2577</v>
      </c>
      <c r="E148" t="s">
        <v>1920</v>
      </c>
      <c r="F148" t="s">
        <v>919</v>
      </c>
      <c r="G148" t="s">
        <v>1882</v>
      </c>
      <c r="H148" t="s">
        <v>59</v>
      </c>
      <c r="I148">
        <v>43937</v>
      </c>
      <c r="J148">
        <v>44004</v>
      </c>
      <c r="K148">
        <v>43999</v>
      </c>
      <c r="L148">
        <v>5</v>
      </c>
      <c r="N148" t="s">
        <v>120</v>
      </c>
      <c r="O148">
        <v>43999</v>
      </c>
      <c r="P148" t="s">
        <v>739</v>
      </c>
      <c r="Q148">
        <v>22508.446</v>
      </c>
      <c r="R148">
        <v>0.1</v>
      </c>
      <c r="S148" t="s">
        <v>709</v>
      </c>
      <c r="T148" t="s">
        <v>709</v>
      </c>
      <c r="U148" t="s">
        <v>709</v>
      </c>
      <c r="V148">
        <v>954</v>
      </c>
      <c r="X148">
        <v>131870.01999999999</v>
      </c>
      <c r="Y148" t="s">
        <v>115</v>
      </c>
      <c r="Z148">
        <v>93214.44</v>
      </c>
      <c r="AA148">
        <v>225084.46</v>
      </c>
      <c r="AM148" t="s">
        <v>116</v>
      </c>
      <c r="AN148">
        <v>44497</v>
      </c>
      <c r="AO148">
        <v>11042148</v>
      </c>
      <c r="AP148">
        <v>142454.41</v>
      </c>
      <c r="AR148">
        <v>34313.279999999999</v>
      </c>
      <c r="AS148">
        <v>176767.69</v>
      </c>
      <c r="AT148">
        <v>-48316.77</v>
      </c>
      <c r="AU148">
        <v>-4831.6769999999997</v>
      </c>
      <c r="AV148">
        <v>9688.7999999999993</v>
      </c>
      <c r="AW148" t="s">
        <v>2578</v>
      </c>
      <c r="AX148">
        <v>0</v>
      </c>
      <c r="AY148">
        <v>45008</v>
      </c>
      <c r="BA148" t="s">
        <v>2579</v>
      </c>
      <c r="BB148" t="s">
        <v>2580</v>
      </c>
      <c r="BI148" t="s">
        <v>709</v>
      </c>
      <c r="BJ148" t="s">
        <v>709</v>
      </c>
      <c r="BK148" t="s">
        <v>709</v>
      </c>
      <c r="BL148" t="s">
        <v>116</v>
      </c>
      <c r="BM148" t="s">
        <v>709</v>
      </c>
      <c r="BN148" t="s">
        <v>709</v>
      </c>
      <c r="BO148" t="s">
        <v>709</v>
      </c>
      <c r="BP148" t="s">
        <v>709</v>
      </c>
      <c r="BQ148" t="s">
        <v>709</v>
      </c>
      <c r="BR148">
        <v>918</v>
      </c>
      <c r="BS148">
        <v>36</v>
      </c>
      <c r="BT148" t="s">
        <v>745</v>
      </c>
      <c r="BU148" t="s">
        <v>709</v>
      </c>
      <c r="BV148" t="s">
        <v>745</v>
      </c>
      <c r="BW148" t="s">
        <v>709</v>
      </c>
      <c r="BX148" t="s">
        <v>745</v>
      </c>
      <c r="BY148" t="s">
        <v>745</v>
      </c>
      <c r="BZ148" t="s">
        <v>709</v>
      </c>
      <c r="CB148">
        <v>146</v>
      </c>
      <c r="CC148" t="b">
        <v>1</v>
      </c>
      <c r="CD148" t="s">
        <v>2581</v>
      </c>
      <c r="CE148" s="1482">
        <v>45880.732256944444</v>
      </c>
    </row>
    <row r="149" spans="1:83" x14ac:dyDescent="0.25">
      <c r="A149">
        <v>2020</v>
      </c>
      <c r="B149" t="s">
        <v>1205</v>
      </c>
      <c r="C149" t="s">
        <v>2582</v>
      </c>
      <c r="D149" t="s">
        <v>2583</v>
      </c>
      <c r="E149" t="s">
        <v>164</v>
      </c>
      <c r="F149" t="s">
        <v>738</v>
      </c>
      <c r="G149" t="s">
        <v>36</v>
      </c>
      <c r="H149" t="s">
        <v>59</v>
      </c>
      <c r="I149">
        <v>43963</v>
      </c>
      <c r="J149">
        <v>44005</v>
      </c>
      <c r="K149">
        <v>43999</v>
      </c>
      <c r="L149">
        <v>6</v>
      </c>
      <c r="N149" t="s">
        <v>120</v>
      </c>
      <c r="O149">
        <v>43999</v>
      </c>
      <c r="P149" t="s">
        <v>739</v>
      </c>
      <c r="Q149">
        <v>7504.25</v>
      </c>
      <c r="R149" t="s">
        <v>1922</v>
      </c>
      <c r="S149">
        <v>611.75</v>
      </c>
      <c r="T149" t="s">
        <v>709</v>
      </c>
      <c r="U149">
        <v>6892.5</v>
      </c>
      <c r="V149">
        <v>0</v>
      </c>
      <c r="X149">
        <v>0</v>
      </c>
      <c r="Y149">
        <v>0</v>
      </c>
      <c r="Z149">
        <v>37512.980000000003</v>
      </c>
      <c r="AA149">
        <v>37512.980000000003</v>
      </c>
      <c r="AM149" t="s">
        <v>709</v>
      </c>
      <c r="AY149" t="s">
        <v>29</v>
      </c>
      <c r="BA149" t="s">
        <v>2584</v>
      </c>
      <c r="BB149" t="s">
        <v>2585</v>
      </c>
      <c r="BI149" t="s">
        <v>709</v>
      </c>
      <c r="BJ149" t="s">
        <v>709</v>
      </c>
      <c r="BK149" t="s">
        <v>709</v>
      </c>
      <c r="BL149" t="s">
        <v>709</v>
      </c>
      <c r="BM149" t="s">
        <v>709</v>
      </c>
      <c r="BN149" t="s">
        <v>709</v>
      </c>
      <c r="BO149" t="s">
        <v>709</v>
      </c>
      <c r="BP149" t="s">
        <v>709</v>
      </c>
      <c r="BQ149" t="s">
        <v>709</v>
      </c>
      <c r="BR149" t="s">
        <v>709</v>
      </c>
      <c r="BS149" t="s">
        <v>709</v>
      </c>
      <c r="BT149" t="s">
        <v>745</v>
      </c>
      <c r="BU149" t="s">
        <v>709</v>
      </c>
      <c r="BV149" t="s">
        <v>745</v>
      </c>
      <c r="BW149" t="s">
        <v>709</v>
      </c>
      <c r="BX149" t="s">
        <v>745</v>
      </c>
      <c r="BY149" t="s">
        <v>745</v>
      </c>
      <c r="BZ149" t="s">
        <v>709</v>
      </c>
      <c r="CA149" t="s">
        <v>1146</v>
      </c>
      <c r="CB149">
        <v>148</v>
      </c>
      <c r="CC149" t="b">
        <v>1</v>
      </c>
      <c r="CD149" t="s">
        <v>2586</v>
      </c>
      <c r="CE149" s="1482">
        <v>45880.732268518521</v>
      </c>
    </row>
    <row r="150" spans="1:83" x14ac:dyDescent="0.25">
      <c r="A150">
        <v>2020</v>
      </c>
      <c r="B150" t="s">
        <v>1205</v>
      </c>
      <c r="C150" t="s">
        <v>2587</v>
      </c>
      <c r="D150" t="s">
        <v>2588</v>
      </c>
      <c r="E150" t="s">
        <v>164</v>
      </c>
      <c r="F150" t="s">
        <v>738</v>
      </c>
      <c r="G150" t="s">
        <v>36</v>
      </c>
      <c r="H150" t="s">
        <v>59</v>
      </c>
      <c r="I150">
        <v>43963</v>
      </c>
      <c r="J150">
        <v>44005</v>
      </c>
      <c r="K150">
        <v>43999</v>
      </c>
      <c r="L150">
        <v>6</v>
      </c>
      <c r="N150" t="s">
        <v>120</v>
      </c>
      <c r="O150">
        <v>43999</v>
      </c>
      <c r="P150" t="s">
        <v>739</v>
      </c>
      <c r="Q150">
        <v>9316.75</v>
      </c>
      <c r="R150" t="s">
        <v>1922</v>
      </c>
      <c r="S150">
        <v>656.75</v>
      </c>
      <c r="T150" t="s">
        <v>709</v>
      </c>
      <c r="U150">
        <v>8660</v>
      </c>
      <c r="V150">
        <v>0</v>
      </c>
      <c r="X150">
        <v>0</v>
      </c>
      <c r="Y150">
        <v>0</v>
      </c>
      <c r="Z150">
        <v>36991.82</v>
      </c>
      <c r="AA150">
        <v>36991.82</v>
      </c>
      <c r="AM150" t="s">
        <v>709</v>
      </c>
      <c r="AY150" t="s">
        <v>29</v>
      </c>
      <c r="BA150" t="s">
        <v>2589</v>
      </c>
      <c r="BB150" t="s">
        <v>2590</v>
      </c>
      <c r="BI150" t="s">
        <v>709</v>
      </c>
      <c r="BJ150" t="s">
        <v>709</v>
      </c>
      <c r="BK150" t="s">
        <v>709</v>
      </c>
      <c r="BL150" t="s">
        <v>709</v>
      </c>
      <c r="BM150" t="s">
        <v>709</v>
      </c>
      <c r="BN150" t="s">
        <v>709</v>
      </c>
      <c r="BO150" t="s">
        <v>709</v>
      </c>
      <c r="BP150" t="s">
        <v>709</v>
      </c>
      <c r="BQ150" t="s">
        <v>709</v>
      </c>
      <c r="BR150" t="s">
        <v>709</v>
      </c>
      <c r="BS150" t="s">
        <v>709</v>
      </c>
      <c r="BT150" t="s">
        <v>745</v>
      </c>
      <c r="BU150" t="s">
        <v>709</v>
      </c>
      <c r="BV150" t="s">
        <v>745</v>
      </c>
      <c r="BW150" t="s">
        <v>709</v>
      </c>
      <c r="BX150" t="s">
        <v>745</v>
      </c>
      <c r="BY150" t="s">
        <v>745</v>
      </c>
      <c r="BZ150" t="s">
        <v>709</v>
      </c>
      <c r="CA150" t="s">
        <v>1146</v>
      </c>
      <c r="CB150">
        <v>147</v>
      </c>
      <c r="CC150" t="b">
        <v>1</v>
      </c>
      <c r="CD150" t="s">
        <v>2591</v>
      </c>
      <c r="CE150" s="1482">
        <v>45880.732268518521</v>
      </c>
    </row>
    <row r="151" spans="1:83" x14ac:dyDescent="0.25">
      <c r="A151">
        <v>2020</v>
      </c>
      <c r="B151" t="s">
        <v>1205</v>
      </c>
      <c r="C151" t="s">
        <v>2592</v>
      </c>
      <c r="D151" t="s">
        <v>2593</v>
      </c>
      <c r="E151" t="s">
        <v>164</v>
      </c>
      <c r="F151" t="s">
        <v>738</v>
      </c>
      <c r="G151" t="s">
        <v>36</v>
      </c>
      <c r="H151" t="s">
        <v>59</v>
      </c>
      <c r="I151">
        <v>43963</v>
      </c>
      <c r="J151">
        <v>44005</v>
      </c>
      <c r="K151">
        <v>44000</v>
      </c>
      <c r="L151">
        <v>5</v>
      </c>
      <c r="N151" t="s">
        <v>120</v>
      </c>
      <c r="O151">
        <v>44000</v>
      </c>
      <c r="P151" t="s">
        <v>739</v>
      </c>
      <c r="Q151">
        <v>7852.5</v>
      </c>
      <c r="R151" t="s">
        <v>1922</v>
      </c>
      <c r="S151">
        <v>702.5</v>
      </c>
      <c r="T151" t="s">
        <v>709</v>
      </c>
      <c r="U151">
        <v>7150</v>
      </c>
      <c r="V151">
        <v>0</v>
      </c>
      <c r="X151">
        <v>0</v>
      </c>
      <c r="Y151">
        <v>0</v>
      </c>
      <c r="Z151">
        <v>35126.97</v>
      </c>
      <c r="AA151">
        <v>35126.97</v>
      </c>
      <c r="AM151" t="s">
        <v>709</v>
      </c>
      <c r="AY151" t="s">
        <v>29</v>
      </c>
      <c r="BA151" t="s">
        <v>2594</v>
      </c>
      <c r="BB151" t="s">
        <v>2595</v>
      </c>
      <c r="BI151" t="s">
        <v>709</v>
      </c>
      <c r="BJ151" t="s">
        <v>709</v>
      </c>
      <c r="BK151" t="s">
        <v>709</v>
      </c>
      <c r="BL151" t="s">
        <v>709</v>
      </c>
      <c r="BM151" t="s">
        <v>709</v>
      </c>
      <c r="BN151" t="s">
        <v>709</v>
      </c>
      <c r="BO151" t="s">
        <v>709</v>
      </c>
      <c r="BP151" t="s">
        <v>709</v>
      </c>
      <c r="BQ151" t="s">
        <v>709</v>
      </c>
      <c r="BR151" t="s">
        <v>709</v>
      </c>
      <c r="BS151" t="s">
        <v>709</v>
      </c>
      <c r="BT151" t="s">
        <v>745</v>
      </c>
      <c r="BU151" t="s">
        <v>709</v>
      </c>
      <c r="BV151" t="s">
        <v>745</v>
      </c>
      <c r="BW151" t="s">
        <v>709</v>
      </c>
      <c r="BX151" t="s">
        <v>745</v>
      </c>
      <c r="BY151" t="s">
        <v>745</v>
      </c>
      <c r="BZ151" t="s">
        <v>709</v>
      </c>
      <c r="CA151" t="s">
        <v>1146</v>
      </c>
      <c r="CB151">
        <v>149</v>
      </c>
      <c r="CC151" t="b">
        <v>1</v>
      </c>
      <c r="CD151" t="s">
        <v>2596</v>
      </c>
      <c r="CE151" s="1482">
        <v>45880.73228009259</v>
      </c>
    </row>
    <row r="152" spans="1:83" x14ac:dyDescent="0.25">
      <c r="A152">
        <v>2020</v>
      </c>
      <c r="B152" t="s">
        <v>4</v>
      </c>
      <c r="C152" t="s">
        <v>2597</v>
      </c>
      <c r="D152" t="s">
        <v>2598</v>
      </c>
      <c r="E152" t="s">
        <v>1763</v>
      </c>
      <c r="F152" t="s">
        <v>919</v>
      </c>
      <c r="G152" t="s">
        <v>36</v>
      </c>
      <c r="H152" t="s">
        <v>59</v>
      </c>
      <c r="I152">
        <v>43958</v>
      </c>
      <c r="J152">
        <v>44012</v>
      </c>
      <c r="K152">
        <v>44006</v>
      </c>
      <c r="L152">
        <v>6</v>
      </c>
      <c r="N152" t="s">
        <v>120</v>
      </c>
      <c r="O152">
        <v>44013</v>
      </c>
      <c r="P152" t="s">
        <v>739</v>
      </c>
      <c r="Q152">
        <v>20482.670999999998</v>
      </c>
      <c r="R152">
        <v>0.1</v>
      </c>
      <c r="S152" t="s">
        <v>709</v>
      </c>
      <c r="T152" t="s">
        <v>709</v>
      </c>
      <c r="U152" t="s">
        <v>709</v>
      </c>
      <c r="V152">
        <v>1377</v>
      </c>
      <c r="X152">
        <v>183630.45</v>
      </c>
      <c r="Y152">
        <v>0</v>
      </c>
      <c r="Z152">
        <v>21196.26</v>
      </c>
      <c r="AA152">
        <v>204826.71</v>
      </c>
      <c r="AM152" t="s">
        <v>116</v>
      </c>
      <c r="AN152">
        <v>44042</v>
      </c>
      <c r="AO152">
        <v>189343</v>
      </c>
      <c r="AP152">
        <v>187755.95</v>
      </c>
      <c r="AR152">
        <v>23463.09</v>
      </c>
      <c r="AS152">
        <v>211219.04</v>
      </c>
      <c r="AT152">
        <v>6392.33</v>
      </c>
      <c r="AU152">
        <v>639.23299999999995</v>
      </c>
      <c r="AV152" t="s">
        <v>709</v>
      </c>
      <c r="AW152" t="s">
        <v>2599</v>
      </c>
      <c r="AX152">
        <v>639.23299999999995</v>
      </c>
      <c r="AY152">
        <v>44501</v>
      </c>
      <c r="BA152" t="s">
        <v>2600</v>
      </c>
      <c r="BB152" t="s">
        <v>2083</v>
      </c>
      <c r="BI152" t="s">
        <v>709</v>
      </c>
      <c r="BJ152" t="s">
        <v>709</v>
      </c>
      <c r="BK152" t="s">
        <v>709</v>
      </c>
      <c r="BL152" t="s">
        <v>116</v>
      </c>
      <c r="BM152" t="s">
        <v>709</v>
      </c>
      <c r="BN152" t="s">
        <v>709</v>
      </c>
      <c r="BO152" t="s">
        <v>709</v>
      </c>
      <c r="BP152" t="s">
        <v>709</v>
      </c>
      <c r="BQ152" t="s">
        <v>709</v>
      </c>
      <c r="BR152" t="s">
        <v>709</v>
      </c>
      <c r="BS152">
        <v>1377</v>
      </c>
      <c r="BT152" t="s">
        <v>709</v>
      </c>
      <c r="BU152" t="s">
        <v>709</v>
      </c>
      <c r="BV152" t="s">
        <v>709</v>
      </c>
      <c r="BW152" t="s">
        <v>709</v>
      </c>
      <c r="BX152" t="s">
        <v>709</v>
      </c>
      <c r="BY152" t="s">
        <v>709</v>
      </c>
      <c r="BZ152" t="s">
        <v>709</v>
      </c>
      <c r="CB152">
        <v>151</v>
      </c>
      <c r="CC152" t="b">
        <v>1</v>
      </c>
      <c r="CD152" t="s">
        <v>2601</v>
      </c>
      <c r="CE152" s="1482">
        <v>45880.732291666667</v>
      </c>
    </row>
    <row r="153" spans="1:83" x14ac:dyDescent="0.25">
      <c r="A153">
        <v>2020</v>
      </c>
      <c r="B153" t="s">
        <v>4</v>
      </c>
      <c r="C153" t="s">
        <v>2602</v>
      </c>
      <c r="D153" t="s">
        <v>2603</v>
      </c>
      <c r="E153" t="s">
        <v>910</v>
      </c>
      <c r="F153" t="s">
        <v>738</v>
      </c>
      <c r="G153" t="s">
        <v>40</v>
      </c>
      <c r="H153" t="s">
        <v>59</v>
      </c>
      <c r="I153">
        <v>43909</v>
      </c>
      <c r="J153">
        <v>44008</v>
      </c>
      <c r="K153">
        <v>44006</v>
      </c>
      <c r="L153">
        <v>2</v>
      </c>
      <c r="N153" t="s">
        <v>120</v>
      </c>
      <c r="O153">
        <v>44013</v>
      </c>
      <c r="P153" t="s">
        <v>739</v>
      </c>
      <c r="Q153">
        <v>8621.0490000000009</v>
      </c>
      <c r="R153">
        <v>0.1</v>
      </c>
      <c r="S153" t="s">
        <v>709</v>
      </c>
      <c r="T153" t="s">
        <v>709</v>
      </c>
      <c r="U153" t="s">
        <v>709</v>
      </c>
      <c r="V153">
        <v>556</v>
      </c>
      <c r="X153">
        <v>80809.740000000005</v>
      </c>
      <c r="Y153">
        <v>0</v>
      </c>
      <c r="Z153">
        <v>5400.75</v>
      </c>
      <c r="AA153">
        <v>86210.49</v>
      </c>
      <c r="AM153" t="s">
        <v>116</v>
      </c>
      <c r="AN153">
        <v>44186</v>
      </c>
      <c r="AO153">
        <v>188192</v>
      </c>
      <c r="AP153">
        <v>80809.740000000005</v>
      </c>
      <c r="AR153">
        <v>5400.6</v>
      </c>
      <c r="AS153">
        <v>86210.34</v>
      </c>
      <c r="AT153">
        <v>-0.15</v>
      </c>
      <c r="AU153">
        <v>-1.4999999999999999E-2</v>
      </c>
      <c r="AV153" t="s">
        <v>709</v>
      </c>
      <c r="AW153" t="s">
        <v>115</v>
      </c>
      <c r="AY153" t="s">
        <v>1935</v>
      </c>
      <c r="BA153" t="s">
        <v>2551</v>
      </c>
      <c r="BB153" t="s">
        <v>2372</v>
      </c>
      <c r="BI153" t="s">
        <v>709</v>
      </c>
      <c r="BJ153" t="s">
        <v>709</v>
      </c>
      <c r="BK153" t="s">
        <v>709</v>
      </c>
      <c r="BL153" t="s">
        <v>116</v>
      </c>
      <c r="BM153" t="s">
        <v>709</v>
      </c>
      <c r="BN153" t="s">
        <v>709</v>
      </c>
      <c r="BO153" t="s">
        <v>709</v>
      </c>
      <c r="BP153" t="s">
        <v>709</v>
      </c>
      <c r="BQ153" t="s">
        <v>709</v>
      </c>
      <c r="BR153" t="s">
        <v>709</v>
      </c>
      <c r="BS153">
        <v>556</v>
      </c>
      <c r="BT153" t="s">
        <v>709</v>
      </c>
      <c r="BU153" t="s">
        <v>709</v>
      </c>
      <c r="BV153" t="s">
        <v>709</v>
      </c>
      <c r="BW153" t="s">
        <v>709</v>
      </c>
      <c r="BX153" t="s">
        <v>709</v>
      </c>
      <c r="BY153" t="s">
        <v>709</v>
      </c>
      <c r="BZ153" t="s">
        <v>709</v>
      </c>
      <c r="CB153">
        <v>150</v>
      </c>
      <c r="CC153" t="b">
        <v>1</v>
      </c>
      <c r="CD153" t="s">
        <v>2604</v>
      </c>
      <c r="CE153" s="1482">
        <v>45880.732291666667</v>
      </c>
    </row>
    <row r="154" spans="1:83" x14ac:dyDescent="0.25">
      <c r="A154">
        <v>2020</v>
      </c>
      <c r="B154" t="s">
        <v>1205</v>
      </c>
      <c r="C154" t="s">
        <v>2605</v>
      </c>
      <c r="D154" t="s">
        <v>2606</v>
      </c>
      <c r="E154" t="s">
        <v>2607</v>
      </c>
      <c r="F154" t="s">
        <v>919</v>
      </c>
      <c r="G154" t="s">
        <v>36</v>
      </c>
      <c r="H154" t="s">
        <v>59</v>
      </c>
      <c r="I154">
        <v>43963</v>
      </c>
      <c r="J154">
        <v>44012</v>
      </c>
      <c r="K154">
        <v>44006</v>
      </c>
      <c r="L154">
        <v>6</v>
      </c>
      <c r="N154" t="s">
        <v>120</v>
      </c>
      <c r="O154">
        <v>44013</v>
      </c>
      <c r="P154" t="s">
        <v>739</v>
      </c>
      <c r="Q154">
        <v>9014.5</v>
      </c>
      <c r="R154" t="s">
        <v>1922</v>
      </c>
      <c r="S154">
        <v>642</v>
      </c>
      <c r="T154" t="s">
        <v>709</v>
      </c>
      <c r="U154">
        <v>8372.5</v>
      </c>
      <c r="V154">
        <v>0</v>
      </c>
      <c r="X154">
        <v>0</v>
      </c>
      <c r="Y154">
        <v>0</v>
      </c>
      <c r="Z154">
        <v>29376.99</v>
      </c>
      <c r="AA154">
        <v>29376.99</v>
      </c>
      <c r="AM154" t="s">
        <v>709</v>
      </c>
      <c r="AY154" t="s">
        <v>29</v>
      </c>
      <c r="BA154" t="s">
        <v>2608</v>
      </c>
      <c r="BB154" t="s">
        <v>2609</v>
      </c>
      <c r="BI154" t="s">
        <v>709</v>
      </c>
      <c r="BJ154" t="s">
        <v>709</v>
      </c>
      <c r="BK154" t="s">
        <v>709</v>
      </c>
      <c r="BL154" t="s">
        <v>709</v>
      </c>
      <c r="BM154" t="s">
        <v>709</v>
      </c>
      <c r="BN154" t="s">
        <v>709</v>
      </c>
      <c r="BO154" t="s">
        <v>709</v>
      </c>
      <c r="BP154" t="s">
        <v>709</v>
      </c>
      <c r="BQ154" t="s">
        <v>709</v>
      </c>
      <c r="BR154" t="s">
        <v>709</v>
      </c>
      <c r="BS154" t="s">
        <v>709</v>
      </c>
      <c r="BT154" t="s">
        <v>745</v>
      </c>
      <c r="BU154" t="s">
        <v>709</v>
      </c>
      <c r="BV154" t="s">
        <v>745</v>
      </c>
      <c r="BW154" t="s">
        <v>709</v>
      </c>
      <c r="BX154" t="s">
        <v>745</v>
      </c>
      <c r="BY154" t="s">
        <v>745</v>
      </c>
      <c r="BZ154" t="s">
        <v>709</v>
      </c>
      <c r="CA154" t="s">
        <v>1146</v>
      </c>
      <c r="CB154">
        <v>152</v>
      </c>
      <c r="CC154" t="b">
        <v>1</v>
      </c>
      <c r="CD154" t="s">
        <v>2610</v>
      </c>
      <c r="CE154" s="1482">
        <v>45880.732291666667</v>
      </c>
    </row>
    <row r="155" spans="1:83" x14ac:dyDescent="0.25">
      <c r="A155">
        <v>2019</v>
      </c>
      <c r="B155" t="s">
        <v>4</v>
      </c>
      <c r="C155" t="s">
        <v>121</v>
      </c>
      <c r="D155" t="s">
        <v>2556</v>
      </c>
      <c r="E155" t="s">
        <v>122</v>
      </c>
      <c r="F155" t="s">
        <v>919</v>
      </c>
      <c r="G155" t="s">
        <v>36</v>
      </c>
      <c r="H155" t="s">
        <v>2611</v>
      </c>
      <c r="I155">
        <v>43497</v>
      </c>
      <c r="J155" t="s">
        <v>2612</v>
      </c>
      <c r="K155">
        <v>44007</v>
      </c>
      <c r="L155">
        <v>510</v>
      </c>
      <c r="M155" t="s">
        <v>2613</v>
      </c>
      <c r="N155" t="s">
        <v>120</v>
      </c>
      <c r="O155">
        <v>44013</v>
      </c>
      <c r="P155" t="s">
        <v>739</v>
      </c>
      <c r="Q155">
        <v>1590</v>
      </c>
      <c r="R155" t="s">
        <v>1922</v>
      </c>
      <c r="S155" t="s">
        <v>709</v>
      </c>
      <c r="T155" t="s">
        <v>709</v>
      </c>
      <c r="U155">
        <v>1590</v>
      </c>
      <c r="V155" t="s">
        <v>115</v>
      </c>
      <c r="AM155" t="s">
        <v>709</v>
      </c>
      <c r="AY155" t="s">
        <v>29</v>
      </c>
      <c r="BI155" t="s">
        <v>709</v>
      </c>
      <c r="BJ155" t="s">
        <v>709</v>
      </c>
      <c r="BK155" t="s">
        <v>709</v>
      </c>
      <c r="BL155" t="s">
        <v>116</v>
      </c>
      <c r="BM155" t="s">
        <v>709</v>
      </c>
      <c r="BN155" t="s">
        <v>709</v>
      </c>
      <c r="BO155" t="s">
        <v>709</v>
      </c>
      <c r="BP155">
        <v>3618</v>
      </c>
      <c r="BQ155">
        <v>2805</v>
      </c>
      <c r="BR155">
        <v>12</v>
      </c>
      <c r="BS155">
        <v>291</v>
      </c>
      <c r="BT155" t="s">
        <v>745</v>
      </c>
      <c r="BU155" t="s">
        <v>709</v>
      </c>
      <c r="BV155" t="s">
        <v>745</v>
      </c>
      <c r="BW155" t="s">
        <v>709</v>
      </c>
      <c r="BX155" t="s">
        <v>745</v>
      </c>
      <c r="BY155" t="s">
        <v>745</v>
      </c>
      <c r="BZ155" t="s">
        <v>709</v>
      </c>
      <c r="CB155">
        <v>156</v>
      </c>
      <c r="CC155" t="b">
        <v>1</v>
      </c>
      <c r="CD155" t="s">
        <v>2614</v>
      </c>
      <c r="CE155" s="1482">
        <v>45880.732303240744</v>
      </c>
    </row>
    <row r="156" spans="1:83" ht="225" x14ac:dyDescent="0.25">
      <c r="A156">
        <v>2020</v>
      </c>
      <c r="B156" t="s">
        <v>769</v>
      </c>
      <c r="C156" t="s">
        <v>75</v>
      </c>
      <c r="D156" t="s">
        <v>2615</v>
      </c>
      <c r="E156" t="s">
        <v>76</v>
      </c>
      <c r="F156" t="s">
        <v>738</v>
      </c>
      <c r="G156" t="s">
        <v>40</v>
      </c>
      <c r="H156" t="s">
        <v>59</v>
      </c>
      <c r="I156">
        <v>43955</v>
      </c>
      <c r="J156">
        <v>43997</v>
      </c>
      <c r="K156">
        <v>44007</v>
      </c>
      <c r="L156">
        <v>-10</v>
      </c>
      <c r="M156" t="s">
        <v>2616</v>
      </c>
      <c r="N156" t="s">
        <v>120</v>
      </c>
      <c r="O156">
        <v>44013</v>
      </c>
      <c r="P156" t="s">
        <v>739</v>
      </c>
      <c r="Q156">
        <v>23766.087599999999</v>
      </c>
      <c r="R156" t="s">
        <v>1055</v>
      </c>
      <c r="S156" t="s">
        <v>709</v>
      </c>
      <c r="T156" t="s">
        <v>709</v>
      </c>
      <c r="U156">
        <v>22630</v>
      </c>
      <c r="V156">
        <v>37</v>
      </c>
      <c r="X156">
        <v>173211.45</v>
      </c>
      <c r="Y156">
        <v>0</v>
      </c>
      <c r="Z156">
        <v>15213.11</v>
      </c>
      <c r="AA156">
        <v>188424.56</v>
      </c>
      <c r="AM156" t="s">
        <v>116</v>
      </c>
      <c r="AN156">
        <v>44389</v>
      </c>
      <c r="AO156">
        <v>185390</v>
      </c>
      <c r="AP156">
        <v>281398.71000000002</v>
      </c>
      <c r="AR156">
        <v>54707.06</v>
      </c>
      <c r="AS156">
        <v>336105.77</v>
      </c>
      <c r="AT156">
        <v>147681.21</v>
      </c>
      <c r="AU156">
        <v>12552.902899999999</v>
      </c>
      <c r="AV156">
        <v>10765</v>
      </c>
      <c r="AW156" s="4" t="s">
        <v>2617</v>
      </c>
      <c r="AX156">
        <v>1787.9029</v>
      </c>
      <c r="AY156">
        <v>44501</v>
      </c>
      <c r="BA156" s="4" t="s">
        <v>2618</v>
      </c>
      <c r="BB156" t="s">
        <v>2619</v>
      </c>
      <c r="BI156" t="s">
        <v>709</v>
      </c>
      <c r="BJ156" t="s">
        <v>709</v>
      </c>
      <c r="BK156" t="s">
        <v>116</v>
      </c>
      <c r="BL156" t="s">
        <v>116</v>
      </c>
      <c r="BM156" t="s">
        <v>709</v>
      </c>
      <c r="BN156" t="s">
        <v>709</v>
      </c>
      <c r="BO156" t="s">
        <v>709</v>
      </c>
      <c r="BP156" t="s">
        <v>709</v>
      </c>
      <c r="BQ156">
        <v>9</v>
      </c>
      <c r="BR156" t="s">
        <v>709</v>
      </c>
      <c r="BS156">
        <v>28</v>
      </c>
      <c r="BT156" t="s">
        <v>709</v>
      </c>
      <c r="BU156">
        <v>1</v>
      </c>
      <c r="BV156" t="s">
        <v>709</v>
      </c>
      <c r="BW156" t="s">
        <v>709</v>
      </c>
      <c r="BX156" t="s">
        <v>709</v>
      </c>
      <c r="BY156" t="s">
        <v>709</v>
      </c>
      <c r="BZ156" t="s">
        <v>709</v>
      </c>
      <c r="CA156" t="s">
        <v>769</v>
      </c>
      <c r="CB156">
        <v>153</v>
      </c>
      <c r="CC156" t="b">
        <v>1</v>
      </c>
      <c r="CD156" t="s">
        <v>2620</v>
      </c>
      <c r="CE156" s="1482">
        <v>45880.732303240744</v>
      </c>
    </row>
    <row r="157" spans="1:83" ht="240" x14ac:dyDescent="0.25">
      <c r="A157">
        <v>2020</v>
      </c>
      <c r="B157" t="s">
        <v>769</v>
      </c>
      <c r="C157" t="s">
        <v>92</v>
      </c>
      <c r="D157" t="s">
        <v>2621</v>
      </c>
      <c r="E157" t="s">
        <v>93</v>
      </c>
      <c r="F157" t="s">
        <v>738</v>
      </c>
      <c r="G157" t="s">
        <v>40</v>
      </c>
      <c r="H157" t="s">
        <v>59</v>
      </c>
      <c r="I157">
        <v>43955</v>
      </c>
      <c r="J157">
        <v>44008</v>
      </c>
      <c r="K157">
        <v>44007</v>
      </c>
      <c r="L157">
        <v>1</v>
      </c>
      <c r="N157" t="s">
        <v>120</v>
      </c>
      <c r="O157">
        <v>44013</v>
      </c>
      <c r="P157" t="s">
        <v>739</v>
      </c>
      <c r="Q157">
        <v>20762.569299999999</v>
      </c>
      <c r="R157" t="s">
        <v>1055</v>
      </c>
      <c r="S157" t="s">
        <v>709</v>
      </c>
      <c r="T157" t="s">
        <v>709</v>
      </c>
      <c r="U157">
        <v>21187.5</v>
      </c>
      <c r="V157">
        <v>70</v>
      </c>
      <c r="X157">
        <v>133529.4</v>
      </c>
      <c r="Y157">
        <v>0</v>
      </c>
      <c r="Z157">
        <v>19559.650000000001</v>
      </c>
      <c r="AA157">
        <v>153089.04999999999</v>
      </c>
      <c r="AM157" t="s">
        <v>116</v>
      </c>
      <c r="AN157">
        <v>44105</v>
      </c>
      <c r="AO157">
        <v>188607</v>
      </c>
      <c r="AP157">
        <v>133529.4</v>
      </c>
      <c r="AR157">
        <v>19559.650000000001</v>
      </c>
      <c r="AS157">
        <v>153089.04999999999</v>
      </c>
      <c r="AT157">
        <v>0</v>
      </c>
      <c r="AU157">
        <v>0</v>
      </c>
      <c r="AV157" t="s">
        <v>709</v>
      </c>
      <c r="AW157" t="s">
        <v>2622</v>
      </c>
      <c r="AY157" t="s">
        <v>1935</v>
      </c>
      <c r="BA157" s="4" t="s">
        <v>2623</v>
      </c>
      <c r="BB157" t="s">
        <v>2624</v>
      </c>
      <c r="BI157" t="s">
        <v>709</v>
      </c>
      <c r="BJ157" t="s">
        <v>116</v>
      </c>
      <c r="BK157" t="s">
        <v>709</v>
      </c>
      <c r="BL157" t="s">
        <v>709</v>
      </c>
      <c r="BM157" t="s">
        <v>709</v>
      </c>
      <c r="BN157" t="s">
        <v>709</v>
      </c>
      <c r="BO157" t="s">
        <v>709</v>
      </c>
      <c r="BP157" t="s">
        <v>709</v>
      </c>
      <c r="BQ157" t="s">
        <v>709</v>
      </c>
      <c r="BR157" t="s">
        <v>709</v>
      </c>
      <c r="BS157" t="s">
        <v>116</v>
      </c>
      <c r="BT157" t="s">
        <v>709</v>
      </c>
      <c r="BU157">
        <v>1</v>
      </c>
      <c r="BV157" t="s">
        <v>709</v>
      </c>
      <c r="BW157" t="s">
        <v>709</v>
      </c>
      <c r="BX157" t="s">
        <v>116</v>
      </c>
      <c r="BY157" t="s">
        <v>709</v>
      </c>
      <c r="BZ157" t="s">
        <v>709</v>
      </c>
      <c r="CA157" t="s">
        <v>769</v>
      </c>
      <c r="CB157">
        <v>155</v>
      </c>
      <c r="CC157" t="b">
        <v>1</v>
      </c>
      <c r="CD157" t="s">
        <v>2625</v>
      </c>
      <c r="CE157" s="1482">
        <v>45880.732314814813</v>
      </c>
    </row>
    <row r="158" spans="1:83" ht="315" x14ac:dyDescent="0.25">
      <c r="A158">
        <v>2020</v>
      </c>
      <c r="B158" t="s">
        <v>769</v>
      </c>
      <c r="C158" t="s">
        <v>103</v>
      </c>
      <c r="D158" t="s">
        <v>2626</v>
      </c>
      <c r="E158" t="s">
        <v>104</v>
      </c>
      <c r="F158" t="s">
        <v>738</v>
      </c>
      <c r="G158" t="s">
        <v>40</v>
      </c>
      <c r="H158" t="s">
        <v>59</v>
      </c>
      <c r="I158">
        <v>43955</v>
      </c>
      <c r="J158">
        <v>43997</v>
      </c>
      <c r="K158">
        <v>44007</v>
      </c>
      <c r="L158">
        <v>-10</v>
      </c>
      <c r="M158" t="s">
        <v>2616</v>
      </c>
      <c r="N158" t="s">
        <v>120</v>
      </c>
      <c r="O158">
        <v>44013</v>
      </c>
      <c r="P158" t="s">
        <v>739</v>
      </c>
      <c r="Q158">
        <v>20524.221600000001</v>
      </c>
      <c r="R158" t="s">
        <v>1055</v>
      </c>
      <c r="S158" t="s">
        <v>709</v>
      </c>
      <c r="T158" t="s">
        <v>709</v>
      </c>
      <c r="U158">
        <v>19247.5</v>
      </c>
      <c r="V158">
        <v>27</v>
      </c>
      <c r="X158">
        <v>144552.60999999999</v>
      </c>
      <c r="Y158">
        <v>0</v>
      </c>
      <c r="Z158">
        <v>5732.35</v>
      </c>
      <c r="AA158">
        <v>150284.96</v>
      </c>
      <c r="AM158" t="s">
        <v>116</v>
      </c>
      <c r="AN158">
        <v>44103</v>
      </c>
      <c r="AO158">
        <v>185389</v>
      </c>
      <c r="AP158">
        <v>144552.60999999999</v>
      </c>
      <c r="AR158">
        <v>5732.35</v>
      </c>
      <c r="AS158">
        <v>150284.96</v>
      </c>
      <c r="AT158">
        <v>0</v>
      </c>
      <c r="AU158">
        <v>0</v>
      </c>
      <c r="AV158" t="s">
        <v>709</v>
      </c>
      <c r="AY158" t="s">
        <v>1935</v>
      </c>
      <c r="BA158" s="4" t="s">
        <v>2627</v>
      </c>
      <c r="BB158" t="s">
        <v>2628</v>
      </c>
      <c r="BI158" t="s">
        <v>709</v>
      </c>
      <c r="BJ158" t="s">
        <v>709</v>
      </c>
      <c r="BK158" t="s">
        <v>116</v>
      </c>
      <c r="BL158" t="s">
        <v>709</v>
      </c>
      <c r="BM158" t="s">
        <v>709</v>
      </c>
      <c r="BN158" t="s">
        <v>709</v>
      </c>
      <c r="BO158" t="s">
        <v>709</v>
      </c>
      <c r="BP158" t="s">
        <v>709</v>
      </c>
      <c r="BQ158" t="s">
        <v>709</v>
      </c>
      <c r="BR158">
        <v>27</v>
      </c>
      <c r="BS158" t="s">
        <v>709</v>
      </c>
      <c r="BT158" t="s">
        <v>709</v>
      </c>
      <c r="BU158" t="s">
        <v>709</v>
      </c>
      <c r="BV158" t="s">
        <v>709</v>
      </c>
      <c r="BW158" t="s">
        <v>709</v>
      </c>
      <c r="BX158">
        <v>1</v>
      </c>
      <c r="BY158" t="s">
        <v>709</v>
      </c>
      <c r="BZ158" t="s">
        <v>709</v>
      </c>
      <c r="CA158" t="s">
        <v>769</v>
      </c>
      <c r="CB158">
        <v>154</v>
      </c>
      <c r="CC158" t="b">
        <v>1</v>
      </c>
      <c r="CD158" t="s">
        <v>2629</v>
      </c>
      <c r="CE158" s="1482">
        <v>45880.732314814813</v>
      </c>
    </row>
    <row r="159" spans="1:83" x14ac:dyDescent="0.25">
      <c r="A159">
        <v>2020</v>
      </c>
      <c r="B159" t="s">
        <v>1205</v>
      </c>
      <c r="C159" t="s">
        <v>148</v>
      </c>
      <c r="D159" t="s">
        <v>2630</v>
      </c>
      <c r="E159" t="s">
        <v>149</v>
      </c>
      <c r="F159" t="s">
        <v>738</v>
      </c>
      <c r="G159" t="s">
        <v>36</v>
      </c>
      <c r="H159" t="s">
        <v>59</v>
      </c>
      <c r="I159">
        <v>43970</v>
      </c>
      <c r="J159">
        <v>44012</v>
      </c>
      <c r="K159">
        <v>44011</v>
      </c>
      <c r="L159">
        <v>1</v>
      </c>
      <c r="N159" t="s">
        <v>120</v>
      </c>
      <c r="O159">
        <v>44013</v>
      </c>
      <c r="P159" t="s">
        <v>739</v>
      </c>
      <c r="Q159">
        <v>8422.25</v>
      </c>
      <c r="R159" t="s">
        <v>1922</v>
      </c>
      <c r="S159">
        <v>672.25</v>
      </c>
      <c r="T159" t="s">
        <v>709</v>
      </c>
      <c r="U159">
        <v>7750</v>
      </c>
      <c r="V159">
        <v>0</v>
      </c>
      <c r="X159">
        <v>0</v>
      </c>
      <c r="Y159">
        <v>0</v>
      </c>
      <c r="Z159">
        <v>37218.79</v>
      </c>
      <c r="AA159">
        <v>37218.79</v>
      </c>
      <c r="AM159" t="s">
        <v>709</v>
      </c>
      <c r="AY159" t="s">
        <v>29</v>
      </c>
      <c r="BA159" t="s">
        <v>2631</v>
      </c>
      <c r="BB159" t="s">
        <v>2632</v>
      </c>
      <c r="BI159" t="s">
        <v>709</v>
      </c>
      <c r="BJ159" t="s">
        <v>709</v>
      </c>
      <c r="BK159" t="s">
        <v>116</v>
      </c>
      <c r="BL159" t="s">
        <v>709</v>
      </c>
      <c r="BM159" t="s">
        <v>709</v>
      </c>
      <c r="BN159" t="s">
        <v>709</v>
      </c>
      <c r="BO159" t="s">
        <v>709</v>
      </c>
      <c r="BP159" t="s">
        <v>709</v>
      </c>
      <c r="BQ159" t="s">
        <v>709</v>
      </c>
      <c r="BR159" t="s">
        <v>116</v>
      </c>
      <c r="BS159" t="s">
        <v>709</v>
      </c>
      <c r="BT159" t="s">
        <v>709</v>
      </c>
      <c r="BU159" t="s">
        <v>709</v>
      </c>
      <c r="BV159" t="s">
        <v>709</v>
      </c>
      <c r="BW159" t="s">
        <v>709</v>
      </c>
      <c r="BX159" t="s">
        <v>709</v>
      </c>
      <c r="BY159" t="s">
        <v>709</v>
      </c>
      <c r="BZ159" t="s">
        <v>709</v>
      </c>
      <c r="CA159" t="s">
        <v>1146</v>
      </c>
      <c r="CB159">
        <v>158</v>
      </c>
      <c r="CC159" t="b">
        <v>1</v>
      </c>
      <c r="CD159" t="s">
        <v>2633</v>
      </c>
      <c r="CE159" s="1482">
        <v>45880.732314814813</v>
      </c>
    </row>
    <row r="160" spans="1:83" x14ac:dyDescent="0.25">
      <c r="A160">
        <v>2020</v>
      </c>
      <c r="B160" t="s">
        <v>1205</v>
      </c>
      <c r="C160" t="s">
        <v>2634</v>
      </c>
      <c r="D160" t="s">
        <v>2635</v>
      </c>
      <c r="E160" t="s">
        <v>2636</v>
      </c>
      <c r="F160" t="s">
        <v>738</v>
      </c>
      <c r="G160" t="s">
        <v>36</v>
      </c>
      <c r="H160" t="s">
        <v>59</v>
      </c>
      <c r="I160">
        <v>43970</v>
      </c>
      <c r="J160">
        <v>44012</v>
      </c>
      <c r="K160">
        <v>44011</v>
      </c>
      <c r="L160">
        <v>1</v>
      </c>
      <c r="N160" t="s">
        <v>120</v>
      </c>
      <c r="O160">
        <v>44013</v>
      </c>
      <c r="P160" t="s">
        <v>739</v>
      </c>
      <c r="Q160">
        <v>10062.25</v>
      </c>
      <c r="R160" t="s">
        <v>1922</v>
      </c>
      <c r="S160">
        <v>672.25</v>
      </c>
      <c r="T160" t="s">
        <v>709</v>
      </c>
      <c r="U160">
        <v>9390</v>
      </c>
      <c r="V160">
        <v>0</v>
      </c>
      <c r="X160">
        <v>0</v>
      </c>
      <c r="Y160">
        <v>0</v>
      </c>
      <c r="Z160">
        <v>58185.04</v>
      </c>
      <c r="AA160">
        <v>58185.04</v>
      </c>
      <c r="AM160" t="s">
        <v>709</v>
      </c>
      <c r="AY160" t="s">
        <v>29</v>
      </c>
      <c r="BA160" t="s">
        <v>2637</v>
      </c>
      <c r="BB160" t="s">
        <v>2638</v>
      </c>
      <c r="BI160" t="s">
        <v>709</v>
      </c>
      <c r="BJ160" t="s">
        <v>709</v>
      </c>
      <c r="BK160" t="s">
        <v>709</v>
      </c>
      <c r="BL160" t="s">
        <v>709</v>
      </c>
      <c r="BM160" t="s">
        <v>709</v>
      </c>
      <c r="BN160" t="s">
        <v>709</v>
      </c>
      <c r="BO160" t="s">
        <v>709</v>
      </c>
      <c r="BP160" t="s">
        <v>709</v>
      </c>
      <c r="BQ160" t="s">
        <v>709</v>
      </c>
      <c r="BR160" t="s">
        <v>709</v>
      </c>
      <c r="BS160" t="s">
        <v>709</v>
      </c>
      <c r="BT160" t="s">
        <v>745</v>
      </c>
      <c r="BU160" t="s">
        <v>709</v>
      </c>
      <c r="BV160" t="s">
        <v>745</v>
      </c>
      <c r="BW160" t="s">
        <v>709</v>
      </c>
      <c r="BX160" t="s">
        <v>745</v>
      </c>
      <c r="BY160" t="s">
        <v>745</v>
      </c>
      <c r="BZ160" t="s">
        <v>709</v>
      </c>
      <c r="CA160" t="s">
        <v>1146</v>
      </c>
      <c r="CB160">
        <v>157</v>
      </c>
      <c r="CC160" t="b">
        <v>1</v>
      </c>
      <c r="CD160" t="s">
        <v>2639</v>
      </c>
      <c r="CE160" s="1482">
        <v>45880.73232638889</v>
      </c>
    </row>
    <row r="161" spans="1:83" x14ac:dyDescent="0.25">
      <c r="A161">
        <v>2020</v>
      </c>
      <c r="B161" t="s">
        <v>771</v>
      </c>
      <c r="C161" t="s">
        <v>2173</v>
      </c>
      <c r="D161" t="s">
        <v>2174</v>
      </c>
      <c r="E161" t="s">
        <v>1529</v>
      </c>
      <c r="F161" t="s">
        <v>325</v>
      </c>
      <c r="G161" t="s">
        <v>1896</v>
      </c>
      <c r="H161" t="s">
        <v>2051</v>
      </c>
      <c r="I161">
        <v>43664</v>
      </c>
      <c r="J161" t="s">
        <v>2052</v>
      </c>
      <c r="K161">
        <v>44012</v>
      </c>
      <c r="L161">
        <v>348</v>
      </c>
      <c r="M161" t="s">
        <v>2640</v>
      </c>
      <c r="N161" t="s">
        <v>120</v>
      </c>
      <c r="O161">
        <v>44013</v>
      </c>
      <c r="P161" t="s">
        <v>120</v>
      </c>
      <c r="Q161">
        <v>790</v>
      </c>
      <c r="R161" t="s">
        <v>1922</v>
      </c>
      <c r="S161" t="s">
        <v>709</v>
      </c>
      <c r="T161" t="s">
        <v>709</v>
      </c>
      <c r="U161">
        <v>790</v>
      </c>
      <c r="V161" t="s">
        <v>115</v>
      </c>
      <c r="AM161" t="s">
        <v>709</v>
      </c>
      <c r="AY161" t="s">
        <v>29</v>
      </c>
      <c r="BA161">
        <v>4</v>
      </c>
      <c r="BI161" t="s">
        <v>709</v>
      </c>
      <c r="BJ161" t="s">
        <v>709</v>
      </c>
      <c r="BK161" t="s">
        <v>709</v>
      </c>
      <c r="BL161" t="s">
        <v>116</v>
      </c>
      <c r="BM161" t="s">
        <v>709</v>
      </c>
      <c r="BN161" t="s">
        <v>709</v>
      </c>
      <c r="BO161" t="s">
        <v>709</v>
      </c>
      <c r="BP161" t="s">
        <v>709</v>
      </c>
      <c r="BQ161" t="s">
        <v>709</v>
      </c>
      <c r="BR161" t="s">
        <v>709</v>
      </c>
      <c r="BS161">
        <v>2092</v>
      </c>
      <c r="BT161" t="s">
        <v>709</v>
      </c>
      <c r="BU161" t="s">
        <v>709</v>
      </c>
      <c r="BV161" t="s">
        <v>745</v>
      </c>
      <c r="BW161" t="s">
        <v>709</v>
      </c>
      <c r="BX161" t="s">
        <v>745</v>
      </c>
      <c r="BY161" t="s">
        <v>745</v>
      </c>
      <c r="BZ161" t="s">
        <v>709</v>
      </c>
      <c r="CB161">
        <v>159</v>
      </c>
      <c r="CC161" t="b">
        <v>1</v>
      </c>
      <c r="CD161" t="s">
        <v>2641</v>
      </c>
      <c r="CE161" s="1482">
        <v>45880.73232638889</v>
      </c>
    </row>
    <row r="162" spans="1:83" x14ac:dyDescent="0.25">
      <c r="A162">
        <v>2020</v>
      </c>
      <c r="B162" t="s">
        <v>4</v>
      </c>
      <c r="C162" t="s">
        <v>117</v>
      </c>
      <c r="D162" t="s">
        <v>2466</v>
      </c>
      <c r="E162" t="s">
        <v>118</v>
      </c>
      <c r="F162" t="s">
        <v>325</v>
      </c>
      <c r="G162" t="s">
        <v>36</v>
      </c>
      <c r="H162" t="s">
        <v>2611</v>
      </c>
      <c r="I162">
        <v>43490</v>
      </c>
      <c r="J162" t="s">
        <v>2612</v>
      </c>
      <c r="K162">
        <v>44020</v>
      </c>
      <c r="L162">
        <v>530</v>
      </c>
      <c r="M162" t="s">
        <v>2613</v>
      </c>
      <c r="N162" t="s">
        <v>120</v>
      </c>
      <c r="O162">
        <v>44020</v>
      </c>
      <c r="P162" t="s">
        <v>739</v>
      </c>
      <c r="Q162">
        <v>1040</v>
      </c>
      <c r="R162" t="s">
        <v>1922</v>
      </c>
      <c r="S162" t="s">
        <v>709</v>
      </c>
      <c r="T162" t="s">
        <v>709</v>
      </c>
      <c r="U162">
        <v>1040</v>
      </c>
      <c r="V162" t="s">
        <v>115</v>
      </c>
      <c r="AM162" t="s">
        <v>709</v>
      </c>
      <c r="AY162" t="s">
        <v>29</v>
      </c>
      <c r="BI162" t="s">
        <v>709</v>
      </c>
      <c r="BJ162" t="s">
        <v>709</v>
      </c>
      <c r="BK162" t="s">
        <v>116</v>
      </c>
      <c r="BL162" t="s">
        <v>709</v>
      </c>
      <c r="BM162" t="s">
        <v>709</v>
      </c>
      <c r="BN162" t="s">
        <v>709</v>
      </c>
      <c r="BO162" t="s">
        <v>709</v>
      </c>
      <c r="BP162" t="s">
        <v>116</v>
      </c>
      <c r="BQ162" t="s">
        <v>709</v>
      </c>
      <c r="BR162" t="s">
        <v>709</v>
      </c>
      <c r="BS162" t="s">
        <v>709</v>
      </c>
      <c r="BT162" t="s">
        <v>709</v>
      </c>
      <c r="BU162" t="s">
        <v>709</v>
      </c>
      <c r="BV162" t="s">
        <v>709</v>
      </c>
      <c r="BW162" t="s">
        <v>709</v>
      </c>
      <c r="BX162" t="s">
        <v>709</v>
      </c>
      <c r="BY162" t="s">
        <v>709</v>
      </c>
      <c r="BZ162" t="s">
        <v>709</v>
      </c>
      <c r="CB162">
        <v>160</v>
      </c>
      <c r="CC162" t="b">
        <v>1</v>
      </c>
      <c r="CD162" t="s">
        <v>2642</v>
      </c>
      <c r="CE162" s="1482">
        <v>45880.73232638889</v>
      </c>
    </row>
    <row r="163" spans="1:83" x14ac:dyDescent="0.25">
      <c r="A163">
        <v>2020</v>
      </c>
      <c r="B163" t="s">
        <v>4</v>
      </c>
      <c r="C163" t="s">
        <v>2643</v>
      </c>
      <c r="D163" t="s">
        <v>2644</v>
      </c>
      <c r="E163" t="s">
        <v>1136</v>
      </c>
      <c r="F163" t="s">
        <v>738</v>
      </c>
      <c r="G163" t="s">
        <v>36</v>
      </c>
      <c r="H163" t="s">
        <v>59</v>
      </c>
      <c r="I163">
        <v>43979</v>
      </c>
      <c r="J163">
        <v>44033</v>
      </c>
      <c r="K163">
        <v>44027</v>
      </c>
      <c r="L163">
        <v>6</v>
      </c>
      <c r="N163" t="s">
        <v>120</v>
      </c>
      <c r="O163">
        <v>44027</v>
      </c>
      <c r="P163" t="s">
        <v>739</v>
      </c>
      <c r="Q163">
        <v>25889.313999999998</v>
      </c>
      <c r="R163">
        <v>0.1</v>
      </c>
      <c r="S163" t="s">
        <v>709</v>
      </c>
      <c r="T163" t="s">
        <v>709</v>
      </c>
      <c r="U163" t="s">
        <v>709</v>
      </c>
      <c r="V163">
        <v>1187</v>
      </c>
      <c r="X163">
        <v>236752.19</v>
      </c>
      <c r="Y163">
        <v>0</v>
      </c>
      <c r="Z163">
        <v>22140.95</v>
      </c>
      <c r="AA163">
        <v>258893.14</v>
      </c>
      <c r="AM163" t="s">
        <v>116</v>
      </c>
      <c r="AN163">
        <v>44343</v>
      </c>
      <c r="AO163">
        <v>189119</v>
      </c>
      <c r="AP163">
        <v>286738.06</v>
      </c>
      <c r="AR163">
        <v>11692.14</v>
      </c>
      <c r="AS163">
        <v>298430.2</v>
      </c>
      <c r="AT163">
        <v>39537.06</v>
      </c>
      <c r="AU163">
        <v>3953.7060000000001</v>
      </c>
      <c r="AV163" t="s">
        <v>709</v>
      </c>
      <c r="AW163" t="s">
        <v>2645</v>
      </c>
      <c r="AX163">
        <v>3953.7060000000001</v>
      </c>
      <c r="AY163">
        <v>44501</v>
      </c>
      <c r="BA163" t="s">
        <v>2646</v>
      </c>
      <c r="BB163" t="s">
        <v>2647</v>
      </c>
      <c r="BI163" t="s">
        <v>709</v>
      </c>
      <c r="BJ163" t="s">
        <v>709</v>
      </c>
      <c r="BK163" t="s">
        <v>709</v>
      </c>
      <c r="BL163" t="s">
        <v>116</v>
      </c>
      <c r="BM163" t="s">
        <v>709</v>
      </c>
      <c r="BN163" t="s">
        <v>709</v>
      </c>
      <c r="BO163" t="s">
        <v>709</v>
      </c>
      <c r="BP163" t="s">
        <v>709</v>
      </c>
      <c r="BQ163">
        <v>231</v>
      </c>
      <c r="BR163" t="s">
        <v>709</v>
      </c>
      <c r="BS163">
        <v>956</v>
      </c>
      <c r="BT163" t="s">
        <v>709</v>
      </c>
      <c r="BU163" t="s">
        <v>709</v>
      </c>
      <c r="BV163" t="s">
        <v>709</v>
      </c>
      <c r="BW163" t="s">
        <v>709</v>
      </c>
      <c r="BX163" t="s">
        <v>709</v>
      </c>
      <c r="BY163" t="s">
        <v>709</v>
      </c>
      <c r="BZ163" t="s">
        <v>709</v>
      </c>
      <c r="CB163">
        <v>161</v>
      </c>
      <c r="CC163" t="b">
        <v>1</v>
      </c>
      <c r="CD163" t="s">
        <v>2648</v>
      </c>
      <c r="CE163" s="1482">
        <v>45880.73233796296</v>
      </c>
    </row>
    <row r="164" spans="1:83" ht="409.5" x14ac:dyDescent="0.25">
      <c r="A164">
        <v>2020</v>
      </c>
      <c r="B164" t="s">
        <v>4</v>
      </c>
      <c r="C164" t="s">
        <v>2649</v>
      </c>
      <c r="D164" t="s">
        <v>2650</v>
      </c>
      <c r="E164" t="s">
        <v>87</v>
      </c>
      <c r="F164" t="s">
        <v>738</v>
      </c>
      <c r="G164" t="s">
        <v>2528</v>
      </c>
      <c r="H164" t="s">
        <v>59</v>
      </c>
      <c r="I164">
        <v>44001</v>
      </c>
      <c r="J164">
        <v>44032</v>
      </c>
      <c r="K164">
        <v>44027</v>
      </c>
      <c r="L164">
        <v>5</v>
      </c>
      <c r="N164" t="s">
        <v>120</v>
      </c>
      <c r="O164">
        <v>44027</v>
      </c>
      <c r="P164" t="s">
        <v>739</v>
      </c>
      <c r="Q164">
        <v>5265.5519999999997</v>
      </c>
      <c r="R164">
        <v>0.1</v>
      </c>
      <c r="S164" t="s">
        <v>709</v>
      </c>
      <c r="T164" t="s">
        <v>709</v>
      </c>
      <c r="U164" t="s">
        <v>709</v>
      </c>
      <c r="V164">
        <v>362</v>
      </c>
      <c r="X164">
        <v>48457.09</v>
      </c>
      <c r="Y164">
        <v>0</v>
      </c>
      <c r="Z164">
        <v>4198.43</v>
      </c>
      <c r="AA164">
        <v>52655.519999999997</v>
      </c>
      <c r="AM164" t="s">
        <v>116</v>
      </c>
      <c r="AN164">
        <v>45524</v>
      </c>
      <c r="AO164">
        <v>11088378</v>
      </c>
      <c r="AP164">
        <v>4555170.26</v>
      </c>
      <c r="AR164">
        <v>1402767.51</v>
      </c>
      <c r="AS164">
        <v>5957937.7699999996</v>
      </c>
      <c r="AT164">
        <v>5905282.25</v>
      </c>
      <c r="AU164">
        <v>590528.22499999998</v>
      </c>
      <c r="AV164" t="s">
        <v>709</v>
      </c>
      <c r="AW164" t="s">
        <v>2651</v>
      </c>
      <c r="AX164">
        <v>396.43200000000002</v>
      </c>
      <c r="AY164">
        <v>44501</v>
      </c>
      <c r="BA164" s="4" t="s">
        <v>2652</v>
      </c>
      <c r="BI164" t="s">
        <v>709</v>
      </c>
      <c r="BJ164" t="s">
        <v>709</v>
      </c>
      <c r="BK164" t="s">
        <v>709</v>
      </c>
      <c r="BL164" t="s">
        <v>116</v>
      </c>
      <c r="BM164" t="s">
        <v>709</v>
      </c>
      <c r="BN164" t="s">
        <v>709</v>
      </c>
      <c r="BO164" t="s">
        <v>709</v>
      </c>
      <c r="BP164" t="s">
        <v>709</v>
      </c>
      <c r="BQ164" t="s">
        <v>709</v>
      </c>
      <c r="BR164" t="s">
        <v>709</v>
      </c>
      <c r="BS164">
        <v>362</v>
      </c>
      <c r="BT164" t="s">
        <v>709</v>
      </c>
      <c r="BU164" t="s">
        <v>709</v>
      </c>
      <c r="BV164" t="s">
        <v>709</v>
      </c>
      <c r="BW164" t="s">
        <v>709</v>
      </c>
      <c r="BX164" t="s">
        <v>709</v>
      </c>
      <c r="BY164" t="s">
        <v>709</v>
      </c>
      <c r="BZ164" t="s">
        <v>709</v>
      </c>
      <c r="CB164">
        <v>162</v>
      </c>
      <c r="CC164" t="b">
        <v>1</v>
      </c>
      <c r="CD164" t="s">
        <v>2653</v>
      </c>
      <c r="CE164" s="1482">
        <v>45880.73233796296</v>
      </c>
    </row>
    <row r="165" spans="1:83" x14ac:dyDescent="0.25">
      <c r="A165">
        <v>2021</v>
      </c>
      <c r="B165" t="s">
        <v>771</v>
      </c>
      <c r="C165" t="s">
        <v>2654</v>
      </c>
      <c r="D165" t="s">
        <v>2655</v>
      </c>
      <c r="E165" t="s">
        <v>2656</v>
      </c>
      <c r="F165" t="s">
        <v>919</v>
      </c>
      <c r="G165" t="s">
        <v>1882</v>
      </c>
      <c r="H165" t="s">
        <v>59</v>
      </c>
      <c r="I165">
        <v>43937</v>
      </c>
      <c r="J165">
        <v>44028</v>
      </c>
      <c r="K165">
        <v>44027</v>
      </c>
      <c r="L165">
        <v>1</v>
      </c>
      <c r="N165" t="s">
        <v>120</v>
      </c>
      <c r="O165">
        <v>44027</v>
      </c>
      <c r="P165" t="s">
        <v>120</v>
      </c>
      <c r="Q165">
        <v>17561.5</v>
      </c>
      <c r="R165" t="s">
        <v>2087</v>
      </c>
      <c r="S165" t="s">
        <v>709</v>
      </c>
      <c r="T165" t="s">
        <v>709</v>
      </c>
      <c r="U165" t="s">
        <v>709</v>
      </c>
      <c r="V165">
        <v>11330</v>
      </c>
      <c r="X165">
        <v>1068820.6000000001</v>
      </c>
      <c r="Y165">
        <v>0</v>
      </c>
      <c r="Z165">
        <v>137462.82999999999</v>
      </c>
      <c r="AA165">
        <v>1206283.43</v>
      </c>
      <c r="AM165" t="s">
        <v>709</v>
      </c>
      <c r="AY165" t="s">
        <v>29</v>
      </c>
      <c r="BA165" t="s">
        <v>2657</v>
      </c>
      <c r="BB165" t="s">
        <v>2658</v>
      </c>
      <c r="BC165" t="s">
        <v>709</v>
      </c>
      <c r="BD165" t="s">
        <v>882</v>
      </c>
      <c r="BE165" t="s">
        <v>2659</v>
      </c>
      <c r="BF165" t="s">
        <v>709</v>
      </c>
      <c r="BG165" t="s">
        <v>2660</v>
      </c>
      <c r="BI165" t="s">
        <v>709</v>
      </c>
      <c r="BJ165" t="s">
        <v>709</v>
      </c>
      <c r="BK165" t="s">
        <v>709</v>
      </c>
      <c r="BL165" t="s">
        <v>116</v>
      </c>
      <c r="BM165" t="s">
        <v>709</v>
      </c>
      <c r="BN165" t="s">
        <v>709</v>
      </c>
      <c r="BO165" t="s">
        <v>709</v>
      </c>
      <c r="BP165" t="s">
        <v>709</v>
      </c>
      <c r="BQ165" t="s">
        <v>709</v>
      </c>
      <c r="BR165">
        <v>3142</v>
      </c>
      <c r="BS165">
        <v>8188</v>
      </c>
      <c r="BT165" t="s">
        <v>709</v>
      </c>
      <c r="BU165" t="s">
        <v>709</v>
      </c>
      <c r="BV165" t="s">
        <v>709</v>
      </c>
      <c r="BW165" t="s">
        <v>709</v>
      </c>
      <c r="BX165" t="s">
        <v>709</v>
      </c>
      <c r="BY165" t="s">
        <v>709</v>
      </c>
      <c r="BZ165" t="s">
        <v>709</v>
      </c>
      <c r="CB165">
        <v>163</v>
      </c>
      <c r="CC165" t="b">
        <v>1</v>
      </c>
      <c r="CD165" t="s">
        <v>2661</v>
      </c>
      <c r="CE165" s="1482">
        <v>45880.732349537036</v>
      </c>
    </row>
    <row r="166" spans="1:83" x14ac:dyDescent="0.25">
      <c r="A166">
        <v>2020</v>
      </c>
      <c r="B166" t="s">
        <v>4</v>
      </c>
      <c r="C166" t="s">
        <v>2662</v>
      </c>
      <c r="D166" t="s">
        <v>2663</v>
      </c>
      <c r="E166" t="s">
        <v>2664</v>
      </c>
      <c r="F166" t="s">
        <v>738</v>
      </c>
      <c r="G166" t="s">
        <v>36</v>
      </c>
      <c r="H166" t="s">
        <v>59</v>
      </c>
      <c r="I166">
        <v>43930</v>
      </c>
      <c r="J166">
        <v>44029</v>
      </c>
      <c r="K166">
        <v>44028</v>
      </c>
      <c r="L166">
        <v>1</v>
      </c>
      <c r="N166" t="s">
        <v>120</v>
      </c>
      <c r="O166">
        <v>44028</v>
      </c>
      <c r="P166" t="s">
        <v>739</v>
      </c>
      <c r="Q166">
        <v>94640.945000000007</v>
      </c>
      <c r="R166">
        <v>0.1</v>
      </c>
      <c r="S166" t="s">
        <v>709</v>
      </c>
      <c r="T166" t="s">
        <v>709</v>
      </c>
      <c r="U166" t="s">
        <v>709</v>
      </c>
      <c r="V166">
        <v>4432</v>
      </c>
      <c r="X166">
        <v>888637.96</v>
      </c>
      <c r="Y166">
        <v>0</v>
      </c>
      <c r="Z166">
        <v>57771.49</v>
      </c>
      <c r="AA166">
        <v>946409.45</v>
      </c>
      <c r="AM166" t="s">
        <v>116</v>
      </c>
      <c r="AN166">
        <v>44127</v>
      </c>
      <c r="AO166">
        <v>185792</v>
      </c>
      <c r="AP166">
        <v>888637.96</v>
      </c>
      <c r="AR166">
        <v>57771.49</v>
      </c>
      <c r="AS166">
        <v>946409.45</v>
      </c>
      <c r="AT166">
        <v>0</v>
      </c>
      <c r="AU166">
        <v>0</v>
      </c>
      <c r="AV166" t="s">
        <v>709</v>
      </c>
      <c r="AY166" t="s">
        <v>1935</v>
      </c>
      <c r="BA166" t="s">
        <v>2665</v>
      </c>
      <c r="BB166" t="s">
        <v>2666</v>
      </c>
      <c r="BI166" t="s">
        <v>709</v>
      </c>
      <c r="BJ166" t="s">
        <v>709</v>
      </c>
      <c r="BK166" t="s">
        <v>709</v>
      </c>
      <c r="BL166" t="s">
        <v>116</v>
      </c>
      <c r="BM166" t="s">
        <v>709</v>
      </c>
      <c r="BN166" t="s">
        <v>709</v>
      </c>
      <c r="BO166" t="s">
        <v>709</v>
      </c>
      <c r="BP166" t="s">
        <v>709</v>
      </c>
      <c r="BQ166" t="s">
        <v>709</v>
      </c>
      <c r="BR166">
        <v>2089</v>
      </c>
      <c r="BS166">
        <v>2343</v>
      </c>
      <c r="BT166" t="s">
        <v>709</v>
      </c>
      <c r="BU166" t="s">
        <v>709</v>
      </c>
      <c r="BV166" t="s">
        <v>709</v>
      </c>
      <c r="BW166" t="s">
        <v>709</v>
      </c>
      <c r="BX166" t="s">
        <v>709</v>
      </c>
      <c r="BY166" t="s">
        <v>709</v>
      </c>
      <c r="BZ166" t="s">
        <v>709</v>
      </c>
      <c r="CB166">
        <v>164</v>
      </c>
      <c r="CC166" t="b">
        <v>1</v>
      </c>
      <c r="CD166" t="s">
        <v>2667</v>
      </c>
      <c r="CE166" s="1482">
        <v>45880.732349537036</v>
      </c>
    </row>
    <row r="167" spans="1:83" x14ac:dyDescent="0.25">
      <c r="A167">
        <v>2020</v>
      </c>
      <c r="B167" t="s">
        <v>4</v>
      </c>
      <c r="C167" t="s">
        <v>2668</v>
      </c>
      <c r="D167" t="s">
        <v>2669</v>
      </c>
      <c r="E167" t="s">
        <v>910</v>
      </c>
      <c r="F167" t="s">
        <v>738</v>
      </c>
      <c r="G167" t="s">
        <v>40</v>
      </c>
      <c r="H167" t="s">
        <v>59</v>
      </c>
      <c r="I167">
        <v>43909</v>
      </c>
      <c r="J167">
        <v>44078</v>
      </c>
      <c r="K167">
        <v>44029</v>
      </c>
      <c r="L167">
        <v>49</v>
      </c>
      <c r="N167" t="s">
        <v>120</v>
      </c>
      <c r="O167">
        <v>44029</v>
      </c>
      <c r="P167" t="s">
        <v>739</v>
      </c>
      <c r="Q167">
        <v>7178.8029999999999</v>
      </c>
      <c r="R167">
        <v>0.1</v>
      </c>
      <c r="S167" t="s">
        <v>709</v>
      </c>
      <c r="T167" t="s">
        <v>709</v>
      </c>
      <c r="U167" t="s">
        <v>709</v>
      </c>
      <c r="V167">
        <v>405</v>
      </c>
      <c r="X167">
        <v>63365.15</v>
      </c>
      <c r="Y167">
        <v>0</v>
      </c>
      <c r="Z167">
        <v>8422.8799999999992</v>
      </c>
      <c r="AA167">
        <v>71788.03</v>
      </c>
      <c r="AM167" t="s">
        <v>116</v>
      </c>
      <c r="AN167">
        <v>44216</v>
      </c>
      <c r="AO167">
        <v>188165</v>
      </c>
      <c r="AP167">
        <v>63382.55</v>
      </c>
      <c r="AR167">
        <v>8422.8799999999992</v>
      </c>
      <c r="AS167">
        <v>71805.429999999993</v>
      </c>
      <c r="AT167">
        <v>17.399999999999999</v>
      </c>
      <c r="AU167">
        <v>1.74</v>
      </c>
      <c r="AV167" t="s">
        <v>709</v>
      </c>
      <c r="AW167" t="s">
        <v>115</v>
      </c>
      <c r="AY167" t="s">
        <v>1935</v>
      </c>
      <c r="BA167" t="s">
        <v>2551</v>
      </c>
      <c r="BB167" t="s">
        <v>2372</v>
      </c>
      <c r="BI167" t="s">
        <v>709</v>
      </c>
      <c r="BJ167" t="s">
        <v>709</v>
      </c>
      <c r="BK167" t="s">
        <v>709</v>
      </c>
      <c r="BL167" t="s">
        <v>116</v>
      </c>
      <c r="BM167" t="s">
        <v>709</v>
      </c>
      <c r="BN167" t="s">
        <v>709</v>
      </c>
      <c r="BO167" t="s">
        <v>709</v>
      </c>
      <c r="BP167" t="s">
        <v>709</v>
      </c>
      <c r="BQ167" t="s">
        <v>709</v>
      </c>
      <c r="BR167" t="s">
        <v>709</v>
      </c>
      <c r="BS167">
        <v>405</v>
      </c>
      <c r="BT167" t="s">
        <v>709</v>
      </c>
      <c r="BU167" t="s">
        <v>709</v>
      </c>
      <c r="BV167" t="s">
        <v>709</v>
      </c>
      <c r="BW167" t="s">
        <v>709</v>
      </c>
      <c r="BX167" t="s">
        <v>709</v>
      </c>
      <c r="BY167" t="s">
        <v>709</v>
      </c>
      <c r="BZ167" t="s">
        <v>709</v>
      </c>
      <c r="CB167">
        <v>165</v>
      </c>
      <c r="CC167" t="b">
        <v>1</v>
      </c>
      <c r="CD167" t="s">
        <v>2670</v>
      </c>
      <c r="CE167" s="1482">
        <v>45880.732361111113</v>
      </c>
    </row>
    <row r="168" spans="1:83" ht="300" x14ac:dyDescent="0.25">
      <c r="A168">
        <v>2021</v>
      </c>
      <c r="B168" t="s">
        <v>771</v>
      </c>
      <c r="C168" t="s">
        <v>2671</v>
      </c>
      <c r="D168" t="s">
        <v>2672</v>
      </c>
      <c r="E168" t="s">
        <v>818</v>
      </c>
      <c r="F168" t="s">
        <v>919</v>
      </c>
      <c r="G168" t="s">
        <v>1882</v>
      </c>
      <c r="H168" t="s">
        <v>59</v>
      </c>
      <c r="I168">
        <v>43963</v>
      </c>
      <c r="J168">
        <v>44055</v>
      </c>
      <c r="K168">
        <v>44039</v>
      </c>
      <c r="L168">
        <v>16</v>
      </c>
      <c r="N168" t="s">
        <v>120</v>
      </c>
      <c r="O168">
        <v>44039</v>
      </c>
      <c r="P168" t="s">
        <v>120</v>
      </c>
      <c r="Q168">
        <v>52160.808599999997</v>
      </c>
      <c r="R168">
        <v>0.09</v>
      </c>
      <c r="S168" t="s">
        <v>709</v>
      </c>
      <c r="T168" t="s">
        <v>709</v>
      </c>
      <c r="U168" t="s">
        <v>709</v>
      </c>
      <c r="V168">
        <v>3534</v>
      </c>
      <c r="X168">
        <v>529338.85</v>
      </c>
      <c r="Y168">
        <v>0</v>
      </c>
      <c r="Z168">
        <v>50225.69</v>
      </c>
      <c r="AA168">
        <v>579564.54</v>
      </c>
      <c r="AM168" t="s">
        <v>116</v>
      </c>
      <c r="AN168">
        <v>44222</v>
      </c>
      <c r="AO168">
        <v>187020</v>
      </c>
      <c r="AP168">
        <v>784270.66</v>
      </c>
      <c r="AR168">
        <v>50307.81</v>
      </c>
      <c r="AS168">
        <v>834578.47</v>
      </c>
      <c r="AT168">
        <v>255013.93</v>
      </c>
      <c r="AU168">
        <v>22951.253700000001</v>
      </c>
      <c r="AV168">
        <v>2352.5</v>
      </c>
      <c r="AW168" s="4" t="s">
        <v>2673</v>
      </c>
      <c r="AX168">
        <v>22951.253700000001</v>
      </c>
      <c r="AY168">
        <v>44501</v>
      </c>
      <c r="BB168" t="s">
        <v>2674</v>
      </c>
      <c r="BC168" t="s">
        <v>709</v>
      </c>
      <c r="BD168" t="s">
        <v>709</v>
      </c>
      <c r="BE168" t="s">
        <v>822</v>
      </c>
      <c r="BF168" t="s">
        <v>709</v>
      </c>
      <c r="BG168" t="s">
        <v>709</v>
      </c>
      <c r="BI168" t="s">
        <v>709</v>
      </c>
      <c r="BJ168" t="s">
        <v>709</v>
      </c>
      <c r="BK168" t="s">
        <v>709</v>
      </c>
      <c r="BL168" t="s">
        <v>116</v>
      </c>
      <c r="BM168" t="s">
        <v>709</v>
      </c>
      <c r="BN168" t="s">
        <v>709</v>
      </c>
      <c r="BO168" t="s">
        <v>709</v>
      </c>
      <c r="BP168" t="s">
        <v>709</v>
      </c>
      <c r="BQ168" t="s">
        <v>709</v>
      </c>
      <c r="BR168">
        <v>2174</v>
      </c>
      <c r="BS168">
        <v>1360</v>
      </c>
      <c r="BT168" t="s">
        <v>745</v>
      </c>
      <c r="BU168" t="s">
        <v>709</v>
      </c>
      <c r="BV168" t="s">
        <v>745</v>
      </c>
      <c r="BW168" t="s">
        <v>709</v>
      </c>
      <c r="BX168" t="s">
        <v>745</v>
      </c>
      <c r="BY168" t="s">
        <v>745</v>
      </c>
      <c r="BZ168" t="s">
        <v>709</v>
      </c>
      <c r="CB168">
        <v>166</v>
      </c>
      <c r="CC168" t="b">
        <v>1</v>
      </c>
      <c r="CD168" t="s">
        <v>2675</v>
      </c>
      <c r="CE168" s="1482">
        <v>45880.732361111113</v>
      </c>
    </row>
    <row r="169" spans="1:83" ht="240" x14ac:dyDescent="0.25">
      <c r="A169">
        <v>2020</v>
      </c>
      <c r="B169" t="s">
        <v>769</v>
      </c>
      <c r="C169" t="s">
        <v>96</v>
      </c>
      <c r="D169" t="s">
        <v>2676</v>
      </c>
      <c r="E169" t="s">
        <v>97</v>
      </c>
      <c r="F169" t="s">
        <v>738</v>
      </c>
      <c r="G169" t="s">
        <v>40</v>
      </c>
      <c r="H169" t="s">
        <v>59</v>
      </c>
      <c r="I169">
        <v>43955</v>
      </c>
      <c r="J169">
        <v>44041</v>
      </c>
      <c r="K169">
        <v>44040</v>
      </c>
      <c r="L169">
        <v>1</v>
      </c>
      <c r="N169" t="s">
        <v>120</v>
      </c>
      <c r="O169">
        <v>44044</v>
      </c>
      <c r="P169" t="s">
        <v>739</v>
      </c>
      <c r="Q169">
        <v>20415.091799999998</v>
      </c>
      <c r="R169" t="s">
        <v>1055</v>
      </c>
      <c r="S169" t="s">
        <v>709</v>
      </c>
      <c r="T169" t="s">
        <v>709</v>
      </c>
      <c r="U169" t="s">
        <v>709</v>
      </c>
      <c r="V169">
        <v>175</v>
      </c>
      <c r="X169">
        <v>126517.92</v>
      </c>
      <c r="Y169">
        <v>0</v>
      </c>
      <c r="Z169">
        <v>22483.16</v>
      </c>
      <c r="AA169">
        <v>149001.07999999999</v>
      </c>
      <c r="AM169" t="s">
        <v>116</v>
      </c>
      <c r="AN169">
        <v>44104</v>
      </c>
      <c r="AO169">
        <v>188609</v>
      </c>
      <c r="AP169">
        <v>126517.92</v>
      </c>
      <c r="AR169">
        <v>19729.240000000002</v>
      </c>
      <c r="AS169">
        <v>146247.16</v>
      </c>
      <c r="AT169">
        <v>-2753.92</v>
      </c>
      <c r="AU169">
        <v>-234.08320000000001</v>
      </c>
      <c r="AV169" t="s">
        <v>709</v>
      </c>
      <c r="AW169" t="s">
        <v>2677</v>
      </c>
      <c r="AX169">
        <v>-234.08320000000001</v>
      </c>
      <c r="AY169">
        <v>44501</v>
      </c>
      <c r="BA169" s="4" t="s">
        <v>2678</v>
      </c>
      <c r="BB169" t="s">
        <v>2679</v>
      </c>
      <c r="BI169" t="s">
        <v>709</v>
      </c>
      <c r="BJ169" t="s">
        <v>709</v>
      </c>
      <c r="BK169" t="s">
        <v>116</v>
      </c>
      <c r="BL169" t="s">
        <v>116</v>
      </c>
      <c r="BM169" t="s">
        <v>709</v>
      </c>
      <c r="BN169" t="s">
        <v>709</v>
      </c>
      <c r="BO169" t="s">
        <v>709</v>
      </c>
      <c r="BP169" t="s">
        <v>709</v>
      </c>
      <c r="BQ169" t="s">
        <v>709</v>
      </c>
      <c r="BR169" t="s">
        <v>709</v>
      </c>
      <c r="BS169">
        <v>170</v>
      </c>
      <c r="BT169" t="s">
        <v>709</v>
      </c>
      <c r="BU169">
        <v>1</v>
      </c>
      <c r="BV169" t="s">
        <v>709</v>
      </c>
      <c r="BW169" t="s">
        <v>709</v>
      </c>
      <c r="BX169" t="s">
        <v>709</v>
      </c>
      <c r="BY169" t="s">
        <v>709</v>
      </c>
      <c r="BZ169" t="s">
        <v>709</v>
      </c>
      <c r="CA169" t="s">
        <v>2680</v>
      </c>
      <c r="CB169">
        <v>167</v>
      </c>
      <c r="CC169" t="b">
        <v>1</v>
      </c>
      <c r="CD169" t="s">
        <v>2681</v>
      </c>
      <c r="CE169" s="1482">
        <v>45880.732361111113</v>
      </c>
    </row>
    <row r="170" spans="1:83" x14ac:dyDescent="0.25">
      <c r="A170">
        <v>2020</v>
      </c>
      <c r="B170" t="s">
        <v>4</v>
      </c>
      <c r="C170" t="s">
        <v>2497</v>
      </c>
      <c r="D170" t="s">
        <v>2498</v>
      </c>
      <c r="E170" t="s">
        <v>1554</v>
      </c>
      <c r="F170" t="s">
        <v>325</v>
      </c>
      <c r="G170" t="s">
        <v>40</v>
      </c>
      <c r="H170" t="s">
        <v>2051</v>
      </c>
      <c r="I170">
        <v>43809</v>
      </c>
      <c r="J170" t="s">
        <v>2052</v>
      </c>
      <c r="K170">
        <v>44041</v>
      </c>
      <c r="L170">
        <v>232</v>
      </c>
      <c r="M170" t="s">
        <v>2682</v>
      </c>
      <c r="N170" t="s">
        <v>120</v>
      </c>
      <c r="O170">
        <v>44044</v>
      </c>
      <c r="P170" t="s">
        <v>739</v>
      </c>
      <c r="Q170">
        <v>2090</v>
      </c>
      <c r="R170" t="s">
        <v>1922</v>
      </c>
      <c r="S170" t="s">
        <v>709</v>
      </c>
      <c r="T170" t="s">
        <v>709</v>
      </c>
      <c r="U170">
        <v>2090</v>
      </c>
      <c r="AM170" t="s">
        <v>709</v>
      </c>
      <c r="AY170" t="s">
        <v>29</v>
      </c>
      <c r="BA170">
        <v>2</v>
      </c>
      <c r="BI170" t="s">
        <v>709</v>
      </c>
      <c r="BJ170" t="s">
        <v>709</v>
      </c>
      <c r="BK170" t="s">
        <v>709</v>
      </c>
      <c r="BL170" t="s">
        <v>116</v>
      </c>
      <c r="BM170" t="s">
        <v>709</v>
      </c>
      <c r="BN170" t="s">
        <v>709</v>
      </c>
      <c r="BO170" t="s">
        <v>709</v>
      </c>
      <c r="BP170" t="s">
        <v>709</v>
      </c>
      <c r="BQ170" t="s">
        <v>709</v>
      </c>
      <c r="BR170" t="s">
        <v>709</v>
      </c>
      <c r="BS170">
        <v>1735</v>
      </c>
      <c r="BT170" t="s">
        <v>709</v>
      </c>
      <c r="BU170" t="s">
        <v>709</v>
      </c>
      <c r="BV170" t="s">
        <v>709</v>
      </c>
      <c r="BW170" t="s">
        <v>709</v>
      </c>
      <c r="BX170" t="s">
        <v>709</v>
      </c>
      <c r="BY170" t="s">
        <v>709</v>
      </c>
      <c r="BZ170" t="s">
        <v>709</v>
      </c>
      <c r="CB170">
        <v>168</v>
      </c>
      <c r="CC170" t="b">
        <v>1</v>
      </c>
      <c r="CD170" t="s">
        <v>2683</v>
      </c>
      <c r="CE170" s="1482">
        <v>45880.732372685183</v>
      </c>
    </row>
    <row r="171" spans="1:83" ht="60" x14ac:dyDescent="0.25">
      <c r="A171">
        <v>2020</v>
      </c>
      <c r="B171" t="s">
        <v>4</v>
      </c>
      <c r="C171" t="s">
        <v>106</v>
      </c>
      <c r="D171" s="4" t="s">
        <v>2684</v>
      </c>
      <c r="E171" t="s">
        <v>108</v>
      </c>
      <c r="F171" t="s">
        <v>325</v>
      </c>
      <c r="G171" t="s">
        <v>36</v>
      </c>
      <c r="H171" t="s">
        <v>2051</v>
      </c>
      <c r="I171">
        <v>43705</v>
      </c>
      <c r="J171" t="s">
        <v>2052</v>
      </c>
      <c r="K171">
        <v>44048</v>
      </c>
      <c r="L171">
        <v>343</v>
      </c>
      <c r="M171" t="s">
        <v>2685</v>
      </c>
      <c r="N171" t="s">
        <v>120</v>
      </c>
      <c r="O171">
        <v>44048</v>
      </c>
      <c r="P171" t="s">
        <v>739</v>
      </c>
      <c r="Q171">
        <v>4930</v>
      </c>
      <c r="R171" t="s">
        <v>1922</v>
      </c>
      <c r="S171" t="s">
        <v>709</v>
      </c>
      <c r="T171" t="s">
        <v>709</v>
      </c>
      <c r="U171">
        <v>4930</v>
      </c>
      <c r="AM171" t="s">
        <v>709</v>
      </c>
      <c r="AY171" t="s">
        <v>29</v>
      </c>
      <c r="BA171">
        <v>12</v>
      </c>
      <c r="BI171" t="s">
        <v>709</v>
      </c>
      <c r="BJ171" t="s">
        <v>709</v>
      </c>
      <c r="BK171" t="s">
        <v>709</v>
      </c>
      <c r="BL171" t="s">
        <v>116</v>
      </c>
      <c r="BM171" t="s">
        <v>709</v>
      </c>
      <c r="BN171">
        <v>959</v>
      </c>
      <c r="BO171" t="s">
        <v>709</v>
      </c>
      <c r="BP171">
        <v>2838</v>
      </c>
      <c r="BQ171" t="s">
        <v>709</v>
      </c>
      <c r="BR171">
        <v>116</v>
      </c>
      <c r="BS171">
        <v>51</v>
      </c>
      <c r="BT171" t="s">
        <v>709</v>
      </c>
      <c r="BU171" t="s">
        <v>709</v>
      </c>
      <c r="BV171" t="s">
        <v>709</v>
      </c>
      <c r="BW171" t="s">
        <v>709</v>
      </c>
      <c r="BX171" t="s">
        <v>709</v>
      </c>
      <c r="BY171" t="s">
        <v>709</v>
      </c>
      <c r="BZ171" t="s">
        <v>709</v>
      </c>
      <c r="CB171">
        <v>169</v>
      </c>
      <c r="CC171" t="b">
        <v>1</v>
      </c>
      <c r="CD171" s="4" t="s">
        <v>2686</v>
      </c>
      <c r="CE171" s="1482">
        <v>45880.732372685183</v>
      </c>
    </row>
    <row r="172" spans="1:83" ht="409.5" x14ac:dyDescent="0.25">
      <c r="A172">
        <v>2020</v>
      </c>
      <c r="B172" t="s">
        <v>1073</v>
      </c>
      <c r="C172" t="s">
        <v>2687</v>
      </c>
      <c r="D172" t="s">
        <v>115</v>
      </c>
      <c r="E172" t="s">
        <v>87</v>
      </c>
      <c r="F172" t="s">
        <v>738</v>
      </c>
      <c r="G172" t="s">
        <v>36</v>
      </c>
      <c r="H172" t="s">
        <v>2127</v>
      </c>
      <c r="I172">
        <v>44040</v>
      </c>
      <c r="J172">
        <v>44096</v>
      </c>
      <c r="K172">
        <v>44061</v>
      </c>
      <c r="L172">
        <v>35</v>
      </c>
      <c r="N172" t="s">
        <v>120</v>
      </c>
      <c r="O172">
        <v>44061</v>
      </c>
      <c r="P172" t="s">
        <v>739</v>
      </c>
      <c r="Q172">
        <v>2315</v>
      </c>
      <c r="R172" t="s">
        <v>1922</v>
      </c>
      <c r="S172" t="s">
        <v>709</v>
      </c>
      <c r="T172" t="s">
        <v>709</v>
      </c>
      <c r="U172">
        <v>2315</v>
      </c>
      <c r="V172" t="s">
        <v>115</v>
      </c>
      <c r="AM172" t="s">
        <v>709</v>
      </c>
      <c r="AY172" t="s">
        <v>29</v>
      </c>
      <c r="BA172" s="4" t="s">
        <v>2688</v>
      </c>
      <c r="BZ172" t="s">
        <v>709</v>
      </c>
      <c r="CA172" t="s">
        <v>915</v>
      </c>
      <c r="CB172">
        <v>170</v>
      </c>
      <c r="CC172" t="b">
        <v>1</v>
      </c>
      <c r="CD172" t="s">
        <v>2689</v>
      </c>
      <c r="CE172" s="1482">
        <v>45880.73238425926</v>
      </c>
    </row>
    <row r="173" spans="1:83" ht="225" x14ac:dyDescent="0.25">
      <c r="A173">
        <v>2020</v>
      </c>
      <c r="B173" t="s">
        <v>769</v>
      </c>
      <c r="C173" t="s">
        <v>2690</v>
      </c>
      <c r="D173" t="s">
        <v>2691</v>
      </c>
      <c r="E173" t="s">
        <v>87</v>
      </c>
      <c r="F173" t="s">
        <v>738</v>
      </c>
      <c r="G173" t="s">
        <v>40</v>
      </c>
      <c r="H173" t="s">
        <v>59</v>
      </c>
      <c r="I173">
        <v>43955</v>
      </c>
      <c r="J173">
        <v>44004</v>
      </c>
      <c r="K173">
        <v>44063</v>
      </c>
      <c r="L173">
        <v>-59</v>
      </c>
      <c r="M173" t="s">
        <v>2692</v>
      </c>
      <c r="N173" t="s">
        <v>120</v>
      </c>
      <c r="O173">
        <v>44063</v>
      </c>
      <c r="P173" t="s">
        <v>739</v>
      </c>
      <c r="Q173" t="s">
        <v>115</v>
      </c>
      <c r="R173" t="s">
        <v>115</v>
      </c>
      <c r="S173" t="s">
        <v>709</v>
      </c>
      <c r="T173" t="s">
        <v>709</v>
      </c>
      <c r="U173" t="s">
        <v>709</v>
      </c>
      <c r="V173" t="s">
        <v>115</v>
      </c>
      <c r="AM173" t="s">
        <v>709</v>
      </c>
      <c r="AY173" t="s">
        <v>29</v>
      </c>
      <c r="BA173" s="4" t="s">
        <v>2693</v>
      </c>
      <c r="BB173" t="s">
        <v>2694</v>
      </c>
      <c r="BI173" t="s">
        <v>709</v>
      </c>
      <c r="BJ173" t="s">
        <v>709</v>
      </c>
      <c r="BK173" t="s">
        <v>116</v>
      </c>
      <c r="BL173" t="s">
        <v>116</v>
      </c>
      <c r="BM173" t="s">
        <v>709</v>
      </c>
      <c r="BN173" t="s">
        <v>709</v>
      </c>
      <c r="BO173" t="s">
        <v>709</v>
      </c>
      <c r="BP173" t="s">
        <v>709</v>
      </c>
      <c r="BQ173">
        <v>3</v>
      </c>
      <c r="BR173">
        <v>2</v>
      </c>
      <c r="BS173" t="s">
        <v>709</v>
      </c>
      <c r="BT173" t="s">
        <v>709</v>
      </c>
      <c r="BU173" t="s">
        <v>709</v>
      </c>
      <c r="BV173" t="s">
        <v>709</v>
      </c>
      <c r="BW173" t="s">
        <v>709</v>
      </c>
      <c r="BX173" t="s">
        <v>709</v>
      </c>
      <c r="BY173" t="s">
        <v>709</v>
      </c>
      <c r="BZ173" t="s">
        <v>709</v>
      </c>
      <c r="CA173" t="s">
        <v>769</v>
      </c>
      <c r="CB173">
        <v>171</v>
      </c>
      <c r="CC173" t="b">
        <v>1</v>
      </c>
      <c r="CD173" t="s">
        <v>2695</v>
      </c>
      <c r="CE173" s="1482">
        <v>45880.73238425926</v>
      </c>
    </row>
    <row r="174" spans="1:83" ht="225" x14ac:dyDescent="0.25">
      <c r="A174">
        <v>2020</v>
      </c>
      <c r="B174" t="s">
        <v>769</v>
      </c>
      <c r="C174" t="s">
        <v>86</v>
      </c>
      <c r="D174" t="s">
        <v>2696</v>
      </c>
      <c r="E174" t="s">
        <v>87</v>
      </c>
      <c r="F174" t="s">
        <v>738</v>
      </c>
      <c r="G174" t="s">
        <v>40</v>
      </c>
      <c r="H174" t="s">
        <v>59</v>
      </c>
      <c r="I174">
        <v>43955</v>
      </c>
      <c r="J174">
        <v>44064</v>
      </c>
      <c r="K174">
        <v>44063</v>
      </c>
      <c r="L174">
        <v>1</v>
      </c>
      <c r="M174" t="s">
        <v>2692</v>
      </c>
      <c r="N174" t="s">
        <v>120</v>
      </c>
      <c r="O174">
        <v>44063</v>
      </c>
      <c r="P174" t="s">
        <v>739</v>
      </c>
      <c r="Q174">
        <v>28078.3187</v>
      </c>
      <c r="R174" t="s">
        <v>1055</v>
      </c>
      <c r="S174" t="s">
        <v>709</v>
      </c>
      <c r="T174" t="s">
        <v>709</v>
      </c>
      <c r="U174" t="s">
        <v>709</v>
      </c>
      <c r="V174">
        <v>132</v>
      </c>
      <c r="X174">
        <v>202064.91</v>
      </c>
      <c r="Y174">
        <v>0</v>
      </c>
      <c r="Z174">
        <v>37091.78</v>
      </c>
      <c r="AA174">
        <v>239156.69</v>
      </c>
      <c r="AM174" t="s">
        <v>116</v>
      </c>
      <c r="AN174">
        <v>44299</v>
      </c>
      <c r="AO174">
        <v>188608</v>
      </c>
      <c r="AP174">
        <v>207866.08</v>
      </c>
      <c r="AR174">
        <v>37091.78</v>
      </c>
      <c r="AS174">
        <v>244957.86</v>
      </c>
      <c r="AT174">
        <v>5801.17</v>
      </c>
      <c r="AU174">
        <v>493.0994</v>
      </c>
      <c r="AV174" t="s">
        <v>709</v>
      </c>
      <c r="AW174" t="s">
        <v>2275</v>
      </c>
      <c r="AX174">
        <v>493.0994</v>
      </c>
      <c r="AY174">
        <v>44501</v>
      </c>
      <c r="BA174" s="4" t="s">
        <v>2697</v>
      </c>
      <c r="BB174" t="s">
        <v>2694</v>
      </c>
      <c r="BI174" t="s">
        <v>709</v>
      </c>
      <c r="BJ174" t="s">
        <v>709</v>
      </c>
      <c r="BK174" t="s">
        <v>116</v>
      </c>
      <c r="BL174" t="s">
        <v>116</v>
      </c>
      <c r="BM174" t="s">
        <v>709</v>
      </c>
      <c r="BN174" t="s">
        <v>709</v>
      </c>
      <c r="BO174" t="s">
        <v>709</v>
      </c>
      <c r="BP174" t="s">
        <v>709</v>
      </c>
      <c r="BQ174">
        <v>3</v>
      </c>
      <c r="BR174">
        <v>16</v>
      </c>
      <c r="BS174">
        <v>113</v>
      </c>
      <c r="BT174" t="s">
        <v>709</v>
      </c>
      <c r="BU174">
        <v>1</v>
      </c>
      <c r="BV174" t="s">
        <v>709</v>
      </c>
      <c r="BW174" t="s">
        <v>709</v>
      </c>
      <c r="BX174">
        <v>1</v>
      </c>
      <c r="BY174" t="s">
        <v>709</v>
      </c>
      <c r="BZ174" t="s">
        <v>709</v>
      </c>
      <c r="CA174" t="s">
        <v>769</v>
      </c>
      <c r="CB174">
        <v>172</v>
      </c>
      <c r="CC174" t="b">
        <v>1</v>
      </c>
      <c r="CD174" t="s">
        <v>2698</v>
      </c>
      <c r="CE174" s="1482">
        <v>45880.732395833336</v>
      </c>
    </row>
    <row r="175" spans="1:83" ht="180" x14ac:dyDescent="0.25">
      <c r="A175">
        <v>2020</v>
      </c>
      <c r="B175" t="s">
        <v>4</v>
      </c>
      <c r="C175" t="s">
        <v>2699</v>
      </c>
      <c r="D175" t="s">
        <v>2700</v>
      </c>
      <c r="E175" t="s">
        <v>1149</v>
      </c>
      <c r="F175" t="s">
        <v>919</v>
      </c>
      <c r="G175" t="s">
        <v>2528</v>
      </c>
      <c r="H175" t="s">
        <v>59</v>
      </c>
      <c r="I175">
        <v>43838</v>
      </c>
      <c r="J175">
        <v>44075</v>
      </c>
      <c r="K175">
        <v>44064</v>
      </c>
      <c r="L175">
        <v>11</v>
      </c>
      <c r="N175" t="s">
        <v>120</v>
      </c>
      <c r="O175">
        <v>44064</v>
      </c>
      <c r="P175" t="s">
        <v>739</v>
      </c>
      <c r="Q175">
        <v>37139.682999999997</v>
      </c>
      <c r="R175">
        <v>0.1</v>
      </c>
      <c r="S175" t="s">
        <v>709</v>
      </c>
      <c r="T175" t="s">
        <v>709</v>
      </c>
      <c r="U175" t="s">
        <v>709</v>
      </c>
      <c r="V175">
        <v>2696</v>
      </c>
      <c r="X175">
        <v>324959.15999999997</v>
      </c>
      <c r="Y175">
        <v>0</v>
      </c>
      <c r="Z175">
        <v>46437.67</v>
      </c>
      <c r="AA175">
        <v>371396.83</v>
      </c>
      <c r="AM175" t="s">
        <v>116</v>
      </c>
      <c r="AN175">
        <v>44300</v>
      </c>
      <c r="AO175">
        <v>188399</v>
      </c>
      <c r="AP175">
        <v>325917.03999999998</v>
      </c>
      <c r="AR175">
        <v>46525.97</v>
      </c>
      <c r="AS175">
        <v>372443.01</v>
      </c>
      <c r="AT175">
        <v>1046.18</v>
      </c>
      <c r="AU175">
        <v>104.61799999999999</v>
      </c>
      <c r="AV175" t="s">
        <v>709</v>
      </c>
      <c r="AW175" s="4" t="s">
        <v>2701</v>
      </c>
      <c r="AX175">
        <v>104.61799999999999</v>
      </c>
      <c r="AY175">
        <v>44501</v>
      </c>
      <c r="BA175" s="4" t="s">
        <v>2702</v>
      </c>
      <c r="BB175" t="s">
        <v>2703</v>
      </c>
      <c r="BI175" t="s">
        <v>709</v>
      </c>
      <c r="BJ175" t="s">
        <v>709</v>
      </c>
      <c r="BK175" t="s">
        <v>709</v>
      </c>
      <c r="BL175" t="s">
        <v>116</v>
      </c>
      <c r="BM175" t="s">
        <v>709</v>
      </c>
      <c r="BN175" t="s">
        <v>709</v>
      </c>
      <c r="BO175" t="s">
        <v>709</v>
      </c>
      <c r="BP175" t="s">
        <v>709</v>
      </c>
      <c r="BQ175" t="s">
        <v>709</v>
      </c>
      <c r="BR175" t="s">
        <v>709</v>
      </c>
      <c r="BS175">
        <v>2696</v>
      </c>
      <c r="BT175" t="s">
        <v>709</v>
      </c>
      <c r="BU175" t="s">
        <v>709</v>
      </c>
      <c r="BV175" t="s">
        <v>709</v>
      </c>
      <c r="BW175" t="s">
        <v>709</v>
      </c>
      <c r="BX175" t="s">
        <v>709</v>
      </c>
      <c r="BY175" t="s">
        <v>709</v>
      </c>
      <c r="BZ175" t="s">
        <v>709</v>
      </c>
      <c r="CB175">
        <v>173</v>
      </c>
      <c r="CC175" t="b">
        <v>1</v>
      </c>
      <c r="CD175" t="s">
        <v>2704</v>
      </c>
      <c r="CE175" s="1482">
        <v>45880.732395833336</v>
      </c>
    </row>
    <row r="176" spans="1:83" ht="409.5" x14ac:dyDescent="0.25">
      <c r="A176">
        <v>2021</v>
      </c>
      <c r="B176" t="s">
        <v>4</v>
      </c>
      <c r="C176" t="s">
        <v>2705</v>
      </c>
      <c r="D176" t="s">
        <v>115</v>
      </c>
      <c r="E176" t="s">
        <v>2656</v>
      </c>
      <c r="F176" t="s">
        <v>919</v>
      </c>
      <c r="G176" t="s">
        <v>1896</v>
      </c>
      <c r="H176" t="s">
        <v>2127</v>
      </c>
      <c r="I176">
        <v>44019</v>
      </c>
      <c r="J176">
        <v>44119</v>
      </c>
      <c r="K176">
        <v>44069</v>
      </c>
      <c r="L176">
        <v>50</v>
      </c>
      <c r="M176" t="s">
        <v>2706</v>
      </c>
      <c r="N176" t="s">
        <v>120</v>
      </c>
      <c r="O176">
        <v>44075</v>
      </c>
      <c r="P176" t="s">
        <v>739</v>
      </c>
      <c r="Q176" t="s">
        <v>115</v>
      </c>
      <c r="R176" t="s">
        <v>115</v>
      </c>
      <c r="S176" t="s">
        <v>709</v>
      </c>
      <c r="T176" t="s">
        <v>709</v>
      </c>
      <c r="U176" t="s">
        <v>709</v>
      </c>
      <c r="V176" t="s">
        <v>115</v>
      </c>
      <c r="AA176">
        <v>0</v>
      </c>
      <c r="AM176" t="s">
        <v>709</v>
      </c>
      <c r="AW176" s="4"/>
      <c r="AY176" t="s">
        <v>29</v>
      </c>
      <c r="BA176" s="4" t="s">
        <v>2707</v>
      </c>
      <c r="BZ176" t="s">
        <v>709</v>
      </c>
      <c r="CA176" t="s">
        <v>915</v>
      </c>
      <c r="CB176">
        <v>174</v>
      </c>
      <c r="CC176" t="b">
        <v>1</v>
      </c>
      <c r="CD176" t="s">
        <v>2708</v>
      </c>
      <c r="CE176" s="1482">
        <v>45880.732395833336</v>
      </c>
    </row>
    <row r="177" spans="1:83" x14ac:dyDescent="0.25">
      <c r="A177">
        <v>2019</v>
      </c>
      <c r="B177" t="s">
        <v>4</v>
      </c>
      <c r="C177" t="s">
        <v>2509</v>
      </c>
      <c r="D177" t="s">
        <v>2510</v>
      </c>
      <c r="E177" t="s">
        <v>2511</v>
      </c>
      <c r="F177" t="s">
        <v>738</v>
      </c>
      <c r="G177" t="s">
        <v>40</v>
      </c>
      <c r="H177" t="s">
        <v>2051</v>
      </c>
      <c r="I177">
        <v>43468</v>
      </c>
      <c r="J177" t="s">
        <v>2052</v>
      </c>
      <c r="K177">
        <v>44070</v>
      </c>
      <c r="L177">
        <v>602</v>
      </c>
      <c r="M177" t="s">
        <v>2709</v>
      </c>
      <c r="N177" t="s">
        <v>120</v>
      </c>
      <c r="O177">
        <v>44075</v>
      </c>
      <c r="P177" t="s">
        <v>739</v>
      </c>
      <c r="Q177">
        <v>5300</v>
      </c>
      <c r="R177" t="s">
        <v>1922</v>
      </c>
      <c r="S177" t="s">
        <v>709</v>
      </c>
      <c r="T177" t="s">
        <v>709</v>
      </c>
      <c r="U177">
        <v>5300</v>
      </c>
      <c r="AM177" t="s">
        <v>709</v>
      </c>
      <c r="AY177" t="s">
        <v>29</v>
      </c>
      <c r="BA177" s="4">
        <v>12</v>
      </c>
      <c r="BI177" t="s">
        <v>709</v>
      </c>
      <c r="BJ177" t="s">
        <v>709</v>
      </c>
      <c r="BK177" t="s">
        <v>709</v>
      </c>
      <c r="BL177" t="s">
        <v>116</v>
      </c>
      <c r="BM177" t="s">
        <v>709</v>
      </c>
      <c r="BN177" t="s">
        <v>709</v>
      </c>
      <c r="BO177" t="s">
        <v>709</v>
      </c>
      <c r="BP177" t="s">
        <v>709</v>
      </c>
      <c r="BQ177" t="s">
        <v>709</v>
      </c>
      <c r="BR177">
        <v>1760</v>
      </c>
      <c r="BS177" t="s">
        <v>709</v>
      </c>
      <c r="BT177" t="s">
        <v>745</v>
      </c>
      <c r="BU177" t="s">
        <v>709</v>
      </c>
      <c r="BV177" t="s">
        <v>745</v>
      </c>
      <c r="BW177" t="s">
        <v>709</v>
      </c>
      <c r="BX177" t="s">
        <v>745</v>
      </c>
      <c r="BY177" t="s">
        <v>745</v>
      </c>
      <c r="BZ177" t="s">
        <v>709</v>
      </c>
      <c r="CB177">
        <v>175</v>
      </c>
      <c r="CC177" t="b">
        <v>1</v>
      </c>
      <c r="CD177" t="s">
        <v>2710</v>
      </c>
      <c r="CE177" s="1482">
        <v>45880.732407407406</v>
      </c>
    </row>
    <row r="178" spans="1:83" ht="409.5" x14ac:dyDescent="0.25">
      <c r="A178">
        <v>2020</v>
      </c>
      <c r="B178" t="s">
        <v>1205</v>
      </c>
      <c r="C178" t="s">
        <v>2711</v>
      </c>
      <c r="D178">
        <v>135687</v>
      </c>
      <c r="E178" t="s">
        <v>818</v>
      </c>
      <c r="F178" t="s">
        <v>919</v>
      </c>
      <c r="G178" t="s">
        <v>1882</v>
      </c>
      <c r="H178" t="s">
        <v>2127</v>
      </c>
      <c r="I178">
        <v>44040</v>
      </c>
      <c r="J178">
        <v>44096</v>
      </c>
      <c r="K178">
        <v>44074</v>
      </c>
      <c r="L178">
        <v>22</v>
      </c>
      <c r="M178" t="s">
        <v>2712</v>
      </c>
      <c r="N178" t="s">
        <v>120</v>
      </c>
      <c r="O178">
        <v>44075</v>
      </c>
      <c r="P178" t="s">
        <v>739</v>
      </c>
      <c r="Q178">
        <v>11589</v>
      </c>
      <c r="R178" t="s">
        <v>1922</v>
      </c>
      <c r="S178">
        <v>181.5</v>
      </c>
      <c r="T178" t="s">
        <v>709</v>
      </c>
      <c r="U178">
        <v>11407.5</v>
      </c>
      <c r="AM178" t="s">
        <v>709</v>
      </c>
      <c r="AY178" t="s">
        <v>29</v>
      </c>
      <c r="BA178" s="4" t="s">
        <v>2713</v>
      </c>
      <c r="BI178" t="s">
        <v>709</v>
      </c>
      <c r="BJ178" t="s">
        <v>709</v>
      </c>
      <c r="BK178" t="s">
        <v>709</v>
      </c>
      <c r="BL178" t="s">
        <v>116</v>
      </c>
      <c r="BM178" t="s">
        <v>709</v>
      </c>
      <c r="BN178" t="s">
        <v>709</v>
      </c>
      <c r="BO178" t="s">
        <v>709</v>
      </c>
      <c r="BP178" t="s">
        <v>709</v>
      </c>
      <c r="BQ178" t="s">
        <v>709</v>
      </c>
      <c r="BR178" t="s">
        <v>709</v>
      </c>
      <c r="BS178" t="s">
        <v>116</v>
      </c>
      <c r="BT178" t="s">
        <v>709</v>
      </c>
      <c r="BU178" t="s">
        <v>709</v>
      </c>
      <c r="BV178" t="s">
        <v>709</v>
      </c>
      <c r="BW178" t="s">
        <v>709</v>
      </c>
      <c r="BX178" t="s">
        <v>709</v>
      </c>
      <c r="BY178" t="s">
        <v>709</v>
      </c>
      <c r="BZ178" t="s">
        <v>709</v>
      </c>
      <c r="CB178">
        <v>176</v>
      </c>
      <c r="CC178" t="b">
        <v>1</v>
      </c>
      <c r="CD178" t="s">
        <v>2714</v>
      </c>
      <c r="CE178" s="1482">
        <v>45880.732418981483</v>
      </c>
    </row>
    <row r="179" spans="1:83" x14ac:dyDescent="0.25">
      <c r="A179">
        <v>2020</v>
      </c>
      <c r="B179" t="s">
        <v>4</v>
      </c>
      <c r="C179" t="s">
        <v>2715</v>
      </c>
      <c r="D179" t="s">
        <v>2716</v>
      </c>
      <c r="E179" t="s">
        <v>2717</v>
      </c>
      <c r="F179" t="s">
        <v>738</v>
      </c>
      <c r="G179" t="s">
        <v>40</v>
      </c>
      <c r="H179" t="s">
        <v>59</v>
      </c>
      <c r="I179">
        <v>43817</v>
      </c>
      <c r="J179">
        <v>44085</v>
      </c>
      <c r="K179">
        <v>44085</v>
      </c>
      <c r="L179">
        <v>0</v>
      </c>
      <c r="N179" t="s">
        <v>120</v>
      </c>
      <c r="O179">
        <v>44085</v>
      </c>
      <c r="P179" t="s">
        <v>739</v>
      </c>
      <c r="Q179">
        <v>37343.99</v>
      </c>
      <c r="R179">
        <v>0.1</v>
      </c>
      <c r="S179" t="s">
        <v>709</v>
      </c>
      <c r="T179" t="s">
        <v>709</v>
      </c>
      <c r="U179" t="s">
        <v>709</v>
      </c>
      <c r="V179">
        <v>696</v>
      </c>
      <c r="X179">
        <v>309770.11</v>
      </c>
      <c r="Y179" t="s">
        <v>115</v>
      </c>
      <c r="Z179">
        <v>63669.79</v>
      </c>
      <c r="AA179">
        <v>373439.9</v>
      </c>
      <c r="AM179" t="s">
        <v>116</v>
      </c>
      <c r="AN179">
        <v>44127</v>
      </c>
      <c r="AO179">
        <v>182870</v>
      </c>
      <c r="AP179">
        <v>309893.15000000002</v>
      </c>
      <c r="AR179">
        <v>65233.8</v>
      </c>
      <c r="AS179">
        <v>375126.95</v>
      </c>
      <c r="AT179">
        <v>1687.05</v>
      </c>
      <c r="AU179">
        <v>168.70500000000001</v>
      </c>
      <c r="AV179" t="s">
        <v>709</v>
      </c>
      <c r="AW179" t="s">
        <v>2718</v>
      </c>
      <c r="AX179">
        <v>168.70500000000001</v>
      </c>
      <c r="AY179">
        <v>44501</v>
      </c>
      <c r="BA179" t="s">
        <v>2719</v>
      </c>
      <c r="BB179" t="s">
        <v>2720</v>
      </c>
      <c r="BI179" t="s">
        <v>709</v>
      </c>
      <c r="BJ179" t="s">
        <v>709</v>
      </c>
      <c r="BK179" t="s">
        <v>709</v>
      </c>
      <c r="BL179" t="s">
        <v>116</v>
      </c>
      <c r="BM179" t="s">
        <v>709</v>
      </c>
      <c r="BN179" t="s">
        <v>709</v>
      </c>
      <c r="BO179" t="s">
        <v>709</v>
      </c>
      <c r="BP179" t="s">
        <v>709</v>
      </c>
      <c r="BQ179" t="s">
        <v>709</v>
      </c>
      <c r="BR179">
        <v>550</v>
      </c>
      <c r="BS179">
        <v>146</v>
      </c>
      <c r="BT179" t="s">
        <v>709</v>
      </c>
      <c r="BU179" t="s">
        <v>709</v>
      </c>
      <c r="BV179" t="s">
        <v>709</v>
      </c>
      <c r="BW179" t="s">
        <v>709</v>
      </c>
      <c r="BX179" t="s">
        <v>709</v>
      </c>
      <c r="BY179" t="s">
        <v>709</v>
      </c>
      <c r="BZ179" t="s">
        <v>709</v>
      </c>
      <c r="CB179">
        <v>177</v>
      </c>
      <c r="CC179" t="b">
        <v>1</v>
      </c>
      <c r="CD179" t="s">
        <v>2721</v>
      </c>
      <c r="CE179" s="1482">
        <v>45880.732418981483</v>
      </c>
    </row>
    <row r="180" spans="1:83" x14ac:dyDescent="0.25">
      <c r="A180">
        <v>2020</v>
      </c>
      <c r="B180" t="s">
        <v>4</v>
      </c>
      <c r="C180" t="s">
        <v>106</v>
      </c>
      <c r="D180" t="s">
        <v>2722</v>
      </c>
      <c r="E180" t="s">
        <v>108</v>
      </c>
      <c r="F180" t="s">
        <v>325</v>
      </c>
      <c r="G180" t="s">
        <v>36</v>
      </c>
      <c r="H180" t="s">
        <v>2723</v>
      </c>
      <c r="I180">
        <v>43705</v>
      </c>
      <c r="J180" t="s">
        <v>2724</v>
      </c>
      <c r="K180">
        <v>44088</v>
      </c>
      <c r="L180">
        <v>383</v>
      </c>
      <c r="M180" t="s">
        <v>2725</v>
      </c>
      <c r="N180" t="s">
        <v>120</v>
      </c>
      <c r="O180">
        <v>44105</v>
      </c>
      <c r="P180" t="s">
        <v>739</v>
      </c>
      <c r="Q180">
        <v>3305</v>
      </c>
      <c r="R180" t="s">
        <v>1922</v>
      </c>
      <c r="S180" t="s">
        <v>709</v>
      </c>
      <c r="T180" t="s">
        <v>709</v>
      </c>
      <c r="U180">
        <v>3305</v>
      </c>
      <c r="AM180" t="s">
        <v>709</v>
      </c>
      <c r="AY180" t="s">
        <v>29</v>
      </c>
      <c r="BI180" t="s">
        <v>709</v>
      </c>
      <c r="BJ180" t="s">
        <v>709</v>
      </c>
      <c r="BK180" t="s">
        <v>709</v>
      </c>
      <c r="BL180" t="s">
        <v>116</v>
      </c>
      <c r="BM180" t="s">
        <v>709</v>
      </c>
      <c r="BN180">
        <v>959</v>
      </c>
      <c r="BO180" t="s">
        <v>709</v>
      </c>
      <c r="BP180">
        <v>2838</v>
      </c>
      <c r="BQ180" t="s">
        <v>709</v>
      </c>
      <c r="BR180">
        <v>116</v>
      </c>
      <c r="BS180">
        <v>51</v>
      </c>
      <c r="BT180" t="s">
        <v>709</v>
      </c>
      <c r="BU180" t="s">
        <v>709</v>
      </c>
      <c r="BV180" t="s">
        <v>709</v>
      </c>
      <c r="BW180" t="s">
        <v>709</v>
      </c>
      <c r="BX180" t="s">
        <v>709</v>
      </c>
      <c r="BY180" t="s">
        <v>709</v>
      </c>
      <c r="BZ180" t="s">
        <v>709</v>
      </c>
      <c r="CB180">
        <v>178</v>
      </c>
      <c r="CC180" t="b">
        <v>1</v>
      </c>
      <c r="CD180" t="s">
        <v>2726</v>
      </c>
      <c r="CE180" s="1482">
        <v>45880.732430555552</v>
      </c>
    </row>
    <row r="181" spans="1:83" x14ac:dyDescent="0.25">
      <c r="A181">
        <v>2021</v>
      </c>
      <c r="B181" t="s">
        <v>4</v>
      </c>
      <c r="C181" t="s">
        <v>2727</v>
      </c>
      <c r="D181" t="s">
        <v>2728</v>
      </c>
      <c r="E181" t="s">
        <v>2729</v>
      </c>
      <c r="F181" t="s">
        <v>919</v>
      </c>
      <c r="G181" t="s">
        <v>1882</v>
      </c>
      <c r="H181" t="s">
        <v>59</v>
      </c>
      <c r="I181">
        <v>44001</v>
      </c>
      <c r="J181">
        <v>44092</v>
      </c>
      <c r="K181">
        <v>44091</v>
      </c>
      <c r="L181">
        <v>1</v>
      </c>
      <c r="N181" t="s">
        <v>120</v>
      </c>
      <c r="O181">
        <v>44091</v>
      </c>
      <c r="P181" t="s">
        <v>739</v>
      </c>
      <c r="Q181">
        <v>12726.877</v>
      </c>
      <c r="R181">
        <v>0.1</v>
      </c>
      <c r="S181" t="s">
        <v>709</v>
      </c>
      <c r="T181" t="s">
        <v>709</v>
      </c>
      <c r="U181" t="s">
        <v>709</v>
      </c>
      <c r="V181">
        <v>947</v>
      </c>
      <c r="X181">
        <v>107037.06</v>
      </c>
      <c r="Z181">
        <v>20231.71</v>
      </c>
      <c r="AA181">
        <v>127268.77</v>
      </c>
      <c r="AM181" t="s">
        <v>116</v>
      </c>
      <c r="AN181">
        <v>44272</v>
      </c>
      <c r="AO181">
        <v>187742</v>
      </c>
      <c r="AP181">
        <v>107352.6</v>
      </c>
      <c r="AR181">
        <v>20313.62</v>
      </c>
      <c r="AS181">
        <v>127666.22</v>
      </c>
      <c r="AT181">
        <v>397.45</v>
      </c>
      <c r="AU181">
        <v>39.744999999999997</v>
      </c>
      <c r="AV181" t="s">
        <v>709</v>
      </c>
      <c r="AW181" t="s">
        <v>2730</v>
      </c>
      <c r="AX181">
        <v>39.744999999999997</v>
      </c>
      <c r="AY181">
        <v>44501</v>
      </c>
      <c r="BA181" t="s">
        <v>2731</v>
      </c>
      <c r="BB181" t="s">
        <v>2732</v>
      </c>
      <c r="BC181" t="s">
        <v>709</v>
      </c>
      <c r="BD181" t="s">
        <v>709</v>
      </c>
      <c r="BE181" t="s">
        <v>2733</v>
      </c>
      <c r="BF181" t="s">
        <v>709</v>
      </c>
      <c r="BG181" t="s">
        <v>709</v>
      </c>
      <c r="BI181" t="s">
        <v>709</v>
      </c>
      <c r="BJ181" t="s">
        <v>709</v>
      </c>
      <c r="BK181" t="s">
        <v>709</v>
      </c>
      <c r="BL181" t="s">
        <v>116</v>
      </c>
      <c r="BM181" t="s">
        <v>709</v>
      </c>
      <c r="BN181" t="s">
        <v>709</v>
      </c>
      <c r="BO181" t="s">
        <v>709</v>
      </c>
      <c r="BP181" t="s">
        <v>709</v>
      </c>
      <c r="BQ181" t="s">
        <v>709</v>
      </c>
      <c r="BR181">
        <v>335</v>
      </c>
      <c r="BS181">
        <v>612</v>
      </c>
      <c r="BT181" t="s">
        <v>709</v>
      </c>
      <c r="BU181" t="s">
        <v>709</v>
      </c>
      <c r="BV181" t="s">
        <v>709</v>
      </c>
      <c r="BW181" t="s">
        <v>709</v>
      </c>
      <c r="BX181" t="s">
        <v>709</v>
      </c>
      <c r="BY181" t="s">
        <v>709</v>
      </c>
      <c r="BZ181" t="s">
        <v>709</v>
      </c>
      <c r="CB181">
        <v>179</v>
      </c>
      <c r="CC181" t="b">
        <v>1</v>
      </c>
      <c r="CD181" t="s">
        <v>2734</v>
      </c>
      <c r="CE181" s="1482">
        <v>45880.732430555552</v>
      </c>
    </row>
    <row r="182" spans="1:83" x14ac:dyDescent="0.25">
      <c r="A182">
        <v>2020</v>
      </c>
      <c r="B182" t="s">
        <v>771</v>
      </c>
      <c r="C182" t="s">
        <v>2302</v>
      </c>
      <c r="D182" t="s">
        <v>2303</v>
      </c>
      <c r="E182" t="s">
        <v>2304</v>
      </c>
      <c r="F182" t="s">
        <v>919</v>
      </c>
      <c r="G182" t="s">
        <v>36</v>
      </c>
      <c r="H182" t="s">
        <v>2051</v>
      </c>
      <c r="I182">
        <v>43613</v>
      </c>
      <c r="J182" t="s">
        <v>2052</v>
      </c>
      <c r="K182">
        <v>44092</v>
      </c>
      <c r="L182">
        <v>479</v>
      </c>
      <c r="M182" t="s">
        <v>2735</v>
      </c>
      <c r="N182" t="s">
        <v>120</v>
      </c>
      <c r="O182">
        <v>44092</v>
      </c>
      <c r="P182" t="s">
        <v>120</v>
      </c>
      <c r="Q182">
        <v>9135</v>
      </c>
      <c r="R182" t="s">
        <v>1922</v>
      </c>
      <c r="S182" t="s">
        <v>709</v>
      </c>
      <c r="T182" t="s">
        <v>709</v>
      </c>
      <c r="U182">
        <v>9135</v>
      </c>
      <c r="AM182" t="s">
        <v>709</v>
      </c>
      <c r="AY182" t="s">
        <v>29</v>
      </c>
      <c r="BA182">
        <v>3</v>
      </c>
      <c r="BI182" t="s">
        <v>709</v>
      </c>
      <c r="BJ182" t="s">
        <v>709</v>
      </c>
      <c r="BK182" t="s">
        <v>709</v>
      </c>
      <c r="BL182" t="s">
        <v>116</v>
      </c>
      <c r="BM182" t="s">
        <v>709</v>
      </c>
      <c r="BN182" t="s">
        <v>709</v>
      </c>
      <c r="BO182" t="s">
        <v>709</v>
      </c>
      <c r="BP182">
        <v>4592</v>
      </c>
      <c r="BQ182">
        <v>1768</v>
      </c>
      <c r="BR182">
        <v>22</v>
      </c>
      <c r="BS182">
        <v>15367</v>
      </c>
      <c r="BT182" t="s">
        <v>709</v>
      </c>
      <c r="BU182" t="s">
        <v>709</v>
      </c>
      <c r="BV182" t="s">
        <v>745</v>
      </c>
      <c r="BW182" t="s">
        <v>709</v>
      </c>
      <c r="BX182" t="s">
        <v>745</v>
      </c>
      <c r="BY182" t="s">
        <v>745</v>
      </c>
      <c r="BZ182" t="s">
        <v>709</v>
      </c>
      <c r="CB182">
        <v>180</v>
      </c>
      <c r="CC182" t="b">
        <v>1</v>
      </c>
      <c r="CD182" t="s">
        <v>2736</v>
      </c>
      <c r="CE182" s="1482">
        <v>45880.732442129629</v>
      </c>
    </row>
    <row r="183" spans="1:83" ht="195" x14ac:dyDescent="0.25">
      <c r="A183">
        <v>2020</v>
      </c>
      <c r="B183" t="s">
        <v>1073</v>
      </c>
      <c r="C183" t="s">
        <v>2737</v>
      </c>
      <c r="D183">
        <v>150706</v>
      </c>
      <c r="E183" t="s">
        <v>104</v>
      </c>
      <c r="F183" t="s">
        <v>738</v>
      </c>
      <c r="G183" t="s">
        <v>1882</v>
      </c>
      <c r="H183" t="s">
        <v>59</v>
      </c>
      <c r="I183">
        <v>44054</v>
      </c>
      <c r="J183">
        <v>44103</v>
      </c>
      <c r="K183">
        <v>44099</v>
      </c>
      <c r="L183">
        <v>4</v>
      </c>
      <c r="N183" t="s">
        <v>120</v>
      </c>
      <c r="O183">
        <v>44105</v>
      </c>
      <c r="P183" t="s">
        <v>739</v>
      </c>
      <c r="Q183" t="s">
        <v>115</v>
      </c>
      <c r="R183" t="s">
        <v>115</v>
      </c>
      <c r="S183" t="s">
        <v>115</v>
      </c>
      <c r="T183" t="s">
        <v>709</v>
      </c>
      <c r="U183" t="s">
        <v>115</v>
      </c>
      <c r="X183">
        <v>42466.03</v>
      </c>
      <c r="AM183" t="s">
        <v>709</v>
      </c>
      <c r="AY183" t="s">
        <v>29</v>
      </c>
      <c r="BA183" s="4" t="s">
        <v>2738</v>
      </c>
      <c r="BI183" t="s">
        <v>709</v>
      </c>
      <c r="BJ183" t="s">
        <v>709</v>
      </c>
      <c r="BK183" t="s">
        <v>116</v>
      </c>
      <c r="BL183" t="s">
        <v>116</v>
      </c>
      <c r="BM183" t="s">
        <v>709</v>
      </c>
      <c r="BN183" t="s">
        <v>709</v>
      </c>
      <c r="BO183" t="s">
        <v>709</v>
      </c>
      <c r="BP183" t="s">
        <v>709</v>
      </c>
      <c r="BQ183" t="s">
        <v>709</v>
      </c>
      <c r="BR183">
        <v>107</v>
      </c>
      <c r="BS183" t="s">
        <v>709</v>
      </c>
      <c r="BT183" t="s">
        <v>709</v>
      </c>
      <c r="BU183" t="s">
        <v>709</v>
      </c>
      <c r="BV183" t="s">
        <v>709</v>
      </c>
      <c r="BW183" t="s">
        <v>709</v>
      </c>
      <c r="BX183" t="s">
        <v>709</v>
      </c>
      <c r="BY183" t="s">
        <v>1602</v>
      </c>
      <c r="BZ183" t="s">
        <v>709</v>
      </c>
      <c r="CA183" t="s">
        <v>2739</v>
      </c>
      <c r="CB183">
        <v>181</v>
      </c>
      <c r="CC183" t="b">
        <v>1</v>
      </c>
      <c r="CD183" t="s">
        <v>2740</v>
      </c>
      <c r="CE183" s="1482">
        <v>45880.732442129629</v>
      </c>
    </row>
    <row r="184" spans="1:83" ht="225" x14ac:dyDescent="0.25">
      <c r="A184">
        <v>2020</v>
      </c>
      <c r="B184" t="s">
        <v>4</v>
      </c>
      <c r="C184" t="s">
        <v>2741</v>
      </c>
      <c r="D184" t="s">
        <v>2742</v>
      </c>
      <c r="E184" t="s">
        <v>1149</v>
      </c>
      <c r="F184" t="s">
        <v>919</v>
      </c>
      <c r="G184" t="s">
        <v>2743</v>
      </c>
      <c r="H184" t="s">
        <v>59</v>
      </c>
      <c r="I184">
        <v>44069</v>
      </c>
      <c r="J184">
        <v>44099</v>
      </c>
      <c r="K184">
        <v>44099</v>
      </c>
      <c r="L184">
        <v>0</v>
      </c>
      <c r="N184" t="s">
        <v>120</v>
      </c>
      <c r="O184">
        <v>44105</v>
      </c>
      <c r="P184" t="s">
        <v>739</v>
      </c>
      <c r="Q184">
        <v>20164.179</v>
      </c>
      <c r="R184">
        <v>0.1</v>
      </c>
      <c r="S184" t="s">
        <v>709</v>
      </c>
      <c r="T184" t="s">
        <v>709</v>
      </c>
      <c r="U184" t="s">
        <v>709</v>
      </c>
      <c r="V184">
        <v>713</v>
      </c>
      <c r="X184">
        <v>173378.43</v>
      </c>
      <c r="Z184">
        <v>28263.360000000001</v>
      </c>
      <c r="AA184">
        <v>201641.79</v>
      </c>
      <c r="AM184" t="s">
        <v>116</v>
      </c>
      <c r="AN184">
        <v>44106</v>
      </c>
      <c r="AO184">
        <v>185334</v>
      </c>
      <c r="AP184">
        <v>151720.49</v>
      </c>
      <c r="AR184">
        <v>28262.799999999999</v>
      </c>
      <c r="AS184">
        <v>179983.29</v>
      </c>
      <c r="AT184">
        <v>-21658.5</v>
      </c>
      <c r="AU184">
        <v>-2165.85</v>
      </c>
      <c r="AV184" t="s">
        <v>709</v>
      </c>
      <c r="AX184">
        <v>-2165.85</v>
      </c>
      <c r="AY184">
        <v>44501</v>
      </c>
      <c r="BA184" s="4" t="s">
        <v>2744</v>
      </c>
      <c r="BB184" t="s">
        <v>2745</v>
      </c>
      <c r="BI184" t="s">
        <v>709</v>
      </c>
      <c r="BJ184" t="s">
        <v>709</v>
      </c>
      <c r="BK184" t="s">
        <v>709</v>
      </c>
      <c r="BL184" t="s">
        <v>116</v>
      </c>
      <c r="BM184" t="s">
        <v>709</v>
      </c>
      <c r="BN184" t="s">
        <v>709</v>
      </c>
      <c r="BO184" t="s">
        <v>709</v>
      </c>
      <c r="BP184" t="s">
        <v>709</v>
      </c>
      <c r="BQ184" t="s">
        <v>709</v>
      </c>
      <c r="BR184">
        <v>321</v>
      </c>
      <c r="BS184">
        <v>392</v>
      </c>
      <c r="BT184" t="s">
        <v>709</v>
      </c>
      <c r="BU184" t="s">
        <v>709</v>
      </c>
      <c r="BV184" t="s">
        <v>709</v>
      </c>
      <c r="BW184" t="s">
        <v>709</v>
      </c>
      <c r="BX184" t="s">
        <v>709</v>
      </c>
      <c r="BY184" t="s">
        <v>709</v>
      </c>
      <c r="BZ184" t="s">
        <v>709</v>
      </c>
      <c r="CB184">
        <v>183</v>
      </c>
      <c r="CC184" t="b">
        <v>1</v>
      </c>
      <c r="CD184" t="s">
        <v>2746</v>
      </c>
      <c r="CE184" s="1482">
        <v>45880.732453703706</v>
      </c>
    </row>
    <row r="185" spans="1:83" ht="210" x14ac:dyDescent="0.25">
      <c r="A185">
        <v>2020</v>
      </c>
      <c r="B185" t="s">
        <v>1073</v>
      </c>
      <c r="C185" t="s">
        <v>2737</v>
      </c>
      <c r="D185" t="s">
        <v>2747</v>
      </c>
      <c r="E185" t="s">
        <v>104</v>
      </c>
      <c r="F185" t="s">
        <v>738</v>
      </c>
      <c r="G185" t="s">
        <v>1882</v>
      </c>
      <c r="H185" t="s">
        <v>59</v>
      </c>
      <c r="I185">
        <v>44054</v>
      </c>
      <c r="J185">
        <v>44103</v>
      </c>
      <c r="K185">
        <v>44099</v>
      </c>
      <c r="L185">
        <v>4</v>
      </c>
      <c r="M185" t="s">
        <v>2748</v>
      </c>
      <c r="N185" t="s">
        <v>120</v>
      </c>
      <c r="O185">
        <v>44105</v>
      </c>
      <c r="P185" t="s">
        <v>739</v>
      </c>
      <c r="Q185">
        <v>8909.5635999999995</v>
      </c>
      <c r="R185">
        <v>7.0000000000000007E-2</v>
      </c>
      <c r="S185">
        <v>498</v>
      </c>
      <c r="T185" t="s">
        <v>709</v>
      </c>
      <c r="U185">
        <v>18092.5</v>
      </c>
      <c r="V185">
        <v>107</v>
      </c>
      <c r="X185">
        <v>118015.55</v>
      </c>
      <c r="Z185">
        <v>9263.93</v>
      </c>
      <c r="AA185">
        <v>127279.48</v>
      </c>
      <c r="AM185" t="s">
        <v>116</v>
      </c>
      <c r="AN185">
        <v>44124</v>
      </c>
      <c r="AO185">
        <v>185847</v>
      </c>
      <c r="AP185">
        <v>75549.52</v>
      </c>
      <c r="AR185">
        <v>9263.93</v>
      </c>
      <c r="AS185">
        <v>84813.45</v>
      </c>
      <c r="AT185">
        <v>-42466.03</v>
      </c>
      <c r="AU185">
        <v>-2972.6221</v>
      </c>
      <c r="AV185" t="s">
        <v>709</v>
      </c>
      <c r="AW185" t="s">
        <v>2749</v>
      </c>
      <c r="AY185" t="s">
        <v>1935</v>
      </c>
      <c r="BA185" s="4" t="s">
        <v>2750</v>
      </c>
      <c r="BI185" t="s">
        <v>709</v>
      </c>
      <c r="BJ185" t="s">
        <v>709</v>
      </c>
      <c r="BK185" t="s">
        <v>116</v>
      </c>
      <c r="BL185" t="s">
        <v>116</v>
      </c>
      <c r="BM185" t="s">
        <v>709</v>
      </c>
      <c r="BN185" t="s">
        <v>709</v>
      </c>
      <c r="BO185" t="s">
        <v>709</v>
      </c>
      <c r="BP185" t="s">
        <v>709</v>
      </c>
      <c r="BQ185" t="s">
        <v>709</v>
      </c>
      <c r="BR185">
        <v>107</v>
      </c>
      <c r="BS185" t="s">
        <v>709</v>
      </c>
      <c r="BT185" t="s">
        <v>709</v>
      </c>
      <c r="BU185" t="s">
        <v>709</v>
      </c>
      <c r="BV185" t="s">
        <v>709</v>
      </c>
      <c r="BW185" t="s">
        <v>709</v>
      </c>
      <c r="BX185" t="s">
        <v>709</v>
      </c>
      <c r="BY185" t="s">
        <v>1602</v>
      </c>
      <c r="BZ185" t="s">
        <v>709</v>
      </c>
      <c r="CA185" t="s">
        <v>2739</v>
      </c>
      <c r="CB185">
        <v>182</v>
      </c>
      <c r="CC185" t="b">
        <v>1</v>
      </c>
      <c r="CD185" t="s">
        <v>2751</v>
      </c>
      <c r="CE185" s="1482">
        <v>45880.732453703706</v>
      </c>
    </row>
    <row r="186" spans="1:83" ht="255" x14ac:dyDescent="0.25">
      <c r="A186">
        <v>2021</v>
      </c>
      <c r="B186" t="s">
        <v>771</v>
      </c>
      <c r="C186" t="s">
        <v>2752</v>
      </c>
      <c r="D186" t="s">
        <v>2753</v>
      </c>
      <c r="E186" t="s">
        <v>137</v>
      </c>
      <c r="F186" t="s">
        <v>738</v>
      </c>
      <c r="G186" t="s">
        <v>36</v>
      </c>
      <c r="H186" t="s">
        <v>59</v>
      </c>
      <c r="I186">
        <v>44019</v>
      </c>
      <c r="J186">
        <v>44111</v>
      </c>
      <c r="K186">
        <v>44110</v>
      </c>
      <c r="L186">
        <v>1</v>
      </c>
      <c r="N186" t="s">
        <v>120</v>
      </c>
      <c r="O186">
        <v>44110</v>
      </c>
      <c r="P186" t="s">
        <v>120</v>
      </c>
      <c r="Q186">
        <v>22637.75</v>
      </c>
      <c r="R186" t="s">
        <v>2087</v>
      </c>
      <c r="S186" t="s">
        <v>709</v>
      </c>
      <c r="T186" t="s">
        <v>709</v>
      </c>
      <c r="U186" t="s">
        <v>709</v>
      </c>
      <c r="V186">
        <v>14605</v>
      </c>
      <c r="X186">
        <v>1635668.3</v>
      </c>
      <c r="Z186">
        <v>63317.31</v>
      </c>
      <c r="AM186" t="s">
        <v>709</v>
      </c>
      <c r="AY186" t="s">
        <v>29</v>
      </c>
      <c r="BA186" s="4" t="s">
        <v>2754</v>
      </c>
      <c r="BB186">
        <v>9</v>
      </c>
      <c r="BC186" t="s">
        <v>116</v>
      </c>
      <c r="BD186" t="s">
        <v>709</v>
      </c>
      <c r="BE186" t="s">
        <v>2484</v>
      </c>
      <c r="BF186" t="s">
        <v>709</v>
      </c>
      <c r="BG186" t="s">
        <v>709</v>
      </c>
      <c r="BI186" t="s">
        <v>709</v>
      </c>
      <c r="BJ186" t="s">
        <v>709</v>
      </c>
      <c r="BK186" t="s">
        <v>709</v>
      </c>
      <c r="BL186" t="s">
        <v>116</v>
      </c>
      <c r="BM186" t="s">
        <v>709</v>
      </c>
      <c r="BN186" t="s">
        <v>709</v>
      </c>
      <c r="BO186" t="s">
        <v>709</v>
      </c>
      <c r="BP186" t="s">
        <v>709</v>
      </c>
      <c r="BQ186" t="s">
        <v>709</v>
      </c>
      <c r="BR186">
        <v>192</v>
      </c>
      <c r="BS186">
        <v>14413</v>
      </c>
      <c r="BT186" t="s">
        <v>709</v>
      </c>
      <c r="BU186" t="s">
        <v>709</v>
      </c>
      <c r="BV186" t="s">
        <v>709</v>
      </c>
      <c r="BW186" t="s">
        <v>709</v>
      </c>
      <c r="BX186" t="s">
        <v>709</v>
      </c>
      <c r="BY186" t="s">
        <v>709</v>
      </c>
      <c r="BZ186" t="s">
        <v>709</v>
      </c>
      <c r="CB186">
        <v>184</v>
      </c>
      <c r="CC186" t="b">
        <v>1</v>
      </c>
      <c r="CD186" t="s">
        <v>2755</v>
      </c>
      <c r="CE186" s="1482">
        <v>45880.732465277775</v>
      </c>
    </row>
    <row r="187" spans="1:83" ht="45" x14ac:dyDescent="0.25">
      <c r="A187">
        <v>2020</v>
      </c>
      <c r="B187" t="s">
        <v>771</v>
      </c>
      <c r="C187" t="s">
        <v>2359</v>
      </c>
      <c r="D187" s="4" t="s">
        <v>2360</v>
      </c>
      <c r="E187" t="s">
        <v>2361</v>
      </c>
      <c r="F187" t="s">
        <v>919</v>
      </c>
      <c r="G187" t="s">
        <v>1882</v>
      </c>
      <c r="H187" t="s">
        <v>2051</v>
      </c>
      <c r="I187">
        <v>43783</v>
      </c>
      <c r="J187" t="s">
        <v>2052</v>
      </c>
      <c r="K187">
        <v>44111</v>
      </c>
      <c r="L187">
        <v>328</v>
      </c>
      <c r="M187" t="s">
        <v>2756</v>
      </c>
      <c r="N187" t="s">
        <v>120</v>
      </c>
      <c r="O187">
        <v>44111</v>
      </c>
      <c r="P187" t="s">
        <v>120</v>
      </c>
      <c r="Q187">
        <v>19785</v>
      </c>
      <c r="R187" t="s">
        <v>1922</v>
      </c>
      <c r="S187" t="s">
        <v>709</v>
      </c>
      <c r="T187" t="s">
        <v>709</v>
      </c>
      <c r="U187">
        <v>19785</v>
      </c>
      <c r="AM187" t="s">
        <v>709</v>
      </c>
      <c r="AY187" t="s">
        <v>29</v>
      </c>
      <c r="BA187">
        <v>3</v>
      </c>
      <c r="BI187" t="s">
        <v>709</v>
      </c>
      <c r="BJ187" t="s">
        <v>709</v>
      </c>
      <c r="BK187" t="s">
        <v>709</v>
      </c>
      <c r="BL187" t="s">
        <v>116</v>
      </c>
      <c r="BM187" t="s">
        <v>709</v>
      </c>
      <c r="BN187" t="s">
        <v>709</v>
      </c>
      <c r="BO187" t="s">
        <v>709</v>
      </c>
      <c r="BP187" t="s">
        <v>709</v>
      </c>
      <c r="BQ187" t="s">
        <v>709</v>
      </c>
      <c r="BR187" t="s">
        <v>709</v>
      </c>
      <c r="BS187">
        <v>22573</v>
      </c>
      <c r="BT187" t="s">
        <v>709</v>
      </c>
      <c r="BU187" t="s">
        <v>709</v>
      </c>
      <c r="BV187" t="s">
        <v>709</v>
      </c>
      <c r="BW187" t="s">
        <v>709</v>
      </c>
      <c r="BX187" t="s">
        <v>709</v>
      </c>
      <c r="BY187" t="s">
        <v>709</v>
      </c>
      <c r="BZ187" t="s">
        <v>709</v>
      </c>
      <c r="CB187">
        <v>185</v>
      </c>
      <c r="CC187" t="b">
        <v>1</v>
      </c>
      <c r="CD187" s="4" t="s">
        <v>2757</v>
      </c>
      <c r="CE187" s="1482">
        <v>45880.732476851852</v>
      </c>
    </row>
    <row r="188" spans="1:83" ht="405" x14ac:dyDescent="0.25">
      <c r="A188">
        <v>2020</v>
      </c>
      <c r="B188" t="s">
        <v>4</v>
      </c>
      <c r="C188" t="s">
        <v>2758</v>
      </c>
      <c r="D188" s="4" t="s">
        <v>115</v>
      </c>
      <c r="E188" t="s">
        <v>2759</v>
      </c>
      <c r="F188" t="s">
        <v>738</v>
      </c>
      <c r="G188" t="s">
        <v>1896</v>
      </c>
      <c r="H188" t="s">
        <v>1903</v>
      </c>
      <c r="I188">
        <v>44096</v>
      </c>
      <c r="J188">
        <v>44138</v>
      </c>
      <c r="K188">
        <v>44112</v>
      </c>
      <c r="L188">
        <v>26</v>
      </c>
      <c r="N188" t="s">
        <v>120</v>
      </c>
      <c r="O188">
        <v>44112</v>
      </c>
      <c r="P188" t="s">
        <v>739</v>
      </c>
      <c r="Q188" t="s">
        <v>115</v>
      </c>
      <c r="R188" t="s">
        <v>115</v>
      </c>
      <c r="AA188">
        <v>0</v>
      </c>
      <c r="AM188" t="s">
        <v>709</v>
      </c>
      <c r="AY188" t="s">
        <v>29</v>
      </c>
      <c r="BA188" s="4" t="s">
        <v>2760</v>
      </c>
      <c r="BB188" t="s">
        <v>2761</v>
      </c>
      <c r="CB188">
        <v>187</v>
      </c>
      <c r="CC188" t="b">
        <v>1</v>
      </c>
      <c r="CD188" s="4" t="s">
        <v>2762</v>
      </c>
      <c r="CE188" s="1482">
        <v>45880.732476851852</v>
      </c>
    </row>
    <row r="189" spans="1:83" ht="300" x14ac:dyDescent="0.25">
      <c r="A189">
        <v>2021</v>
      </c>
      <c r="B189" t="s">
        <v>4</v>
      </c>
      <c r="C189" t="s">
        <v>2763</v>
      </c>
      <c r="D189" t="s">
        <v>2764</v>
      </c>
      <c r="E189" t="s">
        <v>76</v>
      </c>
      <c r="F189" t="s">
        <v>738</v>
      </c>
      <c r="G189" t="s">
        <v>2765</v>
      </c>
      <c r="H189" t="s">
        <v>59</v>
      </c>
      <c r="I189">
        <v>44034</v>
      </c>
      <c r="J189">
        <v>44113</v>
      </c>
      <c r="K189">
        <v>44112</v>
      </c>
      <c r="L189">
        <v>1</v>
      </c>
      <c r="N189" t="s">
        <v>120</v>
      </c>
      <c r="O189">
        <v>44112</v>
      </c>
      <c r="P189" t="s">
        <v>739</v>
      </c>
      <c r="Q189">
        <v>43633.222000000002</v>
      </c>
      <c r="R189">
        <v>0.1</v>
      </c>
      <c r="S189" t="s">
        <v>709</v>
      </c>
      <c r="T189" t="s">
        <v>709</v>
      </c>
      <c r="U189" t="s">
        <v>709</v>
      </c>
      <c r="V189">
        <v>1232</v>
      </c>
      <c r="X189">
        <v>378956.09</v>
      </c>
      <c r="Z189">
        <v>57376.13</v>
      </c>
      <c r="AA189">
        <v>436332.22</v>
      </c>
      <c r="AM189" t="s">
        <v>116</v>
      </c>
      <c r="AN189">
        <v>44165</v>
      </c>
      <c r="AO189">
        <v>188181</v>
      </c>
      <c r="AP189">
        <v>378956.09</v>
      </c>
      <c r="AR189">
        <v>57376.13</v>
      </c>
      <c r="AS189">
        <v>436332.22</v>
      </c>
      <c r="AT189">
        <v>0</v>
      </c>
      <c r="AU189">
        <v>0</v>
      </c>
      <c r="AV189" t="s">
        <v>709</v>
      </c>
      <c r="AY189" t="s">
        <v>1935</v>
      </c>
      <c r="BA189" s="4" t="s">
        <v>2766</v>
      </c>
      <c r="BB189" t="s">
        <v>2767</v>
      </c>
      <c r="BC189" t="s">
        <v>116</v>
      </c>
      <c r="BD189" t="s">
        <v>709</v>
      </c>
      <c r="BE189" t="s">
        <v>2768</v>
      </c>
      <c r="BF189" t="s">
        <v>709</v>
      </c>
      <c r="BG189" t="s">
        <v>709</v>
      </c>
      <c r="BI189" t="s">
        <v>709</v>
      </c>
      <c r="BJ189" t="s">
        <v>709</v>
      </c>
      <c r="BK189" t="s">
        <v>709</v>
      </c>
      <c r="BL189" t="s">
        <v>116</v>
      </c>
      <c r="BM189" t="s">
        <v>709</v>
      </c>
      <c r="BN189" t="s">
        <v>709</v>
      </c>
      <c r="BO189" t="s">
        <v>709</v>
      </c>
      <c r="BP189" t="s">
        <v>709</v>
      </c>
      <c r="BQ189">
        <v>202</v>
      </c>
      <c r="BR189">
        <v>230</v>
      </c>
      <c r="BS189">
        <v>800</v>
      </c>
      <c r="BT189" t="s">
        <v>709</v>
      </c>
      <c r="BU189" t="s">
        <v>709</v>
      </c>
      <c r="BV189" t="s">
        <v>709</v>
      </c>
      <c r="BW189" t="s">
        <v>709</v>
      </c>
      <c r="BX189" t="s">
        <v>709</v>
      </c>
      <c r="BY189" t="s">
        <v>709</v>
      </c>
      <c r="BZ189" t="s">
        <v>709</v>
      </c>
      <c r="CB189">
        <v>186</v>
      </c>
      <c r="CC189" t="b">
        <v>1</v>
      </c>
      <c r="CD189" t="s">
        <v>2769</v>
      </c>
      <c r="CE189" s="1482">
        <v>45880.732488425929</v>
      </c>
    </row>
    <row r="190" spans="1:83" ht="120" x14ac:dyDescent="0.25">
      <c r="A190">
        <v>2020</v>
      </c>
      <c r="B190" t="s">
        <v>4</v>
      </c>
      <c r="C190" t="s">
        <v>2770</v>
      </c>
      <c r="D190" t="s">
        <v>115</v>
      </c>
      <c r="E190" t="s">
        <v>1957</v>
      </c>
      <c r="F190" t="s">
        <v>738</v>
      </c>
      <c r="G190" t="s">
        <v>2765</v>
      </c>
      <c r="H190" t="s">
        <v>1681</v>
      </c>
      <c r="I190">
        <v>44034</v>
      </c>
      <c r="J190">
        <v>44134</v>
      </c>
      <c r="K190">
        <v>44119</v>
      </c>
      <c r="L190">
        <v>15</v>
      </c>
      <c r="N190" t="s">
        <v>120</v>
      </c>
      <c r="O190">
        <v>44119</v>
      </c>
      <c r="P190" t="s">
        <v>739</v>
      </c>
      <c r="Q190" t="s">
        <v>115</v>
      </c>
      <c r="R190" t="s">
        <v>115</v>
      </c>
      <c r="AM190" t="s">
        <v>709</v>
      </c>
      <c r="AY190" t="s">
        <v>29</v>
      </c>
      <c r="BA190" s="4" t="s">
        <v>2771</v>
      </c>
      <c r="BB190" t="s">
        <v>2288</v>
      </c>
      <c r="CB190">
        <v>188</v>
      </c>
      <c r="CC190" t="b">
        <v>1</v>
      </c>
      <c r="CD190" t="s">
        <v>2772</v>
      </c>
      <c r="CE190" s="1482">
        <v>45880.732488425929</v>
      </c>
    </row>
    <row r="191" spans="1:83" ht="409.5" x14ac:dyDescent="0.25">
      <c r="A191">
        <v>2020</v>
      </c>
      <c r="B191" t="s">
        <v>4</v>
      </c>
      <c r="C191" t="s">
        <v>2773</v>
      </c>
      <c r="D191" t="s">
        <v>2774</v>
      </c>
      <c r="E191" t="s">
        <v>975</v>
      </c>
      <c r="F191" t="s">
        <v>919</v>
      </c>
      <c r="G191" t="s">
        <v>2743</v>
      </c>
      <c r="H191" t="s">
        <v>1903</v>
      </c>
      <c r="I191">
        <v>43592</v>
      </c>
      <c r="J191">
        <v>44134</v>
      </c>
      <c r="K191">
        <v>44119</v>
      </c>
      <c r="L191">
        <v>15</v>
      </c>
      <c r="N191" t="s">
        <v>120</v>
      </c>
      <c r="O191">
        <v>44119</v>
      </c>
      <c r="P191" t="s">
        <v>739</v>
      </c>
      <c r="Q191" t="s">
        <v>115</v>
      </c>
      <c r="R191" t="s">
        <v>115</v>
      </c>
      <c r="AM191" t="s">
        <v>709</v>
      </c>
      <c r="AY191" t="s">
        <v>29</v>
      </c>
      <c r="BA191" s="4" t="s">
        <v>2775</v>
      </c>
      <c r="BB191" t="s">
        <v>709</v>
      </c>
      <c r="CB191">
        <v>190</v>
      </c>
      <c r="CC191" t="b">
        <v>1</v>
      </c>
      <c r="CD191" t="s">
        <v>2776</v>
      </c>
      <c r="CE191" s="1482">
        <v>45880.732499999998</v>
      </c>
    </row>
    <row r="192" spans="1:83" x14ac:dyDescent="0.25">
      <c r="A192">
        <v>2020</v>
      </c>
      <c r="B192" t="s">
        <v>4</v>
      </c>
      <c r="C192" t="s">
        <v>1147</v>
      </c>
      <c r="D192" t="s">
        <v>1148</v>
      </c>
      <c r="E192" t="s">
        <v>1149</v>
      </c>
      <c r="F192" t="s">
        <v>919</v>
      </c>
      <c r="G192" t="s">
        <v>2743</v>
      </c>
      <c r="H192" t="s">
        <v>59</v>
      </c>
      <c r="I192">
        <v>44069</v>
      </c>
      <c r="J192">
        <v>44113</v>
      </c>
      <c r="K192">
        <v>44119</v>
      </c>
      <c r="L192">
        <v>0</v>
      </c>
      <c r="M192" t="s">
        <v>1150</v>
      </c>
      <c r="N192" t="s">
        <v>120</v>
      </c>
      <c r="O192">
        <v>44119</v>
      </c>
      <c r="P192" t="s">
        <v>739</v>
      </c>
      <c r="Q192">
        <v>32221.179</v>
      </c>
      <c r="R192">
        <v>0.1</v>
      </c>
      <c r="V192">
        <v>402</v>
      </c>
      <c r="X192">
        <v>292732.42</v>
      </c>
      <c r="Z192">
        <v>29479.37</v>
      </c>
      <c r="AA192">
        <v>322211.78999999998</v>
      </c>
      <c r="AM192" t="s">
        <v>116</v>
      </c>
      <c r="AN192" t="s">
        <v>709</v>
      </c>
      <c r="AO192" t="s">
        <v>115</v>
      </c>
      <c r="AS192">
        <v>0</v>
      </c>
      <c r="AT192">
        <v>0</v>
      </c>
      <c r="AU192">
        <v>0</v>
      </c>
      <c r="AY192" t="s">
        <v>709</v>
      </c>
      <c r="AZ192">
        <v>55</v>
      </c>
      <c r="BA192" t="s">
        <v>1151</v>
      </c>
      <c r="BI192" t="s">
        <v>709</v>
      </c>
      <c r="BJ192" t="s">
        <v>709</v>
      </c>
      <c r="BK192" t="s">
        <v>709</v>
      </c>
      <c r="BL192" t="s">
        <v>116</v>
      </c>
      <c r="BM192" t="s">
        <v>709</v>
      </c>
      <c r="BN192" t="s">
        <v>709</v>
      </c>
      <c r="BO192" t="s">
        <v>709</v>
      </c>
      <c r="BP192">
        <v>193</v>
      </c>
      <c r="BQ192" t="s">
        <v>709</v>
      </c>
      <c r="BR192">
        <v>48</v>
      </c>
      <c r="BS192">
        <v>161</v>
      </c>
      <c r="BT192" t="s">
        <v>745</v>
      </c>
      <c r="BU192" t="s">
        <v>709</v>
      </c>
      <c r="BV192" t="s">
        <v>745</v>
      </c>
      <c r="BW192" t="s">
        <v>709</v>
      </c>
      <c r="BX192" t="s">
        <v>745</v>
      </c>
      <c r="BY192" t="s">
        <v>745</v>
      </c>
      <c r="BZ192" t="s">
        <v>709</v>
      </c>
      <c r="CB192">
        <v>189</v>
      </c>
      <c r="CC192" t="b">
        <v>1</v>
      </c>
      <c r="CD192" t="s">
        <v>2777</v>
      </c>
      <c r="CE192" s="1482">
        <v>45880.732511574075</v>
      </c>
    </row>
    <row r="193" spans="1:83" ht="409.5" x14ac:dyDescent="0.25">
      <c r="A193">
        <v>2021</v>
      </c>
      <c r="B193" t="s">
        <v>1205</v>
      </c>
      <c r="C193" t="s">
        <v>2778</v>
      </c>
      <c r="D193" t="s">
        <v>2779</v>
      </c>
      <c r="E193" t="s">
        <v>2780</v>
      </c>
      <c r="F193" t="s">
        <v>919</v>
      </c>
      <c r="G193" t="s">
        <v>36</v>
      </c>
      <c r="H193" t="s">
        <v>59</v>
      </c>
      <c r="I193">
        <v>44034</v>
      </c>
      <c r="J193">
        <v>44119</v>
      </c>
      <c r="K193">
        <v>44119</v>
      </c>
      <c r="L193">
        <v>0</v>
      </c>
      <c r="N193" t="s">
        <v>120</v>
      </c>
      <c r="O193">
        <v>44119</v>
      </c>
      <c r="P193" t="s">
        <v>739</v>
      </c>
      <c r="Q193">
        <v>15824.000700000001</v>
      </c>
      <c r="R193">
        <v>0.09</v>
      </c>
      <c r="T193">
        <v>15620</v>
      </c>
      <c r="V193">
        <v>261</v>
      </c>
      <c r="X193">
        <v>137592.09</v>
      </c>
      <c r="Z193">
        <v>38230.14</v>
      </c>
      <c r="AA193">
        <v>175822.23</v>
      </c>
      <c r="AC193" t="s">
        <v>709</v>
      </c>
      <c r="AM193" t="s">
        <v>116</v>
      </c>
      <c r="AN193">
        <v>44244</v>
      </c>
      <c r="AO193">
        <v>187656</v>
      </c>
      <c r="AP193">
        <v>137707.43</v>
      </c>
      <c r="AR193">
        <v>38972.910000000003</v>
      </c>
      <c r="AS193">
        <v>176680.34</v>
      </c>
      <c r="AT193">
        <v>858.11</v>
      </c>
      <c r="AU193">
        <v>77.229900000000001</v>
      </c>
      <c r="AV193" t="s">
        <v>709</v>
      </c>
      <c r="AW193" t="s">
        <v>2781</v>
      </c>
      <c r="AX193">
        <v>0</v>
      </c>
      <c r="AY193">
        <v>44501</v>
      </c>
      <c r="BA193" s="4" t="s">
        <v>2782</v>
      </c>
      <c r="BC193" t="s">
        <v>709</v>
      </c>
      <c r="BD193" t="s">
        <v>757</v>
      </c>
      <c r="BE193" t="s">
        <v>709</v>
      </c>
      <c r="BF193" t="s">
        <v>709</v>
      </c>
      <c r="BG193" t="s">
        <v>709</v>
      </c>
      <c r="BI193" t="s">
        <v>709</v>
      </c>
      <c r="BJ193" t="s">
        <v>709</v>
      </c>
      <c r="BK193" t="s">
        <v>709</v>
      </c>
      <c r="BL193" t="s">
        <v>116</v>
      </c>
      <c r="BM193" t="s">
        <v>709</v>
      </c>
      <c r="BN193" t="s">
        <v>709</v>
      </c>
      <c r="BO193" t="s">
        <v>709</v>
      </c>
      <c r="BP193" t="s">
        <v>709</v>
      </c>
      <c r="BQ193" t="s">
        <v>709</v>
      </c>
      <c r="BR193">
        <v>261</v>
      </c>
      <c r="BS193" t="s">
        <v>709</v>
      </c>
      <c r="BT193" t="s">
        <v>745</v>
      </c>
      <c r="BU193" t="s">
        <v>709</v>
      </c>
      <c r="BV193" t="s">
        <v>745</v>
      </c>
      <c r="BW193" t="s">
        <v>709</v>
      </c>
      <c r="BX193" t="s">
        <v>745</v>
      </c>
      <c r="BY193" t="s">
        <v>745</v>
      </c>
      <c r="BZ193" t="s">
        <v>709</v>
      </c>
      <c r="CB193">
        <v>191</v>
      </c>
      <c r="CC193" t="b">
        <v>1</v>
      </c>
      <c r="CD193" t="s">
        <v>2783</v>
      </c>
      <c r="CE193" s="1482">
        <v>45880.732511574075</v>
      </c>
    </row>
    <row r="194" spans="1:83" x14ac:dyDescent="0.25">
      <c r="A194">
        <v>2020</v>
      </c>
      <c r="B194" t="s">
        <v>1073</v>
      </c>
      <c r="C194" t="s">
        <v>2784</v>
      </c>
      <c r="D194" t="s">
        <v>2785</v>
      </c>
      <c r="E194" t="s">
        <v>2786</v>
      </c>
      <c r="F194" t="s">
        <v>919</v>
      </c>
      <c r="G194" t="s">
        <v>1882</v>
      </c>
      <c r="H194" t="s">
        <v>59</v>
      </c>
      <c r="I194">
        <v>44096</v>
      </c>
      <c r="J194">
        <v>44124</v>
      </c>
      <c r="K194">
        <v>44123</v>
      </c>
      <c r="L194">
        <v>1</v>
      </c>
      <c r="N194" t="s">
        <v>120</v>
      </c>
      <c r="O194">
        <v>44123</v>
      </c>
      <c r="P194" t="s">
        <v>739</v>
      </c>
      <c r="Q194" t="s">
        <v>115</v>
      </c>
      <c r="R194" t="s">
        <v>115</v>
      </c>
      <c r="S194" t="s">
        <v>115</v>
      </c>
      <c r="T194" t="s">
        <v>115</v>
      </c>
      <c r="U194" t="s">
        <v>115</v>
      </c>
      <c r="X194" t="s">
        <v>115</v>
      </c>
      <c r="AM194" t="s">
        <v>709</v>
      </c>
      <c r="AY194" t="s">
        <v>29</v>
      </c>
      <c r="BB194" t="s">
        <v>2787</v>
      </c>
      <c r="BI194" t="s">
        <v>709</v>
      </c>
      <c r="BJ194" t="s">
        <v>709</v>
      </c>
      <c r="BK194" t="s">
        <v>116</v>
      </c>
      <c r="BL194" t="s">
        <v>116</v>
      </c>
      <c r="BM194" t="s">
        <v>709</v>
      </c>
      <c r="BN194" t="s">
        <v>709</v>
      </c>
      <c r="BO194" t="s">
        <v>709</v>
      </c>
      <c r="BP194" t="s">
        <v>709</v>
      </c>
      <c r="BQ194" t="s">
        <v>709</v>
      </c>
      <c r="BR194">
        <v>309</v>
      </c>
      <c r="BS194" t="s">
        <v>709</v>
      </c>
      <c r="BT194" t="s">
        <v>709</v>
      </c>
      <c r="BU194" t="s">
        <v>709</v>
      </c>
      <c r="BV194" t="s">
        <v>745</v>
      </c>
      <c r="BW194" t="s">
        <v>709</v>
      </c>
      <c r="BX194" t="s">
        <v>745</v>
      </c>
      <c r="BY194" t="s">
        <v>2788</v>
      </c>
      <c r="BZ194" t="s">
        <v>709</v>
      </c>
      <c r="CA194" t="s">
        <v>2739</v>
      </c>
      <c r="CB194">
        <v>192</v>
      </c>
      <c r="CC194" t="b">
        <v>1</v>
      </c>
      <c r="CD194" t="s">
        <v>2789</v>
      </c>
      <c r="CE194" s="1482">
        <v>45880.732523148145</v>
      </c>
    </row>
    <row r="195" spans="1:83" x14ac:dyDescent="0.25">
      <c r="A195">
        <v>2020</v>
      </c>
      <c r="B195" t="s">
        <v>1073</v>
      </c>
      <c r="C195" t="s">
        <v>2784</v>
      </c>
      <c r="D195" t="s">
        <v>2790</v>
      </c>
      <c r="E195" t="s">
        <v>2786</v>
      </c>
      <c r="F195" t="s">
        <v>919</v>
      </c>
      <c r="G195" t="s">
        <v>1882</v>
      </c>
      <c r="H195" t="s">
        <v>59</v>
      </c>
      <c r="I195">
        <v>44096</v>
      </c>
      <c r="J195">
        <v>44124</v>
      </c>
      <c r="K195">
        <v>44123</v>
      </c>
      <c r="L195">
        <v>1</v>
      </c>
      <c r="N195" t="s">
        <v>120</v>
      </c>
      <c r="O195">
        <v>44123</v>
      </c>
      <c r="P195" t="s">
        <v>739</v>
      </c>
      <c r="Q195">
        <v>11161.373299999999</v>
      </c>
      <c r="R195">
        <v>7.0000000000000007E-2</v>
      </c>
      <c r="S195">
        <v>513.5</v>
      </c>
      <c r="T195" t="s">
        <v>709</v>
      </c>
      <c r="U195">
        <v>10312.5</v>
      </c>
      <c r="X195">
        <v>150184.26</v>
      </c>
      <c r="Z195">
        <v>9263.93</v>
      </c>
      <c r="AA195">
        <v>159448.19</v>
      </c>
      <c r="AM195" t="s">
        <v>116</v>
      </c>
      <c r="AN195">
        <v>44154</v>
      </c>
      <c r="AO195">
        <v>186196</v>
      </c>
      <c r="AP195">
        <v>107673.45</v>
      </c>
      <c r="AR195">
        <v>8708.19</v>
      </c>
      <c r="AS195">
        <v>116381.64</v>
      </c>
      <c r="AT195">
        <v>-43066.55</v>
      </c>
      <c r="AU195">
        <v>-3014.6585</v>
      </c>
      <c r="AV195" t="s">
        <v>709</v>
      </c>
      <c r="AW195" t="s">
        <v>2791</v>
      </c>
      <c r="AX195">
        <v>-3014.6585</v>
      </c>
      <c r="AY195">
        <v>44501</v>
      </c>
      <c r="BB195" t="s">
        <v>2787</v>
      </c>
      <c r="BI195" t="s">
        <v>709</v>
      </c>
      <c r="BJ195" t="s">
        <v>709</v>
      </c>
      <c r="BK195" t="s">
        <v>116</v>
      </c>
      <c r="BL195" t="s">
        <v>116</v>
      </c>
      <c r="BM195" t="s">
        <v>709</v>
      </c>
      <c r="BN195" t="s">
        <v>709</v>
      </c>
      <c r="BO195" t="s">
        <v>709</v>
      </c>
      <c r="BP195" t="s">
        <v>709</v>
      </c>
      <c r="BQ195" t="s">
        <v>709</v>
      </c>
      <c r="BR195">
        <v>309</v>
      </c>
      <c r="BS195" t="s">
        <v>709</v>
      </c>
      <c r="BT195" t="s">
        <v>709</v>
      </c>
      <c r="BU195" t="s">
        <v>709</v>
      </c>
      <c r="BV195" t="s">
        <v>745</v>
      </c>
      <c r="BW195" t="s">
        <v>709</v>
      </c>
      <c r="BX195" t="s">
        <v>745</v>
      </c>
      <c r="BY195" t="s">
        <v>2788</v>
      </c>
      <c r="BZ195" t="s">
        <v>709</v>
      </c>
      <c r="CA195" t="s">
        <v>2739</v>
      </c>
      <c r="CB195">
        <v>193</v>
      </c>
      <c r="CC195" t="b">
        <v>1</v>
      </c>
      <c r="CD195" t="s">
        <v>2792</v>
      </c>
      <c r="CE195" s="1482">
        <v>45880.732523148145</v>
      </c>
    </row>
    <row r="196" spans="1:83" x14ac:dyDescent="0.25">
      <c r="A196">
        <v>2020</v>
      </c>
      <c r="B196" t="s">
        <v>4</v>
      </c>
      <c r="C196" t="s">
        <v>2793</v>
      </c>
      <c r="D196" t="s">
        <v>2794</v>
      </c>
      <c r="E196" t="s">
        <v>108</v>
      </c>
      <c r="F196" t="s">
        <v>738</v>
      </c>
      <c r="G196" t="s">
        <v>2765</v>
      </c>
      <c r="H196" t="s">
        <v>59</v>
      </c>
      <c r="I196">
        <v>43809</v>
      </c>
      <c r="J196">
        <v>44139</v>
      </c>
      <c r="K196">
        <v>44124</v>
      </c>
      <c r="L196">
        <v>15</v>
      </c>
      <c r="N196" t="s">
        <v>120</v>
      </c>
      <c r="O196">
        <v>44124</v>
      </c>
      <c r="P196" t="s">
        <v>739</v>
      </c>
      <c r="Q196">
        <v>28972.333999999999</v>
      </c>
      <c r="R196">
        <v>0.1</v>
      </c>
      <c r="S196" t="s">
        <v>709</v>
      </c>
      <c r="T196" t="s">
        <v>709</v>
      </c>
      <c r="U196" t="s">
        <v>709</v>
      </c>
      <c r="X196">
        <v>249730.42</v>
      </c>
      <c r="Z196">
        <v>39992.92</v>
      </c>
      <c r="AA196">
        <v>289723.34000000003</v>
      </c>
      <c r="AM196" t="s">
        <v>116</v>
      </c>
      <c r="AN196">
        <v>44168</v>
      </c>
      <c r="AO196">
        <v>186640</v>
      </c>
      <c r="AP196">
        <v>251241.81</v>
      </c>
      <c r="AR196">
        <v>40740.699999999997</v>
      </c>
      <c r="AS196">
        <v>291982.51</v>
      </c>
      <c r="AT196">
        <v>2259.17</v>
      </c>
      <c r="AU196">
        <v>225.917</v>
      </c>
      <c r="AV196" t="s">
        <v>709</v>
      </c>
      <c r="AW196" t="s">
        <v>2795</v>
      </c>
      <c r="AX196">
        <v>225.917</v>
      </c>
      <c r="AY196">
        <v>44501</v>
      </c>
      <c r="BA196" t="s">
        <v>2796</v>
      </c>
      <c r="BB196" t="s">
        <v>1156</v>
      </c>
      <c r="BI196" t="s">
        <v>709</v>
      </c>
      <c r="BJ196" t="s">
        <v>709</v>
      </c>
      <c r="BK196" t="s">
        <v>709</v>
      </c>
      <c r="BL196" t="s">
        <v>116</v>
      </c>
      <c r="BM196" t="s">
        <v>709</v>
      </c>
      <c r="BN196" t="s">
        <v>709</v>
      </c>
      <c r="BO196" t="s">
        <v>709</v>
      </c>
      <c r="BP196" t="s">
        <v>709</v>
      </c>
      <c r="BQ196" t="s">
        <v>709</v>
      </c>
      <c r="BR196">
        <v>212</v>
      </c>
      <c r="BS196">
        <v>160</v>
      </c>
      <c r="BT196" t="s">
        <v>745</v>
      </c>
      <c r="BU196" t="s">
        <v>709</v>
      </c>
      <c r="BV196" t="s">
        <v>745</v>
      </c>
      <c r="BW196" t="s">
        <v>709</v>
      </c>
      <c r="BX196" t="s">
        <v>745</v>
      </c>
      <c r="BY196" t="s">
        <v>745</v>
      </c>
      <c r="BZ196" t="s">
        <v>709</v>
      </c>
      <c r="CB196">
        <v>195</v>
      </c>
      <c r="CC196" t="b">
        <v>1</v>
      </c>
      <c r="CD196" t="s">
        <v>2797</v>
      </c>
      <c r="CE196" s="1482">
        <v>45880.732534722221</v>
      </c>
    </row>
    <row r="197" spans="1:83" ht="409.5" x14ac:dyDescent="0.25">
      <c r="A197">
        <v>2020</v>
      </c>
      <c r="B197" t="s">
        <v>4</v>
      </c>
      <c r="C197" t="s">
        <v>187</v>
      </c>
      <c r="D197" t="s">
        <v>2798</v>
      </c>
      <c r="E197" t="s">
        <v>1164</v>
      </c>
      <c r="F197" t="s">
        <v>738</v>
      </c>
      <c r="G197" t="s">
        <v>40</v>
      </c>
      <c r="H197" t="s">
        <v>59</v>
      </c>
      <c r="I197">
        <v>43742</v>
      </c>
      <c r="J197">
        <v>44134</v>
      </c>
      <c r="K197">
        <v>44124</v>
      </c>
      <c r="L197">
        <v>10</v>
      </c>
      <c r="N197" t="s">
        <v>120</v>
      </c>
      <c r="O197">
        <v>44124</v>
      </c>
      <c r="P197" t="s">
        <v>120</v>
      </c>
      <c r="Q197">
        <v>102293.049</v>
      </c>
      <c r="R197">
        <v>0.1</v>
      </c>
      <c r="S197" t="s">
        <v>709</v>
      </c>
      <c r="T197" t="s">
        <v>709</v>
      </c>
      <c r="U197" t="s">
        <v>709</v>
      </c>
      <c r="V197">
        <v>1626</v>
      </c>
      <c r="X197">
        <v>969666.82</v>
      </c>
      <c r="Z197">
        <v>53263.67</v>
      </c>
      <c r="AA197">
        <v>1022930.49</v>
      </c>
      <c r="AM197" t="s">
        <v>116</v>
      </c>
      <c r="AN197">
        <v>44260</v>
      </c>
      <c r="AO197">
        <v>188461</v>
      </c>
      <c r="AP197">
        <v>1359703.64</v>
      </c>
      <c r="AR197">
        <v>53303.1</v>
      </c>
      <c r="AS197">
        <v>1413006.74</v>
      </c>
      <c r="AT197">
        <v>390076.25</v>
      </c>
      <c r="AU197">
        <v>39007.625</v>
      </c>
      <c r="AV197">
        <v>10217.5</v>
      </c>
      <c r="AW197" s="4" t="s">
        <v>2799</v>
      </c>
      <c r="AX197">
        <v>39007.625</v>
      </c>
      <c r="AY197">
        <v>44501</v>
      </c>
      <c r="BA197" t="s">
        <v>2800</v>
      </c>
      <c r="BB197" t="s">
        <v>2801</v>
      </c>
      <c r="BI197" t="s">
        <v>709</v>
      </c>
      <c r="BJ197" t="s">
        <v>709</v>
      </c>
      <c r="BK197" t="s">
        <v>116</v>
      </c>
      <c r="BL197" t="s">
        <v>709</v>
      </c>
      <c r="BM197" t="s">
        <v>709</v>
      </c>
      <c r="BN197">
        <v>1626</v>
      </c>
      <c r="BO197" t="s">
        <v>709</v>
      </c>
      <c r="BP197" t="s">
        <v>709</v>
      </c>
      <c r="BQ197" t="s">
        <v>709</v>
      </c>
      <c r="BR197" t="s">
        <v>709</v>
      </c>
      <c r="BS197" t="s">
        <v>709</v>
      </c>
      <c r="BT197" t="s">
        <v>745</v>
      </c>
      <c r="BU197" t="s">
        <v>709</v>
      </c>
      <c r="BV197" t="s">
        <v>745</v>
      </c>
      <c r="BW197" t="s">
        <v>709</v>
      </c>
      <c r="BX197" t="s">
        <v>745</v>
      </c>
      <c r="BY197" t="s">
        <v>745</v>
      </c>
      <c r="BZ197" t="s">
        <v>709</v>
      </c>
      <c r="CB197">
        <v>196</v>
      </c>
      <c r="CC197" t="b">
        <v>1</v>
      </c>
      <c r="CD197" t="s">
        <v>2802</v>
      </c>
      <c r="CE197" s="1482">
        <v>45880.732534722221</v>
      </c>
    </row>
    <row r="198" spans="1:83" x14ac:dyDescent="0.25">
      <c r="A198">
        <v>2021</v>
      </c>
      <c r="B198" t="s">
        <v>771</v>
      </c>
      <c r="C198" t="s">
        <v>136</v>
      </c>
      <c r="D198" t="s">
        <v>2481</v>
      </c>
      <c r="E198" t="s">
        <v>137</v>
      </c>
      <c r="F198" t="s">
        <v>325</v>
      </c>
      <c r="G198" t="s">
        <v>1882</v>
      </c>
      <c r="H198" t="s">
        <v>2051</v>
      </c>
      <c r="I198">
        <v>43852</v>
      </c>
      <c r="J198" t="s">
        <v>2052</v>
      </c>
      <c r="K198">
        <v>44124</v>
      </c>
      <c r="L198">
        <v>272</v>
      </c>
      <c r="M198" t="s">
        <v>2489</v>
      </c>
      <c r="N198" t="s">
        <v>120</v>
      </c>
      <c r="O198">
        <v>44124</v>
      </c>
      <c r="P198" t="s">
        <v>120</v>
      </c>
      <c r="Q198">
        <v>11745</v>
      </c>
      <c r="R198" t="s">
        <v>1922</v>
      </c>
      <c r="S198" t="s">
        <v>709</v>
      </c>
      <c r="T198" t="s">
        <v>709</v>
      </c>
      <c r="U198">
        <v>11745</v>
      </c>
      <c r="AM198" t="s">
        <v>709</v>
      </c>
      <c r="AY198" t="s">
        <v>29</v>
      </c>
      <c r="BA198">
        <v>4</v>
      </c>
      <c r="BI198" t="s">
        <v>709</v>
      </c>
      <c r="BJ198" t="s">
        <v>709</v>
      </c>
      <c r="BK198" t="s">
        <v>709</v>
      </c>
      <c r="BL198" t="s">
        <v>116</v>
      </c>
      <c r="BM198" t="s">
        <v>709</v>
      </c>
      <c r="BN198" t="s">
        <v>709</v>
      </c>
      <c r="BO198" t="s">
        <v>709</v>
      </c>
      <c r="BP198" t="s">
        <v>709</v>
      </c>
      <c r="BQ198" t="s">
        <v>709</v>
      </c>
      <c r="BR198">
        <v>5655</v>
      </c>
      <c r="BS198">
        <v>12111</v>
      </c>
      <c r="BT198" t="s">
        <v>709</v>
      </c>
      <c r="BU198" t="s">
        <v>709</v>
      </c>
      <c r="BV198" t="s">
        <v>709</v>
      </c>
      <c r="BW198" t="s">
        <v>709</v>
      </c>
      <c r="BX198" t="s">
        <v>709</v>
      </c>
      <c r="BY198" t="s">
        <v>709</v>
      </c>
      <c r="BZ198" t="s">
        <v>709</v>
      </c>
      <c r="CB198">
        <v>194</v>
      </c>
      <c r="CC198" t="b">
        <v>1</v>
      </c>
      <c r="CD198" t="s">
        <v>2803</v>
      </c>
      <c r="CE198" s="1482">
        <v>45880.732546296298</v>
      </c>
    </row>
    <row r="199" spans="1:83" x14ac:dyDescent="0.25">
      <c r="A199">
        <v>2021</v>
      </c>
      <c r="B199" t="s">
        <v>771</v>
      </c>
      <c r="C199" t="s">
        <v>140</v>
      </c>
      <c r="D199">
        <v>140811</v>
      </c>
      <c r="E199" t="s">
        <v>141</v>
      </c>
      <c r="F199" t="s">
        <v>919</v>
      </c>
      <c r="G199" t="s">
        <v>36</v>
      </c>
      <c r="H199" t="s">
        <v>59</v>
      </c>
      <c r="I199">
        <v>44034</v>
      </c>
      <c r="J199">
        <v>44126</v>
      </c>
      <c r="K199">
        <v>44126</v>
      </c>
      <c r="L199">
        <v>0</v>
      </c>
      <c r="N199" t="s">
        <v>120</v>
      </c>
      <c r="O199">
        <v>44126</v>
      </c>
      <c r="P199" t="s">
        <v>120</v>
      </c>
      <c r="Q199">
        <v>15625.55</v>
      </c>
      <c r="R199" t="s">
        <v>2087</v>
      </c>
      <c r="S199" t="s">
        <v>709</v>
      </c>
      <c r="T199" t="s">
        <v>709</v>
      </c>
      <c r="U199" t="s">
        <v>709</v>
      </c>
      <c r="V199">
        <v>10081</v>
      </c>
      <c r="X199">
        <v>1501034.84</v>
      </c>
      <c r="Z199">
        <v>97275.44</v>
      </c>
      <c r="AA199">
        <v>1598310.28</v>
      </c>
      <c r="AM199" t="s">
        <v>709</v>
      </c>
      <c r="AY199" t="s">
        <v>29</v>
      </c>
      <c r="BA199" t="s">
        <v>2804</v>
      </c>
      <c r="BC199" t="s">
        <v>116</v>
      </c>
      <c r="BD199" t="s">
        <v>709</v>
      </c>
      <c r="BE199" t="s">
        <v>757</v>
      </c>
      <c r="BF199" t="s">
        <v>709</v>
      </c>
      <c r="BG199" t="s">
        <v>709</v>
      </c>
      <c r="BI199" t="s">
        <v>709</v>
      </c>
      <c r="BJ199" t="s">
        <v>709</v>
      </c>
      <c r="BK199" t="s">
        <v>709</v>
      </c>
      <c r="BL199" t="s">
        <v>116</v>
      </c>
      <c r="BM199" t="s">
        <v>709</v>
      </c>
      <c r="BN199">
        <v>29</v>
      </c>
      <c r="BO199" t="s">
        <v>709</v>
      </c>
      <c r="BP199" t="s">
        <v>709</v>
      </c>
      <c r="BQ199">
        <v>3063</v>
      </c>
      <c r="BR199">
        <v>3525</v>
      </c>
      <c r="BS199">
        <v>3464</v>
      </c>
      <c r="BT199" t="s">
        <v>709</v>
      </c>
      <c r="BU199" t="s">
        <v>709</v>
      </c>
      <c r="BV199" t="s">
        <v>709</v>
      </c>
      <c r="BW199" t="s">
        <v>709</v>
      </c>
      <c r="BX199" t="s">
        <v>709</v>
      </c>
      <c r="BY199" t="s">
        <v>709</v>
      </c>
      <c r="BZ199" t="s">
        <v>709</v>
      </c>
      <c r="CB199">
        <v>197</v>
      </c>
      <c r="CC199" t="b">
        <v>1</v>
      </c>
      <c r="CD199" t="s">
        <v>2805</v>
      </c>
      <c r="CE199" s="1482">
        <v>45880.732557870368</v>
      </c>
    </row>
    <row r="200" spans="1:83" x14ac:dyDescent="0.25">
      <c r="A200">
        <v>2019</v>
      </c>
      <c r="B200" t="s">
        <v>4</v>
      </c>
      <c r="C200" t="s">
        <v>121</v>
      </c>
      <c r="D200" t="s">
        <v>2556</v>
      </c>
      <c r="E200" t="s">
        <v>122</v>
      </c>
      <c r="F200" t="s">
        <v>919</v>
      </c>
      <c r="G200" t="s">
        <v>36</v>
      </c>
      <c r="H200" t="s">
        <v>2611</v>
      </c>
      <c r="I200">
        <v>43497</v>
      </c>
      <c r="J200" t="s">
        <v>2612</v>
      </c>
      <c r="K200">
        <v>44131</v>
      </c>
      <c r="L200">
        <v>634</v>
      </c>
      <c r="M200" t="s">
        <v>2613</v>
      </c>
      <c r="N200" t="s">
        <v>120</v>
      </c>
      <c r="O200">
        <v>44136</v>
      </c>
      <c r="P200" t="s">
        <v>739</v>
      </c>
      <c r="Q200">
        <v>810</v>
      </c>
      <c r="R200" t="s">
        <v>1922</v>
      </c>
      <c r="S200" t="s">
        <v>709</v>
      </c>
      <c r="T200" t="s">
        <v>709</v>
      </c>
      <c r="U200">
        <v>810</v>
      </c>
      <c r="V200" t="s">
        <v>115</v>
      </c>
      <c r="AM200" t="s">
        <v>709</v>
      </c>
      <c r="AY200" t="s">
        <v>29</v>
      </c>
      <c r="BI200" t="s">
        <v>709</v>
      </c>
      <c r="BJ200" t="s">
        <v>709</v>
      </c>
      <c r="BK200" t="s">
        <v>709</v>
      </c>
      <c r="BL200" t="s">
        <v>116</v>
      </c>
      <c r="BM200" t="s">
        <v>709</v>
      </c>
      <c r="BN200" t="s">
        <v>709</v>
      </c>
      <c r="BO200" t="s">
        <v>709</v>
      </c>
      <c r="BP200">
        <v>3618</v>
      </c>
      <c r="BQ200">
        <v>2805</v>
      </c>
      <c r="BR200">
        <v>12</v>
      </c>
      <c r="BS200">
        <v>291</v>
      </c>
      <c r="BT200" t="s">
        <v>745</v>
      </c>
      <c r="BU200" t="s">
        <v>709</v>
      </c>
      <c r="BV200" t="s">
        <v>745</v>
      </c>
      <c r="BW200" t="s">
        <v>709</v>
      </c>
      <c r="BX200" t="s">
        <v>745</v>
      </c>
      <c r="BY200" t="s">
        <v>745</v>
      </c>
      <c r="BZ200" t="s">
        <v>709</v>
      </c>
      <c r="CB200">
        <v>198</v>
      </c>
      <c r="CC200" t="b">
        <v>1</v>
      </c>
      <c r="CD200" t="s">
        <v>2806</v>
      </c>
      <c r="CE200" s="1482">
        <v>45880.732557870368</v>
      </c>
    </row>
    <row r="201" spans="1:83" x14ac:dyDescent="0.25">
      <c r="A201">
        <v>2021</v>
      </c>
      <c r="B201" t="s">
        <v>4</v>
      </c>
      <c r="C201" t="s">
        <v>2807</v>
      </c>
      <c r="D201" t="s">
        <v>115</v>
      </c>
      <c r="E201" t="s">
        <v>2074</v>
      </c>
      <c r="F201" t="s">
        <v>919</v>
      </c>
      <c r="G201" t="s">
        <v>2743</v>
      </c>
      <c r="H201" t="s">
        <v>1903</v>
      </c>
      <c r="I201">
        <v>44131</v>
      </c>
      <c r="J201">
        <v>44204</v>
      </c>
      <c r="K201">
        <v>44133</v>
      </c>
      <c r="L201">
        <v>71</v>
      </c>
      <c r="N201" t="s">
        <v>120</v>
      </c>
      <c r="O201">
        <v>44136</v>
      </c>
      <c r="P201" t="s">
        <v>739</v>
      </c>
      <c r="Q201" t="s">
        <v>115</v>
      </c>
      <c r="R201" t="s">
        <v>115</v>
      </c>
      <c r="AA201">
        <v>0</v>
      </c>
      <c r="AM201" t="s">
        <v>709</v>
      </c>
      <c r="AY201" t="s">
        <v>29</v>
      </c>
      <c r="BA201" t="s">
        <v>2808</v>
      </c>
      <c r="BB201" t="s">
        <v>2809</v>
      </c>
      <c r="CB201">
        <v>199</v>
      </c>
      <c r="CC201" t="b">
        <v>1</v>
      </c>
      <c r="CD201" t="s">
        <v>2810</v>
      </c>
      <c r="CE201" s="1482">
        <v>45880.732569444444</v>
      </c>
    </row>
    <row r="202" spans="1:83" x14ac:dyDescent="0.25">
      <c r="A202">
        <v>2021</v>
      </c>
      <c r="B202" t="s">
        <v>771</v>
      </c>
      <c r="C202" t="s">
        <v>136</v>
      </c>
      <c r="D202" t="s">
        <v>2481</v>
      </c>
      <c r="E202" t="s">
        <v>137</v>
      </c>
      <c r="F202" t="s">
        <v>325</v>
      </c>
      <c r="G202" t="s">
        <v>1882</v>
      </c>
      <c r="H202" t="s">
        <v>2051</v>
      </c>
      <c r="I202">
        <v>43852</v>
      </c>
      <c r="J202" t="s">
        <v>2052</v>
      </c>
      <c r="K202">
        <v>44133</v>
      </c>
      <c r="L202">
        <v>281</v>
      </c>
      <c r="M202" t="s">
        <v>2811</v>
      </c>
      <c r="N202" t="s">
        <v>120</v>
      </c>
      <c r="O202">
        <v>44136</v>
      </c>
      <c r="P202" t="s">
        <v>120</v>
      </c>
      <c r="Q202">
        <v>5470</v>
      </c>
      <c r="R202" t="s">
        <v>1922</v>
      </c>
      <c r="S202" t="s">
        <v>709</v>
      </c>
      <c r="T202" t="s">
        <v>709</v>
      </c>
      <c r="U202">
        <v>5470</v>
      </c>
      <c r="AM202" t="s">
        <v>709</v>
      </c>
      <c r="AY202" t="s">
        <v>29</v>
      </c>
      <c r="BA202">
        <v>1</v>
      </c>
      <c r="BI202" t="s">
        <v>709</v>
      </c>
      <c r="BJ202" t="s">
        <v>709</v>
      </c>
      <c r="BK202" t="s">
        <v>709</v>
      </c>
      <c r="BL202" t="s">
        <v>116</v>
      </c>
      <c r="BM202" t="s">
        <v>709</v>
      </c>
      <c r="BN202" t="s">
        <v>709</v>
      </c>
      <c r="BO202" t="s">
        <v>709</v>
      </c>
      <c r="BP202" t="s">
        <v>709</v>
      </c>
      <c r="BQ202" t="s">
        <v>709</v>
      </c>
      <c r="BR202">
        <v>5655</v>
      </c>
      <c r="BS202">
        <v>12811</v>
      </c>
      <c r="BT202" t="s">
        <v>709</v>
      </c>
      <c r="BU202" t="s">
        <v>709</v>
      </c>
      <c r="BV202" t="s">
        <v>709</v>
      </c>
      <c r="BW202" t="s">
        <v>709</v>
      </c>
      <c r="BX202" t="s">
        <v>709</v>
      </c>
      <c r="BY202" t="s">
        <v>709</v>
      </c>
      <c r="BZ202" t="s">
        <v>709</v>
      </c>
      <c r="CB202">
        <v>200</v>
      </c>
      <c r="CC202" t="b">
        <v>1</v>
      </c>
      <c r="CD202" t="s">
        <v>2812</v>
      </c>
      <c r="CE202" s="1482">
        <v>45880.732569444444</v>
      </c>
    </row>
    <row r="203" spans="1:83" ht="150" x14ac:dyDescent="0.25">
      <c r="A203">
        <v>2021</v>
      </c>
      <c r="B203" t="s">
        <v>4</v>
      </c>
      <c r="C203" t="s">
        <v>2813</v>
      </c>
      <c r="D203" t="s">
        <v>115</v>
      </c>
      <c r="E203" t="s">
        <v>1159</v>
      </c>
      <c r="F203" t="s">
        <v>919</v>
      </c>
      <c r="G203" t="s">
        <v>2814</v>
      </c>
      <c r="H203" t="s">
        <v>1903</v>
      </c>
      <c r="I203">
        <v>44099</v>
      </c>
      <c r="J203">
        <v>44183</v>
      </c>
      <c r="K203">
        <v>44138</v>
      </c>
      <c r="L203">
        <v>45</v>
      </c>
      <c r="N203" t="s">
        <v>120</v>
      </c>
      <c r="O203">
        <v>44138</v>
      </c>
      <c r="P203" t="s">
        <v>739</v>
      </c>
      <c r="Q203" t="s">
        <v>115</v>
      </c>
      <c r="R203" t="s">
        <v>115</v>
      </c>
      <c r="AA203">
        <v>0</v>
      </c>
      <c r="AM203" t="s">
        <v>709</v>
      </c>
      <c r="AW203" s="4"/>
      <c r="AY203" t="s">
        <v>29</v>
      </c>
      <c r="BA203" s="4" t="s">
        <v>2815</v>
      </c>
      <c r="CB203">
        <v>201</v>
      </c>
      <c r="CC203" t="b">
        <v>1</v>
      </c>
      <c r="CD203" t="s">
        <v>2816</v>
      </c>
      <c r="CE203" s="1482">
        <v>45880.732581018521</v>
      </c>
    </row>
    <row r="204" spans="1:83" ht="409.5" x14ac:dyDescent="0.25">
      <c r="A204">
        <v>2021</v>
      </c>
      <c r="B204" t="s">
        <v>1205</v>
      </c>
      <c r="C204" t="s">
        <v>134</v>
      </c>
      <c r="D204" t="s">
        <v>2817</v>
      </c>
      <c r="E204" t="s">
        <v>135</v>
      </c>
      <c r="F204" t="s">
        <v>919</v>
      </c>
      <c r="G204" t="s">
        <v>1882</v>
      </c>
      <c r="H204" t="s">
        <v>59</v>
      </c>
      <c r="I204">
        <v>44034</v>
      </c>
      <c r="J204">
        <v>44119</v>
      </c>
      <c r="K204">
        <v>44139</v>
      </c>
      <c r="L204">
        <v>-20</v>
      </c>
      <c r="M204" t="s">
        <v>2818</v>
      </c>
      <c r="N204" t="s">
        <v>120</v>
      </c>
      <c r="O204">
        <v>44139</v>
      </c>
      <c r="P204" t="s">
        <v>739</v>
      </c>
      <c r="Q204">
        <v>22430.555100000001</v>
      </c>
      <c r="R204">
        <v>0.09</v>
      </c>
      <c r="S204" t="s">
        <v>709</v>
      </c>
      <c r="T204">
        <v>18546</v>
      </c>
      <c r="U204" t="s">
        <v>709</v>
      </c>
      <c r="V204">
        <v>539</v>
      </c>
      <c r="X204">
        <v>227152.93</v>
      </c>
      <c r="Z204">
        <v>22075.46</v>
      </c>
      <c r="AA204">
        <v>249228.39</v>
      </c>
      <c r="AC204" t="s">
        <v>116</v>
      </c>
      <c r="AM204" t="s">
        <v>116</v>
      </c>
      <c r="AN204">
        <v>44753</v>
      </c>
      <c r="AO204">
        <v>11042633</v>
      </c>
      <c r="AP204">
        <v>227642.98</v>
      </c>
      <c r="AR204">
        <v>22075.52</v>
      </c>
      <c r="AS204">
        <v>249718.5</v>
      </c>
      <c r="AT204">
        <v>490.11</v>
      </c>
      <c r="AU204">
        <v>44.109900000000003</v>
      </c>
      <c r="AV204" t="s">
        <v>709</v>
      </c>
      <c r="AW204" s="4"/>
      <c r="AX204">
        <v>44.109900000000003</v>
      </c>
      <c r="AY204">
        <v>45008</v>
      </c>
      <c r="BA204" s="4" t="s">
        <v>2819</v>
      </c>
      <c r="BC204" t="s">
        <v>709</v>
      </c>
      <c r="BD204" t="s">
        <v>2820</v>
      </c>
      <c r="BE204" t="s">
        <v>709</v>
      </c>
      <c r="BF204" t="s">
        <v>709</v>
      </c>
      <c r="BG204" t="s">
        <v>709</v>
      </c>
      <c r="BI204" t="s">
        <v>116</v>
      </c>
      <c r="BJ204" t="s">
        <v>709</v>
      </c>
      <c r="BK204" t="s">
        <v>709</v>
      </c>
      <c r="BL204" t="s">
        <v>709</v>
      </c>
      <c r="BM204" t="s">
        <v>709</v>
      </c>
      <c r="BN204" t="s">
        <v>709</v>
      </c>
      <c r="BO204" t="s">
        <v>709</v>
      </c>
      <c r="BP204" t="s">
        <v>709</v>
      </c>
      <c r="BQ204" t="s">
        <v>709</v>
      </c>
      <c r="BR204" t="s">
        <v>709</v>
      </c>
      <c r="BS204">
        <v>539</v>
      </c>
      <c r="BT204" t="s">
        <v>745</v>
      </c>
      <c r="BU204" t="s">
        <v>709</v>
      </c>
      <c r="BV204" t="s">
        <v>745</v>
      </c>
      <c r="BW204" t="s">
        <v>709</v>
      </c>
      <c r="BX204">
        <v>1</v>
      </c>
      <c r="BY204" t="s">
        <v>745</v>
      </c>
      <c r="BZ204" t="s">
        <v>709</v>
      </c>
      <c r="CB204">
        <v>202</v>
      </c>
      <c r="CC204" t="b">
        <v>1</v>
      </c>
      <c r="CD204" t="s">
        <v>2821</v>
      </c>
      <c r="CE204" s="1482">
        <v>45880.732592592591</v>
      </c>
    </row>
    <row r="205" spans="1:83" x14ac:dyDescent="0.25">
      <c r="A205">
        <v>2020</v>
      </c>
      <c r="B205" t="s">
        <v>1205</v>
      </c>
      <c r="C205" t="s">
        <v>2634</v>
      </c>
      <c r="D205" t="s">
        <v>2635</v>
      </c>
      <c r="E205" t="s">
        <v>2636</v>
      </c>
      <c r="F205" t="s">
        <v>738</v>
      </c>
      <c r="G205" t="s">
        <v>36</v>
      </c>
      <c r="H205" t="s">
        <v>2051</v>
      </c>
      <c r="I205">
        <v>43970</v>
      </c>
      <c r="J205" t="s">
        <v>2052</v>
      </c>
      <c r="K205">
        <v>44145</v>
      </c>
      <c r="L205">
        <v>175</v>
      </c>
      <c r="M205" t="s">
        <v>2822</v>
      </c>
      <c r="N205" t="s">
        <v>120</v>
      </c>
      <c r="O205">
        <v>44145</v>
      </c>
      <c r="P205" t="s">
        <v>739</v>
      </c>
      <c r="Q205">
        <v>5037.5</v>
      </c>
      <c r="R205" t="s">
        <v>1922</v>
      </c>
      <c r="S205" t="s">
        <v>709</v>
      </c>
      <c r="T205" t="s">
        <v>709</v>
      </c>
      <c r="U205">
        <v>5037.5</v>
      </c>
      <c r="V205">
        <v>0</v>
      </c>
      <c r="X205">
        <v>0</v>
      </c>
      <c r="Y205">
        <v>0</v>
      </c>
      <c r="Z205">
        <v>58185.04</v>
      </c>
      <c r="AA205">
        <v>58185.04</v>
      </c>
      <c r="AM205" t="s">
        <v>709</v>
      </c>
      <c r="AY205" t="s">
        <v>29</v>
      </c>
      <c r="BA205">
        <v>1</v>
      </c>
      <c r="BI205" t="s">
        <v>709</v>
      </c>
      <c r="BJ205" t="s">
        <v>709</v>
      </c>
      <c r="BK205" t="s">
        <v>709</v>
      </c>
      <c r="BL205" t="s">
        <v>709</v>
      </c>
      <c r="BM205" t="s">
        <v>709</v>
      </c>
      <c r="BN205" t="s">
        <v>709</v>
      </c>
      <c r="BO205" t="s">
        <v>709</v>
      </c>
      <c r="BP205" t="s">
        <v>709</v>
      </c>
      <c r="BQ205" t="s">
        <v>709</v>
      </c>
      <c r="BR205" t="s">
        <v>709</v>
      </c>
      <c r="BS205" t="s">
        <v>709</v>
      </c>
      <c r="BT205" t="s">
        <v>745</v>
      </c>
      <c r="BU205" t="s">
        <v>709</v>
      </c>
      <c r="BV205" t="s">
        <v>745</v>
      </c>
      <c r="BW205" t="s">
        <v>709</v>
      </c>
      <c r="BX205" t="s">
        <v>745</v>
      </c>
      <c r="BY205" t="s">
        <v>745</v>
      </c>
      <c r="BZ205" t="s">
        <v>709</v>
      </c>
      <c r="CA205" t="s">
        <v>1146</v>
      </c>
      <c r="CB205">
        <v>203</v>
      </c>
      <c r="CC205" t="b">
        <v>1</v>
      </c>
      <c r="CD205" t="s">
        <v>2823</v>
      </c>
      <c r="CE205" s="1482">
        <v>45880.732592592591</v>
      </c>
    </row>
    <row r="206" spans="1:83" x14ac:dyDescent="0.25">
      <c r="A206">
        <v>2020</v>
      </c>
      <c r="B206" t="s">
        <v>4</v>
      </c>
      <c r="C206" t="s">
        <v>2824</v>
      </c>
      <c r="D206" t="s">
        <v>115</v>
      </c>
      <c r="E206" t="s">
        <v>818</v>
      </c>
      <c r="F206" t="s">
        <v>919</v>
      </c>
      <c r="G206" t="s">
        <v>2765</v>
      </c>
      <c r="H206" t="s">
        <v>1903</v>
      </c>
      <c r="I206">
        <v>44131</v>
      </c>
      <c r="J206">
        <v>44188</v>
      </c>
      <c r="K206">
        <v>44145</v>
      </c>
      <c r="L206">
        <v>43</v>
      </c>
      <c r="N206" t="s">
        <v>120</v>
      </c>
      <c r="O206">
        <v>44145</v>
      </c>
      <c r="P206" t="s">
        <v>739</v>
      </c>
      <c r="Q206" t="s">
        <v>115</v>
      </c>
      <c r="R206" t="s">
        <v>115</v>
      </c>
      <c r="AA206">
        <v>0</v>
      </c>
      <c r="AM206" t="s">
        <v>709</v>
      </c>
      <c r="AW206" s="4"/>
      <c r="AY206" t="s">
        <v>29</v>
      </c>
      <c r="BA206" t="s">
        <v>2825</v>
      </c>
      <c r="CB206">
        <v>204</v>
      </c>
      <c r="CC206" t="b">
        <v>1</v>
      </c>
      <c r="CD206" t="s">
        <v>2826</v>
      </c>
      <c r="CE206" s="1482">
        <v>45880.732604166667</v>
      </c>
    </row>
    <row r="207" spans="1:83" x14ac:dyDescent="0.25">
      <c r="A207">
        <v>2019</v>
      </c>
      <c r="B207" t="s">
        <v>4</v>
      </c>
      <c r="C207" t="s">
        <v>2509</v>
      </c>
      <c r="D207" t="s">
        <v>2510</v>
      </c>
      <c r="E207" t="s">
        <v>2511</v>
      </c>
      <c r="F207" t="s">
        <v>738</v>
      </c>
      <c r="G207" t="s">
        <v>40</v>
      </c>
      <c r="H207" t="s">
        <v>2051</v>
      </c>
      <c r="I207">
        <v>43468</v>
      </c>
      <c r="J207" t="s">
        <v>2052</v>
      </c>
      <c r="K207">
        <v>44147</v>
      </c>
      <c r="L207">
        <v>679</v>
      </c>
      <c r="M207" t="s">
        <v>2827</v>
      </c>
      <c r="N207" t="s">
        <v>120</v>
      </c>
      <c r="O207">
        <v>44147</v>
      </c>
      <c r="P207" t="s">
        <v>739</v>
      </c>
      <c r="Q207">
        <v>2140</v>
      </c>
      <c r="R207" t="s">
        <v>1922</v>
      </c>
      <c r="S207" t="s">
        <v>709</v>
      </c>
      <c r="T207" t="s">
        <v>709</v>
      </c>
      <c r="U207">
        <v>2140</v>
      </c>
      <c r="AM207" t="s">
        <v>709</v>
      </c>
      <c r="AW207" s="4"/>
      <c r="AY207" t="s">
        <v>29</v>
      </c>
      <c r="BA207">
        <v>12</v>
      </c>
      <c r="BI207" t="s">
        <v>709</v>
      </c>
      <c r="BJ207" t="s">
        <v>709</v>
      </c>
      <c r="BK207" t="s">
        <v>709</v>
      </c>
      <c r="BL207" t="s">
        <v>116</v>
      </c>
      <c r="BM207" t="s">
        <v>709</v>
      </c>
      <c r="BN207" t="s">
        <v>709</v>
      </c>
      <c r="BO207" t="s">
        <v>709</v>
      </c>
      <c r="BP207" t="s">
        <v>709</v>
      </c>
      <c r="BQ207" t="s">
        <v>709</v>
      </c>
      <c r="BR207">
        <v>1626</v>
      </c>
      <c r="BS207" t="s">
        <v>709</v>
      </c>
      <c r="BT207" t="s">
        <v>745</v>
      </c>
      <c r="BU207" t="s">
        <v>709</v>
      </c>
      <c r="BV207" t="s">
        <v>745</v>
      </c>
      <c r="BW207" t="s">
        <v>709</v>
      </c>
      <c r="BX207" t="s">
        <v>745</v>
      </c>
      <c r="BY207" t="s">
        <v>745</v>
      </c>
      <c r="BZ207" t="s">
        <v>709</v>
      </c>
      <c r="CB207">
        <v>206</v>
      </c>
      <c r="CC207" t="b">
        <v>1</v>
      </c>
      <c r="CD207" t="s">
        <v>2828</v>
      </c>
      <c r="CE207" s="1482">
        <v>45880.732615740744</v>
      </c>
    </row>
    <row r="208" spans="1:83" ht="225" x14ac:dyDescent="0.25">
      <c r="A208">
        <v>2020</v>
      </c>
      <c r="B208" t="s">
        <v>771</v>
      </c>
      <c r="C208" t="s">
        <v>2829</v>
      </c>
      <c r="D208" t="s">
        <v>2830</v>
      </c>
      <c r="E208" t="s">
        <v>2246</v>
      </c>
      <c r="F208" t="s">
        <v>919</v>
      </c>
      <c r="G208" t="s">
        <v>1882</v>
      </c>
      <c r="H208" t="s">
        <v>59</v>
      </c>
      <c r="I208">
        <v>44166</v>
      </c>
      <c r="J208">
        <v>44211</v>
      </c>
      <c r="K208">
        <v>44147</v>
      </c>
      <c r="L208">
        <v>64</v>
      </c>
      <c r="N208" t="s">
        <v>120</v>
      </c>
      <c r="O208">
        <v>44147</v>
      </c>
      <c r="P208" t="s">
        <v>120</v>
      </c>
      <c r="Q208">
        <v>40790.751300000004</v>
      </c>
      <c r="R208">
        <v>0.09</v>
      </c>
      <c r="V208">
        <v>1021</v>
      </c>
      <c r="X208">
        <v>408696.29</v>
      </c>
      <c r="Z208">
        <v>44534.28</v>
      </c>
      <c r="AA208">
        <v>453230.57</v>
      </c>
      <c r="AM208" t="s">
        <v>116</v>
      </c>
      <c r="AN208">
        <v>44691</v>
      </c>
      <c r="AO208">
        <v>11037953</v>
      </c>
      <c r="AP208">
        <v>692347.06</v>
      </c>
      <c r="AR208">
        <v>67487.490000000005</v>
      </c>
      <c r="AS208">
        <v>759834.55</v>
      </c>
      <c r="AT208">
        <v>306603.98</v>
      </c>
      <c r="AU208">
        <v>27594.358199999999</v>
      </c>
      <c r="AV208">
        <v>4125</v>
      </c>
      <c r="AW208" s="4" t="s">
        <v>2831</v>
      </c>
      <c r="AX208">
        <v>0</v>
      </c>
      <c r="AY208">
        <v>45008</v>
      </c>
      <c r="BA208" t="s">
        <v>2247</v>
      </c>
      <c r="BB208" t="s">
        <v>2248</v>
      </c>
      <c r="BI208" t="s">
        <v>709</v>
      </c>
      <c r="BJ208" t="s">
        <v>709</v>
      </c>
      <c r="BK208" t="s">
        <v>709</v>
      </c>
      <c r="BL208" t="s">
        <v>116</v>
      </c>
      <c r="BM208" t="s">
        <v>709</v>
      </c>
      <c r="BN208" t="s">
        <v>709</v>
      </c>
      <c r="BO208" t="s">
        <v>709</v>
      </c>
      <c r="BP208">
        <v>699</v>
      </c>
      <c r="BQ208" t="s">
        <v>709</v>
      </c>
      <c r="BR208">
        <v>68</v>
      </c>
      <c r="BS208">
        <v>254</v>
      </c>
      <c r="BT208" t="s">
        <v>745</v>
      </c>
      <c r="BU208" t="s">
        <v>709</v>
      </c>
      <c r="BV208" t="s">
        <v>745</v>
      </c>
      <c r="BW208" t="s">
        <v>709</v>
      </c>
      <c r="BX208" t="s">
        <v>745</v>
      </c>
      <c r="BY208" t="s">
        <v>745</v>
      </c>
      <c r="BZ208" t="s">
        <v>709</v>
      </c>
      <c r="CB208">
        <v>207</v>
      </c>
      <c r="CC208" t="b">
        <v>1</v>
      </c>
      <c r="CD208" t="s">
        <v>2832</v>
      </c>
      <c r="CE208" s="1482">
        <v>45880.732615740744</v>
      </c>
    </row>
    <row r="209" spans="1:83" x14ac:dyDescent="0.25">
      <c r="A209">
        <v>2021</v>
      </c>
      <c r="B209" t="s">
        <v>4</v>
      </c>
      <c r="C209" t="s">
        <v>2833</v>
      </c>
      <c r="D209" t="s">
        <v>115</v>
      </c>
      <c r="E209" t="s">
        <v>2258</v>
      </c>
      <c r="F209" t="s">
        <v>738</v>
      </c>
      <c r="G209" t="s">
        <v>2765</v>
      </c>
      <c r="H209" t="s">
        <v>1681</v>
      </c>
      <c r="I209">
        <v>44131</v>
      </c>
      <c r="J209">
        <v>44176</v>
      </c>
      <c r="K209">
        <v>44147</v>
      </c>
      <c r="L209">
        <v>29</v>
      </c>
      <c r="N209" t="s">
        <v>120</v>
      </c>
      <c r="O209">
        <v>44147</v>
      </c>
      <c r="P209" t="s">
        <v>739</v>
      </c>
      <c r="Q209" t="s">
        <v>115</v>
      </c>
      <c r="R209" t="s">
        <v>115</v>
      </c>
      <c r="AA209">
        <v>0</v>
      </c>
      <c r="AM209" t="s">
        <v>709</v>
      </c>
      <c r="AY209" t="s">
        <v>29</v>
      </c>
      <c r="BA209" t="s">
        <v>2834</v>
      </c>
      <c r="BB209" t="s">
        <v>2083</v>
      </c>
      <c r="CB209">
        <v>205</v>
      </c>
      <c r="CC209" t="b">
        <v>1</v>
      </c>
      <c r="CD209" t="s">
        <v>2835</v>
      </c>
      <c r="CE209" s="1482">
        <v>45880.732627314814</v>
      </c>
    </row>
    <row r="210" spans="1:83" x14ac:dyDescent="0.25">
      <c r="A210">
        <v>2021</v>
      </c>
      <c r="B210" t="s">
        <v>771</v>
      </c>
      <c r="C210" t="s">
        <v>2836</v>
      </c>
      <c r="D210">
        <v>140807</v>
      </c>
      <c r="E210" t="s">
        <v>141</v>
      </c>
      <c r="F210" t="s">
        <v>919</v>
      </c>
      <c r="G210" t="s">
        <v>36</v>
      </c>
      <c r="H210" t="s">
        <v>59</v>
      </c>
      <c r="I210">
        <v>44034</v>
      </c>
      <c r="J210">
        <v>44152</v>
      </c>
      <c r="K210">
        <v>44152</v>
      </c>
      <c r="L210">
        <v>0</v>
      </c>
      <c r="N210" t="s">
        <v>120</v>
      </c>
      <c r="O210">
        <v>44152</v>
      </c>
      <c r="P210" t="s">
        <v>120</v>
      </c>
      <c r="Q210">
        <v>8800.9</v>
      </c>
      <c r="R210" t="s">
        <v>2087</v>
      </c>
      <c r="S210" t="s">
        <v>709</v>
      </c>
      <c r="T210">
        <v>34980</v>
      </c>
      <c r="U210" t="s">
        <v>709</v>
      </c>
      <c r="V210">
        <v>5678</v>
      </c>
      <c r="X210">
        <v>1314667.8</v>
      </c>
      <c r="Z210">
        <v>41237.93</v>
      </c>
      <c r="AA210">
        <v>1355905.73</v>
      </c>
      <c r="AM210" t="s">
        <v>709</v>
      </c>
      <c r="AY210" t="s">
        <v>29</v>
      </c>
      <c r="BA210" t="s">
        <v>2804</v>
      </c>
      <c r="BC210" t="s">
        <v>116</v>
      </c>
      <c r="BD210" t="s">
        <v>709</v>
      </c>
      <c r="BE210" t="s">
        <v>757</v>
      </c>
      <c r="BF210" t="s">
        <v>709</v>
      </c>
      <c r="BG210" t="s">
        <v>2837</v>
      </c>
      <c r="BI210" t="s">
        <v>709</v>
      </c>
      <c r="BJ210" t="s">
        <v>709</v>
      </c>
      <c r="BK210" t="s">
        <v>709</v>
      </c>
      <c r="BL210" t="s">
        <v>116</v>
      </c>
      <c r="BM210" t="s">
        <v>709</v>
      </c>
      <c r="BN210" t="s">
        <v>709</v>
      </c>
      <c r="BO210" t="s">
        <v>709</v>
      </c>
      <c r="BP210">
        <v>361</v>
      </c>
      <c r="BQ210">
        <v>3654</v>
      </c>
      <c r="BR210">
        <v>91</v>
      </c>
      <c r="BS210">
        <v>1572</v>
      </c>
      <c r="BT210" t="s">
        <v>745</v>
      </c>
      <c r="BU210" t="s">
        <v>709</v>
      </c>
      <c r="BV210" t="s">
        <v>745</v>
      </c>
      <c r="BW210" t="s">
        <v>709</v>
      </c>
      <c r="BX210" t="s">
        <v>745</v>
      </c>
      <c r="BY210" t="s">
        <v>745</v>
      </c>
      <c r="BZ210" t="s">
        <v>709</v>
      </c>
      <c r="CB210">
        <v>208</v>
      </c>
      <c r="CC210" t="b">
        <v>1</v>
      </c>
      <c r="CD210" t="s">
        <v>2838</v>
      </c>
      <c r="CE210" s="1482">
        <v>45880.732638888891</v>
      </c>
    </row>
    <row r="211" spans="1:83" x14ac:dyDescent="0.25">
      <c r="A211">
        <v>2020</v>
      </c>
      <c r="B211" t="s">
        <v>4</v>
      </c>
      <c r="C211" t="s">
        <v>2839</v>
      </c>
      <c r="D211" t="s">
        <v>2840</v>
      </c>
      <c r="E211" t="s">
        <v>183</v>
      </c>
      <c r="F211" t="s">
        <v>738</v>
      </c>
      <c r="G211" t="s">
        <v>2814</v>
      </c>
      <c r="H211" t="s">
        <v>59</v>
      </c>
      <c r="I211">
        <v>44110</v>
      </c>
      <c r="J211">
        <v>44166</v>
      </c>
      <c r="K211">
        <v>44155</v>
      </c>
      <c r="L211">
        <v>11</v>
      </c>
      <c r="N211" t="s">
        <v>120</v>
      </c>
      <c r="O211">
        <v>44166</v>
      </c>
      <c r="P211" t="s">
        <v>739</v>
      </c>
      <c r="Q211">
        <v>32440.562999999998</v>
      </c>
      <c r="R211">
        <v>0.1</v>
      </c>
      <c r="S211" t="s">
        <v>709</v>
      </c>
      <c r="T211" t="s">
        <v>709</v>
      </c>
      <c r="U211" t="s">
        <v>709</v>
      </c>
      <c r="V211">
        <v>2258</v>
      </c>
      <c r="X211">
        <v>309098.34000000003</v>
      </c>
      <c r="Z211">
        <v>15307.29</v>
      </c>
      <c r="AA211">
        <v>324405.63</v>
      </c>
      <c r="AM211" t="s">
        <v>116</v>
      </c>
      <c r="AN211">
        <v>44292</v>
      </c>
      <c r="AO211">
        <v>187162</v>
      </c>
      <c r="AP211">
        <v>606265.14</v>
      </c>
      <c r="AR211">
        <v>36395.68</v>
      </c>
      <c r="AS211">
        <v>642660.81999999995</v>
      </c>
      <c r="AT211">
        <v>318255.19</v>
      </c>
      <c r="AU211">
        <v>31825.519</v>
      </c>
      <c r="AV211">
        <v>17820</v>
      </c>
      <c r="AW211" t="s">
        <v>2841</v>
      </c>
      <c r="AX211">
        <v>14005.519</v>
      </c>
      <c r="AY211">
        <v>44501</v>
      </c>
      <c r="BA211" t="s">
        <v>2842</v>
      </c>
      <c r="BB211" t="s">
        <v>2843</v>
      </c>
      <c r="BI211" t="s">
        <v>709</v>
      </c>
      <c r="BJ211" t="s">
        <v>709</v>
      </c>
      <c r="BK211" t="s">
        <v>709</v>
      </c>
      <c r="BL211" t="s">
        <v>116</v>
      </c>
      <c r="BM211" t="s">
        <v>709</v>
      </c>
      <c r="BN211" t="s">
        <v>709</v>
      </c>
      <c r="BO211" t="s">
        <v>709</v>
      </c>
      <c r="BP211" t="s">
        <v>709</v>
      </c>
      <c r="BQ211" t="s">
        <v>709</v>
      </c>
      <c r="BR211" t="s">
        <v>709</v>
      </c>
      <c r="BS211">
        <v>2259</v>
      </c>
      <c r="BT211" t="s">
        <v>745</v>
      </c>
      <c r="BU211" t="s">
        <v>709</v>
      </c>
      <c r="BV211" t="s">
        <v>745</v>
      </c>
      <c r="BW211" t="s">
        <v>709</v>
      </c>
      <c r="BX211" t="s">
        <v>745</v>
      </c>
      <c r="BY211" t="s">
        <v>745</v>
      </c>
      <c r="BZ211" t="s">
        <v>709</v>
      </c>
      <c r="CB211">
        <v>209</v>
      </c>
      <c r="CC211" t="b">
        <v>1</v>
      </c>
      <c r="CD211" t="s">
        <v>2844</v>
      </c>
      <c r="CE211" s="1482">
        <v>45880.73265046296</v>
      </c>
    </row>
    <row r="212" spans="1:83" x14ac:dyDescent="0.25">
      <c r="A212">
        <v>2021</v>
      </c>
      <c r="B212" t="s">
        <v>771</v>
      </c>
      <c r="C212" t="s">
        <v>2845</v>
      </c>
      <c r="D212" t="s">
        <v>2846</v>
      </c>
      <c r="E212" t="s">
        <v>2847</v>
      </c>
      <c r="F212" t="s">
        <v>919</v>
      </c>
      <c r="G212" t="s">
        <v>1882</v>
      </c>
      <c r="H212" t="s">
        <v>59</v>
      </c>
      <c r="I212">
        <v>44034</v>
      </c>
      <c r="J212">
        <v>44160</v>
      </c>
      <c r="K212">
        <v>44159</v>
      </c>
      <c r="L212">
        <v>1</v>
      </c>
      <c r="N212" t="s">
        <v>120</v>
      </c>
      <c r="O212">
        <v>44159</v>
      </c>
      <c r="P212" t="s">
        <v>120</v>
      </c>
      <c r="Q212">
        <v>22789.65</v>
      </c>
      <c r="R212" t="s">
        <v>2087</v>
      </c>
      <c r="S212" t="s">
        <v>709</v>
      </c>
      <c r="T212">
        <v>1485</v>
      </c>
      <c r="U212" t="s">
        <v>709</v>
      </c>
      <c r="V212">
        <v>14703</v>
      </c>
      <c r="AM212" t="s">
        <v>709</v>
      </c>
      <c r="AY212" t="s">
        <v>29</v>
      </c>
      <c r="BB212" t="s">
        <v>2848</v>
      </c>
      <c r="BC212" t="s">
        <v>116</v>
      </c>
      <c r="BD212" t="s">
        <v>882</v>
      </c>
      <c r="BE212" t="s">
        <v>2849</v>
      </c>
      <c r="BF212" t="s">
        <v>709</v>
      </c>
      <c r="BG212" t="s">
        <v>1496</v>
      </c>
      <c r="BI212" t="s">
        <v>709</v>
      </c>
      <c r="BJ212" t="s">
        <v>709</v>
      </c>
      <c r="BK212" t="s">
        <v>709</v>
      </c>
      <c r="BL212" t="s">
        <v>116</v>
      </c>
      <c r="BM212" t="s">
        <v>709</v>
      </c>
      <c r="BN212" t="s">
        <v>709</v>
      </c>
      <c r="BO212" t="s">
        <v>709</v>
      </c>
      <c r="BP212" t="s">
        <v>709</v>
      </c>
      <c r="BQ212">
        <v>5817</v>
      </c>
      <c r="BR212">
        <v>2031</v>
      </c>
      <c r="BS212">
        <v>6855</v>
      </c>
      <c r="BT212" t="s">
        <v>709</v>
      </c>
      <c r="BU212" t="s">
        <v>709</v>
      </c>
      <c r="BV212" t="s">
        <v>709</v>
      </c>
      <c r="BW212" t="s">
        <v>709</v>
      </c>
      <c r="BX212" t="s">
        <v>709</v>
      </c>
      <c r="BY212" t="s">
        <v>709</v>
      </c>
      <c r="BZ212" t="s">
        <v>709</v>
      </c>
      <c r="CB212">
        <v>210</v>
      </c>
      <c r="CC212" t="b">
        <v>1</v>
      </c>
      <c r="CD212" t="s">
        <v>2850</v>
      </c>
      <c r="CE212" s="1482">
        <v>45880.73265046296</v>
      </c>
    </row>
    <row r="213" spans="1:83" x14ac:dyDescent="0.25">
      <c r="A213">
        <v>2021</v>
      </c>
      <c r="B213" t="s">
        <v>4</v>
      </c>
      <c r="C213" t="s">
        <v>2851</v>
      </c>
      <c r="D213" t="s">
        <v>2852</v>
      </c>
      <c r="E213" t="s">
        <v>818</v>
      </c>
      <c r="F213" t="s">
        <v>919</v>
      </c>
      <c r="G213" t="s">
        <v>36</v>
      </c>
      <c r="H213" t="s">
        <v>59</v>
      </c>
      <c r="I213">
        <v>43958</v>
      </c>
      <c r="J213">
        <v>44160</v>
      </c>
      <c r="K213">
        <v>44159</v>
      </c>
      <c r="L213">
        <v>1</v>
      </c>
      <c r="N213" t="s">
        <v>120</v>
      </c>
      <c r="O213">
        <v>44166</v>
      </c>
      <c r="P213" t="s">
        <v>739</v>
      </c>
      <c r="Q213">
        <v>72855.618000000002</v>
      </c>
      <c r="R213">
        <v>0.1</v>
      </c>
      <c r="S213" t="s">
        <v>709</v>
      </c>
      <c r="T213" t="s">
        <v>709</v>
      </c>
      <c r="U213" t="s">
        <v>709</v>
      </c>
      <c r="V213">
        <v>1096</v>
      </c>
      <c r="X213">
        <v>708243.37</v>
      </c>
      <c r="Z213">
        <v>20312.810000000001</v>
      </c>
      <c r="AA213">
        <v>728556.18</v>
      </c>
      <c r="AM213" t="s">
        <v>116</v>
      </c>
      <c r="AN213">
        <v>44384</v>
      </c>
      <c r="AO213">
        <v>189714</v>
      </c>
      <c r="AP213">
        <v>758332.49</v>
      </c>
      <c r="AR213">
        <v>20395.53</v>
      </c>
      <c r="AS213">
        <v>778728.02</v>
      </c>
      <c r="AT213">
        <v>50171.839999999997</v>
      </c>
      <c r="AU213">
        <v>5017.1840000000002</v>
      </c>
      <c r="AV213">
        <v>17615</v>
      </c>
      <c r="AW213" t="s">
        <v>2853</v>
      </c>
      <c r="AY213" t="s">
        <v>1935</v>
      </c>
      <c r="BA213" t="s">
        <v>2854</v>
      </c>
      <c r="BB213" t="s">
        <v>1156</v>
      </c>
      <c r="BC213" t="s">
        <v>709</v>
      </c>
      <c r="BD213" t="s">
        <v>709</v>
      </c>
      <c r="BE213" t="s">
        <v>822</v>
      </c>
      <c r="BF213" t="s">
        <v>709</v>
      </c>
      <c r="BG213" t="s">
        <v>709</v>
      </c>
      <c r="BI213" t="s">
        <v>709</v>
      </c>
      <c r="BJ213" t="s">
        <v>709</v>
      </c>
      <c r="BK213" t="s">
        <v>709</v>
      </c>
      <c r="BL213" t="s">
        <v>116</v>
      </c>
      <c r="BM213" t="s">
        <v>709</v>
      </c>
      <c r="BN213" t="s">
        <v>709</v>
      </c>
      <c r="BO213" t="s">
        <v>709</v>
      </c>
      <c r="BP213">
        <v>442</v>
      </c>
      <c r="BQ213" t="s">
        <v>709</v>
      </c>
      <c r="BR213" t="s">
        <v>709</v>
      </c>
      <c r="BS213">
        <v>654</v>
      </c>
      <c r="BT213" t="s">
        <v>745</v>
      </c>
      <c r="BU213" t="s">
        <v>709</v>
      </c>
      <c r="BV213" t="s">
        <v>745</v>
      </c>
      <c r="BW213" t="s">
        <v>709</v>
      </c>
      <c r="BX213" t="s">
        <v>745</v>
      </c>
      <c r="BY213" t="s">
        <v>745</v>
      </c>
      <c r="BZ213" t="s">
        <v>709</v>
      </c>
      <c r="CB213">
        <v>211</v>
      </c>
      <c r="CC213" t="b">
        <v>1</v>
      </c>
      <c r="CD213" t="s">
        <v>2855</v>
      </c>
      <c r="CE213" s="1482">
        <v>45880.732662037037</v>
      </c>
    </row>
    <row r="214" spans="1:83" x14ac:dyDescent="0.25">
      <c r="A214">
        <v>2020</v>
      </c>
      <c r="B214" t="s">
        <v>1205</v>
      </c>
      <c r="C214" t="s">
        <v>2856</v>
      </c>
      <c r="D214" t="s">
        <v>115</v>
      </c>
      <c r="E214" t="s">
        <v>1529</v>
      </c>
      <c r="F214" t="s">
        <v>738</v>
      </c>
      <c r="G214" t="s">
        <v>36</v>
      </c>
      <c r="H214" t="s">
        <v>2127</v>
      </c>
      <c r="I214">
        <v>44110</v>
      </c>
      <c r="J214">
        <v>44166</v>
      </c>
      <c r="K214">
        <v>44166</v>
      </c>
      <c r="L214">
        <v>0</v>
      </c>
      <c r="M214" t="s">
        <v>2857</v>
      </c>
      <c r="N214" t="s">
        <v>120</v>
      </c>
      <c r="O214">
        <v>44166</v>
      </c>
      <c r="P214" t="s">
        <v>739</v>
      </c>
      <c r="Q214" t="s">
        <v>115</v>
      </c>
      <c r="R214" t="s">
        <v>115</v>
      </c>
      <c r="AM214" t="s">
        <v>709</v>
      </c>
      <c r="AY214" t="s">
        <v>29</v>
      </c>
      <c r="BA214" t="s">
        <v>2858</v>
      </c>
      <c r="BB214" t="s">
        <v>2859</v>
      </c>
      <c r="BZ214" t="s">
        <v>709</v>
      </c>
      <c r="CA214" t="s">
        <v>915</v>
      </c>
      <c r="CB214">
        <v>213</v>
      </c>
      <c r="CC214" t="b">
        <v>1</v>
      </c>
      <c r="CD214" t="s">
        <v>2860</v>
      </c>
      <c r="CE214" s="1482">
        <v>45880.732673611114</v>
      </c>
    </row>
    <row r="215" spans="1:83" x14ac:dyDescent="0.25">
      <c r="A215">
        <v>2020</v>
      </c>
      <c r="B215" t="s">
        <v>4</v>
      </c>
      <c r="C215" t="s">
        <v>2861</v>
      </c>
      <c r="D215" t="s">
        <v>2862</v>
      </c>
      <c r="E215" t="s">
        <v>1154</v>
      </c>
      <c r="F215" t="s">
        <v>919</v>
      </c>
      <c r="G215" t="s">
        <v>2765</v>
      </c>
      <c r="H215" t="s">
        <v>59</v>
      </c>
      <c r="I215">
        <v>44001</v>
      </c>
      <c r="J215">
        <v>44160</v>
      </c>
      <c r="K215">
        <v>44166</v>
      </c>
      <c r="L215">
        <v>0</v>
      </c>
      <c r="M215" t="s">
        <v>2863</v>
      </c>
      <c r="N215" t="s">
        <v>120</v>
      </c>
      <c r="O215">
        <v>44166</v>
      </c>
      <c r="P215" t="s">
        <v>739</v>
      </c>
      <c r="Q215">
        <v>194657.19200000001</v>
      </c>
      <c r="R215">
        <v>0.1</v>
      </c>
      <c r="S215" t="s">
        <v>709</v>
      </c>
      <c r="T215" t="s">
        <v>709</v>
      </c>
      <c r="U215" t="s">
        <v>709</v>
      </c>
      <c r="V215">
        <v>6373</v>
      </c>
      <c r="X215">
        <v>1898138.9</v>
      </c>
      <c r="Z215">
        <v>48433.02</v>
      </c>
      <c r="AA215">
        <v>1946571.92</v>
      </c>
      <c r="AM215" t="s">
        <v>116</v>
      </c>
      <c r="AN215">
        <v>44278</v>
      </c>
      <c r="AO215">
        <v>187071</v>
      </c>
      <c r="AP215">
        <v>1936489</v>
      </c>
      <c r="AR215">
        <v>27358.22</v>
      </c>
      <c r="AS215">
        <v>1963847.22</v>
      </c>
      <c r="AT215">
        <v>17275.3</v>
      </c>
      <c r="AU215">
        <v>1727.53</v>
      </c>
      <c r="AV215">
        <v>2250</v>
      </c>
      <c r="AW215" t="s">
        <v>2864</v>
      </c>
      <c r="AX215">
        <v>1727.53</v>
      </c>
      <c r="AY215">
        <v>44501</v>
      </c>
      <c r="BA215" t="s">
        <v>2865</v>
      </c>
      <c r="BB215" t="s">
        <v>2866</v>
      </c>
      <c r="BI215" t="s">
        <v>709</v>
      </c>
      <c r="BJ215" t="s">
        <v>709</v>
      </c>
      <c r="BK215" t="s">
        <v>709</v>
      </c>
      <c r="BL215" t="s">
        <v>116</v>
      </c>
      <c r="BM215" t="s">
        <v>709</v>
      </c>
      <c r="BN215" t="s">
        <v>709</v>
      </c>
      <c r="BO215" t="s">
        <v>709</v>
      </c>
      <c r="BP215" t="s">
        <v>709</v>
      </c>
      <c r="BQ215">
        <v>326</v>
      </c>
      <c r="BR215" t="s">
        <v>709</v>
      </c>
      <c r="BS215">
        <v>6047</v>
      </c>
      <c r="BT215" t="s">
        <v>745</v>
      </c>
      <c r="BU215" t="s">
        <v>709</v>
      </c>
      <c r="BV215" t="s">
        <v>745</v>
      </c>
      <c r="BW215" t="s">
        <v>709</v>
      </c>
      <c r="BX215" t="s">
        <v>745</v>
      </c>
      <c r="BY215" t="s">
        <v>745</v>
      </c>
      <c r="BZ215" t="s">
        <v>709</v>
      </c>
      <c r="CB215">
        <v>212</v>
      </c>
      <c r="CC215" t="b">
        <v>1</v>
      </c>
      <c r="CD215" t="s">
        <v>2867</v>
      </c>
      <c r="CE215" s="1482">
        <v>45880.732673611114</v>
      </c>
    </row>
    <row r="216" spans="1:83" x14ac:dyDescent="0.25">
      <c r="A216">
        <v>2021</v>
      </c>
      <c r="B216" t="s">
        <v>4</v>
      </c>
      <c r="C216" t="s">
        <v>159</v>
      </c>
      <c r="D216" t="s">
        <v>2868</v>
      </c>
      <c r="E216" t="s">
        <v>2032</v>
      </c>
      <c r="F216" t="s">
        <v>738</v>
      </c>
      <c r="G216" t="s">
        <v>2814</v>
      </c>
      <c r="H216" t="s">
        <v>59</v>
      </c>
      <c r="I216">
        <v>44110</v>
      </c>
      <c r="J216">
        <v>44183</v>
      </c>
      <c r="K216">
        <v>44167</v>
      </c>
      <c r="L216">
        <v>16</v>
      </c>
      <c r="N216" t="s">
        <v>120</v>
      </c>
      <c r="O216">
        <v>44167</v>
      </c>
      <c r="P216" t="s">
        <v>739</v>
      </c>
      <c r="Q216">
        <v>49864.205000000002</v>
      </c>
      <c r="R216">
        <v>0.1</v>
      </c>
      <c r="S216" t="s">
        <v>709</v>
      </c>
      <c r="T216" t="s">
        <v>709</v>
      </c>
      <c r="U216" t="s">
        <v>709</v>
      </c>
      <c r="V216">
        <v>2574</v>
      </c>
      <c r="X216">
        <v>486973.03</v>
      </c>
      <c r="Z216">
        <v>11669.02</v>
      </c>
      <c r="AA216">
        <v>498642.05</v>
      </c>
      <c r="AM216" t="s">
        <v>116</v>
      </c>
      <c r="AN216">
        <v>44231</v>
      </c>
      <c r="AO216">
        <v>187624</v>
      </c>
      <c r="AP216">
        <v>556885.4</v>
      </c>
      <c r="AR216">
        <v>11705.8</v>
      </c>
      <c r="AS216">
        <v>568591.19999999995</v>
      </c>
      <c r="AT216">
        <v>69949.149999999994</v>
      </c>
      <c r="AU216">
        <v>6994.915</v>
      </c>
      <c r="AV216">
        <v>11782.5</v>
      </c>
      <c r="AW216" t="s">
        <v>2869</v>
      </c>
      <c r="AX216">
        <v>0</v>
      </c>
      <c r="AY216">
        <v>44501</v>
      </c>
      <c r="BA216" t="s">
        <v>2870</v>
      </c>
      <c r="BB216" t="s">
        <v>2240</v>
      </c>
      <c r="BC216" t="s">
        <v>709</v>
      </c>
      <c r="BD216" t="s">
        <v>862</v>
      </c>
      <c r="BE216" t="s">
        <v>709</v>
      </c>
      <c r="BF216" t="s">
        <v>709</v>
      </c>
      <c r="BG216" t="s">
        <v>709</v>
      </c>
      <c r="BI216" t="s">
        <v>709</v>
      </c>
      <c r="BJ216" t="s">
        <v>709</v>
      </c>
      <c r="BK216" t="s">
        <v>709</v>
      </c>
      <c r="BL216" t="s">
        <v>116</v>
      </c>
      <c r="BM216" t="s">
        <v>709</v>
      </c>
      <c r="BN216" t="s">
        <v>709</v>
      </c>
      <c r="BO216" t="s">
        <v>709</v>
      </c>
      <c r="BP216">
        <v>2574</v>
      </c>
      <c r="BQ216" t="s">
        <v>709</v>
      </c>
      <c r="BR216" t="s">
        <v>709</v>
      </c>
      <c r="BS216" t="s">
        <v>709</v>
      </c>
      <c r="BT216" t="s">
        <v>745</v>
      </c>
      <c r="BU216" t="s">
        <v>709</v>
      </c>
      <c r="BV216" t="s">
        <v>745</v>
      </c>
      <c r="BW216" t="s">
        <v>709</v>
      </c>
      <c r="BX216" t="s">
        <v>745</v>
      </c>
      <c r="BY216" t="s">
        <v>745</v>
      </c>
      <c r="BZ216" t="s">
        <v>709</v>
      </c>
      <c r="CB216">
        <v>214</v>
      </c>
      <c r="CC216" t="b">
        <v>1</v>
      </c>
      <c r="CD216" t="s">
        <v>2871</v>
      </c>
      <c r="CE216" s="1482">
        <v>45880.732685185183</v>
      </c>
    </row>
    <row r="217" spans="1:83" ht="270" x14ac:dyDescent="0.25">
      <c r="A217">
        <v>2021</v>
      </c>
      <c r="B217" t="s">
        <v>769</v>
      </c>
      <c r="C217" t="s">
        <v>2872</v>
      </c>
      <c r="D217" t="s">
        <v>2873</v>
      </c>
      <c r="E217" t="s">
        <v>1004</v>
      </c>
      <c r="F217" t="s">
        <v>919</v>
      </c>
      <c r="G217" t="s">
        <v>2765</v>
      </c>
      <c r="H217" t="s">
        <v>59</v>
      </c>
      <c r="I217">
        <v>44105</v>
      </c>
      <c r="J217">
        <v>44176</v>
      </c>
      <c r="K217">
        <v>44169</v>
      </c>
      <c r="L217">
        <v>7</v>
      </c>
      <c r="N217" t="s">
        <v>120</v>
      </c>
      <c r="O217">
        <v>44169</v>
      </c>
      <c r="P217" t="s">
        <v>739</v>
      </c>
      <c r="Q217">
        <v>18549.111499999999</v>
      </c>
      <c r="R217" t="s">
        <v>1055</v>
      </c>
      <c r="S217" t="s">
        <v>709</v>
      </c>
      <c r="T217" t="s">
        <v>709</v>
      </c>
      <c r="U217" t="s">
        <v>709</v>
      </c>
      <c r="V217">
        <v>12</v>
      </c>
      <c r="X217">
        <v>117962.25</v>
      </c>
      <c r="Z217">
        <v>9086.1200000000008</v>
      </c>
      <c r="AA217">
        <v>127048.37</v>
      </c>
      <c r="AC217" t="s">
        <v>116</v>
      </c>
      <c r="AM217" t="s">
        <v>116</v>
      </c>
      <c r="AN217">
        <v>44379</v>
      </c>
      <c r="AO217">
        <v>189935</v>
      </c>
      <c r="AP217">
        <v>98752.24</v>
      </c>
      <c r="AR217">
        <v>9086.1200000000008</v>
      </c>
      <c r="AS217">
        <v>107838.36</v>
      </c>
      <c r="AT217">
        <v>-19210.009999999998</v>
      </c>
      <c r="AU217">
        <v>-1632.8507999999999</v>
      </c>
      <c r="AV217" t="s">
        <v>709</v>
      </c>
      <c r="AW217" t="s">
        <v>2874</v>
      </c>
      <c r="AX217">
        <v>-1632.8507999999999</v>
      </c>
      <c r="AY217">
        <v>44501</v>
      </c>
      <c r="BA217" s="4" t="s">
        <v>2875</v>
      </c>
      <c r="BB217" t="s">
        <v>1113</v>
      </c>
      <c r="BC217" t="s">
        <v>709</v>
      </c>
      <c r="BD217" t="s">
        <v>862</v>
      </c>
      <c r="BE217" t="s">
        <v>709</v>
      </c>
      <c r="BF217" t="s">
        <v>709</v>
      </c>
      <c r="BG217" t="s">
        <v>709</v>
      </c>
      <c r="BI217" t="s">
        <v>709</v>
      </c>
      <c r="BJ217" t="s">
        <v>709</v>
      </c>
      <c r="BK217" t="s">
        <v>116</v>
      </c>
      <c r="BL217" t="s">
        <v>709</v>
      </c>
      <c r="BM217" t="s">
        <v>709</v>
      </c>
      <c r="BN217" t="s">
        <v>709</v>
      </c>
      <c r="BO217" t="s">
        <v>709</v>
      </c>
      <c r="BP217">
        <v>2</v>
      </c>
      <c r="BQ217">
        <v>12</v>
      </c>
      <c r="BR217" t="s">
        <v>709</v>
      </c>
      <c r="BS217" t="s">
        <v>709</v>
      </c>
      <c r="BT217" t="s">
        <v>709</v>
      </c>
      <c r="BU217" t="s">
        <v>709</v>
      </c>
      <c r="BV217" t="s">
        <v>709</v>
      </c>
      <c r="BW217" t="s">
        <v>709</v>
      </c>
      <c r="BX217">
        <v>1</v>
      </c>
      <c r="BY217" t="s">
        <v>709</v>
      </c>
      <c r="BZ217" t="s">
        <v>709</v>
      </c>
      <c r="CA217" t="s">
        <v>769</v>
      </c>
      <c r="CB217">
        <v>215</v>
      </c>
      <c r="CC217" t="b">
        <v>1</v>
      </c>
      <c r="CD217" t="s">
        <v>2876</v>
      </c>
      <c r="CE217" s="1482">
        <v>45880.732685185183</v>
      </c>
    </row>
    <row r="218" spans="1:83" x14ac:dyDescent="0.25">
      <c r="A218">
        <v>2020</v>
      </c>
      <c r="B218" t="s">
        <v>1073</v>
      </c>
      <c r="C218" t="s">
        <v>2877</v>
      </c>
      <c r="D218" t="s">
        <v>2878</v>
      </c>
      <c r="E218" t="s">
        <v>2375</v>
      </c>
      <c r="F218" t="s">
        <v>738</v>
      </c>
      <c r="G218" t="s">
        <v>36</v>
      </c>
      <c r="H218" t="s">
        <v>59</v>
      </c>
      <c r="I218">
        <v>44147</v>
      </c>
      <c r="J218">
        <v>44188</v>
      </c>
      <c r="K218">
        <v>44174</v>
      </c>
      <c r="L218">
        <v>14</v>
      </c>
      <c r="N218" t="s">
        <v>120</v>
      </c>
      <c r="O218">
        <v>44174</v>
      </c>
      <c r="P218" t="s">
        <v>739</v>
      </c>
      <c r="Q218">
        <v>6239</v>
      </c>
      <c r="R218" t="s">
        <v>1922</v>
      </c>
      <c r="S218">
        <v>284</v>
      </c>
      <c r="T218" t="s">
        <v>709</v>
      </c>
      <c r="U218">
        <v>5955</v>
      </c>
      <c r="V218">
        <v>0</v>
      </c>
      <c r="X218">
        <v>0</v>
      </c>
      <c r="Z218">
        <v>25525.73</v>
      </c>
      <c r="AA218">
        <v>25525.73</v>
      </c>
      <c r="AM218" t="s">
        <v>709</v>
      </c>
      <c r="AY218" t="s">
        <v>29</v>
      </c>
      <c r="BA218" t="s">
        <v>2879</v>
      </c>
      <c r="BI218" t="s">
        <v>709</v>
      </c>
      <c r="BJ218" t="s">
        <v>709</v>
      </c>
      <c r="BK218" t="s">
        <v>709</v>
      </c>
      <c r="BL218" t="s">
        <v>709</v>
      </c>
      <c r="BM218" t="s">
        <v>709</v>
      </c>
      <c r="BN218" t="s">
        <v>709</v>
      </c>
      <c r="BO218" t="s">
        <v>709</v>
      </c>
      <c r="BP218" t="s">
        <v>709</v>
      </c>
      <c r="BQ218" t="s">
        <v>709</v>
      </c>
      <c r="BR218" t="s">
        <v>709</v>
      </c>
      <c r="BS218" t="s">
        <v>709</v>
      </c>
      <c r="BT218" t="s">
        <v>745</v>
      </c>
      <c r="BU218" t="s">
        <v>709</v>
      </c>
      <c r="BV218" t="s">
        <v>745</v>
      </c>
      <c r="BW218" t="s">
        <v>709</v>
      </c>
      <c r="BX218" t="s">
        <v>745</v>
      </c>
      <c r="BY218" t="s">
        <v>709</v>
      </c>
      <c r="BZ218" t="s">
        <v>709</v>
      </c>
      <c r="CA218" t="s">
        <v>1146</v>
      </c>
      <c r="CB218">
        <v>216</v>
      </c>
      <c r="CC218" t="b">
        <v>1</v>
      </c>
      <c r="CD218" t="s">
        <v>2880</v>
      </c>
      <c r="CE218" s="1482">
        <v>45880.73269675926</v>
      </c>
    </row>
    <row r="219" spans="1:83" x14ac:dyDescent="0.25">
      <c r="A219">
        <v>2021</v>
      </c>
      <c r="B219" t="s">
        <v>4</v>
      </c>
      <c r="C219" t="s">
        <v>2881</v>
      </c>
      <c r="D219" t="s">
        <v>115</v>
      </c>
      <c r="E219" t="s">
        <v>2882</v>
      </c>
      <c r="F219" t="s">
        <v>738</v>
      </c>
      <c r="G219" t="s">
        <v>2814</v>
      </c>
      <c r="H219" t="s">
        <v>1681</v>
      </c>
      <c r="I219">
        <v>44140</v>
      </c>
      <c r="J219">
        <v>44203</v>
      </c>
      <c r="K219">
        <v>44176</v>
      </c>
      <c r="L219">
        <v>27</v>
      </c>
      <c r="N219" t="s">
        <v>120</v>
      </c>
      <c r="O219">
        <v>44176</v>
      </c>
      <c r="P219" t="s">
        <v>739</v>
      </c>
      <c r="Q219" t="s">
        <v>115</v>
      </c>
      <c r="R219" t="s">
        <v>115</v>
      </c>
      <c r="AA219">
        <v>0</v>
      </c>
      <c r="AM219" t="s">
        <v>709</v>
      </c>
      <c r="AY219" t="s">
        <v>29</v>
      </c>
      <c r="BA219" t="s">
        <v>2883</v>
      </c>
      <c r="BB219" t="s">
        <v>1156</v>
      </c>
      <c r="CB219">
        <v>217</v>
      </c>
      <c r="CC219" t="b">
        <v>1</v>
      </c>
      <c r="CD219" t="s">
        <v>2884</v>
      </c>
      <c r="CE219" s="1482">
        <v>45880.732708333337</v>
      </c>
    </row>
    <row r="220" spans="1:83" ht="270" x14ac:dyDescent="0.25">
      <c r="A220">
        <v>2021</v>
      </c>
      <c r="B220" t="s">
        <v>769</v>
      </c>
      <c r="C220" t="s">
        <v>154</v>
      </c>
      <c r="D220" t="s">
        <v>2885</v>
      </c>
      <c r="E220" t="s">
        <v>155</v>
      </c>
      <c r="F220" t="s">
        <v>738</v>
      </c>
      <c r="G220" t="s">
        <v>2765</v>
      </c>
      <c r="H220" t="s">
        <v>59</v>
      </c>
      <c r="I220">
        <v>44105</v>
      </c>
      <c r="J220">
        <v>44188</v>
      </c>
      <c r="K220">
        <v>44179</v>
      </c>
      <c r="L220">
        <v>9</v>
      </c>
      <c r="M220" t="s">
        <v>739</v>
      </c>
      <c r="N220" t="s">
        <v>120</v>
      </c>
      <c r="O220">
        <v>44179</v>
      </c>
      <c r="P220" t="s">
        <v>739</v>
      </c>
      <c r="Q220">
        <v>21126.897099999998</v>
      </c>
      <c r="R220" t="s">
        <v>1055</v>
      </c>
      <c r="V220">
        <v>11</v>
      </c>
      <c r="W220">
        <v>1</v>
      </c>
      <c r="X220">
        <v>139849.82999999999</v>
      </c>
      <c r="Z220">
        <v>17525.43</v>
      </c>
      <c r="AA220">
        <v>157375.26</v>
      </c>
      <c r="AC220" t="s">
        <v>116</v>
      </c>
      <c r="AM220" t="s">
        <v>116</v>
      </c>
      <c r="AN220">
        <v>44384</v>
      </c>
      <c r="AO220" t="s">
        <v>115</v>
      </c>
      <c r="AP220">
        <v>142338.04</v>
      </c>
      <c r="AR220">
        <v>19888.52</v>
      </c>
      <c r="AS220">
        <v>162226.56</v>
      </c>
      <c r="AT220">
        <v>4851.3</v>
      </c>
      <c r="AU220">
        <v>412.3605</v>
      </c>
      <c r="AV220" t="s">
        <v>709</v>
      </c>
      <c r="AW220" t="s">
        <v>2886</v>
      </c>
      <c r="AX220">
        <v>412.3605</v>
      </c>
      <c r="AY220">
        <v>44501</v>
      </c>
      <c r="BA220" s="4" t="s">
        <v>2887</v>
      </c>
      <c r="BB220" t="s">
        <v>1113</v>
      </c>
      <c r="BC220" t="s">
        <v>116</v>
      </c>
      <c r="BD220" t="s">
        <v>709</v>
      </c>
      <c r="BE220" t="s">
        <v>709</v>
      </c>
      <c r="BF220" t="s">
        <v>709</v>
      </c>
      <c r="BG220" t="s">
        <v>709</v>
      </c>
      <c r="BI220" t="s">
        <v>709</v>
      </c>
      <c r="BJ220" t="s">
        <v>709</v>
      </c>
      <c r="BK220" t="s">
        <v>709</v>
      </c>
      <c r="BL220" t="s">
        <v>116</v>
      </c>
      <c r="BM220" t="s">
        <v>709</v>
      </c>
      <c r="BN220" t="s">
        <v>709</v>
      </c>
      <c r="BO220" t="s">
        <v>709</v>
      </c>
      <c r="BP220" t="s">
        <v>709</v>
      </c>
      <c r="BQ220">
        <v>10</v>
      </c>
      <c r="BR220" t="s">
        <v>709</v>
      </c>
      <c r="BS220" t="s">
        <v>709</v>
      </c>
      <c r="BT220" t="s">
        <v>709</v>
      </c>
      <c r="BU220" t="s">
        <v>709</v>
      </c>
      <c r="BV220" t="s">
        <v>709</v>
      </c>
      <c r="BW220" t="s">
        <v>709</v>
      </c>
      <c r="BX220">
        <v>1</v>
      </c>
      <c r="BY220" t="s">
        <v>709</v>
      </c>
      <c r="BZ220" t="s">
        <v>709</v>
      </c>
      <c r="CA220" t="s">
        <v>769</v>
      </c>
      <c r="CB220">
        <v>218</v>
      </c>
      <c r="CC220" t="b">
        <v>1</v>
      </c>
      <c r="CD220" t="s">
        <v>2888</v>
      </c>
      <c r="CE220" s="1482">
        <v>45880.732708333337</v>
      </c>
    </row>
    <row r="221" spans="1:83" x14ac:dyDescent="0.25">
      <c r="A221">
        <v>2021</v>
      </c>
      <c r="B221" t="s">
        <v>1205</v>
      </c>
      <c r="C221" t="s">
        <v>2889</v>
      </c>
      <c r="D221" t="s">
        <v>2890</v>
      </c>
      <c r="E221" t="s">
        <v>386</v>
      </c>
      <c r="F221" t="s">
        <v>738</v>
      </c>
      <c r="G221" t="s">
        <v>2814</v>
      </c>
      <c r="H221" t="s">
        <v>59</v>
      </c>
      <c r="I221">
        <v>44126</v>
      </c>
      <c r="J221">
        <v>44204</v>
      </c>
      <c r="K221">
        <v>44179</v>
      </c>
      <c r="L221">
        <v>25</v>
      </c>
      <c r="M221" t="s">
        <v>739</v>
      </c>
      <c r="N221" t="s">
        <v>120</v>
      </c>
      <c r="O221">
        <v>44179</v>
      </c>
      <c r="P221" t="s">
        <v>739</v>
      </c>
      <c r="Q221">
        <v>8134.0847999999996</v>
      </c>
      <c r="R221">
        <v>0.09</v>
      </c>
      <c r="S221">
        <v>426</v>
      </c>
      <c r="U221">
        <v>9130</v>
      </c>
      <c r="X221">
        <v>69794.69</v>
      </c>
      <c r="Z221">
        <v>20584.03</v>
      </c>
      <c r="AA221">
        <v>90378.72</v>
      </c>
      <c r="AC221" t="s">
        <v>116</v>
      </c>
      <c r="AM221" t="s">
        <v>116</v>
      </c>
      <c r="AN221">
        <v>44434</v>
      </c>
      <c r="AO221">
        <v>190864</v>
      </c>
      <c r="AP221">
        <v>69794.69</v>
      </c>
      <c r="AR221">
        <v>20584.03</v>
      </c>
      <c r="AS221">
        <v>90378.72</v>
      </c>
      <c r="AT221">
        <v>0</v>
      </c>
      <c r="AU221">
        <v>0</v>
      </c>
      <c r="AV221" t="s">
        <v>709</v>
      </c>
      <c r="AY221" t="s">
        <v>1935</v>
      </c>
      <c r="BB221" t="s">
        <v>2891</v>
      </c>
      <c r="BC221" t="s">
        <v>709</v>
      </c>
      <c r="BD221" t="s">
        <v>709</v>
      </c>
      <c r="BE221" t="s">
        <v>2892</v>
      </c>
      <c r="BF221" t="s">
        <v>709</v>
      </c>
      <c r="BG221" t="s">
        <v>709</v>
      </c>
      <c r="BI221" t="s">
        <v>709</v>
      </c>
      <c r="BJ221" t="s">
        <v>709</v>
      </c>
      <c r="BK221" t="s">
        <v>116</v>
      </c>
      <c r="BL221" t="s">
        <v>709</v>
      </c>
      <c r="BM221" t="s">
        <v>709</v>
      </c>
      <c r="BN221" t="s">
        <v>709</v>
      </c>
      <c r="BO221" t="s">
        <v>709</v>
      </c>
      <c r="BP221" t="s">
        <v>709</v>
      </c>
      <c r="BQ221">
        <v>34</v>
      </c>
      <c r="BR221" t="s">
        <v>709</v>
      </c>
      <c r="BS221" t="s">
        <v>709</v>
      </c>
      <c r="BT221" t="s">
        <v>745</v>
      </c>
      <c r="BU221" t="s">
        <v>709</v>
      </c>
      <c r="BV221" t="s">
        <v>709</v>
      </c>
      <c r="BW221" t="s">
        <v>709</v>
      </c>
      <c r="BX221" t="s">
        <v>745</v>
      </c>
      <c r="BY221" t="s">
        <v>745</v>
      </c>
      <c r="BZ221" t="s">
        <v>709</v>
      </c>
      <c r="CB221">
        <v>219</v>
      </c>
      <c r="CC221" t="b">
        <v>1</v>
      </c>
      <c r="CD221" t="s">
        <v>2893</v>
      </c>
      <c r="CE221" s="1482">
        <v>45880.732719907406</v>
      </c>
    </row>
    <row r="222" spans="1:83" x14ac:dyDescent="0.25">
      <c r="A222">
        <v>2021</v>
      </c>
      <c r="B222" t="s">
        <v>4</v>
      </c>
      <c r="C222" t="s">
        <v>2894</v>
      </c>
      <c r="D222" t="s">
        <v>2895</v>
      </c>
      <c r="E222" t="s">
        <v>118</v>
      </c>
      <c r="F222" t="s">
        <v>738</v>
      </c>
      <c r="G222" t="s">
        <v>36</v>
      </c>
      <c r="H222" t="s">
        <v>59</v>
      </c>
      <c r="I222">
        <v>43979</v>
      </c>
      <c r="J222">
        <v>44183</v>
      </c>
      <c r="K222">
        <v>44182</v>
      </c>
      <c r="L222">
        <v>1</v>
      </c>
      <c r="N222" t="s">
        <v>120</v>
      </c>
      <c r="O222">
        <v>44182</v>
      </c>
      <c r="P222" t="s">
        <v>739</v>
      </c>
      <c r="Q222">
        <v>82323.960000000006</v>
      </c>
      <c r="R222">
        <v>0.1</v>
      </c>
      <c r="V222">
        <v>3150</v>
      </c>
      <c r="X222">
        <v>734769.05</v>
      </c>
      <c r="Z222">
        <v>88470.55</v>
      </c>
      <c r="AA222">
        <v>823239.6</v>
      </c>
      <c r="AM222" t="s">
        <v>116</v>
      </c>
      <c r="AN222">
        <v>44321</v>
      </c>
      <c r="AO222">
        <v>188665</v>
      </c>
      <c r="AP222">
        <v>733016.55</v>
      </c>
      <c r="AR222">
        <v>84916.33</v>
      </c>
      <c r="AS222">
        <v>817932.88</v>
      </c>
      <c r="AT222">
        <v>-5306.72</v>
      </c>
      <c r="AU222">
        <v>-530.67200000000003</v>
      </c>
      <c r="AV222" t="s">
        <v>709</v>
      </c>
      <c r="AW222" t="s">
        <v>2896</v>
      </c>
      <c r="AX222">
        <v>-530.67200000000003</v>
      </c>
      <c r="AY222">
        <v>44501</v>
      </c>
      <c r="BA222" t="s">
        <v>2897</v>
      </c>
      <c r="BB222" t="s">
        <v>2288</v>
      </c>
      <c r="BC222" t="s">
        <v>116</v>
      </c>
      <c r="BD222" t="s">
        <v>709</v>
      </c>
      <c r="BE222" t="s">
        <v>2898</v>
      </c>
      <c r="BF222" t="s">
        <v>709</v>
      </c>
      <c r="BG222" t="s">
        <v>709</v>
      </c>
      <c r="BI222" t="s">
        <v>709</v>
      </c>
      <c r="BJ222" t="s">
        <v>709</v>
      </c>
      <c r="BK222" t="s">
        <v>116</v>
      </c>
      <c r="BL222" t="s">
        <v>116</v>
      </c>
      <c r="BM222" t="s">
        <v>709</v>
      </c>
      <c r="BN222" t="s">
        <v>709</v>
      </c>
      <c r="BO222" t="s">
        <v>709</v>
      </c>
      <c r="BP222" t="s">
        <v>709</v>
      </c>
      <c r="BQ222" t="s">
        <v>709</v>
      </c>
      <c r="BR222">
        <v>1561</v>
      </c>
      <c r="BS222">
        <v>1589</v>
      </c>
      <c r="BT222" t="s">
        <v>745</v>
      </c>
      <c r="BU222" t="s">
        <v>709</v>
      </c>
      <c r="BV222" t="s">
        <v>745</v>
      </c>
      <c r="BW222" t="s">
        <v>709</v>
      </c>
      <c r="BX222" t="s">
        <v>745</v>
      </c>
      <c r="BY222" t="s">
        <v>745</v>
      </c>
      <c r="BZ222" t="s">
        <v>709</v>
      </c>
      <c r="CB222">
        <v>221</v>
      </c>
      <c r="CC222" t="b">
        <v>1</v>
      </c>
      <c r="CD222" t="s">
        <v>2899</v>
      </c>
      <c r="CE222" s="1482">
        <v>45880.732719907406</v>
      </c>
    </row>
    <row r="223" spans="1:83" ht="150" x14ac:dyDescent="0.25">
      <c r="A223">
        <v>2021</v>
      </c>
      <c r="B223" t="s">
        <v>1205</v>
      </c>
      <c r="C223" t="s">
        <v>2900</v>
      </c>
      <c r="D223" t="s">
        <v>2901</v>
      </c>
      <c r="E223" t="s">
        <v>1159</v>
      </c>
      <c r="F223" t="s">
        <v>919</v>
      </c>
      <c r="G223" t="s">
        <v>2743</v>
      </c>
      <c r="H223" t="s">
        <v>59</v>
      </c>
      <c r="I223">
        <v>44099</v>
      </c>
      <c r="J223">
        <v>44195</v>
      </c>
      <c r="K223">
        <v>44182</v>
      </c>
      <c r="L223">
        <v>13</v>
      </c>
      <c r="N223" t="s">
        <v>120</v>
      </c>
      <c r="O223">
        <v>44182</v>
      </c>
      <c r="P223" t="s">
        <v>739</v>
      </c>
      <c r="Q223">
        <v>20029.8933</v>
      </c>
      <c r="R223">
        <v>0.09</v>
      </c>
      <c r="V223">
        <v>513</v>
      </c>
      <c r="X223">
        <v>190770.46</v>
      </c>
      <c r="Z223">
        <v>31783.91</v>
      </c>
      <c r="AA223">
        <v>222554.37</v>
      </c>
      <c r="AC223" t="s">
        <v>116</v>
      </c>
      <c r="AM223" t="s">
        <v>116</v>
      </c>
      <c r="AN223">
        <v>44608</v>
      </c>
      <c r="AO223">
        <v>11031541</v>
      </c>
      <c r="AP223">
        <v>203924.93</v>
      </c>
      <c r="AR223">
        <v>41405.300000000003</v>
      </c>
      <c r="AS223">
        <v>245330.23</v>
      </c>
      <c r="AT223">
        <v>22775.86</v>
      </c>
      <c r="AU223">
        <v>2049.8274000000001</v>
      </c>
      <c r="AV223" t="s">
        <v>709</v>
      </c>
      <c r="AW223" t="s">
        <v>2902</v>
      </c>
      <c r="AX223">
        <v>2049.8274000000001</v>
      </c>
      <c r="AY223">
        <v>45008</v>
      </c>
      <c r="BA223" s="4" t="s">
        <v>2903</v>
      </c>
      <c r="BB223" t="s">
        <v>2904</v>
      </c>
      <c r="BC223" t="s">
        <v>709</v>
      </c>
      <c r="BD223" t="s">
        <v>2905</v>
      </c>
      <c r="BE223" t="s">
        <v>709</v>
      </c>
      <c r="BF223" t="s">
        <v>709</v>
      </c>
      <c r="BG223" t="s">
        <v>709</v>
      </c>
      <c r="BI223" t="s">
        <v>709</v>
      </c>
      <c r="BJ223" t="s">
        <v>709</v>
      </c>
      <c r="BK223" t="s">
        <v>116</v>
      </c>
      <c r="BL223" t="s">
        <v>709</v>
      </c>
      <c r="BM223" t="s">
        <v>709</v>
      </c>
      <c r="BN223" t="s">
        <v>709</v>
      </c>
      <c r="BO223" t="s">
        <v>709</v>
      </c>
      <c r="BP223" t="s">
        <v>709</v>
      </c>
      <c r="BQ223" t="s">
        <v>709</v>
      </c>
      <c r="BR223">
        <v>513</v>
      </c>
      <c r="BS223" t="s">
        <v>709</v>
      </c>
      <c r="BT223" t="s">
        <v>745</v>
      </c>
      <c r="BU223" t="s">
        <v>709</v>
      </c>
      <c r="BV223" t="s">
        <v>745</v>
      </c>
      <c r="BW223" t="s">
        <v>709</v>
      </c>
      <c r="BX223" t="s">
        <v>709</v>
      </c>
      <c r="BY223" t="s">
        <v>745</v>
      </c>
      <c r="BZ223" t="s">
        <v>709</v>
      </c>
      <c r="CB223">
        <v>220</v>
      </c>
      <c r="CC223" t="b">
        <v>1</v>
      </c>
      <c r="CD223" t="s">
        <v>2906</v>
      </c>
      <c r="CE223" s="1482">
        <v>45880.732731481483</v>
      </c>
    </row>
    <row r="224" spans="1:83" x14ac:dyDescent="0.25">
      <c r="A224">
        <v>2021</v>
      </c>
      <c r="B224" t="s">
        <v>1162</v>
      </c>
      <c r="C224" t="s">
        <v>2907</v>
      </c>
      <c r="D224" t="s">
        <v>2908</v>
      </c>
      <c r="E224" t="s">
        <v>1373</v>
      </c>
      <c r="F224" t="s">
        <v>738</v>
      </c>
      <c r="G224" t="s">
        <v>1882</v>
      </c>
      <c r="H224" t="s">
        <v>59</v>
      </c>
      <c r="I224">
        <v>44166</v>
      </c>
      <c r="J224">
        <v>44242</v>
      </c>
      <c r="K224">
        <v>44188</v>
      </c>
      <c r="L224">
        <v>54</v>
      </c>
      <c r="N224" t="s">
        <v>120</v>
      </c>
      <c r="O224">
        <v>44188</v>
      </c>
      <c r="P224" t="s">
        <v>739</v>
      </c>
      <c r="Q224">
        <v>9207.0439999999999</v>
      </c>
      <c r="R224">
        <v>7.0000000000000007E-2</v>
      </c>
      <c r="V224">
        <v>893</v>
      </c>
      <c r="X224">
        <v>105713.08</v>
      </c>
      <c r="Z224">
        <v>25816.12</v>
      </c>
      <c r="AA224">
        <v>131529.20000000001</v>
      </c>
      <c r="AM224" t="s">
        <v>116</v>
      </c>
      <c r="AN224">
        <v>44277</v>
      </c>
      <c r="AO224">
        <v>187908</v>
      </c>
      <c r="AP224">
        <v>106087.46</v>
      </c>
      <c r="AR224">
        <v>26117.9</v>
      </c>
      <c r="AS224">
        <v>132205.35999999999</v>
      </c>
      <c r="AT224">
        <v>676.16</v>
      </c>
      <c r="AU224">
        <v>47.331200000000003</v>
      </c>
      <c r="AV224" t="s">
        <v>709</v>
      </c>
      <c r="AW224" t="s">
        <v>2909</v>
      </c>
      <c r="AX224">
        <v>47.331200000000003</v>
      </c>
      <c r="AY224">
        <v>44501</v>
      </c>
      <c r="BA224" t="s">
        <v>2910</v>
      </c>
      <c r="BC224" t="s">
        <v>709</v>
      </c>
      <c r="BD224" t="s">
        <v>1626</v>
      </c>
      <c r="BE224" t="s">
        <v>1376</v>
      </c>
      <c r="BF224" t="s">
        <v>709</v>
      </c>
      <c r="BG224" t="s">
        <v>709</v>
      </c>
      <c r="BI224" t="s">
        <v>709</v>
      </c>
      <c r="BJ224" t="s">
        <v>709</v>
      </c>
      <c r="BK224" t="s">
        <v>709</v>
      </c>
      <c r="BL224" t="s">
        <v>116</v>
      </c>
      <c r="BM224" t="s">
        <v>709</v>
      </c>
      <c r="BN224" t="s">
        <v>709</v>
      </c>
      <c r="BO224" t="s">
        <v>709</v>
      </c>
      <c r="BP224" t="s">
        <v>709</v>
      </c>
      <c r="BQ224" t="s">
        <v>709</v>
      </c>
      <c r="BR224">
        <v>853</v>
      </c>
      <c r="BS224">
        <v>40</v>
      </c>
      <c r="BT224" t="s">
        <v>745</v>
      </c>
      <c r="BU224" t="s">
        <v>709</v>
      </c>
      <c r="BV224" t="s">
        <v>745</v>
      </c>
      <c r="BW224" t="s">
        <v>709</v>
      </c>
      <c r="BX224" t="s">
        <v>745</v>
      </c>
      <c r="BY224" t="s">
        <v>745</v>
      </c>
      <c r="BZ224" t="s">
        <v>709</v>
      </c>
      <c r="CB224">
        <v>222</v>
      </c>
      <c r="CC224" t="b">
        <v>1</v>
      </c>
      <c r="CD224" t="s">
        <v>2911</v>
      </c>
      <c r="CE224" s="1482">
        <v>45880.732731481483</v>
      </c>
    </row>
    <row r="225" spans="1:83" x14ac:dyDescent="0.25">
      <c r="A225">
        <v>2021</v>
      </c>
      <c r="B225" t="s">
        <v>4</v>
      </c>
      <c r="C225" t="s">
        <v>2912</v>
      </c>
      <c r="D225" t="s">
        <v>2913</v>
      </c>
      <c r="E225" t="s">
        <v>1032</v>
      </c>
      <c r="F225" t="s">
        <v>919</v>
      </c>
      <c r="G225" t="s">
        <v>2814</v>
      </c>
      <c r="H225" t="s">
        <v>59</v>
      </c>
      <c r="I225">
        <v>44140</v>
      </c>
      <c r="J225">
        <v>44203</v>
      </c>
      <c r="K225">
        <v>44202</v>
      </c>
      <c r="L225">
        <v>1</v>
      </c>
      <c r="N225" t="s">
        <v>120</v>
      </c>
      <c r="O225">
        <v>44202</v>
      </c>
      <c r="P225" t="s">
        <v>739</v>
      </c>
      <c r="Q225" t="s">
        <v>2045</v>
      </c>
      <c r="R225" t="s">
        <v>2045</v>
      </c>
      <c r="AC225" t="s">
        <v>709</v>
      </c>
      <c r="AM225" t="s">
        <v>709</v>
      </c>
      <c r="AY225" t="s">
        <v>29</v>
      </c>
      <c r="BA225" t="s">
        <v>2914</v>
      </c>
      <c r="BB225" t="s">
        <v>2083</v>
      </c>
      <c r="BC225" t="s">
        <v>709</v>
      </c>
      <c r="BD225" t="s">
        <v>709</v>
      </c>
      <c r="BE225" t="s">
        <v>1841</v>
      </c>
      <c r="BF225" t="s">
        <v>709</v>
      </c>
      <c r="BG225" t="s">
        <v>709</v>
      </c>
      <c r="BI225" t="s">
        <v>709</v>
      </c>
      <c r="BJ225" t="s">
        <v>709</v>
      </c>
      <c r="BK225" t="s">
        <v>709</v>
      </c>
      <c r="BL225" t="s">
        <v>116</v>
      </c>
      <c r="BM225" t="s">
        <v>709</v>
      </c>
      <c r="BN225" t="s">
        <v>709</v>
      </c>
      <c r="BO225" t="s">
        <v>709</v>
      </c>
      <c r="BP225" t="s">
        <v>709</v>
      </c>
      <c r="BQ225" t="s">
        <v>709</v>
      </c>
      <c r="BR225" t="s">
        <v>709</v>
      </c>
      <c r="BS225">
        <v>772</v>
      </c>
      <c r="BT225" t="s">
        <v>745</v>
      </c>
      <c r="BU225" t="s">
        <v>709</v>
      </c>
      <c r="BV225" t="s">
        <v>745</v>
      </c>
      <c r="BW225" t="s">
        <v>709</v>
      </c>
      <c r="BX225" t="s">
        <v>745</v>
      </c>
      <c r="BY225" t="s">
        <v>745</v>
      </c>
      <c r="BZ225" t="s">
        <v>709</v>
      </c>
      <c r="CB225">
        <v>223</v>
      </c>
      <c r="CC225" t="b">
        <v>1</v>
      </c>
      <c r="CD225" t="s">
        <v>2915</v>
      </c>
      <c r="CE225" s="1482">
        <v>45880.732743055552</v>
      </c>
    </row>
    <row r="226" spans="1:83" x14ac:dyDescent="0.25">
      <c r="A226">
        <v>2021</v>
      </c>
      <c r="B226" t="s">
        <v>4</v>
      </c>
      <c r="C226" t="s">
        <v>2912</v>
      </c>
      <c r="D226" t="s">
        <v>2916</v>
      </c>
      <c r="E226" t="s">
        <v>1032</v>
      </c>
      <c r="F226" t="s">
        <v>919</v>
      </c>
      <c r="G226" t="s">
        <v>2814</v>
      </c>
      <c r="H226" t="s">
        <v>59</v>
      </c>
      <c r="I226">
        <v>44140</v>
      </c>
      <c r="J226">
        <v>44203</v>
      </c>
      <c r="K226">
        <v>44202</v>
      </c>
      <c r="L226">
        <v>1</v>
      </c>
      <c r="N226" t="s">
        <v>120</v>
      </c>
      <c r="O226">
        <v>44202</v>
      </c>
      <c r="P226" t="s">
        <v>739</v>
      </c>
      <c r="Q226">
        <v>16896.385999999999</v>
      </c>
      <c r="R226">
        <v>0.1</v>
      </c>
      <c r="V226">
        <v>868</v>
      </c>
      <c r="X226">
        <v>152501.48000000001</v>
      </c>
      <c r="Z226">
        <v>16462.38</v>
      </c>
      <c r="AA226">
        <v>168963.86</v>
      </c>
      <c r="AC226" t="s">
        <v>709</v>
      </c>
      <c r="AM226" t="s">
        <v>116</v>
      </c>
      <c r="AN226">
        <v>44299</v>
      </c>
      <c r="AO226">
        <v>188220</v>
      </c>
      <c r="AP226">
        <v>135795.63</v>
      </c>
      <c r="AR226">
        <v>8777.93</v>
      </c>
      <c r="AS226">
        <v>144573.56</v>
      </c>
      <c r="AT226">
        <v>-24390.3</v>
      </c>
      <c r="AU226">
        <v>-2439.0300000000002</v>
      </c>
      <c r="AV226">
        <v>3637.5</v>
      </c>
      <c r="AW226" t="s">
        <v>2917</v>
      </c>
      <c r="AY226" t="s">
        <v>1935</v>
      </c>
      <c r="BA226" t="s">
        <v>2914</v>
      </c>
      <c r="BB226" t="s">
        <v>2083</v>
      </c>
      <c r="BC226" t="s">
        <v>709</v>
      </c>
      <c r="BD226" t="s">
        <v>709</v>
      </c>
      <c r="BE226" t="s">
        <v>1841</v>
      </c>
      <c r="BF226" t="s">
        <v>709</v>
      </c>
      <c r="BG226" t="s">
        <v>709</v>
      </c>
      <c r="BI226" t="s">
        <v>709</v>
      </c>
      <c r="BJ226" t="s">
        <v>709</v>
      </c>
      <c r="BK226" t="s">
        <v>709</v>
      </c>
      <c r="BL226" t="s">
        <v>116</v>
      </c>
      <c r="BM226" t="s">
        <v>709</v>
      </c>
      <c r="BN226" t="s">
        <v>709</v>
      </c>
      <c r="BO226" t="s">
        <v>709</v>
      </c>
      <c r="BP226" t="s">
        <v>709</v>
      </c>
      <c r="BQ226" t="s">
        <v>709</v>
      </c>
      <c r="BR226" t="s">
        <v>709</v>
      </c>
      <c r="BS226">
        <v>772</v>
      </c>
      <c r="BT226" t="s">
        <v>745</v>
      </c>
      <c r="BU226" t="s">
        <v>709</v>
      </c>
      <c r="BV226" t="s">
        <v>745</v>
      </c>
      <c r="BW226" t="s">
        <v>709</v>
      </c>
      <c r="BX226" t="s">
        <v>745</v>
      </c>
      <c r="BY226" t="s">
        <v>745</v>
      </c>
      <c r="BZ226" t="s">
        <v>709</v>
      </c>
      <c r="CB226">
        <v>224</v>
      </c>
      <c r="CC226" t="b">
        <v>1</v>
      </c>
      <c r="CD226" t="s">
        <v>2918</v>
      </c>
      <c r="CE226" s="1482">
        <v>45880.732743055552</v>
      </c>
    </row>
    <row r="227" spans="1:83" x14ac:dyDescent="0.25">
      <c r="A227">
        <v>2020</v>
      </c>
      <c r="B227" t="s">
        <v>4</v>
      </c>
      <c r="C227" t="s">
        <v>2068</v>
      </c>
      <c r="D227" t="s">
        <v>2919</v>
      </c>
      <c r="E227" t="s">
        <v>1159</v>
      </c>
      <c r="F227" t="s">
        <v>919</v>
      </c>
      <c r="G227" t="s">
        <v>2814</v>
      </c>
      <c r="H227" t="s">
        <v>59</v>
      </c>
      <c r="I227">
        <v>43661</v>
      </c>
      <c r="J227">
        <v>44211</v>
      </c>
      <c r="K227">
        <v>44203</v>
      </c>
      <c r="L227">
        <v>8</v>
      </c>
      <c r="N227" t="s">
        <v>120</v>
      </c>
      <c r="O227">
        <v>44203</v>
      </c>
      <c r="P227" t="s">
        <v>739</v>
      </c>
      <c r="Q227">
        <v>54505.366999999998</v>
      </c>
      <c r="R227">
        <v>0.1</v>
      </c>
      <c r="V227">
        <v>969</v>
      </c>
      <c r="X227">
        <v>506712.39</v>
      </c>
      <c r="Z227">
        <v>38341.279999999999</v>
      </c>
      <c r="AA227">
        <v>545053.67000000004</v>
      </c>
      <c r="AC227" t="s">
        <v>709</v>
      </c>
      <c r="AM227" t="s">
        <v>116</v>
      </c>
      <c r="AN227">
        <v>44327</v>
      </c>
      <c r="AO227">
        <v>189014</v>
      </c>
      <c r="AP227">
        <v>535414.76</v>
      </c>
      <c r="AR227">
        <v>38507.050000000003</v>
      </c>
      <c r="AS227">
        <v>573921.81000000006</v>
      </c>
      <c r="AT227">
        <v>28868.14</v>
      </c>
      <c r="AU227">
        <v>2886.8139999999999</v>
      </c>
      <c r="AV227" t="s">
        <v>709</v>
      </c>
      <c r="AW227" t="s">
        <v>2920</v>
      </c>
      <c r="AX227">
        <v>2886.8139999999999</v>
      </c>
      <c r="AY227">
        <v>44501</v>
      </c>
      <c r="BA227" t="s">
        <v>2921</v>
      </c>
      <c r="BB227" t="s">
        <v>1156</v>
      </c>
      <c r="BI227" t="s">
        <v>709</v>
      </c>
      <c r="BJ227" t="s">
        <v>709</v>
      </c>
      <c r="BK227" t="s">
        <v>709</v>
      </c>
      <c r="BL227" t="s">
        <v>116</v>
      </c>
      <c r="BM227" t="s">
        <v>709</v>
      </c>
      <c r="BN227">
        <v>432</v>
      </c>
      <c r="BO227" t="s">
        <v>709</v>
      </c>
      <c r="BP227" t="s">
        <v>709</v>
      </c>
      <c r="BQ227" t="s">
        <v>709</v>
      </c>
      <c r="BR227" t="s">
        <v>709</v>
      </c>
      <c r="BS227">
        <v>537</v>
      </c>
      <c r="BT227" t="s">
        <v>745</v>
      </c>
      <c r="BU227" t="s">
        <v>709</v>
      </c>
      <c r="BV227" t="s">
        <v>745</v>
      </c>
      <c r="BW227" t="s">
        <v>709</v>
      </c>
      <c r="BX227" t="s">
        <v>745</v>
      </c>
      <c r="BY227" t="s">
        <v>745</v>
      </c>
      <c r="BZ227" t="s">
        <v>709</v>
      </c>
      <c r="CB227">
        <v>225</v>
      </c>
      <c r="CC227" t="b">
        <v>1</v>
      </c>
      <c r="CD227" t="s">
        <v>2922</v>
      </c>
      <c r="CE227" s="1482">
        <v>45880.732754629629</v>
      </c>
    </row>
    <row r="228" spans="1:83" x14ac:dyDescent="0.25">
      <c r="A228">
        <v>2021</v>
      </c>
      <c r="B228" t="s">
        <v>4</v>
      </c>
      <c r="C228" t="s">
        <v>163</v>
      </c>
      <c r="D228" t="s">
        <v>2923</v>
      </c>
      <c r="E228" t="s">
        <v>164</v>
      </c>
      <c r="F228" t="s">
        <v>738</v>
      </c>
      <c r="G228" t="s">
        <v>2814</v>
      </c>
      <c r="H228" t="s">
        <v>59</v>
      </c>
      <c r="I228">
        <v>44126</v>
      </c>
      <c r="J228">
        <v>44204</v>
      </c>
      <c r="K228">
        <v>44203</v>
      </c>
      <c r="L228">
        <v>1</v>
      </c>
      <c r="M228" t="s">
        <v>739</v>
      </c>
      <c r="N228" t="s">
        <v>120</v>
      </c>
      <c r="O228">
        <v>44203</v>
      </c>
      <c r="P228" t="s">
        <v>739</v>
      </c>
      <c r="Q228">
        <v>58709.231</v>
      </c>
      <c r="R228">
        <v>0.1</v>
      </c>
      <c r="V228">
        <v>409</v>
      </c>
      <c r="X228">
        <v>541320.68999999994</v>
      </c>
      <c r="Z228">
        <v>45771.62</v>
      </c>
      <c r="AA228">
        <v>587092.31000000006</v>
      </c>
      <c r="AC228" t="s">
        <v>116</v>
      </c>
      <c r="AM228" t="s">
        <v>116</v>
      </c>
      <c r="AN228">
        <v>44299</v>
      </c>
      <c r="AO228">
        <v>186860</v>
      </c>
      <c r="AP228">
        <v>593100.06999999995</v>
      </c>
      <c r="AR228">
        <v>45893.36</v>
      </c>
      <c r="AS228">
        <v>638993.43000000005</v>
      </c>
      <c r="AT228">
        <v>51901.120000000003</v>
      </c>
      <c r="AU228">
        <v>5190.1120000000001</v>
      </c>
      <c r="AV228">
        <v>1962.5</v>
      </c>
      <c r="AW228" t="s">
        <v>2924</v>
      </c>
      <c r="AX228">
        <v>5190.1120000000001</v>
      </c>
      <c r="AY228">
        <v>44501</v>
      </c>
      <c r="BA228" t="s">
        <v>2925</v>
      </c>
      <c r="BB228" t="s">
        <v>1156</v>
      </c>
      <c r="BC228" t="s">
        <v>116</v>
      </c>
      <c r="BD228" t="s">
        <v>709</v>
      </c>
      <c r="BE228" t="s">
        <v>709</v>
      </c>
      <c r="BF228" t="s">
        <v>709</v>
      </c>
      <c r="BG228" t="s">
        <v>709</v>
      </c>
      <c r="BI228" t="s">
        <v>709</v>
      </c>
      <c r="BJ228" t="s">
        <v>709</v>
      </c>
      <c r="BK228" t="s">
        <v>709</v>
      </c>
      <c r="BL228" t="s">
        <v>116</v>
      </c>
      <c r="BM228">
        <v>381</v>
      </c>
      <c r="BN228" t="s">
        <v>709</v>
      </c>
      <c r="BO228" t="s">
        <v>709</v>
      </c>
      <c r="BP228" t="s">
        <v>709</v>
      </c>
      <c r="BQ228" t="s">
        <v>709</v>
      </c>
      <c r="BR228" t="s">
        <v>709</v>
      </c>
      <c r="BS228">
        <v>28</v>
      </c>
      <c r="BT228" t="s">
        <v>745</v>
      </c>
      <c r="BU228" t="s">
        <v>709</v>
      </c>
      <c r="BV228" t="s">
        <v>745</v>
      </c>
      <c r="BW228" t="s">
        <v>709</v>
      </c>
      <c r="BX228" t="s">
        <v>745</v>
      </c>
      <c r="BY228" t="s">
        <v>745</v>
      </c>
      <c r="BZ228" t="s">
        <v>709</v>
      </c>
      <c r="CB228">
        <v>226</v>
      </c>
      <c r="CC228" t="b">
        <v>1</v>
      </c>
      <c r="CD228" t="s">
        <v>2926</v>
      </c>
      <c r="CE228" s="1482">
        <v>45880.732766203706</v>
      </c>
    </row>
    <row r="229" spans="1:83" ht="195" x14ac:dyDescent="0.25">
      <c r="A229">
        <v>2021</v>
      </c>
      <c r="B229" t="s">
        <v>1108</v>
      </c>
      <c r="C229" t="s">
        <v>2927</v>
      </c>
      <c r="D229" t="s">
        <v>2928</v>
      </c>
      <c r="E229" t="s">
        <v>61</v>
      </c>
      <c r="F229" t="s">
        <v>738</v>
      </c>
      <c r="G229" t="s">
        <v>36</v>
      </c>
      <c r="H229" t="s">
        <v>2127</v>
      </c>
      <c r="I229">
        <v>44166</v>
      </c>
      <c r="J229">
        <v>44229</v>
      </c>
      <c r="K229">
        <v>44207</v>
      </c>
      <c r="L229">
        <v>22</v>
      </c>
      <c r="M229" t="s">
        <v>2929</v>
      </c>
      <c r="N229" t="s">
        <v>120</v>
      </c>
      <c r="O229">
        <v>44207</v>
      </c>
      <c r="P229" t="s">
        <v>739</v>
      </c>
      <c r="Q229" t="s">
        <v>115</v>
      </c>
      <c r="R229" t="s">
        <v>115</v>
      </c>
      <c r="AC229" t="s">
        <v>709</v>
      </c>
      <c r="AM229" t="s">
        <v>709</v>
      </c>
      <c r="AY229" t="s">
        <v>29</v>
      </c>
      <c r="BA229" s="4" t="s">
        <v>2930</v>
      </c>
      <c r="BB229" t="s">
        <v>2931</v>
      </c>
      <c r="BZ229" t="s">
        <v>709</v>
      </c>
      <c r="CA229" t="s">
        <v>2</v>
      </c>
      <c r="CB229">
        <v>227</v>
      </c>
      <c r="CC229" t="b">
        <v>1</v>
      </c>
      <c r="CD229" t="s">
        <v>2932</v>
      </c>
      <c r="CE229" s="1482">
        <v>45880.732766203706</v>
      </c>
    </row>
    <row r="230" spans="1:83" ht="255" x14ac:dyDescent="0.25">
      <c r="A230">
        <v>2021</v>
      </c>
      <c r="B230" t="s">
        <v>1108</v>
      </c>
      <c r="C230" t="s">
        <v>2933</v>
      </c>
      <c r="D230" t="s">
        <v>115</v>
      </c>
      <c r="E230" t="s">
        <v>393</v>
      </c>
      <c r="F230" t="s">
        <v>738</v>
      </c>
      <c r="G230" t="s">
        <v>40</v>
      </c>
      <c r="H230" t="s">
        <v>2127</v>
      </c>
      <c r="I230">
        <v>44176</v>
      </c>
      <c r="J230">
        <v>44245</v>
      </c>
      <c r="K230">
        <v>44208</v>
      </c>
      <c r="L230">
        <v>37</v>
      </c>
      <c r="N230" t="s">
        <v>120</v>
      </c>
      <c r="O230">
        <v>44208</v>
      </c>
      <c r="P230" t="s">
        <v>739</v>
      </c>
      <c r="Q230" t="s">
        <v>115</v>
      </c>
      <c r="R230" t="s">
        <v>115</v>
      </c>
      <c r="AC230" t="s">
        <v>709</v>
      </c>
      <c r="AM230" t="s">
        <v>709</v>
      </c>
      <c r="AY230" t="s">
        <v>29</v>
      </c>
      <c r="BA230" s="4" t="s">
        <v>2934</v>
      </c>
      <c r="BB230" t="s">
        <v>1174</v>
      </c>
      <c r="BZ230" t="s">
        <v>709</v>
      </c>
      <c r="CA230" t="s">
        <v>2</v>
      </c>
      <c r="CB230">
        <v>228</v>
      </c>
      <c r="CC230" t="b">
        <v>1</v>
      </c>
      <c r="CD230" t="s">
        <v>2935</v>
      </c>
      <c r="CE230" s="1482">
        <v>45880.732777777775</v>
      </c>
    </row>
    <row r="231" spans="1:83" ht="210" x14ac:dyDescent="0.25">
      <c r="A231">
        <v>2021</v>
      </c>
      <c r="B231" t="s">
        <v>1108</v>
      </c>
      <c r="C231" t="s">
        <v>2936</v>
      </c>
      <c r="D231" t="s">
        <v>115</v>
      </c>
      <c r="E231" t="s">
        <v>2937</v>
      </c>
      <c r="F231" t="s">
        <v>738</v>
      </c>
      <c r="G231" t="s">
        <v>40</v>
      </c>
      <c r="H231" t="s">
        <v>2127</v>
      </c>
      <c r="I231">
        <v>44188</v>
      </c>
      <c r="J231">
        <v>44274</v>
      </c>
      <c r="K231">
        <v>44209</v>
      </c>
      <c r="L231">
        <v>65</v>
      </c>
      <c r="M231" t="s">
        <v>2938</v>
      </c>
      <c r="N231" t="s">
        <v>120</v>
      </c>
      <c r="O231">
        <v>44209</v>
      </c>
      <c r="P231" t="s">
        <v>739</v>
      </c>
      <c r="Q231" t="s">
        <v>115</v>
      </c>
      <c r="R231" t="s">
        <v>115</v>
      </c>
      <c r="AC231" t="s">
        <v>709</v>
      </c>
      <c r="AM231" t="s">
        <v>709</v>
      </c>
      <c r="AY231" t="s">
        <v>29</v>
      </c>
      <c r="BA231" s="4" t="s">
        <v>2939</v>
      </c>
      <c r="BB231" t="s">
        <v>1174</v>
      </c>
      <c r="BZ231" t="s">
        <v>709</v>
      </c>
      <c r="CA231" t="s">
        <v>2</v>
      </c>
      <c r="CB231">
        <v>229</v>
      </c>
      <c r="CC231" t="b">
        <v>1</v>
      </c>
      <c r="CD231" t="s">
        <v>2940</v>
      </c>
      <c r="CE231" s="1482">
        <v>45880.732777777775</v>
      </c>
    </row>
    <row r="232" spans="1:83" x14ac:dyDescent="0.25">
      <c r="A232">
        <v>2019</v>
      </c>
      <c r="B232" t="s">
        <v>4</v>
      </c>
      <c r="C232" t="s">
        <v>2509</v>
      </c>
      <c r="D232" t="s">
        <v>2510</v>
      </c>
      <c r="E232" t="s">
        <v>2511</v>
      </c>
      <c r="F232" t="s">
        <v>738</v>
      </c>
      <c r="G232" t="s">
        <v>40</v>
      </c>
      <c r="H232" t="s">
        <v>2051</v>
      </c>
      <c r="I232">
        <v>43468</v>
      </c>
      <c r="J232" t="s">
        <v>2052</v>
      </c>
      <c r="K232">
        <v>44210</v>
      </c>
      <c r="L232">
        <v>742</v>
      </c>
      <c r="M232" t="s">
        <v>2941</v>
      </c>
      <c r="N232" t="s">
        <v>120</v>
      </c>
      <c r="O232">
        <v>44210</v>
      </c>
      <c r="P232" t="s">
        <v>739</v>
      </c>
      <c r="Q232">
        <v>710</v>
      </c>
      <c r="R232" t="s">
        <v>1922</v>
      </c>
      <c r="S232" t="s">
        <v>709</v>
      </c>
      <c r="T232" t="s">
        <v>709</v>
      </c>
      <c r="U232">
        <v>710</v>
      </c>
      <c r="AM232" t="s">
        <v>709</v>
      </c>
      <c r="AY232" t="s">
        <v>29</v>
      </c>
      <c r="BA232">
        <v>12</v>
      </c>
      <c r="BI232" t="s">
        <v>709</v>
      </c>
      <c r="BJ232" t="s">
        <v>709</v>
      </c>
      <c r="BK232" t="s">
        <v>709</v>
      </c>
      <c r="BL232" t="s">
        <v>116</v>
      </c>
      <c r="BM232" t="s">
        <v>709</v>
      </c>
      <c r="BN232" t="s">
        <v>709</v>
      </c>
      <c r="BO232" t="s">
        <v>709</v>
      </c>
      <c r="BP232" t="s">
        <v>709</v>
      </c>
      <c r="BQ232" t="s">
        <v>709</v>
      </c>
      <c r="BR232">
        <v>1626</v>
      </c>
      <c r="BS232" t="s">
        <v>709</v>
      </c>
      <c r="BT232" t="s">
        <v>745</v>
      </c>
      <c r="BU232" t="s">
        <v>709</v>
      </c>
      <c r="BV232" t="s">
        <v>745</v>
      </c>
      <c r="BW232" t="s">
        <v>709</v>
      </c>
      <c r="BX232" t="s">
        <v>745</v>
      </c>
      <c r="BY232" t="s">
        <v>745</v>
      </c>
      <c r="BZ232" t="s">
        <v>709</v>
      </c>
      <c r="CB232">
        <v>230</v>
      </c>
      <c r="CC232" t="b">
        <v>1</v>
      </c>
      <c r="CD232" t="s">
        <v>2942</v>
      </c>
      <c r="CE232" s="1482">
        <v>45880.732789351852</v>
      </c>
    </row>
    <row r="233" spans="1:83" ht="225" x14ac:dyDescent="0.25">
      <c r="A233">
        <v>2021</v>
      </c>
      <c r="B233" t="s">
        <v>1108</v>
      </c>
      <c r="C233" t="s">
        <v>2943</v>
      </c>
      <c r="D233" t="s">
        <v>2944</v>
      </c>
      <c r="E233" t="s">
        <v>2945</v>
      </c>
      <c r="F233" t="s">
        <v>738</v>
      </c>
      <c r="G233" t="s">
        <v>40</v>
      </c>
      <c r="H233" t="s">
        <v>2127</v>
      </c>
      <c r="I233">
        <v>44188</v>
      </c>
      <c r="J233">
        <v>44274</v>
      </c>
      <c r="K233">
        <v>44211</v>
      </c>
      <c r="L233">
        <v>63</v>
      </c>
      <c r="N233" t="s">
        <v>120</v>
      </c>
      <c r="O233">
        <v>44211</v>
      </c>
      <c r="P233" t="s">
        <v>739</v>
      </c>
      <c r="Q233" t="s">
        <v>115</v>
      </c>
      <c r="R233" t="s">
        <v>115</v>
      </c>
      <c r="AC233" t="s">
        <v>709</v>
      </c>
      <c r="AM233" t="s">
        <v>709</v>
      </c>
      <c r="AY233" t="s">
        <v>29</v>
      </c>
      <c r="BA233" s="4" t="s">
        <v>2946</v>
      </c>
      <c r="BB233" t="s">
        <v>1174</v>
      </c>
      <c r="BZ233" t="s">
        <v>709</v>
      </c>
      <c r="CA233" t="s">
        <v>2</v>
      </c>
      <c r="CB233">
        <v>231</v>
      </c>
      <c r="CC233" t="b">
        <v>1</v>
      </c>
      <c r="CD233" t="s">
        <v>2947</v>
      </c>
      <c r="CE233" s="1482">
        <v>45880.732800925929</v>
      </c>
    </row>
    <row r="234" spans="1:83" x14ac:dyDescent="0.25">
      <c r="A234">
        <v>2021</v>
      </c>
      <c r="B234" t="s">
        <v>4</v>
      </c>
      <c r="C234" t="s">
        <v>2948</v>
      </c>
      <c r="D234" t="s">
        <v>2949</v>
      </c>
      <c r="E234" t="s">
        <v>2786</v>
      </c>
      <c r="F234" t="s">
        <v>919</v>
      </c>
      <c r="G234" t="s">
        <v>40</v>
      </c>
      <c r="H234" t="s">
        <v>59</v>
      </c>
      <c r="I234">
        <v>44090</v>
      </c>
      <c r="J234">
        <v>44211</v>
      </c>
      <c r="K234">
        <v>44214</v>
      </c>
      <c r="L234">
        <v>0</v>
      </c>
      <c r="M234" t="s">
        <v>2950</v>
      </c>
      <c r="N234" t="s">
        <v>120</v>
      </c>
      <c r="O234">
        <v>44214</v>
      </c>
      <c r="P234" t="s">
        <v>739</v>
      </c>
      <c r="Q234">
        <v>310670.80200000003</v>
      </c>
      <c r="R234">
        <v>0.1</v>
      </c>
      <c r="V234">
        <v>7313</v>
      </c>
      <c r="X234">
        <v>3055025.4</v>
      </c>
      <c r="Z234">
        <v>51682.62</v>
      </c>
      <c r="AA234">
        <v>3106708.02</v>
      </c>
      <c r="AC234" t="s">
        <v>116</v>
      </c>
      <c r="AM234" t="s">
        <v>116</v>
      </c>
      <c r="AN234">
        <v>44314</v>
      </c>
      <c r="AO234">
        <v>188613</v>
      </c>
      <c r="AP234">
        <v>3100563.19</v>
      </c>
      <c r="AR234">
        <v>47760.57</v>
      </c>
      <c r="AS234">
        <v>3148323.76</v>
      </c>
      <c r="AT234">
        <v>41615.74</v>
      </c>
      <c r="AU234">
        <v>4161.5739999999996</v>
      </c>
      <c r="AV234">
        <v>2850</v>
      </c>
      <c r="AW234" t="s">
        <v>2951</v>
      </c>
      <c r="AX234">
        <v>4161.5739999999996</v>
      </c>
      <c r="AY234">
        <v>44501</v>
      </c>
      <c r="BA234" t="s">
        <v>2952</v>
      </c>
      <c r="BB234" t="s">
        <v>2953</v>
      </c>
      <c r="BC234" t="s">
        <v>116</v>
      </c>
      <c r="BD234" t="s">
        <v>709</v>
      </c>
      <c r="BE234" t="s">
        <v>2954</v>
      </c>
      <c r="BF234" t="s">
        <v>709</v>
      </c>
      <c r="BG234" t="s">
        <v>709</v>
      </c>
      <c r="BI234" t="s">
        <v>709</v>
      </c>
      <c r="BJ234" t="s">
        <v>709</v>
      </c>
      <c r="BK234" t="s">
        <v>709</v>
      </c>
      <c r="BL234" t="s">
        <v>116</v>
      </c>
      <c r="BM234" t="s">
        <v>709</v>
      </c>
      <c r="BN234" t="s">
        <v>709</v>
      </c>
      <c r="BO234" t="s">
        <v>709</v>
      </c>
      <c r="BP234">
        <v>328</v>
      </c>
      <c r="BQ234">
        <v>1665</v>
      </c>
      <c r="BR234">
        <v>3372</v>
      </c>
      <c r="BS234">
        <v>1858</v>
      </c>
      <c r="BT234">
        <v>1</v>
      </c>
      <c r="BU234" t="s">
        <v>709</v>
      </c>
      <c r="BV234" t="s">
        <v>709</v>
      </c>
      <c r="BW234" t="s">
        <v>709</v>
      </c>
      <c r="BX234">
        <v>1</v>
      </c>
      <c r="BY234" t="s">
        <v>709</v>
      </c>
      <c r="BZ234" t="s">
        <v>709</v>
      </c>
      <c r="CB234">
        <v>232</v>
      </c>
      <c r="CC234" t="b">
        <v>1</v>
      </c>
      <c r="CD234" t="s">
        <v>2955</v>
      </c>
      <c r="CE234" s="1482">
        <v>45880.732800925929</v>
      </c>
    </row>
    <row r="235" spans="1:83" x14ac:dyDescent="0.25">
      <c r="A235">
        <v>2021</v>
      </c>
      <c r="B235" t="s">
        <v>4</v>
      </c>
      <c r="C235" t="s">
        <v>159</v>
      </c>
      <c r="D235" t="s">
        <v>2868</v>
      </c>
      <c r="E235" t="s">
        <v>2032</v>
      </c>
      <c r="F235" t="s">
        <v>738</v>
      </c>
      <c r="G235" t="s">
        <v>2814</v>
      </c>
      <c r="H235" t="s">
        <v>2051</v>
      </c>
      <c r="I235">
        <v>44110</v>
      </c>
      <c r="J235" t="s">
        <v>2052</v>
      </c>
      <c r="K235">
        <v>44214</v>
      </c>
      <c r="L235">
        <v>104</v>
      </c>
      <c r="M235" t="s">
        <v>2956</v>
      </c>
      <c r="N235" t="s">
        <v>120</v>
      </c>
      <c r="O235">
        <v>44228</v>
      </c>
      <c r="P235" t="s">
        <v>739</v>
      </c>
      <c r="Q235">
        <v>7292.5</v>
      </c>
      <c r="R235" t="s">
        <v>1922</v>
      </c>
      <c r="S235" t="s">
        <v>709</v>
      </c>
      <c r="T235" t="s">
        <v>709</v>
      </c>
      <c r="U235">
        <v>7292.5</v>
      </c>
      <c r="V235">
        <v>2574</v>
      </c>
      <c r="AM235" t="s">
        <v>709</v>
      </c>
      <c r="AY235" t="s">
        <v>29</v>
      </c>
      <c r="BA235" s="4">
        <v>4</v>
      </c>
      <c r="BI235" t="s">
        <v>709</v>
      </c>
      <c r="BJ235" t="s">
        <v>709</v>
      </c>
      <c r="BK235" t="s">
        <v>709</v>
      </c>
      <c r="BL235" t="s">
        <v>116</v>
      </c>
      <c r="BM235" t="s">
        <v>709</v>
      </c>
      <c r="BN235" t="s">
        <v>709</v>
      </c>
      <c r="BO235" t="s">
        <v>709</v>
      </c>
      <c r="BP235">
        <v>2574</v>
      </c>
      <c r="BQ235" t="s">
        <v>709</v>
      </c>
      <c r="BR235" t="s">
        <v>709</v>
      </c>
      <c r="BS235" t="s">
        <v>709</v>
      </c>
      <c r="BT235" t="s">
        <v>745</v>
      </c>
      <c r="BU235" t="s">
        <v>709</v>
      </c>
      <c r="BV235" t="s">
        <v>745</v>
      </c>
      <c r="BW235" t="s">
        <v>709</v>
      </c>
      <c r="BX235" t="s">
        <v>745</v>
      </c>
      <c r="BY235" t="s">
        <v>745</v>
      </c>
      <c r="BZ235" t="s">
        <v>709</v>
      </c>
      <c r="CB235">
        <v>233</v>
      </c>
      <c r="CC235" t="b">
        <v>1</v>
      </c>
      <c r="CD235" t="s">
        <v>2957</v>
      </c>
      <c r="CE235" s="1482">
        <v>45880.732812499999</v>
      </c>
    </row>
    <row r="236" spans="1:83" x14ac:dyDescent="0.25">
      <c r="A236">
        <v>2020</v>
      </c>
      <c r="B236" t="s">
        <v>4</v>
      </c>
      <c r="C236" t="s">
        <v>2877</v>
      </c>
      <c r="D236" t="s">
        <v>2878</v>
      </c>
      <c r="E236" t="s">
        <v>2375</v>
      </c>
      <c r="F236" t="s">
        <v>738</v>
      </c>
      <c r="G236" t="s">
        <v>36</v>
      </c>
      <c r="H236" t="s">
        <v>2051</v>
      </c>
      <c r="I236">
        <v>44147</v>
      </c>
      <c r="J236" t="s">
        <v>2958</v>
      </c>
      <c r="K236">
        <v>44217</v>
      </c>
      <c r="L236">
        <v>70</v>
      </c>
      <c r="N236" t="s">
        <v>120</v>
      </c>
      <c r="O236">
        <v>44228</v>
      </c>
      <c r="P236" t="s">
        <v>739</v>
      </c>
      <c r="Q236">
        <v>2560.8890000000001</v>
      </c>
      <c r="R236">
        <v>0.1</v>
      </c>
      <c r="S236">
        <v>284</v>
      </c>
      <c r="T236" t="s">
        <v>709</v>
      </c>
      <c r="U236">
        <v>5955</v>
      </c>
      <c r="V236">
        <v>0</v>
      </c>
      <c r="X236">
        <v>0</v>
      </c>
      <c r="Z236">
        <v>25608.89</v>
      </c>
      <c r="AA236">
        <v>25608.89</v>
      </c>
      <c r="AC236" t="s">
        <v>709</v>
      </c>
      <c r="AE236" t="s">
        <v>29</v>
      </c>
      <c r="AF236" t="s">
        <v>29</v>
      </c>
      <c r="AG236" t="s">
        <v>29</v>
      </c>
      <c r="AH236" t="s">
        <v>29</v>
      </c>
      <c r="AM236" t="s">
        <v>709</v>
      </c>
      <c r="AY236" t="s">
        <v>29</v>
      </c>
      <c r="BA236" t="s">
        <v>2879</v>
      </c>
      <c r="BI236" t="s">
        <v>709</v>
      </c>
      <c r="BJ236" t="s">
        <v>709</v>
      </c>
      <c r="BK236" t="s">
        <v>709</v>
      </c>
      <c r="BL236" t="s">
        <v>709</v>
      </c>
      <c r="BM236" t="s">
        <v>709</v>
      </c>
      <c r="BN236" t="s">
        <v>709</v>
      </c>
      <c r="BO236" t="s">
        <v>709</v>
      </c>
      <c r="BP236" t="s">
        <v>709</v>
      </c>
      <c r="BQ236" t="s">
        <v>709</v>
      </c>
      <c r="BR236" t="s">
        <v>709</v>
      </c>
      <c r="BS236" t="s">
        <v>709</v>
      </c>
      <c r="BT236" t="s">
        <v>745</v>
      </c>
      <c r="BU236" t="s">
        <v>709</v>
      </c>
      <c r="BV236" t="s">
        <v>745</v>
      </c>
      <c r="BW236" t="s">
        <v>709</v>
      </c>
      <c r="BX236" t="s">
        <v>745</v>
      </c>
      <c r="BY236" t="s">
        <v>709</v>
      </c>
      <c r="BZ236" t="s">
        <v>709</v>
      </c>
      <c r="CA236" t="s">
        <v>1146</v>
      </c>
      <c r="CB236">
        <v>238</v>
      </c>
      <c r="CC236" t="b">
        <v>1</v>
      </c>
      <c r="CD236" t="s">
        <v>2959</v>
      </c>
      <c r="CE236" s="1482">
        <v>45880.732824074075</v>
      </c>
    </row>
    <row r="237" spans="1:83" x14ac:dyDescent="0.25">
      <c r="A237">
        <v>2020</v>
      </c>
      <c r="B237" t="s">
        <v>4</v>
      </c>
      <c r="C237" t="s">
        <v>187</v>
      </c>
      <c r="D237" t="s">
        <v>2798</v>
      </c>
      <c r="E237" t="s">
        <v>1164</v>
      </c>
      <c r="F237" t="s">
        <v>738</v>
      </c>
      <c r="G237" t="s">
        <v>40</v>
      </c>
      <c r="H237" t="s">
        <v>2051</v>
      </c>
      <c r="I237">
        <v>43742</v>
      </c>
      <c r="J237" t="s">
        <v>2052</v>
      </c>
      <c r="K237">
        <v>44217</v>
      </c>
      <c r="L237">
        <v>475</v>
      </c>
      <c r="M237" t="s">
        <v>2960</v>
      </c>
      <c r="N237" t="s">
        <v>120</v>
      </c>
      <c r="O237">
        <v>44228</v>
      </c>
      <c r="P237" t="s">
        <v>120</v>
      </c>
      <c r="Q237">
        <v>4942.5</v>
      </c>
      <c r="R237" t="s">
        <v>1922</v>
      </c>
      <c r="S237" t="s">
        <v>709</v>
      </c>
      <c r="T237" t="s">
        <v>709</v>
      </c>
      <c r="U237">
        <v>4942.5</v>
      </c>
      <c r="AM237" t="s">
        <v>709</v>
      </c>
      <c r="AY237" t="s">
        <v>29</v>
      </c>
      <c r="BA237" s="4">
        <v>3</v>
      </c>
      <c r="BI237" t="s">
        <v>709</v>
      </c>
      <c r="BJ237" t="s">
        <v>709</v>
      </c>
      <c r="BK237" t="s">
        <v>116</v>
      </c>
      <c r="BL237" t="s">
        <v>709</v>
      </c>
      <c r="BM237" t="s">
        <v>709</v>
      </c>
      <c r="BN237">
        <v>1644</v>
      </c>
      <c r="BO237" t="s">
        <v>709</v>
      </c>
      <c r="BP237" t="s">
        <v>709</v>
      </c>
      <c r="BQ237" t="s">
        <v>709</v>
      </c>
      <c r="BR237" t="s">
        <v>709</v>
      </c>
      <c r="BS237" t="s">
        <v>709</v>
      </c>
      <c r="BT237" t="s">
        <v>745</v>
      </c>
      <c r="BU237" t="s">
        <v>709</v>
      </c>
      <c r="BV237" t="s">
        <v>745</v>
      </c>
      <c r="BW237" t="s">
        <v>709</v>
      </c>
      <c r="BX237" t="s">
        <v>745</v>
      </c>
      <c r="BY237" t="s">
        <v>745</v>
      </c>
      <c r="BZ237" t="s">
        <v>709</v>
      </c>
      <c r="CB237">
        <v>237</v>
      </c>
      <c r="CC237" t="b">
        <v>1</v>
      </c>
      <c r="CD237" t="s">
        <v>2961</v>
      </c>
      <c r="CE237" s="1482">
        <v>45880.732824074075</v>
      </c>
    </row>
    <row r="238" spans="1:83" x14ac:dyDescent="0.25">
      <c r="A238">
        <v>2021</v>
      </c>
      <c r="B238" t="s">
        <v>769</v>
      </c>
      <c r="C238" t="s">
        <v>2962</v>
      </c>
      <c r="D238" t="s">
        <v>2928</v>
      </c>
      <c r="E238" t="s">
        <v>61</v>
      </c>
      <c r="F238" t="s">
        <v>738</v>
      </c>
      <c r="G238" t="s">
        <v>36</v>
      </c>
      <c r="H238" t="s">
        <v>59</v>
      </c>
      <c r="I238">
        <v>44068</v>
      </c>
      <c r="J238">
        <v>44229</v>
      </c>
      <c r="K238">
        <v>44217</v>
      </c>
      <c r="L238">
        <v>12</v>
      </c>
      <c r="N238" t="s">
        <v>120</v>
      </c>
      <c r="O238">
        <v>44228</v>
      </c>
      <c r="P238" t="s">
        <v>739</v>
      </c>
      <c r="Q238">
        <v>33388.940600000002</v>
      </c>
      <c r="R238" t="s">
        <v>794</v>
      </c>
      <c r="S238" t="s">
        <v>709</v>
      </c>
      <c r="T238" t="s">
        <v>709</v>
      </c>
      <c r="U238" t="s">
        <v>709</v>
      </c>
      <c r="V238">
        <v>1836</v>
      </c>
      <c r="X238">
        <v>279121.21999999997</v>
      </c>
      <c r="Z238">
        <v>51925.14</v>
      </c>
      <c r="AA238">
        <v>331046.36</v>
      </c>
      <c r="AC238" t="s">
        <v>709</v>
      </c>
      <c r="AM238" t="s">
        <v>116</v>
      </c>
      <c r="AN238">
        <v>44277</v>
      </c>
      <c r="AO238">
        <v>188801</v>
      </c>
      <c r="AP238">
        <v>289535.33</v>
      </c>
      <c r="AR238">
        <v>50691.18</v>
      </c>
      <c r="AS238">
        <v>340226.51</v>
      </c>
      <c r="AT238">
        <v>9180.15</v>
      </c>
      <c r="AU238">
        <v>780.31280000000004</v>
      </c>
      <c r="AV238" t="s">
        <v>709</v>
      </c>
      <c r="AW238" t="s">
        <v>2909</v>
      </c>
      <c r="AX238">
        <v>780.31280000000004</v>
      </c>
      <c r="AY238">
        <v>44501</v>
      </c>
      <c r="BA238" t="s">
        <v>2963</v>
      </c>
      <c r="BB238" t="s">
        <v>2964</v>
      </c>
      <c r="BC238" t="s">
        <v>709</v>
      </c>
      <c r="BD238" t="s">
        <v>709</v>
      </c>
      <c r="BE238" t="s">
        <v>2965</v>
      </c>
      <c r="BF238" t="s">
        <v>709</v>
      </c>
      <c r="BG238" t="s">
        <v>709</v>
      </c>
      <c r="BI238" t="s">
        <v>709</v>
      </c>
      <c r="BJ238" t="s">
        <v>709</v>
      </c>
      <c r="BK238" t="s">
        <v>709</v>
      </c>
      <c r="BL238" t="s">
        <v>116</v>
      </c>
      <c r="BM238" t="s">
        <v>709</v>
      </c>
      <c r="BN238" t="s">
        <v>709</v>
      </c>
      <c r="BO238" t="s">
        <v>709</v>
      </c>
      <c r="BP238" t="s">
        <v>709</v>
      </c>
      <c r="BQ238" t="s">
        <v>709</v>
      </c>
      <c r="BR238">
        <v>1701</v>
      </c>
      <c r="BS238">
        <v>135</v>
      </c>
      <c r="BT238" t="s">
        <v>709</v>
      </c>
      <c r="BU238" t="s">
        <v>709</v>
      </c>
      <c r="BV238" t="s">
        <v>709</v>
      </c>
      <c r="BW238" t="s">
        <v>709</v>
      </c>
      <c r="BX238" t="s">
        <v>709</v>
      </c>
      <c r="BY238" t="s">
        <v>709</v>
      </c>
      <c r="BZ238" t="s">
        <v>709</v>
      </c>
      <c r="CA238" t="s">
        <v>769</v>
      </c>
      <c r="CB238">
        <v>236</v>
      </c>
      <c r="CC238" t="b">
        <v>1</v>
      </c>
      <c r="CD238" t="s">
        <v>2966</v>
      </c>
      <c r="CE238" s="1482">
        <v>45880.732835648145</v>
      </c>
    </row>
    <row r="239" spans="1:83" x14ac:dyDescent="0.25">
      <c r="A239">
        <v>2021</v>
      </c>
      <c r="B239" t="s">
        <v>4</v>
      </c>
      <c r="C239" t="s">
        <v>2912</v>
      </c>
      <c r="D239" t="s">
        <v>2967</v>
      </c>
      <c r="E239" t="s">
        <v>1032</v>
      </c>
      <c r="F239" t="s">
        <v>919</v>
      </c>
      <c r="G239" t="s">
        <v>2814</v>
      </c>
      <c r="H239" t="s">
        <v>2051</v>
      </c>
      <c r="I239">
        <v>44140</v>
      </c>
      <c r="J239" t="s">
        <v>2052</v>
      </c>
      <c r="K239">
        <v>44217</v>
      </c>
      <c r="L239">
        <v>77</v>
      </c>
      <c r="M239" t="s">
        <v>2968</v>
      </c>
      <c r="N239" t="s">
        <v>120</v>
      </c>
      <c r="O239">
        <v>44228</v>
      </c>
      <c r="P239" t="s">
        <v>739</v>
      </c>
      <c r="Q239">
        <v>2590</v>
      </c>
      <c r="R239" t="s">
        <v>1922</v>
      </c>
      <c r="S239" t="s">
        <v>709</v>
      </c>
      <c r="T239" t="s">
        <v>709</v>
      </c>
      <c r="U239">
        <v>2590</v>
      </c>
      <c r="AM239" t="s">
        <v>709</v>
      </c>
      <c r="AY239" t="s">
        <v>29</v>
      </c>
      <c r="BA239">
        <v>4</v>
      </c>
      <c r="BI239" t="s">
        <v>709</v>
      </c>
      <c r="BJ239" t="s">
        <v>709</v>
      </c>
      <c r="BK239" t="s">
        <v>709</v>
      </c>
      <c r="BL239" t="s">
        <v>116</v>
      </c>
      <c r="BM239" t="s">
        <v>709</v>
      </c>
      <c r="BN239" t="s">
        <v>709</v>
      </c>
      <c r="BO239" t="s">
        <v>709</v>
      </c>
      <c r="BP239" t="s">
        <v>709</v>
      </c>
      <c r="BQ239" t="s">
        <v>709</v>
      </c>
      <c r="BR239" t="s">
        <v>709</v>
      </c>
      <c r="BS239">
        <v>868</v>
      </c>
      <c r="BT239" t="s">
        <v>745</v>
      </c>
      <c r="BU239" t="s">
        <v>709</v>
      </c>
      <c r="BV239" t="s">
        <v>745</v>
      </c>
      <c r="BW239" t="s">
        <v>709</v>
      </c>
      <c r="BX239" t="s">
        <v>745</v>
      </c>
      <c r="BY239" t="s">
        <v>745</v>
      </c>
      <c r="BZ239" t="s">
        <v>709</v>
      </c>
      <c r="CB239">
        <v>235</v>
      </c>
      <c r="CC239" t="b">
        <v>1</v>
      </c>
      <c r="CD239" t="s">
        <v>2969</v>
      </c>
      <c r="CE239" s="1482">
        <v>45880.732847222222</v>
      </c>
    </row>
    <row r="240" spans="1:83" x14ac:dyDescent="0.25">
      <c r="A240">
        <v>2021</v>
      </c>
      <c r="B240" t="s">
        <v>4</v>
      </c>
      <c r="C240" t="s">
        <v>1152</v>
      </c>
      <c r="D240" t="s">
        <v>1153</v>
      </c>
      <c r="E240" t="s">
        <v>1154</v>
      </c>
      <c r="F240" t="s">
        <v>919</v>
      </c>
      <c r="G240" t="s">
        <v>40</v>
      </c>
      <c r="H240" t="s">
        <v>59</v>
      </c>
      <c r="I240">
        <v>44166</v>
      </c>
      <c r="J240">
        <v>44217</v>
      </c>
      <c r="K240">
        <v>44217</v>
      </c>
      <c r="L240">
        <v>0</v>
      </c>
      <c r="N240" t="s">
        <v>120</v>
      </c>
      <c r="O240">
        <v>44214</v>
      </c>
      <c r="P240" t="s">
        <v>739</v>
      </c>
      <c r="Q240">
        <v>26108.262999999999</v>
      </c>
      <c r="R240">
        <v>0.1</v>
      </c>
      <c r="V240">
        <v>407</v>
      </c>
      <c r="X240">
        <v>253431.11</v>
      </c>
      <c r="Z240">
        <v>7651.52</v>
      </c>
      <c r="AA240">
        <v>261082.63</v>
      </c>
      <c r="AC240" t="s">
        <v>709</v>
      </c>
      <c r="AM240" t="s">
        <v>116</v>
      </c>
      <c r="AN240" t="s">
        <v>709</v>
      </c>
      <c r="AO240" t="s">
        <v>115</v>
      </c>
      <c r="AS240">
        <v>0</v>
      </c>
      <c r="AT240">
        <v>0</v>
      </c>
      <c r="AU240">
        <v>0</v>
      </c>
      <c r="AY240" t="s">
        <v>709</v>
      </c>
      <c r="AZ240">
        <v>56</v>
      </c>
      <c r="BA240" t="s">
        <v>1155</v>
      </c>
      <c r="BB240" t="s">
        <v>1156</v>
      </c>
      <c r="BC240" t="s">
        <v>709</v>
      </c>
      <c r="BD240" t="s">
        <v>709</v>
      </c>
      <c r="BE240" t="s">
        <v>709</v>
      </c>
      <c r="BF240" t="s">
        <v>1157</v>
      </c>
      <c r="BG240" t="s">
        <v>709</v>
      </c>
      <c r="BI240" t="s">
        <v>709</v>
      </c>
      <c r="BJ240" t="s">
        <v>709</v>
      </c>
      <c r="BK240" t="s">
        <v>709</v>
      </c>
      <c r="BL240" t="s">
        <v>116</v>
      </c>
      <c r="BM240" t="s">
        <v>709</v>
      </c>
      <c r="BN240" t="s">
        <v>709</v>
      </c>
      <c r="BO240" t="s">
        <v>709</v>
      </c>
      <c r="BP240" t="s">
        <v>709</v>
      </c>
      <c r="BQ240" t="s">
        <v>709</v>
      </c>
      <c r="BR240" t="s">
        <v>709</v>
      </c>
      <c r="BS240">
        <v>407</v>
      </c>
      <c r="BT240" t="s">
        <v>745</v>
      </c>
      <c r="BU240" t="s">
        <v>709</v>
      </c>
      <c r="BV240" t="s">
        <v>745</v>
      </c>
      <c r="BW240" t="s">
        <v>709</v>
      </c>
      <c r="BX240" t="s">
        <v>745</v>
      </c>
      <c r="BY240" t="s">
        <v>745</v>
      </c>
      <c r="BZ240" t="s">
        <v>709</v>
      </c>
      <c r="CB240">
        <v>234</v>
      </c>
      <c r="CC240" t="b">
        <v>1</v>
      </c>
      <c r="CD240" t="s">
        <v>2970</v>
      </c>
      <c r="CE240" s="1482">
        <v>45880.732847222222</v>
      </c>
    </row>
    <row r="241" spans="1:83" ht="180" x14ac:dyDescent="0.25">
      <c r="A241">
        <v>2020</v>
      </c>
      <c r="B241" t="s">
        <v>4</v>
      </c>
      <c r="C241" t="s">
        <v>2971</v>
      </c>
      <c r="D241" t="s">
        <v>2972</v>
      </c>
      <c r="E241" t="s">
        <v>1920</v>
      </c>
      <c r="F241" t="s">
        <v>919</v>
      </c>
      <c r="G241" t="s">
        <v>36</v>
      </c>
      <c r="H241" t="s">
        <v>2127</v>
      </c>
      <c r="I241">
        <v>43854</v>
      </c>
      <c r="J241">
        <v>44222</v>
      </c>
      <c r="K241">
        <v>44222</v>
      </c>
      <c r="L241">
        <v>0</v>
      </c>
      <c r="M241" t="s">
        <v>2973</v>
      </c>
      <c r="N241" t="s">
        <v>120</v>
      </c>
      <c r="O241">
        <v>44228</v>
      </c>
      <c r="P241" t="s">
        <v>739</v>
      </c>
      <c r="Q241" t="s">
        <v>115</v>
      </c>
      <c r="R241" t="s">
        <v>115</v>
      </c>
      <c r="AM241" t="s">
        <v>709</v>
      </c>
      <c r="AY241" t="s">
        <v>29</v>
      </c>
      <c r="BA241" s="4" t="s">
        <v>2974</v>
      </c>
      <c r="BB241" t="s">
        <v>2975</v>
      </c>
      <c r="BZ241" t="s">
        <v>709</v>
      </c>
      <c r="CA241" t="s">
        <v>915</v>
      </c>
      <c r="CB241">
        <v>240</v>
      </c>
      <c r="CC241" t="b">
        <v>1</v>
      </c>
      <c r="CD241" t="s">
        <v>2976</v>
      </c>
      <c r="CE241" s="1482">
        <v>45880.732858796298</v>
      </c>
    </row>
    <row r="242" spans="1:83" ht="120" x14ac:dyDescent="0.25">
      <c r="A242">
        <v>2020</v>
      </c>
      <c r="B242" t="s">
        <v>4</v>
      </c>
      <c r="C242" t="s">
        <v>2977</v>
      </c>
      <c r="D242" t="s">
        <v>2978</v>
      </c>
      <c r="E242" t="s">
        <v>1004</v>
      </c>
      <c r="F242" t="s">
        <v>919</v>
      </c>
      <c r="G242" t="s">
        <v>36</v>
      </c>
      <c r="H242" t="s">
        <v>2127</v>
      </c>
      <c r="I242">
        <v>44071</v>
      </c>
      <c r="J242">
        <v>44256</v>
      </c>
      <c r="K242">
        <v>44222</v>
      </c>
      <c r="L242">
        <v>34</v>
      </c>
      <c r="M242" t="s">
        <v>2979</v>
      </c>
      <c r="N242" t="s">
        <v>120</v>
      </c>
      <c r="O242">
        <v>44228</v>
      </c>
      <c r="P242" t="s">
        <v>739</v>
      </c>
      <c r="Q242" t="s">
        <v>115</v>
      </c>
      <c r="R242" t="s">
        <v>115</v>
      </c>
      <c r="AM242" t="s">
        <v>709</v>
      </c>
      <c r="AY242" t="s">
        <v>29</v>
      </c>
      <c r="BA242" s="4" t="s">
        <v>2980</v>
      </c>
      <c r="BB242" t="s">
        <v>2981</v>
      </c>
      <c r="BZ242" t="s">
        <v>709</v>
      </c>
      <c r="CA242" t="s">
        <v>915</v>
      </c>
      <c r="CB242">
        <v>242</v>
      </c>
      <c r="CC242" t="b">
        <v>1</v>
      </c>
      <c r="CD242" t="s">
        <v>2982</v>
      </c>
      <c r="CE242" s="1482">
        <v>45880.732870370368</v>
      </c>
    </row>
    <row r="243" spans="1:83" x14ac:dyDescent="0.25">
      <c r="A243">
        <v>2021</v>
      </c>
      <c r="B243" t="s">
        <v>4</v>
      </c>
      <c r="C243" t="s">
        <v>2983</v>
      </c>
      <c r="D243" t="s">
        <v>2984</v>
      </c>
      <c r="E243" t="s">
        <v>232</v>
      </c>
      <c r="F243" t="s">
        <v>919</v>
      </c>
      <c r="G243" t="s">
        <v>1882</v>
      </c>
      <c r="H243" t="s">
        <v>59</v>
      </c>
      <c r="I243">
        <v>44176</v>
      </c>
      <c r="J243">
        <v>44225</v>
      </c>
      <c r="K243">
        <v>44222</v>
      </c>
      <c r="L243">
        <v>3</v>
      </c>
      <c r="N243" t="s">
        <v>120</v>
      </c>
      <c r="O243">
        <v>44228</v>
      </c>
      <c r="P243" t="s">
        <v>739</v>
      </c>
      <c r="Q243">
        <v>31823.214</v>
      </c>
      <c r="R243">
        <v>0.1</v>
      </c>
      <c r="S243" t="s">
        <v>709</v>
      </c>
      <c r="T243" t="s">
        <v>709</v>
      </c>
      <c r="U243" t="s">
        <v>709</v>
      </c>
      <c r="V243">
        <v>1467</v>
      </c>
      <c r="X243">
        <v>294972.43</v>
      </c>
      <c r="Z243">
        <v>23259.71</v>
      </c>
      <c r="AA243">
        <v>318232.14</v>
      </c>
      <c r="AC243" t="s">
        <v>709</v>
      </c>
      <c r="AM243" t="s">
        <v>116</v>
      </c>
      <c r="AN243">
        <v>44263</v>
      </c>
      <c r="AO243">
        <v>187631</v>
      </c>
      <c r="AP243">
        <v>295004.64</v>
      </c>
      <c r="AR243">
        <v>23204.71</v>
      </c>
      <c r="AS243">
        <v>318209.34999999998</v>
      </c>
      <c r="AT243">
        <v>-22.79</v>
      </c>
      <c r="AU243">
        <v>-2.2789999999999999</v>
      </c>
      <c r="AV243" t="s">
        <v>709</v>
      </c>
      <c r="AW243" t="s">
        <v>2985</v>
      </c>
      <c r="AY243" t="s">
        <v>1935</v>
      </c>
      <c r="BA243" t="s">
        <v>2986</v>
      </c>
      <c r="BB243" t="s">
        <v>2372</v>
      </c>
      <c r="BC243" t="s">
        <v>116</v>
      </c>
      <c r="BD243" t="s">
        <v>709</v>
      </c>
      <c r="BE243" t="s">
        <v>595</v>
      </c>
      <c r="BF243" t="s">
        <v>709</v>
      </c>
      <c r="BG243" t="s">
        <v>709</v>
      </c>
      <c r="BI243" t="s">
        <v>709</v>
      </c>
      <c r="BJ243" t="s">
        <v>709</v>
      </c>
      <c r="BK243" t="s">
        <v>709</v>
      </c>
      <c r="BL243" t="s">
        <v>116</v>
      </c>
      <c r="BM243" t="s">
        <v>709</v>
      </c>
      <c r="BN243" t="s">
        <v>709</v>
      </c>
      <c r="BO243" t="s">
        <v>709</v>
      </c>
      <c r="BP243" t="s">
        <v>709</v>
      </c>
      <c r="BQ243" t="s">
        <v>709</v>
      </c>
      <c r="BR243" t="s">
        <v>709</v>
      </c>
      <c r="BS243">
        <v>1467</v>
      </c>
      <c r="BT243" t="s">
        <v>745</v>
      </c>
      <c r="BU243" t="s">
        <v>709</v>
      </c>
      <c r="BV243" t="s">
        <v>745</v>
      </c>
      <c r="BW243" t="s">
        <v>709</v>
      </c>
      <c r="BX243" t="s">
        <v>745</v>
      </c>
      <c r="BY243" t="s">
        <v>745</v>
      </c>
      <c r="BZ243" t="s">
        <v>709</v>
      </c>
      <c r="CB243">
        <v>239</v>
      </c>
      <c r="CC243" t="b">
        <v>1</v>
      </c>
      <c r="CD243" t="s">
        <v>2987</v>
      </c>
      <c r="CE243" s="1482">
        <v>45880.732881944445</v>
      </c>
    </row>
    <row r="244" spans="1:83" x14ac:dyDescent="0.25">
      <c r="A244">
        <v>2021</v>
      </c>
      <c r="B244" t="s">
        <v>4</v>
      </c>
      <c r="C244" t="s">
        <v>159</v>
      </c>
      <c r="D244" t="s">
        <v>2868</v>
      </c>
      <c r="E244" t="s">
        <v>2032</v>
      </c>
      <c r="F244" t="s">
        <v>738</v>
      </c>
      <c r="G244" t="s">
        <v>2814</v>
      </c>
      <c r="H244" t="s">
        <v>2051</v>
      </c>
      <c r="I244">
        <v>44110</v>
      </c>
      <c r="J244" t="s">
        <v>2052</v>
      </c>
      <c r="K244">
        <v>44222</v>
      </c>
      <c r="L244">
        <v>112</v>
      </c>
      <c r="M244" t="s">
        <v>2960</v>
      </c>
      <c r="N244" t="s">
        <v>120</v>
      </c>
      <c r="O244">
        <v>44228</v>
      </c>
      <c r="P244" t="s">
        <v>739</v>
      </c>
      <c r="Q244">
        <v>2082.5</v>
      </c>
      <c r="R244" t="s">
        <v>1922</v>
      </c>
      <c r="S244" t="s">
        <v>709</v>
      </c>
      <c r="T244" t="s">
        <v>709</v>
      </c>
      <c r="U244">
        <v>2082.5</v>
      </c>
      <c r="V244">
        <v>2574</v>
      </c>
      <c r="AM244" t="s">
        <v>709</v>
      </c>
      <c r="AY244" t="s">
        <v>29</v>
      </c>
      <c r="BA244">
        <v>3</v>
      </c>
      <c r="BI244" t="s">
        <v>709</v>
      </c>
      <c r="BJ244" t="s">
        <v>709</v>
      </c>
      <c r="BK244" t="s">
        <v>709</v>
      </c>
      <c r="BL244" t="s">
        <v>116</v>
      </c>
      <c r="BM244" t="s">
        <v>709</v>
      </c>
      <c r="BN244" t="s">
        <v>709</v>
      </c>
      <c r="BO244" t="s">
        <v>709</v>
      </c>
      <c r="BP244">
        <v>2574</v>
      </c>
      <c r="BQ244" t="s">
        <v>709</v>
      </c>
      <c r="BR244" t="s">
        <v>709</v>
      </c>
      <c r="BS244" t="s">
        <v>709</v>
      </c>
      <c r="BT244" t="s">
        <v>745</v>
      </c>
      <c r="BU244" t="s">
        <v>709</v>
      </c>
      <c r="BV244" t="s">
        <v>745</v>
      </c>
      <c r="BW244" t="s">
        <v>709</v>
      </c>
      <c r="BX244" t="s">
        <v>745</v>
      </c>
      <c r="BY244" t="s">
        <v>745</v>
      </c>
      <c r="BZ244" t="s">
        <v>709</v>
      </c>
      <c r="CB244">
        <v>241</v>
      </c>
      <c r="CC244" t="b">
        <v>1</v>
      </c>
      <c r="CD244" t="s">
        <v>2988</v>
      </c>
      <c r="CE244" s="1482">
        <v>45880.732881944445</v>
      </c>
    </row>
    <row r="245" spans="1:83" x14ac:dyDescent="0.25">
      <c r="A245">
        <v>2021</v>
      </c>
      <c r="B245" t="s">
        <v>2989</v>
      </c>
      <c r="C245" t="s">
        <v>2990</v>
      </c>
      <c r="D245" t="s">
        <v>2991</v>
      </c>
      <c r="E245" t="s">
        <v>2992</v>
      </c>
      <c r="F245" t="s">
        <v>919</v>
      </c>
      <c r="G245" t="s">
        <v>36</v>
      </c>
      <c r="H245" t="s">
        <v>59</v>
      </c>
      <c r="I245">
        <v>44126</v>
      </c>
      <c r="J245">
        <v>44232</v>
      </c>
      <c r="K245">
        <v>44224</v>
      </c>
      <c r="L245">
        <v>8</v>
      </c>
      <c r="N245" t="s">
        <v>120</v>
      </c>
      <c r="O245">
        <v>44228</v>
      </c>
      <c r="P245" t="s">
        <v>739</v>
      </c>
      <c r="Q245">
        <v>18463.394700000001</v>
      </c>
      <c r="R245">
        <v>0.09</v>
      </c>
      <c r="S245" t="s">
        <v>709</v>
      </c>
      <c r="T245" t="s">
        <v>709</v>
      </c>
      <c r="U245" t="s">
        <v>709</v>
      </c>
      <c r="V245">
        <v>297</v>
      </c>
      <c r="X245">
        <v>192330.53</v>
      </c>
      <c r="Z245">
        <v>12818.3</v>
      </c>
      <c r="AA245">
        <v>205148.83</v>
      </c>
      <c r="AC245" t="s">
        <v>709</v>
      </c>
      <c r="AM245" t="s">
        <v>116</v>
      </c>
      <c r="AN245">
        <v>44475</v>
      </c>
      <c r="AO245">
        <v>186866</v>
      </c>
      <c r="AP245">
        <v>192330.53</v>
      </c>
      <c r="AR245">
        <v>12818.3</v>
      </c>
      <c r="AS245">
        <v>205148.83</v>
      </c>
      <c r="AT245">
        <v>0</v>
      </c>
      <c r="AU245">
        <v>0</v>
      </c>
      <c r="AV245" t="s">
        <v>709</v>
      </c>
      <c r="AY245" t="s">
        <v>1935</v>
      </c>
      <c r="BA245" t="s">
        <v>2993</v>
      </c>
      <c r="BB245" t="s">
        <v>2994</v>
      </c>
      <c r="BC245" t="s">
        <v>116</v>
      </c>
      <c r="BD245" t="s">
        <v>709</v>
      </c>
      <c r="BE245" t="s">
        <v>2995</v>
      </c>
      <c r="BF245" t="s">
        <v>709</v>
      </c>
      <c r="BG245" t="s">
        <v>2837</v>
      </c>
      <c r="BI245" t="s">
        <v>709</v>
      </c>
      <c r="BJ245" t="s">
        <v>709</v>
      </c>
      <c r="BK245" t="s">
        <v>116</v>
      </c>
      <c r="BL245" t="s">
        <v>709</v>
      </c>
      <c r="BM245" t="s">
        <v>709</v>
      </c>
      <c r="BN245" t="s">
        <v>709</v>
      </c>
      <c r="BO245" t="s">
        <v>709</v>
      </c>
      <c r="BP245" t="s">
        <v>709</v>
      </c>
      <c r="BQ245" t="s">
        <v>709</v>
      </c>
      <c r="BR245">
        <v>297</v>
      </c>
      <c r="BS245" t="s">
        <v>709</v>
      </c>
      <c r="BT245" t="s">
        <v>709</v>
      </c>
      <c r="BU245" t="s">
        <v>709</v>
      </c>
      <c r="BV245" t="s">
        <v>709</v>
      </c>
      <c r="BW245" t="s">
        <v>709</v>
      </c>
      <c r="BX245" t="s">
        <v>709</v>
      </c>
      <c r="BY245" t="s">
        <v>709</v>
      </c>
      <c r="BZ245" t="s">
        <v>709</v>
      </c>
      <c r="CA245" t="s">
        <v>2</v>
      </c>
      <c r="CB245">
        <v>243</v>
      </c>
      <c r="CC245" t="b">
        <v>1</v>
      </c>
      <c r="CD245" t="s">
        <v>2996</v>
      </c>
      <c r="CE245" s="1482">
        <v>45880.732893518521</v>
      </c>
    </row>
    <row r="246" spans="1:83" x14ac:dyDescent="0.25">
      <c r="A246">
        <v>2020</v>
      </c>
      <c r="B246" t="s">
        <v>4</v>
      </c>
      <c r="C246" t="s">
        <v>2997</v>
      </c>
      <c r="D246" t="s">
        <v>2998</v>
      </c>
      <c r="E246" t="s">
        <v>249</v>
      </c>
      <c r="F246" t="s">
        <v>738</v>
      </c>
      <c r="G246" t="s">
        <v>40</v>
      </c>
      <c r="H246" t="s">
        <v>59</v>
      </c>
      <c r="I246">
        <v>43661</v>
      </c>
      <c r="J246">
        <v>44228</v>
      </c>
      <c r="K246">
        <v>44228</v>
      </c>
      <c r="L246">
        <v>0</v>
      </c>
      <c r="N246" t="s">
        <v>120</v>
      </c>
      <c r="O246">
        <v>44228</v>
      </c>
      <c r="P246" t="s">
        <v>739</v>
      </c>
      <c r="Q246">
        <v>3990.4270000000001</v>
      </c>
      <c r="R246">
        <v>0.1</v>
      </c>
      <c r="S246" t="s">
        <v>709</v>
      </c>
      <c r="T246" t="s">
        <v>709</v>
      </c>
      <c r="U246" t="s">
        <v>709</v>
      </c>
      <c r="V246">
        <v>0</v>
      </c>
      <c r="X246">
        <v>0</v>
      </c>
      <c r="Z246">
        <v>39904.269999999997</v>
      </c>
      <c r="AA246">
        <v>39904.269999999997</v>
      </c>
      <c r="AC246" t="s">
        <v>709</v>
      </c>
      <c r="AM246" t="s">
        <v>116</v>
      </c>
      <c r="AN246">
        <v>44299</v>
      </c>
      <c r="AO246">
        <v>188891</v>
      </c>
      <c r="AP246">
        <v>0</v>
      </c>
      <c r="AR246">
        <v>49892.15</v>
      </c>
      <c r="AS246">
        <v>49892.15</v>
      </c>
      <c r="AT246">
        <v>9987.8799999999992</v>
      </c>
      <c r="AU246">
        <v>998.78800000000001</v>
      </c>
      <c r="AV246" t="s">
        <v>709</v>
      </c>
      <c r="AW246" t="s">
        <v>2550</v>
      </c>
      <c r="AX246">
        <v>998.78800000000001</v>
      </c>
      <c r="AY246">
        <v>44501</v>
      </c>
      <c r="BA246" t="s">
        <v>2999</v>
      </c>
      <c r="BB246" t="s">
        <v>3000</v>
      </c>
      <c r="BI246" t="s">
        <v>709</v>
      </c>
      <c r="BJ246" t="s">
        <v>709</v>
      </c>
      <c r="BK246" t="s">
        <v>709</v>
      </c>
      <c r="BL246" t="s">
        <v>709</v>
      </c>
      <c r="BM246" t="s">
        <v>709</v>
      </c>
      <c r="BN246" t="s">
        <v>709</v>
      </c>
      <c r="BO246" t="s">
        <v>709</v>
      </c>
      <c r="BP246" t="s">
        <v>709</v>
      </c>
      <c r="BQ246" t="s">
        <v>709</v>
      </c>
      <c r="BR246" t="s">
        <v>709</v>
      </c>
      <c r="BS246" t="s">
        <v>709</v>
      </c>
      <c r="BT246" t="s">
        <v>745</v>
      </c>
      <c r="BU246" t="s">
        <v>709</v>
      </c>
      <c r="BV246" t="s">
        <v>745</v>
      </c>
      <c r="BW246" t="s">
        <v>709</v>
      </c>
      <c r="BX246" t="s">
        <v>745</v>
      </c>
      <c r="BY246" t="s">
        <v>745</v>
      </c>
      <c r="BZ246" t="s">
        <v>709</v>
      </c>
      <c r="CA246" t="s">
        <v>1146</v>
      </c>
      <c r="CB246">
        <v>246</v>
      </c>
      <c r="CC246" t="b">
        <v>1</v>
      </c>
      <c r="CD246" t="s">
        <v>3001</v>
      </c>
      <c r="CE246" s="1482">
        <v>45880.732905092591</v>
      </c>
    </row>
    <row r="247" spans="1:83" x14ac:dyDescent="0.25">
      <c r="A247">
        <v>2021</v>
      </c>
      <c r="B247" t="s">
        <v>4</v>
      </c>
      <c r="C247" t="s">
        <v>2948</v>
      </c>
      <c r="D247" t="s">
        <v>2949</v>
      </c>
      <c r="E247" t="s">
        <v>2786</v>
      </c>
      <c r="F247" t="s">
        <v>919</v>
      </c>
      <c r="G247" t="s">
        <v>40</v>
      </c>
      <c r="H247" t="s">
        <v>2051</v>
      </c>
      <c r="I247">
        <v>44090</v>
      </c>
      <c r="J247" t="s">
        <v>2052</v>
      </c>
      <c r="K247">
        <v>44228</v>
      </c>
      <c r="L247">
        <v>138</v>
      </c>
      <c r="M247" t="s">
        <v>3002</v>
      </c>
      <c r="N247" t="s">
        <v>120</v>
      </c>
      <c r="O247">
        <v>44228</v>
      </c>
      <c r="P247" t="s">
        <v>739</v>
      </c>
      <c r="Q247">
        <v>2850</v>
      </c>
      <c r="R247" t="s">
        <v>1922</v>
      </c>
      <c r="S247" t="s">
        <v>709</v>
      </c>
      <c r="T247" t="s">
        <v>709</v>
      </c>
      <c r="U247">
        <v>2850</v>
      </c>
      <c r="V247">
        <v>7313</v>
      </c>
      <c r="X247">
        <v>3055025.4</v>
      </c>
      <c r="Z247">
        <v>51682.62</v>
      </c>
      <c r="AA247">
        <v>3106708.02</v>
      </c>
      <c r="AM247" t="s">
        <v>709</v>
      </c>
      <c r="AY247" t="s">
        <v>29</v>
      </c>
      <c r="BA247">
        <v>4</v>
      </c>
      <c r="BI247" t="s">
        <v>709</v>
      </c>
      <c r="BJ247" t="s">
        <v>709</v>
      </c>
      <c r="BK247" t="s">
        <v>709</v>
      </c>
      <c r="BL247" t="s">
        <v>116</v>
      </c>
      <c r="BM247" t="s">
        <v>709</v>
      </c>
      <c r="BN247" t="s">
        <v>709</v>
      </c>
      <c r="BO247" t="s">
        <v>709</v>
      </c>
      <c r="BP247">
        <v>328</v>
      </c>
      <c r="BQ247">
        <v>1665</v>
      </c>
      <c r="BR247">
        <v>3372</v>
      </c>
      <c r="BS247">
        <v>1858</v>
      </c>
      <c r="BT247">
        <v>1</v>
      </c>
      <c r="BU247" t="s">
        <v>709</v>
      </c>
      <c r="BV247" t="s">
        <v>709</v>
      </c>
      <c r="BW247" t="s">
        <v>709</v>
      </c>
      <c r="BX247">
        <v>1</v>
      </c>
      <c r="BY247" t="s">
        <v>709</v>
      </c>
      <c r="BZ247" t="s">
        <v>709</v>
      </c>
      <c r="CB247">
        <v>244</v>
      </c>
      <c r="CC247" t="b">
        <v>1</v>
      </c>
      <c r="CD247" t="s">
        <v>3003</v>
      </c>
      <c r="CE247" s="1482">
        <v>45880.732905092591</v>
      </c>
    </row>
    <row r="248" spans="1:83" ht="409.5" x14ac:dyDescent="0.25">
      <c r="A248">
        <v>2021</v>
      </c>
      <c r="B248" t="s">
        <v>4</v>
      </c>
      <c r="C248" t="s">
        <v>201</v>
      </c>
      <c r="D248" t="s">
        <v>3004</v>
      </c>
      <c r="E248" t="s">
        <v>202</v>
      </c>
      <c r="F248" t="s">
        <v>919</v>
      </c>
      <c r="G248" t="s">
        <v>2743</v>
      </c>
      <c r="H248" t="s">
        <v>59</v>
      </c>
      <c r="I248">
        <v>44099</v>
      </c>
      <c r="J248">
        <v>44225</v>
      </c>
      <c r="K248">
        <v>44228</v>
      </c>
      <c r="L248">
        <v>0</v>
      </c>
      <c r="M248" t="s">
        <v>3005</v>
      </c>
      <c r="N248" t="s">
        <v>120</v>
      </c>
      <c r="O248">
        <v>44228</v>
      </c>
      <c r="P248" t="s">
        <v>739</v>
      </c>
      <c r="Q248">
        <v>143325.239</v>
      </c>
      <c r="R248">
        <v>0.1</v>
      </c>
      <c r="S248" t="s">
        <v>709</v>
      </c>
      <c r="U248" t="s">
        <v>709</v>
      </c>
      <c r="V248">
        <v>2439</v>
      </c>
      <c r="X248">
        <v>1336924.7</v>
      </c>
      <c r="Z248">
        <v>96327.69</v>
      </c>
      <c r="AA248">
        <v>1433252.39</v>
      </c>
      <c r="AC248" t="s">
        <v>116</v>
      </c>
      <c r="AM248" t="s">
        <v>116</v>
      </c>
      <c r="AN248">
        <v>44652</v>
      </c>
      <c r="AO248">
        <v>11030688</v>
      </c>
      <c r="AP248">
        <v>1513553.47</v>
      </c>
      <c r="AR248">
        <v>112482.08</v>
      </c>
      <c r="AS248">
        <v>1626035.55</v>
      </c>
      <c r="AT248">
        <v>192783.16</v>
      </c>
      <c r="AU248">
        <v>19278.315999999999</v>
      </c>
      <c r="AV248" t="s">
        <v>709</v>
      </c>
      <c r="AW248" t="s">
        <v>2219</v>
      </c>
      <c r="AX248">
        <v>19278.315999999999</v>
      </c>
      <c r="AY248">
        <v>45008</v>
      </c>
      <c r="BA248" s="4" t="s">
        <v>3006</v>
      </c>
      <c r="BB248" s="4" t="s">
        <v>3007</v>
      </c>
      <c r="BC248" t="s">
        <v>116</v>
      </c>
      <c r="BD248" t="s">
        <v>709</v>
      </c>
      <c r="BE248" t="s">
        <v>3008</v>
      </c>
      <c r="BF248" t="s">
        <v>709</v>
      </c>
      <c r="BG248" t="s">
        <v>709</v>
      </c>
      <c r="BI248" t="s">
        <v>709</v>
      </c>
      <c r="BJ248" t="s">
        <v>709</v>
      </c>
      <c r="BK248" t="s">
        <v>116</v>
      </c>
      <c r="BL248" t="s">
        <v>116</v>
      </c>
      <c r="BM248" t="s">
        <v>709</v>
      </c>
      <c r="BN248">
        <v>1197</v>
      </c>
      <c r="BO248" t="s">
        <v>709</v>
      </c>
      <c r="BP248" t="s">
        <v>709</v>
      </c>
      <c r="BQ248">
        <v>519</v>
      </c>
      <c r="BR248">
        <v>33</v>
      </c>
      <c r="BS248">
        <v>690</v>
      </c>
      <c r="BT248" t="s">
        <v>745</v>
      </c>
      <c r="BU248" t="s">
        <v>709</v>
      </c>
      <c r="BV248" t="s">
        <v>745</v>
      </c>
      <c r="BW248" t="s">
        <v>709</v>
      </c>
      <c r="BX248">
        <v>1</v>
      </c>
      <c r="BY248" t="s">
        <v>745</v>
      </c>
      <c r="BZ248" t="s">
        <v>709</v>
      </c>
      <c r="CB248">
        <v>245</v>
      </c>
      <c r="CC248" t="b">
        <v>1</v>
      </c>
      <c r="CD248" t="s">
        <v>3009</v>
      </c>
      <c r="CE248" s="1482">
        <v>45880.732916666668</v>
      </c>
    </row>
    <row r="249" spans="1:83" x14ac:dyDescent="0.25">
      <c r="A249">
        <v>2021</v>
      </c>
      <c r="B249" t="s">
        <v>771</v>
      </c>
      <c r="C249" t="s">
        <v>3010</v>
      </c>
      <c r="D249" t="s">
        <v>3011</v>
      </c>
      <c r="E249" t="s">
        <v>3012</v>
      </c>
      <c r="F249" t="s">
        <v>919</v>
      </c>
      <c r="G249" t="s">
        <v>1882</v>
      </c>
      <c r="H249" t="s">
        <v>59</v>
      </c>
      <c r="I249">
        <v>44138</v>
      </c>
      <c r="J249">
        <v>44229</v>
      </c>
      <c r="K249">
        <v>44229</v>
      </c>
      <c r="L249">
        <v>0</v>
      </c>
      <c r="N249" t="s">
        <v>120</v>
      </c>
      <c r="O249">
        <v>44229</v>
      </c>
      <c r="P249" t="s">
        <v>120</v>
      </c>
      <c r="Q249">
        <v>31669.599999999999</v>
      </c>
      <c r="R249" t="s">
        <v>2087</v>
      </c>
      <c r="S249" t="s">
        <v>709</v>
      </c>
      <c r="T249" t="s">
        <v>709</v>
      </c>
      <c r="U249" t="s">
        <v>709</v>
      </c>
      <c r="V249">
        <v>20432</v>
      </c>
      <c r="X249">
        <v>2602182.5</v>
      </c>
      <c r="Z249">
        <v>45141.22</v>
      </c>
      <c r="AA249">
        <v>2647323.7200000002</v>
      </c>
      <c r="AC249" t="s">
        <v>709</v>
      </c>
      <c r="AM249" t="s">
        <v>709</v>
      </c>
      <c r="AY249" t="s">
        <v>29</v>
      </c>
      <c r="BA249" t="s">
        <v>3013</v>
      </c>
      <c r="BB249" t="s">
        <v>3014</v>
      </c>
      <c r="BC249" t="s">
        <v>116</v>
      </c>
      <c r="BD249" t="s">
        <v>709</v>
      </c>
      <c r="BE249" t="s">
        <v>3015</v>
      </c>
      <c r="BF249" t="s">
        <v>709</v>
      </c>
      <c r="BG249" t="s">
        <v>3016</v>
      </c>
      <c r="BI249" t="s">
        <v>709</v>
      </c>
      <c r="BJ249" t="s">
        <v>709</v>
      </c>
      <c r="BK249" t="s">
        <v>709</v>
      </c>
      <c r="BL249" t="s">
        <v>116</v>
      </c>
      <c r="BM249" t="s">
        <v>709</v>
      </c>
      <c r="BN249" t="s">
        <v>709</v>
      </c>
      <c r="BO249" t="s">
        <v>709</v>
      </c>
      <c r="BP249" t="s">
        <v>709</v>
      </c>
      <c r="BQ249">
        <v>2204</v>
      </c>
      <c r="BR249">
        <v>2488</v>
      </c>
      <c r="BS249">
        <v>15740</v>
      </c>
      <c r="BT249" t="s">
        <v>745</v>
      </c>
      <c r="BU249" t="s">
        <v>709</v>
      </c>
      <c r="BV249" t="s">
        <v>745</v>
      </c>
      <c r="BW249" t="s">
        <v>709</v>
      </c>
      <c r="BX249" t="s">
        <v>745</v>
      </c>
      <c r="BY249" t="s">
        <v>745</v>
      </c>
      <c r="BZ249" t="s">
        <v>709</v>
      </c>
      <c r="CB249">
        <v>247</v>
      </c>
      <c r="CC249" t="b">
        <v>1</v>
      </c>
      <c r="CD249" t="s">
        <v>3017</v>
      </c>
      <c r="CE249" s="1482">
        <v>45880.732928240737</v>
      </c>
    </row>
    <row r="250" spans="1:83" ht="225" x14ac:dyDescent="0.25">
      <c r="A250">
        <v>2021</v>
      </c>
      <c r="B250" t="s">
        <v>4</v>
      </c>
      <c r="C250" t="s">
        <v>3018</v>
      </c>
      <c r="D250" t="s">
        <v>3019</v>
      </c>
      <c r="E250" t="s">
        <v>232</v>
      </c>
      <c r="F250" t="s">
        <v>919</v>
      </c>
      <c r="G250" t="s">
        <v>2814</v>
      </c>
      <c r="H250" t="s">
        <v>1681</v>
      </c>
      <c r="I250">
        <v>44176</v>
      </c>
      <c r="J250">
        <v>44239</v>
      </c>
      <c r="K250">
        <v>44230</v>
      </c>
      <c r="L250">
        <v>9</v>
      </c>
      <c r="N250" t="s">
        <v>120</v>
      </c>
      <c r="O250">
        <v>44230</v>
      </c>
      <c r="P250" t="s">
        <v>739</v>
      </c>
      <c r="Q250" t="s">
        <v>115</v>
      </c>
      <c r="R250" t="s">
        <v>115</v>
      </c>
      <c r="AM250" t="s">
        <v>709</v>
      </c>
      <c r="AY250" t="s">
        <v>29</v>
      </c>
      <c r="BA250" s="4" t="s">
        <v>3020</v>
      </c>
      <c r="BB250" s="4" t="s">
        <v>3021</v>
      </c>
      <c r="CB250">
        <v>248</v>
      </c>
      <c r="CC250" t="b">
        <v>1</v>
      </c>
      <c r="CD250" t="s">
        <v>3022</v>
      </c>
      <c r="CE250" s="1482">
        <v>45880.732928240737</v>
      </c>
    </row>
    <row r="251" spans="1:83" x14ac:dyDescent="0.25">
      <c r="A251">
        <v>2021</v>
      </c>
      <c r="B251" t="s">
        <v>2989</v>
      </c>
      <c r="C251" t="s">
        <v>170</v>
      </c>
      <c r="D251" t="s">
        <v>3023</v>
      </c>
      <c r="E251" t="s">
        <v>171</v>
      </c>
      <c r="F251" t="s">
        <v>738</v>
      </c>
      <c r="G251" t="s">
        <v>2814</v>
      </c>
      <c r="H251" t="s">
        <v>59</v>
      </c>
      <c r="I251">
        <v>44126</v>
      </c>
      <c r="J251">
        <v>44235</v>
      </c>
      <c r="K251">
        <v>44231</v>
      </c>
      <c r="L251">
        <v>4</v>
      </c>
      <c r="N251" t="s">
        <v>120</v>
      </c>
      <c r="O251">
        <v>44231</v>
      </c>
      <c r="P251" t="s">
        <v>739</v>
      </c>
      <c r="Q251">
        <v>11690.099099999999</v>
      </c>
      <c r="R251">
        <v>0.09</v>
      </c>
      <c r="S251" t="s">
        <v>709</v>
      </c>
      <c r="T251" t="s">
        <v>709</v>
      </c>
      <c r="U251" t="s">
        <v>709</v>
      </c>
      <c r="V251">
        <v>72</v>
      </c>
      <c r="X251">
        <v>106151.71</v>
      </c>
      <c r="Z251">
        <v>23738.28</v>
      </c>
      <c r="AA251">
        <v>129889.99</v>
      </c>
      <c r="AC251" t="s">
        <v>116</v>
      </c>
      <c r="AM251" t="s">
        <v>116</v>
      </c>
      <c r="AN251">
        <v>44354</v>
      </c>
      <c r="AO251">
        <v>189166</v>
      </c>
      <c r="AP251">
        <v>109631.49</v>
      </c>
      <c r="AR251">
        <v>24062.58</v>
      </c>
      <c r="AS251">
        <v>133694.07</v>
      </c>
      <c r="AT251">
        <v>3804.08</v>
      </c>
      <c r="AU251">
        <v>342.36720000000003</v>
      </c>
      <c r="AV251" t="s">
        <v>709</v>
      </c>
      <c r="AW251" t="s">
        <v>3024</v>
      </c>
      <c r="AX251">
        <v>342.36720000000003</v>
      </c>
      <c r="AY251">
        <v>44501</v>
      </c>
      <c r="BA251" t="s">
        <v>3025</v>
      </c>
      <c r="BB251" t="s">
        <v>2994</v>
      </c>
      <c r="BC251" t="s">
        <v>709</v>
      </c>
      <c r="BD251" t="s">
        <v>3026</v>
      </c>
      <c r="BE251" t="s">
        <v>709</v>
      </c>
      <c r="BF251" t="s">
        <v>1495</v>
      </c>
      <c r="BG251" t="s">
        <v>709</v>
      </c>
      <c r="BI251" t="s">
        <v>116</v>
      </c>
      <c r="BJ251" t="s">
        <v>709</v>
      </c>
      <c r="BK251" t="s">
        <v>709</v>
      </c>
      <c r="BL251" t="s">
        <v>709</v>
      </c>
      <c r="BM251" t="s">
        <v>709</v>
      </c>
      <c r="BN251" t="s">
        <v>709</v>
      </c>
      <c r="BO251" t="s">
        <v>709</v>
      </c>
      <c r="BP251" t="s">
        <v>709</v>
      </c>
      <c r="BQ251">
        <v>72</v>
      </c>
      <c r="BR251" t="s">
        <v>709</v>
      </c>
      <c r="BS251" t="s">
        <v>709</v>
      </c>
      <c r="BT251" t="s">
        <v>709</v>
      </c>
      <c r="BU251" t="s">
        <v>709</v>
      </c>
      <c r="BV251" t="s">
        <v>709</v>
      </c>
      <c r="BW251" t="s">
        <v>709</v>
      </c>
      <c r="BX251" t="s">
        <v>709</v>
      </c>
      <c r="BY251" t="s">
        <v>709</v>
      </c>
      <c r="BZ251" t="s">
        <v>709</v>
      </c>
      <c r="CA251" t="s">
        <v>2</v>
      </c>
      <c r="CB251">
        <v>249</v>
      </c>
      <c r="CC251" t="b">
        <v>1</v>
      </c>
      <c r="CD251" t="s">
        <v>3027</v>
      </c>
      <c r="CE251" s="1482">
        <v>45880.732939814814</v>
      </c>
    </row>
    <row r="252" spans="1:83" x14ac:dyDescent="0.25">
      <c r="A252">
        <v>2021</v>
      </c>
      <c r="B252" t="s">
        <v>771</v>
      </c>
      <c r="C252" t="s">
        <v>2671</v>
      </c>
      <c r="D252" t="s">
        <v>2672</v>
      </c>
      <c r="E252" t="s">
        <v>818</v>
      </c>
      <c r="F252" t="s">
        <v>919</v>
      </c>
      <c r="G252" t="s">
        <v>1882</v>
      </c>
      <c r="H252" t="s">
        <v>2051</v>
      </c>
      <c r="I252">
        <v>43963</v>
      </c>
      <c r="J252" t="s">
        <v>2052</v>
      </c>
      <c r="K252">
        <v>44232</v>
      </c>
      <c r="L252">
        <v>269</v>
      </c>
      <c r="M252" t="s">
        <v>3028</v>
      </c>
      <c r="N252" t="s">
        <v>120</v>
      </c>
      <c r="O252">
        <v>44232</v>
      </c>
      <c r="P252" t="s">
        <v>120</v>
      </c>
      <c r="Q252">
        <v>2352.5</v>
      </c>
      <c r="R252" t="s">
        <v>1922</v>
      </c>
      <c r="S252" t="s">
        <v>709</v>
      </c>
      <c r="T252" t="s">
        <v>709</v>
      </c>
      <c r="U252">
        <v>2352.5</v>
      </c>
      <c r="V252">
        <v>3534</v>
      </c>
      <c r="X252">
        <v>529338.85</v>
      </c>
      <c r="Y252">
        <v>0</v>
      </c>
      <c r="Z252">
        <v>50225.69</v>
      </c>
      <c r="AA252">
        <v>579564.54</v>
      </c>
      <c r="AM252" t="s">
        <v>709</v>
      </c>
      <c r="AY252" t="s">
        <v>29</v>
      </c>
      <c r="BA252" s="4">
        <v>4</v>
      </c>
      <c r="BI252" t="s">
        <v>709</v>
      </c>
      <c r="BJ252" t="s">
        <v>709</v>
      </c>
      <c r="BK252" t="s">
        <v>709</v>
      </c>
      <c r="BL252" t="s">
        <v>116</v>
      </c>
      <c r="BM252" t="s">
        <v>709</v>
      </c>
      <c r="BN252" t="s">
        <v>709</v>
      </c>
      <c r="BO252" t="s">
        <v>709</v>
      </c>
      <c r="BP252" t="s">
        <v>709</v>
      </c>
      <c r="BQ252" t="s">
        <v>709</v>
      </c>
      <c r="BR252">
        <v>2174</v>
      </c>
      <c r="BS252">
        <v>1360</v>
      </c>
      <c r="BT252" t="s">
        <v>745</v>
      </c>
      <c r="BU252" t="s">
        <v>709</v>
      </c>
      <c r="BV252" t="s">
        <v>745</v>
      </c>
      <c r="BW252" t="s">
        <v>709</v>
      </c>
      <c r="BX252" t="s">
        <v>745</v>
      </c>
      <c r="BY252" t="s">
        <v>745</v>
      </c>
      <c r="BZ252" t="s">
        <v>709</v>
      </c>
      <c r="CB252">
        <v>250</v>
      </c>
      <c r="CC252" t="b">
        <v>1</v>
      </c>
      <c r="CD252" t="s">
        <v>3029</v>
      </c>
      <c r="CE252" s="1482">
        <v>45880.732951388891</v>
      </c>
    </row>
    <row r="253" spans="1:83" ht="210" x14ac:dyDescent="0.25">
      <c r="A253">
        <v>2021</v>
      </c>
      <c r="B253" t="s">
        <v>4</v>
      </c>
      <c r="C253" t="s">
        <v>3030</v>
      </c>
      <c r="D253" t="s">
        <v>115</v>
      </c>
      <c r="E253" t="s">
        <v>232</v>
      </c>
      <c r="F253" t="s">
        <v>919</v>
      </c>
      <c r="G253" t="s">
        <v>2743</v>
      </c>
      <c r="H253" t="s">
        <v>1681</v>
      </c>
      <c r="I253">
        <v>44203</v>
      </c>
      <c r="J253">
        <v>44266</v>
      </c>
      <c r="K253">
        <v>44236</v>
      </c>
      <c r="L253">
        <v>30</v>
      </c>
      <c r="N253" t="s">
        <v>120</v>
      </c>
      <c r="O253">
        <v>44236</v>
      </c>
      <c r="P253" t="s">
        <v>739</v>
      </c>
      <c r="Q253" t="s">
        <v>115</v>
      </c>
      <c r="R253" t="s">
        <v>115</v>
      </c>
      <c r="AM253" t="s">
        <v>709</v>
      </c>
      <c r="AY253" t="s">
        <v>29</v>
      </c>
      <c r="BA253" s="4" t="s">
        <v>3031</v>
      </c>
      <c r="BB253" t="s">
        <v>3032</v>
      </c>
      <c r="CB253">
        <v>251</v>
      </c>
      <c r="CC253" t="b">
        <v>1</v>
      </c>
      <c r="CD253" t="s">
        <v>3033</v>
      </c>
      <c r="CE253" s="1482">
        <v>45880.73296296296</v>
      </c>
    </row>
    <row r="254" spans="1:83" ht="300" x14ac:dyDescent="0.25">
      <c r="A254">
        <v>2020</v>
      </c>
      <c r="B254" t="s">
        <v>4</v>
      </c>
      <c r="C254" t="s">
        <v>204</v>
      </c>
      <c r="D254" t="s">
        <v>1158</v>
      </c>
      <c r="E254" t="s">
        <v>1159</v>
      </c>
      <c r="F254" t="s">
        <v>919</v>
      </c>
      <c r="G254" t="s">
        <v>2743</v>
      </c>
      <c r="H254" t="s">
        <v>59</v>
      </c>
      <c r="I254">
        <v>43887</v>
      </c>
      <c r="J254">
        <v>44239</v>
      </c>
      <c r="K254">
        <v>44237</v>
      </c>
      <c r="L254">
        <v>2</v>
      </c>
      <c r="N254" t="s">
        <v>120</v>
      </c>
      <c r="O254">
        <v>44237</v>
      </c>
      <c r="P254" t="s">
        <v>739</v>
      </c>
      <c r="Q254">
        <v>72501.573000000004</v>
      </c>
      <c r="R254">
        <v>0.1</v>
      </c>
      <c r="S254" t="s">
        <v>709</v>
      </c>
      <c r="T254" t="s">
        <v>709</v>
      </c>
      <c r="U254" t="s">
        <v>709</v>
      </c>
      <c r="V254">
        <v>2309</v>
      </c>
      <c r="X254">
        <v>671732.85</v>
      </c>
      <c r="Z254">
        <v>53282.879999999997</v>
      </c>
      <c r="AA254">
        <v>725015.73</v>
      </c>
      <c r="AC254" t="s">
        <v>116</v>
      </c>
      <c r="AM254" t="s">
        <v>116</v>
      </c>
      <c r="AN254" t="s">
        <v>709</v>
      </c>
      <c r="AO254" t="s">
        <v>115</v>
      </c>
      <c r="AS254">
        <v>0</v>
      </c>
      <c r="AT254">
        <v>0</v>
      </c>
      <c r="AU254">
        <v>0</v>
      </c>
      <c r="AY254" t="s">
        <v>709</v>
      </c>
      <c r="AZ254">
        <v>57</v>
      </c>
      <c r="BA254" s="4" t="s">
        <v>1160</v>
      </c>
      <c r="BB254" t="s">
        <v>1161</v>
      </c>
      <c r="BI254" t="s">
        <v>709</v>
      </c>
      <c r="BJ254" t="s">
        <v>709</v>
      </c>
      <c r="BK254" t="s">
        <v>116</v>
      </c>
      <c r="BL254" t="s">
        <v>116</v>
      </c>
      <c r="BM254" t="s">
        <v>709</v>
      </c>
      <c r="BN254" t="s">
        <v>709</v>
      </c>
      <c r="BO254" t="s">
        <v>709</v>
      </c>
      <c r="BP254">
        <v>1485</v>
      </c>
      <c r="BQ254" t="s">
        <v>709</v>
      </c>
      <c r="BR254">
        <v>822</v>
      </c>
      <c r="BS254" t="s">
        <v>709</v>
      </c>
      <c r="BT254" t="s">
        <v>709</v>
      </c>
      <c r="BU254" t="s">
        <v>709</v>
      </c>
      <c r="BV254" t="s">
        <v>745</v>
      </c>
      <c r="BW254" t="s">
        <v>709</v>
      </c>
      <c r="BX254" t="s">
        <v>709</v>
      </c>
      <c r="BY254" t="s">
        <v>745</v>
      </c>
      <c r="BZ254" t="s">
        <v>709</v>
      </c>
      <c r="CB254">
        <v>252</v>
      </c>
      <c r="CC254" t="b">
        <v>1</v>
      </c>
      <c r="CD254" t="s">
        <v>3034</v>
      </c>
      <c r="CE254" s="1482">
        <v>45880.73296296296</v>
      </c>
    </row>
    <row r="255" spans="1:83" ht="240" x14ac:dyDescent="0.25">
      <c r="A255">
        <v>2021</v>
      </c>
      <c r="B255" t="s">
        <v>4</v>
      </c>
      <c r="C255" t="s">
        <v>175</v>
      </c>
      <c r="D255" t="s">
        <v>3035</v>
      </c>
      <c r="E255" t="s">
        <v>3036</v>
      </c>
      <c r="F255" t="s">
        <v>919</v>
      </c>
      <c r="G255" t="s">
        <v>2814</v>
      </c>
      <c r="H255" t="s">
        <v>59</v>
      </c>
      <c r="I255">
        <v>44172</v>
      </c>
      <c r="J255">
        <v>44243</v>
      </c>
      <c r="K255">
        <v>44237</v>
      </c>
      <c r="L255">
        <v>6</v>
      </c>
      <c r="N255" t="s">
        <v>120</v>
      </c>
      <c r="O255">
        <v>44237</v>
      </c>
      <c r="P255" t="s">
        <v>739</v>
      </c>
      <c r="Q255">
        <v>70373.892000000007</v>
      </c>
      <c r="R255">
        <v>0.1</v>
      </c>
      <c r="S255" t="s">
        <v>709</v>
      </c>
      <c r="T255" t="s">
        <v>709</v>
      </c>
      <c r="U255" t="s">
        <v>709</v>
      </c>
      <c r="V255">
        <v>2370</v>
      </c>
      <c r="X255">
        <v>492982.84</v>
      </c>
      <c r="Z255">
        <v>210756.08</v>
      </c>
      <c r="AA255">
        <v>703738.92</v>
      </c>
      <c r="AC255" t="s">
        <v>116</v>
      </c>
      <c r="AM255" t="s">
        <v>116</v>
      </c>
      <c r="AN255">
        <v>44307</v>
      </c>
      <c r="AO255">
        <v>188308</v>
      </c>
      <c r="AP255">
        <v>510642.72</v>
      </c>
      <c r="AR255">
        <v>210756.08</v>
      </c>
      <c r="AS255">
        <v>721398.8</v>
      </c>
      <c r="AT255">
        <v>17659.88</v>
      </c>
      <c r="AU255">
        <v>1765.9880000000001</v>
      </c>
      <c r="AV255" t="s">
        <v>709</v>
      </c>
      <c r="AW255" t="s">
        <v>3037</v>
      </c>
      <c r="AX255">
        <v>1765.9880000000001</v>
      </c>
      <c r="AY255">
        <v>44501</v>
      </c>
      <c r="BA255" s="4" t="s">
        <v>3038</v>
      </c>
      <c r="BB255" t="s">
        <v>3039</v>
      </c>
      <c r="BC255" t="s">
        <v>709</v>
      </c>
      <c r="BD255" t="s">
        <v>709</v>
      </c>
      <c r="BE255" t="s">
        <v>176</v>
      </c>
      <c r="BF255" t="s">
        <v>709</v>
      </c>
      <c r="BG255" t="s">
        <v>709</v>
      </c>
      <c r="BI255" t="s">
        <v>709</v>
      </c>
      <c r="BJ255" t="s">
        <v>709</v>
      </c>
      <c r="BK255" t="s">
        <v>709</v>
      </c>
      <c r="BL255" t="s">
        <v>116</v>
      </c>
      <c r="BM255" t="s">
        <v>709</v>
      </c>
      <c r="BN255" t="s">
        <v>709</v>
      </c>
      <c r="BO255" t="s">
        <v>709</v>
      </c>
      <c r="BP255">
        <v>1695</v>
      </c>
      <c r="BQ255" t="s">
        <v>709</v>
      </c>
      <c r="BR255" t="s">
        <v>709</v>
      </c>
      <c r="BS255">
        <v>675</v>
      </c>
      <c r="BT255" t="s">
        <v>745</v>
      </c>
      <c r="BU255" t="s">
        <v>709</v>
      </c>
      <c r="BV255" t="s">
        <v>745</v>
      </c>
      <c r="BW255" t="s">
        <v>709</v>
      </c>
      <c r="BX255" t="s">
        <v>745</v>
      </c>
      <c r="BY255" t="s">
        <v>745</v>
      </c>
      <c r="BZ255" t="s">
        <v>709</v>
      </c>
      <c r="CB255">
        <v>253</v>
      </c>
      <c r="CC255" t="b">
        <v>1</v>
      </c>
      <c r="CD255" t="s">
        <v>3040</v>
      </c>
      <c r="CE255" s="1482">
        <v>45880.732974537037</v>
      </c>
    </row>
    <row r="256" spans="1:83" x14ac:dyDescent="0.25">
      <c r="A256">
        <v>2021</v>
      </c>
      <c r="B256" t="s">
        <v>1073</v>
      </c>
      <c r="C256" t="s">
        <v>3041</v>
      </c>
      <c r="D256" t="s">
        <v>3042</v>
      </c>
      <c r="E256" t="s">
        <v>354</v>
      </c>
      <c r="F256" t="s">
        <v>738</v>
      </c>
      <c r="G256" t="s">
        <v>36</v>
      </c>
      <c r="H256" t="s">
        <v>59</v>
      </c>
      <c r="I256">
        <v>44203</v>
      </c>
      <c r="J256">
        <v>44239</v>
      </c>
      <c r="K256">
        <v>44237</v>
      </c>
      <c r="L256">
        <v>2</v>
      </c>
      <c r="N256" t="s">
        <v>120</v>
      </c>
      <c r="O256">
        <v>44237</v>
      </c>
      <c r="P256" t="s">
        <v>739</v>
      </c>
      <c r="Q256">
        <v>6254.1037999999999</v>
      </c>
      <c r="R256">
        <v>7.0000000000000007E-2</v>
      </c>
      <c r="S256" t="s">
        <v>709</v>
      </c>
      <c r="T256" t="s">
        <v>709</v>
      </c>
      <c r="U256" t="s">
        <v>709</v>
      </c>
      <c r="X256">
        <v>79241.570000000007</v>
      </c>
      <c r="Z256">
        <v>10102.77</v>
      </c>
      <c r="AA256">
        <v>89344.34</v>
      </c>
      <c r="AC256" t="s">
        <v>709</v>
      </c>
      <c r="AM256" t="s">
        <v>116</v>
      </c>
      <c r="AN256">
        <v>44249</v>
      </c>
      <c r="AO256">
        <v>187478</v>
      </c>
      <c r="AP256">
        <v>79241.570000000007</v>
      </c>
      <c r="AR256">
        <v>0</v>
      </c>
      <c r="AS256">
        <v>79241.570000000007</v>
      </c>
      <c r="AT256">
        <v>-10102.77</v>
      </c>
      <c r="AU256">
        <v>-707.19389999999999</v>
      </c>
      <c r="AV256" t="s">
        <v>709</v>
      </c>
      <c r="AX256">
        <v>-707.19389999999999</v>
      </c>
      <c r="AY256">
        <v>44501</v>
      </c>
      <c r="BA256" t="s">
        <v>3043</v>
      </c>
      <c r="BC256" t="s">
        <v>709</v>
      </c>
      <c r="BD256" t="s">
        <v>743</v>
      </c>
      <c r="BE256" t="s">
        <v>588</v>
      </c>
      <c r="BF256" t="s">
        <v>709</v>
      </c>
      <c r="BG256" t="s">
        <v>709</v>
      </c>
      <c r="BI256" t="s">
        <v>709</v>
      </c>
      <c r="BJ256" t="s">
        <v>709</v>
      </c>
      <c r="BK256" t="s">
        <v>116</v>
      </c>
      <c r="BL256" t="s">
        <v>116</v>
      </c>
      <c r="BM256" t="s">
        <v>709</v>
      </c>
      <c r="BN256" t="s">
        <v>709</v>
      </c>
      <c r="BO256" t="s">
        <v>709</v>
      </c>
      <c r="BP256" t="s">
        <v>709</v>
      </c>
      <c r="BQ256" t="s">
        <v>709</v>
      </c>
      <c r="BR256">
        <v>636</v>
      </c>
      <c r="BS256" t="s">
        <v>709</v>
      </c>
      <c r="BT256" t="s">
        <v>745</v>
      </c>
      <c r="BU256" t="s">
        <v>709</v>
      </c>
      <c r="BV256" t="s">
        <v>745</v>
      </c>
      <c r="BW256" t="s">
        <v>709</v>
      </c>
      <c r="BX256" t="s">
        <v>745</v>
      </c>
      <c r="BY256" t="s">
        <v>2788</v>
      </c>
      <c r="BZ256" t="s">
        <v>709</v>
      </c>
      <c r="CA256" t="s">
        <v>2739</v>
      </c>
      <c r="CB256">
        <v>254</v>
      </c>
      <c r="CC256" t="b">
        <v>1</v>
      </c>
      <c r="CD256" t="s">
        <v>3044</v>
      </c>
      <c r="CE256" s="1482">
        <v>45880.732986111114</v>
      </c>
    </row>
    <row r="257" spans="1:83" x14ac:dyDescent="0.25">
      <c r="A257">
        <v>2021</v>
      </c>
      <c r="B257" t="s">
        <v>1073</v>
      </c>
      <c r="C257" t="s">
        <v>3041</v>
      </c>
      <c r="D257" t="s">
        <v>3045</v>
      </c>
      <c r="E257" t="s">
        <v>354</v>
      </c>
      <c r="F257" t="s">
        <v>738</v>
      </c>
      <c r="G257" t="s">
        <v>36</v>
      </c>
      <c r="H257" t="s">
        <v>59</v>
      </c>
      <c r="I257">
        <v>44203</v>
      </c>
      <c r="J257">
        <v>44239</v>
      </c>
      <c r="K257">
        <v>44237</v>
      </c>
      <c r="L257">
        <v>2</v>
      </c>
      <c r="N257" t="s">
        <v>120</v>
      </c>
      <c r="O257">
        <v>44237</v>
      </c>
      <c r="P257" t="s">
        <v>739</v>
      </c>
      <c r="Q257">
        <v>3790.8359999999998</v>
      </c>
      <c r="R257">
        <v>7.0000000000000007E-2</v>
      </c>
      <c r="S257" t="s">
        <v>709</v>
      </c>
      <c r="T257" t="s">
        <v>709</v>
      </c>
      <c r="U257" t="s">
        <v>709</v>
      </c>
      <c r="X257">
        <v>54154.8</v>
      </c>
      <c r="Z257">
        <v>0</v>
      </c>
      <c r="AA257">
        <v>54154.8</v>
      </c>
      <c r="AC257" t="s">
        <v>709</v>
      </c>
      <c r="AE257" t="s">
        <v>29</v>
      </c>
      <c r="AF257" t="s">
        <v>29</v>
      </c>
      <c r="AG257" t="s">
        <v>29</v>
      </c>
      <c r="AH257" t="s">
        <v>29</v>
      </c>
      <c r="AM257" t="s">
        <v>116</v>
      </c>
      <c r="AN257">
        <v>44249</v>
      </c>
      <c r="AO257">
        <v>187487</v>
      </c>
      <c r="AP257">
        <v>54154.8</v>
      </c>
      <c r="AR257">
        <v>0</v>
      </c>
      <c r="AS257">
        <v>54154.8</v>
      </c>
      <c r="AT257">
        <v>0</v>
      </c>
      <c r="AU257">
        <v>0</v>
      </c>
      <c r="AV257" t="s">
        <v>709</v>
      </c>
      <c r="AY257" t="s">
        <v>1935</v>
      </c>
      <c r="BC257" t="s">
        <v>709</v>
      </c>
      <c r="BD257" t="s">
        <v>743</v>
      </c>
      <c r="BE257" t="s">
        <v>588</v>
      </c>
      <c r="BF257" t="s">
        <v>709</v>
      </c>
      <c r="BG257" t="s">
        <v>709</v>
      </c>
      <c r="BI257" t="s">
        <v>709</v>
      </c>
      <c r="BJ257" t="s">
        <v>709</v>
      </c>
      <c r="BK257" t="s">
        <v>116</v>
      </c>
      <c r="BL257" t="s">
        <v>116</v>
      </c>
      <c r="BM257" t="s">
        <v>709</v>
      </c>
      <c r="BN257" t="s">
        <v>709</v>
      </c>
      <c r="BO257" t="s">
        <v>709</v>
      </c>
      <c r="BP257" t="s">
        <v>709</v>
      </c>
      <c r="BQ257" t="s">
        <v>709</v>
      </c>
      <c r="BR257">
        <v>636</v>
      </c>
      <c r="BS257" t="s">
        <v>709</v>
      </c>
      <c r="BT257" t="s">
        <v>745</v>
      </c>
      <c r="BU257" t="s">
        <v>709</v>
      </c>
      <c r="BV257" t="s">
        <v>745</v>
      </c>
      <c r="BW257" t="s">
        <v>709</v>
      </c>
      <c r="BX257" t="s">
        <v>745</v>
      </c>
      <c r="BY257" t="s">
        <v>2788</v>
      </c>
      <c r="BZ257" t="s">
        <v>709</v>
      </c>
      <c r="CA257" t="s">
        <v>2739</v>
      </c>
      <c r="CB257">
        <v>255</v>
      </c>
      <c r="CC257" t="b">
        <v>1</v>
      </c>
      <c r="CD257" t="s">
        <v>3046</v>
      </c>
      <c r="CE257" s="1482">
        <v>45880.732997685183</v>
      </c>
    </row>
    <row r="258" spans="1:83" x14ac:dyDescent="0.25">
      <c r="A258">
        <v>2021</v>
      </c>
      <c r="B258" t="s">
        <v>1073</v>
      </c>
      <c r="C258" t="s">
        <v>3041</v>
      </c>
      <c r="D258" t="s">
        <v>3047</v>
      </c>
      <c r="E258" t="s">
        <v>354</v>
      </c>
      <c r="F258" t="s">
        <v>738</v>
      </c>
      <c r="G258" t="s">
        <v>36</v>
      </c>
      <c r="H258" t="s">
        <v>59</v>
      </c>
      <c r="I258">
        <v>44203</v>
      </c>
      <c r="J258">
        <v>44239</v>
      </c>
      <c r="K258">
        <v>44237</v>
      </c>
      <c r="L258">
        <v>2</v>
      </c>
      <c r="N258" t="s">
        <v>120</v>
      </c>
      <c r="O258">
        <v>44237</v>
      </c>
      <c r="P258" t="s">
        <v>739</v>
      </c>
      <c r="Q258">
        <v>3068.6725999999999</v>
      </c>
      <c r="R258">
        <v>7.0000000000000007E-2</v>
      </c>
      <c r="S258" t="s">
        <v>709</v>
      </c>
      <c r="T258" t="s">
        <v>709</v>
      </c>
      <c r="U258" t="s">
        <v>709</v>
      </c>
      <c r="X258">
        <v>43838.18</v>
      </c>
      <c r="Z258">
        <v>0</v>
      </c>
      <c r="AA258">
        <v>43838.18</v>
      </c>
      <c r="AC258" t="s">
        <v>709</v>
      </c>
      <c r="AE258" t="s">
        <v>29</v>
      </c>
      <c r="AF258" t="s">
        <v>29</v>
      </c>
      <c r="AG258" t="s">
        <v>29</v>
      </c>
      <c r="AH258" t="s">
        <v>29</v>
      </c>
      <c r="AM258" t="s">
        <v>116</v>
      </c>
      <c r="AN258">
        <v>44249</v>
      </c>
      <c r="AO258">
        <v>187488</v>
      </c>
      <c r="AP258">
        <v>43838.18</v>
      </c>
      <c r="AR258">
        <v>0</v>
      </c>
      <c r="AS258">
        <v>43838.18</v>
      </c>
      <c r="AT258">
        <v>0</v>
      </c>
      <c r="AU258">
        <v>0</v>
      </c>
      <c r="AV258" t="s">
        <v>709</v>
      </c>
      <c r="AY258" t="s">
        <v>1935</v>
      </c>
      <c r="BC258" t="s">
        <v>709</v>
      </c>
      <c r="BD258" t="s">
        <v>743</v>
      </c>
      <c r="BE258" t="s">
        <v>588</v>
      </c>
      <c r="BF258" t="s">
        <v>709</v>
      </c>
      <c r="BG258" t="s">
        <v>709</v>
      </c>
      <c r="BI258" t="s">
        <v>709</v>
      </c>
      <c r="BJ258" t="s">
        <v>709</v>
      </c>
      <c r="BK258" t="s">
        <v>116</v>
      </c>
      <c r="BL258" t="s">
        <v>116</v>
      </c>
      <c r="BM258" t="s">
        <v>709</v>
      </c>
      <c r="BN258" t="s">
        <v>709</v>
      </c>
      <c r="BO258" t="s">
        <v>709</v>
      </c>
      <c r="BP258" t="s">
        <v>709</v>
      </c>
      <c r="BQ258" t="s">
        <v>709</v>
      </c>
      <c r="BR258">
        <v>636</v>
      </c>
      <c r="BS258" t="s">
        <v>709</v>
      </c>
      <c r="BT258" t="s">
        <v>745</v>
      </c>
      <c r="BU258" t="s">
        <v>709</v>
      </c>
      <c r="BV258" t="s">
        <v>745</v>
      </c>
      <c r="BW258" t="s">
        <v>709</v>
      </c>
      <c r="BX258" t="s">
        <v>745</v>
      </c>
      <c r="BY258" t="s">
        <v>2788</v>
      </c>
      <c r="BZ258" t="s">
        <v>709</v>
      </c>
      <c r="CA258" t="s">
        <v>2739</v>
      </c>
      <c r="CB258">
        <v>256</v>
      </c>
      <c r="CC258" t="b">
        <v>1</v>
      </c>
      <c r="CD258" t="s">
        <v>3048</v>
      </c>
      <c r="CE258" s="1482">
        <v>45880.732997685183</v>
      </c>
    </row>
    <row r="259" spans="1:83" x14ac:dyDescent="0.25">
      <c r="A259">
        <v>2020</v>
      </c>
      <c r="B259" t="s">
        <v>4</v>
      </c>
      <c r="C259" t="s">
        <v>2861</v>
      </c>
      <c r="D259" t="s">
        <v>2862</v>
      </c>
      <c r="E259" t="s">
        <v>1154</v>
      </c>
      <c r="F259" t="s">
        <v>919</v>
      </c>
      <c r="G259" t="s">
        <v>40</v>
      </c>
      <c r="H259" t="s">
        <v>2051</v>
      </c>
      <c r="I259">
        <v>44001</v>
      </c>
      <c r="J259" t="s">
        <v>2052</v>
      </c>
      <c r="K259">
        <v>44239</v>
      </c>
      <c r="L259">
        <v>238</v>
      </c>
      <c r="M259" t="s">
        <v>3049</v>
      </c>
      <c r="N259" t="s">
        <v>120</v>
      </c>
      <c r="O259">
        <v>44239</v>
      </c>
      <c r="P259" t="s">
        <v>739</v>
      </c>
      <c r="Q259">
        <v>2250</v>
      </c>
      <c r="R259" t="s">
        <v>1922</v>
      </c>
      <c r="S259" t="s">
        <v>709</v>
      </c>
      <c r="T259" t="s">
        <v>709</v>
      </c>
      <c r="U259">
        <v>2250</v>
      </c>
      <c r="AM259" t="s">
        <v>709</v>
      </c>
      <c r="AY259" t="s">
        <v>29</v>
      </c>
      <c r="BA259">
        <v>1</v>
      </c>
      <c r="BI259" t="s">
        <v>709</v>
      </c>
      <c r="BJ259" t="s">
        <v>709</v>
      </c>
      <c r="BK259" t="s">
        <v>709</v>
      </c>
      <c r="BL259" t="s">
        <v>116</v>
      </c>
      <c r="BM259" t="s">
        <v>709</v>
      </c>
      <c r="BN259" t="s">
        <v>709</v>
      </c>
      <c r="BO259" t="s">
        <v>709</v>
      </c>
      <c r="BP259" t="s">
        <v>709</v>
      </c>
      <c r="BQ259">
        <v>103</v>
      </c>
      <c r="BR259" t="s">
        <v>709</v>
      </c>
      <c r="BS259">
        <v>6249</v>
      </c>
      <c r="BT259" t="s">
        <v>745</v>
      </c>
      <c r="BU259" t="s">
        <v>709</v>
      </c>
      <c r="BV259" t="s">
        <v>745</v>
      </c>
      <c r="BW259" t="s">
        <v>709</v>
      </c>
      <c r="BX259" t="s">
        <v>745</v>
      </c>
      <c r="BY259" t="s">
        <v>745</v>
      </c>
      <c r="BZ259" t="s">
        <v>709</v>
      </c>
      <c r="CB259">
        <v>257</v>
      </c>
      <c r="CC259" t="b">
        <v>1</v>
      </c>
      <c r="CD259" t="s">
        <v>3050</v>
      </c>
      <c r="CE259" s="1482">
        <v>45880.73300925926</v>
      </c>
    </row>
    <row r="260" spans="1:83" ht="255" x14ac:dyDescent="0.25">
      <c r="A260">
        <v>2021</v>
      </c>
      <c r="B260" t="s">
        <v>1108</v>
      </c>
      <c r="C260" t="s">
        <v>3051</v>
      </c>
      <c r="D260" t="s">
        <v>3052</v>
      </c>
      <c r="E260" t="s">
        <v>3053</v>
      </c>
      <c r="F260" t="s">
        <v>1172</v>
      </c>
      <c r="G260" t="s">
        <v>40</v>
      </c>
      <c r="H260" t="s">
        <v>59</v>
      </c>
      <c r="I260">
        <v>44176</v>
      </c>
      <c r="J260">
        <v>44245</v>
      </c>
      <c r="K260">
        <v>44243</v>
      </c>
      <c r="L260">
        <v>2</v>
      </c>
      <c r="N260" t="s">
        <v>120</v>
      </c>
      <c r="O260">
        <v>44243</v>
      </c>
      <c r="P260" t="s">
        <v>739</v>
      </c>
      <c r="Q260">
        <v>18821.466700000001</v>
      </c>
      <c r="R260" t="s">
        <v>1055</v>
      </c>
      <c r="S260" t="s">
        <v>709</v>
      </c>
      <c r="T260" t="s">
        <v>709</v>
      </c>
      <c r="U260" t="s">
        <v>709</v>
      </c>
      <c r="V260">
        <v>4</v>
      </c>
      <c r="X260">
        <v>122605.24</v>
      </c>
      <c r="Z260">
        <v>7647.31</v>
      </c>
      <c r="AA260">
        <v>130252.55</v>
      </c>
      <c r="AC260" t="s">
        <v>116</v>
      </c>
      <c r="AM260" t="s">
        <v>116</v>
      </c>
      <c r="AN260">
        <v>44377</v>
      </c>
      <c r="AO260">
        <v>189781</v>
      </c>
      <c r="AP260">
        <v>124894.26</v>
      </c>
      <c r="AR260">
        <v>8804</v>
      </c>
      <c r="AS260">
        <v>133698.26</v>
      </c>
      <c r="AT260">
        <v>3445.71</v>
      </c>
      <c r="AU260">
        <v>292.8854</v>
      </c>
      <c r="AV260" t="s">
        <v>709</v>
      </c>
      <c r="AW260" t="s">
        <v>2275</v>
      </c>
      <c r="AX260">
        <v>292.8854</v>
      </c>
      <c r="AY260">
        <v>44501</v>
      </c>
      <c r="BA260" s="4" t="s">
        <v>3054</v>
      </c>
      <c r="BB260" t="s">
        <v>1174</v>
      </c>
      <c r="BC260" t="s">
        <v>709</v>
      </c>
      <c r="BD260" t="s">
        <v>709</v>
      </c>
      <c r="BE260" t="s">
        <v>3055</v>
      </c>
      <c r="BF260" t="s">
        <v>3056</v>
      </c>
      <c r="BG260" t="s">
        <v>709</v>
      </c>
      <c r="BI260" t="s">
        <v>709</v>
      </c>
      <c r="BJ260" t="s">
        <v>709</v>
      </c>
      <c r="BK260" t="s">
        <v>116</v>
      </c>
      <c r="BL260" t="s">
        <v>709</v>
      </c>
      <c r="BM260" t="s">
        <v>709</v>
      </c>
      <c r="BN260" t="s">
        <v>709</v>
      </c>
      <c r="BO260" t="s">
        <v>709</v>
      </c>
      <c r="BP260" t="s">
        <v>709</v>
      </c>
      <c r="BQ260" t="s">
        <v>709</v>
      </c>
      <c r="BR260">
        <v>4</v>
      </c>
      <c r="BS260" t="s">
        <v>709</v>
      </c>
      <c r="BT260" t="s">
        <v>709</v>
      </c>
      <c r="BU260" t="s">
        <v>709</v>
      </c>
      <c r="BV260" t="s">
        <v>709</v>
      </c>
      <c r="BW260">
        <v>1</v>
      </c>
      <c r="BX260" t="s">
        <v>709</v>
      </c>
      <c r="BY260" t="s">
        <v>709</v>
      </c>
      <c r="BZ260" t="s">
        <v>709</v>
      </c>
      <c r="CA260" t="s">
        <v>2</v>
      </c>
      <c r="CB260">
        <v>258</v>
      </c>
      <c r="CC260" t="b">
        <v>1</v>
      </c>
      <c r="CD260" t="s">
        <v>3057</v>
      </c>
      <c r="CE260" s="1482">
        <v>45880.733020833337</v>
      </c>
    </row>
    <row r="261" spans="1:83" x14ac:dyDescent="0.25">
      <c r="A261">
        <v>2020</v>
      </c>
      <c r="B261" t="s">
        <v>4</v>
      </c>
      <c r="C261" t="s">
        <v>2839</v>
      </c>
      <c r="D261" t="s">
        <v>2840</v>
      </c>
      <c r="E261" t="s">
        <v>183</v>
      </c>
      <c r="F261" t="s">
        <v>738</v>
      </c>
      <c r="G261" t="s">
        <v>2814</v>
      </c>
      <c r="H261" t="s">
        <v>2051</v>
      </c>
      <c r="I261">
        <v>44110</v>
      </c>
      <c r="J261" t="s">
        <v>2052</v>
      </c>
      <c r="K261">
        <v>44244</v>
      </c>
      <c r="L261">
        <v>134</v>
      </c>
      <c r="M261" t="s">
        <v>3058</v>
      </c>
      <c r="N261" t="s">
        <v>120</v>
      </c>
      <c r="O261">
        <v>44244</v>
      </c>
      <c r="P261" t="s">
        <v>739</v>
      </c>
      <c r="Q261">
        <v>1755</v>
      </c>
      <c r="R261" t="s">
        <v>1922</v>
      </c>
      <c r="S261" t="s">
        <v>709</v>
      </c>
      <c r="T261" t="s">
        <v>709</v>
      </c>
      <c r="U261">
        <v>1755</v>
      </c>
      <c r="V261">
        <v>2258</v>
      </c>
      <c r="AM261" t="s">
        <v>709</v>
      </c>
      <c r="AY261" t="s">
        <v>29</v>
      </c>
      <c r="BA261">
        <v>4</v>
      </c>
      <c r="BI261" t="s">
        <v>709</v>
      </c>
      <c r="BJ261" t="s">
        <v>709</v>
      </c>
      <c r="BK261" t="s">
        <v>709</v>
      </c>
      <c r="BL261" t="s">
        <v>116</v>
      </c>
      <c r="BM261" t="s">
        <v>709</v>
      </c>
      <c r="BN261" t="s">
        <v>709</v>
      </c>
      <c r="BO261" t="s">
        <v>709</v>
      </c>
      <c r="BP261" t="s">
        <v>709</v>
      </c>
      <c r="BQ261" t="s">
        <v>709</v>
      </c>
      <c r="BR261" t="s">
        <v>709</v>
      </c>
      <c r="BS261">
        <v>2259</v>
      </c>
      <c r="BT261" t="s">
        <v>745</v>
      </c>
      <c r="BU261" t="s">
        <v>709</v>
      </c>
      <c r="BV261" t="s">
        <v>745</v>
      </c>
      <c r="BW261" t="s">
        <v>709</v>
      </c>
      <c r="BX261" t="s">
        <v>745</v>
      </c>
      <c r="BY261" t="s">
        <v>745</v>
      </c>
      <c r="BZ261" t="s">
        <v>709</v>
      </c>
      <c r="CB261">
        <v>259</v>
      </c>
      <c r="CC261" t="b">
        <v>1</v>
      </c>
      <c r="CD261" t="s">
        <v>3059</v>
      </c>
      <c r="CE261" s="1482">
        <v>45880.733032407406</v>
      </c>
    </row>
    <row r="262" spans="1:83" x14ac:dyDescent="0.25">
      <c r="A262">
        <v>2021</v>
      </c>
      <c r="B262" t="s">
        <v>4</v>
      </c>
      <c r="C262" t="s">
        <v>3060</v>
      </c>
      <c r="D262" t="s">
        <v>3061</v>
      </c>
      <c r="E262" t="s">
        <v>245</v>
      </c>
      <c r="F262" t="s">
        <v>738</v>
      </c>
      <c r="G262" t="s">
        <v>36</v>
      </c>
      <c r="H262" t="s">
        <v>59</v>
      </c>
      <c r="I262">
        <v>44166</v>
      </c>
      <c r="J262">
        <v>44245</v>
      </c>
      <c r="K262">
        <v>44245</v>
      </c>
      <c r="L262">
        <v>0</v>
      </c>
      <c r="N262" t="s">
        <v>120</v>
      </c>
      <c r="O262">
        <v>44245</v>
      </c>
      <c r="P262" t="s">
        <v>739</v>
      </c>
      <c r="Q262">
        <v>90250.422000000006</v>
      </c>
      <c r="R262">
        <v>0.1</v>
      </c>
      <c r="S262" t="s">
        <v>709</v>
      </c>
      <c r="T262" t="s">
        <v>709</v>
      </c>
      <c r="U262" t="s">
        <v>709</v>
      </c>
      <c r="V262">
        <v>5356</v>
      </c>
      <c r="X262">
        <v>858275.17</v>
      </c>
      <c r="Z262">
        <v>44229.05</v>
      </c>
      <c r="AA262">
        <v>902504.22</v>
      </c>
      <c r="AC262" t="s">
        <v>709</v>
      </c>
      <c r="AM262" t="s">
        <v>116</v>
      </c>
      <c r="AN262">
        <v>45805</v>
      </c>
      <c r="AO262">
        <v>11103544</v>
      </c>
      <c r="AP262">
        <v>1385659.79</v>
      </c>
      <c r="AR262">
        <v>298514.07</v>
      </c>
      <c r="AS262">
        <v>1684173.86</v>
      </c>
      <c r="AT262">
        <v>781669.64</v>
      </c>
      <c r="AU262">
        <v>78166.964000000007</v>
      </c>
      <c r="AV262" t="s">
        <v>709</v>
      </c>
      <c r="AW262" t="s">
        <v>3062</v>
      </c>
      <c r="AX262">
        <v>12126.421</v>
      </c>
      <c r="AY262">
        <v>44501</v>
      </c>
      <c r="BA262" t="s">
        <v>3063</v>
      </c>
      <c r="BB262" t="s">
        <v>2372</v>
      </c>
      <c r="BC262" t="s">
        <v>709</v>
      </c>
      <c r="BD262" t="s">
        <v>709</v>
      </c>
      <c r="BE262" t="s">
        <v>1028</v>
      </c>
      <c r="BF262" t="s">
        <v>709</v>
      </c>
      <c r="BG262" t="s">
        <v>709</v>
      </c>
      <c r="BI262" t="s">
        <v>709</v>
      </c>
      <c r="BJ262" t="s">
        <v>709</v>
      </c>
      <c r="BK262" t="s">
        <v>709</v>
      </c>
      <c r="BL262" t="s">
        <v>116</v>
      </c>
      <c r="BM262" t="s">
        <v>709</v>
      </c>
      <c r="BN262" t="s">
        <v>709</v>
      </c>
      <c r="BO262" t="s">
        <v>709</v>
      </c>
      <c r="BP262">
        <v>128</v>
      </c>
      <c r="BQ262">
        <v>1708</v>
      </c>
      <c r="BR262" t="s">
        <v>709</v>
      </c>
      <c r="BS262">
        <v>3520</v>
      </c>
      <c r="BT262" t="s">
        <v>745</v>
      </c>
      <c r="BU262" t="s">
        <v>709</v>
      </c>
      <c r="BV262" t="s">
        <v>745</v>
      </c>
      <c r="BW262" t="s">
        <v>709</v>
      </c>
      <c r="BX262" t="s">
        <v>745</v>
      </c>
      <c r="BY262" t="s">
        <v>745</v>
      </c>
      <c r="BZ262" t="s">
        <v>709</v>
      </c>
      <c r="CB262">
        <v>260</v>
      </c>
      <c r="CC262" t="b">
        <v>1</v>
      </c>
      <c r="CD262" t="s">
        <v>3064</v>
      </c>
      <c r="CE262" s="1482">
        <v>45880.733032407406</v>
      </c>
    </row>
    <row r="263" spans="1:83" ht="225" x14ac:dyDescent="0.25">
      <c r="A263">
        <v>2021</v>
      </c>
      <c r="B263" t="s">
        <v>1108</v>
      </c>
      <c r="C263" t="s">
        <v>182</v>
      </c>
      <c r="D263" t="s">
        <v>3065</v>
      </c>
      <c r="E263" t="s">
        <v>183</v>
      </c>
      <c r="F263" t="s">
        <v>1172</v>
      </c>
      <c r="G263" t="s">
        <v>40</v>
      </c>
      <c r="H263" t="s">
        <v>59</v>
      </c>
      <c r="I263">
        <v>44176</v>
      </c>
      <c r="J263">
        <v>44259</v>
      </c>
      <c r="K263">
        <v>44251</v>
      </c>
      <c r="L263">
        <v>8</v>
      </c>
      <c r="N263" t="s">
        <v>120</v>
      </c>
      <c r="O263">
        <v>44256</v>
      </c>
      <c r="P263" t="s">
        <v>739</v>
      </c>
      <c r="Q263">
        <v>18904.2006</v>
      </c>
      <c r="R263" t="s">
        <v>1055</v>
      </c>
      <c r="X263">
        <v>123563.73</v>
      </c>
      <c r="Z263">
        <v>7662.16</v>
      </c>
      <c r="AA263">
        <v>131225.89000000001</v>
      </c>
      <c r="AC263" t="s">
        <v>1441</v>
      </c>
      <c r="AM263" t="s">
        <v>116</v>
      </c>
      <c r="AN263">
        <v>44434</v>
      </c>
      <c r="AO263" t="s">
        <v>709</v>
      </c>
      <c r="AP263">
        <v>67673.64</v>
      </c>
      <c r="AR263">
        <v>7662.16</v>
      </c>
      <c r="AS263">
        <v>75335.8</v>
      </c>
      <c r="AT263">
        <v>-55890.09</v>
      </c>
      <c r="AU263">
        <v>-4750.6575999999995</v>
      </c>
      <c r="AV263" t="s">
        <v>709</v>
      </c>
      <c r="AW263" t="s">
        <v>2874</v>
      </c>
      <c r="AX263">
        <v>-4750.6575999999995</v>
      </c>
      <c r="AY263">
        <v>44501</v>
      </c>
      <c r="BA263" s="4" t="s">
        <v>3066</v>
      </c>
      <c r="BB263" s="4" t="s">
        <v>1174</v>
      </c>
      <c r="BC263" t="s">
        <v>116</v>
      </c>
      <c r="BD263" t="s">
        <v>709</v>
      </c>
      <c r="BE263" t="s">
        <v>709</v>
      </c>
      <c r="BF263" t="s">
        <v>709</v>
      </c>
      <c r="BG263" t="s">
        <v>3067</v>
      </c>
      <c r="BI263" t="s">
        <v>709</v>
      </c>
      <c r="BJ263" t="s">
        <v>709</v>
      </c>
      <c r="BK263" t="s">
        <v>709</v>
      </c>
      <c r="BL263" t="s">
        <v>116</v>
      </c>
      <c r="BM263" t="s">
        <v>709</v>
      </c>
      <c r="BN263" t="s">
        <v>709</v>
      </c>
      <c r="BO263" t="s">
        <v>709</v>
      </c>
      <c r="BP263" t="s">
        <v>709</v>
      </c>
      <c r="BQ263">
        <v>4</v>
      </c>
      <c r="BR263" t="s">
        <v>709</v>
      </c>
      <c r="BS263" t="s">
        <v>709</v>
      </c>
      <c r="BT263" t="s">
        <v>709</v>
      </c>
      <c r="BU263" t="s">
        <v>709</v>
      </c>
      <c r="BV263" t="s">
        <v>709</v>
      </c>
      <c r="BW263">
        <v>1</v>
      </c>
      <c r="BX263" t="s">
        <v>709</v>
      </c>
      <c r="BY263" t="s">
        <v>709</v>
      </c>
      <c r="BZ263" t="s">
        <v>709</v>
      </c>
      <c r="CA263" t="s">
        <v>2</v>
      </c>
      <c r="CB263">
        <v>261</v>
      </c>
      <c r="CC263" t="b">
        <v>1</v>
      </c>
      <c r="CD263" t="s">
        <v>3068</v>
      </c>
      <c r="CE263" s="1482">
        <v>45880.733043981483</v>
      </c>
    </row>
    <row r="264" spans="1:83" x14ac:dyDescent="0.25">
      <c r="A264">
        <v>2021</v>
      </c>
      <c r="B264" t="s">
        <v>4</v>
      </c>
      <c r="C264" t="s">
        <v>163</v>
      </c>
      <c r="D264" t="s">
        <v>2923</v>
      </c>
      <c r="E264" t="s">
        <v>164</v>
      </c>
      <c r="F264" t="s">
        <v>738</v>
      </c>
      <c r="G264" t="s">
        <v>2814</v>
      </c>
      <c r="H264" t="s">
        <v>2051</v>
      </c>
      <c r="I264">
        <v>44126</v>
      </c>
      <c r="J264" t="s">
        <v>2052</v>
      </c>
      <c r="K264">
        <v>44252</v>
      </c>
      <c r="L264">
        <v>126</v>
      </c>
      <c r="M264" t="s">
        <v>3069</v>
      </c>
      <c r="N264" t="s">
        <v>120</v>
      </c>
      <c r="O264">
        <v>44256</v>
      </c>
      <c r="P264" t="s">
        <v>739</v>
      </c>
      <c r="Q264">
        <v>1962.5</v>
      </c>
      <c r="R264" t="s">
        <v>1922</v>
      </c>
      <c r="S264" t="s">
        <v>709</v>
      </c>
      <c r="T264" t="s">
        <v>709</v>
      </c>
      <c r="U264">
        <v>1962.5</v>
      </c>
      <c r="V264">
        <v>409</v>
      </c>
      <c r="AM264" t="s">
        <v>709</v>
      </c>
      <c r="AY264" t="s">
        <v>29</v>
      </c>
      <c r="BA264">
        <v>2</v>
      </c>
      <c r="BI264" t="s">
        <v>709</v>
      </c>
      <c r="BJ264" t="s">
        <v>709</v>
      </c>
      <c r="BK264" t="s">
        <v>709</v>
      </c>
      <c r="BL264" t="s">
        <v>116</v>
      </c>
      <c r="BM264">
        <v>381</v>
      </c>
      <c r="BN264" t="s">
        <v>709</v>
      </c>
      <c r="BO264" t="s">
        <v>709</v>
      </c>
      <c r="BP264" t="s">
        <v>709</v>
      </c>
      <c r="BQ264" t="s">
        <v>709</v>
      </c>
      <c r="BR264" t="s">
        <v>709</v>
      </c>
      <c r="BS264">
        <v>28</v>
      </c>
      <c r="BT264" t="s">
        <v>745</v>
      </c>
      <c r="BU264" t="s">
        <v>709</v>
      </c>
      <c r="BV264" t="s">
        <v>745</v>
      </c>
      <c r="BW264" t="s">
        <v>709</v>
      </c>
      <c r="BX264" t="s">
        <v>745</v>
      </c>
      <c r="BY264" t="s">
        <v>745</v>
      </c>
      <c r="BZ264" t="s">
        <v>709</v>
      </c>
      <c r="CB264">
        <v>262</v>
      </c>
      <c r="CC264" t="b">
        <v>1</v>
      </c>
      <c r="CD264" t="s">
        <v>3070</v>
      </c>
      <c r="CE264" s="1482">
        <v>45880.733043981483</v>
      </c>
    </row>
    <row r="265" spans="1:83" x14ac:dyDescent="0.25">
      <c r="A265">
        <v>2021</v>
      </c>
      <c r="B265" t="s">
        <v>4</v>
      </c>
      <c r="C265" t="s">
        <v>159</v>
      </c>
      <c r="D265" t="s">
        <v>2868</v>
      </c>
      <c r="E265" t="s">
        <v>2032</v>
      </c>
      <c r="F265" t="s">
        <v>738</v>
      </c>
      <c r="G265" t="s">
        <v>2814</v>
      </c>
      <c r="H265" t="s">
        <v>2051</v>
      </c>
      <c r="I265">
        <v>44110</v>
      </c>
      <c r="J265" t="s">
        <v>2052</v>
      </c>
      <c r="K265">
        <v>44253</v>
      </c>
      <c r="L265">
        <v>143</v>
      </c>
      <c r="M265" t="s">
        <v>3071</v>
      </c>
      <c r="N265" t="s">
        <v>120</v>
      </c>
      <c r="O265">
        <v>44256</v>
      </c>
      <c r="P265" t="s">
        <v>739</v>
      </c>
      <c r="Q265">
        <v>2407.5</v>
      </c>
      <c r="R265" t="s">
        <v>1922</v>
      </c>
      <c r="S265" t="s">
        <v>709</v>
      </c>
      <c r="T265" t="s">
        <v>709</v>
      </c>
      <c r="U265">
        <v>2407.5</v>
      </c>
      <c r="V265">
        <v>2574</v>
      </c>
      <c r="AM265" t="s">
        <v>709</v>
      </c>
      <c r="AY265" t="s">
        <v>29</v>
      </c>
      <c r="BA265">
        <v>10</v>
      </c>
      <c r="BI265" t="s">
        <v>709</v>
      </c>
      <c r="BJ265" t="s">
        <v>709</v>
      </c>
      <c r="BK265" t="s">
        <v>709</v>
      </c>
      <c r="BL265" t="s">
        <v>116</v>
      </c>
      <c r="BM265" t="s">
        <v>709</v>
      </c>
      <c r="BN265" t="s">
        <v>709</v>
      </c>
      <c r="BO265" t="s">
        <v>709</v>
      </c>
      <c r="BP265">
        <v>2574</v>
      </c>
      <c r="BQ265" t="s">
        <v>709</v>
      </c>
      <c r="BR265" t="s">
        <v>709</v>
      </c>
      <c r="BS265" t="s">
        <v>709</v>
      </c>
      <c r="BT265" t="s">
        <v>745</v>
      </c>
      <c r="BU265" t="s">
        <v>709</v>
      </c>
      <c r="BV265" t="s">
        <v>745</v>
      </c>
      <c r="BW265" t="s">
        <v>709</v>
      </c>
      <c r="BX265" t="s">
        <v>745</v>
      </c>
      <c r="BY265" t="s">
        <v>745</v>
      </c>
      <c r="BZ265" t="s">
        <v>709</v>
      </c>
      <c r="CB265">
        <v>263</v>
      </c>
      <c r="CC265" t="b">
        <v>1</v>
      </c>
      <c r="CD265" t="s">
        <v>3072</v>
      </c>
      <c r="CE265" s="1482">
        <v>45880.733055555553</v>
      </c>
    </row>
    <row r="266" spans="1:83" ht="195" x14ac:dyDescent="0.25">
      <c r="A266">
        <v>2021</v>
      </c>
      <c r="B266" t="s">
        <v>1162</v>
      </c>
      <c r="C266" t="s">
        <v>195</v>
      </c>
      <c r="D266" t="s">
        <v>1163</v>
      </c>
      <c r="E266" t="s">
        <v>1164</v>
      </c>
      <c r="F266" t="s">
        <v>738</v>
      </c>
      <c r="G266" t="s">
        <v>2743</v>
      </c>
      <c r="H266" t="s">
        <v>59</v>
      </c>
      <c r="I266">
        <v>44166</v>
      </c>
      <c r="J266">
        <v>44259</v>
      </c>
      <c r="K266">
        <v>44259</v>
      </c>
      <c r="L266">
        <v>0</v>
      </c>
      <c r="N266" t="s">
        <v>120</v>
      </c>
      <c r="O266">
        <v>44259</v>
      </c>
      <c r="P266" t="s">
        <v>739</v>
      </c>
      <c r="Q266">
        <v>34108.435899999997</v>
      </c>
      <c r="R266">
        <v>7.0000000000000007E-2</v>
      </c>
      <c r="V266">
        <v>2887</v>
      </c>
      <c r="X266">
        <v>474251.77</v>
      </c>
      <c r="Z266">
        <v>13011.6</v>
      </c>
      <c r="AA266">
        <v>487263.37</v>
      </c>
      <c r="AC266" t="s">
        <v>116</v>
      </c>
      <c r="AE266" t="s">
        <v>29</v>
      </c>
      <c r="AF266" t="s">
        <v>29</v>
      </c>
      <c r="AG266" t="s">
        <v>29</v>
      </c>
      <c r="AH266" t="s">
        <v>29</v>
      </c>
      <c r="AM266" t="s">
        <v>116</v>
      </c>
      <c r="AN266" t="s">
        <v>709</v>
      </c>
      <c r="AO266">
        <v>11033199</v>
      </c>
      <c r="AS266">
        <v>0</v>
      </c>
      <c r="AT266">
        <v>0</v>
      </c>
      <c r="AU266">
        <v>0</v>
      </c>
      <c r="AY266" t="s">
        <v>709</v>
      </c>
      <c r="AZ266">
        <v>9</v>
      </c>
      <c r="BA266" s="4" t="s">
        <v>1165</v>
      </c>
      <c r="BB266" t="s">
        <v>1166</v>
      </c>
      <c r="BC266" t="s">
        <v>709</v>
      </c>
      <c r="BD266" t="s">
        <v>1167</v>
      </c>
      <c r="BE266" t="s">
        <v>709</v>
      </c>
      <c r="BF266" t="s">
        <v>1168</v>
      </c>
      <c r="BG266" t="s">
        <v>709</v>
      </c>
      <c r="BI266" t="s">
        <v>709</v>
      </c>
      <c r="BJ266" t="s">
        <v>709</v>
      </c>
      <c r="BK266" t="s">
        <v>709</v>
      </c>
      <c r="BL266" t="s">
        <v>116</v>
      </c>
      <c r="BM266" t="s">
        <v>709</v>
      </c>
      <c r="BN266" t="s">
        <v>709</v>
      </c>
      <c r="BO266" t="s">
        <v>709</v>
      </c>
      <c r="BP266">
        <v>189</v>
      </c>
      <c r="BQ266">
        <v>1085</v>
      </c>
      <c r="BR266">
        <v>1755</v>
      </c>
      <c r="BS266">
        <v>93</v>
      </c>
      <c r="BT266" t="s">
        <v>745</v>
      </c>
      <c r="BU266" t="s">
        <v>709</v>
      </c>
      <c r="BV266" t="s">
        <v>745</v>
      </c>
      <c r="BW266" t="s">
        <v>709</v>
      </c>
      <c r="BX266" t="s">
        <v>745</v>
      </c>
      <c r="BY266" t="s">
        <v>745</v>
      </c>
      <c r="BZ266" t="s">
        <v>709</v>
      </c>
      <c r="CB266">
        <v>264</v>
      </c>
      <c r="CC266" t="b">
        <v>1</v>
      </c>
      <c r="CD266" t="s">
        <v>3073</v>
      </c>
      <c r="CE266" s="1482">
        <v>45880.733055555553</v>
      </c>
    </row>
    <row r="267" spans="1:83" ht="150" x14ac:dyDescent="0.25">
      <c r="A267">
        <v>2021</v>
      </c>
      <c r="B267" t="s">
        <v>771</v>
      </c>
      <c r="C267" t="s">
        <v>177</v>
      </c>
      <c r="D267" t="s">
        <v>3074</v>
      </c>
      <c r="E267" t="s">
        <v>1164</v>
      </c>
      <c r="F267" t="s">
        <v>738</v>
      </c>
      <c r="G267" t="s">
        <v>2814</v>
      </c>
      <c r="H267" t="s">
        <v>59</v>
      </c>
      <c r="I267">
        <v>44138</v>
      </c>
      <c r="J267">
        <v>44260</v>
      </c>
      <c r="K267">
        <v>44260</v>
      </c>
      <c r="L267">
        <v>0</v>
      </c>
      <c r="N267" t="s">
        <v>120</v>
      </c>
      <c r="O267">
        <v>44260</v>
      </c>
      <c r="P267" t="s">
        <v>120</v>
      </c>
      <c r="Q267">
        <v>141889.17689999999</v>
      </c>
      <c r="R267">
        <v>0.09</v>
      </c>
      <c r="S267" t="s">
        <v>709</v>
      </c>
      <c r="T267" t="s">
        <v>709</v>
      </c>
      <c r="U267" t="s">
        <v>709</v>
      </c>
      <c r="V267">
        <v>3569</v>
      </c>
      <c r="X267">
        <v>1519700</v>
      </c>
      <c r="Z267">
        <v>56846.41</v>
      </c>
      <c r="AA267">
        <v>1576546.41</v>
      </c>
      <c r="AC267" t="s">
        <v>116</v>
      </c>
      <c r="AM267" t="s">
        <v>116</v>
      </c>
      <c r="AN267">
        <v>44314</v>
      </c>
      <c r="AO267">
        <v>186862</v>
      </c>
      <c r="AP267">
        <v>1520192.97</v>
      </c>
      <c r="AR267">
        <v>56846.41</v>
      </c>
      <c r="AS267">
        <v>1577039.38</v>
      </c>
      <c r="AT267">
        <v>492.97</v>
      </c>
      <c r="AU267">
        <v>44.3673</v>
      </c>
      <c r="AV267" t="s">
        <v>709</v>
      </c>
      <c r="AW267" s="4" t="s">
        <v>3075</v>
      </c>
      <c r="AY267" t="s">
        <v>1935</v>
      </c>
      <c r="BA267" t="s">
        <v>3076</v>
      </c>
      <c r="BB267" t="s">
        <v>3077</v>
      </c>
      <c r="BC267" t="s">
        <v>709</v>
      </c>
      <c r="BD267" t="s">
        <v>709</v>
      </c>
      <c r="BE267" t="s">
        <v>1168</v>
      </c>
      <c r="BF267" t="s">
        <v>709</v>
      </c>
      <c r="BG267" t="s">
        <v>709</v>
      </c>
      <c r="BI267" t="s">
        <v>709</v>
      </c>
      <c r="BJ267" t="s">
        <v>709</v>
      </c>
      <c r="BK267" t="s">
        <v>116</v>
      </c>
      <c r="BL267" t="s">
        <v>709</v>
      </c>
      <c r="BM267" t="s">
        <v>709</v>
      </c>
      <c r="BN267">
        <v>3542</v>
      </c>
      <c r="BO267" t="s">
        <v>709</v>
      </c>
      <c r="BP267" t="s">
        <v>709</v>
      </c>
      <c r="BQ267">
        <v>27</v>
      </c>
      <c r="BR267" t="s">
        <v>709</v>
      </c>
      <c r="BS267" t="s">
        <v>709</v>
      </c>
      <c r="BT267" t="s">
        <v>745</v>
      </c>
      <c r="BU267" t="s">
        <v>709</v>
      </c>
      <c r="BV267" t="s">
        <v>745</v>
      </c>
      <c r="BW267" t="s">
        <v>709</v>
      </c>
      <c r="BX267" t="s">
        <v>745</v>
      </c>
      <c r="BY267" t="s">
        <v>745</v>
      </c>
      <c r="BZ267" t="s">
        <v>709</v>
      </c>
      <c r="CB267">
        <v>265</v>
      </c>
      <c r="CC267" t="b">
        <v>1</v>
      </c>
      <c r="CD267" t="s">
        <v>3078</v>
      </c>
      <c r="CE267" s="1482">
        <v>45880.733067129629</v>
      </c>
    </row>
    <row r="268" spans="1:83" x14ac:dyDescent="0.25">
      <c r="A268">
        <v>2020</v>
      </c>
      <c r="B268" t="s">
        <v>4</v>
      </c>
      <c r="C268" t="s">
        <v>187</v>
      </c>
      <c r="D268" t="s">
        <v>2798</v>
      </c>
      <c r="E268" t="s">
        <v>1164</v>
      </c>
      <c r="F268" t="s">
        <v>738</v>
      </c>
      <c r="G268" t="s">
        <v>40</v>
      </c>
      <c r="H268" t="s">
        <v>2051</v>
      </c>
      <c r="I268">
        <v>43742</v>
      </c>
      <c r="J268" t="s">
        <v>2052</v>
      </c>
      <c r="K268">
        <v>44264</v>
      </c>
      <c r="L268">
        <v>522</v>
      </c>
      <c r="M268" t="s">
        <v>3079</v>
      </c>
      <c r="N268" t="s">
        <v>120</v>
      </c>
      <c r="O268">
        <v>44264</v>
      </c>
      <c r="P268" t="s">
        <v>120</v>
      </c>
      <c r="Q268">
        <v>2620</v>
      </c>
      <c r="R268" t="s">
        <v>1922</v>
      </c>
      <c r="S268" t="s">
        <v>709</v>
      </c>
      <c r="T268" t="s">
        <v>709</v>
      </c>
      <c r="U268">
        <v>2620</v>
      </c>
      <c r="AM268" t="s">
        <v>709</v>
      </c>
      <c r="AY268" t="s">
        <v>29</v>
      </c>
      <c r="BA268" s="4">
        <v>1</v>
      </c>
      <c r="BB268" s="4"/>
      <c r="BI268" t="s">
        <v>709</v>
      </c>
      <c r="BJ268" t="s">
        <v>709</v>
      </c>
      <c r="BK268" t="s">
        <v>116</v>
      </c>
      <c r="BL268" t="s">
        <v>709</v>
      </c>
      <c r="BM268" t="s">
        <v>709</v>
      </c>
      <c r="BN268">
        <v>1644</v>
      </c>
      <c r="BO268" t="s">
        <v>709</v>
      </c>
      <c r="BP268" t="s">
        <v>709</v>
      </c>
      <c r="BQ268" t="s">
        <v>709</v>
      </c>
      <c r="BR268" t="s">
        <v>709</v>
      </c>
      <c r="BS268" t="s">
        <v>709</v>
      </c>
      <c r="BT268" t="s">
        <v>745</v>
      </c>
      <c r="BU268" t="s">
        <v>709</v>
      </c>
      <c r="BV268" t="s">
        <v>745</v>
      </c>
      <c r="BW268" t="s">
        <v>709</v>
      </c>
      <c r="BX268" t="s">
        <v>745</v>
      </c>
      <c r="BY268" t="s">
        <v>745</v>
      </c>
      <c r="BZ268" t="s">
        <v>709</v>
      </c>
      <c r="CB268">
        <v>266</v>
      </c>
      <c r="CC268" t="b">
        <v>1</v>
      </c>
      <c r="CD268" t="s">
        <v>3080</v>
      </c>
      <c r="CE268" s="1482">
        <v>45880.733078703706</v>
      </c>
    </row>
    <row r="269" spans="1:83" ht="180" x14ac:dyDescent="0.25">
      <c r="A269">
        <v>2021</v>
      </c>
      <c r="B269" t="s">
        <v>4</v>
      </c>
      <c r="C269" t="s">
        <v>3081</v>
      </c>
      <c r="D269" t="s">
        <v>3082</v>
      </c>
      <c r="E269" t="s">
        <v>783</v>
      </c>
      <c r="F269" t="s">
        <v>738</v>
      </c>
      <c r="G269" t="s">
        <v>2814</v>
      </c>
      <c r="H269" t="s">
        <v>59</v>
      </c>
      <c r="I269">
        <v>44235</v>
      </c>
      <c r="J269">
        <v>44284</v>
      </c>
      <c r="K269">
        <v>44266</v>
      </c>
      <c r="L269">
        <v>18</v>
      </c>
      <c r="N269" t="s">
        <v>120</v>
      </c>
      <c r="O269">
        <v>44266</v>
      </c>
      <c r="P269" t="s">
        <v>739</v>
      </c>
      <c r="Q269">
        <v>19874.983</v>
      </c>
      <c r="R269">
        <v>0.1</v>
      </c>
      <c r="S269" t="s">
        <v>709</v>
      </c>
      <c r="T269" t="s">
        <v>709</v>
      </c>
      <c r="U269" t="s">
        <v>709</v>
      </c>
      <c r="V269">
        <v>148</v>
      </c>
      <c r="X269">
        <v>175774.97</v>
      </c>
      <c r="Z269">
        <v>22974.86</v>
      </c>
      <c r="AA269">
        <v>198749.83</v>
      </c>
      <c r="AC269" t="s">
        <v>709</v>
      </c>
      <c r="AM269" t="s">
        <v>116</v>
      </c>
      <c r="AN269">
        <v>44307</v>
      </c>
      <c r="AO269">
        <v>188345</v>
      </c>
      <c r="AP269">
        <v>151791.78</v>
      </c>
      <c r="AR269">
        <v>22974.86</v>
      </c>
      <c r="AS269">
        <v>174766.64</v>
      </c>
      <c r="AT269">
        <v>-23983.19</v>
      </c>
      <c r="AU269">
        <v>-2398.319</v>
      </c>
      <c r="AV269" t="s">
        <v>709</v>
      </c>
      <c r="AW269" t="s">
        <v>3083</v>
      </c>
      <c r="AX269">
        <v>-2398.319</v>
      </c>
      <c r="AY269">
        <v>44501</v>
      </c>
      <c r="BA269" s="4" t="s">
        <v>3084</v>
      </c>
      <c r="BB269" s="4" t="s">
        <v>1156</v>
      </c>
      <c r="BC269" t="s">
        <v>709</v>
      </c>
      <c r="BD269" t="s">
        <v>709</v>
      </c>
      <c r="BE269" t="s">
        <v>789</v>
      </c>
      <c r="BF269" t="s">
        <v>709</v>
      </c>
      <c r="BG269" t="s">
        <v>709</v>
      </c>
      <c r="BI269" t="s">
        <v>709</v>
      </c>
      <c r="BJ269" t="s">
        <v>709</v>
      </c>
      <c r="BK269" t="s">
        <v>709</v>
      </c>
      <c r="BL269" t="s">
        <v>116</v>
      </c>
      <c r="BM269" t="s">
        <v>709</v>
      </c>
      <c r="BN269" t="s">
        <v>709</v>
      </c>
      <c r="BO269" t="s">
        <v>709</v>
      </c>
      <c r="BP269" t="s">
        <v>709</v>
      </c>
      <c r="BQ269" t="s">
        <v>709</v>
      </c>
      <c r="BR269">
        <v>148</v>
      </c>
      <c r="BS269" t="s">
        <v>709</v>
      </c>
      <c r="BT269" t="s">
        <v>745</v>
      </c>
      <c r="BU269" t="s">
        <v>709</v>
      </c>
      <c r="BV269" t="s">
        <v>745</v>
      </c>
      <c r="BW269" t="s">
        <v>709</v>
      </c>
      <c r="BX269" t="s">
        <v>745</v>
      </c>
      <c r="BY269" t="s">
        <v>745</v>
      </c>
      <c r="BZ269" t="s">
        <v>709</v>
      </c>
      <c r="CB269">
        <v>267</v>
      </c>
      <c r="CC269" t="b">
        <v>1</v>
      </c>
      <c r="CD269" t="s">
        <v>3085</v>
      </c>
      <c r="CE269" s="1482">
        <v>45880.733078703706</v>
      </c>
    </row>
    <row r="270" spans="1:83" x14ac:dyDescent="0.25">
      <c r="A270">
        <v>2020</v>
      </c>
      <c r="B270" t="s">
        <v>4</v>
      </c>
      <c r="C270" t="s">
        <v>2839</v>
      </c>
      <c r="D270" t="s">
        <v>2840</v>
      </c>
      <c r="E270" t="s">
        <v>183</v>
      </c>
      <c r="F270" t="s">
        <v>738</v>
      </c>
      <c r="G270" t="s">
        <v>2814</v>
      </c>
      <c r="H270" t="s">
        <v>2051</v>
      </c>
      <c r="I270">
        <v>44110</v>
      </c>
      <c r="J270" t="s">
        <v>2052</v>
      </c>
      <c r="K270">
        <v>44272</v>
      </c>
      <c r="L270">
        <v>162</v>
      </c>
      <c r="M270" t="s">
        <v>3086</v>
      </c>
      <c r="N270" t="s">
        <v>120</v>
      </c>
      <c r="O270">
        <v>44272</v>
      </c>
      <c r="P270" t="s">
        <v>739</v>
      </c>
      <c r="Q270">
        <v>16065</v>
      </c>
      <c r="R270" t="s">
        <v>1922</v>
      </c>
      <c r="S270" t="s">
        <v>709</v>
      </c>
      <c r="T270" t="s">
        <v>709</v>
      </c>
      <c r="U270">
        <v>16065</v>
      </c>
      <c r="V270">
        <v>2258</v>
      </c>
      <c r="AM270" t="s">
        <v>709</v>
      </c>
      <c r="AY270" t="s">
        <v>29</v>
      </c>
      <c r="BA270" s="4">
        <v>12</v>
      </c>
      <c r="BB270" s="4"/>
      <c r="BI270" t="s">
        <v>709</v>
      </c>
      <c r="BJ270" t="s">
        <v>709</v>
      </c>
      <c r="BK270" t="s">
        <v>709</v>
      </c>
      <c r="BL270" t="s">
        <v>116</v>
      </c>
      <c r="BM270" t="s">
        <v>709</v>
      </c>
      <c r="BN270" t="s">
        <v>709</v>
      </c>
      <c r="BO270" t="s">
        <v>709</v>
      </c>
      <c r="BP270" t="s">
        <v>709</v>
      </c>
      <c r="BQ270" t="s">
        <v>709</v>
      </c>
      <c r="BR270" t="s">
        <v>709</v>
      </c>
      <c r="BS270">
        <v>3616</v>
      </c>
      <c r="BT270" t="s">
        <v>745</v>
      </c>
      <c r="BU270" t="s">
        <v>709</v>
      </c>
      <c r="BV270" t="s">
        <v>745</v>
      </c>
      <c r="BW270" t="s">
        <v>709</v>
      </c>
      <c r="BX270" t="s">
        <v>745</v>
      </c>
      <c r="BY270" t="s">
        <v>745</v>
      </c>
      <c r="BZ270" t="s">
        <v>709</v>
      </c>
      <c r="CB270">
        <v>268</v>
      </c>
      <c r="CC270" t="b">
        <v>1</v>
      </c>
      <c r="CD270" t="s">
        <v>3087</v>
      </c>
      <c r="CE270" s="1482">
        <v>45880.733090277776</v>
      </c>
    </row>
    <row r="271" spans="1:83" ht="315" x14ac:dyDescent="0.25">
      <c r="A271">
        <v>2021</v>
      </c>
      <c r="B271" t="s">
        <v>771</v>
      </c>
      <c r="C271" t="s">
        <v>3088</v>
      </c>
      <c r="D271" t="s">
        <v>3089</v>
      </c>
      <c r="E271" t="s">
        <v>3012</v>
      </c>
      <c r="F271" t="s">
        <v>919</v>
      </c>
      <c r="G271" t="s">
        <v>1882</v>
      </c>
      <c r="H271" t="s">
        <v>59</v>
      </c>
      <c r="I271">
        <v>44188</v>
      </c>
      <c r="J271">
        <v>44286</v>
      </c>
      <c r="K271">
        <v>44273</v>
      </c>
      <c r="L271">
        <v>13</v>
      </c>
      <c r="N271" t="s">
        <v>120</v>
      </c>
      <c r="O271">
        <v>44273</v>
      </c>
      <c r="P271" t="s">
        <v>120</v>
      </c>
      <c r="Q271">
        <v>8901.65</v>
      </c>
      <c r="R271" t="s">
        <v>2087</v>
      </c>
      <c r="S271" t="s">
        <v>709</v>
      </c>
      <c r="T271" t="s">
        <v>709</v>
      </c>
      <c r="U271" t="s">
        <v>709</v>
      </c>
      <c r="V271">
        <v>5743</v>
      </c>
      <c r="X271">
        <v>903511.32</v>
      </c>
      <c r="Z271">
        <v>31031.01</v>
      </c>
      <c r="AA271">
        <v>934542.33</v>
      </c>
      <c r="AC271" t="s">
        <v>709</v>
      </c>
      <c r="AM271" t="s">
        <v>709</v>
      </c>
      <c r="AY271" t="s">
        <v>29</v>
      </c>
      <c r="BA271" s="4" t="s">
        <v>3090</v>
      </c>
      <c r="BB271" s="4" t="s">
        <v>3091</v>
      </c>
      <c r="BC271" t="s">
        <v>116</v>
      </c>
      <c r="BD271" t="s">
        <v>709</v>
      </c>
      <c r="BE271" t="s">
        <v>3015</v>
      </c>
      <c r="BF271" t="s">
        <v>709</v>
      </c>
      <c r="BG271" t="s">
        <v>709</v>
      </c>
      <c r="BI271" t="s">
        <v>709</v>
      </c>
      <c r="BJ271" t="s">
        <v>709</v>
      </c>
      <c r="BK271" t="s">
        <v>709</v>
      </c>
      <c r="BL271" t="s">
        <v>116</v>
      </c>
      <c r="BM271" t="s">
        <v>709</v>
      </c>
      <c r="BN271" t="s">
        <v>709</v>
      </c>
      <c r="BO271" t="s">
        <v>709</v>
      </c>
      <c r="BP271" t="s">
        <v>709</v>
      </c>
      <c r="BQ271" t="s">
        <v>709</v>
      </c>
      <c r="BR271" t="s">
        <v>709</v>
      </c>
      <c r="BS271">
        <v>5743</v>
      </c>
      <c r="BT271" t="s">
        <v>745</v>
      </c>
      <c r="BU271" t="s">
        <v>709</v>
      </c>
      <c r="BV271" t="s">
        <v>745</v>
      </c>
      <c r="BW271" t="s">
        <v>709</v>
      </c>
      <c r="BX271" t="s">
        <v>745</v>
      </c>
      <c r="BY271" t="s">
        <v>745</v>
      </c>
      <c r="BZ271" t="s">
        <v>709</v>
      </c>
      <c r="CB271">
        <v>269</v>
      </c>
      <c r="CC271" t="b">
        <v>1</v>
      </c>
      <c r="CD271" t="s">
        <v>3092</v>
      </c>
      <c r="CE271" s="1482">
        <v>45880.733101851853</v>
      </c>
    </row>
    <row r="272" spans="1:83" x14ac:dyDescent="0.25">
      <c r="A272">
        <v>2020</v>
      </c>
      <c r="B272" t="s">
        <v>771</v>
      </c>
      <c r="C272" t="s">
        <v>2829</v>
      </c>
      <c r="D272" t="s">
        <v>2830</v>
      </c>
      <c r="E272" t="s">
        <v>2246</v>
      </c>
      <c r="F272" t="s">
        <v>919</v>
      </c>
      <c r="G272" t="s">
        <v>1882</v>
      </c>
      <c r="H272" t="s">
        <v>2051</v>
      </c>
      <c r="I272">
        <v>44166</v>
      </c>
      <c r="J272" t="s">
        <v>2052</v>
      </c>
      <c r="K272">
        <v>44274</v>
      </c>
      <c r="L272">
        <v>108</v>
      </c>
      <c r="M272" t="s">
        <v>3093</v>
      </c>
      <c r="N272" t="s">
        <v>120</v>
      </c>
      <c r="O272">
        <v>44274</v>
      </c>
      <c r="P272" t="s">
        <v>120</v>
      </c>
      <c r="Q272">
        <v>4125</v>
      </c>
      <c r="R272" t="s">
        <v>1922</v>
      </c>
      <c r="S272" t="s">
        <v>709</v>
      </c>
      <c r="T272" t="s">
        <v>709</v>
      </c>
      <c r="U272">
        <v>4125</v>
      </c>
      <c r="V272">
        <v>1021</v>
      </c>
      <c r="X272">
        <v>408696.29</v>
      </c>
      <c r="Z272">
        <v>44534.28</v>
      </c>
      <c r="AA272">
        <v>453230.57</v>
      </c>
      <c r="AM272" t="s">
        <v>709</v>
      </c>
      <c r="AY272" t="s">
        <v>29</v>
      </c>
      <c r="BA272">
        <v>4</v>
      </c>
      <c r="BI272" t="s">
        <v>709</v>
      </c>
      <c r="BJ272" t="s">
        <v>709</v>
      </c>
      <c r="BK272" t="s">
        <v>709</v>
      </c>
      <c r="BL272" t="s">
        <v>116</v>
      </c>
      <c r="BM272" t="s">
        <v>709</v>
      </c>
      <c r="BN272" t="s">
        <v>709</v>
      </c>
      <c r="BO272" t="s">
        <v>709</v>
      </c>
      <c r="BP272">
        <v>699</v>
      </c>
      <c r="BQ272" t="s">
        <v>709</v>
      </c>
      <c r="BR272">
        <v>68</v>
      </c>
      <c r="BS272">
        <v>254</v>
      </c>
      <c r="BT272" t="s">
        <v>745</v>
      </c>
      <c r="BU272" t="s">
        <v>709</v>
      </c>
      <c r="BV272" t="s">
        <v>745</v>
      </c>
      <c r="BW272" t="s">
        <v>709</v>
      </c>
      <c r="BX272" t="s">
        <v>745</v>
      </c>
      <c r="BY272" t="s">
        <v>745</v>
      </c>
      <c r="BZ272" t="s">
        <v>709</v>
      </c>
      <c r="CB272">
        <v>271</v>
      </c>
      <c r="CC272" t="b">
        <v>1</v>
      </c>
      <c r="CD272" t="s">
        <v>3094</v>
      </c>
      <c r="CE272" s="1482">
        <v>45880.733101851853</v>
      </c>
    </row>
    <row r="273" spans="1:83" ht="210" x14ac:dyDescent="0.25">
      <c r="A273">
        <v>2021</v>
      </c>
      <c r="B273" t="s">
        <v>1108</v>
      </c>
      <c r="C273" t="s">
        <v>1169</v>
      </c>
      <c r="D273" t="s">
        <v>1170</v>
      </c>
      <c r="E273" t="s">
        <v>1171</v>
      </c>
      <c r="F273" t="s">
        <v>1172</v>
      </c>
      <c r="G273" t="s">
        <v>40</v>
      </c>
      <c r="H273" t="s">
        <v>59</v>
      </c>
      <c r="I273">
        <v>44188</v>
      </c>
      <c r="J273">
        <v>44274</v>
      </c>
      <c r="K273">
        <v>44274</v>
      </c>
      <c r="L273">
        <v>0</v>
      </c>
      <c r="N273" t="s">
        <v>120</v>
      </c>
      <c r="O273">
        <v>44274</v>
      </c>
      <c r="P273" t="s">
        <v>739</v>
      </c>
      <c r="Q273">
        <v>22430.406999999999</v>
      </c>
      <c r="R273" t="s">
        <v>1055</v>
      </c>
      <c r="S273" t="s">
        <v>709</v>
      </c>
      <c r="T273" t="s">
        <v>709</v>
      </c>
      <c r="U273" t="s">
        <v>709</v>
      </c>
      <c r="V273">
        <v>8</v>
      </c>
      <c r="X273">
        <v>165048.51</v>
      </c>
      <c r="Z273">
        <v>7662.16</v>
      </c>
      <c r="AA273">
        <v>172710.67</v>
      </c>
      <c r="AC273" t="s">
        <v>116</v>
      </c>
      <c r="AM273" t="s">
        <v>116</v>
      </c>
      <c r="AN273" t="s">
        <v>709</v>
      </c>
      <c r="AO273" t="s">
        <v>115</v>
      </c>
      <c r="AS273">
        <v>0</v>
      </c>
      <c r="AT273">
        <v>0</v>
      </c>
      <c r="AU273">
        <v>0</v>
      </c>
      <c r="AY273" t="s">
        <v>709</v>
      </c>
      <c r="AZ273">
        <v>177</v>
      </c>
      <c r="BA273" s="4" t="s">
        <v>1173</v>
      </c>
      <c r="BB273" t="s">
        <v>1174</v>
      </c>
      <c r="BC273" t="s">
        <v>116</v>
      </c>
      <c r="BD273" t="s">
        <v>709</v>
      </c>
      <c r="BE273" t="s">
        <v>709</v>
      </c>
      <c r="BF273" t="s">
        <v>709</v>
      </c>
      <c r="BG273" t="s">
        <v>709</v>
      </c>
      <c r="BI273" t="s">
        <v>709</v>
      </c>
      <c r="BJ273" t="s">
        <v>709</v>
      </c>
      <c r="BK273" t="s">
        <v>116</v>
      </c>
      <c r="BL273" t="s">
        <v>709</v>
      </c>
      <c r="BM273" t="s">
        <v>709</v>
      </c>
      <c r="BN273" t="s">
        <v>709</v>
      </c>
      <c r="BO273" t="s">
        <v>709</v>
      </c>
      <c r="BP273">
        <v>4</v>
      </c>
      <c r="BQ273">
        <v>4</v>
      </c>
      <c r="BR273" t="s">
        <v>709</v>
      </c>
      <c r="BS273" t="s">
        <v>709</v>
      </c>
      <c r="BT273" t="s">
        <v>709</v>
      </c>
      <c r="BU273" t="s">
        <v>709</v>
      </c>
      <c r="BV273" t="s">
        <v>709</v>
      </c>
      <c r="BW273">
        <v>2</v>
      </c>
      <c r="BX273" t="s">
        <v>709</v>
      </c>
      <c r="BY273" t="s">
        <v>709</v>
      </c>
      <c r="BZ273" t="s">
        <v>709</v>
      </c>
      <c r="CA273" t="s">
        <v>2</v>
      </c>
      <c r="CB273">
        <v>270</v>
      </c>
      <c r="CC273" t="b">
        <v>1</v>
      </c>
      <c r="CD273" t="s">
        <v>3095</v>
      </c>
      <c r="CE273" s="1482">
        <v>45880.733113425929</v>
      </c>
    </row>
    <row r="274" spans="1:83" ht="315" x14ac:dyDescent="0.25">
      <c r="A274">
        <v>2021</v>
      </c>
      <c r="B274" t="s">
        <v>4</v>
      </c>
      <c r="C274" t="s">
        <v>3096</v>
      </c>
      <c r="D274" t="s">
        <v>3097</v>
      </c>
      <c r="E274" t="s">
        <v>3098</v>
      </c>
      <c r="F274" t="s">
        <v>919</v>
      </c>
      <c r="G274" t="s">
        <v>39</v>
      </c>
      <c r="H274" t="s">
        <v>1903</v>
      </c>
      <c r="I274">
        <v>44251</v>
      </c>
      <c r="J274">
        <v>44309</v>
      </c>
      <c r="K274">
        <v>44277</v>
      </c>
      <c r="L274">
        <v>32</v>
      </c>
      <c r="N274" t="s">
        <v>120</v>
      </c>
      <c r="O274">
        <v>44277</v>
      </c>
      <c r="P274" t="s">
        <v>739</v>
      </c>
      <c r="Q274" t="s">
        <v>115</v>
      </c>
      <c r="R274" t="s">
        <v>115</v>
      </c>
      <c r="S274" t="s">
        <v>709</v>
      </c>
      <c r="T274" t="s">
        <v>709</v>
      </c>
      <c r="U274" t="s">
        <v>709</v>
      </c>
      <c r="AM274" t="s">
        <v>709</v>
      </c>
      <c r="AY274" t="s">
        <v>29</v>
      </c>
      <c r="BA274" s="4" t="s">
        <v>3099</v>
      </c>
      <c r="BB274" t="s">
        <v>1216</v>
      </c>
      <c r="CB274">
        <v>272</v>
      </c>
      <c r="CC274" t="b">
        <v>1</v>
      </c>
      <c r="CD274" t="s">
        <v>3100</v>
      </c>
      <c r="CE274" s="1482">
        <v>45880.733113425929</v>
      </c>
    </row>
    <row r="275" spans="1:83" x14ac:dyDescent="0.25">
      <c r="A275">
        <v>2020</v>
      </c>
      <c r="B275" t="s">
        <v>4</v>
      </c>
      <c r="C275" t="s">
        <v>187</v>
      </c>
      <c r="D275" t="s">
        <v>2798</v>
      </c>
      <c r="E275" t="s">
        <v>1164</v>
      </c>
      <c r="F275" t="s">
        <v>738</v>
      </c>
      <c r="G275" t="s">
        <v>40</v>
      </c>
      <c r="H275" t="s">
        <v>2051</v>
      </c>
      <c r="I275">
        <v>43742</v>
      </c>
      <c r="J275" t="s">
        <v>2052</v>
      </c>
      <c r="K275">
        <v>44278</v>
      </c>
      <c r="L275">
        <v>536</v>
      </c>
      <c r="M275" t="s">
        <v>3101</v>
      </c>
      <c r="N275" t="s">
        <v>120</v>
      </c>
      <c r="O275">
        <v>44278</v>
      </c>
      <c r="P275" t="s">
        <v>120</v>
      </c>
      <c r="Q275">
        <v>2655</v>
      </c>
      <c r="R275" t="s">
        <v>1922</v>
      </c>
      <c r="S275" t="s">
        <v>709</v>
      </c>
      <c r="T275" t="s">
        <v>709</v>
      </c>
      <c r="U275">
        <v>2655</v>
      </c>
      <c r="AM275" t="s">
        <v>709</v>
      </c>
      <c r="AY275" t="s">
        <v>29</v>
      </c>
      <c r="BA275">
        <v>4</v>
      </c>
      <c r="BI275" t="s">
        <v>709</v>
      </c>
      <c r="BJ275" t="s">
        <v>709</v>
      </c>
      <c r="BK275" t="s">
        <v>116</v>
      </c>
      <c r="BL275" t="s">
        <v>709</v>
      </c>
      <c r="BM275" t="s">
        <v>709</v>
      </c>
      <c r="BN275">
        <v>1617</v>
      </c>
      <c r="BO275" t="s">
        <v>709</v>
      </c>
      <c r="BP275" t="s">
        <v>709</v>
      </c>
      <c r="BQ275" t="s">
        <v>709</v>
      </c>
      <c r="BR275" t="s">
        <v>709</v>
      </c>
      <c r="BS275" t="s">
        <v>709</v>
      </c>
      <c r="BT275" t="s">
        <v>745</v>
      </c>
      <c r="BU275" t="s">
        <v>709</v>
      </c>
      <c r="BV275" t="s">
        <v>745</v>
      </c>
      <c r="BW275" t="s">
        <v>709</v>
      </c>
      <c r="BX275" t="s">
        <v>745</v>
      </c>
      <c r="BY275" t="s">
        <v>745</v>
      </c>
      <c r="BZ275" t="s">
        <v>709</v>
      </c>
      <c r="CB275">
        <v>274</v>
      </c>
      <c r="CC275" t="b">
        <v>1</v>
      </c>
      <c r="CD275" t="s">
        <v>3102</v>
      </c>
      <c r="CE275" s="1482">
        <v>45880.733124999999</v>
      </c>
    </row>
    <row r="276" spans="1:83" x14ac:dyDescent="0.25">
      <c r="A276">
        <v>2021</v>
      </c>
      <c r="B276" t="s">
        <v>4</v>
      </c>
      <c r="C276" t="s">
        <v>2912</v>
      </c>
      <c r="D276" t="s">
        <v>2916</v>
      </c>
      <c r="E276" t="s">
        <v>1032</v>
      </c>
      <c r="F276" t="s">
        <v>919</v>
      </c>
      <c r="G276" t="s">
        <v>2814</v>
      </c>
      <c r="H276" t="s">
        <v>2051</v>
      </c>
      <c r="I276">
        <v>44140</v>
      </c>
      <c r="J276" t="s">
        <v>2052</v>
      </c>
      <c r="K276">
        <v>44278</v>
      </c>
      <c r="L276">
        <v>138</v>
      </c>
      <c r="M276" t="s">
        <v>3103</v>
      </c>
      <c r="N276" t="s">
        <v>120</v>
      </c>
      <c r="O276">
        <v>44278</v>
      </c>
      <c r="P276" t="s">
        <v>739</v>
      </c>
      <c r="Q276">
        <v>1047.5</v>
      </c>
      <c r="R276" t="s">
        <v>1922</v>
      </c>
      <c r="S276" t="s">
        <v>709</v>
      </c>
      <c r="T276" t="s">
        <v>709</v>
      </c>
      <c r="U276">
        <v>1047.5</v>
      </c>
      <c r="AM276" t="s">
        <v>709</v>
      </c>
      <c r="AY276" t="s">
        <v>29</v>
      </c>
      <c r="BA276">
        <v>1</v>
      </c>
      <c r="BI276" t="s">
        <v>709</v>
      </c>
      <c r="BJ276" t="s">
        <v>709</v>
      </c>
      <c r="BK276" t="s">
        <v>709</v>
      </c>
      <c r="BL276" t="s">
        <v>116</v>
      </c>
      <c r="BM276" t="s">
        <v>709</v>
      </c>
      <c r="BN276" t="s">
        <v>709</v>
      </c>
      <c r="BO276" t="s">
        <v>709</v>
      </c>
      <c r="BP276" t="s">
        <v>709</v>
      </c>
      <c r="BQ276" t="s">
        <v>709</v>
      </c>
      <c r="BR276" t="s">
        <v>709</v>
      </c>
      <c r="BS276">
        <v>868</v>
      </c>
      <c r="BT276" t="s">
        <v>745</v>
      </c>
      <c r="BU276" t="s">
        <v>709</v>
      </c>
      <c r="BV276" t="s">
        <v>745</v>
      </c>
      <c r="BW276" t="s">
        <v>709</v>
      </c>
      <c r="BX276" t="s">
        <v>745</v>
      </c>
      <c r="BY276" t="s">
        <v>745</v>
      </c>
      <c r="BZ276" t="s">
        <v>709</v>
      </c>
      <c r="CB276">
        <v>273</v>
      </c>
      <c r="CC276" t="b">
        <v>1</v>
      </c>
      <c r="CD276" t="s">
        <v>3104</v>
      </c>
      <c r="CE276" s="1482">
        <v>45880.733136574076</v>
      </c>
    </row>
    <row r="277" spans="1:83" x14ac:dyDescent="0.25">
      <c r="A277">
        <v>2021</v>
      </c>
      <c r="B277" t="s">
        <v>4</v>
      </c>
      <c r="C277" t="s">
        <v>3105</v>
      </c>
      <c r="D277" t="s">
        <v>3106</v>
      </c>
      <c r="E277" t="s">
        <v>2126</v>
      </c>
      <c r="F277" t="s">
        <v>738</v>
      </c>
      <c r="G277" t="s">
        <v>2814</v>
      </c>
      <c r="H277" t="s">
        <v>59</v>
      </c>
      <c r="I277">
        <v>44215</v>
      </c>
      <c r="J277">
        <v>44285</v>
      </c>
      <c r="K277">
        <v>44279</v>
      </c>
      <c r="L277">
        <v>6</v>
      </c>
      <c r="N277" t="s">
        <v>120</v>
      </c>
      <c r="O277">
        <v>44279</v>
      </c>
      <c r="P277" t="s">
        <v>739</v>
      </c>
      <c r="Q277">
        <v>18521.802</v>
      </c>
      <c r="R277">
        <v>0.1</v>
      </c>
      <c r="S277" t="s">
        <v>709</v>
      </c>
      <c r="T277" t="s">
        <v>709</v>
      </c>
      <c r="U277" t="s">
        <v>709</v>
      </c>
      <c r="V277">
        <v>613</v>
      </c>
      <c r="X277">
        <v>149296.41</v>
      </c>
      <c r="Z277">
        <v>35921.61</v>
      </c>
      <c r="AA277">
        <v>185218.02</v>
      </c>
      <c r="AC277" t="s">
        <v>709</v>
      </c>
      <c r="AM277" t="s">
        <v>116</v>
      </c>
      <c r="AN277">
        <v>44377</v>
      </c>
      <c r="AO277">
        <v>189872</v>
      </c>
      <c r="AP277">
        <v>164866.96</v>
      </c>
      <c r="AR277">
        <v>37055.01</v>
      </c>
      <c r="AS277">
        <v>201921.97</v>
      </c>
      <c r="AT277">
        <v>16703.95</v>
      </c>
      <c r="AU277">
        <v>1670.395</v>
      </c>
      <c r="AV277">
        <v>1702.5</v>
      </c>
      <c r="AW277" t="s">
        <v>3107</v>
      </c>
      <c r="AX277">
        <v>1670.395</v>
      </c>
      <c r="AY277">
        <v>44501</v>
      </c>
      <c r="BA277" t="s">
        <v>3108</v>
      </c>
      <c r="BB277" t="s">
        <v>1216</v>
      </c>
      <c r="BC277" t="s">
        <v>709</v>
      </c>
      <c r="BD277" t="s">
        <v>1066</v>
      </c>
      <c r="BE277" t="s">
        <v>709</v>
      </c>
      <c r="BF277" t="s">
        <v>709</v>
      </c>
      <c r="BG277" t="s">
        <v>709</v>
      </c>
      <c r="BI277" t="s">
        <v>709</v>
      </c>
      <c r="BJ277" t="s">
        <v>709</v>
      </c>
      <c r="BK277" t="s">
        <v>709</v>
      </c>
      <c r="BL277" t="s">
        <v>116</v>
      </c>
      <c r="BM277" t="s">
        <v>709</v>
      </c>
      <c r="BN277" t="s">
        <v>709</v>
      </c>
      <c r="BO277" t="s">
        <v>709</v>
      </c>
      <c r="BP277" t="s">
        <v>709</v>
      </c>
      <c r="BQ277" t="s">
        <v>709</v>
      </c>
      <c r="BR277">
        <v>328</v>
      </c>
      <c r="BS277">
        <v>279</v>
      </c>
      <c r="BT277" t="s">
        <v>745</v>
      </c>
      <c r="BU277" t="s">
        <v>709</v>
      </c>
      <c r="BV277" t="s">
        <v>745</v>
      </c>
      <c r="BW277" t="s">
        <v>709</v>
      </c>
      <c r="BX277" t="s">
        <v>745</v>
      </c>
      <c r="BY277" t="s">
        <v>745</v>
      </c>
      <c r="BZ277" t="s">
        <v>709</v>
      </c>
      <c r="CB277">
        <v>275</v>
      </c>
      <c r="CC277" t="b">
        <v>1</v>
      </c>
      <c r="CD277" t="s">
        <v>3109</v>
      </c>
      <c r="CE277" s="1482">
        <v>45880.733136574076</v>
      </c>
    </row>
    <row r="278" spans="1:83" ht="45" x14ac:dyDescent="0.25">
      <c r="A278">
        <v>2021</v>
      </c>
      <c r="B278" t="s">
        <v>4</v>
      </c>
      <c r="C278" t="s">
        <v>3110</v>
      </c>
      <c r="D278" t="s">
        <v>3111</v>
      </c>
      <c r="E278" t="s">
        <v>1004</v>
      </c>
      <c r="F278" t="s">
        <v>919</v>
      </c>
      <c r="G278" t="s">
        <v>1882</v>
      </c>
      <c r="H278" t="s">
        <v>59</v>
      </c>
      <c r="I278">
        <v>44071</v>
      </c>
      <c r="J278">
        <v>44280</v>
      </c>
      <c r="K278">
        <v>44279</v>
      </c>
      <c r="L278">
        <v>1</v>
      </c>
      <c r="N278" t="s">
        <v>120</v>
      </c>
      <c r="O278">
        <v>44287</v>
      </c>
      <c r="P278" t="s">
        <v>120</v>
      </c>
      <c r="Q278">
        <v>198976.69399999999</v>
      </c>
      <c r="R278">
        <v>0.1</v>
      </c>
      <c r="S278" t="s">
        <v>709</v>
      </c>
      <c r="T278" t="s">
        <v>709</v>
      </c>
      <c r="U278" t="s">
        <v>709</v>
      </c>
      <c r="V278">
        <v>4353</v>
      </c>
      <c r="X278">
        <v>1916621.6</v>
      </c>
      <c r="Z278">
        <v>73145.34</v>
      </c>
      <c r="AA278">
        <v>1989766.94</v>
      </c>
      <c r="AC278" t="s">
        <v>116</v>
      </c>
      <c r="AM278" t="s">
        <v>116</v>
      </c>
      <c r="AN278">
        <v>44468</v>
      </c>
      <c r="AO278">
        <v>185966</v>
      </c>
      <c r="AP278">
        <v>1916621.67</v>
      </c>
      <c r="AR278">
        <v>79271.570000000007</v>
      </c>
      <c r="AS278">
        <v>1995893.24</v>
      </c>
      <c r="AT278">
        <v>6126.3</v>
      </c>
      <c r="AU278">
        <v>612.63</v>
      </c>
      <c r="AV278">
        <v>6275</v>
      </c>
      <c r="AW278" t="s">
        <v>3112</v>
      </c>
      <c r="AY278" t="s">
        <v>1935</v>
      </c>
      <c r="BA278" t="s">
        <v>3113</v>
      </c>
      <c r="BB278" s="4" t="s">
        <v>2270</v>
      </c>
      <c r="BC278" t="s">
        <v>116</v>
      </c>
      <c r="BD278" t="s">
        <v>709</v>
      </c>
      <c r="BE278" t="s">
        <v>709</v>
      </c>
      <c r="BF278" t="s">
        <v>709</v>
      </c>
      <c r="BG278" t="s">
        <v>709</v>
      </c>
      <c r="BI278" t="s">
        <v>709</v>
      </c>
      <c r="BJ278" t="s">
        <v>709</v>
      </c>
      <c r="BK278" t="s">
        <v>116</v>
      </c>
      <c r="BL278" t="s">
        <v>709</v>
      </c>
      <c r="BM278" t="s">
        <v>709</v>
      </c>
      <c r="BN278">
        <v>4207</v>
      </c>
      <c r="BO278" t="s">
        <v>709</v>
      </c>
      <c r="BP278" t="s">
        <v>709</v>
      </c>
      <c r="BQ278" t="s">
        <v>709</v>
      </c>
      <c r="BR278">
        <v>20</v>
      </c>
      <c r="BS278">
        <v>126</v>
      </c>
      <c r="BT278" t="s">
        <v>709</v>
      </c>
      <c r="BU278" t="s">
        <v>709</v>
      </c>
      <c r="BV278" t="s">
        <v>745</v>
      </c>
      <c r="BW278" t="s">
        <v>709</v>
      </c>
      <c r="BX278">
        <v>1</v>
      </c>
      <c r="BY278" t="s">
        <v>745</v>
      </c>
      <c r="BZ278" t="s">
        <v>709</v>
      </c>
      <c r="CB278">
        <v>276</v>
      </c>
      <c r="CC278" t="b">
        <v>1</v>
      </c>
      <c r="CD278" t="s">
        <v>3114</v>
      </c>
      <c r="CE278" s="1482">
        <v>45880.733148148145</v>
      </c>
    </row>
    <row r="279" spans="1:83" x14ac:dyDescent="0.25">
      <c r="A279">
        <v>2021</v>
      </c>
      <c r="B279" t="s">
        <v>771</v>
      </c>
      <c r="C279" t="s">
        <v>3115</v>
      </c>
      <c r="D279" t="s">
        <v>3116</v>
      </c>
      <c r="E279" t="s">
        <v>2298</v>
      </c>
      <c r="F279" t="s">
        <v>919</v>
      </c>
      <c r="G279" t="s">
        <v>1882</v>
      </c>
      <c r="H279" t="s">
        <v>59</v>
      </c>
      <c r="I279">
        <v>44228</v>
      </c>
      <c r="J279">
        <v>44286</v>
      </c>
      <c r="K279">
        <v>44280</v>
      </c>
      <c r="L279">
        <v>6</v>
      </c>
      <c r="N279" t="s">
        <v>120</v>
      </c>
      <c r="O279">
        <v>44280</v>
      </c>
      <c r="P279" t="s">
        <v>120</v>
      </c>
      <c r="Q279">
        <v>9833.6690999999992</v>
      </c>
      <c r="R279">
        <v>0.09</v>
      </c>
      <c r="S279" t="s">
        <v>709</v>
      </c>
      <c r="T279" t="s">
        <v>709</v>
      </c>
      <c r="U279" t="s">
        <v>709</v>
      </c>
      <c r="V279">
        <v>497</v>
      </c>
      <c r="X279">
        <v>109262.99</v>
      </c>
      <c r="AA279">
        <v>109262.99</v>
      </c>
      <c r="AC279" t="s">
        <v>709</v>
      </c>
      <c r="AM279" t="s">
        <v>116</v>
      </c>
      <c r="AN279">
        <v>44452</v>
      </c>
      <c r="AO279">
        <v>190756</v>
      </c>
      <c r="AP279">
        <v>100386.44</v>
      </c>
      <c r="AR279">
        <v>0</v>
      </c>
      <c r="AS279">
        <v>100386.44</v>
      </c>
      <c r="AT279">
        <v>-8876.5499999999993</v>
      </c>
      <c r="AU279">
        <v>-798.8895</v>
      </c>
      <c r="AV279" t="s">
        <v>709</v>
      </c>
      <c r="AW279" t="s">
        <v>2677</v>
      </c>
      <c r="AX279">
        <v>-798.8895</v>
      </c>
      <c r="AY279">
        <v>44501</v>
      </c>
      <c r="BA279" t="s">
        <v>3117</v>
      </c>
      <c r="BB279" t="s">
        <v>3118</v>
      </c>
      <c r="BC279" t="s">
        <v>709</v>
      </c>
      <c r="BD279" t="s">
        <v>709</v>
      </c>
      <c r="BE279" t="s">
        <v>3119</v>
      </c>
      <c r="BF279" t="s">
        <v>709</v>
      </c>
      <c r="BG279" t="s">
        <v>709</v>
      </c>
      <c r="BI279" t="s">
        <v>709</v>
      </c>
      <c r="BJ279" t="s">
        <v>709</v>
      </c>
      <c r="BK279" t="s">
        <v>709</v>
      </c>
      <c r="BL279" t="s">
        <v>116</v>
      </c>
      <c r="BM279" t="s">
        <v>709</v>
      </c>
      <c r="BN279" t="s">
        <v>709</v>
      </c>
      <c r="BO279" t="s">
        <v>709</v>
      </c>
      <c r="BP279" t="s">
        <v>709</v>
      </c>
      <c r="BQ279" t="s">
        <v>709</v>
      </c>
      <c r="BR279" t="s">
        <v>709</v>
      </c>
      <c r="BS279">
        <v>487</v>
      </c>
      <c r="BT279" t="s">
        <v>745</v>
      </c>
      <c r="BU279" t="s">
        <v>709</v>
      </c>
      <c r="BV279" t="s">
        <v>745</v>
      </c>
      <c r="BW279" t="s">
        <v>709</v>
      </c>
      <c r="BX279" t="s">
        <v>745</v>
      </c>
      <c r="BY279" t="s">
        <v>745</v>
      </c>
      <c r="BZ279" t="s">
        <v>709</v>
      </c>
      <c r="CB279">
        <v>277</v>
      </c>
      <c r="CC279" t="b">
        <v>1</v>
      </c>
      <c r="CD279" t="s">
        <v>3120</v>
      </c>
      <c r="CE279" s="1482">
        <v>45880.733159722222</v>
      </c>
    </row>
    <row r="280" spans="1:83" x14ac:dyDescent="0.25">
      <c r="A280">
        <v>2021</v>
      </c>
      <c r="B280" t="s">
        <v>4</v>
      </c>
      <c r="C280" t="s">
        <v>3121</v>
      </c>
      <c r="D280" t="s">
        <v>3122</v>
      </c>
      <c r="E280" t="s">
        <v>818</v>
      </c>
      <c r="F280" t="s">
        <v>919</v>
      </c>
      <c r="G280" t="s">
        <v>2743</v>
      </c>
      <c r="H280" t="s">
        <v>59</v>
      </c>
      <c r="I280">
        <v>44172</v>
      </c>
      <c r="J280">
        <v>44280</v>
      </c>
      <c r="K280">
        <v>44280</v>
      </c>
      <c r="L280">
        <v>0</v>
      </c>
      <c r="N280" t="s">
        <v>120</v>
      </c>
      <c r="O280">
        <v>44280</v>
      </c>
      <c r="P280" t="s">
        <v>739</v>
      </c>
      <c r="Q280">
        <v>94864.114000000001</v>
      </c>
      <c r="R280">
        <v>0.1</v>
      </c>
      <c r="S280" t="s">
        <v>709</v>
      </c>
      <c r="T280" t="s">
        <v>709</v>
      </c>
      <c r="U280" t="s">
        <v>709</v>
      </c>
      <c r="V280">
        <v>4590</v>
      </c>
      <c r="X280">
        <v>709232.28</v>
      </c>
      <c r="Z280">
        <v>239408.86</v>
      </c>
      <c r="AA280">
        <v>948641.14</v>
      </c>
      <c r="AC280" t="s">
        <v>709</v>
      </c>
      <c r="AM280" t="s">
        <v>116</v>
      </c>
      <c r="AN280">
        <v>44343</v>
      </c>
      <c r="AO280">
        <v>189077</v>
      </c>
      <c r="AP280">
        <v>797927.12</v>
      </c>
      <c r="AR280">
        <v>242665.3</v>
      </c>
      <c r="AS280">
        <v>1040592.42</v>
      </c>
      <c r="AT280">
        <v>91951.28</v>
      </c>
      <c r="AU280">
        <v>9195.1280000000006</v>
      </c>
      <c r="AV280">
        <v>2075</v>
      </c>
      <c r="AX280">
        <v>9195.1280000000006</v>
      </c>
      <c r="AY280">
        <v>44501</v>
      </c>
      <c r="BA280" t="s">
        <v>3123</v>
      </c>
      <c r="BB280" t="s">
        <v>1156</v>
      </c>
      <c r="BC280" t="s">
        <v>709</v>
      </c>
      <c r="BD280" t="s">
        <v>709</v>
      </c>
      <c r="BE280" t="s">
        <v>822</v>
      </c>
      <c r="BF280" t="s">
        <v>3124</v>
      </c>
      <c r="BG280" t="s">
        <v>709</v>
      </c>
      <c r="BI280" t="s">
        <v>709</v>
      </c>
      <c r="BJ280" t="s">
        <v>709</v>
      </c>
      <c r="BK280" t="s">
        <v>709</v>
      </c>
      <c r="BL280" t="s">
        <v>116</v>
      </c>
      <c r="BM280" t="s">
        <v>709</v>
      </c>
      <c r="BN280" t="s">
        <v>709</v>
      </c>
      <c r="BO280" t="s">
        <v>709</v>
      </c>
      <c r="BP280" t="s">
        <v>709</v>
      </c>
      <c r="BQ280" t="s">
        <v>709</v>
      </c>
      <c r="BR280">
        <v>1777</v>
      </c>
      <c r="BS280">
        <v>2813</v>
      </c>
      <c r="BT280" t="s">
        <v>745</v>
      </c>
      <c r="BU280" t="s">
        <v>709</v>
      </c>
      <c r="BV280">
        <v>1</v>
      </c>
      <c r="BW280" t="s">
        <v>709</v>
      </c>
      <c r="BX280" t="s">
        <v>745</v>
      </c>
      <c r="BY280" t="s">
        <v>745</v>
      </c>
      <c r="BZ280" t="s">
        <v>709</v>
      </c>
      <c r="CB280">
        <v>278</v>
      </c>
      <c r="CC280" t="b">
        <v>1</v>
      </c>
      <c r="CD280" t="s">
        <v>3125</v>
      </c>
      <c r="CE280" s="1482">
        <v>45880.733171296299</v>
      </c>
    </row>
    <row r="281" spans="1:83" x14ac:dyDescent="0.25">
      <c r="A281">
        <v>2021</v>
      </c>
      <c r="B281" t="s">
        <v>771</v>
      </c>
      <c r="C281" t="s">
        <v>3126</v>
      </c>
      <c r="D281" t="s">
        <v>3127</v>
      </c>
      <c r="E281" t="s">
        <v>2786</v>
      </c>
      <c r="F281" t="s">
        <v>919</v>
      </c>
      <c r="G281" t="s">
        <v>1882</v>
      </c>
      <c r="H281" t="s">
        <v>59</v>
      </c>
      <c r="I281">
        <v>44204</v>
      </c>
      <c r="J281">
        <v>44288</v>
      </c>
      <c r="K281">
        <v>44287</v>
      </c>
      <c r="L281">
        <v>1</v>
      </c>
      <c r="N281" t="s">
        <v>120</v>
      </c>
      <c r="O281">
        <v>44287</v>
      </c>
      <c r="P281" t="s">
        <v>120</v>
      </c>
      <c r="Q281">
        <v>11463.8</v>
      </c>
      <c r="R281" t="s">
        <v>2087</v>
      </c>
      <c r="S281" t="s">
        <v>709</v>
      </c>
      <c r="T281" t="s">
        <v>709</v>
      </c>
      <c r="U281" t="s">
        <v>709</v>
      </c>
      <c r="V281">
        <v>7396</v>
      </c>
      <c r="X281">
        <v>1332070.2</v>
      </c>
      <c r="Z281">
        <v>94358.03</v>
      </c>
      <c r="AA281">
        <v>1426428.23</v>
      </c>
      <c r="AC281" t="s">
        <v>709</v>
      </c>
      <c r="AM281" t="s">
        <v>709</v>
      </c>
      <c r="AY281" t="s">
        <v>29</v>
      </c>
      <c r="BA281" t="s">
        <v>3128</v>
      </c>
      <c r="BB281" t="s">
        <v>3129</v>
      </c>
      <c r="BC281" t="s">
        <v>116</v>
      </c>
      <c r="BD281" t="s">
        <v>709</v>
      </c>
      <c r="BE281" t="s">
        <v>2954</v>
      </c>
      <c r="BF281" t="s">
        <v>709</v>
      </c>
      <c r="BG281" t="s">
        <v>709</v>
      </c>
      <c r="BI281" t="s">
        <v>709</v>
      </c>
      <c r="BJ281" t="s">
        <v>709</v>
      </c>
      <c r="BK281" t="s">
        <v>709</v>
      </c>
      <c r="BL281" t="s">
        <v>116</v>
      </c>
      <c r="BM281" t="s">
        <v>709</v>
      </c>
      <c r="BN281" t="s">
        <v>709</v>
      </c>
      <c r="BO281" t="s">
        <v>709</v>
      </c>
      <c r="BP281" t="s">
        <v>709</v>
      </c>
      <c r="BQ281" t="s">
        <v>709</v>
      </c>
      <c r="BR281" t="s">
        <v>709</v>
      </c>
      <c r="BS281">
        <v>7395</v>
      </c>
      <c r="BT281" t="s">
        <v>745</v>
      </c>
      <c r="BU281" t="s">
        <v>709</v>
      </c>
      <c r="BV281" t="s">
        <v>709</v>
      </c>
      <c r="BW281" t="s">
        <v>709</v>
      </c>
      <c r="BX281" t="s">
        <v>709</v>
      </c>
      <c r="BY281" t="s">
        <v>745</v>
      </c>
      <c r="BZ281" t="s">
        <v>709</v>
      </c>
      <c r="CB281">
        <v>279</v>
      </c>
      <c r="CC281" t="b">
        <v>1</v>
      </c>
      <c r="CD281" t="s">
        <v>3130</v>
      </c>
      <c r="CE281" s="1482">
        <v>45880.733171296299</v>
      </c>
    </row>
    <row r="282" spans="1:83" ht="135" x14ac:dyDescent="0.25">
      <c r="A282">
        <v>2021</v>
      </c>
      <c r="B282" t="s">
        <v>4</v>
      </c>
      <c r="C282" t="s">
        <v>3131</v>
      </c>
      <c r="D282" t="s">
        <v>115</v>
      </c>
      <c r="E282" t="s">
        <v>327</v>
      </c>
      <c r="F282" t="s">
        <v>919</v>
      </c>
      <c r="G282" t="s">
        <v>1896</v>
      </c>
      <c r="H282" t="s">
        <v>3132</v>
      </c>
      <c r="I282">
        <v>44286</v>
      </c>
      <c r="J282">
        <v>44330</v>
      </c>
      <c r="K282">
        <v>44291</v>
      </c>
      <c r="L282">
        <v>39</v>
      </c>
      <c r="N282" t="s">
        <v>120</v>
      </c>
      <c r="O282">
        <v>44291</v>
      </c>
      <c r="P282" t="s">
        <v>739</v>
      </c>
      <c r="Q282" t="s">
        <v>115</v>
      </c>
      <c r="R282" t="s">
        <v>115</v>
      </c>
      <c r="S282" t="s">
        <v>709</v>
      </c>
      <c r="T282" t="s">
        <v>709</v>
      </c>
      <c r="U282" t="s">
        <v>709</v>
      </c>
      <c r="AM282" t="s">
        <v>709</v>
      </c>
      <c r="AY282" t="s">
        <v>29</v>
      </c>
      <c r="BA282" t="s">
        <v>3133</v>
      </c>
      <c r="BB282" s="4" t="s">
        <v>3134</v>
      </c>
      <c r="CB282">
        <v>280</v>
      </c>
      <c r="CC282" t="b">
        <v>1</v>
      </c>
      <c r="CD282" t="s">
        <v>3135</v>
      </c>
      <c r="CE282" s="1482">
        <v>45880.733182870368</v>
      </c>
    </row>
    <row r="283" spans="1:83" ht="240" x14ac:dyDescent="0.25">
      <c r="A283">
        <v>2021</v>
      </c>
      <c r="B283" t="s">
        <v>1108</v>
      </c>
      <c r="C283" t="s">
        <v>1175</v>
      </c>
      <c r="D283" t="s">
        <v>1176</v>
      </c>
      <c r="E283" t="s">
        <v>111</v>
      </c>
      <c r="F283" t="s">
        <v>1111</v>
      </c>
      <c r="G283" t="s">
        <v>40</v>
      </c>
      <c r="H283" t="s">
        <v>59</v>
      </c>
      <c r="I283">
        <v>44176</v>
      </c>
      <c r="J283">
        <v>44295</v>
      </c>
      <c r="K283">
        <v>44293</v>
      </c>
      <c r="L283">
        <v>2</v>
      </c>
      <c r="N283" t="s">
        <v>120</v>
      </c>
      <c r="O283">
        <v>44293</v>
      </c>
      <c r="P283" t="s">
        <v>739</v>
      </c>
      <c r="Q283">
        <v>24899.581300000002</v>
      </c>
      <c r="R283" t="s">
        <v>1055</v>
      </c>
      <c r="S283" t="s">
        <v>709</v>
      </c>
      <c r="T283" t="s">
        <v>709</v>
      </c>
      <c r="U283" t="s">
        <v>709</v>
      </c>
      <c r="X283">
        <v>173111.31</v>
      </c>
      <c r="Z283">
        <v>28648.47</v>
      </c>
      <c r="AA283">
        <v>201759.78</v>
      </c>
      <c r="AC283" t="s">
        <v>1177</v>
      </c>
      <c r="AM283" t="s">
        <v>116</v>
      </c>
      <c r="AN283" t="s">
        <v>709</v>
      </c>
      <c r="AO283" t="s">
        <v>115</v>
      </c>
      <c r="AS283">
        <v>0</v>
      </c>
      <c r="AT283">
        <v>0</v>
      </c>
      <c r="AU283">
        <v>0</v>
      </c>
      <c r="AY283" t="s">
        <v>709</v>
      </c>
      <c r="AZ283">
        <v>178</v>
      </c>
      <c r="BA283" s="4" t="s">
        <v>1178</v>
      </c>
      <c r="BB283" s="4" t="s">
        <v>1179</v>
      </c>
      <c r="BC283" t="s">
        <v>116</v>
      </c>
      <c r="BD283" t="s">
        <v>709</v>
      </c>
      <c r="BE283" t="s">
        <v>1114</v>
      </c>
      <c r="BF283" t="s">
        <v>709</v>
      </c>
      <c r="BG283" t="s">
        <v>709</v>
      </c>
      <c r="BI283" t="s">
        <v>709</v>
      </c>
      <c r="BJ283" t="s">
        <v>709</v>
      </c>
      <c r="BK283" t="s">
        <v>116</v>
      </c>
      <c r="BL283" t="s">
        <v>116</v>
      </c>
      <c r="BM283" t="s">
        <v>709</v>
      </c>
      <c r="BN283" t="s">
        <v>709</v>
      </c>
      <c r="BO283" t="s">
        <v>709</v>
      </c>
      <c r="BP283" t="s">
        <v>709</v>
      </c>
      <c r="BQ283" t="s">
        <v>709</v>
      </c>
      <c r="BR283">
        <v>5</v>
      </c>
      <c r="BS283">
        <v>64</v>
      </c>
      <c r="BT283" t="s">
        <v>709</v>
      </c>
      <c r="BU283">
        <v>1</v>
      </c>
      <c r="BV283" t="s">
        <v>709</v>
      </c>
      <c r="BW283">
        <v>1</v>
      </c>
      <c r="BX283" t="s">
        <v>709</v>
      </c>
      <c r="BY283" t="s">
        <v>709</v>
      </c>
      <c r="BZ283" t="s">
        <v>709</v>
      </c>
      <c r="CA283" t="s">
        <v>2</v>
      </c>
      <c r="CB283">
        <v>281</v>
      </c>
      <c r="CC283" t="b">
        <v>1</v>
      </c>
      <c r="CD283" t="s">
        <v>3136</v>
      </c>
      <c r="CE283" s="1482">
        <v>45880.733194444445</v>
      </c>
    </row>
    <row r="284" spans="1:83" ht="330" x14ac:dyDescent="0.25">
      <c r="A284">
        <v>2021</v>
      </c>
      <c r="B284" t="s">
        <v>1108</v>
      </c>
      <c r="C284" t="s">
        <v>1180</v>
      </c>
      <c r="D284" t="s">
        <v>1181</v>
      </c>
      <c r="E284" t="s">
        <v>1182</v>
      </c>
      <c r="F284" t="s">
        <v>1111</v>
      </c>
      <c r="G284" t="s">
        <v>40</v>
      </c>
      <c r="H284" t="s">
        <v>59</v>
      </c>
      <c r="I284">
        <v>44105</v>
      </c>
      <c r="J284">
        <v>44302</v>
      </c>
      <c r="K284">
        <v>44293</v>
      </c>
      <c r="L284">
        <v>9</v>
      </c>
      <c r="N284" t="s">
        <v>120</v>
      </c>
      <c r="O284">
        <v>44293</v>
      </c>
      <c r="P284" t="s">
        <v>739</v>
      </c>
      <c r="Q284">
        <v>25162.7965</v>
      </c>
      <c r="R284" t="s">
        <v>1055</v>
      </c>
      <c r="S284" t="s">
        <v>709</v>
      </c>
      <c r="T284" t="s">
        <v>709</v>
      </c>
      <c r="U284" t="s">
        <v>709</v>
      </c>
      <c r="X284">
        <v>177808.07</v>
      </c>
      <c r="Z284">
        <v>27048.36</v>
      </c>
      <c r="AA284">
        <v>204856.43</v>
      </c>
      <c r="AC284" t="s">
        <v>116</v>
      </c>
      <c r="AM284" t="s">
        <v>116</v>
      </c>
      <c r="AN284" t="s">
        <v>709</v>
      </c>
      <c r="AO284" t="s">
        <v>115</v>
      </c>
      <c r="AS284">
        <v>0</v>
      </c>
      <c r="AT284">
        <v>0</v>
      </c>
      <c r="AU284">
        <v>0</v>
      </c>
      <c r="AY284" t="s">
        <v>709</v>
      </c>
      <c r="AZ284">
        <v>179</v>
      </c>
      <c r="BA284" s="4" t="s">
        <v>1183</v>
      </c>
      <c r="BB284" s="4" t="s">
        <v>1184</v>
      </c>
      <c r="BC284" t="s">
        <v>709</v>
      </c>
      <c r="BD284" t="s">
        <v>709</v>
      </c>
      <c r="BE284" t="s">
        <v>1185</v>
      </c>
      <c r="BF284" t="s">
        <v>709</v>
      </c>
      <c r="BG284" t="s">
        <v>709</v>
      </c>
      <c r="BI284" t="s">
        <v>709</v>
      </c>
      <c r="BJ284" t="s">
        <v>709</v>
      </c>
      <c r="BK284" t="s">
        <v>116</v>
      </c>
      <c r="BL284" t="s">
        <v>116</v>
      </c>
      <c r="BM284" t="s">
        <v>709</v>
      </c>
      <c r="BN284" t="s">
        <v>709</v>
      </c>
      <c r="BO284" t="s">
        <v>709</v>
      </c>
      <c r="BP284" t="s">
        <v>709</v>
      </c>
      <c r="BQ284" t="s">
        <v>709</v>
      </c>
      <c r="BR284">
        <v>11</v>
      </c>
      <c r="BS284">
        <v>33</v>
      </c>
      <c r="BT284" t="s">
        <v>709</v>
      </c>
      <c r="BU284">
        <v>1</v>
      </c>
      <c r="BV284" t="s">
        <v>709</v>
      </c>
      <c r="BW284">
        <v>1</v>
      </c>
      <c r="BX284">
        <v>1</v>
      </c>
      <c r="BY284" t="s">
        <v>709</v>
      </c>
      <c r="BZ284" t="s">
        <v>709</v>
      </c>
      <c r="CA284" t="s">
        <v>2</v>
      </c>
      <c r="CB284">
        <v>282</v>
      </c>
      <c r="CC284" t="b">
        <v>1</v>
      </c>
      <c r="CD284" t="s">
        <v>3137</v>
      </c>
      <c r="CE284" s="1482">
        <v>45880.733194444445</v>
      </c>
    </row>
    <row r="285" spans="1:83" x14ac:dyDescent="0.25">
      <c r="A285">
        <v>2021</v>
      </c>
      <c r="B285" t="s">
        <v>4</v>
      </c>
      <c r="C285" t="s">
        <v>206</v>
      </c>
      <c r="D285" t="s">
        <v>3138</v>
      </c>
      <c r="E285" t="s">
        <v>207</v>
      </c>
      <c r="F285" t="s">
        <v>919</v>
      </c>
      <c r="G285" t="s">
        <v>2814</v>
      </c>
      <c r="H285" t="s">
        <v>59</v>
      </c>
      <c r="I285">
        <v>44238</v>
      </c>
      <c r="J285">
        <v>44302</v>
      </c>
      <c r="K285">
        <v>44295</v>
      </c>
      <c r="L285">
        <v>7</v>
      </c>
      <c r="N285" t="s">
        <v>120</v>
      </c>
      <c r="O285">
        <v>44295</v>
      </c>
      <c r="P285" t="s">
        <v>739</v>
      </c>
      <c r="Q285" t="s">
        <v>2045</v>
      </c>
      <c r="R285" t="s">
        <v>2045</v>
      </c>
      <c r="S285" t="s">
        <v>709</v>
      </c>
      <c r="T285" t="s">
        <v>709</v>
      </c>
      <c r="U285" t="s">
        <v>709</v>
      </c>
      <c r="AM285" t="s">
        <v>709</v>
      </c>
      <c r="AY285" t="s">
        <v>29</v>
      </c>
      <c r="BA285" t="s">
        <v>3139</v>
      </c>
      <c r="BB285" t="s">
        <v>1216</v>
      </c>
      <c r="BC285" t="s">
        <v>709</v>
      </c>
      <c r="BD285" t="s">
        <v>3140</v>
      </c>
      <c r="BE285" t="s">
        <v>3141</v>
      </c>
      <c r="BF285" t="s">
        <v>709</v>
      </c>
      <c r="BG285" t="s">
        <v>709</v>
      </c>
      <c r="BI285" t="s">
        <v>709</v>
      </c>
      <c r="BJ285" t="s">
        <v>709</v>
      </c>
      <c r="BK285" t="s">
        <v>709</v>
      </c>
      <c r="BL285" t="s">
        <v>116</v>
      </c>
      <c r="BM285" t="s">
        <v>709</v>
      </c>
      <c r="BN285" t="s">
        <v>709</v>
      </c>
      <c r="BO285" t="s">
        <v>709</v>
      </c>
      <c r="BP285" t="s">
        <v>709</v>
      </c>
      <c r="BQ285" t="s">
        <v>709</v>
      </c>
      <c r="BR285">
        <v>2473</v>
      </c>
      <c r="BS285">
        <v>204</v>
      </c>
      <c r="BT285" t="s">
        <v>745</v>
      </c>
      <c r="BU285" t="s">
        <v>709</v>
      </c>
      <c r="BV285" t="s">
        <v>745</v>
      </c>
      <c r="BW285" t="s">
        <v>709</v>
      </c>
      <c r="BX285" t="s">
        <v>745</v>
      </c>
      <c r="BY285" t="s">
        <v>745</v>
      </c>
      <c r="BZ285" t="s">
        <v>709</v>
      </c>
      <c r="CB285">
        <v>283</v>
      </c>
      <c r="CC285" t="b">
        <v>1</v>
      </c>
      <c r="CD285" t="s">
        <v>3142</v>
      </c>
      <c r="CE285" s="1482">
        <v>45880.733206018522</v>
      </c>
    </row>
    <row r="286" spans="1:83" ht="195" x14ac:dyDescent="0.25">
      <c r="A286">
        <v>2021</v>
      </c>
      <c r="B286" t="s">
        <v>4</v>
      </c>
      <c r="C286" t="s">
        <v>206</v>
      </c>
      <c r="D286" t="s">
        <v>3143</v>
      </c>
      <c r="E286" t="s">
        <v>207</v>
      </c>
      <c r="F286" t="s">
        <v>919</v>
      </c>
      <c r="G286" t="s">
        <v>2814</v>
      </c>
      <c r="H286" t="s">
        <v>59</v>
      </c>
      <c r="I286">
        <v>44238</v>
      </c>
      <c r="J286">
        <v>44302</v>
      </c>
      <c r="K286">
        <v>44295</v>
      </c>
      <c r="L286">
        <v>7</v>
      </c>
      <c r="N286" t="s">
        <v>120</v>
      </c>
      <c r="O286">
        <v>44295</v>
      </c>
      <c r="P286" t="s">
        <v>739</v>
      </c>
      <c r="Q286">
        <v>55318.144999999997</v>
      </c>
      <c r="R286">
        <v>0.1</v>
      </c>
      <c r="S286" t="s">
        <v>709</v>
      </c>
      <c r="T286" t="s">
        <v>709</v>
      </c>
      <c r="U286" t="s">
        <v>709</v>
      </c>
      <c r="X286">
        <v>512141.88</v>
      </c>
      <c r="Z286">
        <v>41039.57</v>
      </c>
      <c r="AA286">
        <v>553181.44999999995</v>
      </c>
      <c r="AC286" t="s">
        <v>116</v>
      </c>
      <c r="AM286" t="s">
        <v>116</v>
      </c>
      <c r="AN286">
        <v>44466</v>
      </c>
      <c r="AO286">
        <v>190966</v>
      </c>
      <c r="AP286">
        <v>381921.48</v>
      </c>
      <c r="AR286">
        <v>26694.89</v>
      </c>
      <c r="AS286">
        <v>408616.37</v>
      </c>
      <c r="AT286">
        <v>-144565.07999999999</v>
      </c>
      <c r="AU286">
        <v>-14456.508</v>
      </c>
      <c r="AV286">
        <v>3277.5</v>
      </c>
      <c r="AW286" t="s">
        <v>3144</v>
      </c>
      <c r="AY286" t="s">
        <v>1935</v>
      </c>
      <c r="BA286" s="4" t="s">
        <v>3139</v>
      </c>
      <c r="BB286" t="s">
        <v>1216</v>
      </c>
      <c r="BC286" t="s">
        <v>709</v>
      </c>
      <c r="BD286" t="s">
        <v>3140</v>
      </c>
      <c r="BE286" t="s">
        <v>3141</v>
      </c>
      <c r="BF286" t="s">
        <v>709</v>
      </c>
      <c r="BG286" t="s">
        <v>709</v>
      </c>
      <c r="BI286" t="s">
        <v>709</v>
      </c>
      <c r="BJ286" t="s">
        <v>709</v>
      </c>
      <c r="BK286" t="s">
        <v>709</v>
      </c>
      <c r="BL286" t="s">
        <v>116</v>
      </c>
      <c r="BM286" t="s">
        <v>709</v>
      </c>
      <c r="BN286" t="s">
        <v>709</v>
      </c>
      <c r="BO286" t="s">
        <v>709</v>
      </c>
      <c r="BP286" t="s">
        <v>709</v>
      </c>
      <c r="BQ286" t="s">
        <v>709</v>
      </c>
      <c r="BR286">
        <v>2473</v>
      </c>
      <c r="BS286">
        <v>204</v>
      </c>
      <c r="BT286" t="s">
        <v>745</v>
      </c>
      <c r="BU286" t="s">
        <v>709</v>
      </c>
      <c r="BV286" t="s">
        <v>745</v>
      </c>
      <c r="BW286" t="s">
        <v>709</v>
      </c>
      <c r="BX286" t="s">
        <v>745</v>
      </c>
      <c r="BY286" t="s">
        <v>745</v>
      </c>
      <c r="BZ286" t="s">
        <v>709</v>
      </c>
      <c r="CB286">
        <v>284</v>
      </c>
      <c r="CC286" t="b">
        <v>1</v>
      </c>
      <c r="CD286" t="s">
        <v>3145</v>
      </c>
      <c r="CE286" s="1482">
        <v>45880.733217592591</v>
      </c>
    </row>
    <row r="287" spans="1:83" ht="135" x14ac:dyDescent="0.25">
      <c r="A287">
        <v>2021</v>
      </c>
      <c r="B287" t="s">
        <v>771</v>
      </c>
      <c r="C287" t="s">
        <v>3146</v>
      </c>
      <c r="D287" t="s">
        <v>3147</v>
      </c>
      <c r="E287" t="s">
        <v>3148</v>
      </c>
      <c r="F287" t="s">
        <v>919</v>
      </c>
      <c r="G287" t="s">
        <v>1882</v>
      </c>
      <c r="H287" t="s">
        <v>59</v>
      </c>
      <c r="I287">
        <v>44215</v>
      </c>
      <c r="J287">
        <v>44306</v>
      </c>
      <c r="K287">
        <v>44298</v>
      </c>
      <c r="L287">
        <v>8</v>
      </c>
      <c r="N287" t="s">
        <v>120</v>
      </c>
      <c r="O287">
        <v>44298</v>
      </c>
      <c r="P287" t="s">
        <v>120</v>
      </c>
      <c r="Q287">
        <v>22829.95</v>
      </c>
      <c r="R287" t="s">
        <v>2087</v>
      </c>
      <c r="S287" t="s">
        <v>709</v>
      </c>
      <c r="T287" t="s">
        <v>709</v>
      </c>
      <c r="U287" t="s">
        <v>709</v>
      </c>
      <c r="V287">
        <v>14729</v>
      </c>
      <c r="X287">
        <v>2420252.2999999998</v>
      </c>
      <c r="Z287">
        <v>104754.86</v>
      </c>
      <c r="AA287">
        <v>2525007.16</v>
      </c>
      <c r="AC287" t="s">
        <v>709</v>
      </c>
      <c r="AM287" t="s">
        <v>709</v>
      </c>
      <c r="AY287" t="s">
        <v>29</v>
      </c>
      <c r="BA287" t="s">
        <v>3149</v>
      </c>
      <c r="BB287" s="4" t="s">
        <v>3150</v>
      </c>
      <c r="BC287" t="s">
        <v>116</v>
      </c>
      <c r="BD287" t="s">
        <v>709</v>
      </c>
      <c r="BE287" t="s">
        <v>3151</v>
      </c>
      <c r="BF287" t="s">
        <v>709</v>
      </c>
      <c r="BG287" t="s">
        <v>709</v>
      </c>
      <c r="BI287" t="s">
        <v>709</v>
      </c>
      <c r="BJ287" t="s">
        <v>709</v>
      </c>
      <c r="BK287" t="s">
        <v>709</v>
      </c>
      <c r="BL287" t="s">
        <v>116</v>
      </c>
      <c r="BM287" t="s">
        <v>709</v>
      </c>
      <c r="BN287" t="s">
        <v>709</v>
      </c>
      <c r="BO287" t="s">
        <v>709</v>
      </c>
      <c r="BP287" t="s">
        <v>709</v>
      </c>
      <c r="BQ287" t="s">
        <v>709</v>
      </c>
      <c r="BR287">
        <v>2292</v>
      </c>
      <c r="BS287">
        <v>12437</v>
      </c>
      <c r="BT287" t="s">
        <v>745</v>
      </c>
      <c r="BU287" t="s">
        <v>709</v>
      </c>
      <c r="BV287" t="s">
        <v>745</v>
      </c>
      <c r="BW287" t="s">
        <v>709</v>
      </c>
      <c r="BX287" t="s">
        <v>745</v>
      </c>
      <c r="BY287" t="s">
        <v>745</v>
      </c>
      <c r="BZ287" t="s">
        <v>709</v>
      </c>
      <c r="CB287">
        <v>286</v>
      </c>
      <c r="CC287" t="b">
        <v>1</v>
      </c>
      <c r="CD287" t="s">
        <v>3152</v>
      </c>
      <c r="CE287" s="1482">
        <v>45880.733229166668</v>
      </c>
    </row>
    <row r="288" spans="1:83" ht="105" x14ac:dyDescent="0.25">
      <c r="A288">
        <v>2021</v>
      </c>
      <c r="B288" t="s">
        <v>771</v>
      </c>
      <c r="C288" t="s">
        <v>3153</v>
      </c>
      <c r="D288" t="s">
        <v>3154</v>
      </c>
      <c r="E288" t="s">
        <v>272</v>
      </c>
      <c r="F288" t="s">
        <v>919</v>
      </c>
      <c r="G288" t="s">
        <v>36</v>
      </c>
      <c r="H288" t="s">
        <v>59</v>
      </c>
      <c r="I288">
        <v>44188</v>
      </c>
      <c r="J288">
        <v>44302</v>
      </c>
      <c r="K288">
        <v>44298</v>
      </c>
      <c r="L288">
        <v>4</v>
      </c>
      <c r="N288" t="s">
        <v>120</v>
      </c>
      <c r="O288">
        <v>44298</v>
      </c>
      <c r="P288" t="s">
        <v>120</v>
      </c>
      <c r="Q288">
        <v>22482.75</v>
      </c>
      <c r="R288" t="s">
        <v>2087</v>
      </c>
      <c r="S288" t="s">
        <v>709</v>
      </c>
      <c r="T288" t="s">
        <v>709</v>
      </c>
      <c r="U288" t="s">
        <v>709</v>
      </c>
      <c r="V288">
        <v>14505</v>
      </c>
      <c r="X288">
        <v>2276686.5</v>
      </c>
      <c r="Z288">
        <v>47200.24</v>
      </c>
      <c r="AA288">
        <v>2323886.7400000002</v>
      </c>
      <c r="AC288" t="s">
        <v>116</v>
      </c>
      <c r="AM288" t="s">
        <v>709</v>
      </c>
      <c r="AY288" t="s">
        <v>29</v>
      </c>
      <c r="BA288" t="s">
        <v>3155</v>
      </c>
      <c r="BB288" s="4" t="s">
        <v>3156</v>
      </c>
      <c r="BC288" t="s">
        <v>116</v>
      </c>
      <c r="BD288" t="s">
        <v>709</v>
      </c>
      <c r="BE288" t="s">
        <v>1242</v>
      </c>
      <c r="BF288" t="s">
        <v>709</v>
      </c>
      <c r="BG288" t="s">
        <v>709</v>
      </c>
      <c r="BI288" t="s">
        <v>709</v>
      </c>
      <c r="BJ288" t="s">
        <v>709</v>
      </c>
      <c r="BK288" t="s">
        <v>709</v>
      </c>
      <c r="BL288" t="s">
        <v>116</v>
      </c>
      <c r="BM288" t="s">
        <v>709</v>
      </c>
      <c r="BN288" t="s">
        <v>709</v>
      </c>
      <c r="BO288" t="s">
        <v>709</v>
      </c>
      <c r="BP288">
        <v>2168</v>
      </c>
      <c r="BQ288">
        <v>759</v>
      </c>
      <c r="BR288" t="s">
        <v>709</v>
      </c>
      <c r="BS288">
        <v>11578</v>
      </c>
      <c r="BT288" t="s">
        <v>745</v>
      </c>
      <c r="BU288" t="s">
        <v>709</v>
      </c>
      <c r="BV288" t="s">
        <v>745</v>
      </c>
      <c r="BW288" t="s">
        <v>709</v>
      </c>
      <c r="BX288" t="s">
        <v>745</v>
      </c>
      <c r="BY288" t="s">
        <v>745</v>
      </c>
      <c r="BZ288" t="s">
        <v>709</v>
      </c>
      <c r="CB288">
        <v>285</v>
      </c>
      <c r="CC288" t="b">
        <v>1</v>
      </c>
      <c r="CD288" t="s">
        <v>3157</v>
      </c>
      <c r="CE288" s="1482">
        <v>45880.733229166668</v>
      </c>
    </row>
    <row r="289" spans="1:83" x14ac:dyDescent="0.25">
      <c r="A289">
        <v>2021</v>
      </c>
      <c r="B289" t="s">
        <v>771</v>
      </c>
      <c r="C289" t="s">
        <v>2752</v>
      </c>
      <c r="D289" t="s">
        <v>2753</v>
      </c>
      <c r="E289" t="s">
        <v>137</v>
      </c>
      <c r="F289" t="s">
        <v>738</v>
      </c>
      <c r="G289" t="s">
        <v>36</v>
      </c>
      <c r="H289" t="s">
        <v>2051</v>
      </c>
      <c r="I289">
        <v>44019</v>
      </c>
      <c r="J289" t="s">
        <v>2052</v>
      </c>
      <c r="K289">
        <v>44299</v>
      </c>
      <c r="L289">
        <v>280</v>
      </c>
      <c r="M289" t="s">
        <v>3058</v>
      </c>
      <c r="N289" t="s">
        <v>120</v>
      </c>
      <c r="O289">
        <v>44299</v>
      </c>
      <c r="P289" t="s">
        <v>120</v>
      </c>
      <c r="Q289">
        <v>13180</v>
      </c>
      <c r="R289" t="s">
        <v>1922</v>
      </c>
      <c r="S289" t="s">
        <v>709</v>
      </c>
      <c r="T289" t="s">
        <v>709</v>
      </c>
      <c r="U289">
        <v>13180</v>
      </c>
      <c r="V289">
        <v>14605</v>
      </c>
      <c r="X289">
        <v>1635668.3</v>
      </c>
      <c r="Z289">
        <v>63317.31</v>
      </c>
      <c r="AA289">
        <v>1698985.61</v>
      </c>
      <c r="AM289" t="s">
        <v>709</v>
      </c>
      <c r="AY289" t="s">
        <v>29</v>
      </c>
      <c r="BA289">
        <v>4</v>
      </c>
      <c r="BB289" s="4"/>
      <c r="BI289" t="s">
        <v>709</v>
      </c>
      <c r="BJ289" t="s">
        <v>709</v>
      </c>
      <c r="BK289" t="s">
        <v>709</v>
      </c>
      <c r="BL289" t="s">
        <v>116</v>
      </c>
      <c r="BM289" t="s">
        <v>709</v>
      </c>
      <c r="BN289" t="s">
        <v>709</v>
      </c>
      <c r="BO289" t="s">
        <v>709</v>
      </c>
      <c r="BP289" t="s">
        <v>709</v>
      </c>
      <c r="BQ289" t="s">
        <v>709</v>
      </c>
      <c r="BR289">
        <v>192</v>
      </c>
      <c r="BS289">
        <v>14417</v>
      </c>
      <c r="BT289" t="s">
        <v>709</v>
      </c>
      <c r="BU289" t="s">
        <v>709</v>
      </c>
      <c r="BV289" t="s">
        <v>709</v>
      </c>
      <c r="BW289" t="s">
        <v>709</v>
      </c>
      <c r="BX289" t="s">
        <v>709</v>
      </c>
      <c r="BY289" t="s">
        <v>709</v>
      </c>
      <c r="BZ289" t="s">
        <v>709</v>
      </c>
      <c r="CB289">
        <v>287</v>
      </c>
      <c r="CC289" t="b">
        <v>1</v>
      </c>
      <c r="CD289" t="s">
        <v>3158</v>
      </c>
      <c r="CE289" s="1482">
        <v>45880.733240740738</v>
      </c>
    </row>
    <row r="290" spans="1:83" ht="60" x14ac:dyDescent="0.25">
      <c r="A290">
        <v>2021</v>
      </c>
      <c r="B290" t="s">
        <v>4</v>
      </c>
      <c r="C290" t="s">
        <v>3159</v>
      </c>
      <c r="D290" t="s">
        <v>3160</v>
      </c>
      <c r="E290" t="s">
        <v>393</v>
      </c>
      <c r="F290" t="s">
        <v>738</v>
      </c>
      <c r="G290" t="s">
        <v>1882</v>
      </c>
      <c r="H290" t="s">
        <v>59</v>
      </c>
      <c r="I290">
        <v>43962</v>
      </c>
      <c r="J290">
        <v>44309</v>
      </c>
      <c r="K290">
        <v>44307</v>
      </c>
      <c r="L290">
        <v>2</v>
      </c>
      <c r="N290" t="s">
        <v>120</v>
      </c>
      <c r="O290">
        <v>44307</v>
      </c>
      <c r="P290" t="s">
        <v>120</v>
      </c>
      <c r="Q290">
        <v>244883.35200000001</v>
      </c>
      <c r="R290">
        <v>0.1</v>
      </c>
      <c r="S290" t="s">
        <v>709</v>
      </c>
      <c r="T290" t="s">
        <v>709</v>
      </c>
      <c r="U290" t="s">
        <v>709</v>
      </c>
      <c r="V290">
        <v>4975</v>
      </c>
      <c r="X290">
        <v>2229662.62</v>
      </c>
      <c r="Z290">
        <v>219170.9</v>
      </c>
      <c r="AA290">
        <v>2448833.52</v>
      </c>
      <c r="AC290" t="s">
        <v>116</v>
      </c>
      <c r="AM290" t="s">
        <v>116</v>
      </c>
      <c r="AN290">
        <v>45072</v>
      </c>
      <c r="AO290">
        <v>11033677</v>
      </c>
      <c r="AP290">
        <v>2355382.46</v>
      </c>
      <c r="AR290">
        <v>227605.88</v>
      </c>
      <c r="AS290">
        <v>2582988.34</v>
      </c>
      <c r="AT290">
        <v>134154.82</v>
      </c>
      <c r="AU290">
        <v>13415.482</v>
      </c>
      <c r="AV290">
        <v>29220</v>
      </c>
      <c r="AW290" t="s">
        <v>3161</v>
      </c>
      <c r="AX290">
        <v>0</v>
      </c>
      <c r="AY290">
        <v>45200</v>
      </c>
      <c r="BA290" t="s">
        <v>3162</v>
      </c>
      <c r="BB290" s="4" t="s">
        <v>1221</v>
      </c>
      <c r="BC290" t="s">
        <v>116</v>
      </c>
      <c r="BD290" t="s">
        <v>1066</v>
      </c>
      <c r="BE290" t="s">
        <v>709</v>
      </c>
      <c r="BF290" t="s">
        <v>709</v>
      </c>
      <c r="BG290" t="s">
        <v>709</v>
      </c>
      <c r="BH290" t="s">
        <v>3163</v>
      </c>
      <c r="BI290" t="s">
        <v>709</v>
      </c>
      <c r="BJ290" t="s">
        <v>709</v>
      </c>
      <c r="BK290" t="s">
        <v>709</v>
      </c>
      <c r="BL290" t="s">
        <v>116</v>
      </c>
      <c r="BM290">
        <v>55</v>
      </c>
      <c r="BN290">
        <v>4125</v>
      </c>
      <c r="BO290" t="s">
        <v>709</v>
      </c>
      <c r="BP290" t="s">
        <v>709</v>
      </c>
      <c r="BQ290">
        <v>93</v>
      </c>
      <c r="BR290">
        <v>367</v>
      </c>
      <c r="BS290">
        <v>630</v>
      </c>
      <c r="BT290" t="s">
        <v>709</v>
      </c>
      <c r="BU290" t="s">
        <v>709</v>
      </c>
      <c r="BV290" t="s">
        <v>709</v>
      </c>
      <c r="BW290" t="s">
        <v>709</v>
      </c>
      <c r="BX290" t="s">
        <v>745</v>
      </c>
      <c r="BY290" t="s">
        <v>709</v>
      </c>
      <c r="BZ290" t="s">
        <v>709</v>
      </c>
      <c r="CB290">
        <v>288</v>
      </c>
      <c r="CC290" t="b">
        <v>1</v>
      </c>
      <c r="CD290" t="s">
        <v>3164</v>
      </c>
      <c r="CE290" s="1482">
        <v>45880.733252314814</v>
      </c>
    </row>
    <row r="291" spans="1:83" ht="210" x14ac:dyDescent="0.25">
      <c r="A291">
        <v>2021</v>
      </c>
      <c r="B291" t="s">
        <v>769</v>
      </c>
      <c r="C291" t="s">
        <v>1186</v>
      </c>
      <c r="D291" t="s">
        <v>1187</v>
      </c>
      <c r="E291" t="s">
        <v>393</v>
      </c>
      <c r="F291" t="s">
        <v>738</v>
      </c>
      <c r="G291" t="s">
        <v>1882</v>
      </c>
      <c r="H291" t="s">
        <v>59</v>
      </c>
      <c r="I291">
        <v>44105</v>
      </c>
      <c r="J291">
        <v>44309</v>
      </c>
      <c r="K291">
        <v>44307</v>
      </c>
      <c r="L291">
        <v>2</v>
      </c>
      <c r="N291" t="s">
        <v>120</v>
      </c>
      <c r="O291">
        <v>44307</v>
      </c>
      <c r="P291" t="s">
        <v>739</v>
      </c>
      <c r="Q291">
        <v>101557.5638</v>
      </c>
      <c r="R291" t="s">
        <v>794</v>
      </c>
      <c r="S291" t="s">
        <v>709</v>
      </c>
      <c r="T291" t="s">
        <v>709</v>
      </c>
      <c r="U291" t="s">
        <v>709</v>
      </c>
      <c r="V291">
        <v>13284</v>
      </c>
      <c r="X291">
        <v>763186.12</v>
      </c>
      <c r="Z291">
        <v>246314.63</v>
      </c>
      <c r="AA291">
        <v>1009500.75</v>
      </c>
      <c r="AC291" t="s">
        <v>709</v>
      </c>
      <c r="AM291" t="s">
        <v>116</v>
      </c>
      <c r="AN291" t="s">
        <v>709</v>
      </c>
      <c r="AO291">
        <v>11039270</v>
      </c>
      <c r="AS291">
        <v>0</v>
      </c>
      <c r="AT291">
        <v>0</v>
      </c>
      <c r="AU291">
        <v>0</v>
      </c>
      <c r="AY291" t="s">
        <v>709</v>
      </c>
      <c r="AZ291">
        <v>164</v>
      </c>
      <c r="BA291" t="s">
        <v>1188</v>
      </c>
      <c r="BB291" s="4" t="s">
        <v>1189</v>
      </c>
      <c r="BC291" t="s">
        <v>116</v>
      </c>
      <c r="BD291" t="s">
        <v>1066</v>
      </c>
      <c r="BE291" t="s">
        <v>1190</v>
      </c>
      <c r="BF291" t="s">
        <v>709</v>
      </c>
      <c r="BG291" t="s">
        <v>709</v>
      </c>
      <c r="BH291" t="s">
        <v>1191</v>
      </c>
      <c r="BI291" t="s">
        <v>709</v>
      </c>
      <c r="BJ291" t="s">
        <v>709</v>
      </c>
      <c r="BK291" t="s">
        <v>709</v>
      </c>
      <c r="BL291" t="s">
        <v>116</v>
      </c>
      <c r="BM291" t="s">
        <v>709</v>
      </c>
      <c r="BN291" t="s">
        <v>709</v>
      </c>
      <c r="BO291" t="s">
        <v>709</v>
      </c>
      <c r="BP291" t="s">
        <v>709</v>
      </c>
      <c r="BQ291">
        <v>546</v>
      </c>
      <c r="BR291">
        <v>507</v>
      </c>
      <c r="BS291">
        <v>1553</v>
      </c>
      <c r="BT291" t="s">
        <v>709</v>
      </c>
      <c r="BU291" t="s">
        <v>709</v>
      </c>
      <c r="BV291" t="s">
        <v>709</v>
      </c>
      <c r="BW291" t="s">
        <v>709</v>
      </c>
      <c r="BX291" t="s">
        <v>709</v>
      </c>
      <c r="BY291" t="s">
        <v>709</v>
      </c>
      <c r="BZ291" t="s">
        <v>709</v>
      </c>
      <c r="CA291" t="s">
        <v>769</v>
      </c>
      <c r="CB291">
        <v>289</v>
      </c>
      <c r="CC291" t="b">
        <v>1</v>
      </c>
      <c r="CD291" t="s">
        <v>3165</v>
      </c>
      <c r="CE291" s="1482">
        <v>45880.733263888891</v>
      </c>
    </row>
    <row r="292" spans="1:83" ht="225" x14ac:dyDescent="0.25">
      <c r="A292">
        <v>2021</v>
      </c>
      <c r="B292" t="s">
        <v>1108</v>
      </c>
      <c r="C292" t="s">
        <v>1192</v>
      </c>
      <c r="D292" t="s">
        <v>1193</v>
      </c>
      <c r="E292" t="s">
        <v>249</v>
      </c>
      <c r="F292" t="s">
        <v>1111</v>
      </c>
      <c r="G292" t="s">
        <v>40</v>
      </c>
      <c r="H292" t="s">
        <v>59</v>
      </c>
      <c r="I292">
        <v>44176</v>
      </c>
      <c r="J292">
        <v>44309</v>
      </c>
      <c r="K292">
        <v>44309</v>
      </c>
      <c r="L292">
        <v>0</v>
      </c>
      <c r="N292" t="s">
        <v>120</v>
      </c>
      <c r="O292">
        <v>44317</v>
      </c>
      <c r="P292" t="s">
        <v>739</v>
      </c>
      <c r="Q292">
        <v>30205.770100000002</v>
      </c>
      <c r="R292" t="s">
        <v>1055</v>
      </c>
      <c r="S292" t="s">
        <v>709</v>
      </c>
      <c r="T292" t="s">
        <v>709</v>
      </c>
      <c r="U292" t="s">
        <v>709</v>
      </c>
      <c r="X292">
        <v>237292.7</v>
      </c>
      <c r="Z292">
        <v>26892.83</v>
      </c>
      <c r="AA292">
        <v>264185.53000000003</v>
      </c>
      <c r="AC292" t="s">
        <v>116</v>
      </c>
      <c r="AM292" t="s">
        <v>116</v>
      </c>
      <c r="AN292" t="s">
        <v>709</v>
      </c>
      <c r="AO292" t="s">
        <v>115</v>
      </c>
      <c r="AS292">
        <v>0</v>
      </c>
      <c r="AT292">
        <v>0</v>
      </c>
      <c r="AU292">
        <v>0</v>
      </c>
      <c r="AY292" t="s">
        <v>709</v>
      </c>
      <c r="AZ292">
        <v>180</v>
      </c>
      <c r="BA292" s="4" t="s">
        <v>1194</v>
      </c>
      <c r="BB292" s="4" t="s">
        <v>1174</v>
      </c>
      <c r="BC292" t="s">
        <v>116</v>
      </c>
      <c r="BD292" t="s">
        <v>709</v>
      </c>
      <c r="BE292" t="s">
        <v>709</v>
      </c>
      <c r="BF292" t="s">
        <v>709</v>
      </c>
      <c r="BG292" t="s">
        <v>709</v>
      </c>
      <c r="BI292" t="s">
        <v>709</v>
      </c>
      <c r="BJ292" t="s">
        <v>709</v>
      </c>
      <c r="BK292" t="s">
        <v>709</v>
      </c>
      <c r="BL292" t="s">
        <v>116</v>
      </c>
      <c r="BM292" t="s">
        <v>709</v>
      </c>
      <c r="BN292" t="s">
        <v>709</v>
      </c>
      <c r="BO292" t="s">
        <v>709</v>
      </c>
      <c r="BP292">
        <v>3</v>
      </c>
      <c r="BQ292">
        <v>23</v>
      </c>
      <c r="BR292">
        <v>5</v>
      </c>
      <c r="BS292" t="s">
        <v>709</v>
      </c>
      <c r="BT292" t="s">
        <v>709</v>
      </c>
      <c r="BU292" t="s">
        <v>709</v>
      </c>
      <c r="BV292" t="s">
        <v>709</v>
      </c>
      <c r="BW292">
        <v>1</v>
      </c>
      <c r="BX292" t="s">
        <v>709</v>
      </c>
      <c r="BY292" t="s">
        <v>709</v>
      </c>
      <c r="BZ292" t="s">
        <v>709</v>
      </c>
      <c r="CA292" t="s">
        <v>2</v>
      </c>
      <c r="CB292">
        <v>290</v>
      </c>
      <c r="CC292" t="b">
        <v>1</v>
      </c>
      <c r="CD292" t="s">
        <v>3166</v>
      </c>
      <c r="CE292" s="1482">
        <v>45880.733263888891</v>
      </c>
    </row>
    <row r="293" spans="1:83" ht="409.5" x14ac:dyDescent="0.25">
      <c r="A293">
        <v>2021</v>
      </c>
      <c r="B293" t="s">
        <v>1108</v>
      </c>
      <c r="C293" t="s">
        <v>3167</v>
      </c>
      <c r="D293" t="s">
        <v>3168</v>
      </c>
      <c r="E293" t="s">
        <v>361</v>
      </c>
      <c r="F293" t="s">
        <v>1111</v>
      </c>
      <c r="G293" t="s">
        <v>40</v>
      </c>
      <c r="H293" t="s">
        <v>59</v>
      </c>
      <c r="I293">
        <v>44229</v>
      </c>
      <c r="J293">
        <v>44313</v>
      </c>
      <c r="K293">
        <v>44313</v>
      </c>
      <c r="L293">
        <v>0</v>
      </c>
      <c r="N293" t="s">
        <v>120</v>
      </c>
      <c r="O293">
        <v>44317</v>
      </c>
      <c r="P293" t="s">
        <v>739</v>
      </c>
      <c r="Q293">
        <v>26336.4876</v>
      </c>
      <c r="R293" t="s">
        <v>1055</v>
      </c>
      <c r="S293" t="s">
        <v>709</v>
      </c>
      <c r="T293" t="s">
        <v>709</v>
      </c>
      <c r="U293" t="s">
        <v>709</v>
      </c>
      <c r="X293">
        <v>161247.20000000001</v>
      </c>
      <c r="Z293">
        <v>57417.36</v>
      </c>
      <c r="AA293">
        <v>218664.56</v>
      </c>
      <c r="AC293" t="s">
        <v>116</v>
      </c>
      <c r="AM293" t="s">
        <v>116</v>
      </c>
      <c r="AN293">
        <v>44384</v>
      </c>
      <c r="AO293" t="s">
        <v>115</v>
      </c>
      <c r="AP293">
        <v>101931.89</v>
      </c>
      <c r="AR293">
        <v>21034.65</v>
      </c>
      <c r="AS293">
        <v>122966.54</v>
      </c>
      <c r="AT293">
        <v>-95698.02</v>
      </c>
      <c r="AU293">
        <v>-8134.3316999999997</v>
      </c>
      <c r="AV293" t="s">
        <v>709</v>
      </c>
      <c r="AW293" t="s">
        <v>2874</v>
      </c>
      <c r="AX293">
        <v>-8134.3316999999997</v>
      </c>
      <c r="AY293">
        <v>44501</v>
      </c>
      <c r="BA293" s="4" t="s">
        <v>3169</v>
      </c>
      <c r="BB293" s="4" t="s">
        <v>3170</v>
      </c>
      <c r="BI293" t="s">
        <v>709</v>
      </c>
      <c r="BJ293" t="s">
        <v>709</v>
      </c>
      <c r="BK293" t="s">
        <v>709</v>
      </c>
      <c r="BL293" t="s">
        <v>116</v>
      </c>
      <c r="BM293" t="s">
        <v>709</v>
      </c>
      <c r="BN293" t="s">
        <v>709</v>
      </c>
      <c r="BO293" t="s">
        <v>709</v>
      </c>
      <c r="BP293">
        <v>2</v>
      </c>
      <c r="BQ293">
        <v>5</v>
      </c>
      <c r="BR293" t="s">
        <v>709</v>
      </c>
      <c r="BS293" t="s">
        <v>709</v>
      </c>
      <c r="BT293" t="s">
        <v>745</v>
      </c>
      <c r="BU293" t="s">
        <v>709</v>
      </c>
      <c r="BV293">
        <v>1</v>
      </c>
      <c r="BW293">
        <v>1</v>
      </c>
      <c r="BX293" t="s">
        <v>745</v>
      </c>
      <c r="BY293" t="s">
        <v>745</v>
      </c>
      <c r="BZ293" t="s">
        <v>709</v>
      </c>
      <c r="CA293" t="s">
        <v>769</v>
      </c>
      <c r="CB293">
        <v>291</v>
      </c>
      <c r="CC293" t="b">
        <v>1</v>
      </c>
      <c r="CD293" t="s">
        <v>3171</v>
      </c>
      <c r="CE293" s="1482">
        <v>45880.733275462961</v>
      </c>
    </row>
    <row r="294" spans="1:83" x14ac:dyDescent="0.25">
      <c r="A294">
        <v>2021</v>
      </c>
      <c r="B294" t="s">
        <v>1162</v>
      </c>
      <c r="C294" t="s">
        <v>3172</v>
      </c>
      <c r="D294" t="s">
        <v>3173</v>
      </c>
      <c r="E294" t="s">
        <v>2375</v>
      </c>
      <c r="F294" t="s">
        <v>738</v>
      </c>
      <c r="G294" t="s">
        <v>36</v>
      </c>
      <c r="H294" t="s">
        <v>59</v>
      </c>
      <c r="I294">
        <v>44166</v>
      </c>
      <c r="J294">
        <v>44316</v>
      </c>
      <c r="K294">
        <v>44313</v>
      </c>
      <c r="L294">
        <v>3</v>
      </c>
      <c r="N294" t="s">
        <v>120</v>
      </c>
      <c r="O294">
        <v>44317</v>
      </c>
      <c r="P294" t="s">
        <v>739</v>
      </c>
      <c r="Q294">
        <v>52375.771000000001</v>
      </c>
      <c r="R294">
        <v>7.0000000000000007E-2</v>
      </c>
      <c r="S294" t="s">
        <v>709</v>
      </c>
      <c r="T294" t="s">
        <v>709</v>
      </c>
      <c r="U294" t="s">
        <v>709</v>
      </c>
      <c r="V294">
        <v>6647</v>
      </c>
      <c r="X294">
        <v>715985.12</v>
      </c>
      <c r="Z294">
        <v>32240.18</v>
      </c>
      <c r="AA294">
        <v>748225.3</v>
      </c>
      <c r="AC294" t="s">
        <v>709</v>
      </c>
      <c r="AM294" t="s">
        <v>116</v>
      </c>
      <c r="AN294">
        <v>44691</v>
      </c>
      <c r="AO294">
        <v>11033768</v>
      </c>
      <c r="AP294">
        <v>796415.98</v>
      </c>
      <c r="AR294">
        <v>22406.59</v>
      </c>
      <c r="AS294">
        <v>818822.57</v>
      </c>
      <c r="AT294">
        <v>70597.27</v>
      </c>
      <c r="AU294">
        <v>4941.8089</v>
      </c>
      <c r="AV294" t="s">
        <v>709</v>
      </c>
      <c r="AW294" t="s">
        <v>3174</v>
      </c>
      <c r="AX294">
        <v>4941.8089</v>
      </c>
      <c r="AY294">
        <v>45008</v>
      </c>
      <c r="BA294" t="s">
        <v>3175</v>
      </c>
      <c r="BC294" t="s">
        <v>116</v>
      </c>
      <c r="BD294" t="s">
        <v>709</v>
      </c>
      <c r="BE294" t="s">
        <v>709</v>
      </c>
      <c r="BF294" t="s">
        <v>3176</v>
      </c>
      <c r="BG294" t="s">
        <v>709</v>
      </c>
      <c r="BI294" t="s">
        <v>709</v>
      </c>
      <c r="BJ294" t="s">
        <v>709</v>
      </c>
      <c r="BK294" t="s">
        <v>709</v>
      </c>
      <c r="BL294" t="s">
        <v>116</v>
      </c>
      <c r="BM294" t="s">
        <v>709</v>
      </c>
      <c r="BN294" t="s">
        <v>709</v>
      </c>
      <c r="BO294" t="s">
        <v>709</v>
      </c>
      <c r="BP294" t="s">
        <v>709</v>
      </c>
      <c r="BQ294" t="s">
        <v>709</v>
      </c>
      <c r="BR294">
        <v>6647</v>
      </c>
      <c r="BS294" t="s">
        <v>709</v>
      </c>
      <c r="BT294" t="s">
        <v>745</v>
      </c>
      <c r="BU294" t="s">
        <v>709</v>
      </c>
      <c r="BV294" t="s">
        <v>745</v>
      </c>
      <c r="BW294" t="s">
        <v>709</v>
      </c>
      <c r="BX294" t="s">
        <v>745</v>
      </c>
      <c r="BY294" t="s">
        <v>745</v>
      </c>
      <c r="BZ294" t="s">
        <v>709</v>
      </c>
      <c r="CB294">
        <v>292</v>
      </c>
      <c r="CC294" t="b">
        <v>1</v>
      </c>
      <c r="CD294" t="s">
        <v>3177</v>
      </c>
      <c r="CE294" s="1482">
        <v>45880.733287037037</v>
      </c>
    </row>
    <row r="295" spans="1:83" x14ac:dyDescent="0.25">
      <c r="A295">
        <v>2021</v>
      </c>
      <c r="B295" t="s">
        <v>4</v>
      </c>
      <c r="C295" t="s">
        <v>2851</v>
      </c>
      <c r="D295" t="s">
        <v>2852</v>
      </c>
      <c r="E295" t="s">
        <v>818</v>
      </c>
      <c r="F295" t="s">
        <v>919</v>
      </c>
      <c r="G295" t="s">
        <v>36</v>
      </c>
      <c r="H295" t="s">
        <v>3178</v>
      </c>
      <c r="I295">
        <v>43958</v>
      </c>
      <c r="J295" t="s">
        <v>2052</v>
      </c>
      <c r="K295">
        <v>44316</v>
      </c>
      <c r="L295">
        <v>358</v>
      </c>
      <c r="M295" t="s">
        <v>3179</v>
      </c>
      <c r="N295" t="s">
        <v>120</v>
      </c>
      <c r="O295">
        <v>44317</v>
      </c>
      <c r="P295" t="s">
        <v>739</v>
      </c>
      <c r="Q295">
        <v>17615</v>
      </c>
      <c r="R295" t="s">
        <v>1922</v>
      </c>
      <c r="S295" t="s">
        <v>709</v>
      </c>
      <c r="T295" t="s">
        <v>709</v>
      </c>
      <c r="U295">
        <v>17615</v>
      </c>
      <c r="V295">
        <v>1096</v>
      </c>
      <c r="X295">
        <v>708243.37</v>
      </c>
      <c r="Z295">
        <v>20312.810000000001</v>
      </c>
      <c r="AA295">
        <v>728556.18</v>
      </c>
      <c r="AM295" t="s">
        <v>709</v>
      </c>
      <c r="AY295" t="s">
        <v>29</v>
      </c>
      <c r="BA295">
        <v>12</v>
      </c>
      <c r="BI295" t="s">
        <v>709</v>
      </c>
      <c r="BJ295" t="s">
        <v>709</v>
      </c>
      <c r="BK295" t="s">
        <v>709</v>
      </c>
      <c r="BL295" t="s">
        <v>116</v>
      </c>
      <c r="BM295" t="s">
        <v>709</v>
      </c>
      <c r="BN295" t="s">
        <v>709</v>
      </c>
      <c r="BO295" t="s">
        <v>709</v>
      </c>
      <c r="BP295">
        <v>446</v>
      </c>
      <c r="BQ295" t="s">
        <v>709</v>
      </c>
      <c r="BR295" t="s">
        <v>709</v>
      </c>
      <c r="BS295">
        <v>671</v>
      </c>
      <c r="BT295" t="s">
        <v>745</v>
      </c>
      <c r="BU295" t="s">
        <v>709</v>
      </c>
      <c r="BV295" t="s">
        <v>745</v>
      </c>
      <c r="BW295" t="s">
        <v>709</v>
      </c>
      <c r="BX295" t="s">
        <v>745</v>
      </c>
      <c r="BY295" t="s">
        <v>745</v>
      </c>
      <c r="BZ295" t="s">
        <v>709</v>
      </c>
      <c r="CB295">
        <v>293</v>
      </c>
      <c r="CC295" t="b">
        <v>1</v>
      </c>
      <c r="CD295" t="s">
        <v>3180</v>
      </c>
      <c r="CE295" s="1482">
        <v>45880.733287037037</v>
      </c>
    </row>
    <row r="296" spans="1:83" x14ac:dyDescent="0.25">
      <c r="A296">
        <v>2020</v>
      </c>
      <c r="B296" t="s">
        <v>4</v>
      </c>
      <c r="C296" t="s">
        <v>2455</v>
      </c>
      <c r="D296" t="s">
        <v>2456</v>
      </c>
      <c r="E296" t="s">
        <v>2457</v>
      </c>
      <c r="F296" t="s">
        <v>919</v>
      </c>
      <c r="G296" t="s">
        <v>40</v>
      </c>
      <c r="H296" t="s">
        <v>2051</v>
      </c>
      <c r="I296">
        <v>43761</v>
      </c>
      <c r="J296" t="s">
        <v>2052</v>
      </c>
      <c r="K296">
        <v>44320</v>
      </c>
      <c r="L296">
        <v>559</v>
      </c>
      <c r="M296" t="s">
        <v>3181</v>
      </c>
      <c r="N296" t="s">
        <v>120</v>
      </c>
      <c r="O296">
        <v>44320</v>
      </c>
      <c r="P296" t="s">
        <v>739</v>
      </c>
      <c r="Q296">
        <v>11002.5</v>
      </c>
      <c r="R296" t="s">
        <v>1922</v>
      </c>
      <c r="S296" t="s">
        <v>709</v>
      </c>
      <c r="T296" t="s">
        <v>709</v>
      </c>
      <c r="U296">
        <v>11002.5</v>
      </c>
      <c r="V296">
        <v>3932</v>
      </c>
      <c r="X296">
        <v>982324.76</v>
      </c>
      <c r="Z296">
        <v>93317.98</v>
      </c>
      <c r="AA296">
        <v>1075642.74</v>
      </c>
      <c r="AM296" t="s">
        <v>709</v>
      </c>
      <c r="AY296" t="s">
        <v>29</v>
      </c>
      <c r="BA296" s="4">
        <v>12</v>
      </c>
      <c r="BI296" t="s">
        <v>709</v>
      </c>
      <c r="BJ296" t="s">
        <v>709</v>
      </c>
      <c r="BK296" t="s">
        <v>709</v>
      </c>
      <c r="BL296" t="s">
        <v>116</v>
      </c>
      <c r="BM296" t="s">
        <v>709</v>
      </c>
      <c r="BN296" t="s">
        <v>709</v>
      </c>
      <c r="BO296" t="s">
        <v>709</v>
      </c>
      <c r="BP296" t="s">
        <v>709</v>
      </c>
      <c r="BQ296">
        <v>4279</v>
      </c>
      <c r="BR296" t="s">
        <v>709</v>
      </c>
      <c r="BS296">
        <v>316</v>
      </c>
      <c r="BT296" t="s">
        <v>745</v>
      </c>
      <c r="BU296" t="s">
        <v>709</v>
      </c>
      <c r="BV296" t="s">
        <v>745</v>
      </c>
      <c r="BW296" t="s">
        <v>709</v>
      </c>
      <c r="BX296" t="s">
        <v>745</v>
      </c>
      <c r="BY296" t="s">
        <v>745</v>
      </c>
      <c r="BZ296" t="s">
        <v>709</v>
      </c>
      <c r="CB296">
        <v>294</v>
      </c>
      <c r="CC296" t="b">
        <v>1</v>
      </c>
      <c r="CD296" t="s">
        <v>3182</v>
      </c>
      <c r="CE296" s="1482">
        <v>45880.733298611114</v>
      </c>
    </row>
    <row r="297" spans="1:83" x14ac:dyDescent="0.25">
      <c r="A297">
        <v>2021</v>
      </c>
      <c r="B297" t="s">
        <v>4</v>
      </c>
      <c r="C297" t="s">
        <v>3183</v>
      </c>
      <c r="D297" t="s">
        <v>3184</v>
      </c>
      <c r="E297" t="s">
        <v>3185</v>
      </c>
      <c r="F297" t="s">
        <v>738</v>
      </c>
      <c r="G297" t="s">
        <v>2814</v>
      </c>
      <c r="H297" t="s">
        <v>59</v>
      </c>
      <c r="I297">
        <v>44286</v>
      </c>
      <c r="J297">
        <v>44321</v>
      </c>
      <c r="K297">
        <v>44321</v>
      </c>
      <c r="L297">
        <v>0</v>
      </c>
      <c r="N297" t="s">
        <v>120</v>
      </c>
      <c r="O297">
        <v>44321</v>
      </c>
      <c r="P297" t="s">
        <v>739</v>
      </c>
      <c r="Q297">
        <v>95059.812999999995</v>
      </c>
      <c r="R297">
        <v>0.1</v>
      </c>
      <c r="S297" t="s">
        <v>709</v>
      </c>
      <c r="T297" t="s">
        <v>709</v>
      </c>
      <c r="U297" t="s">
        <v>709</v>
      </c>
      <c r="V297">
        <v>7146</v>
      </c>
      <c r="X297">
        <v>919917.94</v>
      </c>
      <c r="Z297">
        <v>30680.19</v>
      </c>
      <c r="AA297">
        <v>950598.13</v>
      </c>
      <c r="AC297" t="s">
        <v>709</v>
      </c>
      <c r="AM297" t="s">
        <v>116</v>
      </c>
      <c r="AN297">
        <v>44370</v>
      </c>
      <c r="AO297" t="s">
        <v>115</v>
      </c>
      <c r="AP297">
        <v>919917.94</v>
      </c>
      <c r="AR297">
        <v>30680.19</v>
      </c>
      <c r="AS297">
        <v>950598.13</v>
      </c>
      <c r="AT297">
        <v>0</v>
      </c>
      <c r="AU297">
        <v>0</v>
      </c>
      <c r="AV297" t="s">
        <v>709</v>
      </c>
      <c r="AY297" t="s">
        <v>1935</v>
      </c>
      <c r="BA297" t="s">
        <v>3186</v>
      </c>
      <c r="BB297" t="s">
        <v>3187</v>
      </c>
      <c r="BC297" t="s">
        <v>709</v>
      </c>
      <c r="BD297" t="s">
        <v>709</v>
      </c>
      <c r="BE297" t="s">
        <v>709</v>
      </c>
      <c r="BF297" t="s">
        <v>1626</v>
      </c>
      <c r="BG297" t="s">
        <v>709</v>
      </c>
      <c r="BI297" t="s">
        <v>709</v>
      </c>
      <c r="BJ297" t="s">
        <v>709</v>
      </c>
      <c r="BK297" t="s">
        <v>709</v>
      </c>
      <c r="BL297" t="s">
        <v>116</v>
      </c>
      <c r="BM297" t="s">
        <v>709</v>
      </c>
      <c r="BN297" t="s">
        <v>709</v>
      </c>
      <c r="BO297" t="s">
        <v>709</v>
      </c>
      <c r="BP297" t="s">
        <v>709</v>
      </c>
      <c r="BQ297" t="s">
        <v>709</v>
      </c>
      <c r="BR297" t="s">
        <v>709</v>
      </c>
      <c r="BS297">
        <v>7146</v>
      </c>
      <c r="BT297" t="s">
        <v>745</v>
      </c>
      <c r="BU297" t="s">
        <v>709</v>
      </c>
      <c r="BV297" t="s">
        <v>745</v>
      </c>
      <c r="BW297" t="s">
        <v>709</v>
      </c>
      <c r="BX297" t="s">
        <v>745</v>
      </c>
      <c r="BY297" t="s">
        <v>745</v>
      </c>
      <c r="BZ297" t="s">
        <v>709</v>
      </c>
      <c r="CB297">
        <v>295</v>
      </c>
      <c r="CC297" t="b">
        <v>1</v>
      </c>
      <c r="CD297" t="s">
        <v>3188</v>
      </c>
      <c r="CE297" s="1482">
        <v>45880.733310185184</v>
      </c>
    </row>
    <row r="298" spans="1:83" ht="270" x14ac:dyDescent="0.25">
      <c r="A298">
        <v>2021</v>
      </c>
      <c r="B298" t="s">
        <v>1108</v>
      </c>
      <c r="C298" t="s">
        <v>1195</v>
      </c>
      <c r="D298" t="s">
        <v>1196</v>
      </c>
      <c r="E298" t="s">
        <v>155</v>
      </c>
      <c r="F298" t="s">
        <v>1111</v>
      </c>
      <c r="G298" t="s">
        <v>40</v>
      </c>
      <c r="H298" t="s">
        <v>59</v>
      </c>
      <c r="I298">
        <v>44229</v>
      </c>
      <c r="J298">
        <v>44326</v>
      </c>
      <c r="K298">
        <v>44323</v>
      </c>
      <c r="L298">
        <v>3</v>
      </c>
      <c r="N298" t="s">
        <v>120</v>
      </c>
      <c r="O298">
        <v>44323</v>
      </c>
      <c r="P298" t="s">
        <v>739</v>
      </c>
      <c r="Q298">
        <v>27091.844300000001</v>
      </c>
      <c r="R298" t="s">
        <v>1055</v>
      </c>
      <c r="S298" t="s">
        <v>709</v>
      </c>
      <c r="T298" t="s">
        <v>709</v>
      </c>
      <c r="U298" t="s">
        <v>709</v>
      </c>
      <c r="V298">
        <v>48</v>
      </c>
      <c r="X298">
        <v>180757.62</v>
      </c>
      <c r="Z298">
        <v>46793.49</v>
      </c>
      <c r="AA298">
        <v>227551.11</v>
      </c>
      <c r="AC298" t="s">
        <v>709</v>
      </c>
      <c r="AM298" t="s">
        <v>116</v>
      </c>
      <c r="AN298" t="s">
        <v>709</v>
      </c>
      <c r="AO298" t="s">
        <v>115</v>
      </c>
      <c r="AS298">
        <v>0</v>
      </c>
      <c r="AT298">
        <v>0</v>
      </c>
      <c r="AU298">
        <v>0</v>
      </c>
      <c r="AY298" t="s">
        <v>709</v>
      </c>
      <c r="AZ298">
        <v>181</v>
      </c>
      <c r="BA298" s="4" t="s">
        <v>1197</v>
      </c>
      <c r="BB298" t="s">
        <v>1174</v>
      </c>
      <c r="BC298" t="s">
        <v>116</v>
      </c>
      <c r="BD298" t="s">
        <v>709</v>
      </c>
      <c r="BE298" t="s">
        <v>709</v>
      </c>
      <c r="BF298" t="s">
        <v>709</v>
      </c>
      <c r="BG298" t="s">
        <v>709</v>
      </c>
      <c r="BI298" t="s">
        <v>709</v>
      </c>
      <c r="BJ298" t="s">
        <v>709</v>
      </c>
      <c r="BK298" t="s">
        <v>116</v>
      </c>
      <c r="BL298" t="s">
        <v>709</v>
      </c>
      <c r="BM298" t="s">
        <v>709</v>
      </c>
      <c r="BN298" t="s">
        <v>709</v>
      </c>
      <c r="BO298" t="s">
        <v>709</v>
      </c>
      <c r="BP298" t="s">
        <v>709</v>
      </c>
      <c r="BQ298" t="s">
        <v>709</v>
      </c>
      <c r="BR298">
        <v>48</v>
      </c>
      <c r="BS298" t="s">
        <v>709</v>
      </c>
      <c r="BT298" t="s">
        <v>709</v>
      </c>
      <c r="BU298" t="s">
        <v>709</v>
      </c>
      <c r="BV298" t="s">
        <v>709</v>
      </c>
      <c r="BW298">
        <v>1</v>
      </c>
      <c r="BX298">
        <v>1</v>
      </c>
      <c r="BY298" t="s">
        <v>709</v>
      </c>
      <c r="BZ298" t="s">
        <v>709</v>
      </c>
      <c r="CA298" t="s">
        <v>2</v>
      </c>
      <c r="CB298">
        <v>297</v>
      </c>
      <c r="CC298" t="b">
        <v>1</v>
      </c>
      <c r="CD298" t="s">
        <v>3189</v>
      </c>
      <c r="CE298" s="1482">
        <v>45880.73332175926</v>
      </c>
    </row>
    <row r="299" spans="1:83" ht="165" x14ac:dyDescent="0.25">
      <c r="A299">
        <v>2021</v>
      </c>
      <c r="B299" t="s">
        <v>771</v>
      </c>
      <c r="C299" t="s">
        <v>3190</v>
      </c>
      <c r="D299" t="s">
        <v>3191</v>
      </c>
      <c r="E299" t="s">
        <v>3192</v>
      </c>
      <c r="F299" t="s">
        <v>919</v>
      </c>
      <c r="G299" t="s">
        <v>36</v>
      </c>
      <c r="H299" t="s">
        <v>59</v>
      </c>
      <c r="I299">
        <v>44232</v>
      </c>
      <c r="J299">
        <v>44316</v>
      </c>
      <c r="K299">
        <v>44323</v>
      </c>
      <c r="L299">
        <v>0</v>
      </c>
      <c r="M299" t="s">
        <v>3193</v>
      </c>
      <c r="N299" t="s">
        <v>120</v>
      </c>
      <c r="O299">
        <v>44323</v>
      </c>
      <c r="P299" t="s">
        <v>120</v>
      </c>
      <c r="Q299">
        <v>41057.949999999997</v>
      </c>
      <c r="R299" t="s">
        <v>2087</v>
      </c>
      <c r="S299" t="s">
        <v>709</v>
      </c>
      <c r="T299" t="s">
        <v>709</v>
      </c>
      <c r="U299" t="s">
        <v>709</v>
      </c>
      <c r="V299">
        <v>26489</v>
      </c>
      <c r="X299">
        <v>4054164.3</v>
      </c>
      <c r="Z299">
        <v>130058.63</v>
      </c>
      <c r="AA299">
        <v>4184222.93</v>
      </c>
      <c r="AC299" t="s">
        <v>709</v>
      </c>
      <c r="AM299" t="s">
        <v>709</v>
      </c>
      <c r="AY299" t="s">
        <v>29</v>
      </c>
      <c r="BA299" s="4" t="s">
        <v>3194</v>
      </c>
      <c r="BB299" s="4" t="s">
        <v>3195</v>
      </c>
      <c r="BC299" t="s">
        <v>116</v>
      </c>
      <c r="BD299" t="s">
        <v>709</v>
      </c>
      <c r="BE299" t="s">
        <v>3196</v>
      </c>
      <c r="BF299" t="s">
        <v>709</v>
      </c>
      <c r="BG299" t="s">
        <v>709</v>
      </c>
      <c r="BI299" t="s">
        <v>709</v>
      </c>
      <c r="BJ299" t="s">
        <v>709</v>
      </c>
      <c r="BK299" t="s">
        <v>709</v>
      </c>
      <c r="BL299" t="s">
        <v>116</v>
      </c>
      <c r="BM299" t="s">
        <v>709</v>
      </c>
      <c r="BN299" t="s">
        <v>709</v>
      </c>
      <c r="BO299" t="s">
        <v>709</v>
      </c>
      <c r="BP299" t="s">
        <v>709</v>
      </c>
      <c r="BQ299" t="s">
        <v>709</v>
      </c>
      <c r="BR299">
        <v>4931</v>
      </c>
      <c r="BS299">
        <v>21580</v>
      </c>
      <c r="BT299" t="s">
        <v>709</v>
      </c>
      <c r="BU299" t="s">
        <v>709</v>
      </c>
      <c r="BV299" t="s">
        <v>709</v>
      </c>
      <c r="BW299" t="s">
        <v>709</v>
      </c>
      <c r="BX299" t="s">
        <v>709</v>
      </c>
      <c r="BY299" t="s">
        <v>709</v>
      </c>
      <c r="BZ299" t="s">
        <v>709</v>
      </c>
      <c r="CB299">
        <v>296</v>
      </c>
      <c r="CC299" t="b">
        <v>1</v>
      </c>
      <c r="CD299" t="s">
        <v>3197</v>
      </c>
      <c r="CE299" s="1482">
        <v>45880.73332175926</v>
      </c>
    </row>
    <row r="300" spans="1:83" ht="270" x14ac:dyDescent="0.25">
      <c r="A300">
        <v>2021</v>
      </c>
      <c r="B300" t="s">
        <v>1108</v>
      </c>
      <c r="C300" t="s">
        <v>3198</v>
      </c>
      <c r="D300" t="s">
        <v>3199</v>
      </c>
      <c r="E300" t="s">
        <v>155</v>
      </c>
      <c r="F300" t="s">
        <v>1111</v>
      </c>
      <c r="G300" t="s">
        <v>40</v>
      </c>
      <c r="H300" t="s">
        <v>59</v>
      </c>
      <c r="I300">
        <v>44238</v>
      </c>
      <c r="J300">
        <v>44334</v>
      </c>
      <c r="K300">
        <v>44323</v>
      </c>
      <c r="L300">
        <v>11</v>
      </c>
      <c r="N300" t="s">
        <v>120</v>
      </c>
      <c r="O300">
        <v>44323</v>
      </c>
      <c r="P300" t="s">
        <v>739</v>
      </c>
      <c r="Q300">
        <v>18081.223000000002</v>
      </c>
      <c r="R300" t="s">
        <v>1055</v>
      </c>
      <c r="S300" t="s">
        <v>709</v>
      </c>
      <c r="T300" t="s">
        <v>709</v>
      </c>
      <c r="U300" t="s">
        <v>709</v>
      </c>
      <c r="V300">
        <v>12</v>
      </c>
      <c r="X300">
        <v>90445.18</v>
      </c>
      <c r="Z300">
        <v>31098.62</v>
      </c>
      <c r="AA300">
        <v>121543.8</v>
      </c>
      <c r="AC300" t="s">
        <v>709</v>
      </c>
      <c r="AM300" t="s">
        <v>116</v>
      </c>
      <c r="AN300">
        <v>44741</v>
      </c>
      <c r="AO300">
        <v>11042143</v>
      </c>
      <c r="AP300">
        <v>91062.52</v>
      </c>
      <c r="AR300">
        <v>31141.72</v>
      </c>
      <c r="AS300">
        <v>122204.24</v>
      </c>
      <c r="AT300">
        <v>660.44</v>
      </c>
      <c r="AU300">
        <v>56.1374</v>
      </c>
      <c r="AV300" t="s">
        <v>709</v>
      </c>
      <c r="AX300">
        <v>56.1374</v>
      </c>
      <c r="AY300">
        <v>45008</v>
      </c>
      <c r="BA300" s="4" t="s">
        <v>3200</v>
      </c>
      <c r="BB300" t="s">
        <v>2931</v>
      </c>
      <c r="BC300" t="s">
        <v>709</v>
      </c>
      <c r="BD300" t="s">
        <v>709</v>
      </c>
      <c r="BE300" t="s">
        <v>1085</v>
      </c>
      <c r="BF300" t="s">
        <v>709</v>
      </c>
      <c r="BG300" t="s">
        <v>709</v>
      </c>
      <c r="BI300" t="s">
        <v>709</v>
      </c>
      <c r="BJ300" t="s">
        <v>709</v>
      </c>
      <c r="BK300" t="s">
        <v>116</v>
      </c>
      <c r="BL300" t="s">
        <v>709</v>
      </c>
      <c r="BM300" t="s">
        <v>709</v>
      </c>
      <c r="BN300" t="s">
        <v>709</v>
      </c>
      <c r="BO300" t="s">
        <v>709</v>
      </c>
      <c r="BP300" t="s">
        <v>709</v>
      </c>
      <c r="BQ300">
        <v>12</v>
      </c>
      <c r="BR300" t="s">
        <v>709</v>
      </c>
      <c r="BS300" t="s">
        <v>709</v>
      </c>
      <c r="BT300" t="s">
        <v>745</v>
      </c>
      <c r="BU300" t="s">
        <v>709</v>
      </c>
      <c r="BV300" t="s">
        <v>745</v>
      </c>
      <c r="BW300" t="s">
        <v>709</v>
      </c>
      <c r="BX300">
        <v>1</v>
      </c>
      <c r="BY300" t="s">
        <v>745</v>
      </c>
      <c r="BZ300" t="s">
        <v>709</v>
      </c>
      <c r="CA300" t="s">
        <v>769</v>
      </c>
      <c r="CB300">
        <v>298</v>
      </c>
      <c r="CC300" t="b">
        <v>1</v>
      </c>
      <c r="CD300" t="s">
        <v>3201</v>
      </c>
      <c r="CE300" s="1482">
        <v>45880.73333333333</v>
      </c>
    </row>
    <row r="301" spans="1:83" ht="270" x14ac:dyDescent="0.25">
      <c r="A301">
        <v>2021</v>
      </c>
      <c r="B301" t="s">
        <v>1108</v>
      </c>
      <c r="C301" t="s">
        <v>3202</v>
      </c>
      <c r="D301" t="s">
        <v>3203</v>
      </c>
      <c r="E301" t="s">
        <v>2375</v>
      </c>
      <c r="F301" t="s">
        <v>1111</v>
      </c>
      <c r="G301" t="s">
        <v>40</v>
      </c>
      <c r="H301" t="s">
        <v>59</v>
      </c>
      <c r="I301">
        <v>44238</v>
      </c>
      <c r="J301">
        <v>44326</v>
      </c>
      <c r="K301">
        <v>44323</v>
      </c>
      <c r="L301">
        <v>3</v>
      </c>
      <c r="N301" t="s">
        <v>120</v>
      </c>
      <c r="O301">
        <v>44323</v>
      </c>
      <c r="P301" t="s">
        <v>739</v>
      </c>
      <c r="Q301">
        <v>19410.874599999999</v>
      </c>
      <c r="R301" t="s">
        <v>1055</v>
      </c>
      <c r="S301" t="s">
        <v>709</v>
      </c>
      <c r="T301" t="s">
        <v>709</v>
      </c>
      <c r="U301" t="s">
        <v>709</v>
      </c>
      <c r="V301">
        <v>14</v>
      </c>
      <c r="X301">
        <v>105469.98</v>
      </c>
      <c r="Z301">
        <v>31716.78</v>
      </c>
      <c r="AA301">
        <v>137186.76</v>
      </c>
      <c r="AC301" t="s">
        <v>709</v>
      </c>
      <c r="AM301" t="s">
        <v>116</v>
      </c>
      <c r="AN301">
        <v>44448</v>
      </c>
      <c r="AO301">
        <v>190778</v>
      </c>
      <c r="AP301">
        <v>105469.98</v>
      </c>
      <c r="AR301">
        <v>31716.78</v>
      </c>
      <c r="AS301">
        <v>137186.76</v>
      </c>
      <c r="AT301">
        <v>0</v>
      </c>
      <c r="AU301">
        <v>0</v>
      </c>
      <c r="AV301" t="s">
        <v>709</v>
      </c>
      <c r="AY301" t="s">
        <v>1935</v>
      </c>
      <c r="BA301" s="4" t="s">
        <v>3204</v>
      </c>
      <c r="BB301" t="s">
        <v>2931</v>
      </c>
      <c r="BC301" t="s">
        <v>709</v>
      </c>
      <c r="BD301" t="s">
        <v>709</v>
      </c>
      <c r="BE301" t="s">
        <v>3205</v>
      </c>
      <c r="BF301" t="s">
        <v>709</v>
      </c>
      <c r="BG301" t="s">
        <v>709</v>
      </c>
      <c r="BI301" t="s">
        <v>709</v>
      </c>
      <c r="BJ301" t="s">
        <v>709</v>
      </c>
      <c r="BK301" t="s">
        <v>116</v>
      </c>
      <c r="BL301" t="s">
        <v>709</v>
      </c>
      <c r="BM301" t="s">
        <v>709</v>
      </c>
      <c r="BN301" t="s">
        <v>709</v>
      </c>
      <c r="BO301" t="s">
        <v>709</v>
      </c>
      <c r="BP301" t="s">
        <v>709</v>
      </c>
      <c r="BQ301" t="s">
        <v>709</v>
      </c>
      <c r="BR301">
        <v>14</v>
      </c>
      <c r="BS301" t="s">
        <v>709</v>
      </c>
      <c r="BT301" t="s">
        <v>709</v>
      </c>
      <c r="BU301" t="s">
        <v>709</v>
      </c>
      <c r="BV301" t="s">
        <v>709</v>
      </c>
      <c r="BW301" t="s">
        <v>709</v>
      </c>
      <c r="BX301">
        <v>1</v>
      </c>
      <c r="BY301" t="s">
        <v>709</v>
      </c>
      <c r="BZ301" t="s">
        <v>709</v>
      </c>
      <c r="CA301" t="s">
        <v>2</v>
      </c>
      <c r="CB301">
        <v>300</v>
      </c>
      <c r="CC301" t="b">
        <v>1</v>
      </c>
      <c r="CD301" t="s">
        <v>3206</v>
      </c>
      <c r="CE301" s="1482">
        <v>45880.733344907407</v>
      </c>
    </row>
    <row r="302" spans="1:83" ht="270" x14ac:dyDescent="0.25">
      <c r="A302">
        <v>2021</v>
      </c>
      <c r="B302" t="s">
        <v>1108</v>
      </c>
      <c r="C302" t="s">
        <v>3207</v>
      </c>
      <c r="D302" t="s">
        <v>3208</v>
      </c>
      <c r="E302" t="s">
        <v>2375</v>
      </c>
      <c r="F302" t="s">
        <v>1111</v>
      </c>
      <c r="G302" t="s">
        <v>40</v>
      </c>
      <c r="H302" t="s">
        <v>59</v>
      </c>
      <c r="I302">
        <v>44238</v>
      </c>
      <c r="J302">
        <v>44326</v>
      </c>
      <c r="K302">
        <v>44323</v>
      </c>
      <c r="L302">
        <v>3</v>
      </c>
      <c r="N302" t="s">
        <v>120</v>
      </c>
      <c r="O302">
        <v>44323</v>
      </c>
      <c r="P302" t="s">
        <v>739</v>
      </c>
      <c r="Q302">
        <v>21317.7323</v>
      </c>
      <c r="R302" t="s">
        <v>1055</v>
      </c>
      <c r="S302" t="s">
        <v>709</v>
      </c>
      <c r="T302" t="s">
        <v>709</v>
      </c>
      <c r="U302" t="s">
        <v>709</v>
      </c>
      <c r="V302">
        <v>59</v>
      </c>
      <c r="X302">
        <v>129796.44</v>
      </c>
      <c r="Z302">
        <v>29823.94</v>
      </c>
      <c r="AA302">
        <v>159620.38</v>
      </c>
      <c r="AC302" t="s">
        <v>709</v>
      </c>
      <c r="AM302" t="s">
        <v>116</v>
      </c>
      <c r="AN302">
        <v>44448</v>
      </c>
      <c r="AO302">
        <v>190780</v>
      </c>
      <c r="AP302">
        <v>129796.44</v>
      </c>
      <c r="AR302">
        <v>29823.94</v>
      </c>
      <c r="AS302">
        <v>159620.38</v>
      </c>
      <c r="AT302">
        <v>0</v>
      </c>
      <c r="AU302">
        <v>0</v>
      </c>
      <c r="AV302" t="s">
        <v>709</v>
      </c>
      <c r="AW302" s="4"/>
      <c r="AY302" t="s">
        <v>1935</v>
      </c>
      <c r="BA302" s="4" t="s">
        <v>3209</v>
      </c>
      <c r="BB302" t="s">
        <v>2931</v>
      </c>
      <c r="BC302" t="s">
        <v>709</v>
      </c>
      <c r="BD302" t="s">
        <v>709</v>
      </c>
      <c r="BE302" t="s">
        <v>3205</v>
      </c>
      <c r="BF302" t="s">
        <v>709</v>
      </c>
      <c r="BG302" t="s">
        <v>709</v>
      </c>
      <c r="BI302" t="s">
        <v>709</v>
      </c>
      <c r="BJ302" t="s">
        <v>709</v>
      </c>
      <c r="BK302" t="s">
        <v>116</v>
      </c>
      <c r="BL302" t="s">
        <v>709</v>
      </c>
      <c r="BM302" t="s">
        <v>709</v>
      </c>
      <c r="BN302" t="s">
        <v>709</v>
      </c>
      <c r="BO302" t="s">
        <v>709</v>
      </c>
      <c r="BP302" t="s">
        <v>709</v>
      </c>
      <c r="BQ302" t="s">
        <v>709</v>
      </c>
      <c r="BR302">
        <v>59</v>
      </c>
      <c r="BS302" t="s">
        <v>709</v>
      </c>
      <c r="BT302" t="s">
        <v>709</v>
      </c>
      <c r="BU302" t="s">
        <v>709</v>
      </c>
      <c r="BV302" t="s">
        <v>709</v>
      </c>
      <c r="BW302" t="s">
        <v>709</v>
      </c>
      <c r="BX302">
        <v>1</v>
      </c>
      <c r="BY302" t="s">
        <v>709</v>
      </c>
      <c r="BZ302" t="s">
        <v>709</v>
      </c>
      <c r="CA302" t="s">
        <v>2</v>
      </c>
      <c r="CB302">
        <v>299</v>
      </c>
      <c r="CC302" t="b">
        <v>1</v>
      </c>
      <c r="CD302" t="s">
        <v>3210</v>
      </c>
      <c r="CE302" s="1482">
        <v>45880.733356481483</v>
      </c>
    </row>
    <row r="303" spans="1:83" ht="210" x14ac:dyDescent="0.25">
      <c r="A303">
        <v>2021</v>
      </c>
      <c r="B303" t="s">
        <v>4</v>
      </c>
      <c r="C303" t="s">
        <v>1198</v>
      </c>
      <c r="D303" t="s">
        <v>1199</v>
      </c>
      <c r="E303" t="s">
        <v>1200</v>
      </c>
      <c r="F303" t="s">
        <v>738</v>
      </c>
      <c r="G303" t="s">
        <v>39</v>
      </c>
      <c r="H303" t="s">
        <v>59</v>
      </c>
      <c r="I303">
        <v>44264</v>
      </c>
      <c r="J303">
        <v>44327</v>
      </c>
      <c r="K303">
        <v>44326</v>
      </c>
      <c r="L303">
        <v>1</v>
      </c>
      <c r="N303" t="s">
        <v>120</v>
      </c>
      <c r="O303">
        <v>44326</v>
      </c>
      <c r="P303" t="s">
        <v>739</v>
      </c>
      <c r="Q303">
        <v>51302.567000000003</v>
      </c>
      <c r="R303">
        <v>0.1</v>
      </c>
      <c r="S303" t="s">
        <v>709</v>
      </c>
      <c r="T303" t="s">
        <v>709</v>
      </c>
      <c r="U303" t="s">
        <v>709</v>
      </c>
      <c r="V303">
        <v>2622</v>
      </c>
      <c r="X303">
        <v>484057.24</v>
      </c>
      <c r="Z303">
        <v>28968.43</v>
      </c>
      <c r="AA303">
        <v>513025.67</v>
      </c>
      <c r="AC303" t="s">
        <v>709</v>
      </c>
      <c r="AM303" t="s">
        <v>116</v>
      </c>
      <c r="AN303" t="s">
        <v>709</v>
      </c>
      <c r="AO303" t="s">
        <v>115</v>
      </c>
      <c r="AS303">
        <v>0</v>
      </c>
      <c r="AT303">
        <v>0</v>
      </c>
      <c r="AU303">
        <v>0</v>
      </c>
      <c r="AY303" t="s">
        <v>709</v>
      </c>
      <c r="AZ303">
        <v>58</v>
      </c>
      <c r="BA303" s="4" t="s">
        <v>1201</v>
      </c>
      <c r="BB303" t="s">
        <v>1202</v>
      </c>
      <c r="BC303" t="s">
        <v>116</v>
      </c>
      <c r="BD303" t="s">
        <v>709</v>
      </c>
      <c r="BE303" t="s">
        <v>1203</v>
      </c>
      <c r="BF303" t="s">
        <v>709</v>
      </c>
      <c r="BG303" t="s">
        <v>709</v>
      </c>
      <c r="BI303" t="s">
        <v>709</v>
      </c>
      <c r="BJ303" t="s">
        <v>709</v>
      </c>
      <c r="BK303" t="s">
        <v>709</v>
      </c>
      <c r="BL303" t="s">
        <v>116</v>
      </c>
      <c r="BM303" t="s">
        <v>709</v>
      </c>
      <c r="BN303" t="s">
        <v>709</v>
      </c>
      <c r="BO303" t="s">
        <v>709</v>
      </c>
      <c r="BP303" t="s">
        <v>709</v>
      </c>
      <c r="BQ303" t="s">
        <v>709</v>
      </c>
      <c r="BR303">
        <v>1439</v>
      </c>
      <c r="BS303">
        <v>1183</v>
      </c>
      <c r="BT303" t="s">
        <v>745</v>
      </c>
      <c r="BU303" t="s">
        <v>709</v>
      </c>
      <c r="BV303" t="s">
        <v>745</v>
      </c>
      <c r="BW303" t="s">
        <v>709</v>
      </c>
      <c r="BX303" t="s">
        <v>745</v>
      </c>
      <c r="BY303" t="s">
        <v>745</v>
      </c>
      <c r="BZ303" t="s">
        <v>709</v>
      </c>
      <c r="CB303">
        <v>302</v>
      </c>
      <c r="CC303" t="b">
        <v>1</v>
      </c>
      <c r="CD303" t="s">
        <v>3211</v>
      </c>
      <c r="CE303" s="1482">
        <v>45880.733356481483</v>
      </c>
    </row>
    <row r="304" spans="1:83" ht="210" x14ac:dyDescent="0.25">
      <c r="A304">
        <v>2021</v>
      </c>
      <c r="B304" t="s">
        <v>4</v>
      </c>
      <c r="C304" t="s">
        <v>1198</v>
      </c>
      <c r="D304" t="s">
        <v>1204</v>
      </c>
      <c r="E304" t="s">
        <v>1200</v>
      </c>
      <c r="F304" t="s">
        <v>738</v>
      </c>
      <c r="G304" t="s">
        <v>39</v>
      </c>
      <c r="H304" t="s">
        <v>59</v>
      </c>
      <c r="I304">
        <v>44264</v>
      </c>
      <c r="J304">
        <v>44327</v>
      </c>
      <c r="K304">
        <v>44326</v>
      </c>
      <c r="L304">
        <v>1</v>
      </c>
      <c r="N304" t="s">
        <v>120</v>
      </c>
      <c r="O304">
        <v>44326</v>
      </c>
      <c r="P304" t="s">
        <v>739</v>
      </c>
      <c r="Q304">
        <v>19836.062999999998</v>
      </c>
      <c r="R304">
        <v>0.1</v>
      </c>
      <c r="S304" t="s">
        <v>709</v>
      </c>
      <c r="T304" t="s">
        <v>709</v>
      </c>
      <c r="U304" t="s">
        <v>709</v>
      </c>
      <c r="V304">
        <v>834</v>
      </c>
      <c r="X304">
        <v>169446.82</v>
      </c>
      <c r="Z304">
        <v>28913.81</v>
      </c>
      <c r="AA304">
        <v>198360.63</v>
      </c>
      <c r="AC304" t="s">
        <v>709</v>
      </c>
      <c r="AM304" t="s">
        <v>116</v>
      </c>
      <c r="AN304" t="s">
        <v>709</v>
      </c>
      <c r="AO304" t="s">
        <v>115</v>
      </c>
      <c r="AS304">
        <v>0</v>
      </c>
      <c r="AT304">
        <v>0</v>
      </c>
      <c r="AU304">
        <v>0</v>
      </c>
      <c r="AY304" t="s">
        <v>709</v>
      </c>
      <c r="AZ304">
        <v>59</v>
      </c>
      <c r="BA304" s="4" t="s">
        <v>1201</v>
      </c>
      <c r="BB304" t="s">
        <v>1202</v>
      </c>
      <c r="BC304" t="s">
        <v>116</v>
      </c>
      <c r="BD304" t="s">
        <v>709</v>
      </c>
      <c r="BE304" t="s">
        <v>1203</v>
      </c>
      <c r="BF304" t="s">
        <v>709</v>
      </c>
      <c r="BG304" t="s">
        <v>709</v>
      </c>
      <c r="BI304" t="s">
        <v>709</v>
      </c>
      <c r="BJ304" t="s">
        <v>709</v>
      </c>
      <c r="BK304" t="s">
        <v>709</v>
      </c>
      <c r="BL304" t="s">
        <v>116</v>
      </c>
      <c r="BM304" t="s">
        <v>709</v>
      </c>
      <c r="BN304" t="s">
        <v>709</v>
      </c>
      <c r="BO304" t="s">
        <v>709</v>
      </c>
      <c r="BP304" t="s">
        <v>709</v>
      </c>
      <c r="BQ304" t="s">
        <v>709</v>
      </c>
      <c r="BR304">
        <v>1439</v>
      </c>
      <c r="BS304">
        <v>1183</v>
      </c>
      <c r="BT304" t="s">
        <v>745</v>
      </c>
      <c r="BU304" t="s">
        <v>709</v>
      </c>
      <c r="BV304" t="s">
        <v>745</v>
      </c>
      <c r="BW304" t="s">
        <v>709</v>
      </c>
      <c r="BX304" t="s">
        <v>745</v>
      </c>
      <c r="BY304" t="s">
        <v>745</v>
      </c>
      <c r="BZ304" t="s">
        <v>709</v>
      </c>
      <c r="CB304">
        <v>303</v>
      </c>
      <c r="CC304" t="b">
        <v>1</v>
      </c>
      <c r="CD304" t="s">
        <v>3212</v>
      </c>
      <c r="CE304" s="1482">
        <v>45880.733368055553</v>
      </c>
    </row>
    <row r="305" spans="1:83" x14ac:dyDescent="0.25">
      <c r="A305">
        <v>2021</v>
      </c>
      <c r="B305" t="s">
        <v>4</v>
      </c>
      <c r="C305" t="s">
        <v>3105</v>
      </c>
      <c r="D305" t="s">
        <v>3106</v>
      </c>
      <c r="E305" t="s">
        <v>2126</v>
      </c>
      <c r="F305" t="s">
        <v>738</v>
      </c>
      <c r="G305" t="s">
        <v>2814</v>
      </c>
      <c r="H305" t="s">
        <v>2051</v>
      </c>
      <c r="I305">
        <v>44215</v>
      </c>
      <c r="J305" t="s">
        <v>2052</v>
      </c>
      <c r="K305">
        <v>44326</v>
      </c>
      <c r="L305">
        <v>111</v>
      </c>
      <c r="M305" t="s">
        <v>3213</v>
      </c>
      <c r="N305" t="s">
        <v>120</v>
      </c>
      <c r="O305">
        <v>44326</v>
      </c>
      <c r="P305" t="s">
        <v>739</v>
      </c>
      <c r="Q305">
        <v>1702.5</v>
      </c>
      <c r="R305" t="s">
        <v>1922</v>
      </c>
      <c r="S305" t="s">
        <v>709</v>
      </c>
      <c r="T305" t="s">
        <v>709</v>
      </c>
      <c r="U305">
        <v>1702.5</v>
      </c>
      <c r="V305">
        <v>613</v>
      </c>
      <c r="X305">
        <v>149296.41</v>
      </c>
      <c r="Z305">
        <v>35921.61</v>
      </c>
      <c r="AA305">
        <v>185218.02</v>
      </c>
      <c r="AM305" t="s">
        <v>709</v>
      </c>
      <c r="AY305" t="s">
        <v>29</v>
      </c>
      <c r="BA305">
        <v>10</v>
      </c>
      <c r="BI305" t="s">
        <v>709</v>
      </c>
      <c r="BJ305" t="s">
        <v>709</v>
      </c>
      <c r="BK305" t="s">
        <v>709</v>
      </c>
      <c r="BL305" t="s">
        <v>116</v>
      </c>
      <c r="BM305" t="s">
        <v>709</v>
      </c>
      <c r="BN305" t="s">
        <v>709</v>
      </c>
      <c r="BO305" t="s">
        <v>709</v>
      </c>
      <c r="BP305" t="s">
        <v>709</v>
      </c>
      <c r="BQ305" t="s">
        <v>709</v>
      </c>
      <c r="BR305">
        <v>328</v>
      </c>
      <c r="BS305">
        <v>279</v>
      </c>
      <c r="BT305" t="s">
        <v>745</v>
      </c>
      <c r="BU305" t="s">
        <v>709</v>
      </c>
      <c r="BV305" t="s">
        <v>745</v>
      </c>
      <c r="BW305" t="s">
        <v>709</v>
      </c>
      <c r="BX305" t="s">
        <v>745</v>
      </c>
      <c r="BY305" t="s">
        <v>745</v>
      </c>
      <c r="BZ305" t="s">
        <v>709</v>
      </c>
      <c r="CB305">
        <v>301</v>
      </c>
      <c r="CC305" t="b">
        <v>1</v>
      </c>
      <c r="CD305" t="s">
        <v>3214</v>
      </c>
      <c r="CE305" s="1482">
        <v>45880.73337962963</v>
      </c>
    </row>
    <row r="306" spans="1:83" ht="165" x14ac:dyDescent="0.25">
      <c r="A306">
        <v>2022</v>
      </c>
      <c r="B306" t="s">
        <v>4</v>
      </c>
      <c r="C306" t="s">
        <v>3215</v>
      </c>
      <c r="D306" t="s">
        <v>3216</v>
      </c>
      <c r="E306" t="s">
        <v>783</v>
      </c>
      <c r="F306" t="s">
        <v>738</v>
      </c>
      <c r="G306" t="s">
        <v>2814</v>
      </c>
      <c r="H306" t="s">
        <v>59</v>
      </c>
      <c r="I306">
        <v>44235</v>
      </c>
      <c r="J306">
        <v>44344</v>
      </c>
      <c r="K306">
        <v>44327</v>
      </c>
      <c r="L306">
        <v>17</v>
      </c>
      <c r="N306" t="s">
        <v>120</v>
      </c>
      <c r="O306">
        <v>44327</v>
      </c>
      <c r="P306" t="s">
        <v>739</v>
      </c>
      <c r="Q306">
        <v>57345.474000000002</v>
      </c>
      <c r="R306">
        <v>0.1</v>
      </c>
      <c r="S306" t="s">
        <v>709</v>
      </c>
      <c r="T306" t="s">
        <v>709</v>
      </c>
      <c r="U306" t="s">
        <v>709</v>
      </c>
      <c r="V306">
        <v>2146</v>
      </c>
      <c r="X306">
        <v>541875.5</v>
      </c>
      <c r="Z306">
        <v>31579.24</v>
      </c>
      <c r="AA306">
        <v>573454.74</v>
      </c>
      <c r="AC306" t="s">
        <v>709</v>
      </c>
      <c r="AM306" t="s">
        <v>116</v>
      </c>
      <c r="AN306">
        <v>44558</v>
      </c>
      <c r="AO306">
        <v>11038993</v>
      </c>
      <c r="AP306">
        <v>541875.5</v>
      </c>
      <c r="AR306">
        <v>31579.24</v>
      </c>
      <c r="AS306">
        <v>573454.74</v>
      </c>
      <c r="AT306">
        <v>0</v>
      </c>
      <c r="AU306">
        <v>0</v>
      </c>
      <c r="AV306">
        <v>7680</v>
      </c>
      <c r="AW306" t="s">
        <v>3217</v>
      </c>
      <c r="AY306" t="s">
        <v>1935</v>
      </c>
      <c r="BA306" t="s">
        <v>3218</v>
      </c>
      <c r="BB306" s="4" t="s">
        <v>3219</v>
      </c>
      <c r="BC306" t="s">
        <v>709</v>
      </c>
      <c r="BD306" t="s">
        <v>709</v>
      </c>
      <c r="BE306" t="s">
        <v>789</v>
      </c>
      <c r="BF306" t="s">
        <v>709</v>
      </c>
      <c r="BG306" t="s">
        <v>709</v>
      </c>
      <c r="BI306" t="s">
        <v>709</v>
      </c>
      <c r="BJ306" t="s">
        <v>709</v>
      </c>
      <c r="BK306" t="s">
        <v>709</v>
      </c>
      <c r="BL306" t="s">
        <v>116</v>
      </c>
      <c r="BM306" t="s">
        <v>709</v>
      </c>
      <c r="BN306" t="s">
        <v>709</v>
      </c>
      <c r="BO306" t="s">
        <v>709</v>
      </c>
      <c r="BP306" t="s">
        <v>709</v>
      </c>
      <c r="BQ306" t="s">
        <v>709</v>
      </c>
      <c r="BR306" t="s">
        <v>709</v>
      </c>
      <c r="BS306">
        <v>2146</v>
      </c>
      <c r="BT306" t="s">
        <v>745</v>
      </c>
      <c r="BU306" t="s">
        <v>709</v>
      </c>
      <c r="BV306" t="s">
        <v>745</v>
      </c>
      <c r="BW306" t="s">
        <v>709</v>
      </c>
      <c r="BX306" t="s">
        <v>745</v>
      </c>
      <c r="BY306" t="s">
        <v>745</v>
      </c>
      <c r="BZ306" t="s">
        <v>709</v>
      </c>
      <c r="CB306">
        <v>304</v>
      </c>
      <c r="CC306" t="b">
        <v>1</v>
      </c>
      <c r="CD306" t="s">
        <v>3220</v>
      </c>
      <c r="CE306" s="1482">
        <v>45880.73337962963</v>
      </c>
    </row>
    <row r="307" spans="1:83" ht="210" x14ac:dyDescent="0.25">
      <c r="A307">
        <v>2021</v>
      </c>
      <c r="B307" t="s">
        <v>4</v>
      </c>
      <c r="C307" t="s">
        <v>3221</v>
      </c>
      <c r="D307" t="s">
        <v>3222</v>
      </c>
      <c r="E307" t="s">
        <v>3223</v>
      </c>
      <c r="F307" t="s">
        <v>738</v>
      </c>
      <c r="G307" t="s">
        <v>39</v>
      </c>
      <c r="H307" t="s">
        <v>59</v>
      </c>
      <c r="I307">
        <v>44286</v>
      </c>
      <c r="J307">
        <v>44342</v>
      </c>
      <c r="K307">
        <v>44328</v>
      </c>
      <c r="L307">
        <v>14</v>
      </c>
      <c r="N307" t="s">
        <v>120</v>
      </c>
      <c r="O307">
        <v>44328</v>
      </c>
      <c r="P307" t="s">
        <v>739</v>
      </c>
      <c r="Q307">
        <v>4777.2950000000001</v>
      </c>
      <c r="R307">
        <v>0.1</v>
      </c>
      <c r="S307" t="s">
        <v>709</v>
      </c>
      <c r="T307" t="s">
        <v>709</v>
      </c>
      <c r="U307" t="s">
        <v>709</v>
      </c>
      <c r="V307">
        <v>186</v>
      </c>
      <c r="X307">
        <v>39785.81</v>
      </c>
      <c r="Z307">
        <v>7987.14</v>
      </c>
      <c r="AA307">
        <v>47772.95</v>
      </c>
      <c r="AC307" t="s">
        <v>709</v>
      </c>
      <c r="AM307" t="s">
        <v>116</v>
      </c>
      <c r="AN307">
        <v>44354</v>
      </c>
      <c r="AO307">
        <v>189268</v>
      </c>
      <c r="AP307">
        <v>37174.720000000001</v>
      </c>
      <c r="AR307">
        <v>7987.14</v>
      </c>
      <c r="AS307">
        <v>45161.86</v>
      </c>
      <c r="AT307">
        <v>-2611.09</v>
      </c>
      <c r="AU307">
        <v>-261.10899999999998</v>
      </c>
      <c r="AV307" t="s">
        <v>709</v>
      </c>
      <c r="AW307" t="s">
        <v>3224</v>
      </c>
      <c r="AX307">
        <v>-261.10899999999998</v>
      </c>
      <c r="AY307">
        <v>44501</v>
      </c>
      <c r="BA307" s="4" t="s">
        <v>3225</v>
      </c>
      <c r="BB307" t="s">
        <v>3226</v>
      </c>
      <c r="BC307" t="s">
        <v>709</v>
      </c>
      <c r="BD307" t="s">
        <v>709</v>
      </c>
      <c r="BE307" t="s">
        <v>709</v>
      </c>
      <c r="BF307" t="s">
        <v>709</v>
      </c>
      <c r="BG307" t="s">
        <v>709</v>
      </c>
      <c r="BI307" t="s">
        <v>709</v>
      </c>
      <c r="BJ307" t="s">
        <v>709</v>
      </c>
      <c r="BK307" t="s">
        <v>709</v>
      </c>
      <c r="BL307" t="s">
        <v>116</v>
      </c>
      <c r="BM307" t="s">
        <v>709</v>
      </c>
      <c r="BN307" t="s">
        <v>709</v>
      </c>
      <c r="BO307" t="s">
        <v>709</v>
      </c>
      <c r="BP307" t="s">
        <v>709</v>
      </c>
      <c r="BQ307" t="s">
        <v>709</v>
      </c>
      <c r="BR307" t="s">
        <v>709</v>
      </c>
      <c r="BS307">
        <v>186</v>
      </c>
      <c r="BT307" t="s">
        <v>745</v>
      </c>
      <c r="BU307" t="s">
        <v>709</v>
      </c>
      <c r="BV307" t="s">
        <v>745</v>
      </c>
      <c r="BW307" t="s">
        <v>709</v>
      </c>
      <c r="BX307" t="s">
        <v>745</v>
      </c>
      <c r="BY307" t="s">
        <v>745</v>
      </c>
      <c r="BZ307" t="s">
        <v>709</v>
      </c>
      <c r="CB307">
        <v>305</v>
      </c>
      <c r="CC307" t="b">
        <v>1</v>
      </c>
      <c r="CD307" t="s">
        <v>3227</v>
      </c>
      <c r="CE307" s="1482">
        <v>45880.733391203707</v>
      </c>
    </row>
    <row r="308" spans="1:83" ht="75" x14ac:dyDescent="0.25">
      <c r="A308">
        <v>2021</v>
      </c>
      <c r="B308" t="s">
        <v>4</v>
      </c>
      <c r="C308" t="s">
        <v>3228</v>
      </c>
      <c r="D308" t="s">
        <v>3229</v>
      </c>
      <c r="E308" t="s">
        <v>783</v>
      </c>
      <c r="F308" t="s">
        <v>738</v>
      </c>
      <c r="G308" t="s">
        <v>2814</v>
      </c>
      <c r="H308" t="s">
        <v>59</v>
      </c>
      <c r="I308">
        <v>44301</v>
      </c>
      <c r="J308">
        <v>44343</v>
      </c>
      <c r="K308">
        <v>44329</v>
      </c>
      <c r="L308">
        <v>14</v>
      </c>
      <c r="N308" t="s">
        <v>120</v>
      </c>
      <c r="O308">
        <v>44329</v>
      </c>
      <c r="P308" t="s">
        <v>739</v>
      </c>
      <c r="Q308">
        <v>23255.33</v>
      </c>
      <c r="R308">
        <v>0.1</v>
      </c>
      <c r="S308" t="s">
        <v>709</v>
      </c>
      <c r="T308" t="s">
        <v>709</v>
      </c>
      <c r="U308" t="s">
        <v>709</v>
      </c>
      <c r="V308">
        <v>729</v>
      </c>
      <c r="X308">
        <v>201904.32</v>
      </c>
      <c r="Z308">
        <v>30648.98</v>
      </c>
      <c r="AA308">
        <v>232553.3</v>
      </c>
      <c r="AC308" t="s">
        <v>709</v>
      </c>
      <c r="AM308" t="s">
        <v>116</v>
      </c>
      <c r="AN308">
        <v>44368</v>
      </c>
      <c r="AO308">
        <v>189454</v>
      </c>
      <c r="AP308">
        <v>204942.43</v>
      </c>
      <c r="AR308">
        <v>31611.439999999999</v>
      </c>
      <c r="AS308">
        <v>236553.87</v>
      </c>
      <c r="AT308">
        <v>4000.57</v>
      </c>
      <c r="AU308">
        <v>400.05700000000002</v>
      </c>
      <c r="AV308" t="s">
        <v>709</v>
      </c>
      <c r="AW308" t="s">
        <v>2338</v>
      </c>
      <c r="AX308">
        <v>400.05700000000002</v>
      </c>
      <c r="AY308">
        <v>44501</v>
      </c>
      <c r="BA308" t="s">
        <v>3230</v>
      </c>
      <c r="BB308" s="4" t="s">
        <v>1900</v>
      </c>
      <c r="BC308" t="s">
        <v>709</v>
      </c>
      <c r="BD308" t="s">
        <v>709</v>
      </c>
      <c r="BE308" t="s">
        <v>789</v>
      </c>
      <c r="BF308" t="s">
        <v>709</v>
      </c>
      <c r="BG308" t="s">
        <v>709</v>
      </c>
      <c r="BI308" t="s">
        <v>709</v>
      </c>
      <c r="BJ308" t="s">
        <v>709</v>
      </c>
      <c r="BK308" t="s">
        <v>709</v>
      </c>
      <c r="BL308" t="s">
        <v>116</v>
      </c>
      <c r="BM308" t="s">
        <v>709</v>
      </c>
      <c r="BN308" t="s">
        <v>709</v>
      </c>
      <c r="BO308" t="s">
        <v>709</v>
      </c>
      <c r="BP308" t="s">
        <v>709</v>
      </c>
      <c r="BQ308" t="s">
        <v>709</v>
      </c>
      <c r="BR308" t="s">
        <v>709</v>
      </c>
      <c r="BS308">
        <v>729</v>
      </c>
      <c r="BT308" t="s">
        <v>745</v>
      </c>
      <c r="BU308" t="s">
        <v>709</v>
      </c>
      <c r="BV308" t="s">
        <v>745</v>
      </c>
      <c r="BW308" t="s">
        <v>709</v>
      </c>
      <c r="BX308" t="s">
        <v>745</v>
      </c>
      <c r="BY308" t="s">
        <v>745</v>
      </c>
      <c r="BZ308" t="s">
        <v>709</v>
      </c>
      <c r="CB308">
        <v>307</v>
      </c>
      <c r="CC308" t="b">
        <v>1</v>
      </c>
      <c r="CD308" t="s">
        <v>3231</v>
      </c>
      <c r="CE308" s="1482">
        <v>45880.733402777776</v>
      </c>
    </row>
    <row r="309" spans="1:83" ht="285" x14ac:dyDescent="0.25">
      <c r="A309">
        <v>2021</v>
      </c>
      <c r="B309" t="s">
        <v>1108</v>
      </c>
      <c r="C309" t="s">
        <v>3232</v>
      </c>
      <c r="D309" t="s">
        <v>3233</v>
      </c>
      <c r="E309" t="s">
        <v>111</v>
      </c>
      <c r="F309" t="s">
        <v>1111</v>
      </c>
      <c r="G309" t="s">
        <v>40</v>
      </c>
      <c r="H309" t="s">
        <v>59</v>
      </c>
      <c r="I309">
        <v>44238</v>
      </c>
      <c r="J309">
        <v>44334</v>
      </c>
      <c r="K309">
        <v>44329</v>
      </c>
      <c r="L309">
        <v>5</v>
      </c>
      <c r="N309" t="s">
        <v>120</v>
      </c>
      <c r="O309">
        <v>44329</v>
      </c>
      <c r="P309" t="s">
        <v>739</v>
      </c>
      <c r="Q309">
        <v>19119.7088</v>
      </c>
      <c r="R309" t="s">
        <v>1055</v>
      </c>
      <c r="S309" t="s">
        <v>709</v>
      </c>
      <c r="T309" t="s">
        <v>709</v>
      </c>
      <c r="U309" t="s">
        <v>709</v>
      </c>
      <c r="V309">
        <v>9</v>
      </c>
      <c r="X309">
        <v>104256.34</v>
      </c>
      <c r="Z309">
        <v>29504.94</v>
      </c>
      <c r="AA309">
        <v>133761.28</v>
      </c>
      <c r="AC309" t="s">
        <v>709</v>
      </c>
      <c r="AM309" t="s">
        <v>116</v>
      </c>
      <c r="AN309">
        <v>44434</v>
      </c>
      <c r="AO309">
        <v>190779</v>
      </c>
      <c r="AP309">
        <v>104256.34</v>
      </c>
      <c r="AR309">
        <v>29504.94</v>
      </c>
      <c r="AS309">
        <v>133761.28</v>
      </c>
      <c r="AT309">
        <v>0</v>
      </c>
      <c r="AU309">
        <v>0</v>
      </c>
      <c r="AV309" t="s">
        <v>709</v>
      </c>
      <c r="AY309" t="s">
        <v>1935</v>
      </c>
      <c r="BA309" s="4" t="s">
        <v>3234</v>
      </c>
      <c r="BB309" t="s">
        <v>3235</v>
      </c>
      <c r="BC309" t="s">
        <v>709</v>
      </c>
      <c r="BD309" t="s">
        <v>709</v>
      </c>
      <c r="BE309" t="s">
        <v>1114</v>
      </c>
      <c r="BF309" t="s">
        <v>709</v>
      </c>
      <c r="BG309" t="s">
        <v>709</v>
      </c>
      <c r="BI309" t="s">
        <v>709</v>
      </c>
      <c r="BJ309" t="s">
        <v>709</v>
      </c>
      <c r="BK309" t="s">
        <v>116</v>
      </c>
      <c r="BL309" t="s">
        <v>709</v>
      </c>
      <c r="BM309" t="s">
        <v>709</v>
      </c>
      <c r="BN309" t="s">
        <v>709</v>
      </c>
      <c r="BO309" t="s">
        <v>709</v>
      </c>
      <c r="BP309" t="s">
        <v>709</v>
      </c>
      <c r="BQ309" t="s">
        <v>709</v>
      </c>
      <c r="BR309">
        <v>9</v>
      </c>
      <c r="BS309" t="s">
        <v>709</v>
      </c>
      <c r="BT309" t="s">
        <v>709</v>
      </c>
      <c r="BU309" t="s">
        <v>709</v>
      </c>
      <c r="BV309" t="s">
        <v>709</v>
      </c>
      <c r="BW309" t="s">
        <v>709</v>
      </c>
      <c r="BX309">
        <v>1</v>
      </c>
      <c r="BY309" t="s">
        <v>709</v>
      </c>
      <c r="BZ309" t="s">
        <v>709</v>
      </c>
      <c r="CA309" t="s">
        <v>2</v>
      </c>
      <c r="CB309">
        <v>306</v>
      </c>
      <c r="CC309" t="b">
        <v>1</v>
      </c>
      <c r="CD309" t="s">
        <v>3236</v>
      </c>
      <c r="CE309" s="1482">
        <v>45880.733414351853</v>
      </c>
    </row>
    <row r="310" spans="1:83" ht="180" x14ac:dyDescent="0.25">
      <c r="A310">
        <v>2021</v>
      </c>
      <c r="B310" t="s">
        <v>4</v>
      </c>
      <c r="C310" t="s">
        <v>3237</v>
      </c>
      <c r="D310" t="s">
        <v>3238</v>
      </c>
      <c r="E310" t="s">
        <v>2375</v>
      </c>
      <c r="F310" t="s">
        <v>738</v>
      </c>
      <c r="G310" t="s">
        <v>36</v>
      </c>
      <c r="H310" t="s">
        <v>59</v>
      </c>
      <c r="I310">
        <v>44301</v>
      </c>
      <c r="J310">
        <v>44336</v>
      </c>
      <c r="K310">
        <v>44333</v>
      </c>
      <c r="L310">
        <v>3</v>
      </c>
      <c r="N310" t="s">
        <v>120</v>
      </c>
      <c r="O310">
        <v>44333</v>
      </c>
      <c r="P310" t="s">
        <v>739</v>
      </c>
      <c r="Q310">
        <v>21752.206999999999</v>
      </c>
      <c r="R310">
        <v>0.1</v>
      </c>
      <c r="S310" t="s">
        <v>709</v>
      </c>
      <c r="T310" t="s">
        <v>709</v>
      </c>
      <c r="U310" t="s">
        <v>709</v>
      </c>
      <c r="V310">
        <v>1345</v>
      </c>
      <c r="X310">
        <v>201473.29</v>
      </c>
      <c r="Z310">
        <v>16048.78</v>
      </c>
      <c r="AA310">
        <v>217522.07</v>
      </c>
      <c r="AC310" t="s">
        <v>709</v>
      </c>
      <c r="AM310" t="s">
        <v>116</v>
      </c>
      <c r="AN310">
        <v>45805</v>
      </c>
      <c r="AO310">
        <v>11103544</v>
      </c>
      <c r="AP310">
        <v>1385659.79</v>
      </c>
      <c r="AR310">
        <v>298514.07</v>
      </c>
      <c r="AS310">
        <v>1684173.86</v>
      </c>
      <c r="AT310">
        <v>1466651.79</v>
      </c>
      <c r="AU310">
        <v>146665.179</v>
      </c>
      <c r="AV310" t="s">
        <v>709</v>
      </c>
      <c r="AW310" t="s">
        <v>3239</v>
      </c>
      <c r="AX310">
        <v>3173.8519999999999</v>
      </c>
      <c r="AY310">
        <v>44501</v>
      </c>
      <c r="BA310" s="4" t="s">
        <v>3240</v>
      </c>
      <c r="BB310" t="s">
        <v>1900</v>
      </c>
      <c r="BC310" t="s">
        <v>116</v>
      </c>
      <c r="BD310" t="s">
        <v>709</v>
      </c>
      <c r="BE310" t="s">
        <v>3205</v>
      </c>
      <c r="BF310" t="s">
        <v>709</v>
      </c>
      <c r="BG310" t="s">
        <v>709</v>
      </c>
      <c r="BI310" t="s">
        <v>709</v>
      </c>
      <c r="BJ310" t="s">
        <v>709</v>
      </c>
      <c r="BK310" t="s">
        <v>709</v>
      </c>
      <c r="BL310" t="s">
        <v>116</v>
      </c>
      <c r="BM310" t="s">
        <v>709</v>
      </c>
      <c r="BN310" t="s">
        <v>709</v>
      </c>
      <c r="BO310" t="s">
        <v>709</v>
      </c>
      <c r="BP310" t="s">
        <v>709</v>
      </c>
      <c r="BQ310" t="s">
        <v>709</v>
      </c>
      <c r="BR310" t="s">
        <v>709</v>
      </c>
      <c r="BS310">
        <v>1345</v>
      </c>
      <c r="BT310" t="s">
        <v>745</v>
      </c>
      <c r="BU310" t="s">
        <v>709</v>
      </c>
      <c r="BV310" t="s">
        <v>745</v>
      </c>
      <c r="BW310" t="s">
        <v>709</v>
      </c>
      <c r="BX310" t="s">
        <v>745</v>
      </c>
      <c r="BY310" t="s">
        <v>745</v>
      </c>
      <c r="BZ310" t="s">
        <v>709</v>
      </c>
      <c r="CB310">
        <v>308</v>
      </c>
      <c r="CC310" t="b">
        <v>1</v>
      </c>
      <c r="CD310" t="s">
        <v>3241</v>
      </c>
      <c r="CE310" s="1482">
        <v>45880.733425925922</v>
      </c>
    </row>
    <row r="311" spans="1:83" ht="240" x14ac:dyDescent="0.25">
      <c r="A311">
        <v>2022</v>
      </c>
      <c r="B311" t="s">
        <v>4</v>
      </c>
      <c r="C311" t="s">
        <v>3242</v>
      </c>
      <c r="D311" t="s">
        <v>3243</v>
      </c>
      <c r="E311" t="s">
        <v>141</v>
      </c>
      <c r="F311" t="s">
        <v>919</v>
      </c>
      <c r="G311" t="s">
        <v>39</v>
      </c>
      <c r="H311" t="s">
        <v>2127</v>
      </c>
      <c r="I311">
        <v>44272</v>
      </c>
      <c r="J311">
        <v>44351</v>
      </c>
      <c r="K311">
        <v>44334</v>
      </c>
      <c r="L311">
        <v>17</v>
      </c>
      <c r="M311" t="s">
        <v>3244</v>
      </c>
      <c r="N311" t="s">
        <v>120</v>
      </c>
      <c r="O311">
        <v>44348</v>
      </c>
      <c r="P311" t="s">
        <v>739</v>
      </c>
      <c r="Q311">
        <v>8839.2000000000007</v>
      </c>
      <c r="R311" t="s">
        <v>1922</v>
      </c>
      <c r="S311">
        <v>879.2</v>
      </c>
      <c r="T311" t="s">
        <v>709</v>
      </c>
      <c r="U311">
        <v>7960</v>
      </c>
      <c r="V311" t="s">
        <v>115</v>
      </c>
      <c r="AM311" t="s">
        <v>709</v>
      </c>
      <c r="AY311" t="s">
        <v>29</v>
      </c>
      <c r="BA311" s="4" t="s">
        <v>3245</v>
      </c>
      <c r="BB311" t="s">
        <v>2288</v>
      </c>
      <c r="BZ311" t="s">
        <v>709</v>
      </c>
      <c r="CA311" t="s">
        <v>915</v>
      </c>
      <c r="CB311">
        <v>309</v>
      </c>
      <c r="CC311" t="b">
        <v>1</v>
      </c>
      <c r="CD311" t="s">
        <v>3246</v>
      </c>
      <c r="CE311" s="1482">
        <v>45880.733425925922</v>
      </c>
    </row>
    <row r="312" spans="1:83" x14ac:dyDescent="0.25">
      <c r="A312">
        <v>2021</v>
      </c>
      <c r="B312" t="s">
        <v>4</v>
      </c>
      <c r="C312" t="s">
        <v>3247</v>
      </c>
      <c r="D312" t="s">
        <v>3248</v>
      </c>
      <c r="E312" t="s">
        <v>2945</v>
      </c>
      <c r="F312" t="s">
        <v>738</v>
      </c>
      <c r="G312" t="s">
        <v>39</v>
      </c>
      <c r="H312" t="s">
        <v>59</v>
      </c>
      <c r="I312">
        <v>44286</v>
      </c>
      <c r="J312">
        <v>44347</v>
      </c>
      <c r="K312">
        <v>44335</v>
      </c>
      <c r="L312">
        <v>12</v>
      </c>
      <c r="N312" t="s">
        <v>120</v>
      </c>
      <c r="O312">
        <v>44335</v>
      </c>
      <c r="P312" t="s">
        <v>739</v>
      </c>
      <c r="Q312">
        <v>2394.7040000000002</v>
      </c>
      <c r="R312">
        <v>0.1</v>
      </c>
      <c r="S312" t="s">
        <v>709</v>
      </c>
      <c r="T312" t="s">
        <v>709</v>
      </c>
      <c r="U312" t="s">
        <v>709</v>
      </c>
      <c r="X312">
        <v>0</v>
      </c>
      <c r="Z312">
        <v>23947.040000000001</v>
      </c>
      <c r="AA312">
        <v>23947.040000000001</v>
      </c>
      <c r="AC312" t="s">
        <v>709</v>
      </c>
      <c r="AM312" t="s">
        <v>116</v>
      </c>
      <c r="AN312">
        <v>44354</v>
      </c>
      <c r="AO312">
        <v>189499</v>
      </c>
      <c r="AP312">
        <v>0</v>
      </c>
      <c r="AR312">
        <v>23947.040000000001</v>
      </c>
      <c r="AS312">
        <v>23947.040000000001</v>
      </c>
      <c r="AT312">
        <v>0</v>
      </c>
      <c r="AU312">
        <v>0</v>
      </c>
      <c r="AV312" t="s">
        <v>709</v>
      </c>
      <c r="AY312" t="s">
        <v>1935</v>
      </c>
      <c r="BA312" t="s">
        <v>3249</v>
      </c>
      <c r="BB312" t="s">
        <v>3226</v>
      </c>
      <c r="BC312" t="s">
        <v>709</v>
      </c>
      <c r="BD312" t="s">
        <v>862</v>
      </c>
      <c r="BE312" t="s">
        <v>709</v>
      </c>
      <c r="BF312" t="s">
        <v>709</v>
      </c>
      <c r="BG312" t="s">
        <v>709</v>
      </c>
      <c r="BI312" t="s">
        <v>709</v>
      </c>
      <c r="BJ312" t="s">
        <v>709</v>
      </c>
      <c r="BK312" t="s">
        <v>709</v>
      </c>
      <c r="BL312" t="s">
        <v>709</v>
      </c>
      <c r="BM312" t="s">
        <v>709</v>
      </c>
      <c r="BN312" t="s">
        <v>709</v>
      </c>
      <c r="BO312" t="s">
        <v>709</v>
      </c>
      <c r="BP312" t="s">
        <v>709</v>
      </c>
      <c r="BQ312" t="s">
        <v>709</v>
      </c>
      <c r="BR312" t="s">
        <v>709</v>
      </c>
      <c r="BS312" t="s">
        <v>709</v>
      </c>
      <c r="BT312" t="s">
        <v>709</v>
      </c>
      <c r="BU312" t="s">
        <v>709</v>
      </c>
      <c r="BV312" t="s">
        <v>709</v>
      </c>
      <c r="BW312" t="s">
        <v>709</v>
      </c>
      <c r="BX312" t="s">
        <v>709</v>
      </c>
      <c r="BY312" t="s">
        <v>709</v>
      </c>
      <c r="BZ312" t="s">
        <v>709</v>
      </c>
      <c r="CA312" t="s">
        <v>1146</v>
      </c>
      <c r="CB312">
        <v>310</v>
      </c>
      <c r="CC312" t="b">
        <v>1</v>
      </c>
      <c r="CD312" t="s">
        <v>3250</v>
      </c>
      <c r="CE312" s="1482">
        <v>45880.733437499999</v>
      </c>
    </row>
    <row r="313" spans="1:83" ht="300" x14ac:dyDescent="0.25">
      <c r="A313">
        <v>2022</v>
      </c>
      <c r="B313" t="s">
        <v>4</v>
      </c>
      <c r="C313" t="s">
        <v>3251</v>
      </c>
      <c r="D313" t="s">
        <v>3252</v>
      </c>
      <c r="E313" t="s">
        <v>910</v>
      </c>
      <c r="F313" t="s">
        <v>738</v>
      </c>
      <c r="G313" t="s">
        <v>2743</v>
      </c>
      <c r="H313" t="s">
        <v>59</v>
      </c>
      <c r="I313">
        <v>44272</v>
      </c>
      <c r="J313">
        <v>44337</v>
      </c>
      <c r="K313">
        <v>44335</v>
      </c>
      <c r="L313">
        <v>2</v>
      </c>
      <c r="N313" t="s">
        <v>120</v>
      </c>
      <c r="O313">
        <v>44335</v>
      </c>
      <c r="P313" t="s">
        <v>739</v>
      </c>
      <c r="Q313">
        <v>19877.170999999998</v>
      </c>
      <c r="R313">
        <v>0.1</v>
      </c>
      <c r="S313" t="s">
        <v>709</v>
      </c>
      <c r="T313" t="s">
        <v>709</v>
      </c>
      <c r="U313" t="s">
        <v>709</v>
      </c>
      <c r="V313">
        <v>353</v>
      </c>
      <c r="X313">
        <v>169969.64</v>
      </c>
      <c r="Z313">
        <v>28802.07</v>
      </c>
      <c r="AA313">
        <v>198771.71</v>
      </c>
      <c r="AC313" t="s">
        <v>116</v>
      </c>
      <c r="AM313" t="s">
        <v>116</v>
      </c>
      <c r="AN313">
        <v>44357</v>
      </c>
      <c r="AO313">
        <v>189267</v>
      </c>
      <c r="AP313">
        <v>170569.14</v>
      </c>
      <c r="AR313">
        <v>28843.919999999998</v>
      </c>
      <c r="AS313">
        <v>199413.06</v>
      </c>
      <c r="AT313">
        <v>641.35</v>
      </c>
      <c r="AU313">
        <v>64.135000000000005</v>
      </c>
      <c r="AV313" t="s">
        <v>709</v>
      </c>
      <c r="AW313" t="s">
        <v>3253</v>
      </c>
      <c r="AX313">
        <v>64.135000000000005</v>
      </c>
      <c r="AY313">
        <v>44501</v>
      </c>
      <c r="BA313" t="s">
        <v>3254</v>
      </c>
      <c r="BB313" s="4" t="s">
        <v>3255</v>
      </c>
      <c r="BC313" t="s">
        <v>709</v>
      </c>
      <c r="BD313" t="s">
        <v>709</v>
      </c>
      <c r="BE313" t="s">
        <v>913</v>
      </c>
      <c r="BF313" t="s">
        <v>709</v>
      </c>
      <c r="BG313" t="s">
        <v>709</v>
      </c>
      <c r="BI313" t="s">
        <v>709</v>
      </c>
      <c r="BJ313" t="s">
        <v>709</v>
      </c>
      <c r="BK313" t="s">
        <v>709</v>
      </c>
      <c r="BL313" t="s">
        <v>116</v>
      </c>
      <c r="BM313" t="s">
        <v>709</v>
      </c>
      <c r="BN313" t="s">
        <v>709</v>
      </c>
      <c r="BO313" t="s">
        <v>709</v>
      </c>
      <c r="BP313" t="s">
        <v>709</v>
      </c>
      <c r="BQ313" t="s">
        <v>709</v>
      </c>
      <c r="BR313">
        <v>190</v>
      </c>
      <c r="BS313">
        <v>121</v>
      </c>
      <c r="BT313" t="s">
        <v>745</v>
      </c>
      <c r="BU313" t="s">
        <v>709</v>
      </c>
      <c r="BV313" t="s">
        <v>745</v>
      </c>
      <c r="BW313" t="s">
        <v>709</v>
      </c>
      <c r="BX313" t="s">
        <v>745</v>
      </c>
      <c r="BY313" t="s">
        <v>709</v>
      </c>
      <c r="BZ313" t="s">
        <v>709</v>
      </c>
      <c r="CB313">
        <v>312</v>
      </c>
      <c r="CC313" t="b">
        <v>1</v>
      </c>
      <c r="CD313" t="s">
        <v>3256</v>
      </c>
      <c r="CE313" s="1482">
        <v>45880.733449074076</v>
      </c>
    </row>
    <row r="314" spans="1:83" x14ac:dyDescent="0.25">
      <c r="A314">
        <v>2022</v>
      </c>
      <c r="B314" t="s">
        <v>4</v>
      </c>
      <c r="C314" t="s">
        <v>3257</v>
      </c>
      <c r="D314" t="s">
        <v>3258</v>
      </c>
      <c r="E314" t="s">
        <v>3259</v>
      </c>
      <c r="F314" t="s">
        <v>738</v>
      </c>
      <c r="G314" t="s">
        <v>2743</v>
      </c>
      <c r="H314" t="s">
        <v>59</v>
      </c>
      <c r="I314">
        <v>44215</v>
      </c>
      <c r="J314">
        <v>44349</v>
      </c>
      <c r="K314">
        <v>44335</v>
      </c>
      <c r="L314">
        <v>14</v>
      </c>
      <c r="N314" t="s">
        <v>120</v>
      </c>
      <c r="O314">
        <v>44335</v>
      </c>
      <c r="P314" t="s">
        <v>739</v>
      </c>
      <c r="Q314">
        <v>25384.34</v>
      </c>
      <c r="R314">
        <v>0.1</v>
      </c>
      <c r="S314" t="s">
        <v>709</v>
      </c>
      <c r="T314" t="s">
        <v>709</v>
      </c>
      <c r="U314" t="s">
        <v>709</v>
      </c>
      <c r="V314">
        <v>622</v>
      </c>
      <c r="X314">
        <v>214224.85</v>
      </c>
      <c r="Z314">
        <v>39618.550000000003</v>
      </c>
      <c r="AA314">
        <v>253843.4</v>
      </c>
      <c r="AC314" t="s">
        <v>709</v>
      </c>
      <c r="AM314" t="s">
        <v>116</v>
      </c>
      <c r="AN314">
        <v>44424</v>
      </c>
      <c r="AO314">
        <v>190312</v>
      </c>
      <c r="AP314">
        <v>296621.27</v>
      </c>
      <c r="AR314">
        <v>40821.82</v>
      </c>
      <c r="AS314">
        <v>337443.09</v>
      </c>
      <c r="AT314">
        <v>83599.69</v>
      </c>
      <c r="AU314">
        <v>8359.9689999999991</v>
      </c>
      <c r="AV314" t="s">
        <v>709</v>
      </c>
      <c r="AW314" t="s">
        <v>3260</v>
      </c>
      <c r="AX314">
        <v>8359.9689999999991</v>
      </c>
      <c r="AY314">
        <v>44501</v>
      </c>
      <c r="BA314" t="s">
        <v>3261</v>
      </c>
      <c r="BB314" t="s">
        <v>1156</v>
      </c>
      <c r="BC314" t="s">
        <v>709</v>
      </c>
      <c r="BD314" t="s">
        <v>882</v>
      </c>
      <c r="BE314" t="s">
        <v>3262</v>
      </c>
      <c r="BF314" t="s">
        <v>709</v>
      </c>
      <c r="BG314" t="s">
        <v>709</v>
      </c>
      <c r="BI314" t="s">
        <v>709</v>
      </c>
      <c r="BJ314" t="s">
        <v>709</v>
      </c>
      <c r="BK314" t="s">
        <v>709</v>
      </c>
      <c r="BL314" t="s">
        <v>116</v>
      </c>
      <c r="BM314" t="s">
        <v>709</v>
      </c>
      <c r="BN314" t="s">
        <v>709</v>
      </c>
      <c r="BO314" t="s">
        <v>709</v>
      </c>
      <c r="BP314" t="s">
        <v>709</v>
      </c>
      <c r="BQ314">
        <v>597</v>
      </c>
      <c r="BR314" t="s">
        <v>709</v>
      </c>
      <c r="BS314">
        <v>25</v>
      </c>
      <c r="BT314" t="s">
        <v>745</v>
      </c>
      <c r="BU314" t="s">
        <v>709</v>
      </c>
      <c r="BV314" t="s">
        <v>745</v>
      </c>
      <c r="BW314" t="s">
        <v>709</v>
      </c>
      <c r="BX314" t="s">
        <v>745</v>
      </c>
      <c r="BY314" t="s">
        <v>745</v>
      </c>
      <c r="BZ314" t="s">
        <v>709</v>
      </c>
      <c r="CB314">
        <v>311</v>
      </c>
      <c r="CC314" t="b">
        <v>1</v>
      </c>
      <c r="CD314" t="s">
        <v>3263</v>
      </c>
      <c r="CE314" s="1482">
        <v>45880.733449074076</v>
      </c>
    </row>
    <row r="315" spans="1:83" x14ac:dyDescent="0.25">
      <c r="A315">
        <v>2020</v>
      </c>
      <c r="B315" t="s">
        <v>769</v>
      </c>
      <c r="C315" t="s">
        <v>75</v>
      </c>
      <c r="D315" t="s">
        <v>2615</v>
      </c>
      <c r="E315" t="s">
        <v>76</v>
      </c>
      <c r="F315" t="s">
        <v>738</v>
      </c>
      <c r="G315" t="s">
        <v>40</v>
      </c>
      <c r="H315" t="s">
        <v>2051</v>
      </c>
      <c r="I315">
        <v>43955</v>
      </c>
      <c r="J315" t="s">
        <v>2052</v>
      </c>
      <c r="K315">
        <v>44336</v>
      </c>
      <c r="L315">
        <v>381</v>
      </c>
      <c r="M315" t="s">
        <v>3264</v>
      </c>
      <c r="N315" t="s">
        <v>120</v>
      </c>
      <c r="O315">
        <v>44348</v>
      </c>
      <c r="P315" t="s">
        <v>739</v>
      </c>
      <c r="Q315">
        <v>10765</v>
      </c>
      <c r="R315" t="s">
        <v>1922</v>
      </c>
      <c r="S315" t="s">
        <v>709</v>
      </c>
      <c r="T315" t="s">
        <v>709</v>
      </c>
      <c r="U315">
        <v>10765</v>
      </c>
      <c r="V315">
        <v>37</v>
      </c>
      <c r="AC315" t="s">
        <v>1441</v>
      </c>
      <c r="AM315" t="s">
        <v>709</v>
      </c>
      <c r="AY315" t="s">
        <v>29</v>
      </c>
      <c r="BA315">
        <v>11</v>
      </c>
      <c r="BI315" t="s">
        <v>709</v>
      </c>
      <c r="BJ315" t="s">
        <v>709</v>
      </c>
      <c r="BK315" t="s">
        <v>116</v>
      </c>
      <c r="BL315" t="s">
        <v>116</v>
      </c>
      <c r="BM315" t="s">
        <v>709</v>
      </c>
      <c r="BN315" t="s">
        <v>709</v>
      </c>
      <c r="BO315" t="s">
        <v>709</v>
      </c>
      <c r="BP315" t="s">
        <v>709</v>
      </c>
      <c r="BQ315">
        <v>96</v>
      </c>
      <c r="BR315" t="s">
        <v>709</v>
      </c>
      <c r="BS315">
        <v>95</v>
      </c>
      <c r="BT315" t="s">
        <v>709</v>
      </c>
      <c r="BU315" t="s">
        <v>709</v>
      </c>
      <c r="BV315" t="s">
        <v>709</v>
      </c>
      <c r="BW315">
        <v>2</v>
      </c>
      <c r="BX315">
        <v>2</v>
      </c>
      <c r="BY315" t="s">
        <v>709</v>
      </c>
      <c r="BZ315" t="s">
        <v>709</v>
      </c>
      <c r="CA315" t="s">
        <v>769</v>
      </c>
      <c r="CB315">
        <v>313</v>
      </c>
      <c r="CC315" t="b">
        <v>1</v>
      </c>
      <c r="CD315" t="s">
        <v>3265</v>
      </c>
      <c r="CE315" s="1482">
        <v>45880.733460648145</v>
      </c>
    </row>
    <row r="316" spans="1:83" x14ac:dyDescent="0.25">
      <c r="A316">
        <v>2021</v>
      </c>
      <c r="B316" t="s">
        <v>4</v>
      </c>
      <c r="C316" t="s">
        <v>3266</v>
      </c>
      <c r="D316" t="s">
        <v>3267</v>
      </c>
      <c r="E316" t="s">
        <v>3268</v>
      </c>
      <c r="F316" t="s">
        <v>738</v>
      </c>
      <c r="G316" t="s">
        <v>39</v>
      </c>
      <c r="H316" t="s">
        <v>59</v>
      </c>
      <c r="I316">
        <v>44264</v>
      </c>
      <c r="J316">
        <v>44351</v>
      </c>
      <c r="K316">
        <v>44337</v>
      </c>
      <c r="L316">
        <v>14</v>
      </c>
      <c r="N316" t="s">
        <v>120</v>
      </c>
      <c r="O316">
        <v>44337</v>
      </c>
      <c r="P316" t="s">
        <v>739</v>
      </c>
      <c r="Q316">
        <v>37323.184000000001</v>
      </c>
      <c r="R316">
        <v>0.1</v>
      </c>
      <c r="S316" t="s">
        <v>709</v>
      </c>
      <c r="T316" t="s">
        <v>709</v>
      </c>
      <c r="U316" t="s">
        <v>709</v>
      </c>
      <c r="X316">
        <v>330757.69</v>
      </c>
      <c r="Z316">
        <v>42474.15</v>
      </c>
      <c r="AA316">
        <v>373231.84</v>
      </c>
      <c r="AC316" t="s">
        <v>116</v>
      </c>
      <c r="AM316" t="s">
        <v>116</v>
      </c>
      <c r="AN316">
        <v>44468</v>
      </c>
      <c r="AO316">
        <v>191108</v>
      </c>
      <c r="AP316">
        <v>331699.73</v>
      </c>
      <c r="AR316">
        <v>42474.15</v>
      </c>
      <c r="AS316">
        <v>374173.88</v>
      </c>
      <c r="AT316">
        <v>942.04</v>
      </c>
      <c r="AU316">
        <v>94.203999999999994</v>
      </c>
      <c r="AV316" t="s">
        <v>709</v>
      </c>
      <c r="AW316" t="s">
        <v>3269</v>
      </c>
      <c r="AX316">
        <v>94.203999999999994</v>
      </c>
      <c r="AY316">
        <v>44501</v>
      </c>
      <c r="BA316" t="s">
        <v>3270</v>
      </c>
      <c r="BB316" t="s">
        <v>2288</v>
      </c>
      <c r="BC316" t="s">
        <v>116</v>
      </c>
      <c r="BD316" t="s">
        <v>709</v>
      </c>
      <c r="BE316" t="s">
        <v>709</v>
      </c>
      <c r="BF316" t="s">
        <v>709</v>
      </c>
      <c r="BG316" t="s">
        <v>709</v>
      </c>
      <c r="BI316" t="s">
        <v>709</v>
      </c>
      <c r="BJ316" t="s">
        <v>709</v>
      </c>
      <c r="BK316" t="s">
        <v>709</v>
      </c>
      <c r="BL316" t="s">
        <v>116</v>
      </c>
      <c r="BM316" t="s">
        <v>709</v>
      </c>
      <c r="BN316" t="s">
        <v>709</v>
      </c>
      <c r="BO316" t="s">
        <v>709</v>
      </c>
      <c r="BP316">
        <v>532</v>
      </c>
      <c r="BQ316" t="s">
        <v>709</v>
      </c>
      <c r="BR316" t="s">
        <v>709</v>
      </c>
      <c r="BS316" t="s">
        <v>709</v>
      </c>
      <c r="BT316" t="s">
        <v>709</v>
      </c>
      <c r="BU316" t="s">
        <v>709</v>
      </c>
      <c r="BV316" t="s">
        <v>745</v>
      </c>
      <c r="BW316" t="s">
        <v>709</v>
      </c>
      <c r="BX316" t="s">
        <v>709</v>
      </c>
      <c r="BY316" t="s">
        <v>745</v>
      </c>
      <c r="BZ316" t="s">
        <v>709</v>
      </c>
      <c r="CB316">
        <v>314</v>
      </c>
      <c r="CC316" t="b">
        <v>1</v>
      </c>
      <c r="CD316" t="s">
        <v>3271</v>
      </c>
      <c r="CE316" s="1482">
        <v>45880.733472222222</v>
      </c>
    </row>
    <row r="317" spans="1:83" x14ac:dyDescent="0.25">
      <c r="A317">
        <v>2021</v>
      </c>
      <c r="B317" t="s">
        <v>4</v>
      </c>
      <c r="C317" t="s">
        <v>3121</v>
      </c>
      <c r="D317" t="s">
        <v>3122</v>
      </c>
      <c r="E317" t="s">
        <v>818</v>
      </c>
      <c r="F317" t="s">
        <v>919</v>
      </c>
      <c r="G317" t="s">
        <v>2743</v>
      </c>
      <c r="H317" t="s">
        <v>2051</v>
      </c>
      <c r="I317">
        <v>44172</v>
      </c>
      <c r="J317" t="s">
        <v>2052</v>
      </c>
      <c r="K317">
        <v>44337</v>
      </c>
      <c r="L317">
        <v>165</v>
      </c>
      <c r="M317" t="s">
        <v>3179</v>
      </c>
      <c r="N317" t="s">
        <v>120</v>
      </c>
      <c r="O317">
        <v>44348</v>
      </c>
      <c r="P317" t="s">
        <v>739</v>
      </c>
      <c r="Q317">
        <v>2075</v>
      </c>
      <c r="R317" t="s">
        <v>1922</v>
      </c>
      <c r="S317" t="s">
        <v>709</v>
      </c>
      <c r="T317" t="s">
        <v>709</v>
      </c>
      <c r="U317">
        <v>2075</v>
      </c>
      <c r="V317">
        <v>4590</v>
      </c>
      <c r="AM317" t="s">
        <v>709</v>
      </c>
      <c r="AY317" t="s">
        <v>29</v>
      </c>
      <c r="BA317">
        <v>12</v>
      </c>
      <c r="BI317" t="s">
        <v>709</v>
      </c>
      <c r="BJ317" t="s">
        <v>709</v>
      </c>
      <c r="BK317" t="s">
        <v>709</v>
      </c>
      <c r="BL317" t="s">
        <v>116</v>
      </c>
      <c r="BM317" t="s">
        <v>709</v>
      </c>
      <c r="BN317" t="s">
        <v>709</v>
      </c>
      <c r="BO317" t="s">
        <v>709</v>
      </c>
      <c r="BP317" t="s">
        <v>709</v>
      </c>
      <c r="BQ317" t="s">
        <v>709</v>
      </c>
      <c r="BR317">
        <v>1777</v>
      </c>
      <c r="BS317">
        <v>2813</v>
      </c>
      <c r="BT317" t="s">
        <v>745</v>
      </c>
      <c r="BU317" t="s">
        <v>709</v>
      </c>
      <c r="BV317">
        <v>1</v>
      </c>
      <c r="BW317" t="s">
        <v>709</v>
      </c>
      <c r="BX317" t="s">
        <v>745</v>
      </c>
      <c r="BY317" t="s">
        <v>745</v>
      </c>
      <c r="BZ317" t="s">
        <v>709</v>
      </c>
      <c r="CB317">
        <v>315</v>
      </c>
      <c r="CC317" t="b">
        <v>1</v>
      </c>
      <c r="CD317" t="s">
        <v>3272</v>
      </c>
      <c r="CE317" s="1482">
        <v>45880.733472222222</v>
      </c>
    </row>
    <row r="318" spans="1:83" x14ac:dyDescent="0.25">
      <c r="A318">
        <v>2020</v>
      </c>
      <c r="B318" t="s">
        <v>1981</v>
      </c>
      <c r="C318" t="s">
        <v>2572</v>
      </c>
      <c r="D318" t="s">
        <v>3273</v>
      </c>
      <c r="E318" t="s">
        <v>2573</v>
      </c>
      <c r="F318" t="s">
        <v>919</v>
      </c>
      <c r="G318" t="s">
        <v>1896</v>
      </c>
      <c r="H318" t="s">
        <v>2051</v>
      </c>
      <c r="I318">
        <v>43913</v>
      </c>
      <c r="J318" t="s">
        <v>2052</v>
      </c>
      <c r="K318">
        <v>44340</v>
      </c>
      <c r="L318">
        <v>427</v>
      </c>
      <c r="M318" t="s">
        <v>3274</v>
      </c>
      <c r="N318" t="s">
        <v>120</v>
      </c>
      <c r="O318">
        <v>44348</v>
      </c>
      <c r="P318" t="s">
        <v>739</v>
      </c>
      <c r="Q318">
        <v>2080</v>
      </c>
      <c r="R318" t="s">
        <v>1922</v>
      </c>
      <c r="S318" t="s">
        <v>709</v>
      </c>
      <c r="T318" t="s">
        <v>709</v>
      </c>
      <c r="U318">
        <v>2080</v>
      </c>
      <c r="V318">
        <v>0</v>
      </c>
      <c r="AM318" t="s">
        <v>709</v>
      </c>
      <c r="AY318" t="s">
        <v>29</v>
      </c>
      <c r="BA318">
        <v>2</v>
      </c>
      <c r="BI318" t="s">
        <v>709</v>
      </c>
      <c r="BJ318" t="s">
        <v>709</v>
      </c>
      <c r="BK318" t="s">
        <v>709</v>
      </c>
      <c r="BL318" t="s">
        <v>709</v>
      </c>
      <c r="BM318" t="s">
        <v>709</v>
      </c>
      <c r="BN318" t="s">
        <v>709</v>
      </c>
      <c r="BO318" t="s">
        <v>709</v>
      </c>
      <c r="BP318" t="s">
        <v>709</v>
      </c>
      <c r="BQ318" t="s">
        <v>709</v>
      </c>
      <c r="BR318" t="s">
        <v>709</v>
      </c>
      <c r="BS318" t="s">
        <v>709</v>
      </c>
      <c r="BT318" t="s">
        <v>745</v>
      </c>
      <c r="BU318" t="s">
        <v>709</v>
      </c>
      <c r="BV318" t="s">
        <v>745</v>
      </c>
      <c r="BW318" t="s">
        <v>709</v>
      </c>
      <c r="BX318" t="s">
        <v>745</v>
      </c>
      <c r="BY318" t="s">
        <v>745</v>
      </c>
      <c r="BZ318" t="s">
        <v>709</v>
      </c>
      <c r="CA318" t="s">
        <v>2531</v>
      </c>
      <c r="CB318">
        <v>317</v>
      </c>
      <c r="CC318" t="b">
        <v>1</v>
      </c>
      <c r="CD318" t="s">
        <v>3275</v>
      </c>
      <c r="CE318" s="1482">
        <v>45880.733483796299</v>
      </c>
    </row>
    <row r="319" spans="1:83" ht="225" x14ac:dyDescent="0.25">
      <c r="A319">
        <v>2021</v>
      </c>
      <c r="B319" t="s">
        <v>1108</v>
      </c>
      <c r="C319" t="s">
        <v>1109</v>
      </c>
      <c r="D319" t="s">
        <v>761</v>
      </c>
      <c r="E319" t="s">
        <v>1110</v>
      </c>
      <c r="F319" t="s">
        <v>1111</v>
      </c>
      <c r="G319" t="s">
        <v>40</v>
      </c>
      <c r="H319" t="s">
        <v>59</v>
      </c>
      <c r="I319">
        <v>44105</v>
      </c>
      <c r="J319">
        <v>44342</v>
      </c>
      <c r="K319">
        <v>44340</v>
      </c>
      <c r="L319">
        <v>2</v>
      </c>
      <c r="N319" t="s">
        <v>120</v>
      </c>
      <c r="O319">
        <v>44340</v>
      </c>
      <c r="P319" t="s">
        <v>739</v>
      </c>
      <c r="Q319">
        <v>56111.2379</v>
      </c>
      <c r="R319" t="s">
        <v>1055</v>
      </c>
      <c r="S319" t="s">
        <v>709</v>
      </c>
      <c r="T319" t="s">
        <v>709</v>
      </c>
      <c r="U319" t="s">
        <v>709</v>
      </c>
      <c r="X319">
        <v>485306.62</v>
      </c>
      <c r="Z319">
        <v>83649.119999999995</v>
      </c>
      <c r="AA319">
        <v>568955.74</v>
      </c>
      <c r="AC319" t="s">
        <v>116</v>
      </c>
      <c r="AM319" t="s">
        <v>709</v>
      </c>
      <c r="AY319" t="s">
        <v>29</v>
      </c>
      <c r="BA319" s="4" t="s">
        <v>1112</v>
      </c>
      <c r="BB319" t="s">
        <v>1113</v>
      </c>
      <c r="BC319" t="s">
        <v>116</v>
      </c>
      <c r="BD319" t="s">
        <v>709</v>
      </c>
      <c r="BE319" t="s">
        <v>1114</v>
      </c>
      <c r="BF319" t="s">
        <v>709</v>
      </c>
      <c r="BG319" t="s">
        <v>709</v>
      </c>
      <c r="BZ319" t="s">
        <v>709</v>
      </c>
      <c r="CA319" t="s">
        <v>1053</v>
      </c>
      <c r="CB319">
        <v>316</v>
      </c>
      <c r="CC319" t="b">
        <v>1</v>
      </c>
      <c r="CD319" t="s">
        <v>3276</v>
      </c>
      <c r="CE319" s="1482">
        <v>45880.733495370368</v>
      </c>
    </row>
    <row r="320" spans="1:83" ht="225" x14ac:dyDescent="0.25">
      <c r="A320">
        <v>2021</v>
      </c>
      <c r="B320" t="s">
        <v>4</v>
      </c>
      <c r="C320" t="s">
        <v>3277</v>
      </c>
      <c r="D320" t="s">
        <v>3278</v>
      </c>
      <c r="E320" t="s">
        <v>1716</v>
      </c>
      <c r="F320" t="s">
        <v>738</v>
      </c>
      <c r="G320" t="s">
        <v>39</v>
      </c>
      <c r="H320" t="s">
        <v>59</v>
      </c>
      <c r="I320">
        <v>44306</v>
      </c>
      <c r="J320">
        <v>44344</v>
      </c>
      <c r="K320">
        <v>44341</v>
      </c>
      <c r="L320">
        <v>3</v>
      </c>
      <c r="N320" t="s">
        <v>120</v>
      </c>
      <c r="O320">
        <v>44341</v>
      </c>
      <c r="P320" t="s">
        <v>739</v>
      </c>
      <c r="Q320">
        <v>93973.82</v>
      </c>
      <c r="R320">
        <v>0.1</v>
      </c>
      <c r="S320" t="s">
        <v>709</v>
      </c>
      <c r="T320" t="s">
        <v>709</v>
      </c>
      <c r="U320" t="s">
        <v>709</v>
      </c>
      <c r="V320">
        <v>3630</v>
      </c>
      <c r="X320">
        <v>918739.95</v>
      </c>
      <c r="Z320">
        <v>20998.25</v>
      </c>
      <c r="AA320">
        <v>939738.2</v>
      </c>
      <c r="AC320" t="s">
        <v>709</v>
      </c>
      <c r="AM320" t="s">
        <v>116</v>
      </c>
      <c r="AN320">
        <v>44371</v>
      </c>
      <c r="AO320">
        <v>189421</v>
      </c>
      <c r="AP320">
        <v>918739.95</v>
      </c>
      <c r="AR320">
        <v>20998.25</v>
      </c>
      <c r="AS320">
        <v>939738.2</v>
      </c>
      <c r="AT320">
        <v>0</v>
      </c>
      <c r="AU320">
        <v>0</v>
      </c>
      <c r="AV320" t="s">
        <v>709</v>
      </c>
      <c r="AY320" t="s">
        <v>1935</v>
      </c>
      <c r="BA320" s="4" t="s">
        <v>3279</v>
      </c>
      <c r="BB320" t="s">
        <v>1156</v>
      </c>
      <c r="BC320" t="s">
        <v>709</v>
      </c>
      <c r="BD320" t="s">
        <v>709</v>
      </c>
      <c r="BE320" t="s">
        <v>1719</v>
      </c>
      <c r="BF320" t="s">
        <v>709</v>
      </c>
      <c r="BG320" t="s">
        <v>709</v>
      </c>
      <c r="BI320" t="s">
        <v>709</v>
      </c>
      <c r="BJ320" t="s">
        <v>709</v>
      </c>
      <c r="BK320" t="s">
        <v>709</v>
      </c>
      <c r="BL320" t="s">
        <v>116</v>
      </c>
      <c r="BM320" t="s">
        <v>709</v>
      </c>
      <c r="BN320" t="s">
        <v>709</v>
      </c>
      <c r="BO320" t="s">
        <v>709</v>
      </c>
      <c r="BP320" t="s">
        <v>709</v>
      </c>
      <c r="BQ320" t="s">
        <v>709</v>
      </c>
      <c r="BR320">
        <v>654</v>
      </c>
      <c r="BS320">
        <v>2976</v>
      </c>
      <c r="BT320" t="s">
        <v>745</v>
      </c>
      <c r="BU320" t="s">
        <v>709</v>
      </c>
      <c r="BV320" t="s">
        <v>745</v>
      </c>
      <c r="BW320" t="s">
        <v>709</v>
      </c>
      <c r="BX320" t="s">
        <v>745</v>
      </c>
      <c r="BY320" t="s">
        <v>745</v>
      </c>
      <c r="BZ320" t="s">
        <v>709</v>
      </c>
      <c r="CB320">
        <v>318</v>
      </c>
      <c r="CC320" t="b">
        <v>1</v>
      </c>
      <c r="CD320" t="s">
        <v>3280</v>
      </c>
      <c r="CE320" s="1482">
        <v>45880.733495370368</v>
      </c>
    </row>
    <row r="321" spans="1:83" x14ac:dyDescent="0.25">
      <c r="A321">
        <v>2021</v>
      </c>
      <c r="B321" t="s">
        <v>4</v>
      </c>
      <c r="C321" t="s">
        <v>3281</v>
      </c>
      <c r="D321" t="s">
        <v>3282</v>
      </c>
      <c r="E321" t="s">
        <v>1633</v>
      </c>
      <c r="F321" t="s">
        <v>738</v>
      </c>
      <c r="G321" t="s">
        <v>2814</v>
      </c>
      <c r="H321" t="s">
        <v>59</v>
      </c>
      <c r="I321">
        <v>44235</v>
      </c>
      <c r="J321">
        <v>44351</v>
      </c>
      <c r="K321">
        <v>44348</v>
      </c>
      <c r="L321">
        <v>3</v>
      </c>
      <c r="N321" t="s">
        <v>120</v>
      </c>
      <c r="O321">
        <v>44348</v>
      </c>
      <c r="P321" t="s">
        <v>739</v>
      </c>
      <c r="Q321">
        <v>93116.707999999999</v>
      </c>
      <c r="R321">
        <v>0.1</v>
      </c>
      <c r="S321" t="s">
        <v>709</v>
      </c>
      <c r="T321" t="s">
        <v>709</v>
      </c>
      <c r="U321" t="s">
        <v>709</v>
      </c>
      <c r="X321">
        <v>887594.32</v>
      </c>
      <c r="Z321">
        <v>43572.76</v>
      </c>
      <c r="AA321">
        <v>931167.08</v>
      </c>
      <c r="AC321" t="s">
        <v>709</v>
      </c>
      <c r="AM321" t="s">
        <v>116</v>
      </c>
      <c r="AN321">
        <v>44406</v>
      </c>
      <c r="AO321" t="s">
        <v>115</v>
      </c>
      <c r="AP321">
        <v>887594.32</v>
      </c>
      <c r="AR321">
        <v>43572.76</v>
      </c>
      <c r="AS321">
        <v>931167.08</v>
      </c>
      <c r="AT321">
        <v>0</v>
      </c>
      <c r="AU321">
        <v>0</v>
      </c>
      <c r="AV321" t="s">
        <v>709</v>
      </c>
      <c r="AY321" t="s">
        <v>1935</v>
      </c>
      <c r="BA321" t="s">
        <v>3283</v>
      </c>
      <c r="BB321" t="s">
        <v>1156</v>
      </c>
      <c r="BC321" t="s">
        <v>709</v>
      </c>
      <c r="BD321" t="s">
        <v>709</v>
      </c>
      <c r="BE321" t="s">
        <v>1636</v>
      </c>
      <c r="BF321" t="s">
        <v>709</v>
      </c>
      <c r="BG321" t="s">
        <v>709</v>
      </c>
      <c r="BI321" t="s">
        <v>709</v>
      </c>
      <c r="BJ321" t="s">
        <v>709</v>
      </c>
      <c r="BK321" t="s">
        <v>709</v>
      </c>
      <c r="BL321" t="s">
        <v>116</v>
      </c>
      <c r="BM321" t="s">
        <v>709</v>
      </c>
      <c r="BN321" t="s">
        <v>709</v>
      </c>
      <c r="BO321" t="s">
        <v>709</v>
      </c>
      <c r="BP321" t="s">
        <v>709</v>
      </c>
      <c r="BQ321" t="s">
        <v>709</v>
      </c>
      <c r="BR321">
        <v>1364</v>
      </c>
      <c r="BS321">
        <v>4012</v>
      </c>
      <c r="BT321" t="s">
        <v>745</v>
      </c>
      <c r="BU321" t="s">
        <v>709</v>
      </c>
      <c r="BV321" t="s">
        <v>745</v>
      </c>
      <c r="BW321" t="s">
        <v>709</v>
      </c>
      <c r="BX321" t="s">
        <v>745</v>
      </c>
      <c r="BY321" t="s">
        <v>745</v>
      </c>
      <c r="BZ321" t="s">
        <v>709</v>
      </c>
      <c r="CB321">
        <v>319</v>
      </c>
      <c r="CC321" t="b">
        <v>1</v>
      </c>
      <c r="CD321" t="s">
        <v>3284</v>
      </c>
      <c r="CE321" s="1482">
        <v>45880.733506944445</v>
      </c>
    </row>
    <row r="322" spans="1:83" x14ac:dyDescent="0.25">
      <c r="A322">
        <v>2021</v>
      </c>
      <c r="B322" t="s">
        <v>4</v>
      </c>
      <c r="C322" t="s">
        <v>3285</v>
      </c>
      <c r="D322" t="s">
        <v>3286</v>
      </c>
      <c r="E322" t="s">
        <v>3287</v>
      </c>
      <c r="F322" t="s">
        <v>919</v>
      </c>
      <c r="G322" t="s">
        <v>39</v>
      </c>
      <c r="H322" t="s">
        <v>59</v>
      </c>
      <c r="I322">
        <v>44301</v>
      </c>
      <c r="J322">
        <v>44351</v>
      </c>
      <c r="K322">
        <v>44350</v>
      </c>
      <c r="L322">
        <v>1</v>
      </c>
      <c r="N322" t="s">
        <v>120</v>
      </c>
      <c r="O322">
        <v>44350</v>
      </c>
      <c r="P322" t="s">
        <v>739</v>
      </c>
      <c r="Q322">
        <v>18626.240000000002</v>
      </c>
      <c r="R322">
        <v>0.1</v>
      </c>
      <c r="S322" t="s">
        <v>709</v>
      </c>
      <c r="T322" t="s">
        <v>709</v>
      </c>
      <c r="U322" t="s">
        <v>709</v>
      </c>
      <c r="V322">
        <v>1243</v>
      </c>
      <c r="X322">
        <v>167106.76</v>
      </c>
      <c r="Z322">
        <v>19155.64</v>
      </c>
      <c r="AA322">
        <v>186262.39999999999</v>
      </c>
      <c r="AC322" t="s">
        <v>709</v>
      </c>
      <c r="AM322" t="s">
        <v>116</v>
      </c>
      <c r="AN322">
        <v>44368</v>
      </c>
      <c r="AO322">
        <v>189433</v>
      </c>
      <c r="AP322">
        <v>167106.76</v>
      </c>
      <c r="AR322">
        <v>19155.64</v>
      </c>
      <c r="AS322">
        <v>186262.39999999999</v>
      </c>
      <c r="AT322">
        <v>0</v>
      </c>
      <c r="AU322">
        <v>0</v>
      </c>
      <c r="AV322">
        <v>2857.5</v>
      </c>
      <c r="AY322" t="s">
        <v>1935</v>
      </c>
      <c r="BA322" t="s">
        <v>3288</v>
      </c>
      <c r="BB322" t="s">
        <v>1156</v>
      </c>
      <c r="BC322" t="s">
        <v>709</v>
      </c>
      <c r="BD322" t="s">
        <v>709</v>
      </c>
      <c r="BE322" t="s">
        <v>3289</v>
      </c>
      <c r="BF322" t="s">
        <v>709</v>
      </c>
      <c r="BG322" t="s">
        <v>709</v>
      </c>
      <c r="BI322" t="s">
        <v>709</v>
      </c>
      <c r="BJ322" t="s">
        <v>709</v>
      </c>
      <c r="BK322" t="s">
        <v>709</v>
      </c>
      <c r="BL322" t="s">
        <v>116</v>
      </c>
      <c r="BM322" t="s">
        <v>709</v>
      </c>
      <c r="BN322" t="s">
        <v>709</v>
      </c>
      <c r="BO322" t="s">
        <v>709</v>
      </c>
      <c r="BP322" t="s">
        <v>709</v>
      </c>
      <c r="BQ322" t="s">
        <v>709</v>
      </c>
      <c r="BR322" t="s">
        <v>709</v>
      </c>
      <c r="BS322">
        <v>1243</v>
      </c>
      <c r="BT322" t="s">
        <v>745</v>
      </c>
      <c r="BU322" t="s">
        <v>709</v>
      </c>
      <c r="BV322" t="s">
        <v>745</v>
      </c>
      <c r="BW322" t="s">
        <v>709</v>
      </c>
      <c r="BX322" t="s">
        <v>745</v>
      </c>
      <c r="BY322" t="s">
        <v>745</v>
      </c>
      <c r="BZ322" t="s">
        <v>709</v>
      </c>
      <c r="CB322">
        <v>320</v>
      </c>
      <c r="CC322" t="b">
        <v>1</v>
      </c>
      <c r="CD322" t="s">
        <v>3290</v>
      </c>
      <c r="CE322" s="1482">
        <v>45880.733506944445</v>
      </c>
    </row>
    <row r="323" spans="1:83" x14ac:dyDescent="0.25">
      <c r="A323">
        <v>2021</v>
      </c>
      <c r="B323" t="s">
        <v>4</v>
      </c>
      <c r="C323" t="s">
        <v>3291</v>
      </c>
      <c r="D323" t="s">
        <v>115</v>
      </c>
      <c r="E323" t="s">
        <v>232</v>
      </c>
      <c r="F323" t="s">
        <v>919</v>
      </c>
      <c r="G323" t="s">
        <v>2814</v>
      </c>
      <c r="H323" t="s">
        <v>1681</v>
      </c>
      <c r="I323">
        <v>44341</v>
      </c>
      <c r="J323">
        <v>44379</v>
      </c>
      <c r="K323">
        <v>44351</v>
      </c>
      <c r="L323">
        <v>28</v>
      </c>
      <c r="N323" t="s">
        <v>120</v>
      </c>
      <c r="O323">
        <v>44351</v>
      </c>
      <c r="P323" t="s">
        <v>739</v>
      </c>
      <c r="Q323" t="s">
        <v>115</v>
      </c>
      <c r="R323" t="s">
        <v>115</v>
      </c>
      <c r="S323" t="s">
        <v>709</v>
      </c>
      <c r="T323" t="s">
        <v>709</v>
      </c>
      <c r="U323" t="s">
        <v>709</v>
      </c>
      <c r="AM323" t="s">
        <v>709</v>
      </c>
      <c r="AW323" s="4"/>
      <c r="AY323" t="s">
        <v>29</v>
      </c>
      <c r="BB323" s="4"/>
      <c r="CB323">
        <v>321</v>
      </c>
      <c r="CC323" t="b">
        <v>1</v>
      </c>
      <c r="CD323" t="s">
        <v>3292</v>
      </c>
      <c r="CE323" s="1482">
        <v>45880.733518518522</v>
      </c>
    </row>
    <row r="324" spans="1:83" x14ac:dyDescent="0.25">
      <c r="A324">
        <v>2021</v>
      </c>
      <c r="B324" t="s">
        <v>1162</v>
      </c>
      <c r="C324" t="s">
        <v>195</v>
      </c>
      <c r="D324" t="s">
        <v>1163</v>
      </c>
      <c r="E324" t="s">
        <v>1164</v>
      </c>
      <c r="F324" t="s">
        <v>738</v>
      </c>
      <c r="G324" t="s">
        <v>2743</v>
      </c>
      <c r="H324" t="s">
        <v>2051</v>
      </c>
      <c r="I324">
        <v>44166</v>
      </c>
      <c r="J324" t="s">
        <v>2052</v>
      </c>
      <c r="K324">
        <v>44355</v>
      </c>
      <c r="L324">
        <v>189</v>
      </c>
      <c r="M324" t="s">
        <v>2960</v>
      </c>
      <c r="N324" t="s">
        <v>120</v>
      </c>
      <c r="O324">
        <v>44355</v>
      </c>
      <c r="P324" t="s">
        <v>739</v>
      </c>
      <c r="Q324">
        <v>3332.5</v>
      </c>
      <c r="R324" t="s">
        <v>1922</v>
      </c>
      <c r="S324" t="s">
        <v>709</v>
      </c>
      <c r="T324" t="s">
        <v>709</v>
      </c>
      <c r="U324">
        <v>3332.5</v>
      </c>
      <c r="V324">
        <v>2887</v>
      </c>
      <c r="AE324" t="s">
        <v>29</v>
      </c>
      <c r="AF324" t="s">
        <v>29</v>
      </c>
      <c r="AG324" t="s">
        <v>29</v>
      </c>
      <c r="AH324" t="s">
        <v>29</v>
      </c>
      <c r="AM324" t="s">
        <v>709</v>
      </c>
      <c r="AY324" t="s">
        <v>29</v>
      </c>
      <c r="BA324">
        <v>3</v>
      </c>
      <c r="BI324" t="s">
        <v>709</v>
      </c>
      <c r="BJ324" t="s">
        <v>709</v>
      </c>
      <c r="BK324" t="s">
        <v>709</v>
      </c>
      <c r="BL324" t="s">
        <v>116</v>
      </c>
      <c r="BM324" t="s">
        <v>709</v>
      </c>
      <c r="BN324" t="s">
        <v>709</v>
      </c>
      <c r="BO324">
        <v>8</v>
      </c>
      <c r="BP324">
        <v>189</v>
      </c>
      <c r="BQ324">
        <v>1185</v>
      </c>
      <c r="BR324">
        <v>1755</v>
      </c>
      <c r="BS324">
        <v>93</v>
      </c>
      <c r="BT324" t="s">
        <v>745</v>
      </c>
      <c r="BU324" t="s">
        <v>709</v>
      </c>
      <c r="BV324" t="s">
        <v>745</v>
      </c>
      <c r="BW324" t="s">
        <v>709</v>
      </c>
      <c r="BX324" t="s">
        <v>745</v>
      </c>
      <c r="BY324" t="s">
        <v>745</v>
      </c>
      <c r="BZ324" t="s">
        <v>709</v>
      </c>
      <c r="CB324">
        <v>322</v>
      </c>
      <c r="CC324" t="b">
        <v>1</v>
      </c>
      <c r="CD324" t="s">
        <v>3293</v>
      </c>
      <c r="CE324" s="1482">
        <v>45880.733530092592</v>
      </c>
    </row>
    <row r="325" spans="1:83" ht="225" x14ac:dyDescent="0.25">
      <c r="A325">
        <v>2021</v>
      </c>
      <c r="B325" t="s">
        <v>1205</v>
      </c>
      <c r="C325" t="s">
        <v>3294</v>
      </c>
      <c r="D325" t="s">
        <v>3295</v>
      </c>
      <c r="E325" t="s">
        <v>2430</v>
      </c>
      <c r="F325" t="s">
        <v>919</v>
      </c>
      <c r="G325" t="s">
        <v>2814</v>
      </c>
      <c r="H325" t="s">
        <v>59</v>
      </c>
      <c r="I325">
        <v>44327</v>
      </c>
      <c r="J325">
        <v>44358</v>
      </c>
      <c r="K325">
        <v>44356</v>
      </c>
      <c r="L325">
        <v>2</v>
      </c>
      <c r="N325" t="s">
        <v>120</v>
      </c>
      <c r="O325">
        <v>44356</v>
      </c>
      <c r="P325" t="s">
        <v>739</v>
      </c>
      <c r="Q325">
        <v>10499.5674</v>
      </c>
      <c r="R325">
        <v>0.09</v>
      </c>
      <c r="S325" t="s">
        <v>709</v>
      </c>
      <c r="T325" t="s">
        <v>709</v>
      </c>
      <c r="U325" t="s">
        <v>709</v>
      </c>
      <c r="V325">
        <v>171</v>
      </c>
      <c r="X325">
        <v>95854.67</v>
      </c>
      <c r="Z325">
        <v>20807.189999999999</v>
      </c>
      <c r="AA325">
        <v>116661.86</v>
      </c>
      <c r="AC325" t="s">
        <v>116</v>
      </c>
      <c r="AM325" t="s">
        <v>116</v>
      </c>
      <c r="AN325">
        <v>44384</v>
      </c>
      <c r="AO325">
        <v>189715</v>
      </c>
      <c r="AP325">
        <v>91466.95</v>
      </c>
      <c r="AR325">
        <v>20807.189999999999</v>
      </c>
      <c r="AS325">
        <v>112274.14</v>
      </c>
      <c r="AT325">
        <v>-4387.72</v>
      </c>
      <c r="AU325">
        <v>-394.89479999999998</v>
      </c>
      <c r="AV325" t="s">
        <v>709</v>
      </c>
      <c r="AW325" t="s">
        <v>2195</v>
      </c>
      <c r="AX325">
        <v>-394.89479999999998</v>
      </c>
      <c r="AY325">
        <v>44501</v>
      </c>
      <c r="BA325" t="s">
        <v>3296</v>
      </c>
      <c r="BB325" s="4" t="s">
        <v>3297</v>
      </c>
      <c r="BC325" t="s">
        <v>709</v>
      </c>
      <c r="BD325" t="s">
        <v>882</v>
      </c>
      <c r="BE325" t="s">
        <v>3298</v>
      </c>
      <c r="BF325" t="s">
        <v>709</v>
      </c>
      <c r="BG325" t="s">
        <v>709</v>
      </c>
      <c r="BI325" t="s">
        <v>709</v>
      </c>
      <c r="BJ325" t="s">
        <v>709</v>
      </c>
      <c r="BK325" t="s">
        <v>709</v>
      </c>
      <c r="BL325" t="s">
        <v>116</v>
      </c>
      <c r="BM325" t="s">
        <v>709</v>
      </c>
      <c r="BN325" t="s">
        <v>709</v>
      </c>
      <c r="BO325" t="s">
        <v>709</v>
      </c>
      <c r="BP325" t="s">
        <v>709</v>
      </c>
      <c r="BQ325" t="s">
        <v>709</v>
      </c>
      <c r="BR325">
        <v>171</v>
      </c>
      <c r="BS325" t="s">
        <v>709</v>
      </c>
      <c r="BT325" t="s">
        <v>745</v>
      </c>
      <c r="BU325" t="s">
        <v>709</v>
      </c>
      <c r="BV325" t="s">
        <v>745</v>
      </c>
      <c r="BW325" t="s">
        <v>709</v>
      </c>
      <c r="BX325" t="s">
        <v>745</v>
      </c>
      <c r="BY325" t="s">
        <v>745</v>
      </c>
      <c r="BZ325" t="s">
        <v>709</v>
      </c>
      <c r="CB325">
        <v>323</v>
      </c>
      <c r="CC325" t="b">
        <v>1</v>
      </c>
      <c r="CD325" t="s">
        <v>3299</v>
      </c>
      <c r="CE325" s="1482">
        <v>45880.733530092592</v>
      </c>
    </row>
    <row r="326" spans="1:83" x14ac:dyDescent="0.25">
      <c r="A326">
        <v>2021</v>
      </c>
      <c r="B326" t="s">
        <v>1073</v>
      </c>
      <c r="C326" t="s">
        <v>3300</v>
      </c>
      <c r="D326" t="s">
        <v>3301</v>
      </c>
      <c r="E326" t="s">
        <v>61</v>
      </c>
      <c r="F326" t="s">
        <v>738</v>
      </c>
      <c r="G326" t="s">
        <v>2743</v>
      </c>
      <c r="H326" t="s">
        <v>59</v>
      </c>
      <c r="I326">
        <v>44301</v>
      </c>
      <c r="J326">
        <v>44362</v>
      </c>
      <c r="K326">
        <v>44357</v>
      </c>
      <c r="L326">
        <v>5</v>
      </c>
      <c r="N326" t="s">
        <v>120</v>
      </c>
      <c r="O326">
        <v>44378</v>
      </c>
      <c r="P326" t="s">
        <v>739</v>
      </c>
      <c r="Q326">
        <v>132744.02119999999</v>
      </c>
      <c r="R326">
        <v>7.0000000000000007E-2</v>
      </c>
      <c r="S326" t="s">
        <v>709</v>
      </c>
      <c r="T326" t="s">
        <v>709</v>
      </c>
      <c r="U326" t="s">
        <v>709</v>
      </c>
      <c r="X326">
        <v>1896343.16</v>
      </c>
      <c r="Z326">
        <v>0</v>
      </c>
      <c r="AA326">
        <v>1896343.16</v>
      </c>
      <c r="AC326" t="s">
        <v>116</v>
      </c>
      <c r="AM326" t="s">
        <v>116</v>
      </c>
      <c r="AN326">
        <v>44406</v>
      </c>
      <c r="AO326">
        <v>189066</v>
      </c>
      <c r="AP326">
        <v>1896343.16</v>
      </c>
      <c r="AR326">
        <v>0</v>
      </c>
      <c r="AS326">
        <v>1896343.16</v>
      </c>
      <c r="AT326">
        <v>0</v>
      </c>
      <c r="AU326">
        <v>0</v>
      </c>
      <c r="AV326" t="s">
        <v>709</v>
      </c>
      <c r="AY326" t="s">
        <v>1935</v>
      </c>
      <c r="BA326" t="s">
        <v>3302</v>
      </c>
      <c r="BB326" t="s">
        <v>3303</v>
      </c>
      <c r="BC326" t="s">
        <v>709</v>
      </c>
      <c r="BD326" t="s">
        <v>709</v>
      </c>
      <c r="BE326" t="s">
        <v>2965</v>
      </c>
      <c r="BF326" t="s">
        <v>2965</v>
      </c>
      <c r="BG326" t="s">
        <v>709</v>
      </c>
      <c r="BI326" t="s">
        <v>709</v>
      </c>
      <c r="BJ326" t="s">
        <v>709</v>
      </c>
      <c r="BK326" t="s">
        <v>116</v>
      </c>
      <c r="BL326" t="s">
        <v>709</v>
      </c>
      <c r="BM326" t="s">
        <v>709</v>
      </c>
      <c r="BN326" t="s">
        <v>709</v>
      </c>
      <c r="BO326" t="s">
        <v>709</v>
      </c>
      <c r="BP326">
        <v>10896</v>
      </c>
      <c r="BQ326">
        <v>62</v>
      </c>
      <c r="BR326">
        <v>40</v>
      </c>
      <c r="BS326">
        <v>10</v>
      </c>
      <c r="BT326">
        <v>1</v>
      </c>
      <c r="BU326" t="s">
        <v>709</v>
      </c>
      <c r="BV326" t="s">
        <v>745</v>
      </c>
      <c r="BW326" t="s">
        <v>709</v>
      </c>
      <c r="BX326">
        <v>1</v>
      </c>
      <c r="BY326" t="s">
        <v>745</v>
      </c>
      <c r="BZ326" t="s">
        <v>709</v>
      </c>
      <c r="CA326" t="s">
        <v>1237</v>
      </c>
      <c r="CB326">
        <v>324</v>
      </c>
      <c r="CC326" t="b">
        <v>1</v>
      </c>
      <c r="CD326" t="s">
        <v>3304</v>
      </c>
      <c r="CE326" s="1482">
        <v>45880.733541666668</v>
      </c>
    </row>
    <row r="327" spans="1:83" x14ac:dyDescent="0.25">
      <c r="A327">
        <v>2021</v>
      </c>
      <c r="B327" t="s">
        <v>771</v>
      </c>
      <c r="C327" t="s">
        <v>2845</v>
      </c>
      <c r="D327" t="s">
        <v>2846</v>
      </c>
      <c r="E327" t="s">
        <v>2847</v>
      </c>
      <c r="F327" t="s">
        <v>919</v>
      </c>
      <c r="G327" t="s">
        <v>1882</v>
      </c>
      <c r="H327" t="s">
        <v>2051</v>
      </c>
      <c r="I327">
        <v>44034</v>
      </c>
      <c r="J327" t="s">
        <v>2052</v>
      </c>
      <c r="K327">
        <v>44361</v>
      </c>
      <c r="L327">
        <v>327</v>
      </c>
      <c r="M327" t="s">
        <v>3305</v>
      </c>
      <c r="N327" t="s">
        <v>120</v>
      </c>
      <c r="O327">
        <v>44361</v>
      </c>
      <c r="P327" t="s">
        <v>120</v>
      </c>
      <c r="Q327">
        <v>1010</v>
      </c>
      <c r="R327" t="s">
        <v>1922</v>
      </c>
      <c r="S327" t="s">
        <v>709</v>
      </c>
      <c r="T327" t="s">
        <v>709</v>
      </c>
      <c r="U327">
        <v>1010</v>
      </c>
      <c r="V327">
        <v>14703</v>
      </c>
      <c r="AM327" t="s">
        <v>709</v>
      </c>
      <c r="AY327" t="s">
        <v>29</v>
      </c>
      <c r="BA327">
        <v>8</v>
      </c>
      <c r="BI327" t="s">
        <v>709</v>
      </c>
      <c r="BJ327" t="s">
        <v>709</v>
      </c>
      <c r="BK327" t="s">
        <v>709</v>
      </c>
      <c r="BL327" t="s">
        <v>116</v>
      </c>
      <c r="BM327" t="s">
        <v>709</v>
      </c>
      <c r="BN327" t="s">
        <v>709</v>
      </c>
      <c r="BO327" t="s">
        <v>709</v>
      </c>
      <c r="BP327" t="s">
        <v>709</v>
      </c>
      <c r="BQ327">
        <v>5817</v>
      </c>
      <c r="BR327">
        <v>2031</v>
      </c>
      <c r="BS327">
        <v>6855</v>
      </c>
      <c r="BT327" t="s">
        <v>709</v>
      </c>
      <c r="BU327" t="s">
        <v>709</v>
      </c>
      <c r="BV327" t="s">
        <v>709</v>
      </c>
      <c r="BW327" t="s">
        <v>709</v>
      </c>
      <c r="BX327" t="s">
        <v>709</v>
      </c>
      <c r="BY327" t="s">
        <v>709</v>
      </c>
      <c r="BZ327" t="s">
        <v>709</v>
      </c>
      <c r="CB327">
        <v>325</v>
      </c>
      <c r="CC327" t="b">
        <v>1</v>
      </c>
      <c r="CD327" t="s">
        <v>3306</v>
      </c>
      <c r="CE327" s="1482">
        <v>45880.733553240738</v>
      </c>
    </row>
    <row r="328" spans="1:83" x14ac:dyDescent="0.25">
      <c r="A328">
        <v>2021</v>
      </c>
      <c r="B328" t="s">
        <v>4</v>
      </c>
      <c r="C328" t="s">
        <v>3307</v>
      </c>
      <c r="D328" t="s">
        <v>3308</v>
      </c>
      <c r="E328" t="s">
        <v>1573</v>
      </c>
      <c r="F328" t="s">
        <v>919</v>
      </c>
      <c r="G328" t="s">
        <v>1882</v>
      </c>
      <c r="H328" t="s">
        <v>59</v>
      </c>
      <c r="I328">
        <v>43909</v>
      </c>
      <c r="J328">
        <v>44372</v>
      </c>
      <c r="K328">
        <v>44362</v>
      </c>
      <c r="L328">
        <v>10</v>
      </c>
      <c r="N328" t="s">
        <v>120</v>
      </c>
      <c r="O328">
        <v>44362</v>
      </c>
      <c r="P328" t="s">
        <v>739</v>
      </c>
      <c r="Q328">
        <v>46633.563999999998</v>
      </c>
      <c r="R328">
        <v>0.1</v>
      </c>
      <c r="S328" t="s">
        <v>709</v>
      </c>
      <c r="T328" t="s">
        <v>709</v>
      </c>
      <c r="U328" t="s">
        <v>709</v>
      </c>
      <c r="V328">
        <v>2043</v>
      </c>
      <c r="X328">
        <v>355254.3</v>
      </c>
      <c r="Z328">
        <v>111081.34</v>
      </c>
      <c r="AA328">
        <v>466335.64</v>
      </c>
      <c r="AC328" t="s">
        <v>116</v>
      </c>
      <c r="AM328" t="s">
        <v>116</v>
      </c>
      <c r="AN328">
        <v>44495</v>
      </c>
      <c r="AO328">
        <v>11032690</v>
      </c>
      <c r="AP328">
        <v>433722.32</v>
      </c>
      <c r="AR328">
        <v>109287.08</v>
      </c>
      <c r="AS328">
        <v>543009.4</v>
      </c>
      <c r="AT328">
        <v>76673.759999999995</v>
      </c>
      <c r="AU328">
        <v>7667.3760000000002</v>
      </c>
      <c r="AV328">
        <v>9317.5</v>
      </c>
      <c r="AW328" t="s">
        <v>3309</v>
      </c>
      <c r="AX328">
        <v>0</v>
      </c>
      <c r="AY328">
        <v>45008</v>
      </c>
      <c r="BA328" t="s">
        <v>3310</v>
      </c>
      <c r="BB328" t="s">
        <v>2288</v>
      </c>
      <c r="BC328" t="s">
        <v>116</v>
      </c>
      <c r="BD328" t="s">
        <v>709</v>
      </c>
      <c r="BE328" t="s">
        <v>1575</v>
      </c>
      <c r="BF328" t="s">
        <v>838</v>
      </c>
      <c r="BG328" t="s">
        <v>709</v>
      </c>
      <c r="BI328" t="s">
        <v>709</v>
      </c>
      <c r="BJ328" t="s">
        <v>709</v>
      </c>
      <c r="BK328" t="s">
        <v>709</v>
      </c>
      <c r="BL328" t="s">
        <v>116</v>
      </c>
      <c r="BM328" t="s">
        <v>709</v>
      </c>
      <c r="BN328" t="s">
        <v>709</v>
      </c>
      <c r="BO328" t="s">
        <v>709</v>
      </c>
      <c r="BP328">
        <v>183</v>
      </c>
      <c r="BQ328">
        <v>913</v>
      </c>
      <c r="BR328" t="s">
        <v>709</v>
      </c>
      <c r="BS328">
        <v>947</v>
      </c>
      <c r="BT328" t="s">
        <v>745</v>
      </c>
      <c r="BU328" t="s">
        <v>709</v>
      </c>
      <c r="BV328" t="s">
        <v>745</v>
      </c>
      <c r="BW328" t="s">
        <v>709</v>
      </c>
      <c r="BX328" t="s">
        <v>745</v>
      </c>
      <c r="BY328" t="s">
        <v>745</v>
      </c>
      <c r="BZ328" t="s">
        <v>709</v>
      </c>
      <c r="CB328">
        <v>326</v>
      </c>
      <c r="CC328" t="b">
        <v>1</v>
      </c>
      <c r="CD328" t="s">
        <v>3311</v>
      </c>
      <c r="CE328" s="1482">
        <v>45880.733553240738</v>
      </c>
    </row>
    <row r="329" spans="1:83" x14ac:dyDescent="0.25">
      <c r="A329">
        <v>2021</v>
      </c>
      <c r="B329" t="s">
        <v>1205</v>
      </c>
      <c r="C329" t="s">
        <v>1206</v>
      </c>
      <c r="D329" t="s">
        <v>1207</v>
      </c>
      <c r="E329" t="s">
        <v>1159</v>
      </c>
      <c r="F329" t="s">
        <v>919</v>
      </c>
      <c r="G329" t="s">
        <v>2743</v>
      </c>
      <c r="H329" t="s">
        <v>59</v>
      </c>
      <c r="I329">
        <v>44179</v>
      </c>
      <c r="J329">
        <v>44372</v>
      </c>
      <c r="K329">
        <v>44365</v>
      </c>
      <c r="L329">
        <v>7</v>
      </c>
      <c r="N329" t="s">
        <v>120</v>
      </c>
      <c r="O329">
        <v>44365</v>
      </c>
      <c r="P329" t="s">
        <v>739</v>
      </c>
      <c r="Q329">
        <v>31711.634099999999</v>
      </c>
      <c r="R329">
        <v>0.09</v>
      </c>
      <c r="S329" t="s">
        <v>709</v>
      </c>
      <c r="T329" t="s">
        <v>709</v>
      </c>
      <c r="U329" t="s">
        <v>709</v>
      </c>
      <c r="V329">
        <v>1362</v>
      </c>
      <c r="X329">
        <v>320730.27</v>
      </c>
      <c r="Z329">
        <v>31621.22</v>
      </c>
      <c r="AA329">
        <v>352351.49</v>
      </c>
      <c r="AC329" t="s">
        <v>116</v>
      </c>
      <c r="AM329" t="s">
        <v>116</v>
      </c>
      <c r="AN329" t="s">
        <v>709</v>
      </c>
      <c r="AO329" t="s">
        <v>115</v>
      </c>
      <c r="AS329">
        <v>0</v>
      </c>
      <c r="AT329">
        <v>0</v>
      </c>
      <c r="AU329">
        <v>0</v>
      </c>
      <c r="AY329" t="s">
        <v>709</v>
      </c>
      <c r="AZ329">
        <v>21</v>
      </c>
      <c r="BA329" t="s">
        <v>1208</v>
      </c>
      <c r="BB329" t="s">
        <v>1209</v>
      </c>
      <c r="BC329" t="s">
        <v>116</v>
      </c>
      <c r="BD329" t="s">
        <v>709</v>
      </c>
      <c r="BE329" t="s">
        <v>1210</v>
      </c>
      <c r="BF329" t="s">
        <v>709</v>
      </c>
      <c r="BG329" t="s">
        <v>1211</v>
      </c>
      <c r="BI329" t="s">
        <v>709</v>
      </c>
      <c r="BJ329" t="s">
        <v>709</v>
      </c>
      <c r="BK329" t="s">
        <v>116</v>
      </c>
      <c r="BL329" t="s">
        <v>709</v>
      </c>
      <c r="BM329" t="s">
        <v>709</v>
      </c>
      <c r="BN329" t="s">
        <v>709</v>
      </c>
      <c r="BO329" t="s">
        <v>709</v>
      </c>
      <c r="BP329">
        <v>1362</v>
      </c>
      <c r="BQ329" t="s">
        <v>709</v>
      </c>
      <c r="BR329" t="s">
        <v>709</v>
      </c>
      <c r="BS329" t="s">
        <v>709</v>
      </c>
      <c r="BT329" t="s">
        <v>745</v>
      </c>
      <c r="BU329" t="s">
        <v>709</v>
      </c>
      <c r="BV329" t="s">
        <v>745</v>
      </c>
      <c r="BW329" t="s">
        <v>709</v>
      </c>
      <c r="BX329" t="s">
        <v>745</v>
      </c>
      <c r="BY329" t="s">
        <v>745</v>
      </c>
      <c r="BZ329" t="s">
        <v>709</v>
      </c>
      <c r="CB329">
        <v>327</v>
      </c>
      <c r="CC329" t="b">
        <v>1</v>
      </c>
      <c r="CD329" t="s">
        <v>3312</v>
      </c>
      <c r="CE329" s="1482">
        <v>45880.733564814815</v>
      </c>
    </row>
    <row r="330" spans="1:83" ht="300" x14ac:dyDescent="0.25">
      <c r="A330">
        <v>2021</v>
      </c>
      <c r="B330" t="s">
        <v>1108</v>
      </c>
      <c r="C330" t="s">
        <v>3313</v>
      </c>
      <c r="D330" t="s">
        <v>3314</v>
      </c>
      <c r="E330" t="s">
        <v>3315</v>
      </c>
      <c r="F330" t="s">
        <v>1111</v>
      </c>
      <c r="G330" t="s">
        <v>40</v>
      </c>
      <c r="H330" t="s">
        <v>59</v>
      </c>
      <c r="I330">
        <v>44229</v>
      </c>
      <c r="J330">
        <v>44372</v>
      </c>
      <c r="K330">
        <v>44370</v>
      </c>
      <c r="L330">
        <v>2</v>
      </c>
      <c r="N330" t="s">
        <v>120</v>
      </c>
      <c r="O330">
        <v>44370</v>
      </c>
      <c r="P330" t="s">
        <v>739</v>
      </c>
      <c r="Q330">
        <v>34096.7258</v>
      </c>
      <c r="R330" t="s">
        <v>1055</v>
      </c>
      <c r="S330" t="s">
        <v>709</v>
      </c>
      <c r="T330" t="s">
        <v>709</v>
      </c>
      <c r="U330" t="s">
        <v>709</v>
      </c>
      <c r="V330">
        <v>104</v>
      </c>
      <c r="X330">
        <v>222805.29</v>
      </c>
      <c r="Z330">
        <v>87156.19</v>
      </c>
      <c r="AA330">
        <v>309961.48</v>
      </c>
      <c r="AC330" t="s">
        <v>116</v>
      </c>
      <c r="AM330" t="s">
        <v>116</v>
      </c>
      <c r="AN330">
        <v>44642</v>
      </c>
      <c r="AO330">
        <v>11040192</v>
      </c>
      <c r="AP330">
        <v>0</v>
      </c>
      <c r="AR330">
        <v>133138.79</v>
      </c>
      <c r="AS330">
        <v>133138.79</v>
      </c>
      <c r="AT330">
        <v>-176822.69</v>
      </c>
      <c r="AU330">
        <v>-15029.928599999999</v>
      </c>
      <c r="AV330">
        <v>2662.5</v>
      </c>
      <c r="AW330" t="s">
        <v>3316</v>
      </c>
      <c r="AX330">
        <v>0</v>
      </c>
      <c r="AY330">
        <v>45008</v>
      </c>
      <c r="BA330" s="4" t="s">
        <v>3317</v>
      </c>
      <c r="BB330" t="s">
        <v>3318</v>
      </c>
      <c r="BC330" t="s">
        <v>709</v>
      </c>
      <c r="BD330" t="s">
        <v>709</v>
      </c>
      <c r="BE330" t="s">
        <v>3319</v>
      </c>
      <c r="BF330" t="s">
        <v>709</v>
      </c>
      <c r="BG330" t="s">
        <v>709</v>
      </c>
      <c r="BI330" t="s">
        <v>709</v>
      </c>
      <c r="BJ330" t="s">
        <v>709</v>
      </c>
      <c r="BK330" t="s">
        <v>709</v>
      </c>
      <c r="BL330" t="s">
        <v>709</v>
      </c>
      <c r="BM330" t="s">
        <v>709</v>
      </c>
      <c r="BN330" t="s">
        <v>709</v>
      </c>
      <c r="BO330" t="s">
        <v>709</v>
      </c>
      <c r="BP330">
        <v>18</v>
      </c>
      <c r="BQ330">
        <v>86</v>
      </c>
      <c r="BR330" t="s">
        <v>709</v>
      </c>
      <c r="BS330" t="s">
        <v>709</v>
      </c>
      <c r="BT330" t="s">
        <v>745</v>
      </c>
      <c r="BU330" t="s">
        <v>709</v>
      </c>
      <c r="BV330">
        <v>2</v>
      </c>
      <c r="BW330">
        <v>2</v>
      </c>
      <c r="BX330">
        <v>1</v>
      </c>
      <c r="BY330" t="s">
        <v>745</v>
      </c>
      <c r="BZ330" t="s">
        <v>709</v>
      </c>
      <c r="CA330" t="s">
        <v>769</v>
      </c>
      <c r="CB330">
        <v>329</v>
      </c>
      <c r="CC330" t="b">
        <v>1</v>
      </c>
      <c r="CD330" t="s">
        <v>3320</v>
      </c>
      <c r="CE330" s="1482">
        <v>45880.733576388891</v>
      </c>
    </row>
    <row r="331" spans="1:83" ht="210" x14ac:dyDescent="0.25">
      <c r="A331">
        <v>2021</v>
      </c>
      <c r="B331" t="s">
        <v>4</v>
      </c>
      <c r="C331" t="s">
        <v>3321</v>
      </c>
      <c r="D331" t="s">
        <v>3322</v>
      </c>
      <c r="E331" t="s">
        <v>910</v>
      </c>
      <c r="F331" t="s">
        <v>738</v>
      </c>
      <c r="G331" t="s">
        <v>2814</v>
      </c>
      <c r="H331" t="s">
        <v>59</v>
      </c>
      <c r="I331">
        <v>44348</v>
      </c>
      <c r="J331">
        <v>44379</v>
      </c>
      <c r="K331">
        <v>44370</v>
      </c>
      <c r="L331">
        <v>9</v>
      </c>
      <c r="N331" t="s">
        <v>120</v>
      </c>
      <c r="O331">
        <v>44370</v>
      </c>
      <c r="P331" t="s">
        <v>739</v>
      </c>
      <c r="Q331">
        <v>6899.0460000000003</v>
      </c>
      <c r="R331">
        <v>0.1</v>
      </c>
      <c r="S331" t="s">
        <v>709</v>
      </c>
      <c r="T331" t="s">
        <v>709</v>
      </c>
      <c r="U331" t="s">
        <v>709</v>
      </c>
      <c r="V331">
        <v>112</v>
      </c>
      <c r="X331">
        <v>52291.25</v>
      </c>
      <c r="Z331">
        <v>16699.21</v>
      </c>
      <c r="AA331">
        <v>68990.460000000006</v>
      </c>
      <c r="AC331" t="s">
        <v>709</v>
      </c>
      <c r="AM331" t="s">
        <v>116</v>
      </c>
      <c r="AN331">
        <v>44391</v>
      </c>
      <c r="AO331">
        <v>189877</v>
      </c>
      <c r="AP331">
        <v>58835.46</v>
      </c>
      <c r="AR331">
        <v>9436.0300000000007</v>
      </c>
      <c r="AS331">
        <v>68271.490000000005</v>
      </c>
      <c r="AT331">
        <v>-718.97</v>
      </c>
      <c r="AU331">
        <v>-71.897000000000006</v>
      </c>
      <c r="AV331" t="s">
        <v>709</v>
      </c>
      <c r="AW331" t="s">
        <v>3323</v>
      </c>
      <c r="AX331">
        <v>-71.897000000000006</v>
      </c>
      <c r="AY331">
        <v>44501</v>
      </c>
      <c r="BA331" s="4" t="s">
        <v>3324</v>
      </c>
      <c r="BB331" t="s">
        <v>3325</v>
      </c>
      <c r="BC331" t="s">
        <v>709</v>
      </c>
      <c r="BD331" t="s">
        <v>709</v>
      </c>
      <c r="BE331" t="s">
        <v>913</v>
      </c>
      <c r="BF331" t="s">
        <v>709</v>
      </c>
      <c r="BG331" t="s">
        <v>709</v>
      </c>
      <c r="BI331" t="s">
        <v>709</v>
      </c>
      <c r="BJ331" t="s">
        <v>709</v>
      </c>
      <c r="BK331" t="s">
        <v>709</v>
      </c>
      <c r="BL331" t="s">
        <v>116</v>
      </c>
      <c r="BM331" t="s">
        <v>709</v>
      </c>
      <c r="BN331" t="s">
        <v>709</v>
      </c>
      <c r="BO331" t="s">
        <v>709</v>
      </c>
      <c r="BP331" t="s">
        <v>709</v>
      </c>
      <c r="BQ331" t="s">
        <v>709</v>
      </c>
      <c r="BR331">
        <v>112</v>
      </c>
      <c r="BS331" t="s">
        <v>709</v>
      </c>
      <c r="BT331" t="s">
        <v>745</v>
      </c>
      <c r="BU331" t="s">
        <v>709</v>
      </c>
      <c r="BV331" t="s">
        <v>745</v>
      </c>
      <c r="BW331" t="s">
        <v>709</v>
      </c>
      <c r="BX331" t="s">
        <v>745</v>
      </c>
      <c r="BY331" t="s">
        <v>745</v>
      </c>
      <c r="BZ331" t="s">
        <v>709</v>
      </c>
      <c r="CB331">
        <v>328</v>
      </c>
      <c r="CC331" t="b">
        <v>1</v>
      </c>
      <c r="CD331" t="s">
        <v>3326</v>
      </c>
      <c r="CE331" s="1482">
        <v>45880.733576388891</v>
      </c>
    </row>
    <row r="332" spans="1:83" ht="240" x14ac:dyDescent="0.25">
      <c r="A332">
        <v>2021</v>
      </c>
      <c r="B332" t="s">
        <v>1073</v>
      </c>
      <c r="C332" t="s">
        <v>3327</v>
      </c>
      <c r="D332" t="s">
        <v>3328</v>
      </c>
      <c r="E332" t="s">
        <v>1915</v>
      </c>
      <c r="F332" t="s">
        <v>919</v>
      </c>
      <c r="G332" t="s">
        <v>36</v>
      </c>
      <c r="H332" t="s">
        <v>59</v>
      </c>
      <c r="I332">
        <v>44308</v>
      </c>
      <c r="J332">
        <v>44378</v>
      </c>
      <c r="K332">
        <v>44372</v>
      </c>
      <c r="L332">
        <v>6</v>
      </c>
      <c r="N332" t="s">
        <v>120</v>
      </c>
      <c r="O332">
        <v>44378</v>
      </c>
      <c r="P332" t="s">
        <v>739</v>
      </c>
      <c r="Q332">
        <v>158539.29490000001</v>
      </c>
      <c r="R332">
        <v>7.0000000000000007E-2</v>
      </c>
      <c r="S332" t="s">
        <v>709</v>
      </c>
      <c r="T332" t="s">
        <v>709</v>
      </c>
      <c r="U332" t="s">
        <v>709</v>
      </c>
      <c r="V332">
        <v>10766</v>
      </c>
      <c r="X332">
        <v>2251432.2799999998</v>
      </c>
      <c r="Z332">
        <v>13414.79</v>
      </c>
      <c r="AA332">
        <v>2264847.0699999998</v>
      </c>
      <c r="AC332" t="s">
        <v>116</v>
      </c>
      <c r="AM332" t="s">
        <v>116</v>
      </c>
      <c r="AN332">
        <v>44509</v>
      </c>
      <c r="AO332">
        <v>11033572</v>
      </c>
      <c r="AP332">
        <v>2273505.11</v>
      </c>
      <c r="AR332">
        <v>13413.25</v>
      </c>
      <c r="AS332">
        <v>2286918.36</v>
      </c>
      <c r="AT332">
        <v>22071.29</v>
      </c>
      <c r="AU332">
        <v>1544.9902999999999</v>
      </c>
      <c r="AV332">
        <v>5670</v>
      </c>
      <c r="AW332" s="4" t="s">
        <v>3329</v>
      </c>
      <c r="AX332">
        <v>0</v>
      </c>
      <c r="AY332">
        <v>45008</v>
      </c>
      <c r="BA332" t="s">
        <v>3330</v>
      </c>
      <c r="BB332" t="s">
        <v>3331</v>
      </c>
      <c r="BC332" t="s">
        <v>116</v>
      </c>
      <c r="BD332" t="s">
        <v>709</v>
      </c>
      <c r="BE332" t="s">
        <v>3332</v>
      </c>
      <c r="BF332" t="s">
        <v>3333</v>
      </c>
      <c r="BG332" t="s">
        <v>3334</v>
      </c>
      <c r="BI332" t="s">
        <v>709</v>
      </c>
      <c r="BJ332" t="s">
        <v>116</v>
      </c>
      <c r="BK332" t="s">
        <v>709</v>
      </c>
      <c r="BL332" t="s">
        <v>709</v>
      </c>
      <c r="BM332" t="s">
        <v>709</v>
      </c>
      <c r="BN332" t="s">
        <v>709</v>
      </c>
      <c r="BO332" t="s">
        <v>709</v>
      </c>
      <c r="BP332" t="s">
        <v>709</v>
      </c>
      <c r="BQ332">
        <v>10776</v>
      </c>
      <c r="BR332" t="s">
        <v>709</v>
      </c>
      <c r="BS332" t="s">
        <v>709</v>
      </c>
      <c r="BT332" t="s">
        <v>709</v>
      </c>
      <c r="BU332" t="s">
        <v>709</v>
      </c>
      <c r="BV332" t="s">
        <v>745</v>
      </c>
      <c r="BW332" t="s">
        <v>709</v>
      </c>
      <c r="BX332" t="s">
        <v>709</v>
      </c>
      <c r="BY332" t="s">
        <v>745</v>
      </c>
      <c r="BZ332" t="s">
        <v>709</v>
      </c>
      <c r="CB332">
        <v>331</v>
      </c>
      <c r="CC332" t="b">
        <v>1</v>
      </c>
      <c r="CD332" t="s">
        <v>3335</v>
      </c>
      <c r="CE332" s="1482">
        <v>45880.733587962961</v>
      </c>
    </row>
    <row r="333" spans="1:83" x14ac:dyDescent="0.25">
      <c r="A333">
        <v>2021</v>
      </c>
      <c r="B333" t="s">
        <v>4</v>
      </c>
      <c r="C333" t="s">
        <v>3336</v>
      </c>
      <c r="D333" t="s">
        <v>3337</v>
      </c>
      <c r="E333" t="s">
        <v>2535</v>
      </c>
      <c r="F333" t="s">
        <v>738</v>
      </c>
      <c r="G333" t="s">
        <v>39</v>
      </c>
      <c r="H333" t="s">
        <v>59</v>
      </c>
      <c r="I333">
        <v>44348</v>
      </c>
      <c r="J333">
        <v>44377</v>
      </c>
      <c r="K333">
        <v>44372</v>
      </c>
      <c r="L333">
        <v>5</v>
      </c>
      <c r="N333" t="s">
        <v>120</v>
      </c>
      <c r="O333">
        <v>44372</v>
      </c>
      <c r="P333" t="s">
        <v>739</v>
      </c>
      <c r="Q333">
        <v>2075.1120000000001</v>
      </c>
      <c r="R333">
        <v>0.1</v>
      </c>
      <c r="S333" t="s">
        <v>709</v>
      </c>
      <c r="T333" t="s">
        <v>709</v>
      </c>
      <c r="U333" t="s">
        <v>709</v>
      </c>
      <c r="Z333">
        <v>20751.12</v>
      </c>
      <c r="AA333">
        <v>20751.12</v>
      </c>
      <c r="AC333" t="s">
        <v>709</v>
      </c>
      <c r="AM333" t="s">
        <v>116</v>
      </c>
      <c r="AN333">
        <v>44397</v>
      </c>
      <c r="AO333" t="s">
        <v>115</v>
      </c>
      <c r="AP333">
        <v>0</v>
      </c>
      <c r="AR333">
        <v>20754.66</v>
      </c>
      <c r="AS333">
        <v>20754.66</v>
      </c>
      <c r="AT333">
        <v>3.54</v>
      </c>
      <c r="AU333">
        <v>0.35399999999999998</v>
      </c>
      <c r="AV333" t="s">
        <v>709</v>
      </c>
      <c r="AW333" t="s">
        <v>3338</v>
      </c>
      <c r="AY333" t="s">
        <v>1935</v>
      </c>
      <c r="BA333" t="s">
        <v>3339</v>
      </c>
      <c r="BB333" t="s">
        <v>3325</v>
      </c>
      <c r="BC333" t="s">
        <v>709</v>
      </c>
      <c r="BD333" t="s">
        <v>709</v>
      </c>
      <c r="BE333" t="s">
        <v>3340</v>
      </c>
      <c r="BF333" t="s">
        <v>709</v>
      </c>
      <c r="BG333" t="s">
        <v>709</v>
      </c>
      <c r="BI333" t="s">
        <v>709</v>
      </c>
      <c r="BJ333" t="s">
        <v>709</v>
      </c>
      <c r="BK333" t="s">
        <v>709</v>
      </c>
      <c r="BL333" t="s">
        <v>709</v>
      </c>
      <c r="BM333" t="s">
        <v>709</v>
      </c>
      <c r="BN333" t="s">
        <v>709</v>
      </c>
      <c r="BO333" t="s">
        <v>709</v>
      </c>
      <c r="BP333" t="s">
        <v>709</v>
      </c>
      <c r="BQ333" t="s">
        <v>709</v>
      </c>
      <c r="BR333" t="s">
        <v>709</v>
      </c>
      <c r="BS333" t="s">
        <v>709</v>
      </c>
      <c r="BT333" t="s">
        <v>709</v>
      </c>
      <c r="BU333" t="s">
        <v>709</v>
      </c>
      <c r="BV333" t="s">
        <v>709</v>
      </c>
      <c r="BW333" t="s">
        <v>709</v>
      </c>
      <c r="BX333" t="s">
        <v>709</v>
      </c>
      <c r="BY333" t="s">
        <v>709</v>
      </c>
      <c r="BZ333" t="s">
        <v>709</v>
      </c>
      <c r="CA333" t="s">
        <v>1146</v>
      </c>
      <c r="CB333">
        <v>330</v>
      </c>
      <c r="CC333" t="b">
        <v>1</v>
      </c>
      <c r="CD333" t="s">
        <v>3341</v>
      </c>
      <c r="CE333" s="1482">
        <v>45880.733599537038</v>
      </c>
    </row>
    <row r="334" spans="1:83" x14ac:dyDescent="0.25">
      <c r="A334">
        <v>2021</v>
      </c>
      <c r="B334" t="s">
        <v>771</v>
      </c>
      <c r="C334" t="s">
        <v>3010</v>
      </c>
      <c r="D334" t="s">
        <v>3011</v>
      </c>
      <c r="E334" t="s">
        <v>3012</v>
      </c>
      <c r="F334" t="s">
        <v>919</v>
      </c>
      <c r="G334" t="s">
        <v>1882</v>
      </c>
      <c r="H334" t="s">
        <v>2396</v>
      </c>
      <c r="I334">
        <v>44138</v>
      </c>
      <c r="J334" t="s">
        <v>2397</v>
      </c>
      <c r="K334">
        <v>44376</v>
      </c>
      <c r="L334">
        <v>238</v>
      </c>
      <c r="N334" t="s">
        <v>120</v>
      </c>
      <c r="O334">
        <v>44378</v>
      </c>
      <c r="P334" t="s">
        <v>120</v>
      </c>
      <c r="Q334">
        <v>8282.5</v>
      </c>
      <c r="R334" t="s">
        <v>1922</v>
      </c>
      <c r="S334" t="s">
        <v>709</v>
      </c>
      <c r="T334" t="s">
        <v>709</v>
      </c>
      <c r="U334">
        <v>8282.5</v>
      </c>
      <c r="V334">
        <v>20432</v>
      </c>
      <c r="AM334" t="s">
        <v>709</v>
      </c>
      <c r="AY334" t="s">
        <v>29</v>
      </c>
      <c r="BA334" t="s">
        <v>3013</v>
      </c>
      <c r="BB334" t="s">
        <v>3014</v>
      </c>
      <c r="BC334" t="s">
        <v>116</v>
      </c>
      <c r="BD334" t="s">
        <v>709</v>
      </c>
      <c r="BE334" t="s">
        <v>3015</v>
      </c>
      <c r="BF334" t="s">
        <v>709</v>
      </c>
      <c r="BG334" t="s">
        <v>709</v>
      </c>
      <c r="BI334" t="s">
        <v>709</v>
      </c>
      <c r="BJ334" t="s">
        <v>709</v>
      </c>
      <c r="BK334" t="s">
        <v>709</v>
      </c>
      <c r="BL334" t="s">
        <v>116</v>
      </c>
      <c r="BM334" t="s">
        <v>709</v>
      </c>
      <c r="BN334" t="s">
        <v>709</v>
      </c>
      <c r="BO334" t="s">
        <v>709</v>
      </c>
      <c r="BP334" t="s">
        <v>709</v>
      </c>
      <c r="BQ334">
        <v>490</v>
      </c>
      <c r="BR334" t="s">
        <v>709</v>
      </c>
      <c r="BS334">
        <v>158</v>
      </c>
      <c r="BT334" t="s">
        <v>709</v>
      </c>
      <c r="BU334" t="s">
        <v>709</v>
      </c>
      <c r="BV334" t="s">
        <v>709</v>
      </c>
      <c r="BW334" t="s">
        <v>709</v>
      </c>
      <c r="BX334" t="s">
        <v>709</v>
      </c>
      <c r="BY334" t="s">
        <v>709</v>
      </c>
      <c r="BZ334" t="s">
        <v>709</v>
      </c>
      <c r="CB334">
        <v>332</v>
      </c>
      <c r="CC334" t="b">
        <v>1</v>
      </c>
      <c r="CD334" t="s">
        <v>3342</v>
      </c>
      <c r="CE334" s="1482">
        <v>45880.733611111114</v>
      </c>
    </row>
    <row r="335" spans="1:83" x14ac:dyDescent="0.25">
      <c r="A335">
        <v>2021</v>
      </c>
      <c r="B335" t="s">
        <v>4</v>
      </c>
      <c r="C335" t="s">
        <v>3343</v>
      </c>
      <c r="D335" t="s">
        <v>3344</v>
      </c>
      <c r="E335" t="s">
        <v>1101</v>
      </c>
      <c r="F335" t="s">
        <v>919</v>
      </c>
      <c r="G335" t="s">
        <v>2814</v>
      </c>
      <c r="H335" t="s">
        <v>59</v>
      </c>
      <c r="I335">
        <v>44188</v>
      </c>
      <c r="J335">
        <v>44393</v>
      </c>
      <c r="K335">
        <v>44377</v>
      </c>
      <c r="L335">
        <v>16</v>
      </c>
      <c r="N335" t="s">
        <v>120</v>
      </c>
      <c r="O335">
        <v>44378</v>
      </c>
      <c r="P335" t="s">
        <v>739</v>
      </c>
      <c r="Q335">
        <v>15646.597</v>
      </c>
      <c r="R335">
        <v>0.1</v>
      </c>
      <c r="S335" t="s">
        <v>709</v>
      </c>
      <c r="T335" t="s">
        <v>709</v>
      </c>
      <c r="U335" t="s">
        <v>709</v>
      </c>
      <c r="V335">
        <v>725</v>
      </c>
      <c r="X335">
        <v>131856.18</v>
      </c>
      <c r="Z335">
        <v>24609.79</v>
      </c>
      <c r="AA335">
        <v>156465.97</v>
      </c>
      <c r="AC335" t="s">
        <v>709</v>
      </c>
      <c r="AM335" t="s">
        <v>116</v>
      </c>
      <c r="AN335">
        <v>44642</v>
      </c>
      <c r="AO335">
        <v>11040115</v>
      </c>
      <c r="AP335">
        <v>156443.17000000001</v>
      </c>
      <c r="AR335">
        <v>117912.96000000001</v>
      </c>
      <c r="AS335">
        <v>274356.13</v>
      </c>
      <c r="AT335">
        <v>117890.16</v>
      </c>
      <c r="AU335">
        <v>11789.016</v>
      </c>
      <c r="AV335">
        <v>15672.5</v>
      </c>
      <c r="AW335" t="s">
        <v>3345</v>
      </c>
      <c r="AX335">
        <v>0</v>
      </c>
      <c r="AY335">
        <v>45008</v>
      </c>
      <c r="BA335" t="s">
        <v>3346</v>
      </c>
      <c r="BB335" t="s">
        <v>3347</v>
      </c>
      <c r="BC335" t="s">
        <v>709</v>
      </c>
      <c r="BD335" t="s">
        <v>882</v>
      </c>
      <c r="BE335" t="s">
        <v>1106</v>
      </c>
      <c r="BF335" t="s">
        <v>709</v>
      </c>
      <c r="BG335" t="s">
        <v>709</v>
      </c>
      <c r="BI335" t="s">
        <v>709</v>
      </c>
      <c r="BJ335" t="s">
        <v>709</v>
      </c>
      <c r="BK335" t="s">
        <v>709</v>
      </c>
      <c r="BL335" t="s">
        <v>116</v>
      </c>
      <c r="BM335" t="s">
        <v>709</v>
      </c>
      <c r="BN335" t="s">
        <v>709</v>
      </c>
      <c r="BO335" t="s">
        <v>709</v>
      </c>
      <c r="BP335" t="s">
        <v>709</v>
      </c>
      <c r="BQ335" t="s">
        <v>709</v>
      </c>
      <c r="BR335" t="s">
        <v>709</v>
      </c>
      <c r="BS335">
        <v>725</v>
      </c>
      <c r="BT335" t="s">
        <v>709</v>
      </c>
      <c r="BU335" t="s">
        <v>709</v>
      </c>
      <c r="BV335" t="s">
        <v>745</v>
      </c>
      <c r="BW335" t="s">
        <v>709</v>
      </c>
      <c r="BX335" t="s">
        <v>709</v>
      </c>
      <c r="BY335" t="s">
        <v>745</v>
      </c>
      <c r="BZ335" t="s">
        <v>709</v>
      </c>
      <c r="CA335" t="s">
        <v>1237</v>
      </c>
      <c r="CB335">
        <v>334</v>
      </c>
      <c r="CC335" t="b">
        <v>1</v>
      </c>
      <c r="CD335" t="s">
        <v>3348</v>
      </c>
      <c r="CE335" s="1482">
        <v>45880.733611111114</v>
      </c>
    </row>
    <row r="336" spans="1:83" x14ac:dyDescent="0.25">
      <c r="A336">
        <v>2022</v>
      </c>
      <c r="B336" t="s">
        <v>771</v>
      </c>
      <c r="C336" t="s">
        <v>3349</v>
      </c>
      <c r="D336" t="s">
        <v>3350</v>
      </c>
      <c r="E336" t="s">
        <v>3351</v>
      </c>
      <c r="F336" t="s">
        <v>919</v>
      </c>
      <c r="G336" t="s">
        <v>36</v>
      </c>
      <c r="H336" t="s">
        <v>59</v>
      </c>
      <c r="I336">
        <v>44286</v>
      </c>
      <c r="J336">
        <v>44386</v>
      </c>
      <c r="K336">
        <v>44377</v>
      </c>
      <c r="L336">
        <v>9</v>
      </c>
      <c r="N336" t="s">
        <v>120</v>
      </c>
      <c r="O336">
        <v>44378</v>
      </c>
      <c r="P336" t="s">
        <v>120</v>
      </c>
      <c r="Q336">
        <v>17338.3</v>
      </c>
      <c r="R336" t="s">
        <v>2087</v>
      </c>
      <c r="S336" t="s">
        <v>709</v>
      </c>
      <c r="T336" t="s">
        <v>709</v>
      </c>
      <c r="U336" t="s">
        <v>709</v>
      </c>
      <c r="V336">
        <v>11186</v>
      </c>
      <c r="X336">
        <v>1545702.16</v>
      </c>
      <c r="Z336">
        <v>49461.8</v>
      </c>
      <c r="AA336">
        <v>1595163.96</v>
      </c>
      <c r="AC336" t="s">
        <v>709</v>
      </c>
      <c r="AM336" t="s">
        <v>709</v>
      </c>
      <c r="AY336" t="s">
        <v>29</v>
      </c>
      <c r="BA336" t="s">
        <v>3352</v>
      </c>
      <c r="BB336" t="s">
        <v>3353</v>
      </c>
      <c r="BC336" t="s">
        <v>709</v>
      </c>
      <c r="BD336" t="s">
        <v>709</v>
      </c>
      <c r="BE336" t="s">
        <v>3354</v>
      </c>
      <c r="BF336" t="s">
        <v>709</v>
      </c>
      <c r="BG336" t="s">
        <v>709</v>
      </c>
      <c r="BI336" t="s">
        <v>709</v>
      </c>
      <c r="BJ336" t="s">
        <v>709</v>
      </c>
      <c r="BK336" t="s">
        <v>709</v>
      </c>
      <c r="BL336" t="s">
        <v>116</v>
      </c>
      <c r="BM336" t="s">
        <v>709</v>
      </c>
      <c r="BN336" t="s">
        <v>709</v>
      </c>
      <c r="BO336" t="s">
        <v>709</v>
      </c>
      <c r="BP336" t="s">
        <v>709</v>
      </c>
      <c r="BQ336">
        <v>918</v>
      </c>
      <c r="BR336">
        <v>4274</v>
      </c>
      <c r="BS336">
        <v>5994</v>
      </c>
      <c r="BT336" t="s">
        <v>709</v>
      </c>
      <c r="BU336" t="s">
        <v>709</v>
      </c>
      <c r="BV336" t="s">
        <v>709</v>
      </c>
      <c r="BW336" t="s">
        <v>709</v>
      </c>
      <c r="BX336" t="s">
        <v>709</v>
      </c>
      <c r="BY336" t="s">
        <v>709</v>
      </c>
      <c r="BZ336" t="s">
        <v>709</v>
      </c>
      <c r="CB336">
        <v>333</v>
      </c>
      <c r="CC336" t="b">
        <v>1</v>
      </c>
      <c r="CD336" t="s">
        <v>3355</v>
      </c>
      <c r="CE336" s="1482">
        <v>45880.733622685184</v>
      </c>
    </row>
    <row r="337" spans="1:83" ht="409.5" x14ac:dyDescent="0.25">
      <c r="A337">
        <v>2021</v>
      </c>
      <c r="B337" t="s">
        <v>1073</v>
      </c>
      <c r="C337" t="s">
        <v>3356</v>
      </c>
      <c r="D337" t="s">
        <v>3357</v>
      </c>
      <c r="E337" t="s">
        <v>61</v>
      </c>
      <c r="F337" t="s">
        <v>738</v>
      </c>
      <c r="G337" t="s">
        <v>2743</v>
      </c>
      <c r="H337" t="s">
        <v>59</v>
      </c>
      <c r="I337">
        <v>44348</v>
      </c>
      <c r="J337">
        <v>44379</v>
      </c>
      <c r="K337">
        <v>44378</v>
      </c>
      <c r="L337">
        <v>1</v>
      </c>
      <c r="N337" t="s">
        <v>120</v>
      </c>
      <c r="O337">
        <v>44378</v>
      </c>
      <c r="P337" t="s">
        <v>739</v>
      </c>
      <c r="Q337">
        <v>9617.4560999999994</v>
      </c>
      <c r="R337">
        <v>7.0000000000000007E-2</v>
      </c>
      <c r="S337" t="s">
        <v>709</v>
      </c>
      <c r="T337" t="s">
        <v>709</v>
      </c>
      <c r="U337" t="s">
        <v>709</v>
      </c>
      <c r="X337">
        <v>137392.23000000001</v>
      </c>
      <c r="AA337">
        <v>137392.23000000001</v>
      </c>
      <c r="AC337" t="s">
        <v>709</v>
      </c>
      <c r="AM337" t="s">
        <v>116</v>
      </c>
      <c r="AN337">
        <v>44431</v>
      </c>
      <c r="AO337">
        <v>189320</v>
      </c>
      <c r="AP337">
        <v>145289.13</v>
      </c>
      <c r="AS337">
        <v>145289.13</v>
      </c>
      <c r="AT337">
        <v>7896.9</v>
      </c>
      <c r="AU337">
        <v>552.78300000000002</v>
      </c>
      <c r="AV337" t="s">
        <v>709</v>
      </c>
      <c r="AW337" s="4" t="s">
        <v>3358</v>
      </c>
      <c r="AX337">
        <v>552.78300000000002</v>
      </c>
      <c r="AY337">
        <v>44501</v>
      </c>
      <c r="BA337" s="4" t="s">
        <v>3359</v>
      </c>
      <c r="BB337" s="4" t="s">
        <v>3360</v>
      </c>
      <c r="BC337" t="s">
        <v>709</v>
      </c>
      <c r="BD337" t="s">
        <v>709</v>
      </c>
      <c r="BE337" t="s">
        <v>2965</v>
      </c>
      <c r="BF337" t="s">
        <v>2965</v>
      </c>
      <c r="BG337" t="s">
        <v>709</v>
      </c>
      <c r="BI337" t="s">
        <v>709</v>
      </c>
      <c r="BJ337" t="s">
        <v>709</v>
      </c>
      <c r="BK337" t="s">
        <v>116</v>
      </c>
      <c r="BL337" t="s">
        <v>709</v>
      </c>
      <c r="BM337" t="s">
        <v>709</v>
      </c>
      <c r="BN337" t="s">
        <v>709</v>
      </c>
      <c r="BO337" t="s">
        <v>709</v>
      </c>
      <c r="BP337">
        <v>0</v>
      </c>
      <c r="BQ337">
        <v>24</v>
      </c>
      <c r="BR337" t="s">
        <v>709</v>
      </c>
      <c r="BS337" t="s">
        <v>709</v>
      </c>
      <c r="BT337" t="s">
        <v>709</v>
      </c>
      <c r="BU337" t="s">
        <v>709</v>
      </c>
      <c r="BV337" t="s">
        <v>709</v>
      </c>
      <c r="BW337" t="s">
        <v>709</v>
      </c>
      <c r="BX337" t="s">
        <v>709</v>
      </c>
      <c r="BY337" t="s">
        <v>3361</v>
      </c>
      <c r="BZ337" t="s">
        <v>709</v>
      </c>
      <c r="CA337" t="s">
        <v>1237</v>
      </c>
      <c r="CB337">
        <v>336</v>
      </c>
      <c r="CC337" t="b">
        <v>1</v>
      </c>
      <c r="CD337" t="s">
        <v>3362</v>
      </c>
      <c r="CE337" s="1482">
        <v>45880.733634259261</v>
      </c>
    </row>
    <row r="338" spans="1:83" ht="409.5" x14ac:dyDescent="0.25">
      <c r="A338">
        <v>2021</v>
      </c>
      <c r="B338" t="s">
        <v>1073</v>
      </c>
      <c r="C338" t="s">
        <v>3356</v>
      </c>
      <c r="D338" t="s">
        <v>3363</v>
      </c>
      <c r="E338" t="s">
        <v>61</v>
      </c>
      <c r="F338" t="s">
        <v>738</v>
      </c>
      <c r="G338" t="s">
        <v>2743</v>
      </c>
      <c r="H338" t="s">
        <v>59</v>
      </c>
      <c r="I338">
        <v>44348</v>
      </c>
      <c r="J338">
        <v>44379</v>
      </c>
      <c r="K338">
        <v>44378</v>
      </c>
      <c r="L338">
        <v>1</v>
      </c>
      <c r="N338" t="s">
        <v>120</v>
      </c>
      <c r="O338">
        <v>44378</v>
      </c>
      <c r="P338" t="s">
        <v>739</v>
      </c>
      <c r="Q338">
        <v>8404.8111000000008</v>
      </c>
      <c r="R338">
        <v>7.0000000000000007E-2</v>
      </c>
      <c r="S338" t="s">
        <v>709</v>
      </c>
      <c r="T338" t="s">
        <v>709</v>
      </c>
      <c r="U338" t="s">
        <v>709</v>
      </c>
      <c r="X338">
        <v>120068.73</v>
      </c>
      <c r="AA338">
        <v>120068.73</v>
      </c>
      <c r="AC338" t="s">
        <v>709</v>
      </c>
      <c r="AM338" t="s">
        <v>116</v>
      </c>
      <c r="AN338">
        <v>44431</v>
      </c>
      <c r="AO338">
        <v>189319</v>
      </c>
      <c r="AP338">
        <v>135343.99</v>
      </c>
      <c r="AS338">
        <v>135343.99</v>
      </c>
      <c r="AT338">
        <v>15275.26</v>
      </c>
      <c r="AU338">
        <v>1069.2682</v>
      </c>
      <c r="AV338" t="s">
        <v>709</v>
      </c>
      <c r="AW338" t="s">
        <v>3358</v>
      </c>
      <c r="AX338">
        <v>1069.2682</v>
      </c>
      <c r="AY338">
        <v>44501</v>
      </c>
      <c r="BA338" s="4" t="s">
        <v>3359</v>
      </c>
      <c r="BB338" s="4" t="s">
        <v>3360</v>
      </c>
      <c r="BC338" t="s">
        <v>709</v>
      </c>
      <c r="BD338" t="s">
        <v>709</v>
      </c>
      <c r="BE338" t="s">
        <v>2965</v>
      </c>
      <c r="BF338" t="s">
        <v>2965</v>
      </c>
      <c r="BG338" t="s">
        <v>709</v>
      </c>
      <c r="BI338" t="s">
        <v>709</v>
      </c>
      <c r="BJ338" t="s">
        <v>709</v>
      </c>
      <c r="BK338" t="s">
        <v>116</v>
      </c>
      <c r="BL338" t="s">
        <v>709</v>
      </c>
      <c r="BM338" t="s">
        <v>709</v>
      </c>
      <c r="BN338" t="s">
        <v>709</v>
      </c>
      <c r="BO338" t="s">
        <v>709</v>
      </c>
      <c r="BP338">
        <v>0</v>
      </c>
      <c r="BQ338">
        <v>24</v>
      </c>
      <c r="BR338" t="s">
        <v>709</v>
      </c>
      <c r="BS338" t="s">
        <v>709</v>
      </c>
      <c r="BT338" t="s">
        <v>709</v>
      </c>
      <c r="BU338" t="s">
        <v>709</v>
      </c>
      <c r="BV338" t="s">
        <v>709</v>
      </c>
      <c r="BW338" t="s">
        <v>709</v>
      </c>
      <c r="BX338" t="s">
        <v>709</v>
      </c>
      <c r="BY338" t="s">
        <v>3364</v>
      </c>
      <c r="BZ338" t="s">
        <v>709</v>
      </c>
      <c r="CA338" t="s">
        <v>1237</v>
      </c>
      <c r="CB338">
        <v>337</v>
      </c>
      <c r="CC338" t="b">
        <v>1</v>
      </c>
      <c r="CD338" t="s">
        <v>3365</v>
      </c>
      <c r="CE338" s="1482">
        <v>45880.73364583333</v>
      </c>
    </row>
    <row r="339" spans="1:83" ht="409.5" x14ac:dyDescent="0.25">
      <c r="A339">
        <v>2021</v>
      </c>
      <c r="B339" t="s">
        <v>1073</v>
      </c>
      <c r="C339" t="s">
        <v>3356</v>
      </c>
      <c r="D339" t="s">
        <v>3366</v>
      </c>
      <c r="E339" t="s">
        <v>61</v>
      </c>
      <c r="F339" t="s">
        <v>738</v>
      </c>
      <c r="G339" t="s">
        <v>2743</v>
      </c>
      <c r="H339" t="s">
        <v>59</v>
      </c>
      <c r="I339">
        <v>44348</v>
      </c>
      <c r="J339">
        <v>44379</v>
      </c>
      <c r="K339">
        <v>44378</v>
      </c>
      <c r="L339">
        <v>1</v>
      </c>
      <c r="N339" t="s">
        <v>120</v>
      </c>
      <c r="O339">
        <v>44378</v>
      </c>
      <c r="P339" t="s">
        <v>739</v>
      </c>
      <c r="Q339">
        <v>1929.1349</v>
      </c>
      <c r="R339">
        <v>7.0000000000000007E-2</v>
      </c>
      <c r="S339" t="s">
        <v>709</v>
      </c>
      <c r="T339" t="s">
        <v>709</v>
      </c>
      <c r="U339" t="s">
        <v>709</v>
      </c>
      <c r="X339">
        <v>27559.07</v>
      </c>
      <c r="AA339">
        <v>27559.07</v>
      </c>
      <c r="AC339" t="s">
        <v>709</v>
      </c>
      <c r="AM339" t="s">
        <v>116</v>
      </c>
      <c r="AN339">
        <v>44431</v>
      </c>
      <c r="AO339">
        <v>190386</v>
      </c>
      <c r="AP339">
        <v>24709.21</v>
      </c>
      <c r="AS339">
        <v>24709.21</v>
      </c>
      <c r="AT339">
        <v>-2849.86</v>
      </c>
      <c r="AU339">
        <v>-199.49019999999999</v>
      </c>
      <c r="AV339" t="s">
        <v>709</v>
      </c>
      <c r="AW339" t="s">
        <v>3358</v>
      </c>
      <c r="AX339">
        <v>-199.49019999999999</v>
      </c>
      <c r="AY339">
        <v>44501</v>
      </c>
      <c r="BA339" s="4" t="s">
        <v>3359</v>
      </c>
      <c r="BB339" s="4" t="s">
        <v>3360</v>
      </c>
      <c r="BC339" t="s">
        <v>709</v>
      </c>
      <c r="BD339" t="s">
        <v>709</v>
      </c>
      <c r="BE339" t="s">
        <v>2965</v>
      </c>
      <c r="BF339" t="s">
        <v>2965</v>
      </c>
      <c r="BG339" t="s">
        <v>709</v>
      </c>
      <c r="BI339" t="s">
        <v>709</v>
      </c>
      <c r="BJ339" t="s">
        <v>709</v>
      </c>
      <c r="BK339" t="s">
        <v>116</v>
      </c>
      <c r="BL339" t="s">
        <v>709</v>
      </c>
      <c r="BM339" t="s">
        <v>709</v>
      </c>
      <c r="BN339" t="s">
        <v>709</v>
      </c>
      <c r="BO339" t="s">
        <v>709</v>
      </c>
      <c r="BP339">
        <v>0</v>
      </c>
      <c r="BQ339">
        <v>24</v>
      </c>
      <c r="BR339" t="s">
        <v>709</v>
      </c>
      <c r="BS339" t="s">
        <v>709</v>
      </c>
      <c r="BT339" t="s">
        <v>709</v>
      </c>
      <c r="BU339" t="s">
        <v>709</v>
      </c>
      <c r="BV339" t="s">
        <v>709</v>
      </c>
      <c r="BW339" t="s">
        <v>709</v>
      </c>
      <c r="BX339" t="s">
        <v>709</v>
      </c>
      <c r="BY339" t="s">
        <v>709</v>
      </c>
      <c r="BZ339" t="s">
        <v>709</v>
      </c>
      <c r="CA339" t="s">
        <v>1237</v>
      </c>
      <c r="CB339">
        <v>338</v>
      </c>
      <c r="CC339" t="b">
        <v>1</v>
      </c>
      <c r="CD339" t="s">
        <v>3367</v>
      </c>
      <c r="CE339" s="1482">
        <v>45880.733657407407</v>
      </c>
    </row>
    <row r="340" spans="1:83" ht="409.5" x14ac:dyDescent="0.25">
      <c r="A340">
        <v>2021</v>
      </c>
      <c r="B340" t="s">
        <v>1073</v>
      </c>
      <c r="C340" t="s">
        <v>3356</v>
      </c>
      <c r="D340" t="s">
        <v>3368</v>
      </c>
      <c r="E340" t="s">
        <v>61</v>
      </c>
      <c r="F340" t="s">
        <v>738</v>
      </c>
      <c r="G340" t="s">
        <v>2743</v>
      </c>
      <c r="H340" t="s">
        <v>59</v>
      </c>
      <c r="I340">
        <v>44348</v>
      </c>
      <c r="J340">
        <v>44379</v>
      </c>
      <c r="K340">
        <v>44378</v>
      </c>
      <c r="L340">
        <v>1</v>
      </c>
      <c r="N340" t="s">
        <v>120</v>
      </c>
      <c r="O340">
        <v>44378</v>
      </c>
      <c r="P340" t="s">
        <v>739</v>
      </c>
      <c r="Q340">
        <v>1929.1349</v>
      </c>
      <c r="R340">
        <v>7.0000000000000007E-2</v>
      </c>
      <c r="S340" t="s">
        <v>709</v>
      </c>
      <c r="T340" t="s">
        <v>709</v>
      </c>
      <c r="U340" t="s">
        <v>709</v>
      </c>
      <c r="X340">
        <v>27559.07</v>
      </c>
      <c r="AA340">
        <v>27559.07</v>
      </c>
      <c r="AC340" t="s">
        <v>709</v>
      </c>
      <c r="AM340" t="s">
        <v>116</v>
      </c>
      <c r="AN340">
        <v>44431</v>
      </c>
      <c r="AO340">
        <v>190387</v>
      </c>
      <c r="AP340">
        <v>27435.77</v>
      </c>
      <c r="AS340">
        <v>27435.77</v>
      </c>
      <c r="AT340">
        <v>-123.3</v>
      </c>
      <c r="AU340">
        <v>-8.6310000000000002</v>
      </c>
      <c r="AV340" t="s">
        <v>709</v>
      </c>
      <c r="AW340" t="s">
        <v>3358</v>
      </c>
      <c r="AX340">
        <v>-8.6310000000000002</v>
      </c>
      <c r="AY340">
        <v>44501</v>
      </c>
      <c r="BA340" s="4" t="s">
        <v>3359</v>
      </c>
      <c r="BB340" s="4" t="s">
        <v>3360</v>
      </c>
      <c r="BC340" t="s">
        <v>709</v>
      </c>
      <c r="BD340" t="s">
        <v>709</v>
      </c>
      <c r="BE340" t="s">
        <v>2965</v>
      </c>
      <c r="BF340" t="s">
        <v>2965</v>
      </c>
      <c r="BG340" t="s">
        <v>709</v>
      </c>
      <c r="BI340" t="s">
        <v>709</v>
      </c>
      <c r="BJ340" t="s">
        <v>709</v>
      </c>
      <c r="BK340" t="s">
        <v>116</v>
      </c>
      <c r="BL340" t="s">
        <v>709</v>
      </c>
      <c r="BM340" t="s">
        <v>709</v>
      </c>
      <c r="BN340" t="s">
        <v>709</v>
      </c>
      <c r="BO340" t="s">
        <v>709</v>
      </c>
      <c r="BP340">
        <v>0</v>
      </c>
      <c r="BQ340">
        <v>24</v>
      </c>
      <c r="BR340" t="s">
        <v>709</v>
      </c>
      <c r="BS340" t="s">
        <v>709</v>
      </c>
      <c r="BT340" t="s">
        <v>709</v>
      </c>
      <c r="BU340" t="s">
        <v>709</v>
      </c>
      <c r="BV340" t="s">
        <v>709</v>
      </c>
      <c r="BW340" t="s">
        <v>709</v>
      </c>
      <c r="BX340" t="s">
        <v>709</v>
      </c>
      <c r="BY340" t="s">
        <v>709</v>
      </c>
      <c r="BZ340" t="s">
        <v>709</v>
      </c>
      <c r="CA340" t="s">
        <v>1237</v>
      </c>
      <c r="CB340">
        <v>339</v>
      </c>
      <c r="CC340" t="b">
        <v>1</v>
      </c>
      <c r="CD340" t="s">
        <v>3369</v>
      </c>
      <c r="CE340" s="1482">
        <v>45880.733657407407</v>
      </c>
    </row>
    <row r="341" spans="1:83" x14ac:dyDescent="0.25">
      <c r="A341">
        <v>2021</v>
      </c>
      <c r="B341" t="s">
        <v>4</v>
      </c>
      <c r="C341" t="s">
        <v>1212</v>
      </c>
      <c r="D341" t="s">
        <v>1213</v>
      </c>
      <c r="E341" t="s">
        <v>1214</v>
      </c>
      <c r="F341" t="s">
        <v>919</v>
      </c>
      <c r="G341" t="s">
        <v>2814</v>
      </c>
      <c r="H341" t="s">
        <v>59</v>
      </c>
      <c r="I341">
        <v>44308</v>
      </c>
      <c r="J341">
        <v>44379</v>
      </c>
      <c r="K341">
        <v>44378</v>
      </c>
      <c r="L341">
        <v>1</v>
      </c>
      <c r="N341" t="s">
        <v>120</v>
      </c>
      <c r="O341">
        <v>44378</v>
      </c>
      <c r="P341" t="s">
        <v>739</v>
      </c>
      <c r="Q341">
        <v>47608.161</v>
      </c>
      <c r="R341">
        <v>0.1</v>
      </c>
      <c r="S341" t="s">
        <v>709</v>
      </c>
      <c r="T341" t="s">
        <v>709</v>
      </c>
      <c r="U341" t="s">
        <v>709</v>
      </c>
      <c r="V341">
        <v>1888</v>
      </c>
      <c r="X341">
        <v>446359.68</v>
      </c>
      <c r="Z341">
        <v>29721.93</v>
      </c>
      <c r="AA341">
        <v>476081.61</v>
      </c>
      <c r="AC341" t="s">
        <v>709</v>
      </c>
      <c r="AM341" t="s">
        <v>116</v>
      </c>
      <c r="AN341" t="s">
        <v>709</v>
      </c>
      <c r="AO341" t="s">
        <v>115</v>
      </c>
      <c r="AS341">
        <v>0</v>
      </c>
      <c r="AT341">
        <v>0</v>
      </c>
      <c r="AU341">
        <v>0</v>
      </c>
      <c r="AY341" t="s">
        <v>709</v>
      </c>
      <c r="AZ341">
        <v>60</v>
      </c>
      <c r="BA341" t="s">
        <v>1215</v>
      </c>
      <c r="BB341" t="s">
        <v>1216</v>
      </c>
      <c r="BC341" t="s">
        <v>116</v>
      </c>
      <c r="BD341" t="s">
        <v>709</v>
      </c>
      <c r="BE341" t="s">
        <v>1217</v>
      </c>
      <c r="BF341" t="s">
        <v>709</v>
      </c>
      <c r="BG341" t="s">
        <v>709</v>
      </c>
      <c r="BI341" t="s">
        <v>709</v>
      </c>
      <c r="BJ341" t="s">
        <v>709</v>
      </c>
      <c r="BK341" t="s">
        <v>709</v>
      </c>
      <c r="BL341" t="s">
        <v>116</v>
      </c>
      <c r="BM341" t="s">
        <v>709</v>
      </c>
      <c r="BN341" t="s">
        <v>709</v>
      </c>
      <c r="BO341" t="s">
        <v>709</v>
      </c>
      <c r="BP341" t="s">
        <v>709</v>
      </c>
      <c r="BQ341">
        <v>1762</v>
      </c>
      <c r="BR341" t="s">
        <v>709</v>
      </c>
      <c r="BS341">
        <v>126</v>
      </c>
      <c r="BT341" t="s">
        <v>745</v>
      </c>
      <c r="BU341" t="s">
        <v>709</v>
      </c>
      <c r="BV341" t="s">
        <v>745</v>
      </c>
      <c r="BW341" t="s">
        <v>709</v>
      </c>
      <c r="BX341" t="s">
        <v>745</v>
      </c>
      <c r="BY341" t="s">
        <v>745</v>
      </c>
      <c r="BZ341" t="s">
        <v>709</v>
      </c>
      <c r="CB341">
        <v>341</v>
      </c>
      <c r="CC341" t="b">
        <v>1</v>
      </c>
      <c r="CD341" t="s">
        <v>3370</v>
      </c>
      <c r="CE341" s="1482">
        <v>45880.733668981484</v>
      </c>
    </row>
    <row r="342" spans="1:83" x14ac:dyDescent="0.25">
      <c r="A342">
        <v>2021</v>
      </c>
      <c r="B342" t="s">
        <v>1073</v>
      </c>
      <c r="C342" t="s">
        <v>3371</v>
      </c>
      <c r="D342" t="s">
        <v>3372</v>
      </c>
      <c r="E342" t="s">
        <v>263</v>
      </c>
      <c r="F342" t="s">
        <v>919</v>
      </c>
      <c r="G342" t="s">
        <v>1882</v>
      </c>
      <c r="H342" t="s">
        <v>59</v>
      </c>
      <c r="I342">
        <v>44315</v>
      </c>
      <c r="J342">
        <v>44379</v>
      </c>
      <c r="K342">
        <v>44378</v>
      </c>
      <c r="L342">
        <v>1</v>
      </c>
      <c r="N342" t="s">
        <v>120</v>
      </c>
      <c r="O342">
        <v>44378</v>
      </c>
      <c r="P342" t="s">
        <v>739</v>
      </c>
      <c r="Q342">
        <v>17258.024700000002</v>
      </c>
      <c r="R342">
        <v>7.0000000000000007E-2</v>
      </c>
      <c r="S342" t="s">
        <v>709</v>
      </c>
      <c r="T342" t="s">
        <v>709</v>
      </c>
      <c r="U342" t="s">
        <v>709</v>
      </c>
      <c r="V342">
        <v>1271</v>
      </c>
      <c r="X342">
        <v>246543.21</v>
      </c>
      <c r="Z342">
        <v>0</v>
      </c>
      <c r="AA342">
        <v>246543.21</v>
      </c>
      <c r="AC342" t="s">
        <v>116</v>
      </c>
      <c r="AM342" t="s">
        <v>116</v>
      </c>
      <c r="AN342">
        <v>44476</v>
      </c>
      <c r="AO342">
        <v>190991</v>
      </c>
      <c r="AP342">
        <v>250374.74</v>
      </c>
      <c r="AS342">
        <v>250374.74</v>
      </c>
      <c r="AT342">
        <v>3831.53</v>
      </c>
      <c r="AU342">
        <v>268.20710000000003</v>
      </c>
      <c r="AV342" t="s">
        <v>709</v>
      </c>
      <c r="AW342" t="s">
        <v>3373</v>
      </c>
      <c r="AX342">
        <v>268.20710000000003</v>
      </c>
      <c r="AY342">
        <v>44501</v>
      </c>
      <c r="BA342" t="s">
        <v>3374</v>
      </c>
      <c r="BB342" t="s">
        <v>3375</v>
      </c>
      <c r="BC342" t="s">
        <v>709</v>
      </c>
      <c r="BD342" t="s">
        <v>709</v>
      </c>
      <c r="BE342" t="s">
        <v>709</v>
      </c>
      <c r="BF342" t="s">
        <v>709</v>
      </c>
      <c r="BG342" t="s">
        <v>709</v>
      </c>
      <c r="BI342" t="s">
        <v>709</v>
      </c>
      <c r="BJ342" t="s">
        <v>709</v>
      </c>
      <c r="BK342" t="s">
        <v>116</v>
      </c>
      <c r="BL342" t="s">
        <v>116</v>
      </c>
      <c r="BM342" t="s">
        <v>709</v>
      </c>
      <c r="BN342" t="s">
        <v>709</v>
      </c>
      <c r="BO342" t="s">
        <v>709</v>
      </c>
      <c r="BP342" t="s">
        <v>709</v>
      </c>
      <c r="BQ342" t="s">
        <v>709</v>
      </c>
      <c r="BR342">
        <v>1019</v>
      </c>
      <c r="BS342">
        <v>252</v>
      </c>
      <c r="BT342" t="s">
        <v>745</v>
      </c>
      <c r="BU342">
        <v>1</v>
      </c>
      <c r="BV342" t="s">
        <v>745</v>
      </c>
      <c r="BW342" t="s">
        <v>709</v>
      </c>
      <c r="BX342">
        <v>1</v>
      </c>
      <c r="BY342" t="s">
        <v>2788</v>
      </c>
      <c r="BZ342" t="s">
        <v>709</v>
      </c>
      <c r="CB342">
        <v>335</v>
      </c>
      <c r="CC342" t="b">
        <v>1</v>
      </c>
      <c r="CD342" t="s">
        <v>3376</v>
      </c>
      <c r="CE342" s="1482">
        <v>45880.733680555553</v>
      </c>
    </row>
    <row r="343" spans="1:83" ht="150" x14ac:dyDescent="0.25">
      <c r="A343">
        <v>2021</v>
      </c>
      <c r="B343" t="s">
        <v>4</v>
      </c>
      <c r="C343" t="s">
        <v>3377</v>
      </c>
      <c r="D343" t="s">
        <v>3378</v>
      </c>
      <c r="E343" t="s">
        <v>3379</v>
      </c>
      <c r="F343" t="s">
        <v>919</v>
      </c>
      <c r="G343" t="s">
        <v>36</v>
      </c>
      <c r="H343" t="s">
        <v>59</v>
      </c>
      <c r="I343">
        <v>44327</v>
      </c>
      <c r="J343">
        <v>44390</v>
      </c>
      <c r="K343">
        <v>44378</v>
      </c>
      <c r="L343">
        <v>12</v>
      </c>
      <c r="N343" t="s">
        <v>120</v>
      </c>
      <c r="O343">
        <v>44378</v>
      </c>
      <c r="P343" t="s">
        <v>739</v>
      </c>
      <c r="Q343">
        <v>7565.4290000000001</v>
      </c>
      <c r="R343">
        <v>0.1</v>
      </c>
      <c r="S343" t="s">
        <v>709</v>
      </c>
      <c r="T343" t="s">
        <v>709</v>
      </c>
      <c r="U343" t="s">
        <v>709</v>
      </c>
      <c r="V343">
        <v>460</v>
      </c>
      <c r="X343">
        <v>67633.58</v>
      </c>
      <c r="Z343">
        <v>8020.71</v>
      </c>
      <c r="AA343">
        <v>75654.289999999994</v>
      </c>
      <c r="AC343" t="s">
        <v>709</v>
      </c>
      <c r="AM343" t="s">
        <v>116</v>
      </c>
      <c r="AN343">
        <v>44446</v>
      </c>
      <c r="AO343">
        <v>190808</v>
      </c>
      <c r="AP343">
        <v>59592.79</v>
      </c>
      <c r="AR343">
        <v>7910.54</v>
      </c>
      <c r="AS343">
        <v>67503.33</v>
      </c>
      <c r="AT343">
        <v>-8150.96</v>
      </c>
      <c r="AU343">
        <v>-815.096</v>
      </c>
      <c r="AV343" t="s">
        <v>709</v>
      </c>
      <c r="AW343" t="s">
        <v>3380</v>
      </c>
      <c r="AX343">
        <v>-815.096</v>
      </c>
      <c r="AY343">
        <v>44501</v>
      </c>
      <c r="BA343" t="s">
        <v>3381</v>
      </c>
      <c r="BB343" s="4" t="s">
        <v>3382</v>
      </c>
      <c r="BC343" t="s">
        <v>709</v>
      </c>
      <c r="BD343" t="s">
        <v>709</v>
      </c>
      <c r="BE343" t="s">
        <v>3383</v>
      </c>
      <c r="BF343" t="s">
        <v>709</v>
      </c>
      <c r="BG343" t="s">
        <v>709</v>
      </c>
      <c r="BI343" t="s">
        <v>709</v>
      </c>
      <c r="BJ343" t="s">
        <v>709</v>
      </c>
      <c r="BK343" t="s">
        <v>709</v>
      </c>
      <c r="BL343" t="s">
        <v>116</v>
      </c>
      <c r="BM343" t="s">
        <v>709</v>
      </c>
      <c r="BN343" t="s">
        <v>709</v>
      </c>
      <c r="BO343" t="s">
        <v>709</v>
      </c>
      <c r="BP343" t="s">
        <v>709</v>
      </c>
      <c r="BQ343" t="s">
        <v>709</v>
      </c>
      <c r="BR343" t="s">
        <v>709</v>
      </c>
      <c r="BS343">
        <v>460</v>
      </c>
      <c r="BT343" t="s">
        <v>745</v>
      </c>
      <c r="BU343" t="s">
        <v>709</v>
      </c>
      <c r="BV343" t="s">
        <v>745</v>
      </c>
      <c r="BW343" t="s">
        <v>709</v>
      </c>
      <c r="BX343" t="s">
        <v>745</v>
      </c>
      <c r="BY343" t="s">
        <v>745</v>
      </c>
      <c r="BZ343" t="s">
        <v>709</v>
      </c>
      <c r="CB343">
        <v>340</v>
      </c>
      <c r="CC343" t="b">
        <v>1</v>
      </c>
      <c r="CD343" t="s">
        <v>3384</v>
      </c>
      <c r="CE343" s="1482">
        <v>45880.73369212963</v>
      </c>
    </row>
    <row r="344" spans="1:83" ht="165" x14ac:dyDescent="0.25">
      <c r="A344">
        <v>2021</v>
      </c>
      <c r="B344" t="s">
        <v>1073</v>
      </c>
      <c r="C344" t="s">
        <v>3385</v>
      </c>
      <c r="D344" t="s">
        <v>3386</v>
      </c>
      <c r="E344" t="s">
        <v>327</v>
      </c>
      <c r="F344" t="s">
        <v>738</v>
      </c>
      <c r="G344" t="s">
        <v>39</v>
      </c>
      <c r="H344" t="s">
        <v>59</v>
      </c>
      <c r="I344">
        <v>44337</v>
      </c>
      <c r="J344">
        <v>44398</v>
      </c>
      <c r="K344">
        <v>44383</v>
      </c>
      <c r="L344">
        <v>15</v>
      </c>
      <c r="N344" t="s">
        <v>120</v>
      </c>
      <c r="O344">
        <v>44383</v>
      </c>
      <c r="P344" t="s">
        <v>739</v>
      </c>
      <c r="Q344">
        <v>9531.2790999999997</v>
      </c>
      <c r="R344">
        <v>7.0000000000000007E-2</v>
      </c>
      <c r="S344" t="s">
        <v>709</v>
      </c>
      <c r="T344" t="s">
        <v>709</v>
      </c>
      <c r="U344" t="s">
        <v>709</v>
      </c>
      <c r="V344">
        <v>500</v>
      </c>
      <c r="X344">
        <v>121219.28</v>
      </c>
      <c r="Z344">
        <v>14941.85</v>
      </c>
      <c r="AA344">
        <v>136161.13</v>
      </c>
      <c r="AC344" t="s">
        <v>709</v>
      </c>
      <c r="AE344" t="s">
        <v>29</v>
      </c>
      <c r="AF344" t="s">
        <v>29</v>
      </c>
      <c r="AG344" t="s">
        <v>29</v>
      </c>
      <c r="AH344" t="s">
        <v>29</v>
      </c>
      <c r="AM344" t="s">
        <v>116</v>
      </c>
      <c r="AN344">
        <v>44404</v>
      </c>
      <c r="AO344">
        <v>190151</v>
      </c>
      <c r="AP344">
        <v>121219.28</v>
      </c>
      <c r="AR344">
        <v>14941.85</v>
      </c>
      <c r="AS344">
        <v>136161.13</v>
      </c>
      <c r="AT344">
        <v>0</v>
      </c>
      <c r="AU344">
        <v>0</v>
      </c>
      <c r="AV344" t="s">
        <v>709</v>
      </c>
      <c r="AY344" t="s">
        <v>1935</v>
      </c>
      <c r="BA344" s="4" t="s">
        <v>3387</v>
      </c>
      <c r="BB344" t="s">
        <v>3388</v>
      </c>
      <c r="BC344" t="s">
        <v>709</v>
      </c>
      <c r="BD344" t="s">
        <v>709</v>
      </c>
      <c r="BE344" t="s">
        <v>448</v>
      </c>
      <c r="BF344" t="s">
        <v>709</v>
      </c>
      <c r="BG344" t="s">
        <v>709</v>
      </c>
      <c r="BI344" t="s">
        <v>709</v>
      </c>
      <c r="BJ344" t="s">
        <v>709</v>
      </c>
      <c r="BK344" t="s">
        <v>116</v>
      </c>
      <c r="BL344" t="s">
        <v>116</v>
      </c>
      <c r="BM344" t="s">
        <v>709</v>
      </c>
      <c r="BN344" t="s">
        <v>709</v>
      </c>
      <c r="BO344" t="s">
        <v>709</v>
      </c>
      <c r="BP344" t="s">
        <v>709</v>
      </c>
      <c r="BQ344" t="s">
        <v>709</v>
      </c>
      <c r="BR344">
        <v>403</v>
      </c>
      <c r="BS344" t="s">
        <v>709</v>
      </c>
      <c r="BT344" t="s">
        <v>745</v>
      </c>
      <c r="BU344" t="s">
        <v>709</v>
      </c>
      <c r="BV344" t="s">
        <v>745</v>
      </c>
      <c r="BW344" t="s">
        <v>709</v>
      </c>
      <c r="BX344" t="s">
        <v>745</v>
      </c>
      <c r="BY344" t="s">
        <v>1602</v>
      </c>
      <c r="BZ344" t="s">
        <v>709</v>
      </c>
      <c r="CB344">
        <v>342</v>
      </c>
      <c r="CC344" t="b">
        <v>1</v>
      </c>
      <c r="CD344" t="s">
        <v>3389</v>
      </c>
      <c r="CE344" s="1482">
        <v>45880.733703703707</v>
      </c>
    </row>
    <row r="345" spans="1:83" x14ac:dyDescent="0.25">
      <c r="A345">
        <v>2021</v>
      </c>
      <c r="B345" t="s">
        <v>1073</v>
      </c>
      <c r="C345" t="s">
        <v>3385</v>
      </c>
      <c r="D345" t="s">
        <v>3390</v>
      </c>
      <c r="E345" t="s">
        <v>327</v>
      </c>
      <c r="F345" t="s">
        <v>738</v>
      </c>
      <c r="G345" t="s">
        <v>39</v>
      </c>
      <c r="H345" t="s">
        <v>59</v>
      </c>
      <c r="I345">
        <v>44337</v>
      </c>
      <c r="J345">
        <v>44398</v>
      </c>
      <c r="K345">
        <v>44383</v>
      </c>
      <c r="L345">
        <v>15</v>
      </c>
      <c r="N345" t="s">
        <v>120</v>
      </c>
      <c r="O345">
        <v>44383</v>
      </c>
      <c r="P345" t="s">
        <v>739</v>
      </c>
      <c r="Q345">
        <v>4962.3406000000004</v>
      </c>
      <c r="R345">
        <v>7.0000000000000007E-2</v>
      </c>
      <c r="S345" t="s">
        <v>709</v>
      </c>
      <c r="T345" t="s">
        <v>709</v>
      </c>
      <c r="U345" t="s">
        <v>709</v>
      </c>
      <c r="V345">
        <v>500</v>
      </c>
      <c r="X345">
        <v>53836.18</v>
      </c>
      <c r="Z345">
        <v>17054.400000000001</v>
      </c>
      <c r="AA345">
        <v>70890.58</v>
      </c>
      <c r="AC345" t="s">
        <v>116</v>
      </c>
      <c r="AE345" t="s">
        <v>29</v>
      </c>
      <c r="AF345" t="s">
        <v>29</v>
      </c>
      <c r="AG345" t="s">
        <v>29</v>
      </c>
      <c r="AH345" t="s">
        <v>29</v>
      </c>
      <c r="AM345" t="s">
        <v>116</v>
      </c>
      <c r="AN345">
        <v>44404</v>
      </c>
      <c r="AO345">
        <v>190146</v>
      </c>
      <c r="AP345">
        <v>53836.18</v>
      </c>
      <c r="AR345">
        <v>17054.400000000001</v>
      </c>
      <c r="AS345">
        <v>70890.58</v>
      </c>
      <c r="AT345">
        <v>0</v>
      </c>
      <c r="AU345">
        <v>0</v>
      </c>
      <c r="AV345" t="s">
        <v>709</v>
      </c>
      <c r="AY345" t="s">
        <v>1935</v>
      </c>
      <c r="BA345" t="s">
        <v>3387</v>
      </c>
      <c r="BB345" t="s">
        <v>3388</v>
      </c>
      <c r="BC345" t="s">
        <v>709</v>
      </c>
      <c r="BD345" t="s">
        <v>709</v>
      </c>
      <c r="BE345" t="s">
        <v>448</v>
      </c>
      <c r="BF345" t="s">
        <v>709</v>
      </c>
      <c r="BG345" t="s">
        <v>709</v>
      </c>
      <c r="BI345" t="s">
        <v>709</v>
      </c>
      <c r="BJ345" t="s">
        <v>709</v>
      </c>
      <c r="BK345" t="s">
        <v>116</v>
      </c>
      <c r="BL345" t="s">
        <v>116</v>
      </c>
      <c r="BM345" t="s">
        <v>709</v>
      </c>
      <c r="BN345" t="s">
        <v>709</v>
      </c>
      <c r="BO345" t="s">
        <v>709</v>
      </c>
      <c r="BP345" t="s">
        <v>709</v>
      </c>
      <c r="BQ345" t="s">
        <v>709</v>
      </c>
      <c r="BR345">
        <v>403</v>
      </c>
      <c r="BS345" t="s">
        <v>709</v>
      </c>
      <c r="BT345" t="s">
        <v>745</v>
      </c>
      <c r="BU345" t="s">
        <v>709</v>
      </c>
      <c r="BV345" t="s">
        <v>745</v>
      </c>
      <c r="BW345" t="s">
        <v>709</v>
      </c>
      <c r="BX345" t="s">
        <v>745</v>
      </c>
      <c r="BY345" t="s">
        <v>1602</v>
      </c>
      <c r="BZ345" t="s">
        <v>709</v>
      </c>
      <c r="CB345">
        <v>343</v>
      </c>
      <c r="CC345" t="b">
        <v>1</v>
      </c>
      <c r="CD345" t="s">
        <v>3391</v>
      </c>
      <c r="CE345" s="1482">
        <v>45880.733715277776</v>
      </c>
    </row>
    <row r="346" spans="1:83" x14ac:dyDescent="0.25">
      <c r="A346">
        <v>2021</v>
      </c>
      <c r="B346" t="s">
        <v>4</v>
      </c>
      <c r="C346" t="s">
        <v>1218</v>
      </c>
      <c r="D346" t="s">
        <v>1219</v>
      </c>
      <c r="E346" t="s">
        <v>1129</v>
      </c>
      <c r="F346" t="s">
        <v>738</v>
      </c>
      <c r="G346" t="s">
        <v>39</v>
      </c>
      <c r="H346" t="s">
        <v>59</v>
      </c>
      <c r="I346">
        <v>44355</v>
      </c>
      <c r="J346">
        <v>44386</v>
      </c>
      <c r="K346">
        <v>44384</v>
      </c>
      <c r="L346">
        <v>2</v>
      </c>
      <c r="N346" t="s">
        <v>120</v>
      </c>
      <c r="O346">
        <v>44384</v>
      </c>
      <c r="P346" t="s">
        <v>739</v>
      </c>
      <c r="Q346">
        <v>7728.6</v>
      </c>
      <c r="R346">
        <v>0.1</v>
      </c>
      <c r="S346" t="s">
        <v>709</v>
      </c>
      <c r="T346" t="s">
        <v>709</v>
      </c>
      <c r="U346" t="s">
        <v>709</v>
      </c>
      <c r="X346">
        <v>55579.41</v>
      </c>
      <c r="Z346">
        <v>21706.59</v>
      </c>
      <c r="AA346">
        <v>77286</v>
      </c>
      <c r="AC346" t="s">
        <v>709</v>
      </c>
      <c r="AM346" t="s">
        <v>116</v>
      </c>
      <c r="AN346" t="s">
        <v>709</v>
      </c>
      <c r="AO346" t="s">
        <v>115</v>
      </c>
      <c r="AS346">
        <v>0</v>
      </c>
      <c r="AT346">
        <v>0</v>
      </c>
      <c r="AU346">
        <v>0</v>
      </c>
      <c r="AY346" t="s">
        <v>709</v>
      </c>
      <c r="AZ346">
        <v>61</v>
      </c>
      <c r="BA346" t="s">
        <v>1220</v>
      </c>
      <c r="BB346" t="s">
        <v>1221</v>
      </c>
      <c r="BC346" t="s">
        <v>709</v>
      </c>
      <c r="BD346" t="s">
        <v>1066</v>
      </c>
      <c r="BE346" t="s">
        <v>709</v>
      </c>
      <c r="BF346" t="s">
        <v>709</v>
      </c>
      <c r="BG346" t="s">
        <v>709</v>
      </c>
      <c r="BI346" t="s">
        <v>709</v>
      </c>
      <c r="BJ346" t="s">
        <v>709</v>
      </c>
      <c r="BK346" t="s">
        <v>709</v>
      </c>
      <c r="BL346" t="s">
        <v>116</v>
      </c>
      <c r="BM346" t="s">
        <v>709</v>
      </c>
      <c r="BN346" t="s">
        <v>709</v>
      </c>
      <c r="BO346" t="s">
        <v>709</v>
      </c>
      <c r="BP346" t="s">
        <v>709</v>
      </c>
      <c r="BQ346" t="s">
        <v>709</v>
      </c>
      <c r="BR346" t="s">
        <v>709</v>
      </c>
      <c r="BS346">
        <v>55</v>
      </c>
      <c r="BT346" t="s">
        <v>745</v>
      </c>
      <c r="BU346" t="s">
        <v>709</v>
      </c>
      <c r="BV346" t="s">
        <v>745</v>
      </c>
      <c r="BW346" t="s">
        <v>709</v>
      </c>
      <c r="BX346" t="s">
        <v>745</v>
      </c>
      <c r="BY346" t="s">
        <v>745</v>
      </c>
      <c r="BZ346" t="s">
        <v>709</v>
      </c>
      <c r="CB346">
        <v>344</v>
      </c>
      <c r="CC346" t="b">
        <v>1</v>
      </c>
      <c r="CD346" t="s">
        <v>3392</v>
      </c>
      <c r="CE346" s="1482">
        <v>45880.733715277776</v>
      </c>
    </row>
    <row r="347" spans="1:83" ht="285" x14ac:dyDescent="0.25">
      <c r="A347">
        <v>2021</v>
      </c>
      <c r="B347" t="s">
        <v>4</v>
      </c>
      <c r="C347" t="s">
        <v>3121</v>
      </c>
      <c r="D347" t="s">
        <v>3122</v>
      </c>
      <c r="E347" t="s">
        <v>818</v>
      </c>
      <c r="F347" t="s">
        <v>919</v>
      </c>
      <c r="G347" t="s">
        <v>2743</v>
      </c>
      <c r="H347" t="s">
        <v>2396</v>
      </c>
      <c r="I347">
        <v>44172</v>
      </c>
      <c r="J347" t="s">
        <v>2397</v>
      </c>
      <c r="K347">
        <v>44384</v>
      </c>
      <c r="L347">
        <v>212</v>
      </c>
      <c r="N347" t="s">
        <v>120</v>
      </c>
      <c r="O347">
        <v>44384</v>
      </c>
      <c r="P347" t="s">
        <v>739</v>
      </c>
      <c r="Q347">
        <v>3125</v>
      </c>
      <c r="R347" t="s">
        <v>1922</v>
      </c>
      <c r="S347" t="s">
        <v>709</v>
      </c>
      <c r="T347" t="s">
        <v>709</v>
      </c>
      <c r="U347">
        <v>3125</v>
      </c>
      <c r="V347">
        <v>4590</v>
      </c>
      <c r="AM347" t="s">
        <v>709</v>
      </c>
      <c r="AY347" t="s">
        <v>29</v>
      </c>
      <c r="BA347" s="4" t="s">
        <v>3123</v>
      </c>
      <c r="BB347" t="s">
        <v>1156</v>
      </c>
      <c r="BC347" t="s">
        <v>709</v>
      </c>
      <c r="BD347" t="s">
        <v>709</v>
      </c>
      <c r="BE347" t="s">
        <v>822</v>
      </c>
      <c r="BF347" t="s">
        <v>3124</v>
      </c>
      <c r="BG347" t="s">
        <v>709</v>
      </c>
      <c r="BI347" t="s">
        <v>709</v>
      </c>
      <c r="BJ347" t="s">
        <v>709</v>
      </c>
      <c r="BK347" t="s">
        <v>709</v>
      </c>
      <c r="BL347" t="s">
        <v>116</v>
      </c>
      <c r="BM347" t="s">
        <v>709</v>
      </c>
      <c r="BN347" t="s">
        <v>709</v>
      </c>
      <c r="BO347" t="s">
        <v>709</v>
      </c>
      <c r="BP347" t="s">
        <v>709</v>
      </c>
      <c r="BQ347" t="s">
        <v>709</v>
      </c>
      <c r="BR347">
        <v>1777</v>
      </c>
      <c r="BS347">
        <v>2813</v>
      </c>
      <c r="BT347" t="s">
        <v>745</v>
      </c>
      <c r="BU347" t="s">
        <v>709</v>
      </c>
      <c r="BV347">
        <v>1</v>
      </c>
      <c r="BW347" t="s">
        <v>709</v>
      </c>
      <c r="BX347" t="s">
        <v>745</v>
      </c>
      <c r="BY347" t="s">
        <v>745</v>
      </c>
      <c r="BZ347" t="s">
        <v>709</v>
      </c>
      <c r="CB347">
        <v>346</v>
      </c>
      <c r="CC347" t="b">
        <v>1</v>
      </c>
      <c r="CD347" t="s">
        <v>3393</v>
      </c>
      <c r="CE347" s="1482">
        <v>45880.733726851853</v>
      </c>
    </row>
    <row r="348" spans="1:83" x14ac:dyDescent="0.25">
      <c r="A348">
        <v>2021</v>
      </c>
      <c r="B348" t="s">
        <v>771</v>
      </c>
      <c r="C348" t="s">
        <v>3190</v>
      </c>
      <c r="D348" t="s">
        <v>3191</v>
      </c>
      <c r="E348" t="s">
        <v>3192</v>
      </c>
      <c r="F348" t="s">
        <v>919</v>
      </c>
      <c r="G348" t="s">
        <v>36</v>
      </c>
      <c r="H348" t="s">
        <v>2051</v>
      </c>
      <c r="I348">
        <v>44232</v>
      </c>
      <c r="J348" t="s">
        <v>2052</v>
      </c>
      <c r="K348">
        <v>44384</v>
      </c>
      <c r="L348">
        <v>152</v>
      </c>
      <c r="M348" t="s">
        <v>3394</v>
      </c>
      <c r="N348" t="s">
        <v>120</v>
      </c>
      <c r="O348">
        <v>44384</v>
      </c>
      <c r="P348" t="s">
        <v>120</v>
      </c>
      <c r="Q348">
        <v>5995</v>
      </c>
      <c r="R348" t="s">
        <v>1922</v>
      </c>
      <c r="S348" t="s">
        <v>709</v>
      </c>
      <c r="T348" t="s">
        <v>709</v>
      </c>
      <c r="U348">
        <v>5995</v>
      </c>
      <c r="V348">
        <v>26489</v>
      </c>
      <c r="AM348" t="s">
        <v>709</v>
      </c>
      <c r="AY348" t="s">
        <v>29</v>
      </c>
      <c r="BA348">
        <v>1</v>
      </c>
      <c r="BI348" t="s">
        <v>709</v>
      </c>
      <c r="BJ348" t="s">
        <v>709</v>
      </c>
      <c r="BK348" t="s">
        <v>709</v>
      </c>
      <c r="BL348" t="s">
        <v>116</v>
      </c>
      <c r="BM348" t="s">
        <v>709</v>
      </c>
      <c r="BN348" t="s">
        <v>709</v>
      </c>
      <c r="BO348" t="s">
        <v>709</v>
      </c>
      <c r="BP348" t="s">
        <v>709</v>
      </c>
      <c r="BQ348" t="s">
        <v>709</v>
      </c>
      <c r="BR348">
        <v>3591</v>
      </c>
      <c r="BS348">
        <v>21404</v>
      </c>
      <c r="BT348" t="s">
        <v>709</v>
      </c>
      <c r="BU348" t="s">
        <v>709</v>
      </c>
      <c r="BV348" t="s">
        <v>709</v>
      </c>
      <c r="BW348" t="s">
        <v>709</v>
      </c>
      <c r="BX348" t="s">
        <v>709</v>
      </c>
      <c r="BY348" t="s">
        <v>709</v>
      </c>
      <c r="BZ348" t="s">
        <v>709</v>
      </c>
      <c r="CB348">
        <v>345</v>
      </c>
      <c r="CC348" t="b">
        <v>1</v>
      </c>
      <c r="CD348" t="s">
        <v>3395</v>
      </c>
      <c r="CE348" s="1482">
        <v>45880.733738425923</v>
      </c>
    </row>
    <row r="349" spans="1:83" ht="255" x14ac:dyDescent="0.25">
      <c r="A349">
        <v>2021</v>
      </c>
      <c r="B349" t="s">
        <v>4</v>
      </c>
      <c r="C349" t="s">
        <v>3396</v>
      </c>
      <c r="D349" t="s">
        <v>115</v>
      </c>
      <c r="E349" t="s">
        <v>232</v>
      </c>
      <c r="F349" t="s">
        <v>919</v>
      </c>
      <c r="G349" t="s">
        <v>39</v>
      </c>
      <c r="H349" t="s">
        <v>1681</v>
      </c>
      <c r="I349">
        <v>44327</v>
      </c>
      <c r="J349">
        <v>44386</v>
      </c>
      <c r="K349">
        <v>44385</v>
      </c>
      <c r="L349">
        <v>1</v>
      </c>
      <c r="N349" t="s">
        <v>120</v>
      </c>
      <c r="O349">
        <v>44385</v>
      </c>
      <c r="P349" t="s">
        <v>739</v>
      </c>
      <c r="Q349" t="s">
        <v>115</v>
      </c>
      <c r="R349" t="s">
        <v>115</v>
      </c>
      <c r="S349" t="s">
        <v>709</v>
      </c>
      <c r="T349" t="s">
        <v>709</v>
      </c>
      <c r="U349" t="s">
        <v>709</v>
      </c>
      <c r="AM349" t="s">
        <v>709</v>
      </c>
      <c r="AY349" t="s">
        <v>29</v>
      </c>
      <c r="BA349" s="4" t="s">
        <v>3397</v>
      </c>
      <c r="BB349" t="s">
        <v>3398</v>
      </c>
      <c r="CB349">
        <v>347</v>
      </c>
      <c r="CC349" t="b">
        <v>1</v>
      </c>
      <c r="CD349" t="s">
        <v>3399</v>
      </c>
      <c r="CE349" s="1482">
        <v>45880.733749999999</v>
      </c>
    </row>
    <row r="350" spans="1:83" ht="150" x14ac:dyDescent="0.25">
      <c r="A350">
        <v>2022</v>
      </c>
      <c r="B350" t="s">
        <v>730</v>
      </c>
      <c r="C350" t="s">
        <v>3400</v>
      </c>
      <c r="D350" t="s">
        <v>3401</v>
      </c>
      <c r="E350" t="s">
        <v>3402</v>
      </c>
      <c r="F350" t="s">
        <v>747</v>
      </c>
      <c r="G350" t="s">
        <v>347</v>
      </c>
      <c r="H350" t="s">
        <v>59</v>
      </c>
      <c r="I350">
        <v>44263</v>
      </c>
      <c r="J350">
        <v>44391</v>
      </c>
      <c r="K350">
        <v>44391</v>
      </c>
      <c r="L350">
        <v>0</v>
      </c>
      <c r="N350" t="s">
        <v>120</v>
      </c>
      <c r="O350">
        <v>44391</v>
      </c>
      <c r="P350" t="s">
        <v>120</v>
      </c>
      <c r="Q350">
        <v>14908.795700000001</v>
      </c>
      <c r="R350" t="s">
        <v>794</v>
      </c>
      <c r="S350" t="s">
        <v>709</v>
      </c>
      <c r="T350" t="s">
        <v>709</v>
      </c>
      <c r="U350" t="s">
        <v>709</v>
      </c>
      <c r="V350">
        <v>74</v>
      </c>
      <c r="X350">
        <v>76160.7</v>
      </c>
      <c r="Z350">
        <v>37472.19</v>
      </c>
      <c r="AA350">
        <v>113632.89</v>
      </c>
      <c r="AC350" t="s">
        <v>1177</v>
      </c>
      <c r="AM350" t="s">
        <v>116</v>
      </c>
      <c r="AN350">
        <v>44853</v>
      </c>
      <c r="AO350">
        <v>11033308</v>
      </c>
      <c r="AP350">
        <v>102078.08</v>
      </c>
      <c r="AR350">
        <v>37474.239999999998</v>
      </c>
      <c r="AS350">
        <v>139552.32000000001</v>
      </c>
      <c r="AT350">
        <v>25919.43</v>
      </c>
      <c r="AU350">
        <v>2203.1516000000001</v>
      </c>
      <c r="AV350" t="s">
        <v>709</v>
      </c>
      <c r="AW350" t="s">
        <v>3403</v>
      </c>
      <c r="AX350">
        <v>2203.1516000000001</v>
      </c>
      <c r="AY350">
        <v>45008</v>
      </c>
      <c r="BA350" t="s">
        <v>3404</v>
      </c>
      <c r="BB350" s="4" t="s">
        <v>797</v>
      </c>
      <c r="BC350" t="s">
        <v>709</v>
      </c>
      <c r="BD350" t="s">
        <v>3405</v>
      </c>
      <c r="BE350" t="s">
        <v>3406</v>
      </c>
      <c r="BF350" t="s">
        <v>709</v>
      </c>
      <c r="BG350" t="s">
        <v>1211</v>
      </c>
      <c r="BI350" t="s">
        <v>709</v>
      </c>
      <c r="BJ350" t="s">
        <v>116</v>
      </c>
      <c r="BK350" t="s">
        <v>709</v>
      </c>
      <c r="BL350" t="s">
        <v>116</v>
      </c>
      <c r="BM350" t="s">
        <v>709</v>
      </c>
      <c r="BN350" t="s">
        <v>709</v>
      </c>
      <c r="BO350" t="s">
        <v>709</v>
      </c>
      <c r="BP350" t="s">
        <v>709</v>
      </c>
      <c r="BQ350" t="s">
        <v>709</v>
      </c>
      <c r="BR350" t="s">
        <v>709</v>
      </c>
      <c r="BS350">
        <v>74</v>
      </c>
      <c r="BT350" t="s">
        <v>709</v>
      </c>
      <c r="BU350">
        <v>1</v>
      </c>
      <c r="BV350" t="s">
        <v>709</v>
      </c>
      <c r="BW350" t="s">
        <v>709</v>
      </c>
      <c r="BX350">
        <v>1</v>
      </c>
      <c r="BY350" t="s">
        <v>709</v>
      </c>
      <c r="BZ350" t="s">
        <v>709</v>
      </c>
      <c r="CA350" t="s">
        <v>730</v>
      </c>
      <c r="CB350">
        <v>348</v>
      </c>
      <c r="CC350" t="b">
        <v>1</v>
      </c>
      <c r="CD350" t="s">
        <v>3407</v>
      </c>
      <c r="CE350" s="1482">
        <v>45880.733761574076</v>
      </c>
    </row>
    <row r="351" spans="1:83" x14ac:dyDescent="0.25">
      <c r="A351">
        <v>2022</v>
      </c>
      <c r="B351" t="s">
        <v>4</v>
      </c>
      <c r="C351" t="s">
        <v>973</v>
      </c>
      <c r="D351" t="s">
        <v>2774</v>
      </c>
      <c r="E351" t="s">
        <v>975</v>
      </c>
      <c r="F351" t="s">
        <v>919</v>
      </c>
      <c r="G351" t="s">
        <v>2743</v>
      </c>
      <c r="H351" t="s">
        <v>2127</v>
      </c>
      <c r="I351">
        <v>43592</v>
      </c>
      <c r="J351">
        <v>44469</v>
      </c>
      <c r="K351">
        <v>44391</v>
      </c>
      <c r="L351">
        <v>78</v>
      </c>
      <c r="N351" t="s">
        <v>120</v>
      </c>
      <c r="O351">
        <v>44391</v>
      </c>
      <c r="P351" t="s">
        <v>739</v>
      </c>
      <c r="Q351" t="s">
        <v>115</v>
      </c>
      <c r="R351" t="s">
        <v>115</v>
      </c>
      <c r="S351" t="s">
        <v>709</v>
      </c>
      <c r="T351" t="s">
        <v>709</v>
      </c>
      <c r="U351" t="s">
        <v>709</v>
      </c>
      <c r="AM351" t="s">
        <v>709</v>
      </c>
      <c r="AY351" t="s">
        <v>29</v>
      </c>
      <c r="BA351" t="s">
        <v>3408</v>
      </c>
      <c r="BB351" t="s">
        <v>3409</v>
      </c>
      <c r="BI351" t="s">
        <v>709</v>
      </c>
      <c r="BJ351" t="s">
        <v>709</v>
      </c>
      <c r="BK351" t="s">
        <v>709</v>
      </c>
      <c r="BL351" t="s">
        <v>116</v>
      </c>
      <c r="BM351" t="s">
        <v>709</v>
      </c>
      <c r="BN351" t="s">
        <v>709</v>
      </c>
      <c r="BO351" t="s">
        <v>709</v>
      </c>
      <c r="BP351" t="s">
        <v>709</v>
      </c>
      <c r="BQ351" t="s">
        <v>709</v>
      </c>
      <c r="BR351" t="s">
        <v>709</v>
      </c>
      <c r="BS351">
        <v>240</v>
      </c>
      <c r="BT351" t="s">
        <v>709</v>
      </c>
      <c r="BU351" t="s">
        <v>709</v>
      </c>
      <c r="BV351" t="s">
        <v>709</v>
      </c>
      <c r="BW351" t="s">
        <v>709</v>
      </c>
      <c r="BX351" t="s">
        <v>709</v>
      </c>
      <c r="BY351" t="s">
        <v>709</v>
      </c>
      <c r="BZ351" t="s">
        <v>709</v>
      </c>
      <c r="CB351">
        <v>349</v>
      </c>
      <c r="CC351" t="b">
        <v>1</v>
      </c>
      <c r="CD351" t="s">
        <v>3410</v>
      </c>
      <c r="CE351" s="1482">
        <v>45880.733761574076</v>
      </c>
    </row>
    <row r="352" spans="1:83" ht="225" x14ac:dyDescent="0.25">
      <c r="A352">
        <v>2022</v>
      </c>
      <c r="B352" t="s">
        <v>730</v>
      </c>
      <c r="C352" t="s">
        <v>3411</v>
      </c>
      <c r="D352" t="s">
        <v>3412</v>
      </c>
      <c r="E352" t="s">
        <v>2013</v>
      </c>
      <c r="F352" t="s">
        <v>747</v>
      </c>
      <c r="G352" t="s">
        <v>347</v>
      </c>
      <c r="H352" t="s">
        <v>59</v>
      </c>
      <c r="I352">
        <v>44263</v>
      </c>
      <c r="J352">
        <v>44392</v>
      </c>
      <c r="K352">
        <v>44392</v>
      </c>
      <c r="L352">
        <v>0</v>
      </c>
      <c r="N352" t="s">
        <v>120</v>
      </c>
      <c r="O352">
        <v>44392</v>
      </c>
      <c r="P352" t="s">
        <v>120</v>
      </c>
      <c r="Q352">
        <v>19156.5635</v>
      </c>
      <c r="R352" t="s">
        <v>794</v>
      </c>
      <c r="S352" t="s">
        <v>709</v>
      </c>
      <c r="T352" t="s">
        <v>709</v>
      </c>
      <c r="U352" t="s">
        <v>709</v>
      </c>
      <c r="V352">
        <v>104</v>
      </c>
      <c r="X352">
        <v>122061.18</v>
      </c>
      <c r="Z352">
        <v>41545.449999999997</v>
      </c>
      <c r="AA352">
        <v>163606.63</v>
      </c>
      <c r="AC352" t="s">
        <v>1177</v>
      </c>
      <c r="AM352" t="s">
        <v>116</v>
      </c>
      <c r="AN352">
        <v>44741</v>
      </c>
      <c r="AO352">
        <v>11033915</v>
      </c>
      <c r="AP352">
        <v>127902.3</v>
      </c>
      <c r="AR352">
        <v>41547.21</v>
      </c>
      <c r="AS352">
        <v>169449.51</v>
      </c>
      <c r="AT352">
        <v>5842.88</v>
      </c>
      <c r="AU352">
        <v>496.64479999999998</v>
      </c>
      <c r="AV352" t="s">
        <v>709</v>
      </c>
      <c r="AX352">
        <v>496.64479999999998</v>
      </c>
      <c r="AY352">
        <v>45008</v>
      </c>
      <c r="BA352" s="4" t="s">
        <v>3413</v>
      </c>
      <c r="BB352" s="4" t="s">
        <v>797</v>
      </c>
      <c r="BC352" t="s">
        <v>709</v>
      </c>
      <c r="BD352" t="s">
        <v>709</v>
      </c>
      <c r="BE352" t="s">
        <v>709</v>
      </c>
      <c r="BF352" t="s">
        <v>3414</v>
      </c>
      <c r="BG352" t="s">
        <v>799</v>
      </c>
      <c r="BI352" t="s">
        <v>709</v>
      </c>
      <c r="BJ352" t="s">
        <v>709</v>
      </c>
      <c r="BK352" t="s">
        <v>116</v>
      </c>
      <c r="BL352" t="s">
        <v>116</v>
      </c>
      <c r="BM352" t="s">
        <v>709</v>
      </c>
      <c r="BN352" t="s">
        <v>709</v>
      </c>
      <c r="BO352" t="s">
        <v>709</v>
      </c>
      <c r="BP352" t="s">
        <v>709</v>
      </c>
      <c r="BQ352" t="s">
        <v>709</v>
      </c>
      <c r="BR352" t="s">
        <v>709</v>
      </c>
      <c r="BS352">
        <v>80</v>
      </c>
      <c r="BT352" t="s">
        <v>709</v>
      </c>
      <c r="BU352">
        <v>1</v>
      </c>
      <c r="BV352" t="s">
        <v>709</v>
      </c>
      <c r="BW352" t="s">
        <v>709</v>
      </c>
      <c r="BX352">
        <v>1</v>
      </c>
      <c r="BY352" t="s">
        <v>709</v>
      </c>
      <c r="BZ352" t="s">
        <v>709</v>
      </c>
      <c r="CA352" t="s">
        <v>730</v>
      </c>
      <c r="CB352">
        <v>351</v>
      </c>
      <c r="CC352" t="b">
        <v>1</v>
      </c>
      <c r="CD352" t="s">
        <v>3415</v>
      </c>
      <c r="CE352" s="1482">
        <v>45880.733773148146</v>
      </c>
    </row>
    <row r="353" spans="1:83" ht="150" x14ac:dyDescent="0.25">
      <c r="A353">
        <v>2022</v>
      </c>
      <c r="B353" t="s">
        <v>730</v>
      </c>
      <c r="C353" t="s">
        <v>791</v>
      </c>
      <c r="D353" t="s">
        <v>792</v>
      </c>
      <c r="E353" t="s">
        <v>793</v>
      </c>
      <c r="F353" t="s">
        <v>747</v>
      </c>
      <c r="G353" t="s">
        <v>347</v>
      </c>
      <c r="H353" t="s">
        <v>59</v>
      </c>
      <c r="I353">
        <v>44263</v>
      </c>
      <c r="J353">
        <v>44392</v>
      </c>
      <c r="K353">
        <v>44392</v>
      </c>
      <c r="L353">
        <v>0</v>
      </c>
      <c r="N353" t="s">
        <v>120</v>
      </c>
      <c r="O353">
        <v>44392</v>
      </c>
      <c r="P353" t="s">
        <v>120</v>
      </c>
      <c r="Q353">
        <v>17937.723900000001</v>
      </c>
      <c r="R353" t="s">
        <v>794</v>
      </c>
      <c r="S353" t="s">
        <v>709</v>
      </c>
      <c r="T353" t="s">
        <v>709</v>
      </c>
      <c r="U353" t="s">
        <v>709</v>
      </c>
      <c r="X353">
        <v>113697.78</v>
      </c>
      <c r="Z353">
        <v>35569.56</v>
      </c>
      <c r="AA353">
        <v>149267.34</v>
      </c>
      <c r="AC353" t="s">
        <v>709</v>
      </c>
      <c r="AM353" t="s">
        <v>116</v>
      </c>
      <c r="AN353">
        <v>45315</v>
      </c>
      <c r="AO353">
        <v>11033709</v>
      </c>
      <c r="AP353">
        <v>141620.94</v>
      </c>
      <c r="AR353">
        <v>37610.74</v>
      </c>
      <c r="AS353">
        <v>179231.68</v>
      </c>
      <c r="AT353">
        <v>29964.34</v>
      </c>
      <c r="AU353">
        <v>2546.9688999999998</v>
      </c>
      <c r="AV353">
        <v>0</v>
      </c>
      <c r="AW353" t="s">
        <v>3416</v>
      </c>
      <c r="AX353">
        <v>2546.9699999999998</v>
      </c>
      <c r="AY353">
        <v>45566</v>
      </c>
      <c r="AZ353">
        <v>165</v>
      </c>
      <c r="BA353" t="s">
        <v>796</v>
      </c>
      <c r="BB353" s="4" t="s">
        <v>797</v>
      </c>
      <c r="BC353" t="s">
        <v>116</v>
      </c>
      <c r="BD353" t="s">
        <v>709</v>
      </c>
      <c r="BE353" t="s">
        <v>709</v>
      </c>
      <c r="BF353" t="s">
        <v>798</v>
      </c>
      <c r="BG353" t="s">
        <v>799</v>
      </c>
      <c r="BI353" t="s">
        <v>709</v>
      </c>
      <c r="BJ353" t="s">
        <v>709</v>
      </c>
      <c r="BK353" t="s">
        <v>116</v>
      </c>
      <c r="BL353" t="s">
        <v>709</v>
      </c>
      <c r="BM353" t="s">
        <v>709</v>
      </c>
      <c r="BN353" t="s">
        <v>709</v>
      </c>
      <c r="BO353" t="s">
        <v>709</v>
      </c>
      <c r="BP353" t="s">
        <v>709</v>
      </c>
      <c r="BQ353" t="s">
        <v>709</v>
      </c>
      <c r="BR353" t="s">
        <v>709</v>
      </c>
      <c r="BS353">
        <v>455</v>
      </c>
      <c r="BT353" t="s">
        <v>709</v>
      </c>
      <c r="BU353" t="s">
        <v>709</v>
      </c>
      <c r="BV353" t="s">
        <v>709</v>
      </c>
      <c r="BW353" t="s">
        <v>709</v>
      </c>
      <c r="BX353" t="s">
        <v>709</v>
      </c>
      <c r="BY353" t="s">
        <v>709</v>
      </c>
      <c r="BZ353" t="s">
        <v>709</v>
      </c>
      <c r="CA353" t="s">
        <v>730</v>
      </c>
      <c r="CB353">
        <v>350</v>
      </c>
      <c r="CC353" t="b">
        <v>1</v>
      </c>
      <c r="CD353" t="s">
        <v>3417</v>
      </c>
      <c r="CE353" s="1482">
        <v>45880.733784722222</v>
      </c>
    </row>
    <row r="354" spans="1:83" ht="150" x14ac:dyDescent="0.25">
      <c r="A354">
        <v>2022</v>
      </c>
      <c r="B354" t="s">
        <v>730</v>
      </c>
      <c r="C354" t="s">
        <v>3418</v>
      </c>
      <c r="D354" t="s">
        <v>3419</v>
      </c>
      <c r="E354" t="s">
        <v>3420</v>
      </c>
      <c r="F354" t="s">
        <v>747</v>
      </c>
      <c r="G354" t="s">
        <v>347</v>
      </c>
      <c r="H354" t="s">
        <v>59</v>
      </c>
      <c r="I354">
        <v>44263</v>
      </c>
      <c r="J354">
        <v>44396</v>
      </c>
      <c r="K354">
        <v>44396</v>
      </c>
      <c r="L354">
        <v>0</v>
      </c>
      <c r="N354" t="s">
        <v>120</v>
      </c>
      <c r="O354">
        <v>44396</v>
      </c>
      <c r="P354" t="s">
        <v>120</v>
      </c>
      <c r="Q354">
        <v>17246.136699999999</v>
      </c>
      <c r="R354" t="s">
        <v>794</v>
      </c>
      <c r="S354" t="s">
        <v>709</v>
      </c>
      <c r="T354" t="s">
        <v>709</v>
      </c>
      <c r="U354" t="s">
        <v>709</v>
      </c>
      <c r="X354">
        <v>106309.36</v>
      </c>
      <c r="Z354">
        <v>34821.660000000003</v>
      </c>
      <c r="AA354">
        <v>141131.01999999999</v>
      </c>
      <c r="AC354" t="s">
        <v>1177</v>
      </c>
      <c r="AM354" t="s">
        <v>116</v>
      </c>
      <c r="AN354">
        <v>44860</v>
      </c>
      <c r="AO354">
        <v>11032899</v>
      </c>
      <c r="AP354">
        <v>107294.3</v>
      </c>
      <c r="AR354">
        <v>34808.9</v>
      </c>
      <c r="AS354">
        <v>142103.20000000001</v>
      </c>
      <c r="AT354">
        <v>972.18</v>
      </c>
      <c r="AU354">
        <v>82.635300000000001</v>
      </c>
      <c r="AV354" t="s">
        <v>709</v>
      </c>
      <c r="AX354">
        <v>82.635300000000001</v>
      </c>
      <c r="AY354">
        <v>45008</v>
      </c>
      <c r="BA354" t="s">
        <v>3421</v>
      </c>
      <c r="BB354" s="4" t="s">
        <v>797</v>
      </c>
      <c r="BC354" t="s">
        <v>709</v>
      </c>
      <c r="BD354" t="s">
        <v>3422</v>
      </c>
      <c r="BE354" t="s">
        <v>709</v>
      </c>
      <c r="BF354" t="s">
        <v>709</v>
      </c>
      <c r="BG354" t="s">
        <v>709</v>
      </c>
      <c r="BI354" t="s">
        <v>709</v>
      </c>
      <c r="BJ354" t="s">
        <v>116</v>
      </c>
      <c r="BK354" t="s">
        <v>709</v>
      </c>
      <c r="BL354" t="s">
        <v>116</v>
      </c>
      <c r="BM354" t="s">
        <v>709</v>
      </c>
      <c r="BN354" t="s">
        <v>709</v>
      </c>
      <c r="BO354" t="s">
        <v>709</v>
      </c>
      <c r="BP354" t="s">
        <v>709</v>
      </c>
      <c r="BQ354" t="s">
        <v>709</v>
      </c>
      <c r="BR354" t="s">
        <v>709</v>
      </c>
      <c r="BS354">
        <v>47</v>
      </c>
      <c r="BT354" t="s">
        <v>709</v>
      </c>
      <c r="BU354">
        <v>1</v>
      </c>
      <c r="BV354" t="s">
        <v>709</v>
      </c>
      <c r="BW354" t="s">
        <v>709</v>
      </c>
      <c r="BX354">
        <v>1</v>
      </c>
      <c r="BY354" t="s">
        <v>709</v>
      </c>
      <c r="BZ354" t="s">
        <v>709</v>
      </c>
      <c r="CA354" t="s">
        <v>730</v>
      </c>
      <c r="CB354">
        <v>352</v>
      </c>
      <c r="CC354" t="b">
        <v>1</v>
      </c>
      <c r="CD354" t="s">
        <v>3423</v>
      </c>
      <c r="CE354" s="1482">
        <v>45880.733796296299</v>
      </c>
    </row>
    <row r="355" spans="1:83" ht="150" x14ac:dyDescent="0.25">
      <c r="A355">
        <v>2022</v>
      </c>
      <c r="B355" t="s">
        <v>730</v>
      </c>
      <c r="C355" t="s">
        <v>3424</v>
      </c>
      <c r="D355" t="s">
        <v>3425</v>
      </c>
      <c r="E355" t="s">
        <v>1049</v>
      </c>
      <c r="F355" t="s">
        <v>747</v>
      </c>
      <c r="G355" t="s">
        <v>347</v>
      </c>
      <c r="H355" t="s">
        <v>59</v>
      </c>
      <c r="I355">
        <v>44292</v>
      </c>
      <c r="J355">
        <v>44396</v>
      </c>
      <c r="K355">
        <v>44396</v>
      </c>
      <c r="L355">
        <v>0</v>
      </c>
      <c r="N355" t="s">
        <v>120</v>
      </c>
      <c r="O355">
        <v>44409</v>
      </c>
      <c r="P355" t="s">
        <v>120</v>
      </c>
      <c r="Q355">
        <v>18298.48</v>
      </c>
      <c r="R355" t="s">
        <v>794</v>
      </c>
      <c r="S355" t="s">
        <v>709</v>
      </c>
      <c r="T355" t="s">
        <v>709</v>
      </c>
      <c r="U355" t="s">
        <v>709</v>
      </c>
      <c r="X355">
        <v>114012.43</v>
      </c>
      <c r="Z355">
        <v>39499.1</v>
      </c>
      <c r="AA355">
        <v>153511.53</v>
      </c>
      <c r="AC355" t="s">
        <v>1177</v>
      </c>
      <c r="AM355" t="s">
        <v>116</v>
      </c>
      <c r="AN355">
        <v>44684</v>
      </c>
      <c r="AO355">
        <v>11033564</v>
      </c>
      <c r="AP355">
        <v>114012.43</v>
      </c>
      <c r="AR355">
        <v>39499.1</v>
      </c>
      <c r="AS355">
        <v>153511.53</v>
      </c>
      <c r="AT355">
        <v>0</v>
      </c>
      <c r="AU355">
        <v>0</v>
      </c>
      <c r="AV355" t="s">
        <v>709</v>
      </c>
      <c r="AY355" t="s">
        <v>1935</v>
      </c>
      <c r="BA355" t="s">
        <v>3426</v>
      </c>
      <c r="BB355" s="4" t="s">
        <v>3427</v>
      </c>
      <c r="BC355" t="s">
        <v>116</v>
      </c>
      <c r="BD355" t="s">
        <v>709</v>
      </c>
      <c r="BE355" t="s">
        <v>709</v>
      </c>
      <c r="BF355" t="s">
        <v>3428</v>
      </c>
      <c r="BG355" t="s">
        <v>709</v>
      </c>
      <c r="BI355" t="s">
        <v>709</v>
      </c>
      <c r="BJ355" t="s">
        <v>116</v>
      </c>
      <c r="BK355" t="s">
        <v>709</v>
      </c>
      <c r="BL355" t="s">
        <v>116</v>
      </c>
      <c r="BM355" t="s">
        <v>709</v>
      </c>
      <c r="BN355" t="s">
        <v>709</v>
      </c>
      <c r="BO355" t="s">
        <v>709</v>
      </c>
      <c r="BP355" t="s">
        <v>709</v>
      </c>
      <c r="BQ355" t="s">
        <v>709</v>
      </c>
      <c r="BR355" t="s">
        <v>709</v>
      </c>
      <c r="BS355">
        <v>78</v>
      </c>
      <c r="BT355" t="s">
        <v>709</v>
      </c>
      <c r="BU355">
        <v>1</v>
      </c>
      <c r="BV355" t="s">
        <v>709</v>
      </c>
      <c r="BW355" t="s">
        <v>709</v>
      </c>
      <c r="BX355">
        <v>1</v>
      </c>
      <c r="BY355" t="s">
        <v>709</v>
      </c>
      <c r="BZ355" t="s">
        <v>709</v>
      </c>
      <c r="CA355" t="s">
        <v>730</v>
      </c>
      <c r="CB355">
        <v>353</v>
      </c>
      <c r="CC355" t="b">
        <v>1</v>
      </c>
      <c r="CD355" t="s">
        <v>3429</v>
      </c>
      <c r="CE355" s="1482">
        <v>45880.733796296299</v>
      </c>
    </row>
    <row r="356" spans="1:83" x14ac:dyDescent="0.25">
      <c r="A356">
        <v>2021</v>
      </c>
      <c r="B356" t="s">
        <v>4</v>
      </c>
      <c r="C356" t="s">
        <v>3159</v>
      </c>
      <c r="D356" t="s">
        <v>3160</v>
      </c>
      <c r="E356" t="s">
        <v>393</v>
      </c>
      <c r="F356" t="s">
        <v>738</v>
      </c>
      <c r="G356" t="s">
        <v>1882</v>
      </c>
      <c r="H356" t="s">
        <v>3178</v>
      </c>
      <c r="I356">
        <v>43962</v>
      </c>
      <c r="J356" t="s">
        <v>2052</v>
      </c>
      <c r="K356">
        <v>44397</v>
      </c>
      <c r="L356">
        <v>435</v>
      </c>
      <c r="M356" t="s">
        <v>3430</v>
      </c>
      <c r="N356" t="s">
        <v>120</v>
      </c>
      <c r="O356">
        <v>44409</v>
      </c>
      <c r="P356" t="s">
        <v>120</v>
      </c>
      <c r="Q356">
        <v>1600</v>
      </c>
      <c r="R356" t="s">
        <v>1922</v>
      </c>
      <c r="S356" t="s">
        <v>709</v>
      </c>
      <c r="T356" t="s">
        <v>709</v>
      </c>
      <c r="U356">
        <v>1600</v>
      </c>
      <c r="V356">
        <v>4975</v>
      </c>
      <c r="AM356" t="s">
        <v>709</v>
      </c>
      <c r="AY356" t="s">
        <v>29</v>
      </c>
      <c r="BA356">
        <v>10</v>
      </c>
      <c r="BI356" t="s">
        <v>709</v>
      </c>
      <c r="BJ356" t="s">
        <v>709</v>
      </c>
      <c r="BK356" t="s">
        <v>709</v>
      </c>
      <c r="BL356" t="s">
        <v>116</v>
      </c>
      <c r="BM356">
        <v>55</v>
      </c>
      <c r="BN356">
        <v>4125</v>
      </c>
      <c r="BO356" t="s">
        <v>709</v>
      </c>
      <c r="BP356" t="s">
        <v>709</v>
      </c>
      <c r="BQ356">
        <v>93</v>
      </c>
      <c r="BR356">
        <v>367</v>
      </c>
      <c r="BS356">
        <v>630</v>
      </c>
      <c r="BT356" t="s">
        <v>709</v>
      </c>
      <c r="BU356" t="s">
        <v>709</v>
      </c>
      <c r="BV356" t="s">
        <v>709</v>
      </c>
      <c r="BW356" t="s">
        <v>709</v>
      </c>
      <c r="BX356" t="s">
        <v>745</v>
      </c>
      <c r="BY356" t="s">
        <v>709</v>
      </c>
      <c r="BZ356" t="s">
        <v>709</v>
      </c>
      <c r="CB356">
        <v>355</v>
      </c>
      <c r="CC356" t="b">
        <v>1</v>
      </c>
      <c r="CD356" t="s">
        <v>3431</v>
      </c>
      <c r="CE356" s="1482">
        <v>45880.733807870369</v>
      </c>
    </row>
    <row r="357" spans="1:83" x14ac:dyDescent="0.25">
      <c r="A357">
        <v>2021</v>
      </c>
      <c r="B357" t="s">
        <v>769</v>
      </c>
      <c r="C357" t="s">
        <v>1186</v>
      </c>
      <c r="D357" t="s">
        <v>1187</v>
      </c>
      <c r="E357" t="s">
        <v>393</v>
      </c>
      <c r="F357" t="s">
        <v>738</v>
      </c>
      <c r="G357" t="s">
        <v>1882</v>
      </c>
      <c r="H357" t="s">
        <v>3178</v>
      </c>
      <c r="I357">
        <v>44105</v>
      </c>
      <c r="J357" t="s">
        <v>2052</v>
      </c>
      <c r="K357">
        <v>44397</v>
      </c>
      <c r="L357">
        <v>292</v>
      </c>
      <c r="M357" t="s">
        <v>3432</v>
      </c>
      <c r="N357" t="s">
        <v>120</v>
      </c>
      <c r="O357">
        <v>44409</v>
      </c>
      <c r="P357" t="s">
        <v>739</v>
      </c>
      <c r="Q357">
        <v>2952.5</v>
      </c>
      <c r="R357" t="s">
        <v>1922</v>
      </c>
      <c r="S357" t="s">
        <v>709</v>
      </c>
      <c r="T357" t="s">
        <v>709</v>
      </c>
      <c r="U357">
        <v>2952.5</v>
      </c>
      <c r="V357">
        <v>13284</v>
      </c>
      <c r="AC357" t="s">
        <v>709</v>
      </c>
      <c r="AM357" t="s">
        <v>709</v>
      </c>
      <c r="AY357" t="s">
        <v>29</v>
      </c>
      <c r="BA357">
        <v>10</v>
      </c>
      <c r="BI357" t="s">
        <v>709</v>
      </c>
      <c r="BJ357" t="s">
        <v>709</v>
      </c>
      <c r="BK357" t="s">
        <v>709</v>
      </c>
      <c r="BL357" t="s">
        <v>116</v>
      </c>
      <c r="BM357" t="s">
        <v>709</v>
      </c>
      <c r="BN357" t="s">
        <v>709</v>
      </c>
      <c r="BO357" t="s">
        <v>709</v>
      </c>
      <c r="BP357" t="s">
        <v>709</v>
      </c>
      <c r="BQ357">
        <v>546</v>
      </c>
      <c r="BR357">
        <v>507</v>
      </c>
      <c r="BS357">
        <v>1553</v>
      </c>
      <c r="BT357" t="s">
        <v>709</v>
      </c>
      <c r="BU357" t="s">
        <v>709</v>
      </c>
      <c r="BV357" t="s">
        <v>709</v>
      </c>
      <c r="BW357" t="s">
        <v>709</v>
      </c>
      <c r="BX357" t="s">
        <v>709</v>
      </c>
      <c r="BY357" t="s">
        <v>709</v>
      </c>
      <c r="BZ357" t="s">
        <v>709</v>
      </c>
      <c r="CA357" t="s">
        <v>769</v>
      </c>
      <c r="CB357">
        <v>354</v>
      </c>
      <c r="CC357" t="b">
        <v>1</v>
      </c>
      <c r="CD357" t="s">
        <v>3433</v>
      </c>
      <c r="CE357" s="1482">
        <v>45880.733819444446</v>
      </c>
    </row>
    <row r="358" spans="1:83" ht="225" x14ac:dyDescent="0.25">
      <c r="A358">
        <v>2022</v>
      </c>
      <c r="B358" t="s">
        <v>730</v>
      </c>
      <c r="C358" t="s">
        <v>3434</v>
      </c>
      <c r="D358" t="s">
        <v>3435</v>
      </c>
      <c r="E358" t="s">
        <v>3436</v>
      </c>
      <c r="F358" t="s">
        <v>747</v>
      </c>
      <c r="G358" t="s">
        <v>347</v>
      </c>
      <c r="H358" t="s">
        <v>59</v>
      </c>
      <c r="I358">
        <v>44292</v>
      </c>
      <c r="J358">
        <v>44397</v>
      </c>
      <c r="K358">
        <v>44397</v>
      </c>
      <c r="L358">
        <v>0</v>
      </c>
      <c r="N358" t="s">
        <v>120</v>
      </c>
      <c r="O358">
        <v>44409</v>
      </c>
      <c r="P358" t="s">
        <v>120</v>
      </c>
      <c r="Q358">
        <v>22609.286499999998</v>
      </c>
      <c r="R358" t="s">
        <v>794</v>
      </c>
      <c r="S358" t="s">
        <v>709</v>
      </c>
      <c r="T358" t="s">
        <v>709</v>
      </c>
      <c r="U358" t="s">
        <v>709</v>
      </c>
      <c r="X358">
        <v>152298.37</v>
      </c>
      <c r="Z358">
        <v>51928.53</v>
      </c>
      <c r="AA358">
        <v>204226.9</v>
      </c>
      <c r="AC358" t="s">
        <v>1177</v>
      </c>
      <c r="AM358" t="s">
        <v>116</v>
      </c>
      <c r="AN358">
        <v>44752</v>
      </c>
      <c r="AO358">
        <v>11033226</v>
      </c>
      <c r="AP358">
        <v>169244.25</v>
      </c>
      <c r="AR358">
        <v>71847.649999999994</v>
      </c>
      <c r="AS358">
        <v>241091.9</v>
      </c>
      <c r="AT358">
        <v>36865</v>
      </c>
      <c r="AU358">
        <v>3133.5250000000001</v>
      </c>
      <c r="AV358">
        <v>2972.5</v>
      </c>
      <c r="AW358" t="s">
        <v>3437</v>
      </c>
      <c r="AX358">
        <v>0</v>
      </c>
      <c r="AY358">
        <v>45008</v>
      </c>
      <c r="BA358" s="4" t="s">
        <v>3438</v>
      </c>
      <c r="BB358" s="4" t="s">
        <v>3439</v>
      </c>
      <c r="BC358" t="s">
        <v>709</v>
      </c>
      <c r="BD358" t="s">
        <v>1167</v>
      </c>
      <c r="BE358" t="s">
        <v>709</v>
      </c>
      <c r="BF358" t="s">
        <v>3440</v>
      </c>
      <c r="BG358" t="s">
        <v>709</v>
      </c>
      <c r="BI358" t="s">
        <v>709</v>
      </c>
      <c r="BJ358" t="s">
        <v>709</v>
      </c>
      <c r="BK358" t="s">
        <v>116</v>
      </c>
      <c r="BL358" t="s">
        <v>116</v>
      </c>
      <c r="BM358" t="s">
        <v>709</v>
      </c>
      <c r="BN358" t="s">
        <v>709</v>
      </c>
      <c r="BO358" t="s">
        <v>709</v>
      </c>
      <c r="BP358" t="s">
        <v>709</v>
      </c>
      <c r="BQ358" t="s">
        <v>709</v>
      </c>
      <c r="BR358">
        <v>43</v>
      </c>
      <c r="BS358">
        <v>115</v>
      </c>
      <c r="BT358" t="s">
        <v>709</v>
      </c>
      <c r="BU358">
        <v>1</v>
      </c>
      <c r="BV358" t="s">
        <v>709</v>
      </c>
      <c r="BW358" t="s">
        <v>709</v>
      </c>
      <c r="BX358">
        <v>1</v>
      </c>
      <c r="BY358" t="s">
        <v>709</v>
      </c>
      <c r="BZ358" t="s">
        <v>709</v>
      </c>
      <c r="CA358" t="s">
        <v>769</v>
      </c>
      <c r="CB358">
        <v>356</v>
      </c>
      <c r="CC358" t="b">
        <v>1</v>
      </c>
      <c r="CD358" t="s">
        <v>3441</v>
      </c>
      <c r="CE358" s="1482">
        <v>45880.733831018515</v>
      </c>
    </row>
    <row r="359" spans="1:83" x14ac:dyDescent="0.25">
      <c r="A359">
        <v>2019</v>
      </c>
      <c r="B359" t="s">
        <v>771</v>
      </c>
      <c r="C359" t="s">
        <v>2359</v>
      </c>
      <c r="D359">
        <v>120406</v>
      </c>
      <c r="E359" t="s">
        <v>2361</v>
      </c>
      <c r="F359" t="s">
        <v>919</v>
      </c>
      <c r="G359" t="s">
        <v>1882</v>
      </c>
      <c r="H359" t="s">
        <v>2051</v>
      </c>
      <c r="I359">
        <v>44378</v>
      </c>
      <c r="J359" t="s">
        <v>2052</v>
      </c>
      <c r="K359">
        <v>44399</v>
      </c>
      <c r="L359">
        <v>21</v>
      </c>
      <c r="M359" t="s">
        <v>3442</v>
      </c>
      <c r="N359" t="s">
        <v>120</v>
      </c>
      <c r="O359">
        <v>44409</v>
      </c>
      <c r="P359" t="s">
        <v>120</v>
      </c>
      <c r="Q359">
        <v>2230</v>
      </c>
      <c r="R359" t="s">
        <v>1922</v>
      </c>
      <c r="S359" t="s">
        <v>709</v>
      </c>
      <c r="T359" t="s">
        <v>709</v>
      </c>
      <c r="U359">
        <v>2230</v>
      </c>
      <c r="AM359" t="s">
        <v>709</v>
      </c>
      <c r="AY359" t="s">
        <v>29</v>
      </c>
      <c r="BA359">
        <v>2</v>
      </c>
      <c r="BI359" t="s">
        <v>709</v>
      </c>
      <c r="BJ359" t="s">
        <v>709</v>
      </c>
      <c r="BK359" t="s">
        <v>709</v>
      </c>
      <c r="BL359" t="s">
        <v>116</v>
      </c>
      <c r="BM359" t="s">
        <v>709</v>
      </c>
      <c r="BN359" t="s">
        <v>709</v>
      </c>
      <c r="BO359" t="s">
        <v>709</v>
      </c>
      <c r="BP359" t="s">
        <v>709</v>
      </c>
      <c r="BQ359" t="s">
        <v>709</v>
      </c>
      <c r="BR359" t="s">
        <v>709</v>
      </c>
      <c r="BS359">
        <v>22573</v>
      </c>
      <c r="BT359" t="s">
        <v>709</v>
      </c>
      <c r="BU359" t="s">
        <v>709</v>
      </c>
      <c r="BV359" t="s">
        <v>709</v>
      </c>
      <c r="BW359" t="s">
        <v>709</v>
      </c>
      <c r="BX359" t="s">
        <v>709</v>
      </c>
      <c r="BY359" t="s">
        <v>709</v>
      </c>
      <c r="BZ359" t="s">
        <v>709</v>
      </c>
      <c r="CB359">
        <v>357</v>
      </c>
      <c r="CC359" t="b">
        <v>1</v>
      </c>
      <c r="CD359" t="s">
        <v>3443</v>
      </c>
      <c r="CE359" s="1482">
        <v>45880.733842592592</v>
      </c>
    </row>
    <row r="360" spans="1:83" x14ac:dyDescent="0.25">
      <c r="A360">
        <v>2021</v>
      </c>
      <c r="B360" t="s">
        <v>771</v>
      </c>
      <c r="C360" t="s">
        <v>2752</v>
      </c>
      <c r="D360">
        <v>120500</v>
      </c>
      <c r="E360" t="s">
        <v>137</v>
      </c>
      <c r="F360" t="s">
        <v>738</v>
      </c>
      <c r="G360" t="s">
        <v>36</v>
      </c>
      <c r="H360" t="s">
        <v>2396</v>
      </c>
      <c r="I360">
        <v>44396</v>
      </c>
      <c r="J360" t="s">
        <v>2397</v>
      </c>
      <c r="K360">
        <v>44399</v>
      </c>
      <c r="L360">
        <v>3</v>
      </c>
      <c r="M360" t="s">
        <v>3444</v>
      </c>
      <c r="N360" t="s">
        <v>120</v>
      </c>
      <c r="O360">
        <v>44409</v>
      </c>
      <c r="P360" t="s">
        <v>120</v>
      </c>
      <c r="Q360">
        <v>1555</v>
      </c>
      <c r="R360" t="s">
        <v>1922</v>
      </c>
      <c r="S360" t="s">
        <v>709</v>
      </c>
      <c r="T360" t="s">
        <v>709</v>
      </c>
      <c r="U360">
        <v>1555</v>
      </c>
      <c r="AM360" t="s">
        <v>709</v>
      </c>
      <c r="AY360" t="s">
        <v>29</v>
      </c>
      <c r="BC360" t="s">
        <v>709</v>
      </c>
      <c r="BD360" t="s">
        <v>709</v>
      </c>
      <c r="BE360" t="s">
        <v>2484</v>
      </c>
      <c r="BF360" t="s">
        <v>709</v>
      </c>
      <c r="BG360" t="s">
        <v>709</v>
      </c>
      <c r="BI360" t="s">
        <v>709</v>
      </c>
      <c r="BJ360" t="s">
        <v>709</v>
      </c>
      <c r="BK360" t="s">
        <v>709</v>
      </c>
      <c r="BL360" t="s">
        <v>116</v>
      </c>
      <c r="BM360" t="s">
        <v>709</v>
      </c>
      <c r="BN360" t="s">
        <v>709</v>
      </c>
      <c r="BO360" t="s">
        <v>709</v>
      </c>
      <c r="BP360" t="s">
        <v>709</v>
      </c>
      <c r="BQ360" t="s">
        <v>709</v>
      </c>
      <c r="BR360" t="s">
        <v>709</v>
      </c>
      <c r="BS360">
        <v>572</v>
      </c>
      <c r="BT360" t="s">
        <v>709</v>
      </c>
      <c r="BU360" t="s">
        <v>709</v>
      </c>
      <c r="BV360" t="s">
        <v>709</v>
      </c>
      <c r="BW360" t="s">
        <v>709</v>
      </c>
      <c r="BX360" t="s">
        <v>709</v>
      </c>
      <c r="BY360" t="s">
        <v>709</v>
      </c>
      <c r="BZ360" t="s">
        <v>709</v>
      </c>
      <c r="CB360">
        <v>358</v>
      </c>
      <c r="CC360" t="b">
        <v>1</v>
      </c>
      <c r="CD360" t="s">
        <v>3445</v>
      </c>
      <c r="CE360" s="1482">
        <v>45880.733842592592</v>
      </c>
    </row>
    <row r="361" spans="1:83" ht="315" x14ac:dyDescent="0.25">
      <c r="A361">
        <v>2021</v>
      </c>
      <c r="B361" t="s">
        <v>771</v>
      </c>
      <c r="C361" t="s">
        <v>3446</v>
      </c>
      <c r="D361" t="s">
        <v>3447</v>
      </c>
      <c r="E361" t="s">
        <v>3448</v>
      </c>
      <c r="F361" t="s">
        <v>919</v>
      </c>
      <c r="G361" t="s">
        <v>1882</v>
      </c>
      <c r="H361" t="s">
        <v>59</v>
      </c>
      <c r="I361">
        <v>44232</v>
      </c>
      <c r="J361">
        <v>44405</v>
      </c>
      <c r="K361">
        <v>44403</v>
      </c>
      <c r="L361">
        <v>2</v>
      </c>
      <c r="N361" t="s">
        <v>120</v>
      </c>
      <c r="O361">
        <v>44409</v>
      </c>
      <c r="P361" t="s">
        <v>120</v>
      </c>
      <c r="Q361">
        <v>30376.9</v>
      </c>
      <c r="R361" t="s">
        <v>2087</v>
      </c>
      <c r="S361" t="s">
        <v>709</v>
      </c>
      <c r="T361" t="s">
        <v>709</v>
      </c>
      <c r="U361" t="s">
        <v>709</v>
      </c>
      <c r="V361">
        <v>19598</v>
      </c>
      <c r="X361">
        <v>3183302.06</v>
      </c>
      <c r="Z361">
        <v>238187.67</v>
      </c>
      <c r="AA361">
        <v>3421489.73</v>
      </c>
      <c r="AC361" t="s">
        <v>709</v>
      </c>
      <c r="AM361" t="s">
        <v>709</v>
      </c>
      <c r="AY361" t="s">
        <v>29</v>
      </c>
      <c r="BA361" t="s">
        <v>3449</v>
      </c>
      <c r="BB361" s="4" t="s">
        <v>3450</v>
      </c>
      <c r="BC361" t="s">
        <v>116</v>
      </c>
      <c r="BD361" t="s">
        <v>709</v>
      </c>
      <c r="BE361" t="s">
        <v>3451</v>
      </c>
      <c r="BF361" t="s">
        <v>709</v>
      </c>
      <c r="BG361" t="s">
        <v>709</v>
      </c>
      <c r="BI361" t="s">
        <v>709</v>
      </c>
      <c r="BJ361" t="s">
        <v>709</v>
      </c>
      <c r="BK361" t="s">
        <v>709</v>
      </c>
      <c r="BL361" t="s">
        <v>116</v>
      </c>
      <c r="BM361" t="s">
        <v>709</v>
      </c>
      <c r="BN361" t="s">
        <v>709</v>
      </c>
      <c r="BO361" t="s">
        <v>709</v>
      </c>
      <c r="BP361" t="s">
        <v>709</v>
      </c>
      <c r="BQ361" t="s">
        <v>709</v>
      </c>
      <c r="BR361">
        <v>6069</v>
      </c>
      <c r="BS361">
        <v>13529</v>
      </c>
      <c r="BT361" t="s">
        <v>709</v>
      </c>
      <c r="BU361" t="s">
        <v>709</v>
      </c>
      <c r="BV361" t="s">
        <v>709</v>
      </c>
      <c r="BW361" t="s">
        <v>709</v>
      </c>
      <c r="BX361" t="s">
        <v>709</v>
      </c>
      <c r="BY361" t="s">
        <v>709</v>
      </c>
      <c r="BZ361" t="s">
        <v>709</v>
      </c>
      <c r="CB361">
        <v>359</v>
      </c>
      <c r="CC361" t="b">
        <v>1</v>
      </c>
      <c r="CD361" t="s">
        <v>3452</v>
      </c>
      <c r="CE361" s="1482">
        <v>45880.733854166669</v>
      </c>
    </row>
    <row r="362" spans="1:83" ht="270" x14ac:dyDescent="0.25">
      <c r="A362">
        <v>2022</v>
      </c>
      <c r="B362" t="s">
        <v>771</v>
      </c>
      <c r="C362" t="s">
        <v>3453</v>
      </c>
      <c r="D362" t="s">
        <v>3454</v>
      </c>
      <c r="E362" t="s">
        <v>3448</v>
      </c>
      <c r="F362" t="s">
        <v>919</v>
      </c>
      <c r="G362" t="s">
        <v>1882</v>
      </c>
      <c r="H362" t="s">
        <v>59</v>
      </c>
      <c r="I362">
        <v>44232</v>
      </c>
      <c r="J362">
        <v>44405</v>
      </c>
      <c r="K362">
        <v>44403</v>
      </c>
      <c r="L362">
        <v>2</v>
      </c>
      <c r="N362" t="s">
        <v>120</v>
      </c>
      <c r="O362">
        <v>44409</v>
      </c>
      <c r="P362" t="s">
        <v>120</v>
      </c>
      <c r="Q362">
        <v>19299.05</v>
      </c>
      <c r="R362" t="s">
        <v>2087</v>
      </c>
      <c r="S362" t="s">
        <v>709</v>
      </c>
      <c r="T362" t="s">
        <v>709</v>
      </c>
      <c r="U362" t="s">
        <v>709</v>
      </c>
      <c r="V362">
        <v>12451</v>
      </c>
      <c r="X362">
        <v>2016555.9</v>
      </c>
      <c r="Z362">
        <v>144762.94</v>
      </c>
      <c r="AA362">
        <v>2161318.84</v>
      </c>
      <c r="AC362" t="s">
        <v>709</v>
      </c>
      <c r="AM362" t="s">
        <v>709</v>
      </c>
      <c r="AY362" t="s">
        <v>29</v>
      </c>
      <c r="BA362" t="s">
        <v>3455</v>
      </c>
      <c r="BB362" s="4" t="s">
        <v>3456</v>
      </c>
      <c r="BC362" t="s">
        <v>709</v>
      </c>
      <c r="BD362" t="s">
        <v>709</v>
      </c>
      <c r="BE362" t="s">
        <v>3457</v>
      </c>
      <c r="BF362" t="s">
        <v>709</v>
      </c>
      <c r="BG362" t="s">
        <v>709</v>
      </c>
      <c r="BI362" t="s">
        <v>709</v>
      </c>
      <c r="BJ362" t="s">
        <v>709</v>
      </c>
      <c r="BK362" t="s">
        <v>709</v>
      </c>
      <c r="BL362" t="s">
        <v>116</v>
      </c>
      <c r="BM362" t="s">
        <v>709</v>
      </c>
      <c r="BN362" t="s">
        <v>709</v>
      </c>
      <c r="BO362" t="s">
        <v>709</v>
      </c>
      <c r="BP362" t="s">
        <v>709</v>
      </c>
      <c r="BQ362" t="s">
        <v>709</v>
      </c>
      <c r="BR362">
        <v>2733</v>
      </c>
      <c r="BS362">
        <v>9718</v>
      </c>
      <c r="BT362" t="s">
        <v>709</v>
      </c>
      <c r="BU362" t="s">
        <v>709</v>
      </c>
      <c r="BV362" t="s">
        <v>709</v>
      </c>
      <c r="BW362" t="s">
        <v>709</v>
      </c>
      <c r="BX362" t="s">
        <v>709</v>
      </c>
      <c r="BY362" t="s">
        <v>709</v>
      </c>
      <c r="BZ362" t="s">
        <v>709</v>
      </c>
      <c r="CB362">
        <v>360</v>
      </c>
      <c r="CC362" t="b">
        <v>1</v>
      </c>
      <c r="CD362" t="s">
        <v>3458</v>
      </c>
      <c r="CE362" s="1482">
        <v>45880.733865740738</v>
      </c>
    </row>
    <row r="363" spans="1:83" ht="150" x14ac:dyDescent="0.25">
      <c r="A363">
        <v>2022</v>
      </c>
      <c r="B363" t="s">
        <v>730</v>
      </c>
      <c r="C363" t="s">
        <v>3459</v>
      </c>
      <c r="D363" t="s">
        <v>3460</v>
      </c>
      <c r="E363" t="s">
        <v>1306</v>
      </c>
      <c r="F363" t="s">
        <v>747</v>
      </c>
      <c r="G363" t="s">
        <v>347</v>
      </c>
      <c r="H363" t="s">
        <v>59</v>
      </c>
      <c r="I363">
        <v>44292</v>
      </c>
      <c r="J363">
        <v>44435</v>
      </c>
      <c r="K363">
        <v>44404</v>
      </c>
      <c r="L363">
        <v>31</v>
      </c>
      <c r="N363" t="s">
        <v>120</v>
      </c>
      <c r="O363">
        <v>44409</v>
      </c>
      <c r="P363" t="s">
        <v>120</v>
      </c>
      <c r="Q363">
        <v>21900.303199999998</v>
      </c>
      <c r="R363" t="s">
        <v>794</v>
      </c>
      <c r="S363" t="s">
        <v>709</v>
      </c>
      <c r="T363" t="s">
        <v>709</v>
      </c>
      <c r="U363" t="s">
        <v>709</v>
      </c>
      <c r="V363">
        <v>305</v>
      </c>
      <c r="X363">
        <v>158132.15</v>
      </c>
      <c r="Z363">
        <v>37753.769999999997</v>
      </c>
      <c r="AA363">
        <v>195885.92</v>
      </c>
      <c r="AC363" t="s">
        <v>1177</v>
      </c>
      <c r="AM363" t="s">
        <v>116</v>
      </c>
      <c r="AN363">
        <v>44752</v>
      </c>
      <c r="AO363">
        <v>11032843</v>
      </c>
      <c r="AP363">
        <v>186585.04</v>
      </c>
      <c r="AR363">
        <v>38595.32</v>
      </c>
      <c r="AS363">
        <v>225180.36</v>
      </c>
      <c r="AT363">
        <v>29294.44</v>
      </c>
      <c r="AU363">
        <v>2490.0273999999999</v>
      </c>
      <c r="AV363">
        <v>3107.5</v>
      </c>
      <c r="AW363" t="s">
        <v>3461</v>
      </c>
      <c r="AX363">
        <v>0</v>
      </c>
      <c r="AY363">
        <v>45008</v>
      </c>
      <c r="BA363" t="s">
        <v>3462</v>
      </c>
      <c r="BB363" s="4" t="s">
        <v>3427</v>
      </c>
      <c r="BC363" t="s">
        <v>709</v>
      </c>
      <c r="BD363" t="s">
        <v>1626</v>
      </c>
      <c r="BE363" t="s">
        <v>709</v>
      </c>
      <c r="BF363" t="s">
        <v>3463</v>
      </c>
      <c r="BG363" t="s">
        <v>709</v>
      </c>
      <c r="BI363" t="s">
        <v>709</v>
      </c>
      <c r="BJ363" t="s">
        <v>709</v>
      </c>
      <c r="BK363" t="s">
        <v>116</v>
      </c>
      <c r="BL363" t="s">
        <v>116</v>
      </c>
      <c r="BM363" t="s">
        <v>709</v>
      </c>
      <c r="BN363" t="s">
        <v>709</v>
      </c>
      <c r="BO363" t="s">
        <v>709</v>
      </c>
      <c r="BP363" t="s">
        <v>709</v>
      </c>
      <c r="BQ363" t="s">
        <v>709</v>
      </c>
      <c r="BR363" t="s">
        <v>709</v>
      </c>
      <c r="BS363">
        <v>305</v>
      </c>
      <c r="BT363" t="s">
        <v>745</v>
      </c>
      <c r="BU363">
        <v>1</v>
      </c>
      <c r="BV363" t="s">
        <v>745</v>
      </c>
      <c r="BW363" t="s">
        <v>709</v>
      </c>
      <c r="BX363">
        <v>1</v>
      </c>
      <c r="BY363" t="s">
        <v>745</v>
      </c>
      <c r="BZ363" t="s">
        <v>709</v>
      </c>
      <c r="CA363" t="s">
        <v>769</v>
      </c>
      <c r="CB363">
        <v>361</v>
      </c>
      <c r="CC363" t="b">
        <v>1</v>
      </c>
      <c r="CD363" t="s">
        <v>3464</v>
      </c>
      <c r="CE363" s="1482">
        <v>45880.733877314815</v>
      </c>
    </row>
    <row r="364" spans="1:83" x14ac:dyDescent="0.25">
      <c r="A364">
        <v>2021</v>
      </c>
      <c r="B364" t="s">
        <v>1073</v>
      </c>
      <c r="C364" t="s">
        <v>3465</v>
      </c>
      <c r="D364" t="s">
        <v>3466</v>
      </c>
      <c r="E364" t="s">
        <v>2759</v>
      </c>
      <c r="F364" t="s">
        <v>738</v>
      </c>
      <c r="G364" t="s">
        <v>2814</v>
      </c>
      <c r="H364" t="s">
        <v>59</v>
      </c>
      <c r="I364">
        <v>44374</v>
      </c>
      <c r="J364">
        <v>44414</v>
      </c>
      <c r="K364">
        <v>44405</v>
      </c>
      <c r="L364">
        <v>9</v>
      </c>
      <c r="N364" t="s">
        <v>120</v>
      </c>
      <c r="O364">
        <v>44409</v>
      </c>
      <c r="P364" t="s">
        <v>739</v>
      </c>
      <c r="Q364">
        <v>11965.709000000001</v>
      </c>
      <c r="R364">
        <v>7.0000000000000007E-2</v>
      </c>
      <c r="S364" t="s">
        <v>709</v>
      </c>
      <c r="T364" t="s">
        <v>709</v>
      </c>
      <c r="U364" t="s">
        <v>709</v>
      </c>
      <c r="V364">
        <v>730</v>
      </c>
      <c r="X364">
        <v>139659.64000000001</v>
      </c>
      <c r="Z364">
        <v>31279.06</v>
      </c>
      <c r="AA364">
        <v>170938.7</v>
      </c>
      <c r="AC364" t="s">
        <v>709</v>
      </c>
      <c r="AM364" t="s">
        <v>116</v>
      </c>
      <c r="AN364">
        <v>44491</v>
      </c>
      <c r="AO364">
        <v>190667</v>
      </c>
      <c r="AP364">
        <v>209431.88</v>
      </c>
      <c r="AR364">
        <v>31279.06</v>
      </c>
      <c r="AS364">
        <v>240710.94</v>
      </c>
      <c r="AT364">
        <v>69772.240000000005</v>
      </c>
      <c r="AU364">
        <v>4884.0568000000003</v>
      </c>
      <c r="AV364">
        <v>10777.5</v>
      </c>
      <c r="AW364" t="s">
        <v>3467</v>
      </c>
      <c r="AX364">
        <v>0</v>
      </c>
      <c r="AY364">
        <v>44501</v>
      </c>
      <c r="BA364" t="s">
        <v>3468</v>
      </c>
      <c r="BB364" t="s">
        <v>739</v>
      </c>
      <c r="BC364" t="s">
        <v>709</v>
      </c>
      <c r="BD364" t="s">
        <v>709</v>
      </c>
      <c r="BE364" t="s">
        <v>709</v>
      </c>
      <c r="BF364" t="s">
        <v>1012</v>
      </c>
      <c r="BG364" t="s">
        <v>709</v>
      </c>
      <c r="BI364" t="s">
        <v>709</v>
      </c>
      <c r="BJ364" t="s">
        <v>709</v>
      </c>
      <c r="BK364" t="s">
        <v>709</v>
      </c>
      <c r="BL364" t="s">
        <v>116</v>
      </c>
      <c r="BM364" t="s">
        <v>709</v>
      </c>
      <c r="BN364" t="s">
        <v>709</v>
      </c>
      <c r="BO364" t="s">
        <v>709</v>
      </c>
      <c r="BP364" t="s">
        <v>709</v>
      </c>
      <c r="BQ364" t="s">
        <v>709</v>
      </c>
      <c r="BR364">
        <v>712</v>
      </c>
      <c r="BS364">
        <v>18</v>
      </c>
      <c r="BT364" t="s">
        <v>745</v>
      </c>
      <c r="BU364" t="s">
        <v>709</v>
      </c>
      <c r="BV364" t="s">
        <v>745</v>
      </c>
      <c r="BW364" t="s">
        <v>709</v>
      </c>
      <c r="BX364" t="s">
        <v>745</v>
      </c>
      <c r="BY364" t="s">
        <v>745</v>
      </c>
      <c r="BZ364" t="s">
        <v>709</v>
      </c>
      <c r="CB364">
        <v>362</v>
      </c>
      <c r="CC364" t="b">
        <v>1</v>
      </c>
      <c r="CD364" t="s">
        <v>3469</v>
      </c>
      <c r="CE364" s="1482">
        <v>45880.733877314815</v>
      </c>
    </row>
    <row r="365" spans="1:83" x14ac:dyDescent="0.25">
      <c r="A365">
        <v>2021</v>
      </c>
      <c r="B365" t="s">
        <v>1205</v>
      </c>
      <c r="C365" t="s">
        <v>3470</v>
      </c>
      <c r="D365" t="s">
        <v>3471</v>
      </c>
      <c r="E365" t="s">
        <v>3472</v>
      </c>
      <c r="F365" t="s">
        <v>919</v>
      </c>
      <c r="G365" t="s">
        <v>2743</v>
      </c>
      <c r="H365" t="s">
        <v>59</v>
      </c>
      <c r="I365">
        <v>44355</v>
      </c>
      <c r="J365">
        <v>44418</v>
      </c>
      <c r="K365">
        <v>44405</v>
      </c>
      <c r="L365">
        <v>13</v>
      </c>
      <c r="N365" t="s">
        <v>120</v>
      </c>
      <c r="O365">
        <v>44409</v>
      </c>
      <c r="P365" t="s">
        <v>739</v>
      </c>
      <c r="Q365">
        <v>7320.9132</v>
      </c>
      <c r="R365">
        <v>0.09</v>
      </c>
      <c r="S365" t="s">
        <v>709</v>
      </c>
      <c r="T365" t="s">
        <v>709</v>
      </c>
      <c r="U365" t="s">
        <v>709</v>
      </c>
      <c r="V365">
        <v>352</v>
      </c>
      <c r="X365">
        <v>81343.48</v>
      </c>
      <c r="AA365">
        <v>81343.48</v>
      </c>
      <c r="AC365" t="s">
        <v>709</v>
      </c>
      <c r="AM365" t="s">
        <v>116</v>
      </c>
      <c r="AN365">
        <v>44477</v>
      </c>
      <c r="AO365">
        <v>191155</v>
      </c>
      <c r="AP365">
        <v>81343.48</v>
      </c>
      <c r="AR365">
        <v>0</v>
      </c>
      <c r="AS365">
        <v>81343.48</v>
      </c>
      <c r="AT365">
        <v>0</v>
      </c>
      <c r="AU365">
        <v>0</v>
      </c>
      <c r="AV365" t="s">
        <v>709</v>
      </c>
      <c r="AY365" t="s">
        <v>1935</v>
      </c>
      <c r="BA365" t="s">
        <v>3473</v>
      </c>
      <c r="BB365" t="s">
        <v>3474</v>
      </c>
      <c r="BC365" t="s">
        <v>709</v>
      </c>
      <c r="BD365" t="s">
        <v>709</v>
      </c>
      <c r="BE365" t="s">
        <v>3475</v>
      </c>
      <c r="BF365" t="s">
        <v>709</v>
      </c>
      <c r="BG365" t="s">
        <v>709</v>
      </c>
      <c r="BI365" t="s">
        <v>709</v>
      </c>
      <c r="BJ365" t="s">
        <v>709</v>
      </c>
      <c r="BK365" t="s">
        <v>709</v>
      </c>
      <c r="BL365" t="s">
        <v>116</v>
      </c>
      <c r="BM365" t="s">
        <v>709</v>
      </c>
      <c r="BN365" t="s">
        <v>709</v>
      </c>
      <c r="BO365" t="s">
        <v>709</v>
      </c>
      <c r="BP365" t="s">
        <v>709</v>
      </c>
      <c r="BQ365" t="s">
        <v>709</v>
      </c>
      <c r="BR365" t="s">
        <v>709</v>
      </c>
      <c r="BS365">
        <v>358</v>
      </c>
      <c r="BT365" t="s">
        <v>745</v>
      </c>
      <c r="BU365" t="s">
        <v>709</v>
      </c>
      <c r="BV365" t="s">
        <v>745</v>
      </c>
      <c r="BW365" t="s">
        <v>709</v>
      </c>
      <c r="BX365" t="s">
        <v>745</v>
      </c>
      <c r="BY365" t="s">
        <v>745</v>
      </c>
      <c r="BZ365" t="s">
        <v>709</v>
      </c>
      <c r="CB365">
        <v>363</v>
      </c>
      <c r="CC365" t="b">
        <v>1</v>
      </c>
      <c r="CD365" t="s">
        <v>3476</v>
      </c>
      <c r="CE365" s="1482">
        <v>45880.733888888892</v>
      </c>
    </row>
    <row r="366" spans="1:83" x14ac:dyDescent="0.25">
      <c r="A366">
        <v>2021</v>
      </c>
      <c r="B366" t="s">
        <v>4</v>
      </c>
      <c r="C366" t="s">
        <v>3285</v>
      </c>
      <c r="D366">
        <v>129349</v>
      </c>
      <c r="E366" t="s">
        <v>3287</v>
      </c>
      <c r="F366" t="s">
        <v>919</v>
      </c>
      <c r="G366" t="s">
        <v>39</v>
      </c>
      <c r="H366" t="s">
        <v>2051</v>
      </c>
      <c r="I366">
        <v>44396</v>
      </c>
      <c r="J366" t="s">
        <v>2052</v>
      </c>
      <c r="K366">
        <v>44405</v>
      </c>
      <c r="L366">
        <v>9</v>
      </c>
      <c r="M366" t="s">
        <v>3179</v>
      </c>
      <c r="N366" t="s">
        <v>120</v>
      </c>
      <c r="O366">
        <v>44409</v>
      </c>
      <c r="P366" t="s">
        <v>739</v>
      </c>
      <c r="Q366">
        <v>2857.5</v>
      </c>
      <c r="R366" t="s">
        <v>1922</v>
      </c>
      <c r="S366" t="s">
        <v>709</v>
      </c>
      <c r="T366" t="s">
        <v>709</v>
      </c>
      <c r="U366">
        <v>2857.5</v>
      </c>
      <c r="AM366" t="s">
        <v>709</v>
      </c>
      <c r="AY366" t="s">
        <v>29</v>
      </c>
      <c r="BA366">
        <v>12</v>
      </c>
      <c r="BI366" t="s">
        <v>709</v>
      </c>
      <c r="BJ366" t="s">
        <v>709</v>
      </c>
      <c r="BK366" t="s">
        <v>709</v>
      </c>
      <c r="BL366" t="s">
        <v>116</v>
      </c>
      <c r="BM366" t="s">
        <v>709</v>
      </c>
      <c r="BN366" t="s">
        <v>709</v>
      </c>
      <c r="BO366" t="s">
        <v>709</v>
      </c>
      <c r="BP366" t="s">
        <v>709</v>
      </c>
      <c r="BQ366" t="s">
        <v>709</v>
      </c>
      <c r="BR366" t="s">
        <v>709</v>
      </c>
      <c r="BS366">
        <v>1243</v>
      </c>
      <c r="BT366" t="s">
        <v>745</v>
      </c>
      <c r="BU366" t="s">
        <v>709</v>
      </c>
      <c r="BV366" t="s">
        <v>745</v>
      </c>
      <c r="BW366" t="s">
        <v>709</v>
      </c>
      <c r="BX366" t="s">
        <v>745</v>
      </c>
      <c r="BY366" t="s">
        <v>745</v>
      </c>
      <c r="BZ366" t="s">
        <v>709</v>
      </c>
      <c r="CB366">
        <v>364</v>
      </c>
      <c r="CC366" t="b">
        <v>1</v>
      </c>
      <c r="CD366" t="s">
        <v>3477</v>
      </c>
      <c r="CE366" s="1482">
        <v>45880.733900462961</v>
      </c>
    </row>
    <row r="367" spans="1:83" ht="270" x14ac:dyDescent="0.25">
      <c r="A367">
        <v>2021</v>
      </c>
      <c r="B367" t="s">
        <v>771</v>
      </c>
      <c r="C367" t="s">
        <v>3478</v>
      </c>
      <c r="D367" t="s">
        <v>3479</v>
      </c>
      <c r="E367" t="s">
        <v>3448</v>
      </c>
      <c r="F367" t="s">
        <v>919</v>
      </c>
      <c r="G367" t="s">
        <v>1882</v>
      </c>
      <c r="H367" t="s">
        <v>59</v>
      </c>
      <c r="I367">
        <v>44232</v>
      </c>
      <c r="J367">
        <v>44407</v>
      </c>
      <c r="K367">
        <v>44406</v>
      </c>
      <c r="L367">
        <v>1</v>
      </c>
      <c r="N367" t="s">
        <v>120</v>
      </c>
      <c r="O367">
        <v>44409</v>
      </c>
      <c r="P367" t="s">
        <v>120</v>
      </c>
      <c r="Q367">
        <v>23978.5</v>
      </c>
      <c r="R367" t="s">
        <v>2087</v>
      </c>
      <c r="S367" t="s">
        <v>709</v>
      </c>
      <c r="T367" t="s">
        <v>709</v>
      </c>
      <c r="U367" t="s">
        <v>709</v>
      </c>
      <c r="V367">
        <v>15470</v>
      </c>
      <c r="X367">
        <v>2903439.3599999999</v>
      </c>
      <c r="Z367">
        <v>166449.13</v>
      </c>
      <c r="AA367">
        <v>3069888.49</v>
      </c>
      <c r="AC367" t="s">
        <v>116</v>
      </c>
      <c r="AM367" t="s">
        <v>709</v>
      </c>
      <c r="AY367" t="s">
        <v>29</v>
      </c>
      <c r="BA367" t="s">
        <v>3480</v>
      </c>
      <c r="BB367" s="4" t="s">
        <v>3481</v>
      </c>
      <c r="BC367" t="s">
        <v>116</v>
      </c>
      <c r="BD367" t="s">
        <v>709</v>
      </c>
      <c r="BE367" t="s">
        <v>3451</v>
      </c>
      <c r="BF367" t="s">
        <v>709</v>
      </c>
      <c r="BG367" t="s">
        <v>709</v>
      </c>
      <c r="BI367" t="s">
        <v>709</v>
      </c>
      <c r="BJ367" t="s">
        <v>709</v>
      </c>
      <c r="BK367" t="s">
        <v>709</v>
      </c>
      <c r="BL367" t="s">
        <v>116</v>
      </c>
      <c r="BM367" t="s">
        <v>709</v>
      </c>
      <c r="BN367" t="s">
        <v>709</v>
      </c>
      <c r="BO367" t="s">
        <v>709</v>
      </c>
      <c r="BP367" t="s">
        <v>709</v>
      </c>
      <c r="BQ367">
        <v>362</v>
      </c>
      <c r="BR367">
        <v>4070</v>
      </c>
      <c r="BS367">
        <v>11038</v>
      </c>
      <c r="BT367" t="s">
        <v>709</v>
      </c>
      <c r="BU367" t="s">
        <v>709</v>
      </c>
      <c r="BV367" t="s">
        <v>709</v>
      </c>
      <c r="BW367" t="s">
        <v>709</v>
      </c>
      <c r="BX367" t="s">
        <v>709</v>
      </c>
      <c r="BY367" t="s">
        <v>709</v>
      </c>
      <c r="BZ367" t="s">
        <v>709</v>
      </c>
      <c r="CB367">
        <v>365</v>
      </c>
      <c r="CC367" t="b">
        <v>1</v>
      </c>
      <c r="CD367" t="s">
        <v>3482</v>
      </c>
      <c r="CE367" s="1482">
        <v>45880.733912037038</v>
      </c>
    </row>
    <row r="368" spans="1:83" x14ac:dyDescent="0.25">
      <c r="A368">
        <v>2021</v>
      </c>
      <c r="B368" t="s">
        <v>3483</v>
      </c>
      <c r="C368" t="s">
        <v>3484</v>
      </c>
      <c r="D368" t="s">
        <v>3485</v>
      </c>
      <c r="E368" t="s">
        <v>3486</v>
      </c>
      <c r="F368" t="s">
        <v>3487</v>
      </c>
      <c r="G368" t="s">
        <v>3488</v>
      </c>
      <c r="H368" t="s">
        <v>59</v>
      </c>
      <c r="I368">
        <v>43916</v>
      </c>
      <c r="J368">
        <v>44407</v>
      </c>
      <c r="K368">
        <v>44406</v>
      </c>
      <c r="L368">
        <v>1</v>
      </c>
      <c r="N368" t="s">
        <v>120</v>
      </c>
      <c r="O368">
        <v>44440</v>
      </c>
      <c r="P368" t="s">
        <v>739</v>
      </c>
      <c r="Q368">
        <v>33527.5</v>
      </c>
      <c r="R368" t="s">
        <v>1922</v>
      </c>
      <c r="S368" t="s">
        <v>709</v>
      </c>
      <c r="T368" t="s">
        <v>709</v>
      </c>
      <c r="U368">
        <v>33527.5</v>
      </c>
      <c r="Z368">
        <v>161449.10999999999</v>
      </c>
      <c r="AA368">
        <v>161449.10999999999</v>
      </c>
      <c r="AC368" t="s">
        <v>709</v>
      </c>
      <c r="AM368" t="s">
        <v>709</v>
      </c>
      <c r="AY368" t="s">
        <v>29</v>
      </c>
      <c r="BA368" t="s">
        <v>3489</v>
      </c>
      <c r="BZ368" t="s">
        <v>709</v>
      </c>
      <c r="CA368" t="s">
        <v>915</v>
      </c>
      <c r="CB368">
        <v>366</v>
      </c>
      <c r="CC368" t="b">
        <v>1</v>
      </c>
      <c r="CD368" t="s">
        <v>3490</v>
      </c>
      <c r="CE368" s="1482">
        <v>45880.733923611115</v>
      </c>
    </row>
    <row r="369" spans="1:83" ht="240" x14ac:dyDescent="0.25">
      <c r="A369">
        <v>2022</v>
      </c>
      <c r="B369" t="s">
        <v>771</v>
      </c>
      <c r="C369" t="s">
        <v>3491</v>
      </c>
      <c r="D369" t="s">
        <v>3492</v>
      </c>
      <c r="E369" t="s">
        <v>3493</v>
      </c>
      <c r="F369" t="s">
        <v>919</v>
      </c>
      <c r="G369" t="s">
        <v>1882</v>
      </c>
      <c r="H369" t="s">
        <v>59</v>
      </c>
      <c r="I369">
        <v>44333</v>
      </c>
      <c r="J369">
        <v>44414</v>
      </c>
      <c r="K369">
        <v>44410</v>
      </c>
      <c r="L369">
        <v>4</v>
      </c>
      <c r="N369" t="s">
        <v>120</v>
      </c>
      <c r="O369">
        <v>44410</v>
      </c>
      <c r="P369" t="s">
        <v>120</v>
      </c>
      <c r="Q369">
        <v>21500.05</v>
      </c>
      <c r="R369" t="s">
        <v>2087</v>
      </c>
      <c r="S369" t="s">
        <v>709</v>
      </c>
      <c r="T369" t="s">
        <v>709</v>
      </c>
      <c r="U369" t="s">
        <v>709</v>
      </c>
      <c r="V369">
        <v>13871</v>
      </c>
      <c r="X369">
        <v>1810889.58</v>
      </c>
      <c r="Z369">
        <v>62063.18</v>
      </c>
      <c r="AA369">
        <v>1872952.76</v>
      </c>
      <c r="AC369" t="s">
        <v>709</v>
      </c>
      <c r="AM369" t="s">
        <v>709</v>
      </c>
      <c r="AY369" t="s">
        <v>29</v>
      </c>
      <c r="BA369" t="s">
        <v>3494</v>
      </c>
      <c r="BB369" s="4" t="s">
        <v>3495</v>
      </c>
      <c r="BC369" t="s">
        <v>116</v>
      </c>
      <c r="BD369" t="s">
        <v>709</v>
      </c>
      <c r="BE369" t="s">
        <v>3496</v>
      </c>
      <c r="BF369" t="s">
        <v>709</v>
      </c>
      <c r="BG369" t="s">
        <v>709</v>
      </c>
      <c r="BI369" t="s">
        <v>709</v>
      </c>
      <c r="BJ369" t="s">
        <v>709</v>
      </c>
      <c r="BK369" t="s">
        <v>709</v>
      </c>
      <c r="BL369" t="s">
        <v>116</v>
      </c>
      <c r="BM369" t="s">
        <v>709</v>
      </c>
      <c r="BN369" t="s">
        <v>709</v>
      </c>
      <c r="BO369" t="s">
        <v>709</v>
      </c>
      <c r="BP369" t="s">
        <v>709</v>
      </c>
      <c r="BQ369">
        <v>2345</v>
      </c>
      <c r="BR369">
        <v>178</v>
      </c>
      <c r="BS369">
        <v>11348</v>
      </c>
      <c r="BT369" t="s">
        <v>745</v>
      </c>
      <c r="BU369" t="s">
        <v>709</v>
      </c>
      <c r="BV369" t="s">
        <v>745</v>
      </c>
      <c r="BW369" t="s">
        <v>709</v>
      </c>
      <c r="BX369" t="s">
        <v>745</v>
      </c>
      <c r="BY369" t="s">
        <v>745</v>
      </c>
      <c r="BZ369" t="s">
        <v>709</v>
      </c>
      <c r="CB369">
        <v>367</v>
      </c>
      <c r="CC369" t="b">
        <v>1</v>
      </c>
      <c r="CD369" t="s">
        <v>3497</v>
      </c>
      <c r="CE369" s="1482">
        <v>45880.733923611115</v>
      </c>
    </row>
    <row r="370" spans="1:83" x14ac:dyDescent="0.25">
      <c r="A370">
        <v>2021</v>
      </c>
      <c r="B370" t="s">
        <v>1205</v>
      </c>
      <c r="C370" t="s">
        <v>3498</v>
      </c>
      <c r="D370" t="s">
        <v>115</v>
      </c>
      <c r="E370" t="s">
        <v>104</v>
      </c>
      <c r="G370" t="s">
        <v>1896</v>
      </c>
      <c r="H370" t="s">
        <v>2127</v>
      </c>
      <c r="I370">
        <v>44393</v>
      </c>
      <c r="J370">
        <v>44435</v>
      </c>
      <c r="K370">
        <v>44411</v>
      </c>
      <c r="L370">
        <v>24</v>
      </c>
      <c r="M370" t="s">
        <v>3499</v>
      </c>
      <c r="N370" t="s">
        <v>120</v>
      </c>
      <c r="O370">
        <v>44410</v>
      </c>
      <c r="P370" t="s">
        <v>739</v>
      </c>
      <c r="Q370" t="s">
        <v>115</v>
      </c>
      <c r="R370" t="s">
        <v>115</v>
      </c>
      <c r="S370" t="s">
        <v>709</v>
      </c>
      <c r="T370" t="s">
        <v>709</v>
      </c>
      <c r="U370" t="s">
        <v>709</v>
      </c>
      <c r="AM370" t="s">
        <v>709</v>
      </c>
      <c r="AY370" t="s">
        <v>29</v>
      </c>
      <c r="BA370" t="s">
        <v>3500</v>
      </c>
      <c r="BB370" t="s">
        <v>2994</v>
      </c>
      <c r="BZ370" t="s">
        <v>709</v>
      </c>
      <c r="CA370" t="s">
        <v>915</v>
      </c>
      <c r="CB370">
        <v>368</v>
      </c>
      <c r="CC370" t="b">
        <v>1</v>
      </c>
      <c r="CD370" t="s">
        <v>3501</v>
      </c>
      <c r="CE370" s="1482">
        <v>45880.733935185184</v>
      </c>
    </row>
    <row r="371" spans="1:83" x14ac:dyDescent="0.25">
      <c r="A371">
        <v>2021</v>
      </c>
      <c r="B371" t="s">
        <v>4</v>
      </c>
      <c r="C371" t="s">
        <v>206</v>
      </c>
      <c r="D371" t="s">
        <v>3502</v>
      </c>
      <c r="E371" t="s">
        <v>207</v>
      </c>
      <c r="F371" t="s">
        <v>919</v>
      </c>
      <c r="G371" t="s">
        <v>2814</v>
      </c>
      <c r="H371" t="s">
        <v>2051</v>
      </c>
      <c r="I371">
        <v>44238</v>
      </c>
      <c r="J371" t="s">
        <v>2052</v>
      </c>
      <c r="K371">
        <v>44411</v>
      </c>
      <c r="L371">
        <v>173</v>
      </c>
      <c r="M371" t="s">
        <v>3179</v>
      </c>
      <c r="N371" t="s">
        <v>120</v>
      </c>
      <c r="O371">
        <v>44411</v>
      </c>
      <c r="P371" t="s">
        <v>739</v>
      </c>
      <c r="Q371">
        <v>3277.5</v>
      </c>
      <c r="R371" t="s">
        <v>1922</v>
      </c>
      <c r="S371" t="s">
        <v>709</v>
      </c>
      <c r="T371" t="s">
        <v>709</v>
      </c>
      <c r="U371">
        <v>3277.5</v>
      </c>
      <c r="AM371" t="s">
        <v>709</v>
      </c>
      <c r="AY371" t="s">
        <v>29</v>
      </c>
      <c r="BA371">
        <v>12</v>
      </c>
      <c r="BI371" t="s">
        <v>709</v>
      </c>
      <c r="BJ371" t="s">
        <v>709</v>
      </c>
      <c r="BK371" t="s">
        <v>709</v>
      </c>
      <c r="BL371" t="s">
        <v>116</v>
      </c>
      <c r="BM371" t="s">
        <v>709</v>
      </c>
      <c r="BN371" t="s">
        <v>709</v>
      </c>
      <c r="BO371" t="s">
        <v>709</v>
      </c>
      <c r="BP371" t="s">
        <v>709</v>
      </c>
      <c r="BQ371" t="s">
        <v>709</v>
      </c>
      <c r="BR371">
        <v>1256</v>
      </c>
      <c r="BS371">
        <v>204</v>
      </c>
      <c r="BT371" t="s">
        <v>745</v>
      </c>
      <c r="BU371" t="s">
        <v>709</v>
      </c>
      <c r="BV371" t="s">
        <v>745</v>
      </c>
      <c r="BW371" t="s">
        <v>709</v>
      </c>
      <c r="BX371" t="s">
        <v>745</v>
      </c>
      <c r="BY371" t="s">
        <v>745</v>
      </c>
      <c r="BZ371" t="s">
        <v>709</v>
      </c>
      <c r="CB371">
        <v>369</v>
      </c>
      <c r="CC371" t="b">
        <v>1</v>
      </c>
      <c r="CD371" t="s">
        <v>3503</v>
      </c>
      <c r="CE371" s="1482">
        <v>45880.733946759261</v>
      </c>
    </row>
    <row r="372" spans="1:83" x14ac:dyDescent="0.25">
      <c r="A372">
        <v>2022</v>
      </c>
      <c r="B372" t="s">
        <v>4</v>
      </c>
      <c r="C372" t="s">
        <v>3504</v>
      </c>
      <c r="D372" t="s">
        <v>3505</v>
      </c>
      <c r="E372" t="s">
        <v>1159</v>
      </c>
      <c r="F372" t="s">
        <v>919</v>
      </c>
      <c r="G372" t="s">
        <v>2814</v>
      </c>
      <c r="H372" t="s">
        <v>1681</v>
      </c>
      <c r="I372">
        <v>44238</v>
      </c>
      <c r="J372">
        <v>44493</v>
      </c>
      <c r="K372">
        <v>44412</v>
      </c>
      <c r="L372">
        <v>81</v>
      </c>
      <c r="N372" t="s">
        <v>120</v>
      </c>
      <c r="O372">
        <v>44412</v>
      </c>
      <c r="P372" t="s">
        <v>739</v>
      </c>
      <c r="Q372" t="s">
        <v>115</v>
      </c>
      <c r="R372" t="s">
        <v>115</v>
      </c>
      <c r="S372" t="s">
        <v>709</v>
      </c>
      <c r="T372" t="s">
        <v>709</v>
      </c>
      <c r="U372" t="s">
        <v>709</v>
      </c>
      <c r="AM372" t="s">
        <v>709</v>
      </c>
      <c r="AY372" t="s">
        <v>29</v>
      </c>
      <c r="BA372" t="s">
        <v>3506</v>
      </c>
      <c r="BB372" t="s">
        <v>3507</v>
      </c>
      <c r="CB372">
        <v>370</v>
      </c>
      <c r="CC372" t="b">
        <v>1</v>
      </c>
      <c r="CD372" t="s">
        <v>3508</v>
      </c>
      <c r="CE372" s="1482">
        <v>45880.733958333331</v>
      </c>
    </row>
    <row r="373" spans="1:83" x14ac:dyDescent="0.25">
      <c r="A373">
        <v>2021</v>
      </c>
      <c r="B373" t="s">
        <v>4</v>
      </c>
      <c r="C373" t="s">
        <v>3110</v>
      </c>
      <c r="D373">
        <v>135693</v>
      </c>
      <c r="E373" t="s">
        <v>1004</v>
      </c>
      <c r="F373" t="s">
        <v>919</v>
      </c>
      <c r="G373" t="s">
        <v>1882</v>
      </c>
      <c r="H373" t="s">
        <v>2051</v>
      </c>
      <c r="I373">
        <v>44362</v>
      </c>
      <c r="J373" t="s">
        <v>2052</v>
      </c>
      <c r="K373">
        <v>44413</v>
      </c>
      <c r="L373">
        <v>51</v>
      </c>
      <c r="M373" t="s">
        <v>3432</v>
      </c>
      <c r="N373" t="s">
        <v>120</v>
      </c>
      <c r="O373">
        <v>44413</v>
      </c>
      <c r="P373" t="s">
        <v>739</v>
      </c>
      <c r="Q373">
        <v>3317.5</v>
      </c>
      <c r="R373" t="s">
        <v>1922</v>
      </c>
      <c r="S373" t="s">
        <v>709</v>
      </c>
      <c r="T373" t="s">
        <v>709</v>
      </c>
      <c r="U373">
        <v>3317.5</v>
      </c>
      <c r="AM373" t="s">
        <v>709</v>
      </c>
      <c r="AY373" t="s">
        <v>29</v>
      </c>
      <c r="BA373">
        <v>10</v>
      </c>
      <c r="BI373" t="s">
        <v>709</v>
      </c>
      <c r="BJ373" t="s">
        <v>709</v>
      </c>
      <c r="BK373" t="s">
        <v>116</v>
      </c>
      <c r="BL373" t="s">
        <v>709</v>
      </c>
      <c r="BM373" t="s">
        <v>709</v>
      </c>
      <c r="BN373">
        <v>4207</v>
      </c>
      <c r="BO373" t="s">
        <v>709</v>
      </c>
      <c r="BP373" t="s">
        <v>709</v>
      </c>
      <c r="BQ373" t="s">
        <v>709</v>
      </c>
      <c r="BR373">
        <v>20</v>
      </c>
      <c r="BS373">
        <v>126</v>
      </c>
      <c r="BT373" t="s">
        <v>709</v>
      </c>
      <c r="BU373" t="s">
        <v>709</v>
      </c>
      <c r="BV373" t="s">
        <v>745</v>
      </c>
      <c r="BW373" t="s">
        <v>709</v>
      </c>
      <c r="BX373">
        <v>1</v>
      </c>
      <c r="BY373" t="s">
        <v>745</v>
      </c>
      <c r="BZ373" t="s">
        <v>709</v>
      </c>
      <c r="CB373">
        <v>371</v>
      </c>
      <c r="CC373" t="b">
        <v>1</v>
      </c>
      <c r="CD373" t="s">
        <v>3509</v>
      </c>
      <c r="CE373" s="1482">
        <v>45880.733969907407</v>
      </c>
    </row>
    <row r="374" spans="1:83" x14ac:dyDescent="0.25">
      <c r="A374">
        <v>2021</v>
      </c>
      <c r="B374" t="s">
        <v>4</v>
      </c>
      <c r="C374" t="s">
        <v>3510</v>
      </c>
      <c r="D374" t="s">
        <v>3511</v>
      </c>
      <c r="E374" t="s">
        <v>232</v>
      </c>
      <c r="F374" t="s">
        <v>919</v>
      </c>
      <c r="G374" t="s">
        <v>2814</v>
      </c>
      <c r="H374" t="s">
        <v>59</v>
      </c>
      <c r="I374">
        <v>44374</v>
      </c>
      <c r="J374">
        <v>44421</v>
      </c>
      <c r="K374">
        <v>44417</v>
      </c>
      <c r="L374">
        <v>4</v>
      </c>
      <c r="N374" t="s">
        <v>120</v>
      </c>
      <c r="O374">
        <v>44417</v>
      </c>
      <c r="P374" t="s">
        <v>739</v>
      </c>
      <c r="Q374">
        <v>15638.039000000001</v>
      </c>
      <c r="R374">
        <v>0.1</v>
      </c>
      <c r="S374" t="s">
        <v>709</v>
      </c>
      <c r="T374" t="s">
        <v>709</v>
      </c>
      <c r="U374" t="s">
        <v>709</v>
      </c>
      <c r="V374">
        <v>248</v>
      </c>
      <c r="X374">
        <v>144431.64000000001</v>
      </c>
      <c r="Z374">
        <v>11948.75</v>
      </c>
      <c r="AA374">
        <v>156380.39000000001</v>
      </c>
      <c r="AC374" t="s">
        <v>709</v>
      </c>
      <c r="AM374" t="s">
        <v>116</v>
      </c>
      <c r="AN374">
        <v>44438</v>
      </c>
      <c r="AO374">
        <v>190500</v>
      </c>
      <c r="AP374">
        <v>136979.18</v>
      </c>
      <c r="AR374">
        <v>11952.93</v>
      </c>
      <c r="AS374">
        <v>148932.10999999999</v>
      </c>
      <c r="AT374">
        <v>-7448.28</v>
      </c>
      <c r="AU374">
        <v>-744.82799999999997</v>
      </c>
      <c r="AV374" t="s">
        <v>709</v>
      </c>
      <c r="AW374" t="s">
        <v>3512</v>
      </c>
      <c r="AX374">
        <v>-744.82799999999997</v>
      </c>
      <c r="AY374">
        <v>44501</v>
      </c>
      <c r="BA374" t="s">
        <v>3513</v>
      </c>
      <c r="BB374" t="s">
        <v>3507</v>
      </c>
      <c r="BC374" t="s">
        <v>709</v>
      </c>
      <c r="BD374" t="s">
        <v>709</v>
      </c>
      <c r="BE374" t="s">
        <v>595</v>
      </c>
      <c r="BF374" t="s">
        <v>709</v>
      </c>
      <c r="BG374" t="s">
        <v>709</v>
      </c>
      <c r="BI374" t="s">
        <v>709</v>
      </c>
      <c r="BJ374" t="s">
        <v>709</v>
      </c>
      <c r="BK374" t="s">
        <v>709</v>
      </c>
      <c r="BL374" t="s">
        <v>116</v>
      </c>
      <c r="BM374" t="s">
        <v>709</v>
      </c>
      <c r="BN374" t="s">
        <v>709</v>
      </c>
      <c r="BO374" t="s">
        <v>709</v>
      </c>
      <c r="BP374" t="s">
        <v>709</v>
      </c>
      <c r="BQ374" t="s">
        <v>709</v>
      </c>
      <c r="BR374" t="s">
        <v>709</v>
      </c>
      <c r="BS374">
        <v>248</v>
      </c>
      <c r="BT374" t="s">
        <v>745</v>
      </c>
      <c r="BU374" t="s">
        <v>709</v>
      </c>
      <c r="BV374" t="s">
        <v>745</v>
      </c>
      <c r="BW374" t="s">
        <v>709</v>
      </c>
      <c r="BX374" t="s">
        <v>745</v>
      </c>
      <c r="BY374" t="s">
        <v>745</v>
      </c>
      <c r="BZ374" t="s">
        <v>709</v>
      </c>
      <c r="CB374">
        <v>372</v>
      </c>
      <c r="CC374" t="b">
        <v>1</v>
      </c>
      <c r="CD374" t="s">
        <v>3514</v>
      </c>
      <c r="CE374" s="1482">
        <v>45880.733969907407</v>
      </c>
    </row>
    <row r="375" spans="1:83" ht="360" x14ac:dyDescent="0.25">
      <c r="A375">
        <v>2021</v>
      </c>
      <c r="B375" t="s">
        <v>4</v>
      </c>
      <c r="C375" t="s">
        <v>3515</v>
      </c>
      <c r="D375" t="s">
        <v>3516</v>
      </c>
      <c r="E375" t="s">
        <v>1920</v>
      </c>
      <c r="F375" t="s">
        <v>919</v>
      </c>
      <c r="G375" t="s">
        <v>2814</v>
      </c>
      <c r="H375" t="s">
        <v>1681</v>
      </c>
      <c r="I375">
        <v>44398</v>
      </c>
      <c r="J375">
        <v>44428</v>
      </c>
      <c r="K375">
        <v>44417</v>
      </c>
      <c r="L375">
        <v>11</v>
      </c>
      <c r="N375" t="s">
        <v>120</v>
      </c>
      <c r="O375">
        <v>44417</v>
      </c>
      <c r="P375" t="s">
        <v>739</v>
      </c>
      <c r="Q375" t="s">
        <v>115</v>
      </c>
      <c r="R375" t="s">
        <v>115</v>
      </c>
      <c r="S375" t="s">
        <v>709</v>
      </c>
      <c r="T375" t="s">
        <v>709</v>
      </c>
      <c r="U375" t="s">
        <v>709</v>
      </c>
      <c r="AM375" t="s">
        <v>709</v>
      </c>
      <c r="AY375" t="s">
        <v>29</v>
      </c>
      <c r="BA375" s="4" t="s">
        <v>3517</v>
      </c>
      <c r="BB375" t="s">
        <v>3518</v>
      </c>
      <c r="CB375">
        <v>373</v>
      </c>
      <c r="CC375" t="b">
        <v>1</v>
      </c>
      <c r="CD375" t="s">
        <v>3519</v>
      </c>
      <c r="CE375" s="1482">
        <v>45880.733981481484</v>
      </c>
    </row>
    <row r="376" spans="1:83" x14ac:dyDescent="0.25">
      <c r="A376">
        <v>2021</v>
      </c>
      <c r="B376" t="s">
        <v>4</v>
      </c>
      <c r="C376" t="s">
        <v>2576</v>
      </c>
      <c r="D376" t="s">
        <v>2577</v>
      </c>
      <c r="E376" t="s">
        <v>1920</v>
      </c>
      <c r="F376" t="s">
        <v>919</v>
      </c>
      <c r="G376" t="s">
        <v>2814</v>
      </c>
      <c r="H376" t="s">
        <v>2051</v>
      </c>
      <c r="I376">
        <v>44412</v>
      </c>
      <c r="J376" t="s">
        <v>2052</v>
      </c>
      <c r="K376">
        <v>44418</v>
      </c>
      <c r="L376">
        <v>6</v>
      </c>
      <c r="M376" t="s">
        <v>3179</v>
      </c>
      <c r="N376" t="s">
        <v>120</v>
      </c>
      <c r="O376">
        <v>44440</v>
      </c>
      <c r="P376" t="s">
        <v>739</v>
      </c>
      <c r="Q376">
        <v>9688.7999999999993</v>
      </c>
      <c r="R376" t="s">
        <v>1922</v>
      </c>
      <c r="S376" t="s">
        <v>709</v>
      </c>
      <c r="T376">
        <v>1528.8</v>
      </c>
      <c r="U376">
        <v>8160</v>
      </c>
      <c r="AA376">
        <v>0</v>
      </c>
      <c r="AM376" t="s">
        <v>709</v>
      </c>
      <c r="AY376" t="s">
        <v>29</v>
      </c>
      <c r="BA376">
        <v>12</v>
      </c>
      <c r="BI376" t="s">
        <v>709</v>
      </c>
      <c r="BJ376" t="s">
        <v>709</v>
      </c>
      <c r="BK376" t="s">
        <v>709</v>
      </c>
      <c r="BL376" t="s">
        <v>116</v>
      </c>
      <c r="BM376" t="s">
        <v>709</v>
      </c>
      <c r="BN376" t="s">
        <v>709</v>
      </c>
      <c r="BO376" t="s">
        <v>709</v>
      </c>
      <c r="BP376" t="s">
        <v>709</v>
      </c>
      <c r="BQ376" t="s">
        <v>709</v>
      </c>
      <c r="BR376">
        <v>918</v>
      </c>
      <c r="BS376">
        <v>36</v>
      </c>
      <c r="BT376" t="s">
        <v>745</v>
      </c>
      <c r="BU376" t="s">
        <v>709</v>
      </c>
      <c r="BV376" t="s">
        <v>745</v>
      </c>
      <c r="BW376" t="s">
        <v>709</v>
      </c>
      <c r="BX376" t="s">
        <v>745</v>
      </c>
      <c r="BY376" t="s">
        <v>745</v>
      </c>
      <c r="BZ376" t="s">
        <v>709</v>
      </c>
      <c r="CB376">
        <v>374</v>
      </c>
      <c r="CC376" t="b">
        <v>1</v>
      </c>
      <c r="CD376" t="s">
        <v>3520</v>
      </c>
      <c r="CE376" s="1482">
        <v>45880.733993055554</v>
      </c>
    </row>
    <row r="377" spans="1:83" ht="270" x14ac:dyDescent="0.25">
      <c r="A377">
        <v>2022</v>
      </c>
      <c r="B377" t="s">
        <v>4</v>
      </c>
      <c r="C377" t="s">
        <v>3521</v>
      </c>
      <c r="D377" t="s">
        <v>3522</v>
      </c>
      <c r="E377" t="s">
        <v>232</v>
      </c>
      <c r="F377" t="s">
        <v>919</v>
      </c>
      <c r="G377" t="s">
        <v>1882</v>
      </c>
      <c r="H377" t="s">
        <v>59</v>
      </c>
      <c r="I377">
        <v>43809</v>
      </c>
      <c r="J377">
        <v>44419</v>
      </c>
      <c r="K377">
        <v>44419</v>
      </c>
      <c r="L377">
        <v>0</v>
      </c>
      <c r="N377" t="s">
        <v>120</v>
      </c>
      <c r="O377">
        <v>44419</v>
      </c>
      <c r="P377" t="s">
        <v>739</v>
      </c>
      <c r="Q377">
        <v>249517.389</v>
      </c>
      <c r="R377">
        <v>0.1</v>
      </c>
      <c r="S377" t="s">
        <v>709</v>
      </c>
      <c r="T377" t="s">
        <v>709</v>
      </c>
      <c r="U377" t="s">
        <v>709</v>
      </c>
      <c r="V377">
        <v>3563</v>
      </c>
      <c r="X377">
        <v>2272819.6</v>
      </c>
      <c r="Z377">
        <v>222354.29</v>
      </c>
      <c r="AA377">
        <v>2495173.89</v>
      </c>
      <c r="AC377" t="s">
        <v>116</v>
      </c>
      <c r="AM377" t="s">
        <v>116</v>
      </c>
      <c r="AN377">
        <v>44622</v>
      </c>
      <c r="AO377">
        <v>11034024</v>
      </c>
      <c r="AP377">
        <v>2277078.38</v>
      </c>
      <c r="AR377">
        <v>222356.37</v>
      </c>
      <c r="AS377">
        <v>2499434.75</v>
      </c>
      <c r="AT377">
        <v>4260.8599999999997</v>
      </c>
      <c r="AU377">
        <v>426.08600000000001</v>
      </c>
      <c r="AV377" t="s">
        <v>709</v>
      </c>
      <c r="AX377">
        <v>426.08600000000001</v>
      </c>
      <c r="AY377">
        <v>45008</v>
      </c>
      <c r="BA377" t="s">
        <v>3523</v>
      </c>
      <c r="BB377" s="4" t="s">
        <v>3524</v>
      </c>
      <c r="BC377" t="s">
        <v>116</v>
      </c>
      <c r="BD377" t="s">
        <v>709</v>
      </c>
      <c r="BE377" t="s">
        <v>595</v>
      </c>
      <c r="BF377" t="s">
        <v>709</v>
      </c>
      <c r="BG377" t="s">
        <v>709</v>
      </c>
      <c r="BI377" t="s">
        <v>709</v>
      </c>
      <c r="BJ377" t="s">
        <v>709</v>
      </c>
      <c r="BK377" t="s">
        <v>709</v>
      </c>
      <c r="BL377" t="s">
        <v>116</v>
      </c>
      <c r="BM377" t="s">
        <v>709</v>
      </c>
      <c r="BN377" t="s">
        <v>116</v>
      </c>
      <c r="BO377" t="s">
        <v>709</v>
      </c>
      <c r="BP377">
        <v>2805</v>
      </c>
      <c r="BQ377" t="s">
        <v>709</v>
      </c>
      <c r="BR377" t="s">
        <v>709</v>
      </c>
      <c r="BS377">
        <v>758</v>
      </c>
      <c r="BT377" t="s">
        <v>745</v>
      </c>
      <c r="BU377" t="s">
        <v>709</v>
      </c>
      <c r="BV377" t="s">
        <v>745</v>
      </c>
      <c r="BW377" t="s">
        <v>709</v>
      </c>
      <c r="BX377" t="s">
        <v>745</v>
      </c>
      <c r="BY377" t="s">
        <v>745</v>
      </c>
      <c r="BZ377" t="s">
        <v>709</v>
      </c>
      <c r="CB377">
        <v>375</v>
      </c>
      <c r="CC377" t="b">
        <v>1</v>
      </c>
      <c r="CD377" t="s">
        <v>3525</v>
      </c>
      <c r="CE377" s="1482">
        <v>45880.73400462963</v>
      </c>
    </row>
    <row r="378" spans="1:83" ht="120" x14ac:dyDescent="0.25">
      <c r="A378">
        <v>2021</v>
      </c>
      <c r="B378" t="s">
        <v>1073</v>
      </c>
      <c r="C378" t="s">
        <v>3526</v>
      </c>
      <c r="D378" t="s">
        <v>3527</v>
      </c>
      <c r="E378" t="s">
        <v>3528</v>
      </c>
      <c r="F378" t="s">
        <v>738</v>
      </c>
      <c r="G378" t="s">
        <v>36</v>
      </c>
      <c r="H378" t="s">
        <v>59</v>
      </c>
      <c r="I378">
        <v>44385</v>
      </c>
      <c r="J378">
        <v>44441</v>
      </c>
      <c r="K378">
        <v>44425</v>
      </c>
      <c r="L378">
        <v>16</v>
      </c>
      <c r="N378" t="s">
        <v>120</v>
      </c>
      <c r="O378">
        <v>44425</v>
      </c>
      <c r="P378" t="s">
        <v>739</v>
      </c>
      <c r="Q378">
        <v>7474.8954000000003</v>
      </c>
      <c r="R378">
        <v>7.0000000000000007E-2</v>
      </c>
      <c r="S378" t="s">
        <v>709</v>
      </c>
      <c r="T378" t="s">
        <v>709</v>
      </c>
      <c r="U378" t="s">
        <v>709</v>
      </c>
      <c r="V378">
        <v>381</v>
      </c>
      <c r="X378">
        <v>96390.47</v>
      </c>
      <c r="Z378">
        <v>10393.75</v>
      </c>
      <c r="AA378">
        <v>106784.22</v>
      </c>
      <c r="AC378" t="s">
        <v>709</v>
      </c>
      <c r="AM378" t="s">
        <v>116</v>
      </c>
      <c r="AN378">
        <v>44467</v>
      </c>
      <c r="AO378">
        <v>191079</v>
      </c>
      <c r="AP378">
        <v>84057.14</v>
      </c>
      <c r="AR378">
        <v>10393.75</v>
      </c>
      <c r="AS378">
        <v>94450.89</v>
      </c>
      <c r="AT378">
        <v>-12333.33</v>
      </c>
      <c r="AU378">
        <v>-863.33309999999994</v>
      </c>
      <c r="AV378" t="s">
        <v>709</v>
      </c>
      <c r="AW378" t="s">
        <v>3529</v>
      </c>
      <c r="AX378">
        <v>-863.33309999999994</v>
      </c>
      <c r="AY378">
        <v>44501</v>
      </c>
      <c r="BA378" s="4" t="s">
        <v>3530</v>
      </c>
      <c r="BB378" s="4" t="s">
        <v>3531</v>
      </c>
      <c r="BC378" t="s">
        <v>709</v>
      </c>
      <c r="BD378" t="s">
        <v>709</v>
      </c>
      <c r="BE378" t="s">
        <v>709</v>
      </c>
      <c r="BF378" t="s">
        <v>709</v>
      </c>
      <c r="BG378" t="s">
        <v>709</v>
      </c>
      <c r="BI378" t="s">
        <v>709</v>
      </c>
      <c r="BJ378" t="s">
        <v>709</v>
      </c>
      <c r="BK378" t="s">
        <v>709</v>
      </c>
      <c r="BL378" t="s">
        <v>116</v>
      </c>
      <c r="BM378" t="s">
        <v>709</v>
      </c>
      <c r="BN378" t="s">
        <v>709</v>
      </c>
      <c r="BO378" t="s">
        <v>709</v>
      </c>
      <c r="BP378" t="s">
        <v>709</v>
      </c>
      <c r="BQ378" t="s">
        <v>709</v>
      </c>
      <c r="BR378">
        <v>381</v>
      </c>
      <c r="BS378" t="s">
        <v>709</v>
      </c>
      <c r="BT378" t="s">
        <v>745</v>
      </c>
      <c r="BU378" t="s">
        <v>709</v>
      </c>
      <c r="BV378" t="s">
        <v>745</v>
      </c>
      <c r="BW378" t="s">
        <v>709</v>
      </c>
      <c r="BX378" t="s">
        <v>745</v>
      </c>
      <c r="BY378" t="s">
        <v>745</v>
      </c>
      <c r="BZ378" t="s">
        <v>709</v>
      </c>
      <c r="CB378">
        <v>377</v>
      </c>
      <c r="CC378" t="b">
        <v>1</v>
      </c>
      <c r="CD378" t="s">
        <v>3532</v>
      </c>
      <c r="CE378" s="1482">
        <v>45880.734016203707</v>
      </c>
    </row>
    <row r="379" spans="1:83" x14ac:dyDescent="0.25">
      <c r="A379">
        <v>2021</v>
      </c>
      <c r="B379" t="s">
        <v>771</v>
      </c>
      <c r="C379" t="s">
        <v>3533</v>
      </c>
      <c r="D379" t="s">
        <v>3534</v>
      </c>
      <c r="E379" t="s">
        <v>272</v>
      </c>
      <c r="F379" t="s">
        <v>919</v>
      </c>
      <c r="G379" t="s">
        <v>1882</v>
      </c>
      <c r="H379" t="s">
        <v>59</v>
      </c>
      <c r="I379">
        <v>44068</v>
      </c>
      <c r="J379">
        <v>44435</v>
      </c>
      <c r="K379">
        <v>44425</v>
      </c>
      <c r="L379">
        <v>10</v>
      </c>
      <c r="N379" t="s">
        <v>120</v>
      </c>
      <c r="O379">
        <v>44425</v>
      </c>
      <c r="P379" t="s">
        <v>120</v>
      </c>
      <c r="Q379">
        <v>83984.526899999997</v>
      </c>
      <c r="R379">
        <v>0.09</v>
      </c>
      <c r="S379" t="s">
        <v>709</v>
      </c>
      <c r="T379" t="s">
        <v>709</v>
      </c>
      <c r="U379" t="s">
        <v>709</v>
      </c>
      <c r="V379">
        <v>4838</v>
      </c>
      <c r="X379">
        <v>869493.87</v>
      </c>
      <c r="Z379">
        <v>63667.54</v>
      </c>
      <c r="AA379">
        <v>933161.41</v>
      </c>
      <c r="AC379" t="s">
        <v>709</v>
      </c>
      <c r="AM379" t="s">
        <v>116</v>
      </c>
      <c r="AN379">
        <v>44468</v>
      </c>
      <c r="AO379">
        <v>191032</v>
      </c>
      <c r="AP379">
        <v>956443.26</v>
      </c>
      <c r="AR379">
        <v>63667.54</v>
      </c>
      <c r="AS379">
        <v>1020110.8</v>
      </c>
      <c r="AT379">
        <v>86949.39</v>
      </c>
      <c r="AU379">
        <v>7825.4450999999999</v>
      </c>
      <c r="AV379" t="s">
        <v>709</v>
      </c>
      <c r="AW379" t="s">
        <v>2275</v>
      </c>
      <c r="AX379">
        <v>7825.4450999999999</v>
      </c>
      <c r="AY379">
        <v>44501</v>
      </c>
      <c r="BA379" t="s">
        <v>3535</v>
      </c>
      <c r="BB379" t="s">
        <v>3507</v>
      </c>
      <c r="BC379" t="s">
        <v>709</v>
      </c>
      <c r="BD379" t="s">
        <v>709</v>
      </c>
      <c r="BE379" t="s">
        <v>1242</v>
      </c>
      <c r="BF379" t="s">
        <v>709</v>
      </c>
      <c r="BG379" t="s">
        <v>709</v>
      </c>
      <c r="BI379" t="s">
        <v>709</v>
      </c>
      <c r="BJ379" t="s">
        <v>709</v>
      </c>
      <c r="BK379" t="s">
        <v>709</v>
      </c>
      <c r="BL379" t="s">
        <v>116</v>
      </c>
      <c r="BM379" t="s">
        <v>709</v>
      </c>
      <c r="BN379" t="s">
        <v>709</v>
      </c>
      <c r="BO379" t="s">
        <v>709</v>
      </c>
      <c r="BP379" t="s">
        <v>709</v>
      </c>
      <c r="BQ379">
        <v>2179</v>
      </c>
      <c r="BR379">
        <v>1496</v>
      </c>
      <c r="BS379">
        <v>1163</v>
      </c>
      <c r="BT379" t="s">
        <v>745</v>
      </c>
      <c r="BU379" t="s">
        <v>709</v>
      </c>
      <c r="BV379" t="s">
        <v>745</v>
      </c>
      <c r="BW379" t="s">
        <v>709</v>
      </c>
      <c r="BX379" t="s">
        <v>745</v>
      </c>
      <c r="BY379" t="s">
        <v>745</v>
      </c>
      <c r="BZ379" t="s">
        <v>709</v>
      </c>
      <c r="CB379">
        <v>376</v>
      </c>
      <c r="CC379" t="b">
        <v>1</v>
      </c>
      <c r="CD379" t="s">
        <v>3536</v>
      </c>
      <c r="CE379" s="1482">
        <v>45880.734027777777</v>
      </c>
    </row>
    <row r="380" spans="1:83" ht="409.5" x14ac:dyDescent="0.25">
      <c r="A380">
        <v>2021</v>
      </c>
      <c r="B380" t="s">
        <v>769</v>
      </c>
      <c r="C380" t="s">
        <v>3537</v>
      </c>
      <c r="D380" t="s">
        <v>3538</v>
      </c>
      <c r="E380" t="s">
        <v>1827</v>
      </c>
      <c r="F380" t="s">
        <v>919</v>
      </c>
      <c r="G380" t="s">
        <v>2814</v>
      </c>
      <c r="H380" t="s">
        <v>59</v>
      </c>
      <c r="I380">
        <v>44286</v>
      </c>
      <c r="J380">
        <v>44427</v>
      </c>
      <c r="K380">
        <v>44427</v>
      </c>
      <c r="L380">
        <v>0</v>
      </c>
      <c r="M380" t="s">
        <v>3539</v>
      </c>
      <c r="N380" t="s">
        <v>120</v>
      </c>
      <c r="O380">
        <v>44440</v>
      </c>
      <c r="P380" t="s">
        <v>739</v>
      </c>
      <c r="Q380">
        <v>14785</v>
      </c>
      <c r="R380" t="s">
        <v>1922</v>
      </c>
      <c r="S380" t="s">
        <v>709</v>
      </c>
      <c r="T380" t="s">
        <v>709</v>
      </c>
      <c r="U380">
        <v>14785</v>
      </c>
      <c r="X380">
        <v>106578.23</v>
      </c>
      <c r="AA380">
        <v>106578.23</v>
      </c>
      <c r="AC380" t="s">
        <v>709</v>
      </c>
      <c r="AM380" t="s">
        <v>709</v>
      </c>
      <c r="AY380" t="s">
        <v>29</v>
      </c>
      <c r="BA380" s="4" t="s">
        <v>3540</v>
      </c>
      <c r="BB380" t="s">
        <v>1496</v>
      </c>
      <c r="BC380" t="s">
        <v>709</v>
      </c>
      <c r="BD380" t="s">
        <v>757</v>
      </c>
      <c r="BE380" t="s">
        <v>1830</v>
      </c>
      <c r="BF380" t="s">
        <v>709</v>
      </c>
      <c r="BG380" t="s">
        <v>709</v>
      </c>
      <c r="BI380" t="s">
        <v>709</v>
      </c>
      <c r="BJ380" t="s">
        <v>709</v>
      </c>
      <c r="BK380" t="s">
        <v>709</v>
      </c>
      <c r="BL380" t="s">
        <v>709</v>
      </c>
      <c r="BM380" t="s">
        <v>709</v>
      </c>
      <c r="BN380" t="s">
        <v>709</v>
      </c>
      <c r="BO380" t="s">
        <v>709</v>
      </c>
      <c r="BP380" t="s">
        <v>709</v>
      </c>
      <c r="BQ380" t="s">
        <v>709</v>
      </c>
      <c r="BR380" t="s">
        <v>709</v>
      </c>
      <c r="BS380" t="s">
        <v>709</v>
      </c>
      <c r="BT380" t="s">
        <v>709</v>
      </c>
      <c r="BU380" t="s">
        <v>709</v>
      </c>
      <c r="BV380" t="s">
        <v>709</v>
      </c>
      <c r="BW380" t="s">
        <v>709</v>
      </c>
      <c r="BX380" t="s">
        <v>709</v>
      </c>
      <c r="BY380" t="s">
        <v>709</v>
      </c>
      <c r="BZ380" t="s">
        <v>709</v>
      </c>
      <c r="CA380" t="s">
        <v>3541</v>
      </c>
      <c r="CB380">
        <v>379</v>
      </c>
      <c r="CC380" t="b">
        <v>1</v>
      </c>
      <c r="CD380" t="s">
        <v>3542</v>
      </c>
      <c r="CE380" s="1482">
        <v>45880.734027777777</v>
      </c>
    </row>
    <row r="381" spans="1:83" ht="150" x14ac:dyDescent="0.25">
      <c r="A381">
        <v>2022</v>
      </c>
      <c r="B381" t="s">
        <v>730</v>
      </c>
      <c r="C381" t="s">
        <v>1222</v>
      </c>
      <c r="D381" t="s">
        <v>1223</v>
      </c>
      <c r="E381" t="s">
        <v>1224</v>
      </c>
      <c r="F381" t="s">
        <v>747</v>
      </c>
      <c r="G381" t="s">
        <v>347</v>
      </c>
      <c r="H381" t="s">
        <v>59</v>
      </c>
      <c r="I381">
        <v>44320</v>
      </c>
      <c r="J381">
        <v>44435</v>
      </c>
      <c r="K381">
        <v>44427</v>
      </c>
      <c r="L381">
        <v>8</v>
      </c>
      <c r="N381" t="s">
        <v>120</v>
      </c>
      <c r="O381">
        <v>44427</v>
      </c>
      <c r="P381" t="s">
        <v>120</v>
      </c>
      <c r="Q381">
        <v>27388.63</v>
      </c>
      <c r="R381" t="s">
        <v>794</v>
      </c>
      <c r="S381" t="s">
        <v>709</v>
      </c>
      <c r="T381" t="s">
        <v>709</v>
      </c>
      <c r="U381" t="s">
        <v>709</v>
      </c>
      <c r="V381">
        <v>189</v>
      </c>
      <c r="X381">
        <v>219773.31</v>
      </c>
      <c r="Z381">
        <v>40681.160000000003</v>
      </c>
      <c r="AA381">
        <v>260454.47</v>
      </c>
      <c r="AC381" t="s">
        <v>1177</v>
      </c>
      <c r="AM381" t="s">
        <v>116</v>
      </c>
      <c r="AN381" t="s">
        <v>709</v>
      </c>
      <c r="AO381">
        <v>11038370</v>
      </c>
      <c r="AS381">
        <v>0</v>
      </c>
      <c r="AT381">
        <v>0</v>
      </c>
      <c r="AU381">
        <v>0</v>
      </c>
      <c r="AY381" t="s">
        <v>709</v>
      </c>
      <c r="AZ381">
        <v>166</v>
      </c>
      <c r="BA381" t="s">
        <v>1225</v>
      </c>
      <c r="BB381" s="4" t="s">
        <v>1226</v>
      </c>
      <c r="BC381" t="s">
        <v>709</v>
      </c>
      <c r="BD381" t="s">
        <v>1227</v>
      </c>
      <c r="BE381" t="s">
        <v>709</v>
      </c>
      <c r="BF381" t="s">
        <v>709</v>
      </c>
      <c r="BG381" t="s">
        <v>709</v>
      </c>
      <c r="BI381" t="s">
        <v>709</v>
      </c>
      <c r="BJ381" t="s">
        <v>116</v>
      </c>
      <c r="BK381" t="s">
        <v>709</v>
      </c>
      <c r="BL381" t="s">
        <v>116</v>
      </c>
      <c r="BM381" t="s">
        <v>709</v>
      </c>
      <c r="BN381" t="s">
        <v>709</v>
      </c>
      <c r="BO381" t="s">
        <v>709</v>
      </c>
      <c r="BP381" t="s">
        <v>709</v>
      </c>
      <c r="BQ381" t="s">
        <v>709</v>
      </c>
      <c r="BR381" t="s">
        <v>709</v>
      </c>
      <c r="BS381">
        <v>189</v>
      </c>
      <c r="BT381" t="s">
        <v>709</v>
      </c>
      <c r="BU381">
        <v>1</v>
      </c>
      <c r="BV381" t="s">
        <v>709</v>
      </c>
      <c r="BW381" t="s">
        <v>709</v>
      </c>
      <c r="BX381">
        <v>1</v>
      </c>
      <c r="BY381" t="s">
        <v>709</v>
      </c>
      <c r="BZ381" t="s">
        <v>709</v>
      </c>
      <c r="CA381" t="s">
        <v>730</v>
      </c>
      <c r="CB381">
        <v>378</v>
      </c>
      <c r="CC381" t="b">
        <v>1</v>
      </c>
      <c r="CD381" t="s">
        <v>3543</v>
      </c>
      <c r="CE381" s="1482">
        <v>45880.734039351853</v>
      </c>
    </row>
    <row r="382" spans="1:83" x14ac:dyDescent="0.25">
      <c r="A382">
        <v>2022</v>
      </c>
      <c r="B382" t="s">
        <v>4</v>
      </c>
      <c r="C382" t="s">
        <v>3544</v>
      </c>
      <c r="D382" t="s">
        <v>3545</v>
      </c>
      <c r="E382" t="s">
        <v>108</v>
      </c>
      <c r="F382" t="s">
        <v>738</v>
      </c>
      <c r="G382" t="s">
        <v>23</v>
      </c>
      <c r="H382" t="s">
        <v>59</v>
      </c>
      <c r="I382">
        <v>44134</v>
      </c>
      <c r="J382">
        <v>44431</v>
      </c>
      <c r="K382">
        <v>44428</v>
      </c>
      <c r="L382">
        <v>3</v>
      </c>
      <c r="N382" t="s">
        <v>120</v>
      </c>
      <c r="O382">
        <v>44428</v>
      </c>
      <c r="P382" t="s">
        <v>739</v>
      </c>
      <c r="Q382">
        <v>26419.793000000001</v>
      </c>
      <c r="R382">
        <v>0.1</v>
      </c>
      <c r="S382" t="s">
        <v>709</v>
      </c>
      <c r="T382" t="s">
        <v>709</v>
      </c>
      <c r="U382" t="s">
        <v>709</v>
      </c>
      <c r="V382">
        <v>1361</v>
      </c>
      <c r="X382">
        <v>240185.06</v>
      </c>
      <c r="Z382">
        <v>24012.87</v>
      </c>
      <c r="AA382">
        <v>264197.93</v>
      </c>
      <c r="AC382" t="s">
        <v>709</v>
      </c>
      <c r="AM382" t="s">
        <v>116</v>
      </c>
      <c r="AN382">
        <v>44595</v>
      </c>
      <c r="AO382">
        <v>11040355</v>
      </c>
      <c r="AP382">
        <v>273949.28999999998</v>
      </c>
      <c r="AR382">
        <v>25077.03</v>
      </c>
      <c r="AS382">
        <v>299026.32</v>
      </c>
      <c r="AT382">
        <v>34828.39</v>
      </c>
      <c r="AU382">
        <v>3482.8389999999999</v>
      </c>
      <c r="AV382">
        <v>11592.5</v>
      </c>
      <c r="AW382" t="s">
        <v>3546</v>
      </c>
      <c r="AX382">
        <v>0</v>
      </c>
      <c r="AY382">
        <v>45008</v>
      </c>
      <c r="BA382" t="s">
        <v>3547</v>
      </c>
      <c r="BB382" t="s">
        <v>3548</v>
      </c>
      <c r="BC382" t="s">
        <v>116</v>
      </c>
      <c r="BD382" t="s">
        <v>709</v>
      </c>
      <c r="BE382" t="s">
        <v>1569</v>
      </c>
      <c r="BF382" t="s">
        <v>709</v>
      </c>
      <c r="BG382" t="s">
        <v>709</v>
      </c>
      <c r="BI382" t="s">
        <v>709</v>
      </c>
      <c r="BJ382" t="s">
        <v>709</v>
      </c>
      <c r="BK382" t="s">
        <v>709</v>
      </c>
      <c r="BL382" t="s">
        <v>116</v>
      </c>
      <c r="BM382" t="s">
        <v>709</v>
      </c>
      <c r="BN382" t="s">
        <v>709</v>
      </c>
      <c r="BO382" t="s">
        <v>709</v>
      </c>
      <c r="BP382" t="s">
        <v>709</v>
      </c>
      <c r="BQ382" t="s">
        <v>709</v>
      </c>
      <c r="BR382" t="s">
        <v>709</v>
      </c>
      <c r="BS382">
        <v>1361</v>
      </c>
      <c r="BT382" t="s">
        <v>745</v>
      </c>
      <c r="BU382" t="s">
        <v>709</v>
      </c>
      <c r="BV382" t="s">
        <v>745</v>
      </c>
      <c r="BW382" t="s">
        <v>709</v>
      </c>
      <c r="BX382" t="s">
        <v>745</v>
      </c>
      <c r="BY382" t="s">
        <v>745</v>
      </c>
      <c r="BZ382" t="s">
        <v>709</v>
      </c>
      <c r="CB382">
        <v>380</v>
      </c>
      <c r="CC382" t="b">
        <v>1</v>
      </c>
      <c r="CD382" t="s">
        <v>3549</v>
      </c>
      <c r="CE382" s="1482">
        <v>45880.734050925923</v>
      </c>
    </row>
    <row r="383" spans="1:83" x14ac:dyDescent="0.25">
      <c r="A383">
        <v>2022</v>
      </c>
      <c r="B383" t="s">
        <v>4</v>
      </c>
      <c r="C383" t="s">
        <v>916</v>
      </c>
      <c r="D383" t="s">
        <v>917</v>
      </c>
      <c r="E383" t="s">
        <v>918</v>
      </c>
      <c r="F383" t="s">
        <v>919</v>
      </c>
      <c r="G383" t="s">
        <v>39</v>
      </c>
      <c r="H383" t="s">
        <v>59</v>
      </c>
      <c r="I383">
        <v>44356</v>
      </c>
      <c r="J383">
        <v>44439</v>
      </c>
      <c r="K383">
        <v>44431</v>
      </c>
      <c r="L383">
        <v>8</v>
      </c>
      <c r="N383" t="s">
        <v>120</v>
      </c>
      <c r="O383">
        <v>44431</v>
      </c>
      <c r="P383" t="s">
        <v>739</v>
      </c>
      <c r="Q383">
        <v>41324.991999999998</v>
      </c>
      <c r="R383">
        <v>0.1</v>
      </c>
      <c r="S383" t="s">
        <v>709</v>
      </c>
      <c r="T383" t="s">
        <v>709</v>
      </c>
      <c r="U383" t="s">
        <v>709</v>
      </c>
      <c r="V383">
        <v>1196</v>
      </c>
      <c r="X383">
        <v>377669.11</v>
      </c>
      <c r="Z383">
        <v>35580.81</v>
      </c>
      <c r="AA383">
        <v>413249.92</v>
      </c>
      <c r="AC383" t="s">
        <v>709</v>
      </c>
      <c r="AM383" t="s">
        <v>116</v>
      </c>
      <c r="AN383">
        <v>45371</v>
      </c>
      <c r="AO383">
        <v>11080190</v>
      </c>
      <c r="AP383">
        <v>443358.64</v>
      </c>
      <c r="AR383">
        <v>39643.230000000003</v>
      </c>
      <c r="AS383">
        <v>483001.87</v>
      </c>
      <c r="AT383">
        <v>69751.95</v>
      </c>
      <c r="AU383">
        <v>6975.1949999999997</v>
      </c>
      <c r="AV383">
        <v>0</v>
      </c>
      <c r="AW383" t="s">
        <v>920</v>
      </c>
      <c r="AX383">
        <v>6975.2</v>
      </c>
      <c r="AY383">
        <v>45566</v>
      </c>
      <c r="AZ383">
        <v>62</v>
      </c>
      <c r="BA383" t="s">
        <v>921</v>
      </c>
      <c r="BB383" t="s">
        <v>922</v>
      </c>
      <c r="BC383" t="s">
        <v>709</v>
      </c>
      <c r="BD383" t="s">
        <v>709</v>
      </c>
      <c r="BE383" t="s">
        <v>923</v>
      </c>
      <c r="BF383" t="s">
        <v>923</v>
      </c>
      <c r="BG383" t="s">
        <v>709</v>
      </c>
      <c r="BI383" t="s">
        <v>709</v>
      </c>
      <c r="BJ383" t="s">
        <v>709</v>
      </c>
      <c r="BK383" t="s">
        <v>709</v>
      </c>
      <c r="BL383" t="s">
        <v>116</v>
      </c>
      <c r="BM383" t="s">
        <v>709</v>
      </c>
      <c r="BN383" t="s">
        <v>709</v>
      </c>
      <c r="BO383" t="s">
        <v>709</v>
      </c>
      <c r="BP383" t="s">
        <v>709</v>
      </c>
      <c r="BQ383" t="s">
        <v>709</v>
      </c>
      <c r="BR383">
        <v>1152</v>
      </c>
      <c r="BS383">
        <v>44</v>
      </c>
      <c r="BT383" t="s">
        <v>745</v>
      </c>
      <c r="BU383" t="s">
        <v>709</v>
      </c>
      <c r="BV383" t="s">
        <v>745</v>
      </c>
      <c r="BW383" t="s">
        <v>709</v>
      </c>
      <c r="BX383" t="s">
        <v>745</v>
      </c>
      <c r="BY383" t="s">
        <v>745</v>
      </c>
      <c r="BZ383" t="s">
        <v>709</v>
      </c>
      <c r="CB383">
        <v>381</v>
      </c>
      <c r="CC383" t="b">
        <v>1</v>
      </c>
      <c r="CD383" t="s">
        <v>3550</v>
      </c>
      <c r="CE383" s="1482">
        <v>45880.7340625</v>
      </c>
    </row>
    <row r="384" spans="1:83" ht="120" x14ac:dyDescent="0.25">
      <c r="A384">
        <v>2021</v>
      </c>
      <c r="B384" t="s">
        <v>2989</v>
      </c>
      <c r="C384" t="s">
        <v>3551</v>
      </c>
      <c r="D384" t="s">
        <v>3552</v>
      </c>
      <c r="E384" t="s">
        <v>108</v>
      </c>
      <c r="F384" t="s">
        <v>3553</v>
      </c>
      <c r="G384" t="s">
        <v>36</v>
      </c>
      <c r="H384" t="s">
        <v>59</v>
      </c>
      <c r="I384">
        <v>44393</v>
      </c>
      <c r="J384">
        <v>44435</v>
      </c>
      <c r="K384">
        <v>44432</v>
      </c>
      <c r="L384">
        <v>3</v>
      </c>
      <c r="N384" t="s">
        <v>120</v>
      </c>
      <c r="O384">
        <v>44441</v>
      </c>
      <c r="P384" t="s">
        <v>739</v>
      </c>
      <c r="Q384">
        <v>4372.7795999999998</v>
      </c>
      <c r="R384">
        <v>0.09</v>
      </c>
      <c r="S384" t="s">
        <v>709</v>
      </c>
      <c r="T384" t="s">
        <v>709</v>
      </c>
      <c r="U384" t="s">
        <v>709</v>
      </c>
      <c r="V384">
        <v>291</v>
      </c>
      <c r="Z384">
        <v>48586.44</v>
      </c>
      <c r="AA384">
        <v>48586.44</v>
      </c>
      <c r="AC384" t="s">
        <v>709</v>
      </c>
      <c r="AM384" t="s">
        <v>116</v>
      </c>
      <c r="AN384">
        <v>44487</v>
      </c>
      <c r="AO384">
        <v>191215</v>
      </c>
      <c r="AP384">
        <v>0</v>
      </c>
      <c r="AR384">
        <v>48586.44</v>
      </c>
      <c r="AS384">
        <v>48586.44</v>
      </c>
      <c r="AT384">
        <v>0</v>
      </c>
      <c r="AU384">
        <v>0</v>
      </c>
      <c r="AV384" t="s">
        <v>709</v>
      </c>
      <c r="AY384" t="s">
        <v>1935</v>
      </c>
      <c r="BA384" t="s">
        <v>3554</v>
      </c>
      <c r="BB384" s="4" t="s">
        <v>3555</v>
      </c>
      <c r="BC384" t="s">
        <v>709</v>
      </c>
      <c r="BD384" t="s">
        <v>882</v>
      </c>
      <c r="BE384" t="s">
        <v>709</v>
      </c>
      <c r="BF384" t="s">
        <v>709</v>
      </c>
      <c r="BG384" t="s">
        <v>709</v>
      </c>
      <c r="BI384" t="s">
        <v>709</v>
      </c>
      <c r="BJ384" t="s">
        <v>709</v>
      </c>
      <c r="BK384" t="s">
        <v>709</v>
      </c>
      <c r="BL384" t="s">
        <v>709</v>
      </c>
      <c r="BM384" t="s">
        <v>709</v>
      </c>
      <c r="BN384" t="s">
        <v>709</v>
      </c>
      <c r="BO384" t="s">
        <v>709</v>
      </c>
      <c r="BP384" t="s">
        <v>709</v>
      </c>
      <c r="BQ384" t="s">
        <v>709</v>
      </c>
      <c r="BR384" t="s">
        <v>709</v>
      </c>
      <c r="BS384" t="s">
        <v>709</v>
      </c>
      <c r="BT384" t="s">
        <v>709</v>
      </c>
      <c r="BU384" t="s">
        <v>709</v>
      </c>
      <c r="BV384">
        <v>1</v>
      </c>
      <c r="BW384" t="s">
        <v>709</v>
      </c>
      <c r="BX384" t="s">
        <v>709</v>
      </c>
      <c r="BY384" t="s">
        <v>709</v>
      </c>
      <c r="BZ384" t="s">
        <v>709</v>
      </c>
      <c r="CA384" t="s">
        <v>2</v>
      </c>
      <c r="CB384">
        <v>388</v>
      </c>
      <c r="CC384" t="b">
        <v>1</v>
      </c>
      <c r="CD384" t="s">
        <v>3556</v>
      </c>
      <c r="CE384" s="1482">
        <v>45880.734074074076</v>
      </c>
    </row>
    <row r="385" spans="1:83" ht="60" x14ac:dyDescent="0.25">
      <c r="A385">
        <v>2021</v>
      </c>
      <c r="B385" t="s">
        <v>2989</v>
      </c>
      <c r="C385" t="s">
        <v>3557</v>
      </c>
      <c r="D385" t="s">
        <v>3558</v>
      </c>
      <c r="E385" t="s">
        <v>3223</v>
      </c>
      <c r="F385" t="s">
        <v>3553</v>
      </c>
      <c r="G385" t="s">
        <v>347</v>
      </c>
      <c r="H385" t="s">
        <v>59</v>
      </c>
      <c r="I385">
        <v>44393</v>
      </c>
      <c r="J385">
        <v>44435</v>
      </c>
      <c r="K385">
        <v>44432</v>
      </c>
      <c r="L385">
        <v>3</v>
      </c>
      <c r="N385" t="s">
        <v>120</v>
      </c>
      <c r="O385">
        <v>44441</v>
      </c>
      <c r="P385" t="s">
        <v>739</v>
      </c>
      <c r="Q385">
        <v>5340.9501</v>
      </c>
      <c r="R385">
        <v>0.09</v>
      </c>
      <c r="S385" t="s">
        <v>709</v>
      </c>
      <c r="T385" t="s">
        <v>709</v>
      </c>
      <c r="U385" t="s">
        <v>709</v>
      </c>
      <c r="V385">
        <v>132</v>
      </c>
      <c r="Z385">
        <v>59343.89</v>
      </c>
      <c r="AA385">
        <v>59343.89</v>
      </c>
      <c r="AC385" t="s">
        <v>709</v>
      </c>
      <c r="AM385" t="s">
        <v>116</v>
      </c>
      <c r="AN385">
        <v>44461</v>
      </c>
      <c r="AO385">
        <v>190979</v>
      </c>
      <c r="AP385">
        <v>0</v>
      </c>
      <c r="AR385">
        <v>59343.89</v>
      </c>
      <c r="AS385">
        <v>59343.89</v>
      </c>
      <c r="AT385">
        <v>0</v>
      </c>
      <c r="AU385">
        <v>0</v>
      </c>
      <c r="AV385" t="s">
        <v>709</v>
      </c>
      <c r="AY385" t="s">
        <v>1935</v>
      </c>
      <c r="BA385" s="4" t="s">
        <v>3559</v>
      </c>
      <c r="BB385" s="4" t="s">
        <v>3560</v>
      </c>
      <c r="BC385" t="s">
        <v>709</v>
      </c>
      <c r="BD385" t="s">
        <v>709</v>
      </c>
      <c r="BE385" t="s">
        <v>3561</v>
      </c>
      <c r="BF385" t="s">
        <v>709</v>
      </c>
      <c r="BG385" t="s">
        <v>709</v>
      </c>
      <c r="BI385" t="s">
        <v>709</v>
      </c>
      <c r="BJ385" t="s">
        <v>709</v>
      </c>
      <c r="BK385" t="s">
        <v>709</v>
      </c>
      <c r="BL385" t="s">
        <v>709</v>
      </c>
      <c r="BM385" t="s">
        <v>709</v>
      </c>
      <c r="BN385" t="s">
        <v>709</v>
      </c>
      <c r="BO385" t="s">
        <v>709</v>
      </c>
      <c r="BP385" t="s">
        <v>709</v>
      </c>
      <c r="BQ385" t="s">
        <v>709</v>
      </c>
      <c r="BR385" t="s">
        <v>709</v>
      </c>
      <c r="BS385" t="s">
        <v>709</v>
      </c>
      <c r="BT385" t="s">
        <v>709</v>
      </c>
      <c r="BU385" t="s">
        <v>709</v>
      </c>
      <c r="BV385">
        <v>1</v>
      </c>
      <c r="BW385" t="s">
        <v>709</v>
      </c>
      <c r="BX385" t="s">
        <v>709</v>
      </c>
      <c r="BY385" t="s">
        <v>709</v>
      </c>
      <c r="BZ385" t="s">
        <v>709</v>
      </c>
      <c r="CA385" t="s">
        <v>2</v>
      </c>
      <c r="CB385">
        <v>382</v>
      </c>
      <c r="CC385" t="b">
        <v>1</v>
      </c>
      <c r="CD385" t="s">
        <v>3562</v>
      </c>
      <c r="CE385" s="1482">
        <v>45880.734085648146</v>
      </c>
    </row>
    <row r="386" spans="1:83" ht="60" x14ac:dyDescent="0.25">
      <c r="A386">
        <v>2021</v>
      </c>
      <c r="B386" t="s">
        <v>2989</v>
      </c>
      <c r="C386" t="s">
        <v>3563</v>
      </c>
      <c r="D386" t="s">
        <v>3564</v>
      </c>
      <c r="E386" t="s">
        <v>155</v>
      </c>
      <c r="F386" t="s">
        <v>3553</v>
      </c>
      <c r="G386" t="s">
        <v>2814</v>
      </c>
      <c r="H386" t="s">
        <v>59</v>
      </c>
      <c r="I386">
        <v>44399</v>
      </c>
      <c r="J386">
        <v>44435</v>
      </c>
      <c r="K386">
        <v>44432</v>
      </c>
      <c r="L386">
        <v>3</v>
      </c>
      <c r="N386" t="s">
        <v>120</v>
      </c>
      <c r="O386">
        <v>44441</v>
      </c>
      <c r="P386" t="s">
        <v>739</v>
      </c>
      <c r="Q386">
        <v>15498.1134</v>
      </c>
      <c r="R386">
        <v>0.09</v>
      </c>
      <c r="S386" t="s">
        <v>709</v>
      </c>
      <c r="T386" t="s">
        <v>709</v>
      </c>
      <c r="U386" t="s">
        <v>709</v>
      </c>
      <c r="V386">
        <v>25</v>
      </c>
      <c r="X386">
        <v>143088.12</v>
      </c>
      <c r="Z386">
        <v>29113.14</v>
      </c>
      <c r="AA386">
        <v>172201.26</v>
      </c>
      <c r="AC386" t="s">
        <v>709</v>
      </c>
      <c r="AM386" t="s">
        <v>116</v>
      </c>
      <c r="AN386">
        <v>44467</v>
      </c>
      <c r="AO386">
        <v>190951</v>
      </c>
      <c r="AP386">
        <v>143088.12</v>
      </c>
      <c r="AR386">
        <v>29113.14</v>
      </c>
      <c r="AS386">
        <v>172201.26</v>
      </c>
      <c r="AT386">
        <v>0</v>
      </c>
      <c r="AU386">
        <v>0</v>
      </c>
      <c r="AV386" t="s">
        <v>709</v>
      </c>
      <c r="AY386" t="s">
        <v>1935</v>
      </c>
      <c r="BA386" s="4" t="s">
        <v>3565</v>
      </c>
      <c r="BB386" s="4" t="s">
        <v>3566</v>
      </c>
      <c r="BC386" t="s">
        <v>709</v>
      </c>
      <c r="BD386" t="s">
        <v>709</v>
      </c>
      <c r="BE386" t="s">
        <v>3319</v>
      </c>
      <c r="BF386" t="s">
        <v>709</v>
      </c>
      <c r="BG386" t="s">
        <v>709</v>
      </c>
      <c r="BI386" t="s">
        <v>709</v>
      </c>
      <c r="BJ386" t="s">
        <v>709</v>
      </c>
      <c r="BK386" t="s">
        <v>709</v>
      </c>
      <c r="BL386" t="s">
        <v>116</v>
      </c>
      <c r="BM386" t="s">
        <v>709</v>
      </c>
      <c r="BN386" t="s">
        <v>709</v>
      </c>
      <c r="BO386" t="s">
        <v>709</v>
      </c>
      <c r="BP386">
        <v>25</v>
      </c>
      <c r="BQ386" t="s">
        <v>709</v>
      </c>
      <c r="BR386" t="s">
        <v>709</v>
      </c>
      <c r="BS386" t="s">
        <v>709</v>
      </c>
      <c r="BT386" t="s">
        <v>709</v>
      </c>
      <c r="BU386" t="s">
        <v>709</v>
      </c>
      <c r="BV386">
        <v>1</v>
      </c>
      <c r="BW386" t="s">
        <v>709</v>
      </c>
      <c r="BX386" t="s">
        <v>709</v>
      </c>
      <c r="BY386" t="s">
        <v>709</v>
      </c>
      <c r="BZ386" t="s">
        <v>709</v>
      </c>
      <c r="CA386" t="s">
        <v>2</v>
      </c>
      <c r="CB386">
        <v>385</v>
      </c>
      <c r="CC386" t="b">
        <v>1</v>
      </c>
      <c r="CD386" t="s">
        <v>3567</v>
      </c>
      <c r="CE386" s="1482">
        <v>45880.734085648146</v>
      </c>
    </row>
    <row r="387" spans="1:83" ht="105" x14ac:dyDescent="0.25">
      <c r="A387">
        <v>2021</v>
      </c>
      <c r="B387" t="s">
        <v>2989</v>
      </c>
      <c r="C387" t="s">
        <v>3568</v>
      </c>
      <c r="D387" t="s">
        <v>3569</v>
      </c>
      <c r="E387" t="s">
        <v>155</v>
      </c>
      <c r="F387" t="s">
        <v>3553</v>
      </c>
      <c r="G387" t="s">
        <v>39</v>
      </c>
      <c r="H387" t="s">
        <v>59</v>
      </c>
      <c r="I387">
        <v>44399</v>
      </c>
      <c r="J387">
        <v>44435</v>
      </c>
      <c r="K387">
        <v>44432</v>
      </c>
      <c r="L387">
        <v>3</v>
      </c>
      <c r="N387" t="s">
        <v>120</v>
      </c>
      <c r="O387">
        <v>44441</v>
      </c>
      <c r="P387" t="s">
        <v>739</v>
      </c>
      <c r="Q387">
        <v>6088.8869999999997</v>
      </c>
      <c r="R387">
        <v>0.09</v>
      </c>
      <c r="S387" t="s">
        <v>709</v>
      </c>
      <c r="T387" t="s">
        <v>709</v>
      </c>
      <c r="U387" t="s">
        <v>709</v>
      </c>
      <c r="V387">
        <v>102</v>
      </c>
      <c r="Z387">
        <v>67654.3</v>
      </c>
      <c r="AA387">
        <v>67654.3</v>
      </c>
      <c r="AC387" t="s">
        <v>709</v>
      </c>
      <c r="AM387" t="s">
        <v>116</v>
      </c>
      <c r="AN387">
        <v>44585</v>
      </c>
      <c r="AO387">
        <v>11039461</v>
      </c>
      <c r="AP387">
        <v>0</v>
      </c>
      <c r="AR387">
        <v>67654.3</v>
      </c>
      <c r="AS387">
        <v>67654.3</v>
      </c>
      <c r="AT387">
        <v>0</v>
      </c>
      <c r="AU387">
        <v>0</v>
      </c>
      <c r="AV387" t="s">
        <v>709</v>
      </c>
      <c r="AY387" t="s">
        <v>1935</v>
      </c>
      <c r="BA387" t="s">
        <v>3570</v>
      </c>
      <c r="BB387" s="4" t="s">
        <v>3571</v>
      </c>
      <c r="BC387" t="s">
        <v>709</v>
      </c>
      <c r="BD387" t="s">
        <v>882</v>
      </c>
      <c r="BE387" t="s">
        <v>709</v>
      </c>
      <c r="BF387" t="s">
        <v>709</v>
      </c>
      <c r="BG387" t="s">
        <v>709</v>
      </c>
      <c r="BI387" t="s">
        <v>709</v>
      </c>
      <c r="BJ387" t="s">
        <v>709</v>
      </c>
      <c r="BK387" t="s">
        <v>709</v>
      </c>
      <c r="BL387" t="s">
        <v>709</v>
      </c>
      <c r="BM387" t="s">
        <v>709</v>
      </c>
      <c r="BN387" t="s">
        <v>709</v>
      </c>
      <c r="BO387" t="s">
        <v>709</v>
      </c>
      <c r="BP387" t="s">
        <v>709</v>
      </c>
      <c r="BQ387" t="s">
        <v>709</v>
      </c>
      <c r="BR387" t="s">
        <v>709</v>
      </c>
      <c r="BS387" t="s">
        <v>709</v>
      </c>
      <c r="BT387" t="s">
        <v>709</v>
      </c>
      <c r="BU387" t="s">
        <v>709</v>
      </c>
      <c r="BV387">
        <v>1</v>
      </c>
      <c r="BW387" t="s">
        <v>709</v>
      </c>
      <c r="BX387" t="s">
        <v>709</v>
      </c>
      <c r="BY387" t="s">
        <v>709</v>
      </c>
      <c r="BZ387" t="s">
        <v>709</v>
      </c>
      <c r="CA387" t="s">
        <v>2</v>
      </c>
      <c r="CB387">
        <v>386</v>
      </c>
      <c r="CC387" t="b">
        <v>1</v>
      </c>
      <c r="CD387" t="s">
        <v>3572</v>
      </c>
      <c r="CE387" s="1482">
        <v>45880.734097222223</v>
      </c>
    </row>
    <row r="388" spans="1:83" ht="105" x14ac:dyDescent="0.25">
      <c r="A388">
        <v>2021</v>
      </c>
      <c r="B388" t="s">
        <v>2989</v>
      </c>
      <c r="C388" t="s">
        <v>3573</v>
      </c>
      <c r="D388" t="s">
        <v>3574</v>
      </c>
      <c r="E388" t="s">
        <v>155</v>
      </c>
      <c r="F388" t="s">
        <v>3553</v>
      </c>
      <c r="G388" t="s">
        <v>39</v>
      </c>
      <c r="H388" t="s">
        <v>59</v>
      </c>
      <c r="I388">
        <v>44399</v>
      </c>
      <c r="J388">
        <v>44435</v>
      </c>
      <c r="K388">
        <v>44432</v>
      </c>
      <c r="L388">
        <v>3</v>
      </c>
      <c r="N388" t="s">
        <v>120</v>
      </c>
      <c r="O388">
        <v>44441</v>
      </c>
      <c r="P388" t="s">
        <v>739</v>
      </c>
      <c r="Q388">
        <v>5618.1185999999998</v>
      </c>
      <c r="R388">
        <v>0.09</v>
      </c>
      <c r="S388" t="s">
        <v>709</v>
      </c>
      <c r="T388" t="s">
        <v>709</v>
      </c>
      <c r="U388" t="s">
        <v>709</v>
      </c>
      <c r="V388">
        <v>63</v>
      </c>
      <c r="Z388">
        <v>62423.54</v>
      </c>
      <c r="AA388">
        <v>62423.54</v>
      </c>
      <c r="AC388" t="s">
        <v>709</v>
      </c>
      <c r="AM388" t="s">
        <v>116</v>
      </c>
      <c r="AN388">
        <v>44585</v>
      </c>
      <c r="AO388">
        <v>11039562</v>
      </c>
      <c r="AP388">
        <v>0</v>
      </c>
      <c r="AR388">
        <v>62423.54</v>
      </c>
      <c r="AS388">
        <v>62423.54</v>
      </c>
      <c r="AT388">
        <v>0</v>
      </c>
      <c r="AU388">
        <v>0</v>
      </c>
      <c r="AV388" t="s">
        <v>709</v>
      </c>
      <c r="AY388" t="s">
        <v>1935</v>
      </c>
      <c r="BA388" t="s">
        <v>3575</v>
      </c>
      <c r="BB388" s="4" t="s">
        <v>3571</v>
      </c>
      <c r="BC388" t="s">
        <v>709</v>
      </c>
      <c r="BD388" t="s">
        <v>882</v>
      </c>
      <c r="BE388" t="s">
        <v>1085</v>
      </c>
      <c r="BF388" t="s">
        <v>709</v>
      </c>
      <c r="BG388" t="s">
        <v>709</v>
      </c>
      <c r="BI388" t="s">
        <v>709</v>
      </c>
      <c r="BJ388" t="s">
        <v>709</v>
      </c>
      <c r="BK388" t="s">
        <v>709</v>
      </c>
      <c r="BL388" t="s">
        <v>709</v>
      </c>
      <c r="BM388" t="s">
        <v>709</v>
      </c>
      <c r="BN388" t="s">
        <v>709</v>
      </c>
      <c r="BO388" t="s">
        <v>709</v>
      </c>
      <c r="BP388" t="s">
        <v>709</v>
      </c>
      <c r="BQ388" t="s">
        <v>709</v>
      </c>
      <c r="BR388" t="s">
        <v>709</v>
      </c>
      <c r="BS388" t="s">
        <v>709</v>
      </c>
      <c r="BT388" t="s">
        <v>709</v>
      </c>
      <c r="BU388" t="s">
        <v>709</v>
      </c>
      <c r="BV388">
        <v>1</v>
      </c>
      <c r="BW388" t="s">
        <v>709</v>
      </c>
      <c r="BX388" t="s">
        <v>709</v>
      </c>
      <c r="BY388" t="s">
        <v>709</v>
      </c>
      <c r="BZ388" t="s">
        <v>709</v>
      </c>
      <c r="CA388" t="s">
        <v>2</v>
      </c>
      <c r="CB388">
        <v>387</v>
      </c>
      <c r="CC388" t="b">
        <v>1</v>
      </c>
      <c r="CD388" t="s">
        <v>3576</v>
      </c>
      <c r="CE388" s="1482">
        <v>45880.7341087963</v>
      </c>
    </row>
    <row r="389" spans="1:83" ht="60" x14ac:dyDescent="0.25">
      <c r="A389">
        <v>2021</v>
      </c>
      <c r="B389" t="s">
        <v>2989</v>
      </c>
      <c r="C389" t="s">
        <v>3577</v>
      </c>
      <c r="D389" t="s">
        <v>3578</v>
      </c>
      <c r="E389" t="s">
        <v>3579</v>
      </c>
      <c r="F389" t="s">
        <v>3553</v>
      </c>
      <c r="G389" t="s">
        <v>2814</v>
      </c>
      <c r="H389" t="s">
        <v>59</v>
      </c>
      <c r="I389">
        <v>44393</v>
      </c>
      <c r="J389">
        <v>44435</v>
      </c>
      <c r="K389">
        <v>44432</v>
      </c>
      <c r="L389">
        <v>3</v>
      </c>
      <c r="N389" t="s">
        <v>120</v>
      </c>
      <c r="O389">
        <v>44441</v>
      </c>
      <c r="P389" t="s">
        <v>739</v>
      </c>
      <c r="Q389">
        <v>5761.7289000000001</v>
      </c>
      <c r="R389">
        <v>0.09</v>
      </c>
      <c r="S389" t="s">
        <v>709</v>
      </c>
      <c r="T389" t="s">
        <v>709</v>
      </c>
      <c r="U389" t="s">
        <v>709</v>
      </c>
      <c r="V389">
        <v>63</v>
      </c>
      <c r="Z389">
        <v>64019.21</v>
      </c>
      <c r="AA389">
        <v>64019.21</v>
      </c>
      <c r="AC389" t="s">
        <v>709</v>
      </c>
      <c r="AM389" t="s">
        <v>116</v>
      </c>
      <c r="AN389">
        <v>44502</v>
      </c>
      <c r="AO389">
        <v>11038679</v>
      </c>
      <c r="AP389">
        <v>0</v>
      </c>
      <c r="AR389">
        <v>64128.71</v>
      </c>
      <c r="AS389">
        <v>64128.71</v>
      </c>
      <c r="AT389">
        <v>109.5</v>
      </c>
      <c r="AU389">
        <v>9.8550000000000004</v>
      </c>
      <c r="AV389" t="s">
        <v>709</v>
      </c>
      <c r="AX389">
        <v>9.8550000000000004</v>
      </c>
      <c r="AY389">
        <v>45008</v>
      </c>
      <c r="BA389" t="s">
        <v>3580</v>
      </c>
      <c r="BB389" s="4" t="s">
        <v>3566</v>
      </c>
      <c r="BC389" t="s">
        <v>709</v>
      </c>
      <c r="BD389" t="s">
        <v>709</v>
      </c>
      <c r="BE389" t="s">
        <v>3581</v>
      </c>
      <c r="BF389" t="s">
        <v>709</v>
      </c>
      <c r="BG389" t="s">
        <v>709</v>
      </c>
      <c r="BI389" t="s">
        <v>709</v>
      </c>
      <c r="BJ389" t="s">
        <v>709</v>
      </c>
      <c r="BK389" t="s">
        <v>709</v>
      </c>
      <c r="BL389" t="s">
        <v>709</v>
      </c>
      <c r="BM389" t="s">
        <v>709</v>
      </c>
      <c r="BN389" t="s">
        <v>709</v>
      </c>
      <c r="BO389" t="s">
        <v>709</v>
      </c>
      <c r="BP389" t="s">
        <v>709</v>
      </c>
      <c r="BQ389" t="s">
        <v>709</v>
      </c>
      <c r="BR389" t="s">
        <v>709</v>
      </c>
      <c r="BS389" t="s">
        <v>709</v>
      </c>
      <c r="BT389" t="s">
        <v>709</v>
      </c>
      <c r="BU389" t="s">
        <v>709</v>
      </c>
      <c r="BV389">
        <v>1</v>
      </c>
      <c r="BW389" t="s">
        <v>709</v>
      </c>
      <c r="BX389" t="s">
        <v>709</v>
      </c>
      <c r="BY389" t="s">
        <v>709</v>
      </c>
      <c r="BZ389" t="s">
        <v>709</v>
      </c>
      <c r="CA389" t="s">
        <v>2</v>
      </c>
      <c r="CB389">
        <v>384</v>
      </c>
      <c r="CC389" t="b">
        <v>1</v>
      </c>
      <c r="CD389" t="s">
        <v>3582</v>
      </c>
      <c r="CE389" s="1482">
        <v>45880.734120370369</v>
      </c>
    </row>
    <row r="390" spans="1:83" x14ac:dyDescent="0.25">
      <c r="A390">
        <v>2021</v>
      </c>
      <c r="B390" t="s">
        <v>4</v>
      </c>
      <c r="C390" t="s">
        <v>3266</v>
      </c>
      <c r="D390" t="s">
        <v>3267</v>
      </c>
      <c r="E390" t="s">
        <v>3268</v>
      </c>
      <c r="F390" t="s">
        <v>738</v>
      </c>
      <c r="G390" t="s">
        <v>39</v>
      </c>
      <c r="H390" t="s">
        <v>3178</v>
      </c>
      <c r="I390">
        <v>44264</v>
      </c>
      <c r="J390" t="s">
        <v>2052</v>
      </c>
      <c r="K390">
        <v>44432</v>
      </c>
      <c r="L390">
        <v>168</v>
      </c>
      <c r="M390" t="s">
        <v>3583</v>
      </c>
      <c r="N390" t="s">
        <v>120</v>
      </c>
      <c r="O390">
        <v>44441</v>
      </c>
      <c r="P390" t="s">
        <v>739</v>
      </c>
      <c r="Q390">
        <v>5837.5</v>
      </c>
      <c r="R390" t="s">
        <v>1922</v>
      </c>
      <c r="S390" t="s">
        <v>709</v>
      </c>
      <c r="T390" t="s">
        <v>709</v>
      </c>
      <c r="U390">
        <v>5837.5</v>
      </c>
      <c r="AA390">
        <v>0</v>
      </c>
      <c r="AM390" t="s">
        <v>709</v>
      </c>
      <c r="AY390" t="s">
        <v>29</v>
      </c>
      <c r="BA390">
        <v>12</v>
      </c>
      <c r="BI390" t="s">
        <v>709</v>
      </c>
      <c r="BJ390" t="s">
        <v>709</v>
      </c>
      <c r="BK390" t="s">
        <v>709</v>
      </c>
      <c r="BL390" t="s">
        <v>116</v>
      </c>
      <c r="BM390" t="s">
        <v>709</v>
      </c>
      <c r="BN390" t="s">
        <v>709</v>
      </c>
      <c r="BO390" t="s">
        <v>709</v>
      </c>
      <c r="BP390">
        <v>532</v>
      </c>
      <c r="BQ390" t="s">
        <v>709</v>
      </c>
      <c r="BR390" t="s">
        <v>709</v>
      </c>
      <c r="BS390" t="s">
        <v>709</v>
      </c>
      <c r="BT390" t="s">
        <v>709</v>
      </c>
      <c r="BU390" t="s">
        <v>709</v>
      </c>
      <c r="BV390" t="s">
        <v>745</v>
      </c>
      <c r="BW390" t="s">
        <v>709</v>
      </c>
      <c r="BX390" t="s">
        <v>709</v>
      </c>
      <c r="BY390" t="s">
        <v>745</v>
      </c>
      <c r="BZ390" t="s">
        <v>709</v>
      </c>
      <c r="CB390">
        <v>383</v>
      </c>
      <c r="CC390" t="b">
        <v>1</v>
      </c>
      <c r="CD390" t="s">
        <v>3584</v>
      </c>
      <c r="CE390" s="1482">
        <v>45880.734131944446</v>
      </c>
    </row>
    <row r="391" spans="1:83" x14ac:dyDescent="0.25">
      <c r="A391">
        <v>2021</v>
      </c>
      <c r="B391" t="s">
        <v>1205</v>
      </c>
      <c r="C391" t="s">
        <v>3585</v>
      </c>
      <c r="D391" t="s">
        <v>3586</v>
      </c>
      <c r="E391" t="s">
        <v>3587</v>
      </c>
      <c r="F391" t="s">
        <v>738</v>
      </c>
      <c r="G391" t="s">
        <v>39</v>
      </c>
      <c r="H391" t="s">
        <v>59</v>
      </c>
      <c r="I391">
        <v>44408</v>
      </c>
      <c r="J391">
        <v>44439</v>
      </c>
      <c r="K391">
        <v>44434</v>
      </c>
      <c r="L391">
        <v>5</v>
      </c>
      <c r="N391" t="s">
        <v>120</v>
      </c>
      <c r="O391">
        <v>44442</v>
      </c>
      <c r="P391" t="s">
        <v>739</v>
      </c>
      <c r="Q391">
        <v>16277.976000000001</v>
      </c>
      <c r="R391">
        <v>0.09</v>
      </c>
      <c r="S391" t="s">
        <v>709</v>
      </c>
      <c r="T391" t="s">
        <v>709</v>
      </c>
      <c r="U391" t="s">
        <v>709</v>
      </c>
      <c r="V391">
        <v>89</v>
      </c>
      <c r="X391">
        <v>159960.72</v>
      </c>
      <c r="Z391">
        <v>20905.68</v>
      </c>
      <c r="AA391">
        <v>180866.4</v>
      </c>
      <c r="AC391" t="s">
        <v>709</v>
      </c>
      <c r="AM391" t="s">
        <v>116</v>
      </c>
      <c r="AN391">
        <v>44487</v>
      </c>
      <c r="AO391">
        <v>191183</v>
      </c>
      <c r="AP391">
        <v>160389.56</v>
      </c>
      <c r="AR391">
        <v>20905.68</v>
      </c>
      <c r="AS391">
        <v>181295.24</v>
      </c>
      <c r="AT391">
        <v>428.84</v>
      </c>
      <c r="AU391">
        <v>38.595599999999997</v>
      </c>
      <c r="AV391" t="s">
        <v>709</v>
      </c>
      <c r="AW391" t="s">
        <v>3588</v>
      </c>
      <c r="AX391">
        <v>38.595599999999997</v>
      </c>
      <c r="AY391">
        <v>44501</v>
      </c>
      <c r="BA391" s="4"/>
      <c r="BB391" s="4"/>
      <c r="BI391" t="s">
        <v>709</v>
      </c>
      <c r="BJ391" t="s">
        <v>709</v>
      </c>
      <c r="BK391" t="s">
        <v>709</v>
      </c>
      <c r="BL391" t="s">
        <v>116</v>
      </c>
      <c r="BM391" t="s">
        <v>709</v>
      </c>
      <c r="BN391" t="s">
        <v>709</v>
      </c>
      <c r="BO391" t="s">
        <v>709</v>
      </c>
      <c r="BP391" t="s">
        <v>709</v>
      </c>
      <c r="BQ391" t="s">
        <v>709</v>
      </c>
      <c r="BR391">
        <v>68</v>
      </c>
      <c r="BS391">
        <v>21</v>
      </c>
      <c r="BT391" t="s">
        <v>745</v>
      </c>
      <c r="BU391" t="s">
        <v>709</v>
      </c>
      <c r="BV391" t="s">
        <v>745</v>
      </c>
      <c r="BW391" t="s">
        <v>709</v>
      </c>
      <c r="BX391" t="s">
        <v>745</v>
      </c>
      <c r="BY391" t="s">
        <v>745</v>
      </c>
      <c r="BZ391" t="s">
        <v>709</v>
      </c>
      <c r="CB391">
        <v>389</v>
      </c>
      <c r="CC391" t="b">
        <v>1</v>
      </c>
      <c r="CD391" t="s">
        <v>3589</v>
      </c>
      <c r="CE391" s="1482">
        <v>45880.734143518515</v>
      </c>
    </row>
    <row r="392" spans="1:83" x14ac:dyDescent="0.25">
      <c r="A392">
        <v>2021</v>
      </c>
      <c r="B392" t="s">
        <v>4</v>
      </c>
      <c r="C392" t="s">
        <v>3590</v>
      </c>
      <c r="D392" t="s">
        <v>3591</v>
      </c>
      <c r="E392" t="s">
        <v>1428</v>
      </c>
      <c r="F392" t="s">
        <v>738</v>
      </c>
      <c r="G392" t="s">
        <v>2814</v>
      </c>
      <c r="H392" t="s">
        <v>1903</v>
      </c>
      <c r="I392">
        <v>44418</v>
      </c>
      <c r="J392">
        <v>44449</v>
      </c>
      <c r="K392">
        <v>44438</v>
      </c>
      <c r="L392">
        <v>11</v>
      </c>
      <c r="N392" t="s">
        <v>120</v>
      </c>
      <c r="O392">
        <v>44442</v>
      </c>
      <c r="P392" t="s">
        <v>739</v>
      </c>
      <c r="Q392" t="s">
        <v>115</v>
      </c>
      <c r="R392" t="s">
        <v>115</v>
      </c>
      <c r="S392" t="s">
        <v>709</v>
      </c>
      <c r="T392" t="s">
        <v>709</v>
      </c>
      <c r="U392" t="s">
        <v>709</v>
      </c>
      <c r="AA392">
        <v>0</v>
      </c>
      <c r="AM392" t="s">
        <v>709</v>
      </c>
      <c r="AY392" t="s">
        <v>29</v>
      </c>
      <c r="BA392" t="s">
        <v>3592</v>
      </c>
      <c r="BB392" t="s">
        <v>877</v>
      </c>
      <c r="BI392" t="s">
        <v>709</v>
      </c>
      <c r="BJ392" t="s">
        <v>709</v>
      </c>
      <c r="BK392" t="s">
        <v>709</v>
      </c>
      <c r="BL392" t="s">
        <v>116</v>
      </c>
      <c r="BM392" t="s">
        <v>709</v>
      </c>
      <c r="BN392" t="s">
        <v>709</v>
      </c>
      <c r="BO392" t="s">
        <v>709</v>
      </c>
      <c r="BP392" t="s">
        <v>709</v>
      </c>
      <c r="BQ392" t="s">
        <v>709</v>
      </c>
      <c r="BR392">
        <v>793</v>
      </c>
      <c r="BS392" t="s">
        <v>709</v>
      </c>
      <c r="BT392" t="s">
        <v>709</v>
      </c>
      <c r="BU392" t="s">
        <v>709</v>
      </c>
      <c r="BV392" t="s">
        <v>745</v>
      </c>
      <c r="BW392" t="s">
        <v>709</v>
      </c>
      <c r="BX392" t="s">
        <v>745</v>
      </c>
      <c r="BY392" t="s">
        <v>745</v>
      </c>
      <c r="BZ392" t="s">
        <v>709</v>
      </c>
      <c r="CB392">
        <v>390</v>
      </c>
      <c r="CC392" t="b">
        <v>1</v>
      </c>
      <c r="CD392" t="s">
        <v>3593</v>
      </c>
      <c r="CE392" s="1482">
        <v>45880.734143518515</v>
      </c>
    </row>
    <row r="393" spans="1:83" x14ac:dyDescent="0.25">
      <c r="A393">
        <v>2022</v>
      </c>
      <c r="B393" t="s">
        <v>1205</v>
      </c>
      <c r="C393" t="s">
        <v>3594</v>
      </c>
      <c r="D393" t="s">
        <v>115</v>
      </c>
      <c r="E393" t="s">
        <v>3595</v>
      </c>
      <c r="F393" t="s">
        <v>3553</v>
      </c>
      <c r="G393" t="s">
        <v>40</v>
      </c>
      <c r="H393" t="s">
        <v>2127</v>
      </c>
      <c r="I393">
        <v>44431</v>
      </c>
      <c r="J393">
        <v>44477</v>
      </c>
      <c r="K393">
        <v>44438</v>
      </c>
      <c r="L393">
        <v>39</v>
      </c>
      <c r="M393" t="s">
        <v>3596</v>
      </c>
      <c r="N393" t="s">
        <v>120</v>
      </c>
      <c r="O393">
        <v>44442</v>
      </c>
      <c r="P393" t="s">
        <v>739</v>
      </c>
      <c r="Q393" t="s">
        <v>115</v>
      </c>
      <c r="R393" t="s">
        <v>115</v>
      </c>
      <c r="S393" t="s">
        <v>709</v>
      </c>
      <c r="T393" t="s">
        <v>709</v>
      </c>
      <c r="U393" t="s">
        <v>709</v>
      </c>
      <c r="AA393">
        <v>0</v>
      </c>
      <c r="AM393" t="s">
        <v>709</v>
      </c>
      <c r="AY393" t="s">
        <v>29</v>
      </c>
      <c r="BA393" t="s">
        <v>3597</v>
      </c>
      <c r="BZ393" t="s">
        <v>709</v>
      </c>
      <c r="CA393" t="s">
        <v>915</v>
      </c>
      <c r="CB393">
        <v>391</v>
      </c>
      <c r="CC393" t="b">
        <v>1</v>
      </c>
      <c r="CD393" t="s">
        <v>3598</v>
      </c>
      <c r="CE393" s="1482">
        <v>45880.734155092592</v>
      </c>
    </row>
    <row r="394" spans="1:83" ht="135" x14ac:dyDescent="0.25">
      <c r="A394">
        <v>2022</v>
      </c>
      <c r="B394" t="s">
        <v>1205</v>
      </c>
      <c r="C394" t="s">
        <v>3599</v>
      </c>
      <c r="D394" t="s">
        <v>115</v>
      </c>
      <c r="E394" t="s">
        <v>1428</v>
      </c>
      <c r="F394" t="s">
        <v>3553</v>
      </c>
      <c r="G394" t="s">
        <v>22</v>
      </c>
      <c r="H394" t="s">
        <v>2127</v>
      </c>
      <c r="I394">
        <v>44431</v>
      </c>
      <c r="J394">
        <v>44477</v>
      </c>
      <c r="K394">
        <v>44438</v>
      </c>
      <c r="L394">
        <v>39</v>
      </c>
      <c r="M394" t="s">
        <v>3600</v>
      </c>
      <c r="N394" t="s">
        <v>120</v>
      </c>
      <c r="O394">
        <v>44442</v>
      </c>
      <c r="P394" t="s">
        <v>739</v>
      </c>
      <c r="Q394" t="s">
        <v>115</v>
      </c>
      <c r="R394" t="s">
        <v>115</v>
      </c>
      <c r="S394" t="s">
        <v>709</v>
      </c>
      <c r="T394" t="s">
        <v>709</v>
      </c>
      <c r="U394" t="s">
        <v>709</v>
      </c>
      <c r="AA394">
        <v>0</v>
      </c>
      <c r="AC394" t="s">
        <v>709</v>
      </c>
      <c r="AM394" t="s">
        <v>709</v>
      </c>
      <c r="AY394" t="s">
        <v>29</v>
      </c>
      <c r="BA394" t="s">
        <v>3601</v>
      </c>
      <c r="BB394" s="4" t="s">
        <v>3602</v>
      </c>
      <c r="BZ394" t="s">
        <v>709</v>
      </c>
      <c r="CA394" t="s">
        <v>915</v>
      </c>
      <c r="CB394">
        <v>392</v>
      </c>
      <c r="CC394" t="b">
        <v>1</v>
      </c>
      <c r="CD394" t="s">
        <v>3603</v>
      </c>
      <c r="CE394" s="1482">
        <v>45880.734166666669</v>
      </c>
    </row>
    <row r="395" spans="1:83" ht="345" x14ac:dyDescent="0.25">
      <c r="A395">
        <v>2021</v>
      </c>
      <c r="B395" t="s">
        <v>1205</v>
      </c>
      <c r="C395" t="s">
        <v>3604</v>
      </c>
      <c r="D395" t="s">
        <v>3605</v>
      </c>
      <c r="E395" t="s">
        <v>1650</v>
      </c>
      <c r="F395" t="s">
        <v>738</v>
      </c>
      <c r="G395" t="s">
        <v>39</v>
      </c>
      <c r="H395" t="s">
        <v>59</v>
      </c>
      <c r="I395">
        <v>44392</v>
      </c>
      <c r="J395">
        <v>44449</v>
      </c>
      <c r="K395">
        <v>44439</v>
      </c>
      <c r="L395">
        <v>10</v>
      </c>
      <c r="N395" t="s">
        <v>120</v>
      </c>
      <c r="O395">
        <v>44441</v>
      </c>
      <c r="P395" t="s">
        <v>739</v>
      </c>
      <c r="Q395">
        <v>22087.1106</v>
      </c>
      <c r="R395">
        <v>0.09</v>
      </c>
      <c r="S395" t="s">
        <v>709</v>
      </c>
      <c r="T395" t="s">
        <v>709</v>
      </c>
      <c r="U395" t="s">
        <v>709</v>
      </c>
      <c r="V395">
        <v>230</v>
      </c>
      <c r="X395">
        <v>217690.72</v>
      </c>
      <c r="Z395">
        <v>27721.62</v>
      </c>
      <c r="AA395">
        <v>245412.34</v>
      </c>
      <c r="AC395" t="s">
        <v>116</v>
      </c>
      <c r="AM395" t="s">
        <v>116</v>
      </c>
      <c r="AN395">
        <v>44469</v>
      </c>
      <c r="AO395">
        <v>191207</v>
      </c>
      <c r="AP395">
        <v>217690.72</v>
      </c>
      <c r="AR395">
        <v>27491.29</v>
      </c>
      <c r="AS395">
        <v>245182.01</v>
      </c>
      <c r="AT395">
        <v>-230.33</v>
      </c>
      <c r="AU395">
        <v>-20.729700000000001</v>
      </c>
      <c r="AV395" t="s">
        <v>709</v>
      </c>
      <c r="AW395" t="s">
        <v>3606</v>
      </c>
      <c r="AX395">
        <v>-20.729700000000001</v>
      </c>
      <c r="AY395">
        <v>44501</v>
      </c>
      <c r="BA395" s="4" t="s">
        <v>3607</v>
      </c>
      <c r="BB395" t="s">
        <v>3608</v>
      </c>
      <c r="BC395" t="s">
        <v>709</v>
      </c>
      <c r="BD395" t="s">
        <v>709</v>
      </c>
      <c r="BE395" t="s">
        <v>3609</v>
      </c>
      <c r="BF395" t="s">
        <v>709</v>
      </c>
      <c r="BG395" t="s">
        <v>3067</v>
      </c>
      <c r="BI395" t="s">
        <v>709</v>
      </c>
      <c r="BJ395" t="s">
        <v>709</v>
      </c>
      <c r="BK395" t="s">
        <v>709</v>
      </c>
      <c r="BL395" t="s">
        <v>116</v>
      </c>
      <c r="BM395" t="s">
        <v>709</v>
      </c>
      <c r="BN395" t="s">
        <v>709</v>
      </c>
      <c r="BO395" t="s">
        <v>709</v>
      </c>
      <c r="BP395" t="s">
        <v>709</v>
      </c>
      <c r="BQ395" t="s">
        <v>709</v>
      </c>
      <c r="BR395">
        <v>230</v>
      </c>
      <c r="BS395" t="s">
        <v>709</v>
      </c>
      <c r="BT395" t="s">
        <v>745</v>
      </c>
      <c r="BU395" t="s">
        <v>709</v>
      </c>
      <c r="BV395" t="s">
        <v>745</v>
      </c>
      <c r="BW395" t="s">
        <v>709</v>
      </c>
      <c r="BX395" t="s">
        <v>745</v>
      </c>
      <c r="BY395" t="s">
        <v>745</v>
      </c>
      <c r="BZ395" t="s">
        <v>709</v>
      </c>
      <c r="CA395" t="s">
        <v>3610</v>
      </c>
      <c r="CB395">
        <v>393</v>
      </c>
      <c r="CC395" t="b">
        <v>1</v>
      </c>
      <c r="CD395" t="s">
        <v>3611</v>
      </c>
      <c r="CE395" s="1482">
        <v>45880.734178240738</v>
      </c>
    </row>
    <row r="396" spans="1:83" ht="180" x14ac:dyDescent="0.25">
      <c r="A396">
        <v>2021</v>
      </c>
      <c r="B396" t="s">
        <v>1205</v>
      </c>
      <c r="C396" t="s">
        <v>3612</v>
      </c>
      <c r="D396" t="s">
        <v>115</v>
      </c>
      <c r="E396" t="s">
        <v>3613</v>
      </c>
      <c r="F396" t="s">
        <v>919</v>
      </c>
      <c r="G396" t="s">
        <v>1882</v>
      </c>
      <c r="H396" t="s">
        <v>2127</v>
      </c>
      <c r="I396">
        <v>44438</v>
      </c>
      <c r="J396">
        <v>44459</v>
      </c>
      <c r="K396">
        <v>44440</v>
      </c>
      <c r="L396">
        <v>19</v>
      </c>
      <c r="M396" t="s">
        <v>3614</v>
      </c>
      <c r="N396" t="s">
        <v>120</v>
      </c>
      <c r="O396">
        <v>44441</v>
      </c>
      <c r="P396" t="s">
        <v>739</v>
      </c>
      <c r="Q396">
        <v>1515</v>
      </c>
      <c r="R396" t="s">
        <v>1922</v>
      </c>
      <c r="S396" t="s">
        <v>709</v>
      </c>
      <c r="T396" t="s">
        <v>709</v>
      </c>
      <c r="U396">
        <v>1515</v>
      </c>
      <c r="AA396">
        <v>0</v>
      </c>
      <c r="AM396" t="s">
        <v>709</v>
      </c>
      <c r="AY396" t="s">
        <v>29</v>
      </c>
      <c r="BA396" s="4" t="s">
        <v>3615</v>
      </c>
      <c r="BZ396" t="s">
        <v>709</v>
      </c>
      <c r="CA396" t="s">
        <v>915</v>
      </c>
      <c r="CB396">
        <v>394</v>
      </c>
      <c r="CC396" t="b">
        <v>1</v>
      </c>
      <c r="CD396" t="s">
        <v>3616</v>
      </c>
      <c r="CE396" s="1482">
        <v>45880.734189814815</v>
      </c>
    </row>
    <row r="397" spans="1:83" ht="120" x14ac:dyDescent="0.25">
      <c r="A397">
        <v>2022</v>
      </c>
      <c r="B397" t="s">
        <v>771</v>
      </c>
      <c r="C397" t="s">
        <v>3617</v>
      </c>
      <c r="D397" t="s">
        <v>3618</v>
      </c>
      <c r="E397" t="s">
        <v>183</v>
      </c>
      <c r="F397" t="s">
        <v>738</v>
      </c>
      <c r="G397" t="s">
        <v>23</v>
      </c>
      <c r="H397" t="s">
        <v>59</v>
      </c>
      <c r="I397">
        <v>44365</v>
      </c>
      <c r="J397">
        <v>44442</v>
      </c>
      <c r="K397">
        <v>44440</v>
      </c>
      <c r="L397">
        <v>2</v>
      </c>
      <c r="N397" t="s">
        <v>120</v>
      </c>
      <c r="O397">
        <v>44442</v>
      </c>
      <c r="P397" t="s">
        <v>120</v>
      </c>
      <c r="Q397">
        <v>18485.3</v>
      </c>
      <c r="R397" t="s">
        <v>2087</v>
      </c>
      <c r="S397" t="s">
        <v>709</v>
      </c>
      <c r="T397" t="s">
        <v>709</v>
      </c>
      <c r="U397" t="s">
        <v>709</v>
      </c>
      <c r="V397">
        <v>11926</v>
      </c>
      <c r="X397">
        <v>1928767.57</v>
      </c>
      <c r="Z397">
        <v>53799.59</v>
      </c>
      <c r="AA397">
        <v>1982567.16</v>
      </c>
      <c r="AC397" t="s">
        <v>709</v>
      </c>
      <c r="AM397" t="s">
        <v>709</v>
      </c>
      <c r="AY397" t="s">
        <v>29</v>
      </c>
      <c r="BA397" t="s">
        <v>3619</v>
      </c>
      <c r="BB397" s="4" t="s">
        <v>3620</v>
      </c>
      <c r="BC397" t="s">
        <v>116</v>
      </c>
      <c r="BD397" t="s">
        <v>709</v>
      </c>
      <c r="BE397" t="s">
        <v>1314</v>
      </c>
      <c r="BF397" t="s">
        <v>3621</v>
      </c>
      <c r="BG397" t="s">
        <v>709</v>
      </c>
      <c r="BI397" t="s">
        <v>709</v>
      </c>
      <c r="BJ397" t="s">
        <v>709</v>
      </c>
      <c r="BK397" t="s">
        <v>709</v>
      </c>
      <c r="BL397" t="s">
        <v>116</v>
      </c>
      <c r="BM397" t="s">
        <v>709</v>
      </c>
      <c r="BN397" t="s">
        <v>709</v>
      </c>
      <c r="BO397" t="s">
        <v>709</v>
      </c>
      <c r="BP397">
        <v>1030</v>
      </c>
      <c r="BQ397">
        <v>1891</v>
      </c>
      <c r="BR397">
        <v>2615</v>
      </c>
      <c r="BS397">
        <v>6390</v>
      </c>
      <c r="BT397" t="s">
        <v>709</v>
      </c>
      <c r="BU397" t="s">
        <v>709</v>
      </c>
      <c r="BV397" t="s">
        <v>745</v>
      </c>
      <c r="BW397" t="s">
        <v>709</v>
      </c>
      <c r="BX397" t="s">
        <v>745</v>
      </c>
      <c r="BY397" t="s">
        <v>745</v>
      </c>
      <c r="BZ397" t="s">
        <v>709</v>
      </c>
      <c r="CB397">
        <v>395</v>
      </c>
      <c r="CC397" t="b">
        <v>1</v>
      </c>
      <c r="CD397" t="s">
        <v>3622</v>
      </c>
      <c r="CE397" s="1482">
        <v>45880.734201388892</v>
      </c>
    </row>
    <row r="398" spans="1:83" ht="270" x14ac:dyDescent="0.25">
      <c r="A398">
        <v>2021</v>
      </c>
      <c r="B398" t="s">
        <v>4</v>
      </c>
      <c r="C398" t="s">
        <v>3623</v>
      </c>
      <c r="D398" t="s">
        <v>3624</v>
      </c>
      <c r="E398" t="s">
        <v>1214</v>
      </c>
      <c r="F398" t="s">
        <v>919</v>
      </c>
      <c r="G398" t="s">
        <v>2814</v>
      </c>
      <c r="H398" t="s">
        <v>59</v>
      </c>
      <c r="I398">
        <v>44393</v>
      </c>
      <c r="J398">
        <v>44449</v>
      </c>
      <c r="K398">
        <v>44441</v>
      </c>
      <c r="L398">
        <v>8</v>
      </c>
      <c r="N398" t="s">
        <v>120</v>
      </c>
      <c r="O398">
        <v>44441</v>
      </c>
      <c r="P398" t="s">
        <v>739</v>
      </c>
      <c r="Q398">
        <v>45601.913</v>
      </c>
      <c r="R398">
        <v>0.1</v>
      </c>
      <c r="S398" t="s">
        <v>709</v>
      </c>
      <c r="T398" t="s">
        <v>709</v>
      </c>
      <c r="U398" t="s">
        <v>709</v>
      </c>
      <c r="V398">
        <v>3389</v>
      </c>
      <c r="X398">
        <v>409027.17</v>
      </c>
      <c r="Z398">
        <v>46991.96</v>
      </c>
      <c r="AA398">
        <v>456019.13</v>
      </c>
      <c r="AC398" t="s">
        <v>709</v>
      </c>
      <c r="AM398" t="s">
        <v>116</v>
      </c>
      <c r="AN398">
        <v>44468</v>
      </c>
      <c r="AO398">
        <v>191031</v>
      </c>
      <c r="AP398">
        <v>409027.17</v>
      </c>
      <c r="AR398">
        <v>46991.96</v>
      </c>
      <c r="AS398">
        <v>456019.13</v>
      </c>
      <c r="AT398">
        <v>0</v>
      </c>
      <c r="AU398">
        <v>0</v>
      </c>
      <c r="AV398" t="s">
        <v>709</v>
      </c>
      <c r="AY398" t="s">
        <v>1935</v>
      </c>
      <c r="BA398" s="4" t="s">
        <v>3625</v>
      </c>
      <c r="BB398" t="s">
        <v>3507</v>
      </c>
      <c r="BC398" t="s">
        <v>709</v>
      </c>
      <c r="BD398" t="s">
        <v>709</v>
      </c>
      <c r="BE398" t="s">
        <v>1217</v>
      </c>
      <c r="BF398" t="s">
        <v>709</v>
      </c>
      <c r="BG398" t="s">
        <v>709</v>
      </c>
      <c r="BI398" t="s">
        <v>709</v>
      </c>
      <c r="BJ398" t="s">
        <v>709</v>
      </c>
      <c r="BK398" t="s">
        <v>709</v>
      </c>
      <c r="BL398" t="s">
        <v>116</v>
      </c>
      <c r="BM398" t="s">
        <v>709</v>
      </c>
      <c r="BN398" t="s">
        <v>709</v>
      </c>
      <c r="BO398" t="s">
        <v>709</v>
      </c>
      <c r="BP398" t="s">
        <v>709</v>
      </c>
      <c r="BQ398" t="s">
        <v>709</v>
      </c>
      <c r="BR398">
        <v>3287</v>
      </c>
      <c r="BS398">
        <v>102</v>
      </c>
      <c r="BT398" t="s">
        <v>745</v>
      </c>
      <c r="BU398" t="s">
        <v>709</v>
      </c>
      <c r="BV398" t="s">
        <v>745</v>
      </c>
      <c r="BW398" t="s">
        <v>709</v>
      </c>
      <c r="BX398" t="s">
        <v>745</v>
      </c>
      <c r="BY398" t="s">
        <v>745</v>
      </c>
      <c r="BZ398" t="s">
        <v>709</v>
      </c>
      <c r="CB398">
        <v>396</v>
      </c>
      <c r="CC398" t="b">
        <v>1</v>
      </c>
      <c r="CD398" t="s">
        <v>3626</v>
      </c>
      <c r="CE398" s="1482">
        <v>45880.734212962961</v>
      </c>
    </row>
    <row r="399" spans="1:83" ht="285" x14ac:dyDescent="0.25">
      <c r="A399">
        <v>2021</v>
      </c>
      <c r="B399" t="s">
        <v>769</v>
      </c>
      <c r="C399" t="s">
        <v>3627</v>
      </c>
      <c r="D399" t="s">
        <v>3628</v>
      </c>
      <c r="E399" t="s">
        <v>426</v>
      </c>
      <c r="F399" t="s">
        <v>738</v>
      </c>
      <c r="G399" t="s">
        <v>40</v>
      </c>
      <c r="H399" t="s">
        <v>59</v>
      </c>
      <c r="I399">
        <v>44315</v>
      </c>
      <c r="J399">
        <v>44442</v>
      </c>
      <c r="K399">
        <v>44442</v>
      </c>
      <c r="L399">
        <v>0</v>
      </c>
      <c r="N399" t="s">
        <v>120</v>
      </c>
      <c r="O399">
        <v>44442</v>
      </c>
      <c r="P399" t="s">
        <v>120</v>
      </c>
      <c r="Q399">
        <v>36654.635900000001</v>
      </c>
      <c r="R399" t="s">
        <v>1055</v>
      </c>
      <c r="S399" t="s">
        <v>709</v>
      </c>
      <c r="T399" t="s">
        <v>709</v>
      </c>
      <c r="U399" t="s">
        <v>709</v>
      </c>
      <c r="V399">
        <v>304</v>
      </c>
      <c r="X399">
        <v>285112.5</v>
      </c>
      <c r="Z399">
        <v>54942.04</v>
      </c>
      <c r="AA399">
        <v>340054.54</v>
      </c>
      <c r="AC399" t="s">
        <v>1056</v>
      </c>
      <c r="AM399" t="s">
        <v>116</v>
      </c>
      <c r="AN399">
        <v>44703</v>
      </c>
      <c r="AO399">
        <v>11036736</v>
      </c>
      <c r="AP399">
        <v>306571.58</v>
      </c>
      <c r="AR399">
        <v>55331.7</v>
      </c>
      <c r="AS399">
        <v>361903.28</v>
      </c>
      <c r="AT399">
        <v>21848.74</v>
      </c>
      <c r="AU399">
        <v>1857.1429000000001</v>
      </c>
      <c r="AV399" t="s">
        <v>709</v>
      </c>
      <c r="AW399" t="s">
        <v>3629</v>
      </c>
      <c r="AX399">
        <v>1857.1429000000001</v>
      </c>
      <c r="AY399">
        <v>45008</v>
      </c>
      <c r="BA399" t="s">
        <v>3630</v>
      </c>
      <c r="BB399" s="4" t="s">
        <v>3631</v>
      </c>
      <c r="BC399" t="s">
        <v>116</v>
      </c>
      <c r="BD399" t="s">
        <v>709</v>
      </c>
      <c r="BE399" t="s">
        <v>1396</v>
      </c>
      <c r="BF399" t="s">
        <v>709</v>
      </c>
      <c r="BG399" t="s">
        <v>709</v>
      </c>
      <c r="BI399" t="s">
        <v>709</v>
      </c>
      <c r="BJ399" t="s">
        <v>709</v>
      </c>
      <c r="BK399" t="s">
        <v>116</v>
      </c>
      <c r="BL399" t="s">
        <v>116</v>
      </c>
      <c r="BM399" t="s">
        <v>709</v>
      </c>
      <c r="BN399" t="s">
        <v>709</v>
      </c>
      <c r="BO399" t="s">
        <v>709</v>
      </c>
      <c r="BP399">
        <v>101</v>
      </c>
      <c r="BQ399">
        <v>52</v>
      </c>
      <c r="BR399">
        <v>50</v>
      </c>
      <c r="BS399">
        <v>10</v>
      </c>
      <c r="BT399">
        <v>1</v>
      </c>
      <c r="BU399" t="s">
        <v>709</v>
      </c>
      <c r="BV399" t="s">
        <v>709</v>
      </c>
      <c r="BW399" t="s">
        <v>709</v>
      </c>
      <c r="BX399">
        <v>1</v>
      </c>
      <c r="BY399" t="s">
        <v>709</v>
      </c>
      <c r="BZ399" t="s">
        <v>709</v>
      </c>
      <c r="CA399" t="s">
        <v>769</v>
      </c>
      <c r="CB399">
        <v>397</v>
      </c>
      <c r="CC399" t="b">
        <v>1</v>
      </c>
      <c r="CD399" t="s">
        <v>3632</v>
      </c>
      <c r="CE399" s="1482">
        <v>45880.734224537038</v>
      </c>
    </row>
    <row r="400" spans="1:83" x14ac:dyDescent="0.25">
      <c r="A400">
        <v>2022</v>
      </c>
      <c r="B400" t="s">
        <v>771</v>
      </c>
      <c r="C400" t="s">
        <v>3633</v>
      </c>
      <c r="D400" t="s">
        <v>3634</v>
      </c>
      <c r="E400" t="s">
        <v>3635</v>
      </c>
      <c r="F400" t="s">
        <v>738</v>
      </c>
      <c r="G400" t="s">
        <v>1882</v>
      </c>
      <c r="H400" t="s">
        <v>59</v>
      </c>
      <c r="I400">
        <v>44383</v>
      </c>
      <c r="J400">
        <v>44454</v>
      </c>
      <c r="K400">
        <v>44447</v>
      </c>
      <c r="L400">
        <v>7</v>
      </c>
      <c r="N400" t="s">
        <v>120</v>
      </c>
      <c r="O400">
        <v>44447</v>
      </c>
      <c r="P400" t="s">
        <v>120</v>
      </c>
      <c r="Q400">
        <v>10848.45</v>
      </c>
      <c r="R400" t="s">
        <v>2087</v>
      </c>
      <c r="S400" t="s">
        <v>709</v>
      </c>
      <c r="T400" t="s">
        <v>709</v>
      </c>
      <c r="U400" t="s">
        <v>709</v>
      </c>
      <c r="V400">
        <v>6999</v>
      </c>
      <c r="X400">
        <v>712254.77</v>
      </c>
      <c r="Z400">
        <v>35941.33</v>
      </c>
      <c r="AA400">
        <v>748196.1</v>
      </c>
      <c r="AC400" t="s">
        <v>709</v>
      </c>
      <c r="AM400" t="s">
        <v>709</v>
      </c>
      <c r="AY400" t="s">
        <v>29</v>
      </c>
      <c r="BA400" t="s">
        <v>3636</v>
      </c>
      <c r="BB400" t="s">
        <v>3637</v>
      </c>
      <c r="BC400" t="s">
        <v>116</v>
      </c>
      <c r="BD400" t="s">
        <v>709</v>
      </c>
      <c r="BE400" t="s">
        <v>3638</v>
      </c>
      <c r="BF400" t="s">
        <v>3639</v>
      </c>
      <c r="BG400" t="s">
        <v>709</v>
      </c>
      <c r="BI400" t="s">
        <v>709</v>
      </c>
      <c r="BJ400" t="s">
        <v>709</v>
      </c>
      <c r="BK400" t="s">
        <v>709</v>
      </c>
      <c r="BL400" t="s">
        <v>116</v>
      </c>
      <c r="BM400" t="s">
        <v>709</v>
      </c>
      <c r="BN400" t="s">
        <v>709</v>
      </c>
      <c r="BO400" t="s">
        <v>709</v>
      </c>
      <c r="BP400" t="s">
        <v>709</v>
      </c>
      <c r="BQ400" t="s">
        <v>709</v>
      </c>
      <c r="BR400" t="s">
        <v>709</v>
      </c>
      <c r="BS400">
        <v>6999</v>
      </c>
      <c r="BT400" t="s">
        <v>745</v>
      </c>
      <c r="BU400" t="s">
        <v>709</v>
      </c>
      <c r="BV400" t="s">
        <v>745</v>
      </c>
      <c r="BW400" t="s">
        <v>709</v>
      </c>
      <c r="BX400" t="s">
        <v>745</v>
      </c>
      <c r="BY400" t="s">
        <v>745</v>
      </c>
      <c r="BZ400" t="s">
        <v>709</v>
      </c>
      <c r="CB400">
        <v>398</v>
      </c>
      <c r="CC400" t="b">
        <v>1</v>
      </c>
      <c r="CD400" t="s">
        <v>3640</v>
      </c>
      <c r="CE400" s="1482">
        <v>45880.734224537038</v>
      </c>
    </row>
    <row r="401" spans="1:83" ht="45" x14ac:dyDescent="0.25">
      <c r="A401">
        <v>2022</v>
      </c>
      <c r="B401" t="s">
        <v>771</v>
      </c>
      <c r="C401" t="s">
        <v>3641</v>
      </c>
      <c r="D401" t="s">
        <v>3642</v>
      </c>
      <c r="E401" t="s">
        <v>3643</v>
      </c>
      <c r="F401" t="s">
        <v>919</v>
      </c>
      <c r="G401" t="s">
        <v>36</v>
      </c>
      <c r="H401" t="s">
        <v>59</v>
      </c>
      <c r="I401">
        <v>44383</v>
      </c>
      <c r="J401">
        <v>44454</v>
      </c>
      <c r="K401">
        <v>44447</v>
      </c>
      <c r="L401">
        <v>7</v>
      </c>
      <c r="N401" t="s">
        <v>120</v>
      </c>
      <c r="O401">
        <v>44447</v>
      </c>
      <c r="P401" t="s">
        <v>120</v>
      </c>
      <c r="Q401">
        <v>11910.2</v>
      </c>
      <c r="R401" t="s">
        <v>2087</v>
      </c>
      <c r="S401" t="s">
        <v>709</v>
      </c>
      <c r="T401" t="s">
        <v>709</v>
      </c>
      <c r="U401" t="s">
        <v>709</v>
      </c>
      <c r="V401">
        <v>7684</v>
      </c>
      <c r="X401">
        <v>1076705.24</v>
      </c>
      <c r="Z401">
        <v>30092.18</v>
      </c>
      <c r="AA401">
        <v>1106797.42</v>
      </c>
      <c r="AC401" t="s">
        <v>709</v>
      </c>
      <c r="AM401" t="s">
        <v>709</v>
      </c>
      <c r="AY401" t="s">
        <v>29</v>
      </c>
      <c r="BA401" t="s">
        <v>3644</v>
      </c>
      <c r="BB401" s="4" t="s">
        <v>3645</v>
      </c>
      <c r="BC401" t="s">
        <v>116</v>
      </c>
      <c r="BD401" t="s">
        <v>709</v>
      </c>
      <c r="BE401" t="s">
        <v>3646</v>
      </c>
      <c r="BF401" t="s">
        <v>709</v>
      </c>
      <c r="BG401" t="s">
        <v>1496</v>
      </c>
      <c r="BI401" t="s">
        <v>709</v>
      </c>
      <c r="BJ401" t="s">
        <v>709</v>
      </c>
      <c r="BK401" t="s">
        <v>709</v>
      </c>
      <c r="BL401" t="s">
        <v>116</v>
      </c>
      <c r="BM401" t="s">
        <v>709</v>
      </c>
      <c r="BN401" t="s">
        <v>709</v>
      </c>
      <c r="BO401" t="s">
        <v>709</v>
      </c>
      <c r="BP401" t="s">
        <v>709</v>
      </c>
      <c r="BQ401">
        <v>26</v>
      </c>
      <c r="BR401">
        <v>1820</v>
      </c>
      <c r="BS401">
        <v>5838</v>
      </c>
      <c r="BT401" t="s">
        <v>745</v>
      </c>
      <c r="BU401" t="s">
        <v>709</v>
      </c>
      <c r="BV401" t="s">
        <v>745</v>
      </c>
      <c r="BW401" t="s">
        <v>709</v>
      </c>
      <c r="BX401" t="s">
        <v>745</v>
      </c>
      <c r="BY401" t="s">
        <v>745</v>
      </c>
      <c r="BZ401" t="s">
        <v>709</v>
      </c>
      <c r="CB401">
        <v>399</v>
      </c>
      <c r="CC401" t="b">
        <v>1</v>
      </c>
      <c r="CD401" t="s">
        <v>3647</v>
      </c>
      <c r="CE401" s="1482">
        <v>45880.734236111108</v>
      </c>
    </row>
    <row r="402" spans="1:83" x14ac:dyDescent="0.25">
      <c r="A402">
        <v>2020</v>
      </c>
      <c r="B402" t="s">
        <v>1205</v>
      </c>
      <c r="C402" t="s">
        <v>60</v>
      </c>
      <c r="D402" t="s">
        <v>2410</v>
      </c>
      <c r="E402" t="s">
        <v>61</v>
      </c>
      <c r="F402" t="s">
        <v>325</v>
      </c>
      <c r="G402" t="s">
        <v>36</v>
      </c>
      <c r="H402" t="s">
        <v>2051</v>
      </c>
      <c r="I402">
        <v>43755</v>
      </c>
      <c r="J402" t="s">
        <v>2052</v>
      </c>
      <c r="K402">
        <v>44448</v>
      </c>
      <c r="L402">
        <v>693</v>
      </c>
      <c r="M402" t="s">
        <v>3648</v>
      </c>
      <c r="N402" t="s">
        <v>120</v>
      </c>
      <c r="O402">
        <v>44448</v>
      </c>
      <c r="P402" t="s">
        <v>739</v>
      </c>
      <c r="Q402">
        <v>1605</v>
      </c>
      <c r="R402" t="s">
        <v>1922</v>
      </c>
      <c r="S402" t="s">
        <v>709</v>
      </c>
      <c r="T402" t="s">
        <v>709</v>
      </c>
      <c r="U402">
        <v>1605</v>
      </c>
      <c r="V402">
        <v>687</v>
      </c>
      <c r="X402">
        <v>329230.81</v>
      </c>
      <c r="Y402">
        <v>10675.98</v>
      </c>
      <c r="Z402">
        <v>10142.81</v>
      </c>
      <c r="AA402">
        <v>339373.62</v>
      </c>
      <c r="AM402" t="s">
        <v>709</v>
      </c>
      <c r="AY402" t="s">
        <v>29</v>
      </c>
      <c r="BA402" s="4">
        <v>2</v>
      </c>
      <c r="BI402" t="s">
        <v>709</v>
      </c>
      <c r="BJ402" t="s">
        <v>709</v>
      </c>
      <c r="BK402" t="s">
        <v>709</v>
      </c>
      <c r="BL402" t="s">
        <v>116</v>
      </c>
      <c r="BM402" t="s">
        <v>709</v>
      </c>
      <c r="BN402" t="s">
        <v>709</v>
      </c>
      <c r="BO402" t="s">
        <v>709</v>
      </c>
      <c r="BP402" t="s">
        <v>709</v>
      </c>
      <c r="BQ402">
        <v>464</v>
      </c>
      <c r="BR402" t="s">
        <v>709</v>
      </c>
      <c r="BS402">
        <v>223</v>
      </c>
      <c r="BT402" t="s">
        <v>745</v>
      </c>
      <c r="BU402" t="s">
        <v>709</v>
      </c>
      <c r="BV402" t="s">
        <v>745</v>
      </c>
      <c r="BW402" t="s">
        <v>709</v>
      </c>
      <c r="BX402" t="s">
        <v>745</v>
      </c>
      <c r="BY402" t="s">
        <v>745</v>
      </c>
      <c r="BZ402" t="s">
        <v>709</v>
      </c>
      <c r="CB402">
        <v>401</v>
      </c>
      <c r="CC402" t="b">
        <v>1</v>
      </c>
      <c r="CD402" t="s">
        <v>3649</v>
      </c>
      <c r="CE402" s="1482">
        <v>45880.734247685185</v>
      </c>
    </row>
    <row r="403" spans="1:83" x14ac:dyDescent="0.25">
      <c r="A403">
        <v>2020</v>
      </c>
      <c r="B403" t="s">
        <v>1205</v>
      </c>
      <c r="C403" t="s">
        <v>2605</v>
      </c>
      <c r="D403" t="s">
        <v>2606</v>
      </c>
      <c r="E403" t="s">
        <v>2607</v>
      </c>
      <c r="F403" t="s">
        <v>919</v>
      </c>
      <c r="G403" t="s">
        <v>36</v>
      </c>
      <c r="H403" t="s">
        <v>2051</v>
      </c>
      <c r="I403">
        <v>43963</v>
      </c>
      <c r="J403" t="s">
        <v>2052</v>
      </c>
      <c r="K403">
        <v>44448</v>
      </c>
      <c r="L403">
        <v>485</v>
      </c>
      <c r="M403" t="s">
        <v>3650</v>
      </c>
      <c r="N403" t="s">
        <v>120</v>
      </c>
      <c r="O403">
        <v>44448</v>
      </c>
      <c r="P403" t="s">
        <v>739</v>
      </c>
      <c r="Q403">
        <v>1450</v>
      </c>
      <c r="R403" t="s">
        <v>1922</v>
      </c>
      <c r="S403" t="s">
        <v>709</v>
      </c>
      <c r="T403" t="s">
        <v>709</v>
      </c>
      <c r="U403">
        <v>1450</v>
      </c>
      <c r="V403">
        <v>0</v>
      </c>
      <c r="X403">
        <v>0</v>
      </c>
      <c r="Y403">
        <v>0</v>
      </c>
      <c r="Z403">
        <v>29376.99</v>
      </c>
      <c r="AA403">
        <v>29376.99</v>
      </c>
      <c r="AM403" t="s">
        <v>709</v>
      </c>
      <c r="AY403" t="s">
        <v>29</v>
      </c>
      <c r="BA403" s="4">
        <v>3</v>
      </c>
      <c r="BZ403" t="s">
        <v>709</v>
      </c>
      <c r="CA403" t="s">
        <v>1146</v>
      </c>
      <c r="CB403">
        <v>402</v>
      </c>
      <c r="CC403" t="b">
        <v>1</v>
      </c>
      <c r="CD403" t="s">
        <v>3651</v>
      </c>
      <c r="CE403" s="1482">
        <v>45880.734259259261</v>
      </c>
    </row>
    <row r="404" spans="1:83" ht="210" x14ac:dyDescent="0.25">
      <c r="A404">
        <v>2021</v>
      </c>
      <c r="B404" t="s">
        <v>4</v>
      </c>
      <c r="C404" t="s">
        <v>2948</v>
      </c>
      <c r="D404" t="s">
        <v>2949</v>
      </c>
      <c r="E404" t="s">
        <v>2786</v>
      </c>
      <c r="F404" t="s">
        <v>919</v>
      </c>
      <c r="G404" t="s">
        <v>40</v>
      </c>
      <c r="H404" t="s">
        <v>2611</v>
      </c>
      <c r="I404">
        <v>44090</v>
      </c>
      <c r="J404" t="s">
        <v>2612</v>
      </c>
      <c r="K404">
        <v>44448</v>
      </c>
      <c r="L404">
        <v>358</v>
      </c>
      <c r="M404" t="s">
        <v>3652</v>
      </c>
      <c r="N404" t="s">
        <v>120</v>
      </c>
      <c r="O404">
        <v>44448</v>
      </c>
      <c r="P404" t="s">
        <v>739</v>
      </c>
      <c r="Q404">
        <v>522.5</v>
      </c>
      <c r="R404" t="s">
        <v>1922</v>
      </c>
      <c r="S404" t="s">
        <v>709</v>
      </c>
      <c r="T404" t="s">
        <v>709</v>
      </c>
      <c r="U404">
        <v>522.5</v>
      </c>
      <c r="V404">
        <v>7313</v>
      </c>
      <c r="X404">
        <v>3055025.4</v>
      </c>
      <c r="Z404">
        <v>51682.62</v>
      </c>
      <c r="AA404">
        <v>3106708.02</v>
      </c>
      <c r="AM404" t="s">
        <v>709</v>
      </c>
      <c r="AY404" t="s">
        <v>29</v>
      </c>
      <c r="BA404" s="4" t="s">
        <v>2952</v>
      </c>
      <c r="BB404" t="s">
        <v>2953</v>
      </c>
      <c r="BC404" t="s">
        <v>116</v>
      </c>
      <c r="BD404" t="s">
        <v>709</v>
      </c>
      <c r="BE404" t="s">
        <v>2954</v>
      </c>
      <c r="BF404" t="s">
        <v>709</v>
      </c>
      <c r="BG404" t="s">
        <v>709</v>
      </c>
      <c r="BI404" t="s">
        <v>709</v>
      </c>
      <c r="BJ404" t="s">
        <v>709</v>
      </c>
      <c r="BK404" t="s">
        <v>709</v>
      </c>
      <c r="BL404" t="s">
        <v>116</v>
      </c>
      <c r="BM404" t="s">
        <v>709</v>
      </c>
      <c r="BN404" t="s">
        <v>709</v>
      </c>
      <c r="BO404" t="s">
        <v>709</v>
      </c>
      <c r="BP404">
        <v>435</v>
      </c>
      <c r="BQ404">
        <v>1885</v>
      </c>
      <c r="BR404">
        <v>3372</v>
      </c>
      <c r="BS404">
        <v>1853</v>
      </c>
      <c r="BT404">
        <v>1</v>
      </c>
      <c r="BU404" t="s">
        <v>709</v>
      </c>
      <c r="BV404">
        <v>2</v>
      </c>
      <c r="BW404" t="s">
        <v>709</v>
      </c>
      <c r="BX404" t="s">
        <v>709</v>
      </c>
      <c r="BY404" t="s">
        <v>709</v>
      </c>
      <c r="BZ404" t="s">
        <v>709</v>
      </c>
      <c r="CB404">
        <v>400</v>
      </c>
      <c r="CC404" t="b">
        <v>1</v>
      </c>
      <c r="CD404" t="s">
        <v>3653</v>
      </c>
      <c r="CE404" s="1482">
        <v>45880.734270833331</v>
      </c>
    </row>
    <row r="405" spans="1:83" x14ac:dyDescent="0.25">
      <c r="A405">
        <v>2021</v>
      </c>
      <c r="B405" t="s">
        <v>1073</v>
      </c>
      <c r="C405" t="s">
        <v>3371</v>
      </c>
      <c r="D405" t="s">
        <v>3372</v>
      </c>
      <c r="E405" t="s">
        <v>263</v>
      </c>
      <c r="F405" t="s">
        <v>919</v>
      </c>
      <c r="G405" t="s">
        <v>1882</v>
      </c>
      <c r="H405" t="s">
        <v>2611</v>
      </c>
      <c r="I405">
        <v>44315</v>
      </c>
      <c r="J405" t="s">
        <v>2612</v>
      </c>
      <c r="K405">
        <v>44449</v>
      </c>
      <c r="L405">
        <v>134</v>
      </c>
      <c r="M405" t="s">
        <v>3652</v>
      </c>
      <c r="N405" t="s">
        <v>120</v>
      </c>
      <c r="O405">
        <v>44449</v>
      </c>
      <c r="P405" t="s">
        <v>739</v>
      </c>
      <c r="Q405">
        <v>4710</v>
      </c>
      <c r="R405" t="s">
        <v>1922</v>
      </c>
      <c r="S405" t="s">
        <v>709</v>
      </c>
      <c r="T405" t="s">
        <v>709</v>
      </c>
      <c r="U405">
        <v>4710</v>
      </c>
      <c r="V405">
        <v>1271</v>
      </c>
      <c r="X405">
        <v>246543.21</v>
      </c>
      <c r="Z405">
        <v>0</v>
      </c>
      <c r="AA405">
        <v>246543.21</v>
      </c>
      <c r="AE405" t="s">
        <v>29</v>
      </c>
      <c r="AF405" t="s">
        <v>29</v>
      </c>
      <c r="AG405" t="s">
        <v>29</v>
      </c>
      <c r="AH405" t="s">
        <v>29</v>
      </c>
      <c r="AM405" t="s">
        <v>709</v>
      </c>
      <c r="AY405" t="s">
        <v>29</v>
      </c>
      <c r="BA405" t="s">
        <v>3374</v>
      </c>
      <c r="BB405" t="s">
        <v>3375</v>
      </c>
      <c r="BC405" t="s">
        <v>709</v>
      </c>
      <c r="BD405" t="s">
        <v>709</v>
      </c>
      <c r="BE405" t="s">
        <v>709</v>
      </c>
      <c r="BF405" t="s">
        <v>709</v>
      </c>
      <c r="BG405" t="s">
        <v>709</v>
      </c>
      <c r="BI405" t="s">
        <v>709</v>
      </c>
      <c r="BJ405" t="s">
        <v>709</v>
      </c>
      <c r="BK405" t="s">
        <v>116</v>
      </c>
      <c r="BL405" t="s">
        <v>116</v>
      </c>
      <c r="BM405" t="s">
        <v>709</v>
      </c>
      <c r="BN405" t="s">
        <v>709</v>
      </c>
      <c r="BO405" t="s">
        <v>709</v>
      </c>
      <c r="BP405" t="s">
        <v>709</v>
      </c>
      <c r="BQ405" t="s">
        <v>709</v>
      </c>
      <c r="BR405" t="s">
        <v>116</v>
      </c>
      <c r="BS405" t="s">
        <v>116</v>
      </c>
      <c r="BT405" t="s">
        <v>745</v>
      </c>
      <c r="BU405" t="s">
        <v>116</v>
      </c>
      <c r="BV405" t="s">
        <v>745</v>
      </c>
      <c r="BW405" t="s">
        <v>709</v>
      </c>
      <c r="BX405" t="s">
        <v>116</v>
      </c>
      <c r="BY405" t="s">
        <v>116</v>
      </c>
      <c r="BZ405" t="s">
        <v>709</v>
      </c>
      <c r="CB405">
        <v>403</v>
      </c>
      <c r="CC405" t="b">
        <v>1</v>
      </c>
      <c r="CD405" t="s">
        <v>3654</v>
      </c>
      <c r="CE405" s="1482">
        <v>45880.734282407408</v>
      </c>
    </row>
    <row r="406" spans="1:83" ht="210" x14ac:dyDescent="0.25">
      <c r="A406">
        <v>2022</v>
      </c>
      <c r="B406" t="s">
        <v>771</v>
      </c>
      <c r="C406" t="s">
        <v>3655</v>
      </c>
      <c r="D406" t="s">
        <v>3656</v>
      </c>
      <c r="E406" t="s">
        <v>3643</v>
      </c>
      <c r="F406" t="s">
        <v>919</v>
      </c>
      <c r="G406" t="s">
        <v>36</v>
      </c>
      <c r="H406" t="s">
        <v>59</v>
      </c>
      <c r="I406">
        <v>44383</v>
      </c>
      <c r="J406">
        <v>44454</v>
      </c>
      <c r="K406">
        <v>44454</v>
      </c>
      <c r="L406">
        <v>0</v>
      </c>
      <c r="N406" t="s">
        <v>120</v>
      </c>
      <c r="O406">
        <v>44454</v>
      </c>
      <c r="P406" t="s">
        <v>120</v>
      </c>
      <c r="Q406">
        <v>8870.65</v>
      </c>
      <c r="R406" t="s">
        <v>2087</v>
      </c>
      <c r="S406" t="s">
        <v>709</v>
      </c>
      <c r="T406" t="s">
        <v>709</v>
      </c>
      <c r="U406" t="s">
        <v>709</v>
      </c>
      <c r="V406">
        <v>5723</v>
      </c>
      <c r="X406">
        <v>915271.6</v>
      </c>
      <c r="Z406">
        <v>27408.080000000002</v>
      </c>
      <c r="AA406">
        <v>942679.68</v>
      </c>
      <c r="AC406" t="s">
        <v>709</v>
      </c>
      <c r="AM406" t="s">
        <v>709</v>
      </c>
      <c r="AY406" t="s">
        <v>29</v>
      </c>
      <c r="BA406" s="4" t="s">
        <v>3657</v>
      </c>
      <c r="BB406" t="s">
        <v>3658</v>
      </c>
      <c r="BC406" t="s">
        <v>709</v>
      </c>
      <c r="BD406" t="s">
        <v>3659</v>
      </c>
      <c r="BE406" t="s">
        <v>3646</v>
      </c>
      <c r="BF406" t="s">
        <v>709</v>
      </c>
      <c r="BG406" t="s">
        <v>709</v>
      </c>
      <c r="BI406" t="s">
        <v>709</v>
      </c>
      <c r="BJ406" t="s">
        <v>709</v>
      </c>
      <c r="BK406" t="s">
        <v>709</v>
      </c>
      <c r="BL406" t="s">
        <v>116</v>
      </c>
      <c r="BM406" t="s">
        <v>709</v>
      </c>
      <c r="BN406" t="s">
        <v>709</v>
      </c>
      <c r="BO406" t="s">
        <v>709</v>
      </c>
      <c r="BP406" t="s">
        <v>709</v>
      </c>
      <c r="BQ406" t="s">
        <v>709</v>
      </c>
      <c r="BR406">
        <v>1904</v>
      </c>
      <c r="BS406">
        <v>3819</v>
      </c>
      <c r="BT406" t="s">
        <v>745</v>
      </c>
      <c r="BU406" t="s">
        <v>709</v>
      </c>
      <c r="BV406" t="s">
        <v>745</v>
      </c>
      <c r="BW406" t="s">
        <v>709</v>
      </c>
      <c r="BX406" t="s">
        <v>745</v>
      </c>
      <c r="BY406" t="s">
        <v>745</v>
      </c>
      <c r="BZ406" t="s">
        <v>709</v>
      </c>
      <c r="CB406">
        <v>404</v>
      </c>
      <c r="CC406" t="b">
        <v>1</v>
      </c>
      <c r="CD406" t="s">
        <v>3660</v>
      </c>
      <c r="CE406" s="1482">
        <v>45880.734282407408</v>
      </c>
    </row>
    <row r="407" spans="1:83" x14ac:dyDescent="0.25">
      <c r="A407">
        <v>2022</v>
      </c>
      <c r="B407" t="s">
        <v>771</v>
      </c>
      <c r="C407" t="s">
        <v>3655</v>
      </c>
      <c r="D407" t="s">
        <v>3656</v>
      </c>
      <c r="E407" t="s">
        <v>3643</v>
      </c>
      <c r="F407" t="s">
        <v>919</v>
      </c>
      <c r="G407" t="s">
        <v>36</v>
      </c>
      <c r="H407" t="s">
        <v>3661</v>
      </c>
      <c r="I407">
        <v>44383</v>
      </c>
      <c r="J407" t="s">
        <v>3662</v>
      </c>
      <c r="K407">
        <v>44454</v>
      </c>
      <c r="L407">
        <v>71</v>
      </c>
      <c r="M407" t="s">
        <v>3663</v>
      </c>
      <c r="N407" t="s">
        <v>120</v>
      </c>
      <c r="O407">
        <v>44554</v>
      </c>
      <c r="P407" t="s">
        <v>120</v>
      </c>
      <c r="Q407">
        <v>4437.5</v>
      </c>
      <c r="R407" t="s">
        <v>1922</v>
      </c>
      <c r="S407" t="s">
        <v>709</v>
      </c>
      <c r="T407" t="s">
        <v>709</v>
      </c>
      <c r="U407">
        <v>4437.5</v>
      </c>
      <c r="AB407" t="s">
        <v>29</v>
      </c>
      <c r="AC407" t="s">
        <v>29</v>
      </c>
      <c r="AD407" t="s">
        <v>29</v>
      </c>
      <c r="AM407" t="s">
        <v>709</v>
      </c>
      <c r="AY407" t="s">
        <v>29</v>
      </c>
      <c r="BC407" t="s">
        <v>709</v>
      </c>
      <c r="BD407" t="s">
        <v>3659</v>
      </c>
      <c r="BE407" t="s">
        <v>3646</v>
      </c>
      <c r="BF407" t="s">
        <v>709</v>
      </c>
      <c r="BG407" t="s">
        <v>709</v>
      </c>
      <c r="BI407" t="s">
        <v>709</v>
      </c>
      <c r="BJ407" t="s">
        <v>709</v>
      </c>
      <c r="BK407" t="s">
        <v>709</v>
      </c>
      <c r="BL407" t="s">
        <v>116</v>
      </c>
      <c r="BM407" t="s">
        <v>709</v>
      </c>
      <c r="BN407" t="s">
        <v>709</v>
      </c>
      <c r="BO407" t="s">
        <v>709</v>
      </c>
      <c r="BP407" t="s">
        <v>709</v>
      </c>
      <c r="BQ407" t="s">
        <v>709</v>
      </c>
      <c r="BR407">
        <v>1904</v>
      </c>
      <c r="BS407">
        <v>3819</v>
      </c>
      <c r="BT407" t="s">
        <v>745</v>
      </c>
      <c r="BU407" t="s">
        <v>709</v>
      </c>
      <c r="BV407" t="s">
        <v>745</v>
      </c>
      <c r="BW407" t="s">
        <v>709</v>
      </c>
      <c r="BX407" t="s">
        <v>745</v>
      </c>
      <c r="BY407" t="s">
        <v>745</v>
      </c>
      <c r="BZ407" t="s">
        <v>709</v>
      </c>
      <c r="CB407">
        <v>405</v>
      </c>
      <c r="CC407" t="b">
        <v>1</v>
      </c>
      <c r="CD407" t="s">
        <v>3660</v>
      </c>
      <c r="CE407" s="1482">
        <v>45880.734293981484</v>
      </c>
    </row>
    <row r="408" spans="1:83" x14ac:dyDescent="0.25">
      <c r="A408">
        <v>2021</v>
      </c>
      <c r="B408" t="s">
        <v>4</v>
      </c>
      <c r="C408" t="s">
        <v>3110</v>
      </c>
      <c r="D408">
        <v>135693</v>
      </c>
      <c r="E408" t="s">
        <v>1004</v>
      </c>
      <c r="F408" t="s">
        <v>919</v>
      </c>
      <c r="G408" t="s">
        <v>1882</v>
      </c>
      <c r="H408" t="s">
        <v>2051</v>
      </c>
      <c r="I408">
        <v>44362</v>
      </c>
      <c r="J408" t="s">
        <v>2052</v>
      </c>
      <c r="K408">
        <v>44455</v>
      </c>
      <c r="L408">
        <v>93</v>
      </c>
      <c r="M408" t="s">
        <v>3664</v>
      </c>
      <c r="N408" t="s">
        <v>120</v>
      </c>
      <c r="O408">
        <v>44455</v>
      </c>
      <c r="P408" t="s">
        <v>120</v>
      </c>
      <c r="Q408">
        <v>2957.5</v>
      </c>
      <c r="R408" t="s">
        <v>1922</v>
      </c>
      <c r="S408" t="s">
        <v>709</v>
      </c>
      <c r="T408" t="s">
        <v>709</v>
      </c>
      <c r="U408">
        <v>2957.5</v>
      </c>
      <c r="AM408" t="s">
        <v>709</v>
      </c>
      <c r="AY408" t="s">
        <v>29</v>
      </c>
      <c r="BA408" s="4">
        <v>1</v>
      </c>
      <c r="BI408" t="s">
        <v>709</v>
      </c>
      <c r="BJ408" t="s">
        <v>709</v>
      </c>
      <c r="BK408" t="s">
        <v>116</v>
      </c>
      <c r="BL408" t="s">
        <v>709</v>
      </c>
      <c r="BM408" t="s">
        <v>709</v>
      </c>
      <c r="BN408">
        <v>4207</v>
      </c>
      <c r="BO408" t="s">
        <v>709</v>
      </c>
      <c r="BP408" t="s">
        <v>709</v>
      </c>
      <c r="BQ408" t="s">
        <v>709</v>
      </c>
      <c r="BR408">
        <v>20</v>
      </c>
      <c r="BS408">
        <v>126</v>
      </c>
      <c r="BT408" t="s">
        <v>709</v>
      </c>
      <c r="BU408" t="s">
        <v>709</v>
      </c>
      <c r="BV408" t="s">
        <v>745</v>
      </c>
      <c r="BW408" t="s">
        <v>709</v>
      </c>
      <c r="BX408">
        <v>1</v>
      </c>
      <c r="BY408" t="s">
        <v>745</v>
      </c>
      <c r="BZ408" t="s">
        <v>709</v>
      </c>
      <c r="CB408">
        <v>406</v>
      </c>
      <c r="CC408" t="b">
        <v>1</v>
      </c>
      <c r="CD408" t="s">
        <v>3665</v>
      </c>
      <c r="CE408" s="1482">
        <v>45880.734305555554</v>
      </c>
    </row>
    <row r="409" spans="1:83" ht="120" x14ac:dyDescent="0.25">
      <c r="A409">
        <v>2021</v>
      </c>
      <c r="B409" t="s">
        <v>2989</v>
      </c>
      <c r="C409" t="s">
        <v>3666</v>
      </c>
      <c r="D409" t="s">
        <v>3667</v>
      </c>
      <c r="E409" t="s">
        <v>361</v>
      </c>
      <c r="F409" t="s">
        <v>752</v>
      </c>
      <c r="G409" t="s">
        <v>36</v>
      </c>
      <c r="H409" t="s">
        <v>59</v>
      </c>
      <c r="I409">
        <v>44399</v>
      </c>
      <c r="J409">
        <v>44463</v>
      </c>
      <c r="K409">
        <v>44456</v>
      </c>
      <c r="L409">
        <v>7</v>
      </c>
      <c r="N409" t="s">
        <v>120</v>
      </c>
      <c r="O409">
        <v>44456</v>
      </c>
      <c r="P409" t="s">
        <v>739</v>
      </c>
      <c r="Q409">
        <v>8240.3577000000005</v>
      </c>
      <c r="R409">
        <v>0.09</v>
      </c>
      <c r="S409" t="s">
        <v>709</v>
      </c>
      <c r="T409" t="s">
        <v>709</v>
      </c>
      <c r="U409" t="s">
        <v>709</v>
      </c>
      <c r="V409">
        <v>220</v>
      </c>
      <c r="Z409">
        <v>91559.53</v>
      </c>
      <c r="AA409">
        <v>91559.53</v>
      </c>
      <c r="AC409" t="s">
        <v>709</v>
      </c>
      <c r="AM409" t="s">
        <v>116</v>
      </c>
      <c r="AN409">
        <v>44585</v>
      </c>
      <c r="AO409">
        <v>11039445</v>
      </c>
      <c r="AP409">
        <v>0</v>
      </c>
      <c r="AR409">
        <v>91559.53</v>
      </c>
      <c r="AS409">
        <v>91559.53</v>
      </c>
      <c r="AT409">
        <v>0</v>
      </c>
      <c r="AU409">
        <v>0</v>
      </c>
      <c r="AV409" t="s">
        <v>709</v>
      </c>
      <c r="AY409" t="s">
        <v>1935</v>
      </c>
      <c r="BA409" s="4" t="s">
        <v>3668</v>
      </c>
      <c r="BB409" s="4" t="s">
        <v>3669</v>
      </c>
      <c r="BC409" t="s">
        <v>709</v>
      </c>
      <c r="BD409" t="s">
        <v>1066</v>
      </c>
      <c r="BE409" t="s">
        <v>1415</v>
      </c>
      <c r="BG409" t="s">
        <v>709</v>
      </c>
      <c r="BI409" t="s">
        <v>709</v>
      </c>
      <c r="BJ409" t="s">
        <v>709</v>
      </c>
      <c r="BK409" t="s">
        <v>709</v>
      </c>
      <c r="BL409" t="s">
        <v>709</v>
      </c>
      <c r="BM409" t="s">
        <v>709</v>
      </c>
      <c r="BN409" t="s">
        <v>709</v>
      </c>
      <c r="BO409" t="s">
        <v>709</v>
      </c>
      <c r="BP409" t="s">
        <v>709</v>
      </c>
      <c r="BQ409" t="s">
        <v>709</v>
      </c>
      <c r="BR409" t="s">
        <v>709</v>
      </c>
      <c r="BS409" t="s">
        <v>709</v>
      </c>
      <c r="BT409" t="s">
        <v>709</v>
      </c>
      <c r="BU409" t="s">
        <v>709</v>
      </c>
      <c r="BV409">
        <v>2</v>
      </c>
      <c r="BW409" t="s">
        <v>709</v>
      </c>
      <c r="BX409" t="s">
        <v>709</v>
      </c>
      <c r="BY409" t="s">
        <v>709</v>
      </c>
      <c r="BZ409" t="s">
        <v>709</v>
      </c>
      <c r="CA409" t="s">
        <v>2</v>
      </c>
      <c r="CB409">
        <v>407</v>
      </c>
      <c r="CC409" t="b">
        <v>1</v>
      </c>
      <c r="CD409" t="s">
        <v>3670</v>
      </c>
      <c r="CE409" s="1482">
        <v>45880.734317129631</v>
      </c>
    </row>
    <row r="410" spans="1:83" x14ac:dyDescent="0.25">
      <c r="A410">
        <v>2021</v>
      </c>
      <c r="B410" t="s">
        <v>1073</v>
      </c>
      <c r="C410" t="s">
        <v>3671</v>
      </c>
      <c r="D410" t="s">
        <v>3672</v>
      </c>
      <c r="E410" t="s">
        <v>3673</v>
      </c>
      <c r="F410" t="s">
        <v>919</v>
      </c>
      <c r="G410" t="s">
        <v>347</v>
      </c>
      <c r="H410" t="s">
        <v>59</v>
      </c>
      <c r="I410">
        <v>44408</v>
      </c>
      <c r="J410">
        <v>44469</v>
      </c>
      <c r="K410">
        <v>44456</v>
      </c>
      <c r="L410">
        <v>13</v>
      </c>
      <c r="N410" t="s">
        <v>120</v>
      </c>
      <c r="O410">
        <v>44456</v>
      </c>
      <c r="P410" t="s">
        <v>739</v>
      </c>
      <c r="Q410">
        <v>8740.7523000000001</v>
      </c>
      <c r="R410">
        <v>7.0000000000000007E-2</v>
      </c>
      <c r="S410" t="s">
        <v>709</v>
      </c>
      <c r="T410" t="s">
        <v>709</v>
      </c>
      <c r="U410" t="s">
        <v>709</v>
      </c>
      <c r="V410">
        <v>1474</v>
      </c>
      <c r="X410">
        <v>124867.89</v>
      </c>
      <c r="AA410">
        <v>124867.89</v>
      </c>
      <c r="AC410" t="s">
        <v>709</v>
      </c>
      <c r="AE410" t="s">
        <v>29</v>
      </c>
      <c r="AF410" t="s">
        <v>29</v>
      </c>
      <c r="AG410" t="s">
        <v>29</v>
      </c>
      <c r="AH410" t="s">
        <v>29</v>
      </c>
      <c r="AM410" t="s">
        <v>116</v>
      </c>
      <c r="AN410">
        <v>44491</v>
      </c>
      <c r="AO410" t="s">
        <v>709</v>
      </c>
      <c r="AP410">
        <v>124867.89</v>
      </c>
      <c r="AR410">
        <v>0</v>
      </c>
      <c r="AS410">
        <v>124867.89</v>
      </c>
      <c r="AT410">
        <v>0</v>
      </c>
      <c r="AU410">
        <v>0</v>
      </c>
      <c r="AV410" t="s">
        <v>709</v>
      </c>
      <c r="AY410" t="s">
        <v>1935</v>
      </c>
      <c r="BA410" t="s">
        <v>3674</v>
      </c>
      <c r="BB410" t="s">
        <v>3675</v>
      </c>
      <c r="BC410" t="s">
        <v>709</v>
      </c>
      <c r="BD410" t="s">
        <v>2820</v>
      </c>
      <c r="BE410" t="s">
        <v>709</v>
      </c>
      <c r="BF410" t="s">
        <v>709</v>
      </c>
      <c r="BG410" t="s">
        <v>709</v>
      </c>
      <c r="BI410" t="s">
        <v>709</v>
      </c>
      <c r="BJ410" t="s">
        <v>709</v>
      </c>
      <c r="BK410" t="s">
        <v>709</v>
      </c>
      <c r="BL410" t="s">
        <v>116</v>
      </c>
      <c r="BM410" t="s">
        <v>709</v>
      </c>
      <c r="BN410" t="s">
        <v>709</v>
      </c>
      <c r="BO410" t="s">
        <v>709</v>
      </c>
      <c r="BP410" t="s">
        <v>709</v>
      </c>
      <c r="BQ410" t="s">
        <v>709</v>
      </c>
      <c r="BR410" t="s">
        <v>709</v>
      </c>
      <c r="BS410">
        <v>1474</v>
      </c>
      <c r="BT410" t="s">
        <v>745</v>
      </c>
      <c r="BU410" t="s">
        <v>709</v>
      </c>
      <c r="BV410" t="s">
        <v>745</v>
      </c>
      <c r="BW410" t="s">
        <v>709</v>
      </c>
      <c r="BX410" t="s">
        <v>745</v>
      </c>
      <c r="BY410" t="s">
        <v>745</v>
      </c>
      <c r="BZ410" t="s">
        <v>709</v>
      </c>
      <c r="CB410">
        <v>408</v>
      </c>
      <c r="CC410" t="b">
        <v>1</v>
      </c>
      <c r="CD410" t="s">
        <v>3676</v>
      </c>
      <c r="CE410" s="1482">
        <v>45880.7343287037</v>
      </c>
    </row>
    <row r="411" spans="1:83" ht="330" x14ac:dyDescent="0.25">
      <c r="A411">
        <v>2020</v>
      </c>
      <c r="B411" t="s">
        <v>771</v>
      </c>
      <c r="C411" t="s">
        <v>384</v>
      </c>
      <c r="D411" t="s">
        <v>2323</v>
      </c>
      <c r="E411" t="s">
        <v>104</v>
      </c>
      <c r="F411" t="s">
        <v>325</v>
      </c>
      <c r="G411" t="s">
        <v>1882</v>
      </c>
      <c r="H411" t="s">
        <v>3677</v>
      </c>
      <c r="I411">
        <v>43760</v>
      </c>
      <c r="J411" t="s">
        <v>2612</v>
      </c>
      <c r="K411">
        <v>44459</v>
      </c>
      <c r="L411">
        <v>699</v>
      </c>
      <c r="N411" t="s">
        <v>120</v>
      </c>
      <c r="O411">
        <v>44459</v>
      </c>
      <c r="P411" t="s">
        <v>120</v>
      </c>
      <c r="Q411">
        <v>1342.5</v>
      </c>
      <c r="R411" t="s">
        <v>1922</v>
      </c>
      <c r="S411" t="s">
        <v>709</v>
      </c>
      <c r="T411" t="s">
        <v>709</v>
      </c>
      <c r="U411">
        <v>1342.5</v>
      </c>
      <c r="V411">
        <v>744</v>
      </c>
      <c r="X411">
        <v>159186.51999999999</v>
      </c>
      <c r="Y411">
        <v>11561.76</v>
      </c>
      <c r="Z411">
        <v>17144.259999999998</v>
      </c>
      <c r="AA411">
        <v>164769.01999999999</v>
      </c>
      <c r="AM411" t="s">
        <v>709</v>
      </c>
      <c r="AY411" t="s">
        <v>29</v>
      </c>
      <c r="BA411" s="4" t="s">
        <v>2325</v>
      </c>
      <c r="BB411" t="s">
        <v>2326</v>
      </c>
      <c r="BI411" t="s">
        <v>709</v>
      </c>
      <c r="BJ411" t="s">
        <v>709</v>
      </c>
      <c r="BK411" t="s">
        <v>709</v>
      </c>
      <c r="BL411" t="s">
        <v>116</v>
      </c>
      <c r="BM411" t="s">
        <v>709</v>
      </c>
      <c r="BN411" t="s">
        <v>709</v>
      </c>
      <c r="BO411" t="s">
        <v>709</v>
      </c>
      <c r="BP411" t="s">
        <v>709</v>
      </c>
      <c r="BQ411" t="s">
        <v>116</v>
      </c>
      <c r="BR411" t="s">
        <v>709</v>
      </c>
      <c r="BS411" t="s">
        <v>116</v>
      </c>
      <c r="BT411" t="s">
        <v>116</v>
      </c>
      <c r="BU411" t="s">
        <v>709</v>
      </c>
      <c r="BV411" t="s">
        <v>745</v>
      </c>
      <c r="BW411" t="s">
        <v>709</v>
      </c>
      <c r="BX411" t="s">
        <v>745</v>
      </c>
      <c r="BY411" t="s">
        <v>745</v>
      </c>
      <c r="BZ411" t="s">
        <v>709</v>
      </c>
      <c r="CB411">
        <v>409</v>
      </c>
      <c r="CC411" t="b">
        <v>1</v>
      </c>
      <c r="CD411" t="s">
        <v>3678</v>
      </c>
      <c r="CE411" s="1482">
        <v>45880.734340277777</v>
      </c>
    </row>
    <row r="412" spans="1:83" x14ac:dyDescent="0.25">
      <c r="A412">
        <v>2020</v>
      </c>
      <c r="B412" t="s">
        <v>4</v>
      </c>
      <c r="C412" t="s">
        <v>2455</v>
      </c>
      <c r="D412" t="s">
        <v>2456</v>
      </c>
      <c r="E412" t="s">
        <v>2457</v>
      </c>
      <c r="F412" t="s">
        <v>919</v>
      </c>
      <c r="G412" t="s">
        <v>40</v>
      </c>
      <c r="H412" t="s">
        <v>2051</v>
      </c>
      <c r="I412">
        <v>43761</v>
      </c>
      <c r="J412" t="s">
        <v>2052</v>
      </c>
      <c r="K412">
        <v>44460</v>
      </c>
      <c r="L412">
        <v>699</v>
      </c>
      <c r="M412" t="s">
        <v>3679</v>
      </c>
      <c r="N412" t="s">
        <v>120</v>
      </c>
      <c r="O412">
        <v>44470</v>
      </c>
      <c r="P412" t="s">
        <v>739</v>
      </c>
      <c r="Q412">
        <v>6625</v>
      </c>
      <c r="R412" t="s">
        <v>1922</v>
      </c>
      <c r="S412" t="s">
        <v>709</v>
      </c>
      <c r="T412" t="s">
        <v>709</v>
      </c>
      <c r="U412">
        <v>6625</v>
      </c>
      <c r="V412">
        <v>3932</v>
      </c>
      <c r="X412">
        <v>982324.76</v>
      </c>
      <c r="Z412">
        <v>93317.98</v>
      </c>
      <c r="AA412">
        <v>1075642.74</v>
      </c>
      <c r="AM412" t="s">
        <v>709</v>
      </c>
      <c r="AY412" t="s">
        <v>29</v>
      </c>
      <c r="BA412">
        <v>1</v>
      </c>
      <c r="BI412" t="s">
        <v>709</v>
      </c>
      <c r="BJ412" t="s">
        <v>709</v>
      </c>
      <c r="BK412" t="s">
        <v>709</v>
      </c>
      <c r="BL412" t="s">
        <v>116</v>
      </c>
      <c r="BM412" t="s">
        <v>709</v>
      </c>
      <c r="BN412" t="s">
        <v>709</v>
      </c>
      <c r="BO412" t="s">
        <v>709</v>
      </c>
      <c r="BP412" t="s">
        <v>709</v>
      </c>
      <c r="BQ412">
        <v>4809</v>
      </c>
      <c r="BR412" t="s">
        <v>709</v>
      </c>
      <c r="BS412">
        <v>347</v>
      </c>
      <c r="BT412" t="s">
        <v>745</v>
      </c>
      <c r="BU412" t="s">
        <v>709</v>
      </c>
      <c r="BV412" t="s">
        <v>745</v>
      </c>
      <c r="BW412" t="s">
        <v>709</v>
      </c>
      <c r="BX412" t="s">
        <v>745</v>
      </c>
      <c r="BY412" t="s">
        <v>745</v>
      </c>
      <c r="BZ412" t="s">
        <v>709</v>
      </c>
      <c r="CB412">
        <v>411</v>
      </c>
      <c r="CC412" t="b">
        <v>1</v>
      </c>
      <c r="CD412" t="s">
        <v>3680</v>
      </c>
      <c r="CE412" s="1482">
        <v>45880.734351851854</v>
      </c>
    </row>
    <row r="413" spans="1:83" ht="105" x14ac:dyDescent="0.25">
      <c r="A413">
        <v>2022</v>
      </c>
      <c r="B413" t="s">
        <v>2989</v>
      </c>
      <c r="C413" t="s">
        <v>3681</v>
      </c>
      <c r="D413" t="s">
        <v>3682</v>
      </c>
      <c r="E413" t="s">
        <v>2000</v>
      </c>
      <c r="F413" t="s">
        <v>752</v>
      </c>
      <c r="G413" t="s">
        <v>23</v>
      </c>
      <c r="H413" t="s">
        <v>59</v>
      </c>
      <c r="I413">
        <v>44431</v>
      </c>
      <c r="J413">
        <v>44477</v>
      </c>
      <c r="K413">
        <v>44460</v>
      </c>
      <c r="L413">
        <v>17</v>
      </c>
      <c r="N413" t="s">
        <v>120</v>
      </c>
      <c r="O413">
        <v>44460</v>
      </c>
      <c r="P413" t="s">
        <v>739</v>
      </c>
      <c r="Q413">
        <v>3643.1981999999998</v>
      </c>
      <c r="R413">
        <v>0.09</v>
      </c>
      <c r="S413" t="s">
        <v>709</v>
      </c>
      <c r="T413" t="s">
        <v>709</v>
      </c>
      <c r="U413" t="s">
        <v>709</v>
      </c>
      <c r="V413">
        <v>96</v>
      </c>
      <c r="Z413">
        <v>40479.980000000003</v>
      </c>
      <c r="AA413">
        <v>40479.980000000003</v>
      </c>
      <c r="AC413" t="s">
        <v>709</v>
      </c>
      <c r="AM413" t="s">
        <v>116</v>
      </c>
      <c r="AN413">
        <v>44594</v>
      </c>
      <c r="AO413">
        <v>11039366</v>
      </c>
      <c r="AP413">
        <v>0</v>
      </c>
      <c r="AR413">
        <v>40479.980000000003</v>
      </c>
      <c r="AS413">
        <v>40479.980000000003</v>
      </c>
      <c r="AT413">
        <v>0</v>
      </c>
      <c r="AU413">
        <v>0</v>
      </c>
      <c r="AV413" t="s">
        <v>709</v>
      </c>
      <c r="AY413" t="s">
        <v>1935</v>
      </c>
      <c r="BA413" s="4" t="s">
        <v>3683</v>
      </c>
      <c r="BB413" s="4" t="s">
        <v>3684</v>
      </c>
      <c r="BC413" t="s">
        <v>709</v>
      </c>
      <c r="BD413" t="s">
        <v>882</v>
      </c>
      <c r="BE413" t="s">
        <v>709</v>
      </c>
      <c r="BF413" t="s">
        <v>3685</v>
      </c>
      <c r="BG413" t="s">
        <v>709</v>
      </c>
      <c r="BI413" t="s">
        <v>709</v>
      </c>
      <c r="BJ413" t="s">
        <v>709</v>
      </c>
      <c r="BK413" t="s">
        <v>709</v>
      </c>
      <c r="BL413" t="s">
        <v>709</v>
      </c>
      <c r="BM413" t="s">
        <v>709</v>
      </c>
      <c r="BN413" t="s">
        <v>709</v>
      </c>
      <c r="BO413" t="s">
        <v>709</v>
      </c>
      <c r="BP413" t="s">
        <v>709</v>
      </c>
      <c r="BQ413" t="s">
        <v>709</v>
      </c>
      <c r="BR413" t="s">
        <v>709</v>
      </c>
      <c r="BS413" t="s">
        <v>709</v>
      </c>
      <c r="BT413" t="s">
        <v>709</v>
      </c>
      <c r="BU413" t="s">
        <v>709</v>
      </c>
      <c r="BV413">
        <v>1</v>
      </c>
      <c r="BW413" t="s">
        <v>709</v>
      </c>
      <c r="BX413" t="s">
        <v>709</v>
      </c>
      <c r="BY413" t="s">
        <v>709</v>
      </c>
      <c r="BZ413" t="s">
        <v>709</v>
      </c>
      <c r="CA413" t="s">
        <v>2</v>
      </c>
      <c r="CB413">
        <v>410</v>
      </c>
      <c r="CC413" t="b">
        <v>1</v>
      </c>
      <c r="CD413" t="s">
        <v>3686</v>
      </c>
      <c r="CE413" s="1482">
        <v>45880.734363425923</v>
      </c>
    </row>
    <row r="414" spans="1:83" x14ac:dyDescent="0.25">
      <c r="A414">
        <v>2021</v>
      </c>
      <c r="B414" t="s">
        <v>1073</v>
      </c>
      <c r="C414" t="s">
        <v>3465</v>
      </c>
      <c r="D414" t="s">
        <v>3466</v>
      </c>
      <c r="E414" t="s">
        <v>2759</v>
      </c>
      <c r="F414" t="s">
        <v>738</v>
      </c>
      <c r="G414" t="s">
        <v>2814</v>
      </c>
      <c r="H414" t="s">
        <v>2051</v>
      </c>
      <c r="I414">
        <v>44414</v>
      </c>
      <c r="J414" t="s">
        <v>2052</v>
      </c>
      <c r="K414">
        <v>44467</v>
      </c>
      <c r="L414">
        <v>53</v>
      </c>
      <c r="M414" t="s">
        <v>3687</v>
      </c>
      <c r="N414" t="s">
        <v>120</v>
      </c>
      <c r="O414">
        <v>44470</v>
      </c>
      <c r="P414" t="s">
        <v>739</v>
      </c>
      <c r="Q414">
        <v>10777.5</v>
      </c>
      <c r="R414" t="s">
        <v>1922</v>
      </c>
      <c r="S414" t="s">
        <v>709</v>
      </c>
      <c r="T414" t="s">
        <v>709</v>
      </c>
      <c r="U414">
        <v>10777.5</v>
      </c>
      <c r="AE414" t="s">
        <v>29</v>
      </c>
      <c r="AF414" t="s">
        <v>29</v>
      </c>
      <c r="AG414" t="s">
        <v>29</v>
      </c>
      <c r="AH414" t="s">
        <v>29</v>
      </c>
      <c r="AM414" t="s">
        <v>709</v>
      </c>
      <c r="AY414" t="s">
        <v>29</v>
      </c>
      <c r="BA414">
        <v>6</v>
      </c>
      <c r="BI414" t="s">
        <v>709</v>
      </c>
      <c r="BJ414" t="s">
        <v>709</v>
      </c>
      <c r="BK414" t="s">
        <v>709</v>
      </c>
      <c r="BL414" t="s">
        <v>116</v>
      </c>
      <c r="BM414" t="s">
        <v>709</v>
      </c>
      <c r="BN414" t="s">
        <v>709</v>
      </c>
      <c r="BO414" t="s">
        <v>709</v>
      </c>
      <c r="BP414" t="s">
        <v>709</v>
      </c>
      <c r="BQ414" t="s">
        <v>709</v>
      </c>
      <c r="BR414">
        <v>687</v>
      </c>
      <c r="BS414">
        <v>18</v>
      </c>
      <c r="BT414" t="s">
        <v>745</v>
      </c>
      <c r="BU414" t="s">
        <v>709</v>
      </c>
      <c r="BV414" t="s">
        <v>745</v>
      </c>
      <c r="BW414" t="s">
        <v>709</v>
      </c>
      <c r="BX414" t="s">
        <v>745</v>
      </c>
      <c r="BY414" t="s">
        <v>745</v>
      </c>
      <c r="BZ414" t="s">
        <v>709</v>
      </c>
      <c r="CB414">
        <v>412</v>
      </c>
      <c r="CC414" t="b">
        <v>1</v>
      </c>
      <c r="CD414" t="s">
        <v>3688</v>
      </c>
      <c r="CE414" s="1482">
        <v>45880.734375</v>
      </c>
    </row>
    <row r="415" spans="1:83" x14ac:dyDescent="0.25">
      <c r="A415">
        <v>2023</v>
      </c>
      <c r="B415" t="s">
        <v>4</v>
      </c>
      <c r="C415" t="s">
        <v>3343</v>
      </c>
      <c r="D415" t="s">
        <v>3344</v>
      </c>
      <c r="E415" t="s">
        <v>1101</v>
      </c>
      <c r="F415" t="s">
        <v>919</v>
      </c>
      <c r="G415" t="s">
        <v>2814</v>
      </c>
      <c r="H415" t="s">
        <v>3178</v>
      </c>
      <c r="I415">
        <v>44425</v>
      </c>
      <c r="J415" t="s">
        <v>2052</v>
      </c>
      <c r="K415">
        <v>44467</v>
      </c>
      <c r="L415">
        <v>42</v>
      </c>
      <c r="M415" t="s">
        <v>3689</v>
      </c>
      <c r="N415" t="s">
        <v>120</v>
      </c>
      <c r="O415">
        <v>44470</v>
      </c>
      <c r="P415" t="s">
        <v>739</v>
      </c>
      <c r="Q415">
        <v>11717.5</v>
      </c>
      <c r="R415" t="s">
        <v>1922</v>
      </c>
      <c r="S415" t="s">
        <v>709</v>
      </c>
      <c r="T415" t="s">
        <v>709</v>
      </c>
      <c r="U415">
        <v>11717.5</v>
      </c>
      <c r="AM415" t="s">
        <v>709</v>
      </c>
      <c r="AY415" t="s">
        <v>29</v>
      </c>
      <c r="BA415">
        <v>3</v>
      </c>
      <c r="BC415" t="s">
        <v>709</v>
      </c>
      <c r="BD415" t="s">
        <v>882</v>
      </c>
      <c r="BE415" t="s">
        <v>1106</v>
      </c>
      <c r="BF415" t="s">
        <v>709</v>
      </c>
      <c r="BG415" t="s">
        <v>709</v>
      </c>
      <c r="BI415" t="s">
        <v>709</v>
      </c>
      <c r="BJ415" t="s">
        <v>709</v>
      </c>
      <c r="BK415" t="s">
        <v>709</v>
      </c>
      <c r="BL415" t="s">
        <v>116</v>
      </c>
      <c r="BM415" t="s">
        <v>709</v>
      </c>
      <c r="BN415" t="s">
        <v>709</v>
      </c>
      <c r="BO415" t="s">
        <v>709</v>
      </c>
      <c r="BP415" t="s">
        <v>709</v>
      </c>
      <c r="BQ415" t="s">
        <v>709</v>
      </c>
      <c r="BR415" t="s">
        <v>709</v>
      </c>
      <c r="BS415">
        <v>725</v>
      </c>
      <c r="BT415" t="s">
        <v>709</v>
      </c>
      <c r="BU415" t="s">
        <v>709</v>
      </c>
      <c r="BV415" t="s">
        <v>745</v>
      </c>
      <c r="BW415" t="s">
        <v>709</v>
      </c>
      <c r="BX415" t="s">
        <v>709</v>
      </c>
      <c r="BY415" t="s">
        <v>745</v>
      </c>
      <c r="BZ415" t="s">
        <v>709</v>
      </c>
      <c r="CA415" t="s">
        <v>1237</v>
      </c>
      <c r="CB415">
        <v>413</v>
      </c>
      <c r="CC415" t="b">
        <v>1</v>
      </c>
      <c r="CD415" t="s">
        <v>3690</v>
      </c>
      <c r="CE415" s="1482">
        <v>45880.734375</v>
      </c>
    </row>
    <row r="416" spans="1:83" ht="315" x14ac:dyDescent="0.25">
      <c r="A416">
        <v>2021</v>
      </c>
      <c r="B416" t="s">
        <v>4</v>
      </c>
      <c r="C416" t="s">
        <v>3691</v>
      </c>
      <c r="D416" t="s">
        <v>3692</v>
      </c>
      <c r="E416" t="s">
        <v>2304</v>
      </c>
      <c r="F416" t="s">
        <v>919</v>
      </c>
      <c r="G416" t="s">
        <v>39</v>
      </c>
      <c r="H416" t="s">
        <v>59</v>
      </c>
      <c r="I416">
        <v>44398</v>
      </c>
      <c r="J416">
        <v>44477</v>
      </c>
      <c r="K416">
        <v>44468</v>
      </c>
      <c r="L416">
        <v>9</v>
      </c>
      <c r="N416" t="s">
        <v>120</v>
      </c>
      <c r="O416">
        <v>44470</v>
      </c>
      <c r="P416" t="s">
        <v>739</v>
      </c>
      <c r="Q416">
        <v>65314.41</v>
      </c>
      <c r="R416">
        <v>0.1</v>
      </c>
      <c r="S416" t="s">
        <v>709</v>
      </c>
      <c r="T416" t="s">
        <v>709</v>
      </c>
      <c r="U416" t="s">
        <v>709</v>
      </c>
      <c r="V416">
        <v>3004</v>
      </c>
      <c r="X416">
        <v>613529.56999999995</v>
      </c>
      <c r="Z416">
        <v>39614.53</v>
      </c>
      <c r="AA416">
        <v>653144.1</v>
      </c>
      <c r="AC416" t="s">
        <v>709</v>
      </c>
      <c r="AM416" t="s">
        <v>116</v>
      </c>
      <c r="AN416">
        <v>44665</v>
      </c>
      <c r="AO416">
        <v>11040604</v>
      </c>
      <c r="AP416">
        <v>617273.82999999996</v>
      </c>
      <c r="AR416">
        <v>39705.11</v>
      </c>
      <c r="AS416">
        <v>656978.93999999994</v>
      </c>
      <c r="AT416">
        <v>3834.84</v>
      </c>
      <c r="AU416">
        <v>383.48399999999998</v>
      </c>
      <c r="AV416" t="s">
        <v>709</v>
      </c>
      <c r="AX416">
        <v>383.48399999999998</v>
      </c>
      <c r="AY416">
        <v>45008</v>
      </c>
      <c r="BA416" s="4" t="s">
        <v>3693</v>
      </c>
      <c r="BB416" t="s">
        <v>3694</v>
      </c>
      <c r="BC416" t="s">
        <v>709</v>
      </c>
      <c r="BD416" t="s">
        <v>709</v>
      </c>
      <c r="BE416" t="s">
        <v>3695</v>
      </c>
      <c r="BF416" t="s">
        <v>709</v>
      </c>
      <c r="BG416" t="s">
        <v>709</v>
      </c>
      <c r="BI416" t="s">
        <v>709</v>
      </c>
      <c r="BJ416" t="s">
        <v>709</v>
      </c>
      <c r="BK416" t="s">
        <v>709</v>
      </c>
      <c r="BL416" t="s">
        <v>116</v>
      </c>
      <c r="BM416" t="s">
        <v>709</v>
      </c>
      <c r="BN416" t="s">
        <v>709</v>
      </c>
      <c r="BO416" t="s">
        <v>709</v>
      </c>
      <c r="BP416" t="s">
        <v>709</v>
      </c>
      <c r="BQ416" t="s">
        <v>709</v>
      </c>
      <c r="BR416" t="s">
        <v>709</v>
      </c>
      <c r="BS416">
        <v>3004</v>
      </c>
      <c r="BT416" t="s">
        <v>745</v>
      </c>
      <c r="BU416" t="s">
        <v>709</v>
      </c>
      <c r="BV416" t="s">
        <v>745</v>
      </c>
      <c r="BW416" t="s">
        <v>709</v>
      </c>
      <c r="BX416" t="s">
        <v>745</v>
      </c>
      <c r="BY416" t="s">
        <v>745</v>
      </c>
      <c r="BZ416" t="s">
        <v>709</v>
      </c>
      <c r="CB416">
        <v>414</v>
      </c>
      <c r="CC416" t="b">
        <v>1</v>
      </c>
      <c r="CD416" t="s">
        <v>3696</v>
      </c>
      <c r="CE416" s="1482">
        <v>45880.734386574077</v>
      </c>
    </row>
    <row r="417" spans="1:83" x14ac:dyDescent="0.25">
      <c r="A417">
        <v>2022</v>
      </c>
      <c r="B417" t="s">
        <v>4</v>
      </c>
      <c r="C417" t="s">
        <v>3697</v>
      </c>
      <c r="D417" t="s">
        <v>3698</v>
      </c>
      <c r="E417" t="s">
        <v>118</v>
      </c>
      <c r="F417" t="s">
        <v>738</v>
      </c>
      <c r="G417" t="s">
        <v>22</v>
      </c>
      <c r="H417" t="s">
        <v>1681</v>
      </c>
      <c r="I417">
        <v>44432</v>
      </c>
      <c r="J417">
        <v>44519</v>
      </c>
      <c r="K417">
        <v>44468</v>
      </c>
      <c r="L417">
        <v>51</v>
      </c>
      <c r="N417" t="s">
        <v>120</v>
      </c>
      <c r="O417">
        <v>44470</v>
      </c>
      <c r="P417" t="s">
        <v>739</v>
      </c>
      <c r="Q417" t="s">
        <v>115</v>
      </c>
      <c r="R417" t="s">
        <v>115</v>
      </c>
      <c r="S417" t="s">
        <v>709</v>
      </c>
      <c r="T417" t="s">
        <v>709</v>
      </c>
      <c r="U417" t="s">
        <v>709</v>
      </c>
      <c r="AC417" t="s">
        <v>709</v>
      </c>
      <c r="AM417" t="s">
        <v>709</v>
      </c>
      <c r="AY417" t="s">
        <v>29</v>
      </c>
      <c r="BA417" t="s">
        <v>3699</v>
      </c>
      <c r="BB417" t="s">
        <v>3700</v>
      </c>
      <c r="CB417">
        <v>415</v>
      </c>
      <c r="CC417" t="b">
        <v>1</v>
      </c>
      <c r="CD417" t="s">
        <v>3701</v>
      </c>
      <c r="CE417" s="1482">
        <v>45880.734398148146</v>
      </c>
    </row>
    <row r="418" spans="1:83" ht="60" x14ac:dyDescent="0.25">
      <c r="A418">
        <v>2022</v>
      </c>
      <c r="B418" t="s">
        <v>771</v>
      </c>
      <c r="C418" t="s">
        <v>3702</v>
      </c>
      <c r="D418" t="s">
        <v>3703</v>
      </c>
      <c r="E418" t="s">
        <v>141</v>
      </c>
      <c r="F418" t="s">
        <v>919</v>
      </c>
      <c r="G418" t="s">
        <v>1882</v>
      </c>
      <c r="H418" t="s">
        <v>59</v>
      </c>
      <c r="I418">
        <v>44385</v>
      </c>
      <c r="J418">
        <v>44470</v>
      </c>
      <c r="K418">
        <v>44470</v>
      </c>
      <c r="L418">
        <v>0</v>
      </c>
      <c r="N418" t="s">
        <v>120</v>
      </c>
      <c r="O418">
        <v>44470</v>
      </c>
      <c r="P418" t="s">
        <v>120</v>
      </c>
      <c r="Q418">
        <v>44863.199999999997</v>
      </c>
      <c r="R418" t="s">
        <v>2087</v>
      </c>
      <c r="S418" t="s">
        <v>709</v>
      </c>
      <c r="T418" t="s">
        <v>709</v>
      </c>
      <c r="U418" t="s">
        <v>709</v>
      </c>
      <c r="V418">
        <v>28944</v>
      </c>
      <c r="X418">
        <v>4016932.8</v>
      </c>
      <c r="Z418">
        <v>57854.05</v>
      </c>
      <c r="AA418">
        <v>4074786.85</v>
      </c>
      <c r="AC418" t="s">
        <v>709</v>
      </c>
      <c r="AM418" t="s">
        <v>709</v>
      </c>
      <c r="AY418" t="s">
        <v>29</v>
      </c>
      <c r="BA418" t="s">
        <v>3704</v>
      </c>
      <c r="BB418" s="4" t="s">
        <v>3705</v>
      </c>
      <c r="BC418" t="s">
        <v>116</v>
      </c>
      <c r="BD418" t="s">
        <v>709</v>
      </c>
      <c r="BE418" t="s">
        <v>757</v>
      </c>
      <c r="BF418" t="s">
        <v>709</v>
      </c>
      <c r="BG418" t="s">
        <v>3706</v>
      </c>
      <c r="BI418" t="s">
        <v>709</v>
      </c>
      <c r="BJ418" t="s">
        <v>709</v>
      </c>
      <c r="BK418" t="s">
        <v>709</v>
      </c>
      <c r="BL418" t="s">
        <v>116</v>
      </c>
      <c r="BM418" t="s">
        <v>709</v>
      </c>
      <c r="BN418" t="s">
        <v>709</v>
      </c>
      <c r="BO418" t="s">
        <v>709</v>
      </c>
      <c r="BP418" t="s">
        <v>709</v>
      </c>
      <c r="BQ418" t="s">
        <v>709</v>
      </c>
      <c r="BR418">
        <v>6208</v>
      </c>
      <c r="BS418">
        <v>22736</v>
      </c>
      <c r="BT418" t="s">
        <v>709</v>
      </c>
      <c r="BU418" t="s">
        <v>709</v>
      </c>
      <c r="BV418" t="s">
        <v>745</v>
      </c>
      <c r="BW418" t="s">
        <v>709</v>
      </c>
      <c r="BX418" t="s">
        <v>709</v>
      </c>
      <c r="BY418" t="s">
        <v>745</v>
      </c>
      <c r="BZ418" t="s">
        <v>709</v>
      </c>
      <c r="CB418">
        <v>416</v>
      </c>
      <c r="CC418" t="b">
        <v>1</v>
      </c>
      <c r="CD418" t="s">
        <v>3707</v>
      </c>
      <c r="CE418" s="1482">
        <v>45880.734398148146</v>
      </c>
    </row>
    <row r="419" spans="1:83" ht="240" x14ac:dyDescent="0.25">
      <c r="A419">
        <v>2022</v>
      </c>
      <c r="B419" t="s">
        <v>771</v>
      </c>
      <c r="C419" t="s">
        <v>3708</v>
      </c>
      <c r="D419" t="s">
        <v>3709</v>
      </c>
      <c r="E419" t="s">
        <v>3710</v>
      </c>
      <c r="F419" t="s">
        <v>738</v>
      </c>
      <c r="G419" t="s">
        <v>1882</v>
      </c>
      <c r="H419" t="s">
        <v>59</v>
      </c>
      <c r="I419">
        <v>44448</v>
      </c>
      <c r="J419">
        <v>44500</v>
      </c>
      <c r="K419">
        <v>44473</v>
      </c>
      <c r="L419">
        <v>27</v>
      </c>
      <c r="N419" t="s">
        <v>120</v>
      </c>
      <c r="O419">
        <v>44473</v>
      </c>
      <c r="P419" t="s">
        <v>120</v>
      </c>
      <c r="Q419">
        <v>22833.166499999999</v>
      </c>
      <c r="R419">
        <v>0.09</v>
      </c>
      <c r="S419" t="s">
        <v>709</v>
      </c>
      <c r="T419" t="s">
        <v>709</v>
      </c>
      <c r="U419" t="s">
        <v>709</v>
      </c>
      <c r="V419">
        <v>1457</v>
      </c>
      <c r="X419">
        <v>234802.1</v>
      </c>
      <c r="Z419">
        <v>18899.75</v>
      </c>
      <c r="AA419">
        <v>253701.85</v>
      </c>
      <c r="AC419" t="s">
        <v>709</v>
      </c>
      <c r="AM419" t="s">
        <v>116</v>
      </c>
      <c r="AN419">
        <v>44483</v>
      </c>
      <c r="AO419">
        <v>191191</v>
      </c>
      <c r="AP419">
        <v>234802.1</v>
      </c>
      <c r="AR419">
        <v>18899.75</v>
      </c>
      <c r="AS419">
        <v>253701.85</v>
      </c>
      <c r="AT419">
        <v>0</v>
      </c>
      <c r="AU419">
        <v>0</v>
      </c>
      <c r="AV419" t="s">
        <v>709</v>
      </c>
      <c r="AY419" t="s">
        <v>1935</v>
      </c>
      <c r="BA419" s="4" t="s">
        <v>3711</v>
      </c>
      <c r="BB419" t="s">
        <v>3507</v>
      </c>
      <c r="BC419" t="s">
        <v>709</v>
      </c>
      <c r="BD419" t="s">
        <v>709</v>
      </c>
      <c r="BE419" t="s">
        <v>3712</v>
      </c>
      <c r="BF419" t="s">
        <v>709</v>
      </c>
      <c r="BG419" t="s">
        <v>709</v>
      </c>
      <c r="BI419" t="s">
        <v>709</v>
      </c>
      <c r="BJ419" t="s">
        <v>709</v>
      </c>
      <c r="BK419" t="s">
        <v>709</v>
      </c>
      <c r="BL419" t="s">
        <v>116</v>
      </c>
      <c r="BM419" t="s">
        <v>709</v>
      </c>
      <c r="BN419" t="s">
        <v>709</v>
      </c>
      <c r="BO419" t="s">
        <v>709</v>
      </c>
      <c r="BP419" t="s">
        <v>709</v>
      </c>
      <c r="BQ419" t="s">
        <v>709</v>
      </c>
      <c r="BR419" t="s">
        <v>709</v>
      </c>
      <c r="BS419">
        <v>1457</v>
      </c>
      <c r="BT419" t="s">
        <v>745</v>
      </c>
      <c r="BU419" t="s">
        <v>709</v>
      </c>
      <c r="BV419" t="s">
        <v>745</v>
      </c>
      <c r="BW419" t="s">
        <v>709</v>
      </c>
      <c r="BX419" t="s">
        <v>745</v>
      </c>
      <c r="BY419" t="s">
        <v>745</v>
      </c>
      <c r="BZ419" t="s">
        <v>709</v>
      </c>
      <c r="CB419">
        <v>417</v>
      </c>
      <c r="CC419" t="b">
        <v>1</v>
      </c>
      <c r="CD419" t="s">
        <v>3713</v>
      </c>
      <c r="CE419" s="1482">
        <v>45880.734409722223</v>
      </c>
    </row>
    <row r="420" spans="1:83" x14ac:dyDescent="0.25">
      <c r="A420">
        <v>2022</v>
      </c>
      <c r="B420" t="s">
        <v>4</v>
      </c>
      <c r="C420" t="s">
        <v>3714</v>
      </c>
      <c r="D420" t="s">
        <v>115</v>
      </c>
      <c r="E420" t="s">
        <v>1763</v>
      </c>
      <c r="F420" t="s">
        <v>919</v>
      </c>
      <c r="G420" t="s">
        <v>39</v>
      </c>
      <c r="H420" t="s">
        <v>1903</v>
      </c>
      <c r="I420">
        <v>44433</v>
      </c>
      <c r="J420">
        <v>44505</v>
      </c>
      <c r="K420">
        <v>44474</v>
      </c>
      <c r="L420">
        <v>31</v>
      </c>
      <c r="N420" t="s">
        <v>120</v>
      </c>
      <c r="O420">
        <v>44474</v>
      </c>
      <c r="P420" t="s">
        <v>739</v>
      </c>
      <c r="Q420" t="s">
        <v>115</v>
      </c>
      <c r="R420" t="s">
        <v>115</v>
      </c>
      <c r="S420" t="s">
        <v>709</v>
      </c>
      <c r="T420" t="s">
        <v>709</v>
      </c>
      <c r="U420" t="s">
        <v>709</v>
      </c>
      <c r="AM420" t="s">
        <v>709</v>
      </c>
      <c r="AY420" t="s">
        <v>29</v>
      </c>
      <c r="BA420" t="s">
        <v>3715</v>
      </c>
      <c r="BB420" t="s">
        <v>3716</v>
      </c>
      <c r="CB420">
        <v>420</v>
      </c>
      <c r="CC420" t="b">
        <v>1</v>
      </c>
      <c r="CD420" t="s">
        <v>3717</v>
      </c>
      <c r="CE420" s="1482">
        <v>45880.7344212963</v>
      </c>
    </row>
    <row r="421" spans="1:83" ht="225" x14ac:dyDescent="0.25">
      <c r="A421">
        <v>2022</v>
      </c>
      <c r="B421" t="s">
        <v>1073</v>
      </c>
      <c r="C421" t="s">
        <v>210</v>
      </c>
      <c r="D421" t="s">
        <v>3718</v>
      </c>
      <c r="E421" t="s">
        <v>966</v>
      </c>
      <c r="F421" t="s">
        <v>738</v>
      </c>
      <c r="G421" t="s">
        <v>2814</v>
      </c>
      <c r="H421" t="s">
        <v>59</v>
      </c>
      <c r="I421">
        <v>44439</v>
      </c>
      <c r="J421">
        <v>44481</v>
      </c>
      <c r="K421">
        <v>44474</v>
      </c>
      <c r="L421">
        <v>7</v>
      </c>
      <c r="N421" t="s">
        <v>120</v>
      </c>
      <c r="O421">
        <v>44474</v>
      </c>
      <c r="P421" t="s">
        <v>739</v>
      </c>
      <c r="Q421">
        <v>24543.761200000001</v>
      </c>
      <c r="R421">
        <v>7.0000000000000007E-2</v>
      </c>
      <c r="S421" t="s">
        <v>709</v>
      </c>
      <c r="T421" t="s">
        <v>709</v>
      </c>
      <c r="U421" t="s">
        <v>709</v>
      </c>
      <c r="V421">
        <v>393</v>
      </c>
      <c r="X421">
        <v>319211.23</v>
      </c>
      <c r="Z421">
        <v>31413.93</v>
      </c>
      <c r="AA421">
        <v>350625.16</v>
      </c>
      <c r="AC421" t="s">
        <v>116</v>
      </c>
      <c r="AM421" t="s">
        <v>116</v>
      </c>
      <c r="AN421">
        <v>44497</v>
      </c>
      <c r="AO421">
        <v>11038208</v>
      </c>
      <c r="AP421">
        <v>319211.23</v>
      </c>
      <c r="AR421">
        <v>31413.93</v>
      </c>
      <c r="AS421">
        <v>350625.16</v>
      </c>
      <c r="AT421">
        <v>0</v>
      </c>
      <c r="AU421">
        <v>0</v>
      </c>
      <c r="AV421">
        <v>3175</v>
      </c>
      <c r="AW421" t="s">
        <v>3719</v>
      </c>
      <c r="AY421" t="s">
        <v>1935</v>
      </c>
      <c r="BA421" s="4" t="s">
        <v>3720</v>
      </c>
      <c r="BB421" t="s">
        <v>3721</v>
      </c>
      <c r="BC421" t="s">
        <v>709</v>
      </c>
      <c r="BD421" t="s">
        <v>709</v>
      </c>
      <c r="BE421" t="s">
        <v>3722</v>
      </c>
      <c r="BF421" t="s">
        <v>709</v>
      </c>
      <c r="BG421" t="s">
        <v>709</v>
      </c>
      <c r="BI421" t="s">
        <v>709</v>
      </c>
      <c r="BJ421" t="s">
        <v>709</v>
      </c>
      <c r="BK421" t="s">
        <v>709</v>
      </c>
      <c r="BL421" t="s">
        <v>116</v>
      </c>
      <c r="BM421" t="s">
        <v>709</v>
      </c>
      <c r="BN421" t="s">
        <v>709</v>
      </c>
      <c r="BO421" t="s">
        <v>709</v>
      </c>
      <c r="BP421">
        <v>393</v>
      </c>
      <c r="BQ421" t="s">
        <v>709</v>
      </c>
      <c r="BR421" t="s">
        <v>709</v>
      </c>
      <c r="BS421" t="s">
        <v>709</v>
      </c>
      <c r="BT421" t="s">
        <v>745</v>
      </c>
      <c r="BU421" t="s">
        <v>709</v>
      </c>
      <c r="BV421" t="s">
        <v>745</v>
      </c>
      <c r="BW421" t="s">
        <v>709</v>
      </c>
      <c r="BX421" t="s">
        <v>745</v>
      </c>
      <c r="BY421" t="s">
        <v>745</v>
      </c>
      <c r="BZ421" t="s">
        <v>709</v>
      </c>
      <c r="CB421">
        <v>419</v>
      </c>
      <c r="CC421" t="b">
        <v>1</v>
      </c>
      <c r="CD421" t="s">
        <v>3723</v>
      </c>
      <c r="CE421" s="1482">
        <v>45880.7344212963</v>
      </c>
    </row>
    <row r="422" spans="1:83" ht="225" x14ac:dyDescent="0.25">
      <c r="A422">
        <v>2022</v>
      </c>
      <c r="B422" t="s">
        <v>4</v>
      </c>
      <c r="C422" t="s">
        <v>213</v>
      </c>
      <c r="D422" t="s">
        <v>3724</v>
      </c>
      <c r="E422" t="s">
        <v>141</v>
      </c>
      <c r="F422" t="s">
        <v>919</v>
      </c>
      <c r="G422" t="s">
        <v>2814</v>
      </c>
      <c r="H422" t="s">
        <v>59</v>
      </c>
      <c r="I422">
        <v>44203</v>
      </c>
      <c r="J422">
        <v>44484</v>
      </c>
      <c r="K422">
        <v>44474</v>
      </c>
      <c r="L422">
        <v>10</v>
      </c>
      <c r="N422" t="s">
        <v>120</v>
      </c>
      <c r="O422">
        <v>44474</v>
      </c>
      <c r="P422" t="s">
        <v>120</v>
      </c>
      <c r="Q422">
        <v>92610.570999999996</v>
      </c>
      <c r="R422">
        <v>0.1</v>
      </c>
      <c r="S422" t="s">
        <v>709</v>
      </c>
      <c r="T422" t="s">
        <v>709</v>
      </c>
      <c r="U422" t="s">
        <v>709</v>
      </c>
      <c r="V422">
        <v>3673</v>
      </c>
      <c r="X422">
        <v>804733.27</v>
      </c>
      <c r="Z422">
        <v>121372.44</v>
      </c>
      <c r="AA422">
        <v>926105.71</v>
      </c>
      <c r="AC422" t="s">
        <v>116</v>
      </c>
      <c r="AM422" t="s">
        <v>116</v>
      </c>
      <c r="AN422">
        <v>44753</v>
      </c>
      <c r="AO422">
        <v>11042547</v>
      </c>
      <c r="AP422">
        <v>817570.24</v>
      </c>
      <c r="AR422">
        <v>120211.4</v>
      </c>
      <c r="AS422">
        <v>937781.64</v>
      </c>
      <c r="AT422">
        <v>11675.93</v>
      </c>
      <c r="AU422">
        <v>1167.5930000000001</v>
      </c>
      <c r="AV422">
        <v>10915</v>
      </c>
      <c r="AW422" t="s">
        <v>3725</v>
      </c>
      <c r="AX422">
        <v>0</v>
      </c>
      <c r="AY422">
        <v>45008</v>
      </c>
      <c r="BA422" s="4" t="s">
        <v>3726</v>
      </c>
      <c r="BB422" t="s">
        <v>3727</v>
      </c>
      <c r="BC422" t="s">
        <v>116</v>
      </c>
      <c r="BD422" t="s">
        <v>709</v>
      </c>
      <c r="BE422" t="s">
        <v>757</v>
      </c>
      <c r="BF422" t="s">
        <v>709</v>
      </c>
      <c r="BG422" t="s">
        <v>709</v>
      </c>
      <c r="BI422" t="s">
        <v>709</v>
      </c>
      <c r="BJ422" t="s">
        <v>709</v>
      </c>
      <c r="BK422" t="s">
        <v>709</v>
      </c>
      <c r="BL422" t="s">
        <v>116</v>
      </c>
      <c r="BM422" t="s">
        <v>709</v>
      </c>
      <c r="BN422" t="s">
        <v>709</v>
      </c>
      <c r="BO422" t="s">
        <v>709</v>
      </c>
      <c r="BP422">
        <v>2695</v>
      </c>
      <c r="BQ422">
        <v>173</v>
      </c>
      <c r="BR422">
        <v>5</v>
      </c>
      <c r="BS422">
        <v>800</v>
      </c>
      <c r="BT422" t="s">
        <v>745</v>
      </c>
      <c r="BU422" t="s">
        <v>709</v>
      </c>
      <c r="BV422" t="s">
        <v>745</v>
      </c>
      <c r="BW422" t="s">
        <v>709</v>
      </c>
      <c r="BX422" t="s">
        <v>745</v>
      </c>
      <c r="BY422" t="s">
        <v>745</v>
      </c>
      <c r="BZ422" t="s">
        <v>709</v>
      </c>
      <c r="CB422">
        <v>418</v>
      </c>
      <c r="CC422" t="b">
        <v>1</v>
      </c>
      <c r="CD422" t="s">
        <v>3728</v>
      </c>
      <c r="CE422" s="1482">
        <v>45880.734432870369</v>
      </c>
    </row>
    <row r="423" spans="1:83" ht="150" x14ac:dyDescent="0.25">
      <c r="A423">
        <v>2022</v>
      </c>
      <c r="B423" t="s">
        <v>730</v>
      </c>
      <c r="C423" t="s">
        <v>3729</v>
      </c>
      <c r="D423" t="s">
        <v>3730</v>
      </c>
      <c r="E423" t="s">
        <v>3731</v>
      </c>
      <c r="F423" t="s">
        <v>747</v>
      </c>
      <c r="G423" t="s">
        <v>347</v>
      </c>
      <c r="H423" t="s">
        <v>59</v>
      </c>
      <c r="I423">
        <v>44350</v>
      </c>
      <c r="J423">
        <v>44512</v>
      </c>
      <c r="K423">
        <v>44475</v>
      </c>
      <c r="L423">
        <v>37</v>
      </c>
      <c r="N423" t="s">
        <v>120</v>
      </c>
      <c r="O423">
        <v>44475</v>
      </c>
      <c r="P423" t="s">
        <v>120</v>
      </c>
      <c r="Q423">
        <v>23334.999500000002</v>
      </c>
      <c r="R423" t="s">
        <v>794</v>
      </c>
      <c r="S423" t="s">
        <v>709</v>
      </c>
      <c r="T423" t="s">
        <v>709</v>
      </c>
      <c r="U423" t="s">
        <v>709</v>
      </c>
      <c r="V423">
        <v>217</v>
      </c>
      <c r="X423">
        <v>168627.45</v>
      </c>
      <c r="Z423">
        <v>44137.25</v>
      </c>
      <c r="AA423">
        <v>212764.7</v>
      </c>
      <c r="AC423" t="s">
        <v>1177</v>
      </c>
      <c r="AM423" t="s">
        <v>116</v>
      </c>
      <c r="AN423">
        <v>44697</v>
      </c>
      <c r="AO423">
        <v>11038819</v>
      </c>
      <c r="AP423">
        <v>156738.82999999999</v>
      </c>
      <c r="AR423">
        <v>32235.599999999999</v>
      </c>
      <c r="AS423">
        <v>188974.43</v>
      </c>
      <c r="AT423">
        <v>-23790.27</v>
      </c>
      <c r="AU423">
        <v>-2022.173</v>
      </c>
      <c r="AV423" t="s">
        <v>709</v>
      </c>
      <c r="AW423" t="s">
        <v>3732</v>
      </c>
      <c r="AX423">
        <v>-2022.173</v>
      </c>
      <c r="AY423">
        <v>45008</v>
      </c>
      <c r="BA423" t="s">
        <v>3733</v>
      </c>
      <c r="BB423" s="4" t="s">
        <v>814</v>
      </c>
      <c r="BC423" t="s">
        <v>709</v>
      </c>
      <c r="BD423" t="s">
        <v>709</v>
      </c>
      <c r="BE423" t="s">
        <v>709</v>
      </c>
      <c r="BF423" t="s">
        <v>3734</v>
      </c>
      <c r="BG423" t="s">
        <v>709</v>
      </c>
      <c r="BI423" t="s">
        <v>709</v>
      </c>
      <c r="BJ423" t="s">
        <v>709</v>
      </c>
      <c r="BK423" t="s">
        <v>116</v>
      </c>
      <c r="BL423" t="s">
        <v>116</v>
      </c>
      <c r="BM423" t="s">
        <v>709</v>
      </c>
      <c r="BN423" t="s">
        <v>709</v>
      </c>
      <c r="BO423" t="s">
        <v>709</v>
      </c>
      <c r="BP423" t="s">
        <v>709</v>
      </c>
      <c r="BQ423" t="s">
        <v>709</v>
      </c>
      <c r="BR423">
        <v>176</v>
      </c>
      <c r="BS423">
        <v>40</v>
      </c>
      <c r="BT423" t="s">
        <v>709</v>
      </c>
      <c r="BU423">
        <v>1</v>
      </c>
      <c r="BV423" t="s">
        <v>709</v>
      </c>
      <c r="BW423" t="s">
        <v>709</v>
      </c>
      <c r="BX423">
        <v>1</v>
      </c>
      <c r="BY423" t="s">
        <v>709</v>
      </c>
      <c r="BZ423" t="s">
        <v>709</v>
      </c>
      <c r="CA423" t="s">
        <v>730</v>
      </c>
      <c r="CB423">
        <v>422</v>
      </c>
      <c r="CC423" t="b">
        <v>1</v>
      </c>
      <c r="CD423" t="s">
        <v>3735</v>
      </c>
      <c r="CE423" s="1482">
        <v>45880.734444444446</v>
      </c>
    </row>
    <row r="424" spans="1:83" ht="135" x14ac:dyDescent="0.25">
      <c r="A424">
        <v>2022</v>
      </c>
      <c r="B424" t="s">
        <v>2989</v>
      </c>
      <c r="C424" t="s">
        <v>3736</v>
      </c>
      <c r="D424" t="s">
        <v>3737</v>
      </c>
      <c r="E424" t="s">
        <v>1428</v>
      </c>
      <c r="F424" t="s">
        <v>752</v>
      </c>
      <c r="G424" t="s">
        <v>22</v>
      </c>
      <c r="H424" t="s">
        <v>59</v>
      </c>
      <c r="I424">
        <v>44431</v>
      </c>
      <c r="J424">
        <v>44477</v>
      </c>
      <c r="K424">
        <v>44475</v>
      </c>
      <c r="L424">
        <v>2</v>
      </c>
      <c r="N424" t="s">
        <v>120</v>
      </c>
      <c r="O424">
        <v>44475</v>
      </c>
      <c r="P424" t="s">
        <v>739</v>
      </c>
      <c r="Q424">
        <v>7683.5096999999996</v>
      </c>
      <c r="R424">
        <v>0.09</v>
      </c>
      <c r="S424" t="s">
        <v>709</v>
      </c>
      <c r="T424" t="s">
        <v>709</v>
      </c>
      <c r="U424" t="s">
        <v>709</v>
      </c>
      <c r="V424">
        <v>380</v>
      </c>
      <c r="Z424">
        <v>85372.33</v>
      </c>
      <c r="AA424">
        <v>85372.33</v>
      </c>
      <c r="AC424" t="s">
        <v>709</v>
      </c>
      <c r="AM424" t="s">
        <v>116</v>
      </c>
      <c r="AN424">
        <v>44585</v>
      </c>
      <c r="AO424">
        <v>11039617</v>
      </c>
      <c r="AP424">
        <v>0</v>
      </c>
      <c r="AR424">
        <v>85372.33</v>
      </c>
      <c r="AS424">
        <v>85372.33</v>
      </c>
      <c r="AT424">
        <v>0</v>
      </c>
      <c r="AU424">
        <v>0</v>
      </c>
      <c r="AV424" t="s">
        <v>709</v>
      </c>
      <c r="AY424" t="s">
        <v>1935</v>
      </c>
      <c r="BA424" s="4" t="s">
        <v>3738</v>
      </c>
      <c r="BB424" s="4" t="s">
        <v>3739</v>
      </c>
      <c r="BC424" t="s">
        <v>116</v>
      </c>
      <c r="BD424" t="s">
        <v>709</v>
      </c>
      <c r="BE424" t="s">
        <v>709</v>
      </c>
      <c r="BF424" t="s">
        <v>1431</v>
      </c>
      <c r="BG424" t="s">
        <v>709</v>
      </c>
      <c r="BI424" t="s">
        <v>709</v>
      </c>
      <c r="BJ424" t="s">
        <v>709</v>
      </c>
      <c r="BK424" t="s">
        <v>709</v>
      </c>
      <c r="BL424" t="s">
        <v>709</v>
      </c>
      <c r="BM424" t="s">
        <v>709</v>
      </c>
      <c r="BN424" t="s">
        <v>709</v>
      </c>
      <c r="BO424" t="s">
        <v>709</v>
      </c>
      <c r="BP424" t="s">
        <v>709</v>
      </c>
      <c r="BQ424" t="s">
        <v>709</v>
      </c>
      <c r="BR424" t="s">
        <v>709</v>
      </c>
      <c r="BS424" t="s">
        <v>709</v>
      </c>
      <c r="BT424" t="s">
        <v>709</v>
      </c>
      <c r="BU424" t="s">
        <v>709</v>
      </c>
      <c r="BV424">
        <v>2</v>
      </c>
      <c r="BW424" t="s">
        <v>709</v>
      </c>
      <c r="BX424" t="s">
        <v>709</v>
      </c>
      <c r="BY424" t="s">
        <v>709</v>
      </c>
      <c r="BZ424" t="s">
        <v>709</v>
      </c>
      <c r="CA424" t="s">
        <v>2</v>
      </c>
      <c r="CB424">
        <v>423</v>
      </c>
      <c r="CC424" t="b">
        <v>1</v>
      </c>
      <c r="CD424" t="s">
        <v>3740</v>
      </c>
      <c r="CE424" s="1482">
        <v>45880.734444444446</v>
      </c>
    </row>
    <row r="425" spans="1:83" x14ac:dyDescent="0.25">
      <c r="A425">
        <v>2022</v>
      </c>
      <c r="B425" t="s">
        <v>4</v>
      </c>
      <c r="C425" t="s">
        <v>3215</v>
      </c>
      <c r="D425" t="s">
        <v>3216</v>
      </c>
      <c r="E425" t="s">
        <v>783</v>
      </c>
      <c r="F425" t="s">
        <v>738</v>
      </c>
      <c r="G425" t="s">
        <v>2814</v>
      </c>
      <c r="H425" t="s">
        <v>2051</v>
      </c>
      <c r="I425">
        <v>44446</v>
      </c>
      <c r="J425" t="s">
        <v>2052</v>
      </c>
      <c r="K425">
        <v>44475</v>
      </c>
      <c r="L425">
        <v>29</v>
      </c>
      <c r="M425" t="s">
        <v>2685</v>
      </c>
      <c r="N425" t="s">
        <v>120</v>
      </c>
      <c r="O425">
        <v>44475</v>
      </c>
      <c r="P425" t="s">
        <v>739</v>
      </c>
      <c r="Q425">
        <v>7680</v>
      </c>
      <c r="R425" t="s">
        <v>1922</v>
      </c>
      <c r="S425" t="s">
        <v>709</v>
      </c>
      <c r="T425" t="s">
        <v>709</v>
      </c>
      <c r="U425">
        <v>7680</v>
      </c>
      <c r="AM425" t="s">
        <v>709</v>
      </c>
      <c r="AY425" t="s">
        <v>29</v>
      </c>
      <c r="BA425">
        <v>12</v>
      </c>
      <c r="BI425" t="s">
        <v>709</v>
      </c>
      <c r="BJ425" t="s">
        <v>709</v>
      </c>
      <c r="BK425" t="s">
        <v>709</v>
      </c>
      <c r="BL425" t="s">
        <v>116</v>
      </c>
      <c r="BM425" t="s">
        <v>709</v>
      </c>
      <c r="BN425" t="s">
        <v>709</v>
      </c>
      <c r="BO425" t="s">
        <v>709</v>
      </c>
      <c r="BP425" t="s">
        <v>709</v>
      </c>
      <c r="BQ425" t="s">
        <v>709</v>
      </c>
      <c r="BR425" t="s">
        <v>709</v>
      </c>
      <c r="BS425">
        <v>2146</v>
      </c>
      <c r="BT425" t="s">
        <v>745</v>
      </c>
      <c r="BU425" t="s">
        <v>709</v>
      </c>
      <c r="BV425" t="s">
        <v>745</v>
      </c>
      <c r="BW425" t="s">
        <v>709</v>
      </c>
      <c r="BX425" t="s">
        <v>745</v>
      </c>
      <c r="BY425" t="s">
        <v>745</v>
      </c>
      <c r="BZ425" t="s">
        <v>709</v>
      </c>
      <c r="CB425">
        <v>421</v>
      </c>
      <c r="CC425" t="b">
        <v>1</v>
      </c>
      <c r="CD425" t="s">
        <v>3741</v>
      </c>
      <c r="CE425" s="1482">
        <v>45880.734456018516</v>
      </c>
    </row>
    <row r="426" spans="1:83" ht="285" x14ac:dyDescent="0.25">
      <c r="A426">
        <v>2021</v>
      </c>
      <c r="B426" t="s">
        <v>1073</v>
      </c>
      <c r="C426" t="s">
        <v>3742</v>
      </c>
      <c r="D426" t="s">
        <v>3743</v>
      </c>
      <c r="E426" t="s">
        <v>118</v>
      </c>
      <c r="F426" t="s">
        <v>738</v>
      </c>
      <c r="G426" t="s">
        <v>22</v>
      </c>
      <c r="H426" t="s">
        <v>59</v>
      </c>
      <c r="I426">
        <v>44405</v>
      </c>
      <c r="J426">
        <v>44481</v>
      </c>
      <c r="K426">
        <v>44476</v>
      </c>
      <c r="L426">
        <v>5</v>
      </c>
      <c r="N426" t="s">
        <v>120</v>
      </c>
      <c r="O426">
        <v>44476</v>
      </c>
      <c r="P426" t="s">
        <v>739</v>
      </c>
      <c r="Q426">
        <v>91956.514999999999</v>
      </c>
      <c r="R426">
        <v>7.0000000000000007E-2</v>
      </c>
      <c r="S426" t="s">
        <v>709</v>
      </c>
      <c r="T426" t="s">
        <v>709</v>
      </c>
      <c r="U426" t="s">
        <v>709</v>
      </c>
      <c r="X426">
        <v>1270349.24</v>
      </c>
      <c r="Z426">
        <v>43315.26</v>
      </c>
      <c r="AA426">
        <v>1313664.5</v>
      </c>
      <c r="AC426" t="s">
        <v>709</v>
      </c>
      <c r="AM426" t="s">
        <v>116</v>
      </c>
      <c r="AN426">
        <v>44593</v>
      </c>
      <c r="AO426">
        <v>11039414</v>
      </c>
      <c r="AP426">
        <v>1293438.2</v>
      </c>
      <c r="AR426">
        <v>55193.21</v>
      </c>
      <c r="AS426">
        <v>1348631.41</v>
      </c>
      <c r="AT426">
        <v>34966.910000000003</v>
      </c>
      <c r="AU426">
        <v>2447.6837</v>
      </c>
      <c r="AV426">
        <v>7752.5</v>
      </c>
      <c r="AW426" s="4" t="s">
        <v>3744</v>
      </c>
      <c r="AX426">
        <v>0</v>
      </c>
      <c r="AY426">
        <v>45008</v>
      </c>
      <c r="BA426" t="s">
        <v>3745</v>
      </c>
      <c r="BB426" t="s">
        <v>3746</v>
      </c>
      <c r="BC426" t="s">
        <v>709</v>
      </c>
      <c r="BD426" t="s">
        <v>1167</v>
      </c>
      <c r="BE426" t="s">
        <v>2898</v>
      </c>
      <c r="BF426" t="s">
        <v>2898</v>
      </c>
      <c r="BG426" t="s">
        <v>709</v>
      </c>
      <c r="BI426" t="s">
        <v>709</v>
      </c>
      <c r="BJ426" t="s">
        <v>709</v>
      </c>
      <c r="BK426" t="s">
        <v>709</v>
      </c>
      <c r="BL426" t="s">
        <v>116</v>
      </c>
      <c r="BM426" t="s">
        <v>709</v>
      </c>
      <c r="BN426" t="s">
        <v>709</v>
      </c>
      <c r="BO426" t="s">
        <v>709</v>
      </c>
      <c r="BP426" t="s">
        <v>709</v>
      </c>
      <c r="BQ426">
        <v>1469</v>
      </c>
      <c r="BR426">
        <v>2351</v>
      </c>
      <c r="BS426">
        <v>7386</v>
      </c>
      <c r="BT426" t="s">
        <v>745</v>
      </c>
      <c r="BU426" t="s">
        <v>709</v>
      </c>
      <c r="BV426" t="s">
        <v>745</v>
      </c>
      <c r="BW426" t="s">
        <v>709</v>
      </c>
      <c r="BX426" t="s">
        <v>709</v>
      </c>
      <c r="BY426" t="s">
        <v>745</v>
      </c>
      <c r="BZ426" t="s">
        <v>709</v>
      </c>
      <c r="CB426">
        <v>424</v>
      </c>
      <c r="CC426" t="b">
        <v>1</v>
      </c>
      <c r="CD426" t="s">
        <v>3747</v>
      </c>
      <c r="CE426" s="1482">
        <v>45880.734467592592</v>
      </c>
    </row>
    <row r="427" spans="1:83" x14ac:dyDescent="0.25">
      <c r="A427">
        <v>2021</v>
      </c>
      <c r="B427" t="s">
        <v>1073</v>
      </c>
      <c r="C427" t="s">
        <v>3300</v>
      </c>
      <c r="D427">
        <v>168679</v>
      </c>
      <c r="E427" t="s">
        <v>61</v>
      </c>
      <c r="F427" t="s">
        <v>738</v>
      </c>
      <c r="G427" t="s">
        <v>40</v>
      </c>
      <c r="H427" t="s">
        <v>2051</v>
      </c>
      <c r="I427">
        <v>44413</v>
      </c>
      <c r="J427" t="s">
        <v>2052</v>
      </c>
      <c r="K427">
        <v>44480</v>
      </c>
      <c r="L427">
        <v>67</v>
      </c>
      <c r="M427" t="s">
        <v>3748</v>
      </c>
      <c r="N427" t="s">
        <v>120</v>
      </c>
      <c r="O427">
        <v>44480</v>
      </c>
      <c r="P427" t="s">
        <v>739</v>
      </c>
      <c r="Q427">
        <v>4410</v>
      </c>
      <c r="R427" t="s">
        <v>1922</v>
      </c>
      <c r="S427" t="s">
        <v>709</v>
      </c>
      <c r="T427" t="s">
        <v>709</v>
      </c>
      <c r="U427">
        <v>4410</v>
      </c>
      <c r="AA427">
        <v>0</v>
      </c>
      <c r="AM427" t="s">
        <v>709</v>
      </c>
      <c r="AY427" t="s">
        <v>29</v>
      </c>
      <c r="BA427">
        <v>11</v>
      </c>
      <c r="BI427" t="s">
        <v>709</v>
      </c>
      <c r="BJ427" t="s">
        <v>709</v>
      </c>
      <c r="BK427" t="s">
        <v>116</v>
      </c>
      <c r="BL427" t="s">
        <v>709</v>
      </c>
      <c r="BM427" t="s">
        <v>709</v>
      </c>
      <c r="BN427" t="s">
        <v>709</v>
      </c>
      <c r="BO427" t="s">
        <v>709</v>
      </c>
      <c r="BP427">
        <v>10893</v>
      </c>
      <c r="BQ427">
        <v>65</v>
      </c>
      <c r="BR427">
        <v>40</v>
      </c>
      <c r="BS427">
        <v>10</v>
      </c>
      <c r="BT427">
        <v>1</v>
      </c>
      <c r="BU427" t="s">
        <v>709</v>
      </c>
      <c r="BV427" t="s">
        <v>745</v>
      </c>
      <c r="BW427" t="s">
        <v>709</v>
      </c>
      <c r="BX427">
        <v>1</v>
      </c>
      <c r="BY427" t="s">
        <v>745</v>
      </c>
      <c r="BZ427" t="s">
        <v>709</v>
      </c>
      <c r="CA427" t="s">
        <v>1237</v>
      </c>
      <c r="CB427">
        <v>426</v>
      </c>
      <c r="CC427" t="b">
        <v>1</v>
      </c>
      <c r="CD427" t="s">
        <v>3749</v>
      </c>
      <c r="CE427" s="1482">
        <v>45880.734467592592</v>
      </c>
    </row>
    <row r="428" spans="1:83" x14ac:dyDescent="0.25">
      <c r="A428">
        <v>2021</v>
      </c>
      <c r="B428" t="s">
        <v>1073</v>
      </c>
      <c r="C428" t="s">
        <v>3300</v>
      </c>
      <c r="D428">
        <v>168679</v>
      </c>
      <c r="E428" t="s">
        <v>61</v>
      </c>
      <c r="F428" t="s">
        <v>738</v>
      </c>
      <c r="G428" t="s">
        <v>40</v>
      </c>
      <c r="H428" t="s">
        <v>3750</v>
      </c>
      <c r="I428">
        <v>44413</v>
      </c>
      <c r="J428" t="s">
        <v>2052</v>
      </c>
      <c r="K428">
        <v>44480</v>
      </c>
      <c r="L428">
        <v>67</v>
      </c>
      <c r="M428" t="s">
        <v>3751</v>
      </c>
      <c r="N428" t="s">
        <v>120</v>
      </c>
      <c r="O428">
        <v>44554</v>
      </c>
      <c r="P428" t="s">
        <v>739</v>
      </c>
      <c r="Q428">
        <v>14250</v>
      </c>
      <c r="R428" t="s">
        <v>1922</v>
      </c>
      <c r="S428" t="s">
        <v>709</v>
      </c>
      <c r="T428" t="s">
        <v>709</v>
      </c>
      <c r="U428">
        <v>14250</v>
      </c>
      <c r="AA428">
        <v>0</v>
      </c>
      <c r="AM428" t="s">
        <v>709</v>
      </c>
      <c r="AY428" t="s">
        <v>29</v>
      </c>
      <c r="BA428" t="s">
        <v>3752</v>
      </c>
      <c r="BB428" t="s">
        <v>709</v>
      </c>
      <c r="BI428" t="s">
        <v>709</v>
      </c>
      <c r="BJ428" t="s">
        <v>709</v>
      </c>
      <c r="BK428" t="s">
        <v>116</v>
      </c>
      <c r="BL428" t="s">
        <v>709</v>
      </c>
      <c r="BM428" t="s">
        <v>709</v>
      </c>
      <c r="BN428" t="s">
        <v>709</v>
      </c>
      <c r="BO428" t="s">
        <v>709</v>
      </c>
      <c r="BP428">
        <v>10893</v>
      </c>
      <c r="BQ428">
        <v>65</v>
      </c>
      <c r="BR428">
        <v>40</v>
      </c>
      <c r="BS428">
        <v>10</v>
      </c>
      <c r="BT428">
        <v>1</v>
      </c>
      <c r="BU428" t="s">
        <v>709</v>
      </c>
      <c r="BV428" t="s">
        <v>745</v>
      </c>
      <c r="BW428" t="s">
        <v>709</v>
      </c>
      <c r="BX428">
        <v>1</v>
      </c>
      <c r="BY428" t="s">
        <v>745</v>
      </c>
      <c r="BZ428" t="s">
        <v>709</v>
      </c>
      <c r="CA428" t="s">
        <v>1237</v>
      </c>
      <c r="CB428">
        <v>427</v>
      </c>
      <c r="CC428" t="b">
        <v>1</v>
      </c>
      <c r="CD428" t="s">
        <v>3749</v>
      </c>
      <c r="CE428" s="1482">
        <v>45880.734479166669</v>
      </c>
    </row>
    <row r="429" spans="1:83" ht="225" x14ac:dyDescent="0.25">
      <c r="A429">
        <v>2021</v>
      </c>
      <c r="B429" t="s">
        <v>4</v>
      </c>
      <c r="C429" t="s">
        <v>3753</v>
      </c>
      <c r="D429" t="s">
        <v>3754</v>
      </c>
      <c r="E429" t="s">
        <v>2106</v>
      </c>
      <c r="F429" t="s">
        <v>919</v>
      </c>
      <c r="G429" t="s">
        <v>39</v>
      </c>
      <c r="H429" t="s">
        <v>59</v>
      </c>
      <c r="I429">
        <v>44426</v>
      </c>
      <c r="J429">
        <v>44484</v>
      </c>
      <c r="K429">
        <v>44480</v>
      </c>
      <c r="L429">
        <v>4</v>
      </c>
      <c r="N429" t="s">
        <v>120</v>
      </c>
      <c r="O429">
        <v>44480</v>
      </c>
      <c r="P429" t="s">
        <v>739</v>
      </c>
      <c r="Q429">
        <v>11209.36</v>
      </c>
      <c r="R429">
        <v>0.1</v>
      </c>
      <c r="S429" t="s">
        <v>709</v>
      </c>
      <c r="T429" t="s">
        <v>709</v>
      </c>
      <c r="U429" t="s">
        <v>709</v>
      </c>
      <c r="X429">
        <v>104176.82</v>
      </c>
      <c r="Z429">
        <v>7916.78</v>
      </c>
      <c r="AA429">
        <v>112093.6</v>
      </c>
      <c r="AC429" t="s">
        <v>709</v>
      </c>
      <c r="AM429" t="s">
        <v>116</v>
      </c>
      <c r="AN429">
        <v>44690</v>
      </c>
      <c r="AO429">
        <v>11040726</v>
      </c>
      <c r="AP429">
        <v>0</v>
      </c>
      <c r="AR429">
        <v>19233.79</v>
      </c>
      <c r="AS429">
        <v>19233.79</v>
      </c>
      <c r="AT429">
        <v>-92859.81</v>
      </c>
      <c r="AU429">
        <v>-9285.9809999999998</v>
      </c>
      <c r="AV429">
        <v>2055</v>
      </c>
      <c r="AW429" t="s">
        <v>3755</v>
      </c>
      <c r="AX429">
        <v>0</v>
      </c>
      <c r="AY429">
        <v>45008</v>
      </c>
      <c r="BA429" s="4" t="s">
        <v>3756</v>
      </c>
      <c r="BB429" t="s">
        <v>3757</v>
      </c>
      <c r="BC429" t="s">
        <v>116</v>
      </c>
      <c r="BD429" t="s">
        <v>709</v>
      </c>
      <c r="BE429" t="s">
        <v>709</v>
      </c>
      <c r="BF429" t="s">
        <v>709</v>
      </c>
      <c r="BG429" t="s">
        <v>709</v>
      </c>
      <c r="BI429" t="s">
        <v>709</v>
      </c>
      <c r="BJ429" t="s">
        <v>709</v>
      </c>
      <c r="BK429" t="s">
        <v>709</v>
      </c>
      <c r="BL429" t="s">
        <v>709</v>
      </c>
      <c r="BM429" t="s">
        <v>709</v>
      </c>
      <c r="BN429" t="s">
        <v>709</v>
      </c>
      <c r="BO429" t="s">
        <v>709</v>
      </c>
      <c r="BP429" t="s">
        <v>709</v>
      </c>
      <c r="BQ429" t="s">
        <v>709</v>
      </c>
      <c r="BR429" t="s">
        <v>709</v>
      </c>
      <c r="BS429">
        <v>637</v>
      </c>
      <c r="BT429" t="s">
        <v>709</v>
      </c>
      <c r="BU429" t="s">
        <v>709</v>
      </c>
      <c r="BV429" t="s">
        <v>709</v>
      </c>
      <c r="BW429" t="s">
        <v>709</v>
      </c>
      <c r="BX429" t="s">
        <v>709</v>
      </c>
      <c r="BY429" t="s">
        <v>709</v>
      </c>
      <c r="BZ429" t="s">
        <v>709</v>
      </c>
      <c r="CA429" t="s">
        <v>1146</v>
      </c>
      <c r="CB429">
        <v>425</v>
      </c>
      <c r="CC429" t="b">
        <v>1</v>
      </c>
      <c r="CD429" t="s">
        <v>3758</v>
      </c>
      <c r="CE429" s="1482">
        <v>45880.734490740739</v>
      </c>
    </row>
    <row r="430" spans="1:83" ht="60" x14ac:dyDescent="0.25">
      <c r="A430">
        <v>2019</v>
      </c>
      <c r="B430" t="s">
        <v>4</v>
      </c>
      <c r="C430" t="s">
        <v>2509</v>
      </c>
      <c r="D430" t="s">
        <v>2510</v>
      </c>
      <c r="E430" t="s">
        <v>2511</v>
      </c>
      <c r="F430" t="s">
        <v>738</v>
      </c>
      <c r="G430" t="s">
        <v>40</v>
      </c>
      <c r="H430" t="s">
        <v>3759</v>
      </c>
      <c r="I430">
        <v>43468</v>
      </c>
      <c r="J430" t="s">
        <v>2724</v>
      </c>
      <c r="K430">
        <v>44482</v>
      </c>
      <c r="L430">
        <v>1014</v>
      </c>
      <c r="M430" t="s">
        <v>3760</v>
      </c>
      <c r="N430" t="s">
        <v>120</v>
      </c>
      <c r="O430">
        <v>44482</v>
      </c>
      <c r="P430" t="s">
        <v>739</v>
      </c>
      <c r="Q430">
        <v>1117.5</v>
      </c>
      <c r="R430" t="s">
        <v>1922</v>
      </c>
      <c r="S430" t="s">
        <v>709</v>
      </c>
      <c r="T430" t="s">
        <v>709</v>
      </c>
      <c r="U430">
        <v>1117.5</v>
      </c>
      <c r="AM430" t="s">
        <v>709</v>
      </c>
      <c r="AY430" t="s">
        <v>29</v>
      </c>
      <c r="BA430" t="s">
        <v>2513</v>
      </c>
      <c r="BB430" s="4" t="s">
        <v>2514</v>
      </c>
      <c r="BI430" t="s">
        <v>709</v>
      </c>
      <c r="BJ430" t="s">
        <v>709</v>
      </c>
      <c r="BK430" t="s">
        <v>709</v>
      </c>
      <c r="BL430" t="s">
        <v>116</v>
      </c>
      <c r="BM430" t="s">
        <v>709</v>
      </c>
      <c r="BN430" t="s">
        <v>709</v>
      </c>
      <c r="BO430" t="s">
        <v>709</v>
      </c>
      <c r="BP430" t="s">
        <v>709</v>
      </c>
      <c r="BQ430" t="s">
        <v>709</v>
      </c>
      <c r="BR430">
        <v>1626</v>
      </c>
      <c r="BS430" t="s">
        <v>709</v>
      </c>
      <c r="BT430" t="s">
        <v>745</v>
      </c>
      <c r="BU430" t="s">
        <v>709</v>
      </c>
      <c r="BV430" t="s">
        <v>745</v>
      </c>
      <c r="BW430" t="s">
        <v>709</v>
      </c>
      <c r="BX430" t="s">
        <v>745</v>
      </c>
      <c r="BY430" t="s">
        <v>745</v>
      </c>
      <c r="BZ430" t="s">
        <v>709</v>
      </c>
      <c r="CB430">
        <v>428</v>
      </c>
      <c r="CC430" t="b">
        <v>1</v>
      </c>
      <c r="CD430" t="s">
        <v>3761</v>
      </c>
      <c r="CE430" s="1482">
        <v>45880.734502314815</v>
      </c>
    </row>
    <row r="431" spans="1:83" x14ac:dyDescent="0.25">
      <c r="A431">
        <v>2020</v>
      </c>
      <c r="B431" t="s">
        <v>1073</v>
      </c>
      <c r="C431" t="s">
        <v>2563</v>
      </c>
      <c r="D431" t="s">
        <v>2564</v>
      </c>
      <c r="E431" t="s">
        <v>1633</v>
      </c>
      <c r="F431" t="s">
        <v>325</v>
      </c>
      <c r="G431" t="s">
        <v>2814</v>
      </c>
      <c r="H431" t="s">
        <v>2051</v>
      </c>
      <c r="I431">
        <v>44482</v>
      </c>
      <c r="J431" t="s">
        <v>2052</v>
      </c>
      <c r="K431">
        <v>44487</v>
      </c>
      <c r="L431">
        <v>5</v>
      </c>
      <c r="M431" t="s">
        <v>3058</v>
      </c>
      <c r="N431" t="s">
        <v>120</v>
      </c>
      <c r="O431">
        <v>44501</v>
      </c>
      <c r="P431" t="s">
        <v>739</v>
      </c>
      <c r="Q431">
        <v>1970</v>
      </c>
      <c r="R431" t="s">
        <v>1922</v>
      </c>
      <c r="S431" t="s">
        <v>709</v>
      </c>
      <c r="T431" t="s">
        <v>709</v>
      </c>
      <c r="U431">
        <v>1970</v>
      </c>
      <c r="AM431" t="s">
        <v>709</v>
      </c>
      <c r="AY431" t="s">
        <v>29</v>
      </c>
      <c r="BA431">
        <v>4</v>
      </c>
      <c r="BI431" t="s">
        <v>709</v>
      </c>
      <c r="BJ431" t="s">
        <v>709</v>
      </c>
      <c r="BK431" t="s">
        <v>709</v>
      </c>
      <c r="BL431" t="s">
        <v>116</v>
      </c>
      <c r="BM431" t="s">
        <v>709</v>
      </c>
      <c r="BN431" t="s">
        <v>709</v>
      </c>
      <c r="BO431" t="s">
        <v>709</v>
      </c>
      <c r="BP431" t="s">
        <v>709</v>
      </c>
      <c r="BQ431" t="s">
        <v>709</v>
      </c>
      <c r="BR431" t="s">
        <v>709</v>
      </c>
      <c r="BS431">
        <v>261</v>
      </c>
      <c r="BT431" t="s">
        <v>745</v>
      </c>
      <c r="BU431" t="s">
        <v>709</v>
      </c>
      <c r="BV431" t="s">
        <v>745</v>
      </c>
      <c r="BW431" t="s">
        <v>709</v>
      </c>
      <c r="BX431" t="s">
        <v>745</v>
      </c>
      <c r="BY431" t="s">
        <v>745</v>
      </c>
      <c r="BZ431" t="s">
        <v>709</v>
      </c>
      <c r="CB431">
        <v>430</v>
      </c>
      <c r="CC431" t="b">
        <v>1</v>
      </c>
      <c r="CD431" t="s">
        <v>3762</v>
      </c>
      <c r="CE431" s="1482">
        <v>45880.734502314815</v>
      </c>
    </row>
    <row r="432" spans="1:83" x14ac:dyDescent="0.25">
      <c r="A432">
        <v>2021</v>
      </c>
      <c r="B432" t="s">
        <v>4</v>
      </c>
      <c r="C432" t="s">
        <v>736</v>
      </c>
      <c r="D432" t="s">
        <v>737</v>
      </c>
      <c r="E432" t="s">
        <v>259</v>
      </c>
      <c r="F432" t="s">
        <v>738</v>
      </c>
      <c r="G432" t="s">
        <v>39</v>
      </c>
      <c r="H432" t="s">
        <v>59</v>
      </c>
      <c r="I432">
        <v>44356</v>
      </c>
      <c r="J432">
        <v>44519</v>
      </c>
      <c r="K432">
        <v>44487</v>
      </c>
      <c r="L432">
        <v>32</v>
      </c>
      <c r="N432" t="s">
        <v>120</v>
      </c>
      <c r="O432">
        <v>44487</v>
      </c>
      <c r="P432" t="s">
        <v>739</v>
      </c>
      <c r="Q432">
        <v>14252.602000000001</v>
      </c>
      <c r="R432">
        <v>0.1</v>
      </c>
      <c r="S432" t="s">
        <v>709</v>
      </c>
      <c r="T432" t="s">
        <v>709</v>
      </c>
      <c r="U432" t="s">
        <v>709</v>
      </c>
      <c r="X432">
        <v>118596.97</v>
      </c>
      <c r="Z432">
        <v>23929.05</v>
      </c>
      <c r="AA432">
        <v>142526.01999999999</v>
      </c>
      <c r="AC432" t="s">
        <v>709</v>
      </c>
      <c r="AM432" t="s">
        <v>116</v>
      </c>
      <c r="AN432">
        <v>44594</v>
      </c>
      <c r="AO432">
        <v>11039638</v>
      </c>
      <c r="AP432">
        <v>120668.28</v>
      </c>
      <c r="AR432">
        <v>23929.05</v>
      </c>
      <c r="AS432">
        <v>144597.32999999999</v>
      </c>
      <c r="AT432">
        <v>2071.31</v>
      </c>
      <c r="AU432">
        <v>207.131</v>
      </c>
      <c r="AV432">
        <v>4265</v>
      </c>
      <c r="AW432" t="s">
        <v>740</v>
      </c>
      <c r="AX432">
        <v>0</v>
      </c>
      <c r="AY432">
        <v>45566</v>
      </c>
      <c r="AZ432">
        <v>63</v>
      </c>
      <c r="BA432" t="s">
        <v>741</v>
      </c>
      <c r="BB432" t="s">
        <v>742</v>
      </c>
      <c r="BC432" t="s">
        <v>709</v>
      </c>
      <c r="BD432" t="s">
        <v>743</v>
      </c>
      <c r="BE432" t="s">
        <v>744</v>
      </c>
      <c r="BF432" t="s">
        <v>709</v>
      </c>
      <c r="BG432" t="s">
        <v>709</v>
      </c>
      <c r="BI432" t="s">
        <v>709</v>
      </c>
      <c r="BJ432" t="s">
        <v>709</v>
      </c>
      <c r="BK432" t="s">
        <v>709</v>
      </c>
      <c r="BL432" t="s">
        <v>116</v>
      </c>
      <c r="BM432" t="s">
        <v>709</v>
      </c>
      <c r="BN432" t="s">
        <v>709</v>
      </c>
      <c r="BO432" t="s">
        <v>709</v>
      </c>
      <c r="BP432" t="s">
        <v>709</v>
      </c>
      <c r="BQ432" t="s">
        <v>709</v>
      </c>
      <c r="BR432" t="s">
        <v>709</v>
      </c>
      <c r="BS432">
        <v>900</v>
      </c>
      <c r="BT432" t="s">
        <v>745</v>
      </c>
      <c r="BU432" t="s">
        <v>709</v>
      </c>
      <c r="BV432" t="s">
        <v>745</v>
      </c>
      <c r="BW432" t="s">
        <v>709</v>
      </c>
      <c r="BX432" t="s">
        <v>745</v>
      </c>
      <c r="BY432" t="s">
        <v>745</v>
      </c>
      <c r="BZ432" t="s">
        <v>709</v>
      </c>
      <c r="CB432">
        <v>429</v>
      </c>
      <c r="CC432" t="b">
        <v>1</v>
      </c>
      <c r="CD432" t="s">
        <v>3763</v>
      </c>
      <c r="CE432" s="1482">
        <v>45880.734513888892</v>
      </c>
    </row>
    <row r="433" spans="1:83" ht="300" x14ac:dyDescent="0.25">
      <c r="A433">
        <v>2021</v>
      </c>
      <c r="B433" t="s">
        <v>1073</v>
      </c>
      <c r="C433" t="s">
        <v>3764</v>
      </c>
      <c r="D433" t="s">
        <v>3765</v>
      </c>
      <c r="E433" t="s">
        <v>118</v>
      </c>
      <c r="F433" t="s">
        <v>738</v>
      </c>
      <c r="G433" t="s">
        <v>22</v>
      </c>
      <c r="H433" t="s">
        <v>59</v>
      </c>
      <c r="I433">
        <v>44439</v>
      </c>
      <c r="J433">
        <v>44495</v>
      </c>
      <c r="K433">
        <v>44489</v>
      </c>
      <c r="L433">
        <v>6</v>
      </c>
      <c r="N433" t="s">
        <v>120</v>
      </c>
      <c r="O433">
        <v>44489</v>
      </c>
      <c r="P433" t="s">
        <v>739</v>
      </c>
      <c r="Q433">
        <v>42905.752399999998</v>
      </c>
      <c r="R433">
        <v>7.0000000000000007E-2</v>
      </c>
      <c r="S433" t="s">
        <v>709</v>
      </c>
      <c r="T433" t="s">
        <v>709</v>
      </c>
      <c r="U433" t="s">
        <v>709</v>
      </c>
      <c r="V433">
        <v>4569</v>
      </c>
      <c r="X433">
        <v>559382.81000000006</v>
      </c>
      <c r="Z433">
        <v>53556.51</v>
      </c>
      <c r="AA433">
        <v>612939.31999999995</v>
      </c>
      <c r="AC433" t="s">
        <v>709</v>
      </c>
      <c r="AM433" t="s">
        <v>116</v>
      </c>
      <c r="AN433">
        <v>44665</v>
      </c>
      <c r="AO433">
        <v>11040542</v>
      </c>
      <c r="AP433">
        <v>573351.93999999994</v>
      </c>
      <c r="AR433">
        <v>54094.89</v>
      </c>
      <c r="AS433">
        <v>627446.82999999996</v>
      </c>
      <c r="AT433">
        <v>14507.51</v>
      </c>
      <c r="AU433">
        <v>1015.5257</v>
      </c>
      <c r="AV433">
        <v>7605</v>
      </c>
      <c r="AW433" s="4" t="s">
        <v>3766</v>
      </c>
      <c r="AX433">
        <v>0</v>
      </c>
      <c r="AY433">
        <v>45008</v>
      </c>
      <c r="BA433" t="s">
        <v>3767</v>
      </c>
      <c r="BB433" s="4" t="s">
        <v>3768</v>
      </c>
      <c r="BC433" t="s">
        <v>709</v>
      </c>
      <c r="BD433" t="s">
        <v>1167</v>
      </c>
      <c r="BE433" t="s">
        <v>2898</v>
      </c>
      <c r="BF433" t="s">
        <v>2898</v>
      </c>
      <c r="BG433" t="s">
        <v>709</v>
      </c>
      <c r="BI433" t="s">
        <v>709</v>
      </c>
      <c r="BJ433" t="s">
        <v>709</v>
      </c>
      <c r="BK433" t="s">
        <v>709</v>
      </c>
      <c r="BL433" t="s">
        <v>116</v>
      </c>
      <c r="BM433" t="s">
        <v>709</v>
      </c>
      <c r="BN433" t="s">
        <v>709</v>
      </c>
      <c r="BO433" t="s">
        <v>709</v>
      </c>
      <c r="BP433" t="s">
        <v>709</v>
      </c>
      <c r="BQ433">
        <v>89</v>
      </c>
      <c r="BR433">
        <v>4569</v>
      </c>
      <c r="BS433" t="s">
        <v>709</v>
      </c>
      <c r="BT433" t="s">
        <v>745</v>
      </c>
      <c r="BU433" t="s">
        <v>709</v>
      </c>
      <c r="BV433" t="s">
        <v>745</v>
      </c>
      <c r="BW433" t="s">
        <v>709</v>
      </c>
      <c r="BX433" t="s">
        <v>709</v>
      </c>
      <c r="BY433" t="s">
        <v>745</v>
      </c>
      <c r="BZ433" t="s">
        <v>709</v>
      </c>
      <c r="CB433">
        <v>432</v>
      </c>
      <c r="CC433" t="b">
        <v>1</v>
      </c>
      <c r="CD433" t="s">
        <v>3769</v>
      </c>
      <c r="CE433" s="1482">
        <v>45880.734537037039</v>
      </c>
    </row>
    <row r="434" spans="1:83" ht="150" x14ac:dyDescent="0.25">
      <c r="A434">
        <v>2022</v>
      </c>
      <c r="B434" t="s">
        <v>730</v>
      </c>
      <c r="C434" t="s">
        <v>345</v>
      </c>
      <c r="D434" t="s">
        <v>3770</v>
      </c>
      <c r="E434" t="s">
        <v>346</v>
      </c>
      <c r="F434" t="s">
        <v>747</v>
      </c>
      <c r="G434" t="s">
        <v>347</v>
      </c>
      <c r="H434" t="s">
        <v>59</v>
      </c>
      <c r="I434">
        <v>44350</v>
      </c>
      <c r="J434">
        <v>44512</v>
      </c>
      <c r="K434">
        <v>44489</v>
      </c>
      <c r="L434">
        <v>23</v>
      </c>
      <c r="N434" t="s">
        <v>120</v>
      </c>
      <c r="O434">
        <v>44489</v>
      </c>
      <c r="P434" t="s">
        <v>120</v>
      </c>
      <c r="Q434">
        <v>30604.516599999999</v>
      </c>
      <c r="R434" t="s">
        <v>794</v>
      </c>
      <c r="S434" t="s">
        <v>709</v>
      </c>
      <c r="T434" t="s">
        <v>709</v>
      </c>
      <c r="U434" t="s">
        <v>709</v>
      </c>
      <c r="V434">
        <v>443</v>
      </c>
      <c r="X434">
        <v>243855.08</v>
      </c>
      <c r="Z434">
        <v>54433.35</v>
      </c>
      <c r="AA434">
        <v>298288.43</v>
      </c>
      <c r="AC434" t="s">
        <v>1441</v>
      </c>
      <c r="AM434" t="s">
        <v>116</v>
      </c>
      <c r="AN434">
        <v>44714</v>
      </c>
      <c r="AO434">
        <v>11038498</v>
      </c>
      <c r="AP434">
        <v>183671.85</v>
      </c>
      <c r="AR434">
        <v>41479.69</v>
      </c>
      <c r="AS434">
        <v>225151.54</v>
      </c>
      <c r="AT434">
        <v>-73136.89</v>
      </c>
      <c r="AU434">
        <v>-6216.6355999999996</v>
      </c>
      <c r="AV434" t="s">
        <v>709</v>
      </c>
      <c r="AW434" t="s">
        <v>3732</v>
      </c>
      <c r="AX434">
        <v>-6216.6355999999996</v>
      </c>
      <c r="AY434">
        <v>45008</v>
      </c>
      <c r="BA434" t="s">
        <v>3771</v>
      </c>
      <c r="BB434" s="4" t="s">
        <v>814</v>
      </c>
      <c r="BC434" t="s">
        <v>116</v>
      </c>
      <c r="BD434" t="s">
        <v>709</v>
      </c>
      <c r="BE434" t="s">
        <v>3772</v>
      </c>
      <c r="BF434" t="s">
        <v>709</v>
      </c>
      <c r="BG434" t="s">
        <v>709</v>
      </c>
      <c r="BI434" t="s">
        <v>709</v>
      </c>
      <c r="BJ434" t="s">
        <v>709</v>
      </c>
      <c r="BK434" t="s">
        <v>116</v>
      </c>
      <c r="BL434" t="s">
        <v>116</v>
      </c>
      <c r="BM434" t="s">
        <v>709</v>
      </c>
      <c r="BN434" t="s">
        <v>709</v>
      </c>
      <c r="BO434" t="s">
        <v>709</v>
      </c>
      <c r="BP434" t="s">
        <v>709</v>
      </c>
      <c r="BQ434" t="s">
        <v>709</v>
      </c>
      <c r="BR434" t="s">
        <v>709</v>
      </c>
      <c r="BS434">
        <v>443</v>
      </c>
      <c r="BT434" t="s">
        <v>709</v>
      </c>
      <c r="BU434">
        <v>1</v>
      </c>
      <c r="BV434" t="s">
        <v>709</v>
      </c>
      <c r="BW434" t="s">
        <v>709</v>
      </c>
      <c r="BX434">
        <v>1</v>
      </c>
      <c r="BY434" t="s">
        <v>709</v>
      </c>
      <c r="BZ434" t="s">
        <v>709</v>
      </c>
      <c r="CA434" t="s">
        <v>730</v>
      </c>
      <c r="CB434">
        <v>431</v>
      </c>
      <c r="CC434" t="b">
        <v>1</v>
      </c>
      <c r="CD434" t="s">
        <v>3773</v>
      </c>
      <c r="CE434" s="1482">
        <v>45880.734537037039</v>
      </c>
    </row>
    <row r="435" spans="1:83" ht="30" x14ac:dyDescent="0.25">
      <c r="A435">
        <v>2021</v>
      </c>
      <c r="B435" t="s">
        <v>1073</v>
      </c>
      <c r="C435" t="s">
        <v>3774</v>
      </c>
      <c r="D435" t="s">
        <v>115</v>
      </c>
      <c r="E435" t="s">
        <v>1500</v>
      </c>
      <c r="F435" t="s">
        <v>738</v>
      </c>
      <c r="G435" t="s">
        <v>36</v>
      </c>
      <c r="H435" t="s">
        <v>59</v>
      </c>
      <c r="I435">
        <v>44439</v>
      </c>
      <c r="J435">
        <v>44491</v>
      </c>
      <c r="K435">
        <v>44490</v>
      </c>
      <c r="L435">
        <v>1</v>
      </c>
      <c r="N435" t="s">
        <v>120</v>
      </c>
      <c r="O435">
        <v>44501</v>
      </c>
      <c r="P435" t="s">
        <v>739</v>
      </c>
      <c r="Q435" t="s">
        <v>115</v>
      </c>
      <c r="R435" t="s">
        <v>115</v>
      </c>
      <c r="S435" t="s">
        <v>709</v>
      </c>
      <c r="T435" t="s">
        <v>709</v>
      </c>
      <c r="U435" t="s">
        <v>709</v>
      </c>
      <c r="AC435" t="s">
        <v>709</v>
      </c>
      <c r="AM435" t="s">
        <v>709</v>
      </c>
      <c r="AW435" s="4"/>
      <c r="AY435" t="s">
        <v>29</v>
      </c>
      <c r="BA435" t="s">
        <v>3775</v>
      </c>
      <c r="BB435" s="4" t="s">
        <v>1078</v>
      </c>
      <c r="BC435" t="s">
        <v>709</v>
      </c>
      <c r="BD435" t="s">
        <v>709</v>
      </c>
      <c r="BE435" t="s">
        <v>709</v>
      </c>
      <c r="BF435" t="s">
        <v>709</v>
      </c>
      <c r="BG435" t="s">
        <v>709</v>
      </c>
      <c r="BI435" t="s">
        <v>709</v>
      </c>
      <c r="BJ435" t="s">
        <v>709</v>
      </c>
      <c r="BK435" t="s">
        <v>709</v>
      </c>
      <c r="BL435" t="s">
        <v>116</v>
      </c>
      <c r="BT435" t="s">
        <v>745</v>
      </c>
      <c r="BU435" t="s">
        <v>709</v>
      </c>
      <c r="BV435" t="s">
        <v>745</v>
      </c>
      <c r="BW435" t="s">
        <v>709</v>
      </c>
      <c r="BX435" t="s">
        <v>745</v>
      </c>
      <c r="BY435" t="s">
        <v>745</v>
      </c>
      <c r="BZ435" t="s">
        <v>709</v>
      </c>
      <c r="CA435" t="s">
        <v>2739</v>
      </c>
      <c r="CB435">
        <v>434</v>
      </c>
      <c r="CC435" t="b">
        <v>1</v>
      </c>
      <c r="CD435" t="s">
        <v>3776</v>
      </c>
      <c r="CE435" s="1482">
        <v>45880.734548611108</v>
      </c>
    </row>
    <row r="436" spans="1:83" x14ac:dyDescent="0.25">
      <c r="A436">
        <v>2021</v>
      </c>
      <c r="B436" t="s">
        <v>1073</v>
      </c>
      <c r="C436" t="s">
        <v>3777</v>
      </c>
      <c r="D436" t="s">
        <v>115</v>
      </c>
      <c r="E436" t="s">
        <v>1500</v>
      </c>
      <c r="F436" t="s">
        <v>738</v>
      </c>
      <c r="G436" t="s">
        <v>36</v>
      </c>
      <c r="H436" t="s">
        <v>59</v>
      </c>
      <c r="I436">
        <v>44439</v>
      </c>
      <c r="J436">
        <v>44491</v>
      </c>
      <c r="K436">
        <v>44490</v>
      </c>
      <c r="L436">
        <v>1</v>
      </c>
      <c r="N436" t="s">
        <v>120</v>
      </c>
      <c r="O436">
        <v>44501</v>
      </c>
      <c r="P436" t="s">
        <v>739</v>
      </c>
      <c r="Q436">
        <v>22351</v>
      </c>
      <c r="R436" t="s">
        <v>1922</v>
      </c>
      <c r="S436">
        <v>741</v>
      </c>
      <c r="T436" t="s">
        <v>709</v>
      </c>
      <c r="U436">
        <v>21610</v>
      </c>
      <c r="AC436" t="s">
        <v>709</v>
      </c>
      <c r="AM436" t="s">
        <v>709</v>
      </c>
      <c r="AY436" t="s">
        <v>29</v>
      </c>
      <c r="BA436" t="s">
        <v>3778</v>
      </c>
      <c r="BB436" t="s">
        <v>1078</v>
      </c>
      <c r="BC436" t="s">
        <v>709</v>
      </c>
      <c r="BD436" t="s">
        <v>709</v>
      </c>
      <c r="BE436" t="s">
        <v>709</v>
      </c>
      <c r="BF436" t="s">
        <v>709</v>
      </c>
      <c r="BG436" t="s">
        <v>709</v>
      </c>
      <c r="BI436" t="s">
        <v>709</v>
      </c>
      <c r="BJ436" t="s">
        <v>709</v>
      </c>
      <c r="BK436" t="s">
        <v>709</v>
      </c>
      <c r="BL436" t="s">
        <v>116</v>
      </c>
      <c r="BT436" t="s">
        <v>745</v>
      </c>
      <c r="BU436" t="s">
        <v>709</v>
      </c>
      <c r="BV436" t="s">
        <v>745</v>
      </c>
      <c r="BW436" t="s">
        <v>709</v>
      </c>
      <c r="BX436" t="s">
        <v>745</v>
      </c>
      <c r="BY436" t="s">
        <v>745</v>
      </c>
      <c r="BZ436" t="s">
        <v>709</v>
      </c>
      <c r="CA436" t="s">
        <v>2739</v>
      </c>
      <c r="CB436">
        <v>435</v>
      </c>
      <c r="CC436" t="b">
        <v>1</v>
      </c>
      <c r="CD436" t="s">
        <v>3779</v>
      </c>
      <c r="CE436" s="1482">
        <v>45880.734560185185</v>
      </c>
    </row>
    <row r="437" spans="1:83" ht="409.5" x14ac:dyDescent="0.25">
      <c r="A437">
        <v>2022</v>
      </c>
      <c r="B437" t="s">
        <v>769</v>
      </c>
      <c r="C437" t="s">
        <v>760</v>
      </c>
      <c r="D437" t="s">
        <v>115</v>
      </c>
      <c r="E437" t="s">
        <v>1110</v>
      </c>
      <c r="F437" t="s">
        <v>919</v>
      </c>
      <c r="G437" t="s">
        <v>40</v>
      </c>
      <c r="H437" t="s">
        <v>2127</v>
      </c>
      <c r="I437">
        <v>44480</v>
      </c>
      <c r="J437">
        <v>44568</v>
      </c>
      <c r="K437">
        <v>44490</v>
      </c>
      <c r="L437">
        <v>78</v>
      </c>
      <c r="N437" t="s">
        <v>120</v>
      </c>
      <c r="O437">
        <v>44490</v>
      </c>
      <c r="P437" t="s">
        <v>120</v>
      </c>
      <c r="R437" t="s">
        <v>115</v>
      </c>
      <c r="S437" t="s">
        <v>709</v>
      </c>
      <c r="T437" t="s">
        <v>709</v>
      </c>
      <c r="U437" t="s">
        <v>709</v>
      </c>
      <c r="AC437" t="s">
        <v>29</v>
      </c>
      <c r="AM437" t="s">
        <v>709</v>
      </c>
      <c r="AY437" t="s">
        <v>29</v>
      </c>
      <c r="BA437" s="4" t="s">
        <v>3780</v>
      </c>
      <c r="BI437" t="s">
        <v>709</v>
      </c>
      <c r="BJ437" t="s">
        <v>709</v>
      </c>
      <c r="BK437" t="s">
        <v>116</v>
      </c>
      <c r="BL437" t="s">
        <v>116</v>
      </c>
      <c r="BM437" t="s">
        <v>709</v>
      </c>
      <c r="BN437" t="s">
        <v>709</v>
      </c>
      <c r="BO437" t="s">
        <v>709</v>
      </c>
      <c r="BP437" t="s">
        <v>709</v>
      </c>
      <c r="BQ437" t="s">
        <v>116</v>
      </c>
      <c r="BR437" t="s">
        <v>116</v>
      </c>
      <c r="BS437" t="s">
        <v>116</v>
      </c>
      <c r="BT437" t="s">
        <v>116</v>
      </c>
      <c r="BU437" t="s">
        <v>709</v>
      </c>
      <c r="BV437" t="s">
        <v>709</v>
      </c>
      <c r="BW437" t="s">
        <v>116</v>
      </c>
      <c r="BX437" t="s">
        <v>116</v>
      </c>
      <c r="BY437" t="s">
        <v>709</v>
      </c>
      <c r="BZ437" t="s">
        <v>709</v>
      </c>
      <c r="CA437" t="s">
        <v>769</v>
      </c>
      <c r="CB437">
        <v>433</v>
      </c>
      <c r="CC437" t="b">
        <v>1</v>
      </c>
      <c r="CD437" t="s">
        <v>3781</v>
      </c>
      <c r="CE437" s="1482">
        <v>45880.734560185185</v>
      </c>
    </row>
    <row r="438" spans="1:83" x14ac:dyDescent="0.25">
      <c r="A438">
        <v>2022</v>
      </c>
      <c r="B438" t="s">
        <v>771</v>
      </c>
      <c r="C438" t="s">
        <v>3782</v>
      </c>
      <c r="D438" t="s">
        <v>3783</v>
      </c>
      <c r="E438" t="s">
        <v>3643</v>
      </c>
      <c r="F438" t="s">
        <v>919</v>
      </c>
      <c r="G438" t="s">
        <v>36</v>
      </c>
      <c r="H438" t="s">
        <v>59</v>
      </c>
      <c r="I438">
        <v>44383</v>
      </c>
      <c r="J438">
        <v>44498</v>
      </c>
      <c r="K438">
        <v>44495</v>
      </c>
      <c r="L438">
        <v>3</v>
      </c>
      <c r="N438" t="s">
        <v>120</v>
      </c>
      <c r="O438">
        <v>44495</v>
      </c>
      <c r="P438" t="s">
        <v>120</v>
      </c>
      <c r="Q438">
        <v>26598</v>
      </c>
      <c r="R438" t="s">
        <v>2087</v>
      </c>
      <c r="S438" t="s">
        <v>709</v>
      </c>
      <c r="T438" t="s">
        <v>709</v>
      </c>
      <c r="U438" t="s">
        <v>709</v>
      </c>
      <c r="V438">
        <v>17160</v>
      </c>
      <c r="X438">
        <v>2519107.5</v>
      </c>
      <c r="Z438">
        <v>54836.78</v>
      </c>
      <c r="AA438">
        <v>2573944.2799999998</v>
      </c>
      <c r="AC438" t="s">
        <v>709</v>
      </c>
      <c r="AM438" t="s">
        <v>709</v>
      </c>
      <c r="AY438" t="s">
        <v>29</v>
      </c>
      <c r="BA438" t="s">
        <v>3784</v>
      </c>
      <c r="BB438" t="s">
        <v>3658</v>
      </c>
      <c r="BC438" t="s">
        <v>709</v>
      </c>
      <c r="BD438" t="s">
        <v>3659</v>
      </c>
      <c r="BE438" t="s">
        <v>3646</v>
      </c>
      <c r="BF438" t="s">
        <v>709</v>
      </c>
      <c r="BG438" t="s">
        <v>709</v>
      </c>
      <c r="BI438" t="s">
        <v>709</v>
      </c>
      <c r="BJ438" t="s">
        <v>709</v>
      </c>
      <c r="BK438" t="s">
        <v>709</v>
      </c>
      <c r="BL438" t="s">
        <v>116</v>
      </c>
      <c r="BM438" t="s">
        <v>709</v>
      </c>
      <c r="BN438" t="s">
        <v>709</v>
      </c>
      <c r="BO438" t="s">
        <v>709</v>
      </c>
      <c r="BP438" t="s">
        <v>709</v>
      </c>
      <c r="BQ438">
        <v>114</v>
      </c>
      <c r="BR438">
        <v>6596</v>
      </c>
      <c r="BS438">
        <v>10450</v>
      </c>
      <c r="BT438" t="s">
        <v>745</v>
      </c>
      <c r="BU438" t="s">
        <v>709</v>
      </c>
      <c r="BV438" t="s">
        <v>745</v>
      </c>
      <c r="BW438" t="s">
        <v>709</v>
      </c>
      <c r="BX438" t="s">
        <v>745</v>
      </c>
      <c r="BY438" t="s">
        <v>745</v>
      </c>
      <c r="BZ438" t="s">
        <v>709</v>
      </c>
      <c r="CB438">
        <v>436</v>
      </c>
      <c r="CC438" t="b">
        <v>1</v>
      </c>
      <c r="CD438" t="s">
        <v>3785</v>
      </c>
      <c r="CE438" s="1482">
        <v>45880.734571759262</v>
      </c>
    </row>
    <row r="439" spans="1:83" x14ac:dyDescent="0.25">
      <c r="A439">
        <v>2022</v>
      </c>
      <c r="B439" t="s">
        <v>4</v>
      </c>
      <c r="C439" t="s">
        <v>3544</v>
      </c>
      <c r="D439" t="s">
        <v>3545</v>
      </c>
      <c r="E439" t="s">
        <v>108</v>
      </c>
      <c r="F439" t="s">
        <v>738</v>
      </c>
      <c r="G439" t="s">
        <v>39</v>
      </c>
      <c r="H439" t="s">
        <v>3178</v>
      </c>
      <c r="I439">
        <v>44483</v>
      </c>
      <c r="J439" t="s">
        <v>2052</v>
      </c>
      <c r="K439">
        <v>44495</v>
      </c>
      <c r="L439">
        <v>12</v>
      </c>
      <c r="M439" t="s">
        <v>3058</v>
      </c>
      <c r="N439" t="s">
        <v>120</v>
      </c>
      <c r="O439">
        <v>44501</v>
      </c>
      <c r="P439" t="s">
        <v>739</v>
      </c>
      <c r="Q439">
        <v>6620</v>
      </c>
      <c r="R439" t="s">
        <v>1922</v>
      </c>
      <c r="S439" t="s">
        <v>709</v>
      </c>
      <c r="T439" t="s">
        <v>709</v>
      </c>
      <c r="U439">
        <v>6620</v>
      </c>
      <c r="AM439" t="s">
        <v>709</v>
      </c>
      <c r="AY439" t="s">
        <v>29</v>
      </c>
      <c r="BA439">
        <v>4</v>
      </c>
      <c r="BI439" t="s">
        <v>709</v>
      </c>
      <c r="BJ439" t="s">
        <v>709</v>
      </c>
      <c r="BK439" t="s">
        <v>709</v>
      </c>
      <c r="BL439" t="s">
        <v>116</v>
      </c>
      <c r="BM439" t="s">
        <v>709</v>
      </c>
      <c r="BN439" t="s">
        <v>709</v>
      </c>
      <c r="BO439" t="s">
        <v>709</v>
      </c>
      <c r="BP439" t="s">
        <v>709</v>
      </c>
      <c r="BQ439" t="s">
        <v>709</v>
      </c>
      <c r="BR439" t="s">
        <v>709</v>
      </c>
      <c r="BS439">
        <v>1361</v>
      </c>
      <c r="BT439" t="s">
        <v>745</v>
      </c>
      <c r="BU439" t="s">
        <v>709</v>
      </c>
      <c r="BV439" t="s">
        <v>745</v>
      </c>
      <c r="BW439" t="s">
        <v>709</v>
      </c>
      <c r="BX439" t="s">
        <v>745</v>
      </c>
      <c r="BY439" t="s">
        <v>745</v>
      </c>
      <c r="BZ439" t="s">
        <v>709</v>
      </c>
      <c r="CB439">
        <v>437</v>
      </c>
      <c r="CC439" t="b">
        <v>1</v>
      </c>
      <c r="CD439" t="s">
        <v>3786</v>
      </c>
      <c r="CE439" s="1482">
        <v>45880.734583333331</v>
      </c>
    </row>
    <row r="440" spans="1:83" x14ac:dyDescent="0.25">
      <c r="A440">
        <v>2022</v>
      </c>
      <c r="B440" t="s">
        <v>771</v>
      </c>
      <c r="C440" t="s">
        <v>3782</v>
      </c>
      <c r="D440" t="s">
        <v>3783</v>
      </c>
      <c r="E440" t="s">
        <v>3643</v>
      </c>
      <c r="F440" t="s">
        <v>919</v>
      </c>
      <c r="G440" t="s">
        <v>36</v>
      </c>
      <c r="H440" t="s">
        <v>3661</v>
      </c>
      <c r="I440">
        <v>44383</v>
      </c>
      <c r="J440" t="s">
        <v>3662</v>
      </c>
      <c r="K440">
        <v>44495</v>
      </c>
      <c r="L440">
        <v>112</v>
      </c>
      <c r="M440" t="s">
        <v>3787</v>
      </c>
      <c r="N440" t="s">
        <v>120</v>
      </c>
      <c r="O440">
        <v>44554</v>
      </c>
      <c r="P440" t="s">
        <v>120</v>
      </c>
      <c r="Q440">
        <v>7747.5</v>
      </c>
      <c r="R440" t="s">
        <v>1922</v>
      </c>
      <c r="S440" t="s">
        <v>709</v>
      </c>
      <c r="T440" t="s">
        <v>709</v>
      </c>
      <c r="U440">
        <v>7747.5</v>
      </c>
      <c r="AB440" t="s">
        <v>29</v>
      </c>
      <c r="AC440" t="s">
        <v>29</v>
      </c>
      <c r="AD440" t="s">
        <v>29</v>
      </c>
      <c r="AM440" t="s">
        <v>709</v>
      </c>
      <c r="AY440" t="s">
        <v>29</v>
      </c>
      <c r="BC440" t="s">
        <v>709</v>
      </c>
      <c r="BD440" t="s">
        <v>3659</v>
      </c>
      <c r="BE440" t="s">
        <v>3646</v>
      </c>
      <c r="BF440" t="s">
        <v>709</v>
      </c>
      <c r="BG440" t="s">
        <v>709</v>
      </c>
      <c r="BI440" t="s">
        <v>709</v>
      </c>
      <c r="BJ440" t="s">
        <v>709</v>
      </c>
      <c r="BK440" t="s">
        <v>709</v>
      </c>
      <c r="BL440" t="s">
        <v>116</v>
      </c>
      <c r="BM440" t="s">
        <v>709</v>
      </c>
      <c r="BN440" t="s">
        <v>709</v>
      </c>
      <c r="BO440" t="s">
        <v>709</v>
      </c>
      <c r="BP440" t="s">
        <v>709</v>
      </c>
      <c r="BQ440">
        <v>114</v>
      </c>
      <c r="BR440">
        <v>6596</v>
      </c>
      <c r="BS440">
        <v>10450</v>
      </c>
      <c r="BT440" t="s">
        <v>745</v>
      </c>
      <c r="BU440" t="s">
        <v>709</v>
      </c>
      <c r="BV440" t="s">
        <v>745</v>
      </c>
      <c r="BW440" t="s">
        <v>709</v>
      </c>
      <c r="BX440" t="s">
        <v>745</v>
      </c>
      <c r="BY440" t="s">
        <v>745</v>
      </c>
      <c r="BZ440" t="s">
        <v>709</v>
      </c>
      <c r="CB440">
        <v>438</v>
      </c>
      <c r="CC440" t="b">
        <v>1</v>
      </c>
      <c r="CD440" t="s">
        <v>3785</v>
      </c>
      <c r="CE440" s="1482">
        <v>45880.734594907408</v>
      </c>
    </row>
    <row r="441" spans="1:83" x14ac:dyDescent="0.25">
      <c r="A441">
        <v>2021</v>
      </c>
      <c r="B441" t="s">
        <v>4</v>
      </c>
      <c r="C441" t="s">
        <v>3788</v>
      </c>
      <c r="D441" t="s">
        <v>3789</v>
      </c>
      <c r="E441" t="s">
        <v>164</v>
      </c>
      <c r="F441" t="s">
        <v>738</v>
      </c>
      <c r="G441" t="s">
        <v>39</v>
      </c>
      <c r="H441" t="s">
        <v>59</v>
      </c>
      <c r="I441">
        <v>44356</v>
      </c>
      <c r="J441">
        <v>44512</v>
      </c>
      <c r="K441">
        <v>44496</v>
      </c>
      <c r="L441">
        <v>16</v>
      </c>
      <c r="N441" t="s">
        <v>120</v>
      </c>
      <c r="O441">
        <v>44496</v>
      </c>
      <c r="P441" t="s">
        <v>739</v>
      </c>
      <c r="Q441">
        <v>52039.815999999999</v>
      </c>
      <c r="R441">
        <v>0.1</v>
      </c>
      <c r="S441" t="s">
        <v>709</v>
      </c>
      <c r="T441" t="s">
        <v>709</v>
      </c>
      <c r="U441" t="s">
        <v>709</v>
      </c>
      <c r="V441">
        <v>558</v>
      </c>
      <c r="X441">
        <v>499462.88</v>
      </c>
      <c r="Z441">
        <v>20935.28</v>
      </c>
      <c r="AA441">
        <v>520398.16</v>
      </c>
      <c r="AC441" t="s">
        <v>116</v>
      </c>
      <c r="AM441" t="s">
        <v>116</v>
      </c>
      <c r="AN441">
        <v>44734</v>
      </c>
      <c r="AO441">
        <v>11038992</v>
      </c>
      <c r="AP441">
        <v>140058.81</v>
      </c>
      <c r="AR441">
        <v>21063.52</v>
      </c>
      <c r="AS441">
        <v>161122.32999999999</v>
      </c>
      <c r="AT441">
        <v>-359275.83</v>
      </c>
      <c r="AU441">
        <v>-35927.582999999999</v>
      </c>
      <c r="AV441">
        <v>3682.5</v>
      </c>
      <c r="AW441" t="s">
        <v>3790</v>
      </c>
      <c r="AX441">
        <v>0</v>
      </c>
      <c r="AY441">
        <v>45008</v>
      </c>
      <c r="BA441" t="s">
        <v>3791</v>
      </c>
      <c r="BB441" t="s">
        <v>3792</v>
      </c>
      <c r="BC441" t="s">
        <v>709</v>
      </c>
      <c r="BD441" t="s">
        <v>709</v>
      </c>
      <c r="BE441" t="s">
        <v>3793</v>
      </c>
      <c r="BF441" t="s">
        <v>709</v>
      </c>
      <c r="BG441" t="s">
        <v>709</v>
      </c>
      <c r="BI441" t="s">
        <v>709</v>
      </c>
      <c r="BJ441" t="s">
        <v>709</v>
      </c>
      <c r="BK441" t="s">
        <v>709</v>
      </c>
      <c r="BL441" t="s">
        <v>116</v>
      </c>
      <c r="BM441" t="s">
        <v>709</v>
      </c>
      <c r="BN441" t="s">
        <v>709</v>
      </c>
      <c r="BO441" t="s">
        <v>709</v>
      </c>
      <c r="BP441" t="s">
        <v>709</v>
      </c>
      <c r="BQ441">
        <v>472</v>
      </c>
      <c r="BR441">
        <v>86</v>
      </c>
      <c r="BS441" t="s">
        <v>709</v>
      </c>
      <c r="BT441" t="s">
        <v>745</v>
      </c>
      <c r="BU441" t="s">
        <v>709</v>
      </c>
      <c r="BV441" t="s">
        <v>745</v>
      </c>
      <c r="BW441" t="s">
        <v>709</v>
      </c>
      <c r="BX441" t="s">
        <v>745</v>
      </c>
      <c r="BY441" t="s">
        <v>745</v>
      </c>
      <c r="BZ441" t="s">
        <v>709</v>
      </c>
      <c r="CB441">
        <v>439</v>
      </c>
      <c r="CC441" t="b">
        <v>1</v>
      </c>
      <c r="CD441" t="s">
        <v>3794</v>
      </c>
      <c r="CE441" s="1482">
        <v>45880.734594907408</v>
      </c>
    </row>
    <row r="442" spans="1:83" ht="225" x14ac:dyDescent="0.25">
      <c r="A442">
        <v>2022</v>
      </c>
      <c r="B442" t="s">
        <v>4</v>
      </c>
      <c r="C442" t="s">
        <v>3795</v>
      </c>
      <c r="D442" t="s">
        <v>3796</v>
      </c>
      <c r="E442" t="s">
        <v>2298</v>
      </c>
      <c r="F442" t="s">
        <v>919</v>
      </c>
      <c r="G442" t="s">
        <v>39</v>
      </c>
      <c r="H442" t="s">
        <v>59</v>
      </c>
      <c r="I442">
        <v>44433</v>
      </c>
      <c r="J442">
        <v>44519</v>
      </c>
      <c r="K442">
        <v>44496</v>
      </c>
      <c r="L442">
        <v>23</v>
      </c>
      <c r="N442" t="s">
        <v>120</v>
      </c>
      <c r="O442">
        <v>44501</v>
      </c>
      <c r="P442" t="s">
        <v>739</v>
      </c>
      <c r="Q442">
        <v>27826.898000000001</v>
      </c>
      <c r="R442">
        <v>0.1</v>
      </c>
      <c r="S442" t="s">
        <v>709</v>
      </c>
      <c r="T442" t="s">
        <v>709</v>
      </c>
      <c r="U442" t="s">
        <v>709</v>
      </c>
      <c r="V442">
        <v>538</v>
      </c>
      <c r="X442">
        <v>248484.74</v>
      </c>
      <c r="Z442">
        <v>29784.240000000002</v>
      </c>
      <c r="AA442">
        <v>278268.98</v>
      </c>
      <c r="AC442" t="s">
        <v>709</v>
      </c>
      <c r="AM442" t="s">
        <v>116</v>
      </c>
      <c r="AN442">
        <v>44867</v>
      </c>
      <c r="AO442">
        <v>11048618</v>
      </c>
      <c r="AP442">
        <v>250861.31</v>
      </c>
      <c r="AQ442" t="s">
        <v>115</v>
      </c>
      <c r="AR442">
        <v>29843.82</v>
      </c>
      <c r="AS442">
        <v>280705.13</v>
      </c>
      <c r="AT442">
        <v>2436.15</v>
      </c>
      <c r="AU442">
        <v>243.61500000000001</v>
      </c>
      <c r="AV442">
        <v>1750</v>
      </c>
      <c r="AW442" s="4" t="s">
        <v>3797</v>
      </c>
      <c r="AX442">
        <v>0</v>
      </c>
      <c r="AY442">
        <v>45008</v>
      </c>
      <c r="BA442" t="s">
        <v>3798</v>
      </c>
      <c r="BB442" s="4" t="s">
        <v>3799</v>
      </c>
      <c r="BC442" t="s">
        <v>709</v>
      </c>
      <c r="BD442" t="s">
        <v>882</v>
      </c>
      <c r="BE442" t="s">
        <v>3119</v>
      </c>
      <c r="BF442" t="s">
        <v>709</v>
      </c>
      <c r="BG442" t="s">
        <v>709</v>
      </c>
      <c r="BI442" t="s">
        <v>709</v>
      </c>
      <c r="BJ442" t="s">
        <v>709</v>
      </c>
      <c r="BK442" t="s">
        <v>709</v>
      </c>
      <c r="BL442" t="s">
        <v>116</v>
      </c>
      <c r="BM442" t="s">
        <v>709</v>
      </c>
      <c r="BN442" t="s">
        <v>709</v>
      </c>
      <c r="BO442" t="s">
        <v>709</v>
      </c>
      <c r="BP442" t="s">
        <v>709</v>
      </c>
      <c r="BQ442">
        <v>173</v>
      </c>
      <c r="BR442" t="s">
        <v>709</v>
      </c>
      <c r="BS442">
        <v>365</v>
      </c>
      <c r="BT442" t="s">
        <v>745</v>
      </c>
      <c r="BU442" t="s">
        <v>709</v>
      </c>
      <c r="BV442" t="s">
        <v>745</v>
      </c>
      <c r="BW442" t="s">
        <v>709</v>
      </c>
      <c r="BX442" t="s">
        <v>745</v>
      </c>
      <c r="BY442" t="s">
        <v>745</v>
      </c>
      <c r="BZ442" t="s">
        <v>709</v>
      </c>
      <c r="CB442">
        <v>440</v>
      </c>
      <c r="CC442" t="b">
        <v>1</v>
      </c>
      <c r="CD442" t="s">
        <v>3800</v>
      </c>
      <c r="CE442" s="1482">
        <v>45880.734606481485</v>
      </c>
    </row>
    <row r="443" spans="1:83" x14ac:dyDescent="0.25">
      <c r="A443">
        <v>2020</v>
      </c>
      <c r="B443" t="s">
        <v>1981</v>
      </c>
      <c r="C443" t="s">
        <v>2572</v>
      </c>
      <c r="D443" t="s">
        <v>115</v>
      </c>
      <c r="E443" t="s">
        <v>426</v>
      </c>
      <c r="F443" t="s">
        <v>919</v>
      </c>
      <c r="G443" t="s">
        <v>40</v>
      </c>
      <c r="H443" t="s">
        <v>2051</v>
      </c>
      <c r="I443">
        <v>44480</v>
      </c>
      <c r="J443" t="s">
        <v>2052</v>
      </c>
      <c r="K443">
        <v>44501</v>
      </c>
      <c r="L443">
        <v>21</v>
      </c>
      <c r="M443" t="s">
        <v>3801</v>
      </c>
      <c r="N443" t="s">
        <v>120</v>
      </c>
      <c r="O443">
        <v>44501</v>
      </c>
      <c r="P443" t="s">
        <v>739</v>
      </c>
      <c r="Q443">
        <v>6180</v>
      </c>
      <c r="R443" t="s">
        <v>1922</v>
      </c>
      <c r="S443" t="s">
        <v>709</v>
      </c>
      <c r="T443" t="s">
        <v>709</v>
      </c>
      <c r="U443">
        <v>6180</v>
      </c>
      <c r="AM443" t="s">
        <v>709</v>
      </c>
      <c r="AY443" t="s">
        <v>29</v>
      </c>
      <c r="BA443" s="4">
        <v>2</v>
      </c>
      <c r="BB443" s="4"/>
      <c r="BI443" t="s">
        <v>709</v>
      </c>
      <c r="BJ443" t="s">
        <v>709</v>
      </c>
      <c r="BK443" t="s">
        <v>709</v>
      </c>
      <c r="BL443" t="s">
        <v>709</v>
      </c>
      <c r="BM443" t="s">
        <v>709</v>
      </c>
      <c r="BN443" t="s">
        <v>709</v>
      </c>
      <c r="BO443" t="s">
        <v>709</v>
      </c>
      <c r="BP443" t="s">
        <v>709</v>
      </c>
      <c r="BQ443" t="s">
        <v>709</v>
      </c>
      <c r="BR443" t="s">
        <v>709</v>
      </c>
      <c r="BS443" t="s">
        <v>709</v>
      </c>
      <c r="BT443" t="s">
        <v>745</v>
      </c>
      <c r="BU443" t="s">
        <v>709</v>
      </c>
      <c r="BV443" t="s">
        <v>745</v>
      </c>
      <c r="BW443" t="s">
        <v>709</v>
      </c>
      <c r="BX443" t="s">
        <v>745</v>
      </c>
      <c r="BY443" t="s">
        <v>745</v>
      </c>
      <c r="BZ443" t="s">
        <v>709</v>
      </c>
      <c r="CA443" t="s">
        <v>2531</v>
      </c>
      <c r="CB443">
        <v>445</v>
      </c>
      <c r="CC443" t="b">
        <v>1</v>
      </c>
      <c r="CD443" t="s">
        <v>3802</v>
      </c>
      <c r="CE443" s="1482">
        <v>45880.734618055554</v>
      </c>
    </row>
    <row r="444" spans="1:83" ht="165" x14ac:dyDescent="0.25">
      <c r="A444">
        <v>2021</v>
      </c>
      <c r="B444" t="s">
        <v>4</v>
      </c>
      <c r="C444" t="s">
        <v>3803</v>
      </c>
      <c r="D444" t="s">
        <v>3804</v>
      </c>
      <c r="E444" t="s">
        <v>232</v>
      </c>
      <c r="F444" t="s">
        <v>919</v>
      </c>
      <c r="G444" t="s">
        <v>2814</v>
      </c>
      <c r="H444" t="s">
        <v>59</v>
      </c>
      <c r="I444">
        <v>44374</v>
      </c>
      <c r="J444">
        <v>44519</v>
      </c>
      <c r="K444">
        <v>44501</v>
      </c>
      <c r="L444">
        <v>18</v>
      </c>
      <c r="N444" t="s">
        <v>120</v>
      </c>
      <c r="O444">
        <v>44501</v>
      </c>
      <c r="P444" t="s">
        <v>739</v>
      </c>
      <c r="Q444">
        <v>13789.76</v>
      </c>
      <c r="R444">
        <v>0.1</v>
      </c>
      <c r="S444" t="s">
        <v>709</v>
      </c>
      <c r="T444" t="s">
        <v>709</v>
      </c>
      <c r="U444" t="s">
        <v>709</v>
      </c>
      <c r="V444">
        <v>142</v>
      </c>
      <c r="X444">
        <v>113935.36</v>
      </c>
      <c r="Z444">
        <v>23962.240000000002</v>
      </c>
      <c r="AA444">
        <v>137897.60000000001</v>
      </c>
      <c r="AC444" t="s">
        <v>709</v>
      </c>
      <c r="AM444" t="s">
        <v>116</v>
      </c>
      <c r="AN444">
        <v>44628</v>
      </c>
      <c r="AO444">
        <v>11039394</v>
      </c>
      <c r="AP444">
        <v>113981.23</v>
      </c>
      <c r="AR444">
        <v>23994.34</v>
      </c>
      <c r="AS444">
        <v>137975.57</v>
      </c>
      <c r="AT444">
        <v>77.97</v>
      </c>
      <c r="AU444">
        <v>7.7969999999999997</v>
      </c>
      <c r="AV444" t="s">
        <v>709</v>
      </c>
      <c r="AX444">
        <v>7.7969999999999997</v>
      </c>
      <c r="AY444">
        <v>45008</v>
      </c>
      <c r="BA444" s="4" t="s">
        <v>3805</v>
      </c>
      <c r="BB444" s="4" t="s">
        <v>3507</v>
      </c>
      <c r="BC444" t="s">
        <v>709</v>
      </c>
      <c r="BD444" t="s">
        <v>709</v>
      </c>
      <c r="BE444" t="s">
        <v>595</v>
      </c>
      <c r="BF444" t="s">
        <v>709</v>
      </c>
      <c r="BG444" t="s">
        <v>709</v>
      </c>
      <c r="BI444" t="s">
        <v>709</v>
      </c>
      <c r="BJ444" t="s">
        <v>709</v>
      </c>
      <c r="BK444" t="s">
        <v>709</v>
      </c>
      <c r="BL444" t="s">
        <v>116</v>
      </c>
      <c r="BM444" t="s">
        <v>709</v>
      </c>
      <c r="BN444" t="s">
        <v>709</v>
      </c>
      <c r="BO444" t="s">
        <v>709</v>
      </c>
      <c r="BP444" t="s">
        <v>709</v>
      </c>
      <c r="BQ444" t="s">
        <v>709</v>
      </c>
      <c r="BR444" t="s">
        <v>709</v>
      </c>
      <c r="BS444">
        <v>142</v>
      </c>
      <c r="BT444" t="s">
        <v>745</v>
      </c>
      <c r="BU444" t="s">
        <v>709</v>
      </c>
      <c r="BV444" t="s">
        <v>745</v>
      </c>
      <c r="BW444" t="s">
        <v>709</v>
      </c>
      <c r="BX444" t="s">
        <v>745</v>
      </c>
      <c r="BY444" t="s">
        <v>745</v>
      </c>
      <c r="BZ444" t="s">
        <v>709</v>
      </c>
      <c r="CB444">
        <v>444</v>
      </c>
      <c r="CC444" t="b">
        <v>1</v>
      </c>
      <c r="CD444" t="s">
        <v>3806</v>
      </c>
      <c r="CE444" s="1482">
        <v>45880.734618055554</v>
      </c>
    </row>
    <row r="445" spans="1:83" ht="120" x14ac:dyDescent="0.25">
      <c r="A445">
        <v>2022</v>
      </c>
      <c r="B445" t="s">
        <v>1073</v>
      </c>
      <c r="C445" t="s">
        <v>210</v>
      </c>
      <c r="D445" t="s">
        <v>3807</v>
      </c>
      <c r="E445" t="s">
        <v>966</v>
      </c>
      <c r="F445" t="s">
        <v>738</v>
      </c>
      <c r="G445" t="s">
        <v>2814</v>
      </c>
      <c r="H445" t="s">
        <v>59</v>
      </c>
      <c r="I445">
        <v>44474</v>
      </c>
      <c r="J445">
        <v>44516</v>
      </c>
      <c r="K445">
        <v>44501</v>
      </c>
      <c r="L445">
        <v>15</v>
      </c>
      <c r="N445" t="s">
        <v>120</v>
      </c>
      <c r="O445">
        <v>44501</v>
      </c>
      <c r="P445" t="s">
        <v>739</v>
      </c>
      <c r="Q445">
        <v>5646.5128999999997</v>
      </c>
      <c r="R445">
        <v>7.0000000000000007E-2</v>
      </c>
      <c r="S445" t="s">
        <v>709</v>
      </c>
      <c r="T445" t="s">
        <v>709</v>
      </c>
      <c r="U445" t="s">
        <v>709</v>
      </c>
      <c r="V445">
        <v>200</v>
      </c>
      <c r="X445">
        <v>80664.47</v>
      </c>
      <c r="AA445">
        <v>80664.47</v>
      </c>
      <c r="AC445" t="s">
        <v>116</v>
      </c>
      <c r="AM445" t="s">
        <v>116</v>
      </c>
      <c r="AN445">
        <v>44509</v>
      </c>
      <c r="AO445">
        <v>11037946</v>
      </c>
      <c r="AP445">
        <v>80664.47</v>
      </c>
      <c r="AR445">
        <v>0</v>
      </c>
      <c r="AS445">
        <v>80664.47</v>
      </c>
      <c r="AT445">
        <v>0</v>
      </c>
      <c r="AU445">
        <v>0</v>
      </c>
      <c r="AV445" t="s">
        <v>709</v>
      </c>
      <c r="AY445" t="s">
        <v>1935</v>
      </c>
      <c r="BA445" s="4" t="s">
        <v>3808</v>
      </c>
      <c r="BB445" s="4" t="s">
        <v>3809</v>
      </c>
      <c r="BC445" t="s">
        <v>709</v>
      </c>
      <c r="BD445" t="s">
        <v>709</v>
      </c>
      <c r="BE445" t="s">
        <v>3722</v>
      </c>
      <c r="BF445" t="s">
        <v>709</v>
      </c>
      <c r="BG445" t="s">
        <v>709</v>
      </c>
      <c r="BI445" t="s">
        <v>709</v>
      </c>
      <c r="BJ445" t="s">
        <v>709</v>
      </c>
      <c r="BK445" t="s">
        <v>709</v>
      </c>
      <c r="BL445" t="s">
        <v>116</v>
      </c>
      <c r="BM445" t="s">
        <v>709</v>
      </c>
      <c r="BN445" t="s">
        <v>709</v>
      </c>
      <c r="BO445" t="s">
        <v>709</v>
      </c>
      <c r="BP445">
        <v>393</v>
      </c>
      <c r="BQ445" t="s">
        <v>709</v>
      </c>
      <c r="BR445" t="s">
        <v>709</v>
      </c>
      <c r="BS445" t="s">
        <v>709</v>
      </c>
      <c r="BT445" t="s">
        <v>745</v>
      </c>
      <c r="BU445" t="s">
        <v>709</v>
      </c>
      <c r="BV445" t="s">
        <v>745</v>
      </c>
      <c r="BW445" t="s">
        <v>709</v>
      </c>
      <c r="BX445" t="s">
        <v>745</v>
      </c>
      <c r="BY445" t="s">
        <v>745</v>
      </c>
      <c r="BZ445" t="s">
        <v>709</v>
      </c>
      <c r="CB445">
        <v>442</v>
      </c>
      <c r="CC445" t="b">
        <v>1</v>
      </c>
      <c r="CD445" t="s">
        <v>3810</v>
      </c>
      <c r="CE445" s="1482">
        <v>45880.734629629631</v>
      </c>
    </row>
    <row r="446" spans="1:83" x14ac:dyDescent="0.25">
      <c r="A446">
        <v>2022</v>
      </c>
      <c r="B446" t="s">
        <v>1073</v>
      </c>
      <c r="C446" t="s">
        <v>3742</v>
      </c>
      <c r="D446" t="s">
        <v>3743</v>
      </c>
      <c r="E446" t="s">
        <v>118</v>
      </c>
      <c r="F446" t="s">
        <v>738</v>
      </c>
      <c r="G446" t="s">
        <v>22</v>
      </c>
      <c r="H446" t="s">
        <v>2051</v>
      </c>
      <c r="I446">
        <v>44495</v>
      </c>
      <c r="J446" t="s">
        <v>2052</v>
      </c>
      <c r="K446">
        <v>44501</v>
      </c>
      <c r="L446">
        <v>6</v>
      </c>
      <c r="M446" t="s">
        <v>3058</v>
      </c>
      <c r="N446" t="s">
        <v>120</v>
      </c>
      <c r="O446">
        <v>44501</v>
      </c>
      <c r="P446" t="s">
        <v>739</v>
      </c>
      <c r="Q446">
        <v>2947.5</v>
      </c>
      <c r="R446" t="s">
        <v>1922</v>
      </c>
      <c r="S446" t="s">
        <v>709</v>
      </c>
      <c r="T446" t="s">
        <v>709</v>
      </c>
      <c r="U446">
        <v>2947.5</v>
      </c>
      <c r="AC446" t="s">
        <v>709</v>
      </c>
      <c r="AM446" t="s">
        <v>709</v>
      </c>
      <c r="AW446" s="4"/>
      <c r="AY446" t="s">
        <v>29</v>
      </c>
      <c r="BA446">
        <v>4</v>
      </c>
      <c r="BB446" s="4"/>
      <c r="BI446" t="s">
        <v>709</v>
      </c>
      <c r="BJ446" t="s">
        <v>709</v>
      </c>
      <c r="BK446" t="s">
        <v>709</v>
      </c>
      <c r="BL446" t="s">
        <v>116</v>
      </c>
      <c r="BM446" t="s">
        <v>709</v>
      </c>
      <c r="BN446" t="s">
        <v>709</v>
      </c>
      <c r="BO446" t="s">
        <v>709</v>
      </c>
      <c r="BP446" t="s">
        <v>709</v>
      </c>
      <c r="BQ446">
        <v>1469</v>
      </c>
      <c r="BR446">
        <v>2351</v>
      </c>
      <c r="BS446">
        <v>7386</v>
      </c>
      <c r="BT446" t="s">
        <v>745</v>
      </c>
      <c r="BU446" t="s">
        <v>709</v>
      </c>
      <c r="BV446" t="s">
        <v>745</v>
      </c>
      <c r="BW446" t="s">
        <v>709</v>
      </c>
      <c r="BX446" t="s">
        <v>709</v>
      </c>
      <c r="BY446" t="s">
        <v>745</v>
      </c>
      <c r="BZ446" t="s">
        <v>709</v>
      </c>
      <c r="CB446">
        <v>441</v>
      </c>
      <c r="CC446" t="b">
        <v>1</v>
      </c>
      <c r="CD446" t="s">
        <v>3811</v>
      </c>
      <c r="CE446" s="1482">
        <v>45880.7346412037</v>
      </c>
    </row>
    <row r="447" spans="1:83" ht="45" x14ac:dyDescent="0.25">
      <c r="A447">
        <v>2022</v>
      </c>
      <c r="B447" t="s">
        <v>1073</v>
      </c>
      <c r="C447" t="s">
        <v>210</v>
      </c>
      <c r="D447" t="s">
        <v>115</v>
      </c>
      <c r="E447" t="s">
        <v>966</v>
      </c>
      <c r="F447" t="s">
        <v>738</v>
      </c>
      <c r="G447" t="s">
        <v>2814</v>
      </c>
      <c r="H447" t="s">
        <v>3812</v>
      </c>
      <c r="I447">
        <v>44474</v>
      </c>
      <c r="J447" t="s">
        <v>3662</v>
      </c>
      <c r="K447">
        <v>44501</v>
      </c>
      <c r="L447">
        <v>27</v>
      </c>
      <c r="M447" t="s">
        <v>3812</v>
      </c>
      <c r="N447" t="s">
        <v>120</v>
      </c>
      <c r="O447">
        <v>44501</v>
      </c>
      <c r="P447" t="s">
        <v>739</v>
      </c>
      <c r="Q447">
        <v>2665</v>
      </c>
      <c r="R447" t="s">
        <v>1922</v>
      </c>
      <c r="S447" t="s">
        <v>709</v>
      </c>
      <c r="T447" t="s">
        <v>709</v>
      </c>
      <c r="U447">
        <v>2665</v>
      </c>
      <c r="AM447" t="s">
        <v>709</v>
      </c>
      <c r="AY447" t="s">
        <v>29</v>
      </c>
      <c r="BA447" t="s">
        <v>3808</v>
      </c>
      <c r="BB447" s="4" t="s">
        <v>3809</v>
      </c>
      <c r="BC447" t="s">
        <v>709</v>
      </c>
      <c r="BD447" t="s">
        <v>709</v>
      </c>
      <c r="BE447" t="s">
        <v>3722</v>
      </c>
      <c r="BF447" t="s">
        <v>709</v>
      </c>
      <c r="BG447" t="s">
        <v>709</v>
      </c>
      <c r="BI447" t="s">
        <v>709</v>
      </c>
      <c r="BJ447" t="s">
        <v>709</v>
      </c>
      <c r="BK447" t="s">
        <v>709</v>
      </c>
      <c r="BL447" t="s">
        <v>116</v>
      </c>
      <c r="BM447" t="s">
        <v>709</v>
      </c>
      <c r="BN447" t="s">
        <v>709</v>
      </c>
      <c r="BO447" t="s">
        <v>709</v>
      </c>
      <c r="BP447">
        <v>393</v>
      </c>
      <c r="BQ447" t="s">
        <v>709</v>
      </c>
      <c r="BR447" t="s">
        <v>709</v>
      </c>
      <c r="BS447" t="s">
        <v>709</v>
      </c>
      <c r="BT447" t="s">
        <v>745</v>
      </c>
      <c r="BU447" t="s">
        <v>709</v>
      </c>
      <c r="BV447" t="s">
        <v>745</v>
      </c>
      <c r="BW447" t="s">
        <v>709</v>
      </c>
      <c r="BX447" t="s">
        <v>745</v>
      </c>
      <c r="BY447" t="s">
        <v>745</v>
      </c>
      <c r="BZ447" t="s">
        <v>709</v>
      </c>
      <c r="CB447">
        <v>443</v>
      </c>
      <c r="CC447" t="b">
        <v>1</v>
      </c>
      <c r="CD447" t="s">
        <v>3813</v>
      </c>
      <c r="CE447" s="1482">
        <v>45880.7346412037</v>
      </c>
    </row>
    <row r="448" spans="1:83" ht="240" x14ac:dyDescent="0.25">
      <c r="A448">
        <v>2022</v>
      </c>
      <c r="B448" t="s">
        <v>771</v>
      </c>
      <c r="C448" t="s">
        <v>3814</v>
      </c>
      <c r="D448" t="s">
        <v>3815</v>
      </c>
      <c r="E448" t="s">
        <v>137</v>
      </c>
      <c r="F448" t="s">
        <v>738</v>
      </c>
      <c r="G448" t="s">
        <v>23</v>
      </c>
      <c r="H448" t="s">
        <v>59</v>
      </c>
      <c r="I448">
        <v>44440</v>
      </c>
      <c r="J448">
        <v>44538</v>
      </c>
      <c r="K448">
        <v>44502</v>
      </c>
      <c r="L448">
        <v>36</v>
      </c>
      <c r="N448" t="s">
        <v>120</v>
      </c>
      <c r="O448">
        <v>44501</v>
      </c>
      <c r="P448" t="s">
        <v>120</v>
      </c>
      <c r="Q448">
        <v>43675.758000000002</v>
      </c>
      <c r="R448">
        <v>0.09</v>
      </c>
      <c r="S448" t="s">
        <v>709</v>
      </c>
      <c r="T448" t="s">
        <v>709</v>
      </c>
      <c r="U448" t="s">
        <v>709</v>
      </c>
      <c r="V448">
        <v>1511</v>
      </c>
      <c r="X448">
        <v>469596.67</v>
      </c>
      <c r="Z448">
        <v>15689.53</v>
      </c>
      <c r="AA448">
        <v>485286.2</v>
      </c>
      <c r="AC448" t="s">
        <v>709</v>
      </c>
      <c r="AM448" t="s">
        <v>116</v>
      </c>
      <c r="AN448">
        <v>44691</v>
      </c>
      <c r="AO448">
        <v>11042498</v>
      </c>
      <c r="AP448">
        <v>471948.29</v>
      </c>
      <c r="AR448">
        <v>16674.009999999998</v>
      </c>
      <c r="AS448">
        <v>488622.3</v>
      </c>
      <c r="AT448">
        <v>3336.1</v>
      </c>
      <c r="AU448">
        <v>300.24900000000002</v>
      </c>
      <c r="AV448">
        <v>6415</v>
      </c>
      <c r="AW448" s="4" t="s">
        <v>3816</v>
      </c>
      <c r="AX448">
        <v>0</v>
      </c>
      <c r="AY448">
        <v>45008</v>
      </c>
      <c r="BA448" t="s">
        <v>3817</v>
      </c>
      <c r="BB448" s="4" t="s">
        <v>3818</v>
      </c>
      <c r="BC448" t="s">
        <v>116</v>
      </c>
      <c r="BD448" t="s">
        <v>709</v>
      </c>
      <c r="BE448" t="s">
        <v>2484</v>
      </c>
      <c r="BF448" t="s">
        <v>709</v>
      </c>
      <c r="BG448" t="s">
        <v>709</v>
      </c>
      <c r="BI448" t="s">
        <v>709</v>
      </c>
      <c r="BJ448" t="s">
        <v>709</v>
      </c>
      <c r="BK448" t="s">
        <v>709</v>
      </c>
      <c r="BL448" t="s">
        <v>116</v>
      </c>
      <c r="BM448" t="s">
        <v>709</v>
      </c>
      <c r="BN448" t="s">
        <v>709</v>
      </c>
      <c r="BO448" t="s">
        <v>709</v>
      </c>
      <c r="BP448" t="s">
        <v>709</v>
      </c>
      <c r="BQ448" t="s">
        <v>709</v>
      </c>
      <c r="BR448" t="s">
        <v>709</v>
      </c>
      <c r="BS448">
        <v>1511</v>
      </c>
      <c r="BT448" t="s">
        <v>745</v>
      </c>
      <c r="BU448" t="s">
        <v>709</v>
      </c>
      <c r="BV448" t="s">
        <v>745</v>
      </c>
      <c r="BW448" t="s">
        <v>709</v>
      </c>
      <c r="BX448" t="s">
        <v>745</v>
      </c>
      <c r="BY448" t="s">
        <v>745</v>
      </c>
      <c r="BZ448" t="s">
        <v>709</v>
      </c>
      <c r="CB448">
        <v>446</v>
      </c>
      <c r="CC448" t="b">
        <v>1</v>
      </c>
      <c r="CD448" t="s">
        <v>3819</v>
      </c>
      <c r="CE448" s="1482">
        <v>45880.734652777777</v>
      </c>
    </row>
    <row r="449" spans="1:83" ht="150" x14ac:dyDescent="0.25">
      <c r="A449">
        <v>2022</v>
      </c>
      <c r="B449" t="s">
        <v>730</v>
      </c>
      <c r="C449" t="s">
        <v>3820</v>
      </c>
      <c r="D449" t="s">
        <v>3821</v>
      </c>
      <c r="E449" t="s">
        <v>3822</v>
      </c>
      <c r="F449" t="s">
        <v>747</v>
      </c>
      <c r="G449" t="s">
        <v>347</v>
      </c>
      <c r="H449" t="s">
        <v>59</v>
      </c>
      <c r="I449">
        <v>44389</v>
      </c>
      <c r="J449">
        <v>44519</v>
      </c>
      <c r="K449">
        <v>44506</v>
      </c>
      <c r="L449">
        <v>13</v>
      </c>
      <c r="N449" t="s">
        <v>120</v>
      </c>
      <c r="O449">
        <v>44506</v>
      </c>
      <c r="P449" t="s">
        <v>120</v>
      </c>
      <c r="Q449">
        <v>21768.811600000001</v>
      </c>
      <c r="R449" t="s">
        <v>794</v>
      </c>
      <c r="S449" t="s">
        <v>709</v>
      </c>
      <c r="T449" t="s">
        <v>709</v>
      </c>
      <c r="U449" t="s">
        <v>709</v>
      </c>
      <c r="V449">
        <v>130</v>
      </c>
      <c r="X449">
        <v>138876.84</v>
      </c>
      <c r="Z449">
        <v>55462.12</v>
      </c>
      <c r="AA449">
        <v>194338.96</v>
      </c>
      <c r="AC449" t="s">
        <v>1177</v>
      </c>
      <c r="AM449" t="s">
        <v>116</v>
      </c>
      <c r="AN449">
        <v>44752</v>
      </c>
      <c r="AO449">
        <v>11038793</v>
      </c>
      <c r="AP449">
        <v>140007.04999999999</v>
      </c>
      <c r="AR449">
        <v>55586.25</v>
      </c>
      <c r="AS449">
        <v>195593.3</v>
      </c>
      <c r="AT449">
        <v>1254.3399999999999</v>
      </c>
      <c r="AU449">
        <v>106.6189</v>
      </c>
      <c r="AV449" t="s">
        <v>709</v>
      </c>
      <c r="AX449">
        <v>106.6189</v>
      </c>
      <c r="AY449">
        <v>45008</v>
      </c>
      <c r="BA449" t="s">
        <v>3823</v>
      </c>
      <c r="BB449" s="4" t="s">
        <v>3824</v>
      </c>
      <c r="BC449" t="s">
        <v>709</v>
      </c>
      <c r="BD449" t="s">
        <v>709</v>
      </c>
      <c r="BE449" t="s">
        <v>709</v>
      </c>
      <c r="BF449" t="s">
        <v>3825</v>
      </c>
      <c r="BG449" t="s">
        <v>709</v>
      </c>
      <c r="BI449" t="s">
        <v>709</v>
      </c>
      <c r="BJ449" t="s">
        <v>116</v>
      </c>
      <c r="BK449" t="s">
        <v>709</v>
      </c>
      <c r="BL449" t="s">
        <v>116</v>
      </c>
      <c r="BM449" t="s">
        <v>709</v>
      </c>
      <c r="BN449" t="s">
        <v>709</v>
      </c>
      <c r="BO449" t="s">
        <v>709</v>
      </c>
      <c r="BP449" t="s">
        <v>709</v>
      </c>
      <c r="BQ449" t="s">
        <v>709</v>
      </c>
      <c r="BR449">
        <v>81</v>
      </c>
      <c r="BS449">
        <v>49</v>
      </c>
      <c r="BT449" t="s">
        <v>745</v>
      </c>
      <c r="BU449">
        <v>1</v>
      </c>
      <c r="BV449" t="s">
        <v>745</v>
      </c>
      <c r="BW449" t="s">
        <v>709</v>
      </c>
      <c r="BX449">
        <v>1</v>
      </c>
      <c r="BY449" t="s">
        <v>745</v>
      </c>
      <c r="BZ449" t="s">
        <v>709</v>
      </c>
      <c r="CA449" t="s">
        <v>730</v>
      </c>
      <c r="CB449">
        <v>447</v>
      </c>
      <c r="CC449" t="b">
        <v>1</v>
      </c>
      <c r="CD449" t="s">
        <v>3826</v>
      </c>
      <c r="CE449" s="1482">
        <v>45880.734664351854</v>
      </c>
    </row>
    <row r="450" spans="1:83" x14ac:dyDescent="0.25">
      <c r="A450">
        <v>2021</v>
      </c>
      <c r="B450" t="s">
        <v>1073</v>
      </c>
      <c r="C450" t="s">
        <v>3671</v>
      </c>
      <c r="D450" t="s">
        <v>3827</v>
      </c>
      <c r="E450" t="s">
        <v>3673</v>
      </c>
      <c r="F450" t="s">
        <v>919</v>
      </c>
      <c r="G450" t="s">
        <v>347</v>
      </c>
      <c r="H450" t="s">
        <v>59</v>
      </c>
      <c r="I450">
        <v>44408</v>
      </c>
      <c r="J450">
        <v>44508</v>
      </c>
      <c r="K450">
        <v>44508</v>
      </c>
      <c r="L450">
        <v>0</v>
      </c>
      <c r="N450" t="s">
        <v>120</v>
      </c>
      <c r="O450">
        <v>44508</v>
      </c>
      <c r="P450" t="s">
        <v>739</v>
      </c>
      <c r="Q450">
        <v>37872.188699999999</v>
      </c>
      <c r="R450" t="s">
        <v>1055</v>
      </c>
      <c r="S450" t="s">
        <v>709</v>
      </c>
      <c r="T450" t="s">
        <v>709</v>
      </c>
      <c r="U450" t="s">
        <v>709</v>
      </c>
      <c r="V450">
        <v>392</v>
      </c>
      <c r="X450">
        <v>294999.12</v>
      </c>
      <c r="Z450">
        <v>59379.57</v>
      </c>
      <c r="AA450">
        <v>354378.69</v>
      </c>
      <c r="AC450" t="s">
        <v>709</v>
      </c>
      <c r="AM450" t="s">
        <v>116</v>
      </c>
      <c r="AN450">
        <v>44959</v>
      </c>
      <c r="AO450">
        <v>11037905</v>
      </c>
      <c r="AP450">
        <v>344089.91</v>
      </c>
      <c r="AR450">
        <v>62910.7</v>
      </c>
      <c r="AS450">
        <v>407000.61</v>
      </c>
      <c r="AT450">
        <v>52621.919999999998</v>
      </c>
      <c r="AU450">
        <v>4472.8631999999998</v>
      </c>
      <c r="AV450" t="s">
        <v>709</v>
      </c>
      <c r="AW450" t="s">
        <v>3828</v>
      </c>
      <c r="AX450">
        <v>4472.8631999999998</v>
      </c>
      <c r="AY450">
        <v>45200</v>
      </c>
      <c r="BA450" t="s">
        <v>3829</v>
      </c>
      <c r="BB450" t="s">
        <v>3830</v>
      </c>
      <c r="BC450" t="s">
        <v>709</v>
      </c>
      <c r="BD450" t="s">
        <v>2820</v>
      </c>
      <c r="BE450" t="s">
        <v>709</v>
      </c>
      <c r="BF450" t="s">
        <v>709</v>
      </c>
      <c r="BG450" t="s">
        <v>709</v>
      </c>
      <c r="BI450" t="s">
        <v>709</v>
      </c>
      <c r="BJ450" t="s">
        <v>709</v>
      </c>
      <c r="BK450" t="s">
        <v>116</v>
      </c>
      <c r="BL450" t="s">
        <v>116</v>
      </c>
      <c r="BM450" t="s">
        <v>709</v>
      </c>
      <c r="BN450" t="s">
        <v>709</v>
      </c>
      <c r="BO450" t="s">
        <v>709</v>
      </c>
      <c r="BP450" t="s">
        <v>709</v>
      </c>
      <c r="BQ450">
        <v>123</v>
      </c>
      <c r="BR450">
        <v>46</v>
      </c>
      <c r="BS450">
        <v>112</v>
      </c>
      <c r="BT450">
        <v>1</v>
      </c>
      <c r="BU450" t="s">
        <v>709</v>
      </c>
      <c r="BV450" t="s">
        <v>745</v>
      </c>
      <c r="BW450" t="s">
        <v>709</v>
      </c>
      <c r="BX450">
        <v>1</v>
      </c>
      <c r="BY450" t="s">
        <v>745</v>
      </c>
      <c r="BZ450" t="s">
        <v>709</v>
      </c>
      <c r="CB450">
        <v>448</v>
      </c>
      <c r="CC450" t="b">
        <v>1</v>
      </c>
      <c r="CD450" t="s">
        <v>3831</v>
      </c>
      <c r="CE450" s="1482">
        <v>45880.734664351854</v>
      </c>
    </row>
    <row r="451" spans="1:83" ht="150" x14ac:dyDescent="0.25">
      <c r="A451">
        <v>2022</v>
      </c>
      <c r="B451" t="s">
        <v>730</v>
      </c>
      <c r="C451" t="s">
        <v>3832</v>
      </c>
      <c r="D451" t="s">
        <v>3833</v>
      </c>
      <c r="E451" t="s">
        <v>3834</v>
      </c>
      <c r="F451" t="s">
        <v>747</v>
      </c>
      <c r="G451" t="s">
        <v>347</v>
      </c>
      <c r="H451" t="s">
        <v>59</v>
      </c>
      <c r="I451">
        <v>44389</v>
      </c>
      <c r="J451">
        <v>44519</v>
      </c>
      <c r="K451">
        <v>44508</v>
      </c>
      <c r="L451">
        <v>11</v>
      </c>
      <c r="N451" t="s">
        <v>120</v>
      </c>
      <c r="O451">
        <v>44508</v>
      </c>
      <c r="P451" t="s">
        <v>120</v>
      </c>
      <c r="Q451">
        <v>22402.610700000001</v>
      </c>
      <c r="R451" t="s">
        <v>794</v>
      </c>
      <c r="S451" t="s">
        <v>709</v>
      </c>
      <c r="T451" t="s">
        <v>709</v>
      </c>
      <c r="U451" t="s">
        <v>709</v>
      </c>
      <c r="V451">
        <v>66</v>
      </c>
      <c r="X451">
        <v>148424.64000000001</v>
      </c>
      <c r="Z451">
        <v>53370.78</v>
      </c>
      <c r="AA451">
        <v>201795.42</v>
      </c>
      <c r="AC451" t="s">
        <v>1177</v>
      </c>
      <c r="AM451" t="s">
        <v>116</v>
      </c>
      <c r="AN451">
        <v>44697</v>
      </c>
      <c r="AO451">
        <v>11038060</v>
      </c>
      <c r="AP451">
        <v>119957.26</v>
      </c>
      <c r="AR451">
        <v>52562.04</v>
      </c>
      <c r="AS451">
        <v>172519.3</v>
      </c>
      <c r="AT451">
        <v>-29276.12</v>
      </c>
      <c r="AU451">
        <v>-2488.4702000000002</v>
      </c>
      <c r="AV451" t="s">
        <v>709</v>
      </c>
      <c r="AW451" t="s">
        <v>3732</v>
      </c>
      <c r="AX451">
        <v>-2488.4702000000002</v>
      </c>
      <c r="AY451">
        <v>45008</v>
      </c>
      <c r="BA451" t="s">
        <v>3835</v>
      </c>
      <c r="BB451" s="4" t="s">
        <v>3824</v>
      </c>
      <c r="BC451" t="s">
        <v>709</v>
      </c>
      <c r="BD451" t="s">
        <v>3836</v>
      </c>
      <c r="BE451" t="s">
        <v>709</v>
      </c>
      <c r="BF451" t="s">
        <v>709</v>
      </c>
      <c r="BG451" t="s">
        <v>709</v>
      </c>
      <c r="BI451" t="s">
        <v>709</v>
      </c>
      <c r="BJ451" t="s">
        <v>116</v>
      </c>
      <c r="BK451" t="s">
        <v>709</v>
      </c>
      <c r="BL451" t="s">
        <v>116</v>
      </c>
      <c r="BM451" t="s">
        <v>709</v>
      </c>
      <c r="BN451" t="s">
        <v>709</v>
      </c>
      <c r="BO451" t="s">
        <v>709</v>
      </c>
      <c r="BP451" t="s">
        <v>709</v>
      </c>
      <c r="BQ451" t="s">
        <v>709</v>
      </c>
      <c r="BR451">
        <v>25</v>
      </c>
      <c r="BS451">
        <v>40</v>
      </c>
      <c r="BT451" t="s">
        <v>745</v>
      </c>
      <c r="BU451">
        <v>1</v>
      </c>
      <c r="BV451" t="s">
        <v>745</v>
      </c>
      <c r="BW451" t="s">
        <v>709</v>
      </c>
      <c r="BX451">
        <v>1</v>
      </c>
      <c r="BY451" t="s">
        <v>745</v>
      </c>
      <c r="BZ451" t="s">
        <v>709</v>
      </c>
      <c r="CA451" t="s">
        <v>730</v>
      </c>
      <c r="CB451">
        <v>449</v>
      </c>
      <c r="CC451" t="b">
        <v>1</v>
      </c>
      <c r="CD451" t="s">
        <v>3837</v>
      </c>
      <c r="CE451" s="1482">
        <v>45880.734675925924</v>
      </c>
    </row>
    <row r="452" spans="1:83" x14ac:dyDescent="0.25">
      <c r="A452">
        <v>2021</v>
      </c>
      <c r="B452" t="s">
        <v>4</v>
      </c>
      <c r="C452" t="s">
        <v>3377</v>
      </c>
      <c r="D452" t="s">
        <v>3378</v>
      </c>
      <c r="E452" t="s">
        <v>3379</v>
      </c>
      <c r="F452" t="s">
        <v>919</v>
      </c>
      <c r="G452" t="s">
        <v>36</v>
      </c>
      <c r="H452" t="s">
        <v>3178</v>
      </c>
      <c r="I452">
        <v>44327</v>
      </c>
      <c r="J452" t="s">
        <v>2052</v>
      </c>
      <c r="K452">
        <v>44509</v>
      </c>
      <c r="L452">
        <v>182</v>
      </c>
      <c r="M452" t="s">
        <v>3838</v>
      </c>
      <c r="N452" t="s">
        <v>120</v>
      </c>
      <c r="O452">
        <v>44531</v>
      </c>
      <c r="P452" t="s">
        <v>739</v>
      </c>
      <c r="Q452">
        <v>490</v>
      </c>
      <c r="R452" t="s">
        <v>1922</v>
      </c>
      <c r="S452" t="s">
        <v>709</v>
      </c>
      <c r="T452" t="s">
        <v>709</v>
      </c>
      <c r="U452">
        <v>490</v>
      </c>
      <c r="V452">
        <v>460</v>
      </c>
      <c r="X452">
        <v>67633.58</v>
      </c>
      <c r="Z452">
        <v>8020.71</v>
      </c>
      <c r="AA452">
        <v>75654.289999999994</v>
      </c>
      <c r="AM452" t="s">
        <v>709</v>
      </c>
      <c r="AY452" t="s">
        <v>29</v>
      </c>
      <c r="BA452">
        <v>12</v>
      </c>
      <c r="BI452" t="s">
        <v>709</v>
      </c>
      <c r="BJ452" t="s">
        <v>709</v>
      </c>
      <c r="BK452" t="s">
        <v>709</v>
      </c>
      <c r="BL452" t="s">
        <v>116</v>
      </c>
      <c r="BM452" t="s">
        <v>709</v>
      </c>
      <c r="BN452" t="s">
        <v>709</v>
      </c>
      <c r="BO452" t="s">
        <v>709</v>
      </c>
      <c r="BP452" t="s">
        <v>709</v>
      </c>
      <c r="BQ452" t="s">
        <v>709</v>
      </c>
      <c r="BR452" t="s">
        <v>709</v>
      </c>
      <c r="BS452">
        <v>460</v>
      </c>
      <c r="BT452" t="s">
        <v>745</v>
      </c>
      <c r="BU452" t="s">
        <v>709</v>
      </c>
      <c r="BV452" t="s">
        <v>745</v>
      </c>
      <c r="BW452" t="s">
        <v>709</v>
      </c>
      <c r="BX452" t="s">
        <v>745</v>
      </c>
      <c r="BY452" t="s">
        <v>745</v>
      </c>
      <c r="BZ452" t="s">
        <v>709</v>
      </c>
      <c r="CB452">
        <v>450</v>
      </c>
      <c r="CC452" t="b">
        <v>1</v>
      </c>
      <c r="CD452" t="s">
        <v>3839</v>
      </c>
      <c r="CE452" s="1482">
        <v>45880.7346875</v>
      </c>
    </row>
    <row r="453" spans="1:83" ht="315" x14ac:dyDescent="0.25">
      <c r="A453">
        <v>2022</v>
      </c>
      <c r="B453" t="s">
        <v>771</v>
      </c>
      <c r="C453" t="s">
        <v>3840</v>
      </c>
      <c r="D453" t="s">
        <v>3841</v>
      </c>
      <c r="E453" t="s">
        <v>3710</v>
      </c>
      <c r="F453" t="s">
        <v>738</v>
      </c>
      <c r="G453" t="s">
        <v>1882</v>
      </c>
      <c r="H453" t="s">
        <v>59</v>
      </c>
      <c r="I453">
        <v>44408</v>
      </c>
      <c r="J453">
        <v>44512</v>
      </c>
      <c r="K453">
        <v>44510</v>
      </c>
      <c r="L453">
        <v>2</v>
      </c>
      <c r="N453" t="s">
        <v>120</v>
      </c>
      <c r="O453">
        <v>44510</v>
      </c>
      <c r="P453" t="s">
        <v>120</v>
      </c>
      <c r="Q453">
        <v>92568.983399999997</v>
      </c>
      <c r="R453">
        <v>0.09</v>
      </c>
      <c r="S453" t="s">
        <v>709</v>
      </c>
      <c r="T453" t="s">
        <v>709</v>
      </c>
      <c r="U453" t="s">
        <v>709</v>
      </c>
      <c r="V453">
        <v>5113</v>
      </c>
      <c r="X453">
        <v>956765.27</v>
      </c>
      <c r="Z453">
        <v>71778.990000000005</v>
      </c>
      <c r="AA453">
        <v>1028544.26</v>
      </c>
      <c r="AC453" t="s">
        <v>709</v>
      </c>
      <c r="AM453" t="s">
        <v>116</v>
      </c>
      <c r="AN453">
        <v>44594</v>
      </c>
      <c r="AO453">
        <v>11038206</v>
      </c>
      <c r="AP453">
        <v>973589.5</v>
      </c>
      <c r="AR453">
        <v>72007.360000000001</v>
      </c>
      <c r="AS453">
        <v>1045596.86</v>
      </c>
      <c r="AT453">
        <v>17052.599999999999</v>
      </c>
      <c r="AU453">
        <v>1534.7339999999999</v>
      </c>
      <c r="AV453" t="s">
        <v>709</v>
      </c>
      <c r="AX453">
        <v>1534.7339999999999</v>
      </c>
      <c r="AY453">
        <v>45008</v>
      </c>
      <c r="BA453" s="4" t="s">
        <v>3842</v>
      </c>
      <c r="BB453" t="s">
        <v>3843</v>
      </c>
      <c r="BC453" t="s">
        <v>116</v>
      </c>
      <c r="BD453" t="s">
        <v>709</v>
      </c>
      <c r="BE453" t="s">
        <v>3712</v>
      </c>
      <c r="BF453" t="s">
        <v>709</v>
      </c>
      <c r="BG453" t="s">
        <v>709</v>
      </c>
      <c r="BI453" t="s">
        <v>709</v>
      </c>
      <c r="BJ453" t="s">
        <v>709</v>
      </c>
      <c r="BK453" t="s">
        <v>709</v>
      </c>
      <c r="BL453" t="s">
        <v>116</v>
      </c>
      <c r="BM453" t="s">
        <v>709</v>
      </c>
      <c r="BN453" t="s">
        <v>709</v>
      </c>
      <c r="BO453" t="s">
        <v>709</v>
      </c>
      <c r="BP453" t="s">
        <v>709</v>
      </c>
      <c r="BQ453">
        <v>803</v>
      </c>
      <c r="BR453">
        <v>3402</v>
      </c>
      <c r="BS453">
        <v>908</v>
      </c>
      <c r="BT453" t="s">
        <v>745</v>
      </c>
      <c r="BU453" t="s">
        <v>709</v>
      </c>
      <c r="BV453" t="s">
        <v>745</v>
      </c>
      <c r="BW453" t="s">
        <v>709</v>
      </c>
      <c r="BX453" t="s">
        <v>745</v>
      </c>
      <c r="BY453" t="s">
        <v>745</v>
      </c>
      <c r="BZ453" t="s">
        <v>709</v>
      </c>
      <c r="CB453">
        <v>451</v>
      </c>
      <c r="CC453" t="b">
        <v>1</v>
      </c>
      <c r="CD453" t="s">
        <v>3844</v>
      </c>
      <c r="CE453" s="1482">
        <v>45880.7346875</v>
      </c>
    </row>
    <row r="454" spans="1:83" ht="165" x14ac:dyDescent="0.25">
      <c r="A454">
        <v>2022</v>
      </c>
      <c r="B454" t="s">
        <v>1205</v>
      </c>
      <c r="C454" t="s">
        <v>3845</v>
      </c>
      <c r="D454" t="s">
        <v>3846</v>
      </c>
      <c r="E454" t="s">
        <v>361</v>
      </c>
      <c r="F454" t="s">
        <v>752</v>
      </c>
      <c r="G454" t="s">
        <v>22</v>
      </c>
      <c r="H454" t="s">
        <v>3661</v>
      </c>
      <c r="I454">
        <v>44438</v>
      </c>
      <c r="J454" t="s">
        <v>3662</v>
      </c>
      <c r="K454">
        <v>44511</v>
      </c>
      <c r="L454">
        <v>73</v>
      </c>
      <c r="M454" t="s">
        <v>3847</v>
      </c>
      <c r="N454" t="s">
        <v>120</v>
      </c>
      <c r="O454">
        <v>44554</v>
      </c>
      <c r="P454" t="s">
        <v>739</v>
      </c>
      <c r="Q454">
        <v>3660</v>
      </c>
      <c r="R454" t="s">
        <v>1922</v>
      </c>
      <c r="S454" t="s">
        <v>709</v>
      </c>
      <c r="T454" t="s">
        <v>709</v>
      </c>
      <c r="U454">
        <v>3660</v>
      </c>
      <c r="AB454" t="s">
        <v>29</v>
      </c>
      <c r="AC454" t="s">
        <v>29</v>
      </c>
      <c r="AD454" t="s">
        <v>29</v>
      </c>
      <c r="AM454" t="s">
        <v>709</v>
      </c>
      <c r="AY454" t="s">
        <v>29</v>
      </c>
      <c r="BA454" t="s">
        <v>3848</v>
      </c>
      <c r="BB454" s="4" t="s">
        <v>3849</v>
      </c>
      <c r="BC454" t="s">
        <v>116</v>
      </c>
      <c r="BD454" t="s">
        <v>882</v>
      </c>
      <c r="BE454" t="s">
        <v>709</v>
      </c>
      <c r="BF454" t="s">
        <v>709</v>
      </c>
      <c r="BG454" t="s">
        <v>709</v>
      </c>
      <c r="BI454" t="s">
        <v>709</v>
      </c>
      <c r="BJ454" t="s">
        <v>709</v>
      </c>
      <c r="BK454" t="s">
        <v>709</v>
      </c>
      <c r="BL454" t="s">
        <v>709</v>
      </c>
      <c r="BM454" t="s">
        <v>709</v>
      </c>
      <c r="BN454" t="s">
        <v>709</v>
      </c>
      <c r="BO454" t="s">
        <v>709</v>
      </c>
      <c r="BP454" t="s">
        <v>709</v>
      </c>
      <c r="BQ454" t="s">
        <v>709</v>
      </c>
      <c r="BR454" t="s">
        <v>709</v>
      </c>
      <c r="BS454" t="s">
        <v>709</v>
      </c>
      <c r="BT454" t="s">
        <v>745</v>
      </c>
      <c r="BU454" t="s">
        <v>709</v>
      </c>
      <c r="BV454">
        <v>5</v>
      </c>
      <c r="BW454" t="s">
        <v>709</v>
      </c>
      <c r="BX454" t="s">
        <v>745</v>
      </c>
      <c r="BY454" t="s">
        <v>745</v>
      </c>
      <c r="BZ454" t="s">
        <v>709</v>
      </c>
      <c r="CA454" t="s">
        <v>2</v>
      </c>
      <c r="CB454">
        <v>453</v>
      </c>
      <c r="CC454" t="b">
        <v>1</v>
      </c>
      <c r="CD454" t="s">
        <v>3850</v>
      </c>
      <c r="CE454" s="1482">
        <v>45880.734699074077</v>
      </c>
    </row>
    <row r="455" spans="1:83" ht="240" x14ac:dyDescent="0.25">
      <c r="A455">
        <v>2022</v>
      </c>
      <c r="B455" t="s">
        <v>2989</v>
      </c>
      <c r="C455" t="s">
        <v>3845</v>
      </c>
      <c r="D455" t="s">
        <v>3846</v>
      </c>
      <c r="E455" t="s">
        <v>361</v>
      </c>
      <c r="F455" t="s">
        <v>752</v>
      </c>
      <c r="G455" t="s">
        <v>22</v>
      </c>
      <c r="H455" t="s">
        <v>59</v>
      </c>
      <c r="I455">
        <v>44438</v>
      </c>
      <c r="J455">
        <v>44533</v>
      </c>
      <c r="K455">
        <v>44511</v>
      </c>
      <c r="L455">
        <v>22</v>
      </c>
      <c r="N455" t="s">
        <v>120</v>
      </c>
      <c r="O455">
        <v>44511</v>
      </c>
      <c r="P455" t="s">
        <v>739</v>
      </c>
      <c r="Q455">
        <v>15521.131799999999</v>
      </c>
      <c r="R455">
        <v>0.09</v>
      </c>
      <c r="S455" t="s">
        <v>709</v>
      </c>
      <c r="T455" t="s">
        <v>709</v>
      </c>
      <c r="U455" t="s">
        <v>709</v>
      </c>
      <c r="V455">
        <v>354</v>
      </c>
      <c r="X455">
        <v>0</v>
      </c>
      <c r="Z455">
        <v>172457.02</v>
      </c>
      <c r="AA455">
        <v>172457.02</v>
      </c>
      <c r="AC455" t="s">
        <v>709</v>
      </c>
      <c r="AM455" t="s">
        <v>116</v>
      </c>
      <c r="AN455">
        <v>44594</v>
      </c>
      <c r="AO455">
        <v>11039336</v>
      </c>
      <c r="AP455">
        <v>0</v>
      </c>
      <c r="AR455">
        <v>174263.26</v>
      </c>
      <c r="AS455">
        <v>174263.26</v>
      </c>
      <c r="AT455">
        <v>1806.24</v>
      </c>
      <c r="AU455">
        <v>162.5616</v>
      </c>
      <c r="AV455">
        <v>7982.5</v>
      </c>
      <c r="AW455" s="4" t="s">
        <v>3851</v>
      </c>
      <c r="AX455">
        <v>0</v>
      </c>
      <c r="AY455">
        <v>45008</v>
      </c>
      <c r="BA455" t="s">
        <v>3848</v>
      </c>
      <c r="BB455" s="4" t="s">
        <v>3849</v>
      </c>
      <c r="BC455" t="s">
        <v>116</v>
      </c>
      <c r="BD455" t="s">
        <v>882</v>
      </c>
      <c r="BE455" t="s">
        <v>709</v>
      </c>
      <c r="BF455" t="s">
        <v>709</v>
      </c>
      <c r="BG455" t="s">
        <v>709</v>
      </c>
      <c r="BI455" t="s">
        <v>709</v>
      </c>
      <c r="BJ455" t="s">
        <v>709</v>
      </c>
      <c r="BK455" t="s">
        <v>709</v>
      </c>
      <c r="BL455" t="s">
        <v>709</v>
      </c>
      <c r="BM455" t="s">
        <v>709</v>
      </c>
      <c r="BN455" t="s">
        <v>709</v>
      </c>
      <c r="BO455" t="s">
        <v>709</v>
      </c>
      <c r="BP455" t="s">
        <v>709</v>
      </c>
      <c r="BQ455" t="s">
        <v>709</v>
      </c>
      <c r="BR455" t="s">
        <v>709</v>
      </c>
      <c r="BS455" t="s">
        <v>709</v>
      </c>
      <c r="BT455" t="s">
        <v>745</v>
      </c>
      <c r="BU455" t="s">
        <v>709</v>
      </c>
      <c r="BV455">
        <v>5</v>
      </c>
      <c r="BW455" t="s">
        <v>709</v>
      </c>
      <c r="BX455" t="s">
        <v>745</v>
      </c>
      <c r="BY455" t="s">
        <v>745</v>
      </c>
      <c r="BZ455" t="s">
        <v>709</v>
      </c>
      <c r="CA455" t="s">
        <v>2</v>
      </c>
      <c r="CB455">
        <v>452</v>
      </c>
      <c r="CC455" t="b">
        <v>1</v>
      </c>
      <c r="CD455" t="s">
        <v>3850</v>
      </c>
      <c r="CE455" s="1482">
        <v>45880.734710648147</v>
      </c>
    </row>
    <row r="456" spans="1:83" x14ac:dyDescent="0.25">
      <c r="A456">
        <v>2020</v>
      </c>
      <c r="B456" t="s">
        <v>4</v>
      </c>
      <c r="C456" t="s">
        <v>2455</v>
      </c>
      <c r="D456">
        <v>120459</v>
      </c>
      <c r="E456" t="s">
        <v>2457</v>
      </c>
      <c r="F456" t="s">
        <v>919</v>
      </c>
      <c r="G456" t="s">
        <v>40</v>
      </c>
      <c r="H456" t="s">
        <v>3852</v>
      </c>
      <c r="I456">
        <v>44510</v>
      </c>
      <c r="J456" t="s">
        <v>2052</v>
      </c>
      <c r="K456">
        <v>44516</v>
      </c>
      <c r="L456">
        <v>6</v>
      </c>
      <c r="M456" t="s">
        <v>3853</v>
      </c>
      <c r="N456" t="s">
        <v>120</v>
      </c>
      <c r="O456">
        <v>44531</v>
      </c>
      <c r="P456" t="s">
        <v>739</v>
      </c>
      <c r="Q456">
        <v>4142.5</v>
      </c>
      <c r="R456" t="s">
        <v>1922</v>
      </c>
      <c r="S456" t="s">
        <v>709</v>
      </c>
      <c r="T456" t="s">
        <v>709</v>
      </c>
      <c r="U456">
        <v>4142.5</v>
      </c>
      <c r="AM456" t="s">
        <v>709</v>
      </c>
      <c r="AY456" t="s">
        <v>29</v>
      </c>
      <c r="BA456">
        <v>1</v>
      </c>
      <c r="BI456" t="s">
        <v>709</v>
      </c>
      <c r="BJ456" t="s">
        <v>709</v>
      </c>
      <c r="BK456" t="s">
        <v>709</v>
      </c>
      <c r="BL456" t="s">
        <v>116</v>
      </c>
      <c r="BM456" t="s">
        <v>709</v>
      </c>
      <c r="BN456" t="s">
        <v>709</v>
      </c>
      <c r="BO456" t="s">
        <v>709</v>
      </c>
      <c r="BP456" t="s">
        <v>709</v>
      </c>
      <c r="BQ456">
        <v>4809</v>
      </c>
      <c r="BR456" t="s">
        <v>709</v>
      </c>
      <c r="BS456">
        <v>347</v>
      </c>
      <c r="BT456" t="s">
        <v>745</v>
      </c>
      <c r="BU456" t="s">
        <v>709</v>
      </c>
      <c r="BV456" t="s">
        <v>745</v>
      </c>
      <c r="BW456" t="s">
        <v>709</v>
      </c>
      <c r="BX456" t="s">
        <v>745</v>
      </c>
      <c r="BY456" t="s">
        <v>745</v>
      </c>
      <c r="BZ456" t="s">
        <v>709</v>
      </c>
      <c r="CB456">
        <v>454</v>
      </c>
      <c r="CC456" t="b">
        <v>1</v>
      </c>
      <c r="CD456" t="s">
        <v>3854</v>
      </c>
      <c r="CE456" s="1482">
        <v>45880.734710648147</v>
      </c>
    </row>
    <row r="457" spans="1:83" x14ac:dyDescent="0.25">
      <c r="A457">
        <v>2022</v>
      </c>
      <c r="B457" t="s">
        <v>771</v>
      </c>
      <c r="C457" t="s">
        <v>215</v>
      </c>
      <c r="D457" t="s">
        <v>3855</v>
      </c>
      <c r="E457" t="s">
        <v>111</v>
      </c>
      <c r="F457" t="s">
        <v>738</v>
      </c>
      <c r="G457" t="s">
        <v>2814</v>
      </c>
      <c r="H457" t="s">
        <v>59</v>
      </c>
      <c r="I457">
        <v>44440</v>
      </c>
      <c r="J457">
        <v>44531</v>
      </c>
      <c r="K457">
        <v>44517</v>
      </c>
      <c r="L457">
        <v>14</v>
      </c>
      <c r="N457" t="s">
        <v>120</v>
      </c>
      <c r="O457">
        <v>44519</v>
      </c>
      <c r="P457" t="s">
        <v>120</v>
      </c>
      <c r="Q457">
        <v>9413.15</v>
      </c>
      <c r="R457" t="s">
        <v>2087</v>
      </c>
      <c r="S457" t="s">
        <v>709</v>
      </c>
      <c r="T457" t="s">
        <v>709</v>
      </c>
      <c r="U457" t="s">
        <v>709</v>
      </c>
      <c r="V457">
        <v>6073</v>
      </c>
      <c r="X457">
        <v>701019.07</v>
      </c>
      <c r="Z457">
        <v>29896.59</v>
      </c>
      <c r="AA457">
        <v>730915.66</v>
      </c>
      <c r="AC457" t="s">
        <v>116</v>
      </c>
      <c r="AM457" t="s">
        <v>709</v>
      </c>
      <c r="AY457" t="s">
        <v>29</v>
      </c>
      <c r="BA457" t="s">
        <v>3856</v>
      </c>
      <c r="BB457" t="s">
        <v>1114</v>
      </c>
      <c r="BC457" t="s">
        <v>709</v>
      </c>
      <c r="BD457" t="s">
        <v>709</v>
      </c>
      <c r="BE457" t="s">
        <v>1114</v>
      </c>
      <c r="BF457" t="s">
        <v>709</v>
      </c>
      <c r="BG457" t="s">
        <v>709</v>
      </c>
      <c r="BI457" t="s">
        <v>709</v>
      </c>
      <c r="BJ457" t="s">
        <v>709</v>
      </c>
      <c r="BK457" t="s">
        <v>709</v>
      </c>
      <c r="BL457" t="s">
        <v>116</v>
      </c>
      <c r="BM457" t="s">
        <v>709</v>
      </c>
      <c r="BN457" t="s">
        <v>709</v>
      </c>
      <c r="BO457" t="s">
        <v>709</v>
      </c>
      <c r="BP457" t="s">
        <v>709</v>
      </c>
      <c r="BQ457">
        <v>508</v>
      </c>
      <c r="BR457" t="s">
        <v>709</v>
      </c>
      <c r="BS457">
        <v>5565</v>
      </c>
      <c r="BT457" t="s">
        <v>745</v>
      </c>
      <c r="BU457" t="s">
        <v>709</v>
      </c>
      <c r="BV457" t="s">
        <v>745</v>
      </c>
      <c r="BW457" t="s">
        <v>709</v>
      </c>
      <c r="BX457" t="s">
        <v>745</v>
      </c>
      <c r="BY457" t="s">
        <v>745</v>
      </c>
      <c r="BZ457" t="s">
        <v>709</v>
      </c>
      <c r="CB457">
        <v>455</v>
      </c>
      <c r="CC457" t="b">
        <v>1</v>
      </c>
      <c r="CD457" t="s">
        <v>3857</v>
      </c>
      <c r="CE457" s="1482">
        <v>45880.734722222223</v>
      </c>
    </row>
    <row r="458" spans="1:83" ht="270" x14ac:dyDescent="0.25">
      <c r="A458">
        <v>2021</v>
      </c>
      <c r="B458" t="s">
        <v>1073</v>
      </c>
      <c r="C458" t="s">
        <v>3858</v>
      </c>
      <c r="D458" t="s">
        <v>3859</v>
      </c>
      <c r="E458" t="s">
        <v>111</v>
      </c>
      <c r="F458" t="s">
        <v>738</v>
      </c>
      <c r="G458" t="s">
        <v>1882</v>
      </c>
      <c r="H458" t="s">
        <v>59</v>
      </c>
      <c r="I458">
        <v>44488</v>
      </c>
      <c r="J458">
        <v>44547</v>
      </c>
      <c r="K458">
        <v>44524</v>
      </c>
      <c r="L458">
        <v>23</v>
      </c>
      <c r="N458" t="s">
        <v>120</v>
      </c>
      <c r="O458">
        <v>44531</v>
      </c>
      <c r="P458" t="s">
        <v>739</v>
      </c>
      <c r="Q458">
        <v>16524.4002</v>
      </c>
      <c r="R458">
        <v>7.0000000000000007E-2</v>
      </c>
      <c r="S458" t="s">
        <v>709</v>
      </c>
      <c r="T458" t="s">
        <v>709</v>
      </c>
      <c r="U458" t="s">
        <v>709</v>
      </c>
      <c r="V458">
        <v>1107</v>
      </c>
      <c r="X458">
        <v>236062.86</v>
      </c>
      <c r="AA458">
        <v>236062.86</v>
      </c>
      <c r="AC458" t="s">
        <v>116</v>
      </c>
      <c r="AM458" t="s">
        <v>116</v>
      </c>
      <c r="AN458">
        <v>44616</v>
      </c>
      <c r="AO458">
        <v>11039497</v>
      </c>
      <c r="AP458">
        <v>235416.05</v>
      </c>
      <c r="AR458">
        <v>0</v>
      </c>
      <c r="AS458">
        <v>235416.05</v>
      </c>
      <c r="AT458">
        <v>-646.80999999999995</v>
      </c>
      <c r="AU458">
        <v>-45.276699999999998</v>
      </c>
      <c r="AV458">
        <v>4215</v>
      </c>
      <c r="AW458" s="4" t="s">
        <v>3860</v>
      </c>
      <c r="AX458">
        <v>0</v>
      </c>
      <c r="AY458">
        <v>45008</v>
      </c>
      <c r="BA458" s="4" t="s">
        <v>3861</v>
      </c>
      <c r="BB458" s="4" t="s">
        <v>3862</v>
      </c>
      <c r="BC458" t="s">
        <v>709</v>
      </c>
      <c r="BD458" t="s">
        <v>709</v>
      </c>
      <c r="BE458" t="s">
        <v>1114</v>
      </c>
      <c r="BF458" t="s">
        <v>709</v>
      </c>
      <c r="BG458" t="s">
        <v>709</v>
      </c>
      <c r="BI458" t="s">
        <v>709</v>
      </c>
      <c r="BJ458" t="s">
        <v>709</v>
      </c>
      <c r="BK458" t="s">
        <v>709</v>
      </c>
      <c r="BL458" t="s">
        <v>116</v>
      </c>
      <c r="BM458" t="s">
        <v>709</v>
      </c>
      <c r="BN458" t="s">
        <v>709</v>
      </c>
      <c r="BO458" t="s">
        <v>709</v>
      </c>
      <c r="BP458">
        <v>78</v>
      </c>
      <c r="BQ458">
        <v>1029</v>
      </c>
      <c r="BR458" t="s">
        <v>709</v>
      </c>
      <c r="BS458" t="s">
        <v>709</v>
      </c>
      <c r="BT458" t="s">
        <v>709</v>
      </c>
      <c r="BU458" t="s">
        <v>709</v>
      </c>
      <c r="BV458" t="s">
        <v>745</v>
      </c>
      <c r="BW458" t="s">
        <v>709</v>
      </c>
      <c r="BX458" t="s">
        <v>709</v>
      </c>
      <c r="BY458" t="s">
        <v>745</v>
      </c>
      <c r="BZ458" t="s">
        <v>709</v>
      </c>
      <c r="CB458">
        <v>456</v>
      </c>
      <c r="CC458" t="b">
        <v>1</v>
      </c>
      <c r="CD458" t="s">
        <v>3863</v>
      </c>
      <c r="CE458" s="1482">
        <v>45880.734733796293</v>
      </c>
    </row>
    <row r="459" spans="1:83" x14ac:dyDescent="0.25">
      <c r="A459">
        <v>2021</v>
      </c>
      <c r="B459" t="s">
        <v>771</v>
      </c>
      <c r="C459" t="s">
        <v>1228</v>
      </c>
      <c r="D459" t="s">
        <v>1229</v>
      </c>
      <c r="E459" t="s">
        <v>104</v>
      </c>
      <c r="F459" t="s">
        <v>738</v>
      </c>
      <c r="G459" t="s">
        <v>347</v>
      </c>
      <c r="H459" t="s">
        <v>59</v>
      </c>
      <c r="I459">
        <v>44250</v>
      </c>
      <c r="J459">
        <v>44526</v>
      </c>
      <c r="K459">
        <v>44524</v>
      </c>
      <c r="L459">
        <v>2</v>
      </c>
      <c r="N459" t="s">
        <v>120</v>
      </c>
      <c r="O459">
        <v>44531</v>
      </c>
      <c r="P459" t="s">
        <v>120</v>
      </c>
      <c r="Q459">
        <v>100097.7831</v>
      </c>
      <c r="R459">
        <v>0.09</v>
      </c>
      <c r="S459" t="s">
        <v>709</v>
      </c>
      <c r="T459" t="s">
        <v>709</v>
      </c>
      <c r="U459" t="s">
        <v>709</v>
      </c>
      <c r="V459">
        <v>1526</v>
      </c>
      <c r="X459">
        <v>1031524.91</v>
      </c>
      <c r="Z459">
        <v>80672.679999999993</v>
      </c>
      <c r="AA459">
        <v>1112197.5900000001</v>
      </c>
      <c r="AC459" t="s">
        <v>709</v>
      </c>
      <c r="AM459" t="s">
        <v>116</v>
      </c>
      <c r="AN459" t="s">
        <v>709</v>
      </c>
      <c r="AO459" t="s">
        <v>115</v>
      </c>
      <c r="AS459">
        <v>0</v>
      </c>
      <c r="AT459">
        <v>0</v>
      </c>
      <c r="AU459">
        <v>0</v>
      </c>
      <c r="AY459" t="s">
        <v>709</v>
      </c>
      <c r="AZ459">
        <v>22</v>
      </c>
      <c r="BA459" t="s">
        <v>1230</v>
      </c>
      <c r="BB459" t="s">
        <v>1231</v>
      </c>
      <c r="BC459" t="s">
        <v>709</v>
      </c>
      <c r="BD459" t="s">
        <v>709</v>
      </c>
      <c r="BE459" t="s">
        <v>1232</v>
      </c>
      <c r="BF459" t="s">
        <v>709</v>
      </c>
      <c r="BG459" t="s">
        <v>709</v>
      </c>
      <c r="BI459" t="s">
        <v>709</v>
      </c>
      <c r="BJ459" t="s">
        <v>709</v>
      </c>
      <c r="BK459" t="s">
        <v>709</v>
      </c>
      <c r="BL459" t="s">
        <v>116</v>
      </c>
      <c r="BM459" t="s">
        <v>709</v>
      </c>
      <c r="BN459" t="s">
        <v>709</v>
      </c>
      <c r="BO459" t="s">
        <v>709</v>
      </c>
      <c r="BP459" t="s">
        <v>709</v>
      </c>
      <c r="BQ459">
        <v>1299</v>
      </c>
      <c r="BR459">
        <v>170</v>
      </c>
      <c r="BS459">
        <v>57</v>
      </c>
      <c r="BT459" t="s">
        <v>745</v>
      </c>
      <c r="BU459" t="s">
        <v>709</v>
      </c>
      <c r="BV459" t="s">
        <v>745</v>
      </c>
      <c r="BW459" t="s">
        <v>709</v>
      </c>
      <c r="BX459" t="s">
        <v>745</v>
      </c>
      <c r="BY459" t="s">
        <v>745</v>
      </c>
      <c r="BZ459" t="s">
        <v>709</v>
      </c>
      <c r="CB459">
        <v>457</v>
      </c>
      <c r="CC459" t="b">
        <v>1</v>
      </c>
      <c r="CD459" t="s">
        <v>3864</v>
      </c>
      <c r="CE459" s="1482">
        <v>45880.73474537037</v>
      </c>
    </row>
    <row r="460" spans="1:83" x14ac:dyDescent="0.25">
      <c r="A460">
        <v>2021</v>
      </c>
      <c r="B460" t="s">
        <v>4</v>
      </c>
      <c r="C460" t="s">
        <v>3307</v>
      </c>
      <c r="D460" t="s">
        <v>3308</v>
      </c>
      <c r="E460" t="s">
        <v>1573</v>
      </c>
      <c r="F460" t="s">
        <v>919</v>
      </c>
      <c r="G460" t="s">
        <v>1882</v>
      </c>
      <c r="H460" t="s">
        <v>3178</v>
      </c>
      <c r="I460">
        <v>43909</v>
      </c>
      <c r="J460" t="s">
        <v>2052</v>
      </c>
      <c r="K460">
        <v>44524</v>
      </c>
      <c r="L460">
        <v>615</v>
      </c>
      <c r="M460" t="s">
        <v>3865</v>
      </c>
      <c r="N460" t="s">
        <v>120</v>
      </c>
      <c r="O460">
        <v>44531</v>
      </c>
      <c r="P460" t="s">
        <v>739</v>
      </c>
      <c r="Q460">
        <v>9317.5</v>
      </c>
      <c r="R460" t="s">
        <v>1922</v>
      </c>
      <c r="S460" t="s">
        <v>709</v>
      </c>
      <c r="T460" t="s">
        <v>709</v>
      </c>
      <c r="U460">
        <v>9317.5</v>
      </c>
      <c r="V460">
        <v>2043</v>
      </c>
      <c r="X460">
        <v>355254.3</v>
      </c>
      <c r="Z460">
        <v>111081.34</v>
      </c>
      <c r="AA460">
        <v>466335.64</v>
      </c>
      <c r="AM460" t="s">
        <v>709</v>
      </c>
      <c r="AY460" t="s">
        <v>29</v>
      </c>
      <c r="BA460">
        <v>12</v>
      </c>
      <c r="BI460" t="s">
        <v>709</v>
      </c>
      <c r="BJ460" t="s">
        <v>709</v>
      </c>
      <c r="BK460" t="s">
        <v>709</v>
      </c>
      <c r="BL460" t="s">
        <v>116</v>
      </c>
      <c r="BM460" t="s">
        <v>709</v>
      </c>
      <c r="BN460" t="s">
        <v>709</v>
      </c>
      <c r="BO460" t="s">
        <v>709</v>
      </c>
      <c r="BP460">
        <v>161</v>
      </c>
      <c r="BQ460">
        <v>913</v>
      </c>
      <c r="BR460" t="s">
        <v>709</v>
      </c>
      <c r="BS460">
        <v>948</v>
      </c>
      <c r="BT460" t="s">
        <v>745</v>
      </c>
      <c r="BU460" t="s">
        <v>709</v>
      </c>
      <c r="BV460" t="s">
        <v>745</v>
      </c>
      <c r="BW460" t="s">
        <v>709</v>
      </c>
      <c r="BX460" t="s">
        <v>745</v>
      </c>
      <c r="BY460" t="s">
        <v>745</v>
      </c>
      <c r="BZ460" t="s">
        <v>709</v>
      </c>
      <c r="CB460">
        <v>458</v>
      </c>
      <c r="CC460" t="b">
        <v>1</v>
      </c>
      <c r="CD460" t="s">
        <v>3866</v>
      </c>
      <c r="CE460" s="1482">
        <v>45880.734756944446</v>
      </c>
    </row>
    <row r="461" spans="1:83" x14ac:dyDescent="0.25">
      <c r="A461">
        <v>2022</v>
      </c>
      <c r="B461" t="s">
        <v>771</v>
      </c>
      <c r="C461" t="s">
        <v>3655</v>
      </c>
      <c r="D461" t="s">
        <v>3656</v>
      </c>
      <c r="E461" t="s">
        <v>3643</v>
      </c>
      <c r="F461" t="s">
        <v>919</v>
      </c>
      <c r="G461" t="s">
        <v>36</v>
      </c>
      <c r="H461" t="s">
        <v>3178</v>
      </c>
      <c r="I461">
        <v>44383</v>
      </c>
      <c r="J461" t="s">
        <v>2052</v>
      </c>
      <c r="K461">
        <v>44529</v>
      </c>
      <c r="L461">
        <v>146</v>
      </c>
      <c r="M461" t="s">
        <v>3687</v>
      </c>
      <c r="N461" t="s">
        <v>120</v>
      </c>
      <c r="O461">
        <v>44531</v>
      </c>
      <c r="P461" t="s">
        <v>120</v>
      </c>
      <c r="Q461">
        <v>4777.5</v>
      </c>
      <c r="R461" t="s">
        <v>1922</v>
      </c>
      <c r="S461" t="s">
        <v>709</v>
      </c>
      <c r="T461" t="s">
        <v>709</v>
      </c>
      <c r="U461">
        <v>4777.5</v>
      </c>
      <c r="V461">
        <v>5723</v>
      </c>
      <c r="X461">
        <v>915271.6</v>
      </c>
      <c r="Z461">
        <v>27408.080000000002</v>
      </c>
      <c r="AA461">
        <v>942679.68</v>
      </c>
      <c r="AM461" t="s">
        <v>709</v>
      </c>
      <c r="AY461" t="s">
        <v>29</v>
      </c>
      <c r="BA461">
        <v>3</v>
      </c>
      <c r="BI461" t="s">
        <v>709</v>
      </c>
      <c r="BJ461" t="s">
        <v>709</v>
      </c>
      <c r="BK461" t="s">
        <v>709</v>
      </c>
      <c r="BL461" t="s">
        <v>116</v>
      </c>
      <c r="BM461" t="s">
        <v>709</v>
      </c>
      <c r="BN461" t="s">
        <v>709</v>
      </c>
      <c r="BO461" t="s">
        <v>709</v>
      </c>
      <c r="BP461" t="s">
        <v>709</v>
      </c>
      <c r="BQ461" t="s">
        <v>709</v>
      </c>
      <c r="BR461">
        <v>1904</v>
      </c>
      <c r="BS461">
        <v>3819</v>
      </c>
      <c r="BT461" t="s">
        <v>745</v>
      </c>
      <c r="BU461" t="s">
        <v>709</v>
      </c>
      <c r="BV461" t="s">
        <v>745</v>
      </c>
      <c r="BW461" t="s">
        <v>709</v>
      </c>
      <c r="BX461" t="s">
        <v>745</v>
      </c>
      <c r="BY461" t="s">
        <v>745</v>
      </c>
      <c r="BZ461" t="s">
        <v>709</v>
      </c>
      <c r="CB461">
        <v>459</v>
      </c>
      <c r="CC461" t="b">
        <v>1</v>
      </c>
      <c r="CD461" t="s">
        <v>3867</v>
      </c>
      <c r="CE461" s="1482">
        <v>45880.734756944446</v>
      </c>
    </row>
    <row r="462" spans="1:83" x14ac:dyDescent="0.25">
      <c r="A462">
        <v>2021</v>
      </c>
      <c r="B462" t="s">
        <v>1073</v>
      </c>
      <c r="C462" t="s">
        <v>3764</v>
      </c>
      <c r="D462" t="s">
        <v>3765</v>
      </c>
      <c r="E462" t="s">
        <v>118</v>
      </c>
      <c r="F462" t="s">
        <v>738</v>
      </c>
      <c r="G462" t="s">
        <v>22</v>
      </c>
      <c r="H462" t="s">
        <v>3178</v>
      </c>
      <c r="I462">
        <v>44529</v>
      </c>
      <c r="J462" t="s">
        <v>2052</v>
      </c>
      <c r="K462">
        <v>44533</v>
      </c>
      <c r="L462">
        <v>4</v>
      </c>
      <c r="M462" t="s">
        <v>3868</v>
      </c>
      <c r="N462" t="s">
        <v>120</v>
      </c>
      <c r="O462">
        <v>44533</v>
      </c>
      <c r="P462" t="s">
        <v>739</v>
      </c>
      <c r="Q462">
        <v>1462.5</v>
      </c>
      <c r="R462" t="s">
        <v>1922</v>
      </c>
      <c r="S462" t="s">
        <v>709</v>
      </c>
      <c r="T462" t="s">
        <v>709</v>
      </c>
      <c r="U462">
        <v>1462.5</v>
      </c>
      <c r="AC462" t="s">
        <v>709</v>
      </c>
      <c r="AM462" t="s">
        <v>709</v>
      </c>
      <c r="AY462" t="s">
        <v>29</v>
      </c>
      <c r="BA462">
        <v>9</v>
      </c>
      <c r="BI462" t="s">
        <v>709</v>
      </c>
      <c r="BJ462" t="s">
        <v>709</v>
      </c>
      <c r="BK462" t="s">
        <v>709</v>
      </c>
      <c r="BL462" t="s">
        <v>116</v>
      </c>
      <c r="BM462" t="s">
        <v>709</v>
      </c>
      <c r="BN462" t="s">
        <v>709</v>
      </c>
      <c r="BO462" t="s">
        <v>709</v>
      </c>
      <c r="BP462" t="s">
        <v>709</v>
      </c>
      <c r="BQ462">
        <v>89</v>
      </c>
      <c r="BR462">
        <v>4569</v>
      </c>
      <c r="BS462" t="s">
        <v>709</v>
      </c>
      <c r="BT462" t="s">
        <v>745</v>
      </c>
      <c r="BU462" t="s">
        <v>709</v>
      </c>
      <c r="BV462" t="s">
        <v>745</v>
      </c>
      <c r="BW462" t="s">
        <v>709</v>
      </c>
      <c r="BX462" t="s">
        <v>709</v>
      </c>
      <c r="BY462" t="s">
        <v>745</v>
      </c>
      <c r="BZ462" t="s">
        <v>709</v>
      </c>
      <c r="CB462">
        <v>460</v>
      </c>
      <c r="CC462" t="b">
        <v>1</v>
      </c>
      <c r="CD462" t="s">
        <v>3869</v>
      </c>
      <c r="CE462" s="1482">
        <v>45880.734768518516</v>
      </c>
    </row>
    <row r="463" spans="1:83" ht="75" x14ac:dyDescent="0.25">
      <c r="A463">
        <v>2022</v>
      </c>
      <c r="B463" t="s">
        <v>4</v>
      </c>
      <c r="C463" t="s">
        <v>3870</v>
      </c>
      <c r="D463" t="s">
        <v>3871</v>
      </c>
      <c r="E463" t="s">
        <v>232</v>
      </c>
      <c r="F463" t="s">
        <v>919</v>
      </c>
      <c r="G463" t="s">
        <v>2814</v>
      </c>
      <c r="H463" t="s">
        <v>59</v>
      </c>
      <c r="I463">
        <v>44480</v>
      </c>
      <c r="J463">
        <v>44568</v>
      </c>
      <c r="K463">
        <v>44533</v>
      </c>
      <c r="L463">
        <v>35</v>
      </c>
      <c r="N463" t="s">
        <v>120</v>
      </c>
      <c r="O463">
        <v>44533</v>
      </c>
      <c r="P463" t="s">
        <v>739</v>
      </c>
      <c r="Q463">
        <v>20209.190999999999</v>
      </c>
      <c r="R463">
        <v>0.1</v>
      </c>
      <c r="S463" t="s">
        <v>709</v>
      </c>
      <c r="T463" t="s">
        <v>709</v>
      </c>
      <c r="U463" t="s">
        <v>709</v>
      </c>
      <c r="V463">
        <v>1041</v>
      </c>
      <c r="X463">
        <v>186270.74</v>
      </c>
      <c r="Z463">
        <v>15821.17</v>
      </c>
      <c r="AA463">
        <v>202091.91</v>
      </c>
      <c r="AC463" t="s">
        <v>709</v>
      </c>
      <c r="AM463" t="s">
        <v>116</v>
      </c>
      <c r="AN463">
        <v>44642</v>
      </c>
      <c r="AO463">
        <v>11040354</v>
      </c>
      <c r="AP463">
        <v>187259.08</v>
      </c>
      <c r="AR463">
        <v>15860.43</v>
      </c>
      <c r="AS463">
        <v>203119.51</v>
      </c>
      <c r="AT463">
        <v>1027.5999999999999</v>
      </c>
      <c r="AU463">
        <v>102.76</v>
      </c>
      <c r="AV463" t="s">
        <v>709</v>
      </c>
      <c r="AX463">
        <v>102.76</v>
      </c>
      <c r="AY463">
        <v>45008</v>
      </c>
      <c r="BA463" t="s">
        <v>3872</v>
      </c>
      <c r="BB463" s="4" t="s">
        <v>3873</v>
      </c>
      <c r="BC463" t="s">
        <v>116</v>
      </c>
      <c r="BD463" t="s">
        <v>709</v>
      </c>
      <c r="BE463" t="s">
        <v>595</v>
      </c>
      <c r="BF463" t="s">
        <v>709</v>
      </c>
      <c r="BG463" t="s">
        <v>709</v>
      </c>
      <c r="BI463" t="s">
        <v>709</v>
      </c>
      <c r="BJ463" t="s">
        <v>709</v>
      </c>
      <c r="BK463" t="s">
        <v>709</v>
      </c>
      <c r="BL463" t="s">
        <v>116</v>
      </c>
      <c r="BM463" t="s">
        <v>709</v>
      </c>
      <c r="BN463" t="s">
        <v>709</v>
      </c>
      <c r="BO463" t="s">
        <v>709</v>
      </c>
      <c r="BP463" t="s">
        <v>709</v>
      </c>
      <c r="BQ463" t="s">
        <v>709</v>
      </c>
      <c r="BR463" t="s">
        <v>709</v>
      </c>
      <c r="BS463">
        <v>1041</v>
      </c>
      <c r="BT463" t="s">
        <v>745</v>
      </c>
      <c r="BU463" t="s">
        <v>709</v>
      </c>
      <c r="BV463" t="s">
        <v>745</v>
      </c>
      <c r="BW463" t="s">
        <v>709</v>
      </c>
      <c r="BX463" t="s">
        <v>745</v>
      </c>
      <c r="BY463" t="s">
        <v>745</v>
      </c>
      <c r="BZ463" t="s">
        <v>709</v>
      </c>
      <c r="CB463">
        <v>461</v>
      </c>
      <c r="CC463" t="b">
        <v>1</v>
      </c>
      <c r="CD463" t="s">
        <v>3874</v>
      </c>
      <c r="CE463" s="1482">
        <v>45880.734768518516</v>
      </c>
    </row>
    <row r="464" spans="1:83" x14ac:dyDescent="0.25">
      <c r="A464">
        <v>2022</v>
      </c>
      <c r="B464" t="s">
        <v>771</v>
      </c>
      <c r="C464" t="s">
        <v>3702</v>
      </c>
      <c r="D464">
        <v>1410398</v>
      </c>
      <c r="E464" t="s">
        <v>141</v>
      </c>
      <c r="F464" t="s">
        <v>919</v>
      </c>
      <c r="G464" t="s">
        <v>1882</v>
      </c>
      <c r="H464" t="s">
        <v>3178</v>
      </c>
      <c r="I464">
        <v>44482</v>
      </c>
      <c r="J464" t="s">
        <v>2052</v>
      </c>
      <c r="K464">
        <v>44537</v>
      </c>
      <c r="L464">
        <v>55</v>
      </c>
      <c r="M464" t="s">
        <v>3875</v>
      </c>
      <c r="N464" t="s">
        <v>120</v>
      </c>
      <c r="O464">
        <v>44537</v>
      </c>
      <c r="P464" t="s">
        <v>120</v>
      </c>
      <c r="Q464">
        <v>13267.5</v>
      </c>
      <c r="R464" t="s">
        <v>1922</v>
      </c>
      <c r="S464" t="s">
        <v>709</v>
      </c>
      <c r="T464" t="s">
        <v>709</v>
      </c>
      <c r="U464">
        <v>13267.5</v>
      </c>
      <c r="AM464" t="s">
        <v>709</v>
      </c>
      <c r="AY464" t="s">
        <v>29</v>
      </c>
      <c r="BA464">
        <v>4</v>
      </c>
      <c r="BI464" t="s">
        <v>709</v>
      </c>
      <c r="BJ464" t="s">
        <v>709</v>
      </c>
      <c r="BK464" t="s">
        <v>709</v>
      </c>
      <c r="BL464" t="s">
        <v>116</v>
      </c>
      <c r="BM464" t="s">
        <v>709</v>
      </c>
      <c r="BN464" t="s">
        <v>709</v>
      </c>
      <c r="BO464" t="s">
        <v>709</v>
      </c>
      <c r="BP464" t="s">
        <v>709</v>
      </c>
      <c r="BQ464" t="s">
        <v>709</v>
      </c>
      <c r="BR464">
        <v>6208</v>
      </c>
      <c r="BS464">
        <v>22736</v>
      </c>
      <c r="BT464" t="s">
        <v>709</v>
      </c>
      <c r="BU464" t="s">
        <v>709</v>
      </c>
      <c r="BV464" t="s">
        <v>745</v>
      </c>
      <c r="BW464" t="s">
        <v>709</v>
      </c>
      <c r="BX464" t="s">
        <v>709</v>
      </c>
      <c r="BY464" t="s">
        <v>745</v>
      </c>
      <c r="BZ464" t="s">
        <v>709</v>
      </c>
      <c r="CB464">
        <v>462</v>
      </c>
      <c r="CC464" t="b">
        <v>1</v>
      </c>
      <c r="CD464" t="s">
        <v>3876</v>
      </c>
      <c r="CE464" s="1482">
        <v>45880.734768518516</v>
      </c>
    </row>
    <row r="465" spans="1:83" x14ac:dyDescent="0.25">
      <c r="A465">
        <v>2023</v>
      </c>
      <c r="B465" t="s">
        <v>4</v>
      </c>
      <c r="C465" t="s">
        <v>1233</v>
      </c>
      <c r="D465" t="s">
        <v>1234</v>
      </c>
      <c r="E465" t="s">
        <v>1101</v>
      </c>
      <c r="F465" t="s">
        <v>919</v>
      </c>
      <c r="G465" t="s">
        <v>2814</v>
      </c>
      <c r="H465" t="s">
        <v>59</v>
      </c>
      <c r="I465">
        <v>44188</v>
      </c>
      <c r="J465">
        <v>44610</v>
      </c>
      <c r="K465">
        <v>44539</v>
      </c>
      <c r="L465">
        <v>71</v>
      </c>
      <c r="N465" t="s">
        <v>120</v>
      </c>
      <c r="O465">
        <v>44539</v>
      </c>
      <c r="P465" t="s">
        <v>739</v>
      </c>
      <c r="Q465">
        <v>179188.223</v>
      </c>
      <c r="R465">
        <v>0.1</v>
      </c>
      <c r="S465" t="s">
        <v>709</v>
      </c>
      <c r="T465" t="s">
        <v>709</v>
      </c>
      <c r="U465" t="s">
        <v>709</v>
      </c>
      <c r="V465">
        <v>5487</v>
      </c>
      <c r="X465">
        <v>1669599.84</v>
      </c>
      <c r="Z465">
        <v>122282.39</v>
      </c>
      <c r="AA465">
        <v>1791882.23</v>
      </c>
      <c r="AC465" t="s">
        <v>116</v>
      </c>
      <c r="AM465" t="s">
        <v>116</v>
      </c>
      <c r="AN465">
        <v>45547</v>
      </c>
      <c r="AO465">
        <v>11033224</v>
      </c>
      <c r="AP465">
        <v>1812529.87</v>
      </c>
      <c r="AR465">
        <v>140109.29</v>
      </c>
      <c r="AS465">
        <v>1952639.16</v>
      </c>
      <c r="AT465">
        <v>160756.93</v>
      </c>
      <c r="AU465">
        <v>16075.692999999999</v>
      </c>
      <c r="AV465">
        <v>42779.5</v>
      </c>
      <c r="AW465" t="s">
        <v>3877</v>
      </c>
      <c r="AX465">
        <v>0</v>
      </c>
      <c r="AY465">
        <v>45901</v>
      </c>
      <c r="AZ465">
        <v>64</v>
      </c>
      <c r="BA465" t="s">
        <v>1235</v>
      </c>
      <c r="BB465" t="s">
        <v>1236</v>
      </c>
      <c r="BC465" t="s">
        <v>116</v>
      </c>
      <c r="BD465" t="s">
        <v>882</v>
      </c>
      <c r="BE465" t="s">
        <v>1106</v>
      </c>
      <c r="BF465" t="s">
        <v>709</v>
      </c>
      <c r="BG465" t="s">
        <v>709</v>
      </c>
      <c r="BI465" t="s">
        <v>709</v>
      </c>
      <c r="BJ465" t="s">
        <v>709</v>
      </c>
      <c r="BK465" t="s">
        <v>709</v>
      </c>
      <c r="BL465" t="s">
        <v>116</v>
      </c>
      <c r="BM465" t="s">
        <v>709</v>
      </c>
      <c r="BN465" t="s">
        <v>709</v>
      </c>
      <c r="BO465" t="s">
        <v>709</v>
      </c>
      <c r="BP465">
        <v>1747</v>
      </c>
      <c r="BQ465">
        <v>498</v>
      </c>
      <c r="BR465">
        <v>1564</v>
      </c>
      <c r="BS465">
        <v>1588</v>
      </c>
      <c r="BT465">
        <v>1</v>
      </c>
      <c r="BU465" t="s">
        <v>709</v>
      </c>
      <c r="BV465" t="s">
        <v>745</v>
      </c>
      <c r="BW465" t="s">
        <v>709</v>
      </c>
      <c r="BX465">
        <v>1</v>
      </c>
      <c r="BY465" t="s">
        <v>745</v>
      </c>
      <c r="BZ465" t="s">
        <v>709</v>
      </c>
      <c r="CA465" t="s">
        <v>1237</v>
      </c>
      <c r="CB465">
        <v>463</v>
      </c>
      <c r="CC465" t="b">
        <v>1</v>
      </c>
      <c r="CD465" t="s">
        <v>3878</v>
      </c>
      <c r="CE465" s="1482">
        <v>45880.734780092593</v>
      </c>
    </row>
    <row r="466" spans="1:83" x14ac:dyDescent="0.25">
      <c r="A466">
        <v>2020</v>
      </c>
      <c r="B466" t="s">
        <v>2</v>
      </c>
      <c r="C466" t="s">
        <v>96</v>
      </c>
      <c r="D466">
        <v>102116</v>
      </c>
      <c r="E466" t="s">
        <v>97</v>
      </c>
      <c r="F466" t="s">
        <v>1111</v>
      </c>
      <c r="G466" t="s">
        <v>40</v>
      </c>
      <c r="H466" t="s">
        <v>3178</v>
      </c>
      <c r="I466">
        <v>44536</v>
      </c>
      <c r="J466" t="s">
        <v>2052</v>
      </c>
      <c r="K466">
        <v>44540</v>
      </c>
      <c r="L466">
        <v>4</v>
      </c>
      <c r="M466" t="s">
        <v>3058</v>
      </c>
      <c r="N466" t="s">
        <v>120</v>
      </c>
      <c r="O466">
        <v>44540</v>
      </c>
      <c r="P466" t="s">
        <v>739</v>
      </c>
      <c r="Q466">
        <v>5425</v>
      </c>
      <c r="R466" t="s">
        <v>1922</v>
      </c>
      <c r="S466" t="s">
        <v>709</v>
      </c>
      <c r="T466" t="s">
        <v>709</v>
      </c>
      <c r="U466">
        <v>5425</v>
      </c>
      <c r="AC466" t="s">
        <v>1441</v>
      </c>
      <c r="AM466" t="s">
        <v>709</v>
      </c>
      <c r="AY466" t="s">
        <v>29</v>
      </c>
      <c r="BA466">
        <v>4</v>
      </c>
      <c r="BI466" t="s">
        <v>709</v>
      </c>
      <c r="BJ466" t="s">
        <v>709</v>
      </c>
      <c r="BK466" t="s">
        <v>116</v>
      </c>
      <c r="BL466" t="s">
        <v>116</v>
      </c>
      <c r="BM466" t="s">
        <v>709</v>
      </c>
      <c r="BN466" t="s">
        <v>709</v>
      </c>
      <c r="BO466" t="s">
        <v>709</v>
      </c>
      <c r="BP466" t="s">
        <v>709</v>
      </c>
      <c r="BQ466" t="s">
        <v>709</v>
      </c>
      <c r="BR466" t="s">
        <v>709</v>
      </c>
      <c r="BS466">
        <v>178</v>
      </c>
      <c r="BT466" t="s">
        <v>709</v>
      </c>
      <c r="BU466">
        <v>1</v>
      </c>
      <c r="BV466" t="s">
        <v>709</v>
      </c>
      <c r="BW466">
        <v>1</v>
      </c>
      <c r="BX466">
        <v>1</v>
      </c>
      <c r="BY466" t="s">
        <v>709</v>
      </c>
      <c r="BZ466" t="s">
        <v>709</v>
      </c>
      <c r="CA466" t="s">
        <v>2680</v>
      </c>
      <c r="CB466">
        <v>464</v>
      </c>
      <c r="CC466" t="b">
        <v>1</v>
      </c>
      <c r="CD466" t="s">
        <v>3879</v>
      </c>
      <c r="CE466" s="1482">
        <v>45880.734780092593</v>
      </c>
    </row>
    <row r="467" spans="1:83" x14ac:dyDescent="0.25">
      <c r="A467">
        <v>2022</v>
      </c>
      <c r="B467" t="s">
        <v>771</v>
      </c>
      <c r="C467" t="s">
        <v>3880</v>
      </c>
      <c r="D467" t="s">
        <v>3881</v>
      </c>
      <c r="E467" t="s">
        <v>3882</v>
      </c>
      <c r="F467" t="s">
        <v>919</v>
      </c>
      <c r="G467" t="s">
        <v>36</v>
      </c>
      <c r="H467" t="s">
        <v>59</v>
      </c>
      <c r="I467">
        <v>44440</v>
      </c>
      <c r="J467">
        <v>44550</v>
      </c>
      <c r="K467">
        <v>44543</v>
      </c>
      <c r="L467">
        <v>7</v>
      </c>
      <c r="N467" t="s">
        <v>120</v>
      </c>
      <c r="O467">
        <v>44543</v>
      </c>
      <c r="P467" t="s">
        <v>120</v>
      </c>
      <c r="Q467">
        <v>25979.55</v>
      </c>
      <c r="R467" t="s">
        <v>2087</v>
      </c>
      <c r="S467" t="s">
        <v>709</v>
      </c>
      <c r="T467" t="s">
        <v>709</v>
      </c>
      <c r="U467" t="s">
        <v>709</v>
      </c>
      <c r="V467">
        <v>16761</v>
      </c>
      <c r="X467">
        <v>2211980.91</v>
      </c>
      <c r="Z467">
        <v>61962.66</v>
      </c>
      <c r="AA467">
        <v>2273943.5699999998</v>
      </c>
      <c r="AC467" t="s">
        <v>709</v>
      </c>
      <c r="AM467" t="s">
        <v>709</v>
      </c>
      <c r="AY467" t="s">
        <v>29</v>
      </c>
      <c r="BA467" t="s">
        <v>3883</v>
      </c>
      <c r="BB467" t="s">
        <v>3884</v>
      </c>
      <c r="BC467" t="s">
        <v>116</v>
      </c>
      <c r="BD467" t="s">
        <v>709</v>
      </c>
      <c r="BE467" t="s">
        <v>3884</v>
      </c>
      <c r="BF467" t="s">
        <v>709</v>
      </c>
      <c r="BG467" t="s">
        <v>709</v>
      </c>
      <c r="BI467" t="s">
        <v>709</v>
      </c>
      <c r="BJ467" t="s">
        <v>709</v>
      </c>
      <c r="BK467" t="s">
        <v>709</v>
      </c>
      <c r="BL467" t="s">
        <v>116</v>
      </c>
      <c r="BM467" t="s">
        <v>709</v>
      </c>
      <c r="BN467" t="s">
        <v>709</v>
      </c>
      <c r="BO467" t="s">
        <v>709</v>
      </c>
      <c r="BP467" t="s">
        <v>709</v>
      </c>
      <c r="BQ467">
        <v>2448</v>
      </c>
      <c r="BR467" t="s">
        <v>709</v>
      </c>
      <c r="BS467">
        <v>14313</v>
      </c>
      <c r="BT467" t="s">
        <v>709</v>
      </c>
      <c r="BU467" t="s">
        <v>709</v>
      </c>
      <c r="BV467" t="s">
        <v>745</v>
      </c>
      <c r="BW467" t="s">
        <v>709</v>
      </c>
      <c r="BX467" t="s">
        <v>745</v>
      </c>
      <c r="BY467" t="s">
        <v>745</v>
      </c>
      <c r="BZ467" t="s">
        <v>709</v>
      </c>
      <c r="CB467">
        <v>465</v>
      </c>
      <c r="CC467" t="b">
        <v>1</v>
      </c>
      <c r="CD467" t="s">
        <v>3885</v>
      </c>
      <c r="CE467" s="1482">
        <v>45880.734780092593</v>
      </c>
    </row>
    <row r="468" spans="1:83" x14ac:dyDescent="0.25">
      <c r="A468">
        <v>2022</v>
      </c>
      <c r="B468" t="s">
        <v>730</v>
      </c>
      <c r="C468" t="s">
        <v>3886</v>
      </c>
      <c r="D468" t="s">
        <v>3887</v>
      </c>
      <c r="E468" t="s">
        <v>3888</v>
      </c>
      <c r="F468" t="s">
        <v>747</v>
      </c>
      <c r="G468" t="s">
        <v>347</v>
      </c>
      <c r="H468" t="s">
        <v>59</v>
      </c>
      <c r="I468">
        <v>44418</v>
      </c>
      <c r="J468">
        <v>44553</v>
      </c>
      <c r="K468">
        <v>44543</v>
      </c>
      <c r="L468">
        <v>10</v>
      </c>
      <c r="N468" t="s">
        <v>120</v>
      </c>
      <c r="O468">
        <v>44543</v>
      </c>
      <c r="P468" t="s">
        <v>120</v>
      </c>
      <c r="Q468">
        <v>18297.395400000001</v>
      </c>
      <c r="R468" t="s">
        <v>794</v>
      </c>
      <c r="S468" t="s">
        <v>709</v>
      </c>
      <c r="T468" t="s">
        <v>709</v>
      </c>
      <c r="U468" t="s">
        <v>709</v>
      </c>
      <c r="X468">
        <v>118355.03</v>
      </c>
      <c r="Z468">
        <v>35143.74</v>
      </c>
      <c r="AA468">
        <v>153498.76999999999</v>
      </c>
      <c r="AC468" t="s">
        <v>1177</v>
      </c>
      <c r="AM468" t="s">
        <v>116</v>
      </c>
      <c r="AN468">
        <v>44867</v>
      </c>
      <c r="AO468">
        <v>11038496</v>
      </c>
      <c r="AP468">
        <v>121040.99</v>
      </c>
      <c r="AR468">
        <v>36538.410000000003</v>
      </c>
      <c r="AS468">
        <v>157579.4</v>
      </c>
      <c r="AT468">
        <v>4080.63</v>
      </c>
      <c r="AU468">
        <v>346.85359999999997</v>
      </c>
      <c r="AV468" t="s">
        <v>709</v>
      </c>
      <c r="AX468">
        <v>346.85359999999997</v>
      </c>
      <c r="AY468">
        <v>45008</v>
      </c>
      <c r="BA468" t="s">
        <v>3889</v>
      </c>
      <c r="BB468" t="s">
        <v>3890</v>
      </c>
      <c r="BC468" t="s">
        <v>709</v>
      </c>
      <c r="BD468" t="s">
        <v>709</v>
      </c>
      <c r="BE468" t="s">
        <v>709</v>
      </c>
      <c r="BF468" t="s">
        <v>3891</v>
      </c>
      <c r="BG468" t="s">
        <v>709</v>
      </c>
      <c r="BI468" t="s">
        <v>709</v>
      </c>
      <c r="BJ468" t="s">
        <v>116</v>
      </c>
      <c r="BK468" t="s">
        <v>709</v>
      </c>
      <c r="BL468" t="s">
        <v>116</v>
      </c>
      <c r="BM468" t="s">
        <v>709</v>
      </c>
      <c r="BN468" t="s">
        <v>709</v>
      </c>
      <c r="BO468" t="s">
        <v>709</v>
      </c>
      <c r="BP468" t="s">
        <v>709</v>
      </c>
      <c r="BQ468" t="s">
        <v>709</v>
      </c>
      <c r="BR468" t="s">
        <v>709</v>
      </c>
      <c r="BS468">
        <v>116</v>
      </c>
      <c r="BT468" t="s">
        <v>745</v>
      </c>
      <c r="BU468">
        <v>1</v>
      </c>
      <c r="BV468" t="s">
        <v>745</v>
      </c>
      <c r="BW468" t="s">
        <v>709</v>
      </c>
      <c r="BX468">
        <v>1</v>
      </c>
      <c r="BY468" t="s">
        <v>745</v>
      </c>
      <c r="BZ468" t="s">
        <v>709</v>
      </c>
      <c r="CA468" t="s">
        <v>730</v>
      </c>
      <c r="CB468">
        <v>466</v>
      </c>
      <c r="CC468" t="b">
        <v>1</v>
      </c>
      <c r="CD468" t="s">
        <v>3892</v>
      </c>
      <c r="CE468" s="1482">
        <v>45880.734780092593</v>
      </c>
    </row>
    <row r="469" spans="1:83" x14ac:dyDescent="0.25">
      <c r="A469">
        <v>2020</v>
      </c>
      <c r="B469" t="s">
        <v>4</v>
      </c>
      <c r="C469" t="s">
        <v>204</v>
      </c>
      <c r="D469">
        <v>140830</v>
      </c>
      <c r="E469" t="s">
        <v>1159</v>
      </c>
      <c r="F469" t="s">
        <v>919</v>
      </c>
      <c r="G469" t="s">
        <v>40</v>
      </c>
      <c r="H469" t="s">
        <v>3178</v>
      </c>
      <c r="I469">
        <v>44529</v>
      </c>
      <c r="J469" t="s">
        <v>2052</v>
      </c>
      <c r="K469">
        <v>44545</v>
      </c>
      <c r="L469">
        <v>16</v>
      </c>
      <c r="M469" t="s">
        <v>3893</v>
      </c>
      <c r="N469" t="s">
        <v>120</v>
      </c>
      <c r="O469">
        <v>44545</v>
      </c>
      <c r="P469" t="s">
        <v>739</v>
      </c>
      <c r="Q469">
        <v>15062.5</v>
      </c>
      <c r="R469" t="s">
        <v>1922</v>
      </c>
      <c r="S469" t="s">
        <v>709</v>
      </c>
      <c r="T469" t="s">
        <v>709</v>
      </c>
      <c r="U469">
        <v>15062.5</v>
      </c>
      <c r="AM469" t="s">
        <v>709</v>
      </c>
      <c r="AY469" t="s">
        <v>29</v>
      </c>
      <c r="BA469">
        <v>12</v>
      </c>
      <c r="BI469" t="s">
        <v>709</v>
      </c>
      <c r="BJ469" t="s">
        <v>709</v>
      </c>
      <c r="BK469" t="s">
        <v>116</v>
      </c>
      <c r="BL469" t="s">
        <v>116</v>
      </c>
      <c r="BM469" t="s">
        <v>709</v>
      </c>
      <c r="BN469" t="s">
        <v>709</v>
      </c>
      <c r="BO469" t="s">
        <v>709</v>
      </c>
      <c r="BP469">
        <v>1485</v>
      </c>
      <c r="BQ469" t="s">
        <v>709</v>
      </c>
      <c r="BR469">
        <v>861</v>
      </c>
      <c r="BS469" t="s">
        <v>709</v>
      </c>
      <c r="BT469" t="s">
        <v>709</v>
      </c>
      <c r="BU469" t="s">
        <v>709</v>
      </c>
      <c r="BV469" t="s">
        <v>745</v>
      </c>
      <c r="BW469" t="s">
        <v>709</v>
      </c>
      <c r="BX469" t="s">
        <v>709</v>
      </c>
      <c r="BY469" t="s">
        <v>745</v>
      </c>
      <c r="BZ469" t="s">
        <v>709</v>
      </c>
      <c r="CB469">
        <v>468</v>
      </c>
      <c r="CC469" t="b">
        <v>1</v>
      </c>
      <c r="CD469" t="s">
        <v>3894</v>
      </c>
      <c r="CE469" s="1482">
        <v>45880.734791666669</v>
      </c>
    </row>
    <row r="470" spans="1:83" ht="240" x14ac:dyDescent="0.25">
      <c r="A470">
        <v>2022</v>
      </c>
      <c r="B470" t="s">
        <v>4</v>
      </c>
      <c r="C470" t="s">
        <v>3895</v>
      </c>
      <c r="D470" t="s">
        <v>3896</v>
      </c>
      <c r="E470" t="s">
        <v>2114</v>
      </c>
      <c r="F470" t="s">
        <v>738</v>
      </c>
      <c r="G470" t="s">
        <v>39</v>
      </c>
      <c r="H470" t="s">
        <v>59</v>
      </c>
      <c r="I470">
        <v>44474</v>
      </c>
      <c r="J470">
        <v>44575</v>
      </c>
      <c r="K470">
        <v>44545</v>
      </c>
      <c r="L470">
        <v>30</v>
      </c>
      <c r="N470" t="s">
        <v>120</v>
      </c>
      <c r="O470">
        <v>44545</v>
      </c>
      <c r="P470" t="s">
        <v>739</v>
      </c>
      <c r="Q470">
        <v>43252.885000000002</v>
      </c>
      <c r="R470">
        <v>0.1</v>
      </c>
      <c r="S470" t="s">
        <v>709</v>
      </c>
      <c r="T470" t="s">
        <v>709</v>
      </c>
      <c r="U470" t="s">
        <v>709</v>
      </c>
      <c r="V470">
        <v>1379</v>
      </c>
      <c r="X470">
        <v>267881.39</v>
      </c>
      <c r="Z470">
        <v>164647.46</v>
      </c>
      <c r="AA470">
        <v>432528.85</v>
      </c>
      <c r="AC470" t="s">
        <v>709</v>
      </c>
      <c r="AM470" t="s">
        <v>116</v>
      </c>
      <c r="AN470">
        <v>44608</v>
      </c>
      <c r="AO470">
        <v>11039325</v>
      </c>
      <c r="AP470">
        <v>282371.94</v>
      </c>
      <c r="AR470">
        <v>163277.19</v>
      </c>
      <c r="AS470">
        <v>445649.13</v>
      </c>
      <c r="AT470">
        <v>13120.28</v>
      </c>
      <c r="AU470">
        <v>1312.028</v>
      </c>
      <c r="AV470">
        <v>1665</v>
      </c>
      <c r="AW470" s="4" t="s">
        <v>3897</v>
      </c>
      <c r="AX470">
        <v>0</v>
      </c>
      <c r="AY470">
        <v>45008</v>
      </c>
      <c r="BA470" t="s">
        <v>3898</v>
      </c>
      <c r="BB470" t="s">
        <v>3899</v>
      </c>
      <c r="BC470" t="s">
        <v>709</v>
      </c>
      <c r="BD470" t="s">
        <v>709</v>
      </c>
      <c r="BE470" t="s">
        <v>522</v>
      </c>
      <c r="BF470" t="s">
        <v>709</v>
      </c>
      <c r="BG470" t="s">
        <v>709</v>
      </c>
      <c r="BI470" t="s">
        <v>709</v>
      </c>
      <c r="BJ470" t="s">
        <v>709</v>
      </c>
      <c r="BK470" t="s">
        <v>709</v>
      </c>
      <c r="BL470" t="s">
        <v>116</v>
      </c>
      <c r="BM470" t="s">
        <v>709</v>
      </c>
      <c r="BN470" t="s">
        <v>709</v>
      </c>
      <c r="BO470" t="s">
        <v>709</v>
      </c>
      <c r="BP470" t="s">
        <v>709</v>
      </c>
      <c r="BQ470" t="s">
        <v>709</v>
      </c>
      <c r="BR470">
        <v>1379</v>
      </c>
      <c r="BS470" t="s">
        <v>709</v>
      </c>
      <c r="BT470" t="s">
        <v>745</v>
      </c>
      <c r="BU470" t="s">
        <v>709</v>
      </c>
      <c r="BV470" t="s">
        <v>745</v>
      </c>
      <c r="BW470" t="s">
        <v>709</v>
      </c>
      <c r="BX470" t="s">
        <v>745</v>
      </c>
      <c r="BY470" t="s">
        <v>745</v>
      </c>
      <c r="BZ470" t="s">
        <v>709</v>
      </c>
      <c r="CB470">
        <v>467</v>
      </c>
      <c r="CC470" t="b">
        <v>1</v>
      </c>
      <c r="CD470" t="s">
        <v>3900</v>
      </c>
      <c r="CE470" s="1482">
        <v>45880.734791666669</v>
      </c>
    </row>
    <row r="471" spans="1:83" x14ac:dyDescent="0.25">
      <c r="A471">
        <v>2022</v>
      </c>
      <c r="B471" t="s">
        <v>4</v>
      </c>
      <c r="C471" t="s">
        <v>3901</v>
      </c>
      <c r="D471" t="s">
        <v>3902</v>
      </c>
      <c r="E471" t="s">
        <v>2032</v>
      </c>
      <c r="F471" t="s">
        <v>738</v>
      </c>
      <c r="G471" t="s">
        <v>23</v>
      </c>
      <c r="H471" t="s">
        <v>59</v>
      </c>
      <c r="I471">
        <v>44438</v>
      </c>
      <c r="J471">
        <v>44547</v>
      </c>
      <c r="K471">
        <v>44545</v>
      </c>
      <c r="L471">
        <v>2</v>
      </c>
      <c r="N471" t="s">
        <v>120</v>
      </c>
      <c r="O471">
        <v>44545</v>
      </c>
      <c r="P471" t="s">
        <v>739</v>
      </c>
      <c r="Q471">
        <v>23075.182000000001</v>
      </c>
      <c r="R471">
        <v>0.1</v>
      </c>
      <c r="S471" t="s">
        <v>709</v>
      </c>
      <c r="T471" t="s">
        <v>709</v>
      </c>
      <c r="U471" t="s">
        <v>709</v>
      </c>
      <c r="V471">
        <v>824</v>
      </c>
      <c r="X471">
        <v>182784.39</v>
      </c>
      <c r="Z471">
        <v>47967.43</v>
      </c>
      <c r="AA471">
        <v>230751.82</v>
      </c>
      <c r="AC471" t="s">
        <v>709</v>
      </c>
      <c r="AM471" t="s">
        <v>116</v>
      </c>
      <c r="AN471">
        <v>44642</v>
      </c>
      <c r="AO471">
        <v>11040102</v>
      </c>
      <c r="AP471">
        <v>293962.52</v>
      </c>
      <c r="AR471">
        <v>48351.08</v>
      </c>
      <c r="AS471">
        <v>342313.6</v>
      </c>
      <c r="AT471">
        <v>111561.78</v>
      </c>
      <c r="AU471">
        <v>11156.178</v>
      </c>
      <c r="AV471">
        <v>10147.5</v>
      </c>
      <c r="AW471" t="s">
        <v>3903</v>
      </c>
      <c r="AX471">
        <v>0</v>
      </c>
      <c r="AY471">
        <v>45008</v>
      </c>
      <c r="BA471" t="s">
        <v>3904</v>
      </c>
      <c r="BB471" t="s">
        <v>877</v>
      </c>
      <c r="BC471" t="s">
        <v>116</v>
      </c>
      <c r="BD471" t="s">
        <v>709</v>
      </c>
      <c r="BE471" t="s">
        <v>709</v>
      </c>
      <c r="BF471" t="s">
        <v>709</v>
      </c>
      <c r="BG471" t="s">
        <v>709</v>
      </c>
      <c r="BI471" t="s">
        <v>709</v>
      </c>
      <c r="BJ471" t="s">
        <v>709</v>
      </c>
      <c r="BK471" t="s">
        <v>709</v>
      </c>
      <c r="BL471" t="s">
        <v>116</v>
      </c>
      <c r="BM471" t="s">
        <v>709</v>
      </c>
      <c r="BN471" t="s">
        <v>709</v>
      </c>
      <c r="BO471" t="s">
        <v>709</v>
      </c>
      <c r="BP471" t="s">
        <v>709</v>
      </c>
      <c r="BQ471" t="s">
        <v>709</v>
      </c>
      <c r="BR471">
        <v>824</v>
      </c>
      <c r="BS471" t="s">
        <v>709</v>
      </c>
      <c r="BT471" t="s">
        <v>709</v>
      </c>
      <c r="BU471" t="s">
        <v>709</v>
      </c>
      <c r="BV471" t="s">
        <v>745</v>
      </c>
      <c r="BW471" t="s">
        <v>709</v>
      </c>
      <c r="BX471" t="s">
        <v>709</v>
      </c>
      <c r="BY471" t="s">
        <v>745</v>
      </c>
      <c r="BZ471" t="s">
        <v>709</v>
      </c>
      <c r="CB471">
        <v>469</v>
      </c>
      <c r="CC471" t="b">
        <v>1</v>
      </c>
      <c r="CD471" t="s">
        <v>3905</v>
      </c>
      <c r="CE471" s="1482">
        <v>45880.734791666669</v>
      </c>
    </row>
    <row r="472" spans="1:83" x14ac:dyDescent="0.25">
      <c r="A472">
        <v>2022</v>
      </c>
      <c r="B472" t="s">
        <v>4</v>
      </c>
      <c r="C472" t="s">
        <v>3906</v>
      </c>
      <c r="D472" t="s">
        <v>115</v>
      </c>
      <c r="E472" t="s">
        <v>183</v>
      </c>
      <c r="F472" t="s">
        <v>738</v>
      </c>
      <c r="G472" t="s">
        <v>35</v>
      </c>
      <c r="H472" t="s">
        <v>2127</v>
      </c>
      <c r="I472">
        <v>44544</v>
      </c>
      <c r="J472">
        <v>44622</v>
      </c>
      <c r="K472">
        <v>44546</v>
      </c>
      <c r="L472">
        <v>76</v>
      </c>
      <c r="N472" t="s">
        <v>120</v>
      </c>
      <c r="O472">
        <v>44546</v>
      </c>
      <c r="P472" t="s">
        <v>739</v>
      </c>
      <c r="Q472" t="s">
        <v>115</v>
      </c>
      <c r="R472" t="s">
        <v>115</v>
      </c>
      <c r="S472" t="s">
        <v>709</v>
      </c>
      <c r="T472" t="s">
        <v>709</v>
      </c>
      <c r="U472" t="s">
        <v>709</v>
      </c>
      <c r="AD472" t="s">
        <v>29</v>
      </c>
      <c r="AM472" t="s">
        <v>709</v>
      </c>
      <c r="AY472" t="s">
        <v>29</v>
      </c>
      <c r="BA472" t="s">
        <v>3907</v>
      </c>
      <c r="BZ472" t="s">
        <v>709</v>
      </c>
      <c r="CA472" t="s">
        <v>915</v>
      </c>
      <c r="CB472">
        <v>470</v>
      </c>
      <c r="CC472" t="b">
        <v>1</v>
      </c>
      <c r="CD472" t="s">
        <v>3908</v>
      </c>
      <c r="CE472" s="1482">
        <v>45880.734803240739</v>
      </c>
    </row>
    <row r="473" spans="1:83" ht="225" x14ac:dyDescent="0.25">
      <c r="A473">
        <v>2022</v>
      </c>
      <c r="B473" t="s">
        <v>4</v>
      </c>
      <c r="C473" t="s">
        <v>3909</v>
      </c>
      <c r="D473" t="s">
        <v>115</v>
      </c>
      <c r="E473" t="s">
        <v>108</v>
      </c>
      <c r="F473" t="s">
        <v>738</v>
      </c>
      <c r="G473" t="s">
        <v>35</v>
      </c>
      <c r="H473" t="s">
        <v>1681</v>
      </c>
      <c r="I473">
        <v>44522</v>
      </c>
      <c r="J473">
        <v>44575</v>
      </c>
      <c r="K473">
        <v>44547</v>
      </c>
      <c r="L473">
        <v>28</v>
      </c>
      <c r="N473" t="s">
        <v>120</v>
      </c>
      <c r="O473">
        <v>44547</v>
      </c>
      <c r="P473" t="s">
        <v>739</v>
      </c>
      <c r="Q473" t="s">
        <v>115</v>
      </c>
      <c r="R473" t="s">
        <v>115</v>
      </c>
      <c r="S473" t="s">
        <v>709</v>
      </c>
      <c r="T473" t="s">
        <v>709</v>
      </c>
      <c r="U473" t="s">
        <v>709</v>
      </c>
      <c r="AD473" t="s">
        <v>29</v>
      </c>
      <c r="AM473" t="s">
        <v>709</v>
      </c>
      <c r="AY473" t="s">
        <v>29</v>
      </c>
      <c r="BA473" s="4" t="s">
        <v>3910</v>
      </c>
      <c r="BB473" t="s">
        <v>3911</v>
      </c>
      <c r="CB473">
        <v>472</v>
      </c>
      <c r="CC473" t="b">
        <v>1</v>
      </c>
      <c r="CD473" t="s">
        <v>3912</v>
      </c>
      <c r="CE473" s="1482">
        <v>45880.734803240739</v>
      </c>
    </row>
    <row r="474" spans="1:83" ht="375" x14ac:dyDescent="0.25">
      <c r="A474">
        <v>2022</v>
      </c>
      <c r="B474" t="s">
        <v>4</v>
      </c>
      <c r="C474" t="s">
        <v>936</v>
      </c>
      <c r="D474" t="s">
        <v>937</v>
      </c>
      <c r="E474" t="s">
        <v>887</v>
      </c>
      <c r="F474" t="s">
        <v>738</v>
      </c>
      <c r="G474" t="s">
        <v>23</v>
      </c>
      <c r="H474" t="s">
        <v>59</v>
      </c>
      <c r="I474">
        <v>44466</v>
      </c>
      <c r="J474">
        <v>44552</v>
      </c>
      <c r="K474">
        <v>44547</v>
      </c>
      <c r="L474">
        <v>5</v>
      </c>
      <c r="N474" t="s">
        <v>120</v>
      </c>
      <c r="O474">
        <v>44547</v>
      </c>
      <c r="P474" t="s">
        <v>739</v>
      </c>
      <c r="Q474">
        <v>73860.525999999998</v>
      </c>
      <c r="R474">
        <v>0.1</v>
      </c>
      <c r="S474" t="s">
        <v>709</v>
      </c>
      <c r="T474" t="s">
        <v>709</v>
      </c>
      <c r="U474" t="s">
        <v>709</v>
      </c>
      <c r="V474">
        <v>6428</v>
      </c>
      <c r="X474">
        <v>656968.89</v>
      </c>
      <c r="Z474">
        <v>81636.37</v>
      </c>
      <c r="AA474">
        <v>738605.26</v>
      </c>
      <c r="AC474" t="s">
        <v>709</v>
      </c>
      <c r="AM474" t="s">
        <v>116</v>
      </c>
      <c r="AN474">
        <v>45377</v>
      </c>
      <c r="AO474">
        <v>11080450</v>
      </c>
      <c r="AP474">
        <v>827093.69</v>
      </c>
      <c r="AR474">
        <v>110442.9</v>
      </c>
      <c r="AS474">
        <v>937536.59</v>
      </c>
      <c r="AT474">
        <v>198931.33</v>
      </c>
      <c r="AU474">
        <v>19893.133000000002</v>
      </c>
      <c r="AV474">
        <v>2822.5</v>
      </c>
      <c r="AW474" s="4" t="s">
        <v>938</v>
      </c>
      <c r="AX474">
        <v>0</v>
      </c>
      <c r="AY474">
        <v>45566</v>
      </c>
      <c r="AZ474">
        <v>65</v>
      </c>
      <c r="BA474" t="s">
        <v>939</v>
      </c>
      <c r="BB474" t="s">
        <v>877</v>
      </c>
      <c r="BC474" t="s">
        <v>709</v>
      </c>
      <c r="BD474" t="s">
        <v>709</v>
      </c>
      <c r="BE474" t="s">
        <v>891</v>
      </c>
      <c r="BF474" t="s">
        <v>940</v>
      </c>
      <c r="BG474" t="s">
        <v>709</v>
      </c>
      <c r="BI474" t="s">
        <v>709</v>
      </c>
      <c r="BJ474" t="s">
        <v>709</v>
      </c>
      <c r="BK474" t="s">
        <v>709</v>
      </c>
      <c r="BL474" t="s">
        <v>116</v>
      </c>
      <c r="BM474" t="s">
        <v>709</v>
      </c>
      <c r="BN474" t="s">
        <v>709</v>
      </c>
      <c r="BO474" t="s">
        <v>709</v>
      </c>
      <c r="BP474" t="s">
        <v>709</v>
      </c>
      <c r="BQ474" t="s">
        <v>709</v>
      </c>
      <c r="BR474">
        <v>3946</v>
      </c>
      <c r="BS474">
        <v>2482</v>
      </c>
      <c r="BT474" t="s">
        <v>745</v>
      </c>
      <c r="BU474" t="s">
        <v>709</v>
      </c>
      <c r="BV474" t="s">
        <v>745</v>
      </c>
      <c r="BW474" t="s">
        <v>709</v>
      </c>
      <c r="BX474" t="s">
        <v>745</v>
      </c>
      <c r="BY474" t="s">
        <v>745</v>
      </c>
      <c r="BZ474" t="s">
        <v>709</v>
      </c>
      <c r="CB474">
        <v>471</v>
      </c>
      <c r="CC474" t="b">
        <v>1</v>
      </c>
      <c r="CD474" t="s">
        <v>3913</v>
      </c>
      <c r="CE474" s="1482">
        <v>45880.734803240739</v>
      </c>
    </row>
    <row r="475" spans="1:83" ht="300" x14ac:dyDescent="0.25">
      <c r="A475">
        <v>2021</v>
      </c>
      <c r="B475" t="s">
        <v>1073</v>
      </c>
      <c r="C475" t="s">
        <v>3914</v>
      </c>
      <c r="D475" t="s">
        <v>3915</v>
      </c>
      <c r="E475" t="s">
        <v>426</v>
      </c>
      <c r="F475" t="s">
        <v>738</v>
      </c>
      <c r="G475" t="s">
        <v>22</v>
      </c>
      <c r="H475" t="s">
        <v>59</v>
      </c>
      <c r="I475">
        <v>44432</v>
      </c>
      <c r="J475">
        <v>44551</v>
      </c>
      <c r="K475">
        <v>44550</v>
      </c>
      <c r="L475">
        <v>1</v>
      </c>
      <c r="N475" t="s">
        <v>120</v>
      </c>
      <c r="O475">
        <v>44550</v>
      </c>
      <c r="P475" t="s">
        <v>739</v>
      </c>
      <c r="Q475">
        <v>6785.9378999999999</v>
      </c>
      <c r="R475">
        <v>7.0000000000000007E-2</v>
      </c>
      <c r="S475" t="s">
        <v>709</v>
      </c>
      <c r="T475" t="s">
        <v>709</v>
      </c>
      <c r="U475" t="s">
        <v>709</v>
      </c>
      <c r="V475">
        <v>59</v>
      </c>
      <c r="X475">
        <v>79592.62</v>
      </c>
      <c r="Z475">
        <v>17349.349999999999</v>
      </c>
      <c r="AA475">
        <v>96941.97</v>
      </c>
      <c r="AC475" t="s">
        <v>1177</v>
      </c>
      <c r="AM475" t="s">
        <v>116</v>
      </c>
      <c r="AN475">
        <v>44599</v>
      </c>
      <c r="AO475">
        <v>11040077</v>
      </c>
      <c r="AP475">
        <v>81056.23</v>
      </c>
      <c r="AR475">
        <v>17408.07</v>
      </c>
      <c r="AS475">
        <v>98464.3</v>
      </c>
      <c r="AT475">
        <v>1522.33</v>
      </c>
      <c r="AU475">
        <v>106.56310000000001</v>
      </c>
      <c r="AV475" t="s">
        <v>709</v>
      </c>
      <c r="AX475">
        <v>106.56310000000001</v>
      </c>
      <c r="AY475">
        <v>45008</v>
      </c>
      <c r="BA475" s="4" t="s">
        <v>3916</v>
      </c>
      <c r="BB475" t="s">
        <v>1078</v>
      </c>
      <c r="BC475" t="s">
        <v>709</v>
      </c>
      <c r="BD475" t="s">
        <v>709</v>
      </c>
      <c r="BE475" t="s">
        <v>1396</v>
      </c>
      <c r="BF475" t="s">
        <v>709</v>
      </c>
      <c r="BG475" t="s">
        <v>709</v>
      </c>
      <c r="BI475" t="s">
        <v>709</v>
      </c>
      <c r="BJ475" t="s">
        <v>709</v>
      </c>
      <c r="BK475" t="s">
        <v>116</v>
      </c>
      <c r="BL475" t="s">
        <v>116</v>
      </c>
      <c r="BM475" t="s">
        <v>709</v>
      </c>
      <c r="BN475" t="s">
        <v>709</v>
      </c>
      <c r="BO475" t="s">
        <v>709</v>
      </c>
      <c r="BP475" t="s">
        <v>709</v>
      </c>
      <c r="BQ475" t="s">
        <v>709</v>
      </c>
      <c r="BR475">
        <v>53</v>
      </c>
      <c r="BS475">
        <v>6</v>
      </c>
      <c r="BT475" t="s">
        <v>745</v>
      </c>
      <c r="BU475" t="s">
        <v>709</v>
      </c>
      <c r="BV475" t="s">
        <v>745</v>
      </c>
      <c r="BW475" t="s">
        <v>709</v>
      </c>
      <c r="BX475" t="s">
        <v>745</v>
      </c>
      <c r="BY475" t="s">
        <v>2788</v>
      </c>
      <c r="BZ475" t="s">
        <v>709</v>
      </c>
      <c r="CB475">
        <v>477</v>
      </c>
      <c r="CC475" t="b">
        <v>1</v>
      </c>
      <c r="CD475" t="s">
        <v>3917</v>
      </c>
      <c r="CE475" s="1482">
        <v>45880.734814814816</v>
      </c>
    </row>
    <row r="476" spans="1:83" ht="330" x14ac:dyDescent="0.25">
      <c r="A476">
        <v>2021</v>
      </c>
      <c r="B476" t="s">
        <v>1073</v>
      </c>
      <c r="C476" t="s">
        <v>3914</v>
      </c>
      <c r="D476" t="s">
        <v>3918</v>
      </c>
      <c r="E476" t="s">
        <v>426</v>
      </c>
      <c r="F476" t="s">
        <v>738</v>
      </c>
      <c r="G476" t="s">
        <v>22</v>
      </c>
      <c r="H476" t="s">
        <v>59</v>
      </c>
      <c r="I476">
        <v>44432</v>
      </c>
      <c r="J476">
        <v>44551</v>
      </c>
      <c r="K476">
        <v>44550</v>
      </c>
      <c r="L476">
        <v>1</v>
      </c>
      <c r="N476" t="s">
        <v>120</v>
      </c>
      <c r="O476">
        <v>44550</v>
      </c>
      <c r="P476" t="s">
        <v>739</v>
      </c>
      <c r="Q476">
        <v>3176.194</v>
      </c>
      <c r="R476">
        <v>7.0000000000000007E-2</v>
      </c>
      <c r="S476" t="s">
        <v>709</v>
      </c>
      <c r="T476" t="s">
        <v>709</v>
      </c>
      <c r="U476" t="s">
        <v>709</v>
      </c>
      <c r="V476">
        <v>1</v>
      </c>
      <c r="X476">
        <v>45374.2</v>
      </c>
      <c r="AA476">
        <v>45374.2</v>
      </c>
      <c r="AC476" t="s">
        <v>3919</v>
      </c>
      <c r="AM476" t="s">
        <v>116</v>
      </c>
      <c r="AN476">
        <v>44599</v>
      </c>
      <c r="AO476">
        <v>11039544</v>
      </c>
      <c r="AP476">
        <v>57599.51</v>
      </c>
      <c r="AR476">
        <v>10000</v>
      </c>
      <c r="AS476">
        <v>67599.509999999995</v>
      </c>
      <c r="AT476">
        <v>22225.31</v>
      </c>
      <c r="AU476">
        <v>1555.7717</v>
      </c>
      <c r="AV476" t="s">
        <v>709</v>
      </c>
      <c r="AW476" t="s">
        <v>2886</v>
      </c>
      <c r="AX476">
        <v>1555.7717</v>
      </c>
      <c r="AY476">
        <v>45008</v>
      </c>
      <c r="BA476" s="4" t="s">
        <v>3920</v>
      </c>
      <c r="BB476" t="s">
        <v>1078</v>
      </c>
      <c r="BC476" t="s">
        <v>709</v>
      </c>
      <c r="BD476" t="s">
        <v>709</v>
      </c>
      <c r="BE476" t="s">
        <v>1396</v>
      </c>
      <c r="BF476" t="s">
        <v>709</v>
      </c>
      <c r="BG476" t="s">
        <v>709</v>
      </c>
      <c r="BI476" t="s">
        <v>709</v>
      </c>
      <c r="BJ476" t="s">
        <v>709</v>
      </c>
      <c r="BK476" t="s">
        <v>116</v>
      </c>
      <c r="BL476" t="s">
        <v>116</v>
      </c>
      <c r="BM476" t="s">
        <v>709</v>
      </c>
      <c r="BN476" t="s">
        <v>709</v>
      </c>
      <c r="BO476" t="s">
        <v>709</v>
      </c>
      <c r="BP476" t="s">
        <v>709</v>
      </c>
      <c r="BQ476" t="s">
        <v>709</v>
      </c>
      <c r="BR476">
        <v>53</v>
      </c>
      <c r="BS476">
        <v>6</v>
      </c>
      <c r="BT476" t="s">
        <v>745</v>
      </c>
      <c r="BU476" t="s">
        <v>709</v>
      </c>
      <c r="BV476" t="s">
        <v>745</v>
      </c>
      <c r="BW476" t="s">
        <v>709</v>
      </c>
      <c r="BX476" t="s">
        <v>745</v>
      </c>
      <c r="BY476" t="s">
        <v>2788</v>
      </c>
      <c r="BZ476" t="s">
        <v>709</v>
      </c>
      <c r="CB476">
        <v>478</v>
      </c>
      <c r="CC476" t="b">
        <v>1</v>
      </c>
      <c r="CD476" t="s">
        <v>3921</v>
      </c>
      <c r="CE476" s="1482">
        <v>45880.734814814816</v>
      </c>
    </row>
    <row r="477" spans="1:83" ht="180" x14ac:dyDescent="0.25">
      <c r="A477">
        <v>2021</v>
      </c>
      <c r="B477" t="s">
        <v>771</v>
      </c>
      <c r="C477" t="s">
        <v>3922</v>
      </c>
      <c r="D477" t="s">
        <v>3923</v>
      </c>
      <c r="E477" t="s">
        <v>2298</v>
      </c>
      <c r="F477" t="s">
        <v>919</v>
      </c>
      <c r="G477" t="s">
        <v>36</v>
      </c>
      <c r="H477" t="s">
        <v>59</v>
      </c>
      <c r="I477">
        <v>44408</v>
      </c>
      <c r="J477">
        <v>44568</v>
      </c>
      <c r="K477">
        <v>44550</v>
      </c>
      <c r="L477">
        <v>18</v>
      </c>
      <c r="N477" t="s">
        <v>120</v>
      </c>
      <c r="O477">
        <v>44550</v>
      </c>
      <c r="P477" t="s">
        <v>120</v>
      </c>
      <c r="Q477">
        <v>24166.05</v>
      </c>
      <c r="R477" t="s">
        <v>2087</v>
      </c>
      <c r="S477" t="s">
        <v>709</v>
      </c>
      <c r="T477" t="s">
        <v>709</v>
      </c>
      <c r="U477" t="s">
        <v>709</v>
      </c>
      <c r="V477">
        <v>15591</v>
      </c>
      <c r="X477">
        <v>2420672.46</v>
      </c>
      <c r="Z477">
        <v>46144.21</v>
      </c>
      <c r="AA477">
        <v>2466816.67</v>
      </c>
      <c r="AC477" t="s">
        <v>709</v>
      </c>
      <c r="AM477" t="s">
        <v>709</v>
      </c>
      <c r="AY477" t="s">
        <v>29</v>
      </c>
      <c r="BA477" t="s">
        <v>3924</v>
      </c>
      <c r="BB477" s="4" t="s">
        <v>3925</v>
      </c>
      <c r="BC477" t="s">
        <v>116</v>
      </c>
      <c r="BD477" t="s">
        <v>709</v>
      </c>
      <c r="BE477" t="s">
        <v>3119</v>
      </c>
      <c r="BF477" t="s">
        <v>3926</v>
      </c>
      <c r="BG477" t="s">
        <v>709</v>
      </c>
      <c r="BI477" t="s">
        <v>709</v>
      </c>
      <c r="BJ477" t="s">
        <v>709</v>
      </c>
      <c r="BK477" t="s">
        <v>709</v>
      </c>
      <c r="BL477" t="s">
        <v>116</v>
      </c>
      <c r="BM477" t="s">
        <v>709</v>
      </c>
      <c r="BN477" t="s">
        <v>709</v>
      </c>
      <c r="BO477" t="s">
        <v>709</v>
      </c>
      <c r="BP477" t="s">
        <v>709</v>
      </c>
      <c r="BQ477" t="s">
        <v>709</v>
      </c>
      <c r="BR477">
        <v>2300</v>
      </c>
      <c r="BS477">
        <v>13293</v>
      </c>
      <c r="BT477" t="s">
        <v>745</v>
      </c>
      <c r="BU477" t="s">
        <v>709</v>
      </c>
      <c r="BV477" t="s">
        <v>745</v>
      </c>
      <c r="BW477" t="s">
        <v>709</v>
      </c>
      <c r="BX477" t="s">
        <v>745</v>
      </c>
      <c r="BY477" t="s">
        <v>745</v>
      </c>
      <c r="BZ477" t="s">
        <v>709</v>
      </c>
      <c r="CB477">
        <v>473</v>
      </c>
      <c r="CC477" t="b">
        <v>1</v>
      </c>
      <c r="CD477" t="s">
        <v>3927</v>
      </c>
      <c r="CE477" s="1482">
        <v>45880.734814814816</v>
      </c>
    </row>
    <row r="478" spans="1:83" ht="255" x14ac:dyDescent="0.25">
      <c r="A478">
        <v>2021</v>
      </c>
      <c r="B478" t="s">
        <v>1073</v>
      </c>
      <c r="C478" t="s">
        <v>3928</v>
      </c>
      <c r="D478" t="s">
        <v>3929</v>
      </c>
      <c r="E478" t="s">
        <v>426</v>
      </c>
      <c r="F478" t="s">
        <v>738</v>
      </c>
      <c r="G478" t="s">
        <v>22</v>
      </c>
      <c r="H478" t="s">
        <v>59</v>
      </c>
      <c r="I478">
        <v>44460</v>
      </c>
      <c r="J478">
        <v>44551</v>
      </c>
      <c r="K478">
        <v>44550</v>
      </c>
      <c r="L478">
        <v>1</v>
      </c>
      <c r="N478" t="s">
        <v>120</v>
      </c>
      <c r="O478">
        <v>44550</v>
      </c>
      <c r="P478" t="s">
        <v>739</v>
      </c>
      <c r="Q478">
        <v>16575.626199999999</v>
      </c>
      <c r="R478">
        <v>7.0000000000000007E-2</v>
      </c>
      <c r="S478" t="s">
        <v>709</v>
      </c>
      <c r="T478" t="s">
        <v>709</v>
      </c>
      <c r="U478" t="s">
        <v>709</v>
      </c>
      <c r="V478">
        <v>793</v>
      </c>
      <c r="X478">
        <v>236794.66</v>
      </c>
      <c r="AA478">
        <v>236794.66</v>
      </c>
      <c r="AC478" t="s">
        <v>1177</v>
      </c>
      <c r="AM478" t="s">
        <v>116</v>
      </c>
      <c r="AN478">
        <v>44649</v>
      </c>
      <c r="AO478">
        <v>11040219</v>
      </c>
      <c r="AP478">
        <v>237902.9</v>
      </c>
      <c r="AR478">
        <v>0</v>
      </c>
      <c r="AS478">
        <v>237902.9</v>
      </c>
      <c r="AT478">
        <v>1108.24</v>
      </c>
      <c r="AU478">
        <v>77.576800000000006</v>
      </c>
      <c r="AV478" t="s">
        <v>709</v>
      </c>
      <c r="AX478">
        <v>77.576800000000006</v>
      </c>
      <c r="AY478">
        <v>45008</v>
      </c>
      <c r="BA478" s="4" t="s">
        <v>3930</v>
      </c>
      <c r="BB478" s="4" t="s">
        <v>3931</v>
      </c>
      <c r="BC478" t="s">
        <v>709</v>
      </c>
      <c r="BD478" t="s">
        <v>709</v>
      </c>
      <c r="BE478" t="s">
        <v>709</v>
      </c>
      <c r="BF478" t="s">
        <v>709</v>
      </c>
      <c r="BG478" t="s">
        <v>3932</v>
      </c>
      <c r="BI478" t="s">
        <v>709</v>
      </c>
      <c r="BJ478" t="s">
        <v>709</v>
      </c>
      <c r="BK478" t="s">
        <v>116</v>
      </c>
      <c r="BL478" t="s">
        <v>709</v>
      </c>
      <c r="BM478" t="s">
        <v>709</v>
      </c>
      <c r="BN478" t="s">
        <v>709</v>
      </c>
      <c r="BO478" t="s">
        <v>709</v>
      </c>
      <c r="BP478" t="s">
        <v>709</v>
      </c>
      <c r="BQ478">
        <v>165</v>
      </c>
      <c r="BR478">
        <v>5</v>
      </c>
      <c r="BS478" t="s">
        <v>709</v>
      </c>
      <c r="BT478" t="s">
        <v>745</v>
      </c>
      <c r="BU478" t="s">
        <v>709</v>
      </c>
      <c r="BV478" t="s">
        <v>745</v>
      </c>
      <c r="BW478" t="s">
        <v>709</v>
      </c>
      <c r="BX478" t="s">
        <v>745</v>
      </c>
      <c r="BY478">
        <v>1</v>
      </c>
      <c r="BZ478" t="s">
        <v>709</v>
      </c>
      <c r="CB478">
        <v>474</v>
      </c>
      <c r="CC478" t="b">
        <v>1</v>
      </c>
      <c r="CD478" t="s">
        <v>3933</v>
      </c>
      <c r="CE478" s="1482">
        <v>45880.734826388885</v>
      </c>
    </row>
    <row r="479" spans="1:83" ht="210" x14ac:dyDescent="0.25">
      <c r="A479">
        <v>2021</v>
      </c>
      <c r="B479" t="s">
        <v>1073</v>
      </c>
      <c r="C479" t="s">
        <v>3928</v>
      </c>
      <c r="D479" t="s">
        <v>3934</v>
      </c>
      <c r="E479" t="s">
        <v>426</v>
      </c>
      <c r="F479" t="s">
        <v>738</v>
      </c>
      <c r="G479" t="s">
        <v>22</v>
      </c>
      <c r="H479" t="s">
        <v>59</v>
      </c>
      <c r="I479">
        <v>44460</v>
      </c>
      <c r="J479">
        <v>44551</v>
      </c>
      <c r="K479">
        <v>44550</v>
      </c>
      <c r="L479">
        <v>1</v>
      </c>
      <c r="N479" t="s">
        <v>120</v>
      </c>
      <c r="O479">
        <v>44550</v>
      </c>
      <c r="P479" t="s">
        <v>739</v>
      </c>
      <c r="Q479">
        <v>7252.3108000000002</v>
      </c>
      <c r="R479">
        <v>7.0000000000000007E-2</v>
      </c>
      <c r="S479" t="s">
        <v>709</v>
      </c>
      <c r="T479" t="s">
        <v>709</v>
      </c>
      <c r="U479" t="s">
        <v>709</v>
      </c>
      <c r="X479">
        <v>103604.44</v>
      </c>
      <c r="AA479">
        <v>103604.44</v>
      </c>
      <c r="AC479" t="s">
        <v>1177</v>
      </c>
      <c r="AM479" t="s">
        <v>116</v>
      </c>
      <c r="AN479">
        <v>44649</v>
      </c>
      <c r="AO479">
        <v>11040265</v>
      </c>
      <c r="AP479">
        <v>103192.61</v>
      </c>
      <c r="AR479">
        <v>0</v>
      </c>
      <c r="AS479">
        <v>103192.61</v>
      </c>
      <c r="AT479">
        <v>-411.83</v>
      </c>
      <c r="AU479">
        <v>-28.828099999999999</v>
      </c>
      <c r="AV479" t="s">
        <v>709</v>
      </c>
      <c r="AX479">
        <v>-28.828099999999999</v>
      </c>
      <c r="AY479">
        <v>45008</v>
      </c>
      <c r="BA479" s="4" t="s">
        <v>3935</v>
      </c>
      <c r="BB479" s="4" t="s">
        <v>3931</v>
      </c>
      <c r="BC479" t="s">
        <v>709</v>
      </c>
      <c r="BD479" t="s">
        <v>709</v>
      </c>
      <c r="BE479" t="s">
        <v>709</v>
      </c>
      <c r="BF479" t="s">
        <v>709</v>
      </c>
      <c r="BG479" t="s">
        <v>3932</v>
      </c>
      <c r="BI479" t="s">
        <v>709</v>
      </c>
      <c r="BJ479" t="s">
        <v>709</v>
      </c>
      <c r="BK479" t="s">
        <v>116</v>
      </c>
      <c r="BL479" t="s">
        <v>709</v>
      </c>
      <c r="BM479" t="s">
        <v>709</v>
      </c>
      <c r="BN479" t="s">
        <v>709</v>
      </c>
      <c r="BO479" t="s">
        <v>709</v>
      </c>
      <c r="BP479" t="s">
        <v>709</v>
      </c>
      <c r="BQ479">
        <v>165</v>
      </c>
      <c r="BR479">
        <v>5</v>
      </c>
      <c r="BS479" t="s">
        <v>709</v>
      </c>
      <c r="BT479" t="s">
        <v>745</v>
      </c>
      <c r="BU479" t="s">
        <v>709</v>
      </c>
      <c r="BV479" t="s">
        <v>745</v>
      </c>
      <c r="BW479" t="s">
        <v>709</v>
      </c>
      <c r="BX479" t="s">
        <v>745</v>
      </c>
      <c r="BY479">
        <v>1</v>
      </c>
      <c r="BZ479" t="s">
        <v>709</v>
      </c>
      <c r="CB479">
        <v>475</v>
      </c>
      <c r="CC479" t="b">
        <v>1</v>
      </c>
      <c r="CD479" t="s">
        <v>3936</v>
      </c>
      <c r="CE479" s="1482">
        <v>45880.734826388885</v>
      </c>
    </row>
    <row r="480" spans="1:83" ht="240" x14ac:dyDescent="0.25">
      <c r="A480">
        <v>2021</v>
      </c>
      <c r="B480" t="s">
        <v>1073</v>
      </c>
      <c r="C480" t="s">
        <v>3928</v>
      </c>
      <c r="D480" t="s">
        <v>3937</v>
      </c>
      <c r="E480" t="s">
        <v>426</v>
      </c>
      <c r="F480" t="s">
        <v>738</v>
      </c>
      <c r="G480" t="s">
        <v>22</v>
      </c>
      <c r="H480" t="s">
        <v>59</v>
      </c>
      <c r="I480">
        <v>44460</v>
      </c>
      <c r="J480">
        <v>44551</v>
      </c>
      <c r="K480">
        <v>44550</v>
      </c>
      <c r="L480">
        <v>1</v>
      </c>
      <c r="N480" t="s">
        <v>120</v>
      </c>
      <c r="O480">
        <v>44550</v>
      </c>
      <c r="P480" t="s">
        <v>739</v>
      </c>
      <c r="Q480">
        <v>7014.4543000000003</v>
      </c>
      <c r="R480">
        <v>7.0000000000000007E-2</v>
      </c>
      <c r="S480" t="s">
        <v>709</v>
      </c>
      <c r="T480" t="s">
        <v>709</v>
      </c>
      <c r="U480" t="s">
        <v>709</v>
      </c>
      <c r="X480">
        <v>100206.49</v>
      </c>
      <c r="AA480">
        <v>100206.49</v>
      </c>
      <c r="AC480" t="s">
        <v>3919</v>
      </c>
      <c r="AM480" t="s">
        <v>116</v>
      </c>
      <c r="AN480">
        <v>44649</v>
      </c>
      <c r="AO480">
        <v>11040350</v>
      </c>
      <c r="AP480">
        <v>102638.77</v>
      </c>
      <c r="AR480">
        <v>0</v>
      </c>
      <c r="AS480">
        <v>102638.77</v>
      </c>
      <c r="AT480">
        <v>2432.2800000000002</v>
      </c>
      <c r="AU480">
        <v>170.25960000000001</v>
      </c>
      <c r="AV480" t="s">
        <v>709</v>
      </c>
      <c r="AX480">
        <v>170.25960000000001</v>
      </c>
      <c r="AY480">
        <v>45008</v>
      </c>
      <c r="BA480" s="4" t="s">
        <v>3938</v>
      </c>
      <c r="BB480" s="4" t="s">
        <v>3931</v>
      </c>
      <c r="BC480" t="s">
        <v>709</v>
      </c>
      <c r="BD480" t="s">
        <v>709</v>
      </c>
      <c r="BE480" t="s">
        <v>709</v>
      </c>
      <c r="BF480" t="s">
        <v>709</v>
      </c>
      <c r="BG480" t="s">
        <v>3932</v>
      </c>
      <c r="BI480" t="s">
        <v>709</v>
      </c>
      <c r="BJ480" t="s">
        <v>709</v>
      </c>
      <c r="BK480" t="s">
        <v>116</v>
      </c>
      <c r="BL480" t="s">
        <v>709</v>
      </c>
      <c r="BM480" t="s">
        <v>709</v>
      </c>
      <c r="BN480" t="s">
        <v>709</v>
      </c>
      <c r="BO480" t="s">
        <v>709</v>
      </c>
      <c r="BP480" t="s">
        <v>709</v>
      </c>
      <c r="BQ480">
        <v>165</v>
      </c>
      <c r="BR480">
        <v>5</v>
      </c>
      <c r="BS480" t="s">
        <v>709</v>
      </c>
      <c r="BT480" t="s">
        <v>745</v>
      </c>
      <c r="BU480" t="s">
        <v>709</v>
      </c>
      <c r="BV480" t="s">
        <v>745</v>
      </c>
      <c r="BW480" t="s">
        <v>709</v>
      </c>
      <c r="BX480" t="s">
        <v>745</v>
      </c>
      <c r="BY480">
        <v>1</v>
      </c>
      <c r="BZ480" t="s">
        <v>709</v>
      </c>
      <c r="CB480">
        <v>476</v>
      </c>
      <c r="CC480" t="b">
        <v>1</v>
      </c>
      <c r="CD480" t="s">
        <v>3939</v>
      </c>
      <c r="CE480" s="1482">
        <v>45880.734826388885</v>
      </c>
    </row>
    <row r="481" spans="1:83" ht="135" x14ac:dyDescent="0.25">
      <c r="A481">
        <v>2022</v>
      </c>
      <c r="B481" t="s">
        <v>771</v>
      </c>
      <c r="C481" t="s">
        <v>3940</v>
      </c>
      <c r="D481" t="s">
        <v>3941</v>
      </c>
      <c r="E481" t="s">
        <v>3942</v>
      </c>
      <c r="F481" t="s">
        <v>919</v>
      </c>
      <c r="G481" t="s">
        <v>23</v>
      </c>
      <c r="H481" t="s">
        <v>59</v>
      </c>
      <c r="I481">
        <v>44460</v>
      </c>
      <c r="J481">
        <v>44551</v>
      </c>
      <c r="K481">
        <v>44551</v>
      </c>
      <c r="L481">
        <v>0</v>
      </c>
      <c r="N481" t="s">
        <v>120</v>
      </c>
      <c r="O481">
        <v>44551</v>
      </c>
      <c r="P481" t="s">
        <v>120</v>
      </c>
      <c r="Q481">
        <v>21357.45</v>
      </c>
      <c r="R481" t="s">
        <v>2087</v>
      </c>
      <c r="S481" t="s">
        <v>709</v>
      </c>
      <c r="T481" t="s">
        <v>709</v>
      </c>
      <c r="U481" t="s">
        <v>709</v>
      </c>
      <c r="V481">
        <v>13779</v>
      </c>
      <c r="X481">
        <v>2848803.45</v>
      </c>
      <c r="Z481">
        <v>268836.17</v>
      </c>
      <c r="AA481">
        <v>3117639.62</v>
      </c>
      <c r="AC481" t="s">
        <v>709</v>
      </c>
      <c r="AM481" t="s">
        <v>709</v>
      </c>
      <c r="AY481" t="s">
        <v>29</v>
      </c>
      <c r="BA481" t="s">
        <v>3943</v>
      </c>
      <c r="BB481" s="4" t="s">
        <v>3944</v>
      </c>
      <c r="BC481" t="s">
        <v>116</v>
      </c>
      <c r="BD481" t="s">
        <v>709</v>
      </c>
      <c r="BE481" t="s">
        <v>3945</v>
      </c>
      <c r="BF481" t="s">
        <v>709</v>
      </c>
      <c r="BG481" t="s">
        <v>709</v>
      </c>
      <c r="BI481" t="s">
        <v>709</v>
      </c>
      <c r="BJ481" t="s">
        <v>709</v>
      </c>
      <c r="BK481" t="s">
        <v>709</v>
      </c>
      <c r="BL481" t="s">
        <v>116</v>
      </c>
      <c r="BM481" t="s">
        <v>709</v>
      </c>
      <c r="BN481" t="s">
        <v>709</v>
      </c>
      <c r="BO481" t="s">
        <v>709</v>
      </c>
      <c r="BP481" t="s">
        <v>709</v>
      </c>
      <c r="BQ481" t="s">
        <v>709</v>
      </c>
      <c r="BR481">
        <v>4846</v>
      </c>
      <c r="BS481">
        <v>8933</v>
      </c>
      <c r="BT481" t="s">
        <v>709</v>
      </c>
      <c r="BU481" t="s">
        <v>709</v>
      </c>
      <c r="BV481" t="s">
        <v>745</v>
      </c>
      <c r="BW481" t="s">
        <v>709</v>
      </c>
      <c r="BX481" t="s">
        <v>709</v>
      </c>
      <c r="BY481" t="s">
        <v>745</v>
      </c>
      <c r="BZ481" t="s">
        <v>709</v>
      </c>
      <c r="CB481">
        <v>479</v>
      </c>
      <c r="CC481" t="b">
        <v>1</v>
      </c>
      <c r="CD481" t="s">
        <v>3946</v>
      </c>
      <c r="CE481" s="1482">
        <v>45880.734826388885</v>
      </c>
    </row>
    <row r="482" spans="1:83" x14ac:dyDescent="0.25">
      <c r="A482">
        <v>2021</v>
      </c>
      <c r="B482" t="s">
        <v>4</v>
      </c>
      <c r="C482" t="s">
        <v>121</v>
      </c>
      <c r="D482">
        <v>120391</v>
      </c>
      <c r="E482" t="s">
        <v>122</v>
      </c>
      <c r="F482" t="s">
        <v>919</v>
      </c>
      <c r="G482" t="s">
        <v>36</v>
      </c>
      <c r="H482" t="s">
        <v>3178</v>
      </c>
      <c r="I482">
        <v>44363</v>
      </c>
      <c r="J482" t="s">
        <v>2052</v>
      </c>
      <c r="K482">
        <v>44553</v>
      </c>
      <c r="L482">
        <v>190</v>
      </c>
      <c r="M482" t="s">
        <v>3947</v>
      </c>
      <c r="N482" t="s">
        <v>120</v>
      </c>
      <c r="O482">
        <v>44553</v>
      </c>
      <c r="P482" t="s">
        <v>739</v>
      </c>
      <c r="Q482">
        <v>7930</v>
      </c>
      <c r="R482" t="s">
        <v>1922</v>
      </c>
      <c r="S482" t="s">
        <v>709</v>
      </c>
      <c r="T482" t="s">
        <v>709</v>
      </c>
      <c r="U482">
        <v>7930</v>
      </c>
      <c r="AM482" t="s">
        <v>709</v>
      </c>
      <c r="AY482" t="s">
        <v>29</v>
      </c>
      <c r="BA482">
        <v>12</v>
      </c>
      <c r="BI482" t="s">
        <v>709</v>
      </c>
      <c r="BJ482" t="s">
        <v>709</v>
      </c>
      <c r="BK482" t="s">
        <v>709</v>
      </c>
      <c r="BL482" t="s">
        <v>116</v>
      </c>
      <c r="BM482" t="s">
        <v>709</v>
      </c>
      <c r="BN482" t="s">
        <v>709</v>
      </c>
      <c r="BO482" t="s">
        <v>709</v>
      </c>
      <c r="BP482">
        <v>3618</v>
      </c>
      <c r="BQ482">
        <v>2805</v>
      </c>
      <c r="BR482">
        <v>12</v>
      </c>
      <c r="BS482">
        <v>291</v>
      </c>
      <c r="BT482" t="s">
        <v>745</v>
      </c>
      <c r="BU482" t="s">
        <v>709</v>
      </c>
      <c r="BV482" t="s">
        <v>745</v>
      </c>
      <c r="BW482" t="s">
        <v>709</v>
      </c>
      <c r="BX482" t="s">
        <v>745</v>
      </c>
      <c r="BY482" t="s">
        <v>745</v>
      </c>
      <c r="BZ482" t="s">
        <v>709</v>
      </c>
      <c r="CB482">
        <v>480</v>
      </c>
      <c r="CC482" t="b">
        <v>1</v>
      </c>
      <c r="CD482" t="s">
        <v>3948</v>
      </c>
      <c r="CE482" s="1482">
        <v>45880.734837962962</v>
      </c>
    </row>
    <row r="483" spans="1:83" x14ac:dyDescent="0.25">
      <c r="A483">
        <v>2021</v>
      </c>
      <c r="B483" t="s">
        <v>4</v>
      </c>
      <c r="C483" t="s">
        <v>213</v>
      </c>
      <c r="D483">
        <v>140862</v>
      </c>
      <c r="E483" t="s">
        <v>141</v>
      </c>
      <c r="F483" t="s">
        <v>919</v>
      </c>
      <c r="G483" t="s">
        <v>2814</v>
      </c>
      <c r="H483" t="s">
        <v>3178</v>
      </c>
      <c r="I483">
        <v>44539</v>
      </c>
      <c r="J483" t="s">
        <v>2052</v>
      </c>
      <c r="K483">
        <v>44553</v>
      </c>
      <c r="L483">
        <v>14</v>
      </c>
      <c r="M483" t="s">
        <v>3949</v>
      </c>
      <c r="N483" t="s">
        <v>120</v>
      </c>
      <c r="O483">
        <v>44553</v>
      </c>
      <c r="P483" t="s">
        <v>739</v>
      </c>
      <c r="Q483">
        <v>8955</v>
      </c>
      <c r="R483" t="s">
        <v>1922</v>
      </c>
      <c r="S483" t="s">
        <v>709</v>
      </c>
      <c r="T483" t="s">
        <v>709</v>
      </c>
      <c r="U483">
        <v>8955</v>
      </c>
      <c r="AM483" t="s">
        <v>709</v>
      </c>
      <c r="AY483" t="s">
        <v>29</v>
      </c>
      <c r="BA483">
        <v>12</v>
      </c>
      <c r="BI483" t="s">
        <v>709</v>
      </c>
      <c r="BJ483" t="s">
        <v>709</v>
      </c>
      <c r="BK483" t="s">
        <v>709</v>
      </c>
      <c r="BL483" t="s">
        <v>116</v>
      </c>
      <c r="BM483" t="s">
        <v>709</v>
      </c>
      <c r="BN483" t="s">
        <v>709</v>
      </c>
      <c r="BO483" t="s">
        <v>709</v>
      </c>
      <c r="BP483">
        <v>2695</v>
      </c>
      <c r="BQ483">
        <v>173</v>
      </c>
      <c r="BR483">
        <v>5</v>
      </c>
      <c r="BS483">
        <v>800</v>
      </c>
      <c r="BT483" t="s">
        <v>745</v>
      </c>
      <c r="BU483" t="s">
        <v>709</v>
      </c>
      <c r="BV483" t="s">
        <v>745</v>
      </c>
      <c r="BW483" t="s">
        <v>709</v>
      </c>
      <c r="BX483" t="s">
        <v>745</v>
      </c>
      <c r="BY483" t="s">
        <v>745</v>
      </c>
      <c r="BZ483" t="s">
        <v>709</v>
      </c>
      <c r="CB483">
        <v>481</v>
      </c>
      <c r="CC483" t="b">
        <v>1</v>
      </c>
      <c r="CD483" t="s">
        <v>3950</v>
      </c>
      <c r="CE483" s="1482">
        <v>45880.734837962962</v>
      </c>
    </row>
    <row r="484" spans="1:83" ht="210" x14ac:dyDescent="0.25">
      <c r="A484">
        <v>2021</v>
      </c>
      <c r="B484" t="s">
        <v>1073</v>
      </c>
      <c r="C484" t="s">
        <v>3951</v>
      </c>
      <c r="D484" t="s">
        <v>3952</v>
      </c>
      <c r="E484" t="s">
        <v>2187</v>
      </c>
      <c r="F484" t="s">
        <v>919</v>
      </c>
      <c r="G484" t="s">
        <v>2814</v>
      </c>
      <c r="H484" t="s">
        <v>59</v>
      </c>
      <c r="I484">
        <v>44504</v>
      </c>
      <c r="J484">
        <v>44574</v>
      </c>
      <c r="K484">
        <v>44553</v>
      </c>
      <c r="L484">
        <v>21</v>
      </c>
      <c r="N484" t="s">
        <v>120</v>
      </c>
      <c r="O484">
        <v>44553</v>
      </c>
      <c r="P484" t="s">
        <v>739</v>
      </c>
      <c r="Q484">
        <v>49751.9925</v>
      </c>
      <c r="R484">
        <v>7.0000000000000007E-2</v>
      </c>
      <c r="S484" t="s">
        <v>709</v>
      </c>
      <c r="T484" t="s">
        <v>709</v>
      </c>
      <c r="U484" t="s">
        <v>709</v>
      </c>
      <c r="V484">
        <v>9486</v>
      </c>
      <c r="X484">
        <v>668287.15</v>
      </c>
      <c r="Z484">
        <v>42455.6</v>
      </c>
      <c r="AA484">
        <v>710742.75</v>
      </c>
      <c r="AC484" t="s">
        <v>709</v>
      </c>
      <c r="AM484" t="s">
        <v>116</v>
      </c>
      <c r="AN484">
        <v>44685</v>
      </c>
      <c r="AO484">
        <v>11041217</v>
      </c>
      <c r="AP484">
        <v>668294.87</v>
      </c>
      <c r="AR484">
        <v>43270.91</v>
      </c>
      <c r="AS484">
        <v>711565.78</v>
      </c>
      <c r="AT484">
        <v>823.03</v>
      </c>
      <c r="AU484">
        <v>57.612099999999998</v>
      </c>
      <c r="AV484">
        <v>4475</v>
      </c>
      <c r="AW484" s="4" t="s">
        <v>3953</v>
      </c>
      <c r="AX484">
        <v>0</v>
      </c>
      <c r="AY484">
        <v>45008</v>
      </c>
      <c r="BA484" t="s">
        <v>3954</v>
      </c>
      <c r="BB484" s="4" t="s">
        <v>3955</v>
      </c>
      <c r="BC484" t="s">
        <v>709</v>
      </c>
      <c r="BD484" t="s">
        <v>3956</v>
      </c>
      <c r="BE484" t="s">
        <v>709</v>
      </c>
      <c r="BF484" t="s">
        <v>3957</v>
      </c>
      <c r="BG484" t="s">
        <v>709</v>
      </c>
      <c r="BI484" t="s">
        <v>709</v>
      </c>
      <c r="BJ484" t="s">
        <v>709</v>
      </c>
      <c r="BK484" t="s">
        <v>709</v>
      </c>
      <c r="BL484" t="s">
        <v>116</v>
      </c>
      <c r="BM484" t="s">
        <v>709</v>
      </c>
      <c r="BN484" t="s">
        <v>709</v>
      </c>
      <c r="BO484" t="s">
        <v>709</v>
      </c>
      <c r="BP484" t="s">
        <v>709</v>
      </c>
      <c r="BQ484" t="s">
        <v>709</v>
      </c>
      <c r="BR484">
        <v>9486</v>
      </c>
      <c r="BS484" t="s">
        <v>709</v>
      </c>
      <c r="BT484" t="s">
        <v>709</v>
      </c>
      <c r="BU484" t="s">
        <v>709</v>
      </c>
      <c r="BV484" t="s">
        <v>745</v>
      </c>
      <c r="BW484" t="s">
        <v>709</v>
      </c>
      <c r="BX484" t="s">
        <v>709</v>
      </c>
      <c r="BY484" t="s">
        <v>745</v>
      </c>
      <c r="BZ484" t="s">
        <v>709</v>
      </c>
      <c r="CB484">
        <v>482</v>
      </c>
      <c r="CC484" t="b">
        <v>1</v>
      </c>
      <c r="CD484" t="s">
        <v>3958</v>
      </c>
      <c r="CE484" s="1482">
        <v>45880.734837962962</v>
      </c>
    </row>
    <row r="485" spans="1:83" x14ac:dyDescent="0.25">
      <c r="A485">
        <v>2022</v>
      </c>
      <c r="B485" t="s">
        <v>1073</v>
      </c>
      <c r="C485" t="s">
        <v>210</v>
      </c>
      <c r="D485" t="s">
        <v>3718</v>
      </c>
      <c r="E485" t="s">
        <v>966</v>
      </c>
      <c r="F485" t="s">
        <v>738</v>
      </c>
      <c r="G485" t="s">
        <v>2814</v>
      </c>
      <c r="H485" t="s">
        <v>3178</v>
      </c>
      <c r="I485">
        <v>44546</v>
      </c>
      <c r="J485" t="s">
        <v>2052</v>
      </c>
      <c r="K485">
        <v>44553</v>
      </c>
      <c r="L485">
        <v>7</v>
      </c>
      <c r="M485" t="s">
        <v>3959</v>
      </c>
      <c r="N485" t="s">
        <v>120</v>
      </c>
      <c r="O485">
        <v>44553</v>
      </c>
      <c r="P485" t="s">
        <v>739</v>
      </c>
      <c r="Q485">
        <v>3175</v>
      </c>
      <c r="R485" t="s">
        <v>1922</v>
      </c>
      <c r="S485" t="s">
        <v>709</v>
      </c>
      <c r="T485" t="s">
        <v>709</v>
      </c>
      <c r="U485">
        <v>3175</v>
      </c>
      <c r="AM485" t="s">
        <v>709</v>
      </c>
      <c r="AY485" t="s">
        <v>29</v>
      </c>
      <c r="BA485">
        <v>12</v>
      </c>
      <c r="BI485" t="s">
        <v>709</v>
      </c>
      <c r="BJ485" t="s">
        <v>709</v>
      </c>
      <c r="BK485" t="s">
        <v>709</v>
      </c>
      <c r="BL485" t="s">
        <v>116</v>
      </c>
      <c r="BM485" t="s">
        <v>709</v>
      </c>
      <c r="BN485" t="s">
        <v>709</v>
      </c>
      <c r="BO485" t="s">
        <v>709</v>
      </c>
      <c r="BP485">
        <v>393</v>
      </c>
      <c r="BQ485" t="s">
        <v>709</v>
      </c>
      <c r="BR485" t="s">
        <v>709</v>
      </c>
      <c r="BS485" t="s">
        <v>709</v>
      </c>
      <c r="BT485" t="s">
        <v>745</v>
      </c>
      <c r="BU485" t="s">
        <v>709</v>
      </c>
      <c r="BV485" t="s">
        <v>745</v>
      </c>
      <c r="BW485" t="s">
        <v>709</v>
      </c>
      <c r="BX485" t="s">
        <v>745</v>
      </c>
      <c r="BY485" t="s">
        <v>745</v>
      </c>
      <c r="BZ485" t="s">
        <v>709</v>
      </c>
      <c r="CB485">
        <v>483</v>
      </c>
      <c r="CC485" t="b">
        <v>1</v>
      </c>
      <c r="CD485" t="s">
        <v>3960</v>
      </c>
      <c r="CE485" s="1482">
        <v>45880.734849537039</v>
      </c>
    </row>
    <row r="486" spans="1:83" x14ac:dyDescent="0.25">
      <c r="A486">
        <v>2022</v>
      </c>
      <c r="B486" t="s">
        <v>4</v>
      </c>
      <c r="C486" t="s">
        <v>3961</v>
      </c>
      <c r="D486" t="s">
        <v>3962</v>
      </c>
      <c r="E486" t="s">
        <v>3963</v>
      </c>
      <c r="F486" t="s">
        <v>738</v>
      </c>
      <c r="G486" t="s">
        <v>39</v>
      </c>
      <c r="H486" t="s">
        <v>59</v>
      </c>
      <c r="I486">
        <v>44466</v>
      </c>
      <c r="J486">
        <v>44575</v>
      </c>
      <c r="K486">
        <v>44565</v>
      </c>
      <c r="L486">
        <v>10</v>
      </c>
      <c r="N486" t="s">
        <v>120</v>
      </c>
      <c r="O486">
        <v>44565</v>
      </c>
      <c r="P486" t="s">
        <v>739</v>
      </c>
      <c r="Q486">
        <v>210765.35399999999</v>
      </c>
      <c r="R486">
        <v>0.1</v>
      </c>
      <c r="S486" t="s">
        <v>709</v>
      </c>
      <c r="T486" t="s">
        <v>709</v>
      </c>
      <c r="U486" t="s">
        <v>709</v>
      </c>
      <c r="V486">
        <v>7422</v>
      </c>
      <c r="X486">
        <v>2023611.69</v>
      </c>
      <c r="Z486">
        <v>84041.85</v>
      </c>
      <c r="AA486">
        <v>2107653.54</v>
      </c>
      <c r="AC486" t="s">
        <v>116</v>
      </c>
      <c r="AM486" t="s">
        <v>116</v>
      </c>
      <c r="AN486">
        <v>44701</v>
      </c>
      <c r="AO486">
        <v>11041304</v>
      </c>
      <c r="AP486">
        <v>2073038.98</v>
      </c>
      <c r="AR486">
        <v>84078.71</v>
      </c>
      <c r="AS486">
        <v>2157117.69</v>
      </c>
      <c r="AT486">
        <v>49464.15</v>
      </c>
      <c r="AU486">
        <v>4946.415</v>
      </c>
      <c r="AV486" t="s">
        <v>709</v>
      </c>
      <c r="AW486" t="s">
        <v>3964</v>
      </c>
      <c r="AX486">
        <v>4946.415</v>
      </c>
      <c r="AY486">
        <v>45008</v>
      </c>
      <c r="BA486" t="s">
        <v>3965</v>
      </c>
      <c r="BB486" t="s">
        <v>709</v>
      </c>
      <c r="BC486" t="s">
        <v>116</v>
      </c>
      <c r="BD486" t="s">
        <v>709</v>
      </c>
      <c r="BE486" t="s">
        <v>3966</v>
      </c>
      <c r="BF486" t="s">
        <v>3967</v>
      </c>
      <c r="BG486" t="s">
        <v>709</v>
      </c>
      <c r="BI486" t="s">
        <v>709</v>
      </c>
      <c r="BJ486" t="s">
        <v>709</v>
      </c>
      <c r="BK486" t="s">
        <v>709</v>
      </c>
      <c r="BL486" t="s">
        <v>116</v>
      </c>
      <c r="BM486" t="s">
        <v>709</v>
      </c>
      <c r="BN486" t="s">
        <v>709</v>
      </c>
      <c r="BO486" t="s">
        <v>709</v>
      </c>
      <c r="BP486">
        <v>220</v>
      </c>
      <c r="BQ486" t="s">
        <v>709</v>
      </c>
      <c r="BR486">
        <v>5217</v>
      </c>
      <c r="BS486">
        <v>1985</v>
      </c>
      <c r="BT486" t="s">
        <v>745</v>
      </c>
      <c r="BU486" t="s">
        <v>709</v>
      </c>
      <c r="BV486" t="s">
        <v>745</v>
      </c>
      <c r="BW486" t="s">
        <v>709</v>
      </c>
      <c r="BX486" t="s">
        <v>745</v>
      </c>
      <c r="BY486" t="s">
        <v>745</v>
      </c>
      <c r="BZ486" t="s">
        <v>709</v>
      </c>
      <c r="CB486">
        <v>484</v>
      </c>
      <c r="CC486" t="b">
        <v>1</v>
      </c>
      <c r="CD486" t="s">
        <v>3968</v>
      </c>
      <c r="CE486" s="1482">
        <v>45880.734849537039</v>
      </c>
    </row>
    <row r="487" spans="1:83" x14ac:dyDescent="0.25">
      <c r="A487">
        <v>2022</v>
      </c>
      <c r="B487" t="s">
        <v>2989</v>
      </c>
      <c r="C487" t="s">
        <v>3969</v>
      </c>
      <c r="D487" t="s">
        <v>3970</v>
      </c>
      <c r="E487" t="s">
        <v>393</v>
      </c>
      <c r="F487" t="s">
        <v>752</v>
      </c>
      <c r="G487" t="s">
        <v>23</v>
      </c>
      <c r="H487" t="s">
        <v>2127</v>
      </c>
      <c r="I487">
        <v>44523</v>
      </c>
      <c r="J487">
        <v>44607</v>
      </c>
      <c r="K487">
        <v>44567</v>
      </c>
      <c r="L487">
        <v>40</v>
      </c>
      <c r="M487" t="s">
        <v>3971</v>
      </c>
      <c r="N487" t="s">
        <v>120</v>
      </c>
      <c r="O487">
        <v>44567</v>
      </c>
      <c r="P487" t="s">
        <v>739</v>
      </c>
      <c r="Q487" t="s">
        <v>115</v>
      </c>
      <c r="R487" t="s">
        <v>115</v>
      </c>
      <c r="S487" t="s">
        <v>709</v>
      </c>
      <c r="T487" t="s">
        <v>709</v>
      </c>
      <c r="U487" t="s">
        <v>709</v>
      </c>
      <c r="AC487" t="s">
        <v>29</v>
      </c>
      <c r="AM487" t="s">
        <v>709</v>
      </c>
      <c r="AY487" t="s">
        <v>29</v>
      </c>
      <c r="BA487" t="s">
        <v>3972</v>
      </c>
      <c r="BB487" t="s">
        <v>739</v>
      </c>
      <c r="BZ487" t="s">
        <v>709</v>
      </c>
      <c r="CA487" t="s">
        <v>2</v>
      </c>
      <c r="CB487">
        <v>485</v>
      </c>
      <c r="CC487" t="b">
        <v>1</v>
      </c>
      <c r="CD487" t="s">
        <v>3973</v>
      </c>
      <c r="CE487" s="1482">
        <v>45880.734849537039</v>
      </c>
    </row>
    <row r="488" spans="1:83" x14ac:dyDescent="0.25">
      <c r="A488">
        <v>2021</v>
      </c>
      <c r="B488" t="s">
        <v>771</v>
      </c>
      <c r="C488" t="s">
        <v>3814</v>
      </c>
      <c r="D488">
        <v>1210601</v>
      </c>
      <c r="E488" t="s">
        <v>137</v>
      </c>
      <c r="F488" t="s">
        <v>738</v>
      </c>
      <c r="G488" t="s">
        <v>23</v>
      </c>
      <c r="H488" t="s">
        <v>3178</v>
      </c>
      <c r="I488">
        <v>44553</v>
      </c>
      <c r="J488" t="s">
        <v>2052</v>
      </c>
      <c r="K488">
        <v>44568</v>
      </c>
      <c r="L488">
        <v>15</v>
      </c>
      <c r="M488" t="s">
        <v>3974</v>
      </c>
      <c r="N488" t="s">
        <v>120</v>
      </c>
      <c r="O488">
        <v>44568</v>
      </c>
      <c r="P488" t="s">
        <v>120</v>
      </c>
      <c r="Q488">
        <v>6415</v>
      </c>
      <c r="R488" t="s">
        <v>1922</v>
      </c>
      <c r="S488" t="s">
        <v>709</v>
      </c>
      <c r="T488" t="s">
        <v>709</v>
      </c>
      <c r="U488">
        <v>6415</v>
      </c>
      <c r="AD488" t="s">
        <v>709</v>
      </c>
      <c r="AM488" t="s">
        <v>709</v>
      </c>
      <c r="AY488" t="s">
        <v>29</v>
      </c>
      <c r="BA488">
        <v>2</v>
      </c>
      <c r="BB488" t="s">
        <v>3975</v>
      </c>
      <c r="BI488" t="s">
        <v>709</v>
      </c>
      <c r="BJ488" t="s">
        <v>709</v>
      </c>
      <c r="BK488" t="s">
        <v>709</v>
      </c>
      <c r="BL488" t="s">
        <v>116</v>
      </c>
      <c r="BM488" t="s">
        <v>709</v>
      </c>
      <c r="BN488" t="s">
        <v>709</v>
      </c>
      <c r="BO488" t="s">
        <v>709</v>
      </c>
      <c r="BP488" t="s">
        <v>709</v>
      </c>
      <c r="BQ488" t="s">
        <v>709</v>
      </c>
      <c r="BR488" t="s">
        <v>709</v>
      </c>
      <c r="BS488">
        <v>1506</v>
      </c>
      <c r="BT488" t="s">
        <v>745</v>
      </c>
      <c r="BU488" t="s">
        <v>709</v>
      </c>
      <c r="BV488" t="s">
        <v>745</v>
      </c>
      <c r="BW488" t="s">
        <v>709</v>
      </c>
      <c r="BX488" t="s">
        <v>745</v>
      </c>
      <c r="BY488" t="s">
        <v>745</v>
      </c>
      <c r="BZ488" t="s">
        <v>709</v>
      </c>
      <c r="CB488">
        <v>486</v>
      </c>
      <c r="CC488" t="b">
        <v>1</v>
      </c>
      <c r="CD488" t="s">
        <v>3976</v>
      </c>
      <c r="CE488" s="1482">
        <v>45880.734861111108</v>
      </c>
    </row>
    <row r="489" spans="1:83" x14ac:dyDescent="0.25">
      <c r="A489">
        <v>2021</v>
      </c>
      <c r="B489" t="s">
        <v>4</v>
      </c>
      <c r="C489" t="s">
        <v>736</v>
      </c>
      <c r="D489" t="s">
        <v>737</v>
      </c>
      <c r="E489" t="s">
        <v>259</v>
      </c>
      <c r="F489" t="s">
        <v>738</v>
      </c>
      <c r="G489" t="s">
        <v>39</v>
      </c>
      <c r="H489" t="s">
        <v>3178</v>
      </c>
      <c r="I489">
        <v>44566</v>
      </c>
      <c r="J489" t="s">
        <v>2052</v>
      </c>
      <c r="K489">
        <v>44572</v>
      </c>
      <c r="L489">
        <v>6</v>
      </c>
      <c r="M489" t="s">
        <v>3893</v>
      </c>
      <c r="N489" t="s">
        <v>120</v>
      </c>
      <c r="O489">
        <v>44572</v>
      </c>
      <c r="P489" t="s">
        <v>739</v>
      </c>
      <c r="Q489">
        <v>4265</v>
      </c>
      <c r="R489" t="s">
        <v>1922</v>
      </c>
      <c r="S489" t="s">
        <v>709</v>
      </c>
      <c r="T489" t="s">
        <v>709</v>
      </c>
      <c r="U489">
        <v>4265</v>
      </c>
      <c r="AD489" t="s">
        <v>709</v>
      </c>
      <c r="AM489" t="s">
        <v>709</v>
      </c>
      <c r="AY489" t="s">
        <v>29</v>
      </c>
      <c r="BA489">
        <v>12</v>
      </c>
      <c r="BB489" t="s">
        <v>3977</v>
      </c>
      <c r="BI489" t="s">
        <v>709</v>
      </c>
      <c r="BJ489" t="s">
        <v>709</v>
      </c>
      <c r="BK489" t="s">
        <v>709</v>
      </c>
      <c r="BL489" t="s">
        <v>116</v>
      </c>
      <c r="BM489" t="s">
        <v>709</v>
      </c>
      <c r="BN489" t="s">
        <v>709</v>
      </c>
      <c r="BO489" t="s">
        <v>709</v>
      </c>
      <c r="BP489" t="s">
        <v>709</v>
      </c>
      <c r="BQ489" t="s">
        <v>709</v>
      </c>
      <c r="BR489" t="s">
        <v>709</v>
      </c>
      <c r="BS489">
        <v>921</v>
      </c>
      <c r="BT489" t="s">
        <v>745</v>
      </c>
      <c r="BU489" t="s">
        <v>709</v>
      </c>
      <c r="BV489" t="s">
        <v>745</v>
      </c>
      <c r="BW489" t="s">
        <v>709</v>
      </c>
      <c r="BX489" t="s">
        <v>745</v>
      </c>
      <c r="BY489" t="s">
        <v>745</v>
      </c>
      <c r="BZ489" t="s">
        <v>709</v>
      </c>
      <c r="CB489">
        <v>487</v>
      </c>
      <c r="CC489" t="b">
        <v>1</v>
      </c>
      <c r="CD489" t="s">
        <v>3978</v>
      </c>
      <c r="CE489" s="1482">
        <v>45880.734861111108</v>
      </c>
    </row>
    <row r="490" spans="1:83" x14ac:dyDescent="0.25">
      <c r="A490">
        <v>2022</v>
      </c>
      <c r="B490" t="s">
        <v>4</v>
      </c>
      <c r="C490" t="s">
        <v>3979</v>
      </c>
      <c r="D490" t="s">
        <v>115</v>
      </c>
      <c r="E490" t="s">
        <v>3595</v>
      </c>
      <c r="F490" t="s">
        <v>738</v>
      </c>
      <c r="G490" t="s">
        <v>23</v>
      </c>
      <c r="H490" t="s">
        <v>1903</v>
      </c>
      <c r="I490">
        <v>44544</v>
      </c>
      <c r="J490">
        <v>44610</v>
      </c>
      <c r="K490">
        <v>44573</v>
      </c>
      <c r="L490">
        <v>37</v>
      </c>
      <c r="N490" t="s">
        <v>120</v>
      </c>
      <c r="O490">
        <v>44573</v>
      </c>
      <c r="P490" t="s">
        <v>739</v>
      </c>
      <c r="Q490" t="s">
        <v>115</v>
      </c>
      <c r="R490" t="s">
        <v>115</v>
      </c>
      <c r="S490" t="s">
        <v>709</v>
      </c>
      <c r="T490" t="s">
        <v>709</v>
      </c>
      <c r="U490" t="s">
        <v>709</v>
      </c>
      <c r="AM490" t="s">
        <v>709</v>
      </c>
      <c r="AY490" t="s">
        <v>29</v>
      </c>
      <c r="BA490" t="s">
        <v>3980</v>
      </c>
      <c r="BB490" t="s">
        <v>709</v>
      </c>
      <c r="CB490">
        <v>488</v>
      </c>
      <c r="CC490" t="b">
        <v>1</v>
      </c>
      <c r="CD490" t="s">
        <v>3981</v>
      </c>
      <c r="CE490" s="1482">
        <v>45880.734861111108</v>
      </c>
    </row>
    <row r="491" spans="1:83" x14ac:dyDescent="0.25">
      <c r="A491">
        <v>2021</v>
      </c>
      <c r="B491" t="s">
        <v>1073</v>
      </c>
      <c r="C491" t="s">
        <v>3858</v>
      </c>
      <c r="D491" t="s">
        <v>3859</v>
      </c>
      <c r="E491" t="s">
        <v>111</v>
      </c>
      <c r="F491" t="s">
        <v>738</v>
      </c>
      <c r="G491" t="s">
        <v>1882</v>
      </c>
      <c r="H491" t="s">
        <v>3178</v>
      </c>
      <c r="I491">
        <v>44550</v>
      </c>
      <c r="J491" t="s">
        <v>2052</v>
      </c>
      <c r="K491">
        <v>44574</v>
      </c>
      <c r="L491">
        <v>24</v>
      </c>
      <c r="M491" t="s">
        <v>3982</v>
      </c>
      <c r="N491" t="s">
        <v>120</v>
      </c>
      <c r="O491">
        <v>44574</v>
      </c>
      <c r="P491" t="s">
        <v>739</v>
      </c>
      <c r="Q491">
        <v>4215</v>
      </c>
      <c r="R491" t="s">
        <v>1922</v>
      </c>
      <c r="S491" t="s">
        <v>709</v>
      </c>
      <c r="T491" t="s">
        <v>709</v>
      </c>
      <c r="U491">
        <v>4215</v>
      </c>
      <c r="AD491" t="s">
        <v>709</v>
      </c>
      <c r="AM491" t="s">
        <v>709</v>
      </c>
      <c r="AY491" t="s">
        <v>29</v>
      </c>
      <c r="BA491">
        <v>4</v>
      </c>
      <c r="BB491" t="s">
        <v>116</v>
      </c>
      <c r="BI491" t="s">
        <v>709</v>
      </c>
      <c r="BJ491" t="s">
        <v>709</v>
      </c>
      <c r="BK491" t="s">
        <v>709</v>
      </c>
      <c r="BL491" t="s">
        <v>116</v>
      </c>
      <c r="BM491" t="s">
        <v>709</v>
      </c>
      <c r="BN491" t="s">
        <v>709</v>
      </c>
      <c r="BO491" t="s">
        <v>709</v>
      </c>
      <c r="BP491">
        <v>78</v>
      </c>
      <c r="BQ491">
        <v>1029</v>
      </c>
      <c r="BR491" t="s">
        <v>709</v>
      </c>
      <c r="BS491" t="s">
        <v>709</v>
      </c>
      <c r="BT491" t="s">
        <v>709</v>
      </c>
      <c r="BU491" t="s">
        <v>709</v>
      </c>
      <c r="BV491" t="s">
        <v>745</v>
      </c>
      <c r="BW491" t="s">
        <v>709</v>
      </c>
      <c r="BX491" t="s">
        <v>709</v>
      </c>
      <c r="BY491" t="s">
        <v>745</v>
      </c>
      <c r="BZ491" t="s">
        <v>709</v>
      </c>
      <c r="CB491">
        <v>489</v>
      </c>
      <c r="CC491" t="b">
        <v>1</v>
      </c>
      <c r="CD491" t="s">
        <v>3983</v>
      </c>
      <c r="CE491" s="1482">
        <v>45880.734861111108</v>
      </c>
    </row>
    <row r="492" spans="1:83" ht="60" x14ac:dyDescent="0.25">
      <c r="A492">
        <v>2022</v>
      </c>
      <c r="B492" t="s">
        <v>771</v>
      </c>
      <c r="C492" t="s">
        <v>3984</v>
      </c>
      <c r="D492" t="s">
        <v>3985</v>
      </c>
      <c r="E492" t="s">
        <v>342</v>
      </c>
      <c r="F492" t="s">
        <v>738</v>
      </c>
      <c r="G492" t="s">
        <v>23</v>
      </c>
      <c r="H492" t="s">
        <v>59</v>
      </c>
      <c r="I492">
        <v>44480</v>
      </c>
      <c r="J492">
        <v>44575</v>
      </c>
      <c r="K492">
        <v>44574</v>
      </c>
      <c r="L492">
        <v>1</v>
      </c>
      <c r="N492" t="s">
        <v>120</v>
      </c>
      <c r="O492">
        <v>44574</v>
      </c>
      <c r="P492" t="s">
        <v>120</v>
      </c>
      <c r="Q492">
        <v>16358.7</v>
      </c>
      <c r="R492" t="s">
        <v>2087</v>
      </c>
      <c r="S492" t="s">
        <v>709</v>
      </c>
      <c r="T492" t="s">
        <v>709</v>
      </c>
      <c r="U492" t="s">
        <v>709</v>
      </c>
      <c r="V492">
        <v>10554</v>
      </c>
      <c r="X492">
        <v>1940025.62</v>
      </c>
      <c r="Z492">
        <v>103562.46</v>
      </c>
      <c r="AA492">
        <v>2043588.08</v>
      </c>
      <c r="AC492" t="s">
        <v>116</v>
      </c>
      <c r="AM492" t="s">
        <v>709</v>
      </c>
      <c r="AY492" t="s">
        <v>29</v>
      </c>
      <c r="BA492" t="s">
        <v>3986</v>
      </c>
      <c r="BB492" s="4" t="s">
        <v>3987</v>
      </c>
      <c r="BC492" t="s">
        <v>116</v>
      </c>
      <c r="BD492" t="s">
        <v>709</v>
      </c>
      <c r="BE492" t="s">
        <v>3988</v>
      </c>
      <c r="BF492" t="s">
        <v>709</v>
      </c>
      <c r="BG492" t="s">
        <v>709</v>
      </c>
      <c r="BI492" t="s">
        <v>709</v>
      </c>
      <c r="BJ492" t="s">
        <v>709</v>
      </c>
      <c r="BK492" t="s">
        <v>709</v>
      </c>
      <c r="BL492" t="s">
        <v>116</v>
      </c>
      <c r="BM492" t="s">
        <v>709</v>
      </c>
      <c r="BN492" t="s">
        <v>709</v>
      </c>
      <c r="BO492" t="s">
        <v>709</v>
      </c>
      <c r="BP492">
        <v>3715</v>
      </c>
      <c r="BQ492">
        <v>424</v>
      </c>
      <c r="BR492">
        <v>326</v>
      </c>
      <c r="BS492">
        <v>6089</v>
      </c>
      <c r="BT492" t="s">
        <v>709</v>
      </c>
      <c r="BU492" t="s">
        <v>709</v>
      </c>
      <c r="BV492">
        <v>1</v>
      </c>
      <c r="BW492" t="s">
        <v>709</v>
      </c>
      <c r="BX492" t="s">
        <v>745</v>
      </c>
      <c r="BY492" t="s">
        <v>709</v>
      </c>
      <c r="BZ492" t="s">
        <v>709</v>
      </c>
      <c r="CB492">
        <v>490</v>
      </c>
      <c r="CC492" t="b">
        <v>1</v>
      </c>
      <c r="CD492" t="s">
        <v>3989</v>
      </c>
      <c r="CE492" s="1482">
        <v>45880.734872685185</v>
      </c>
    </row>
    <row r="493" spans="1:83" x14ac:dyDescent="0.25">
      <c r="A493">
        <v>2022</v>
      </c>
      <c r="B493" t="s">
        <v>771</v>
      </c>
      <c r="C493" t="s">
        <v>3990</v>
      </c>
      <c r="D493" t="s">
        <v>3991</v>
      </c>
      <c r="E493" t="s">
        <v>3992</v>
      </c>
      <c r="F493" t="s">
        <v>919</v>
      </c>
      <c r="G493" t="s">
        <v>36</v>
      </c>
      <c r="H493" t="s">
        <v>59</v>
      </c>
      <c r="I493">
        <v>44476</v>
      </c>
      <c r="J493">
        <v>44575</v>
      </c>
      <c r="K493">
        <v>44575</v>
      </c>
      <c r="L493">
        <v>0</v>
      </c>
      <c r="N493" t="s">
        <v>120</v>
      </c>
      <c r="O493">
        <v>44575</v>
      </c>
      <c r="P493" t="s">
        <v>120</v>
      </c>
      <c r="Q493">
        <v>28468.85</v>
      </c>
      <c r="R493" t="s">
        <v>2087</v>
      </c>
      <c r="S493" t="s">
        <v>709</v>
      </c>
      <c r="T493" t="s">
        <v>709</v>
      </c>
      <c r="U493" t="s">
        <v>709</v>
      </c>
      <c r="V493">
        <v>18367</v>
      </c>
      <c r="X493">
        <v>2612410.14</v>
      </c>
      <c r="Z493">
        <v>71768.83</v>
      </c>
      <c r="AA493">
        <v>2684178.9700000002</v>
      </c>
      <c r="AC493" t="s">
        <v>116</v>
      </c>
      <c r="AM493" t="s">
        <v>709</v>
      </c>
      <c r="AY493" t="s">
        <v>29</v>
      </c>
      <c r="BA493" t="s">
        <v>3993</v>
      </c>
      <c r="BB493" t="s">
        <v>3994</v>
      </c>
      <c r="BC493" t="s">
        <v>709</v>
      </c>
      <c r="BD493" t="s">
        <v>709</v>
      </c>
      <c r="BE493" t="s">
        <v>3995</v>
      </c>
      <c r="BF493" t="s">
        <v>709</v>
      </c>
      <c r="BG493" t="s">
        <v>709</v>
      </c>
      <c r="BI493" t="s">
        <v>709</v>
      </c>
      <c r="BJ493" t="s">
        <v>709</v>
      </c>
      <c r="BK493" t="s">
        <v>709</v>
      </c>
      <c r="BL493" t="s">
        <v>116</v>
      </c>
      <c r="BM493" t="s">
        <v>709</v>
      </c>
      <c r="BN493" t="s">
        <v>709</v>
      </c>
      <c r="BO493" t="s">
        <v>709</v>
      </c>
      <c r="BP493">
        <v>1194</v>
      </c>
      <c r="BQ493" t="s">
        <v>709</v>
      </c>
      <c r="BR493">
        <v>1439</v>
      </c>
      <c r="BS493">
        <v>15734</v>
      </c>
      <c r="BT493" t="s">
        <v>745</v>
      </c>
      <c r="BU493" t="s">
        <v>709</v>
      </c>
      <c r="BV493" t="s">
        <v>745</v>
      </c>
      <c r="BW493" t="s">
        <v>709</v>
      </c>
      <c r="BX493" t="s">
        <v>745</v>
      </c>
      <c r="BY493" t="s">
        <v>745</v>
      </c>
      <c r="BZ493" t="s">
        <v>709</v>
      </c>
      <c r="CB493">
        <v>492</v>
      </c>
      <c r="CC493" t="b">
        <v>1</v>
      </c>
      <c r="CD493" t="s">
        <v>3996</v>
      </c>
      <c r="CE493" s="1482">
        <v>45880.734872685185</v>
      </c>
    </row>
    <row r="494" spans="1:83" x14ac:dyDescent="0.25">
      <c r="A494">
        <v>2022</v>
      </c>
      <c r="B494" t="s">
        <v>2989</v>
      </c>
      <c r="C494" t="s">
        <v>3845</v>
      </c>
      <c r="D494" t="s">
        <v>3846</v>
      </c>
      <c r="E494" t="s">
        <v>361</v>
      </c>
      <c r="F494" t="s">
        <v>752</v>
      </c>
      <c r="G494" t="s">
        <v>22</v>
      </c>
      <c r="H494" t="s">
        <v>3178</v>
      </c>
      <c r="I494">
        <v>44565</v>
      </c>
      <c r="J494" t="s">
        <v>2052</v>
      </c>
      <c r="K494">
        <v>44575</v>
      </c>
      <c r="L494">
        <v>10</v>
      </c>
      <c r="M494" t="s">
        <v>3997</v>
      </c>
      <c r="N494" t="s">
        <v>120</v>
      </c>
      <c r="O494">
        <v>44575</v>
      </c>
      <c r="P494" t="s">
        <v>739</v>
      </c>
      <c r="Q494">
        <v>4817.5</v>
      </c>
      <c r="R494" t="s">
        <v>1922</v>
      </c>
      <c r="U494">
        <v>4817.5</v>
      </c>
      <c r="AC494" t="s">
        <v>709</v>
      </c>
      <c r="AD494" t="s">
        <v>709</v>
      </c>
      <c r="AM494" t="s">
        <v>709</v>
      </c>
      <c r="AY494" t="s">
        <v>29</v>
      </c>
      <c r="BA494">
        <v>3</v>
      </c>
      <c r="BI494" t="s">
        <v>709</v>
      </c>
      <c r="BJ494" t="s">
        <v>709</v>
      </c>
      <c r="BK494" t="s">
        <v>709</v>
      </c>
      <c r="BL494" t="s">
        <v>709</v>
      </c>
      <c r="BM494" t="s">
        <v>709</v>
      </c>
      <c r="BN494" t="s">
        <v>709</v>
      </c>
      <c r="BO494" t="s">
        <v>709</v>
      </c>
      <c r="BP494" t="s">
        <v>709</v>
      </c>
      <c r="BQ494" t="s">
        <v>709</v>
      </c>
      <c r="BR494" t="s">
        <v>709</v>
      </c>
      <c r="BS494" t="s">
        <v>709</v>
      </c>
      <c r="BT494" t="s">
        <v>745</v>
      </c>
      <c r="BU494" t="s">
        <v>709</v>
      </c>
      <c r="BV494">
        <v>5</v>
      </c>
      <c r="BW494" t="s">
        <v>709</v>
      </c>
      <c r="BX494" t="s">
        <v>745</v>
      </c>
      <c r="BY494" t="s">
        <v>745</v>
      </c>
      <c r="BZ494" t="s">
        <v>709</v>
      </c>
      <c r="CA494" t="s">
        <v>2</v>
      </c>
      <c r="CB494">
        <v>491</v>
      </c>
      <c r="CC494" t="b">
        <v>1</v>
      </c>
      <c r="CD494" t="s">
        <v>3998</v>
      </c>
      <c r="CE494" s="1482">
        <v>45880.734872685185</v>
      </c>
    </row>
    <row r="495" spans="1:83" x14ac:dyDescent="0.25">
      <c r="A495">
        <v>2022</v>
      </c>
      <c r="B495" t="s">
        <v>4</v>
      </c>
      <c r="C495" t="s">
        <v>3895</v>
      </c>
      <c r="D495" t="s">
        <v>3896</v>
      </c>
      <c r="E495" t="s">
        <v>2114</v>
      </c>
      <c r="F495" t="s">
        <v>738</v>
      </c>
      <c r="G495" t="s">
        <v>39</v>
      </c>
      <c r="H495" t="s">
        <v>3178</v>
      </c>
      <c r="I495">
        <v>44572</v>
      </c>
      <c r="J495" t="s">
        <v>2052</v>
      </c>
      <c r="K495">
        <v>44579</v>
      </c>
      <c r="L495">
        <v>7</v>
      </c>
      <c r="M495" t="s">
        <v>3999</v>
      </c>
      <c r="N495" t="s">
        <v>120</v>
      </c>
      <c r="O495">
        <v>44579</v>
      </c>
      <c r="P495" t="s">
        <v>739</v>
      </c>
      <c r="Q495">
        <v>1665</v>
      </c>
      <c r="R495" t="s">
        <v>1922</v>
      </c>
      <c r="U495">
        <v>1665</v>
      </c>
      <c r="AD495" t="s">
        <v>709</v>
      </c>
      <c r="AM495" t="s">
        <v>709</v>
      </c>
      <c r="AY495" t="s">
        <v>29</v>
      </c>
      <c r="BA495">
        <v>4</v>
      </c>
      <c r="BI495" t="s">
        <v>709</v>
      </c>
      <c r="BJ495" t="s">
        <v>709</v>
      </c>
      <c r="BK495" t="s">
        <v>709</v>
      </c>
      <c r="BL495" t="s">
        <v>116</v>
      </c>
      <c r="BM495" t="s">
        <v>709</v>
      </c>
      <c r="BN495" t="s">
        <v>709</v>
      </c>
      <c r="BO495" t="s">
        <v>709</v>
      </c>
      <c r="BP495" t="s">
        <v>709</v>
      </c>
      <c r="BQ495" t="s">
        <v>709</v>
      </c>
      <c r="BR495">
        <v>1379</v>
      </c>
      <c r="BS495" t="s">
        <v>709</v>
      </c>
      <c r="BT495" t="s">
        <v>745</v>
      </c>
      <c r="BU495" t="s">
        <v>709</v>
      </c>
      <c r="BV495" t="s">
        <v>745</v>
      </c>
      <c r="BW495" t="s">
        <v>709</v>
      </c>
      <c r="BX495" t="s">
        <v>745</v>
      </c>
      <c r="BY495" t="s">
        <v>745</v>
      </c>
      <c r="BZ495" t="s">
        <v>709</v>
      </c>
      <c r="CB495">
        <v>493</v>
      </c>
      <c r="CC495" t="b">
        <v>1</v>
      </c>
      <c r="CD495" t="s">
        <v>4000</v>
      </c>
      <c r="CE495" s="1482">
        <v>45880.734884259262</v>
      </c>
    </row>
    <row r="496" spans="1:83" x14ac:dyDescent="0.25">
      <c r="A496">
        <v>2022</v>
      </c>
      <c r="B496" t="s">
        <v>1073</v>
      </c>
      <c r="C496" t="s">
        <v>3742</v>
      </c>
      <c r="D496">
        <v>1610442</v>
      </c>
      <c r="E496" t="s">
        <v>118</v>
      </c>
      <c r="F496" t="s">
        <v>738</v>
      </c>
      <c r="G496" t="s">
        <v>22</v>
      </c>
      <c r="H496" t="s">
        <v>4001</v>
      </c>
      <c r="I496">
        <v>44572</v>
      </c>
      <c r="J496" t="s">
        <v>2052</v>
      </c>
      <c r="K496">
        <v>44580</v>
      </c>
      <c r="L496">
        <v>8</v>
      </c>
      <c r="M496" t="s">
        <v>4002</v>
      </c>
      <c r="N496" t="s">
        <v>120</v>
      </c>
      <c r="O496">
        <v>44593</v>
      </c>
      <c r="P496" t="s">
        <v>739</v>
      </c>
      <c r="Q496">
        <v>4805</v>
      </c>
      <c r="R496" t="s">
        <v>1922</v>
      </c>
      <c r="S496" t="s">
        <v>709</v>
      </c>
      <c r="T496" t="s">
        <v>709</v>
      </c>
      <c r="U496">
        <v>4805</v>
      </c>
      <c r="AC496" t="s">
        <v>709</v>
      </c>
      <c r="AD496" t="s">
        <v>709</v>
      </c>
      <c r="AM496" t="s">
        <v>709</v>
      </c>
      <c r="AY496" t="s">
        <v>29</v>
      </c>
      <c r="BA496">
        <v>3</v>
      </c>
      <c r="BI496" t="s">
        <v>709</v>
      </c>
      <c r="BJ496" t="s">
        <v>709</v>
      </c>
      <c r="BK496" t="s">
        <v>709</v>
      </c>
      <c r="BL496" t="s">
        <v>116</v>
      </c>
      <c r="BM496" t="s">
        <v>709</v>
      </c>
      <c r="BN496" t="s">
        <v>709</v>
      </c>
      <c r="BO496" t="s">
        <v>709</v>
      </c>
      <c r="BP496" t="s">
        <v>709</v>
      </c>
      <c r="BQ496">
        <v>1469</v>
      </c>
      <c r="BR496">
        <v>2351</v>
      </c>
      <c r="BS496">
        <v>7386</v>
      </c>
      <c r="BT496" t="s">
        <v>745</v>
      </c>
      <c r="BU496" t="s">
        <v>709</v>
      </c>
      <c r="BV496" t="s">
        <v>745</v>
      </c>
      <c r="BW496" t="s">
        <v>709</v>
      </c>
      <c r="BX496" t="s">
        <v>709</v>
      </c>
      <c r="BY496" t="s">
        <v>745</v>
      </c>
      <c r="BZ496" t="s">
        <v>709</v>
      </c>
      <c r="CB496">
        <v>494</v>
      </c>
      <c r="CC496" t="b">
        <v>1</v>
      </c>
      <c r="CD496" t="s">
        <v>4003</v>
      </c>
      <c r="CE496" s="1482">
        <v>45880.734884259262</v>
      </c>
    </row>
    <row r="497" spans="1:83" ht="90" x14ac:dyDescent="0.25">
      <c r="A497">
        <v>2022</v>
      </c>
      <c r="B497" t="s">
        <v>2989</v>
      </c>
      <c r="C497" t="s">
        <v>4004</v>
      </c>
      <c r="D497" t="s">
        <v>4005</v>
      </c>
      <c r="E497" t="s">
        <v>1149</v>
      </c>
      <c r="F497" t="s">
        <v>752</v>
      </c>
      <c r="G497" t="s">
        <v>23</v>
      </c>
      <c r="H497" t="s">
        <v>59</v>
      </c>
      <c r="I497">
        <v>44523</v>
      </c>
      <c r="J497">
        <v>44607</v>
      </c>
      <c r="K497">
        <v>44581</v>
      </c>
      <c r="L497">
        <v>26</v>
      </c>
      <c r="N497" t="s">
        <v>120</v>
      </c>
      <c r="O497">
        <v>44581</v>
      </c>
      <c r="P497" t="s">
        <v>739</v>
      </c>
      <c r="Q497">
        <v>5593.2857999999997</v>
      </c>
      <c r="R497">
        <v>0.09</v>
      </c>
      <c r="Z497">
        <v>62147.62</v>
      </c>
      <c r="AA497">
        <v>62147.62</v>
      </c>
      <c r="AC497" t="s">
        <v>709</v>
      </c>
      <c r="AM497" t="s">
        <v>116</v>
      </c>
      <c r="AN497">
        <v>44594</v>
      </c>
      <c r="AO497">
        <v>11040262</v>
      </c>
      <c r="AP497">
        <v>0</v>
      </c>
      <c r="AR497">
        <v>62147.62</v>
      </c>
      <c r="AS497">
        <v>62147.62</v>
      </c>
      <c r="AT497">
        <v>0</v>
      </c>
      <c r="AU497">
        <v>0</v>
      </c>
      <c r="AV497" t="s">
        <v>709</v>
      </c>
      <c r="AY497" t="s">
        <v>1935</v>
      </c>
      <c r="BA497" t="s">
        <v>4006</v>
      </c>
      <c r="BB497" s="4" t="s">
        <v>4007</v>
      </c>
      <c r="BC497" t="s">
        <v>709</v>
      </c>
      <c r="BD497" t="s">
        <v>862</v>
      </c>
      <c r="BE497" t="s">
        <v>1835</v>
      </c>
      <c r="BF497" t="s">
        <v>709</v>
      </c>
      <c r="BG497" t="s">
        <v>709</v>
      </c>
      <c r="BI497" t="s">
        <v>709</v>
      </c>
      <c r="BJ497" t="s">
        <v>709</v>
      </c>
      <c r="BK497" t="s">
        <v>709</v>
      </c>
      <c r="BL497" t="s">
        <v>709</v>
      </c>
      <c r="BM497" t="s">
        <v>709</v>
      </c>
      <c r="BN497" t="s">
        <v>709</v>
      </c>
      <c r="BO497" t="s">
        <v>709</v>
      </c>
      <c r="BP497" t="s">
        <v>709</v>
      </c>
      <c r="BQ497" t="s">
        <v>709</v>
      </c>
      <c r="BR497" t="s">
        <v>709</v>
      </c>
      <c r="BS497" t="s">
        <v>709</v>
      </c>
      <c r="BT497" t="s">
        <v>745</v>
      </c>
      <c r="BU497" t="s">
        <v>709</v>
      </c>
      <c r="BV497">
        <v>1</v>
      </c>
      <c r="BW497" t="s">
        <v>709</v>
      </c>
      <c r="BX497" t="s">
        <v>745</v>
      </c>
      <c r="BY497" t="s">
        <v>745</v>
      </c>
      <c r="BZ497" t="s">
        <v>709</v>
      </c>
      <c r="CA497" t="s">
        <v>2</v>
      </c>
      <c r="CB497">
        <v>495</v>
      </c>
      <c r="CC497" t="b">
        <v>1</v>
      </c>
      <c r="CD497" t="s">
        <v>4008</v>
      </c>
      <c r="CE497" s="1482">
        <v>45880.734884259262</v>
      </c>
    </row>
    <row r="498" spans="1:83" ht="150" x14ac:dyDescent="0.25">
      <c r="A498">
        <v>2022</v>
      </c>
      <c r="B498" t="s">
        <v>730</v>
      </c>
      <c r="C498" t="s">
        <v>349</v>
      </c>
      <c r="D498" t="s">
        <v>4009</v>
      </c>
      <c r="E498" t="s">
        <v>350</v>
      </c>
      <c r="F498" t="s">
        <v>747</v>
      </c>
      <c r="G498" t="s">
        <v>347</v>
      </c>
      <c r="H498" t="s">
        <v>59</v>
      </c>
      <c r="I498">
        <v>44320</v>
      </c>
      <c r="J498">
        <v>44592</v>
      </c>
      <c r="K498">
        <v>44582</v>
      </c>
      <c r="L498">
        <v>10</v>
      </c>
      <c r="N498" t="s">
        <v>120</v>
      </c>
      <c r="O498">
        <v>44582</v>
      </c>
      <c r="P498" t="s">
        <v>120</v>
      </c>
      <c r="Q498">
        <v>19088.6698</v>
      </c>
      <c r="R498" t="s">
        <v>794</v>
      </c>
      <c r="S498" t="s">
        <v>709</v>
      </c>
      <c r="T498" t="s">
        <v>709</v>
      </c>
      <c r="U498" t="s">
        <v>709</v>
      </c>
      <c r="V498">
        <v>107</v>
      </c>
      <c r="X498">
        <v>126793.58</v>
      </c>
      <c r="Z498">
        <v>36014.300000000003</v>
      </c>
      <c r="AA498">
        <v>162807.88</v>
      </c>
      <c r="AC498" t="s">
        <v>1441</v>
      </c>
      <c r="AM498" t="s">
        <v>116</v>
      </c>
      <c r="AN498">
        <v>44734</v>
      </c>
      <c r="AO498">
        <v>11038724</v>
      </c>
      <c r="AP498">
        <v>106494.31</v>
      </c>
      <c r="AR498">
        <v>35079.43</v>
      </c>
      <c r="AS498">
        <v>141573.74</v>
      </c>
      <c r="AT498">
        <v>-21234.14</v>
      </c>
      <c r="AU498">
        <v>-1804.9019000000001</v>
      </c>
      <c r="AV498" t="s">
        <v>709</v>
      </c>
      <c r="AW498" t="s">
        <v>3732</v>
      </c>
      <c r="AX498">
        <v>-1804.9019000000001</v>
      </c>
      <c r="AY498">
        <v>45008</v>
      </c>
      <c r="BA498" t="s">
        <v>4010</v>
      </c>
      <c r="BB498" s="4" t="s">
        <v>3824</v>
      </c>
      <c r="BC498" t="s">
        <v>116</v>
      </c>
      <c r="BD498" t="s">
        <v>709</v>
      </c>
      <c r="BE498" t="s">
        <v>709</v>
      </c>
      <c r="BF498" t="s">
        <v>709</v>
      </c>
      <c r="BG498" t="s">
        <v>709</v>
      </c>
      <c r="BI498" t="s">
        <v>709</v>
      </c>
      <c r="BJ498" t="s">
        <v>116</v>
      </c>
      <c r="BK498" t="s">
        <v>709</v>
      </c>
      <c r="BL498" t="s">
        <v>116</v>
      </c>
      <c r="BM498" t="s">
        <v>709</v>
      </c>
      <c r="BN498" t="s">
        <v>709</v>
      </c>
      <c r="BO498" t="s">
        <v>709</v>
      </c>
      <c r="BP498" t="s">
        <v>709</v>
      </c>
      <c r="BQ498" t="s">
        <v>709</v>
      </c>
      <c r="BR498" t="s">
        <v>709</v>
      </c>
      <c r="BS498">
        <v>106</v>
      </c>
      <c r="BT498" t="s">
        <v>745</v>
      </c>
      <c r="BU498">
        <v>1</v>
      </c>
      <c r="BV498" t="s">
        <v>745</v>
      </c>
      <c r="BW498" t="s">
        <v>709</v>
      </c>
      <c r="BX498">
        <v>1</v>
      </c>
      <c r="BY498" t="s">
        <v>745</v>
      </c>
      <c r="BZ498" t="s">
        <v>709</v>
      </c>
      <c r="CA498" t="s">
        <v>730</v>
      </c>
      <c r="CB498">
        <v>496</v>
      </c>
      <c r="CC498" t="b">
        <v>1</v>
      </c>
      <c r="CD498" t="s">
        <v>4011</v>
      </c>
      <c r="CE498" s="1482">
        <v>45880.734895833331</v>
      </c>
    </row>
    <row r="499" spans="1:83" x14ac:dyDescent="0.25">
      <c r="A499">
        <v>2022</v>
      </c>
      <c r="B499" t="s">
        <v>2989</v>
      </c>
      <c r="C499" t="s">
        <v>4012</v>
      </c>
      <c r="D499" t="s">
        <v>4013</v>
      </c>
      <c r="E499" t="s">
        <v>3223</v>
      </c>
      <c r="F499" t="s">
        <v>752</v>
      </c>
      <c r="G499" t="s">
        <v>34</v>
      </c>
      <c r="H499" t="s">
        <v>59</v>
      </c>
      <c r="I499">
        <v>44523</v>
      </c>
      <c r="J499">
        <v>44607</v>
      </c>
      <c r="K499">
        <v>44586</v>
      </c>
      <c r="L499">
        <v>21</v>
      </c>
      <c r="N499" t="s">
        <v>120</v>
      </c>
      <c r="O499">
        <v>44593</v>
      </c>
      <c r="P499" t="s">
        <v>739</v>
      </c>
      <c r="Q499">
        <v>7346.9970000000003</v>
      </c>
      <c r="R499">
        <v>0.09</v>
      </c>
      <c r="S499" t="s">
        <v>709</v>
      </c>
      <c r="T499" t="s">
        <v>709</v>
      </c>
      <c r="U499" t="s">
        <v>709</v>
      </c>
      <c r="V499">
        <v>88</v>
      </c>
      <c r="Z499">
        <v>81633.3</v>
      </c>
      <c r="AA499">
        <v>81633.3</v>
      </c>
      <c r="AC499" t="s">
        <v>709</v>
      </c>
      <c r="AD499" t="s">
        <v>29</v>
      </c>
      <c r="AM499" t="s">
        <v>116</v>
      </c>
      <c r="AN499">
        <v>44594</v>
      </c>
      <c r="AO499">
        <v>11039239</v>
      </c>
      <c r="AP499">
        <v>39806.79</v>
      </c>
      <c r="AR499">
        <v>81633.3</v>
      </c>
      <c r="AS499">
        <v>121440.09</v>
      </c>
      <c r="AT499">
        <v>39806.79</v>
      </c>
      <c r="AU499">
        <v>3582.6111000000001</v>
      </c>
      <c r="AV499" t="s">
        <v>709</v>
      </c>
      <c r="AW499" t="s">
        <v>4014</v>
      </c>
      <c r="AY499" t="s">
        <v>1935</v>
      </c>
      <c r="BA499" t="s">
        <v>4015</v>
      </c>
      <c r="BB499" t="s">
        <v>4016</v>
      </c>
      <c r="BC499" t="s">
        <v>709</v>
      </c>
      <c r="BD499" t="s">
        <v>709</v>
      </c>
      <c r="BE499" t="s">
        <v>3561</v>
      </c>
      <c r="BF499" t="s">
        <v>709</v>
      </c>
      <c r="BG499" t="s">
        <v>709</v>
      </c>
      <c r="BI499" t="s">
        <v>709</v>
      </c>
      <c r="BJ499" t="s">
        <v>709</v>
      </c>
      <c r="BK499" t="s">
        <v>709</v>
      </c>
      <c r="BL499" t="s">
        <v>709</v>
      </c>
      <c r="BM499" t="s">
        <v>709</v>
      </c>
      <c r="BN499" t="s">
        <v>709</v>
      </c>
      <c r="BO499" t="s">
        <v>709</v>
      </c>
      <c r="BP499" t="s">
        <v>709</v>
      </c>
      <c r="BQ499" t="s">
        <v>709</v>
      </c>
      <c r="BR499" t="s">
        <v>709</v>
      </c>
      <c r="BS499" t="s">
        <v>709</v>
      </c>
      <c r="BT499" t="s">
        <v>745</v>
      </c>
      <c r="BU499" t="s">
        <v>709</v>
      </c>
      <c r="BV499">
        <v>2</v>
      </c>
      <c r="BW499" t="s">
        <v>709</v>
      </c>
      <c r="BX499" t="s">
        <v>745</v>
      </c>
      <c r="BY499" t="s">
        <v>745</v>
      </c>
      <c r="BZ499" t="s">
        <v>709</v>
      </c>
      <c r="CA499" t="s">
        <v>2</v>
      </c>
      <c r="CB499">
        <v>498</v>
      </c>
      <c r="CC499" t="b">
        <v>1</v>
      </c>
      <c r="CD499" t="s">
        <v>4017</v>
      </c>
      <c r="CE499" s="1482">
        <v>45880.734895833331</v>
      </c>
    </row>
    <row r="500" spans="1:83" x14ac:dyDescent="0.25">
      <c r="A500">
        <v>2022</v>
      </c>
      <c r="B500" t="s">
        <v>4</v>
      </c>
      <c r="C500" t="s">
        <v>4018</v>
      </c>
      <c r="D500" t="s">
        <v>4019</v>
      </c>
      <c r="E500" t="s">
        <v>818</v>
      </c>
      <c r="F500" t="s">
        <v>919</v>
      </c>
      <c r="G500" t="s">
        <v>39</v>
      </c>
      <c r="H500" t="s">
        <v>59</v>
      </c>
      <c r="I500">
        <v>44480</v>
      </c>
      <c r="J500">
        <v>44589</v>
      </c>
      <c r="K500">
        <v>44586</v>
      </c>
      <c r="L500">
        <v>3</v>
      </c>
      <c r="N500" t="s">
        <v>120</v>
      </c>
      <c r="O500">
        <v>44593</v>
      </c>
      <c r="P500" t="s">
        <v>739</v>
      </c>
      <c r="Q500">
        <v>38023.372000000003</v>
      </c>
      <c r="R500">
        <v>0.1</v>
      </c>
      <c r="S500" t="s">
        <v>709</v>
      </c>
      <c r="T500" t="s">
        <v>709</v>
      </c>
      <c r="U500" t="s">
        <v>709</v>
      </c>
      <c r="V500">
        <v>635</v>
      </c>
      <c r="X500">
        <v>350213.39</v>
      </c>
      <c r="Z500">
        <v>30020.33</v>
      </c>
      <c r="AA500">
        <v>380233.72</v>
      </c>
      <c r="AC500" t="s">
        <v>116</v>
      </c>
      <c r="AM500" t="s">
        <v>116</v>
      </c>
      <c r="AN500">
        <v>44700</v>
      </c>
      <c r="AO500">
        <v>11040723</v>
      </c>
      <c r="AP500">
        <v>351419.09</v>
      </c>
      <c r="AR500">
        <v>30044.81</v>
      </c>
      <c r="AS500">
        <v>381463.9</v>
      </c>
      <c r="AT500">
        <v>1230.18</v>
      </c>
      <c r="AU500">
        <v>123.018</v>
      </c>
      <c r="AV500" t="s">
        <v>709</v>
      </c>
      <c r="AX500">
        <v>123.018</v>
      </c>
      <c r="AY500">
        <v>45008</v>
      </c>
      <c r="BA500" t="s">
        <v>4020</v>
      </c>
      <c r="BB500" t="s">
        <v>709</v>
      </c>
      <c r="BC500" t="s">
        <v>709</v>
      </c>
      <c r="BD500" t="s">
        <v>862</v>
      </c>
      <c r="BE500" t="s">
        <v>822</v>
      </c>
      <c r="BF500" t="s">
        <v>3124</v>
      </c>
      <c r="BG500" t="s">
        <v>709</v>
      </c>
      <c r="BI500" t="s">
        <v>709</v>
      </c>
      <c r="BJ500" t="s">
        <v>709</v>
      </c>
      <c r="BK500" t="s">
        <v>709</v>
      </c>
      <c r="BL500" t="s">
        <v>116</v>
      </c>
      <c r="BM500" t="s">
        <v>709</v>
      </c>
      <c r="BN500" t="s">
        <v>709</v>
      </c>
      <c r="BO500" t="s">
        <v>709</v>
      </c>
      <c r="BP500">
        <v>398</v>
      </c>
      <c r="BQ500" t="s">
        <v>709</v>
      </c>
      <c r="BR500" t="s">
        <v>709</v>
      </c>
      <c r="BS500">
        <v>237</v>
      </c>
      <c r="BT500" t="s">
        <v>745</v>
      </c>
      <c r="BU500" t="s">
        <v>709</v>
      </c>
      <c r="BV500" t="s">
        <v>745</v>
      </c>
      <c r="BW500" t="s">
        <v>709</v>
      </c>
      <c r="BX500" t="s">
        <v>745</v>
      </c>
      <c r="BY500" t="s">
        <v>745</v>
      </c>
      <c r="BZ500" t="s">
        <v>709</v>
      </c>
      <c r="CB500">
        <v>497</v>
      </c>
      <c r="CC500" t="b">
        <v>1</v>
      </c>
      <c r="CD500" t="s">
        <v>4021</v>
      </c>
      <c r="CE500" s="1482">
        <v>45880.734895833331</v>
      </c>
    </row>
    <row r="501" spans="1:83" x14ac:dyDescent="0.25">
      <c r="A501">
        <v>2021</v>
      </c>
      <c r="B501" t="s">
        <v>771</v>
      </c>
      <c r="C501" t="s">
        <v>3702</v>
      </c>
      <c r="D501">
        <v>1410398</v>
      </c>
      <c r="E501" t="s">
        <v>141</v>
      </c>
      <c r="F501" t="s">
        <v>919</v>
      </c>
      <c r="G501" t="s">
        <v>1882</v>
      </c>
      <c r="H501" t="s">
        <v>4001</v>
      </c>
      <c r="I501">
        <v>44580</v>
      </c>
      <c r="J501" t="s">
        <v>2052</v>
      </c>
      <c r="K501">
        <v>44587</v>
      </c>
      <c r="L501">
        <v>7</v>
      </c>
      <c r="M501" t="s">
        <v>4022</v>
      </c>
      <c r="N501" t="s">
        <v>120</v>
      </c>
      <c r="O501">
        <v>44593</v>
      </c>
      <c r="P501" t="s">
        <v>120</v>
      </c>
      <c r="Q501">
        <v>19390</v>
      </c>
      <c r="R501" t="s">
        <v>1922</v>
      </c>
      <c r="S501" t="s">
        <v>709</v>
      </c>
      <c r="T501" t="s">
        <v>709</v>
      </c>
      <c r="U501">
        <v>19390</v>
      </c>
      <c r="AD501" t="s">
        <v>709</v>
      </c>
      <c r="AM501" t="s">
        <v>709</v>
      </c>
      <c r="AY501" t="s">
        <v>29</v>
      </c>
      <c r="BA501">
        <v>4</v>
      </c>
      <c r="BB501" t="s">
        <v>4023</v>
      </c>
      <c r="BI501" t="s">
        <v>709</v>
      </c>
      <c r="BJ501" t="s">
        <v>709</v>
      </c>
      <c r="BK501" t="s">
        <v>709</v>
      </c>
      <c r="BL501" t="s">
        <v>116</v>
      </c>
      <c r="BM501" t="s">
        <v>709</v>
      </c>
      <c r="BN501" t="s">
        <v>709</v>
      </c>
      <c r="BO501" t="s">
        <v>709</v>
      </c>
      <c r="BP501" t="s">
        <v>709</v>
      </c>
      <c r="BQ501" t="s">
        <v>709</v>
      </c>
      <c r="BR501">
        <v>6208</v>
      </c>
      <c r="BS501">
        <v>22745</v>
      </c>
      <c r="BT501" t="s">
        <v>709</v>
      </c>
      <c r="BU501" t="s">
        <v>709</v>
      </c>
      <c r="BV501" t="s">
        <v>745</v>
      </c>
      <c r="BW501" t="s">
        <v>709</v>
      </c>
      <c r="BX501" t="s">
        <v>709</v>
      </c>
      <c r="BY501" t="s">
        <v>745</v>
      </c>
      <c r="BZ501" t="s">
        <v>709</v>
      </c>
      <c r="CB501">
        <v>501</v>
      </c>
      <c r="CC501" t="b">
        <v>1</v>
      </c>
      <c r="CD501" t="s">
        <v>4024</v>
      </c>
      <c r="CE501" s="1482">
        <v>45880.734895833331</v>
      </c>
    </row>
    <row r="502" spans="1:83" x14ac:dyDescent="0.25">
      <c r="A502">
        <v>2022</v>
      </c>
      <c r="B502" t="s">
        <v>771</v>
      </c>
      <c r="C502" t="s">
        <v>4025</v>
      </c>
      <c r="D502" t="s">
        <v>4026</v>
      </c>
      <c r="E502" t="s">
        <v>405</v>
      </c>
      <c r="F502" t="s">
        <v>919</v>
      </c>
      <c r="G502" t="s">
        <v>36</v>
      </c>
      <c r="H502" t="s">
        <v>59</v>
      </c>
      <c r="I502">
        <v>44480</v>
      </c>
      <c r="J502">
        <v>44589</v>
      </c>
      <c r="K502">
        <v>44587</v>
      </c>
      <c r="L502">
        <v>2</v>
      </c>
      <c r="N502" t="s">
        <v>120</v>
      </c>
      <c r="O502">
        <v>44587</v>
      </c>
      <c r="P502" t="s">
        <v>120</v>
      </c>
      <c r="Q502">
        <v>9236.4500000000007</v>
      </c>
      <c r="R502" t="s">
        <v>2087</v>
      </c>
      <c r="S502" t="s">
        <v>709</v>
      </c>
      <c r="T502" t="s">
        <v>709</v>
      </c>
      <c r="U502" t="s">
        <v>709</v>
      </c>
      <c r="V502">
        <v>5959</v>
      </c>
      <c r="X502">
        <v>1327998.8400000001</v>
      </c>
      <c r="Z502">
        <v>33832.25</v>
      </c>
      <c r="AA502">
        <v>1361831.09</v>
      </c>
      <c r="AC502" t="s">
        <v>116</v>
      </c>
      <c r="AM502" t="s">
        <v>709</v>
      </c>
      <c r="AY502" t="s">
        <v>29</v>
      </c>
      <c r="BA502" t="s">
        <v>4027</v>
      </c>
      <c r="BB502" t="s">
        <v>4028</v>
      </c>
      <c r="BC502" t="s">
        <v>709</v>
      </c>
      <c r="BD502" t="s">
        <v>709</v>
      </c>
      <c r="BE502" t="s">
        <v>4029</v>
      </c>
      <c r="BF502" t="s">
        <v>709</v>
      </c>
      <c r="BG502" t="s">
        <v>709</v>
      </c>
      <c r="BI502" t="s">
        <v>709</v>
      </c>
      <c r="BJ502" t="s">
        <v>709</v>
      </c>
      <c r="BK502" t="s">
        <v>709</v>
      </c>
      <c r="BL502" t="s">
        <v>116</v>
      </c>
      <c r="BM502" t="s">
        <v>709</v>
      </c>
      <c r="BN502" t="s">
        <v>709</v>
      </c>
      <c r="BO502" t="s">
        <v>709</v>
      </c>
      <c r="BP502">
        <v>3881</v>
      </c>
      <c r="BQ502">
        <v>41</v>
      </c>
      <c r="BR502">
        <v>69</v>
      </c>
      <c r="BS502">
        <v>1968</v>
      </c>
      <c r="BT502" t="s">
        <v>745</v>
      </c>
      <c r="BU502" t="s">
        <v>709</v>
      </c>
      <c r="BV502" t="s">
        <v>745</v>
      </c>
      <c r="BW502" t="s">
        <v>709</v>
      </c>
      <c r="BX502" t="s">
        <v>745</v>
      </c>
      <c r="BY502" t="s">
        <v>745</v>
      </c>
      <c r="BZ502" t="s">
        <v>709</v>
      </c>
      <c r="CB502">
        <v>499</v>
      </c>
      <c r="CC502" t="b">
        <v>1</v>
      </c>
      <c r="CD502" t="s">
        <v>4030</v>
      </c>
      <c r="CE502" s="1482">
        <v>45880.734907407408</v>
      </c>
    </row>
    <row r="503" spans="1:83" x14ac:dyDescent="0.25">
      <c r="A503">
        <v>2024</v>
      </c>
      <c r="B503" t="s">
        <v>4</v>
      </c>
      <c r="C503" t="s">
        <v>4031</v>
      </c>
      <c r="D503" t="s">
        <v>4032</v>
      </c>
      <c r="E503" t="s">
        <v>1261</v>
      </c>
      <c r="F503" t="s">
        <v>738</v>
      </c>
      <c r="G503" t="s">
        <v>1882</v>
      </c>
      <c r="H503" t="s">
        <v>4033</v>
      </c>
      <c r="I503">
        <v>43474</v>
      </c>
      <c r="J503">
        <v>44713</v>
      </c>
      <c r="K503">
        <v>44587</v>
      </c>
      <c r="L503">
        <v>126</v>
      </c>
      <c r="M503" t="s">
        <v>4034</v>
      </c>
      <c r="N503" t="s">
        <v>120</v>
      </c>
      <c r="O503">
        <v>44587</v>
      </c>
      <c r="P503" t="s">
        <v>739</v>
      </c>
      <c r="Q503">
        <v>54670</v>
      </c>
      <c r="R503" t="s">
        <v>1922</v>
      </c>
      <c r="S503" t="s">
        <v>709</v>
      </c>
      <c r="T503" t="s">
        <v>709</v>
      </c>
      <c r="U503">
        <v>54670</v>
      </c>
      <c r="AH503" t="s">
        <v>29</v>
      </c>
      <c r="AM503" t="s">
        <v>709</v>
      </c>
      <c r="AY503" t="s">
        <v>29</v>
      </c>
      <c r="BA503" t="s">
        <v>4035</v>
      </c>
      <c r="BB503" t="s">
        <v>709</v>
      </c>
      <c r="CB503">
        <v>500</v>
      </c>
      <c r="CC503" t="b">
        <v>1</v>
      </c>
      <c r="CD503" t="s">
        <v>4036</v>
      </c>
      <c r="CE503" s="1482">
        <v>45880.734907407408</v>
      </c>
    </row>
    <row r="504" spans="1:83" x14ac:dyDescent="0.25">
      <c r="A504">
        <v>2021</v>
      </c>
      <c r="B504" t="s">
        <v>1073</v>
      </c>
      <c r="C504" t="s">
        <v>3327</v>
      </c>
      <c r="D504">
        <v>193119</v>
      </c>
      <c r="E504" t="s">
        <v>1915</v>
      </c>
      <c r="F504" t="s">
        <v>919</v>
      </c>
      <c r="G504" t="s">
        <v>36</v>
      </c>
      <c r="H504" t="s">
        <v>3178</v>
      </c>
      <c r="I504">
        <v>44545</v>
      </c>
      <c r="J504" t="s">
        <v>2052</v>
      </c>
      <c r="K504">
        <v>44588</v>
      </c>
      <c r="L504">
        <v>43</v>
      </c>
      <c r="M504" t="s">
        <v>4037</v>
      </c>
      <c r="N504" t="s">
        <v>120</v>
      </c>
      <c r="O504">
        <v>44593</v>
      </c>
      <c r="P504" t="s">
        <v>739</v>
      </c>
      <c r="Q504">
        <v>5670</v>
      </c>
      <c r="R504" t="s">
        <v>1922</v>
      </c>
      <c r="S504" t="s">
        <v>709</v>
      </c>
      <c r="T504" t="s">
        <v>709</v>
      </c>
      <c r="U504">
        <v>5670</v>
      </c>
      <c r="AD504" t="s">
        <v>709</v>
      </c>
      <c r="AE504" t="s">
        <v>29</v>
      </c>
      <c r="AF504" t="s">
        <v>29</v>
      </c>
      <c r="AG504" t="s">
        <v>29</v>
      </c>
      <c r="AH504" t="s">
        <v>29</v>
      </c>
      <c r="AM504" t="s">
        <v>709</v>
      </c>
      <c r="AY504" t="s">
        <v>29</v>
      </c>
      <c r="BA504">
        <v>11</v>
      </c>
      <c r="BB504" t="s">
        <v>4038</v>
      </c>
      <c r="BI504" t="s">
        <v>709</v>
      </c>
      <c r="BJ504" t="s">
        <v>116</v>
      </c>
      <c r="BK504" t="s">
        <v>709</v>
      </c>
      <c r="BL504" t="s">
        <v>709</v>
      </c>
      <c r="BM504" t="s">
        <v>709</v>
      </c>
      <c r="BN504" t="s">
        <v>709</v>
      </c>
      <c r="BO504" t="s">
        <v>709</v>
      </c>
      <c r="BP504" t="s">
        <v>709</v>
      </c>
      <c r="BQ504">
        <v>10776</v>
      </c>
      <c r="BR504" t="s">
        <v>709</v>
      </c>
      <c r="BS504" t="s">
        <v>709</v>
      </c>
      <c r="BT504" t="s">
        <v>709</v>
      </c>
      <c r="BU504" t="s">
        <v>709</v>
      </c>
      <c r="BV504" t="s">
        <v>745</v>
      </c>
      <c r="BW504" t="s">
        <v>709</v>
      </c>
      <c r="BX504" t="s">
        <v>709</v>
      </c>
      <c r="BY504" t="s">
        <v>745</v>
      </c>
      <c r="BZ504" t="s">
        <v>709</v>
      </c>
      <c r="CB504">
        <v>503</v>
      </c>
      <c r="CC504" t="b">
        <v>1</v>
      </c>
      <c r="CD504" t="s">
        <v>4039</v>
      </c>
      <c r="CE504" s="1482">
        <v>45880.734907407408</v>
      </c>
    </row>
    <row r="505" spans="1:83" ht="105" x14ac:dyDescent="0.25">
      <c r="A505">
        <v>2021</v>
      </c>
      <c r="B505" t="s">
        <v>771</v>
      </c>
      <c r="C505" t="s">
        <v>1238</v>
      </c>
      <c r="D505" t="s">
        <v>1239</v>
      </c>
      <c r="E505" t="s">
        <v>272</v>
      </c>
      <c r="F505" t="s">
        <v>919</v>
      </c>
      <c r="G505" t="s">
        <v>1882</v>
      </c>
      <c r="H505" t="s">
        <v>59</v>
      </c>
      <c r="I505">
        <v>44448</v>
      </c>
      <c r="J505">
        <v>44655</v>
      </c>
      <c r="K505">
        <v>44588</v>
      </c>
      <c r="L505">
        <v>67</v>
      </c>
      <c r="N505" t="s">
        <v>120</v>
      </c>
      <c r="O505">
        <v>44593</v>
      </c>
      <c r="P505" t="s">
        <v>120</v>
      </c>
      <c r="Q505">
        <v>68083.122600000002</v>
      </c>
      <c r="R505">
        <v>0.09</v>
      </c>
      <c r="S505" t="s">
        <v>709</v>
      </c>
      <c r="T505" t="s">
        <v>709</v>
      </c>
      <c r="U505" t="s">
        <v>709</v>
      </c>
      <c r="V505">
        <v>1953</v>
      </c>
      <c r="X505">
        <v>716899.69</v>
      </c>
      <c r="Z505">
        <v>39579.449999999997</v>
      </c>
      <c r="AA505">
        <v>756479.14</v>
      </c>
      <c r="AC505" t="s">
        <v>116</v>
      </c>
      <c r="AM505" t="s">
        <v>116</v>
      </c>
      <c r="AN505" t="s">
        <v>709</v>
      </c>
      <c r="AO505">
        <v>11038988</v>
      </c>
      <c r="AS505">
        <v>0</v>
      </c>
      <c r="AT505">
        <v>0</v>
      </c>
      <c r="AU505">
        <v>0</v>
      </c>
      <c r="AY505" t="s">
        <v>709</v>
      </c>
      <c r="AZ505">
        <v>23</v>
      </c>
      <c r="BA505" t="s">
        <v>1240</v>
      </c>
      <c r="BB505" s="4" t="s">
        <v>1241</v>
      </c>
      <c r="BC505" t="s">
        <v>709</v>
      </c>
      <c r="BD505" t="s">
        <v>709</v>
      </c>
      <c r="BE505" t="s">
        <v>1242</v>
      </c>
      <c r="BF505" t="s">
        <v>709</v>
      </c>
      <c r="BG505" t="s">
        <v>1243</v>
      </c>
      <c r="BI505" t="s">
        <v>709</v>
      </c>
      <c r="BJ505" t="s">
        <v>709</v>
      </c>
      <c r="BK505" t="s">
        <v>709</v>
      </c>
      <c r="BL505" t="s">
        <v>116</v>
      </c>
      <c r="BM505" t="s">
        <v>709</v>
      </c>
      <c r="BN505" t="s">
        <v>709</v>
      </c>
      <c r="BO505" t="s">
        <v>709</v>
      </c>
      <c r="BP505" t="s">
        <v>709</v>
      </c>
      <c r="BQ505">
        <v>1164</v>
      </c>
      <c r="BR505" t="s">
        <v>709</v>
      </c>
      <c r="BS505">
        <v>789</v>
      </c>
      <c r="BT505" t="s">
        <v>745</v>
      </c>
      <c r="BU505" t="s">
        <v>709</v>
      </c>
      <c r="BV505" t="s">
        <v>745</v>
      </c>
      <c r="BW505" t="s">
        <v>709</v>
      </c>
      <c r="BX505" t="s">
        <v>745</v>
      </c>
      <c r="BY505" t="s">
        <v>745</v>
      </c>
      <c r="BZ505" t="s">
        <v>709</v>
      </c>
      <c r="CB505">
        <v>502</v>
      </c>
      <c r="CC505" t="b">
        <v>1</v>
      </c>
      <c r="CD505" t="s">
        <v>4040</v>
      </c>
      <c r="CE505" s="1482">
        <v>45880.734918981485</v>
      </c>
    </row>
    <row r="506" spans="1:83" x14ac:dyDescent="0.25">
      <c r="A506">
        <v>2020</v>
      </c>
      <c r="B506" t="s">
        <v>4</v>
      </c>
      <c r="C506" t="s">
        <v>204</v>
      </c>
      <c r="D506">
        <v>140830</v>
      </c>
      <c r="E506" t="s">
        <v>1159</v>
      </c>
      <c r="F506" t="s">
        <v>919</v>
      </c>
      <c r="G506" t="s">
        <v>40</v>
      </c>
      <c r="H506" t="s">
        <v>4001</v>
      </c>
      <c r="I506">
        <v>44585</v>
      </c>
      <c r="J506" t="s">
        <v>2052</v>
      </c>
      <c r="K506">
        <v>44589</v>
      </c>
      <c r="L506">
        <v>4</v>
      </c>
      <c r="M506" t="s">
        <v>4041</v>
      </c>
      <c r="N506" t="s">
        <v>120</v>
      </c>
      <c r="O506">
        <v>44593</v>
      </c>
      <c r="P506" t="s">
        <v>739</v>
      </c>
      <c r="Q506">
        <v>3775</v>
      </c>
      <c r="R506" t="s">
        <v>1922</v>
      </c>
      <c r="S506" t="s">
        <v>709</v>
      </c>
      <c r="T506" t="s">
        <v>709</v>
      </c>
      <c r="U506">
        <v>3775</v>
      </c>
      <c r="AD506" t="s">
        <v>709</v>
      </c>
      <c r="AH506" t="s">
        <v>29</v>
      </c>
      <c r="AM506" t="s">
        <v>709</v>
      </c>
      <c r="AY506" t="s">
        <v>29</v>
      </c>
      <c r="BA506">
        <v>12</v>
      </c>
      <c r="BB506" t="s">
        <v>709</v>
      </c>
      <c r="BI506" t="s">
        <v>709</v>
      </c>
      <c r="BJ506" t="s">
        <v>709</v>
      </c>
      <c r="BK506" t="s">
        <v>116</v>
      </c>
      <c r="BL506" t="s">
        <v>116</v>
      </c>
      <c r="BM506" t="s">
        <v>709</v>
      </c>
      <c r="BN506" t="s">
        <v>709</v>
      </c>
      <c r="BO506" t="s">
        <v>709</v>
      </c>
      <c r="BP506">
        <v>1485</v>
      </c>
      <c r="BQ506" t="s">
        <v>709</v>
      </c>
      <c r="BR506">
        <v>861</v>
      </c>
      <c r="BS506" t="s">
        <v>709</v>
      </c>
      <c r="BT506" t="s">
        <v>709</v>
      </c>
      <c r="BU506" t="s">
        <v>709</v>
      </c>
      <c r="BV506" t="s">
        <v>745</v>
      </c>
      <c r="BW506" t="s">
        <v>709</v>
      </c>
      <c r="BX506" t="s">
        <v>709</v>
      </c>
      <c r="BY506" t="s">
        <v>745</v>
      </c>
      <c r="BZ506" t="s">
        <v>709</v>
      </c>
      <c r="CB506">
        <v>504</v>
      </c>
      <c r="CC506" t="b">
        <v>1</v>
      </c>
      <c r="CD506" t="s">
        <v>4042</v>
      </c>
      <c r="CE506" s="1482">
        <v>45880.734918981485</v>
      </c>
    </row>
    <row r="507" spans="1:83" x14ac:dyDescent="0.25">
      <c r="A507">
        <v>2021</v>
      </c>
      <c r="B507" t="s">
        <v>4</v>
      </c>
      <c r="C507" t="s">
        <v>121</v>
      </c>
      <c r="D507">
        <v>120391</v>
      </c>
      <c r="E507" t="s">
        <v>122</v>
      </c>
      <c r="F507" t="s">
        <v>919</v>
      </c>
      <c r="G507" t="s">
        <v>36</v>
      </c>
      <c r="H507" t="s">
        <v>4001</v>
      </c>
      <c r="I507">
        <v>44581</v>
      </c>
      <c r="J507" t="s">
        <v>2052</v>
      </c>
      <c r="K507">
        <v>44593</v>
      </c>
      <c r="L507">
        <v>12</v>
      </c>
      <c r="M507" t="s">
        <v>4043</v>
      </c>
      <c r="N507" t="s">
        <v>120</v>
      </c>
      <c r="O507">
        <v>44593</v>
      </c>
      <c r="P507" t="s">
        <v>739</v>
      </c>
      <c r="Q507">
        <v>2285</v>
      </c>
      <c r="R507" t="s">
        <v>1922</v>
      </c>
      <c r="S507" t="s">
        <v>709</v>
      </c>
      <c r="T507" t="s">
        <v>709</v>
      </c>
      <c r="U507">
        <v>2285</v>
      </c>
      <c r="AD507" t="s">
        <v>709</v>
      </c>
      <c r="AM507" t="s">
        <v>709</v>
      </c>
      <c r="AY507" t="s">
        <v>29</v>
      </c>
      <c r="BA507">
        <v>12</v>
      </c>
      <c r="BI507" t="s">
        <v>709</v>
      </c>
      <c r="BJ507" t="s">
        <v>709</v>
      </c>
      <c r="BK507" t="s">
        <v>709</v>
      </c>
      <c r="BL507" t="s">
        <v>116</v>
      </c>
      <c r="BM507" t="s">
        <v>709</v>
      </c>
      <c r="BN507" t="s">
        <v>709</v>
      </c>
      <c r="BO507" t="s">
        <v>709</v>
      </c>
      <c r="BP507">
        <v>3618</v>
      </c>
      <c r="BQ507">
        <v>2805</v>
      </c>
      <c r="BR507">
        <v>12</v>
      </c>
      <c r="BS507">
        <v>291</v>
      </c>
      <c r="BT507" t="s">
        <v>745</v>
      </c>
      <c r="BU507" t="s">
        <v>709</v>
      </c>
      <c r="BV507" t="s">
        <v>745</v>
      </c>
      <c r="BW507" t="s">
        <v>709</v>
      </c>
      <c r="BX507" t="s">
        <v>745</v>
      </c>
      <c r="BY507" t="s">
        <v>745</v>
      </c>
      <c r="BZ507" t="s">
        <v>709</v>
      </c>
      <c r="CB507">
        <v>505</v>
      </c>
      <c r="CC507" t="b">
        <v>1</v>
      </c>
      <c r="CD507" t="s">
        <v>4044</v>
      </c>
      <c r="CE507" s="1482">
        <v>45880.734918981485</v>
      </c>
    </row>
    <row r="508" spans="1:83" x14ac:dyDescent="0.25">
      <c r="A508">
        <v>2022</v>
      </c>
      <c r="B508" t="s">
        <v>771</v>
      </c>
      <c r="C508" t="s">
        <v>4025</v>
      </c>
      <c r="D508">
        <v>1410708</v>
      </c>
      <c r="E508" t="s">
        <v>405</v>
      </c>
      <c r="F508" t="s">
        <v>919</v>
      </c>
      <c r="G508" t="s">
        <v>36</v>
      </c>
      <c r="H508" t="s">
        <v>4045</v>
      </c>
      <c r="I508">
        <v>44589</v>
      </c>
      <c r="J508" t="s">
        <v>2958</v>
      </c>
      <c r="K508">
        <v>44595</v>
      </c>
      <c r="L508">
        <v>6</v>
      </c>
      <c r="M508" t="s">
        <v>4046</v>
      </c>
      <c r="N508" t="s">
        <v>120</v>
      </c>
      <c r="O508">
        <v>44595</v>
      </c>
      <c r="P508" t="s">
        <v>120</v>
      </c>
      <c r="Q508">
        <v>1067.5</v>
      </c>
      <c r="R508" t="s">
        <v>1922</v>
      </c>
      <c r="S508" t="s">
        <v>709</v>
      </c>
      <c r="T508" t="s">
        <v>709</v>
      </c>
      <c r="U508">
        <v>1067.5</v>
      </c>
      <c r="AD508" t="s">
        <v>709</v>
      </c>
      <c r="AM508" t="s">
        <v>709</v>
      </c>
      <c r="AY508" t="s">
        <v>29</v>
      </c>
      <c r="BA508" t="s">
        <v>4046</v>
      </c>
      <c r="BB508" t="s">
        <v>4047</v>
      </c>
      <c r="BI508" t="s">
        <v>709</v>
      </c>
      <c r="BJ508" t="s">
        <v>709</v>
      </c>
      <c r="BK508" t="s">
        <v>709</v>
      </c>
      <c r="BL508" t="s">
        <v>116</v>
      </c>
      <c r="BM508" t="s">
        <v>709</v>
      </c>
      <c r="BN508" t="s">
        <v>709</v>
      </c>
      <c r="BO508" t="s">
        <v>709</v>
      </c>
      <c r="BP508">
        <v>3908</v>
      </c>
      <c r="BQ508">
        <v>41</v>
      </c>
      <c r="BR508">
        <v>69</v>
      </c>
      <c r="BS508">
        <v>1969</v>
      </c>
      <c r="BT508" t="s">
        <v>745</v>
      </c>
      <c r="BU508" t="s">
        <v>709</v>
      </c>
      <c r="BV508" t="s">
        <v>745</v>
      </c>
      <c r="BW508" t="s">
        <v>709</v>
      </c>
      <c r="BX508" t="s">
        <v>745</v>
      </c>
      <c r="BY508" t="s">
        <v>745</v>
      </c>
      <c r="BZ508" t="s">
        <v>709</v>
      </c>
      <c r="CB508">
        <v>506</v>
      </c>
      <c r="CC508" t="b">
        <v>1</v>
      </c>
      <c r="CD508" t="s">
        <v>4048</v>
      </c>
      <c r="CE508" s="1482">
        <v>45880.734930555554</v>
      </c>
    </row>
    <row r="509" spans="1:83" ht="45" x14ac:dyDescent="0.25">
      <c r="A509">
        <v>2022</v>
      </c>
      <c r="B509" t="s">
        <v>1073</v>
      </c>
      <c r="C509" t="s">
        <v>4049</v>
      </c>
      <c r="D509" t="s">
        <v>4050</v>
      </c>
      <c r="E509" t="s">
        <v>1573</v>
      </c>
      <c r="F509" t="s">
        <v>919</v>
      </c>
      <c r="G509" t="s">
        <v>36</v>
      </c>
      <c r="H509" t="s">
        <v>59</v>
      </c>
      <c r="I509">
        <v>44551</v>
      </c>
      <c r="J509">
        <v>44596</v>
      </c>
      <c r="K509">
        <v>44595</v>
      </c>
      <c r="L509">
        <v>1</v>
      </c>
      <c r="N509" t="s">
        <v>120</v>
      </c>
      <c r="O509">
        <v>44595</v>
      </c>
      <c r="P509" t="s">
        <v>739</v>
      </c>
      <c r="Q509">
        <v>5297.9983000000002</v>
      </c>
      <c r="R509">
        <v>7.0000000000000007E-2</v>
      </c>
      <c r="S509" t="s">
        <v>709</v>
      </c>
      <c r="T509" t="s">
        <v>709</v>
      </c>
      <c r="U509" t="s">
        <v>709</v>
      </c>
      <c r="V509">
        <v>140</v>
      </c>
      <c r="X509">
        <v>75685.69</v>
      </c>
      <c r="Z509">
        <v>0</v>
      </c>
      <c r="AA509">
        <v>75685.69</v>
      </c>
      <c r="AC509" t="s">
        <v>709</v>
      </c>
      <c r="AM509" t="s">
        <v>116</v>
      </c>
      <c r="AN509">
        <v>44614</v>
      </c>
      <c r="AO509">
        <v>11039820</v>
      </c>
      <c r="AP509">
        <v>75685.69</v>
      </c>
      <c r="AR509">
        <v>0</v>
      </c>
      <c r="AS509">
        <v>75685.69</v>
      </c>
      <c r="AT509">
        <v>0</v>
      </c>
      <c r="AU509">
        <v>0</v>
      </c>
      <c r="AV509" t="s">
        <v>709</v>
      </c>
      <c r="AY509" t="s">
        <v>1935</v>
      </c>
      <c r="BA509" t="s">
        <v>4051</v>
      </c>
      <c r="BB509" s="4" t="s">
        <v>4052</v>
      </c>
      <c r="BC509" t="s">
        <v>709</v>
      </c>
      <c r="BD509" t="s">
        <v>709</v>
      </c>
      <c r="BE509" t="s">
        <v>709</v>
      </c>
      <c r="BF509" t="s">
        <v>709</v>
      </c>
      <c r="BG509" t="s">
        <v>709</v>
      </c>
      <c r="BI509" t="s">
        <v>709</v>
      </c>
      <c r="BJ509" t="s">
        <v>709</v>
      </c>
      <c r="BK509" t="s">
        <v>116</v>
      </c>
      <c r="BL509" t="s">
        <v>709</v>
      </c>
      <c r="BM509" t="s">
        <v>709</v>
      </c>
      <c r="BN509" t="s">
        <v>709</v>
      </c>
      <c r="BO509" t="s">
        <v>709</v>
      </c>
      <c r="BP509" t="s">
        <v>709</v>
      </c>
      <c r="BQ509" t="s">
        <v>709</v>
      </c>
      <c r="BR509" t="s">
        <v>709</v>
      </c>
      <c r="BS509">
        <v>140</v>
      </c>
      <c r="BT509" t="s">
        <v>745</v>
      </c>
      <c r="BU509" t="s">
        <v>709</v>
      </c>
      <c r="BV509" t="s">
        <v>745</v>
      </c>
      <c r="BW509" t="s">
        <v>709</v>
      </c>
      <c r="BX509" t="s">
        <v>745</v>
      </c>
      <c r="BY509">
        <v>1</v>
      </c>
      <c r="BZ509" t="s">
        <v>709</v>
      </c>
      <c r="CB509">
        <v>507</v>
      </c>
      <c r="CC509" t="b">
        <v>1</v>
      </c>
      <c r="CD509" t="s">
        <v>4053</v>
      </c>
      <c r="CE509" s="1482">
        <v>45880.734930555554</v>
      </c>
    </row>
    <row r="510" spans="1:83" x14ac:dyDescent="0.25">
      <c r="A510">
        <v>2022</v>
      </c>
      <c r="B510" t="s">
        <v>1073</v>
      </c>
      <c r="C510" t="s">
        <v>4049</v>
      </c>
      <c r="D510" t="s">
        <v>4050</v>
      </c>
      <c r="E510" t="s">
        <v>1573</v>
      </c>
      <c r="F510" t="s">
        <v>919</v>
      </c>
      <c r="G510" t="s">
        <v>36</v>
      </c>
      <c r="H510" t="s">
        <v>4054</v>
      </c>
      <c r="I510">
        <v>44551</v>
      </c>
      <c r="J510" t="s">
        <v>4055</v>
      </c>
      <c r="K510">
        <v>44595</v>
      </c>
      <c r="L510">
        <v>44</v>
      </c>
      <c r="N510" t="s">
        <v>120</v>
      </c>
      <c r="O510">
        <v>44682</v>
      </c>
      <c r="P510" t="s">
        <v>739</v>
      </c>
      <c r="Q510">
        <v>2190</v>
      </c>
      <c r="R510" t="s">
        <v>1922</v>
      </c>
      <c r="S510" t="s">
        <v>709</v>
      </c>
      <c r="T510" t="s">
        <v>709</v>
      </c>
      <c r="U510">
        <v>2190</v>
      </c>
      <c r="AC510" t="s">
        <v>709</v>
      </c>
      <c r="AM510" t="s">
        <v>709</v>
      </c>
      <c r="AQ510">
        <v>75685.69</v>
      </c>
      <c r="AY510" t="s">
        <v>29</v>
      </c>
      <c r="BA510" t="s">
        <v>29</v>
      </c>
      <c r="BB510" t="s">
        <v>376</v>
      </c>
      <c r="BI510" t="s">
        <v>709</v>
      </c>
      <c r="BJ510" t="s">
        <v>709</v>
      </c>
      <c r="BK510" t="s">
        <v>116</v>
      </c>
      <c r="BL510" t="s">
        <v>709</v>
      </c>
      <c r="BM510" t="s">
        <v>709</v>
      </c>
      <c r="BN510" t="s">
        <v>709</v>
      </c>
      <c r="BO510" t="s">
        <v>709</v>
      </c>
      <c r="BP510" t="s">
        <v>709</v>
      </c>
      <c r="BQ510" t="s">
        <v>709</v>
      </c>
      <c r="BR510" t="s">
        <v>709</v>
      </c>
      <c r="BS510" t="s">
        <v>116</v>
      </c>
      <c r="BT510" t="s">
        <v>745</v>
      </c>
      <c r="BU510" t="s">
        <v>709</v>
      </c>
      <c r="BV510" t="s">
        <v>745</v>
      </c>
      <c r="BW510" t="s">
        <v>709</v>
      </c>
      <c r="BX510" t="s">
        <v>745</v>
      </c>
      <c r="BY510" t="s">
        <v>116</v>
      </c>
      <c r="BZ510" t="s">
        <v>709</v>
      </c>
      <c r="CB510">
        <v>509</v>
      </c>
      <c r="CC510" t="b">
        <v>1</v>
      </c>
      <c r="CD510" t="s">
        <v>4053</v>
      </c>
      <c r="CE510" s="1482">
        <v>45880.734930555554</v>
      </c>
    </row>
    <row r="511" spans="1:83" ht="409.5" x14ac:dyDescent="0.25">
      <c r="A511">
        <v>2022</v>
      </c>
      <c r="B511" t="s">
        <v>759</v>
      </c>
      <c r="C511" t="s">
        <v>4056</v>
      </c>
      <c r="D511" t="s">
        <v>4057</v>
      </c>
      <c r="E511" t="s">
        <v>2144</v>
      </c>
      <c r="F511" t="s">
        <v>919</v>
      </c>
      <c r="G511" t="s">
        <v>40</v>
      </c>
      <c r="H511" t="s">
        <v>59</v>
      </c>
      <c r="I511">
        <v>44480</v>
      </c>
      <c r="J511">
        <v>44610</v>
      </c>
      <c r="K511">
        <v>44595</v>
      </c>
      <c r="L511">
        <v>15</v>
      </c>
      <c r="N511" t="s">
        <v>120</v>
      </c>
      <c r="O511">
        <v>44595</v>
      </c>
      <c r="P511" t="s">
        <v>120</v>
      </c>
      <c r="Q511">
        <v>65933.908500000005</v>
      </c>
      <c r="R511" t="s">
        <v>1055</v>
      </c>
      <c r="X511">
        <v>625981.93000000005</v>
      </c>
      <c r="Z511">
        <v>58534.64</v>
      </c>
      <c r="AA511">
        <v>684516.57</v>
      </c>
      <c r="AC511" t="s">
        <v>1056</v>
      </c>
      <c r="AM511" t="s">
        <v>116</v>
      </c>
      <c r="AN511">
        <v>45120</v>
      </c>
      <c r="AO511">
        <v>11038037</v>
      </c>
      <c r="AP511">
        <v>779478.56</v>
      </c>
      <c r="AR511">
        <v>61869.71</v>
      </c>
      <c r="AS511">
        <v>841348.27</v>
      </c>
      <c r="AT511">
        <v>156831.70000000001</v>
      </c>
      <c r="AU511">
        <v>13330.6945</v>
      </c>
      <c r="AV511">
        <v>5070</v>
      </c>
      <c r="AW511" s="4" t="s">
        <v>4058</v>
      </c>
      <c r="AX511">
        <v>0</v>
      </c>
      <c r="AY511">
        <v>45375</v>
      </c>
      <c r="BA511" t="s">
        <v>4059</v>
      </c>
      <c r="BB511" s="4" t="s">
        <v>4060</v>
      </c>
      <c r="BC511" t="s">
        <v>116</v>
      </c>
      <c r="BD511" t="s">
        <v>709</v>
      </c>
      <c r="BE511" t="s">
        <v>4061</v>
      </c>
      <c r="BF511" t="s">
        <v>709</v>
      </c>
      <c r="BG511" t="s">
        <v>709</v>
      </c>
      <c r="BI511" t="s">
        <v>709</v>
      </c>
      <c r="BJ511" t="s">
        <v>709</v>
      </c>
      <c r="BK511" t="s">
        <v>116</v>
      </c>
      <c r="BL511" t="s">
        <v>116</v>
      </c>
      <c r="BM511" t="s">
        <v>709</v>
      </c>
      <c r="BN511" t="s">
        <v>709</v>
      </c>
      <c r="BO511" t="s">
        <v>709</v>
      </c>
      <c r="BP511">
        <v>152</v>
      </c>
      <c r="BQ511">
        <v>395</v>
      </c>
      <c r="BR511">
        <v>45</v>
      </c>
      <c r="BS511">
        <v>5</v>
      </c>
      <c r="BT511">
        <v>1</v>
      </c>
      <c r="BU511" t="s">
        <v>709</v>
      </c>
      <c r="BV511" t="s">
        <v>745</v>
      </c>
      <c r="BW511">
        <v>1</v>
      </c>
      <c r="BX511" t="s">
        <v>745</v>
      </c>
      <c r="BY511" t="s">
        <v>745</v>
      </c>
      <c r="BZ511" t="s">
        <v>709</v>
      </c>
      <c r="CA511" t="s">
        <v>1022</v>
      </c>
      <c r="CB511">
        <v>508</v>
      </c>
      <c r="CC511" t="b">
        <v>1</v>
      </c>
      <c r="CD511" t="s">
        <v>4062</v>
      </c>
      <c r="CE511" s="1482">
        <v>45880.734930555554</v>
      </c>
    </row>
    <row r="512" spans="1:83" x14ac:dyDescent="0.25">
      <c r="A512">
        <v>2022</v>
      </c>
      <c r="B512" t="s">
        <v>4</v>
      </c>
      <c r="C512" t="s">
        <v>3901</v>
      </c>
      <c r="D512">
        <v>1310685</v>
      </c>
      <c r="E512" t="s">
        <v>2032</v>
      </c>
      <c r="F512" t="s">
        <v>738</v>
      </c>
      <c r="G512" t="s">
        <v>23</v>
      </c>
      <c r="H512" t="s">
        <v>3178</v>
      </c>
      <c r="I512">
        <v>44588</v>
      </c>
      <c r="J512" t="s">
        <v>2052</v>
      </c>
      <c r="K512">
        <v>44596</v>
      </c>
      <c r="L512">
        <v>8</v>
      </c>
      <c r="M512" t="s">
        <v>4063</v>
      </c>
      <c r="N512" t="s">
        <v>120</v>
      </c>
      <c r="O512">
        <v>44596</v>
      </c>
      <c r="P512" t="s">
        <v>739</v>
      </c>
      <c r="Q512">
        <v>4072.5</v>
      </c>
      <c r="R512" t="s">
        <v>1922</v>
      </c>
      <c r="S512" t="s">
        <v>709</v>
      </c>
      <c r="T512" t="s">
        <v>709</v>
      </c>
      <c r="U512">
        <v>4072.5</v>
      </c>
      <c r="AD512" t="s">
        <v>709</v>
      </c>
      <c r="AM512" t="s">
        <v>709</v>
      </c>
      <c r="AY512" t="s">
        <v>29</v>
      </c>
      <c r="BA512">
        <v>4</v>
      </c>
      <c r="BB512" t="s">
        <v>4064</v>
      </c>
      <c r="BI512" t="s">
        <v>709</v>
      </c>
      <c r="BJ512" t="s">
        <v>709</v>
      </c>
      <c r="BK512" t="s">
        <v>709</v>
      </c>
      <c r="BL512" t="s">
        <v>116</v>
      </c>
      <c r="BM512" t="s">
        <v>709</v>
      </c>
      <c r="BN512" t="s">
        <v>709</v>
      </c>
      <c r="BO512" t="s">
        <v>709</v>
      </c>
      <c r="BP512" t="s">
        <v>709</v>
      </c>
      <c r="BQ512" t="s">
        <v>709</v>
      </c>
      <c r="BR512">
        <v>824</v>
      </c>
      <c r="BS512" t="s">
        <v>709</v>
      </c>
      <c r="BT512" t="s">
        <v>709</v>
      </c>
      <c r="BU512" t="s">
        <v>709</v>
      </c>
      <c r="BV512" t="s">
        <v>745</v>
      </c>
      <c r="BW512" t="s">
        <v>709</v>
      </c>
      <c r="BX512" t="s">
        <v>709</v>
      </c>
      <c r="BY512" t="s">
        <v>745</v>
      </c>
      <c r="BZ512" t="s">
        <v>709</v>
      </c>
      <c r="CB512">
        <v>510</v>
      </c>
      <c r="CC512" t="b">
        <v>1</v>
      </c>
      <c r="CD512" t="s">
        <v>4065</v>
      </c>
      <c r="CE512" s="1482">
        <v>45880.734942129631</v>
      </c>
    </row>
    <row r="513" spans="1:83" x14ac:dyDescent="0.25">
      <c r="A513">
        <v>2022</v>
      </c>
      <c r="B513" t="s">
        <v>2989</v>
      </c>
      <c r="C513" t="s">
        <v>4066</v>
      </c>
      <c r="D513" t="s">
        <v>4067</v>
      </c>
      <c r="E513" t="s">
        <v>850</v>
      </c>
      <c r="F513" t="s">
        <v>752</v>
      </c>
      <c r="G513" t="s">
        <v>35</v>
      </c>
      <c r="H513" t="s">
        <v>59</v>
      </c>
      <c r="I513">
        <v>44523</v>
      </c>
      <c r="J513">
        <v>44600</v>
      </c>
      <c r="K513">
        <v>44599</v>
      </c>
      <c r="L513">
        <v>1</v>
      </c>
      <c r="N513" t="s">
        <v>120</v>
      </c>
      <c r="O513">
        <v>44599</v>
      </c>
      <c r="P513" t="s">
        <v>739</v>
      </c>
      <c r="Q513">
        <v>3206.4155999999998</v>
      </c>
      <c r="R513">
        <v>0.09</v>
      </c>
      <c r="S513" t="s">
        <v>709</v>
      </c>
      <c r="T513" t="s">
        <v>709</v>
      </c>
      <c r="U513" t="s">
        <v>709</v>
      </c>
      <c r="Z513">
        <v>35626.839999999997</v>
      </c>
      <c r="AA513">
        <v>35626.839999999997</v>
      </c>
      <c r="AC513" t="s">
        <v>709</v>
      </c>
      <c r="AD513" t="s">
        <v>709</v>
      </c>
      <c r="AM513" t="s">
        <v>116</v>
      </c>
      <c r="AN513">
        <v>44608</v>
      </c>
      <c r="AO513">
        <v>11039379</v>
      </c>
      <c r="AP513">
        <v>0</v>
      </c>
      <c r="AR513">
        <v>35626.839999999997</v>
      </c>
      <c r="AS513">
        <v>35626.839999999997</v>
      </c>
      <c r="AT513">
        <v>0</v>
      </c>
      <c r="AU513">
        <v>0</v>
      </c>
      <c r="AV513" t="s">
        <v>709</v>
      </c>
      <c r="AY513" t="s">
        <v>1935</v>
      </c>
      <c r="BA513" t="s">
        <v>4068</v>
      </c>
      <c r="BB513" t="s">
        <v>4069</v>
      </c>
      <c r="BC513" t="s">
        <v>709</v>
      </c>
      <c r="BD513" t="s">
        <v>709</v>
      </c>
      <c r="BE513" t="s">
        <v>709</v>
      </c>
      <c r="BF513" t="s">
        <v>4070</v>
      </c>
      <c r="BG513" t="s">
        <v>709</v>
      </c>
      <c r="BI513" t="s">
        <v>709</v>
      </c>
      <c r="BJ513" t="s">
        <v>709</v>
      </c>
      <c r="BK513" t="s">
        <v>709</v>
      </c>
      <c r="BL513" t="s">
        <v>709</v>
      </c>
      <c r="BM513" t="s">
        <v>709</v>
      </c>
      <c r="BN513" t="s">
        <v>709</v>
      </c>
      <c r="BO513" t="s">
        <v>709</v>
      </c>
      <c r="BP513" t="s">
        <v>709</v>
      </c>
      <c r="BQ513" t="s">
        <v>709</v>
      </c>
      <c r="BR513" t="s">
        <v>709</v>
      </c>
      <c r="BS513" t="s">
        <v>709</v>
      </c>
      <c r="BT513" t="s">
        <v>745</v>
      </c>
      <c r="BU513" t="s">
        <v>709</v>
      </c>
      <c r="BV513">
        <v>1</v>
      </c>
      <c r="BW513" t="s">
        <v>709</v>
      </c>
      <c r="BX513" t="s">
        <v>745</v>
      </c>
      <c r="BY513" t="s">
        <v>745</v>
      </c>
      <c r="BZ513" t="s">
        <v>709</v>
      </c>
      <c r="CA513" t="s">
        <v>2</v>
      </c>
      <c r="CB513">
        <v>512</v>
      </c>
      <c r="CC513" t="b">
        <v>1</v>
      </c>
      <c r="CD513" t="s">
        <v>4071</v>
      </c>
      <c r="CE513" s="1482">
        <v>45880.734942129631</v>
      </c>
    </row>
    <row r="514" spans="1:83" ht="210" x14ac:dyDescent="0.25">
      <c r="A514">
        <v>2022</v>
      </c>
      <c r="B514" t="s">
        <v>2989</v>
      </c>
      <c r="C514" t="s">
        <v>4072</v>
      </c>
      <c r="D514" t="s">
        <v>4073</v>
      </c>
      <c r="E514" t="s">
        <v>4074</v>
      </c>
      <c r="F514" t="s">
        <v>752</v>
      </c>
      <c r="G514" t="s">
        <v>35</v>
      </c>
      <c r="H514" t="s">
        <v>59</v>
      </c>
      <c r="I514">
        <v>44523</v>
      </c>
      <c r="J514">
        <v>44600</v>
      </c>
      <c r="K514">
        <v>44599</v>
      </c>
      <c r="L514">
        <v>1</v>
      </c>
      <c r="N514" t="s">
        <v>120</v>
      </c>
      <c r="O514">
        <v>44599</v>
      </c>
      <c r="P514" t="s">
        <v>739</v>
      </c>
      <c r="Q514">
        <v>10092.6963</v>
      </c>
      <c r="R514">
        <v>0.09</v>
      </c>
      <c r="S514" t="s">
        <v>709</v>
      </c>
      <c r="T514" t="s">
        <v>709</v>
      </c>
      <c r="U514" t="s">
        <v>709</v>
      </c>
      <c r="Z514">
        <v>112141.07</v>
      </c>
      <c r="AA514">
        <v>112141.07</v>
      </c>
      <c r="AC514" t="s">
        <v>709</v>
      </c>
      <c r="AD514" t="s">
        <v>709</v>
      </c>
      <c r="AM514" t="s">
        <v>116</v>
      </c>
      <c r="AN514">
        <v>44608</v>
      </c>
      <c r="AO514">
        <v>11040564</v>
      </c>
      <c r="AP514">
        <v>0</v>
      </c>
      <c r="AR514">
        <v>113576.01</v>
      </c>
      <c r="AS514">
        <v>113576.01</v>
      </c>
      <c r="AT514">
        <v>1434.94</v>
      </c>
      <c r="AU514">
        <v>129.1446</v>
      </c>
      <c r="AV514" t="s">
        <v>709</v>
      </c>
      <c r="AX514">
        <v>129.1446</v>
      </c>
      <c r="AY514">
        <v>45008</v>
      </c>
      <c r="BA514" t="s">
        <v>4075</v>
      </c>
      <c r="BB514" s="4" t="s">
        <v>4076</v>
      </c>
      <c r="BC514" t="s">
        <v>709</v>
      </c>
      <c r="BD514" t="s">
        <v>862</v>
      </c>
      <c r="BE514" t="s">
        <v>4077</v>
      </c>
      <c r="BF514" t="s">
        <v>709</v>
      </c>
      <c r="BG514" t="s">
        <v>709</v>
      </c>
      <c r="BI514" t="s">
        <v>709</v>
      </c>
      <c r="BJ514" t="s">
        <v>709</v>
      </c>
      <c r="BK514" t="s">
        <v>709</v>
      </c>
      <c r="BL514" t="s">
        <v>709</v>
      </c>
      <c r="BM514" t="s">
        <v>709</v>
      </c>
      <c r="BN514" t="s">
        <v>709</v>
      </c>
      <c r="BO514" t="s">
        <v>709</v>
      </c>
      <c r="BP514" t="s">
        <v>709</v>
      </c>
      <c r="BQ514" t="s">
        <v>709</v>
      </c>
      <c r="BR514" t="s">
        <v>709</v>
      </c>
      <c r="BS514" t="s">
        <v>709</v>
      </c>
      <c r="BT514" t="s">
        <v>745</v>
      </c>
      <c r="BU514" t="s">
        <v>709</v>
      </c>
      <c r="BV514">
        <v>4</v>
      </c>
      <c r="BW514" t="s">
        <v>709</v>
      </c>
      <c r="BX514" t="s">
        <v>745</v>
      </c>
      <c r="BY514" t="s">
        <v>745</v>
      </c>
      <c r="BZ514" t="s">
        <v>709</v>
      </c>
      <c r="CA514" t="s">
        <v>2</v>
      </c>
      <c r="CB514">
        <v>511</v>
      </c>
      <c r="CC514" t="b">
        <v>1</v>
      </c>
      <c r="CD514" t="s">
        <v>4078</v>
      </c>
      <c r="CE514" s="1482">
        <v>45880.734942129631</v>
      </c>
    </row>
    <row r="515" spans="1:83" x14ac:dyDescent="0.25">
      <c r="A515">
        <v>2021</v>
      </c>
      <c r="B515" t="s">
        <v>4</v>
      </c>
      <c r="C515" t="s">
        <v>2948</v>
      </c>
      <c r="D515">
        <v>120536</v>
      </c>
      <c r="E515" t="s">
        <v>2786</v>
      </c>
      <c r="F515" t="s">
        <v>919</v>
      </c>
      <c r="G515" t="s">
        <v>40</v>
      </c>
      <c r="H515" t="s">
        <v>4001</v>
      </c>
      <c r="I515">
        <v>44601</v>
      </c>
      <c r="J515" t="s">
        <v>2052</v>
      </c>
      <c r="K515">
        <v>44608</v>
      </c>
      <c r="L515">
        <v>7</v>
      </c>
      <c r="M515" t="s">
        <v>4079</v>
      </c>
      <c r="N515" t="s">
        <v>120</v>
      </c>
      <c r="O515">
        <v>44621</v>
      </c>
      <c r="P515" t="s">
        <v>739</v>
      </c>
      <c r="Q515">
        <v>12840</v>
      </c>
      <c r="R515" t="s">
        <v>1922</v>
      </c>
      <c r="S515" t="s">
        <v>709</v>
      </c>
      <c r="T515" t="s">
        <v>709</v>
      </c>
      <c r="U515">
        <v>12840</v>
      </c>
      <c r="AD515" t="s">
        <v>709</v>
      </c>
      <c r="AM515" t="s">
        <v>709</v>
      </c>
      <c r="AY515" t="s">
        <v>29</v>
      </c>
      <c r="BA515">
        <v>9</v>
      </c>
      <c r="BB515" t="s">
        <v>4080</v>
      </c>
      <c r="BI515" t="s">
        <v>709</v>
      </c>
      <c r="BJ515" t="s">
        <v>709</v>
      </c>
      <c r="BK515" t="s">
        <v>709</v>
      </c>
      <c r="BL515" t="s">
        <v>116</v>
      </c>
      <c r="BM515" t="s">
        <v>709</v>
      </c>
      <c r="BN515" t="s">
        <v>709</v>
      </c>
      <c r="BO515" t="s">
        <v>709</v>
      </c>
      <c r="BP515">
        <v>435</v>
      </c>
      <c r="BQ515">
        <v>1885</v>
      </c>
      <c r="BR515">
        <v>3372</v>
      </c>
      <c r="BS515">
        <v>1853</v>
      </c>
      <c r="BT515">
        <v>1</v>
      </c>
      <c r="BU515" t="s">
        <v>709</v>
      </c>
      <c r="BV515">
        <v>2</v>
      </c>
      <c r="BW515" t="s">
        <v>709</v>
      </c>
      <c r="BX515" t="s">
        <v>709</v>
      </c>
      <c r="BY515" t="s">
        <v>709</v>
      </c>
      <c r="BZ515" t="s">
        <v>709</v>
      </c>
      <c r="CB515">
        <v>514</v>
      </c>
      <c r="CC515" t="b">
        <v>1</v>
      </c>
      <c r="CD515" t="s">
        <v>4081</v>
      </c>
      <c r="CE515" s="1482">
        <v>45880.734953703701</v>
      </c>
    </row>
    <row r="516" spans="1:83" ht="300" x14ac:dyDescent="0.25">
      <c r="A516">
        <v>2022</v>
      </c>
      <c r="B516" t="s">
        <v>769</v>
      </c>
      <c r="C516" t="s">
        <v>310</v>
      </c>
      <c r="D516" t="s">
        <v>115</v>
      </c>
      <c r="E516" t="s">
        <v>4082</v>
      </c>
      <c r="F516" t="s">
        <v>752</v>
      </c>
      <c r="G516" t="s">
        <v>23</v>
      </c>
      <c r="H516" t="s">
        <v>2127</v>
      </c>
      <c r="I516">
        <v>44603</v>
      </c>
      <c r="J516">
        <v>44673</v>
      </c>
      <c r="K516">
        <v>44608</v>
      </c>
      <c r="L516">
        <v>65</v>
      </c>
      <c r="M516" t="s">
        <v>4083</v>
      </c>
      <c r="N516" t="s">
        <v>120</v>
      </c>
      <c r="O516">
        <v>44608</v>
      </c>
      <c r="P516" t="s">
        <v>739</v>
      </c>
      <c r="Q516" t="s">
        <v>115</v>
      </c>
      <c r="R516" t="s">
        <v>115</v>
      </c>
      <c r="S516" t="s">
        <v>709</v>
      </c>
      <c r="T516" t="s">
        <v>709</v>
      </c>
      <c r="U516" t="s">
        <v>709</v>
      </c>
      <c r="AC516" t="s">
        <v>709</v>
      </c>
      <c r="AM516" t="s">
        <v>709</v>
      </c>
      <c r="AY516" t="s">
        <v>29</v>
      </c>
      <c r="BA516" s="4" t="s">
        <v>4084</v>
      </c>
      <c r="BB516" t="s">
        <v>4085</v>
      </c>
      <c r="BZ516" t="s">
        <v>709</v>
      </c>
      <c r="CA516" t="s">
        <v>769</v>
      </c>
      <c r="CB516">
        <v>513</v>
      </c>
      <c r="CC516" t="b">
        <v>1</v>
      </c>
      <c r="CD516" t="s">
        <v>4086</v>
      </c>
      <c r="CE516" s="1482">
        <v>45880.734953703701</v>
      </c>
    </row>
    <row r="517" spans="1:83" x14ac:dyDescent="0.25">
      <c r="A517">
        <v>2022</v>
      </c>
      <c r="B517" t="s">
        <v>1073</v>
      </c>
      <c r="C517" t="s">
        <v>4087</v>
      </c>
      <c r="D517" t="s">
        <v>4088</v>
      </c>
      <c r="E517" t="s">
        <v>61</v>
      </c>
      <c r="F517" t="s">
        <v>738</v>
      </c>
      <c r="G517" t="s">
        <v>35</v>
      </c>
      <c r="H517" t="s">
        <v>59</v>
      </c>
      <c r="I517">
        <v>44540</v>
      </c>
      <c r="J517">
        <v>44617</v>
      </c>
      <c r="K517">
        <v>44609</v>
      </c>
      <c r="L517">
        <v>8</v>
      </c>
      <c r="N517" t="s">
        <v>120</v>
      </c>
      <c r="O517">
        <v>44609</v>
      </c>
      <c r="P517" t="s">
        <v>739</v>
      </c>
      <c r="Q517">
        <v>17717.632099999999</v>
      </c>
      <c r="R517">
        <v>7.0000000000000007E-2</v>
      </c>
      <c r="S517" t="s">
        <v>709</v>
      </c>
      <c r="T517" t="s">
        <v>709</v>
      </c>
      <c r="U517" t="s">
        <v>709</v>
      </c>
      <c r="V517">
        <v>1887</v>
      </c>
      <c r="X517">
        <v>253109.03</v>
      </c>
      <c r="AA517">
        <v>253109.03</v>
      </c>
      <c r="AC517" t="s">
        <v>709</v>
      </c>
      <c r="AD517" t="s">
        <v>116</v>
      </c>
      <c r="AM517" t="s">
        <v>116</v>
      </c>
      <c r="AN517">
        <v>44627</v>
      </c>
      <c r="AO517">
        <v>11039411</v>
      </c>
      <c r="AP517">
        <v>261032.15</v>
      </c>
      <c r="AR517">
        <v>0</v>
      </c>
      <c r="AS517">
        <v>261032.15</v>
      </c>
      <c r="AT517">
        <v>7923.12</v>
      </c>
      <c r="AU517">
        <v>554.61839999999995</v>
      </c>
      <c r="AV517" t="s">
        <v>709</v>
      </c>
      <c r="AX517">
        <v>554.61839999999995</v>
      </c>
      <c r="AY517">
        <v>45008</v>
      </c>
      <c r="BA517" t="s">
        <v>4089</v>
      </c>
      <c r="BB517" t="s">
        <v>4090</v>
      </c>
      <c r="BC517" t="s">
        <v>709</v>
      </c>
      <c r="BD517" t="s">
        <v>709</v>
      </c>
      <c r="BE517" t="s">
        <v>4091</v>
      </c>
      <c r="BF517" t="s">
        <v>4092</v>
      </c>
      <c r="BG517" t="s">
        <v>709</v>
      </c>
      <c r="BI517" t="s">
        <v>709</v>
      </c>
      <c r="BJ517" t="s">
        <v>709</v>
      </c>
      <c r="BK517" t="s">
        <v>116</v>
      </c>
      <c r="BL517" t="s">
        <v>116</v>
      </c>
      <c r="BM517" t="s">
        <v>709</v>
      </c>
      <c r="BN517" t="s">
        <v>709</v>
      </c>
      <c r="BO517" t="s">
        <v>709</v>
      </c>
      <c r="BP517" t="s">
        <v>709</v>
      </c>
      <c r="BQ517">
        <v>1887</v>
      </c>
      <c r="BR517" t="s">
        <v>709</v>
      </c>
      <c r="BS517" t="s">
        <v>709</v>
      </c>
      <c r="BT517" t="s">
        <v>709</v>
      </c>
      <c r="BU517" t="s">
        <v>709</v>
      </c>
      <c r="BV517" t="s">
        <v>745</v>
      </c>
      <c r="BW517" t="s">
        <v>709</v>
      </c>
      <c r="BX517" t="s">
        <v>709</v>
      </c>
      <c r="BY517">
        <v>1</v>
      </c>
      <c r="BZ517" t="s">
        <v>709</v>
      </c>
      <c r="CB517">
        <v>515</v>
      </c>
      <c r="CC517" t="b">
        <v>1</v>
      </c>
      <c r="CD517" t="s">
        <v>4093</v>
      </c>
      <c r="CE517" s="1482">
        <v>45880.734953703701</v>
      </c>
    </row>
    <row r="518" spans="1:83" x14ac:dyDescent="0.25">
      <c r="A518">
        <v>2022</v>
      </c>
      <c r="B518" t="s">
        <v>1073</v>
      </c>
      <c r="C518" t="s">
        <v>4094</v>
      </c>
      <c r="D518" t="s">
        <v>4095</v>
      </c>
      <c r="E518" t="s">
        <v>61</v>
      </c>
      <c r="F518" t="s">
        <v>738</v>
      </c>
      <c r="G518" t="s">
        <v>35</v>
      </c>
      <c r="H518" t="s">
        <v>59</v>
      </c>
      <c r="I518">
        <v>44540</v>
      </c>
      <c r="J518">
        <v>44617</v>
      </c>
      <c r="K518">
        <v>44609</v>
      </c>
      <c r="L518">
        <v>8</v>
      </c>
      <c r="N518" t="s">
        <v>120</v>
      </c>
      <c r="O518">
        <v>44609</v>
      </c>
      <c r="P518" t="s">
        <v>739</v>
      </c>
      <c r="Q518">
        <v>4338.8932999999997</v>
      </c>
      <c r="R518">
        <v>7.0000000000000007E-2</v>
      </c>
      <c r="S518" t="s">
        <v>709</v>
      </c>
      <c r="T518" t="s">
        <v>709</v>
      </c>
      <c r="U518" t="s">
        <v>709</v>
      </c>
      <c r="X518">
        <v>61984.19</v>
      </c>
      <c r="AA518">
        <v>61984.19</v>
      </c>
      <c r="AC518" t="s">
        <v>709</v>
      </c>
      <c r="AD518" t="s">
        <v>116</v>
      </c>
      <c r="AM518" t="s">
        <v>116</v>
      </c>
      <c r="AN518">
        <v>44627</v>
      </c>
      <c r="AO518">
        <v>11039323</v>
      </c>
      <c r="AP518">
        <v>75496.66</v>
      </c>
      <c r="AR518">
        <v>0</v>
      </c>
      <c r="AS518">
        <v>75496.66</v>
      </c>
      <c r="AT518">
        <v>13512.47</v>
      </c>
      <c r="AU518">
        <v>945.87289999999996</v>
      </c>
      <c r="AV518" t="s">
        <v>709</v>
      </c>
      <c r="AW518" t="s">
        <v>2219</v>
      </c>
      <c r="AX518">
        <v>945.87289999999996</v>
      </c>
      <c r="AY518">
        <v>45008</v>
      </c>
      <c r="BA518" t="s">
        <v>4096</v>
      </c>
      <c r="BB518" t="s">
        <v>4097</v>
      </c>
      <c r="BC518" t="s">
        <v>709</v>
      </c>
      <c r="BD518" t="s">
        <v>709</v>
      </c>
      <c r="BE518" t="s">
        <v>4091</v>
      </c>
      <c r="BF518" t="s">
        <v>4092</v>
      </c>
      <c r="BG518" t="s">
        <v>709</v>
      </c>
      <c r="BI518" t="s">
        <v>709</v>
      </c>
      <c r="BJ518" t="s">
        <v>709</v>
      </c>
      <c r="BK518" t="s">
        <v>116</v>
      </c>
      <c r="BL518" t="s">
        <v>116</v>
      </c>
      <c r="BM518" t="s">
        <v>709</v>
      </c>
      <c r="BN518" t="s">
        <v>709</v>
      </c>
      <c r="BO518" t="s">
        <v>709</v>
      </c>
      <c r="BP518" t="s">
        <v>709</v>
      </c>
      <c r="BQ518" t="s">
        <v>709</v>
      </c>
      <c r="BR518">
        <v>627</v>
      </c>
      <c r="BS518">
        <v>5</v>
      </c>
      <c r="BT518" t="s">
        <v>745</v>
      </c>
      <c r="BU518" t="s">
        <v>709</v>
      </c>
      <c r="BV518" t="s">
        <v>745</v>
      </c>
      <c r="BW518" t="s">
        <v>709</v>
      </c>
      <c r="BX518" t="s">
        <v>745</v>
      </c>
      <c r="BY518">
        <v>1</v>
      </c>
      <c r="BZ518" t="s">
        <v>709</v>
      </c>
      <c r="CB518">
        <v>516</v>
      </c>
      <c r="CC518" t="b">
        <v>1</v>
      </c>
      <c r="CD518" t="s">
        <v>4098</v>
      </c>
      <c r="CE518" s="1482">
        <v>45880.734965277778</v>
      </c>
    </row>
    <row r="519" spans="1:83" x14ac:dyDescent="0.25">
      <c r="A519">
        <v>2022</v>
      </c>
      <c r="B519" t="s">
        <v>1073</v>
      </c>
      <c r="C519" t="s">
        <v>4099</v>
      </c>
      <c r="D519" t="s">
        <v>4100</v>
      </c>
      <c r="E519" t="s">
        <v>61</v>
      </c>
      <c r="F519" t="s">
        <v>738</v>
      </c>
      <c r="G519" t="s">
        <v>35</v>
      </c>
      <c r="H519" t="s">
        <v>59</v>
      </c>
      <c r="I519">
        <v>44540</v>
      </c>
      <c r="J519">
        <v>44617</v>
      </c>
      <c r="K519">
        <v>44609</v>
      </c>
      <c r="L519">
        <v>8</v>
      </c>
      <c r="N519" t="s">
        <v>120</v>
      </c>
      <c r="O519">
        <v>44609</v>
      </c>
      <c r="P519" t="s">
        <v>739</v>
      </c>
      <c r="Q519">
        <v>3046.6632</v>
      </c>
      <c r="R519">
        <v>7.0000000000000007E-2</v>
      </c>
      <c r="S519" t="s">
        <v>709</v>
      </c>
      <c r="T519" t="s">
        <v>709</v>
      </c>
      <c r="U519" t="s">
        <v>709</v>
      </c>
      <c r="X519">
        <v>43523.76</v>
      </c>
      <c r="AA519">
        <v>43523.76</v>
      </c>
      <c r="AC519" t="s">
        <v>116</v>
      </c>
      <c r="AD519" t="s">
        <v>116</v>
      </c>
      <c r="AM519" t="s">
        <v>116</v>
      </c>
      <c r="AN519">
        <v>44627</v>
      </c>
      <c r="AO519">
        <v>11039776</v>
      </c>
      <c r="AP519">
        <v>43523.76</v>
      </c>
      <c r="AR519">
        <v>0</v>
      </c>
      <c r="AS519">
        <v>43523.76</v>
      </c>
      <c r="AT519">
        <v>0</v>
      </c>
      <c r="AU519">
        <v>0</v>
      </c>
      <c r="AV519" t="s">
        <v>709</v>
      </c>
      <c r="AY519" t="s">
        <v>1935</v>
      </c>
      <c r="BA519" t="s">
        <v>4101</v>
      </c>
      <c r="BB519" t="s">
        <v>4102</v>
      </c>
      <c r="BC519" t="s">
        <v>709</v>
      </c>
      <c r="BD519" t="s">
        <v>709</v>
      </c>
      <c r="BE519" t="s">
        <v>4091</v>
      </c>
      <c r="BF519" t="s">
        <v>4092</v>
      </c>
      <c r="BG519" t="s">
        <v>709</v>
      </c>
      <c r="BI519" t="s">
        <v>709</v>
      </c>
      <c r="BJ519" t="s">
        <v>709</v>
      </c>
      <c r="BK519" t="s">
        <v>116</v>
      </c>
      <c r="BL519" t="s">
        <v>116</v>
      </c>
      <c r="BM519" t="s">
        <v>709</v>
      </c>
      <c r="BN519" t="s">
        <v>709</v>
      </c>
      <c r="BO519" t="s">
        <v>709</v>
      </c>
      <c r="BP519" t="s">
        <v>709</v>
      </c>
      <c r="BQ519" t="s">
        <v>709</v>
      </c>
      <c r="BR519" t="s">
        <v>709</v>
      </c>
      <c r="BS519" t="s">
        <v>709</v>
      </c>
      <c r="BT519" t="s">
        <v>745</v>
      </c>
      <c r="BU519" t="s">
        <v>709</v>
      </c>
      <c r="BV519" t="s">
        <v>745</v>
      </c>
      <c r="BW519" t="s">
        <v>709</v>
      </c>
      <c r="BX519" t="s">
        <v>745</v>
      </c>
      <c r="BY519">
        <v>1</v>
      </c>
      <c r="BZ519" t="s">
        <v>709</v>
      </c>
      <c r="CB519">
        <v>517</v>
      </c>
      <c r="CC519" t="b">
        <v>1</v>
      </c>
      <c r="CD519" t="s">
        <v>4103</v>
      </c>
      <c r="CE519" s="1482">
        <v>45880.734965277778</v>
      </c>
    </row>
    <row r="520" spans="1:83" ht="409.5" x14ac:dyDescent="0.25">
      <c r="A520">
        <v>2022</v>
      </c>
      <c r="B520" t="s">
        <v>4</v>
      </c>
      <c r="C520" t="s">
        <v>4104</v>
      </c>
      <c r="D520" t="s">
        <v>4105</v>
      </c>
      <c r="E520" t="s">
        <v>232</v>
      </c>
      <c r="F520" t="s">
        <v>919</v>
      </c>
      <c r="G520" t="s">
        <v>22</v>
      </c>
      <c r="H520" t="s">
        <v>59</v>
      </c>
      <c r="I520">
        <v>44544</v>
      </c>
      <c r="J520">
        <v>44615</v>
      </c>
      <c r="K520">
        <v>44609</v>
      </c>
      <c r="L520">
        <v>6</v>
      </c>
      <c r="N520" t="s">
        <v>120</v>
      </c>
      <c r="O520">
        <v>44609</v>
      </c>
      <c r="P520" t="s">
        <v>739</v>
      </c>
      <c r="Q520">
        <v>18085.011999999999</v>
      </c>
      <c r="R520">
        <v>0.1</v>
      </c>
      <c r="S520" t="s">
        <v>709</v>
      </c>
      <c r="T520" t="s">
        <v>709</v>
      </c>
      <c r="U520" t="s">
        <v>709</v>
      </c>
      <c r="V520">
        <v>822</v>
      </c>
      <c r="X520">
        <v>168569.3</v>
      </c>
      <c r="Z520">
        <v>12280.82</v>
      </c>
      <c r="AA520">
        <v>180850.12</v>
      </c>
      <c r="AC520" t="s">
        <v>709</v>
      </c>
      <c r="AM520" t="s">
        <v>116</v>
      </c>
      <c r="AN520">
        <v>44630</v>
      </c>
      <c r="AO520">
        <v>11039418</v>
      </c>
      <c r="AP520">
        <v>168569.3</v>
      </c>
      <c r="AR520">
        <v>12280.82</v>
      </c>
      <c r="AS520">
        <v>180850.12</v>
      </c>
      <c r="AT520">
        <v>0</v>
      </c>
      <c r="AU520">
        <v>0</v>
      </c>
      <c r="AV520" t="s">
        <v>709</v>
      </c>
      <c r="AY520" t="s">
        <v>1935</v>
      </c>
      <c r="BA520" s="4" t="s">
        <v>4106</v>
      </c>
      <c r="BB520" t="s">
        <v>4107</v>
      </c>
      <c r="BC520" t="s">
        <v>709</v>
      </c>
      <c r="BD520" t="s">
        <v>709</v>
      </c>
      <c r="BE520" t="s">
        <v>595</v>
      </c>
      <c r="BF520" t="s">
        <v>709</v>
      </c>
      <c r="BG520" t="s">
        <v>709</v>
      </c>
      <c r="BI520" t="s">
        <v>709</v>
      </c>
      <c r="BJ520" t="s">
        <v>709</v>
      </c>
      <c r="BK520" t="s">
        <v>709</v>
      </c>
      <c r="BL520" t="s">
        <v>116</v>
      </c>
      <c r="BM520" t="s">
        <v>709</v>
      </c>
      <c r="BN520" t="s">
        <v>709</v>
      </c>
      <c r="BO520" t="s">
        <v>709</v>
      </c>
      <c r="BP520" t="s">
        <v>709</v>
      </c>
      <c r="BQ520" t="s">
        <v>709</v>
      </c>
      <c r="BR520" t="s">
        <v>709</v>
      </c>
      <c r="BS520">
        <v>822</v>
      </c>
      <c r="BT520" t="s">
        <v>745</v>
      </c>
      <c r="BU520" t="s">
        <v>709</v>
      </c>
      <c r="BV520" t="s">
        <v>745</v>
      </c>
      <c r="BW520" t="s">
        <v>709</v>
      </c>
      <c r="BX520" t="s">
        <v>745</v>
      </c>
      <c r="BY520" t="s">
        <v>745</v>
      </c>
      <c r="BZ520" t="s">
        <v>709</v>
      </c>
      <c r="CB520">
        <v>518</v>
      </c>
      <c r="CC520" t="b">
        <v>1</v>
      </c>
      <c r="CD520" t="s">
        <v>4108</v>
      </c>
      <c r="CE520" s="1482">
        <v>45880.734965277778</v>
      </c>
    </row>
    <row r="521" spans="1:83" ht="409.5" x14ac:dyDescent="0.25">
      <c r="A521">
        <v>2022</v>
      </c>
      <c r="B521" t="s">
        <v>4</v>
      </c>
      <c r="C521" t="s">
        <v>4104</v>
      </c>
      <c r="D521" t="s">
        <v>4105</v>
      </c>
      <c r="E521" t="s">
        <v>232</v>
      </c>
      <c r="F521" t="s">
        <v>919</v>
      </c>
      <c r="G521" t="s">
        <v>22</v>
      </c>
      <c r="H521" t="s">
        <v>4109</v>
      </c>
      <c r="I521">
        <v>44544</v>
      </c>
      <c r="J521" t="s">
        <v>4110</v>
      </c>
      <c r="K521">
        <v>44609</v>
      </c>
      <c r="L521">
        <v>65</v>
      </c>
      <c r="M521" t="s">
        <v>4111</v>
      </c>
      <c r="N521" t="s">
        <v>120</v>
      </c>
      <c r="O521">
        <v>44621</v>
      </c>
      <c r="P521" t="s">
        <v>739</v>
      </c>
      <c r="Q521">
        <v>2070.75</v>
      </c>
      <c r="R521" t="s">
        <v>1922</v>
      </c>
      <c r="S521">
        <v>433.25</v>
      </c>
      <c r="T521" t="s">
        <v>709</v>
      </c>
      <c r="U521">
        <v>1637.5</v>
      </c>
      <c r="AC521" t="s">
        <v>709</v>
      </c>
      <c r="AM521" t="s">
        <v>709</v>
      </c>
      <c r="AY521" t="s">
        <v>29</v>
      </c>
      <c r="BA521" s="4" t="s">
        <v>4106</v>
      </c>
      <c r="BB521" t="s">
        <v>4107</v>
      </c>
      <c r="BC521" t="s">
        <v>709</v>
      </c>
      <c r="BD521" t="s">
        <v>709</v>
      </c>
      <c r="BE521" t="s">
        <v>595</v>
      </c>
      <c r="BF521" t="s">
        <v>709</v>
      </c>
      <c r="BG521" t="s">
        <v>709</v>
      </c>
      <c r="CB521">
        <v>519</v>
      </c>
      <c r="CC521" t="b">
        <v>1</v>
      </c>
      <c r="CD521" t="s">
        <v>4108</v>
      </c>
      <c r="CE521" s="1482">
        <v>45880.734965277778</v>
      </c>
    </row>
    <row r="522" spans="1:83" ht="150" x14ac:dyDescent="0.25">
      <c r="A522">
        <v>2022</v>
      </c>
      <c r="B522" t="s">
        <v>730</v>
      </c>
      <c r="C522" t="s">
        <v>4112</v>
      </c>
      <c r="D522" t="s">
        <v>4113</v>
      </c>
      <c r="E522" t="s">
        <v>2013</v>
      </c>
      <c r="F522" t="s">
        <v>747</v>
      </c>
      <c r="G522" t="s">
        <v>347</v>
      </c>
      <c r="H522" t="s">
        <v>59</v>
      </c>
      <c r="I522">
        <v>44418</v>
      </c>
      <c r="J522">
        <v>44610</v>
      </c>
      <c r="K522">
        <v>44610</v>
      </c>
      <c r="L522">
        <v>0</v>
      </c>
      <c r="N522" t="s">
        <v>120</v>
      </c>
      <c r="O522">
        <v>44610</v>
      </c>
      <c r="P522" t="s">
        <v>120</v>
      </c>
      <c r="Q522">
        <v>21167.893899999999</v>
      </c>
      <c r="R522" t="s">
        <v>794</v>
      </c>
      <c r="S522" t="s">
        <v>709</v>
      </c>
      <c r="T522" t="s">
        <v>709</v>
      </c>
      <c r="U522" t="s">
        <v>709</v>
      </c>
      <c r="X522">
        <v>150208.16</v>
      </c>
      <c r="Z522">
        <v>37061.18</v>
      </c>
      <c r="AA522">
        <v>187269.34</v>
      </c>
      <c r="AC522" t="s">
        <v>1177</v>
      </c>
      <c r="AM522" t="s">
        <v>116</v>
      </c>
      <c r="AN522">
        <v>44753</v>
      </c>
      <c r="AO522">
        <v>11037891</v>
      </c>
      <c r="AP522">
        <v>150571.42000000001</v>
      </c>
      <c r="AR522">
        <v>37062.269999999997</v>
      </c>
      <c r="AS522">
        <v>187633.69</v>
      </c>
      <c r="AT522">
        <v>364.35</v>
      </c>
      <c r="AU522">
        <v>30.969799999999999</v>
      </c>
      <c r="AV522" t="s">
        <v>709</v>
      </c>
      <c r="AX522">
        <v>30.969799999999999</v>
      </c>
      <c r="AY522">
        <v>45008</v>
      </c>
      <c r="BA522" t="s">
        <v>4114</v>
      </c>
      <c r="BB522" s="4" t="s">
        <v>4115</v>
      </c>
      <c r="BC522" t="s">
        <v>709</v>
      </c>
      <c r="BD522" t="s">
        <v>815</v>
      </c>
      <c r="BE522" t="s">
        <v>709</v>
      </c>
      <c r="BF522" t="s">
        <v>709</v>
      </c>
      <c r="BG522" t="s">
        <v>2837</v>
      </c>
      <c r="BI522" t="s">
        <v>709</v>
      </c>
      <c r="BJ522" t="s">
        <v>116</v>
      </c>
      <c r="BK522" t="s">
        <v>709</v>
      </c>
      <c r="BL522" t="s">
        <v>116</v>
      </c>
      <c r="BM522" t="s">
        <v>709</v>
      </c>
      <c r="BN522" t="s">
        <v>709</v>
      </c>
      <c r="BO522" t="s">
        <v>709</v>
      </c>
      <c r="BP522" t="s">
        <v>709</v>
      </c>
      <c r="BQ522" t="s">
        <v>709</v>
      </c>
      <c r="BR522" t="s">
        <v>709</v>
      </c>
      <c r="BS522">
        <v>62</v>
      </c>
      <c r="BT522" t="s">
        <v>745</v>
      </c>
      <c r="BU522">
        <v>1</v>
      </c>
      <c r="BV522" t="s">
        <v>709</v>
      </c>
      <c r="BW522" t="s">
        <v>709</v>
      </c>
      <c r="BX522">
        <v>1</v>
      </c>
      <c r="BY522" t="s">
        <v>745</v>
      </c>
      <c r="BZ522" t="s">
        <v>709</v>
      </c>
      <c r="CA522" t="s">
        <v>730</v>
      </c>
      <c r="CB522">
        <v>521</v>
      </c>
      <c r="CC522" t="b">
        <v>1</v>
      </c>
      <c r="CD522" t="s">
        <v>4116</v>
      </c>
      <c r="CE522" s="1482">
        <v>45880.734976851854</v>
      </c>
    </row>
    <row r="523" spans="1:83" ht="150" x14ac:dyDescent="0.25">
      <c r="A523">
        <v>2022</v>
      </c>
      <c r="B523" t="s">
        <v>2989</v>
      </c>
      <c r="C523" t="s">
        <v>4117</v>
      </c>
      <c r="D523" t="s">
        <v>4118</v>
      </c>
      <c r="E523" t="s">
        <v>111</v>
      </c>
      <c r="F523" t="s">
        <v>752</v>
      </c>
      <c r="G523" t="s">
        <v>23</v>
      </c>
      <c r="H523" t="s">
        <v>59</v>
      </c>
      <c r="I523">
        <v>44551</v>
      </c>
      <c r="J523">
        <v>44641</v>
      </c>
      <c r="K523">
        <v>44610</v>
      </c>
      <c r="L523">
        <v>31</v>
      </c>
      <c r="N523" t="s">
        <v>120</v>
      </c>
      <c r="O523">
        <v>44610</v>
      </c>
      <c r="P523" t="s">
        <v>739</v>
      </c>
      <c r="Q523">
        <v>10048.872600000001</v>
      </c>
      <c r="R523">
        <v>0.09</v>
      </c>
      <c r="S523" t="s">
        <v>709</v>
      </c>
      <c r="T523" t="s">
        <v>709</v>
      </c>
      <c r="U523" t="s">
        <v>709</v>
      </c>
      <c r="Z523">
        <v>111654.14</v>
      </c>
      <c r="AA523">
        <v>111654.14</v>
      </c>
      <c r="AC523" t="s">
        <v>709</v>
      </c>
      <c r="AM523" t="s">
        <v>116</v>
      </c>
      <c r="AN523">
        <v>44740</v>
      </c>
      <c r="AO523">
        <v>11041935</v>
      </c>
      <c r="AP523">
        <v>0</v>
      </c>
      <c r="AQ523">
        <v>111935.14</v>
      </c>
      <c r="AR523">
        <v>111935.14</v>
      </c>
      <c r="AS523">
        <v>111935.14</v>
      </c>
      <c r="AT523">
        <v>281</v>
      </c>
      <c r="AU523">
        <v>25.29</v>
      </c>
      <c r="AV523" t="s">
        <v>709</v>
      </c>
      <c r="AX523">
        <v>25.29</v>
      </c>
      <c r="AY523">
        <v>45008</v>
      </c>
      <c r="BA523" t="s">
        <v>4119</v>
      </c>
      <c r="BB523" s="4" t="s">
        <v>4120</v>
      </c>
      <c r="BC523" t="s">
        <v>116</v>
      </c>
      <c r="BD523" t="s">
        <v>1626</v>
      </c>
      <c r="BE523" t="s">
        <v>709</v>
      </c>
      <c r="BF523" t="s">
        <v>4121</v>
      </c>
      <c r="BG523" t="s">
        <v>709</v>
      </c>
      <c r="BI523" t="s">
        <v>709</v>
      </c>
      <c r="BJ523" t="s">
        <v>709</v>
      </c>
      <c r="BK523" t="s">
        <v>709</v>
      </c>
      <c r="BL523" t="s">
        <v>709</v>
      </c>
      <c r="BM523" t="s">
        <v>709</v>
      </c>
      <c r="BN523" t="s">
        <v>709</v>
      </c>
      <c r="BO523" t="s">
        <v>709</v>
      </c>
      <c r="BP523" t="s">
        <v>709</v>
      </c>
      <c r="BQ523" t="s">
        <v>709</v>
      </c>
      <c r="BR523" t="s">
        <v>709</v>
      </c>
      <c r="BS523" t="s">
        <v>709</v>
      </c>
      <c r="BT523" t="s">
        <v>745</v>
      </c>
      <c r="BU523" t="s">
        <v>709</v>
      </c>
      <c r="BV523">
        <v>4</v>
      </c>
      <c r="BW523" t="s">
        <v>709</v>
      </c>
      <c r="BX523" t="s">
        <v>745</v>
      </c>
      <c r="BY523" t="s">
        <v>745</v>
      </c>
      <c r="BZ523" t="s">
        <v>709</v>
      </c>
      <c r="CA523" t="s">
        <v>2</v>
      </c>
      <c r="CB523">
        <v>520</v>
      </c>
      <c r="CC523" t="b">
        <v>1</v>
      </c>
      <c r="CD523" t="s">
        <v>4122</v>
      </c>
      <c r="CE523" s="1482">
        <v>45880.734976851854</v>
      </c>
    </row>
    <row r="524" spans="1:83" x14ac:dyDescent="0.25">
      <c r="A524">
        <v>2020</v>
      </c>
      <c r="B524" t="s">
        <v>769</v>
      </c>
      <c r="C524" t="s">
        <v>128</v>
      </c>
      <c r="D524" t="s">
        <v>2317</v>
      </c>
      <c r="E524" t="s">
        <v>129</v>
      </c>
      <c r="F524" t="s">
        <v>752</v>
      </c>
      <c r="G524" t="s">
        <v>1882</v>
      </c>
      <c r="H524" t="s">
        <v>3178</v>
      </c>
      <c r="I524">
        <v>44607</v>
      </c>
      <c r="J524" t="s">
        <v>2052</v>
      </c>
      <c r="K524">
        <v>44614</v>
      </c>
      <c r="L524">
        <v>7</v>
      </c>
      <c r="M524" t="s">
        <v>4123</v>
      </c>
      <c r="N524" t="s">
        <v>120</v>
      </c>
      <c r="O524">
        <v>44621</v>
      </c>
      <c r="P524" t="s">
        <v>120</v>
      </c>
      <c r="Q524">
        <v>6700</v>
      </c>
      <c r="R524" t="s">
        <v>1922</v>
      </c>
      <c r="S524" t="s">
        <v>709</v>
      </c>
      <c r="T524" t="s">
        <v>709</v>
      </c>
      <c r="U524">
        <v>6700</v>
      </c>
      <c r="AD524" t="s">
        <v>709</v>
      </c>
      <c r="AM524" t="s">
        <v>709</v>
      </c>
      <c r="AY524" t="s">
        <v>29</v>
      </c>
      <c r="BA524">
        <v>11</v>
      </c>
      <c r="BI524" t="s">
        <v>709</v>
      </c>
      <c r="BJ524" t="s">
        <v>709</v>
      </c>
      <c r="BK524" t="s">
        <v>116</v>
      </c>
      <c r="BL524" t="s">
        <v>116</v>
      </c>
      <c r="BM524" t="s">
        <v>709</v>
      </c>
      <c r="BN524" t="s">
        <v>709</v>
      </c>
      <c r="BO524" t="s">
        <v>709</v>
      </c>
      <c r="BP524">
        <v>378</v>
      </c>
      <c r="BQ524">
        <v>285</v>
      </c>
      <c r="BR524">
        <v>40</v>
      </c>
      <c r="BS524">
        <v>66</v>
      </c>
      <c r="BT524">
        <v>1</v>
      </c>
      <c r="BU524" t="s">
        <v>709</v>
      </c>
      <c r="BV524" t="s">
        <v>745</v>
      </c>
      <c r="BW524" t="s">
        <v>709</v>
      </c>
      <c r="BX524">
        <v>1</v>
      </c>
      <c r="BY524" t="s">
        <v>745</v>
      </c>
      <c r="BZ524" t="s">
        <v>709</v>
      </c>
      <c r="CA524" t="s">
        <v>769</v>
      </c>
      <c r="CB524">
        <v>522</v>
      </c>
      <c r="CC524" t="b">
        <v>1</v>
      </c>
      <c r="CD524" t="s">
        <v>4124</v>
      </c>
      <c r="CE524" s="1482">
        <v>45880.734976851854</v>
      </c>
    </row>
    <row r="525" spans="1:83" x14ac:dyDescent="0.25">
      <c r="A525">
        <v>2022</v>
      </c>
      <c r="B525" t="s">
        <v>771</v>
      </c>
      <c r="C525" t="s">
        <v>4125</v>
      </c>
      <c r="D525" t="s">
        <v>4126</v>
      </c>
      <c r="E525" t="s">
        <v>3882</v>
      </c>
      <c r="F525" t="s">
        <v>919</v>
      </c>
      <c r="G525" t="s">
        <v>23</v>
      </c>
      <c r="H525" t="s">
        <v>59</v>
      </c>
      <c r="I525">
        <v>44516</v>
      </c>
      <c r="J525">
        <v>44615</v>
      </c>
      <c r="K525">
        <v>44615</v>
      </c>
      <c r="L525">
        <v>0</v>
      </c>
      <c r="N525" t="s">
        <v>120</v>
      </c>
      <c r="O525">
        <v>44621</v>
      </c>
      <c r="P525" t="s">
        <v>120</v>
      </c>
      <c r="Q525">
        <v>15912.3</v>
      </c>
      <c r="R525" t="s">
        <v>2087</v>
      </c>
      <c r="S525" t="s">
        <v>709</v>
      </c>
      <c r="T525" t="s">
        <v>709</v>
      </c>
      <c r="U525" t="s">
        <v>709</v>
      </c>
      <c r="V525">
        <v>10266</v>
      </c>
      <c r="X525">
        <v>1381451.15</v>
      </c>
      <c r="Z525">
        <v>31982.79</v>
      </c>
      <c r="AA525">
        <v>1413433.94</v>
      </c>
      <c r="AC525" t="s">
        <v>709</v>
      </c>
      <c r="AM525" t="s">
        <v>709</v>
      </c>
      <c r="AY525" t="s">
        <v>29</v>
      </c>
      <c r="BA525" t="s">
        <v>4127</v>
      </c>
      <c r="BB525" t="s">
        <v>4128</v>
      </c>
      <c r="BC525" t="s">
        <v>709</v>
      </c>
      <c r="BD525" t="s">
        <v>882</v>
      </c>
      <c r="BE525" t="s">
        <v>3884</v>
      </c>
      <c r="BF525" t="s">
        <v>709</v>
      </c>
      <c r="BG525" t="s">
        <v>709</v>
      </c>
      <c r="BI525" t="s">
        <v>709</v>
      </c>
      <c r="BJ525" t="s">
        <v>709</v>
      </c>
      <c r="BK525" t="s">
        <v>709</v>
      </c>
      <c r="BL525" t="s">
        <v>116</v>
      </c>
      <c r="BM525" t="s">
        <v>709</v>
      </c>
      <c r="BN525" t="s">
        <v>709</v>
      </c>
      <c r="BO525" t="s">
        <v>709</v>
      </c>
      <c r="BP525" t="s">
        <v>709</v>
      </c>
      <c r="BQ525" t="s">
        <v>709</v>
      </c>
      <c r="BR525" t="s">
        <v>709</v>
      </c>
      <c r="BS525">
        <v>10266</v>
      </c>
      <c r="BT525" t="s">
        <v>745</v>
      </c>
      <c r="BU525" t="s">
        <v>709</v>
      </c>
      <c r="BV525" t="s">
        <v>745</v>
      </c>
      <c r="BW525" t="s">
        <v>709</v>
      </c>
      <c r="BX525" t="s">
        <v>745</v>
      </c>
      <c r="BY525" t="s">
        <v>745</v>
      </c>
      <c r="BZ525" t="s">
        <v>709</v>
      </c>
      <c r="CB525">
        <v>523</v>
      </c>
      <c r="CC525" t="b">
        <v>1</v>
      </c>
      <c r="CD525" t="s">
        <v>4129</v>
      </c>
      <c r="CE525" s="1482">
        <v>45880.734988425924</v>
      </c>
    </row>
    <row r="526" spans="1:83" x14ac:dyDescent="0.25">
      <c r="A526">
        <v>2022</v>
      </c>
      <c r="B526" t="s">
        <v>4</v>
      </c>
      <c r="C526" t="s">
        <v>4130</v>
      </c>
      <c r="D526" t="s">
        <v>4131</v>
      </c>
      <c r="E526" t="s">
        <v>232</v>
      </c>
      <c r="F526" t="s">
        <v>919</v>
      </c>
      <c r="G526" t="s">
        <v>39</v>
      </c>
      <c r="H526" t="s">
        <v>59</v>
      </c>
      <c r="I526">
        <v>44585</v>
      </c>
      <c r="J526">
        <v>44624</v>
      </c>
      <c r="K526">
        <v>44615</v>
      </c>
      <c r="L526">
        <v>9</v>
      </c>
      <c r="N526" t="s">
        <v>120</v>
      </c>
      <c r="O526">
        <v>44621</v>
      </c>
      <c r="P526" t="s">
        <v>739</v>
      </c>
      <c r="Q526">
        <v>20887.543000000001</v>
      </c>
      <c r="R526">
        <v>0.1</v>
      </c>
      <c r="S526" t="s">
        <v>709</v>
      </c>
      <c r="T526" t="s">
        <v>709</v>
      </c>
      <c r="U526" t="s">
        <v>709</v>
      </c>
      <c r="V526">
        <v>577</v>
      </c>
      <c r="X526">
        <v>193049.63</v>
      </c>
      <c r="Z526">
        <v>15825.8</v>
      </c>
      <c r="AA526">
        <v>208875.43</v>
      </c>
      <c r="AC526" t="s">
        <v>709</v>
      </c>
      <c r="AM526" t="s">
        <v>116</v>
      </c>
      <c r="AN526">
        <v>44665</v>
      </c>
      <c r="AO526">
        <v>11040474</v>
      </c>
      <c r="AP526">
        <v>183952.4</v>
      </c>
      <c r="AR526">
        <v>15825.8</v>
      </c>
      <c r="AS526">
        <v>199778.2</v>
      </c>
      <c r="AT526">
        <v>-9097.23</v>
      </c>
      <c r="AU526">
        <v>-909.72299999999996</v>
      </c>
      <c r="AV526" t="s">
        <v>709</v>
      </c>
      <c r="AX526">
        <v>-909.72299999999996</v>
      </c>
      <c r="AY526">
        <v>45008</v>
      </c>
      <c r="BA526" t="s">
        <v>4132</v>
      </c>
      <c r="BB526" t="s">
        <v>116</v>
      </c>
      <c r="BC526" t="s">
        <v>709</v>
      </c>
      <c r="BD526" t="s">
        <v>709</v>
      </c>
      <c r="BE526" t="s">
        <v>595</v>
      </c>
      <c r="BF526" t="s">
        <v>709</v>
      </c>
      <c r="BG526" t="s">
        <v>709</v>
      </c>
      <c r="BI526" t="s">
        <v>709</v>
      </c>
      <c r="BJ526" t="s">
        <v>709</v>
      </c>
      <c r="BK526" t="s">
        <v>709</v>
      </c>
      <c r="BL526" t="s">
        <v>116</v>
      </c>
      <c r="BM526" t="s">
        <v>709</v>
      </c>
      <c r="BN526" t="s">
        <v>709</v>
      </c>
      <c r="BO526" t="s">
        <v>709</v>
      </c>
      <c r="BP526" t="s">
        <v>709</v>
      </c>
      <c r="BQ526" t="s">
        <v>709</v>
      </c>
      <c r="BR526" t="s">
        <v>709</v>
      </c>
      <c r="BS526">
        <v>577</v>
      </c>
      <c r="BT526" t="s">
        <v>745</v>
      </c>
      <c r="BU526" t="s">
        <v>709</v>
      </c>
      <c r="BV526" t="s">
        <v>745</v>
      </c>
      <c r="BW526" t="s">
        <v>709</v>
      </c>
      <c r="BX526" t="s">
        <v>745</v>
      </c>
      <c r="BY526" t="s">
        <v>745</v>
      </c>
      <c r="BZ526" t="s">
        <v>709</v>
      </c>
      <c r="CB526">
        <v>525</v>
      </c>
      <c r="CC526" t="b">
        <v>1</v>
      </c>
      <c r="CD526" t="s">
        <v>4133</v>
      </c>
      <c r="CE526" s="1482">
        <v>45880.734988425924</v>
      </c>
    </row>
    <row r="527" spans="1:83" x14ac:dyDescent="0.25">
      <c r="A527">
        <v>2022</v>
      </c>
      <c r="B527" t="s">
        <v>4</v>
      </c>
      <c r="C527" t="s">
        <v>3901</v>
      </c>
      <c r="D527">
        <v>1310685</v>
      </c>
      <c r="E527" t="s">
        <v>2032</v>
      </c>
      <c r="F527" t="s">
        <v>738</v>
      </c>
      <c r="G527" t="s">
        <v>23</v>
      </c>
      <c r="H527" t="s">
        <v>4001</v>
      </c>
      <c r="I527">
        <v>44603</v>
      </c>
      <c r="J527" t="s">
        <v>2052</v>
      </c>
      <c r="K527">
        <v>44615</v>
      </c>
      <c r="L527">
        <v>12</v>
      </c>
      <c r="M527" t="s">
        <v>4134</v>
      </c>
      <c r="N527" t="s">
        <v>120</v>
      </c>
      <c r="O527">
        <v>44621</v>
      </c>
      <c r="P527" t="s">
        <v>739</v>
      </c>
      <c r="Q527">
        <v>6075</v>
      </c>
      <c r="R527" t="s">
        <v>1922</v>
      </c>
      <c r="S527" t="s">
        <v>709</v>
      </c>
      <c r="T527" t="s">
        <v>709</v>
      </c>
      <c r="U527">
        <v>6075</v>
      </c>
      <c r="AD527" t="s">
        <v>709</v>
      </c>
      <c r="AM527" t="s">
        <v>709</v>
      </c>
      <c r="AY527" t="s">
        <v>29</v>
      </c>
      <c r="BA527">
        <v>4</v>
      </c>
      <c r="BI527" t="s">
        <v>709</v>
      </c>
      <c r="BJ527" t="s">
        <v>709</v>
      </c>
      <c r="BK527" t="s">
        <v>709</v>
      </c>
      <c r="BL527" t="s">
        <v>116</v>
      </c>
      <c r="BM527" t="s">
        <v>709</v>
      </c>
      <c r="BN527" t="s">
        <v>709</v>
      </c>
      <c r="BO527" t="s">
        <v>709</v>
      </c>
      <c r="BP527" t="s">
        <v>709</v>
      </c>
      <c r="BQ527" t="s">
        <v>709</v>
      </c>
      <c r="BR527">
        <v>824</v>
      </c>
      <c r="BS527" t="s">
        <v>709</v>
      </c>
      <c r="BT527" t="s">
        <v>709</v>
      </c>
      <c r="BU527" t="s">
        <v>709</v>
      </c>
      <c r="BV527" t="s">
        <v>745</v>
      </c>
      <c r="BW527" t="s">
        <v>709</v>
      </c>
      <c r="BX527" t="s">
        <v>709</v>
      </c>
      <c r="BY527" t="s">
        <v>745</v>
      </c>
      <c r="BZ527" t="s">
        <v>709</v>
      </c>
      <c r="CB527">
        <v>526</v>
      </c>
      <c r="CC527" t="b">
        <v>1</v>
      </c>
      <c r="CD527" t="s">
        <v>4135</v>
      </c>
      <c r="CE527" s="1482">
        <v>45880.734988425924</v>
      </c>
    </row>
    <row r="528" spans="1:83" x14ac:dyDescent="0.25">
      <c r="A528">
        <v>2022</v>
      </c>
      <c r="B528" t="s">
        <v>771</v>
      </c>
      <c r="C528" t="s">
        <v>4125</v>
      </c>
      <c r="D528" t="s">
        <v>4126</v>
      </c>
      <c r="E528" t="s">
        <v>3882</v>
      </c>
      <c r="F528" t="s">
        <v>919</v>
      </c>
      <c r="G528" t="s">
        <v>23</v>
      </c>
      <c r="H528" t="s">
        <v>3661</v>
      </c>
      <c r="I528">
        <v>44516</v>
      </c>
      <c r="J528" t="s">
        <v>3662</v>
      </c>
      <c r="K528">
        <v>44615</v>
      </c>
      <c r="L528">
        <v>99</v>
      </c>
      <c r="N528" t="s">
        <v>120</v>
      </c>
      <c r="O528">
        <v>44652</v>
      </c>
      <c r="P528" t="s">
        <v>120</v>
      </c>
      <c r="Q528">
        <v>10702.5</v>
      </c>
      <c r="R528" t="s">
        <v>1922</v>
      </c>
      <c r="S528" t="s">
        <v>709</v>
      </c>
      <c r="T528" t="s">
        <v>709</v>
      </c>
      <c r="U528">
        <v>10702.5</v>
      </c>
      <c r="AB528" t="s">
        <v>29</v>
      </c>
      <c r="AC528" t="s">
        <v>29</v>
      </c>
      <c r="AD528" t="s">
        <v>29</v>
      </c>
      <c r="AM528" t="s">
        <v>709</v>
      </c>
      <c r="AY528" t="s">
        <v>29</v>
      </c>
      <c r="BC528" t="s">
        <v>709</v>
      </c>
      <c r="BD528" t="s">
        <v>882</v>
      </c>
      <c r="BE528" t="s">
        <v>3884</v>
      </c>
      <c r="BF528" t="s">
        <v>709</v>
      </c>
      <c r="BG528" t="s">
        <v>709</v>
      </c>
      <c r="BI528" t="s">
        <v>709</v>
      </c>
      <c r="BJ528" t="s">
        <v>709</v>
      </c>
      <c r="BK528" t="s">
        <v>709</v>
      </c>
      <c r="BL528" t="s">
        <v>116</v>
      </c>
      <c r="BM528" t="s">
        <v>709</v>
      </c>
      <c r="BN528" t="s">
        <v>709</v>
      </c>
      <c r="BO528" t="s">
        <v>709</v>
      </c>
      <c r="BP528" t="s">
        <v>709</v>
      </c>
      <c r="BQ528" t="s">
        <v>709</v>
      </c>
      <c r="BR528" t="s">
        <v>709</v>
      </c>
      <c r="BS528" t="s">
        <v>116</v>
      </c>
      <c r="BT528" t="s">
        <v>745</v>
      </c>
      <c r="BU528" t="s">
        <v>709</v>
      </c>
      <c r="BV528" t="s">
        <v>745</v>
      </c>
      <c r="BW528" t="s">
        <v>709</v>
      </c>
      <c r="BX528" t="s">
        <v>745</v>
      </c>
      <c r="BY528" t="s">
        <v>745</v>
      </c>
      <c r="BZ528" t="s">
        <v>709</v>
      </c>
      <c r="CB528">
        <v>528</v>
      </c>
      <c r="CC528" t="b">
        <v>1</v>
      </c>
      <c r="CD528" t="s">
        <v>4129</v>
      </c>
      <c r="CE528" s="1482">
        <v>45880.735000000001</v>
      </c>
    </row>
    <row r="529" spans="1:83" x14ac:dyDescent="0.25">
      <c r="A529">
        <v>2022</v>
      </c>
      <c r="B529" t="s">
        <v>771</v>
      </c>
      <c r="C529" t="s">
        <v>3990</v>
      </c>
      <c r="D529">
        <v>1210692</v>
      </c>
      <c r="E529" t="s">
        <v>3992</v>
      </c>
      <c r="F529" t="s">
        <v>919</v>
      </c>
      <c r="G529" t="s">
        <v>36</v>
      </c>
      <c r="H529" t="s">
        <v>3178</v>
      </c>
      <c r="I529">
        <v>44613</v>
      </c>
      <c r="J529" t="s">
        <v>2958</v>
      </c>
      <c r="K529">
        <v>44615</v>
      </c>
      <c r="L529">
        <v>2</v>
      </c>
      <c r="M529" t="s">
        <v>4136</v>
      </c>
      <c r="N529" t="s">
        <v>120</v>
      </c>
      <c r="O529">
        <v>44621</v>
      </c>
      <c r="P529" t="s">
        <v>120</v>
      </c>
      <c r="Q529">
        <v>1865</v>
      </c>
      <c r="R529" t="s">
        <v>1922</v>
      </c>
      <c r="S529" t="s">
        <v>709</v>
      </c>
      <c r="T529" t="s">
        <v>709</v>
      </c>
      <c r="U529">
        <v>1865</v>
      </c>
      <c r="AD529" t="s">
        <v>709</v>
      </c>
      <c r="AM529" t="s">
        <v>709</v>
      </c>
      <c r="AY529" t="s">
        <v>29</v>
      </c>
      <c r="BA529" t="s">
        <v>4137</v>
      </c>
      <c r="BI529" t="s">
        <v>709</v>
      </c>
      <c r="BJ529" t="s">
        <v>709</v>
      </c>
      <c r="BK529" t="s">
        <v>709</v>
      </c>
      <c r="BL529" t="s">
        <v>116</v>
      </c>
      <c r="BM529" t="s">
        <v>709</v>
      </c>
      <c r="BN529" t="s">
        <v>709</v>
      </c>
      <c r="BO529" t="s">
        <v>709</v>
      </c>
      <c r="BP529">
        <v>1350</v>
      </c>
      <c r="BQ529" t="s">
        <v>709</v>
      </c>
      <c r="BR529">
        <v>1439</v>
      </c>
      <c r="BS529">
        <v>15734</v>
      </c>
      <c r="BT529" t="s">
        <v>745</v>
      </c>
      <c r="BU529" t="s">
        <v>709</v>
      </c>
      <c r="BV529" t="s">
        <v>745</v>
      </c>
      <c r="BW529" t="s">
        <v>709</v>
      </c>
      <c r="BX529" t="s">
        <v>745</v>
      </c>
      <c r="BY529" t="s">
        <v>745</v>
      </c>
      <c r="BZ529" t="s">
        <v>709</v>
      </c>
      <c r="CB529">
        <v>527</v>
      </c>
      <c r="CC529" t="b">
        <v>1</v>
      </c>
      <c r="CD529" t="s">
        <v>4138</v>
      </c>
      <c r="CE529" s="1482">
        <v>45880.735000000001</v>
      </c>
    </row>
    <row r="530" spans="1:83" x14ac:dyDescent="0.25">
      <c r="A530">
        <v>2022</v>
      </c>
      <c r="B530" t="s">
        <v>771</v>
      </c>
      <c r="C530" t="s">
        <v>3880</v>
      </c>
      <c r="D530">
        <v>1210599</v>
      </c>
      <c r="E530" t="s">
        <v>3882</v>
      </c>
      <c r="F530" t="s">
        <v>919</v>
      </c>
      <c r="G530" t="s">
        <v>36</v>
      </c>
      <c r="H530" t="s">
        <v>3178</v>
      </c>
      <c r="I530">
        <v>44609</v>
      </c>
      <c r="J530" t="s">
        <v>2052</v>
      </c>
      <c r="K530">
        <v>44615</v>
      </c>
      <c r="L530">
        <v>6</v>
      </c>
      <c r="M530" t="s">
        <v>4139</v>
      </c>
      <c r="N530" t="s">
        <v>120</v>
      </c>
      <c r="O530">
        <v>44621</v>
      </c>
      <c r="P530" t="s">
        <v>120</v>
      </c>
      <c r="Q530">
        <v>2812.5</v>
      </c>
      <c r="R530" t="s">
        <v>1922</v>
      </c>
      <c r="S530" t="s">
        <v>709</v>
      </c>
      <c r="T530" t="s">
        <v>709</v>
      </c>
      <c r="U530">
        <v>2812.5</v>
      </c>
      <c r="AD530" t="s">
        <v>709</v>
      </c>
      <c r="AM530" t="s">
        <v>709</v>
      </c>
      <c r="AY530" t="s">
        <v>29</v>
      </c>
      <c r="BA530">
        <v>4</v>
      </c>
      <c r="BI530" t="s">
        <v>709</v>
      </c>
      <c r="BJ530" t="s">
        <v>709</v>
      </c>
      <c r="BK530" t="s">
        <v>709</v>
      </c>
      <c r="BL530" t="s">
        <v>116</v>
      </c>
      <c r="BM530" t="s">
        <v>709</v>
      </c>
      <c r="BN530" t="s">
        <v>709</v>
      </c>
      <c r="BO530" t="s">
        <v>709</v>
      </c>
      <c r="BP530" t="s">
        <v>709</v>
      </c>
      <c r="BQ530">
        <v>2448</v>
      </c>
      <c r="BR530" t="s">
        <v>709</v>
      </c>
      <c r="BS530">
        <v>14313</v>
      </c>
      <c r="BT530" t="s">
        <v>709</v>
      </c>
      <c r="BU530" t="s">
        <v>709</v>
      </c>
      <c r="BV530" t="s">
        <v>745</v>
      </c>
      <c r="BW530" t="s">
        <v>709</v>
      </c>
      <c r="BX530" t="s">
        <v>745</v>
      </c>
      <c r="BY530" t="s">
        <v>745</v>
      </c>
      <c r="BZ530" t="s">
        <v>709</v>
      </c>
      <c r="CB530">
        <v>524</v>
      </c>
      <c r="CC530" t="b">
        <v>1</v>
      </c>
      <c r="CD530" t="s">
        <v>4140</v>
      </c>
      <c r="CE530" s="1482">
        <v>45880.735000000001</v>
      </c>
    </row>
    <row r="531" spans="1:83" ht="210" x14ac:dyDescent="0.25">
      <c r="A531">
        <v>2022</v>
      </c>
      <c r="B531" t="s">
        <v>4</v>
      </c>
      <c r="C531" t="s">
        <v>4141</v>
      </c>
      <c r="D531" t="s">
        <v>115</v>
      </c>
      <c r="E531" t="s">
        <v>118</v>
      </c>
      <c r="F531" t="s">
        <v>738</v>
      </c>
      <c r="G531" t="s">
        <v>22</v>
      </c>
      <c r="H531" t="s">
        <v>1903</v>
      </c>
      <c r="I531">
        <v>44602</v>
      </c>
      <c r="J531">
        <v>44658</v>
      </c>
      <c r="K531">
        <v>44616</v>
      </c>
      <c r="L531">
        <v>42</v>
      </c>
      <c r="N531" t="s">
        <v>120</v>
      </c>
      <c r="O531">
        <v>44621</v>
      </c>
      <c r="P531" t="s">
        <v>739</v>
      </c>
      <c r="Q531" t="s">
        <v>115</v>
      </c>
      <c r="R531" t="s">
        <v>115</v>
      </c>
      <c r="S531" t="s">
        <v>709</v>
      </c>
      <c r="T531" t="s">
        <v>709</v>
      </c>
      <c r="U531" t="s">
        <v>709</v>
      </c>
      <c r="AC531" t="s">
        <v>709</v>
      </c>
      <c r="AM531" t="s">
        <v>709</v>
      </c>
      <c r="AY531" t="s">
        <v>29</v>
      </c>
      <c r="BA531" s="4" t="s">
        <v>4142</v>
      </c>
      <c r="BB531" t="s">
        <v>709</v>
      </c>
      <c r="CB531">
        <v>529</v>
      </c>
      <c r="CC531" t="b">
        <v>1</v>
      </c>
      <c r="CD531" t="s">
        <v>4143</v>
      </c>
      <c r="CE531" s="1482">
        <v>45880.735000000001</v>
      </c>
    </row>
    <row r="532" spans="1:83" x14ac:dyDescent="0.25">
      <c r="A532">
        <v>2022</v>
      </c>
      <c r="B532" t="s">
        <v>1073</v>
      </c>
      <c r="C532" t="s">
        <v>3764</v>
      </c>
      <c r="D532">
        <v>1610581</v>
      </c>
      <c r="E532" t="s">
        <v>118</v>
      </c>
      <c r="F532" t="s">
        <v>738</v>
      </c>
      <c r="G532" t="s">
        <v>22</v>
      </c>
      <c r="H532" t="s">
        <v>4001</v>
      </c>
      <c r="I532">
        <v>44574</v>
      </c>
      <c r="J532" t="s">
        <v>2052</v>
      </c>
      <c r="K532">
        <v>44617</v>
      </c>
      <c r="L532">
        <v>43</v>
      </c>
      <c r="M532" t="s">
        <v>4144</v>
      </c>
      <c r="N532" t="s">
        <v>120</v>
      </c>
      <c r="O532">
        <v>44621</v>
      </c>
      <c r="P532" t="s">
        <v>739</v>
      </c>
      <c r="Q532">
        <v>6142.5</v>
      </c>
      <c r="R532" t="s">
        <v>1922</v>
      </c>
      <c r="S532" t="s">
        <v>709</v>
      </c>
      <c r="T532" t="s">
        <v>709</v>
      </c>
      <c r="U532">
        <v>6142.5</v>
      </c>
      <c r="AC532" t="s">
        <v>709</v>
      </c>
      <c r="AD532" t="s">
        <v>709</v>
      </c>
      <c r="AM532" t="s">
        <v>709</v>
      </c>
      <c r="AY532" t="s">
        <v>29</v>
      </c>
      <c r="BA532">
        <v>3</v>
      </c>
      <c r="BI532" t="s">
        <v>709</v>
      </c>
      <c r="BJ532" t="s">
        <v>709</v>
      </c>
      <c r="BK532" t="s">
        <v>709</v>
      </c>
      <c r="BL532" t="s">
        <v>116</v>
      </c>
      <c r="BM532" t="s">
        <v>709</v>
      </c>
      <c r="BN532" t="s">
        <v>709</v>
      </c>
      <c r="BO532" t="s">
        <v>709</v>
      </c>
      <c r="BP532" t="s">
        <v>709</v>
      </c>
      <c r="BQ532">
        <v>89</v>
      </c>
      <c r="BR532">
        <v>4564</v>
      </c>
      <c r="BS532" t="s">
        <v>709</v>
      </c>
      <c r="BT532" t="s">
        <v>745</v>
      </c>
      <c r="BU532" t="s">
        <v>709</v>
      </c>
      <c r="BV532" t="s">
        <v>745</v>
      </c>
      <c r="BW532" t="s">
        <v>709</v>
      </c>
      <c r="BX532" t="s">
        <v>709</v>
      </c>
      <c r="BY532" t="s">
        <v>745</v>
      </c>
      <c r="BZ532" t="s">
        <v>709</v>
      </c>
      <c r="CB532">
        <v>530</v>
      </c>
      <c r="CC532" t="b">
        <v>1</v>
      </c>
      <c r="CD532" t="s">
        <v>4145</v>
      </c>
      <c r="CE532" s="1482">
        <v>45880.735011574077</v>
      </c>
    </row>
    <row r="533" spans="1:83" ht="285" x14ac:dyDescent="0.25">
      <c r="A533">
        <v>2022</v>
      </c>
      <c r="B533" t="s">
        <v>4</v>
      </c>
      <c r="C533" t="s">
        <v>4146</v>
      </c>
      <c r="D533" t="s">
        <v>4147</v>
      </c>
      <c r="E533" t="s">
        <v>4148</v>
      </c>
      <c r="F533" t="s">
        <v>738</v>
      </c>
      <c r="G533" t="s">
        <v>36</v>
      </c>
      <c r="H533" t="s">
        <v>59</v>
      </c>
      <c r="I533">
        <v>43913</v>
      </c>
      <c r="J533">
        <v>44620</v>
      </c>
      <c r="K533">
        <v>44617</v>
      </c>
      <c r="L533">
        <v>3</v>
      </c>
      <c r="N533" t="s">
        <v>120</v>
      </c>
      <c r="O533">
        <v>44621</v>
      </c>
      <c r="P533" t="s">
        <v>739</v>
      </c>
      <c r="Q533">
        <v>98613.172000000006</v>
      </c>
      <c r="R533">
        <v>0.1</v>
      </c>
      <c r="S533" t="s">
        <v>709</v>
      </c>
      <c r="T533" t="s">
        <v>709</v>
      </c>
      <c r="U533" t="s">
        <v>709</v>
      </c>
      <c r="V533">
        <v>3074</v>
      </c>
      <c r="X533">
        <v>841102.25</v>
      </c>
      <c r="Z533">
        <v>145029.47</v>
      </c>
      <c r="AA533">
        <v>986131.72</v>
      </c>
      <c r="AC533" t="s">
        <v>116</v>
      </c>
      <c r="AM533" t="s">
        <v>116</v>
      </c>
      <c r="AN533">
        <v>44753</v>
      </c>
      <c r="AO533">
        <v>11032976</v>
      </c>
      <c r="AP533">
        <v>846088.97</v>
      </c>
      <c r="AR533">
        <v>145058.62</v>
      </c>
      <c r="AS533">
        <v>991147.59</v>
      </c>
      <c r="AT533">
        <v>5015.87</v>
      </c>
      <c r="AU533">
        <v>501.58699999999999</v>
      </c>
      <c r="AV533">
        <v>11700</v>
      </c>
      <c r="AW533" s="4" t="s">
        <v>4149</v>
      </c>
      <c r="AX533">
        <v>0</v>
      </c>
      <c r="AY533">
        <v>45008</v>
      </c>
      <c r="BA533" t="s">
        <v>4150</v>
      </c>
      <c r="BB533" t="s">
        <v>709</v>
      </c>
      <c r="BC533" t="s">
        <v>116</v>
      </c>
      <c r="BD533" t="s">
        <v>882</v>
      </c>
      <c r="BE533" t="s">
        <v>4151</v>
      </c>
      <c r="BF533" t="s">
        <v>709</v>
      </c>
      <c r="BG533" t="s">
        <v>709</v>
      </c>
      <c r="BI533" t="s">
        <v>709</v>
      </c>
      <c r="BJ533" t="s">
        <v>709</v>
      </c>
      <c r="BK533" t="s">
        <v>709</v>
      </c>
      <c r="BL533" t="s">
        <v>116</v>
      </c>
      <c r="BM533" t="s">
        <v>709</v>
      </c>
      <c r="BN533" t="s">
        <v>709</v>
      </c>
      <c r="BO533" t="s">
        <v>709</v>
      </c>
      <c r="BP533">
        <v>2276</v>
      </c>
      <c r="BQ533">
        <v>32</v>
      </c>
      <c r="BR533">
        <v>3</v>
      </c>
      <c r="BS533">
        <v>763</v>
      </c>
      <c r="BT533" t="s">
        <v>745</v>
      </c>
      <c r="BU533" t="s">
        <v>709</v>
      </c>
      <c r="BV533" t="s">
        <v>745</v>
      </c>
      <c r="BW533" t="s">
        <v>709</v>
      </c>
      <c r="BX533" t="s">
        <v>745</v>
      </c>
      <c r="BY533" t="s">
        <v>745</v>
      </c>
      <c r="BZ533" t="s">
        <v>709</v>
      </c>
      <c r="CB533">
        <v>531</v>
      </c>
      <c r="CC533" t="b">
        <v>1</v>
      </c>
      <c r="CD533" t="s">
        <v>4152</v>
      </c>
      <c r="CE533" s="1482">
        <v>45880.735011574077</v>
      </c>
    </row>
    <row r="534" spans="1:83" ht="210" x14ac:dyDescent="0.25">
      <c r="A534">
        <v>2022</v>
      </c>
      <c r="B534" t="s">
        <v>4</v>
      </c>
      <c r="C534" t="s">
        <v>4153</v>
      </c>
      <c r="D534" t="s">
        <v>115</v>
      </c>
      <c r="E534" t="s">
        <v>236</v>
      </c>
      <c r="F534" t="s">
        <v>919</v>
      </c>
      <c r="G534" t="s">
        <v>35</v>
      </c>
      <c r="H534" t="s">
        <v>1903</v>
      </c>
      <c r="I534">
        <v>44596</v>
      </c>
      <c r="J534">
        <v>44666</v>
      </c>
      <c r="K534">
        <v>44617</v>
      </c>
      <c r="L534">
        <v>49</v>
      </c>
      <c r="N534" t="s">
        <v>120</v>
      </c>
      <c r="O534">
        <v>44621</v>
      </c>
      <c r="P534" t="s">
        <v>739</v>
      </c>
      <c r="Q534" t="s">
        <v>115</v>
      </c>
      <c r="R534" t="s">
        <v>115</v>
      </c>
      <c r="S534" t="s">
        <v>709</v>
      </c>
      <c r="T534" t="s">
        <v>709</v>
      </c>
      <c r="U534" t="s">
        <v>709</v>
      </c>
      <c r="AD534" t="s">
        <v>29</v>
      </c>
      <c r="AM534" t="s">
        <v>709</v>
      </c>
      <c r="AY534" t="s">
        <v>29</v>
      </c>
      <c r="BA534" s="4" t="s">
        <v>4154</v>
      </c>
      <c r="BB534" t="s">
        <v>709</v>
      </c>
      <c r="CB534">
        <v>532</v>
      </c>
      <c r="CC534" t="b">
        <v>1</v>
      </c>
      <c r="CD534" t="s">
        <v>4155</v>
      </c>
      <c r="CE534" s="1482">
        <v>45880.735011574077</v>
      </c>
    </row>
    <row r="535" spans="1:83" x14ac:dyDescent="0.25">
      <c r="A535">
        <v>2022</v>
      </c>
      <c r="B535" t="s">
        <v>1073</v>
      </c>
      <c r="C535" t="s">
        <v>3327</v>
      </c>
      <c r="D535">
        <v>1911040</v>
      </c>
      <c r="E535" t="s">
        <v>1915</v>
      </c>
      <c r="F535" t="s">
        <v>919</v>
      </c>
      <c r="G535" t="s">
        <v>1896</v>
      </c>
      <c r="H535" t="s">
        <v>2127</v>
      </c>
      <c r="I535">
        <v>44613</v>
      </c>
      <c r="J535">
        <v>44650</v>
      </c>
      <c r="K535">
        <v>44621</v>
      </c>
      <c r="L535">
        <v>29</v>
      </c>
      <c r="M535" t="s">
        <v>4156</v>
      </c>
      <c r="N535" t="s">
        <v>120</v>
      </c>
      <c r="O535">
        <v>44621</v>
      </c>
      <c r="P535" t="s">
        <v>739</v>
      </c>
      <c r="Q535" t="s">
        <v>115</v>
      </c>
      <c r="R535" t="s">
        <v>115</v>
      </c>
      <c r="S535" t="s">
        <v>709</v>
      </c>
      <c r="T535" t="s">
        <v>709</v>
      </c>
      <c r="U535" t="s">
        <v>709</v>
      </c>
      <c r="AE535" t="s">
        <v>29</v>
      </c>
      <c r="AF535" t="s">
        <v>29</v>
      </c>
      <c r="AG535" t="s">
        <v>29</v>
      </c>
      <c r="AH535" t="s">
        <v>29</v>
      </c>
      <c r="AM535" t="s">
        <v>709</v>
      </c>
      <c r="AY535" t="s">
        <v>29</v>
      </c>
      <c r="BA535" t="s">
        <v>4157</v>
      </c>
      <c r="BB535" t="s">
        <v>709</v>
      </c>
      <c r="BI535" t="s">
        <v>709</v>
      </c>
      <c r="BJ535" t="s">
        <v>116</v>
      </c>
      <c r="BK535" t="s">
        <v>709</v>
      </c>
      <c r="BL535" t="s">
        <v>709</v>
      </c>
      <c r="BM535" t="s">
        <v>709</v>
      </c>
      <c r="BN535" t="s">
        <v>709</v>
      </c>
      <c r="BO535" t="s">
        <v>709</v>
      </c>
      <c r="BP535" t="s">
        <v>709</v>
      </c>
      <c r="BQ535">
        <v>10776</v>
      </c>
      <c r="BR535" t="s">
        <v>709</v>
      </c>
      <c r="BS535" t="s">
        <v>709</v>
      </c>
      <c r="BT535" t="s">
        <v>709</v>
      </c>
      <c r="BU535" t="s">
        <v>709</v>
      </c>
      <c r="BV535" t="s">
        <v>745</v>
      </c>
      <c r="BW535" t="s">
        <v>709</v>
      </c>
      <c r="BX535" t="s">
        <v>709</v>
      </c>
      <c r="BY535" t="s">
        <v>745</v>
      </c>
      <c r="BZ535" t="s">
        <v>709</v>
      </c>
      <c r="CB535">
        <v>533</v>
      </c>
      <c r="CC535" t="b">
        <v>1</v>
      </c>
      <c r="CD535" t="s">
        <v>4158</v>
      </c>
      <c r="CE535" s="1482">
        <v>45880.735023148147</v>
      </c>
    </row>
    <row r="536" spans="1:83" x14ac:dyDescent="0.25">
      <c r="A536">
        <v>2022</v>
      </c>
      <c r="B536" t="s">
        <v>4</v>
      </c>
      <c r="C536" t="s">
        <v>201</v>
      </c>
      <c r="D536" t="s">
        <v>4159</v>
      </c>
      <c r="E536" t="s">
        <v>202</v>
      </c>
      <c r="F536" t="s">
        <v>919</v>
      </c>
      <c r="G536" t="s">
        <v>22</v>
      </c>
      <c r="H536" t="s">
        <v>4045</v>
      </c>
      <c r="I536">
        <v>44615</v>
      </c>
      <c r="J536" t="s">
        <v>2958</v>
      </c>
      <c r="K536">
        <v>44622</v>
      </c>
      <c r="L536">
        <v>7</v>
      </c>
      <c r="M536" t="s">
        <v>4160</v>
      </c>
      <c r="N536" t="s">
        <v>120</v>
      </c>
      <c r="O536">
        <v>44622</v>
      </c>
      <c r="P536" t="s">
        <v>739</v>
      </c>
      <c r="Q536">
        <v>7330</v>
      </c>
      <c r="R536" t="s">
        <v>1922</v>
      </c>
      <c r="S536" t="s">
        <v>709</v>
      </c>
      <c r="T536" t="s">
        <v>709</v>
      </c>
      <c r="U536">
        <v>7330</v>
      </c>
      <c r="AC536" t="s">
        <v>1177</v>
      </c>
      <c r="AD536" t="s">
        <v>709</v>
      </c>
      <c r="AM536" t="s">
        <v>709</v>
      </c>
      <c r="AY536" t="s">
        <v>29</v>
      </c>
      <c r="CB536">
        <v>535</v>
      </c>
      <c r="CC536" t="b">
        <v>1</v>
      </c>
      <c r="CD536" t="s">
        <v>4161</v>
      </c>
      <c r="CE536" s="1482">
        <v>45880.735023148147</v>
      </c>
    </row>
    <row r="537" spans="1:83" x14ac:dyDescent="0.25">
      <c r="A537">
        <v>2022</v>
      </c>
      <c r="B537" t="s">
        <v>771</v>
      </c>
      <c r="C537" t="s">
        <v>4162</v>
      </c>
      <c r="D537">
        <v>1211117</v>
      </c>
      <c r="E537" t="s">
        <v>202</v>
      </c>
      <c r="F537" t="s">
        <v>919</v>
      </c>
      <c r="G537" t="s">
        <v>22</v>
      </c>
      <c r="H537" t="s">
        <v>4045</v>
      </c>
      <c r="I537">
        <v>44615</v>
      </c>
      <c r="J537" t="s">
        <v>2958</v>
      </c>
      <c r="K537">
        <v>44622</v>
      </c>
      <c r="L537">
        <v>7</v>
      </c>
      <c r="M537" t="s">
        <v>4160</v>
      </c>
      <c r="N537" t="s">
        <v>120</v>
      </c>
      <c r="O537">
        <v>44622</v>
      </c>
      <c r="P537" t="s">
        <v>120</v>
      </c>
      <c r="Q537" t="s">
        <v>115</v>
      </c>
      <c r="R537" t="s">
        <v>115</v>
      </c>
      <c r="S537" t="s">
        <v>709</v>
      </c>
      <c r="T537" t="s">
        <v>709</v>
      </c>
      <c r="U537" t="s">
        <v>709</v>
      </c>
      <c r="AC537" t="s">
        <v>1177</v>
      </c>
      <c r="AD537" t="s">
        <v>709</v>
      </c>
      <c r="AM537" t="s">
        <v>709</v>
      </c>
      <c r="AY537" t="s">
        <v>29</v>
      </c>
      <c r="BA537" t="s">
        <v>4163</v>
      </c>
      <c r="BB537" t="s">
        <v>4164</v>
      </c>
      <c r="BZ537" t="s">
        <v>709</v>
      </c>
      <c r="CA537" t="s">
        <v>915</v>
      </c>
      <c r="CB537">
        <v>534</v>
      </c>
      <c r="CC537" t="b">
        <v>1</v>
      </c>
      <c r="CD537" t="s">
        <v>4165</v>
      </c>
      <c r="CE537" s="1482">
        <v>45880.735023148147</v>
      </c>
    </row>
    <row r="538" spans="1:83" ht="240" x14ac:dyDescent="0.25">
      <c r="A538">
        <v>2022</v>
      </c>
      <c r="B538" t="s">
        <v>2989</v>
      </c>
      <c r="C538" t="s">
        <v>4166</v>
      </c>
      <c r="D538" t="s">
        <v>4167</v>
      </c>
      <c r="E538" t="s">
        <v>393</v>
      </c>
      <c r="F538" t="s">
        <v>752</v>
      </c>
      <c r="G538" t="s">
        <v>34</v>
      </c>
      <c r="H538" t="s">
        <v>59</v>
      </c>
      <c r="I538">
        <v>44551</v>
      </c>
      <c r="J538">
        <v>44641</v>
      </c>
      <c r="K538">
        <v>44623</v>
      </c>
      <c r="L538">
        <v>18</v>
      </c>
      <c r="N538" t="s">
        <v>120</v>
      </c>
      <c r="O538">
        <v>44623</v>
      </c>
      <c r="P538" t="s">
        <v>739</v>
      </c>
      <c r="Q538">
        <v>8680.4531999999999</v>
      </c>
      <c r="R538">
        <v>0.09</v>
      </c>
      <c r="S538" t="s">
        <v>709</v>
      </c>
      <c r="T538" t="s">
        <v>709</v>
      </c>
      <c r="U538" t="s">
        <v>709</v>
      </c>
      <c r="V538">
        <v>25</v>
      </c>
      <c r="X538">
        <v>76038.92</v>
      </c>
      <c r="Z538">
        <v>20410.560000000001</v>
      </c>
      <c r="AA538">
        <v>96449.48</v>
      </c>
      <c r="AC538" t="s">
        <v>709</v>
      </c>
      <c r="AD538" t="s">
        <v>29</v>
      </c>
      <c r="AM538" t="s">
        <v>116</v>
      </c>
      <c r="AN538">
        <v>44721</v>
      </c>
      <c r="AO538">
        <v>11041948</v>
      </c>
      <c r="AP538">
        <v>76084.95</v>
      </c>
      <c r="AR538">
        <v>20436.59</v>
      </c>
      <c r="AS538">
        <v>96521.54</v>
      </c>
      <c r="AT538">
        <v>72.06</v>
      </c>
      <c r="AU538">
        <v>6.4854000000000003</v>
      </c>
      <c r="AV538">
        <v>1317.5</v>
      </c>
      <c r="AW538" s="4" t="s">
        <v>4168</v>
      </c>
      <c r="AX538">
        <v>0</v>
      </c>
      <c r="AY538">
        <v>45008</v>
      </c>
      <c r="BA538" t="s">
        <v>4169</v>
      </c>
      <c r="BB538" s="4" t="s">
        <v>4170</v>
      </c>
      <c r="BC538" t="s">
        <v>116</v>
      </c>
      <c r="BD538" t="s">
        <v>709</v>
      </c>
      <c r="BE538" t="s">
        <v>1190</v>
      </c>
      <c r="BF538" t="s">
        <v>709</v>
      </c>
      <c r="BG538" t="s">
        <v>709</v>
      </c>
      <c r="BI538" t="s">
        <v>709</v>
      </c>
      <c r="BJ538" t="s">
        <v>709</v>
      </c>
      <c r="BK538" t="s">
        <v>709</v>
      </c>
      <c r="BL538" t="s">
        <v>116</v>
      </c>
      <c r="BM538" t="s">
        <v>709</v>
      </c>
      <c r="BN538" t="s">
        <v>709</v>
      </c>
      <c r="BO538" t="s">
        <v>709</v>
      </c>
      <c r="BP538" t="s">
        <v>709</v>
      </c>
      <c r="BQ538" t="s">
        <v>709</v>
      </c>
      <c r="BR538" t="s">
        <v>709</v>
      </c>
      <c r="BS538">
        <v>25</v>
      </c>
      <c r="BT538" t="s">
        <v>745</v>
      </c>
      <c r="BU538" t="s">
        <v>709</v>
      </c>
      <c r="BV538">
        <v>2</v>
      </c>
      <c r="BW538" t="s">
        <v>709</v>
      </c>
      <c r="BX538" t="s">
        <v>745</v>
      </c>
      <c r="BY538" t="s">
        <v>745</v>
      </c>
      <c r="BZ538" t="s">
        <v>709</v>
      </c>
      <c r="CA538" t="s">
        <v>2</v>
      </c>
      <c r="CB538">
        <v>536</v>
      </c>
      <c r="CC538" t="b">
        <v>1</v>
      </c>
      <c r="CD538" t="s">
        <v>4171</v>
      </c>
      <c r="CE538" s="1482">
        <v>45880.735034722224</v>
      </c>
    </row>
    <row r="539" spans="1:83" ht="240" x14ac:dyDescent="0.25">
      <c r="A539">
        <v>2022</v>
      </c>
      <c r="B539" t="s">
        <v>4</v>
      </c>
      <c r="C539" t="s">
        <v>4172</v>
      </c>
      <c r="D539" t="s">
        <v>4173</v>
      </c>
      <c r="E539" t="s">
        <v>393</v>
      </c>
      <c r="F539" t="s">
        <v>738</v>
      </c>
      <c r="G539" t="s">
        <v>35</v>
      </c>
      <c r="H539" t="s">
        <v>59</v>
      </c>
      <c r="I539">
        <v>44572</v>
      </c>
      <c r="J539">
        <v>44628</v>
      </c>
      <c r="K539">
        <v>44624</v>
      </c>
      <c r="L539">
        <v>4</v>
      </c>
      <c r="N539" t="s">
        <v>120</v>
      </c>
      <c r="O539">
        <v>44624</v>
      </c>
      <c r="P539" t="s">
        <v>739</v>
      </c>
      <c r="Q539">
        <v>16373.275</v>
      </c>
      <c r="R539">
        <v>0.1</v>
      </c>
      <c r="S539" t="s">
        <v>709</v>
      </c>
      <c r="T539" t="s">
        <v>709</v>
      </c>
      <c r="U539" t="s">
        <v>709</v>
      </c>
      <c r="V539">
        <v>674</v>
      </c>
      <c r="X539">
        <v>142698.75</v>
      </c>
      <c r="Z539">
        <v>21034</v>
      </c>
      <c r="AA539">
        <v>163732.75</v>
      </c>
      <c r="AC539" t="s">
        <v>709</v>
      </c>
      <c r="AD539" t="s">
        <v>709</v>
      </c>
      <c r="AM539" t="s">
        <v>116</v>
      </c>
      <c r="AN539">
        <v>44691</v>
      </c>
      <c r="AO539">
        <v>11041317</v>
      </c>
      <c r="AP539">
        <v>146485.5</v>
      </c>
      <c r="AR539">
        <v>21295.81</v>
      </c>
      <c r="AS539">
        <v>167781.31</v>
      </c>
      <c r="AT539">
        <v>4048.56</v>
      </c>
      <c r="AU539">
        <v>404.85599999999999</v>
      </c>
      <c r="AV539" t="s">
        <v>709</v>
      </c>
      <c r="AX539">
        <v>404.85599999999999</v>
      </c>
      <c r="AY539">
        <v>45008</v>
      </c>
      <c r="BA539" s="4" t="s">
        <v>4174</v>
      </c>
      <c r="BB539" t="s">
        <v>709</v>
      </c>
      <c r="BC539" t="s">
        <v>116</v>
      </c>
      <c r="BD539" t="s">
        <v>709</v>
      </c>
      <c r="BE539" t="s">
        <v>709</v>
      </c>
      <c r="BF539" t="s">
        <v>709</v>
      </c>
      <c r="BG539" t="s">
        <v>709</v>
      </c>
      <c r="BI539" t="s">
        <v>709</v>
      </c>
      <c r="BJ539" t="s">
        <v>709</v>
      </c>
      <c r="BK539" t="s">
        <v>709</v>
      </c>
      <c r="BL539" t="s">
        <v>116</v>
      </c>
      <c r="BM539" t="s">
        <v>709</v>
      </c>
      <c r="BN539" t="s">
        <v>709</v>
      </c>
      <c r="BO539" t="s">
        <v>709</v>
      </c>
      <c r="BP539" t="s">
        <v>709</v>
      </c>
      <c r="BQ539">
        <v>674</v>
      </c>
      <c r="BR539" t="s">
        <v>709</v>
      </c>
      <c r="BS539" t="s">
        <v>709</v>
      </c>
      <c r="BT539" t="s">
        <v>745</v>
      </c>
      <c r="BU539" t="s">
        <v>709</v>
      </c>
      <c r="BV539" t="s">
        <v>745</v>
      </c>
      <c r="BW539" t="s">
        <v>709</v>
      </c>
      <c r="BX539" t="s">
        <v>745</v>
      </c>
      <c r="BY539" t="s">
        <v>745</v>
      </c>
      <c r="BZ539" t="s">
        <v>709</v>
      </c>
      <c r="CB539">
        <v>537</v>
      </c>
      <c r="CC539" t="b">
        <v>1</v>
      </c>
      <c r="CD539" t="s">
        <v>4175</v>
      </c>
      <c r="CE539" s="1482">
        <v>45880.735034722224</v>
      </c>
    </row>
    <row r="540" spans="1:83" x14ac:dyDescent="0.25">
      <c r="A540">
        <v>2021</v>
      </c>
      <c r="B540" t="s">
        <v>4</v>
      </c>
      <c r="C540" t="s">
        <v>3266</v>
      </c>
      <c r="D540" t="s">
        <v>3267</v>
      </c>
      <c r="E540" t="s">
        <v>3268</v>
      </c>
      <c r="F540" t="s">
        <v>738</v>
      </c>
      <c r="G540" t="s">
        <v>39</v>
      </c>
      <c r="H540" t="s">
        <v>4001</v>
      </c>
      <c r="I540">
        <v>44621</v>
      </c>
      <c r="J540" t="s">
        <v>2052</v>
      </c>
      <c r="K540">
        <v>44627</v>
      </c>
      <c r="L540">
        <v>6</v>
      </c>
      <c r="M540" t="s">
        <v>4176</v>
      </c>
      <c r="N540" t="s">
        <v>120</v>
      </c>
      <c r="O540">
        <v>44627</v>
      </c>
      <c r="P540" t="s">
        <v>739</v>
      </c>
      <c r="Q540">
        <v>8195</v>
      </c>
      <c r="R540" t="s">
        <v>1922</v>
      </c>
      <c r="S540" t="s">
        <v>709</v>
      </c>
      <c r="T540" t="s">
        <v>709</v>
      </c>
      <c r="U540">
        <v>8195</v>
      </c>
      <c r="AD540" t="s">
        <v>709</v>
      </c>
      <c r="AM540" t="s">
        <v>709</v>
      </c>
      <c r="AY540" t="s">
        <v>29</v>
      </c>
      <c r="BA540">
        <v>12</v>
      </c>
      <c r="BB540" t="s">
        <v>709</v>
      </c>
      <c r="BI540" t="s">
        <v>709</v>
      </c>
      <c r="BJ540" t="s">
        <v>709</v>
      </c>
      <c r="BK540" t="s">
        <v>709</v>
      </c>
      <c r="BL540" t="s">
        <v>116</v>
      </c>
      <c r="BM540" t="s">
        <v>709</v>
      </c>
      <c r="BN540" t="s">
        <v>709</v>
      </c>
      <c r="BO540" t="s">
        <v>709</v>
      </c>
      <c r="BP540">
        <v>531</v>
      </c>
      <c r="BQ540" t="s">
        <v>709</v>
      </c>
      <c r="BR540" t="s">
        <v>709</v>
      </c>
      <c r="BS540" t="s">
        <v>709</v>
      </c>
      <c r="BT540" t="s">
        <v>709</v>
      </c>
      <c r="BU540" t="s">
        <v>709</v>
      </c>
      <c r="BV540" t="s">
        <v>745</v>
      </c>
      <c r="BW540" t="s">
        <v>709</v>
      </c>
      <c r="BX540" t="s">
        <v>709</v>
      </c>
      <c r="BY540" t="s">
        <v>745</v>
      </c>
      <c r="BZ540" t="s">
        <v>709</v>
      </c>
      <c r="CB540">
        <v>538</v>
      </c>
      <c r="CC540" t="b">
        <v>1</v>
      </c>
      <c r="CD540" t="s">
        <v>4177</v>
      </c>
      <c r="CE540" s="1482">
        <v>45880.735034722224</v>
      </c>
    </row>
    <row r="541" spans="1:83" ht="300" x14ac:dyDescent="0.25">
      <c r="A541">
        <v>2022</v>
      </c>
      <c r="B541" t="s">
        <v>4</v>
      </c>
      <c r="C541" t="s">
        <v>4178</v>
      </c>
      <c r="D541" t="s">
        <v>4179</v>
      </c>
      <c r="E541" t="s">
        <v>3148</v>
      </c>
      <c r="F541" t="s">
        <v>919</v>
      </c>
      <c r="G541" t="s">
        <v>39</v>
      </c>
      <c r="H541" t="s">
        <v>59</v>
      </c>
      <c r="I541">
        <v>44585</v>
      </c>
      <c r="J541">
        <v>44631</v>
      </c>
      <c r="K541">
        <v>44627</v>
      </c>
      <c r="L541">
        <v>4</v>
      </c>
      <c r="N541" t="s">
        <v>120</v>
      </c>
      <c r="O541">
        <v>44627</v>
      </c>
      <c r="P541" t="s">
        <v>739</v>
      </c>
      <c r="Q541">
        <v>58127.235999999997</v>
      </c>
      <c r="R541">
        <v>0.1</v>
      </c>
      <c r="S541" t="s">
        <v>709</v>
      </c>
      <c r="T541" t="s">
        <v>709</v>
      </c>
      <c r="U541" t="s">
        <v>709</v>
      </c>
      <c r="V541">
        <v>597</v>
      </c>
      <c r="X541">
        <v>540288.98</v>
      </c>
      <c r="Z541">
        <v>40983.379999999997</v>
      </c>
      <c r="AA541">
        <v>581272.36</v>
      </c>
      <c r="AC541" t="s">
        <v>709</v>
      </c>
      <c r="AM541" t="s">
        <v>116</v>
      </c>
      <c r="AN541">
        <v>44839</v>
      </c>
      <c r="AO541">
        <v>11046892</v>
      </c>
      <c r="AP541">
        <v>610425.39</v>
      </c>
      <c r="AR541">
        <v>41008.54</v>
      </c>
      <c r="AS541">
        <v>651433.93000000005</v>
      </c>
      <c r="AT541">
        <v>70161.570000000007</v>
      </c>
      <c r="AU541">
        <v>7016.1570000000002</v>
      </c>
      <c r="AV541">
        <v>8045</v>
      </c>
      <c r="AW541" t="s">
        <v>4180</v>
      </c>
      <c r="AX541">
        <v>0</v>
      </c>
      <c r="AY541">
        <v>45008</v>
      </c>
      <c r="BA541" s="4" t="s">
        <v>4181</v>
      </c>
      <c r="BB541" t="s">
        <v>709</v>
      </c>
      <c r="BC541" t="s">
        <v>116</v>
      </c>
      <c r="BD541" t="s">
        <v>882</v>
      </c>
      <c r="BE541" t="s">
        <v>709</v>
      </c>
      <c r="BF541" t="s">
        <v>709</v>
      </c>
      <c r="BG541" t="s">
        <v>709</v>
      </c>
      <c r="BI541" t="s">
        <v>709</v>
      </c>
      <c r="BJ541" t="s">
        <v>709</v>
      </c>
      <c r="BK541" t="s">
        <v>709</v>
      </c>
      <c r="BL541" t="s">
        <v>116</v>
      </c>
      <c r="BM541" t="s">
        <v>709</v>
      </c>
      <c r="BN541" t="s">
        <v>709</v>
      </c>
      <c r="BO541" t="s">
        <v>709</v>
      </c>
      <c r="BP541" t="s">
        <v>709</v>
      </c>
      <c r="BQ541">
        <v>318</v>
      </c>
      <c r="BR541">
        <v>157</v>
      </c>
      <c r="BS541">
        <v>122</v>
      </c>
      <c r="BT541" t="s">
        <v>745</v>
      </c>
      <c r="BU541" t="s">
        <v>709</v>
      </c>
      <c r="BV541" t="s">
        <v>745</v>
      </c>
      <c r="BW541" t="s">
        <v>709</v>
      </c>
      <c r="BX541" t="s">
        <v>745</v>
      </c>
      <c r="BY541" t="s">
        <v>745</v>
      </c>
      <c r="BZ541" t="s">
        <v>709</v>
      </c>
      <c r="CB541">
        <v>539</v>
      </c>
      <c r="CC541" t="b">
        <v>1</v>
      </c>
      <c r="CD541" t="s">
        <v>4182</v>
      </c>
      <c r="CE541" s="1482">
        <v>45880.735034722224</v>
      </c>
    </row>
    <row r="542" spans="1:83" x14ac:dyDescent="0.25">
      <c r="A542">
        <v>2022</v>
      </c>
      <c r="B542" t="s">
        <v>1073</v>
      </c>
      <c r="C542" t="s">
        <v>4183</v>
      </c>
      <c r="D542" t="s">
        <v>4184</v>
      </c>
      <c r="E542" t="s">
        <v>232</v>
      </c>
      <c r="F542" t="s">
        <v>919</v>
      </c>
      <c r="G542" t="s">
        <v>36</v>
      </c>
      <c r="H542" t="s">
        <v>59</v>
      </c>
      <c r="I542">
        <v>44588</v>
      </c>
      <c r="J542">
        <v>44630</v>
      </c>
      <c r="K542">
        <v>44628</v>
      </c>
      <c r="L542">
        <v>2</v>
      </c>
      <c r="N542" t="s">
        <v>120</v>
      </c>
      <c r="O542">
        <v>44628</v>
      </c>
      <c r="P542" t="s">
        <v>739</v>
      </c>
      <c r="Q542">
        <v>22155.3269</v>
      </c>
      <c r="R542">
        <v>7.0000000000000007E-2</v>
      </c>
      <c r="S542" t="s">
        <v>709</v>
      </c>
      <c r="T542" t="s">
        <v>709</v>
      </c>
      <c r="U542" t="s">
        <v>709</v>
      </c>
      <c r="V542">
        <v>1556</v>
      </c>
      <c r="X542">
        <v>316504.67</v>
      </c>
      <c r="AA542">
        <v>316504.67</v>
      </c>
      <c r="AC542" t="s">
        <v>116</v>
      </c>
      <c r="AM542" t="s">
        <v>116</v>
      </c>
      <c r="AN542">
        <v>44671</v>
      </c>
      <c r="AO542">
        <v>11040661</v>
      </c>
      <c r="AP542">
        <v>359021.47</v>
      </c>
      <c r="AR542">
        <v>0</v>
      </c>
      <c r="AS542">
        <v>359021.47</v>
      </c>
      <c r="AT542">
        <v>42516.800000000003</v>
      </c>
      <c r="AU542">
        <v>2976.1759999999999</v>
      </c>
      <c r="AV542" t="s">
        <v>709</v>
      </c>
      <c r="AW542" t="s">
        <v>4185</v>
      </c>
      <c r="AX542">
        <v>2976.1759999999999</v>
      </c>
      <c r="AY542">
        <v>45008</v>
      </c>
      <c r="BA542" t="s">
        <v>4186</v>
      </c>
      <c r="BB542" t="s">
        <v>4187</v>
      </c>
      <c r="BC542" t="s">
        <v>709</v>
      </c>
      <c r="BD542" t="s">
        <v>709</v>
      </c>
      <c r="BE542" t="s">
        <v>709</v>
      </c>
      <c r="BF542" t="s">
        <v>709</v>
      </c>
      <c r="BG542" t="s">
        <v>709</v>
      </c>
      <c r="BI542" t="s">
        <v>709</v>
      </c>
      <c r="BJ542" t="s">
        <v>709</v>
      </c>
      <c r="BK542" t="s">
        <v>116</v>
      </c>
      <c r="BL542" t="s">
        <v>709</v>
      </c>
      <c r="BM542" t="s">
        <v>709</v>
      </c>
      <c r="BN542" t="s">
        <v>709</v>
      </c>
      <c r="BO542" t="s">
        <v>709</v>
      </c>
      <c r="BP542" t="s">
        <v>709</v>
      </c>
      <c r="BQ542" t="s">
        <v>709</v>
      </c>
      <c r="BR542" t="s">
        <v>709</v>
      </c>
      <c r="BS542">
        <v>1556</v>
      </c>
      <c r="BT542" t="s">
        <v>709</v>
      </c>
      <c r="BU542" t="s">
        <v>709</v>
      </c>
      <c r="BV542" t="s">
        <v>709</v>
      </c>
      <c r="BW542" t="s">
        <v>709</v>
      </c>
      <c r="BX542" t="s">
        <v>745</v>
      </c>
      <c r="BY542" t="s">
        <v>745</v>
      </c>
      <c r="BZ542" t="s">
        <v>709</v>
      </c>
      <c r="CB542">
        <v>541</v>
      </c>
      <c r="CC542" t="b">
        <v>1</v>
      </c>
      <c r="CD542" t="s">
        <v>4188</v>
      </c>
      <c r="CE542" s="1482">
        <v>45880.735046296293</v>
      </c>
    </row>
    <row r="543" spans="1:83" x14ac:dyDescent="0.25">
      <c r="A543">
        <v>2022</v>
      </c>
      <c r="B543" t="s">
        <v>4</v>
      </c>
      <c r="C543" t="s">
        <v>936</v>
      </c>
      <c r="D543" t="s">
        <v>937</v>
      </c>
      <c r="E543" t="s">
        <v>887</v>
      </c>
      <c r="F543" t="s">
        <v>738</v>
      </c>
      <c r="G543" t="s">
        <v>23</v>
      </c>
      <c r="H543" t="s">
        <v>4189</v>
      </c>
      <c r="I543">
        <v>44616</v>
      </c>
      <c r="J543" t="s">
        <v>2052</v>
      </c>
      <c r="K543">
        <v>44628</v>
      </c>
      <c r="L543">
        <v>12</v>
      </c>
      <c r="M543" t="s">
        <v>4190</v>
      </c>
      <c r="N543" t="s">
        <v>120</v>
      </c>
      <c r="O543">
        <v>44628</v>
      </c>
      <c r="P543" t="s">
        <v>739</v>
      </c>
      <c r="Q543">
        <v>2822.5</v>
      </c>
      <c r="R543" t="s">
        <v>1922</v>
      </c>
      <c r="S543" t="s">
        <v>709</v>
      </c>
      <c r="T543" t="s">
        <v>709</v>
      </c>
      <c r="U543">
        <v>2822.5</v>
      </c>
      <c r="AD543" t="s">
        <v>709</v>
      </c>
      <c r="AM543" t="s">
        <v>709</v>
      </c>
      <c r="AY543" t="s">
        <v>29</v>
      </c>
      <c r="BA543">
        <v>4</v>
      </c>
      <c r="BB543" t="s">
        <v>116</v>
      </c>
      <c r="BI543" t="s">
        <v>709</v>
      </c>
      <c r="BJ543" t="s">
        <v>709</v>
      </c>
      <c r="BK543" t="s">
        <v>709</v>
      </c>
      <c r="BL543" t="s">
        <v>116</v>
      </c>
      <c r="BM543" t="s">
        <v>709</v>
      </c>
      <c r="BN543" t="s">
        <v>709</v>
      </c>
      <c r="BO543" t="s">
        <v>709</v>
      </c>
      <c r="BP543" t="s">
        <v>709</v>
      </c>
      <c r="BQ543" t="s">
        <v>709</v>
      </c>
      <c r="BR543">
        <v>3946</v>
      </c>
      <c r="BS543">
        <v>2482</v>
      </c>
      <c r="BT543" t="s">
        <v>745</v>
      </c>
      <c r="BU543" t="s">
        <v>709</v>
      </c>
      <c r="BV543" t="s">
        <v>745</v>
      </c>
      <c r="BW543" t="s">
        <v>709</v>
      </c>
      <c r="BX543" t="s">
        <v>745</v>
      </c>
      <c r="BY543" t="s">
        <v>745</v>
      </c>
      <c r="BZ543" t="s">
        <v>709</v>
      </c>
      <c r="CB543">
        <v>540</v>
      </c>
      <c r="CC543" t="b">
        <v>1</v>
      </c>
      <c r="CD543" t="s">
        <v>4191</v>
      </c>
      <c r="CE543" s="1482">
        <v>45880.735046296293</v>
      </c>
    </row>
    <row r="544" spans="1:83" x14ac:dyDescent="0.25">
      <c r="A544">
        <v>2022</v>
      </c>
      <c r="B544" t="s">
        <v>1073</v>
      </c>
      <c r="C544" t="s">
        <v>4087</v>
      </c>
      <c r="D544" t="s">
        <v>4088</v>
      </c>
      <c r="E544" t="s">
        <v>61</v>
      </c>
      <c r="F544" t="s">
        <v>738</v>
      </c>
      <c r="G544" t="s">
        <v>35</v>
      </c>
      <c r="H544" t="s">
        <v>4192</v>
      </c>
      <c r="I544">
        <v>44628</v>
      </c>
      <c r="J544" t="s">
        <v>2612</v>
      </c>
      <c r="K544">
        <v>44628</v>
      </c>
      <c r="L544">
        <v>0</v>
      </c>
      <c r="N544" t="s">
        <v>120</v>
      </c>
      <c r="O544">
        <v>44738</v>
      </c>
      <c r="P544" t="s">
        <v>739</v>
      </c>
      <c r="Q544" t="s">
        <v>115</v>
      </c>
      <c r="R544" t="s">
        <v>115</v>
      </c>
      <c r="AD544" t="s">
        <v>709</v>
      </c>
      <c r="AM544" t="s">
        <v>709</v>
      </c>
      <c r="AY544" t="s">
        <v>29</v>
      </c>
      <c r="BA544" t="s">
        <v>4193</v>
      </c>
      <c r="BB544" t="s">
        <v>4194</v>
      </c>
      <c r="BI544" t="s">
        <v>709</v>
      </c>
      <c r="BJ544" t="s">
        <v>709</v>
      </c>
      <c r="BK544" t="s">
        <v>116</v>
      </c>
      <c r="BL544" t="s">
        <v>116</v>
      </c>
      <c r="BM544" t="s">
        <v>709</v>
      </c>
      <c r="BN544" t="s">
        <v>709</v>
      </c>
      <c r="BO544" t="s">
        <v>709</v>
      </c>
      <c r="BP544" t="s">
        <v>709</v>
      </c>
      <c r="BQ544" t="s">
        <v>116</v>
      </c>
      <c r="BR544" t="s">
        <v>116</v>
      </c>
      <c r="BS544" t="s">
        <v>116</v>
      </c>
      <c r="BT544" t="s">
        <v>709</v>
      </c>
      <c r="BU544" t="s">
        <v>709</v>
      </c>
      <c r="BV544" t="s">
        <v>745</v>
      </c>
      <c r="BW544" t="s">
        <v>709</v>
      </c>
      <c r="BX544" t="s">
        <v>709</v>
      </c>
      <c r="BY544" t="s">
        <v>116</v>
      </c>
      <c r="BZ544" t="s">
        <v>709</v>
      </c>
      <c r="CB544">
        <v>542</v>
      </c>
      <c r="CC544" t="b">
        <v>1</v>
      </c>
      <c r="CD544" t="s">
        <v>4195</v>
      </c>
      <c r="CE544" s="1482">
        <v>45880.735046296293</v>
      </c>
    </row>
    <row r="545" spans="1:83" ht="60" x14ac:dyDescent="0.25">
      <c r="A545">
        <v>2022</v>
      </c>
      <c r="B545" t="s">
        <v>2989</v>
      </c>
      <c r="C545" t="s">
        <v>4196</v>
      </c>
      <c r="D545" t="s">
        <v>4197</v>
      </c>
      <c r="E545" t="s">
        <v>4198</v>
      </c>
      <c r="F545" t="s">
        <v>752</v>
      </c>
      <c r="G545" t="s">
        <v>35</v>
      </c>
      <c r="H545" t="s">
        <v>59</v>
      </c>
      <c r="I545">
        <v>44551</v>
      </c>
      <c r="J545">
        <v>44641</v>
      </c>
      <c r="K545">
        <v>44634</v>
      </c>
      <c r="L545">
        <v>7</v>
      </c>
      <c r="N545" t="s">
        <v>120</v>
      </c>
      <c r="O545">
        <v>44634</v>
      </c>
      <c r="P545" t="s">
        <v>739</v>
      </c>
      <c r="Q545">
        <v>6964.7210999999998</v>
      </c>
      <c r="R545">
        <v>0.09</v>
      </c>
      <c r="S545" t="s">
        <v>709</v>
      </c>
      <c r="T545" t="s">
        <v>709</v>
      </c>
      <c r="U545" t="s">
        <v>709</v>
      </c>
      <c r="V545">
        <v>268</v>
      </c>
      <c r="X545">
        <v>0</v>
      </c>
      <c r="Z545">
        <v>77385.789999999994</v>
      </c>
      <c r="AA545">
        <v>77385.789999999994</v>
      </c>
      <c r="AC545" t="s">
        <v>709</v>
      </c>
      <c r="AD545" t="s">
        <v>29</v>
      </c>
      <c r="AM545" t="s">
        <v>116</v>
      </c>
      <c r="AN545">
        <v>44699</v>
      </c>
      <c r="AO545">
        <v>11041191</v>
      </c>
      <c r="AP545">
        <v>0</v>
      </c>
      <c r="AR545">
        <v>77543.210000000006</v>
      </c>
      <c r="AS545">
        <v>77543.210000000006</v>
      </c>
      <c r="AT545">
        <v>157.41999999999999</v>
      </c>
      <c r="AU545">
        <v>14.1678</v>
      </c>
      <c r="AV545" t="s">
        <v>709</v>
      </c>
      <c r="AX545">
        <v>14.1678</v>
      </c>
      <c r="AY545">
        <v>45008</v>
      </c>
      <c r="BA545" t="s">
        <v>4199</v>
      </c>
      <c r="BB545" s="4" t="s">
        <v>4200</v>
      </c>
      <c r="BC545" t="s">
        <v>116</v>
      </c>
      <c r="BD545" t="s">
        <v>709</v>
      </c>
      <c r="BE545" t="s">
        <v>709</v>
      </c>
      <c r="BF545" t="s">
        <v>709</v>
      </c>
      <c r="BG545" t="s">
        <v>709</v>
      </c>
      <c r="BI545" t="s">
        <v>709</v>
      </c>
      <c r="BJ545" t="s">
        <v>709</v>
      </c>
      <c r="BK545" t="s">
        <v>709</v>
      </c>
      <c r="BL545" t="s">
        <v>709</v>
      </c>
      <c r="BM545" t="s">
        <v>709</v>
      </c>
      <c r="BN545" t="s">
        <v>709</v>
      </c>
      <c r="BO545" t="s">
        <v>709</v>
      </c>
      <c r="BP545" t="s">
        <v>709</v>
      </c>
      <c r="BQ545" t="s">
        <v>709</v>
      </c>
      <c r="BR545" t="s">
        <v>709</v>
      </c>
      <c r="BS545" t="s">
        <v>709</v>
      </c>
      <c r="BT545" t="s">
        <v>745</v>
      </c>
      <c r="BU545" t="s">
        <v>709</v>
      </c>
      <c r="BV545">
        <v>2</v>
      </c>
      <c r="BW545" t="s">
        <v>709</v>
      </c>
      <c r="BX545" t="s">
        <v>745</v>
      </c>
      <c r="BY545" t="s">
        <v>745</v>
      </c>
      <c r="BZ545" t="s">
        <v>709</v>
      </c>
      <c r="CA545" t="s">
        <v>2</v>
      </c>
      <c r="CB545">
        <v>543</v>
      </c>
      <c r="CC545" t="b">
        <v>1</v>
      </c>
      <c r="CD545" t="s">
        <v>4201</v>
      </c>
      <c r="CE545" s="1482">
        <v>45880.73505787037</v>
      </c>
    </row>
    <row r="546" spans="1:83" x14ac:dyDescent="0.25">
      <c r="A546">
        <v>2020</v>
      </c>
      <c r="B546" t="s">
        <v>1981</v>
      </c>
      <c r="C546" t="s">
        <v>2572</v>
      </c>
      <c r="D546" t="s">
        <v>115</v>
      </c>
      <c r="E546" t="s">
        <v>426</v>
      </c>
      <c r="F546" t="s">
        <v>919</v>
      </c>
      <c r="G546" t="s">
        <v>40</v>
      </c>
      <c r="H546" t="s">
        <v>4001</v>
      </c>
      <c r="I546">
        <v>44599</v>
      </c>
      <c r="J546" t="s">
        <v>2052</v>
      </c>
      <c r="K546">
        <v>44635</v>
      </c>
      <c r="L546">
        <v>36</v>
      </c>
      <c r="M546" t="s">
        <v>4202</v>
      </c>
      <c r="N546" t="s">
        <v>120</v>
      </c>
      <c r="O546">
        <v>44635</v>
      </c>
      <c r="P546" t="s">
        <v>739</v>
      </c>
      <c r="Q546">
        <v>7785</v>
      </c>
      <c r="R546" t="s">
        <v>1922</v>
      </c>
      <c r="S546" t="s">
        <v>709</v>
      </c>
      <c r="T546" t="s">
        <v>709</v>
      </c>
      <c r="U546">
        <v>7785</v>
      </c>
      <c r="AD546" t="s">
        <v>709</v>
      </c>
      <c r="AM546" t="s">
        <v>709</v>
      </c>
      <c r="AY546" t="s">
        <v>29</v>
      </c>
      <c r="BA546">
        <v>2</v>
      </c>
      <c r="BB546" t="s">
        <v>116</v>
      </c>
      <c r="BI546" t="s">
        <v>709</v>
      </c>
      <c r="BJ546" t="s">
        <v>709</v>
      </c>
      <c r="BK546" t="s">
        <v>709</v>
      </c>
      <c r="BL546" t="s">
        <v>709</v>
      </c>
      <c r="BM546" t="s">
        <v>709</v>
      </c>
      <c r="BN546" t="s">
        <v>709</v>
      </c>
      <c r="BO546" t="s">
        <v>709</v>
      </c>
      <c r="BP546" t="s">
        <v>709</v>
      </c>
      <c r="BQ546" t="s">
        <v>709</v>
      </c>
      <c r="BR546" t="s">
        <v>709</v>
      </c>
      <c r="BS546" t="s">
        <v>709</v>
      </c>
      <c r="BT546" t="s">
        <v>745</v>
      </c>
      <c r="BU546" t="s">
        <v>709</v>
      </c>
      <c r="BV546" t="s">
        <v>745</v>
      </c>
      <c r="BW546" t="s">
        <v>709</v>
      </c>
      <c r="BX546" t="s">
        <v>745</v>
      </c>
      <c r="BY546" t="s">
        <v>745</v>
      </c>
      <c r="BZ546" t="s">
        <v>709</v>
      </c>
      <c r="CA546" t="s">
        <v>2531</v>
      </c>
      <c r="CB546">
        <v>547</v>
      </c>
      <c r="CC546" t="b">
        <v>1</v>
      </c>
      <c r="CD546" t="s">
        <v>4203</v>
      </c>
      <c r="CE546" s="1482">
        <v>45880.735069444447</v>
      </c>
    </row>
    <row r="547" spans="1:83" x14ac:dyDescent="0.25">
      <c r="A547">
        <v>2021</v>
      </c>
      <c r="B547" t="s">
        <v>769</v>
      </c>
      <c r="C547" t="s">
        <v>3313</v>
      </c>
      <c r="D547" t="s">
        <v>3314</v>
      </c>
      <c r="E547" t="s">
        <v>3315</v>
      </c>
      <c r="F547" t="s">
        <v>4204</v>
      </c>
      <c r="G547" t="s">
        <v>40</v>
      </c>
      <c r="H547" t="s">
        <v>3178</v>
      </c>
      <c r="I547">
        <v>44628</v>
      </c>
      <c r="J547" t="s">
        <v>2052</v>
      </c>
      <c r="K547">
        <v>44635</v>
      </c>
      <c r="L547">
        <v>7</v>
      </c>
      <c r="M547" t="s">
        <v>4205</v>
      </c>
      <c r="N547" t="s">
        <v>120</v>
      </c>
      <c r="O547">
        <v>44635</v>
      </c>
      <c r="P547" t="s">
        <v>739</v>
      </c>
      <c r="Q547">
        <v>2662.5</v>
      </c>
      <c r="R547" t="s">
        <v>1922</v>
      </c>
      <c r="S547" t="s">
        <v>709</v>
      </c>
      <c r="T547" t="s">
        <v>709</v>
      </c>
      <c r="U547">
        <v>2662.5</v>
      </c>
      <c r="AC547" t="s">
        <v>709</v>
      </c>
      <c r="AD547" t="s">
        <v>709</v>
      </c>
      <c r="AM547" t="s">
        <v>709</v>
      </c>
      <c r="AY547" t="s">
        <v>29</v>
      </c>
      <c r="BA547">
        <v>1</v>
      </c>
      <c r="BB547" t="s">
        <v>116</v>
      </c>
      <c r="BI547" t="s">
        <v>709</v>
      </c>
      <c r="BJ547" t="s">
        <v>709</v>
      </c>
      <c r="BK547" t="s">
        <v>709</v>
      </c>
      <c r="BL547" t="s">
        <v>709</v>
      </c>
      <c r="BM547" t="s">
        <v>709</v>
      </c>
      <c r="BN547" t="s">
        <v>709</v>
      </c>
      <c r="BO547" t="s">
        <v>709</v>
      </c>
      <c r="BP547" t="s">
        <v>709</v>
      </c>
      <c r="BQ547" t="s">
        <v>709</v>
      </c>
      <c r="BR547" t="s">
        <v>709</v>
      </c>
      <c r="BS547" t="s">
        <v>709</v>
      </c>
      <c r="BT547" t="s">
        <v>745</v>
      </c>
      <c r="BU547" t="s">
        <v>709</v>
      </c>
      <c r="BV547">
        <v>2</v>
      </c>
      <c r="BW547" t="s">
        <v>709</v>
      </c>
      <c r="BX547" t="s">
        <v>745</v>
      </c>
      <c r="BY547" t="s">
        <v>745</v>
      </c>
      <c r="BZ547" t="s">
        <v>709</v>
      </c>
      <c r="CA547" t="s">
        <v>769</v>
      </c>
      <c r="CB547">
        <v>544</v>
      </c>
      <c r="CC547" t="b">
        <v>1</v>
      </c>
      <c r="CD547" t="s">
        <v>4206</v>
      </c>
      <c r="CE547" s="1482">
        <v>45880.735069444447</v>
      </c>
    </row>
    <row r="548" spans="1:83" x14ac:dyDescent="0.25">
      <c r="A548">
        <v>2022</v>
      </c>
      <c r="B548" t="s">
        <v>4</v>
      </c>
      <c r="C548" t="s">
        <v>4207</v>
      </c>
      <c r="D548" t="s">
        <v>115</v>
      </c>
      <c r="E548" t="s">
        <v>1164</v>
      </c>
      <c r="F548" t="s">
        <v>738</v>
      </c>
      <c r="G548" t="s">
        <v>39</v>
      </c>
      <c r="H548" t="s">
        <v>1903</v>
      </c>
      <c r="I548">
        <v>44355</v>
      </c>
      <c r="J548">
        <v>44880</v>
      </c>
      <c r="K548">
        <v>44635</v>
      </c>
      <c r="L548">
        <v>245</v>
      </c>
      <c r="N548" t="s">
        <v>120</v>
      </c>
      <c r="O548">
        <v>44635</v>
      </c>
      <c r="P548" t="s">
        <v>739</v>
      </c>
      <c r="Q548" t="s">
        <v>115</v>
      </c>
      <c r="R548" t="s">
        <v>115</v>
      </c>
      <c r="S548" t="s">
        <v>709</v>
      </c>
      <c r="T548" t="s">
        <v>709</v>
      </c>
      <c r="U548" t="s">
        <v>709</v>
      </c>
      <c r="AM548" t="s">
        <v>709</v>
      </c>
      <c r="AY548" t="s">
        <v>29</v>
      </c>
      <c r="BA548" t="s">
        <v>4208</v>
      </c>
      <c r="BB548" t="s">
        <v>116</v>
      </c>
      <c r="CB548">
        <v>545</v>
      </c>
      <c r="CC548" t="b">
        <v>1</v>
      </c>
      <c r="CD548" t="s">
        <v>4209</v>
      </c>
      <c r="CE548" s="1482">
        <v>45880.735081018516</v>
      </c>
    </row>
    <row r="549" spans="1:83" x14ac:dyDescent="0.25">
      <c r="A549">
        <v>2022</v>
      </c>
      <c r="B549" t="s">
        <v>4</v>
      </c>
      <c r="C549" t="s">
        <v>4207</v>
      </c>
      <c r="D549" t="s">
        <v>115</v>
      </c>
      <c r="E549" t="s">
        <v>1164</v>
      </c>
      <c r="F549" t="s">
        <v>738</v>
      </c>
      <c r="G549" t="s">
        <v>39</v>
      </c>
      <c r="H549" t="s">
        <v>4109</v>
      </c>
      <c r="I549">
        <v>44355</v>
      </c>
      <c r="J549" t="s">
        <v>4110</v>
      </c>
      <c r="K549">
        <v>44635</v>
      </c>
      <c r="L549">
        <v>280</v>
      </c>
      <c r="M549" t="s">
        <v>4210</v>
      </c>
      <c r="N549" t="s">
        <v>120</v>
      </c>
      <c r="O549">
        <v>44635</v>
      </c>
      <c r="P549" t="s">
        <v>739</v>
      </c>
      <c r="Q549">
        <v>2974</v>
      </c>
      <c r="R549" t="s">
        <v>1922</v>
      </c>
      <c r="S549">
        <v>1449</v>
      </c>
      <c r="T549" t="s">
        <v>709</v>
      </c>
      <c r="U549">
        <v>1525</v>
      </c>
      <c r="AE549" t="s">
        <v>29</v>
      </c>
      <c r="AF549" t="s">
        <v>29</v>
      </c>
      <c r="AG549" t="s">
        <v>29</v>
      </c>
      <c r="AH549" t="s">
        <v>29</v>
      </c>
      <c r="AM549" t="s">
        <v>709</v>
      </c>
      <c r="AY549" t="s">
        <v>29</v>
      </c>
      <c r="BA549" t="s">
        <v>4208</v>
      </c>
      <c r="BB549" t="s">
        <v>116</v>
      </c>
      <c r="CB549">
        <v>546</v>
      </c>
      <c r="CC549" t="b">
        <v>1</v>
      </c>
      <c r="CD549" t="s">
        <v>4209</v>
      </c>
      <c r="CE549" s="1482">
        <v>45880.735081018516</v>
      </c>
    </row>
    <row r="550" spans="1:83" ht="240" x14ac:dyDescent="0.25">
      <c r="A550">
        <v>2022</v>
      </c>
      <c r="B550" t="s">
        <v>4</v>
      </c>
      <c r="C550" t="s">
        <v>4211</v>
      </c>
      <c r="D550" t="s">
        <v>4212</v>
      </c>
      <c r="E550" t="s">
        <v>4213</v>
      </c>
      <c r="F550" t="s">
        <v>738</v>
      </c>
      <c r="G550" t="s">
        <v>23</v>
      </c>
      <c r="H550" t="s">
        <v>59</v>
      </c>
      <c r="I550">
        <v>44488</v>
      </c>
      <c r="J550">
        <v>44657</v>
      </c>
      <c r="K550">
        <v>44637</v>
      </c>
      <c r="L550">
        <v>20</v>
      </c>
      <c r="N550" t="s">
        <v>120</v>
      </c>
      <c r="O550">
        <v>44637</v>
      </c>
      <c r="P550" t="s">
        <v>739</v>
      </c>
      <c r="Q550">
        <v>17206.907999999999</v>
      </c>
      <c r="R550">
        <v>0.1</v>
      </c>
      <c r="S550" t="s">
        <v>709</v>
      </c>
      <c r="T550" t="s">
        <v>709</v>
      </c>
      <c r="U550" t="s">
        <v>709</v>
      </c>
      <c r="V550">
        <v>748</v>
      </c>
      <c r="X550">
        <v>161119.48000000001</v>
      </c>
      <c r="Z550">
        <v>10949.6</v>
      </c>
      <c r="AA550">
        <v>172069.08</v>
      </c>
      <c r="AC550" t="s">
        <v>709</v>
      </c>
      <c r="AM550" t="s">
        <v>116</v>
      </c>
      <c r="AN550">
        <v>44714</v>
      </c>
      <c r="AO550">
        <v>11042026</v>
      </c>
      <c r="AP550">
        <v>128093.36</v>
      </c>
      <c r="AR550">
        <v>8894.69</v>
      </c>
      <c r="AS550">
        <v>136988.04999999999</v>
      </c>
      <c r="AT550">
        <v>-35081.03</v>
      </c>
      <c r="AU550">
        <v>-3508.1030000000001</v>
      </c>
      <c r="AV550">
        <v>2400</v>
      </c>
      <c r="AW550" s="4" t="s">
        <v>4214</v>
      </c>
      <c r="AX550">
        <v>0</v>
      </c>
      <c r="AY550">
        <v>45008</v>
      </c>
      <c r="BA550" t="s">
        <v>4215</v>
      </c>
      <c r="BB550" t="s">
        <v>709</v>
      </c>
      <c r="BC550" t="s">
        <v>709</v>
      </c>
      <c r="BD550" t="s">
        <v>709</v>
      </c>
      <c r="BE550" t="s">
        <v>4216</v>
      </c>
      <c r="BF550" t="s">
        <v>709</v>
      </c>
      <c r="BG550" t="s">
        <v>709</v>
      </c>
      <c r="BI550" t="s">
        <v>709</v>
      </c>
      <c r="BJ550" t="s">
        <v>709</v>
      </c>
      <c r="BK550" t="s">
        <v>709</v>
      </c>
      <c r="BL550" t="s">
        <v>116</v>
      </c>
      <c r="BM550" t="s">
        <v>709</v>
      </c>
      <c r="BN550" t="s">
        <v>709</v>
      </c>
      <c r="BO550" t="s">
        <v>709</v>
      </c>
      <c r="BP550" t="s">
        <v>709</v>
      </c>
      <c r="BQ550" t="s">
        <v>709</v>
      </c>
      <c r="BR550">
        <v>748</v>
      </c>
      <c r="BS550" t="s">
        <v>709</v>
      </c>
      <c r="BT550" t="s">
        <v>745</v>
      </c>
      <c r="BU550" t="s">
        <v>709</v>
      </c>
      <c r="BV550" t="s">
        <v>745</v>
      </c>
      <c r="BW550" t="s">
        <v>709</v>
      </c>
      <c r="BX550" t="s">
        <v>745</v>
      </c>
      <c r="BY550" t="s">
        <v>745</v>
      </c>
      <c r="BZ550" t="s">
        <v>709</v>
      </c>
      <c r="CB550">
        <v>548</v>
      </c>
      <c r="CC550" t="b">
        <v>1</v>
      </c>
      <c r="CD550" t="s">
        <v>4217</v>
      </c>
      <c r="CE550" s="1482">
        <v>45880.735092592593</v>
      </c>
    </row>
    <row r="551" spans="1:83" ht="105" x14ac:dyDescent="0.25">
      <c r="A551">
        <v>2022</v>
      </c>
      <c r="B551" t="s">
        <v>2994</v>
      </c>
      <c r="C551" t="s">
        <v>4218</v>
      </c>
      <c r="D551" t="s">
        <v>4219</v>
      </c>
      <c r="E551" t="s">
        <v>155</v>
      </c>
      <c r="F551" t="s">
        <v>752</v>
      </c>
      <c r="G551" t="s">
        <v>34</v>
      </c>
      <c r="H551" t="s">
        <v>3661</v>
      </c>
      <c r="I551">
        <v>44551</v>
      </c>
      <c r="J551" t="s">
        <v>3662</v>
      </c>
      <c r="K551">
        <v>44638</v>
      </c>
      <c r="L551">
        <v>87</v>
      </c>
      <c r="N551" t="s">
        <v>120</v>
      </c>
      <c r="O551">
        <v>44652</v>
      </c>
      <c r="P551" t="s">
        <v>739</v>
      </c>
      <c r="Q551">
        <v>2542.5</v>
      </c>
      <c r="R551" t="s">
        <v>1922</v>
      </c>
      <c r="S551" t="s">
        <v>709</v>
      </c>
      <c r="T551" t="s">
        <v>709</v>
      </c>
      <c r="U551">
        <v>2542.5</v>
      </c>
      <c r="AB551" t="s">
        <v>29</v>
      </c>
      <c r="AC551" t="s">
        <v>29</v>
      </c>
      <c r="AD551" t="s">
        <v>29</v>
      </c>
      <c r="AM551" t="s">
        <v>709</v>
      </c>
      <c r="AY551" t="s">
        <v>29</v>
      </c>
      <c r="BA551" t="s">
        <v>4220</v>
      </c>
      <c r="BB551" s="4" t="s">
        <v>4221</v>
      </c>
      <c r="BC551" t="s">
        <v>116</v>
      </c>
      <c r="BD551" t="s">
        <v>882</v>
      </c>
      <c r="BE551" t="s">
        <v>1085</v>
      </c>
      <c r="BF551" t="s">
        <v>709</v>
      </c>
      <c r="BG551" t="s">
        <v>709</v>
      </c>
      <c r="BI551" t="s">
        <v>709</v>
      </c>
      <c r="BJ551" t="s">
        <v>709</v>
      </c>
      <c r="BK551" t="s">
        <v>709</v>
      </c>
      <c r="BL551" t="s">
        <v>116</v>
      </c>
      <c r="BM551" t="s">
        <v>709</v>
      </c>
      <c r="BN551" t="s">
        <v>709</v>
      </c>
      <c r="BO551" t="s">
        <v>709</v>
      </c>
      <c r="BP551" t="s">
        <v>709</v>
      </c>
      <c r="BQ551" t="s">
        <v>709</v>
      </c>
      <c r="BR551">
        <v>23</v>
      </c>
      <c r="BS551">
        <v>32</v>
      </c>
      <c r="BT551" t="s">
        <v>745</v>
      </c>
      <c r="BU551" t="s">
        <v>709</v>
      </c>
      <c r="BV551">
        <v>2</v>
      </c>
      <c r="BW551" t="s">
        <v>709</v>
      </c>
      <c r="BX551" t="s">
        <v>745</v>
      </c>
      <c r="BY551" t="s">
        <v>745</v>
      </c>
      <c r="BZ551" t="s">
        <v>709</v>
      </c>
      <c r="CA551" t="s">
        <v>2</v>
      </c>
      <c r="CB551">
        <v>550</v>
      </c>
      <c r="CC551" t="b">
        <v>1</v>
      </c>
      <c r="CD551" t="s">
        <v>4222</v>
      </c>
      <c r="CE551" s="1482">
        <v>45880.73510416667</v>
      </c>
    </row>
    <row r="552" spans="1:83" ht="240" x14ac:dyDescent="0.25">
      <c r="A552">
        <v>2022</v>
      </c>
      <c r="B552" t="s">
        <v>2994</v>
      </c>
      <c r="C552" t="s">
        <v>4218</v>
      </c>
      <c r="D552" t="s">
        <v>4219</v>
      </c>
      <c r="E552" t="s">
        <v>155</v>
      </c>
      <c r="F552" t="s">
        <v>752</v>
      </c>
      <c r="G552" t="s">
        <v>34</v>
      </c>
      <c r="H552" t="s">
        <v>59</v>
      </c>
      <c r="I552">
        <v>44551</v>
      </c>
      <c r="J552">
        <v>44641</v>
      </c>
      <c r="K552">
        <v>44638</v>
      </c>
      <c r="L552">
        <v>3</v>
      </c>
      <c r="N552" t="s">
        <v>120</v>
      </c>
      <c r="O552">
        <v>44638</v>
      </c>
      <c r="P552" t="s">
        <v>739</v>
      </c>
      <c r="Q552">
        <v>16952.709599999998</v>
      </c>
      <c r="R552">
        <v>0.09</v>
      </c>
      <c r="S552" t="s">
        <v>709</v>
      </c>
      <c r="T552" t="s">
        <v>709</v>
      </c>
      <c r="U552" t="s">
        <v>709</v>
      </c>
      <c r="V552">
        <v>55</v>
      </c>
      <c r="X552">
        <v>130768.83</v>
      </c>
      <c r="Z552">
        <v>57594.61</v>
      </c>
      <c r="AA552">
        <v>188363.44</v>
      </c>
      <c r="AC552" t="s">
        <v>709</v>
      </c>
      <c r="AD552" t="s">
        <v>29</v>
      </c>
      <c r="AM552" t="s">
        <v>116</v>
      </c>
      <c r="AN552">
        <v>44721</v>
      </c>
      <c r="AO552">
        <v>11041979</v>
      </c>
      <c r="AP552">
        <v>130413.52</v>
      </c>
      <c r="AR552">
        <v>57645.65</v>
      </c>
      <c r="AS552">
        <v>188059.17</v>
      </c>
      <c r="AT552">
        <v>-304.27</v>
      </c>
      <c r="AU552">
        <v>-27.3843</v>
      </c>
      <c r="AV552">
        <v>9452.5</v>
      </c>
      <c r="AW552" s="4" t="s">
        <v>4223</v>
      </c>
      <c r="AX552">
        <v>0</v>
      </c>
      <c r="AY552">
        <v>45008</v>
      </c>
      <c r="BA552" t="s">
        <v>4220</v>
      </c>
      <c r="BB552" s="4" t="s">
        <v>4221</v>
      </c>
      <c r="BC552" t="s">
        <v>116</v>
      </c>
      <c r="BD552" t="s">
        <v>882</v>
      </c>
      <c r="BE552" t="s">
        <v>1085</v>
      </c>
      <c r="BF552" t="s">
        <v>709</v>
      </c>
      <c r="BG552" t="s">
        <v>709</v>
      </c>
      <c r="BI552" t="s">
        <v>709</v>
      </c>
      <c r="BJ552" t="s">
        <v>709</v>
      </c>
      <c r="BK552" t="s">
        <v>709</v>
      </c>
      <c r="BL552" t="s">
        <v>116</v>
      </c>
      <c r="BM552" t="s">
        <v>709</v>
      </c>
      <c r="BN552" t="s">
        <v>709</v>
      </c>
      <c r="BO552" t="s">
        <v>709</v>
      </c>
      <c r="BP552" t="s">
        <v>709</v>
      </c>
      <c r="BQ552" t="s">
        <v>709</v>
      </c>
      <c r="BR552">
        <v>23</v>
      </c>
      <c r="BS552">
        <v>32</v>
      </c>
      <c r="BT552" t="s">
        <v>745</v>
      </c>
      <c r="BU552" t="s">
        <v>709</v>
      </c>
      <c r="BV552">
        <v>2</v>
      </c>
      <c r="BW552" t="s">
        <v>709</v>
      </c>
      <c r="BX552" t="s">
        <v>745</v>
      </c>
      <c r="BY552" t="s">
        <v>745</v>
      </c>
      <c r="BZ552" t="s">
        <v>709</v>
      </c>
      <c r="CA552" t="s">
        <v>2</v>
      </c>
      <c r="CB552">
        <v>549</v>
      </c>
      <c r="CC552" t="b">
        <v>1</v>
      </c>
      <c r="CD552" t="s">
        <v>4222</v>
      </c>
      <c r="CE552" s="1482">
        <v>45880.73510416667</v>
      </c>
    </row>
    <row r="553" spans="1:83" x14ac:dyDescent="0.25">
      <c r="A553">
        <v>2022</v>
      </c>
      <c r="B553" t="s">
        <v>4</v>
      </c>
      <c r="C553" t="s">
        <v>4224</v>
      </c>
      <c r="D553" t="s">
        <v>115</v>
      </c>
      <c r="E553" t="s">
        <v>4225</v>
      </c>
      <c r="F553" t="s">
        <v>919</v>
      </c>
      <c r="G553" t="s">
        <v>39</v>
      </c>
      <c r="H553" t="s">
        <v>3132</v>
      </c>
      <c r="I553">
        <v>44621</v>
      </c>
      <c r="J553">
        <v>44670</v>
      </c>
      <c r="K553">
        <v>44643</v>
      </c>
      <c r="L553">
        <v>27</v>
      </c>
      <c r="M553" t="s">
        <v>4226</v>
      </c>
      <c r="N553" t="s">
        <v>120</v>
      </c>
      <c r="O553">
        <v>44643</v>
      </c>
      <c r="P553" t="s">
        <v>739</v>
      </c>
      <c r="Q553" t="s">
        <v>115</v>
      </c>
      <c r="R553" t="s">
        <v>115</v>
      </c>
      <c r="S553" t="s">
        <v>709</v>
      </c>
      <c r="T553" t="s">
        <v>709</v>
      </c>
      <c r="U553" t="s">
        <v>709</v>
      </c>
      <c r="AM553" t="s">
        <v>709</v>
      </c>
      <c r="AY553" t="s">
        <v>29</v>
      </c>
      <c r="BA553" t="s">
        <v>4227</v>
      </c>
      <c r="BB553" t="s">
        <v>709</v>
      </c>
      <c r="CB553">
        <v>551</v>
      </c>
      <c r="CC553" t="b">
        <v>1</v>
      </c>
      <c r="CD553" t="s">
        <v>4228</v>
      </c>
      <c r="CE553" s="1482">
        <v>45880.735115740739</v>
      </c>
    </row>
    <row r="554" spans="1:83" x14ac:dyDescent="0.25">
      <c r="A554">
        <v>2022</v>
      </c>
      <c r="B554" t="s">
        <v>771</v>
      </c>
      <c r="C554" t="s">
        <v>4229</v>
      </c>
      <c r="D554" t="s">
        <v>4230</v>
      </c>
      <c r="E554" t="s">
        <v>218</v>
      </c>
      <c r="F554" t="s">
        <v>919</v>
      </c>
      <c r="G554" t="s">
        <v>22</v>
      </c>
      <c r="H554" t="s">
        <v>59</v>
      </c>
      <c r="I554">
        <v>44522</v>
      </c>
      <c r="J554">
        <v>44648</v>
      </c>
      <c r="K554">
        <v>44645</v>
      </c>
      <c r="L554">
        <v>3</v>
      </c>
      <c r="N554" t="s">
        <v>120</v>
      </c>
      <c r="O554">
        <v>44645</v>
      </c>
      <c r="P554" t="s">
        <v>120</v>
      </c>
      <c r="Q554">
        <v>20343.75</v>
      </c>
      <c r="R554" t="s">
        <v>2087</v>
      </c>
      <c r="S554" t="s">
        <v>709</v>
      </c>
      <c r="T554" t="s">
        <v>709</v>
      </c>
      <c r="U554" t="s">
        <v>709</v>
      </c>
      <c r="V554">
        <v>13125</v>
      </c>
      <c r="X554">
        <v>1236490.3999999999</v>
      </c>
      <c r="Z554">
        <v>9248.4699999999993</v>
      </c>
      <c r="AA554">
        <v>1245738.8700000001</v>
      </c>
      <c r="AC554" t="s">
        <v>709</v>
      </c>
      <c r="AM554" t="s">
        <v>709</v>
      </c>
      <c r="AY554" t="s">
        <v>29</v>
      </c>
      <c r="BA554" t="s">
        <v>4231</v>
      </c>
      <c r="BB554" t="s">
        <v>877</v>
      </c>
      <c r="BC554" t="s">
        <v>116</v>
      </c>
      <c r="BD554" t="s">
        <v>709</v>
      </c>
      <c r="BE554" t="s">
        <v>709</v>
      </c>
      <c r="BF554" t="s">
        <v>709</v>
      </c>
      <c r="BG554" t="s">
        <v>709</v>
      </c>
      <c r="BI554" t="s">
        <v>709</v>
      </c>
      <c r="BJ554" t="s">
        <v>709</v>
      </c>
      <c r="BK554" t="s">
        <v>709</v>
      </c>
      <c r="BL554" t="s">
        <v>116</v>
      </c>
      <c r="BM554" t="s">
        <v>709</v>
      </c>
      <c r="BN554" t="s">
        <v>709</v>
      </c>
      <c r="BO554" t="s">
        <v>709</v>
      </c>
      <c r="BP554" t="s">
        <v>709</v>
      </c>
      <c r="BQ554">
        <v>12746</v>
      </c>
      <c r="BR554">
        <v>379</v>
      </c>
      <c r="BS554" t="s">
        <v>709</v>
      </c>
      <c r="BT554" t="s">
        <v>745</v>
      </c>
      <c r="BU554" t="s">
        <v>709</v>
      </c>
      <c r="BV554" t="s">
        <v>745</v>
      </c>
      <c r="BW554" t="s">
        <v>709</v>
      </c>
      <c r="BX554" t="s">
        <v>745</v>
      </c>
      <c r="BY554" t="s">
        <v>745</v>
      </c>
      <c r="BZ554" t="s">
        <v>709</v>
      </c>
      <c r="CB554">
        <v>552</v>
      </c>
      <c r="CC554" t="b">
        <v>1</v>
      </c>
      <c r="CD554" t="s">
        <v>4232</v>
      </c>
      <c r="CE554" s="1482">
        <v>45880.735115740739</v>
      </c>
    </row>
    <row r="555" spans="1:83" ht="150" x14ac:dyDescent="0.25">
      <c r="A555">
        <v>2022</v>
      </c>
      <c r="B555" t="s">
        <v>730</v>
      </c>
      <c r="C555" t="s">
        <v>351</v>
      </c>
      <c r="D555" t="s">
        <v>4233</v>
      </c>
      <c r="E555" t="s">
        <v>352</v>
      </c>
      <c r="F555" t="s">
        <v>747</v>
      </c>
      <c r="G555" t="s">
        <v>347</v>
      </c>
      <c r="H555" t="s">
        <v>59</v>
      </c>
      <c r="I555">
        <v>44418</v>
      </c>
      <c r="J555">
        <v>44651</v>
      </c>
      <c r="K555">
        <v>44649</v>
      </c>
      <c r="L555">
        <v>2</v>
      </c>
      <c r="N555" t="s">
        <v>120</v>
      </c>
      <c r="O555">
        <v>44652</v>
      </c>
      <c r="P555" t="s">
        <v>120</v>
      </c>
      <c r="Q555">
        <v>25142.588800000001</v>
      </c>
      <c r="R555" t="s">
        <v>794</v>
      </c>
      <c r="S555" t="s">
        <v>709</v>
      </c>
      <c r="T555" t="s">
        <v>709</v>
      </c>
      <c r="U555" t="s">
        <v>709</v>
      </c>
      <c r="V555">
        <v>130</v>
      </c>
      <c r="X555">
        <v>132217.20000000001</v>
      </c>
      <c r="Z555">
        <v>40048.550000000003</v>
      </c>
      <c r="AA555">
        <v>172265.75</v>
      </c>
      <c r="AC555" t="s">
        <v>1441</v>
      </c>
      <c r="AM555" t="s">
        <v>116</v>
      </c>
      <c r="AN555">
        <v>44714</v>
      </c>
      <c r="AO555">
        <v>11038448</v>
      </c>
      <c r="AP555">
        <v>133224.89000000001</v>
      </c>
      <c r="AR555">
        <v>40177.360000000001</v>
      </c>
      <c r="AS555">
        <v>173402.25</v>
      </c>
      <c r="AT555">
        <v>1136.5</v>
      </c>
      <c r="AU555">
        <v>96.602500000000006</v>
      </c>
      <c r="AV555" t="s">
        <v>709</v>
      </c>
      <c r="AX555">
        <v>96.602500000000006</v>
      </c>
      <c r="AY555">
        <v>45008</v>
      </c>
      <c r="BA555" t="s">
        <v>4234</v>
      </c>
      <c r="BB555" s="4" t="s">
        <v>1226</v>
      </c>
      <c r="BC555" t="s">
        <v>709</v>
      </c>
      <c r="BD555" t="s">
        <v>709</v>
      </c>
      <c r="BE555" t="s">
        <v>709</v>
      </c>
      <c r="BF555" t="s">
        <v>4235</v>
      </c>
      <c r="BG555" t="s">
        <v>709</v>
      </c>
      <c r="BI555" t="s">
        <v>116</v>
      </c>
      <c r="BJ555" t="s">
        <v>116</v>
      </c>
      <c r="BK555" t="s">
        <v>709</v>
      </c>
      <c r="BL555" t="s">
        <v>116</v>
      </c>
      <c r="BM555" t="s">
        <v>709</v>
      </c>
      <c r="BN555" t="s">
        <v>709</v>
      </c>
      <c r="BO555" t="s">
        <v>709</v>
      </c>
      <c r="BP555" t="s">
        <v>709</v>
      </c>
      <c r="BQ555" t="s">
        <v>709</v>
      </c>
      <c r="BR555" t="s">
        <v>709</v>
      </c>
      <c r="BS555">
        <v>128</v>
      </c>
      <c r="BT555" t="s">
        <v>745</v>
      </c>
      <c r="BU555">
        <v>2</v>
      </c>
      <c r="BV555" t="s">
        <v>745</v>
      </c>
      <c r="BW555" t="s">
        <v>709</v>
      </c>
      <c r="BX555">
        <v>1</v>
      </c>
      <c r="BY555" t="s">
        <v>745</v>
      </c>
      <c r="BZ555" t="s">
        <v>709</v>
      </c>
      <c r="CA555" t="s">
        <v>730</v>
      </c>
      <c r="CB555">
        <v>553</v>
      </c>
      <c r="CC555" t="b">
        <v>1</v>
      </c>
      <c r="CD555" t="s">
        <v>4236</v>
      </c>
      <c r="CE555" s="1482">
        <v>45880.735127314816</v>
      </c>
    </row>
    <row r="556" spans="1:83" ht="270" x14ac:dyDescent="0.25">
      <c r="A556">
        <v>2021</v>
      </c>
      <c r="B556" t="s">
        <v>771</v>
      </c>
      <c r="C556" t="s">
        <v>4237</v>
      </c>
      <c r="D556" t="s">
        <v>4238</v>
      </c>
      <c r="E556" t="s">
        <v>300</v>
      </c>
      <c r="F556" t="s">
        <v>919</v>
      </c>
      <c r="G556" t="s">
        <v>36</v>
      </c>
      <c r="H556" t="s">
        <v>59</v>
      </c>
      <c r="I556">
        <v>44215</v>
      </c>
      <c r="J556">
        <v>44652</v>
      </c>
      <c r="K556">
        <v>44650</v>
      </c>
      <c r="L556">
        <v>2</v>
      </c>
      <c r="N556" t="s">
        <v>120</v>
      </c>
      <c r="O556">
        <v>44682</v>
      </c>
      <c r="P556" t="s">
        <v>120</v>
      </c>
      <c r="Q556">
        <v>131935.4694</v>
      </c>
      <c r="R556">
        <v>0.09</v>
      </c>
      <c r="S556" t="s">
        <v>709</v>
      </c>
      <c r="T556" t="s">
        <v>709</v>
      </c>
      <c r="U556" t="s">
        <v>709</v>
      </c>
      <c r="V556">
        <v>4695</v>
      </c>
      <c r="X556">
        <v>1391862.43</v>
      </c>
      <c r="Z556">
        <v>74087.23</v>
      </c>
      <c r="AA556">
        <v>1465949.66</v>
      </c>
      <c r="AC556" t="s">
        <v>116</v>
      </c>
      <c r="AM556" t="s">
        <v>116</v>
      </c>
      <c r="AN556">
        <v>44831</v>
      </c>
      <c r="AO556">
        <v>11033010</v>
      </c>
      <c r="AP556">
        <v>1403946.45</v>
      </c>
      <c r="AR556">
        <v>74112.86</v>
      </c>
      <c r="AS556">
        <v>1478059.31</v>
      </c>
      <c r="AT556">
        <v>12109.65</v>
      </c>
      <c r="AU556">
        <v>1089.8685</v>
      </c>
      <c r="AV556">
        <v>3890</v>
      </c>
      <c r="AW556" s="4" t="s">
        <v>4239</v>
      </c>
      <c r="AX556">
        <v>0</v>
      </c>
      <c r="AY556">
        <v>45008</v>
      </c>
      <c r="BA556" t="s">
        <v>4240</v>
      </c>
      <c r="BB556" s="4" t="s">
        <v>4241</v>
      </c>
      <c r="BC556" t="s">
        <v>116</v>
      </c>
      <c r="BD556" t="s">
        <v>709</v>
      </c>
      <c r="BE556" t="s">
        <v>4242</v>
      </c>
      <c r="BF556" t="s">
        <v>709</v>
      </c>
      <c r="BG556" t="s">
        <v>4243</v>
      </c>
      <c r="BI556" t="s">
        <v>709</v>
      </c>
      <c r="BJ556" t="s">
        <v>709</v>
      </c>
      <c r="BK556" t="s">
        <v>709</v>
      </c>
      <c r="BL556" t="s">
        <v>116</v>
      </c>
      <c r="BM556" t="s">
        <v>709</v>
      </c>
      <c r="BN556" t="s">
        <v>709</v>
      </c>
      <c r="BO556" t="s">
        <v>709</v>
      </c>
      <c r="BP556">
        <v>650</v>
      </c>
      <c r="BQ556">
        <v>2340</v>
      </c>
      <c r="BR556">
        <v>24</v>
      </c>
      <c r="BS556">
        <v>1681</v>
      </c>
      <c r="BT556" t="s">
        <v>709</v>
      </c>
      <c r="BU556" t="s">
        <v>709</v>
      </c>
      <c r="BV556" t="s">
        <v>745</v>
      </c>
      <c r="BW556" t="s">
        <v>709</v>
      </c>
      <c r="BX556" t="s">
        <v>745</v>
      </c>
      <c r="BY556" t="s">
        <v>745</v>
      </c>
      <c r="BZ556" t="s">
        <v>709</v>
      </c>
      <c r="CB556">
        <v>555</v>
      </c>
      <c r="CC556" t="b">
        <v>1</v>
      </c>
      <c r="CD556" t="s">
        <v>4244</v>
      </c>
      <c r="CE556" s="1482">
        <v>45880.735127314816</v>
      </c>
    </row>
    <row r="557" spans="1:83" ht="315" x14ac:dyDescent="0.25">
      <c r="A557">
        <v>2022</v>
      </c>
      <c r="B557" t="s">
        <v>4</v>
      </c>
      <c r="C557" t="s">
        <v>4245</v>
      </c>
      <c r="D557" t="s">
        <v>115</v>
      </c>
      <c r="E557" t="s">
        <v>4246</v>
      </c>
      <c r="F557" t="s">
        <v>738</v>
      </c>
      <c r="G557" t="s">
        <v>39</v>
      </c>
      <c r="H557" t="s">
        <v>1903</v>
      </c>
      <c r="I557">
        <v>44637</v>
      </c>
      <c r="J557">
        <v>44687</v>
      </c>
      <c r="K557">
        <v>44650</v>
      </c>
      <c r="L557">
        <v>37</v>
      </c>
      <c r="N557" t="s">
        <v>120</v>
      </c>
      <c r="O557">
        <v>44650</v>
      </c>
      <c r="P557" t="s">
        <v>739</v>
      </c>
      <c r="Q557" t="s">
        <v>115</v>
      </c>
      <c r="R557" t="s">
        <v>115</v>
      </c>
      <c r="S557" t="s">
        <v>709</v>
      </c>
      <c r="T557" t="s">
        <v>709</v>
      </c>
      <c r="U557" t="s">
        <v>709</v>
      </c>
      <c r="AM557" t="s">
        <v>709</v>
      </c>
      <c r="AY557" t="s">
        <v>29</v>
      </c>
      <c r="BA557" s="4" t="s">
        <v>4247</v>
      </c>
      <c r="BB557" t="s">
        <v>4248</v>
      </c>
      <c r="CB557">
        <v>554</v>
      </c>
      <c r="CC557" t="b">
        <v>1</v>
      </c>
      <c r="CD557" t="s">
        <v>4249</v>
      </c>
      <c r="CE557" s="1482">
        <v>45880.735138888886</v>
      </c>
    </row>
    <row r="558" spans="1:83" ht="225" x14ac:dyDescent="0.25">
      <c r="A558">
        <v>2022</v>
      </c>
      <c r="B558" t="s">
        <v>4</v>
      </c>
      <c r="C558" t="s">
        <v>4250</v>
      </c>
      <c r="D558" t="s">
        <v>115</v>
      </c>
      <c r="E558" t="s">
        <v>2280</v>
      </c>
      <c r="F558" t="s">
        <v>919</v>
      </c>
      <c r="G558" t="s">
        <v>23</v>
      </c>
      <c r="H558" t="s">
        <v>1681</v>
      </c>
      <c r="I558">
        <v>44621</v>
      </c>
      <c r="J558">
        <v>44651</v>
      </c>
      <c r="K558">
        <v>44651</v>
      </c>
      <c r="L558">
        <v>0</v>
      </c>
      <c r="N558" t="s">
        <v>120</v>
      </c>
      <c r="O558">
        <v>44651</v>
      </c>
      <c r="P558" t="s">
        <v>739</v>
      </c>
      <c r="Q558" t="s">
        <v>115</v>
      </c>
      <c r="R558" t="s">
        <v>115</v>
      </c>
      <c r="S558" t="s">
        <v>709</v>
      </c>
      <c r="T558" t="s">
        <v>709</v>
      </c>
      <c r="U558" t="s">
        <v>709</v>
      </c>
      <c r="AE558" t="s">
        <v>29</v>
      </c>
      <c r="AF558" t="s">
        <v>29</v>
      </c>
      <c r="AG558" t="s">
        <v>29</v>
      </c>
      <c r="AH558" t="s">
        <v>29</v>
      </c>
      <c r="AM558" t="s">
        <v>709</v>
      </c>
      <c r="AY558" t="s">
        <v>29</v>
      </c>
      <c r="BA558" s="4" t="s">
        <v>4251</v>
      </c>
      <c r="BB558" t="s">
        <v>709</v>
      </c>
      <c r="CB558">
        <v>556</v>
      </c>
      <c r="CC558" t="b">
        <v>1</v>
      </c>
      <c r="CD558" t="s">
        <v>4252</v>
      </c>
      <c r="CE558" s="1482">
        <v>45880.735138888886</v>
      </c>
    </row>
    <row r="559" spans="1:83" ht="345" x14ac:dyDescent="0.25">
      <c r="A559">
        <v>2022</v>
      </c>
      <c r="B559" t="s">
        <v>4</v>
      </c>
      <c r="C559" t="s">
        <v>4253</v>
      </c>
      <c r="D559" t="s">
        <v>115</v>
      </c>
      <c r="E559" t="s">
        <v>2187</v>
      </c>
      <c r="F559" t="s">
        <v>919</v>
      </c>
      <c r="G559" t="s">
        <v>39</v>
      </c>
      <c r="H559" t="s">
        <v>1681</v>
      </c>
      <c r="I559">
        <v>44631</v>
      </c>
      <c r="J559">
        <v>44673</v>
      </c>
      <c r="K559">
        <v>44651</v>
      </c>
      <c r="L559">
        <v>22</v>
      </c>
      <c r="N559" t="s">
        <v>120</v>
      </c>
      <c r="O559">
        <v>44651</v>
      </c>
      <c r="P559" t="s">
        <v>739</v>
      </c>
      <c r="Q559" t="s">
        <v>115</v>
      </c>
      <c r="R559" t="s">
        <v>115</v>
      </c>
      <c r="S559" t="s">
        <v>709</v>
      </c>
      <c r="T559" t="s">
        <v>709</v>
      </c>
      <c r="U559" t="s">
        <v>709</v>
      </c>
      <c r="AM559" t="s">
        <v>709</v>
      </c>
      <c r="AY559" t="s">
        <v>29</v>
      </c>
      <c r="BA559" s="4" t="s">
        <v>4254</v>
      </c>
      <c r="BB559" t="s">
        <v>709</v>
      </c>
      <c r="CB559">
        <v>557</v>
      </c>
      <c r="CC559" t="b">
        <v>1</v>
      </c>
      <c r="CD559" t="s">
        <v>4255</v>
      </c>
      <c r="CE559" s="1482">
        <v>45880.735150462962</v>
      </c>
    </row>
    <row r="560" spans="1:83" ht="300" x14ac:dyDescent="0.25">
      <c r="A560">
        <v>2022</v>
      </c>
      <c r="B560" t="s">
        <v>4</v>
      </c>
      <c r="C560" t="s">
        <v>4256</v>
      </c>
      <c r="D560" t="s">
        <v>115</v>
      </c>
      <c r="E560" t="s">
        <v>2217</v>
      </c>
      <c r="F560" t="s">
        <v>919</v>
      </c>
      <c r="G560" t="s">
        <v>39</v>
      </c>
      <c r="H560" t="s">
        <v>1681</v>
      </c>
      <c r="I560">
        <v>44631</v>
      </c>
      <c r="J560">
        <v>44687</v>
      </c>
      <c r="K560">
        <v>44651</v>
      </c>
      <c r="L560">
        <v>36</v>
      </c>
      <c r="N560" t="s">
        <v>120</v>
      </c>
      <c r="O560">
        <v>44651</v>
      </c>
      <c r="P560" t="s">
        <v>739</v>
      </c>
      <c r="Q560" t="s">
        <v>115</v>
      </c>
      <c r="R560" t="s">
        <v>115</v>
      </c>
      <c r="S560" t="s">
        <v>709</v>
      </c>
      <c r="T560" t="s">
        <v>709</v>
      </c>
      <c r="U560" t="s">
        <v>709</v>
      </c>
      <c r="AM560" t="s">
        <v>709</v>
      </c>
      <c r="AY560" t="s">
        <v>29</v>
      </c>
      <c r="BA560" s="4" t="s">
        <v>4257</v>
      </c>
      <c r="BB560" t="s">
        <v>709</v>
      </c>
      <c r="CB560">
        <v>558</v>
      </c>
      <c r="CC560" t="b">
        <v>1</v>
      </c>
      <c r="CD560" t="s">
        <v>4258</v>
      </c>
      <c r="CE560" s="1482">
        <v>45880.735150462962</v>
      </c>
    </row>
    <row r="561" spans="1:83" ht="300" x14ac:dyDescent="0.25">
      <c r="A561">
        <v>2022</v>
      </c>
      <c r="B561" t="s">
        <v>4</v>
      </c>
      <c r="C561" t="s">
        <v>4259</v>
      </c>
      <c r="D561" t="s">
        <v>115</v>
      </c>
      <c r="E561" t="s">
        <v>1154</v>
      </c>
      <c r="F561" t="s">
        <v>747</v>
      </c>
      <c r="G561" t="s">
        <v>35</v>
      </c>
      <c r="H561" t="s">
        <v>1903</v>
      </c>
      <c r="I561">
        <v>44631</v>
      </c>
      <c r="J561">
        <v>44694</v>
      </c>
      <c r="K561">
        <v>44652</v>
      </c>
      <c r="L561">
        <v>42</v>
      </c>
      <c r="N561" t="s">
        <v>120</v>
      </c>
      <c r="O561">
        <v>44652</v>
      </c>
      <c r="P561" t="s">
        <v>739</v>
      </c>
      <c r="Q561" t="s">
        <v>115</v>
      </c>
      <c r="R561" t="s">
        <v>115</v>
      </c>
      <c r="S561" t="s">
        <v>709</v>
      </c>
      <c r="T561" t="s">
        <v>709</v>
      </c>
      <c r="U561" t="s">
        <v>709</v>
      </c>
      <c r="AD561" t="s">
        <v>29</v>
      </c>
      <c r="AM561" t="s">
        <v>709</v>
      </c>
      <c r="AY561" t="s">
        <v>29</v>
      </c>
      <c r="BA561" s="4" t="s">
        <v>4260</v>
      </c>
      <c r="BB561" t="s">
        <v>709</v>
      </c>
      <c r="CB561">
        <v>559</v>
      </c>
      <c r="CC561" t="b">
        <v>1</v>
      </c>
      <c r="CD561" t="s">
        <v>4261</v>
      </c>
      <c r="CE561" s="1482">
        <v>45880.735162037039</v>
      </c>
    </row>
    <row r="562" spans="1:83" ht="285" x14ac:dyDescent="0.25">
      <c r="A562">
        <v>2022</v>
      </c>
      <c r="B562" t="s">
        <v>4</v>
      </c>
      <c r="C562" t="s">
        <v>4262</v>
      </c>
      <c r="D562" t="s">
        <v>4263</v>
      </c>
      <c r="E562" t="s">
        <v>183</v>
      </c>
      <c r="F562" t="s">
        <v>738</v>
      </c>
      <c r="G562" t="s">
        <v>39</v>
      </c>
      <c r="H562" t="s">
        <v>59</v>
      </c>
      <c r="I562">
        <v>44572</v>
      </c>
      <c r="J562">
        <v>44666</v>
      </c>
      <c r="K562">
        <v>44655</v>
      </c>
      <c r="L562">
        <v>11</v>
      </c>
      <c r="N562" t="s">
        <v>120</v>
      </c>
      <c r="O562">
        <v>44655</v>
      </c>
      <c r="P562" t="s">
        <v>739</v>
      </c>
      <c r="Q562">
        <v>175808.82199999999</v>
      </c>
      <c r="R562">
        <v>0.1</v>
      </c>
      <c r="S562" t="s">
        <v>709</v>
      </c>
      <c r="T562" t="s">
        <v>709</v>
      </c>
      <c r="U562" t="s">
        <v>709</v>
      </c>
      <c r="V562">
        <v>6202</v>
      </c>
      <c r="X562">
        <v>1685951.37</v>
      </c>
      <c r="Z562">
        <v>72136.850000000006</v>
      </c>
      <c r="AA562">
        <v>1758088.22</v>
      </c>
      <c r="AC562" t="s">
        <v>709</v>
      </c>
      <c r="AM562" t="s">
        <v>116</v>
      </c>
      <c r="AN562">
        <v>44747</v>
      </c>
      <c r="AO562">
        <v>11039773</v>
      </c>
      <c r="AP562">
        <v>1730143.56</v>
      </c>
      <c r="AR562">
        <v>72120.36</v>
      </c>
      <c r="AS562">
        <v>1802263.92</v>
      </c>
      <c r="AT562">
        <v>44175.7</v>
      </c>
      <c r="AU562">
        <v>4417.57</v>
      </c>
      <c r="AV562" t="s">
        <v>709</v>
      </c>
      <c r="AW562" t="s">
        <v>3964</v>
      </c>
      <c r="AX562">
        <v>4417.57</v>
      </c>
      <c r="AY562">
        <v>45008</v>
      </c>
      <c r="BA562" s="4" t="s">
        <v>4264</v>
      </c>
      <c r="BB562" t="s">
        <v>709</v>
      </c>
      <c r="BC562" t="s">
        <v>709</v>
      </c>
      <c r="BD562" t="s">
        <v>709</v>
      </c>
      <c r="BE562" t="s">
        <v>1314</v>
      </c>
      <c r="BF562" t="s">
        <v>709</v>
      </c>
      <c r="BG562" t="s">
        <v>709</v>
      </c>
      <c r="BI562" t="s">
        <v>709</v>
      </c>
      <c r="BJ562" t="s">
        <v>709</v>
      </c>
      <c r="BK562" t="s">
        <v>709</v>
      </c>
      <c r="BL562" t="s">
        <v>116</v>
      </c>
      <c r="BM562" t="s">
        <v>709</v>
      </c>
      <c r="BN562" t="s">
        <v>709</v>
      </c>
      <c r="BO562" t="s">
        <v>709</v>
      </c>
      <c r="BP562" t="s">
        <v>709</v>
      </c>
      <c r="BQ562">
        <v>1005</v>
      </c>
      <c r="BR562">
        <v>2855</v>
      </c>
      <c r="BS562">
        <v>2342</v>
      </c>
      <c r="BT562" t="s">
        <v>745</v>
      </c>
      <c r="BU562" t="s">
        <v>709</v>
      </c>
      <c r="BV562" t="s">
        <v>745</v>
      </c>
      <c r="BW562" t="s">
        <v>709</v>
      </c>
      <c r="BX562" t="s">
        <v>745</v>
      </c>
      <c r="BY562" t="s">
        <v>745</v>
      </c>
      <c r="BZ562" t="s">
        <v>709</v>
      </c>
      <c r="CB562">
        <v>561</v>
      </c>
      <c r="CC562" t="b">
        <v>1</v>
      </c>
      <c r="CD562" t="s">
        <v>4265</v>
      </c>
      <c r="CE562" s="1482">
        <v>45880.735173611109</v>
      </c>
    </row>
    <row r="563" spans="1:83" ht="225" x14ac:dyDescent="0.25">
      <c r="A563">
        <v>2022</v>
      </c>
      <c r="B563" t="s">
        <v>4</v>
      </c>
      <c r="C563" t="s">
        <v>4266</v>
      </c>
      <c r="D563" t="s">
        <v>4267</v>
      </c>
      <c r="E563" t="s">
        <v>111</v>
      </c>
      <c r="F563" t="s">
        <v>747</v>
      </c>
      <c r="G563" t="s">
        <v>35</v>
      </c>
      <c r="H563" t="s">
        <v>59</v>
      </c>
      <c r="I563">
        <v>44602</v>
      </c>
      <c r="J563">
        <v>44658</v>
      </c>
      <c r="K563">
        <v>44655</v>
      </c>
      <c r="L563">
        <v>3</v>
      </c>
      <c r="N563" t="s">
        <v>120</v>
      </c>
      <c r="O563">
        <v>44655</v>
      </c>
      <c r="P563" t="s">
        <v>739</v>
      </c>
      <c r="Q563">
        <v>22816.944</v>
      </c>
      <c r="R563">
        <v>0.1</v>
      </c>
      <c r="S563" t="s">
        <v>709</v>
      </c>
      <c r="T563" t="s">
        <v>709</v>
      </c>
      <c r="U563" t="s">
        <v>709</v>
      </c>
      <c r="V563">
        <v>1232</v>
      </c>
      <c r="X563">
        <v>190350.85</v>
      </c>
      <c r="Z563">
        <v>37818.589999999997</v>
      </c>
      <c r="AA563">
        <v>228169.44</v>
      </c>
      <c r="AC563" t="s">
        <v>709</v>
      </c>
      <c r="AD563" t="s">
        <v>709</v>
      </c>
      <c r="AM563" t="s">
        <v>116</v>
      </c>
      <c r="AN563">
        <v>44698</v>
      </c>
      <c r="AO563">
        <v>11040719</v>
      </c>
      <c r="AP563">
        <v>192980.77</v>
      </c>
      <c r="AR563">
        <v>37926.31</v>
      </c>
      <c r="AS563">
        <v>230907.08</v>
      </c>
      <c r="AT563">
        <v>2737.64</v>
      </c>
      <c r="AU563">
        <v>273.76400000000001</v>
      </c>
      <c r="AV563" t="s">
        <v>709</v>
      </c>
      <c r="AX563">
        <v>273.76400000000001</v>
      </c>
      <c r="AY563">
        <v>45008</v>
      </c>
      <c r="BA563" s="4" t="s">
        <v>4268</v>
      </c>
      <c r="BB563" t="s">
        <v>709</v>
      </c>
      <c r="BC563" t="s">
        <v>709</v>
      </c>
      <c r="BD563" t="s">
        <v>709</v>
      </c>
      <c r="BE563" t="s">
        <v>1114</v>
      </c>
      <c r="BF563" t="s">
        <v>4269</v>
      </c>
      <c r="BG563" t="s">
        <v>709</v>
      </c>
      <c r="BI563" t="s">
        <v>709</v>
      </c>
      <c r="BJ563" t="s">
        <v>709</v>
      </c>
      <c r="BK563" t="s">
        <v>709</v>
      </c>
      <c r="BL563" t="s">
        <v>116</v>
      </c>
      <c r="BM563" t="s">
        <v>709</v>
      </c>
      <c r="BN563" t="s">
        <v>709</v>
      </c>
      <c r="BO563" t="s">
        <v>709</v>
      </c>
      <c r="BP563" t="s">
        <v>709</v>
      </c>
      <c r="BQ563" t="s">
        <v>709</v>
      </c>
      <c r="BR563">
        <v>1210</v>
      </c>
      <c r="BS563">
        <v>22</v>
      </c>
      <c r="BT563" t="s">
        <v>745</v>
      </c>
      <c r="BU563" t="s">
        <v>709</v>
      </c>
      <c r="BV563" t="s">
        <v>745</v>
      </c>
      <c r="BW563" t="s">
        <v>709</v>
      </c>
      <c r="BX563" t="s">
        <v>745</v>
      </c>
      <c r="BY563" t="s">
        <v>745</v>
      </c>
      <c r="BZ563" t="s">
        <v>709</v>
      </c>
      <c r="CB563">
        <v>560</v>
      </c>
      <c r="CC563" t="b">
        <v>1</v>
      </c>
      <c r="CD563" t="s">
        <v>4270</v>
      </c>
      <c r="CE563" s="1482">
        <v>45880.735173611109</v>
      </c>
    </row>
    <row r="564" spans="1:83" ht="120" x14ac:dyDescent="0.25">
      <c r="A564">
        <v>2022</v>
      </c>
      <c r="B564" t="s">
        <v>731</v>
      </c>
      <c r="C564" t="s">
        <v>1244</v>
      </c>
      <c r="D564" t="s">
        <v>1245</v>
      </c>
      <c r="E564" t="s">
        <v>277</v>
      </c>
      <c r="F564" t="s">
        <v>752</v>
      </c>
      <c r="G564" t="s">
        <v>23</v>
      </c>
      <c r="H564" t="s">
        <v>59</v>
      </c>
      <c r="I564">
        <v>44571</v>
      </c>
      <c r="J564">
        <v>44662</v>
      </c>
      <c r="K564">
        <v>44656</v>
      </c>
      <c r="L564">
        <v>6</v>
      </c>
      <c r="N564" t="s">
        <v>120</v>
      </c>
      <c r="O564">
        <v>44656</v>
      </c>
      <c r="P564" t="s">
        <v>739</v>
      </c>
      <c r="Q564">
        <v>7334.3042999999998</v>
      </c>
      <c r="R564">
        <v>0.09</v>
      </c>
      <c r="S564" t="s">
        <v>709</v>
      </c>
      <c r="T564" t="s">
        <v>709</v>
      </c>
      <c r="U564" t="s">
        <v>709</v>
      </c>
      <c r="Z564">
        <v>81492.27</v>
      </c>
      <c r="AA564">
        <v>81492.27</v>
      </c>
      <c r="AC564" t="s">
        <v>709</v>
      </c>
      <c r="AM564" t="s">
        <v>116</v>
      </c>
      <c r="AN564" t="s">
        <v>709</v>
      </c>
      <c r="AO564" t="s">
        <v>115</v>
      </c>
      <c r="AS564">
        <v>0</v>
      </c>
      <c r="AT564">
        <v>0</v>
      </c>
      <c r="AU564">
        <v>0</v>
      </c>
      <c r="AY564" t="s">
        <v>709</v>
      </c>
      <c r="AZ564">
        <v>24</v>
      </c>
      <c r="BA564" t="s">
        <v>1246</v>
      </c>
      <c r="BB564" s="4" t="s">
        <v>1247</v>
      </c>
      <c r="BC564" t="s">
        <v>116</v>
      </c>
      <c r="BD564" t="s">
        <v>709</v>
      </c>
      <c r="BE564" t="s">
        <v>709</v>
      </c>
      <c r="BF564" t="s">
        <v>709</v>
      </c>
      <c r="BG564" t="s">
        <v>1248</v>
      </c>
      <c r="BI564" t="s">
        <v>709</v>
      </c>
      <c r="BJ564" t="s">
        <v>709</v>
      </c>
      <c r="BK564" t="s">
        <v>709</v>
      </c>
      <c r="BL564" t="s">
        <v>709</v>
      </c>
      <c r="BM564" t="s">
        <v>709</v>
      </c>
      <c r="BN564" t="s">
        <v>709</v>
      </c>
      <c r="BO564" t="s">
        <v>709</v>
      </c>
      <c r="BP564" t="s">
        <v>709</v>
      </c>
      <c r="BQ564" t="s">
        <v>709</v>
      </c>
      <c r="BR564" t="s">
        <v>709</v>
      </c>
      <c r="BS564" t="s">
        <v>709</v>
      </c>
      <c r="BT564" t="s">
        <v>745</v>
      </c>
      <c r="BU564" t="s">
        <v>709</v>
      </c>
      <c r="BV564">
        <v>1</v>
      </c>
      <c r="BW564" t="s">
        <v>709</v>
      </c>
      <c r="BX564" t="s">
        <v>745</v>
      </c>
      <c r="BY564" t="s">
        <v>745</v>
      </c>
      <c r="BZ564" t="s">
        <v>709</v>
      </c>
      <c r="CA564" t="s">
        <v>731</v>
      </c>
      <c r="CB564">
        <v>562</v>
      </c>
      <c r="CC564" t="b">
        <v>1</v>
      </c>
      <c r="CD564" t="s">
        <v>4271</v>
      </c>
      <c r="CE564" s="1482">
        <v>45880.735173611109</v>
      </c>
    </row>
    <row r="565" spans="1:83" x14ac:dyDescent="0.25">
      <c r="A565">
        <v>2021</v>
      </c>
      <c r="B565" t="s">
        <v>1073</v>
      </c>
      <c r="C565" t="s">
        <v>4272</v>
      </c>
      <c r="D565" t="s">
        <v>4273</v>
      </c>
      <c r="E565" t="s">
        <v>4274</v>
      </c>
      <c r="F565" t="s">
        <v>738</v>
      </c>
      <c r="G565" t="s">
        <v>34</v>
      </c>
      <c r="H565" t="s">
        <v>59</v>
      </c>
      <c r="I565">
        <v>44545</v>
      </c>
      <c r="J565">
        <v>44673</v>
      </c>
      <c r="K565">
        <v>44657</v>
      </c>
      <c r="L565">
        <v>16</v>
      </c>
      <c r="N565" t="s">
        <v>120</v>
      </c>
      <c r="O565">
        <v>44657</v>
      </c>
      <c r="P565" t="s">
        <v>739</v>
      </c>
      <c r="Q565">
        <v>2030.5208</v>
      </c>
      <c r="R565">
        <v>7.0000000000000007E-2</v>
      </c>
      <c r="S565" t="s">
        <v>709</v>
      </c>
      <c r="T565" t="s">
        <v>709</v>
      </c>
      <c r="U565" t="s">
        <v>709</v>
      </c>
      <c r="X565">
        <v>29007.439999999999</v>
      </c>
      <c r="AA565">
        <v>29007.439999999999</v>
      </c>
      <c r="AC565" t="s">
        <v>116</v>
      </c>
      <c r="AD565" t="s">
        <v>29</v>
      </c>
      <c r="AM565" t="s">
        <v>116</v>
      </c>
      <c r="AN565">
        <v>44691</v>
      </c>
      <c r="AO565">
        <v>11040904</v>
      </c>
      <c r="AP565">
        <v>28749</v>
      </c>
      <c r="AR565">
        <v>0</v>
      </c>
      <c r="AS565">
        <v>28749</v>
      </c>
      <c r="AT565">
        <v>-258.44</v>
      </c>
      <c r="AU565">
        <v>-18.090800000000002</v>
      </c>
      <c r="AV565" t="s">
        <v>709</v>
      </c>
      <c r="AX565">
        <v>-18.090800000000002</v>
      </c>
      <c r="AY565">
        <v>45008</v>
      </c>
      <c r="BA565" t="s">
        <v>4101</v>
      </c>
      <c r="BB565" t="s">
        <v>877</v>
      </c>
      <c r="BC565" t="s">
        <v>116</v>
      </c>
      <c r="BD565" t="s">
        <v>709</v>
      </c>
      <c r="BE565" t="s">
        <v>709</v>
      </c>
      <c r="BF565" t="s">
        <v>2965</v>
      </c>
      <c r="BG565" t="s">
        <v>4275</v>
      </c>
      <c r="BZ565" t="s">
        <v>709</v>
      </c>
      <c r="CA565" t="s">
        <v>1053</v>
      </c>
      <c r="CB565">
        <v>565</v>
      </c>
      <c r="CC565" t="b">
        <v>1</v>
      </c>
      <c r="CD565" t="s">
        <v>4276</v>
      </c>
      <c r="CE565" s="1482">
        <v>45880.735185185185</v>
      </c>
    </row>
    <row r="566" spans="1:83" ht="90" x14ac:dyDescent="0.25">
      <c r="A566">
        <v>2021</v>
      </c>
      <c r="B566" t="s">
        <v>1073</v>
      </c>
      <c r="C566" t="s">
        <v>4277</v>
      </c>
      <c r="D566" t="s">
        <v>4278</v>
      </c>
      <c r="E566" t="s">
        <v>4274</v>
      </c>
      <c r="F566" t="s">
        <v>738</v>
      </c>
      <c r="G566" t="s">
        <v>34</v>
      </c>
      <c r="H566" t="s">
        <v>59</v>
      </c>
      <c r="I566">
        <v>44545</v>
      </c>
      <c r="J566">
        <v>44673</v>
      </c>
      <c r="K566">
        <v>44657</v>
      </c>
      <c r="L566">
        <v>16</v>
      </c>
      <c r="N566" t="s">
        <v>120</v>
      </c>
      <c r="O566">
        <v>44657</v>
      </c>
      <c r="P566" t="s">
        <v>739</v>
      </c>
      <c r="Q566">
        <v>9000.3137000000006</v>
      </c>
      <c r="R566">
        <v>7.0000000000000007E-2</v>
      </c>
      <c r="S566" t="s">
        <v>709</v>
      </c>
      <c r="T566" t="s">
        <v>709</v>
      </c>
      <c r="U566" t="s">
        <v>709</v>
      </c>
      <c r="X566">
        <v>128575.91</v>
      </c>
      <c r="AA566">
        <v>128575.91</v>
      </c>
      <c r="AC566" t="s">
        <v>116</v>
      </c>
      <c r="AD566" t="s">
        <v>29</v>
      </c>
      <c r="AM566" t="s">
        <v>116</v>
      </c>
      <c r="AN566">
        <v>44691</v>
      </c>
      <c r="AO566">
        <v>11040840</v>
      </c>
      <c r="AP566">
        <v>136414.19</v>
      </c>
      <c r="AR566">
        <v>0</v>
      </c>
      <c r="AS566">
        <v>136414.19</v>
      </c>
      <c r="AT566">
        <v>7838.28</v>
      </c>
      <c r="AU566">
        <v>548.67960000000005</v>
      </c>
      <c r="AV566" t="s">
        <v>709</v>
      </c>
      <c r="AW566" t="s">
        <v>3403</v>
      </c>
      <c r="AX566">
        <v>548.67960000000005</v>
      </c>
      <c r="AY566">
        <v>45008</v>
      </c>
      <c r="BA566" t="s">
        <v>4279</v>
      </c>
      <c r="BB566" s="4" t="s">
        <v>4280</v>
      </c>
      <c r="BC566" t="s">
        <v>116</v>
      </c>
      <c r="BD566" t="s">
        <v>709</v>
      </c>
      <c r="BE566" t="s">
        <v>709</v>
      </c>
      <c r="BF566" t="s">
        <v>2965</v>
      </c>
      <c r="BG566" t="s">
        <v>4275</v>
      </c>
      <c r="BZ566" t="s">
        <v>709</v>
      </c>
      <c r="CA566" t="s">
        <v>1053</v>
      </c>
      <c r="CB566">
        <v>564</v>
      </c>
      <c r="CC566" t="b">
        <v>1</v>
      </c>
      <c r="CD566" t="s">
        <v>4281</v>
      </c>
      <c r="CE566" s="1482">
        <v>45880.735196759262</v>
      </c>
    </row>
    <row r="567" spans="1:83" x14ac:dyDescent="0.25">
      <c r="A567">
        <v>2022</v>
      </c>
      <c r="B567" t="s">
        <v>2</v>
      </c>
      <c r="C567" t="s">
        <v>4282</v>
      </c>
      <c r="D567" t="s">
        <v>4283</v>
      </c>
      <c r="E567" t="s">
        <v>2607</v>
      </c>
      <c r="F567" t="s">
        <v>752</v>
      </c>
      <c r="G567" t="s">
        <v>34</v>
      </c>
      <c r="H567" t="s">
        <v>3661</v>
      </c>
      <c r="I567">
        <v>44571</v>
      </c>
      <c r="J567" t="s">
        <v>3662</v>
      </c>
      <c r="K567">
        <v>44657</v>
      </c>
      <c r="L567">
        <v>86</v>
      </c>
      <c r="N567" t="s">
        <v>120</v>
      </c>
      <c r="O567">
        <v>44682</v>
      </c>
      <c r="P567" t="s">
        <v>739</v>
      </c>
      <c r="Q567">
        <v>2922.5</v>
      </c>
      <c r="R567" t="s">
        <v>1922</v>
      </c>
      <c r="S567" t="s">
        <v>709</v>
      </c>
      <c r="T567" t="s">
        <v>709</v>
      </c>
      <c r="U567">
        <v>2922.5</v>
      </c>
      <c r="AB567" t="s">
        <v>29</v>
      </c>
      <c r="AC567" t="s">
        <v>29</v>
      </c>
      <c r="AD567" t="s">
        <v>29</v>
      </c>
      <c r="AM567" t="s">
        <v>709</v>
      </c>
      <c r="AY567" t="s">
        <v>29</v>
      </c>
      <c r="BA567" t="s">
        <v>4284</v>
      </c>
      <c r="BB567" t="s">
        <v>4285</v>
      </c>
      <c r="BC567" t="s">
        <v>116</v>
      </c>
      <c r="BD567" t="s">
        <v>882</v>
      </c>
      <c r="BE567" t="s">
        <v>709</v>
      </c>
      <c r="BF567" t="s">
        <v>709</v>
      </c>
      <c r="BG567" t="s">
        <v>709</v>
      </c>
      <c r="BI567" t="s">
        <v>709</v>
      </c>
      <c r="BJ567" t="s">
        <v>709</v>
      </c>
      <c r="BK567" t="s">
        <v>709</v>
      </c>
      <c r="BL567" t="s">
        <v>709</v>
      </c>
      <c r="BM567" t="s">
        <v>709</v>
      </c>
      <c r="BN567" t="s">
        <v>709</v>
      </c>
      <c r="BO567" t="s">
        <v>709</v>
      </c>
      <c r="BP567" t="s">
        <v>709</v>
      </c>
      <c r="BQ567" t="s">
        <v>709</v>
      </c>
      <c r="BR567" t="s">
        <v>709</v>
      </c>
      <c r="BS567" t="s">
        <v>709</v>
      </c>
      <c r="BT567" t="s">
        <v>745</v>
      </c>
      <c r="BU567" t="s">
        <v>709</v>
      </c>
      <c r="BV567">
        <v>1</v>
      </c>
      <c r="BW567" t="s">
        <v>709</v>
      </c>
      <c r="BX567" t="s">
        <v>745</v>
      </c>
      <c r="BY567" t="s">
        <v>745</v>
      </c>
      <c r="BZ567" t="s">
        <v>709</v>
      </c>
      <c r="CA567" t="s">
        <v>2</v>
      </c>
      <c r="CB567">
        <v>567</v>
      </c>
      <c r="CC567" t="b">
        <v>1</v>
      </c>
      <c r="CD567" t="s">
        <v>4286</v>
      </c>
      <c r="CE567" s="1482">
        <v>45880.735196759262</v>
      </c>
    </row>
    <row r="568" spans="1:83" x14ac:dyDescent="0.25">
      <c r="A568">
        <v>2022</v>
      </c>
      <c r="B568" t="s">
        <v>2994</v>
      </c>
      <c r="C568" t="s">
        <v>4287</v>
      </c>
      <c r="D568" t="s">
        <v>4288</v>
      </c>
      <c r="E568" t="s">
        <v>1763</v>
      </c>
      <c r="F568" t="s">
        <v>752</v>
      </c>
      <c r="G568" t="s">
        <v>35</v>
      </c>
      <c r="H568" t="s">
        <v>3661</v>
      </c>
      <c r="I568">
        <v>44571</v>
      </c>
      <c r="J568" t="s">
        <v>3662</v>
      </c>
      <c r="K568">
        <v>44657</v>
      </c>
      <c r="L568">
        <v>86</v>
      </c>
      <c r="N568" t="s">
        <v>120</v>
      </c>
      <c r="O568">
        <v>44682</v>
      </c>
      <c r="P568" t="s">
        <v>739</v>
      </c>
      <c r="Q568">
        <v>3367.5</v>
      </c>
      <c r="R568" t="s">
        <v>1922</v>
      </c>
      <c r="S568" t="s">
        <v>709</v>
      </c>
      <c r="T568" t="s">
        <v>709</v>
      </c>
      <c r="U568">
        <v>3367.5</v>
      </c>
      <c r="AB568" t="s">
        <v>29</v>
      </c>
      <c r="AC568" t="s">
        <v>29</v>
      </c>
      <c r="AD568" t="s">
        <v>29</v>
      </c>
      <c r="AM568" t="s">
        <v>709</v>
      </c>
      <c r="AY568" t="s">
        <v>29</v>
      </c>
      <c r="BA568" t="s">
        <v>4289</v>
      </c>
      <c r="BB568" t="s">
        <v>4290</v>
      </c>
      <c r="BC568" t="s">
        <v>709</v>
      </c>
      <c r="BD568" t="s">
        <v>882</v>
      </c>
      <c r="BE568" t="s">
        <v>709</v>
      </c>
      <c r="BF568" t="s">
        <v>709</v>
      </c>
      <c r="BG568" t="s">
        <v>709</v>
      </c>
      <c r="BI568" t="s">
        <v>709</v>
      </c>
      <c r="BJ568" t="s">
        <v>709</v>
      </c>
      <c r="BK568" t="s">
        <v>709</v>
      </c>
      <c r="BL568" t="s">
        <v>709</v>
      </c>
      <c r="BM568" t="s">
        <v>709</v>
      </c>
      <c r="BN568" t="s">
        <v>709</v>
      </c>
      <c r="BO568" t="s">
        <v>709</v>
      </c>
      <c r="BP568" t="s">
        <v>709</v>
      </c>
      <c r="BQ568" t="s">
        <v>709</v>
      </c>
      <c r="BR568" t="s">
        <v>709</v>
      </c>
      <c r="BS568" t="s">
        <v>709</v>
      </c>
      <c r="BT568" t="s">
        <v>745</v>
      </c>
      <c r="BU568" t="s">
        <v>709</v>
      </c>
      <c r="BV568">
        <v>1</v>
      </c>
      <c r="BW568" t="s">
        <v>709</v>
      </c>
      <c r="BX568" t="s">
        <v>745</v>
      </c>
      <c r="BY568" t="s">
        <v>745</v>
      </c>
      <c r="BZ568" t="s">
        <v>709</v>
      </c>
      <c r="CA568" t="s">
        <v>1146</v>
      </c>
      <c r="CB568">
        <v>568</v>
      </c>
      <c r="CC568" t="b">
        <v>1</v>
      </c>
      <c r="CD568" t="s">
        <v>4291</v>
      </c>
      <c r="CE568" s="1482">
        <v>45880.735208333332</v>
      </c>
    </row>
    <row r="569" spans="1:83" x14ac:dyDescent="0.25">
      <c r="A569">
        <v>2022</v>
      </c>
      <c r="B569" t="s">
        <v>731</v>
      </c>
      <c r="C569" t="s">
        <v>4282</v>
      </c>
      <c r="D569" t="s">
        <v>4283</v>
      </c>
      <c r="E569" t="s">
        <v>2607</v>
      </c>
      <c r="F569" t="s">
        <v>752</v>
      </c>
      <c r="G569" t="s">
        <v>34</v>
      </c>
      <c r="H569" t="s">
        <v>59</v>
      </c>
      <c r="I569">
        <v>44571</v>
      </c>
      <c r="J569">
        <v>44662</v>
      </c>
      <c r="K569">
        <v>44657</v>
      </c>
      <c r="L569">
        <v>5</v>
      </c>
      <c r="N569" t="s">
        <v>120</v>
      </c>
      <c r="O569">
        <v>44657</v>
      </c>
      <c r="P569" t="s">
        <v>739</v>
      </c>
      <c r="Q569">
        <v>7823.7656999999999</v>
      </c>
      <c r="R569">
        <v>0.09</v>
      </c>
      <c r="S569" t="s">
        <v>709</v>
      </c>
      <c r="T569" t="s">
        <v>709</v>
      </c>
      <c r="U569" t="s">
        <v>709</v>
      </c>
      <c r="Z569">
        <v>86930.73</v>
      </c>
      <c r="AA569">
        <v>86930.73</v>
      </c>
      <c r="AC569" t="s">
        <v>709</v>
      </c>
      <c r="AD569" t="s">
        <v>29</v>
      </c>
      <c r="AM569" t="s">
        <v>116</v>
      </c>
      <c r="AN569">
        <v>44721</v>
      </c>
      <c r="AO569">
        <v>11042037</v>
      </c>
      <c r="AP569">
        <v>0</v>
      </c>
      <c r="AQ569">
        <v>87019.17</v>
      </c>
      <c r="AR569">
        <v>87019.17</v>
      </c>
      <c r="AS569">
        <v>87019.17</v>
      </c>
      <c r="AT569">
        <v>88.44</v>
      </c>
      <c r="AU569">
        <v>7.9596</v>
      </c>
      <c r="AV569" t="s">
        <v>709</v>
      </c>
      <c r="AX569">
        <v>7.9596</v>
      </c>
      <c r="AY569">
        <v>45008</v>
      </c>
      <c r="BA569" t="s">
        <v>4284</v>
      </c>
      <c r="BB569" t="s">
        <v>4285</v>
      </c>
      <c r="BC569" t="s">
        <v>116</v>
      </c>
      <c r="BD569" t="s">
        <v>882</v>
      </c>
      <c r="BE569" t="s">
        <v>709</v>
      </c>
      <c r="BF569" t="s">
        <v>709</v>
      </c>
      <c r="BG569" t="s">
        <v>709</v>
      </c>
      <c r="BI569" t="s">
        <v>709</v>
      </c>
      <c r="BJ569" t="s">
        <v>709</v>
      </c>
      <c r="BK569" t="s">
        <v>709</v>
      </c>
      <c r="BL569" t="s">
        <v>709</v>
      </c>
      <c r="BM569" t="s">
        <v>709</v>
      </c>
      <c r="BN569" t="s">
        <v>709</v>
      </c>
      <c r="BO569" t="s">
        <v>709</v>
      </c>
      <c r="BP569" t="s">
        <v>709</v>
      </c>
      <c r="BQ569" t="s">
        <v>709</v>
      </c>
      <c r="BR569" t="s">
        <v>709</v>
      </c>
      <c r="BS569" t="s">
        <v>709</v>
      </c>
      <c r="BT569" t="s">
        <v>745</v>
      </c>
      <c r="BU569" t="s">
        <v>709</v>
      </c>
      <c r="BV569">
        <v>1</v>
      </c>
      <c r="BW569" t="s">
        <v>709</v>
      </c>
      <c r="BX569" t="s">
        <v>745</v>
      </c>
      <c r="BY569" t="s">
        <v>745</v>
      </c>
      <c r="BZ569" t="s">
        <v>709</v>
      </c>
      <c r="CA569" t="s">
        <v>731</v>
      </c>
      <c r="CB569">
        <v>563</v>
      </c>
      <c r="CC569" t="b">
        <v>1</v>
      </c>
      <c r="CD569" t="s">
        <v>4286</v>
      </c>
      <c r="CE569" s="1482">
        <v>45880.735219907408</v>
      </c>
    </row>
    <row r="570" spans="1:83" ht="240" x14ac:dyDescent="0.25">
      <c r="A570">
        <v>2022</v>
      </c>
      <c r="B570" t="s">
        <v>2994</v>
      </c>
      <c r="C570" t="s">
        <v>4287</v>
      </c>
      <c r="D570" t="s">
        <v>4288</v>
      </c>
      <c r="E570" t="s">
        <v>1763</v>
      </c>
      <c r="F570" t="s">
        <v>752</v>
      </c>
      <c r="G570" t="s">
        <v>35</v>
      </c>
      <c r="H570" t="s">
        <v>59</v>
      </c>
      <c r="I570">
        <v>44571</v>
      </c>
      <c r="J570">
        <v>44662</v>
      </c>
      <c r="K570">
        <v>44657</v>
      </c>
      <c r="L570">
        <v>5</v>
      </c>
      <c r="N570" t="s">
        <v>120</v>
      </c>
      <c r="O570">
        <v>44657</v>
      </c>
      <c r="P570" t="s">
        <v>739</v>
      </c>
      <c r="Q570">
        <v>11013.0723</v>
      </c>
      <c r="R570">
        <v>0.09</v>
      </c>
      <c r="S570" t="s">
        <v>709</v>
      </c>
      <c r="T570" t="s">
        <v>709</v>
      </c>
      <c r="U570" t="s">
        <v>709</v>
      </c>
      <c r="Z570">
        <v>122367.47</v>
      </c>
      <c r="AA570">
        <v>122367.47</v>
      </c>
      <c r="AC570" t="s">
        <v>709</v>
      </c>
      <c r="AD570" t="s">
        <v>116</v>
      </c>
      <c r="AM570" t="s">
        <v>116</v>
      </c>
      <c r="AN570">
        <v>44594</v>
      </c>
      <c r="AO570">
        <v>11042519</v>
      </c>
      <c r="AP570">
        <v>0</v>
      </c>
      <c r="AR570">
        <v>121811.27</v>
      </c>
      <c r="AS570">
        <v>121811.27</v>
      </c>
      <c r="AT570">
        <v>-556.20000000000005</v>
      </c>
      <c r="AU570">
        <v>-50.058</v>
      </c>
      <c r="AV570">
        <v>4120</v>
      </c>
      <c r="AW570" s="4" t="s">
        <v>4292</v>
      </c>
      <c r="AX570">
        <v>0</v>
      </c>
      <c r="AY570">
        <v>45008</v>
      </c>
      <c r="BA570" t="s">
        <v>4289</v>
      </c>
      <c r="BB570" t="s">
        <v>4290</v>
      </c>
      <c r="BC570" t="s">
        <v>709</v>
      </c>
      <c r="BD570" t="s">
        <v>882</v>
      </c>
      <c r="BE570" t="s">
        <v>1766</v>
      </c>
      <c r="BF570" t="s">
        <v>709</v>
      </c>
      <c r="BG570" t="s">
        <v>709</v>
      </c>
      <c r="BI570" t="s">
        <v>709</v>
      </c>
      <c r="BJ570" t="s">
        <v>709</v>
      </c>
      <c r="BK570" t="s">
        <v>709</v>
      </c>
      <c r="BL570" t="s">
        <v>709</v>
      </c>
      <c r="BM570" t="s">
        <v>709</v>
      </c>
      <c r="BN570" t="s">
        <v>709</v>
      </c>
      <c r="BO570" t="s">
        <v>709</v>
      </c>
      <c r="BP570" t="s">
        <v>709</v>
      </c>
      <c r="BQ570" t="s">
        <v>709</v>
      </c>
      <c r="BR570" t="s">
        <v>709</v>
      </c>
      <c r="BS570" t="s">
        <v>709</v>
      </c>
      <c r="BT570" t="s">
        <v>745</v>
      </c>
      <c r="BU570" t="s">
        <v>709</v>
      </c>
      <c r="BV570">
        <v>1</v>
      </c>
      <c r="BW570" t="s">
        <v>709</v>
      </c>
      <c r="BX570" t="s">
        <v>745</v>
      </c>
      <c r="BY570" t="s">
        <v>745</v>
      </c>
      <c r="BZ570" t="s">
        <v>709</v>
      </c>
      <c r="CA570" t="s">
        <v>1146</v>
      </c>
      <c r="CB570">
        <v>566</v>
      </c>
      <c r="CC570" t="b">
        <v>1</v>
      </c>
      <c r="CD570" t="s">
        <v>4291</v>
      </c>
      <c r="CE570" s="1482">
        <v>45880.735219907408</v>
      </c>
    </row>
    <row r="571" spans="1:83" ht="390" x14ac:dyDescent="0.25">
      <c r="A571">
        <v>2022</v>
      </c>
      <c r="B571" t="s">
        <v>4</v>
      </c>
      <c r="C571" t="s">
        <v>4293</v>
      </c>
      <c r="D571" t="s">
        <v>115</v>
      </c>
      <c r="E571" t="s">
        <v>1200</v>
      </c>
      <c r="F571" t="s">
        <v>738</v>
      </c>
      <c r="G571" t="s">
        <v>23</v>
      </c>
      <c r="H571" t="s">
        <v>1903</v>
      </c>
      <c r="I571">
        <v>44631</v>
      </c>
      <c r="J571">
        <v>44687</v>
      </c>
      <c r="K571">
        <v>44658</v>
      </c>
      <c r="L571">
        <v>29</v>
      </c>
      <c r="N571" t="s">
        <v>120</v>
      </c>
      <c r="O571">
        <v>44658</v>
      </c>
      <c r="P571" t="s">
        <v>739</v>
      </c>
      <c r="Q571" t="s">
        <v>115</v>
      </c>
      <c r="R571" t="s">
        <v>115</v>
      </c>
      <c r="S571" t="s">
        <v>709</v>
      </c>
      <c r="T571" t="s">
        <v>709</v>
      </c>
      <c r="U571" t="s">
        <v>709</v>
      </c>
      <c r="AM571" t="s">
        <v>709</v>
      </c>
      <c r="AY571" t="s">
        <v>29</v>
      </c>
      <c r="BA571" s="4" t="s">
        <v>4294</v>
      </c>
      <c r="BB571" t="s">
        <v>4295</v>
      </c>
      <c r="CB571">
        <v>570</v>
      </c>
      <c r="CC571" t="b">
        <v>1</v>
      </c>
      <c r="CD571" t="s">
        <v>4296</v>
      </c>
      <c r="CE571" s="1482">
        <v>45880.735231481478</v>
      </c>
    </row>
    <row r="572" spans="1:83" ht="409.5" x14ac:dyDescent="0.25">
      <c r="A572">
        <v>2022</v>
      </c>
      <c r="B572" t="s">
        <v>4</v>
      </c>
      <c r="C572" t="s">
        <v>4297</v>
      </c>
      <c r="D572" t="s">
        <v>115</v>
      </c>
      <c r="E572" t="s">
        <v>4246</v>
      </c>
      <c r="F572" t="s">
        <v>738</v>
      </c>
      <c r="G572" t="s">
        <v>39</v>
      </c>
      <c r="H572" t="s">
        <v>1681</v>
      </c>
      <c r="I572">
        <v>44628</v>
      </c>
      <c r="J572">
        <v>44677</v>
      </c>
      <c r="K572">
        <v>44658</v>
      </c>
      <c r="L572">
        <v>19</v>
      </c>
      <c r="N572" t="s">
        <v>120</v>
      </c>
      <c r="O572">
        <v>44658</v>
      </c>
      <c r="P572" t="s">
        <v>739</v>
      </c>
      <c r="Q572" t="s">
        <v>115</v>
      </c>
      <c r="R572" t="s">
        <v>115</v>
      </c>
      <c r="S572" t="s">
        <v>709</v>
      </c>
      <c r="T572" t="s">
        <v>709</v>
      </c>
      <c r="U572" t="s">
        <v>709</v>
      </c>
      <c r="AM572" t="s">
        <v>709</v>
      </c>
      <c r="AY572" t="s">
        <v>29</v>
      </c>
      <c r="BA572" s="4" t="s">
        <v>4298</v>
      </c>
      <c r="BB572" t="s">
        <v>877</v>
      </c>
      <c r="CB572">
        <v>569</v>
      </c>
      <c r="CC572" t="b">
        <v>1</v>
      </c>
      <c r="CD572" t="s">
        <v>4299</v>
      </c>
      <c r="CE572" s="1482">
        <v>45880.735231481478</v>
      </c>
    </row>
    <row r="573" spans="1:83" x14ac:dyDescent="0.25">
      <c r="A573">
        <v>2022</v>
      </c>
      <c r="B573" t="s">
        <v>2994</v>
      </c>
      <c r="C573" t="s">
        <v>4300</v>
      </c>
      <c r="D573" t="s">
        <v>4301</v>
      </c>
      <c r="E573" t="s">
        <v>1255</v>
      </c>
      <c r="F573" t="s">
        <v>752</v>
      </c>
      <c r="G573" t="s">
        <v>23</v>
      </c>
      <c r="H573" t="s">
        <v>3661</v>
      </c>
      <c r="I573">
        <v>44571</v>
      </c>
      <c r="J573" t="s">
        <v>3662</v>
      </c>
      <c r="K573">
        <v>44659</v>
      </c>
      <c r="L573">
        <v>88</v>
      </c>
      <c r="N573" t="s">
        <v>120</v>
      </c>
      <c r="O573">
        <v>44682</v>
      </c>
      <c r="P573" t="s">
        <v>739</v>
      </c>
      <c r="Q573">
        <v>2012.5</v>
      </c>
      <c r="R573" t="s">
        <v>1922</v>
      </c>
      <c r="S573" t="s">
        <v>709</v>
      </c>
      <c r="T573" t="s">
        <v>709</v>
      </c>
      <c r="U573">
        <v>2012.5</v>
      </c>
      <c r="AB573" t="s">
        <v>29</v>
      </c>
      <c r="AC573" t="s">
        <v>29</v>
      </c>
      <c r="AD573" t="s">
        <v>29</v>
      </c>
      <c r="AM573" t="s">
        <v>709</v>
      </c>
      <c r="AY573" t="s">
        <v>29</v>
      </c>
      <c r="BA573" t="s">
        <v>4302</v>
      </c>
      <c r="BB573" t="s">
        <v>4303</v>
      </c>
      <c r="BC573" t="s">
        <v>116</v>
      </c>
      <c r="BD573" t="s">
        <v>882</v>
      </c>
      <c r="BE573" t="s">
        <v>1258</v>
      </c>
      <c r="BF573" t="s">
        <v>709</v>
      </c>
      <c r="BG573" t="s">
        <v>709</v>
      </c>
      <c r="BI573" t="s">
        <v>709</v>
      </c>
      <c r="BJ573" t="s">
        <v>709</v>
      </c>
      <c r="BK573" t="s">
        <v>709</v>
      </c>
      <c r="BL573" t="s">
        <v>709</v>
      </c>
      <c r="BM573" t="s">
        <v>709</v>
      </c>
      <c r="BN573" t="s">
        <v>709</v>
      </c>
      <c r="BO573" t="s">
        <v>709</v>
      </c>
      <c r="BP573" t="s">
        <v>709</v>
      </c>
      <c r="BQ573" t="s">
        <v>709</v>
      </c>
      <c r="BR573" t="s">
        <v>709</v>
      </c>
      <c r="BS573" t="s">
        <v>709</v>
      </c>
      <c r="BT573" t="s">
        <v>745</v>
      </c>
      <c r="BU573" t="s">
        <v>709</v>
      </c>
      <c r="BV573">
        <v>2</v>
      </c>
      <c r="BW573" t="s">
        <v>709</v>
      </c>
      <c r="BX573" t="s">
        <v>745</v>
      </c>
      <c r="BY573" t="s">
        <v>745</v>
      </c>
      <c r="BZ573" t="s">
        <v>709</v>
      </c>
      <c r="CA573" t="s">
        <v>4304</v>
      </c>
      <c r="CB573">
        <v>573</v>
      </c>
      <c r="CC573" t="b">
        <v>1</v>
      </c>
      <c r="CD573" t="s">
        <v>4305</v>
      </c>
      <c r="CE573" s="1482">
        <v>45880.735243055555</v>
      </c>
    </row>
    <row r="574" spans="1:83" x14ac:dyDescent="0.25">
      <c r="A574">
        <v>2022</v>
      </c>
      <c r="B574" t="s">
        <v>4</v>
      </c>
      <c r="C574" t="s">
        <v>3544</v>
      </c>
      <c r="D574" t="s">
        <v>3545</v>
      </c>
      <c r="E574" t="s">
        <v>108</v>
      </c>
      <c r="F574" t="s">
        <v>738</v>
      </c>
      <c r="G574" t="s">
        <v>39</v>
      </c>
      <c r="H574" t="s">
        <v>4001</v>
      </c>
      <c r="I574">
        <v>44483</v>
      </c>
      <c r="J574" t="s">
        <v>2052</v>
      </c>
      <c r="K574">
        <v>44659</v>
      </c>
      <c r="L574">
        <v>176</v>
      </c>
      <c r="M574" t="s">
        <v>2685</v>
      </c>
      <c r="N574" t="s">
        <v>120</v>
      </c>
      <c r="O574">
        <v>44659</v>
      </c>
      <c r="P574" t="s">
        <v>739</v>
      </c>
      <c r="Q574">
        <v>4972.5</v>
      </c>
      <c r="R574" t="s">
        <v>1922</v>
      </c>
      <c r="S574" t="s">
        <v>709</v>
      </c>
      <c r="T574" t="s">
        <v>709</v>
      </c>
      <c r="U574">
        <v>4972.5</v>
      </c>
      <c r="AD574" t="s">
        <v>709</v>
      </c>
      <c r="AM574" t="s">
        <v>709</v>
      </c>
      <c r="AY574" t="s">
        <v>29</v>
      </c>
      <c r="BA574">
        <v>12</v>
      </c>
      <c r="BI574" t="s">
        <v>709</v>
      </c>
      <c r="BJ574" t="s">
        <v>709</v>
      </c>
      <c r="BK574" t="s">
        <v>709</v>
      </c>
      <c r="BL574" t="s">
        <v>116</v>
      </c>
      <c r="BM574" t="s">
        <v>709</v>
      </c>
      <c r="BN574" t="s">
        <v>709</v>
      </c>
      <c r="BO574" t="s">
        <v>709</v>
      </c>
      <c r="BP574" t="s">
        <v>709</v>
      </c>
      <c r="BQ574" t="s">
        <v>709</v>
      </c>
      <c r="BR574" t="s">
        <v>709</v>
      </c>
      <c r="BS574">
        <v>1361</v>
      </c>
      <c r="BT574" t="s">
        <v>745</v>
      </c>
      <c r="BU574" t="s">
        <v>709</v>
      </c>
      <c r="BV574" t="s">
        <v>745</v>
      </c>
      <c r="BW574" t="s">
        <v>709</v>
      </c>
      <c r="BX574" t="s">
        <v>745</v>
      </c>
      <c r="BY574" t="s">
        <v>745</v>
      </c>
      <c r="BZ574" t="s">
        <v>709</v>
      </c>
      <c r="CB574">
        <v>571</v>
      </c>
      <c r="CC574" t="b">
        <v>1</v>
      </c>
      <c r="CD574" t="s">
        <v>4306</v>
      </c>
      <c r="CE574" s="1482">
        <v>45880.735243055555</v>
      </c>
    </row>
    <row r="575" spans="1:83" ht="255" x14ac:dyDescent="0.25">
      <c r="A575">
        <v>2022</v>
      </c>
      <c r="B575" t="s">
        <v>2994</v>
      </c>
      <c r="C575" t="s">
        <v>4300</v>
      </c>
      <c r="D575" t="s">
        <v>4301</v>
      </c>
      <c r="E575" t="s">
        <v>1255</v>
      </c>
      <c r="F575" t="s">
        <v>752</v>
      </c>
      <c r="G575" t="s">
        <v>23</v>
      </c>
      <c r="H575" t="s">
        <v>59</v>
      </c>
      <c r="I575">
        <v>44571</v>
      </c>
      <c r="J575">
        <v>44662</v>
      </c>
      <c r="K575">
        <v>44659</v>
      </c>
      <c r="L575">
        <v>3</v>
      </c>
      <c r="N575" t="s">
        <v>120</v>
      </c>
      <c r="O575">
        <v>44659</v>
      </c>
      <c r="P575" t="s">
        <v>739</v>
      </c>
      <c r="Q575">
        <v>8614.4624999999996</v>
      </c>
      <c r="R575">
        <v>0.09</v>
      </c>
      <c r="S575" t="s">
        <v>709</v>
      </c>
      <c r="T575" t="s">
        <v>709</v>
      </c>
      <c r="U575" t="s">
        <v>709</v>
      </c>
      <c r="Z575">
        <v>95716.25</v>
      </c>
      <c r="AA575">
        <v>95716.25</v>
      </c>
      <c r="AC575" t="s">
        <v>709</v>
      </c>
      <c r="AM575" t="s">
        <v>116</v>
      </c>
      <c r="AN575">
        <v>44749</v>
      </c>
      <c r="AO575">
        <v>11042402</v>
      </c>
      <c r="AP575">
        <v>0</v>
      </c>
      <c r="AR575">
        <v>95952.67</v>
      </c>
      <c r="AS575">
        <v>95952.67</v>
      </c>
      <c r="AT575">
        <v>236.42</v>
      </c>
      <c r="AU575">
        <v>21.277799999999999</v>
      </c>
      <c r="AV575">
        <v>2015</v>
      </c>
      <c r="AW575" s="4" t="s">
        <v>4307</v>
      </c>
      <c r="AX575">
        <v>0</v>
      </c>
      <c r="AY575">
        <v>45008</v>
      </c>
      <c r="BA575" t="s">
        <v>4302</v>
      </c>
      <c r="BB575" t="s">
        <v>4303</v>
      </c>
      <c r="BC575" t="s">
        <v>116</v>
      </c>
      <c r="BD575" t="s">
        <v>882</v>
      </c>
      <c r="BE575" t="s">
        <v>1258</v>
      </c>
      <c r="BF575" t="s">
        <v>709</v>
      </c>
      <c r="BG575" t="s">
        <v>709</v>
      </c>
      <c r="BI575" t="s">
        <v>709</v>
      </c>
      <c r="BJ575" t="s">
        <v>709</v>
      </c>
      <c r="BK575" t="s">
        <v>709</v>
      </c>
      <c r="BL575" t="s">
        <v>709</v>
      </c>
      <c r="BM575" t="s">
        <v>709</v>
      </c>
      <c r="BN575" t="s">
        <v>709</v>
      </c>
      <c r="BO575" t="s">
        <v>709</v>
      </c>
      <c r="BP575" t="s">
        <v>709</v>
      </c>
      <c r="BQ575" t="s">
        <v>709</v>
      </c>
      <c r="BR575" t="s">
        <v>709</v>
      </c>
      <c r="BS575" t="s">
        <v>709</v>
      </c>
      <c r="BT575" t="s">
        <v>745</v>
      </c>
      <c r="BU575" t="s">
        <v>709</v>
      </c>
      <c r="BV575">
        <v>2</v>
      </c>
      <c r="BW575" t="s">
        <v>709</v>
      </c>
      <c r="BX575" t="s">
        <v>745</v>
      </c>
      <c r="BY575" t="s">
        <v>745</v>
      </c>
      <c r="BZ575" t="s">
        <v>709</v>
      </c>
      <c r="CA575" t="s">
        <v>4304</v>
      </c>
      <c r="CB575">
        <v>572</v>
      </c>
      <c r="CC575" t="b">
        <v>1</v>
      </c>
      <c r="CD575" t="s">
        <v>4305</v>
      </c>
      <c r="CE575" s="1482">
        <v>45880.735254629632</v>
      </c>
    </row>
    <row r="576" spans="1:83" x14ac:dyDescent="0.25">
      <c r="A576">
        <v>2021</v>
      </c>
      <c r="B576" t="s">
        <v>4</v>
      </c>
      <c r="C576" t="s">
        <v>3110</v>
      </c>
      <c r="D576">
        <v>135693</v>
      </c>
      <c r="E576" t="s">
        <v>1004</v>
      </c>
      <c r="F576" t="s">
        <v>919</v>
      </c>
      <c r="G576" t="s">
        <v>22</v>
      </c>
      <c r="H576" t="s">
        <v>3677</v>
      </c>
      <c r="I576">
        <v>44596</v>
      </c>
      <c r="J576" t="s">
        <v>2612</v>
      </c>
      <c r="K576">
        <v>44661</v>
      </c>
      <c r="L576">
        <v>65</v>
      </c>
      <c r="M576" t="s">
        <v>4308</v>
      </c>
      <c r="N576" t="s">
        <v>120</v>
      </c>
      <c r="O576">
        <v>44661</v>
      </c>
      <c r="P576" t="s">
        <v>120</v>
      </c>
      <c r="Q576">
        <v>5475</v>
      </c>
      <c r="R576" t="s">
        <v>1922</v>
      </c>
      <c r="S576" t="s">
        <v>709</v>
      </c>
      <c r="T576" t="s">
        <v>709</v>
      </c>
      <c r="U576">
        <v>5475</v>
      </c>
      <c r="AC576" t="s">
        <v>709</v>
      </c>
      <c r="AM576" t="s">
        <v>709</v>
      </c>
      <c r="AY576" t="s">
        <v>29</v>
      </c>
      <c r="BI576" t="s">
        <v>709</v>
      </c>
      <c r="BJ576" t="s">
        <v>709</v>
      </c>
      <c r="BK576" t="s">
        <v>116</v>
      </c>
      <c r="BL576" t="s">
        <v>709</v>
      </c>
      <c r="BM576" t="s">
        <v>709</v>
      </c>
      <c r="BN576">
        <v>4207</v>
      </c>
      <c r="BO576" t="s">
        <v>709</v>
      </c>
      <c r="BP576" t="s">
        <v>709</v>
      </c>
      <c r="BQ576" t="s">
        <v>709</v>
      </c>
      <c r="BR576">
        <v>20</v>
      </c>
      <c r="BS576">
        <v>126</v>
      </c>
      <c r="BT576" t="s">
        <v>709</v>
      </c>
      <c r="BU576" t="s">
        <v>709</v>
      </c>
      <c r="BV576" t="s">
        <v>745</v>
      </c>
      <c r="BW576" t="s">
        <v>709</v>
      </c>
      <c r="BX576">
        <v>1</v>
      </c>
      <c r="BY576" t="s">
        <v>745</v>
      </c>
      <c r="BZ576" t="s">
        <v>709</v>
      </c>
      <c r="CB576">
        <v>574</v>
      </c>
      <c r="CC576" t="b">
        <v>1</v>
      </c>
      <c r="CD576" t="s">
        <v>4309</v>
      </c>
      <c r="CE576" s="1482">
        <v>45880.735266203701</v>
      </c>
    </row>
    <row r="577" spans="1:83" x14ac:dyDescent="0.25">
      <c r="A577">
        <v>2022</v>
      </c>
      <c r="B577" t="s">
        <v>4</v>
      </c>
      <c r="C577" t="s">
        <v>4310</v>
      </c>
      <c r="D577" t="s">
        <v>4311</v>
      </c>
      <c r="E577" t="s">
        <v>1171</v>
      </c>
      <c r="F577" t="s">
        <v>738</v>
      </c>
      <c r="G577" t="s">
        <v>39</v>
      </c>
      <c r="H577" t="s">
        <v>59</v>
      </c>
      <c r="I577">
        <v>44476</v>
      </c>
      <c r="J577">
        <v>44687</v>
      </c>
      <c r="K577">
        <v>44664</v>
      </c>
      <c r="L577">
        <v>23</v>
      </c>
      <c r="N577" t="s">
        <v>120</v>
      </c>
      <c r="O577">
        <v>44664</v>
      </c>
      <c r="P577" t="s">
        <v>739</v>
      </c>
      <c r="Q577">
        <v>39517.135999999999</v>
      </c>
      <c r="R577">
        <v>0.1</v>
      </c>
      <c r="S577" t="s">
        <v>709</v>
      </c>
      <c r="T577" t="s">
        <v>709</v>
      </c>
      <c r="U577" t="s">
        <v>709</v>
      </c>
      <c r="X577">
        <v>365266.01</v>
      </c>
      <c r="Z577">
        <v>29905.35</v>
      </c>
      <c r="AA577">
        <v>395171.36</v>
      </c>
      <c r="AC577" t="s">
        <v>116</v>
      </c>
      <c r="AM577" t="s">
        <v>116</v>
      </c>
      <c r="AN577">
        <v>44734</v>
      </c>
      <c r="AO577">
        <v>11038598</v>
      </c>
      <c r="AP577">
        <v>372473.48</v>
      </c>
      <c r="AR577">
        <v>39911.910000000003</v>
      </c>
      <c r="AS577">
        <v>412385.39</v>
      </c>
      <c r="AT577">
        <v>17214.03</v>
      </c>
      <c r="AU577">
        <v>1721.403</v>
      </c>
      <c r="AV577" t="s">
        <v>709</v>
      </c>
      <c r="AX577">
        <v>1721.403</v>
      </c>
      <c r="AY577">
        <v>45008</v>
      </c>
      <c r="BA577" t="s">
        <v>4312</v>
      </c>
      <c r="BB577" t="s">
        <v>4313</v>
      </c>
      <c r="BC577" t="s">
        <v>709</v>
      </c>
      <c r="BD577" t="s">
        <v>709</v>
      </c>
      <c r="BE577" t="s">
        <v>4314</v>
      </c>
      <c r="BF577" t="s">
        <v>709</v>
      </c>
      <c r="BG577" t="s">
        <v>709</v>
      </c>
      <c r="BI577" t="s">
        <v>709</v>
      </c>
      <c r="BJ577" t="s">
        <v>709</v>
      </c>
      <c r="BK577" t="s">
        <v>709</v>
      </c>
      <c r="BL577" t="s">
        <v>116</v>
      </c>
      <c r="BM577" t="s">
        <v>709</v>
      </c>
      <c r="BN577" t="s">
        <v>709</v>
      </c>
      <c r="BO577" t="s">
        <v>709</v>
      </c>
      <c r="BP577">
        <v>1062</v>
      </c>
      <c r="BQ577" t="s">
        <v>709</v>
      </c>
      <c r="BR577" t="s">
        <v>709</v>
      </c>
      <c r="BS577">
        <v>66</v>
      </c>
      <c r="BT577" t="s">
        <v>745</v>
      </c>
      <c r="BU577" t="s">
        <v>709</v>
      </c>
      <c r="BV577" t="s">
        <v>745</v>
      </c>
      <c r="BW577" t="s">
        <v>709</v>
      </c>
      <c r="BX577" t="s">
        <v>745</v>
      </c>
      <c r="BY577" t="s">
        <v>745</v>
      </c>
      <c r="BZ577" t="s">
        <v>709</v>
      </c>
      <c r="CB577">
        <v>575</v>
      </c>
      <c r="CC577" t="b">
        <v>1</v>
      </c>
      <c r="CD577" t="s">
        <v>4315</v>
      </c>
      <c r="CE577" s="1482">
        <v>45880.735266203701</v>
      </c>
    </row>
    <row r="578" spans="1:83" ht="255" x14ac:dyDescent="0.25">
      <c r="A578">
        <v>2022</v>
      </c>
      <c r="B578" t="s">
        <v>4</v>
      </c>
      <c r="C578" t="s">
        <v>4316</v>
      </c>
      <c r="D578" t="s">
        <v>115</v>
      </c>
      <c r="E578" t="s">
        <v>910</v>
      </c>
      <c r="F578" t="s">
        <v>738</v>
      </c>
      <c r="G578" t="s">
        <v>22</v>
      </c>
      <c r="H578" t="s">
        <v>1681</v>
      </c>
      <c r="I578">
        <v>44628</v>
      </c>
      <c r="J578">
        <v>44677</v>
      </c>
      <c r="K578">
        <v>44664</v>
      </c>
      <c r="L578">
        <v>13</v>
      </c>
      <c r="N578" t="s">
        <v>120</v>
      </c>
      <c r="O578">
        <v>44664</v>
      </c>
      <c r="P578" t="s">
        <v>739</v>
      </c>
      <c r="Q578" t="s">
        <v>115</v>
      </c>
      <c r="R578" t="s">
        <v>115</v>
      </c>
      <c r="S578" t="s">
        <v>709</v>
      </c>
      <c r="T578" t="s">
        <v>709</v>
      </c>
      <c r="U578" t="s">
        <v>709</v>
      </c>
      <c r="AC578" t="s">
        <v>709</v>
      </c>
      <c r="AM578" t="s">
        <v>709</v>
      </c>
      <c r="AY578" t="s">
        <v>29</v>
      </c>
      <c r="BA578" s="4" t="s">
        <v>4317</v>
      </c>
      <c r="BB578" t="s">
        <v>912</v>
      </c>
      <c r="CB578">
        <v>576</v>
      </c>
      <c r="CC578" t="b">
        <v>1</v>
      </c>
      <c r="CD578" t="s">
        <v>4318</v>
      </c>
      <c r="CE578" s="1482">
        <v>45880.735266203701</v>
      </c>
    </row>
    <row r="579" spans="1:83" x14ac:dyDescent="0.25">
      <c r="A579">
        <v>2021</v>
      </c>
      <c r="B579" t="s">
        <v>4</v>
      </c>
      <c r="C579" t="s">
        <v>121</v>
      </c>
      <c r="D579">
        <v>120391</v>
      </c>
      <c r="E579" t="s">
        <v>122</v>
      </c>
      <c r="F579" t="s">
        <v>919</v>
      </c>
      <c r="G579" t="s">
        <v>36</v>
      </c>
      <c r="H579" t="s">
        <v>4001</v>
      </c>
      <c r="I579">
        <v>44581</v>
      </c>
      <c r="J579" t="s">
        <v>2958</v>
      </c>
      <c r="K579">
        <v>44665</v>
      </c>
      <c r="L579">
        <v>84</v>
      </c>
      <c r="M579" t="s">
        <v>4319</v>
      </c>
      <c r="N579" t="s">
        <v>120</v>
      </c>
      <c r="O579">
        <v>44665</v>
      </c>
      <c r="P579" t="s">
        <v>739</v>
      </c>
      <c r="Q579">
        <v>7837.5</v>
      </c>
      <c r="R579" t="s">
        <v>1922</v>
      </c>
      <c r="S579" t="s">
        <v>709</v>
      </c>
      <c r="T579" t="s">
        <v>709</v>
      </c>
      <c r="U579">
        <v>7837.5</v>
      </c>
      <c r="AD579" t="s">
        <v>709</v>
      </c>
      <c r="AM579" t="s">
        <v>709</v>
      </c>
      <c r="AY579" t="s">
        <v>29</v>
      </c>
      <c r="BI579" t="s">
        <v>709</v>
      </c>
      <c r="BJ579" t="s">
        <v>709</v>
      </c>
      <c r="BK579" t="s">
        <v>709</v>
      </c>
      <c r="BL579" t="s">
        <v>116</v>
      </c>
      <c r="BM579" t="s">
        <v>709</v>
      </c>
      <c r="BN579" t="s">
        <v>709</v>
      </c>
      <c r="BO579" t="s">
        <v>709</v>
      </c>
      <c r="BP579">
        <v>3618</v>
      </c>
      <c r="BQ579">
        <v>2805</v>
      </c>
      <c r="BR579">
        <v>12</v>
      </c>
      <c r="BS579">
        <v>291</v>
      </c>
      <c r="BT579" t="s">
        <v>745</v>
      </c>
      <c r="BU579" t="s">
        <v>709</v>
      </c>
      <c r="BV579" t="s">
        <v>745</v>
      </c>
      <c r="BW579" t="s">
        <v>709</v>
      </c>
      <c r="BX579" t="s">
        <v>745</v>
      </c>
      <c r="BY579" t="s">
        <v>745</v>
      </c>
      <c r="BZ579" t="s">
        <v>709</v>
      </c>
      <c r="CB579">
        <v>577</v>
      </c>
      <c r="CC579" t="b">
        <v>1</v>
      </c>
      <c r="CD579" t="s">
        <v>4320</v>
      </c>
      <c r="CE579" s="1482">
        <v>45880.735277777778</v>
      </c>
    </row>
    <row r="580" spans="1:83" ht="330" x14ac:dyDescent="0.25">
      <c r="A580">
        <v>2022</v>
      </c>
      <c r="B580" t="s">
        <v>1205</v>
      </c>
      <c r="C580" t="s">
        <v>4321</v>
      </c>
      <c r="D580" t="s">
        <v>4322</v>
      </c>
      <c r="E580" t="s">
        <v>4323</v>
      </c>
      <c r="F580" t="s">
        <v>919</v>
      </c>
      <c r="G580" t="s">
        <v>35</v>
      </c>
      <c r="H580" t="s">
        <v>59</v>
      </c>
      <c r="I580">
        <v>44529</v>
      </c>
      <c r="J580">
        <v>44666</v>
      </c>
      <c r="K580">
        <v>44665</v>
      </c>
      <c r="L580">
        <v>1</v>
      </c>
      <c r="N580" t="s">
        <v>120</v>
      </c>
      <c r="O580">
        <v>44682</v>
      </c>
      <c r="P580" t="s">
        <v>120</v>
      </c>
      <c r="Q580">
        <v>30593.123100000001</v>
      </c>
      <c r="R580">
        <v>0.09</v>
      </c>
      <c r="S580" t="s">
        <v>709</v>
      </c>
      <c r="T580" t="s">
        <v>709</v>
      </c>
      <c r="U580" t="s">
        <v>709</v>
      </c>
      <c r="V580">
        <v>636</v>
      </c>
      <c r="X580">
        <v>316404.51</v>
      </c>
      <c r="Z580">
        <v>23519.08</v>
      </c>
      <c r="AA580">
        <v>339923.59</v>
      </c>
      <c r="AC580" t="s">
        <v>116</v>
      </c>
      <c r="AD580" t="s">
        <v>709</v>
      </c>
      <c r="AM580" t="s">
        <v>116</v>
      </c>
      <c r="AN580">
        <v>44714</v>
      </c>
      <c r="AO580">
        <v>11039632</v>
      </c>
      <c r="AP580">
        <v>316835.96999999997</v>
      </c>
      <c r="AR580">
        <v>23520.42</v>
      </c>
      <c r="AS580">
        <v>340356.39</v>
      </c>
      <c r="AT580">
        <v>432.8</v>
      </c>
      <c r="AU580">
        <v>38.951999999999998</v>
      </c>
      <c r="AV580" t="s">
        <v>709</v>
      </c>
      <c r="AX580">
        <v>38.951999999999998</v>
      </c>
      <c r="AY580">
        <v>45008</v>
      </c>
      <c r="BA580" s="4" t="s">
        <v>4324</v>
      </c>
      <c r="BB580" s="4" t="s">
        <v>4325</v>
      </c>
      <c r="BC580" t="s">
        <v>709</v>
      </c>
      <c r="BD580" t="s">
        <v>709</v>
      </c>
      <c r="BE580" t="s">
        <v>4326</v>
      </c>
      <c r="BF580" t="s">
        <v>709</v>
      </c>
      <c r="BG580" t="s">
        <v>709</v>
      </c>
      <c r="BI580" t="s">
        <v>709</v>
      </c>
      <c r="BJ580" t="s">
        <v>709</v>
      </c>
      <c r="BK580" t="s">
        <v>709</v>
      </c>
      <c r="BL580" t="s">
        <v>116</v>
      </c>
      <c r="BM580" t="s">
        <v>709</v>
      </c>
      <c r="BN580" t="s">
        <v>709</v>
      </c>
      <c r="BO580" t="s">
        <v>709</v>
      </c>
      <c r="BP580" t="s">
        <v>709</v>
      </c>
      <c r="BQ580" t="s">
        <v>709</v>
      </c>
      <c r="BR580">
        <v>636</v>
      </c>
      <c r="BS580" t="s">
        <v>709</v>
      </c>
      <c r="BT580" t="s">
        <v>745</v>
      </c>
      <c r="BU580" t="s">
        <v>709</v>
      </c>
      <c r="BV580" t="s">
        <v>745</v>
      </c>
      <c r="BW580" t="s">
        <v>709</v>
      </c>
      <c r="BX580" t="s">
        <v>745</v>
      </c>
      <c r="BY580" t="s">
        <v>745</v>
      </c>
      <c r="BZ580" t="s">
        <v>709</v>
      </c>
      <c r="CB580">
        <v>578</v>
      </c>
      <c r="CC580" t="b">
        <v>1</v>
      </c>
      <c r="CD580" t="s">
        <v>4327</v>
      </c>
      <c r="CE580" s="1482">
        <v>45880.735277777778</v>
      </c>
    </row>
    <row r="581" spans="1:83" x14ac:dyDescent="0.25">
      <c r="A581">
        <v>2021</v>
      </c>
      <c r="B581" t="s">
        <v>4</v>
      </c>
      <c r="C581" t="s">
        <v>3788</v>
      </c>
      <c r="D581" t="s">
        <v>3789</v>
      </c>
      <c r="E581" t="s">
        <v>164</v>
      </c>
      <c r="F581" t="s">
        <v>738</v>
      </c>
      <c r="G581" t="s">
        <v>39</v>
      </c>
      <c r="H581" t="s">
        <v>3178</v>
      </c>
      <c r="I581">
        <v>44657</v>
      </c>
      <c r="J581" t="s">
        <v>2052</v>
      </c>
      <c r="K581">
        <v>44669</v>
      </c>
      <c r="L581">
        <v>12</v>
      </c>
      <c r="M581" t="s">
        <v>4328</v>
      </c>
      <c r="N581" t="s">
        <v>120</v>
      </c>
      <c r="O581">
        <v>44682</v>
      </c>
      <c r="P581" t="s">
        <v>739</v>
      </c>
      <c r="Q581">
        <v>3682.5</v>
      </c>
      <c r="R581" t="s">
        <v>1922</v>
      </c>
      <c r="S581" t="s">
        <v>709</v>
      </c>
      <c r="T581" t="s">
        <v>709</v>
      </c>
      <c r="U581">
        <v>3682.5</v>
      </c>
      <c r="AD581" t="s">
        <v>709</v>
      </c>
      <c r="AM581" t="s">
        <v>709</v>
      </c>
      <c r="AY581" t="s">
        <v>29</v>
      </c>
      <c r="BA581">
        <v>12</v>
      </c>
      <c r="BI581" t="s">
        <v>709</v>
      </c>
      <c r="BJ581" t="s">
        <v>709</v>
      </c>
      <c r="BK581" t="s">
        <v>709</v>
      </c>
      <c r="BL581" t="s">
        <v>116</v>
      </c>
      <c r="BM581" t="s">
        <v>709</v>
      </c>
      <c r="BN581" t="s">
        <v>709</v>
      </c>
      <c r="BO581" t="s">
        <v>709</v>
      </c>
      <c r="BP581" t="s">
        <v>709</v>
      </c>
      <c r="BQ581">
        <v>285</v>
      </c>
      <c r="BR581" t="s">
        <v>709</v>
      </c>
      <c r="BS581" t="s">
        <v>709</v>
      </c>
      <c r="BT581" t="s">
        <v>745</v>
      </c>
      <c r="BU581" t="s">
        <v>709</v>
      </c>
      <c r="BV581" t="s">
        <v>745</v>
      </c>
      <c r="BW581" t="s">
        <v>709</v>
      </c>
      <c r="BX581" t="s">
        <v>745</v>
      </c>
      <c r="BY581" t="s">
        <v>745</v>
      </c>
      <c r="BZ581" t="s">
        <v>709</v>
      </c>
      <c r="CB581">
        <v>579</v>
      </c>
      <c r="CC581" t="b">
        <v>1</v>
      </c>
      <c r="CD581" t="s">
        <v>4329</v>
      </c>
      <c r="CE581" s="1482">
        <v>45880.735277777778</v>
      </c>
    </row>
    <row r="582" spans="1:83" x14ac:dyDescent="0.25">
      <c r="A582">
        <v>2022</v>
      </c>
      <c r="B582" t="s">
        <v>1205</v>
      </c>
      <c r="C582" t="s">
        <v>4330</v>
      </c>
      <c r="D582" t="s">
        <v>4331</v>
      </c>
      <c r="E582" t="s">
        <v>354</v>
      </c>
      <c r="F582" t="s">
        <v>738</v>
      </c>
      <c r="G582" t="s">
        <v>23</v>
      </c>
      <c r="H582" t="s">
        <v>59</v>
      </c>
      <c r="I582">
        <v>44587</v>
      </c>
      <c r="J582">
        <v>44673</v>
      </c>
      <c r="K582">
        <v>44670</v>
      </c>
      <c r="L582">
        <v>3</v>
      </c>
      <c r="N582" t="s">
        <v>120</v>
      </c>
      <c r="O582">
        <v>44670</v>
      </c>
      <c r="P582" t="s">
        <v>120</v>
      </c>
      <c r="Q582">
        <v>17553.75</v>
      </c>
      <c r="R582" t="s">
        <v>2087</v>
      </c>
      <c r="S582" t="s">
        <v>709</v>
      </c>
      <c r="T582" t="s">
        <v>709</v>
      </c>
      <c r="U582" t="s">
        <v>709</v>
      </c>
      <c r="V582">
        <v>11325</v>
      </c>
      <c r="X582">
        <v>1826451.58</v>
      </c>
      <c r="Z582">
        <v>41937.9</v>
      </c>
      <c r="AA582">
        <v>1868389.48</v>
      </c>
      <c r="AC582" t="s">
        <v>709</v>
      </c>
      <c r="AM582" t="s">
        <v>709</v>
      </c>
      <c r="AY582" t="s">
        <v>29</v>
      </c>
      <c r="BC582" t="s">
        <v>116</v>
      </c>
      <c r="BD582" t="s">
        <v>709</v>
      </c>
      <c r="BE582" t="s">
        <v>588</v>
      </c>
      <c r="BF582" t="s">
        <v>709</v>
      </c>
      <c r="BG582" t="s">
        <v>709</v>
      </c>
      <c r="BI582" t="s">
        <v>709</v>
      </c>
      <c r="BJ582" t="s">
        <v>709</v>
      </c>
      <c r="BK582" t="s">
        <v>709</v>
      </c>
      <c r="BL582" t="s">
        <v>116</v>
      </c>
      <c r="BM582" t="s">
        <v>709</v>
      </c>
      <c r="BN582" t="s">
        <v>709</v>
      </c>
      <c r="BO582" t="s">
        <v>709</v>
      </c>
      <c r="BP582" t="s">
        <v>709</v>
      </c>
      <c r="BQ582" t="s">
        <v>709</v>
      </c>
      <c r="BR582">
        <v>1231</v>
      </c>
      <c r="BS582">
        <v>10094</v>
      </c>
      <c r="BT582" t="s">
        <v>745</v>
      </c>
      <c r="BU582" t="s">
        <v>709</v>
      </c>
      <c r="BV582" t="s">
        <v>745</v>
      </c>
      <c r="BW582" t="s">
        <v>709</v>
      </c>
      <c r="BX582" t="s">
        <v>745</v>
      </c>
      <c r="BY582" t="s">
        <v>745</v>
      </c>
      <c r="BZ582" t="s">
        <v>709</v>
      </c>
      <c r="CB582">
        <v>580</v>
      </c>
      <c r="CC582" t="b">
        <v>1</v>
      </c>
      <c r="CD582" t="s">
        <v>4332</v>
      </c>
      <c r="CE582" s="1482">
        <v>45880.735289351855</v>
      </c>
    </row>
    <row r="583" spans="1:83" x14ac:dyDescent="0.25">
      <c r="A583">
        <v>2022</v>
      </c>
      <c r="B583" t="s">
        <v>1073</v>
      </c>
      <c r="C583" t="s">
        <v>3951</v>
      </c>
      <c r="D583" t="s">
        <v>3952</v>
      </c>
      <c r="E583" t="s">
        <v>2187</v>
      </c>
      <c r="F583" t="s">
        <v>919</v>
      </c>
      <c r="G583" t="s">
        <v>35</v>
      </c>
      <c r="H583" t="s">
        <v>3178</v>
      </c>
      <c r="I583">
        <v>44631</v>
      </c>
      <c r="J583" t="s">
        <v>2052</v>
      </c>
      <c r="K583">
        <v>44671</v>
      </c>
      <c r="L583">
        <v>40</v>
      </c>
      <c r="M583" t="s">
        <v>4333</v>
      </c>
      <c r="N583" t="s">
        <v>120</v>
      </c>
      <c r="O583">
        <v>44682</v>
      </c>
      <c r="P583" t="s">
        <v>739</v>
      </c>
      <c r="Q583">
        <v>4475</v>
      </c>
      <c r="R583" t="s">
        <v>1922</v>
      </c>
      <c r="S583" t="s">
        <v>709</v>
      </c>
      <c r="T583" t="s">
        <v>709</v>
      </c>
      <c r="U583">
        <v>4475</v>
      </c>
      <c r="AD583" t="s">
        <v>709</v>
      </c>
      <c r="AE583" t="s">
        <v>29</v>
      </c>
      <c r="AF583" t="s">
        <v>29</v>
      </c>
      <c r="AG583" t="s">
        <v>29</v>
      </c>
      <c r="AH583" t="s">
        <v>29</v>
      </c>
      <c r="AM583" t="s">
        <v>709</v>
      </c>
      <c r="AY583" t="s">
        <v>29</v>
      </c>
      <c r="BA583">
        <v>3</v>
      </c>
      <c r="BB583" t="s">
        <v>4334</v>
      </c>
      <c r="BH583" t="s">
        <v>4335</v>
      </c>
      <c r="BI583" t="s">
        <v>709</v>
      </c>
      <c r="BJ583" t="s">
        <v>709</v>
      </c>
      <c r="BK583" t="s">
        <v>709</v>
      </c>
      <c r="BL583" t="s">
        <v>116</v>
      </c>
      <c r="BM583" t="s">
        <v>709</v>
      </c>
      <c r="BN583" t="s">
        <v>709</v>
      </c>
      <c r="BO583" t="s">
        <v>709</v>
      </c>
      <c r="BP583" t="s">
        <v>709</v>
      </c>
      <c r="BQ583" t="s">
        <v>709</v>
      </c>
      <c r="BR583">
        <v>9486</v>
      </c>
      <c r="BS583" t="s">
        <v>709</v>
      </c>
      <c r="BT583" t="s">
        <v>709</v>
      </c>
      <c r="BU583" t="s">
        <v>709</v>
      </c>
      <c r="BV583" t="s">
        <v>745</v>
      </c>
      <c r="BW583" t="s">
        <v>709</v>
      </c>
      <c r="BX583" t="s">
        <v>709</v>
      </c>
      <c r="BY583" t="s">
        <v>745</v>
      </c>
      <c r="BZ583" t="s">
        <v>709</v>
      </c>
      <c r="CB583">
        <v>581</v>
      </c>
      <c r="CC583" t="b">
        <v>1</v>
      </c>
      <c r="CD583" t="s">
        <v>4336</v>
      </c>
      <c r="CE583" s="1482">
        <v>45880.735289351855</v>
      </c>
    </row>
    <row r="584" spans="1:83" ht="330" x14ac:dyDescent="0.25">
      <c r="A584">
        <v>2022</v>
      </c>
      <c r="B584" t="s">
        <v>4</v>
      </c>
      <c r="C584" t="s">
        <v>4337</v>
      </c>
      <c r="D584" t="s">
        <v>4338</v>
      </c>
      <c r="E584" t="s">
        <v>910</v>
      </c>
      <c r="F584" t="s">
        <v>738</v>
      </c>
      <c r="G584" t="s">
        <v>23</v>
      </c>
      <c r="H584" t="s">
        <v>59</v>
      </c>
      <c r="I584">
        <v>44631</v>
      </c>
      <c r="J584">
        <v>44673</v>
      </c>
      <c r="K584">
        <v>44672</v>
      </c>
      <c r="L584">
        <v>1</v>
      </c>
      <c r="N584" t="s">
        <v>120</v>
      </c>
      <c r="O584">
        <v>44672</v>
      </c>
      <c r="P584" t="s">
        <v>739</v>
      </c>
      <c r="Q584">
        <v>52130.258999999998</v>
      </c>
      <c r="R584">
        <v>0.1</v>
      </c>
      <c r="S584" t="s">
        <v>709</v>
      </c>
      <c r="T584" t="s">
        <v>709</v>
      </c>
      <c r="U584" t="s">
        <v>709</v>
      </c>
      <c r="V584">
        <v>2868</v>
      </c>
      <c r="X584">
        <v>457583.35999999999</v>
      </c>
      <c r="Z584">
        <v>63719.23</v>
      </c>
      <c r="AA584">
        <v>521302.59</v>
      </c>
      <c r="AC584" t="s">
        <v>709</v>
      </c>
      <c r="AM584" t="s">
        <v>116</v>
      </c>
      <c r="AN584">
        <v>44714</v>
      </c>
      <c r="AO584">
        <v>11042046</v>
      </c>
      <c r="AP584">
        <v>465189.2</v>
      </c>
      <c r="AR584">
        <v>63719.92</v>
      </c>
      <c r="AS584">
        <v>528909.12</v>
      </c>
      <c r="AT584">
        <v>7606.53</v>
      </c>
      <c r="AU584">
        <v>760.65300000000002</v>
      </c>
      <c r="AV584" t="s">
        <v>709</v>
      </c>
      <c r="AW584" t="s">
        <v>4339</v>
      </c>
      <c r="AX584">
        <v>760.65300000000002</v>
      </c>
      <c r="AY584">
        <v>45008</v>
      </c>
      <c r="BA584" s="4" t="s">
        <v>4340</v>
      </c>
      <c r="BB584" t="s">
        <v>912</v>
      </c>
      <c r="BC584" t="s">
        <v>709</v>
      </c>
      <c r="BD584" t="s">
        <v>709</v>
      </c>
      <c r="BE584" t="s">
        <v>913</v>
      </c>
      <c r="BF584" t="s">
        <v>709</v>
      </c>
      <c r="BG584" t="s">
        <v>709</v>
      </c>
      <c r="BI584" t="s">
        <v>709</v>
      </c>
      <c r="BJ584" t="s">
        <v>709</v>
      </c>
      <c r="BK584" t="s">
        <v>709</v>
      </c>
      <c r="BL584" t="s">
        <v>116</v>
      </c>
      <c r="BM584" t="s">
        <v>709</v>
      </c>
      <c r="BN584" t="s">
        <v>709</v>
      </c>
      <c r="BO584" t="s">
        <v>709</v>
      </c>
      <c r="BP584" t="s">
        <v>709</v>
      </c>
      <c r="BQ584" t="s">
        <v>709</v>
      </c>
      <c r="BR584" t="s">
        <v>709</v>
      </c>
      <c r="BS584">
        <v>2868</v>
      </c>
      <c r="BT584" t="s">
        <v>745</v>
      </c>
      <c r="BU584" t="s">
        <v>709</v>
      </c>
      <c r="BV584" t="s">
        <v>745</v>
      </c>
      <c r="BW584" t="s">
        <v>709</v>
      </c>
      <c r="BX584" t="s">
        <v>745</v>
      </c>
      <c r="BY584" t="s">
        <v>745</v>
      </c>
      <c r="BZ584" t="s">
        <v>709</v>
      </c>
      <c r="CB584">
        <v>582</v>
      </c>
      <c r="CC584" t="b">
        <v>1</v>
      </c>
      <c r="CD584" t="s">
        <v>4341</v>
      </c>
      <c r="CE584" s="1482">
        <v>45880.735300925924</v>
      </c>
    </row>
    <row r="585" spans="1:83" ht="90" x14ac:dyDescent="0.25">
      <c r="A585">
        <v>2021</v>
      </c>
      <c r="B585" t="s">
        <v>1073</v>
      </c>
      <c r="C585" t="s">
        <v>4342</v>
      </c>
      <c r="D585" t="s">
        <v>4343</v>
      </c>
      <c r="E585" t="s">
        <v>4274</v>
      </c>
      <c r="F585" t="s">
        <v>738</v>
      </c>
      <c r="G585" t="s">
        <v>34</v>
      </c>
      <c r="H585" t="s">
        <v>59</v>
      </c>
      <c r="I585">
        <v>44545</v>
      </c>
      <c r="J585">
        <v>44673</v>
      </c>
      <c r="K585">
        <v>44673</v>
      </c>
      <c r="L585">
        <v>0</v>
      </c>
      <c r="N585" t="s">
        <v>120</v>
      </c>
      <c r="O585">
        <v>44673</v>
      </c>
      <c r="P585" t="s">
        <v>739</v>
      </c>
      <c r="Q585">
        <v>60825.429700000001</v>
      </c>
      <c r="R585">
        <v>7.0000000000000007E-2</v>
      </c>
      <c r="S585" t="s">
        <v>709</v>
      </c>
      <c r="T585" t="s">
        <v>709</v>
      </c>
      <c r="U585" t="s">
        <v>709</v>
      </c>
      <c r="V585">
        <v>3982</v>
      </c>
      <c r="X585">
        <v>824198.16</v>
      </c>
      <c r="Z585">
        <v>44736.55</v>
      </c>
      <c r="AA585">
        <v>868934.71</v>
      </c>
      <c r="AC585" t="s">
        <v>116</v>
      </c>
      <c r="AD585" t="s">
        <v>116</v>
      </c>
      <c r="AM585" t="s">
        <v>116</v>
      </c>
      <c r="AN585">
        <v>44725</v>
      </c>
      <c r="AO585">
        <v>11039503</v>
      </c>
      <c r="AP585">
        <v>813870.76</v>
      </c>
      <c r="AR585">
        <v>44759.28</v>
      </c>
      <c r="AS585">
        <v>858630.04</v>
      </c>
      <c r="AT585">
        <v>-10304.67</v>
      </c>
      <c r="AU585">
        <v>-721.32690000000002</v>
      </c>
      <c r="AV585" t="s">
        <v>709</v>
      </c>
      <c r="AX585">
        <v>-721.32690000000002</v>
      </c>
      <c r="AY585">
        <v>45008</v>
      </c>
      <c r="BA585" t="s">
        <v>4344</v>
      </c>
      <c r="BB585" s="4" t="s">
        <v>4345</v>
      </c>
      <c r="BC585" t="s">
        <v>116</v>
      </c>
      <c r="BD585" t="s">
        <v>709</v>
      </c>
      <c r="BE585" t="s">
        <v>709</v>
      </c>
      <c r="BF585" t="s">
        <v>2965</v>
      </c>
      <c r="BG585" t="s">
        <v>4275</v>
      </c>
      <c r="BI585" t="s">
        <v>709</v>
      </c>
      <c r="BJ585" t="s">
        <v>709</v>
      </c>
      <c r="BK585" t="s">
        <v>116</v>
      </c>
      <c r="BL585" t="s">
        <v>709</v>
      </c>
      <c r="BM585" t="s">
        <v>709</v>
      </c>
      <c r="BN585" t="s">
        <v>709</v>
      </c>
      <c r="BO585" t="s">
        <v>709</v>
      </c>
      <c r="BP585">
        <v>3865</v>
      </c>
      <c r="BQ585" t="s">
        <v>709</v>
      </c>
      <c r="BR585" t="s">
        <v>709</v>
      </c>
      <c r="BS585">
        <v>117</v>
      </c>
      <c r="BT585" t="s">
        <v>745</v>
      </c>
      <c r="BU585" t="s">
        <v>709</v>
      </c>
      <c r="BV585" t="s">
        <v>745</v>
      </c>
      <c r="BW585" t="s">
        <v>709</v>
      </c>
      <c r="BX585" t="s">
        <v>709</v>
      </c>
      <c r="BY585" t="s">
        <v>745</v>
      </c>
      <c r="BZ585" t="s">
        <v>709</v>
      </c>
      <c r="CB585">
        <v>583</v>
      </c>
      <c r="CC585" t="b">
        <v>1</v>
      </c>
      <c r="CD585" t="s">
        <v>4346</v>
      </c>
      <c r="CE585" s="1482">
        <v>45880.735300925924</v>
      </c>
    </row>
    <row r="586" spans="1:83" x14ac:dyDescent="0.25">
      <c r="A586">
        <v>2022</v>
      </c>
      <c r="B586" t="s">
        <v>769</v>
      </c>
      <c r="C586" t="s">
        <v>3434</v>
      </c>
      <c r="D586">
        <v>102146</v>
      </c>
      <c r="E586" t="s">
        <v>3436</v>
      </c>
      <c r="F586" t="s">
        <v>747</v>
      </c>
      <c r="G586" t="s">
        <v>1896</v>
      </c>
      <c r="H586" t="s">
        <v>4189</v>
      </c>
      <c r="I586">
        <v>44664</v>
      </c>
      <c r="J586" t="s">
        <v>2052</v>
      </c>
      <c r="K586">
        <v>44673</v>
      </c>
      <c r="L586">
        <v>9</v>
      </c>
      <c r="M586" t="s">
        <v>4347</v>
      </c>
      <c r="N586" t="s">
        <v>120</v>
      </c>
      <c r="O586">
        <v>44682</v>
      </c>
      <c r="P586" t="s">
        <v>120</v>
      </c>
      <c r="Q586">
        <v>2972.5</v>
      </c>
      <c r="R586" t="s">
        <v>1922</v>
      </c>
      <c r="S586" t="s">
        <v>709</v>
      </c>
      <c r="T586" t="s">
        <v>709</v>
      </c>
      <c r="U586">
        <v>2972.5</v>
      </c>
      <c r="AC586" t="s">
        <v>709</v>
      </c>
      <c r="AD586" t="s">
        <v>709</v>
      </c>
      <c r="AM586" t="s">
        <v>709</v>
      </c>
      <c r="AY586" t="s">
        <v>29</v>
      </c>
      <c r="BA586">
        <v>3</v>
      </c>
      <c r="BI586" t="s">
        <v>709</v>
      </c>
      <c r="BJ586" t="s">
        <v>709</v>
      </c>
      <c r="BK586" t="s">
        <v>116</v>
      </c>
      <c r="BL586" t="s">
        <v>116</v>
      </c>
      <c r="BM586" t="s">
        <v>709</v>
      </c>
      <c r="BN586" t="s">
        <v>709</v>
      </c>
      <c r="BO586" t="s">
        <v>709</v>
      </c>
      <c r="BP586" t="s">
        <v>709</v>
      </c>
      <c r="BQ586" t="s">
        <v>709</v>
      </c>
      <c r="BR586">
        <v>43</v>
      </c>
      <c r="BS586">
        <v>115</v>
      </c>
      <c r="BT586" t="s">
        <v>709</v>
      </c>
      <c r="BU586">
        <v>1</v>
      </c>
      <c r="BV586" t="s">
        <v>709</v>
      </c>
      <c r="BW586" t="s">
        <v>709</v>
      </c>
      <c r="BX586">
        <v>1</v>
      </c>
      <c r="BY586" t="s">
        <v>709</v>
      </c>
      <c r="BZ586" t="s">
        <v>709</v>
      </c>
      <c r="CA586" t="s">
        <v>769</v>
      </c>
      <c r="CB586">
        <v>584</v>
      </c>
      <c r="CC586" t="b">
        <v>1</v>
      </c>
      <c r="CD586" t="s">
        <v>4348</v>
      </c>
      <c r="CE586" s="1482">
        <v>45880.735312500001</v>
      </c>
    </row>
    <row r="587" spans="1:83" ht="255" x14ac:dyDescent="0.25">
      <c r="A587">
        <v>2022</v>
      </c>
      <c r="B587" t="s">
        <v>730</v>
      </c>
      <c r="C587" t="s">
        <v>238</v>
      </c>
      <c r="D587" t="s">
        <v>4349</v>
      </c>
      <c r="E587" t="s">
        <v>239</v>
      </c>
      <c r="F587" t="s">
        <v>752</v>
      </c>
      <c r="G587" t="s">
        <v>1882</v>
      </c>
      <c r="H587" t="s">
        <v>59</v>
      </c>
      <c r="I587">
        <v>44582</v>
      </c>
      <c r="J587">
        <v>44676</v>
      </c>
      <c r="K587">
        <v>44673</v>
      </c>
      <c r="L587">
        <v>3</v>
      </c>
      <c r="N587" t="s">
        <v>120</v>
      </c>
      <c r="O587">
        <v>44682</v>
      </c>
      <c r="P587" t="s">
        <v>739</v>
      </c>
      <c r="Q587">
        <v>29340.649000000001</v>
      </c>
      <c r="R587" t="s">
        <v>794</v>
      </c>
      <c r="S587" t="s">
        <v>709</v>
      </c>
      <c r="T587" t="s">
        <v>709</v>
      </c>
      <c r="U587" t="s">
        <v>709</v>
      </c>
      <c r="V587">
        <v>305</v>
      </c>
      <c r="X587">
        <v>236300.78</v>
      </c>
      <c r="Z587">
        <v>47118.62</v>
      </c>
      <c r="AA587">
        <v>283419.40000000002</v>
      </c>
      <c r="AC587" t="s">
        <v>116</v>
      </c>
      <c r="AM587" t="s">
        <v>116</v>
      </c>
      <c r="AN587">
        <v>44714</v>
      </c>
      <c r="AO587">
        <v>11040869</v>
      </c>
      <c r="AP587">
        <v>236952.42</v>
      </c>
      <c r="AR587">
        <v>47119.040000000001</v>
      </c>
      <c r="AS587">
        <v>284071.46000000002</v>
      </c>
      <c r="AT587">
        <v>652.05999999999995</v>
      </c>
      <c r="AU587">
        <v>55.4251</v>
      </c>
      <c r="AV587">
        <v>5065</v>
      </c>
      <c r="AW587" s="4" t="s">
        <v>3797</v>
      </c>
      <c r="AX587">
        <v>0</v>
      </c>
      <c r="AY587">
        <v>45008</v>
      </c>
      <c r="BA587" t="s">
        <v>4350</v>
      </c>
      <c r="BB587" s="4" t="s">
        <v>4351</v>
      </c>
      <c r="BC587" t="s">
        <v>116</v>
      </c>
      <c r="BD587" t="s">
        <v>709</v>
      </c>
      <c r="BE587" t="s">
        <v>709</v>
      </c>
      <c r="BF587" t="s">
        <v>807</v>
      </c>
      <c r="BG587" t="s">
        <v>709</v>
      </c>
      <c r="BI587" t="s">
        <v>709</v>
      </c>
      <c r="BJ587" t="s">
        <v>116</v>
      </c>
      <c r="BK587" t="s">
        <v>709</v>
      </c>
      <c r="BL587" t="s">
        <v>116</v>
      </c>
      <c r="BM587" t="s">
        <v>709</v>
      </c>
      <c r="BN587" t="s">
        <v>709</v>
      </c>
      <c r="BO587" t="s">
        <v>709</v>
      </c>
      <c r="BP587" t="s">
        <v>709</v>
      </c>
      <c r="BQ587" t="s">
        <v>709</v>
      </c>
      <c r="BR587" t="s">
        <v>709</v>
      </c>
      <c r="BS587">
        <v>305</v>
      </c>
      <c r="BT587" t="s">
        <v>745</v>
      </c>
      <c r="BU587">
        <v>1</v>
      </c>
      <c r="BV587" t="s">
        <v>745</v>
      </c>
      <c r="BW587" t="s">
        <v>709</v>
      </c>
      <c r="BX587">
        <v>1</v>
      </c>
      <c r="BY587" t="s">
        <v>745</v>
      </c>
      <c r="BZ587" t="s">
        <v>709</v>
      </c>
      <c r="CA587" t="s">
        <v>769</v>
      </c>
      <c r="CB587">
        <v>585</v>
      </c>
      <c r="CC587" t="b">
        <v>1</v>
      </c>
      <c r="CD587" t="s">
        <v>4352</v>
      </c>
      <c r="CE587" s="1482">
        <v>45880.735312500001</v>
      </c>
    </row>
    <row r="588" spans="1:83" x14ac:dyDescent="0.25">
      <c r="A588">
        <v>2022</v>
      </c>
      <c r="B588" t="s">
        <v>4</v>
      </c>
      <c r="C588" t="s">
        <v>4211</v>
      </c>
      <c r="D588">
        <v>1210761</v>
      </c>
      <c r="E588" t="s">
        <v>4213</v>
      </c>
      <c r="F588" t="s">
        <v>738</v>
      </c>
      <c r="G588" t="s">
        <v>23</v>
      </c>
      <c r="H588" t="s">
        <v>4189</v>
      </c>
      <c r="I588">
        <v>44671</v>
      </c>
      <c r="J588" t="s">
        <v>2052</v>
      </c>
      <c r="K588">
        <v>44677</v>
      </c>
      <c r="L588">
        <v>6</v>
      </c>
      <c r="M588" t="s">
        <v>3058</v>
      </c>
      <c r="N588" t="s">
        <v>120</v>
      </c>
      <c r="O588">
        <v>44682</v>
      </c>
      <c r="P588" t="s">
        <v>739</v>
      </c>
      <c r="Q588">
        <v>2400</v>
      </c>
      <c r="R588" t="s">
        <v>1922</v>
      </c>
      <c r="S588" t="s">
        <v>709</v>
      </c>
      <c r="T588" t="s">
        <v>709</v>
      </c>
      <c r="U588">
        <v>2400</v>
      </c>
      <c r="AD588" t="s">
        <v>709</v>
      </c>
      <c r="AM588" t="s">
        <v>709</v>
      </c>
      <c r="AY588" t="s">
        <v>29</v>
      </c>
      <c r="BA588">
        <v>4</v>
      </c>
      <c r="BI588" t="s">
        <v>709</v>
      </c>
      <c r="BJ588" t="s">
        <v>709</v>
      </c>
      <c r="BK588" t="s">
        <v>709</v>
      </c>
      <c r="BL588" t="s">
        <v>116</v>
      </c>
      <c r="BM588" t="s">
        <v>709</v>
      </c>
      <c r="BN588" t="s">
        <v>709</v>
      </c>
      <c r="BO588" t="s">
        <v>709</v>
      </c>
      <c r="BP588" t="s">
        <v>709</v>
      </c>
      <c r="BQ588" t="s">
        <v>709</v>
      </c>
      <c r="BR588">
        <v>748</v>
      </c>
      <c r="BS588" t="s">
        <v>709</v>
      </c>
      <c r="BT588" t="s">
        <v>745</v>
      </c>
      <c r="BU588" t="s">
        <v>709</v>
      </c>
      <c r="BV588" t="s">
        <v>745</v>
      </c>
      <c r="BW588" t="s">
        <v>709</v>
      </c>
      <c r="BX588" t="s">
        <v>745</v>
      </c>
      <c r="BY588" t="s">
        <v>745</v>
      </c>
      <c r="BZ588" t="s">
        <v>709</v>
      </c>
      <c r="CB588">
        <v>586</v>
      </c>
      <c r="CC588" t="b">
        <v>1</v>
      </c>
      <c r="CD588" t="s">
        <v>4353</v>
      </c>
      <c r="CE588" s="1482">
        <v>45880.735324074078</v>
      </c>
    </row>
    <row r="589" spans="1:83" ht="105" x14ac:dyDescent="0.25">
      <c r="A589">
        <v>2022</v>
      </c>
      <c r="B589" t="s">
        <v>769</v>
      </c>
      <c r="C589" t="s">
        <v>1323</v>
      </c>
      <c r="D589" t="s">
        <v>1324</v>
      </c>
      <c r="E589" t="s">
        <v>1325</v>
      </c>
      <c r="F589" t="s">
        <v>752</v>
      </c>
      <c r="G589" t="s">
        <v>34</v>
      </c>
      <c r="H589" t="s">
        <v>4354</v>
      </c>
      <c r="I589">
        <v>44603</v>
      </c>
      <c r="J589">
        <v>44771</v>
      </c>
      <c r="K589">
        <v>44677</v>
      </c>
      <c r="L589">
        <v>94</v>
      </c>
      <c r="N589" t="s">
        <v>120</v>
      </c>
      <c r="O589">
        <v>44757</v>
      </c>
      <c r="P589" t="s">
        <v>739</v>
      </c>
      <c r="Q589">
        <v>20455</v>
      </c>
      <c r="R589" t="s">
        <v>1922</v>
      </c>
      <c r="S589" t="s">
        <v>709</v>
      </c>
      <c r="T589" t="s">
        <v>709</v>
      </c>
      <c r="U589">
        <v>20455</v>
      </c>
      <c r="X589">
        <v>261984.35</v>
      </c>
      <c r="Z589">
        <v>60400.59</v>
      </c>
      <c r="AA589">
        <v>322384.94</v>
      </c>
      <c r="AC589" t="s">
        <v>1177</v>
      </c>
      <c r="AD589" t="s">
        <v>29</v>
      </c>
      <c r="AM589" t="s">
        <v>709</v>
      </c>
      <c r="AY589" t="s">
        <v>29</v>
      </c>
      <c r="BA589" s="4" t="s">
        <v>1326</v>
      </c>
      <c r="BB589" s="4" t="s">
        <v>1327</v>
      </c>
      <c r="BC589" t="s">
        <v>709</v>
      </c>
      <c r="BD589" t="s">
        <v>1328</v>
      </c>
      <c r="BE589" t="s">
        <v>1328</v>
      </c>
      <c r="BF589" t="s">
        <v>1329</v>
      </c>
      <c r="BG589" t="s">
        <v>709</v>
      </c>
      <c r="BI589" t="s">
        <v>709</v>
      </c>
      <c r="BJ589" t="s">
        <v>116</v>
      </c>
      <c r="BK589" t="s">
        <v>709</v>
      </c>
      <c r="BL589" t="s">
        <v>116</v>
      </c>
      <c r="BM589" t="s">
        <v>709</v>
      </c>
      <c r="BN589" t="s">
        <v>709</v>
      </c>
      <c r="BO589" t="s">
        <v>709</v>
      </c>
      <c r="BP589" t="s">
        <v>709</v>
      </c>
      <c r="BQ589" t="s">
        <v>709</v>
      </c>
      <c r="BR589" t="s">
        <v>116</v>
      </c>
      <c r="BS589" t="s">
        <v>116</v>
      </c>
      <c r="BT589">
        <v>1</v>
      </c>
      <c r="BU589" t="s">
        <v>709</v>
      </c>
      <c r="BV589" t="s">
        <v>745</v>
      </c>
      <c r="BW589" t="s">
        <v>709</v>
      </c>
      <c r="BX589">
        <v>1</v>
      </c>
      <c r="BY589" t="s">
        <v>745</v>
      </c>
      <c r="BZ589" t="s">
        <v>709</v>
      </c>
      <c r="CA589" t="s">
        <v>769</v>
      </c>
      <c r="CB589">
        <v>587</v>
      </c>
      <c r="CC589" t="b">
        <v>1</v>
      </c>
      <c r="CD589" t="s">
        <v>4355</v>
      </c>
      <c r="CE589" s="1482">
        <v>45880.735324074078</v>
      </c>
    </row>
    <row r="590" spans="1:83" x14ac:dyDescent="0.25">
      <c r="A590">
        <v>2022</v>
      </c>
      <c r="B590" t="s">
        <v>4</v>
      </c>
      <c r="C590" t="s">
        <v>213</v>
      </c>
      <c r="D590" t="s">
        <v>3724</v>
      </c>
      <c r="E590" t="s">
        <v>141</v>
      </c>
      <c r="F590" t="s">
        <v>919</v>
      </c>
      <c r="G590" t="s">
        <v>25</v>
      </c>
      <c r="H590" t="s">
        <v>4001</v>
      </c>
      <c r="I590">
        <v>44676</v>
      </c>
      <c r="J590" t="s">
        <v>2052</v>
      </c>
      <c r="K590">
        <v>44679</v>
      </c>
      <c r="L590">
        <v>3</v>
      </c>
      <c r="M590" t="s">
        <v>4356</v>
      </c>
      <c r="N590" t="s">
        <v>120</v>
      </c>
      <c r="O590">
        <v>44682</v>
      </c>
      <c r="P590" t="s">
        <v>739</v>
      </c>
      <c r="Q590">
        <v>1960</v>
      </c>
      <c r="R590" t="s">
        <v>1922</v>
      </c>
      <c r="S590" t="s">
        <v>709</v>
      </c>
      <c r="T590" t="s">
        <v>709</v>
      </c>
      <c r="U590">
        <v>1960</v>
      </c>
      <c r="AD590" t="s">
        <v>709</v>
      </c>
      <c r="AM590" t="s">
        <v>709</v>
      </c>
      <c r="AY590" t="s">
        <v>29</v>
      </c>
      <c r="BA590">
        <v>1</v>
      </c>
      <c r="BB590" t="s">
        <v>4357</v>
      </c>
      <c r="BH590" t="s">
        <v>4358</v>
      </c>
      <c r="BI590" t="s">
        <v>709</v>
      </c>
      <c r="BJ590" t="s">
        <v>709</v>
      </c>
      <c r="BK590" t="s">
        <v>709</v>
      </c>
      <c r="BL590" t="s">
        <v>116</v>
      </c>
      <c r="BM590" t="s">
        <v>709</v>
      </c>
      <c r="BN590" t="s">
        <v>709</v>
      </c>
      <c r="BO590" t="s">
        <v>709</v>
      </c>
      <c r="BP590">
        <v>2695</v>
      </c>
      <c r="BQ590">
        <v>173</v>
      </c>
      <c r="BR590">
        <v>12</v>
      </c>
      <c r="BS590">
        <v>911</v>
      </c>
      <c r="BT590" t="s">
        <v>745</v>
      </c>
      <c r="BU590" t="s">
        <v>709</v>
      </c>
      <c r="BV590" t="s">
        <v>745</v>
      </c>
      <c r="BW590" t="s">
        <v>709</v>
      </c>
      <c r="BX590" t="s">
        <v>745</v>
      </c>
      <c r="BY590" t="s">
        <v>745</v>
      </c>
      <c r="BZ590" t="s">
        <v>709</v>
      </c>
      <c r="CB590">
        <v>589</v>
      </c>
      <c r="CC590" t="b">
        <v>1</v>
      </c>
      <c r="CD590" t="s">
        <v>4359</v>
      </c>
      <c r="CE590" s="1482">
        <v>45880.735335648147</v>
      </c>
    </row>
    <row r="591" spans="1:83" ht="105" x14ac:dyDescent="0.25">
      <c r="A591">
        <v>2022</v>
      </c>
      <c r="B591" t="s">
        <v>731</v>
      </c>
      <c r="C591" t="s">
        <v>4360</v>
      </c>
      <c r="D591" t="s">
        <v>4361</v>
      </c>
      <c r="E591" t="s">
        <v>361</v>
      </c>
      <c r="F591" t="s">
        <v>752</v>
      </c>
      <c r="G591" t="s">
        <v>23</v>
      </c>
      <c r="H591" t="s">
        <v>59</v>
      </c>
      <c r="I591">
        <v>44596</v>
      </c>
      <c r="J591">
        <v>44712</v>
      </c>
      <c r="K591">
        <v>44679</v>
      </c>
      <c r="L591">
        <v>33</v>
      </c>
      <c r="N591" t="s">
        <v>120</v>
      </c>
      <c r="O591">
        <v>44682</v>
      </c>
      <c r="P591" t="s">
        <v>739</v>
      </c>
      <c r="Q591">
        <v>8304.1002000000008</v>
      </c>
      <c r="R591">
        <v>0.09</v>
      </c>
      <c r="S591" t="s">
        <v>709</v>
      </c>
      <c r="T591" t="s">
        <v>709</v>
      </c>
      <c r="U591" t="s">
        <v>709</v>
      </c>
      <c r="V591">
        <v>268</v>
      </c>
      <c r="Z591">
        <v>92267.78</v>
      </c>
      <c r="AA591">
        <v>92267.78</v>
      </c>
      <c r="AC591" t="s">
        <v>709</v>
      </c>
      <c r="AM591" t="s">
        <v>116</v>
      </c>
      <c r="AN591">
        <v>44691</v>
      </c>
      <c r="AO591">
        <v>11041957</v>
      </c>
      <c r="AP591">
        <v>0</v>
      </c>
      <c r="AR591">
        <v>92857.55</v>
      </c>
      <c r="AS591">
        <v>92857.55</v>
      </c>
      <c r="AT591">
        <v>589.77</v>
      </c>
      <c r="AU591">
        <v>53.079300000000003</v>
      </c>
      <c r="AV591" t="s">
        <v>709</v>
      </c>
      <c r="AX591">
        <v>53.079300000000003</v>
      </c>
      <c r="AY591">
        <v>45008</v>
      </c>
      <c r="BA591" t="s">
        <v>4362</v>
      </c>
      <c r="BB591" s="4" t="s">
        <v>4363</v>
      </c>
      <c r="BC591" t="s">
        <v>116</v>
      </c>
      <c r="BD591" t="s">
        <v>709</v>
      </c>
      <c r="BE591" t="s">
        <v>1415</v>
      </c>
      <c r="BF591" t="s">
        <v>709</v>
      </c>
      <c r="BG591" t="s">
        <v>709</v>
      </c>
      <c r="BI591" t="s">
        <v>709</v>
      </c>
      <c r="BJ591" t="s">
        <v>709</v>
      </c>
      <c r="BK591" t="s">
        <v>709</v>
      </c>
      <c r="BL591" t="s">
        <v>709</v>
      </c>
      <c r="BM591" t="s">
        <v>709</v>
      </c>
      <c r="BN591" t="s">
        <v>709</v>
      </c>
      <c r="BO591" t="s">
        <v>709</v>
      </c>
      <c r="BP591" t="s">
        <v>709</v>
      </c>
      <c r="BQ591" t="s">
        <v>709</v>
      </c>
      <c r="BR591" t="s">
        <v>709</v>
      </c>
      <c r="BS591" t="s">
        <v>709</v>
      </c>
      <c r="BT591" t="s">
        <v>745</v>
      </c>
      <c r="BU591" t="s">
        <v>709</v>
      </c>
      <c r="BV591">
        <v>2</v>
      </c>
      <c r="BW591" t="s">
        <v>709</v>
      </c>
      <c r="BX591" t="s">
        <v>745</v>
      </c>
      <c r="BY591" t="s">
        <v>745</v>
      </c>
      <c r="BZ591" t="s">
        <v>709</v>
      </c>
      <c r="CA591" t="s">
        <v>1146</v>
      </c>
      <c r="CB591">
        <v>588</v>
      </c>
      <c r="CC591" t="b">
        <v>1</v>
      </c>
      <c r="CD591" t="s">
        <v>4364</v>
      </c>
      <c r="CE591" s="1482">
        <v>45880.735347222224</v>
      </c>
    </row>
    <row r="592" spans="1:83" ht="150" x14ac:dyDescent="0.25">
      <c r="A592">
        <v>2022</v>
      </c>
      <c r="B592" t="s">
        <v>730</v>
      </c>
      <c r="C592" t="s">
        <v>808</v>
      </c>
      <c r="D592" t="s">
        <v>809</v>
      </c>
      <c r="E592" t="s">
        <v>810</v>
      </c>
      <c r="F592" t="s">
        <v>747</v>
      </c>
      <c r="G592" t="s">
        <v>34</v>
      </c>
      <c r="H592" t="s">
        <v>59</v>
      </c>
      <c r="I592">
        <v>44350</v>
      </c>
      <c r="J592">
        <v>44680</v>
      </c>
      <c r="K592">
        <v>44680</v>
      </c>
      <c r="L592">
        <v>0</v>
      </c>
      <c r="N592" t="s">
        <v>120</v>
      </c>
      <c r="O592">
        <v>44682</v>
      </c>
      <c r="P592" t="s">
        <v>120</v>
      </c>
      <c r="Q592">
        <v>19954.719499999999</v>
      </c>
      <c r="R592" t="s">
        <v>794</v>
      </c>
      <c r="S592" t="s">
        <v>709</v>
      </c>
      <c r="T592" t="s">
        <v>709</v>
      </c>
      <c r="U592" t="s">
        <v>709</v>
      </c>
      <c r="V592">
        <v>114</v>
      </c>
      <c r="X592">
        <v>131865.51999999999</v>
      </c>
      <c r="Z592">
        <v>41131.18</v>
      </c>
      <c r="AA592">
        <v>172996.7</v>
      </c>
      <c r="AC592" t="s">
        <v>811</v>
      </c>
      <c r="AD592" t="s">
        <v>29</v>
      </c>
      <c r="AM592" t="s">
        <v>116</v>
      </c>
      <c r="AN592">
        <v>45316</v>
      </c>
      <c r="AO592">
        <v>11037911</v>
      </c>
      <c r="AP592">
        <v>153723.87</v>
      </c>
      <c r="AR592">
        <v>43169.120000000003</v>
      </c>
      <c r="AS592">
        <v>196892.99</v>
      </c>
      <c r="AT592">
        <v>23896.29</v>
      </c>
      <c r="AU592">
        <v>2031.1847</v>
      </c>
      <c r="AV592" t="s">
        <v>29</v>
      </c>
      <c r="AW592" t="s">
        <v>4365</v>
      </c>
      <c r="AX592">
        <v>2031.18</v>
      </c>
      <c r="AY592">
        <v>45566</v>
      </c>
      <c r="AZ592">
        <v>167</v>
      </c>
      <c r="BA592" t="s">
        <v>813</v>
      </c>
      <c r="BB592" s="4" t="s">
        <v>814</v>
      </c>
      <c r="BC592" t="s">
        <v>709</v>
      </c>
      <c r="BD592" t="s">
        <v>815</v>
      </c>
      <c r="BE592" t="s">
        <v>709</v>
      </c>
      <c r="BF592" t="s">
        <v>709</v>
      </c>
      <c r="BG592" t="s">
        <v>709</v>
      </c>
      <c r="BI592" t="s">
        <v>709</v>
      </c>
      <c r="BJ592" t="s">
        <v>116</v>
      </c>
      <c r="BK592" t="s">
        <v>709</v>
      </c>
      <c r="BL592" t="s">
        <v>116</v>
      </c>
      <c r="BM592" t="s">
        <v>709</v>
      </c>
      <c r="BN592" t="s">
        <v>709</v>
      </c>
      <c r="BO592" t="s">
        <v>709</v>
      </c>
      <c r="BP592" t="s">
        <v>709</v>
      </c>
      <c r="BQ592" t="s">
        <v>709</v>
      </c>
      <c r="BR592">
        <v>26</v>
      </c>
      <c r="BS592">
        <v>87</v>
      </c>
      <c r="BT592" t="s">
        <v>745</v>
      </c>
      <c r="BU592">
        <v>1</v>
      </c>
      <c r="BV592" t="s">
        <v>745</v>
      </c>
      <c r="BW592" t="s">
        <v>709</v>
      </c>
      <c r="BX592">
        <v>1</v>
      </c>
      <c r="BY592" t="s">
        <v>745</v>
      </c>
      <c r="BZ592" t="s">
        <v>709</v>
      </c>
      <c r="CB592">
        <v>590</v>
      </c>
      <c r="CC592" t="b">
        <v>1</v>
      </c>
      <c r="CD592" t="s">
        <v>4366</v>
      </c>
      <c r="CE592" s="1482">
        <v>45880.735347222224</v>
      </c>
    </row>
    <row r="593" spans="1:83" ht="409.5" x14ac:dyDescent="0.25">
      <c r="A593">
        <v>2022</v>
      </c>
      <c r="B593" t="s">
        <v>769</v>
      </c>
      <c r="C593" t="s">
        <v>1566</v>
      </c>
      <c r="D593" t="s">
        <v>4367</v>
      </c>
      <c r="E593" t="s">
        <v>3315</v>
      </c>
      <c r="F593" t="s">
        <v>752</v>
      </c>
      <c r="G593" t="s">
        <v>23</v>
      </c>
      <c r="H593" t="s">
        <v>4354</v>
      </c>
      <c r="I593">
        <v>44582</v>
      </c>
      <c r="J593" t="s">
        <v>4354</v>
      </c>
      <c r="K593">
        <v>44680</v>
      </c>
      <c r="L593">
        <v>98</v>
      </c>
      <c r="M593" t="s">
        <v>4368</v>
      </c>
      <c r="N593" t="s">
        <v>120</v>
      </c>
      <c r="O593">
        <v>44682</v>
      </c>
      <c r="P593" t="s">
        <v>120</v>
      </c>
      <c r="Q593">
        <v>51300.95</v>
      </c>
      <c r="R593" t="s">
        <v>1922</v>
      </c>
      <c r="S593" t="s">
        <v>709</v>
      </c>
      <c r="T593">
        <v>3350.95</v>
      </c>
      <c r="U593">
        <v>47950</v>
      </c>
      <c r="AC593" t="s">
        <v>1441</v>
      </c>
      <c r="AM593" t="s">
        <v>709</v>
      </c>
      <c r="AY593" t="s">
        <v>29</v>
      </c>
      <c r="BA593" s="4" t="s">
        <v>4369</v>
      </c>
      <c r="BB593" s="4" t="s">
        <v>4370</v>
      </c>
      <c r="BI593" t="s">
        <v>709</v>
      </c>
      <c r="BJ593" t="s">
        <v>709</v>
      </c>
      <c r="BK593" t="s">
        <v>709</v>
      </c>
      <c r="BL593" t="s">
        <v>116</v>
      </c>
      <c r="BM593" t="s">
        <v>709</v>
      </c>
      <c r="BN593" t="s">
        <v>709</v>
      </c>
      <c r="BO593" t="s">
        <v>709</v>
      </c>
      <c r="BP593" t="s">
        <v>709</v>
      </c>
      <c r="BQ593">
        <v>3967</v>
      </c>
      <c r="BR593">
        <v>95</v>
      </c>
      <c r="BS593">
        <v>590</v>
      </c>
      <c r="BT593">
        <v>1</v>
      </c>
      <c r="BU593" t="s">
        <v>709</v>
      </c>
      <c r="BV593" t="s">
        <v>709</v>
      </c>
      <c r="BW593">
        <v>1</v>
      </c>
      <c r="BX593">
        <v>1</v>
      </c>
      <c r="BY593" t="s">
        <v>709</v>
      </c>
      <c r="BZ593" t="s">
        <v>709</v>
      </c>
      <c r="CA593" t="s">
        <v>1022</v>
      </c>
      <c r="CB593">
        <v>591</v>
      </c>
      <c r="CC593" t="b">
        <v>1</v>
      </c>
      <c r="CD593" t="s">
        <v>4371</v>
      </c>
      <c r="CE593" s="1482">
        <v>45880.73537037037</v>
      </c>
    </row>
    <row r="594" spans="1:83" ht="315" x14ac:dyDescent="0.25">
      <c r="A594">
        <v>2022</v>
      </c>
      <c r="B594" t="s">
        <v>4</v>
      </c>
      <c r="C594" t="s">
        <v>4245</v>
      </c>
      <c r="D594" t="s">
        <v>115</v>
      </c>
      <c r="E594" t="s">
        <v>4246</v>
      </c>
      <c r="F594" t="s">
        <v>738</v>
      </c>
      <c r="G594" t="s">
        <v>39</v>
      </c>
      <c r="H594" t="s">
        <v>4372</v>
      </c>
      <c r="I594">
        <v>44671</v>
      </c>
      <c r="J594" t="s">
        <v>4110</v>
      </c>
      <c r="K594">
        <v>44683</v>
      </c>
      <c r="L594">
        <v>12</v>
      </c>
      <c r="N594" t="s">
        <v>120</v>
      </c>
      <c r="O594">
        <v>44683</v>
      </c>
      <c r="P594" t="s">
        <v>739</v>
      </c>
      <c r="Q594" t="s">
        <v>115</v>
      </c>
      <c r="R594" t="s">
        <v>115</v>
      </c>
      <c r="S594" t="s">
        <v>709</v>
      </c>
      <c r="T594" t="s">
        <v>709</v>
      </c>
      <c r="U594" t="s">
        <v>709</v>
      </c>
      <c r="AM594" t="s">
        <v>709</v>
      </c>
      <c r="AY594" t="s">
        <v>29</v>
      </c>
      <c r="BA594" s="4" t="s">
        <v>4247</v>
      </c>
      <c r="BB594" t="s">
        <v>4248</v>
      </c>
      <c r="CB594">
        <v>592</v>
      </c>
      <c r="CC594" t="b">
        <v>1</v>
      </c>
      <c r="CD594" t="s">
        <v>4373</v>
      </c>
      <c r="CE594" s="1482">
        <v>45880.73537037037</v>
      </c>
    </row>
    <row r="595" spans="1:83" x14ac:dyDescent="0.25">
      <c r="A595">
        <v>2021</v>
      </c>
      <c r="B595" t="s">
        <v>4</v>
      </c>
      <c r="C595" t="s">
        <v>3753</v>
      </c>
      <c r="D595" t="s">
        <v>4374</v>
      </c>
      <c r="E595" t="s">
        <v>2106</v>
      </c>
      <c r="F595" t="s">
        <v>919</v>
      </c>
      <c r="G595" t="s">
        <v>39</v>
      </c>
      <c r="H595" t="s">
        <v>4189</v>
      </c>
      <c r="I595">
        <v>44655</v>
      </c>
      <c r="J595" t="s">
        <v>2052</v>
      </c>
      <c r="K595">
        <v>44684</v>
      </c>
      <c r="L595">
        <v>29</v>
      </c>
      <c r="M595" t="s">
        <v>4328</v>
      </c>
      <c r="N595" t="s">
        <v>120</v>
      </c>
      <c r="O595">
        <v>44684</v>
      </c>
      <c r="P595" t="s">
        <v>739</v>
      </c>
      <c r="Q595">
        <v>2055</v>
      </c>
      <c r="R595" t="s">
        <v>1922</v>
      </c>
      <c r="S595" t="s">
        <v>709</v>
      </c>
      <c r="T595" t="s">
        <v>709</v>
      </c>
      <c r="U595">
        <v>2055</v>
      </c>
      <c r="AD595" t="s">
        <v>709</v>
      </c>
      <c r="AM595" t="s">
        <v>709</v>
      </c>
      <c r="AY595" t="s">
        <v>29</v>
      </c>
      <c r="BA595">
        <v>12</v>
      </c>
      <c r="BB595" t="s">
        <v>4375</v>
      </c>
      <c r="BI595" t="s">
        <v>709</v>
      </c>
      <c r="BJ595" t="s">
        <v>709</v>
      </c>
      <c r="BK595" t="s">
        <v>709</v>
      </c>
      <c r="BL595" t="s">
        <v>709</v>
      </c>
      <c r="BM595" t="s">
        <v>709</v>
      </c>
      <c r="BN595" t="s">
        <v>709</v>
      </c>
      <c r="BO595" t="s">
        <v>709</v>
      </c>
      <c r="BP595" t="s">
        <v>709</v>
      </c>
      <c r="BQ595" t="s">
        <v>709</v>
      </c>
      <c r="BR595" t="s">
        <v>709</v>
      </c>
      <c r="BS595" t="s">
        <v>709</v>
      </c>
      <c r="BT595" t="s">
        <v>709</v>
      </c>
      <c r="BU595" t="s">
        <v>709</v>
      </c>
      <c r="BV595" t="s">
        <v>709</v>
      </c>
      <c r="BW595" t="s">
        <v>709</v>
      </c>
      <c r="BX595" t="s">
        <v>709</v>
      </c>
      <c r="BY595" t="s">
        <v>709</v>
      </c>
      <c r="BZ595" t="s">
        <v>709</v>
      </c>
      <c r="CA595" t="s">
        <v>1146</v>
      </c>
      <c r="CB595">
        <v>594</v>
      </c>
      <c r="CC595" t="b">
        <v>1</v>
      </c>
      <c r="CD595" t="s">
        <v>4376</v>
      </c>
      <c r="CE595" s="1482">
        <v>45880.735381944447</v>
      </c>
    </row>
    <row r="596" spans="1:83" x14ac:dyDescent="0.25">
      <c r="A596">
        <v>2022</v>
      </c>
      <c r="B596" t="s">
        <v>771</v>
      </c>
      <c r="C596" t="s">
        <v>3984</v>
      </c>
      <c r="D596">
        <v>1210721</v>
      </c>
      <c r="E596" t="s">
        <v>342</v>
      </c>
      <c r="F596" t="s">
        <v>738</v>
      </c>
      <c r="G596" t="s">
        <v>23</v>
      </c>
      <c r="H596" t="s">
        <v>4189</v>
      </c>
      <c r="I596">
        <v>44607</v>
      </c>
      <c r="J596" t="s">
        <v>2052</v>
      </c>
      <c r="K596">
        <v>44684</v>
      </c>
      <c r="L596">
        <v>77</v>
      </c>
      <c r="M596" t="s">
        <v>4377</v>
      </c>
      <c r="N596" t="s">
        <v>120</v>
      </c>
      <c r="O596">
        <v>44684</v>
      </c>
      <c r="P596" t="s">
        <v>120</v>
      </c>
      <c r="Q596">
        <v>7005</v>
      </c>
      <c r="R596" t="s">
        <v>1922</v>
      </c>
      <c r="S596" t="s">
        <v>709</v>
      </c>
      <c r="T596" t="s">
        <v>709</v>
      </c>
      <c r="U596">
        <v>7005</v>
      </c>
      <c r="AD596" t="s">
        <v>709</v>
      </c>
      <c r="AM596" t="s">
        <v>709</v>
      </c>
      <c r="AY596" t="s">
        <v>29</v>
      </c>
      <c r="BA596">
        <v>10</v>
      </c>
      <c r="BB596" t="s">
        <v>4378</v>
      </c>
      <c r="BI596" t="s">
        <v>709</v>
      </c>
      <c r="BJ596" t="s">
        <v>709</v>
      </c>
      <c r="BK596" t="s">
        <v>709</v>
      </c>
      <c r="BL596" t="s">
        <v>116</v>
      </c>
      <c r="BM596" t="s">
        <v>709</v>
      </c>
      <c r="BN596" t="s">
        <v>709</v>
      </c>
      <c r="BO596" t="s">
        <v>709</v>
      </c>
      <c r="BP596">
        <v>3715</v>
      </c>
      <c r="BQ596">
        <v>424</v>
      </c>
      <c r="BR596">
        <v>326</v>
      </c>
      <c r="BS596">
        <v>6089</v>
      </c>
      <c r="BT596" t="s">
        <v>709</v>
      </c>
      <c r="BU596" t="s">
        <v>709</v>
      </c>
      <c r="BV596">
        <v>1</v>
      </c>
      <c r="BW596" t="s">
        <v>709</v>
      </c>
      <c r="BX596" t="s">
        <v>745</v>
      </c>
      <c r="BY596" t="s">
        <v>709</v>
      </c>
      <c r="BZ596" t="s">
        <v>709</v>
      </c>
      <c r="CB596">
        <v>595</v>
      </c>
      <c r="CC596" t="b">
        <v>1</v>
      </c>
      <c r="CD596" t="s">
        <v>4379</v>
      </c>
      <c r="CE596" s="1482">
        <v>45880.735393518517</v>
      </c>
    </row>
    <row r="597" spans="1:83" x14ac:dyDescent="0.25">
      <c r="A597">
        <v>2022</v>
      </c>
      <c r="B597" t="s">
        <v>2</v>
      </c>
      <c r="C597" t="s">
        <v>4166</v>
      </c>
      <c r="D597">
        <v>1210878</v>
      </c>
      <c r="E597" t="s">
        <v>393</v>
      </c>
      <c r="F597" t="s">
        <v>752</v>
      </c>
      <c r="G597" t="s">
        <v>4380</v>
      </c>
      <c r="H597" t="s">
        <v>3178</v>
      </c>
      <c r="I597">
        <v>44677</v>
      </c>
      <c r="J597" t="s">
        <v>2052</v>
      </c>
      <c r="K597">
        <v>44684</v>
      </c>
      <c r="L597">
        <v>7</v>
      </c>
      <c r="M597" t="s">
        <v>4381</v>
      </c>
      <c r="N597" t="s">
        <v>120</v>
      </c>
      <c r="O597">
        <v>44684</v>
      </c>
      <c r="P597" t="s">
        <v>739</v>
      </c>
      <c r="Q597">
        <v>1317.5</v>
      </c>
      <c r="R597" t="s">
        <v>1922</v>
      </c>
      <c r="S597" t="s">
        <v>709</v>
      </c>
      <c r="T597" t="s">
        <v>709</v>
      </c>
      <c r="U597">
        <v>1317.5</v>
      </c>
      <c r="AC597" t="s">
        <v>709</v>
      </c>
      <c r="AD597" t="s">
        <v>29</v>
      </c>
      <c r="AM597" t="s">
        <v>709</v>
      </c>
      <c r="AY597" t="s">
        <v>29</v>
      </c>
      <c r="BA597">
        <v>4</v>
      </c>
      <c r="BB597" t="s">
        <v>4382</v>
      </c>
      <c r="BI597" t="s">
        <v>709</v>
      </c>
      <c r="BJ597" t="s">
        <v>709</v>
      </c>
      <c r="BK597" t="s">
        <v>709</v>
      </c>
      <c r="BL597" t="s">
        <v>116</v>
      </c>
      <c r="BM597" t="s">
        <v>709</v>
      </c>
      <c r="BN597" t="s">
        <v>709</v>
      </c>
      <c r="BO597" t="s">
        <v>709</v>
      </c>
      <c r="BP597" t="s">
        <v>709</v>
      </c>
      <c r="BQ597" t="s">
        <v>709</v>
      </c>
      <c r="BR597" t="s">
        <v>709</v>
      </c>
      <c r="BS597">
        <v>25</v>
      </c>
      <c r="BT597" t="s">
        <v>745</v>
      </c>
      <c r="BU597" t="s">
        <v>709</v>
      </c>
      <c r="BV597">
        <v>2</v>
      </c>
      <c r="BW597" t="s">
        <v>709</v>
      </c>
      <c r="BX597" t="s">
        <v>745</v>
      </c>
      <c r="BY597" t="s">
        <v>745</v>
      </c>
      <c r="BZ597" t="s">
        <v>709</v>
      </c>
      <c r="CA597" t="s">
        <v>2</v>
      </c>
      <c r="CB597">
        <v>593</v>
      </c>
      <c r="CC597" t="b">
        <v>1</v>
      </c>
      <c r="CD597" t="s">
        <v>4383</v>
      </c>
      <c r="CE597" s="1482">
        <v>45880.735393518517</v>
      </c>
    </row>
    <row r="598" spans="1:83" ht="285" x14ac:dyDescent="0.25">
      <c r="A598">
        <v>2022</v>
      </c>
      <c r="B598" t="s">
        <v>4</v>
      </c>
      <c r="C598" t="s">
        <v>4384</v>
      </c>
      <c r="D598" t="s">
        <v>4385</v>
      </c>
      <c r="E598" t="s">
        <v>4386</v>
      </c>
      <c r="F598" t="s">
        <v>919</v>
      </c>
      <c r="G598" t="s">
        <v>39</v>
      </c>
      <c r="H598" t="s">
        <v>59</v>
      </c>
      <c r="I598">
        <v>44602</v>
      </c>
      <c r="J598">
        <v>44697</v>
      </c>
      <c r="K598">
        <v>44685</v>
      </c>
      <c r="L598">
        <v>12</v>
      </c>
      <c r="N598" t="s">
        <v>120</v>
      </c>
      <c r="O598">
        <v>44685</v>
      </c>
      <c r="P598" t="s">
        <v>739</v>
      </c>
      <c r="Q598">
        <v>35825.695</v>
      </c>
      <c r="R598">
        <v>0.1</v>
      </c>
      <c r="S598" t="s">
        <v>709</v>
      </c>
      <c r="T598" t="s">
        <v>709</v>
      </c>
      <c r="U598" t="s">
        <v>709</v>
      </c>
      <c r="V598">
        <v>639</v>
      </c>
      <c r="X598">
        <v>337230.85</v>
      </c>
      <c r="Z598">
        <v>21026.1</v>
      </c>
      <c r="AA598">
        <v>358256.95</v>
      </c>
      <c r="AC598" t="s">
        <v>116</v>
      </c>
      <c r="AM598" t="s">
        <v>116</v>
      </c>
      <c r="AN598">
        <v>44721</v>
      </c>
      <c r="AO598">
        <v>11040235</v>
      </c>
      <c r="AP598">
        <v>349636.46</v>
      </c>
      <c r="AR598">
        <v>31028.32</v>
      </c>
      <c r="AS598">
        <v>380664.78</v>
      </c>
      <c r="AT598">
        <v>22407.83</v>
      </c>
      <c r="AU598">
        <v>2240.7829999999999</v>
      </c>
      <c r="AV598" t="s">
        <v>709</v>
      </c>
      <c r="AW598" t="s">
        <v>2219</v>
      </c>
      <c r="AX598">
        <v>2240.7829999999999</v>
      </c>
      <c r="AY598">
        <v>45008</v>
      </c>
      <c r="BA598" s="4" t="s">
        <v>4387</v>
      </c>
      <c r="BB598" t="s">
        <v>4388</v>
      </c>
      <c r="BC598" t="s">
        <v>116</v>
      </c>
      <c r="BD598" t="s">
        <v>709</v>
      </c>
      <c r="BE598" t="s">
        <v>709</v>
      </c>
      <c r="BF598" t="s">
        <v>4389</v>
      </c>
      <c r="BG598" t="s">
        <v>709</v>
      </c>
      <c r="BI598" t="s">
        <v>709</v>
      </c>
      <c r="BJ598" t="s">
        <v>709</v>
      </c>
      <c r="BK598" t="s">
        <v>709</v>
      </c>
      <c r="BL598" t="s">
        <v>116</v>
      </c>
      <c r="BM598" t="s">
        <v>709</v>
      </c>
      <c r="BN598" t="s">
        <v>709</v>
      </c>
      <c r="BO598" t="s">
        <v>709</v>
      </c>
      <c r="BP598">
        <v>639</v>
      </c>
      <c r="BQ598" t="s">
        <v>709</v>
      </c>
      <c r="BR598" t="s">
        <v>709</v>
      </c>
      <c r="BS598" t="s">
        <v>709</v>
      </c>
      <c r="BT598" t="s">
        <v>745</v>
      </c>
      <c r="BU598" t="s">
        <v>709</v>
      </c>
      <c r="BV598" t="s">
        <v>745</v>
      </c>
      <c r="BW598" t="s">
        <v>709</v>
      </c>
      <c r="BX598" t="s">
        <v>745</v>
      </c>
      <c r="BY598" t="s">
        <v>745</v>
      </c>
      <c r="BZ598" t="s">
        <v>709</v>
      </c>
      <c r="CB598">
        <v>597</v>
      </c>
      <c r="CC598" t="b">
        <v>1</v>
      </c>
      <c r="CD598" t="s">
        <v>4390</v>
      </c>
      <c r="CE598" s="1482">
        <v>45880.735405092593</v>
      </c>
    </row>
    <row r="599" spans="1:83" x14ac:dyDescent="0.25">
      <c r="A599">
        <v>2022</v>
      </c>
      <c r="B599" t="s">
        <v>771</v>
      </c>
      <c r="C599" t="s">
        <v>4391</v>
      </c>
      <c r="D599" t="s">
        <v>4392</v>
      </c>
      <c r="E599" t="s">
        <v>3351</v>
      </c>
      <c r="F599" t="s">
        <v>747</v>
      </c>
      <c r="G599" t="s">
        <v>36</v>
      </c>
      <c r="H599" t="s">
        <v>59</v>
      </c>
      <c r="I599">
        <v>44286</v>
      </c>
      <c r="J599">
        <v>44771</v>
      </c>
      <c r="K599">
        <v>44685</v>
      </c>
      <c r="L599">
        <v>86</v>
      </c>
      <c r="N599" t="s">
        <v>120</v>
      </c>
      <c r="O599">
        <v>44685</v>
      </c>
      <c r="P599" t="s">
        <v>120</v>
      </c>
      <c r="Q599">
        <v>24614.55</v>
      </c>
      <c r="R599">
        <v>0.09</v>
      </c>
      <c r="S599" t="s">
        <v>709</v>
      </c>
      <c r="T599" t="s">
        <v>709</v>
      </c>
      <c r="U599" t="s">
        <v>709</v>
      </c>
      <c r="V599">
        <v>686</v>
      </c>
      <c r="X599">
        <v>249494.54</v>
      </c>
      <c r="Z599">
        <v>24000.46</v>
      </c>
      <c r="AA599">
        <v>273495</v>
      </c>
      <c r="AC599" t="s">
        <v>709</v>
      </c>
      <c r="AM599" t="s">
        <v>116</v>
      </c>
      <c r="AN599">
        <v>44741</v>
      </c>
      <c r="AO599">
        <v>11033935</v>
      </c>
      <c r="AP599">
        <v>249799.88</v>
      </c>
      <c r="AR599">
        <v>24000.46</v>
      </c>
      <c r="AS599">
        <v>273800.34000000003</v>
      </c>
      <c r="AT599">
        <v>305.33999999999997</v>
      </c>
      <c r="AU599">
        <v>27.480599999999999</v>
      </c>
      <c r="AV599" t="s">
        <v>709</v>
      </c>
      <c r="AX599">
        <v>27.480599999999999</v>
      </c>
      <c r="AY599">
        <v>45008</v>
      </c>
      <c r="BA599" t="s">
        <v>4393</v>
      </c>
      <c r="BB599" t="s">
        <v>4394</v>
      </c>
      <c r="BC599" t="s">
        <v>709</v>
      </c>
      <c r="BD599" t="s">
        <v>709</v>
      </c>
      <c r="BE599" t="s">
        <v>3354</v>
      </c>
      <c r="BF599" t="s">
        <v>709</v>
      </c>
      <c r="BG599" t="s">
        <v>709</v>
      </c>
      <c r="BI599" t="s">
        <v>709</v>
      </c>
      <c r="BJ599" t="s">
        <v>709</v>
      </c>
      <c r="BK599" t="s">
        <v>709</v>
      </c>
      <c r="BL599" t="s">
        <v>116</v>
      </c>
      <c r="BM599" t="s">
        <v>709</v>
      </c>
      <c r="BN599" t="s">
        <v>709</v>
      </c>
      <c r="BO599" t="s">
        <v>709</v>
      </c>
      <c r="BP599" t="s">
        <v>709</v>
      </c>
      <c r="BQ599" t="s">
        <v>709</v>
      </c>
      <c r="BR599" t="s">
        <v>709</v>
      </c>
      <c r="BS599">
        <v>686</v>
      </c>
      <c r="BT599" t="s">
        <v>709</v>
      </c>
      <c r="BU599" t="s">
        <v>709</v>
      </c>
      <c r="BV599" t="s">
        <v>745</v>
      </c>
      <c r="BW599" t="s">
        <v>709</v>
      </c>
      <c r="BX599" t="s">
        <v>709</v>
      </c>
      <c r="BY599" t="s">
        <v>745</v>
      </c>
      <c r="BZ599" t="s">
        <v>709</v>
      </c>
      <c r="CB599">
        <v>596</v>
      </c>
      <c r="CC599" t="b">
        <v>1</v>
      </c>
      <c r="CD599" t="s">
        <v>4395</v>
      </c>
      <c r="CE599" s="1482">
        <v>45880.735405092593</v>
      </c>
    </row>
    <row r="600" spans="1:83" ht="135" x14ac:dyDescent="0.25">
      <c r="A600">
        <v>2022</v>
      </c>
      <c r="B600" t="s">
        <v>730</v>
      </c>
      <c r="C600" t="s">
        <v>294</v>
      </c>
      <c r="D600" t="s">
        <v>1249</v>
      </c>
      <c r="E600" t="s">
        <v>295</v>
      </c>
      <c r="F600" t="s">
        <v>752</v>
      </c>
      <c r="G600" t="s">
        <v>40</v>
      </c>
      <c r="H600" t="s">
        <v>59</v>
      </c>
      <c r="I600">
        <v>44603</v>
      </c>
      <c r="J600">
        <v>44715</v>
      </c>
      <c r="K600">
        <v>44685</v>
      </c>
      <c r="L600">
        <v>30</v>
      </c>
      <c r="N600" t="s">
        <v>120</v>
      </c>
      <c r="O600">
        <v>44685</v>
      </c>
      <c r="P600" t="s">
        <v>739</v>
      </c>
      <c r="Q600">
        <v>26388.316800000001</v>
      </c>
      <c r="R600" t="s">
        <v>794</v>
      </c>
      <c r="S600" t="s">
        <v>709</v>
      </c>
      <c r="T600" t="s">
        <v>709</v>
      </c>
      <c r="U600" t="s">
        <v>709</v>
      </c>
      <c r="V600">
        <v>125</v>
      </c>
      <c r="X600">
        <v>210299.3</v>
      </c>
      <c r="Z600">
        <v>38386.78</v>
      </c>
      <c r="AA600">
        <v>248686.07999999999</v>
      </c>
      <c r="AC600" t="s">
        <v>1056</v>
      </c>
      <c r="AE600" t="s">
        <v>29</v>
      </c>
      <c r="AF600" t="s">
        <v>29</v>
      </c>
      <c r="AG600" t="s">
        <v>29</v>
      </c>
      <c r="AH600" t="s">
        <v>29</v>
      </c>
      <c r="AM600" t="s">
        <v>116</v>
      </c>
      <c r="AN600" t="s">
        <v>709</v>
      </c>
      <c r="AO600">
        <v>11042140</v>
      </c>
      <c r="AS600">
        <v>0</v>
      </c>
      <c r="AT600">
        <v>0</v>
      </c>
      <c r="AU600">
        <v>0</v>
      </c>
      <c r="AY600" t="s">
        <v>709</v>
      </c>
      <c r="AZ600">
        <v>168</v>
      </c>
      <c r="BA600" t="s">
        <v>1250</v>
      </c>
      <c r="BB600" s="4" t="s">
        <v>1251</v>
      </c>
      <c r="BC600" t="s">
        <v>709</v>
      </c>
      <c r="BD600" t="s">
        <v>709</v>
      </c>
      <c r="BE600" t="s">
        <v>1252</v>
      </c>
      <c r="BF600" t="s">
        <v>1252</v>
      </c>
      <c r="BG600" t="s">
        <v>709</v>
      </c>
      <c r="BI600" t="s">
        <v>709</v>
      </c>
      <c r="BJ600" t="s">
        <v>116</v>
      </c>
      <c r="BK600" t="s">
        <v>709</v>
      </c>
      <c r="BL600" t="s">
        <v>116</v>
      </c>
      <c r="BM600" t="s">
        <v>709</v>
      </c>
      <c r="BN600" t="s">
        <v>709</v>
      </c>
      <c r="BO600" t="s">
        <v>709</v>
      </c>
      <c r="BP600" t="s">
        <v>709</v>
      </c>
      <c r="BQ600" t="s">
        <v>709</v>
      </c>
      <c r="BR600" t="s">
        <v>709</v>
      </c>
      <c r="BS600">
        <v>125</v>
      </c>
      <c r="BT600" t="s">
        <v>745</v>
      </c>
      <c r="BU600">
        <v>1</v>
      </c>
      <c r="BV600" t="s">
        <v>745</v>
      </c>
      <c r="BW600" t="s">
        <v>709</v>
      </c>
      <c r="BX600">
        <v>1</v>
      </c>
      <c r="BY600" t="s">
        <v>745</v>
      </c>
      <c r="BZ600" t="s">
        <v>709</v>
      </c>
      <c r="CB600">
        <v>598</v>
      </c>
      <c r="CC600" t="b">
        <v>1</v>
      </c>
      <c r="CD600" t="s">
        <v>4396</v>
      </c>
      <c r="CE600" s="1482">
        <v>45880.735405092593</v>
      </c>
    </row>
    <row r="601" spans="1:83" ht="315" x14ac:dyDescent="0.25">
      <c r="A601">
        <v>2022</v>
      </c>
      <c r="B601" t="s">
        <v>759</v>
      </c>
      <c r="C601" t="s">
        <v>4397</v>
      </c>
      <c r="D601" t="s">
        <v>4398</v>
      </c>
      <c r="E601" t="s">
        <v>438</v>
      </c>
      <c r="F601" t="s">
        <v>752</v>
      </c>
      <c r="G601" t="s">
        <v>40</v>
      </c>
      <c r="H601" t="s">
        <v>59</v>
      </c>
      <c r="I601">
        <v>44600</v>
      </c>
      <c r="J601">
        <v>44687</v>
      </c>
      <c r="K601">
        <v>44687</v>
      </c>
      <c r="L601">
        <v>0</v>
      </c>
      <c r="N601" t="s">
        <v>120</v>
      </c>
      <c r="O601">
        <v>44687</v>
      </c>
      <c r="P601" t="s">
        <v>120</v>
      </c>
      <c r="Q601">
        <v>62048.726300000002</v>
      </c>
      <c r="R601" t="s">
        <v>794</v>
      </c>
      <c r="S601" t="s">
        <v>709</v>
      </c>
      <c r="T601" t="s">
        <v>709</v>
      </c>
      <c r="U601" t="s">
        <v>709</v>
      </c>
      <c r="V601">
        <v>879</v>
      </c>
      <c r="X601">
        <v>587980.84</v>
      </c>
      <c r="Z601">
        <v>80239.47</v>
      </c>
      <c r="AA601">
        <v>668220.31000000006</v>
      </c>
      <c r="AC601" t="s">
        <v>1177</v>
      </c>
      <c r="AM601" t="s">
        <v>116</v>
      </c>
      <c r="AN601">
        <v>44734</v>
      </c>
      <c r="AO601">
        <v>11039335</v>
      </c>
      <c r="AP601">
        <v>589890.02</v>
      </c>
      <c r="AR601">
        <v>80242.679999999993</v>
      </c>
      <c r="AS601">
        <v>670132.69999999995</v>
      </c>
      <c r="AT601">
        <v>1912.39</v>
      </c>
      <c r="AU601">
        <v>162.5532</v>
      </c>
      <c r="AV601" t="s">
        <v>709</v>
      </c>
      <c r="AX601">
        <v>162.5532</v>
      </c>
      <c r="AY601">
        <v>45008</v>
      </c>
      <c r="BA601" s="4" t="s">
        <v>4399</v>
      </c>
      <c r="BB601" s="4" t="s">
        <v>4400</v>
      </c>
      <c r="BC601" t="s">
        <v>709</v>
      </c>
      <c r="BD601" t="s">
        <v>709</v>
      </c>
      <c r="BE601" t="s">
        <v>4401</v>
      </c>
      <c r="BF601" t="s">
        <v>709</v>
      </c>
      <c r="BG601" t="s">
        <v>709</v>
      </c>
      <c r="BI601" t="s">
        <v>709</v>
      </c>
      <c r="BJ601" t="s">
        <v>709</v>
      </c>
      <c r="BK601" t="s">
        <v>709</v>
      </c>
      <c r="BL601" t="s">
        <v>116</v>
      </c>
      <c r="BM601" t="s">
        <v>709</v>
      </c>
      <c r="BN601" t="s">
        <v>709</v>
      </c>
      <c r="BO601" t="s">
        <v>709</v>
      </c>
      <c r="BP601" t="s">
        <v>709</v>
      </c>
      <c r="BQ601">
        <v>441</v>
      </c>
      <c r="BR601">
        <v>276</v>
      </c>
      <c r="BS601" t="s">
        <v>709</v>
      </c>
      <c r="BT601">
        <v>1</v>
      </c>
      <c r="BU601" t="s">
        <v>709</v>
      </c>
      <c r="BV601" t="s">
        <v>745</v>
      </c>
      <c r="BW601">
        <v>1</v>
      </c>
      <c r="BX601" t="s">
        <v>745</v>
      </c>
      <c r="BY601" t="s">
        <v>745</v>
      </c>
      <c r="BZ601" t="s">
        <v>709</v>
      </c>
      <c r="CB601">
        <v>599</v>
      </c>
      <c r="CC601" t="b">
        <v>1</v>
      </c>
      <c r="CD601" t="s">
        <v>4402</v>
      </c>
      <c r="CE601" s="1482">
        <v>45880.73541666667</v>
      </c>
    </row>
    <row r="602" spans="1:83" ht="90" x14ac:dyDescent="0.25">
      <c r="A602">
        <v>2022</v>
      </c>
      <c r="B602" t="s">
        <v>759</v>
      </c>
      <c r="C602" t="s">
        <v>4403</v>
      </c>
      <c r="D602" t="s">
        <v>4404</v>
      </c>
      <c r="E602" t="s">
        <v>137</v>
      </c>
      <c r="F602" t="s">
        <v>738</v>
      </c>
      <c r="G602" t="s">
        <v>23</v>
      </c>
      <c r="H602" t="s">
        <v>59</v>
      </c>
      <c r="I602">
        <v>44480</v>
      </c>
      <c r="J602">
        <v>44687</v>
      </c>
      <c r="K602">
        <v>44687</v>
      </c>
      <c r="L602">
        <v>0</v>
      </c>
      <c r="N602" t="s">
        <v>120</v>
      </c>
      <c r="O602">
        <v>44687</v>
      </c>
      <c r="P602" t="s">
        <v>120</v>
      </c>
      <c r="Q602">
        <v>86888.232900000003</v>
      </c>
      <c r="R602">
        <v>0.09</v>
      </c>
      <c r="S602" t="s">
        <v>709</v>
      </c>
      <c r="T602" t="s">
        <v>709</v>
      </c>
      <c r="U602" t="s">
        <v>709</v>
      </c>
      <c r="V602">
        <v>4632</v>
      </c>
      <c r="X602">
        <v>812662.72</v>
      </c>
      <c r="Z602">
        <v>152762.09</v>
      </c>
      <c r="AA602">
        <v>965424.81</v>
      </c>
      <c r="AC602" t="s">
        <v>709</v>
      </c>
      <c r="AM602" t="s">
        <v>116</v>
      </c>
      <c r="AN602">
        <v>45184</v>
      </c>
      <c r="AO602">
        <v>11038112</v>
      </c>
      <c r="AP602">
        <v>968831.86</v>
      </c>
      <c r="AR602">
        <v>158931.72</v>
      </c>
      <c r="AS602">
        <v>1127763.58</v>
      </c>
      <c r="AT602">
        <v>162338.76999999999</v>
      </c>
      <c r="AU602">
        <v>14610.489299999999</v>
      </c>
      <c r="AV602">
        <v>2210</v>
      </c>
      <c r="AW602" t="s">
        <v>4405</v>
      </c>
      <c r="AX602">
        <v>0</v>
      </c>
      <c r="AY602">
        <v>45375</v>
      </c>
      <c r="BA602" t="s">
        <v>4406</v>
      </c>
      <c r="BB602" s="4" t="s">
        <v>4407</v>
      </c>
      <c r="BC602" t="s">
        <v>116</v>
      </c>
      <c r="BD602" t="s">
        <v>709</v>
      </c>
      <c r="BE602" t="s">
        <v>2484</v>
      </c>
      <c r="BF602" t="s">
        <v>709</v>
      </c>
      <c r="BG602" t="s">
        <v>709</v>
      </c>
      <c r="BI602" t="s">
        <v>709</v>
      </c>
      <c r="BJ602" t="s">
        <v>709</v>
      </c>
      <c r="BK602" t="s">
        <v>709</v>
      </c>
      <c r="BL602" t="s">
        <v>116</v>
      </c>
      <c r="BM602" t="s">
        <v>709</v>
      </c>
      <c r="BN602" t="s">
        <v>709</v>
      </c>
      <c r="BO602" t="s">
        <v>709</v>
      </c>
      <c r="BP602" t="s">
        <v>709</v>
      </c>
      <c r="BQ602" t="s">
        <v>709</v>
      </c>
      <c r="BR602">
        <v>3599</v>
      </c>
      <c r="BS602">
        <v>1033</v>
      </c>
      <c r="BT602" t="s">
        <v>709</v>
      </c>
      <c r="BU602" t="s">
        <v>709</v>
      </c>
      <c r="BV602" t="s">
        <v>709</v>
      </c>
      <c r="BW602">
        <v>1</v>
      </c>
      <c r="BX602" t="s">
        <v>709</v>
      </c>
      <c r="BY602" t="s">
        <v>709</v>
      </c>
      <c r="BZ602" t="s">
        <v>709</v>
      </c>
      <c r="CA602" t="s">
        <v>769</v>
      </c>
      <c r="CB602">
        <v>600</v>
      </c>
      <c r="CC602" t="b">
        <v>1</v>
      </c>
      <c r="CD602" t="s">
        <v>4408</v>
      </c>
      <c r="CE602" s="1482">
        <v>45880.73541666667</v>
      </c>
    </row>
    <row r="603" spans="1:83" ht="255" x14ac:dyDescent="0.25">
      <c r="A603">
        <v>2022</v>
      </c>
      <c r="B603" t="s">
        <v>4</v>
      </c>
      <c r="C603" t="s">
        <v>1253</v>
      </c>
      <c r="D603" t="s">
        <v>1254</v>
      </c>
      <c r="E603" t="s">
        <v>1255</v>
      </c>
      <c r="F603" t="s">
        <v>738</v>
      </c>
      <c r="G603" t="s">
        <v>23</v>
      </c>
      <c r="H603" t="s">
        <v>59</v>
      </c>
      <c r="I603">
        <v>44631</v>
      </c>
      <c r="J603">
        <v>44694</v>
      </c>
      <c r="K603">
        <v>44690</v>
      </c>
      <c r="L603">
        <v>4</v>
      </c>
      <c r="N603" t="s">
        <v>120</v>
      </c>
      <c r="O603">
        <v>44690</v>
      </c>
      <c r="P603" t="s">
        <v>739</v>
      </c>
      <c r="Q603">
        <v>34712.472999999998</v>
      </c>
      <c r="R603">
        <v>0.1</v>
      </c>
      <c r="S603" t="s">
        <v>709</v>
      </c>
      <c r="T603" t="s">
        <v>709</v>
      </c>
      <c r="U603" t="s">
        <v>709</v>
      </c>
      <c r="V603">
        <v>1282</v>
      </c>
      <c r="X603">
        <v>308709.96000000002</v>
      </c>
      <c r="Z603">
        <v>38414.769999999997</v>
      </c>
      <c r="AA603">
        <v>347124.73</v>
      </c>
      <c r="AC603" t="s">
        <v>709</v>
      </c>
      <c r="AM603" t="s">
        <v>116</v>
      </c>
      <c r="AN603" t="s">
        <v>709</v>
      </c>
      <c r="AO603" t="s">
        <v>115</v>
      </c>
      <c r="AS603">
        <v>0</v>
      </c>
      <c r="AT603">
        <v>0</v>
      </c>
      <c r="AU603">
        <v>0</v>
      </c>
      <c r="AY603" t="s">
        <v>709</v>
      </c>
      <c r="AZ603">
        <v>66</v>
      </c>
      <c r="BA603" s="4" t="s">
        <v>1256</v>
      </c>
      <c r="BB603" t="s">
        <v>1257</v>
      </c>
      <c r="BC603" t="s">
        <v>116</v>
      </c>
      <c r="BD603" t="s">
        <v>709</v>
      </c>
      <c r="BE603" t="s">
        <v>1258</v>
      </c>
      <c r="BF603" t="s">
        <v>709</v>
      </c>
      <c r="BG603" t="s">
        <v>709</v>
      </c>
      <c r="BI603" t="s">
        <v>709</v>
      </c>
      <c r="BJ603" t="s">
        <v>709</v>
      </c>
      <c r="BK603" t="s">
        <v>709</v>
      </c>
      <c r="BL603" t="s">
        <v>116</v>
      </c>
      <c r="BM603" t="s">
        <v>709</v>
      </c>
      <c r="BN603" t="s">
        <v>709</v>
      </c>
      <c r="BO603" t="s">
        <v>709</v>
      </c>
      <c r="BP603" t="s">
        <v>709</v>
      </c>
      <c r="BQ603" t="s">
        <v>709</v>
      </c>
      <c r="BR603">
        <v>1070</v>
      </c>
      <c r="BS603">
        <v>212</v>
      </c>
      <c r="BT603" t="s">
        <v>745</v>
      </c>
      <c r="BU603" t="s">
        <v>709</v>
      </c>
      <c r="BV603" t="s">
        <v>745</v>
      </c>
      <c r="BW603" t="s">
        <v>709</v>
      </c>
      <c r="BX603" t="s">
        <v>745</v>
      </c>
      <c r="BY603" t="s">
        <v>745</v>
      </c>
      <c r="BZ603" t="s">
        <v>709</v>
      </c>
      <c r="CB603">
        <v>601</v>
      </c>
      <c r="CC603" t="b">
        <v>1</v>
      </c>
      <c r="CD603" t="s">
        <v>4409</v>
      </c>
      <c r="CE603" s="1482">
        <v>45880.73542824074</v>
      </c>
    </row>
    <row r="604" spans="1:83" x14ac:dyDescent="0.25">
      <c r="A604">
        <v>2021</v>
      </c>
      <c r="B604" t="s">
        <v>4</v>
      </c>
      <c r="C604" t="s">
        <v>3159</v>
      </c>
      <c r="D604" t="s">
        <v>3160</v>
      </c>
      <c r="E604" t="s">
        <v>393</v>
      </c>
      <c r="F604" t="s">
        <v>738</v>
      </c>
      <c r="G604" t="s">
        <v>1882</v>
      </c>
      <c r="H604" t="s">
        <v>4001</v>
      </c>
      <c r="I604">
        <v>44540</v>
      </c>
      <c r="J604" t="s">
        <v>2052</v>
      </c>
      <c r="K604">
        <v>44691</v>
      </c>
      <c r="L604">
        <v>151</v>
      </c>
      <c r="M604" t="s">
        <v>4410</v>
      </c>
      <c r="N604" t="s">
        <v>120</v>
      </c>
      <c r="O604">
        <v>44691</v>
      </c>
      <c r="P604" t="s">
        <v>120</v>
      </c>
      <c r="Q604">
        <v>6430</v>
      </c>
      <c r="R604" t="s">
        <v>1922</v>
      </c>
      <c r="S604" t="s">
        <v>709</v>
      </c>
      <c r="T604" t="s">
        <v>709</v>
      </c>
      <c r="U604">
        <v>6430</v>
      </c>
      <c r="AD604" t="s">
        <v>709</v>
      </c>
      <c r="AM604" t="s">
        <v>709</v>
      </c>
      <c r="AY604" t="s">
        <v>29</v>
      </c>
      <c r="BA604">
        <v>11</v>
      </c>
      <c r="BB604" t="s">
        <v>4411</v>
      </c>
      <c r="BI604" t="s">
        <v>709</v>
      </c>
      <c r="BJ604" t="s">
        <v>709</v>
      </c>
      <c r="BK604" t="s">
        <v>709</v>
      </c>
      <c r="BL604" t="s">
        <v>116</v>
      </c>
      <c r="BM604">
        <v>55</v>
      </c>
      <c r="BN604">
        <v>4125</v>
      </c>
      <c r="BO604" t="s">
        <v>709</v>
      </c>
      <c r="BP604" t="s">
        <v>709</v>
      </c>
      <c r="BQ604">
        <v>93</v>
      </c>
      <c r="BR604">
        <v>367</v>
      </c>
      <c r="BS604">
        <v>630</v>
      </c>
      <c r="BT604" t="s">
        <v>709</v>
      </c>
      <c r="BU604" t="s">
        <v>709</v>
      </c>
      <c r="BV604" t="s">
        <v>709</v>
      </c>
      <c r="BW604" t="s">
        <v>709</v>
      </c>
      <c r="BX604" t="s">
        <v>745</v>
      </c>
      <c r="BY604" t="s">
        <v>709</v>
      </c>
      <c r="BZ604" t="s">
        <v>709</v>
      </c>
      <c r="CB604">
        <v>603</v>
      </c>
      <c r="CC604" t="b">
        <v>1</v>
      </c>
      <c r="CD604" t="s">
        <v>4412</v>
      </c>
      <c r="CE604" s="1482">
        <v>45880.73542824074</v>
      </c>
    </row>
    <row r="605" spans="1:83" x14ac:dyDescent="0.25">
      <c r="A605">
        <v>2021</v>
      </c>
      <c r="B605" t="s">
        <v>769</v>
      </c>
      <c r="C605" t="s">
        <v>1186</v>
      </c>
      <c r="D605" t="s">
        <v>1187</v>
      </c>
      <c r="E605" t="s">
        <v>393</v>
      </c>
      <c r="F605" t="s">
        <v>738</v>
      </c>
      <c r="G605" t="s">
        <v>1882</v>
      </c>
      <c r="H605" t="s">
        <v>4001</v>
      </c>
      <c r="I605">
        <v>44420</v>
      </c>
      <c r="J605" t="s">
        <v>2052</v>
      </c>
      <c r="K605">
        <v>44691</v>
      </c>
      <c r="L605">
        <v>271</v>
      </c>
      <c r="M605" t="s">
        <v>4410</v>
      </c>
      <c r="N605" t="s">
        <v>120</v>
      </c>
      <c r="O605">
        <v>44691</v>
      </c>
      <c r="P605" t="s">
        <v>120</v>
      </c>
      <c r="Q605">
        <v>9250</v>
      </c>
      <c r="R605" t="s">
        <v>1922</v>
      </c>
      <c r="S605" t="s">
        <v>709</v>
      </c>
      <c r="T605" t="s">
        <v>709</v>
      </c>
      <c r="U605">
        <v>9250</v>
      </c>
      <c r="AC605" t="s">
        <v>709</v>
      </c>
      <c r="AD605" t="s">
        <v>709</v>
      </c>
      <c r="AM605" t="s">
        <v>709</v>
      </c>
      <c r="AY605" t="s">
        <v>29</v>
      </c>
      <c r="BA605">
        <v>11</v>
      </c>
      <c r="BB605" t="s">
        <v>4411</v>
      </c>
      <c r="BI605" t="s">
        <v>709</v>
      </c>
      <c r="BJ605" t="s">
        <v>709</v>
      </c>
      <c r="BK605" t="s">
        <v>116</v>
      </c>
      <c r="BL605" t="s">
        <v>116</v>
      </c>
      <c r="BM605" t="s">
        <v>709</v>
      </c>
      <c r="BN605">
        <v>17</v>
      </c>
      <c r="BO605" t="s">
        <v>709</v>
      </c>
      <c r="BP605" t="s">
        <v>709</v>
      </c>
      <c r="BQ605">
        <v>546</v>
      </c>
      <c r="BR605">
        <v>507</v>
      </c>
      <c r="BS605">
        <v>1553</v>
      </c>
      <c r="BT605" t="s">
        <v>709</v>
      </c>
      <c r="BU605" t="s">
        <v>709</v>
      </c>
      <c r="BV605" t="s">
        <v>709</v>
      </c>
      <c r="BW605" t="s">
        <v>709</v>
      </c>
      <c r="BX605" t="s">
        <v>709</v>
      </c>
      <c r="BY605" t="s">
        <v>709</v>
      </c>
      <c r="BZ605" t="s">
        <v>709</v>
      </c>
      <c r="CA605" t="s">
        <v>769</v>
      </c>
      <c r="CB605">
        <v>602</v>
      </c>
      <c r="CC605" t="b">
        <v>1</v>
      </c>
      <c r="CD605" t="s">
        <v>4413</v>
      </c>
      <c r="CE605" s="1482">
        <v>45880.735439814816</v>
      </c>
    </row>
    <row r="606" spans="1:83" ht="270" x14ac:dyDescent="0.25">
      <c r="A606">
        <v>2022</v>
      </c>
      <c r="B606" t="s">
        <v>4</v>
      </c>
      <c r="C606" t="s">
        <v>4414</v>
      </c>
      <c r="D606" t="s">
        <v>4415</v>
      </c>
      <c r="E606" t="s">
        <v>4416</v>
      </c>
      <c r="F606" t="s">
        <v>738</v>
      </c>
      <c r="G606" t="s">
        <v>22</v>
      </c>
      <c r="H606" t="s">
        <v>59</v>
      </c>
      <c r="I606">
        <v>44637</v>
      </c>
      <c r="J606">
        <v>44691</v>
      </c>
      <c r="K606">
        <v>44691</v>
      </c>
      <c r="L606">
        <v>0</v>
      </c>
      <c r="N606" t="s">
        <v>120</v>
      </c>
      <c r="O606">
        <v>44691</v>
      </c>
      <c r="P606" t="s">
        <v>739</v>
      </c>
      <c r="Q606">
        <v>11413.948</v>
      </c>
      <c r="R606">
        <v>0.1</v>
      </c>
      <c r="S606" t="s">
        <v>709</v>
      </c>
      <c r="T606" t="s">
        <v>709</v>
      </c>
      <c r="U606" t="s">
        <v>709</v>
      </c>
      <c r="V606">
        <v>299</v>
      </c>
      <c r="X606">
        <v>102968.06</v>
      </c>
      <c r="Z606">
        <v>11171.42</v>
      </c>
      <c r="AA606">
        <v>114139.48</v>
      </c>
      <c r="AC606" t="s">
        <v>709</v>
      </c>
      <c r="AM606" t="s">
        <v>116</v>
      </c>
      <c r="AN606">
        <v>44719</v>
      </c>
      <c r="AO606">
        <v>11041800</v>
      </c>
      <c r="AP606">
        <v>103100.84</v>
      </c>
      <c r="AR606">
        <v>11015.61</v>
      </c>
      <c r="AS606">
        <v>114116.45</v>
      </c>
      <c r="AT606">
        <v>-23.03</v>
      </c>
      <c r="AU606">
        <v>-2.3029999999999999</v>
      </c>
      <c r="AV606" t="s">
        <v>709</v>
      </c>
      <c r="AX606">
        <v>-2.3029999999999999</v>
      </c>
      <c r="AY606">
        <v>45008</v>
      </c>
      <c r="BA606" s="4" t="s">
        <v>4417</v>
      </c>
      <c r="BB606" t="s">
        <v>1092</v>
      </c>
      <c r="BC606" t="s">
        <v>709</v>
      </c>
      <c r="BD606" t="s">
        <v>709</v>
      </c>
      <c r="BE606" t="s">
        <v>4418</v>
      </c>
      <c r="BF606" t="s">
        <v>709</v>
      </c>
      <c r="BG606" t="s">
        <v>709</v>
      </c>
      <c r="BI606" t="s">
        <v>709</v>
      </c>
      <c r="BJ606" t="s">
        <v>709</v>
      </c>
      <c r="BK606" t="s">
        <v>709</v>
      </c>
      <c r="BL606" t="s">
        <v>116</v>
      </c>
      <c r="BM606" t="s">
        <v>709</v>
      </c>
      <c r="BN606" t="s">
        <v>709</v>
      </c>
      <c r="BO606" t="s">
        <v>709</v>
      </c>
      <c r="BP606" t="s">
        <v>709</v>
      </c>
      <c r="BQ606" t="s">
        <v>709</v>
      </c>
      <c r="BR606" t="s">
        <v>709</v>
      </c>
      <c r="BS606">
        <v>299</v>
      </c>
      <c r="BT606" t="s">
        <v>745</v>
      </c>
      <c r="BU606" t="s">
        <v>709</v>
      </c>
      <c r="BV606" t="s">
        <v>745</v>
      </c>
      <c r="BW606" t="s">
        <v>709</v>
      </c>
      <c r="BX606" t="s">
        <v>745</v>
      </c>
      <c r="BY606" t="s">
        <v>745</v>
      </c>
      <c r="BZ606" t="s">
        <v>709</v>
      </c>
      <c r="CB606">
        <v>604</v>
      </c>
      <c r="CC606" t="b">
        <v>1</v>
      </c>
      <c r="CD606" t="s">
        <v>4419</v>
      </c>
      <c r="CE606" s="1482">
        <v>45880.735451388886</v>
      </c>
    </row>
    <row r="607" spans="1:83" ht="240" x14ac:dyDescent="0.25">
      <c r="A607">
        <v>2022</v>
      </c>
      <c r="B607" t="s">
        <v>769</v>
      </c>
      <c r="C607" t="s">
        <v>4420</v>
      </c>
      <c r="D607" t="s">
        <v>4421</v>
      </c>
      <c r="E607" t="s">
        <v>4422</v>
      </c>
      <c r="F607" t="s">
        <v>752</v>
      </c>
      <c r="G607" t="s">
        <v>40</v>
      </c>
      <c r="H607" t="s">
        <v>2127</v>
      </c>
      <c r="I607">
        <v>44607</v>
      </c>
      <c r="J607">
        <v>44691</v>
      </c>
      <c r="K607">
        <v>44691</v>
      </c>
      <c r="L607">
        <v>0</v>
      </c>
      <c r="M607" t="s">
        <v>4423</v>
      </c>
      <c r="N607" t="s">
        <v>120</v>
      </c>
      <c r="O607">
        <v>44713</v>
      </c>
      <c r="P607" t="s">
        <v>739</v>
      </c>
      <c r="Q607">
        <v>7332.5</v>
      </c>
      <c r="R607" t="s">
        <v>1922</v>
      </c>
      <c r="S607" t="s">
        <v>709</v>
      </c>
      <c r="T607" t="s">
        <v>709</v>
      </c>
      <c r="U607">
        <v>7332.5</v>
      </c>
      <c r="AC607" t="s">
        <v>709</v>
      </c>
      <c r="AM607" t="s">
        <v>709</v>
      </c>
      <c r="AY607" t="s">
        <v>29</v>
      </c>
      <c r="BA607" s="4" t="s">
        <v>4424</v>
      </c>
      <c r="BB607" s="4" t="s">
        <v>4425</v>
      </c>
      <c r="BZ607" t="s">
        <v>709</v>
      </c>
      <c r="CA607" t="s">
        <v>769</v>
      </c>
      <c r="CB607">
        <v>606</v>
      </c>
      <c r="CC607" t="b">
        <v>1</v>
      </c>
      <c r="CD607" t="s">
        <v>4426</v>
      </c>
      <c r="CE607" s="1482">
        <v>45880.735451388886</v>
      </c>
    </row>
    <row r="608" spans="1:83" ht="409.5" x14ac:dyDescent="0.25">
      <c r="A608">
        <v>2022</v>
      </c>
      <c r="B608" t="s">
        <v>759</v>
      </c>
      <c r="C608" t="s">
        <v>1259</v>
      </c>
      <c r="D608" t="s">
        <v>1260</v>
      </c>
      <c r="E608" t="s">
        <v>1261</v>
      </c>
      <c r="F608" t="s">
        <v>752</v>
      </c>
      <c r="G608" t="s">
        <v>40</v>
      </c>
      <c r="H608" t="s">
        <v>59</v>
      </c>
      <c r="I608">
        <v>44582</v>
      </c>
      <c r="J608">
        <v>44694</v>
      </c>
      <c r="K608">
        <v>44691</v>
      </c>
      <c r="L608">
        <v>3</v>
      </c>
      <c r="N608" t="s">
        <v>120</v>
      </c>
      <c r="O608">
        <v>44691</v>
      </c>
      <c r="P608" t="s">
        <v>120</v>
      </c>
      <c r="Q608">
        <v>58634.540699999998</v>
      </c>
      <c r="R608" t="s">
        <v>1055</v>
      </c>
      <c r="S608" t="s">
        <v>709</v>
      </c>
      <c r="T608" t="s">
        <v>709</v>
      </c>
      <c r="U608" t="s">
        <v>709</v>
      </c>
      <c r="V608">
        <v>662</v>
      </c>
      <c r="X608">
        <v>544357.96</v>
      </c>
      <c r="Z608">
        <v>83695.460000000006</v>
      </c>
      <c r="AA608">
        <v>628053.42000000004</v>
      </c>
      <c r="AC608" t="s">
        <v>1056</v>
      </c>
      <c r="AM608" t="s">
        <v>116</v>
      </c>
      <c r="AN608" t="s">
        <v>709</v>
      </c>
      <c r="AO608">
        <v>11039510</v>
      </c>
      <c r="AS608">
        <v>0</v>
      </c>
      <c r="AT608">
        <v>0</v>
      </c>
      <c r="AU608">
        <v>0</v>
      </c>
      <c r="AY608" t="s">
        <v>709</v>
      </c>
      <c r="AZ608">
        <v>183</v>
      </c>
      <c r="BA608" s="4" t="s">
        <v>1262</v>
      </c>
      <c r="BB608" s="4" t="s">
        <v>1263</v>
      </c>
      <c r="BC608" t="s">
        <v>709</v>
      </c>
      <c r="BD608" t="s">
        <v>1066</v>
      </c>
      <c r="BE608" t="s">
        <v>709</v>
      </c>
      <c r="BF608" t="s">
        <v>709</v>
      </c>
      <c r="BG608" t="s">
        <v>709</v>
      </c>
      <c r="BI608" t="s">
        <v>709</v>
      </c>
      <c r="BJ608" t="s">
        <v>709</v>
      </c>
      <c r="BK608" t="s">
        <v>116</v>
      </c>
      <c r="BL608" t="s">
        <v>116</v>
      </c>
      <c r="BM608" t="s">
        <v>709</v>
      </c>
      <c r="BN608">
        <v>104</v>
      </c>
      <c r="BO608" t="s">
        <v>709</v>
      </c>
      <c r="BP608">
        <v>141</v>
      </c>
      <c r="BQ608">
        <v>276</v>
      </c>
      <c r="BR608">
        <v>45</v>
      </c>
      <c r="BS608">
        <v>5</v>
      </c>
      <c r="BT608">
        <v>1</v>
      </c>
      <c r="BU608" t="s">
        <v>709</v>
      </c>
      <c r="BV608" t="s">
        <v>745</v>
      </c>
      <c r="BW608">
        <v>1</v>
      </c>
      <c r="BX608">
        <v>1</v>
      </c>
      <c r="BY608" t="s">
        <v>745</v>
      </c>
      <c r="BZ608" t="s">
        <v>709</v>
      </c>
      <c r="CB608">
        <v>605</v>
      </c>
      <c r="CC608" t="b">
        <v>1</v>
      </c>
      <c r="CD608" t="s">
        <v>4427</v>
      </c>
      <c r="CE608" s="1482">
        <v>45880.735462962963</v>
      </c>
    </row>
    <row r="609" spans="1:83" x14ac:dyDescent="0.25">
      <c r="A609">
        <v>2022</v>
      </c>
      <c r="B609" t="s">
        <v>4</v>
      </c>
      <c r="C609" t="s">
        <v>4146</v>
      </c>
      <c r="D609">
        <v>129277</v>
      </c>
      <c r="E609" t="s">
        <v>4148</v>
      </c>
      <c r="F609" t="s">
        <v>738</v>
      </c>
      <c r="G609" t="s">
        <v>36</v>
      </c>
      <c r="H609" t="s">
        <v>3178</v>
      </c>
      <c r="I609">
        <v>44690</v>
      </c>
      <c r="J609" t="s">
        <v>2052</v>
      </c>
      <c r="K609">
        <v>44692</v>
      </c>
      <c r="L609">
        <v>2</v>
      </c>
      <c r="M609" t="s">
        <v>4428</v>
      </c>
      <c r="N609" t="s">
        <v>120</v>
      </c>
      <c r="O609">
        <v>44692</v>
      </c>
      <c r="P609" t="s">
        <v>739</v>
      </c>
      <c r="Q609">
        <v>2230</v>
      </c>
      <c r="R609" t="s">
        <v>1922</v>
      </c>
      <c r="S609" t="s">
        <v>709</v>
      </c>
      <c r="T609" t="s">
        <v>709</v>
      </c>
      <c r="U609">
        <v>2230</v>
      </c>
      <c r="AD609" t="s">
        <v>709</v>
      </c>
      <c r="AM609" t="s">
        <v>709</v>
      </c>
      <c r="AY609" t="s">
        <v>29</v>
      </c>
      <c r="BA609">
        <v>10</v>
      </c>
      <c r="BI609" t="s">
        <v>709</v>
      </c>
      <c r="BJ609" t="s">
        <v>709</v>
      </c>
      <c r="BK609" t="s">
        <v>709</v>
      </c>
      <c r="BL609" t="s">
        <v>116</v>
      </c>
      <c r="BM609" t="s">
        <v>709</v>
      </c>
      <c r="BN609" t="s">
        <v>709</v>
      </c>
      <c r="BO609" t="s">
        <v>709</v>
      </c>
      <c r="BP609">
        <v>2276</v>
      </c>
      <c r="BQ609">
        <v>32</v>
      </c>
      <c r="BR609">
        <v>3</v>
      </c>
      <c r="BS609">
        <v>763</v>
      </c>
      <c r="BT609" t="s">
        <v>745</v>
      </c>
      <c r="BU609" t="s">
        <v>709</v>
      </c>
      <c r="BV609" t="s">
        <v>745</v>
      </c>
      <c r="BW609" t="s">
        <v>709</v>
      </c>
      <c r="BX609" t="s">
        <v>745</v>
      </c>
      <c r="BY609" t="s">
        <v>745</v>
      </c>
      <c r="BZ609" t="s">
        <v>709</v>
      </c>
      <c r="CB609">
        <v>607</v>
      </c>
      <c r="CC609" t="b">
        <v>1</v>
      </c>
      <c r="CD609" t="s">
        <v>4429</v>
      </c>
      <c r="CE609" s="1482">
        <v>45880.735462962963</v>
      </c>
    </row>
    <row r="610" spans="1:83" x14ac:dyDescent="0.25">
      <c r="A610">
        <v>2022</v>
      </c>
      <c r="B610" t="s">
        <v>771</v>
      </c>
      <c r="C610" t="s">
        <v>2836</v>
      </c>
      <c r="D610">
        <v>140807</v>
      </c>
      <c r="E610" t="s">
        <v>141</v>
      </c>
      <c r="F610" t="s">
        <v>919</v>
      </c>
      <c r="G610" t="s">
        <v>36</v>
      </c>
      <c r="H610" t="s">
        <v>3178</v>
      </c>
      <c r="I610">
        <v>44621</v>
      </c>
      <c r="J610" t="s">
        <v>2052</v>
      </c>
      <c r="K610">
        <v>44692</v>
      </c>
      <c r="L610">
        <v>71</v>
      </c>
      <c r="M610" t="s">
        <v>4430</v>
      </c>
      <c r="N610" t="s">
        <v>120</v>
      </c>
      <c r="O610">
        <v>44692</v>
      </c>
      <c r="P610" t="s">
        <v>120</v>
      </c>
      <c r="Q610">
        <v>8992.5</v>
      </c>
      <c r="R610" t="s">
        <v>1922</v>
      </c>
      <c r="S610" t="s">
        <v>709</v>
      </c>
      <c r="T610" t="s">
        <v>709</v>
      </c>
      <c r="U610">
        <v>8992.5</v>
      </c>
      <c r="AD610" t="s">
        <v>709</v>
      </c>
      <c r="AM610" t="s">
        <v>709</v>
      </c>
      <c r="AY610" t="s">
        <v>29</v>
      </c>
      <c r="BA610">
        <v>11</v>
      </c>
      <c r="BI610" t="s">
        <v>709</v>
      </c>
      <c r="BJ610" t="s">
        <v>709</v>
      </c>
      <c r="BK610" t="s">
        <v>709</v>
      </c>
      <c r="BL610" t="s">
        <v>116</v>
      </c>
      <c r="BM610" t="s">
        <v>709</v>
      </c>
      <c r="BN610" t="s">
        <v>709</v>
      </c>
      <c r="BO610" t="s">
        <v>709</v>
      </c>
      <c r="BP610">
        <v>361</v>
      </c>
      <c r="BQ610">
        <v>3694</v>
      </c>
      <c r="BR610">
        <v>91</v>
      </c>
      <c r="BS610">
        <v>1545</v>
      </c>
      <c r="BT610" t="s">
        <v>745</v>
      </c>
      <c r="BU610" t="s">
        <v>709</v>
      </c>
      <c r="BV610" t="s">
        <v>745</v>
      </c>
      <c r="BW610" t="s">
        <v>709</v>
      </c>
      <c r="BX610" t="s">
        <v>745</v>
      </c>
      <c r="BY610" t="s">
        <v>745</v>
      </c>
      <c r="BZ610" t="s">
        <v>709</v>
      </c>
      <c r="CB610">
        <v>609</v>
      </c>
      <c r="CC610" t="b">
        <v>1</v>
      </c>
      <c r="CD610" t="s">
        <v>4431</v>
      </c>
      <c r="CE610" s="1482">
        <v>45880.735474537039</v>
      </c>
    </row>
    <row r="611" spans="1:83" ht="285" x14ac:dyDescent="0.25">
      <c r="A611">
        <v>2022</v>
      </c>
      <c r="B611" t="s">
        <v>730</v>
      </c>
      <c r="C611" t="s">
        <v>457</v>
      </c>
      <c r="D611" t="s">
        <v>1264</v>
      </c>
      <c r="E611" t="s">
        <v>1265</v>
      </c>
      <c r="F611" t="s">
        <v>752</v>
      </c>
      <c r="G611" t="s">
        <v>34</v>
      </c>
      <c r="H611" t="s">
        <v>59</v>
      </c>
      <c r="I611">
        <v>44607</v>
      </c>
      <c r="J611">
        <v>44693</v>
      </c>
      <c r="K611">
        <v>44692</v>
      </c>
      <c r="L611">
        <v>1</v>
      </c>
      <c r="N611" t="s">
        <v>120</v>
      </c>
      <c r="O611">
        <v>44692</v>
      </c>
      <c r="P611" t="s">
        <v>739</v>
      </c>
      <c r="Q611">
        <v>12895.9192</v>
      </c>
      <c r="R611" t="s">
        <v>794</v>
      </c>
      <c r="S611" t="s">
        <v>709</v>
      </c>
      <c r="T611" t="s">
        <v>709</v>
      </c>
      <c r="U611" t="s">
        <v>709</v>
      </c>
      <c r="V611">
        <v>60</v>
      </c>
      <c r="X611">
        <v>76483.740000000005</v>
      </c>
      <c r="Z611">
        <v>13468.25</v>
      </c>
      <c r="AA611">
        <v>89951.99</v>
      </c>
      <c r="AC611" t="s">
        <v>116</v>
      </c>
      <c r="AD611" t="s">
        <v>29</v>
      </c>
      <c r="AM611" t="s">
        <v>116</v>
      </c>
      <c r="AN611" t="s">
        <v>709</v>
      </c>
      <c r="AO611">
        <v>11058433</v>
      </c>
      <c r="AS611">
        <v>0</v>
      </c>
      <c r="AT611">
        <v>0</v>
      </c>
      <c r="AU611">
        <v>0</v>
      </c>
      <c r="AY611" t="s">
        <v>709</v>
      </c>
      <c r="AZ611">
        <v>169</v>
      </c>
      <c r="BA611" s="4" t="s">
        <v>1266</v>
      </c>
      <c r="BB611" s="4" t="s">
        <v>1267</v>
      </c>
      <c r="BC611" t="s">
        <v>709</v>
      </c>
      <c r="BD611" t="s">
        <v>709</v>
      </c>
      <c r="BE611" t="s">
        <v>709</v>
      </c>
      <c r="BF611" t="s">
        <v>1268</v>
      </c>
      <c r="BG611" t="s">
        <v>709</v>
      </c>
      <c r="BI611" t="s">
        <v>116</v>
      </c>
      <c r="BJ611" t="s">
        <v>709</v>
      </c>
      <c r="BK611" t="s">
        <v>709</v>
      </c>
      <c r="BL611" t="s">
        <v>709</v>
      </c>
      <c r="BM611" t="s">
        <v>709</v>
      </c>
      <c r="BN611" t="s">
        <v>709</v>
      </c>
      <c r="BO611" t="s">
        <v>709</v>
      </c>
      <c r="BP611" t="s">
        <v>709</v>
      </c>
      <c r="BQ611" t="s">
        <v>709</v>
      </c>
      <c r="BR611" t="s">
        <v>709</v>
      </c>
      <c r="BS611">
        <v>60</v>
      </c>
      <c r="BT611" t="s">
        <v>745</v>
      </c>
      <c r="BU611" t="s">
        <v>709</v>
      </c>
      <c r="BV611" t="s">
        <v>745</v>
      </c>
      <c r="BW611" t="s">
        <v>709</v>
      </c>
      <c r="BX611">
        <v>1</v>
      </c>
      <c r="BY611" t="s">
        <v>745</v>
      </c>
      <c r="BZ611" t="s">
        <v>709</v>
      </c>
      <c r="CB611">
        <v>608</v>
      </c>
      <c r="CC611" t="b">
        <v>1</v>
      </c>
      <c r="CD611" t="s">
        <v>4432</v>
      </c>
      <c r="CE611" s="1482">
        <v>45880.735474537039</v>
      </c>
    </row>
    <row r="612" spans="1:83" ht="165" x14ac:dyDescent="0.25">
      <c r="A612">
        <v>2020</v>
      </c>
      <c r="B612" t="s">
        <v>771</v>
      </c>
      <c r="C612" t="s">
        <v>2829</v>
      </c>
      <c r="D612">
        <v>120482</v>
      </c>
      <c r="E612" t="s">
        <v>2246</v>
      </c>
      <c r="F612" t="s">
        <v>919</v>
      </c>
      <c r="G612" t="s">
        <v>1882</v>
      </c>
      <c r="H612" t="s">
        <v>2723</v>
      </c>
      <c r="I612">
        <v>44285</v>
      </c>
      <c r="J612" t="s">
        <v>2724</v>
      </c>
      <c r="K612">
        <v>44693</v>
      </c>
      <c r="L612">
        <v>408</v>
      </c>
      <c r="M612" t="s">
        <v>4433</v>
      </c>
      <c r="N612" t="s">
        <v>120</v>
      </c>
      <c r="O612">
        <v>44693</v>
      </c>
      <c r="P612" t="s">
        <v>120</v>
      </c>
      <c r="Q612">
        <v>20570</v>
      </c>
      <c r="R612" t="s">
        <v>1922</v>
      </c>
      <c r="S612" t="s">
        <v>709</v>
      </c>
      <c r="T612" t="s">
        <v>709</v>
      </c>
      <c r="U612">
        <v>20570</v>
      </c>
      <c r="AM612" t="s">
        <v>709</v>
      </c>
      <c r="AY612" t="s">
        <v>29</v>
      </c>
      <c r="BA612" s="4" t="s">
        <v>4434</v>
      </c>
      <c r="BI612" t="s">
        <v>709</v>
      </c>
      <c r="BJ612" t="s">
        <v>709</v>
      </c>
      <c r="BK612" t="s">
        <v>709</v>
      </c>
      <c r="BL612" t="s">
        <v>116</v>
      </c>
      <c r="BM612" t="s">
        <v>709</v>
      </c>
      <c r="BN612" t="s">
        <v>709</v>
      </c>
      <c r="BO612" t="s">
        <v>709</v>
      </c>
      <c r="BP612">
        <v>699</v>
      </c>
      <c r="BQ612" t="s">
        <v>709</v>
      </c>
      <c r="BR612">
        <v>68</v>
      </c>
      <c r="BS612">
        <v>254</v>
      </c>
      <c r="BT612" t="s">
        <v>745</v>
      </c>
      <c r="BU612" t="s">
        <v>709</v>
      </c>
      <c r="BV612" t="s">
        <v>745</v>
      </c>
      <c r="BW612" t="s">
        <v>709</v>
      </c>
      <c r="BX612" t="s">
        <v>745</v>
      </c>
      <c r="BY612" t="s">
        <v>745</v>
      </c>
      <c r="BZ612" t="s">
        <v>709</v>
      </c>
      <c r="CB612">
        <v>612</v>
      </c>
      <c r="CC612" t="b">
        <v>1</v>
      </c>
      <c r="CD612" t="s">
        <v>4435</v>
      </c>
      <c r="CE612" s="1482">
        <v>45880.735486111109</v>
      </c>
    </row>
    <row r="613" spans="1:83" x14ac:dyDescent="0.25">
      <c r="A613">
        <v>2022</v>
      </c>
      <c r="B613" t="s">
        <v>771</v>
      </c>
      <c r="C613" t="s">
        <v>3984</v>
      </c>
      <c r="D613">
        <v>1210721</v>
      </c>
      <c r="E613" t="s">
        <v>342</v>
      </c>
      <c r="F613" t="s">
        <v>738</v>
      </c>
      <c r="G613" t="s">
        <v>23</v>
      </c>
      <c r="H613" t="s">
        <v>4436</v>
      </c>
      <c r="I613">
        <v>44690</v>
      </c>
      <c r="J613" t="s">
        <v>2052</v>
      </c>
      <c r="K613">
        <v>44693</v>
      </c>
      <c r="L613">
        <v>3</v>
      </c>
      <c r="M613" t="s">
        <v>4437</v>
      </c>
      <c r="N613" t="s">
        <v>120</v>
      </c>
      <c r="O613">
        <v>44713</v>
      </c>
      <c r="P613" t="s">
        <v>120</v>
      </c>
      <c r="Q613">
        <v>1137.5</v>
      </c>
      <c r="R613" t="s">
        <v>1922</v>
      </c>
      <c r="S613" t="s">
        <v>709</v>
      </c>
      <c r="T613" t="s">
        <v>709</v>
      </c>
      <c r="U613">
        <v>1137.5</v>
      </c>
      <c r="AD613" t="s">
        <v>709</v>
      </c>
      <c r="AM613" t="s">
        <v>709</v>
      </c>
      <c r="AY613" t="s">
        <v>29</v>
      </c>
      <c r="BA613">
        <v>3</v>
      </c>
      <c r="BI613" t="s">
        <v>709</v>
      </c>
      <c r="BJ613" t="s">
        <v>709</v>
      </c>
      <c r="BK613" t="s">
        <v>709</v>
      </c>
      <c r="BL613" t="s">
        <v>116</v>
      </c>
      <c r="BM613" t="s">
        <v>709</v>
      </c>
      <c r="BN613" t="s">
        <v>709</v>
      </c>
      <c r="BO613" t="s">
        <v>709</v>
      </c>
      <c r="BP613">
        <v>3715</v>
      </c>
      <c r="BQ613">
        <v>424</v>
      </c>
      <c r="BR613">
        <v>326</v>
      </c>
      <c r="BS613">
        <v>6089</v>
      </c>
      <c r="BT613" t="s">
        <v>709</v>
      </c>
      <c r="BU613" t="s">
        <v>709</v>
      </c>
      <c r="BV613">
        <v>1</v>
      </c>
      <c r="BW613" t="s">
        <v>709</v>
      </c>
      <c r="BX613" t="s">
        <v>745</v>
      </c>
      <c r="BY613" t="s">
        <v>709</v>
      </c>
      <c r="BZ613" t="s">
        <v>709</v>
      </c>
      <c r="CB613">
        <v>613</v>
      </c>
      <c r="CC613" t="b">
        <v>1</v>
      </c>
      <c r="CD613" t="s">
        <v>4438</v>
      </c>
      <c r="CE613" s="1482">
        <v>45880.735497685186</v>
      </c>
    </row>
    <row r="614" spans="1:83" x14ac:dyDescent="0.25">
      <c r="A614">
        <v>2022</v>
      </c>
      <c r="B614" t="s">
        <v>771</v>
      </c>
      <c r="C614" t="s">
        <v>217</v>
      </c>
      <c r="D614" t="s">
        <v>4439</v>
      </c>
      <c r="E614" t="s">
        <v>218</v>
      </c>
      <c r="F614" t="s">
        <v>747</v>
      </c>
      <c r="G614" t="s">
        <v>22</v>
      </c>
      <c r="H614" t="s">
        <v>59</v>
      </c>
      <c r="I614">
        <v>44522</v>
      </c>
      <c r="J614">
        <v>44694</v>
      </c>
      <c r="K614">
        <v>44693</v>
      </c>
      <c r="L614">
        <v>1</v>
      </c>
      <c r="N614" t="s">
        <v>120</v>
      </c>
      <c r="O614">
        <v>44693</v>
      </c>
      <c r="P614" t="s">
        <v>120</v>
      </c>
      <c r="Q614">
        <v>17048.45</v>
      </c>
      <c r="R614" t="s">
        <v>2087</v>
      </c>
      <c r="S614" t="s">
        <v>709</v>
      </c>
      <c r="T614" t="s">
        <v>709</v>
      </c>
      <c r="U614" t="s">
        <v>709</v>
      </c>
      <c r="V614">
        <v>10999</v>
      </c>
      <c r="X614">
        <v>1552530.8</v>
      </c>
      <c r="Z614">
        <v>43592.85</v>
      </c>
      <c r="AA614">
        <v>1596123.65</v>
      </c>
      <c r="AC614" t="s">
        <v>4440</v>
      </c>
      <c r="AM614" t="s">
        <v>709</v>
      </c>
      <c r="AY614" t="s">
        <v>29</v>
      </c>
      <c r="BA614" t="s">
        <v>4441</v>
      </c>
      <c r="BB614" t="s">
        <v>4442</v>
      </c>
      <c r="BC614" t="s">
        <v>116</v>
      </c>
      <c r="BD614" t="s">
        <v>709</v>
      </c>
      <c r="BE614" t="s">
        <v>709</v>
      </c>
      <c r="BF614" t="s">
        <v>709</v>
      </c>
      <c r="BG614" t="s">
        <v>709</v>
      </c>
      <c r="BI614" t="s">
        <v>709</v>
      </c>
      <c r="BJ614" t="s">
        <v>709</v>
      </c>
      <c r="BK614" t="s">
        <v>116</v>
      </c>
      <c r="BL614" t="s">
        <v>116</v>
      </c>
      <c r="BM614" t="s">
        <v>709</v>
      </c>
      <c r="BN614" t="s">
        <v>709</v>
      </c>
      <c r="BO614" t="s">
        <v>709</v>
      </c>
      <c r="BP614">
        <v>3270</v>
      </c>
      <c r="BQ614">
        <v>7510</v>
      </c>
      <c r="BR614" t="s">
        <v>709</v>
      </c>
      <c r="BS614">
        <v>219</v>
      </c>
      <c r="BT614" t="s">
        <v>745</v>
      </c>
      <c r="BU614" t="s">
        <v>709</v>
      </c>
      <c r="BV614" t="s">
        <v>745</v>
      </c>
      <c r="BW614" t="s">
        <v>709</v>
      </c>
      <c r="BX614" t="s">
        <v>745</v>
      </c>
      <c r="BY614" t="s">
        <v>745</v>
      </c>
      <c r="BZ614" t="s">
        <v>709</v>
      </c>
      <c r="CB614">
        <v>610</v>
      </c>
      <c r="CC614" t="b">
        <v>1</v>
      </c>
      <c r="CD614" t="s">
        <v>4443</v>
      </c>
      <c r="CE614" s="1482">
        <v>45880.735497685186</v>
      </c>
    </row>
    <row r="615" spans="1:83" x14ac:dyDescent="0.25">
      <c r="A615">
        <v>2022</v>
      </c>
      <c r="B615" t="s">
        <v>771</v>
      </c>
      <c r="C615" t="s">
        <v>4444</v>
      </c>
      <c r="D615" t="s">
        <v>4445</v>
      </c>
      <c r="E615" t="s">
        <v>218</v>
      </c>
      <c r="F615" t="s">
        <v>747</v>
      </c>
      <c r="G615" t="s">
        <v>22</v>
      </c>
      <c r="H615" t="s">
        <v>59</v>
      </c>
      <c r="I615">
        <v>44522</v>
      </c>
      <c r="J615">
        <v>44694</v>
      </c>
      <c r="K615">
        <v>44693</v>
      </c>
      <c r="L615">
        <v>1</v>
      </c>
      <c r="N615" t="s">
        <v>120</v>
      </c>
      <c r="O615">
        <v>44693</v>
      </c>
      <c r="P615" t="s">
        <v>120</v>
      </c>
      <c r="Q615">
        <v>12486.8</v>
      </c>
      <c r="R615" t="s">
        <v>2087</v>
      </c>
      <c r="S615" t="s">
        <v>709</v>
      </c>
      <c r="T615" t="s">
        <v>709</v>
      </c>
      <c r="U615" t="s">
        <v>709</v>
      </c>
      <c r="V615">
        <v>8056</v>
      </c>
      <c r="X615">
        <v>1653568.84</v>
      </c>
      <c r="Z615">
        <v>79366.41</v>
      </c>
      <c r="AA615">
        <v>1732935.25</v>
      </c>
      <c r="AC615" t="s">
        <v>4440</v>
      </c>
      <c r="AM615" t="s">
        <v>709</v>
      </c>
      <c r="AY615" t="s">
        <v>29</v>
      </c>
      <c r="BA615" t="s">
        <v>4446</v>
      </c>
      <c r="BB615" t="s">
        <v>4447</v>
      </c>
      <c r="BC615" t="s">
        <v>116</v>
      </c>
      <c r="BD615" t="s">
        <v>709</v>
      </c>
      <c r="BE615" t="s">
        <v>709</v>
      </c>
      <c r="BF615" t="s">
        <v>4448</v>
      </c>
      <c r="BG615" t="s">
        <v>709</v>
      </c>
      <c r="BI615" t="s">
        <v>709</v>
      </c>
      <c r="BJ615" t="s">
        <v>709</v>
      </c>
      <c r="BK615" t="s">
        <v>116</v>
      </c>
      <c r="BL615" t="s">
        <v>709</v>
      </c>
      <c r="BM615" t="s">
        <v>709</v>
      </c>
      <c r="BN615" t="s">
        <v>709</v>
      </c>
      <c r="BO615" t="s">
        <v>709</v>
      </c>
      <c r="BP615">
        <v>7938</v>
      </c>
      <c r="BQ615" t="s">
        <v>709</v>
      </c>
      <c r="BR615" t="s">
        <v>709</v>
      </c>
      <c r="BS615">
        <v>118</v>
      </c>
      <c r="BT615" t="s">
        <v>709</v>
      </c>
      <c r="BU615" t="s">
        <v>709</v>
      </c>
      <c r="BV615" t="s">
        <v>745</v>
      </c>
      <c r="BW615" t="s">
        <v>709</v>
      </c>
      <c r="BX615" t="s">
        <v>709</v>
      </c>
      <c r="BY615" t="s">
        <v>745</v>
      </c>
      <c r="BZ615" t="s">
        <v>709</v>
      </c>
      <c r="CB615">
        <v>611</v>
      </c>
      <c r="CC615" t="b">
        <v>1</v>
      </c>
      <c r="CD615" t="s">
        <v>4449</v>
      </c>
      <c r="CE615" s="1482">
        <v>45880.735509259262</v>
      </c>
    </row>
    <row r="616" spans="1:83" ht="105" x14ac:dyDescent="0.25">
      <c r="A616">
        <v>2016</v>
      </c>
      <c r="B616" t="s">
        <v>759</v>
      </c>
      <c r="C616" t="s">
        <v>224</v>
      </c>
      <c r="D616" t="s">
        <v>1270</v>
      </c>
      <c r="E616" t="s">
        <v>225</v>
      </c>
      <c r="F616" t="s">
        <v>738</v>
      </c>
      <c r="G616" t="s">
        <v>1882</v>
      </c>
      <c r="H616" t="s">
        <v>59</v>
      </c>
      <c r="I616">
        <v>44425</v>
      </c>
      <c r="J616">
        <v>44712</v>
      </c>
      <c r="K616">
        <v>44694</v>
      </c>
      <c r="L616">
        <v>18</v>
      </c>
      <c r="N616" t="s">
        <v>120</v>
      </c>
      <c r="O616">
        <v>44694</v>
      </c>
      <c r="P616" t="s">
        <v>120</v>
      </c>
      <c r="Q616">
        <v>94710.559500000003</v>
      </c>
      <c r="R616" t="s">
        <v>1055</v>
      </c>
      <c r="S616" t="s">
        <v>709</v>
      </c>
      <c r="T616" t="s">
        <v>709</v>
      </c>
      <c r="U616" t="s">
        <v>709</v>
      </c>
      <c r="V616">
        <v>940</v>
      </c>
      <c r="W616">
        <v>514</v>
      </c>
      <c r="X616">
        <v>979255.57</v>
      </c>
      <c r="Z616">
        <v>73221.600000000006</v>
      </c>
      <c r="AA616">
        <v>1052477.17</v>
      </c>
      <c r="AC616" t="s">
        <v>116</v>
      </c>
      <c r="AM616" t="s">
        <v>116</v>
      </c>
      <c r="AN616" t="s">
        <v>709</v>
      </c>
      <c r="AO616">
        <v>11015976</v>
      </c>
      <c r="AS616">
        <v>0</v>
      </c>
      <c r="AT616">
        <v>0</v>
      </c>
      <c r="AU616">
        <v>0</v>
      </c>
      <c r="AY616" t="s">
        <v>709</v>
      </c>
      <c r="AZ616">
        <v>184</v>
      </c>
      <c r="BA616" t="s">
        <v>1271</v>
      </c>
      <c r="BB616" s="4" t="s">
        <v>1272</v>
      </c>
      <c r="BH616" t="s">
        <v>1273</v>
      </c>
      <c r="BI616" t="s">
        <v>709</v>
      </c>
      <c r="BJ616" t="s">
        <v>709</v>
      </c>
      <c r="BK616" t="s">
        <v>116</v>
      </c>
      <c r="BL616" t="s">
        <v>116</v>
      </c>
      <c r="BM616" t="s">
        <v>709</v>
      </c>
      <c r="BN616" t="s">
        <v>709</v>
      </c>
      <c r="BO616" t="s">
        <v>709</v>
      </c>
      <c r="BP616">
        <v>724</v>
      </c>
      <c r="BQ616">
        <v>70</v>
      </c>
      <c r="BR616">
        <v>45</v>
      </c>
      <c r="BS616">
        <v>10</v>
      </c>
      <c r="BT616">
        <v>1</v>
      </c>
      <c r="BU616" t="s">
        <v>709</v>
      </c>
      <c r="BV616" t="s">
        <v>745</v>
      </c>
      <c r="BW616">
        <v>1</v>
      </c>
      <c r="BX616" t="s">
        <v>709</v>
      </c>
      <c r="BY616" t="s">
        <v>745</v>
      </c>
      <c r="BZ616" t="s">
        <v>709</v>
      </c>
      <c r="CA616" t="s">
        <v>769</v>
      </c>
      <c r="CB616">
        <v>614</v>
      </c>
      <c r="CC616" t="b">
        <v>1</v>
      </c>
      <c r="CD616" t="s">
        <v>1883</v>
      </c>
      <c r="CE616" s="1482">
        <v>45880.735509259262</v>
      </c>
    </row>
    <row r="617" spans="1:83" x14ac:dyDescent="0.25">
      <c r="A617">
        <v>2020</v>
      </c>
      <c r="B617" t="s">
        <v>769</v>
      </c>
      <c r="C617" t="s">
        <v>128</v>
      </c>
      <c r="D617">
        <v>109157</v>
      </c>
      <c r="E617" t="s">
        <v>129</v>
      </c>
      <c r="F617" t="s">
        <v>738</v>
      </c>
      <c r="G617" t="s">
        <v>1882</v>
      </c>
      <c r="H617" t="s">
        <v>4450</v>
      </c>
      <c r="I617">
        <v>44679</v>
      </c>
      <c r="J617" t="s">
        <v>2612</v>
      </c>
      <c r="K617">
        <v>44697</v>
      </c>
      <c r="L617">
        <v>18</v>
      </c>
      <c r="N617" t="s">
        <v>120</v>
      </c>
      <c r="O617">
        <v>44713</v>
      </c>
      <c r="P617" t="s">
        <v>120</v>
      </c>
      <c r="Q617">
        <v>11885</v>
      </c>
      <c r="R617" t="s">
        <v>1922</v>
      </c>
      <c r="S617" t="s">
        <v>709</v>
      </c>
      <c r="T617" t="s">
        <v>709</v>
      </c>
      <c r="U617">
        <v>11885</v>
      </c>
      <c r="AM617" t="s">
        <v>709</v>
      </c>
      <c r="AY617" t="s">
        <v>29</v>
      </c>
      <c r="BA617" t="s">
        <v>4451</v>
      </c>
      <c r="BB617" t="s">
        <v>4451</v>
      </c>
      <c r="BI617" t="s">
        <v>709</v>
      </c>
      <c r="BJ617" t="s">
        <v>709</v>
      </c>
      <c r="BK617" t="s">
        <v>116</v>
      </c>
      <c r="BL617" t="s">
        <v>116</v>
      </c>
      <c r="BM617" t="s">
        <v>709</v>
      </c>
      <c r="BN617" t="s">
        <v>709</v>
      </c>
      <c r="BO617" t="s">
        <v>709</v>
      </c>
      <c r="BP617">
        <v>378</v>
      </c>
      <c r="BQ617">
        <v>285</v>
      </c>
      <c r="BR617">
        <v>40</v>
      </c>
      <c r="BS617">
        <v>66</v>
      </c>
      <c r="BT617">
        <v>1</v>
      </c>
      <c r="BU617" t="s">
        <v>709</v>
      </c>
      <c r="BV617" t="s">
        <v>745</v>
      </c>
      <c r="BW617" t="s">
        <v>709</v>
      </c>
      <c r="BX617">
        <v>1</v>
      </c>
      <c r="BY617" t="s">
        <v>745</v>
      </c>
      <c r="BZ617" t="s">
        <v>709</v>
      </c>
      <c r="CA617" t="s">
        <v>769</v>
      </c>
      <c r="CB617">
        <v>617</v>
      </c>
      <c r="CC617" t="b">
        <v>1</v>
      </c>
      <c r="CD617" t="s">
        <v>4452</v>
      </c>
      <c r="CE617" s="1482">
        <v>45880.735520833332</v>
      </c>
    </row>
    <row r="618" spans="1:83" ht="255" x14ac:dyDescent="0.25">
      <c r="A618">
        <v>2022</v>
      </c>
      <c r="B618" t="s">
        <v>4</v>
      </c>
      <c r="C618" t="s">
        <v>4453</v>
      </c>
      <c r="D618" t="s">
        <v>115</v>
      </c>
      <c r="E618" t="s">
        <v>783</v>
      </c>
      <c r="F618" t="s">
        <v>738</v>
      </c>
      <c r="G618" t="s">
        <v>22</v>
      </c>
      <c r="H618" t="s">
        <v>1681</v>
      </c>
      <c r="I618">
        <v>44656</v>
      </c>
      <c r="J618">
        <v>44698</v>
      </c>
      <c r="K618">
        <v>44697</v>
      </c>
      <c r="L618">
        <v>1</v>
      </c>
      <c r="N618" t="s">
        <v>120</v>
      </c>
      <c r="O618">
        <v>44697</v>
      </c>
      <c r="P618" t="s">
        <v>739</v>
      </c>
      <c r="Q618" t="s">
        <v>115</v>
      </c>
      <c r="R618" t="s">
        <v>115</v>
      </c>
      <c r="S618" t="s">
        <v>709</v>
      </c>
      <c r="T618" t="s">
        <v>709</v>
      </c>
      <c r="U618" t="s">
        <v>709</v>
      </c>
      <c r="AC618" t="s">
        <v>709</v>
      </c>
      <c r="AM618" t="s">
        <v>709</v>
      </c>
      <c r="AY618" t="s">
        <v>29</v>
      </c>
      <c r="BA618" s="4" t="s">
        <v>4454</v>
      </c>
      <c r="BB618" t="s">
        <v>4455</v>
      </c>
      <c r="CB618">
        <v>615</v>
      </c>
      <c r="CC618" t="b">
        <v>1</v>
      </c>
      <c r="CD618" t="s">
        <v>4456</v>
      </c>
      <c r="CE618" s="1482">
        <v>45880.735520833332</v>
      </c>
    </row>
    <row r="619" spans="1:83" ht="90" x14ac:dyDescent="0.25">
      <c r="A619">
        <v>2022</v>
      </c>
      <c r="B619" t="s">
        <v>731</v>
      </c>
      <c r="C619" t="s">
        <v>4457</v>
      </c>
      <c r="D619" t="s">
        <v>4458</v>
      </c>
      <c r="E619" t="s">
        <v>1522</v>
      </c>
      <c r="F619" t="s">
        <v>752</v>
      </c>
      <c r="G619" t="s">
        <v>34</v>
      </c>
      <c r="H619" t="s">
        <v>59</v>
      </c>
      <c r="I619">
        <v>44596</v>
      </c>
      <c r="J619">
        <v>44712</v>
      </c>
      <c r="K619">
        <v>44697</v>
      </c>
      <c r="L619">
        <v>15</v>
      </c>
      <c r="N619" t="s">
        <v>120</v>
      </c>
      <c r="O619">
        <v>44697</v>
      </c>
      <c r="P619" t="s">
        <v>739</v>
      </c>
      <c r="Q619">
        <v>10712.4966</v>
      </c>
      <c r="R619">
        <v>0.09</v>
      </c>
      <c r="S619" t="s">
        <v>709</v>
      </c>
      <c r="T619" t="s">
        <v>709</v>
      </c>
      <c r="U619" t="s">
        <v>709</v>
      </c>
      <c r="Z619">
        <v>119027.74</v>
      </c>
      <c r="AA619">
        <v>119027.74</v>
      </c>
      <c r="AC619" t="s">
        <v>709</v>
      </c>
      <c r="AD619" t="s">
        <v>29</v>
      </c>
      <c r="AM619" t="s">
        <v>116</v>
      </c>
      <c r="AN619">
        <v>44740</v>
      </c>
      <c r="AO619">
        <v>11041786</v>
      </c>
      <c r="AP619">
        <v>0</v>
      </c>
      <c r="AR619">
        <v>119233.06</v>
      </c>
      <c r="AS619">
        <v>119233.06</v>
      </c>
      <c r="AT619">
        <v>205.32</v>
      </c>
      <c r="AU619">
        <v>18.4788</v>
      </c>
      <c r="AV619" t="s">
        <v>709</v>
      </c>
      <c r="AX619">
        <v>18.4788</v>
      </c>
      <c r="AY619">
        <v>45008</v>
      </c>
      <c r="BA619" t="s">
        <v>4459</v>
      </c>
      <c r="BB619" s="4" t="s">
        <v>4460</v>
      </c>
      <c r="BC619" t="s">
        <v>116</v>
      </c>
      <c r="BD619" t="s">
        <v>709</v>
      </c>
      <c r="BE619" t="s">
        <v>526</v>
      </c>
      <c r="BF619" t="s">
        <v>709</v>
      </c>
      <c r="BG619" t="s">
        <v>709</v>
      </c>
      <c r="BI619" t="s">
        <v>709</v>
      </c>
      <c r="BJ619" t="s">
        <v>709</v>
      </c>
      <c r="BK619" t="s">
        <v>709</v>
      </c>
      <c r="BL619" t="s">
        <v>709</v>
      </c>
      <c r="BM619" t="s">
        <v>709</v>
      </c>
      <c r="BN619" t="s">
        <v>709</v>
      </c>
      <c r="BO619" t="s">
        <v>709</v>
      </c>
      <c r="BP619" t="s">
        <v>709</v>
      </c>
      <c r="BQ619" t="s">
        <v>709</v>
      </c>
      <c r="BR619" t="s">
        <v>709</v>
      </c>
      <c r="BS619" t="s">
        <v>709</v>
      </c>
      <c r="BT619" t="s">
        <v>745</v>
      </c>
      <c r="BU619" t="s">
        <v>709</v>
      </c>
      <c r="BV619">
        <v>2</v>
      </c>
      <c r="BW619" t="s">
        <v>709</v>
      </c>
      <c r="BX619" t="s">
        <v>745</v>
      </c>
      <c r="BY619" t="s">
        <v>745</v>
      </c>
      <c r="BZ619" t="s">
        <v>709</v>
      </c>
      <c r="CA619" t="s">
        <v>1146</v>
      </c>
      <c r="CB619">
        <v>616</v>
      </c>
      <c r="CC619" t="b">
        <v>1</v>
      </c>
      <c r="CD619" t="s">
        <v>4461</v>
      </c>
      <c r="CE619" s="1482">
        <v>45880.735532407409</v>
      </c>
    </row>
    <row r="620" spans="1:83" x14ac:dyDescent="0.25">
      <c r="A620">
        <v>2022</v>
      </c>
      <c r="B620" t="s">
        <v>4</v>
      </c>
      <c r="C620" t="s">
        <v>4018</v>
      </c>
      <c r="D620" t="s">
        <v>4019</v>
      </c>
      <c r="E620" t="s">
        <v>818</v>
      </c>
      <c r="F620" t="s">
        <v>919</v>
      </c>
      <c r="G620" t="s">
        <v>39</v>
      </c>
      <c r="H620" t="s">
        <v>4462</v>
      </c>
      <c r="I620">
        <v>44671</v>
      </c>
      <c r="J620" t="s">
        <v>2052</v>
      </c>
      <c r="K620">
        <v>44698</v>
      </c>
      <c r="L620">
        <v>27</v>
      </c>
      <c r="M620" t="s">
        <v>4463</v>
      </c>
      <c r="N620" t="s">
        <v>120</v>
      </c>
      <c r="O620">
        <v>44713</v>
      </c>
      <c r="P620" t="s">
        <v>739</v>
      </c>
      <c r="Q620" t="s">
        <v>115</v>
      </c>
      <c r="R620" t="s">
        <v>115</v>
      </c>
      <c r="S620" t="s">
        <v>709</v>
      </c>
      <c r="T620" t="s">
        <v>709</v>
      </c>
      <c r="U620" t="s">
        <v>709</v>
      </c>
      <c r="AD620" t="s">
        <v>709</v>
      </c>
      <c r="AM620" t="s">
        <v>709</v>
      </c>
      <c r="AY620" t="s">
        <v>29</v>
      </c>
      <c r="BA620" t="s">
        <v>4464</v>
      </c>
      <c r="BB620" t="s">
        <v>709</v>
      </c>
      <c r="BI620" t="s">
        <v>709</v>
      </c>
      <c r="BJ620" t="s">
        <v>709</v>
      </c>
      <c r="BK620" t="s">
        <v>709</v>
      </c>
      <c r="BL620" t="s">
        <v>116</v>
      </c>
      <c r="BM620" t="s">
        <v>709</v>
      </c>
      <c r="BN620" t="s">
        <v>709</v>
      </c>
      <c r="BO620" t="s">
        <v>709</v>
      </c>
      <c r="BP620" t="s">
        <v>116</v>
      </c>
      <c r="BQ620" t="s">
        <v>116</v>
      </c>
      <c r="BR620" t="s">
        <v>709</v>
      </c>
      <c r="BS620" t="s">
        <v>116</v>
      </c>
      <c r="BT620" t="s">
        <v>745</v>
      </c>
      <c r="BU620" t="s">
        <v>709</v>
      </c>
      <c r="BV620" t="s">
        <v>745</v>
      </c>
      <c r="BW620" t="s">
        <v>709</v>
      </c>
      <c r="BX620" t="s">
        <v>745</v>
      </c>
      <c r="BY620" t="s">
        <v>745</v>
      </c>
      <c r="CB620">
        <v>618</v>
      </c>
      <c r="CC620" t="b">
        <v>1</v>
      </c>
      <c r="CD620" t="s">
        <v>4465</v>
      </c>
      <c r="CE620" s="1482">
        <v>45880.735532407409</v>
      </c>
    </row>
    <row r="621" spans="1:83" ht="120" x14ac:dyDescent="0.25">
      <c r="A621">
        <v>2022</v>
      </c>
      <c r="B621" t="s">
        <v>771</v>
      </c>
      <c r="C621" t="s">
        <v>231</v>
      </c>
      <c r="D621" t="s">
        <v>4466</v>
      </c>
      <c r="E621" t="s">
        <v>232</v>
      </c>
      <c r="F621" t="s">
        <v>747</v>
      </c>
      <c r="G621" t="s">
        <v>22</v>
      </c>
      <c r="H621" t="s">
        <v>59</v>
      </c>
      <c r="I621">
        <v>44476</v>
      </c>
      <c r="J621">
        <v>44701</v>
      </c>
      <c r="K621">
        <v>44699</v>
      </c>
      <c r="L621">
        <v>2</v>
      </c>
      <c r="N621" t="s">
        <v>120</v>
      </c>
      <c r="O621">
        <v>44699</v>
      </c>
      <c r="P621" t="s">
        <v>120</v>
      </c>
      <c r="Q621">
        <v>10526.05</v>
      </c>
      <c r="R621" t="s">
        <v>2087</v>
      </c>
      <c r="S621" t="s">
        <v>709</v>
      </c>
      <c r="T621" t="s">
        <v>709</v>
      </c>
      <c r="U621" t="s">
        <v>709</v>
      </c>
      <c r="V621">
        <v>6791</v>
      </c>
      <c r="X621">
        <v>3465388.64</v>
      </c>
      <c r="AC621" t="s">
        <v>116</v>
      </c>
      <c r="AM621" t="s">
        <v>709</v>
      </c>
      <c r="AY621" t="s">
        <v>29</v>
      </c>
      <c r="BA621" t="s">
        <v>4467</v>
      </c>
      <c r="BB621" s="4" t="s">
        <v>4468</v>
      </c>
      <c r="BC621" t="s">
        <v>116</v>
      </c>
      <c r="BD621" t="s">
        <v>709</v>
      </c>
      <c r="BE621" t="s">
        <v>595</v>
      </c>
      <c r="BF621" t="s">
        <v>709</v>
      </c>
      <c r="BG621" t="s">
        <v>709</v>
      </c>
      <c r="BI621" t="s">
        <v>709</v>
      </c>
      <c r="BJ621" t="s">
        <v>709</v>
      </c>
      <c r="BK621" t="s">
        <v>709</v>
      </c>
      <c r="BL621" t="s">
        <v>116</v>
      </c>
      <c r="BM621" t="s">
        <v>709</v>
      </c>
      <c r="BN621" t="s">
        <v>709</v>
      </c>
      <c r="BO621" t="s">
        <v>709</v>
      </c>
      <c r="BP621">
        <v>5289</v>
      </c>
      <c r="BQ621" t="s">
        <v>709</v>
      </c>
      <c r="BR621">
        <v>127</v>
      </c>
      <c r="BS621">
        <v>1375</v>
      </c>
      <c r="BT621" t="s">
        <v>745</v>
      </c>
      <c r="BU621" t="s">
        <v>709</v>
      </c>
      <c r="BV621" t="s">
        <v>745</v>
      </c>
      <c r="BW621" t="s">
        <v>709</v>
      </c>
      <c r="BX621" t="s">
        <v>745</v>
      </c>
      <c r="BY621" t="s">
        <v>745</v>
      </c>
      <c r="BZ621" t="s">
        <v>709</v>
      </c>
      <c r="CB621">
        <v>619</v>
      </c>
      <c r="CC621" t="b">
        <v>1</v>
      </c>
      <c r="CD621" t="s">
        <v>4469</v>
      </c>
      <c r="CE621" s="1482">
        <v>45880.735543981478</v>
      </c>
    </row>
    <row r="622" spans="1:83" x14ac:dyDescent="0.25">
      <c r="A622">
        <v>2022</v>
      </c>
      <c r="B622" t="s">
        <v>771</v>
      </c>
      <c r="C622" t="s">
        <v>4237</v>
      </c>
      <c r="D622">
        <v>135724</v>
      </c>
      <c r="E622" t="s">
        <v>300</v>
      </c>
      <c r="F622" t="s">
        <v>919</v>
      </c>
      <c r="G622" t="s">
        <v>36</v>
      </c>
      <c r="H622" t="s">
        <v>3178</v>
      </c>
      <c r="I622">
        <v>44697</v>
      </c>
      <c r="J622" t="s">
        <v>2052</v>
      </c>
      <c r="K622">
        <v>44704</v>
      </c>
      <c r="L622">
        <v>7</v>
      </c>
      <c r="M622" t="s">
        <v>4470</v>
      </c>
      <c r="N622" t="s">
        <v>120</v>
      </c>
      <c r="O622">
        <v>44713</v>
      </c>
      <c r="P622" t="s">
        <v>120</v>
      </c>
      <c r="Q622">
        <v>3890</v>
      </c>
      <c r="R622" t="s">
        <v>1922</v>
      </c>
      <c r="S622" t="s">
        <v>709</v>
      </c>
      <c r="T622" t="s">
        <v>709</v>
      </c>
      <c r="U622">
        <v>3890</v>
      </c>
      <c r="AD622" t="s">
        <v>709</v>
      </c>
      <c r="AM622" t="s">
        <v>709</v>
      </c>
      <c r="AY622" t="s">
        <v>29</v>
      </c>
      <c r="BA622">
        <v>4</v>
      </c>
      <c r="BI622" t="s">
        <v>709</v>
      </c>
      <c r="BJ622" t="s">
        <v>709</v>
      </c>
      <c r="BK622" t="s">
        <v>709</v>
      </c>
      <c r="BL622" t="s">
        <v>116</v>
      </c>
      <c r="BM622" t="s">
        <v>709</v>
      </c>
      <c r="BN622" t="s">
        <v>709</v>
      </c>
      <c r="BO622" t="s">
        <v>709</v>
      </c>
      <c r="BP622">
        <v>650</v>
      </c>
      <c r="BQ622">
        <v>2340</v>
      </c>
      <c r="BR622">
        <v>24</v>
      </c>
      <c r="BS622">
        <v>1681</v>
      </c>
      <c r="BT622" t="s">
        <v>709</v>
      </c>
      <c r="BU622" t="s">
        <v>709</v>
      </c>
      <c r="BV622" t="s">
        <v>745</v>
      </c>
      <c r="BW622" t="s">
        <v>709</v>
      </c>
      <c r="BX622" t="s">
        <v>745</v>
      </c>
      <c r="BY622" t="s">
        <v>745</v>
      </c>
      <c r="BZ622" t="s">
        <v>709</v>
      </c>
      <c r="CB622">
        <v>622</v>
      </c>
      <c r="CC622" t="b">
        <v>1</v>
      </c>
      <c r="CD622" t="s">
        <v>4471</v>
      </c>
      <c r="CE622" s="1482">
        <v>45880.735555555555</v>
      </c>
    </row>
    <row r="623" spans="1:83" ht="180" x14ac:dyDescent="0.25">
      <c r="A623">
        <v>2022</v>
      </c>
      <c r="B623" t="s">
        <v>4</v>
      </c>
      <c r="C623" t="s">
        <v>1278</v>
      </c>
      <c r="D623" t="s">
        <v>1279</v>
      </c>
      <c r="E623" t="s">
        <v>1280</v>
      </c>
      <c r="F623" t="s">
        <v>738</v>
      </c>
      <c r="G623" t="s">
        <v>35</v>
      </c>
      <c r="H623" t="s">
        <v>59</v>
      </c>
      <c r="I623">
        <v>44656</v>
      </c>
      <c r="J623">
        <v>44705</v>
      </c>
      <c r="K623">
        <v>44704</v>
      </c>
      <c r="L623">
        <v>1</v>
      </c>
      <c r="N623" t="s">
        <v>120</v>
      </c>
      <c r="O623">
        <v>44704</v>
      </c>
      <c r="P623" t="s">
        <v>739</v>
      </c>
      <c r="Q623">
        <v>10622.782999999999</v>
      </c>
      <c r="R623">
        <v>0.1</v>
      </c>
      <c r="S623" t="s">
        <v>709</v>
      </c>
      <c r="T623" t="s">
        <v>709</v>
      </c>
      <c r="U623" t="s">
        <v>709</v>
      </c>
      <c r="V623">
        <v>81</v>
      </c>
      <c r="X623">
        <v>92799.81</v>
      </c>
      <c r="Z623">
        <v>13428.02</v>
      </c>
      <c r="AA623">
        <v>106227.83</v>
      </c>
      <c r="AC623" t="s">
        <v>709</v>
      </c>
      <c r="AD623" t="s">
        <v>709</v>
      </c>
      <c r="AM623" t="s">
        <v>116</v>
      </c>
      <c r="AN623" t="s">
        <v>709</v>
      </c>
      <c r="AO623" t="s">
        <v>115</v>
      </c>
      <c r="AS623">
        <v>0</v>
      </c>
      <c r="AT623">
        <v>0</v>
      </c>
      <c r="AU623">
        <v>0</v>
      </c>
      <c r="AY623" t="s">
        <v>709</v>
      </c>
      <c r="AZ623">
        <v>67</v>
      </c>
      <c r="BA623" s="4" t="s">
        <v>1281</v>
      </c>
      <c r="BB623" t="s">
        <v>1282</v>
      </c>
      <c r="BC623" t="s">
        <v>709</v>
      </c>
      <c r="BD623" t="s">
        <v>709</v>
      </c>
      <c r="BE623" t="s">
        <v>1283</v>
      </c>
      <c r="BF623" t="s">
        <v>709</v>
      </c>
      <c r="BG623" t="s">
        <v>709</v>
      </c>
      <c r="BI623" t="s">
        <v>709</v>
      </c>
      <c r="BJ623" t="s">
        <v>709</v>
      </c>
      <c r="BK623" t="s">
        <v>709</v>
      </c>
      <c r="BL623" t="s">
        <v>116</v>
      </c>
      <c r="BM623" t="s">
        <v>709</v>
      </c>
      <c r="BN623" t="s">
        <v>709</v>
      </c>
      <c r="BO623" t="s">
        <v>709</v>
      </c>
      <c r="BP623" t="s">
        <v>709</v>
      </c>
      <c r="BQ623" t="s">
        <v>709</v>
      </c>
      <c r="BR623" t="s">
        <v>709</v>
      </c>
      <c r="BS623">
        <v>81</v>
      </c>
      <c r="BT623" t="s">
        <v>745</v>
      </c>
      <c r="BU623" t="s">
        <v>709</v>
      </c>
      <c r="BV623" t="s">
        <v>745</v>
      </c>
      <c r="BW623" t="s">
        <v>709</v>
      </c>
      <c r="BX623" t="s">
        <v>745</v>
      </c>
      <c r="BY623" t="s">
        <v>745</v>
      </c>
      <c r="BZ623" t="s">
        <v>709</v>
      </c>
      <c r="CB623">
        <v>621</v>
      </c>
      <c r="CC623" t="b">
        <v>1</v>
      </c>
      <c r="CD623" t="s">
        <v>4472</v>
      </c>
      <c r="CE623" s="1482">
        <v>45880.735555555555</v>
      </c>
    </row>
    <row r="624" spans="1:83" ht="150" x14ac:dyDescent="0.25">
      <c r="A624">
        <v>2022</v>
      </c>
      <c r="B624" t="s">
        <v>730</v>
      </c>
      <c r="C624" t="s">
        <v>1274</v>
      </c>
      <c r="D624" t="s">
        <v>1275</v>
      </c>
      <c r="E624" t="s">
        <v>1276</v>
      </c>
      <c r="F624" t="s">
        <v>747</v>
      </c>
      <c r="G624" t="s">
        <v>34</v>
      </c>
      <c r="H624" t="s">
        <v>59</v>
      </c>
      <c r="I624">
        <v>44418</v>
      </c>
      <c r="J624">
        <v>44712</v>
      </c>
      <c r="K624">
        <v>44704</v>
      </c>
      <c r="L624">
        <v>8</v>
      </c>
      <c r="N624" t="s">
        <v>120</v>
      </c>
      <c r="O624">
        <v>44704</v>
      </c>
      <c r="P624" t="s">
        <v>120</v>
      </c>
      <c r="Q624">
        <v>42952.833400000003</v>
      </c>
      <c r="R624" t="s">
        <v>794</v>
      </c>
      <c r="S624" t="s">
        <v>709</v>
      </c>
      <c r="T624" t="s">
        <v>709</v>
      </c>
      <c r="U624" t="s">
        <v>709</v>
      </c>
      <c r="V624">
        <v>230</v>
      </c>
      <c r="X624">
        <v>327874.32</v>
      </c>
      <c r="Z624">
        <v>53923.72</v>
      </c>
      <c r="AA624">
        <v>381798.04</v>
      </c>
      <c r="AC624" t="s">
        <v>811</v>
      </c>
      <c r="AD624" t="s">
        <v>29</v>
      </c>
      <c r="AM624" t="s">
        <v>116</v>
      </c>
      <c r="AN624" t="s">
        <v>709</v>
      </c>
      <c r="AO624">
        <v>11038167</v>
      </c>
      <c r="AS624">
        <v>0</v>
      </c>
      <c r="AT624">
        <v>0</v>
      </c>
      <c r="AU624">
        <v>0</v>
      </c>
      <c r="AY624" t="s">
        <v>709</v>
      </c>
      <c r="AZ624">
        <v>170</v>
      </c>
      <c r="BA624" t="s">
        <v>1277</v>
      </c>
      <c r="BB624" s="4" t="s">
        <v>1226</v>
      </c>
      <c r="BC624" t="s">
        <v>116</v>
      </c>
      <c r="BD624" t="s">
        <v>709</v>
      </c>
      <c r="BE624" t="s">
        <v>709</v>
      </c>
      <c r="BF624" t="s">
        <v>709</v>
      </c>
      <c r="BG624" t="s">
        <v>709</v>
      </c>
      <c r="BI624" t="s">
        <v>116</v>
      </c>
      <c r="BJ624" t="s">
        <v>709</v>
      </c>
      <c r="BK624" t="s">
        <v>116</v>
      </c>
      <c r="BL624" t="s">
        <v>116</v>
      </c>
      <c r="BM624" t="s">
        <v>709</v>
      </c>
      <c r="BN624" t="s">
        <v>709</v>
      </c>
      <c r="BO624" t="s">
        <v>709</v>
      </c>
      <c r="BP624" t="s">
        <v>709</v>
      </c>
      <c r="BQ624" t="s">
        <v>709</v>
      </c>
      <c r="BR624">
        <v>26</v>
      </c>
      <c r="BS624">
        <v>204</v>
      </c>
      <c r="BT624" t="s">
        <v>745</v>
      </c>
      <c r="BU624">
        <v>2</v>
      </c>
      <c r="BV624" t="s">
        <v>745</v>
      </c>
      <c r="BW624" t="s">
        <v>709</v>
      </c>
      <c r="BX624">
        <v>1</v>
      </c>
      <c r="BY624" t="s">
        <v>745</v>
      </c>
      <c r="BZ624" t="s">
        <v>709</v>
      </c>
      <c r="CB624">
        <v>620</v>
      </c>
      <c r="CC624" t="b">
        <v>1</v>
      </c>
      <c r="CD624" t="s">
        <v>4473</v>
      </c>
      <c r="CE624" s="1482">
        <v>45880.735555555555</v>
      </c>
    </row>
    <row r="625" spans="1:83" ht="210" x14ac:dyDescent="0.25">
      <c r="A625">
        <v>2022</v>
      </c>
      <c r="B625" t="s">
        <v>4</v>
      </c>
      <c r="C625" t="s">
        <v>4474</v>
      </c>
      <c r="D625" t="s">
        <v>115</v>
      </c>
      <c r="E625" t="s">
        <v>61</v>
      </c>
      <c r="F625" t="s">
        <v>738</v>
      </c>
      <c r="G625" t="s">
        <v>35</v>
      </c>
      <c r="H625" t="s">
        <v>1903</v>
      </c>
      <c r="I625">
        <v>44672</v>
      </c>
      <c r="J625">
        <v>44771</v>
      </c>
      <c r="K625">
        <v>44705</v>
      </c>
      <c r="L625">
        <v>66</v>
      </c>
      <c r="N625" t="s">
        <v>120</v>
      </c>
      <c r="O625">
        <v>44705</v>
      </c>
      <c r="P625" t="s">
        <v>739</v>
      </c>
      <c r="Q625" t="s">
        <v>115</v>
      </c>
      <c r="R625" t="s">
        <v>115</v>
      </c>
      <c r="S625" t="s">
        <v>709</v>
      </c>
      <c r="T625" t="s">
        <v>709</v>
      </c>
      <c r="U625" t="s">
        <v>709</v>
      </c>
      <c r="AD625" t="s">
        <v>29</v>
      </c>
      <c r="AM625" t="s">
        <v>709</v>
      </c>
      <c r="AY625" t="s">
        <v>29</v>
      </c>
      <c r="BA625" s="4" t="s">
        <v>4475</v>
      </c>
      <c r="BB625" t="s">
        <v>877</v>
      </c>
      <c r="CB625">
        <v>623</v>
      </c>
      <c r="CC625" t="b">
        <v>1</v>
      </c>
      <c r="CD625" t="s">
        <v>4476</v>
      </c>
      <c r="CE625" s="1482">
        <v>45880.735567129632</v>
      </c>
    </row>
    <row r="626" spans="1:83" ht="180" x14ac:dyDescent="0.25">
      <c r="A626">
        <v>2022</v>
      </c>
      <c r="B626" t="s">
        <v>1205</v>
      </c>
      <c r="C626" t="s">
        <v>4477</v>
      </c>
      <c r="D626" t="s">
        <v>115</v>
      </c>
      <c r="E626" t="s">
        <v>1500</v>
      </c>
      <c r="F626" t="s">
        <v>738</v>
      </c>
      <c r="G626" t="s">
        <v>23</v>
      </c>
      <c r="H626" t="s">
        <v>2127</v>
      </c>
      <c r="I626">
        <v>44704</v>
      </c>
      <c r="J626">
        <v>44771</v>
      </c>
      <c r="K626">
        <v>44706</v>
      </c>
      <c r="L626">
        <v>65</v>
      </c>
      <c r="M626" t="s">
        <v>4478</v>
      </c>
      <c r="N626" t="s">
        <v>120</v>
      </c>
      <c r="O626">
        <v>44713</v>
      </c>
      <c r="P626" t="s">
        <v>120</v>
      </c>
      <c r="Q626">
        <v>1597.5</v>
      </c>
      <c r="R626" t="s">
        <v>1922</v>
      </c>
      <c r="S626" t="s">
        <v>709</v>
      </c>
      <c r="T626" t="s">
        <v>709</v>
      </c>
      <c r="U626">
        <v>1597.5</v>
      </c>
      <c r="AM626" t="s">
        <v>709</v>
      </c>
      <c r="AY626" t="s">
        <v>29</v>
      </c>
      <c r="BA626" s="4" t="s">
        <v>4479</v>
      </c>
      <c r="BB626" s="4" t="s">
        <v>4480</v>
      </c>
      <c r="BZ626" t="s">
        <v>709</v>
      </c>
      <c r="CA626" t="s">
        <v>915</v>
      </c>
      <c r="CB626">
        <v>624</v>
      </c>
      <c r="CC626" t="b">
        <v>1</v>
      </c>
      <c r="CD626" t="s">
        <v>4481</v>
      </c>
      <c r="CE626" s="1482">
        <v>45880.735578703701</v>
      </c>
    </row>
    <row r="627" spans="1:83" ht="45" x14ac:dyDescent="0.25">
      <c r="A627">
        <v>2022</v>
      </c>
      <c r="B627" t="s">
        <v>1205</v>
      </c>
      <c r="C627" t="s">
        <v>566</v>
      </c>
      <c r="D627" t="s">
        <v>4482</v>
      </c>
      <c r="E627" t="s">
        <v>312</v>
      </c>
      <c r="F627" t="s">
        <v>919</v>
      </c>
      <c r="G627" t="s">
        <v>36</v>
      </c>
      <c r="H627" t="s">
        <v>59</v>
      </c>
      <c r="I627">
        <v>44544</v>
      </c>
      <c r="J627">
        <v>44708</v>
      </c>
      <c r="K627">
        <v>44706</v>
      </c>
      <c r="L627">
        <v>2</v>
      </c>
      <c r="N627" t="s">
        <v>120</v>
      </c>
      <c r="O627">
        <v>44713</v>
      </c>
      <c r="P627" t="s">
        <v>739</v>
      </c>
      <c r="Q627">
        <v>40466.702799999999</v>
      </c>
      <c r="R627" t="s">
        <v>794</v>
      </c>
      <c r="S627" t="s">
        <v>709</v>
      </c>
      <c r="T627" t="s">
        <v>709</v>
      </c>
      <c r="U627" t="s">
        <v>709</v>
      </c>
      <c r="V627">
        <v>409</v>
      </c>
      <c r="W627">
        <v>1</v>
      </c>
      <c r="X627">
        <v>355888.94</v>
      </c>
      <c r="Z627">
        <v>58425.21</v>
      </c>
      <c r="AA627">
        <v>414314.15</v>
      </c>
      <c r="AC627" t="s">
        <v>1441</v>
      </c>
      <c r="AM627" t="s">
        <v>116</v>
      </c>
      <c r="AN627">
        <v>44735</v>
      </c>
      <c r="AO627">
        <v>11040108</v>
      </c>
      <c r="AP627">
        <v>356383.31</v>
      </c>
      <c r="AR627">
        <v>61157.03</v>
      </c>
      <c r="AS627">
        <v>417540.34</v>
      </c>
      <c r="AT627">
        <v>3226.19</v>
      </c>
      <c r="AU627">
        <v>274.22609999999997</v>
      </c>
      <c r="AV627" t="s">
        <v>709</v>
      </c>
      <c r="AX627">
        <v>274.22609999999997</v>
      </c>
      <c r="AY627">
        <v>45008</v>
      </c>
      <c r="BA627" t="s">
        <v>4483</v>
      </c>
      <c r="BB627" s="4" t="s">
        <v>4484</v>
      </c>
      <c r="BC627" t="s">
        <v>709</v>
      </c>
      <c r="BD627" t="s">
        <v>709</v>
      </c>
      <c r="BE627" t="s">
        <v>567</v>
      </c>
      <c r="BF627" t="s">
        <v>709</v>
      </c>
      <c r="BG627" t="s">
        <v>2837</v>
      </c>
      <c r="BI627" t="s">
        <v>709</v>
      </c>
      <c r="BJ627" t="s">
        <v>116</v>
      </c>
      <c r="BK627" t="s">
        <v>709</v>
      </c>
      <c r="BL627" t="s">
        <v>116</v>
      </c>
      <c r="BM627" t="s">
        <v>709</v>
      </c>
      <c r="BN627" t="s">
        <v>709</v>
      </c>
      <c r="BO627" t="s">
        <v>709</v>
      </c>
      <c r="BP627" t="s">
        <v>709</v>
      </c>
      <c r="BQ627" t="s">
        <v>709</v>
      </c>
      <c r="BR627" t="s">
        <v>709</v>
      </c>
      <c r="BS627">
        <v>409</v>
      </c>
      <c r="BT627" t="s">
        <v>745</v>
      </c>
      <c r="BU627">
        <v>1</v>
      </c>
      <c r="BV627" t="s">
        <v>745</v>
      </c>
      <c r="BW627" t="s">
        <v>709</v>
      </c>
      <c r="BX627">
        <v>1</v>
      </c>
      <c r="BY627" t="s">
        <v>745</v>
      </c>
      <c r="BZ627" t="s">
        <v>709</v>
      </c>
      <c r="CB627">
        <v>625</v>
      </c>
      <c r="CC627" t="b">
        <v>1</v>
      </c>
      <c r="CD627" t="s">
        <v>4485</v>
      </c>
      <c r="CE627" s="1482">
        <v>45880.735578703701</v>
      </c>
    </row>
    <row r="628" spans="1:83" ht="150" x14ac:dyDescent="0.25">
      <c r="A628">
        <v>2022</v>
      </c>
      <c r="B628" t="s">
        <v>730</v>
      </c>
      <c r="C628" t="s">
        <v>432</v>
      </c>
      <c r="D628" t="s">
        <v>4486</v>
      </c>
      <c r="E628" t="s">
        <v>4487</v>
      </c>
      <c r="F628" t="s">
        <v>747</v>
      </c>
      <c r="G628" t="s">
        <v>34</v>
      </c>
      <c r="H628" t="s">
        <v>59</v>
      </c>
      <c r="I628">
        <v>44389</v>
      </c>
      <c r="J628">
        <v>44712</v>
      </c>
      <c r="K628">
        <v>44708</v>
      </c>
      <c r="L628">
        <v>4</v>
      </c>
      <c r="N628" t="s">
        <v>120</v>
      </c>
      <c r="O628">
        <v>44713</v>
      </c>
      <c r="P628" t="s">
        <v>120</v>
      </c>
      <c r="Q628">
        <v>32048.139500000001</v>
      </c>
      <c r="R628" t="s">
        <v>794</v>
      </c>
      <c r="S628" t="s">
        <v>709</v>
      </c>
      <c r="T628" t="s">
        <v>709</v>
      </c>
      <c r="U628" t="s">
        <v>709</v>
      </c>
      <c r="V628">
        <v>305</v>
      </c>
      <c r="X628">
        <v>256853.22</v>
      </c>
      <c r="Z628">
        <v>58419.01</v>
      </c>
      <c r="AA628">
        <v>315272.23</v>
      </c>
      <c r="AC628" t="s">
        <v>1441</v>
      </c>
      <c r="AD628" t="s">
        <v>29</v>
      </c>
      <c r="AM628" t="s">
        <v>116</v>
      </c>
      <c r="AN628">
        <v>44985</v>
      </c>
      <c r="AO628">
        <v>11038165</v>
      </c>
      <c r="AP628">
        <v>285800.33</v>
      </c>
      <c r="AR628">
        <v>60585.88</v>
      </c>
      <c r="AS628">
        <v>346386.21</v>
      </c>
      <c r="AT628">
        <v>31113.98</v>
      </c>
      <c r="AU628">
        <v>2644.6882999999998</v>
      </c>
      <c r="AV628" t="s">
        <v>709</v>
      </c>
      <c r="AW628" t="s">
        <v>4488</v>
      </c>
      <c r="AX628">
        <v>2644.6882999999998</v>
      </c>
      <c r="AY628">
        <v>45200</v>
      </c>
      <c r="BA628" t="s">
        <v>4489</v>
      </c>
      <c r="BB628" s="4" t="s">
        <v>3824</v>
      </c>
      <c r="BC628" t="s">
        <v>709</v>
      </c>
      <c r="BD628" t="s">
        <v>4490</v>
      </c>
      <c r="BE628" t="s">
        <v>709</v>
      </c>
      <c r="BF628" t="s">
        <v>709</v>
      </c>
      <c r="BG628" t="s">
        <v>4243</v>
      </c>
      <c r="BI628" t="s">
        <v>709</v>
      </c>
      <c r="BJ628" t="s">
        <v>116</v>
      </c>
      <c r="BK628" t="s">
        <v>709</v>
      </c>
      <c r="BL628" t="s">
        <v>116</v>
      </c>
      <c r="BM628" t="s">
        <v>709</v>
      </c>
      <c r="BN628" t="s">
        <v>709</v>
      </c>
      <c r="BO628" t="s">
        <v>709</v>
      </c>
      <c r="BP628" t="s">
        <v>709</v>
      </c>
      <c r="BQ628" t="s">
        <v>709</v>
      </c>
      <c r="BR628">
        <v>42</v>
      </c>
      <c r="BS628">
        <v>263</v>
      </c>
      <c r="BT628" t="s">
        <v>745</v>
      </c>
      <c r="BU628">
        <v>1</v>
      </c>
      <c r="BV628" t="s">
        <v>745</v>
      </c>
      <c r="BW628" t="s">
        <v>709</v>
      </c>
      <c r="BX628">
        <v>1</v>
      </c>
      <c r="BY628" t="s">
        <v>745</v>
      </c>
      <c r="BZ628" t="s">
        <v>709</v>
      </c>
      <c r="CA628" t="s">
        <v>730</v>
      </c>
      <c r="CB628">
        <v>627</v>
      </c>
      <c r="CC628" t="b">
        <v>1</v>
      </c>
      <c r="CD628" t="s">
        <v>4491</v>
      </c>
      <c r="CE628" s="1482">
        <v>45880.735590277778</v>
      </c>
    </row>
    <row r="629" spans="1:83" ht="150" x14ac:dyDescent="0.25">
      <c r="A629">
        <v>2022</v>
      </c>
      <c r="B629" t="s">
        <v>730</v>
      </c>
      <c r="C629" t="s">
        <v>4492</v>
      </c>
      <c r="D629" t="s">
        <v>4493</v>
      </c>
      <c r="E629" t="s">
        <v>4494</v>
      </c>
      <c r="F629" t="s">
        <v>747</v>
      </c>
      <c r="G629" t="s">
        <v>34</v>
      </c>
      <c r="H629" t="s">
        <v>59</v>
      </c>
      <c r="I629">
        <v>44418</v>
      </c>
      <c r="J629">
        <v>44712</v>
      </c>
      <c r="K629">
        <v>44708</v>
      </c>
      <c r="L629">
        <v>4</v>
      </c>
      <c r="N629" t="s">
        <v>120</v>
      </c>
      <c r="O629">
        <v>44713</v>
      </c>
      <c r="P629" t="s">
        <v>120</v>
      </c>
      <c r="Q629">
        <v>22877.349300000002</v>
      </c>
      <c r="R629" t="s">
        <v>794</v>
      </c>
      <c r="S629" t="s">
        <v>709</v>
      </c>
      <c r="T629" t="s">
        <v>709</v>
      </c>
      <c r="U629" t="s">
        <v>709</v>
      </c>
      <c r="V629">
        <v>92</v>
      </c>
      <c r="X629">
        <v>163870.54999999999</v>
      </c>
      <c r="Z629">
        <v>43510.03</v>
      </c>
      <c r="AA629">
        <v>207380.58</v>
      </c>
      <c r="AC629" t="s">
        <v>1177</v>
      </c>
      <c r="AD629" t="s">
        <v>29</v>
      </c>
      <c r="AM629" t="s">
        <v>116</v>
      </c>
      <c r="AN629">
        <v>44979</v>
      </c>
      <c r="AO629">
        <v>11038080</v>
      </c>
      <c r="AP629">
        <v>169576.95999999999</v>
      </c>
      <c r="AR629">
        <v>44829.8</v>
      </c>
      <c r="AS629">
        <v>214406.76</v>
      </c>
      <c r="AT629">
        <v>7026.18</v>
      </c>
      <c r="AU629">
        <v>597.22529999999995</v>
      </c>
      <c r="AV629" t="s">
        <v>709</v>
      </c>
      <c r="AX629">
        <v>597.22529999999995</v>
      </c>
      <c r="AY629">
        <v>45200</v>
      </c>
      <c r="BA629" t="s">
        <v>4495</v>
      </c>
      <c r="BB629" s="4" t="s">
        <v>3824</v>
      </c>
      <c r="BC629" t="s">
        <v>709</v>
      </c>
      <c r="BD629" t="s">
        <v>709</v>
      </c>
      <c r="BE629" t="s">
        <v>709</v>
      </c>
      <c r="BF629" t="s">
        <v>4496</v>
      </c>
      <c r="BG629" t="s">
        <v>709</v>
      </c>
      <c r="BI629" t="s">
        <v>709</v>
      </c>
      <c r="BJ629" t="s">
        <v>116</v>
      </c>
      <c r="BK629" t="s">
        <v>709</v>
      </c>
      <c r="BL629" t="s">
        <v>116</v>
      </c>
      <c r="BM629" t="s">
        <v>709</v>
      </c>
      <c r="BN629" t="s">
        <v>709</v>
      </c>
      <c r="BO629" t="s">
        <v>709</v>
      </c>
      <c r="BP629" t="s">
        <v>709</v>
      </c>
      <c r="BQ629" t="s">
        <v>709</v>
      </c>
      <c r="BR629">
        <v>51</v>
      </c>
      <c r="BS629">
        <v>40</v>
      </c>
      <c r="BT629" t="s">
        <v>745</v>
      </c>
      <c r="BU629">
        <v>1</v>
      </c>
      <c r="BV629" t="s">
        <v>745</v>
      </c>
      <c r="BW629" t="s">
        <v>709</v>
      </c>
      <c r="BX629">
        <v>1</v>
      </c>
      <c r="BY629" t="s">
        <v>745</v>
      </c>
      <c r="BZ629" t="s">
        <v>709</v>
      </c>
      <c r="CA629" t="s">
        <v>730</v>
      </c>
      <c r="CB629">
        <v>626</v>
      </c>
      <c r="CC629" t="b">
        <v>1</v>
      </c>
      <c r="CD629" t="s">
        <v>4497</v>
      </c>
      <c r="CE629" s="1482">
        <v>45880.735590277778</v>
      </c>
    </row>
    <row r="630" spans="1:83" ht="150" x14ac:dyDescent="0.25">
      <c r="A630">
        <v>2022</v>
      </c>
      <c r="B630" t="s">
        <v>730</v>
      </c>
      <c r="C630" t="s">
        <v>4498</v>
      </c>
      <c r="D630" t="s">
        <v>4499</v>
      </c>
      <c r="E630" t="s">
        <v>4500</v>
      </c>
      <c r="F630" t="s">
        <v>747</v>
      </c>
      <c r="G630" t="s">
        <v>34</v>
      </c>
      <c r="H630" t="s">
        <v>59</v>
      </c>
      <c r="I630">
        <v>44320</v>
      </c>
      <c r="J630">
        <v>44712</v>
      </c>
      <c r="K630">
        <v>44708</v>
      </c>
      <c r="L630">
        <v>4</v>
      </c>
      <c r="N630" t="s">
        <v>120</v>
      </c>
      <c r="O630">
        <v>44713</v>
      </c>
      <c r="P630" t="s">
        <v>120</v>
      </c>
      <c r="Q630">
        <v>23517.413700000001</v>
      </c>
      <c r="R630" t="s">
        <v>794</v>
      </c>
      <c r="S630" t="s">
        <v>709</v>
      </c>
      <c r="T630" t="s">
        <v>709</v>
      </c>
      <c r="U630" t="s">
        <v>709</v>
      </c>
      <c r="V630">
        <v>74</v>
      </c>
      <c r="X630">
        <v>168273.64</v>
      </c>
      <c r="Z630">
        <v>46637.11</v>
      </c>
      <c r="AA630">
        <v>214910.75</v>
      </c>
      <c r="AC630" t="s">
        <v>1177</v>
      </c>
      <c r="AD630" t="s">
        <v>29</v>
      </c>
      <c r="AM630" t="s">
        <v>116</v>
      </c>
      <c r="AN630">
        <v>45175</v>
      </c>
      <c r="AO630">
        <v>11038200</v>
      </c>
      <c r="AP630">
        <v>173161.08</v>
      </c>
      <c r="AR630">
        <v>48028.74</v>
      </c>
      <c r="AS630">
        <v>221189.82</v>
      </c>
      <c r="AT630">
        <v>6279.07</v>
      </c>
      <c r="AU630">
        <v>533.72090000000003</v>
      </c>
      <c r="AV630" t="s">
        <v>709</v>
      </c>
      <c r="AX630">
        <v>0</v>
      </c>
      <c r="AY630">
        <v>45375</v>
      </c>
      <c r="BA630" t="s">
        <v>4501</v>
      </c>
      <c r="BB630" s="4" t="s">
        <v>3824</v>
      </c>
      <c r="BC630" t="s">
        <v>709</v>
      </c>
      <c r="BD630" t="s">
        <v>709</v>
      </c>
      <c r="BE630" t="s">
        <v>4502</v>
      </c>
      <c r="BF630" t="s">
        <v>4503</v>
      </c>
      <c r="BG630" t="s">
        <v>709</v>
      </c>
      <c r="BI630" t="s">
        <v>116</v>
      </c>
      <c r="BJ630" t="s">
        <v>709</v>
      </c>
      <c r="BK630" t="s">
        <v>709</v>
      </c>
      <c r="BL630" t="s">
        <v>116</v>
      </c>
      <c r="BM630" t="s">
        <v>709</v>
      </c>
      <c r="BN630" t="s">
        <v>709</v>
      </c>
      <c r="BO630" t="s">
        <v>709</v>
      </c>
      <c r="BP630" t="s">
        <v>709</v>
      </c>
      <c r="BQ630" t="s">
        <v>709</v>
      </c>
      <c r="BR630" t="s">
        <v>709</v>
      </c>
      <c r="BS630">
        <v>74</v>
      </c>
      <c r="BT630" t="s">
        <v>745</v>
      </c>
      <c r="BU630">
        <v>1</v>
      </c>
      <c r="BV630" t="s">
        <v>745</v>
      </c>
      <c r="BW630" t="s">
        <v>709</v>
      </c>
      <c r="BX630" t="s">
        <v>709</v>
      </c>
      <c r="BY630" t="s">
        <v>745</v>
      </c>
      <c r="BZ630" t="s">
        <v>709</v>
      </c>
      <c r="CA630" t="s">
        <v>730</v>
      </c>
      <c r="CB630">
        <v>629</v>
      </c>
      <c r="CC630" t="b">
        <v>1</v>
      </c>
      <c r="CD630" t="s">
        <v>4504</v>
      </c>
      <c r="CE630" s="1482">
        <v>45880.735601851855</v>
      </c>
    </row>
    <row r="631" spans="1:83" ht="240" x14ac:dyDescent="0.25">
      <c r="A631">
        <v>2022</v>
      </c>
      <c r="B631" t="s">
        <v>2994</v>
      </c>
      <c r="C631" t="s">
        <v>4505</v>
      </c>
      <c r="D631" t="s">
        <v>4506</v>
      </c>
      <c r="E631" t="s">
        <v>1352</v>
      </c>
      <c r="F631" t="s">
        <v>752</v>
      </c>
      <c r="G631" t="s">
        <v>35</v>
      </c>
      <c r="H631" t="s">
        <v>59</v>
      </c>
      <c r="I631">
        <v>44596</v>
      </c>
      <c r="J631">
        <v>44712</v>
      </c>
      <c r="K631">
        <v>44708</v>
      </c>
      <c r="L631">
        <v>4</v>
      </c>
      <c r="N631" t="s">
        <v>120</v>
      </c>
      <c r="O631">
        <v>44713</v>
      </c>
      <c r="P631" t="s">
        <v>739</v>
      </c>
      <c r="Q631">
        <v>14512.718699999999</v>
      </c>
      <c r="R631">
        <v>0.09</v>
      </c>
      <c r="S631" t="s">
        <v>709</v>
      </c>
      <c r="T631" t="s">
        <v>709</v>
      </c>
      <c r="U631" t="s">
        <v>709</v>
      </c>
      <c r="Z631">
        <v>161252.43</v>
      </c>
      <c r="AA631">
        <v>161252.43</v>
      </c>
      <c r="AC631" t="s">
        <v>709</v>
      </c>
      <c r="AD631" t="s">
        <v>709</v>
      </c>
      <c r="AM631" t="s">
        <v>116</v>
      </c>
      <c r="AN631">
        <v>44805</v>
      </c>
      <c r="AO631">
        <v>11042223</v>
      </c>
      <c r="AP631">
        <v>0</v>
      </c>
      <c r="AR631">
        <v>161654.91</v>
      </c>
      <c r="AS631">
        <v>161654.91</v>
      </c>
      <c r="AT631">
        <v>402.48</v>
      </c>
      <c r="AU631">
        <v>36.223199999999999</v>
      </c>
      <c r="AV631">
        <v>2430</v>
      </c>
      <c r="AW631" s="4" t="s">
        <v>4507</v>
      </c>
      <c r="AX631">
        <v>0</v>
      </c>
      <c r="AY631">
        <v>45008</v>
      </c>
      <c r="BA631" t="s">
        <v>4508</v>
      </c>
      <c r="BB631" s="4" t="s">
        <v>4509</v>
      </c>
      <c r="BC631" t="s">
        <v>709</v>
      </c>
      <c r="BD631" t="s">
        <v>882</v>
      </c>
      <c r="BE631" t="s">
        <v>1355</v>
      </c>
      <c r="BF631" t="s">
        <v>709</v>
      </c>
      <c r="BG631" t="s">
        <v>709</v>
      </c>
      <c r="BI631" t="s">
        <v>709</v>
      </c>
      <c r="BJ631" t="s">
        <v>709</v>
      </c>
      <c r="BK631" t="s">
        <v>709</v>
      </c>
      <c r="BL631" t="s">
        <v>709</v>
      </c>
      <c r="BM631" t="s">
        <v>709</v>
      </c>
      <c r="BN631" t="s">
        <v>709</v>
      </c>
      <c r="BO631" t="s">
        <v>709</v>
      </c>
      <c r="BP631" t="s">
        <v>709</v>
      </c>
      <c r="BQ631" t="s">
        <v>709</v>
      </c>
      <c r="BR631" t="s">
        <v>709</v>
      </c>
      <c r="BS631" t="s">
        <v>709</v>
      </c>
      <c r="BT631" t="s">
        <v>745</v>
      </c>
      <c r="BU631" t="s">
        <v>709</v>
      </c>
      <c r="BV631">
        <v>3</v>
      </c>
      <c r="BW631" t="s">
        <v>709</v>
      </c>
      <c r="BX631" t="s">
        <v>745</v>
      </c>
      <c r="BY631" t="s">
        <v>745</v>
      </c>
      <c r="BZ631" t="s">
        <v>709</v>
      </c>
      <c r="CA631" t="s">
        <v>4304</v>
      </c>
      <c r="CB631">
        <v>628</v>
      </c>
      <c r="CC631" t="b">
        <v>1</v>
      </c>
      <c r="CD631" t="s">
        <v>4510</v>
      </c>
      <c r="CE631" s="1482">
        <v>45880.735601851855</v>
      </c>
    </row>
    <row r="632" spans="1:83" ht="300" x14ac:dyDescent="0.25">
      <c r="A632">
        <v>2022</v>
      </c>
      <c r="B632" t="s">
        <v>4</v>
      </c>
      <c r="C632" t="s">
        <v>4511</v>
      </c>
      <c r="D632" t="s">
        <v>4512</v>
      </c>
      <c r="E632" t="s">
        <v>2375</v>
      </c>
      <c r="F632" t="s">
        <v>738</v>
      </c>
      <c r="G632" t="s">
        <v>35</v>
      </c>
      <c r="H632" t="s">
        <v>59</v>
      </c>
      <c r="I632">
        <v>44621</v>
      </c>
      <c r="J632">
        <v>44715</v>
      </c>
      <c r="K632">
        <v>44715</v>
      </c>
      <c r="L632">
        <v>0</v>
      </c>
      <c r="N632" t="s">
        <v>120</v>
      </c>
      <c r="O632">
        <v>44715</v>
      </c>
      <c r="P632" t="s">
        <v>739</v>
      </c>
      <c r="Q632">
        <v>353766.20199999999</v>
      </c>
      <c r="R632">
        <v>0.1</v>
      </c>
      <c r="S632" t="s">
        <v>709</v>
      </c>
      <c r="T632" t="s">
        <v>709</v>
      </c>
      <c r="U632" t="s">
        <v>709</v>
      </c>
      <c r="V632">
        <v>15410</v>
      </c>
      <c r="X632">
        <v>3180346.54</v>
      </c>
      <c r="Z632">
        <v>357315.48</v>
      </c>
      <c r="AA632">
        <v>3537662.02</v>
      </c>
      <c r="AC632" t="s">
        <v>709</v>
      </c>
      <c r="AD632" t="s">
        <v>709</v>
      </c>
      <c r="AM632" t="s">
        <v>116</v>
      </c>
      <c r="AN632">
        <v>44747</v>
      </c>
      <c r="AO632">
        <v>11041909</v>
      </c>
      <c r="AP632">
        <v>3186506.26</v>
      </c>
      <c r="AR632">
        <v>357029.01</v>
      </c>
      <c r="AS632">
        <v>3543535.27</v>
      </c>
      <c r="AT632">
        <v>5873.25</v>
      </c>
      <c r="AU632">
        <v>587.32500000000005</v>
      </c>
      <c r="AV632" t="s">
        <v>709</v>
      </c>
      <c r="AX632">
        <v>587.32500000000005</v>
      </c>
      <c r="AY632">
        <v>45008</v>
      </c>
      <c r="BA632" s="4" t="s">
        <v>4513</v>
      </c>
      <c r="BB632" t="s">
        <v>4248</v>
      </c>
      <c r="BC632" t="s">
        <v>116</v>
      </c>
      <c r="BD632" t="s">
        <v>709</v>
      </c>
      <c r="BE632" t="s">
        <v>3205</v>
      </c>
      <c r="BF632" t="s">
        <v>709</v>
      </c>
      <c r="BG632" t="s">
        <v>709</v>
      </c>
      <c r="BI632" t="s">
        <v>709</v>
      </c>
      <c r="BJ632" t="s">
        <v>709</v>
      </c>
      <c r="BK632" t="s">
        <v>709</v>
      </c>
      <c r="BL632" t="s">
        <v>116</v>
      </c>
      <c r="BM632" t="s">
        <v>709</v>
      </c>
      <c r="BN632" t="s">
        <v>709</v>
      </c>
      <c r="BO632" t="s">
        <v>709</v>
      </c>
      <c r="BP632" t="s">
        <v>709</v>
      </c>
      <c r="BQ632">
        <v>125</v>
      </c>
      <c r="BR632">
        <v>2875</v>
      </c>
      <c r="BS632">
        <v>12467</v>
      </c>
      <c r="BT632" t="s">
        <v>745</v>
      </c>
      <c r="BU632" t="s">
        <v>709</v>
      </c>
      <c r="BV632" t="s">
        <v>745</v>
      </c>
      <c r="BW632" t="s">
        <v>709</v>
      </c>
      <c r="BX632" t="s">
        <v>745</v>
      </c>
      <c r="BY632" t="s">
        <v>745</v>
      </c>
      <c r="BZ632" t="s">
        <v>709</v>
      </c>
      <c r="CB632">
        <v>630</v>
      </c>
      <c r="CC632" t="b">
        <v>1</v>
      </c>
      <c r="CD632" t="s">
        <v>4514</v>
      </c>
      <c r="CE632" s="1482">
        <v>45880.735613425924</v>
      </c>
    </row>
    <row r="633" spans="1:83" x14ac:dyDescent="0.25">
      <c r="A633">
        <v>2022</v>
      </c>
      <c r="B633" t="s">
        <v>4</v>
      </c>
      <c r="C633" t="s">
        <v>4515</v>
      </c>
      <c r="D633" t="s">
        <v>4516</v>
      </c>
      <c r="E633" t="s">
        <v>2375</v>
      </c>
      <c r="F633" t="s">
        <v>738</v>
      </c>
      <c r="G633" t="s">
        <v>35</v>
      </c>
      <c r="H633" t="s">
        <v>59</v>
      </c>
      <c r="I633">
        <v>44666</v>
      </c>
      <c r="J633">
        <v>44715</v>
      </c>
      <c r="K633">
        <v>44715</v>
      </c>
      <c r="L633">
        <v>0</v>
      </c>
      <c r="N633" t="s">
        <v>120</v>
      </c>
      <c r="O633">
        <v>44715</v>
      </c>
      <c r="P633" t="s">
        <v>120</v>
      </c>
      <c r="Q633">
        <v>7855.5709999999999</v>
      </c>
      <c r="R633">
        <v>0.1</v>
      </c>
      <c r="S633" t="s">
        <v>709</v>
      </c>
      <c r="T633" t="s">
        <v>709</v>
      </c>
      <c r="U633" t="s">
        <v>709</v>
      </c>
      <c r="V633">
        <v>453</v>
      </c>
      <c r="X633">
        <v>70644.710000000006</v>
      </c>
      <c r="Z633">
        <v>7911</v>
      </c>
      <c r="AA633">
        <v>78555.710000000006</v>
      </c>
      <c r="AC633" t="s">
        <v>709</v>
      </c>
      <c r="AD633" t="s">
        <v>709</v>
      </c>
      <c r="AM633" t="s">
        <v>116</v>
      </c>
      <c r="AN633">
        <v>44740</v>
      </c>
      <c r="AO633">
        <v>11042477</v>
      </c>
      <c r="AP633">
        <v>70785.14</v>
      </c>
      <c r="AR633">
        <v>7911</v>
      </c>
      <c r="AS633">
        <v>78696.14</v>
      </c>
      <c r="AT633">
        <v>140.43</v>
      </c>
      <c r="AU633">
        <v>14.042999999999999</v>
      </c>
      <c r="AV633" t="s">
        <v>709</v>
      </c>
      <c r="AX633">
        <v>14.042999999999999</v>
      </c>
      <c r="AY633">
        <v>45008</v>
      </c>
      <c r="BA633" t="s">
        <v>4517</v>
      </c>
      <c r="BB633" t="s">
        <v>3507</v>
      </c>
      <c r="BZ633" t="s">
        <v>709</v>
      </c>
      <c r="CA633" t="s">
        <v>1053</v>
      </c>
      <c r="CB633">
        <v>631</v>
      </c>
      <c r="CC633" t="b">
        <v>1</v>
      </c>
      <c r="CD633" t="s">
        <v>4518</v>
      </c>
      <c r="CE633" s="1482">
        <v>45880.735613425924</v>
      </c>
    </row>
    <row r="634" spans="1:83" x14ac:dyDescent="0.25">
      <c r="A634">
        <v>2022</v>
      </c>
      <c r="B634" t="s">
        <v>1073</v>
      </c>
      <c r="C634" t="s">
        <v>3951</v>
      </c>
      <c r="D634" t="s">
        <v>3952</v>
      </c>
      <c r="E634" t="s">
        <v>2187</v>
      </c>
      <c r="F634" t="s">
        <v>919</v>
      </c>
      <c r="G634" t="s">
        <v>35</v>
      </c>
      <c r="H634" t="s">
        <v>2611</v>
      </c>
      <c r="I634">
        <v>44631</v>
      </c>
      <c r="J634" t="s">
        <v>2612</v>
      </c>
      <c r="K634">
        <v>44719</v>
      </c>
      <c r="L634">
        <v>88</v>
      </c>
      <c r="M634" t="s">
        <v>3652</v>
      </c>
      <c r="N634" t="s">
        <v>120</v>
      </c>
      <c r="O634">
        <v>44743</v>
      </c>
      <c r="P634" t="s">
        <v>739</v>
      </c>
      <c r="Q634">
        <v>1337.5</v>
      </c>
      <c r="R634" t="s">
        <v>1922</v>
      </c>
      <c r="S634" t="s">
        <v>709</v>
      </c>
      <c r="T634" t="s">
        <v>709</v>
      </c>
      <c r="U634">
        <v>1337.5</v>
      </c>
      <c r="AA634">
        <v>23365</v>
      </c>
      <c r="AD634" t="s">
        <v>116</v>
      </c>
      <c r="AE634" t="s">
        <v>29</v>
      </c>
      <c r="AF634" t="s">
        <v>29</v>
      </c>
      <c r="AG634" t="s">
        <v>29</v>
      </c>
      <c r="AH634" t="s">
        <v>29</v>
      </c>
      <c r="AM634" t="s">
        <v>709</v>
      </c>
      <c r="AY634" t="s">
        <v>29</v>
      </c>
      <c r="BI634" t="s">
        <v>709</v>
      </c>
      <c r="BJ634" t="s">
        <v>709</v>
      </c>
      <c r="BK634" t="s">
        <v>709</v>
      </c>
      <c r="BL634" t="s">
        <v>116</v>
      </c>
      <c r="BM634" t="s">
        <v>709</v>
      </c>
      <c r="BN634" t="s">
        <v>709</v>
      </c>
      <c r="BO634" t="s">
        <v>709</v>
      </c>
      <c r="BP634" t="s">
        <v>709</v>
      </c>
      <c r="BQ634" t="s">
        <v>709</v>
      </c>
      <c r="BR634">
        <v>9486</v>
      </c>
      <c r="BS634" t="s">
        <v>709</v>
      </c>
      <c r="BT634" t="s">
        <v>709</v>
      </c>
      <c r="BU634" t="s">
        <v>709</v>
      </c>
      <c r="BV634" t="s">
        <v>745</v>
      </c>
      <c r="BW634" t="s">
        <v>709</v>
      </c>
      <c r="BX634" t="s">
        <v>709</v>
      </c>
      <c r="BY634" t="s">
        <v>745</v>
      </c>
      <c r="BZ634" t="s">
        <v>709</v>
      </c>
      <c r="CB634">
        <v>632</v>
      </c>
      <c r="CC634" t="b">
        <v>1</v>
      </c>
      <c r="CD634" t="s">
        <v>4519</v>
      </c>
      <c r="CE634" s="1482">
        <v>45880.735625000001</v>
      </c>
    </row>
    <row r="635" spans="1:83" x14ac:dyDescent="0.25">
      <c r="A635">
        <v>2022</v>
      </c>
      <c r="B635" t="s">
        <v>2994</v>
      </c>
      <c r="C635" t="s">
        <v>4505</v>
      </c>
      <c r="D635" t="s">
        <v>4506</v>
      </c>
      <c r="E635" t="s">
        <v>1352</v>
      </c>
      <c r="F635" t="s">
        <v>752</v>
      </c>
      <c r="G635" t="s">
        <v>35</v>
      </c>
      <c r="H635" t="s">
        <v>4462</v>
      </c>
      <c r="I635">
        <v>44718</v>
      </c>
      <c r="J635" t="s">
        <v>2052</v>
      </c>
      <c r="K635">
        <v>44720</v>
      </c>
      <c r="L635">
        <v>2</v>
      </c>
      <c r="M635" t="s">
        <v>4520</v>
      </c>
      <c r="N635" t="s">
        <v>120</v>
      </c>
      <c r="O635">
        <v>44720</v>
      </c>
      <c r="P635" t="s">
        <v>739</v>
      </c>
      <c r="Q635" t="s">
        <v>115</v>
      </c>
      <c r="R635" t="s">
        <v>115</v>
      </c>
      <c r="AC635" t="s">
        <v>709</v>
      </c>
      <c r="AD635" t="s">
        <v>709</v>
      </c>
      <c r="AM635" t="s">
        <v>709</v>
      </c>
      <c r="AY635" t="s">
        <v>29</v>
      </c>
      <c r="BA635" t="s">
        <v>4521</v>
      </c>
      <c r="BB635" t="s">
        <v>4522</v>
      </c>
      <c r="BI635" t="s">
        <v>709</v>
      </c>
      <c r="BJ635" t="s">
        <v>709</v>
      </c>
      <c r="BK635" t="s">
        <v>709</v>
      </c>
      <c r="BL635" t="s">
        <v>709</v>
      </c>
      <c r="BM635" t="s">
        <v>709</v>
      </c>
      <c r="BN635" t="s">
        <v>709</v>
      </c>
      <c r="BO635" t="s">
        <v>709</v>
      </c>
      <c r="BP635" t="s">
        <v>709</v>
      </c>
      <c r="BQ635" t="s">
        <v>709</v>
      </c>
      <c r="BR635" t="s">
        <v>709</v>
      </c>
      <c r="BS635" t="s">
        <v>709</v>
      </c>
      <c r="BT635" t="s">
        <v>745</v>
      </c>
      <c r="BU635" t="s">
        <v>709</v>
      </c>
      <c r="BV635" t="s">
        <v>116</v>
      </c>
      <c r="BW635" t="s">
        <v>709</v>
      </c>
      <c r="BX635" t="s">
        <v>745</v>
      </c>
      <c r="BY635" t="s">
        <v>745</v>
      </c>
      <c r="BZ635" t="s">
        <v>709</v>
      </c>
      <c r="CA635" t="s">
        <v>4304</v>
      </c>
      <c r="CB635">
        <v>634</v>
      </c>
      <c r="CC635" t="b">
        <v>1</v>
      </c>
      <c r="CD635" t="s">
        <v>4523</v>
      </c>
      <c r="CE635" s="1482">
        <v>45880.735625000001</v>
      </c>
    </row>
    <row r="636" spans="1:83" ht="195" x14ac:dyDescent="0.25">
      <c r="A636">
        <v>2022</v>
      </c>
      <c r="B636" t="s">
        <v>769</v>
      </c>
      <c r="C636" t="s">
        <v>4524</v>
      </c>
      <c r="D636" t="s">
        <v>4525</v>
      </c>
      <c r="E636" t="s">
        <v>3493</v>
      </c>
      <c r="F636" t="s">
        <v>752</v>
      </c>
      <c r="G636" t="s">
        <v>24</v>
      </c>
      <c r="H636" t="s">
        <v>4354</v>
      </c>
      <c r="I636">
        <v>44692</v>
      </c>
      <c r="J636">
        <v>44750</v>
      </c>
      <c r="K636">
        <v>44720</v>
      </c>
      <c r="L636">
        <v>30</v>
      </c>
      <c r="N636" t="s">
        <v>120</v>
      </c>
      <c r="O636">
        <v>44757</v>
      </c>
      <c r="P636" t="s">
        <v>739</v>
      </c>
      <c r="Q636">
        <v>16807.5</v>
      </c>
      <c r="R636" t="s">
        <v>1922</v>
      </c>
      <c r="S636" t="s">
        <v>709</v>
      </c>
      <c r="T636" t="s">
        <v>709</v>
      </c>
      <c r="U636">
        <v>16807.5</v>
      </c>
      <c r="AC636" t="s">
        <v>709</v>
      </c>
      <c r="AE636" t="s">
        <v>29</v>
      </c>
      <c r="AF636" t="s">
        <v>29</v>
      </c>
      <c r="AG636" t="s">
        <v>29</v>
      </c>
      <c r="AH636" t="s">
        <v>29</v>
      </c>
      <c r="AM636" t="s">
        <v>709</v>
      </c>
      <c r="AY636" t="s">
        <v>29</v>
      </c>
      <c r="BA636" s="4" t="s">
        <v>4526</v>
      </c>
      <c r="BB636" s="4" t="s">
        <v>4527</v>
      </c>
      <c r="BC636" t="s">
        <v>115</v>
      </c>
      <c r="BD636" t="s">
        <v>757</v>
      </c>
      <c r="BE636" t="s">
        <v>3496</v>
      </c>
      <c r="BF636" t="s">
        <v>4528</v>
      </c>
      <c r="BG636" t="s">
        <v>115</v>
      </c>
      <c r="BI636" t="s">
        <v>709</v>
      </c>
      <c r="BJ636" t="s">
        <v>709</v>
      </c>
      <c r="BK636" t="s">
        <v>709</v>
      </c>
      <c r="BL636" t="s">
        <v>116</v>
      </c>
      <c r="BM636" t="s">
        <v>709</v>
      </c>
      <c r="BN636" t="s">
        <v>709</v>
      </c>
      <c r="BO636" t="s">
        <v>709</v>
      </c>
      <c r="BP636" t="s">
        <v>709</v>
      </c>
      <c r="BQ636" t="s">
        <v>709</v>
      </c>
      <c r="BR636" t="s">
        <v>709</v>
      </c>
      <c r="BS636" t="s">
        <v>116</v>
      </c>
      <c r="BT636" t="s">
        <v>745</v>
      </c>
      <c r="BU636" t="s">
        <v>709</v>
      </c>
      <c r="BV636" t="s">
        <v>745</v>
      </c>
      <c r="BW636" t="s">
        <v>709</v>
      </c>
      <c r="BX636" t="s">
        <v>745</v>
      </c>
      <c r="BY636" t="s">
        <v>745</v>
      </c>
      <c r="BZ636" t="s">
        <v>709</v>
      </c>
      <c r="CA636" t="s">
        <v>769</v>
      </c>
      <c r="CB636">
        <v>635</v>
      </c>
      <c r="CC636" t="b">
        <v>1</v>
      </c>
      <c r="CD636" t="s">
        <v>4529</v>
      </c>
      <c r="CE636" s="1482">
        <v>45880.735636574071</v>
      </c>
    </row>
    <row r="637" spans="1:83" ht="165" x14ac:dyDescent="0.25">
      <c r="A637">
        <v>2022</v>
      </c>
      <c r="B637" t="s">
        <v>730</v>
      </c>
      <c r="C637" t="s">
        <v>1284</v>
      </c>
      <c r="D637" t="s">
        <v>1285</v>
      </c>
      <c r="E637" t="s">
        <v>1286</v>
      </c>
      <c r="F637" t="s">
        <v>752</v>
      </c>
      <c r="G637" t="s">
        <v>23</v>
      </c>
      <c r="H637" t="s">
        <v>59</v>
      </c>
      <c r="I637">
        <v>44607</v>
      </c>
      <c r="J637">
        <v>44722</v>
      </c>
      <c r="K637">
        <v>44720</v>
      </c>
      <c r="L637">
        <v>2</v>
      </c>
      <c r="N637" t="s">
        <v>120</v>
      </c>
      <c r="O637">
        <v>44720</v>
      </c>
      <c r="P637" t="s">
        <v>739</v>
      </c>
      <c r="Q637">
        <v>35341.335899999998</v>
      </c>
      <c r="R637" t="s">
        <v>794</v>
      </c>
      <c r="S637" t="s">
        <v>709</v>
      </c>
      <c r="T637" t="s">
        <v>709</v>
      </c>
      <c r="U637" t="s">
        <v>709</v>
      </c>
      <c r="V637">
        <v>312</v>
      </c>
      <c r="X637">
        <v>241769.56</v>
      </c>
      <c r="Z637">
        <v>50481.45</v>
      </c>
      <c r="AA637">
        <v>292251.01</v>
      </c>
      <c r="AC637" t="s">
        <v>1056</v>
      </c>
      <c r="AM637" t="s">
        <v>116</v>
      </c>
      <c r="AN637" t="s">
        <v>709</v>
      </c>
      <c r="AO637">
        <v>11042525</v>
      </c>
      <c r="AS637">
        <v>0</v>
      </c>
      <c r="AT637">
        <v>0</v>
      </c>
      <c r="AU637">
        <v>0</v>
      </c>
      <c r="AY637" t="s">
        <v>709</v>
      </c>
      <c r="AZ637">
        <v>171</v>
      </c>
      <c r="BA637" s="4" t="s">
        <v>1287</v>
      </c>
      <c r="BB637" s="4" t="s">
        <v>1288</v>
      </c>
      <c r="BC637" t="s">
        <v>709</v>
      </c>
      <c r="BD637" t="s">
        <v>709</v>
      </c>
      <c r="BE637" t="s">
        <v>709</v>
      </c>
      <c r="BF637" t="s">
        <v>1289</v>
      </c>
      <c r="BG637" t="s">
        <v>709</v>
      </c>
      <c r="BI637" t="s">
        <v>116</v>
      </c>
      <c r="BJ637" t="s">
        <v>116</v>
      </c>
      <c r="BK637" t="s">
        <v>709</v>
      </c>
      <c r="BL637" t="s">
        <v>116</v>
      </c>
      <c r="BM637" t="s">
        <v>709</v>
      </c>
      <c r="BN637" t="s">
        <v>709</v>
      </c>
      <c r="BO637" t="s">
        <v>709</v>
      </c>
      <c r="BP637" t="s">
        <v>709</v>
      </c>
      <c r="BQ637" t="s">
        <v>709</v>
      </c>
      <c r="BR637" t="s">
        <v>709</v>
      </c>
      <c r="BS637">
        <v>312</v>
      </c>
      <c r="BT637" t="s">
        <v>745</v>
      </c>
      <c r="BU637">
        <v>2</v>
      </c>
      <c r="BV637" t="s">
        <v>745</v>
      </c>
      <c r="BW637" t="s">
        <v>709</v>
      </c>
      <c r="BX637">
        <v>1</v>
      </c>
      <c r="BY637" t="s">
        <v>745</v>
      </c>
      <c r="BZ637" t="s">
        <v>709</v>
      </c>
      <c r="CA637" t="s">
        <v>769</v>
      </c>
      <c r="CB637">
        <v>633</v>
      </c>
      <c r="CC637" t="b">
        <v>1</v>
      </c>
      <c r="CD637" t="s">
        <v>4530</v>
      </c>
      <c r="CE637" s="1482">
        <v>45880.735636574071</v>
      </c>
    </row>
    <row r="638" spans="1:83" ht="165" x14ac:dyDescent="0.25">
      <c r="A638">
        <v>2022</v>
      </c>
      <c r="B638" t="s">
        <v>771</v>
      </c>
      <c r="C638" t="s">
        <v>217</v>
      </c>
      <c r="D638">
        <v>1410799</v>
      </c>
      <c r="E638" t="s">
        <v>4531</v>
      </c>
      <c r="F638" t="s">
        <v>747</v>
      </c>
      <c r="G638" t="s">
        <v>22</v>
      </c>
      <c r="H638" t="s">
        <v>4462</v>
      </c>
      <c r="I638">
        <v>44720</v>
      </c>
      <c r="J638" t="s">
        <v>2052</v>
      </c>
      <c r="K638">
        <v>44722</v>
      </c>
      <c r="L638">
        <v>2</v>
      </c>
      <c r="M638" t="s">
        <v>4532</v>
      </c>
      <c r="N638" t="s">
        <v>120</v>
      </c>
      <c r="O638">
        <v>44722</v>
      </c>
      <c r="P638" t="s">
        <v>120</v>
      </c>
      <c r="Q638" t="s">
        <v>115</v>
      </c>
      <c r="R638" t="s">
        <v>115</v>
      </c>
      <c r="S638" t="s">
        <v>709</v>
      </c>
      <c r="T638" t="s">
        <v>709</v>
      </c>
      <c r="U638" t="s">
        <v>709</v>
      </c>
      <c r="AC638" t="s">
        <v>709</v>
      </c>
      <c r="AD638" t="s">
        <v>709</v>
      </c>
      <c r="AM638" t="s">
        <v>709</v>
      </c>
      <c r="AY638" t="s">
        <v>29</v>
      </c>
      <c r="BA638" s="4" t="s">
        <v>4533</v>
      </c>
      <c r="BB638" t="s">
        <v>4534</v>
      </c>
      <c r="BI638" t="s">
        <v>709</v>
      </c>
      <c r="BJ638" t="s">
        <v>709</v>
      </c>
      <c r="BK638" t="s">
        <v>116</v>
      </c>
      <c r="BL638" t="s">
        <v>116</v>
      </c>
      <c r="BM638" t="s">
        <v>709</v>
      </c>
      <c r="BN638" t="s">
        <v>709</v>
      </c>
      <c r="BO638" t="s">
        <v>709</v>
      </c>
      <c r="BP638">
        <v>3270</v>
      </c>
      <c r="BQ638">
        <v>7510</v>
      </c>
      <c r="BR638" t="s">
        <v>709</v>
      </c>
      <c r="BS638">
        <v>219</v>
      </c>
      <c r="BT638" t="s">
        <v>745</v>
      </c>
      <c r="BU638" t="s">
        <v>709</v>
      </c>
      <c r="BV638" t="s">
        <v>745</v>
      </c>
      <c r="BW638" t="s">
        <v>709</v>
      </c>
      <c r="BX638" t="s">
        <v>745</v>
      </c>
      <c r="BY638" t="s">
        <v>745</v>
      </c>
      <c r="BZ638" t="s">
        <v>709</v>
      </c>
      <c r="CB638">
        <v>636</v>
      </c>
      <c r="CC638" t="b">
        <v>1</v>
      </c>
      <c r="CD638" t="s">
        <v>4535</v>
      </c>
      <c r="CE638" s="1482">
        <v>45880.735648148147</v>
      </c>
    </row>
    <row r="639" spans="1:83" ht="285" x14ac:dyDescent="0.25">
      <c r="A639">
        <v>2022</v>
      </c>
      <c r="B639" t="s">
        <v>4</v>
      </c>
      <c r="C639" t="s">
        <v>4536</v>
      </c>
      <c r="D639" t="s">
        <v>115</v>
      </c>
      <c r="E639" t="s">
        <v>1149</v>
      </c>
      <c r="F639" t="s">
        <v>747</v>
      </c>
      <c r="G639" t="s">
        <v>35</v>
      </c>
      <c r="H639" t="s">
        <v>4537</v>
      </c>
      <c r="I639">
        <v>44677</v>
      </c>
      <c r="J639">
        <v>44771</v>
      </c>
      <c r="K639">
        <v>44725</v>
      </c>
      <c r="L639">
        <v>46</v>
      </c>
      <c r="N639" t="s">
        <v>120</v>
      </c>
      <c r="O639">
        <v>44725</v>
      </c>
      <c r="P639" t="s">
        <v>739</v>
      </c>
      <c r="Q639" t="s">
        <v>115</v>
      </c>
      <c r="R639" t="s">
        <v>115</v>
      </c>
      <c r="S639" t="s">
        <v>709</v>
      </c>
      <c r="T639" t="s">
        <v>709</v>
      </c>
      <c r="U639" t="s">
        <v>709</v>
      </c>
      <c r="AC639" t="s">
        <v>709</v>
      </c>
      <c r="AD639" t="s">
        <v>29</v>
      </c>
      <c r="AM639" t="s">
        <v>709</v>
      </c>
      <c r="AY639" t="s">
        <v>29</v>
      </c>
      <c r="BA639" s="4" t="s">
        <v>4538</v>
      </c>
      <c r="BB639" t="s">
        <v>877</v>
      </c>
      <c r="CB639">
        <v>637</v>
      </c>
      <c r="CC639" t="b">
        <v>1</v>
      </c>
      <c r="CD639" t="s">
        <v>4539</v>
      </c>
      <c r="CE639" s="1482">
        <v>45880.735648148147</v>
      </c>
    </row>
    <row r="640" spans="1:83" ht="285" x14ac:dyDescent="0.25">
      <c r="A640">
        <v>2022</v>
      </c>
      <c r="B640" t="s">
        <v>4</v>
      </c>
      <c r="C640" t="s">
        <v>4540</v>
      </c>
      <c r="D640" t="s">
        <v>115</v>
      </c>
      <c r="E640" t="s">
        <v>1306</v>
      </c>
      <c r="F640" t="s">
        <v>738</v>
      </c>
      <c r="G640" t="s">
        <v>27</v>
      </c>
      <c r="H640" t="s">
        <v>4537</v>
      </c>
      <c r="I640">
        <v>44684</v>
      </c>
      <c r="J640">
        <v>44740</v>
      </c>
      <c r="K640">
        <v>44725</v>
      </c>
      <c r="L640">
        <v>15</v>
      </c>
      <c r="N640" t="s">
        <v>120</v>
      </c>
      <c r="O640">
        <v>44725</v>
      </c>
      <c r="P640" t="s">
        <v>739</v>
      </c>
      <c r="Q640" t="s">
        <v>115</v>
      </c>
      <c r="R640" t="s">
        <v>115</v>
      </c>
      <c r="S640" t="s">
        <v>709</v>
      </c>
      <c r="T640" t="s">
        <v>709</v>
      </c>
      <c r="U640" t="s">
        <v>709</v>
      </c>
      <c r="AC640" t="s">
        <v>709</v>
      </c>
      <c r="AM640" t="s">
        <v>709</v>
      </c>
      <c r="AY640" t="s">
        <v>29</v>
      </c>
      <c r="BA640" s="4" t="s">
        <v>4541</v>
      </c>
      <c r="BB640" t="s">
        <v>1308</v>
      </c>
      <c r="CB640">
        <v>638</v>
      </c>
      <c r="CC640" t="b">
        <v>1</v>
      </c>
      <c r="CD640" t="s">
        <v>4542</v>
      </c>
      <c r="CE640" s="1482">
        <v>45880.735659722224</v>
      </c>
    </row>
    <row r="641" spans="1:83" x14ac:dyDescent="0.25">
      <c r="A641">
        <v>2021</v>
      </c>
      <c r="B641" t="s">
        <v>769</v>
      </c>
      <c r="C641" t="s">
        <v>4117</v>
      </c>
      <c r="D641">
        <v>3210872</v>
      </c>
      <c r="E641" t="s">
        <v>111</v>
      </c>
      <c r="F641" t="s">
        <v>752</v>
      </c>
      <c r="G641" t="s">
        <v>23</v>
      </c>
      <c r="H641" t="s">
        <v>4462</v>
      </c>
      <c r="I641">
        <v>44713</v>
      </c>
      <c r="J641" t="s">
        <v>2052</v>
      </c>
      <c r="K641">
        <v>44726</v>
      </c>
      <c r="L641">
        <v>13</v>
      </c>
      <c r="M641" t="s">
        <v>4543</v>
      </c>
      <c r="N641" t="s">
        <v>120</v>
      </c>
      <c r="O641">
        <v>44726</v>
      </c>
      <c r="P641" t="s">
        <v>739</v>
      </c>
      <c r="Q641" t="s">
        <v>115</v>
      </c>
      <c r="R641" t="s">
        <v>115</v>
      </c>
      <c r="S641" t="s">
        <v>709</v>
      </c>
      <c r="T641" t="s">
        <v>709</v>
      </c>
      <c r="U641" t="s">
        <v>709</v>
      </c>
      <c r="AC641" t="s">
        <v>709</v>
      </c>
      <c r="AD641" t="s">
        <v>116</v>
      </c>
      <c r="AM641" t="s">
        <v>709</v>
      </c>
      <c r="AY641" t="s">
        <v>29</v>
      </c>
      <c r="BA641" t="s">
        <v>4544</v>
      </c>
      <c r="BB641" t="s">
        <v>4543</v>
      </c>
      <c r="BZ641" t="s">
        <v>709</v>
      </c>
      <c r="CA641" t="s">
        <v>769</v>
      </c>
      <c r="CB641">
        <v>639</v>
      </c>
      <c r="CC641" t="b">
        <v>1</v>
      </c>
      <c r="CD641" t="s">
        <v>4545</v>
      </c>
      <c r="CE641" s="1482">
        <v>45880.735659722224</v>
      </c>
    </row>
    <row r="642" spans="1:83" x14ac:dyDescent="0.25">
      <c r="A642">
        <v>2022</v>
      </c>
      <c r="B642" t="s">
        <v>771</v>
      </c>
      <c r="C642" t="s">
        <v>3940</v>
      </c>
      <c r="D642">
        <v>1210662</v>
      </c>
      <c r="E642" t="s">
        <v>3942</v>
      </c>
      <c r="F642" t="s">
        <v>747</v>
      </c>
      <c r="G642" t="s">
        <v>23</v>
      </c>
      <c r="H642" t="s">
        <v>3178</v>
      </c>
      <c r="I642">
        <v>44719</v>
      </c>
      <c r="J642" t="s">
        <v>2052</v>
      </c>
      <c r="K642">
        <v>44726</v>
      </c>
      <c r="L642">
        <v>7</v>
      </c>
      <c r="M642" t="s">
        <v>4546</v>
      </c>
      <c r="N642" t="s">
        <v>120</v>
      </c>
      <c r="O642">
        <v>44726</v>
      </c>
      <c r="P642" t="s">
        <v>120</v>
      </c>
      <c r="Q642">
        <v>2907.5</v>
      </c>
      <c r="R642" t="s">
        <v>1922</v>
      </c>
      <c r="S642" t="s">
        <v>709</v>
      </c>
      <c r="T642" t="s">
        <v>709</v>
      </c>
      <c r="U642">
        <v>2907.5</v>
      </c>
      <c r="AC642" t="s">
        <v>709</v>
      </c>
      <c r="AD642" t="s">
        <v>29</v>
      </c>
      <c r="AM642" t="s">
        <v>709</v>
      </c>
      <c r="AY642" t="s">
        <v>29</v>
      </c>
      <c r="BA642">
        <v>1</v>
      </c>
      <c r="BI642" t="s">
        <v>709</v>
      </c>
      <c r="BJ642" t="s">
        <v>709</v>
      </c>
      <c r="BK642" t="s">
        <v>709</v>
      </c>
      <c r="BL642" t="s">
        <v>116</v>
      </c>
      <c r="BM642" t="s">
        <v>709</v>
      </c>
      <c r="BN642" t="s">
        <v>709</v>
      </c>
      <c r="BO642" t="s">
        <v>709</v>
      </c>
      <c r="BP642" t="s">
        <v>709</v>
      </c>
      <c r="BQ642">
        <v>340</v>
      </c>
      <c r="BR642">
        <v>4846</v>
      </c>
      <c r="BS642">
        <v>8933</v>
      </c>
      <c r="BT642" t="s">
        <v>709</v>
      </c>
      <c r="BU642" t="s">
        <v>709</v>
      </c>
      <c r="BV642" t="s">
        <v>745</v>
      </c>
      <c r="BW642" t="s">
        <v>709</v>
      </c>
      <c r="BX642" t="s">
        <v>709</v>
      </c>
      <c r="BY642" t="s">
        <v>745</v>
      </c>
      <c r="BZ642" t="s">
        <v>709</v>
      </c>
      <c r="CB642">
        <v>640</v>
      </c>
      <c r="CC642" t="b">
        <v>1</v>
      </c>
      <c r="CD642" t="s">
        <v>4547</v>
      </c>
      <c r="CE642" s="1482">
        <v>45880.735671296294</v>
      </c>
    </row>
    <row r="643" spans="1:83" x14ac:dyDescent="0.25">
      <c r="A643">
        <v>2021</v>
      </c>
      <c r="B643" t="s">
        <v>769</v>
      </c>
      <c r="C643" t="s">
        <v>3459</v>
      </c>
      <c r="D643">
        <v>102144</v>
      </c>
      <c r="E643" t="s">
        <v>1306</v>
      </c>
      <c r="F643" t="s">
        <v>747</v>
      </c>
      <c r="G643" t="s">
        <v>34</v>
      </c>
      <c r="H643" t="s">
        <v>4189</v>
      </c>
      <c r="I643">
        <v>44713</v>
      </c>
      <c r="J643" t="s">
        <v>2052</v>
      </c>
      <c r="K643">
        <v>44727</v>
      </c>
      <c r="L643">
        <v>14</v>
      </c>
      <c r="M643" t="s">
        <v>4548</v>
      </c>
      <c r="N643" t="s">
        <v>120</v>
      </c>
      <c r="O643">
        <v>44727</v>
      </c>
      <c r="P643" t="s">
        <v>120</v>
      </c>
      <c r="Q643">
        <v>3107.5</v>
      </c>
      <c r="R643" t="s">
        <v>1922</v>
      </c>
      <c r="S643" t="s">
        <v>709</v>
      </c>
      <c r="T643" t="s">
        <v>709</v>
      </c>
      <c r="U643">
        <v>3107.5</v>
      </c>
      <c r="AA643">
        <v>0</v>
      </c>
      <c r="AC643" t="s">
        <v>709</v>
      </c>
      <c r="AD643" t="s">
        <v>29</v>
      </c>
      <c r="AM643" t="s">
        <v>709</v>
      </c>
      <c r="AY643" t="s">
        <v>29</v>
      </c>
      <c r="BA643">
        <v>1</v>
      </c>
      <c r="BI643" t="s">
        <v>709</v>
      </c>
      <c r="BJ643" t="s">
        <v>709</v>
      </c>
      <c r="BK643" t="s">
        <v>116</v>
      </c>
      <c r="BL643" t="s">
        <v>116</v>
      </c>
      <c r="BM643" t="s">
        <v>709</v>
      </c>
      <c r="BN643" t="s">
        <v>709</v>
      </c>
      <c r="BO643" t="s">
        <v>709</v>
      </c>
      <c r="BP643" t="s">
        <v>709</v>
      </c>
      <c r="BQ643" t="s">
        <v>709</v>
      </c>
      <c r="BR643" t="s">
        <v>709</v>
      </c>
      <c r="BS643">
        <v>301</v>
      </c>
      <c r="BT643" t="s">
        <v>745</v>
      </c>
      <c r="BU643">
        <v>1</v>
      </c>
      <c r="BV643" t="s">
        <v>745</v>
      </c>
      <c r="BW643" t="s">
        <v>709</v>
      </c>
      <c r="BX643">
        <v>1</v>
      </c>
      <c r="BY643" t="s">
        <v>745</v>
      </c>
      <c r="BZ643" t="s">
        <v>709</v>
      </c>
      <c r="CA643" t="s">
        <v>769</v>
      </c>
      <c r="CB643">
        <v>641</v>
      </c>
      <c r="CC643" t="b">
        <v>1</v>
      </c>
      <c r="CD643" t="s">
        <v>4549</v>
      </c>
      <c r="CE643" s="1482">
        <v>45880.735682870371</v>
      </c>
    </row>
    <row r="644" spans="1:83" x14ac:dyDescent="0.25">
      <c r="A644">
        <v>2021</v>
      </c>
      <c r="B644" t="s">
        <v>771</v>
      </c>
      <c r="C644" t="s">
        <v>4391</v>
      </c>
      <c r="D644">
        <v>120602</v>
      </c>
      <c r="E644" t="s">
        <v>3351</v>
      </c>
      <c r="F644" t="s">
        <v>747</v>
      </c>
      <c r="G644" t="s">
        <v>36</v>
      </c>
      <c r="H644" t="s">
        <v>2723</v>
      </c>
      <c r="I644">
        <v>44686</v>
      </c>
      <c r="J644" t="s">
        <v>2724</v>
      </c>
      <c r="K644">
        <v>44727</v>
      </c>
      <c r="L644">
        <v>41</v>
      </c>
      <c r="M644" t="s">
        <v>4550</v>
      </c>
      <c r="N644" t="s">
        <v>120</v>
      </c>
      <c r="O644">
        <v>44743</v>
      </c>
      <c r="P644" t="s">
        <v>120</v>
      </c>
      <c r="Q644">
        <v>1375</v>
      </c>
      <c r="R644" t="s">
        <v>1922</v>
      </c>
      <c r="S644" t="s">
        <v>709</v>
      </c>
      <c r="T644" t="s">
        <v>709</v>
      </c>
      <c r="U644">
        <v>1375</v>
      </c>
      <c r="AM644" t="s">
        <v>709</v>
      </c>
      <c r="AY644" t="s">
        <v>29</v>
      </c>
      <c r="BA644" t="s">
        <v>4551</v>
      </c>
      <c r="BB644" t="s">
        <v>29</v>
      </c>
      <c r="BI644" t="s">
        <v>709</v>
      </c>
      <c r="BJ644" t="s">
        <v>709</v>
      </c>
      <c r="BK644" t="s">
        <v>709</v>
      </c>
      <c r="BL644" t="s">
        <v>116</v>
      </c>
      <c r="BM644" t="s">
        <v>709</v>
      </c>
      <c r="BN644" t="s">
        <v>709</v>
      </c>
      <c r="BO644" t="s">
        <v>709</v>
      </c>
      <c r="BP644" t="s">
        <v>709</v>
      </c>
      <c r="BQ644" t="s">
        <v>709</v>
      </c>
      <c r="BR644" t="s">
        <v>709</v>
      </c>
      <c r="BS644" t="s">
        <v>116</v>
      </c>
      <c r="BT644" t="s">
        <v>709</v>
      </c>
      <c r="BU644" t="s">
        <v>709</v>
      </c>
      <c r="BV644" t="s">
        <v>745</v>
      </c>
      <c r="BW644" t="s">
        <v>709</v>
      </c>
      <c r="BX644" t="s">
        <v>709</v>
      </c>
      <c r="BY644" t="s">
        <v>745</v>
      </c>
      <c r="BZ644" t="s">
        <v>709</v>
      </c>
      <c r="CB644">
        <v>643</v>
      </c>
      <c r="CC644" t="b">
        <v>1</v>
      </c>
      <c r="CD644" t="s">
        <v>4552</v>
      </c>
      <c r="CE644" s="1482">
        <v>45880.735682870371</v>
      </c>
    </row>
    <row r="645" spans="1:83" x14ac:dyDescent="0.25">
      <c r="A645">
        <v>2022</v>
      </c>
      <c r="B645" t="s">
        <v>1073</v>
      </c>
      <c r="C645" t="s">
        <v>4553</v>
      </c>
      <c r="D645" t="s">
        <v>4554</v>
      </c>
      <c r="E645" t="s">
        <v>232</v>
      </c>
      <c r="F645" t="s">
        <v>747</v>
      </c>
      <c r="G645" t="s">
        <v>1896</v>
      </c>
      <c r="H645" t="s">
        <v>59</v>
      </c>
      <c r="I645">
        <v>44637</v>
      </c>
      <c r="J645">
        <v>44729</v>
      </c>
      <c r="K645">
        <v>44727</v>
      </c>
      <c r="L645">
        <v>2</v>
      </c>
      <c r="N645" t="s">
        <v>120</v>
      </c>
      <c r="O645">
        <v>44727</v>
      </c>
      <c r="P645" t="s">
        <v>739</v>
      </c>
      <c r="Q645">
        <v>107986.872</v>
      </c>
      <c r="R645">
        <v>7.0000000000000007E-2</v>
      </c>
      <c r="S645" t="s">
        <v>709</v>
      </c>
      <c r="T645" t="s">
        <v>709</v>
      </c>
      <c r="U645" t="s">
        <v>709</v>
      </c>
      <c r="V645">
        <v>11373</v>
      </c>
      <c r="X645">
        <v>1513269.11</v>
      </c>
      <c r="Z645">
        <v>29400.49</v>
      </c>
      <c r="AA645">
        <v>1542669.6</v>
      </c>
      <c r="AC645" t="s">
        <v>116</v>
      </c>
      <c r="AM645" t="s">
        <v>116</v>
      </c>
      <c r="AN645">
        <v>44865</v>
      </c>
      <c r="AO645">
        <v>11042343</v>
      </c>
      <c r="AP645">
        <v>1404147.99</v>
      </c>
      <c r="AR645">
        <v>29377.3</v>
      </c>
      <c r="AS645">
        <v>1433525.29</v>
      </c>
      <c r="AT645">
        <v>-109144.31</v>
      </c>
      <c r="AU645">
        <v>-7640.1017000000002</v>
      </c>
      <c r="AV645">
        <v>1620</v>
      </c>
      <c r="AW645" t="s">
        <v>4555</v>
      </c>
      <c r="AX645">
        <v>0</v>
      </c>
      <c r="AY645">
        <v>45008</v>
      </c>
      <c r="BA645" t="s">
        <v>4556</v>
      </c>
      <c r="BB645" t="s">
        <v>4557</v>
      </c>
      <c r="BC645" t="s">
        <v>709</v>
      </c>
      <c r="BD645" t="s">
        <v>709</v>
      </c>
      <c r="BE645" t="s">
        <v>595</v>
      </c>
      <c r="BF645" t="s">
        <v>4558</v>
      </c>
      <c r="BG645" t="s">
        <v>4559</v>
      </c>
      <c r="BI645" t="s">
        <v>709</v>
      </c>
      <c r="BJ645" t="s">
        <v>709</v>
      </c>
      <c r="BK645" t="s">
        <v>116</v>
      </c>
      <c r="BL645" t="s">
        <v>116</v>
      </c>
      <c r="BM645" t="s">
        <v>709</v>
      </c>
      <c r="BN645" t="s">
        <v>709</v>
      </c>
      <c r="BO645" t="s">
        <v>709</v>
      </c>
      <c r="BP645">
        <v>161</v>
      </c>
      <c r="BQ645">
        <v>11212</v>
      </c>
      <c r="BR645" t="s">
        <v>709</v>
      </c>
      <c r="BS645" t="s">
        <v>709</v>
      </c>
      <c r="BT645" t="s">
        <v>745</v>
      </c>
      <c r="BU645" t="s">
        <v>709</v>
      </c>
      <c r="BV645" t="s">
        <v>745</v>
      </c>
      <c r="BW645" t="s">
        <v>709</v>
      </c>
      <c r="BX645" t="s">
        <v>745</v>
      </c>
      <c r="BY645" t="s">
        <v>745</v>
      </c>
      <c r="BZ645" t="s">
        <v>709</v>
      </c>
      <c r="CB645">
        <v>642</v>
      </c>
      <c r="CC645" t="b">
        <v>1</v>
      </c>
      <c r="CD645" t="s">
        <v>4560</v>
      </c>
      <c r="CE645" s="1482">
        <v>45880.735694444447</v>
      </c>
    </row>
    <row r="646" spans="1:83" ht="240" x14ac:dyDescent="0.25">
      <c r="A646">
        <v>2022</v>
      </c>
      <c r="B646" t="s">
        <v>4</v>
      </c>
      <c r="C646" t="s">
        <v>4561</v>
      </c>
      <c r="D646" t="s">
        <v>4562</v>
      </c>
      <c r="E646" t="s">
        <v>104</v>
      </c>
      <c r="F646" t="s">
        <v>738</v>
      </c>
      <c r="G646" t="s">
        <v>23</v>
      </c>
      <c r="H646" t="s">
        <v>59</v>
      </c>
      <c r="I646">
        <v>44656</v>
      </c>
      <c r="J646">
        <v>44736</v>
      </c>
      <c r="K646">
        <v>44732</v>
      </c>
      <c r="L646">
        <v>4</v>
      </c>
      <c r="N646" t="s">
        <v>120</v>
      </c>
      <c r="O646">
        <v>44732</v>
      </c>
      <c r="P646" t="s">
        <v>739</v>
      </c>
      <c r="Q646">
        <v>53548.928999999996</v>
      </c>
      <c r="R646">
        <v>0.1</v>
      </c>
      <c r="S646" t="s">
        <v>709</v>
      </c>
      <c r="T646" t="s">
        <v>709</v>
      </c>
      <c r="U646" t="s">
        <v>709</v>
      </c>
      <c r="V646">
        <v>2328</v>
      </c>
      <c r="X646">
        <v>510923.2</v>
      </c>
      <c r="Z646">
        <v>24566.09</v>
      </c>
      <c r="AA646">
        <v>535489.29</v>
      </c>
      <c r="AC646" t="s">
        <v>709</v>
      </c>
      <c r="AM646" t="s">
        <v>116</v>
      </c>
      <c r="AN646">
        <v>44803</v>
      </c>
      <c r="AO646">
        <v>11044870</v>
      </c>
      <c r="AP646">
        <v>511847.87</v>
      </c>
      <c r="AR646">
        <v>24571.84</v>
      </c>
      <c r="AS646">
        <v>536419.71</v>
      </c>
      <c r="AT646">
        <v>930.42</v>
      </c>
      <c r="AU646">
        <v>93.042000000000002</v>
      </c>
      <c r="AV646" t="s">
        <v>709</v>
      </c>
      <c r="AX646">
        <v>93.042000000000002</v>
      </c>
      <c r="AY646">
        <v>45008</v>
      </c>
      <c r="BA646" s="4" t="s">
        <v>4563</v>
      </c>
      <c r="BB646" t="s">
        <v>4564</v>
      </c>
      <c r="BC646" t="s">
        <v>709</v>
      </c>
      <c r="BD646" t="s">
        <v>709</v>
      </c>
      <c r="BE646" t="s">
        <v>1232</v>
      </c>
      <c r="BF646" t="s">
        <v>709</v>
      </c>
      <c r="BG646" t="s">
        <v>709</v>
      </c>
      <c r="BI646" t="s">
        <v>709</v>
      </c>
      <c r="BJ646" t="s">
        <v>709</v>
      </c>
      <c r="BK646" t="s">
        <v>709</v>
      </c>
      <c r="BL646" t="s">
        <v>116</v>
      </c>
      <c r="BM646" t="s">
        <v>709</v>
      </c>
      <c r="BN646" t="s">
        <v>709</v>
      </c>
      <c r="BO646" t="s">
        <v>709</v>
      </c>
      <c r="BP646" t="s">
        <v>709</v>
      </c>
      <c r="BQ646" t="s">
        <v>709</v>
      </c>
      <c r="BR646" t="s">
        <v>709</v>
      </c>
      <c r="BS646">
        <v>2328</v>
      </c>
      <c r="BT646" t="s">
        <v>709</v>
      </c>
      <c r="BU646" t="s">
        <v>709</v>
      </c>
      <c r="BV646" t="s">
        <v>709</v>
      </c>
      <c r="BW646" t="s">
        <v>709</v>
      </c>
      <c r="BX646" t="s">
        <v>709</v>
      </c>
      <c r="BY646" t="s">
        <v>709</v>
      </c>
      <c r="BZ646" t="s">
        <v>709</v>
      </c>
      <c r="CB646">
        <v>644</v>
      </c>
      <c r="CC646" t="b">
        <v>1</v>
      </c>
      <c r="CD646" t="s">
        <v>4565</v>
      </c>
      <c r="CE646" s="1482">
        <v>45880.735694444447</v>
      </c>
    </row>
    <row r="647" spans="1:83" ht="195" x14ac:dyDescent="0.25">
      <c r="A647">
        <v>2022</v>
      </c>
      <c r="B647" t="s">
        <v>730</v>
      </c>
      <c r="C647" t="s">
        <v>1290</v>
      </c>
      <c r="D647" t="s">
        <v>1291</v>
      </c>
      <c r="E647" t="s">
        <v>1292</v>
      </c>
      <c r="F647" t="s">
        <v>752</v>
      </c>
      <c r="G647" t="s">
        <v>23</v>
      </c>
      <c r="H647" t="s">
        <v>59</v>
      </c>
      <c r="I647">
        <v>44603</v>
      </c>
      <c r="J647">
        <v>44736</v>
      </c>
      <c r="K647">
        <v>44733</v>
      </c>
      <c r="L647">
        <v>3</v>
      </c>
      <c r="N647" t="s">
        <v>120</v>
      </c>
      <c r="O647">
        <v>44733</v>
      </c>
      <c r="P647" t="s">
        <v>739</v>
      </c>
      <c r="Q647">
        <v>25371.5766</v>
      </c>
      <c r="R647" t="s">
        <v>794</v>
      </c>
      <c r="S647" t="s">
        <v>709</v>
      </c>
      <c r="T647" t="s">
        <v>709</v>
      </c>
      <c r="U647" t="s">
        <v>709</v>
      </c>
      <c r="V647">
        <v>279</v>
      </c>
      <c r="X647">
        <v>183205.61</v>
      </c>
      <c r="Z647">
        <v>53518.82</v>
      </c>
      <c r="AA647">
        <v>236724.43</v>
      </c>
      <c r="AC647" t="s">
        <v>1056</v>
      </c>
      <c r="AM647" t="s">
        <v>116</v>
      </c>
      <c r="AN647" t="s">
        <v>709</v>
      </c>
      <c r="AO647">
        <v>11042120</v>
      </c>
      <c r="AS647">
        <v>0</v>
      </c>
      <c r="AT647">
        <v>0</v>
      </c>
      <c r="AU647">
        <v>0</v>
      </c>
      <c r="AY647" t="s">
        <v>709</v>
      </c>
      <c r="AZ647">
        <v>172</v>
      </c>
      <c r="BA647" s="4" t="s">
        <v>1293</v>
      </c>
      <c r="BB647" s="4" t="s">
        <v>1294</v>
      </c>
      <c r="BC647" t="s">
        <v>709</v>
      </c>
      <c r="BD647" t="s">
        <v>709</v>
      </c>
      <c r="BE647" t="s">
        <v>1292</v>
      </c>
      <c r="BF647" t="s">
        <v>709</v>
      </c>
      <c r="BG647" t="s">
        <v>709</v>
      </c>
      <c r="BI647" t="s">
        <v>709</v>
      </c>
      <c r="BJ647" t="s">
        <v>116</v>
      </c>
      <c r="BK647" t="s">
        <v>709</v>
      </c>
      <c r="BL647" t="s">
        <v>116</v>
      </c>
      <c r="BM647" t="s">
        <v>709</v>
      </c>
      <c r="BN647" t="s">
        <v>709</v>
      </c>
      <c r="BO647" t="s">
        <v>709</v>
      </c>
      <c r="BP647" t="s">
        <v>709</v>
      </c>
      <c r="BQ647" t="s">
        <v>709</v>
      </c>
      <c r="BR647" t="s">
        <v>709</v>
      </c>
      <c r="BS647">
        <v>279</v>
      </c>
      <c r="BT647" t="s">
        <v>745</v>
      </c>
      <c r="BU647">
        <v>1</v>
      </c>
      <c r="BV647" t="s">
        <v>745</v>
      </c>
      <c r="BW647" t="s">
        <v>709</v>
      </c>
      <c r="BX647">
        <v>1</v>
      </c>
      <c r="BY647" t="s">
        <v>745</v>
      </c>
      <c r="BZ647" t="s">
        <v>709</v>
      </c>
      <c r="CB647">
        <v>645</v>
      </c>
      <c r="CC647" t="b">
        <v>1</v>
      </c>
      <c r="CD647" t="s">
        <v>4566</v>
      </c>
      <c r="CE647" s="1482">
        <v>45880.735706018517</v>
      </c>
    </row>
    <row r="648" spans="1:83" x14ac:dyDescent="0.25">
      <c r="A648">
        <v>2021</v>
      </c>
      <c r="B648" t="s">
        <v>771</v>
      </c>
      <c r="C648" t="s">
        <v>3010</v>
      </c>
      <c r="D648" t="s">
        <v>3011</v>
      </c>
      <c r="E648" t="s">
        <v>3012</v>
      </c>
      <c r="F648" t="s">
        <v>919</v>
      </c>
      <c r="G648" t="s">
        <v>1882</v>
      </c>
      <c r="H648" t="s">
        <v>4462</v>
      </c>
      <c r="I648">
        <v>44727</v>
      </c>
      <c r="J648" t="s">
        <v>2052</v>
      </c>
      <c r="K648">
        <v>44734</v>
      </c>
      <c r="L648">
        <v>7</v>
      </c>
      <c r="M648" t="s">
        <v>4567</v>
      </c>
      <c r="N648" t="s">
        <v>120</v>
      </c>
      <c r="O648">
        <v>44734</v>
      </c>
      <c r="P648" t="s">
        <v>120</v>
      </c>
      <c r="Q648" t="s">
        <v>115</v>
      </c>
      <c r="R648" t="s">
        <v>115</v>
      </c>
      <c r="AM648" t="s">
        <v>709</v>
      </c>
      <c r="AY648" t="s">
        <v>29</v>
      </c>
      <c r="BA648" t="s">
        <v>4568</v>
      </c>
      <c r="BB648" t="s">
        <v>4569</v>
      </c>
      <c r="BI648" t="s">
        <v>709</v>
      </c>
      <c r="BJ648" t="s">
        <v>709</v>
      </c>
      <c r="BK648" t="s">
        <v>709</v>
      </c>
      <c r="BL648" t="s">
        <v>116</v>
      </c>
      <c r="BM648" t="s">
        <v>709</v>
      </c>
      <c r="BN648" t="s">
        <v>709</v>
      </c>
      <c r="BO648" t="s">
        <v>709</v>
      </c>
      <c r="BP648" t="s">
        <v>709</v>
      </c>
      <c r="BQ648" t="s">
        <v>116</v>
      </c>
      <c r="BR648" t="s">
        <v>116</v>
      </c>
      <c r="BS648" t="s">
        <v>116</v>
      </c>
      <c r="BT648" t="s">
        <v>745</v>
      </c>
      <c r="BU648" t="s">
        <v>709</v>
      </c>
      <c r="BV648" t="s">
        <v>745</v>
      </c>
      <c r="BW648" t="s">
        <v>709</v>
      </c>
      <c r="BX648" t="s">
        <v>709</v>
      </c>
      <c r="BY648" t="s">
        <v>745</v>
      </c>
      <c r="BZ648" t="s">
        <v>709</v>
      </c>
      <c r="CB648">
        <v>646</v>
      </c>
      <c r="CC648" t="b">
        <v>1</v>
      </c>
      <c r="CD648" t="s">
        <v>4570</v>
      </c>
      <c r="CE648" s="1482">
        <v>45880.735706018517</v>
      </c>
    </row>
    <row r="649" spans="1:83" ht="315" x14ac:dyDescent="0.25">
      <c r="A649">
        <v>2022</v>
      </c>
      <c r="B649" t="s">
        <v>4</v>
      </c>
      <c r="C649" t="s">
        <v>4571</v>
      </c>
      <c r="D649" t="s">
        <v>4572</v>
      </c>
      <c r="E649" t="s">
        <v>1004</v>
      </c>
      <c r="F649" t="s">
        <v>747</v>
      </c>
      <c r="G649" t="s">
        <v>39</v>
      </c>
      <c r="H649" t="s">
        <v>1903</v>
      </c>
      <c r="I649">
        <v>44631</v>
      </c>
      <c r="J649">
        <v>44742</v>
      </c>
      <c r="K649">
        <v>44735</v>
      </c>
      <c r="L649">
        <v>7</v>
      </c>
      <c r="N649" t="s">
        <v>120</v>
      </c>
      <c r="O649">
        <v>44735</v>
      </c>
      <c r="P649" t="s">
        <v>739</v>
      </c>
      <c r="Q649" t="s">
        <v>115</v>
      </c>
      <c r="R649" t="s">
        <v>115</v>
      </c>
      <c r="AM649" t="s">
        <v>709</v>
      </c>
      <c r="AY649" t="s">
        <v>29</v>
      </c>
      <c r="BA649" s="4" t="s">
        <v>4573</v>
      </c>
      <c r="BB649" t="s">
        <v>787</v>
      </c>
      <c r="BC649" t="s">
        <v>709</v>
      </c>
      <c r="BD649" t="s">
        <v>862</v>
      </c>
      <c r="BE649" t="s">
        <v>709</v>
      </c>
      <c r="BF649" t="s">
        <v>709</v>
      </c>
      <c r="BG649" t="s">
        <v>709</v>
      </c>
      <c r="CB649">
        <v>647</v>
      </c>
      <c r="CC649" t="b">
        <v>1</v>
      </c>
      <c r="CD649" t="s">
        <v>4574</v>
      </c>
      <c r="CE649" s="1482">
        <v>45880.735717592594</v>
      </c>
    </row>
    <row r="650" spans="1:83" x14ac:dyDescent="0.25">
      <c r="A650">
        <v>2021</v>
      </c>
      <c r="B650" t="s">
        <v>769</v>
      </c>
      <c r="C650" t="s">
        <v>3198</v>
      </c>
      <c r="D650" t="s">
        <v>3199</v>
      </c>
      <c r="E650" t="s">
        <v>155</v>
      </c>
      <c r="F650" t="s">
        <v>1111</v>
      </c>
      <c r="G650" t="s">
        <v>40</v>
      </c>
      <c r="H650" t="s">
        <v>2051</v>
      </c>
      <c r="I650">
        <v>44739</v>
      </c>
      <c r="J650" t="s">
        <v>2958</v>
      </c>
      <c r="K650">
        <v>44739</v>
      </c>
      <c r="L650">
        <v>0</v>
      </c>
      <c r="M650" t="s">
        <v>4575</v>
      </c>
      <c r="N650" t="s">
        <v>120</v>
      </c>
      <c r="O650">
        <v>44743</v>
      </c>
      <c r="P650" t="s">
        <v>739</v>
      </c>
      <c r="Q650" t="s">
        <v>115</v>
      </c>
      <c r="R650" t="s">
        <v>115</v>
      </c>
      <c r="AC650" t="s">
        <v>709</v>
      </c>
      <c r="AD650" t="s">
        <v>709</v>
      </c>
      <c r="AM650" t="s">
        <v>709</v>
      </c>
      <c r="AY650" t="s">
        <v>29</v>
      </c>
      <c r="BI650" t="s">
        <v>709</v>
      </c>
      <c r="BJ650" t="s">
        <v>709</v>
      </c>
      <c r="BK650" t="s">
        <v>116</v>
      </c>
      <c r="BL650" t="s">
        <v>709</v>
      </c>
      <c r="BM650" t="s">
        <v>709</v>
      </c>
      <c r="BN650" t="s">
        <v>709</v>
      </c>
      <c r="BO650" t="s">
        <v>709</v>
      </c>
      <c r="BP650" t="s">
        <v>709</v>
      </c>
      <c r="BQ650">
        <v>12</v>
      </c>
      <c r="BR650" t="s">
        <v>709</v>
      </c>
      <c r="BS650" t="s">
        <v>709</v>
      </c>
      <c r="BT650" t="s">
        <v>745</v>
      </c>
      <c r="BU650" t="s">
        <v>709</v>
      </c>
      <c r="BV650" t="s">
        <v>745</v>
      </c>
      <c r="BW650" t="s">
        <v>709</v>
      </c>
      <c r="BX650">
        <v>1</v>
      </c>
      <c r="BY650" t="s">
        <v>745</v>
      </c>
      <c r="BZ650" t="s">
        <v>709</v>
      </c>
      <c r="CA650" t="s">
        <v>769</v>
      </c>
      <c r="CB650">
        <v>651</v>
      </c>
      <c r="CC650" t="b">
        <v>1</v>
      </c>
      <c r="CD650" t="s">
        <v>4576</v>
      </c>
      <c r="CE650" s="1482">
        <v>45880.735717592594</v>
      </c>
    </row>
    <row r="651" spans="1:83" x14ac:dyDescent="0.25">
      <c r="A651">
        <v>2022</v>
      </c>
      <c r="B651" t="s">
        <v>769</v>
      </c>
      <c r="C651" t="s">
        <v>3832</v>
      </c>
      <c r="D651" t="s">
        <v>3833</v>
      </c>
      <c r="E651" t="s">
        <v>3834</v>
      </c>
      <c r="F651" t="s">
        <v>747</v>
      </c>
      <c r="G651" t="s">
        <v>34</v>
      </c>
      <c r="H651" t="s">
        <v>2396</v>
      </c>
      <c r="I651">
        <v>44736</v>
      </c>
      <c r="J651" t="s">
        <v>2397</v>
      </c>
      <c r="K651">
        <v>44739</v>
      </c>
      <c r="L651">
        <v>3</v>
      </c>
      <c r="M651" t="s">
        <v>4577</v>
      </c>
      <c r="N651" t="s">
        <v>120</v>
      </c>
      <c r="O651">
        <v>44739</v>
      </c>
      <c r="P651" t="s">
        <v>120</v>
      </c>
      <c r="Q651" t="s">
        <v>115</v>
      </c>
      <c r="R651" t="s">
        <v>115</v>
      </c>
      <c r="S651" t="s">
        <v>709</v>
      </c>
      <c r="T651" t="s">
        <v>709</v>
      </c>
      <c r="U651" t="s">
        <v>709</v>
      </c>
      <c r="AC651" t="s">
        <v>709</v>
      </c>
      <c r="AD651" t="s">
        <v>29</v>
      </c>
      <c r="AM651" t="s">
        <v>709</v>
      </c>
      <c r="AY651" t="s">
        <v>29</v>
      </c>
      <c r="BA651" t="s">
        <v>4578</v>
      </c>
      <c r="BB651" t="s">
        <v>4579</v>
      </c>
      <c r="BI651" t="s">
        <v>709</v>
      </c>
      <c r="BJ651" t="s">
        <v>116</v>
      </c>
      <c r="BK651" t="s">
        <v>709</v>
      </c>
      <c r="BL651" t="s">
        <v>116</v>
      </c>
      <c r="BM651" t="s">
        <v>709</v>
      </c>
      <c r="BN651" t="s">
        <v>709</v>
      </c>
      <c r="BO651" t="s">
        <v>709</v>
      </c>
      <c r="BP651" t="s">
        <v>709</v>
      </c>
      <c r="BQ651" t="s">
        <v>709</v>
      </c>
      <c r="BR651">
        <v>25</v>
      </c>
      <c r="BS651">
        <v>40</v>
      </c>
      <c r="BT651" t="s">
        <v>745</v>
      </c>
      <c r="BU651">
        <v>1</v>
      </c>
      <c r="BV651" t="s">
        <v>745</v>
      </c>
      <c r="BW651" t="s">
        <v>709</v>
      </c>
      <c r="BX651">
        <v>1</v>
      </c>
      <c r="BY651" t="s">
        <v>745</v>
      </c>
      <c r="BZ651" t="s">
        <v>709</v>
      </c>
      <c r="CA651" t="s">
        <v>769</v>
      </c>
      <c r="CB651">
        <v>649</v>
      </c>
      <c r="CC651" t="b">
        <v>1</v>
      </c>
      <c r="CD651" t="s">
        <v>4580</v>
      </c>
      <c r="CE651" s="1482">
        <v>45880.735729166663</v>
      </c>
    </row>
    <row r="652" spans="1:83" x14ac:dyDescent="0.25">
      <c r="A652">
        <v>2022</v>
      </c>
      <c r="B652" t="s">
        <v>4</v>
      </c>
      <c r="C652" t="s">
        <v>3901</v>
      </c>
      <c r="D652">
        <v>1310685</v>
      </c>
      <c r="E652" t="s">
        <v>2032</v>
      </c>
      <c r="F652" t="s">
        <v>738</v>
      </c>
      <c r="G652" t="s">
        <v>23</v>
      </c>
      <c r="H652" t="s">
        <v>4462</v>
      </c>
      <c r="I652">
        <v>44679</v>
      </c>
      <c r="J652" t="s">
        <v>2052</v>
      </c>
      <c r="K652">
        <v>44739</v>
      </c>
      <c r="L652">
        <v>60</v>
      </c>
      <c r="M652" t="s">
        <v>4581</v>
      </c>
      <c r="N652" t="s">
        <v>120</v>
      </c>
      <c r="O652">
        <v>44743</v>
      </c>
      <c r="P652" t="s">
        <v>739</v>
      </c>
      <c r="Q652">
        <v>6102.5</v>
      </c>
      <c r="R652" t="s">
        <v>1922</v>
      </c>
      <c r="S652" t="s">
        <v>709</v>
      </c>
      <c r="T652" t="s">
        <v>709</v>
      </c>
      <c r="U652">
        <v>6102.5</v>
      </c>
      <c r="AA652">
        <v>23365</v>
      </c>
      <c r="AM652" t="s">
        <v>709</v>
      </c>
      <c r="AY652" t="s">
        <v>29</v>
      </c>
      <c r="BI652" t="s">
        <v>709</v>
      </c>
      <c r="BJ652" t="s">
        <v>709</v>
      </c>
      <c r="BK652" t="s">
        <v>709</v>
      </c>
      <c r="BL652" t="s">
        <v>116</v>
      </c>
      <c r="BM652" t="s">
        <v>709</v>
      </c>
      <c r="BN652" t="s">
        <v>709</v>
      </c>
      <c r="BO652" t="s">
        <v>709</v>
      </c>
      <c r="BP652" t="s">
        <v>709</v>
      </c>
      <c r="BQ652" t="s">
        <v>709</v>
      </c>
      <c r="BR652">
        <v>824</v>
      </c>
      <c r="BS652" t="s">
        <v>709</v>
      </c>
      <c r="BT652" t="s">
        <v>709</v>
      </c>
      <c r="BU652" t="s">
        <v>709</v>
      </c>
      <c r="BV652" t="s">
        <v>745</v>
      </c>
      <c r="BW652" t="s">
        <v>709</v>
      </c>
      <c r="BX652" t="s">
        <v>709</v>
      </c>
      <c r="BY652" t="s">
        <v>745</v>
      </c>
      <c r="BZ652" t="s">
        <v>709</v>
      </c>
      <c r="CB652">
        <v>650</v>
      </c>
      <c r="CC652" t="b">
        <v>1</v>
      </c>
      <c r="CD652" t="s">
        <v>4582</v>
      </c>
      <c r="CE652" s="1482">
        <v>45880.735729166663</v>
      </c>
    </row>
    <row r="653" spans="1:83" ht="409.5" x14ac:dyDescent="0.25">
      <c r="A653">
        <v>2022</v>
      </c>
      <c r="B653" t="s">
        <v>771</v>
      </c>
      <c r="C653" t="s">
        <v>4583</v>
      </c>
      <c r="D653" t="s">
        <v>4584</v>
      </c>
      <c r="E653" t="s">
        <v>232</v>
      </c>
      <c r="F653" t="s">
        <v>747</v>
      </c>
      <c r="G653" t="s">
        <v>22</v>
      </c>
      <c r="H653" t="s">
        <v>59</v>
      </c>
      <c r="I653">
        <v>44581</v>
      </c>
      <c r="J653">
        <v>44743</v>
      </c>
      <c r="K653">
        <v>44739</v>
      </c>
      <c r="L653">
        <v>4</v>
      </c>
      <c r="N653" t="s">
        <v>120</v>
      </c>
      <c r="O653">
        <v>44739</v>
      </c>
      <c r="P653" t="s">
        <v>120</v>
      </c>
      <c r="Q653">
        <v>8472.2999999999993</v>
      </c>
      <c r="R653" t="s">
        <v>2087</v>
      </c>
      <c r="S653" t="s">
        <v>709</v>
      </c>
      <c r="T653" t="s">
        <v>709</v>
      </c>
      <c r="U653" t="s">
        <v>709</v>
      </c>
      <c r="V653">
        <v>5466</v>
      </c>
      <c r="AC653" t="s">
        <v>709</v>
      </c>
      <c r="AD653" t="s">
        <v>709</v>
      </c>
      <c r="AM653" t="s">
        <v>709</v>
      </c>
      <c r="AY653" t="s">
        <v>29</v>
      </c>
      <c r="BA653" s="4" t="s">
        <v>4585</v>
      </c>
      <c r="BB653" s="4" t="s">
        <v>4586</v>
      </c>
      <c r="BC653" t="s">
        <v>116</v>
      </c>
      <c r="BD653" t="s">
        <v>709</v>
      </c>
      <c r="BE653" t="s">
        <v>595</v>
      </c>
      <c r="BF653" t="s">
        <v>709</v>
      </c>
      <c r="BG653" t="s">
        <v>4587</v>
      </c>
      <c r="BI653" t="s">
        <v>709</v>
      </c>
      <c r="BJ653" t="s">
        <v>709</v>
      </c>
      <c r="BK653" t="s">
        <v>709</v>
      </c>
      <c r="BL653" t="s">
        <v>116</v>
      </c>
      <c r="BM653" t="s">
        <v>709</v>
      </c>
      <c r="BN653" t="s">
        <v>709</v>
      </c>
      <c r="BO653" t="s">
        <v>709</v>
      </c>
      <c r="BP653" t="s">
        <v>709</v>
      </c>
      <c r="BQ653">
        <v>985</v>
      </c>
      <c r="BR653">
        <v>2769</v>
      </c>
      <c r="BS653">
        <v>1712</v>
      </c>
      <c r="BT653" t="s">
        <v>709</v>
      </c>
      <c r="BU653" t="s">
        <v>709</v>
      </c>
      <c r="BV653" t="s">
        <v>745</v>
      </c>
      <c r="BW653" t="s">
        <v>709</v>
      </c>
      <c r="BX653" t="s">
        <v>709</v>
      </c>
      <c r="BY653" t="s">
        <v>745</v>
      </c>
      <c r="BZ653" t="s">
        <v>709</v>
      </c>
      <c r="CB653">
        <v>648</v>
      </c>
      <c r="CC653" t="b">
        <v>1</v>
      </c>
      <c r="CD653" t="s">
        <v>4588</v>
      </c>
      <c r="CE653" s="1482">
        <v>45880.73574074074</v>
      </c>
    </row>
    <row r="654" spans="1:83" ht="165" x14ac:dyDescent="0.25">
      <c r="A654">
        <v>2022</v>
      </c>
      <c r="B654" t="s">
        <v>4</v>
      </c>
      <c r="C654" t="s">
        <v>4589</v>
      </c>
      <c r="D654" t="s">
        <v>115</v>
      </c>
      <c r="E654" t="s">
        <v>1674</v>
      </c>
      <c r="F654" t="s">
        <v>738</v>
      </c>
      <c r="G654" t="s">
        <v>35</v>
      </c>
      <c r="H654" t="s">
        <v>4537</v>
      </c>
      <c r="I654">
        <v>44592</v>
      </c>
      <c r="J654">
        <v>44742</v>
      </c>
      <c r="K654">
        <v>44740</v>
      </c>
      <c r="L654">
        <v>2</v>
      </c>
      <c r="N654" t="s">
        <v>120</v>
      </c>
      <c r="O654">
        <v>44740</v>
      </c>
      <c r="P654" t="s">
        <v>739</v>
      </c>
      <c r="Q654" t="s">
        <v>115</v>
      </c>
      <c r="R654" t="s">
        <v>115</v>
      </c>
      <c r="AM654" t="s">
        <v>709</v>
      </c>
      <c r="AY654" t="s">
        <v>29</v>
      </c>
      <c r="BA654" s="4" t="s">
        <v>4590</v>
      </c>
      <c r="BB654" t="s">
        <v>4591</v>
      </c>
      <c r="BC654" t="s">
        <v>116</v>
      </c>
      <c r="BD654" t="s">
        <v>709</v>
      </c>
      <c r="BE654" t="s">
        <v>709</v>
      </c>
      <c r="BF654" t="s">
        <v>709</v>
      </c>
      <c r="BG654" t="s">
        <v>709</v>
      </c>
      <c r="CB654">
        <v>652</v>
      </c>
      <c r="CC654" t="b">
        <v>1</v>
      </c>
      <c r="CD654" t="s">
        <v>4592</v>
      </c>
      <c r="CE654" s="1482">
        <v>45880.73574074074</v>
      </c>
    </row>
    <row r="655" spans="1:83" ht="150" x14ac:dyDescent="0.25">
      <c r="A655">
        <v>2022</v>
      </c>
      <c r="B655" t="s">
        <v>730</v>
      </c>
      <c r="C655" t="s">
        <v>308</v>
      </c>
      <c r="D655" t="s">
        <v>1295</v>
      </c>
      <c r="E655" t="s">
        <v>309</v>
      </c>
      <c r="F655" t="s">
        <v>752</v>
      </c>
      <c r="G655" t="s">
        <v>24</v>
      </c>
      <c r="H655" t="s">
        <v>59</v>
      </c>
      <c r="I655">
        <v>44607</v>
      </c>
      <c r="J655">
        <v>44762</v>
      </c>
      <c r="K655">
        <v>44740</v>
      </c>
      <c r="L655">
        <v>22</v>
      </c>
      <c r="N655" t="s">
        <v>120</v>
      </c>
      <c r="O655">
        <v>44743</v>
      </c>
      <c r="P655" t="s">
        <v>739</v>
      </c>
      <c r="Q655">
        <v>28111.991000000002</v>
      </c>
      <c r="R655" t="s">
        <v>794</v>
      </c>
      <c r="V655">
        <v>528</v>
      </c>
      <c r="X655">
        <v>176710.62</v>
      </c>
      <c r="Z655">
        <v>92253.98</v>
      </c>
      <c r="AA655">
        <v>268964.59999999998</v>
      </c>
      <c r="AC655" t="s">
        <v>1296</v>
      </c>
      <c r="AD655" t="s">
        <v>116</v>
      </c>
      <c r="AM655" t="s">
        <v>116</v>
      </c>
      <c r="AN655" t="s">
        <v>709</v>
      </c>
      <c r="AO655">
        <v>11042074</v>
      </c>
      <c r="AS655">
        <v>0</v>
      </c>
      <c r="AT655">
        <v>0</v>
      </c>
      <c r="AU655">
        <v>0</v>
      </c>
      <c r="AY655" t="s">
        <v>709</v>
      </c>
      <c r="AZ655">
        <v>173</v>
      </c>
      <c r="BA655" s="4" t="s">
        <v>1297</v>
      </c>
      <c r="BB655" s="4" t="s">
        <v>1298</v>
      </c>
      <c r="BC655" t="s">
        <v>116</v>
      </c>
      <c r="BD655" t="s">
        <v>837</v>
      </c>
      <c r="BE655" t="s">
        <v>709</v>
      </c>
      <c r="BF655" t="s">
        <v>709</v>
      </c>
      <c r="BG655" t="s">
        <v>709</v>
      </c>
      <c r="BI655" t="s">
        <v>709</v>
      </c>
      <c r="BJ655" t="s">
        <v>709</v>
      </c>
      <c r="BK655" t="s">
        <v>116</v>
      </c>
      <c r="BL655" t="s">
        <v>116</v>
      </c>
      <c r="BM655" t="s">
        <v>709</v>
      </c>
      <c r="BN655" t="s">
        <v>709</v>
      </c>
      <c r="BO655" t="s">
        <v>709</v>
      </c>
      <c r="BP655" t="s">
        <v>709</v>
      </c>
      <c r="BQ655" t="s">
        <v>709</v>
      </c>
      <c r="BR655" t="s">
        <v>709</v>
      </c>
      <c r="BS655">
        <v>528</v>
      </c>
      <c r="BT655" t="s">
        <v>745</v>
      </c>
      <c r="BU655">
        <v>1</v>
      </c>
      <c r="BV655" t="s">
        <v>745</v>
      </c>
      <c r="BW655" t="s">
        <v>709</v>
      </c>
      <c r="BX655">
        <v>1</v>
      </c>
      <c r="BY655" t="s">
        <v>745</v>
      </c>
      <c r="BZ655" t="s">
        <v>709</v>
      </c>
      <c r="CB655">
        <v>653</v>
      </c>
      <c r="CC655" t="b">
        <v>1</v>
      </c>
      <c r="CD655" t="s">
        <v>4593</v>
      </c>
      <c r="CE655" s="1482">
        <v>45880.735752314817</v>
      </c>
    </row>
    <row r="656" spans="1:83" ht="180" x14ac:dyDescent="0.25">
      <c r="A656">
        <v>2022</v>
      </c>
      <c r="B656" t="s">
        <v>769</v>
      </c>
      <c r="C656" t="s">
        <v>4594</v>
      </c>
      <c r="D656" t="s">
        <v>4595</v>
      </c>
      <c r="E656" t="s">
        <v>2375</v>
      </c>
      <c r="F656" t="s">
        <v>752</v>
      </c>
      <c r="G656" t="s">
        <v>24</v>
      </c>
      <c r="H656" t="s">
        <v>2127</v>
      </c>
      <c r="I656">
        <v>44718</v>
      </c>
      <c r="J656">
        <v>44778</v>
      </c>
      <c r="K656">
        <v>44741</v>
      </c>
      <c r="L656">
        <v>37</v>
      </c>
      <c r="M656" t="s">
        <v>4596</v>
      </c>
      <c r="N656" t="s">
        <v>120</v>
      </c>
      <c r="O656">
        <v>44743</v>
      </c>
      <c r="P656" t="s">
        <v>739</v>
      </c>
      <c r="Q656">
        <v>6990</v>
      </c>
      <c r="R656" t="s">
        <v>1922</v>
      </c>
      <c r="S656" t="s">
        <v>709</v>
      </c>
      <c r="T656" t="s">
        <v>709</v>
      </c>
      <c r="U656">
        <v>6990</v>
      </c>
      <c r="AC656" t="s">
        <v>709</v>
      </c>
      <c r="AE656" t="s">
        <v>29</v>
      </c>
      <c r="AF656" t="s">
        <v>29</v>
      </c>
      <c r="AG656" t="s">
        <v>29</v>
      </c>
      <c r="AH656" t="s">
        <v>29</v>
      </c>
      <c r="AM656" t="s">
        <v>709</v>
      </c>
      <c r="AY656" t="s">
        <v>29</v>
      </c>
      <c r="BA656" s="4" t="s">
        <v>4597</v>
      </c>
      <c r="BB656" s="4" t="s">
        <v>4598</v>
      </c>
      <c r="BZ656" t="s">
        <v>709</v>
      </c>
      <c r="CA656" t="s">
        <v>769</v>
      </c>
      <c r="CB656">
        <v>654</v>
      </c>
      <c r="CC656" t="b">
        <v>1</v>
      </c>
      <c r="CD656" t="s">
        <v>4599</v>
      </c>
      <c r="CE656" s="1482">
        <v>45880.735752314817</v>
      </c>
    </row>
    <row r="657" spans="1:83" x14ac:dyDescent="0.25">
      <c r="A657">
        <v>2022</v>
      </c>
      <c r="B657" t="s">
        <v>771</v>
      </c>
      <c r="C657" t="s">
        <v>4025</v>
      </c>
      <c r="D657" t="s">
        <v>4026</v>
      </c>
      <c r="E657" t="s">
        <v>405</v>
      </c>
      <c r="F657" t="s">
        <v>747</v>
      </c>
      <c r="G657" t="s">
        <v>36</v>
      </c>
      <c r="H657" t="s">
        <v>3178</v>
      </c>
      <c r="I657">
        <v>44721</v>
      </c>
      <c r="J657" t="s">
        <v>2052</v>
      </c>
      <c r="K657">
        <v>44742</v>
      </c>
      <c r="L657">
        <v>21</v>
      </c>
      <c r="M657" t="s">
        <v>4600</v>
      </c>
      <c r="N657" t="s">
        <v>120</v>
      </c>
      <c r="O657">
        <v>44743</v>
      </c>
      <c r="P657" t="s">
        <v>120</v>
      </c>
      <c r="Q657">
        <v>10055</v>
      </c>
      <c r="R657" t="s">
        <v>1922</v>
      </c>
      <c r="S657" t="s">
        <v>709</v>
      </c>
      <c r="T657" t="s">
        <v>709</v>
      </c>
      <c r="U657">
        <v>10055</v>
      </c>
      <c r="AD657" t="s">
        <v>709</v>
      </c>
      <c r="AM657" t="s">
        <v>709</v>
      </c>
      <c r="AY657" t="s">
        <v>29</v>
      </c>
      <c r="BA657">
        <v>7</v>
      </c>
      <c r="BB657" t="s">
        <v>4601</v>
      </c>
      <c r="BC657" t="s">
        <v>709</v>
      </c>
      <c r="BD657" t="s">
        <v>4602</v>
      </c>
      <c r="BI657" t="s">
        <v>709</v>
      </c>
      <c r="BJ657" t="s">
        <v>709</v>
      </c>
      <c r="BK657" t="s">
        <v>709</v>
      </c>
      <c r="BL657" t="s">
        <v>116</v>
      </c>
      <c r="BM657" t="s">
        <v>709</v>
      </c>
      <c r="BN657" t="s">
        <v>709</v>
      </c>
      <c r="BO657" t="s">
        <v>709</v>
      </c>
      <c r="BP657">
        <v>3908</v>
      </c>
      <c r="BQ657">
        <v>41</v>
      </c>
      <c r="BR657">
        <v>69</v>
      </c>
      <c r="BS657">
        <v>1969</v>
      </c>
      <c r="BT657" t="s">
        <v>745</v>
      </c>
      <c r="BU657" t="s">
        <v>709</v>
      </c>
      <c r="BV657" t="s">
        <v>745</v>
      </c>
      <c r="BW657" t="s">
        <v>709</v>
      </c>
      <c r="BX657" t="s">
        <v>745</v>
      </c>
      <c r="BY657" t="s">
        <v>745</v>
      </c>
      <c r="BZ657" t="s">
        <v>709</v>
      </c>
      <c r="CB657">
        <v>656</v>
      </c>
      <c r="CC657" t="b">
        <v>1</v>
      </c>
      <c r="CD657" t="s">
        <v>4603</v>
      </c>
      <c r="CE657" s="1482">
        <v>45880.735763888886</v>
      </c>
    </row>
    <row r="658" spans="1:83" ht="409.5" x14ac:dyDescent="0.25">
      <c r="A658">
        <v>2022</v>
      </c>
      <c r="B658" t="s">
        <v>4</v>
      </c>
      <c r="C658" t="s">
        <v>4604</v>
      </c>
      <c r="D658" t="s">
        <v>4605</v>
      </c>
      <c r="E658" t="s">
        <v>2511</v>
      </c>
      <c r="F658" t="s">
        <v>738</v>
      </c>
      <c r="G658" t="s">
        <v>35</v>
      </c>
      <c r="H658" t="s">
        <v>59</v>
      </c>
      <c r="I658">
        <v>44672</v>
      </c>
      <c r="J658">
        <v>44743</v>
      </c>
      <c r="K658">
        <v>44742</v>
      </c>
      <c r="L658">
        <v>1</v>
      </c>
      <c r="N658" t="s">
        <v>120</v>
      </c>
      <c r="O658">
        <v>44743</v>
      </c>
      <c r="P658" t="s">
        <v>739</v>
      </c>
      <c r="Q658">
        <v>41573.044999999998</v>
      </c>
      <c r="R658">
        <v>0.1</v>
      </c>
      <c r="S658" t="s">
        <v>709</v>
      </c>
      <c r="T658" t="s">
        <v>709</v>
      </c>
      <c r="U658" t="s">
        <v>709</v>
      </c>
      <c r="V658">
        <v>741</v>
      </c>
      <c r="X658">
        <v>293129.12</v>
      </c>
      <c r="Z658">
        <v>122601.33</v>
      </c>
      <c r="AA658">
        <v>415730.45</v>
      </c>
      <c r="AC658" t="s">
        <v>116</v>
      </c>
      <c r="AD658" t="s">
        <v>116</v>
      </c>
      <c r="AM658" t="s">
        <v>116</v>
      </c>
      <c r="AN658">
        <v>44824</v>
      </c>
      <c r="AO658">
        <v>11042463</v>
      </c>
      <c r="AP658">
        <v>298591.42</v>
      </c>
      <c r="AR658">
        <v>122534.42</v>
      </c>
      <c r="AS658">
        <v>421125.84</v>
      </c>
      <c r="AT658">
        <v>5395.39</v>
      </c>
      <c r="AU658">
        <v>539.53899999999999</v>
      </c>
      <c r="AV658">
        <v>987.5</v>
      </c>
      <c r="AW658" s="4" t="s">
        <v>4606</v>
      </c>
      <c r="AX658">
        <v>0</v>
      </c>
      <c r="AY658">
        <v>45008</v>
      </c>
      <c r="BA658" s="4" t="s">
        <v>4607</v>
      </c>
      <c r="BB658" t="s">
        <v>4608</v>
      </c>
      <c r="BC658" t="s">
        <v>709</v>
      </c>
      <c r="BD658" t="s">
        <v>1066</v>
      </c>
      <c r="BE658" t="s">
        <v>709</v>
      </c>
      <c r="BF658" t="s">
        <v>709</v>
      </c>
      <c r="BG658" t="s">
        <v>709</v>
      </c>
      <c r="BI658" t="s">
        <v>709</v>
      </c>
      <c r="BJ658" t="s">
        <v>709</v>
      </c>
      <c r="BK658" t="s">
        <v>709</v>
      </c>
      <c r="BL658" t="s">
        <v>116</v>
      </c>
      <c r="BM658" t="s">
        <v>709</v>
      </c>
      <c r="BN658" t="s">
        <v>709</v>
      </c>
      <c r="BO658">
        <v>4</v>
      </c>
      <c r="BP658">
        <v>54</v>
      </c>
      <c r="BQ658">
        <v>365</v>
      </c>
      <c r="BR658">
        <v>376</v>
      </c>
      <c r="BS658" t="s">
        <v>709</v>
      </c>
      <c r="BT658" t="s">
        <v>745</v>
      </c>
      <c r="BU658" t="s">
        <v>709</v>
      </c>
      <c r="BV658" t="s">
        <v>745</v>
      </c>
      <c r="BW658" t="s">
        <v>709</v>
      </c>
      <c r="BX658" t="s">
        <v>745</v>
      </c>
      <c r="BY658" t="s">
        <v>745</v>
      </c>
      <c r="BZ658" t="s">
        <v>709</v>
      </c>
      <c r="CB658">
        <v>655</v>
      </c>
      <c r="CC658" t="b">
        <v>1</v>
      </c>
      <c r="CD658" t="s">
        <v>4609</v>
      </c>
      <c r="CE658" s="1482">
        <v>45880.735763888886</v>
      </c>
    </row>
    <row r="659" spans="1:83" x14ac:dyDescent="0.25">
      <c r="A659">
        <v>2022</v>
      </c>
      <c r="B659" t="s">
        <v>771</v>
      </c>
      <c r="C659" t="s">
        <v>217</v>
      </c>
      <c r="D659">
        <v>1410799</v>
      </c>
      <c r="E659" t="s">
        <v>4531</v>
      </c>
      <c r="F659" t="s">
        <v>747</v>
      </c>
      <c r="G659" t="s">
        <v>22</v>
      </c>
      <c r="H659" t="s">
        <v>2051</v>
      </c>
      <c r="I659">
        <v>44743</v>
      </c>
      <c r="J659" t="s">
        <v>2958</v>
      </c>
      <c r="K659">
        <v>44747</v>
      </c>
      <c r="L659">
        <v>4</v>
      </c>
      <c r="M659" t="s">
        <v>4610</v>
      </c>
      <c r="N659" t="s">
        <v>120</v>
      </c>
      <c r="O659">
        <v>44747</v>
      </c>
      <c r="P659" t="s">
        <v>120</v>
      </c>
      <c r="Q659" t="s">
        <v>115</v>
      </c>
      <c r="R659" t="s">
        <v>115</v>
      </c>
      <c r="AC659" t="s">
        <v>709</v>
      </c>
      <c r="AD659" t="s">
        <v>709</v>
      </c>
      <c r="AM659" t="s">
        <v>709</v>
      </c>
      <c r="AY659" t="s">
        <v>29</v>
      </c>
      <c r="BI659" t="s">
        <v>709</v>
      </c>
      <c r="BJ659" t="s">
        <v>709</v>
      </c>
      <c r="BK659" t="s">
        <v>116</v>
      </c>
      <c r="BL659" t="s">
        <v>116</v>
      </c>
      <c r="BM659" t="s">
        <v>709</v>
      </c>
      <c r="BN659" t="s">
        <v>709</v>
      </c>
      <c r="BO659" t="s">
        <v>709</v>
      </c>
      <c r="BP659">
        <v>3270</v>
      </c>
      <c r="BQ659">
        <v>7510</v>
      </c>
      <c r="BR659" t="s">
        <v>709</v>
      </c>
      <c r="BS659">
        <v>219</v>
      </c>
      <c r="BT659" t="s">
        <v>745</v>
      </c>
      <c r="BU659" t="s">
        <v>709</v>
      </c>
      <c r="BV659" t="s">
        <v>745</v>
      </c>
      <c r="BW659" t="s">
        <v>709</v>
      </c>
      <c r="BX659" t="s">
        <v>745</v>
      </c>
      <c r="BY659" t="s">
        <v>745</v>
      </c>
      <c r="BZ659" t="s">
        <v>709</v>
      </c>
      <c r="CB659">
        <v>657</v>
      </c>
      <c r="CC659" t="b">
        <v>1</v>
      </c>
      <c r="CD659" t="s">
        <v>4611</v>
      </c>
      <c r="CE659" s="1482">
        <v>45880.735775462963</v>
      </c>
    </row>
    <row r="660" spans="1:83" x14ac:dyDescent="0.25">
      <c r="A660">
        <v>2021</v>
      </c>
      <c r="B660" t="s">
        <v>769</v>
      </c>
      <c r="C660" t="s">
        <v>1109</v>
      </c>
      <c r="D660" t="s">
        <v>761</v>
      </c>
      <c r="E660" t="s">
        <v>1110</v>
      </c>
      <c r="F660" t="s">
        <v>1111</v>
      </c>
      <c r="G660" t="s">
        <v>40</v>
      </c>
      <c r="H660" t="s">
        <v>4462</v>
      </c>
      <c r="I660">
        <v>44704</v>
      </c>
      <c r="J660" t="s">
        <v>2052</v>
      </c>
      <c r="K660">
        <v>44748</v>
      </c>
      <c r="L660">
        <v>44</v>
      </c>
      <c r="M660" t="s">
        <v>4612</v>
      </c>
      <c r="N660" t="s">
        <v>120</v>
      </c>
      <c r="O660">
        <v>44748</v>
      </c>
      <c r="P660" t="s">
        <v>739</v>
      </c>
      <c r="Q660" t="s">
        <v>115</v>
      </c>
      <c r="R660" t="s">
        <v>115</v>
      </c>
      <c r="AC660" t="s">
        <v>29</v>
      </c>
      <c r="AM660" t="s">
        <v>709</v>
      </c>
      <c r="AY660" t="s">
        <v>29</v>
      </c>
      <c r="BZ660" t="s">
        <v>709</v>
      </c>
      <c r="CA660" t="s">
        <v>769</v>
      </c>
      <c r="CB660">
        <v>658</v>
      </c>
      <c r="CC660" t="b">
        <v>1</v>
      </c>
      <c r="CD660" t="s">
        <v>4613</v>
      </c>
      <c r="CE660" s="1482">
        <v>45880.73578703704</v>
      </c>
    </row>
    <row r="661" spans="1:83" x14ac:dyDescent="0.25">
      <c r="A661">
        <v>2022</v>
      </c>
      <c r="B661" t="s">
        <v>2994</v>
      </c>
      <c r="C661" t="s">
        <v>4300</v>
      </c>
      <c r="D661">
        <v>3210900</v>
      </c>
      <c r="E661" t="s">
        <v>1255</v>
      </c>
      <c r="F661" t="s">
        <v>752</v>
      </c>
      <c r="G661" t="s">
        <v>23</v>
      </c>
      <c r="H661" t="s">
        <v>4189</v>
      </c>
      <c r="I661">
        <v>44734</v>
      </c>
      <c r="J661" t="s">
        <v>2052</v>
      </c>
      <c r="K661">
        <v>44748</v>
      </c>
      <c r="L661">
        <v>14</v>
      </c>
      <c r="M661" t="s">
        <v>4614</v>
      </c>
      <c r="N661" t="s">
        <v>120</v>
      </c>
      <c r="O661">
        <v>44748</v>
      </c>
      <c r="P661" t="s">
        <v>739</v>
      </c>
      <c r="Q661">
        <v>2015</v>
      </c>
      <c r="R661" t="s">
        <v>1922</v>
      </c>
      <c r="S661" t="s">
        <v>709</v>
      </c>
      <c r="T661" t="s">
        <v>709</v>
      </c>
      <c r="U661">
        <v>2015</v>
      </c>
      <c r="AC661" t="s">
        <v>709</v>
      </c>
      <c r="AD661" t="s">
        <v>709</v>
      </c>
      <c r="AM661" t="s">
        <v>709</v>
      </c>
      <c r="AY661" t="s">
        <v>29</v>
      </c>
      <c r="BA661">
        <v>4</v>
      </c>
      <c r="BI661" t="s">
        <v>709</v>
      </c>
      <c r="BJ661" t="s">
        <v>709</v>
      </c>
      <c r="BK661" t="s">
        <v>709</v>
      </c>
      <c r="BL661" t="s">
        <v>709</v>
      </c>
      <c r="BM661" t="s">
        <v>709</v>
      </c>
      <c r="BN661" t="s">
        <v>709</v>
      </c>
      <c r="BO661" t="s">
        <v>709</v>
      </c>
      <c r="BP661" t="s">
        <v>709</v>
      </c>
      <c r="BQ661" t="s">
        <v>709</v>
      </c>
      <c r="BR661" t="s">
        <v>709</v>
      </c>
      <c r="BS661" t="s">
        <v>709</v>
      </c>
      <c r="BT661" t="s">
        <v>745</v>
      </c>
      <c r="BU661" t="s">
        <v>709</v>
      </c>
      <c r="BV661">
        <v>2</v>
      </c>
      <c r="BW661" t="s">
        <v>709</v>
      </c>
      <c r="BX661" t="s">
        <v>745</v>
      </c>
      <c r="BY661" t="s">
        <v>745</v>
      </c>
      <c r="BZ661" t="s">
        <v>709</v>
      </c>
      <c r="CA661" t="s">
        <v>4304</v>
      </c>
      <c r="CB661">
        <v>659</v>
      </c>
      <c r="CC661" t="b">
        <v>1</v>
      </c>
      <c r="CD661" t="s">
        <v>4615</v>
      </c>
      <c r="CE661" s="1482">
        <v>45880.73578703704</v>
      </c>
    </row>
    <row r="662" spans="1:83" x14ac:dyDescent="0.25">
      <c r="A662">
        <v>2021</v>
      </c>
      <c r="B662" t="s">
        <v>769</v>
      </c>
      <c r="C662" t="s">
        <v>432</v>
      </c>
      <c r="D662">
        <v>1010408</v>
      </c>
      <c r="E662" t="s">
        <v>4487</v>
      </c>
      <c r="F662" t="s">
        <v>747</v>
      </c>
      <c r="G662" t="s">
        <v>34</v>
      </c>
      <c r="H662" t="s">
        <v>4462</v>
      </c>
      <c r="I662">
        <v>44740</v>
      </c>
      <c r="J662" t="s">
        <v>2052</v>
      </c>
      <c r="K662">
        <v>44749</v>
      </c>
      <c r="L662">
        <v>9</v>
      </c>
      <c r="M662" t="s">
        <v>4616</v>
      </c>
      <c r="N662" t="s">
        <v>120</v>
      </c>
      <c r="O662">
        <v>44749</v>
      </c>
      <c r="P662" t="s">
        <v>120</v>
      </c>
      <c r="Q662" t="s">
        <v>115</v>
      </c>
      <c r="R662" t="s">
        <v>115</v>
      </c>
      <c r="AC662" t="s">
        <v>1441</v>
      </c>
      <c r="AD662" t="s">
        <v>29</v>
      </c>
      <c r="AM662" t="s">
        <v>709</v>
      </c>
      <c r="AY662" t="s">
        <v>29</v>
      </c>
      <c r="BZ662" t="s">
        <v>709</v>
      </c>
      <c r="CA662" t="s">
        <v>769</v>
      </c>
      <c r="CB662">
        <v>662</v>
      </c>
      <c r="CC662" t="b">
        <v>1</v>
      </c>
      <c r="CD662" t="s">
        <v>4617</v>
      </c>
      <c r="CE662" s="1482">
        <v>45880.735798611109</v>
      </c>
    </row>
    <row r="663" spans="1:83" x14ac:dyDescent="0.25">
      <c r="A663">
        <v>2022</v>
      </c>
      <c r="B663" t="s">
        <v>771</v>
      </c>
      <c r="C663" t="s">
        <v>4330</v>
      </c>
      <c r="D663" t="s">
        <v>4331</v>
      </c>
      <c r="E663" t="s">
        <v>354</v>
      </c>
      <c r="F663" t="s">
        <v>738</v>
      </c>
      <c r="G663" t="s">
        <v>23</v>
      </c>
      <c r="H663" t="s">
        <v>3178</v>
      </c>
      <c r="I663">
        <v>44742</v>
      </c>
      <c r="J663" t="s">
        <v>2052</v>
      </c>
      <c r="K663">
        <v>44749</v>
      </c>
      <c r="L663">
        <v>7</v>
      </c>
      <c r="M663" t="s">
        <v>4618</v>
      </c>
      <c r="N663" t="s">
        <v>120</v>
      </c>
      <c r="O663">
        <v>44749</v>
      </c>
      <c r="P663" t="s">
        <v>120</v>
      </c>
      <c r="Q663">
        <v>2780</v>
      </c>
      <c r="R663" t="s">
        <v>1922</v>
      </c>
      <c r="S663" t="s">
        <v>709</v>
      </c>
      <c r="T663" t="s">
        <v>709</v>
      </c>
      <c r="U663">
        <v>2780</v>
      </c>
      <c r="AD663" t="s">
        <v>29</v>
      </c>
      <c r="AM663" t="s">
        <v>709</v>
      </c>
      <c r="AY663" t="s">
        <v>29</v>
      </c>
      <c r="BA663">
        <v>6</v>
      </c>
      <c r="BI663" t="s">
        <v>709</v>
      </c>
      <c r="BJ663" t="s">
        <v>709</v>
      </c>
      <c r="BK663" t="s">
        <v>709</v>
      </c>
      <c r="BL663" t="s">
        <v>116</v>
      </c>
      <c r="BM663" t="s">
        <v>709</v>
      </c>
      <c r="BN663" t="s">
        <v>709</v>
      </c>
      <c r="BO663" t="s">
        <v>709</v>
      </c>
      <c r="BP663" t="s">
        <v>709</v>
      </c>
      <c r="BQ663" t="s">
        <v>709</v>
      </c>
      <c r="BR663">
        <v>1224</v>
      </c>
      <c r="BS663">
        <v>10102</v>
      </c>
      <c r="BT663" t="s">
        <v>745</v>
      </c>
      <c r="BU663" t="s">
        <v>709</v>
      </c>
      <c r="BV663" t="s">
        <v>745</v>
      </c>
      <c r="BW663" t="s">
        <v>709</v>
      </c>
      <c r="BX663" t="s">
        <v>745</v>
      </c>
      <c r="BY663" t="s">
        <v>745</v>
      </c>
      <c r="BZ663" t="s">
        <v>709</v>
      </c>
      <c r="CB663">
        <v>664</v>
      </c>
      <c r="CC663" t="b">
        <v>1</v>
      </c>
      <c r="CD663" t="s">
        <v>4619</v>
      </c>
      <c r="CE663" s="1482">
        <v>45880.735798611109</v>
      </c>
    </row>
    <row r="664" spans="1:83" ht="225" x14ac:dyDescent="0.25">
      <c r="A664">
        <v>2022</v>
      </c>
      <c r="B664" t="s">
        <v>4</v>
      </c>
      <c r="C664" t="s">
        <v>4620</v>
      </c>
      <c r="D664" t="s">
        <v>4621</v>
      </c>
      <c r="E664" t="s">
        <v>2114</v>
      </c>
      <c r="F664" t="s">
        <v>738</v>
      </c>
      <c r="G664" t="s">
        <v>25</v>
      </c>
      <c r="H664" t="s">
        <v>59</v>
      </c>
      <c r="I664">
        <v>44670</v>
      </c>
      <c r="J664">
        <v>44792</v>
      </c>
      <c r="K664">
        <v>44749</v>
      </c>
      <c r="L664">
        <v>43</v>
      </c>
      <c r="N664" t="s">
        <v>120</v>
      </c>
      <c r="O664">
        <v>44743</v>
      </c>
      <c r="P664" t="s">
        <v>739</v>
      </c>
      <c r="Q664">
        <v>7847.6409999999996</v>
      </c>
      <c r="R664">
        <v>0.1</v>
      </c>
      <c r="S664" t="s">
        <v>709</v>
      </c>
      <c r="T664" t="s">
        <v>709</v>
      </c>
      <c r="U664" t="s">
        <v>709</v>
      </c>
      <c r="V664">
        <v>1961</v>
      </c>
      <c r="Z664">
        <v>78476.41</v>
      </c>
      <c r="AA664">
        <v>78476.41</v>
      </c>
      <c r="AB664">
        <v>44749</v>
      </c>
      <c r="AC664" t="s">
        <v>709</v>
      </c>
      <c r="AD664" t="s">
        <v>709</v>
      </c>
      <c r="AM664" t="s">
        <v>116</v>
      </c>
      <c r="AN664">
        <v>44797</v>
      </c>
      <c r="AO664">
        <v>11044547</v>
      </c>
      <c r="AP664">
        <v>0</v>
      </c>
      <c r="AR664">
        <v>63984.59</v>
      </c>
      <c r="AS664">
        <v>63984.59</v>
      </c>
      <c r="AT664">
        <v>-14491.82</v>
      </c>
      <c r="AU664">
        <v>-1449.182</v>
      </c>
      <c r="AV664" t="s">
        <v>709</v>
      </c>
      <c r="AW664" t="s">
        <v>4622</v>
      </c>
      <c r="AX664">
        <v>0</v>
      </c>
      <c r="AY664">
        <v>45008</v>
      </c>
      <c r="BA664" s="4" t="s">
        <v>4623</v>
      </c>
      <c r="BB664" t="s">
        <v>1071</v>
      </c>
      <c r="BC664" t="s">
        <v>116</v>
      </c>
      <c r="BD664" t="s">
        <v>709</v>
      </c>
      <c r="BE664" t="s">
        <v>709</v>
      </c>
      <c r="BF664" t="s">
        <v>3561</v>
      </c>
      <c r="BG664" t="s">
        <v>709</v>
      </c>
      <c r="BI664" t="s">
        <v>709</v>
      </c>
      <c r="BJ664" t="s">
        <v>709</v>
      </c>
      <c r="BK664" t="s">
        <v>709</v>
      </c>
      <c r="BL664" t="s">
        <v>709</v>
      </c>
      <c r="BM664" t="s">
        <v>709</v>
      </c>
      <c r="BN664" t="s">
        <v>709</v>
      </c>
      <c r="BO664" t="s">
        <v>709</v>
      </c>
      <c r="BP664" t="s">
        <v>709</v>
      </c>
      <c r="BQ664" t="s">
        <v>709</v>
      </c>
      <c r="BR664" t="s">
        <v>709</v>
      </c>
      <c r="BS664" t="s">
        <v>709</v>
      </c>
      <c r="BT664" t="s">
        <v>709</v>
      </c>
      <c r="BU664" t="s">
        <v>709</v>
      </c>
      <c r="BV664" t="s">
        <v>709</v>
      </c>
      <c r="BW664" t="s">
        <v>709</v>
      </c>
      <c r="BX664" t="s">
        <v>709</v>
      </c>
      <c r="BY664" t="s">
        <v>709</v>
      </c>
      <c r="BZ664" t="s">
        <v>709</v>
      </c>
      <c r="CA664" t="s">
        <v>1146</v>
      </c>
      <c r="CB664">
        <v>660</v>
      </c>
      <c r="CC664" t="b">
        <v>1</v>
      </c>
      <c r="CD664" t="s">
        <v>4624</v>
      </c>
      <c r="CE664" s="1482">
        <v>45880.735810185186</v>
      </c>
    </row>
    <row r="665" spans="1:83" ht="180" x14ac:dyDescent="0.25">
      <c r="A665">
        <v>2022</v>
      </c>
      <c r="B665" t="s">
        <v>4</v>
      </c>
      <c r="C665" t="s">
        <v>4625</v>
      </c>
      <c r="D665" t="s">
        <v>115</v>
      </c>
      <c r="E665" t="s">
        <v>1492</v>
      </c>
      <c r="F665" t="s">
        <v>738</v>
      </c>
      <c r="G665" t="s">
        <v>23</v>
      </c>
      <c r="H665" t="s">
        <v>4537</v>
      </c>
      <c r="I665">
        <v>44644</v>
      </c>
      <c r="J665">
        <v>44792</v>
      </c>
      <c r="K665">
        <v>44749</v>
      </c>
      <c r="L665">
        <v>43</v>
      </c>
      <c r="N665" t="s">
        <v>120</v>
      </c>
      <c r="O665">
        <v>44749</v>
      </c>
      <c r="P665" t="s">
        <v>739</v>
      </c>
      <c r="Q665" t="s">
        <v>115</v>
      </c>
      <c r="R665" t="s">
        <v>115</v>
      </c>
      <c r="AM665" t="s">
        <v>709</v>
      </c>
      <c r="AY665" t="s">
        <v>29</v>
      </c>
      <c r="BA665" s="4" t="s">
        <v>4626</v>
      </c>
      <c r="BB665" t="s">
        <v>4627</v>
      </c>
      <c r="BC665" t="s">
        <v>709</v>
      </c>
      <c r="BD665" t="s">
        <v>709</v>
      </c>
      <c r="BE665" t="s">
        <v>545</v>
      </c>
      <c r="BF665" t="s">
        <v>709</v>
      </c>
      <c r="BG665" t="s">
        <v>709</v>
      </c>
      <c r="CB665">
        <v>663</v>
      </c>
      <c r="CC665" t="b">
        <v>1</v>
      </c>
      <c r="CD665" t="s">
        <v>4628</v>
      </c>
      <c r="CE665" s="1482">
        <v>45880.735821759263</v>
      </c>
    </row>
    <row r="666" spans="1:83" ht="195" x14ac:dyDescent="0.25">
      <c r="A666">
        <v>2022</v>
      </c>
      <c r="B666" t="s">
        <v>730</v>
      </c>
      <c r="C666" t="s">
        <v>4524</v>
      </c>
      <c r="D666" t="s">
        <v>4525</v>
      </c>
      <c r="E666" t="s">
        <v>3493</v>
      </c>
      <c r="F666" t="s">
        <v>752</v>
      </c>
      <c r="G666" t="s">
        <v>24</v>
      </c>
      <c r="H666" t="s">
        <v>59</v>
      </c>
      <c r="I666">
        <v>44692</v>
      </c>
      <c r="J666">
        <v>44750</v>
      </c>
      <c r="K666">
        <v>44749</v>
      </c>
      <c r="L666">
        <v>1</v>
      </c>
      <c r="N666" t="s">
        <v>120</v>
      </c>
      <c r="O666">
        <v>44749</v>
      </c>
      <c r="P666" t="s">
        <v>739</v>
      </c>
      <c r="Q666">
        <v>16182.2155</v>
      </c>
      <c r="R666" t="s">
        <v>794</v>
      </c>
      <c r="V666">
        <v>567</v>
      </c>
      <c r="X666">
        <v>105654.86</v>
      </c>
      <c r="Z666">
        <v>22959.439999999999</v>
      </c>
      <c r="AA666">
        <v>128614.3</v>
      </c>
      <c r="AC666" t="s">
        <v>709</v>
      </c>
      <c r="AD666" t="s">
        <v>116</v>
      </c>
      <c r="AM666" t="s">
        <v>116</v>
      </c>
      <c r="AN666">
        <v>44861</v>
      </c>
      <c r="AO666">
        <v>11048287</v>
      </c>
      <c r="AP666">
        <v>105761.34</v>
      </c>
      <c r="AR666">
        <v>23125.84</v>
      </c>
      <c r="AS666">
        <v>128887.18</v>
      </c>
      <c r="AT666">
        <v>272.88</v>
      </c>
      <c r="AU666">
        <v>23.194800000000001</v>
      </c>
      <c r="AV666" t="s">
        <v>709</v>
      </c>
      <c r="AX666">
        <v>23.194800000000001</v>
      </c>
      <c r="AY666">
        <v>45008</v>
      </c>
      <c r="BA666" s="4" t="s">
        <v>4526</v>
      </c>
      <c r="BB666" s="4" t="s">
        <v>4527</v>
      </c>
      <c r="BC666" t="s">
        <v>709</v>
      </c>
      <c r="BD666" t="s">
        <v>757</v>
      </c>
      <c r="BE666" t="s">
        <v>3496</v>
      </c>
      <c r="BF666" t="s">
        <v>4528</v>
      </c>
      <c r="BG666" t="s">
        <v>709</v>
      </c>
      <c r="BI666" t="s">
        <v>709</v>
      </c>
      <c r="BJ666" t="s">
        <v>709</v>
      </c>
      <c r="BK666" t="s">
        <v>709</v>
      </c>
      <c r="BL666" t="s">
        <v>116</v>
      </c>
      <c r="BM666" t="s">
        <v>709</v>
      </c>
      <c r="BN666" t="s">
        <v>709</v>
      </c>
      <c r="BO666" t="s">
        <v>709</v>
      </c>
      <c r="BP666" t="s">
        <v>709</v>
      </c>
      <c r="BQ666" t="s">
        <v>709</v>
      </c>
      <c r="BR666" t="s">
        <v>709</v>
      </c>
      <c r="BS666">
        <v>567</v>
      </c>
      <c r="BT666" t="s">
        <v>745</v>
      </c>
      <c r="BU666" t="s">
        <v>709</v>
      </c>
      <c r="BV666" t="s">
        <v>745</v>
      </c>
      <c r="BW666" t="s">
        <v>709</v>
      </c>
      <c r="BX666">
        <v>1</v>
      </c>
      <c r="BY666" t="s">
        <v>745</v>
      </c>
      <c r="BZ666" t="s">
        <v>709</v>
      </c>
      <c r="CB666">
        <v>661</v>
      </c>
      <c r="CC666" t="b">
        <v>1</v>
      </c>
      <c r="CD666" t="s">
        <v>4629</v>
      </c>
      <c r="CE666" s="1482">
        <v>45880.735821759263</v>
      </c>
    </row>
    <row r="667" spans="1:83" ht="120" x14ac:dyDescent="0.25">
      <c r="A667">
        <v>2022</v>
      </c>
      <c r="B667" t="s">
        <v>730</v>
      </c>
      <c r="C667" t="s">
        <v>1299</v>
      </c>
      <c r="D667" t="s">
        <v>1300</v>
      </c>
      <c r="E667" t="s">
        <v>1301</v>
      </c>
      <c r="F667" t="s">
        <v>752</v>
      </c>
      <c r="G667" t="s">
        <v>32</v>
      </c>
      <c r="H667" t="s">
        <v>59</v>
      </c>
      <c r="I667">
        <v>44692</v>
      </c>
      <c r="J667">
        <v>44750</v>
      </c>
      <c r="K667">
        <v>44749</v>
      </c>
      <c r="L667">
        <v>1</v>
      </c>
      <c r="N667" t="s">
        <v>120</v>
      </c>
      <c r="O667">
        <v>44749</v>
      </c>
      <c r="P667" t="s">
        <v>739</v>
      </c>
      <c r="Q667">
        <v>17915.941800000001</v>
      </c>
      <c r="R667" t="s">
        <v>794</v>
      </c>
      <c r="V667">
        <v>41</v>
      </c>
      <c r="W667">
        <v>1</v>
      </c>
      <c r="X667">
        <v>122879.35</v>
      </c>
      <c r="Z667">
        <v>26131.73</v>
      </c>
      <c r="AA667">
        <v>149011.07999999999</v>
      </c>
      <c r="AB667" t="s">
        <v>29</v>
      </c>
      <c r="AC667" t="s">
        <v>116</v>
      </c>
      <c r="AD667" t="s">
        <v>116</v>
      </c>
      <c r="AE667" t="s">
        <v>29</v>
      </c>
      <c r="AF667" t="s">
        <v>29</v>
      </c>
      <c r="AG667" t="s">
        <v>29</v>
      </c>
      <c r="AH667" t="s">
        <v>29</v>
      </c>
      <c r="AM667" t="s">
        <v>116</v>
      </c>
      <c r="AN667" t="s">
        <v>709</v>
      </c>
      <c r="AO667" t="s">
        <v>115</v>
      </c>
      <c r="AS667">
        <v>0</v>
      </c>
      <c r="AT667">
        <v>0</v>
      </c>
      <c r="AU667">
        <v>0</v>
      </c>
      <c r="AY667" t="s">
        <v>709</v>
      </c>
      <c r="AZ667">
        <v>174</v>
      </c>
      <c r="BA667" s="4" t="s">
        <v>1302</v>
      </c>
      <c r="BB667" s="4" t="s">
        <v>1303</v>
      </c>
      <c r="BC667" t="s">
        <v>709</v>
      </c>
      <c r="BD667" t="s">
        <v>709</v>
      </c>
      <c r="BE667" t="s">
        <v>709</v>
      </c>
      <c r="BF667" t="s">
        <v>709</v>
      </c>
      <c r="BG667" t="s">
        <v>709</v>
      </c>
      <c r="BH667" t="s">
        <v>4630</v>
      </c>
      <c r="BI667" t="s">
        <v>709</v>
      </c>
      <c r="BJ667" t="s">
        <v>709</v>
      </c>
      <c r="BK667" t="s">
        <v>116</v>
      </c>
      <c r="BL667" t="s">
        <v>709</v>
      </c>
      <c r="BM667">
        <v>0</v>
      </c>
      <c r="BN667">
        <v>0</v>
      </c>
      <c r="BO667">
        <v>0</v>
      </c>
      <c r="BP667">
        <v>0</v>
      </c>
      <c r="BQ667">
        <v>0</v>
      </c>
      <c r="BR667">
        <v>0</v>
      </c>
      <c r="BS667">
        <v>41</v>
      </c>
      <c r="BT667">
        <v>0</v>
      </c>
      <c r="BU667">
        <v>0</v>
      </c>
      <c r="BV667">
        <v>0</v>
      </c>
      <c r="BW667">
        <v>0</v>
      </c>
      <c r="BX667">
        <v>1</v>
      </c>
      <c r="BY667">
        <v>0</v>
      </c>
      <c r="BZ667" t="s">
        <v>709</v>
      </c>
      <c r="CB667">
        <v>665</v>
      </c>
      <c r="CC667" t="b">
        <v>1</v>
      </c>
      <c r="CD667" t="s">
        <v>4631</v>
      </c>
      <c r="CE667" s="1482">
        <v>45880.735833333332</v>
      </c>
    </row>
    <row r="668" spans="1:83" ht="409.5" x14ac:dyDescent="0.25">
      <c r="A668">
        <v>2022</v>
      </c>
      <c r="B668" t="s">
        <v>4</v>
      </c>
      <c r="C668" t="s">
        <v>4632</v>
      </c>
      <c r="D668" t="s">
        <v>4633</v>
      </c>
      <c r="E668" t="s">
        <v>1255</v>
      </c>
      <c r="F668" t="s">
        <v>738</v>
      </c>
      <c r="G668" t="s">
        <v>23</v>
      </c>
      <c r="H668" t="s">
        <v>59</v>
      </c>
      <c r="I668">
        <v>44666</v>
      </c>
      <c r="J668">
        <v>44750</v>
      </c>
      <c r="K668">
        <v>44750</v>
      </c>
      <c r="L668">
        <v>0</v>
      </c>
      <c r="N668" t="s">
        <v>120</v>
      </c>
      <c r="O668">
        <v>44750</v>
      </c>
      <c r="P668" t="s">
        <v>739</v>
      </c>
      <c r="Q668">
        <v>94460.425000000003</v>
      </c>
      <c r="R668">
        <v>0.1</v>
      </c>
      <c r="S668" t="s">
        <v>709</v>
      </c>
      <c r="T668" t="s">
        <v>709</v>
      </c>
      <c r="U668" t="s">
        <v>709</v>
      </c>
      <c r="V668">
        <v>3131</v>
      </c>
      <c r="X668">
        <v>891977.71</v>
      </c>
      <c r="Z668">
        <v>52626.54</v>
      </c>
      <c r="AA668">
        <v>944604.25</v>
      </c>
      <c r="AC668" t="s">
        <v>116</v>
      </c>
      <c r="AM668" t="s">
        <v>116</v>
      </c>
      <c r="AN668">
        <v>44854</v>
      </c>
      <c r="AO668">
        <v>11047817</v>
      </c>
      <c r="AP668">
        <v>901377.5</v>
      </c>
      <c r="AR668">
        <v>52628.55</v>
      </c>
      <c r="AS668">
        <v>954006.05</v>
      </c>
      <c r="AT668">
        <v>9401.7999999999993</v>
      </c>
      <c r="AU668">
        <v>940.18</v>
      </c>
      <c r="AV668" t="s">
        <v>709</v>
      </c>
      <c r="AX668">
        <v>940.18</v>
      </c>
      <c r="AY668">
        <v>45008</v>
      </c>
      <c r="BA668" s="4" t="s">
        <v>4634</v>
      </c>
      <c r="BB668" t="s">
        <v>1257</v>
      </c>
      <c r="BC668" t="s">
        <v>709</v>
      </c>
      <c r="BD668" t="s">
        <v>709</v>
      </c>
      <c r="BE668" t="s">
        <v>1258</v>
      </c>
      <c r="BF668" t="s">
        <v>709</v>
      </c>
      <c r="BG668" t="s">
        <v>709</v>
      </c>
      <c r="BI668" t="s">
        <v>709</v>
      </c>
      <c r="BJ668" t="s">
        <v>709</v>
      </c>
      <c r="BK668" t="s">
        <v>709</v>
      </c>
      <c r="BL668" t="s">
        <v>116</v>
      </c>
      <c r="BM668" t="s">
        <v>709</v>
      </c>
      <c r="BN668" t="s">
        <v>709</v>
      </c>
      <c r="BO668" t="s">
        <v>709</v>
      </c>
      <c r="BP668">
        <v>498</v>
      </c>
      <c r="BQ668">
        <v>2136</v>
      </c>
      <c r="BR668" t="s">
        <v>709</v>
      </c>
      <c r="BS668">
        <v>497</v>
      </c>
      <c r="BT668" t="s">
        <v>745</v>
      </c>
      <c r="BU668" t="s">
        <v>709</v>
      </c>
      <c r="BV668" t="s">
        <v>709</v>
      </c>
      <c r="BW668" t="s">
        <v>709</v>
      </c>
      <c r="BX668" t="s">
        <v>745</v>
      </c>
      <c r="BY668" t="s">
        <v>709</v>
      </c>
      <c r="BZ668" t="s">
        <v>709</v>
      </c>
      <c r="CB668">
        <v>666</v>
      </c>
      <c r="CC668" t="b">
        <v>1</v>
      </c>
      <c r="CD668" t="s">
        <v>4635</v>
      </c>
      <c r="CE668" s="1482">
        <v>45880.735844907409</v>
      </c>
    </row>
    <row r="669" spans="1:83" ht="285" x14ac:dyDescent="0.25">
      <c r="A669">
        <v>2022</v>
      </c>
      <c r="B669" t="s">
        <v>4</v>
      </c>
      <c r="C669" t="s">
        <v>1304</v>
      </c>
      <c r="D669" t="s">
        <v>1305</v>
      </c>
      <c r="E669" t="s">
        <v>1306</v>
      </c>
      <c r="F669" t="s">
        <v>738</v>
      </c>
      <c r="G669" t="s">
        <v>27</v>
      </c>
      <c r="H669" t="s">
        <v>59</v>
      </c>
      <c r="I669">
        <v>44684</v>
      </c>
      <c r="J669">
        <v>44757</v>
      </c>
      <c r="K669">
        <v>44753</v>
      </c>
      <c r="L669">
        <v>4</v>
      </c>
      <c r="N669" t="s">
        <v>120</v>
      </c>
      <c r="O669">
        <v>44753</v>
      </c>
      <c r="P669" t="s">
        <v>739</v>
      </c>
      <c r="Q669">
        <v>17769.143</v>
      </c>
      <c r="R669">
        <v>0.1</v>
      </c>
      <c r="S669" t="s">
        <v>709</v>
      </c>
      <c r="T669" t="s">
        <v>709</v>
      </c>
      <c r="U669" t="s">
        <v>709</v>
      </c>
      <c r="V669">
        <v>576</v>
      </c>
      <c r="X669">
        <v>132282.79999999999</v>
      </c>
      <c r="Z669">
        <v>45408.63</v>
      </c>
      <c r="AA669">
        <v>177691.43</v>
      </c>
      <c r="AC669" t="s">
        <v>709</v>
      </c>
      <c r="AM669" t="s">
        <v>116</v>
      </c>
      <c r="AN669" t="s">
        <v>709</v>
      </c>
      <c r="AS669">
        <v>0</v>
      </c>
      <c r="AT669">
        <v>0</v>
      </c>
      <c r="AU669">
        <v>0</v>
      </c>
      <c r="AY669" t="s">
        <v>709</v>
      </c>
      <c r="AZ669">
        <v>68</v>
      </c>
      <c r="BA669" s="4" t="s">
        <v>1307</v>
      </c>
      <c r="BB669" t="s">
        <v>1308</v>
      </c>
      <c r="BC669" t="s">
        <v>709</v>
      </c>
      <c r="BD669" t="s">
        <v>709</v>
      </c>
      <c r="BE669" t="s">
        <v>1309</v>
      </c>
      <c r="BF669" t="s">
        <v>709</v>
      </c>
      <c r="BG669" t="s">
        <v>709</v>
      </c>
      <c r="BI669" t="s">
        <v>709</v>
      </c>
      <c r="BJ669" t="s">
        <v>709</v>
      </c>
      <c r="BK669" t="s">
        <v>709</v>
      </c>
      <c r="BL669" t="s">
        <v>116</v>
      </c>
      <c r="BM669" t="s">
        <v>709</v>
      </c>
      <c r="BN669" t="s">
        <v>709</v>
      </c>
      <c r="BO669" t="s">
        <v>709</v>
      </c>
      <c r="BP669" t="s">
        <v>709</v>
      </c>
      <c r="BQ669" t="s">
        <v>709</v>
      </c>
      <c r="BR669">
        <v>576</v>
      </c>
      <c r="BS669" t="s">
        <v>709</v>
      </c>
      <c r="BT669" t="s">
        <v>745</v>
      </c>
      <c r="BU669" t="s">
        <v>709</v>
      </c>
      <c r="BV669" t="s">
        <v>745</v>
      </c>
      <c r="BW669" t="s">
        <v>709</v>
      </c>
      <c r="BX669" t="s">
        <v>745</v>
      </c>
      <c r="BY669" t="s">
        <v>745</v>
      </c>
      <c r="BZ669" t="s">
        <v>709</v>
      </c>
      <c r="CB669">
        <v>667</v>
      </c>
      <c r="CC669" t="b">
        <v>1</v>
      </c>
      <c r="CD669" t="s">
        <v>4636</v>
      </c>
      <c r="CE669" s="1482">
        <v>45880.735844907409</v>
      </c>
    </row>
    <row r="670" spans="1:83" ht="165" x14ac:dyDescent="0.25">
      <c r="A670">
        <v>2022</v>
      </c>
      <c r="B670" t="s">
        <v>730</v>
      </c>
      <c r="C670" t="s">
        <v>451</v>
      </c>
      <c r="D670" t="s">
        <v>4637</v>
      </c>
      <c r="E670" t="s">
        <v>4638</v>
      </c>
      <c r="F670" t="s">
        <v>752</v>
      </c>
      <c r="G670" t="s">
        <v>34</v>
      </c>
      <c r="H670" t="s">
        <v>59</v>
      </c>
      <c r="I670">
        <v>44692</v>
      </c>
      <c r="J670">
        <v>44753</v>
      </c>
      <c r="K670">
        <v>44753</v>
      </c>
      <c r="L670">
        <v>0</v>
      </c>
      <c r="N670" t="s">
        <v>120</v>
      </c>
      <c r="O670">
        <v>44774</v>
      </c>
      <c r="P670" t="s">
        <v>739</v>
      </c>
      <c r="Q670">
        <v>41201.638299999999</v>
      </c>
      <c r="R670" t="s">
        <v>794</v>
      </c>
      <c r="S670" t="s">
        <v>709</v>
      </c>
      <c r="T670" t="s">
        <v>709</v>
      </c>
      <c r="U670" t="s">
        <v>709</v>
      </c>
      <c r="V670">
        <v>89</v>
      </c>
      <c r="X670">
        <v>336543.78</v>
      </c>
      <c r="Z670">
        <v>86416.67</v>
      </c>
      <c r="AA670">
        <v>422960.45</v>
      </c>
      <c r="AB670">
        <v>44768</v>
      </c>
      <c r="AC670" t="s">
        <v>709</v>
      </c>
      <c r="AD670" t="s">
        <v>29</v>
      </c>
      <c r="AE670" t="s">
        <v>29</v>
      </c>
      <c r="AF670" t="s">
        <v>29</v>
      </c>
      <c r="AG670" t="s">
        <v>29</v>
      </c>
      <c r="AH670" t="s">
        <v>29</v>
      </c>
      <c r="AM670" t="s">
        <v>116</v>
      </c>
      <c r="AN670">
        <v>45050</v>
      </c>
      <c r="AO670">
        <v>11058431</v>
      </c>
      <c r="AP670">
        <v>311275.02</v>
      </c>
      <c r="AR670">
        <v>58156.81</v>
      </c>
      <c r="AS670">
        <v>369431.83</v>
      </c>
      <c r="AT670">
        <v>-53528.62</v>
      </c>
      <c r="AU670">
        <v>-4549.9327000000003</v>
      </c>
      <c r="AV670">
        <v>0</v>
      </c>
      <c r="AW670" t="s">
        <v>4639</v>
      </c>
      <c r="AY670" t="s">
        <v>4640</v>
      </c>
      <c r="BA670" s="4" t="s">
        <v>4641</v>
      </c>
      <c r="BB670" s="4" t="s">
        <v>4642</v>
      </c>
      <c r="BC670" t="s">
        <v>709</v>
      </c>
      <c r="BD670" t="s">
        <v>1328</v>
      </c>
      <c r="BE670" t="s">
        <v>709</v>
      </c>
      <c r="BF670" t="s">
        <v>709</v>
      </c>
      <c r="BG670" t="s">
        <v>709</v>
      </c>
      <c r="BI670" t="s">
        <v>709</v>
      </c>
      <c r="BJ670" t="s">
        <v>116</v>
      </c>
      <c r="BK670" t="s">
        <v>709</v>
      </c>
      <c r="BL670" t="s">
        <v>709</v>
      </c>
      <c r="BM670" t="s">
        <v>709</v>
      </c>
      <c r="BN670" t="s">
        <v>709</v>
      </c>
      <c r="BO670" t="s">
        <v>709</v>
      </c>
      <c r="BP670" t="s">
        <v>709</v>
      </c>
      <c r="BQ670" t="s">
        <v>709</v>
      </c>
      <c r="BR670">
        <v>84</v>
      </c>
      <c r="BS670">
        <v>5</v>
      </c>
      <c r="BT670" t="s">
        <v>745</v>
      </c>
      <c r="BU670" t="s">
        <v>709</v>
      </c>
      <c r="BV670" t="s">
        <v>745</v>
      </c>
      <c r="BW670" t="s">
        <v>709</v>
      </c>
      <c r="BX670">
        <v>1</v>
      </c>
      <c r="BY670" t="s">
        <v>745</v>
      </c>
      <c r="BZ670" t="s">
        <v>709</v>
      </c>
      <c r="CB670">
        <v>668</v>
      </c>
      <c r="CC670" t="b">
        <v>1</v>
      </c>
      <c r="CD670" t="s">
        <v>4643</v>
      </c>
      <c r="CE670" s="1482">
        <v>45880.735856481479</v>
      </c>
    </row>
    <row r="671" spans="1:83" x14ac:dyDescent="0.25">
      <c r="A671">
        <v>2022</v>
      </c>
      <c r="B671" t="s">
        <v>769</v>
      </c>
      <c r="C671" t="s">
        <v>238</v>
      </c>
      <c r="D671" t="s">
        <v>4349</v>
      </c>
      <c r="E671" t="s">
        <v>239</v>
      </c>
      <c r="F671" t="s">
        <v>752</v>
      </c>
      <c r="G671" t="s">
        <v>1882</v>
      </c>
      <c r="H671" t="s">
        <v>3178</v>
      </c>
      <c r="I671">
        <v>44747</v>
      </c>
      <c r="J671" t="s">
        <v>2052</v>
      </c>
      <c r="K671">
        <v>44755</v>
      </c>
      <c r="L671">
        <v>8</v>
      </c>
      <c r="M671" t="s">
        <v>4644</v>
      </c>
      <c r="N671" t="s">
        <v>120</v>
      </c>
      <c r="O671">
        <v>44757</v>
      </c>
      <c r="P671" t="s">
        <v>739</v>
      </c>
      <c r="Q671">
        <v>5065</v>
      </c>
      <c r="R671" t="s">
        <v>1922</v>
      </c>
      <c r="S671" t="s">
        <v>709</v>
      </c>
      <c r="T671" t="s">
        <v>709</v>
      </c>
      <c r="U671">
        <v>5065</v>
      </c>
      <c r="AC671" t="s">
        <v>116</v>
      </c>
      <c r="AD671" t="s">
        <v>709</v>
      </c>
      <c r="AM671" t="s">
        <v>709</v>
      </c>
      <c r="AY671" t="s">
        <v>29</v>
      </c>
      <c r="BA671">
        <v>7</v>
      </c>
      <c r="BI671" t="s">
        <v>709</v>
      </c>
      <c r="BJ671" t="s">
        <v>116</v>
      </c>
      <c r="BK671" t="s">
        <v>709</v>
      </c>
      <c r="BL671" t="s">
        <v>116</v>
      </c>
      <c r="BM671" t="s">
        <v>709</v>
      </c>
      <c r="BN671" t="s">
        <v>709</v>
      </c>
      <c r="BO671" t="s">
        <v>709</v>
      </c>
      <c r="BP671" t="s">
        <v>709</v>
      </c>
      <c r="BQ671" t="s">
        <v>709</v>
      </c>
      <c r="BR671" t="s">
        <v>709</v>
      </c>
      <c r="BS671">
        <v>315</v>
      </c>
      <c r="BT671" t="s">
        <v>745</v>
      </c>
      <c r="BU671">
        <v>1</v>
      </c>
      <c r="BV671" t="s">
        <v>745</v>
      </c>
      <c r="BW671" t="s">
        <v>709</v>
      </c>
      <c r="BX671">
        <v>1</v>
      </c>
      <c r="BY671" t="s">
        <v>745</v>
      </c>
      <c r="BZ671" t="s">
        <v>709</v>
      </c>
      <c r="CA671" t="s">
        <v>769</v>
      </c>
      <c r="CB671">
        <v>669</v>
      </c>
      <c r="CC671" t="b">
        <v>1</v>
      </c>
      <c r="CD671" t="s">
        <v>4645</v>
      </c>
      <c r="CE671" s="1482">
        <v>45880.735856481479</v>
      </c>
    </row>
    <row r="672" spans="1:83" x14ac:dyDescent="0.25">
      <c r="A672">
        <v>2022</v>
      </c>
      <c r="B672" t="s">
        <v>4</v>
      </c>
      <c r="C672" t="s">
        <v>3590</v>
      </c>
      <c r="D672">
        <v>1210511</v>
      </c>
      <c r="E672" t="s">
        <v>1428</v>
      </c>
      <c r="F672" t="s">
        <v>738</v>
      </c>
      <c r="G672" t="s">
        <v>23</v>
      </c>
      <c r="H672" t="s">
        <v>4646</v>
      </c>
      <c r="I672">
        <v>44736</v>
      </c>
      <c r="J672" t="s">
        <v>4110</v>
      </c>
      <c r="K672">
        <v>44761</v>
      </c>
      <c r="L672">
        <v>25</v>
      </c>
      <c r="M672" t="s">
        <v>4647</v>
      </c>
      <c r="N672" t="s">
        <v>120</v>
      </c>
      <c r="O672">
        <v>44774</v>
      </c>
      <c r="P672" t="s">
        <v>739</v>
      </c>
      <c r="Q672">
        <v>8757.5</v>
      </c>
      <c r="R672" t="s">
        <v>1922</v>
      </c>
      <c r="S672" t="s">
        <v>709</v>
      </c>
      <c r="T672" t="s">
        <v>709</v>
      </c>
      <c r="U672">
        <v>8757.5</v>
      </c>
      <c r="AB672" t="s">
        <v>29</v>
      </c>
      <c r="AC672" t="s">
        <v>709</v>
      </c>
      <c r="AD672" t="s">
        <v>29</v>
      </c>
      <c r="AM672" t="s">
        <v>709</v>
      </c>
      <c r="AY672" t="s">
        <v>29</v>
      </c>
      <c r="BA672" t="s">
        <v>29</v>
      </c>
      <c r="BB672" t="s">
        <v>29</v>
      </c>
      <c r="BC672" t="s">
        <v>29</v>
      </c>
      <c r="BI672" t="s">
        <v>709</v>
      </c>
      <c r="BJ672" t="s">
        <v>709</v>
      </c>
      <c r="BK672" t="s">
        <v>709</v>
      </c>
      <c r="BL672" t="s">
        <v>116</v>
      </c>
      <c r="BM672" t="s">
        <v>709</v>
      </c>
      <c r="BN672" t="s">
        <v>709</v>
      </c>
      <c r="BO672" t="s">
        <v>709</v>
      </c>
      <c r="BP672" t="s">
        <v>709</v>
      </c>
      <c r="BQ672" t="s">
        <v>709</v>
      </c>
      <c r="BR672">
        <v>793</v>
      </c>
      <c r="BS672" t="s">
        <v>709</v>
      </c>
      <c r="BT672" t="s">
        <v>709</v>
      </c>
      <c r="BU672" t="s">
        <v>709</v>
      </c>
      <c r="BV672" t="s">
        <v>745</v>
      </c>
      <c r="BW672" t="s">
        <v>709</v>
      </c>
      <c r="BX672" t="s">
        <v>745</v>
      </c>
      <c r="BY672" t="s">
        <v>745</v>
      </c>
      <c r="BZ672" t="s">
        <v>709</v>
      </c>
      <c r="CB672">
        <v>670</v>
      </c>
      <c r="CC672" t="b">
        <v>1</v>
      </c>
      <c r="CD672" t="s">
        <v>4648</v>
      </c>
      <c r="CE672" s="1482">
        <v>45880.735868055555</v>
      </c>
    </row>
    <row r="673" spans="1:83" x14ac:dyDescent="0.25">
      <c r="A673">
        <v>2022</v>
      </c>
      <c r="B673" t="s">
        <v>4</v>
      </c>
      <c r="C673" t="s">
        <v>4604</v>
      </c>
      <c r="D673" t="s">
        <v>4605</v>
      </c>
      <c r="E673" t="s">
        <v>2511</v>
      </c>
      <c r="F673" t="s">
        <v>738</v>
      </c>
      <c r="G673" t="s">
        <v>35</v>
      </c>
      <c r="H673" t="s">
        <v>4189</v>
      </c>
      <c r="I673">
        <v>44749</v>
      </c>
      <c r="J673" t="s">
        <v>2052</v>
      </c>
      <c r="K673">
        <v>44762</v>
      </c>
      <c r="L673">
        <v>13</v>
      </c>
      <c r="M673" t="s">
        <v>4649</v>
      </c>
      <c r="N673" t="s">
        <v>120</v>
      </c>
      <c r="O673">
        <v>44774</v>
      </c>
      <c r="P673" t="s">
        <v>739</v>
      </c>
      <c r="Q673">
        <v>987.5</v>
      </c>
      <c r="R673" t="s">
        <v>1922</v>
      </c>
      <c r="S673" t="s">
        <v>709</v>
      </c>
      <c r="T673" t="s">
        <v>709</v>
      </c>
      <c r="U673">
        <v>987.5</v>
      </c>
      <c r="AD673" t="s">
        <v>709</v>
      </c>
      <c r="AM673" t="s">
        <v>709</v>
      </c>
      <c r="AY673" t="s">
        <v>29</v>
      </c>
      <c r="BA673" t="s">
        <v>4650</v>
      </c>
      <c r="BB673" t="s">
        <v>4651</v>
      </c>
      <c r="BH673" t="s">
        <v>4652</v>
      </c>
      <c r="BI673" t="s">
        <v>709</v>
      </c>
      <c r="BJ673" t="s">
        <v>709</v>
      </c>
      <c r="BK673" t="s">
        <v>709</v>
      </c>
      <c r="BL673" t="s">
        <v>116</v>
      </c>
      <c r="BM673" t="s">
        <v>709</v>
      </c>
      <c r="BN673" t="s">
        <v>709</v>
      </c>
      <c r="BO673">
        <v>4</v>
      </c>
      <c r="BP673">
        <v>54</v>
      </c>
      <c r="BQ673">
        <v>365</v>
      </c>
      <c r="BR673">
        <v>376</v>
      </c>
      <c r="BS673" t="s">
        <v>709</v>
      </c>
      <c r="BT673" t="s">
        <v>745</v>
      </c>
      <c r="BU673" t="s">
        <v>709</v>
      </c>
      <c r="BV673" t="s">
        <v>745</v>
      </c>
      <c r="BW673" t="s">
        <v>709</v>
      </c>
      <c r="BX673" t="s">
        <v>745</v>
      </c>
      <c r="BY673" t="s">
        <v>745</v>
      </c>
      <c r="BZ673" t="s">
        <v>709</v>
      </c>
      <c r="CB673">
        <v>671</v>
      </c>
      <c r="CC673" t="b">
        <v>1</v>
      </c>
      <c r="CD673" t="s">
        <v>4653</v>
      </c>
      <c r="CE673" s="1482">
        <v>45880.735879629632</v>
      </c>
    </row>
    <row r="674" spans="1:83" x14ac:dyDescent="0.25">
      <c r="A674">
        <v>2022</v>
      </c>
      <c r="B674" t="s">
        <v>769</v>
      </c>
      <c r="C674" t="s">
        <v>308</v>
      </c>
      <c r="D674" t="s">
        <v>1295</v>
      </c>
      <c r="E674" t="s">
        <v>309</v>
      </c>
      <c r="F674" t="s">
        <v>752</v>
      </c>
      <c r="G674" t="s">
        <v>24</v>
      </c>
      <c r="H674" t="s">
        <v>2611</v>
      </c>
      <c r="I674">
        <v>44755</v>
      </c>
      <c r="J674" t="s">
        <v>2612</v>
      </c>
      <c r="K674">
        <v>44762</v>
      </c>
      <c r="L674">
        <v>7</v>
      </c>
      <c r="M674" t="s">
        <v>3652</v>
      </c>
      <c r="N674" t="s">
        <v>120</v>
      </c>
      <c r="O674">
        <v>44774</v>
      </c>
      <c r="P674" t="s">
        <v>739</v>
      </c>
      <c r="Q674">
        <v>885</v>
      </c>
      <c r="R674" t="s">
        <v>1922</v>
      </c>
      <c r="U674">
        <v>885</v>
      </c>
      <c r="AC674" t="s">
        <v>709</v>
      </c>
      <c r="AM674" t="s">
        <v>709</v>
      </c>
      <c r="AY674" t="s">
        <v>29</v>
      </c>
      <c r="BI674" t="s">
        <v>709</v>
      </c>
      <c r="BJ674" t="s">
        <v>709</v>
      </c>
      <c r="BK674" t="s">
        <v>116</v>
      </c>
      <c r="BL674" t="s">
        <v>116</v>
      </c>
      <c r="BM674" t="s">
        <v>709</v>
      </c>
      <c r="BN674" t="s">
        <v>709</v>
      </c>
      <c r="BO674" t="s">
        <v>709</v>
      </c>
      <c r="BP674" t="s">
        <v>709</v>
      </c>
      <c r="BQ674" t="s">
        <v>709</v>
      </c>
      <c r="BR674" t="s">
        <v>709</v>
      </c>
      <c r="BS674" t="s">
        <v>116</v>
      </c>
      <c r="BT674" t="s">
        <v>745</v>
      </c>
      <c r="BU674" t="s">
        <v>116</v>
      </c>
      <c r="BV674" t="s">
        <v>745</v>
      </c>
      <c r="BW674" t="s">
        <v>709</v>
      </c>
      <c r="BX674" t="s">
        <v>745</v>
      </c>
      <c r="BY674" t="s">
        <v>745</v>
      </c>
      <c r="BZ674" t="s">
        <v>709</v>
      </c>
      <c r="CA674" t="s">
        <v>769</v>
      </c>
      <c r="CB674">
        <v>672</v>
      </c>
      <c r="CC674" t="b">
        <v>1</v>
      </c>
      <c r="CD674" t="s">
        <v>4654</v>
      </c>
      <c r="CE674" s="1482">
        <v>45880.735879629632</v>
      </c>
    </row>
    <row r="675" spans="1:83" ht="255" x14ac:dyDescent="0.25">
      <c r="A675">
        <v>2022</v>
      </c>
      <c r="B675" t="s">
        <v>4</v>
      </c>
      <c r="C675" t="s">
        <v>1310</v>
      </c>
      <c r="D675" t="s">
        <v>1311</v>
      </c>
      <c r="E675" t="s">
        <v>183</v>
      </c>
      <c r="F675" t="s">
        <v>738</v>
      </c>
      <c r="G675" t="s">
        <v>23</v>
      </c>
      <c r="H675" t="s">
        <v>59</v>
      </c>
      <c r="I675">
        <v>44693</v>
      </c>
      <c r="J675">
        <v>44771</v>
      </c>
      <c r="K675">
        <v>44763</v>
      </c>
      <c r="L675">
        <v>8</v>
      </c>
      <c r="N675" t="s">
        <v>120</v>
      </c>
      <c r="O675">
        <v>44763</v>
      </c>
      <c r="P675" t="s">
        <v>739</v>
      </c>
      <c r="Q675">
        <v>21583.228999999999</v>
      </c>
      <c r="R675">
        <v>0.1</v>
      </c>
      <c r="S675" t="s">
        <v>709</v>
      </c>
      <c r="T675" t="s">
        <v>709</v>
      </c>
      <c r="U675" t="s">
        <v>709</v>
      </c>
      <c r="V675">
        <v>738</v>
      </c>
      <c r="X675">
        <v>199493.89</v>
      </c>
      <c r="Z675">
        <v>16338.4</v>
      </c>
      <c r="AA675">
        <v>215832.29</v>
      </c>
      <c r="AC675" t="s">
        <v>709</v>
      </c>
      <c r="AM675" t="s">
        <v>116</v>
      </c>
      <c r="AN675" t="s">
        <v>709</v>
      </c>
      <c r="AO675" t="s">
        <v>115</v>
      </c>
      <c r="AS675">
        <v>0</v>
      </c>
      <c r="AT675">
        <v>0</v>
      </c>
      <c r="AU675">
        <v>0</v>
      </c>
      <c r="AY675" t="s">
        <v>709</v>
      </c>
      <c r="AZ675">
        <v>69</v>
      </c>
      <c r="BA675" s="4" t="s">
        <v>1312</v>
      </c>
      <c r="BB675" t="s">
        <v>1313</v>
      </c>
      <c r="BC675" t="s">
        <v>709</v>
      </c>
      <c r="BD675" t="s">
        <v>709</v>
      </c>
      <c r="BE675" t="s">
        <v>1314</v>
      </c>
      <c r="BF675" t="s">
        <v>709</v>
      </c>
      <c r="BG675" t="s">
        <v>709</v>
      </c>
      <c r="BI675" t="s">
        <v>709</v>
      </c>
      <c r="BJ675" t="s">
        <v>709</v>
      </c>
      <c r="BK675" t="s">
        <v>709</v>
      </c>
      <c r="BL675" t="s">
        <v>116</v>
      </c>
      <c r="BM675" t="s">
        <v>709</v>
      </c>
      <c r="BN675" t="s">
        <v>709</v>
      </c>
      <c r="BO675" t="s">
        <v>709</v>
      </c>
      <c r="BP675" t="s">
        <v>709</v>
      </c>
      <c r="BQ675" t="s">
        <v>709</v>
      </c>
      <c r="BR675" t="s">
        <v>709</v>
      </c>
      <c r="BS675">
        <v>738</v>
      </c>
      <c r="BT675" t="s">
        <v>745</v>
      </c>
      <c r="BU675" t="s">
        <v>709</v>
      </c>
      <c r="BV675" t="s">
        <v>745</v>
      </c>
      <c r="BW675" t="s">
        <v>709</v>
      </c>
      <c r="BX675" t="s">
        <v>709</v>
      </c>
      <c r="BY675" t="s">
        <v>745</v>
      </c>
      <c r="BZ675" t="s">
        <v>709</v>
      </c>
      <c r="CB675">
        <v>673</v>
      </c>
      <c r="CC675" t="b">
        <v>1</v>
      </c>
      <c r="CD675" t="s">
        <v>4655</v>
      </c>
      <c r="CE675" s="1482">
        <v>45880.735891203702</v>
      </c>
    </row>
    <row r="676" spans="1:83" ht="135" x14ac:dyDescent="0.25">
      <c r="A676">
        <v>2021</v>
      </c>
      <c r="B676" t="s">
        <v>4</v>
      </c>
      <c r="C676" t="s">
        <v>3590</v>
      </c>
      <c r="D676" t="s">
        <v>3591</v>
      </c>
      <c r="E676" t="s">
        <v>1428</v>
      </c>
      <c r="F676" t="s">
        <v>738</v>
      </c>
      <c r="G676" t="s">
        <v>23</v>
      </c>
      <c r="H676" t="s">
        <v>59</v>
      </c>
      <c r="I676">
        <v>44720</v>
      </c>
      <c r="J676">
        <v>44778</v>
      </c>
      <c r="K676">
        <v>44764</v>
      </c>
      <c r="L676">
        <v>14</v>
      </c>
      <c r="N676" t="s">
        <v>120</v>
      </c>
      <c r="O676">
        <v>44764</v>
      </c>
      <c r="P676" t="s">
        <v>739</v>
      </c>
      <c r="Q676">
        <v>17469.045999999998</v>
      </c>
      <c r="R676">
        <v>0.1</v>
      </c>
      <c r="S676" t="s">
        <v>709</v>
      </c>
      <c r="T676" t="s">
        <v>709</v>
      </c>
      <c r="U676" t="s">
        <v>709</v>
      </c>
      <c r="V676">
        <v>313</v>
      </c>
      <c r="X676">
        <v>147030.48000000001</v>
      </c>
      <c r="Z676">
        <v>27659.98</v>
      </c>
      <c r="AA676">
        <v>174690.46</v>
      </c>
      <c r="AC676" t="s">
        <v>709</v>
      </c>
      <c r="AD676" t="s">
        <v>29</v>
      </c>
      <c r="AM676" t="s">
        <v>116</v>
      </c>
      <c r="AN676">
        <v>44854</v>
      </c>
      <c r="AO676">
        <v>11036566</v>
      </c>
      <c r="AP676">
        <v>218814.35</v>
      </c>
      <c r="AR676">
        <v>27645.82</v>
      </c>
      <c r="AS676">
        <v>246460.17</v>
      </c>
      <c r="AT676">
        <v>71769.710000000006</v>
      </c>
      <c r="AU676">
        <v>7176.9709999999995</v>
      </c>
      <c r="AV676">
        <v>3555</v>
      </c>
      <c r="AW676" t="s">
        <v>4656</v>
      </c>
      <c r="AX676">
        <v>0</v>
      </c>
      <c r="AY676">
        <v>45008</v>
      </c>
      <c r="BA676" s="4" t="s">
        <v>4657</v>
      </c>
      <c r="BB676" t="s">
        <v>877</v>
      </c>
      <c r="BC676" t="s">
        <v>116</v>
      </c>
      <c r="BD676" t="s">
        <v>1066</v>
      </c>
      <c r="BE676" t="s">
        <v>709</v>
      </c>
      <c r="BF676" t="s">
        <v>709</v>
      </c>
      <c r="BG676" t="s">
        <v>709</v>
      </c>
      <c r="BI676" t="s">
        <v>709</v>
      </c>
      <c r="BJ676" t="s">
        <v>709</v>
      </c>
      <c r="BK676" t="s">
        <v>709</v>
      </c>
      <c r="BL676" t="s">
        <v>116</v>
      </c>
      <c r="BM676" t="s">
        <v>709</v>
      </c>
      <c r="BN676" t="s">
        <v>709</v>
      </c>
      <c r="BO676" t="s">
        <v>709</v>
      </c>
      <c r="BP676" t="s">
        <v>709</v>
      </c>
      <c r="BQ676" t="s">
        <v>709</v>
      </c>
      <c r="BR676">
        <v>313</v>
      </c>
      <c r="BS676" t="s">
        <v>709</v>
      </c>
      <c r="BT676" t="s">
        <v>709</v>
      </c>
      <c r="BU676" t="s">
        <v>709</v>
      </c>
      <c r="BV676" t="s">
        <v>745</v>
      </c>
      <c r="BW676" t="s">
        <v>709</v>
      </c>
      <c r="BX676" t="s">
        <v>745</v>
      </c>
      <c r="BY676" t="s">
        <v>745</v>
      </c>
      <c r="BZ676" t="s">
        <v>709</v>
      </c>
      <c r="CB676">
        <v>676</v>
      </c>
      <c r="CC676" t="b">
        <v>1</v>
      </c>
      <c r="CD676" t="s">
        <v>4658</v>
      </c>
      <c r="CE676" s="1482">
        <v>45880.735891203702</v>
      </c>
    </row>
    <row r="677" spans="1:83" x14ac:dyDescent="0.25">
      <c r="A677">
        <v>2022</v>
      </c>
      <c r="B677" t="s">
        <v>4</v>
      </c>
      <c r="C677" t="s">
        <v>121</v>
      </c>
      <c r="D677">
        <v>120391</v>
      </c>
      <c r="E677" t="s">
        <v>122</v>
      </c>
      <c r="F677" t="s">
        <v>919</v>
      </c>
      <c r="G677" t="s">
        <v>36</v>
      </c>
      <c r="H677" t="s">
        <v>2723</v>
      </c>
      <c r="I677">
        <v>44678</v>
      </c>
      <c r="J677" t="s">
        <v>2724</v>
      </c>
      <c r="K677">
        <v>44764</v>
      </c>
      <c r="L677">
        <v>86</v>
      </c>
      <c r="M677" t="s">
        <v>4659</v>
      </c>
      <c r="N677" t="s">
        <v>120</v>
      </c>
      <c r="O677">
        <v>44764</v>
      </c>
      <c r="P677" t="s">
        <v>739</v>
      </c>
      <c r="Q677">
        <v>2187.5</v>
      </c>
      <c r="R677" t="s">
        <v>1922</v>
      </c>
      <c r="S677" t="s">
        <v>709</v>
      </c>
      <c r="T677" t="s">
        <v>709</v>
      </c>
      <c r="U677">
        <v>2187.5</v>
      </c>
      <c r="AM677" t="s">
        <v>709</v>
      </c>
      <c r="AY677" t="s">
        <v>29</v>
      </c>
      <c r="BI677" t="s">
        <v>709</v>
      </c>
      <c r="BJ677" t="s">
        <v>709</v>
      </c>
      <c r="BK677" t="s">
        <v>709</v>
      </c>
      <c r="BL677" t="s">
        <v>116</v>
      </c>
      <c r="BM677" t="s">
        <v>709</v>
      </c>
      <c r="BN677" t="s">
        <v>709</v>
      </c>
      <c r="BO677" t="s">
        <v>709</v>
      </c>
      <c r="BP677">
        <v>3618</v>
      </c>
      <c r="BQ677">
        <v>2805</v>
      </c>
      <c r="BR677">
        <v>12</v>
      </c>
      <c r="BS677">
        <v>291</v>
      </c>
      <c r="BT677" t="s">
        <v>745</v>
      </c>
      <c r="BU677" t="s">
        <v>709</v>
      </c>
      <c r="BV677" t="s">
        <v>745</v>
      </c>
      <c r="BW677" t="s">
        <v>709</v>
      </c>
      <c r="BX677" t="s">
        <v>745</v>
      </c>
      <c r="BY677" t="s">
        <v>745</v>
      </c>
      <c r="BZ677" t="s">
        <v>709</v>
      </c>
      <c r="CB677">
        <v>675</v>
      </c>
      <c r="CC677" t="b">
        <v>1</v>
      </c>
      <c r="CD677" t="s">
        <v>4660</v>
      </c>
      <c r="CE677" s="1482">
        <v>45880.735902777778</v>
      </c>
    </row>
    <row r="678" spans="1:83" ht="225" x14ac:dyDescent="0.25">
      <c r="A678">
        <v>2022</v>
      </c>
      <c r="B678" t="s">
        <v>1108</v>
      </c>
      <c r="C678" t="s">
        <v>1315</v>
      </c>
      <c r="D678" t="s">
        <v>1316</v>
      </c>
      <c r="E678" t="s">
        <v>818</v>
      </c>
      <c r="F678" t="s">
        <v>752</v>
      </c>
      <c r="G678" t="s">
        <v>34</v>
      </c>
      <c r="H678" t="s">
        <v>59</v>
      </c>
      <c r="I678">
        <v>44480</v>
      </c>
      <c r="J678">
        <v>44764</v>
      </c>
      <c r="K678">
        <v>44764</v>
      </c>
      <c r="L678">
        <v>0</v>
      </c>
      <c r="N678" t="s">
        <v>120</v>
      </c>
      <c r="O678">
        <v>44764</v>
      </c>
      <c r="P678" t="s">
        <v>120</v>
      </c>
      <c r="Q678">
        <v>80510.001699999993</v>
      </c>
      <c r="R678" t="s">
        <v>1055</v>
      </c>
      <c r="S678" t="s">
        <v>709</v>
      </c>
      <c r="T678" t="s">
        <v>709</v>
      </c>
      <c r="U678" t="s">
        <v>709</v>
      </c>
      <c r="V678">
        <v>506</v>
      </c>
      <c r="X678">
        <v>712423.59</v>
      </c>
      <c r="Z678">
        <v>143576.43</v>
      </c>
      <c r="AA678">
        <v>856000.02</v>
      </c>
      <c r="AC678" t="s">
        <v>1177</v>
      </c>
      <c r="AD678" t="s">
        <v>29</v>
      </c>
      <c r="AM678" t="s">
        <v>116</v>
      </c>
      <c r="AN678" t="s">
        <v>709</v>
      </c>
      <c r="AO678">
        <v>11038425</v>
      </c>
      <c r="AS678">
        <v>0</v>
      </c>
      <c r="AT678">
        <v>0</v>
      </c>
      <c r="AU678">
        <v>0</v>
      </c>
      <c r="AY678" t="s">
        <v>709</v>
      </c>
      <c r="AZ678">
        <v>185</v>
      </c>
      <c r="BA678" s="4" t="s">
        <v>1317</v>
      </c>
      <c r="BB678" s="4" t="s">
        <v>1318</v>
      </c>
      <c r="BC678" t="s">
        <v>709</v>
      </c>
      <c r="BD678" t="s">
        <v>709</v>
      </c>
      <c r="BE678" t="s">
        <v>822</v>
      </c>
      <c r="BF678" t="s">
        <v>709</v>
      </c>
      <c r="BG678" t="s">
        <v>709</v>
      </c>
      <c r="BI678" t="s">
        <v>709</v>
      </c>
      <c r="BJ678" t="s">
        <v>709</v>
      </c>
      <c r="BK678" t="s">
        <v>116</v>
      </c>
      <c r="BL678" t="s">
        <v>116</v>
      </c>
      <c r="BM678" t="s">
        <v>709</v>
      </c>
      <c r="BN678">
        <v>90</v>
      </c>
      <c r="BO678" t="s">
        <v>709</v>
      </c>
      <c r="BP678">
        <v>92</v>
      </c>
      <c r="BQ678">
        <v>69</v>
      </c>
      <c r="BR678" t="s">
        <v>709</v>
      </c>
      <c r="BS678" t="s">
        <v>709</v>
      </c>
      <c r="BT678">
        <v>1</v>
      </c>
      <c r="BU678" t="s">
        <v>709</v>
      </c>
      <c r="BV678" t="s">
        <v>745</v>
      </c>
      <c r="BW678">
        <v>2</v>
      </c>
      <c r="BX678">
        <v>1</v>
      </c>
      <c r="BY678" t="s">
        <v>745</v>
      </c>
      <c r="BZ678" t="s">
        <v>709</v>
      </c>
      <c r="CA678" t="s">
        <v>2</v>
      </c>
      <c r="CB678">
        <v>674</v>
      </c>
      <c r="CC678" t="b">
        <v>1</v>
      </c>
      <c r="CD678" t="s">
        <v>4661</v>
      </c>
      <c r="CE678" s="1482">
        <v>45880.735914351855</v>
      </c>
    </row>
    <row r="679" spans="1:83" ht="210" x14ac:dyDescent="0.25">
      <c r="A679">
        <v>2022</v>
      </c>
      <c r="B679" t="s">
        <v>759</v>
      </c>
      <c r="C679" t="s">
        <v>1319</v>
      </c>
      <c r="D679" t="s">
        <v>1320</v>
      </c>
      <c r="E679" t="s">
        <v>245</v>
      </c>
      <c r="F679" t="s">
        <v>752</v>
      </c>
      <c r="G679" t="s">
        <v>34</v>
      </c>
      <c r="H679" t="s">
        <v>59</v>
      </c>
      <c r="I679">
        <v>44580</v>
      </c>
      <c r="J679">
        <v>44764</v>
      </c>
      <c r="K679">
        <v>44764</v>
      </c>
      <c r="L679">
        <v>0</v>
      </c>
      <c r="N679" t="s">
        <v>120</v>
      </c>
      <c r="O679">
        <v>44774</v>
      </c>
      <c r="P679" t="s">
        <v>120</v>
      </c>
      <c r="Q679">
        <v>103950.7467</v>
      </c>
      <c r="R679" t="s">
        <v>1055</v>
      </c>
      <c r="S679" t="s">
        <v>709</v>
      </c>
      <c r="T679" t="s">
        <v>709</v>
      </c>
      <c r="U679" t="s">
        <v>709</v>
      </c>
      <c r="V679">
        <v>1358</v>
      </c>
      <c r="X679">
        <v>980455.18</v>
      </c>
      <c r="Z679">
        <v>151318.31</v>
      </c>
      <c r="AA679">
        <v>1131773.49</v>
      </c>
      <c r="AB679">
        <v>44768</v>
      </c>
      <c r="AC679" t="s">
        <v>1056</v>
      </c>
      <c r="AD679" t="s">
        <v>29</v>
      </c>
      <c r="AM679" t="s">
        <v>116</v>
      </c>
      <c r="AN679" t="s">
        <v>709</v>
      </c>
      <c r="AO679">
        <v>11039840</v>
      </c>
      <c r="AS679">
        <v>0</v>
      </c>
      <c r="AT679">
        <v>0</v>
      </c>
      <c r="AU679">
        <v>0</v>
      </c>
      <c r="AY679" t="s">
        <v>709</v>
      </c>
      <c r="AZ679">
        <v>186</v>
      </c>
      <c r="BA679" s="4" t="s">
        <v>1321</v>
      </c>
      <c r="BB679" s="4" t="s">
        <v>1322</v>
      </c>
      <c r="BC679" t="s">
        <v>116</v>
      </c>
      <c r="BD679" t="s">
        <v>1140</v>
      </c>
      <c r="BE679" t="s">
        <v>709</v>
      </c>
      <c r="BF679" t="s">
        <v>1028</v>
      </c>
      <c r="BG679" t="s">
        <v>709</v>
      </c>
      <c r="BI679" t="s">
        <v>709</v>
      </c>
      <c r="BJ679" t="s">
        <v>709</v>
      </c>
      <c r="BK679" t="s">
        <v>116</v>
      </c>
      <c r="BL679" t="s">
        <v>709</v>
      </c>
      <c r="BM679" t="s">
        <v>709</v>
      </c>
      <c r="BN679" t="s">
        <v>709</v>
      </c>
      <c r="BO679" t="s">
        <v>709</v>
      </c>
      <c r="BP679">
        <v>604</v>
      </c>
      <c r="BQ679">
        <v>395</v>
      </c>
      <c r="BR679">
        <v>74</v>
      </c>
      <c r="BS679" t="s">
        <v>709</v>
      </c>
      <c r="BT679" t="s">
        <v>709</v>
      </c>
      <c r="BU679" t="s">
        <v>709</v>
      </c>
      <c r="BV679" t="s">
        <v>745</v>
      </c>
      <c r="BW679">
        <v>2</v>
      </c>
      <c r="BX679" t="s">
        <v>745</v>
      </c>
      <c r="BY679" t="s">
        <v>745</v>
      </c>
      <c r="BZ679" t="s">
        <v>709</v>
      </c>
      <c r="CA679" t="s">
        <v>2</v>
      </c>
      <c r="CB679">
        <v>677</v>
      </c>
      <c r="CC679" t="b">
        <v>1</v>
      </c>
      <c r="CD679" t="s">
        <v>4662</v>
      </c>
      <c r="CE679" s="1482">
        <v>45880.735914351855</v>
      </c>
    </row>
    <row r="680" spans="1:83" ht="210" x14ac:dyDescent="0.25">
      <c r="A680">
        <v>2022</v>
      </c>
      <c r="B680" t="s">
        <v>4</v>
      </c>
      <c r="C680" t="s">
        <v>4663</v>
      </c>
      <c r="D680" t="s">
        <v>4664</v>
      </c>
      <c r="E680" t="s">
        <v>2000</v>
      </c>
      <c r="F680" t="s">
        <v>738</v>
      </c>
      <c r="G680" t="s">
        <v>25</v>
      </c>
      <c r="H680" t="s">
        <v>59</v>
      </c>
      <c r="I680">
        <v>44678</v>
      </c>
      <c r="J680">
        <v>44771</v>
      </c>
      <c r="K680">
        <v>44768</v>
      </c>
      <c r="L680">
        <v>3</v>
      </c>
      <c r="N680" t="s">
        <v>120</v>
      </c>
      <c r="O680">
        <v>44774</v>
      </c>
      <c r="P680" t="s">
        <v>739</v>
      </c>
      <c r="Q680">
        <v>22831.382000000001</v>
      </c>
      <c r="R680">
        <v>0.1</v>
      </c>
      <c r="V680">
        <v>1182</v>
      </c>
      <c r="X680">
        <v>211869.92</v>
      </c>
      <c r="Z680">
        <v>16443.900000000001</v>
      </c>
      <c r="AA680">
        <v>228313.82</v>
      </c>
      <c r="AB680">
        <v>44789</v>
      </c>
      <c r="AC680" t="s">
        <v>709</v>
      </c>
      <c r="AD680" t="s">
        <v>709</v>
      </c>
      <c r="AM680" t="s">
        <v>116</v>
      </c>
      <c r="AN680">
        <v>44824</v>
      </c>
      <c r="AO680">
        <v>11045694</v>
      </c>
      <c r="AP680">
        <v>211886.36</v>
      </c>
      <c r="AR680">
        <v>16443.900000000001</v>
      </c>
      <c r="AS680">
        <v>228330.26</v>
      </c>
      <c r="AT680">
        <v>16.440000000000001</v>
      </c>
      <c r="AU680">
        <v>1.6439999999999999</v>
      </c>
      <c r="AV680" t="s">
        <v>709</v>
      </c>
      <c r="AX680">
        <v>1.6439999999999999</v>
      </c>
      <c r="AY680">
        <v>45008</v>
      </c>
      <c r="BA680" s="4" t="s">
        <v>4665</v>
      </c>
      <c r="BB680" t="s">
        <v>4666</v>
      </c>
      <c r="BC680" t="s">
        <v>709</v>
      </c>
      <c r="BD680" t="s">
        <v>709</v>
      </c>
      <c r="BE680" t="s">
        <v>4667</v>
      </c>
      <c r="BF680" t="s">
        <v>709</v>
      </c>
      <c r="BG680" t="s">
        <v>709</v>
      </c>
      <c r="BI680" t="s">
        <v>709</v>
      </c>
      <c r="BJ680" t="s">
        <v>709</v>
      </c>
      <c r="BK680" t="s">
        <v>709</v>
      </c>
      <c r="BL680" t="s">
        <v>116</v>
      </c>
      <c r="BM680" t="s">
        <v>709</v>
      </c>
      <c r="BN680" t="s">
        <v>709</v>
      </c>
      <c r="BO680" t="s">
        <v>709</v>
      </c>
      <c r="BP680" t="s">
        <v>709</v>
      </c>
      <c r="BQ680" t="s">
        <v>709</v>
      </c>
      <c r="BR680" t="s">
        <v>709</v>
      </c>
      <c r="BS680">
        <v>1182</v>
      </c>
      <c r="BT680" t="s">
        <v>745</v>
      </c>
      <c r="BU680" t="s">
        <v>709</v>
      </c>
      <c r="BV680" t="s">
        <v>745</v>
      </c>
      <c r="BW680" t="s">
        <v>709</v>
      </c>
      <c r="BX680" t="s">
        <v>745</v>
      </c>
      <c r="BY680" t="s">
        <v>745</v>
      </c>
      <c r="BZ680" t="s">
        <v>709</v>
      </c>
      <c r="CB680">
        <v>679</v>
      </c>
      <c r="CC680" t="b">
        <v>1</v>
      </c>
      <c r="CD680" t="s">
        <v>4668</v>
      </c>
      <c r="CE680" s="1482">
        <v>45880.735925925925</v>
      </c>
    </row>
    <row r="681" spans="1:83" x14ac:dyDescent="0.25">
      <c r="A681">
        <v>2022</v>
      </c>
      <c r="B681" t="s">
        <v>1073</v>
      </c>
      <c r="C681" t="s">
        <v>4553</v>
      </c>
      <c r="D681" t="s">
        <v>4554</v>
      </c>
      <c r="E681" t="s">
        <v>232</v>
      </c>
      <c r="F681" t="s">
        <v>747</v>
      </c>
      <c r="G681" t="s">
        <v>1896</v>
      </c>
      <c r="H681" t="s">
        <v>3178</v>
      </c>
      <c r="I681">
        <v>44767</v>
      </c>
      <c r="J681" t="s">
        <v>2052</v>
      </c>
      <c r="K681">
        <v>44768</v>
      </c>
      <c r="L681">
        <v>1</v>
      </c>
      <c r="M681" t="s">
        <v>4669</v>
      </c>
      <c r="N681" t="s">
        <v>120</v>
      </c>
      <c r="O681">
        <v>44774</v>
      </c>
      <c r="P681" t="s">
        <v>739</v>
      </c>
      <c r="Q681">
        <v>1620</v>
      </c>
      <c r="R681" t="s">
        <v>1922</v>
      </c>
      <c r="U681">
        <v>1620</v>
      </c>
      <c r="AD681" t="s">
        <v>709</v>
      </c>
      <c r="AM681" t="s">
        <v>709</v>
      </c>
      <c r="AY681" t="s">
        <v>29</v>
      </c>
      <c r="BA681">
        <v>1</v>
      </c>
      <c r="BI681" t="s">
        <v>709</v>
      </c>
      <c r="BJ681" t="s">
        <v>709</v>
      </c>
      <c r="BK681" t="s">
        <v>116</v>
      </c>
      <c r="BL681" t="s">
        <v>116</v>
      </c>
      <c r="BM681" t="s">
        <v>709</v>
      </c>
      <c r="BN681" t="s">
        <v>709</v>
      </c>
      <c r="BO681" t="s">
        <v>709</v>
      </c>
      <c r="BP681">
        <v>161</v>
      </c>
      <c r="BQ681">
        <v>9860</v>
      </c>
      <c r="BR681" t="s">
        <v>709</v>
      </c>
      <c r="BS681" t="s">
        <v>709</v>
      </c>
      <c r="BT681" t="s">
        <v>745</v>
      </c>
      <c r="BU681" t="s">
        <v>709</v>
      </c>
      <c r="BV681" t="s">
        <v>745</v>
      </c>
      <c r="BW681" t="s">
        <v>709</v>
      </c>
      <c r="BX681" t="s">
        <v>745</v>
      </c>
      <c r="BY681" t="s">
        <v>745</v>
      </c>
      <c r="BZ681" t="s">
        <v>709</v>
      </c>
      <c r="CB681">
        <v>678</v>
      </c>
      <c r="CC681" t="b">
        <v>1</v>
      </c>
      <c r="CD681" t="s">
        <v>4670</v>
      </c>
      <c r="CE681" s="1482">
        <v>45880.735925925925</v>
      </c>
    </row>
    <row r="682" spans="1:83" x14ac:dyDescent="0.25">
      <c r="A682">
        <v>2021</v>
      </c>
      <c r="B682" t="s">
        <v>1108</v>
      </c>
      <c r="C682" t="s">
        <v>3167</v>
      </c>
      <c r="D682">
        <v>102134</v>
      </c>
      <c r="E682" t="s">
        <v>361</v>
      </c>
      <c r="F682" t="s">
        <v>4204</v>
      </c>
      <c r="G682" t="s">
        <v>23</v>
      </c>
      <c r="H682" t="s">
        <v>3178</v>
      </c>
      <c r="I682">
        <v>44767</v>
      </c>
      <c r="J682" t="s">
        <v>2052</v>
      </c>
      <c r="K682">
        <v>44769</v>
      </c>
      <c r="L682">
        <v>2</v>
      </c>
      <c r="M682" t="s">
        <v>4671</v>
      </c>
      <c r="N682" t="s">
        <v>120</v>
      </c>
      <c r="O682">
        <v>44774</v>
      </c>
      <c r="P682" t="s">
        <v>739</v>
      </c>
      <c r="Q682">
        <v>5545</v>
      </c>
      <c r="R682" t="s">
        <v>1922</v>
      </c>
      <c r="U682">
        <v>5545</v>
      </c>
      <c r="AC682" t="s">
        <v>116</v>
      </c>
      <c r="AD682" t="s">
        <v>709</v>
      </c>
      <c r="AM682" t="s">
        <v>709</v>
      </c>
      <c r="AY682" t="s">
        <v>29</v>
      </c>
      <c r="BA682">
        <v>7</v>
      </c>
      <c r="BI682" t="s">
        <v>709</v>
      </c>
      <c r="BJ682" t="s">
        <v>709</v>
      </c>
      <c r="BK682" t="s">
        <v>709</v>
      </c>
      <c r="BL682" t="s">
        <v>116</v>
      </c>
      <c r="BM682" t="s">
        <v>709</v>
      </c>
      <c r="BN682">
        <v>90</v>
      </c>
      <c r="BO682" t="s">
        <v>709</v>
      </c>
      <c r="BP682">
        <v>2</v>
      </c>
      <c r="BQ682">
        <v>17</v>
      </c>
      <c r="BR682" t="s">
        <v>709</v>
      </c>
      <c r="BS682" t="s">
        <v>709</v>
      </c>
      <c r="BT682" t="s">
        <v>745</v>
      </c>
      <c r="BU682" t="s">
        <v>709</v>
      </c>
      <c r="BV682">
        <v>1</v>
      </c>
      <c r="BW682">
        <v>1</v>
      </c>
      <c r="BX682" t="s">
        <v>745</v>
      </c>
      <c r="BY682" t="s">
        <v>745</v>
      </c>
      <c r="BZ682" t="s">
        <v>709</v>
      </c>
      <c r="CA682" t="s">
        <v>769</v>
      </c>
      <c r="CB682">
        <v>680</v>
      </c>
      <c r="CC682" t="b">
        <v>1</v>
      </c>
      <c r="CD682" t="s">
        <v>4672</v>
      </c>
      <c r="CE682" s="1482">
        <v>45880.735937500001</v>
      </c>
    </row>
    <row r="683" spans="1:83" x14ac:dyDescent="0.25">
      <c r="A683">
        <v>2022</v>
      </c>
      <c r="B683" t="s">
        <v>4</v>
      </c>
      <c r="C683" t="s">
        <v>4178</v>
      </c>
      <c r="D683">
        <v>1210978</v>
      </c>
      <c r="E683" t="s">
        <v>3148</v>
      </c>
      <c r="F683" t="s">
        <v>747</v>
      </c>
      <c r="G683" t="s">
        <v>39</v>
      </c>
      <c r="H683" t="s">
        <v>4189</v>
      </c>
      <c r="I683">
        <v>44727</v>
      </c>
      <c r="J683" t="s">
        <v>2052</v>
      </c>
      <c r="K683">
        <v>44770</v>
      </c>
      <c r="L683">
        <v>43</v>
      </c>
      <c r="M683" t="s">
        <v>4673</v>
      </c>
      <c r="N683" t="s">
        <v>120</v>
      </c>
      <c r="O683">
        <v>44774</v>
      </c>
      <c r="P683" t="s">
        <v>739</v>
      </c>
      <c r="Q683">
        <v>8045</v>
      </c>
      <c r="R683" t="s">
        <v>1922</v>
      </c>
      <c r="U683">
        <v>8045</v>
      </c>
      <c r="AD683" t="s">
        <v>116</v>
      </c>
      <c r="AM683" t="s">
        <v>709</v>
      </c>
      <c r="AY683" t="s">
        <v>29</v>
      </c>
      <c r="BA683">
        <v>3</v>
      </c>
      <c r="BI683" t="s">
        <v>709</v>
      </c>
      <c r="BJ683" t="s">
        <v>709</v>
      </c>
      <c r="BK683" t="s">
        <v>709</v>
      </c>
      <c r="BL683" t="s">
        <v>116</v>
      </c>
      <c r="BM683" t="s">
        <v>709</v>
      </c>
      <c r="BN683" t="s">
        <v>709</v>
      </c>
      <c r="BO683" t="s">
        <v>709</v>
      </c>
      <c r="BP683" t="s">
        <v>709</v>
      </c>
      <c r="BQ683">
        <v>318</v>
      </c>
      <c r="BR683">
        <v>157</v>
      </c>
      <c r="BS683">
        <v>122</v>
      </c>
      <c r="BT683" t="s">
        <v>745</v>
      </c>
      <c r="BU683" t="s">
        <v>709</v>
      </c>
      <c r="BV683" t="s">
        <v>745</v>
      </c>
      <c r="BW683" t="s">
        <v>709</v>
      </c>
      <c r="BX683" t="s">
        <v>745</v>
      </c>
      <c r="BY683" t="s">
        <v>745</v>
      </c>
      <c r="BZ683" t="s">
        <v>709</v>
      </c>
      <c r="CB683">
        <v>681</v>
      </c>
      <c r="CC683" t="b">
        <v>1</v>
      </c>
      <c r="CD683" t="s">
        <v>4674</v>
      </c>
      <c r="CE683" s="1482">
        <v>45880.735937500001</v>
      </c>
    </row>
    <row r="684" spans="1:83" x14ac:dyDescent="0.25">
      <c r="A684">
        <v>2022</v>
      </c>
      <c r="B684" t="s">
        <v>2</v>
      </c>
      <c r="C684" t="s">
        <v>3845</v>
      </c>
      <c r="D684" t="s">
        <v>3846</v>
      </c>
      <c r="E684" t="s">
        <v>361</v>
      </c>
      <c r="F684" t="s">
        <v>4204</v>
      </c>
      <c r="G684" t="s">
        <v>22</v>
      </c>
      <c r="H684" t="s">
        <v>4436</v>
      </c>
      <c r="I684">
        <v>44748</v>
      </c>
      <c r="J684" t="s">
        <v>2052</v>
      </c>
      <c r="K684">
        <v>44771</v>
      </c>
      <c r="L684">
        <v>23</v>
      </c>
      <c r="M684" t="s">
        <v>4675</v>
      </c>
      <c r="N684" t="s">
        <v>120</v>
      </c>
      <c r="O684">
        <v>44774</v>
      </c>
      <c r="P684" t="s">
        <v>739</v>
      </c>
      <c r="Q684">
        <v>3165</v>
      </c>
      <c r="R684" t="s">
        <v>1922</v>
      </c>
      <c r="U684">
        <v>3165</v>
      </c>
      <c r="AC684" t="s">
        <v>709</v>
      </c>
      <c r="AD684" t="s">
        <v>116</v>
      </c>
      <c r="AM684" t="s">
        <v>709</v>
      </c>
      <c r="AY684" t="s">
        <v>29</v>
      </c>
      <c r="BA684">
        <v>3</v>
      </c>
      <c r="BI684" t="s">
        <v>709</v>
      </c>
      <c r="BJ684" t="s">
        <v>709</v>
      </c>
      <c r="BK684" t="s">
        <v>709</v>
      </c>
      <c r="BL684" t="s">
        <v>709</v>
      </c>
      <c r="BM684" t="s">
        <v>709</v>
      </c>
      <c r="BN684" t="s">
        <v>709</v>
      </c>
      <c r="BO684" t="s">
        <v>709</v>
      </c>
      <c r="BP684" t="s">
        <v>709</v>
      </c>
      <c r="BQ684" t="s">
        <v>709</v>
      </c>
      <c r="BR684" t="s">
        <v>709</v>
      </c>
      <c r="BS684" t="s">
        <v>709</v>
      </c>
      <c r="BT684" t="s">
        <v>745</v>
      </c>
      <c r="BU684" t="s">
        <v>709</v>
      </c>
      <c r="BV684">
        <v>5</v>
      </c>
      <c r="BW684" t="s">
        <v>709</v>
      </c>
      <c r="BX684" t="s">
        <v>745</v>
      </c>
      <c r="BY684" t="s">
        <v>745</v>
      </c>
      <c r="BZ684" t="s">
        <v>709</v>
      </c>
      <c r="CA684" t="s">
        <v>2</v>
      </c>
      <c r="CB684">
        <v>682</v>
      </c>
      <c r="CC684" t="b">
        <v>1</v>
      </c>
      <c r="CD684" t="s">
        <v>4676</v>
      </c>
      <c r="CE684" s="1482">
        <v>45880.735949074071</v>
      </c>
    </row>
    <row r="685" spans="1:83" ht="105" x14ac:dyDescent="0.25">
      <c r="A685">
        <v>2022</v>
      </c>
      <c r="B685" t="s">
        <v>759</v>
      </c>
      <c r="C685" t="s">
        <v>1323</v>
      </c>
      <c r="D685" t="s">
        <v>1324</v>
      </c>
      <c r="E685" t="s">
        <v>1325</v>
      </c>
      <c r="F685" t="s">
        <v>752</v>
      </c>
      <c r="G685" t="s">
        <v>34</v>
      </c>
      <c r="H685" t="s">
        <v>59</v>
      </c>
      <c r="I685">
        <v>44603</v>
      </c>
      <c r="J685">
        <v>44771</v>
      </c>
      <c r="K685">
        <v>44771</v>
      </c>
      <c r="L685">
        <v>0</v>
      </c>
      <c r="N685" t="s">
        <v>120</v>
      </c>
      <c r="O685">
        <v>44774</v>
      </c>
      <c r="P685" t="s">
        <v>739</v>
      </c>
      <c r="Q685">
        <v>34223.024799999999</v>
      </c>
      <c r="R685" t="s">
        <v>1055</v>
      </c>
      <c r="S685" t="s">
        <v>709</v>
      </c>
      <c r="T685" t="s">
        <v>709</v>
      </c>
      <c r="U685" t="s">
        <v>709</v>
      </c>
      <c r="V685">
        <v>208</v>
      </c>
      <c r="X685">
        <v>256912.92</v>
      </c>
      <c r="Z685">
        <v>54534.43</v>
      </c>
      <c r="AA685">
        <v>311447.34999999998</v>
      </c>
      <c r="AB685">
        <v>44789</v>
      </c>
      <c r="AC685" t="s">
        <v>1177</v>
      </c>
      <c r="AD685" t="s">
        <v>29</v>
      </c>
      <c r="AM685" t="s">
        <v>116</v>
      </c>
      <c r="AN685" t="s">
        <v>709</v>
      </c>
      <c r="AO685">
        <v>11041770</v>
      </c>
      <c r="AS685">
        <v>0</v>
      </c>
      <c r="AT685">
        <v>0</v>
      </c>
      <c r="AU685">
        <v>0</v>
      </c>
      <c r="AY685" t="s">
        <v>709</v>
      </c>
      <c r="AZ685">
        <v>187</v>
      </c>
      <c r="BA685" s="4" t="s">
        <v>1326</v>
      </c>
      <c r="BB685" s="4" t="s">
        <v>1327</v>
      </c>
      <c r="BC685" t="s">
        <v>709</v>
      </c>
      <c r="BD685" t="s">
        <v>1328</v>
      </c>
      <c r="BE685" t="s">
        <v>1328</v>
      </c>
      <c r="BF685" t="s">
        <v>1329</v>
      </c>
      <c r="BG685" t="s">
        <v>709</v>
      </c>
      <c r="BI685" t="s">
        <v>709</v>
      </c>
      <c r="BJ685" t="s">
        <v>116</v>
      </c>
      <c r="BK685" t="s">
        <v>709</v>
      </c>
      <c r="BL685" t="s">
        <v>116</v>
      </c>
      <c r="BM685" t="s">
        <v>709</v>
      </c>
      <c r="BN685" t="s">
        <v>709</v>
      </c>
      <c r="BO685" t="s">
        <v>709</v>
      </c>
      <c r="BP685" t="s">
        <v>709</v>
      </c>
      <c r="BQ685" t="s">
        <v>709</v>
      </c>
      <c r="BR685">
        <v>125</v>
      </c>
      <c r="BS685">
        <v>60</v>
      </c>
      <c r="BT685">
        <v>1</v>
      </c>
      <c r="BU685" t="s">
        <v>709</v>
      </c>
      <c r="BV685" t="s">
        <v>745</v>
      </c>
      <c r="BW685" t="s">
        <v>709</v>
      </c>
      <c r="BX685">
        <v>1</v>
      </c>
      <c r="BY685" t="s">
        <v>745</v>
      </c>
      <c r="BZ685" t="s">
        <v>709</v>
      </c>
      <c r="CB685">
        <v>683</v>
      </c>
      <c r="CC685" t="b">
        <v>1</v>
      </c>
      <c r="CD685" t="s">
        <v>4677</v>
      </c>
      <c r="CE685" s="1482">
        <v>45880.735949074071</v>
      </c>
    </row>
    <row r="686" spans="1:83" x14ac:dyDescent="0.25">
      <c r="A686">
        <v>2020</v>
      </c>
      <c r="B686" t="s">
        <v>1981</v>
      </c>
      <c r="C686" t="s">
        <v>2572</v>
      </c>
      <c r="D686" t="s">
        <v>115</v>
      </c>
      <c r="E686" t="s">
        <v>426</v>
      </c>
      <c r="F686" t="s">
        <v>919</v>
      </c>
      <c r="G686" t="s">
        <v>40</v>
      </c>
      <c r="H686" t="s">
        <v>4462</v>
      </c>
      <c r="I686">
        <v>44648</v>
      </c>
      <c r="J686" t="s">
        <v>2052</v>
      </c>
      <c r="K686">
        <v>44775</v>
      </c>
      <c r="L686">
        <v>127</v>
      </c>
      <c r="M686" t="s">
        <v>4678</v>
      </c>
      <c r="N686" t="s">
        <v>120</v>
      </c>
      <c r="O686">
        <v>44776</v>
      </c>
      <c r="P686" t="s">
        <v>739</v>
      </c>
      <c r="R686" t="s">
        <v>115</v>
      </c>
      <c r="AM686" t="s">
        <v>709</v>
      </c>
      <c r="AY686" t="s">
        <v>29</v>
      </c>
      <c r="BI686" t="s">
        <v>709</v>
      </c>
      <c r="BJ686" t="s">
        <v>709</v>
      </c>
      <c r="BK686" t="s">
        <v>709</v>
      </c>
      <c r="BL686" t="s">
        <v>709</v>
      </c>
      <c r="BM686" t="s">
        <v>709</v>
      </c>
      <c r="BN686" t="s">
        <v>709</v>
      </c>
      <c r="BO686" t="s">
        <v>709</v>
      </c>
      <c r="BP686" t="s">
        <v>709</v>
      </c>
      <c r="BQ686" t="s">
        <v>709</v>
      </c>
      <c r="BR686" t="s">
        <v>709</v>
      </c>
      <c r="BS686" t="s">
        <v>709</v>
      </c>
      <c r="BT686" t="s">
        <v>745</v>
      </c>
      <c r="BU686" t="s">
        <v>709</v>
      </c>
      <c r="BV686" t="s">
        <v>745</v>
      </c>
      <c r="BW686" t="s">
        <v>709</v>
      </c>
      <c r="BX686" t="s">
        <v>745</v>
      </c>
      <c r="BY686" t="s">
        <v>745</v>
      </c>
      <c r="BZ686" t="s">
        <v>709</v>
      </c>
      <c r="CA686" t="s">
        <v>2531</v>
      </c>
      <c r="CB686">
        <v>684</v>
      </c>
      <c r="CC686" t="b">
        <v>1</v>
      </c>
      <c r="CD686" t="s">
        <v>4679</v>
      </c>
      <c r="CE686" s="1482">
        <v>45880.735960648148</v>
      </c>
    </row>
    <row r="687" spans="1:83" ht="195" x14ac:dyDescent="0.25">
      <c r="A687">
        <v>2022</v>
      </c>
      <c r="B687" t="s">
        <v>4</v>
      </c>
      <c r="C687" t="s">
        <v>4680</v>
      </c>
      <c r="D687" t="s">
        <v>115</v>
      </c>
      <c r="E687" t="s">
        <v>1306</v>
      </c>
      <c r="F687" t="s">
        <v>738</v>
      </c>
      <c r="G687" t="s">
        <v>27</v>
      </c>
      <c r="H687" t="s">
        <v>1681</v>
      </c>
      <c r="I687">
        <v>44749</v>
      </c>
      <c r="J687">
        <v>44850</v>
      </c>
      <c r="K687">
        <v>44776</v>
      </c>
      <c r="L687">
        <v>74</v>
      </c>
      <c r="N687" t="s">
        <v>120</v>
      </c>
      <c r="O687">
        <v>44776</v>
      </c>
      <c r="P687" t="s">
        <v>739</v>
      </c>
      <c r="R687" t="s">
        <v>115</v>
      </c>
      <c r="AC687" t="s">
        <v>709</v>
      </c>
      <c r="AM687" t="s">
        <v>709</v>
      </c>
      <c r="AY687" t="s">
        <v>29</v>
      </c>
      <c r="BA687" s="4" t="s">
        <v>4681</v>
      </c>
      <c r="BB687" t="s">
        <v>1071</v>
      </c>
      <c r="BC687" t="s">
        <v>115</v>
      </c>
      <c r="BD687" t="s">
        <v>115</v>
      </c>
      <c r="BE687" t="s">
        <v>1308</v>
      </c>
      <c r="BF687" t="s">
        <v>115</v>
      </c>
      <c r="BG687" t="s">
        <v>115</v>
      </c>
      <c r="CB687">
        <v>685</v>
      </c>
      <c r="CC687" t="b">
        <v>1</v>
      </c>
      <c r="CD687" t="s">
        <v>4682</v>
      </c>
      <c r="CE687" s="1482">
        <v>45880.735960648148</v>
      </c>
    </row>
    <row r="688" spans="1:83" x14ac:dyDescent="0.25">
      <c r="A688">
        <v>2021</v>
      </c>
      <c r="B688" t="s">
        <v>4</v>
      </c>
      <c r="C688" t="s">
        <v>2851</v>
      </c>
      <c r="D688" t="s">
        <v>2852</v>
      </c>
      <c r="E688" t="s">
        <v>818</v>
      </c>
      <c r="F688" t="s">
        <v>919</v>
      </c>
      <c r="G688" t="s">
        <v>36</v>
      </c>
      <c r="H688" t="s">
        <v>4001</v>
      </c>
      <c r="I688">
        <v>44502</v>
      </c>
      <c r="J688" t="s">
        <v>2052</v>
      </c>
      <c r="K688">
        <v>44778</v>
      </c>
      <c r="L688">
        <v>276</v>
      </c>
      <c r="M688" t="s">
        <v>4683</v>
      </c>
      <c r="N688" t="s">
        <v>120</v>
      </c>
      <c r="O688">
        <v>44778</v>
      </c>
      <c r="P688" t="s">
        <v>739</v>
      </c>
      <c r="Q688">
        <v>16122.5</v>
      </c>
      <c r="R688" t="s">
        <v>1922</v>
      </c>
      <c r="U688">
        <v>16122.5</v>
      </c>
      <c r="AD688" t="s">
        <v>709</v>
      </c>
      <c r="AM688" t="s">
        <v>709</v>
      </c>
      <c r="AY688" t="s">
        <v>29</v>
      </c>
      <c r="BA688">
        <v>12</v>
      </c>
      <c r="BB688" t="s">
        <v>4684</v>
      </c>
      <c r="BC688" t="s">
        <v>709</v>
      </c>
      <c r="BD688" t="s">
        <v>4685</v>
      </c>
      <c r="BI688" t="s">
        <v>709</v>
      </c>
      <c r="BJ688" t="s">
        <v>709</v>
      </c>
      <c r="BK688" t="s">
        <v>709</v>
      </c>
      <c r="BL688" t="s">
        <v>116</v>
      </c>
      <c r="BM688" t="s">
        <v>709</v>
      </c>
      <c r="BN688" t="s">
        <v>709</v>
      </c>
      <c r="BO688" t="s">
        <v>709</v>
      </c>
      <c r="BP688">
        <v>390</v>
      </c>
      <c r="BQ688" t="s">
        <v>709</v>
      </c>
      <c r="BR688" t="s">
        <v>709</v>
      </c>
      <c r="BS688">
        <v>732</v>
      </c>
      <c r="BT688" t="s">
        <v>745</v>
      </c>
      <c r="BU688" t="s">
        <v>709</v>
      </c>
      <c r="BV688" t="s">
        <v>745</v>
      </c>
      <c r="BW688" t="s">
        <v>709</v>
      </c>
      <c r="BX688" t="s">
        <v>745</v>
      </c>
      <c r="BY688" t="s">
        <v>745</v>
      </c>
      <c r="BZ688" t="s">
        <v>709</v>
      </c>
      <c r="CB688">
        <v>687</v>
      </c>
      <c r="CC688" t="b">
        <v>1</v>
      </c>
      <c r="CD688" t="s">
        <v>4686</v>
      </c>
      <c r="CE688" s="1482">
        <v>45880.735972222225</v>
      </c>
    </row>
    <row r="689" spans="1:83" ht="135" x14ac:dyDescent="0.25">
      <c r="A689">
        <v>2022</v>
      </c>
      <c r="B689" t="s">
        <v>730</v>
      </c>
      <c r="C689" t="s">
        <v>4687</v>
      </c>
      <c r="D689" t="s">
        <v>4688</v>
      </c>
      <c r="E689" t="s">
        <v>104</v>
      </c>
      <c r="F689" t="s">
        <v>752</v>
      </c>
      <c r="G689" t="s">
        <v>34</v>
      </c>
      <c r="H689" t="s">
        <v>59</v>
      </c>
      <c r="I689">
        <v>44718</v>
      </c>
      <c r="J689">
        <v>44778</v>
      </c>
      <c r="K689">
        <v>44778</v>
      </c>
      <c r="L689">
        <v>0</v>
      </c>
      <c r="N689" t="s">
        <v>120</v>
      </c>
      <c r="O689">
        <v>44778</v>
      </c>
      <c r="P689" t="s">
        <v>739</v>
      </c>
      <c r="Q689">
        <v>35622.770299999996</v>
      </c>
      <c r="R689" t="s">
        <v>794</v>
      </c>
      <c r="X689">
        <v>319492.12</v>
      </c>
      <c r="Z689">
        <v>37834.589999999997</v>
      </c>
      <c r="AA689">
        <v>357326.71</v>
      </c>
      <c r="AB689">
        <v>44790</v>
      </c>
      <c r="AC689" t="s">
        <v>116</v>
      </c>
      <c r="AD689" t="s">
        <v>29</v>
      </c>
      <c r="AM689" t="s">
        <v>116</v>
      </c>
      <c r="AN689">
        <v>44810</v>
      </c>
      <c r="AO689">
        <v>11045199</v>
      </c>
      <c r="AP689">
        <v>319616.81</v>
      </c>
      <c r="AR689">
        <v>37827.51</v>
      </c>
      <c r="AS689">
        <v>357444.32</v>
      </c>
      <c r="AT689">
        <v>117.61</v>
      </c>
      <c r="AU689">
        <v>9.9969000000000001</v>
      </c>
      <c r="AV689" t="s">
        <v>709</v>
      </c>
      <c r="AX689">
        <v>9.9969000000000001</v>
      </c>
      <c r="AY689">
        <v>45008</v>
      </c>
      <c r="BA689" s="4" t="s">
        <v>4689</v>
      </c>
      <c r="BB689" t="s">
        <v>4690</v>
      </c>
      <c r="BC689" t="s">
        <v>115</v>
      </c>
      <c r="BD689" t="s">
        <v>115</v>
      </c>
      <c r="BE689" t="s">
        <v>4691</v>
      </c>
      <c r="BF689" t="s">
        <v>115</v>
      </c>
      <c r="BG689" t="s">
        <v>115</v>
      </c>
      <c r="BI689" t="s">
        <v>709</v>
      </c>
      <c r="BJ689" t="s">
        <v>709</v>
      </c>
      <c r="BK689" t="s">
        <v>116</v>
      </c>
      <c r="BL689" t="s">
        <v>709</v>
      </c>
      <c r="BM689" t="s">
        <v>709</v>
      </c>
      <c r="BN689" t="s">
        <v>709</v>
      </c>
      <c r="BO689" t="s">
        <v>709</v>
      </c>
      <c r="BP689" t="s">
        <v>709</v>
      </c>
      <c r="BQ689" t="s">
        <v>709</v>
      </c>
      <c r="BR689">
        <v>82</v>
      </c>
      <c r="BS689">
        <v>4</v>
      </c>
      <c r="BT689" t="s">
        <v>745</v>
      </c>
      <c r="BU689" t="s">
        <v>709</v>
      </c>
      <c r="BV689" t="s">
        <v>745</v>
      </c>
      <c r="BW689">
        <v>2</v>
      </c>
      <c r="BX689">
        <v>1</v>
      </c>
      <c r="BY689" t="s">
        <v>745</v>
      </c>
      <c r="BZ689" t="s">
        <v>709</v>
      </c>
      <c r="CB689">
        <v>686</v>
      </c>
      <c r="CC689" t="b">
        <v>1</v>
      </c>
      <c r="CD689" t="s">
        <v>4692</v>
      </c>
      <c r="CE689" s="1482">
        <v>45880.735983796294</v>
      </c>
    </row>
    <row r="690" spans="1:83" ht="195" x14ac:dyDescent="0.25">
      <c r="A690">
        <v>2023</v>
      </c>
      <c r="B690" t="s">
        <v>771</v>
      </c>
      <c r="C690" t="s">
        <v>4693</v>
      </c>
      <c r="D690" t="s">
        <v>4694</v>
      </c>
      <c r="E690" t="s">
        <v>958</v>
      </c>
      <c r="F690" t="s">
        <v>738</v>
      </c>
      <c r="G690" t="s">
        <v>24</v>
      </c>
      <c r="H690" t="s">
        <v>59</v>
      </c>
      <c r="I690">
        <v>44721</v>
      </c>
      <c r="J690">
        <v>44820</v>
      </c>
      <c r="K690">
        <v>44781</v>
      </c>
      <c r="L690">
        <v>39</v>
      </c>
      <c r="N690" t="s">
        <v>120</v>
      </c>
      <c r="O690">
        <v>44781</v>
      </c>
      <c r="P690" t="s">
        <v>120</v>
      </c>
      <c r="Q690">
        <v>31492.377</v>
      </c>
      <c r="R690">
        <v>0.09</v>
      </c>
      <c r="S690" t="s">
        <v>709</v>
      </c>
      <c r="T690" t="s">
        <v>709</v>
      </c>
      <c r="U690" t="s">
        <v>709</v>
      </c>
      <c r="V690">
        <v>1674</v>
      </c>
      <c r="X690">
        <v>328564</v>
      </c>
      <c r="Z690">
        <v>21351.3</v>
      </c>
      <c r="AA690">
        <v>349915.3</v>
      </c>
      <c r="AB690">
        <v>44783</v>
      </c>
      <c r="AC690" t="s">
        <v>709</v>
      </c>
      <c r="AM690" t="s">
        <v>116</v>
      </c>
      <c r="AN690">
        <v>44792</v>
      </c>
      <c r="AO690">
        <v>11044233</v>
      </c>
      <c r="AP690">
        <v>328588.61</v>
      </c>
      <c r="AR690">
        <v>21351.3</v>
      </c>
      <c r="AS690">
        <v>349939.91</v>
      </c>
      <c r="AT690">
        <v>24.61</v>
      </c>
      <c r="AU690">
        <v>2.2149000000000001</v>
      </c>
      <c r="AV690" t="s">
        <v>709</v>
      </c>
      <c r="AX690">
        <v>2.2149000000000001</v>
      </c>
      <c r="AY690">
        <v>45008</v>
      </c>
      <c r="BA690" s="4" t="s">
        <v>4695</v>
      </c>
      <c r="BB690" t="s">
        <v>3507</v>
      </c>
      <c r="BC690" t="s">
        <v>115</v>
      </c>
      <c r="BD690" t="s">
        <v>115</v>
      </c>
      <c r="BE690" t="s">
        <v>592</v>
      </c>
      <c r="BF690" t="s">
        <v>115</v>
      </c>
      <c r="BG690" t="s">
        <v>115</v>
      </c>
      <c r="BI690" t="s">
        <v>709</v>
      </c>
      <c r="BJ690" t="s">
        <v>709</v>
      </c>
      <c r="BK690" t="s">
        <v>709</v>
      </c>
      <c r="BL690" t="s">
        <v>116</v>
      </c>
      <c r="BM690" t="s">
        <v>709</v>
      </c>
      <c r="BN690" t="s">
        <v>709</v>
      </c>
      <c r="BO690" t="s">
        <v>709</v>
      </c>
      <c r="BP690" t="s">
        <v>709</v>
      </c>
      <c r="BQ690" t="s">
        <v>709</v>
      </c>
      <c r="BR690" t="s">
        <v>709</v>
      </c>
      <c r="BS690">
        <v>1674</v>
      </c>
      <c r="BT690" t="s">
        <v>745</v>
      </c>
      <c r="BU690" t="s">
        <v>709</v>
      </c>
      <c r="BV690" t="s">
        <v>745</v>
      </c>
      <c r="BW690" t="s">
        <v>709</v>
      </c>
      <c r="BX690" t="s">
        <v>745</v>
      </c>
      <c r="BY690" t="s">
        <v>745</v>
      </c>
      <c r="BZ690" t="s">
        <v>709</v>
      </c>
      <c r="CB690">
        <v>688</v>
      </c>
      <c r="CC690" t="b">
        <v>1</v>
      </c>
      <c r="CD690" t="s">
        <v>4696</v>
      </c>
      <c r="CE690" s="1482">
        <v>45880.735983796294</v>
      </c>
    </row>
    <row r="691" spans="1:83" ht="210" x14ac:dyDescent="0.25">
      <c r="A691">
        <v>2023</v>
      </c>
      <c r="B691" t="s">
        <v>771</v>
      </c>
      <c r="C691" t="s">
        <v>4697</v>
      </c>
      <c r="D691" t="s">
        <v>4698</v>
      </c>
      <c r="E691" t="s">
        <v>354</v>
      </c>
      <c r="F691" t="s">
        <v>738</v>
      </c>
      <c r="G691" t="s">
        <v>27</v>
      </c>
      <c r="H691" t="s">
        <v>59</v>
      </c>
      <c r="I691">
        <v>44721</v>
      </c>
      <c r="J691">
        <v>44820</v>
      </c>
      <c r="K691">
        <v>44781</v>
      </c>
      <c r="L691">
        <v>39</v>
      </c>
      <c r="N691" t="s">
        <v>120</v>
      </c>
      <c r="O691">
        <v>44781</v>
      </c>
      <c r="P691" t="s">
        <v>120</v>
      </c>
      <c r="Q691">
        <v>18376.2297</v>
      </c>
      <c r="R691">
        <v>0.09</v>
      </c>
      <c r="S691" t="s">
        <v>709</v>
      </c>
      <c r="T691" t="s">
        <v>709</v>
      </c>
      <c r="U691" t="s">
        <v>709</v>
      </c>
      <c r="V691">
        <v>751</v>
      </c>
      <c r="X691">
        <v>187055.31</v>
      </c>
      <c r="Z691">
        <v>17125.02</v>
      </c>
      <c r="AA691">
        <v>204180.33</v>
      </c>
      <c r="AB691">
        <v>44783</v>
      </c>
      <c r="AC691" t="s">
        <v>709</v>
      </c>
      <c r="AM691" t="s">
        <v>116</v>
      </c>
      <c r="AN691">
        <v>44865</v>
      </c>
      <c r="AO691">
        <v>11048468</v>
      </c>
      <c r="AP691">
        <v>187107.71</v>
      </c>
      <c r="AR691">
        <v>17117.939999999999</v>
      </c>
      <c r="AS691">
        <v>204225.65</v>
      </c>
      <c r="AT691">
        <v>45.32</v>
      </c>
      <c r="AU691">
        <v>4.0788000000000002</v>
      </c>
      <c r="AV691" t="s">
        <v>709</v>
      </c>
      <c r="AX691">
        <v>4.0788000000000002</v>
      </c>
      <c r="AY691">
        <v>45008</v>
      </c>
      <c r="BA691" s="4" t="s">
        <v>4699</v>
      </c>
      <c r="BB691" t="s">
        <v>4700</v>
      </c>
      <c r="BC691" t="s">
        <v>116</v>
      </c>
      <c r="BD691" t="s">
        <v>115</v>
      </c>
      <c r="BE691" t="s">
        <v>588</v>
      </c>
      <c r="BF691" t="s">
        <v>115</v>
      </c>
      <c r="BG691" t="s">
        <v>115</v>
      </c>
      <c r="BI691" t="s">
        <v>709</v>
      </c>
      <c r="BJ691" t="s">
        <v>709</v>
      </c>
      <c r="BK691" t="s">
        <v>709</v>
      </c>
      <c r="BL691" t="s">
        <v>116</v>
      </c>
      <c r="BM691" t="s">
        <v>709</v>
      </c>
      <c r="BN691" t="s">
        <v>709</v>
      </c>
      <c r="BO691" t="s">
        <v>709</v>
      </c>
      <c r="BP691" t="s">
        <v>709</v>
      </c>
      <c r="BQ691" t="s">
        <v>709</v>
      </c>
      <c r="BR691">
        <v>751</v>
      </c>
      <c r="BS691" t="s">
        <v>709</v>
      </c>
      <c r="BT691" t="s">
        <v>745</v>
      </c>
      <c r="BU691" t="s">
        <v>709</v>
      </c>
      <c r="BV691" t="s">
        <v>745</v>
      </c>
      <c r="BW691" t="s">
        <v>709</v>
      </c>
      <c r="BX691" t="s">
        <v>745</v>
      </c>
      <c r="BY691" t="s">
        <v>745</v>
      </c>
      <c r="BZ691" t="s">
        <v>709</v>
      </c>
      <c r="CB691">
        <v>689</v>
      </c>
      <c r="CC691" t="b">
        <v>1</v>
      </c>
      <c r="CD691" t="s">
        <v>4701</v>
      </c>
      <c r="CE691" s="1482">
        <v>45880.735995370371</v>
      </c>
    </row>
    <row r="692" spans="1:83" x14ac:dyDescent="0.25">
      <c r="A692">
        <v>2022</v>
      </c>
      <c r="B692" t="s">
        <v>771</v>
      </c>
      <c r="C692" t="s">
        <v>4444</v>
      </c>
      <c r="D692" t="s">
        <v>4445</v>
      </c>
      <c r="E692" t="s">
        <v>218</v>
      </c>
      <c r="F692" t="s">
        <v>747</v>
      </c>
      <c r="G692" t="s">
        <v>22</v>
      </c>
      <c r="H692" t="s">
        <v>4702</v>
      </c>
      <c r="I692">
        <v>44742</v>
      </c>
      <c r="J692" t="s">
        <v>4110</v>
      </c>
      <c r="K692">
        <v>44782</v>
      </c>
      <c r="L692">
        <v>40</v>
      </c>
      <c r="N692" t="s">
        <v>120</v>
      </c>
      <c r="O692">
        <v>44782</v>
      </c>
      <c r="P692" t="s">
        <v>120</v>
      </c>
      <c r="Q692" t="s">
        <v>115</v>
      </c>
      <c r="R692" t="s">
        <v>115</v>
      </c>
      <c r="AC692" t="s">
        <v>709</v>
      </c>
      <c r="AM692" t="s">
        <v>709</v>
      </c>
      <c r="AY692" t="s">
        <v>29</v>
      </c>
      <c r="BI692" t="s">
        <v>709</v>
      </c>
      <c r="BJ692" t="s">
        <v>709</v>
      </c>
      <c r="BK692" t="s">
        <v>116</v>
      </c>
      <c r="BL692" t="s">
        <v>709</v>
      </c>
      <c r="BM692" t="s">
        <v>709</v>
      </c>
      <c r="BN692" t="s">
        <v>709</v>
      </c>
      <c r="BO692" t="s">
        <v>709</v>
      </c>
      <c r="BP692" t="s">
        <v>116</v>
      </c>
      <c r="BQ692" t="s">
        <v>709</v>
      </c>
      <c r="BR692" t="s">
        <v>116</v>
      </c>
      <c r="BS692" t="s">
        <v>116</v>
      </c>
      <c r="BT692" t="s">
        <v>116</v>
      </c>
      <c r="BU692" t="s">
        <v>709</v>
      </c>
      <c r="BV692" t="s">
        <v>745</v>
      </c>
      <c r="BW692" t="s">
        <v>709</v>
      </c>
      <c r="BX692" t="s">
        <v>116</v>
      </c>
      <c r="BY692" t="s">
        <v>745</v>
      </c>
      <c r="BZ692" t="s">
        <v>709</v>
      </c>
      <c r="CB692">
        <v>691</v>
      </c>
      <c r="CC692" t="b">
        <v>1</v>
      </c>
      <c r="CD692" t="s">
        <v>4703</v>
      </c>
      <c r="CE692" s="1482">
        <v>45880.735995370371</v>
      </c>
    </row>
    <row r="693" spans="1:83" x14ac:dyDescent="0.25">
      <c r="A693">
        <v>2022</v>
      </c>
      <c r="B693" t="s">
        <v>769</v>
      </c>
      <c r="C693" t="s">
        <v>1284</v>
      </c>
      <c r="D693" t="s">
        <v>1285</v>
      </c>
      <c r="E693" t="s">
        <v>1286</v>
      </c>
      <c r="F693" t="s">
        <v>752</v>
      </c>
      <c r="G693" t="s">
        <v>23</v>
      </c>
      <c r="H693" t="s">
        <v>3178</v>
      </c>
      <c r="I693">
        <v>44747</v>
      </c>
      <c r="J693" t="s">
        <v>2052</v>
      </c>
      <c r="K693">
        <v>44782</v>
      </c>
      <c r="L693">
        <v>35</v>
      </c>
      <c r="M693" t="s">
        <v>4704</v>
      </c>
      <c r="N693" t="s">
        <v>120</v>
      </c>
      <c r="O693">
        <v>44782</v>
      </c>
      <c r="P693" t="s">
        <v>739</v>
      </c>
      <c r="Q693">
        <v>8707.5</v>
      </c>
      <c r="R693" t="s">
        <v>1922</v>
      </c>
      <c r="U693">
        <v>8707.5</v>
      </c>
      <c r="AC693" t="s">
        <v>1056</v>
      </c>
      <c r="AD693" t="s">
        <v>29</v>
      </c>
      <c r="AM693" t="s">
        <v>709</v>
      </c>
      <c r="AY693" t="s">
        <v>29</v>
      </c>
      <c r="BA693">
        <v>9</v>
      </c>
      <c r="BI693" t="s">
        <v>116</v>
      </c>
      <c r="BJ693" t="s">
        <v>116</v>
      </c>
      <c r="BK693" t="s">
        <v>709</v>
      </c>
      <c r="BL693" t="s">
        <v>116</v>
      </c>
      <c r="BM693" t="s">
        <v>709</v>
      </c>
      <c r="BN693" t="s">
        <v>709</v>
      </c>
      <c r="BO693" t="s">
        <v>709</v>
      </c>
      <c r="BP693" t="s">
        <v>709</v>
      </c>
      <c r="BQ693" t="s">
        <v>709</v>
      </c>
      <c r="BR693" t="s">
        <v>709</v>
      </c>
      <c r="BS693">
        <v>190</v>
      </c>
      <c r="BT693" t="s">
        <v>745</v>
      </c>
      <c r="BU693">
        <v>2</v>
      </c>
      <c r="BV693" t="s">
        <v>745</v>
      </c>
      <c r="BW693" t="s">
        <v>709</v>
      </c>
      <c r="BX693">
        <v>1</v>
      </c>
      <c r="BY693" t="s">
        <v>745</v>
      </c>
      <c r="BZ693" t="s">
        <v>709</v>
      </c>
      <c r="CA693" t="s">
        <v>769</v>
      </c>
      <c r="CB693">
        <v>690</v>
      </c>
      <c r="CC693" t="b">
        <v>1</v>
      </c>
      <c r="CD693" t="s">
        <v>4705</v>
      </c>
      <c r="CE693" s="1482">
        <v>45880.735995370371</v>
      </c>
    </row>
    <row r="694" spans="1:83" x14ac:dyDescent="0.25">
      <c r="A694">
        <v>2022</v>
      </c>
      <c r="B694" t="s">
        <v>771</v>
      </c>
      <c r="C694" t="s">
        <v>3940</v>
      </c>
      <c r="D694" t="s">
        <v>3941</v>
      </c>
      <c r="E694" t="s">
        <v>3942</v>
      </c>
      <c r="F694" t="s">
        <v>747</v>
      </c>
      <c r="G694" t="s">
        <v>23</v>
      </c>
      <c r="H694" t="s">
        <v>4436</v>
      </c>
      <c r="I694">
        <v>44750</v>
      </c>
      <c r="J694" t="s">
        <v>2052</v>
      </c>
      <c r="K694">
        <v>44783</v>
      </c>
      <c r="L694">
        <v>33</v>
      </c>
      <c r="M694" t="s">
        <v>4704</v>
      </c>
      <c r="N694" t="s">
        <v>120</v>
      </c>
      <c r="O694">
        <v>44783</v>
      </c>
      <c r="P694" t="s">
        <v>120</v>
      </c>
      <c r="Q694">
        <v>5247.5</v>
      </c>
      <c r="R694" t="s">
        <v>1922</v>
      </c>
      <c r="U694">
        <v>5247.5</v>
      </c>
      <c r="AD694" t="s">
        <v>116</v>
      </c>
      <c r="AM694" t="s">
        <v>709</v>
      </c>
      <c r="AY694" t="s">
        <v>29</v>
      </c>
      <c r="BA694">
        <v>9</v>
      </c>
      <c r="BI694" t="s">
        <v>709</v>
      </c>
      <c r="BJ694" t="s">
        <v>709</v>
      </c>
      <c r="BK694" t="s">
        <v>709</v>
      </c>
      <c r="BL694" t="s">
        <v>116</v>
      </c>
      <c r="BM694" t="s">
        <v>709</v>
      </c>
      <c r="BN694" t="s">
        <v>709</v>
      </c>
      <c r="BO694" t="s">
        <v>709</v>
      </c>
      <c r="BP694" t="s">
        <v>709</v>
      </c>
      <c r="BQ694">
        <v>340</v>
      </c>
      <c r="BR694">
        <v>4856</v>
      </c>
      <c r="BS694">
        <v>8927</v>
      </c>
      <c r="BT694" t="s">
        <v>709</v>
      </c>
      <c r="BU694" t="s">
        <v>709</v>
      </c>
      <c r="BV694" t="s">
        <v>745</v>
      </c>
      <c r="BW694" t="s">
        <v>709</v>
      </c>
      <c r="BX694" t="s">
        <v>709</v>
      </c>
      <c r="BY694" t="s">
        <v>745</v>
      </c>
      <c r="BZ694" t="s">
        <v>709</v>
      </c>
      <c r="CB694">
        <v>693</v>
      </c>
      <c r="CC694" t="b">
        <v>1</v>
      </c>
      <c r="CD694" t="s">
        <v>4706</v>
      </c>
      <c r="CE694" s="1482">
        <v>45880.736006944448</v>
      </c>
    </row>
    <row r="695" spans="1:83" x14ac:dyDescent="0.25">
      <c r="A695">
        <v>2022</v>
      </c>
      <c r="B695" t="s">
        <v>4</v>
      </c>
      <c r="C695" t="s">
        <v>873</v>
      </c>
      <c r="D695">
        <v>129256</v>
      </c>
      <c r="E695" t="s">
        <v>104</v>
      </c>
      <c r="F695" t="s">
        <v>738</v>
      </c>
      <c r="G695" t="s">
        <v>39</v>
      </c>
      <c r="H695" t="s">
        <v>4450</v>
      </c>
      <c r="I695">
        <v>44750</v>
      </c>
      <c r="J695" t="s">
        <v>2612</v>
      </c>
      <c r="K695">
        <v>44783</v>
      </c>
      <c r="L695">
        <v>33</v>
      </c>
      <c r="N695" t="s">
        <v>120</v>
      </c>
      <c r="O695">
        <v>44835</v>
      </c>
      <c r="P695" t="s">
        <v>739</v>
      </c>
      <c r="Q695">
        <v>4975</v>
      </c>
      <c r="R695" t="s">
        <v>1922</v>
      </c>
      <c r="U695">
        <v>4975</v>
      </c>
      <c r="AB695" t="s">
        <v>29</v>
      </c>
      <c r="AD695" t="s">
        <v>29</v>
      </c>
      <c r="AM695" t="s">
        <v>709</v>
      </c>
      <c r="AY695" t="s">
        <v>29</v>
      </c>
      <c r="BI695" t="s">
        <v>709</v>
      </c>
      <c r="BJ695" t="s">
        <v>709</v>
      </c>
      <c r="BK695" t="s">
        <v>709</v>
      </c>
      <c r="BL695" t="s">
        <v>116</v>
      </c>
      <c r="BM695" t="s">
        <v>709</v>
      </c>
      <c r="BN695" t="s">
        <v>709</v>
      </c>
      <c r="BO695" t="s">
        <v>709</v>
      </c>
      <c r="BP695">
        <v>1708</v>
      </c>
      <c r="BQ695" t="s">
        <v>709</v>
      </c>
      <c r="BR695" t="s">
        <v>709</v>
      </c>
      <c r="BS695">
        <v>562</v>
      </c>
      <c r="BT695" t="s">
        <v>745</v>
      </c>
      <c r="BU695" t="s">
        <v>709</v>
      </c>
      <c r="BV695" t="s">
        <v>745</v>
      </c>
      <c r="BW695" t="s">
        <v>709</v>
      </c>
      <c r="BX695" t="s">
        <v>745</v>
      </c>
      <c r="BY695" t="s">
        <v>745</v>
      </c>
      <c r="BZ695" t="s">
        <v>709</v>
      </c>
      <c r="CB695">
        <v>694</v>
      </c>
      <c r="CC695" t="b">
        <v>1</v>
      </c>
      <c r="CD695" t="s">
        <v>4707</v>
      </c>
      <c r="CE695" s="1482">
        <v>45880.736018518517</v>
      </c>
    </row>
    <row r="696" spans="1:83" ht="195" x14ac:dyDescent="0.25">
      <c r="A696">
        <v>2022</v>
      </c>
      <c r="B696" t="s">
        <v>4</v>
      </c>
      <c r="C696" t="s">
        <v>873</v>
      </c>
      <c r="D696" t="s">
        <v>874</v>
      </c>
      <c r="E696" t="s">
        <v>104</v>
      </c>
      <c r="F696" t="s">
        <v>738</v>
      </c>
      <c r="G696" t="s">
        <v>39</v>
      </c>
      <c r="H696" t="s">
        <v>59</v>
      </c>
      <c r="I696">
        <v>43887</v>
      </c>
      <c r="J696">
        <v>44805</v>
      </c>
      <c r="K696">
        <v>44783</v>
      </c>
      <c r="L696">
        <v>22</v>
      </c>
      <c r="N696" t="s">
        <v>120</v>
      </c>
      <c r="O696">
        <v>44783</v>
      </c>
      <c r="P696" t="s">
        <v>739</v>
      </c>
      <c r="Q696">
        <v>125940.702</v>
      </c>
      <c r="R696">
        <v>0.1</v>
      </c>
      <c r="V696">
        <v>2270</v>
      </c>
      <c r="X696">
        <v>1015048.15</v>
      </c>
      <c r="Z696">
        <v>244358.87</v>
      </c>
      <c r="AA696">
        <v>1259407.02</v>
      </c>
      <c r="AB696">
        <v>44788</v>
      </c>
      <c r="AC696" t="s">
        <v>116</v>
      </c>
      <c r="AM696" t="s">
        <v>116</v>
      </c>
      <c r="AN696">
        <v>45363</v>
      </c>
      <c r="AO696">
        <v>11031424</v>
      </c>
      <c r="AP696">
        <v>1545806.63</v>
      </c>
      <c r="AR696">
        <v>253895.6</v>
      </c>
      <c r="AS696">
        <v>1799702.23</v>
      </c>
      <c r="AT696">
        <v>540295.21</v>
      </c>
      <c r="AU696">
        <v>54029.521000000001</v>
      </c>
      <c r="AV696">
        <v>18355</v>
      </c>
      <c r="AW696" t="s">
        <v>875</v>
      </c>
      <c r="AX696">
        <v>0</v>
      </c>
      <c r="AY696">
        <v>45566</v>
      </c>
      <c r="AZ696">
        <v>70</v>
      </c>
      <c r="BA696" s="4" t="s">
        <v>876</v>
      </c>
      <c r="BB696" t="s">
        <v>877</v>
      </c>
      <c r="BC696" t="s">
        <v>116</v>
      </c>
      <c r="BD696" t="s">
        <v>115</v>
      </c>
      <c r="BE696" t="s">
        <v>376</v>
      </c>
      <c r="BF696" t="s">
        <v>115</v>
      </c>
      <c r="BG696" t="s">
        <v>115</v>
      </c>
      <c r="BI696" t="s">
        <v>709</v>
      </c>
      <c r="BJ696" t="s">
        <v>709</v>
      </c>
      <c r="BK696" t="s">
        <v>709</v>
      </c>
      <c r="BL696" t="s">
        <v>116</v>
      </c>
      <c r="BM696" t="s">
        <v>709</v>
      </c>
      <c r="BN696" t="s">
        <v>709</v>
      </c>
      <c r="BO696" t="s">
        <v>709</v>
      </c>
      <c r="BP696">
        <v>1708</v>
      </c>
      <c r="BQ696" t="s">
        <v>709</v>
      </c>
      <c r="BR696" t="s">
        <v>709</v>
      </c>
      <c r="BS696">
        <v>562</v>
      </c>
      <c r="BT696" t="s">
        <v>745</v>
      </c>
      <c r="BU696" t="s">
        <v>709</v>
      </c>
      <c r="BV696" t="s">
        <v>745</v>
      </c>
      <c r="BW696" t="s">
        <v>709</v>
      </c>
      <c r="BX696" t="s">
        <v>745</v>
      </c>
      <c r="BY696" t="s">
        <v>745</v>
      </c>
      <c r="BZ696" t="s">
        <v>709</v>
      </c>
      <c r="CB696">
        <v>692</v>
      </c>
      <c r="CC696" t="b">
        <v>1</v>
      </c>
      <c r="CD696" t="s">
        <v>4708</v>
      </c>
      <c r="CE696" s="1482">
        <v>45880.736018518517</v>
      </c>
    </row>
    <row r="697" spans="1:83" x14ac:dyDescent="0.25">
      <c r="A697">
        <v>2022</v>
      </c>
      <c r="B697" t="s">
        <v>1073</v>
      </c>
      <c r="C697" t="s">
        <v>265</v>
      </c>
      <c r="D697" t="s">
        <v>4709</v>
      </c>
      <c r="E697" t="s">
        <v>232</v>
      </c>
      <c r="F697" t="s">
        <v>747</v>
      </c>
      <c r="G697" t="s">
        <v>36</v>
      </c>
      <c r="H697" t="s">
        <v>59</v>
      </c>
      <c r="I697">
        <v>44572</v>
      </c>
      <c r="J697">
        <v>44785</v>
      </c>
      <c r="K697">
        <v>44784</v>
      </c>
      <c r="L697">
        <v>1</v>
      </c>
      <c r="N697" t="s">
        <v>120</v>
      </c>
      <c r="O697">
        <v>44784</v>
      </c>
      <c r="P697" t="s">
        <v>739</v>
      </c>
      <c r="Q697">
        <v>179100.45790000001</v>
      </c>
      <c r="R697">
        <v>7.0000000000000007E-2</v>
      </c>
      <c r="V697">
        <v>13889</v>
      </c>
      <c r="X697">
        <v>2483875.9</v>
      </c>
      <c r="Z697">
        <v>74702.070000000007</v>
      </c>
      <c r="AA697">
        <v>2558577.9700000002</v>
      </c>
      <c r="AB697">
        <v>44785</v>
      </c>
      <c r="AC697" t="s">
        <v>4440</v>
      </c>
      <c r="AM697" t="s">
        <v>116</v>
      </c>
      <c r="AN697">
        <v>45135</v>
      </c>
      <c r="AO697">
        <v>11040630</v>
      </c>
      <c r="AP697">
        <v>2447124.85</v>
      </c>
      <c r="AR697">
        <v>78009.86</v>
      </c>
      <c r="AS697">
        <v>2525134.71</v>
      </c>
      <c r="AT697">
        <v>-33443.26</v>
      </c>
      <c r="AU697">
        <v>-2341.0282000000002</v>
      </c>
      <c r="AV697" t="s">
        <v>709</v>
      </c>
      <c r="AX697">
        <v>-2341.0282000000002</v>
      </c>
      <c r="AY697">
        <v>45352</v>
      </c>
      <c r="BA697" t="s">
        <v>4710</v>
      </c>
      <c r="BB697" t="s">
        <v>4711</v>
      </c>
      <c r="BC697" t="s">
        <v>115</v>
      </c>
      <c r="BD697" t="s">
        <v>115</v>
      </c>
      <c r="BE697" t="s">
        <v>595</v>
      </c>
      <c r="BF697" t="s">
        <v>838</v>
      </c>
      <c r="BG697" t="s">
        <v>4712</v>
      </c>
      <c r="BI697" t="s">
        <v>709</v>
      </c>
      <c r="BJ697" t="s">
        <v>116</v>
      </c>
      <c r="BK697" t="s">
        <v>709</v>
      </c>
      <c r="BL697" t="s">
        <v>116</v>
      </c>
      <c r="BM697" t="s">
        <v>709</v>
      </c>
      <c r="BN697" t="s">
        <v>709</v>
      </c>
      <c r="BO697" t="s">
        <v>709</v>
      </c>
      <c r="BP697">
        <v>4008</v>
      </c>
      <c r="BQ697">
        <v>5002</v>
      </c>
      <c r="BR697">
        <v>3555</v>
      </c>
      <c r="BS697">
        <v>1233</v>
      </c>
      <c r="BT697">
        <v>1</v>
      </c>
      <c r="BU697" t="s">
        <v>709</v>
      </c>
      <c r="BV697" t="s">
        <v>745</v>
      </c>
      <c r="BW697" t="s">
        <v>709</v>
      </c>
      <c r="BX697">
        <v>1</v>
      </c>
      <c r="BY697" t="s">
        <v>745</v>
      </c>
      <c r="BZ697" t="s">
        <v>709</v>
      </c>
      <c r="CB697">
        <v>695</v>
      </c>
      <c r="CC697" t="b">
        <v>1</v>
      </c>
      <c r="CD697" t="s">
        <v>4713</v>
      </c>
      <c r="CE697" s="1482">
        <v>45880.736030092594</v>
      </c>
    </row>
    <row r="698" spans="1:83" ht="285" x14ac:dyDescent="0.25">
      <c r="A698">
        <v>2023</v>
      </c>
      <c r="B698" t="s">
        <v>771</v>
      </c>
      <c r="C698" t="s">
        <v>4714</v>
      </c>
      <c r="D698" t="s">
        <v>4715</v>
      </c>
      <c r="E698" t="s">
        <v>4716</v>
      </c>
      <c r="F698" t="s">
        <v>747</v>
      </c>
      <c r="G698" t="s">
        <v>22</v>
      </c>
      <c r="H698" t="s">
        <v>59</v>
      </c>
      <c r="I698">
        <v>44666</v>
      </c>
      <c r="J698">
        <v>44788</v>
      </c>
      <c r="K698">
        <v>44785</v>
      </c>
      <c r="L698">
        <v>3</v>
      </c>
      <c r="N698" t="s">
        <v>120</v>
      </c>
      <c r="O698">
        <v>44785</v>
      </c>
      <c r="P698" t="s">
        <v>120</v>
      </c>
      <c r="Q698">
        <v>114746.41710000001</v>
      </c>
      <c r="R698">
        <v>0.09</v>
      </c>
      <c r="V698">
        <v>2270</v>
      </c>
      <c r="X698">
        <v>1207320.24</v>
      </c>
      <c r="Z698">
        <v>67639.95</v>
      </c>
      <c r="AA698">
        <v>1274960.19</v>
      </c>
      <c r="AB698">
        <v>44791</v>
      </c>
      <c r="AC698" t="s">
        <v>4440</v>
      </c>
      <c r="AD698" t="s">
        <v>116</v>
      </c>
      <c r="AM698" t="s">
        <v>116</v>
      </c>
      <c r="AN698">
        <v>44831</v>
      </c>
      <c r="AO698">
        <v>11042544</v>
      </c>
      <c r="AP698">
        <v>1212957.6299999999</v>
      </c>
      <c r="AR698">
        <v>67639.95</v>
      </c>
      <c r="AS698">
        <v>1280597.58</v>
      </c>
      <c r="AT698">
        <v>5637.39</v>
      </c>
      <c r="AU698">
        <v>507.36509999999998</v>
      </c>
      <c r="AV698" t="s">
        <v>709</v>
      </c>
      <c r="AX698">
        <v>507.36509999999998</v>
      </c>
      <c r="AY698">
        <v>45008</v>
      </c>
      <c r="BA698" s="4" t="s">
        <v>4717</v>
      </c>
      <c r="BB698" t="s">
        <v>1436</v>
      </c>
      <c r="BC698" t="s">
        <v>116</v>
      </c>
      <c r="BD698" t="s">
        <v>115</v>
      </c>
      <c r="BE698" t="s">
        <v>4718</v>
      </c>
      <c r="BF698" t="s">
        <v>115</v>
      </c>
      <c r="BG698" t="s">
        <v>115</v>
      </c>
      <c r="BI698" t="s">
        <v>709</v>
      </c>
      <c r="BJ698" t="s">
        <v>709</v>
      </c>
      <c r="BK698" t="s">
        <v>709</v>
      </c>
      <c r="BL698" t="s">
        <v>116</v>
      </c>
      <c r="BM698" t="s">
        <v>709</v>
      </c>
      <c r="BN698" t="s">
        <v>709</v>
      </c>
      <c r="BO698" t="s">
        <v>709</v>
      </c>
      <c r="BP698" t="s">
        <v>709</v>
      </c>
      <c r="BQ698">
        <v>1311</v>
      </c>
      <c r="BR698" t="s">
        <v>709</v>
      </c>
      <c r="BS698">
        <v>3756</v>
      </c>
      <c r="BT698" t="s">
        <v>745</v>
      </c>
      <c r="BU698" t="s">
        <v>709</v>
      </c>
      <c r="BV698" t="s">
        <v>745</v>
      </c>
      <c r="BW698" t="s">
        <v>709</v>
      </c>
      <c r="BX698" t="s">
        <v>745</v>
      </c>
      <c r="BY698" t="s">
        <v>745</v>
      </c>
      <c r="BZ698" t="s">
        <v>709</v>
      </c>
      <c r="CB698">
        <v>696</v>
      </c>
      <c r="CC698" t="b">
        <v>1</v>
      </c>
      <c r="CD698" t="s">
        <v>4719</v>
      </c>
      <c r="CE698" s="1482">
        <v>45880.736030092594</v>
      </c>
    </row>
    <row r="699" spans="1:83" ht="135" x14ac:dyDescent="0.25">
      <c r="A699">
        <v>2022</v>
      </c>
      <c r="B699" t="s">
        <v>4</v>
      </c>
      <c r="C699" t="s">
        <v>4720</v>
      </c>
      <c r="D699" t="s">
        <v>4721</v>
      </c>
      <c r="E699" t="s">
        <v>2656</v>
      </c>
      <c r="F699" t="s">
        <v>747</v>
      </c>
      <c r="G699" t="s">
        <v>35</v>
      </c>
      <c r="H699" t="s">
        <v>1681</v>
      </c>
      <c r="I699">
        <v>44718</v>
      </c>
      <c r="J699">
        <v>44820</v>
      </c>
      <c r="K699">
        <v>44789</v>
      </c>
      <c r="L699">
        <v>31</v>
      </c>
      <c r="N699" t="s">
        <v>120</v>
      </c>
      <c r="O699">
        <v>44789</v>
      </c>
      <c r="P699" t="s">
        <v>739</v>
      </c>
      <c r="R699" t="s">
        <v>115</v>
      </c>
      <c r="AB699" t="s">
        <v>29</v>
      </c>
      <c r="AC699" t="s">
        <v>709</v>
      </c>
      <c r="AD699" t="s">
        <v>29</v>
      </c>
      <c r="AM699" t="s">
        <v>709</v>
      </c>
      <c r="AY699" t="s">
        <v>29</v>
      </c>
      <c r="BA699" s="4" t="s">
        <v>4722</v>
      </c>
      <c r="BB699" t="s">
        <v>1071</v>
      </c>
      <c r="BC699" t="s">
        <v>116</v>
      </c>
      <c r="BD699" t="s">
        <v>115</v>
      </c>
      <c r="BE699" t="s">
        <v>115</v>
      </c>
      <c r="BF699" t="s">
        <v>115</v>
      </c>
      <c r="BG699" t="s">
        <v>115</v>
      </c>
      <c r="CB699">
        <v>697</v>
      </c>
      <c r="CC699" t="b">
        <v>1</v>
      </c>
      <c r="CD699" t="s">
        <v>4723</v>
      </c>
      <c r="CE699" s="1482">
        <v>45880.736041666663</v>
      </c>
    </row>
    <row r="700" spans="1:83" x14ac:dyDescent="0.25">
      <c r="A700">
        <v>2022</v>
      </c>
      <c r="B700" t="s">
        <v>2994</v>
      </c>
      <c r="C700" t="s">
        <v>4505</v>
      </c>
      <c r="D700">
        <v>3211034</v>
      </c>
      <c r="E700" t="s">
        <v>4724</v>
      </c>
      <c r="F700" t="s">
        <v>752</v>
      </c>
      <c r="G700" t="s">
        <v>32</v>
      </c>
      <c r="H700" t="s">
        <v>3178</v>
      </c>
      <c r="I700">
        <v>44783</v>
      </c>
      <c r="J700" t="s">
        <v>2052</v>
      </c>
      <c r="K700">
        <v>44790</v>
      </c>
      <c r="L700">
        <v>7</v>
      </c>
      <c r="M700" t="s">
        <v>4725</v>
      </c>
      <c r="N700" t="s">
        <v>120</v>
      </c>
      <c r="O700">
        <v>44805</v>
      </c>
      <c r="P700" t="s">
        <v>739</v>
      </c>
      <c r="Q700">
        <v>2430</v>
      </c>
      <c r="R700" t="s">
        <v>1922</v>
      </c>
      <c r="U700">
        <v>2430</v>
      </c>
      <c r="AC700" t="s">
        <v>709</v>
      </c>
      <c r="AD700" t="s">
        <v>29</v>
      </c>
      <c r="AM700" t="s">
        <v>709</v>
      </c>
      <c r="AY700" t="s">
        <v>29</v>
      </c>
      <c r="BA700">
        <v>1</v>
      </c>
      <c r="BI700" t="s">
        <v>709</v>
      </c>
      <c r="BJ700" t="s">
        <v>709</v>
      </c>
      <c r="BK700" t="s">
        <v>709</v>
      </c>
      <c r="BL700" t="s">
        <v>709</v>
      </c>
      <c r="BM700">
        <v>0</v>
      </c>
      <c r="BN700">
        <v>0</v>
      </c>
      <c r="BO700">
        <v>0</v>
      </c>
      <c r="BP700">
        <v>0</v>
      </c>
      <c r="BQ700">
        <v>0</v>
      </c>
      <c r="BR700">
        <v>0</v>
      </c>
      <c r="BS700">
        <v>0</v>
      </c>
      <c r="BT700">
        <v>0</v>
      </c>
      <c r="BU700">
        <v>0</v>
      </c>
      <c r="BV700">
        <v>3</v>
      </c>
      <c r="BW700">
        <v>0</v>
      </c>
      <c r="BX700">
        <v>0</v>
      </c>
      <c r="BY700">
        <v>0</v>
      </c>
      <c r="BZ700" t="s">
        <v>709</v>
      </c>
      <c r="CA700" t="s">
        <v>4304</v>
      </c>
      <c r="CB700">
        <v>698</v>
      </c>
      <c r="CC700" t="b">
        <v>1</v>
      </c>
      <c r="CD700" t="s">
        <v>4726</v>
      </c>
      <c r="CE700" s="1482">
        <v>45880.736041666663</v>
      </c>
    </row>
    <row r="701" spans="1:83" ht="210" x14ac:dyDescent="0.25">
      <c r="A701">
        <v>2023</v>
      </c>
      <c r="B701" t="s">
        <v>771</v>
      </c>
      <c r="C701" t="s">
        <v>4727</v>
      </c>
      <c r="D701" t="s">
        <v>4728</v>
      </c>
      <c r="E701" t="s">
        <v>354</v>
      </c>
      <c r="F701" t="s">
        <v>738</v>
      </c>
      <c r="G701" t="s">
        <v>32</v>
      </c>
      <c r="H701" t="s">
        <v>59</v>
      </c>
      <c r="I701">
        <v>44721</v>
      </c>
      <c r="J701">
        <v>44820</v>
      </c>
      <c r="K701">
        <v>44790</v>
      </c>
      <c r="L701">
        <v>30</v>
      </c>
      <c r="N701" t="s">
        <v>120</v>
      </c>
      <c r="O701">
        <v>44805</v>
      </c>
      <c r="P701" t="s">
        <v>120</v>
      </c>
      <c r="Q701">
        <v>27185.912100000001</v>
      </c>
      <c r="R701">
        <v>0.09</v>
      </c>
      <c r="V701">
        <v>523</v>
      </c>
      <c r="X701">
        <v>235731.44</v>
      </c>
      <c r="Z701">
        <v>66334.25</v>
      </c>
      <c r="AA701">
        <v>302065.69</v>
      </c>
      <c r="AB701">
        <v>44791</v>
      </c>
      <c r="AC701" t="s">
        <v>709</v>
      </c>
      <c r="AD701" t="s">
        <v>709</v>
      </c>
      <c r="AM701" t="s">
        <v>116</v>
      </c>
      <c r="AN701">
        <v>44860</v>
      </c>
      <c r="AO701">
        <v>11044727</v>
      </c>
      <c r="AP701">
        <v>236025.79</v>
      </c>
      <c r="AR701">
        <v>66327.17</v>
      </c>
      <c r="AS701">
        <v>302352.96000000002</v>
      </c>
      <c r="AT701">
        <v>287.27</v>
      </c>
      <c r="AU701">
        <v>25.854299999999999</v>
      </c>
      <c r="AV701" t="s">
        <v>709</v>
      </c>
      <c r="AX701">
        <v>25.854299999999999</v>
      </c>
      <c r="AY701">
        <v>45008</v>
      </c>
      <c r="BA701" s="4" t="s">
        <v>4729</v>
      </c>
      <c r="BB701" t="s">
        <v>3507</v>
      </c>
      <c r="BC701" t="s">
        <v>115</v>
      </c>
      <c r="BD701" t="s">
        <v>115</v>
      </c>
      <c r="BE701" t="s">
        <v>588</v>
      </c>
      <c r="BF701" t="s">
        <v>115</v>
      </c>
      <c r="BG701" t="s">
        <v>115</v>
      </c>
      <c r="BH701" t="s">
        <v>4730</v>
      </c>
      <c r="BI701" t="s">
        <v>709</v>
      </c>
      <c r="BJ701" t="s">
        <v>709</v>
      </c>
      <c r="BK701" t="s">
        <v>709</v>
      </c>
      <c r="BL701" t="s">
        <v>116</v>
      </c>
      <c r="BM701">
        <v>0</v>
      </c>
      <c r="BN701">
        <v>0</v>
      </c>
      <c r="BO701">
        <v>0</v>
      </c>
      <c r="BP701">
        <v>27</v>
      </c>
      <c r="BQ701">
        <v>0</v>
      </c>
      <c r="BR701">
        <v>0</v>
      </c>
      <c r="BS701">
        <v>496</v>
      </c>
      <c r="BT701">
        <v>0</v>
      </c>
      <c r="BU701">
        <v>0</v>
      </c>
      <c r="BV701">
        <v>0</v>
      </c>
      <c r="BW701">
        <v>0</v>
      </c>
      <c r="BX701">
        <v>0</v>
      </c>
      <c r="BY701">
        <v>0</v>
      </c>
      <c r="BZ701" t="s">
        <v>709</v>
      </c>
      <c r="CB701">
        <v>699</v>
      </c>
      <c r="CC701" t="b">
        <v>1</v>
      </c>
      <c r="CD701" t="s">
        <v>4731</v>
      </c>
      <c r="CE701" s="1482">
        <v>45880.73605324074</v>
      </c>
    </row>
    <row r="702" spans="1:83" x14ac:dyDescent="0.25">
      <c r="A702">
        <v>2022</v>
      </c>
      <c r="B702" t="s">
        <v>4</v>
      </c>
      <c r="C702" t="s">
        <v>3257</v>
      </c>
      <c r="D702" t="s">
        <v>3258</v>
      </c>
      <c r="E702" t="s">
        <v>3259</v>
      </c>
      <c r="F702" t="s">
        <v>738</v>
      </c>
      <c r="G702" t="s">
        <v>32</v>
      </c>
      <c r="H702" t="s">
        <v>2396</v>
      </c>
      <c r="I702">
        <v>44777</v>
      </c>
      <c r="J702" t="s">
        <v>2397</v>
      </c>
      <c r="K702">
        <v>44792</v>
      </c>
      <c r="L702">
        <v>15</v>
      </c>
      <c r="M702" t="s">
        <v>4732</v>
      </c>
      <c r="N702" t="s">
        <v>120</v>
      </c>
      <c r="O702">
        <v>44805</v>
      </c>
      <c r="P702" t="s">
        <v>739</v>
      </c>
      <c r="Q702">
        <v>8875</v>
      </c>
      <c r="R702" t="s">
        <v>1922</v>
      </c>
      <c r="S702">
        <v>0</v>
      </c>
      <c r="T702">
        <v>0</v>
      </c>
      <c r="U702">
        <v>8875</v>
      </c>
      <c r="AC702" t="s">
        <v>709</v>
      </c>
      <c r="AD702" t="s">
        <v>709</v>
      </c>
      <c r="AM702" t="s">
        <v>709</v>
      </c>
      <c r="AY702" t="s">
        <v>29</v>
      </c>
      <c r="BI702" t="s">
        <v>709</v>
      </c>
      <c r="BJ702" t="s">
        <v>709</v>
      </c>
      <c r="BK702" t="s">
        <v>709</v>
      </c>
      <c r="BL702" t="s">
        <v>116</v>
      </c>
      <c r="BM702">
        <v>0</v>
      </c>
      <c r="BN702">
        <v>0</v>
      </c>
      <c r="BO702">
        <v>0</v>
      </c>
      <c r="BP702">
        <v>0</v>
      </c>
      <c r="BQ702">
        <v>0</v>
      </c>
      <c r="BR702">
        <v>301</v>
      </c>
      <c r="BS702">
        <v>0</v>
      </c>
      <c r="BT702">
        <v>0</v>
      </c>
      <c r="BU702">
        <v>0</v>
      </c>
      <c r="BV702">
        <v>0</v>
      </c>
      <c r="BW702">
        <v>0</v>
      </c>
      <c r="BX702">
        <v>0</v>
      </c>
      <c r="BY702">
        <v>0</v>
      </c>
      <c r="BZ702" t="s">
        <v>709</v>
      </c>
      <c r="CB702">
        <v>700</v>
      </c>
      <c r="CC702" t="b">
        <v>1</v>
      </c>
      <c r="CD702" t="s">
        <v>4733</v>
      </c>
      <c r="CE702" s="1482">
        <v>45880.736064814817</v>
      </c>
    </row>
    <row r="703" spans="1:83" x14ac:dyDescent="0.25">
      <c r="A703">
        <v>2023</v>
      </c>
      <c r="B703" t="s">
        <v>4</v>
      </c>
      <c r="C703" t="s">
        <v>1233</v>
      </c>
      <c r="D703" t="s">
        <v>1234</v>
      </c>
      <c r="E703" t="s">
        <v>1101</v>
      </c>
      <c r="F703" t="s">
        <v>919</v>
      </c>
      <c r="G703" t="s">
        <v>35</v>
      </c>
      <c r="H703" t="s">
        <v>3178</v>
      </c>
      <c r="I703">
        <v>44683</v>
      </c>
      <c r="J703" t="s">
        <v>2052</v>
      </c>
      <c r="K703">
        <v>44796</v>
      </c>
      <c r="L703">
        <v>113</v>
      </c>
      <c r="M703" t="s">
        <v>4734</v>
      </c>
      <c r="N703" t="s">
        <v>120</v>
      </c>
      <c r="O703">
        <v>44805</v>
      </c>
      <c r="P703" t="s">
        <v>739</v>
      </c>
      <c r="Q703">
        <v>3590</v>
      </c>
      <c r="R703" t="s">
        <v>1922</v>
      </c>
      <c r="U703">
        <v>3590</v>
      </c>
      <c r="AD703" t="s">
        <v>116</v>
      </c>
      <c r="AM703" t="s">
        <v>709</v>
      </c>
      <c r="AV703">
        <v>11717.5</v>
      </c>
      <c r="AY703" t="s">
        <v>29</v>
      </c>
      <c r="BA703">
        <v>3</v>
      </c>
      <c r="BB703" t="s">
        <v>4735</v>
      </c>
      <c r="BC703" t="s">
        <v>709</v>
      </c>
      <c r="BD703" t="s">
        <v>882</v>
      </c>
      <c r="BE703" t="s">
        <v>1106</v>
      </c>
      <c r="BF703" t="s">
        <v>709</v>
      </c>
      <c r="BG703" t="s">
        <v>709</v>
      </c>
      <c r="BH703" t="s">
        <v>4736</v>
      </c>
      <c r="BI703" t="s">
        <v>709</v>
      </c>
      <c r="BJ703" t="s">
        <v>709</v>
      </c>
      <c r="BK703" t="s">
        <v>709</v>
      </c>
      <c r="BL703" t="s">
        <v>116</v>
      </c>
      <c r="BM703" t="s">
        <v>709</v>
      </c>
      <c r="BN703" t="s">
        <v>709</v>
      </c>
      <c r="BO703" t="s">
        <v>709</v>
      </c>
      <c r="BP703">
        <v>1747</v>
      </c>
      <c r="BQ703">
        <v>498</v>
      </c>
      <c r="BR703">
        <v>1564</v>
      </c>
      <c r="BS703">
        <v>1588</v>
      </c>
      <c r="BT703">
        <v>1</v>
      </c>
      <c r="BU703" t="s">
        <v>709</v>
      </c>
      <c r="BV703" t="s">
        <v>745</v>
      </c>
      <c r="BW703" t="s">
        <v>709</v>
      </c>
      <c r="BX703">
        <v>1</v>
      </c>
      <c r="BY703" t="s">
        <v>745</v>
      </c>
      <c r="BZ703" t="s">
        <v>709</v>
      </c>
      <c r="CA703" t="s">
        <v>1237</v>
      </c>
      <c r="CB703">
        <v>701</v>
      </c>
      <c r="CC703" t="b">
        <v>1</v>
      </c>
      <c r="CD703" t="s">
        <v>4737</v>
      </c>
      <c r="CE703" s="1482">
        <v>45880.736064814817</v>
      </c>
    </row>
    <row r="704" spans="1:83" ht="150" x14ac:dyDescent="0.25">
      <c r="A704">
        <v>2023</v>
      </c>
      <c r="B704" t="s">
        <v>1073</v>
      </c>
      <c r="C704" t="s">
        <v>235</v>
      </c>
      <c r="D704" t="s">
        <v>1330</v>
      </c>
      <c r="E704" t="s">
        <v>236</v>
      </c>
      <c r="F704" t="s">
        <v>747</v>
      </c>
      <c r="G704" t="s">
        <v>23</v>
      </c>
      <c r="H704" t="s">
        <v>59</v>
      </c>
      <c r="I704">
        <v>44715</v>
      </c>
      <c r="J704">
        <v>44799</v>
      </c>
      <c r="K704">
        <v>44797</v>
      </c>
      <c r="L704">
        <v>2</v>
      </c>
      <c r="N704" t="s">
        <v>120</v>
      </c>
      <c r="O704">
        <v>44805</v>
      </c>
      <c r="P704" t="s">
        <v>739</v>
      </c>
      <c r="Q704">
        <v>126321.6339</v>
      </c>
      <c r="R704">
        <v>7.0000000000000007E-2</v>
      </c>
      <c r="V704">
        <v>7490</v>
      </c>
      <c r="X704">
        <v>1756139</v>
      </c>
      <c r="Z704">
        <v>48455.77</v>
      </c>
      <c r="AA704">
        <v>1804594.77</v>
      </c>
      <c r="AB704">
        <v>44798</v>
      </c>
      <c r="AC704" t="s">
        <v>116</v>
      </c>
      <c r="AD704" t="s">
        <v>116</v>
      </c>
      <c r="AM704" t="s">
        <v>116</v>
      </c>
      <c r="AN704" t="s">
        <v>709</v>
      </c>
      <c r="AO704">
        <v>11041926</v>
      </c>
      <c r="AS704">
        <v>0</v>
      </c>
      <c r="AT704">
        <v>0</v>
      </c>
      <c r="AU704">
        <v>0</v>
      </c>
      <c r="AY704" t="s">
        <v>709</v>
      </c>
      <c r="AZ704">
        <v>10</v>
      </c>
      <c r="BA704" t="s">
        <v>1331</v>
      </c>
      <c r="BB704" s="4" t="s">
        <v>1332</v>
      </c>
      <c r="BC704" t="s">
        <v>115</v>
      </c>
      <c r="BD704" t="s">
        <v>1333</v>
      </c>
      <c r="BE704" t="s">
        <v>1334</v>
      </c>
      <c r="BF704" t="s">
        <v>115</v>
      </c>
      <c r="BG704" t="s">
        <v>1335</v>
      </c>
      <c r="BI704" t="s">
        <v>709</v>
      </c>
      <c r="BJ704" t="s">
        <v>709</v>
      </c>
      <c r="BK704" t="s">
        <v>709</v>
      </c>
      <c r="BL704" t="s">
        <v>116</v>
      </c>
      <c r="BM704" t="s">
        <v>709</v>
      </c>
      <c r="BN704" t="s">
        <v>709</v>
      </c>
      <c r="BO704" t="s">
        <v>709</v>
      </c>
      <c r="BP704">
        <v>7001</v>
      </c>
      <c r="BQ704">
        <v>18</v>
      </c>
      <c r="BR704">
        <v>110</v>
      </c>
      <c r="BS704">
        <v>361</v>
      </c>
      <c r="BT704" t="s">
        <v>745</v>
      </c>
      <c r="BU704" t="s">
        <v>709</v>
      </c>
      <c r="BV704" t="s">
        <v>745</v>
      </c>
      <c r="BW704" t="s">
        <v>709</v>
      </c>
      <c r="BX704" t="s">
        <v>745</v>
      </c>
      <c r="BY704" t="s">
        <v>709</v>
      </c>
      <c r="BZ704" t="s">
        <v>709</v>
      </c>
      <c r="CB704">
        <v>702</v>
      </c>
      <c r="CC704" t="b">
        <v>1</v>
      </c>
      <c r="CD704" t="s">
        <v>4738</v>
      </c>
      <c r="CE704" s="1482">
        <v>45880.736076388886</v>
      </c>
    </row>
    <row r="705" spans="1:83" x14ac:dyDescent="0.25">
      <c r="A705">
        <v>2022</v>
      </c>
      <c r="B705" t="s">
        <v>771</v>
      </c>
      <c r="C705" t="s">
        <v>3984</v>
      </c>
      <c r="D705" t="s">
        <v>3985</v>
      </c>
      <c r="E705" t="s">
        <v>342</v>
      </c>
      <c r="F705" t="s">
        <v>784</v>
      </c>
      <c r="G705" t="s">
        <v>23</v>
      </c>
      <c r="H705" t="s">
        <v>3852</v>
      </c>
      <c r="I705">
        <v>44791</v>
      </c>
      <c r="J705" t="s">
        <v>2052</v>
      </c>
      <c r="K705">
        <v>44798</v>
      </c>
      <c r="L705">
        <v>7</v>
      </c>
      <c r="M705" t="s">
        <v>4739</v>
      </c>
      <c r="N705" t="s">
        <v>120</v>
      </c>
      <c r="O705">
        <v>44805</v>
      </c>
      <c r="P705" t="s">
        <v>120</v>
      </c>
      <c r="Q705">
        <v>2415</v>
      </c>
      <c r="R705" t="s">
        <v>1922</v>
      </c>
      <c r="U705">
        <v>2415</v>
      </c>
      <c r="AD705" t="s">
        <v>116</v>
      </c>
      <c r="AM705" t="s">
        <v>709</v>
      </c>
      <c r="AY705" t="s">
        <v>29</v>
      </c>
      <c r="BA705">
        <v>2</v>
      </c>
      <c r="BI705" t="s">
        <v>709</v>
      </c>
      <c r="BJ705" t="s">
        <v>709</v>
      </c>
      <c r="BK705" t="s">
        <v>709</v>
      </c>
      <c r="BL705" t="s">
        <v>116</v>
      </c>
      <c r="BM705" t="s">
        <v>709</v>
      </c>
      <c r="BN705" t="s">
        <v>709</v>
      </c>
      <c r="BO705" t="s">
        <v>709</v>
      </c>
      <c r="BP705">
        <v>3715</v>
      </c>
      <c r="BQ705">
        <v>450</v>
      </c>
      <c r="BR705">
        <v>326</v>
      </c>
      <c r="BS705">
        <v>6089</v>
      </c>
      <c r="BT705" t="s">
        <v>709</v>
      </c>
      <c r="BU705" t="s">
        <v>709</v>
      </c>
      <c r="BV705">
        <v>1</v>
      </c>
      <c r="BW705" t="s">
        <v>709</v>
      </c>
      <c r="BX705" t="s">
        <v>745</v>
      </c>
      <c r="BY705" t="s">
        <v>709</v>
      </c>
      <c r="BZ705" t="s">
        <v>709</v>
      </c>
      <c r="CB705">
        <v>703</v>
      </c>
      <c r="CC705" t="b">
        <v>1</v>
      </c>
      <c r="CD705" t="s">
        <v>4740</v>
      </c>
      <c r="CE705" s="1482">
        <v>45880.736076388886</v>
      </c>
    </row>
    <row r="706" spans="1:83" ht="195" x14ac:dyDescent="0.25">
      <c r="A706">
        <v>2023</v>
      </c>
      <c r="B706" t="s">
        <v>771</v>
      </c>
      <c r="C706" t="s">
        <v>4741</v>
      </c>
      <c r="D706" t="s">
        <v>4742</v>
      </c>
      <c r="E706" t="s">
        <v>354</v>
      </c>
      <c r="F706" t="s">
        <v>738</v>
      </c>
      <c r="G706" t="s">
        <v>22</v>
      </c>
      <c r="H706" t="s">
        <v>59</v>
      </c>
      <c r="I706">
        <v>44721</v>
      </c>
      <c r="J706">
        <v>44820</v>
      </c>
      <c r="K706">
        <v>44798</v>
      </c>
      <c r="L706">
        <v>22</v>
      </c>
      <c r="N706" t="s">
        <v>120</v>
      </c>
      <c r="O706">
        <v>44805</v>
      </c>
      <c r="P706" t="s">
        <v>120</v>
      </c>
      <c r="Q706">
        <v>33678.396000000001</v>
      </c>
      <c r="R706">
        <v>0.09</v>
      </c>
      <c r="V706">
        <v>1149</v>
      </c>
      <c r="X706">
        <v>307824.32</v>
      </c>
      <c r="Z706">
        <v>66380.08</v>
      </c>
      <c r="AA706">
        <v>374204.4</v>
      </c>
      <c r="AB706">
        <v>44799</v>
      </c>
      <c r="AC706" t="s">
        <v>709</v>
      </c>
      <c r="AD706" t="s">
        <v>116</v>
      </c>
      <c r="AM706" t="s">
        <v>116</v>
      </c>
      <c r="AN706">
        <v>44860</v>
      </c>
      <c r="AO706">
        <v>11045593</v>
      </c>
      <c r="AP706">
        <v>309058.28000000003</v>
      </c>
      <c r="AR706">
        <v>66380.08</v>
      </c>
      <c r="AS706">
        <v>375438.36</v>
      </c>
      <c r="AT706">
        <v>1233.96</v>
      </c>
      <c r="AU706">
        <v>111.0564</v>
      </c>
      <c r="AV706" t="s">
        <v>709</v>
      </c>
      <c r="AX706">
        <v>111.0564</v>
      </c>
      <c r="AY706">
        <v>45008</v>
      </c>
      <c r="BA706" s="4" t="s">
        <v>4743</v>
      </c>
      <c r="BB706" t="s">
        <v>3507</v>
      </c>
      <c r="BC706" t="s">
        <v>115</v>
      </c>
      <c r="BD706" t="s">
        <v>115</v>
      </c>
      <c r="BE706" t="s">
        <v>588</v>
      </c>
      <c r="BF706" t="s">
        <v>115</v>
      </c>
      <c r="BG706" t="s">
        <v>115</v>
      </c>
      <c r="BI706" t="s">
        <v>709</v>
      </c>
      <c r="BJ706" t="s">
        <v>709</v>
      </c>
      <c r="BK706" t="s">
        <v>709</v>
      </c>
      <c r="BL706" t="s">
        <v>116</v>
      </c>
      <c r="BM706" t="s">
        <v>709</v>
      </c>
      <c r="BN706" t="s">
        <v>709</v>
      </c>
      <c r="BO706" t="s">
        <v>709</v>
      </c>
      <c r="BP706" t="s">
        <v>709</v>
      </c>
      <c r="BQ706" t="s">
        <v>709</v>
      </c>
      <c r="BR706">
        <v>1119</v>
      </c>
      <c r="BS706">
        <v>30</v>
      </c>
      <c r="BT706" t="s">
        <v>745</v>
      </c>
      <c r="BU706" t="s">
        <v>709</v>
      </c>
      <c r="BV706" t="s">
        <v>745</v>
      </c>
      <c r="BW706" t="s">
        <v>709</v>
      </c>
      <c r="BX706" t="s">
        <v>745</v>
      </c>
      <c r="BY706" t="s">
        <v>745</v>
      </c>
      <c r="BZ706" t="s">
        <v>709</v>
      </c>
      <c r="CB706">
        <v>704</v>
      </c>
      <c r="CC706" t="b">
        <v>1</v>
      </c>
      <c r="CD706" t="s">
        <v>4744</v>
      </c>
      <c r="CE706" s="1482">
        <v>45880.736087962963</v>
      </c>
    </row>
    <row r="707" spans="1:83" ht="409.5" x14ac:dyDescent="0.25">
      <c r="A707">
        <v>2022</v>
      </c>
      <c r="B707" t="s">
        <v>1205</v>
      </c>
      <c r="C707" t="s">
        <v>262</v>
      </c>
      <c r="D707" t="s">
        <v>1336</v>
      </c>
      <c r="E707" t="s">
        <v>263</v>
      </c>
      <c r="F707" t="s">
        <v>747</v>
      </c>
      <c r="G707" t="s">
        <v>36</v>
      </c>
      <c r="H707" t="s">
        <v>59</v>
      </c>
      <c r="I707">
        <v>44683</v>
      </c>
      <c r="J707">
        <v>44799</v>
      </c>
      <c r="K707">
        <v>44799</v>
      </c>
      <c r="L707">
        <v>0</v>
      </c>
      <c r="N707" t="s">
        <v>120</v>
      </c>
      <c r="O707">
        <v>44805</v>
      </c>
      <c r="P707" t="s">
        <v>120</v>
      </c>
      <c r="Q707">
        <v>85129.174799999993</v>
      </c>
      <c r="R707">
        <v>0.09</v>
      </c>
      <c r="V707">
        <v>997</v>
      </c>
      <c r="X707">
        <v>893074.41</v>
      </c>
      <c r="Z707">
        <v>52805.31</v>
      </c>
      <c r="AA707">
        <v>945879.72</v>
      </c>
      <c r="AB707">
        <v>44820</v>
      </c>
      <c r="AC707" t="s">
        <v>116</v>
      </c>
      <c r="AM707" t="s">
        <v>116</v>
      </c>
      <c r="AN707" t="s">
        <v>709</v>
      </c>
      <c r="AO707">
        <v>11042197</v>
      </c>
      <c r="AS707">
        <v>0</v>
      </c>
      <c r="AT707">
        <v>0</v>
      </c>
      <c r="AU707">
        <v>0</v>
      </c>
      <c r="AY707" t="s">
        <v>709</v>
      </c>
      <c r="AZ707">
        <v>25</v>
      </c>
      <c r="BA707" s="4" t="s">
        <v>1337</v>
      </c>
      <c r="BB707" t="s">
        <v>1338</v>
      </c>
      <c r="BC707" t="s">
        <v>115</v>
      </c>
      <c r="BD707" t="s">
        <v>115</v>
      </c>
      <c r="BE707" t="s">
        <v>1339</v>
      </c>
      <c r="BF707" t="s">
        <v>115</v>
      </c>
      <c r="BG707" t="s">
        <v>1340</v>
      </c>
      <c r="BI707" t="s">
        <v>709</v>
      </c>
      <c r="BJ707" t="s">
        <v>709</v>
      </c>
      <c r="BK707" t="s">
        <v>116</v>
      </c>
      <c r="BL707" t="s">
        <v>709</v>
      </c>
      <c r="BM707" t="s">
        <v>709</v>
      </c>
      <c r="BN707">
        <v>769</v>
      </c>
      <c r="BO707" t="s">
        <v>709</v>
      </c>
      <c r="BP707" t="s">
        <v>709</v>
      </c>
      <c r="BQ707">
        <v>173</v>
      </c>
      <c r="BR707">
        <v>55</v>
      </c>
      <c r="BS707" t="s">
        <v>709</v>
      </c>
      <c r="BT707" t="s">
        <v>745</v>
      </c>
      <c r="BU707" t="s">
        <v>709</v>
      </c>
      <c r="BV707" t="s">
        <v>745</v>
      </c>
      <c r="BW707" t="s">
        <v>709</v>
      </c>
      <c r="BX707" t="s">
        <v>745</v>
      </c>
      <c r="BY707" t="s">
        <v>745</v>
      </c>
      <c r="BZ707" t="s">
        <v>709</v>
      </c>
      <c r="CB707">
        <v>705</v>
      </c>
      <c r="CC707" t="b">
        <v>1</v>
      </c>
      <c r="CD707" t="s">
        <v>4745</v>
      </c>
      <c r="CE707" s="1482">
        <v>45880.73609953704</v>
      </c>
    </row>
    <row r="708" spans="1:83" ht="150" x14ac:dyDescent="0.25">
      <c r="A708">
        <v>2022</v>
      </c>
      <c r="B708" t="s">
        <v>1205</v>
      </c>
      <c r="C708" t="s">
        <v>4746</v>
      </c>
      <c r="D708" t="s">
        <v>4747</v>
      </c>
      <c r="E708" t="s">
        <v>1945</v>
      </c>
      <c r="F708" t="s">
        <v>747</v>
      </c>
      <c r="G708" t="s">
        <v>23</v>
      </c>
      <c r="H708" t="s">
        <v>59</v>
      </c>
      <c r="I708">
        <v>44706</v>
      </c>
      <c r="J708">
        <v>44806</v>
      </c>
      <c r="K708">
        <v>44802</v>
      </c>
      <c r="L708">
        <v>4</v>
      </c>
      <c r="N708" t="s">
        <v>120</v>
      </c>
      <c r="O708">
        <v>44805</v>
      </c>
      <c r="P708" t="s">
        <v>739</v>
      </c>
      <c r="Q708">
        <v>65369.340900000003</v>
      </c>
      <c r="R708">
        <v>0.09</v>
      </c>
      <c r="V708">
        <v>4719</v>
      </c>
      <c r="X708">
        <v>704633.75</v>
      </c>
      <c r="Z708">
        <v>21692.26</v>
      </c>
      <c r="AA708">
        <v>726326.01</v>
      </c>
      <c r="AB708">
        <v>44805</v>
      </c>
      <c r="AC708" t="s">
        <v>116</v>
      </c>
      <c r="AD708" t="s">
        <v>29</v>
      </c>
      <c r="AM708" t="s">
        <v>116</v>
      </c>
      <c r="AN708">
        <v>44847</v>
      </c>
      <c r="AO708">
        <v>11042465</v>
      </c>
      <c r="AP708">
        <v>705460.59</v>
      </c>
      <c r="AR708">
        <v>21678.1</v>
      </c>
      <c r="AS708">
        <v>727138.69</v>
      </c>
      <c r="AT708">
        <v>812.68</v>
      </c>
      <c r="AU708">
        <v>73.141199999999998</v>
      </c>
      <c r="AV708" t="s">
        <v>709</v>
      </c>
      <c r="AX708">
        <v>73.141199999999998</v>
      </c>
      <c r="AY708">
        <v>45008</v>
      </c>
      <c r="BA708" s="4" t="s">
        <v>4748</v>
      </c>
      <c r="BB708" t="s">
        <v>4749</v>
      </c>
      <c r="BC708" t="s">
        <v>115</v>
      </c>
      <c r="BD708" t="s">
        <v>115</v>
      </c>
      <c r="BE708" t="s">
        <v>115</v>
      </c>
      <c r="BF708" t="s">
        <v>4750</v>
      </c>
      <c r="BG708" t="s">
        <v>115</v>
      </c>
      <c r="BI708" t="s">
        <v>709</v>
      </c>
      <c r="BJ708" t="s">
        <v>116</v>
      </c>
      <c r="BK708" t="s">
        <v>709</v>
      </c>
      <c r="BL708" t="s">
        <v>709</v>
      </c>
      <c r="BM708" t="s">
        <v>709</v>
      </c>
      <c r="BN708" t="s">
        <v>709</v>
      </c>
      <c r="BO708" t="s">
        <v>709</v>
      </c>
      <c r="BP708" t="s">
        <v>709</v>
      </c>
      <c r="BQ708">
        <v>4614</v>
      </c>
      <c r="BR708" t="s">
        <v>709</v>
      </c>
      <c r="BS708">
        <v>105</v>
      </c>
      <c r="BT708" t="s">
        <v>745</v>
      </c>
      <c r="BU708" t="s">
        <v>709</v>
      </c>
      <c r="BV708" t="s">
        <v>745</v>
      </c>
      <c r="BW708" t="s">
        <v>709</v>
      </c>
      <c r="BX708" t="s">
        <v>745</v>
      </c>
      <c r="BY708" t="s">
        <v>745</v>
      </c>
      <c r="BZ708" t="s">
        <v>709</v>
      </c>
      <c r="CB708">
        <v>707</v>
      </c>
      <c r="CC708" t="b">
        <v>1</v>
      </c>
      <c r="CD708" t="s">
        <v>4751</v>
      </c>
      <c r="CE708" s="1482">
        <v>45880.73609953704</v>
      </c>
    </row>
    <row r="709" spans="1:83" ht="180" x14ac:dyDescent="0.25">
      <c r="A709">
        <v>2023</v>
      </c>
      <c r="B709" t="s">
        <v>1205</v>
      </c>
      <c r="C709" t="s">
        <v>4752</v>
      </c>
      <c r="D709" t="s">
        <v>4753</v>
      </c>
      <c r="E709" t="s">
        <v>361</v>
      </c>
      <c r="F709" t="s">
        <v>738</v>
      </c>
      <c r="G709" t="s">
        <v>24</v>
      </c>
      <c r="H709" t="s">
        <v>59</v>
      </c>
      <c r="I709">
        <v>44749</v>
      </c>
      <c r="J709">
        <v>44841</v>
      </c>
      <c r="K709">
        <v>44802</v>
      </c>
      <c r="L709">
        <v>39</v>
      </c>
      <c r="N709" t="s">
        <v>120</v>
      </c>
      <c r="O709">
        <v>44805</v>
      </c>
      <c r="P709" t="s">
        <v>120</v>
      </c>
      <c r="Q709">
        <v>54977.065199999997</v>
      </c>
      <c r="R709">
        <v>0.09</v>
      </c>
      <c r="V709">
        <v>2935</v>
      </c>
      <c r="X709">
        <v>584106.25</v>
      </c>
      <c r="Z709">
        <v>26750.03</v>
      </c>
      <c r="AA709">
        <v>610856.28</v>
      </c>
      <c r="AB709">
        <v>44804</v>
      </c>
      <c r="AC709" t="s">
        <v>709</v>
      </c>
      <c r="AM709" t="s">
        <v>116</v>
      </c>
      <c r="AN709">
        <v>44840</v>
      </c>
      <c r="AO709">
        <v>11046943</v>
      </c>
      <c r="AP709">
        <v>584338.56000000006</v>
      </c>
      <c r="AR709">
        <v>26750.03</v>
      </c>
      <c r="AS709">
        <v>611088.59</v>
      </c>
      <c r="AT709">
        <v>232.31</v>
      </c>
      <c r="AU709">
        <v>20.907900000000001</v>
      </c>
      <c r="AV709" t="s">
        <v>709</v>
      </c>
      <c r="AX709">
        <v>20.907900000000001</v>
      </c>
      <c r="AY709">
        <v>45008</v>
      </c>
      <c r="BA709" s="4" t="s">
        <v>4754</v>
      </c>
      <c r="BB709" t="s">
        <v>3994</v>
      </c>
      <c r="BC709" t="s">
        <v>115</v>
      </c>
      <c r="BD709" t="s">
        <v>115</v>
      </c>
      <c r="BE709" t="s">
        <v>1415</v>
      </c>
      <c r="BF709" t="s">
        <v>1396</v>
      </c>
      <c r="BG709" t="s">
        <v>115</v>
      </c>
      <c r="BI709" t="s">
        <v>709</v>
      </c>
      <c r="BJ709" t="s">
        <v>709</v>
      </c>
      <c r="BK709" t="s">
        <v>709</v>
      </c>
      <c r="BL709" t="s">
        <v>116</v>
      </c>
      <c r="BM709" t="s">
        <v>709</v>
      </c>
      <c r="BN709" t="s">
        <v>709</v>
      </c>
      <c r="BO709" t="s">
        <v>709</v>
      </c>
      <c r="BP709" t="s">
        <v>709</v>
      </c>
      <c r="BQ709" t="s">
        <v>709</v>
      </c>
      <c r="BR709" t="s">
        <v>709</v>
      </c>
      <c r="BS709">
        <v>2935</v>
      </c>
      <c r="BT709" t="s">
        <v>745</v>
      </c>
      <c r="BU709" t="s">
        <v>709</v>
      </c>
      <c r="BV709" t="s">
        <v>745</v>
      </c>
      <c r="BW709" t="s">
        <v>709</v>
      </c>
      <c r="BX709" t="s">
        <v>745</v>
      </c>
      <c r="BY709" t="s">
        <v>745</v>
      </c>
      <c r="BZ709" t="s">
        <v>709</v>
      </c>
      <c r="CB709">
        <v>706</v>
      </c>
      <c r="CC709" t="b">
        <v>1</v>
      </c>
      <c r="CD709" t="s">
        <v>4755</v>
      </c>
      <c r="CE709" s="1482">
        <v>45880.736111111109</v>
      </c>
    </row>
    <row r="710" spans="1:83" ht="225" x14ac:dyDescent="0.25">
      <c r="A710">
        <v>2023</v>
      </c>
      <c r="B710" t="s">
        <v>771</v>
      </c>
      <c r="C710" t="s">
        <v>4756</v>
      </c>
      <c r="D710" t="s">
        <v>4757</v>
      </c>
      <c r="E710" t="s">
        <v>354</v>
      </c>
      <c r="F710" t="s">
        <v>738</v>
      </c>
      <c r="G710" t="s">
        <v>32</v>
      </c>
      <c r="H710" t="s">
        <v>59</v>
      </c>
      <c r="I710">
        <v>44721</v>
      </c>
      <c r="J710">
        <v>44813</v>
      </c>
      <c r="K710">
        <v>44803</v>
      </c>
      <c r="L710">
        <v>10</v>
      </c>
      <c r="N710" t="s">
        <v>120</v>
      </c>
      <c r="O710">
        <v>44805</v>
      </c>
      <c r="P710" t="s">
        <v>120</v>
      </c>
      <c r="Q710">
        <v>120044.6685</v>
      </c>
      <c r="R710">
        <v>0.09</v>
      </c>
      <c r="V710">
        <v>5227</v>
      </c>
      <c r="X710">
        <v>1271069.1399999999</v>
      </c>
      <c r="Z710">
        <v>62760.51</v>
      </c>
      <c r="AA710">
        <v>1333829.6499999999</v>
      </c>
      <c r="AB710">
        <v>44802</v>
      </c>
      <c r="AC710" t="s">
        <v>709</v>
      </c>
      <c r="AD710" t="s">
        <v>29</v>
      </c>
      <c r="AM710" t="s">
        <v>116</v>
      </c>
      <c r="AN710">
        <v>44816</v>
      </c>
      <c r="AO710">
        <v>11045515</v>
      </c>
      <c r="AP710">
        <v>1271216.08</v>
      </c>
      <c r="AR710">
        <v>62758.15</v>
      </c>
      <c r="AS710">
        <v>1333974.23</v>
      </c>
      <c r="AT710">
        <v>144.58000000000001</v>
      </c>
      <c r="AU710">
        <v>13.0122</v>
      </c>
      <c r="AV710" t="s">
        <v>709</v>
      </c>
      <c r="AX710">
        <v>13.0122</v>
      </c>
      <c r="AY710">
        <v>45008</v>
      </c>
      <c r="BA710" s="4" t="s">
        <v>4758</v>
      </c>
      <c r="BB710" t="s">
        <v>3507</v>
      </c>
      <c r="BC710" t="s">
        <v>115</v>
      </c>
      <c r="BD710" t="s">
        <v>115</v>
      </c>
      <c r="BE710" t="s">
        <v>588</v>
      </c>
      <c r="BF710" t="s">
        <v>115</v>
      </c>
      <c r="BG710" t="s">
        <v>115</v>
      </c>
      <c r="BH710" t="s">
        <v>4759</v>
      </c>
      <c r="BI710" t="s">
        <v>709</v>
      </c>
      <c r="BJ710" t="s">
        <v>709</v>
      </c>
      <c r="BK710" t="s">
        <v>709</v>
      </c>
      <c r="BL710" t="s">
        <v>116</v>
      </c>
      <c r="BM710">
        <v>0</v>
      </c>
      <c r="BN710">
        <v>0</v>
      </c>
      <c r="BO710">
        <v>0</v>
      </c>
      <c r="BP710">
        <v>0</v>
      </c>
      <c r="BQ710">
        <v>0</v>
      </c>
      <c r="BR710">
        <v>4664</v>
      </c>
      <c r="BS710">
        <v>563</v>
      </c>
      <c r="BT710">
        <v>0</v>
      </c>
      <c r="BU710">
        <v>0</v>
      </c>
      <c r="BV710">
        <v>0</v>
      </c>
      <c r="BW710">
        <v>0</v>
      </c>
      <c r="BX710">
        <v>0</v>
      </c>
      <c r="BY710">
        <v>0</v>
      </c>
      <c r="BZ710" t="s">
        <v>709</v>
      </c>
      <c r="CB710">
        <v>708</v>
      </c>
      <c r="CC710" t="b">
        <v>1</v>
      </c>
      <c r="CD710" t="s">
        <v>4760</v>
      </c>
      <c r="CE710" s="1482">
        <v>45880.736122685186</v>
      </c>
    </row>
    <row r="711" spans="1:83" ht="180" x14ac:dyDescent="0.25">
      <c r="A711">
        <v>2022</v>
      </c>
      <c r="B711" t="s">
        <v>771</v>
      </c>
      <c r="C711" t="s">
        <v>4761</v>
      </c>
      <c r="D711" t="s">
        <v>4762</v>
      </c>
      <c r="E711" t="s">
        <v>3992</v>
      </c>
      <c r="F711" t="s">
        <v>747</v>
      </c>
      <c r="G711" t="s">
        <v>32</v>
      </c>
      <c r="H711" t="s">
        <v>59</v>
      </c>
      <c r="I711">
        <v>44732</v>
      </c>
      <c r="J711">
        <v>44824</v>
      </c>
      <c r="K711">
        <v>44804</v>
      </c>
      <c r="L711">
        <v>20</v>
      </c>
      <c r="N711" t="s">
        <v>120</v>
      </c>
      <c r="O711">
        <v>44805</v>
      </c>
      <c r="P711" t="s">
        <v>120</v>
      </c>
      <c r="Q711">
        <v>33308.592299999997</v>
      </c>
      <c r="R711">
        <v>0.09</v>
      </c>
      <c r="V711">
        <v>1260</v>
      </c>
      <c r="X711">
        <v>325273.08</v>
      </c>
      <c r="Z711">
        <v>44822.39</v>
      </c>
      <c r="AA711">
        <v>370095.47</v>
      </c>
      <c r="AB711">
        <v>44805</v>
      </c>
      <c r="AC711" t="s">
        <v>709</v>
      </c>
      <c r="AD711" t="s">
        <v>29</v>
      </c>
      <c r="AM711" t="s">
        <v>116</v>
      </c>
      <c r="AN711">
        <v>44949</v>
      </c>
      <c r="AO711">
        <v>11052445</v>
      </c>
      <c r="AP711">
        <v>332657.08</v>
      </c>
      <c r="AR711">
        <v>34770.83</v>
      </c>
      <c r="AS711">
        <v>367427.91</v>
      </c>
      <c r="AT711">
        <v>-2667.56</v>
      </c>
      <c r="AU711">
        <v>-240.0804</v>
      </c>
      <c r="AV711" t="s">
        <v>709</v>
      </c>
      <c r="AX711">
        <v>-240.0804</v>
      </c>
      <c r="AY711">
        <v>45200</v>
      </c>
      <c r="BA711" t="s">
        <v>4763</v>
      </c>
      <c r="BB711" t="s">
        <v>120</v>
      </c>
      <c r="BC711" s="4" t="s">
        <v>4764</v>
      </c>
      <c r="BD711" t="s">
        <v>3507</v>
      </c>
      <c r="BE711" t="s">
        <v>115</v>
      </c>
      <c r="BF711" t="s">
        <v>115</v>
      </c>
      <c r="BG711" t="s">
        <v>3995</v>
      </c>
      <c r="BH711" t="s">
        <v>4765</v>
      </c>
      <c r="BI711" t="s">
        <v>709</v>
      </c>
      <c r="BJ711" t="s">
        <v>709</v>
      </c>
      <c r="BK711" t="s">
        <v>709</v>
      </c>
      <c r="BL711" t="s">
        <v>116</v>
      </c>
      <c r="BM711">
        <v>0</v>
      </c>
      <c r="BN711">
        <v>0</v>
      </c>
      <c r="BO711">
        <v>0</v>
      </c>
      <c r="BP711">
        <v>25</v>
      </c>
      <c r="BQ711">
        <v>0</v>
      </c>
      <c r="BR711">
        <v>0</v>
      </c>
      <c r="BS711">
        <v>1235</v>
      </c>
      <c r="BT711">
        <v>0</v>
      </c>
      <c r="BU711">
        <v>0</v>
      </c>
      <c r="BV711">
        <v>0</v>
      </c>
      <c r="BW711">
        <v>0</v>
      </c>
      <c r="BX711">
        <v>0</v>
      </c>
      <c r="BY711">
        <v>0</v>
      </c>
      <c r="BZ711" t="s">
        <v>709</v>
      </c>
      <c r="CB711">
        <v>709</v>
      </c>
      <c r="CC711" t="b">
        <v>1</v>
      </c>
      <c r="CD711" t="s">
        <v>4766</v>
      </c>
      <c r="CE711" s="1482">
        <v>45880.736122685186</v>
      </c>
    </row>
    <row r="712" spans="1:83" x14ac:dyDescent="0.25">
      <c r="A712">
        <v>2022</v>
      </c>
      <c r="B712" t="s">
        <v>771</v>
      </c>
      <c r="C712" t="s">
        <v>231</v>
      </c>
      <c r="D712">
        <v>1410691</v>
      </c>
      <c r="E712" t="s">
        <v>232</v>
      </c>
      <c r="F712" t="s">
        <v>747</v>
      </c>
      <c r="G712" t="s">
        <v>22</v>
      </c>
      <c r="H712" t="s">
        <v>3178</v>
      </c>
      <c r="I712">
        <v>44802</v>
      </c>
      <c r="J712" t="s">
        <v>2052</v>
      </c>
      <c r="K712">
        <v>44806</v>
      </c>
      <c r="L712">
        <v>4</v>
      </c>
      <c r="M712" t="s">
        <v>4767</v>
      </c>
      <c r="N712" t="s">
        <v>120</v>
      </c>
      <c r="O712">
        <v>44835</v>
      </c>
      <c r="P712" t="s">
        <v>120</v>
      </c>
      <c r="Q712">
        <v>3855</v>
      </c>
      <c r="R712" t="s">
        <v>1922</v>
      </c>
      <c r="U712">
        <v>3855</v>
      </c>
      <c r="AB712" t="s">
        <v>29</v>
      </c>
      <c r="AC712" t="s">
        <v>709</v>
      </c>
      <c r="AD712" t="s">
        <v>709</v>
      </c>
      <c r="AM712" t="s">
        <v>709</v>
      </c>
      <c r="AY712" t="s">
        <v>29</v>
      </c>
      <c r="BA712">
        <v>7</v>
      </c>
      <c r="BI712" t="s">
        <v>709</v>
      </c>
      <c r="BJ712" t="s">
        <v>709</v>
      </c>
      <c r="BK712" t="s">
        <v>709</v>
      </c>
      <c r="BL712" t="s">
        <v>116</v>
      </c>
      <c r="BM712" t="s">
        <v>709</v>
      </c>
      <c r="BN712" t="s">
        <v>709</v>
      </c>
      <c r="BO712" t="s">
        <v>709</v>
      </c>
      <c r="BP712">
        <v>5289</v>
      </c>
      <c r="BQ712" t="s">
        <v>709</v>
      </c>
      <c r="BR712">
        <v>127</v>
      </c>
      <c r="BS712">
        <v>1375</v>
      </c>
      <c r="BT712" t="s">
        <v>745</v>
      </c>
      <c r="BU712" t="s">
        <v>709</v>
      </c>
      <c r="BV712" t="s">
        <v>745</v>
      </c>
      <c r="BW712" t="s">
        <v>709</v>
      </c>
      <c r="BX712" t="s">
        <v>745</v>
      </c>
      <c r="BY712" t="s">
        <v>745</v>
      </c>
      <c r="BZ712" t="s">
        <v>709</v>
      </c>
      <c r="CB712">
        <v>710</v>
      </c>
      <c r="CC712" t="b">
        <v>1</v>
      </c>
      <c r="CD712" t="s">
        <v>4768</v>
      </c>
      <c r="CE712" s="1482">
        <v>45880.736134259256</v>
      </c>
    </row>
    <row r="713" spans="1:83" x14ac:dyDescent="0.25">
      <c r="A713">
        <v>2022</v>
      </c>
      <c r="B713" t="s">
        <v>2994</v>
      </c>
      <c r="C713" t="s">
        <v>4218</v>
      </c>
      <c r="D713">
        <v>1210876</v>
      </c>
      <c r="E713" t="s">
        <v>155</v>
      </c>
      <c r="F713" t="s">
        <v>4769</v>
      </c>
      <c r="G713" t="s">
        <v>4770</v>
      </c>
      <c r="H713" t="s">
        <v>4189</v>
      </c>
      <c r="I713">
        <v>44782</v>
      </c>
      <c r="J713" t="s">
        <v>2052</v>
      </c>
      <c r="K713">
        <v>44806</v>
      </c>
      <c r="L713">
        <v>24</v>
      </c>
      <c r="M713" t="s">
        <v>4771</v>
      </c>
      <c r="N713" t="s">
        <v>120</v>
      </c>
      <c r="O713">
        <v>44835</v>
      </c>
      <c r="P713" t="s">
        <v>739</v>
      </c>
      <c r="Q713">
        <v>9452.5</v>
      </c>
      <c r="R713" t="s">
        <v>1922</v>
      </c>
      <c r="U713">
        <v>9452.5</v>
      </c>
      <c r="AB713" t="s">
        <v>29</v>
      </c>
      <c r="AC713" t="s">
        <v>709</v>
      </c>
      <c r="AD713" t="s">
        <v>116</v>
      </c>
      <c r="AM713" t="s">
        <v>709</v>
      </c>
      <c r="AY713" t="s">
        <v>29</v>
      </c>
      <c r="BA713">
        <v>3</v>
      </c>
      <c r="BI713" t="s">
        <v>709</v>
      </c>
      <c r="BJ713" t="s">
        <v>709</v>
      </c>
      <c r="BK713" t="s">
        <v>709</v>
      </c>
      <c r="BL713" t="s">
        <v>116</v>
      </c>
      <c r="BM713" t="s">
        <v>709</v>
      </c>
      <c r="BN713" t="s">
        <v>709</v>
      </c>
      <c r="BO713" t="s">
        <v>709</v>
      </c>
      <c r="BP713" t="s">
        <v>709</v>
      </c>
      <c r="BQ713" t="s">
        <v>709</v>
      </c>
      <c r="BR713">
        <v>23</v>
      </c>
      <c r="BS713">
        <v>32</v>
      </c>
      <c r="BT713" t="s">
        <v>745</v>
      </c>
      <c r="BU713" t="s">
        <v>709</v>
      </c>
      <c r="BV713">
        <v>2</v>
      </c>
      <c r="BW713" t="s">
        <v>709</v>
      </c>
      <c r="BX713" t="s">
        <v>745</v>
      </c>
      <c r="BY713" t="s">
        <v>745</v>
      </c>
      <c r="BZ713" t="s">
        <v>709</v>
      </c>
      <c r="CA713" t="s">
        <v>2</v>
      </c>
      <c r="CB713">
        <v>711</v>
      </c>
      <c r="CC713" t="b">
        <v>1</v>
      </c>
      <c r="CD713" t="s">
        <v>4772</v>
      </c>
      <c r="CE713" s="1482">
        <v>45880.736134259256</v>
      </c>
    </row>
    <row r="714" spans="1:83" ht="195" x14ac:dyDescent="0.25">
      <c r="A714">
        <v>2022</v>
      </c>
      <c r="B714" t="s">
        <v>4</v>
      </c>
      <c r="C714" t="s">
        <v>4773</v>
      </c>
      <c r="D714" t="s">
        <v>4774</v>
      </c>
      <c r="E714" t="s">
        <v>2032</v>
      </c>
      <c r="F714" t="s">
        <v>784</v>
      </c>
      <c r="G714" t="s">
        <v>27</v>
      </c>
      <c r="H714" t="s">
        <v>59</v>
      </c>
      <c r="I714">
        <v>44672</v>
      </c>
      <c r="J714">
        <v>44819</v>
      </c>
      <c r="K714">
        <v>44810</v>
      </c>
      <c r="L714">
        <v>9</v>
      </c>
      <c r="N714" t="s">
        <v>120</v>
      </c>
      <c r="O714">
        <v>44835</v>
      </c>
      <c r="P714" t="s">
        <v>739</v>
      </c>
      <c r="Q714">
        <v>19579.274000000001</v>
      </c>
      <c r="R714">
        <v>0.1</v>
      </c>
      <c r="V714">
        <v>177</v>
      </c>
      <c r="X714">
        <v>161957.38</v>
      </c>
      <c r="Z714">
        <v>33835.360000000001</v>
      </c>
      <c r="AA714">
        <v>195792.74</v>
      </c>
      <c r="AB714" t="s">
        <v>29</v>
      </c>
      <c r="AC714" t="s">
        <v>709</v>
      </c>
      <c r="AM714" t="s">
        <v>116</v>
      </c>
      <c r="AN714">
        <v>44915</v>
      </c>
      <c r="AO714">
        <v>11042444</v>
      </c>
      <c r="AP714">
        <v>161907.16</v>
      </c>
      <c r="AR714">
        <v>33835.360000000001</v>
      </c>
      <c r="AS714">
        <v>195742.52</v>
      </c>
      <c r="AT714">
        <v>-50.22</v>
      </c>
      <c r="AU714">
        <v>-5.0220000000000002</v>
      </c>
      <c r="AV714" t="s">
        <v>709</v>
      </c>
      <c r="AX714">
        <v>-5.0220000000000002</v>
      </c>
      <c r="AY714">
        <v>45008</v>
      </c>
      <c r="BA714" s="4" t="s">
        <v>4775</v>
      </c>
      <c r="BB714" t="s">
        <v>877</v>
      </c>
      <c r="BC714" t="s">
        <v>116</v>
      </c>
      <c r="BD714" t="s">
        <v>115</v>
      </c>
      <c r="BE714" t="s">
        <v>115</v>
      </c>
      <c r="BF714" t="s">
        <v>2892</v>
      </c>
      <c r="BG714" t="s">
        <v>115</v>
      </c>
      <c r="BI714" t="s">
        <v>709</v>
      </c>
      <c r="BJ714" t="s">
        <v>709</v>
      </c>
      <c r="BK714" t="s">
        <v>709</v>
      </c>
      <c r="BL714" t="s">
        <v>116</v>
      </c>
      <c r="BM714" t="s">
        <v>709</v>
      </c>
      <c r="BN714" t="s">
        <v>709</v>
      </c>
      <c r="BO714" t="s">
        <v>709</v>
      </c>
      <c r="BP714" t="s">
        <v>709</v>
      </c>
      <c r="BQ714" t="s">
        <v>709</v>
      </c>
      <c r="BR714" t="s">
        <v>709</v>
      </c>
      <c r="BS714">
        <v>177</v>
      </c>
      <c r="BT714" t="s">
        <v>745</v>
      </c>
      <c r="BU714" t="s">
        <v>709</v>
      </c>
      <c r="BV714" t="s">
        <v>745</v>
      </c>
      <c r="BW714" t="s">
        <v>709</v>
      </c>
      <c r="BX714" t="s">
        <v>745</v>
      </c>
      <c r="BY714" t="s">
        <v>745</v>
      </c>
      <c r="BZ714" t="s">
        <v>709</v>
      </c>
      <c r="CB714">
        <v>712</v>
      </c>
      <c r="CC714" t="b">
        <v>1</v>
      </c>
      <c r="CD714" t="s">
        <v>4776</v>
      </c>
      <c r="CE714" s="1482">
        <v>45880.736145833333</v>
      </c>
    </row>
    <row r="715" spans="1:83" ht="300" x14ac:dyDescent="0.25">
      <c r="A715">
        <v>2023</v>
      </c>
      <c r="B715" t="s">
        <v>771</v>
      </c>
      <c r="C715" t="s">
        <v>258</v>
      </c>
      <c r="D715" t="s">
        <v>4777</v>
      </c>
      <c r="E715" t="s">
        <v>259</v>
      </c>
      <c r="F715" t="s">
        <v>784</v>
      </c>
      <c r="G715" t="s">
        <v>36</v>
      </c>
      <c r="H715" t="s">
        <v>59</v>
      </c>
      <c r="I715">
        <v>44666</v>
      </c>
      <c r="J715">
        <v>44816</v>
      </c>
      <c r="K715">
        <v>44811</v>
      </c>
      <c r="L715">
        <v>5</v>
      </c>
      <c r="N715" t="s">
        <v>120</v>
      </c>
      <c r="O715">
        <v>44811</v>
      </c>
      <c r="P715" t="s">
        <v>120</v>
      </c>
      <c r="Q715">
        <v>11846.65</v>
      </c>
      <c r="R715" t="s">
        <v>2087</v>
      </c>
      <c r="V715">
        <v>7643</v>
      </c>
      <c r="X715">
        <v>1936900.78</v>
      </c>
      <c r="Z715">
        <v>75192.960000000006</v>
      </c>
      <c r="AA715">
        <v>2012093.74</v>
      </c>
      <c r="AB715">
        <v>44818</v>
      </c>
      <c r="AC715" t="s">
        <v>116</v>
      </c>
      <c r="AD715" t="s">
        <v>116</v>
      </c>
      <c r="AM715" t="s">
        <v>709</v>
      </c>
      <c r="AY715" t="s">
        <v>29</v>
      </c>
      <c r="BA715" s="4" t="s">
        <v>4778</v>
      </c>
      <c r="BB715" t="s">
        <v>1436</v>
      </c>
      <c r="BC715" t="s">
        <v>116</v>
      </c>
      <c r="BD715" t="s">
        <v>115</v>
      </c>
      <c r="BE715" t="s">
        <v>744</v>
      </c>
      <c r="BF715" t="s">
        <v>115</v>
      </c>
      <c r="BG715" t="s">
        <v>115</v>
      </c>
      <c r="BI715" t="s">
        <v>709</v>
      </c>
      <c r="BJ715" t="s">
        <v>709</v>
      </c>
      <c r="BK715" t="s">
        <v>709</v>
      </c>
      <c r="BL715" t="s">
        <v>116</v>
      </c>
      <c r="BM715" t="s">
        <v>709</v>
      </c>
      <c r="BN715" t="s">
        <v>709</v>
      </c>
      <c r="BO715" t="s">
        <v>709</v>
      </c>
      <c r="BP715">
        <v>2794</v>
      </c>
      <c r="BQ715" t="s">
        <v>709</v>
      </c>
      <c r="BR715">
        <v>688</v>
      </c>
      <c r="BS715">
        <v>4161</v>
      </c>
      <c r="BT715" t="s">
        <v>745</v>
      </c>
      <c r="BU715" t="s">
        <v>709</v>
      </c>
      <c r="BV715" t="s">
        <v>745</v>
      </c>
      <c r="BW715" t="s">
        <v>709</v>
      </c>
      <c r="BX715" t="s">
        <v>745</v>
      </c>
      <c r="BY715" t="s">
        <v>745</v>
      </c>
      <c r="BZ715" t="s">
        <v>709</v>
      </c>
      <c r="CB715">
        <v>713</v>
      </c>
      <c r="CC715" t="b">
        <v>1</v>
      </c>
      <c r="CD715" t="s">
        <v>4779</v>
      </c>
      <c r="CE715" s="1482">
        <v>45880.736145833333</v>
      </c>
    </row>
    <row r="716" spans="1:83" ht="195" x14ac:dyDescent="0.25">
      <c r="A716">
        <v>2022</v>
      </c>
      <c r="B716" t="s">
        <v>1073</v>
      </c>
      <c r="C716" t="s">
        <v>4780</v>
      </c>
      <c r="D716" t="s">
        <v>4781</v>
      </c>
      <c r="E716" t="s">
        <v>4246</v>
      </c>
      <c r="F716" t="s">
        <v>784</v>
      </c>
      <c r="G716" t="s">
        <v>23</v>
      </c>
      <c r="H716" t="s">
        <v>59</v>
      </c>
      <c r="I716">
        <v>44732</v>
      </c>
      <c r="J716">
        <v>44816</v>
      </c>
      <c r="K716">
        <v>44812</v>
      </c>
      <c r="L716">
        <v>4</v>
      </c>
      <c r="N716" t="s">
        <v>120</v>
      </c>
      <c r="O716">
        <v>44835</v>
      </c>
      <c r="P716" t="s">
        <v>739</v>
      </c>
      <c r="Q716">
        <v>66068.0965</v>
      </c>
      <c r="R716">
        <v>7.0000000000000007E-2</v>
      </c>
      <c r="V716">
        <v>8250</v>
      </c>
      <c r="X716">
        <v>943829.95</v>
      </c>
      <c r="Z716">
        <v>0</v>
      </c>
      <c r="AA716">
        <v>943829.95</v>
      </c>
      <c r="AB716">
        <v>44824</v>
      </c>
      <c r="AC716" t="s">
        <v>116</v>
      </c>
      <c r="AD716" t="s">
        <v>116</v>
      </c>
      <c r="AM716" t="s">
        <v>116</v>
      </c>
      <c r="AN716">
        <v>44886</v>
      </c>
      <c r="AO716">
        <v>11049516</v>
      </c>
      <c r="AP716">
        <v>947460.45</v>
      </c>
      <c r="AR716">
        <v>0</v>
      </c>
      <c r="AS716">
        <v>947460.45</v>
      </c>
      <c r="AT716">
        <v>3630.5</v>
      </c>
      <c r="AU716">
        <v>254.13499999999999</v>
      </c>
      <c r="AV716">
        <v>10445</v>
      </c>
      <c r="AW716" t="s">
        <v>4782</v>
      </c>
      <c r="AX716">
        <v>0</v>
      </c>
      <c r="AY716">
        <v>45008</v>
      </c>
      <c r="BA716" s="4" t="s">
        <v>4783</v>
      </c>
      <c r="BB716" t="s">
        <v>969</v>
      </c>
      <c r="BC716" t="s">
        <v>115</v>
      </c>
      <c r="BD716" t="s">
        <v>1167</v>
      </c>
      <c r="BE716" t="s">
        <v>115</v>
      </c>
      <c r="BF716" t="s">
        <v>115</v>
      </c>
      <c r="BG716" t="s">
        <v>1078</v>
      </c>
      <c r="BI716" t="s">
        <v>709</v>
      </c>
      <c r="BJ716" t="s">
        <v>709</v>
      </c>
      <c r="BK716" t="s">
        <v>709</v>
      </c>
      <c r="BL716" t="s">
        <v>116</v>
      </c>
      <c r="BM716" t="s">
        <v>709</v>
      </c>
      <c r="BN716" t="s">
        <v>709</v>
      </c>
      <c r="BO716" t="s">
        <v>709</v>
      </c>
      <c r="BP716">
        <v>180</v>
      </c>
      <c r="BQ716">
        <v>5504</v>
      </c>
      <c r="BR716">
        <v>3116</v>
      </c>
      <c r="BS716" t="s">
        <v>709</v>
      </c>
      <c r="BT716" t="s">
        <v>745</v>
      </c>
      <c r="BU716" t="s">
        <v>709</v>
      </c>
      <c r="BV716" t="s">
        <v>745</v>
      </c>
      <c r="BW716" t="s">
        <v>709</v>
      </c>
      <c r="BX716" t="s">
        <v>745</v>
      </c>
      <c r="BY716" t="s">
        <v>745</v>
      </c>
      <c r="BZ716" t="s">
        <v>709</v>
      </c>
      <c r="CB716">
        <v>714</v>
      </c>
      <c r="CC716" t="b">
        <v>1</v>
      </c>
      <c r="CD716" t="s">
        <v>4784</v>
      </c>
      <c r="CE716" s="1482">
        <v>45880.736157407409</v>
      </c>
    </row>
    <row r="717" spans="1:83" x14ac:dyDescent="0.25">
      <c r="A717">
        <v>2022</v>
      </c>
      <c r="B717" t="s">
        <v>759</v>
      </c>
      <c r="C717" t="s">
        <v>224</v>
      </c>
      <c r="D717" t="s">
        <v>1270</v>
      </c>
      <c r="E717" t="s">
        <v>225</v>
      </c>
      <c r="F717" t="s">
        <v>784</v>
      </c>
      <c r="G717" t="s">
        <v>4785</v>
      </c>
      <c r="H717" t="s">
        <v>2611</v>
      </c>
      <c r="I717">
        <v>44813</v>
      </c>
      <c r="J717" t="s">
        <v>2612</v>
      </c>
      <c r="K717">
        <v>44816</v>
      </c>
      <c r="L717">
        <v>3</v>
      </c>
      <c r="M717" t="s">
        <v>4786</v>
      </c>
      <c r="N717" t="s">
        <v>120</v>
      </c>
      <c r="O717">
        <v>44816</v>
      </c>
      <c r="P717" t="s">
        <v>120</v>
      </c>
      <c r="Q717">
        <v>2620</v>
      </c>
      <c r="R717" t="s">
        <v>1922</v>
      </c>
      <c r="U717">
        <v>2620</v>
      </c>
      <c r="AC717" t="s">
        <v>709</v>
      </c>
      <c r="AM717" t="s">
        <v>709</v>
      </c>
      <c r="AY717" t="s">
        <v>29</v>
      </c>
      <c r="BI717" t="s">
        <v>709</v>
      </c>
      <c r="BJ717" t="s">
        <v>709</v>
      </c>
      <c r="BK717" t="s">
        <v>709</v>
      </c>
      <c r="BL717" t="s">
        <v>116</v>
      </c>
      <c r="BM717" t="s">
        <v>709</v>
      </c>
      <c r="BN717" t="s">
        <v>709</v>
      </c>
      <c r="BO717">
        <v>73</v>
      </c>
      <c r="BP717">
        <v>557</v>
      </c>
      <c r="BQ717">
        <v>75</v>
      </c>
      <c r="BR717">
        <v>159</v>
      </c>
      <c r="BS717">
        <v>5</v>
      </c>
      <c r="BT717">
        <v>1</v>
      </c>
      <c r="BU717" t="s">
        <v>709</v>
      </c>
      <c r="BV717" t="s">
        <v>745</v>
      </c>
      <c r="BW717" t="s">
        <v>709</v>
      </c>
      <c r="BX717">
        <v>1</v>
      </c>
      <c r="BY717" t="s">
        <v>745</v>
      </c>
      <c r="BZ717" t="s">
        <v>709</v>
      </c>
      <c r="CA717" t="s">
        <v>769</v>
      </c>
      <c r="CB717">
        <v>715</v>
      </c>
      <c r="CC717" t="b">
        <v>1</v>
      </c>
      <c r="CD717" t="s">
        <v>4787</v>
      </c>
      <c r="CE717" s="1482">
        <v>45880.736168981479</v>
      </c>
    </row>
    <row r="718" spans="1:83" ht="375" x14ac:dyDescent="0.25">
      <c r="A718">
        <v>2022</v>
      </c>
      <c r="B718" t="s">
        <v>4</v>
      </c>
      <c r="C718" t="s">
        <v>4788</v>
      </c>
      <c r="D718" t="s">
        <v>4789</v>
      </c>
      <c r="E718" t="s">
        <v>354</v>
      </c>
      <c r="F718" t="s">
        <v>784</v>
      </c>
      <c r="G718" t="s">
        <v>25</v>
      </c>
      <c r="H718" t="s">
        <v>59</v>
      </c>
      <c r="I718">
        <v>44718</v>
      </c>
      <c r="J718">
        <v>44820</v>
      </c>
      <c r="K718">
        <v>44816</v>
      </c>
      <c r="L718">
        <v>4</v>
      </c>
      <c r="N718" t="s">
        <v>120</v>
      </c>
      <c r="O718">
        <v>44835</v>
      </c>
      <c r="P718" t="s">
        <v>739</v>
      </c>
      <c r="Q718">
        <v>70192.245999999999</v>
      </c>
      <c r="R718">
        <v>0.1</v>
      </c>
      <c r="V718">
        <v>1736</v>
      </c>
      <c r="X718">
        <v>658135.18999999994</v>
      </c>
      <c r="Z718">
        <v>43787.27</v>
      </c>
      <c r="AA718">
        <v>701922.46</v>
      </c>
      <c r="AB718">
        <v>44831</v>
      </c>
      <c r="AC718" t="s">
        <v>116</v>
      </c>
      <c r="AD718" t="s">
        <v>29</v>
      </c>
      <c r="AM718" t="s">
        <v>116</v>
      </c>
      <c r="AN718">
        <v>44952</v>
      </c>
      <c r="AO718">
        <v>11052744</v>
      </c>
      <c r="AP718">
        <v>672102.06</v>
      </c>
      <c r="AR718">
        <v>45926.47</v>
      </c>
      <c r="AS718">
        <v>718028.53</v>
      </c>
      <c r="AT718">
        <v>16106.07</v>
      </c>
      <c r="AU718">
        <v>1610.607</v>
      </c>
      <c r="AV718" t="s">
        <v>709</v>
      </c>
      <c r="AX718">
        <v>1610.607</v>
      </c>
      <c r="AY718">
        <v>45200</v>
      </c>
      <c r="BA718" s="4" t="s">
        <v>4790</v>
      </c>
      <c r="BB718" t="s">
        <v>986</v>
      </c>
      <c r="BC718" t="s">
        <v>115</v>
      </c>
      <c r="BD718" t="s">
        <v>115</v>
      </c>
      <c r="BE718" t="s">
        <v>588</v>
      </c>
      <c r="BF718" t="s">
        <v>115</v>
      </c>
      <c r="BG718" t="s">
        <v>115</v>
      </c>
      <c r="BI718" t="s">
        <v>709</v>
      </c>
      <c r="BJ718" t="s">
        <v>709</v>
      </c>
      <c r="BK718" t="s">
        <v>709</v>
      </c>
      <c r="BL718" t="s">
        <v>116</v>
      </c>
      <c r="BM718" t="s">
        <v>709</v>
      </c>
      <c r="BN718" t="s">
        <v>709</v>
      </c>
      <c r="BO718" t="s">
        <v>709</v>
      </c>
      <c r="BP718">
        <v>296</v>
      </c>
      <c r="BQ718" t="s">
        <v>709</v>
      </c>
      <c r="BR718">
        <v>672</v>
      </c>
      <c r="BS718">
        <v>768</v>
      </c>
      <c r="BT718" t="s">
        <v>745</v>
      </c>
      <c r="BU718" t="s">
        <v>709</v>
      </c>
      <c r="BV718" t="s">
        <v>745</v>
      </c>
      <c r="BW718" t="s">
        <v>709</v>
      </c>
      <c r="BX718" t="s">
        <v>745</v>
      </c>
      <c r="BY718" t="s">
        <v>745</v>
      </c>
      <c r="BZ718" t="s">
        <v>709</v>
      </c>
      <c r="CB718">
        <v>716</v>
      </c>
      <c r="CC718" t="b">
        <v>1</v>
      </c>
      <c r="CD718" t="s">
        <v>4791</v>
      </c>
      <c r="CE718" s="1482">
        <v>45880.736168981479</v>
      </c>
    </row>
    <row r="719" spans="1:83" ht="255" x14ac:dyDescent="0.25">
      <c r="A719">
        <v>2022</v>
      </c>
      <c r="B719" t="s">
        <v>4</v>
      </c>
      <c r="C719" t="s">
        <v>1341</v>
      </c>
      <c r="D719" t="s">
        <v>1342</v>
      </c>
      <c r="E719" t="s">
        <v>1136</v>
      </c>
      <c r="F719" t="s">
        <v>784</v>
      </c>
      <c r="G719" t="s">
        <v>35</v>
      </c>
      <c r="H719" t="s">
        <v>59</v>
      </c>
      <c r="I719">
        <v>44718</v>
      </c>
      <c r="J719">
        <v>44819</v>
      </c>
      <c r="K719">
        <v>44817</v>
      </c>
      <c r="L719">
        <v>2</v>
      </c>
      <c r="N719" t="s">
        <v>120</v>
      </c>
      <c r="O719">
        <v>44835</v>
      </c>
      <c r="P719" t="s">
        <v>739</v>
      </c>
      <c r="Q719">
        <v>83840.455000000002</v>
      </c>
      <c r="R719">
        <v>0.1</v>
      </c>
      <c r="V719">
        <v>2909</v>
      </c>
      <c r="X719">
        <v>798419.77</v>
      </c>
      <c r="Z719">
        <v>39984.78</v>
      </c>
      <c r="AA719">
        <v>838404.55</v>
      </c>
      <c r="AB719">
        <v>44853</v>
      </c>
      <c r="AC719" t="s">
        <v>709</v>
      </c>
      <c r="AD719" t="s">
        <v>29</v>
      </c>
      <c r="AM719" t="s">
        <v>116</v>
      </c>
      <c r="AN719" t="s">
        <v>709</v>
      </c>
      <c r="AO719" t="s">
        <v>115</v>
      </c>
      <c r="AS719">
        <v>0</v>
      </c>
      <c r="AT719">
        <v>0</v>
      </c>
      <c r="AU719">
        <v>0</v>
      </c>
      <c r="AY719" t="s">
        <v>709</v>
      </c>
      <c r="AZ719">
        <v>71</v>
      </c>
      <c r="BA719" s="4" t="s">
        <v>1343</v>
      </c>
      <c r="BB719" t="s">
        <v>1344</v>
      </c>
      <c r="BC719" t="s">
        <v>115</v>
      </c>
      <c r="BD719" t="s">
        <v>115</v>
      </c>
      <c r="BE719" t="s">
        <v>115</v>
      </c>
      <c r="BF719" t="s">
        <v>1028</v>
      </c>
      <c r="BG719" t="s">
        <v>115</v>
      </c>
      <c r="BI719" t="s">
        <v>709</v>
      </c>
      <c r="BJ719" t="s">
        <v>709</v>
      </c>
      <c r="BK719" t="s">
        <v>709</v>
      </c>
      <c r="BL719" t="s">
        <v>116</v>
      </c>
      <c r="BM719" t="s">
        <v>709</v>
      </c>
      <c r="BN719" t="s">
        <v>709</v>
      </c>
      <c r="BO719" t="s">
        <v>709</v>
      </c>
      <c r="BP719" t="s">
        <v>709</v>
      </c>
      <c r="BQ719">
        <v>133</v>
      </c>
      <c r="BR719" t="s">
        <v>709</v>
      </c>
      <c r="BS719">
        <v>2027</v>
      </c>
      <c r="BT719" t="s">
        <v>745</v>
      </c>
      <c r="BU719" t="s">
        <v>709</v>
      </c>
      <c r="BV719" t="s">
        <v>745</v>
      </c>
      <c r="BW719" t="s">
        <v>709</v>
      </c>
      <c r="BX719" t="s">
        <v>745</v>
      </c>
      <c r="BY719" t="s">
        <v>745</v>
      </c>
      <c r="BZ719" t="s">
        <v>709</v>
      </c>
      <c r="CB719">
        <v>717</v>
      </c>
      <c r="CC719" t="b">
        <v>1</v>
      </c>
      <c r="CD719" t="s">
        <v>4792</v>
      </c>
      <c r="CE719" s="1482">
        <v>45880.736180555556</v>
      </c>
    </row>
    <row r="720" spans="1:83" ht="180" x14ac:dyDescent="0.25">
      <c r="A720">
        <v>2022</v>
      </c>
      <c r="B720" t="s">
        <v>4</v>
      </c>
      <c r="C720" t="s">
        <v>4793</v>
      </c>
      <c r="D720" t="s">
        <v>4794</v>
      </c>
      <c r="E720" t="s">
        <v>426</v>
      </c>
      <c r="F720" t="s">
        <v>747</v>
      </c>
      <c r="G720" t="s">
        <v>35</v>
      </c>
      <c r="H720" t="s">
        <v>59</v>
      </c>
      <c r="I720">
        <v>44631</v>
      </c>
      <c r="J720">
        <v>44834</v>
      </c>
      <c r="K720">
        <v>44817</v>
      </c>
      <c r="L720">
        <v>17</v>
      </c>
      <c r="N720" t="s">
        <v>120</v>
      </c>
      <c r="O720">
        <v>44835</v>
      </c>
      <c r="P720" t="s">
        <v>739</v>
      </c>
      <c r="Q720">
        <v>5000.1959999999999</v>
      </c>
      <c r="R720">
        <v>0.1</v>
      </c>
      <c r="V720">
        <v>0</v>
      </c>
      <c r="X720">
        <v>0</v>
      </c>
      <c r="Z720">
        <v>50001.96</v>
      </c>
      <c r="AA720">
        <v>50001.96</v>
      </c>
      <c r="AB720">
        <v>44854</v>
      </c>
      <c r="AC720" t="s">
        <v>709</v>
      </c>
      <c r="AD720" t="s">
        <v>29</v>
      </c>
      <c r="AM720" t="s">
        <v>116</v>
      </c>
      <c r="AN720">
        <v>44833</v>
      </c>
      <c r="AO720">
        <v>11046600</v>
      </c>
      <c r="AP720">
        <v>0</v>
      </c>
      <c r="AR720">
        <v>11614.09</v>
      </c>
      <c r="AS720">
        <v>11614.09</v>
      </c>
      <c r="AT720">
        <v>-38387.870000000003</v>
      </c>
      <c r="AU720">
        <v>-3838.7869999999998</v>
      </c>
      <c r="AV720" t="s">
        <v>709</v>
      </c>
      <c r="AW720" t="s">
        <v>4795</v>
      </c>
      <c r="AX720">
        <v>0</v>
      </c>
      <c r="AY720">
        <v>45008</v>
      </c>
      <c r="BA720" s="4" t="s">
        <v>4796</v>
      </c>
      <c r="BB720" t="s">
        <v>1071</v>
      </c>
      <c r="BC720" t="s">
        <v>115</v>
      </c>
      <c r="BD720" t="s">
        <v>115</v>
      </c>
      <c r="BE720" t="s">
        <v>1396</v>
      </c>
      <c r="BF720" t="s">
        <v>115</v>
      </c>
      <c r="BG720" t="s">
        <v>115</v>
      </c>
      <c r="BI720" t="s">
        <v>709</v>
      </c>
      <c r="BJ720" t="s">
        <v>709</v>
      </c>
      <c r="BK720" t="s">
        <v>709</v>
      </c>
      <c r="BL720" t="s">
        <v>116</v>
      </c>
      <c r="BM720" t="s">
        <v>709</v>
      </c>
      <c r="BN720" t="s">
        <v>709</v>
      </c>
      <c r="BO720" t="s">
        <v>709</v>
      </c>
      <c r="BP720" t="s">
        <v>709</v>
      </c>
      <c r="BQ720" t="s">
        <v>709</v>
      </c>
      <c r="BR720">
        <v>769</v>
      </c>
      <c r="BS720" t="s">
        <v>709</v>
      </c>
      <c r="BT720" t="s">
        <v>745</v>
      </c>
      <c r="BU720" t="s">
        <v>709</v>
      </c>
      <c r="BV720" t="s">
        <v>745</v>
      </c>
      <c r="BW720" t="s">
        <v>709</v>
      </c>
      <c r="BX720" t="s">
        <v>745</v>
      </c>
      <c r="BY720" t="s">
        <v>745</v>
      </c>
      <c r="BZ720" t="s">
        <v>709</v>
      </c>
      <c r="CA720" t="s">
        <v>1146</v>
      </c>
      <c r="CB720">
        <v>719</v>
      </c>
      <c r="CC720" t="b">
        <v>1</v>
      </c>
      <c r="CD720" t="s">
        <v>4797</v>
      </c>
      <c r="CE720" s="1482">
        <v>45880.736180555556</v>
      </c>
    </row>
    <row r="721" spans="1:83" ht="255" x14ac:dyDescent="0.25">
      <c r="A721">
        <v>2022</v>
      </c>
      <c r="B721" t="s">
        <v>4</v>
      </c>
      <c r="C721" t="s">
        <v>4798</v>
      </c>
      <c r="D721" t="s">
        <v>4799</v>
      </c>
      <c r="E721" t="s">
        <v>426</v>
      </c>
      <c r="F721" t="s">
        <v>747</v>
      </c>
      <c r="G721" t="s">
        <v>35</v>
      </c>
      <c r="H721" t="s">
        <v>59</v>
      </c>
      <c r="I721">
        <v>44631</v>
      </c>
      <c r="J721">
        <v>44834</v>
      </c>
      <c r="K721">
        <v>44817</v>
      </c>
      <c r="L721">
        <v>17</v>
      </c>
      <c r="N721" t="s">
        <v>120</v>
      </c>
      <c r="O721">
        <v>44835</v>
      </c>
      <c r="P721" t="s">
        <v>739</v>
      </c>
      <c r="Q721">
        <v>20034.053</v>
      </c>
      <c r="R721">
        <v>0.1</v>
      </c>
      <c r="V721">
        <v>769</v>
      </c>
      <c r="X721">
        <v>200340.53</v>
      </c>
      <c r="Z721">
        <v>0</v>
      </c>
      <c r="AA721">
        <v>200340.53</v>
      </c>
      <c r="AB721">
        <v>44854</v>
      </c>
      <c r="AC721" t="s">
        <v>709</v>
      </c>
      <c r="AD721" t="s">
        <v>29</v>
      </c>
      <c r="AM721" t="s">
        <v>116</v>
      </c>
      <c r="AN721">
        <v>44833</v>
      </c>
      <c r="AO721">
        <v>11046599</v>
      </c>
      <c r="AP721">
        <v>200372.07</v>
      </c>
      <c r="AR721">
        <v>0</v>
      </c>
      <c r="AS721">
        <v>200372.07</v>
      </c>
      <c r="AT721">
        <v>31.54</v>
      </c>
      <c r="AU721">
        <v>3.1539999999999999</v>
      </c>
      <c r="AV721" t="s">
        <v>709</v>
      </c>
      <c r="AX721">
        <v>3.1539999999999999</v>
      </c>
      <c r="AY721">
        <v>45008</v>
      </c>
      <c r="BA721" s="4" t="s">
        <v>4800</v>
      </c>
      <c r="BB721" t="s">
        <v>4801</v>
      </c>
      <c r="BC721" t="s">
        <v>115</v>
      </c>
      <c r="BD721" t="s">
        <v>115</v>
      </c>
      <c r="BE721" t="s">
        <v>1396</v>
      </c>
      <c r="BF721" t="s">
        <v>115</v>
      </c>
      <c r="BG721" t="s">
        <v>115</v>
      </c>
      <c r="BZ721" t="s">
        <v>709</v>
      </c>
      <c r="CA721" t="s">
        <v>1053</v>
      </c>
      <c r="CB721">
        <v>718</v>
      </c>
      <c r="CC721" t="b">
        <v>1</v>
      </c>
      <c r="CD721" t="s">
        <v>4802</v>
      </c>
      <c r="CE721" s="1482">
        <v>45880.736192129632</v>
      </c>
    </row>
    <row r="722" spans="1:83" x14ac:dyDescent="0.25">
      <c r="A722">
        <v>2022</v>
      </c>
      <c r="B722" t="s">
        <v>4</v>
      </c>
      <c r="C722" t="s">
        <v>4146</v>
      </c>
      <c r="D722">
        <v>129277</v>
      </c>
      <c r="E722" t="s">
        <v>4148</v>
      </c>
      <c r="F722" t="s">
        <v>784</v>
      </c>
      <c r="G722" t="s">
        <v>36</v>
      </c>
      <c r="H722" t="s">
        <v>4001</v>
      </c>
      <c r="I722">
        <v>44781</v>
      </c>
      <c r="J722" t="s">
        <v>2052</v>
      </c>
      <c r="K722">
        <v>44818</v>
      </c>
      <c r="L722">
        <v>37</v>
      </c>
      <c r="M722" t="s">
        <v>4803</v>
      </c>
      <c r="N722" t="s">
        <v>120</v>
      </c>
      <c r="O722">
        <v>44818</v>
      </c>
      <c r="P722" t="s">
        <v>739</v>
      </c>
      <c r="Q722">
        <v>9470</v>
      </c>
      <c r="R722" t="s">
        <v>1922</v>
      </c>
      <c r="U722">
        <v>9470</v>
      </c>
      <c r="AD722" t="s">
        <v>709</v>
      </c>
      <c r="AM722" t="s">
        <v>709</v>
      </c>
      <c r="AY722" t="s">
        <v>29</v>
      </c>
      <c r="BA722">
        <v>4</v>
      </c>
      <c r="BI722" t="s">
        <v>709</v>
      </c>
      <c r="BJ722" t="s">
        <v>709</v>
      </c>
      <c r="BK722" t="s">
        <v>709</v>
      </c>
      <c r="BL722" t="s">
        <v>116</v>
      </c>
      <c r="BM722" t="s">
        <v>709</v>
      </c>
      <c r="BN722" t="s">
        <v>709</v>
      </c>
      <c r="BO722" t="s">
        <v>709</v>
      </c>
      <c r="BP722">
        <v>2296</v>
      </c>
      <c r="BQ722">
        <v>32</v>
      </c>
      <c r="BR722">
        <v>3</v>
      </c>
      <c r="BS722">
        <v>846</v>
      </c>
      <c r="BT722" t="s">
        <v>745</v>
      </c>
      <c r="BU722" t="s">
        <v>709</v>
      </c>
      <c r="BV722" t="s">
        <v>745</v>
      </c>
      <c r="BW722" t="s">
        <v>709</v>
      </c>
      <c r="BX722" t="s">
        <v>745</v>
      </c>
      <c r="BY722" t="s">
        <v>745</v>
      </c>
      <c r="BZ722" t="s">
        <v>709</v>
      </c>
      <c r="CB722">
        <v>720</v>
      </c>
      <c r="CC722" t="b">
        <v>1</v>
      </c>
      <c r="CD722" t="s">
        <v>4804</v>
      </c>
      <c r="CE722" s="1482">
        <v>45880.736192129632</v>
      </c>
    </row>
    <row r="723" spans="1:83" ht="210" x14ac:dyDescent="0.25">
      <c r="A723">
        <v>2022</v>
      </c>
      <c r="B723" t="s">
        <v>4</v>
      </c>
      <c r="C723" t="s">
        <v>4805</v>
      </c>
      <c r="D723" t="s">
        <v>4806</v>
      </c>
      <c r="E723" t="s">
        <v>2311</v>
      </c>
      <c r="F723" t="s">
        <v>747</v>
      </c>
      <c r="G723" t="s">
        <v>39</v>
      </c>
      <c r="H723" t="s">
        <v>1681</v>
      </c>
      <c r="I723">
        <v>44544</v>
      </c>
      <c r="J723">
        <v>44866</v>
      </c>
      <c r="K723">
        <v>44818</v>
      </c>
      <c r="L723">
        <v>48</v>
      </c>
      <c r="N723" t="s">
        <v>120</v>
      </c>
      <c r="O723">
        <v>44835</v>
      </c>
      <c r="P723" t="s">
        <v>739</v>
      </c>
      <c r="Q723" t="s">
        <v>115</v>
      </c>
      <c r="R723" t="s">
        <v>115</v>
      </c>
      <c r="AB723" t="s">
        <v>29</v>
      </c>
      <c r="AC723" t="s">
        <v>709</v>
      </c>
      <c r="AD723" t="s">
        <v>29</v>
      </c>
      <c r="AM723" t="s">
        <v>709</v>
      </c>
      <c r="AY723" t="s">
        <v>29</v>
      </c>
      <c r="BA723" s="4" t="s">
        <v>4807</v>
      </c>
      <c r="BB723" t="s">
        <v>4808</v>
      </c>
      <c r="BC723" t="s">
        <v>115</v>
      </c>
      <c r="BD723" t="s">
        <v>1036</v>
      </c>
      <c r="BE723" t="s">
        <v>115</v>
      </c>
      <c r="BF723" t="s">
        <v>115</v>
      </c>
      <c r="BG723" t="s">
        <v>115</v>
      </c>
      <c r="CB723">
        <v>722</v>
      </c>
      <c r="CC723" t="b">
        <v>1</v>
      </c>
      <c r="CD723" t="s">
        <v>4809</v>
      </c>
      <c r="CE723" s="1482">
        <v>45880.736203703702</v>
      </c>
    </row>
    <row r="724" spans="1:83" ht="409.5" x14ac:dyDescent="0.25">
      <c r="A724">
        <v>2023</v>
      </c>
      <c r="B724" t="s">
        <v>771</v>
      </c>
      <c r="C724" t="s">
        <v>248</v>
      </c>
      <c r="D724" t="s">
        <v>4810</v>
      </c>
      <c r="E724" t="s">
        <v>249</v>
      </c>
      <c r="F724" t="s">
        <v>784</v>
      </c>
      <c r="G724" t="s">
        <v>36</v>
      </c>
      <c r="H724" t="s">
        <v>59</v>
      </c>
      <c r="I724">
        <v>44666</v>
      </c>
      <c r="J724">
        <v>44819</v>
      </c>
      <c r="K724">
        <v>44818</v>
      </c>
      <c r="L724">
        <v>1</v>
      </c>
      <c r="N724" t="s">
        <v>120</v>
      </c>
      <c r="O724">
        <v>44835</v>
      </c>
      <c r="P724" t="s">
        <v>120</v>
      </c>
      <c r="Q724">
        <v>181996.1955</v>
      </c>
      <c r="R724">
        <v>0.09</v>
      </c>
      <c r="V724">
        <v>3040</v>
      </c>
      <c r="X724">
        <v>1946891.67</v>
      </c>
      <c r="Z724">
        <v>75288.28</v>
      </c>
      <c r="AA724">
        <v>2022179.95</v>
      </c>
      <c r="AB724">
        <v>44823</v>
      </c>
      <c r="AC724" t="s">
        <v>116</v>
      </c>
      <c r="AM724" t="s">
        <v>116</v>
      </c>
      <c r="AN724">
        <v>44998</v>
      </c>
      <c r="AO724">
        <v>11042172</v>
      </c>
      <c r="AP724">
        <v>1960808.67</v>
      </c>
      <c r="AR724">
        <v>54804.23</v>
      </c>
      <c r="AS724">
        <v>2015612.9</v>
      </c>
      <c r="AT724">
        <v>-6567.05</v>
      </c>
      <c r="AU724">
        <v>-591.03449999999998</v>
      </c>
      <c r="AV724">
        <v>4350</v>
      </c>
      <c r="AW724" t="s">
        <v>4811</v>
      </c>
      <c r="AX724">
        <v>0</v>
      </c>
      <c r="AY724">
        <v>45200</v>
      </c>
      <c r="BA724" s="4" t="s">
        <v>4812</v>
      </c>
      <c r="BB724" t="s">
        <v>4813</v>
      </c>
      <c r="BC724" t="s">
        <v>115</v>
      </c>
      <c r="BD724" t="s">
        <v>115</v>
      </c>
      <c r="BE724" t="s">
        <v>4814</v>
      </c>
      <c r="BF724" t="s">
        <v>115</v>
      </c>
      <c r="BG724" t="s">
        <v>1335</v>
      </c>
      <c r="BH724" t="s">
        <v>4815</v>
      </c>
      <c r="BI724" t="s">
        <v>709</v>
      </c>
      <c r="BJ724" t="s">
        <v>709</v>
      </c>
      <c r="BK724" t="s">
        <v>116</v>
      </c>
      <c r="BL724" t="s">
        <v>709</v>
      </c>
      <c r="BM724">
        <v>135</v>
      </c>
      <c r="BN724">
        <v>2870</v>
      </c>
      <c r="BO724" t="s">
        <v>709</v>
      </c>
      <c r="BP724" t="s">
        <v>709</v>
      </c>
      <c r="BQ724">
        <v>87</v>
      </c>
      <c r="BR724" t="s">
        <v>709</v>
      </c>
      <c r="BS724" t="s">
        <v>709</v>
      </c>
      <c r="BT724" t="s">
        <v>709</v>
      </c>
      <c r="BU724" t="s">
        <v>709</v>
      </c>
      <c r="BV724" t="s">
        <v>709</v>
      </c>
      <c r="BW724" t="s">
        <v>709</v>
      </c>
      <c r="BX724">
        <v>1</v>
      </c>
      <c r="BY724" t="s">
        <v>709</v>
      </c>
      <c r="BZ724" t="s">
        <v>709</v>
      </c>
      <c r="CB724">
        <v>721</v>
      </c>
      <c r="CC724" t="b">
        <v>1</v>
      </c>
      <c r="CD724" t="s">
        <v>4816</v>
      </c>
      <c r="CE724" s="1482">
        <v>45880.736215277779</v>
      </c>
    </row>
    <row r="725" spans="1:83" x14ac:dyDescent="0.25">
      <c r="A725">
        <v>2022</v>
      </c>
      <c r="B725" t="s">
        <v>4</v>
      </c>
      <c r="C725" t="s">
        <v>4018</v>
      </c>
      <c r="D725">
        <v>1310813</v>
      </c>
      <c r="E725" t="s">
        <v>818</v>
      </c>
      <c r="F725" t="s">
        <v>919</v>
      </c>
      <c r="G725" t="s">
        <v>39</v>
      </c>
      <c r="H725" t="s">
        <v>4462</v>
      </c>
      <c r="I725">
        <v>44818</v>
      </c>
      <c r="J725" t="s">
        <v>2052</v>
      </c>
      <c r="K725">
        <v>44824</v>
      </c>
      <c r="L725">
        <v>6</v>
      </c>
      <c r="M725" t="s">
        <v>4817</v>
      </c>
      <c r="N725" t="s">
        <v>120</v>
      </c>
      <c r="O725">
        <v>44835</v>
      </c>
      <c r="P725" t="s">
        <v>739</v>
      </c>
      <c r="Q725" t="s">
        <v>115</v>
      </c>
      <c r="R725" t="s">
        <v>115</v>
      </c>
      <c r="AB725" t="s">
        <v>29</v>
      </c>
      <c r="AM725" t="s">
        <v>709</v>
      </c>
      <c r="AY725" t="s">
        <v>29</v>
      </c>
      <c r="BA725" t="s">
        <v>709</v>
      </c>
      <c r="BB725" t="s">
        <v>4818</v>
      </c>
      <c r="BI725" t="s">
        <v>709</v>
      </c>
      <c r="BJ725" t="s">
        <v>709</v>
      </c>
      <c r="BK725" t="s">
        <v>709</v>
      </c>
      <c r="BL725" t="s">
        <v>116</v>
      </c>
      <c r="BM725" t="s">
        <v>709</v>
      </c>
      <c r="BN725" t="s">
        <v>709</v>
      </c>
      <c r="BO725" t="s">
        <v>709</v>
      </c>
      <c r="BP725" t="s">
        <v>116</v>
      </c>
      <c r="BQ725" t="s">
        <v>116</v>
      </c>
      <c r="BR725" t="s">
        <v>709</v>
      </c>
      <c r="BS725" t="s">
        <v>116</v>
      </c>
      <c r="BT725" t="s">
        <v>745</v>
      </c>
      <c r="BU725" t="s">
        <v>709</v>
      </c>
      <c r="BV725" t="s">
        <v>745</v>
      </c>
      <c r="BW725" t="s">
        <v>709</v>
      </c>
      <c r="BX725" t="s">
        <v>745</v>
      </c>
      <c r="BY725" t="s">
        <v>745</v>
      </c>
      <c r="CB725">
        <v>726</v>
      </c>
      <c r="CC725" t="b">
        <v>1</v>
      </c>
      <c r="CD725" t="s">
        <v>4819</v>
      </c>
      <c r="CE725" s="1482">
        <v>45880.736215277779</v>
      </c>
    </row>
    <row r="726" spans="1:83" ht="165" x14ac:dyDescent="0.25">
      <c r="A726">
        <v>2023</v>
      </c>
      <c r="B726" t="s">
        <v>730</v>
      </c>
      <c r="C726" t="s">
        <v>4820</v>
      </c>
      <c r="D726" t="s">
        <v>4821</v>
      </c>
      <c r="E726" t="s">
        <v>1352</v>
      </c>
      <c r="F726" t="s">
        <v>752</v>
      </c>
      <c r="G726" t="s">
        <v>32</v>
      </c>
      <c r="H726" t="s">
        <v>59</v>
      </c>
      <c r="I726">
        <v>44733</v>
      </c>
      <c r="J726">
        <v>44825</v>
      </c>
      <c r="K726">
        <v>44824</v>
      </c>
      <c r="L726">
        <v>1</v>
      </c>
      <c r="N726" t="s">
        <v>120</v>
      </c>
      <c r="O726">
        <v>44824</v>
      </c>
      <c r="P726" t="s">
        <v>120</v>
      </c>
      <c r="Q726">
        <v>20211.992999999999</v>
      </c>
      <c r="R726">
        <v>0.09</v>
      </c>
      <c r="V726">
        <v>434</v>
      </c>
      <c r="X726">
        <v>155937.78</v>
      </c>
      <c r="Z726">
        <v>68639.92</v>
      </c>
      <c r="AA726">
        <v>224577.7</v>
      </c>
      <c r="AB726">
        <v>44825</v>
      </c>
      <c r="AC726" t="s">
        <v>709</v>
      </c>
      <c r="AD726" t="s">
        <v>29</v>
      </c>
      <c r="AM726" t="s">
        <v>116</v>
      </c>
      <c r="AN726">
        <v>45036</v>
      </c>
      <c r="AO726">
        <v>11042565</v>
      </c>
      <c r="AP726">
        <v>158556.1</v>
      </c>
      <c r="AR726">
        <v>69597.27</v>
      </c>
      <c r="AS726">
        <v>228153.37</v>
      </c>
      <c r="AT726">
        <v>3575.67</v>
      </c>
      <c r="AU726">
        <v>321.81029999999998</v>
      </c>
      <c r="AV726">
        <v>11025</v>
      </c>
      <c r="AW726" t="s">
        <v>4822</v>
      </c>
      <c r="AX726">
        <v>0</v>
      </c>
      <c r="AY726">
        <v>45200</v>
      </c>
      <c r="BA726" s="4" t="s">
        <v>4823</v>
      </c>
      <c r="BB726" s="4" t="s">
        <v>4824</v>
      </c>
      <c r="BC726" t="s">
        <v>116</v>
      </c>
      <c r="BD726" t="s">
        <v>115</v>
      </c>
      <c r="BE726" t="s">
        <v>1355</v>
      </c>
      <c r="BF726" t="s">
        <v>115</v>
      </c>
      <c r="BG726" t="s">
        <v>115</v>
      </c>
      <c r="BH726" t="s">
        <v>4825</v>
      </c>
      <c r="BI726" t="s">
        <v>709</v>
      </c>
      <c r="BJ726" t="s">
        <v>709</v>
      </c>
      <c r="BK726" t="s">
        <v>709</v>
      </c>
      <c r="BL726" t="s">
        <v>116</v>
      </c>
      <c r="BM726">
        <v>0</v>
      </c>
      <c r="BN726">
        <v>0</v>
      </c>
      <c r="BO726">
        <v>0</v>
      </c>
      <c r="BP726">
        <v>0</v>
      </c>
      <c r="BQ726">
        <v>0</v>
      </c>
      <c r="BR726">
        <v>0</v>
      </c>
      <c r="BS726">
        <v>434</v>
      </c>
      <c r="BT726">
        <v>0</v>
      </c>
      <c r="BU726">
        <v>0</v>
      </c>
      <c r="BV726">
        <v>0</v>
      </c>
      <c r="BW726">
        <v>0</v>
      </c>
      <c r="BX726">
        <v>1</v>
      </c>
      <c r="BY726">
        <v>0</v>
      </c>
      <c r="BZ726" t="s">
        <v>709</v>
      </c>
      <c r="CA726" t="s">
        <v>2</v>
      </c>
      <c r="CB726">
        <v>724</v>
      </c>
      <c r="CC726" t="b">
        <v>1</v>
      </c>
      <c r="CD726" t="s">
        <v>4826</v>
      </c>
      <c r="CE726" s="1482">
        <v>45880.736226851855</v>
      </c>
    </row>
    <row r="727" spans="1:83" x14ac:dyDescent="0.25">
      <c r="A727">
        <v>2023</v>
      </c>
      <c r="B727" t="s">
        <v>730</v>
      </c>
      <c r="C727" t="s">
        <v>304</v>
      </c>
      <c r="D727" t="s">
        <v>1351</v>
      </c>
      <c r="E727" t="s">
        <v>1352</v>
      </c>
      <c r="F727" t="s">
        <v>752</v>
      </c>
      <c r="G727" t="s">
        <v>24</v>
      </c>
      <c r="H727" t="s">
        <v>59</v>
      </c>
      <c r="I727">
        <v>44733</v>
      </c>
      <c r="J727">
        <v>44825</v>
      </c>
      <c r="K727">
        <v>44824</v>
      </c>
      <c r="L727">
        <v>1</v>
      </c>
      <c r="N727" t="s">
        <v>120</v>
      </c>
      <c r="O727">
        <v>44824</v>
      </c>
      <c r="P727" t="s">
        <v>120</v>
      </c>
      <c r="Q727">
        <v>30110.493200000001</v>
      </c>
      <c r="R727" t="s">
        <v>794</v>
      </c>
      <c r="V727">
        <v>562</v>
      </c>
      <c r="X727">
        <v>245071.24</v>
      </c>
      <c r="Z727">
        <v>47405.15</v>
      </c>
      <c r="AA727">
        <v>292476.39</v>
      </c>
      <c r="AB727">
        <v>44830</v>
      </c>
      <c r="AC727" t="s">
        <v>1056</v>
      </c>
      <c r="AD727" t="s">
        <v>29</v>
      </c>
      <c r="AE727" t="s">
        <v>29</v>
      </c>
      <c r="AF727" t="s">
        <v>29</v>
      </c>
      <c r="AG727" t="s">
        <v>29</v>
      </c>
      <c r="AH727" t="s">
        <v>29</v>
      </c>
      <c r="AM727" t="s">
        <v>116</v>
      </c>
      <c r="AN727" t="s">
        <v>709</v>
      </c>
      <c r="AO727">
        <v>11042622</v>
      </c>
      <c r="AS727">
        <v>0</v>
      </c>
      <c r="AT727">
        <v>0</v>
      </c>
      <c r="AU727">
        <v>0</v>
      </c>
      <c r="AY727" t="s">
        <v>709</v>
      </c>
      <c r="AZ727">
        <v>175</v>
      </c>
      <c r="BA727" t="s">
        <v>1353</v>
      </c>
      <c r="BB727" t="s">
        <v>1354</v>
      </c>
      <c r="BC727" t="s">
        <v>116</v>
      </c>
      <c r="BD727" t="s">
        <v>115</v>
      </c>
      <c r="BE727" t="s">
        <v>1355</v>
      </c>
      <c r="BF727" t="s">
        <v>115</v>
      </c>
      <c r="BG727" t="s">
        <v>115</v>
      </c>
      <c r="BH727" t="s">
        <v>1356</v>
      </c>
      <c r="BI727" t="s">
        <v>709</v>
      </c>
      <c r="BJ727" t="s">
        <v>709</v>
      </c>
      <c r="BK727" t="s">
        <v>116</v>
      </c>
      <c r="BL727" t="s">
        <v>116</v>
      </c>
      <c r="BM727" t="s">
        <v>709</v>
      </c>
      <c r="BN727" t="s">
        <v>709</v>
      </c>
      <c r="BO727" t="s">
        <v>709</v>
      </c>
      <c r="BP727" t="s">
        <v>709</v>
      </c>
      <c r="BQ727" t="s">
        <v>709</v>
      </c>
      <c r="BR727">
        <v>406</v>
      </c>
      <c r="BS727">
        <v>156</v>
      </c>
      <c r="BT727" t="s">
        <v>709</v>
      </c>
      <c r="BU727">
        <v>1</v>
      </c>
      <c r="BV727" t="s">
        <v>709</v>
      </c>
      <c r="BW727" t="s">
        <v>709</v>
      </c>
      <c r="BX727">
        <v>1</v>
      </c>
      <c r="BY727" t="s">
        <v>709</v>
      </c>
      <c r="BZ727" t="s">
        <v>709</v>
      </c>
      <c r="CA727" t="s">
        <v>2</v>
      </c>
      <c r="CB727">
        <v>723</v>
      </c>
      <c r="CC727" t="b">
        <v>1</v>
      </c>
      <c r="CD727" t="s">
        <v>4827</v>
      </c>
      <c r="CE727" s="1482">
        <v>45880.736226851855</v>
      </c>
    </row>
    <row r="728" spans="1:83" ht="165" x14ac:dyDescent="0.25">
      <c r="A728">
        <v>2023</v>
      </c>
      <c r="B728" t="s">
        <v>730</v>
      </c>
      <c r="C728" t="s">
        <v>1345</v>
      </c>
      <c r="D728" t="s">
        <v>1346</v>
      </c>
      <c r="E728" t="s">
        <v>1347</v>
      </c>
      <c r="F728" t="s">
        <v>752</v>
      </c>
      <c r="G728" t="s">
        <v>24</v>
      </c>
      <c r="H728" t="s">
        <v>59</v>
      </c>
      <c r="I728">
        <v>44739</v>
      </c>
      <c r="J728">
        <v>44834</v>
      </c>
      <c r="K728">
        <v>44824</v>
      </c>
      <c r="L728">
        <v>10</v>
      </c>
      <c r="N728" t="s">
        <v>120</v>
      </c>
      <c r="O728">
        <v>44835</v>
      </c>
      <c r="P728" t="s">
        <v>120</v>
      </c>
      <c r="Q728">
        <v>25770.5658</v>
      </c>
      <c r="R728">
        <v>0.09</v>
      </c>
      <c r="V728">
        <v>2147</v>
      </c>
      <c r="X728">
        <v>271016.56</v>
      </c>
      <c r="Z728">
        <v>15323.06</v>
      </c>
      <c r="AA728">
        <v>286339.62</v>
      </c>
      <c r="AB728">
        <v>44831</v>
      </c>
      <c r="AC728" t="s">
        <v>709</v>
      </c>
      <c r="AD728" t="s">
        <v>29</v>
      </c>
      <c r="AE728" t="s">
        <v>29</v>
      </c>
      <c r="AF728" t="s">
        <v>29</v>
      </c>
      <c r="AG728" t="s">
        <v>29</v>
      </c>
      <c r="AH728" t="s">
        <v>29</v>
      </c>
      <c r="AM728" t="s">
        <v>116</v>
      </c>
      <c r="AN728" t="s">
        <v>709</v>
      </c>
      <c r="AO728" t="s">
        <v>115</v>
      </c>
      <c r="AS728">
        <v>0</v>
      </c>
      <c r="AT728">
        <v>0</v>
      </c>
      <c r="AU728">
        <v>0</v>
      </c>
      <c r="AY728" t="s">
        <v>709</v>
      </c>
      <c r="AZ728">
        <v>26</v>
      </c>
      <c r="BA728" s="4" t="s">
        <v>1348</v>
      </c>
      <c r="BB728" t="s">
        <v>1349</v>
      </c>
      <c r="BC728" t="s">
        <v>115</v>
      </c>
      <c r="BD728" t="s">
        <v>837</v>
      </c>
      <c r="BE728" t="s">
        <v>1350</v>
      </c>
      <c r="BF728" t="s">
        <v>115</v>
      </c>
      <c r="BG728" t="s">
        <v>115</v>
      </c>
      <c r="BI728" t="s">
        <v>709</v>
      </c>
      <c r="BJ728" t="s">
        <v>709</v>
      </c>
      <c r="BK728" t="s">
        <v>709</v>
      </c>
      <c r="BL728" t="s">
        <v>116</v>
      </c>
      <c r="BM728" t="s">
        <v>709</v>
      </c>
      <c r="BN728" t="s">
        <v>709</v>
      </c>
      <c r="BO728" t="s">
        <v>709</v>
      </c>
      <c r="BP728" t="s">
        <v>709</v>
      </c>
      <c r="BQ728" t="s">
        <v>709</v>
      </c>
      <c r="BR728">
        <v>2174</v>
      </c>
      <c r="BS728" t="s">
        <v>709</v>
      </c>
      <c r="BT728" t="s">
        <v>745</v>
      </c>
      <c r="BU728" t="s">
        <v>709</v>
      </c>
      <c r="BV728" t="s">
        <v>745</v>
      </c>
      <c r="BW728" t="s">
        <v>709</v>
      </c>
      <c r="BX728" t="s">
        <v>709</v>
      </c>
      <c r="BY728" t="s">
        <v>745</v>
      </c>
      <c r="BZ728" t="s">
        <v>709</v>
      </c>
      <c r="CB728">
        <v>725</v>
      </c>
      <c r="CC728" t="b">
        <v>1</v>
      </c>
      <c r="CD728" t="s">
        <v>4828</v>
      </c>
      <c r="CE728" s="1482">
        <v>45880.736238425925</v>
      </c>
    </row>
    <row r="729" spans="1:83" x14ac:dyDescent="0.25">
      <c r="A729">
        <v>2022</v>
      </c>
      <c r="B729" t="s">
        <v>771</v>
      </c>
      <c r="C729" t="s">
        <v>258</v>
      </c>
      <c r="D729">
        <v>1211334</v>
      </c>
      <c r="E729" t="s">
        <v>259</v>
      </c>
      <c r="F729" t="s">
        <v>784</v>
      </c>
      <c r="G729" t="s">
        <v>36</v>
      </c>
      <c r="H729" t="s">
        <v>3178</v>
      </c>
      <c r="I729">
        <v>44818</v>
      </c>
      <c r="J729" t="s">
        <v>2052</v>
      </c>
      <c r="K729">
        <v>44825</v>
      </c>
      <c r="L729">
        <v>7</v>
      </c>
      <c r="M729" t="s">
        <v>4829</v>
      </c>
      <c r="N729" t="s">
        <v>120</v>
      </c>
      <c r="O729">
        <v>44835</v>
      </c>
      <c r="P729" t="s">
        <v>120</v>
      </c>
      <c r="Q729">
        <v>1660</v>
      </c>
      <c r="R729" t="s">
        <v>1922</v>
      </c>
      <c r="U729">
        <v>1660</v>
      </c>
      <c r="AB729" t="s">
        <v>29</v>
      </c>
      <c r="AD729" t="s">
        <v>116</v>
      </c>
      <c r="AM729" t="s">
        <v>709</v>
      </c>
      <c r="AY729" t="s">
        <v>29</v>
      </c>
      <c r="BA729">
        <v>4</v>
      </c>
      <c r="BB729" t="s">
        <v>4830</v>
      </c>
      <c r="BI729" t="s">
        <v>709</v>
      </c>
      <c r="BJ729" t="s">
        <v>709</v>
      </c>
      <c r="BK729" t="s">
        <v>709</v>
      </c>
      <c r="BL729" t="s">
        <v>116</v>
      </c>
      <c r="BM729" t="s">
        <v>709</v>
      </c>
      <c r="BN729" t="s">
        <v>709</v>
      </c>
      <c r="BO729" t="s">
        <v>709</v>
      </c>
      <c r="BP729">
        <v>2794</v>
      </c>
      <c r="BQ729" t="s">
        <v>709</v>
      </c>
      <c r="BR729">
        <v>688</v>
      </c>
      <c r="BS729">
        <v>4161</v>
      </c>
      <c r="BT729" t="s">
        <v>745</v>
      </c>
      <c r="BU729" t="s">
        <v>709</v>
      </c>
      <c r="BV729" t="s">
        <v>745</v>
      </c>
      <c r="BW729" t="s">
        <v>709</v>
      </c>
      <c r="BX729" t="s">
        <v>745</v>
      </c>
      <c r="BY729" t="s">
        <v>745</v>
      </c>
      <c r="BZ729" t="s">
        <v>709</v>
      </c>
      <c r="CB729">
        <v>727</v>
      </c>
      <c r="CC729" t="b">
        <v>1</v>
      </c>
      <c r="CD729" t="s">
        <v>4831</v>
      </c>
      <c r="CE729" s="1482">
        <v>45880.736238425925</v>
      </c>
    </row>
    <row r="730" spans="1:83" ht="60" x14ac:dyDescent="0.25">
      <c r="A730">
        <v>2022</v>
      </c>
      <c r="B730" t="s">
        <v>771</v>
      </c>
      <c r="C730" t="s">
        <v>4832</v>
      </c>
      <c r="D730" s="4" t="s">
        <v>4833</v>
      </c>
      <c r="E730" t="s">
        <v>4834</v>
      </c>
      <c r="F730" t="s">
        <v>4835</v>
      </c>
      <c r="G730" t="s">
        <v>34</v>
      </c>
      <c r="H730" t="s">
        <v>4836</v>
      </c>
      <c r="I730">
        <v>44784</v>
      </c>
      <c r="J730" t="s">
        <v>4837</v>
      </c>
      <c r="K730">
        <v>44826</v>
      </c>
      <c r="L730">
        <v>42</v>
      </c>
      <c r="M730" t="s">
        <v>4838</v>
      </c>
      <c r="N730" t="s">
        <v>120</v>
      </c>
      <c r="O730">
        <v>44835</v>
      </c>
      <c r="P730" t="s">
        <v>120</v>
      </c>
      <c r="Q730">
        <v>12437.5</v>
      </c>
      <c r="R730" t="s">
        <v>1922</v>
      </c>
      <c r="U730">
        <v>12437.5</v>
      </c>
      <c r="AA730">
        <v>23365</v>
      </c>
      <c r="AB730" t="s">
        <v>29</v>
      </c>
      <c r="AM730" t="s">
        <v>709</v>
      </c>
      <c r="AY730" t="s">
        <v>29</v>
      </c>
      <c r="BG730" t="s">
        <v>4275</v>
      </c>
      <c r="BI730" t="s">
        <v>709</v>
      </c>
      <c r="BJ730" t="s">
        <v>116</v>
      </c>
      <c r="BK730" t="s">
        <v>709</v>
      </c>
      <c r="BL730" t="s">
        <v>116</v>
      </c>
      <c r="BM730" t="s">
        <v>709</v>
      </c>
      <c r="BN730">
        <v>19808</v>
      </c>
      <c r="BO730" t="s">
        <v>709</v>
      </c>
      <c r="BP730" t="s">
        <v>709</v>
      </c>
      <c r="BQ730" t="s">
        <v>709</v>
      </c>
      <c r="BR730">
        <v>58</v>
      </c>
      <c r="BS730">
        <v>317</v>
      </c>
      <c r="BT730" t="s">
        <v>745</v>
      </c>
      <c r="BU730" t="s">
        <v>709</v>
      </c>
      <c r="BV730" t="s">
        <v>745</v>
      </c>
      <c r="BW730" t="s">
        <v>709</v>
      </c>
      <c r="BX730">
        <v>2</v>
      </c>
      <c r="BY730" t="s">
        <v>745</v>
      </c>
      <c r="BZ730" t="s">
        <v>709</v>
      </c>
      <c r="CB730">
        <v>728</v>
      </c>
      <c r="CC730" t="b">
        <v>1</v>
      </c>
      <c r="CD730" s="4" t="s">
        <v>4839</v>
      </c>
      <c r="CE730" s="1482">
        <v>45880.736250000002</v>
      </c>
    </row>
    <row r="731" spans="1:83" ht="60" x14ac:dyDescent="0.25">
      <c r="A731">
        <v>2022</v>
      </c>
      <c r="B731" t="s">
        <v>771</v>
      </c>
      <c r="C731" t="s">
        <v>4832</v>
      </c>
      <c r="D731" s="4" t="s">
        <v>4833</v>
      </c>
      <c r="E731" t="s">
        <v>4834</v>
      </c>
      <c r="F731" t="s">
        <v>4835</v>
      </c>
      <c r="G731" t="s">
        <v>34</v>
      </c>
      <c r="H731" t="s">
        <v>4840</v>
      </c>
      <c r="I731">
        <v>44784</v>
      </c>
      <c r="J731" t="s">
        <v>4110</v>
      </c>
      <c r="K731">
        <v>44826</v>
      </c>
      <c r="L731">
        <v>42</v>
      </c>
      <c r="M731" t="s">
        <v>4841</v>
      </c>
      <c r="N731" t="s">
        <v>120</v>
      </c>
      <c r="O731">
        <v>44926</v>
      </c>
      <c r="P731" t="s">
        <v>120</v>
      </c>
      <c r="Q731">
        <v>2260</v>
      </c>
      <c r="R731" t="s">
        <v>1922</v>
      </c>
      <c r="U731">
        <v>2260</v>
      </c>
      <c r="AA731">
        <v>23365</v>
      </c>
      <c r="AB731" t="s">
        <v>29</v>
      </c>
      <c r="AC731" t="s">
        <v>29</v>
      </c>
      <c r="AD731" t="s">
        <v>29</v>
      </c>
      <c r="AM731" t="s">
        <v>709</v>
      </c>
      <c r="AY731" t="s">
        <v>29</v>
      </c>
      <c r="BG731" t="s">
        <v>4275</v>
      </c>
      <c r="BI731" t="s">
        <v>709</v>
      </c>
      <c r="BJ731" t="s">
        <v>116</v>
      </c>
      <c r="BK731" t="s">
        <v>709</v>
      </c>
      <c r="BL731" t="s">
        <v>116</v>
      </c>
      <c r="BM731" t="s">
        <v>709</v>
      </c>
      <c r="BN731">
        <v>19808</v>
      </c>
      <c r="BO731" t="s">
        <v>709</v>
      </c>
      <c r="BP731" t="s">
        <v>709</v>
      </c>
      <c r="BQ731" t="s">
        <v>709</v>
      </c>
      <c r="BR731">
        <v>58</v>
      </c>
      <c r="BS731">
        <v>317</v>
      </c>
      <c r="BT731" t="s">
        <v>745</v>
      </c>
      <c r="BU731" t="s">
        <v>709</v>
      </c>
      <c r="BV731" t="s">
        <v>745</v>
      </c>
      <c r="BW731" t="s">
        <v>709</v>
      </c>
      <c r="BX731">
        <v>2</v>
      </c>
      <c r="BY731" t="s">
        <v>745</v>
      </c>
      <c r="BZ731" t="s">
        <v>709</v>
      </c>
      <c r="CB731">
        <v>732</v>
      </c>
      <c r="CC731" t="b">
        <v>1</v>
      </c>
      <c r="CD731" s="4" t="s">
        <v>4839</v>
      </c>
      <c r="CE731" s="1482">
        <v>45880.736250000002</v>
      </c>
    </row>
    <row r="732" spans="1:83" ht="60" x14ac:dyDescent="0.25">
      <c r="A732">
        <v>2022</v>
      </c>
      <c r="B732" t="s">
        <v>771</v>
      </c>
      <c r="C732" t="s">
        <v>4832</v>
      </c>
      <c r="D732" s="4" t="s">
        <v>4833</v>
      </c>
      <c r="E732" t="s">
        <v>4842</v>
      </c>
      <c r="F732" t="s">
        <v>4835</v>
      </c>
      <c r="G732" t="s">
        <v>34</v>
      </c>
      <c r="H732" t="s">
        <v>59</v>
      </c>
      <c r="I732">
        <v>44784</v>
      </c>
      <c r="J732">
        <v>44827</v>
      </c>
      <c r="K732">
        <v>44826</v>
      </c>
      <c r="L732">
        <v>1</v>
      </c>
      <c r="N732" t="s">
        <v>120</v>
      </c>
      <c r="O732">
        <v>44866</v>
      </c>
      <c r="P732" t="s">
        <v>120</v>
      </c>
      <c r="Q732">
        <v>57100</v>
      </c>
      <c r="R732" t="s">
        <v>4843</v>
      </c>
      <c r="V732">
        <v>30807</v>
      </c>
      <c r="X732">
        <v>6610401.9299999997</v>
      </c>
      <c r="Z732">
        <v>855651.58</v>
      </c>
      <c r="AB732" t="s">
        <v>29</v>
      </c>
      <c r="AM732" t="s">
        <v>709</v>
      </c>
      <c r="AY732" t="s">
        <v>29</v>
      </c>
      <c r="BA732" t="s">
        <v>4844</v>
      </c>
      <c r="BB732" t="s">
        <v>4845</v>
      </c>
      <c r="BC732" t="s">
        <v>115</v>
      </c>
      <c r="BD732" t="s">
        <v>1333</v>
      </c>
      <c r="BE732" t="s">
        <v>115</v>
      </c>
      <c r="BF732" t="s">
        <v>1333</v>
      </c>
      <c r="BG732" t="s">
        <v>4275</v>
      </c>
      <c r="BI732" t="s">
        <v>709</v>
      </c>
      <c r="BJ732" t="s">
        <v>116</v>
      </c>
      <c r="BK732" t="s">
        <v>709</v>
      </c>
      <c r="BL732" t="s">
        <v>116</v>
      </c>
      <c r="BM732" t="s">
        <v>709</v>
      </c>
      <c r="BN732">
        <v>10581</v>
      </c>
      <c r="BO732" t="s">
        <v>709</v>
      </c>
      <c r="BP732" t="s">
        <v>709</v>
      </c>
      <c r="BQ732" t="s">
        <v>709</v>
      </c>
      <c r="BR732" t="s">
        <v>709</v>
      </c>
      <c r="BS732">
        <v>43</v>
      </c>
      <c r="BT732" t="s">
        <v>745</v>
      </c>
      <c r="BU732" t="s">
        <v>709</v>
      </c>
      <c r="BV732" t="s">
        <v>745</v>
      </c>
      <c r="BW732" t="s">
        <v>709</v>
      </c>
      <c r="BX732">
        <v>1</v>
      </c>
      <c r="BY732" t="s">
        <v>745</v>
      </c>
      <c r="BZ732" t="s">
        <v>709</v>
      </c>
      <c r="CB732">
        <v>731</v>
      </c>
      <c r="CC732" t="b">
        <v>1</v>
      </c>
      <c r="CD732" s="4" t="s">
        <v>4839</v>
      </c>
      <c r="CE732" s="1482">
        <v>45880.736261574071</v>
      </c>
    </row>
    <row r="733" spans="1:83" ht="225" x14ac:dyDescent="0.25">
      <c r="A733">
        <v>2023</v>
      </c>
      <c r="B733" t="s">
        <v>771</v>
      </c>
      <c r="C733" t="s">
        <v>4846</v>
      </c>
      <c r="D733" t="s">
        <v>4847</v>
      </c>
      <c r="E733" t="s">
        <v>4848</v>
      </c>
      <c r="F733" t="s">
        <v>4835</v>
      </c>
      <c r="G733" t="s">
        <v>36</v>
      </c>
      <c r="H733" t="s">
        <v>59</v>
      </c>
      <c r="I733">
        <v>44671</v>
      </c>
      <c r="J733">
        <v>44827</v>
      </c>
      <c r="K733">
        <v>44826</v>
      </c>
      <c r="L733">
        <v>1</v>
      </c>
      <c r="N733" t="s">
        <v>120</v>
      </c>
      <c r="O733">
        <v>44866</v>
      </c>
      <c r="P733" t="s">
        <v>120</v>
      </c>
      <c r="Q733">
        <v>115700</v>
      </c>
      <c r="R733" t="s">
        <v>4843</v>
      </c>
      <c r="V733">
        <v>23182</v>
      </c>
      <c r="X733">
        <v>1648851.6</v>
      </c>
      <c r="Z733">
        <v>7113.68</v>
      </c>
      <c r="AB733" t="s">
        <v>29</v>
      </c>
      <c r="AC733" t="s">
        <v>116</v>
      </c>
      <c r="AM733" t="s">
        <v>709</v>
      </c>
      <c r="AY733" t="s">
        <v>29</v>
      </c>
      <c r="BA733" s="4" t="s">
        <v>4849</v>
      </c>
      <c r="BB733" s="4" t="s">
        <v>4850</v>
      </c>
      <c r="BC733" t="s">
        <v>115</v>
      </c>
      <c r="BD733" t="s">
        <v>837</v>
      </c>
      <c r="BE733" t="s">
        <v>115</v>
      </c>
      <c r="BF733" s="4" t="s">
        <v>4851</v>
      </c>
      <c r="BG733" s="4" t="s">
        <v>4852</v>
      </c>
      <c r="BI733" t="s">
        <v>116</v>
      </c>
      <c r="BJ733" t="s">
        <v>709</v>
      </c>
      <c r="BK733" t="s">
        <v>709</v>
      </c>
      <c r="BL733" t="s">
        <v>116</v>
      </c>
      <c r="BM733" t="s">
        <v>709</v>
      </c>
      <c r="BN733">
        <v>22879</v>
      </c>
      <c r="BO733" t="s">
        <v>709</v>
      </c>
      <c r="BP733" t="s">
        <v>709</v>
      </c>
      <c r="BQ733" t="s">
        <v>709</v>
      </c>
      <c r="BR733">
        <v>218</v>
      </c>
      <c r="BS733">
        <v>85</v>
      </c>
      <c r="BT733" t="s">
        <v>709</v>
      </c>
      <c r="BU733" t="s">
        <v>709</v>
      </c>
      <c r="BV733" t="s">
        <v>745</v>
      </c>
      <c r="BW733" t="s">
        <v>709</v>
      </c>
      <c r="BX733">
        <v>4</v>
      </c>
      <c r="BY733" t="s">
        <v>745</v>
      </c>
      <c r="BZ733" t="s">
        <v>709</v>
      </c>
      <c r="CB733">
        <v>729</v>
      </c>
      <c r="CC733" t="b">
        <v>1</v>
      </c>
      <c r="CD733" t="s">
        <v>4853</v>
      </c>
      <c r="CE733" s="1482">
        <v>45880.736273148148</v>
      </c>
    </row>
    <row r="734" spans="1:83" ht="300" x14ac:dyDescent="0.25">
      <c r="A734">
        <v>2023</v>
      </c>
      <c r="B734" t="s">
        <v>771</v>
      </c>
      <c r="C734" t="s">
        <v>4854</v>
      </c>
      <c r="D734" t="s">
        <v>4855</v>
      </c>
      <c r="E734" t="s">
        <v>825</v>
      </c>
      <c r="F734" t="s">
        <v>4835</v>
      </c>
      <c r="G734" t="s">
        <v>22</v>
      </c>
      <c r="H734" t="s">
        <v>59</v>
      </c>
      <c r="I734">
        <v>44671</v>
      </c>
      <c r="J734">
        <v>44827</v>
      </c>
      <c r="K734">
        <v>44826</v>
      </c>
      <c r="L734">
        <v>1</v>
      </c>
      <c r="N734" t="s">
        <v>120</v>
      </c>
      <c r="O734">
        <v>44866</v>
      </c>
      <c r="P734" t="s">
        <v>120</v>
      </c>
      <c r="Q734">
        <v>149100</v>
      </c>
      <c r="R734" t="s">
        <v>4843</v>
      </c>
      <c r="V734">
        <v>32305</v>
      </c>
      <c r="X734">
        <v>2288758.37</v>
      </c>
      <c r="Z734">
        <v>18945.919999999998</v>
      </c>
      <c r="AB734" t="s">
        <v>29</v>
      </c>
      <c r="AC734" t="s">
        <v>4856</v>
      </c>
      <c r="AM734" t="s">
        <v>709</v>
      </c>
      <c r="AY734" t="s">
        <v>29</v>
      </c>
      <c r="BA734" s="4" t="s">
        <v>4857</v>
      </c>
      <c r="BB734" s="4" t="s">
        <v>4858</v>
      </c>
      <c r="BC734" t="s">
        <v>116</v>
      </c>
      <c r="BD734" t="s">
        <v>757</v>
      </c>
      <c r="BE734" t="s">
        <v>829</v>
      </c>
      <c r="BF734" t="s">
        <v>830</v>
      </c>
      <c r="BG734" t="s">
        <v>4859</v>
      </c>
      <c r="BI734" t="s">
        <v>709</v>
      </c>
      <c r="BJ734" t="s">
        <v>116</v>
      </c>
      <c r="BK734" t="s">
        <v>116</v>
      </c>
      <c r="BL734" t="s">
        <v>709</v>
      </c>
      <c r="BM734" t="s">
        <v>709</v>
      </c>
      <c r="BN734">
        <v>32199</v>
      </c>
      <c r="BO734" t="s">
        <v>709</v>
      </c>
      <c r="BP734" t="s">
        <v>709</v>
      </c>
      <c r="BQ734">
        <v>41</v>
      </c>
      <c r="BR734" t="s">
        <v>709</v>
      </c>
      <c r="BS734" t="s">
        <v>709</v>
      </c>
      <c r="BT734" t="s">
        <v>709</v>
      </c>
      <c r="BU734" t="s">
        <v>709</v>
      </c>
      <c r="BV734" t="s">
        <v>709</v>
      </c>
      <c r="BW734" t="s">
        <v>709</v>
      </c>
      <c r="BX734">
        <v>1</v>
      </c>
      <c r="BY734" t="s">
        <v>709</v>
      </c>
      <c r="BZ734" t="s">
        <v>709</v>
      </c>
      <c r="CB734">
        <v>730</v>
      </c>
      <c r="CC734" t="b">
        <v>1</v>
      </c>
      <c r="CD734" t="s">
        <v>4860</v>
      </c>
      <c r="CE734" s="1482">
        <v>45880.736273148148</v>
      </c>
    </row>
    <row r="735" spans="1:83" x14ac:dyDescent="0.25">
      <c r="A735">
        <v>2022</v>
      </c>
      <c r="B735" t="s">
        <v>769</v>
      </c>
      <c r="C735" t="s">
        <v>4056</v>
      </c>
      <c r="D735" t="s">
        <v>4057</v>
      </c>
      <c r="E735" t="s">
        <v>2144</v>
      </c>
      <c r="F735" t="s">
        <v>747</v>
      </c>
      <c r="G735" t="s">
        <v>4785</v>
      </c>
      <c r="H735" t="s">
        <v>3178</v>
      </c>
      <c r="I735">
        <v>44810</v>
      </c>
      <c r="J735" t="s">
        <v>2052</v>
      </c>
      <c r="K735">
        <v>44827</v>
      </c>
      <c r="L735">
        <v>17</v>
      </c>
      <c r="M735" t="s">
        <v>4861</v>
      </c>
      <c r="N735" t="s">
        <v>120</v>
      </c>
      <c r="O735">
        <v>44835</v>
      </c>
      <c r="P735" t="s">
        <v>120</v>
      </c>
      <c r="Q735">
        <v>5070</v>
      </c>
      <c r="R735" t="s">
        <v>1922</v>
      </c>
      <c r="U735">
        <v>5070</v>
      </c>
      <c r="AB735" t="s">
        <v>29</v>
      </c>
      <c r="AC735" t="s">
        <v>1056</v>
      </c>
      <c r="AD735" t="s">
        <v>116</v>
      </c>
      <c r="AM735" t="s">
        <v>709</v>
      </c>
      <c r="AY735" t="s">
        <v>29</v>
      </c>
      <c r="BA735" t="s">
        <v>709</v>
      </c>
      <c r="BB735" t="s">
        <v>4862</v>
      </c>
      <c r="BI735" t="s">
        <v>709</v>
      </c>
      <c r="BJ735" t="s">
        <v>709</v>
      </c>
      <c r="BK735" t="s">
        <v>116</v>
      </c>
      <c r="BL735" t="s">
        <v>116</v>
      </c>
      <c r="BM735" t="s">
        <v>709</v>
      </c>
      <c r="BN735" t="s">
        <v>709</v>
      </c>
      <c r="BO735" t="s">
        <v>709</v>
      </c>
      <c r="BP735">
        <v>152</v>
      </c>
      <c r="BQ735">
        <v>395</v>
      </c>
      <c r="BR735">
        <v>45</v>
      </c>
      <c r="BS735">
        <v>5</v>
      </c>
      <c r="BT735">
        <v>1</v>
      </c>
      <c r="BU735" t="s">
        <v>709</v>
      </c>
      <c r="BV735" t="s">
        <v>745</v>
      </c>
      <c r="BW735">
        <v>1</v>
      </c>
      <c r="BX735" t="s">
        <v>745</v>
      </c>
      <c r="BY735" t="s">
        <v>745</v>
      </c>
      <c r="BZ735" t="s">
        <v>709</v>
      </c>
      <c r="CA735" t="s">
        <v>1022</v>
      </c>
      <c r="CB735">
        <v>733</v>
      </c>
      <c r="CC735" t="b">
        <v>1</v>
      </c>
      <c r="CD735" t="s">
        <v>4863</v>
      </c>
      <c r="CE735" s="1482">
        <v>45880.736284722225</v>
      </c>
    </row>
    <row r="736" spans="1:83" ht="285" x14ac:dyDescent="0.25">
      <c r="A736">
        <v>2023</v>
      </c>
      <c r="B736" t="s">
        <v>771</v>
      </c>
      <c r="C736" t="s">
        <v>4864</v>
      </c>
      <c r="D736" t="s">
        <v>4865</v>
      </c>
      <c r="E736" t="s">
        <v>4866</v>
      </c>
      <c r="F736" t="s">
        <v>747</v>
      </c>
      <c r="G736" t="s">
        <v>32</v>
      </c>
      <c r="H736" t="s">
        <v>59</v>
      </c>
      <c r="I736">
        <v>44666</v>
      </c>
      <c r="J736">
        <v>44830</v>
      </c>
      <c r="K736">
        <v>44830</v>
      </c>
      <c r="L736">
        <v>0</v>
      </c>
      <c r="N736" t="s">
        <v>120</v>
      </c>
      <c r="O736">
        <v>44835</v>
      </c>
      <c r="P736" t="s">
        <v>120</v>
      </c>
      <c r="Q736">
        <v>21620.95</v>
      </c>
      <c r="R736" t="s">
        <v>2087</v>
      </c>
      <c r="V736">
        <v>13949</v>
      </c>
      <c r="X736">
        <v>2876665.35</v>
      </c>
      <c r="Z736">
        <v>106237.49</v>
      </c>
      <c r="AA736">
        <v>2982902.84</v>
      </c>
      <c r="AB736">
        <v>44833</v>
      </c>
      <c r="AC736" t="s">
        <v>709</v>
      </c>
      <c r="AD736" t="s">
        <v>29</v>
      </c>
      <c r="AM736" t="s">
        <v>709</v>
      </c>
      <c r="AY736" t="s">
        <v>29</v>
      </c>
      <c r="BA736" s="4" t="s">
        <v>4867</v>
      </c>
      <c r="BB736" t="s">
        <v>4868</v>
      </c>
      <c r="BC736" t="s">
        <v>116</v>
      </c>
      <c r="BD736" t="s">
        <v>115</v>
      </c>
      <c r="BE736" t="s">
        <v>4869</v>
      </c>
      <c r="BF736" t="s">
        <v>115</v>
      </c>
      <c r="BG736" t="s">
        <v>115</v>
      </c>
      <c r="BH736" t="s">
        <v>4870</v>
      </c>
      <c r="BI736" t="s">
        <v>709</v>
      </c>
      <c r="BJ736" t="s">
        <v>709</v>
      </c>
      <c r="BK736" t="s">
        <v>709</v>
      </c>
      <c r="BL736" t="s">
        <v>116</v>
      </c>
      <c r="BM736">
        <v>0</v>
      </c>
      <c r="BN736">
        <v>0</v>
      </c>
      <c r="BO736">
        <v>0</v>
      </c>
      <c r="BP736">
        <v>0</v>
      </c>
      <c r="BQ736">
        <v>556</v>
      </c>
      <c r="BR736">
        <v>2753</v>
      </c>
      <c r="BS736">
        <v>10640</v>
      </c>
      <c r="BT736">
        <v>0</v>
      </c>
      <c r="BU736">
        <v>0</v>
      </c>
      <c r="BV736">
        <v>0</v>
      </c>
      <c r="BW736">
        <v>0</v>
      </c>
      <c r="BX736">
        <v>0</v>
      </c>
      <c r="BY736">
        <v>0</v>
      </c>
      <c r="BZ736" t="s">
        <v>709</v>
      </c>
      <c r="CB736">
        <v>734</v>
      </c>
      <c r="CC736" t="b">
        <v>1</v>
      </c>
      <c r="CD736" t="s">
        <v>4871</v>
      </c>
      <c r="CE736" s="1482">
        <v>45880.736296296294</v>
      </c>
    </row>
    <row r="737" spans="1:83" ht="180" x14ac:dyDescent="0.25">
      <c r="A737">
        <v>2023</v>
      </c>
      <c r="B737" t="s">
        <v>730</v>
      </c>
      <c r="C737" t="s">
        <v>1047</v>
      </c>
      <c r="D737" t="s">
        <v>1048</v>
      </c>
      <c r="E737" t="s">
        <v>1049</v>
      </c>
      <c r="F737" t="s">
        <v>752</v>
      </c>
      <c r="G737" t="s">
        <v>34</v>
      </c>
      <c r="H737" t="s">
        <v>59</v>
      </c>
      <c r="I737">
        <v>44735</v>
      </c>
      <c r="J737">
        <v>44834</v>
      </c>
      <c r="K737">
        <v>44834</v>
      </c>
      <c r="L737">
        <v>0</v>
      </c>
      <c r="N737" t="s">
        <v>120</v>
      </c>
      <c r="O737">
        <v>44866</v>
      </c>
      <c r="P737" t="s">
        <v>120</v>
      </c>
      <c r="Q737">
        <v>10805.4555</v>
      </c>
      <c r="R737" t="s">
        <v>794</v>
      </c>
      <c r="V737">
        <v>0</v>
      </c>
      <c r="X737">
        <v>0</v>
      </c>
      <c r="Z737">
        <v>65358.3</v>
      </c>
      <c r="AA737">
        <v>65358.3</v>
      </c>
      <c r="AB737">
        <v>44841</v>
      </c>
      <c r="AC737" t="s">
        <v>709</v>
      </c>
      <c r="AD737" t="s">
        <v>29</v>
      </c>
      <c r="AM737" t="s">
        <v>116</v>
      </c>
      <c r="AN737">
        <v>45448</v>
      </c>
      <c r="AO737">
        <v>11083546</v>
      </c>
      <c r="AP737">
        <v>0</v>
      </c>
      <c r="AR737">
        <v>68571.92</v>
      </c>
      <c r="AS737">
        <v>68571.92</v>
      </c>
      <c r="AT737">
        <v>3213.62</v>
      </c>
      <c r="AU737">
        <v>273.15769999999998</v>
      </c>
      <c r="AV737" t="s">
        <v>29</v>
      </c>
      <c r="AW737" t="s">
        <v>1050</v>
      </c>
      <c r="AX737">
        <v>273.16000000000003</v>
      </c>
      <c r="AY737">
        <v>45566</v>
      </c>
      <c r="AZ737">
        <v>176</v>
      </c>
      <c r="BA737" s="4" t="s">
        <v>1051</v>
      </c>
      <c r="BB737" t="s">
        <v>1052</v>
      </c>
      <c r="BC737" t="s">
        <v>115</v>
      </c>
      <c r="BD737" t="s">
        <v>115</v>
      </c>
      <c r="BE737" t="s">
        <v>463</v>
      </c>
      <c r="BF737" t="s">
        <v>115</v>
      </c>
      <c r="BG737" t="s">
        <v>115</v>
      </c>
      <c r="BZ737" t="s">
        <v>709</v>
      </c>
      <c r="CA737" t="s">
        <v>1053</v>
      </c>
      <c r="CB737">
        <v>736</v>
      </c>
      <c r="CC737" t="b">
        <v>1</v>
      </c>
      <c r="CD737" t="s">
        <v>4872</v>
      </c>
      <c r="CE737" s="1482">
        <v>45880.736296296294</v>
      </c>
    </row>
    <row r="738" spans="1:83" x14ac:dyDescent="0.25">
      <c r="A738">
        <v>2023</v>
      </c>
      <c r="B738" t="s">
        <v>759</v>
      </c>
      <c r="C738" t="s">
        <v>462</v>
      </c>
      <c r="D738" t="s">
        <v>1054</v>
      </c>
      <c r="E738" t="s">
        <v>1049</v>
      </c>
      <c r="F738" t="s">
        <v>752</v>
      </c>
      <c r="G738" t="s">
        <v>34</v>
      </c>
      <c r="H738" t="s">
        <v>59</v>
      </c>
      <c r="I738">
        <v>44733</v>
      </c>
      <c r="J738">
        <v>44834</v>
      </c>
      <c r="K738">
        <v>44834</v>
      </c>
      <c r="L738">
        <v>0</v>
      </c>
      <c r="N738" t="s">
        <v>120</v>
      </c>
      <c r="O738">
        <v>44835</v>
      </c>
      <c r="P738" t="s">
        <v>120</v>
      </c>
      <c r="Q738">
        <v>66628.344800000006</v>
      </c>
      <c r="R738" t="s">
        <v>1055</v>
      </c>
      <c r="U738" t="s">
        <v>709</v>
      </c>
      <c r="V738">
        <v>1549</v>
      </c>
      <c r="X738">
        <v>581607.93999999994</v>
      </c>
      <c r="Z738">
        <v>111078.47</v>
      </c>
      <c r="AA738">
        <v>692686.41</v>
      </c>
      <c r="AB738">
        <v>44841</v>
      </c>
      <c r="AC738" t="s">
        <v>1056</v>
      </c>
      <c r="AD738" t="s">
        <v>29</v>
      </c>
      <c r="AM738" t="s">
        <v>116</v>
      </c>
      <c r="AN738">
        <v>45448</v>
      </c>
      <c r="AO738">
        <v>11058432</v>
      </c>
      <c r="AP738">
        <v>601264.84</v>
      </c>
      <c r="AR738">
        <v>116373.11</v>
      </c>
      <c r="AS738">
        <v>717637.95</v>
      </c>
      <c r="AT738">
        <v>24951.54</v>
      </c>
      <c r="AU738">
        <v>2120.8809000000001</v>
      </c>
      <c r="AV738" t="s">
        <v>29</v>
      </c>
      <c r="AW738" t="s">
        <v>1057</v>
      </c>
      <c r="AX738">
        <v>2120.88</v>
      </c>
      <c r="AY738">
        <v>45566</v>
      </c>
      <c r="AZ738">
        <v>188</v>
      </c>
      <c r="BA738" t="s">
        <v>1058</v>
      </c>
      <c r="BB738" t="s">
        <v>1059</v>
      </c>
      <c r="BC738" t="s">
        <v>116</v>
      </c>
      <c r="BD738" t="s">
        <v>115</v>
      </c>
      <c r="BE738" t="s">
        <v>463</v>
      </c>
      <c r="BF738" t="s">
        <v>115</v>
      </c>
      <c r="BG738" t="s">
        <v>115</v>
      </c>
      <c r="BZ738" t="s">
        <v>709</v>
      </c>
      <c r="CA738" t="s">
        <v>915</v>
      </c>
      <c r="CB738">
        <v>735</v>
      </c>
      <c r="CC738" t="b">
        <v>1</v>
      </c>
      <c r="CD738" t="s">
        <v>4873</v>
      </c>
      <c r="CE738" s="1482">
        <v>45880.736307870371</v>
      </c>
    </row>
    <row r="739" spans="1:83" ht="405" x14ac:dyDescent="0.25">
      <c r="A739">
        <v>2021</v>
      </c>
      <c r="B739" t="s">
        <v>771</v>
      </c>
      <c r="C739" t="s">
        <v>772</v>
      </c>
      <c r="D739" t="s">
        <v>773</v>
      </c>
      <c r="E739" t="s">
        <v>774</v>
      </c>
      <c r="F739" t="s">
        <v>747</v>
      </c>
      <c r="G739" t="s">
        <v>22</v>
      </c>
      <c r="H739" t="s">
        <v>59</v>
      </c>
      <c r="I739">
        <v>44522</v>
      </c>
      <c r="J739">
        <v>44862</v>
      </c>
      <c r="K739">
        <v>44837</v>
      </c>
      <c r="L739">
        <v>25</v>
      </c>
      <c r="N739" t="s">
        <v>120</v>
      </c>
      <c r="O739">
        <v>44837</v>
      </c>
      <c r="P739" t="s">
        <v>120</v>
      </c>
      <c r="Q739">
        <v>108539.11350000001</v>
      </c>
      <c r="R739">
        <v>0.09</v>
      </c>
      <c r="V739">
        <v>3925</v>
      </c>
      <c r="X739">
        <v>1159057.98</v>
      </c>
      <c r="Z739">
        <v>46932.17</v>
      </c>
      <c r="AA739">
        <v>1205990.1499999999</v>
      </c>
      <c r="AB739">
        <v>44845</v>
      </c>
      <c r="AC739" t="s">
        <v>709</v>
      </c>
      <c r="AD739" t="s">
        <v>116</v>
      </c>
      <c r="AM739" t="s">
        <v>116</v>
      </c>
      <c r="AN739">
        <v>45315</v>
      </c>
      <c r="AO739">
        <v>11039385</v>
      </c>
      <c r="AP739">
        <v>1194474.69</v>
      </c>
      <c r="AR739">
        <v>49558.21</v>
      </c>
      <c r="AS739">
        <v>1244032.8999999999</v>
      </c>
      <c r="AT739">
        <v>38042.75</v>
      </c>
      <c r="AU739">
        <v>3423.8474999999999</v>
      </c>
      <c r="AV739">
        <v>4632.5</v>
      </c>
      <c r="AW739" s="4" t="s">
        <v>4874</v>
      </c>
      <c r="AX739">
        <v>0</v>
      </c>
      <c r="AY739">
        <v>45566</v>
      </c>
      <c r="AZ739">
        <v>27</v>
      </c>
      <c r="BA739" s="4" t="s">
        <v>776</v>
      </c>
      <c r="BB739" t="s">
        <v>777</v>
      </c>
      <c r="BC739" t="s">
        <v>116</v>
      </c>
      <c r="BD739" t="s">
        <v>115</v>
      </c>
      <c r="BE739" t="s">
        <v>778</v>
      </c>
      <c r="BF739" t="s">
        <v>779</v>
      </c>
      <c r="BG739" t="s">
        <v>115</v>
      </c>
      <c r="BH739" t="s">
        <v>780</v>
      </c>
      <c r="BI739" t="s">
        <v>709</v>
      </c>
      <c r="BJ739" t="s">
        <v>709</v>
      </c>
      <c r="BK739" t="s">
        <v>116</v>
      </c>
      <c r="BL739" t="s">
        <v>116</v>
      </c>
      <c r="BM739" t="s">
        <v>709</v>
      </c>
      <c r="BN739" t="s">
        <v>709</v>
      </c>
      <c r="BO739" t="s">
        <v>709</v>
      </c>
      <c r="BP739">
        <v>3435</v>
      </c>
      <c r="BQ739">
        <v>10</v>
      </c>
      <c r="BR739" t="s">
        <v>709</v>
      </c>
      <c r="BS739">
        <v>480</v>
      </c>
      <c r="BT739" t="s">
        <v>709</v>
      </c>
      <c r="BU739" t="s">
        <v>709</v>
      </c>
      <c r="BV739" t="s">
        <v>709</v>
      </c>
      <c r="BW739" t="s">
        <v>709</v>
      </c>
      <c r="BX739" t="s">
        <v>745</v>
      </c>
      <c r="BY739" t="s">
        <v>709</v>
      </c>
      <c r="BZ739" t="s">
        <v>709</v>
      </c>
      <c r="CB739">
        <v>737</v>
      </c>
      <c r="CC739" t="b">
        <v>1</v>
      </c>
      <c r="CD739" t="s">
        <v>4875</v>
      </c>
      <c r="CE739" s="1482">
        <v>45880.736307870371</v>
      </c>
    </row>
    <row r="740" spans="1:83" x14ac:dyDescent="0.25">
      <c r="A740">
        <v>2023</v>
      </c>
      <c r="B740" t="s">
        <v>4</v>
      </c>
      <c r="C740" t="s">
        <v>3343</v>
      </c>
      <c r="D740" t="s">
        <v>3344</v>
      </c>
      <c r="E740" t="s">
        <v>4876</v>
      </c>
      <c r="F740" t="s">
        <v>919</v>
      </c>
      <c r="G740" t="s">
        <v>25</v>
      </c>
      <c r="H740" t="s">
        <v>4436</v>
      </c>
      <c r="I740">
        <v>44760</v>
      </c>
      <c r="J740" t="s">
        <v>2052</v>
      </c>
      <c r="K740">
        <v>44837</v>
      </c>
      <c r="L740">
        <v>77</v>
      </c>
      <c r="M740" t="s">
        <v>4877</v>
      </c>
      <c r="N740" t="s">
        <v>120</v>
      </c>
      <c r="O740">
        <v>44866</v>
      </c>
      <c r="P740" t="s">
        <v>739</v>
      </c>
      <c r="Q740">
        <v>3955</v>
      </c>
      <c r="R740" t="s">
        <v>1922</v>
      </c>
      <c r="U740">
        <v>3955</v>
      </c>
      <c r="AB740" t="s">
        <v>29</v>
      </c>
      <c r="AD740" t="s">
        <v>116</v>
      </c>
      <c r="AM740" t="s">
        <v>709</v>
      </c>
      <c r="AY740" t="s">
        <v>29</v>
      </c>
      <c r="BA740">
        <v>3</v>
      </c>
      <c r="BB740" t="s">
        <v>4878</v>
      </c>
      <c r="BC740" t="s">
        <v>709</v>
      </c>
      <c r="BD740" t="s">
        <v>882</v>
      </c>
      <c r="BE740" t="s">
        <v>1106</v>
      </c>
      <c r="BF740" t="s">
        <v>709</v>
      </c>
      <c r="BG740" t="s">
        <v>709</v>
      </c>
      <c r="BH740" t="s">
        <v>4879</v>
      </c>
      <c r="BI740" t="s">
        <v>709</v>
      </c>
      <c r="BJ740" t="s">
        <v>709</v>
      </c>
      <c r="BK740" t="s">
        <v>709</v>
      </c>
      <c r="BL740" t="s">
        <v>116</v>
      </c>
      <c r="BM740" t="s">
        <v>709</v>
      </c>
      <c r="BN740" t="s">
        <v>709</v>
      </c>
      <c r="BO740" t="s">
        <v>709</v>
      </c>
      <c r="BP740" t="s">
        <v>709</v>
      </c>
      <c r="BQ740" t="s">
        <v>709</v>
      </c>
      <c r="BR740" t="s">
        <v>709</v>
      </c>
      <c r="BS740">
        <v>725</v>
      </c>
      <c r="BT740" t="s">
        <v>709</v>
      </c>
      <c r="BU740" t="s">
        <v>709</v>
      </c>
      <c r="BV740" t="s">
        <v>745</v>
      </c>
      <c r="BW740" t="s">
        <v>709</v>
      </c>
      <c r="BX740" t="s">
        <v>709</v>
      </c>
      <c r="BY740" t="s">
        <v>745</v>
      </c>
      <c r="BZ740" t="s">
        <v>709</v>
      </c>
      <c r="CA740" t="s">
        <v>1237</v>
      </c>
      <c r="CB740">
        <v>739</v>
      </c>
      <c r="CC740" t="b">
        <v>1</v>
      </c>
      <c r="CD740" t="s">
        <v>4880</v>
      </c>
      <c r="CE740" s="1482">
        <v>45880.736319444448</v>
      </c>
    </row>
    <row r="741" spans="1:83" x14ac:dyDescent="0.25">
      <c r="A741">
        <v>2023</v>
      </c>
      <c r="B741" t="s">
        <v>769</v>
      </c>
      <c r="C741" t="s">
        <v>4881</v>
      </c>
      <c r="D741" t="s">
        <v>115</v>
      </c>
      <c r="E741" t="s">
        <v>1004</v>
      </c>
      <c r="F741" t="s">
        <v>747</v>
      </c>
      <c r="G741" t="s">
        <v>23</v>
      </c>
      <c r="H741" t="s">
        <v>2127</v>
      </c>
      <c r="I741">
        <v>44774</v>
      </c>
      <c r="J741">
        <v>44866</v>
      </c>
      <c r="K741">
        <v>44837</v>
      </c>
      <c r="L741">
        <v>29</v>
      </c>
      <c r="N741" t="s">
        <v>120</v>
      </c>
      <c r="O741">
        <v>44837</v>
      </c>
      <c r="P741" t="s">
        <v>120</v>
      </c>
      <c r="Q741" t="s">
        <v>115</v>
      </c>
      <c r="R741" t="s">
        <v>115</v>
      </c>
      <c r="AB741" t="s">
        <v>29</v>
      </c>
      <c r="AC741" t="s">
        <v>29</v>
      </c>
      <c r="AM741" t="s">
        <v>709</v>
      </c>
      <c r="AY741" t="s">
        <v>29</v>
      </c>
      <c r="BA741" t="s">
        <v>4882</v>
      </c>
      <c r="BB741" t="s">
        <v>787</v>
      </c>
      <c r="BC741" t="s">
        <v>115</v>
      </c>
      <c r="BD741" t="s">
        <v>788</v>
      </c>
      <c r="BE741" t="s">
        <v>495</v>
      </c>
      <c r="BF741" t="s">
        <v>115</v>
      </c>
      <c r="BG741" t="s">
        <v>115</v>
      </c>
      <c r="BZ741" t="s">
        <v>709</v>
      </c>
      <c r="CA741" t="s">
        <v>769</v>
      </c>
      <c r="CB741">
        <v>738</v>
      </c>
      <c r="CC741" t="b">
        <v>1</v>
      </c>
      <c r="CD741" t="s">
        <v>4883</v>
      </c>
      <c r="CE741" s="1482">
        <v>45880.736331018517</v>
      </c>
    </row>
    <row r="742" spans="1:83" ht="390" x14ac:dyDescent="0.25">
      <c r="A742">
        <v>2022</v>
      </c>
      <c r="B742" t="s">
        <v>4</v>
      </c>
      <c r="C742" t="s">
        <v>4884</v>
      </c>
      <c r="D742" t="s">
        <v>4885</v>
      </c>
      <c r="E742" t="s">
        <v>4886</v>
      </c>
      <c r="F742" t="s">
        <v>747</v>
      </c>
      <c r="G742" t="s">
        <v>35</v>
      </c>
      <c r="H742" t="s">
        <v>59</v>
      </c>
      <c r="I742">
        <v>44628</v>
      </c>
      <c r="J742">
        <v>44869</v>
      </c>
      <c r="K742">
        <v>44838</v>
      </c>
      <c r="L742">
        <v>31</v>
      </c>
      <c r="M742" t="s">
        <v>4887</v>
      </c>
      <c r="N742" t="s">
        <v>120</v>
      </c>
      <c r="O742">
        <v>44866</v>
      </c>
      <c r="P742" t="s">
        <v>739</v>
      </c>
      <c r="Q742">
        <v>20327.958999999999</v>
      </c>
      <c r="R742">
        <v>0.1</v>
      </c>
      <c r="V742">
        <v>1310</v>
      </c>
      <c r="X742">
        <v>165011.54999999999</v>
      </c>
      <c r="Z742">
        <v>38268.04</v>
      </c>
      <c r="AA742">
        <v>203279.59</v>
      </c>
      <c r="AB742" t="s">
        <v>29</v>
      </c>
      <c r="AC742" t="s">
        <v>709</v>
      </c>
      <c r="AD742" t="s">
        <v>709</v>
      </c>
      <c r="AM742" t="s">
        <v>116</v>
      </c>
      <c r="AN742">
        <v>44847</v>
      </c>
      <c r="AO742">
        <v>11047306</v>
      </c>
      <c r="AP742">
        <v>165011.54999999999</v>
      </c>
      <c r="AR742">
        <v>38268.04</v>
      </c>
      <c r="AS742">
        <v>203279.59</v>
      </c>
      <c r="AT742">
        <v>0</v>
      </c>
      <c r="AU742">
        <v>0</v>
      </c>
      <c r="AV742" t="s">
        <v>709</v>
      </c>
      <c r="AW742" t="s">
        <v>4888</v>
      </c>
      <c r="AY742" t="s">
        <v>1935</v>
      </c>
      <c r="BA742" s="4" t="s">
        <v>4889</v>
      </c>
      <c r="BB742" t="s">
        <v>1071</v>
      </c>
      <c r="BC742" t="s">
        <v>115</v>
      </c>
      <c r="BD742" t="s">
        <v>115</v>
      </c>
      <c r="BE742" t="s">
        <v>4890</v>
      </c>
      <c r="BF742" t="s">
        <v>115</v>
      </c>
      <c r="BG742" t="s">
        <v>115</v>
      </c>
      <c r="BI742" t="s">
        <v>709</v>
      </c>
      <c r="BJ742" t="s">
        <v>709</v>
      </c>
      <c r="BK742" t="s">
        <v>709</v>
      </c>
      <c r="BL742" t="s">
        <v>116</v>
      </c>
      <c r="BM742" t="s">
        <v>709</v>
      </c>
      <c r="BN742" t="s">
        <v>709</v>
      </c>
      <c r="BO742" t="s">
        <v>709</v>
      </c>
      <c r="BP742" t="s">
        <v>709</v>
      </c>
      <c r="BQ742" t="s">
        <v>709</v>
      </c>
      <c r="BR742" t="s">
        <v>709</v>
      </c>
      <c r="BS742">
        <v>1310</v>
      </c>
      <c r="BT742" t="s">
        <v>745</v>
      </c>
      <c r="BU742" t="s">
        <v>709</v>
      </c>
      <c r="BV742" t="s">
        <v>745</v>
      </c>
      <c r="BW742" t="s">
        <v>709</v>
      </c>
      <c r="BX742" t="s">
        <v>745</v>
      </c>
      <c r="BY742" t="s">
        <v>745</v>
      </c>
      <c r="BZ742" t="s">
        <v>709</v>
      </c>
      <c r="CB742">
        <v>740</v>
      </c>
      <c r="CC742" t="b">
        <v>1</v>
      </c>
      <c r="CD742" t="s">
        <v>4891</v>
      </c>
      <c r="CE742" s="1482">
        <v>45880.736331018517</v>
      </c>
    </row>
    <row r="743" spans="1:83" ht="240" x14ac:dyDescent="0.25">
      <c r="A743">
        <v>2022</v>
      </c>
      <c r="B743" t="s">
        <v>4</v>
      </c>
      <c r="C743" t="s">
        <v>4892</v>
      </c>
      <c r="D743" t="s">
        <v>115</v>
      </c>
      <c r="E743" t="s">
        <v>354</v>
      </c>
      <c r="F743" t="s">
        <v>784</v>
      </c>
      <c r="G743" t="s">
        <v>25</v>
      </c>
      <c r="H743" t="s">
        <v>1681</v>
      </c>
      <c r="I743">
        <v>44783</v>
      </c>
      <c r="J743">
        <v>44904</v>
      </c>
      <c r="K743">
        <v>44840</v>
      </c>
      <c r="L743">
        <v>64</v>
      </c>
      <c r="N743" t="s">
        <v>120</v>
      </c>
      <c r="O743">
        <v>44840</v>
      </c>
      <c r="P743" t="s">
        <v>739</v>
      </c>
      <c r="Q743" t="s">
        <v>115</v>
      </c>
      <c r="R743" t="s">
        <v>115</v>
      </c>
      <c r="AB743" t="s">
        <v>29</v>
      </c>
      <c r="AC743" t="s">
        <v>709</v>
      </c>
      <c r="AD743" t="s">
        <v>29</v>
      </c>
      <c r="AM743" t="s">
        <v>709</v>
      </c>
      <c r="AY743" t="s">
        <v>29</v>
      </c>
      <c r="BA743" s="4" t="s">
        <v>4893</v>
      </c>
      <c r="BB743" t="s">
        <v>986</v>
      </c>
      <c r="BC743" t="s">
        <v>116</v>
      </c>
      <c r="BD743" t="s">
        <v>743</v>
      </c>
      <c r="BE743" t="s">
        <v>588</v>
      </c>
      <c r="BF743" t="s">
        <v>588</v>
      </c>
      <c r="BG743" t="s">
        <v>115</v>
      </c>
      <c r="CB743">
        <v>741</v>
      </c>
      <c r="CC743" t="b">
        <v>1</v>
      </c>
      <c r="CD743" t="s">
        <v>4894</v>
      </c>
      <c r="CE743" s="1482">
        <v>45880.736342592594</v>
      </c>
    </row>
    <row r="744" spans="1:83" x14ac:dyDescent="0.25">
      <c r="A744">
        <v>2022</v>
      </c>
      <c r="B744" t="s">
        <v>4</v>
      </c>
      <c r="C744" t="s">
        <v>3590</v>
      </c>
      <c r="D744" t="s">
        <v>3591</v>
      </c>
      <c r="E744" t="s">
        <v>1428</v>
      </c>
      <c r="F744" t="s">
        <v>784</v>
      </c>
      <c r="G744" t="s">
        <v>23</v>
      </c>
      <c r="H744" t="s">
        <v>3178</v>
      </c>
      <c r="I744">
        <v>44834</v>
      </c>
      <c r="J744" t="s">
        <v>2052</v>
      </c>
      <c r="K744">
        <v>44840</v>
      </c>
      <c r="L744">
        <v>6</v>
      </c>
      <c r="M744" t="s">
        <v>4895</v>
      </c>
      <c r="N744" t="s">
        <v>120</v>
      </c>
      <c r="O744">
        <v>44866</v>
      </c>
      <c r="P744" t="s">
        <v>739</v>
      </c>
      <c r="Q744">
        <v>3555</v>
      </c>
      <c r="R744" t="s">
        <v>1922</v>
      </c>
      <c r="U744">
        <v>3555</v>
      </c>
      <c r="AB744" t="s">
        <v>29</v>
      </c>
      <c r="AC744" t="s">
        <v>709</v>
      </c>
      <c r="AD744" t="s">
        <v>29</v>
      </c>
      <c r="AM744" t="s">
        <v>709</v>
      </c>
      <c r="AY744" t="s">
        <v>29</v>
      </c>
      <c r="BA744">
        <v>12</v>
      </c>
      <c r="BI744" t="s">
        <v>709</v>
      </c>
      <c r="BJ744" t="s">
        <v>709</v>
      </c>
      <c r="BK744" t="s">
        <v>709</v>
      </c>
      <c r="BL744" t="s">
        <v>116</v>
      </c>
      <c r="BM744" t="s">
        <v>709</v>
      </c>
      <c r="BN744" t="s">
        <v>709</v>
      </c>
      <c r="BO744" t="s">
        <v>709</v>
      </c>
      <c r="BP744" t="s">
        <v>709</v>
      </c>
      <c r="BQ744" t="s">
        <v>709</v>
      </c>
      <c r="BR744">
        <v>793</v>
      </c>
      <c r="BS744" t="s">
        <v>709</v>
      </c>
      <c r="BT744" t="s">
        <v>709</v>
      </c>
      <c r="BU744" t="s">
        <v>709</v>
      </c>
      <c r="BV744" t="s">
        <v>745</v>
      </c>
      <c r="BW744" t="s">
        <v>709</v>
      </c>
      <c r="BX744" t="s">
        <v>745</v>
      </c>
      <c r="BY744" t="s">
        <v>745</v>
      </c>
      <c r="BZ744" t="s">
        <v>709</v>
      </c>
      <c r="CB744">
        <v>742</v>
      </c>
      <c r="CC744" t="b">
        <v>1</v>
      </c>
      <c r="CD744" t="s">
        <v>4896</v>
      </c>
      <c r="CE744" s="1482">
        <v>45880.736354166664</v>
      </c>
    </row>
    <row r="745" spans="1:83" x14ac:dyDescent="0.25">
      <c r="A745">
        <v>2021</v>
      </c>
      <c r="B745" t="s">
        <v>771</v>
      </c>
      <c r="C745" t="s">
        <v>3782</v>
      </c>
      <c r="D745">
        <v>1210389</v>
      </c>
      <c r="E745" t="s">
        <v>3643</v>
      </c>
      <c r="F745" t="s">
        <v>747</v>
      </c>
      <c r="G745" t="s">
        <v>36</v>
      </c>
      <c r="H745" t="s">
        <v>4189</v>
      </c>
      <c r="I745">
        <v>44678</v>
      </c>
      <c r="J745" t="s">
        <v>2052</v>
      </c>
      <c r="K745">
        <v>44841</v>
      </c>
      <c r="L745">
        <v>163</v>
      </c>
      <c r="M745" t="s">
        <v>4897</v>
      </c>
      <c r="N745" t="s">
        <v>120</v>
      </c>
      <c r="O745">
        <v>44866</v>
      </c>
      <c r="P745" t="s">
        <v>120</v>
      </c>
      <c r="Q745">
        <v>10480</v>
      </c>
      <c r="R745" t="s">
        <v>1922</v>
      </c>
      <c r="U745">
        <v>10480</v>
      </c>
      <c r="AB745" t="s">
        <v>29</v>
      </c>
      <c r="AD745" t="s">
        <v>116</v>
      </c>
      <c r="AM745" t="s">
        <v>709</v>
      </c>
      <c r="AY745" t="s">
        <v>29</v>
      </c>
      <c r="BA745">
        <v>3</v>
      </c>
      <c r="BB745" t="s">
        <v>4878</v>
      </c>
      <c r="BI745" t="s">
        <v>709</v>
      </c>
      <c r="BJ745" t="s">
        <v>709</v>
      </c>
      <c r="BK745" t="s">
        <v>709</v>
      </c>
      <c r="BL745" t="s">
        <v>116</v>
      </c>
      <c r="BM745" t="s">
        <v>709</v>
      </c>
      <c r="BN745" t="s">
        <v>709</v>
      </c>
      <c r="BO745" t="s">
        <v>709</v>
      </c>
      <c r="BP745" t="s">
        <v>709</v>
      </c>
      <c r="BQ745">
        <v>114</v>
      </c>
      <c r="BR745">
        <v>6596</v>
      </c>
      <c r="BS745">
        <v>10450</v>
      </c>
      <c r="BT745" t="s">
        <v>745</v>
      </c>
      <c r="BU745" t="s">
        <v>709</v>
      </c>
      <c r="BV745" t="s">
        <v>745</v>
      </c>
      <c r="BW745" t="s">
        <v>709</v>
      </c>
      <c r="BX745" t="s">
        <v>745</v>
      </c>
      <c r="BY745" t="s">
        <v>745</v>
      </c>
      <c r="BZ745" t="s">
        <v>709</v>
      </c>
      <c r="CB745">
        <v>743</v>
      </c>
      <c r="CC745" t="b">
        <v>1</v>
      </c>
      <c r="CD745" t="s">
        <v>4898</v>
      </c>
      <c r="CE745" s="1482">
        <v>45880.736354166664</v>
      </c>
    </row>
    <row r="746" spans="1:83" x14ac:dyDescent="0.25">
      <c r="A746">
        <v>2022</v>
      </c>
      <c r="B746" t="s">
        <v>2994</v>
      </c>
      <c r="C746" t="s">
        <v>4287</v>
      </c>
      <c r="D746">
        <v>3210897</v>
      </c>
      <c r="E746" t="s">
        <v>1763</v>
      </c>
      <c r="F746" t="s">
        <v>4899</v>
      </c>
      <c r="G746" t="s">
        <v>35</v>
      </c>
      <c r="H746" t="s">
        <v>4189</v>
      </c>
      <c r="I746">
        <v>44834</v>
      </c>
      <c r="J746" t="s">
        <v>2052</v>
      </c>
      <c r="K746">
        <v>44841</v>
      </c>
      <c r="L746">
        <v>7</v>
      </c>
      <c r="M746" t="s">
        <v>4900</v>
      </c>
      <c r="N746" t="s">
        <v>120</v>
      </c>
      <c r="O746">
        <v>44866</v>
      </c>
      <c r="P746" t="s">
        <v>739</v>
      </c>
      <c r="Q746">
        <v>3185</v>
      </c>
      <c r="R746" t="s">
        <v>1922</v>
      </c>
      <c r="U746">
        <v>3185</v>
      </c>
      <c r="AB746" t="s">
        <v>29</v>
      </c>
      <c r="AC746" t="s">
        <v>709</v>
      </c>
      <c r="AD746" t="s">
        <v>709</v>
      </c>
      <c r="AM746" t="s">
        <v>709</v>
      </c>
      <c r="AY746" t="s">
        <v>29</v>
      </c>
      <c r="BA746">
        <v>3</v>
      </c>
      <c r="BB746" t="s">
        <v>4878</v>
      </c>
      <c r="BH746" t="s">
        <v>4901</v>
      </c>
      <c r="BI746" t="s">
        <v>709</v>
      </c>
      <c r="BJ746" t="s">
        <v>709</v>
      </c>
      <c r="BK746" t="s">
        <v>709</v>
      </c>
      <c r="BL746" t="s">
        <v>709</v>
      </c>
      <c r="BM746" t="s">
        <v>709</v>
      </c>
      <c r="BN746" t="s">
        <v>709</v>
      </c>
      <c r="BO746" t="s">
        <v>709</v>
      </c>
      <c r="BP746" t="s">
        <v>709</v>
      </c>
      <c r="BQ746" t="s">
        <v>709</v>
      </c>
      <c r="BR746" t="s">
        <v>709</v>
      </c>
      <c r="BS746" t="s">
        <v>709</v>
      </c>
      <c r="BT746" t="s">
        <v>745</v>
      </c>
      <c r="BU746" t="s">
        <v>709</v>
      </c>
      <c r="BV746">
        <v>1</v>
      </c>
      <c r="BW746" t="s">
        <v>709</v>
      </c>
      <c r="BX746" t="s">
        <v>745</v>
      </c>
      <c r="BY746" t="s">
        <v>745</v>
      </c>
      <c r="BZ746" t="s">
        <v>709</v>
      </c>
      <c r="CA746" t="s">
        <v>1146</v>
      </c>
      <c r="CB746">
        <v>745</v>
      </c>
      <c r="CC746" t="b">
        <v>1</v>
      </c>
      <c r="CD746" t="s">
        <v>4902</v>
      </c>
      <c r="CE746" s="1482">
        <v>45880.73636574074</v>
      </c>
    </row>
    <row r="747" spans="1:83" ht="270" x14ac:dyDescent="0.25">
      <c r="A747">
        <v>2022</v>
      </c>
      <c r="B747" t="s">
        <v>4</v>
      </c>
      <c r="C747" t="s">
        <v>244</v>
      </c>
      <c r="D747" t="s">
        <v>4903</v>
      </c>
      <c r="E747" t="s">
        <v>245</v>
      </c>
      <c r="F747" t="s">
        <v>784</v>
      </c>
      <c r="G747" t="s">
        <v>35</v>
      </c>
      <c r="H747" t="s">
        <v>59</v>
      </c>
      <c r="I747">
        <v>44732</v>
      </c>
      <c r="J747">
        <v>44848</v>
      </c>
      <c r="K747">
        <v>44841</v>
      </c>
      <c r="L747">
        <v>7</v>
      </c>
      <c r="N747" t="s">
        <v>120</v>
      </c>
      <c r="O747">
        <v>44866</v>
      </c>
      <c r="P747" t="s">
        <v>739</v>
      </c>
      <c r="Q747">
        <v>142620.01199999999</v>
      </c>
      <c r="R747">
        <v>0.1</v>
      </c>
      <c r="V747">
        <v>2491</v>
      </c>
      <c r="X747">
        <v>1373684.03</v>
      </c>
      <c r="Z747">
        <v>52516.09</v>
      </c>
      <c r="AA747">
        <v>1426200.12</v>
      </c>
      <c r="AB747">
        <v>44851</v>
      </c>
      <c r="AC747" t="s">
        <v>116</v>
      </c>
      <c r="AD747" t="s">
        <v>29</v>
      </c>
      <c r="AM747" t="s">
        <v>116</v>
      </c>
      <c r="AN747">
        <v>45000</v>
      </c>
      <c r="AO747">
        <v>11049643</v>
      </c>
      <c r="AP747">
        <v>1375154.93</v>
      </c>
      <c r="AR747">
        <v>52516.09</v>
      </c>
      <c r="AS747">
        <v>1427671.02</v>
      </c>
      <c r="AT747">
        <v>1470.9</v>
      </c>
      <c r="AU747">
        <v>147.09</v>
      </c>
      <c r="AV747" t="s">
        <v>709</v>
      </c>
      <c r="AW747" t="s">
        <v>4904</v>
      </c>
      <c r="AX747">
        <v>147.09</v>
      </c>
      <c r="AY747">
        <v>45200</v>
      </c>
      <c r="BA747" s="4" t="s">
        <v>4905</v>
      </c>
      <c r="BB747" t="s">
        <v>1027</v>
      </c>
      <c r="BC747" t="s">
        <v>4906</v>
      </c>
      <c r="BD747" t="s">
        <v>115</v>
      </c>
      <c r="BE747" t="s">
        <v>1028</v>
      </c>
      <c r="BF747" t="s">
        <v>115</v>
      </c>
      <c r="BG747" t="s">
        <v>4907</v>
      </c>
      <c r="BI747" t="s">
        <v>709</v>
      </c>
      <c r="BJ747" t="s">
        <v>709</v>
      </c>
      <c r="BK747" t="s">
        <v>116</v>
      </c>
      <c r="BL747" t="s">
        <v>116</v>
      </c>
      <c r="BM747" t="s">
        <v>709</v>
      </c>
      <c r="BN747">
        <v>287</v>
      </c>
      <c r="BO747" t="s">
        <v>709</v>
      </c>
      <c r="BP747">
        <v>2206</v>
      </c>
      <c r="BQ747" t="s">
        <v>709</v>
      </c>
      <c r="BR747" t="s">
        <v>709</v>
      </c>
      <c r="BS747" t="s">
        <v>709</v>
      </c>
      <c r="BT747" t="s">
        <v>745</v>
      </c>
      <c r="BU747" t="s">
        <v>709</v>
      </c>
      <c r="BV747" t="s">
        <v>745</v>
      </c>
      <c r="BW747" t="s">
        <v>709</v>
      </c>
      <c r="BX747" t="s">
        <v>745</v>
      </c>
      <c r="BY747" t="s">
        <v>745</v>
      </c>
      <c r="BZ747" t="s">
        <v>709</v>
      </c>
      <c r="CB747">
        <v>744</v>
      </c>
      <c r="CC747" t="b">
        <v>1</v>
      </c>
      <c r="CD747" t="s">
        <v>4908</v>
      </c>
      <c r="CE747" s="1482">
        <v>45880.73636574074</v>
      </c>
    </row>
    <row r="748" spans="1:83" x14ac:dyDescent="0.25">
      <c r="A748">
        <v>2021</v>
      </c>
      <c r="B748" t="s">
        <v>4</v>
      </c>
      <c r="C748" t="s">
        <v>213</v>
      </c>
      <c r="D748">
        <v>140862</v>
      </c>
      <c r="E748" t="s">
        <v>141</v>
      </c>
      <c r="F748" t="s">
        <v>747</v>
      </c>
      <c r="G748" t="s">
        <v>25</v>
      </c>
      <c r="H748" t="s">
        <v>4001</v>
      </c>
      <c r="I748">
        <v>44838</v>
      </c>
      <c r="J748" t="s">
        <v>2958</v>
      </c>
      <c r="K748">
        <v>44848</v>
      </c>
      <c r="L748">
        <v>10</v>
      </c>
      <c r="M748" t="s">
        <v>4356</v>
      </c>
      <c r="N748" t="s">
        <v>120</v>
      </c>
      <c r="O748">
        <v>44866</v>
      </c>
      <c r="P748" t="s">
        <v>739</v>
      </c>
      <c r="Q748">
        <v>9420</v>
      </c>
      <c r="R748" t="s">
        <v>1922</v>
      </c>
      <c r="U748">
        <v>9420</v>
      </c>
      <c r="AB748" t="s">
        <v>29</v>
      </c>
      <c r="AD748" t="s">
        <v>116</v>
      </c>
      <c r="AM748" t="s">
        <v>709</v>
      </c>
      <c r="AY748" t="s">
        <v>29</v>
      </c>
      <c r="BA748">
        <v>1</v>
      </c>
      <c r="BB748" t="s">
        <v>4909</v>
      </c>
      <c r="BH748" t="s">
        <v>29</v>
      </c>
      <c r="BI748" t="s">
        <v>709</v>
      </c>
      <c r="BJ748" t="s">
        <v>709</v>
      </c>
      <c r="BK748" t="s">
        <v>709</v>
      </c>
      <c r="BL748" t="s">
        <v>116</v>
      </c>
      <c r="BM748" t="s">
        <v>709</v>
      </c>
      <c r="BN748" t="s">
        <v>709</v>
      </c>
      <c r="BO748" t="s">
        <v>709</v>
      </c>
      <c r="BP748">
        <v>2695</v>
      </c>
      <c r="BQ748">
        <v>173</v>
      </c>
      <c r="BR748">
        <v>12</v>
      </c>
      <c r="BS748">
        <v>1066</v>
      </c>
      <c r="BT748" t="s">
        <v>745</v>
      </c>
      <c r="BU748" t="s">
        <v>709</v>
      </c>
      <c r="BV748" t="s">
        <v>745</v>
      </c>
      <c r="BW748" t="s">
        <v>709</v>
      </c>
      <c r="BX748" t="s">
        <v>745</v>
      </c>
      <c r="BY748" t="s">
        <v>745</v>
      </c>
      <c r="BZ748" t="s">
        <v>709</v>
      </c>
      <c r="CB748">
        <v>747</v>
      </c>
      <c r="CC748" t="b">
        <v>1</v>
      </c>
      <c r="CD748" t="s">
        <v>4910</v>
      </c>
      <c r="CE748" s="1482">
        <v>45880.736377314817</v>
      </c>
    </row>
    <row r="749" spans="1:83" x14ac:dyDescent="0.25">
      <c r="A749">
        <v>2022</v>
      </c>
      <c r="B749" t="s">
        <v>769</v>
      </c>
      <c r="C749" t="s">
        <v>4911</v>
      </c>
      <c r="D749" t="s">
        <v>115</v>
      </c>
      <c r="E749" t="s">
        <v>887</v>
      </c>
      <c r="F749" t="s">
        <v>784</v>
      </c>
      <c r="G749" t="s">
        <v>24</v>
      </c>
      <c r="H749" t="s">
        <v>59</v>
      </c>
      <c r="I749">
        <v>44756</v>
      </c>
      <c r="J749">
        <v>44848</v>
      </c>
      <c r="K749">
        <v>44848</v>
      </c>
      <c r="L749">
        <v>0</v>
      </c>
      <c r="N749" t="s">
        <v>120</v>
      </c>
      <c r="O749">
        <v>44866</v>
      </c>
      <c r="P749" t="s">
        <v>739</v>
      </c>
      <c r="Q749">
        <v>21990</v>
      </c>
      <c r="R749" t="s">
        <v>1922</v>
      </c>
      <c r="U749">
        <v>21990</v>
      </c>
      <c r="AB749" t="s">
        <v>29</v>
      </c>
      <c r="AC749" t="s">
        <v>709</v>
      </c>
      <c r="AM749" t="s">
        <v>709</v>
      </c>
      <c r="AY749" t="s">
        <v>29</v>
      </c>
      <c r="BA749">
        <v>4</v>
      </c>
      <c r="BB749" t="s">
        <v>1078</v>
      </c>
      <c r="BC749" t="s">
        <v>115</v>
      </c>
      <c r="BD749" t="s">
        <v>115</v>
      </c>
      <c r="BE749" t="s">
        <v>115</v>
      </c>
      <c r="BF749" t="s">
        <v>115</v>
      </c>
      <c r="BG749" t="s">
        <v>1078</v>
      </c>
      <c r="BI749" t="s">
        <v>709</v>
      </c>
      <c r="BJ749" t="s">
        <v>709</v>
      </c>
      <c r="BK749" t="s">
        <v>709</v>
      </c>
      <c r="BL749" t="s">
        <v>709</v>
      </c>
      <c r="BM749" t="s">
        <v>709</v>
      </c>
      <c r="BN749" t="s">
        <v>709</v>
      </c>
      <c r="BO749" t="s">
        <v>709</v>
      </c>
      <c r="BP749" t="s">
        <v>709</v>
      </c>
      <c r="BQ749" t="s">
        <v>709</v>
      </c>
      <c r="BR749" t="s">
        <v>709</v>
      </c>
      <c r="BS749" t="s">
        <v>709</v>
      </c>
      <c r="BT749" t="s">
        <v>745</v>
      </c>
      <c r="BU749" t="s">
        <v>709</v>
      </c>
      <c r="BV749" t="s">
        <v>745</v>
      </c>
      <c r="BW749" t="s">
        <v>709</v>
      </c>
      <c r="BX749" t="s">
        <v>745</v>
      </c>
      <c r="BY749">
        <v>1</v>
      </c>
      <c r="BZ749" t="s">
        <v>709</v>
      </c>
      <c r="CA749" t="s">
        <v>4912</v>
      </c>
      <c r="CB749">
        <v>746</v>
      </c>
      <c r="CC749" t="b">
        <v>1</v>
      </c>
      <c r="CD749" t="s">
        <v>4913</v>
      </c>
      <c r="CE749" s="1482">
        <v>45880.736388888887</v>
      </c>
    </row>
    <row r="750" spans="1:83" x14ac:dyDescent="0.25">
      <c r="A750">
        <v>2022</v>
      </c>
      <c r="B750" t="s">
        <v>1073</v>
      </c>
      <c r="C750" t="s">
        <v>4780</v>
      </c>
      <c r="D750">
        <v>1611434</v>
      </c>
      <c r="E750" t="s">
        <v>4246</v>
      </c>
      <c r="F750" t="s">
        <v>784</v>
      </c>
      <c r="G750" t="s">
        <v>23</v>
      </c>
      <c r="H750" t="s">
        <v>4189</v>
      </c>
      <c r="I750">
        <v>44844</v>
      </c>
      <c r="J750" t="s">
        <v>2052</v>
      </c>
      <c r="K750">
        <v>44851</v>
      </c>
      <c r="L750">
        <v>7</v>
      </c>
      <c r="M750" t="s">
        <v>4914</v>
      </c>
      <c r="N750" t="s">
        <v>120</v>
      </c>
      <c r="O750">
        <v>44866</v>
      </c>
      <c r="P750" t="s">
        <v>739</v>
      </c>
      <c r="Q750">
        <v>8905</v>
      </c>
      <c r="R750" t="s">
        <v>1922</v>
      </c>
      <c r="U750">
        <v>8905</v>
      </c>
      <c r="AB750" t="s">
        <v>29</v>
      </c>
      <c r="AD750" t="s">
        <v>116</v>
      </c>
      <c r="AM750" t="s">
        <v>709</v>
      </c>
      <c r="AY750" t="s">
        <v>29</v>
      </c>
      <c r="BA750">
        <v>3</v>
      </c>
      <c r="BI750" t="s">
        <v>709</v>
      </c>
      <c r="BJ750" t="s">
        <v>709</v>
      </c>
      <c r="BK750" t="s">
        <v>709</v>
      </c>
      <c r="BL750" t="s">
        <v>116</v>
      </c>
      <c r="BM750" t="s">
        <v>709</v>
      </c>
      <c r="BN750" t="s">
        <v>709</v>
      </c>
      <c r="BO750" t="s">
        <v>709</v>
      </c>
      <c r="BP750">
        <v>245</v>
      </c>
      <c r="BQ750">
        <v>5519</v>
      </c>
      <c r="BR750">
        <v>3143</v>
      </c>
      <c r="BS750" t="s">
        <v>709</v>
      </c>
      <c r="BT750" t="s">
        <v>745</v>
      </c>
      <c r="BU750" t="s">
        <v>709</v>
      </c>
      <c r="BV750" t="s">
        <v>745</v>
      </c>
      <c r="BW750" t="s">
        <v>709</v>
      </c>
      <c r="BX750" t="s">
        <v>745</v>
      </c>
      <c r="BY750" t="s">
        <v>745</v>
      </c>
      <c r="BZ750" t="s">
        <v>709</v>
      </c>
      <c r="CB750">
        <v>748</v>
      </c>
      <c r="CC750" t="b">
        <v>1</v>
      </c>
      <c r="CD750" t="s">
        <v>4915</v>
      </c>
      <c r="CE750" s="1482">
        <v>45880.736388888887</v>
      </c>
    </row>
    <row r="751" spans="1:83" x14ac:dyDescent="0.25">
      <c r="A751">
        <v>2022</v>
      </c>
      <c r="B751" t="s">
        <v>4</v>
      </c>
      <c r="C751" t="s">
        <v>4916</v>
      </c>
      <c r="D751" t="s">
        <v>4917</v>
      </c>
      <c r="E751" t="s">
        <v>2298</v>
      </c>
      <c r="F751" t="s">
        <v>747</v>
      </c>
      <c r="G751" t="s">
        <v>35</v>
      </c>
      <c r="H751" t="s">
        <v>59</v>
      </c>
      <c r="I751">
        <v>44666</v>
      </c>
      <c r="J751">
        <v>44862</v>
      </c>
      <c r="K751">
        <v>44852</v>
      </c>
      <c r="L751">
        <v>10</v>
      </c>
      <c r="N751" t="s">
        <v>120</v>
      </c>
      <c r="O751">
        <v>44866</v>
      </c>
      <c r="P751" t="s">
        <v>739</v>
      </c>
      <c r="Q751">
        <v>3962.2627000000002</v>
      </c>
      <c r="R751">
        <v>0.1</v>
      </c>
      <c r="V751">
        <v>0</v>
      </c>
      <c r="X751">
        <v>0</v>
      </c>
      <c r="Z751">
        <v>39622.627</v>
      </c>
      <c r="AA751">
        <v>39622.627</v>
      </c>
      <c r="AB751" t="s">
        <v>29</v>
      </c>
      <c r="AC751" t="s">
        <v>709</v>
      </c>
      <c r="AD751" t="s">
        <v>709</v>
      </c>
      <c r="AM751" t="s">
        <v>116</v>
      </c>
      <c r="AN751">
        <v>44854</v>
      </c>
      <c r="AO751">
        <v>11047816</v>
      </c>
      <c r="AP751">
        <v>0</v>
      </c>
      <c r="AQ751">
        <v>17246.37</v>
      </c>
      <c r="AR751">
        <v>17246.37</v>
      </c>
      <c r="AS751">
        <v>17246.37</v>
      </c>
      <c r="AT751">
        <v>-22376.257000000001</v>
      </c>
      <c r="AU751">
        <v>-2237.6257000000001</v>
      </c>
      <c r="AV751" t="s">
        <v>709</v>
      </c>
      <c r="AW751" t="s">
        <v>4918</v>
      </c>
      <c r="AX751">
        <v>0</v>
      </c>
      <c r="AY751">
        <v>45008</v>
      </c>
      <c r="BA751" t="s">
        <v>4919</v>
      </c>
      <c r="BB751" t="s">
        <v>1071</v>
      </c>
      <c r="BC751" t="s">
        <v>116</v>
      </c>
      <c r="BD751" t="s">
        <v>882</v>
      </c>
      <c r="BE751" t="s">
        <v>3119</v>
      </c>
      <c r="BF751" t="s">
        <v>115</v>
      </c>
      <c r="BG751" t="s">
        <v>115</v>
      </c>
      <c r="BI751" t="s">
        <v>709</v>
      </c>
      <c r="BJ751" t="s">
        <v>709</v>
      </c>
      <c r="BK751" t="s">
        <v>709</v>
      </c>
      <c r="BL751" t="s">
        <v>709</v>
      </c>
      <c r="BM751" t="s">
        <v>709</v>
      </c>
      <c r="BN751" t="s">
        <v>709</v>
      </c>
      <c r="BO751" t="s">
        <v>709</v>
      </c>
      <c r="BP751" t="s">
        <v>709</v>
      </c>
      <c r="BQ751" t="s">
        <v>709</v>
      </c>
      <c r="BR751" t="s">
        <v>709</v>
      </c>
      <c r="BS751" t="s">
        <v>709</v>
      </c>
      <c r="BT751" t="s">
        <v>745</v>
      </c>
      <c r="BU751" t="s">
        <v>709</v>
      </c>
      <c r="BV751" t="s">
        <v>745</v>
      </c>
      <c r="BW751" t="s">
        <v>709</v>
      </c>
      <c r="BX751" t="s">
        <v>745</v>
      </c>
      <c r="BY751" t="s">
        <v>745</v>
      </c>
      <c r="BZ751" t="s">
        <v>709</v>
      </c>
      <c r="CA751" t="s">
        <v>1146</v>
      </c>
      <c r="CB751">
        <v>749</v>
      </c>
      <c r="CC751" t="b">
        <v>1</v>
      </c>
      <c r="CD751" t="s">
        <v>4920</v>
      </c>
      <c r="CE751" s="1482">
        <v>45880.736400462964</v>
      </c>
    </row>
    <row r="752" spans="1:83" x14ac:dyDescent="0.25">
      <c r="A752">
        <v>2022</v>
      </c>
      <c r="B752" t="s">
        <v>4</v>
      </c>
      <c r="C752" t="s">
        <v>1357</v>
      </c>
      <c r="D752" t="s">
        <v>1358</v>
      </c>
      <c r="E752" t="s">
        <v>958</v>
      </c>
      <c r="F752" t="s">
        <v>784</v>
      </c>
      <c r="G752" t="s">
        <v>35</v>
      </c>
      <c r="H752" t="s">
        <v>59</v>
      </c>
      <c r="I752">
        <v>44774</v>
      </c>
      <c r="J752">
        <v>44862</v>
      </c>
      <c r="K752">
        <v>44852</v>
      </c>
      <c r="L752">
        <v>10</v>
      </c>
      <c r="N752" t="s">
        <v>120</v>
      </c>
      <c r="O752">
        <v>44896</v>
      </c>
      <c r="P752" t="s">
        <v>739</v>
      </c>
      <c r="Q752">
        <v>77940.687000000005</v>
      </c>
      <c r="R752">
        <v>0.1</v>
      </c>
      <c r="V752">
        <v>2941</v>
      </c>
      <c r="X752">
        <v>747426.32</v>
      </c>
      <c r="Z752">
        <v>31980.55</v>
      </c>
      <c r="AA752">
        <v>779406.87</v>
      </c>
      <c r="AB752">
        <v>44886</v>
      </c>
      <c r="AC752" t="s">
        <v>709</v>
      </c>
      <c r="AD752" t="s">
        <v>709</v>
      </c>
      <c r="AM752" t="s">
        <v>116</v>
      </c>
      <c r="AN752" t="s">
        <v>709</v>
      </c>
      <c r="AO752" t="s">
        <v>115</v>
      </c>
      <c r="AS752">
        <v>0</v>
      </c>
      <c r="AT752">
        <v>0</v>
      </c>
      <c r="AU752">
        <v>0</v>
      </c>
      <c r="AY752" t="s">
        <v>709</v>
      </c>
      <c r="AZ752">
        <v>72</v>
      </c>
      <c r="BA752">
        <v>7</v>
      </c>
      <c r="BB752" t="s">
        <v>1359</v>
      </c>
      <c r="BC752" t="s">
        <v>116</v>
      </c>
      <c r="BD752" t="s">
        <v>115</v>
      </c>
      <c r="BE752" t="s">
        <v>592</v>
      </c>
      <c r="BF752" t="s">
        <v>115</v>
      </c>
      <c r="BG752" t="s">
        <v>115</v>
      </c>
      <c r="BI752" t="s">
        <v>709</v>
      </c>
      <c r="BJ752" t="s">
        <v>709</v>
      </c>
      <c r="BK752" t="s">
        <v>709</v>
      </c>
      <c r="BL752" t="s">
        <v>116</v>
      </c>
      <c r="BM752" t="s">
        <v>709</v>
      </c>
      <c r="BN752" t="s">
        <v>709</v>
      </c>
      <c r="BO752" t="s">
        <v>709</v>
      </c>
      <c r="BP752" t="s">
        <v>709</v>
      </c>
      <c r="BQ752" t="s">
        <v>709</v>
      </c>
      <c r="BR752">
        <v>1889</v>
      </c>
      <c r="BS752">
        <v>1052</v>
      </c>
      <c r="BT752" t="s">
        <v>745</v>
      </c>
      <c r="BU752" t="s">
        <v>709</v>
      </c>
      <c r="BV752" t="s">
        <v>745</v>
      </c>
      <c r="BW752" t="s">
        <v>709</v>
      </c>
      <c r="BX752" t="s">
        <v>745</v>
      </c>
      <c r="BY752" t="s">
        <v>745</v>
      </c>
      <c r="BZ752" t="s">
        <v>709</v>
      </c>
      <c r="CB752">
        <v>750</v>
      </c>
      <c r="CC752" t="b">
        <v>1</v>
      </c>
      <c r="CD752" t="s">
        <v>4921</v>
      </c>
      <c r="CE752" s="1482">
        <v>45880.736400462964</v>
      </c>
    </row>
    <row r="753" spans="1:83" x14ac:dyDescent="0.25">
      <c r="A753">
        <v>2022</v>
      </c>
      <c r="B753" t="s">
        <v>1981</v>
      </c>
      <c r="C753" t="s">
        <v>2527</v>
      </c>
      <c r="D753" t="s">
        <v>115</v>
      </c>
      <c r="E753" t="s">
        <v>4922</v>
      </c>
      <c r="F753" t="s">
        <v>747</v>
      </c>
      <c r="G753" t="s">
        <v>32</v>
      </c>
      <c r="H753" t="s">
        <v>3178</v>
      </c>
      <c r="I753">
        <v>44804</v>
      </c>
      <c r="J753" t="s">
        <v>2052</v>
      </c>
      <c r="K753">
        <v>44853</v>
      </c>
      <c r="L753">
        <v>49</v>
      </c>
      <c r="M753" t="s">
        <v>4923</v>
      </c>
      <c r="N753" t="s">
        <v>120</v>
      </c>
      <c r="O753">
        <v>44866</v>
      </c>
      <c r="P753" t="s">
        <v>739</v>
      </c>
      <c r="Q753">
        <v>12822.5</v>
      </c>
      <c r="R753" t="s">
        <v>1922</v>
      </c>
      <c r="U753">
        <v>12822.5</v>
      </c>
      <c r="AB753" t="s">
        <v>29</v>
      </c>
      <c r="AC753" t="s">
        <v>709</v>
      </c>
      <c r="AD753" t="s">
        <v>116</v>
      </c>
      <c r="AM753" t="s">
        <v>709</v>
      </c>
      <c r="AY753" t="s">
        <v>29</v>
      </c>
      <c r="BA753">
        <v>2</v>
      </c>
      <c r="BB753" t="s">
        <v>4924</v>
      </c>
      <c r="BI753" t="s">
        <v>709</v>
      </c>
      <c r="BJ753" t="s">
        <v>709</v>
      </c>
      <c r="BK753" t="s">
        <v>709</v>
      </c>
      <c r="BL753" t="s">
        <v>709</v>
      </c>
      <c r="BM753">
        <v>0</v>
      </c>
      <c r="BN753">
        <v>0</v>
      </c>
      <c r="BO753">
        <v>0</v>
      </c>
      <c r="BP753">
        <v>0</v>
      </c>
      <c r="BQ753">
        <v>0</v>
      </c>
      <c r="BR753">
        <v>0</v>
      </c>
      <c r="BS753">
        <v>0</v>
      </c>
      <c r="BT753">
        <v>0</v>
      </c>
      <c r="BU753">
        <v>0</v>
      </c>
      <c r="BV753">
        <v>0</v>
      </c>
      <c r="BW753">
        <v>0</v>
      </c>
      <c r="BX753">
        <v>0</v>
      </c>
      <c r="BY753">
        <v>0</v>
      </c>
      <c r="BZ753" t="s">
        <v>709</v>
      </c>
      <c r="CA753" t="s">
        <v>2531</v>
      </c>
      <c r="CB753">
        <v>754</v>
      </c>
      <c r="CC753" t="b">
        <v>1</v>
      </c>
      <c r="CD753" t="s">
        <v>4925</v>
      </c>
      <c r="CE753" s="1482">
        <v>45880.73641203704</v>
      </c>
    </row>
    <row r="754" spans="1:83" x14ac:dyDescent="0.25">
      <c r="A754">
        <v>2022</v>
      </c>
      <c r="B754" t="s">
        <v>771</v>
      </c>
      <c r="C754" t="s">
        <v>258</v>
      </c>
      <c r="D754">
        <v>1211334</v>
      </c>
      <c r="E754" t="s">
        <v>259</v>
      </c>
      <c r="F754" t="s">
        <v>784</v>
      </c>
      <c r="G754" t="s">
        <v>36</v>
      </c>
      <c r="H754" t="s">
        <v>4001</v>
      </c>
      <c r="I754">
        <v>44839</v>
      </c>
      <c r="J754" t="s">
        <v>2052</v>
      </c>
      <c r="K754">
        <v>44853</v>
      </c>
      <c r="L754">
        <v>14</v>
      </c>
      <c r="M754" t="s">
        <v>4926</v>
      </c>
      <c r="N754" t="s">
        <v>120</v>
      </c>
      <c r="O754">
        <v>44866</v>
      </c>
      <c r="P754" t="s">
        <v>120</v>
      </c>
      <c r="Q754">
        <v>6152.5</v>
      </c>
      <c r="R754" t="s">
        <v>1922</v>
      </c>
      <c r="U754">
        <v>6152.5</v>
      </c>
      <c r="AB754" t="s">
        <v>29</v>
      </c>
      <c r="AD754" t="s">
        <v>116</v>
      </c>
      <c r="AM754" t="s">
        <v>709</v>
      </c>
      <c r="AY754" t="s">
        <v>29</v>
      </c>
      <c r="BA754">
        <v>2</v>
      </c>
      <c r="BB754" t="s">
        <v>4927</v>
      </c>
      <c r="BI754" t="s">
        <v>709</v>
      </c>
      <c r="BJ754" t="s">
        <v>709</v>
      </c>
      <c r="BK754" t="s">
        <v>709</v>
      </c>
      <c r="BL754" t="s">
        <v>116</v>
      </c>
      <c r="BM754" t="s">
        <v>709</v>
      </c>
      <c r="BN754" t="s">
        <v>709</v>
      </c>
      <c r="BO754" t="s">
        <v>709</v>
      </c>
      <c r="BP754">
        <v>2794</v>
      </c>
      <c r="BQ754" t="s">
        <v>709</v>
      </c>
      <c r="BR754">
        <v>688</v>
      </c>
      <c r="BS754">
        <v>4161</v>
      </c>
      <c r="BT754" t="s">
        <v>745</v>
      </c>
      <c r="BU754" t="s">
        <v>709</v>
      </c>
      <c r="BV754" t="s">
        <v>745</v>
      </c>
      <c r="BW754" t="s">
        <v>709</v>
      </c>
      <c r="BX754" t="s">
        <v>745</v>
      </c>
      <c r="BY754" t="s">
        <v>745</v>
      </c>
      <c r="BZ754" t="s">
        <v>709</v>
      </c>
      <c r="CB754">
        <v>751</v>
      </c>
      <c r="CC754" t="b">
        <v>1</v>
      </c>
      <c r="CD754" t="s">
        <v>4928</v>
      </c>
      <c r="CE754" s="1482">
        <v>45880.73641203704</v>
      </c>
    </row>
    <row r="755" spans="1:83" ht="255" x14ac:dyDescent="0.25">
      <c r="A755">
        <v>2022</v>
      </c>
      <c r="B755" t="s">
        <v>4</v>
      </c>
      <c r="C755" t="s">
        <v>4929</v>
      </c>
      <c r="D755" t="s">
        <v>4930</v>
      </c>
      <c r="E755" t="s">
        <v>232</v>
      </c>
      <c r="F755" t="s">
        <v>747</v>
      </c>
      <c r="G755" t="s">
        <v>23</v>
      </c>
      <c r="H755" t="s">
        <v>59</v>
      </c>
      <c r="I755">
        <v>44788</v>
      </c>
      <c r="J755">
        <v>44865</v>
      </c>
      <c r="K755">
        <v>44853</v>
      </c>
      <c r="L755">
        <v>12</v>
      </c>
      <c r="N755" t="s">
        <v>120</v>
      </c>
      <c r="O755">
        <v>44866</v>
      </c>
      <c r="P755" t="s">
        <v>739</v>
      </c>
      <c r="Q755">
        <v>26261.4202</v>
      </c>
      <c r="R755">
        <v>0.1</v>
      </c>
      <c r="V755">
        <v>682</v>
      </c>
      <c r="X755">
        <v>232819.27</v>
      </c>
      <c r="Z755">
        <v>29794.932000000001</v>
      </c>
      <c r="AA755">
        <v>262614.20199999999</v>
      </c>
      <c r="AB755">
        <v>44861</v>
      </c>
      <c r="AC755" t="s">
        <v>709</v>
      </c>
      <c r="AD755" t="s">
        <v>29</v>
      </c>
      <c r="AM755" t="s">
        <v>116</v>
      </c>
      <c r="AN755">
        <v>44903</v>
      </c>
      <c r="AO755">
        <v>11050414</v>
      </c>
      <c r="AP755">
        <v>233193.41</v>
      </c>
      <c r="AR755">
        <v>29794.93</v>
      </c>
      <c r="AS755">
        <v>262988.34000000003</v>
      </c>
      <c r="AT755">
        <v>374.13799999999998</v>
      </c>
      <c r="AU755">
        <v>37.413800000000002</v>
      </c>
      <c r="AV755" t="s">
        <v>709</v>
      </c>
      <c r="AX755">
        <v>37.413800000000002</v>
      </c>
      <c r="AY755">
        <v>45008</v>
      </c>
      <c r="BA755" s="4" t="s">
        <v>4931</v>
      </c>
      <c r="BB755" t="s">
        <v>1045</v>
      </c>
      <c r="BC755" t="s">
        <v>115</v>
      </c>
      <c r="BD755" t="s">
        <v>115</v>
      </c>
      <c r="BE755" t="s">
        <v>595</v>
      </c>
      <c r="BF755" t="s">
        <v>115</v>
      </c>
      <c r="BG755" t="s">
        <v>115</v>
      </c>
      <c r="BI755" t="s">
        <v>709</v>
      </c>
      <c r="BJ755" t="s">
        <v>709</v>
      </c>
      <c r="BK755" t="s">
        <v>709</v>
      </c>
      <c r="BL755" t="s">
        <v>116</v>
      </c>
      <c r="BM755" t="s">
        <v>709</v>
      </c>
      <c r="BN755" t="s">
        <v>709</v>
      </c>
      <c r="BO755" t="s">
        <v>709</v>
      </c>
      <c r="BP755" t="s">
        <v>709</v>
      </c>
      <c r="BQ755">
        <v>682</v>
      </c>
      <c r="BR755" t="s">
        <v>709</v>
      </c>
      <c r="BS755" t="s">
        <v>709</v>
      </c>
      <c r="BT755" t="s">
        <v>745</v>
      </c>
      <c r="BU755" t="s">
        <v>709</v>
      </c>
      <c r="BV755" t="s">
        <v>745</v>
      </c>
      <c r="BW755" t="s">
        <v>709</v>
      </c>
      <c r="BX755" t="s">
        <v>745</v>
      </c>
      <c r="BY755" t="s">
        <v>745</v>
      </c>
      <c r="BZ755" t="s">
        <v>709</v>
      </c>
      <c r="CB755">
        <v>752</v>
      </c>
      <c r="CC755" t="b">
        <v>1</v>
      </c>
      <c r="CD755" t="s">
        <v>4932</v>
      </c>
      <c r="CE755" s="1482">
        <v>45880.73642361111</v>
      </c>
    </row>
    <row r="756" spans="1:83" ht="240" x14ac:dyDescent="0.25">
      <c r="A756">
        <v>2022</v>
      </c>
      <c r="B756" t="s">
        <v>4</v>
      </c>
      <c r="C756" t="s">
        <v>4933</v>
      </c>
      <c r="D756" t="s">
        <v>4934</v>
      </c>
      <c r="E756" t="s">
        <v>1920</v>
      </c>
      <c r="F756" t="s">
        <v>747</v>
      </c>
      <c r="G756" t="s">
        <v>27</v>
      </c>
      <c r="H756" t="s">
        <v>59</v>
      </c>
      <c r="I756">
        <v>44756</v>
      </c>
      <c r="J756">
        <v>44866</v>
      </c>
      <c r="K756">
        <v>44853</v>
      </c>
      <c r="L756">
        <v>13</v>
      </c>
      <c r="N756" t="s">
        <v>120</v>
      </c>
      <c r="O756">
        <v>44866</v>
      </c>
      <c r="P756" t="s">
        <v>739</v>
      </c>
      <c r="Q756">
        <v>23827.62</v>
      </c>
      <c r="R756">
        <v>0.1</v>
      </c>
      <c r="V756">
        <v>650</v>
      </c>
      <c r="X756">
        <v>221682.03</v>
      </c>
      <c r="Z756">
        <v>16594.169999999998</v>
      </c>
      <c r="AA756">
        <v>238276.2</v>
      </c>
      <c r="AB756">
        <v>44865</v>
      </c>
      <c r="AC756" t="s">
        <v>709</v>
      </c>
      <c r="AD756" t="s">
        <v>29</v>
      </c>
      <c r="AM756" t="s">
        <v>116</v>
      </c>
      <c r="AN756">
        <v>44915</v>
      </c>
      <c r="AO756">
        <v>11050999</v>
      </c>
      <c r="AP756">
        <v>182078.99</v>
      </c>
      <c r="AR756">
        <v>16594.169999999998</v>
      </c>
      <c r="AS756">
        <v>198673.16</v>
      </c>
      <c r="AT756">
        <v>-39603.040000000001</v>
      </c>
      <c r="AU756">
        <v>-3960.3040000000001</v>
      </c>
      <c r="AV756" t="s">
        <v>709</v>
      </c>
      <c r="AW756" t="s">
        <v>4935</v>
      </c>
      <c r="AX756">
        <v>-3960.3040000000001</v>
      </c>
      <c r="AY756">
        <v>45008</v>
      </c>
      <c r="BA756" s="4" t="s">
        <v>4936</v>
      </c>
      <c r="BB756" t="s">
        <v>4937</v>
      </c>
      <c r="BC756" t="s">
        <v>115</v>
      </c>
      <c r="BD756" t="s">
        <v>115</v>
      </c>
      <c r="BE756" t="s">
        <v>4937</v>
      </c>
      <c r="BF756" t="s">
        <v>115</v>
      </c>
      <c r="BG756" t="s">
        <v>115</v>
      </c>
      <c r="BI756" t="s">
        <v>709</v>
      </c>
      <c r="BJ756" t="s">
        <v>709</v>
      </c>
      <c r="BK756" t="s">
        <v>709</v>
      </c>
      <c r="BL756" t="s">
        <v>116</v>
      </c>
      <c r="BM756" t="s">
        <v>709</v>
      </c>
      <c r="BN756" t="s">
        <v>709</v>
      </c>
      <c r="BO756" t="s">
        <v>709</v>
      </c>
      <c r="BP756" t="s">
        <v>709</v>
      </c>
      <c r="BQ756" t="s">
        <v>709</v>
      </c>
      <c r="BR756" t="s">
        <v>709</v>
      </c>
      <c r="BS756">
        <v>650</v>
      </c>
      <c r="BT756" t="s">
        <v>745</v>
      </c>
      <c r="BU756" t="s">
        <v>709</v>
      </c>
      <c r="BV756" t="s">
        <v>745</v>
      </c>
      <c r="BW756" t="s">
        <v>709</v>
      </c>
      <c r="BX756" t="s">
        <v>745</v>
      </c>
      <c r="BY756" t="s">
        <v>745</v>
      </c>
      <c r="BZ756" t="s">
        <v>709</v>
      </c>
      <c r="CB756">
        <v>753</v>
      </c>
      <c r="CC756" t="b">
        <v>1</v>
      </c>
      <c r="CD756" t="s">
        <v>4938</v>
      </c>
      <c r="CE756" s="1482">
        <v>45880.736435185187</v>
      </c>
    </row>
    <row r="757" spans="1:83" x14ac:dyDescent="0.25">
      <c r="A757">
        <v>2022</v>
      </c>
      <c r="B757" t="s">
        <v>1205</v>
      </c>
      <c r="C757" t="s">
        <v>268</v>
      </c>
      <c r="D757" t="s">
        <v>4939</v>
      </c>
      <c r="E757" t="s">
        <v>111</v>
      </c>
      <c r="F757" t="s">
        <v>784</v>
      </c>
      <c r="G757" t="s">
        <v>32</v>
      </c>
      <c r="H757" t="s">
        <v>59</v>
      </c>
      <c r="I757">
        <v>44817</v>
      </c>
      <c r="J757">
        <v>44859</v>
      </c>
      <c r="K757">
        <v>44858</v>
      </c>
      <c r="L757">
        <v>1</v>
      </c>
      <c r="N757" t="s">
        <v>120</v>
      </c>
      <c r="O757">
        <v>44896</v>
      </c>
      <c r="P757" t="s">
        <v>739</v>
      </c>
      <c r="Q757">
        <v>17452.165499999999</v>
      </c>
      <c r="R757">
        <v>0.09</v>
      </c>
      <c r="V757">
        <v>338</v>
      </c>
      <c r="X757">
        <v>171924.63</v>
      </c>
      <c r="Z757">
        <v>21988.32</v>
      </c>
      <c r="AA757">
        <v>193912.95</v>
      </c>
      <c r="AB757">
        <v>44893</v>
      </c>
      <c r="AC757" t="s">
        <v>1516</v>
      </c>
      <c r="AD757" t="s">
        <v>709</v>
      </c>
      <c r="AM757" t="s">
        <v>116</v>
      </c>
      <c r="AN757">
        <v>44978</v>
      </c>
      <c r="AO757">
        <v>11054255</v>
      </c>
      <c r="AP757">
        <v>180638.53</v>
      </c>
      <c r="AR757">
        <v>23083.46</v>
      </c>
      <c r="AS757">
        <v>203721.99</v>
      </c>
      <c r="AT757">
        <v>9809.0400000000009</v>
      </c>
      <c r="AU757">
        <v>882.81359999999995</v>
      </c>
      <c r="AV757" t="s">
        <v>709</v>
      </c>
      <c r="AW757" t="s">
        <v>4940</v>
      </c>
      <c r="AX757">
        <v>882.81359999999995</v>
      </c>
      <c r="AY757">
        <v>45200</v>
      </c>
      <c r="BA757" t="s">
        <v>4941</v>
      </c>
      <c r="BB757" t="s">
        <v>4942</v>
      </c>
      <c r="BC757" t="s">
        <v>709</v>
      </c>
      <c r="BD757" t="s">
        <v>115</v>
      </c>
      <c r="BE757" t="s">
        <v>1114</v>
      </c>
      <c r="BF757" t="s">
        <v>115</v>
      </c>
      <c r="BG757" t="s">
        <v>115</v>
      </c>
      <c r="BH757" t="s">
        <v>4943</v>
      </c>
      <c r="BI757" t="s">
        <v>709</v>
      </c>
      <c r="BJ757" t="s">
        <v>709</v>
      </c>
      <c r="BK757" t="s">
        <v>709</v>
      </c>
      <c r="BL757" t="s">
        <v>116</v>
      </c>
      <c r="BM757">
        <v>0</v>
      </c>
      <c r="BN757">
        <v>0</v>
      </c>
      <c r="BO757">
        <v>0</v>
      </c>
      <c r="BP757">
        <v>0</v>
      </c>
      <c r="BQ757">
        <v>0</v>
      </c>
      <c r="BR757">
        <v>195</v>
      </c>
      <c r="BS757">
        <v>143</v>
      </c>
      <c r="BT757">
        <v>0</v>
      </c>
      <c r="BU757">
        <v>0</v>
      </c>
      <c r="BV757">
        <v>0</v>
      </c>
      <c r="BW757">
        <v>0</v>
      </c>
      <c r="BX757">
        <v>0</v>
      </c>
      <c r="BY757">
        <v>0</v>
      </c>
      <c r="BZ757" t="s">
        <v>709</v>
      </c>
      <c r="CB757">
        <v>755</v>
      </c>
      <c r="CC757" t="b">
        <v>1</v>
      </c>
      <c r="CD757" t="s">
        <v>4944</v>
      </c>
      <c r="CE757" s="1482">
        <v>45880.736446759256</v>
      </c>
    </row>
    <row r="758" spans="1:83" ht="285" x14ac:dyDescent="0.25">
      <c r="A758">
        <v>2022</v>
      </c>
      <c r="B758" t="s">
        <v>4</v>
      </c>
      <c r="C758" t="s">
        <v>4945</v>
      </c>
      <c r="D758" t="s">
        <v>4946</v>
      </c>
      <c r="E758" t="s">
        <v>1650</v>
      </c>
      <c r="F758" t="s">
        <v>784</v>
      </c>
      <c r="G758" t="s">
        <v>25</v>
      </c>
      <c r="H758" t="s">
        <v>59</v>
      </c>
      <c r="I758">
        <v>44774</v>
      </c>
      <c r="J758">
        <v>44876</v>
      </c>
      <c r="K758">
        <v>44859</v>
      </c>
      <c r="L758">
        <v>17</v>
      </c>
      <c r="N758" t="s">
        <v>120</v>
      </c>
      <c r="O758">
        <v>44896</v>
      </c>
      <c r="P758" t="s">
        <v>739</v>
      </c>
      <c r="Q758">
        <v>41143.828999999998</v>
      </c>
      <c r="R758">
        <v>0.1</v>
      </c>
      <c r="V758">
        <v>2656</v>
      </c>
      <c r="X758">
        <v>383143.77</v>
      </c>
      <c r="Z758">
        <v>28294.52</v>
      </c>
      <c r="AA758">
        <v>411438.29</v>
      </c>
      <c r="AB758" t="s">
        <v>115</v>
      </c>
      <c r="AC758" t="s">
        <v>709</v>
      </c>
      <c r="AD758" t="s">
        <v>709</v>
      </c>
      <c r="AM758" t="s">
        <v>116</v>
      </c>
      <c r="AN758">
        <v>44915</v>
      </c>
      <c r="AO758">
        <v>11049642</v>
      </c>
      <c r="AP758">
        <v>383143.77</v>
      </c>
      <c r="AR758">
        <v>28294.52</v>
      </c>
      <c r="AS758">
        <v>411438.29</v>
      </c>
      <c r="AT758">
        <v>0</v>
      </c>
      <c r="AU758">
        <v>0</v>
      </c>
      <c r="AV758" t="s">
        <v>709</v>
      </c>
      <c r="AY758" t="s">
        <v>1935</v>
      </c>
      <c r="BA758" s="4" t="s">
        <v>4947</v>
      </c>
      <c r="BB758" t="s">
        <v>4948</v>
      </c>
      <c r="BC758" t="s">
        <v>4949</v>
      </c>
      <c r="BD758" t="s">
        <v>788</v>
      </c>
      <c r="BE758" t="s">
        <v>605</v>
      </c>
      <c r="BF758" t="s">
        <v>3609</v>
      </c>
      <c r="BG758" t="s">
        <v>4949</v>
      </c>
      <c r="BI758" t="s">
        <v>709</v>
      </c>
      <c r="BJ758" t="s">
        <v>709</v>
      </c>
      <c r="BK758" t="s">
        <v>709</v>
      </c>
      <c r="BL758" t="s">
        <v>116</v>
      </c>
      <c r="BM758" t="s">
        <v>709</v>
      </c>
      <c r="BN758" t="s">
        <v>709</v>
      </c>
      <c r="BO758" t="s">
        <v>709</v>
      </c>
      <c r="BP758" t="s">
        <v>709</v>
      </c>
      <c r="BQ758" t="s">
        <v>709</v>
      </c>
      <c r="BR758">
        <v>1777</v>
      </c>
      <c r="BS758">
        <v>879</v>
      </c>
      <c r="BT758" t="s">
        <v>745</v>
      </c>
      <c r="BU758" t="s">
        <v>709</v>
      </c>
      <c r="BV758" t="s">
        <v>745</v>
      </c>
      <c r="BW758" t="s">
        <v>709</v>
      </c>
      <c r="BX758" t="s">
        <v>745</v>
      </c>
      <c r="BY758" t="s">
        <v>745</v>
      </c>
      <c r="BZ758" t="s">
        <v>709</v>
      </c>
      <c r="CB758">
        <v>758</v>
      </c>
      <c r="CC758" t="b">
        <v>1</v>
      </c>
      <c r="CD758" t="s">
        <v>4950</v>
      </c>
      <c r="CE758" s="1482">
        <v>45880.736446759256</v>
      </c>
    </row>
    <row r="759" spans="1:83" ht="180" x14ac:dyDescent="0.25">
      <c r="A759">
        <v>2022</v>
      </c>
      <c r="B759" t="s">
        <v>4</v>
      </c>
      <c r="C759" t="s">
        <v>4951</v>
      </c>
      <c r="D759" t="s">
        <v>4952</v>
      </c>
      <c r="E759" t="s">
        <v>3259</v>
      </c>
      <c r="F759" t="s">
        <v>784</v>
      </c>
      <c r="G759" t="s">
        <v>27</v>
      </c>
      <c r="H759" t="s">
        <v>59</v>
      </c>
      <c r="I759">
        <v>44806</v>
      </c>
      <c r="J759">
        <v>44862</v>
      </c>
      <c r="K759">
        <v>44859</v>
      </c>
      <c r="L759">
        <v>3</v>
      </c>
      <c r="N759" t="s">
        <v>120</v>
      </c>
      <c r="O759">
        <v>44866</v>
      </c>
      <c r="P759" t="s">
        <v>739</v>
      </c>
      <c r="Q759">
        <v>5367.4610000000002</v>
      </c>
      <c r="R759">
        <v>0.1</v>
      </c>
      <c r="V759">
        <v>0</v>
      </c>
      <c r="X759">
        <v>0</v>
      </c>
      <c r="Z759">
        <v>53674.61</v>
      </c>
      <c r="AA759">
        <v>53674.61</v>
      </c>
      <c r="AB759" t="s">
        <v>29</v>
      </c>
      <c r="AC759" t="s">
        <v>709</v>
      </c>
      <c r="AD759" t="s">
        <v>709</v>
      </c>
      <c r="AM759" t="s">
        <v>116</v>
      </c>
      <c r="AN759">
        <v>44888</v>
      </c>
      <c r="AO759">
        <v>11049632</v>
      </c>
      <c r="AP759">
        <v>0</v>
      </c>
      <c r="AR759">
        <v>30028.639999999999</v>
      </c>
      <c r="AS759">
        <v>30028.639999999999</v>
      </c>
      <c r="AT759">
        <v>-23645.97</v>
      </c>
      <c r="AU759">
        <v>-2364.5970000000002</v>
      </c>
      <c r="AV759" t="s">
        <v>709</v>
      </c>
      <c r="AW759" t="s">
        <v>4795</v>
      </c>
      <c r="AX759">
        <v>0</v>
      </c>
      <c r="AY759">
        <v>45008</v>
      </c>
      <c r="BA759" s="4" t="s">
        <v>4953</v>
      </c>
      <c r="BB759" t="s">
        <v>961</v>
      </c>
      <c r="BC759" t="s">
        <v>116</v>
      </c>
      <c r="BD759" t="s">
        <v>115</v>
      </c>
      <c r="BE759" t="s">
        <v>3262</v>
      </c>
      <c r="BF759" t="s">
        <v>115</v>
      </c>
      <c r="BG759" t="s">
        <v>115</v>
      </c>
      <c r="BI759" t="s">
        <v>709</v>
      </c>
      <c r="BJ759" t="s">
        <v>709</v>
      </c>
      <c r="BK759" t="s">
        <v>709</v>
      </c>
      <c r="BL759" t="s">
        <v>709</v>
      </c>
      <c r="BM759" t="s">
        <v>709</v>
      </c>
      <c r="BN759" t="s">
        <v>709</v>
      </c>
      <c r="BO759" t="s">
        <v>709</v>
      </c>
      <c r="BP759" t="s">
        <v>709</v>
      </c>
      <c r="BQ759" t="s">
        <v>709</v>
      </c>
      <c r="BR759" t="s">
        <v>709</v>
      </c>
      <c r="BS759" t="s">
        <v>709</v>
      </c>
      <c r="BT759" t="s">
        <v>745</v>
      </c>
      <c r="BU759" t="s">
        <v>709</v>
      </c>
      <c r="BV759" t="s">
        <v>745</v>
      </c>
      <c r="BW759" t="s">
        <v>709</v>
      </c>
      <c r="BX759" t="s">
        <v>745</v>
      </c>
      <c r="BY759" t="s">
        <v>745</v>
      </c>
      <c r="BZ759" t="s">
        <v>709</v>
      </c>
      <c r="CA759" t="s">
        <v>1146</v>
      </c>
      <c r="CB759">
        <v>757</v>
      </c>
      <c r="CC759" t="b">
        <v>1</v>
      </c>
      <c r="CD759" t="s">
        <v>4954</v>
      </c>
      <c r="CE759" s="1482">
        <v>45880.736458333333</v>
      </c>
    </row>
    <row r="760" spans="1:83" ht="150" x14ac:dyDescent="0.25">
      <c r="A760">
        <v>2022</v>
      </c>
      <c r="B760" t="s">
        <v>1073</v>
      </c>
      <c r="C760" t="s">
        <v>1360</v>
      </c>
      <c r="D760" t="s">
        <v>1361</v>
      </c>
      <c r="E760" t="s">
        <v>281</v>
      </c>
      <c r="F760" t="s">
        <v>784</v>
      </c>
      <c r="G760" t="s">
        <v>23</v>
      </c>
      <c r="H760" t="s">
        <v>59</v>
      </c>
      <c r="I760">
        <v>44818</v>
      </c>
      <c r="J760">
        <v>44876</v>
      </c>
      <c r="K760">
        <v>44859</v>
      </c>
      <c r="L760">
        <v>17</v>
      </c>
      <c r="N760" t="s">
        <v>120</v>
      </c>
      <c r="O760">
        <v>44866</v>
      </c>
      <c r="P760" t="s">
        <v>739</v>
      </c>
      <c r="Q760">
        <v>18768.990099999999</v>
      </c>
      <c r="R760">
        <v>7.0000000000000007E-2</v>
      </c>
      <c r="V760">
        <v>1175</v>
      </c>
      <c r="X760">
        <v>254704.24</v>
      </c>
      <c r="Z760">
        <v>13424.19</v>
      </c>
      <c r="AA760">
        <v>268128.43</v>
      </c>
      <c r="AB760">
        <v>44860</v>
      </c>
      <c r="AC760" t="s">
        <v>709</v>
      </c>
      <c r="AD760" t="s">
        <v>116</v>
      </c>
      <c r="AM760" t="s">
        <v>116</v>
      </c>
      <c r="AN760" t="s">
        <v>709</v>
      </c>
      <c r="AO760" t="s">
        <v>115</v>
      </c>
      <c r="AS760">
        <v>0</v>
      </c>
      <c r="AT760">
        <v>0</v>
      </c>
      <c r="AU760">
        <v>0</v>
      </c>
      <c r="AY760" t="s">
        <v>709</v>
      </c>
      <c r="AZ760">
        <v>11</v>
      </c>
      <c r="BA760" s="4" t="s">
        <v>1362</v>
      </c>
      <c r="BB760" t="s">
        <v>1363</v>
      </c>
      <c r="BC760" t="s">
        <v>115</v>
      </c>
      <c r="BD760" t="s">
        <v>115</v>
      </c>
      <c r="BE760" t="s">
        <v>1364</v>
      </c>
      <c r="BF760" t="s">
        <v>1364</v>
      </c>
      <c r="BG760" t="s">
        <v>115</v>
      </c>
      <c r="BI760" t="s">
        <v>709</v>
      </c>
      <c r="BJ760" t="s">
        <v>709</v>
      </c>
      <c r="BK760" t="s">
        <v>709</v>
      </c>
      <c r="BL760" t="s">
        <v>116</v>
      </c>
      <c r="BM760" t="s">
        <v>709</v>
      </c>
      <c r="BN760" t="s">
        <v>709</v>
      </c>
      <c r="BO760" t="s">
        <v>709</v>
      </c>
      <c r="BP760" t="s">
        <v>709</v>
      </c>
      <c r="BQ760" t="s">
        <v>709</v>
      </c>
      <c r="BR760">
        <v>1175</v>
      </c>
      <c r="BS760" t="s">
        <v>709</v>
      </c>
      <c r="BT760" t="s">
        <v>745</v>
      </c>
      <c r="BU760" t="s">
        <v>709</v>
      </c>
      <c r="BV760" t="s">
        <v>709</v>
      </c>
      <c r="BW760" t="s">
        <v>709</v>
      </c>
      <c r="BX760" t="s">
        <v>745</v>
      </c>
      <c r="BY760" t="s">
        <v>745</v>
      </c>
      <c r="BZ760" t="s">
        <v>709</v>
      </c>
      <c r="CB760">
        <v>756</v>
      </c>
      <c r="CC760" t="b">
        <v>1</v>
      </c>
      <c r="CD760" t="s">
        <v>4955</v>
      </c>
      <c r="CE760" s="1482">
        <v>45880.736458333333</v>
      </c>
    </row>
    <row r="761" spans="1:83" x14ac:dyDescent="0.25">
      <c r="A761">
        <v>2022</v>
      </c>
      <c r="B761" t="s">
        <v>1073</v>
      </c>
      <c r="C761" t="s">
        <v>4780</v>
      </c>
      <c r="D761">
        <v>1611434</v>
      </c>
      <c r="E761" t="s">
        <v>4246</v>
      </c>
      <c r="F761" t="s">
        <v>784</v>
      </c>
      <c r="G761" t="s">
        <v>23</v>
      </c>
      <c r="H761" t="s">
        <v>4001</v>
      </c>
      <c r="I761">
        <v>44858</v>
      </c>
      <c r="J761" t="s">
        <v>2052</v>
      </c>
      <c r="K761">
        <v>44860</v>
      </c>
      <c r="L761">
        <v>2</v>
      </c>
      <c r="M761" t="s">
        <v>4956</v>
      </c>
      <c r="N761" t="s">
        <v>120</v>
      </c>
      <c r="O761">
        <v>44866</v>
      </c>
      <c r="P761" t="s">
        <v>739</v>
      </c>
      <c r="Q761">
        <v>1540</v>
      </c>
      <c r="R761" t="s">
        <v>1922</v>
      </c>
      <c r="U761">
        <v>1540</v>
      </c>
      <c r="AB761" t="s">
        <v>29</v>
      </c>
      <c r="AD761" t="s">
        <v>116</v>
      </c>
      <c r="AM761" t="s">
        <v>709</v>
      </c>
      <c r="AY761" t="s">
        <v>29</v>
      </c>
      <c r="BA761">
        <v>4</v>
      </c>
      <c r="BI761" t="s">
        <v>709</v>
      </c>
      <c r="BJ761" t="s">
        <v>709</v>
      </c>
      <c r="BK761" t="s">
        <v>709</v>
      </c>
      <c r="BL761" t="s">
        <v>116</v>
      </c>
      <c r="BM761" t="s">
        <v>709</v>
      </c>
      <c r="BN761" t="s">
        <v>709</v>
      </c>
      <c r="BO761" t="s">
        <v>709</v>
      </c>
      <c r="BP761">
        <v>245</v>
      </c>
      <c r="BQ761">
        <v>5519</v>
      </c>
      <c r="BR761">
        <v>3143</v>
      </c>
      <c r="BS761" t="s">
        <v>709</v>
      </c>
      <c r="BT761" t="s">
        <v>745</v>
      </c>
      <c r="BU761" t="s">
        <v>709</v>
      </c>
      <c r="BV761" t="s">
        <v>745</v>
      </c>
      <c r="BW761" t="s">
        <v>709</v>
      </c>
      <c r="BX761" t="s">
        <v>745</v>
      </c>
      <c r="BY761" t="s">
        <v>745</v>
      </c>
      <c r="BZ761" t="s">
        <v>709</v>
      </c>
      <c r="CB761">
        <v>759</v>
      </c>
      <c r="CC761" t="b">
        <v>1</v>
      </c>
      <c r="CD761" t="s">
        <v>4957</v>
      </c>
      <c r="CE761" s="1482">
        <v>45880.73646990741</v>
      </c>
    </row>
    <row r="762" spans="1:83" ht="405" x14ac:dyDescent="0.25">
      <c r="A762">
        <v>2022</v>
      </c>
      <c r="B762" t="s">
        <v>4</v>
      </c>
      <c r="C762" t="s">
        <v>1365</v>
      </c>
      <c r="D762" t="s">
        <v>1366</v>
      </c>
      <c r="E762" t="s">
        <v>1004</v>
      </c>
      <c r="F762" t="s">
        <v>747</v>
      </c>
      <c r="G762" t="s">
        <v>23</v>
      </c>
      <c r="H762" t="s">
        <v>59</v>
      </c>
      <c r="I762">
        <v>44631</v>
      </c>
      <c r="J762">
        <v>44862</v>
      </c>
      <c r="K762">
        <v>44860</v>
      </c>
      <c r="L762">
        <v>2</v>
      </c>
      <c r="N762" t="s">
        <v>120</v>
      </c>
      <c r="O762">
        <v>44896</v>
      </c>
      <c r="P762" t="s">
        <v>739</v>
      </c>
      <c r="Q762">
        <v>162589.47099999999</v>
      </c>
      <c r="R762">
        <v>0.1</v>
      </c>
      <c r="V762">
        <v>6132</v>
      </c>
      <c r="X762">
        <v>1560406.45</v>
      </c>
      <c r="Z762">
        <v>65488.26</v>
      </c>
      <c r="AA762">
        <v>1625894.71</v>
      </c>
      <c r="AB762">
        <v>44881</v>
      </c>
      <c r="AC762" t="s">
        <v>709</v>
      </c>
      <c r="AD762" t="s">
        <v>29</v>
      </c>
      <c r="AM762" t="s">
        <v>116</v>
      </c>
      <c r="AN762" t="s">
        <v>709</v>
      </c>
      <c r="AO762">
        <v>11051711</v>
      </c>
      <c r="AS762">
        <v>0</v>
      </c>
      <c r="AT762">
        <v>0</v>
      </c>
      <c r="AU762">
        <v>0</v>
      </c>
      <c r="AY762" t="s">
        <v>709</v>
      </c>
      <c r="AZ762">
        <v>73</v>
      </c>
      <c r="BA762" s="4" t="s">
        <v>1367</v>
      </c>
      <c r="BB762" t="s">
        <v>787</v>
      </c>
      <c r="BC762" t="s">
        <v>116</v>
      </c>
      <c r="BD762" t="s">
        <v>788</v>
      </c>
      <c r="BE762" t="s">
        <v>495</v>
      </c>
      <c r="BF762" t="s">
        <v>115</v>
      </c>
      <c r="BG762" t="s">
        <v>115</v>
      </c>
      <c r="BI762" t="s">
        <v>709</v>
      </c>
      <c r="BJ762" t="s">
        <v>709</v>
      </c>
      <c r="BK762" t="s">
        <v>116</v>
      </c>
      <c r="BL762" t="s">
        <v>116</v>
      </c>
      <c r="BM762" t="s">
        <v>709</v>
      </c>
      <c r="BN762">
        <v>189</v>
      </c>
      <c r="BO762" t="s">
        <v>709</v>
      </c>
      <c r="BP762" t="s">
        <v>709</v>
      </c>
      <c r="BQ762" t="s">
        <v>709</v>
      </c>
      <c r="BR762">
        <v>3731</v>
      </c>
      <c r="BS762">
        <v>2212</v>
      </c>
      <c r="BT762" t="s">
        <v>745</v>
      </c>
      <c r="BU762" t="s">
        <v>709</v>
      </c>
      <c r="BV762" t="s">
        <v>745</v>
      </c>
      <c r="BW762" t="s">
        <v>709</v>
      </c>
      <c r="BX762" t="s">
        <v>709</v>
      </c>
      <c r="BY762" t="s">
        <v>745</v>
      </c>
      <c r="BZ762" t="s">
        <v>709</v>
      </c>
      <c r="CB762">
        <v>760</v>
      </c>
      <c r="CC762" t="b">
        <v>1</v>
      </c>
      <c r="CD762" t="s">
        <v>4958</v>
      </c>
      <c r="CE762" s="1482">
        <v>45880.73646990741</v>
      </c>
    </row>
    <row r="763" spans="1:83" ht="135" x14ac:dyDescent="0.25">
      <c r="A763">
        <v>2023</v>
      </c>
      <c r="B763" t="s">
        <v>759</v>
      </c>
      <c r="C763" t="s">
        <v>326</v>
      </c>
      <c r="D763" t="s">
        <v>1368</v>
      </c>
      <c r="E763" t="s">
        <v>327</v>
      </c>
      <c r="F763" t="s">
        <v>752</v>
      </c>
      <c r="G763" t="s">
        <v>32</v>
      </c>
      <c r="H763" t="s">
        <v>59</v>
      </c>
      <c r="I763">
        <v>44788</v>
      </c>
      <c r="J763">
        <v>44865</v>
      </c>
      <c r="K763">
        <v>44861</v>
      </c>
      <c r="L763">
        <v>4</v>
      </c>
      <c r="N763" t="s">
        <v>120</v>
      </c>
      <c r="O763">
        <v>44866</v>
      </c>
      <c r="P763" t="s">
        <v>739</v>
      </c>
      <c r="Q763">
        <v>25950.773799999999</v>
      </c>
      <c r="R763" t="s">
        <v>1055</v>
      </c>
      <c r="V763">
        <v>6</v>
      </c>
      <c r="W763">
        <v>2</v>
      </c>
      <c r="X763">
        <v>173326.94</v>
      </c>
      <c r="Z763">
        <v>40799.81</v>
      </c>
      <c r="AA763">
        <v>214126.75</v>
      </c>
      <c r="AB763">
        <v>44887</v>
      </c>
      <c r="AC763" t="s">
        <v>116</v>
      </c>
      <c r="AD763" t="s">
        <v>709</v>
      </c>
      <c r="AE763" t="s">
        <v>29</v>
      </c>
      <c r="AF763" t="s">
        <v>29</v>
      </c>
      <c r="AG763" t="s">
        <v>29</v>
      </c>
      <c r="AH763" t="s">
        <v>29</v>
      </c>
      <c r="AM763" t="s">
        <v>116</v>
      </c>
      <c r="AN763" t="s">
        <v>709</v>
      </c>
      <c r="AO763" t="s">
        <v>115</v>
      </c>
      <c r="AS763">
        <v>0</v>
      </c>
      <c r="AT763">
        <v>0</v>
      </c>
      <c r="AU763">
        <v>0</v>
      </c>
      <c r="AY763" t="s">
        <v>709</v>
      </c>
      <c r="AZ763">
        <v>189</v>
      </c>
      <c r="BA763" s="4" t="s">
        <v>1369</v>
      </c>
      <c r="BB763" t="s">
        <v>1370</v>
      </c>
      <c r="BC763" t="s">
        <v>709</v>
      </c>
      <c r="BD763" t="s">
        <v>882</v>
      </c>
      <c r="BE763" t="s">
        <v>448</v>
      </c>
      <c r="BF763" t="s">
        <v>115</v>
      </c>
      <c r="BG763" t="s">
        <v>115</v>
      </c>
      <c r="BH763" t="s">
        <v>4959</v>
      </c>
      <c r="BI763" t="s">
        <v>709</v>
      </c>
      <c r="BJ763" t="s">
        <v>709</v>
      </c>
      <c r="BK763" t="s">
        <v>116</v>
      </c>
      <c r="BL763" t="s">
        <v>709</v>
      </c>
      <c r="BM763">
        <v>0</v>
      </c>
      <c r="BN763">
        <v>0</v>
      </c>
      <c r="BO763">
        <v>0</v>
      </c>
      <c r="BP763">
        <v>0</v>
      </c>
      <c r="BQ763">
        <v>0</v>
      </c>
      <c r="BR763">
        <v>6</v>
      </c>
      <c r="BS763">
        <v>0</v>
      </c>
      <c r="BT763">
        <v>0</v>
      </c>
      <c r="BU763">
        <v>0</v>
      </c>
      <c r="BV763">
        <v>0</v>
      </c>
      <c r="BW763">
        <v>1</v>
      </c>
      <c r="BX763">
        <v>1</v>
      </c>
      <c r="BY763">
        <v>0</v>
      </c>
      <c r="BZ763" t="s">
        <v>709</v>
      </c>
      <c r="CA763" t="s">
        <v>2</v>
      </c>
      <c r="CB763">
        <v>761</v>
      </c>
      <c r="CC763" t="b">
        <v>1</v>
      </c>
      <c r="CD763" t="s">
        <v>4960</v>
      </c>
      <c r="CE763" s="1482">
        <v>45880.736481481479</v>
      </c>
    </row>
    <row r="764" spans="1:83" x14ac:dyDescent="0.25">
      <c r="A764">
        <v>2021</v>
      </c>
      <c r="B764" t="s">
        <v>771</v>
      </c>
      <c r="C764" t="s">
        <v>1238</v>
      </c>
      <c r="D764" t="s">
        <v>1239</v>
      </c>
      <c r="E764" t="s">
        <v>272</v>
      </c>
      <c r="F764" t="s">
        <v>919</v>
      </c>
      <c r="G764" t="s">
        <v>1882</v>
      </c>
      <c r="H764" t="s">
        <v>3178</v>
      </c>
      <c r="I764">
        <v>44827</v>
      </c>
      <c r="J764" t="s">
        <v>2052</v>
      </c>
      <c r="K764">
        <v>44862</v>
      </c>
      <c r="L764">
        <v>35</v>
      </c>
      <c r="M764" t="s">
        <v>4961</v>
      </c>
      <c r="N764" t="s">
        <v>120</v>
      </c>
      <c r="O764">
        <v>44866</v>
      </c>
      <c r="P764" t="s">
        <v>120</v>
      </c>
      <c r="Q764">
        <v>9517.5</v>
      </c>
      <c r="R764" t="s">
        <v>1922</v>
      </c>
      <c r="U764">
        <v>9517.5</v>
      </c>
      <c r="AB764" t="s">
        <v>29</v>
      </c>
      <c r="AD764" t="s">
        <v>709</v>
      </c>
      <c r="AM764" t="s">
        <v>709</v>
      </c>
      <c r="AY764" t="s">
        <v>29</v>
      </c>
      <c r="BA764">
        <v>11</v>
      </c>
      <c r="BB764" t="s">
        <v>4962</v>
      </c>
      <c r="BI764" t="s">
        <v>709</v>
      </c>
      <c r="BJ764" t="s">
        <v>709</v>
      </c>
      <c r="BK764" t="s">
        <v>709</v>
      </c>
      <c r="BL764" t="s">
        <v>116</v>
      </c>
      <c r="BM764" t="s">
        <v>709</v>
      </c>
      <c r="BN764" t="s">
        <v>709</v>
      </c>
      <c r="BO764" t="s">
        <v>709</v>
      </c>
      <c r="BP764" t="s">
        <v>709</v>
      </c>
      <c r="BQ764">
        <v>1164</v>
      </c>
      <c r="BR764" t="s">
        <v>709</v>
      </c>
      <c r="BS764">
        <v>789</v>
      </c>
      <c r="BT764" t="s">
        <v>745</v>
      </c>
      <c r="BU764" t="s">
        <v>709</v>
      </c>
      <c r="BV764" t="s">
        <v>745</v>
      </c>
      <c r="BW764" t="s">
        <v>709</v>
      </c>
      <c r="BX764" t="s">
        <v>745</v>
      </c>
      <c r="BY764" t="s">
        <v>745</v>
      </c>
      <c r="BZ764" t="s">
        <v>709</v>
      </c>
      <c r="CB764">
        <v>763</v>
      </c>
      <c r="CC764" t="b">
        <v>1</v>
      </c>
      <c r="CD764" t="s">
        <v>4963</v>
      </c>
      <c r="CE764" s="1482">
        <v>45880.736493055556</v>
      </c>
    </row>
    <row r="765" spans="1:83" x14ac:dyDescent="0.25">
      <c r="A765">
        <v>2022</v>
      </c>
      <c r="B765" t="s">
        <v>769</v>
      </c>
      <c r="C765" t="s">
        <v>4964</v>
      </c>
      <c r="D765" t="s">
        <v>4965</v>
      </c>
      <c r="E765" t="s">
        <v>2375</v>
      </c>
      <c r="F765" t="s">
        <v>784</v>
      </c>
      <c r="G765" t="s">
        <v>24</v>
      </c>
      <c r="H765" t="s">
        <v>59</v>
      </c>
      <c r="I765">
        <v>44817</v>
      </c>
      <c r="J765">
        <v>44867</v>
      </c>
      <c r="K765">
        <v>44862</v>
      </c>
      <c r="L765">
        <v>5</v>
      </c>
      <c r="N765" t="s">
        <v>120</v>
      </c>
      <c r="O765">
        <v>44866</v>
      </c>
      <c r="P765" t="s">
        <v>739</v>
      </c>
      <c r="Q765">
        <v>8549.6844999999994</v>
      </c>
      <c r="R765">
        <v>7.0000000000000007E-2</v>
      </c>
      <c r="V765">
        <v>0</v>
      </c>
      <c r="X765">
        <v>94445.52</v>
      </c>
      <c r="Z765">
        <v>27692.83</v>
      </c>
      <c r="AA765">
        <v>122138.35</v>
      </c>
      <c r="AB765">
        <v>44872</v>
      </c>
      <c r="AC765" t="s">
        <v>1056</v>
      </c>
      <c r="AD765" t="s">
        <v>709</v>
      </c>
      <c r="AE765" t="s">
        <v>29</v>
      </c>
      <c r="AF765" t="s">
        <v>29</v>
      </c>
      <c r="AG765" t="s">
        <v>29</v>
      </c>
      <c r="AH765" t="s">
        <v>29</v>
      </c>
      <c r="AM765" t="s">
        <v>116</v>
      </c>
      <c r="AN765">
        <v>44936</v>
      </c>
      <c r="AO765">
        <v>11051801</v>
      </c>
      <c r="AP765">
        <v>94445.52</v>
      </c>
      <c r="AR765">
        <v>27692.83</v>
      </c>
      <c r="AS765">
        <v>122138.35</v>
      </c>
      <c r="AT765">
        <v>0</v>
      </c>
      <c r="AU765">
        <v>0</v>
      </c>
      <c r="AV765" t="s">
        <v>709</v>
      </c>
      <c r="AY765" t="s">
        <v>1935</v>
      </c>
      <c r="BA765" t="s">
        <v>4966</v>
      </c>
      <c r="BB765" t="s">
        <v>4967</v>
      </c>
      <c r="BC765" t="s">
        <v>115</v>
      </c>
      <c r="BD765" t="s">
        <v>115</v>
      </c>
      <c r="BE765" t="s">
        <v>3205</v>
      </c>
      <c r="BF765" t="s">
        <v>115</v>
      </c>
      <c r="BG765" t="s">
        <v>4968</v>
      </c>
      <c r="BI765" t="s">
        <v>709</v>
      </c>
      <c r="BJ765" t="s">
        <v>709</v>
      </c>
      <c r="BK765" t="s">
        <v>116</v>
      </c>
      <c r="BL765" t="s">
        <v>116</v>
      </c>
      <c r="BM765" t="s">
        <v>709</v>
      </c>
      <c r="BN765" t="s">
        <v>709</v>
      </c>
      <c r="BO765" t="s">
        <v>709</v>
      </c>
      <c r="BP765" t="s">
        <v>709</v>
      </c>
      <c r="BQ765" t="s">
        <v>709</v>
      </c>
      <c r="BR765">
        <v>214</v>
      </c>
      <c r="BS765" t="s">
        <v>709</v>
      </c>
      <c r="BT765" t="s">
        <v>745</v>
      </c>
      <c r="BU765" t="s">
        <v>709</v>
      </c>
      <c r="BV765" t="s">
        <v>745</v>
      </c>
      <c r="BW765" t="s">
        <v>709</v>
      </c>
      <c r="BX765" t="s">
        <v>745</v>
      </c>
      <c r="BY765">
        <v>1</v>
      </c>
      <c r="BZ765" t="s">
        <v>709</v>
      </c>
      <c r="CA765" t="s">
        <v>769</v>
      </c>
      <c r="CB765">
        <v>764</v>
      </c>
      <c r="CC765" t="b">
        <v>1</v>
      </c>
      <c r="CD765" t="s">
        <v>4969</v>
      </c>
      <c r="CE765" s="1482">
        <v>45880.736493055556</v>
      </c>
    </row>
    <row r="766" spans="1:83" x14ac:dyDescent="0.25">
      <c r="A766">
        <v>2022</v>
      </c>
      <c r="B766" t="s">
        <v>769</v>
      </c>
      <c r="C766" t="s">
        <v>4970</v>
      </c>
      <c r="D766" t="s">
        <v>4971</v>
      </c>
      <c r="E766" t="s">
        <v>2375</v>
      </c>
      <c r="F766" t="s">
        <v>784</v>
      </c>
      <c r="G766" t="s">
        <v>24</v>
      </c>
      <c r="H766" t="s">
        <v>59</v>
      </c>
      <c r="I766">
        <v>44817</v>
      </c>
      <c r="J766">
        <v>44867</v>
      </c>
      <c r="K766">
        <v>44862</v>
      </c>
      <c r="L766">
        <v>5</v>
      </c>
      <c r="N766" t="s">
        <v>120</v>
      </c>
      <c r="O766">
        <v>44866</v>
      </c>
      <c r="P766" t="s">
        <v>739</v>
      </c>
      <c r="Q766">
        <v>5542.4291999999996</v>
      </c>
      <c r="R766">
        <v>7.0000000000000007E-2</v>
      </c>
      <c r="V766">
        <v>0</v>
      </c>
      <c r="X766">
        <v>48090.79</v>
      </c>
      <c r="Z766">
        <v>31086.77</v>
      </c>
      <c r="AA766">
        <v>79177.56</v>
      </c>
      <c r="AB766">
        <v>44872</v>
      </c>
      <c r="AC766" t="s">
        <v>1056</v>
      </c>
      <c r="AD766" t="s">
        <v>709</v>
      </c>
      <c r="AE766" t="s">
        <v>29</v>
      </c>
      <c r="AF766" t="s">
        <v>29</v>
      </c>
      <c r="AG766" t="s">
        <v>29</v>
      </c>
      <c r="AH766" t="s">
        <v>29</v>
      </c>
      <c r="AM766" t="s">
        <v>116</v>
      </c>
      <c r="AN766">
        <v>44936</v>
      </c>
      <c r="AO766">
        <v>11051800</v>
      </c>
      <c r="AP766">
        <v>48090.79</v>
      </c>
      <c r="AR766">
        <v>31086.77</v>
      </c>
      <c r="AS766">
        <v>79177.56</v>
      </c>
      <c r="AT766">
        <v>0</v>
      </c>
      <c r="AU766">
        <v>0</v>
      </c>
      <c r="AV766" t="s">
        <v>709</v>
      </c>
      <c r="AY766" t="s">
        <v>1935</v>
      </c>
      <c r="BA766" t="s">
        <v>4972</v>
      </c>
      <c r="BB766" t="s">
        <v>4967</v>
      </c>
      <c r="BC766" t="s">
        <v>115</v>
      </c>
      <c r="BD766" t="s">
        <v>115</v>
      </c>
      <c r="BE766" t="s">
        <v>3205</v>
      </c>
      <c r="BF766" t="s">
        <v>115</v>
      </c>
      <c r="BG766" t="s">
        <v>4968</v>
      </c>
      <c r="BI766" t="s">
        <v>709</v>
      </c>
      <c r="BJ766" t="s">
        <v>709</v>
      </c>
      <c r="BK766" t="s">
        <v>116</v>
      </c>
      <c r="BL766" t="s">
        <v>116</v>
      </c>
      <c r="BM766" t="s">
        <v>709</v>
      </c>
      <c r="BN766" t="s">
        <v>709</v>
      </c>
      <c r="BO766" t="s">
        <v>709</v>
      </c>
      <c r="BP766" t="s">
        <v>709</v>
      </c>
      <c r="BQ766" t="s">
        <v>709</v>
      </c>
      <c r="BR766">
        <v>214</v>
      </c>
      <c r="BS766" t="s">
        <v>709</v>
      </c>
      <c r="BT766" t="s">
        <v>745</v>
      </c>
      <c r="BU766" t="s">
        <v>709</v>
      </c>
      <c r="BV766" t="s">
        <v>745</v>
      </c>
      <c r="BW766" t="s">
        <v>709</v>
      </c>
      <c r="BX766" t="s">
        <v>745</v>
      </c>
      <c r="BY766">
        <v>1</v>
      </c>
      <c r="BZ766" t="s">
        <v>709</v>
      </c>
      <c r="CA766" t="s">
        <v>769</v>
      </c>
      <c r="CB766">
        <v>765</v>
      </c>
      <c r="CC766" t="b">
        <v>1</v>
      </c>
      <c r="CD766" t="s">
        <v>4973</v>
      </c>
      <c r="CE766" s="1482">
        <v>45880.736504629633</v>
      </c>
    </row>
    <row r="767" spans="1:83" ht="180" x14ac:dyDescent="0.25">
      <c r="A767">
        <v>2023</v>
      </c>
      <c r="B767" t="s">
        <v>730</v>
      </c>
      <c r="C767" t="s">
        <v>1371</v>
      </c>
      <c r="D767" t="s">
        <v>1372</v>
      </c>
      <c r="E767" t="s">
        <v>1373</v>
      </c>
      <c r="F767" t="s">
        <v>752</v>
      </c>
      <c r="G767" t="s">
        <v>34</v>
      </c>
      <c r="H767" t="s">
        <v>59</v>
      </c>
      <c r="I767">
        <v>44750</v>
      </c>
      <c r="J767">
        <v>44862</v>
      </c>
      <c r="K767">
        <v>44862</v>
      </c>
      <c r="L767">
        <v>0</v>
      </c>
      <c r="N767" t="s">
        <v>120</v>
      </c>
      <c r="O767">
        <v>44866</v>
      </c>
      <c r="P767" t="s">
        <v>120</v>
      </c>
      <c r="Q767">
        <v>40167.617400000003</v>
      </c>
      <c r="R767">
        <v>0.09</v>
      </c>
      <c r="V767">
        <v>1949</v>
      </c>
      <c r="X767">
        <v>405369.01</v>
      </c>
      <c r="Z767">
        <v>40937.85</v>
      </c>
      <c r="AA767">
        <v>446306.86</v>
      </c>
      <c r="AB767">
        <v>44867</v>
      </c>
      <c r="AC767" t="s">
        <v>709</v>
      </c>
      <c r="AD767" t="s">
        <v>709</v>
      </c>
      <c r="AM767" t="s">
        <v>116</v>
      </c>
      <c r="AN767">
        <v>45573</v>
      </c>
      <c r="AO767">
        <v>11091536</v>
      </c>
      <c r="AP767">
        <v>351493.28</v>
      </c>
      <c r="AR767">
        <v>40937.85</v>
      </c>
      <c r="AS767">
        <v>392431.13</v>
      </c>
      <c r="AT767">
        <v>-53875.73</v>
      </c>
      <c r="AU767">
        <v>-4848.8157000000001</v>
      </c>
      <c r="AV767">
        <v>0</v>
      </c>
      <c r="AW767" t="s">
        <v>4974</v>
      </c>
      <c r="AX767">
        <v>0</v>
      </c>
      <c r="AY767">
        <v>45901</v>
      </c>
      <c r="AZ767">
        <v>28</v>
      </c>
      <c r="BA767" s="4" t="s">
        <v>1374</v>
      </c>
      <c r="BB767" t="s">
        <v>1375</v>
      </c>
      <c r="BC767" t="s">
        <v>116</v>
      </c>
      <c r="BD767" t="s">
        <v>115</v>
      </c>
      <c r="BE767" t="s">
        <v>115</v>
      </c>
      <c r="BF767" t="s">
        <v>1376</v>
      </c>
      <c r="BG767" t="s">
        <v>115</v>
      </c>
      <c r="BI767" t="s">
        <v>709</v>
      </c>
      <c r="BJ767" t="s">
        <v>709</v>
      </c>
      <c r="BK767" t="s">
        <v>709</v>
      </c>
      <c r="BL767" t="s">
        <v>116</v>
      </c>
      <c r="BM767" t="s">
        <v>709</v>
      </c>
      <c r="BN767" t="s">
        <v>709</v>
      </c>
      <c r="BO767" t="s">
        <v>709</v>
      </c>
      <c r="BP767" t="s">
        <v>709</v>
      </c>
      <c r="BQ767" t="s">
        <v>709</v>
      </c>
      <c r="BR767" t="s">
        <v>709</v>
      </c>
      <c r="BS767">
        <v>1949</v>
      </c>
      <c r="BT767" t="s">
        <v>709</v>
      </c>
      <c r="BU767" t="s">
        <v>709</v>
      </c>
      <c r="BV767" t="s">
        <v>745</v>
      </c>
      <c r="BW767" t="s">
        <v>709</v>
      </c>
      <c r="BX767" t="s">
        <v>709</v>
      </c>
      <c r="BY767" t="s">
        <v>745</v>
      </c>
      <c r="BZ767" t="s">
        <v>709</v>
      </c>
      <c r="CB767">
        <v>762</v>
      </c>
      <c r="CC767" t="b">
        <v>1</v>
      </c>
      <c r="CD767" t="s">
        <v>4975</v>
      </c>
      <c r="CE767" s="1482">
        <v>45880.736516203702</v>
      </c>
    </row>
    <row r="768" spans="1:83" ht="270" x14ac:dyDescent="0.25">
      <c r="A768">
        <v>2022</v>
      </c>
      <c r="B768" t="s">
        <v>1205</v>
      </c>
      <c r="C768" t="s">
        <v>4976</v>
      </c>
      <c r="D768" t="s">
        <v>4977</v>
      </c>
      <c r="E768" t="s">
        <v>2000</v>
      </c>
      <c r="F768" t="s">
        <v>784</v>
      </c>
      <c r="G768" t="s">
        <v>22</v>
      </c>
      <c r="H768" t="s">
        <v>59</v>
      </c>
      <c r="I768">
        <v>44826</v>
      </c>
      <c r="J768">
        <v>44868</v>
      </c>
      <c r="K768">
        <v>44865</v>
      </c>
      <c r="L768">
        <v>3</v>
      </c>
      <c r="N768" t="s">
        <v>120</v>
      </c>
      <c r="O768">
        <v>44866</v>
      </c>
      <c r="P768" t="s">
        <v>739</v>
      </c>
      <c r="Q768">
        <v>20247.030900000002</v>
      </c>
      <c r="R768">
        <v>0.09</v>
      </c>
      <c r="V768">
        <v>602</v>
      </c>
      <c r="X768">
        <v>199938.94</v>
      </c>
      <c r="Z768">
        <v>25028.07</v>
      </c>
      <c r="AA768">
        <v>224967.01</v>
      </c>
      <c r="AB768">
        <v>44881</v>
      </c>
      <c r="AC768" t="s">
        <v>709</v>
      </c>
      <c r="AD768" t="s">
        <v>29</v>
      </c>
      <c r="AM768" t="s">
        <v>116</v>
      </c>
      <c r="AN768">
        <v>44965</v>
      </c>
      <c r="AO768">
        <v>11053531</v>
      </c>
      <c r="AP768">
        <v>212250.89</v>
      </c>
      <c r="AR768">
        <v>25610.47</v>
      </c>
      <c r="AS768">
        <v>237861.36</v>
      </c>
      <c r="AT768">
        <v>12894.35</v>
      </c>
      <c r="AU768">
        <v>1160.4915000000001</v>
      </c>
      <c r="AV768">
        <v>3780</v>
      </c>
      <c r="AW768" t="s">
        <v>4978</v>
      </c>
      <c r="AX768">
        <v>0</v>
      </c>
      <c r="AY768">
        <v>45200</v>
      </c>
      <c r="BA768" s="4" t="s">
        <v>4979</v>
      </c>
      <c r="BB768" t="s">
        <v>4980</v>
      </c>
      <c r="BC768" t="s">
        <v>709</v>
      </c>
      <c r="BD768" t="s">
        <v>115</v>
      </c>
      <c r="BE768" t="s">
        <v>4667</v>
      </c>
      <c r="BF768" t="s">
        <v>115</v>
      </c>
      <c r="BG768" t="s">
        <v>115</v>
      </c>
      <c r="BI768" t="s">
        <v>709</v>
      </c>
      <c r="BJ768" t="s">
        <v>709</v>
      </c>
      <c r="BK768" t="s">
        <v>709</v>
      </c>
      <c r="BL768" t="s">
        <v>116</v>
      </c>
      <c r="BM768" t="s">
        <v>709</v>
      </c>
      <c r="BN768" t="s">
        <v>709</v>
      </c>
      <c r="BO768" t="s">
        <v>709</v>
      </c>
      <c r="BP768" t="s">
        <v>709</v>
      </c>
      <c r="BQ768" t="s">
        <v>709</v>
      </c>
      <c r="BR768" t="s">
        <v>709</v>
      </c>
      <c r="BS768">
        <v>602</v>
      </c>
      <c r="BT768" t="s">
        <v>745</v>
      </c>
      <c r="BU768" t="s">
        <v>709</v>
      </c>
      <c r="BV768" t="s">
        <v>745</v>
      </c>
      <c r="BW768" t="s">
        <v>709</v>
      </c>
      <c r="BX768" t="s">
        <v>745</v>
      </c>
      <c r="BY768" t="s">
        <v>745</v>
      </c>
      <c r="BZ768" t="s">
        <v>709</v>
      </c>
      <c r="CB768">
        <v>766</v>
      </c>
      <c r="CC768" t="b">
        <v>1</v>
      </c>
      <c r="CD768" t="s">
        <v>4981</v>
      </c>
      <c r="CE768" s="1482">
        <v>45880.736516203702</v>
      </c>
    </row>
    <row r="769" spans="1:83" ht="195" x14ac:dyDescent="0.25">
      <c r="A769">
        <v>2022</v>
      </c>
      <c r="B769" t="s">
        <v>4</v>
      </c>
      <c r="C769" t="s">
        <v>4982</v>
      </c>
      <c r="D769" t="s">
        <v>4983</v>
      </c>
      <c r="E769" t="s">
        <v>232</v>
      </c>
      <c r="F769" t="s">
        <v>747</v>
      </c>
      <c r="G769" t="s">
        <v>25</v>
      </c>
      <c r="H769" t="s">
        <v>59</v>
      </c>
      <c r="I769">
        <v>44784</v>
      </c>
      <c r="J769">
        <v>44897</v>
      </c>
      <c r="K769">
        <v>44865</v>
      </c>
      <c r="L769">
        <v>32</v>
      </c>
      <c r="N769" t="s">
        <v>120</v>
      </c>
      <c r="O769">
        <v>44866</v>
      </c>
      <c r="P769" t="s">
        <v>739</v>
      </c>
      <c r="Q769">
        <v>11657.741</v>
      </c>
      <c r="R769">
        <v>0.1</v>
      </c>
      <c r="V769">
        <v>265</v>
      </c>
      <c r="X769">
        <v>100100.08</v>
      </c>
      <c r="Z769">
        <v>16477.330000000002</v>
      </c>
      <c r="AA769">
        <v>116577.41</v>
      </c>
      <c r="AB769" t="s">
        <v>29</v>
      </c>
      <c r="AC769" t="s">
        <v>709</v>
      </c>
      <c r="AD769" t="s">
        <v>709</v>
      </c>
      <c r="AM769" t="s">
        <v>116</v>
      </c>
      <c r="AN769">
        <v>44924</v>
      </c>
      <c r="AO769">
        <v>11051319</v>
      </c>
      <c r="AP769">
        <v>89934.09</v>
      </c>
      <c r="AR769">
        <v>16893.810000000001</v>
      </c>
      <c r="AS769">
        <v>106827.9</v>
      </c>
      <c r="AT769">
        <v>-9749.51</v>
      </c>
      <c r="AU769">
        <v>-974.95100000000002</v>
      </c>
      <c r="AV769" t="s">
        <v>709</v>
      </c>
      <c r="AW769" t="s">
        <v>4984</v>
      </c>
      <c r="AX769">
        <v>-974.95100000000002</v>
      </c>
      <c r="AY769">
        <v>45008</v>
      </c>
      <c r="BA769" s="4" t="s">
        <v>4985</v>
      </c>
      <c r="BB769" t="s">
        <v>4986</v>
      </c>
      <c r="BC769" t="s">
        <v>115</v>
      </c>
      <c r="BD769" t="s">
        <v>837</v>
      </c>
      <c r="BE769" t="s">
        <v>4987</v>
      </c>
      <c r="BF769" t="s">
        <v>595</v>
      </c>
      <c r="BG769" t="s">
        <v>115</v>
      </c>
      <c r="BI769" t="s">
        <v>709</v>
      </c>
      <c r="BJ769" t="s">
        <v>709</v>
      </c>
      <c r="BK769" t="s">
        <v>709</v>
      </c>
      <c r="BL769" t="s">
        <v>116</v>
      </c>
      <c r="BM769" t="s">
        <v>709</v>
      </c>
      <c r="BN769" t="s">
        <v>709</v>
      </c>
      <c r="BO769" t="s">
        <v>709</v>
      </c>
      <c r="BP769" t="s">
        <v>709</v>
      </c>
      <c r="BQ769" t="s">
        <v>709</v>
      </c>
      <c r="BR769" t="s">
        <v>709</v>
      </c>
      <c r="BS769">
        <v>265</v>
      </c>
      <c r="BT769" t="s">
        <v>745</v>
      </c>
      <c r="BU769" t="s">
        <v>709</v>
      </c>
      <c r="BV769" t="s">
        <v>745</v>
      </c>
      <c r="BW769" t="s">
        <v>709</v>
      </c>
      <c r="BX769" t="s">
        <v>745</v>
      </c>
      <c r="BY769" t="s">
        <v>745</v>
      </c>
      <c r="BZ769" t="s">
        <v>709</v>
      </c>
      <c r="CB769">
        <v>768</v>
      </c>
      <c r="CC769" t="b">
        <v>1</v>
      </c>
      <c r="CD769" t="s">
        <v>4988</v>
      </c>
      <c r="CE769" s="1482">
        <v>45880.736527777779</v>
      </c>
    </row>
    <row r="770" spans="1:83" ht="240" x14ac:dyDescent="0.25">
      <c r="A770">
        <v>2023</v>
      </c>
      <c r="B770" t="s">
        <v>769</v>
      </c>
      <c r="C770" t="s">
        <v>314</v>
      </c>
      <c r="D770" t="s">
        <v>115</v>
      </c>
      <c r="E770" t="s">
        <v>312</v>
      </c>
      <c r="F770" t="s">
        <v>752</v>
      </c>
      <c r="G770" t="s">
        <v>40</v>
      </c>
      <c r="H770" t="s">
        <v>2127</v>
      </c>
      <c r="I770">
        <v>44865</v>
      </c>
      <c r="J770">
        <v>44957</v>
      </c>
      <c r="K770">
        <v>44865</v>
      </c>
      <c r="L770">
        <v>92</v>
      </c>
      <c r="M770" t="s">
        <v>4989</v>
      </c>
      <c r="N770" t="s">
        <v>120</v>
      </c>
      <c r="O770">
        <v>44866</v>
      </c>
      <c r="P770" t="s">
        <v>120</v>
      </c>
      <c r="Q770" t="s">
        <v>115</v>
      </c>
      <c r="R770" t="s">
        <v>115</v>
      </c>
      <c r="AB770" t="s">
        <v>29</v>
      </c>
      <c r="AC770" t="s">
        <v>29</v>
      </c>
      <c r="AM770" t="s">
        <v>709</v>
      </c>
      <c r="AY770" t="s">
        <v>29</v>
      </c>
      <c r="BA770" s="4" t="s">
        <v>4990</v>
      </c>
      <c r="BB770" s="4" t="s">
        <v>4991</v>
      </c>
      <c r="BZ770" t="s">
        <v>709</v>
      </c>
      <c r="CA770" t="s">
        <v>769</v>
      </c>
      <c r="CB770">
        <v>767</v>
      </c>
      <c r="CC770" t="b">
        <v>1</v>
      </c>
      <c r="CD770" t="s">
        <v>4992</v>
      </c>
      <c r="CE770" s="1482">
        <v>45880.736539351848</v>
      </c>
    </row>
    <row r="771" spans="1:83" ht="225" x14ac:dyDescent="0.25">
      <c r="A771">
        <v>2022</v>
      </c>
      <c r="B771" t="s">
        <v>4</v>
      </c>
      <c r="C771" t="s">
        <v>4993</v>
      </c>
      <c r="D771" t="s">
        <v>4994</v>
      </c>
      <c r="E771" t="s">
        <v>76</v>
      </c>
      <c r="F771" t="s">
        <v>784</v>
      </c>
      <c r="G771" t="s">
        <v>27</v>
      </c>
      <c r="H771" t="s">
        <v>59</v>
      </c>
      <c r="I771">
        <v>44718</v>
      </c>
      <c r="J771">
        <v>44869</v>
      </c>
      <c r="K771">
        <v>44868</v>
      </c>
      <c r="L771">
        <v>1</v>
      </c>
      <c r="N771" t="s">
        <v>120</v>
      </c>
      <c r="O771">
        <v>44896</v>
      </c>
      <c r="P771" t="s">
        <v>739</v>
      </c>
      <c r="Q771">
        <v>60948.317000000003</v>
      </c>
      <c r="R771">
        <v>0.1</v>
      </c>
      <c r="V771">
        <v>3566</v>
      </c>
      <c r="X771">
        <v>592642.12</v>
      </c>
      <c r="Z771">
        <v>16841.05</v>
      </c>
      <c r="AA771">
        <v>609483.17000000004</v>
      </c>
      <c r="AB771">
        <v>44881</v>
      </c>
      <c r="AC771" t="s">
        <v>709</v>
      </c>
      <c r="AD771" t="s">
        <v>709</v>
      </c>
      <c r="AM771" t="s">
        <v>116</v>
      </c>
      <c r="AN771">
        <v>45006</v>
      </c>
      <c r="AO771">
        <v>11055878</v>
      </c>
      <c r="AP771">
        <v>685425.94</v>
      </c>
      <c r="AR771">
        <v>17367.62</v>
      </c>
      <c r="AS771">
        <v>702793.56</v>
      </c>
      <c r="AT771">
        <v>93310.39</v>
      </c>
      <c r="AU771">
        <v>9331.0390000000007</v>
      </c>
      <c r="AV771" t="s">
        <v>709</v>
      </c>
      <c r="AW771" t="s">
        <v>4995</v>
      </c>
      <c r="AX771">
        <v>9331.0390000000007</v>
      </c>
      <c r="AY771">
        <v>45200</v>
      </c>
      <c r="BA771" s="4" t="s">
        <v>4996</v>
      </c>
      <c r="BB771" t="s">
        <v>4997</v>
      </c>
      <c r="BC771" t="s">
        <v>115</v>
      </c>
      <c r="BD771" t="s">
        <v>115</v>
      </c>
      <c r="BE771" t="s">
        <v>4997</v>
      </c>
      <c r="BF771" t="s">
        <v>115</v>
      </c>
      <c r="BG771" t="s">
        <v>115</v>
      </c>
      <c r="BI771" t="s">
        <v>709</v>
      </c>
      <c r="BJ771" t="s">
        <v>709</v>
      </c>
      <c r="BK771" t="s">
        <v>709</v>
      </c>
      <c r="BL771" t="s">
        <v>116</v>
      </c>
      <c r="BM771" t="s">
        <v>709</v>
      </c>
      <c r="BN771" t="s">
        <v>709</v>
      </c>
      <c r="BO771" t="s">
        <v>709</v>
      </c>
      <c r="BP771" t="s">
        <v>709</v>
      </c>
      <c r="BQ771" t="s">
        <v>709</v>
      </c>
      <c r="BR771" t="s">
        <v>709</v>
      </c>
      <c r="BS771">
        <v>3566</v>
      </c>
      <c r="BT771" t="s">
        <v>745</v>
      </c>
      <c r="BU771" t="s">
        <v>709</v>
      </c>
      <c r="BV771" t="s">
        <v>745</v>
      </c>
      <c r="BW771" t="s">
        <v>709</v>
      </c>
      <c r="BX771" t="s">
        <v>745</v>
      </c>
      <c r="BY771" t="s">
        <v>745</v>
      </c>
      <c r="BZ771" t="s">
        <v>709</v>
      </c>
      <c r="CB771">
        <v>769</v>
      </c>
      <c r="CC771" t="b">
        <v>1</v>
      </c>
      <c r="CD771" t="s">
        <v>4998</v>
      </c>
      <c r="CE771" s="1482">
        <v>45880.736550925925</v>
      </c>
    </row>
    <row r="772" spans="1:83" ht="405" x14ac:dyDescent="0.25">
      <c r="A772">
        <v>2022</v>
      </c>
      <c r="B772" t="s">
        <v>4</v>
      </c>
      <c r="C772" t="s">
        <v>4999</v>
      </c>
      <c r="D772" t="s">
        <v>5000</v>
      </c>
      <c r="E772" t="s">
        <v>2092</v>
      </c>
      <c r="F772" t="s">
        <v>747</v>
      </c>
      <c r="G772" t="s">
        <v>27</v>
      </c>
      <c r="H772" t="s">
        <v>59</v>
      </c>
      <c r="I772">
        <v>44721</v>
      </c>
      <c r="J772">
        <v>44896</v>
      </c>
      <c r="K772">
        <v>44872</v>
      </c>
      <c r="L772">
        <v>24</v>
      </c>
      <c r="N772" t="s">
        <v>120</v>
      </c>
      <c r="O772">
        <v>44872</v>
      </c>
      <c r="P772" t="s">
        <v>739</v>
      </c>
      <c r="Q772">
        <v>14060.824000000001</v>
      </c>
      <c r="R772">
        <v>0.1</v>
      </c>
      <c r="V772">
        <v>529</v>
      </c>
      <c r="X772">
        <v>121412.82</v>
      </c>
      <c r="Z772">
        <v>19195.419999999998</v>
      </c>
      <c r="AA772">
        <v>140608.24</v>
      </c>
      <c r="AB772" t="s">
        <v>29</v>
      </c>
      <c r="AC772" t="s">
        <v>709</v>
      </c>
      <c r="AD772" t="s">
        <v>29</v>
      </c>
      <c r="AE772" t="s">
        <v>29</v>
      </c>
      <c r="AF772" t="s">
        <v>29</v>
      </c>
      <c r="AG772" t="s">
        <v>29</v>
      </c>
      <c r="AH772" t="s">
        <v>29</v>
      </c>
      <c r="AM772" t="s">
        <v>116</v>
      </c>
      <c r="AN772">
        <v>45022</v>
      </c>
      <c r="AO772">
        <v>11057013</v>
      </c>
      <c r="AP772">
        <v>123377.34</v>
      </c>
      <c r="AR772">
        <v>20396.79</v>
      </c>
      <c r="AS772">
        <v>143774.13</v>
      </c>
      <c r="AT772">
        <v>3165.89</v>
      </c>
      <c r="AU772">
        <v>316.589</v>
      </c>
      <c r="AV772" t="s">
        <v>709</v>
      </c>
      <c r="AX772">
        <v>316.589</v>
      </c>
      <c r="AY772">
        <v>45200</v>
      </c>
      <c r="BA772" s="4" t="s">
        <v>5001</v>
      </c>
      <c r="BB772" t="s">
        <v>5002</v>
      </c>
      <c r="BC772" t="s">
        <v>115</v>
      </c>
      <c r="BD772" t="s">
        <v>115</v>
      </c>
      <c r="BE772" t="s">
        <v>5003</v>
      </c>
      <c r="BF772" t="s">
        <v>115</v>
      </c>
      <c r="BG772" t="s">
        <v>115</v>
      </c>
      <c r="BI772" t="s">
        <v>709</v>
      </c>
      <c r="BJ772" t="s">
        <v>709</v>
      </c>
      <c r="BK772" t="s">
        <v>709</v>
      </c>
      <c r="BL772" t="s">
        <v>116</v>
      </c>
      <c r="BM772" t="s">
        <v>709</v>
      </c>
      <c r="BN772" t="s">
        <v>709</v>
      </c>
      <c r="BO772" t="s">
        <v>709</v>
      </c>
      <c r="BP772" t="s">
        <v>709</v>
      </c>
      <c r="BQ772" t="s">
        <v>709</v>
      </c>
      <c r="BR772" t="s">
        <v>709</v>
      </c>
      <c r="BS772">
        <v>529</v>
      </c>
      <c r="BT772" t="s">
        <v>745</v>
      </c>
      <c r="BU772" t="s">
        <v>709</v>
      </c>
      <c r="BV772" t="s">
        <v>745</v>
      </c>
      <c r="BW772" t="s">
        <v>709</v>
      </c>
      <c r="BX772" t="s">
        <v>745</v>
      </c>
      <c r="BY772" t="s">
        <v>745</v>
      </c>
      <c r="BZ772" t="s">
        <v>709</v>
      </c>
      <c r="CB772">
        <v>770</v>
      </c>
      <c r="CC772" t="b">
        <v>1</v>
      </c>
      <c r="CD772" t="s">
        <v>5004</v>
      </c>
      <c r="CE772" s="1482">
        <v>45880.736550925925</v>
      </c>
    </row>
    <row r="773" spans="1:83" x14ac:dyDescent="0.25">
      <c r="A773">
        <v>2023</v>
      </c>
      <c r="B773" t="s">
        <v>730</v>
      </c>
      <c r="C773" t="s">
        <v>5005</v>
      </c>
      <c r="D773" t="s">
        <v>5006</v>
      </c>
      <c r="E773" t="s">
        <v>1159</v>
      </c>
      <c r="F773" t="s">
        <v>752</v>
      </c>
      <c r="G773" t="s">
        <v>24</v>
      </c>
      <c r="H773" t="s">
        <v>4354</v>
      </c>
      <c r="I773">
        <v>44865</v>
      </c>
      <c r="J773" t="s">
        <v>4354</v>
      </c>
      <c r="K773">
        <v>44873</v>
      </c>
      <c r="L773">
        <v>8</v>
      </c>
      <c r="N773" t="s">
        <v>120</v>
      </c>
      <c r="O773">
        <v>44873</v>
      </c>
      <c r="P773" t="s">
        <v>120</v>
      </c>
      <c r="Q773">
        <v>5690</v>
      </c>
      <c r="R773" t="s">
        <v>1922</v>
      </c>
      <c r="U773">
        <v>5690</v>
      </c>
      <c r="AB773" t="s">
        <v>29</v>
      </c>
      <c r="AC773" t="s">
        <v>709</v>
      </c>
      <c r="AE773" t="s">
        <v>29</v>
      </c>
      <c r="AF773" t="s">
        <v>29</v>
      </c>
      <c r="AG773" t="s">
        <v>29</v>
      </c>
      <c r="AH773" t="s">
        <v>29</v>
      </c>
      <c r="AM773" t="s">
        <v>709</v>
      </c>
      <c r="AY773" t="s">
        <v>29</v>
      </c>
      <c r="BI773" t="s">
        <v>709</v>
      </c>
      <c r="BJ773" t="s">
        <v>709</v>
      </c>
      <c r="BK773" t="s">
        <v>709</v>
      </c>
      <c r="BL773" t="s">
        <v>116</v>
      </c>
      <c r="BM773" t="s">
        <v>709</v>
      </c>
      <c r="BN773" t="s">
        <v>709</v>
      </c>
      <c r="BO773" t="s">
        <v>709</v>
      </c>
      <c r="BP773" t="s">
        <v>709</v>
      </c>
      <c r="BQ773" t="s">
        <v>709</v>
      </c>
      <c r="BR773" t="s">
        <v>116</v>
      </c>
      <c r="BS773" t="s">
        <v>709</v>
      </c>
      <c r="BT773" t="s">
        <v>745</v>
      </c>
      <c r="BU773" t="s">
        <v>116</v>
      </c>
      <c r="BV773" t="s">
        <v>745</v>
      </c>
      <c r="BW773" t="s">
        <v>709</v>
      </c>
      <c r="BX773" t="s">
        <v>116</v>
      </c>
      <c r="BY773" t="s">
        <v>745</v>
      </c>
      <c r="BZ773" t="s">
        <v>709</v>
      </c>
      <c r="CB773">
        <v>771</v>
      </c>
      <c r="CC773" t="b">
        <v>1</v>
      </c>
      <c r="CD773" t="s">
        <v>5007</v>
      </c>
      <c r="CE773" s="1482">
        <v>45880.736562500002</v>
      </c>
    </row>
    <row r="774" spans="1:83" x14ac:dyDescent="0.25">
      <c r="A774">
        <v>2022</v>
      </c>
      <c r="B774" t="s">
        <v>1073</v>
      </c>
      <c r="C774" t="s">
        <v>5008</v>
      </c>
      <c r="D774" t="s">
        <v>5009</v>
      </c>
      <c r="E774" t="s">
        <v>918</v>
      </c>
      <c r="F774" t="s">
        <v>747</v>
      </c>
      <c r="G774" t="s">
        <v>36</v>
      </c>
      <c r="H774" t="s">
        <v>59</v>
      </c>
      <c r="I774">
        <v>44742</v>
      </c>
      <c r="J774">
        <v>44883</v>
      </c>
      <c r="K774">
        <v>44875</v>
      </c>
      <c r="L774">
        <v>8</v>
      </c>
      <c r="N774" t="s">
        <v>120</v>
      </c>
      <c r="O774">
        <v>44896</v>
      </c>
      <c r="P774" t="s">
        <v>739</v>
      </c>
      <c r="Q774">
        <v>49765.461199999998</v>
      </c>
      <c r="R774">
        <v>7.0000000000000007E-2</v>
      </c>
      <c r="V774">
        <v>7893</v>
      </c>
      <c r="X774">
        <v>681919.64</v>
      </c>
      <c r="Z774">
        <v>29015.52</v>
      </c>
      <c r="AA774">
        <v>710935.16</v>
      </c>
      <c r="AB774">
        <v>44880</v>
      </c>
      <c r="AC774" t="s">
        <v>709</v>
      </c>
      <c r="AD774" t="s">
        <v>29</v>
      </c>
      <c r="AM774" t="s">
        <v>116</v>
      </c>
      <c r="AN774">
        <v>44937</v>
      </c>
      <c r="AO774">
        <v>11042286</v>
      </c>
      <c r="AP774">
        <v>531919.69999999995</v>
      </c>
      <c r="AR774">
        <v>29681.35</v>
      </c>
      <c r="AS774">
        <v>561601.05000000005</v>
      </c>
      <c r="AT774">
        <v>-149334.10999999999</v>
      </c>
      <c r="AU774">
        <v>-10453.387699999999</v>
      </c>
      <c r="AV774" t="s">
        <v>709</v>
      </c>
      <c r="AW774" t="s">
        <v>5010</v>
      </c>
      <c r="AX774">
        <v>-10453.387699999999</v>
      </c>
      <c r="AY774">
        <v>45200</v>
      </c>
      <c r="BA774" t="s">
        <v>5011</v>
      </c>
      <c r="BB774" t="s">
        <v>5012</v>
      </c>
      <c r="BC774" t="s">
        <v>116</v>
      </c>
      <c r="BD774" t="s">
        <v>115</v>
      </c>
      <c r="BE774" t="s">
        <v>923</v>
      </c>
      <c r="BF774" t="s">
        <v>115</v>
      </c>
      <c r="BG774" t="s">
        <v>4968</v>
      </c>
      <c r="BI774" t="s">
        <v>709</v>
      </c>
      <c r="BJ774" t="s">
        <v>709</v>
      </c>
      <c r="BK774" t="s">
        <v>709</v>
      </c>
      <c r="BL774" t="s">
        <v>116</v>
      </c>
      <c r="BM774" t="s">
        <v>709</v>
      </c>
      <c r="BN774" t="s">
        <v>709</v>
      </c>
      <c r="BO774" t="s">
        <v>709</v>
      </c>
      <c r="BP774" t="s">
        <v>709</v>
      </c>
      <c r="BQ774" t="s">
        <v>709</v>
      </c>
      <c r="BR774">
        <v>2942</v>
      </c>
      <c r="BS774">
        <v>4951</v>
      </c>
      <c r="BT774" t="s">
        <v>709</v>
      </c>
      <c r="BU774" t="s">
        <v>709</v>
      </c>
      <c r="BV774" t="s">
        <v>745</v>
      </c>
      <c r="BW774" t="s">
        <v>709</v>
      </c>
      <c r="BX774" t="s">
        <v>709</v>
      </c>
      <c r="BY774" t="s">
        <v>745</v>
      </c>
      <c r="BZ774" t="s">
        <v>709</v>
      </c>
      <c r="CB774">
        <v>774</v>
      </c>
      <c r="CC774" t="b">
        <v>1</v>
      </c>
      <c r="CD774" t="s">
        <v>5013</v>
      </c>
      <c r="CE774" s="1482">
        <v>45880.736562500002</v>
      </c>
    </row>
    <row r="775" spans="1:83" ht="360" x14ac:dyDescent="0.25">
      <c r="A775">
        <v>2022</v>
      </c>
      <c r="B775" t="s">
        <v>4</v>
      </c>
      <c r="C775" t="s">
        <v>5014</v>
      </c>
      <c r="D775" t="s">
        <v>5015</v>
      </c>
      <c r="E775" t="s">
        <v>5016</v>
      </c>
      <c r="F775" t="s">
        <v>747</v>
      </c>
      <c r="G775" t="s">
        <v>25</v>
      </c>
      <c r="H775" t="s">
        <v>1681</v>
      </c>
      <c r="I775">
        <v>44684</v>
      </c>
      <c r="J775">
        <v>44946</v>
      </c>
      <c r="K775">
        <v>44875</v>
      </c>
      <c r="L775">
        <v>71</v>
      </c>
      <c r="N775" t="s">
        <v>120</v>
      </c>
      <c r="O775">
        <v>44875</v>
      </c>
      <c r="P775" t="s">
        <v>739</v>
      </c>
      <c r="Q775" t="s">
        <v>115</v>
      </c>
      <c r="R775" t="s">
        <v>115</v>
      </c>
      <c r="AB775" t="s">
        <v>29</v>
      </c>
      <c r="AC775" t="s">
        <v>709</v>
      </c>
      <c r="AD775" t="s">
        <v>29</v>
      </c>
      <c r="AM775" t="s">
        <v>709</v>
      </c>
      <c r="AY775" t="s">
        <v>29</v>
      </c>
      <c r="BA775" s="4" t="s">
        <v>5017</v>
      </c>
      <c r="BB775" t="s">
        <v>980</v>
      </c>
      <c r="BC775" t="s">
        <v>116</v>
      </c>
      <c r="BD775" t="s">
        <v>882</v>
      </c>
      <c r="BE775" t="s">
        <v>115</v>
      </c>
      <c r="BF775" t="s">
        <v>115</v>
      </c>
      <c r="BG775" t="s">
        <v>115</v>
      </c>
      <c r="CB775">
        <v>772</v>
      </c>
      <c r="CC775" t="b">
        <v>1</v>
      </c>
      <c r="CD775" t="s">
        <v>5018</v>
      </c>
      <c r="CE775" s="1482">
        <v>45880.736574074072</v>
      </c>
    </row>
    <row r="776" spans="1:83" ht="300" x14ac:dyDescent="0.25">
      <c r="A776">
        <v>2022</v>
      </c>
      <c r="B776" t="s">
        <v>4</v>
      </c>
      <c r="C776" t="s">
        <v>5019</v>
      </c>
      <c r="D776" t="s">
        <v>5020</v>
      </c>
      <c r="E776" t="s">
        <v>783</v>
      </c>
      <c r="F776" t="s">
        <v>784</v>
      </c>
      <c r="G776" t="s">
        <v>25</v>
      </c>
      <c r="H776" t="s">
        <v>59</v>
      </c>
      <c r="I776">
        <v>44691</v>
      </c>
      <c r="J776">
        <v>44880</v>
      </c>
      <c r="K776">
        <v>44875</v>
      </c>
      <c r="L776">
        <v>5</v>
      </c>
      <c r="N776" t="s">
        <v>120</v>
      </c>
      <c r="O776">
        <v>44896</v>
      </c>
      <c r="P776" t="s">
        <v>739</v>
      </c>
      <c r="Q776">
        <v>371918.56199999998</v>
      </c>
      <c r="R776">
        <v>0.1</v>
      </c>
      <c r="V776">
        <v>5875</v>
      </c>
      <c r="X776">
        <v>3645727.28</v>
      </c>
      <c r="Z776">
        <v>73458.34</v>
      </c>
      <c r="AA776">
        <v>3719185.62</v>
      </c>
      <c r="AB776">
        <v>44902</v>
      </c>
      <c r="AC776" t="s">
        <v>709</v>
      </c>
      <c r="AD776" t="s">
        <v>29</v>
      </c>
      <c r="AE776" t="s">
        <v>29</v>
      </c>
      <c r="AF776" t="s">
        <v>29</v>
      </c>
      <c r="AG776" t="s">
        <v>29</v>
      </c>
      <c r="AH776" t="s">
        <v>29</v>
      </c>
      <c r="AM776" t="s">
        <v>116</v>
      </c>
      <c r="AN776">
        <v>44998</v>
      </c>
      <c r="AO776">
        <v>11054011</v>
      </c>
      <c r="AP776">
        <v>3294650.89</v>
      </c>
      <c r="AR776">
        <v>75247.89</v>
      </c>
      <c r="AS776">
        <v>3369898.78</v>
      </c>
      <c r="AT776">
        <v>-349286.84</v>
      </c>
      <c r="AU776">
        <v>-34928.684000000001</v>
      </c>
      <c r="AV776">
        <v>9197.5</v>
      </c>
      <c r="AW776" t="s">
        <v>5021</v>
      </c>
      <c r="AX776">
        <v>0</v>
      </c>
      <c r="AY776">
        <v>45200</v>
      </c>
      <c r="BA776" s="4" t="s">
        <v>5022</v>
      </c>
      <c r="BB776" t="s">
        <v>4455</v>
      </c>
      <c r="BC776" t="s">
        <v>115</v>
      </c>
      <c r="BD776" t="s">
        <v>115</v>
      </c>
      <c r="BE776" t="s">
        <v>789</v>
      </c>
      <c r="BF776" t="s">
        <v>115</v>
      </c>
      <c r="BG776" t="s">
        <v>115</v>
      </c>
      <c r="BI776" t="s">
        <v>709</v>
      </c>
      <c r="BJ776" t="s">
        <v>709</v>
      </c>
      <c r="BK776" t="s">
        <v>709</v>
      </c>
      <c r="BL776" t="s">
        <v>116</v>
      </c>
      <c r="BM776" t="s">
        <v>709</v>
      </c>
      <c r="BN776" t="s">
        <v>709</v>
      </c>
      <c r="BO776" t="s">
        <v>709</v>
      </c>
      <c r="BP776" t="s">
        <v>709</v>
      </c>
      <c r="BQ776">
        <v>3045</v>
      </c>
      <c r="BR776">
        <v>913</v>
      </c>
      <c r="BS776">
        <v>1917</v>
      </c>
      <c r="BT776" t="s">
        <v>745</v>
      </c>
      <c r="BU776" t="s">
        <v>709</v>
      </c>
      <c r="BV776" t="s">
        <v>745</v>
      </c>
      <c r="BW776" t="s">
        <v>709</v>
      </c>
      <c r="BX776" t="s">
        <v>745</v>
      </c>
      <c r="BY776" t="s">
        <v>745</v>
      </c>
      <c r="BZ776" t="s">
        <v>709</v>
      </c>
      <c r="CB776">
        <v>773</v>
      </c>
      <c r="CC776" t="b">
        <v>1</v>
      </c>
      <c r="CD776" t="s">
        <v>5023</v>
      </c>
      <c r="CE776" s="1482">
        <v>45880.736585648148</v>
      </c>
    </row>
    <row r="777" spans="1:83" x14ac:dyDescent="0.25">
      <c r="A777">
        <v>2022</v>
      </c>
      <c r="B777" t="s">
        <v>4</v>
      </c>
      <c r="C777" t="s">
        <v>4511</v>
      </c>
      <c r="D777">
        <v>1211202</v>
      </c>
      <c r="E777" t="s">
        <v>2375</v>
      </c>
      <c r="F777" t="s">
        <v>738</v>
      </c>
      <c r="G777" t="s">
        <v>35</v>
      </c>
      <c r="H777" t="s">
        <v>5024</v>
      </c>
      <c r="I777">
        <v>44718</v>
      </c>
      <c r="J777" t="s">
        <v>4110</v>
      </c>
      <c r="K777">
        <v>44880</v>
      </c>
      <c r="L777">
        <v>162</v>
      </c>
      <c r="M777" t="s">
        <v>5025</v>
      </c>
      <c r="N777" t="s">
        <v>120</v>
      </c>
      <c r="O777">
        <v>44896</v>
      </c>
      <c r="P777" t="s">
        <v>739</v>
      </c>
      <c r="Q777">
        <v>17727.5</v>
      </c>
      <c r="R777" t="s">
        <v>1922</v>
      </c>
      <c r="U777">
        <v>17727.5</v>
      </c>
      <c r="AB777" t="s">
        <v>29</v>
      </c>
      <c r="AM777" t="s">
        <v>709</v>
      </c>
      <c r="AY777" t="s">
        <v>29</v>
      </c>
      <c r="BA777" t="s">
        <v>709</v>
      </c>
      <c r="BB777" t="s">
        <v>5026</v>
      </c>
      <c r="BI777" t="s">
        <v>709</v>
      </c>
      <c r="BJ777" t="s">
        <v>709</v>
      </c>
      <c r="BK777" t="s">
        <v>709</v>
      </c>
      <c r="BL777" t="s">
        <v>116</v>
      </c>
      <c r="BM777" t="s">
        <v>709</v>
      </c>
      <c r="BN777" t="s">
        <v>709</v>
      </c>
      <c r="BO777" t="s">
        <v>709</v>
      </c>
      <c r="BP777" t="s">
        <v>709</v>
      </c>
      <c r="BQ777" t="s">
        <v>709</v>
      </c>
      <c r="BR777" t="s">
        <v>709</v>
      </c>
      <c r="BS777" t="s">
        <v>116</v>
      </c>
      <c r="BT777" t="s">
        <v>745</v>
      </c>
      <c r="BU777" t="s">
        <v>709</v>
      </c>
      <c r="BV777" t="s">
        <v>745</v>
      </c>
      <c r="BW777" t="s">
        <v>709</v>
      </c>
      <c r="BX777" t="s">
        <v>745</v>
      </c>
      <c r="BY777" t="s">
        <v>745</v>
      </c>
      <c r="BZ777" t="s">
        <v>709</v>
      </c>
      <c r="CB777">
        <v>775</v>
      </c>
      <c r="CC777" t="b">
        <v>1</v>
      </c>
      <c r="CD777" t="s">
        <v>5027</v>
      </c>
      <c r="CE777" s="1482">
        <v>45880.736597222225</v>
      </c>
    </row>
    <row r="778" spans="1:83" x14ac:dyDescent="0.25">
      <c r="A778">
        <v>2022</v>
      </c>
      <c r="B778" t="s">
        <v>2</v>
      </c>
      <c r="C778" t="s">
        <v>4820</v>
      </c>
      <c r="D778" t="s">
        <v>4821</v>
      </c>
      <c r="E778" t="s">
        <v>1352</v>
      </c>
      <c r="F778" t="s">
        <v>752</v>
      </c>
      <c r="G778" t="s">
        <v>32</v>
      </c>
      <c r="H778" t="s">
        <v>4189</v>
      </c>
      <c r="I778">
        <v>44873</v>
      </c>
      <c r="J778" t="s">
        <v>2052</v>
      </c>
      <c r="K778">
        <v>44880</v>
      </c>
      <c r="L778">
        <v>7</v>
      </c>
      <c r="M778" t="s">
        <v>5028</v>
      </c>
      <c r="N778" t="s">
        <v>120</v>
      </c>
      <c r="O778">
        <v>44896</v>
      </c>
      <c r="P778" t="s">
        <v>120</v>
      </c>
      <c r="Q778">
        <v>1850</v>
      </c>
      <c r="R778" t="s">
        <v>1922</v>
      </c>
      <c r="U778">
        <v>1850</v>
      </c>
      <c r="AC778" t="s">
        <v>709</v>
      </c>
      <c r="AD778" t="s">
        <v>116</v>
      </c>
      <c r="AE778" t="s">
        <v>29</v>
      </c>
      <c r="AF778" t="s">
        <v>29</v>
      </c>
      <c r="AG778" t="s">
        <v>29</v>
      </c>
      <c r="AH778" t="s">
        <v>29</v>
      </c>
      <c r="AM778" t="s">
        <v>709</v>
      </c>
      <c r="AY778" t="s">
        <v>29</v>
      </c>
      <c r="BI778" t="s">
        <v>709</v>
      </c>
      <c r="BJ778" t="s">
        <v>709</v>
      </c>
      <c r="BK778" t="s">
        <v>709</v>
      </c>
      <c r="BL778" t="s">
        <v>116</v>
      </c>
      <c r="BM778">
        <v>0</v>
      </c>
      <c r="BN778">
        <v>0</v>
      </c>
      <c r="BO778">
        <v>0</v>
      </c>
      <c r="BP778">
        <v>0</v>
      </c>
      <c r="BQ778">
        <v>0</v>
      </c>
      <c r="BR778">
        <v>0</v>
      </c>
      <c r="BS778">
        <v>434</v>
      </c>
      <c r="BT778">
        <v>0</v>
      </c>
      <c r="BU778">
        <v>0</v>
      </c>
      <c r="BV778">
        <v>0</v>
      </c>
      <c r="BW778">
        <v>0</v>
      </c>
      <c r="BX778">
        <v>1</v>
      </c>
      <c r="BY778">
        <v>0</v>
      </c>
      <c r="BZ778" t="s">
        <v>709</v>
      </c>
      <c r="CA778" t="s">
        <v>2</v>
      </c>
      <c r="CB778">
        <v>776</v>
      </c>
      <c r="CC778" t="b">
        <v>1</v>
      </c>
      <c r="CD778" t="s">
        <v>5029</v>
      </c>
      <c r="CE778" s="1482">
        <v>45880.736597222225</v>
      </c>
    </row>
    <row r="779" spans="1:83" x14ac:dyDescent="0.25">
      <c r="A779">
        <v>2022</v>
      </c>
      <c r="B779" t="s">
        <v>771</v>
      </c>
      <c r="C779" t="s">
        <v>4864</v>
      </c>
      <c r="D779" t="s">
        <v>4865</v>
      </c>
      <c r="E779" t="s">
        <v>4866</v>
      </c>
      <c r="F779" t="s">
        <v>747</v>
      </c>
      <c r="G779" t="s">
        <v>32</v>
      </c>
      <c r="H779" t="s">
        <v>3178</v>
      </c>
      <c r="I779">
        <v>44869</v>
      </c>
      <c r="J779" t="s">
        <v>2052</v>
      </c>
      <c r="K779">
        <v>44880</v>
      </c>
      <c r="L779">
        <v>11</v>
      </c>
      <c r="M779" t="s">
        <v>5030</v>
      </c>
      <c r="N779" t="s">
        <v>120</v>
      </c>
      <c r="O779">
        <v>44896</v>
      </c>
      <c r="P779" t="s">
        <v>120</v>
      </c>
      <c r="Q779">
        <v>4805</v>
      </c>
      <c r="R779" t="s">
        <v>1922</v>
      </c>
      <c r="U779">
        <v>4805</v>
      </c>
      <c r="AC779" t="s">
        <v>709</v>
      </c>
      <c r="AD779" t="s">
        <v>116</v>
      </c>
      <c r="AM779" t="s">
        <v>709</v>
      </c>
      <c r="AY779" t="s">
        <v>29</v>
      </c>
      <c r="BA779">
        <v>2</v>
      </c>
      <c r="BI779" t="s">
        <v>709</v>
      </c>
      <c r="BJ779" t="s">
        <v>709</v>
      </c>
      <c r="BK779" t="s">
        <v>709</v>
      </c>
      <c r="BL779" t="s">
        <v>116</v>
      </c>
      <c r="BM779">
        <v>0</v>
      </c>
      <c r="BN779">
        <v>0</v>
      </c>
      <c r="BO779">
        <v>0</v>
      </c>
      <c r="BP779">
        <v>0</v>
      </c>
      <c r="BQ779">
        <v>556</v>
      </c>
      <c r="BR779">
        <v>2753</v>
      </c>
      <c r="BS779">
        <v>10640</v>
      </c>
      <c r="BT779">
        <v>0</v>
      </c>
      <c r="BU779">
        <v>0</v>
      </c>
      <c r="BV779">
        <v>0</v>
      </c>
      <c r="BW779">
        <v>0</v>
      </c>
      <c r="BX779">
        <v>0</v>
      </c>
      <c r="BY779">
        <v>0</v>
      </c>
      <c r="BZ779" t="s">
        <v>709</v>
      </c>
      <c r="CB779">
        <v>777</v>
      </c>
      <c r="CC779" t="b">
        <v>1</v>
      </c>
      <c r="CD779" t="s">
        <v>5031</v>
      </c>
      <c r="CE779" s="1482">
        <v>45880.736608796295</v>
      </c>
    </row>
    <row r="780" spans="1:83" ht="240" x14ac:dyDescent="0.25">
      <c r="A780">
        <v>2022</v>
      </c>
      <c r="B780" t="s">
        <v>4</v>
      </c>
      <c r="C780" t="s">
        <v>5032</v>
      </c>
      <c r="D780" t="s">
        <v>115</v>
      </c>
      <c r="E780" t="s">
        <v>783</v>
      </c>
      <c r="F780" t="s">
        <v>784</v>
      </c>
      <c r="G780" t="s">
        <v>25</v>
      </c>
      <c r="H780" t="s">
        <v>1903</v>
      </c>
      <c r="I780">
        <v>44620</v>
      </c>
      <c r="J780">
        <v>44883</v>
      </c>
      <c r="K780">
        <v>44881</v>
      </c>
      <c r="L780">
        <v>2</v>
      </c>
      <c r="N780" t="s">
        <v>120</v>
      </c>
      <c r="O780">
        <v>44881</v>
      </c>
      <c r="P780" t="s">
        <v>739</v>
      </c>
      <c r="Q780" t="s">
        <v>115</v>
      </c>
      <c r="R780" t="s">
        <v>115</v>
      </c>
      <c r="AM780" t="s">
        <v>709</v>
      </c>
      <c r="AY780" t="s">
        <v>29</v>
      </c>
      <c r="BA780" s="4" t="s">
        <v>5033</v>
      </c>
      <c r="BB780" t="s">
        <v>3994</v>
      </c>
      <c r="BC780" t="s">
        <v>116</v>
      </c>
      <c r="BD780" t="s">
        <v>115</v>
      </c>
      <c r="BE780" t="s">
        <v>789</v>
      </c>
      <c r="BF780" t="s">
        <v>4070</v>
      </c>
      <c r="BG780" t="s">
        <v>115</v>
      </c>
      <c r="CB780">
        <v>778</v>
      </c>
      <c r="CC780" t="b">
        <v>1</v>
      </c>
      <c r="CD780" t="s">
        <v>5034</v>
      </c>
      <c r="CE780" s="1482">
        <v>45880.736620370371</v>
      </c>
    </row>
    <row r="781" spans="1:83" x14ac:dyDescent="0.25">
      <c r="A781">
        <v>2023</v>
      </c>
      <c r="B781" t="s">
        <v>759</v>
      </c>
      <c r="C781" t="s">
        <v>299</v>
      </c>
      <c r="D781" t="s">
        <v>5035</v>
      </c>
      <c r="E781" t="s">
        <v>300</v>
      </c>
      <c r="F781" t="s">
        <v>752</v>
      </c>
      <c r="G781" t="s">
        <v>24</v>
      </c>
      <c r="H781" t="s">
        <v>59</v>
      </c>
      <c r="I781">
        <v>44784</v>
      </c>
      <c r="J781">
        <v>44888</v>
      </c>
      <c r="K781">
        <v>44881</v>
      </c>
      <c r="L781">
        <v>7</v>
      </c>
      <c r="N781" t="s">
        <v>120</v>
      </c>
      <c r="O781">
        <v>44881</v>
      </c>
      <c r="P781" t="s">
        <v>120</v>
      </c>
      <c r="Q781">
        <v>50127.113799999999</v>
      </c>
      <c r="R781" t="s">
        <v>1055</v>
      </c>
      <c r="V781">
        <v>312</v>
      </c>
      <c r="X781">
        <v>438584.58</v>
      </c>
      <c r="Y781">
        <v>59969.7</v>
      </c>
      <c r="Z781">
        <v>59969.7</v>
      </c>
      <c r="AA781">
        <v>498554.28</v>
      </c>
      <c r="AB781">
        <v>44883</v>
      </c>
      <c r="AC781" t="s">
        <v>1056</v>
      </c>
      <c r="AD781" t="s">
        <v>116</v>
      </c>
      <c r="AE781" t="s">
        <v>29</v>
      </c>
      <c r="AF781" t="s">
        <v>29</v>
      </c>
      <c r="AG781" t="s">
        <v>29</v>
      </c>
      <c r="AH781" t="s">
        <v>29</v>
      </c>
      <c r="AM781" t="s">
        <v>116</v>
      </c>
      <c r="AN781">
        <v>45068</v>
      </c>
      <c r="AO781">
        <v>11050919</v>
      </c>
      <c r="AP781">
        <v>444987.02</v>
      </c>
      <c r="AR781">
        <v>60988.37</v>
      </c>
      <c r="AS781">
        <v>505975.39</v>
      </c>
      <c r="AT781">
        <v>7421.11</v>
      </c>
      <c r="AU781">
        <v>630.79430000000002</v>
      </c>
      <c r="AV781" t="s">
        <v>709</v>
      </c>
      <c r="AX781">
        <v>630.79430000000002</v>
      </c>
      <c r="AY781">
        <v>45200</v>
      </c>
      <c r="BA781" t="s">
        <v>5036</v>
      </c>
      <c r="BB781" t="s">
        <v>5037</v>
      </c>
      <c r="BC781" t="s">
        <v>709</v>
      </c>
      <c r="BD781" t="s">
        <v>115</v>
      </c>
      <c r="BE781" t="s">
        <v>4242</v>
      </c>
      <c r="BF781" t="s">
        <v>115</v>
      </c>
      <c r="BG781" t="s">
        <v>115</v>
      </c>
      <c r="BI781" t="s">
        <v>709</v>
      </c>
      <c r="BJ781" t="s">
        <v>709</v>
      </c>
      <c r="BK781" t="s">
        <v>709</v>
      </c>
      <c r="BL781" t="s">
        <v>116</v>
      </c>
      <c r="BM781" t="s">
        <v>709</v>
      </c>
      <c r="BN781" t="s">
        <v>709</v>
      </c>
      <c r="BO781" t="s">
        <v>709</v>
      </c>
      <c r="BP781" t="s">
        <v>709</v>
      </c>
      <c r="BQ781">
        <v>89</v>
      </c>
      <c r="BR781">
        <v>83</v>
      </c>
      <c r="BS781">
        <v>50</v>
      </c>
      <c r="BT781">
        <v>1</v>
      </c>
      <c r="BU781" t="s">
        <v>709</v>
      </c>
      <c r="BV781" t="s">
        <v>745</v>
      </c>
      <c r="BW781">
        <v>1</v>
      </c>
      <c r="BX781">
        <v>1</v>
      </c>
      <c r="BY781" t="s">
        <v>745</v>
      </c>
      <c r="BZ781" t="s">
        <v>709</v>
      </c>
      <c r="CB781">
        <v>779</v>
      </c>
      <c r="CC781" t="b">
        <v>1</v>
      </c>
      <c r="CD781" t="s">
        <v>5038</v>
      </c>
      <c r="CE781" s="1482">
        <v>45880.736620370371</v>
      </c>
    </row>
    <row r="782" spans="1:83" ht="409.5" x14ac:dyDescent="0.25">
      <c r="A782">
        <v>2022</v>
      </c>
      <c r="B782" t="s">
        <v>4</v>
      </c>
      <c r="C782" t="s">
        <v>4929</v>
      </c>
      <c r="D782" t="s">
        <v>4930</v>
      </c>
      <c r="E782" t="s">
        <v>232</v>
      </c>
      <c r="F782" t="s">
        <v>747</v>
      </c>
      <c r="G782" t="s">
        <v>23</v>
      </c>
      <c r="H782" t="s">
        <v>4462</v>
      </c>
      <c r="I782">
        <v>44882</v>
      </c>
      <c r="J782" t="s">
        <v>2052</v>
      </c>
      <c r="K782">
        <v>44886</v>
      </c>
      <c r="L782">
        <v>4</v>
      </c>
      <c r="M782" s="4" t="s">
        <v>5039</v>
      </c>
      <c r="N782" t="s">
        <v>120</v>
      </c>
      <c r="O782">
        <v>44886</v>
      </c>
      <c r="P782" t="s">
        <v>739</v>
      </c>
      <c r="Q782" t="s">
        <v>115</v>
      </c>
      <c r="R782" t="s">
        <v>115</v>
      </c>
      <c r="AC782" t="s">
        <v>709</v>
      </c>
      <c r="AM782" t="s">
        <v>709</v>
      </c>
      <c r="AY782" t="s">
        <v>29</v>
      </c>
      <c r="BA782">
        <v>4</v>
      </c>
      <c r="BB782" t="s">
        <v>5040</v>
      </c>
      <c r="BI782" t="s">
        <v>709</v>
      </c>
      <c r="BJ782" t="s">
        <v>709</v>
      </c>
      <c r="BK782" t="s">
        <v>709</v>
      </c>
      <c r="BL782" t="s">
        <v>116</v>
      </c>
      <c r="BM782" t="s">
        <v>709</v>
      </c>
      <c r="BN782" t="s">
        <v>709</v>
      </c>
      <c r="BO782" t="s">
        <v>709</v>
      </c>
      <c r="BP782" t="s">
        <v>709</v>
      </c>
      <c r="BQ782" t="s">
        <v>116</v>
      </c>
      <c r="BR782" t="s">
        <v>709</v>
      </c>
      <c r="BS782" t="s">
        <v>709</v>
      </c>
      <c r="BT782" t="s">
        <v>745</v>
      </c>
      <c r="BU782" t="s">
        <v>709</v>
      </c>
      <c r="BV782" t="s">
        <v>745</v>
      </c>
      <c r="BW782" t="s">
        <v>709</v>
      </c>
      <c r="BX782" t="s">
        <v>745</v>
      </c>
      <c r="BY782" t="s">
        <v>745</v>
      </c>
      <c r="BZ782" t="s">
        <v>709</v>
      </c>
      <c r="CB782">
        <v>780</v>
      </c>
      <c r="CC782" t="b">
        <v>1</v>
      </c>
      <c r="CD782" t="s">
        <v>5041</v>
      </c>
      <c r="CE782" s="1482">
        <v>45880.736631944441</v>
      </c>
    </row>
    <row r="783" spans="1:83" ht="360" x14ac:dyDescent="0.25">
      <c r="A783">
        <v>2023</v>
      </c>
      <c r="B783" t="s">
        <v>4</v>
      </c>
      <c r="C783" t="s">
        <v>5042</v>
      </c>
      <c r="D783" t="s">
        <v>115</v>
      </c>
      <c r="E783" t="s">
        <v>5043</v>
      </c>
      <c r="F783" t="s">
        <v>747</v>
      </c>
      <c r="G783" t="s">
        <v>5044</v>
      </c>
      <c r="H783" t="s">
        <v>1681</v>
      </c>
      <c r="I783">
        <v>44851</v>
      </c>
      <c r="J783">
        <v>44932</v>
      </c>
      <c r="K783">
        <v>44886</v>
      </c>
      <c r="L783">
        <v>46</v>
      </c>
      <c r="N783" t="s">
        <v>120</v>
      </c>
      <c r="O783">
        <v>44886</v>
      </c>
      <c r="P783" t="s">
        <v>739</v>
      </c>
      <c r="Q783" t="s">
        <v>115</v>
      </c>
      <c r="R783" t="s">
        <v>115</v>
      </c>
      <c r="AB783" t="s">
        <v>29</v>
      </c>
      <c r="AC783" t="s">
        <v>709</v>
      </c>
      <c r="AD783" t="s">
        <v>29</v>
      </c>
      <c r="AM783" t="s">
        <v>709</v>
      </c>
      <c r="AY783" t="s">
        <v>29</v>
      </c>
      <c r="BA783" s="4" t="s">
        <v>5045</v>
      </c>
      <c r="BB783" t="s">
        <v>1617</v>
      </c>
      <c r="BC783" t="s">
        <v>116</v>
      </c>
      <c r="BD783" t="s">
        <v>115</v>
      </c>
      <c r="BE783" t="s">
        <v>115</v>
      </c>
      <c r="BF783" t="s">
        <v>115</v>
      </c>
      <c r="BG783" t="s">
        <v>115</v>
      </c>
      <c r="CB783">
        <v>781</v>
      </c>
      <c r="CC783" t="b">
        <v>1</v>
      </c>
      <c r="CD783" t="s">
        <v>5046</v>
      </c>
      <c r="CE783" s="1482">
        <v>45880.736643518518</v>
      </c>
    </row>
    <row r="784" spans="1:83" ht="195" x14ac:dyDescent="0.25">
      <c r="A784">
        <v>2023</v>
      </c>
      <c r="B784" t="s">
        <v>730</v>
      </c>
      <c r="C784" t="s">
        <v>750</v>
      </c>
      <c r="D784" t="s">
        <v>751</v>
      </c>
      <c r="E784" t="s">
        <v>218</v>
      </c>
      <c r="F784" t="s">
        <v>752</v>
      </c>
      <c r="G784" t="s">
        <v>34</v>
      </c>
      <c r="H784" t="s">
        <v>59</v>
      </c>
      <c r="I784">
        <v>44784</v>
      </c>
      <c r="J784">
        <v>44888</v>
      </c>
      <c r="K784">
        <v>44886</v>
      </c>
      <c r="L784">
        <v>2</v>
      </c>
      <c r="N784" t="s">
        <v>120</v>
      </c>
      <c r="O784">
        <v>44896</v>
      </c>
      <c r="P784" t="s">
        <v>120</v>
      </c>
      <c r="Q784">
        <v>19590.898499999999</v>
      </c>
      <c r="R784">
        <v>0.09</v>
      </c>
      <c r="V784">
        <v>1090</v>
      </c>
      <c r="X784">
        <v>179966.26</v>
      </c>
      <c r="Z784">
        <v>37710.39</v>
      </c>
      <c r="AA784">
        <v>217676.65</v>
      </c>
      <c r="AB784">
        <v>44900</v>
      </c>
      <c r="AC784" t="s">
        <v>709</v>
      </c>
      <c r="AD784" t="s">
        <v>29</v>
      </c>
      <c r="AM784" t="s">
        <v>116</v>
      </c>
      <c r="AN784">
        <v>45309</v>
      </c>
      <c r="AO784">
        <v>11050947</v>
      </c>
      <c r="AP784">
        <v>185200.89</v>
      </c>
      <c r="AR784">
        <v>39072.379999999997</v>
      </c>
      <c r="AS784">
        <v>224273.27</v>
      </c>
      <c r="AT784">
        <v>6596.62</v>
      </c>
      <c r="AU784">
        <v>593.69579999999996</v>
      </c>
      <c r="AV784" t="s">
        <v>29</v>
      </c>
      <c r="AW784" t="s">
        <v>753</v>
      </c>
      <c r="AX784">
        <v>593.70000000000005</v>
      </c>
      <c r="AY784">
        <v>45566</v>
      </c>
      <c r="AZ784">
        <v>29</v>
      </c>
      <c r="BA784" s="4" t="s">
        <v>754</v>
      </c>
      <c r="BB784" s="4" t="s">
        <v>755</v>
      </c>
      <c r="BC784" t="s">
        <v>756</v>
      </c>
      <c r="BD784" t="s">
        <v>757</v>
      </c>
      <c r="BE784" t="s">
        <v>115</v>
      </c>
      <c r="BF784" t="s">
        <v>758</v>
      </c>
      <c r="BG784" t="s">
        <v>115</v>
      </c>
      <c r="BI784" t="s">
        <v>709</v>
      </c>
      <c r="BJ784" t="s">
        <v>709</v>
      </c>
      <c r="BK784" t="s">
        <v>709</v>
      </c>
      <c r="BL784" t="s">
        <v>116</v>
      </c>
      <c r="BM784" t="s">
        <v>709</v>
      </c>
      <c r="BN784" t="s">
        <v>709</v>
      </c>
      <c r="BO784" t="s">
        <v>709</v>
      </c>
      <c r="BP784" t="s">
        <v>709</v>
      </c>
      <c r="BQ784" t="s">
        <v>709</v>
      </c>
      <c r="BR784" t="s">
        <v>709</v>
      </c>
      <c r="BS784">
        <v>1090</v>
      </c>
      <c r="BT784" t="s">
        <v>709</v>
      </c>
      <c r="BU784" t="s">
        <v>709</v>
      </c>
      <c r="BV784" t="s">
        <v>745</v>
      </c>
      <c r="BW784" t="s">
        <v>709</v>
      </c>
      <c r="BX784" t="s">
        <v>709</v>
      </c>
      <c r="BY784" t="s">
        <v>745</v>
      </c>
      <c r="BZ784" t="s">
        <v>709</v>
      </c>
      <c r="CB784">
        <v>782</v>
      </c>
      <c r="CC784" t="b">
        <v>1</v>
      </c>
      <c r="CD784" t="s">
        <v>5047</v>
      </c>
      <c r="CE784" s="1482">
        <v>45880.736643518518</v>
      </c>
    </row>
    <row r="785" spans="1:83" ht="210" x14ac:dyDescent="0.25">
      <c r="A785">
        <v>2023</v>
      </c>
      <c r="B785" t="s">
        <v>4</v>
      </c>
      <c r="C785" t="s">
        <v>1377</v>
      </c>
      <c r="D785" t="s">
        <v>1378</v>
      </c>
      <c r="E785" t="s">
        <v>1154</v>
      </c>
      <c r="F785" t="s">
        <v>747</v>
      </c>
      <c r="G785" t="s">
        <v>23</v>
      </c>
      <c r="H785" t="s">
        <v>59</v>
      </c>
      <c r="I785">
        <v>44806</v>
      </c>
      <c r="J785">
        <v>44897</v>
      </c>
      <c r="K785">
        <v>44886</v>
      </c>
      <c r="L785">
        <v>11</v>
      </c>
      <c r="N785" t="s">
        <v>120</v>
      </c>
      <c r="O785">
        <v>44896</v>
      </c>
      <c r="P785" t="s">
        <v>739</v>
      </c>
      <c r="Q785">
        <v>34386.415000000001</v>
      </c>
      <c r="R785">
        <v>0.1</v>
      </c>
      <c r="V785">
        <v>1494</v>
      </c>
      <c r="X785">
        <v>288923.75</v>
      </c>
      <c r="Z785">
        <v>54940.4</v>
      </c>
      <c r="AA785">
        <v>343864.15</v>
      </c>
      <c r="AB785">
        <v>44888</v>
      </c>
      <c r="AC785" t="s">
        <v>709</v>
      </c>
      <c r="AD785" t="s">
        <v>116</v>
      </c>
      <c r="AM785" t="s">
        <v>116</v>
      </c>
      <c r="AN785" t="s">
        <v>709</v>
      </c>
      <c r="AO785" t="s">
        <v>115</v>
      </c>
      <c r="AS785">
        <v>0</v>
      </c>
      <c r="AT785">
        <v>0</v>
      </c>
      <c r="AU785">
        <v>0</v>
      </c>
      <c r="AY785" t="s">
        <v>709</v>
      </c>
      <c r="AZ785">
        <v>74</v>
      </c>
      <c r="BA785" s="4" t="s">
        <v>1379</v>
      </c>
      <c r="BB785" t="s">
        <v>1380</v>
      </c>
      <c r="BC785" t="s">
        <v>115</v>
      </c>
      <c r="BD785" t="s">
        <v>115</v>
      </c>
      <c r="BE785" t="s">
        <v>1381</v>
      </c>
      <c r="BF785" t="s">
        <v>1157</v>
      </c>
      <c r="BG785" t="s">
        <v>115</v>
      </c>
      <c r="BI785" t="s">
        <v>709</v>
      </c>
      <c r="BJ785" t="s">
        <v>709</v>
      </c>
      <c r="BK785" t="s">
        <v>709</v>
      </c>
      <c r="BL785" t="s">
        <v>116</v>
      </c>
      <c r="BM785" t="s">
        <v>709</v>
      </c>
      <c r="BN785" t="s">
        <v>709</v>
      </c>
      <c r="BO785" t="s">
        <v>709</v>
      </c>
      <c r="BP785" t="s">
        <v>709</v>
      </c>
      <c r="BQ785">
        <v>1189</v>
      </c>
      <c r="BR785">
        <v>287</v>
      </c>
      <c r="BS785">
        <v>18</v>
      </c>
      <c r="BT785" t="s">
        <v>745</v>
      </c>
      <c r="BU785" t="s">
        <v>709</v>
      </c>
      <c r="BV785" t="s">
        <v>745</v>
      </c>
      <c r="BW785" t="s">
        <v>709</v>
      </c>
      <c r="BX785" t="s">
        <v>745</v>
      </c>
      <c r="BY785" t="s">
        <v>745</v>
      </c>
      <c r="BZ785" t="s">
        <v>709</v>
      </c>
      <c r="CB785">
        <v>783</v>
      </c>
      <c r="CC785" t="b">
        <v>1</v>
      </c>
      <c r="CD785" t="s">
        <v>5048</v>
      </c>
      <c r="CE785" s="1482">
        <v>45880.736655092594</v>
      </c>
    </row>
    <row r="786" spans="1:83" x14ac:dyDescent="0.25">
      <c r="A786">
        <v>2022</v>
      </c>
      <c r="B786" t="s">
        <v>2</v>
      </c>
      <c r="C786" t="s">
        <v>1319</v>
      </c>
      <c r="D786">
        <v>1010971</v>
      </c>
      <c r="E786" t="s">
        <v>5049</v>
      </c>
      <c r="F786" t="s">
        <v>752</v>
      </c>
      <c r="G786" t="s">
        <v>4770</v>
      </c>
      <c r="H786" t="s">
        <v>4189</v>
      </c>
      <c r="I786">
        <v>44873</v>
      </c>
      <c r="J786" t="s">
        <v>2052</v>
      </c>
      <c r="K786">
        <v>44887</v>
      </c>
      <c r="L786">
        <v>14</v>
      </c>
      <c r="M786" t="s">
        <v>5050</v>
      </c>
      <c r="N786" t="s">
        <v>120</v>
      </c>
      <c r="O786">
        <v>44896</v>
      </c>
      <c r="P786" t="s">
        <v>120</v>
      </c>
      <c r="Q786">
        <v>6420</v>
      </c>
      <c r="R786" t="s">
        <v>1922</v>
      </c>
      <c r="U786">
        <v>6420</v>
      </c>
      <c r="AA786">
        <v>0</v>
      </c>
      <c r="AC786" t="s">
        <v>29</v>
      </c>
      <c r="AD786" t="s">
        <v>116</v>
      </c>
      <c r="AM786" t="s">
        <v>709</v>
      </c>
      <c r="AY786" t="s">
        <v>29</v>
      </c>
      <c r="BA786">
        <v>2</v>
      </c>
      <c r="BB786" t="s">
        <v>5051</v>
      </c>
      <c r="BI786" t="s">
        <v>709</v>
      </c>
      <c r="BJ786" t="s">
        <v>709</v>
      </c>
      <c r="BK786" t="s">
        <v>116</v>
      </c>
      <c r="BL786" t="s">
        <v>709</v>
      </c>
      <c r="BM786" t="s">
        <v>709</v>
      </c>
      <c r="BN786" t="s">
        <v>709</v>
      </c>
      <c r="BO786" t="s">
        <v>709</v>
      </c>
      <c r="BP786">
        <v>604</v>
      </c>
      <c r="BQ786">
        <v>395</v>
      </c>
      <c r="BR786">
        <v>74</v>
      </c>
      <c r="BS786" t="s">
        <v>709</v>
      </c>
      <c r="BT786">
        <v>1</v>
      </c>
      <c r="BU786" t="s">
        <v>709</v>
      </c>
      <c r="BV786" t="s">
        <v>745</v>
      </c>
      <c r="BW786">
        <v>2</v>
      </c>
      <c r="BX786">
        <v>1</v>
      </c>
      <c r="BY786" t="s">
        <v>745</v>
      </c>
      <c r="BZ786" t="s">
        <v>709</v>
      </c>
      <c r="CA786" t="s">
        <v>2</v>
      </c>
      <c r="CB786">
        <v>784</v>
      </c>
      <c r="CC786" t="b">
        <v>1</v>
      </c>
      <c r="CD786" t="s">
        <v>5052</v>
      </c>
      <c r="CE786" s="1482">
        <v>45880.736655092594</v>
      </c>
    </row>
    <row r="787" spans="1:83" ht="240" x14ac:dyDescent="0.25">
      <c r="A787">
        <v>2022</v>
      </c>
      <c r="B787" t="s">
        <v>4</v>
      </c>
      <c r="C787" t="s">
        <v>5053</v>
      </c>
      <c r="D787" t="s">
        <v>5054</v>
      </c>
      <c r="E787" t="s">
        <v>4834</v>
      </c>
      <c r="F787" t="s">
        <v>747</v>
      </c>
      <c r="G787" t="s">
        <v>39</v>
      </c>
      <c r="H787" t="s">
        <v>1681</v>
      </c>
      <c r="I787">
        <v>44644</v>
      </c>
      <c r="J787">
        <v>44896</v>
      </c>
      <c r="K787">
        <v>44893</v>
      </c>
      <c r="L787">
        <v>3</v>
      </c>
      <c r="N787" t="s">
        <v>120</v>
      </c>
      <c r="O787">
        <v>44896</v>
      </c>
      <c r="P787" t="s">
        <v>739</v>
      </c>
      <c r="Q787" t="s">
        <v>115</v>
      </c>
      <c r="R787" t="s">
        <v>115</v>
      </c>
      <c r="AB787" t="s">
        <v>29</v>
      </c>
      <c r="AC787" t="s">
        <v>709</v>
      </c>
      <c r="AD787" t="s">
        <v>29</v>
      </c>
      <c r="AM787" t="s">
        <v>709</v>
      </c>
      <c r="AY787" t="s">
        <v>29</v>
      </c>
      <c r="BA787" s="4" t="s">
        <v>5055</v>
      </c>
      <c r="BB787" t="s">
        <v>1071</v>
      </c>
      <c r="BC787" t="s">
        <v>376</v>
      </c>
      <c r="BD787" t="s">
        <v>115</v>
      </c>
      <c r="BE787" t="s">
        <v>5056</v>
      </c>
      <c r="BF787" t="s">
        <v>115</v>
      </c>
      <c r="BG787" t="s">
        <v>115</v>
      </c>
      <c r="CB787">
        <v>786</v>
      </c>
      <c r="CC787" t="b">
        <v>1</v>
      </c>
      <c r="CD787" t="s">
        <v>5057</v>
      </c>
      <c r="CE787" s="1482">
        <v>45880.736666666664</v>
      </c>
    </row>
    <row r="788" spans="1:83" ht="409.5" x14ac:dyDescent="0.25">
      <c r="A788">
        <v>2022</v>
      </c>
      <c r="B788" t="s">
        <v>4</v>
      </c>
      <c r="C788" t="s">
        <v>1382</v>
      </c>
      <c r="D788" t="s">
        <v>1383</v>
      </c>
      <c r="E788" t="s">
        <v>1384</v>
      </c>
      <c r="F788" t="s">
        <v>747</v>
      </c>
      <c r="G788" t="s">
        <v>35</v>
      </c>
      <c r="H788" t="s">
        <v>59</v>
      </c>
      <c r="I788">
        <v>44721</v>
      </c>
      <c r="J788">
        <v>44895</v>
      </c>
      <c r="K788">
        <v>44893</v>
      </c>
      <c r="L788">
        <v>2</v>
      </c>
      <c r="N788" t="s">
        <v>120</v>
      </c>
      <c r="O788">
        <v>44896</v>
      </c>
      <c r="P788" t="s">
        <v>739</v>
      </c>
      <c r="Q788">
        <v>57646.324999999997</v>
      </c>
      <c r="R788">
        <v>0.1</v>
      </c>
      <c r="V788">
        <v>2110</v>
      </c>
      <c r="X788">
        <v>534271.6</v>
      </c>
      <c r="Z788">
        <v>42191.65</v>
      </c>
      <c r="AA788">
        <v>576463.25</v>
      </c>
      <c r="AB788" t="s">
        <v>709</v>
      </c>
      <c r="AC788" t="s">
        <v>709</v>
      </c>
      <c r="AD788" t="s">
        <v>29</v>
      </c>
      <c r="AM788" t="s">
        <v>116</v>
      </c>
      <c r="AN788" t="s">
        <v>709</v>
      </c>
      <c r="AO788" t="s">
        <v>115</v>
      </c>
      <c r="AS788">
        <v>0</v>
      </c>
      <c r="AT788">
        <v>0</v>
      </c>
      <c r="AU788">
        <v>0</v>
      </c>
      <c r="AY788" t="s">
        <v>709</v>
      </c>
      <c r="AZ788">
        <v>75</v>
      </c>
      <c r="BA788" s="4" t="s">
        <v>1385</v>
      </c>
      <c r="BB788" t="s">
        <v>1386</v>
      </c>
      <c r="BC788" t="s">
        <v>709</v>
      </c>
      <c r="BD788" t="s">
        <v>115</v>
      </c>
      <c r="BE788" t="s">
        <v>1387</v>
      </c>
      <c r="BF788" t="s">
        <v>115</v>
      </c>
      <c r="BG788" t="s">
        <v>115</v>
      </c>
      <c r="BI788" t="s">
        <v>709</v>
      </c>
      <c r="BJ788" t="s">
        <v>709</v>
      </c>
      <c r="BK788" t="s">
        <v>709</v>
      </c>
      <c r="BL788" t="s">
        <v>116</v>
      </c>
      <c r="BM788" t="s">
        <v>709</v>
      </c>
      <c r="BN788" t="s">
        <v>709</v>
      </c>
      <c r="BO788" t="s">
        <v>709</v>
      </c>
      <c r="BP788" t="s">
        <v>709</v>
      </c>
      <c r="BQ788">
        <v>2081</v>
      </c>
      <c r="BR788">
        <v>4</v>
      </c>
      <c r="BS788">
        <v>25</v>
      </c>
      <c r="BT788" t="s">
        <v>745</v>
      </c>
      <c r="BU788" t="s">
        <v>709</v>
      </c>
      <c r="BV788" t="s">
        <v>745</v>
      </c>
      <c r="BW788" t="s">
        <v>709</v>
      </c>
      <c r="BX788" t="s">
        <v>745</v>
      </c>
      <c r="BY788" t="s">
        <v>745</v>
      </c>
      <c r="BZ788" t="s">
        <v>709</v>
      </c>
      <c r="CB788">
        <v>785</v>
      </c>
      <c r="CC788" t="b">
        <v>1</v>
      </c>
      <c r="CD788" t="s">
        <v>5058</v>
      </c>
      <c r="CE788" s="1482">
        <v>45880.736678240741</v>
      </c>
    </row>
    <row r="789" spans="1:83" x14ac:dyDescent="0.25">
      <c r="A789">
        <v>2022</v>
      </c>
      <c r="B789" t="s">
        <v>4</v>
      </c>
      <c r="C789" t="s">
        <v>3795</v>
      </c>
      <c r="D789">
        <v>1210614</v>
      </c>
      <c r="E789" t="s">
        <v>2298</v>
      </c>
      <c r="F789" t="s">
        <v>747</v>
      </c>
      <c r="G789" t="s">
        <v>39</v>
      </c>
      <c r="H789" t="s">
        <v>4189</v>
      </c>
      <c r="I789">
        <v>44888</v>
      </c>
      <c r="J789" t="s">
        <v>2052</v>
      </c>
      <c r="K789">
        <v>44894</v>
      </c>
      <c r="L789">
        <v>6</v>
      </c>
      <c r="M789" t="s">
        <v>5059</v>
      </c>
      <c r="N789" t="s">
        <v>120</v>
      </c>
      <c r="O789">
        <v>44896</v>
      </c>
      <c r="P789" t="s">
        <v>739</v>
      </c>
      <c r="Q789">
        <v>1750</v>
      </c>
      <c r="R789" t="s">
        <v>1922</v>
      </c>
      <c r="U789">
        <v>1750</v>
      </c>
      <c r="AD789" t="s">
        <v>116</v>
      </c>
      <c r="AM789" t="s">
        <v>709</v>
      </c>
      <c r="AY789" t="s">
        <v>29</v>
      </c>
      <c r="BA789">
        <v>3</v>
      </c>
      <c r="BB789" t="s">
        <v>5060</v>
      </c>
      <c r="BI789" t="s">
        <v>709</v>
      </c>
      <c r="BJ789" t="s">
        <v>709</v>
      </c>
      <c r="BK789" t="s">
        <v>709</v>
      </c>
      <c r="BL789" t="s">
        <v>116</v>
      </c>
      <c r="BM789" t="s">
        <v>709</v>
      </c>
      <c r="BN789" t="s">
        <v>709</v>
      </c>
      <c r="BO789" t="s">
        <v>709</v>
      </c>
      <c r="BP789" t="s">
        <v>709</v>
      </c>
      <c r="BQ789">
        <v>173</v>
      </c>
      <c r="BR789" t="s">
        <v>709</v>
      </c>
      <c r="BS789">
        <v>365</v>
      </c>
      <c r="BT789" t="s">
        <v>745</v>
      </c>
      <c r="BU789" t="s">
        <v>709</v>
      </c>
      <c r="BV789" t="s">
        <v>745</v>
      </c>
      <c r="BW789" t="s">
        <v>709</v>
      </c>
      <c r="BX789" t="s">
        <v>745</v>
      </c>
      <c r="BY789" t="s">
        <v>745</v>
      </c>
      <c r="BZ789" t="s">
        <v>709</v>
      </c>
      <c r="CB789">
        <v>789</v>
      </c>
      <c r="CC789" t="b">
        <v>1</v>
      </c>
      <c r="CD789" t="s">
        <v>5061</v>
      </c>
      <c r="CE789" s="1482">
        <v>45880.736678240741</v>
      </c>
    </row>
    <row r="790" spans="1:83" x14ac:dyDescent="0.25">
      <c r="A790">
        <v>2022</v>
      </c>
      <c r="B790" t="s">
        <v>759</v>
      </c>
      <c r="C790" t="s">
        <v>224</v>
      </c>
      <c r="D790" t="s">
        <v>1270</v>
      </c>
      <c r="E790" t="s">
        <v>225</v>
      </c>
      <c r="F790" t="s">
        <v>784</v>
      </c>
      <c r="G790" t="s">
        <v>24</v>
      </c>
      <c r="H790" t="s">
        <v>4001</v>
      </c>
      <c r="I790">
        <v>44886</v>
      </c>
      <c r="J790" t="s">
        <v>2052</v>
      </c>
      <c r="K790">
        <v>44894</v>
      </c>
      <c r="L790">
        <v>8</v>
      </c>
      <c r="M790" t="s">
        <v>5062</v>
      </c>
      <c r="N790" t="s">
        <v>120</v>
      </c>
      <c r="O790">
        <v>44896</v>
      </c>
      <c r="P790" t="s">
        <v>120</v>
      </c>
      <c r="Q790">
        <v>3807.5</v>
      </c>
      <c r="R790" t="s">
        <v>1922</v>
      </c>
      <c r="U790">
        <v>3807.5</v>
      </c>
      <c r="AC790" t="s">
        <v>1056</v>
      </c>
      <c r="AD790" t="s">
        <v>116</v>
      </c>
      <c r="AM790" t="s">
        <v>709</v>
      </c>
      <c r="AY790" t="s">
        <v>29</v>
      </c>
      <c r="BA790">
        <v>3</v>
      </c>
      <c r="BB790" t="s">
        <v>29</v>
      </c>
      <c r="BI790" t="s">
        <v>709</v>
      </c>
      <c r="BJ790" t="s">
        <v>709</v>
      </c>
      <c r="BK790" t="s">
        <v>116</v>
      </c>
      <c r="BL790" t="s">
        <v>116</v>
      </c>
      <c r="BM790" t="s">
        <v>709</v>
      </c>
      <c r="BN790" t="s">
        <v>709</v>
      </c>
      <c r="BO790" t="s">
        <v>709</v>
      </c>
      <c r="BP790">
        <v>724</v>
      </c>
      <c r="BQ790">
        <v>70</v>
      </c>
      <c r="BR790">
        <v>45</v>
      </c>
      <c r="BS790">
        <v>10</v>
      </c>
      <c r="BT790">
        <v>1</v>
      </c>
      <c r="BU790" t="s">
        <v>709</v>
      </c>
      <c r="BV790" t="s">
        <v>745</v>
      </c>
      <c r="BW790">
        <v>1</v>
      </c>
      <c r="BX790" t="s">
        <v>709</v>
      </c>
      <c r="BY790" t="s">
        <v>745</v>
      </c>
      <c r="BZ790" t="s">
        <v>709</v>
      </c>
      <c r="CA790" t="s">
        <v>2</v>
      </c>
      <c r="CB790">
        <v>790</v>
      </c>
      <c r="CC790" t="b">
        <v>1</v>
      </c>
      <c r="CD790" t="s">
        <v>5063</v>
      </c>
      <c r="CE790" s="1482">
        <v>45880.736689814818</v>
      </c>
    </row>
    <row r="791" spans="1:83" ht="330" x14ac:dyDescent="0.25">
      <c r="A791">
        <v>2023</v>
      </c>
      <c r="B791" t="s">
        <v>4</v>
      </c>
      <c r="C791" t="s">
        <v>1087</v>
      </c>
      <c r="D791" t="s">
        <v>1088</v>
      </c>
      <c r="E791" t="s">
        <v>309</v>
      </c>
      <c r="F791" t="s">
        <v>747</v>
      </c>
      <c r="G791" t="s">
        <v>27</v>
      </c>
      <c r="H791" t="s">
        <v>59</v>
      </c>
      <c r="I791">
        <v>44637</v>
      </c>
      <c r="J791">
        <v>44895</v>
      </c>
      <c r="K791">
        <v>44894</v>
      </c>
      <c r="L791">
        <v>1</v>
      </c>
      <c r="N791" t="s">
        <v>120</v>
      </c>
      <c r="O791">
        <v>44896</v>
      </c>
      <c r="P791" t="s">
        <v>739</v>
      </c>
      <c r="Q791">
        <v>171948.44899999999</v>
      </c>
      <c r="R791">
        <v>0.1</v>
      </c>
      <c r="V791">
        <v>3234</v>
      </c>
      <c r="X791">
        <v>980442.02</v>
      </c>
      <c r="Z791">
        <v>739042.47</v>
      </c>
      <c r="AA791">
        <v>1719484.49</v>
      </c>
      <c r="AB791" t="s">
        <v>1089</v>
      </c>
      <c r="AC791" t="s">
        <v>709</v>
      </c>
      <c r="AD791" t="s">
        <v>116</v>
      </c>
      <c r="AM791" t="s">
        <v>116</v>
      </c>
      <c r="AN791">
        <v>45776</v>
      </c>
      <c r="AO791">
        <v>11085682</v>
      </c>
      <c r="AP791">
        <v>996204.6</v>
      </c>
      <c r="AR791">
        <v>754936.91</v>
      </c>
      <c r="AS791">
        <v>1751141.51</v>
      </c>
      <c r="AT791">
        <v>31657.02</v>
      </c>
      <c r="AU791">
        <v>3165.7020000000002</v>
      </c>
      <c r="AV791">
        <v>5045</v>
      </c>
      <c r="AW791" t="s">
        <v>5064</v>
      </c>
      <c r="AX791">
        <v>0</v>
      </c>
      <c r="AY791">
        <v>45901</v>
      </c>
      <c r="AZ791">
        <v>77</v>
      </c>
      <c r="BA791" s="4" t="s">
        <v>1091</v>
      </c>
      <c r="BB791" t="s">
        <v>1092</v>
      </c>
      <c r="BC791" t="s">
        <v>116</v>
      </c>
      <c r="BD791" t="s">
        <v>837</v>
      </c>
      <c r="BE791" t="s">
        <v>1093</v>
      </c>
      <c r="BF791" t="s">
        <v>115</v>
      </c>
      <c r="BG791" t="s">
        <v>115</v>
      </c>
      <c r="BH791" t="s">
        <v>1094</v>
      </c>
      <c r="BI791" t="s">
        <v>709</v>
      </c>
      <c r="BJ791" t="s">
        <v>709</v>
      </c>
      <c r="BK791" t="s">
        <v>709</v>
      </c>
      <c r="BL791" t="s">
        <v>116</v>
      </c>
      <c r="BM791" t="s">
        <v>709</v>
      </c>
      <c r="BN791" t="s">
        <v>709</v>
      </c>
      <c r="BO791" t="s">
        <v>709</v>
      </c>
      <c r="BP791" t="s">
        <v>709</v>
      </c>
      <c r="BQ791" t="s">
        <v>709</v>
      </c>
      <c r="BR791">
        <v>3138</v>
      </c>
      <c r="BS791">
        <v>96</v>
      </c>
      <c r="BT791" t="s">
        <v>709</v>
      </c>
      <c r="BU791" t="s">
        <v>709</v>
      </c>
      <c r="BV791" t="s">
        <v>709</v>
      </c>
      <c r="BW791" t="s">
        <v>709</v>
      </c>
      <c r="BX791" t="s">
        <v>745</v>
      </c>
      <c r="BY791" t="s">
        <v>709</v>
      </c>
      <c r="BZ791" t="s">
        <v>709</v>
      </c>
      <c r="CB791">
        <v>787</v>
      </c>
      <c r="CC791" t="b">
        <v>1</v>
      </c>
      <c r="CD791" t="s">
        <v>5065</v>
      </c>
      <c r="CE791" s="1482">
        <v>45880.736701388887</v>
      </c>
    </row>
    <row r="792" spans="1:83" ht="315" x14ac:dyDescent="0.25">
      <c r="A792">
        <v>2023</v>
      </c>
      <c r="B792" t="s">
        <v>4</v>
      </c>
      <c r="C792" t="s">
        <v>1095</v>
      </c>
      <c r="D792" t="s">
        <v>1096</v>
      </c>
      <c r="E792" t="s">
        <v>309</v>
      </c>
      <c r="F792" t="s">
        <v>747</v>
      </c>
      <c r="G792" t="s">
        <v>27</v>
      </c>
      <c r="H792" t="s">
        <v>59</v>
      </c>
      <c r="I792">
        <v>44791</v>
      </c>
      <c r="J792">
        <v>44895</v>
      </c>
      <c r="K792">
        <v>44894</v>
      </c>
      <c r="L792">
        <v>1</v>
      </c>
      <c r="N792" t="s">
        <v>120</v>
      </c>
      <c r="O792">
        <v>44896</v>
      </c>
      <c r="P792" t="s">
        <v>739</v>
      </c>
      <c r="Q792">
        <v>103641.395</v>
      </c>
      <c r="R792">
        <v>0.1</v>
      </c>
      <c r="V792">
        <v>2473</v>
      </c>
      <c r="X792">
        <v>688510.01</v>
      </c>
      <c r="Z792">
        <v>347903.94</v>
      </c>
      <c r="AA792">
        <v>1036413.95</v>
      </c>
      <c r="AB792" t="s">
        <v>1089</v>
      </c>
      <c r="AC792" t="s">
        <v>709</v>
      </c>
      <c r="AD792" t="s">
        <v>116</v>
      </c>
      <c r="AM792" t="s">
        <v>116</v>
      </c>
      <c r="AN792">
        <v>45776</v>
      </c>
      <c r="AO792">
        <v>11082174</v>
      </c>
      <c r="AP792">
        <v>742927.88</v>
      </c>
      <c r="AR792">
        <v>416914.29</v>
      </c>
      <c r="AS792">
        <v>1159842.17</v>
      </c>
      <c r="AT792">
        <v>123428.22</v>
      </c>
      <c r="AU792">
        <v>12342.822</v>
      </c>
      <c r="AV792">
        <v>5045</v>
      </c>
      <c r="AW792" t="s">
        <v>5064</v>
      </c>
      <c r="AX792">
        <v>0</v>
      </c>
      <c r="AY792">
        <v>45901</v>
      </c>
      <c r="AZ792">
        <v>76</v>
      </c>
      <c r="BA792" s="4" t="s">
        <v>1098</v>
      </c>
      <c r="BB792" t="s">
        <v>1092</v>
      </c>
      <c r="BC792" t="s">
        <v>116</v>
      </c>
      <c r="BD792" t="s">
        <v>837</v>
      </c>
      <c r="BE792" t="s">
        <v>1093</v>
      </c>
      <c r="BF792" t="s">
        <v>115</v>
      </c>
      <c r="BG792" t="s">
        <v>115</v>
      </c>
      <c r="BH792" t="s">
        <v>1094</v>
      </c>
      <c r="BI792" t="s">
        <v>709</v>
      </c>
      <c r="BJ792" t="s">
        <v>709</v>
      </c>
      <c r="BK792" t="s">
        <v>709</v>
      </c>
      <c r="BL792" t="s">
        <v>116</v>
      </c>
      <c r="BM792" t="s">
        <v>709</v>
      </c>
      <c r="BN792" t="s">
        <v>709</v>
      </c>
      <c r="BO792" t="s">
        <v>709</v>
      </c>
      <c r="BP792" t="s">
        <v>709</v>
      </c>
      <c r="BQ792" t="s">
        <v>709</v>
      </c>
      <c r="BR792">
        <v>2473</v>
      </c>
      <c r="BS792" t="s">
        <v>709</v>
      </c>
      <c r="BT792" t="s">
        <v>745</v>
      </c>
      <c r="BU792" t="s">
        <v>709</v>
      </c>
      <c r="BV792" t="s">
        <v>745</v>
      </c>
      <c r="BW792" t="s">
        <v>709</v>
      </c>
      <c r="BX792" t="s">
        <v>745</v>
      </c>
      <c r="BY792" t="s">
        <v>745</v>
      </c>
      <c r="BZ792" t="s">
        <v>709</v>
      </c>
      <c r="CB792">
        <v>788</v>
      </c>
      <c r="CC792" t="b">
        <v>1</v>
      </c>
      <c r="CD792" t="s">
        <v>5066</v>
      </c>
      <c r="CE792" s="1482">
        <v>45880.736701388887</v>
      </c>
    </row>
    <row r="793" spans="1:83" ht="315" x14ac:dyDescent="0.25">
      <c r="A793">
        <v>2022</v>
      </c>
      <c r="B793" t="s">
        <v>4</v>
      </c>
      <c r="C793" t="s">
        <v>5067</v>
      </c>
      <c r="D793" t="s">
        <v>5068</v>
      </c>
      <c r="E793" t="s">
        <v>5069</v>
      </c>
      <c r="F793" t="s">
        <v>747</v>
      </c>
      <c r="G793" t="s">
        <v>25</v>
      </c>
      <c r="H793" t="s">
        <v>59</v>
      </c>
      <c r="I793">
        <v>44783</v>
      </c>
      <c r="J793">
        <v>44897</v>
      </c>
      <c r="K793">
        <v>44896</v>
      </c>
      <c r="L793">
        <v>1</v>
      </c>
      <c r="N793" t="s">
        <v>120</v>
      </c>
      <c r="O793">
        <v>44896</v>
      </c>
      <c r="P793" t="s">
        <v>739</v>
      </c>
      <c r="Q793">
        <v>60050.241999999998</v>
      </c>
      <c r="R793">
        <v>0.1</v>
      </c>
      <c r="V793">
        <v>1780</v>
      </c>
      <c r="X793">
        <v>503592.01</v>
      </c>
      <c r="Z793">
        <v>96910.41</v>
      </c>
      <c r="AA793">
        <v>600502.42000000004</v>
      </c>
      <c r="AB793">
        <v>44942</v>
      </c>
      <c r="AC793" t="s">
        <v>709</v>
      </c>
      <c r="AD793" t="s">
        <v>29</v>
      </c>
      <c r="AE793" t="s">
        <v>29</v>
      </c>
      <c r="AF793" t="s">
        <v>29</v>
      </c>
      <c r="AG793" t="s">
        <v>29</v>
      </c>
      <c r="AH793" t="s">
        <v>29</v>
      </c>
      <c r="AM793" t="s">
        <v>116</v>
      </c>
      <c r="AN793">
        <v>45107</v>
      </c>
      <c r="AO793">
        <v>11064607</v>
      </c>
      <c r="AP793">
        <v>286790</v>
      </c>
      <c r="AR793">
        <v>67766.62</v>
      </c>
      <c r="AS793">
        <v>354556.62</v>
      </c>
      <c r="AT793">
        <v>-245945.8</v>
      </c>
      <c r="AU793">
        <v>-24594.58</v>
      </c>
      <c r="AV793">
        <v>6027.5</v>
      </c>
      <c r="AW793" t="s">
        <v>5070</v>
      </c>
      <c r="AX793">
        <v>0</v>
      </c>
      <c r="AY793">
        <v>45200</v>
      </c>
      <c r="BA793" s="4" t="s">
        <v>5071</v>
      </c>
      <c r="BB793" t="s">
        <v>5072</v>
      </c>
      <c r="BC793" t="s">
        <v>116</v>
      </c>
      <c r="BD793" t="s">
        <v>882</v>
      </c>
      <c r="BE793" t="s">
        <v>5073</v>
      </c>
      <c r="BF793" t="s">
        <v>5073</v>
      </c>
      <c r="BG793" t="s">
        <v>115</v>
      </c>
      <c r="BI793" t="s">
        <v>709</v>
      </c>
      <c r="BJ793" t="s">
        <v>709</v>
      </c>
      <c r="BK793" t="s">
        <v>709</v>
      </c>
      <c r="BL793" t="s">
        <v>116</v>
      </c>
      <c r="BM793" t="s">
        <v>709</v>
      </c>
      <c r="BN793" t="s">
        <v>709</v>
      </c>
      <c r="BO793" t="s">
        <v>709</v>
      </c>
      <c r="BP793" t="s">
        <v>709</v>
      </c>
      <c r="BQ793" t="s">
        <v>709</v>
      </c>
      <c r="BR793">
        <v>581</v>
      </c>
      <c r="BS793">
        <v>1199</v>
      </c>
      <c r="BT793" t="s">
        <v>745</v>
      </c>
      <c r="BU793" t="s">
        <v>709</v>
      </c>
      <c r="BV793" t="s">
        <v>745</v>
      </c>
      <c r="BW793" t="s">
        <v>709</v>
      </c>
      <c r="BX793" t="s">
        <v>745</v>
      </c>
      <c r="BY793" t="s">
        <v>745</v>
      </c>
      <c r="BZ793" t="s">
        <v>709</v>
      </c>
      <c r="CB793">
        <v>791</v>
      </c>
      <c r="CC793" t="b">
        <v>1</v>
      </c>
      <c r="CD793" t="s">
        <v>5074</v>
      </c>
      <c r="CE793" s="1482">
        <v>45880.736712962964</v>
      </c>
    </row>
    <row r="794" spans="1:83" ht="255" x14ac:dyDescent="0.25">
      <c r="A794">
        <v>2022</v>
      </c>
      <c r="B794" t="s">
        <v>4</v>
      </c>
      <c r="C794" t="s">
        <v>5075</v>
      </c>
      <c r="D794" t="s">
        <v>5076</v>
      </c>
      <c r="E794" t="s">
        <v>354</v>
      </c>
      <c r="F794" t="s">
        <v>784</v>
      </c>
      <c r="G794" t="s">
        <v>27</v>
      </c>
      <c r="H794" t="s">
        <v>1903</v>
      </c>
      <c r="I794">
        <v>44774</v>
      </c>
      <c r="J794">
        <v>44935</v>
      </c>
      <c r="K794">
        <v>44900</v>
      </c>
      <c r="L794">
        <v>35</v>
      </c>
      <c r="N794" t="s">
        <v>120</v>
      </c>
      <c r="O794">
        <v>44900</v>
      </c>
      <c r="P794" t="s">
        <v>739</v>
      </c>
      <c r="Q794" t="s">
        <v>115</v>
      </c>
      <c r="R794" t="s">
        <v>115</v>
      </c>
      <c r="AB794" t="s">
        <v>29</v>
      </c>
      <c r="AC794" t="s">
        <v>709</v>
      </c>
      <c r="AD794" t="s">
        <v>29</v>
      </c>
      <c r="AM794" t="s">
        <v>709</v>
      </c>
      <c r="AY794" t="s">
        <v>29</v>
      </c>
      <c r="BA794" s="4" t="s">
        <v>5077</v>
      </c>
      <c r="BB794" t="s">
        <v>1494</v>
      </c>
      <c r="BC794" t="s">
        <v>4949</v>
      </c>
      <c r="BD794" t="s">
        <v>4949</v>
      </c>
      <c r="BE794" t="s">
        <v>588</v>
      </c>
      <c r="BF794" t="s">
        <v>588</v>
      </c>
      <c r="BG794" t="s">
        <v>4949</v>
      </c>
      <c r="CB794">
        <v>793</v>
      </c>
      <c r="CC794" t="b">
        <v>1</v>
      </c>
      <c r="CD794" t="s">
        <v>5078</v>
      </c>
      <c r="CE794" s="1482">
        <v>45880.736712962964</v>
      </c>
    </row>
    <row r="795" spans="1:83" x14ac:dyDescent="0.25">
      <c r="A795">
        <v>2022</v>
      </c>
      <c r="B795" t="s">
        <v>4</v>
      </c>
      <c r="C795" t="s">
        <v>873</v>
      </c>
      <c r="D795" t="s">
        <v>874</v>
      </c>
      <c r="E795" t="s">
        <v>104</v>
      </c>
      <c r="F795" t="s">
        <v>738</v>
      </c>
      <c r="G795" t="s">
        <v>39</v>
      </c>
      <c r="H795" t="s">
        <v>3178</v>
      </c>
      <c r="I795">
        <v>44868</v>
      </c>
      <c r="J795" t="s">
        <v>2052</v>
      </c>
      <c r="K795">
        <v>44900</v>
      </c>
      <c r="L795">
        <v>32</v>
      </c>
      <c r="M795" t="s">
        <v>5079</v>
      </c>
      <c r="N795" t="s">
        <v>120</v>
      </c>
      <c r="O795">
        <v>44900</v>
      </c>
      <c r="P795" t="s">
        <v>739</v>
      </c>
      <c r="Q795">
        <v>7347.5</v>
      </c>
      <c r="R795" t="s">
        <v>1922</v>
      </c>
      <c r="U795">
        <v>7347.5</v>
      </c>
      <c r="AA795">
        <v>0</v>
      </c>
      <c r="AD795" t="s">
        <v>29</v>
      </c>
      <c r="AM795" t="s">
        <v>709</v>
      </c>
      <c r="AY795" t="s">
        <v>29</v>
      </c>
      <c r="BA795">
        <v>12</v>
      </c>
      <c r="BB795" t="s">
        <v>5080</v>
      </c>
      <c r="BI795" t="s">
        <v>709</v>
      </c>
      <c r="BJ795" t="s">
        <v>709</v>
      </c>
      <c r="BK795" t="s">
        <v>709</v>
      </c>
      <c r="BL795" t="s">
        <v>116</v>
      </c>
      <c r="BM795" t="s">
        <v>709</v>
      </c>
      <c r="BN795" t="s">
        <v>709</v>
      </c>
      <c r="BO795" t="s">
        <v>709</v>
      </c>
      <c r="BP795">
        <v>1708</v>
      </c>
      <c r="BQ795" t="s">
        <v>709</v>
      </c>
      <c r="BR795" t="s">
        <v>709</v>
      </c>
      <c r="BS795">
        <v>562</v>
      </c>
      <c r="BT795" t="s">
        <v>745</v>
      </c>
      <c r="BU795" t="s">
        <v>709</v>
      </c>
      <c r="BV795" t="s">
        <v>745</v>
      </c>
      <c r="BW795" t="s">
        <v>709</v>
      </c>
      <c r="BX795" t="s">
        <v>745</v>
      </c>
      <c r="BY795" t="s">
        <v>745</v>
      </c>
      <c r="BZ795" t="s">
        <v>709</v>
      </c>
      <c r="CB795">
        <v>792</v>
      </c>
      <c r="CC795" t="b">
        <v>1</v>
      </c>
      <c r="CD795" t="s">
        <v>5081</v>
      </c>
      <c r="CE795" s="1482">
        <v>45880.736724537041</v>
      </c>
    </row>
    <row r="796" spans="1:83" ht="105" x14ac:dyDescent="0.25">
      <c r="A796">
        <v>2023</v>
      </c>
      <c r="B796" t="s">
        <v>730</v>
      </c>
      <c r="C796" t="s">
        <v>5082</v>
      </c>
      <c r="D796" t="s">
        <v>115</v>
      </c>
      <c r="E796" t="s">
        <v>2000</v>
      </c>
      <c r="F796" t="s">
        <v>752</v>
      </c>
      <c r="G796" t="s">
        <v>34</v>
      </c>
      <c r="H796" t="s">
        <v>2127</v>
      </c>
      <c r="I796">
        <v>44888</v>
      </c>
      <c r="J796">
        <v>44988</v>
      </c>
      <c r="K796">
        <v>44900</v>
      </c>
      <c r="L796">
        <v>88</v>
      </c>
      <c r="M796" t="s">
        <v>5083</v>
      </c>
      <c r="N796" t="s">
        <v>120</v>
      </c>
      <c r="O796">
        <v>44928</v>
      </c>
      <c r="P796" t="s">
        <v>120</v>
      </c>
      <c r="Q796" t="s">
        <v>115</v>
      </c>
      <c r="R796" t="s">
        <v>115</v>
      </c>
      <c r="AA796">
        <v>0</v>
      </c>
      <c r="AC796" t="s">
        <v>29</v>
      </c>
      <c r="AD796" t="s">
        <v>29</v>
      </c>
      <c r="AM796" t="s">
        <v>709</v>
      </c>
      <c r="AY796" t="s">
        <v>29</v>
      </c>
      <c r="BA796" t="s">
        <v>5084</v>
      </c>
      <c r="BB796" s="4" t="s">
        <v>5085</v>
      </c>
      <c r="BC796" t="s">
        <v>709</v>
      </c>
      <c r="BD796" t="s">
        <v>115</v>
      </c>
      <c r="BE796" t="s">
        <v>115</v>
      </c>
      <c r="BF796" t="s">
        <v>5086</v>
      </c>
      <c r="BG796" t="s">
        <v>115</v>
      </c>
      <c r="BZ796" t="s">
        <v>709</v>
      </c>
      <c r="CA796" t="s">
        <v>915</v>
      </c>
      <c r="CB796">
        <v>794</v>
      </c>
      <c r="CC796" t="b">
        <v>1</v>
      </c>
      <c r="CD796" t="s">
        <v>5087</v>
      </c>
      <c r="CE796" s="1482">
        <v>45880.73673611111</v>
      </c>
    </row>
    <row r="797" spans="1:83" x14ac:dyDescent="0.25">
      <c r="A797">
        <v>2023</v>
      </c>
      <c r="B797" t="s">
        <v>1205</v>
      </c>
      <c r="C797" t="s">
        <v>271</v>
      </c>
      <c r="D797" t="s">
        <v>1388</v>
      </c>
      <c r="E797" t="s">
        <v>272</v>
      </c>
      <c r="F797" t="s">
        <v>747</v>
      </c>
      <c r="G797" t="s">
        <v>32</v>
      </c>
      <c r="H797" t="s">
        <v>59</v>
      </c>
      <c r="I797">
        <v>44795</v>
      </c>
      <c r="J797">
        <v>44909</v>
      </c>
      <c r="K797">
        <v>44901</v>
      </c>
      <c r="L797">
        <v>8</v>
      </c>
      <c r="N797" t="s">
        <v>120</v>
      </c>
      <c r="O797">
        <v>44901</v>
      </c>
      <c r="P797" t="s">
        <v>120</v>
      </c>
      <c r="Q797">
        <v>39511.660499999998</v>
      </c>
      <c r="R797">
        <v>0.09</v>
      </c>
      <c r="V797">
        <v>279</v>
      </c>
      <c r="X797">
        <v>406784.84</v>
      </c>
      <c r="Z797">
        <v>32233.61</v>
      </c>
      <c r="AA797">
        <v>439018.45</v>
      </c>
      <c r="AB797">
        <v>44902</v>
      </c>
      <c r="AC797" t="s">
        <v>1177</v>
      </c>
      <c r="AD797" t="s">
        <v>709</v>
      </c>
      <c r="AM797" t="s">
        <v>116</v>
      </c>
      <c r="AN797">
        <v>45582</v>
      </c>
      <c r="AO797">
        <v>11050949</v>
      </c>
      <c r="AP797">
        <v>422454.2</v>
      </c>
      <c r="AR797">
        <v>36314.230000000003</v>
      </c>
      <c r="AS797">
        <v>458768.43</v>
      </c>
      <c r="AT797">
        <v>19749.98</v>
      </c>
      <c r="AU797">
        <v>1777.4982</v>
      </c>
      <c r="AV797">
        <v>2125</v>
      </c>
      <c r="AW797" t="s">
        <v>5088</v>
      </c>
      <c r="AX797">
        <v>0</v>
      </c>
      <c r="AY797">
        <v>45901</v>
      </c>
      <c r="AZ797">
        <v>30</v>
      </c>
      <c r="BA797" t="s">
        <v>1389</v>
      </c>
      <c r="BB797" t="s">
        <v>1390</v>
      </c>
      <c r="BC797" t="s">
        <v>116</v>
      </c>
      <c r="BD797" t="s">
        <v>115</v>
      </c>
      <c r="BE797" t="s">
        <v>1242</v>
      </c>
      <c r="BF797" t="s">
        <v>115</v>
      </c>
      <c r="BG797" t="s">
        <v>1391</v>
      </c>
      <c r="BH797" t="s">
        <v>5089</v>
      </c>
      <c r="BI797" t="s">
        <v>709</v>
      </c>
      <c r="BJ797" t="s">
        <v>709</v>
      </c>
      <c r="BK797" t="s">
        <v>709</v>
      </c>
      <c r="BL797" t="s">
        <v>116</v>
      </c>
      <c r="BM797">
        <v>0</v>
      </c>
      <c r="BN797">
        <v>0</v>
      </c>
      <c r="BO797">
        <v>0</v>
      </c>
      <c r="BP797">
        <v>0</v>
      </c>
      <c r="BQ797">
        <v>0</v>
      </c>
      <c r="BR797">
        <v>261</v>
      </c>
      <c r="BS797">
        <v>18</v>
      </c>
      <c r="BT797">
        <v>0</v>
      </c>
      <c r="BU797">
        <v>0</v>
      </c>
      <c r="BV797">
        <v>0</v>
      </c>
      <c r="BW797">
        <v>0</v>
      </c>
      <c r="BX797">
        <v>0</v>
      </c>
      <c r="BY797">
        <v>0</v>
      </c>
      <c r="BZ797" t="s">
        <v>709</v>
      </c>
      <c r="CB797">
        <v>795</v>
      </c>
      <c r="CC797" t="b">
        <v>1</v>
      </c>
      <c r="CD797" t="s">
        <v>5090</v>
      </c>
      <c r="CE797" s="1482">
        <v>45880.736747685187</v>
      </c>
    </row>
    <row r="798" spans="1:83" x14ac:dyDescent="0.25">
      <c r="A798">
        <v>2023</v>
      </c>
      <c r="B798" t="s">
        <v>771</v>
      </c>
      <c r="C798" t="s">
        <v>5091</v>
      </c>
      <c r="D798" t="s">
        <v>5092</v>
      </c>
      <c r="E798" t="s">
        <v>5093</v>
      </c>
      <c r="F798" t="s">
        <v>747</v>
      </c>
      <c r="G798" t="s">
        <v>32</v>
      </c>
      <c r="H798" t="s">
        <v>59</v>
      </c>
      <c r="I798">
        <v>44831</v>
      </c>
      <c r="J798">
        <v>44925</v>
      </c>
      <c r="K798">
        <v>44903</v>
      </c>
      <c r="L798">
        <v>22</v>
      </c>
      <c r="N798" t="s">
        <v>120</v>
      </c>
      <c r="O798">
        <v>44903</v>
      </c>
      <c r="P798" t="s">
        <v>120</v>
      </c>
      <c r="Q798">
        <v>69626.997000000003</v>
      </c>
      <c r="R798">
        <v>0.09</v>
      </c>
      <c r="V798">
        <v>4215</v>
      </c>
      <c r="X798">
        <v>739874.87</v>
      </c>
      <c r="Z798">
        <v>33758.43</v>
      </c>
      <c r="AA798">
        <v>773633.3</v>
      </c>
      <c r="AB798">
        <v>44903</v>
      </c>
      <c r="AC798" t="s">
        <v>709</v>
      </c>
      <c r="AD798" t="s">
        <v>116</v>
      </c>
      <c r="AM798" t="s">
        <v>116</v>
      </c>
      <c r="AN798">
        <v>44950</v>
      </c>
      <c r="AO798">
        <v>11052562</v>
      </c>
      <c r="AP798">
        <v>747076.77</v>
      </c>
      <c r="AR798">
        <v>34590.43</v>
      </c>
      <c r="AS798">
        <v>781667.2</v>
      </c>
      <c r="AT798">
        <v>8033.9</v>
      </c>
      <c r="AU798">
        <v>723.05100000000004</v>
      </c>
      <c r="AV798" t="s">
        <v>709</v>
      </c>
      <c r="AX798">
        <v>723.05100000000004</v>
      </c>
      <c r="AY798">
        <v>45200</v>
      </c>
      <c r="BA798" t="s">
        <v>5094</v>
      </c>
      <c r="BB798" t="s">
        <v>5095</v>
      </c>
      <c r="BC798" t="s">
        <v>709</v>
      </c>
      <c r="BD798" t="s">
        <v>115</v>
      </c>
      <c r="BE798" t="s">
        <v>5096</v>
      </c>
      <c r="BF798" t="s">
        <v>115</v>
      </c>
      <c r="BG798" t="s">
        <v>115</v>
      </c>
      <c r="BH798" t="s">
        <v>5097</v>
      </c>
      <c r="BI798" t="s">
        <v>709</v>
      </c>
      <c r="BJ798" t="s">
        <v>709</v>
      </c>
      <c r="BK798" t="s">
        <v>709</v>
      </c>
      <c r="BL798" t="s">
        <v>116</v>
      </c>
      <c r="BM798">
        <v>0</v>
      </c>
      <c r="BN798">
        <v>0</v>
      </c>
      <c r="BO798">
        <v>0</v>
      </c>
      <c r="BP798">
        <v>0</v>
      </c>
      <c r="BQ798">
        <v>0</v>
      </c>
      <c r="BR798">
        <v>0</v>
      </c>
      <c r="BS798">
        <v>4215</v>
      </c>
      <c r="BT798">
        <v>0</v>
      </c>
      <c r="BU798">
        <v>0</v>
      </c>
      <c r="BV798">
        <v>0</v>
      </c>
      <c r="BW798">
        <v>0</v>
      </c>
      <c r="BX798">
        <v>0</v>
      </c>
      <c r="BY798">
        <v>0</v>
      </c>
      <c r="BZ798" t="s">
        <v>709</v>
      </c>
      <c r="CB798">
        <v>796</v>
      </c>
      <c r="CC798" t="b">
        <v>1</v>
      </c>
      <c r="CD798" t="s">
        <v>5098</v>
      </c>
      <c r="CE798" s="1482">
        <v>45880.736747685187</v>
      </c>
    </row>
    <row r="799" spans="1:83" x14ac:dyDescent="0.25">
      <c r="A799">
        <v>2022</v>
      </c>
      <c r="B799" t="s">
        <v>771</v>
      </c>
      <c r="C799" t="s">
        <v>68</v>
      </c>
      <c r="D799">
        <v>120405</v>
      </c>
      <c r="E799" t="s">
        <v>70</v>
      </c>
      <c r="F799" t="s">
        <v>747</v>
      </c>
      <c r="G799" t="s">
        <v>36</v>
      </c>
      <c r="H799" t="s">
        <v>2723</v>
      </c>
      <c r="I799">
        <v>44893</v>
      </c>
      <c r="J799" t="s">
        <v>2724</v>
      </c>
      <c r="K799">
        <v>44910</v>
      </c>
      <c r="L799">
        <v>17</v>
      </c>
      <c r="M799" t="s">
        <v>5099</v>
      </c>
      <c r="N799" t="s">
        <v>120</v>
      </c>
      <c r="O799">
        <v>44927</v>
      </c>
      <c r="P799" t="s">
        <v>120</v>
      </c>
      <c r="Q799">
        <v>6090</v>
      </c>
      <c r="R799" t="s">
        <v>1922</v>
      </c>
      <c r="U799">
        <v>6090</v>
      </c>
      <c r="AM799" t="s">
        <v>709</v>
      </c>
      <c r="AY799" t="s">
        <v>29</v>
      </c>
      <c r="BA799">
        <v>2</v>
      </c>
      <c r="BB799" t="s">
        <v>5100</v>
      </c>
      <c r="BI799" t="s">
        <v>709</v>
      </c>
      <c r="BJ799" t="s">
        <v>709</v>
      </c>
      <c r="BK799" t="s">
        <v>709</v>
      </c>
      <c r="BL799" t="s">
        <v>116</v>
      </c>
      <c r="BM799" t="s">
        <v>709</v>
      </c>
      <c r="BN799" t="s">
        <v>709</v>
      </c>
      <c r="BO799" t="s">
        <v>709</v>
      </c>
      <c r="BP799" t="s">
        <v>116</v>
      </c>
      <c r="BQ799" t="s">
        <v>116</v>
      </c>
      <c r="BR799" t="s">
        <v>116</v>
      </c>
      <c r="BS799" t="s">
        <v>116</v>
      </c>
      <c r="BT799" t="s">
        <v>116</v>
      </c>
      <c r="BU799" t="s">
        <v>709</v>
      </c>
      <c r="BV799" t="s">
        <v>745</v>
      </c>
      <c r="BW799" t="s">
        <v>709</v>
      </c>
      <c r="BX799" t="s">
        <v>745</v>
      </c>
      <c r="BY799" t="s">
        <v>745</v>
      </c>
      <c r="BZ799" t="s">
        <v>709</v>
      </c>
      <c r="CB799">
        <v>799</v>
      </c>
      <c r="CC799" t="b">
        <v>1</v>
      </c>
      <c r="CD799" t="s">
        <v>5101</v>
      </c>
      <c r="CE799" s="1482">
        <v>45880.736759259256</v>
      </c>
    </row>
    <row r="800" spans="1:83" x14ac:dyDescent="0.25">
      <c r="A800">
        <v>2022</v>
      </c>
      <c r="B800" t="s">
        <v>1073</v>
      </c>
      <c r="C800" t="s">
        <v>276</v>
      </c>
      <c r="D800" t="s">
        <v>5102</v>
      </c>
      <c r="E800" t="s">
        <v>277</v>
      </c>
      <c r="F800" t="s">
        <v>784</v>
      </c>
      <c r="G800" t="s">
        <v>22</v>
      </c>
      <c r="H800" t="s">
        <v>59</v>
      </c>
      <c r="I800">
        <v>44844</v>
      </c>
      <c r="J800">
        <v>44911</v>
      </c>
      <c r="K800">
        <v>44910</v>
      </c>
      <c r="L800">
        <v>1</v>
      </c>
      <c r="N800" t="s">
        <v>120</v>
      </c>
      <c r="O800">
        <v>44910</v>
      </c>
      <c r="P800" t="s">
        <v>739</v>
      </c>
      <c r="Q800">
        <v>9948.7430000000004</v>
      </c>
      <c r="R800">
        <v>7.0000000000000007E-2</v>
      </c>
      <c r="V800">
        <v>462</v>
      </c>
      <c r="X800">
        <v>142124.9</v>
      </c>
      <c r="Z800">
        <v>0</v>
      </c>
      <c r="AA800">
        <v>142124.9</v>
      </c>
      <c r="AB800" t="s">
        <v>5103</v>
      </c>
      <c r="AC800" t="s">
        <v>709</v>
      </c>
      <c r="AD800" t="s">
        <v>116</v>
      </c>
      <c r="AM800" t="s">
        <v>116</v>
      </c>
      <c r="AN800">
        <v>45001</v>
      </c>
      <c r="AO800">
        <v>11055690</v>
      </c>
      <c r="AP800">
        <v>144474.15</v>
      </c>
      <c r="AR800">
        <v>0</v>
      </c>
      <c r="AS800">
        <v>144474.15</v>
      </c>
      <c r="AT800">
        <v>2349.25</v>
      </c>
      <c r="AU800">
        <v>164.44749999999999</v>
      </c>
      <c r="AV800">
        <v>830</v>
      </c>
      <c r="AW800" t="s">
        <v>5104</v>
      </c>
      <c r="AX800">
        <v>0</v>
      </c>
      <c r="AY800">
        <v>45200</v>
      </c>
      <c r="BA800" t="s">
        <v>5105</v>
      </c>
      <c r="BB800" t="s">
        <v>5106</v>
      </c>
      <c r="BC800" t="s">
        <v>709</v>
      </c>
      <c r="BD800" t="s">
        <v>115</v>
      </c>
      <c r="BE800" t="s">
        <v>115</v>
      </c>
      <c r="BF800" t="s">
        <v>115</v>
      </c>
      <c r="BG800" t="s">
        <v>1078</v>
      </c>
      <c r="BI800" t="s">
        <v>709</v>
      </c>
      <c r="BJ800" t="s">
        <v>709</v>
      </c>
      <c r="BK800" t="s">
        <v>116</v>
      </c>
      <c r="BL800" t="s">
        <v>709</v>
      </c>
      <c r="BM800" t="s">
        <v>709</v>
      </c>
      <c r="BN800" t="s">
        <v>709</v>
      </c>
      <c r="BO800" t="s">
        <v>709</v>
      </c>
      <c r="BP800" t="s">
        <v>709</v>
      </c>
      <c r="BQ800" t="s">
        <v>709</v>
      </c>
      <c r="BR800">
        <v>457</v>
      </c>
      <c r="BS800">
        <v>5</v>
      </c>
      <c r="BT800" t="s">
        <v>745</v>
      </c>
      <c r="BU800" t="s">
        <v>709</v>
      </c>
      <c r="BV800" t="s">
        <v>745</v>
      </c>
      <c r="BW800" t="s">
        <v>709</v>
      </c>
      <c r="BX800" t="s">
        <v>745</v>
      </c>
      <c r="BY800">
        <v>1</v>
      </c>
      <c r="BZ800" t="s">
        <v>709</v>
      </c>
      <c r="CB800">
        <v>797</v>
      </c>
      <c r="CC800" t="b">
        <v>1</v>
      </c>
      <c r="CD800" t="s">
        <v>5107</v>
      </c>
      <c r="CE800" s="1482">
        <v>45880.736770833333</v>
      </c>
    </row>
    <row r="801" spans="1:83" x14ac:dyDescent="0.25">
      <c r="A801">
        <v>2022</v>
      </c>
      <c r="B801" t="s">
        <v>1073</v>
      </c>
      <c r="C801" t="s">
        <v>276</v>
      </c>
      <c r="D801" t="s">
        <v>5108</v>
      </c>
      <c r="E801" t="s">
        <v>277</v>
      </c>
      <c r="F801" t="s">
        <v>784</v>
      </c>
      <c r="G801" t="s">
        <v>22</v>
      </c>
      <c r="H801" t="s">
        <v>59</v>
      </c>
      <c r="I801">
        <v>44844</v>
      </c>
      <c r="J801">
        <v>44911</v>
      </c>
      <c r="K801">
        <v>44910</v>
      </c>
      <c r="L801">
        <v>1</v>
      </c>
      <c r="N801" t="s">
        <v>120</v>
      </c>
      <c r="O801">
        <v>44910</v>
      </c>
      <c r="P801" t="s">
        <v>739</v>
      </c>
      <c r="Q801">
        <v>5111.7731000000003</v>
      </c>
      <c r="R801">
        <v>7.0000000000000007E-2</v>
      </c>
      <c r="V801">
        <v>0</v>
      </c>
      <c r="X801">
        <v>73025.33</v>
      </c>
      <c r="Z801">
        <v>0</v>
      </c>
      <c r="AA801">
        <v>73025.33</v>
      </c>
      <c r="AB801" t="s">
        <v>5103</v>
      </c>
      <c r="AC801" t="s">
        <v>3919</v>
      </c>
      <c r="AD801" t="s">
        <v>116</v>
      </c>
      <c r="AM801" t="s">
        <v>116</v>
      </c>
      <c r="AN801">
        <v>45001</v>
      </c>
      <c r="AO801">
        <v>11055691</v>
      </c>
      <c r="AP801">
        <v>66153.47</v>
      </c>
      <c r="AR801">
        <v>0</v>
      </c>
      <c r="AS801">
        <v>66153.47</v>
      </c>
      <c r="AT801">
        <v>-6871.86</v>
      </c>
      <c r="AU801">
        <v>-481.03019999999998</v>
      </c>
      <c r="AV801" t="s">
        <v>709</v>
      </c>
      <c r="AW801" t="s">
        <v>5109</v>
      </c>
      <c r="AX801">
        <v>-481.03019999999998</v>
      </c>
      <c r="AY801">
        <v>45200</v>
      </c>
      <c r="BA801" t="s">
        <v>5110</v>
      </c>
      <c r="BB801" t="s">
        <v>5106</v>
      </c>
      <c r="BC801" t="s">
        <v>709</v>
      </c>
      <c r="BD801" t="s">
        <v>115</v>
      </c>
      <c r="BE801" t="s">
        <v>115</v>
      </c>
      <c r="BF801" t="s">
        <v>115</v>
      </c>
      <c r="BG801" t="s">
        <v>115</v>
      </c>
      <c r="BI801" t="s">
        <v>709</v>
      </c>
      <c r="BJ801" t="s">
        <v>709</v>
      </c>
      <c r="BK801" t="s">
        <v>116</v>
      </c>
      <c r="BL801" t="s">
        <v>709</v>
      </c>
      <c r="BM801" t="s">
        <v>709</v>
      </c>
      <c r="BN801" t="s">
        <v>709</v>
      </c>
      <c r="BO801" t="s">
        <v>709</v>
      </c>
      <c r="BP801" t="s">
        <v>709</v>
      </c>
      <c r="BQ801" t="s">
        <v>709</v>
      </c>
      <c r="BR801">
        <v>457</v>
      </c>
      <c r="BS801">
        <v>5</v>
      </c>
      <c r="BT801" t="s">
        <v>745</v>
      </c>
      <c r="BU801" t="s">
        <v>709</v>
      </c>
      <c r="BV801" t="s">
        <v>745</v>
      </c>
      <c r="BW801" t="s">
        <v>709</v>
      </c>
      <c r="BX801" t="s">
        <v>745</v>
      </c>
      <c r="BY801">
        <v>1</v>
      </c>
      <c r="BZ801" t="s">
        <v>709</v>
      </c>
      <c r="CB801">
        <v>798</v>
      </c>
      <c r="CC801" t="b">
        <v>1</v>
      </c>
      <c r="CD801" t="s">
        <v>5111</v>
      </c>
      <c r="CE801" s="1482">
        <v>45880.736770833333</v>
      </c>
    </row>
    <row r="802" spans="1:83" x14ac:dyDescent="0.25">
      <c r="A802">
        <v>2023</v>
      </c>
      <c r="B802" t="s">
        <v>730</v>
      </c>
      <c r="C802" t="s">
        <v>816</v>
      </c>
      <c r="D802" t="s">
        <v>817</v>
      </c>
      <c r="E802" t="s">
        <v>818</v>
      </c>
      <c r="F802" t="s">
        <v>752</v>
      </c>
      <c r="G802" t="s">
        <v>34</v>
      </c>
      <c r="H802" t="s">
        <v>59</v>
      </c>
      <c r="I802">
        <v>44831</v>
      </c>
      <c r="J802">
        <v>44925</v>
      </c>
      <c r="K802">
        <v>44916</v>
      </c>
      <c r="L802">
        <v>9</v>
      </c>
      <c r="N802" t="s">
        <v>120</v>
      </c>
      <c r="O802">
        <v>44927</v>
      </c>
      <c r="P802" t="s">
        <v>120</v>
      </c>
      <c r="Q802">
        <v>26163.556199999999</v>
      </c>
      <c r="R802">
        <v>0.09</v>
      </c>
      <c r="V802">
        <v>1228</v>
      </c>
      <c r="X802">
        <v>262991.71000000002</v>
      </c>
      <c r="Z802">
        <v>27714.47</v>
      </c>
      <c r="AA802">
        <v>290706.18</v>
      </c>
      <c r="AB802">
        <v>44922</v>
      </c>
      <c r="AC802" t="s">
        <v>709</v>
      </c>
      <c r="AD802" t="s">
        <v>29</v>
      </c>
      <c r="AM802" t="s">
        <v>116</v>
      </c>
      <c r="AN802">
        <v>45316</v>
      </c>
      <c r="AO802">
        <v>11050945</v>
      </c>
      <c r="AP802">
        <v>272022.90000000002</v>
      </c>
      <c r="AR802">
        <v>28525.24</v>
      </c>
      <c r="AS802">
        <v>300548.14</v>
      </c>
      <c r="AT802">
        <v>9841.9599999999991</v>
      </c>
      <c r="AU802">
        <v>885.77639999999997</v>
      </c>
      <c r="AV802">
        <v>2522.5</v>
      </c>
      <c r="AW802" t="s">
        <v>5112</v>
      </c>
      <c r="AX802">
        <v>0</v>
      </c>
      <c r="AY802">
        <v>45566</v>
      </c>
      <c r="AZ802">
        <v>31</v>
      </c>
      <c r="BA802" t="s">
        <v>820</v>
      </c>
      <c r="BB802" t="s">
        <v>821</v>
      </c>
      <c r="BC802" t="s">
        <v>116</v>
      </c>
      <c r="BD802" t="s">
        <v>115</v>
      </c>
      <c r="BE802" t="s">
        <v>822</v>
      </c>
      <c r="BF802" t="s">
        <v>115</v>
      </c>
      <c r="BG802" t="s">
        <v>115</v>
      </c>
      <c r="BI802" t="s">
        <v>709</v>
      </c>
      <c r="BJ802" t="s">
        <v>709</v>
      </c>
      <c r="BK802" t="s">
        <v>709</v>
      </c>
      <c r="BL802" t="s">
        <v>116</v>
      </c>
      <c r="BM802" t="s">
        <v>709</v>
      </c>
      <c r="BN802" t="s">
        <v>709</v>
      </c>
      <c r="BO802" t="s">
        <v>709</v>
      </c>
      <c r="BP802" t="s">
        <v>709</v>
      </c>
      <c r="BQ802" t="s">
        <v>709</v>
      </c>
      <c r="BR802" t="s">
        <v>709</v>
      </c>
      <c r="BS802">
        <v>1228</v>
      </c>
      <c r="BT802" t="s">
        <v>709</v>
      </c>
      <c r="BU802" t="s">
        <v>709</v>
      </c>
      <c r="BV802" t="s">
        <v>709</v>
      </c>
      <c r="BW802" t="s">
        <v>709</v>
      </c>
      <c r="BX802" t="s">
        <v>709</v>
      </c>
      <c r="BY802" t="s">
        <v>709</v>
      </c>
      <c r="BZ802" t="s">
        <v>709</v>
      </c>
      <c r="CA802" t="s">
        <v>2</v>
      </c>
      <c r="CB802">
        <v>800</v>
      </c>
      <c r="CC802" t="b">
        <v>1</v>
      </c>
      <c r="CD802" t="s">
        <v>5113</v>
      </c>
      <c r="CE802" s="1482">
        <v>45880.73678240741</v>
      </c>
    </row>
    <row r="803" spans="1:83" ht="285" x14ac:dyDescent="0.25">
      <c r="A803">
        <v>2023</v>
      </c>
      <c r="B803" t="s">
        <v>730</v>
      </c>
      <c r="C803" t="s">
        <v>5114</v>
      </c>
      <c r="D803" t="s">
        <v>5115</v>
      </c>
      <c r="E803" t="s">
        <v>818</v>
      </c>
      <c r="F803" t="s">
        <v>752</v>
      </c>
      <c r="G803" t="s">
        <v>24</v>
      </c>
      <c r="H803" t="s">
        <v>59</v>
      </c>
      <c r="I803">
        <v>44831</v>
      </c>
      <c r="J803">
        <v>44925</v>
      </c>
      <c r="K803">
        <v>44917</v>
      </c>
      <c r="L803">
        <v>8</v>
      </c>
      <c r="N803" t="s">
        <v>120</v>
      </c>
      <c r="O803">
        <v>44928</v>
      </c>
      <c r="P803" t="s">
        <v>120</v>
      </c>
      <c r="Q803">
        <v>23372.295300000002</v>
      </c>
      <c r="R803">
        <v>0.09</v>
      </c>
      <c r="V803">
        <v>778</v>
      </c>
      <c r="X803">
        <v>241582.72</v>
      </c>
      <c r="Z803">
        <v>18109.45</v>
      </c>
      <c r="AA803">
        <v>259692.17</v>
      </c>
      <c r="AB803">
        <v>45287</v>
      </c>
      <c r="AC803" t="s">
        <v>709</v>
      </c>
      <c r="AD803" t="s">
        <v>116</v>
      </c>
      <c r="AM803" t="s">
        <v>116</v>
      </c>
      <c r="AN803">
        <v>45133</v>
      </c>
      <c r="AO803">
        <v>11050943</v>
      </c>
      <c r="AP803">
        <v>240554.47</v>
      </c>
      <c r="AR803">
        <v>18564.669999999998</v>
      </c>
      <c r="AS803">
        <v>259119.14</v>
      </c>
      <c r="AT803">
        <v>-573.03</v>
      </c>
      <c r="AU803">
        <v>-51.572699999999998</v>
      </c>
      <c r="AV803">
        <v>4112.5</v>
      </c>
      <c r="AW803" t="s">
        <v>5116</v>
      </c>
      <c r="AX803">
        <v>0</v>
      </c>
      <c r="AY803">
        <v>45375</v>
      </c>
      <c r="BA803" s="4" t="s">
        <v>5117</v>
      </c>
      <c r="BB803" t="s">
        <v>5118</v>
      </c>
      <c r="BC803" t="s">
        <v>756</v>
      </c>
      <c r="BD803" t="s">
        <v>115</v>
      </c>
      <c r="BE803" t="s">
        <v>822</v>
      </c>
      <c r="BF803" t="s">
        <v>115</v>
      </c>
      <c r="BG803" t="s">
        <v>115</v>
      </c>
      <c r="BI803" t="s">
        <v>709</v>
      </c>
      <c r="BJ803" t="s">
        <v>709</v>
      </c>
      <c r="BK803" t="s">
        <v>709</v>
      </c>
      <c r="BL803" t="s">
        <v>116</v>
      </c>
      <c r="BM803" t="s">
        <v>709</v>
      </c>
      <c r="BN803" t="s">
        <v>709</v>
      </c>
      <c r="BO803" t="s">
        <v>709</v>
      </c>
      <c r="BP803" t="s">
        <v>709</v>
      </c>
      <c r="BQ803" t="s">
        <v>709</v>
      </c>
      <c r="BR803">
        <v>778</v>
      </c>
      <c r="BS803" t="s">
        <v>709</v>
      </c>
      <c r="BT803" t="s">
        <v>745</v>
      </c>
      <c r="BU803" t="s">
        <v>709</v>
      </c>
      <c r="BV803" t="s">
        <v>745</v>
      </c>
      <c r="BW803" t="s">
        <v>709</v>
      </c>
      <c r="BX803" t="s">
        <v>745</v>
      </c>
      <c r="BY803" t="s">
        <v>745</v>
      </c>
      <c r="BZ803" t="s">
        <v>709</v>
      </c>
      <c r="CA803" t="s">
        <v>2</v>
      </c>
      <c r="CB803">
        <v>801</v>
      </c>
      <c r="CC803" t="b">
        <v>1</v>
      </c>
      <c r="CD803" t="s">
        <v>5119</v>
      </c>
      <c r="CE803" s="1482">
        <v>45880.736793981479</v>
      </c>
    </row>
    <row r="804" spans="1:83" x14ac:dyDescent="0.25">
      <c r="A804">
        <v>2023</v>
      </c>
      <c r="B804" t="s">
        <v>1205</v>
      </c>
      <c r="C804" t="s">
        <v>1392</v>
      </c>
      <c r="D804" t="s">
        <v>1393</v>
      </c>
      <c r="E804" t="s">
        <v>426</v>
      </c>
      <c r="F804" t="s">
        <v>784</v>
      </c>
      <c r="G804" t="s">
        <v>32</v>
      </c>
      <c r="H804" t="s">
        <v>59</v>
      </c>
      <c r="I804">
        <v>44832</v>
      </c>
      <c r="J804">
        <v>44925</v>
      </c>
      <c r="K804">
        <v>44922</v>
      </c>
      <c r="L804">
        <v>3</v>
      </c>
      <c r="N804" t="s">
        <v>120</v>
      </c>
      <c r="O804">
        <v>44928</v>
      </c>
      <c r="P804" t="s">
        <v>120</v>
      </c>
      <c r="Q804">
        <v>76364.406900000002</v>
      </c>
      <c r="R804">
        <v>0.09</v>
      </c>
      <c r="V804">
        <v>568</v>
      </c>
      <c r="X804">
        <v>659699.77</v>
      </c>
      <c r="Z804">
        <v>188793.64</v>
      </c>
      <c r="AA804">
        <v>848493.41</v>
      </c>
      <c r="AB804">
        <v>44930</v>
      </c>
      <c r="AC804" t="s">
        <v>709</v>
      </c>
      <c r="AD804" t="s">
        <v>116</v>
      </c>
      <c r="AM804" t="s">
        <v>116</v>
      </c>
      <c r="AN804" t="s">
        <v>709</v>
      </c>
      <c r="AO804">
        <v>11050935</v>
      </c>
      <c r="AS804">
        <v>0</v>
      </c>
      <c r="AT804">
        <v>0</v>
      </c>
      <c r="AU804">
        <v>0</v>
      </c>
      <c r="AY804" t="s">
        <v>709</v>
      </c>
      <c r="AZ804">
        <v>33</v>
      </c>
      <c r="BA804" t="s">
        <v>1394</v>
      </c>
      <c r="BB804" t="s">
        <v>1395</v>
      </c>
      <c r="BC804" t="s">
        <v>709</v>
      </c>
      <c r="BD804" t="s">
        <v>115</v>
      </c>
      <c r="BE804" t="s">
        <v>1396</v>
      </c>
      <c r="BF804" t="s">
        <v>115</v>
      </c>
      <c r="BG804" t="s">
        <v>1397</v>
      </c>
      <c r="BH804" t="s">
        <v>5120</v>
      </c>
      <c r="BI804" t="s">
        <v>709</v>
      </c>
      <c r="BJ804" t="s">
        <v>709</v>
      </c>
      <c r="BK804" t="s">
        <v>709</v>
      </c>
      <c r="BL804" t="s">
        <v>116</v>
      </c>
      <c r="BM804">
        <v>0</v>
      </c>
      <c r="BN804">
        <v>0</v>
      </c>
      <c r="BO804">
        <v>0</v>
      </c>
      <c r="BP804">
        <v>0</v>
      </c>
      <c r="BQ804">
        <v>473</v>
      </c>
      <c r="BR804">
        <v>13</v>
      </c>
      <c r="BS804">
        <v>82</v>
      </c>
      <c r="BT804">
        <v>0</v>
      </c>
      <c r="BU804">
        <v>0</v>
      </c>
      <c r="BV804">
        <v>0</v>
      </c>
      <c r="BW804">
        <v>0</v>
      </c>
      <c r="BX804">
        <v>0</v>
      </c>
      <c r="BY804">
        <v>0</v>
      </c>
      <c r="BZ804" t="s">
        <v>709</v>
      </c>
      <c r="CB804">
        <v>803</v>
      </c>
      <c r="CC804" t="b">
        <v>1</v>
      </c>
      <c r="CD804" t="s">
        <v>5121</v>
      </c>
      <c r="CE804" s="1482">
        <v>45880.736793981479</v>
      </c>
    </row>
    <row r="805" spans="1:83" ht="409.5" x14ac:dyDescent="0.25">
      <c r="A805">
        <v>2023</v>
      </c>
      <c r="B805" t="s">
        <v>771</v>
      </c>
      <c r="C805" t="s">
        <v>885</v>
      </c>
      <c r="D805" t="s">
        <v>886</v>
      </c>
      <c r="E805" t="s">
        <v>887</v>
      </c>
      <c r="F805" t="s">
        <v>784</v>
      </c>
      <c r="G805" t="s">
        <v>32</v>
      </c>
      <c r="H805" t="s">
        <v>59</v>
      </c>
      <c r="I805">
        <v>44862</v>
      </c>
      <c r="J805">
        <v>44926</v>
      </c>
      <c r="K805">
        <v>44922</v>
      </c>
      <c r="L805">
        <v>4</v>
      </c>
      <c r="N805" t="s">
        <v>120</v>
      </c>
      <c r="O805">
        <v>44928</v>
      </c>
      <c r="P805" t="s">
        <v>120</v>
      </c>
      <c r="Q805">
        <v>19625.104800000001</v>
      </c>
      <c r="R805">
        <v>0.09</v>
      </c>
      <c r="V805">
        <v>780</v>
      </c>
      <c r="X805">
        <v>196578</v>
      </c>
      <c r="Z805">
        <v>21478.720000000001</v>
      </c>
      <c r="AA805">
        <v>218056.72</v>
      </c>
      <c r="AB805">
        <v>44929</v>
      </c>
      <c r="AC805" t="s">
        <v>709</v>
      </c>
      <c r="AD805" t="s">
        <v>116</v>
      </c>
      <c r="AM805" t="s">
        <v>116</v>
      </c>
      <c r="AN805">
        <v>45365</v>
      </c>
      <c r="AO805">
        <v>11079905</v>
      </c>
      <c r="AP805">
        <v>205113.92</v>
      </c>
      <c r="AR805">
        <v>23188.47</v>
      </c>
      <c r="AS805">
        <v>228302.39</v>
      </c>
      <c r="AT805">
        <v>10245.67</v>
      </c>
      <c r="AU805">
        <v>922.11030000000005</v>
      </c>
      <c r="AV805">
        <v>4252.5</v>
      </c>
      <c r="AW805" s="4" t="s">
        <v>5122</v>
      </c>
      <c r="AX805">
        <v>0</v>
      </c>
      <c r="AY805">
        <v>45566</v>
      </c>
      <c r="AZ805">
        <v>32</v>
      </c>
      <c r="BA805" t="s">
        <v>889</v>
      </c>
      <c r="BB805" t="s">
        <v>890</v>
      </c>
      <c r="BC805" t="s">
        <v>709</v>
      </c>
      <c r="BD805" t="s">
        <v>115</v>
      </c>
      <c r="BE805" t="s">
        <v>891</v>
      </c>
      <c r="BF805" t="s">
        <v>115</v>
      </c>
      <c r="BG805" t="s">
        <v>115</v>
      </c>
      <c r="BH805" t="s">
        <v>5123</v>
      </c>
      <c r="BI805" t="s">
        <v>709</v>
      </c>
      <c r="BJ805" t="s">
        <v>709</v>
      </c>
      <c r="BK805" t="s">
        <v>709</v>
      </c>
      <c r="BL805" t="s">
        <v>116</v>
      </c>
      <c r="BM805">
        <v>0</v>
      </c>
      <c r="BN805">
        <v>0</v>
      </c>
      <c r="BO805">
        <v>0</v>
      </c>
      <c r="BP805">
        <v>0</v>
      </c>
      <c r="BQ805">
        <v>0</v>
      </c>
      <c r="BR805">
        <v>136</v>
      </c>
      <c r="BS805">
        <v>644</v>
      </c>
      <c r="BT805">
        <v>0</v>
      </c>
      <c r="BU805">
        <v>0</v>
      </c>
      <c r="BV805">
        <v>0</v>
      </c>
      <c r="BW805">
        <v>0</v>
      </c>
      <c r="BX805">
        <v>0</v>
      </c>
      <c r="BY805">
        <v>0</v>
      </c>
      <c r="BZ805" t="s">
        <v>709</v>
      </c>
      <c r="CB805">
        <v>802</v>
      </c>
      <c r="CC805" t="b">
        <v>1</v>
      </c>
      <c r="CD805" t="s">
        <v>5124</v>
      </c>
      <c r="CE805" s="1482">
        <v>45880.736805555556</v>
      </c>
    </row>
    <row r="806" spans="1:83" ht="240" x14ac:dyDescent="0.25">
      <c r="A806">
        <v>2023</v>
      </c>
      <c r="B806" t="s">
        <v>4</v>
      </c>
      <c r="C806" t="s">
        <v>5125</v>
      </c>
      <c r="D806" t="s">
        <v>115</v>
      </c>
      <c r="E806" t="s">
        <v>1004</v>
      </c>
      <c r="F806" t="s">
        <v>747</v>
      </c>
      <c r="G806" t="s">
        <v>33</v>
      </c>
      <c r="H806" t="s">
        <v>1903</v>
      </c>
      <c r="I806">
        <v>44851</v>
      </c>
      <c r="J806">
        <v>44946</v>
      </c>
      <c r="K806">
        <v>44923</v>
      </c>
      <c r="L806">
        <v>23</v>
      </c>
      <c r="N806" t="s">
        <v>120</v>
      </c>
      <c r="O806">
        <v>44928</v>
      </c>
      <c r="P806" t="s">
        <v>739</v>
      </c>
      <c r="Q806" t="s">
        <v>115</v>
      </c>
      <c r="R806" t="s">
        <v>115</v>
      </c>
      <c r="AB806" t="s">
        <v>29</v>
      </c>
      <c r="AC806" t="s">
        <v>709</v>
      </c>
      <c r="AD806" t="s">
        <v>29</v>
      </c>
      <c r="AM806" t="s">
        <v>709</v>
      </c>
      <c r="AY806" t="s">
        <v>29</v>
      </c>
      <c r="BA806" s="4" t="s">
        <v>5126</v>
      </c>
      <c r="BB806" t="s">
        <v>870</v>
      </c>
      <c r="BC806" t="s">
        <v>116</v>
      </c>
      <c r="BD806" t="s">
        <v>115</v>
      </c>
      <c r="BE806" t="s">
        <v>115</v>
      </c>
      <c r="BF806" t="s">
        <v>115</v>
      </c>
      <c r="BG806" t="s">
        <v>115</v>
      </c>
      <c r="CB806">
        <v>804</v>
      </c>
      <c r="CC806" t="b">
        <v>1</v>
      </c>
      <c r="CD806" t="s">
        <v>5127</v>
      </c>
      <c r="CE806" s="1482">
        <v>45880.736817129633</v>
      </c>
    </row>
    <row r="807" spans="1:83" x14ac:dyDescent="0.25">
      <c r="A807">
        <v>2022</v>
      </c>
      <c r="B807" t="s">
        <v>1073</v>
      </c>
      <c r="C807" t="s">
        <v>276</v>
      </c>
      <c r="D807">
        <v>1511906</v>
      </c>
      <c r="E807" t="s">
        <v>277</v>
      </c>
      <c r="F807" t="s">
        <v>784</v>
      </c>
      <c r="G807" t="s">
        <v>22</v>
      </c>
      <c r="H807" t="s">
        <v>4189</v>
      </c>
      <c r="I807">
        <v>44924</v>
      </c>
      <c r="J807" t="s">
        <v>2052</v>
      </c>
      <c r="K807">
        <v>44929</v>
      </c>
      <c r="L807">
        <v>5</v>
      </c>
      <c r="M807" t="s">
        <v>5128</v>
      </c>
      <c r="N807" t="s">
        <v>120</v>
      </c>
      <c r="O807">
        <v>44928</v>
      </c>
      <c r="P807" t="s">
        <v>739</v>
      </c>
      <c r="Q807">
        <v>830</v>
      </c>
      <c r="R807" t="s">
        <v>1922</v>
      </c>
      <c r="U807">
        <v>830</v>
      </c>
      <c r="AA807">
        <v>0</v>
      </c>
      <c r="AC807" t="s">
        <v>709</v>
      </c>
      <c r="AD807" t="s">
        <v>116</v>
      </c>
      <c r="AM807" t="s">
        <v>709</v>
      </c>
      <c r="AY807" t="s">
        <v>29</v>
      </c>
      <c r="BA807">
        <v>4</v>
      </c>
      <c r="BI807" t="s">
        <v>709</v>
      </c>
      <c r="BJ807" t="s">
        <v>709</v>
      </c>
      <c r="BK807" t="s">
        <v>116</v>
      </c>
      <c r="BL807" t="s">
        <v>709</v>
      </c>
      <c r="BM807" t="s">
        <v>709</v>
      </c>
      <c r="BN807" t="s">
        <v>709</v>
      </c>
      <c r="BO807" t="s">
        <v>709</v>
      </c>
      <c r="BP807" t="s">
        <v>709</v>
      </c>
      <c r="BQ807" t="s">
        <v>709</v>
      </c>
      <c r="BR807">
        <v>457</v>
      </c>
      <c r="BS807">
        <v>5</v>
      </c>
      <c r="BT807" t="s">
        <v>745</v>
      </c>
      <c r="BU807" t="s">
        <v>709</v>
      </c>
      <c r="BV807" t="s">
        <v>745</v>
      </c>
      <c r="BW807" t="s">
        <v>709</v>
      </c>
      <c r="BX807" t="s">
        <v>745</v>
      </c>
      <c r="BY807">
        <v>1</v>
      </c>
      <c r="BZ807" t="s">
        <v>709</v>
      </c>
      <c r="CB807">
        <v>805</v>
      </c>
      <c r="CC807" t="b">
        <v>1</v>
      </c>
      <c r="CD807" t="s">
        <v>5129</v>
      </c>
      <c r="CE807" s="1482">
        <v>45880.736817129633</v>
      </c>
    </row>
    <row r="808" spans="1:83" ht="255" x14ac:dyDescent="0.25">
      <c r="A808">
        <v>2022</v>
      </c>
      <c r="B808" t="s">
        <v>4</v>
      </c>
      <c r="C808" t="s">
        <v>5130</v>
      </c>
      <c r="D808" t="s">
        <v>115</v>
      </c>
      <c r="E808" t="s">
        <v>1164</v>
      </c>
      <c r="F808" t="s">
        <v>784</v>
      </c>
      <c r="G808" t="s">
        <v>33</v>
      </c>
      <c r="H808" t="s">
        <v>2127</v>
      </c>
      <c r="I808">
        <v>44873</v>
      </c>
      <c r="J808">
        <v>44972</v>
      </c>
      <c r="K808">
        <v>44931</v>
      </c>
      <c r="L808">
        <v>41</v>
      </c>
      <c r="M808" t="s">
        <v>5131</v>
      </c>
      <c r="N808" t="s">
        <v>120</v>
      </c>
      <c r="O808">
        <v>44928</v>
      </c>
      <c r="P808" t="s">
        <v>739</v>
      </c>
      <c r="Q808" t="s">
        <v>115</v>
      </c>
      <c r="R808" t="s">
        <v>115</v>
      </c>
      <c r="AA808">
        <v>0</v>
      </c>
      <c r="AB808" t="s">
        <v>29</v>
      </c>
      <c r="AC808" t="s">
        <v>709</v>
      </c>
      <c r="AD808" t="s">
        <v>29</v>
      </c>
      <c r="AE808" t="s">
        <v>29</v>
      </c>
      <c r="AF808" t="s">
        <v>29</v>
      </c>
      <c r="AG808" t="s">
        <v>29</v>
      </c>
      <c r="AH808" t="s">
        <v>29</v>
      </c>
      <c r="AM808" t="s">
        <v>709</v>
      </c>
      <c r="AY808" t="s">
        <v>29</v>
      </c>
      <c r="BA808" s="4" t="s">
        <v>5132</v>
      </c>
      <c r="BB808" t="s">
        <v>5133</v>
      </c>
      <c r="BC808" t="s">
        <v>115</v>
      </c>
      <c r="BD808" t="s">
        <v>115</v>
      </c>
      <c r="BE808" t="s">
        <v>5134</v>
      </c>
      <c r="BF808" t="s">
        <v>115</v>
      </c>
      <c r="BG808" t="s">
        <v>115</v>
      </c>
      <c r="BZ808" t="s">
        <v>709</v>
      </c>
      <c r="CA808" t="s">
        <v>915</v>
      </c>
      <c r="CB808">
        <v>806</v>
      </c>
      <c r="CC808" t="b">
        <v>1</v>
      </c>
      <c r="CD808" t="s">
        <v>5135</v>
      </c>
      <c r="CE808" s="1482">
        <v>45880.736828703702</v>
      </c>
    </row>
    <row r="809" spans="1:83" x14ac:dyDescent="0.25">
      <c r="A809">
        <v>2022</v>
      </c>
      <c r="B809" t="s">
        <v>771</v>
      </c>
      <c r="C809" t="s">
        <v>4846</v>
      </c>
      <c r="D809">
        <v>1211324</v>
      </c>
      <c r="E809" t="s">
        <v>4848</v>
      </c>
      <c r="F809" t="s">
        <v>5136</v>
      </c>
      <c r="G809" t="s">
        <v>36</v>
      </c>
      <c r="H809" t="s">
        <v>3178</v>
      </c>
      <c r="I809">
        <v>44873</v>
      </c>
      <c r="J809" t="s">
        <v>2052</v>
      </c>
      <c r="K809">
        <v>44935</v>
      </c>
      <c r="L809">
        <v>62</v>
      </c>
      <c r="M809" t="s">
        <v>5137</v>
      </c>
      <c r="N809" t="s">
        <v>120</v>
      </c>
      <c r="O809">
        <v>44928</v>
      </c>
      <c r="P809" t="s">
        <v>120</v>
      </c>
      <c r="Q809">
        <v>15562.5</v>
      </c>
      <c r="R809" t="s">
        <v>1922</v>
      </c>
      <c r="U809">
        <v>15562.5</v>
      </c>
      <c r="AD809" t="s">
        <v>29</v>
      </c>
      <c r="AM809" t="s">
        <v>709</v>
      </c>
      <c r="AY809" t="s">
        <v>29</v>
      </c>
      <c r="BA809">
        <v>1</v>
      </c>
      <c r="BB809" t="s">
        <v>5138</v>
      </c>
      <c r="BI809" t="s">
        <v>116</v>
      </c>
      <c r="BJ809" t="s">
        <v>709</v>
      </c>
      <c r="BK809" t="s">
        <v>709</v>
      </c>
      <c r="BL809" t="s">
        <v>116</v>
      </c>
      <c r="BM809" t="s">
        <v>709</v>
      </c>
      <c r="BN809">
        <v>22879</v>
      </c>
      <c r="BO809" t="s">
        <v>709</v>
      </c>
      <c r="BP809" t="s">
        <v>709</v>
      </c>
      <c r="BQ809" t="s">
        <v>709</v>
      </c>
      <c r="BR809">
        <v>218</v>
      </c>
      <c r="BS809">
        <v>83</v>
      </c>
      <c r="BT809" t="s">
        <v>709</v>
      </c>
      <c r="BU809" t="s">
        <v>709</v>
      </c>
      <c r="BV809" t="s">
        <v>745</v>
      </c>
      <c r="BW809" t="s">
        <v>709</v>
      </c>
      <c r="BX809">
        <v>5</v>
      </c>
      <c r="BY809" t="s">
        <v>745</v>
      </c>
      <c r="BZ809" t="s">
        <v>709</v>
      </c>
      <c r="CB809">
        <v>807</v>
      </c>
      <c r="CC809" t="b">
        <v>1</v>
      </c>
      <c r="CD809" t="s">
        <v>5139</v>
      </c>
      <c r="CE809" s="1482">
        <v>45880.736840277779</v>
      </c>
    </row>
    <row r="810" spans="1:83" x14ac:dyDescent="0.25">
      <c r="A810">
        <v>2022</v>
      </c>
      <c r="B810" t="s">
        <v>771</v>
      </c>
      <c r="C810" t="s">
        <v>4854</v>
      </c>
      <c r="D810">
        <v>1411323</v>
      </c>
      <c r="E810" t="s">
        <v>825</v>
      </c>
      <c r="F810" t="s">
        <v>5136</v>
      </c>
      <c r="G810" t="s">
        <v>22</v>
      </c>
      <c r="H810" t="s">
        <v>3178</v>
      </c>
      <c r="I810">
        <v>44851</v>
      </c>
      <c r="J810" t="s">
        <v>2052</v>
      </c>
      <c r="K810">
        <v>44935</v>
      </c>
      <c r="L810">
        <v>84</v>
      </c>
      <c r="M810" t="s">
        <v>5140</v>
      </c>
      <c r="N810" t="s">
        <v>120</v>
      </c>
      <c r="O810">
        <v>44928</v>
      </c>
      <c r="P810" t="s">
        <v>120</v>
      </c>
      <c r="Q810">
        <v>21980</v>
      </c>
      <c r="R810" t="s">
        <v>1922</v>
      </c>
      <c r="U810">
        <v>21980</v>
      </c>
      <c r="AC810" t="s">
        <v>709</v>
      </c>
      <c r="AD810" t="s">
        <v>29</v>
      </c>
      <c r="AM810" t="s">
        <v>709</v>
      </c>
      <c r="AY810" t="s">
        <v>29</v>
      </c>
      <c r="BA810">
        <v>2</v>
      </c>
      <c r="BB810" t="s">
        <v>5141</v>
      </c>
      <c r="BH810" t="s">
        <v>5142</v>
      </c>
      <c r="BI810" t="s">
        <v>709</v>
      </c>
      <c r="BJ810" t="s">
        <v>116</v>
      </c>
      <c r="BK810" t="s">
        <v>709</v>
      </c>
      <c r="BL810" t="s">
        <v>709</v>
      </c>
      <c r="BM810" t="s">
        <v>709</v>
      </c>
      <c r="BN810">
        <v>32168</v>
      </c>
      <c r="BO810" t="s">
        <v>709</v>
      </c>
      <c r="BP810" t="s">
        <v>709</v>
      </c>
      <c r="BQ810">
        <v>41</v>
      </c>
      <c r="BR810" t="s">
        <v>709</v>
      </c>
      <c r="BS810">
        <v>99</v>
      </c>
      <c r="BT810" t="s">
        <v>709</v>
      </c>
      <c r="BU810" t="s">
        <v>709</v>
      </c>
      <c r="BV810" t="s">
        <v>709</v>
      </c>
      <c r="BW810" t="s">
        <v>709</v>
      </c>
      <c r="BX810">
        <v>1</v>
      </c>
      <c r="BY810" t="s">
        <v>709</v>
      </c>
      <c r="BZ810" t="s">
        <v>709</v>
      </c>
      <c r="CB810">
        <v>808</v>
      </c>
      <c r="CC810" t="b">
        <v>1</v>
      </c>
      <c r="CD810" t="s">
        <v>5143</v>
      </c>
      <c r="CE810" s="1482">
        <v>45880.736840277779</v>
      </c>
    </row>
    <row r="811" spans="1:83" x14ac:dyDescent="0.25">
      <c r="A811">
        <v>2022</v>
      </c>
      <c r="B811" t="s">
        <v>771</v>
      </c>
      <c r="C811" t="s">
        <v>5144</v>
      </c>
      <c r="D811">
        <v>119965</v>
      </c>
      <c r="E811" t="s">
        <v>5145</v>
      </c>
      <c r="F811" t="s">
        <v>4835</v>
      </c>
      <c r="G811" t="s">
        <v>4770</v>
      </c>
      <c r="H811" t="s">
        <v>4189</v>
      </c>
      <c r="I811">
        <v>44873</v>
      </c>
      <c r="J811" t="s">
        <v>2052</v>
      </c>
      <c r="K811">
        <v>44935</v>
      </c>
      <c r="L811">
        <v>62</v>
      </c>
      <c r="M811" t="s">
        <v>5137</v>
      </c>
      <c r="N811" t="s">
        <v>120</v>
      </c>
      <c r="O811">
        <v>44928</v>
      </c>
      <c r="P811" t="s">
        <v>120</v>
      </c>
      <c r="Q811">
        <v>21020</v>
      </c>
      <c r="R811" t="s">
        <v>1922</v>
      </c>
      <c r="U811">
        <v>21020</v>
      </c>
      <c r="AC811" t="s">
        <v>1177</v>
      </c>
      <c r="AD811" t="s">
        <v>29</v>
      </c>
      <c r="AM811" t="s">
        <v>709</v>
      </c>
      <c r="AY811" t="s">
        <v>29</v>
      </c>
      <c r="BA811">
        <v>1</v>
      </c>
      <c r="BB811" t="s">
        <v>5138</v>
      </c>
      <c r="BI811" t="s">
        <v>709</v>
      </c>
      <c r="BJ811" t="s">
        <v>116</v>
      </c>
      <c r="BK811" t="s">
        <v>709</v>
      </c>
      <c r="BL811" t="s">
        <v>116</v>
      </c>
      <c r="BM811" t="s">
        <v>709</v>
      </c>
      <c r="BN811">
        <v>19808</v>
      </c>
      <c r="BO811" t="s">
        <v>709</v>
      </c>
      <c r="BP811" t="s">
        <v>709</v>
      </c>
      <c r="BQ811" t="s">
        <v>709</v>
      </c>
      <c r="BR811">
        <v>58</v>
      </c>
      <c r="BS811">
        <v>317</v>
      </c>
      <c r="BT811" t="s">
        <v>745</v>
      </c>
      <c r="BU811" t="s">
        <v>709</v>
      </c>
      <c r="BV811" t="s">
        <v>745</v>
      </c>
      <c r="BW811" t="s">
        <v>709</v>
      </c>
      <c r="BX811">
        <v>2</v>
      </c>
      <c r="BY811" t="s">
        <v>745</v>
      </c>
      <c r="BZ811" t="s">
        <v>709</v>
      </c>
      <c r="CB811">
        <v>809</v>
      </c>
      <c r="CC811" t="b">
        <v>1</v>
      </c>
      <c r="CD811" t="s">
        <v>5146</v>
      </c>
      <c r="CE811" s="1482">
        <v>45880.736851851849</v>
      </c>
    </row>
    <row r="812" spans="1:83" x14ac:dyDescent="0.25">
      <c r="A812">
        <v>2022</v>
      </c>
      <c r="B812" t="s">
        <v>771</v>
      </c>
      <c r="C812" t="s">
        <v>5147</v>
      </c>
      <c r="D812">
        <v>119975</v>
      </c>
      <c r="E812" t="s">
        <v>5148</v>
      </c>
      <c r="F812" t="s">
        <v>4835</v>
      </c>
      <c r="G812" t="s">
        <v>4770</v>
      </c>
      <c r="H812" t="s">
        <v>4189</v>
      </c>
      <c r="I812">
        <v>44873</v>
      </c>
      <c r="J812" t="s">
        <v>2052</v>
      </c>
      <c r="K812">
        <v>44936</v>
      </c>
      <c r="L812">
        <v>63</v>
      </c>
      <c r="M812" t="s">
        <v>5137</v>
      </c>
      <c r="N812" t="s">
        <v>120</v>
      </c>
      <c r="O812">
        <v>44936</v>
      </c>
      <c r="P812" t="s">
        <v>120</v>
      </c>
      <c r="Q812">
        <v>13967.5</v>
      </c>
      <c r="R812" t="s">
        <v>1922</v>
      </c>
      <c r="U812">
        <v>13967.5</v>
      </c>
      <c r="AC812" t="s">
        <v>1177</v>
      </c>
      <c r="AD812" t="s">
        <v>29</v>
      </c>
      <c r="AM812" t="s">
        <v>709</v>
      </c>
      <c r="AY812" t="s">
        <v>29</v>
      </c>
      <c r="BA812">
        <v>1</v>
      </c>
      <c r="BB812" t="s">
        <v>5138</v>
      </c>
      <c r="BI812" t="s">
        <v>709</v>
      </c>
      <c r="BJ812" t="s">
        <v>116</v>
      </c>
      <c r="BK812" t="s">
        <v>709</v>
      </c>
      <c r="BL812" t="s">
        <v>709</v>
      </c>
      <c r="BM812" t="s">
        <v>709</v>
      </c>
      <c r="BN812">
        <v>10581</v>
      </c>
      <c r="BO812" t="s">
        <v>709</v>
      </c>
      <c r="BP812" t="s">
        <v>709</v>
      </c>
      <c r="BQ812" t="s">
        <v>709</v>
      </c>
      <c r="BR812" t="s">
        <v>709</v>
      </c>
      <c r="BS812">
        <v>43</v>
      </c>
      <c r="BT812" t="s">
        <v>709</v>
      </c>
      <c r="BU812" t="s">
        <v>709</v>
      </c>
      <c r="BV812" t="s">
        <v>745</v>
      </c>
      <c r="BW812" t="s">
        <v>709</v>
      </c>
      <c r="BX812">
        <v>1</v>
      </c>
      <c r="BY812" t="s">
        <v>745</v>
      </c>
      <c r="BZ812" t="s">
        <v>709</v>
      </c>
      <c r="CB812">
        <v>810</v>
      </c>
      <c r="CC812" t="b">
        <v>1</v>
      </c>
      <c r="CD812" t="s">
        <v>5149</v>
      </c>
      <c r="CE812" s="1482">
        <v>45880.736863425926</v>
      </c>
    </row>
    <row r="813" spans="1:83" ht="375" x14ac:dyDescent="0.25">
      <c r="A813">
        <v>2023</v>
      </c>
      <c r="B813" t="s">
        <v>4</v>
      </c>
      <c r="C813" t="s">
        <v>5150</v>
      </c>
      <c r="D813" t="s">
        <v>115</v>
      </c>
      <c r="E813" t="s">
        <v>4198</v>
      </c>
      <c r="F813" t="s">
        <v>784</v>
      </c>
      <c r="G813" t="s">
        <v>27</v>
      </c>
      <c r="H813" t="s">
        <v>1681</v>
      </c>
      <c r="I813">
        <v>44893</v>
      </c>
      <c r="J813">
        <v>44988</v>
      </c>
      <c r="K813">
        <v>44936</v>
      </c>
      <c r="L813">
        <v>52</v>
      </c>
      <c r="N813" t="s">
        <v>120</v>
      </c>
      <c r="O813">
        <v>44936</v>
      </c>
      <c r="P813" t="s">
        <v>739</v>
      </c>
      <c r="Q813" t="s">
        <v>115</v>
      </c>
      <c r="R813" t="s">
        <v>115</v>
      </c>
      <c r="AB813" t="s">
        <v>29</v>
      </c>
      <c r="AC813" t="s">
        <v>709</v>
      </c>
      <c r="AD813" t="s">
        <v>29</v>
      </c>
      <c r="AM813" t="s">
        <v>709</v>
      </c>
      <c r="AY813" t="s">
        <v>29</v>
      </c>
      <c r="BA813" s="4" t="s">
        <v>5151</v>
      </c>
      <c r="BB813" t="s">
        <v>5152</v>
      </c>
      <c r="BC813" t="s">
        <v>115</v>
      </c>
      <c r="BD813" t="s">
        <v>115</v>
      </c>
      <c r="BE813" t="s">
        <v>5153</v>
      </c>
      <c r="BF813" t="s">
        <v>115</v>
      </c>
      <c r="BG813" t="s">
        <v>115</v>
      </c>
      <c r="CB813">
        <v>811</v>
      </c>
      <c r="CC813" t="b">
        <v>1</v>
      </c>
      <c r="CD813" t="s">
        <v>5154</v>
      </c>
      <c r="CE813" s="1482">
        <v>45880.736875000002</v>
      </c>
    </row>
    <row r="814" spans="1:83" x14ac:dyDescent="0.25">
      <c r="A814">
        <v>2021</v>
      </c>
      <c r="B814" t="s">
        <v>4</v>
      </c>
      <c r="C814" t="s">
        <v>3159</v>
      </c>
      <c r="D814" t="s">
        <v>3160</v>
      </c>
      <c r="E814" t="s">
        <v>393</v>
      </c>
      <c r="F814" t="s">
        <v>784</v>
      </c>
      <c r="G814" t="s">
        <v>39</v>
      </c>
      <c r="H814" t="s">
        <v>3852</v>
      </c>
      <c r="I814">
        <v>44854</v>
      </c>
      <c r="J814" t="s">
        <v>2052</v>
      </c>
      <c r="K814">
        <v>44937</v>
      </c>
      <c r="L814">
        <v>83</v>
      </c>
      <c r="M814" t="s">
        <v>5155</v>
      </c>
      <c r="N814" t="s">
        <v>120</v>
      </c>
      <c r="O814">
        <v>44937</v>
      </c>
      <c r="P814" t="s">
        <v>120</v>
      </c>
      <c r="Q814">
        <v>15995</v>
      </c>
      <c r="R814" t="s">
        <v>1922</v>
      </c>
      <c r="S814">
        <v>0</v>
      </c>
      <c r="U814">
        <v>15995</v>
      </c>
      <c r="AB814" t="s">
        <v>29</v>
      </c>
      <c r="AC814" t="s">
        <v>709</v>
      </c>
      <c r="AD814" t="s">
        <v>709</v>
      </c>
      <c r="AM814" t="s">
        <v>709</v>
      </c>
      <c r="AY814" t="s">
        <v>29</v>
      </c>
      <c r="BA814" t="s">
        <v>5156</v>
      </c>
      <c r="BB814" t="s">
        <v>5157</v>
      </c>
      <c r="BI814" t="s">
        <v>709</v>
      </c>
      <c r="BJ814" t="s">
        <v>709</v>
      </c>
      <c r="BK814" t="s">
        <v>709</v>
      </c>
      <c r="BL814" t="s">
        <v>116</v>
      </c>
      <c r="BM814">
        <v>55</v>
      </c>
      <c r="BN814">
        <v>4125</v>
      </c>
      <c r="BO814" t="s">
        <v>709</v>
      </c>
      <c r="BP814" t="s">
        <v>709</v>
      </c>
      <c r="BQ814">
        <v>93</v>
      </c>
      <c r="BR814">
        <v>367</v>
      </c>
      <c r="BS814">
        <v>630</v>
      </c>
      <c r="BT814" t="s">
        <v>709</v>
      </c>
      <c r="BU814" t="s">
        <v>709</v>
      </c>
      <c r="BV814" t="s">
        <v>709</v>
      </c>
      <c r="BW814" t="s">
        <v>709</v>
      </c>
      <c r="BX814" t="s">
        <v>745</v>
      </c>
      <c r="BY814" t="s">
        <v>709</v>
      </c>
      <c r="BZ814" t="s">
        <v>709</v>
      </c>
      <c r="CB814">
        <v>812</v>
      </c>
      <c r="CC814" t="b">
        <v>1</v>
      </c>
      <c r="CD814" t="s">
        <v>5158</v>
      </c>
      <c r="CE814" s="1482">
        <v>45880.736875000002</v>
      </c>
    </row>
    <row r="815" spans="1:83" x14ac:dyDescent="0.25">
      <c r="A815">
        <v>2022</v>
      </c>
      <c r="B815" t="s">
        <v>1205</v>
      </c>
      <c r="C815" t="s">
        <v>4976</v>
      </c>
      <c r="D815" t="s">
        <v>4977</v>
      </c>
      <c r="E815" t="s">
        <v>2000</v>
      </c>
      <c r="F815" t="s">
        <v>784</v>
      </c>
      <c r="G815" t="s">
        <v>22</v>
      </c>
      <c r="H815" t="s">
        <v>4189</v>
      </c>
      <c r="I815">
        <v>44930</v>
      </c>
      <c r="J815" t="s">
        <v>2052</v>
      </c>
      <c r="K815">
        <v>44937</v>
      </c>
      <c r="L815">
        <v>7</v>
      </c>
      <c r="M815" t="s">
        <v>4704</v>
      </c>
      <c r="N815" t="s">
        <v>120</v>
      </c>
      <c r="O815">
        <v>44937</v>
      </c>
      <c r="P815" t="s">
        <v>739</v>
      </c>
      <c r="Q815">
        <v>3780</v>
      </c>
      <c r="R815" t="s">
        <v>1922</v>
      </c>
      <c r="U815">
        <v>3780</v>
      </c>
      <c r="AC815" t="s">
        <v>709</v>
      </c>
      <c r="AD815" t="s">
        <v>29</v>
      </c>
      <c r="AM815" t="s">
        <v>709</v>
      </c>
      <c r="AY815" t="s">
        <v>29</v>
      </c>
      <c r="BA815">
        <v>9</v>
      </c>
      <c r="BI815" t="s">
        <v>709</v>
      </c>
      <c r="BJ815" t="s">
        <v>709</v>
      </c>
      <c r="BK815" t="s">
        <v>709</v>
      </c>
      <c r="BL815" t="s">
        <v>116</v>
      </c>
      <c r="BM815" t="s">
        <v>709</v>
      </c>
      <c r="BN815" t="s">
        <v>709</v>
      </c>
      <c r="BO815" t="s">
        <v>709</v>
      </c>
      <c r="BP815" t="s">
        <v>709</v>
      </c>
      <c r="BQ815" t="s">
        <v>709</v>
      </c>
      <c r="BR815" t="s">
        <v>709</v>
      </c>
      <c r="BS815">
        <v>605</v>
      </c>
      <c r="BT815" t="s">
        <v>745</v>
      </c>
      <c r="BU815" t="s">
        <v>709</v>
      </c>
      <c r="BV815" t="s">
        <v>745</v>
      </c>
      <c r="BW815" t="s">
        <v>709</v>
      </c>
      <c r="BX815" t="s">
        <v>745</v>
      </c>
      <c r="BY815" t="s">
        <v>745</v>
      </c>
      <c r="BZ815" t="s">
        <v>709</v>
      </c>
      <c r="CB815">
        <v>814</v>
      </c>
      <c r="CC815" t="b">
        <v>1</v>
      </c>
      <c r="CD815" t="s">
        <v>5159</v>
      </c>
      <c r="CE815" s="1482">
        <v>45880.736886574072</v>
      </c>
    </row>
    <row r="816" spans="1:83" ht="315" x14ac:dyDescent="0.25">
      <c r="A816">
        <v>2022</v>
      </c>
      <c r="B816" t="s">
        <v>1073</v>
      </c>
      <c r="C816" t="s">
        <v>280</v>
      </c>
      <c r="D816" t="s">
        <v>5160</v>
      </c>
      <c r="E816" t="s">
        <v>281</v>
      </c>
      <c r="F816" t="s">
        <v>784</v>
      </c>
      <c r="G816" t="s">
        <v>23</v>
      </c>
      <c r="H816" t="s">
        <v>59</v>
      </c>
      <c r="I816">
        <v>44806</v>
      </c>
      <c r="J816">
        <v>44942</v>
      </c>
      <c r="K816">
        <v>44937</v>
      </c>
      <c r="L816">
        <v>5</v>
      </c>
      <c r="N816" t="s">
        <v>120</v>
      </c>
      <c r="O816">
        <v>44937</v>
      </c>
      <c r="P816" t="s">
        <v>739</v>
      </c>
      <c r="Q816">
        <v>115290.94960000001</v>
      </c>
      <c r="R816">
        <v>0.08</v>
      </c>
      <c r="V816">
        <v>12080</v>
      </c>
      <c r="X816">
        <v>1419000.64</v>
      </c>
      <c r="Z816">
        <v>22136.23</v>
      </c>
      <c r="AA816">
        <v>1441136.87</v>
      </c>
      <c r="AB816">
        <v>44945</v>
      </c>
      <c r="AC816" t="s">
        <v>1516</v>
      </c>
      <c r="AD816" t="s">
        <v>116</v>
      </c>
      <c r="AM816" t="s">
        <v>116</v>
      </c>
      <c r="AN816">
        <v>45238</v>
      </c>
      <c r="AO816">
        <v>11050940</v>
      </c>
      <c r="AP816">
        <v>1375454.59</v>
      </c>
      <c r="AR816">
        <v>22136.23</v>
      </c>
      <c r="AS816">
        <v>1397590.82</v>
      </c>
      <c r="AT816">
        <v>-43546.05</v>
      </c>
      <c r="AU816">
        <v>-3483.6840000000002</v>
      </c>
      <c r="AV816">
        <v>5680</v>
      </c>
      <c r="AW816" s="4" t="s">
        <v>5161</v>
      </c>
      <c r="AX816">
        <v>0</v>
      </c>
      <c r="AY816">
        <v>45352</v>
      </c>
      <c r="BA816" t="s">
        <v>5162</v>
      </c>
      <c r="BB816" t="s">
        <v>5163</v>
      </c>
      <c r="BC816" t="s">
        <v>116</v>
      </c>
      <c r="BD816" t="s">
        <v>2965</v>
      </c>
      <c r="BE816" t="s">
        <v>115</v>
      </c>
      <c r="BF816" t="s">
        <v>1364</v>
      </c>
      <c r="BG816" t="s">
        <v>5164</v>
      </c>
      <c r="BH816" t="s">
        <v>5165</v>
      </c>
      <c r="BI816" t="s">
        <v>709</v>
      </c>
      <c r="BJ816" t="s">
        <v>709</v>
      </c>
      <c r="BK816" t="s">
        <v>116</v>
      </c>
      <c r="BL816" t="s">
        <v>116</v>
      </c>
      <c r="BM816" t="s">
        <v>709</v>
      </c>
      <c r="BN816" t="s">
        <v>709</v>
      </c>
      <c r="BO816" t="s">
        <v>709</v>
      </c>
      <c r="BP816" t="s">
        <v>709</v>
      </c>
      <c r="BQ816">
        <v>1212</v>
      </c>
      <c r="BR816">
        <v>10651</v>
      </c>
      <c r="BS816">
        <v>217</v>
      </c>
      <c r="BT816" t="s">
        <v>745</v>
      </c>
      <c r="BU816">
        <v>1</v>
      </c>
      <c r="BV816" t="s">
        <v>745</v>
      </c>
      <c r="BW816" t="s">
        <v>709</v>
      </c>
      <c r="BX816">
        <v>1</v>
      </c>
      <c r="BY816" t="s">
        <v>745</v>
      </c>
      <c r="BZ816" t="s">
        <v>709</v>
      </c>
      <c r="CB816">
        <v>815</v>
      </c>
      <c r="CC816" t="b">
        <v>1</v>
      </c>
      <c r="CD816" t="s">
        <v>5166</v>
      </c>
      <c r="CE816" s="1482">
        <v>45880.736898148149</v>
      </c>
    </row>
    <row r="817" spans="1:83" ht="330" x14ac:dyDescent="0.25">
      <c r="A817">
        <v>2023</v>
      </c>
      <c r="B817" t="s">
        <v>4</v>
      </c>
      <c r="C817" t="s">
        <v>5167</v>
      </c>
      <c r="D817" t="s">
        <v>115</v>
      </c>
      <c r="E817" t="s">
        <v>5168</v>
      </c>
      <c r="F817" t="s">
        <v>784</v>
      </c>
      <c r="G817" t="s">
        <v>27</v>
      </c>
      <c r="H817" t="s">
        <v>1681</v>
      </c>
      <c r="I817">
        <v>44893</v>
      </c>
      <c r="J817">
        <v>44988</v>
      </c>
      <c r="K817">
        <v>44937</v>
      </c>
      <c r="L817">
        <v>51</v>
      </c>
      <c r="N817" t="s">
        <v>120</v>
      </c>
      <c r="O817">
        <v>44937</v>
      </c>
      <c r="P817" t="s">
        <v>739</v>
      </c>
      <c r="Q817" t="s">
        <v>115</v>
      </c>
      <c r="R817" t="s">
        <v>115</v>
      </c>
      <c r="AB817" t="s">
        <v>29</v>
      </c>
      <c r="AC817" t="s">
        <v>709</v>
      </c>
      <c r="AD817" t="s">
        <v>29</v>
      </c>
      <c r="AM817" t="s">
        <v>709</v>
      </c>
      <c r="AY817" t="s">
        <v>29</v>
      </c>
      <c r="BA817" s="4" t="s">
        <v>5169</v>
      </c>
      <c r="BB817" t="s">
        <v>5170</v>
      </c>
      <c r="BC817" t="s">
        <v>376</v>
      </c>
      <c r="BD817" t="s">
        <v>115</v>
      </c>
      <c r="BE817" t="s">
        <v>5171</v>
      </c>
      <c r="BF817" t="s">
        <v>115</v>
      </c>
      <c r="BG817" t="s">
        <v>115</v>
      </c>
      <c r="CB817">
        <v>813</v>
      </c>
      <c r="CC817" t="b">
        <v>1</v>
      </c>
      <c r="CD817" t="s">
        <v>5172</v>
      </c>
      <c r="CE817" s="1482">
        <v>45880.736898148149</v>
      </c>
    </row>
    <row r="818" spans="1:83" x14ac:dyDescent="0.25">
      <c r="A818">
        <v>2023</v>
      </c>
      <c r="B818" t="s">
        <v>771</v>
      </c>
      <c r="C818" t="s">
        <v>5173</v>
      </c>
      <c r="D818" t="s">
        <v>5174</v>
      </c>
      <c r="E818" t="s">
        <v>818</v>
      </c>
      <c r="F818" t="s">
        <v>747</v>
      </c>
      <c r="G818" t="s">
        <v>23</v>
      </c>
      <c r="H818" t="s">
        <v>59</v>
      </c>
      <c r="I818">
        <v>44862</v>
      </c>
      <c r="J818">
        <v>44953</v>
      </c>
      <c r="K818">
        <v>44937</v>
      </c>
      <c r="L818">
        <v>16</v>
      </c>
      <c r="N818" t="s">
        <v>120</v>
      </c>
      <c r="O818">
        <v>44937</v>
      </c>
      <c r="P818" t="s">
        <v>120</v>
      </c>
      <c r="Q818">
        <v>23373.409500000002</v>
      </c>
      <c r="R818">
        <v>0.09</v>
      </c>
      <c r="V818">
        <v>916</v>
      </c>
      <c r="X818">
        <v>237516.31</v>
      </c>
      <c r="Z818">
        <v>22188.240000000002</v>
      </c>
      <c r="AA818">
        <v>259704.55</v>
      </c>
      <c r="AB818">
        <v>44938</v>
      </c>
      <c r="AC818" t="s">
        <v>709</v>
      </c>
      <c r="AD818" t="s">
        <v>29</v>
      </c>
      <c r="AM818" t="s">
        <v>116</v>
      </c>
      <c r="AN818">
        <v>44959</v>
      </c>
      <c r="AO818">
        <v>11053214</v>
      </c>
      <c r="AP818">
        <v>212401.73</v>
      </c>
      <c r="AR818">
        <v>22188.240000000002</v>
      </c>
      <c r="AS818">
        <v>234589.97</v>
      </c>
      <c r="AT818">
        <v>-25114.58</v>
      </c>
      <c r="AU818">
        <v>-2260.3121999999998</v>
      </c>
      <c r="AV818">
        <v>2870</v>
      </c>
      <c r="AW818" t="s">
        <v>5175</v>
      </c>
      <c r="AX818">
        <v>0</v>
      </c>
      <c r="AY818">
        <v>45200</v>
      </c>
      <c r="BA818" t="s">
        <v>5176</v>
      </c>
      <c r="BB818" t="s">
        <v>5177</v>
      </c>
      <c r="BC818" t="s">
        <v>116</v>
      </c>
      <c r="BD818" t="s">
        <v>709</v>
      </c>
      <c r="BE818" t="s">
        <v>822</v>
      </c>
      <c r="BF818" t="s">
        <v>115</v>
      </c>
      <c r="BG818" t="s">
        <v>115</v>
      </c>
      <c r="BI818" t="s">
        <v>709</v>
      </c>
      <c r="BJ818" t="s">
        <v>709</v>
      </c>
      <c r="BK818" t="s">
        <v>709</v>
      </c>
      <c r="BL818" t="s">
        <v>116</v>
      </c>
      <c r="BM818" t="s">
        <v>709</v>
      </c>
      <c r="BN818" t="s">
        <v>709</v>
      </c>
      <c r="BO818" t="s">
        <v>709</v>
      </c>
      <c r="BP818" t="s">
        <v>709</v>
      </c>
      <c r="BQ818" t="s">
        <v>709</v>
      </c>
      <c r="BR818">
        <v>394</v>
      </c>
      <c r="BS818">
        <v>522</v>
      </c>
      <c r="BT818" t="s">
        <v>745</v>
      </c>
      <c r="BU818" t="s">
        <v>709</v>
      </c>
      <c r="BV818" t="s">
        <v>745</v>
      </c>
      <c r="BW818" t="s">
        <v>709</v>
      </c>
      <c r="BX818" t="s">
        <v>745</v>
      </c>
      <c r="BY818" t="s">
        <v>745</v>
      </c>
      <c r="BZ818" t="s">
        <v>709</v>
      </c>
      <c r="CB818">
        <v>816</v>
      </c>
      <c r="CC818" t="b">
        <v>1</v>
      </c>
      <c r="CD818" t="s">
        <v>5178</v>
      </c>
      <c r="CE818" s="1482">
        <v>45880.736909722225</v>
      </c>
    </row>
    <row r="819" spans="1:83" ht="360" x14ac:dyDescent="0.25">
      <c r="A819">
        <v>2023</v>
      </c>
      <c r="B819" t="s">
        <v>4</v>
      </c>
      <c r="C819" t="s">
        <v>5179</v>
      </c>
      <c r="D819" t="s">
        <v>5180</v>
      </c>
      <c r="E819" t="s">
        <v>1522</v>
      </c>
      <c r="F819" t="s">
        <v>747</v>
      </c>
      <c r="G819" t="s">
        <v>25</v>
      </c>
      <c r="H819" t="s">
        <v>59</v>
      </c>
      <c r="I819">
        <v>44784</v>
      </c>
      <c r="J819">
        <v>44942</v>
      </c>
      <c r="K819">
        <v>44937</v>
      </c>
      <c r="L819">
        <v>5</v>
      </c>
      <c r="N819" t="s">
        <v>120</v>
      </c>
      <c r="O819">
        <v>44937</v>
      </c>
      <c r="P819" t="s">
        <v>739</v>
      </c>
      <c r="Q819">
        <v>25321.764999999999</v>
      </c>
      <c r="R819">
        <v>0.1</v>
      </c>
      <c r="V819">
        <v>646</v>
      </c>
      <c r="X819">
        <v>240743.23</v>
      </c>
      <c r="Z819">
        <v>12474.42</v>
      </c>
      <c r="AA819">
        <v>253217.65</v>
      </c>
      <c r="AB819">
        <v>44944</v>
      </c>
      <c r="AC819" t="s">
        <v>709</v>
      </c>
      <c r="AD819" t="s">
        <v>29</v>
      </c>
      <c r="AE819" t="s">
        <v>29</v>
      </c>
      <c r="AF819" t="s">
        <v>29</v>
      </c>
      <c r="AG819" t="s">
        <v>29</v>
      </c>
      <c r="AH819" t="s">
        <v>29</v>
      </c>
      <c r="AM819" t="s">
        <v>116</v>
      </c>
      <c r="AN819">
        <v>45082</v>
      </c>
      <c r="AO819">
        <v>11050941</v>
      </c>
      <c r="AP819">
        <v>244230.16</v>
      </c>
      <c r="AR819">
        <v>13165.88</v>
      </c>
      <c r="AS819">
        <v>257396.04</v>
      </c>
      <c r="AT819">
        <v>4178.3900000000003</v>
      </c>
      <c r="AU819">
        <v>417.839</v>
      </c>
      <c r="AV819" t="s">
        <v>709</v>
      </c>
      <c r="AX819">
        <v>417.839</v>
      </c>
      <c r="AY819">
        <v>45200</v>
      </c>
      <c r="BA819" s="4" t="s">
        <v>5181</v>
      </c>
      <c r="BB819" t="s">
        <v>5182</v>
      </c>
      <c r="BC819" t="s">
        <v>116</v>
      </c>
      <c r="BD819" t="s">
        <v>3836</v>
      </c>
      <c r="BE819" t="s">
        <v>526</v>
      </c>
      <c r="BF819" t="s">
        <v>526</v>
      </c>
      <c r="BG819" t="s">
        <v>115</v>
      </c>
      <c r="BI819" t="s">
        <v>709</v>
      </c>
      <c r="BJ819" t="s">
        <v>709</v>
      </c>
      <c r="BK819" t="s">
        <v>709</v>
      </c>
      <c r="BL819" t="s">
        <v>116</v>
      </c>
      <c r="BM819" t="s">
        <v>709</v>
      </c>
      <c r="BN819" t="s">
        <v>709</v>
      </c>
      <c r="BO819" t="s">
        <v>709</v>
      </c>
      <c r="BP819" t="s">
        <v>709</v>
      </c>
      <c r="BQ819" t="s">
        <v>709</v>
      </c>
      <c r="BR819">
        <v>646</v>
      </c>
      <c r="BS819" t="s">
        <v>709</v>
      </c>
      <c r="BT819" t="s">
        <v>745</v>
      </c>
      <c r="BU819" t="s">
        <v>709</v>
      </c>
      <c r="BV819" t="s">
        <v>745</v>
      </c>
      <c r="BW819" t="s">
        <v>709</v>
      </c>
      <c r="BX819" t="s">
        <v>745</v>
      </c>
      <c r="BY819" t="s">
        <v>745</v>
      </c>
      <c r="BZ819" t="s">
        <v>709</v>
      </c>
      <c r="CB819">
        <v>817</v>
      </c>
      <c r="CC819" t="b">
        <v>1</v>
      </c>
      <c r="CD819" t="s">
        <v>5183</v>
      </c>
      <c r="CE819" s="1482">
        <v>45880.736921296295</v>
      </c>
    </row>
    <row r="820" spans="1:83" ht="360" x14ac:dyDescent="0.25">
      <c r="A820">
        <v>2023</v>
      </c>
      <c r="B820" t="s">
        <v>4</v>
      </c>
      <c r="C820" t="s">
        <v>5184</v>
      </c>
      <c r="D820" t="s">
        <v>5185</v>
      </c>
      <c r="E820" t="s">
        <v>1522</v>
      </c>
      <c r="F820" t="s">
        <v>747</v>
      </c>
      <c r="G820" t="s">
        <v>25</v>
      </c>
      <c r="H820" t="s">
        <v>59</v>
      </c>
      <c r="I820">
        <v>44784</v>
      </c>
      <c r="J820">
        <v>44942</v>
      </c>
      <c r="K820">
        <v>44937</v>
      </c>
      <c r="L820">
        <v>5</v>
      </c>
      <c r="N820" t="s">
        <v>120</v>
      </c>
      <c r="O820">
        <v>44937</v>
      </c>
      <c r="P820" t="s">
        <v>739</v>
      </c>
      <c r="Q820">
        <v>20016.609</v>
      </c>
      <c r="R820">
        <v>0.1</v>
      </c>
      <c r="V820">
        <v>726</v>
      </c>
      <c r="X820">
        <v>157087.71</v>
      </c>
      <c r="Z820">
        <v>43078.38</v>
      </c>
      <c r="AA820">
        <v>200166.09</v>
      </c>
      <c r="AB820">
        <v>44944</v>
      </c>
      <c r="AC820" t="s">
        <v>709</v>
      </c>
      <c r="AD820" t="s">
        <v>29</v>
      </c>
      <c r="AE820" t="s">
        <v>29</v>
      </c>
      <c r="AF820" t="s">
        <v>29</v>
      </c>
      <c r="AG820" t="s">
        <v>29</v>
      </c>
      <c r="AH820" t="s">
        <v>29</v>
      </c>
      <c r="AM820" t="s">
        <v>116</v>
      </c>
      <c r="AN820">
        <v>45091</v>
      </c>
      <c r="AO820">
        <v>11060385</v>
      </c>
      <c r="AP820">
        <v>161683.04</v>
      </c>
      <c r="AR820">
        <v>44619.61</v>
      </c>
      <c r="AS820">
        <v>206302.65</v>
      </c>
      <c r="AT820">
        <v>6136.56</v>
      </c>
      <c r="AU820">
        <v>613.65599999999995</v>
      </c>
      <c r="AV820" t="s">
        <v>709</v>
      </c>
      <c r="AX820">
        <v>613.65599999999995</v>
      </c>
      <c r="AY820">
        <v>45200</v>
      </c>
      <c r="BA820" s="4" t="s">
        <v>5181</v>
      </c>
      <c r="BB820" t="s">
        <v>5182</v>
      </c>
      <c r="BC820" t="s">
        <v>116</v>
      </c>
      <c r="BD820" t="s">
        <v>3836</v>
      </c>
      <c r="BE820" t="s">
        <v>526</v>
      </c>
      <c r="BF820" t="s">
        <v>526</v>
      </c>
      <c r="BG820" t="s">
        <v>115</v>
      </c>
      <c r="BI820" t="s">
        <v>709</v>
      </c>
      <c r="BJ820" t="s">
        <v>709</v>
      </c>
      <c r="BK820" t="s">
        <v>709</v>
      </c>
      <c r="BL820" t="s">
        <v>116</v>
      </c>
      <c r="BM820" t="s">
        <v>709</v>
      </c>
      <c r="BN820" t="s">
        <v>709</v>
      </c>
      <c r="BO820" t="s">
        <v>709</v>
      </c>
      <c r="BP820" t="s">
        <v>709</v>
      </c>
      <c r="BQ820" t="s">
        <v>709</v>
      </c>
      <c r="BR820">
        <v>646</v>
      </c>
      <c r="BS820" t="s">
        <v>709</v>
      </c>
      <c r="BT820" t="s">
        <v>745</v>
      </c>
      <c r="BU820" t="s">
        <v>709</v>
      </c>
      <c r="BV820" t="s">
        <v>745</v>
      </c>
      <c r="BW820" t="s">
        <v>709</v>
      </c>
      <c r="BX820" t="s">
        <v>745</v>
      </c>
      <c r="BY820" t="s">
        <v>745</v>
      </c>
      <c r="BZ820" t="s">
        <v>709</v>
      </c>
      <c r="CB820">
        <v>818</v>
      </c>
      <c r="CC820" t="b">
        <v>1</v>
      </c>
      <c r="CD820" t="s">
        <v>5186</v>
      </c>
      <c r="CE820" s="1482">
        <v>45880.736921296295</v>
      </c>
    </row>
    <row r="821" spans="1:83" x14ac:dyDescent="0.25">
      <c r="A821">
        <v>2023</v>
      </c>
      <c r="B821" t="s">
        <v>1073</v>
      </c>
      <c r="C821" t="s">
        <v>265</v>
      </c>
      <c r="D821">
        <v>1911012</v>
      </c>
      <c r="E821" t="s">
        <v>232</v>
      </c>
      <c r="F821" t="s">
        <v>747</v>
      </c>
      <c r="G821" t="s">
        <v>36</v>
      </c>
      <c r="H821" t="s">
        <v>3759</v>
      </c>
      <c r="I821">
        <v>44944</v>
      </c>
      <c r="J821" t="s">
        <v>2724</v>
      </c>
      <c r="K821">
        <v>44945</v>
      </c>
      <c r="L821">
        <v>1</v>
      </c>
      <c r="M821" t="s">
        <v>5187</v>
      </c>
      <c r="N821" t="s">
        <v>120</v>
      </c>
      <c r="O821">
        <v>44995</v>
      </c>
      <c r="P821" t="s">
        <v>739</v>
      </c>
      <c r="Q821">
        <v>1380</v>
      </c>
      <c r="R821" t="s">
        <v>1922</v>
      </c>
      <c r="U821">
        <v>1380</v>
      </c>
      <c r="AM821" t="s">
        <v>709</v>
      </c>
      <c r="AY821" t="s">
        <v>29</v>
      </c>
      <c r="BI821" t="s">
        <v>709</v>
      </c>
      <c r="BJ821" t="s">
        <v>116</v>
      </c>
      <c r="BK821" t="s">
        <v>709</v>
      </c>
      <c r="BL821" t="s">
        <v>116</v>
      </c>
      <c r="BM821" t="s">
        <v>709</v>
      </c>
      <c r="BN821" t="s">
        <v>709</v>
      </c>
      <c r="BO821" t="s">
        <v>709</v>
      </c>
      <c r="BP821" t="s">
        <v>116</v>
      </c>
      <c r="BQ821" t="s">
        <v>116</v>
      </c>
      <c r="BR821" t="s">
        <v>116</v>
      </c>
      <c r="BS821" t="s">
        <v>116</v>
      </c>
      <c r="BT821" t="s">
        <v>116</v>
      </c>
      <c r="BU821" t="s">
        <v>709</v>
      </c>
      <c r="BV821" t="s">
        <v>745</v>
      </c>
      <c r="BW821" t="s">
        <v>709</v>
      </c>
      <c r="BX821" t="s">
        <v>116</v>
      </c>
      <c r="BY821" t="s">
        <v>745</v>
      </c>
      <c r="BZ821" t="s">
        <v>709</v>
      </c>
      <c r="CB821">
        <v>819</v>
      </c>
      <c r="CC821" t="b">
        <v>1</v>
      </c>
      <c r="CD821" t="s">
        <v>5188</v>
      </c>
      <c r="CE821" s="1482">
        <v>45880.736932870372</v>
      </c>
    </row>
    <row r="822" spans="1:83" x14ac:dyDescent="0.25">
      <c r="A822">
        <v>2022</v>
      </c>
      <c r="B822" t="s">
        <v>2994</v>
      </c>
      <c r="C822" t="s">
        <v>4287</v>
      </c>
      <c r="D822">
        <v>3210897</v>
      </c>
      <c r="E822" t="s">
        <v>1763</v>
      </c>
      <c r="F822" t="s">
        <v>4899</v>
      </c>
      <c r="G822" t="s">
        <v>35</v>
      </c>
      <c r="H822" t="s">
        <v>4001</v>
      </c>
      <c r="I822">
        <v>44910</v>
      </c>
      <c r="J822" t="s">
        <v>2052</v>
      </c>
      <c r="K822">
        <v>44949</v>
      </c>
      <c r="L822">
        <v>39</v>
      </c>
      <c r="M822" t="s">
        <v>5189</v>
      </c>
      <c r="N822" t="s">
        <v>120</v>
      </c>
      <c r="O822">
        <v>44958</v>
      </c>
      <c r="P822" t="s">
        <v>739</v>
      </c>
      <c r="Q822">
        <v>935</v>
      </c>
      <c r="R822" t="s">
        <v>1922</v>
      </c>
      <c r="S822">
        <v>0</v>
      </c>
      <c r="T822">
        <v>0</v>
      </c>
      <c r="U822">
        <v>935</v>
      </c>
      <c r="AC822" t="s">
        <v>709</v>
      </c>
      <c r="AD822" t="s">
        <v>116</v>
      </c>
      <c r="AM822" t="s">
        <v>709</v>
      </c>
      <c r="AY822" t="s">
        <v>29</v>
      </c>
      <c r="BA822">
        <v>3</v>
      </c>
      <c r="BB822" t="s">
        <v>5190</v>
      </c>
      <c r="BH822" t="s">
        <v>5191</v>
      </c>
      <c r="BI822" t="s">
        <v>709</v>
      </c>
      <c r="BJ822" t="s">
        <v>709</v>
      </c>
      <c r="BK822" t="s">
        <v>709</v>
      </c>
      <c r="BL822" t="s">
        <v>709</v>
      </c>
      <c r="BM822" t="s">
        <v>709</v>
      </c>
      <c r="BN822" t="s">
        <v>709</v>
      </c>
      <c r="BO822" t="s">
        <v>709</v>
      </c>
      <c r="BP822" t="s">
        <v>709</v>
      </c>
      <c r="BQ822" t="s">
        <v>709</v>
      </c>
      <c r="BR822" t="s">
        <v>709</v>
      </c>
      <c r="BS822" t="s">
        <v>709</v>
      </c>
      <c r="BT822" t="s">
        <v>745</v>
      </c>
      <c r="BU822" t="s">
        <v>709</v>
      </c>
      <c r="BV822">
        <v>1</v>
      </c>
      <c r="BW822" t="s">
        <v>709</v>
      </c>
      <c r="BX822" t="s">
        <v>745</v>
      </c>
      <c r="BY822" t="s">
        <v>745</v>
      </c>
      <c r="BZ822" t="s">
        <v>709</v>
      </c>
      <c r="CA822" t="s">
        <v>1146</v>
      </c>
      <c r="CB822">
        <v>822</v>
      </c>
      <c r="CC822" t="b">
        <v>1</v>
      </c>
      <c r="CD822" t="s">
        <v>5192</v>
      </c>
      <c r="CE822" s="1482">
        <v>45880.736944444441</v>
      </c>
    </row>
    <row r="823" spans="1:83" x14ac:dyDescent="0.25">
      <c r="A823">
        <v>2023</v>
      </c>
      <c r="B823" t="s">
        <v>730</v>
      </c>
      <c r="C823" t="s">
        <v>332</v>
      </c>
      <c r="D823" t="s">
        <v>5193</v>
      </c>
      <c r="E823" t="s">
        <v>239</v>
      </c>
      <c r="F823" t="s">
        <v>752</v>
      </c>
      <c r="G823" t="s">
        <v>32</v>
      </c>
      <c r="H823" t="s">
        <v>59</v>
      </c>
      <c r="I823">
        <v>44865</v>
      </c>
      <c r="J823">
        <v>44957</v>
      </c>
      <c r="K823">
        <v>44949</v>
      </c>
      <c r="L823">
        <v>8</v>
      </c>
      <c r="N823" t="s">
        <v>120</v>
      </c>
      <c r="O823">
        <v>44949</v>
      </c>
      <c r="P823" t="s">
        <v>120</v>
      </c>
      <c r="Q823">
        <v>12750</v>
      </c>
      <c r="R823" t="s">
        <v>5194</v>
      </c>
      <c r="V823">
        <v>384</v>
      </c>
      <c r="W823">
        <v>1</v>
      </c>
      <c r="X823">
        <v>239042.66</v>
      </c>
      <c r="Z823">
        <v>42530.77</v>
      </c>
      <c r="AA823">
        <v>281573.43</v>
      </c>
      <c r="AB823">
        <v>44953</v>
      </c>
      <c r="AC823" t="s">
        <v>1056</v>
      </c>
      <c r="AD823" t="s">
        <v>29</v>
      </c>
      <c r="AM823" t="s">
        <v>709</v>
      </c>
      <c r="AY823" t="s">
        <v>29</v>
      </c>
      <c r="BA823" t="s">
        <v>5195</v>
      </c>
      <c r="BB823" t="s">
        <v>5196</v>
      </c>
      <c r="BC823" t="s">
        <v>756</v>
      </c>
      <c r="BD823" t="s">
        <v>1462</v>
      </c>
      <c r="BE823" t="s">
        <v>115</v>
      </c>
      <c r="BF823" t="s">
        <v>807</v>
      </c>
      <c r="BG823" t="s">
        <v>115</v>
      </c>
      <c r="BH823" t="s">
        <v>5197</v>
      </c>
      <c r="BI823" t="s">
        <v>709</v>
      </c>
      <c r="BJ823" t="s">
        <v>116</v>
      </c>
      <c r="BK823" t="s">
        <v>709</v>
      </c>
      <c r="BL823" t="s">
        <v>116</v>
      </c>
      <c r="BM823">
        <v>0</v>
      </c>
      <c r="BN823">
        <v>0</v>
      </c>
      <c r="BO823">
        <v>0</v>
      </c>
      <c r="BP823">
        <v>0</v>
      </c>
      <c r="BQ823">
        <v>0</v>
      </c>
      <c r="BR823">
        <v>0</v>
      </c>
      <c r="BS823">
        <v>384</v>
      </c>
      <c r="BT823">
        <v>0</v>
      </c>
      <c r="BU823">
        <v>1</v>
      </c>
      <c r="BV823">
        <v>0</v>
      </c>
      <c r="BW823">
        <v>0</v>
      </c>
      <c r="BX823">
        <v>1</v>
      </c>
      <c r="BY823">
        <v>0</v>
      </c>
      <c r="BZ823" t="s">
        <v>709</v>
      </c>
      <c r="CB823">
        <v>821</v>
      </c>
      <c r="CC823" t="b">
        <v>1</v>
      </c>
      <c r="CD823" t="s">
        <v>5198</v>
      </c>
      <c r="CE823" s="1482">
        <v>45880.736944444441</v>
      </c>
    </row>
    <row r="824" spans="1:83" x14ac:dyDescent="0.25">
      <c r="A824">
        <v>2023</v>
      </c>
      <c r="B824" t="s">
        <v>730</v>
      </c>
      <c r="C824" t="s">
        <v>311</v>
      </c>
      <c r="D824" t="s">
        <v>5199</v>
      </c>
      <c r="E824" t="s">
        <v>312</v>
      </c>
      <c r="F824" t="s">
        <v>752</v>
      </c>
      <c r="G824" t="s">
        <v>24</v>
      </c>
      <c r="H824" t="s">
        <v>59</v>
      </c>
      <c r="I824">
        <v>44865</v>
      </c>
      <c r="J824">
        <v>44957</v>
      </c>
      <c r="K824">
        <v>44949</v>
      </c>
      <c r="L824">
        <v>8</v>
      </c>
      <c r="N824" t="s">
        <v>120</v>
      </c>
      <c r="O824">
        <v>44949</v>
      </c>
      <c r="P824" t="s">
        <v>120</v>
      </c>
      <c r="Q824">
        <v>12750</v>
      </c>
      <c r="R824" t="s">
        <v>5194</v>
      </c>
      <c r="V824">
        <v>194</v>
      </c>
      <c r="W824">
        <v>1</v>
      </c>
      <c r="X824">
        <v>192978.97</v>
      </c>
      <c r="Z824">
        <v>19464.580000000002</v>
      </c>
      <c r="AA824">
        <v>212443.55</v>
      </c>
      <c r="AB824">
        <v>44952</v>
      </c>
      <c r="AC824" t="s">
        <v>1056</v>
      </c>
      <c r="AD824" t="s">
        <v>116</v>
      </c>
      <c r="AM824" t="s">
        <v>709</v>
      </c>
      <c r="AY824" t="s">
        <v>29</v>
      </c>
      <c r="BA824" t="s">
        <v>5200</v>
      </c>
      <c r="BB824" t="s">
        <v>5201</v>
      </c>
      <c r="BC824" t="s">
        <v>709</v>
      </c>
      <c r="BD824" t="s">
        <v>115</v>
      </c>
      <c r="BE824" t="s">
        <v>567</v>
      </c>
      <c r="BF824" t="s">
        <v>115</v>
      </c>
      <c r="BG824" t="s">
        <v>115</v>
      </c>
      <c r="BI824" t="s">
        <v>709</v>
      </c>
      <c r="BJ824" t="s">
        <v>116</v>
      </c>
      <c r="BK824" t="s">
        <v>709</v>
      </c>
      <c r="BL824" t="s">
        <v>116</v>
      </c>
      <c r="BM824" t="s">
        <v>709</v>
      </c>
      <c r="BN824" t="s">
        <v>709</v>
      </c>
      <c r="BO824" t="s">
        <v>709</v>
      </c>
      <c r="BP824" t="s">
        <v>709</v>
      </c>
      <c r="BQ824" t="s">
        <v>709</v>
      </c>
      <c r="BR824" t="s">
        <v>709</v>
      </c>
      <c r="BS824">
        <v>194</v>
      </c>
      <c r="BT824" t="s">
        <v>745</v>
      </c>
      <c r="BU824">
        <v>1</v>
      </c>
      <c r="BV824" t="s">
        <v>745</v>
      </c>
      <c r="BW824" t="s">
        <v>709</v>
      </c>
      <c r="BX824">
        <v>1</v>
      </c>
      <c r="BY824" t="s">
        <v>745</v>
      </c>
      <c r="BZ824" t="s">
        <v>709</v>
      </c>
      <c r="CB824">
        <v>820</v>
      </c>
      <c r="CC824" t="b">
        <v>1</v>
      </c>
      <c r="CD824" t="s">
        <v>5202</v>
      </c>
      <c r="CE824" s="1482">
        <v>45880.736956018518</v>
      </c>
    </row>
    <row r="825" spans="1:83" ht="255" x14ac:dyDescent="0.25">
      <c r="A825">
        <v>2023</v>
      </c>
      <c r="B825" t="s">
        <v>4</v>
      </c>
      <c r="C825" t="s">
        <v>5203</v>
      </c>
      <c r="D825" t="s">
        <v>115</v>
      </c>
      <c r="E825" t="s">
        <v>1920</v>
      </c>
      <c r="F825" t="s">
        <v>747</v>
      </c>
      <c r="G825" t="s">
        <v>25</v>
      </c>
      <c r="H825" t="s">
        <v>1903</v>
      </c>
      <c r="I825">
        <v>44893</v>
      </c>
      <c r="J825">
        <v>44985</v>
      </c>
      <c r="K825">
        <v>44953</v>
      </c>
      <c r="L825">
        <v>32</v>
      </c>
      <c r="N825" t="s">
        <v>120</v>
      </c>
      <c r="O825">
        <v>44953</v>
      </c>
      <c r="P825" t="s">
        <v>739</v>
      </c>
      <c r="Q825" t="s">
        <v>115</v>
      </c>
      <c r="R825" t="s">
        <v>115</v>
      </c>
      <c r="AB825" t="s">
        <v>29</v>
      </c>
      <c r="AC825" t="s">
        <v>709</v>
      </c>
      <c r="AD825" t="s">
        <v>29</v>
      </c>
      <c r="AM825" t="s">
        <v>709</v>
      </c>
      <c r="AY825" t="s">
        <v>29</v>
      </c>
      <c r="BA825" s="4" t="s">
        <v>5204</v>
      </c>
      <c r="BB825" t="s">
        <v>4937</v>
      </c>
      <c r="BC825" t="s">
        <v>115</v>
      </c>
      <c r="BD825" t="s">
        <v>837</v>
      </c>
      <c r="BE825" t="s">
        <v>5205</v>
      </c>
      <c r="BF825" t="s">
        <v>115</v>
      </c>
      <c r="BG825" t="s">
        <v>115</v>
      </c>
      <c r="CB825">
        <v>823</v>
      </c>
      <c r="CC825" t="b">
        <v>1</v>
      </c>
      <c r="CD825" t="s">
        <v>5206</v>
      </c>
      <c r="CE825" s="1482">
        <v>45880.736967592595</v>
      </c>
    </row>
    <row r="826" spans="1:83" x14ac:dyDescent="0.25">
      <c r="A826">
        <v>2023</v>
      </c>
      <c r="B826" t="s">
        <v>771</v>
      </c>
      <c r="C826" t="s">
        <v>5207</v>
      </c>
      <c r="D826" t="s">
        <v>5208</v>
      </c>
      <c r="E826" t="s">
        <v>2217</v>
      </c>
      <c r="F826" t="s">
        <v>747</v>
      </c>
      <c r="G826" t="s">
        <v>24</v>
      </c>
      <c r="H826" t="s">
        <v>4354</v>
      </c>
      <c r="I826">
        <v>44806</v>
      </c>
      <c r="J826" t="s">
        <v>4354</v>
      </c>
      <c r="K826">
        <v>44956</v>
      </c>
      <c r="L826">
        <v>150</v>
      </c>
      <c r="M826" t="s">
        <v>5209</v>
      </c>
      <c r="N826" t="s">
        <v>120</v>
      </c>
      <c r="O826">
        <v>45261</v>
      </c>
      <c r="P826" t="s">
        <v>120</v>
      </c>
      <c r="Q826">
        <v>0</v>
      </c>
      <c r="R826" t="s">
        <v>115</v>
      </c>
      <c r="S826">
        <v>0</v>
      </c>
      <c r="T826">
        <v>0</v>
      </c>
      <c r="U826">
        <v>5440</v>
      </c>
      <c r="AM826" t="s">
        <v>709</v>
      </c>
      <c r="AY826" t="s">
        <v>29</v>
      </c>
      <c r="BA826" t="s">
        <v>5210</v>
      </c>
      <c r="BB826" t="s">
        <v>5211</v>
      </c>
      <c r="BC826" t="s">
        <v>116</v>
      </c>
      <c r="BD826" t="s">
        <v>1333</v>
      </c>
      <c r="BE826" t="s">
        <v>5212</v>
      </c>
      <c r="BF826" t="s">
        <v>115</v>
      </c>
      <c r="BG826" t="s">
        <v>115</v>
      </c>
      <c r="BI826" t="s">
        <v>709</v>
      </c>
      <c r="BJ826" t="s">
        <v>709</v>
      </c>
      <c r="BK826" t="s">
        <v>709</v>
      </c>
      <c r="BL826" t="s">
        <v>116</v>
      </c>
      <c r="BM826" t="s">
        <v>709</v>
      </c>
      <c r="BN826" t="s">
        <v>709</v>
      </c>
      <c r="BO826" t="s">
        <v>709</v>
      </c>
      <c r="BP826" t="s">
        <v>709</v>
      </c>
      <c r="BQ826" t="s">
        <v>709</v>
      </c>
      <c r="BR826" t="s">
        <v>709</v>
      </c>
      <c r="BS826">
        <v>4575</v>
      </c>
      <c r="BT826" t="s">
        <v>745</v>
      </c>
      <c r="BU826" t="s">
        <v>709</v>
      </c>
      <c r="BV826" t="s">
        <v>745</v>
      </c>
      <c r="BW826" t="s">
        <v>709</v>
      </c>
      <c r="BX826" t="s">
        <v>745</v>
      </c>
      <c r="BY826" t="s">
        <v>745</v>
      </c>
      <c r="BZ826" t="s">
        <v>709</v>
      </c>
      <c r="CB826">
        <v>827</v>
      </c>
      <c r="CC826" t="b">
        <v>1</v>
      </c>
      <c r="CD826" t="s">
        <v>5213</v>
      </c>
      <c r="CE826" s="1482">
        <v>45880.736979166664</v>
      </c>
    </row>
    <row r="827" spans="1:83" x14ac:dyDescent="0.25">
      <c r="A827">
        <v>2023</v>
      </c>
      <c r="B827" t="s">
        <v>771</v>
      </c>
      <c r="C827" t="s">
        <v>5207</v>
      </c>
      <c r="D827" t="s">
        <v>5208</v>
      </c>
      <c r="E827" t="s">
        <v>2217</v>
      </c>
      <c r="F827" t="s">
        <v>747</v>
      </c>
      <c r="G827" t="s">
        <v>24</v>
      </c>
      <c r="H827" t="s">
        <v>59</v>
      </c>
      <c r="I827">
        <v>44806</v>
      </c>
      <c r="J827">
        <v>44967</v>
      </c>
      <c r="K827">
        <v>44956</v>
      </c>
      <c r="L827">
        <v>11</v>
      </c>
      <c r="N827" t="s">
        <v>120</v>
      </c>
      <c r="O827">
        <v>44958</v>
      </c>
      <c r="P827" t="s">
        <v>120</v>
      </c>
      <c r="Q827">
        <v>61304.043599999997</v>
      </c>
      <c r="R827">
        <v>0.09</v>
      </c>
      <c r="V827">
        <v>4732</v>
      </c>
      <c r="X827">
        <v>656237.96</v>
      </c>
      <c r="Z827">
        <v>24918.080000000002</v>
      </c>
      <c r="AA827">
        <v>681156.04</v>
      </c>
      <c r="AB827">
        <v>44963</v>
      </c>
      <c r="AC827" t="s">
        <v>709</v>
      </c>
      <c r="AD827" t="s">
        <v>29</v>
      </c>
      <c r="AM827" t="s">
        <v>116</v>
      </c>
      <c r="AN827">
        <v>45007</v>
      </c>
      <c r="AO827">
        <v>11050954</v>
      </c>
      <c r="AP827">
        <v>664748.01</v>
      </c>
      <c r="AR827">
        <v>34642.49</v>
      </c>
      <c r="AS827">
        <v>699390.5</v>
      </c>
      <c r="AT827">
        <v>18234.46</v>
      </c>
      <c r="AU827">
        <v>1641.1014</v>
      </c>
      <c r="AV827" t="s">
        <v>709</v>
      </c>
      <c r="AX827">
        <v>1641.1014</v>
      </c>
      <c r="AY827">
        <v>45200</v>
      </c>
      <c r="BA827" t="s">
        <v>5210</v>
      </c>
      <c r="BB827" t="s">
        <v>5211</v>
      </c>
      <c r="BC827" t="s">
        <v>116</v>
      </c>
      <c r="BD827" t="s">
        <v>1333</v>
      </c>
      <c r="BE827" t="s">
        <v>5212</v>
      </c>
      <c r="BF827" t="s">
        <v>115</v>
      </c>
      <c r="BG827" t="s">
        <v>115</v>
      </c>
      <c r="BH827" t="s">
        <v>5214</v>
      </c>
      <c r="BI827" t="s">
        <v>709</v>
      </c>
      <c r="BJ827" t="s">
        <v>709</v>
      </c>
      <c r="BK827" t="s">
        <v>709</v>
      </c>
      <c r="BL827" t="s">
        <v>116</v>
      </c>
      <c r="BM827" t="s">
        <v>709</v>
      </c>
      <c r="BN827" t="s">
        <v>709</v>
      </c>
      <c r="BO827" t="s">
        <v>709</v>
      </c>
      <c r="BP827" t="s">
        <v>709</v>
      </c>
      <c r="BQ827" t="s">
        <v>709</v>
      </c>
      <c r="BR827" t="s">
        <v>709</v>
      </c>
      <c r="BS827">
        <v>4732</v>
      </c>
      <c r="BT827" t="s">
        <v>745</v>
      </c>
      <c r="BU827" t="s">
        <v>709</v>
      </c>
      <c r="BV827" t="s">
        <v>745</v>
      </c>
      <c r="BW827" t="s">
        <v>709</v>
      </c>
      <c r="BX827" t="s">
        <v>745</v>
      </c>
      <c r="BY827" t="s">
        <v>745</v>
      </c>
      <c r="BZ827" t="s">
        <v>709</v>
      </c>
      <c r="CB827">
        <v>825</v>
      </c>
      <c r="CC827" t="b">
        <v>1</v>
      </c>
      <c r="CD827" t="s">
        <v>5213</v>
      </c>
      <c r="CE827" s="1482">
        <v>45880.736979166664</v>
      </c>
    </row>
    <row r="828" spans="1:83" ht="315" x14ac:dyDescent="0.25">
      <c r="A828">
        <v>2023</v>
      </c>
      <c r="B828" t="s">
        <v>4</v>
      </c>
      <c r="C828" t="s">
        <v>5215</v>
      </c>
      <c r="D828" t="s">
        <v>5216</v>
      </c>
      <c r="E828" t="s">
        <v>3635</v>
      </c>
      <c r="F828" t="s">
        <v>784</v>
      </c>
      <c r="G828" t="s">
        <v>35</v>
      </c>
      <c r="H828" t="s">
        <v>59</v>
      </c>
      <c r="I828">
        <v>44844</v>
      </c>
      <c r="J828">
        <v>44957</v>
      </c>
      <c r="K828">
        <v>44956</v>
      </c>
      <c r="L828">
        <v>1</v>
      </c>
      <c r="N828" t="s">
        <v>120</v>
      </c>
      <c r="O828">
        <v>44958</v>
      </c>
      <c r="P828" t="s">
        <v>739</v>
      </c>
      <c r="Q828">
        <v>97851.748999999996</v>
      </c>
      <c r="R828">
        <v>0.1</v>
      </c>
      <c r="V828">
        <v>3702</v>
      </c>
      <c r="X828">
        <v>945368.84</v>
      </c>
      <c r="Z828">
        <v>33148.65</v>
      </c>
      <c r="AA828">
        <v>978517.49</v>
      </c>
      <c r="AB828" t="s">
        <v>709</v>
      </c>
      <c r="AC828" t="s">
        <v>709</v>
      </c>
      <c r="AD828" t="s">
        <v>29</v>
      </c>
      <c r="AE828" t="s">
        <v>29</v>
      </c>
      <c r="AF828" t="s">
        <v>29</v>
      </c>
      <c r="AG828" t="s">
        <v>29</v>
      </c>
      <c r="AH828" t="s">
        <v>29</v>
      </c>
      <c r="AM828" t="s">
        <v>116</v>
      </c>
      <c r="AN828">
        <v>45006</v>
      </c>
      <c r="AO828">
        <v>11055876</v>
      </c>
      <c r="AP828">
        <v>180234.13</v>
      </c>
      <c r="AR828">
        <v>34188.94</v>
      </c>
      <c r="AS828">
        <v>214423.07</v>
      </c>
      <c r="AT828">
        <v>-764094.42</v>
      </c>
      <c r="AU828">
        <v>-76409.441999999995</v>
      </c>
      <c r="AV828">
        <v>7040</v>
      </c>
      <c r="AW828" t="s">
        <v>5217</v>
      </c>
      <c r="AX828">
        <v>0</v>
      </c>
      <c r="AY828">
        <v>45200</v>
      </c>
      <c r="BA828" s="4" t="s">
        <v>5218</v>
      </c>
      <c r="BB828" t="s">
        <v>5219</v>
      </c>
      <c r="BC828" t="s">
        <v>115</v>
      </c>
      <c r="BD828" t="s">
        <v>115</v>
      </c>
      <c r="BE828" t="s">
        <v>5219</v>
      </c>
      <c r="BF828" t="s">
        <v>115</v>
      </c>
      <c r="BG828" t="s">
        <v>115</v>
      </c>
      <c r="BI828" t="s">
        <v>709</v>
      </c>
      <c r="BJ828" t="s">
        <v>709</v>
      </c>
      <c r="BK828" t="s">
        <v>709</v>
      </c>
      <c r="BL828" t="s">
        <v>116</v>
      </c>
      <c r="BM828" t="s">
        <v>709</v>
      </c>
      <c r="BN828" t="s">
        <v>709</v>
      </c>
      <c r="BO828" t="s">
        <v>709</v>
      </c>
      <c r="BP828" t="s">
        <v>709</v>
      </c>
      <c r="BQ828" t="s">
        <v>709</v>
      </c>
      <c r="BR828" t="s">
        <v>709</v>
      </c>
      <c r="BS828">
        <v>3702</v>
      </c>
      <c r="BT828" t="s">
        <v>709</v>
      </c>
      <c r="BU828" t="s">
        <v>709</v>
      </c>
      <c r="BV828" t="s">
        <v>745</v>
      </c>
      <c r="BW828" t="s">
        <v>709</v>
      </c>
      <c r="BX828" t="s">
        <v>709</v>
      </c>
      <c r="BY828" t="s">
        <v>745</v>
      </c>
      <c r="BZ828" t="s">
        <v>709</v>
      </c>
      <c r="CB828">
        <v>824</v>
      </c>
      <c r="CC828" t="b">
        <v>1</v>
      </c>
      <c r="CD828" t="s">
        <v>5220</v>
      </c>
      <c r="CE828" s="1482">
        <v>45880.736990740741</v>
      </c>
    </row>
    <row r="829" spans="1:83" x14ac:dyDescent="0.25">
      <c r="A829">
        <v>2023</v>
      </c>
      <c r="B829" t="s">
        <v>759</v>
      </c>
      <c r="C829" t="s">
        <v>368</v>
      </c>
      <c r="D829" t="s">
        <v>1398</v>
      </c>
      <c r="E829" t="s">
        <v>369</v>
      </c>
      <c r="F829" t="s">
        <v>752</v>
      </c>
      <c r="G829" t="s">
        <v>27</v>
      </c>
      <c r="H829" t="s">
        <v>59</v>
      </c>
      <c r="I829">
        <v>44838</v>
      </c>
      <c r="J829">
        <v>44964</v>
      </c>
      <c r="K829">
        <v>44956</v>
      </c>
      <c r="L829">
        <v>8</v>
      </c>
      <c r="N829" t="s">
        <v>120</v>
      </c>
      <c r="O829">
        <v>44958</v>
      </c>
      <c r="P829" t="s">
        <v>120</v>
      </c>
      <c r="Q829">
        <v>51070.6394</v>
      </c>
      <c r="R829">
        <v>0.11</v>
      </c>
      <c r="T829">
        <v>5000</v>
      </c>
      <c r="U829">
        <v>0</v>
      </c>
      <c r="V829">
        <v>840</v>
      </c>
      <c r="X829">
        <v>411073.66</v>
      </c>
      <c r="Z829">
        <v>53204.88</v>
      </c>
      <c r="AA829">
        <v>464278.54</v>
      </c>
      <c r="AB829" t="s">
        <v>709</v>
      </c>
      <c r="AC829" t="s">
        <v>1177</v>
      </c>
      <c r="AD829" t="s">
        <v>29</v>
      </c>
      <c r="AM829" t="s">
        <v>116</v>
      </c>
      <c r="AN829" t="s">
        <v>709</v>
      </c>
      <c r="AO829" t="s">
        <v>115</v>
      </c>
      <c r="AS829">
        <v>0</v>
      </c>
      <c r="AT829">
        <v>0</v>
      </c>
      <c r="AU829">
        <v>0</v>
      </c>
      <c r="AY829" t="s">
        <v>709</v>
      </c>
      <c r="AZ829">
        <v>149</v>
      </c>
      <c r="BA829" t="s">
        <v>1399</v>
      </c>
      <c r="BB829" t="s">
        <v>1400</v>
      </c>
      <c r="BC829" t="s">
        <v>709</v>
      </c>
      <c r="BD829" t="s">
        <v>115</v>
      </c>
      <c r="BE829" t="s">
        <v>1401</v>
      </c>
      <c r="BF829" t="s">
        <v>115</v>
      </c>
      <c r="BG829" t="s">
        <v>115</v>
      </c>
      <c r="BI829" t="s">
        <v>709</v>
      </c>
      <c r="BJ829" t="s">
        <v>116</v>
      </c>
      <c r="BK829" t="s">
        <v>709</v>
      </c>
      <c r="BL829" t="s">
        <v>116</v>
      </c>
      <c r="BM829" t="s">
        <v>709</v>
      </c>
      <c r="BN829" t="s">
        <v>709</v>
      </c>
      <c r="BO829" t="s">
        <v>709</v>
      </c>
      <c r="BP829" t="s">
        <v>709</v>
      </c>
      <c r="BQ829" t="s">
        <v>709</v>
      </c>
      <c r="BR829" t="s">
        <v>709</v>
      </c>
      <c r="BS829">
        <v>750</v>
      </c>
      <c r="BT829">
        <v>1</v>
      </c>
      <c r="BU829" t="s">
        <v>709</v>
      </c>
      <c r="BV829" t="s">
        <v>745</v>
      </c>
      <c r="BW829">
        <v>1</v>
      </c>
      <c r="BX829">
        <v>1</v>
      </c>
      <c r="BY829" t="s">
        <v>745</v>
      </c>
      <c r="BZ829" t="s">
        <v>709</v>
      </c>
      <c r="CB829">
        <v>826</v>
      </c>
      <c r="CC829" t="b">
        <v>1</v>
      </c>
      <c r="CD829" t="s">
        <v>5221</v>
      </c>
      <c r="CE829" s="1482">
        <v>45880.737002314818</v>
      </c>
    </row>
    <row r="830" spans="1:83" ht="135" x14ac:dyDescent="0.25">
      <c r="A830">
        <v>2023</v>
      </c>
      <c r="B830" t="s">
        <v>759</v>
      </c>
      <c r="C830" t="s">
        <v>336</v>
      </c>
      <c r="D830" t="s">
        <v>5222</v>
      </c>
      <c r="E830" t="s">
        <v>1352</v>
      </c>
      <c r="F830" t="s">
        <v>752</v>
      </c>
      <c r="G830" t="s">
        <v>32</v>
      </c>
      <c r="H830" t="s">
        <v>59</v>
      </c>
      <c r="I830">
        <v>44837</v>
      </c>
      <c r="J830">
        <v>44957</v>
      </c>
      <c r="K830">
        <v>44957</v>
      </c>
      <c r="L830">
        <v>0</v>
      </c>
      <c r="N830" t="s">
        <v>120</v>
      </c>
      <c r="O830">
        <v>44958</v>
      </c>
      <c r="P830" t="s">
        <v>120</v>
      </c>
      <c r="Q830">
        <v>14750</v>
      </c>
      <c r="R830" t="s">
        <v>5223</v>
      </c>
      <c r="T830">
        <v>15220</v>
      </c>
      <c r="U830">
        <v>0</v>
      </c>
      <c r="V830">
        <v>318</v>
      </c>
      <c r="W830">
        <v>1</v>
      </c>
      <c r="X830">
        <v>667180.67000000004</v>
      </c>
      <c r="Z830">
        <v>102930.85</v>
      </c>
      <c r="AA830">
        <v>770111.52</v>
      </c>
      <c r="AB830">
        <v>44967</v>
      </c>
      <c r="AC830" t="s">
        <v>1441</v>
      </c>
      <c r="AD830" t="s">
        <v>29</v>
      </c>
      <c r="AM830" t="s">
        <v>709</v>
      </c>
      <c r="AY830" t="s">
        <v>29</v>
      </c>
      <c r="BA830" s="4" t="s">
        <v>5224</v>
      </c>
      <c r="BB830" t="s">
        <v>756</v>
      </c>
      <c r="BC830" t="s">
        <v>1790</v>
      </c>
      <c r="BD830" t="s">
        <v>1355</v>
      </c>
      <c r="BE830" t="s">
        <v>115</v>
      </c>
      <c r="BF830" t="s">
        <v>115</v>
      </c>
      <c r="BH830" t="s">
        <v>5225</v>
      </c>
      <c r="BI830" t="s">
        <v>709</v>
      </c>
      <c r="BJ830" t="s">
        <v>709</v>
      </c>
      <c r="BK830" t="s">
        <v>116</v>
      </c>
      <c r="BL830" t="s">
        <v>116</v>
      </c>
      <c r="BM830">
        <v>0</v>
      </c>
      <c r="BN830">
        <v>0</v>
      </c>
      <c r="BO830">
        <v>0</v>
      </c>
      <c r="BP830">
        <v>94</v>
      </c>
      <c r="BQ830">
        <v>84</v>
      </c>
      <c r="BR830">
        <v>45</v>
      </c>
      <c r="BS830">
        <v>5</v>
      </c>
      <c r="BT830">
        <v>1</v>
      </c>
      <c r="BU830">
        <v>0</v>
      </c>
      <c r="BV830">
        <v>0</v>
      </c>
      <c r="BW830">
        <v>1</v>
      </c>
      <c r="BX830">
        <v>1</v>
      </c>
      <c r="BY830">
        <v>0</v>
      </c>
      <c r="BZ830" t="s">
        <v>709</v>
      </c>
      <c r="CB830">
        <v>828</v>
      </c>
      <c r="CC830" t="b">
        <v>1</v>
      </c>
      <c r="CD830" t="s">
        <v>5226</v>
      </c>
      <c r="CE830" s="1482">
        <v>45880.737013888887</v>
      </c>
    </row>
    <row r="831" spans="1:83" ht="135" x14ac:dyDescent="0.25">
      <c r="A831">
        <v>2023</v>
      </c>
      <c r="B831" t="s">
        <v>759</v>
      </c>
      <c r="C831" t="s">
        <v>5227</v>
      </c>
      <c r="D831" t="s">
        <v>5228</v>
      </c>
      <c r="E831" t="s">
        <v>155</v>
      </c>
      <c r="F831" t="s">
        <v>752</v>
      </c>
      <c r="G831" t="s">
        <v>32</v>
      </c>
      <c r="H831" t="s">
        <v>59</v>
      </c>
      <c r="I831">
        <v>44837</v>
      </c>
      <c r="J831">
        <v>44957</v>
      </c>
      <c r="K831">
        <v>44957</v>
      </c>
      <c r="L831">
        <v>0</v>
      </c>
      <c r="N831" t="s">
        <v>120</v>
      </c>
      <c r="O831">
        <v>44958</v>
      </c>
      <c r="P831" t="s">
        <v>120</v>
      </c>
      <c r="Q831">
        <v>14750</v>
      </c>
      <c r="R831" t="s">
        <v>5223</v>
      </c>
      <c r="T831">
        <v>18010</v>
      </c>
      <c r="U831">
        <v>0</v>
      </c>
      <c r="V831">
        <v>217</v>
      </c>
      <c r="W831">
        <v>1</v>
      </c>
      <c r="X831">
        <v>407123.68</v>
      </c>
      <c r="Z831">
        <v>64840.91</v>
      </c>
      <c r="AA831">
        <v>471964.59</v>
      </c>
      <c r="AB831">
        <v>44973</v>
      </c>
      <c r="AC831" t="s">
        <v>1177</v>
      </c>
      <c r="AD831" t="s">
        <v>29</v>
      </c>
      <c r="AM831" t="s">
        <v>709</v>
      </c>
      <c r="AY831" t="s">
        <v>29</v>
      </c>
      <c r="BA831" s="4" t="s">
        <v>5229</v>
      </c>
      <c r="BB831" t="s">
        <v>756</v>
      </c>
      <c r="BC831" t="s">
        <v>1790</v>
      </c>
      <c r="BD831" t="s">
        <v>1085</v>
      </c>
      <c r="BE831" t="s">
        <v>115</v>
      </c>
      <c r="BF831" t="s">
        <v>115</v>
      </c>
      <c r="BH831" t="s">
        <v>5230</v>
      </c>
      <c r="BI831" t="s">
        <v>709</v>
      </c>
      <c r="BJ831" t="s">
        <v>709</v>
      </c>
      <c r="BK831" t="s">
        <v>709</v>
      </c>
      <c r="BL831" t="s">
        <v>116</v>
      </c>
      <c r="BM831">
        <v>0</v>
      </c>
      <c r="BN831">
        <v>0</v>
      </c>
      <c r="BO831">
        <v>0</v>
      </c>
      <c r="BP831">
        <v>0</v>
      </c>
      <c r="BQ831">
        <v>47</v>
      </c>
      <c r="BR831">
        <v>35</v>
      </c>
      <c r="BS831">
        <v>45</v>
      </c>
      <c r="BT831">
        <v>1</v>
      </c>
      <c r="BU831">
        <v>0</v>
      </c>
      <c r="BV831">
        <v>0</v>
      </c>
      <c r="BW831">
        <v>1</v>
      </c>
      <c r="BX831">
        <v>1</v>
      </c>
      <c r="BY831">
        <v>0</v>
      </c>
      <c r="BZ831" t="s">
        <v>709</v>
      </c>
      <c r="CB831">
        <v>829</v>
      </c>
      <c r="CC831" t="b">
        <v>1</v>
      </c>
      <c r="CD831" t="s">
        <v>5231</v>
      </c>
      <c r="CE831" s="1482">
        <v>45880.737013888887</v>
      </c>
    </row>
    <row r="832" spans="1:83" ht="180" x14ac:dyDescent="0.25">
      <c r="A832">
        <v>2022</v>
      </c>
      <c r="B832" t="s">
        <v>4</v>
      </c>
      <c r="C832" t="s">
        <v>5232</v>
      </c>
      <c r="D832" t="s">
        <v>5233</v>
      </c>
      <c r="E832" t="s">
        <v>232</v>
      </c>
      <c r="F832" t="s">
        <v>747</v>
      </c>
      <c r="G832" t="s">
        <v>27</v>
      </c>
      <c r="H832" t="s">
        <v>59</v>
      </c>
      <c r="I832">
        <v>44602</v>
      </c>
      <c r="J832">
        <v>44972</v>
      </c>
      <c r="K832">
        <v>44964</v>
      </c>
      <c r="L832">
        <v>8</v>
      </c>
      <c r="N832" t="s">
        <v>120</v>
      </c>
      <c r="O832">
        <v>44986</v>
      </c>
      <c r="P832" t="s">
        <v>739</v>
      </c>
      <c r="Q832">
        <v>38456.464</v>
      </c>
      <c r="R832">
        <v>0.1</v>
      </c>
      <c r="V832">
        <v>553</v>
      </c>
      <c r="X832">
        <v>339138.08</v>
      </c>
      <c r="Z832">
        <v>45426.559999999998</v>
      </c>
      <c r="AA832">
        <v>384564.64</v>
      </c>
      <c r="AB832">
        <v>45009</v>
      </c>
      <c r="AC832" t="s">
        <v>709</v>
      </c>
      <c r="AD832" t="s">
        <v>29</v>
      </c>
      <c r="AE832" t="s">
        <v>29</v>
      </c>
      <c r="AF832" t="s">
        <v>29</v>
      </c>
      <c r="AG832" t="s">
        <v>29</v>
      </c>
      <c r="AH832" t="s">
        <v>29</v>
      </c>
      <c r="AM832" t="s">
        <v>116</v>
      </c>
      <c r="AN832">
        <v>45036</v>
      </c>
      <c r="AO832">
        <v>11054513</v>
      </c>
      <c r="AP832">
        <v>213737.82</v>
      </c>
      <c r="AR832">
        <v>45428.56</v>
      </c>
      <c r="AS832">
        <v>259166.38</v>
      </c>
      <c r="AT832">
        <v>-125398.26</v>
      </c>
      <c r="AU832">
        <v>-12539.825999999999</v>
      </c>
      <c r="AV832" t="s">
        <v>709</v>
      </c>
      <c r="AW832" t="s">
        <v>5234</v>
      </c>
      <c r="AX832">
        <v>0</v>
      </c>
      <c r="AY832">
        <v>45200</v>
      </c>
      <c r="BA832" s="4" t="s">
        <v>5235</v>
      </c>
      <c r="BB832" t="s">
        <v>870</v>
      </c>
      <c r="BC832" t="s">
        <v>116</v>
      </c>
      <c r="BD832" t="s">
        <v>115</v>
      </c>
      <c r="BE832" t="s">
        <v>595</v>
      </c>
      <c r="BF832" t="s">
        <v>115</v>
      </c>
      <c r="BG832" t="s">
        <v>115</v>
      </c>
      <c r="BI832" t="s">
        <v>709</v>
      </c>
      <c r="BJ832" t="s">
        <v>709</v>
      </c>
      <c r="BK832" t="s">
        <v>709</v>
      </c>
      <c r="BL832" t="s">
        <v>116</v>
      </c>
      <c r="BM832" t="s">
        <v>709</v>
      </c>
      <c r="BN832" t="s">
        <v>709</v>
      </c>
      <c r="BO832" t="s">
        <v>709</v>
      </c>
      <c r="BP832" t="s">
        <v>709</v>
      </c>
      <c r="BQ832" t="s">
        <v>709</v>
      </c>
      <c r="BR832">
        <v>220</v>
      </c>
      <c r="BS832">
        <v>333</v>
      </c>
      <c r="BT832" t="s">
        <v>745</v>
      </c>
      <c r="BU832" t="s">
        <v>709</v>
      </c>
      <c r="BV832" t="s">
        <v>745</v>
      </c>
      <c r="BW832" t="s">
        <v>709</v>
      </c>
      <c r="BX832" t="s">
        <v>745</v>
      </c>
      <c r="BY832" t="s">
        <v>745</v>
      </c>
      <c r="BZ832" t="s">
        <v>709</v>
      </c>
      <c r="CB832">
        <v>835</v>
      </c>
      <c r="CC832" t="b">
        <v>1</v>
      </c>
      <c r="CD832" t="s">
        <v>5236</v>
      </c>
      <c r="CE832" s="1482">
        <v>45880.737025462964</v>
      </c>
    </row>
    <row r="833" spans="1:83" x14ac:dyDescent="0.25">
      <c r="A833">
        <v>2022</v>
      </c>
      <c r="B833" t="s">
        <v>2</v>
      </c>
      <c r="C833" t="s">
        <v>326</v>
      </c>
      <c r="D833" t="s">
        <v>1368</v>
      </c>
      <c r="E833" t="s">
        <v>327</v>
      </c>
      <c r="F833" t="s">
        <v>752</v>
      </c>
      <c r="G833" t="s">
        <v>32</v>
      </c>
      <c r="H833" t="s">
        <v>4189</v>
      </c>
      <c r="I833">
        <v>44957</v>
      </c>
      <c r="J833" t="s">
        <v>2052</v>
      </c>
      <c r="K833">
        <v>44964</v>
      </c>
      <c r="L833">
        <v>7</v>
      </c>
      <c r="M833" t="s">
        <v>5237</v>
      </c>
      <c r="N833" t="s">
        <v>120</v>
      </c>
      <c r="O833">
        <v>44964</v>
      </c>
      <c r="P833" t="s">
        <v>739</v>
      </c>
      <c r="Q833">
        <v>3035</v>
      </c>
      <c r="R833" t="s">
        <v>1922</v>
      </c>
      <c r="T833">
        <v>0</v>
      </c>
      <c r="U833">
        <v>3035</v>
      </c>
      <c r="AA833">
        <v>0</v>
      </c>
      <c r="AC833" t="s">
        <v>116</v>
      </c>
      <c r="AD833" t="s">
        <v>116</v>
      </c>
      <c r="AE833" t="s">
        <v>29</v>
      </c>
      <c r="AF833" t="s">
        <v>29</v>
      </c>
      <c r="AG833" t="s">
        <v>29</v>
      </c>
      <c r="AH833" t="s">
        <v>29</v>
      </c>
      <c r="AM833" t="s">
        <v>709</v>
      </c>
      <c r="AY833" t="s">
        <v>29</v>
      </c>
      <c r="BA833">
        <v>3</v>
      </c>
      <c r="BB833" t="s">
        <v>116</v>
      </c>
      <c r="BD833" t="s">
        <v>882</v>
      </c>
      <c r="BI833" t="s">
        <v>709</v>
      </c>
      <c r="BJ833" t="s">
        <v>709</v>
      </c>
      <c r="BK833" t="s">
        <v>116</v>
      </c>
      <c r="BL833" t="s">
        <v>709</v>
      </c>
      <c r="BM833">
        <v>0</v>
      </c>
      <c r="BN833">
        <v>0</v>
      </c>
      <c r="BO833">
        <v>0</v>
      </c>
      <c r="BP833">
        <v>0</v>
      </c>
      <c r="BQ833">
        <v>0</v>
      </c>
      <c r="BR833">
        <v>6</v>
      </c>
      <c r="BS833">
        <v>0</v>
      </c>
      <c r="BT833">
        <v>0</v>
      </c>
      <c r="BU833">
        <v>0</v>
      </c>
      <c r="BV833">
        <v>0</v>
      </c>
      <c r="BW833">
        <v>1</v>
      </c>
      <c r="BX833">
        <v>1</v>
      </c>
      <c r="BY833">
        <v>0</v>
      </c>
      <c r="BZ833" t="s">
        <v>709</v>
      </c>
      <c r="CA833" t="s">
        <v>2</v>
      </c>
      <c r="CB833">
        <v>833</v>
      </c>
      <c r="CC833" t="b">
        <v>1</v>
      </c>
      <c r="CD833" t="s">
        <v>5238</v>
      </c>
      <c r="CE833" s="1482">
        <v>45880.737037037034</v>
      </c>
    </row>
    <row r="834" spans="1:83" ht="90" x14ac:dyDescent="0.25">
      <c r="A834">
        <v>2023</v>
      </c>
      <c r="B834" t="s">
        <v>1073</v>
      </c>
      <c r="C834" t="s">
        <v>5239</v>
      </c>
      <c r="D834" t="s">
        <v>5240</v>
      </c>
      <c r="E834" t="s">
        <v>3673</v>
      </c>
      <c r="F834" t="s">
        <v>747</v>
      </c>
      <c r="G834" t="s">
        <v>22</v>
      </c>
      <c r="H834" t="s">
        <v>59</v>
      </c>
      <c r="I834">
        <v>44908</v>
      </c>
      <c r="J834">
        <v>44967</v>
      </c>
      <c r="K834">
        <v>44964</v>
      </c>
      <c r="L834">
        <v>3</v>
      </c>
      <c r="N834" t="s">
        <v>120</v>
      </c>
      <c r="O834">
        <v>44964</v>
      </c>
      <c r="P834" t="s">
        <v>739</v>
      </c>
      <c r="Q834">
        <v>31111.163199999999</v>
      </c>
      <c r="R834">
        <v>0.08</v>
      </c>
      <c r="V834">
        <v>1619</v>
      </c>
      <c r="X834">
        <v>359313.9</v>
      </c>
      <c r="Z834">
        <v>29575.64</v>
      </c>
      <c r="AA834">
        <v>388889.54</v>
      </c>
      <c r="AB834">
        <v>44965</v>
      </c>
      <c r="AC834" t="s">
        <v>709</v>
      </c>
      <c r="AD834" t="s">
        <v>29</v>
      </c>
      <c r="AM834" t="s">
        <v>116</v>
      </c>
      <c r="AN834">
        <v>45036</v>
      </c>
      <c r="AO834">
        <v>11057577</v>
      </c>
      <c r="AP834">
        <v>359816.85</v>
      </c>
      <c r="AR834">
        <v>29789.78</v>
      </c>
      <c r="AS834">
        <v>389606.63</v>
      </c>
      <c r="AT834">
        <v>717.09</v>
      </c>
      <c r="AU834">
        <v>57.367199999999997</v>
      </c>
      <c r="AV834" t="s">
        <v>709</v>
      </c>
      <c r="AX834">
        <v>57.367199999999997</v>
      </c>
      <c r="AY834">
        <v>45200</v>
      </c>
      <c r="BA834" t="s">
        <v>5241</v>
      </c>
      <c r="BB834" s="4" t="s">
        <v>5242</v>
      </c>
      <c r="BC834" t="s">
        <v>116</v>
      </c>
      <c r="BD834" t="s">
        <v>2820</v>
      </c>
      <c r="BE834" t="s">
        <v>709</v>
      </c>
      <c r="BF834" t="s">
        <v>709</v>
      </c>
      <c r="BG834" t="s">
        <v>709</v>
      </c>
      <c r="BI834" t="s">
        <v>709</v>
      </c>
      <c r="BJ834" t="s">
        <v>709</v>
      </c>
      <c r="BK834" t="s">
        <v>116</v>
      </c>
      <c r="BL834" t="s">
        <v>116</v>
      </c>
      <c r="BM834" t="s">
        <v>709</v>
      </c>
      <c r="BN834" t="s">
        <v>709</v>
      </c>
      <c r="BO834" t="s">
        <v>709</v>
      </c>
      <c r="BP834" t="s">
        <v>709</v>
      </c>
      <c r="BQ834" t="s">
        <v>709</v>
      </c>
      <c r="BR834">
        <v>1599</v>
      </c>
      <c r="BS834">
        <v>20</v>
      </c>
      <c r="BT834" t="s">
        <v>745</v>
      </c>
      <c r="BU834" t="s">
        <v>709</v>
      </c>
      <c r="BV834" t="s">
        <v>745</v>
      </c>
      <c r="BW834" t="s">
        <v>709</v>
      </c>
      <c r="BX834" t="s">
        <v>745</v>
      </c>
      <c r="BY834">
        <v>1</v>
      </c>
      <c r="BZ834" t="s">
        <v>709</v>
      </c>
      <c r="CB834">
        <v>830</v>
      </c>
      <c r="CC834" t="b">
        <v>1</v>
      </c>
      <c r="CD834" t="s">
        <v>5243</v>
      </c>
      <c r="CE834" s="1482">
        <v>45880.737037037034</v>
      </c>
    </row>
    <row r="835" spans="1:83" x14ac:dyDescent="0.25">
      <c r="A835">
        <v>2023</v>
      </c>
      <c r="B835" t="s">
        <v>1073</v>
      </c>
      <c r="C835" t="s">
        <v>5239</v>
      </c>
      <c r="D835" t="s">
        <v>5244</v>
      </c>
      <c r="E835" t="s">
        <v>3673</v>
      </c>
      <c r="F835" t="s">
        <v>747</v>
      </c>
      <c r="G835" t="s">
        <v>22</v>
      </c>
      <c r="H835" t="s">
        <v>59</v>
      </c>
      <c r="I835">
        <v>44908</v>
      </c>
      <c r="J835">
        <v>44967</v>
      </c>
      <c r="K835">
        <v>44964</v>
      </c>
      <c r="L835">
        <v>3</v>
      </c>
      <c r="N835" t="s">
        <v>120</v>
      </c>
      <c r="O835">
        <v>44964</v>
      </c>
      <c r="P835" t="s">
        <v>739</v>
      </c>
      <c r="Q835">
        <v>5995.1671999999999</v>
      </c>
      <c r="R835">
        <v>0.08</v>
      </c>
      <c r="V835">
        <v>120</v>
      </c>
      <c r="X835">
        <v>66429.78</v>
      </c>
      <c r="Z835">
        <v>8509.81</v>
      </c>
      <c r="AA835">
        <v>74939.59</v>
      </c>
      <c r="AB835">
        <v>44965</v>
      </c>
      <c r="AC835" t="s">
        <v>709</v>
      </c>
      <c r="AD835" t="s">
        <v>29</v>
      </c>
      <c r="AM835" t="s">
        <v>116</v>
      </c>
      <c r="AN835">
        <v>45036</v>
      </c>
      <c r="AO835">
        <v>11057578</v>
      </c>
      <c r="AP835">
        <v>66537.350000000006</v>
      </c>
      <c r="AR835">
        <v>0</v>
      </c>
      <c r="AS835">
        <v>66537.350000000006</v>
      </c>
      <c r="AT835">
        <v>-8402.24</v>
      </c>
      <c r="AU835">
        <v>-672.17920000000004</v>
      </c>
      <c r="AV835" t="s">
        <v>709</v>
      </c>
      <c r="AW835" t="s">
        <v>5245</v>
      </c>
      <c r="AX835">
        <v>-672.17920000000004</v>
      </c>
      <c r="AY835">
        <v>45200</v>
      </c>
      <c r="BA835" t="s">
        <v>5246</v>
      </c>
      <c r="BB835" t="s">
        <v>5247</v>
      </c>
      <c r="BC835" t="s">
        <v>709</v>
      </c>
      <c r="BD835" t="s">
        <v>709</v>
      </c>
      <c r="BE835" t="s">
        <v>5248</v>
      </c>
      <c r="BF835" t="s">
        <v>709</v>
      </c>
      <c r="BG835" t="s">
        <v>1078</v>
      </c>
      <c r="BI835" t="s">
        <v>709</v>
      </c>
      <c r="BJ835" t="s">
        <v>709</v>
      </c>
      <c r="BK835" t="s">
        <v>116</v>
      </c>
      <c r="BL835" t="s">
        <v>116</v>
      </c>
      <c r="BM835" t="s">
        <v>709</v>
      </c>
      <c r="BN835" t="s">
        <v>709</v>
      </c>
      <c r="BO835" t="s">
        <v>709</v>
      </c>
      <c r="BP835" t="s">
        <v>709</v>
      </c>
      <c r="BQ835" t="s">
        <v>709</v>
      </c>
      <c r="BR835">
        <v>1599</v>
      </c>
      <c r="BS835">
        <v>20</v>
      </c>
      <c r="BT835" t="s">
        <v>745</v>
      </c>
      <c r="BU835" t="s">
        <v>709</v>
      </c>
      <c r="BV835" t="s">
        <v>745</v>
      </c>
      <c r="BW835" t="s">
        <v>709</v>
      </c>
      <c r="BX835" t="s">
        <v>745</v>
      </c>
      <c r="BY835">
        <v>1</v>
      </c>
      <c r="BZ835" t="s">
        <v>709</v>
      </c>
      <c r="CB835">
        <v>831</v>
      </c>
      <c r="CC835" t="b">
        <v>1</v>
      </c>
      <c r="CD835" t="s">
        <v>5249</v>
      </c>
      <c r="CE835" s="1482">
        <v>45880.73704861111</v>
      </c>
    </row>
    <row r="836" spans="1:83" x14ac:dyDescent="0.25">
      <c r="A836">
        <v>2023</v>
      </c>
      <c r="B836" t="s">
        <v>1073</v>
      </c>
      <c r="C836" t="s">
        <v>5239</v>
      </c>
      <c r="D836" t="s">
        <v>5250</v>
      </c>
      <c r="E836" t="s">
        <v>3673</v>
      </c>
      <c r="F836" t="s">
        <v>747</v>
      </c>
      <c r="G836" t="s">
        <v>22</v>
      </c>
      <c r="H836" t="s">
        <v>59</v>
      </c>
      <c r="I836">
        <v>44908</v>
      </c>
      <c r="J836">
        <v>44967</v>
      </c>
      <c r="K836">
        <v>44964</v>
      </c>
      <c r="L836">
        <v>3</v>
      </c>
      <c r="N836" t="s">
        <v>120</v>
      </c>
      <c r="O836">
        <v>44964</v>
      </c>
      <c r="P836" t="s">
        <v>739</v>
      </c>
      <c r="Q836">
        <v>3947.788</v>
      </c>
      <c r="R836">
        <v>0.08</v>
      </c>
      <c r="V836">
        <v>0</v>
      </c>
      <c r="X836">
        <v>49347.35</v>
      </c>
      <c r="Z836">
        <v>0</v>
      </c>
      <c r="AA836">
        <v>49347.35</v>
      </c>
      <c r="AB836">
        <v>44965</v>
      </c>
      <c r="AC836" t="s">
        <v>709</v>
      </c>
      <c r="AD836" t="s">
        <v>29</v>
      </c>
      <c r="AM836" t="s">
        <v>116</v>
      </c>
      <c r="AN836">
        <v>45036</v>
      </c>
      <c r="AO836">
        <v>11057579</v>
      </c>
      <c r="AP836">
        <v>49528.88</v>
      </c>
      <c r="AR836">
        <v>0</v>
      </c>
      <c r="AS836">
        <v>49528.88</v>
      </c>
      <c r="AT836">
        <v>181.53</v>
      </c>
      <c r="AU836">
        <v>14.522399999999999</v>
      </c>
      <c r="AV836" t="s">
        <v>709</v>
      </c>
      <c r="AX836">
        <v>14.522399999999999</v>
      </c>
      <c r="AY836">
        <v>45200</v>
      </c>
      <c r="BA836" t="s">
        <v>5251</v>
      </c>
      <c r="BB836" t="s">
        <v>5247</v>
      </c>
      <c r="BC836" t="s">
        <v>709</v>
      </c>
      <c r="BD836" t="s">
        <v>709</v>
      </c>
      <c r="BE836" t="s">
        <v>5248</v>
      </c>
      <c r="BF836" t="s">
        <v>709</v>
      </c>
      <c r="BG836" t="s">
        <v>1078</v>
      </c>
      <c r="BI836" t="s">
        <v>709</v>
      </c>
      <c r="BJ836" t="s">
        <v>709</v>
      </c>
      <c r="BK836" t="s">
        <v>116</v>
      </c>
      <c r="BL836" t="s">
        <v>116</v>
      </c>
      <c r="BM836" t="s">
        <v>709</v>
      </c>
      <c r="BN836" t="s">
        <v>709</v>
      </c>
      <c r="BO836" t="s">
        <v>709</v>
      </c>
      <c r="BP836" t="s">
        <v>709</v>
      </c>
      <c r="BQ836" t="s">
        <v>709</v>
      </c>
      <c r="BR836">
        <v>1599</v>
      </c>
      <c r="BS836">
        <v>20</v>
      </c>
      <c r="BT836" t="s">
        <v>745</v>
      </c>
      <c r="BU836" t="s">
        <v>709</v>
      </c>
      <c r="BV836" t="s">
        <v>745</v>
      </c>
      <c r="BW836" t="s">
        <v>709</v>
      </c>
      <c r="BX836" t="s">
        <v>745</v>
      </c>
      <c r="BY836">
        <v>1</v>
      </c>
      <c r="BZ836" t="s">
        <v>709</v>
      </c>
      <c r="CB836">
        <v>832</v>
      </c>
      <c r="CC836" t="b">
        <v>1</v>
      </c>
      <c r="CD836" t="s">
        <v>5252</v>
      </c>
      <c r="CE836" s="1482">
        <v>45880.737060185187</v>
      </c>
    </row>
    <row r="837" spans="1:83" ht="165" x14ac:dyDescent="0.25">
      <c r="A837">
        <v>2023</v>
      </c>
      <c r="B837" t="s">
        <v>731</v>
      </c>
      <c r="C837" t="s">
        <v>5253</v>
      </c>
      <c r="D837" t="s">
        <v>5254</v>
      </c>
      <c r="E837" t="s">
        <v>5255</v>
      </c>
      <c r="F837" t="s">
        <v>4899</v>
      </c>
      <c r="G837" t="s">
        <v>31</v>
      </c>
      <c r="H837" t="s">
        <v>59</v>
      </c>
      <c r="I837">
        <v>44893</v>
      </c>
      <c r="J837">
        <v>44974</v>
      </c>
      <c r="K837">
        <v>44964</v>
      </c>
      <c r="L837">
        <v>10</v>
      </c>
      <c r="N837" t="s">
        <v>120</v>
      </c>
      <c r="O837">
        <v>44964</v>
      </c>
      <c r="P837" t="s">
        <v>739</v>
      </c>
      <c r="Q837">
        <v>17250</v>
      </c>
      <c r="R837" t="s">
        <v>5256</v>
      </c>
      <c r="T837">
        <v>0</v>
      </c>
      <c r="U837">
        <v>0</v>
      </c>
      <c r="W837">
        <v>3</v>
      </c>
      <c r="X837">
        <v>0</v>
      </c>
      <c r="Z837">
        <v>87372.32</v>
      </c>
      <c r="AA837">
        <v>87372.32</v>
      </c>
      <c r="AB837" t="s">
        <v>29</v>
      </c>
      <c r="AC837" t="s">
        <v>709</v>
      </c>
      <c r="AD837" t="s">
        <v>29</v>
      </c>
      <c r="AM837" t="s">
        <v>709</v>
      </c>
      <c r="AY837" t="s">
        <v>29</v>
      </c>
      <c r="BA837" t="s">
        <v>5257</v>
      </c>
      <c r="BB837" s="4" t="s">
        <v>5258</v>
      </c>
      <c r="BC837" t="s">
        <v>709</v>
      </c>
      <c r="BD837" t="s">
        <v>115</v>
      </c>
      <c r="BE837" t="s">
        <v>5259</v>
      </c>
      <c r="BF837" t="s">
        <v>115</v>
      </c>
      <c r="BG837" t="s">
        <v>115</v>
      </c>
      <c r="BI837" t="s">
        <v>709</v>
      </c>
      <c r="BJ837" t="s">
        <v>709</v>
      </c>
      <c r="BK837" t="s">
        <v>709</v>
      </c>
      <c r="BL837" t="s">
        <v>709</v>
      </c>
      <c r="BM837" t="s">
        <v>709</v>
      </c>
      <c r="BN837" t="s">
        <v>709</v>
      </c>
      <c r="BO837" t="s">
        <v>709</v>
      </c>
      <c r="BP837" t="s">
        <v>709</v>
      </c>
      <c r="BQ837" t="s">
        <v>709</v>
      </c>
      <c r="BR837" t="s">
        <v>709</v>
      </c>
      <c r="BS837" t="s">
        <v>709</v>
      </c>
      <c r="BT837" t="s">
        <v>745</v>
      </c>
      <c r="BU837" t="s">
        <v>709</v>
      </c>
      <c r="BV837">
        <v>3</v>
      </c>
      <c r="BW837" t="s">
        <v>709</v>
      </c>
      <c r="BX837" t="s">
        <v>745</v>
      </c>
      <c r="BY837" t="s">
        <v>745</v>
      </c>
      <c r="BZ837" t="s">
        <v>709</v>
      </c>
      <c r="CA837" t="s">
        <v>1146</v>
      </c>
      <c r="CB837">
        <v>834</v>
      </c>
      <c r="CC837" t="b">
        <v>1</v>
      </c>
      <c r="CD837" t="s">
        <v>5260</v>
      </c>
      <c r="CE837" s="1482">
        <v>45880.737060185187</v>
      </c>
    </row>
    <row r="838" spans="1:83" x14ac:dyDescent="0.25">
      <c r="A838">
        <v>2022</v>
      </c>
      <c r="B838" t="s">
        <v>2</v>
      </c>
      <c r="C838" t="s">
        <v>4820</v>
      </c>
      <c r="D838" t="s">
        <v>4821</v>
      </c>
      <c r="E838" t="s">
        <v>1352</v>
      </c>
      <c r="F838" t="s">
        <v>752</v>
      </c>
      <c r="G838" t="s">
        <v>32</v>
      </c>
      <c r="H838" t="s">
        <v>4001</v>
      </c>
      <c r="I838">
        <v>44935</v>
      </c>
      <c r="J838" t="s">
        <v>2052</v>
      </c>
      <c r="K838">
        <v>44965</v>
      </c>
      <c r="L838">
        <v>30</v>
      </c>
      <c r="M838" t="s">
        <v>5261</v>
      </c>
      <c r="N838" t="s">
        <v>120</v>
      </c>
      <c r="O838">
        <v>44965</v>
      </c>
      <c r="P838" t="s">
        <v>120</v>
      </c>
      <c r="Q838">
        <v>9175</v>
      </c>
      <c r="R838" t="s">
        <v>1922</v>
      </c>
      <c r="T838">
        <v>0</v>
      </c>
      <c r="U838">
        <v>9175</v>
      </c>
      <c r="AA838">
        <v>0</v>
      </c>
      <c r="AC838" t="s">
        <v>709</v>
      </c>
      <c r="AD838" t="s">
        <v>116</v>
      </c>
      <c r="AE838" t="s">
        <v>29</v>
      </c>
      <c r="AF838" t="s">
        <v>29</v>
      </c>
      <c r="AG838" t="s">
        <v>29</v>
      </c>
      <c r="AH838" t="s">
        <v>29</v>
      </c>
      <c r="AM838" t="s">
        <v>709</v>
      </c>
      <c r="AY838" t="s">
        <v>29</v>
      </c>
      <c r="BA838">
        <v>2</v>
      </c>
      <c r="BB838" t="s">
        <v>5262</v>
      </c>
      <c r="BI838" t="s">
        <v>709</v>
      </c>
      <c r="BJ838" t="s">
        <v>709</v>
      </c>
      <c r="BK838" t="s">
        <v>709</v>
      </c>
      <c r="BL838" t="s">
        <v>116</v>
      </c>
      <c r="BM838">
        <v>0</v>
      </c>
      <c r="BN838">
        <v>0</v>
      </c>
      <c r="BO838">
        <v>0</v>
      </c>
      <c r="BP838">
        <v>0</v>
      </c>
      <c r="BQ838">
        <v>0</v>
      </c>
      <c r="BR838">
        <v>0</v>
      </c>
      <c r="BS838">
        <v>434</v>
      </c>
      <c r="BT838">
        <v>0</v>
      </c>
      <c r="BU838">
        <v>0</v>
      </c>
      <c r="BV838">
        <v>0</v>
      </c>
      <c r="BW838">
        <v>0</v>
      </c>
      <c r="BX838">
        <v>1</v>
      </c>
      <c r="BY838">
        <v>0</v>
      </c>
      <c r="BZ838" t="s">
        <v>709</v>
      </c>
      <c r="CA838" t="s">
        <v>2</v>
      </c>
      <c r="CB838">
        <v>837</v>
      </c>
      <c r="CC838" t="b">
        <v>1</v>
      </c>
      <c r="CD838" t="s">
        <v>5263</v>
      </c>
      <c r="CE838" s="1482">
        <v>45880.737083333333</v>
      </c>
    </row>
    <row r="839" spans="1:83" x14ac:dyDescent="0.25">
      <c r="A839">
        <v>2023</v>
      </c>
      <c r="B839" t="s">
        <v>730</v>
      </c>
      <c r="C839" t="s">
        <v>5005</v>
      </c>
      <c r="D839" t="s">
        <v>5006</v>
      </c>
      <c r="E839" t="s">
        <v>1159</v>
      </c>
      <c r="F839" t="s">
        <v>752</v>
      </c>
      <c r="G839" t="s">
        <v>24</v>
      </c>
      <c r="H839" t="s">
        <v>59</v>
      </c>
      <c r="I839">
        <v>44865</v>
      </c>
      <c r="J839">
        <v>44967</v>
      </c>
      <c r="K839">
        <v>44965</v>
      </c>
      <c r="L839">
        <v>2</v>
      </c>
      <c r="N839" t="s">
        <v>120</v>
      </c>
      <c r="O839">
        <v>44965</v>
      </c>
      <c r="P839" t="s">
        <v>120</v>
      </c>
      <c r="Q839">
        <v>19533.4074</v>
      </c>
      <c r="R839">
        <v>0.09</v>
      </c>
      <c r="T839">
        <v>17200</v>
      </c>
      <c r="V839">
        <v>717</v>
      </c>
      <c r="X839">
        <v>193293.36</v>
      </c>
      <c r="Z839">
        <v>23744.5</v>
      </c>
      <c r="AA839">
        <v>217037.86</v>
      </c>
      <c r="AB839">
        <v>44967</v>
      </c>
      <c r="AC839" t="s">
        <v>709</v>
      </c>
      <c r="AD839" t="s">
        <v>116</v>
      </c>
      <c r="AM839" t="s">
        <v>116</v>
      </c>
      <c r="AN839">
        <v>45215</v>
      </c>
      <c r="AO839">
        <v>11060566</v>
      </c>
      <c r="AP839">
        <v>193298.29</v>
      </c>
      <c r="AR839">
        <v>23744.5</v>
      </c>
      <c r="AS839">
        <v>217042.79</v>
      </c>
      <c r="AT839">
        <v>4.93</v>
      </c>
      <c r="AU839">
        <v>0.44369999999999998</v>
      </c>
      <c r="AV839" t="s">
        <v>709</v>
      </c>
      <c r="AX839">
        <v>0.44</v>
      </c>
      <c r="AY839">
        <v>45375</v>
      </c>
      <c r="BA839" t="s">
        <v>5264</v>
      </c>
      <c r="BB839" t="s">
        <v>5265</v>
      </c>
      <c r="BC839" t="s">
        <v>756</v>
      </c>
      <c r="BD839" t="s">
        <v>115</v>
      </c>
      <c r="BE839" t="s">
        <v>1210</v>
      </c>
      <c r="BF839" t="s">
        <v>115</v>
      </c>
      <c r="BG839" t="s">
        <v>115</v>
      </c>
      <c r="BI839" t="s">
        <v>709</v>
      </c>
      <c r="BJ839" t="s">
        <v>709</v>
      </c>
      <c r="BK839" t="s">
        <v>709</v>
      </c>
      <c r="BL839" t="s">
        <v>116</v>
      </c>
      <c r="BM839" t="s">
        <v>709</v>
      </c>
      <c r="BN839" t="s">
        <v>709</v>
      </c>
      <c r="BO839" t="s">
        <v>709</v>
      </c>
      <c r="BP839" t="s">
        <v>709</v>
      </c>
      <c r="BQ839" t="s">
        <v>709</v>
      </c>
      <c r="BR839">
        <v>717</v>
      </c>
      <c r="BS839" t="s">
        <v>709</v>
      </c>
      <c r="BT839" t="s">
        <v>745</v>
      </c>
      <c r="BU839" t="s">
        <v>709</v>
      </c>
      <c r="BV839" t="s">
        <v>745</v>
      </c>
      <c r="BW839" t="s">
        <v>709</v>
      </c>
      <c r="BX839" t="s">
        <v>709</v>
      </c>
      <c r="BY839" t="s">
        <v>745</v>
      </c>
      <c r="BZ839" t="s">
        <v>709</v>
      </c>
      <c r="CB839">
        <v>836</v>
      </c>
      <c r="CC839" t="b">
        <v>1</v>
      </c>
      <c r="CD839" t="s">
        <v>5266</v>
      </c>
      <c r="CE839" s="1482">
        <v>45880.737083333333</v>
      </c>
    </row>
    <row r="840" spans="1:83" ht="75" x14ac:dyDescent="0.25">
      <c r="A840">
        <v>2023</v>
      </c>
      <c r="B840" t="s">
        <v>731</v>
      </c>
      <c r="C840" t="s">
        <v>5267</v>
      </c>
      <c r="D840" t="s">
        <v>5268</v>
      </c>
      <c r="E840" t="s">
        <v>1117</v>
      </c>
      <c r="F840" t="s">
        <v>4899</v>
      </c>
      <c r="G840" t="s">
        <v>37</v>
      </c>
      <c r="H840" t="s">
        <v>59</v>
      </c>
      <c r="I840">
        <v>44888</v>
      </c>
      <c r="J840">
        <v>44967</v>
      </c>
      <c r="K840">
        <v>44965</v>
      </c>
      <c r="L840">
        <v>2</v>
      </c>
      <c r="N840" t="s">
        <v>120</v>
      </c>
      <c r="O840">
        <v>44965</v>
      </c>
      <c r="P840" t="s">
        <v>739</v>
      </c>
      <c r="Q840">
        <v>5750</v>
      </c>
      <c r="R840" t="s">
        <v>5256</v>
      </c>
      <c r="T840">
        <v>0</v>
      </c>
      <c r="W840">
        <v>1</v>
      </c>
      <c r="X840">
        <v>0</v>
      </c>
      <c r="Z840">
        <v>52041.48</v>
      </c>
      <c r="AA840">
        <v>52041.48</v>
      </c>
      <c r="AB840" t="s">
        <v>29</v>
      </c>
      <c r="AC840" t="s">
        <v>709</v>
      </c>
      <c r="AD840" t="s">
        <v>116</v>
      </c>
      <c r="AM840" t="s">
        <v>709</v>
      </c>
      <c r="AY840" t="s">
        <v>29</v>
      </c>
      <c r="BA840" s="4" t="s">
        <v>5269</v>
      </c>
      <c r="BB840" t="s">
        <v>5270</v>
      </c>
      <c r="BC840" t="s">
        <v>116</v>
      </c>
      <c r="BD840" t="s">
        <v>1790</v>
      </c>
      <c r="BE840" t="s">
        <v>5271</v>
      </c>
      <c r="BF840" t="s">
        <v>115</v>
      </c>
      <c r="BG840" t="s">
        <v>5272</v>
      </c>
      <c r="BI840" t="s">
        <v>709</v>
      </c>
      <c r="BJ840" t="s">
        <v>709</v>
      </c>
      <c r="BK840" t="s">
        <v>709</v>
      </c>
      <c r="BL840" t="s">
        <v>709</v>
      </c>
      <c r="BM840" t="s">
        <v>709</v>
      </c>
      <c r="BN840" t="s">
        <v>709</v>
      </c>
      <c r="BO840" t="s">
        <v>709</v>
      </c>
      <c r="BP840" t="s">
        <v>709</v>
      </c>
      <c r="BQ840" t="s">
        <v>709</v>
      </c>
      <c r="BR840" t="s">
        <v>709</v>
      </c>
      <c r="BS840" t="s">
        <v>709</v>
      </c>
      <c r="BT840" t="s">
        <v>745</v>
      </c>
      <c r="BU840" t="s">
        <v>709</v>
      </c>
      <c r="BV840">
        <v>1</v>
      </c>
      <c r="BW840" t="s">
        <v>709</v>
      </c>
      <c r="BX840" t="s">
        <v>745</v>
      </c>
      <c r="BY840" t="s">
        <v>745</v>
      </c>
      <c r="BZ840" t="s">
        <v>709</v>
      </c>
      <c r="CA840" t="s">
        <v>1146</v>
      </c>
      <c r="CB840">
        <v>838</v>
      </c>
      <c r="CC840" t="b">
        <v>1</v>
      </c>
      <c r="CD840" t="s">
        <v>5273</v>
      </c>
      <c r="CE840" s="1482">
        <v>45880.73709490741</v>
      </c>
    </row>
    <row r="841" spans="1:83" ht="150" x14ac:dyDescent="0.25">
      <c r="A841">
        <v>2023</v>
      </c>
      <c r="B841" t="s">
        <v>731</v>
      </c>
      <c r="C841" t="s">
        <v>5274</v>
      </c>
      <c r="D841" t="s">
        <v>5275</v>
      </c>
      <c r="E841" t="s">
        <v>155</v>
      </c>
      <c r="F841" t="s">
        <v>4899</v>
      </c>
      <c r="G841" t="s">
        <v>26</v>
      </c>
      <c r="H841" t="s">
        <v>59</v>
      </c>
      <c r="I841">
        <v>44888</v>
      </c>
      <c r="J841">
        <v>44967</v>
      </c>
      <c r="K841">
        <v>44966</v>
      </c>
      <c r="L841">
        <v>1</v>
      </c>
      <c r="N841" t="s">
        <v>120</v>
      </c>
      <c r="O841">
        <v>44966</v>
      </c>
      <c r="P841" t="s">
        <v>739</v>
      </c>
      <c r="Q841">
        <v>5750</v>
      </c>
      <c r="R841" t="s">
        <v>5256</v>
      </c>
      <c r="T841">
        <v>6900</v>
      </c>
      <c r="W841">
        <v>1</v>
      </c>
      <c r="X841">
        <v>0</v>
      </c>
      <c r="Z841">
        <v>142045.82</v>
      </c>
      <c r="AA841">
        <v>142045.82</v>
      </c>
      <c r="AC841" t="s">
        <v>709</v>
      </c>
      <c r="AM841" t="s">
        <v>709</v>
      </c>
      <c r="AY841" t="s">
        <v>29</v>
      </c>
      <c r="BA841" s="4" t="s">
        <v>5276</v>
      </c>
      <c r="BB841" s="4" t="s">
        <v>5277</v>
      </c>
      <c r="BC841" t="s">
        <v>709</v>
      </c>
      <c r="BD841" t="s">
        <v>882</v>
      </c>
      <c r="BE841" t="s">
        <v>1085</v>
      </c>
      <c r="BF841" t="s">
        <v>115</v>
      </c>
      <c r="BG841" t="s">
        <v>115</v>
      </c>
      <c r="BI841" t="s">
        <v>709</v>
      </c>
      <c r="BJ841" t="s">
        <v>709</v>
      </c>
      <c r="BK841" t="s">
        <v>709</v>
      </c>
      <c r="BL841" t="s">
        <v>709</v>
      </c>
      <c r="BM841" t="s">
        <v>709</v>
      </c>
      <c r="BN841" t="s">
        <v>709</v>
      </c>
      <c r="BO841" t="s">
        <v>709</v>
      </c>
      <c r="BP841" t="s">
        <v>709</v>
      </c>
      <c r="BQ841" t="s">
        <v>709</v>
      </c>
      <c r="BR841" t="s">
        <v>709</v>
      </c>
      <c r="BS841" t="s">
        <v>709</v>
      </c>
      <c r="BT841" t="s">
        <v>745</v>
      </c>
      <c r="BU841" t="s">
        <v>709</v>
      </c>
      <c r="BV841">
        <v>1</v>
      </c>
      <c r="BW841" t="s">
        <v>709</v>
      </c>
      <c r="BX841" t="s">
        <v>745</v>
      </c>
      <c r="BY841" t="s">
        <v>745</v>
      </c>
      <c r="BZ841" t="s">
        <v>709</v>
      </c>
      <c r="CA841" t="s">
        <v>1146</v>
      </c>
      <c r="CB841">
        <v>839</v>
      </c>
      <c r="CC841" t="b">
        <v>1</v>
      </c>
      <c r="CD841" t="s">
        <v>5278</v>
      </c>
      <c r="CE841" s="1482">
        <v>45880.73710648148</v>
      </c>
    </row>
    <row r="842" spans="1:83" x14ac:dyDescent="0.25">
      <c r="A842">
        <v>2023</v>
      </c>
      <c r="B842" t="s">
        <v>731</v>
      </c>
      <c r="C842" t="s">
        <v>5274</v>
      </c>
      <c r="D842" t="s">
        <v>5275</v>
      </c>
      <c r="E842" t="s">
        <v>155</v>
      </c>
      <c r="F842" t="s">
        <v>4899</v>
      </c>
      <c r="G842" t="s">
        <v>26</v>
      </c>
      <c r="H842" t="s">
        <v>3661</v>
      </c>
      <c r="I842">
        <v>44888</v>
      </c>
      <c r="J842" t="s">
        <v>3662</v>
      </c>
      <c r="K842">
        <v>44966</v>
      </c>
      <c r="L842">
        <v>78</v>
      </c>
      <c r="M842" t="s">
        <v>5279</v>
      </c>
      <c r="N842" t="s">
        <v>120</v>
      </c>
      <c r="O842">
        <v>44986</v>
      </c>
      <c r="P842" t="s">
        <v>739</v>
      </c>
      <c r="Q842">
        <v>4250</v>
      </c>
      <c r="R842" t="s">
        <v>1922</v>
      </c>
      <c r="S842" t="s">
        <v>709</v>
      </c>
      <c r="T842" t="s">
        <v>709</v>
      </c>
      <c r="U842">
        <v>4250</v>
      </c>
      <c r="AB842" t="s">
        <v>29</v>
      </c>
      <c r="AC842" t="s">
        <v>29</v>
      </c>
      <c r="AD842" t="s">
        <v>29</v>
      </c>
      <c r="AM842" t="s">
        <v>709</v>
      </c>
      <c r="AY842" t="s">
        <v>29</v>
      </c>
      <c r="BI842" t="s">
        <v>709</v>
      </c>
      <c r="BJ842" t="s">
        <v>709</v>
      </c>
      <c r="BK842" t="s">
        <v>709</v>
      </c>
      <c r="BL842" t="s">
        <v>709</v>
      </c>
      <c r="BM842" t="s">
        <v>709</v>
      </c>
      <c r="BN842" t="s">
        <v>709</v>
      </c>
      <c r="BO842" t="s">
        <v>709</v>
      </c>
      <c r="BP842" t="s">
        <v>709</v>
      </c>
      <c r="BQ842" t="s">
        <v>709</v>
      </c>
      <c r="BR842" t="s">
        <v>709</v>
      </c>
      <c r="BS842" t="s">
        <v>709</v>
      </c>
      <c r="BT842" t="s">
        <v>745</v>
      </c>
      <c r="BU842" t="s">
        <v>709</v>
      </c>
      <c r="BV842">
        <v>1</v>
      </c>
      <c r="BW842" t="s">
        <v>709</v>
      </c>
      <c r="BX842" t="s">
        <v>745</v>
      </c>
      <c r="BY842" t="s">
        <v>745</v>
      </c>
      <c r="BZ842" t="s">
        <v>709</v>
      </c>
      <c r="CA842" t="s">
        <v>1146</v>
      </c>
      <c r="CB842">
        <v>840</v>
      </c>
      <c r="CC842" t="b">
        <v>1</v>
      </c>
      <c r="CD842" t="s">
        <v>5278</v>
      </c>
      <c r="CE842" s="1482">
        <v>45880.737118055556</v>
      </c>
    </row>
    <row r="843" spans="1:83" x14ac:dyDescent="0.25">
      <c r="A843">
        <v>2022</v>
      </c>
      <c r="B843" t="s">
        <v>4</v>
      </c>
      <c r="C843" t="s">
        <v>5019</v>
      </c>
      <c r="D843">
        <v>1311480</v>
      </c>
      <c r="E843" t="s">
        <v>783</v>
      </c>
      <c r="F843" t="s">
        <v>784</v>
      </c>
      <c r="G843" t="s">
        <v>25</v>
      </c>
      <c r="H843" t="s">
        <v>4189</v>
      </c>
      <c r="I843">
        <v>44949</v>
      </c>
      <c r="J843" t="s">
        <v>2052</v>
      </c>
      <c r="K843">
        <v>44967</v>
      </c>
      <c r="L843">
        <v>18</v>
      </c>
      <c r="M843" t="s">
        <v>5280</v>
      </c>
      <c r="N843" t="s">
        <v>120</v>
      </c>
      <c r="O843">
        <v>44967</v>
      </c>
      <c r="P843" t="s">
        <v>739</v>
      </c>
      <c r="Q843">
        <v>9197.5</v>
      </c>
      <c r="R843" t="s">
        <v>1922</v>
      </c>
      <c r="S843">
        <v>0</v>
      </c>
      <c r="U843">
        <v>9197.5</v>
      </c>
      <c r="AB843" t="s">
        <v>29</v>
      </c>
      <c r="AC843" t="s">
        <v>709</v>
      </c>
      <c r="AD843" t="s">
        <v>29</v>
      </c>
      <c r="AM843" t="s">
        <v>709</v>
      </c>
      <c r="AY843" t="s">
        <v>29</v>
      </c>
      <c r="BA843" t="s">
        <v>4919</v>
      </c>
      <c r="BB843" t="s">
        <v>5281</v>
      </c>
      <c r="BH843" t="s">
        <v>5282</v>
      </c>
      <c r="BI843" t="s">
        <v>709</v>
      </c>
      <c r="BJ843" t="s">
        <v>709</v>
      </c>
      <c r="BK843" t="s">
        <v>709</v>
      </c>
      <c r="BL843" t="s">
        <v>116</v>
      </c>
      <c r="BM843" t="s">
        <v>709</v>
      </c>
      <c r="BN843" t="s">
        <v>709</v>
      </c>
      <c r="BO843" t="s">
        <v>709</v>
      </c>
      <c r="BP843" t="s">
        <v>709</v>
      </c>
      <c r="BQ843">
        <v>3054</v>
      </c>
      <c r="BR843">
        <v>913</v>
      </c>
      <c r="BS843">
        <v>1917</v>
      </c>
      <c r="BT843" t="s">
        <v>745</v>
      </c>
      <c r="BU843" t="s">
        <v>709</v>
      </c>
      <c r="BV843" t="s">
        <v>745</v>
      </c>
      <c r="BW843" t="s">
        <v>709</v>
      </c>
      <c r="BX843" t="s">
        <v>745</v>
      </c>
      <c r="BY843" t="s">
        <v>745</v>
      </c>
      <c r="BZ843" t="s">
        <v>709</v>
      </c>
      <c r="CB843">
        <v>841</v>
      </c>
      <c r="CC843" t="b">
        <v>1</v>
      </c>
      <c r="CD843" t="s">
        <v>5283</v>
      </c>
      <c r="CE843" s="1482">
        <v>45880.737129629626</v>
      </c>
    </row>
    <row r="844" spans="1:83" ht="75" x14ac:dyDescent="0.25">
      <c r="A844">
        <v>2023</v>
      </c>
      <c r="B844" t="s">
        <v>731</v>
      </c>
      <c r="C844" t="s">
        <v>5284</v>
      </c>
      <c r="D844" t="s">
        <v>5285</v>
      </c>
      <c r="E844" t="s">
        <v>1352</v>
      </c>
      <c r="F844" t="s">
        <v>4899</v>
      </c>
      <c r="G844" t="s">
        <v>33</v>
      </c>
      <c r="H844" t="s">
        <v>59</v>
      </c>
      <c r="I844">
        <v>44888</v>
      </c>
      <c r="J844">
        <v>44967</v>
      </c>
      <c r="K844">
        <v>44967</v>
      </c>
      <c r="L844">
        <v>0</v>
      </c>
      <c r="N844" t="s">
        <v>120</v>
      </c>
      <c r="O844">
        <v>44967</v>
      </c>
      <c r="P844" t="s">
        <v>739</v>
      </c>
      <c r="Q844">
        <v>5750</v>
      </c>
      <c r="R844" t="s">
        <v>5256</v>
      </c>
      <c r="T844">
        <v>10500</v>
      </c>
      <c r="W844">
        <v>1</v>
      </c>
      <c r="X844">
        <v>0</v>
      </c>
      <c r="Z844">
        <v>139465.21</v>
      </c>
      <c r="AA844">
        <v>157683.38</v>
      </c>
      <c r="AB844" t="s">
        <v>709</v>
      </c>
      <c r="AC844" t="s">
        <v>709</v>
      </c>
      <c r="AD844" t="s">
        <v>709</v>
      </c>
      <c r="AM844" t="s">
        <v>709</v>
      </c>
      <c r="AY844" t="s">
        <v>29</v>
      </c>
      <c r="BA844" s="4" t="s">
        <v>5286</v>
      </c>
      <c r="BB844" t="s">
        <v>5287</v>
      </c>
      <c r="BC844" t="s">
        <v>116</v>
      </c>
      <c r="BD844" t="s">
        <v>882</v>
      </c>
      <c r="BE844" t="s">
        <v>115</v>
      </c>
      <c r="BF844" t="s">
        <v>115</v>
      </c>
      <c r="BG844" t="s">
        <v>115</v>
      </c>
      <c r="BI844" t="s">
        <v>709</v>
      </c>
      <c r="BJ844" t="s">
        <v>709</v>
      </c>
      <c r="BK844" t="s">
        <v>709</v>
      </c>
      <c r="BL844" t="s">
        <v>709</v>
      </c>
      <c r="BM844" t="s">
        <v>709</v>
      </c>
      <c r="BN844" t="s">
        <v>709</v>
      </c>
      <c r="BO844" t="s">
        <v>709</v>
      </c>
      <c r="BP844" t="s">
        <v>709</v>
      </c>
      <c r="BQ844" t="s">
        <v>709</v>
      </c>
      <c r="BR844" t="s">
        <v>709</v>
      </c>
      <c r="BS844" t="s">
        <v>709</v>
      </c>
      <c r="BT844" t="s">
        <v>745</v>
      </c>
      <c r="BU844" t="s">
        <v>709</v>
      </c>
      <c r="BV844">
        <v>1</v>
      </c>
      <c r="BW844" t="s">
        <v>709</v>
      </c>
      <c r="BX844" t="s">
        <v>745</v>
      </c>
      <c r="BY844" t="s">
        <v>745</v>
      </c>
      <c r="BZ844" t="s">
        <v>709</v>
      </c>
      <c r="CB844">
        <v>842</v>
      </c>
      <c r="CC844" t="b">
        <v>1</v>
      </c>
      <c r="CD844" t="s">
        <v>5288</v>
      </c>
      <c r="CE844" s="1482">
        <v>45880.737141203703</v>
      </c>
    </row>
    <row r="845" spans="1:83" x14ac:dyDescent="0.25">
      <c r="A845">
        <v>2023</v>
      </c>
      <c r="B845" t="s">
        <v>731</v>
      </c>
      <c r="C845" t="s">
        <v>5284</v>
      </c>
      <c r="D845" t="s">
        <v>5285</v>
      </c>
      <c r="E845" t="s">
        <v>1352</v>
      </c>
      <c r="F845" t="s">
        <v>4899</v>
      </c>
      <c r="G845" t="s">
        <v>33</v>
      </c>
      <c r="H845" t="s">
        <v>3661</v>
      </c>
      <c r="I845">
        <v>44888</v>
      </c>
      <c r="J845" t="s">
        <v>3662</v>
      </c>
      <c r="K845">
        <v>44967</v>
      </c>
      <c r="L845">
        <v>79</v>
      </c>
      <c r="M845" t="s">
        <v>5279</v>
      </c>
      <c r="N845" t="s">
        <v>120</v>
      </c>
      <c r="O845">
        <v>44986</v>
      </c>
      <c r="P845" t="s">
        <v>739</v>
      </c>
      <c r="Q845">
        <v>2560</v>
      </c>
      <c r="R845" t="s">
        <v>1922</v>
      </c>
      <c r="S845" t="s">
        <v>709</v>
      </c>
      <c r="T845" t="s">
        <v>709</v>
      </c>
      <c r="U845">
        <v>2560</v>
      </c>
      <c r="AB845" t="s">
        <v>29</v>
      </c>
      <c r="AC845" t="s">
        <v>29</v>
      </c>
      <c r="AD845" t="s">
        <v>29</v>
      </c>
      <c r="AM845" t="s">
        <v>709</v>
      </c>
      <c r="AY845" t="s">
        <v>29</v>
      </c>
      <c r="BI845" t="s">
        <v>709</v>
      </c>
      <c r="BJ845" t="s">
        <v>709</v>
      </c>
      <c r="BK845" t="s">
        <v>709</v>
      </c>
      <c r="BL845" t="s">
        <v>709</v>
      </c>
      <c r="BM845" t="s">
        <v>709</v>
      </c>
      <c r="BN845" t="s">
        <v>709</v>
      </c>
      <c r="BO845" t="s">
        <v>709</v>
      </c>
      <c r="BP845" t="s">
        <v>709</v>
      </c>
      <c r="BQ845" t="s">
        <v>709</v>
      </c>
      <c r="BR845" t="s">
        <v>709</v>
      </c>
      <c r="BS845" t="s">
        <v>709</v>
      </c>
      <c r="BT845" t="s">
        <v>745</v>
      </c>
      <c r="BU845" t="s">
        <v>709</v>
      </c>
      <c r="BV845">
        <v>1</v>
      </c>
      <c r="BW845" t="s">
        <v>709</v>
      </c>
      <c r="BX845" t="s">
        <v>745</v>
      </c>
      <c r="BY845" t="s">
        <v>745</v>
      </c>
      <c r="BZ845" t="s">
        <v>709</v>
      </c>
      <c r="CA845" t="s">
        <v>1146</v>
      </c>
      <c r="CB845">
        <v>843</v>
      </c>
      <c r="CC845" t="b">
        <v>1</v>
      </c>
      <c r="CD845" t="s">
        <v>5288</v>
      </c>
      <c r="CE845" s="1482">
        <v>45880.73715277778</v>
      </c>
    </row>
    <row r="846" spans="1:83" x14ac:dyDescent="0.25">
      <c r="A846">
        <v>2023</v>
      </c>
      <c r="B846" t="s">
        <v>771</v>
      </c>
      <c r="C846" t="s">
        <v>283</v>
      </c>
      <c r="D846" t="s">
        <v>878</v>
      </c>
      <c r="E846" t="s">
        <v>284</v>
      </c>
      <c r="F846" t="s">
        <v>747</v>
      </c>
      <c r="G846" t="s">
        <v>24</v>
      </c>
      <c r="H846" t="s">
        <v>3661</v>
      </c>
      <c r="I846">
        <v>44875</v>
      </c>
      <c r="J846" t="s">
        <v>3662</v>
      </c>
      <c r="K846">
        <v>44970</v>
      </c>
      <c r="L846">
        <v>95</v>
      </c>
      <c r="M846" t="s">
        <v>5289</v>
      </c>
      <c r="N846" t="s">
        <v>120</v>
      </c>
      <c r="O846">
        <v>44986</v>
      </c>
      <c r="P846" t="s">
        <v>120</v>
      </c>
      <c r="Q846">
        <v>1900</v>
      </c>
      <c r="R846" t="s">
        <v>1922</v>
      </c>
      <c r="S846" t="s">
        <v>709</v>
      </c>
      <c r="T846" t="s">
        <v>709</v>
      </c>
      <c r="U846">
        <v>1900</v>
      </c>
      <c r="Y846">
        <v>22254.9</v>
      </c>
      <c r="AB846" t="s">
        <v>29</v>
      </c>
      <c r="AC846" t="s">
        <v>29</v>
      </c>
      <c r="AD846" t="s">
        <v>29</v>
      </c>
      <c r="AM846" t="s">
        <v>709</v>
      </c>
      <c r="AY846" t="s">
        <v>29</v>
      </c>
      <c r="BI846" t="s">
        <v>709</v>
      </c>
      <c r="BJ846" t="s">
        <v>709</v>
      </c>
      <c r="BK846" t="s">
        <v>709</v>
      </c>
      <c r="BL846" t="s">
        <v>116</v>
      </c>
      <c r="BM846" t="s">
        <v>709</v>
      </c>
      <c r="BN846" t="s">
        <v>709</v>
      </c>
      <c r="BO846" t="s">
        <v>709</v>
      </c>
      <c r="BP846">
        <v>962</v>
      </c>
      <c r="BQ846" t="s">
        <v>709</v>
      </c>
      <c r="BR846" t="s">
        <v>709</v>
      </c>
      <c r="BS846" t="s">
        <v>709</v>
      </c>
      <c r="BT846" t="s">
        <v>709</v>
      </c>
      <c r="BU846" t="s">
        <v>709</v>
      </c>
      <c r="BV846" t="s">
        <v>709</v>
      </c>
      <c r="BW846" t="s">
        <v>709</v>
      </c>
      <c r="BX846" t="s">
        <v>745</v>
      </c>
      <c r="BY846" t="s">
        <v>709</v>
      </c>
      <c r="BZ846" t="s">
        <v>709</v>
      </c>
      <c r="CB846">
        <v>846</v>
      </c>
      <c r="CC846" t="b">
        <v>1</v>
      </c>
      <c r="CD846" t="s">
        <v>5290</v>
      </c>
      <c r="CE846" s="1482">
        <v>45880.73715277778</v>
      </c>
    </row>
    <row r="847" spans="1:83" x14ac:dyDescent="0.25">
      <c r="A847">
        <v>2023</v>
      </c>
      <c r="B847" t="s">
        <v>771</v>
      </c>
      <c r="C847" t="s">
        <v>283</v>
      </c>
      <c r="D847" t="s">
        <v>878</v>
      </c>
      <c r="E847" t="s">
        <v>284</v>
      </c>
      <c r="F847" t="s">
        <v>747</v>
      </c>
      <c r="G847" t="s">
        <v>24</v>
      </c>
      <c r="H847" t="s">
        <v>59</v>
      </c>
      <c r="I847">
        <v>44875</v>
      </c>
      <c r="J847">
        <v>44981</v>
      </c>
      <c r="K847">
        <v>44970</v>
      </c>
      <c r="L847">
        <v>11</v>
      </c>
      <c r="N847" t="s">
        <v>120</v>
      </c>
      <c r="O847">
        <v>44970</v>
      </c>
      <c r="P847" t="s">
        <v>120</v>
      </c>
      <c r="Q847">
        <v>39204.328500000003</v>
      </c>
      <c r="R847">
        <v>0.09</v>
      </c>
      <c r="V847">
        <v>962</v>
      </c>
      <c r="X847">
        <v>412849.09</v>
      </c>
      <c r="Z847">
        <v>22754.560000000001</v>
      </c>
      <c r="AA847">
        <v>435603.65</v>
      </c>
      <c r="AB847">
        <v>44977</v>
      </c>
      <c r="AC847" t="s">
        <v>116</v>
      </c>
      <c r="AD847" t="s">
        <v>116</v>
      </c>
      <c r="AM847" t="s">
        <v>116</v>
      </c>
      <c r="AN847">
        <v>45364</v>
      </c>
      <c r="AO847">
        <v>11079903</v>
      </c>
      <c r="AP847">
        <v>473425.15</v>
      </c>
      <c r="AR847">
        <v>23426.91</v>
      </c>
      <c r="AS847">
        <v>496852.06</v>
      </c>
      <c r="AT847">
        <v>61248.41</v>
      </c>
      <c r="AU847">
        <v>5512.3568999999998</v>
      </c>
      <c r="AV847">
        <v>21680</v>
      </c>
      <c r="AW847" t="s">
        <v>5291</v>
      </c>
      <c r="AX847">
        <v>0</v>
      </c>
      <c r="AY847">
        <v>45566</v>
      </c>
      <c r="AZ847">
        <v>34</v>
      </c>
      <c r="BA847" t="s">
        <v>880</v>
      </c>
      <c r="BB847" t="s">
        <v>881</v>
      </c>
      <c r="BC847" t="s">
        <v>709</v>
      </c>
      <c r="BD847" t="s">
        <v>882</v>
      </c>
      <c r="BE847" t="s">
        <v>883</v>
      </c>
      <c r="BF847" t="s">
        <v>115</v>
      </c>
      <c r="BG847" t="s">
        <v>115</v>
      </c>
      <c r="BH847" t="s">
        <v>884</v>
      </c>
      <c r="BI847" t="s">
        <v>709</v>
      </c>
      <c r="BJ847" t="s">
        <v>709</v>
      </c>
      <c r="BK847" t="s">
        <v>709</v>
      </c>
      <c r="BL847" t="s">
        <v>116</v>
      </c>
      <c r="BM847" t="s">
        <v>709</v>
      </c>
      <c r="BN847" t="s">
        <v>709</v>
      </c>
      <c r="BO847" t="s">
        <v>709</v>
      </c>
      <c r="BP847">
        <v>962</v>
      </c>
      <c r="BQ847" t="s">
        <v>709</v>
      </c>
      <c r="BR847" t="s">
        <v>709</v>
      </c>
      <c r="BS847" t="s">
        <v>709</v>
      </c>
      <c r="BT847" t="s">
        <v>709</v>
      </c>
      <c r="BU847" t="s">
        <v>709</v>
      </c>
      <c r="BV847" t="s">
        <v>709</v>
      </c>
      <c r="BW847" t="s">
        <v>709</v>
      </c>
      <c r="BX847" t="s">
        <v>745</v>
      </c>
      <c r="BY847" t="s">
        <v>709</v>
      </c>
      <c r="BZ847" t="s">
        <v>709</v>
      </c>
      <c r="CB847">
        <v>845</v>
      </c>
      <c r="CC847" t="b">
        <v>1</v>
      </c>
      <c r="CD847" t="s">
        <v>5290</v>
      </c>
      <c r="CE847" s="1482">
        <v>45880.737164351849</v>
      </c>
    </row>
    <row r="848" spans="1:83" x14ac:dyDescent="0.25">
      <c r="A848">
        <v>2023</v>
      </c>
      <c r="B848" t="s">
        <v>771</v>
      </c>
      <c r="C848" t="s">
        <v>1402</v>
      </c>
      <c r="D848" t="s">
        <v>1403</v>
      </c>
      <c r="E848" t="s">
        <v>1404</v>
      </c>
      <c r="F848" t="s">
        <v>784</v>
      </c>
      <c r="G848" t="s">
        <v>23</v>
      </c>
      <c r="H848" t="s">
        <v>59</v>
      </c>
      <c r="I848">
        <v>44875</v>
      </c>
      <c r="J848">
        <v>44981</v>
      </c>
      <c r="K848">
        <v>44970</v>
      </c>
      <c r="L848">
        <v>11</v>
      </c>
      <c r="N848" t="s">
        <v>120</v>
      </c>
      <c r="O848">
        <v>44970</v>
      </c>
      <c r="P848" t="s">
        <v>120</v>
      </c>
      <c r="Q848">
        <v>26265.0861</v>
      </c>
      <c r="R848">
        <v>0.09</v>
      </c>
      <c r="V848">
        <v>1197</v>
      </c>
      <c r="X848">
        <v>254931.95</v>
      </c>
      <c r="Z848">
        <v>36902.339999999997</v>
      </c>
      <c r="AA848">
        <v>291834.28999999998</v>
      </c>
      <c r="AB848">
        <v>44965</v>
      </c>
      <c r="AC848" t="s">
        <v>709</v>
      </c>
      <c r="AD848" t="s">
        <v>29</v>
      </c>
      <c r="AM848" t="s">
        <v>116</v>
      </c>
      <c r="AN848" t="s">
        <v>709</v>
      </c>
      <c r="AO848" t="s">
        <v>115</v>
      </c>
      <c r="AS848">
        <v>0</v>
      </c>
      <c r="AT848">
        <v>0</v>
      </c>
      <c r="AU848">
        <v>0</v>
      </c>
      <c r="AY848" t="s">
        <v>709</v>
      </c>
      <c r="AZ848">
        <v>35</v>
      </c>
      <c r="BA848" t="s">
        <v>1405</v>
      </c>
      <c r="BB848" t="s">
        <v>1406</v>
      </c>
      <c r="BC848" t="s">
        <v>116</v>
      </c>
      <c r="BD848" t="s">
        <v>115</v>
      </c>
      <c r="BE848" t="s">
        <v>115</v>
      </c>
      <c r="BF848" t="s">
        <v>1407</v>
      </c>
      <c r="BG848" t="s">
        <v>115</v>
      </c>
      <c r="BI848" t="s">
        <v>709</v>
      </c>
      <c r="BJ848" t="s">
        <v>709</v>
      </c>
      <c r="BK848" t="s">
        <v>709</v>
      </c>
      <c r="BL848" t="s">
        <v>116</v>
      </c>
      <c r="BM848" t="s">
        <v>709</v>
      </c>
      <c r="BN848" t="s">
        <v>709</v>
      </c>
      <c r="BO848" t="s">
        <v>709</v>
      </c>
      <c r="BP848" t="s">
        <v>709</v>
      </c>
      <c r="BQ848" t="s">
        <v>709</v>
      </c>
      <c r="BR848">
        <v>1197</v>
      </c>
      <c r="BS848" t="s">
        <v>709</v>
      </c>
      <c r="BT848" t="s">
        <v>745</v>
      </c>
      <c r="BU848" t="s">
        <v>709</v>
      </c>
      <c r="BV848" t="s">
        <v>745</v>
      </c>
      <c r="BW848" t="s">
        <v>709</v>
      </c>
      <c r="BX848" t="s">
        <v>745</v>
      </c>
      <c r="BY848" t="s">
        <v>745</v>
      </c>
      <c r="BZ848" t="s">
        <v>709</v>
      </c>
      <c r="CB848">
        <v>844</v>
      </c>
      <c r="CC848" t="b">
        <v>1</v>
      </c>
      <c r="CD848" t="s">
        <v>5292</v>
      </c>
      <c r="CE848" s="1482">
        <v>45880.737175925926</v>
      </c>
    </row>
    <row r="849" spans="1:83" x14ac:dyDescent="0.25">
      <c r="A849">
        <v>2022</v>
      </c>
      <c r="B849" t="s">
        <v>2</v>
      </c>
      <c r="C849" t="s">
        <v>816</v>
      </c>
      <c r="D849">
        <v>1011885</v>
      </c>
      <c r="E849" t="s">
        <v>5293</v>
      </c>
      <c r="F849" t="s">
        <v>752</v>
      </c>
      <c r="G849" t="s">
        <v>34</v>
      </c>
      <c r="H849" t="s">
        <v>4189</v>
      </c>
      <c r="I849">
        <v>44959</v>
      </c>
      <c r="J849" t="s">
        <v>2052</v>
      </c>
      <c r="K849">
        <v>44971</v>
      </c>
      <c r="L849">
        <v>12</v>
      </c>
      <c r="M849" t="s">
        <v>5294</v>
      </c>
      <c r="N849" t="s">
        <v>120</v>
      </c>
      <c r="O849">
        <v>44971</v>
      </c>
      <c r="P849" t="s">
        <v>120</v>
      </c>
      <c r="Q849">
        <v>2522.5</v>
      </c>
      <c r="R849" t="s">
        <v>1922</v>
      </c>
      <c r="T849">
        <v>0</v>
      </c>
      <c r="U849">
        <v>2522.5</v>
      </c>
      <c r="AC849" t="s">
        <v>709</v>
      </c>
      <c r="AD849" t="s">
        <v>116</v>
      </c>
      <c r="AE849" t="s">
        <v>29</v>
      </c>
      <c r="AF849" t="s">
        <v>29</v>
      </c>
      <c r="AG849" t="s">
        <v>29</v>
      </c>
      <c r="AH849" t="s">
        <v>29</v>
      </c>
      <c r="AM849" t="s">
        <v>709</v>
      </c>
      <c r="AY849" t="s">
        <v>29</v>
      </c>
      <c r="BA849">
        <v>4</v>
      </c>
      <c r="BB849" t="s">
        <v>5295</v>
      </c>
      <c r="BI849" t="s">
        <v>709</v>
      </c>
      <c r="BJ849" t="s">
        <v>709</v>
      </c>
      <c r="BK849" t="s">
        <v>709</v>
      </c>
      <c r="BL849" t="s">
        <v>116</v>
      </c>
      <c r="BM849" t="s">
        <v>709</v>
      </c>
      <c r="BN849" t="s">
        <v>709</v>
      </c>
      <c r="BO849" t="s">
        <v>709</v>
      </c>
      <c r="BP849" t="s">
        <v>709</v>
      </c>
      <c r="BQ849" t="s">
        <v>709</v>
      </c>
      <c r="BR849" t="s">
        <v>709</v>
      </c>
      <c r="BS849">
        <v>1228</v>
      </c>
      <c r="BT849" t="s">
        <v>745</v>
      </c>
      <c r="BU849" t="s">
        <v>709</v>
      </c>
      <c r="BV849" t="s">
        <v>745</v>
      </c>
      <c r="BW849" t="s">
        <v>709</v>
      </c>
      <c r="BX849" t="s">
        <v>745</v>
      </c>
      <c r="BY849" t="s">
        <v>745</v>
      </c>
      <c r="BZ849" t="s">
        <v>709</v>
      </c>
      <c r="CA849" t="s">
        <v>2</v>
      </c>
      <c r="CB849">
        <v>847</v>
      </c>
      <c r="CC849" t="b">
        <v>1</v>
      </c>
      <c r="CD849" t="s">
        <v>5296</v>
      </c>
      <c r="CE849" s="1482">
        <v>45880.737175925926</v>
      </c>
    </row>
    <row r="850" spans="1:83" ht="240" x14ac:dyDescent="0.25">
      <c r="A850">
        <v>2023</v>
      </c>
      <c r="B850" t="s">
        <v>4</v>
      </c>
      <c r="C850" t="s">
        <v>5297</v>
      </c>
      <c r="D850" t="s">
        <v>5298</v>
      </c>
      <c r="E850" t="s">
        <v>1164</v>
      </c>
      <c r="F850" t="s">
        <v>784</v>
      </c>
      <c r="G850" t="s">
        <v>33</v>
      </c>
      <c r="H850" t="s">
        <v>59</v>
      </c>
      <c r="I850">
        <v>44426</v>
      </c>
      <c r="J850">
        <v>44972</v>
      </c>
      <c r="K850">
        <v>44971</v>
      </c>
      <c r="L850">
        <v>1</v>
      </c>
      <c r="N850" t="s">
        <v>120</v>
      </c>
      <c r="O850">
        <v>44971</v>
      </c>
      <c r="P850" t="s">
        <v>739</v>
      </c>
      <c r="Q850">
        <v>11225.172</v>
      </c>
      <c r="R850">
        <v>0.1</v>
      </c>
      <c r="V850">
        <v>90</v>
      </c>
      <c r="X850">
        <v>87297.72</v>
      </c>
      <c r="Z850">
        <v>24954</v>
      </c>
      <c r="AA850">
        <v>112251.72</v>
      </c>
      <c r="AB850" t="s">
        <v>709</v>
      </c>
      <c r="AC850" t="s">
        <v>709</v>
      </c>
      <c r="AD850" t="s">
        <v>29</v>
      </c>
      <c r="AM850" t="s">
        <v>116</v>
      </c>
      <c r="AN850">
        <v>45288</v>
      </c>
      <c r="AO850">
        <v>11076232</v>
      </c>
      <c r="AP850">
        <v>68493.33</v>
      </c>
      <c r="AR850">
        <v>8771.01</v>
      </c>
      <c r="AS850">
        <v>77264.34</v>
      </c>
      <c r="AT850">
        <v>-34987.379999999997</v>
      </c>
      <c r="AU850">
        <v>-3498.7379999999998</v>
      </c>
      <c r="AV850" t="s">
        <v>709</v>
      </c>
      <c r="AW850" t="s">
        <v>5299</v>
      </c>
      <c r="AX850">
        <v>-3498.7379999999998</v>
      </c>
      <c r="AY850">
        <v>45352</v>
      </c>
      <c r="BA850" s="4" t="s">
        <v>5300</v>
      </c>
      <c r="BB850" t="s">
        <v>5133</v>
      </c>
      <c r="BC850" t="s">
        <v>115</v>
      </c>
      <c r="BD850" t="s">
        <v>1167</v>
      </c>
      <c r="BE850" t="s">
        <v>5134</v>
      </c>
      <c r="BF850" t="s">
        <v>5134</v>
      </c>
      <c r="BG850" t="s">
        <v>115</v>
      </c>
      <c r="BI850" t="s">
        <v>709</v>
      </c>
      <c r="BJ850" t="s">
        <v>709</v>
      </c>
      <c r="BK850" t="s">
        <v>709</v>
      </c>
      <c r="BL850" t="s">
        <v>116</v>
      </c>
      <c r="BM850" t="s">
        <v>709</v>
      </c>
      <c r="BN850" t="s">
        <v>709</v>
      </c>
      <c r="BO850" t="s">
        <v>709</v>
      </c>
      <c r="BP850" t="s">
        <v>709</v>
      </c>
      <c r="BQ850" t="s">
        <v>709</v>
      </c>
      <c r="BR850" t="s">
        <v>709</v>
      </c>
      <c r="BS850">
        <v>90</v>
      </c>
      <c r="BT850" t="s">
        <v>745</v>
      </c>
      <c r="BU850" t="s">
        <v>709</v>
      </c>
      <c r="BV850" t="s">
        <v>745</v>
      </c>
      <c r="BW850" t="s">
        <v>709</v>
      </c>
      <c r="BX850" t="s">
        <v>745</v>
      </c>
      <c r="BY850" t="s">
        <v>745</v>
      </c>
      <c r="BZ850" t="s">
        <v>709</v>
      </c>
      <c r="CB850">
        <v>848</v>
      </c>
      <c r="CC850" t="b">
        <v>1</v>
      </c>
      <c r="CD850" t="s">
        <v>5301</v>
      </c>
      <c r="CE850" s="1482">
        <v>45880.737187500003</v>
      </c>
    </row>
    <row r="851" spans="1:83" x14ac:dyDescent="0.25">
      <c r="A851">
        <v>2023</v>
      </c>
      <c r="B851" t="s">
        <v>771</v>
      </c>
      <c r="C851" t="s">
        <v>5302</v>
      </c>
      <c r="D851" t="s">
        <v>5303</v>
      </c>
      <c r="E851" t="s">
        <v>300</v>
      </c>
      <c r="F851" t="s">
        <v>747</v>
      </c>
      <c r="G851" t="s">
        <v>36</v>
      </c>
      <c r="H851" t="s">
        <v>59</v>
      </c>
      <c r="I851">
        <v>44945</v>
      </c>
      <c r="J851">
        <v>44973</v>
      </c>
      <c r="K851">
        <v>44972</v>
      </c>
      <c r="L851">
        <v>1</v>
      </c>
      <c r="N851" t="s">
        <v>120</v>
      </c>
      <c r="O851">
        <v>44972</v>
      </c>
      <c r="P851" t="s">
        <v>120</v>
      </c>
      <c r="Q851">
        <v>7998</v>
      </c>
      <c r="R851" t="s">
        <v>1922</v>
      </c>
      <c r="S851">
        <v>325.5</v>
      </c>
      <c r="U851">
        <v>7672.5</v>
      </c>
      <c r="V851">
        <v>256</v>
      </c>
      <c r="X851">
        <v>85692.12</v>
      </c>
      <c r="Z851">
        <v>11182.44</v>
      </c>
      <c r="AC851" t="s">
        <v>709</v>
      </c>
      <c r="AD851" t="s">
        <v>29</v>
      </c>
      <c r="AE851" t="s">
        <v>29</v>
      </c>
      <c r="AF851" t="s">
        <v>29</v>
      </c>
      <c r="AG851" t="s">
        <v>29</v>
      </c>
      <c r="AH851" t="s">
        <v>29</v>
      </c>
      <c r="AM851" t="s">
        <v>709</v>
      </c>
      <c r="AY851" t="s">
        <v>29</v>
      </c>
      <c r="BA851" t="s">
        <v>5304</v>
      </c>
      <c r="BB851" t="s">
        <v>5305</v>
      </c>
      <c r="BC851" t="s">
        <v>709</v>
      </c>
      <c r="BD851" t="s">
        <v>115</v>
      </c>
      <c r="BE851" t="s">
        <v>4242</v>
      </c>
      <c r="BF851" t="s">
        <v>115</v>
      </c>
      <c r="BG851" t="s">
        <v>5306</v>
      </c>
      <c r="BI851" t="s">
        <v>709</v>
      </c>
      <c r="BJ851" t="s">
        <v>709</v>
      </c>
      <c r="BK851" t="s">
        <v>709</v>
      </c>
      <c r="BL851" t="s">
        <v>116</v>
      </c>
      <c r="BM851" t="s">
        <v>709</v>
      </c>
      <c r="BN851" t="s">
        <v>709</v>
      </c>
      <c r="BO851" t="s">
        <v>709</v>
      </c>
      <c r="BP851" t="s">
        <v>709</v>
      </c>
      <c r="BQ851" t="s">
        <v>709</v>
      </c>
      <c r="BR851" t="s">
        <v>709</v>
      </c>
      <c r="BS851">
        <v>256</v>
      </c>
      <c r="BT851" t="s">
        <v>745</v>
      </c>
      <c r="BU851" t="s">
        <v>709</v>
      </c>
      <c r="BV851" t="s">
        <v>745</v>
      </c>
      <c r="BW851" t="s">
        <v>709</v>
      </c>
      <c r="BX851" t="s">
        <v>745</v>
      </c>
      <c r="BY851" t="s">
        <v>745</v>
      </c>
      <c r="BZ851" t="s">
        <v>709</v>
      </c>
      <c r="CB851">
        <v>850</v>
      </c>
      <c r="CC851" t="b">
        <v>1</v>
      </c>
      <c r="CD851" t="s">
        <v>5307</v>
      </c>
      <c r="CE851" s="1482">
        <v>45880.737199074072</v>
      </c>
    </row>
    <row r="852" spans="1:83" ht="285" x14ac:dyDescent="0.25">
      <c r="A852">
        <v>2023</v>
      </c>
      <c r="B852" t="s">
        <v>4</v>
      </c>
      <c r="C852" t="s">
        <v>5308</v>
      </c>
      <c r="D852" t="s">
        <v>5309</v>
      </c>
      <c r="E852" t="s">
        <v>245</v>
      </c>
      <c r="F852" t="s">
        <v>784</v>
      </c>
      <c r="G852" t="s">
        <v>27</v>
      </c>
      <c r="H852" t="s">
        <v>1681</v>
      </c>
      <c r="I852">
        <v>44939</v>
      </c>
      <c r="J852">
        <v>45016</v>
      </c>
      <c r="K852">
        <v>44972</v>
      </c>
      <c r="L852">
        <v>44</v>
      </c>
      <c r="N852" t="s">
        <v>120</v>
      </c>
      <c r="O852">
        <v>44958</v>
      </c>
      <c r="P852" t="s">
        <v>739</v>
      </c>
      <c r="Q852" t="s">
        <v>115</v>
      </c>
      <c r="R852" t="s">
        <v>115</v>
      </c>
      <c r="AB852" t="s">
        <v>29</v>
      </c>
      <c r="AC852" t="s">
        <v>709</v>
      </c>
      <c r="AD852" t="s">
        <v>29</v>
      </c>
      <c r="AM852" t="s">
        <v>709</v>
      </c>
      <c r="AY852" t="s">
        <v>29</v>
      </c>
      <c r="BA852" s="4" t="s">
        <v>5310</v>
      </c>
      <c r="BB852" t="s">
        <v>877</v>
      </c>
      <c r="BC852" t="s">
        <v>116</v>
      </c>
      <c r="BD852" t="s">
        <v>709</v>
      </c>
      <c r="BE852" t="s">
        <v>709</v>
      </c>
      <c r="BF852" t="s">
        <v>1028</v>
      </c>
      <c r="BG852" t="s">
        <v>709</v>
      </c>
      <c r="CB852">
        <v>849</v>
      </c>
      <c r="CC852" t="b">
        <v>1</v>
      </c>
      <c r="CD852" t="s">
        <v>5311</v>
      </c>
      <c r="CE852" s="1482">
        <v>45880.737199074072</v>
      </c>
    </row>
    <row r="853" spans="1:83" ht="405" x14ac:dyDescent="0.25">
      <c r="A853">
        <v>2023</v>
      </c>
      <c r="B853" t="s">
        <v>4</v>
      </c>
      <c r="C853" t="s">
        <v>5312</v>
      </c>
      <c r="D853" t="s">
        <v>5313</v>
      </c>
      <c r="E853" t="s">
        <v>1957</v>
      </c>
      <c r="F853" t="s">
        <v>784</v>
      </c>
      <c r="G853" t="s">
        <v>25</v>
      </c>
      <c r="H853" t="s">
        <v>59</v>
      </c>
      <c r="I853">
        <v>44882</v>
      </c>
      <c r="J853">
        <v>44973</v>
      </c>
      <c r="K853">
        <v>44972</v>
      </c>
      <c r="L853">
        <v>1</v>
      </c>
      <c r="N853" t="s">
        <v>120</v>
      </c>
      <c r="O853">
        <v>44972</v>
      </c>
      <c r="P853" t="s">
        <v>739</v>
      </c>
      <c r="Q853">
        <v>26876.712</v>
      </c>
      <c r="R853">
        <v>0.1</v>
      </c>
      <c r="V853">
        <v>840</v>
      </c>
      <c r="X853">
        <v>249982.29</v>
      </c>
      <c r="Z853">
        <v>18784.830000000002</v>
      </c>
      <c r="AA853">
        <v>268767.12</v>
      </c>
      <c r="AB853">
        <v>44965</v>
      </c>
      <c r="AC853" t="s">
        <v>709</v>
      </c>
      <c r="AD853" t="s">
        <v>116</v>
      </c>
      <c r="AM853" t="s">
        <v>116</v>
      </c>
      <c r="AN853">
        <v>45288</v>
      </c>
      <c r="AO853">
        <v>11076233</v>
      </c>
      <c r="AP853">
        <v>254092.13</v>
      </c>
      <c r="AR853">
        <v>19395.23</v>
      </c>
      <c r="AS853">
        <v>273487.35999999999</v>
      </c>
      <c r="AT853">
        <v>4720.24</v>
      </c>
      <c r="AU853">
        <v>472.024</v>
      </c>
      <c r="AV853">
        <v>6285</v>
      </c>
      <c r="AW853" s="4" t="s">
        <v>5314</v>
      </c>
      <c r="AX853">
        <v>0</v>
      </c>
      <c r="AY853">
        <v>45352</v>
      </c>
      <c r="BA853" s="4" t="s">
        <v>5315</v>
      </c>
      <c r="BB853" t="s">
        <v>5316</v>
      </c>
      <c r="BC853" t="s">
        <v>115</v>
      </c>
      <c r="BD853" t="s">
        <v>115</v>
      </c>
      <c r="BE853" t="s">
        <v>5317</v>
      </c>
      <c r="BF853" t="s">
        <v>115</v>
      </c>
      <c r="BG853" t="s">
        <v>115</v>
      </c>
      <c r="BH853" t="s">
        <v>5318</v>
      </c>
      <c r="BI853" t="s">
        <v>709</v>
      </c>
      <c r="BJ853" t="s">
        <v>709</v>
      </c>
      <c r="BK853" t="s">
        <v>709</v>
      </c>
      <c r="BL853" t="s">
        <v>116</v>
      </c>
      <c r="BM853" t="s">
        <v>709</v>
      </c>
      <c r="BN853" t="s">
        <v>709</v>
      </c>
      <c r="BO853" t="s">
        <v>709</v>
      </c>
      <c r="BP853" t="s">
        <v>709</v>
      </c>
      <c r="BQ853" t="s">
        <v>709</v>
      </c>
      <c r="BR853" t="s">
        <v>709</v>
      </c>
      <c r="BS853">
        <v>840</v>
      </c>
      <c r="BT853" t="s">
        <v>709</v>
      </c>
      <c r="BU853" t="s">
        <v>709</v>
      </c>
      <c r="BV853" t="s">
        <v>709</v>
      </c>
      <c r="BW853" t="s">
        <v>709</v>
      </c>
      <c r="BX853" t="s">
        <v>745</v>
      </c>
      <c r="BY853" t="s">
        <v>709</v>
      </c>
      <c r="BZ853" t="s">
        <v>709</v>
      </c>
      <c r="CB853">
        <v>851</v>
      </c>
      <c r="CC853" t="b">
        <v>1</v>
      </c>
      <c r="CD853" t="s">
        <v>5319</v>
      </c>
      <c r="CE853" s="1482">
        <v>45880.737210648149</v>
      </c>
    </row>
    <row r="854" spans="1:83" ht="105" x14ac:dyDescent="0.25">
      <c r="A854">
        <v>2022</v>
      </c>
      <c r="B854" t="s">
        <v>1073</v>
      </c>
      <c r="C854" t="s">
        <v>286</v>
      </c>
      <c r="D854" t="s">
        <v>5320</v>
      </c>
      <c r="E854" t="s">
        <v>277</v>
      </c>
      <c r="F854" t="s">
        <v>784</v>
      </c>
      <c r="G854" t="s">
        <v>22</v>
      </c>
      <c r="H854" t="s">
        <v>59</v>
      </c>
      <c r="I854">
        <v>44844</v>
      </c>
      <c r="J854">
        <v>44974</v>
      </c>
      <c r="K854">
        <v>44973</v>
      </c>
      <c r="L854">
        <v>1</v>
      </c>
      <c r="N854" t="s">
        <v>120</v>
      </c>
      <c r="O854">
        <v>44973</v>
      </c>
      <c r="P854" t="s">
        <v>739</v>
      </c>
      <c r="Q854">
        <v>113343.42</v>
      </c>
      <c r="R854">
        <v>0.08</v>
      </c>
      <c r="V854">
        <v>5387</v>
      </c>
      <c r="X854">
        <v>1416792.75</v>
      </c>
      <c r="Z854">
        <v>0</v>
      </c>
      <c r="AA854">
        <v>1416792.75</v>
      </c>
      <c r="AB854">
        <v>44978</v>
      </c>
      <c r="AC854" t="s">
        <v>1177</v>
      </c>
      <c r="AD854" t="s">
        <v>116</v>
      </c>
      <c r="AM854" t="s">
        <v>116</v>
      </c>
      <c r="AN854">
        <v>45050</v>
      </c>
      <c r="AO854">
        <v>11050932</v>
      </c>
      <c r="AP854">
        <v>1419493.72</v>
      </c>
      <c r="AR854">
        <v>0</v>
      </c>
      <c r="AS854">
        <v>1419493.72</v>
      </c>
      <c r="AT854">
        <v>2700.97</v>
      </c>
      <c r="AU854">
        <v>216.07759999999999</v>
      </c>
      <c r="AV854">
        <v>2700</v>
      </c>
      <c r="AW854" t="s">
        <v>5321</v>
      </c>
      <c r="AX854">
        <v>0</v>
      </c>
      <c r="AY854">
        <v>45200</v>
      </c>
      <c r="BA854" t="s">
        <v>5322</v>
      </c>
      <c r="BB854" s="4" t="s">
        <v>5323</v>
      </c>
      <c r="BC854" t="s">
        <v>116</v>
      </c>
      <c r="BD854" t="s">
        <v>709</v>
      </c>
      <c r="BE854" s="4" t="s">
        <v>5324</v>
      </c>
      <c r="BF854" t="s">
        <v>115</v>
      </c>
      <c r="BG854" t="s">
        <v>1078</v>
      </c>
      <c r="BI854" t="s">
        <v>709</v>
      </c>
      <c r="BJ854" t="s">
        <v>709</v>
      </c>
      <c r="BK854" t="s">
        <v>116</v>
      </c>
      <c r="BL854" t="s">
        <v>709</v>
      </c>
      <c r="BM854" t="s">
        <v>709</v>
      </c>
      <c r="BN854" t="s">
        <v>709</v>
      </c>
      <c r="BO854" t="s">
        <v>709</v>
      </c>
      <c r="BP854" t="s">
        <v>709</v>
      </c>
      <c r="BQ854" t="s">
        <v>709</v>
      </c>
      <c r="BR854">
        <v>5387</v>
      </c>
      <c r="BS854" t="s">
        <v>709</v>
      </c>
      <c r="BT854" t="s">
        <v>745</v>
      </c>
      <c r="BU854" t="s">
        <v>709</v>
      </c>
      <c r="BV854" t="s">
        <v>745</v>
      </c>
      <c r="BW854" t="s">
        <v>709</v>
      </c>
      <c r="BX854" t="s">
        <v>745</v>
      </c>
      <c r="BY854">
        <v>1</v>
      </c>
      <c r="BZ854" t="s">
        <v>709</v>
      </c>
      <c r="CB854">
        <v>853</v>
      </c>
      <c r="CC854" t="b">
        <v>1</v>
      </c>
      <c r="CD854" t="s">
        <v>5325</v>
      </c>
      <c r="CE854" s="1482">
        <v>45880.737222222226</v>
      </c>
    </row>
    <row r="855" spans="1:83" x14ac:dyDescent="0.25">
      <c r="A855">
        <v>2023</v>
      </c>
      <c r="B855" t="s">
        <v>2</v>
      </c>
      <c r="C855" t="s">
        <v>5114</v>
      </c>
      <c r="D855">
        <v>1011869</v>
      </c>
      <c r="E855" t="s">
        <v>818</v>
      </c>
      <c r="F855" t="s">
        <v>752</v>
      </c>
      <c r="G855" t="s">
        <v>24</v>
      </c>
      <c r="H855" t="s">
        <v>4189</v>
      </c>
      <c r="I855">
        <v>44959</v>
      </c>
      <c r="J855" t="s">
        <v>2052</v>
      </c>
      <c r="K855">
        <v>44973</v>
      </c>
      <c r="L855">
        <v>14</v>
      </c>
      <c r="M855" t="s">
        <v>5326</v>
      </c>
      <c r="N855" t="s">
        <v>120</v>
      </c>
      <c r="O855">
        <v>44973</v>
      </c>
      <c r="P855" t="s">
        <v>120</v>
      </c>
      <c r="Q855">
        <v>4112.5</v>
      </c>
      <c r="R855" t="s">
        <v>1922</v>
      </c>
      <c r="T855">
        <v>0</v>
      </c>
      <c r="U855">
        <v>4112.5</v>
      </c>
      <c r="AC855" t="s">
        <v>709</v>
      </c>
      <c r="AD855" t="s">
        <v>116</v>
      </c>
      <c r="AE855" t="s">
        <v>29</v>
      </c>
      <c r="AF855" t="s">
        <v>29</v>
      </c>
      <c r="AG855" t="s">
        <v>29</v>
      </c>
      <c r="AH855" t="s">
        <v>29</v>
      </c>
      <c r="AM855" t="s">
        <v>709</v>
      </c>
      <c r="AY855" t="s">
        <v>29</v>
      </c>
      <c r="BA855">
        <v>4</v>
      </c>
      <c r="BB855" t="s">
        <v>5295</v>
      </c>
      <c r="BI855" t="s">
        <v>709</v>
      </c>
      <c r="BJ855" t="s">
        <v>709</v>
      </c>
      <c r="BK855" t="s">
        <v>709</v>
      </c>
      <c r="BL855" t="s">
        <v>116</v>
      </c>
      <c r="BM855" t="s">
        <v>709</v>
      </c>
      <c r="BN855" t="s">
        <v>709</v>
      </c>
      <c r="BO855" t="s">
        <v>709</v>
      </c>
      <c r="BP855" t="s">
        <v>709</v>
      </c>
      <c r="BQ855" t="s">
        <v>709</v>
      </c>
      <c r="BR855">
        <v>809</v>
      </c>
      <c r="BS855" t="s">
        <v>709</v>
      </c>
      <c r="BT855" t="s">
        <v>745</v>
      </c>
      <c r="BU855" t="s">
        <v>709</v>
      </c>
      <c r="BV855" t="s">
        <v>745</v>
      </c>
      <c r="BW855" t="s">
        <v>709</v>
      </c>
      <c r="BX855" t="s">
        <v>745</v>
      </c>
      <c r="BY855" t="s">
        <v>745</v>
      </c>
      <c r="BZ855" t="s">
        <v>709</v>
      </c>
      <c r="CA855" t="s">
        <v>2</v>
      </c>
      <c r="CB855">
        <v>854</v>
      </c>
      <c r="CC855" t="b">
        <v>1</v>
      </c>
      <c r="CD855" t="s">
        <v>5327</v>
      </c>
      <c r="CE855" s="1482">
        <v>45880.737222222226</v>
      </c>
    </row>
    <row r="856" spans="1:83" ht="225" x14ac:dyDescent="0.25">
      <c r="A856">
        <v>2023</v>
      </c>
      <c r="B856" t="s">
        <v>731</v>
      </c>
      <c r="C856" t="s">
        <v>5328</v>
      </c>
      <c r="D856" t="s">
        <v>5329</v>
      </c>
      <c r="E856" t="s">
        <v>1605</v>
      </c>
      <c r="F856" t="s">
        <v>4899</v>
      </c>
      <c r="G856" t="s">
        <v>24</v>
      </c>
      <c r="H856" t="s">
        <v>59</v>
      </c>
      <c r="I856">
        <v>44908</v>
      </c>
      <c r="J856">
        <v>44985</v>
      </c>
      <c r="K856">
        <v>44973</v>
      </c>
      <c r="L856">
        <v>12</v>
      </c>
      <c r="N856" t="s">
        <v>120</v>
      </c>
      <c r="O856">
        <v>44973</v>
      </c>
      <c r="P856" t="s">
        <v>739</v>
      </c>
      <c r="Q856">
        <v>17250</v>
      </c>
      <c r="R856" t="s">
        <v>5256</v>
      </c>
      <c r="T856">
        <v>0</v>
      </c>
      <c r="W856">
        <v>3</v>
      </c>
      <c r="X856">
        <v>0</v>
      </c>
      <c r="Z856">
        <v>162853.26</v>
      </c>
      <c r="AA856">
        <v>162853.26</v>
      </c>
      <c r="AB856" t="s">
        <v>29</v>
      </c>
      <c r="AC856" t="s">
        <v>709</v>
      </c>
      <c r="AD856" t="s">
        <v>116</v>
      </c>
      <c r="AM856" t="s">
        <v>709</v>
      </c>
      <c r="AY856" t="s">
        <v>29</v>
      </c>
      <c r="BA856" s="4" t="s">
        <v>5330</v>
      </c>
      <c r="BB856" s="4" t="s">
        <v>5331</v>
      </c>
      <c r="BC856" t="s">
        <v>709</v>
      </c>
      <c r="BD856" t="s">
        <v>837</v>
      </c>
      <c r="BE856" t="s">
        <v>615</v>
      </c>
      <c r="BF856" t="s">
        <v>923</v>
      </c>
      <c r="BG856" t="s">
        <v>115</v>
      </c>
      <c r="BI856" t="s">
        <v>709</v>
      </c>
      <c r="BJ856" t="s">
        <v>709</v>
      </c>
      <c r="BK856" t="s">
        <v>709</v>
      </c>
      <c r="BL856" t="s">
        <v>709</v>
      </c>
      <c r="BM856" t="s">
        <v>709</v>
      </c>
      <c r="BN856" t="s">
        <v>709</v>
      </c>
      <c r="BO856" t="s">
        <v>709</v>
      </c>
      <c r="BP856" t="s">
        <v>709</v>
      </c>
      <c r="BQ856" t="s">
        <v>709</v>
      </c>
      <c r="BR856" t="s">
        <v>709</v>
      </c>
      <c r="BS856" t="s">
        <v>709</v>
      </c>
      <c r="BT856" t="s">
        <v>745</v>
      </c>
      <c r="BU856" t="s">
        <v>709</v>
      </c>
      <c r="BV856">
        <v>3</v>
      </c>
      <c r="BW856" t="s">
        <v>709</v>
      </c>
      <c r="BX856" t="s">
        <v>745</v>
      </c>
      <c r="BY856" t="s">
        <v>745</v>
      </c>
      <c r="BZ856" t="s">
        <v>709</v>
      </c>
      <c r="CA856" t="s">
        <v>1146</v>
      </c>
      <c r="CB856">
        <v>852</v>
      </c>
      <c r="CC856" t="b">
        <v>1</v>
      </c>
      <c r="CD856" t="s">
        <v>5332</v>
      </c>
      <c r="CE856" s="1482">
        <v>45880.737233796295</v>
      </c>
    </row>
    <row r="857" spans="1:83" x14ac:dyDescent="0.25">
      <c r="A857">
        <v>2024</v>
      </c>
      <c r="B857" t="s">
        <v>2</v>
      </c>
      <c r="C857" t="s">
        <v>1109</v>
      </c>
      <c r="D857">
        <v>103074</v>
      </c>
      <c r="E857" t="s">
        <v>762</v>
      </c>
      <c r="F857" t="s">
        <v>752</v>
      </c>
      <c r="G857" t="s">
        <v>34</v>
      </c>
      <c r="H857" t="s">
        <v>2724</v>
      </c>
      <c r="I857">
        <v>44965</v>
      </c>
      <c r="J857" t="s">
        <v>4110</v>
      </c>
      <c r="K857">
        <v>44973</v>
      </c>
      <c r="L857">
        <v>8</v>
      </c>
      <c r="M857" t="s">
        <v>5333</v>
      </c>
      <c r="N857" t="s">
        <v>120</v>
      </c>
      <c r="O857">
        <v>44986</v>
      </c>
      <c r="P857" t="s">
        <v>120</v>
      </c>
      <c r="Q857">
        <v>1412.5</v>
      </c>
      <c r="R857" t="s">
        <v>1922</v>
      </c>
      <c r="U857">
        <v>1412.5</v>
      </c>
      <c r="V857" t="s">
        <v>29</v>
      </c>
      <c r="W857" t="s">
        <v>29</v>
      </c>
      <c r="X857" t="s">
        <v>29</v>
      </c>
      <c r="Y857" t="s">
        <v>915</v>
      </c>
      <c r="Z857" t="s">
        <v>29</v>
      </c>
      <c r="AA857" t="s">
        <v>29</v>
      </c>
      <c r="AB857" t="s">
        <v>29</v>
      </c>
      <c r="AC857" t="s">
        <v>29</v>
      </c>
      <c r="AD857" t="s">
        <v>29</v>
      </c>
      <c r="AH857" t="s">
        <v>29</v>
      </c>
      <c r="AM857" t="s">
        <v>709</v>
      </c>
      <c r="AY857" t="s">
        <v>29</v>
      </c>
      <c r="BA857">
        <v>9</v>
      </c>
      <c r="BB857" t="s">
        <v>5334</v>
      </c>
      <c r="BI857" t="s">
        <v>709</v>
      </c>
      <c r="BJ857" t="s">
        <v>709</v>
      </c>
      <c r="BK857" t="s">
        <v>116</v>
      </c>
      <c r="BL857" t="s">
        <v>116</v>
      </c>
      <c r="BM857" t="s">
        <v>709</v>
      </c>
      <c r="BN857" t="s">
        <v>709</v>
      </c>
      <c r="BO857" t="s">
        <v>709</v>
      </c>
      <c r="BP857" t="s">
        <v>709</v>
      </c>
      <c r="BQ857" t="s">
        <v>116</v>
      </c>
      <c r="BR857" t="s">
        <v>116</v>
      </c>
      <c r="BS857" t="s">
        <v>116</v>
      </c>
      <c r="BT857">
        <v>1</v>
      </c>
      <c r="BU857" t="s">
        <v>709</v>
      </c>
      <c r="BV857" t="s">
        <v>709</v>
      </c>
      <c r="BW857">
        <v>1</v>
      </c>
      <c r="BX857">
        <v>1</v>
      </c>
      <c r="BY857" t="s">
        <v>709</v>
      </c>
      <c r="BZ857" t="s">
        <v>709</v>
      </c>
      <c r="CA857" t="s">
        <v>2</v>
      </c>
      <c r="CB857">
        <v>855</v>
      </c>
      <c r="CC857" t="b">
        <v>1</v>
      </c>
      <c r="CD857" t="s">
        <v>5335</v>
      </c>
      <c r="CE857" s="1482">
        <v>45880.737233796295</v>
      </c>
    </row>
    <row r="858" spans="1:83" x14ac:dyDescent="0.25">
      <c r="A858">
        <v>2023</v>
      </c>
      <c r="B858" t="s">
        <v>759</v>
      </c>
      <c r="C858" t="s">
        <v>224</v>
      </c>
      <c r="D858" t="s">
        <v>1270</v>
      </c>
      <c r="E858" t="s">
        <v>225</v>
      </c>
      <c r="F858" t="s">
        <v>752</v>
      </c>
      <c r="G858" t="s">
        <v>24</v>
      </c>
      <c r="H858" t="s">
        <v>2724</v>
      </c>
      <c r="I858">
        <v>44965</v>
      </c>
      <c r="J858" t="s">
        <v>4110</v>
      </c>
      <c r="K858">
        <v>44974</v>
      </c>
      <c r="L858">
        <v>9</v>
      </c>
      <c r="M858" t="s">
        <v>5333</v>
      </c>
      <c r="N858" t="s">
        <v>120</v>
      </c>
      <c r="O858">
        <v>44986</v>
      </c>
      <c r="P858" t="s">
        <v>120</v>
      </c>
      <c r="Q858">
        <v>4655</v>
      </c>
      <c r="R858" t="s">
        <v>1922</v>
      </c>
      <c r="U858">
        <v>4655</v>
      </c>
      <c r="V858" t="s">
        <v>29</v>
      </c>
      <c r="W858" t="s">
        <v>29</v>
      </c>
      <c r="X858" t="s">
        <v>29</v>
      </c>
      <c r="Y858" t="s">
        <v>915</v>
      </c>
      <c r="Z858" t="s">
        <v>29</v>
      </c>
      <c r="AA858" t="s">
        <v>29</v>
      </c>
      <c r="AB858" t="s">
        <v>29</v>
      </c>
      <c r="AC858" t="s">
        <v>709</v>
      </c>
      <c r="AD858" t="s">
        <v>29</v>
      </c>
      <c r="AM858" t="s">
        <v>709</v>
      </c>
      <c r="AY858" t="s">
        <v>29</v>
      </c>
      <c r="BA858">
        <v>9</v>
      </c>
      <c r="BB858" t="s">
        <v>5334</v>
      </c>
      <c r="BI858" t="s">
        <v>709</v>
      </c>
      <c r="BJ858" t="s">
        <v>709</v>
      </c>
      <c r="BK858" t="s">
        <v>709</v>
      </c>
      <c r="BL858" t="s">
        <v>116</v>
      </c>
      <c r="BM858" t="s">
        <v>709</v>
      </c>
      <c r="BN858" t="s">
        <v>709</v>
      </c>
      <c r="BO858">
        <v>73</v>
      </c>
      <c r="BP858">
        <v>557</v>
      </c>
      <c r="BQ858">
        <v>75</v>
      </c>
      <c r="BR858">
        <v>159</v>
      </c>
      <c r="BS858">
        <v>5</v>
      </c>
      <c r="BT858">
        <v>1</v>
      </c>
      <c r="BU858" t="s">
        <v>709</v>
      </c>
      <c r="BV858" t="s">
        <v>745</v>
      </c>
      <c r="BW858" t="s">
        <v>709</v>
      </c>
      <c r="BX858">
        <v>1</v>
      </c>
      <c r="BY858" t="s">
        <v>745</v>
      </c>
      <c r="BZ858" t="s">
        <v>709</v>
      </c>
      <c r="CA858" t="s">
        <v>2</v>
      </c>
      <c r="CB858">
        <v>856</v>
      </c>
      <c r="CC858" t="b">
        <v>1</v>
      </c>
      <c r="CD858" t="s">
        <v>5336</v>
      </c>
      <c r="CE858" s="1482">
        <v>45880.737245370372</v>
      </c>
    </row>
    <row r="859" spans="1:83" x14ac:dyDescent="0.25">
      <c r="A859">
        <v>2022</v>
      </c>
      <c r="B859" t="s">
        <v>4</v>
      </c>
      <c r="C859" t="s">
        <v>873</v>
      </c>
      <c r="D859" t="s">
        <v>874</v>
      </c>
      <c r="E859" t="s">
        <v>104</v>
      </c>
      <c r="F859" t="s">
        <v>784</v>
      </c>
      <c r="G859" t="s">
        <v>39</v>
      </c>
      <c r="H859" t="s">
        <v>4001</v>
      </c>
      <c r="I859">
        <v>44939</v>
      </c>
      <c r="J859" t="s">
        <v>2052</v>
      </c>
      <c r="K859">
        <v>44978</v>
      </c>
      <c r="L859">
        <v>39</v>
      </c>
      <c r="M859" t="s">
        <v>5337</v>
      </c>
      <c r="N859" t="s">
        <v>120</v>
      </c>
      <c r="O859">
        <v>44986</v>
      </c>
      <c r="P859" t="s">
        <v>739</v>
      </c>
      <c r="Q859">
        <v>5237.5</v>
      </c>
      <c r="R859" t="s">
        <v>1922</v>
      </c>
      <c r="S859">
        <v>0</v>
      </c>
      <c r="U859">
        <v>5237.5</v>
      </c>
      <c r="AB859" t="s">
        <v>29</v>
      </c>
      <c r="AC859" t="s">
        <v>709</v>
      </c>
      <c r="AD859" t="s">
        <v>29</v>
      </c>
      <c r="AM859" t="s">
        <v>709</v>
      </c>
      <c r="AY859" t="s">
        <v>29</v>
      </c>
      <c r="BA859" t="s">
        <v>5156</v>
      </c>
      <c r="BB859" t="s">
        <v>5338</v>
      </c>
      <c r="BI859" t="s">
        <v>709</v>
      </c>
      <c r="BJ859" t="s">
        <v>709</v>
      </c>
      <c r="BK859" t="s">
        <v>709</v>
      </c>
      <c r="BL859" t="s">
        <v>116</v>
      </c>
      <c r="BM859" t="s">
        <v>709</v>
      </c>
      <c r="BN859" t="s">
        <v>709</v>
      </c>
      <c r="BO859" t="s">
        <v>709</v>
      </c>
      <c r="BP859">
        <v>1708</v>
      </c>
      <c r="BQ859" t="s">
        <v>709</v>
      </c>
      <c r="BR859" t="s">
        <v>709</v>
      </c>
      <c r="BS859">
        <v>562</v>
      </c>
      <c r="BT859" t="s">
        <v>745</v>
      </c>
      <c r="BU859" t="s">
        <v>709</v>
      </c>
      <c r="BV859" t="s">
        <v>745</v>
      </c>
      <c r="BW859" t="s">
        <v>709</v>
      </c>
      <c r="BX859" t="s">
        <v>745</v>
      </c>
      <c r="BY859" t="s">
        <v>745</v>
      </c>
      <c r="BZ859" t="s">
        <v>709</v>
      </c>
      <c r="CB859">
        <v>857</v>
      </c>
      <c r="CC859" t="b">
        <v>1</v>
      </c>
      <c r="CD859" t="s">
        <v>5339</v>
      </c>
      <c r="CE859" s="1482">
        <v>45880.737256944441</v>
      </c>
    </row>
    <row r="860" spans="1:83" ht="75" x14ac:dyDescent="0.25">
      <c r="A860">
        <v>2023</v>
      </c>
      <c r="B860" t="s">
        <v>731</v>
      </c>
      <c r="C860" t="s">
        <v>341</v>
      </c>
      <c r="D860" t="s">
        <v>5340</v>
      </c>
      <c r="E860" t="s">
        <v>342</v>
      </c>
      <c r="F860" t="s">
        <v>4899</v>
      </c>
      <c r="G860" t="s">
        <v>32</v>
      </c>
      <c r="H860" t="s">
        <v>59</v>
      </c>
      <c r="I860">
        <v>44888</v>
      </c>
      <c r="J860">
        <v>44981</v>
      </c>
      <c r="K860">
        <v>44978</v>
      </c>
      <c r="L860">
        <v>3</v>
      </c>
      <c r="N860" t="s">
        <v>120</v>
      </c>
      <c r="O860">
        <v>44986</v>
      </c>
      <c r="P860" t="s">
        <v>739</v>
      </c>
      <c r="Q860">
        <v>20250</v>
      </c>
      <c r="R860" t="s">
        <v>5341</v>
      </c>
      <c r="V860">
        <v>69</v>
      </c>
      <c r="W860">
        <v>3</v>
      </c>
      <c r="X860">
        <v>194076.88</v>
      </c>
      <c r="Z860">
        <v>33293.230000000003</v>
      </c>
      <c r="AA860">
        <v>227370.11</v>
      </c>
      <c r="AB860">
        <v>44967</v>
      </c>
      <c r="AC860" t="s">
        <v>116</v>
      </c>
      <c r="AD860" t="s">
        <v>29</v>
      </c>
      <c r="AM860" t="s">
        <v>709</v>
      </c>
      <c r="AY860" t="s">
        <v>29</v>
      </c>
      <c r="BA860" s="4" t="s">
        <v>5342</v>
      </c>
      <c r="BB860" t="s">
        <v>5343</v>
      </c>
      <c r="BC860" t="s">
        <v>709</v>
      </c>
      <c r="BD860" t="s">
        <v>115</v>
      </c>
      <c r="BE860" t="s">
        <v>3988</v>
      </c>
      <c r="BF860" t="s">
        <v>115</v>
      </c>
      <c r="BG860" t="s">
        <v>115</v>
      </c>
      <c r="BH860" t="s">
        <v>5344</v>
      </c>
      <c r="BI860" t="s">
        <v>709</v>
      </c>
      <c r="BJ860" t="s">
        <v>709</v>
      </c>
      <c r="BK860" t="s">
        <v>709</v>
      </c>
      <c r="BL860" t="s">
        <v>116</v>
      </c>
      <c r="BM860">
        <v>0</v>
      </c>
      <c r="BN860">
        <v>0</v>
      </c>
      <c r="BO860">
        <v>0</v>
      </c>
      <c r="BP860">
        <v>0</v>
      </c>
      <c r="BQ860">
        <v>63</v>
      </c>
      <c r="BR860">
        <v>6</v>
      </c>
      <c r="BS860">
        <v>0</v>
      </c>
      <c r="BT860">
        <v>0</v>
      </c>
      <c r="BU860">
        <v>0</v>
      </c>
      <c r="BV860">
        <v>1</v>
      </c>
      <c r="BW860">
        <v>1</v>
      </c>
      <c r="BX860">
        <v>1</v>
      </c>
      <c r="BY860">
        <v>0</v>
      </c>
      <c r="BZ860" t="s">
        <v>709</v>
      </c>
      <c r="CB860">
        <v>858</v>
      </c>
      <c r="CC860" t="b">
        <v>1</v>
      </c>
      <c r="CD860" t="s">
        <v>5345</v>
      </c>
      <c r="CE860" s="1482">
        <v>45880.737256944441</v>
      </c>
    </row>
    <row r="861" spans="1:83" x14ac:dyDescent="0.25">
      <c r="A861">
        <v>2023</v>
      </c>
      <c r="B861" t="s">
        <v>4</v>
      </c>
      <c r="C861" t="s">
        <v>1233</v>
      </c>
      <c r="D861" t="s">
        <v>1234</v>
      </c>
      <c r="E861" t="s">
        <v>1101</v>
      </c>
      <c r="F861" t="s">
        <v>747</v>
      </c>
      <c r="G861" t="s">
        <v>23</v>
      </c>
      <c r="H861" t="s">
        <v>4001</v>
      </c>
      <c r="I861">
        <v>44974</v>
      </c>
      <c r="J861" t="s">
        <v>2052</v>
      </c>
      <c r="K861">
        <v>44979</v>
      </c>
      <c r="L861">
        <v>5</v>
      </c>
      <c r="M861" t="s">
        <v>5346</v>
      </c>
      <c r="N861" t="s">
        <v>120</v>
      </c>
      <c r="O861">
        <v>44986</v>
      </c>
      <c r="P861" t="s">
        <v>739</v>
      </c>
      <c r="Q861">
        <v>3750</v>
      </c>
      <c r="R861" t="s">
        <v>1922</v>
      </c>
      <c r="S861">
        <v>0</v>
      </c>
      <c r="U861">
        <v>3750</v>
      </c>
      <c r="AB861" t="s">
        <v>29</v>
      </c>
      <c r="AC861" t="s">
        <v>709</v>
      </c>
      <c r="AD861" t="s">
        <v>709</v>
      </c>
      <c r="AM861" t="s">
        <v>709</v>
      </c>
      <c r="AY861" t="s">
        <v>29</v>
      </c>
      <c r="BA861" t="s">
        <v>4650</v>
      </c>
      <c r="BC861" t="s">
        <v>709</v>
      </c>
      <c r="BD861" t="s">
        <v>882</v>
      </c>
      <c r="BE861" t="s">
        <v>1106</v>
      </c>
      <c r="BF861" t="s">
        <v>709</v>
      </c>
      <c r="BG861" t="s">
        <v>709</v>
      </c>
      <c r="BI861" t="s">
        <v>709</v>
      </c>
      <c r="BJ861" t="s">
        <v>709</v>
      </c>
      <c r="BK861" t="s">
        <v>709</v>
      </c>
      <c r="BL861" t="s">
        <v>116</v>
      </c>
      <c r="BM861" t="s">
        <v>709</v>
      </c>
      <c r="BN861" t="s">
        <v>709</v>
      </c>
      <c r="BO861" t="s">
        <v>709</v>
      </c>
      <c r="BP861">
        <v>1747</v>
      </c>
      <c r="BQ861">
        <v>498</v>
      </c>
      <c r="BR861">
        <v>1564</v>
      </c>
      <c r="BS861">
        <v>1588</v>
      </c>
      <c r="BT861">
        <v>1</v>
      </c>
      <c r="BU861" t="s">
        <v>709</v>
      </c>
      <c r="BV861" t="s">
        <v>745</v>
      </c>
      <c r="BW861" t="s">
        <v>709</v>
      </c>
      <c r="BX861">
        <v>1</v>
      </c>
      <c r="BY861" t="s">
        <v>745</v>
      </c>
      <c r="BZ861" t="s">
        <v>709</v>
      </c>
      <c r="CA861" t="s">
        <v>1237</v>
      </c>
      <c r="CB861">
        <v>859</v>
      </c>
      <c r="CC861" t="b">
        <v>1</v>
      </c>
      <c r="CD861" t="s">
        <v>5347</v>
      </c>
      <c r="CE861" s="1482">
        <v>45880.737268518518</v>
      </c>
    </row>
    <row r="862" spans="1:83" ht="270" x14ac:dyDescent="0.25">
      <c r="A862">
        <v>2023</v>
      </c>
      <c r="B862" t="s">
        <v>4</v>
      </c>
      <c r="C862" t="s">
        <v>1408</v>
      </c>
      <c r="D862" t="s">
        <v>1409</v>
      </c>
      <c r="E862" t="s">
        <v>164</v>
      </c>
      <c r="F862" t="s">
        <v>784</v>
      </c>
      <c r="G862" t="s">
        <v>23</v>
      </c>
      <c r="H862" t="s">
        <v>59</v>
      </c>
      <c r="I862">
        <v>44778</v>
      </c>
      <c r="J862">
        <v>44981</v>
      </c>
      <c r="K862">
        <v>44980</v>
      </c>
      <c r="L862">
        <v>1</v>
      </c>
      <c r="N862" t="s">
        <v>120</v>
      </c>
      <c r="O862">
        <v>45017</v>
      </c>
      <c r="P862" t="s">
        <v>739</v>
      </c>
      <c r="Q862">
        <v>126536.673</v>
      </c>
      <c r="R862">
        <v>0.1</v>
      </c>
      <c r="V862">
        <v>3291</v>
      </c>
      <c r="X862">
        <v>1230812.25</v>
      </c>
      <c r="Z862">
        <v>34554.480000000003</v>
      </c>
      <c r="AA862">
        <v>1265366.73</v>
      </c>
      <c r="AB862">
        <v>45033</v>
      </c>
      <c r="AC862" t="s">
        <v>709</v>
      </c>
      <c r="AD862" t="s">
        <v>29</v>
      </c>
      <c r="AM862" t="s">
        <v>116</v>
      </c>
      <c r="AN862" t="s">
        <v>709</v>
      </c>
      <c r="AO862" t="s">
        <v>115</v>
      </c>
      <c r="AS862">
        <v>0</v>
      </c>
      <c r="AT862">
        <v>0</v>
      </c>
      <c r="AU862">
        <v>0</v>
      </c>
      <c r="AY862" t="s">
        <v>709</v>
      </c>
      <c r="AZ862">
        <v>78</v>
      </c>
      <c r="BA862" s="4" t="s">
        <v>1410</v>
      </c>
      <c r="BB862" t="s">
        <v>1411</v>
      </c>
      <c r="BC862" t="s">
        <v>115</v>
      </c>
      <c r="BD862" t="s">
        <v>115</v>
      </c>
      <c r="BE862" t="s">
        <v>1411</v>
      </c>
      <c r="BF862" t="s">
        <v>115</v>
      </c>
      <c r="BG862" t="s">
        <v>115</v>
      </c>
      <c r="BI862" t="s">
        <v>709</v>
      </c>
      <c r="BJ862" t="s">
        <v>709</v>
      </c>
      <c r="BK862" t="s">
        <v>709</v>
      </c>
      <c r="BL862" t="s">
        <v>116</v>
      </c>
      <c r="BM862" t="s">
        <v>709</v>
      </c>
      <c r="BN862" t="s">
        <v>709</v>
      </c>
      <c r="BO862" t="s">
        <v>709</v>
      </c>
      <c r="BP862" t="s">
        <v>709</v>
      </c>
      <c r="BQ862" t="s">
        <v>709</v>
      </c>
      <c r="BR862">
        <v>2067</v>
      </c>
      <c r="BS862">
        <v>1224</v>
      </c>
      <c r="BT862" t="s">
        <v>745</v>
      </c>
      <c r="BU862" t="s">
        <v>709</v>
      </c>
      <c r="BV862" t="s">
        <v>745</v>
      </c>
      <c r="BW862" t="s">
        <v>709</v>
      </c>
      <c r="BX862" t="s">
        <v>745</v>
      </c>
      <c r="BY862" t="s">
        <v>745</v>
      </c>
      <c r="BZ862" t="s">
        <v>709</v>
      </c>
      <c r="CB862">
        <v>863</v>
      </c>
      <c r="CC862" t="b">
        <v>1</v>
      </c>
      <c r="CD862" t="s">
        <v>5348</v>
      </c>
      <c r="CE862" s="1482">
        <v>45880.737280092595</v>
      </c>
    </row>
    <row r="863" spans="1:83" ht="180" x14ac:dyDescent="0.25">
      <c r="A863">
        <v>2023</v>
      </c>
      <c r="B863" t="s">
        <v>4</v>
      </c>
      <c r="C863" t="s">
        <v>5349</v>
      </c>
      <c r="D863" t="s">
        <v>5350</v>
      </c>
      <c r="E863" t="s">
        <v>3579</v>
      </c>
      <c r="F863" t="s">
        <v>747</v>
      </c>
      <c r="G863" t="s">
        <v>25</v>
      </c>
      <c r="H863" t="s">
        <v>59</v>
      </c>
      <c r="I863">
        <v>44908</v>
      </c>
      <c r="J863">
        <v>44985</v>
      </c>
      <c r="K863">
        <v>44980</v>
      </c>
      <c r="L863">
        <v>5</v>
      </c>
      <c r="N863" t="s">
        <v>120</v>
      </c>
      <c r="O863">
        <v>44986</v>
      </c>
      <c r="P863" t="s">
        <v>739</v>
      </c>
      <c r="Q863">
        <v>26227.813999999998</v>
      </c>
      <c r="R863">
        <v>0.1</v>
      </c>
      <c r="V863">
        <v>237</v>
      </c>
      <c r="W863">
        <v>0</v>
      </c>
      <c r="X863">
        <v>235861.54</v>
      </c>
      <c r="Z863">
        <v>26416.6</v>
      </c>
      <c r="AA863">
        <v>262278.14</v>
      </c>
      <c r="AB863">
        <v>44986</v>
      </c>
      <c r="AC863" t="s">
        <v>709</v>
      </c>
      <c r="AD863" t="s">
        <v>29</v>
      </c>
      <c r="AM863" t="s">
        <v>116</v>
      </c>
      <c r="AN863">
        <v>45189</v>
      </c>
      <c r="AO863">
        <v>11071524</v>
      </c>
      <c r="AP863">
        <v>236963.66</v>
      </c>
      <c r="AR863">
        <v>26416.6</v>
      </c>
      <c r="AS863">
        <v>263380.26</v>
      </c>
      <c r="AT863">
        <v>1102.1199999999999</v>
      </c>
      <c r="AU863">
        <v>110.212</v>
      </c>
      <c r="AV863" t="s">
        <v>709</v>
      </c>
      <c r="AX863">
        <v>110.212</v>
      </c>
      <c r="AY863">
        <v>45352</v>
      </c>
      <c r="BA863" s="4" t="s">
        <v>5351</v>
      </c>
      <c r="BB863" t="s">
        <v>5352</v>
      </c>
      <c r="BC863" t="s">
        <v>116</v>
      </c>
      <c r="BD863" t="s">
        <v>115</v>
      </c>
      <c r="BE863" t="s">
        <v>3581</v>
      </c>
      <c r="BF863" t="s">
        <v>115</v>
      </c>
      <c r="BG863" t="s">
        <v>115</v>
      </c>
      <c r="BI863" t="s">
        <v>709</v>
      </c>
      <c r="BJ863" t="s">
        <v>709</v>
      </c>
      <c r="BK863" t="s">
        <v>709</v>
      </c>
      <c r="BL863" t="s">
        <v>116</v>
      </c>
      <c r="BM863" t="s">
        <v>709</v>
      </c>
      <c r="BN863" t="s">
        <v>709</v>
      </c>
      <c r="BO863" t="s">
        <v>709</v>
      </c>
      <c r="BP863" t="s">
        <v>709</v>
      </c>
      <c r="BQ863" t="s">
        <v>709</v>
      </c>
      <c r="BR863">
        <v>237</v>
      </c>
      <c r="BS863" t="s">
        <v>709</v>
      </c>
      <c r="BT863" t="s">
        <v>745</v>
      </c>
      <c r="BU863" t="s">
        <v>709</v>
      </c>
      <c r="BV863" t="s">
        <v>745</v>
      </c>
      <c r="BW863" t="s">
        <v>709</v>
      </c>
      <c r="BX863" t="s">
        <v>745</v>
      </c>
      <c r="BY863" t="s">
        <v>745</v>
      </c>
      <c r="BZ863" t="s">
        <v>709</v>
      </c>
      <c r="CB863">
        <v>862</v>
      </c>
      <c r="CC863" t="b">
        <v>1</v>
      </c>
      <c r="CD863" t="s">
        <v>5353</v>
      </c>
      <c r="CE863" s="1482">
        <v>45880.737280092595</v>
      </c>
    </row>
    <row r="864" spans="1:83" ht="405" x14ac:dyDescent="0.25">
      <c r="A864">
        <v>2023</v>
      </c>
      <c r="B864" t="s">
        <v>4</v>
      </c>
      <c r="C864" t="s">
        <v>5354</v>
      </c>
      <c r="D864" t="s">
        <v>5355</v>
      </c>
      <c r="E864" t="s">
        <v>2144</v>
      </c>
      <c r="F864" t="s">
        <v>747</v>
      </c>
      <c r="G864" t="s">
        <v>33</v>
      </c>
      <c r="H864" t="s">
        <v>59</v>
      </c>
      <c r="I864">
        <v>44851</v>
      </c>
      <c r="J864">
        <v>44985</v>
      </c>
      <c r="K864">
        <v>44980</v>
      </c>
      <c r="L864">
        <v>5</v>
      </c>
      <c r="N864" t="s">
        <v>120</v>
      </c>
      <c r="O864">
        <v>44986</v>
      </c>
      <c r="P864" t="s">
        <v>739</v>
      </c>
      <c r="Q864">
        <v>66404.373000000007</v>
      </c>
      <c r="R864">
        <v>0.1</v>
      </c>
      <c r="V864">
        <v>1483</v>
      </c>
      <c r="W864">
        <v>0</v>
      </c>
      <c r="X864">
        <v>629617.54</v>
      </c>
      <c r="Z864">
        <v>34426.19</v>
      </c>
      <c r="AA864">
        <v>664043.73</v>
      </c>
      <c r="AB864">
        <v>44984</v>
      </c>
      <c r="AC864" t="s">
        <v>709</v>
      </c>
      <c r="AD864" t="s">
        <v>29</v>
      </c>
      <c r="AM864" t="s">
        <v>116</v>
      </c>
      <c r="AN864">
        <v>45022</v>
      </c>
      <c r="AO864">
        <v>11057014</v>
      </c>
      <c r="AP864">
        <v>629617.54</v>
      </c>
      <c r="AR864">
        <v>34426.19</v>
      </c>
      <c r="AS864">
        <v>664043.73</v>
      </c>
      <c r="AT864">
        <v>0</v>
      </c>
      <c r="AU864">
        <v>0</v>
      </c>
      <c r="AV864" t="s">
        <v>376</v>
      </c>
      <c r="AY864" t="s">
        <v>1935</v>
      </c>
      <c r="BA864" s="4" t="s">
        <v>5356</v>
      </c>
      <c r="BB864" t="s">
        <v>870</v>
      </c>
      <c r="BC864" t="s">
        <v>116</v>
      </c>
      <c r="BD864" t="s">
        <v>115</v>
      </c>
      <c r="BE864" t="s">
        <v>115</v>
      </c>
      <c r="BF864" t="s">
        <v>115</v>
      </c>
      <c r="BG864" t="s">
        <v>5357</v>
      </c>
      <c r="BH864" t="s">
        <v>5358</v>
      </c>
      <c r="BI864" t="s">
        <v>709</v>
      </c>
      <c r="BJ864" t="s">
        <v>709</v>
      </c>
      <c r="BK864" t="s">
        <v>709</v>
      </c>
      <c r="BL864" t="s">
        <v>116</v>
      </c>
      <c r="BM864" t="s">
        <v>709</v>
      </c>
      <c r="BN864" t="s">
        <v>709</v>
      </c>
      <c r="BO864" t="s">
        <v>709</v>
      </c>
      <c r="BP864" t="s">
        <v>709</v>
      </c>
      <c r="BQ864">
        <v>1004</v>
      </c>
      <c r="BR864" t="s">
        <v>709</v>
      </c>
      <c r="BS864">
        <v>479</v>
      </c>
      <c r="BT864" t="s">
        <v>745</v>
      </c>
      <c r="BU864" t="s">
        <v>709</v>
      </c>
      <c r="BV864" t="s">
        <v>745</v>
      </c>
      <c r="BW864" t="s">
        <v>709</v>
      </c>
      <c r="BX864" t="s">
        <v>745</v>
      </c>
      <c r="BY864" t="s">
        <v>745</v>
      </c>
      <c r="BZ864" t="s">
        <v>709</v>
      </c>
      <c r="CB864">
        <v>861</v>
      </c>
      <c r="CC864" t="b">
        <v>1</v>
      </c>
      <c r="CD864" t="s">
        <v>5359</v>
      </c>
      <c r="CE864" s="1482">
        <v>45880.737291666665</v>
      </c>
    </row>
    <row r="865" spans="1:83" ht="285" x14ac:dyDescent="0.25">
      <c r="A865">
        <v>2023</v>
      </c>
      <c r="B865" t="s">
        <v>4</v>
      </c>
      <c r="C865" t="s">
        <v>5360</v>
      </c>
      <c r="D865" t="s">
        <v>5361</v>
      </c>
      <c r="E865" t="s">
        <v>4848</v>
      </c>
      <c r="F865" t="s">
        <v>747</v>
      </c>
      <c r="G865" t="s">
        <v>35</v>
      </c>
      <c r="H865" t="s">
        <v>59</v>
      </c>
      <c r="I865">
        <v>44798</v>
      </c>
      <c r="J865">
        <v>44981</v>
      </c>
      <c r="K865">
        <v>44980</v>
      </c>
      <c r="L865">
        <v>1</v>
      </c>
      <c r="N865" t="s">
        <v>120</v>
      </c>
      <c r="O865">
        <v>44986</v>
      </c>
      <c r="P865" t="s">
        <v>739</v>
      </c>
      <c r="Q865">
        <v>220865.264</v>
      </c>
      <c r="R865">
        <v>0.1</v>
      </c>
      <c r="V865">
        <v>3504</v>
      </c>
      <c r="W865">
        <v>0</v>
      </c>
      <c r="X865">
        <v>1099201.51</v>
      </c>
      <c r="Z865">
        <v>1109451.1299999999</v>
      </c>
      <c r="AA865">
        <v>2208652.64</v>
      </c>
      <c r="AB865">
        <v>44984</v>
      </c>
      <c r="AC865" t="s">
        <v>709</v>
      </c>
      <c r="AD865" t="s">
        <v>116</v>
      </c>
      <c r="AM865" t="s">
        <v>116</v>
      </c>
      <c r="AN865">
        <v>45189</v>
      </c>
      <c r="AO865">
        <v>11071516</v>
      </c>
      <c r="AP865">
        <v>1095732.51</v>
      </c>
      <c r="AR865">
        <v>1131847.92</v>
      </c>
      <c r="AS865">
        <v>2227580.4300000002</v>
      </c>
      <c r="AT865">
        <v>18927.79</v>
      </c>
      <c r="AU865">
        <v>1892.779</v>
      </c>
      <c r="AV865" t="s">
        <v>709</v>
      </c>
      <c r="AX865">
        <v>1892.779</v>
      </c>
      <c r="AY865">
        <v>45352</v>
      </c>
      <c r="BA865" s="4" t="s">
        <v>5362</v>
      </c>
      <c r="BB865" t="s">
        <v>1092</v>
      </c>
      <c r="BC865" t="s">
        <v>116</v>
      </c>
      <c r="BD865" t="s">
        <v>1092</v>
      </c>
      <c r="BE865" t="s">
        <v>5363</v>
      </c>
      <c r="BF865" t="s">
        <v>5363</v>
      </c>
      <c r="BG865" t="s">
        <v>115</v>
      </c>
      <c r="BI865" t="s">
        <v>709</v>
      </c>
      <c r="BJ865" t="s">
        <v>709</v>
      </c>
      <c r="BK865" t="s">
        <v>709</v>
      </c>
      <c r="BL865" t="s">
        <v>116</v>
      </c>
      <c r="BM865" t="s">
        <v>709</v>
      </c>
      <c r="BN865" t="s">
        <v>709</v>
      </c>
      <c r="BO865" t="s">
        <v>709</v>
      </c>
      <c r="BP865" t="s">
        <v>709</v>
      </c>
      <c r="BQ865">
        <v>1784</v>
      </c>
      <c r="BR865">
        <v>1563</v>
      </c>
      <c r="BS865">
        <v>157</v>
      </c>
      <c r="BT865" t="s">
        <v>745</v>
      </c>
      <c r="BU865" t="s">
        <v>709</v>
      </c>
      <c r="BV865" t="s">
        <v>745</v>
      </c>
      <c r="BW865" t="s">
        <v>709</v>
      </c>
      <c r="BX865" t="s">
        <v>745</v>
      </c>
      <c r="BY865" t="s">
        <v>745</v>
      </c>
      <c r="BZ865" t="s">
        <v>709</v>
      </c>
      <c r="CB865">
        <v>860</v>
      </c>
      <c r="CC865" t="b">
        <v>1</v>
      </c>
      <c r="CD865" t="s">
        <v>5364</v>
      </c>
      <c r="CE865" s="1482">
        <v>45880.737303240741</v>
      </c>
    </row>
    <row r="866" spans="1:83" ht="180" x14ac:dyDescent="0.25">
      <c r="A866">
        <v>2022</v>
      </c>
      <c r="B866" t="s">
        <v>4</v>
      </c>
      <c r="C866" t="s">
        <v>385</v>
      </c>
      <c r="D866" t="s">
        <v>782</v>
      </c>
      <c r="E866" t="s">
        <v>386</v>
      </c>
      <c r="F866" t="s">
        <v>784</v>
      </c>
      <c r="G866" t="s">
        <v>39</v>
      </c>
      <c r="H866" t="s">
        <v>4354</v>
      </c>
      <c r="I866">
        <v>44090</v>
      </c>
      <c r="J866" t="s">
        <v>4354</v>
      </c>
      <c r="K866">
        <v>44984</v>
      </c>
      <c r="L866">
        <v>894</v>
      </c>
      <c r="M866" t="s">
        <v>5365</v>
      </c>
      <c r="N866" t="s">
        <v>120</v>
      </c>
      <c r="O866">
        <v>45016</v>
      </c>
      <c r="P866" t="s">
        <v>739</v>
      </c>
      <c r="Q866">
        <v>38796</v>
      </c>
      <c r="R866" t="s">
        <v>1922</v>
      </c>
      <c r="S866">
        <v>721</v>
      </c>
      <c r="U866">
        <v>38075</v>
      </c>
      <c r="AB866" t="s">
        <v>29</v>
      </c>
      <c r="AC866" t="s">
        <v>709</v>
      </c>
      <c r="AD866" t="s">
        <v>29</v>
      </c>
      <c r="AM866" t="s">
        <v>709</v>
      </c>
      <c r="AY866" t="s">
        <v>29</v>
      </c>
      <c r="BA866" s="4" t="s">
        <v>786</v>
      </c>
      <c r="BB866" t="s">
        <v>787</v>
      </c>
      <c r="BC866" t="s">
        <v>709</v>
      </c>
      <c r="BD866" t="s">
        <v>788</v>
      </c>
      <c r="BE866" t="s">
        <v>115</v>
      </c>
      <c r="BF866" t="s">
        <v>789</v>
      </c>
      <c r="BG866" t="s">
        <v>115</v>
      </c>
      <c r="BI866" t="s">
        <v>709</v>
      </c>
      <c r="BJ866" t="s">
        <v>709</v>
      </c>
      <c r="BK866" t="s">
        <v>709</v>
      </c>
      <c r="BL866" t="s">
        <v>116</v>
      </c>
      <c r="BM866" t="s">
        <v>709</v>
      </c>
      <c r="BN866" t="s">
        <v>116</v>
      </c>
      <c r="BO866" t="s">
        <v>709</v>
      </c>
      <c r="BP866" t="s">
        <v>116</v>
      </c>
      <c r="BQ866" t="s">
        <v>116</v>
      </c>
      <c r="BR866" t="s">
        <v>116</v>
      </c>
      <c r="BS866" t="s">
        <v>116</v>
      </c>
      <c r="BT866" t="s">
        <v>745</v>
      </c>
      <c r="BU866" t="s">
        <v>709</v>
      </c>
      <c r="BV866" t="s">
        <v>745</v>
      </c>
      <c r="BW866" t="s">
        <v>709</v>
      </c>
      <c r="BX866" t="s">
        <v>745</v>
      </c>
      <c r="BY866" t="s">
        <v>745</v>
      </c>
      <c r="BZ866" t="s">
        <v>709</v>
      </c>
      <c r="CB866">
        <v>867</v>
      </c>
      <c r="CC866" t="b">
        <v>1</v>
      </c>
      <c r="CD866" t="s">
        <v>5366</v>
      </c>
      <c r="CE866" s="1482">
        <v>45880.737314814818</v>
      </c>
    </row>
    <row r="867" spans="1:83" x14ac:dyDescent="0.25">
      <c r="A867">
        <v>2023</v>
      </c>
      <c r="B867" t="s">
        <v>771</v>
      </c>
      <c r="C867" t="s">
        <v>5367</v>
      </c>
      <c r="D867" t="s">
        <v>5368</v>
      </c>
      <c r="E867" t="s">
        <v>141</v>
      </c>
      <c r="F867" t="s">
        <v>747</v>
      </c>
      <c r="G867" t="s">
        <v>36</v>
      </c>
      <c r="H867" t="s">
        <v>59</v>
      </c>
      <c r="I867">
        <v>44896</v>
      </c>
      <c r="J867">
        <v>44985</v>
      </c>
      <c r="K867">
        <v>44984</v>
      </c>
      <c r="L867">
        <v>1</v>
      </c>
      <c r="N867" t="s">
        <v>120</v>
      </c>
      <c r="O867">
        <v>44986</v>
      </c>
      <c r="P867" t="s">
        <v>120</v>
      </c>
      <c r="Q867">
        <v>15815</v>
      </c>
      <c r="R867" t="s">
        <v>1922</v>
      </c>
      <c r="S867">
        <v>552.5</v>
      </c>
      <c r="U867">
        <v>15262.5</v>
      </c>
      <c r="V867">
        <v>1102</v>
      </c>
      <c r="W867">
        <v>0</v>
      </c>
      <c r="X867">
        <v>507185.56</v>
      </c>
      <c r="Z867">
        <v>26867.54</v>
      </c>
      <c r="AA867">
        <v>534053.1</v>
      </c>
      <c r="AB867" t="s">
        <v>116</v>
      </c>
      <c r="AC867" t="s">
        <v>1516</v>
      </c>
      <c r="AD867" t="s">
        <v>116</v>
      </c>
      <c r="AM867" t="s">
        <v>709</v>
      </c>
      <c r="AY867" t="s">
        <v>29</v>
      </c>
      <c r="BA867" t="s">
        <v>5369</v>
      </c>
      <c r="BB867" t="s">
        <v>5370</v>
      </c>
      <c r="BC867" t="s">
        <v>709</v>
      </c>
      <c r="BD867" t="s">
        <v>115</v>
      </c>
      <c r="BE867" t="s">
        <v>757</v>
      </c>
      <c r="BF867" t="s">
        <v>115</v>
      </c>
      <c r="BG867" t="s">
        <v>5371</v>
      </c>
      <c r="BI867" t="s">
        <v>709</v>
      </c>
      <c r="BJ867" t="s">
        <v>709</v>
      </c>
      <c r="BK867" t="s">
        <v>709</v>
      </c>
      <c r="BL867" t="s">
        <v>116</v>
      </c>
      <c r="BM867" t="s">
        <v>709</v>
      </c>
      <c r="BN867" t="s">
        <v>709</v>
      </c>
      <c r="BO867" t="s">
        <v>709</v>
      </c>
      <c r="BP867" t="s">
        <v>709</v>
      </c>
      <c r="BQ867">
        <v>708</v>
      </c>
      <c r="BR867" t="s">
        <v>709</v>
      </c>
      <c r="BS867">
        <v>394</v>
      </c>
      <c r="BT867" t="s">
        <v>745</v>
      </c>
      <c r="BU867" t="s">
        <v>709</v>
      </c>
      <c r="BV867" t="s">
        <v>745</v>
      </c>
      <c r="BW867" t="s">
        <v>709</v>
      </c>
      <c r="BX867" t="s">
        <v>745</v>
      </c>
      <c r="BY867" t="s">
        <v>745</v>
      </c>
      <c r="BZ867" t="s">
        <v>709</v>
      </c>
      <c r="CB867">
        <v>865</v>
      </c>
      <c r="CC867" t="b">
        <v>1</v>
      </c>
      <c r="CD867" t="s">
        <v>5372</v>
      </c>
      <c r="CE867" s="1482">
        <v>45880.737326388888</v>
      </c>
    </row>
    <row r="868" spans="1:83" ht="360" x14ac:dyDescent="0.25">
      <c r="A868">
        <v>2023</v>
      </c>
      <c r="B868" t="s">
        <v>731</v>
      </c>
      <c r="C868" t="s">
        <v>5373</v>
      </c>
      <c r="D868" t="s">
        <v>5374</v>
      </c>
      <c r="E868" t="s">
        <v>354</v>
      </c>
      <c r="F868" t="s">
        <v>4899</v>
      </c>
      <c r="G868" t="s">
        <v>24</v>
      </c>
      <c r="H868" t="s">
        <v>59</v>
      </c>
      <c r="I868">
        <v>44888</v>
      </c>
      <c r="J868">
        <v>44999</v>
      </c>
      <c r="K868">
        <v>44984</v>
      </c>
      <c r="L868">
        <v>15</v>
      </c>
      <c r="N868" t="s">
        <v>120</v>
      </c>
      <c r="O868">
        <v>44986</v>
      </c>
      <c r="P868" t="s">
        <v>739</v>
      </c>
      <c r="Q868">
        <v>28750</v>
      </c>
      <c r="R868" t="s">
        <v>5256</v>
      </c>
      <c r="V868">
        <v>0</v>
      </c>
      <c r="W868">
        <v>5</v>
      </c>
      <c r="X868">
        <v>0</v>
      </c>
      <c r="Z868">
        <v>295532.46999999997</v>
      </c>
      <c r="AA868">
        <v>295532.46999999997</v>
      </c>
      <c r="AB868" t="s">
        <v>29</v>
      </c>
      <c r="AC868" t="s">
        <v>709</v>
      </c>
      <c r="AD868" t="s">
        <v>709</v>
      </c>
      <c r="AM868" t="s">
        <v>709</v>
      </c>
      <c r="AY868" t="s">
        <v>29</v>
      </c>
      <c r="BA868" s="4" t="s">
        <v>5375</v>
      </c>
      <c r="BB868" s="4" t="s">
        <v>5376</v>
      </c>
      <c r="BC868" t="s">
        <v>5377</v>
      </c>
      <c r="BD868" t="s">
        <v>5378</v>
      </c>
      <c r="BE868" t="s">
        <v>588</v>
      </c>
      <c r="BF868" t="s">
        <v>115</v>
      </c>
      <c r="BG868" t="s">
        <v>5379</v>
      </c>
      <c r="BH868" t="s">
        <v>5380</v>
      </c>
      <c r="BI868" t="s">
        <v>709</v>
      </c>
      <c r="BJ868" t="s">
        <v>709</v>
      </c>
      <c r="BK868" t="s">
        <v>709</v>
      </c>
      <c r="BL868" t="s">
        <v>709</v>
      </c>
      <c r="BM868" t="s">
        <v>709</v>
      </c>
      <c r="BN868" t="s">
        <v>709</v>
      </c>
      <c r="BO868" t="s">
        <v>709</v>
      </c>
      <c r="BP868" t="s">
        <v>709</v>
      </c>
      <c r="BQ868" t="s">
        <v>709</v>
      </c>
      <c r="BR868" t="s">
        <v>709</v>
      </c>
      <c r="BS868" t="s">
        <v>709</v>
      </c>
      <c r="BT868" t="s">
        <v>745</v>
      </c>
      <c r="BU868" t="s">
        <v>709</v>
      </c>
      <c r="BV868">
        <v>5</v>
      </c>
      <c r="BW868" t="s">
        <v>709</v>
      </c>
      <c r="BX868" t="s">
        <v>745</v>
      </c>
      <c r="BY868" t="s">
        <v>745</v>
      </c>
      <c r="BZ868" t="s">
        <v>709</v>
      </c>
      <c r="CA868" t="s">
        <v>1146</v>
      </c>
      <c r="CB868">
        <v>866</v>
      </c>
      <c r="CC868" t="b">
        <v>1</v>
      </c>
      <c r="CD868" t="s">
        <v>5381</v>
      </c>
      <c r="CE868" s="1482">
        <v>45880.737326388888</v>
      </c>
    </row>
    <row r="869" spans="1:83" x14ac:dyDescent="0.25">
      <c r="A869">
        <v>2023</v>
      </c>
      <c r="B869" t="s">
        <v>771</v>
      </c>
      <c r="C869" t="s">
        <v>5382</v>
      </c>
      <c r="D869" t="s">
        <v>5383</v>
      </c>
      <c r="E869" t="s">
        <v>141</v>
      </c>
      <c r="F869" t="s">
        <v>747</v>
      </c>
      <c r="G869" t="s">
        <v>36</v>
      </c>
      <c r="H869" t="s">
        <v>59</v>
      </c>
      <c r="I869">
        <v>44896</v>
      </c>
      <c r="J869">
        <v>44985</v>
      </c>
      <c r="K869">
        <v>44984</v>
      </c>
      <c r="L869">
        <v>1</v>
      </c>
      <c r="N869" t="s">
        <v>120</v>
      </c>
      <c r="O869">
        <v>44986</v>
      </c>
      <c r="P869" t="s">
        <v>120</v>
      </c>
      <c r="Q869">
        <v>16176.25</v>
      </c>
      <c r="R869" t="s">
        <v>1922</v>
      </c>
      <c r="S869">
        <v>523.75</v>
      </c>
      <c r="U869">
        <v>15652.5</v>
      </c>
      <c r="V869">
        <v>1083</v>
      </c>
      <c r="W869">
        <v>0</v>
      </c>
      <c r="X869">
        <v>463530.5</v>
      </c>
      <c r="Z869">
        <v>48017.84</v>
      </c>
      <c r="AA869">
        <v>511548.34</v>
      </c>
      <c r="AB869" t="s">
        <v>116</v>
      </c>
      <c r="AC869" t="s">
        <v>1516</v>
      </c>
      <c r="AD869" t="s">
        <v>116</v>
      </c>
      <c r="AM869" t="s">
        <v>709</v>
      </c>
      <c r="AY869" t="s">
        <v>29</v>
      </c>
      <c r="BA869" t="s">
        <v>5384</v>
      </c>
      <c r="BB869" t="s">
        <v>5385</v>
      </c>
      <c r="BC869" t="s">
        <v>116</v>
      </c>
      <c r="BD869" t="s">
        <v>115</v>
      </c>
      <c r="BE869" t="s">
        <v>757</v>
      </c>
      <c r="BF869" t="s">
        <v>115</v>
      </c>
      <c r="BG869" t="s">
        <v>5386</v>
      </c>
      <c r="BH869" t="s">
        <v>5387</v>
      </c>
      <c r="BI869" t="s">
        <v>709</v>
      </c>
      <c r="BJ869" t="s">
        <v>709</v>
      </c>
      <c r="BK869" t="s">
        <v>709</v>
      </c>
      <c r="BL869" t="s">
        <v>116</v>
      </c>
      <c r="BM869" t="s">
        <v>709</v>
      </c>
      <c r="BN869" t="s">
        <v>709</v>
      </c>
      <c r="BO869" t="s">
        <v>709</v>
      </c>
      <c r="BP869">
        <v>361</v>
      </c>
      <c r="BQ869">
        <v>595</v>
      </c>
      <c r="BR869" t="s">
        <v>709</v>
      </c>
      <c r="BS869">
        <v>127</v>
      </c>
      <c r="BT869" t="s">
        <v>709</v>
      </c>
      <c r="BU869" t="s">
        <v>709</v>
      </c>
      <c r="BV869" t="s">
        <v>709</v>
      </c>
      <c r="BW869" t="s">
        <v>709</v>
      </c>
      <c r="BX869" t="s">
        <v>745</v>
      </c>
      <c r="BY869" t="s">
        <v>709</v>
      </c>
      <c r="BZ869" t="s">
        <v>709</v>
      </c>
      <c r="CB869">
        <v>864</v>
      </c>
      <c r="CC869" t="b">
        <v>1</v>
      </c>
      <c r="CD869" t="s">
        <v>5388</v>
      </c>
      <c r="CE869" s="1482">
        <v>45880.737326388888</v>
      </c>
    </row>
    <row r="870" spans="1:83" x14ac:dyDescent="0.25">
      <c r="A870">
        <v>2023</v>
      </c>
      <c r="B870" t="s">
        <v>4</v>
      </c>
      <c r="C870" t="s">
        <v>5067</v>
      </c>
      <c r="D870">
        <v>1211846</v>
      </c>
      <c r="E870" t="s">
        <v>5069</v>
      </c>
      <c r="F870" t="s">
        <v>747</v>
      </c>
      <c r="G870" t="s">
        <v>25</v>
      </c>
      <c r="H870" t="s">
        <v>4189</v>
      </c>
      <c r="I870">
        <v>44971</v>
      </c>
      <c r="J870" t="s">
        <v>2052</v>
      </c>
      <c r="K870">
        <v>44985</v>
      </c>
      <c r="L870">
        <v>14</v>
      </c>
      <c r="M870" t="s">
        <v>5389</v>
      </c>
      <c r="N870" t="s">
        <v>120</v>
      </c>
      <c r="O870">
        <v>44986</v>
      </c>
      <c r="P870" t="s">
        <v>739</v>
      </c>
      <c r="Q870">
        <v>6027.5</v>
      </c>
      <c r="R870" t="s">
        <v>1922</v>
      </c>
      <c r="S870">
        <v>0</v>
      </c>
      <c r="U870">
        <v>6027.5</v>
      </c>
      <c r="AB870" t="s">
        <v>29</v>
      </c>
      <c r="AC870" t="s">
        <v>709</v>
      </c>
      <c r="AD870" t="s">
        <v>29</v>
      </c>
      <c r="AM870" t="s">
        <v>709</v>
      </c>
      <c r="AY870" t="s">
        <v>29</v>
      </c>
      <c r="BA870" t="s">
        <v>4919</v>
      </c>
      <c r="BB870" t="s">
        <v>5281</v>
      </c>
      <c r="BH870" t="s">
        <v>5390</v>
      </c>
      <c r="BI870" t="s">
        <v>709</v>
      </c>
      <c r="BJ870" t="s">
        <v>709</v>
      </c>
      <c r="BK870" t="s">
        <v>709</v>
      </c>
      <c r="BL870" t="s">
        <v>116</v>
      </c>
      <c r="BM870" t="s">
        <v>709</v>
      </c>
      <c r="BN870" t="s">
        <v>709</v>
      </c>
      <c r="BO870" t="s">
        <v>709</v>
      </c>
      <c r="BP870" t="s">
        <v>709</v>
      </c>
      <c r="BQ870" t="s">
        <v>709</v>
      </c>
      <c r="BR870">
        <v>252</v>
      </c>
      <c r="BS870">
        <v>854</v>
      </c>
      <c r="BT870" t="s">
        <v>745</v>
      </c>
      <c r="BU870" t="s">
        <v>709</v>
      </c>
      <c r="BV870" t="s">
        <v>745</v>
      </c>
      <c r="BW870" t="s">
        <v>709</v>
      </c>
      <c r="BX870" t="s">
        <v>745</v>
      </c>
      <c r="BY870" t="s">
        <v>745</v>
      </c>
      <c r="BZ870" t="s">
        <v>709</v>
      </c>
      <c r="CB870">
        <v>870</v>
      </c>
      <c r="CC870" t="b">
        <v>1</v>
      </c>
      <c r="CD870" t="s">
        <v>5391</v>
      </c>
      <c r="CE870" s="1482">
        <v>45880.737337962964</v>
      </c>
    </row>
    <row r="871" spans="1:83" ht="165" x14ac:dyDescent="0.25">
      <c r="A871">
        <v>2023</v>
      </c>
      <c r="B871" t="s">
        <v>730</v>
      </c>
      <c r="C871" t="s">
        <v>466</v>
      </c>
      <c r="D871" t="s">
        <v>5392</v>
      </c>
      <c r="E871" t="s">
        <v>3731</v>
      </c>
      <c r="F871" t="s">
        <v>752</v>
      </c>
      <c r="G871" t="s">
        <v>34</v>
      </c>
      <c r="H871" t="s">
        <v>59</v>
      </c>
      <c r="I871">
        <v>44865</v>
      </c>
      <c r="J871">
        <v>44985</v>
      </c>
      <c r="K871">
        <v>44985</v>
      </c>
      <c r="L871">
        <v>0</v>
      </c>
      <c r="N871" t="s">
        <v>120</v>
      </c>
      <c r="O871">
        <v>44986</v>
      </c>
      <c r="P871" t="s">
        <v>120</v>
      </c>
      <c r="Q871">
        <v>12750</v>
      </c>
      <c r="R871" t="s">
        <v>5194</v>
      </c>
      <c r="V871">
        <v>178</v>
      </c>
      <c r="W871">
        <v>1</v>
      </c>
      <c r="X871">
        <v>185153.63</v>
      </c>
      <c r="Z871">
        <v>32382.69</v>
      </c>
      <c r="AA871">
        <v>217536.32</v>
      </c>
      <c r="AB871" t="s">
        <v>116</v>
      </c>
      <c r="AC871" t="s">
        <v>1056</v>
      </c>
      <c r="AD871" t="s">
        <v>29</v>
      </c>
      <c r="AM871" t="s">
        <v>709</v>
      </c>
      <c r="AY871" t="s">
        <v>29</v>
      </c>
      <c r="BA871" t="s">
        <v>5393</v>
      </c>
      <c r="BB871" s="4" t="s">
        <v>5394</v>
      </c>
      <c r="BC871" t="s">
        <v>115</v>
      </c>
      <c r="BD871" t="s">
        <v>115</v>
      </c>
      <c r="BE871" t="s">
        <v>115</v>
      </c>
      <c r="BF871" t="s">
        <v>5395</v>
      </c>
      <c r="BG871" t="s">
        <v>115</v>
      </c>
      <c r="BI871" t="s">
        <v>116</v>
      </c>
      <c r="BJ871" t="s">
        <v>709</v>
      </c>
      <c r="BK871" t="s">
        <v>709</v>
      </c>
      <c r="BL871" t="s">
        <v>116</v>
      </c>
      <c r="BM871" t="s">
        <v>709</v>
      </c>
      <c r="BN871" t="s">
        <v>709</v>
      </c>
      <c r="BO871" t="s">
        <v>709</v>
      </c>
      <c r="BP871" t="s">
        <v>709</v>
      </c>
      <c r="BQ871" t="s">
        <v>709</v>
      </c>
      <c r="BR871" t="s">
        <v>709</v>
      </c>
      <c r="BS871">
        <v>178</v>
      </c>
      <c r="BT871" t="s">
        <v>745</v>
      </c>
      <c r="BU871">
        <v>1</v>
      </c>
      <c r="BV871" t="s">
        <v>745</v>
      </c>
      <c r="BW871" t="s">
        <v>709</v>
      </c>
      <c r="BX871">
        <v>1</v>
      </c>
      <c r="BY871" t="s">
        <v>745</v>
      </c>
      <c r="BZ871" t="s">
        <v>709</v>
      </c>
      <c r="CB871">
        <v>869</v>
      </c>
      <c r="CC871" t="b">
        <v>1</v>
      </c>
      <c r="CD871" t="s">
        <v>5396</v>
      </c>
      <c r="CE871" s="1482">
        <v>45880.737337962964</v>
      </c>
    </row>
    <row r="872" spans="1:83" ht="90" x14ac:dyDescent="0.25">
      <c r="A872">
        <v>2023</v>
      </c>
      <c r="B872" t="s">
        <v>730</v>
      </c>
      <c r="C872" t="s">
        <v>5397</v>
      </c>
      <c r="D872" t="s">
        <v>5398</v>
      </c>
      <c r="E872" t="s">
        <v>2013</v>
      </c>
      <c r="F872" t="s">
        <v>752</v>
      </c>
      <c r="G872" t="s">
        <v>34</v>
      </c>
      <c r="H872" t="s">
        <v>59</v>
      </c>
      <c r="I872">
        <v>44865</v>
      </c>
      <c r="J872">
        <v>44985</v>
      </c>
      <c r="K872">
        <v>44985</v>
      </c>
      <c r="L872">
        <v>0</v>
      </c>
      <c r="N872" t="s">
        <v>120</v>
      </c>
      <c r="O872">
        <v>44986</v>
      </c>
      <c r="P872" t="s">
        <v>120</v>
      </c>
      <c r="Q872">
        <v>12750</v>
      </c>
      <c r="R872" t="s">
        <v>5194</v>
      </c>
      <c r="V872">
        <v>471</v>
      </c>
      <c r="W872">
        <v>1</v>
      </c>
      <c r="X872">
        <v>274251.57</v>
      </c>
      <c r="Z872">
        <v>45008.88</v>
      </c>
      <c r="AA872">
        <v>319260.45</v>
      </c>
      <c r="AB872" t="s">
        <v>116</v>
      </c>
      <c r="AC872" t="s">
        <v>1177</v>
      </c>
      <c r="AD872" t="s">
        <v>29</v>
      </c>
      <c r="AM872" t="s">
        <v>709</v>
      </c>
      <c r="AY872" t="s">
        <v>29</v>
      </c>
      <c r="BA872" t="s">
        <v>5399</v>
      </c>
      <c r="BB872" s="4" t="s">
        <v>5400</v>
      </c>
      <c r="BC872" t="s">
        <v>756</v>
      </c>
      <c r="BD872" t="s">
        <v>115</v>
      </c>
      <c r="BE872" t="s">
        <v>5401</v>
      </c>
      <c r="BF872" t="s">
        <v>115</v>
      </c>
      <c r="BG872" t="s">
        <v>115</v>
      </c>
      <c r="BI872" t="s">
        <v>709</v>
      </c>
      <c r="BJ872" t="s">
        <v>116</v>
      </c>
      <c r="BK872" t="s">
        <v>709</v>
      </c>
      <c r="BL872" t="s">
        <v>116</v>
      </c>
      <c r="BM872" t="s">
        <v>709</v>
      </c>
      <c r="BN872" t="s">
        <v>709</v>
      </c>
      <c r="BO872" t="s">
        <v>709</v>
      </c>
      <c r="BP872" t="s">
        <v>709</v>
      </c>
      <c r="BQ872" t="s">
        <v>709</v>
      </c>
      <c r="BR872" t="s">
        <v>709</v>
      </c>
      <c r="BS872">
        <v>471</v>
      </c>
      <c r="BT872" t="s">
        <v>745</v>
      </c>
      <c r="BU872">
        <v>1</v>
      </c>
      <c r="BV872" t="s">
        <v>745</v>
      </c>
      <c r="BW872" t="s">
        <v>709</v>
      </c>
      <c r="BX872">
        <v>1</v>
      </c>
      <c r="BY872" t="s">
        <v>745</v>
      </c>
      <c r="BZ872" t="s">
        <v>709</v>
      </c>
      <c r="CB872">
        <v>871</v>
      </c>
      <c r="CC872" t="b">
        <v>1</v>
      </c>
      <c r="CD872" t="s">
        <v>5402</v>
      </c>
      <c r="CE872" s="1482">
        <v>45880.737337962964</v>
      </c>
    </row>
    <row r="873" spans="1:83" ht="195" x14ac:dyDescent="0.25">
      <c r="A873">
        <v>2023</v>
      </c>
      <c r="B873" t="s">
        <v>4</v>
      </c>
      <c r="C873" t="s">
        <v>5403</v>
      </c>
      <c r="D873" t="s">
        <v>115</v>
      </c>
      <c r="E873" t="s">
        <v>183</v>
      </c>
      <c r="F873" t="s">
        <v>784</v>
      </c>
      <c r="G873" t="s">
        <v>28</v>
      </c>
      <c r="H873" t="s">
        <v>1681</v>
      </c>
      <c r="I873">
        <v>44826</v>
      </c>
      <c r="J873">
        <v>45016</v>
      </c>
      <c r="K873">
        <v>44985</v>
      </c>
      <c r="L873">
        <v>31</v>
      </c>
      <c r="N873" t="s">
        <v>120</v>
      </c>
      <c r="O873">
        <v>44985</v>
      </c>
      <c r="P873" t="s">
        <v>739</v>
      </c>
      <c r="Q873" t="s">
        <v>115</v>
      </c>
      <c r="R873" t="s">
        <v>115</v>
      </c>
      <c r="AB873" t="s">
        <v>29</v>
      </c>
      <c r="AC873" t="s">
        <v>709</v>
      </c>
      <c r="AD873" t="s">
        <v>29</v>
      </c>
      <c r="AM873" t="s">
        <v>709</v>
      </c>
      <c r="AY873" t="s">
        <v>29</v>
      </c>
      <c r="BA873" s="4" t="s">
        <v>5404</v>
      </c>
      <c r="BB873" t="s">
        <v>1313</v>
      </c>
      <c r="BC873" t="s">
        <v>115</v>
      </c>
      <c r="BD873" t="s">
        <v>115</v>
      </c>
      <c r="BE873" t="s">
        <v>1313</v>
      </c>
      <c r="BF873" t="s">
        <v>115</v>
      </c>
      <c r="BG873" t="s">
        <v>115</v>
      </c>
      <c r="CB873">
        <v>868</v>
      </c>
      <c r="CC873" t="b">
        <v>1</v>
      </c>
      <c r="CD873" t="s">
        <v>5405</v>
      </c>
      <c r="CE873" s="1482">
        <v>45880.737349537034</v>
      </c>
    </row>
    <row r="874" spans="1:83" x14ac:dyDescent="0.25">
      <c r="A874">
        <v>2023</v>
      </c>
      <c r="B874" t="s">
        <v>4</v>
      </c>
      <c r="C874" t="s">
        <v>5215</v>
      </c>
      <c r="D874" t="s">
        <v>5216</v>
      </c>
      <c r="E874" t="s">
        <v>3635</v>
      </c>
      <c r="F874" t="s">
        <v>784</v>
      </c>
      <c r="G874" t="s">
        <v>35</v>
      </c>
      <c r="H874" t="s">
        <v>4189</v>
      </c>
      <c r="I874">
        <v>44964</v>
      </c>
      <c r="J874" t="s">
        <v>2052</v>
      </c>
      <c r="K874">
        <v>44986</v>
      </c>
      <c r="L874">
        <v>22</v>
      </c>
      <c r="M874" t="s">
        <v>5406</v>
      </c>
      <c r="N874" t="s">
        <v>120</v>
      </c>
      <c r="O874">
        <v>44986</v>
      </c>
      <c r="P874" t="s">
        <v>739</v>
      </c>
      <c r="Q874">
        <v>7040</v>
      </c>
      <c r="R874" t="s">
        <v>1922</v>
      </c>
      <c r="S874">
        <v>0</v>
      </c>
      <c r="U874">
        <v>7040</v>
      </c>
      <c r="AB874" t="s">
        <v>29</v>
      </c>
      <c r="AC874" t="s">
        <v>709</v>
      </c>
      <c r="AD874" t="s">
        <v>29</v>
      </c>
      <c r="AM874" t="s">
        <v>709</v>
      </c>
      <c r="AY874" t="s">
        <v>29</v>
      </c>
      <c r="BA874">
        <v>1</v>
      </c>
      <c r="BB874" t="s">
        <v>5407</v>
      </c>
      <c r="BI874" t="s">
        <v>709</v>
      </c>
      <c r="BJ874" t="s">
        <v>709</v>
      </c>
      <c r="BK874" t="s">
        <v>709</v>
      </c>
      <c r="BL874" t="s">
        <v>116</v>
      </c>
      <c r="BM874" t="s">
        <v>709</v>
      </c>
      <c r="BN874" t="s">
        <v>709</v>
      </c>
      <c r="BO874" t="s">
        <v>709</v>
      </c>
      <c r="BP874" t="s">
        <v>709</v>
      </c>
      <c r="BQ874" t="s">
        <v>709</v>
      </c>
      <c r="BR874" t="s">
        <v>709</v>
      </c>
      <c r="BS874">
        <v>166</v>
      </c>
      <c r="BT874" t="s">
        <v>709</v>
      </c>
      <c r="BU874" t="s">
        <v>709</v>
      </c>
      <c r="BV874" t="s">
        <v>745</v>
      </c>
      <c r="BW874" t="s">
        <v>709</v>
      </c>
      <c r="BX874" t="s">
        <v>709</v>
      </c>
      <c r="BY874" t="s">
        <v>745</v>
      </c>
      <c r="BZ874" t="s">
        <v>709</v>
      </c>
      <c r="CB874">
        <v>873</v>
      </c>
      <c r="CC874" t="b">
        <v>1</v>
      </c>
      <c r="CD874" t="s">
        <v>5408</v>
      </c>
      <c r="CE874" s="1482">
        <v>45880.737349537034</v>
      </c>
    </row>
    <row r="875" spans="1:83" ht="345" x14ac:dyDescent="0.25">
      <c r="A875">
        <v>2023</v>
      </c>
      <c r="B875" t="s">
        <v>4</v>
      </c>
      <c r="C875" t="s">
        <v>5409</v>
      </c>
      <c r="D875" t="s">
        <v>115</v>
      </c>
      <c r="E875" t="s">
        <v>2114</v>
      </c>
      <c r="F875" t="s">
        <v>784</v>
      </c>
      <c r="G875" t="s">
        <v>26</v>
      </c>
      <c r="H875" t="s">
        <v>1681</v>
      </c>
      <c r="I875">
        <v>44963</v>
      </c>
      <c r="J875">
        <v>45023</v>
      </c>
      <c r="K875">
        <v>44986</v>
      </c>
      <c r="L875">
        <v>37</v>
      </c>
      <c r="N875" t="s">
        <v>120</v>
      </c>
      <c r="O875">
        <v>44986</v>
      </c>
      <c r="P875" t="s">
        <v>739</v>
      </c>
      <c r="Q875" t="s">
        <v>115</v>
      </c>
      <c r="R875" t="s">
        <v>115</v>
      </c>
      <c r="AB875" t="s">
        <v>29</v>
      </c>
      <c r="AC875" t="s">
        <v>709</v>
      </c>
      <c r="AD875" t="s">
        <v>29</v>
      </c>
      <c r="AM875" t="s">
        <v>709</v>
      </c>
      <c r="AY875" t="s">
        <v>29</v>
      </c>
      <c r="BA875" s="4" t="s">
        <v>5410</v>
      </c>
      <c r="BB875" t="s">
        <v>5411</v>
      </c>
      <c r="BC875" t="s">
        <v>709</v>
      </c>
      <c r="BD875" t="s">
        <v>709</v>
      </c>
      <c r="BE875" t="s">
        <v>522</v>
      </c>
      <c r="BF875" t="s">
        <v>709</v>
      </c>
      <c r="BG875" t="s">
        <v>709</v>
      </c>
      <c r="CB875">
        <v>872</v>
      </c>
      <c r="CC875" t="b">
        <v>1</v>
      </c>
      <c r="CD875" t="s">
        <v>5412</v>
      </c>
      <c r="CE875" s="1482">
        <v>45880.737361111111</v>
      </c>
    </row>
    <row r="876" spans="1:83" x14ac:dyDescent="0.25">
      <c r="A876">
        <v>2023</v>
      </c>
      <c r="B876" t="s">
        <v>2</v>
      </c>
      <c r="C876" t="s">
        <v>304</v>
      </c>
      <c r="D876">
        <v>1011558</v>
      </c>
      <c r="E876" t="s">
        <v>305</v>
      </c>
      <c r="F876" t="s">
        <v>784</v>
      </c>
      <c r="G876" t="s">
        <v>24</v>
      </c>
      <c r="H876" t="s">
        <v>4189</v>
      </c>
      <c r="I876">
        <v>44958</v>
      </c>
      <c r="J876" t="s">
        <v>2052</v>
      </c>
      <c r="K876">
        <v>44987</v>
      </c>
      <c r="L876">
        <v>29</v>
      </c>
      <c r="M876" t="s">
        <v>5413</v>
      </c>
      <c r="N876" t="s">
        <v>120</v>
      </c>
      <c r="O876">
        <v>44986</v>
      </c>
      <c r="P876" t="s">
        <v>120</v>
      </c>
      <c r="Q876">
        <v>9805</v>
      </c>
      <c r="R876" t="s">
        <v>1922</v>
      </c>
      <c r="U876">
        <v>9805</v>
      </c>
      <c r="AC876" t="s">
        <v>29</v>
      </c>
      <c r="AE876" t="s">
        <v>29</v>
      </c>
      <c r="AF876" t="s">
        <v>29</v>
      </c>
      <c r="AG876" t="s">
        <v>29</v>
      </c>
      <c r="AH876" t="s">
        <v>29</v>
      </c>
      <c r="AM876" t="s">
        <v>709</v>
      </c>
      <c r="AY876" t="s">
        <v>29</v>
      </c>
      <c r="BA876">
        <v>2</v>
      </c>
      <c r="BB876" t="s">
        <v>5281</v>
      </c>
      <c r="BI876" t="s">
        <v>709</v>
      </c>
      <c r="BJ876" t="s">
        <v>709</v>
      </c>
      <c r="BK876" t="s">
        <v>116</v>
      </c>
      <c r="BL876" t="s">
        <v>116</v>
      </c>
      <c r="BM876" t="s">
        <v>709</v>
      </c>
      <c r="BN876" t="s">
        <v>709</v>
      </c>
      <c r="BO876" t="s">
        <v>709</v>
      </c>
      <c r="BP876" t="s">
        <v>709</v>
      </c>
      <c r="BQ876" t="s">
        <v>709</v>
      </c>
      <c r="BR876">
        <v>406</v>
      </c>
      <c r="BS876">
        <v>156</v>
      </c>
      <c r="BT876" t="s">
        <v>709</v>
      </c>
      <c r="BU876">
        <v>1</v>
      </c>
      <c r="BV876" t="s">
        <v>709</v>
      </c>
      <c r="BW876" t="s">
        <v>709</v>
      </c>
      <c r="BX876">
        <v>1</v>
      </c>
      <c r="BY876" t="s">
        <v>709</v>
      </c>
      <c r="BZ876" t="s">
        <v>709</v>
      </c>
      <c r="CA876" t="s">
        <v>2</v>
      </c>
      <c r="CB876">
        <v>874</v>
      </c>
      <c r="CC876" t="b">
        <v>1</v>
      </c>
      <c r="CD876" t="s">
        <v>5414</v>
      </c>
      <c r="CE876" s="1482">
        <v>45880.737361111111</v>
      </c>
    </row>
    <row r="877" spans="1:83" ht="225" x14ac:dyDescent="0.25">
      <c r="A877">
        <v>2023</v>
      </c>
      <c r="B877" t="s">
        <v>730</v>
      </c>
      <c r="C877" t="s">
        <v>5415</v>
      </c>
      <c r="D877" t="s">
        <v>5416</v>
      </c>
      <c r="E877" t="s">
        <v>2000</v>
      </c>
      <c r="F877" t="s">
        <v>752</v>
      </c>
      <c r="G877" t="s">
        <v>34</v>
      </c>
      <c r="H877" t="s">
        <v>59</v>
      </c>
      <c r="I877">
        <v>44888</v>
      </c>
      <c r="J877">
        <v>44988</v>
      </c>
      <c r="K877">
        <v>44988</v>
      </c>
      <c r="L877">
        <v>0</v>
      </c>
      <c r="N877" t="s">
        <v>120</v>
      </c>
      <c r="O877">
        <v>44988</v>
      </c>
      <c r="P877" t="s">
        <v>120</v>
      </c>
      <c r="Q877">
        <v>34453.468500000003</v>
      </c>
      <c r="R877">
        <v>0.11</v>
      </c>
      <c r="V877">
        <v>1151</v>
      </c>
      <c r="W877">
        <v>1</v>
      </c>
      <c r="X877">
        <v>263808.03999999998</v>
      </c>
      <c r="Z877">
        <v>49405.31</v>
      </c>
      <c r="AA877">
        <v>313213.34999999998</v>
      </c>
      <c r="AB877" t="s">
        <v>116</v>
      </c>
      <c r="AC877" t="s">
        <v>1177</v>
      </c>
      <c r="AD877" t="s">
        <v>29</v>
      </c>
      <c r="AM877" t="s">
        <v>116</v>
      </c>
      <c r="AN877">
        <v>45078</v>
      </c>
      <c r="AO877">
        <v>11059260</v>
      </c>
      <c r="AP877">
        <v>264149.57</v>
      </c>
      <c r="AR877">
        <v>49405.31</v>
      </c>
      <c r="AS877">
        <v>313554.88</v>
      </c>
      <c r="AT877">
        <v>341.53</v>
      </c>
      <c r="AU877">
        <v>37.568300000000001</v>
      </c>
      <c r="AV877" t="s">
        <v>709</v>
      </c>
      <c r="AX877">
        <v>37.568300000000001</v>
      </c>
      <c r="AY877">
        <v>45200</v>
      </c>
      <c r="BA877" t="s">
        <v>5417</v>
      </c>
      <c r="BB877" s="4" t="s">
        <v>5418</v>
      </c>
      <c r="BC877" t="s">
        <v>115</v>
      </c>
      <c r="BD877" t="s">
        <v>115</v>
      </c>
      <c r="BE877" t="s">
        <v>4667</v>
      </c>
      <c r="BF877" t="s">
        <v>5086</v>
      </c>
      <c r="BG877" t="s">
        <v>115</v>
      </c>
      <c r="BI877" t="s">
        <v>709</v>
      </c>
      <c r="BJ877" t="s">
        <v>709</v>
      </c>
      <c r="BK877" t="s">
        <v>116</v>
      </c>
      <c r="BL877" t="s">
        <v>116</v>
      </c>
      <c r="BM877" t="s">
        <v>709</v>
      </c>
      <c r="BN877" t="s">
        <v>709</v>
      </c>
      <c r="BO877" t="s">
        <v>709</v>
      </c>
      <c r="BP877" t="s">
        <v>709</v>
      </c>
      <c r="BQ877" t="s">
        <v>709</v>
      </c>
      <c r="BR877" t="s">
        <v>709</v>
      </c>
      <c r="BS877">
        <v>1151</v>
      </c>
      <c r="BT877" t="s">
        <v>745</v>
      </c>
      <c r="BU877">
        <v>1</v>
      </c>
      <c r="BV877" t="s">
        <v>745</v>
      </c>
      <c r="BW877" t="s">
        <v>709</v>
      </c>
      <c r="BX877">
        <v>1</v>
      </c>
      <c r="BY877" t="s">
        <v>745</v>
      </c>
      <c r="BZ877" t="s">
        <v>709</v>
      </c>
      <c r="CB877">
        <v>875</v>
      </c>
      <c r="CC877" t="b">
        <v>1</v>
      </c>
      <c r="CD877" t="s">
        <v>5419</v>
      </c>
      <c r="CE877" s="1482">
        <v>45880.737361111111</v>
      </c>
    </row>
    <row r="878" spans="1:83" ht="255" x14ac:dyDescent="0.25">
      <c r="A878">
        <v>2023</v>
      </c>
      <c r="B878" t="s">
        <v>4</v>
      </c>
      <c r="C878" t="s">
        <v>5420</v>
      </c>
      <c r="D878" t="s">
        <v>115</v>
      </c>
      <c r="E878" t="s">
        <v>3053</v>
      </c>
      <c r="F878" t="s">
        <v>784</v>
      </c>
      <c r="G878" t="s">
        <v>27</v>
      </c>
      <c r="H878" t="s">
        <v>1903</v>
      </c>
      <c r="I878">
        <v>44974</v>
      </c>
      <c r="J878">
        <v>45044</v>
      </c>
      <c r="K878">
        <v>44993</v>
      </c>
      <c r="L878">
        <v>51</v>
      </c>
      <c r="N878" t="s">
        <v>120</v>
      </c>
      <c r="O878">
        <v>44993</v>
      </c>
      <c r="P878" t="s">
        <v>739</v>
      </c>
      <c r="Q878" t="s">
        <v>115</v>
      </c>
      <c r="R878" t="s">
        <v>115</v>
      </c>
      <c r="AB878" t="s">
        <v>29</v>
      </c>
      <c r="AC878" t="s">
        <v>709</v>
      </c>
      <c r="AD878" t="s">
        <v>29</v>
      </c>
      <c r="AM878" t="s">
        <v>709</v>
      </c>
      <c r="AY878" t="s">
        <v>29</v>
      </c>
      <c r="BA878" s="4" t="s">
        <v>5421</v>
      </c>
      <c r="BB878" t="s">
        <v>5422</v>
      </c>
      <c r="BC878" t="s">
        <v>116</v>
      </c>
      <c r="BD878" t="s">
        <v>709</v>
      </c>
      <c r="BE878" t="s">
        <v>5423</v>
      </c>
      <c r="BF878" t="s">
        <v>709</v>
      </c>
      <c r="BG878" t="s">
        <v>709</v>
      </c>
      <c r="CB878">
        <v>877</v>
      </c>
      <c r="CC878" t="b">
        <v>1</v>
      </c>
      <c r="CD878" t="s">
        <v>5424</v>
      </c>
      <c r="CE878" s="1482">
        <v>45880.737372685187</v>
      </c>
    </row>
    <row r="879" spans="1:83" x14ac:dyDescent="0.25">
      <c r="A879">
        <v>2023</v>
      </c>
      <c r="B879" t="s">
        <v>771</v>
      </c>
      <c r="C879" t="s">
        <v>5425</v>
      </c>
      <c r="D879" t="s">
        <v>5426</v>
      </c>
      <c r="E879" t="s">
        <v>2350</v>
      </c>
      <c r="F879" t="s">
        <v>784</v>
      </c>
      <c r="G879" t="s">
        <v>31</v>
      </c>
      <c r="H879" t="s">
        <v>59</v>
      </c>
      <c r="I879">
        <v>44883</v>
      </c>
      <c r="J879">
        <v>44995</v>
      </c>
      <c r="K879">
        <v>44993</v>
      </c>
      <c r="L879">
        <v>2</v>
      </c>
      <c r="N879" t="s">
        <v>120</v>
      </c>
      <c r="O879">
        <v>44993</v>
      </c>
      <c r="P879" t="s">
        <v>120</v>
      </c>
      <c r="Q879">
        <v>93246.596999999994</v>
      </c>
      <c r="R879">
        <v>0.09</v>
      </c>
      <c r="V879">
        <v>3492</v>
      </c>
      <c r="X879">
        <v>1002837.09</v>
      </c>
      <c r="Z879">
        <v>33236.21</v>
      </c>
      <c r="AA879">
        <v>1036073.3</v>
      </c>
      <c r="AB879">
        <v>45000</v>
      </c>
      <c r="AC879" t="s">
        <v>709</v>
      </c>
      <c r="AD879" t="s">
        <v>29</v>
      </c>
      <c r="AE879" t="s">
        <v>29</v>
      </c>
      <c r="AF879" t="s">
        <v>29</v>
      </c>
      <c r="AG879" t="s">
        <v>29</v>
      </c>
      <c r="AH879" t="s">
        <v>29</v>
      </c>
      <c r="AM879" t="s">
        <v>116</v>
      </c>
      <c r="AN879">
        <v>45288</v>
      </c>
      <c r="AO879">
        <v>11056665</v>
      </c>
      <c r="AP879">
        <v>741619.24</v>
      </c>
      <c r="AR879">
        <v>33234.870000000003</v>
      </c>
      <c r="AS879">
        <v>774854.11</v>
      </c>
      <c r="AT879">
        <v>-261219.19</v>
      </c>
      <c r="AU879">
        <v>-23509.7271</v>
      </c>
      <c r="AV879">
        <v>8200</v>
      </c>
      <c r="AW879" t="s">
        <v>5427</v>
      </c>
      <c r="AX879">
        <v>0</v>
      </c>
      <c r="AY879">
        <v>45352</v>
      </c>
      <c r="BA879" t="s">
        <v>5428</v>
      </c>
      <c r="BB879" t="s">
        <v>5429</v>
      </c>
      <c r="BC879" t="s">
        <v>116</v>
      </c>
      <c r="BD879" t="s">
        <v>1626</v>
      </c>
      <c r="BE879" t="s">
        <v>1626</v>
      </c>
      <c r="BF879" t="s">
        <v>115</v>
      </c>
      <c r="BG879" t="s">
        <v>1480</v>
      </c>
      <c r="BH879" t="s">
        <v>5430</v>
      </c>
      <c r="BI879" t="s">
        <v>709</v>
      </c>
      <c r="BJ879" t="s">
        <v>709</v>
      </c>
      <c r="BK879" t="s">
        <v>709</v>
      </c>
      <c r="BL879" t="s">
        <v>116</v>
      </c>
      <c r="BM879" t="s">
        <v>709</v>
      </c>
      <c r="BN879" t="s">
        <v>709</v>
      </c>
      <c r="BO879" t="s">
        <v>709</v>
      </c>
      <c r="BP879" t="s">
        <v>709</v>
      </c>
      <c r="BQ879" t="s">
        <v>709</v>
      </c>
      <c r="BR879" t="s">
        <v>709</v>
      </c>
      <c r="BS879">
        <v>3492</v>
      </c>
      <c r="BT879" t="s">
        <v>709</v>
      </c>
      <c r="BU879" t="s">
        <v>709</v>
      </c>
      <c r="BV879" t="s">
        <v>709</v>
      </c>
      <c r="BW879" t="s">
        <v>709</v>
      </c>
      <c r="BX879" t="s">
        <v>745</v>
      </c>
      <c r="BY879" t="s">
        <v>709</v>
      </c>
      <c r="BZ879" t="s">
        <v>709</v>
      </c>
      <c r="CB879">
        <v>876</v>
      </c>
      <c r="CC879" t="b">
        <v>1</v>
      </c>
      <c r="CD879" t="s">
        <v>5431</v>
      </c>
      <c r="CE879" s="1482">
        <v>45880.737372685187</v>
      </c>
    </row>
    <row r="880" spans="1:83" ht="150" x14ac:dyDescent="0.25">
      <c r="A880">
        <v>2023</v>
      </c>
      <c r="B880" t="s">
        <v>771</v>
      </c>
      <c r="C880" t="s">
        <v>5432</v>
      </c>
      <c r="D880" t="s">
        <v>5433</v>
      </c>
      <c r="E880" t="s">
        <v>1373</v>
      </c>
      <c r="F880" t="s">
        <v>784</v>
      </c>
      <c r="G880" t="s">
        <v>22</v>
      </c>
      <c r="H880" t="s">
        <v>59</v>
      </c>
      <c r="I880">
        <v>44883</v>
      </c>
      <c r="J880">
        <v>44995</v>
      </c>
      <c r="K880">
        <v>44994</v>
      </c>
      <c r="L880">
        <v>1</v>
      </c>
      <c r="N880" t="s">
        <v>120</v>
      </c>
      <c r="O880">
        <v>44994</v>
      </c>
      <c r="P880" t="s">
        <v>120</v>
      </c>
      <c r="Q880">
        <v>72708.988500000007</v>
      </c>
      <c r="R880">
        <v>0.09</v>
      </c>
      <c r="V880">
        <v>2774</v>
      </c>
      <c r="X880">
        <v>723907.98</v>
      </c>
      <c r="Z880">
        <v>83969.67</v>
      </c>
      <c r="AA880">
        <v>807877.65</v>
      </c>
      <c r="AB880">
        <v>45006</v>
      </c>
      <c r="AC880" t="s">
        <v>709</v>
      </c>
      <c r="AD880" t="s">
        <v>116</v>
      </c>
      <c r="AM880" t="s">
        <v>116</v>
      </c>
      <c r="AN880">
        <v>45068</v>
      </c>
      <c r="AO880">
        <v>11059581</v>
      </c>
      <c r="AP880">
        <v>723873.53</v>
      </c>
      <c r="AR880">
        <v>83972.22</v>
      </c>
      <c r="AS880">
        <v>807845.75</v>
      </c>
      <c r="AT880">
        <v>-31.9</v>
      </c>
      <c r="AU880">
        <v>-2.871</v>
      </c>
      <c r="AV880" t="s">
        <v>709</v>
      </c>
      <c r="AX880">
        <v>-2.871</v>
      </c>
      <c r="AY880">
        <v>45200</v>
      </c>
      <c r="BA880" t="s">
        <v>5434</v>
      </c>
      <c r="BB880" s="4" t="s">
        <v>5435</v>
      </c>
      <c r="BC880" t="s">
        <v>116</v>
      </c>
      <c r="BD880" t="s">
        <v>709</v>
      </c>
      <c r="BE880" t="s">
        <v>1376</v>
      </c>
      <c r="BF880" t="s">
        <v>709</v>
      </c>
      <c r="BG880" t="s">
        <v>115</v>
      </c>
      <c r="BI880" t="s">
        <v>709</v>
      </c>
      <c r="BJ880" t="s">
        <v>709</v>
      </c>
      <c r="BK880" t="s">
        <v>709</v>
      </c>
      <c r="BL880" t="s">
        <v>116</v>
      </c>
      <c r="BM880" t="s">
        <v>709</v>
      </c>
      <c r="BN880" t="s">
        <v>709</v>
      </c>
      <c r="BO880" t="s">
        <v>709</v>
      </c>
      <c r="BP880" t="s">
        <v>709</v>
      </c>
      <c r="BQ880" t="s">
        <v>709</v>
      </c>
      <c r="BR880">
        <v>152</v>
      </c>
      <c r="BS880">
        <v>2622</v>
      </c>
      <c r="BT880" t="s">
        <v>745</v>
      </c>
      <c r="BU880" t="s">
        <v>709</v>
      </c>
      <c r="BV880" t="s">
        <v>745</v>
      </c>
      <c r="BW880" t="s">
        <v>709</v>
      </c>
      <c r="BX880" t="s">
        <v>709</v>
      </c>
      <c r="BY880" t="s">
        <v>745</v>
      </c>
      <c r="BZ880" t="s">
        <v>709</v>
      </c>
      <c r="CB880">
        <v>878</v>
      </c>
      <c r="CC880" t="b">
        <v>1</v>
      </c>
      <c r="CD880" t="s">
        <v>5436</v>
      </c>
      <c r="CE880" s="1482">
        <v>45880.737384259257</v>
      </c>
    </row>
    <row r="881" spans="1:83" x14ac:dyDescent="0.25">
      <c r="A881">
        <v>2023</v>
      </c>
      <c r="B881" t="s">
        <v>4</v>
      </c>
      <c r="C881" t="s">
        <v>746</v>
      </c>
      <c r="D881">
        <v>1412152</v>
      </c>
      <c r="E881" t="s">
        <v>309</v>
      </c>
      <c r="F881" t="s">
        <v>747</v>
      </c>
      <c r="G881" t="s">
        <v>33</v>
      </c>
      <c r="H881" t="s">
        <v>59</v>
      </c>
      <c r="I881">
        <v>44851</v>
      </c>
      <c r="J881">
        <v>45002</v>
      </c>
      <c r="K881">
        <v>44999</v>
      </c>
      <c r="L881">
        <v>3</v>
      </c>
      <c r="N881" t="s">
        <v>120</v>
      </c>
      <c r="O881">
        <v>44995</v>
      </c>
      <c r="P881" t="s">
        <v>739</v>
      </c>
      <c r="Q881">
        <v>30439.991000000002</v>
      </c>
      <c r="R881">
        <v>0.1</v>
      </c>
      <c r="V881">
        <v>1498</v>
      </c>
      <c r="W881">
        <v>0</v>
      </c>
      <c r="X881">
        <v>293021.40999999997</v>
      </c>
      <c r="Z881">
        <v>11378.5</v>
      </c>
      <c r="AA881">
        <v>304399.90999999997</v>
      </c>
      <c r="AB881">
        <v>45008</v>
      </c>
      <c r="AC881" t="s">
        <v>709</v>
      </c>
      <c r="AD881" t="s">
        <v>29</v>
      </c>
      <c r="AM881" t="s">
        <v>116</v>
      </c>
      <c r="AN881">
        <v>45154</v>
      </c>
      <c r="AO881">
        <v>11069143</v>
      </c>
      <c r="AP881">
        <v>298544.57</v>
      </c>
      <c r="AR881">
        <v>11378.5</v>
      </c>
      <c r="AS881">
        <v>309923.07</v>
      </c>
      <c r="AT881">
        <v>5523.16</v>
      </c>
      <c r="AU881">
        <v>552.31600000000003</v>
      </c>
      <c r="AV881">
        <v>0</v>
      </c>
      <c r="AW881" t="s">
        <v>748</v>
      </c>
      <c r="AX881">
        <v>552.32000000000005</v>
      </c>
      <c r="AY881">
        <v>45566</v>
      </c>
      <c r="AZ881">
        <v>79</v>
      </c>
      <c r="BI881" t="s">
        <v>709</v>
      </c>
      <c r="BJ881" t="s">
        <v>709</v>
      </c>
      <c r="BK881" t="s">
        <v>709</v>
      </c>
      <c r="BL881" t="s">
        <v>116</v>
      </c>
      <c r="BM881" t="s">
        <v>709</v>
      </c>
      <c r="BN881" t="s">
        <v>709</v>
      </c>
      <c r="BO881" t="s">
        <v>709</v>
      </c>
      <c r="BP881" t="s">
        <v>709</v>
      </c>
      <c r="BQ881" t="s">
        <v>709</v>
      </c>
      <c r="BR881">
        <v>1498</v>
      </c>
      <c r="BS881" t="s">
        <v>709</v>
      </c>
      <c r="BT881" t="s">
        <v>745</v>
      </c>
      <c r="BU881" t="s">
        <v>709</v>
      </c>
      <c r="BV881" t="s">
        <v>745</v>
      </c>
      <c r="BW881" t="s">
        <v>709</v>
      </c>
      <c r="BX881" t="s">
        <v>745</v>
      </c>
      <c r="BY881" t="s">
        <v>745</v>
      </c>
      <c r="BZ881" t="s">
        <v>709</v>
      </c>
      <c r="CB881">
        <v>879</v>
      </c>
      <c r="CC881" t="b">
        <v>1</v>
      </c>
      <c r="CD881" t="s">
        <v>5437</v>
      </c>
      <c r="CE881" s="1482">
        <v>45880.737384259257</v>
      </c>
    </row>
    <row r="882" spans="1:83" ht="180" x14ac:dyDescent="0.25">
      <c r="A882">
        <v>2023</v>
      </c>
      <c r="B882" t="s">
        <v>759</v>
      </c>
      <c r="C882" t="s">
        <v>441</v>
      </c>
      <c r="D882" t="s">
        <v>5438</v>
      </c>
      <c r="E882" t="s">
        <v>277</v>
      </c>
      <c r="F882" t="s">
        <v>752</v>
      </c>
      <c r="G882" t="s">
        <v>34</v>
      </c>
      <c r="H882" t="s">
        <v>59</v>
      </c>
      <c r="I882">
        <v>44806</v>
      </c>
      <c r="J882">
        <v>45000</v>
      </c>
      <c r="K882">
        <v>45000</v>
      </c>
      <c r="L882">
        <v>0</v>
      </c>
      <c r="N882" t="s">
        <v>120</v>
      </c>
      <c r="O882">
        <v>44995</v>
      </c>
      <c r="P882" t="s">
        <v>120</v>
      </c>
      <c r="Q882">
        <v>14750</v>
      </c>
      <c r="R882" t="s">
        <v>5223</v>
      </c>
      <c r="V882">
        <v>327</v>
      </c>
      <c r="W882">
        <v>1</v>
      </c>
      <c r="X882">
        <v>414878.16</v>
      </c>
      <c r="Z882">
        <v>42739.82</v>
      </c>
      <c r="AA882">
        <v>457617.98</v>
      </c>
      <c r="AB882">
        <v>45033</v>
      </c>
      <c r="AC882" t="s">
        <v>811</v>
      </c>
      <c r="AD882" t="s">
        <v>29</v>
      </c>
      <c r="AM882" t="s">
        <v>709</v>
      </c>
      <c r="AY882" t="s">
        <v>29</v>
      </c>
      <c r="BA882" s="4" t="s">
        <v>5439</v>
      </c>
      <c r="BB882" t="s">
        <v>5440</v>
      </c>
      <c r="BC882" t="s">
        <v>116</v>
      </c>
      <c r="BD882" t="s">
        <v>115</v>
      </c>
      <c r="BE882" t="s">
        <v>5441</v>
      </c>
      <c r="BF882" t="s">
        <v>115</v>
      </c>
      <c r="BG882" t="s">
        <v>115</v>
      </c>
      <c r="BI882" t="s">
        <v>709</v>
      </c>
      <c r="BJ882" t="s">
        <v>709</v>
      </c>
      <c r="BK882" t="s">
        <v>116</v>
      </c>
      <c r="BL882" t="s">
        <v>116</v>
      </c>
      <c r="BM882" t="s">
        <v>709</v>
      </c>
      <c r="BN882" t="s">
        <v>709</v>
      </c>
      <c r="BO882" t="s">
        <v>709</v>
      </c>
      <c r="BP882" t="s">
        <v>709</v>
      </c>
      <c r="BQ882">
        <v>108</v>
      </c>
      <c r="BR882">
        <v>79</v>
      </c>
      <c r="BS882">
        <v>50</v>
      </c>
      <c r="BT882">
        <v>1</v>
      </c>
      <c r="BU882" t="s">
        <v>709</v>
      </c>
      <c r="BV882" t="s">
        <v>709</v>
      </c>
      <c r="BW882" t="s">
        <v>709</v>
      </c>
      <c r="BX882">
        <v>1</v>
      </c>
      <c r="BY882" t="s">
        <v>709</v>
      </c>
      <c r="BZ882" t="s">
        <v>709</v>
      </c>
      <c r="CA882" t="s">
        <v>1022</v>
      </c>
      <c r="CB882">
        <v>880</v>
      </c>
      <c r="CC882" t="b">
        <v>1</v>
      </c>
      <c r="CD882" t="s">
        <v>5442</v>
      </c>
      <c r="CE882" s="1482">
        <v>45880.737395833334</v>
      </c>
    </row>
    <row r="883" spans="1:83" ht="135" x14ac:dyDescent="0.25">
      <c r="A883">
        <v>2023</v>
      </c>
      <c r="B883" t="s">
        <v>759</v>
      </c>
      <c r="C883" t="s">
        <v>1412</v>
      </c>
      <c r="D883">
        <v>1011916</v>
      </c>
      <c r="E883" t="s">
        <v>361</v>
      </c>
      <c r="F883" t="s">
        <v>752</v>
      </c>
      <c r="G883" t="s">
        <v>34</v>
      </c>
      <c r="H883" t="s">
        <v>59</v>
      </c>
      <c r="I883">
        <v>44837</v>
      </c>
      <c r="J883">
        <v>45000</v>
      </c>
      <c r="K883">
        <v>45000</v>
      </c>
      <c r="L883">
        <v>0</v>
      </c>
      <c r="N883" t="s">
        <v>120</v>
      </c>
      <c r="O883">
        <v>45017</v>
      </c>
      <c r="P883" t="s">
        <v>120</v>
      </c>
      <c r="Q883">
        <v>116426.8501</v>
      </c>
      <c r="R883">
        <v>0.11</v>
      </c>
      <c r="V883">
        <v>1904</v>
      </c>
      <c r="W883">
        <v>1</v>
      </c>
      <c r="X883">
        <v>972576.23</v>
      </c>
      <c r="Z883">
        <v>85849.68</v>
      </c>
      <c r="AA883">
        <v>1058425.9099999999</v>
      </c>
      <c r="AB883">
        <v>45029</v>
      </c>
      <c r="AC883" t="s">
        <v>1177</v>
      </c>
      <c r="AD883" t="s">
        <v>29</v>
      </c>
      <c r="AM883" t="s">
        <v>116</v>
      </c>
      <c r="AN883" t="s">
        <v>709</v>
      </c>
      <c r="AO883" t="s">
        <v>115</v>
      </c>
      <c r="AS883">
        <v>0</v>
      </c>
      <c r="AT883">
        <v>0</v>
      </c>
      <c r="AU883">
        <v>0</v>
      </c>
      <c r="AY883" t="s">
        <v>709</v>
      </c>
      <c r="AZ883">
        <v>150</v>
      </c>
      <c r="BA883" s="4" t="s">
        <v>1413</v>
      </c>
      <c r="BB883" t="s">
        <v>1414</v>
      </c>
      <c r="BC883" t="s">
        <v>116</v>
      </c>
      <c r="BD883" t="s">
        <v>115</v>
      </c>
      <c r="BE883" t="s">
        <v>1415</v>
      </c>
      <c r="BF883" t="s">
        <v>115</v>
      </c>
      <c r="BG883" t="s">
        <v>115</v>
      </c>
      <c r="BI883" t="s">
        <v>709</v>
      </c>
      <c r="BJ883" t="s">
        <v>709</v>
      </c>
      <c r="BK883" t="s">
        <v>116</v>
      </c>
      <c r="BL883" t="s">
        <v>116</v>
      </c>
      <c r="BM883" t="s">
        <v>709</v>
      </c>
      <c r="BN883" t="s">
        <v>709</v>
      </c>
      <c r="BO883" t="s">
        <v>709</v>
      </c>
      <c r="BP883" t="s">
        <v>709</v>
      </c>
      <c r="BQ883">
        <v>1631</v>
      </c>
      <c r="BR883">
        <v>133</v>
      </c>
      <c r="BS883">
        <v>50</v>
      </c>
      <c r="BT883">
        <v>1</v>
      </c>
      <c r="BU883" t="s">
        <v>709</v>
      </c>
      <c r="BV883" t="s">
        <v>745</v>
      </c>
      <c r="BW883">
        <v>1</v>
      </c>
      <c r="BX883" t="s">
        <v>709</v>
      </c>
      <c r="BY883" t="s">
        <v>745</v>
      </c>
      <c r="BZ883" t="s">
        <v>709</v>
      </c>
      <c r="CB883">
        <v>881</v>
      </c>
      <c r="CC883" t="b">
        <v>1</v>
      </c>
      <c r="CD883" t="s">
        <v>5443</v>
      </c>
      <c r="CE883" s="1482">
        <v>45880.737395833334</v>
      </c>
    </row>
    <row r="884" spans="1:83" ht="90" x14ac:dyDescent="0.25">
      <c r="A884">
        <v>2023</v>
      </c>
      <c r="B884" t="s">
        <v>771</v>
      </c>
      <c r="C884" t="s">
        <v>353</v>
      </c>
      <c r="D884" t="s">
        <v>1416</v>
      </c>
      <c r="E884" t="s">
        <v>354</v>
      </c>
      <c r="F884" t="s">
        <v>784</v>
      </c>
      <c r="G884" t="s">
        <v>25</v>
      </c>
      <c r="H884" t="s">
        <v>59</v>
      </c>
      <c r="I884">
        <v>44875</v>
      </c>
      <c r="J884">
        <v>45002</v>
      </c>
      <c r="K884">
        <v>45001</v>
      </c>
      <c r="L884">
        <v>1</v>
      </c>
      <c r="N884" t="s">
        <v>120</v>
      </c>
      <c r="O884">
        <v>44995</v>
      </c>
      <c r="P884" t="s">
        <v>120</v>
      </c>
      <c r="Q884">
        <v>153674.31690000001</v>
      </c>
      <c r="R884">
        <v>0.09</v>
      </c>
      <c r="V884">
        <v>2383</v>
      </c>
      <c r="W884">
        <v>0</v>
      </c>
      <c r="X884">
        <v>1636616.73</v>
      </c>
      <c r="Z884">
        <v>70875.679999999993</v>
      </c>
      <c r="AA884">
        <v>1707492.41</v>
      </c>
      <c r="AB884">
        <v>45006</v>
      </c>
      <c r="AC884" t="s">
        <v>116</v>
      </c>
      <c r="AD884" t="s">
        <v>29</v>
      </c>
      <c r="AM884" t="s">
        <v>116</v>
      </c>
      <c r="AN884" t="s">
        <v>709</v>
      </c>
      <c r="AO884" t="s">
        <v>115</v>
      </c>
      <c r="AS884">
        <v>0</v>
      </c>
      <c r="AT884">
        <v>0</v>
      </c>
      <c r="AU884">
        <v>0</v>
      </c>
      <c r="AY884" t="s">
        <v>709</v>
      </c>
      <c r="AZ884">
        <v>36</v>
      </c>
      <c r="BA884" t="s">
        <v>1417</v>
      </c>
      <c r="BB884" s="4" t="s">
        <v>1418</v>
      </c>
      <c r="BC884" t="s">
        <v>116</v>
      </c>
      <c r="BD884" t="s">
        <v>115</v>
      </c>
      <c r="BE884" t="s">
        <v>588</v>
      </c>
      <c r="BF884" t="s">
        <v>115</v>
      </c>
      <c r="BG884" t="s">
        <v>1419</v>
      </c>
      <c r="BI884" t="s">
        <v>709</v>
      </c>
      <c r="BJ884" t="s">
        <v>709</v>
      </c>
      <c r="BK884" t="s">
        <v>116</v>
      </c>
      <c r="BL884" t="s">
        <v>709</v>
      </c>
      <c r="BM884" t="s">
        <v>709</v>
      </c>
      <c r="BN884">
        <v>1616</v>
      </c>
      <c r="BO884" t="s">
        <v>709</v>
      </c>
      <c r="BP884">
        <v>285</v>
      </c>
      <c r="BQ884">
        <v>482</v>
      </c>
      <c r="BR884" t="s">
        <v>709</v>
      </c>
      <c r="BS884" t="s">
        <v>709</v>
      </c>
      <c r="BT884" t="s">
        <v>745</v>
      </c>
      <c r="BU884" t="s">
        <v>709</v>
      </c>
      <c r="BV884" t="s">
        <v>745</v>
      </c>
      <c r="BW884" t="s">
        <v>709</v>
      </c>
      <c r="BX884" t="s">
        <v>745</v>
      </c>
      <c r="BY884" t="s">
        <v>745</v>
      </c>
      <c r="BZ884" t="s">
        <v>709</v>
      </c>
      <c r="CB884">
        <v>882</v>
      </c>
      <c r="CC884" t="b">
        <v>1</v>
      </c>
      <c r="CD884" t="s">
        <v>5444</v>
      </c>
      <c r="CE884" s="1482">
        <v>45880.737407407411</v>
      </c>
    </row>
    <row r="885" spans="1:83" ht="150" x14ac:dyDescent="0.25">
      <c r="A885">
        <v>2022</v>
      </c>
      <c r="B885" t="s">
        <v>730</v>
      </c>
      <c r="C885" t="s">
        <v>451</v>
      </c>
      <c r="D885" t="s">
        <v>4637</v>
      </c>
      <c r="E885" t="s">
        <v>5445</v>
      </c>
      <c r="F885" t="s">
        <v>752</v>
      </c>
      <c r="G885" t="s">
        <v>34</v>
      </c>
      <c r="H885" t="s">
        <v>59</v>
      </c>
      <c r="I885">
        <v>44874</v>
      </c>
      <c r="J885">
        <v>45002</v>
      </c>
      <c r="K885">
        <v>45002</v>
      </c>
      <c r="L885">
        <v>0</v>
      </c>
      <c r="N885" t="s">
        <v>120</v>
      </c>
      <c r="O885">
        <v>45002</v>
      </c>
      <c r="P885" t="s">
        <v>120</v>
      </c>
      <c r="Q885">
        <v>12750</v>
      </c>
      <c r="R885" t="s">
        <v>5194</v>
      </c>
      <c r="V885">
        <v>383</v>
      </c>
      <c r="W885">
        <v>1</v>
      </c>
      <c r="X885">
        <v>311266.88</v>
      </c>
      <c r="Z885">
        <v>58156.81</v>
      </c>
      <c r="AA885">
        <v>369423.69</v>
      </c>
      <c r="AB885">
        <v>45013</v>
      </c>
      <c r="AC885" t="s">
        <v>1056</v>
      </c>
      <c r="AD885" t="s">
        <v>29</v>
      </c>
      <c r="AM885" t="s">
        <v>709</v>
      </c>
      <c r="AY885" t="s">
        <v>29</v>
      </c>
      <c r="BA885" t="s">
        <v>5446</v>
      </c>
      <c r="BB885" s="4" t="s">
        <v>5447</v>
      </c>
      <c r="BC885" t="s">
        <v>115</v>
      </c>
      <c r="BD885" t="s">
        <v>1328</v>
      </c>
      <c r="BE885" t="s">
        <v>115</v>
      </c>
      <c r="BF885" t="s">
        <v>115</v>
      </c>
      <c r="BG885" t="s">
        <v>115</v>
      </c>
      <c r="BI885" t="s">
        <v>709</v>
      </c>
      <c r="BJ885" t="s">
        <v>116</v>
      </c>
      <c r="BK885" t="s">
        <v>116</v>
      </c>
      <c r="BL885" t="s">
        <v>709</v>
      </c>
      <c r="BM885" t="s">
        <v>709</v>
      </c>
      <c r="BN885" t="s">
        <v>709</v>
      </c>
      <c r="BO885" t="s">
        <v>709</v>
      </c>
      <c r="BP885" t="s">
        <v>709</v>
      </c>
      <c r="BQ885" t="s">
        <v>709</v>
      </c>
      <c r="BR885">
        <v>145</v>
      </c>
      <c r="BS885">
        <v>238</v>
      </c>
      <c r="BT885" t="s">
        <v>745</v>
      </c>
      <c r="BU885">
        <v>1</v>
      </c>
      <c r="BV885" t="s">
        <v>745</v>
      </c>
      <c r="BW885" t="s">
        <v>709</v>
      </c>
      <c r="BX885">
        <v>1</v>
      </c>
      <c r="BY885" t="s">
        <v>745</v>
      </c>
      <c r="BZ885" t="s">
        <v>709</v>
      </c>
      <c r="CB885">
        <v>883</v>
      </c>
      <c r="CC885" t="b">
        <v>1</v>
      </c>
      <c r="CD885" t="s">
        <v>5448</v>
      </c>
      <c r="CE885" s="1482">
        <v>45880.73741898148</v>
      </c>
    </row>
    <row r="886" spans="1:83" ht="225" x14ac:dyDescent="0.25">
      <c r="A886">
        <v>2023</v>
      </c>
      <c r="B886" t="s">
        <v>4</v>
      </c>
      <c r="C886" t="s">
        <v>1420</v>
      </c>
      <c r="D886" t="s">
        <v>1421</v>
      </c>
      <c r="E886" t="s">
        <v>1422</v>
      </c>
      <c r="F886" t="s">
        <v>784</v>
      </c>
      <c r="G886" t="s">
        <v>25</v>
      </c>
      <c r="H886" t="s">
        <v>59</v>
      </c>
      <c r="I886">
        <v>44907</v>
      </c>
      <c r="J886">
        <v>45016</v>
      </c>
      <c r="K886">
        <v>45002</v>
      </c>
      <c r="L886">
        <v>14</v>
      </c>
      <c r="N886" t="s">
        <v>120</v>
      </c>
      <c r="O886">
        <v>45017</v>
      </c>
      <c r="P886" t="s">
        <v>739</v>
      </c>
      <c r="Q886">
        <v>10427.678</v>
      </c>
      <c r="R886">
        <v>0.1</v>
      </c>
      <c r="V886">
        <v>131</v>
      </c>
      <c r="W886">
        <v>0</v>
      </c>
      <c r="X886">
        <v>95628.03</v>
      </c>
      <c r="Z886">
        <v>8648.75</v>
      </c>
      <c r="AA886">
        <v>104276.78</v>
      </c>
      <c r="AB886" t="s">
        <v>709</v>
      </c>
      <c r="AC886" t="s">
        <v>709</v>
      </c>
      <c r="AD886" t="s">
        <v>29</v>
      </c>
      <c r="AM886" t="s">
        <v>116</v>
      </c>
      <c r="AN886" t="s">
        <v>709</v>
      </c>
      <c r="AO886" t="s">
        <v>115</v>
      </c>
      <c r="AS886">
        <v>0</v>
      </c>
      <c r="AT886">
        <v>0</v>
      </c>
      <c r="AU886">
        <v>0</v>
      </c>
      <c r="AY886" t="s">
        <v>709</v>
      </c>
      <c r="AZ886">
        <v>80</v>
      </c>
      <c r="BA886" s="4" t="s">
        <v>1423</v>
      </c>
      <c r="BB886" t="s">
        <v>1424</v>
      </c>
      <c r="BC886" t="s">
        <v>116</v>
      </c>
      <c r="BD886" t="s">
        <v>115</v>
      </c>
      <c r="BE886" t="s">
        <v>1425</v>
      </c>
      <c r="BF886" t="s">
        <v>115</v>
      </c>
      <c r="BG886" t="s">
        <v>115</v>
      </c>
      <c r="BI886" t="s">
        <v>709</v>
      </c>
      <c r="BJ886" t="s">
        <v>709</v>
      </c>
      <c r="BK886" t="s">
        <v>709</v>
      </c>
      <c r="BL886" t="s">
        <v>116</v>
      </c>
      <c r="BM886" t="s">
        <v>709</v>
      </c>
      <c r="BN886" t="s">
        <v>709</v>
      </c>
      <c r="BO886" t="s">
        <v>709</v>
      </c>
      <c r="BP886" t="s">
        <v>709</v>
      </c>
      <c r="BQ886" t="s">
        <v>709</v>
      </c>
      <c r="BR886" t="s">
        <v>709</v>
      </c>
      <c r="BS886">
        <v>131</v>
      </c>
      <c r="BT886" t="s">
        <v>745</v>
      </c>
      <c r="BU886" t="s">
        <v>709</v>
      </c>
      <c r="BV886" t="s">
        <v>745</v>
      </c>
      <c r="BW886" t="s">
        <v>709</v>
      </c>
      <c r="BX886" t="s">
        <v>745</v>
      </c>
      <c r="BY886" t="s">
        <v>745</v>
      </c>
      <c r="BZ886" t="s">
        <v>709</v>
      </c>
      <c r="CB886">
        <v>884</v>
      </c>
      <c r="CC886" t="b">
        <v>1</v>
      </c>
      <c r="CD886" t="s">
        <v>5449</v>
      </c>
      <c r="CE886" s="1482">
        <v>45880.73741898148</v>
      </c>
    </row>
    <row r="887" spans="1:83" ht="225" x14ac:dyDescent="0.25">
      <c r="A887">
        <v>2023</v>
      </c>
      <c r="B887" t="s">
        <v>4</v>
      </c>
      <c r="C887" t="s">
        <v>5450</v>
      </c>
      <c r="D887" t="s">
        <v>115</v>
      </c>
      <c r="E887" t="s">
        <v>1159</v>
      </c>
      <c r="F887" t="s">
        <v>747</v>
      </c>
      <c r="G887" t="s">
        <v>33</v>
      </c>
      <c r="H887" t="s">
        <v>1681</v>
      </c>
      <c r="I887">
        <v>44946</v>
      </c>
      <c r="J887">
        <v>45023</v>
      </c>
      <c r="K887">
        <v>45005</v>
      </c>
      <c r="L887">
        <v>18</v>
      </c>
      <c r="N887" t="s">
        <v>120</v>
      </c>
      <c r="O887">
        <v>45005</v>
      </c>
      <c r="P887" t="s">
        <v>739</v>
      </c>
      <c r="Q887" t="s">
        <v>115</v>
      </c>
      <c r="R887" t="s">
        <v>115</v>
      </c>
      <c r="AB887" t="s">
        <v>29</v>
      </c>
      <c r="AC887" t="s">
        <v>709</v>
      </c>
      <c r="AD887" t="s">
        <v>29</v>
      </c>
      <c r="AM887" t="s">
        <v>709</v>
      </c>
      <c r="AY887" t="s">
        <v>29</v>
      </c>
      <c r="BA887" s="4" t="s">
        <v>5451</v>
      </c>
      <c r="BB887" t="s">
        <v>5452</v>
      </c>
      <c r="BC887" t="s">
        <v>709</v>
      </c>
      <c r="BD887" t="s">
        <v>709</v>
      </c>
      <c r="BE887" t="s">
        <v>1210</v>
      </c>
      <c r="BF887" t="s">
        <v>709</v>
      </c>
      <c r="BG887" t="s">
        <v>709</v>
      </c>
      <c r="CB887">
        <v>885</v>
      </c>
      <c r="CC887" t="b">
        <v>1</v>
      </c>
      <c r="CD887" t="s">
        <v>5453</v>
      </c>
      <c r="CE887" s="1482">
        <v>45880.737430555557</v>
      </c>
    </row>
    <row r="888" spans="1:83" x14ac:dyDescent="0.25">
      <c r="A888">
        <v>2023</v>
      </c>
      <c r="B888" t="s">
        <v>730</v>
      </c>
      <c r="C888" t="s">
        <v>1426</v>
      </c>
      <c r="D888" t="s">
        <v>1427</v>
      </c>
      <c r="E888" t="s">
        <v>1428</v>
      </c>
      <c r="F888" t="s">
        <v>752</v>
      </c>
      <c r="G888" t="s">
        <v>24</v>
      </c>
      <c r="H888" t="s">
        <v>59</v>
      </c>
      <c r="I888">
        <v>44888</v>
      </c>
      <c r="J888">
        <v>45009</v>
      </c>
      <c r="K888">
        <v>45005</v>
      </c>
      <c r="L888">
        <v>4</v>
      </c>
      <c r="N888" t="s">
        <v>120</v>
      </c>
      <c r="O888">
        <v>45017</v>
      </c>
      <c r="P888" t="s">
        <v>120</v>
      </c>
      <c r="Q888">
        <v>46794.15</v>
      </c>
      <c r="R888">
        <v>0.09</v>
      </c>
      <c r="V888">
        <v>3077</v>
      </c>
      <c r="W888">
        <v>2</v>
      </c>
      <c r="X888">
        <v>452148.43</v>
      </c>
      <c r="Z888">
        <v>67786.570000000007</v>
      </c>
      <c r="AA888">
        <v>519935</v>
      </c>
      <c r="AB888" t="s">
        <v>709</v>
      </c>
      <c r="AC888" t="s">
        <v>709</v>
      </c>
      <c r="AD888" t="s">
        <v>29</v>
      </c>
      <c r="AM888" t="s">
        <v>116</v>
      </c>
      <c r="AN888">
        <v>45566</v>
      </c>
      <c r="AO888">
        <v>11056677</v>
      </c>
      <c r="AP888">
        <v>492625.96</v>
      </c>
      <c r="AR888">
        <v>70857.600000000006</v>
      </c>
      <c r="AS888">
        <v>563483.56000000006</v>
      </c>
      <c r="AT888">
        <v>43548.56</v>
      </c>
      <c r="AU888">
        <v>3919.3703999999998</v>
      </c>
      <c r="AV888">
        <v>6685</v>
      </c>
      <c r="AW888" t="s">
        <v>5454</v>
      </c>
      <c r="AX888">
        <v>0</v>
      </c>
      <c r="AY888">
        <v>45901</v>
      </c>
      <c r="AZ888">
        <v>37</v>
      </c>
      <c r="BA888" t="s">
        <v>1429</v>
      </c>
      <c r="BB888" t="s">
        <v>1430</v>
      </c>
      <c r="BC888" t="s">
        <v>115</v>
      </c>
      <c r="BD888" t="s">
        <v>1066</v>
      </c>
      <c r="BE888" t="s">
        <v>1431</v>
      </c>
      <c r="BF888" t="s">
        <v>1432</v>
      </c>
      <c r="BG888" t="s">
        <v>115</v>
      </c>
      <c r="BH888" t="s">
        <v>1433</v>
      </c>
      <c r="BI888" t="s">
        <v>709</v>
      </c>
      <c r="BJ888" t="s">
        <v>709</v>
      </c>
      <c r="BK888" t="s">
        <v>709</v>
      </c>
      <c r="BL888" t="s">
        <v>116</v>
      </c>
      <c r="BM888" t="s">
        <v>709</v>
      </c>
      <c r="BN888" t="s">
        <v>709</v>
      </c>
      <c r="BO888" t="s">
        <v>709</v>
      </c>
      <c r="BP888" t="s">
        <v>709</v>
      </c>
      <c r="BQ888" t="s">
        <v>709</v>
      </c>
      <c r="BR888">
        <v>3047</v>
      </c>
      <c r="BS888">
        <v>30</v>
      </c>
      <c r="BT888" t="s">
        <v>709</v>
      </c>
      <c r="BU888" t="s">
        <v>709</v>
      </c>
      <c r="BV888" t="s">
        <v>709</v>
      </c>
      <c r="BW888" t="s">
        <v>709</v>
      </c>
      <c r="BX888" t="s">
        <v>709</v>
      </c>
      <c r="BY888" t="s">
        <v>709</v>
      </c>
      <c r="BZ888" t="s">
        <v>709</v>
      </c>
      <c r="CB888">
        <v>886</v>
      </c>
      <c r="CC888" t="b">
        <v>1</v>
      </c>
      <c r="CD888" t="s">
        <v>5455</v>
      </c>
      <c r="CE888" s="1482">
        <v>45880.737442129626</v>
      </c>
    </row>
    <row r="889" spans="1:83" x14ac:dyDescent="0.25">
      <c r="A889">
        <v>2021</v>
      </c>
      <c r="B889" t="s">
        <v>771</v>
      </c>
      <c r="C889" t="s">
        <v>383</v>
      </c>
      <c r="D889" t="s">
        <v>1434</v>
      </c>
      <c r="E889" t="s">
        <v>104</v>
      </c>
      <c r="F889" t="s">
        <v>784</v>
      </c>
      <c r="G889" t="s">
        <v>36</v>
      </c>
      <c r="H889" t="s">
        <v>59</v>
      </c>
      <c r="I889">
        <v>44250</v>
      </c>
      <c r="J889">
        <v>45016</v>
      </c>
      <c r="K889">
        <v>45008</v>
      </c>
      <c r="L889">
        <v>8</v>
      </c>
      <c r="N889" t="s">
        <v>120</v>
      </c>
      <c r="O889">
        <v>45017</v>
      </c>
      <c r="P889" t="s">
        <v>120</v>
      </c>
      <c r="Q889">
        <v>148271.67180000001</v>
      </c>
      <c r="R889">
        <v>0.09</v>
      </c>
      <c r="V889">
        <v>1626</v>
      </c>
      <c r="W889">
        <v>0</v>
      </c>
      <c r="X889">
        <v>1586798.2</v>
      </c>
      <c r="Z889">
        <v>60664.82</v>
      </c>
      <c r="AA889">
        <v>1647463.02</v>
      </c>
      <c r="AB889">
        <v>45040</v>
      </c>
      <c r="AC889" t="s">
        <v>1177</v>
      </c>
      <c r="AD889" t="s">
        <v>29</v>
      </c>
      <c r="AM889" t="s">
        <v>116</v>
      </c>
      <c r="AN889" t="s">
        <v>709</v>
      </c>
      <c r="AO889">
        <v>11037256</v>
      </c>
      <c r="AS889">
        <v>0</v>
      </c>
      <c r="AT889">
        <v>0</v>
      </c>
      <c r="AU889">
        <v>0</v>
      </c>
      <c r="AY889" t="s">
        <v>709</v>
      </c>
      <c r="AZ889">
        <v>38</v>
      </c>
      <c r="BA889" t="s">
        <v>1435</v>
      </c>
      <c r="BB889" t="s">
        <v>1436</v>
      </c>
      <c r="BC889" t="s">
        <v>116</v>
      </c>
      <c r="BD889" t="s">
        <v>115</v>
      </c>
      <c r="BE889" t="s">
        <v>1232</v>
      </c>
      <c r="BF889" t="s">
        <v>115</v>
      </c>
      <c r="BI889" t="s">
        <v>709</v>
      </c>
      <c r="BJ889" t="s">
        <v>709</v>
      </c>
      <c r="BK889" t="s">
        <v>709</v>
      </c>
      <c r="BL889" t="s">
        <v>116</v>
      </c>
      <c r="BM889" t="s">
        <v>709</v>
      </c>
      <c r="BN889">
        <v>533</v>
      </c>
      <c r="BO889" t="s">
        <v>709</v>
      </c>
      <c r="BP889">
        <v>228</v>
      </c>
      <c r="BQ889">
        <v>422</v>
      </c>
      <c r="BR889">
        <v>414</v>
      </c>
      <c r="BS889">
        <v>22</v>
      </c>
      <c r="BT889" t="s">
        <v>745</v>
      </c>
      <c r="BU889" t="s">
        <v>709</v>
      </c>
      <c r="BV889" t="s">
        <v>745</v>
      </c>
      <c r="BW889" t="s">
        <v>709</v>
      </c>
      <c r="BX889" t="s">
        <v>745</v>
      </c>
      <c r="BY889" t="s">
        <v>745</v>
      </c>
      <c r="BZ889" t="s">
        <v>709</v>
      </c>
      <c r="CB889">
        <v>888</v>
      </c>
      <c r="CC889" t="b">
        <v>1</v>
      </c>
      <c r="CD889" t="s">
        <v>5456</v>
      </c>
      <c r="CE889" s="1482">
        <v>45880.737442129626</v>
      </c>
    </row>
    <row r="890" spans="1:83" x14ac:dyDescent="0.25">
      <c r="A890">
        <v>2023</v>
      </c>
      <c r="B890" t="s">
        <v>771</v>
      </c>
      <c r="C890" t="s">
        <v>931</v>
      </c>
      <c r="D890" t="s">
        <v>932</v>
      </c>
      <c r="E890" t="s">
        <v>887</v>
      </c>
      <c r="F890" t="s">
        <v>784</v>
      </c>
      <c r="G890" t="s">
        <v>32</v>
      </c>
      <c r="H890" t="s">
        <v>59</v>
      </c>
      <c r="I890">
        <v>44862</v>
      </c>
      <c r="J890">
        <v>45009</v>
      </c>
      <c r="K890">
        <v>45008</v>
      </c>
      <c r="L890">
        <v>1</v>
      </c>
      <c r="N890" t="s">
        <v>120</v>
      </c>
      <c r="O890">
        <v>45017</v>
      </c>
      <c r="P890" t="s">
        <v>120</v>
      </c>
      <c r="Q890">
        <v>212873.31899999999</v>
      </c>
      <c r="R890">
        <v>0.06</v>
      </c>
      <c r="V890">
        <v>9968</v>
      </c>
      <c r="W890">
        <v>0</v>
      </c>
      <c r="X890">
        <v>3091707.63</v>
      </c>
      <c r="Z890">
        <v>456181.02</v>
      </c>
      <c r="AA890">
        <v>3547888.65</v>
      </c>
      <c r="AB890">
        <v>45020</v>
      </c>
      <c r="AC890" t="s">
        <v>709</v>
      </c>
      <c r="AD890" t="s">
        <v>29</v>
      </c>
      <c r="AM890" t="s">
        <v>116</v>
      </c>
      <c r="AN890">
        <v>45373</v>
      </c>
      <c r="AO890">
        <v>11080213</v>
      </c>
      <c r="AP890">
        <v>3211918.08</v>
      </c>
      <c r="AR890">
        <v>482952.38</v>
      </c>
      <c r="AS890">
        <v>3694870.46</v>
      </c>
      <c r="AT890">
        <v>146981.81</v>
      </c>
      <c r="AU890">
        <v>8818.9086000000007</v>
      </c>
      <c r="AV890">
        <v>20005</v>
      </c>
      <c r="AW890" t="s">
        <v>5457</v>
      </c>
      <c r="AX890">
        <v>0</v>
      </c>
      <c r="AY890">
        <v>45566</v>
      </c>
      <c r="AZ890">
        <v>5</v>
      </c>
      <c r="BA890" t="s">
        <v>934</v>
      </c>
      <c r="BB890" t="s">
        <v>935</v>
      </c>
      <c r="BC890" t="s">
        <v>116</v>
      </c>
      <c r="BD890" t="s">
        <v>115</v>
      </c>
      <c r="BE890" t="s">
        <v>891</v>
      </c>
      <c r="BF890" t="s">
        <v>115</v>
      </c>
      <c r="BG890" t="s">
        <v>115</v>
      </c>
      <c r="BH890" t="s">
        <v>5458</v>
      </c>
      <c r="BI890" t="s">
        <v>709</v>
      </c>
      <c r="BJ890" t="s">
        <v>709</v>
      </c>
      <c r="BK890" t="s">
        <v>709</v>
      </c>
      <c r="BL890" t="s">
        <v>116</v>
      </c>
      <c r="BM890">
        <v>0</v>
      </c>
      <c r="BN890">
        <v>0</v>
      </c>
      <c r="BO890">
        <v>0</v>
      </c>
      <c r="BP890">
        <v>0</v>
      </c>
      <c r="BQ890">
        <v>6338</v>
      </c>
      <c r="BR890">
        <v>103</v>
      </c>
      <c r="BS890">
        <v>3527</v>
      </c>
      <c r="BT890">
        <v>0</v>
      </c>
      <c r="BU890">
        <v>0</v>
      </c>
      <c r="BV890">
        <v>0</v>
      </c>
      <c r="BW890">
        <v>0</v>
      </c>
      <c r="BX890">
        <v>0</v>
      </c>
      <c r="BY890">
        <v>0</v>
      </c>
      <c r="BZ890" t="s">
        <v>709</v>
      </c>
      <c r="CB890">
        <v>889</v>
      </c>
      <c r="CC890" t="b">
        <v>1</v>
      </c>
      <c r="CD890" t="s">
        <v>5459</v>
      </c>
      <c r="CE890" s="1482">
        <v>45880.737453703703</v>
      </c>
    </row>
    <row r="891" spans="1:83" ht="150" x14ac:dyDescent="0.25">
      <c r="A891">
        <v>2023</v>
      </c>
      <c r="B891" t="s">
        <v>771</v>
      </c>
      <c r="C891" t="s">
        <v>5460</v>
      </c>
      <c r="D891" t="s">
        <v>5461</v>
      </c>
      <c r="E891" t="s">
        <v>1373</v>
      </c>
      <c r="F891" t="s">
        <v>784</v>
      </c>
      <c r="G891" t="s">
        <v>22</v>
      </c>
      <c r="H891" t="s">
        <v>59</v>
      </c>
      <c r="I891">
        <v>44946</v>
      </c>
      <c r="J891">
        <v>45009</v>
      </c>
      <c r="K891">
        <v>45008</v>
      </c>
      <c r="L891">
        <v>1</v>
      </c>
      <c r="N891" t="s">
        <v>120</v>
      </c>
      <c r="O891">
        <v>45008</v>
      </c>
      <c r="P891" t="s">
        <v>120</v>
      </c>
      <c r="Q891">
        <v>164773.37100000001</v>
      </c>
      <c r="R891">
        <v>0.06</v>
      </c>
      <c r="V891">
        <v>9640</v>
      </c>
      <c r="W891">
        <v>0</v>
      </c>
      <c r="X891">
        <v>2600126.2599999998</v>
      </c>
      <c r="Z891">
        <v>146096.59</v>
      </c>
      <c r="AA891">
        <v>2746222.85</v>
      </c>
      <c r="AB891">
        <v>45009</v>
      </c>
      <c r="AC891" t="s">
        <v>709</v>
      </c>
      <c r="AD891" t="s">
        <v>116</v>
      </c>
      <c r="AM891" t="s">
        <v>116</v>
      </c>
      <c r="AN891">
        <v>45082</v>
      </c>
      <c r="AO891">
        <v>11060395</v>
      </c>
      <c r="AP891">
        <v>2604497.41</v>
      </c>
      <c r="AR891">
        <v>146406.49</v>
      </c>
      <c r="AS891">
        <v>2750903.9</v>
      </c>
      <c r="AT891">
        <v>4681.05</v>
      </c>
      <c r="AU891">
        <v>280.863</v>
      </c>
      <c r="AV891" t="s">
        <v>709</v>
      </c>
      <c r="AX891">
        <v>280.863</v>
      </c>
      <c r="AY891">
        <v>45200</v>
      </c>
      <c r="BA891" t="s">
        <v>5462</v>
      </c>
      <c r="BB891" s="4" t="s">
        <v>5435</v>
      </c>
      <c r="BC891" t="s">
        <v>116</v>
      </c>
      <c r="BD891" t="s">
        <v>709</v>
      </c>
      <c r="BE891" t="s">
        <v>1376</v>
      </c>
      <c r="BF891" t="s">
        <v>709</v>
      </c>
      <c r="BG891" t="s">
        <v>115</v>
      </c>
      <c r="BI891" t="s">
        <v>709</v>
      </c>
      <c r="BJ891" t="s">
        <v>709</v>
      </c>
      <c r="BK891" t="s">
        <v>709</v>
      </c>
      <c r="BL891" t="s">
        <v>116</v>
      </c>
      <c r="BM891" t="s">
        <v>709</v>
      </c>
      <c r="BN891" t="s">
        <v>709</v>
      </c>
      <c r="BO891" t="s">
        <v>709</v>
      </c>
      <c r="BP891" t="s">
        <v>709</v>
      </c>
      <c r="BQ891" t="s">
        <v>709</v>
      </c>
      <c r="BR891">
        <v>2223</v>
      </c>
      <c r="BS891">
        <v>7417</v>
      </c>
      <c r="BT891" t="s">
        <v>745</v>
      </c>
      <c r="BU891" t="s">
        <v>709</v>
      </c>
      <c r="BV891" t="s">
        <v>745</v>
      </c>
      <c r="BW891" t="s">
        <v>709</v>
      </c>
      <c r="BX891" t="s">
        <v>745</v>
      </c>
      <c r="BY891" t="s">
        <v>745</v>
      </c>
      <c r="BZ891" t="s">
        <v>709</v>
      </c>
      <c r="CB891">
        <v>887</v>
      </c>
      <c r="CC891" t="b">
        <v>1</v>
      </c>
      <c r="CD891" t="s">
        <v>5463</v>
      </c>
      <c r="CE891" s="1482">
        <v>45880.737453703703</v>
      </c>
    </row>
    <row r="892" spans="1:83" x14ac:dyDescent="0.25">
      <c r="A892">
        <v>2023</v>
      </c>
      <c r="B892" t="s">
        <v>1205</v>
      </c>
      <c r="C892" t="s">
        <v>271</v>
      </c>
      <c r="D892">
        <v>1211740</v>
      </c>
      <c r="E892" t="s">
        <v>272</v>
      </c>
      <c r="F892" t="s">
        <v>747</v>
      </c>
      <c r="G892" t="s">
        <v>32</v>
      </c>
      <c r="H892" t="s">
        <v>4189</v>
      </c>
      <c r="I892">
        <v>45005</v>
      </c>
      <c r="J892" t="s">
        <v>2052</v>
      </c>
      <c r="K892">
        <v>45012</v>
      </c>
      <c r="L892">
        <v>7</v>
      </c>
      <c r="M892" t="s">
        <v>5464</v>
      </c>
      <c r="N892" t="s">
        <v>120</v>
      </c>
      <c r="O892">
        <v>45017</v>
      </c>
      <c r="P892" t="s">
        <v>120</v>
      </c>
      <c r="Q892">
        <v>2125</v>
      </c>
      <c r="R892" t="s">
        <v>1922</v>
      </c>
      <c r="S892">
        <v>0</v>
      </c>
      <c r="U892">
        <v>2125</v>
      </c>
      <c r="AB892" t="s">
        <v>29</v>
      </c>
      <c r="AC892" t="s">
        <v>709</v>
      </c>
      <c r="AD892" t="s">
        <v>116</v>
      </c>
      <c r="AM892" t="s">
        <v>709</v>
      </c>
      <c r="AY892" t="s">
        <v>29</v>
      </c>
      <c r="BA892">
        <v>8</v>
      </c>
      <c r="BI892" t="s">
        <v>709</v>
      </c>
      <c r="BJ892" t="s">
        <v>709</v>
      </c>
      <c r="BK892" t="s">
        <v>709</v>
      </c>
      <c r="BL892" t="s">
        <v>116</v>
      </c>
      <c r="BM892">
        <v>0</v>
      </c>
      <c r="BN892">
        <v>0</v>
      </c>
      <c r="BO892">
        <v>0</v>
      </c>
      <c r="BP892">
        <v>0</v>
      </c>
      <c r="BQ892">
        <v>0</v>
      </c>
      <c r="BR892">
        <v>261</v>
      </c>
      <c r="BS892">
        <v>18</v>
      </c>
      <c r="BT892">
        <v>0</v>
      </c>
      <c r="BU892">
        <v>0</v>
      </c>
      <c r="BV892">
        <v>0</v>
      </c>
      <c r="BW892">
        <v>0</v>
      </c>
      <c r="BX892">
        <v>0</v>
      </c>
      <c r="BY892">
        <v>0</v>
      </c>
      <c r="BZ892" t="s">
        <v>709</v>
      </c>
      <c r="CB892">
        <v>890</v>
      </c>
      <c r="CC892" t="b">
        <v>1</v>
      </c>
      <c r="CD892" t="s">
        <v>5465</v>
      </c>
      <c r="CE892" s="1482">
        <v>45880.737453703703</v>
      </c>
    </row>
    <row r="893" spans="1:83" ht="120" x14ac:dyDescent="0.25">
      <c r="A893">
        <v>2023</v>
      </c>
      <c r="B893" t="s">
        <v>759</v>
      </c>
      <c r="C893" t="s">
        <v>5466</v>
      </c>
      <c r="D893" t="s">
        <v>5467</v>
      </c>
      <c r="E893" t="s">
        <v>3315</v>
      </c>
      <c r="F893" t="s">
        <v>752</v>
      </c>
      <c r="G893" t="s">
        <v>23</v>
      </c>
      <c r="H893" t="s">
        <v>4354</v>
      </c>
      <c r="I893">
        <v>44837</v>
      </c>
      <c r="J893" t="s">
        <v>4354</v>
      </c>
      <c r="K893">
        <v>45013</v>
      </c>
      <c r="L893">
        <v>176</v>
      </c>
      <c r="M893" t="s">
        <v>5468</v>
      </c>
      <c r="N893" t="s">
        <v>120</v>
      </c>
      <c r="O893">
        <v>45017</v>
      </c>
      <c r="P893" t="s">
        <v>120</v>
      </c>
      <c r="Q893">
        <v>15754.5</v>
      </c>
      <c r="R893" t="s">
        <v>1922</v>
      </c>
      <c r="S893">
        <v>17</v>
      </c>
      <c r="U893">
        <v>15737.5</v>
      </c>
      <c r="AC893" t="s">
        <v>29</v>
      </c>
      <c r="AM893" t="s">
        <v>709</v>
      </c>
      <c r="AY893" t="s">
        <v>29</v>
      </c>
      <c r="BA893" s="4" t="s">
        <v>5469</v>
      </c>
      <c r="BB893" t="s">
        <v>5470</v>
      </c>
      <c r="BC893" t="s">
        <v>115</v>
      </c>
      <c r="BD893" t="s">
        <v>882</v>
      </c>
      <c r="BE893" s="4" t="s">
        <v>5471</v>
      </c>
      <c r="BF893" t="s">
        <v>115</v>
      </c>
      <c r="BG893" t="s">
        <v>115</v>
      </c>
      <c r="BI893" t="s">
        <v>709</v>
      </c>
      <c r="BJ893" t="s">
        <v>709</v>
      </c>
      <c r="BK893" t="s">
        <v>709</v>
      </c>
      <c r="BL893" t="s">
        <v>116</v>
      </c>
      <c r="BM893" t="s">
        <v>709</v>
      </c>
      <c r="BN893" t="s">
        <v>709</v>
      </c>
      <c r="BO893" t="s">
        <v>709</v>
      </c>
      <c r="BP893" t="s">
        <v>116</v>
      </c>
      <c r="BQ893" t="s">
        <v>116</v>
      </c>
      <c r="BR893" t="s">
        <v>709</v>
      </c>
      <c r="BS893" t="s">
        <v>116</v>
      </c>
      <c r="BT893" t="s">
        <v>116</v>
      </c>
      <c r="BU893" t="s">
        <v>709</v>
      </c>
      <c r="BV893" t="s">
        <v>745</v>
      </c>
      <c r="BW893" t="s">
        <v>709</v>
      </c>
      <c r="BX893" t="s">
        <v>116</v>
      </c>
      <c r="BY893" t="s">
        <v>745</v>
      </c>
      <c r="BZ893" t="s">
        <v>709</v>
      </c>
      <c r="CB893">
        <v>891</v>
      </c>
      <c r="CC893" t="b">
        <v>1</v>
      </c>
      <c r="CD893" t="s">
        <v>5472</v>
      </c>
      <c r="CE893" s="1482">
        <v>45880.73746527778</v>
      </c>
    </row>
    <row r="894" spans="1:83" x14ac:dyDescent="0.25">
      <c r="A894">
        <v>2023</v>
      </c>
      <c r="B894" t="s">
        <v>771</v>
      </c>
      <c r="C894" t="s">
        <v>1060</v>
      </c>
      <c r="D894" t="s">
        <v>1061</v>
      </c>
      <c r="E894" t="s">
        <v>1062</v>
      </c>
      <c r="F894" t="s">
        <v>784</v>
      </c>
      <c r="G894" t="s">
        <v>31</v>
      </c>
      <c r="H894" t="s">
        <v>59</v>
      </c>
      <c r="I894">
        <v>44943</v>
      </c>
      <c r="J894">
        <v>45020</v>
      </c>
      <c r="K894">
        <v>45014</v>
      </c>
      <c r="L894">
        <v>6</v>
      </c>
      <c r="N894" t="s">
        <v>120</v>
      </c>
      <c r="O894">
        <v>45017</v>
      </c>
      <c r="P894" t="s">
        <v>120</v>
      </c>
      <c r="Q894">
        <v>36352.372499999998</v>
      </c>
      <c r="R894">
        <v>0.09</v>
      </c>
      <c r="V894">
        <v>322</v>
      </c>
      <c r="W894">
        <v>0</v>
      </c>
      <c r="X894">
        <v>357790.75</v>
      </c>
      <c r="Z894">
        <v>46124.5</v>
      </c>
      <c r="AA894">
        <v>403915.25</v>
      </c>
      <c r="AB894">
        <v>45015</v>
      </c>
      <c r="AC894" t="s">
        <v>709</v>
      </c>
      <c r="AD894" t="s">
        <v>29</v>
      </c>
      <c r="AM894" t="s">
        <v>116</v>
      </c>
      <c r="AN894">
        <v>45462</v>
      </c>
      <c r="AO894">
        <v>11084647</v>
      </c>
      <c r="AP894">
        <v>370552.83</v>
      </c>
      <c r="AR894">
        <v>47519.26</v>
      </c>
      <c r="AS894">
        <v>418072.09</v>
      </c>
      <c r="AT894">
        <v>14156.84</v>
      </c>
      <c r="AU894">
        <v>1274.1156000000001</v>
      </c>
      <c r="AV894">
        <v>0</v>
      </c>
      <c r="AW894" t="s">
        <v>1063</v>
      </c>
      <c r="AX894">
        <v>1274.1199999999999</v>
      </c>
      <c r="AY894">
        <v>45566</v>
      </c>
      <c r="AZ894">
        <v>39</v>
      </c>
      <c r="BA894" t="s">
        <v>1064</v>
      </c>
      <c r="BB894" t="s">
        <v>1065</v>
      </c>
      <c r="BC894" t="s">
        <v>709</v>
      </c>
      <c r="BD894" t="s">
        <v>1066</v>
      </c>
      <c r="BE894" t="s">
        <v>115</v>
      </c>
      <c r="BF894" t="s">
        <v>115</v>
      </c>
      <c r="BG894" t="s">
        <v>1067</v>
      </c>
      <c r="BI894" t="s">
        <v>709</v>
      </c>
      <c r="BJ894" t="s">
        <v>709</v>
      </c>
      <c r="BK894" t="s">
        <v>709</v>
      </c>
      <c r="BL894" t="s">
        <v>116</v>
      </c>
      <c r="BM894" t="s">
        <v>709</v>
      </c>
      <c r="BN894" t="s">
        <v>709</v>
      </c>
      <c r="BO894" t="s">
        <v>709</v>
      </c>
      <c r="BP894" t="s">
        <v>709</v>
      </c>
      <c r="BQ894">
        <v>322</v>
      </c>
      <c r="BR894" t="s">
        <v>709</v>
      </c>
      <c r="BS894" t="s">
        <v>709</v>
      </c>
      <c r="BT894" t="s">
        <v>745</v>
      </c>
      <c r="BU894" t="s">
        <v>709</v>
      </c>
      <c r="BV894" t="s">
        <v>745</v>
      </c>
      <c r="BW894" t="s">
        <v>709</v>
      </c>
      <c r="BX894" t="s">
        <v>745</v>
      </c>
      <c r="BY894" t="s">
        <v>745</v>
      </c>
      <c r="BZ894" t="s">
        <v>709</v>
      </c>
      <c r="CB894">
        <v>892</v>
      </c>
      <c r="CC894" t="b">
        <v>1</v>
      </c>
      <c r="CD894" t="s">
        <v>5473</v>
      </c>
      <c r="CE894" s="1482">
        <v>45880.737476851849</v>
      </c>
    </row>
    <row r="895" spans="1:83" x14ac:dyDescent="0.25">
      <c r="A895">
        <v>2023</v>
      </c>
      <c r="B895" t="s">
        <v>730</v>
      </c>
      <c r="C895" t="s">
        <v>366</v>
      </c>
      <c r="D895" t="s">
        <v>5474</v>
      </c>
      <c r="E895" t="s">
        <v>367</v>
      </c>
      <c r="F895" t="s">
        <v>752</v>
      </c>
      <c r="G895" t="s">
        <v>32</v>
      </c>
      <c r="H895" t="s">
        <v>59</v>
      </c>
      <c r="I895">
        <v>44888</v>
      </c>
      <c r="J895">
        <v>45019</v>
      </c>
      <c r="K895">
        <v>45014</v>
      </c>
      <c r="L895">
        <v>5</v>
      </c>
      <c r="N895" t="s">
        <v>120</v>
      </c>
      <c r="O895">
        <v>45017</v>
      </c>
      <c r="P895" t="s">
        <v>120</v>
      </c>
      <c r="Q895">
        <v>12750</v>
      </c>
      <c r="R895" t="s">
        <v>5194</v>
      </c>
      <c r="V895">
        <v>43</v>
      </c>
      <c r="W895">
        <v>1</v>
      </c>
      <c r="X895">
        <v>130351.47</v>
      </c>
      <c r="Z895">
        <v>31721.95</v>
      </c>
      <c r="AA895">
        <v>162073.42000000001</v>
      </c>
      <c r="AB895">
        <v>45029</v>
      </c>
      <c r="AC895" t="s">
        <v>1056</v>
      </c>
      <c r="AD895" t="s">
        <v>29</v>
      </c>
      <c r="AM895" t="s">
        <v>709</v>
      </c>
      <c r="AY895" t="s">
        <v>29</v>
      </c>
      <c r="BA895" t="s">
        <v>5475</v>
      </c>
      <c r="BB895" t="s">
        <v>5476</v>
      </c>
      <c r="BC895" t="s">
        <v>116</v>
      </c>
      <c r="BD895" t="s">
        <v>115</v>
      </c>
      <c r="BE895" t="s">
        <v>5477</v>
      </c>
      <c r="BF895" t="s">
        <v>1431</v>
      </c>
      <c r="BG895" t="s">
        <v>5272</v>
      </c>
      <c r="BH895" t="s">
        <v>5478</v>
      </c>
      <c r="BI895" t="s">
        <v>709</v>
      </c>
      <c r="BJ895" t="s">
        <v>709</v>
      </c>
      <c r="BK895" t="s">
        <v>116</v>
      </c>
      <c r="BL895" t="s">
        <v>116</v>
      </c>
      <c r="BM895">
        <v>0</v>
      </c>
      <c r="BN895">
        <v>0</v>
      </c>
      <c r="BO895">
        <v>0</v>
      </c>
      <c r="BP895">
        <v>0</v>
      </c>
      <c r="BQ895">
        <v>0</v>
      </c>
      <c r="BR895">
        <v>0</v>
      </c>
      <c r="BS895">
        <v>43</v>
      </c>
      <c r="BT895">
        <v>0</v>
      </c>
      <c r="BU895">
        <v>1</v>
      </c>
      <c r="BV895">
        <v>0</v>
      </c>
      <c r="BW895">
        <v>0</v>
      </c>
      <c r="BX895">
        <v>1</v>
      </c>
      <c r="BY895">
        <v>0</v>
      </c>
      <c r="BZ895" t="s">
        <v>709</v>
      </c>
      <c r="CB895">
        <v>894</v>
      </c>
      <c r="CC895" t="b">
        <v>1</v>
      </c>
      <c r="CD895" t="s">
        <v>5479</v>
      </c>
      <c r="CE895" s="1482">
        <v>45880.737476851849</v>
      </c>
    </row>
    <row r="896" spans="1:83" ht="195" x14ac:dyDescent="0.25">
      <c r="A896">
        <v>2023</v>
      </c>
      <c r="B896" t="s">
        <v>4</v>
      </c>
      <c r="C896" t="s">
        <v>5480</v>
      </c>
      <c r="D896" t="s">
        <v>5481</v>
      </c>
      <c r="E896" t="s">
        <v>3731</v>
      </c>
      <c r="F896" t="s">
        <v>747</v>
      </c>
      <c r="G896" t="s">
        <v>28</v>
      </c>
      <c r="H896" t="s">
        <v>59</v>
      </c>
      <c r="I896">
        <v>44939</v>
      </c>
      <c r="J896">
        <v>45019</v>
      </c>
      <c r="K896">
        <v>45014</v>
      </c>
      <c r="L896">
        <v>5</v>
      </c>
      <c r="N896" t="s">
        <v>120</v>
      </c>
      <c r="O896">
        <v>45017</v>
      </c>
      <c r="P896" t="s">
        <v>120</v>
      </c>
      <c r="Q896">
        <v>26620.856</v>
      </c>
      <c r="R896">
        <v>0.1</v>
      </c>
      <c r="V896">
        <v>1441</v>
      </c>
      <c r="W896">
        <v>0</v>
      </c>
      <c r="X896">
        <v>249271.95</v>
      </c>
      <c r="Z896">
        <v>16936.61</v>
      </c>
      <c r="AA896">
        <v>266208.56</v>
      </c>
      <c r="AB896">
        <v>45030</v>
      </c>
      <c r="AC896" t="s">
        <v>709</v>
      </c>
      <c r="AD896" t="s">
        <v>29</v>
      </c>
      <c r="AE896" t="s">
        <v>29</v>
      </c>
      <c r="AF896" t="s">
        <v>29</v>
      </c>
      <c r="AG896" t="s">
        <v>29</v>
      </c>
      <c r="AH896" t="s">
        <v>29</v>
      </c>
      <c r="AM896" t="s">
        <v>116</v>
      </c>
      <c r="AN896">
        <v>45104</v>
      </c>
      <c r="AO896">
        <v>11063788</v>
      </c>
      <c r="AP896">
        <v>249343.78</v>
      </c>
      <c r="AR896">
        <v>17230.560000000001</v>
      </c>
      <c r="AS896">
        <v>266574.34000000003</v>
      </c>
      <c r="AT896">
        <v>365.78</v>
      </c>
      <c r="AU896">
        <v>36.578000000000003</v>
      </c>
      <c r="AV896" t="s">
        <v>709</v>
      </c>
      <c r="AX896">
        <v>36.578000000000003</v>
      </c>
      <c r="AY896">
        <v>45200</v>
      </c>
      <c r="BA896" s="4" t="s">
        <v>5482</v>
      </c>
      <c r="BB896" t="s">
        <v>5483</v>
      </c>
      <c r="BC896" t="s">
        <v>709</v>
      </c>
      <c r="BD896" t="s">
        <v>709</v>
      </c>
      <c r="BE896" t="s">
        <v>467</v>
      </c>
      <c r="BF896" t="s">
        <v>709</v>
      </c>
      <c r="BG896" t="s">
        <v>709</v>
      </c>
      <c r="BI896" t="s">
        <v>709</v>
      </c>
      <c r="BJ896" t="s">
        <v>709</v>
      </c>
      <c r="BK896" t="s">
        <v>709</v>
      </c>
      <c r="BL896" t="s">
        <v>116</v>
      </c>
      <c r="BM896" t="s">
        <v>709</v>
      </c>
      <c r="BN896" t="s">
        <v>709</v>
      </c>
      <c r="BO896" t="s">
        <v>709</v>
      </c>
      <c r="BP896" t="s">
        <v>709</v>
      </c>
      <c r="BQ896" t="s">
        <v>709</v>
      </c>
      <c r="BR896" t="s">
        <v>709</v>
      </c>
      <c r="BS896">
        <v>1441</v>
      </c>
      <c r="BT896" t="s">
        <v>745</v>
      </c>
      <c r="BU896" t="s">
        <v>709</v>
      </c>
      <c r="BV896" t="s">
        <v>745</v>
      </c>
      <c r="BW896" t="s">
        <v>709</v>
      </c>
      <c r="BX896" t="s">
        <v>745</v>
      </c>
      <c r="BY896" t="s">
        <v>745</v>
      </c>
      <c r="BZ896" t="s">
        <v>709</v>
      </c>
      <c r="CB896">
        <v>893</v>
      </c>
      <c r="CC896" t="b">
        <v>1</v>
      </c>
      <c r="CD896" t="s">
        <v>5484</v>
      </c>
      <c r="CE896" s="1482">
        <v>45880.737488425926</v>
      </c>
    </row>
    <row r="897" spans="1:83" x14ac:dyDescent="0.25">
      <c r="A897">
        <v>2022</v>
      </c>
      <c r="B897" t="s">
        <v>2</v>
      </c>
      <c r="C897" t="s">
        <v>1259</v>
      </c>
      <c r="D897" t="s">
        <v>1260</v>
      </c>
      <c r="E897" t="s">
        <v>1261</v>
      </c>
      <c r="F897" t="s">
        <v>752</v>
      </c>
      <c r="G897" t="s">
        <v>24</v>
      </c>
      <c r="H897" t="s">
        <v>2724</v>
      </c>
      <c r="I897">
        <v>44727</v>
      </c>
      <c r="J897" t="s">
        <v>4110</v>
      </c>
      <c r="K897">
        <v>45015</v>
      </c>
      <c r="L897">
        <v>288</v>
      </c>
      <c r="M897" t="s">
        <v>5485</v>
      </c>
      <c r="N897" t="s">
        <v>120</v>
      </c>
      <c r="O897">
        <v>45047</v>
      </c>
      <c r="P897" t="s">
        <v>120</v>
      </c>
      <c r="Q897">
        <v>8485</v>
      </c>
      <c r="R897" t="s">
        <v>1922</v>
      </c>
      <c r="S897">
        <v>0</v>
      </c>
      <c r="U897">
        <v>8485</v>
      </c>
      <c r="V897" t="s">
        <v>29</v>
      </c>
      <c r="W897" t="s">
        <v>29</v>
      </c>
      <c r="X897" t="s">
        <v>29</v>
      </c>
      <c r="Y897" t="s">
        <v>915</v>
      </c>
      <c r="Z897" t="s">
        <v>29</v>
      </c>
      <c r="AA897" t="s">
        <v>29</v>
      </c>
      <c r="AB897" t="s">
        <v>29</v>
      </c>
      <c r="AC897" t="s">
        <v>29</v>
      </c>
      <c r="AD897" t="s">
        <v>29</v>
      </c>
      <c r="AM897" t="s">
        <v>709</v>
      </c>
      <c r="AY897" t="s">
        <v>29</v>
      </c>
      <c r="BA897">
        <v>4</v>
      </c>
      <c r="BB897" t="s">
        <v>5486</v>
      </c>
      <c r="BI897" t="s">
        <v>709</v>
      </c>
      <c r="BJ897" t="s">
        <v>709</v>
      </c>
      <c r="BK897" t="s">
        <v>116</v>
      </c>
      <c r="BL897" t="s">
        <v>116</v>
      </c>
      <c r="BM897" t="s">
        <v>709</v>
      </c>
      <c r="BN897" t="s">
        <v>709</v>
      </c>
      <c r="BO897" t="s">
        <v>709</v>
      </c>
      <c r="BP897" t="s">
        <v>709</v>
      </c>
      <c r="BQ897" t="s">
        <v>116</v>
      </c>
      <c r="BR897" t="s">
        <v>116</v>
      </c>
      <c r="BS897" t="s">
        <v>116</v>
      </c>
      <c r="BT897" t="s">
        <v>116</v>
      </c>
      <c r="BU897" t="s">
        <v>709</v>
      </c>
      <c r="BV897" t="s">
        <v>745</v>
      </c>
      <c r="BW897" t="s">
        <v>709</v>
      </c>
      <c r="BX897" t="s">
        <v>745</v>
      </c>
      <c r="BY897" t="s">
        <v>745</v>
      </c>
      <c r="BZ897" t="s">
        <v>709</v>
      </c>
      <c r="CA897" t="s">
        <v>2</v>
      </c>
      <c r="CB897">
        <v>896</v>
      </c>
      <c r="CC897" t="b">
        <v>1</v>
      </c>
      <c r="CD897" t="s">
        <v>5487</v>
      </c>
      <c r="CE897" s="1482">
        <v>45880.737488425926</v>
      </c>
    </row>
    <row r="898" spans="1:83" x14ac:dyDescent="0.25">
      <c r="A898">
        <v>2023</v>
      </c>
      <c r="B898" t="s">
        <v>1073</v>
      </c>
      <c r="C898" t="s">
        <v>286</v>
      </c>
      <c r="D898">
        <v>1511907</v>
      </c>
      <c r="E898" t="s">
        <v>277</v>
      </c>
      <c r="F898" t="s">
        <v>784</v>
      </c>
      <c r="G898" t="s">
        <v>22</v>
      </c>
      <c r="H898" t="s">
        <v>4189</v>
      </c>
      <c r="I898">
        <v>45005</v>
      </c>
      <c r="J898" t="s">
        <v>2052</v>
      </c>
      <c r="K898">
        <v>45015</v>
      </c>
      <c r="L898">
        <v>10</v>
      </c>
      <c r="M898" t="s">
        <v>5488</v>
      </c>
      <c r="N898" t="s">
        <v>120</v>
      </c>
      <c r="O898">
        <v>45017</v>
      </c>
      <c r="P898" t="s">
        <v>739</v>
      </c>
      <c r="Q898">
        <v>2700</v>
      </c>
      <c r="R898" t="s">
        <v>1922</v>
      </c>
      <c r="S898">
        <v>0</v>
      </c>
      <c r="U898">
        <v>2700</v>
      </c>
      <c r="AC898" t="s">
        <v>709</v>
      </c>
      <c r="AD898" t="s">
        <v>116</v>
      </c>
      <c r="AM898" t="s">
        <v>709</v>
      </c>
      <c r="AY898" t="s">
        <v>29</v>
      </c>
      <c r="BA898">
        <v>4</v>
      </c>
      <c r="BB898" t="s">
        <v>5489</v>
      </c>
      <c r="BI898" t="s">
        <v>709</v>
      </c>
      <c r="BJ898" t="s">
        <v>709</v>
      </c>
      <c r="BK898" t="s">
        <v>116</v>
      </c>
      <c r="BL898" t="s">
        <v>116</v>
      </c>
      <c r="BM898" t="s">
        <v>709</v>
      </c>
      <c r="BN898" t="s">
        <v>709</v>
      </c>
      <c r="BO898" t="s">
        <v>709</v>
      </c>
      <c r="BP898" t="s">
        <v>709</v>
      </c>
      <c r="BQ898" t="s">
        <v>709</v>
      </c>
      <c r="BR898">
        <v>5387</v>
      </c>
      <c r="BS898" t="s">
        <v>709</v>
      </c>
      <c r="BT898" t="s">
        <v>745</v>
      </c>
      <c r="BU898" t="s">
        <v>709</v>
      </c>
      <c r="BV898" t="s">
        <v>745</v>
      </c>
      <c r="BW898" t="s">
        <v>709</v>
      </c>
      <c r="BX898" t="s">
        <v>745</v>
      </c>
      <c r="BY898">
        <v>1</v>
      </c>
      <c r="BZ898" t="s">
        <v>709</v>
      </c>
      <c r="CB898">
        <v>895</v>
      </c>
      <c r="CC898" t="b">
        <v>1</v>
      </c>
      <c r="CD898" t="s">
        <v>5490</v>
      </c>
      <c r="CE898" s="1482">
        <v>45880.737500000003</v>
      </c>
    </row>
    <row r="899" spans="1:83" ht="180" x14ac:dyDescent="0.25">
      <c r="A899">
        <v>2023</v>
      </c>
      <c r="B899" t="s">
        <v>759</v>
      </c>
      <c r="C899" t="s">
        <v>416</v>
      </c>
      <c r="D899">
        <v>1011926</v>
      </c>
      <c r="E899" t="s">
        <v>309</v>
      </c>
      <c r="F899" t="s">
        <v>752</v>
      </c>
      <c r="G899" t="s">
        <v>22</v>
      </c>
      <c r="H899" t="s">
        <v>59</v>
      </c>
      <c r="I899">
        <v>44838</v>
      </c>
      <c r="J899">
        <v>45016</v>
      </c>
      <c r="K899">
        <v>45015</v>
      </c>
      <c r="L899">
        <v>1</v>
      </c>
      <c r="N899" t="s">
        <v>120</v>
      </c>
      <c r="O899">
        <v>45047</v>
      </c>
      <c r="P899" t="s">
        <v>120</v>
      </c>
      <c r="Q899">
        <v>92865.143800000005</v>
      </c>
      <c r="R899">
        <v>0.11</v>
      </c>
      <c r="V899">
        <v>403</v>
      </c>
      <c r="W899">
        <v>2</v>
      </c>
      <c r="X899">
        <v>737349.19</v>
      </c>
      <c r="Z899">
        <v>106879.39</v>
      </c>
      <c r="AA899">
        <v>844228.58</v>
      </c>
      <c r="AB899">
        <v>45028</v>
      </c>
      <c r="AC899" t="s">
        <v>1296</v>
      </c>
      <c r="AD899" t="s">
        <v>29</v>
      </c>
      <c r="AE899" t="s">
        <v>29</v>
      </c>
      <c r="AF899" t="s">
        <v>29</v>
      </c>
      <c r="AG899" t="s">
        <v>29</v>
      </c>
      <c r="AH899" t="s">
        <v>29</v>
      </c>
      <c r="AM899" t="s">
        <v>116</v>
      </c>
      <c r="AN899" t="s">
        <v>709</v>
      </c>
      <c r="AO899">
        <v>11050929</v>
      </c>
      <c r="AS899">
        <v>0</v>
      </c>
      <c r="AT899">
        <v>0</v>
      </c>
      <c r="AU899">
        <v>0</v>
      </c>
      <c r="AY899" t="s">
        <v>709</v>
      </c>
      <c r="AZ899">
        <v>151</v>
      </c>
      <c r="BA899" s="4" t="s">
        <v>1437</v>
      </c>
      <c r="BB899" t="s">
        <v>1438</v>
      </c>
      <c r="BC899" t="s">
        <v>115</v>
      </c>
      <c r="BD899" t="s">
        <v>709</v>
      </c>
      <c r="BE899" t="s">
        <v>709</v>
      </c>
      <c r="BF899" t="s">
        <v>1439</v>
      </c>
      <c r="BG899" t="s">
        <v>115</v>
      </c>
      <c r="BI899" t="s">
        <v>709</v>
      </c>
      <c r="BJ899" t="s">
        <v>709</v>
      </c>
      <c r="BK899" t="s">
        <v>116</v>
      </c>
      <c r="BL899" t="s">
        <v>116</v>
      </c>
      <c r="BM899" t="s">
        <v>709</v>
      </c>
      <c r="BN899" t="s">
        <v>709</v>
      </c>
      <c r="BO899" t="s">
        <v>709</v>
      </c>
      <c r="BP899" t="s">
        <v>709</v>
      </c>
      <c r="BQ899">
        <v>139</v>
      </c>
      <c r="BR899">
        <v>140</v>
      </c>
      <c r="BS899">
        <v>54</v>
      </c>
      <c r="BT899" t="s">
        <v>709</v>
      </c>
      <c r="BU899" t="s">
        <v>709</v>
      </c>
      <c r="BV899" t="s">
        <v>709</v>
      </c>
      <c r="BW899">
        <v>1</v>
      </c>
      <c r="BX899">
        <v>1</v>
      </c>
      <c r="BY899" t="s">
        <v>709</v>
      </c>
      <c r="BZ899" t="s">
        <v>709</v>
      </c>
      <c r="CA899" t="s">
        <v>1440</v>
      </c>
      <c r="CB899">
        <v>897</v>
      </c>
      <c r="CC899" t="b">
        <v>1</v>
      </c>
      <c r="CD899" t="s">
        <v>5491</v>
      </c>
      <c r="CE899" s="1482">
        <v>45880.737500000003</v>
      </c>
    </row>
    <row r="900" spans="1:83" x14ac:dyDescent="0.25">
      <c r="A900">
        <v>2023</v>
      </c>
      <c r="B900" t="s">
        <v>759</v>
      </c>
      <c r="C900" t="s">
        <v>437</v>
      </c>
      <c r="D900">
        <v>1011935</v>
      </c>
      <c r="E900" t="s">
        <v>438</v>
      </c>
      <c r="F900" t="s">
        <v>752</v>
      </c>
      <c r="G900" t="s">
        <v>34</v>
      </c>
      <c r="H900" t="s">
        <v>59</v>
      </c>
      <c r="I900">
        <v>44838</v>
      </c>
      <c r="J900">
        <v>45016</v>
      </c>
      <c r="K900">
        <v>45016</v>
      </c>
      <c r="L900">
        <v>0</v>
      </c>
      <c r="N900" t="s">
        <v>120</v>
      </c>
      <c r="O900">
        <v>45017</v>
      </c>
      <c r="P900" t="s">
        <v>120</v>
      </c>
      <c r="Q900">
        <v>102706.2113</v>
      </c>
      <c r="R900">
        <v>0.11</v>
      </c>
      <c r="V900">
        <v>1253</v>
      </c>
      <c r="W900">
        <v>3</v>
      </c>
      <c r="X900">
        <v>818002.56</v>
      </c>
      <c r="Z900">
        <v>115690.27</v>
      </c>
      <c r="AA900">
        <v>933692.83</v>
      </c>
      <c r="AB900">
        <v>45028</v>
      </c>
      <c r="AC900" t="s">
        <v>1441</v>
      </c>
      <c r="AD900" t="s">
        <v>29</v>
      </c>
      <c r="AM900" t="s">
        <v>116</v>
      </c>
      <c r="AN900" t="s">
        <v>709</v>
      </c>
      <c r="AO900">
        <v>11056663</v>
      </c>
      <c r="AS900">
        <v>0</v>
      </c>
      <c r="AT900">
        <v>0</v>
      </c>
      <c r="AU900">
        <v>0</v>
      </c>
      <c r="AY900" t="s">
        <v>709</v>
      </c>
      <c r="AZ900">
        <v>152</v>
      </c>
      <c r="BA900" t="s">
        <v>1442</v>
      </c>
      <c r="BB900" t="s">
        <v>1443</v>
      </c>
      <c r="BC900" t="s">
        <v>115</v>
      </c>
      <c r="BD900" t="s">
        <v>115</v>
      </c>
      <c r="BE900" t="s">
        <v>1444</v>
      </c>
      <c r="BF900" t="s">
        <v>115</v>
      </c>
      <c r="BG900" t="s">
        <v>115</v>
      </c>
      <c r="BH900" t="s">
        <v>1445</v>
      </c>
      <c r="BI900" t="s">
        <v>709</v>
      </c>
      <c r="BJ900" t="s">
        <v>709</v>
      </c>
      <c r="BK900" t="s">
        <v>709</v>
      </c>
      <c r="BL900" t="s">
        <v>116</v>
      </c>
      <c r="BM900" t="s">
        <v>709</v>
      </c>
      <c r="BN900" t="s">
        <v>709</v>
      </c>
      <c r="BO900" t="s">
        <v>709</v>
      </c>
      <c r="BP900">
        <v>354</v>
      </c>
      <c r="BQ900">
        <v>759</v>
      </c>
      <c r="BR900">
        <v>45</v>
      </c>
      <c r="BS900">
        <v>5</v>
      </c>
      <c r="BT900">
        <v>1</v>
      </c>
      <c r="BU900" t="s">
        <v>709</v>
      </c>
      <c r="BV900" t="s">
        <v>709</v>
      </c>
      <c r="BW900">
        <v>1</v>
      </c>
      <c r="BX900">
        <v>1</v>
      </c>
      <c r="BY900" t="s">
        <v>709</v>
      </c>
      <c r="BZ900" t="s">
        <v>709</v>
      </c>
      <c r="CA900" t="s">
        <v>1022</v>
      </c>
      <c r="CB900">
        <v>898</v>
      </c>
      <c r="CC900" t="b">
        <v>1</v>
      </c>
      <c r="CD900" t="s">
        <v>5492</v>
      </c>
      <c r="CE900" s="1482">
        <v>45880.737511574072</v>
      </c>
    </row>
    <row r="901" spans="1:83" ht="165" x14ac:dyDescent="0.25">
      <c r="A901">
        <v>2022</v>
      </c>
      <c r="B901" t="s">
        <v>4</v>
      </c>
      <c r="C901" t="s">
        <v>5493</v>
      </c>
      <c r="D901" t="s">
        <v>5494</v>
      </c>
      <c r="E901" t="s">
        <v>1384</v>
      </c>
      <c r="F901" t="s">
        <v>5495</v>
      </c>
      <c r="G901" t="s">
        <v>35</v>
      </c>
      <c r="H901" t="s">
        <v>1903</v>
      </c>
      <c r="I901">
        <v>44769</v>
      </c>
      <c r="J901">
        <v>45078</v>
      </c>
      <c r="K901">
        <v>45020</v>
      </c>
      <c r="L901">
        <v>58</v>
      </c>
      <c r="N901" t="s">
        <v>120</v>
      </c>
      <c r="O901">
        <v>45020</v>
      </c>
      <c r="P901" t="s">
        <v>739</v>
      </c>
      <c r="Q901" t="s">
        <v>115</v>
      </c>
      <c r="R901" t="s">
        <v>115</v>
      </c>
      <c r="AB901" t="s">
        <v>29</v>
      </c>
      <c r="AC901" t="s">
        <v>709</v>
      </c>
      <c r="AD901" t="s">
        <v>29</v>
      </c>
      <c r="AM901" t="s">
        <v>709</v>
      </c>
      <c r="AY901" t="s">
        <v>29</v>
      </c>
      <c r="BA901" s="4" t="s">
        <v>5496</v>
      </c>
      <c r="BB901" t="s">
        <v>1386</v>
      </c>
      <c r="BC901" t="s">
        <v>116</v>
      </c>
      <c r="BD901" t="s">
        <v>115</v>
      </c>
      <c r="BE901" t="s">
        <v>1387</v>
      </c>
      <c r="BF901" t="s">
        <v>115</v>
      </c>
      <c r="BG901" t="s">
        <v>115</v>
      </c>
      <c r="CB901">
        <v>899</v>
      </c>
      <c r="CC901" t="b">
        <v>1</v>
      </c>
      <c r="CD901" t="s">
        <v>5497</v>
      </c>
      <c r="CE901" s="1482">
        <v>45880.737511574072</v>
      </c>
    </row>
    <row r="902" spans="1:83" x14ac:dyDescent="0.25">
      <c r="A902">
        <v>2023</v>
      </c>
      <c r="B902" t="s">
        <v>771</v>
      </c>
      <c r="C902" t="s">
        <v>360</v>
      </c>
      <c r="D902" t="s">
        <v>5498</v>
      </c>
      <c r="E902" t="s">
        <v>361</v>
      </c>
      <c r="F902" t="s">
        <v>784</v>
      </c>
      <c r="G902" t="s">
        <v>23</v>
      </c>
      <c r="H902" t="s">
        <v>3661</v>
      </c>
      <c r="I902">
        <v>44979</v>
      </c>
      <c r="J902" t="s">
        <v>3662</v>
      </c>
      <c r="K902">
        <v>45022</v>
      </c>
      <c r="L902">
        <v>43</v>
      </c>
      <c r="M902" t="s">
        <v>3847</v>
      </c>
      <c r="N902" t="s">
        <v>120</v>
      </c>
      <c r="O902">
        <v>45047</v>
      </c>
      <c r="P902" t="s">
        <v>120</v>
      </c>
      <c r="Q902">
        <v>4300</v>
      </c>
      <c r="R902" t="s">
        <v>1922</v>
      </c>
      <c r="S902" t="s">
        <v>709</v>
      </c>
      <c r="T902" t="s">
        <v>709</v>
      </c>
      <c r="U902">
        <v>4300</v>
      </c>
      <c r="AB902" t="s">
        <v>29</v>
      </c>
      <c r="AC902" t="s">
        <v>29</v>
      </c>
      <c r="AD902" t="s">
        <v>29</v>
      </c>
      <c r="AM902" t="s">
        <v>709</v>
      </c>
      <c r="AY902" t="s">
        <v>29</v>
      </c>
      <c r="BI902" t="s">
        <v>709</v>
      </c>
      <c r="BJ902" t="s">
        <v>709</v>
      </c>
      <c r="BK902" t="s">
        <v>709</v>
      </c>
      <c r="BL902" t="s">
        <v>116</v>
      </c>
      <c r="BM902" t="s">
        <v>709</v>
      </c>
      <c r="BN902">
        <v>6818</v>
      </c>
      <c r="BO902" t="s">
        <v>709</v>
      </c>
      <c r="BP902" t="s">
        <v>709</v>
      </c>
      <c r="BQ902">
        <v>48</v>
      </c>
      <c r="BR902">
        <v>31</v>
      </c>
      <c r="BS902">
        <v>647</v>
      </c>
      <c r="BT902" t="s">
        <v>709</v>
      </c>
      <c r="BU902" t="s">
        <v>709</v>
      </c>
      <c r="BV902" t="s">
        <v>709</v>
      </c>
      <c r="BW902" t="s">
        <v>709</v>
      </c>
      <c r="BX902">
        <v>1</v>
      </c>
      <c r="BY902" t="s">
        <v>709</v>
      </c>
      <c r="BZ902" t="s">
        <v>709</v>
      </c>
      <c r="CB902">
        <v>901</v>
      </c>
      <c r="CC902" t="b">
        <v>1</v>
      </c>
      <c r="CD902" t="s">
        <v>5499</v>
      </c>
      <c r="CE902" s="1482">
        <v>45880.737523148149</v>
      </c>
    </row>
    <row r="903" spans="1:83" x14ac:dyDescent="0.25">
      <c r="A903">
        <v>2023</v>
      </c>
      <c r="B903" t="s">
        <v>771</v>
      </c>
      <c r="C903" t="s">
        <v>360</v>
      </c>
      <c r="D903" t="s">
        <v>5498</v>
      </c>
      <c r="E903" t="s">
        <v>361</v>
      </c>
      <c r="F903" t="s">
        <v>784</v>
      </c>
      <c r="G903" t="s">
        <v>23</v>
      </c>
      <c r="H903" t="s">
        <v>59</v>
      </c>
      <c r="I903">
        <v>44883</v>
      </c>
      <c r="J903">
        <v>45023</v>
      </c>
      <c r="K903">
        <v>45022</v>
      </c>
      <c r="L903">
        <v>1</v>
      </c>
      <c r="N903" t="s">
        <v>120</v>
      </c>
      <c r="O903">
        <v>45022</v>
      </c>
      <c r="P903" t="s">
        <v>120</v>
      </c>
      <c r="Q903">
        <v>265439.826</v>
      </c>
      <c r="R903">
        <v>0.06</v>
      </c>
      <c r="V903">
        <v>7544</v>
      </c>
      <c r="W903">
        <v>1</v>
      </c>
      <c r="X903">
        <v>4347670.95</v>
      </c>
      <c r="Z903">
        <v>76326.149999999994</v>
      </c>
      <c r="AA903">
        <v>4423997.0999999996</v>
      </c>
      <c r="AB903">
        <v>45035</v>
      </c>
      <c r="AC903" t="s">
        <v>116</v>
      </c>
      <c r="AD903" t="s">
        <v>29</v>
      </c>
      <c r="AE903" t="s">
        <v>29</v>
      </c>
      <c r="AF903" t="s">
        <v>29</v>
      </c>
      <c r="AG903" t="s">
        <v>29</v>
      </c>
      <c r="AH903" t="s">
        <v>29</v>
      </c>
      <c r="AM903" t="s">
        <v>116</v>
      </c>
      <c r="AN903">
        <v>45153</v>
      </c>
      <c r="AO903">
        <v>11056671</v>
      </c>
      <c r="AP903">
        <v>4348239.54</v>
      </c>
      <c r="AR903">
        <v>76326.39</v>
      </c>
      <c r="AS903">
        <v>4424565.93</v>
      </c>
      <c r="AT903">
        <v>568.83000000000004</v>
      </c>
      <c r="AU903">
        <v>34.129800000000003</v>
      </c>
      <c r="AV903" t="s">
        <v>709</v>
      </c>
      <c r="AX903">
        <v>34.130000000000003</v>
      </c>
      <c r="AY903">
        <v>45352</v>
      </c>
      <c r="BA903" t="s">
        <v>5500</v>
      </c>
      <c r="BB903" t="s">
        <v>5501</v>
      </c>
      <c r="BC903" t="s">
        <v>116</v>
      </c>
      <c r="BD903" t="s">
        <v>882</v>
      </c>
      <c r="BE903" t="s">
        <v>1415</v>
      </c>
      <c r="BF903" t="s">
        <v>115</v>
      </c>
      <c r="BG903" t="s">
        <v>115</v>
      </c>
      <c r="BH903" t="s">
        <v>5502</v>
      </c>
      <c r="BI903" t="s">
        <v>709</v>
      </c>
      <c r="BJ903" t="s">
        <v>709</v>
      </c>
      <c r="BK903" t="s">
        <v>709</v>
      </c>
      <c r="BL903" t="s">
        <v>116</v>
      </c>
      <c r="BM903" t="s">
        <v>709</v>
      </c>
      <c r="BN903">
        <v>6818</v>
      </c>
      <c r="BO903" t="s">
        <v>709</v>
      </c>
      <c r="BP903" t="s">
        <v>709</v>
      </c>
      <c r="BQ903">
        <v>48</v>
      </c>
      <c r="BR903">
        <v>31</v>
      </c>
      <c r="BS903">
        <v>647</v>
      </c>
      <c r="BT903" t="s">
        <v>709</v>
      </c>
      <c r="BU903" t="s">
        <v>709</v>
      </c>
      <c r="BV903" t="s">
        <v>709</v>
      </c>
      <c r="BW903" t="s">
        <v>709</v>
      </c>
      <c r="BX903">
        <v>1</v>
      </c>
      <c r="BY903" t="s">
        <v>709</v>
      </c>
      <c r="BZ903" t="s">
        <v>709</v>
      </c>
      <c r="CB903">
        <v>900</v>
      </c>
      <c r="CC903" t="b">
        <v>1</v>
      </c>
      <c r="CD903" t="s">
        <v>5503</v>
      </c>
      <c r="CE903" s="1482">
        <v>45880.737523148149</v>
      </c>
    </row>
    <row r="904" spans="1:83" x14ac:dyDescent="0.25">
      <c r="A904">
        <v>2023</v>
      </c>
      <c r="B904" t="s">
        <v>771</v>
      </c>
      <c r="C904" t="s">
        <v>1127</v>
      </c>
      <c r="D904" t="s">
        <v>1128</v>
      </c>
      <c r="E904" t="s">
        <v>1129</v>
      </c>
      <c r="F904" t="s">
        <v>784</v>
      </c>
      <c r="G904" t="s">
        <v>32</v>
      </c>
      <c r="H904" t="s">
        <v>59</v>
      </c>
      <c r="I904">
        <v>44946</v>
      </c>
      <c r="J904">
        <v>45036</v>
      </c>
      <c r="K904">
        <v>45023</v>
      </c>
      <c r="L904">
        <v>13</v>
      </c>
      <c r="N904" t="s">
        <v>120</v>
      </c>
      <c r="O904">
        <v>45047</v>
      </c>
      <c r="P904" t="s">
        <v>120</v>
      </c>
      <c r="Q904">
        <v>38230.177499999998</v>
      </c>
      <c r="R904">
        <v>0.09</v>
      </c>
      <c r="V904">
        <v>1538</v>
      </c>
      <c r="W904">
        <v>0</v>
      </c>
      <c r="X904">
        <v>393521.83</v>
      </c>
      <c r="Z904">
        <v>31257.919999999998</v>
      </c>
      <c r="AA904">
        <v>424779.75</v>
      </c>
      <c r="AB904">
        <v>45028</v>
      </c>
      <c r="AC904" t="s">
        <v>709</v>
      </c>
      <c r="AD904" t="s">
        <v>116</v>
      </c>
      <c r="AM904" t="s">
        <v>116</v>
      </c>
      <c r="AN904">
        <v>45483</v>
      </c>
      <c r="AO904">
        <v>11086005</v>
      </c>
      <c r="AP904">
        <v>437457.65</v>
      </c>
      <c r="AR904">
        <v>81907.31</v>
      </c>
      <c r="AS904">
        <v>519364.96</v>
      </c>
      <c r="AT904">
        <v>94585.21</v>
      </c>
      <c r="AU904">
        <v>8512.6689000000006</v>
      </c>
      <c r="AV904">
        <v>0</v>
      </c>
      <c r="AW904" t="s">
        <v>5504</v>
      </c>
      <c r="AX904">
        <v>8512.6689000000006</v>
      </c>
      <c r="AY904">
        <v>45901</v>
      </c>
      <c r="AZ904">
        <v>40</v>
      </c>
      <c r="BA904" t="s">
        <v>1131</v>
      </c>
      <c r="BB904" t="s">
        <v>1132</v>
      </c>
      <c r="BC904" t="s">
        <v>116</v>
      </c>
      <c r="BD904" t="s">
        <v>1066</v>
      </c>
      <c r="BE904" t="s">
        <v>1133</v>
      </c>
      <c r="BF904" t="s">
        <v>1133</v>
      </c>
      <c r="BG904" t="s">
        <v>115</v>
      </c>
      <c r="BH904" t="s">
        <v>5505</v>
      </c>
      <c r="BI904" t="s">
        <v>709</v>
      </c>
      <c r="BJ904" t="s">
        <v>709</v>
      </c>
      <c r="BK904" t="s">
        <v>709</v>
      </c>
      <c r="BL904" t="s">
        <v>116</v>
      </c>
      <c r="BM904">
        <v>0</v>
      </c>
      <c r="BN904">
        <v>0</v>
      </c>
      <c r="BO904">
        <v>0</v>
      </c>
      <c r="BP904">
        <v>0</v>
      </c>
      <c r="BQ904">
        <v>0</v>
      </c>
      <c r="BR904">
        <v>1054</v>
      </c>
      <c r="BS904">
        <v>484</v>
      </c>
      <c r="BT904">
        <v>0</v>
      </c>
      <c r="BU904">
        <v>0</v>
      </c>
      <c r="BV904">
        <v>0</v>
      </c>
      <c r="BW904">
        <v>0</v>
      </c>
      <c r="BX904">
        <v>0</v>
      </c>
      <c r="BY904">
        <v>0</v>
      </c>
      <c r="BZ904" t="s">
        <v>709</v>
      </c>
      <c r="CB904">
        <v>902</v>
      </c>
      <c r="CC904" t="b">
        <v>1</v>
      </c>
      <c r="CD904" t="s">
        <v>5506</v>
      </c>
      <c r="CE904" s="1482">
        <v>45880.737534722219</v>
      </c>
    </row>
    <row r="905" spans="1:83" ht="270" x14ac:dyDescent="0.25">
      <c r="A905">
        <v>2023</v>
      </c>
      <c r="B905" t="s">
        <v>4</v>
      </c>
      <c r="C905" t="s">
        <v>5507</v>
      </c>
      <c r="D905" t="s">
        <v>5508</v>
      </c>
      <c r="E905" t="s">
        <v>859</v>
      </c>
      <c r="F905" t="s">
        <v>747</v>
      </c>
      <c r="G905" t="s">
        <v>25</v>
      </c>
      <c r="H905" t="s">
        <v>59</v>
      </c>
      <c r="I905">
        <v>44886</v>
      </c>
      <c r="J905">
        <v>45030</v>
      </c>
      <c r="K905">
        <v>45026</v>
      </c>
      <c r="L905">
        <v>4</v>
      </c>
      <c r="N905" t="s">
        <v>120</v>
      </c>
      <c r="O905">
        <v>45047</v>
      </c>
      <c r="P905" t="s">
        <v>739</v>
      </c>
      <c r="Q905">
        <v>83448.323000000004</v>
      </c>
      <c r="R905">
        <v>0.1</v>
      </c>
      <c r="V905">
        <v>2718</v>
      </c>
      <c r="W905">
        <v>0</v>
      </c>
      <c r="X905">
        <v>784742.43</v>
      </c>
      <c r="Z905">
        <v>49740.800000000003</v>
      </c>
      <c r="AA905">
        <v>834483.23</v>
      </c>
      <c r="AB905" t="s">
        <v>709</v>
      </c>
      <c r="AC905" t="s">
        <v>709</v>
      </c>
      <c r="AD905" t="s">
        <v>29</v>
      </c>
      <c r="AM905" t="s">
        <v>116</v>
      </c>
      <c r="AN905">
        <v>45068</v>
      </c>
      <c r="AO905">
        <v>11059559</v>
      </c>
      <c r="AP905">
        <v>784742.43</v>
      </c>
      <c r="AR905">
        <v>49740.800000000003</v>
      </c>
      <c r="AS905">
        <v>834483.23</v>
      </c>
      <c r="AT905">
        <v>0</v>
      </c>
      <c r="AU905">
        <v>0</v>
      </c>
      <c r="AV905" t="s">
        <v>376</v>
      </c>
      <c r="AY905" t="s">
        <v>1935</v>
      </c>
      <c r="BA905" s="4" t="s">
        <v>5509</v>
      </c>
      <c r="BB905" t="s">
        <v>861</v>
      </c>
      <c r="BC905" t="s">
        <v>709</v>
      </c>
      <c r="BD905" t="s">
        <v>788</v>
      </c>
      <c r="BE905" t="s">
        <v>861</v>
      </c>
      <c r="BF905" t="s">
        <v>709</v>
      </c>
      <c r="BG905" t="s">
        <v>709</v>
      </c>
      <c r="BH905" t="s">
        <v>5510</v>
      </c>
      <c r="BI905" t="s">
        <v>709</v>
      </c>
      <c r="BJ905" t="s">
        <v>709</v>
      </c>
      <c r="BK905" t="s">
        <v>116</v>
      </c>
      <c r="BL905" t="s">
        <v>116</v>
      </c>
      <c r="BM905" t="s">
        <v>709</v>
      </c>
      <c r="BN905" t="s">
        <v>709</v>
      </c>
      <c r="BO905" t="s">
        <v>709</v>
      </c>
      <c r="BP905" t="s">
        <v>709</v>
      </c>
      <c r="BQ905" t="s">
        <v>709</v>
      </c>
      <c r="BR905" t="s">
        <v>709</v>
      </c>
      <c r="BS905">
        <v>601</v>
      </c>
      <c r="BT905" t="s">
        <v>709</v>
      </c>
      <c r="BU905" t="s">
        <v>709</v>
      </c>
      <c r="BV905" t="s">
        <v>709</v>
      </c>
      <c r="BW905" t="s">
        <v>709</v>
      </c>
      <c r="BX905" t="s">
        <v>745</v>
      </c>
      <c r="BY905" t="s">
        <v>709</v>
      </c>
      <c r="BZ905" t="s">
        <v>709</v>
      </c>
      <c r="CB905">
        <v>903</v>
      </c>
      <c r="CC905" t="b">
        <v>1</v>
      </c>
      <c r="CD905" t="s">
        <v>5511</v>
      </c>
      <c r="CE905" s="1482">
        <v>45880.737546296295</v>
      </c>
    </row>
    <row r="906" spans="1:83" x14ac:dyDescent="0.25">
      <c r="A906">
        <v>2023</v>
      </c>
      <c r="B906" t="s">
        <v>4</v>
      </c>
      <c r="C906" t="s">
        <v>5297</v>
      </c>
      <c r="D906" t="s">
        <v>5298</v>
      </c>
      <c r="E906" t="s">
        <v>1164</v>
      </c>
      <c r="F906" t="s">
        <v>784</v>
      </c>
      <c r="G906" t="s">
        <v>33</v>
      </c>
      <c r="H906" t="s">
        <v>5512</v>
      </c>
      <c r="I906">
        <v>45000</v>
      </c>
      <c r="J906" t="s">
        <v>4110</v>
      </c>
      <c r="K906">
        <v>45027</v>
      </c>
      <c r="L906">
        <v>27</v>
      </c>
      <c r="M906" t="s">
        <v>5513</v>
      </c>
      <c r="N906" t="s">
        <v>120</v>
      </c>
      <c r="O906">
        <v>45047</v>
      </c>
      <c r="P906" t="s">
        <v>739</v>
      </c>
      <c r="Q906">
        <v>5705.75</v>
      </c>
      <c r="R906" t="s">
        <v>1922</v>
      </c>
      <c r="S906">
        <v>3378.25</v>
      </c>
      <c r="U906">
        <v>2327.5</v>
      </c>
      <c r="AB906" t="s">
        <v>29</v>
      </c>
      <c r="AC906" t="s">
        <v>709</v>
      </c>
      <c r="AD906" t="s">
        <v>29</v>
      </c>
      <c r="AM906" t="s">
        <v>709</v>
      </c>
      <c r="AY906" t="s">
        <v>29</v>
      </c>
      <c r="BA906" t="s">
        <v>29</v>
      </c>
      <c r="BB906" t="s">
        <v>29</v>
      </c>
      <c r="BC906" t="s">
        <v>29</v>
      </c>
      <c r="BI906" t="s">
        <v>709</v>
      </c>
      <c r="BJ906" t="s">
        <v>709</v>
      </c>
      <c r="BK906" t="s">
        <v>709</v>
      </c>
      <c r="BL906" t="s">
        <v>116</v>
      </c>
      <c r="BM906" t="s">
        <v>709</v>
      </c>
      <c r="BN906" t="s">
        <v>709</v>
      </c>
      <c r="BO906" t="s">
        <v>709</v>
      </c>
      <c r="BP906" t="s">
        <v>709</v>
      </c>
      <c r="BQ906" t="s">
        <v>709</v>
      </c>
      <c r="BR906" t="s">
        <v>709</v>
      </c>
      <c r="BS906" t="s">
        <v>116</v>
      </c>
      <c r="BT906" t="s">
        <v>745</v>
      </c>
      <c r="BU906" t="s">
        <v>709</v>
      </c>
      <c r="BV906" t="s">
        <v>745</v>
      </c>
      <c r="BW906" t="s">
        <v>709</v>
      </c>
      <c r="BX906" t="s">
        <v>745</v>
      </c>
      <c r="BY906" t="s">
        <v>745</v>
      </c>
      <c r="BZ906" t="s">
        <v>709</v>
      </c>
      <c r="CB906">
        <v>904</v>
      </c>
      <c r="CC906" t="b">
        <v>1</v>
      </c>
      <c r="CD906" t="s">
        <v>5514</v>
      </c>
      <c r="CE906" s="1482">
        <v>45880.737546296295</v>
      </c>
    </row>
    <row r="907" spans="1:83" x14ac:dyDescent="0.25">
      <c r="A907">
        <v>2022</v>
      </c>
      <c r="B907" t="s">
        <v>4</v>
      </c>
      <c r="C907" t="s">
        <v>5515</v>
      </c>
      <c r="D907" t="s">
        <v>5516</v>
      </c>
      <c r="E907" t="s">
        <v>5517</v>
      </c>
      <c r="F907" t="s">
        <v>747</v>
      </c>
      <c r="G907" t="s">
        <v>25</v>
      </c>
      <c r="H907" t="s">
        <v>1681</v>
      </c>
      <c r="I907">
        <v>44756</v>
      </c>
      <c r="J907">
        <v>45072</v>
      </c>
      <c r="K907">
        <v>45035</v>
      </c>
      <c r="L907">
        <v>37</v>
      </c>
      <c r="N907" t="s">
        <v>120</v>
      </c>
      <c r="O907">
        <v>45035</v>
      </c>
      <c r="P907" t="s">
        <v>739</v>
      </c>
      <c r="Q907" t="s">
        <v>115</v>
      </c>
      <c r="R907" t="s">
        <v>115</v>
      </c>
      <c r="AB907" t="s">
        <v>29</v>
      </c>
      <c r="AC907" t="s">
        <v>709</v>
      </c>
      <c r="AD907" t="s">
        <v>29</v>
      </c>
      <c r="AM907" t="s">
        <v>709</v>
      </c>
      <c r="AY907" t="s">
        <v>29</v>
      </c>
      <c r="BA907" t="s">
        <v>5518</v>
      </c>
      <c r="BB907" t="s">
        <v>1071</v>
      </c>
      <c r="BC907" t="s">
        <v>116</v>
      </c>
      <c r="BD907" t="s">
        <v>709</v>
      </c>
      <c r="BE907" t="s">
        <v>5519</v>
      </c>
      <c r="BF907" t="s">
        <v>709</v>
      </c>
      <c r="BG907" t="s">
        <v>5520</v>
      </c>
      <c r="CB907">
        <v>905</v>
      </c>
      <c r="CC907" t="b">
        <v>1</v>
      </c>
      <c r="CD907" t="s">
        <v>5521</v>
      </c>
      <c r="CE907" s="1482">
        <v>45880.737557870372</v>
      </c>
    </row>
    <row r="908" spans="1:83" x14ac:dyDescent="0.25">
      <c r="A908">
        <v>2022</v>
      </c>
      <c r="B908" t="s">
        <v>4</v>
      </c>
      <c r="C908" t="s">
        <v>916</v>
      </c>
      <c r="D908" t="s">
        <v>917</v>
      </c>
      <c r="E908" t="s">
        <v>918</v>
      </c>
      <c r="F908" t="s">
        <v>919</v>
      </c>
      <c r="G908" t="s">
        <v>25</v>
      </c>
      <c r="H908" t="s">
        <v>4462</v>
      </c>
      <c r="I908">
        <v>45034</v>
      </c>
      <c r="J908" t="s">
        <v>2052</v>
      </c>
      <c r="K908">
        <v>45037</v>
      </c>
      <c r="L908">
        <v>3</v>
      </c>
      <c r="M908" t="s">
        <v>5522</v>
      </c>
      <c r="N908" t="s">
        <v>120</v>
      </c>
      <c r="O908">
        <v>45037</v>
      </c>
      <c r="P908" t="s">
        <v>739</v>
      </c>
      <c r="Q908" t="s">
        <v>115</v>
      </c>
      <c r="R908" t="s">
        <v>115</v>
      </c>
      <c r="AB908" t="s">
        <v>29</v>
      </c>
      <c r="AC908" t="s">
        <v>709</v>
      </c>
      <c r="AD908" t="s">
        <v>116</v>
      </c>
      <c r="AM908" t="s">
        <v>709</v>
      </c>
      <c r="AY908" t="s">
        <v>29</v>
      </c>
      <c r="BA908">
        <v>4</v>
      </c>
      <c r="BI908" t="s">
        <v>709</v>
      </c>
      <c r="BJ908" t="s">
        <v>709</v>
      </c>
      <c r="BK908" t="s">
        <v>709</v>
      </c>
      <c r="BL908" t="s">
        <v>116</v>
      </c>
      <c r="BM908" t="s">
        <v>709</v>
      </c>
      <c r="BN908" t="s">
        <v>709</v>
      </c>
      <c r="BO908" t="s">
        <v>709</v>
      </c>
      <c r="BP908" t="s">
        <v>709</v>
      </c>
      <c r="BQ908" t="s">
        <v>709</v>
      </c>
      <c r="BR908" t="s">
        <v>116</v>
      </c>
      <c r="BS908" t="s">
        <v>116</v>
      </c>
      <c r="BT908" t="s">
        <v>745</v>
      </c>
      <c r="BU908" t="s">
        <v>709</v>
      </c>
      <c r="BV908" t="s">
        <v>745</v>
      </c>
      <c r="BW908" t="s">
        <v>709</v>
      </c>
      <c r="BX908" t="s">
        <v>745</v>
      </c>
      <c r="BY908" t="s">
        <v>745</v>
      </c>
      <c r="BZ908" t="s">
        <v>709</v>
      </c>
      <c r="CB908">
        <v>907</v>
      </c>
      <c r="CC908" t="b">
        <v>1</v>
      </c>
      <c r="CD908" t="s">
        <v>5523</v>
      </c>
      <c r="CE908" s="1482">
        <v>45880.737557870372</v>
      </c>
    </row>
    <row r="909" spans="1:83" x14ac:dyDescent="0.25">
      <c r="A909">
        <v>2023</v>
      </c>
      <c r="B909" t="s">
        <v>731</v>
      </c>
      <c r="C909" t="s">
        <v>5274</v>
      </c>
      <c r="D909" t="s">
        <v>5275</v>
      </c>
      <c r="E909" t="s">
        <v>155</v>
      </c>
      <c r="F909" t="s">
        <v>4899</v>
      </c>
      <c r="G909" t="s">
        <v>26</v>
      </c>
      <c r="H909" t="s">
        <v>3178</v>
      </c>
      <c r="I909">
        <v>45034</v>
      </c>
      <c r="J909" t="s">
        <v>2052</v>
      </c>
      <c r="K909">
        <v>45037</v>
      </c>
      <c r="L909">
        <v>3</v>
      </c>
      <c r="M909" t="s">
        <v>5524</v>
      </c>
      <c r="N909" t="s">
        <v>120</v>
      </c>
      <c r="O909">
        <v>45047</v>
      </c>
      <c r="P909" t="s">
        <v>120</v>
      </c>
      <c r="Q909">
        <v>2480</v>
      </c>
      <c r="R909" t="s">
        <v>1922</v>
      </c>
      <c r="S909">
        <v>0</v>
      </c>
      <c r="U909">
        <v>2480</v>
      </c>
      <c r="AB909" t="s">
        <v>29</v>
      </c>
      <c r="AC909" t="s">
        <v>29</v>
      </c>
      <c r="AM909" t="s">
        <v>709</v>
      </c>
      <c r="AY909" t="s">
        <v>29</v>
      </c>
      <c r="BA909">
        <v>3</v>
      </c>
      <c r="BB909" t="s">
        <v>29</v>
      </c>
      <c r="BD909" t="s">
        <v>882</v>
      </c>
      <c r="BH909" t="s">
        <v>5525</v>
      </c>
      <c r="BI909" t="s">
        <v>709</v>
      </c>
      <c r="BJ909" t="s">
        <v>709</v>
      </c>
      <c r="BK909" t="s">
        <v>709</v>
      </c>
      <c r="BL909" t="s">
        <v>709</v>
      </c>
      <c r="BM909" t="s">
        <v>709</v>
      </c>
      <c r="BN909" t="s">
        <v>709</v>
      </c>
      <c r="BO909" t="s">
        <v>709</v>
      </c>
      <c r="BP909" t="s">
        <v>709</v>
      </c>
      <c r="BQ909" t="s">
        <v>709</v>
      </c>
      <c r="BR909" t="s">
        <v>709</v>
      </c>
      <c r="BS909" t="s">
        <v>709</v>
      </c>
      <c r="BT909" t="s">
        <v>745</v>
      </c>
      <c r="BU909" t="s">
        <v>709</v>
      </c>
      <c r="BV909">
        <v>1</v>
      </c>
      <c r="BW909" t="s">
        <v>709</v>
      </c>
      <c r="BX909" t="s">
        <v>745</v>
      </c>
      <c r="BY909" t="s">
        <v>745</v>
      </c>
      <c r="BZ909" t="s">
        <v>709</v>
      </c>
      <c r="CA909" t="s">
        <v>1146</v>
      </c>
      <c r="CB909">
        <v>910</v>
      </c>
      <c r="CC909" t="b">
        <v>1</v>
      </c>
      <c r="CD909" t="s">
        <v>5526</v>
      </c>
      <c r="CE909" s="1482">
        <v>45880.737569444442</v>
      </c>
    </row>
    <row r="910" spans="1:83" ht="240" x14ac:dyDescent="0.25">
      <c r="A910">
        <v>2023</v>
      </c>
      <c r="B910" t="s">
        <v>4</v>
      </c>
      <c r="C910" t="s">
        <v>5527</v>
      </c>
      <c r="D910" t="s">
        <v>115</v>
      </c>
      <c r="E910" t="s">
        <v>1306</v>
      </c>
      <c r="F910" t="s">
        <v>784</v>
      </c>
      <c r="G910" t="s">
        <v>27</v>
      </c>
      <c r="H910" t="s">
        <v>1681</v>
      </c>
      <c r="I910">
        <v>44907</v>
      </c>
      <c r="J910">
        <v>45070</v>
      </c>
      <c r="K910">
        <v>45037</v>
      </c>
      <c r="L910">
        <v>33</v>
      </c>
      <c r="N910" t="s">
        <v>120</v>
      </c>
      <c r="O910">
        <v>45037</v>
      </c>
      <c r="P910" t="s">
        <v>739</v>
      </c>
      <c r="Q910" t="s">
        <v>115</v>
      </c>
      <c r="R910" t="s">
        <v>115</v>
      </c>
      <c r="AB910" t="s">
        <v>29</v>
      </c>
      <c r="AC910" t="s">
        <v>709</v>
      </c>
      <c r="AD910" t="s">
        <v>29</v>
      </c>
      <c r="AM910" t="s">
        <v>709</v>
      </c>
      <c r="AY910" t="s">
        <v>29</v>
      </c>
      <c r="BA910" s="4" t="s">
        <v>5528</v>
      </c>
      <c r="BB910" t="s">
        <v>1071</v>
      </c>
      <c r="BC910" t="s">
        <v>709</v>
      </c>
      <c r="BD910" t="s">
        <v>709</v>
      </c>
      <c r="BE910" t="s">
        <v>5529</v>
      </c>
      <c r="BF910" t="s">
        <v>709</v>
      </c>
      <c r="BG910" t="s">
        <v>709</v>
      </c>
      <c r="CB910">
        <v>906</v>
      </c>
      <c r="CC910" t="b">
        <v>1</v>
      </c>
      <c r="CD910" t="s">
        <v>5530</v>
      </c>
      <c r="CE910" s="1482">
        <v>45880.737569444442</v>
      </c>
    </row>
    <row r="911" spans="1:83" ht="240" x14ac:dyDescent="0.25">
      <c r="A911">
        <v>2024</v>
      </c>
      <c r="B911" t="s">
        <v>4</v>
      </c>
      <c r="C911" t="s">
        <v>372</v>
      </c>
      <c r="D911" t="s">
        <v>1451</v>
      </c>
      <c r="E911" t="s">
        <v>373</v>
      </c>
      <c r="F911" t="s">
        <v>784</v>
      </c>
      <c r="G911" t="s">
        <v>27</v>
      </c>
      <c r="H911" t="s">
        <v>59</v>
      </c>
      <c r="I911">
        <v>44784</v>
      </c>
      <c r="J911">
        <v>45077</v>
      </c>
      <c r="K911">
        <v>45037</v>
      </c>
      <c r="L911">
        <v>40</v>
      </c>
      <c r="N911" t="s">
        <v>120</v>
      </c>
      <c r="O911">
        <v>45037</v>
      </c>
      <c r="P911" t="s">
        <v>739</v>
      </c>
      <c r="Q911">
        <v>17358.519</v>
      </c>
      <c r="R911">
        <v>0.1</v>
      </c>
      <c r="V911">
        <v>978</v>
      </c>
      <c r="W911">
        <v>0</v>
      </c>
      <c r="X911">
        <v>161986.32</v>
      </c>
      <c r="Z911">
        <v>11598.87</v>
      </c>
      <c r="AA911">
        <v>173585.19</v>
      </c>
      <c r="AB911" t="s">
        <v>709</v>
      </c>
      <c r="AC911" t="s">
        <v>116</v>
      </c>
      <c r="AD911" t="s">
        <v>29</v>
      </c>
      <c r="AH911">
        <v>45000</v>
      </c>
      <c r="AM911" t="s">
        <v>116</v>
      </c>
      <c r="AN911" t="s">
        <v>709</v>
      </c>
      <c r="AS911">
        <v>0</v>
      </c>
      <c r="AT911">
        <v>0</v>
      </c>
      <c r="AU911">
        <v>0</v>
      </c>
      <c r="AY911" t="s">
        <v>709</v>
      </c>
      <c r="AZ911">
        <v>82</v>
      </c>
      <c r="BA911" s="4" t="s">
        <v>1452</v>
      </c>
      <c r="BB911" t="s">
        <v>905</v>
      </c>
      <c r="BC911" t="s">
        <v>116</v>
      </c>
      <c r="BD911" t="s">
        <v>1448</v>
      </c>
      <c r="BE911" t="s">
        <v>1449</v>
      </c>
      <c r="BF911" t="s">
        <v>1450</v>
      </c>
      <c r="BG911" t="s">
        <v>709</v>
      </c>
      <c r="BI911" t="s">
        <v>709</v>
      </c>
      <c r="BJ911" t="s">
        <v>116</v>
      </c>
      <c r="BK911" t="s">
        <v>709</v>
      </c>
      <c r="BL911" t="s">
        <v>709</v>
      </c>
      <c r="BM911" t="s">
        <v>709</v>
      </c>
      <c r="BN911" t="s">
        <v>709</v>
      </c>
      <c r="BO911" t="s">
        <v>709</v>
      </c>
      <c r="BP911" t="s">
        <v>709</v>
      </c>
      <c r="BQ911" t="s">
        <v>709</v>
      </c>
      <c r="BR911">
        <v>978</v>
      </c>
      <c r="BS911" t="s">
        <v>709</v>
      </c>
      <c r="BT911" t="s">
        <v>745</v>
      </c>
      <c r="BU911" t="s">
        <v>709</v>
      </c>
      <c r="BV911" t="s">
        <v>745</v>
      </c>
      <c r="BW911" t="s">
        <v>709</v>
      </c>
      <c r="BX911" t="s">
        <v>745</v>
      </c>
      <c r="BY911" t="s">
        <v>745</v>
      </c>
      <c r="BZ911" t="s">
        <v>709</v>
      </c>
      <c r="CB911">
        <v>909</v>
      </c>
      <c r="CC911" t="b">
        <v>1</v>
      </c>
      <c r="CD911" t="s">
        <v>5531</v>
      </c>
      <c r="CE911" s="1482">
        <v>45880.737569444442</v>
      </c>
    </row>
    <row r="912" spans="1:83" ht="240" x14ac:dyDescent="0.25">
      <c r="A912">
        <v>2024</v>
      </c>
      <c r="B912" t="s">
        <v>4</v>
      </c>
      <c r="C912" t="s">
        <v>377</v>
      </c>
      <c r="D912" t="s">
        <v>1446</v>
      </c>
      <c r="E912" t="s">
        <v>373</v>
      </c>
      <c r="F912" t="s">
        <v>784</v>
      </c>
      <c r="G912" t="s">
        <v>27</v>
      </c>
      <c r="H912" t="s">
        <v>59</v>
      </c>
      <c r="I912">
        <v>44784</v>
      </c>
      <c r="J912">
        <v>45077</v>
      </c>
      <c r="K912">
        <v>45037</v>
      </c>
      <c r="L912">
        <v>40</v>
      </c>
      <c r="N912" t="s">
        <v>120</v>
      </c>
      <c r="O912">
        <v>45037</v>
      </c>
      <c r="P912" t="s">
        <v>739</v>
      </c>
      <c r="Q912">
        <v>165330.28700000001</v>
      </c>
      <c r="R912">
        <v>0.1</v>
      </c>
      <c r="V912">
        <v>6990</v>
      </c>
      <c r="W912">
        <v>0</v>
      </c>
      <c r="X912">
        <v>1623644.96</v>
      </c>
      <c r="Z912">
        <v>29657.91</v>
      </c>
      <c r="AA912">
        <v>1653302.87</v>
      </c>
      <c r="AB912" t="s">
        <v>709</v>
      </c>
      <c r="AC912" t="s">
        <v>116</v>
      </c>
      <c r="AD912" t="s">
        <v>29</v>
      </c>
      <c r="AH912">
        <v>45000</v>
      </c>
      <c r="AM912" t="s">
        <v>116</v>
      </c>
      <c r="AN912" t="s">
        <v>709</v>
      </c>
      <c r="AS912">
        <v>0</v>
      </c>
      <c r="AT912">
        <v>0</v>
      </c>
      <c r="AU912">
        <v>0</v>
      </c>
      <c r="AY912" t="s">
        <v>709</v>
      </c>
      <c r="AZ912">
        <v>81</v>
      </c>
      <c r="BA912" s="4" t="s">
        <v>1447</v>
      </c>
      <c r="BB912" t="s">
        <v>905</v>
      </c>
      <c r="BC912" t="s">
        <v>116</v>
      </c>
      <c r="BD912" t="s">
        <v>1448</v>
      </c>
      <c r="BE912" t="s">
        <v>1449</v>
      </c>
      <c r="BF912" t="s">
        <v>1450</v>
      </c>
      <c r="BG912" t="s">
        <v>709</v>
      </c>
      <c r="BI912" t="s">
        <v>709</v>
      </c>
      <c r="BJ912" t="s">
        <v>116</v>
      </c>
      <c r="BK912" t="s">
        <v>709</v>
      </c>
      <c r="BL912" t="s">
        <v>709</v>
      </c>
      <c r="BM912" t="s">
        <v>709</v>
      </c>
      <c r="BN912" t="s">
        <v>709</v>
      </c>
      <c r="BO912" t="s">
        <v>709</v>
      </c>
      <c r="BP912" t="s">
        <v>709</v>
      </c>
      <c r="BQ912" t="s">
        <v>709</v>
      </c>
      <c r="BR912">
        <v>978</v>
      </c>
      <c r="BS912" t="s">
        <v>709</v>
      </c>
      <c r="BT912" t="s">
        <v>745</v>
      </c>
      <c r="BU912" t="s">
        <v>709</v>
      </c>
      <c r="BV912" t="s">
        <v>745</v>
      </c>
      <c r="BW912" t="s">
        <v>709</v>
      </c>
      <c r="BX912" t="s">
        <v>745</v>
      </c>
      <c r="BY912" t="s">
        <v>745</v>
      </c>
      <c r="BZ912" t="s">
        <v>709</v>
      </c>
      <c r="CB912">
        <v>908</v>
      </c>
      <c r="CC912" t="b">
        <v>1</v>
      </c>
      <c r="CD912" t="s">
        <v>5532</v>
      </c>
      <c r="CE912" s="1482">
        <v>45880.737581018519</v>
      </c>
    </row>
    <row r="913" spans="1:83" ht="315" x14ac:dyDescent="0.25">
      <c r="A913">
        <v>2023</v>
      </c>
      <c r="B913" t="s">
        <v>4</v>
      </c>
      <c r="C913" t="s">
        <v>1453</v>
      </c>
      <c r="D913" t="s">
        <v>1454</v>
      </c>
      <c r="E913" t="s">
        <v>342</v>
      </c>
      <c r="F913" t="s">
        <v>784</v>
      </c>
      <c r="G913" t="s">
        <v>27</v>
      </c>
      <c r="H913" t="s">
        <v>59</v>
      </c>
      <c r="I913">
        <v>44959</v>
      </c>
      <c r="J913">
        <v>45047</v>
      </c>
      <c r="K913">
        <v>45040</v>
      </c>
      <c r="L913">
        <v>7</v>
      </c>
      <c r="N913" t="s">
        <v>120</v>
      </c>
      <c r="O913">
        <v>45040</v>
      </c>
      <c r="P913" t="s">
        <v>739</v>
      </c>
      <c r="Q913">
        <v>26887.298999999999</v>
      </c>
      <c r="R913">
        <v>0.1</v>
      </c>
      <c r="V913">
        <v>294</v>
      </c>
      <c r="W913">
        <v>0</v>
      </c>
      <c r="X913">
        <v>245464.03</v>
      </c>
      <c r="Z913">
        <v>23408.959999999999</v>
      </c>
      <c r="AA913">
        <v>268872.99</v>
      </c>
      <c r="AB913">
        <v>45041</v>
      </c>
      <c r="AC913" t="s">
        <v>709</v>
      </c>
      <c r="AD913" t="s">
        <v>116</v>
      </c>
      <c r="AE913" t="s">
        <v>756</v>
      </c>
      <c r="AF913" t="s">
        <v>29</v>
      </c>
      <c r="AG913" t="s">
        <v>116</v>
      </c>
      <c r="AH913">
        <v>45160</v>
      </c>
      <c r="AM913" t="s">
        <v>116</v>
      </c>
      <c r="AN913" t="s">
        <v>709</v>
      </c>
      <c r="AS913">
        <v>0</v>
      </c>
      <c r="AT913">
        <v>0</v>
      </c>
      <c r="AU913">
        <v>0</v>
      </c>
      <c r="AY913" t="s">
        <v>709</v>
      </c>
      <c r="AZ913">
        <v>83</v>
      </c>
      <c r="BA913" s="4" t="s">
        <v>1455</v>
      </c>
      <c r="BB913" t="s">
        <v>1456</v>
      </c>
      <c r="BC913" t="s">
        <v>709</v>
      </c>
      <c r="BD913" t="s">
        <v>709</v>
      </c>
      <c r="BE913" t="s">
        <v>1456</v>
      </c>
      <c r="BF913" t="s">
        <v>709</v>
      </c>
      <c r="BG913" t="s">
        <v>709</v>
      </c>
      <c r="BI913" t="s">
        <v>709</v>
      </c>
      <c r="BJ913" t="s">
        <v>709</v>
      </c>
      <c r="BK913" t="s">
        <v>709</v>
      </c>
      <c r="BL913" t="s">
        <v>116</v>
      </c>
      <c r="BM913" t="s">
        <v>709</v>
      </c>
      <c r="BN913" t="s">
        <v>709</v>
      </c>
      <c r="BO913" t="s">
        <v>709</v>
      </c>
      <c r="BP913" t="s">
        <v>709</v>
      </c>
      <c r="BQ913" t="s">
        <v>709</v>
      </c>
      <c r="BR913">
        <v>183</v>
      </c>
      <c r="BS913">
        <v>111</v>
      </c>
      <c r="BT913" t="s">
        <v>709</v>
      </c>
      <c r="BU913" t="s">
        <v>709</v>
      </c>
      <c r="BV913" t="s">
        <v>745</v>
      </c>
      <c r="BW913" t="s">
        <v>709</v>
      </c>
      <c r="BX913" t="s">
        <v>745</v>
      </c>
      <c r="BY913" t="s">
        <v>745</v>
      </c>
      <c r="BZ913" t="s">
        <v>709</v>
      </c>
      <c r="CB913">
        <v>911</v>
      </c>
      <c r="CC913" t="b">
        <v>1</v>
      </c>
      <c r="CD913" t="s">
        <v>5533</v>
      </c>
      <c r="CE913" s="1482">
        <v>45880.737581018519</v>
      </c>
    </row>
    <row r="914" spans="1:83" x14ac:dyDescent="0.25">
      <c r="A914">
        <v>2023</v>
      </c>
      <c r="B914" t="s">
        <v>1205</v>
      </c>
      <c r="C914" t="s">
        <v>409</v>
      </c>
      <c r="D914" t="s">
        <v>5534</v>
      </c>
      <c r="E914" t="s">
        <v>141</v>
      </c>
      <c r="F914" t="s">
        <v>747</v>
      </c>
      <c r="G914" t="s">
        <v>22</v>
      </c>
      <c r="H914" t="s">
        <v>59</v>
      </c>
      <c r="I914">
        <v>44930</v>
      </c>
      <c r="J914">
        <v>45044</v>
      </c>
      <c r="K914">
        <v>45040</v>
      </c>
      <c r="L914">
        <v>4</v>
      </c>
      <c r="N914" t="s">
        <v>120</v>
      </c>
      <c r="O914">
        <v>45047</v>
      </c>
      <c r="P914" t="s">
        <v>120</v>
      </c>
      <c r="Q914">
        <v>38844.520199999999</v>
      </c>
      <c r="R914">
        <v>0.09</v>
      </c>
      <c r="V914">
        <v>463</v>
      </c>
      <c r="W914">
        <v>0</v>
      </c>
      <c r="X914">
        <v>377158.64</v>
      </c>
      <c r="Z914">
        <v>54447.14</v>
      </c>
      <c r="AA914">
        <v>431605.78</v>
      </c>
      <c r="AB914">
        <v>45042</v>
      </c>
      <c r="AC914" t="s">
        <v>1441</v>
      </c>
      <c r="AD914" t="s">
        <v>29</v>
      </c>
      <c r="AE914" t="s">
        <v>29</v>
      </c>
      <c r="AF914" t="s">
        <v>29</v>
      </c>
      <c r="AG914" t="s">
        <v>29</v>
      </c>
      <c r="AH914" t="s">
        <v>29</v>
      </c>
      <c r="AM914" t="s">
        <v>116</v>
      </c>
      <c r="AN914">
        <v>45217</v>
      </c>
      <c r="AO914">
        <v>11056678</v>
      </c>
      <c r="AP914">
        <v>377745.06</v>
      </c>
      <c r="AR914">
        <v>54447.14</v>
      </c>
      <c r="AS914">
        <v>432192.2</v>
      </c>
      <c r="AT914">
        <v>586.41999999999996</v>
      </c>
      <c r="AU914">
        <v>52.777799999999999</v>
      </c>
      <c r="AV914">
        <v>26095</v>
      </c>
      <c r="AW914" t="s">
        <v>5535</v>
      </c>
      <c r="AX914">
        <v>0</v>
      </c>
      <c r="AY914">
        <v>45352</v>
      </c>
      <c r="BA914" t="s">
        <v>5536</v>
      </c>
      <c r="BB914" t="s">
        <v>5537</v>
      </c>
      <c r="BC914" t="s">
        <v>116</v>
      </c>
      <c r="BD914" t="s">
        <v>709</v>
      </c>
      <c r="BE914" t="s">
        <v>757</v>
      </c>
      <c r="BF914" t="s">
        <v>115</v>
      </c>
      <c r="BG914" t="s">
        <v>5538</v>
      </c>
      <c r="BH914" t="s">
        <v>5539</v>
      </c>
      <c r="BI914" t="s">
        <v>709</v>
      </c>
      <c r="BJ914" t="s">
        <v>709</v>
      </c>
      <c r="BK914" t="s">
        <v>709</v>
      </c>
      <c r="BL914" t="s">
        <v>116</v>
      </c>
      <c r="BM914" t="s">
        <v>709</v>
      </c>
      <c r="BN914" t="s">
        <v>709</v>
      </c>
      <c r="BO914" t="s">
        <v>709</v>
      </c>
      <c r="BP914">
        <v>463</v>
      </c>
      <c r="BQ914" t="s">
        <v>709</v>
      </c>
      <c r="BR914" t="s">
        <v>709</v>
      </c>
      <c r="BS914" t="s">
        <v>709</v>
      </c>
      <c r="BT914" t="s">
        <v>709</v>
      </c>
      <c r="BU914" t="s">
        <v>709</v>
      </c>
      <c r="BV914" t="s">
        <v>709</v>
      </c>
      <c r="BW914" t="s">
        <v>709</v>
      </c>
      <c r="BX914" t="s">
        <v>745</v>
      </c>
      <c r="BY914" t="s">
        <v>709</v>
      </c>
      <c r="BZ914" t="s">
        <v>709</v>
      </c>
      <c r="CB914">
        <v>912</v>
      </c>
      <c r="CC914" t="b">
        <v>1</v>
      </c>
      <c r="CD914" t="s">
        <v>5540</v>
      </c>
      <c r="CE914" s="1482">
        <v>45880.737592592595</v>
      </c>
    </row>
    <row r="915" spans="1:83" ht="135" x14ac:dyDescent="0.25">
      <c r="A915">
        <v>2023</v>
      </c>
      <c r="B915" t="s">
        <v>771</v>
      </c>
      <c r="C915" t="s">
        <v>5541</v>
      </c>
      <c r="D915" t="s">
        <v>5542</v>
      </c>
      <c r="E915" t="s">
        <v>774</v>
      </c>
      <c r="F915" t="s">
        <v>747</v>
      </c>
      <c r="G915" t="s">
        <v>32</v>
      </c>
      <c r="H915" t="s">
        <v>59</v>
      </c>
      <c r="I915">
        <v>44957</v>
      </c>
      <c r="J915">
        <v>45044</v>
      </c>
      <c r="K915">
        <v>45041</v>
      </c>
      <c r="L915">
        <v>3</v>
      </c>
      <c r="N915" t="s">
        <v>120</v>
      </c>
      <c r="O915">
        <v>45047</v>
      </c>
      <c r="P915" t="s">
        <v>120</v>
      </c>
      <c r="Q915">
        <v>45618.837299999999</v>
      </c>
      <c r="R915">
        <v>0.09</v>
      </c>
      <c r="V915">
        <v>1365</v>
      </c>
      <c r="W915">
        <v>0</v>
      </c>
      <c r="X915">
        <v>469691.25</v>
      </c>
      <c r="Z915">
        <v>37184.720000000001</v>
      </c>
      <c r="AA915">
        <v>506875.97</v>
      </c>
      <c r="AB915">
        <v>45047</v>
      </c>
      <c r="AC915" t="s">
        <v>709</v>
      </c>
      <c r="AD915" t="s">
        <v>29</v>
      </c>
      <c r="AE915" t="s">
        <v>29</v>
      </c>
      <c r="AF915" t="s">
        <v>29</v>
      </c>
      <c r="AG915" t="s">
        <v>29</v>
      </c>
      <c r="AH915" t="s">
        <v>29</v>
      </c>
      <c r="AM915" t="s">
        <v>116</v>
      </c>
      <c r="AN915">
        <v>45113</v>
      </c>
      <c r="AO915">
        <v>11059546</v>
      </c>
      <c r="AP915">
        <v>470324.36</v>
      </c>
      <c r="AR915">
        <v>37184.720000000001</v>
      </c>
      <c r="AS915">
        <v>507509.08</v>
      </c>
      <c r="AT915">
        <v>633.11</v>
      </c>
      <c r="AU915">
        <v>56.979900000000001</v>
      </c>
      <c r="AV915" t="s">
        <v>709</v>
      </c>
      <c r="AX915">
        <v>56.98</v>
      </c>
      <c r="AY915">
        <v>45352</v>
      </c>
      <c r="BA915" s="4" t="s">
        <v>5543</v>
      </c>
      <c r="BB915" t="s">
        <v>5544</v>
      </c>
      <c r="BC915" t="s">
        <v>116</v>
      </c>
      <c r="BD915" t="s">
        <v>757</v>
      </c>
      <c r="BE915" t="s">
        <v>778</v>
      </c>
      <c r="BF915" t="s">
        <v>758</v>
      </c>
      <c r="BG915" t="s">
        <v>115</v>
      </c>
      <c r="BH915" t="s">
        <v>5545</v>
      </c>
      <c r="BI915" t="s">
        <v>709</v>
      </c>
      <c r="BJ915" t="s">
        <v>709</v>
      </c>
      <c r="BK915" t="s">
        <v>709</v>
      </c>
      <c r="BL915" t="s">
        <v>116</v>
      </c>
      <c r="BM915">
        <v>0</v>
      </c>
      <c r="BN915">
        <v>0</v>
      </c>
      <c r="BO915">
        <v>0</v>
      </c>
      <c r="BP915">
        <v>1334</v>
      </c>
      <c r="BQ915">
        <v>0</v>
      </c>
      <c r="BR915">
        <v>0</v>
      </c>
      <c r="BS915">
        <v>31</v>
      </c>
      <c r="BT915">
        <v>0</v>
      </c>
      <c r="BU915">
        <v>0</v>
      </c>
      <c r="BV915">
        <v>0</v>
      </c>
      <c r="BW915">
        <v>0</v>
      </c>
      <c r="BX915">
        <v>0</v>
      </c>
      <c r="BY915">
        <v>0</v>
      </c>
      <c r="BZ915" t="s">
        <v>709</v>
      </c>
      <c r="CB915">
        <v>914</v>
      </c>
      <c r="CC915" t="b">
        <v>1</v>
      </c>
      <c r="CD915" t="s">
        <v>5546</v>
      </c>
      <c r="CE915" s="1482">
        <v>45880.737604166665</v>
      </c>
    </row>
    <row r="916" spans="1:83" x14ac:dyDescent="0.25">
      <c r="A916">
        <v>2023</v>
      </c>
      <c r="B916" t="s">
        <v>4</v>
      </c>
      <c r="C916" t="s">
        <v>1482</v>
      </c>
      <c r="D916" t="s">
        <v>1483</v>
      </c>
      <c r="E916" t="s">
        <v>354</v>
      </c>
      <c r="F916" t="s">
        <v>784</v>
      </c>
      <c r="G916" t="s">
        <v>27</v>
      </c>
      <c r="H916" t="s">
        <v>4646</v>
      </c>
      <c r="I916">
        <v>45034</v>
      </c>
      <c r="J916" t="s">
        <v>4110</v>
      </c>
      <c r="K916">
        <v>45041</v>
      </c>
      <c r="L916">
        <v>7</v>
      </c>
      <c r="M916" t="s">
        <v>5547</v>
      </c>
      <c r="N916" t="s">
        <v>120</v>
      </c>
      <c r="O916">
        <v>45061</v>
      </c>
      <c r="P916" t="s">
        <v>739</v>
      </c>
      <c r="Q916">
        <v>4952.5</v>
      </c>
      <c r="R916" t="s">
        <v>1922</v>
      </c>
      <c r="S916">
        <v>0</v>
      </c>
      <c r="U916">
        <v>4952.5</v>
      </c>
      <c r="AB916" t="s">
        <v>29</v>
      </c>
      <c r="AC916" t="s">
        <v>709</v>
      </c>
      <c r="AD916" t="s">
        <v>29</v>
      </c>
      <c r="AM916" t="s">
        <v>709</v>
      </c>
      <c r="AY916" t="s">
        <v>29</v>
      </c>
      <c r="BA916" t="s">
        <v>29</v>
      </c>
      <c r="BB916" t="s">
        <v>29</v>
      </c>
      <c r="BC916" t="s">
        <v>29</v>
      </c>
      <c r="BI916" t="s">
        <v>709</v>
      </c>
      <c r="BJ916" t="s">
        <v>709</v>
      </c>
      <c r="BK916" t="s">
        <v>709</v>
      </c>
      <c r="BL916" t="s">
        <v>709</v>
      </c>
      <c r="BM916" t="s">
        <v>709</v>
      </c>
      <c r="BN916" t="s">
        <v>709</v>
      </c>
      <c r="BO916" t="s">
        <v>709</v>
      </c>
      <c r="BP916" t="s">
        <v>709</v>
      </c>
      <c r="BQ916" t="s">
        <v>709</v>
      </c>
      <c r="BR916" t="s">
        <v>709</v>
      </c>
      <c r="BS916" t="s">
        <v>709</v>
      </c>
      <c r="BT916" t="s">
        <v>745</v>
      </c>
      <c r="BU916" t="s">
        <v>709</v>
      </c>
      <c r="BV916" t="s">
        <v>745</v>
      </c>
      <c r="BW916" t="s">
        <v>709</v>
      </c>
      <c r="BX916" t="s">
        <v>745</v>
      </c>
      <c r="BY916" t="s">
        <v>745</v>
      </c>
      <c r="BZ916" t="s">
        <v>709</v>
      </c>
      <c r="CA916" t="s">
        <v>1146</v>
      </c>
      <c r="CB916">
        <v>915</v>
      </c>
      <c r="CC916" t="b">
        <v>1</v>
      </c>
      <c r="CD916" t="s">
        <v>5548</v>
      </c>
      <c r="CE916" s="1482">
        <v>45880.737604166665</v>
      </c>
    </row>
    <row r="917" spans="1:83" ht="345" x14ac:dyDescent="0.25">
      <c r="A917">
        <v>2023</v>
      </c>
      <c r="B917" t="s">
        <v>771</v>
      </c>
      <c r="C917" t="s">
        <v>5549</v>
      </c>
      <c r="D917" t="s">
        <v>5550</v>
      </c>
      <c r="E917" t="s">
        <v>361</v>
      </c>
      <c r="F917" t="s">
        <v>784</v>
      </c>
      <c r="G917" t="s">
        <v>23</v>
      </c>
      <c r="H917" t="s">
        <v>59</v>
      </c>
      <c r="I917">
        <v>44946</v>
      </c>
      <c r="J917">
        <v>45043</v>
      </c>
      <c r="K917">
        <v>45041</v>
      </c>
      <c r="L917">
        <v>2</v>
      </c>
      <c r="N917" t="s">
        <v>120</v>
      </c>
      <c r="O917">
        <v>45047</v>
      </c>
      <c r="P917" t="s">
        <v>120</v>
      </c>
      <c r="Q917">
        <v>157955.12839999999</v>
      </c>
      <c r="R917">
        <v>0.04</v>
      </c>
      <c r="V917">
        <v>15890</v>
      </c>
      <c r="W917">
        <v>0</v>
      </c>
      <c r="X917">
        <v>3824720.13</v>
      </c>
      <c r="Z917">
        <v>124158.08</v>
      </c>
      <c r="AA917">
        <v>3948878.21</v>
      </c>
      <c r="AB917">
        <v>45043</v>
      </c>
      <c r="AC917" t="s">
        <v>811</v>
      </c>
      <c r="AD917" t="s">
        <v>29</v>
      </c>
      <c r="AE917" t="s">
        <v>29</v>
      </c>
      <c r="AF917" t="s">
        <v>29</v>
      </c>
      <c r="AG917" t="s">
        <v>29</v>
      </c>
      <c r="AH917" t="s">
        <v>29</v>
      </c>
      <c r="AM917" t="s">
        <v>116</v>
      </c>
      <c r="AN917">
        <v>45168</v>
      </c>
      <c r="AO917">
        <v>11069828</v>
      </c>
      <c r="AP917">
        <v>3826985.61</v>
      </c>
      <c r="AR917">
        <v>124158.08</v>
      </c>
      <c r="AS917">
        <v>3951143.69</v>
      </c>
      <c r="AT917">
        <v>2265.48</v>
      </c>
      <c r="AU917">
        <v>90.619200000000006</v>
      </c>
      <c r="AV917">
        <v>9435</v>
      </c>
      <c r="AW917" s="4" t="s">
        <v>5551</v>
      </c>
      <c r="AX917">
        <v>0</v>
      </c>
      <c r="AY917">
        <v>45352</v>
      </c>
      <c r="BA917" t="s">
        <v>5552</v>
      </c>
      <c r="BB917" t="s">
        <v>5553</v>
      </c>
      <c r="BC917" t="s">
        <v>116</v>
      </c>
      <c r="BD917" t="s">
        <v>882</v>
      </c>
      <c r="BE917" t="s">
        <v>1415</v>
      </c>
      <c r="BF917" t="s">
        <v>115</v>
      </c>
      <c r="BG917" t="s">
        <v>115</v>
      </c>
      <c r="BH917" t="s">
        <v>5554</v>
      </c>
      <c r="BI917" t="s">
        <v>709</v>
      </c>
      <c r="BJ917" t="s">
        <v>709</v>
      </c>
      <c r="BK917" t="s">
        <v>709</v>
      </c>
      <c r="BL917" t="s">
        <v>116</v>
      </c>
      <c r="BM917" t="s">
        <v>709</v>
      </c>
      <c r="BN917" t="s">
        <v>709</v>
      </c>
      <c r="BO917" t="s">
        <v>709</v>
      </c>
      <c r="BP917">
        <v>872</v>
      </c>
      <c r="BQ917" t="s">
        <v>709</v>
      </c>
      <c r="BR917" t="s">
        <v>709</v>
      </c>
      <c r="BS917">
        <v>15018</v>
      </c>
      <c r="BT917" t="s">
        <v>709</v>
      </c>
      <c r="BU917" t="s">
        <v>709</v>
      </c>
      <c r="BV917" t="s">
        <v>709</v>
      </c>
      <c r="BW917" t="s">
        <v>709</v>
      </c>
      <c r="BX917" t="s">
        <v>745</v>
      </c>
      <c r="BY917" t="s">
        <v>709</v>
      </c>
      <c r="BZ917" t="s">
        <v>709</v>
      </c>
      <c r="CB917">
        <v>913</v>
      </c>
      <c r="CC917" t="b">
        <v>1</v>
      </c>
      <c r="CD917" t="s">
        <v>5555</v>
      </c>
      <c r="CE917" s="1482">
        <v>45880.737615740742</v>
      </c>
    </row>
    <row r="918" spans="1:83" x14ac:dyDescent="0.25">
      <c r="A918">
        <v>2022</v>
      </c>
      <c r="B918" t="s">
        <v>769</v>
      </c>
      <c r="C918" t="s">
        <v>469</v>
      </c>
      <c r="D918" t="s">
        <v>1464</v>
      </c>
      <c r="E918" t="s">
        <v>1459</v>
      </c>
      <c r="F918" t="s">
        <v>747</v>
      </c>
      <c r="G918" t="s">
        <v>22</v>
      </c>
      <c r="H918" t="s">
        <v>59</v>
      </c>
      <c r="I918">
        <v>44439</v>
      </c>
      <c r="J918">
        <v>45044</v>
      </c>
      <c r="K918">
        <v>45042</v>
      </c>
      <c r="L918">
        <v>2</v>
      </c>
      <c r="N918" t="s">
        <v>120</v>
      </c>
      <c r="O918">
        <v>45047</v>
      </c>
      <c r="P918" t="s">
        <v>739</v>
      </c>
      <c r="Q918">
        <v>16797.376799999998</v>
      </c>
      <c r="R918">
        <v>0.08</v>
      </c>
      <c r="V918">
        <v>51</v>
      </c>
      <c r="X918">
        <v>184560.22</v>
      </c>
      <c r="Z918">
        <v>25406.99</v>
      </c>
      <c r="AA918">
        <v>209967.21</v>
      </c>
      <c r="AB918">
        <v>45054</v>
      </c>
      <c r="AC918" t="s">
        <v>1441</v>
      </c>
      <c r="AD918" t="s">
        <v>29</v>
      </c>
      <c r="AM918" t="s">
        <v>116</v>
      </c>
      <c r="AN918">
        <v>45601</v>
      </c>
      <c r="AO918">
        <v>11065639</v>
      </c>
      <c r="AP918">
        <v>191157.06</v>
      </c>
      <c r="AR918">
        <v>34432.49</v>
      </c>
      <c r="AS918">
        <v>225589.55</v>
      </c>
      <c r="AT918">
        <v>15622.34</v>
      </c>
      <c r="AU918">
        <v>1249.7872</v>
      </c>
      <c r="AV918">
        <v>0</v>
      </c>
      <c r="AW918" t="s">
        <v>5556</v>
      </c>
      <c r="AX918">
        <v>1249.7872</v>
      </c>
      <c r="AY918">
        <v>45901</v>
      </c>
      <c r="AZ918">
        <v>13</v>
      </c>
      <c r="BA918" t="s">
        <v>1465</v>
      </c>
      <c r="BB918" t="s">
        <v>1461</v>
      </c>
      <c r="BC918" t="s">
        <v>115</v>
      </c>
      <c r="BD918" t="s">
        <v>1462</v>
      </c>
      <c r="BE918" t="s">
        <v>115</v>
      </c>
      <c r="BF918" t="s">
        <v>115</v>
      </c>
      <c r="BG918" t="s">
        <v>1463</v>
      </c>
      <c r="BI918" t="s">
        <v>709</v>
      </c>
      <c r="BJ918" t="s">
        <v>116</v>
      </c>
      <c r="BK918" t="s">
        <v>116</v>
      </c>
      <c r="BL918" t="s">
        <v>116</v>
      </c>
      <c r="BM918" t="s">
        <v>709</v>
      </c>
      <c r="BN918" t="s">
        <v>709</v>
      </c>
      <c r="BO918" t="s">
        <v>709</v>
      </c>
      <c r="BP918" t="s">
        <v>709</v>
      </c>
      <c r="BQ918" t="s">
        <v>709</v>
      </c>
      <c r="BR918">
        <v>3</v>
      </c>
      <c r="BS918">
        <v>43</v>
      </c>
      <c r="BT918" t="s">
        <v>745</v>
      </c>
      <c r="BU918" t="s">
        <v>709</v>
      </c>
      <c r="BV918" t="s">
        <v>745</v>
      </c>
      <c r="BW918" t="s">
        <v>709</v>
      </c>
      <c r="BX918" t="s">
        <v>745</v>
      </c>
      <c r="BY918">
        <v>1</v>
      </c>
      <c r="BZ918" t="s">
        <v>709</v>
      </c>
      <c r="CA918" t="s">
        <v>769</v>
      </c>
      <c r="CB918">
        <v>919</v>
      </c>
      <c r="CC918" t="b">
        <v>1</v>
      </c>
      <c r="CD918" t="s">
        <v>5557</v>
      </c>
      <c r="CE918" s="1482">
        <v>45880.737615740742</v>
      </c>
    </row>
    <row r="919" spans="1:83" x14ac:dyDescent="0.25">
      <c r="A919">
        <v>2022</v>
      </c>
      <c r="B919" t="s">
        <v>769</v>
      </c>
      <c r="C919" t="s">
        <v>1457</v>
      </c>
      <c r="D919" t="s">
        <v>1458</v>
      </c>
      <c r="E919" t="s">
        <v>1459</v>
      </c>
      <c r="F919" t="s">
        <v>747</v>
      </c>
      <c r="G919" t="s">
        <v>22</v>
      </c>
      <c r="H919" t="s">
        <v>59</v>
      </c>
      <c r="I919">
        <v>45020</v>
      </c>
      <c r="J919">
        <v>45044</v>
      </c>
      <c r="K919">
        <v>45042</v>
      </c>
      <c r="L919">
        <v>2</v>
      </c>
      <c r="N919" t="s">
        <v>120</v>
      </c>
      <c r="O919">
        <v>45047</v>
      </c>
      <c r="P919" t="s">
        <v>739</v>
      </c>
      <c r="Q919">
        <v>39668.469599999997</v>
      </c>
      <c r="R919">
        <v>0.08</v>
      </c>
      <c r="V919">
        <v>1832</v>
      </c>
      <c r="X919">
        <v>470513.43</v>
      </c>
      <c r="Z919">
        <v>25342.44</v>
      </c>
      <c r="AA919">
        <v>495855.87</v>
      </c>
      <c r="AB919">
        <v>45054</v>
      </c>
      <c r="AC919" t="s">
        <v>1441</v>
      </c>
      <c r="AD919" t="s">
        <v>29</v>
      </c>
      <c r="AM919" t="s">
        <v>116</v>
      </c>
      <c r="AN919">
        <v>45601</v>
      </c>
      <c r="AO919">
        <v>11093187</v>
      </c>
      <c r="AP919">
        <v>526526.31999999995</v>
      </c>
      <c r="AR919">
        <v>34367.94</v>
      </c>
      <c r="AS919">
        <v>560894.26</v>
      </c>
      <c r="AT919">
        <v>65038.39</v>
      </c>
      <c r="AU919">
        <v>5203.0712000000003</v>
      </c>
      <c r="AV919">
        <v>0</v>
      </c>
      <c r="AW919" t="s">
        <v>5558</v>
      </c>
      <c r="AX919">
        <v>5203.0712000000003</v>
      </c>
      <c r="AY919">
        <v>45901</v>
      </c>
      <c r="AZ919">
        <v>12</v>
      </c>
      <c r="BA919" t="s">
        <v>1460</v>
      </c>
      <c r="BB919" t="s">
        <v>1461</v>
      </c>
      <c r="BC919" t="s">
        <v>115</v>
      </c>
      <c r="BD919" t="s">
        <v>1462</v>
      </c>
      <c r="BE919" t="s">
        <v>115</v>
      </c>
      <c r="BF919" t="s">
        <v>115</v>
      </c>
      <c r="BG919" t="s">
        <v>1463</v>
      </c>
      <c r="BI919" t="s">
        <v>709</v>
      </c>
      <c r="BJ919" t="s">
        <v>116</v>
      </c>
      <c r="BK919" t="s">
        <v>116</v>
      </c>
      <c r="BL919" t="s">
        <v>116</v>
      </c>
      <c r="BM919" t="s">
        <v>709</v>
      </c>
      <c r="BN919" t="s">
        <v>709</v>
      </c>
      <c r="BO919" t="s">
        <v>709</v>
      </c>
      <c r="BP919" t="s">
        <v>709</v>
      </c>
      <c r="BQ919" t="s">
        <v>709</v>
      </c>
      <c r="BR919">
        <v>3</v>
      </c>
      <c r="BS919">
        <v>43</v>
      </c>
      <c r="BT919" t="s">
        <v>745</v>
      </c>
      <c r="BU919" t="s">
        <v>709</v>
      </c>
      <c r="BV919" t="s">
        <v>745</v>
      </c>
      <c r="BW919" t="s">
        <v>709</v>
      </c>
      <c r="BX919" t="s">
        <v>745</v>
      </c>
      <c r="BY919">
        <v>1</v>
      </c>
      <c r="BZ919" t="s">
        <v>709</v>
      </c>
      <c r="CA919" t="s">
        <v>769</v>
      </c>
      <c r="CB919">
        <v>918</v>
      </c>
      <c r="CC919" t="b">
        <v>1</v>
      </c>
      <c r="CD919" t="s">
        <v>5559</v>
      </c>
      <c r="CE919" s="1482">
        <v>45880.737627314818</v>
      </c>
    </row>
    <row r="920" spans="1:83" x14ac:dyDescent="0.25">
      <c r="A920">
        <v>2022</v>
      </c>
      <c r="B920" t="s">
        <v>769</v>
      </c>
      <c r="C920" t="s">
        <v>1466</v>
      </c>
      <c r="D920" t="s">
        <v>1467</v>
      </c>
      <c r="E920" t="s">
        <v>1459</v>
      </c>
      <c r="F920" t="s">
        <v>747</v>
      </c>
      <c r="G920" t="s">
        <v>22</v>
      </c>
      <c r="H920" t="s">
        <v>59</v>
      </c>
      <c r="I920">
        <v>45020</v>
      </c>
      <c r="J920">
        <v>45044</v>
      </c>
      <c r="K920">
        <v>45042</v>
      </c>
      <c r="L920">
        <v>2</v>
      </c>
      <c r="N920" t="s">
        <v>120</v>
      </c>
      <c r="O920">
        <v>45047</v>
      </c>
      <c r="P920" t="s">
        <v>739</v>
      </c>
      <c r="Q920">
        <v>8425.1903999999995</v>
      </c>
      <c r="R920">
        <v>0.08</v>
      </c>
      <c r="V920">
        <v>0</v>
      </c>
      <c r="X920">
        <v>79103.53</v>
      </c>
      <c r="Z920">
        <v>26211.35</v>
      </c>
      <c r="AA920">
        <v>105314.88</v>
      </c>
      <c r="AB920">
        <v>45054</v>
      </c>
      <c r="AC920" t="s">
        <v>1441</v>
      </c>
      <c r="AD920" t="s">
        <v>29</v>
      </c>
      <c r="AM920" t="s">
        <v>116</v>
      </c>
      <c r="AN920">
        <v>45601</v>
      </c>
      <c r="AO920">
        <v>11093186</v>
      </c>
      <c r="AP920">
        <v>130794.03</v>
      </c>
      <c r="AR920">
        <v>36750.800000000003</v>
      </c>
      <c r="AS920">
        <v>167544.82999999999</v>
      </c>
      <c r="AT920">
        <v>62229.95</v>
      </c>
      <c r="AU920">
        <v>4978.3959999999997</v>
      </c>
      <c r="AV920">
        <v>0</v>
      </c>
      <c r="AW920" t="s">
        <v>5560</v>
      </c>
      <c r="AX920">
        <v>4978.3959999999997</v>
      </c>
      <c r="AY920">
        <v>45901</v>
      </c>
      <c r="AZ920">
        <v>14</v>
      </c>
      <c r="BA920" t="s">
        <v>1468</v>
      </c>
      <c r="BB920" t="s">
        <v>1461</v>
      </c>
      <c r="BC920" t="s">
        <v>115</v>
      </c>
      <c r="BD920" t="s">
        <v>1462</v>
      </c>
      <c r="BE920" t="s">
        <v>115</v>
      </c>
      <c r="BF920" t="s">
        <v>115</v>
      </c>
      <c r="BG920" t="s">
        <v>1463</v>
      </c>
      <c r="BI920" t="s">
        <v>709</v>
      </c>
      <c r="BJ920" t="s">
        <v>116</v>
      </c>
      <c r="BK920" t="s">
        <v>116</v>
      </c>
      <c r="BL920" t="s">
        <v>116</v>
      </c>
      <c r="BM920" t="s">
        <v>709</v>
      </c>
      <c r="BN920" t="s">
        <v>709</v>
      </c>
      <c r="BO920" t="s">
        <v>709</v>
      </c>
      <c r="BP920" t="s">
        <v>709</v>
      </c>
      <c r="BQ920" t="s">
        <v>709</v>
      </c>
      <c r="BR920">
        <v>3</v>
      </c>
      <c r="BS920">
        <v>43</v>
      </c>
      <c r="BT920" t="s">
        <v>745</v>
      </c>
      <c r="BU920" t="s">
        <v>709</v>
      </c>
      <c r="BV920" t="s">
        <v>745</v>
      </c>
      <c r="BW920" t="s">
        <v>709</v>
      </c>
      <c r="BX920" t="s">
        <v>745</v>
      </c>
      <c r="BY920">
        <v>1</v>
      </c>
      <c r="BZ920" t="s">
        <v>709</v>
      </c>
      <c r="CA920" t="s">
        <v>769</v>
      </c>
      <c r="CB920">
        <v>920</v>
      </c>
      <c r="CC920" t="b">
        <v>1</v>
      </c>
      <c r="CD920" t="s">
        <v>5561</v>
      </c>
      <c r="CE920" s="1482">
        <v>45880.737627314818</v>
      </c>
    </row>
    <row r="921" spans="1:83" ht="195" x14ac:dyDescent="0.25">
      <c r="A921">
        <v>2023</v>
      </c>
      <c r="B921" t="s">
        <v>4</v>
      </c>
      <c r="C921" t="s">
        <v>5562</v>
      </c>
      <c r="D921" t="s">
        <v>115</v>
      </c>
      <c r="E921" t="s">
        <v>2074</v>
      </c>
      <c r="F921" t="s">
        <v>747</v>
      </c>
      <c r="G921" t="s">
        <v>25</v>
      </c>
      <c r="H921" t="s">
        <v>1681</v>
      </c>
      <c r="I921">
        <v>45006</v>
      </c>
      <c r="J921">
        <v>45072</v>
      </c>
      <c r="K921">
        <v>45042</v>
      </c>
      <c r="L921">
        <v>30</v>
      </c>
      <c r="N921" t="s">
        <v>120</v>
      </c>
      <c r="O921">
        <v>45042</v>
      </c>
      <c r="P921" t="s">
        <v>739</v>
      </c>
      <c r="Q921" t="s">
        <v>115</v>
      </c>
      <c r="R921" t="s">
        <v>115</v>
      </c>
      <c r="AB921" t="s">
        <v>29</v>
      </c>
      <c r="AC921" t="s">
        <v>709</v>
      </c>
      <c r="AD921" t="s">
        <v>29</v>
      </c>
      <c r="AM921" t="s">
        <v>709</v>
      </c>
      <c r="AY921" t="s">
        <v>29</v>
      </c>
      <c r="BA921" s="4" t="s">
        <v>5563</v>
      </c>
      <c r="BB921" t="s">
        <v>1071</v>
      </c>
      <c r="BC921" t="s">
        <v>709</v>
      </c>
      <c r="BD921" t="s">
        <v>1092</v>
      </c>
      <c r="BE921" t="s">
        <v>5564</v>
      </c>
      <c r="BF921" t="s">
        <v>709</v>
      </c>
      <c r="BG921" t="s">
        <v>709</v>
      </c>
      <c r="CB921">
        <v>916</v>
      </c>
      <c r="CC921" t="b">
        <v>1</v>
      </c>
      <c r="CD921" t="s">
        <v>5565</v>
      </c>
      <c r="CE921" s="1482">
        <v>45880.737627314818</v>
      </c>
    </row>
    <row r="922" spans="1:83" x14ac:dyDescent="0.25">
      <c r="A922">
        <v>2023</v>
      </c>
      <c r="B922" t="s">
        <v>4</v>
      </c>
      <c r="C922" t="s">
        <v>5360</v>
      </c>
      <c r="D922" t="s">
        <v>5361</v>
      </c>
      <c r="E922" t="s">
        <v>4848</v>
      </c>
      <c r="F922" t="s">
        <v>747</v>
      </c>
      <c r="G922" t="s">
        <v>35</v>
      </c>
      <c r="H922" t="s">
        <v>4462</v>
      </c>
      <c r="I922">
        <v>45036</v>
      </c>
      <c r="J922" t="s">
        <v>2052</v>
      </c>
      <c r="K922">
        <v>45042</v>
      </c>
      <c r="L922">
        <v>6</v>
      </c>
      <c r="M922" t="s">
        <v>5566</v>
      </c>
      <c r="N922" t="s">
        <v>120</v>
      </c>
      <c r="O922">
        <v>45042</v>
      </c>
      <c r="P922" t="s">
        <v>739</v>
      </c>
      <c r="Q922" t="s">
        <v>115</v>
      </c>
      <c r="R922" t="s">
        <v>115</v>
      </c>
      <c r="AB922" t="s">
        <v>29</v>
      </c>
      <c r="AC922" t="s">
        <v>29</v>
      </c>
      <c r="AD922" t="s">
        <v>116</v>
      </c>
      <c r="AM922" t="s">
        <v>709</v>
      </c>
      <c r="AY922" t="s">
        <v>29</v>
      </c>
      <c r="BA922" t="s">
        <v>4650</v>
      </c>
      <c r="BI922" t="s">
        <v>709</v>
      </c>
      <c r="BJ922" t="s">
        <v>709</v>
      </c>
      <c r="BK922" t="s">
        <v>709</v>
      </c>
      <c r="BL922" t="s">
        <v>116</v>
      </c>
      <c r="BM922" t="s">
        <v>709</v>
      </c>
      <c r="BN922" t="s">
        <v>709</v>
      </c>
      <c r="BO922" t="s">
        <v>709</v>
      </c>
      <c r="BP922" t="s">
        <v>709</v>
      </c>
      <c r="BQ922" t="s">
        <v>116</v>
      </c>
      <c r="BR922" t="s">
        <v>116</v>
      </c>
      <c r="BS922" t="s">
        <v>116</v>
      </c>
      <c r="BT922" t="s">
        <v>745</v>
      </c>
      <c r="BU922" t="s">
        <v>709</v>
      </c>
      <c r="BV922" t="s">
        <v>745</v>
      </c>
      <c r="BW922" t="s">
        <v>709</v>
      </c>
      <c r="BX922" t="s">
        <v>745</v>
      </c>
      <c r="BY922" t="s">
        <v>745</v>
      </c>
      <c r="BZ922" t="s">
        <v>709</v>
      </c>
      <c r="CB922">
        <v>917</v>
      </c>
      <c r="CC922" t="b">
        <v>1</v>
      </c>
      <c r="CD922" t="s">
        <v>5567</v>
      </c>
      <c r="CE922" s="1482">
        <v>45880.737638888888</v>
      </c>
    </row>
    <row r="923" spans="1:83" x14ac:dyDescent="0.25">
      <c r="A923">
        <v>2023</v>
      </c>
      <c r="B923" t="s">
        <v>771</v>
      </c>
      <c r="C923" t="s">
        <v>5173</v>
      </c>
      <c r="D923">
        <v>1312009</v>
      </c>
      <c r="E923" t="s">
        <v>818</v>
      </c>
      <c r="F923" t="s">
        <v>747</v>
      </c>
      <c r="G923" t="s">
        <v>23</v>
      </c>
      <c r="H923" t="s">
        <v>3178</v>
      </c>
      <c r="I923">
        <v>45041</v>
      </c>
      <c r="J923" t="s">
        <v>2052</v>
      </c>
      <c r="K923">
        <v>45043</v>
      </c>
      <c r="L923">
        <v>2</v>
      </c>
      <c r="M923" t="s">
        <v>5568</v>
      </c>
      <c r="N923" t="s">
        <v>120</v>
      </c>
      <c r="O923">
        <v>45047</v>
      </c>
      <c r="P923" t="s">
        <v>120</v>
      </c>
      <c r="Q923">
        <v>2870</v>
      </c>
      <c r="R923" t="s">
        <v>1922</v>
      </c>
      <c r="S923">
        <v>0</v>
      </c>
      <c r="T923">
        <v>0</v>
      </c>
      <c r="U923">
        <v>2870</v>
      </c>
      <c r="AB923" t="s">
        <v>29</v>
      </c>
      <c r="AC923" t="s">
        <v>1177</v>
      </c>
      <c r="AD923" t="s">
        <v>116</v>
      </c>
      <c r="AM923" t="s">
        <v>709</v>
      </c>
      <c r="AY923" t="s">
        <v>29</v>
      </c>
      <c r="BA923">
        <v>4</v>
      </c>
      <c r="BB923" t="s">
        <v>29</v>
      </c>
      <c r="BI923" t="s">
        <v>709</v>
      </c>
      <c r="BJ923" t="s">
        <v>709</v>
      </c>
      <c r="BK923" t="s">
        <v>709</v>
      </c>
      <c r="BL923" t="s">
        <v>116</v>
      </c>
      <c r="BM923" t="s">
        <v>709</v>
      </c>
      <c r="BN923" t="s">
        <v>709</v>
      </c>
      <c r="BO923" t="s">
        <v>709</v>
      </c>
      <c r="BP923" t="s">
        <v>709</v>
      </c>
      <c r="BQ923" t="s">
        <v>709</v>
      </c>
      <c r="BR923">
        <v>394</v>
      </c>
      <c r="BS923">
        <v>522</v>
      </c>
      <c r="BT923" t="s">
        <v>745</v>
      </c>
      <c r="BU923" t="s">
        <v>709</v>
      </c>
      <c r="BV923" t="s">
        <v>745</v>
      </c>
      <c r="BW923" t="s">
        <v>709</v>
      </c>
      <c r="BX923" t="s">
        <v>745</v>
      </c>
      <c r="BY923" t="s">
        <v>745</v>
      </c>
      <c r="BZ923" t="s">
        <v>709</v>
      </c>
      <c r="CB923">
        <v>923</v>
      </c>
      <c r="CC923" t="b">
        <v>1</v>
      </c>
      <c r="CD923" t="s">
        <v>5569</v>
      </c>
      <c r="CE923" s="1482">
        <v>45880.737638888888</v>
      </c>
    </row>
    <row r="924" spans="1:83" ht="390" x14ac:dyDescent="0.25">
      <c r="A924">
        <v>2023</v>
      </c>
      <c r="B924" t="s">
        <v>4</v>
      </c>
      <c r="C924" t="s">
        <v>5570</v>
      </c>
      <c r="D924" t="s">
        <v>115</v>
      </c>
      <c r="E924" t="s">
        <v>149</v>
      </c>
      <c r="F924" t="s">
        <v>784</v>
      </c>
      <c r="G924" t="s">
        <v>26</v>
      </c>
      <c r="H924" t="s">
        <v>1681</v>
      </c>
      <c r="I924">
        <v>44958</v>
      </c>
      <c r="J924">
        <v>45100</v>
      </c>
      <c r="K924">
        <v>45043</v>
      </c>
      <c r="L924">
        <v>57</v>
      </c>
      <c r="N924" t="s">
        <v>120</v>
      </c>
      <c r="O924">
        <v>45043</v>
      </c>
      <c r="P924" t="s">
        <v>739</v>
      </c>
      <c r="Q924" t="s">
        <v>115</v>
      </c>
      <c r="R924" t="s">
        <v>115</v>
      </c>
      <c r="AB924" t="s">
        <v>29</v>
      </c>
      <c r="AC924" t="s">
        <v>709</v>
      </c>
      <c r="AD924" t="s">
        <v>29</v>
      </c>
      <c r="AM924" t="s">
        <v>709</v>
      </c>
      <c r="AY924" t="s">
        <v>29</v>
      </c>
      <c r="BA924" s="4" t="s">
        <v>5571</v>
      </c>
      <c r="BB924" t="s">
        <v>5572</v>
      </c>
      <c r="BC924" t="s">
        <v>116</v>
      </c>
      <c r="BD924" t="s">
        <v>882</v>
      </c>
      <c r="BE924" t="s">
        <v>5573</v>
      </c>
      <c r="BF924" t="s">
        <v>5574</v>
      </c>
      <c r="BG924" t="s">
        <v>709</v>
      </c>
      <c r="CB924">
        <v>922</v>
      </c>
      <c r="CC924" t="b">
        <v>1</v>
      </c>
      <c r="CD924" t="s">
        <v>5575</v>
      </c>
      <c r="CE924" s="1482">
        <v>45880.737650462965</v>
      </c>
    </row>
    <row r="925" spans="1:83" x14ac:dyDescent="0.25">
      <c r="A925">
        <v>2023</v>
      </c>
      <c r="B925" t="s">
        <v>771</v>
      </c>
      <c r="C925" t="s">
        <v>1469</v>
      </c>
      <c r="D925" t="s">
        <v>1470</v>
      </c>
      <c r="E925" t="s">
        <v>1129</v>
      </c>
      <c r="F925" t="s">
        <v>784</v>
      </c>
      <c r="G925" t="s">
        <v>32</v>
      </c>
      <c r="H925" t="s">
        <v>59</v>
      </c>
      <c r="I925">
        <v>44946</v>
      </c>
      <c r="J925">
        <v>45065</v>
      </c>
      <c r="K925">
        <v>45043</v>
      </c>
      <c r="L925">
        <v>22</v>
      </c>
      <c r="N925" t="s">
        <v>120</v>
      </c>
      <c r="O925">
        <v>45061</v>
      </c>
      <c r="P925" t="s">
        <v>120</v>
      </c>
      <c r="Q925">
        <v>62958.712500000001</v>
      </c>
      <c r="R925">
        <v>0.09</v>
      </c>
      <c r="V925">
        <v>3016</v>
      </c>
      <c r="W925">
        <v>0</v>
      </c>
      <c r="X925">
        <v>670013.47</v>
      </c>
      <c r="Z925">
        <v>29527.78</v>
      </c>
      <c r="AA925">
        <v>699541.25</v>
      </c>
      <c r="AB925">
        <v>45047</v>
      </c>
      <c r="AC925" t="s">
        <v>709</v>
      </c>
      <c r="AD925" t="s">
        <v>116</v>
      </c>
      <c r="AM925" t="s">
        <v>116</v>
      </c>
      <c r="AN925">
        <v>45490</v>
      </c>
      <c r="AO925">
        <v>11086409</v>
      </c>
      <c r="AP925">
        <v>713470.35</v>
      </c>
      <c r="AR925">
        <v>74452.259999999995</v>
      </c>
      <c r="AS925">
        <v>787922.61</v>
      </c>
      <c r="AT925">
        <v>88381.36</v>
      </c>
      <c r="AU925">
        <v>7954.3224</v>
      </c>
      <c r="AV925">
        <v>0</v>
      </c>
      <c r="AW925" t="s">
        <v>5504</v>
      </c>
      <c r="AX925">
        <v>7954.3224</v>
      </c>
      <c r="AY925">
        <v>45901</v>
      </c>
      <c r="AZ925">
        <v>41</v>
      </c>
      <c r="BA925" t="s">
        <v>1471</v>
      </c>
      <c r="BB925" t="s">
        <v>1132</v>
      </c>
      <c r="BC925" t="s">
        <v>116</v>
      </c>
      <c r="BD925" t="s">
        <v>1066</v>
      </c>
      <c r="BE925" t="s">
        <v>1133</v>
      </c>
      <c r="BF925" t="s">
        <v>1133</v>
      </c>
      <c r="BG925" t="s">
        <v>115</v>
      </c>
      <c r="BH925" t="s">
        <v>1472</v>
      </c>
      <c r="BI925" t="s">
        <v>709</v>
      </c>
      <c r="BJ925" t="s">
        <v>709</v>
      </c>
      <c r="BK925" t="s">
        <v>709</v>
      </c>
      <c r="BL925" t="s">
        <v>116</v>
      </c>
      <c r="BM925">
        <v>0</v>
      </c>
      <c r="BN925">
        <v>0</v>
      </c>
      <c r="BO925">
        <v>0</v>
      </c>
      <c r="BP925">
        <v>0</v>
      </c>
      <c r="BQ925">
        <v>0</v>
      </c>
      <c r="BR925">
        <v>762</v>
      </c>
      <c r="BS925">
        <v>2290</v>
      </c>
      <c r="BT925">
        <v>0</v>
      </c>
      <c r="BU925">
        <v>0</v>
      </c>
      <c r="BV925">
        <v>0</v>
      </c>
      <c r="BW925">
        <v>0</v>
      </c>
      <c r="BX925">
        <v>0</v>
      </c>
      <c r="BY925">
        <v>0</v>
      </c>
      <c r="BZ925" t="s">
        <v>709</v>
      </c>
      <c r="CB925">
        <v>927</v>
      </c>
      <c r="CC925" t="b">
        <v>1</v>
      </c>
      <c r="CD925" t="s">
        <v>5576</v>
      </c>
      <c r="CE925" s="1482">
        <v>45880.737650462965</v>
      </c>
    </row>
    <row r="926" spans="1:83" x14ac:dyDescent="0.25">
      <c r="A926">
        <v>2023</v>
      </c>
      <c r="B926" t="s">
        <v>759</v>
      </c>
      <c r="C926" t="s">
        <v>521</v>
      </c>
      <c r="D926" t="s">
        <v>5577</v>
      </c>
      <c r="E926" t="s">
        <v>2114</v>
      </c>
      <c r="F926" t="s">
        <v>752</v>
      </c>
      <c r="G926" t="s">
        <v>24</v>
      </c>
      <c r="H926" t="s">
        <v>59</v>
      </c>
      <c r="I926">
        <v>44964</v>
      </c>
      <c r="J926">
        <v>45044</v>
      </c>
      <c r="K926">
        <v>45043</v>
      </c>
      <c r="L926">
        <v>1</v>
      </c>
      <c r="N926" t="s">
        <v>120</v>
      </c>
      <c r="O926">
        <v>45047</v>
      </c>
      <c r="P926" t="s">
        <v>120</v>
      </c>
      <c r="Q926">
        <v>14750</v>
      </c>
      <c r="R926" t="s">
        <v>5223</v>
      </c>
      <c r="V926">
        <v>428</v>
      </c>
      <c r="W926">
        <v>1</v>
      </c>
      <c r="X926">
        <v>493727.01</v>
      </c>
      <c r="Z926">
        <v>155301.22</v>
      </c>
      <c r="AA926">
        <v>649028.23</v>
      </c>
      <c r="AB926" t="s">
        <v>116</v>
      </c>
      <c r="AC926" t="s">
        <v>1441</v>
      </c>
      <c r="AM926" t="s">
        <v>709</v>
      </c>
      <c r="AY926" t="s">
        <v>29</v>
      </c>
      <c r="BA926" t="s">
        <v>5578</v>
      </c>
      <c r="BB926" t="s">
        <v>5579</v>
      </c>
      <c r="BC926" t="s">
        <v>115</v>
      </c>
      <c r="BD926" t="s">
        <v>788</v>
      </c>
      <c r="BE926" t="s">
        <v>522</v>
      </c>
      <c r="BF926" t="s">
        <v>115</v>
      </c>
      <c r="BG926" t="s">
        <v>115</v>
      </c>
      <c r="BH926" t="s">
        <v>5580</v>
      </c>
      <c r="BI926" t="s">
        <v>709</v>
      </c>
      <c r="BJ926" t="s">
        <v>709</v>
      </c>
      <c r="BK926" t="s">
        <v>709</v>
      </c>
      <c r="BL926" t="s">
        <v>116</v>
      </c>
      <c r="BM926" t="s">
        <v>709</v>
      </c>
      <c r="BN926" t="s">
        <v>709</v>
      </c>
      <c r="BO926" t="s">
        <v>709</v>
      </c>
      <c r="BP926">
        <v>29</v>
      </c>
      <c r="BQ926">
        <v>259</v>
      </c>
      <c r="BR926">
        <v>45</v>
      </c>
      <c r="BS926">
        <v>5</v>
      </c>
      <c r="BT926">
        <v>1</v>
      </c>
      <c r="BU926" t="s">
        <v>709</v>
      </c>
      <c r="BV926" t="s">
        <v>745</v>
      </c>
      <c r="BW926">
        <v>1</v>
      </c>
      <c r="BX926">
        <v>1</v>
      </c>
      <c r="BY926" t="s">
        <v>745</v>
      </c>
      <c r="BZ926" t="s">
        <v>709</v>
      </c>
      <c r="CB926">
        <v>925</v>
      </c>
      <c r="CC926" t="b">
        <v>1</v>
      </c>
      <c r="CD926" t="s">
        <v>5581</v>
      </c>
      <c r="CE926" s="1482">
        <v>45880.737662037034</v>
      </c>
    </row>
    <row r="927" spans="1:83" ht="120" x14ac:dyDescent="0.25">
      <c r="A927">
        <v>2023</v>
      </c>
      <c r="B927" t="s">
        <v>759</v>
      </c>
      <c r="C927" t="s">
        <v>5466</v>
      </c>
      <c r="D927" t="s">
        <v>5467</v>
      </c>
      <c r="E927" t="s">
        <v>3315</v>
      </c>
      <c r="F927" t="s">
        <v>752</v>
      </c>
      <c r="G927" t="s">
        <v>23</v>
      </c>
      <c r="H927" t="s">
        <v>59</v>
      </c>
      <c r="I927">
        <v>44837</v>
      </c>
      <c r="J927">
        <v>45044</v>
      </c>
      <c r="K927">
        <v>45043</v>
      </c>
      <c r="L927">
        <v>1</v>
      </c>
      <c r="N927" t="s">
        <v>120</v>
      </c>
      <c r="O927">
        <v>45047</v>
      </c>
      <c r="P927" t="s">
        <v>120</v>
      </c>
      <c r="Q927">
        <v>14750</v>
      </c>
      <c r="R927" t="s">
        <v>5223</v>
      </c>
      <c r="V927">
        <v>351</v>
      </c>
      <c r="W927">
        <v>1</v>
      </c>
      <c r="X927">
        <v>447973.09</v>
      </c>
      <c r="Z927">
        <v>76281.259999999995</v>
      </c>
      <c r="AA927">
        <v>524254.35</v>
      </c>
      <c r="AB927" t="s">
        <v>709</v>
      </c>
      <c r="AC927" t="s">
        <v>811</v>
      </c>
      <c r="AD927" t="s">
        <v>29</v>
      </c>
      <c r="AM927" t="s">
        <v>709</v>
      </c>
      <c r="AY927" t="s">
        <v>29</v>
      </c>
      <c r="BA927" s="4" t="s">
        <v>5469</v>
      </c>
      <c r="BB927" t="s">
        <v>5470</v>
      </c>
      <c r="BC927" t="s">
        <v>115</v>
      </c>
      <c r="BD927" t="s">
        <v>882</v>
      </c>
      <c r="BE927" s="4" t="s">
        <v>5471</v>
      </c>
      <c r="BF927" t="s">
        <v>115</v>
      </c>
      <c r="BG927" t="s">
        <v>115</v>
      </c>
      <c r="BI927" t="s">
        <v>709</v>
      </c>
      <c r="BJ927" t="s">
        <v>709</v>
      </c>
      <c r="BK927" t="s">
        <v>709</v>
      </c>
      <c r="BL927" t="s">
        <v>116</v>
      </c>
      <c r="BM927" t="s">
        <v>709</v>
      </c>
      <c r="BN927" t="s">
        <v>709</v>
      </c>
      <c r="BO927" t="s">
        <v>709</v>
      </c>
      <c r="BP927">
        <v>130</v>
      </c>
      <c r="BQ927">
        <v>60</v>
      </c>
      <c r="BR927">
        <v>45</v>
      </c>
      <c r="BS927">
        <v>31</v>
      </c>
      <c r="BT927">
        <v>1</v>
      </c>
      <c r="BU927" t="s">
        <v>709</v>
      </c>
      <c r="BV927" t="s">
        <v>745</v>
      </c>
      <c r="BW927">
        <v>1</v>
      </c>
      <c r="BX927" t="s">
        <v>709</v>
      </c>
      <c r="BY927" t="s">
        <v>745</v>
      </c>
      <c r="BZ927" t="s">
        <v>709</v>
      </c>
      <c r="CB927">
        <v>926</v>
      </c>
      <c r="CC927" t="b">
        <v>1</v>
      </c>
      <c r="CD927" t="s">
        <v>5582</v>
      </c>
      <c r="CE927" s="1482">
        <v>45880.737673611111</v>
      </c>
    </row>
    <row r="928" spans="1:83" ht="195" x14ac:dyDescent="0.25">
      <c r="A928">
        <v>2023</v>
      </c>
      <c r="B928" t="s">
        <v>4</v>
      </c>
      <c r="C928" t="s">
        <v>5583</v>
      </c>
      <c r="D928" t="s">
        <v>115</v>
      </c>
      <c r="E928" t="s">
        <v>5584</v>
      </c>
      <c r="F928" t="s">
        <v>784</v>
      </c>
      <c r="G928" t="s">
        <v>33</v>
      </c>
      <c r="H928" t="s">
        <v>1681</v>
      </c>
      <c r="I928">
        <v>45005</v>
      </c>
      <c r="J928">
        <v>45051</v>
      </c>
      <c r="K928">
        <v>45043</v>
      </c>
      <c r="L928">
        <v>8</v>
      </c>
      <c r="N928" t="s">
        <v>120</v>
      </c>
      <c r="O928">
        <v>45043</v>
      </c>
      <c r="P928" t="s">
        <v>739</v>
      </c>
      <c r="Q928" t="s">
        <v>115</v>
      </c>
      <c r="R928" t="s">
        <v>115</v>
      </c>
      <c r="AB928" t="s">
        <v>29</v>
      </c>
      <c r="AC928" t="s">
        <v>709</v>
      </c>
      <c r="AD928" t="s">
        <v>29</v>
      </c>
      <c r="AM928" t="s">
        <v>709</v>
      </c>
      <c r="AY928" t="s">
        <v>29</v>
      </c>
      <c r="BA928" s="4" t="s">
        <v>5585</v>
      </c>
      <c r="BB928" t="s">
        <v>870</v>
      </c>
      <c r="BC928" t="s">
        <v>116</v>
      </c>
      <c r="BD928" t="s">
        <v>709</v>
      </c>
      <c r="BE928" t="s">
        <v>1704</v>
      </c>
      <c r="BF928" t="s">
        <v>709</v>
      </c>
      <c r="BG928" t="s">
        <v>5586</v>
      </c>
      <c r="CB928">
        <v>921</v>
      </c>
      <c r="CC928" t="b">
        <v>1</v>
      </c>
      <c r="CD928" t="s">
        <v>5587</v>
      </c>
      <c r="CE928" s="1482">
        <v>45880.737673611111</v>
      </c>
    </row>
    <row r="929" spans="1:83" ht="225" x14ac:dyDescent="0.25">
      <c r="A929">
        <v>2023</v>
      </c>
      <c r="B929" t="s">
        <v>4</v>
      </c>
      <c r="C929" t="s">
        <v>5588</v>
      </c>
      <c r="D929" t="s">
        <v>5589</v>
      </c>
      <c r="E929" t="s">
        <v>910</v>
      </c>
      <c r="F929" t="s">
        <v>784</v>
      </c>
      <c r="G929" t="s">
        <v>28</v>
      </c>
      <c r="H929" t="s">
        <v>59</v>
      </c>
      <c r="I929">
        <v>44943</v>
      </c>
      <c r="J929">
        <v>45044</v>
      </c>
      <c r="K929">
        <v>45043</v>
      </c>
      <c r="L929">
        <v>1</v>
      </c>
      <c r="N929" t="s">
        <v>120</v>
      </c>
      <c r="O929">
        <v>45047</v>
      </c>
      <c r="P929" t="s">
        <v>739</v>
      </c>
      <c r="Q929">
        <v>43104.550999999999</v>
      </c>
      <c r="R929">
        <v>0.1</v>
      </c>
      <c r="V929">
        <v>910</v>
      </c>
      <c r="W929">
        <v>0</v>
      </c>
      <c r="X929">
        <v>392116.01</v>
      </c>
      <c r="Z929">
        <v>38929.5</v>
      </c>
      <c r="AA929">
        <v>431045.51</v>
      </c>
      <c r="AB929">
        <v>45069</v>
      </c>
      <c r="AC929" t="s">
        <v>1177</v>
      </c>
      <c r="AD929" t="s">
        <v>29</v>
      </c>
      <c r="AM929" t="s">
        <v>116</v>
      </c>
      <c r="AN929">
        <v>45082</v>
      </c>
      <c r="AO929">
        <v>11060212</v>
      </c>
      <c r="AP929">
        <v>392856.17</v>
      </c>
      <c r="AR929">
        <v>38929.5</v>
      </c>
      <c r="AS929">
        <v>431785.67</v>
      </c>
      <c r="AT929">
        <v>740.16</v>
      </c>
      <c r="AU929">
        <v>74.016000000000005</v>
      </c>
      <c r="AV929" t="s">
        <v>709</v>
      </c>
      <c r="AX929">
        <v>74.016000000000005</v>
      </c>
      <c r="AY929">
        <v>45200</v>
      </c>
      <c r="BA929" s="4" t="s">
        <v>5590</v>
      </c>
      <c r="BB929" t="s">
        <v>912</v>
      </c>
      <c r="BC929" t="s">
        <v>709</v>
      </c>
      <c r="BD929" t="s">
        <v>882</v>
      </c>
      <c r="BE929" t="s">
        <v>913</v>
      </c>
      <c r="BF929" t="s">
        <v>709</v>
      </c>
      <c r="BG929" t="s">
        <v>709</v>
      </c>
      <c r="BI929" t="s">
        <v>709</v>
      </c>
      <c r="BJ929" t="s">
        <v>709</v>
      </c>
      <c r="BK929" t="s">
        <v>709</v>
      </c>
      <c r="BL929" t="s">
        <v>116</v>
      </c>
      <c r="BM929" t="s">
        <v>709</v>
      </c>
      <c r="BN929" t="s">
        <v>709</v>
      </c>
      <c r="BO929" t="s">
        <v>709</v>
      </c>
      <c r="BP929" t="s">
        <v>709</v>
      </c>
      <c r="BQ929">
        <v>140</v>
      </c>
      <c r="BR929" t="s">
        <v>709</v>
      </c>
      <c r="BS929">
        <v>770</v>
      </c>
      <c r="BT929" t="s">
        <v>745</v>
      </c>
      <c r="BU929" t="s">
        <v>709</v>
      </c>
      <c r="BV929" t="s">
        <v>745</v>
      </c>
      <c r="BW929" t="s">
        <v>709</v>
      </c>
      <c r="BX929" t="s">
        <v>745</v>
      </c>
      <c r="BY929" t="s">
        <v>745</v>
      </c>
      <c r="BZ929" t="s">
        <v>709</v>
      </c>
      <c r="CB929">
        <v>924</v>
      </c>
      <c r="CC929" t="b">
        <v>1</v>
      </c>
      <c r="CD929" t="s">
        <v>5591</v>
      </c>
      <c r="CE929" s="1482">
        <v>45880.737673611111</v>
      </c>
    </row>
    <row r="930" spans="1:83" ht="285" x14ac:dyDescent="0.25">
      <c r="A930">
        <v>2023</v>
      </c>
      <c r="B930" t="s">
        <v>4</v>
      </c>
      <c r="C930" t="s">
        <v>1473</v>
      </c>
      <c r="D930" t="s">
        <v>1474</v>
      </c>
      <c r="E930" t="s">
        <v>1154</v>
      </c>
      <c r="F930" t="s">
        <v>747</v>
      </c>
      <c r="G930" t="s">
        <v>28</v>
      </c>
      <c r="H930" t="s">
        <v>59</v>
      </c>
      <c r="I930">
        <v>44939</v>
      </c>
      <c r="J930">
        <v>45044</v>
      </c>
      <c r="K930">
        <v>45044</v>
      </c>
      <c r="L930">
        <v>0</v>
      </c>
      <c r="N930" t="s">
        <v>120</v>
      </c>
      <c r="O930">
        <v>45047</v>
      </c>
      <c r="P930" t="s">
        <v>739</v>
      </c>
      <c r="Q930">
        <v>82497.73</v>
      </c>
      <c r="R930">
        <v>0.1</v>
      </c>
      <c r="V930">
        <v>2410</v>
      </c>
      <c r="W930">
        <v>0</v>
      </c>
      <c r="X930">
        <v>756203.8</v>
      </c>
      <c r="Z930">
        <v>68773.5</v>
      </c>
      <c r="AA930">
        <v>824977.3</v>
      </c>
      <c r="AB930">
        <v>45054</v>
      </c>
      <c r="AC930" t="s">
        <v>1177</v>
      </c>
      <c r="AD930" t="s">
        <v>116</v>
      </c>
      <c r="AM930" t="s">
        <v>116</v>
      </c>
      <c r="AN930" t="s">
        <v>709</v>
      </c>
      <c r="AO930" t="s">
        <v>115</v>
      </c>
      <c r="AS930">
        <v>0</v>
      </c>
      <c r="AT930">
        <v>0</v>
      </c>
      <c r="AU930">
        <v>0</v>
      </c>
      <c r="AY930" t="s">
        <v>709</v>
      </c>
      <c r="AZ930">
        <v>84</v>
      </c>
      <c r="BA930" s="4" t="s">
        <v>1475</v>
      </c>
      <c r="BB930" t="s">
        <v>1380</v>
      </c>
      <c r="BC930" t="s">
        <v>116</v>
      </c>
      <c r="BD930" t="s">
        <v>709</v>
      </c>
      <c r="BE930" t="s">
        <v>1381</v>
      </c>
      <c r="BF930" t="s">
        <v>709</v>
      </c>
      <c r="BG930" t="s">
        <v>709</v>
      </c>
      <c r="BH930" t="s">
        <v>1476</v>
      </c>
      <c r="BI930" t="s">
        <v>709</v>
      </c>
      <c r="BJ930" t="s">
        <v>709</v>
      </c>
      <c r="BK930" t="s">
        <v>709</v>
      </c>
      <c r="BL930" t="s">
        <v>116</v>
      </c>
      <c r="BM930" t="s">
        <v>709</v>
      </c>
      <c r="BN930" t="s">
        <v>709</v>
      </c>
      <c r="BO930" t="s">
        <v>709</v>
      </c>
      <c r="BP930" t="s">
        <v>709</v>
      </c>
      <c r="BQ930">
        <v>733</v>
      </c>
      <c r="BR930">
        <v>904</v>
      </c>
      <c r="BS930">
        <v>773</v>
      </c>
      <c r="BT930" t="s">
        <v>745</v>
      </c>
      <c r="BU930" t="s">
        <v>709</v>
      </c>
      <c r="BV930" t="s">
        <v>745</v>
      </c>
      <c r="BW930" t="s">
        <v>709</v>
      </c>
      <c r="BX930" t="s">
        <v>745</v>
      </c>
      <c r="BY930" t="s">
        <v>745</v>
      </c>
      <c r="BZ930" t="s">
        <v>709</v>
      </c>
      <c r="CB930">
        <v>928</v>
      </c>
      <c r="CC930" t="b">
        <v>1</v>
      </c>
      <c r="CD930" t="s">
        <v>5592</v>
      </c>
      <c r="CE930" s="1482">
        <v>45880.737685185188</v>
      </c>
    </row>
    <row r="931" spans="1:83" x14ac:dyDescent="0.25">
      <c r="A931">
        <v>2023</v>
      </c>
      <c r="B931" t="s">
        <v>4</v>
      </c>
      <c r="C931" t="s">
        <v>5593</v>
      </c>
      <c r="D931" t="s">
        <v>5594</v>
      </c>
      <c r="E931" t="s">
        <v>4500</v>
      </c>
      <c r="F931" t="s">
        <v>784</v>
      </c>
      <c r="G931" t="s">
        <v>33</v>
      </c>
      <c r="H931" t="s">
        <v>59</v>
      </c>
      <c r="I931">
        <v>44977</v>
      </c>
      <c r="J931">
        <v>45051</v>
      </c>
      <c r="K931">
        <v>45050</v>
      </c>
      <c r="L931">
        <v>1</v>
      </c>
      <c r="N931" t="s">
        <v>120</v>
      </c>
      <c r="O931">
        <v>45047</v>
      </c>
      <c r="P931" t="s">
        <v>739</v>
      </c>
      <c r="Q931">
        <v>15410.507</v>
      </c>
      <c r="R931">
        <v>0.1</v>
      </c>
      <c r="V931">
        <v>559</v>
      </c>
      <c r="W931">
        <v>0</v>
      </c>
      <c r="X931">
        <v>145298.94</v>
      </c>
      <c r="Z931">
        <v>8806.1299999999992</v>
      </c>
      <c r="AA931">
        <v>154105.07</v>
      </c>
      <c r="AB931">
        <v>45054</v>
      </c>
      <c r="AC931" t="s">
        <v>1177</v>
      </c>
      <c r="AD931" t="s">
        <v>29</v>
      </c>
      <c r="AE931" t="s">
        <v>29</v>
      </c>
      <c r="AF931" t="s">
        <v>29</v>
      </c>
      <c r="AG931" t="s">
        <v>29</v>
      </c>
      <c r="AH931" t="s">
        <v>29</v>
      </c>
      <c r="AM931" t="s">
        <v>116</v>
      </c>
      <c r="AN931">
        <v>45068</v>
      </c>
      <c r="AO931">
        <v>11059596</v>
      </c>
      <c r="AP931">
        <v>145298.94</v>
      </c>
      <c r="AR931">
        <v>9089.0400000000009</v>
      </c>
      <c r="AS931">
        <v>154387.98000000001</v>
      </c>
      <c r="AT931">
        <v>282.91000000000003</v>
      </c>
      <c r="AU931">
        <v>28.291</v>
      </c>
      <c r="AV931" t="s">
        <v>709</v>
      </c>
      <c r="AX931">
        <v>28.291</v>
      </c>
      <c r="AY931">
        <v>45200</v>
      </c>
      <c r="BA931" t="s">
        <v>5595</v>
      </c>
      <c r="BB931" t="s">
        <v>5596</v>
      </c>
      <c r="BC931" t="s">
        <v>709</v>
      </c>
      <c r="BD931" t="s">
        <v>1227</v>
      </c>
      <c r="BE931" t="s">
        <v>5597</v>
      </c>
      <c r="BF931" t="s">
        <v>709</v>
      </c>
      <c r="BG931" t="s">
        <v>709</v>
      </c>
      <c r="BH931" t="s">
        <v>5598</v>
      </c>
      <c r="BI931" t="s">
        <v>709</v>
      </c>
      <c r="BJ931" t="s">
        <v>709</v>
      </c>
      <c r="BK931" t="s">
        <v>709</v>
      </c>
      <c r="BL931" t="s">
        <v>116</v>
      </c>
      <c r="BM931" t="s">
        <v>709</v>
      </c>
      <c r="BN931" t="s">
        <v>709</v>
      </c>
      <c r="BO931" t="s">
        <v>709</v>
      </c>
      <c r="BP931" t="s">
        <v>709</v>
      </c>
      <c r="BQ931" t="s">
        <v>709</v>
      </c>
      <c r="BR931" t="s">
        <v>709</v>
      </c>
      <c r="BS931">
        <v>559</v>
      </c>
      <c r="BT931" t="s">
        <v>745</v>
      </c>
      <c r="BU931" t="s">
        <v>709</v>
      </c>
      <c r="BV931" t="s">
        <v>745</v>
      </c>
      <c r="BW931" t="s">
        <v>709</v>
      </c>
      <c r="BX931" t="s">
        <v>709</v>
      </c>
      <c r="BY931" t="s">
        <v>745</v>
      </c>
      <c r="BZ931" t="s">
        <v>709</v>
      </c>
      <c r="CB931">
        <v>929</v>
      </c>
      <c r="CC931" t="b">
        <v>1</v>
      </c>
      <c r="CD931" t="s">
        <v>5599</v>
      </c>
      <c r="CE931" s="1482">
        <v>45880.737685185188</v>
      </c>
    </row>
    <row r="932" spans="1:83" ht="240" x14ac:dyDescent="0.25">
      <c r="A932">
        <v>2024</v>
      </c>
      <c r="B932" t="s">
        <v>4</v>
      </c>
      <c r="C932" t="s">
        <v>5600</v>
      </c>
      <c r="D932" t="s">
        <v>5601</v>
      </c>
      <c r="E932" t="s">
        <v>373</v>
      </c>
      <c r="F932" t="s">
        <v>784</v>
      </c>
      <c r="G932" t="s">
        <v>27</v>
      </c>
      <c r="H932" t="s">
        <v>1903</v>
      </c>
      <c r="I932">
        <v>44784</v>
      </c>
      <c r="J932">
        <v>45107</v>
      </c>
      <c r="K932">
        <v>45054</v>
      </c>
      <c r="L932">
        <v>53</v>
      </c>
      <c r="N932" t="s">
        <v>120</v>
      </c>
      <c r="O932">
        <v>45047</v>
      </c>
      <c r="P932" t="s">
        <v>739</v>
      </c>
      <c r="Q932" t="s">
        <v>115</v>
      </c>
      <c r="R932" t="s">
        <v>115</v>
      </c>
      <c r="AB932" t="s">
        <v>29</v>
      </c>
      <c r="AC932" t="s">
        <v>1177</v>
      </c>
      <c r="AD932" t="s">
        <v>29</v>
      </c>
      <c r="AH932">
        <v>45000</v>
      </c>
      <c r="AM932" t="s">
        <v>709</v>
      </c>
      <c r="AY932" t="s">
        <v>29</v>
      </c>
      <c r="BA932" s="4" t="s">
        <v>1447</v>
      </c>
      <c r="BB932" t="s">
        <v>905</v>
      </c>
      <c r="BC932" t="s">
        <v>116</v>
      </c>
      <c r="BD932" t="s">
        <v>1448</v>
      </c>
      <c r="BE932" t="s">
        <v>1449</v>
      </c>
      <c r="BF932" t="s">
        <v>1450</v>
      </c>
      <c r="BG932" t="s">
        <v>709</v>
      </c>
      <c r="BI932" t="s">
        <v>709</v>
      </c>
      <c r="BJ932" t="s">
        <v>116</v>
      </c>
      <c r="BK932" t="s">
        <v>709</v>
      </c>
      <c r="BL932" t="s">
        <v>709</v>
      </c>
      <c r="BM932" t="s">
        <v>709</v>
      </c>
      <c r="BN932" t="s">
        <v>709</v>
      </c>
      <c r="BO932" t="s">
        <v>709</v>
      </c>
      <c r="BP932" t="s">
        <v>709</v>
      </c>
      <c r="BQ932" t="s">
        <v>709</v>
      </c>
      <c r="BR932">
        <v>978</v>
      </c>
      <c r="BS932" t="s">
        <v>709</v>
      </c>
      <c r="BT932" t="s">
        <v>745</v>
      </c>
      <c r="BU932" t="s">
        <v>709</v>
      </c>
      <c r="BV932" t="s">
        <v>745</v>
      </c>
      <c r="BW932" t="s">
        <v>709</v>
      </c>
      <c r="BX932" t="s">
        <v>745</v>
      </c>
      <c r="BY932" t="s">
        <v>745</v>
      </c>
      <c r="CB932">
        <v>930</v>
      </c>
      <c r="CC932" t="b">
        <v>1</v>
      </c>
      <c r="CD932" t="s">
        <v>5602</v>
      </c>
      <c r="CE932" s="1482">
        <v>45880.737696759257</v>
      </c>
    </row>
    <row r="933" spans="1:83" x14ac:dyDescent="0.25">
      <c r="A933">
        <v>2024</v>
      </c>
      <c r="B933" t="s">
        <v>4</v>
      </c>
      <c r="C933" t="s">
        <v>5600</v>
      </c>
      <c r="D933" t="s">
        <v>1451</v>
      </c>
      <c r="E933" t="s">
        <v>373</v>
      </c>
      <c r="F933" t="s">
        <v>784</v>
      </c>
      <c r="G933" t="s">
        <v>27</v>
      </c>
      <c r="H933" t="s">
        <v>4646</v>
      </c>
      <c r="I933">
        <v>44991</v>
      </c>
      <c r="J933" t="s">
        <v>4110</v>
      </c>
      <c r="K933">
        <v>45054</v>
      </c>
      <c r="L933">
        <v>63</v>
      </c>
      <c r="M933" t="s">
        <v>5547</v>
      </c>
      <c r="N933" t="s">
        <v>120</v>
      </c>
      <c r="O933">
        <v>45047</v>
      </c>
      <c r="P933" t="s">
        <v>739</v>
      </c>
      <c r="Q933">
        <v>3370</v>
      </c>
      <c r="R933" t="s">
        <v>1922</v>
      </c>
      <c r="S933">
        <v>0</v>
      </c>
      <c r="U933">
        <v>3370</v>
      </c>
      <c r="AB933" t="s">
        <v>29</v>
      </c>
      <c r="AC933" t="s">
        <v>1177</v>
      </c>
      <c r="AD933" t="s">
        <v>29</v>
      </c>
      <c r="AH933">
        <v>45000</v>
      </c>
      <c r="AM933" t="s">
        <v>709</v>
      </c>
      <c r="AY933" t="s">
        <v>29</v>
      </c>
      <c r="BA933" t="s">
        <v>29</v>
      </c>
      <c r="BB933" t="s">
        <v>29</v>
      </c>
      <c r="BC933" t="s">
        <v>29</v>
      </c>
      <c r="BI933" t="s">
        <v>709</v>
      </c>
      <c r="BJ933" t="s">
        <v>116</v>
      </c>
      <c r="BK933" t="s">
        <v>709</v>
      </c>
      <c r="BL933" t="s">
        <v>709</v>
      </c>
      <c r="BM933" t="s">
        <v>709</v>
      </c>
      <c r="BN933" t="s">
        <v>709</v>
      </c>
      <c r="BO933" t="s">
        <v>709</v>
      </c>
      <c r="BP933" t="s">
        <v>709</v>
      </c>
      <c r="BQ933" t="s">
        <v>709</v>
      </c>
      <c r="BR933">
        <v>978</v>
      </c>
      <c r="BS933" t="s">
        <v>709</v>
      </c>
      <c r="BT933" t="s">
        <v>745</v>
      </c>
      <c r="BU933" t="s">
        <v>709</v>
      </c>
      <c r="BV933" t="s">
        <v>745</v>
      </c>
      <c r="BW933" t="s">
        <v>709</v>
      </c>
      <c r="BX933" t="s">
        <v>745</v>
      </c>
      <c r="BY933" t="s">
        <v>745</v>
      </c>
      <c r="BZ933" t="s">
        <v>709</v>
      </c>
      <c r="CB933">
        <v>931</v>
      </c>
      <c r="CC933" t="b">
        <v>1</v>
      </c>
      <c r="CD933" t="s">
        <v>5603</v>
      </c>
      <c r="CE933" s="1482">
        <v>45880.737696759257</v>
      </c>
    </row>
    <row r="934" spans="1:83" x14ac:dyDescent="0.25">
      <c r="A934">
        <v>2023</v>
      </c>
      <c r="B934" t="s">
        <v>771</v>
      </c>
      <c r="C934" t="s">
        <v>5425</v>
      </c>
      <c r="D934">
        <v>1212067</v>
      </c>
      <c r="E934" t="s">
        <v>2350</v>
      </c>
      <c r="F934" t="s">
        <v>5604</v>
      </c>
      <c r="G934" t="s">
        <v>31</v>
      </c>
      <c r="H934" t="s">
        <v>4462</v>
      </c>
      <c r="I934">
        <v>45054</v>
      </c>
      <c r="J934" t="s">
        <v>2052</v>
      </c>
      <c r="K934">
        <v>45055</v>
      </c>
      <c r="L934">
        <v>1</v>
      </c>
      <c r="M934" t="s">
        <v>5605</v>
      </c>
      <c r="N934" t="s">
        <v>120</v>
      </c>
      <c r="O934">
        <v>45055</v>
      </c>
      <c r="P934" t="s">
        <v>120</v>
      </c>
      <c r="Q934" t="s">
        <v>115</v>
      </c>
      <c r="R934" t="s">
        <v>115</v>
      </c>
      <c r="AB934" t="s">
        <v>29</v>
      </c>
      <c r="AC934" t="s">
        <v>29</v>
      </c>
      <c r="AD934" t="s">
        <v>29</v>
      </c>
      <c r="AM934" t="s">
        <v>709</v>
      </c>
      <c r="AY934" t="s">
        <v>29</v>
      </c>
      <c r="BA934">
        <v>1</v>
      </c>
      <c r="BB934" t="s">
        <v>29</v>
      </c>
      <c r="BI934" t="s">
        <v>709</v>
      </c>
      <c r="BJ934" t="s">
        <v>709</v>
      </c>
      <c r="BK934" t="s">
        <v>709</v>
      </c>
      <c r="BL934" t="s">
        <v>116</v>
      </c>
      <c r="BM934" t="s">
        <v>709</v>
      </c>
      <c r="BN934" t="s">
        <v>709</v>
      </c>
      <c r="BO934" t="s">
        <v>709</v>
      </c>
      <c r="BP934" t="s">
        <v>709</v>
      </c>
      <c r="BQ934" t="s">
        <v>709</v>
      </c>
      <c r="BR934" t="s">
        <v>709</v>
      </c>
      <c r="BS934">
        <v>2620</v>
      </c>
      <c r="BT934" t="s">
        <v>709</v>
      </c>
      <c r="BU934" t="s">
        <v>709</v>
      </c>
      <c r="BV934" t="s">
        <v>709</v>
      </c>
      <c r="BW934" t="s">
        <v>709</v>
      </c>
      <c r="BX934" t="s">
        <v>745</v>
      </c>
      <c r="BY934" t="s">
        <v>709</v>
      </c>
      <c r="BZ934" t="s">
        <v>709</v>
      </c>
      <c r="CB934">
        <v>933</v>
      </c>
      <c r="CC934" t="b">
        <v>1</v>
      </c>
      <c r="CD934" t="s">
        <v>5606</v>
      </c>
      <c r="CE934" s="1482">
        <v>45880.737708333334</v>
      </c>
    </row>
    <row r="935" spans="1:83" ht="300" x14ac:dyDescent="0.25">
      <c r="A935">
        <v>2023</v>
      </c>
      <c r="B935" t="s">
        <v>771</v>
      </c>
      <c r="C935" t="s">
        <v>447</v>
      </c>
      <c r="D935" t="s">
        <v>1477</v>
      </c>
      <c r="E935" t="s">
        <v>327</v>
      </c>
      <c r="F935" t="s">
        <v>784</v>
      </c>
      <c r="G935" t="s">
        <v>23</v>
      </c>
      <c r="H935" t="s">
        <v>59</v>
      </c>
      <c r="I935">
        <v>44939</v>
      </c>
      <c r="J935">
        <v>45056</v>
      </c>
      <c r="K935">
        <v>45055</v>
      </c>
      <c r="L935">
        <v>1</v>
      </c>
      <c r="N935" t="s">
        <v>120</v>
      </c>
      <c r="O935">
        <v>45047</v>
      </c>
      <c r="P935" t="s">
        <v>120</v>
      </c>
      <c r="Q935">
        <v>113072.5935</v>
      </c>
      <c r="R935">
        <v>0.09</v>
      </c>
      <c r="V935">
        <v>1338</v>
      </c>
      <c r="W935">
        <v>0</v>
      </c>
      <c r="X935">
        <v>1222821.21</v>
      </c>
      <c r="Z935">
        <v>33540.94</v>
      </c>
      <c r="AA935">
        <v>1256362.1499999999</v>
      </c>
      <c r="AB935">
        <v>45056</v>
      </c>
      <c r="AC935" t="s">
        <v>1177</v>
      </c>
      <c r="AD935" t="s">
        <v>116</v>
      </c>
      <c r="AM935" t="s">
        <v>116</v>
      </c>
      <c r="AN935">
        <v>45547</v>
      </c>
      <c r="AO935">
        <v>11058971</v>
      </c>
      <c r="AP935">
        <v>2216288.62</v>
      </c>
      <c r="AR935">
        <v>157300.5</v>
      </c>
      <c r="AS935">
        <v>2373589.12</v>
      </c>
      <c r="AT935">
        <v>1117226.97</v>
      </c>
      <c r="AU935">
        <v>100550.4273</v>
      </c>
      <c r="AV935">
        <v>9070</v>
      </c>
      <c r="AW935" t="s">
        <v>5607</v>
      </c>
      <c r="AX935">
        <v>0</v>
      </c>
      <c r="AY935">
        <v>45901</v>
      </c>
      <c r="AZ935">
        <v>42</v>
      </c>
      <c r="BA935" t="s">
        <v>1478</v>
      </c>
      <c r="BB935" s="4" t="s">
        <v>1479</v>
      </c>
      <c r="BC935" t="s">
        <v>709</v>
      </c>
      <c r="BD935" t="s">
        <v>115</v>
      </c>
      <c r="BE935" t="s">
        <v>448</v>
      </c>
      <c r="BF935" t="s">
        <v>115</v>
      </c>
      <c r="BG935" t="s">
        <v>1480</v>
      </c>
      <c r="BH935" t="s">
        <v>1481</v>
      </c>
      <c r="BI935" t="s">
        <v>709</v>
      </c>
      <c r="BJ935" t="s">
        <v>709</v>
      </c>
      <c r="BK935" t="s">
        <v>709</v>
      </c>
      <c r="BL935" t="s">
        <v>116</v>
      </c>
      <c r="BM935" t="s">
        <v>709</v>
      </c>
      <c r="BN935" t="s">
        <v>709</v>
      </c>
      <c r="BO935" t="s">
        <v>709</v>
      </c>
      <c r="BP935">
        <v>1309</v>
      </c>
      <c r="BQ935" t="s">
        <v>709</v>
      </c>
      <c r="BR935" t="s">
        <v>709</v>
      </c>
      <c r="BS935">
        <v>29</v>
      </c>
      <c r="BT935" t="s">
        <v>709</v>
      </c>
      <c r="BU935" t="s">
        <v>709</v>
      </c>
      <c r="BV935" t="s">
        <v>745</v>
      </c>
      <c r="BW935" t="s">
        <v>709</v>
      </c>
      <c r="BX935" t="s">
        <v>709</v>
      </c>
      <c r="BY935" t="s">
        <v>745</v>
      </c>
      <c r="BZ935" t="s">
        <v>709</v>
      </c>
      <c r="CB935">
        <v>932</v>
      </c>
      <c r="CC935" t="b">
        <v>1</v>
      </c>
      <c r="CD935" t="s">
        <v>5608</v>
      </c>
      <c r="CE935" s="1482">
        <v>45880.737719907411</v>
      </c>
    </row>
    <row r="936" spans="1:83" ht="90" x14ac:dyDescent="0.25">
      <c r="A936">
        <v>2023</v>
      </c>
      <c r="B936" t="s">
        <v>771</v>
      </c>
      <c r="C936" t="s">
        <v>5609</v>
      </c>
      <c r="D936" t="s">
        <v>5610</v>
      </c>
      <c r="E936" t="s">
        <v>1404</v>
      </c>
      <c r="F936" t="s">
        <v>784</v>
      </c>
      <c r="G936" t="s">
        <v>36</v>
      </c>
      <c r="H936" t="s">
        <v>59</v>
      </c>
      <c r="I936">
        <v>44875</v>
      </c>
      <c r="J936">
        <v>45058</v>
      </c>
      <c r="K936">
        <v>45056</v>
      </c>
      <c r="L936">
        <v>2</v>
      </c>
      <c r="N936" t="s">
        <v>120</v>
      </c>
      <c r="O936">
        <v>45047</v>
      </c>
      <c r="P936" t="s">
        <v>120</v>
      </c>
      <c r="Q936">
        <v>34500.995999999999</v>
      </c>
      <c r="R936">
        <v>0.09</v>
      </c>
      <c r="V936">
        <v>2621</v>
      </c>
      <c r="W936">
        <v>0</v>
      </c>
      <c r="X936">
        <v>329415.33</v>
      </c>
      <c r="Z936">
        <v>53929.07</v>
      </c>
      <c r="AA936">
        <v>383344.4</v>
      </c>
      <c r="AB936">
        <v>45057</v>
      </c>
      <c r="AC936" t="s">
        <v>1177</v>
      </c>
      <c r="AD936" t="s">
        <v>116</v>
      </c>
      <c r="AE936" t="s">
        <v>29</v>
      </c>
      <c r="AF936" t="s">
        <v>29</v>
      </c>
      <c r="AG936" t="s">
        <v>29</v>
      </c>
      <c r="AH936" t="s">
        <v>29</v>
      </c>
      <c r="AM936" t="s">
        <v>116</v>
      </c>
      <c r="AN936">
        <v>45133</v>
      </c>
      <c r="AO936">
        <v>11067806</v>
      </c>
      <c r="AP936">
        <v>329479.89</v>
      </c>
      <c r="AR936">
        <v>56548.07</v>
      </c>
      <c r="AS936">
        <v>386027.96</v>
      </c>
      <c r="AT936">
        <v>2683.56</v>
      </c>
      <c r="AU936">
        <v>241.5204</v>
      </c>
      <c r="AV936" t="s">
        <v>709</v>
      </c>
      <c r="AX936">
        <v>241.5204</v>
      </c>
      <c r="AY936">
        <v>45352</v>
      </c>
      <c r="BA936" t="s">
        <v>5611</v>
      </c>
      <c r="BB936" s="4" t="s">
        <v>5612</v>
      </c>
      <c r="BC936" t="s">
        <v>709</v>
      </c>
      <c r="BD936" t="s">
        <v>115</v>
      </c>
      <c r="BE936" t="s">
        <v>115</v>
      </c>
      <c r="BF936" t="s">
        <v>5613</v>
      </c>
      <c r="BG936" t="s">
        <v>115</v>
      </c>
      <c r="BH936" t="s">
        <v>5614</v>
      </c>
      <c r="BI936" t="s">
        <v>709</v>
      </c>
      <c r="BJ936" t="s">
        <v>709</v>
      </c>
      <c r="BK936" t="s">
        <v>709</v>
      </c>
      <c r="BL936" t="s">
        <v>116</v>
      </c>
      <c r="BM936" t="s">
        <v>709</v>
      </c>
      <c r="BN936" t="s">
        <v>709</v>
      </c>
      <c r="BO936" t="s">
        <v>709</v>
      </c>
      <c r="BP936" t="s">
        <v>709</v>
      </c>
      <c r="BQ936" t="s">
        <v>709</v>
      </c>
      <c r="BR936" t="s">
        <v>709</v>
      </c>
      <c r="BS936">
        <v>2621</v>
      </c>
      <c r="BT936" t="s">
        <v>745</v>
      </c>
      <c r="BU936" t="s">
        <v>709</v>
      </c>
      <c r="BV936" t="s">
        <v>745</v>
      </c>
      <c r="BW936" t="s">
        <v>709</v>
      </c>
      <c r="BX936" t="s">
        <v>745</v>
      </c>
      <c r="BY936" t="s">
        <v>745</v>
      </c>
      <c r="BZ936" t="s">
        <v>709</v>
      </c>
      <c r="CB936">
        <v>934</v>
      </c>
      <c r="CC936" t="b">
        <v>1</v>
      </c>
      <c r="CD936" t="s">
        <v>5615</v>
      </c>
      <c r="CE936" s="1482">
        <v>45880.737719907411</v>
      </c>
    </row>
    <row r="937" spans="1:83" ht="375" x14ac:dyDescent="0.25">
      <c r="A937">
        <v>2023</v>
      </c>
      <c r="B937" t="s">
        <v>4</v>
      </c>
      <c r="C937" t="s">
        <v>5616</v>
      </c>
      <c r="D937" t="s">
        <v>115</v>
      </c>
      <c r="E937" t="s">
        <v>1149</v>
      </c>
      <c r="F937" t="s">
        <v>747</v>
      </c>
      <c r="G937" t="s">
        <v>33</v>
      </c>
      <c r="H937" t="s">
        <v>1681</v>
      </c>
      <c r="I937">
        <v>44914</v>
      </c>
      <c r="J937">
        <v>45063</v>
      </c>
      <c r="K937">
        <v>45056</v>
      </c>
      <c r="L937">
        <v>7</v>
      </c>
      <c r="N937" t="s">
        <v>120</v>
      </c>
      <c r="O937">
        <v>45047</v>
      </c>
      <c r="P937" t="s">
        <v>739</v>
      </c>
      <c r="Q937" t="s">
        <v>115</v>
      </c>
      <c r="R937" t="s">
        <v>115</v>
      </c>
      <c r="AB937" t="s">
        <v>29</v>
      </c>
      <c r="AC937" t="s">
        <v>1177</v>
      </c>
      <c r="AD937" t="s">
        <v>29</v>
      </c>
      <c r="AM937" t="s">
        <v>709</v>
      </c>
      <c r="AY937" t="s">
        <v>29</v>
      </c>
      <c r="BA937" s="4" t="s">
        <v>5617</v>
      </c>
      <c r="BB937" t="s">
        <v>5618</v>
      </c>
      <c r="BC937" t="s">
        <v>709</v>
      </c>
      <c r="BD937" t="s">
        <v>788</v>
      </c>
      <c r="BE937" t="s">
        <v>1835</v>
      </c>
      <c r="BF937" t="s">
        <v>1835</v>
      </c>
      <c r="BG937" t="s">
        <v>5619</v>
      </c>
      <c r="CA937" t="s">
        <v>915</v>
      </c>
      <c r="CB937">
        <v>935</v>
      </c>
      <c r="CC937" t="b">
        <v>1</v>
      </c>
      <c r="CD937" t="s">
        <v>5620</v>
      </c>
      <c r="CE937" s="1482">
        <v>45880.73773148148</v>
      </c>
    </row>
    <row r="938" spans="1:83" x14ac:dyDescent="0.25">
      <c r="A938">
        <v>2023</v>
      </c>
      <c r="B938" t="s">
        <v>4</v>
      </c>
      <c r="C938" t="s">
        <v>1482</v>
      </c>
      <c r="D938" t="s">
        <v>1483</v>
      </c>
      <c r="E938" t="s">
        <v>354</v>
      </c>
      <c r="F938" t="s">
        <v>784</v>
      </c>
      <c r="G938" t="s">
        <v>27</v>
      </c>
      <c r="H938" t="s">
        <v>59</v>
      </c>
      <c r="I938">
        <v>44974</v>
      </c>
      <c r="J938">
        <v>45058</v>
      </c>
      <c r="K938">
        <v>45057</v>
      </c>
      <c r="L938">
        <v>1</v>
      </c>
      <c r="N938" t="s">
        <v>120</v>
      </c>
      <c r="O938">
        <v>45061</v>
      </c>
      <c r="P938" t="s">
        <v>739</v>
      </c>
      <c r="Q938">
        <v>5264.8130000000001</v>
      </c>
      <c r="R938">
        <v>0.1</v>
      </c>
      <c r="V938">
        <v>0</v>
      </c>
      <c r="W938">
        <v>0</v>
      </c>
      <c r="X938">
        <v>0</v>
      </c>
      <c r="Z938">
        <v>52648.13</v>
      </c>
      <c r="AA938">
        <v>52648.13</v>
      </c>
      <c r="AB938" t="s">
        <v>29</v>
      </c>
      <c r="AC938" t="s">
        <v>709</v>
      </c>
      <c r="AD938" t="s">
        <v>29</v>
      </c>
      <c r="AE938" t="s">
        <v>116</v>
      </c>
      <c r="AF938" t="s">
        <v>29</v>
      </c>
      <c r="AG938" t="s">
        <v>29</v>
      </c>
      <c r="AH938">
        <v>45160</v>
      </c>
      <c r="AM938" t="s">
        <v>116</v>
      </c>
      <c r="AN938">
        <v>45784</v>
      </c>
      <c r="AO938">
        <v>11058546</v>
      </c>
      <c r="AP938">
        <v>0</v>
      </c>
      <c r="AR938">
        <v>83623.070000000007</v>
      </c>
      <c r="AS938">
        <v>83623.070000000007</v>
      </c>
      <c r="AT938">
        <v>30974.94</v>
      </c>
      <c r="AU938">
        <v>3097.4940000000001</v>
      </c>
      <c r="AV938">
        <v>0</v>
      </c>
      <c r="AW938" t="s">
        <v>5621</v>
      </c>
      <c r="AX938">
        <v>3097.4940000000001</v>
      </c>
      <c r="AY938">
        <v>45901</v>
      </c>
      <c r="AZ938">
        <v>85</v>
      </c>
      <c r="BA938" t="s">
        <v>1484</v>
      </c>
      <c r="BB938" t="s">
        <v>1485</v>
      </c>
      <c r="BC938" t="s">
        <v>709</v>
      </c>
      <c r="BD938" t="s">
        <v>709</v>
      </c>
      <c r="BE938" t="s">
        <v>588</v>
      </c>
      <c r="BF938" t="s">
        <v>709</v>
      </c>
      <c r="BG938" t="s">
        <v>709</v>
      </c>
      <c r="BH938" t="s">
        <v>1486</v>
      </c>
      <c r="BI938" t="s">
        <v>709</v>
      </c>
      <c r="BJ938" t="s">
        <v>709</v>
      </c>
      <c r="BK938" t="s">
        <v>709</v>
      </c>
      <c r="BL938" t="s">
        <v>709</v>
      </c>
      <c r="BM938" t="s">
        <v>709</v>
      </c>
      <c r="BN938" t="s">
        <v>709</v>
      </c>
      <c r="BO938" t="s">
        <v>709</v>
      </c>
      <c r="BP938" t="s">
        <v>709</v>
      </c>
      <c r="BQ938" t="s">
        <v>709</v>
      </c>
      <c r="BR938" t="s">
        <v>709</v>
      </c>
      <c r="BS938" t="s">
        <v>709</v>
      </c>
      <c r="BT938" t="s">
        <v>745</v>
      </c>
      <c r="BU938" t="s">
        <v>709</v>
      </c>
      <c r="BV938" t="s">
        <v>745</v>
      </c>
      <c r="BW938" t="s">
        <v>709</v>
      </c>
      <c r="BX938" t="s">
        <v>745</v>
      </c>
      <c r="BY938" t="s">
        <v>745</v>
      </c>
      <c r="BZ938" t="s">
        <v>709</v>
      </c>
      <c r="CA938" t="s">
        <v>1146</v>
      </c>
      <c r="CB938">
        <v>936</v>
      </c>
      <c r="CC938" t="b">
        <v>1</v>
      </c>
      <c r="CD938" t="s">
        <v>5622</v>
      </c>
      <c r="CE938" s="1482">
        <v>45880.73773148148</v>
      </c>
    </row>
    <row r="939" spans="1:83" x14ac:dyDescent="0.25">
      <c r="A939">
        <v>2023</v>
      </c>
      <c r="B939" t="s">
        <v>771</v>
      </c>
      <c r="C939" t="s">
        <v>931</v>
      </c>
      <c r="D939">
        <v>1312007</v>
      </c>
      <c r="E939" t="s">
        <v>887</v>
      </c>
      <c r="F939" t="s">
        <v>784</v>
      </c>
      <c r="G939" t="s">
        <v>32</v>
      </c>
      <c r="H939" t="s">
        <v>4189</v>
      </c>
      <c r="I939">
        <v>45034</v>
      </c>
      <c r="J939" t="s">
        <v>2052</v>
      </c>
      <c r="K939">
        <v>45058</v>
      </c>
      <c r="L939">
        <v>24</v>
      </c>
      <c r="M939" t="s">
        <v>5623</v>
      </c>
      <c r="N939" t="s">
        <v>120</v>
      </c>
      <c r="O939">
        <v>45047</v>
      </c>
      <c r="P939" t="s">
        <v>120</v>
      </c>
      <c r="Q939">
        <v>19435</v>
      </c>
      <c r="R939" t="s">
        <v>1922</v>
      </c>
      <c r="S939">
        <v>0</v>
      </c>
      <c r="U939">
        <v>19435</v>
      </c>
      <c r="V939">
        <v>9968</v>
      </c>
      <c r="W939">
        <v>0</v>
      </c>
      <c r="AB939" t="s">
        <v>29</v>
      </c>
      <c r="AC939" t="s">
        <v>1177</v>
      </c>
      <c r="AD939" t="s">
        <v>116</v>
      </c>
      <c r="AM939" t="s">
        <v>709</v>
      </c>
      <c r="AY939" t="s">
        <v>29</v>
      </c>
      <c r="BA939">
        <v>4</v>
      </c>
      <c r="BB939" t="s">
        <v>5624</v>
      </c>
      <c r="BI939" t="s">
        <v>709</v>
      </c>
      <c r="BJ939" t="s">
        <v>709</v>
      </c>
      <c r="BK939" t="s">
        <v>709</v>
      </c>
      <c r="BL939" t="s">
        <v>116</v>
      </c>
      <c r="BM939">
        <v>0</v>
      </c>
      <c r="BN939">
        <v>0</v>
      </c>
      <c r="BO939">
        <v>0</v>
      </c>
      <c r="BP939">
        <v>0</v>
      </c>
      <c r="BQ939">
        <v>6343</v>
      </c>
      <c r="BR939">
        <v>103</v>
      </c>
      <c r="BS939">
        <v>3638</v>
      </c>
      <c r="BT939">
        <v>0</v>
      </c>
      <c r="BU939">
        <v>0</v>
      </c>
      <c r="BV939">
        <v>0</v>
      </c>
      <c r="BW939">
        <v>0</v>
      </c>
      <c r="BX939">
        <v>0</v>
      </c>
      <c r="BY939">
        <v>0</v>
      </c>
      <c r="BZ939" t="s">
        <v>709</v>
      </c>
      <c r="CB939">
        <v>937</v>
      </c>
      <c r="CC939" t="b">
        <v>1</v>
      </c>
      <c r="CD939" t="s">
        <v>5625</v>
      </c>
      <c r="CE939" s="1482">
        <v>45880.73773148148</v>
      </c>
    </row>
    <row r="940" spans="1:83" ht="300" x14ac:dyDescent="0.25">
      <c r="A940">
        <v>2023</v>
      </c>
      <c r="B940" t="s">
        <v>771</v>
      </c>
      <c r="C940" t="s">
        <v>449</v>
      </c>
      <c r="D940" t="s">
        <v>1487</v>
      </c>
      <c r="E940" t="s">
        <v>327</v>
      </c>
      <c r="F940" t="s">
        <v>784</v>
      </c>
      <c r="G940" t="s">
        <v>23</v>
      </c>
      <c r="H940" t="s">
        <v>59</v>
      </c>
      <c r="I940">
        <v>44939</v>
      </c>
      <c r="J940">
        <v>45065</v>
      </c>
      <c r="K940">
        <v>45061</v>
      </c>
      <c r="L940">
        <v>4</v>
      </c>
      <c r="N940" t="s">
        <v>120</v>
      </c>
      <c r="O940">
        <v>45078</v>
      </c>
      <c r="P940" t="s">
        <v>120</v>
      </c>
      <c r="Q940">
        <v>161460.64619999999</v>
      </c>
      <c r="R940">
        <v>0.06</v>
      </c>
      <c r="V940">
        <v>10511</v>
      </c>
      <c r="W940">
        <v>0</v>
      </c>
      <c r="X940">
        <v>2575270.17</v>
      </c>
      <c r="Z940">
        <v>115740.6</v>
      </c>
      <c r="AA940">
        <v>2691010.77</v>
      </c>
      <c r="AB940">
        <v>45068</v>
      </c>
      <c r="AC940" t="s">
        <v>1441</v>
      </c>
      <c r="AD940" t="s">
        <v>116</v>
      </c>
      <c r="AM940" t="s">
        <v>116</v>
      </c>
      <c r="AN940">
        <v>45819</v>
      </c>
      <c r="AO940">
        <v>11060024</v>
      </c>
      <c r="AP940">
        <v>3048308.01</v>
      </c>
      <c r="AR940">
        <v>276373.34999999998</v>
      </c>
      <c r="AS940">
        <v>3324681.36</v>
      </c>
      <c r="AT940">
        <v>633670.59</v>
      </c>
      <c r="AU940">
        <v>38020.235399999998</v>
      </c>
      <c r="AV940">
        <v>9227.5</v>
      </c>
      <c r="AW940" t="s">
        <v>5626</v>
      </c>
      <c r="AX940">
        <v>0</v>
      </c>
      <c r="AY940">
        <v>45901</v>
      </c>
      <c r="AZ940">
        <v>6</v>
      </c>
      <c r="BA940" t="s">
        <v>1488</v>
      </c>
      <c r="BB940" s="4" t="s">
        <v>1479</v>
      </c>
      <c r="BC940" t="s">
        <v>709</v>
      </c>
      <c r="BD940" t="s">
        <v>115</v>
      </c>
      <c r="BE940" t="s">
        <v>448</v>
      </c>
      <c r="BF940" t="s">
        <v>115</v>
      </c>
      <c r="BG940" t="s">
        <v>115</v>
      </c>
      <c r="BH940" t="s">
        <v>1489</v>
      </c>
      <c r="BI940" t="s">
        <v>709</v>
      </c>
      <c r="BJ940" t="s">
        <v>709</v>
      </c>
      <c r="BK940" t="s">
        <v>709</v>
      </c>
      <c r="BL940" t="s">
        <v>116</v>
      </c>
      <c r="BM940" t="s">
        <v>709</v>
      </c>
      <c r="BN940" t="s">
        <v>709</v>
      </c>
      <c r="BO940" t="s">
        <v>709</v>
      </c>
      <c r="BP940" t="s">
        <v>709</v>
      </c>
      <c r="BQ940">
        <v>1240</v>
      </c>
      <c r="BR940">
        <v>1503</v>
      </c>
      <c r="BS940">
        <v>7768</v>
      </c>
      <c r="BT940" t="s">
        <v>745</v>
      </c>
      <c r="BU940" t="s">
        <v>709</v>
      </c>
      <c r="BV940" t="s">
        <v>745</v>
      </c>
      <c r="BW940" t="s">
        <v>709</v>
      </c>
      <c r="BX940" t="s">
        <v>745</v>
      </c>
      <c r="BY940" t="s">
        <v>745</v>
      </c>
      <c r="BZ940" t="s">
        <v>709</v>
      </c>
      <c r="CB940">
        <v>939</v>
      </c>
      <c r="CC940" t="b">
        <v>1</v>
      </c>
      <c r="CD940" t="s">
        <v>5627</v>
      </c>
      <c r="CE940" s="1482">
        <v>45880.737743055557</v>
      </c>
    </row>
    <row r="941" spans="1:83" ht="360" x14ac:dyDescent="0.25">
      <c r="A941">
        <v>2023</v>
      </c>
      <c r="B941" t="s">
        <v>4</v>
      </c>
      <c r="C941" t="s">
        <v>5628</v>
      </c>
      <c r="D941" t="s">
        <v>115</v>
      </c>
      <c r="E941" t="s">
        <v>1957</v>
      </c>
      <c r="F941" t="s">
        <v>747</v>
      </c>
      <c r="G941" t="s">
        <v>25</v>
      </c>
      <c r="H941" t="s">
        <v>1681</v>
      </c>
      <c r="I941">
        <v>44994</v>
      </c>
      <c r="J941">
        <v>45093</v>
      </c>
      <c r="K941">
        <v>45061</v>
      </c>
      <c r="L941">
        <v>32</v>
      </c>
      <c r="N941" t="s">
        <v>120</v>
      </c>
      <c r="O941">
        <v>45061</v>
      </c>
      <c r="P941" t="s">
        <v>739</v>
      </c>
      <c r="Q941" t="s">
        <v>115</v>
      </c>
      <c r="R941" t="s">
        <v>115</v>
      </c>
      <c r="AB941" t="s">
        <v>29</v>
      </c>
      <c r="AC941" t="s">
        <v>29</v>
      </c>
      <c r="AD941" t="s">
        <v>29</v>
      </c>
      <c r="AE941" t="s">
        <v>116</v>
      </c>
      <c r="AF941" t="s">
        <v>116</v>
      </c>
      <c r="AG941" t="s">
        <v>116</v>
      </c>
      <c r="AH941">
        <v>45086</v>
      </c>
      <c r="AM941" t="s">
        <v>709</v>
      </c>
      <c r="AY941" t="s">
        <v>29</v>
      </c>
      <c r="BA941" s="4" t="s">
        <v>5629</v>
      </c>
      <c r="BB941" t="s">
        <v>969</v>
      </c>
      <c r="BC941" t="s">
        <v>709</v>
      </c>
      <c r="BD941" t="s">
        <v>969</v>
      </c>
      <c r="BE941" t="s">
        <v>5317</v>
      </c>
      <c r="BF941" t="s">
        <v>5630</v>
      </c>
      <c r="BG941" t="s">
        <v>709</v>
      </c>
      <c r="CA941" t="s">
        <v>915</v>
      </c>
      <c r="CB941">
        <v>938</v>
      </c>
      <c r="CC941" t="b">
        <v>1</v>
      </c>
      <c r="CD941" t="s">
        <v>5631</v>
      </c>
      <c r="CE941" s="1482">
        <v>45880.737743055557</v>
      </c>
    </row>
    <row r="942" spans="1:83" ht="240" x14ac:dyDescent="0.25">
      <c r="A942">
        <v>2023</v>
      </c>
      <c r="B942" t="s">
        <v>4</v>
      </c>
      <c r="C942" t="s">
        <v>1490</v>
      </c>
      <c r="D942" t="s">
        <v>1491</v>
      </c>
      <c r="E942" t="s">
        <v>1492</v>
      </c>
      <c r="F942" t="s">
        <v>784</v>
      </c>
      <c r="G942" t="s">
        <v>25</v>
      </c>
      <c r="H942" t="s">
        <v>59</v>
      </c>
      <c r="I942">
        <v>44966</v>
      </c>
      <c r="J942">
        <v>45077</v>
      </c>
      <c r="K942">
        <v>45062</v>
      </c>
      <c r="L942">
        <v>15</v>
      </c>
      <c r="N942" t="s">
        <v>120</v>
      </c>
      <c r="O942">
        <v>45061</v>
      </c>
      <c r="P942" t="s">
        <v>739</v>
      </c>
      <c r="Q942">
        <v>17623.816999999999</v>
      </c>
      <c r="R942">
        <v>0.1</v>
      </c>
      <c r="V942">
        <v>601</v>
      </c>
      <c r="W942">
        <v>0</v>
      </c>
      <c r="X942">
        <v>157687.95000000001</v>
      </c>
      <c r="Z942">
        <v>18550.22</v>
      </c>
      <c r="AA942">
        <v>176238.17</v>
      </c>
      <c r="AB942">
        <v>45047</v>
      </c>
      <c r="AC942" t="s">
        <v>709</v>
      </c>
      <c r="AD942" t="s">
        <v>29</v>
      </c>
      <c r="AE942" t="s">
        <v>116</v>
      </c>
      <c r="AF942" t="s">
        <v>116</v>
      </c>
      <c r="AG942" t="s">
        <v>116</v>
      </c>
      <c r="AH942">
        <v>45086</v>
      </c>
      <c r="AM942" t="s">
        <v>116</v>
      </c>
      <c r="AN942" t="s">
        <v>709</v>
      </c>
      <c r="AO942" t="s">
        <v>115</v>
      </c>
      <c r="AS942">
        <v>0</v>
      </c>
      <c r="AT942">
        <v>0</v>
      </c>
      <c r="AU942">
        <v>0</v>
      </c>
      <c r="AY942" t="s">
        <v>709</v>
      </c>
      <c r="AZ942">
        <v>86</v>
      </c>
      <c r="BA942" s="4" t="s">
        <v>1493</v>
      </c>
      <c r="BB942" t="s">
        <v>1494</v>
      </c>
      <c r="BC942" t="s">
        <v>116</v>
      </c>
      <c r="BD942" t="s">
        <v>743</v>
      </c>
      <c r="BE942" t="s">
        <v>545</v>
      </c>
      <c r="BF942" t="s">
        <v>1495</v>
      </c>
      <c r="BG942" t="s">
        <v>1496</v>
      </c>
      <c r="BH942" t="s">
        <v>1497</v>
      </c>
      <c r="BI942" t="s">
        <v>709</v>
      </c>
      <c r="BJ942" t="s">
        <v>709</v>
      </c>
      <c r="BK942" t="s">
        <v>709</v>
      </c>
      <c r="BL942" t="s">
        <v>116</v>
      </c>
      <c r="BM942" t="s">
        <v>709</v>
      </c>
      <c r="BN942" t="s">
        <v>709</v>
      </c>
      <c r="BO942" t="s">
        <v>709</v>
      </c>
      <c r="BP942" t="s">
        <v>709</v>
      </c>
      <c r="BQ942">
        <v>601</v>
      </c>
      <c r="BR942" t="s">
        <v>709</v>
      </c>
      <c r="BS942" t="s">
        <v>709</v>
      </c>
      <c r="BT942" t="s">
        <v>745</v>
      </c>
      <c r="BU942" t="s">
        <v>709</v>
      </c>
      <c r="BV942" t="s">
        <v>745</v>
      </c>
      <c r="BW942" t="s">
        <v>709</v>
      </c>
      <c r="BX942" t="s">
        <v>745</v>
      </c>
      <c r="BY942" t="s">
        <v>745</v>
      </c>
      <c r="BZ942" t="s">
        <v>709</v>
      </c>
      <c r="CB942">
        <v>940</v>
      </c>
      <c r="CC942" t="b">
        <v>1</v>
      </c>
      <c r="CD942" t="s">
        <v>5632</v>
      </c>
      <c r="CE942" s="1482">
        <v>45880.737754629627</v>
      </c>
    </row>
    <row r="943" spans="1:83" ht="330" x14ac:dyDescent="0.25">
      <c r="A943">
        <v>2023</v>
      </c>
      <c r="B943" t="s">
        <v>4</v>
      </c>
      <c r="C943" t="s">
        <v>5633</v>
      </c>
      <c r="D943" t="s">
        <v>5634</v>
      </c>
      <c r="E943" t="s">
        <v>1159</v>
      </c>
      <c r="F943" t="s">
        <v>747</v>
      </c>
      <c r="G943" t="s">
        <v>25</v>
      </c>
      <c r="H943" t="s">
        <v>59</v>
      </c>
      <c r="I943">
        <v>44914</v>
      </c>
      <c r="J943">
        <v>45065</v>
      </c>
      <c r="K943">
        <v>45063</v>
      </c>
      <c r="L943">
        <v>2</v>
      </c>
      <c r="N943" t="s">
        <v>120</v>
      </c>
      <c r="O943">
        <v>45061</v>
      </c>
      <c r="P943" t="s">
        <v>739</v>
      </c>
      <c r="Q943">
        <v>73446.634000000005</v>
      </c>
      <c r="R943">
        <v>0.1</v>
      </c>
      <c r="V943">
        <v>3128</v>
      </c>
      <c r="W943">
        <v>0</v>
      </c>
      <c r="X943">
        <v>706025.69</v>
      </c>
      <c r="Z943">
        <v>28440.65</v>
      </c>
      <c r="AA943">
        <v>734466.34</v>
      </c>
      <c r="AB943">
        <v>45054</v>
      </c>
      <c r="AC943" t="s">
        <v>709</v>
      </c>
      <c r="AD943" t="s">
        <v>29</v>
      </c>
      <c r="AE943" t="s">
        <v>116</v>
      </c>
      <c r="AF943" t="s">
        <v>116</v>
      </c>
      <c r="AG943" t="s">
        <v>116</v>
      </c>
      <c r="AH943">
        <v>45086</v>
      </c>
      <c r="AM943" t="s">
        <v>116</v>
      </c>
      <c r="AN943">
        <v>45260</v>
      </c>
      <c r="AO943">
        <v>11074942</v>
      </c>
      <c r="AP943">
        <v>706505.89</v>
      </c>
      <c r="AR943">
        <v>30087.83</v>
      </c>
      <c r="AS943">
        <v>736593.72</v>
      </c>
      <c r="AT943">
        <v>2127.38</v>
      </c>
      <c r="AU943">
        <v>212.738</v>
      </c>
      <c r="AV943" t="s">
        <v>709</v>
      </c>
      <c r="AX943">
        <v>212.738</v>
      </c>
      <c r="AY943">
        <v>45352</v>
      </c>
      <c r="BA943" s="4" t="s">
        <v>5635</v>
      </c>
      <c r="BB943" t="s">
        <v>5452</v>
      </c>
      <c r="BC943" t="s">
        <v>709</v>
      </c>
      <c r="BD943" t="s">
        <v>1036</v>
      </c>
      <c r="BE943" t="s">
        <v>1210</v>
      </c>
      <c r="BF943" t="s">
        <v>5636</v>
      </c>
      <c r="BG943" t="s">
        <v>709</v>
      </c>
      <c r="BH943" t="s">
        <v>5637</v>
      </c>
      <c r="BI943" t="s">
        <v>709</v>
      </c>
      <c r="BJ943" t="s">
        <v>709</v>
      </c>
      <c r="BK943" t="s">
        <v>709</v>
      </c>
      <c r="BL943" t="s">
        <v>116</v>
      </c>
      <c r="BM943" t="s">
        <v>709</v>
      </c>
      <c r="BN943" t="s">
        <v>709</v>
      </c>
      <c r="BO943" t="s">
        <v>709</v>
      </c>
      <c r="BP943" t="s">
        <v>709</v>
      </c>
      <c r="BQ943" t="s">
        <v>709</v>
      </c>
      <c r="BR943" t="s">
        <v>709</v>
      </c>
      <c r="BS943">
        <v>3128</v>
      </c>
      <c r="BT943" t="s">
        <v>745</v>
      </c>
      <c r="BU943" t="s">
        <v>709</v>
      </c>
      <c r="BV943" t="s">
        <v>745</v>
      </c>
      <c r="BW943" t="s">
        <v>709</v>
      </c>
      <c r="BX943" t="s">
        <v>745</v>
      </c>
      <c r="BY943" t="s">
        <v>745</v>
      </c>
      <c r="BZ943" t="s">
        <v>709</v>
      </c>
      <c r="CB943">
        <v>941</v>
      </c>
      <c r="CC943" t="b">
        <v>1</v>
      </c>
      <c r="CD943" t="s">
        <v>5638</v>
      </c>
      <c r="CE943" s="1482">
        <v>45880.737754629627</v>
      </c>
    </row>
    <row r="944" spans="1:83" x14ac:dyDescent="0.25">
      <c r="A944">
        <v>2023</v>
      </c>
      <c r="B944" t="s">
        <v>771</v>
      </c>
      <c r="C944" t="s">
        <v>2302</v>
      </c>
      <c r="D944">
        <v>120302</v>
      </c>
      <c r="E944" t="s">
        <v>2304</v>
      </c>
      <c r="F944" t="s">
        <v>747</v>
      </c>
      <c r="G944" t="s">
        <v>36</v>
      </c>
      <c r="H944" t="s">
        <v>3852</v>
      </c>
      <c r="I944">
        <v>45055</v>
      </c>
      <c r="J944" t="s">
        <v>2052</v>
      </c>
      <c r="K944">
        <v>45064</v>
      </c>
      <c r="L944">
        <v>9</v>
      </c>
      <c r="M944" t="s">
        <v>5639</v>
      </c>
      <c r="N944" t="s">
        <v>120</v>
      </c>
      <c r="O944">
        <v>45078</v>
      </c>
      <c r="P944" t="s">
        <v>120</v>
      </c>
      <c r="Q944">
        <v>6695</v>
      </c>
      <c r="R944" t="s">
        <v>1922</v>
      </c>
      <c r="S944">
        <v>0</v>
      </c>
      <c r="T944">
        <v>0</v>
      </c>
      <c r="U944">
        <v>6695</v>
      </c>
      <c r="V944">
        <v>21749</v>
      </c>
      <c r="W944">
        <v>0</v>
      </c>
      <c r="AB944" t="s">
        <v>29</v>
      </c>
      <c r="AC944" t="s">
        <v>29</v>
      </c>
      <c r="AD944" t="s">
        <v>116</v>
      </c>
      <c r="AM944" t="s">
        <v>709</v>
      </c>
      <c r="AY944" t="s">
        <v>29</v>
      </c>
      <c r="BA944">
        <v>3</v>
      </c>
      <c r="BB944" t="s">
        <v>5640</v>
      </c>
      <c r="BD944" t="s">
        <v>882</v>
      </c>
      <c r="BI944" t="s">
        <v>709</v>
      </c>
      <c r="BJ944" t="s">
        <v>709</v>
      </c>
      <c r="BK944" t="s">
        <v>709</v>
      </c>
      <c r="BL944" t="s">
        <v>116</v>
      </c>
      <c r="BM944" t="s">
        <v>709</v>
      </c>
      <c r="BN944" t="s">
        <v>709</v>
      </c>
      <c r="BO944" t="s">
        <v>709</v>
      </c>
      <c r="BP944">
        <v>4592</v>
      </c>
      <c r="BQ944">
        <v>1768</v>
      </c>
      <c r="BR944">
        <v>22</v>
      </c>
      <c r="BS944">
        <v>15367</v>
      </c>
      <c r="BT944" t="s">
        <v>709</v>
      </c>
      <c r="BU944" t="s">
        <v>709</v>
      </c>
      <c r="BV944" t="s">
        <v>745</v>
      </c>
      <c r="BW944" t="s">
        <v>709</v>
      </c>
      <c r="BX944" t="s">
        <v>745</v>
      </c>
      <c r="BY944" t="s">
        <v>745</v>
      </c>
      <c r="BZ944" t="s">
        <v>709</v>
      </c>
      <c r="CB944">
        <v>946</v>
      </c>
      <c r="CC944" t="b">
        <v>1</v>
      </c>
      <c r="CD944" t="s">
        <v>5641</v>
      </c>
      <c r="CE944" s="1482">
        <v>45880.737766203703</v>
      </c>
    </row>
    <row r="945" spans="1:83" ht="210" x14ac:dyDescent="0.25">
      <c r="A945">
        <v>2023</v>
      </c>
      <c r="B945" t="s">
        <v>759</v>
      </c>
      <c r="C945" t="s">
        <v>224</v>
      </c>
      <c r="D945" t="s">
        <v>1270</v>
      </c>
      <c r="E945" t="s">
        <v>225</v>
      </c>
      <c r="F945" t="s">
        <v>752</v>
      </c>
      <c r="G945" t="s">
        <v>34</v>
      </c>
      <c r="H945" t="s">
        <v>4354</v>
      </c>
      <c r="I945">
        <v>44965</v>
      </c>
      <c r="J945" t="s">
        <v>4354</v>
      </c>
      <c r="K945">
        <v>45064</v>
      </c>
      <c r="L945">
        <v>99</v>
      </c>
      <c r="M945" t="s">
        <v>5642</v>
      </c>
      <c r="N945" t="s">
        <v>120</v>
      </c>
      <c r="O945">
        <v>45078</v>
      </c>
      <c r="P945" t="s">
        <v>120</v>
      </c>
      <c r="Q945">
        <v>14750</v>
      </c>
      <c r="R945" t="s">
        <v>1922</v>
      </c>
      <c r="S945">
        <v>1231.5</v>
      </c>
      <c r="U945">
        <v>28062.5</v>
      </c>
      <c r="AB945" t="s">
        <v>29</v>
      </c>
      <c r="AC945" t="s">
        <v>29</v>
      </c>
      <c r="AD945" t="s">
        <v>29</v>
      </c>
      <c r="AM945" t="s">
        <v>709</v>
      </c>
      <c r="AY945" t="s">
        <v>29</v>
      </c>
      <c r="BA945" s="4" t="s">
        <v>1613</v>
      </c>
      <c r="BB945" t="s">
        <v>1614</v>
      </c>
      <c r="BC945" t="s">
        <v>116</v>
      </c>
      <c r="BD945" t="s">
        <v>1066</v>
      </c>
      <c r="BE945" t="s">
        <v>115</v>
      </c>
      <c r="BF945" t="s">
        <v>115</v>
      </c>
      <c r="BG945" t="s">
        <v>115</v>
      </c>
      <c r="BH945" t="s">
        <v>5643</v>
      </c>
      <c r="BI945" t="s">
        <v>709</v>
      </c>
      <c r="BJ945" t="s">
        <v>709</v>
      </c>
      <c r="BK945" t="s">
        <v>709</v>
      </c>
      <c r="BL945" t="s">
        <v>116</v>
      </c>
      <c r="BM945" t="s">
        <v>709</v>
      </c>
      <c r="BN945" t="s">
        <v>709</v>
      </c>
      <c r="BO945">
        <v>73</v>
      </c>
      <c r="BP945">
        <v>557</v>
      </c>
      <c r="BQ945">
        <v>75</v>
      </c>
      <c r="BR945">
        <v>159</v>
      </c>
      <c r="BS945">
        <v>5</v>
      </c>
      <c r="BT945">
        <v>1</v>
      </c>
      <c r="BU945" t="s">
        <v>709</v>
      </c>
      <c r="BV945" t="s">
        <v>745</v>
      </c>
      <c r="BW945" t="s">
        <v>709</v>
      </c>
      <c r="BX945">
        <v>1</v>
      </c>
      <c r="BY945" t="s">
        <v>745</v>
      </c>
      <c r="BZ945" t="s">
        <v>709</v>
      </c>
      <c r="CB945">
        <v>947</v>
      </c>
      <c r="CC945" t="b">
        <v>1</v>
      </c>
      <c r="CD945" t="s">
        <v>5644</v>
      </c>
      <c r="CE945" s="1482">
        <v>45880.73777777778</v>
      </c>
    </row>
    <row r="946" spans="1:83" x14ac:dyDescent="0.25">
      <c r="A946">
        <v>2023</v>
      </c>
      <c r="B946" t="s">
        <v>2</v>
      </c>
      <c r="C946" t="s">
        <v>5645</v>
      </c>
      <c r="D946">
        <v>1011915</v>
      </c>
      <c r="E946" t="s">
        <v>5646</v>
      </c>
      <c r="F946" t="s">
        <v>752</v>
      </c>
      <c r="G946" t="s">
        <v>34</v>
      </c>
      <c r="H946" t="s">
        <v>5647</v>
      </c>
      <c r="I946">
        <v>44837</v>
      </c>
      <c r="J946" t="s">
        <v>3662</v>
      </c>
      <c r="K946">
        <v>45064</v>
      </c>
      <c r="L946">
        <v>227</v>
      </c>
      <c r="M946" t="s">
        <v>5279</v>
      </c>
      <c r="N946" t="s">
        <v>120</v>
      </c>
      <c r="O946">
        <v>45078</v>
      </c>
      <c r="P946" t="s">
        <v>120</v>
      </c>
      <c r="Q946">
        <v>1800</v>
      </c>
      <c r="R946" t="s">
        <v>1922</v>
      </c>
      <c r="S946" t="s">
        <v>709</v>
      </c>
      <c r="T946" t="s">
        <v>709</v>
      </c>
      <c r="U946">
        <v>1800</v>
      </c>
      <c r="AB946" t="s">
        <v>29</v>
      </c>
      <c r="AC946" t="s">
        <v>29</v>
      </c>
      <c r="AD946" t="s">
        <v>29</v>
      </c>
      <c r="AM946" t="s">
        <v>709</v>
      </c>
      <c r="AY946" t="s">
        <v>29</v>
      </c>
      <c r="BI946" t="s">
        <v>709</v>
      </c>
      <c r="BJ946" t="s">
        <v>709</v>
      </c>
      <c r="BK946" t="s">
        <v>709</v>
      </c>
      <c r="BL946" t="s">
        <v>116</v>
      </c>
      <c r="BM946" t="s">
        <v>709</v>
      </c>
      <c r="BN946" t="s">
        <v>709</v>
      </c>
      <c r="BO946" t="s">
        <v>709</v>
      </c>
      <c r="BP946" t="s">
        <v>709</v>
      </c>
      <c r="BQ946">
        <v>141</v>
      </c>
      <c r="BR946">
        <v>46</v>
      </c>
      <c r="BS946">
        <v>50</v>
      </c>
      <c r="BT946">
        <v>1</v>
      </c>
      <c r="BU946" t="s">
        <v>709</v>
      </c>
      <c r="BV946" t="s">
        <v>745</v>
      </c>
      <c r="BW946">
        <v>1</v>
      </c>
      <c r="BX946">
        <v>1</v>
      </c>
      <c r="BY946" t="s">
        <v>745</v>
      </c>
      <c r="BZ946" t="s">
        <v>709</v>
      </c>
      <c r="CA946" t="s">
        <v>2</v>
      </c>
      <c r="CB946">
        <v>944</v>
      </c>
      <c r="CC946" t="b">
        <v>1</v>
      </c>
      <c r="CD946" t="s">
        <v>5648</v>
      </c>
      <c r="CE946" s="1482">
        <v>45880.73777777778</v>
      </c>
    </row>
    <row r="947" spans="1:83" x14ac:dyDescent="0.25">
      <c r="A947">
        <v>2023</v>
      </c>
      <c r="B947" t="s">
        <v>1205</v>
      </c>
      <c r="C947" t="s">
        <v>515</v>
      </c>
      <c r="D947" t="s">
        <v>1508</v>
      </c>
      <c r="E947" t="s">
        <v>1509</v>
      </c>
      <c r="F947" t="s">
        <v>747</v>
      </c>
      <c r="G947" t="s">
        <v>22</v>
      </c>
      <c r="H947" t="s">
        <v>59</v>
      </c>
      <c r="I947">
        <v>44790</v>
      </c>
      <c r="J947">
        <v>45107</v>
      </c>
      <c r="K947">
        <v>45064</v>
      </c>
      <c r="L947">
        <v>43</v>
      </c>
      <c r="N947" t="s">
        <v>120</v>
      </c>
      <c r="O947">
        <v>45078</v>
      </c>
      <c r="P947" t="s">
        <v>120</v>
      </c>
      <c r="Q947">
        <v>61998.6348</v>
      </c>
      <c r="R947">
        <v>0.09</v>
      </c>
      <c r="V947">
        <v>2082</v>
      </c>
      <c r="W947">
        <v>0</v>
      </c>
      <c r="X947">
        <v>581681.93999999994</v>
      </c>
      <c r="Z947">
        <v>107191.78</v>
      </c>
      <c r="AA947">
        <v>688873.72</v>
      </c>
      <c r="AB947">
        <v>45091</v>
      </c>
      <c r="AC947" t="s">
        <v>1441</v>
      </c>
      <c r="AD947" t="s">
        <v>29</v>
      </c>
      <c r="AM947" t="s">
        <v>116</v>
      </c>
      <c r="AN947">
        <v>45839</v>
      </c>
      <c r="AO947">
        <v>11033946</v>
      </c>
      <c r="AP947">
        <v>814682.29</v>
      </c>
      <c r="AR947">
        <v>90127.87</v>
      </c>
      <c r="AS947">
        <v>904810.16</v>
      </c>
      <c r="AT947">
        <v>215936.44</v>
      </c>
      <c r="AU947">
        <v>19434.279600000002</v>
      </c>
      <c r="AV947">
        <v>16587.5</v>
      </c>
      <c r="AW947" t="s">
        <v>5649</v>
      </c>
      <c r="AX947">
        <v>0</v>
      </c>
      <c r="AY947">
        <v>45901</v>
      </c>
      <c r="AZ947">
        <v>44</v>
      </c>
      <c r="BA947" t="s">
        <v>1510</v>
      </c>
      <c r="BB947" t="s">
        <v>1511</v>
      </c>
      <c r="BC947" t="s">
        <v>709</v>
      </c>
      <c r="BD947" t="s">
        <v>115</v>
      </c>
      <c r="BE947" t="s">
        <v>115</v>
      </c>
      <c r="BF947" t="s">
        <v>1512</v>
      </c>
      <c r="BG947" t="s">
        <v>115</v>
      </c>
      <c r="BH947" t="s">
        <v>1513</v>
      </c>
      <c r="BI947" t="s">
        <v>709</v>
      </c>
      <c r="BJ947" t="s">
        <v>116</v>
      </c>
      <c r="BK947" t="s">
        <v>709</v>
      </c>
      <c r="BL947" t="s">
        <v>709</v>
      </c>
      <c r="BM947" t="s">
        <v>709</v>
      </c>
      <c r="BN947" t="s">
        <v>709</v>
      </c>
      <c r="BO947" t="s">
        <v>709</v>
      </c>
      <c r="BP947">
        <v>2082</v>
      </c>
      <c r="BQ947" t="s">
        <v>709</v>
      </c>
      <c r="BR947" t="s">
        <v>709</v>
      </c>
      <c r="BS947" t="s">
        <v>709</v>
      </c>
      <c r="BT947" t="s">
        <v>745</v>
      </c>
      <c r="BU947" t="s">
        <v>709</v>
      </c>
      <c r="BV947" t="s">
        <v>745</v>
      </c>
      <c r="BW947" t="s">
        <v>709</v>
      </c>
      <c r="BX947" t="s">
        <v>745</v>
      </c>
      <c r="BY947" t="s">
        <v>745</v>
      </c>
      <c r="BZ947" t="s">
        <v>709</v>
      </c>
      <c r="CB947">
        <v>945</v>
      </c>
      <c r="CC947" t="b">
        <v>1</v>
      </c>
      <c r="CD947" t="s">
        <v>5650</v>
      </c>
      <c r="CE947" s="1482">
        <v>45880.73778935185</v>
      </c>
    </row>
    <row r="948" spans="1:83" ht="120" x14ac:dyDescent="0.25">
      <c r="A948">
        <v>2023</v>
      </c>
      <c r="B948" t="s">
        <v>759</v>
      </c>
      <c r="C948" t="s">
        <v>5645</v>
      </c>
      <c r="D948" t="s">
        <v>5651</v>
      </c>
      <c r="E948" t="s">
        <v>361</v>
      </c>
      <c r="F948" t="s">
        <v>752</v>
      </c>
      <c r="G948" t="s">
        <v>34</v>
      </c>
      <c r="H948" t="s">
        <v>59</v>
      </c>
      <c r="I948">
        <v>44837</v>
      </c>
      <c r="J948">
        <v>45064</v>
      </c>
      <c r="K948">
        <v>45064</v>
      </c>
      <c r="L948">
        <v>0</v>
      </c>
      <c r="N948" t="s">
        <v>120</v>
      </c>
      <c r="O948">
        <v>45064</v>
      </c>
      <c r="P948" t="s">
        <v>120</v>
      </c>
      <c r="Q948">
        <v>14750</v>
      </c>
      <c r="R948" t="s">
        <v>5223</v>
      </c>
      <c r="V948">
        <v>335</v>
      </c>
      <c r="W948">
        <v>1</v>
      </c>
      <c r="X948">
        <v>413161.06</v>
      </c>
      <c r="Y948">
        <v>94755.91</v>
      </c>
      <c r="Z948">
        <v>94755.91</v>
      </c>
      <c r="AA948">
        <v>507916.97</v>
      </c>
      <c r="AB948">
        <v>45090</v>
      </c>
      <c r="AC948" t="s">
        <v>709</v>
      </c>
      <c r="AD948" t="s">
        <v>29</v>
      </c>
      <c r="AM948" t="s">
        <v>709</v>
      </c>
      <c r="AY948" t="s">
        <v>29</v>
      </c>
      <c r="BA948" s="4" t="s">
        <v>5652</v>
      </c>
      <c r="BB948" t="s">
        <v>5653</v>
      </c>
      <c r="BC948" t="s">
        <v>115</v>
      </c>
      <c r="BD948" t="s">
        <v>882</v>
      </c>
      <c r="BE948" t="s">
        <v>1415</v>
      </c>
      <c r="BF948" t="s">
        <v>115</v>
      </c>
      <c r="BG948" t="s">
        <v>115</v>
      </c>
      <c r="BH948" t="s">
        <v>5654</v>
      </c>
      <c r="BI948" t="s">
        <v>709</v>
      </c>
      <c r="BJ948" t="s">
        <v>709</v>
      </c>
      <c r="BK948" t="s">
        <v>709</v>
      </c>
      <c r="BL948" t="s">
        <v>116</v>
      </c>
      <c r="BM948" t="s">
        <v>709</v>
      </c>
      <c r="BN948" t="s">
        <v>709</v>
      </c>
      <c r="BO948" t="s">
        <v>709</v>
      </c>
      <c r="BP948" t="s">
        <v>709</v>
      </c>
      <c r="BQ948">
        <v>152</v>
      </c>
      <c r="BR948">
        <v>43</v>
      </c>
      <c r="BS948">
        <v>50</v>
      </c>
      <c r="BT948">
        <v>1</v>
      </c>
      <c r="BU948" t="s">
        <v>709</v>
      </c>
      <c r="BV948" t="s">
        <v>745</v>
      </c>
      <c r="BW948">
        <v>1</v>
      </c>
      <c r="BX948">
        <v>1</v>
      </c>
      <c r="BY948" t="s">
        <v>745</v>
      </c>
      <c r="BZ948" t="s">
        <v>709</v>
      </c>
      <c r="CA948" t="s">
        <v>2</v>
      </c>
      <c r="CB948">
        <v>943</v>
      </c>
      <c r="CC948" t="b">
        <v>1</v>
      </c>
      <c r="CD948" t="s">
        <v>5648</v>
      </c>
      <c r="CE948" s="1482">
        <v>45880.73778935185</v>
      </c>
    </row>
    <row r="949" spans="1:83" ht="225" x14ac:dyDescent="0.25">
      <c r="A949">
        <v>2023</v>
      </c>
      <c r="B949" t="s">
        <v>759</v>
      </c>
      <c r="C949" t="s">
        <v>1566</v>
      </c>
      <c r="D949" t="s">
        <v>4367</v>
      </c>
      <c r="E949" t="s">
        <v>108</v>
      </c>
      <c r="F949" t="s">
        <v>752</v>
      </c>
      <c r="G949" t="s">
        <v>23</v>
      </c>
      <c r="H949" t="s">
        <v>4354</v>
      </c>
      <c r="I949">
        <v>44582</v>
      </c>
      <c r="J949" t="s">
        <v>4354</v>
      </c>
      <c r="K949">
        <v>45064</v>
      </c>
      <c r="L949">
        <v>482</v>
      </c>
      <c r="M949" t="s">
        <v>5655</v>
      </c>
      <c r="N949" t="s">
        <v>120</v>
      </c>
      <c r="O949">
        <v>45078</v>
      </c>
      <c r="P949" t="s">
        <v>120</v>
      </c>
      <c r="Q949">
        <v>14750</v>
      </c>
      <c r="R949" t="s">
        <v>1922</v>
      </c>
      <c r="S949">
        <v>4507.95</v>
      </c>
      <c r="U949">
        <v>63015</v>
      </c>
      <c r="AB949" t="s">
        <v>29</v>
      </c>
      <c r="AC949" t="s">
        <v>709</v>
      </c>
      <c r="AD949" t="s">
        <v>29</v>
      </c>
      <c r="AM949" t="s">
        <v>709</v>
      </c>
      <c r="AY949" t="s">
        <v>29</v>
      </c>
      <c r="BA949" s="4" t="s">
        <v>1567</v>
      </c>
      <c r="BB949" s="4" t="s">
        <v>1568</v>
      </c>
      <c r="BC949" t="s">
        <v>116</v>
      </c>
      <c r="BD949" t="s">
        <v>115</v>
      </c>
      <c r="BE949" t="s">
        <v>1569</v>
      </c>
      <c r="BF949" t="s">
        <v>115</v>
      </c>
      <c r="BG949" t="s">
        <v>115</v>
      </c>
      <c r="BH949" t="s">
        <v>5656</v>
      </c>
      <c r="BI949" t="s">
        <v>709</v>
      </c>
      <c r="BJ949" t="s">
        <v>709</v>
      </c>
      <c r="BK949" t="s">
        <v>709</v>
      </c>
      <c r="BL949" t="s">
        <v>116</v>
      </c>
      <c r="BM949" t="s">
        <v>709</v>
      </c>
      <c r="BN949" t="s">
        <v>709</v>
      </c>
      <c r="BO949" t="s">
        <v>709</v>
      </c>
      <c r="BP949" t="s">
        <v>709</v>
      </c>
      <c r="BQ949">
        <v>3967</v>
      </c>
      <c r="BR949">
        <v>95</v>
      </c>
      <c r="BS949">
        <v>590</v>
      </c>
      <c r="BT949">
        <v>1</v>
      </c>
      <c r="BU949" t="s">
        <v>709</v>
      </c>
      <c r="BV949" t="s">
        <v>709</v>
      </c>
      <c r="BW949">
        <v>1</v>
      </c>
      <c r="BX949">
        <v>1</v>
      </c>
      <c r="BY949" t="s">
        <v>709</v>
      </c>
      <c r="BZ949" t="s">
        <v>709</v>
      </c>
      <c r="CA949" t="s">
        <v>1022</v>
      </c>
      <c r="CB949">
        <v>948</v>
      </c>
      <c r="CC949" t="b">
        <v>1</v>
      </c>
      <c r="CD949" t="s">
        <v>5657</v>
      </c>
      <c r="CE949" s="1482">
        <v>45880.737800925926</v>
      </c>
    </row>
    <row r="950" spans="1:83" ht="165" x14ac:dyDescent="0.25">
      <c r="A950">
        <v>2024</v>
      </c>
      <c r="B950" t="s">
        <v>1205</v>
      </c>
      <c r="C950" t="s">
        <v>1498</v>
      </c>
      <c r="D950" t="s">
        <v>1499</v>
      </c>
      <c r="E950" t="s">
        <v>1500</v>
      </c>
      <c r="F950" t="s">
        <v>1501</v>
      </c>
      <c r="G950" t="s">
        <v>22</v>
      </c>
      <c r="H950" t="s">
        <v>59</v>
      </c>
      <c r="I950">
        <v>44704</v>
      </c>
      <c r="J950">
        <v>45065</v>
      </c>
      <c r="K950">
        <v>45064</v>
      </c>
      <c r="L950">
        <v>1</v>
      </c>
      <c r="N950" t="s">
        <v>120</v>
      </c>
      <c r="O950">
        <v>45064</v>
      </c>
      <c r="P950" t="s">
        <v>120</v>
      </c>
      <c r="Q950">
        <v>302998.19760000001</v>
      </c>
      <c r="R950">
        <v>0.09</v>
      </c>
      <c r="V950">
        <v>1030</v>
      </c>
      <c r="W950">
        <v>0</v>
      </c>
      <c r="X950">
        <v>3121172.84</v>
      </c>
      <c r="Z950">
        <v>245473.8</v>
      </c>
      <c r="AA950">
        <v>3366646.64</v>
      </c>
      <c r="AB950">
        <v>45069</v>
      </c>
      <c r="AC950" t="s">
        <v>709</v>
      </c>
      <c r="AD950" t="s">
        <v>116</v>
      </c>
      <c r="AM950" t="s">
        <v>116</v>
      </c>
      <c r="AN950" t="s">
        <v>709</v>
      </c>
      <c r="AO950">
        <v>11043653</v>
      </c>
      <c r="AS950">
        <v>0</v>
      </c>
      <c r="AT950">
        <v>0</v>
      </c>
      <c r="AU950">
        <v>0</v>
      </c>
      <c r="AY950" t="s">
        <v>709</v>
      </c>
      <c r="AZ950">
        <v>43</v>
      </c>
      <c r="BA950" s="4" t="s">
        <v>1502</v>
      </c>
      <c r="BB950" t="s">
        <v>1503</v>
      </c>
      <c r="BC950" t="s">
        <v>116</v>
      </c>
      <c r="BD950" t="s">
        <v>115</v>
      </c>
      <c r="BE950" t="s">
        <v>1504</v>
      </c>
      <c r="BF950" t="s">
        <v>115</v>
      </c>
      <c r="BG950" t="s">
        <v>1505</v>
      </c>
      <c r="BH950" t="s">
        <v>1506</v>
      </c>
      <c r="BI950" t="s">
        <v>709</v>
      </c>
      <c r="BJ950" t="s">
        <v>709</v>
      </c>
      <c r="BK950" t="s">
        <v>116</v>
      </c>
      <c r="BL950" t="s">
        <v>709</v>
      </c>
      <c r="BM950" t="s">
        <v>709</v>
      </c>
      <c r="BN950" t="s">
        <v>709</v>
      </c>
      <c r="BO950" t="s">
        <v>709</v>
      </c>
      <c r="BP950" t="s">
        <v>709</v>
      </c>
      <c r="BQ950" t="s">
        <v>709</v>
      </c>
      <c r="BR950" t="s">
        <v>709</v>
      </c>
      <c r="BS950" t="s">
        <v>709</v>
      </c>
      <c r="BT950" t="s">
        <v>745</v>
      </c>
      <c r="BU950" t="s">
        <v>709</v>
      </c>
      <c r="BV950" t="s">
        <v>745</v>
      </c>
      <c r="BW950" t="s">
        <v>709</v>
      </c>
      <c r="BX950" t="s">
        <v>745</v>
      </c>
      <c r="BY950" t="s">
        <v>745</v>
      </c>
      <c r="BZ950" t="s">
        <v>709</v>
      </c>
      <c r="CA950" t="s">
        <v>1507</v>
      </c>
      <c r="CB950">
        <v>942</v>
      </c>
      <c r="CC950" t="b">
        <v>1</v>
      </c>
      <c r="CD950" t="s">
        <v>5658</v>
      </c>
      <c r="CE950" s="1482">
        <v>45880.737800925926</v>
      </c>
    </row>
    <row r="951" spans="1:83" x14ac:dyDescent="0.25">
      <c r="A951">
        <v>2023</v>
      </c>
      <c r="B951" t="s">
        <v>4</v>
      </c>
      <c r="C951" t="s">
        <v>5659</v>
      </c>
      <c r="D951" t="s">
        <v>5660</v>
      </c>
      <c r="E951" t="s">
        <v>354</v>
      </c>
      <c r="F951" t="s">
        <v>5661</v>
      </c>
      <c r="G951" t="s">
        <v>27</v>
      </c>
      <c r="H951" t="s">
        <v>2724</v>
      </c>
      <c r="I951">
        <v>44739</v>
      </c>
      <c r="J951" t="s">
        <v>3662</v>
      </c>
      <c r="K951">
        <v>45068</v>
      </c>
      <c r="L951">
        <v>329</v>
      </c>
      <c r="M951" t="s">
        <v>5662</v>
      </c>
      <c r="N951" t="s">
        <v>120</v>
      </c>
      <c r="O951">
        <v>45078</v>
      </c>
      <c r="P951" t="s">
        <v>739</v>
      </c>
      <c r="Q951">
        <v>74747.5</v>
      </c>
      <c r="R951" t="s">
        <v>1922</v>
      </c>
      <c r="S951">
        <v>0</v>
      </c>
      <c r="U951">
        <v>74747.5</v>
      </c>
      <c r="V951" t="s">
        <v>29</v>
      </c>
      <c r="W951" t="s">
        <v>29</v>
      </c>
      <c r="X951" t="s">
        <v>29</v>
      </c>
      <c r="Y951" t="s">
        <v>915</v>
      </c>
      <c r="Z951" t="s">
        <v>29</v>
      </c>
      <c r="AA951" t="s">
        <v>29</v>
      </c>
      <c r="AB951" t="s">
        <v>29</v>
      </c>
      <c r="AC951" t="s">
        <v>709</v>
      </c>
      <c r="AD951" t="s">
        <v>29</v>
      </c>
      <c r="AM951" t="s">
        <v>709</v>
      </c>
      <c r="AY951" t="s">
        <v>29</v>
      </c>
      <c r="BI951" t="s">
        <v>709</v>
      </c>
      <c r="BJ951" t="s">
        <v>116</v>
      </c>
      <c r="BK951" t="s">
        <v>709</v>
      </c>
      <c r="BL951" t="s">
        <v>116</v>
      </c>
      <c r="BM951">
        <v>293</v>
      </c>
      <c r="BN951" t="s">
        <v>709</v>
      </c>
      <c r="BO951" t="s">
        <v>709</v>
      </c>
      <c r="BP951" t="s">
        <v>709</v>
      </c>
      <c r="BQ951">
        <v>297</v>
      </c>
      <c r="BR951" t="s">
        <v>709</v>
      </c>
      <c r="BS951" t="s">
        <v>709</v>
      </c>
      <c r="BT951" t="s">
        <v>709</v>
      </c>
      <c r="BU951" t="s">
        <v>709</v>
      </c>
      <c r="BV951" t="s">
        <v>709</v>
      </c>
      <c r="BW951" t="s">
        <v>709</v>
      </c>
      <c r="BX951" t="s">
        <v>745</v>
      </c>
      <c r="BY951" t="s">
        <v>709</v>
      </c>
      <c r="CB951">
        <v>949</v>
      </c>
      <c r="CC951" t="b">
        <v>1</v>
      </c>
      <c r="CD951" t="s">
        <v>5663</v>
      </c>
      <c r="CE951" s="1482">
        <v>45880.737812500003</v>
      </c>
    </row>
    <row r="952" spans="1:83" x14ac:dyDescent="0.25">
      <c r="A952">
        <v>2023</v>
      </c>
      <c r="B952" t="s">
        <v>759</v>
      </c>
      <c r="C952" t="s">
        <v>1014</v>
      </c>
      <c r="D952" t="s">
        <v>1015</v>
      </c>
      <c r="E952" t="s">
        <v>1016</v>
      </c>
      <c r="F952" t="s">
        <v>752</v>
      </c>
      <c r="G952" t="s">
        <v>34</v>
      </c>
      <c r="H952" t="s">
        <v>59</v>
      </c>
      <c r="I952">
        <v>44978</v>
      </c>
      <c r="J952">
        <v>45068</v>
      </c>
      <c r="K952">
        <v>45068</v>
      </c>
      <c r="L952">
        <v>0</v>
      </c>
      <c r="N952" t="s">
        <v>120</v>
      </c>
      <c r="O952">
        <v>45078</v>
      </c>
      <c r="P952" t="s">
        <v>120</v>
      </c>
      <c r="Q952">
        <v>80082.852299999999</v>
      </c>
      <c r="R952">
        <v>0.11</v>
      </c>
      <c r="V952">
        <v>529</v>
      </c>
      <c r="W952">
        <v>1</v>
      </c>
      <c r="X952">
        <v>622486.57999999996</v>
      </c>
      <c r="Z952">
        <v>105539.35</v>
      </c>
      <c r="AA952">
        <v>728025.93</v>
      </c>
      <c r="AB952">
        <v>45099</v>
      </c>
      <c r="AC952" t="s">
        <v>709</v>
      </c>
      <c r="AD952" t="s">
        <v>29</v>
      </c>
      <c r="AM952" t="s">
        <v>116</v>
      </c>
      <c r="AN952">
        <v>45441</v>
      </c>
      <c r="AO952">
        <v>11059511</v>
      </c>
      <c r="AP952">
        <v>668746.32999999996</v>
      </c>
      <c r="AR952">
        <v>107669.85</v>
      </c>
      <c r="AS952">
        <v>776416.18</v>
      </c>
      <c r="AT952">
        <v>48390.25</v>
      </c>
      <c r="AU952">
        <v>5322.9274999999998</v>
      </c>
      <c r="AV952">
        <v>7257.5</v>
      </c>
      <c r="AW952" t="s">
        <v>1017</v>
      </c>
      <c r="AX952">
        <v>0</v>
      </c>
      <c r="AY952">
        <v>45566</v>
      </c>
      <c r="AZ952">
        <v>153</v>
      </c>
      <c r="BA952" t="s">
        <v>1018</v>
      </c>
      <c r="BB952" t="s">
        <v>1019</v>
      </c>
      <c r="BC952" t="s">
        <v>115</v>
      </c>
      <c r="BD952" t="s">
        <v>788</v>
      </c>
      <c r="BE952" t="s">
        <v>1020</v>
      </c>
      <c r="BF952" t="s">
        <v>115</v>
      </c>
      <c r="BG952" t="s">
        <v>115</v>
      </c>
      <c r="BH952" t="s">
        <v>1021</v>
      </c>
      <c r="BI952" t="s">
        <v>709</v>
      </c>
      <c r="BJ952" t="s">
        <v>709</v>
      </c>
      <c r="BK952" t="s">
        <v>116</v>
      </c>
      <c r="BL952" t="s">
        <v>116</v>
      </c>
      <c r="BM952" t="s">
        <v>709</v>
      </c>
      <c r="BN952" t="s">
        <v>709</v>
      </c>
      <c r="BO952" t="s">
        <v>709</v>
      </c>
      <c r="BP952" t="s">
        <v>709</v>
      </c>
      <c r="BQ952">
        <v>202</v>
      </c>
      <c r="BR952">
        <v>187</v>
      </c>
      <c r="BS952">
        <v>50</v>
      </c>
      <c r="BT952">
        <v>1</v>
      </c>
      <c r="BU952" t="s">
        <v>709</v>
      </c>
      <c r="BV952" t="s">
        <v>709</v>
      </c>
      <c r="BW952">
        <v>1</v>
      </c>
      <c r="BX952">
        <v>1</v>
      </c>
      <c r="BY952" t="s">
        <v>709</v>
      </c>
      <c r="BZ952" t="s">
        <v>709</v>
      </c>
      <c r="CA952" t="s">
        <v>1022</v>
      </c>
      <c r="CB952">
        <v>950</v>
      </c>
      <c r="CC952" t="b">
        <v>1</v>
      </c>
      <c r="CD952" t="s">
        <v>5664</v>
      </c>
      <c r="CE952" s="1482">
        <v>45880.737812500003</v>
      </c>
    </row>
    <row r="953" spans="1:83" x14ac:dyDescent="0.25">
      <c r="A953">
        <v>2023</v>
      </c>
      <c r="B953" t="s">
        <v>731</v>
      </c>
      <c r="C953" t="s">
        <v>5274</v>
      </c>
      <c r="D953" t="s">
        <v>5275</v>
      </c>
      <c r="E953" t="s">
        <v>155</v>
      </c>
      <c r="F953" t="s">
        <v>4899</v>
      </c>
      <c r="G953" t="s">
        <v>26</v>
      </c>
      <c r="H953" t="s">
        <v>4462</v>
      </c>
      <c r="I953">
        <v>45034</v>
      </c>
      <c r="J953" t="s">
        <v>2052</v>
      </c>
      <c r="K953">
        <v>45069</v>
      </c>
      <c r="L953">
        <v>35</v>
      </c>
      <c r="M953" t="s">
        <v>5665</v>
      </c>
      <c r="N953" t="s">
        <v>120</v>
      </c>
      <c r="O953">
        <v>45047</v>
      </c>
      <c r="P953" t="s">
        <v>120</v>
      </c>
      <c r="Q953" t="s">
        <v>115</v>
      </c>
      <c r="R953" t="s">
        <v>115</v>
      </c>
      <c r="AB953" t="s">
        <v>29</v>
      </c>
      <c r="AC953" t="s">
        <v>29</v>
      </c>
      <c r="AD953" t="s">
        <v>709</v>
      </c>
      <c r="AM953" t="s">
        <v>709</v>
      </c>
      <c r="AY953" t="s">
        <v>29</v>
      </c>
      <c r="BA953">
        <v>3</v>
      </c>
      <c r="BB953" t="s">
        <v>29</v>
      </c>
      <c r="BI953" t="s">
        <v>709</v>
      </c>
      <c r="BJ953" t="s">
        <v>709</v>
      </c>
      <c r="BK953" t="s">
        <v>709</v>
      </c>
      <c r="BL953" t="s">
        <v>709</v>
      </c>
      <c r="BM953" t="s">
        <v>709</v>
      </c>
      <c r="BN953" t="s">
        <v>709</v>
      </c>
      <c r="BO953" t="s">
        <v>709</v>
      </c>
      <c r="BP953" t="s">
        <v>709</v>
      </c>
      <c r="BQ953" t="s">
        <v>709</v>
      </c>
      <c r="BR953" t="s">
        <v>709</v>
      </c>
      <c r="BS953" t="s">
        <v>709</v>
      </c>
      <c r="BT953" t="s">
        <v>745</v>
      </c>
      <c r="BU953" t="s">
        <v>709</v>
      </c>
      <c r="BV953">
        <v>1</v>
      </c>
      <c r="BW953" t="s">
        <v>709</v>
      </c>
      <c r="BX953" t="s">
        <v>745</v>
      </c>
      <c r="BY953" t="s">
        <v>745</v>
      </c>
      <c r="BZ953" t="s">
        <v>709</v>
      </c>
      <c r="CA953" t="s">
        <v>1146</v>
      </c>
      <c r="CB953">
        <v>951</v>
      </c>
      <c r="CC953" t="b">
        <v>1</v>
      </c>
      <c r="CD953" t="s">
        <v>5666</v>
      </c>
      <c r="CE953" s="1482">
        <v>45880.737812500003</v>
      </c>
    </row>
    <row r="954" spans="1:83" ht="180" x14ac:dyDescent="0.25">
      <c r="A954">
        <v>2022</v>
      </c>
      <c r="B954" t="s">
        <v>4</v>
      </c>
      <c r="C954" t="s">
        <v>385</v>
      </c>
      <c r="D954" t="s">
        <v>782</v>
      </c>
      <c r="E954" t="s">
        <v>783</v>
      </c>
      <c r="F954" t="s">
        <v>784</v>
      </c>
      <c r="G954" t="s">
        <v>5667</v>
      </c>
      <c r="H954" t="s">
        <v>59</v>
      </c>
      <c r="I954">
        <v>44090</v>
      </c>
      <c r="J954">
        <v>45077</v>
      </c>
      <c r="K954">
        <v>45070</v>
      </c>
      <c r="L954">
        <v>7</v>
      </c>
      <c r="N954" t="s">
        <v>120</v>
      </c>
      <c r="O954">
        <v>45108</v>
      </c>
      <c r="P954" t="s">
        <v>739</v>
      </c>
      <c r="Q954">
        <v>142900.239</v>
      </c>
      <c r="R954">
        <v>0.1</v>
      </c>
      <c r="V954">
        <v>1538</v>
      </c>
      <c r="W954">
        <v>0</v>
      </c>
      <c r="X954">
        <v>1202937.49</v>
      </c>
      <c r="Z954">
        <v>226064.9</v>
      </c>
      <c r="AA954">
        <v>1429002.39</v>
      </c>
      <c r="AB954">
        <v>45105</v>
      </c>
      <c r="AC954" t="s">
        <v>116</v>
      </c>
      <c r="AD954" t="s">
        <v>116</v>
      </c>
      <c r="AE954" t="s">
        <v>116</v>
      </c>
      <c r="AF954" t="s">
        <v>756</v>
      </c>
      <c r="AG954" t="s">
        <v>116</v>
      </c>
      <c r="AH954">
        <v>45222</v>
      </c>
      <c r="AM954" t="s">
        <v>116</v>
      </c>
      <c r="AN954">
        <v>45315</v>
      </c>
      <c r="AO954">
        <v>11042302</v>
      </c>
      <c r="AP954">
        <v>1203788.45</v>
      </c>
      <c r="AR954">
        <v>226066.57</v>
      </c>
      <c r="AS954">
        <v>1429855.02</v>
      </c>
      <c r="AT954">
        <v>852.63</v>
      </c>
      <c r="AU954">
        <v>85.263000000000005</v>
      </c>
      <c r="AV954">
        <v>0</v>
      </c>
      <c r="AW954" t="s">
        <v>785</v>
      </c>
      <c r="AX954">
        <v>85.26</v>
      </c>
      <c r="AY954">
        <v>45566</v>
      </c>
      <c r="AZ954">
        <v>87</v>
      </c>
      <c r="BA954" s="4" t="s">
        <v>786</v>
      </c>
      <c r="BB954" t="s">
        <v>787</v>
      </c>
      <c r="BC954" t="s">
        <v>709</v>
      </c>
      <c r="BD954" t="s">
        <v>788</v>
      </c>
      <c r="BE954" t="s">
        <v>115</v>
      </c>
      <c r="BF954" t="s">
        <v>789</v>
      </c>
      <c r="BG954" t="s">
        <v>709</v>
      </c>
      <c r="BH954" t="s">
        <v>790</v>
      </c>
      <c r="BI954" t="s">
        <v>709</v>
      </c>
      <c r="BJ954" t="s">
        <v>709</v>
      </c>
      <c r="BK954" t="s">
        <v>709</v>
      </c>
      <c r="BL954" t="s">
        <v>116</v>
      </c>
      <c r="BM954" t="s">
        <v>709</v>
      </c>
      <c r="BN954">
        <v>1222</v>
      </c>
      <c r="BO954" t="s">
        <v>709</v>
      </c>
      <c r="BP954" t="s">
        <v>709</v>
      </c>
      <c r="BQ954">
        <v>63</v>
      </c>
      <c r="BR954">
        <v>100</v>
      </c>
      <c r="BS954">
        <v>153</v>
      </c>
      <c r="BT954" t="s">
        <v>745</v>
      </c>
      <c r="BU954" t="s">
        <v>709</v>
      </c>
      <c r="BV954" t="s">
        <v>745</v>
      </c>
      <c r="BW954" t="s">
        <v>709</v>
      </c>
      <c r="BX954" t="s">
        <v>745</v>
      </c>
      <c r="BY954" t="s">
        <v>745</v>
      </c>
      <c r="BZ954" t="s">
        <v>709</v>
      </c>
      <c r="CB954">
        <v>955</v>
      </c>
      <c r="CC954" t="b">
        <v>1</v>
      </c>
      <c r="CD954" t="s">
        <v>5668</v>
      </c>
      <c r="CE954" s="1482">
        <v>45880.737824074073</v>
      </c>
    </row>
    <row r="955" spans="1:83" x14ac:dyDescent="0.25">
      <c r="A955">
        <v>2023</v>
      </c>
      <c r="B955" t="s">
        <v>4</v>
      </c>
      <c r="C955" t="s">
        <v>5354</v>
      </c>
      <c r="D955">
        <v>1312153</v>
      </c>
      <c r="E955" t="s">
        <v>2144</v>
      </c>
      <c r="F955" t="s">
        <v>747</v>
      </c>
      <c r="G955" t="s">
        <v>31</v>
      </c>
      <c r="H955" t="s">
        <v>4462</v>
      </c>
      <c r="I955">
        <v>45047</v>
      </c>
      <c r="J955" t="s">
        <v>2052</v>
      </c>
      <c r="K955">
        <v>45070</v>
      </c>
      <c r="L955">
        <v>23</v>
      </c>
      <c r="M955" t="s">
        <v>5669</v>
      </c>
      <c r="N955" t="s">
        <v>120</v>
      </c>
      <c r="O955">
        <v>45070</v>
      </c>
      <c r="P955" t="s">
        <v>739</v>
      </c>
      <c r="Q955" t="s">
        <v>115</v>
      </c>
      <c r="R955" t="s">
        <v>115</v>
      </c>
      <c r="AB955" t="s">
        <v>29</v>
      </c>
      <c r="AC955" t="s">
        <v>29</v>
      </c>
      <c r="AD955" t="s">
        <v>709</v>
      </c>
      <c r="AM955" t="s">
        <v>709</v>
      </c>
      <c r="AY955" t="s">
        <v>29</v>
      </c>
      <c r="BA955">
        <v>2</v>
      </c>
      <c r="BB955" t="s">
        <v>5670</v>
      </c>
      <c r="BI955" t="s">
        <v>709</v>
      </c>
      <c r="BJ955" t="s">
        <v>709</v>
      </c>
      <c r="BK955" t="s">
        <v>709</v>
      </c>
      <c r="BL955" t="s">
        <v>116</v>
      </c>
      <c r="BM955" t="s">
        <v>709</v>
      </c>
      <c r="BN955" t="s">
        <v>709</v>
      </c>
      <c r="BO955" t="s">
        <v>709</v>
      </c>
      <c r="BP955" t="s">
        <v>709</v>
      </c>
      <c r="BQ955">
        <v>916</v>
      </c>
      <c r="BR955" t="s">
        <v>709</v>
      </c>
      <c r="BS955">
        <v>479</v>
      </c>
      <c r="BT955" t="s">
        <v>745</v>
      </c>
      <c r="BU955" t="s">
        <v>709</v>
      </c>
      <c r="BV955" t="s">
        <v>745</v>
      </c>
      <c r="BW955" t="s">
        <v>709</v>
      </c>
      <c r="BX955" t="s">
        <v>745</v>
      </c>
      <c r="BY955" t="s">
        <v>745</v>
      </c>
      <c r="BZ955" t="s">
        <v>709</v>
      </c>
      <c r="CB955">
        <v>952</v>
      </c>
      <c r="CC955" t="b">
        <v>1</v>
      </c>
      <c r="CD955" t="s">
        <v>5671</v>
      </c>
      <c r="CE955" s="1482">
        <v>45880.737835648149</v>
      </c>
    </row>
    <row r="956" spans="1:83" ht="255" x14ac:dyDescent="0.25">
      <c r="A956">
        <v>2023</v>
      </c>
      <c r="B956" t="s">
        <v>4</v>
      </c>
      <c r="C956" t="s">
        <v>5672</v>
      </c>
      <c r="D956" t="s">
        <v>5673</v>
      </c>
      <c r="E956" t="s">
        <v>5674</v>
      </c>
      <c r="F956" t="s">
        <v>784</v>
      </c>
      <c r="G956" t="s">
        <v>26</v>
      </c>
      <c r="H956" t="s">
        <v>59</v>
      </c>
      <c r="I956">
        <v>45036</v>
      </c>
      <c r="J956">
        <v>45077</v>
      </c>
      <c r="K956">
        <v>45070</v>
      </c>
      <c r="L956">
        <v>7</v>
      </c>
      <c r="N956" t="s">
        <v>120</v>
      </c>
      <c r="O956">
        <v>45078</v>
      </c>
      <c r="P956" t="s">
        <v>739</v>
      </c>
      <c r="Q956">
        <v>13807.675999999999</v>
      </c>
      <c r="R956">
        <v>0.1</v>
      </c>
      <c r="V956">
        <v>146</v>
      </c>
      <c r="W956">
        <v>0</v>
      </c>
      <c r="X956">
        <v>112584.77</v>
      </c>
      <c r="Z956">
        <v>25491.99</v>
      </c>
      <c r="AA956">
        <v>138076.76</v>
      </c>
      <c r="AB956">
        <v>45076</v>
      </c>
      <c r="AC956" t="s">
        <v>709</v>
      </c>
      <c r="AD956" t="s">
        <v>29</v>
      </c>
      <c r="AM956" t="s">
        <v>116</v>
      </c>
      <c r="AN956">
        <v>45104</v>
      </c>
      <c r="AO956">
        <v>11063726</v>
      </c>
      <c r="AP956">
        <v>116374.09</v>
      </c>
      <c r="AR956">
        <v>26261.93</v>
      </c>
      <c r="AS956">
        <v>142636.01999999999</v>
      </c>
      <c r="AT956">
        <v>4559.26</v>
      </c>
      <c r="AU956">
        <v>455.92599999999999</v>
      </c>
      <c r="AV956" t="s">
        <v>709</v>
      </c>
      <c r="AX956">
        <v>455.92599999999999</v>
      </c>
      <c r="AY956">
        <v>45200</v>
      </c>
      <c r="BA956" s="4" t="s">
        <v>5675</v>
      </c>
      <c r="BB956" t="s">
        <v>5676</v>
      </c>
      <c r="BC956" t="s">
        <v>709</v>
      </c>
      <c r="BD956" t="s">
        <v>1167</v>
      </c>
      <c r="BE956" t="s">
        <v>5677</v>
      </c>
      <c r="BF956" t="s">
        <v>5678</v>
      </c>
      <c r="BG956" t="s">
        <v>709</v>
      </c>
      <c r="BH956" t="s">
        <v>5679</v>
      </c>
      <c r="BI956" t="s">
        <v>709</v>
      </c>
      <c r="BJ956" t="s">
        <v>709</v>
      </c>
      <c r="BK956" t="s">
        <v>709</v>
      </c>
      <c r="BL956" t="s">
        <v>116</v>
      </c>
      <c r="BM956" t="s">
        <v>709</v>
      </c>
      <c r="BN956" t="s">
        <v>709</v>
      </c>
      <c r="BO956" t="s">
        <v>709</v>
      </c>
      <c r="BP956" t="s">
        <v>709</v>
      </c>
      <c r="BQ956">
        <v>146</v>
      </c>
      <c r="BR956" t="s">
        <v>709</v>
      </c>
      <c r="BS956" t="s">
        <v>709</v>
      </c>
      <c r="BT956" t="s">
        <v>745</v>
      </c>
      <c r="BU956" t="s">
        <v>709</v>
      </c>
      <c r="BV956" t="s">
        <v>745</v>
      </c>
      <c r="BW956" t="s">
        <v>709</v>
      </c>
      <c r="BX956" t="s">
        <v>745</v>
      </c>
      <c r="BY956" t="s">
        <v>745</v>
      </c>
      <c r="BZ956" t="s">
        <v>709</v>
      </c>
      <c r="CB956">
        <v>954</v>
      </c>
      <c r="CC956" t="b">
        <v>1</v>
      </c>
      <c r="CD956" t="s">
        <v>5680</v>
      </c>
      <c r="CE956" s="1482">
        <v>45880.737835648149</v>
      </c>
    </row>
    <row r="957" spans="1:83" ht="270" x14ac:dyDescent="0.25">
      <c r="A957">
        <v>2023</v>
      </c>
      <c r="B957" t="s">
        <v>4</v>
      </c>
      <c r="C957" t="s">
        <v>5681</v>
      </c>
      <c r="D957" t="s">
        <v>115</v>
      </c>
      <c r="E957" t="s">
        <v>1214</v>
      </c>
      <c r="F957" t="s">
        <v>747</v>
      </c>
      <c r="G957" t="s">
        <v>26</v>
      </c>
      <c r="H957" t="s">
        <v>1681</v>
      </c>
      <c r="I957">
        <v>45006</v>
      </c>
      <c r="J957">
        <v>45100</v>
      </c>
      <c r="K957">
        <v>45070</v>
      </c>
      <c r="L957">
        <v>30</v>
      </c>
      <c r="N957" t="s">
        <v>120</v>
      </c>
      <c r="O957">
        <v>45070</v>
      </c>
      <c r="P957" t="s">
        <v>739</v>
      </c>
      <c r="Q957" t="s">
        <v>115</v>
      </c>
      <c r="R957" t="s">
        <v>115</v>
      </c>
      <c r="AB957" t="s">
        <v>29</v>
      </c>
      <c r="AC957" t="s">
        <v>29</v>
      </c>
      <c r="AD957" t="s">
        <v>29</v>
      </c>
      <c r="AM957" t="s">
        <v>709</v>
      </c>
      <c r="AY957" t="s">
        <v>29</v>
      </c>
      <c r="BA957" s="4" t="s">
        <v>5682</v>
      </c>
      <c r="BB957" t="s">
        <v>5683</v>
      </c>
      <c r="BC957" t="s">
        <v>709</v>
      </c>
      <c r="BD957" t="s">
        <v>3836</v>
      </c>
      <c r="BE957" t="s">
        <v>5684</v>
      </c>
      <c r="BF957" t="s">
        <v>709</v>
      </c>
      <c r="BG957" t="s">
        <v>709</v>
      </c>
      <c r="CA957" t="s">
        <v>915</v>
      </c>
      <c r="CB957">
        <v>953</v>
      </c>
      <c r="CC957" t="b">
        <v>1</v>
      </c>
      <c r="CD957" t="s">
        <v>5685</v>
      </c>
      <c r="CE957" s="1482">
        <v>45880.737847222219</v>
      </c>
    </row>
    <row r="958" spans="1:83" ht="180" x14ac:dyDescent="0.25">
      <c r="A958">
        <v>2023</v>
      </c>
      <c r="B958" t="s">
        <v>4</v>
      </c>
      <c r="C958" t="s">
        <v>5686</v>
      </c>
      <c r="D958" t="s">
        <v>5687</v>
      </c>
      <c r="E958" t="s">
        <v>5688</v>
      </c>
      <c r="F958" t="s">
        <v>747</v>
      </c>
      <c r="G958" t="s">
        <v>28</v>
      </c>
      <c r="H958" t="s">
        <v>59</v>
      </c>
      <c r="I958">
        <v>45008</v>
      </c>
      <c r="J958">
        <v>45072</v>
      </c>
      <c r="K958">
        <v>45071</v>
      </c>
      <c r="L958">
        <v>1</v>
      </c>
      <c r="N958" t="s">
        <v>120</v>
      </c>
      <c r="O958">
        <v>45078</v>
      </c>
      <c r="P958" t="s">
        <v>739</v>
      </c>
      <c r="Q958">
        <v>23963.936000000002</v>
      </c>
      <c r="R958">
        <v>0.1</v>
      </c>
      <c r="V958" t="s">
        <v>5689</v>
      </c>
      <c r="W958">
        <v>0</v>
      </c>
      <c r="X958">
        <v>147604.85999999999</v>
      </c>
      <c r="Z958">
        <v>92034.5</v>
      </c>
      <c r="AA958">
        <v>239639.36</v>
      </c>
      <c r="AB958">
        <v>45082</v>
      </c>
      <c r="AC958" t="s">
        <v>709</v>
      </c>
      <c r="AD958" t="s">
        <v>116</v>
      </c>
      <c r="AM958" t="s">
        <v>116</v>
      </c>
      <c r="AN958">
        <v>45133</v>
      </c>
      <c r="AO958">
        <v>11067843</v>
      </c>
      <c r="AP958">
        <v>147604.85999999999</v>
      </c>
      <c r="AR958">
        <v>92034.5</v>
      </c>
      <c r="AS958">
        <v>239639.36</v>
      </c>
      <c r="AT958">
        <v>0</v>
      </c>
      <c r="AU958">
        <v>0</v>
      </c>
      <c r="AV958" t="s">
        <v>709</v>
      </c>
      <c r="AX958">
        <v>0</v>
      </c>
      <c r="AY958">
        <v>45352</v>
      </c>
      <c r="BA958" s="4" t="s">
        <v>5690</v>
      </c>
      <c r="BB958" t="s">
        <v>896</v>
      </c>
      <c r="BC958" t="s">
        <v>115</v>
      </c>
      <c r="BD958" t="s">
        <v>115</v>
      </c>
      <c r="BE958" t="s">
        <v>1462</v>
      </c>
      <c r="BF958" t="s">
        <v>115</v>
      </c>
      <c r="BG958" t="s">
        <v>115</v>
      </c>
      <c r="BH958" t="s">
        <v>115</v>
      </c>
      <c r="BI958" t="s">
        <v>709</v>
      </c>
      <c r="BJ958" t="s">
        <v>709</v>
      </c>
      <c r="BK958" t="s">
        <v>709</v>
      </c>
      <c r="BL958" t="s">
        <v>116</v>
      </c>
      <c r="BM958" t="s">
        <v>709</v>
      </c>
      <c r="BN958" t="s">
        <v>709</v>
      </c>
      <c r="BO958" t="s">
        <v>709</v>
      </c>
      <c r="BP958" t="s">
        <v>709</v>
      </c>
      <c r="BQ958">
        <v>404</v>
      </c>
      <c r="BR958" t="s">
        <v>709</v>
      </c>
      <c r="BS958" t="s">
        <v>709</v>
      </c>
      <c r="BT958" t="s">
        <v>745</v>
      </c>
      <c r="BU958" t="s">
        <v>709</v>
      </c>
      <c r="BV958" t="s">
        <v>745</v>
      </c>
      <c r="BW958" t="s">
        <v>709</v>
      </c>
      <c r="BX958" t="s">
        <v>709</v>
      </c>
      <c r="BY958" t="s">
        <v>745</v>
      </c>
      <c r="BZ958" t="s">
        <v>709</v>
      </c>
      <c r="CB958">
        <v>959</v>
      </c>
      <c r="CC958" t="b">
        <v>1</v>
      </c>
      <c r="CD958" t="s">
        <v>5691</v>
      </c>
      <c r="CE958" s="1482">
        <v>45880.737858796296</v>
      </c>
    </row>
    <row r="959" spans="1:83" x14ac:dyDescent="0.25">
      <c r="A959">
        <v>2023</v>
      </c>
      <c r="B959" t="s">
        <v>1073</v>
      </c>
      <c r="C959" t="s">
        <v>280</v>
      </c>
      <c r="D959" t="s">
        <v>5160</v>
      </c>
      <c r="E959" t="s">
        <v>281</v>
      </c>
      <c r="F959" t="s">
        <v>784</v>
      </c>
      <c r="G959" t="s">
        <v>23</v>
      </c>
      <c r="H959" t="s">
        <v>3178</v>
      </c>
      <c r="I959">
        <v>45001</v>
      </c>
      <c r="J959" t="s">
        <v>2052</v>
      </c>
      <c r="K959">
        <v>45071</v>
      </c>
      <c r="L959">
        <v>70</v>
      </c>
      <c r="M959" t="s">
        <v>5692</v>
      </c>
      <c r="N959" t="s">
        <v>120</v>
      </c>
      <c r="O959">
        <v>45078</v>
      </c>
      <c r="P959" t="s">
        <v>739</v>
      </c>
      <c r="Q959">
        <v>5680</v>
      </c>
      <c r="R959" t="s">
        <v>1922</v>
      </c>
      <c r="S959">
        <v>0</v>
      </c>
      <c r="T959">
        <v>0</v>
      </c>
      <c r="U959">
        <v>5680</v>
      </c>
      <c r="V959">
        <v>12080</v>
      </c>
      <c r="W959">
        <v>0</v>
      </c>
      <c r="AB959" t="s">
        <v>29</v>
      </c>
      <c r="AC959" t="s">
        <v>29</v>
      </c>
      <c r="AD959" t="s">
        <v>116</v>
      </c>
      <c r="AM959" t="s">
        <v>709</v>
      </c>
      <c r="AY959" t="s">
        <v>29</v>
      </c>
      <c r="BA959">
        <v>3</v>
      </c>
      <c r="BB959" t="s">
        <v>5693</v>
      </c>
      <c r="BI959" t="s">
        <v>709</v>
      </c>
      <c r="BJ959" t="s">
        <v>709</v>
      </c>
      <c r="BK959" t="s">
        <v>116</v>
      </c>
      <c r="BL959" t="s">
        <v>116</v>
      </c>
      <c r="BM959" t="s">
        <v>709</v>
      </c>
      <c r="BN959" t="s">
        <v>709</v>
      </c>
      <c r="BO959" t="s">
        <v>709</v>
      </c>
      <c r="BP959" t="s">
        <v>709</v>
      </c>
      <c r="BQ959">
        <v>1212</v>
      </c>
      <c r="BR959">
        <v>10651</v>
      </c>
      <c r="BS959">
        <v>217</v>
      </c>
      <c r="BT959" t="s">
        <v>745</v>
      </c>
      <c r="BU959">
        <v>1</v>
      </c>
      <c r="BV959" t="s">
        <v>745</v>
      </c>
      <c r="BW959" t="s">
        <v>709</v>
      </c>
      <c r="BX959">
        <v>1</v>
      </c>
      <c r="BY959" t="s">
        <v>745</v>
      </c>
      <c r="BZ959" t="s">
        <v>709</v>
      </c>
      <c r="CB959">
        <v>956</v>
      </c>
      <c r="CC959" t="b">
        <v>1</v>
      </c>
      <c r="CD959" t="s">
        <v>5694</v>
      </c>
      <c r="CE959" s="1482">
        <v>45880.737858796296</v>
      </c>
    </row>
    <row r="960" spans="1:83" x14ac:dyDescent="0.25">
      <c r="A960">
        <v>2023</v>
      </c>
      <c r="B960" t="s">
        <v>4</v>
      </c>
      <c r="C960" t="s">
        <v>380</v>
      </c>
      <c r="D960" t="s">
        <v>5695</v>
      </c>
      <c r="E960" t="s">
        <v>111</v>
      </c>
      <c r="F960" t="s">
        <v>784</v>
      </c>
      <c r="G960" t="s">
        <v>27</v>
      </c>
      <c r="H960" t="s">
        <v>59</v>
      </c>
      <c r="I960">
        <v>44739</v>
      </c>
      <c r="J960">
        <v>45072</v>
      </c>
      <c r="K960">
        <v>45071</v>
      </c>
      <c r="L960">
        <v>1</v>
      </c>
      <c r="N960" t="s">
        <v>120</v>
      </c>
      <c r="O960">
        <v>45078</v>
      </c>
      <c r="P960" t="s">
        <v>739</v>
      </c>
      <c r="Q960">
        <v>231516.609</v>
      </c>
      <c r="R960">
        <v>0.1</v>
      </c>
      <c r="V960">
        <v>5687</v>
      </c>
      <c r="W960">
        <v>0</v>
      </c>
      <c r="X960">
        <v>2138892.66</v>
      </c>
      <c r="Z960">
        <v>176273.43</v>
      </c>
      <c r="AA960">
        <v>2315166.09</v>
      </c>
      <c r="AB960">
        <v>45064</v>
      </c>
      <c r="AC960" t="s">
        <v>116</v>
      </c>
      <c r="AD960" t="s">
        <v>116</v>
      </c>
      <c r="AE960" t="s">
        <v>29</v>
      </c>
      <c r="AF960" t="s">
        <v>29</v>
      </c>
      <c r="AG960" t="s">
        <v>29</v>
      </c>
      <c r="AH960" t="s">
        <v>29</v>
      </c>
      <c r="AM960" t="s">
        <v>116</v>
      </c>
      <c r="AN960">
        <v>45148</v>
      </c>
      <c r="AO960">
        <v>11050938</v>
      </c>
      <c r="AP960">
        <v>2139471.94</v>
      </c>
      <c r="AR960">
        <v>176273.43</v>
      </c>
      <c r="AS960">
        <v>2315745.37</v>
      </c>
      <c r="AT960">
        <v>579.28</v>
      </c>
      <c r="AU960">
        <v>57.927999999999997</v>
      </c>
      <c r="AV960" t="s">
        <v>709</v>
      </c>
      <c r="AX960">
        <v>57.927999999999997</v>
      </c>
      <c r="AY960">
        <v>45352</v>
      </c>
      <c r="BA960" t="s">
        <v>5696</v>
      </c>
      <c r="BB960" t="s">
        <v>5697</v>
      </c>
      <c r="BC960" t="s">
        <v>116</v>
      </c>
      <c r="BD960" t="s">
        <v>709</v>
      </c>
      <c r="BE960" t="s">
        <v>1114</v>
      </c>
      <c r="BF960" t="s">
        <v>709</v>
      </c>
      <c r="BG960" t="s">
        <v>709</v>
      </c>
      <c r="BH960" t="s">
        <v>5698</v>
      </c>
      <c r="BI960" t="s">
        <v>709</v>
      </c>
      <c r="BJ960" t="s">
        <v>709</v>
      </c>
      <c r="BK960" t="s">
        <v>116</v>
      </c>
      <c r="BL960" t="s">
        <v>116</v>
      </c>
      <c r="BM960" t="s">
        <v>709</v>
      </c>
      <c r="BN960" t="s">
        <v>709</v>
      </c>
      <c r="BO960" t="s">
        <v>709</v>
      </c>
      <c r="BP960">
        <v>2291</v>
      </c>
      <c r="BQ960">
        <v>1043</v>
      </c>
      <c r="BR960">
        <v>45</v>
      </c>
      <c r="BS960">
        <v>2218</v>
      </c>
      <c r="BT960">
        <v>1</v>
      </c>
      <c r="BU960" t="s">
        <v>709</v>
      </c>
      <c r="BV960" t="s">
        <v>745</v>
      </c>
      <c r="BW960" t="s">
        <v>709</v>
      </c>
      <c r="BX960">
        <v>1</v>
      </c>
      <c r="BY960" t="s">
        <v>745</v>
      </c>
      <c r="BZ960" t="s">
        <v>709</v>
      </c>
      <c r="CB960">
        <v>958</v>
      </c>
      <c r="CC960" t="b">
        <v>1</v>
      </c>
      <c r="CD960" t="s">
        <v>5699</v>
      </c>
      <c r="CE960" s="1482">
        <v>45880.737870370373</v>
      </c>
    </row>
    <row r="961" spans="1:83" ht="240" x14ac:dyDescent="0.25">
      <c r="A961">
        <v>2024</v>
      </c>
      <c r="B961" t="s">
        <v>1205</v>
      </c>
      <c r="C961" t="s">
        <v>5700</v>
      </c>
      <c r="D961" t="s">
        <v>5701</v>
      </c>
      <c r="E961" t="s">
        <v>354</v>
      </c>
      <c r="F961" t="s">
        <v>784</v>
      </c>
      <c r="G961" t="s">
        <v>31</v>
      </c>
      <c r="H961" t="s">
        <v>59</v>
      </c>
      <c r="I961">
        <v>44957</v>
      </c>
      <c r="J961">
        <v>45077</v>
      </c>
      <c r="K961">
        <v>45071</v>
      </c>
      <c r="L961">
        <v>6</v>
      </c>
      <c r="N961" t="s">
        <v>120</v>
      </c>
      <c r="O961">
        <v>45078</v>
      </c>
      <c r="P961" t="s">
        <v>120</v>
      </c>
      <c r="Q961">
        <v>142061.82759999999</v>
      </c>
      <c r="R961">
        <v>0.04</v>
      </c>
      <c r="V961">
        <v>17673</v>
      </c>
      <c r="W961">
        <v>0</v>
      </c>
      <c r="X961">
        <v>3397762.35</v>
      </c>
      <c r="Z961">
        <v>153783.34</v>
      </c>
      <c r="AA961">
        <v>3551545.69</v>
      </c>
      <c r="AB961">
        <v>45072</v>
      </c>
      <c r="AC961" t="s">
        <v>709</v>
      </c>
      <c r="AD961" t="s">
        <v>29</v>
      </c>
      <c r="AE961" t="s">
        <v>29</v>
      </c>
      <c r="AF961" t="s">
        <v>29</v>
      </c>
      <c r="AG961" t="s">
        <v>29</v>
      </c>
      <c r="AH961" t="s">
        <v>29</v>
      </c>
      <c r="AM961" t="s">
        <v>116</v>
      </c>
      <c r="AN961">
        <v>45180</v>
      </c>
      <c r="AO961">
        <v>11070285</v>
      </c>
      <c r="AP961">
        <v>3398065.86</v>
      </c>
      <c r="AR961">
        <v>153784.46</v>
      </c>
      <c r="AS961">
        <v>3551850.32</v>
      </c>
      <c r="AT961">
        <v>304.63</v>
      </c>
      <c r="AU961">
        <v>12.1852</v>
      </c>
      <c r="AV961" t="s">
        <v>709</v>
      </c>
      <c r="AX961">
        <v>12.19</v>
      </c>
      <c r="AY961">
        <v>45352</v>
      </c>
      <c r="BA961" s="4" t="s">
        <v>5702</v>
      </c>
      <c r="BB961" t="s">
        <v>5703</v>
      </c>
      <c r="BC961" t="s">
        <v>709</v>
      </c>
      <c r="BD961" t="s">
        <v>115</v>
      </c>
      <c r="BE961" t="s">
        <v>588</v>
      </c>
      <c r="BF961" t="s">
        <v>115</v>
      </c>
      <c r="BG961" t="s">
        <v>115</v>
      </c>
      <c r="BH961" t="s">
        <v>5704</v>
      </c>
      <c r="BI961" t="s">
        <v>709</v>
      </c>
      <c r="BJ961" t="s">
        <v>709</v>
      </c>
      <c r="BK961" t="s">
        <v>709</v>
      </c>
      <c r="BL961" t="s">
        <v>116</v>
      </c>
      <c r="BM961" t="s">
        <v>709</v>
      </c>
      <c r="BN961" t="s">
        <v>709</v>
      </c>
      <c r="BO961" t="s">
        <v>709</v>
      </c>
      <c r="BP961" t="s">
        <v>709</v>
      </c>
      <c r="BQ961">
        <v>3453</v>
      </c>
      <c r="BR961">
        <v>860</v>
      </c>
      <c r="BS961">
        <v>13360</v>
      </c>
      <c r="BT961" t="s">
        <v>745</v>
      </c>
      <c r="BU961" t="s">
        <v>709</v>
      </c>
      <c r="BV961" t="s">
        <v>745</v>
      </c>
      <c r="BW961" t="s">
        <v>709</v>
      </c>
      <c r="BX961" t="s">
        <v>745</v>
      </c>
      <c r="BY961" t="s">
        <v>745</v>
      </c>
      <c r="BZ961" t="s">
        <v>709</v>
      </c>
      <c r="CB961">
        <v>957</v>
      </c>
      <c r="CC961" t="b">
        <v>1</v>
      </c>
      <c r="CD961" t="s">
        <v>5705</v>
      </c>
      <c r="CE961" s="1482">
        <v>45880.737881944442</v>
      </c>
    </row>
    <row r="962" spans="1:83" x14ac:dyDescent="0.25">
      <c r="A962">
        <v>2023</v>
      </c>
      <c r="B962" t="s">
        <v>771</v>
      </c>
      <c r="C962" t="s">
        <v>494</v>
      </c>
      <c r="D962" t="s">
        <v>1514</v>
      </c>
      <c r="E962" t="s">
        <v>1004</v>
      </c>
      <c r="F962" t="s">
        <v>1515</v>
      </c>
      <c r="G962" t="s">
        <v>22</v>
      </c>
      <c r="H962" t="s">
        <v>59</v>
      </c>
      <c r="I962">
        <v>44957</v>
      </c>
      <c r="J962">
        <v>45072</v>
      </c>
      <c r="K962">
        <v>45072</v>
      </c>
      <c r="L962">
        <v>0</v>
      </c>
      <c r="N962" t="s">
        <v>120</v>
      </c>
      <c r="O962">
        <v>45078</v>
      </c>
      <c r="P962" t="s">
        <v>120</v>
      </c>
      <c r="Q962">
        <v>143735.7726</v>
      </c>
      <c r="R962">
        <v>0.09</v>
      </c>
      <c r="V962">
        <v>1021</v>
      </c>
      <c r="W962">
        <v>0</v>
      </c>
      <c r="X962">
        <v>1139019.48</v>
      </c>
      <c r="Z962">
        <v>458044.66</v>
      </c>
      <c r="AA962">
        <v>1597064.14</v>
      </c>
      <c r="AB962">
        <v>45077</v>
      </c>
      <c r="AC962" t="s">
        <v>1516</v>
      </c>
      <c r="AD962" t="s">
        <v>29</v>
      </c>
      <c r="AM962" t="s">
        <v>116</v>
      </c>
      <c r="AN962">
        <v>45805</v>
      </c>
      <c r="AO962">
        <v>11057162</v>
      </c>
      <c r="AP962">
        <v>1156965.3600000001</v>
      </c>
      <c r="AR962">
        <v>465894.16</v>
      </c>
      <c r="AS962">
        <v>1622859.52</v>
      </c>
      <c r="AT962">
        <v>25795.38</v>
      </c>
      <c r="AU962">
        <v>2321.5841999999998</v>
      </c>
      <c r="AV962">
        <v>5807.5</v>
      </c>
      <c r="AW962" t="s">
        <v>5706</v>
      </c>
      <c r="AX962">
        <v>0</v>
      </c>
      <c r="AY962">
        <v>45901</v>
      </c>
      <c r="AZ962">
        <v>45</v>
      </c>
      <c r="BA962" t="s">
        <v>1517</v>
      </c>
      <c r="BB962" t="s">
        <v>1518</v>
      </c>
      <c r="BC962" t="s">
        <v>116</v>
      </c>
      <c r="BD962" t="s">
        <v>862</v>
      </c>
      <c r="BE962" t="s">
        <v>495</v>
      </c>
      <c r="BF962" t="s">
        <v>709</v>
      </c>
      <c r="BG962" t="s">
        <v>1519</v>
      </c>
      <c r="BH962" t="s">
        <v>1520</v>
      </c>
      <c r="BI962" t="s">
        <v>709</v>
      </c>
      <c r="BJ962" t="s">
        <v>709</v>
      </c>
      <c r="BK962" t="s">
        <v>116</v>
      </c>
      <c r="BL962" t="s">
        <v>709</v>
      </c>
      <c r="BM962">
        <v>1016</v>
      </c>
      <c r="BN962">
        <v>5</v>
      </c>
      <c r="BO962" t="s">
        <v>709</v>
      </c>
      <c r="BP962" t="s">
        <v>709</v>
      </c>
      <c r="BQ962" t="s">
        <v>709</v>
      </c>
      <c r="BR962" t="s">
        <v>709</v>
      </c>
      <c r="BS962" t="s">
        <v>709</v>
      </c>
      <c r="BT962" t="s">
        <v>709</v>
      </c>
      <c r="BU962" t="s">
        <v>709</v>
      </c>
      <c r="BV962" t="s">
        <v>709</v>
      </c>
      <c r="BW962" t="s">
        <v>709</v>
      </c>
      <c r="BX962" t="s">
        <v>709</v>
      </c>
      <c r="BY962" t="s">
        <v>709</v>
      </c>
      <c r="BZ962" t="s">
        <v>709</v>
      </c>
      <c r="CB962">
        <v>960</v>
      </c>
      <c r="CC962" t="b">
        <v>1</v>
      </c>
      <c r="CD962" t="s">
        <v>5707</v>
      </c>
      <c r="CE962" s="1482">
        <v>45880.737881944442</v>
      </c>
    </row>
    <row r="963" spans="1:83" x14ac:dyDescent="0.25">
      <c r="A963">
        <v>2024</v>
      </c>
      <c r="B963" t="s">
        <v>759</v>
      </c>
      <c r="C963" t="s">
        <v>525</v>
      </c>
      <c r="D963" t="s">
        <v>1521</v>
      </c>
      <c r="E963" t="s">
        <v>1522</v>
      </c>
      <c r="F963" t="s">
        <v>752</v>
      </c>
      <c r="G963" t="s">
        <v>37</v>
      </c>
      <c r="H963" t="s">
        <v>59</v>
      </c>
      <c r="I963">
        <v>44979</v>
      </c>
      <c r="J963">
        <v>45079</v>
      </c>
      <c r="K963">
        <v>45079</v>
      </c>
      <c r="L963">
        <v>0</v>
      </c>
      <c r="N963" t="s">
        <v>120</v>
      </c>
      <c r="O963">
        <v>45079</v>
      </c>
      <c r="P963" t="s">
        <v>120</v>
      </c>
      <c r="Q963">
        <v>66982.895099999994</v>
      </c>
      <c r="R963">
        <v>0.11</v>
      </c>
      <c r="V963">
        <v>267</v>
      </c>
      <c r="W963">
        <v>1</v>
      </c>
      <c r="X963">
        <v>517133.74</v>
      </c>
      <c r="Z963">
        <v>91801.67</v>
      </c>
      <c r="AA963">
        <v>608935.41</v>
      </c>
      <c r="AB963">
        <v>45091</v>
      </c>
      <c r="AC963" t="s">
        <v>1523</v>
      </c>
      <c r="AD963" t="s">
        <v>29</v>
      </c>
      <c r="AH963">
        <v>45609</v>
      </c>
      <c r="AM963" t="s">
        <v>116</v>
      </c>
      <c r="AN963">
        <v>45496</v>
      </c>
      <c r="AO963">
        <v>11070082</v>
      </c>
      <c r="AP963">
        <v>532671.96</v>
      </c>
      <c r="AR963">
        <v>96042.03</v>
      </c>
      <c r="AS963">
        <v>628713.99</v>
      </c>
      <c r="AT963">
        <v>19778.580000000002</v>
      </c>
      <c r="AU963">
        <v>2175.6437999999998</v>
      </c>
      <c r="AV963">
        <v>0</v>
      </c>
      <c r="AW963" t="s">
        <v>5708</v>
      </c>
      <c r="AX963">
        <v>2175.6437999999998</v>
      </c>
      <c r="AY963">
        <v>45901</v>
      </c>
      <c r="AZ963">
        <v>154</v>
      </c>
      <c r="BA963" t="s">
        <v>1524</v>
      </c>
      <c r="BB963" t="s">
        <v>1525</v>
      </c>
      <c r="BC963" t="s">
        <v>115</v>
      </c>
      <c r="BD963" t="s">
        <v>115</v>
      </c>
      <c r="BE963" t="s">
        <v>115</v>
      </c>
      <c r="BF963" t="s">
        <v>526</v>
      </c>
      <c r="BG963" t="s">
        <v>115</v>
      </c>
      <c r="BH963" t="s">
        <v>1526</v>
      </c>
      <c r="BI963" t="s">
        <v>709</v>
      </c>
      <c r="BJ963" t="s">
        <v>709</v>
      </c>
      <c r="BK963" t="s">
        <v>116</v>
      </c>
      <c r="BL963" t="s">
        <v>116</v>
      </c>
      <c r="BM963" t="s">
        <v>709</v>
      </c>
      <c r="BN963" t="s">
        <v>709</v>
      </c>
      <c r="BO963" t="s">
        <v>709</v>
      </c>
      <c r="BP963">
        <v>128</v>
      </c>
      <c r="BQ963" t="s">
        <v>709</v>
      </c>
      <c r="BR963">
        <v>9</v>
      </c>
      <c r="BS963" t="s">
        <v>709</v>
      </c>
      <c r="BT963" t="s">
        <v>709</v>
      </c>
      <c r="BU963" t="s">
        <v>709</v>
      </c>
      <c r="BV963" t="s">
        <v>709</v>
      </c>
      <c r="BW963">
        <v>1</v>
      </c>
      <c r="BX963" t="s">
        <v>745</v>
      </c>
      <c r="BY963" t="s">
        <v>709</v>
      </c>
      <c r="BZ963" t="s">
        <v>709</v>
      </c>
      <c r="CA963" t="s">
        <v>1022</v>
      </c>
      <c r="CB963">
        <v>961</v>
      </c>
      <c r="CC963" t="b">
        <v>1</v>
      </c>
      <c r="CD963" t="s">
        <v>5709</v>
      </c>
      <c r="CE963" s="1482">
        <v>45880.737893518519</v>
      </c>
    </row>
    <row r="964" spans="1:83" x14ac:dyDescent="0.25">
      <c r="A964">
        <v>2023</v>
      </c>
      <c r="B964" t="s">
        <v>4</v>
      </c>
      <c r="C964" t="s">
        <v>3159</v>
      </c>
      <c r="D964">
        <v>129278</v>
      </c>
      <c r="E964" t="s">
        <v>393</v>
      </c>
      <c r="F964" t="s">
        <v>784</v>
      </c>
      <c r="G964" t="s">
        <v>23</v>
      </c>
      <c r="H964" t="s">
        <v>5710</v>
      </c>
      <c r="I964">
        <v>45078</v>
      </c>
      <c r="J964" t="s">
        <v>2052</v>
      </c>
      <c r="K964">
        <v>45085</v>
      </c>
      <c r="L964">
        <v>7</v>
      </c>
      <c r="M964" t="s">
        <v>5711</v>
      </c>
      <c r="N964" t="s">
        <v>120</v>
      </c>
      <c r="O964">
        <v>45085</v>
      </c>
      <c r="P964" t="s">
        <v>120</v>
      </c>
      <c r="Q964">
        <v>5195</v>
      </c>
      <c r="R964" t="s">
        <v>1922</v>
      </c>
      <c r="S964">
        <v>0</v>
      </c>
      <c r="T964">
        <v>0</v>
      </c>
      <c r="U964">
        <v>5195</v>
      </c>
      <c r="V964">
        <v>5379</v>
      </c>
      <c r="W964">
        <v>0</v>
      </c>
      <c r="AB964" t="s">
        <v>29</v>
      </c>
      <c r="AC964" t="s">
        <v>29</v>
      </c>
      <c r="AD964" t="s">
        <v>29</v>
      </c>
      <c r="AM964" t="s">
        <v>709</v>
      </c>
      <c r="AY964" t="s">
        <v>29</v>
      </c>
      <c r="BA964">
        <v>1</v>
      </c>
      <c r="BB964" t="s">
        <v>116</v>
      </c>
      <c r="BI964" t="s">
        <v>709</v>
      </c>
      <c r="BJ964" t="s">
        <v>709</v>
      </c>
      <c r="BK964" t="s">
        <v>709</v>
      </c>
      <c r="BL964" t="s">
        <v>116</v>
      </c>
      <c r="BM964">
        <v>55</v>
      </c>
      <c r="BN964">
        <v>4125</v>
      </c>
      <c r="BO964" t="s">
        <v>709</v>
      </c>
      <c r="BP964" t="s">
        <v>709</v>
      </c>
      <c r="BQ964">
        <v>93</v>
      </c>
      <c r="BR964">
        <v>367</v>
      </c>
      <c r="BS964">
        <v>630</v>
      </c>
      <c r="BT964" t="s">
        <v>709</v>
      </c>
      <c r="BU964" t="s">
        <v>709</v>
      </c>
      <c r="BV964" t="s">
        <v>709</v>
      </c>
      <c r="BW964" t="s">
        <v>709</v>
      </c>
      <c r="BX964" t="s">
        <v>745</v>
      </c>
      <c r="BY964" t="s">
        <v>709</v>
      </c>
      <c r="BZ964" t="s">
        <v>709</v>
      </c>
      <c r="CB964">
        <v>964</v>
      </c>
      <c r="CC964" t="b">
        <v>1</v>
      </c>
      <c r="CD964" t="s">
        <v>5712</v>
      </c>
      <c r="CE964" s="1482">
        <v>45880.737905092596</v>
      </c>
    </row>
    <row r="965" spans="1:83" x14ac:dyDescent="0.25">
      <c r="A965">
        <v>2023</v>
      </c>
      <c r="B965" t="s">
        <v>769</v>
      </c>
      <c r="C965" t="s">
        <v>1186</v>
      </c>
      <c r="D965">
        <v>102131</v>
      </c>
      <c r="E965" t="s">
        <v>393</v>
      </c>
      <c r="F965" t="s">
        <v>784</v>
      </c>
      <c r="G965" t="s">
        <v>23</v>
      </c>
      <c r="H965" t="s">
        <v>3852</v>
      </c>
      <c r="I965">
        <v>45078</v>
      </c>
      <c r="J965" t="s">
        <v>2052</v>
      </c>
      <c r="K965">
        <v>45085</v>
      </c>
      <c r="L965">
        <v>7</v>
      </c>
      <c r="M965" t="s">
        <v>5713</v>
      </c>
      <c r="N965" t="s">
        <v>120</v>
      </c>
      <c r="O965">
        <v>45085</v>
      </c>
      <c r="P965" t="s">
        <v>120</v>
      </c>
      <c r="Q965">
        <v>4395</v>
      </c>
      <c r="R965" t="s">
        <v>1922</v>
      </c>
      <c r="S965">
        <v>0</v>
      </c>
      <c r="T965">
        <v>0</v>
      </c>
      <c r="U965">
        <v>4395</v>
      </c>
      <c r="V965">
        <v>2623</v>
      </c>
      <c r="W965">
        <v>0</v>
      </c>
      <c r="AB965" t="s">
        <v>29</v>
      </c>
      <c r="AC965" t="s">
        <v>29</v>
      </c>
      <c r="AD965" t="s">
        <v>29</v>
      </c>
      <c r="AM965" t="s">
        <v>709</v>
      </c>
      <c r="AY965" t="s">
        <v>29</v>
      </c>
      <c r="BA965">
        <v>1</v>
      </c>
      <c r="BB965" t="s">
        <v>116</v>
      </c>
      <c r="BI965" t="s">
        <v>709</v>
      </c>
      <c r="BJ965" t="s">
        <v>709</v>
      </c>
      <c r="BK965" t="s">
        <v>709</v>
      </c>
      <c r="BL965" t="s">
        <v>116</v>
      </c>
      <c r="BM965" t="s">
        <v>709</v>
      </c>
      <c r="BN965">
        <v>17</v>
      </c>
      <c r="BO965" t="s">
        <v>709</v>
      </c>
      <c r="BP965" t="s">
        <v>709</v>
      </c>
      <c r="BQ965">
        <v>546</v>
      </c>
      <c r="BR965">
        <v>507</v>
      </c>
      <c r="BS965">
        <v>1553</v>
      </c>
      <c r="BT965" t="s">
        <v>709</v>
      </c>
      <c r="BU965" t="s">
        <v>709</v>
      </c>
      <c r="BV965" t="s">
        <v>709</v>
      </c>
      <c r="BW965" t="s">
        <v>709</v>
      </c>
      <c r="BX965" t="s">
        <v>709</v>
      </c>
      <c r="BY965" t="s">
        <v>709</v>
      </c>
      <c r="BZ965" t="s">
        <v>709</v>
      </c>
      <c r="CA965" t="s">
        <v>769</v>
      </c>
      <c r="CB965">
        <v>962</v>
      </c>
      <c r="CC965" t="b">
        <v>1</v>
      </c>
      <c r="CD965" t="s">
        <v>5714</v>
      </c>
      <c r="CE965" s="1482">
        <v>45880.737916666665</v>
      </c>
    </row>
    <row r="966" spans="1:83" x14ac:dyDescent="0.25">
      <c r="A966">
        <v>2023</v>
      </c>
      <c r="B966" t="s">
        <v>771</v>
      </c>
      <c r="C966" t="s">
        <v>1527</v>
      </c>
      <c r="D966" t="s">
        <v>1528</v>
      </c>
      <c r="E966" t="s">
        <v>1529</v>
      </c>
      <c r="F966" t="s">
        <v>784</v>
      </c>
      <c r="G966" t="s">
        <v>32</v>
      </c>
      <c r="H966" t="s">
        <v>59</v>
      </c>
      <c r="I966">
        <v>45006</v>
      </c>
      <c r="J966">
        <v>45098</v>
      </c>
      <c r="K966">
        <v>45085</v>
      </c>
      <c r="L966">
        <v>13</v>
      </c>
      <c r="N966" t="s">
        <v>120</v>
      </c>
      <c r="O966">
        <v>45085</v>
      </c>
      <c r="P966" t="s">
        <v>120</v>
      </c>
      <c r="Q966">
        <v>44915.480100000001</v>
      </c>
      <c r="R966">
        <v>0.09</v>
      </c>
      <c r="V966">
        <v>1694</v>
      </c>
      <c r="W966">
        <v>0</v>
      </c>
      <c r="X966">
        <v>456922.55</v>
      </c>
      <c r="Z966">
        <v>42138.34</v>
      </c>
      <c r="AA966">
        <v>499060.89</v>
      </c>
      <c r="AB966">
        <v>45086</v>
      </c>
      <c r="AC966" t="s">
        <v>29</v>
      </c>
      <c r="AD966" t="s">
        <v>116</v>
      </c>
      <c r="AF966" t="s">
        <v>116</v>
      </c>
      <c r="AG966" t="s">
        <v>116</v>
      </c>
      <c r="AM966" t="s">
        <v>116</v>
      </c>
      <c r="AN966" t="s">
        <v>709</v>
      </c>
      <c r="AO966" t="s">
        <v>115</v>
      </c>
      <c r="AS966">
        <v>0</v>
      </c>
      <c r="AT966">
        <v>0</v>
      </c>
      <c r="AU966">
        <v>0</v>
      </c>
      <c r="AY966" t="s">
        <v>709</v>
      </c>
      <c r="AZ966">
        <v>46</v>
      </c>
      <c r="BA966" t="s">
        <v>1530</v>
      </c>
      <c r="BB966" t="s">
        <v>1531</v>
      </c>
      <c r="BC966" t="s">
        <v>709</v>
      </c>
      <c r="BD966" t="s">
        <v>882</v>
      </c>
      <c r="BE966" t="s">
        <v>581</v>
      </c>
      <c r="BF966" t="s">
        <v>115</v>
      </c>
      <c r="BG966" t="s">
        <v>115</v>
      </c>
      <c r="BH966" t="s">
        <v>1532</v>
      </c>
      <c r="BI966" t="s">
        <v>709</v>
      </c>
      <c r="BJ966" t="s">
        <v>709</v>
      </c>
      <c r="BK966" t="s">
        <v>709</v>
      </c>
      <c r="BL966" t="s">
        <v>116</v>
      </c>
      <c r="BM966">
        <v>0</v>
      </c>
      <c r="BN966">
        <v>0</v>
      </c>
      <c r="BO966">
        <v>0</v>
      </c>
      <c r="BP966">
        <v>0</v>
      </c>
      <c r="BQ966">
        <v>0</v>
      </c>
      <c r="BR966">
        <v>0</v>
      </c>
      <c r="BS966">
        <v>1694</v>
      </c>
      <c r="BT966">
        <v>0</v>
      </c>
      <c r="BU966">
        <v>0</v>
      </c>
      <c r="BV966">
        <v>0</v>
      </c>
      <c r="BW966">
        <v>0</v>
      </c>
      <c r="BX966">
        <v>0</v>
      </c>
      <c r="BY966">
        <v>0</v>
      </c>
      <c r="BZ966" t="s">
        <v>709</v>
      </c>
      <c r="CB966">
        <v>963</v>
      </c>
      <c r="CC966" t="b">
        <v>1</v>
      </c>
      <c r="CD966" t="s">
        <v>5715</v>
      </c>
      <c r="CE966" s="1482">
        <v>45880.737928240742</v>
      </c>
    </row>
    <row r="967" spans="1:83" x14ac:dyDescent="0.25">
      <c r="A967">
        <v>2023</v>
      </c>
      <c r="B967" t="s">
        <v>771</v>
      </c>
      <c r="C967" t="s">
        <v>4854</v>
      </c>
      <c r="D967">
        <v>1411323</v>
      </c>
      <c r="E967" t="s">
        <v>825</v>
      </c>
      <c r="F967" t="s">
        <v>4835</v>
      </c>
      <c r="G967" t="s">
        <v>219</v>
      </c>
      <c r="H967" t="s">
        <v>4001</v>
      </c>
      <c r="I967">
        <v>44992</v>
      </c>
      <c r="J967" t="s">
        <v>2052</v>
      </c>
      <c r="K967">
        <v>45091</v>
      </c>
      <c r="L967">
        <v>99</v>
      </c>
      <c r="M967" t="s">
        <v>5716</v>
      </c>
      <c r="N967" t="s">
        <v>120</v>
      </c>
      <c r="O967">
        <v>45108</v>
      </c>
      <c r="P967" t="s">
        <v>120</v>
      </c>
      <c r="Q967">
        <v>18755</v>
      </c>
      <c r="R967" t="s">
        <v>1922</v>
      </c>
      <c r="S967">
        <v>0</v>
      </c>
      <c r="T967">
        <v>0</v>
      </c>
      <c r="U967">
        <v>18755</v>
      </c>
      <c r="V967">
        <v>32313</v>
      </c>
      <c r="W967">
        <v>0</v>
      </c>
      <c r="AB967" t="s">
        <v>29</v>
      </c>
      <c r="AC967" t="s">
        <v>29</v>
      </c>
      <c r="AD967" t="s">
        <v>116</v>
      </c>
      <c r="AE967" t="s">
        <v>756</v>
      </c>
      <c r="AF967" t="s">
        <v>116</v>
      </c>
      <c r="AG967" t="s">
        <v>116</v>
      </c>
      <c r="AH967" t="s">
        <v>116</v>
      </c>
      <c r="AM967" t="s">
        <v>709</v>
      </c>
      <c r="AY967" t="s">
        <v>29</v>
      </c>
      <c r="BA967">
        <v>3</v>
      </c>
      <c r="BB967" t="s">
        <v>709</v>
      </c>
      <c r="BH967" t="s">
        <v>5142</v>
      </c>
      <c r="BI967" t="s">
        <v>709</v>
      </c>
      <c r="BJ967" t="s">
        <v>116</v>
      </c>
      <c r="BK967" t="s">
        <v>709</v>
      </c>
      <c r="BL967" t="s">
        <v>709</v>
      </c>
      <c r="BM967" t="s">
        <v>709</v>
      </c>
      <c r="BN967">
        <v>32173</v>
      </c>
      <c r="BO967" t="s">
        <v>709</v>
      </c>
      <c r="BP967" t="s">
        <v>709</v>
      </c>
      <c r="BQ967">
        <v>41</v>
      </c>
      <c r="BR967" t="s">
        <v>709</v>
      </c>
      <c r="BS967">
        <v>99</v>
      </c>
      <c r="BT967" t="s">
        <v>709</v>
      </c>
      <c r="BU967" t="s">
        <v>709</v>
      </c>
      <c r="BV967" t="s">
        <v>709</v>
      </c>
      <c r="BW967" t="s">
        <v>709</v>
      </c>
      <c r="BX967">
        <v>1</v>
      </c>
      <c r="BY967" t="s">
        <v>709</v>
      </c>
      <c r="BZ967" t="s">
        <v>709</v>
      </c>
      <c r="CB967">
        <v>966</v>
      </c>
      <c r="CC967" t="b">
        <v>1</v>
      </c>
      <c r="CD967" t="s">
        <v>5717</v>
      </c>
      <c r="CE967" s="1482">
        <v>45880.737928240742</v>
      </c>
    </row>
    <row r="968" spans="1:83" x14ac:dyDescent="0.25">
      <c r="A968">
        <v>2023</v>
      </c>
      <c r="B968" t="s">
        <v>771</v>
      </c>
      <c r="C968" t="s">
        <v>494</v>
      </c>
      <c r="D968">
        <v>1312367</v>
      </c>
      <c r="E968" t="s">
        <v>1004</v>
      </c>
      <c r="F968" t="s">
        <v>1515</v>
      </c>
      <c r="G968" t="s">
        <v>219</v>
      </c>
      <c r="H968" t="s">
        <v>3178</v>
      </c>
      <c r="I968">
        <v>45090</v>
      </c>
      <c r="J968" t="s">
        <v>2052</v>
      </c>
      <c r="K968">
        <v>45091</v>
      </c>
      <c r="L968">
        <v>1</v>
      </c>
      <c r="M968" t="s">
        <v>5718</v>
      </c>
      <c r="N968" t="s">
        <v>120</v>
      </c>
      <c r="O968">
        <v>45108</v>
      </c>
      <c r="P968" t="s">
        <v>120</v>
      </c>
      <c r="Q968">
        <v>1635</v>
      </c>
      <c r="R968" t="s">
        <v>1922</v>
      </c>
      <c r="S968">
        <v>0</v>
      </c>
      <c r="T968">
        <v>0</v>
      </c>
      <c r="U968">
        <v>1635</v>
      </c>
      <c r="V968">
        <v>1021</v>
      </c>
      <c r="W968">
        <v>0</v>
      </c>
      <c r="AD968" t="s">
        <v>116</v>
      </c>
      <c r="AE968" t="s">
        <v>756</v>
      </c>
      <c r="AF968" t="s">
        <v>116</v>
      </c>
      <c r="AG968" t="s">
        <v>116</v>
      </c>
      <c r="AH968" t="s">
        <v>116</v>
      </c>
      <c r="AM968" t="s">
        <v>709</v>
      </c>
      <c r="AY968" t="s">
        <v>29</v>
      </c>
      <c r="BA968">
        <v>9</v>
      </c>
      <c r="BB968" t="s">
        <v>116</v>
      </c>
      <c r="BH968" t="s">
        <v>5719</v>
      </c>
      <c r="BI968" t="s">
        <v>709</v>
      </c>
      <c r="BJ968" t="s">
        <v>709</v>
      </c>
      <c r="BK968" t="s">
        <v>116</v>
      </c>
      <c r="BL968" t="s">
        <v>709</v>
      </c>
      <c r="BM968">
        <v>1016</v>
      </c>
      <c r="BN968">
        <v>5</v>
      </c>
      <c r="BO968" t="s">
        <v>709</v>
      </c>
      <c r="BP968" t="s">
        <v>709</v>
      </c>
      <c r="BQ968" t="s">
        <v>709</v>
      </c>
      <c r="BR968" t="s">
        <v>709</v>
      </c>
      <c r="BS968" t="s">
        <v>709</v>
      </c>
      <c r="BT968" t="s">
        <v>709</v>
      </c>
      <c r="BU968" t="s">
        <v>709</v>
      </c>
      <c r="BV968" t="s">
        <v>709</v>
      </c>
      <c r="BW968" t="s">
        <v>709</v>
      </c>
      <c r="BX968" t="s">
        <v>709</v>
      </c>
      <c r="BY968" t="s">
        <v>709</v>
      </c>
      <c r="BZ968" t="s">
        <v>709</v>
      </c>
      <c r="CB968">
        <v>965</v>
      </c>
      <c r="CC968" t="b">
        <v>1</v>
      </c>
      <c r="CD968" t="s">
        <v>5720</v>
      </c>
      <c r="CE968" s="1482">
        <v>45880.737939814811</v>
      </c>
    </row>
    <row r="969" spans="1:83" ht="330" x14ac:dyDescent="0.25">
      <c r="A969">
        <v>2023</v>
      </c>
      <c r="B969" t="s">
        <v>4</v>
      </c>
      <c r="C969" t="s">
        <v>5721</v>
      </c>
      <c r="D969" t="s">
        <v>115</v>
      </c>
      <c r="E969" t="s">
        <v>272</v>
      </c>
      <c r="F969" t="s">
        <v>747</v>
      </c>
      <c r="G969" t="s">
        <v>26</v>
      </c>
      <c r="H969" t="s">
        <v>1681</v>
      </c>
      <c r="I969">
        <v>45064</v>
      </c>
      <c r="J969">
        <v>45114</v>
      </c>
      <c r="K969">
        <v>45092</v>
      </c>
      <c r="L969">
        <v>22</v>
      </c>
      <c r="N969" t="s">
        <v>120</v>
      </c>
      <c r="O969">
        <v>45100</v>
      </c>
      <c r="P969" t="s">
        <v>739</v>
      </c>
      <c r="Q969" t="s">
        <v>115</v>
      </c>
      <c r="R969" t="s">
        <v>115</v>
      </c>
      <c r="AB969" t="s">
        <v>29</v>
      </c>
      <c r="AC969" t="s">
        <v>29</v>
      </c>
      <c r="AD969" t="s">
        <v>29</v>
      </c>
      <c r="AM969" t="s">
        <v>709</v>
      </c>
      <c r="AY969" t="s">
        <v>29</v>
      </c>
      <c r="BA969" s="4" t="s">
        <v>5722</v>
      </c>
      <c r="BB969" t="s">
        <v>5723</v>
      </c>
      <c r="BC969" t="s">
        <v>116</v>
      </c>
      <c r="BD969" t="s">
        <v>709</v>
      </c>
      <c r="BE969" t="s">
        <v>1242</v>
      </c>
      <c r="BF969" t="s">
        <v>709</v>
      </c>
      <c r="BG969" t="s">
        <v>709</v>
      </c>
      <c r="CA969" t="s">
        <v>915</v>
      </c>
      <c r="CB969">
        <v>967</v>
      </c>
      <c r="CC969" t="b">
        <v>1</v>
      </c>
      <c r="CD969" t="s">
        <v>5724</v>
      </c>
      <c r="CE969" s="1482">
        <v>45880.737939814811</v>
      </c>
    </row>
    <row r="970" spans="1:83" x14ac:dyDescent="0.25">
      <c r="A970">
        <v>2023</v>
      </c>
      <c r="B970" t="s">
        <v>771</v>
      </c>
      <c r="C970" t="s">
        <v>248</v>
      </c>
      <c r="D970">
        <v>1211332</v>
      </c>
      <c r="E970" t="s">
        <v>249</v>
      </c>
      <c r="F970" t="s">
        <v>784</v>
      </c>
      <c r="G970" t="s">
        <v>36</v>
      </c>
      <c r="H970" t="s">
        <v>3178</v>
      </c>
      <c r="I970">
        <v>45096</v>
      </c>
      <c r="J970" t="s">
        <v>2052</v>
      </c>
      <c r="K970">
        <v>45098</v>
      </c>
      <c r="L970">
        <v>2</v>
      </c>
      <c r="M970" t="s">
        <v>5725</v>
      </c>
      <c r="N970" t="s">
        <v>120</v>
      </c>
      <c r="O970">
        <v>45108</v>
      </c>
      <c r="P970" t="s">
        <v>120</v>
      </c>
      <c r="Q970">
        <v>4350</v>
      </c>
      <c r="R970" t="s">
        <v>1922</v>
      </c>
      <c r="S970">
        <v>0</v>
      </c>
      <c r="T970">
        <v>0</v>
      </c>
      <c r="U970">
        <v>4350</v>
      </c>
      <c r="V970">
        <v>3092</v>
      </c>
      <c r="W970">
        <v>0</v>
      </c>
      <c r="AD970" t="s">
        <v>29</v>
      </c>
      <c r="AE970" t="s">
        <v>116</v>
      </c>
      <c r="AF970" t="s">
        <v>116</v>
      </c>
      <c r="AG970" t="s">
        <v>709</v>
      </c>
      <c r="AH970" t="s">
        <v>709</v>
      </c>
      <c r="AM970" t="s">
        <v>709</v>
      </c>
      <c r="AY970" t="s">
        <v>29</v>
      </c>
      <c r="BA970">
        <v>4</v>
      </c>
      <c r="BB970" t="s">
        <v>116</v>
      </c>
      <c r="BH970" t="s">
        <v>4815</v>
      </c>
      <c r="BI970" t="s">
        <v>709</v>
      </c>
      <c r="BJ970" t="s">
        <v>709</v>
      </c>
      <c r="BK970" t="s">
        <v>116</v>
      </c>
      <c r="BL970" t="s">
        <v>709</v>
      </c>
      <c r="BM970">
        <v>135</v>
      </c>
      <c r="BN970">
        <v>2870</v>
      </c>
      <c r="BO970" t="s">
        <v>709</v>
      </c>
      <c r="BP970" t="s">
        <v>709</v>
      </c>
      <c r="BQ970">
        <v>87</v>
      </c>
      <c r="BR970" t="s">
        <v>709</v>
      </c>
      <c r="BS970" t="s">
        <v>709</v>
      </c>
      <c r="BT970" t="s">
        <v>709</v>
      </c>
      <c r="BU970" t="s">
        <v>709</v>
      </c>
      <c r="BV970" t="s">
        <v>709</v>
      </c>
      <c r="BW970" t="s">
        <v>709</v>
      </c>
      <c r="BX970">
        <v>1</v>
      </c>
      <c r="BY970" t="s">
        <v>709</v>
      </c>
      <c r="BZ970" t="s">
        <v>709</v>
      </c>
      <c r="CB970">
        <v>969</v>
      </c>
      <c r="CC970" t="b">
        <v>1</v>
      </c>
      <c r="CD970" t="s">
        <v>5726</v>
      </c>
      <c r="CE970" s="1482">
        <v>45880.737951388888</v>
      </c>
    </row>
    <row r="971" spans="1:83" ht="375" x14ac:dyDescent="0.25">
      <c r="A971">
        <v>2023</v>
      </c>
      <c r="B971" t="s">
        <v>4</v>
      </c>
      <c r="C971" t="s">
        <v>390</v>
      </c>
      <c r="D971" t="s">
        <v>941</v>
      </c>
      <c r="E971" t="s">
        <v>391</v>
      </c>
      <c r="F971" t="s">
        <v>784</v>
      </c>
      <c r="G971" t="s">
        <v>28</v>
      </c>
      <c r="H971" t="s">
        <v>59</v>
      </c>
      <c r="I971">
        <v>45006</v>
      </c>
      <c r="J971">
        <v>45107</v>
      </c>
      <c r="K971">
        <v>45098</v>
      </c>
      <c r="L971">
        <v>9</v>
      </c>
      <c r="N971" t="s">
        <v>120</v>
      </c>
      <c r="O971">
        <v>45098</v>
      </c>
      <c r="P971" t="s">
        <v>739</v>
      </c>
      <c r="Q971">
        <v>38837.468999999997</v>
      </c>
      <c r="R971">
        <v>0.1</v>
      </c>
      <c r="V971">
        <v>413</v>
      </c>
      <c r="W971">
        <v>0</v>
      </c>
      <c r="X971">
        <v>366075.82</v>
      </c>
      <c r="Z971">
        <v>22298.87</v>
      </c>
      <c r="AA971">
        <v>388374.69</v>
      </c>
      <c r="AB971">
        <v>45090</v>
      </c>
      <c r="AC971" t="s">
        <v>116</v>
      </c>
      <c r="AD971" t="s">
        <v>29</v>
      </c>
      <c r="AM971" t="s">
        <v>116</v>
      </c>
      <c r="AN971">
        <v>45377</v>
      </c>
      <c r="AO971">
        <v>11080464</v>
      </c>
      <c r="AP971">
        <v>400878.68</v>
      </c>
      <c r="AR971">
        <v>23468.15</v>
      </c>
      <c r="AS971">
        <v>424346.83</v>
      </c>
      <c r="AT971">
        <v>35972.14</v>
      </c>
      <c r="AU971">
        <v>3597.2139999999999</v>
      </c>
      <c r="AV971">
        <v>0</v>
      </c>
      <c r="AW971" t="s">
        <v>942</v>
      </c>
      <c r="AX971">
        <v>3597.21</v>
      </c>
      <c r="AY971">
        <v>45566</v>
      </c>
      <c r="AZ971">
        <v>88</v>
      </c>
      <c r="BA971" s="4" t="s">
        <v>943</v>
      </c>
      <c r="BB971" t="s">
        <v>944</v>
      </c>
      <c r="BC971" t="s">
        <v>116</v>
      </c>
      <c r="BD971" t="s">
        <v>709</v>
      </c>
      <c r="BE971" t="s">
        <v>944</v>
      </c>
      <c r="BF971" t="s">
        <v>945</v>
      </c>
      <c r="BG971" t="s">
        <v>709</v>
      </c>
      <c r="BH971" t="s">
        <v>946</v>
      </c>
      <c r="BI971" t="s">
        <v>709</v>
      </c>
      <c r="BJ971" t="s">
        <v>709</v>
      </c>
      <c r="BK971" t="s">
        <v>709</v>
      </c>
      <c r="BL971" t="s">
        <v>116</v>
      </c>
      <c r="BM971" t="s">
        <v>709</v>
      </c>
      <c r="BN971" t="s">
        <v>709</v>
      </c>
      <c r="BO971" t="s">
        <v>709</v>
      </c>
      <c r="BP971">
        <v>413</v>
      </c>
      <c r="BQ971" t="s">
        <v>709</v>
      </c>
      <c r="BR971" t="s">
        <v>709</v>
      </c>
      <c r="BS971" t="s">
        <v>709</v>
      </c>
      <c r="BT971" t="s">
        <v>709</v>
      </c>
      <c r="BU971" t="s">
        <v>709</v>
      </c>
      <c r="BV971" t="s">
        <v>709</v>
      </c>
      <c r="BW971" t="s">
        <v>709</v>
      </c>
      <c r="BX971" t="s">
        <v>745</v>
      </c>
      <c r="BY971" t="s">
        <v>709</v>
      </c>
      <c r="BZ971" t="s">
        <v>709</v>
      </c>
      <c r="CB971">
        <v>968</v>
      </c>
      <c r="CC971" t="b">
        <v>1</v>
      </c>
      <c r="CD971" t="s">
        <v>5727</v>
      </c>
      <c r="CE971" s="1482">
        <v>45880.737962962965</v>
      </c>
    </row>
    <row r="972" spans="1:83" x14ac:dyDescent="0.25">
      <c r="A972">
        <v>2023</v>
      </c>
      <c r="B972" t="s">
        <v>771</v>
      </c>
      <c r="C972" t="s">
        <v>3984</v>
      </c>
      <c r="D972" t="s">
        <v>3985</v>
      </c>
      <c r="E972" t="s">
        <v>342</v>
      </c>
      <c r="F972" t="s">
        <v>784</v>
      </c>
      <c r="G972" t="s">
        <v>23</v>
      </c>
      <c r="H972" t="s">
        <v>2723</v>
      </c>
      <c r="I972">
        <v>45068</v>
      </c>
      <c r="J972" t="s">
        <v>2724</v>
      </c>
      <c r="K972">
        <v>45099</v>
      </c>
      <c r="L972">
        <v>31</v>
      </c>
      <c r="M972" t="s">
        <v>5728</v>
      </c>
      <c r="N972" t="s">
        <v>120</v>
      </c>
      <c r="O972">
        <v>45108</v>
      </c>
      <c r="P972" t="s">
        <v>120</v>
      </c>
      <c r="Q972">
        <v>3180</v>
      </c>
      <c r="R972" t="s">
        <v>1922</v>
      </c>
      <c r="S972">
        <v>0</v>
      </c>
      <c r="T972">
        <v>0</v>
      </c>
      <c r="U972">
        <v>3180</v>
      </c>
      <c r="V972">
        <v>10653</v>
      </c>
      <c r="W972">
        <v>0</v>
      </c>
      <c r="AB972" t="s">
        <v>29</v>
      </c>
      <c r="AC972" t="s">
        <v>29</v>
      </c>
      <c r="AD972" t="s">
        <v>116</v>
      </c>
      <c r="AE972" t="s">
        <v>116</v>
      </c>
      <c r="AF972" t="s">
        <v>116</v>
      </c>
      <c r="AG972" t="s">
        <v>709</v>
      </c>
      <c r="AH972" t="s">
        <v>709</v>
      </c>
      <c r="AM972" t="s">
        <v>709</v>
      </c>
      <c r="AY972" t="s">
        <v>29</v>
      </c>
      <c r="BH972" t="s">
        <v>5729</v>
      </c>
      <c r="BI972" t="s">
        <v>709</v>
      </c>
      <c r="BJ972" t="s">
        <v>709</v>
      </c>
      <c r="BK972" t="s">
        <v>709</v>
      </c>
      <c r="BL972" t="s">
        <v>116</v>
      </c>
      <c r="BM972" t="s">
        <v>709</v>
      </c>
      <c r="BN972" t="s">
        <v>709</v>
      </c>
      <c r="BO972" t="s">
        <v>709</v>
      </c>
      <c r="BP972">
        <v>3715</v>
      </c>
      <c r="BQ972">
        <v>450</v>
      </c>
      <c r="BR972">
        <v>326</v>
      </c>
      <c r="BS972">
        <v>6089</v>
      </c>
      <c r="BT972" t="s">
        <v>709</v>
      </c>
      <c r="BU972" t="s">
        <v>709</v>
      </c>
      <c r="BV972">
        <v>1</v>
      </c>
      <c r="BW972" t="s">
        <v>709</v>
      </c>
      <c r="BX972" t="s">
        <v>745</v>
      </c>
      <c r="BY972" t="s">
        <v>709</v>
      </c>
      <c r="BZ972" t="s">
        <v>709</v>
      </c>
      <c r="CB972">
        <v>970</v>
      </c>
      <c r="CC972" t="b">
        <v>1</v>
      </c>
      <c r="CD972" t="s">
        <v>5730</v>
      </c>
      <c r="CE972" s="1482">
        <v>45880.737974537034</v>
      </c>
    </row>
    <row r="973" spans="1:83" x14ac:dyDescent="0.25">
      <c r="A973">
        <v>2023</v>
      </c>
      <c r="B973" t="s">
        <v>730</v>
      </c>
      <c r="C973" t="s">
        <v>816</v>
      </c>
      <c r="D973">
        <v>1011885</v>
      </c>
      <c r="E973" t="s">
        <v>818</v>
      </c>
      <c r="F973" t="s">
        <v>752</v>
      </c>
      <c r="G973" t="s">
        <v>34</v>
      </c>
      <c r="H973" t="s">
        <v>5731</v>
      </c>
      <c r="I973">
        <v>45091</v>
      </c>
      <c r="J973" t="s">
        <v>2612</v>
      </c>
      <c r="K973">
        <v>45103</v>
      </c>
      <c r="L973">
        <v>12</v>
      </c>
      <c r="M973" t="s">
        <v>5732</v>
      </c>
      <c r="N973" t="s">
        <v>120</v>
      </c>
      <c r="O973">
        <v>45108</v>
      </c>
      <c r="P973" t="s">
        <v>120</v>
      </c>
      <c r="Q973">
        <v>1820</v>
      </c>
      <c r="R973" t="s">
        <v>1922</v>
      </c>
      <c r="S973">
        <v>0</v>
      </c>
      <c r="T973">
        <v>0</v>
      </c>
      <c r="U973">
        <v>1820</v>
      </c>
      <c r="V973" t="s">
        <v>29</v>
      </c>
      <c r="W973" t="s">
        <v>29</v>
      </c>
      <c r="AB973" t="s">
        <v>29</v>
      </c>
      <c r="AC973" t="s">
        <v>29</v>
      </c>
      <c r="AD973" t="s">
        <v>29</v>
      </c>
      <c r="AE973" t="s">
        <v>29</v>
      </c>
      <c r="AF973" t="s">
        <v>29</v>
      </c>
      <c r="AG973" t="s">
        <v>29</v>
      </c>
      <c r="AH973" t="s">
        <v>29</v>
      </c>
      <c r="AM973" t="s">
        <v>709</v>
      </c>
      <c r="AY973" t="s">
        <v>29</v>
      </c>
      <c r="BA973" t="s">
        <v>29</v>
      </c>
      <c r="BB973" t="s">
        <v>116</v>
      </c>
      <c r="BH973" t="s">
        <v>5733</v>
      </c>
      <c r="BI973" t="s">
        <v>709</v>
      </c>
      <c r="BJ973" t="s">
        <v>709</v>
      </c>
      <c r="BK973" t="s">
        <v>709</v>
      </c>
      <c r="BL973" t="s">
        <v>116</v>
      </c>
      <c r="BM973" t="s">
        <v>709</v>
      </c>
      <c r="BN973" t="s">
        <v>709</v>
      </c>
      <c r="BO973" t="s">
        <v>709</v>
      </c>
      <c r="BP973" t="s">
        <v>709</v>
      </c>
      <c r="BQ973" t="s">
        <v>709</v>
      </c>
      <c r="BR973" t="s">
        <v>709</v>
      </c>
      <c r="BS973">
        <v>1228</v>
      </c>
      <c r="BT973" t="s">
        <v>709</v>
      </c>
      <c r="BU973" t="s">
        <v>709</v>
      </c>
      <c r="BV973" t="s">
        <v>709</v>
      </c>
      <c r="BW973" t="s">
        <v>709</v>
      </c>
      <c r="BX973" t="s">
        <v>709</v>
      </c>
      <c r="BY973" t="s">
        <v>709</v>
      </c>
      <c r="BZ973" t="s">
        <v>709</v>
      </c>
      <c r="CA973" t="s">
        <v>2</v>
      </c>
      <c r="CB973">
        <v>971</v>
      </c>
      <c r="CC973" t="b">
        <v>1</v>
      </c>
      <c r="CD973" t="s">
        <v>5734</v>
      </c>
      <c r="CE973" s="1482">
        <v>45880.737986111111</v>
      </c>
    </row>
    <row r="974" spans="1:83" x14ac:dyDescent="0.25">
      <c r="A974">
        <v>2023</v>
      </c>
      <c r="B974" t="s">
        <v>759</v>
      </c>
      <c r="C974" t="s">
        <v>604</v>
      </c>
      <c r="D974" t="s">
        <v>5735</v>
      </c>
      <c r="E974" t="s">
        <v>160</v>
      </c>
      <c r="F974" t="s">
        <v>752</v>
      </c>
      <c r="G974" t="s">
        <v>37</v>
      </c>
      <c r="H974" t="s">
        <v>59</v>
      </c>
      <c r="I974">
        <v>45012</v>
      </c>
      <c r="J974">
        <v>45107</v>
      </c>
      <c r="K974">
        <v>45104</v>
      </c>
      <c r="L974">
        <v>3</v>
      </c>
      <c r="N974" t="s">
        <v>120</v>
      </c>
      <c r="O974">
        <v>45104</v>
      </c>
      <c r="P974" t="s">
        <v>120</v>
      </c>
      <c r="Q974">
        <v>14750</v>
      </c>
      <c r="R974" t="s">
        <v>5223</v>
      </c>
      <c r="V974">
        <v>313</v>
      </c>
      <c r="W974">
        <v>1</v>
      </c>
      <c r="X974">
        <v>525202.22</v>
      </c>
      <c r="Y974">
        <v>45070</v>
      </c>
      <c r="Z974">
        <v>69393.89</v>
      </c>
      <c r="AA974">
        <v>594596.11</v>
      </c>
      <c r="AB974">
        <v>45118</v>
      </c>
      <c r="AC974" t="s">
        <v>1441</v>
      </c>
      <c r="AD974" t="s">
        <v>29</v>
      </c>
      <c r="AM974" t="s">
        <v>709</v>
      </c>
      <c r="AY974" t="s">
        <v>29</v>
      </c>
      <c r="BA974" t="s">
        <v>5736</v>
      </c>
      <c r="BB974" t="s">
        <v>5737</v>
      </c>
      <c r="BC974" t="s">
        <v>709</v>
      </c>
      <c r="BD974" t="s">
        <v>4949</v>
      </c>
      <c r="BE974" t="s">
        <v>605</v>
      </c>
      <c r="BF974" t="s">
        <v>115</v>
      </c>
      <c r="BG974" t="s">
        <v>115</v>
      </c>
      <c r="BH974" t="s">
        <v>5738</v>
      </c>
      <c r="BI974" t="s">
        <v>709</v>
      </c>
      <c r="BJ974" t="s">
        <v>709</v>
      </c>
      <c r="BK974" t="s">
        <v>116</v>
      </c>
      <c r="BL974" t="s">
        <v>709</v>
      </c>
      <c r="BM974" t="s">
        <v>709</v>
      </c>
      <c r="BN974" t="s">
        <v>709</v>
      </c>
      <c r="BO974" t="s">
        <v>709</v>
      </c>
      <c r="BP974">
        <v>28</v>
      </c>
      <c r="BQ974">
        <v>145</v>
      </c>
      <c r="BR974">
        <v>45</v>
      </c>
      <c r="BS974">
        <v>5</v>
      </c>
      <c r="BT974">
        <v>1</v>
      </c>
      <c r="BU974" t="s">
        <v>709</v>
      </c>
      <c r="BV974" t="s">
        <v>709</v>
      </c>
      <c r="BW974">
        <v>1</v>
      </c>
      <c r="BX974">
        <v>1</v>
      </c>
      <c r="BY974" t="s">
        <v>709</v>
      </c>
      <c r="BZ974" t="s">
        <v>709</v>
      </c>
      <c r="CB974">
        <v>972</v>
      </c>
      <c r="CC974" t="b">
        <v>1</v>
      </c>
      <c r="CD974" t="s">
        <v>5739</v>
      </c>
      <c r="CE974" s="1482">
        <v>45880.737986111111</v>
      </c>
    </row>
    <row r="975" spans="1:83" x14ac:dyDescent="0.25">
      <c r="A975">
        <v>2023</v>
      </c>
      <c r="B975" t="s">
        <v>730</v>
      </c>
      <c r="C975" t="s">
        <v>1533</v>
      </c>
      <c r="D975" t="s">
        <v>1534</v>
      </c>
      <c r="E975" t="s">
        <v>1535</v>
      </c>
      <c r="F975" t="s">
        <v>752</v>
      </c>
      <c r="G975" t="s">
        <v>24</v>
      </c>
      <c r="H975" t="s">
        <v>59</v>
      </c>
      <c r="I975">
        <v>44980</v>
      </c>
      <c r="J975">
        <v>45107</v>
      </c>
      <c r="K975">
        <v>45104</v>
      </c>
      <c r="L975">
        <v>3</v>
      </c>
      <c r="N975" t="s">
        <v>120</v>
      </c>
      <c r="O975">
        <v>45108</v>
      </c>
      <c r="P975" t="s">
        <v>120</v>
      </c>
      <c r="Q975">
        <v>62040.957300000002</v>
      </c>
      <c r="R975">
        <v>0.09</v>
      </c>
      <c r="V975">
        <v>1876</v>
      </c>
      <c r="W975">
        <v>2</v>
      </c>
      <c r="X975">
        <v>595893.63</v>
      </c>
      <c r="Y975">
        <v>45049</v>
      </c>
      <c r="Z975">
        <v>93450.34</v>
      </c>
      <c r="AA975">
        <v>689343.97</v>
      </c>
      <c r="AB975">
        <v>45083</v>
      </c>
      <c r="AC975" t="s">
        <v>29</v>
      </c>
      <c r="AD975" t="s">
        <v>29</v>
      </c>
      <c r="AE975" t="s">
        <v>116</v>
      </c>
      <c r="AF975" t="s">
        <v>756</v>
      </c>
      <c r="AG975" t="s">
        <v>116</v>
      </c>
      <c r="AH975" t="s">
        <v>116</v>
      </c>
      <c r="AM975" t="s">
        <v>116</v>
      </c>
      <c r="AN975" t="s">
        <v>709</v>
      </c>
      <c r="AO975">
        <v>11059557</v>
      </c>
      <c r="AS975">
        <v>0</v>
      </c>
      <c r="AT975">
        <v>0</v>
      </c>
      <c r="AU975">
        <v>0</v>
      </c>
      <c r="AY975" t="s">
        <v>709</v>
      </c>
      <c r="AZ975">
        <v>47</v>
      </c>
      <c r="BA975" t="s">
        <v>5740</v>
      </c>
      <c r="BB975" t="s">
        <v>1537</v>
      </c>
      <c r="BC975" t="s">
        <v>115</v>
      </c>
      <c r="BD975" t="s">
        <v>115</v>
      </c>
      <c r="BE975" t="s">
        <v>1538</v>
      </c>
      <c r="BF975" t="s">
        <v>115</v>
      </c>
      <c r="BG975" t="s">
        <v>115</v>
      </c>
      <c r="BH975" t="s">
        <v>1539</v>
      </c>
      <c r="BI975" t="s">
        <v>709</v>
      </c>
      <c r="BJ975" t="s">
        <v>709</v>
      </c>
      <c r="BK975" t="s">
        <v>709</v>
      </c>
      <c r="BL975" t="s">
        <v>116</v>
      </c>
      <c r="BM975" t="s">
        <v>709</v>
      </c>
      <c r="BN975" t="s">
        <v>709</v>
      </c>
      <c r="BO975" t="s">
        <v>709</v>
      </c>
      <c r="BP975" t="s">
        <v>709</v>
      </c>
      <c r="BQ975" t="s">
        <v>709</v>
      </c>
      <c r="BR975">
        <v>1287</v>
      </c>
      <c r="BS975">
        <v>589</v>
      </c>
      <c r="BT975" t="s">
        <v>709</v>
      </c>
      <c r="BU975" t="s">
        <v>709</v>
      </c>
      <c r="BV975" t="s">
        <v>709</v>
      </c>
      <c r="BW975" t="s">
        <v>709</v>
      </c>
      <c r="BX975" t="s">
        <v>745</v>
      </c>
      <c r="BY975" t="s">
        <v>709</v>
      </c>
      <c r="BZ975" t="s">
        <v>709</v>
      </c>
      <c r="CB975">
        <v>974</v>
      </c>
      <c r="CC975" t="b">
        <v>1</v>
      </c>
      <c r="CD975" t="s">
        <v>5741</v>
      </c>
      <c r="CE975" s="1482">
        <v>45880.737997685188</v>
      </c>
    </row>
    <row r="976" spans="1:83" ht="255" x14ac:dyDescent="0.25">
      <c r="A976">
        <v>2023</v>
      </c>
      <c r="B976" t="s">
        <v>730</v>
      </c>
      <c r="C976" t="s">
        <v>823</v>
      </c>
      <c r="D976" t="s">
        <v>824</v>
      </c>
      <c r="E976" t="s">
        <v>825</v>
      </c>
      <c r="F976" t="s">
        <v>752</v>
      </c>
      <c r="G976" t="s">
        <v>37</v>
      </c>
      <c r="H976" t="s">
        <v>59</v>
      </c>
      <c r="I976">
        <v>44981</v>
      </c>
      <c r="J976">
        <v>45107</v>
      </c>
      <c r="K976">
        <v>45104</v>
      </c>
      <c r="L976">
        <v>3</v>
      </c>
      <c r="N976" t="s">
        <v>120</v>
      </c>
      <c r="O976">
        <v>45108</v>
      </c>
      <c r="P976" t="s">
        <v>120</v>
      </c>
      <c r="Q976">
        <v>30697.238700000002</v>
      </c>
      <c r="R976">
        <v>0.09</v>
      </c>
      <c r="V976">
        <v>698</v>
      </c>
      <c r="W976">
        <v>0</v>
      </c>
      <c r="X976">
        <v>264573.13</v>
      </c>
      <c r="Y976">
        <v>45051</v>
      </c>
      <c r="Z976">
        <v>76507.3</v>
      </c>
      <c r="AA976">
        <v>341080.43</v>
      </c>
      <c r="AB976">
        <v>45117</v>
      </c>
      <c r="AC976" t="s">
        <v>29</v>
      </c>
      <c r="AD976" t="s">
        <v>29</v>
      </c>
      <c r="AE976" t="s">
        <v>116</v>
      </c>
      <c r="AF976" t="s">
        <v>756</v>
      </c>
      <c r="AG976" t="s">
        <v>116</v>
      </c>
      <c r="AH976" t="s">
        <v>116</v>
      </c>
      <c r="AM976" t="s">
        <v>116</v>
      </c>
      <c r="AN976">
        <v>45316</v>
      </c>
      <c r="AO976">
        <v>11059512</v>
      </c>
      <c r="AP976">
        <v>264599.78000000003</v>
      </c>
      <c r="AR976">
        <v>76507.3</v>
      </c>
      <c r="AS976">
        <v>341107.08</v>
      </c>
      <c r="AT976">
        <v>26.65</v>
      </c>
      <c r="AU976">
        <v>2.3984999999999999</v>
      </c>
      <c r="AV976">
        <v>3182.5</v>
      </c>
      <c r="AW976" s="4" t="s">
        <v>5742</v>
      </c>
      <c r="AX976">
        <v>0</v>
      </c>
      <c r="AY976">
        <v>45566</v>
      </c>
      <c r="AZ976">
        <v>48</v>
      </c>
      <c r="BA976" t="s">
        <v>827</v>
      </c>
      <c r="BB976" t="s">
        <v>828</v>
      </c>
      <c r="BC976" t="s">
        <v>992</v>
      </c>
      <c r="BD976" t="s">
        <v>757</v>
      </c>
      <c r="BE976" t="s">
        <v>829</v>
      </c>
      <c r="BF976" t="s">
        <v>830</v>
      </c>
      <c r="BG976" t="s">
        <v>115</v>
      </c>
      <c r="BH976" t="s">
        <v>831</v>
      </c>
      <c r="BI976" t="s">
        <v>709</v>
      </c>
      <c r="BJ976" t="s">
        <v>709</v>
      </c>
      <c r="BK976" t="s">
        <v>709</v>
      </c>
      <c r="BL976" t="s">
        <v>116</v>
      </c>
      <c r="BM976" t="s">
        <v>709</v>
      </c>
      <c r="BN976" t="s">
        <v>709</v>
      </c>
      <c r="BO976" t="s">
        <v>709</v>
      </c>
      <c r="BP976" t="s">
        <v>709</v>
      </c>
      <c r="BQ976" t="s">
        <v>709</v>
      </c>
      <c r="BR976">
        <v>698</v>
      </c>
      <c r="BS976" t="s">
        <v>709</v>
      </c>
      <c r="BT976" t="s">
        <v>709</v>
      </c>
      <c r="BU976" t="s">
        <v>709</v>
      </c>
      <c r="BV976" t="s">
        <v>709</v>
      </c>
      <c r="BW976" t="s">
        <v>709</v>
      </c>
      <c r="BX976" t="s">
        <v>745</v>
      </c>
      <c r="BY976" t="s">
        <v>709</v>
      </c>
      <c r="BZ976" t="s">
        <v>709</v>
      </c>
      <c r="CA976" t="s">
        <v>769</v>
      </c>
      <c r="CB976">
        <v>975</v>
      </c>
      <c r="CC976" t="b">
        <v>1</v>
      </c>
      <c r="CD976" t="s">
        <v>5743</v>
      </c>
      <c r="CE976" s="1482">
        <v>45880.738009259258</v>
      </c>
    </row>
    <row r="977" spans="1:83" x14ac:dyDescent="0.25">
      <c r="A977">
        <v>2024</v>
      </c>
      <c r="B977" t="s">
        <v>730</v>
      </c>
      <c r="C977" t="s">
        <v>5744</v>
      </c>
      <c r="D977" t="s">
        <v>5745</v>
      </c>
      <c r="E977" t="s">
        <v>2511</v>
      </c>
      <c r="F977" t="s">
        <v>752</v>
      </c>
      <c r="G977" t="s">
        <v>37</v>
      </c>
      <c r="H977" t="s">
        <v>59</v>
      </c>
      <c r="I977">
        <v>44981</v>
      </c>
      <c r="J977">
        <v>45107</v>
      </c>
      <c r="K977">
        <v>45104</v>
      </c>
      <c r="L977">
        <v>3</v>
      </c>
      <c r="N977" t="s">
        <v>120</v>
      </c>
      <c r="O977">
        <v>45104</v>
      </c>
      <c r="P977" t="s">
        <v>120</v>
      </c>
      <c r="Q977">
        <v>12750</v>
      </c>
      <c r="R977" t="s">
        <v>5194</v>
      </c>
      <c r="V977">
        <v>80</v>
      </c>
      <c r="W977">
        <v>1</v>
      </c>
      <c r="X977">
        <v>159216.1</v>
      </c>
      <c r="Y977">
        <v>45042</v>
      </c>
      <c r="Z977">
        <v>58093.45</v>
      </c>
      <c r="AA977">
        <v>217309.55</v>
      </c>
      <c r="AB977">
        <v>45112</v>
      </c>
      <c r="AC977" t="s">
        <v>709</v>
      </c>
      <c r="AM977" t="s">
        <v>709</v>
      </c>
      <c r="AY977" t="s">
        <v>29</v>
      </c>
      <c r="BA977" t="s">
        <v>5746</v>
      </c>
      <c r="BB977" t="s">
        <v>5747</v>
      </c>
      <c r="BC977" t="s">
        <v>115</v>
      </c>
      <c r="BD977" t="s">
        <v>1066</v>
      </c>
      <c r="BE977" t="s">
        <v>115</v>
      </c>
      <c r="BF977" t="s">
        <v>3685</v>
      </c>
      <c r="BG977" t="s">
        <v>115</v>
      </c>
      <c r="BH977" t="s">
        <v>5748</v>
      </c>
      <c r="BI977" t="s">
        <v>709</v>
      </c>
      <c r="BJ977" t="s">
        <v>709</v>
      </c>
      <c r="BK977" t="s">
        <v>116</v>
      </c>
      <c r="BL977" t="s">
        <v>116</v>
      </c>
      <c r="BM977" t="s">
        <v>709</v>
      </c>
      <c r="BN977" t="s">
        <v>709</v>
      </c>
      <c r="BO977" t="s">
        <v>709</v>
      </c>
      <c r="BP977" t="s">
        <v>709</v>
      </c>
      <c r="BQ977" t="s">
        <v>709</v>
      </c>
      <c r="BR977" t="s">
        <v>709</v>
      </c>
      <c r="BS977">
        <v>80</v>
      </c>
      <c r="BT977" t="s">
        <v>709</v>
      </c>
      <c r="BU977">
        <v>1</v>
      </c>
      <c r="BV977" t="s">
        <v>709</v>
      </c>
      <c r="BW977" t="s">
        <v>709</v>
      </c>
      <c r="BX977">
        <v>1</v>
      </c>
      <c r="BY977" t="s">
        <v>709</v>
      </c>
      <c r="BZ977" t="s">
        <v>709</v>
      </c>
      <c r="CB977">
        <v>973</v>
      </c>
      <c r="CC977" t="b">
        <v>1</v>
      </c>
      <c r="CD977" t="s">
        <v>5749</v>
      </c>
      <c r="CE977" s="1482">
        <v>45880.738020833334</v>
      </c>
    </row>
    <row r="978" spans="1:83" x14ac:dyDescent="0.25">
      <c r="A978">
        <v>2023</v>
      </c>
      <c r="B978" t="s">
        <v>730</v>
      </c>
      <c r="C978" t="s">
        <v>1426</v>
      </c>
      <c r="D978">
        <v>1212088</v>
      </c>
      <c r="E978" t="s">
        <v>1428</v>
      </c>
      <c r="F978" t="s">
        <v>752</v>
      </c>
      <c r="G978" t="s">
        <v>24</v>
      </c>
      <c r="H978" t="s">
        <v>4189</v>
      </c>
      <c r="I978">
        <v>45099</v>
      </c>
      <c r="J978" t="s">
        <v>2052</v>
      </c>
      <c r="K978">
        <v>45105</v>
      </c>
      <c r="L978">
        <v>6</v>
      </c>
      <c r="M978" t="s">
        <v>5750</v>
      </c>
      <c r="N978" t="s">
        <v>120</v>
      </c>
      <c r="O978">
        <v>45108</v>
      </c>
      <c r="P978" t="s">
        <v>120</v>
      </c>
      <c r="Q978">
        <v>1925</v>
      </c>
      <c r="R978" t="s">
        <v>1922</v>
      </c>
      <c r="S978">
        <v>0</v>
      </c>
      <c r="T978">
        <v>0</v>
      </c>
      <c r="U978">
        <v>1925</v>
      </c>
      <c r="V978" t="s">
        <v>29</v>
      </c>
      <c r="W978" t="s">
        <v>29</v>
      </c>
      <c r="AB978" t="s">
        <v>29</v>
      </c>
      <c r="AC978" t="s">
        <v>29</v>
      </c>
      <c r="AD978" t="s">
        <v>29</v>
      </c>
      <c r="AM978" t="s">
        <v>709</v>
      </c>
      <c r="AY978" t="s">
        <v>29</v>
      </c>
      <c r="BA978">
        <v>10</v>
      </c>
      <c r="BB978" t="s">
        <v>116</v>
      </c>
      <c r="BH978" t="s">
        <v>5751</v>
      </c>
      <c r="BI978" t="s">
        <v>709</v>
      </c>
      <c r="BJ978" t="s">
        <v>709</v>
      </c>
      <c r="BK978" t="s">
        <v>709</v>
      </c>
      <c r="BL978" t="s">
        <v>116</v>
      </c>
      <c r="BM978" t="s">
        <v>709</v>
      </c>
      <c r="BN978" t="s">
        <v>709</v>
      </c>
      <c r="BO978" t="s">
        <v>709</v>
      </c>
      <c r="BP978" t="s">
        <v>709</v>
      </c>
      <c r="BQ978" t="s">
        <v>709</v>
      </c>
      <c r="BR978">
        <v>3047</v>
      </c>
      <c r="BS978">
        <v>30</v>
      </c>
      <c r="BT978" t="s">
        <v>709</v>
      </c>
      <c r="BU978" t="s">
        <v>709</v>
      </c>
      <c r="BV978" t="s">
        <v>709</v>
      </c>
      <c r="BW978" t="s">
        <v>709</v>
      </c>
      <c r="BX978" t="s">
        <v>709</v>
      </c>
      <c r="BY978" t="s">
        <v>709</v>
      </c>
      <c r="BZ978" t="s">
        <v>709</v>
      </c>
      <c r="CB978">
        <v>977</v>
      </c>
      <c r="CC978" t="b">
        <v>1</v>
      </c>
      <c r="CD978" t="s">
        <v>5752</v>
      </c>
      <c r="CE978" s="1482">
        <v>45880.738020833334</v>
      </c>
    </row>
    <row r="979" spans="1:83" ht="150" x14ac:dyDescent="0.25">
      <c r="A979">
        <v>2023</v>
      </c>
      <c r="B979" t="s">
        <v>759</v>
      </c>
      <c r="C979" t="s">
        <v>760</v>
      </c>
      <c r="D979" t="s">
        <v>761</v>
      </c>
      <c r="E979" t="s">
        <v>762</v>
      </c>
      <c r="F979" t="s">
        <v>752</v>
      </c>
      <c r="G979" t="s">
        <v>34</v>
      </c>
      <c r="H979" t="s">
        <v>59</v>
      </c>
      <c r="I979">
        <v>44965</v>
      </c>
      <c r="J979">
        <v>45107</v>
      </c>
      <c r="K979">
        <v>45105</v>
      </c>
      <c r="L979">
        <v>2</v>
      </c>
      <c r="N979" t="s">
        <v>120</v>
      </c>
      <c r="O979">
        <v>45108</v>
      </c>
      <c r="P979" t="s">
        <v>120</v>
      </c>
      <c r="Q979">
        <v>100782.077</v>
      </c>
      <c r="R979">
        <v>0.11</v>
      </c>
      <c r="V979">
        <v>682</v>
      </c>
      <c r="W979">
        <v>1</v>
      </c>
      <c r="X979">
        <v>759209.61</v>
      </c>
      <c r="Y979">
        <v>45049</v>
      </c>
      <c r="Z979">
        <v>156991.09</v>
      </c>
      <c r="AA979">
        <v>916200.7</v>
      </c>
      <c r="AB979">
        <v>45125</v>
      </c>
      <c r="AC979" t="s">
        <v>763</v>
      </c>
      <c r="AD979" t="s">
        <v>29</v>
      </c>
      <c r="AE979" t="s">
        <v>116</v>
      </c>
      <c r="AF979" t="s">
        <v>756</v>
      </c>
      <c r="AG979" t="s">
        <v>116</v>
      </c>
      <c r="AH979" t="s">
        <v>116</v>
      </c>
      <c r="AM979" t="s">
        <v>116</v>
      </c>
      <c r="AN979">
        <v>45309</v>
      </c>
      <c r="AO979">
        <v>11031821</v>
      </c>
      <c r="AP979">
        <v>759339.67</v>
      </c>
      <c r="AR979">
        <v>156991.09</v>
      </c>
      <c r="AS979">
        <v>916330.76</v>
      </c>
      <c r="AT979">
        <v>130.06</v>
      </c>
      <c r="AU979">
        <v>14.3066</v>
      </c>
      <c r="AV979" t="s">
        <v>29</v>
      </c>
      <c r="AW979" t="s">
        <v>764</v>
      </c>
      <c r="AX979">
        <v>14.31</v>
      </c>
      <c r="AY979">
        <v>45566</v>
      </c>
      <c r="AZ979">
        <v>155</v>
      </c>
      <c r="BA979" t="s">
        <v>765</v>
      </c>
      <c r="BB979" s="4" t="s">
        <v>766</v>
      </c>
      <c r="BC979" t="s">
        <v>115</v>
      </c>
      <c r="BD979" t="s">
        <v>115</v>
      </c>
      <c r="BE979" t="s">
        <v>767</v>
      </c>
      <c r="BF979" t="s">
        <v>115</v>
      </c>
      <c r="BG979" t="s">
        <v>115</v>
      </c>
      <c r="BH979" t="s">
        <v>768</v>
      </c>
      <c r="BI979" t="s">
        <v>709</v>
      </c>
      <c r="BJ979" t="s">
        <v>709</v>
      </c>
      <c r="BK979" t="s">
        <v>116</v>
      </c>
      <c r="BL979" t="s">
        <v>116</v>
      </c>
      <c r="BM979" t="s">
        <v>709</v>
      </c>
      <c r="BN979" t="s">
        <v>709</v>
      </c>
      <c r="BO979" t="s">
        <v>709</v>
      </c>
      <c r="BP979" t="s">
        <v>709</v>
      </c>
      <c r="BQ979">
        <v>69</v>
      </c>
      <c r="BR979">
        <v>435</v>
      </c>
      <c r="BS979">
        <v>10</v>
      </c>
      <c r="BT979">
        <v>1</v>
      </c>
      <c r="BU979" t="s">
        <v>709</v>
      </c>
      <c r="BV979" t="s">
        <v>709</v>
      </c>
      <c r="BW979" t="s">
        <v>709</v>
      </c>
      <c r="BX979">
        <v>1</v>
      </c>
      <c r="BY979" t="s">
        <v>709</v>
      </c>
      <c r="BZ979" t="s">
        <v>709</v>
      </c>
      <c r="CA979" t="s">
        <v>769</v>
      </c>
      <c r="CB979">
        <v>976</v>
      </c>
      <c r="CC979" t="b">
        <v>1</v>
      </c>
      <c r="CD979" t="s">
        <v>5753</v>
      </c>
      <c r="CE979" s="1482">
        <v>45880.738032407404</v>
      </c>
    </row>
    <row r="980" spans="1:83" x14ac:dyDescent="0.25">
      <c r="A980">
        <v>2023</v>
      </c>
      <c r="B980" t="s">
        <v>771</v>
      </c>
      <c r="C980" t="s">
        <v>931</v>
      </c>
      <c r="D980">
        <v>1312007</v>
      </c>
      <c r="E980" t="s">
        <v>887</v>
      </c>
      <c r="F980" t="s">
        <v>784</v>
      </c>
      <c r="G980" t="s">
        <v>5754</v>
      </c>
      <c r="H980" t="s">
        <v>4001</v>
      </c>
      <c r="I980">
        <v>45099</v>
      </c>
      <c r="J980" t="s">
        <v>2052</v>
      </c>
      <c r="K980">
        <v>45106</v>
      </c>
      <c r="L980">
        <v>7</v>
      </c>
      <c r="M980" t="s">
        <v>5755</v>
      </c>
      <c r="N980" t="s">
        <v>120</v>
      </c>
      <c r="O980">
        <v>45108</v>
      </c>
      <c r="P980" t="s">
        <v>120</v>
      </c>
      <c r="Q980">
        <v>570</v>
      </c>
      <c r="R980" t="s">
        <v>1922</v>
      </c>
      <c r="S980">
        <v>0</v>
      </c>
      <c r="T980">
        <v>0</v>
      </c>
      <c r="U980">
        <v>570</v>
      </c>
      <c r="V980">
        <v>10084</v>
      </c>
      <c r="W980">
        <v>0</v>
      </c>
      <c r="AB980" t="s">
        <v>29</v>
      </c>
      <c r="AC980" t="s">
        <v>29</v>
      </c>
      <c r="AD980" t="s">
        <v>29</v>
      </c>
      <c r="AE980" t="s">
        <v>709</v>
      </c>
      <c r="AF980" t="s">
        <v>756</v>
      </c>
      <c r="AG980" t="s">
        <v>116</v>
      </c>
      <c r="AH980" t="s">
        <v>709</v>
      </c>
      <c r="AM980" t="s">
        <v>709</v>
      </c>
      <c r="AY980" t="s">
        <v>29</v>
      </c>
      <c r="BA980">
        <v>4</v>
      </c>
      <c r="BB980" t="s">
        <v>116</v>
      </c>
      <c r="BH980" t="s">
        <v>5458</v>
      </c>
      <c r="BI980" t="s">
        <v>709</v>
      </c>
      <c r="BJ980" t="s">
        <v>709</v>
      </c>
      <c r="BK980" t="s">
        <v>709</v>
      </c>
      <c r="BL980" t="s">
        <v>116</v>
      </c>
      <c r="BM980">
        <v>0</v>
      </c>
      <c r="BN980">
        <v>0</v>
      </c>
      <c r="BO980">
        <v>0</v>
      </c>
      <c r="BP980">
        <v>0</v>
      </c>
      <c r="BQ980">
        <v>6343</v>
      </c>
      <c r="BR980">
        <v>103</v>
      </c>
      <c r="BS980">
        <v>3638</v>
      </c>
      <c r="BT980">
        <v>0</v>
      </c>
      <c r="BU980">
        <v>0</v>
      </c>
      <c r="BV980">
        <v>0</v>
      </c>
      <c r="BW980">
        <v>0</v>
      </c>
      <c r="BX980">
        <v>0</v>
      </c>
      <c r="BY980">
        <v>0</v>
      </c>
      <c r="BZ980" t="s">
        <v>709</v>
      </c>
      <c r="CB980">
        <v>978</v>
      </c>
      <c r="CC980" t="b">
        <v>1</v>
      </c>
      <c r="CD980" t="s">
        <v>5756</v>
      </c>
      <c r="CE980" s="1482">
        <v>45880.738043981481</v>
      </c>
    </row>
    <row r="981" spans="1:83" x14ac:dyDescent="0.25">
      <c r="A981">
        <v>2023</v>
      </c>
      <c r="B981" t="s">
        <v>1073</v>
      </c>
      <c r="C981" t="s">
        <v>544</v>
      </c>
      <c r="D981" t="s">
        <v>1540</v>
      </c>
      <c r="E981" t="s">
        <v>1492</v>
      </c>
      <c r="F981" t="s">
        <v>784</v>
      </c>
      <c r="G981" t="s">
        <v>31</v>
      </c>
      <c r="H981" t="s">
        <v>59</v>
      </c>
      <c r="I981">
        <v>44978</v>
      </c>
      <c r="J981">
        <v>45106</v>
      </c>
      <c r="K981">
        <v>45106</v>
      </c>
      <c r="L981">
        <v>0</v>
      </c>
      <c r="N981" t="s">
        <v>120</v>
      </c>
      <c r="O981">
        <v>45108</v>
      </c>
      <c r="P981" t="s">
        <v>739</v>
      </c>
      <c r="Q981">
        <v>217618.17120000001</v>
      </c>
      <c r="R981">
        <v>0.08</v>
      </c>
      <c r="V981">
        <v>7379</v>
      </c>
      <c r="W981">
        <v>1</v>
      </c>
      <c r="X981">
        <v>2642675.2400000002</v>
      </c>
      <c r="Z981">
        <v>77551.899999999994</v>
      </c>
      <c r="AA981">
        <v>2720227.14</v>
      </c>
      <c r="AB981">
        <v>45107</v>
      </c>
      <c r="AC981" t="s">
        <v>116</v>
      </c>
      <c r="AD981" t="s">
        <v>29</v>
      </c>
      <c r="AE981" t="s">
        <v>756</v>
      </c>
      <c r="AF981" t="s">
        <v>29</v>
      </c>
      <c r="AG981" t="s">
        <v>116</v>
      </c>
      <c r="AH981" t="s">
        <v>29</v>
      </c>
      <c r="AM981" t="s">
        <v>116</v>
      </c>
      <c r="AN981">
        <v>45657</v>
      </c>
      <c r="AO981">
        <v>11060045</v>
      </c>
      <c r="AP981">
        <v>1082126.52</v>
      </c>
      <c r="AR981">
        <v>0</v>
      </c>
      <c r="AS981">
        <v>1082126.52</v>
      </c>
      <c r="AT981">
        <v>-1638100.62</v>
      </c>
      <c r="AU981">
        <v>-131048.0496</v>
      </c>
      <c r="AV981">
        <v>24035</v>
      </c>
      <c r="AW981" t="s">
        <v>5757</v>
      </c>
      <c r="AX981">
        <v>0</v>
      </c>
      <c r="AY981">
        <v>45901</v>
      </c>
      <c r="AZ981">
        <v>15</v>
      </c>
      <c r="BA981" t="s">
        <v>1541</v>
      </c>
      <c r="BB981" t="s">
        <v>1542</v>
      </c>
      <c r="BC981" t="s">
        <v>116</v>
      </c>
      <c r="BD981" t="s">
        <v>115</v>
      </c>
      <c r="BE981" t="s">
        <v>545</v>
      </c>
      <c r="BF981" t="s">
        <v>115</v>
      </c>
      <c r="BG981" t="s">
        <v>1543</v>
      </c>
      <c r="BH981" t="s">
        <v>1544</v>
      </c>
      <c r="BI981" t="s">
        <v>116</v>
      </c>
      <c r="BJ981" t="s">
        <v>709</v>
      </c>
      <c r="BK981" t="s">
        <v>709</v>
      </c>
      <c r="BL981" t="s">
        <v>116</v>
      </c>
      <c r="BM981" t="s">
        <v>709</v>
      </c>
      <c r="BN981" t="s">
        <v>709</v>
      </c>
      <c r="BO981" t="s">
        <v>709</v>
      </c>
      <c r="BP981">
        <v>4800</v>
      </c>
      <c r="BQ981">
        <v>2447</v>
      </c>
      <c r="BR981">
        <v>45</v>
      </c>
      <c r="BS981">
        <v>5</v>
      </c>
      <c r="BT981">
        <v>1</v>
      </c>
      <c r="BU981" t="s">
        <v>709</v>
      </c>
      <c r="BV981" t="s">
        <v>709</v>
      </c>
      <c r="BW981" t="s">
        <v>709</v>
      </c>
      <c r="BX981">
        <v>1</v>
      </c>
      <c r="BY981" t="s">
        <v>709</v>
      </c>
      <c r="BZ981" t="s">
        <v>709</v>
      </c>
      <c r="CB981">
        <v>982</v>
      </c>
      <c r="CC981" t="b">
        <v>1</v>
      </c>
      <c r="CD981" t="s">
        <v>5758</v>
      </c>
      <c r="CE981" s="1482">
        <v>45880.738055555557</v>
      </c>
    </row>
    <row r="982" spans="1:83" ht="270" x14ac:dyDescent="0.25">
      <c r="A982">
        <v>2023</v>
      </c>
      <c r="B982" t="s">
        <v>4</v>
      </c>
      <c r="C982" t="s">
        <v>5759</v>
      </c>
      <c r="D982" t="s">
        <v>5760</v>
      </c>
      <c r="E982" t="s">
        <v>232</v>
      </c>
      <c r="F982" t="s">
        <v>747</v>
      </c>
      <c r="G982" t="s">
        <v>28</v>
      </c>
      <c r="H982" t="s">
        <v>59</v>
      </c>
      <c r="I982">
        <v>44631</v>
      </c>
      <c r="J982">
        <v>45107</v>
      </c>
      <c r="K982">
        <v>45106</v>
      </c>
      <c r="L982">
        <v>1</v>
      </c>
      <c r="N982" t="s">
        <v>120</v>
      </c>
      <c r="O982">
        <v>45108</v>
      </c>
      <c r="P982" t="s">
        <v>739</v>
      </c>
      <c r="Q982">
        <v>227123.802</v>
      </c>
      <c r="R982">
        <v>0.1</v>
      </c>
      <c r="V982">
        <v>5187</v>
      </c>
      <c r="W982">
        <v>0</v>
      </c>
      <c r="X982">
        <v>1144369.94</v>
      </c>
      <c r="Z982">
        <v>1126868.08</v>
      </c>
      <c r="AA982">
        <v>2271238.02</v>
      </c>
      <c r="AB982">
        <v>45105</v>
      </c>
      <c r="AC982" t="s">
        <v>709</v>
      </c>
      <c r="AD982" t="s">
        <v>116</v>
      </c>
      <c r="AE982" t="s">
        <v>756</v>
      </c>
      <c r="AF982" t="s">
        <v>756</v>
      </c>
      <c r="AG982" t="s">
        <v>116</v>
      </c>
      <c r="AH982">
        <v>45222</v>
      </c>
      <c r="AM982" t="s">
        <v>116</v>
      </c>
      <c r="AN982">
        <v>45187</v>
      </c>
      <c r="AO982">
        <v>11069130</v>
      </c>
      <c r="AP982">
        <v>1144512.71</v>
      </c>
      <c r="AQ982">
        <v>45043</v>
      </c>
      <c r="AR982">
        <v>1126868.5</v>
      </c>
      <c r="AS982">
        <v>2271381.21</v>
      </c>
      <c r="AT982">
        <v>143.19</v>
      </c>
      <c r="AU982">
        <v>14.319000000000001</v>
      </c>
      <c r="AV982">
        <v>10582.5</v>
      </c>
      <c r="AW982" s="4" t="s">
        <v>5761</v>
      </c>
      <c r="AX982">
        <v>0</v>
      </c>
      <c r="AY982">
        <v>45352</v>
      </c>
      <c r="BA982" s="4" t="s">
        <v>5762</v>
      </c>
      <c r="BB982" t="s">
        <v>1045</v>
      </c>
      <c r="BC982" t="s">
        <v>116</v>
      </c>
      <c r="BD982" t="s">
        <v>837</v>
      </c>
      <c r="BE982" t="s">
        <v>595</v>
      </c>
      <c r="BF982" t="s">
        <v>745</v>
      </c>
      <c r="BG982" t="s">
        <v>709</v>
      </c>
      <c r="BH982" t="s">
        <v>5763</v>
      </c>
      <c r="BI982" t="s">
        <v>709</v>
      </c>
      <c r="BJ982" t="s">
        <v>709</v>
      </c>
      <c r="BK982" t="s">
        <v>709</v>
      </c>
      <c r="BL982" t="s">
        <v>116</v>
      </c>
      <c r="BM982" t="s">
        <v>709</v>
      </c>
      <c r="BN982" t="s">
        <v>709</v>
      </c>
      <c r="BO982" t="s">
        <v>709</v>
      </c>
      <c r="BP982" t="s">
        <v>709</v>
      </c>
      <c r="BQ982" t="s">
        <v>709</v>
      </c>
      <c r="BR982">
        <v>4883</v>
      </c>
      <c r="BS982">
        <v>304</v>
      </c>
      <c r="BT982" t="s">
        <v>709</v>
      </c>
      <c r="BU982" t="s">
        <v>709</v>
      </c>
      <c r="BV982" t="s">
        <v>709</v>
      </c>
      <c r="BW982" t="s">
        <v>709</v>
      </c>
      <c r="BX982" t="s">
        <v>745</v>
      </c>
      <c r="BY982" t="s">
        <v>709</v>
      </c>
      <c r="BZ982" t="s">
        <v>709</v>
      </c>
      <c r="CB982">
        <v>979</v>
      </c>
      <c r="CC982" t="b">
        <v>1</v>
      </c>
      <c r="CD982" t="s">
        <v>5764</v>
      </c>
      <c r="CE982" s="1482">
        <v>45880.738067129627</v>
      </c>
    </row>
    <row r="983" spans="1:83" x14ac:dyDescent="0.25">
      <c r="A983">
        <v>2023</v>
      </c>
      <c r="B983" t="s">
        <v>4</v>
      </c>
      <c r="C983" t="s">
        <v>5765</v>
      </c>
      <c r="D983" t="s">
        <v>115</v>
      </c>
      <c r="E983" t="s">
        <v>918</v>
      </c>
      <c r="F983" t="s">
        <v>747</v>
      </c>
      <c r="G983" t="s">
        <v>27</v>
      </c>
      <c r="H983" t="s">
        <v>1681</v>
      </c>
      <c r="I983">
        <v>45056</v>
      </c>
      <c r="J983">
        <v>45156</v>
      </c>
      <c r="K983">
        <v>45106</v>
      </c>
      <c r="L983">
        <v>50</v>
      </c>
      <c r="N983" t="s">
        <v>120</v>
      </c>
      <c r="O983">
        <v>45108</v>
      </c>
      <c r="P983" t="s">
        <v>739</v>
      </c>
      <c r="Q983" t="s">
        <v>115</v>
      </c>
      <c r="R983" t="s">
        <v>115</v>
      </c>
      <c r="AB983" t="s">
        <v>29</v>
      </c>
      <c r="AC983" t="s">
        <v>29</v>
      </c>
      <c r="AD983" t="s">
        <v>29</v>
      </c>
      <c r="AE983" t="s">
        <v>756</v>
      </c>
      <c r="AF983" t="s">
        <v>29</v>
      </c>
      <c r="AG983" t="s">
        <v>29</v>
      </c>
      <c r="AH983">
        <v>45163</v>
      </c>
      <c r="AM983" t="s">
        <v>709</v>
      </c>
      <c r="AY983" t="s">
        <v>29</v>
      </c>
      <c r="BA983" t="s">
        <v>5766</v>
      </c>
      <c r="BB983" t="s">
        <v>5767</v>
      </c>
      <c r="BC983" t="s">
        <v>116</v>
      </c>
      <c r="BD983" t="s">
        <v>837</v>
      </c>
      <c r="BE983" t="s">
        <v>115</v>
      </c>
      <c r="BF983" t="s">
        <v>923</v>
      </c>
      <c r="BG983" t="s">
        <v>115</v>
      </c>
      <c r="CA983" t="s">
        <v>915</v>
      </c>
      <c r="CB983">
        <v>981</v>
      </c>
      <c r="CC983" t="b">
        <v>1</v>
      </c>
      <c r="CD983" t="s">
        <v>5768</v>
      </c>
      <c r="CE983" s="1482">
        <v>45880.738067129627</v>
      </c>
    </row>
    <row r="984" spans="1:83" x14ac:dyDescent="0.25">
      <c r="A984">
        <v>2023</v>
      </c>
      <c r="B984" t="s">
        <v>4</v>
      </c>
      <c r="C984" t="s">
        <v>5769</v>
      </c>
      <c r="D984" t="s">
        <v>5770</v>
      </c>
      <c r="E984" t="s">
        <v>2457</v>
      </c>
      <c r="F984" t="s">
        <v>747</v>
      </c>
      <c r="G984" t="s">
        <v>39</v>
      </c>
      <c r="H984" t="s">
        <v>5771</v>
      </c>
      <c r="I984">
        <v>45097</v>
      </c>
      <c r="J984">
        <v>45169</v>
      </c>
      <c r="K984">
        <v>45106</v>
      </c>
      <c r="L984">
        <v>63</v>
      </c>
      <c r="N984" t="s">
        <v>120</v>
      </c>
      <c r="O984">
        <v>45108</v>
      </c>
      <c r="P984" t="s">
        <v>739</v>
      </c>
      <c r="Q984" t="s">
        <v>115</v>
      </c>
      <c r="R984" t="s">
        <v>115</v>
      </c>
      <c r="AB984" t="s">
        <v>29</v>
      </c>
      <c r="AC984" t="s">
        <v>29</v>
      </c>
      <c r="AD984" t="s">
        <v>29</v>
      </c>
      <c r="AE984" t="s">
        <v>29</v>
      </c>
      <c r="AF984" t="s">
        <v>29</v>
      </c>
      <c r="AG984" t="s">
        <v>29</v>
      </c>
      <c r="AH984" t="s">
        <v>29</v>
      </c>
      <c r="AM984" t="s">
        <v>709</v>
      </c>
      <c r="AY984" t="s">
        <v>29</v>
      </c>
      <c r="BA984" t="s">
        <v>5772</v>
      </c>
      <c r="BB984" t="s">
        <v>877</v>
      </c>
      <c r="BC984" t="s">
        <v>915</v>
      </c>
      <c r="BD984" t="s">
        <v>915</v>
      </c>
      <c r="BE984" t="s">
        <v>915</v>
      </c>
      <c r="BF984" t="s">
        <v>915</v>
      </c>
      <c r="BG984" t="s">
        <v>915</v>
      </c>
      <c r="CA984" t="s">
        <v>915</v>
      </c>
      <c r="CB984">
        <v>980</v>
      </c>
      <c r="CC984" t="b">
        <v>1</v>
      </c>
      <c r="CD984" t="s">
        <v>5773</v>
      </c>
      <c r="CE984" s="1482">
        <v>45880.738078703704</v>
      </c>
    </row>
    <row r="985" spans="1:83" ht="360" x14ac:dyDescent="0.25">
      <c r="A985">
        <v>2023</v>
      </c>
      <c r="B985" t="s">
        <v>4</v>
      </c>
      <c r="C985" t="s">
        <v>5774</v>
      </c>
      <c r="D985" t="s">
        <v>115</v>
      </c>
      <c r="E985" t="s">
        <v>818</v>
      </c>
      <c r="F985" t="s">
        <v>851</v>
      </c>
      <c r="G985" t="s">
        <v>25</v>
      </c>
      <c r="H985" t="s">
        <v>1903</v>
      </c>
      <c r="I985">
        <v>45041</v>
      </c>
      <c r="J985">
        <v>45135</v>
      </c>
      <c r="K985">
        <v>45112</v>
      </c>
      <c r="L985">
        <v>23</v>
      </c>
      <c r="N985" t="s">
        <v>120</v>
      </c>
      <c r="O985">
        <v>45108</v>
      </c>
      <c r="P985" t="s">
        <v>739</v>
      </c>
      <c r="Q985" t="s">
        <v>115</v>
      </c>
      <c r="R985" t="s">
        <v>115</v>
      </c>
      <c r="AB985" t="s">
        <v>29</v>
      </c>
      <c r="AC985" t="s">
        <v>29</v>
      </c>
      <c r="AD985" t="s">
        <v>29</v>
      </c>
      <c r="AE985" t="s">
        <v>116</v>
      </c>
      <c r="AF985" t="s">
        <v>116</v>
      </c>
      <c r="AG985" t="s">
        <v>116</v>
      </c>
      <c r="AH985">
        <v>45097</v>
      </c>
      <c r="AM985" t="s">
        <v>709</v>
      </c>
      <c r="AY985" t="s">
        <v>29</v>
      </c>
      <c r="BA985" s="4" t="s">
        <v>5775</v>
      </c>
      <c r="BB985" t="s">
        <v>5776</v>
      </c>
      <c r="BC985" t="s">
        <v>709</v>
      </c>
      <c r="BD985" t="s">
        <v>709</v>
      </c>
      <c r="BE985" t="s">
        <v>822</v>
      </c>
      <c r="BF985" t="s">
        <v>709</v>
      </c>
      <c r="BG985" t="s">
        <v>709</v>
      </c>
      <c r="CA985" t="s">
        <v>915</v>
      </c>
      <c r="CB985">
        <v>983</v>
      </c>
      <c r="CC985" t="b">
        <v>1</v>
      </c>
      <c r="CD985" t="s">
        <v>5777</v>
      </c>
      <c r="CE985" s="1482">
        <v>45880.738078703704</v>
      </c>
    </row>
    <row r="986" spans="1:83" x14ac:dyDescent="0.25">
      <c r="A986">
        <v>2023</v>
      </c>
      <c r="B986" t="s">
        <v>759</v>
      </c>
      <c r="C986" t="s">
        <v>437</v>
      </c>
      <c r="D986" t="s">
        <v>5778</v>
      </c>
      <c r="E986" t="s">
        <v>438</v>
      </c>
      <c r="F986" t="s">
        <v>752</v>
      </c>
      <c r="G986" t="s">
        <v>34</v>
      </c>
      <c r="H986" t="s">
        <v>3178</v>
      </c>
      <c r="I986">
        <v>44838</v>
      </c>
      <c r="J986" t="s">
        <v>2052</v>
      </c>
      <c r="K986">
        <v>45118</v>
      </c>
      <c r="L986">
        <v>280</v>
      </c>
      <c r="M986" t="s">
        <v>5779</v>
      </c>
      <c r="N986" t="s">
        <v>120</v>
      </c>
      <c r="O986">
        <v>45108</v>
      </c>
      <c r="P986" t="s">
        <v>120</v>
      </c>
      <c r="Q986">
        <v>11715</v>
      </c>
      <c r="R986" t="s">
        <v>1922</v>
      </c>
      <c r="S986">
        <v>0</v>
      </c>
      <c r="T986">
        <v>0</v>
      </c>
      <c r="U986">
        <v>11715</v>
      </c>
      <c r="V986">
        <v>1127</v>
      </c>
      <c r="W986">
        <v>3</v>
      </c>
      <c r="AC986" t="s">
        <v>29</v>
      </c>
      <c r="AD986" t="s">
        <v>29</v>
      </c>
      <c r="AM986" t="s">
        <v>709</v>
      </c>
      <c r="AY986" t="s">
        <v>29</v>
      </c>
      <c r="BA986">
        <v>9</v>
      </c>
      <c r="BB986" t="s">
        <v>709</v>
      </c>
      <c r="BH986" t="s">
        <v>5780</v>
      </c>
      <c r="BI986" t="s">
        <v>709</v>
      </c>
      <c r="BJ986" t="s">
        <v>709</v>
      </c>
      <c r="BK986" t="s">
        <v>709</v>
      </c>
      <c r="BL986" t="s">
        <v>116</v>
      </c>
      <c r="BM986" t="s">
        <v>709</v>
      </c>
      <c r="BN986" t="s">
        <v>709</v>
      </c>
      <c r="BO986" t="s">
        <v>709</v>
      </c>
      <c r="BP986">
        <v>311</v>
      </c>
      <c r="BQ986">
        <v>676</v>
      </c>
      <c r="BR986">
        <v>45</v>
      </c>
      <c r="BS986">
        <v>5</v>
      </c>
      <c r="BT986">
        <v>1</v>
      </c>
      <c r="BU986" t="s">
        <v>709</v>
      </c>
      <c r="BV986" t="s">
        <v>709</v>
      </c>
      <c r="BW986">
        <v>1</v>
      </c>
      <c r="BX986">
        <v>1</v>
      </c>
      <c r="BY986" t="s">
        <v>709</v>
      </c>
      <c r="BZ986" t="s">
        <v>709</v>
      </c>
      <c r="CA986" t="s">
        <v>1022</v>
      </c>
      <c r="CB986">
        <v>984</v>
      </c>
      <c r="CC986" t="b">
        <v>1</v>
      </c>
      <c r="CD986" t="s">
        <v>5781</v>
      </c>
      <c r="CE986" s="1482">
        <v>45880.73809027778</v>
      </c>
    </row>
    <row r="987" spans="1:83" x14ac:dyDescent="0.25">
      <c r="A987">
        <v>2024</v>
      </c>
      <c r="B987" t="s">
        <v>771</v>
      </c>
      <c r="C987" t="s">
        <v>1552</v>
      </c>
      <c r="D987" t="s">
        <v>1553</v>
      </c>
      <c r="E987" t="s">
        <v>1554</v>
      </c>
      <c r="F987" t="s">
        <v>784</v>
      </c>
      <c r="G987" t="s">
        <v>23</v>
      </c>
      <c r="H987" t="s">
        <v>59</v>
      </c>
      <c r="I987">
        <v>44838</v>
      </c>
      <c r="J987">
        <v>45119</v>
      </c>
      <c r="K987">
        <v>45118</v>
      </c>
      <c r="L987">
        <v>1</v>
      </c>
      <c r="N987" t="s">
        <v>120</v>
      </c>
      <c r="O987">
        <v>45108</v>
      </c>
      <c r="P987" t="s">
        <v>120</v>
      </c>
      <c r="Q987">
        <v>200595.49110000001</v>
      </c>
      <c r="R987">
        <v>0.09</v>
      </c>
      <c r="V987">
        <v>3200</v>
      </c>
      <c r="W987">
        <v>0</v>
      </c>
      <c r="X987">
        <v>2198073.4900000002</v>
      </c>
      <c r="Z987">
        <v>30765.3</v>
      </c>
      <c r="AA987">
        <v>2228838.79</v>
      </c>
      <c r="AB987">
        <v>45131</v>
      </c>
      <c r="AC987" t="s">
        <v>116</v>
      </c>
      <c r="AD987" t="s">
        <v>116</v>
      </c>
      <c r="AE987" t="s">
        <v>116</v>
      </c>
      <c r="AF987" t="s">
        <v>116</v>
      </c>
      <c r="AG987" t="s">
        <v>116</v>
      </c>
      <c r="AH987" t="s">
        <v>116</v>
      </c>
      <c r="AM987" t="s">
        <v>116</v>
      </c>
      <c r="AN987" t="s">
        <v>709</v>
      </c>
      <c r="AO987">
        <v>11050933</v>
      </c>
      <c r="AS987">
        <v>0</v>
      </c>
      <c r="AT987">
        <v>0</v>
      </c>
      <c r="AU987">
        <v>0</v>
      </c>
      <c r="AY987" t="s">
        <v>709</v>
      </c>
      <c r="AZ987">
        <v>49</v>
      </c>
      <c r="BA987" t="s">
        <v>1555</v>
      </c>
      <c r="BB987" t="s">
        <v>1556</v>
      </c>
      <c r="BC987" t="s">
        <v>116</v>
      </c>
      <c r="BD987" t="s">
        <v>115</v>
      </c>
      <c r="BE987" t="s">
        <v>1557</v>
      </c>
      <c r="BF987" t="s">
        <v>115</v>
      </c>
      <c r="BG987" t="s">
        <v>115</v>
      </c>
      <c r="BH987" t="s">
        <v>1559</v>
      </c>
      <c r="BI987" t="s">
        <v>709</v>
      </c>
      <c r="BJ987" t="s">
        <v>709</v>
      </c>
      <c r="BK987" t="s">
        <v>709</v>
      </c>
      <c r="BL987" t="s">
        <v>116</v>
      </c>
      <c r="BM987" t="s">
        <v>709</v>
      </c>
      <c r="BN987" t="s">
        <v>709</v>
      </c>
      <c r="BO987" t="s">
        <v>709</v>
      </c>
      <c r="BP987">
        <v>1492</v>
      </c>
      <c r="BQ987">
        <v>1374</v>
      </c>
      <c r="BR987">
        <v>44</v>
      </c>
      <c r="BS987">
        <v>290</v>
      </c>
      <c r="BT987" t="s">
        <v>709</v>
      </c>
      <c r="BU987" t="s">
        <v>709</v>
      </c>
      <c r="BV987" t="s">
        <v>709</v>
      </c>
      <c r="BW987" t="s">
        <v>709</v>
      </c>
      <c r="BX987" t="s">
        <v>709</v>
      </c>
      <c r="BY987" t="s">
        <v>709</v>
      </c>
      <c r="BZ987" t="s">
        <v>709</v>
      </c>
      <c r="CB987">
        <v>985</v>
      </c>
      <c r="CC987" t="b">
        <v>1</v>
      </c>
      <c r="CD987" t="s">
        <v>5782</v>
      </c>
      <c r="CE987" s="1482">
        <v>45880.73810185185</v>
      </c>
    </row>
    <row r="988" spans="1:83" x14ac:dyDescent="0.25">
      <c r="A988">
        <v>2024</v>
      </c>
      <c r="B988" t="s">
        <v>771</v>
      </c>
      <c r="C988" t="s">
        <v>1545</v>
      </c>
      <c r="D988" t="s">
        <v>1546</v>
      </c>
      <c r="E988" t="s">
        <v>1200</v>
      </c>
      <c r="F988" t="s">
        <v>784</v>
      </c>
      <c r="G988" t="s">
        <v>23</v>
      </c>
      <c r="H988" t="s">
        <v>59</v>
      </c>
      <c r="I988">
        <v>44838</v>
      </c>
      <c r="J988">
        <v>45119</v>
      </c>
      <c r="K988">
        <v>45118</v>
      </c>
      <c r="L988">
        <v>1</v>
      </c>
      <c r="N988" t="s">
        <v>120</v>
      </c>
      <c r="O988">
        <v>45108</v>
      </c>
      <c r="P988" t="s">
        <v>120</v>
      </c>
      <c r="Q988">
        <v>247260.61259999999</v>
      </c>
      <c r="R988">
        <v>0.06</v>
      </c>
      <c r="V988">
        <v>5676</v>
      </c>
      <c r="W988">
        <v>0</v>
      </c>
      <c r="X988">
        <v>4068856.64</v>
      </c>
      <c r="Z988">
        <v>52153.57</v>
      </c>
      <c r="AA988">
        <v>4121010.21</v>
      </c>
      <c r="AB988">
        <v>45131</v>
      </c>
      <c r="AC988" t="s">
        <v>116</v>
      </c>
      <c r="AD988" t="s">
        <v>116</v>
      </c>
      <c r="AE988" t="s">
        <v>116</v>
      </c>
      <c r="AF988" t="s">
        <v>116</v>
      </c>
      <c r="AG988" t="s">
        <v>116</v>
      </c>
      <c r="AH988" t="s">
        <v>116</v>
      </c>
      <c r="AM988" t="s">
        <v>116</v>
      </c>
      <c r="AN988" t="s">
        <v>709</v>
      </c>
      <c r="AO988">
        <v>11067715</v>
      </c>
      <c r="AS988">
        <v>0</v>
      </c>
      <c r="AT988">
        <v>0</v>
      </c>
      <c r="AU988">
        <v>0</v>
      </c>
      <c r="AY988" t="s">
        <v>709</v>
      </c>
      <c r="AZ988">
        <v>7</v>
      </c>
      <c r="BA988" t="s">
        <v>1547</v>
      </c>
      <c r="BB988" t="s">
        <v>1548</v>
      </c>
      <c r="BC988" t="s">
        <v>116</v>
      </c>
      <c r="BD988" t="s">
        <v>115</v>
      </c>
      <c r="BE988" t="s">
        <v>1549</v>
      </c>
      <c r="BF988" t="s">
        <v>115</v>
      </c>
      <c r="BG988" t="s">
        <v>1550</v>
      </c>
      <c r="BH988" t="s">
        <v>1551</v>
      </c>
      <c r="BI988" t="s">
        <v>709</v>
      </c>
      <c r="BJ988" t="s">
        <v>709</v>
      </c>
      <c r="BK988" t="s">
        <v>709</v>
      </c>
      <c r="BL988" t="s">
        <v>116</v>
      </c>
      <c r="BM988" t="s">
        <v>709</v>
      </c>
      <c r="BN988" t="s">
        <v>709</v>
      </c>
      <c r="BO988" t="s">
        <v>709</v>
      </c>
      <c r="BP988">
        <v>704</v>
      </c>
      <c r="BQ988">
        <v>3943</v>
      </c>
      <c r="BR988">
        <v>74</v>
      </c>
      <c r="BS988">
        <v>954</v>
      </c>
      <c r="BT988" t="s">
        <v>709</v>
      </c>
      <c r="BU988" t="s">
        <v>709</v>
      </c>
      <c r="BV988" t="s">
        <v>709</v>
      </c>
      <c r="BW988" t="s">
        <v>709</v>
      </c>
      <c r="BX988" t="s">
        <v>745</v>
      </c>
      <c r="BY988" t="s">
        <v>709</v>
      </c>
      <c r="BZ988" t="s">
        <v>709</v>
      </c>
      <c r="CB988">
        <v>987</v>
      </c>
      <c r="CC988" t="b">
        <v>1</v>
      </c>
      <c r="CD988" t="s">
        <v>5783</v>
      </c>
      <c r="CE988" s="1482">
        <v>45880.73810185185</v>
      </c>
    </row>
    <row r="989" spans="1:83" ht="330" x14ac:dyDescent="0.25">
      <c r="A989">
        <v>2024</v>
      </c>
      <c r="B989" t="s">
        <v>771</v>
      </c>
      <c r="C989" t="s">
        <v>1560</v>
      </c>
      <c r="D989" t="s">
        <v>1561</v>
      </c>
      <c r="E989" t="s">
        <v>1200</v>
      </c>
      <c r="F989" t="s">
        <v>784</v>
      </c>
      <c r="G989" t="s">
        <v>22</v>
      </c>
      <c r="H989" t="s">
        <v>59</v>
      </c>
      <c r="I989">
        <v>44838</v>
      </c>
      <c r="J989">
        <v>45119</v>
      </c>
      <c r="K989">
        <v>45118</v>
      </c>
      <c r="L989">
        <v>1</v>
      </c>
      <c r="N989" t="s">
        <v>120</v>
      </c>
      <c r="O989">
        <v>45108</v>
      </c>
      <c r="P989" t="s">
        <v>120</v>
      </c>
      <c r="Q989">
        <v>265496.85680000001</v>
      </c>
      <c r="R989">
        <v>0.04</v>
      </c>
      <c r="V989">
        <v>10571</v>
      </c>
      <c r="W989">
        <v>0</v>
      </c>
      <c r="X989">
        <v>6496699.1200000001</v>
      </c>
      <c r="Z989">
        <v>140722.29999999999</v>
      </c>
      <c r="AA989">
        <v>6637421.4199999999</v>
      </c>
      <c r="AB989">
        <v>45131</v>
      </c>
      <c r="AC989" t="s">
        <v>116</v>
      </c>
      <c r="AD989" t="s">
        <v>116</v>
      </c>
      <c r="AE989" t="s">
        <v>116</v>
      </c>
      <c r="AF989" t="s">
        <v>116</v>
      </c>
      <c r="AG989" t="s">
        <v>116</v>
      </c>
      <c r="AH989" t="s">
        <v>116</v>
      </c>
      <c r="AM989" t="s">
        <v>116</v>
      </c>
      <c r="AN989" t="s">
        <v>709</v>
      </c>
      <c r="AO989">
        <v>11056658</v>
      </c>
      <c r="AS989">
        <v>0</v>
      </c>
      <c r="AT989">
        <v>0</v>
      </c>
      <c r="AU989">
        <v>0</v>
      </c>
      <c r="AY989" t="s">
        <v>709</v>
      </c>
      <c r="AZ989">
        <v>1</v>
      </c>
      <c r="BA989" s="4" t="s">
        <v>1562</v>
      </c>
      <c r="BB989" s="4" t="s">
        <v>1563</v>
      </c>
      <c r="BC989" t="s">
        <v>116</v>
      </c>
      <c r="BD989" t="s">
        <v>115</v>
      </c>
      <c r="BE989" t="s">
        <v>1203</v>
      </c>
      <c r="BF989" t="s">
        <v>115</v>
      </c>
      <c r="BG989" t="s">
        <v>1564</v>
      </c>
      <c r="BH989" t="s">
        <v>1565</v>
      </c>
      <c r="BI989" t="s">
        <v>709</v>
      </c>
      <c r="BJ989" t="s">
        <v>709</v>
      </c>
      <c r="BK989" t="s">
        <v>709</v>
      </c>
      <c r="BL989" t="s">
        <v>116</v>
      </c>
      <c r="BM989" t="s">
        <v>709</v>
      </c>
      <c r="BN989" t="s">
        <v>709</v>
      </c>
      <c r="BO989" t="s">
        <v>709</v>
      </c>
      <c r="BP989">
        <v>4375</v>
      </c>
      <c r="BQ989">
        <v>1866</v>
      </c>
      <c r="BR989" t="s">
        <v>709</v>
      </c>
      <c r="BS989">
        <v>4330</v>
      </c>
      <c r="BT989" t="s">
        <v>709</v>
      </c>
      <c r="BU989" t="s">
        <v>709</v>
      </c>
      <c r="BV989" t="s">
        <v>709</v>
      </c>
      <c r="BW989" t="s">
        <v>709</v>
      </c>
      <c r="BX989" t="s">
        <v>745</v>
      </c>
      <c r="BY989" t="s">
        <v>709</v>
      </c>
      <c r="BZ989" t="s">
        <v>709</v>
      </c>
      <c r="CB989">
        <v>986</v>
      </c>
      <c r="CC989" t="b">
        <v>1</v>
      </c>
      <c r="CD989" t="s">
        <v>5784</v>
      </c>
      <c r="CE989" s="1482">
        <v>45880.738113425927</v>
      </c>
    </row>
    <row r="990" spans="1:83" x14ac:dyDescent="0.25">
      <c r="A990">
        <v>2023</v>
      </c>
      <c r="B990" t="s">
        <v>769</v>
      </c>
      <c r="C990" t="s">
        <v>4403</v>
      </c>
      <c r="D990" t="s">
        <v>4404</v>
      </c>
      <c r="E990" t="s">
        <v>137</v>
      </c>
      <c r="F990" t="s">
        <v>752</v>
      </c>
      <c r="G990" t="s">
        <v>23</v>
      </c>
      <c r="H990" t="s">
        <v>3178</v>
      </c>
      <c r="I990">
        <v>45113</v>
      </c>
      <c r="J990" t="s">
        <v>2052</v>
      </c>
      <c r="K990">
        <v>45119</v>
      </c>
      <c r="L990">
        <v>6</v>
      </c>
      <c r="M990" t="s">
        <v>5785</v>
      </c>
      <c r="N990" t="s">
        <v>120</v>
      </c>
      <c r="O990">
        <v>45108</v>
      </c>
      <c r="P990" t="s">
        <v>120</v>
      </c>
      <c r="Q990">
        <v>2210</v>
      </c>
      <c r="R990" t="s">
        <v>1922</v>
      </c>
      <c r="S990">
        <v>0</v>
      </c>
      <c r="T990">
        <v>0</v>
      </c>
      <c r="U990">
        <v>2210</v>
      </c>
      <c r="V990">
        <v>4632</v>
      </c>
      <c r="W990">
        <v>1</v>
      </c>
      <c r="AB990" t="s">
        <v>29</v>
      </c>
      <c r="AC990" t="s">
        <v>29</v>
      </c>
      <c r="AD990" t="s">
        <v>116</v>
      </c>
      <c r="AM990" t="s">
        <v>709</v>
      </c>
      <c r="AY990" t="s">
        <v>29</v>
      </c>
      <c r="BA990">
        <v>4</v>
      </c>
      <c r="BB990" t="s">
        <v>116</v>
      </c>
      <c r="BH990" t="s">
        <v>5786</v>
      </c>
      <c r="BI990" t="s">
        <v>709</v>
      </c>
      <c r="BJ990" t="s">
        <v>709</v>
      </c>
      <c r="BK990" t="s">
        <v>709</v>
      </c>
      <c r="BL990" t="s">
        <v>116</v>
      </c>
      <c r="BM990" t="s">
        <v>709</v>
      </c>
      <c r="BN990" t="s">
        <v>709</v>
      </c>
      <c r="BO990" t="s">
        <v>709</v>
      </c>
      <c r="BP990" t="s">
        <v>709</v>
      </c>
      <c r="BQ990" t="s">
        <v>709</v>
      </c>
      <c r="BR990">
        <v>3599</v>
      </c>
      <c r="BS990">
        <v>1033</v>
      </c>
      <c r="BT990" t="s">
        <v>709</v>
      </c>
      <c r="BU990" t="s">
        <v>709</v>
      </c>
      <c r="BV990" t="s">
        <v>709</v>
      </c>
      <c r="BW990">
        <v>1</v>
      </c>
      <c r="BX990" t="s">
        <v>709</v>
      </c>
      <c r="BY990" t="s">
        <v>709</v>
      </c>
      <c r="BZ990" t="s">
        <v>709</v>
      </c>
      <c r="CA990" t="s">
        <v>769</v>
      </c>
      <c r="CB990">
        <v>989</v>
      </c>
      <c r="CC990" t="b">
        <v>1</v>
      </c>
      <c r="CD990" t="s">
        <v>5787</v>
      </c>
      <c r="CE990" s="1482">
        <v>45880.738125000003</v>
      </c>
    </row>
    <row r="991" spans="1:83" ht="300" x14ac:dyDescent="0.25">
      <c r="A991">
        <v>2023</v>
      </c>
      <c r="B991" t="s">
        <v>4</v>
      </c>
      <c r="C991" t="s">
        <v>892</v>
      </c>
      <c r="D991" t="s">
        <v>893</v>
      </c>
      <c r="E991" t="s">
        <v>402</v>
      </c>
      <c r="F991" t="s">
        <v>747</v>
      </c>
      <c r="G991" t="s">
        <v>25</v>
      </c>
      <c r="H991" t="s">
        <v>59</v>
      </c>
      <c r="I991">
        <v>45012</v>
      </c>
      <c r="J991">
        <v>45121</v>
      </c>
      <c r="K991">
        <v>45119</v>
      </c>
      <c r="L991">
        <v>2</v>
      </c>
      <c r="N991" t="s">
        <v>120</v>
      </c>
      <c r="O991">
        <v>45108</v>
      </c>
      <c r="P991" t="s">
        <v>739</v>
      </c>
      <c r="Q991">
        <v>89531.520999999993</v>
      </c>
      <c r="R991">
        <v>0.1</v>
      </c>
      <c r="V991">
        <v>2738</v>
      </c>
      <c r="W991">
        <v>0</v>
      </c>
      <c r="X991">
        <v>427610.51</v>
      </c>
      <c r="Z991">
        <v>467704.7</v>
      </c>
      <c r="AA991">
        <v>895315.21</v>
      </c>
      <c r="AB991">
        <v>45105</v>
      </c>
      <c r="AC991" t="s">
        <v>116</v>
      </c>
      <c r="AD991" t="s">
        <v>116</v>
      </c>
      <c r="AE991" t="s">
        <v>116</v>
      </c>
      <c r="AF991" t="s">
        <v>116</v>
      </c>
      <c r="AG991" t="s">
        <v>116</v>
      </c>
      <c r="AH991">
        <v>45097</v>
      </c>
      <c r="AM991" t="s">
        <v>116</v>
      </c>
      <c r="AN991">
        <v>45365</v>
      </c>
      <c r="AO991">
        <v>11079930</v>
      </c>
      <c r="AP991">
        <v>440744.45</v>
      </c>
      <c r="AR991">
        <v>472375.89</v>
      </c>
      <c r="AS991">
        <v>913120.34</v>
      </c>
      <c r="AT991">
        <v>17805.13</v>
      </c>
      <c r="AU991">
        <v>1780.5129999999999</v>
      </c>
      <c r="AV991">
        <v>0</v>
      </c>
      <c r="AW991" t="s">
        <v>894</v>
      </c>
      <c r="AX991">
        <v>1780.51</v>
      </c>
      <c r="AY991">
        <v>45566</v>
      </c>
      <c r="AZ991">
        <v>89</v>
      </c>
      <c r="BA991" s="4" t="s">
        <v>895</v>
      </c>
      <c r="BB991" t="s">
        <v>896</v>
      </c>
      <c r="BC991" t="s">
        <v>709</v>
      </c>
      <c r="BD991" t="s">
        <v>1462</v>
      </c>
      <c r="BE991" t="s">
        <v>897</v>
      </c>
      <c r="BF991" t="s">
        <v>898</v>
      </c>
      <c r="BG991" t="s">
        <v>709</v>
      </c>
      <c r="BH991" t="s">
        <v>899</v>
      </c>
      <c r="BI991" t="s">
        <v>709</v>
      </c>
      <c r="BJ991" t="s">
        <v>709</v>
      </c>
      <c r="BK991" t="s">
        <v>709</v>
      </c>
      <c r="BL991" t="s">
        <v>116</v>
      </c>
      <c r="BM991" t="s">
        <v>709</v>
      </c>
      <c r="BN991" t="s">
        <v>709</v>
      </c>
      <c r="BO991" t="s">
        <v>709</v>
      </c>
      <c r="BP991" t="s">
        <v>709</v>
      </c>
      <c r="BQ991" t="s">
        <v>709</v>
      </c>
      <c r="BR991">
        <v>2705</v>
      </c>
      <c r="BS991">
        <v>33</v>
      </c>
      <c r="BT991" t="s">
        <v>709</v>
      </c>
      <c r="BU991" t="s">
        <v>709</v>
      </c>
      <c r="BV991" t="s">
        <v>709</v>
      </c>
      <c r="BW991" t="s">
        <v>709</v>
      </c>
      <c r="BX991" t="s">
        <v>709</v>
      </c>
      <c r="BY991" t="s">
        <v>709</v>
      </c>
      <c r="BZ991" t="s">
        <v>709</v>
      </c>
      <c r="CB991">
        <v>988</v>
      </c>
      <c r="CC991" t="b">
        <v>1</v>
      </c>
      <c r="CD991" t="s">
        <v>5788</v>
      </c>
      <c r="CE991" s="1482">
        <v>45880.738125000003</v>
      </c>
    </row>
    <row r="992" spans="1:83" x14ac:dyDescent="0.25">
      <c r="A992">
        <v>2023</v>
      </c>
      <c r="B992" t="s">
        <v>769</v>
      </c>
      <c r="C992" t="s">
        <v>441</v>
      </c>
      <c r="D992" t="s">
        <v>5438</v>
      </c>
      <c r="E992" t="s">
        <v>277</v>
      </c>
      <c r="F992" t="s">
        <v>752</v>
      </c>
      <c r="G992" t="s">
        <v>34</v>
      </c>
      <c r="H992" t="s">
        <v>4189</v>
      </c>
      <c r="I992">
        <v>45114</v>
      </c>
      <c r="J992" t="s">
        <v>2052</v>
      </c>
      <c r="K992">
        <v>45121</v>
      </c>
      <c r="L992">
        <v>7</v>
      </c>
      <c r="M992" t="s">
        <v>5789</v>
      </c>
      <c r="N992" t="s">
        <v>120</v>
      </c>
      <c r="O992">
        <v>45108</v>
      </c>
      <c r="P992" t="s">
        <v>120</v>
      </c>
      <c r="Q992">
        <v>2132.5</v>
      </c>
      <c r="R992" t="s">
        <v>1922</v>
      </c>
      <c r="S992">
        <v>0</v>
      </c>
      <c r="T992">
        <v>0</v>
      </c>
      <c r="U992">
        <v>2132.5</v>
      </c>
      <c r="V992">
        <v>327</v>
      </c>
      <c r="W992">
        <v>1</v>
      </c>
      <c r="AC992" t="s">
        <v>29</v>
      </c>
      <c r="AD992" t="s">
        <v>116</v>
      </c>
      <c r="AE992" t="s">
        <v>29</v>
      </c>
      <c r="AF992" t="s">
        <v>29</v>
      </c>
      <c r="AG992" t="s">
        <v>29</v>
      </c>
      <c r="AH992" t="s">
        <v>29</v>
      </c>
      <c r="AM992" t="s">
        <v>709</v>
      </c>
      <c r="AY992" t="s">
        <v>29</v>
      </c>
      <c r="BA992">
        <v>4</v>
      </c>
      <c r="BB992" t="s">
        <v>116</v>
      </c>
      <c r="BH992" t="s">
        <v>5790</v>
      </c>
      <c r="BI992" t="s">
        <v>709</v>
      </c>
      <c r="BJ992" t="s">
        <v>709</v>
      </c>
      <c r="BK992" t="s">
        <v>116</v>
      </c>
      <c r="BL992" t="s">
        <v>116</v>
      </c>
      <c r="BM992" t="s">
        <v>709</v>
      </c>
      <c r="BN992" t="s">
        <v>709</v>
      </c>
      <c r="BO992" t="s">
        <v>709</v>
      </c>
      <c r="BP992" t="s">
        <v>709</v>
      </c>
      <c r="BQ992">
        <v>108</v>
      </c>
      <c r="BR992">
        <v>79</v>
      </c>
      <c r="BS992">
        <v>50</v>
      </c>
      <c r="BT992">
        <v>1</v>
      </c>
      <c r="BU992" t="s">
        <v>709</v>
      </c>
      <c r="BV992" t="s">
        <v>709</v>
      </c>
      <c r="BW992">
        <v>1</v>
      </c>
      <c r="BX992">
        <v>1</v>
      </c>
      <c r="BY992" t="s">
        <v>709</v>
      </c>
      <c r="BZ992" t="s">
        <v>709</v>
      </c>
      <c r="CA992" t="s">
        <v>1022</v>
      </c>
      <c r="CB992">
        <v>990</v>
      </c>
      <c r="CC992" t="b">
        <v>1</v>
      </c>
      <c r="CD992" t="s">
        <v>5791</v>
      </c>
      <c r="CE992" s="1482">
        <v>45880.738136574073</v>
      </c>
    </row>
    <row r="993" spans="1:83" x14ac:dyDescent="0.25">
      <c r="A993">
        <v>2023</v>
      </c>
      <c r="B993" t="s">
        <v>1073</v>
      </c>
      <c r="C993" t="s">
        <v>5792</v>
      </c>
      <c r="D993" t="s">
        <v>5793</v>
      </c>
      <c r="E993" t="s">
        <v>958</v>
      </c>
      <c r="F993" t="s">
        <v>784</v>
      </c>
      <c r="G993" t="s">
        <v>31</v>
      </c>
      <c r="H993" t="s">
        <v>413</v>
      </c>
      <c r="I993">
        <v>45041</v>
      </c>
      <c r="J993">
        <v>45133</v>
      </c>
      <c r="K993">
        <v>45124</v>
      </c>
      <c r="L993">
        <v>9</v>
      </c>
      <c r="N993" t="s">
        <v>120</v>
      </c>
      <c r="O993">
        <v>45108</v>
      </c>
      <c r="P993" t="s">
        <v>739</v>
      </c>
      <c r="Q993">
        <v>14073.0568</v>
      </c>
      <c r="R993">
        <v>0.08</v>
      </c>
      <c r="V993">
        <v>1302</v>
      </c>
      <c r="W993">
        <v>0</v>
      </c>
      <c r="X993">
        <v>175913.21</v>
      </c>
      <c r="Z993">
        <v>0</v>
      </c>
      <c r="AA993">
        <v>175913.21</v>
      </c>
      <c r="AB993">
        <v>45131</v>
      </c>
      <c r="AC993" t="s">
        <v>709</v>
      </c>
      <c r="AD993" t="s">
        <v>29</v>
      </c>
      <c r="AE993" t="s">
        <v>756</v>
      </c>
      <c r="AF993" t="s">
        <v>116</v>
      </c>
      <c r="AG993" t="s">
        <v>116</v>
      </c>
      <c r="AH993" t="s">
        <v>29</v>
      </c>
      <c r="AM993" t="s">
        <v>116</v>
      </c>
      <c r="AN993">
        <v>45156</v>
      </c>
      <c r="AO993">
        <v>11069343</v>
      </c>
      <c r="AP993">
        <v>175914.33</v>
      </c>
      <c r="AR993">
        <v>0</v>
      </c>
      <c r="AS993">
        <v>175914.33</v>
      </c>
      <c r="AT993">
        <v>1.1200000000000001</v>
      </c>
      <c r="AU993">
        <v>8.9599999999999999E-2</v>
      </c>
      <c r="AV993" t="s">
        <v>709</v>
      </c>
      <c r="AX993">
        <v>8.9599999999999999E-2</v>
      </c>
      <c r="AY993">
        <v>45352</v>
      </c>
      <c r="BA993" t="s">
        <v>5794</v>
      </c>
      <c r="BB993" t="s">
        <v>5795</v>
      </c>
      <c r="BE993" t="s">
        <v>592</v>
      </c>
      <c r="BF993" t="s">
        <v>5796</v>
      </c>
      <c r="BG993" t="s">
        <v>115</v>
      </c>
      <c r="BH993" t="s">
        <v>5797</v>
      </c>
      <c r="BI993" t="s">
        <v>709</v>
      </c>
      <c r="BJ993" t="s">
        <v>709</v>
      </c>
      <c r="BK993" t="s">
        <v>116</v>
      </c>
      <c r="BL993" t="s">
        <v>116</v>
      </c>
      <c r="BM993" t="s">
        <v>709</v>
      </c>
      <c r="BN993" t="s">
        <v>709</v>
      </c>
      <c r="BO993" t="s">
        <v>709</v>
      </c>
      <c r="BP993" t="s">
        <v>709</v>
      </c>
      <c r="BQ993" t="s">
        <v>709</v>
      </c>
      <c r="BR993">
        <v>1302</v>
      </c>
      <c r="BS993" t="s">
        <v>709</v>
      </c>
      <c r="BT993" t="s">
        <v>709</v>
      </c>
      <c r="BU993" t="s">
        <v>709</v>
      </c>
      <c r="BV993" t="s">
        <v>709</v>
      </c>
      <c r="BW993" t="s">
        <v>709</v>
      </c>
      <c r="BX993" t="s">
        <v>709</v>
      </c>
      <c r="BY993">
        <v>1</v>
      </c>
      <c r="BZ993" t="s">
        <v>709</v>
      </c>
      <c r="CA993" t="s">
        <v>2739</v>
      </c>
      <c r="CB993">
        <v>991</v>
      </c>
      <c r="CC993" t="b">
        <v>1</v>
      </c>
      <c r="CD993" t="s">
        <v>5798</v>
      </c>
      <c r="CE993" s="1482">
        <v>45880.738136574073</v>
      </c>
    </row>
    <row r="994" spans="1:83" ht="330" x14ac:dyDescent="0.25">
      <c r="A994">
        <v>2023</v>
      </c>
      <c r="B994" t="s">
        <v>1073</v>
      </c>
      <c r="C994" t="s">
        <v>5792</v>
      </c>
      <c r="D994" t="s">
        <v>5799</v>
      </c>
      <c r="E994" t="s">
        <v>958</v>
      </c>
      <c r="F994" t="s">
        <v>784</v>
      </c>
      <c r="G994" t="s">
        <v>31</v>
      </c>
      <c r="H994" t="s">
        <v>413</v>
      </c>
      <c r="I994">
        <v>45056</v>
      </c>
      <c r="J994">
        <v>45133</v>
      </c>
      <c r="K994">
        <v>45124</v>
      </c>
      <c r="L994">
        <v>9</v>
      </c>
      <c r="N994" t="s">
        <v>120</v>
      </c>
      <c r="O994">
        <v>45108</v>
      </c>
      <c r="P994" t="s">
        <v>739</v>
      </c>
      <c r="Q994">
        <v>2381.1008000000002</v>
      </c>
      <c r="R994">
        <v>0.08</v>
      </c>
      <c r="V994" t="s">
        <v>29</v>
      </c>
      <c r="W994">
        <v>1</v>
      </c>
      <c r="X994">
        <v>29763.759999999998</v>
      </c>
      <c r="Z994">
        <v>0</v>
      </c>
      <c r="AA994">
        <v>29763.759999999998</v>
      </c>
      <c r="AB994">
        <v>45131</v>
      </c>
      <c r="AC994" t="s">
        <v>1177</v>
      </c>
      <c r="AD994" t="s">
        <v>29</v>
      </c>
      <c r="AE994" t="s">
        <v>756</v>
      </c>
      <c r="AF994" t="s">
        <v>116</v>
      </c>
      <c r="AG994" t="s">
        <v>116</v>
      </c>
      <c r="AH994" t="s">
        <v>29</v>
      </c>
      <c r="AM994" t="s">
        <v>116</v>
      </c>
      <c r="AN994">
        <v>45174</v>
      </c>
      <c r="AO994">
        <v>11070686</v>
      </c>
      <c r="AP994">
        <v>29763.759999999998</v>
      </c>
      <c r="AR994">
        <v>0</v>
      </c>
      <c r="AS994">
        <v>29763.759999999998</v>
      </c>
      <c r="AT994">
        <v>0</v>
      </c>
      <c r="AU994">
        <v>0</v>
      </c>
      <c r="AV994" t="s">
        <v>709</v>
      </c>
      <c r="AX994">
        <v>0</v>
      </c>
      <c r="AY994">
        <v>45352</v>
      </c>
      <c r="BA994" s="4" t="s">
        <v>5800</v>
      </c>
      <c r="BB994" t="s">
        <v>5801</v>
      </c>
      <c r="BE994" t="s">
        <v>592</v>
      </c>
      <c r="BF994" t="s">
        <v>5802</v>
      </c>
      <c r="BG994" t="s">
        <v>115</v>
      </c>
      <c r="BH994" t="s">
        <v>5797</v>
      </c>
      <c r="BI994" t="s">
        <v>709</v>
      </c>
      <c r="BJ994" t="s">
        <v>709</v>
      </c>
      <c r="BK994" t="s">
        <v>116</v>
      </c>
      <c r="BL994" t="s">
        <v>116</v>
      </c>
      <c r="BM994" t="s">
        <v>709</v>
      </c>
      <c r="BN994" t="s">
        <v>709</v>
      </c>
      <c r="BO994" t="s">
        <v>709</v>
      </c>
      <c r="BP994" t="s">
        <v>709</v>
      </c>
      <c r="BQ994" t="s">
        <v>709</v>
      </c>
      <c r="BR994">
        <v>1302</v>
      </c>
      <c r="BS994" t="s">
        <v>709</v>
      </c>
      <c r="BT994" t="s">
        <v>709</v>
      </c>
      <c r="BU994" t="s">
        <v>709</v>
      </c>
      <c r="BV994" t="s">
        <v>709</v>
      </c>
      <c r="BW994" t="s">
        <v>709</v>
      </c>
      <c r="BX994" t="s">
        <v>709</v>
      </c>
      <c r="BY994">
        <v>1</v>
      </c>
      <c r="BZ994" t="s">
        <v>709</v>
      </c>
      <c r="CA994" t="s">
        <v>2739</v>
      </c>
      <c r="CB994">
        <v>992</v>
      </c>
      <c r="CC994" t="b">
        <v>1</v>
      </c>
      <c r="CD994" t="s">
        <v>5803</v>
      </c>
      <c r="CE994" s="1482">
        <v>45880.738136574073</v>
      </c>
    </row>
    <row r="995" spans="1:83" ht="225" x14ac:dyDescent="0.25">
      <c r="A995">
        <v>2023</v>
      </c>
      <c r="B995" t="s">
        <v>759</v>
      </c>
      <c r="C995" t="s">
        <v>1566</v>
      </c>
      <c r="D995">
        <v>1010976</v>
      </c>
      <c r="E995" t="s">
        <v>108</v>
      </c>
      <c r="F995" t="s">
        <v>752</v>
      </c>
      <c r="G995" t="s">
        <v>23</v>
      </c>
      <c r="H995" t="s">
        <v>59</v>
      </c>
      <c r="I995">
        <v>44582</v>
      </c>
      <c r="J995">
        <v>45135</v>
      </c>
      <c r="K995">
        <v>45124</v>
      </c>
      <c r="L995">
        <v>11</v>
      </c>
      <c r="N995" t="s">
        <v>120</v>
      </c>
      <c r="O995">
        <v>45139</v>
      </c>
      <c r="P995" t="s">
        <v>120</v>
      </c>
      <c r="Q995">
        <v>217852.57560000001</v>
      </c>
      <c r="R995">
        <v>0.11</v>
      </c>
      <c r="V995">
        <v>4735</v>
      </c>
      <c r="W995">
        <v>1</v>
      </c>
      <c r="X995">
        <v>1876996.96</v>
      </c>
      <c r="Y995">
        <v>45019</v>
      </c>
      <c r="Z995">
        <v>103481</v>
      </c>
      <c r="AA995">
        <v>1980477.96</v>
      </c>
      <c r="AB995">
        <v>45141</v>
      </c>
      <c r="AC995" t="s">
        <v>1441</v>
      </c>
      <c r="AD995" t="s">
        <v>29</v>
      </c>
      <c r="AE995" t="s">
        <v>116</v>
      </c>
      <c r="AF995" t="s">
        <v>756</v>
      </c>
      <c r="AG995" t="s">
        <v>116</v>
      </c>
      <c r="AH995" t="s">
        <v>116</v>
      </c>
      <c r="AM995" t="s">
        <v>116</v>
      </c>
      <c r="AN995">
        <v>45516</v>
      </c>
      <c r="AO995">
        <v>11039437</v>
      </c>
      <c r="AP995">
        <v>1905701.58</v>
      </c>
      <c r="AR995">
        <v>105617.83</v>
      </c>
      <c r="AS995">
        <v>2011319.41</v>
      </c>
      <c r="AT995">
        <v>30841.45</v>
      </c>
      <c r="AU995">
        <v>3392.5594999999998</v>
      </c>
      <c r="AV995">
        <v>20490</v>
      </c>
      <c r="AW995" t="s">
        <v>5804</v>
      </c>
      <c r="AX995">
        <v>0</v>
      </c>
      <c r="AY995">
        <v>45901</v>
      </c>
      <c r="AZ995">
        <v>156</v>
      </c>
      <c r="BA995" s="4" t="s">
        <v>1567</v>
      </c>
      <c r="BB995" s="4" t="s">
        <v>1568</v>
      </c>
      <c r="BC995" t="s">
        <v>116</v>
      </c>
      <c r="BD995" t="s">
        <v>115</v>
      </c>
      <c r="BE995" t="s">
        <v>1569</v>
      </c>
      <c r="BF995" t="s">
        <v>115</v>
      </c>
      <c r="BG995" t="s">
        <v>115</v>
      </c>
      <c r="BH995" t="s">
        <v>1570</v>
      </c>
      <c r="BI995" t="s">
        <v>709</v>
      </c>
      <c r="BJ995" t="s">
        <v>709</v>
      </c>
      <c r="BK995" t="s">
        <v>709</v>
      </c>
      <c r="BL995" t="s">
        <v>116</v>
      </c>
      <c r="BM995" t="s">
        <v>709</v>
      </c>
      <c r="BN995" t="s">
        <v>709</v>
      </c>
      <c r="BO995" t="s">
        <v>709</v>
      </c>
      <c r="BP995" t="s">
        <v>709</v>
      </c>
      <c r="BQ995">
        <v>3960</v>
      </c>
      <c r="BR995">
        <v>95</v>
      </c>
      <c r="BS995">
        <v>590</v>
      </c>
      <c r="BT995">
        <v>1</v>
      </c>
      <c r="BU995" t="s">
        <v>709</v>
      </c>
      <c r="BV995" t="s">
        <v>709</v>
      </c>
      <c r="BW995">
        <v>1</v>
      </c>
      <c r="BX995">
        <v>1</v>
      </c>
      <c r="BY995" t="s">
        <v>709</v>
      </c>
      <c r="BZ995" t="s">
        <v>709</v>
      </c>
      <c r="CA995" t="s">
        <v>1022</v>
      </c>
      <c r="CB995">
        <v>993</v>
      </c>
      <c r="CC995" t="b">
        <v>1</v>
      </c>
      <c r="CD995" t="s">
        <v>5805</v>
      </c>
      <c r="CE995" s="1482">
        <v>45880.73814814815</v>
      </c>
    </row>
    <row r="996" spans="1:83" x14ac:dyDescent="0.25">
      <c r="A996">
        <v>2023</v>
      </c>
      <c r="B996" t="s">
        <v>1073</v>
      </c>
      <c r="C996" t="s">
        <v>591</v>
      </c>
      <c r="D996" t="s">
        <v>5806</v>
      </c>
      <c r="E996" t="s">
        <v>958</v>
      </c>
      <c r="F996" t="s">
        <v>784</v>
      </c>
      <c r="G996" t="s">
        <v>31</v>
      </c>
      <c r="H996" t="s">
        <v>413</v>
      </c>
      <c r="I996">
        <v>45020</v>
      </c>
      <c r="J996">
        <v>45125</v>
      </c>
      <c r="K996">
        <v>45125</v>
      </c>
      <c r="L996">
        <v>0</v>
      </c>
      <c r="N996" t="s">
        <v>120</v>
      </c>
      <c r="O996">
        <v>45108</v>
      </c>
      <c r="P996" t="s">
        <v>739</v>
      </c>
      <c r="Q996">
        <v>75528.053599999999</v>
      </c>
      <c r="R996">
        <v>0.08</v>
      </c>
      <c r="V996">
        <v>3302</v>
      </c>
      <c r="W996">
        <v>0</v>
      </c>
      <c r="X996">
        <v>838759.05</v>
      </c>
      <c r="Z996">
        <v>105341.62</v>
      </c>
      <c r="AA996">
        <v>944100.67</v>
      </c>
      <c r="AB996">
        <v>45131</v>
      </c>
      <c r="AC996" t="s">
        <v>116</v>
      </c>
      <c r="AD996" t="s">
        <v>29</v>
      </c>
      <c r="AE996" t="s">
        <v>756</v>
      </c>
      <c r="AF996" t="s">
        <v>116</v>
      </c>
      <c r="AG996" t="s">
        <v>116</v>
      </c>
      <c r="AH996" t="s">
        <v>29</v>
      </c>
      <c r="AM996" t="s">
        <v>116</v>
      </c>
      <c r="AN996">
        <v>45176</v>
      </c>
      <c r="AO996">
        <v>11065452</v>
      </c>
      <c r="AP996">
        <v>840447.62</v>
      </c>
      <c r="AR996">
        <v>120602.81</v>
      </c>
      <c r="AS996">
        <v>961050.43</v>
      </c>
      <c r="AT996">
        <v>16949.759999999998</v>
      </c>
      <c r="AU996">
        <v>1355.9808</v>
      </c>
      <c r="AV996" t="s">
        <v>709</v>
      </c>
      <c r="AX996">
        <v>1355.98</v>
      </c>
      <c r="AY996">
        <v>45352</v>
      </c>
      <c r="BA996" t="s">
        <v>5807</v>
      </c>
      <c r="BB996" t="s">
        <v>5808</v>
      </c>
      <c r="BE996" t="s">
        <v>592</v>
      </c>
      <c r="BF996" t="s">
        <v>5809</v>
      </c>
      <c r="BG996" t="s">
        <v>5810</v>
      </c>
      <c r="BH996" t="s">
        <v>5811</v>
      </c>
      <c r="BI996" t="s">
        <v>709</v>
      </c>
      <c r="BJ996" t="s">
        <v>116</v>
      </c>
      <c r="BK996" t="s">
        <v>709</v>
      </c>
      <c r="BL996" t="s">
        <v>116</v>
      </c>
      <c r="BM996" t="s">
        <v>709</v>
      </c>
      <c r="BN996" t="s">
        <v>709</v>
      </c>
      <c r="BO996" t="s">
        <v>709</v>
      </c>
      <c r="BP996">
        <v>447</v>
      </c>
      <c r="BQ996">
        <v>2855</v>
      </c>
      <c r="BR996" t="s">
        <v>709</v>
      </c>
      <c r="BS996" t="s">
        <v>709</v>
      </c>
      <c r="BT996" t="s">
        <v>709</v>
      </c>
      <c r="BU996" t="s">
        <v>709</v>
      </c>
      <c r="BV996" t="s">
        <v>709</v>
      </c>
      <c r="BW996" t="s">
        <v>709</v>
      </c>
      <c r="BX996" t="s">
        <v>709</v>
      </c>
      <c r="BY996" t="s">
        <v>709</v>
      </c>
      <c r="BZ996" t="s">
        <v>709</v>
      </c>
      <c r="CB996">
        <v>994</v>
      </c>
      <c r="CC996" t="b">
        <v>1</v>
      </c>
      <c r="CD996" t="s">
        <v>5812</v>
      </c>
      <c r="CE996" s="1482">
        <v>45880.738159722219</v>
      </c>
    </row>
    <row r="997" spans="1:83" x14ac:dyDescent="0.25">
      <c r="A997">
        <v>2023</v>
      </c>
      <c r="B997" t="s">
        <v>1073</v>
      </c>
      <c r="C997" t="s">
        <v>591</v>
      </c>
      <c r="D997" t="s">
        <v>5813</v>
      </c>
      <c r="E997" t="s">
        <v>958</v>
      </c>
      <c r="F997" t="s">
        <v>784</v>
      </c>
      <c r="G997" t="s">
        <v>31</v>
      </c>
      <c r="H997" t="s">
        <v>413</v>
      </c>
      <c r="I997">
        <v>45041</v>
      </c>
      <c r="J997">
        <v>45125</v>
      </c>
      <c r="K997">
        <v>45125</v>
      </c>
      <c r="L997">
        <v>0</v>
      </c>
      <c r="N997" t="s">
        <v>120</v>
      </c>
      <c r="O997">
        <v>45108</v>
      </c>
      <c r="P997" t="s">
        <v>739</v>
      </c>
      <c r="Q997">
        <v>30892.315200000001</v>
      </c>
      <c r="R997">
        <v>0.08</v>
      </c>
      <c r="V997">
        <v>193</v>
      </c>
      <c r="W997">
        <v>1</v>
      </c>
      <c r="X997">
        <v>338558.04</v>
      </c>
      <c r="Z997">
        <v>47595.9</v>
      </c>
      <c r="AA997">
        <v>386153.94</v>
      </c>
      <c r="AB997">
        <v>45131</v>
      </c>
      <c r="AC997" t="s">
        <v>709</v>
      </c>
      <c r="AD997" t="s">
        <v>29</v>
      </c>
      <c r="AE997" t="s">
        <v>756</v>
      </c>
      <c r="AF997" t="s">
        <v>116</v>
      </c>
      <c r="AG997" t="s">
        <v>116</v>
      </c>
      <c r="AH997" t="s">
        <v>29</v>
      </c>
      <c r="AM997" t="s">
        <v>116</v>
      </c>
      <c r="AN997">
        <v>45176</v>
      </c>
      <c r="AO997">
        <v>11070834</v>
      </c>
      <c r="AP997">
        <v>338560.3</v>
      </c>
      <c r="AR997">
        <v>47595.9</v>
      </c>
      <c r="AS997">
        <v>386156.2</v>
      </c>
      <c r="AT997">
        <v>2.2599999999999998</v>
      </c>
      <c r="AU997">
        <v>0.18079999999999999</v>
      </c>
      <c r="AV997" t="s">
        <v>709</v>
      </c>
      <c r="AX997">
        <v>0.18</v>
      </c>
      <c r="AY997">
        <v>45352</v>
      </c>
      <c r="BA997" t="s">
        <v>5814</v>
      </c>
      <c r="BB997" t="s">
        <v>5808</v>
      </c>
      <c r="BE997" t="s">
        <v>592</v>
      </c>
      <c r="BF997" t="s">
        <v>5809</v>
      </c>
      <c r="BG997" t="s">
        <v>115</v>
      </c>
      <c r="BH997" t="s">
        <v>5811</v>
      </c>
      <c r="BI997" t="s">
        <v>709</v>
      </c>
      <c r="BJ997" t="s">
        <v>116</v>
      </c>
      <c r="BK997" t="s">
        <v>709</v>
      </c>
      <c r="BL997" t="s">
        <v>116</v>
      </c>
      <c r="BM997" t="s">
        <v>709</v>
      </c>
      <c r="BN997" t="s">
        <v>709</v>
      </c>
      <c r="BO997" t="s">
        <v>709</v>
      </c>
      <c r="BP997">
        <v>447</v>
      </c>
      <c r="BQ997">
        <v>2855</v>
      </c>
      <c r="BR997" t="s">
        <v>709</v>
      </c>
      <c r="BS997" t="s">
        <v>709</v>
      </c>
      <c r="BT997" t="s">
        <v>709</v>
      </c>
      <c r="BU997" t="s">
        <v>709</v>
      </c>
      <c r="BV997" t="s">
        <v>709</v>
      </c>
      <c r="BW997" t="s">
        <v>709</v>
      </c>
      <c r="BX997" t="s">
        <v>709</v>
      </c>
      <c r="BY997" t="s">
        <v>709</v>
      </c>
      <c r="BZ997" t="s">
        <v>709</v>
      </c>
      <c r="CB997">
        <v>995</v>
      </c>
      <c r="CC997" t="b">
        <v>1</v>
      </c>
      <c r="CD997" t="s">
        <v>5815</v>
      </c>
      <c r="CE997" s="1482">
        <v>45880.738159722219</v>
      </c>
    </row>
    <row r="998" spans="1:83" x14ac:dyDescent="0.25">
      <c r="A998">
        <v>2023</v>
      </c>
      <c r="B998" t="s">
        <v>759</v>
      </c>
      <c r="C998" t="s">
        <v>445</v>
      </c>
      <c r="D998" t="s">
        <v>1604</v>
      </c>
      <c r="E998" t="s">
        <v>1605</v>
      </c>
      <c r="F998" t="s">
        <v>752</v>
      </c>
      <c r="G998" t="s">
        <v>34</v>
      </c>
      <c r="H998" t="s">
        <v>4450</v>
      </c>
      <c r="I998">
        <v>44838</v>
      </c>
      <c r="J998" t="s">
        <v>2612</v>
      </c>
      <c r="K998">
        <v>45127</v>
      </c>
      <c r="L998">
        <v>289</v>
      </c>
      <c r="M998" t="s">
        <v>5816</v>
      </c>
      <c r="N998" t="s">
        <v>120</v>
      </c>
      <c r="O998">
        <v>45108</v>
      </c>
      <c r="P998" t="s">
        <v>120</v>
      </c>
      <c r="Q998">
        <v>13332.5</v>
      </c>
      <c r="R998" t="s">
        <v>1922</v>
      </c>
      <c r="S998">
        <v>0</v>
      </c>
      <c r="T998">
        <v>0</v>
      </c>
      <c r="U998">
        <v>13332.5</v>
      </c>
      <c r="V998" t="s">
        <v>29</v>
      </c>
      <c r="W998">
        <v>0</v>
      </c>
      <c r="AA998">
        <v>0</v>
      </c>
      <c r="AC998" t="s">
        <v>29</v>
      </c>
      <c r="AD998" t="s">
        <v>29</v>
      </c>
      <c r="AE998" t="s">
        <v>29</v>
      </c>
      <c r="AF998" t="s">
        <v>29</v>
      </c>
      <c r="AG998" t="s">
        <v>29</v>
      </c>
      <c r="AH998" t="s">
        <v>29</v>
      </c>
      <c r="AM998" t="s">
        <v>709</v>
      </c>
      <c r="AY998" t="s">
        <v>29</v>
      </c>
      <c r="BA998" t="s">
        <v>29</v>
      </c>
      <c r="BB998" t="s">
        <v>29</v>
      </c>
      <c r="BH998" t="s">
        <v>5817</v>
      </c>
      <c r="BI998" t="s">
        <v>709</v>
      </c>
      <c r="BJ998" t="s">
        <v>709</v>
      </c>
      <c r="BK998" t="s">
        <v>116</v>
      </c>
      <c r="BL998" t="s">
        <v>116</v>
      </c>
      <c r="BM998" t="s">
        <v>709</v>
      </c>
      <c r="BN998">
        <v>583</v>
      </c>
      <c r="BO998" t="s">
        <v>709</v>
      </c>
      <c r="BP998">
        <v>451</v>
      </c>
      <c r="BQ998">
        <v>1148</v>
      </c>
      <c r="BR998">
        <v>86</v>
      </c>
      <c r="BS998">
        <v>55</v>
      </c>
      <c r="BT998">
        <v>2</v>
      </c>
      <c r="BU998" t="s">
        <v>709</v>
      </c>
      <c r="BV998" t="s">
        <v>709</v>
      </c>
      <c r="BW998">
        <v>2</v>
      </c>
      <c r="BX998">
        <v>2</v>
      </c>
      <c r="BY998" t="s">
        <v>709</v>
      </c>
      <c r="BZ998" t="s">
        <v>709</v>
      </c>
      <c r="CA998" t="s">
        <v>1022</v>
      </c>
      <c r="CB998">
        <v>996</v>
      </c>
      <c r="CC998" t="b">
        <v>1</v>
      </c>
      <c r="CD998" t="s">
        <v>5818</v>
      </c>
      <c r="CE998" s="1482">
        <v>45880.738171296296</v>
      </c>
    </row>
    <row r="999" spans="1:83" ht="180" x14ac:dyDescent="0.25">
      <c r="A999">
        <v>2023</v>
      </c>
      <c r="B999" t="s">
        <v>769</v>
      </c>
      <c r="C999" t="s">
        <v>1578</v>
      </c>
      <c r="D999" t="s">
        <v>1579</v>
      </c>
      <c r="E999" t="s">
        <v>232</v>
      </c>
      <c r="F999" t="s">
        <v>747</v>
      </c>
      <c r="G999" t="s">
        <v>32</v>
      </c>
      <c r="H999" t="s">
        <v>59</v>
      </c>
      <c r="I999">
        <v>45056</v>
      </c>
      <c r="J999">
        <v>45145</v>
      </c>
      <c r="K999">
        <v>45128</v>
      </c>
      <c r="L999">
        <v>17</v>
      </c>
      <c r="N999" t="s">
        <v>120</v>
      </c>
      <c r="O999">
        <v>45108</v>
      </c>
      <c r="P999" t="s">
        <v>739</v>
      </c>
      <c r="Q999">
        <v>18842.86</v>
      </c>
      <c r="R999">
        <v>0.08</v>
      </c>
      <c r="V999">
        <v>27</v>
      </c>
      <c r="W999">
        <v>0</v>
      </c>
      <c r="X999">
        <v>188113.79</v>
      </c>
      <c r="Z999">
        <v>47421.96</v>
      </c>
      <c r="AA999">
        <v>235535.75</v>
      </c>
      <c r="AB999">
        <v>45132</v>
      </c>
      <c r="AC999" t="s">
        <v>1177</v>
      </c>
      <c r="AD999" t="s">
        <v>29</v>
      </c>
      <c r="AE999" t="s">
        <v>709</v>
      </c>
      <c r="AF999" t="s">
        <v>116</v>
      </c>
      <c r="AG999" t="s">
        <v>116</v>
      </c>
      <c r="AH999" t="s">
        <v>116</v>
      </c>
      <c r="AM999" t="s">
        <v>116</v>
      </c>
      <c r="AN999" t="s">
        <v>709</v>
      </c>
      <c r="AO999" t="s">
        <v>115</v>
      </c>
      <c r="AS999">
        <v>0</v>
      </c>
      <c r="AT999">
        <v>0</v>
      </c>
      <c r="AU999">
        <v>0</v>
      </c>
      <c r="AY999" t="s">
        <v>709</v>
      </c>
      <c r="AZ999">
        <v>16</v>
      </c>
      <c r="BA999" t="s">
        <v>1580</v>
      </c>
      <c r="BB999" s="4" t="s">
        <v>1581</v>
      </c>
      <c r="BC999" t="s">
        <v>709</v>
      </c>
      <c r="BD999" t="s">
        <v>837</v>
      </c>
      <c r="BE999" t="s">
        <v>595</v>
      </c>
      <c r="BF999" t="s">
        <v>595</v>
      </c>
      <c r="BG999" t="s">
        <v>1582</v>
      </c>
      <c r="BH999" t="s">
        <v>1583</v>
      </c>
      <c r="BI999" t="s">
        <v>709</v>
      </c>
      <c r="BJ999" t="s">
        <v>709</v>
      </c>
      <c r="BK999" t="s">
        <v>116</v>
      </c>
      <c r="BL999" t="s">
        <v>116</v>
      </c>
      <c r="BM999">
        <v>0</v>
      </c>
      <c r="BN999">
        <v>0</v>
      </c>
      <c r="BO999">
        <v>0</v>
      </c>
      <c r="BP999">
        <v>0</v>
      </c>
      <c r="BQ999">
        <v>0</v>
      </c>
      <c r="BR999">
        <v>27</v>
      </c>
      <c r="BS999">
        <v>0</v>
      </c>
      <c r="BT999">
        <v>0</v>
      </c>
      <c r="BU999">
        <v>0</v>
      </c>
      <c r="BV999">
        <v>0</v>
      </c>
      <c r="BW999">
        <v>0</v>
      </c>
      <c r="BX999">
        <v>0</v>
      </c>
      <c r="BY999">
        <v>1</v>
      </c>
      <c r="BZ999" t="s">
        <v>709</v>
      </c>
      <c r="CA999" t="s">
        <v>769</v>
      </c>
      <c r="CB999">
        <v>997</v>
      </c>
      <c r="CC999" t="b">
        <v>1</v>
      </c>
      <c r="CD999" t="s">
        <v>5819</v>
      </c>
      <c r="CE999" s="1482">
        <v>45880.738182870373</v>
      </c>
    </row>
    <row r="1000" spans="1:83" x14ac:dyDescent="0.25">
      <c r="A1000">
        <v>2023</v>
      </c>
      <c r="B1000" t="s">
        <v>771</v>
      </c>
      <c r="C1000" t="s">
        <v>580</v>
      </c>
      <c r="D1000" t="s">
        <v>1584</v>
      </c>
      <c r="E1000" t="s">
        <v>1529</v>
      </c>
      <c r="F1000" t="s">
        <v>784</v>
      </c>
      <c r="G1000" t="s">
        <v>32</v>
      </c>
      <c r="H1000" t="s">
        <v>59</v>
      </c>
      <c r="I1000">
        <v>45006</v>
      </c>
      <c r="J1000">
        <v>45128</v>
      </c>
      <c r="K1000">
        <v>45128</v>
      </c>
      <c r="L1000">
        <v>0</v>
      </c>
      <c r="N1000" t="s">
        <v>120</v>
      </c>
      <c r="O1000">
        <v>45139</v>
      </c>
      <c r="P1000" t="s">
        <v>120</v>
      </c>
      <c r="Q1000">
        <v>172700.644</v>
      </c>
      <c r="R1000">
        <v>0.04</v>
      </c>
      <c r="V1000">
        <v>16406</v>
      </c>
      <c r="W1000">
        <v>0</v>
      </c>
      <c r="X1000">
        <v>4176248.62</v>
      </c>
      <c r="Z1000">
        <v>141267.48000000001</v>
      </c>
      <c r="AA1000">
        <v>4317516.0999999996</v>
      </c>
      <c r="AB1000">
        <v>45133</v>
      </c>
      <c r="AC1000" t="s">
        <v>1441</v>
      </c>
      <c r="AD1000" t="s">
        <v>116</v>
      </c>
      <c r="AE1000" t="s">
        <v>756</v>
      </c>
      <c r="AF1000" t="s">
        <v>116</v>
      </c>
      <c r="AG1000" t="s">
        <v>709</v>
      </c>
      <c r="AH1000" t="s">
        <v>709</v>
      </c>
      <c r="AM1000" t="s">
        <v>116</v>
      </c>
      <c r="AN1000" t="s">
        <v>709</v>
      </c>
      <c r="AO1000">
        <v>11068638</v>
      </c>
      <c r="AS1000">
        <v>0</v>
      </c>
      <c r="AT1000">
        <v>0</v>
      </c>
      <c r="AU1000">
        <v>0</v>
      </c>
      <c r="AY1000" t="s">
        <v>709</v>
      </c>
      <c r="AZ1000">
        <v>2</v>
      </c>
      <c r="BA1000" t="s">
        <v>1585</v>
      </c>
      <c r="BB1000" t="s">
        <v>1586</v>
      </c>
      <c r="BC1000" t="s">
        <v>116</v>
      </c>
      <c r="BD1000" t="s">
        <v>882</v>
      </c>
      <c r="BE1000" t="s">
        <v>581</v>
      </c>
      <c r="BF1000" t="s">
        <v>115</v>
      </c>
      <c r="BG1000" t="s">
        <v>1496</v>
      </c>
      <c r="BH1000" t="s">
        <v>1587</v>
      </c>
      <c r="BI1000" t="s">
        <v>709</v>
      </c>
      <c r="BJ1000" t="s">
        <v>709</v>
      </c>
      <c r="BK1000" t="s">
        <v>709</v>
      </c>
      <c r="BL1000" t="s">
        <v>116</v>
      </c>
      <c r="BM1000">
        <v>0</v>
      </c>
      <c r="BN1000">
        <v>0</v>
      </c>
      <c r="BO1000">
        <v>0</v>
      </c>
      <c r="BP1000">
        <v>3073</v>
      </c>
      <c r="BQ1000">
        <v>1001</v>
      </c>
      <c r="BR1000">
        <v>1733</v>
      </c>
      <c r="BS1000">
        <v>10602</v>
      </c>
      <c r="BT1000">
        <v>0</v>
      </c>
      <c r="BU1000">
        <v>0</v>
      </c>
      <c r="BV1000">
        <v>0</v>
      </c>
      <c r="BW1000">
        <v>0</v>
      </c>
      <c r="BX1000">
        <v>0</v>
      </c>
      <c r="BY1000">
        <v>0</v>
      </c>
      <c r="BZ1000" t="s">
        <v>709</v>
      </c>
      <c r="CB1000">
        <v>999</v>
      </c>
      <c r="CC1000" t="b">
        <v>1</v>
      </c>
      <c r="CD1000" t="s">
        <v>5820</v>
      </c>
      <c r="CE1000" s="1482">
        <v>45880.738182870373</v>
      </c>
    </row>
    <row r="1001" spans="1:83" ht="345" x14ac:dyDescent="0.25">
      <c r="A1001">
        <v>2023</v>
      </c>
      <c r="B1001" t="s">
        <v>4</v>
      </c>
      <c r="C1001" t="s">
        <v>1571</v>
      </c>
      <c r="D1001" t="s">
        <v>1572</v>
      </c>
      <c r="E1001" t="s">
        <v>1573</v>
      </c>
      <c r="F1001" t="s">
        <v>747</v>
      </c>
      <c r="G1001" t="s">
        <v>26</v>
      </c>
      <c r="H1001" t="s">
        <v>59</v>
      </c>
      <c r="I1001">
        <v>44994</v>
      </c>
      <c r="J1001">
        <v>45128</v>
      </c>
      <c r="K1001">
        <v>45128</v>
      </c>
      <c r="L1001">
        <v>0</v>
      </c>
      <c r="N1001" t="s">
        <v>120</v>
      </c>
      <c r="O1001">
        <v>45139</v>
      </c>
      <c r="P1001" t="s">
        <v>739</v>
      </c>
      <c r="Q1001">
        <v>59941.531999999999</v>
      </c>
      <c r="R1001">
        <v>0.1</v>
      </c>
      <c r="V1001">
        <v>1748</v>
      </c>
      <c r="W1001">
        <v>0</v>
      </c>
      <c r="X1001">
        <v>581279.28</v>
      </c>
      <c r="Z1001">
        <v>18136.04</v>
      </c>
      <c r="AA1001">
        <v>599415.31999999995</v>
      </c>
      <c r="AB1001">
        <v>45134</v>
      </c>
      <c r="AC1001" t="s">
        <v>709</v>
      </c>
      <c r="AD1001" t="s">
        <v>29</v>
      </c>
      <c r="AE1001" t="s">
        <v>116</v>
      </c>
      <c r="AF1001" t="s">
        <v>116</v>
      </c>
      <c r="AG1001" t="s">
        <v>116</v>
      </c>
      <c r="AH1001">
        <v>45160</v>
      </c>
      <c r="AM1001" t="s">
        <v>116</v>
      </c>
      <c r="AN1001" t="s">
        <v>709</v>
      </c>
      <c r="AO1001" t="s">
        <v>115</v>
      </c>
      <c r="AS1001">
        <v>0</v>
      </c>
      <c r="AT1001">
        <v>0</v>
      </c>
      <c r="AU1001">
        <v>0</v>
      </c>
      <c r="AY1001" t="s">
        <v>709</v>
      </c>
      <c r="AZ1001">
        <v>90</v>
      </c>
      <c r="BA1001" s="4" t="s">
        <v>1574</v>
      </c>
      <c r="BB1001" t="s">
        <v>870</v>
      </c>
      <c r="BC1001" t="s">
        <v>709</v>
      </c>
      <c r="BD1001" t="s">
        <v>837</v>
      </c>
      <c r="BE1001" t="s">
        <v>1575</v>
      </c>
      <c r="BF1001" t="s">
        <v>839</v>
      </c>
      <c r="BG1001" s="4" t="s">
        <v>1576</v>
      </c>
      <c r="BH1001" t="s">
        <v>1577</v>
      </c>
      <c r="BI1001" t="s">
        <v>709</v>
      </c>
      <c r="BJ1001" t="s">
        <v>709</v>
      </c>
      <c r="BK1001" t="s">
        <v>709</v>
      </c>
      <c r="BL1001" t="s">
        <v>116</v>
      </c>
      <c r="BM1001" t="s">
        <v>709</v>
      </c>
      <c r="BN1001" t="s">
        <v>709</v>
      </c>
      <c r="BO1001" t="s">
        <v>709</v>
      </c>
      <c r="BP1001" t="s">
        <v>709</v>
      </c>
      <c r="BQ1001" t="s">
        <v>709</v>
      </c>
      <c r="BR1001" t="s">
        <v>709</v>
      </c>
      <c r="BS1001">
        <v>1748</v>
      </c>
      <c r="BT1001" t="s">
        <v>709</v>
      </c>
      <c r="BU1001" t="s">
        <v>709</v>
      </c>
      <c r="BV1001" t="s">
        <v>709</v>
      </c>
      <c r="BW1001" t="s">
        <v>709</v>
      </c>
      <c r="BX1001" t="s">
        <v>745</v>
      </c>
      <c r="BY1001" t="s">
        <v>709</v>
      </c>
      <c r="BZ1001" t="s">
        <v>709</v>
      </c>
      <c r="CB1001">
        <v>998</v>
      </c>
      <c r="CC1001" t="b">
        <v>1</v>
      </c>
      <c r="CD1001" t="s">
        <v>5821</v>
      </c>
      <c r="CE1001" s="1482">
        <v>45880.738194444442</v>
      </c>
    </row>
    <row r="1002" spans="1:83" x14ac:dyDescent="0.25">
      <c r="A1002">
        <v>2023</v>
      </c>
      <c r="B1002" t="s">
        <v>1205</v>
      </c>
      <c r="C1002" t="s">
        <v>587</v>
      </c>
      <c r="D1002" t="s">
        <v>5822</v>
      </c>
      <c r="E1002" t="s">
        <v>354</v>
      </c>
      <c r="F1002" t="s">
        <v>784</v>
      </c>
      <c r="G1002" t="s">
        <v>23</v>
      </c>
      <c r="H1002" t="s">
        <v>59</v>
      </c>
      <c r="I1002">
        <v>45069</v>
      </c>
      <c r="J1002">
        <v>45138</v>
      </c>
      <c r="K1002">
        <v>45132</v>
      </c>
      <c r="L1002">
        <v>6</v>
      </c>
      <c r="N1002" t="s">
        <v>120</v>
      </c>
      <c r="O1002">
        <v>45108</v>
      </c>
      <c r="P1002" t="s">
        <v>739</v>
      </c>
      <c r="Q1002">
        <v>62184.850200000001</v>
      </c>
      <c r="R1002">
        <v>0.09</v>
      </c>
      <c r="V1002">
        <v>437</v>
      </c>
      <c r="W1002">
        <v>0</v>
      </c>
      <c r="X1002">
        <v>658285.41</v>
      </c>
      <c r="Z1002">
        <v>32657.37</v>
      </c>
      <c r="AA1002">
        <v>690942.78</v>
      </c>
      <c r="AB1002">
        <v>45133</v>
      </c>
      <c r="AC1002" t="s">
        <v>1441</v>
      </c>
      <c r="AD1002" t="s">
        <v>116</v>
      </c>
      <c r="AE1002" t="s">
        <v>29</v>
      </c>
      <c r="AF1002" t="s">
        <v>29</v>
      </c>
      <c r="AG1002" t="s">
        <v>29</v>
      </c>
      <c r="AH1002" t="s">
        <v>29</v>
      </c>
      <c r="AM1002" t="s">
        <v>116</v>
      </c>
      <c r="AN1002">
        <v>45209</v>
      </c>
      <c r="AO1002">
        <v>11065462</v>
      </c>
      <c r="AP1002">
        <v>662213.36</v>
      </c>
      <c r="AR1002">
        <v>44571.66</v>
      </c>
      <c r="AS1002">
        <v>706785.02</v>
      </c>
      <c r="AT1002">
        <v>15842.24</v>
      </c>
      <c r="AU1002">
        <v>1425.8016</v>
      </c>
      <c r="AV1002">
        <v>5660</v>
      </c>
      <c r="AW1002" t="s">
        <v>5823</v>
      </c>
      <c r="AX1002">
        <v>0</v>
      </c>
      <c r="AY1002">
        <v>45352</v>
      </c>
      <c r="BA1002" t="s">
        <v>5824</v>
      </c>
      <c r="BB1002" t="s">
        <v>5825</v>
      </c>
      <c r="BC1002" t="s">
        <v>116</v>
      </c>
      <c r="BD1002" t="s">
        <v>115</v>
      </c>
      <c r="BE1002" t="s">
        <v>588</v>
      </c>
      <c r="BF1002" t="s">
        <v>115</v>
      </c>
      <c r="BG1002" t="s">
        <v>3021</v>
      </c>
      <c r="BH1002" t="s">
        <v>5826</v>
      </c>
      <c r="BI1002" t="s">
        <v>709</v>
      </c>
      <c r="BJ1002" t="s">
        <v>709</v>
      </c>
      <c r="BK1002" t="s">
        <v>709</v>
      </c>
      <c r="BL1002" t="s">
        <v>116</v>
      </c>
      <c r="BM1002" t="s">
        <v>709</v>
      </c>
      <c r="BN1002" t="s">
        <v>709</v>
      </c>
      <c r="BO1002" t="s">
        <v>709</v>
      </c>
      <c r="BP1002">
        <v>437</v>
      </c>
      <c r="BQ1002" t="s">
        <v>709</v>
      </c>
      <c r="BR1002" t="s">
        <v>709</v>
      </c>
      <c r="BS1002" t="s">
        <v>709</v>
      </c>
      <c r="BT1002" t="s">
        <v>709</v>
      </c>
      <c r="BU1002" t="s">
        <v>709</v>
      </c>
      <c r="BV1002" t="s">
        <v>709</v>
      </c>
      <c r="BW1002" t="s">
        <v>709</v>
      </c>
      <c r="BX1002" t="s">
        <v>709</v>
      </c>
      <c r="BY1002" t="s">
        <v>709</v>
      </c>
      <c r="BZ1002" t="s">
        <v>709</v>
      </c>
      <c r="CB1002">
        <v>1001</v>
      </c>
      <c r="CC1002" t="b">
        <v>1</v>
      </c>
      <c r="CD1002" t="s">
        <v>5827</v>
      </c>
      <c r="CE1002" s="1482">
        <v>45880.738194444442</v>
      </c>
    </row>
    <row r="1003" spans="1:83" ht="330" x14ac:dyDescent="0.25">
      <c r="A1003">
        <v>2023</v>
      </c>
      <c r="B1003" t="s">
        <v>4</v>
      </c>
      <c r="C1003" t="s">
        <v>5828</v>
      </c>
      <c r="D1003" t="s">
        <v>5829</v>
      </c>
      <c r="E1003" t="s">
        <v>1117</v>
      </c>
      <c r="F1003" t="s">
        <v>784</v>
      </c>
      <c r="G1003" t="s">
        <v>26</v>
      </c>
      <c r="H1003" t="s">
        <v>59</v>
      </c>
      <c r="I1003">
        <v>45041</v>
      </c>
      <c r="J1003">
        <v>45135</v>
      </c>
      <c r="K1003">
        <v>45132</v>
      </c>
      <c r="L1003">
        <v>3</v>
      </c>
      <c r="N1003" t="s">
        <v>120</v>
      </c>
      <c r="O1003">
        <v>45108</v>
      </c>
      <c r="P1003" t="s">
        <v>739</v>
      </c>
      <c r="Q1003">
        <v>47627.057999999997</v>
      </c>
      <c r="R1003">
        <v>0.1</v>
      </c>
      <c r="V1003">
        <v>781</v>
      </c>
      <c r="W1003">
        <v>0</v>
      </c>
      <c r="X1003">
        <v>395785.94</v>
      </c>
      <c r="Z1003">
        <v>80484.639999999999</v>
      </c>
      <c r="AA1003">
        <v>476270.58</v>
      </c>
      <c r="AB1003">
        <v>45132</v>
      </c>
      <c r="AC1003" t="s">
        <v>709</v>
      </c>
      <c r="AD1003" t="s">
        <v>29</v>
      </c>
      <c r="AE1003" t="s">
        <v>29</v>
      </c>
      <c r="AF1003" t="s">
        <v>29</v>
      </c>
      <c r="AG1003" t="s">
        <v>29</v>
      </c>
      <c r="AH1003" t="s">
        <v>29</v>
      </c>
      <c r="AM1003" t="s">
        <v>116</v>
      </c>
      <c r="AN1003">
        <v>45288</v>
      </c>
      <c r="AO1003">
        <v>11076234</v>
      </c>
      <c r="AP1003">
        <v>401966.93</v>
      </c>
      <c r="AR1003">
        <v>81526.28</v>
      </c>
      <c r="AS1003">
        <v>483493.21</v>
      </c>
      <c r="AT1003">
        <v>7222.63</v>
      </c>
      <c r="AU1003">
        <v>722.26300000000003</v>
      </c>
      <c r="AV1003">
        <v>1737.5</v>
      </c>
      <c r="AW1003" s="4" t="s">
        <v>5830</v>
      </c>
      <c r="AX1003">
        <v>0</v>
      </c>
      <c r="AY1003">
        <v>45352</v>
      </c>
      <c r="BA1003" s="4" t="s">
        <v>5831</v>
      </c>
      <c r="BB1003" t="s">
        <v>1120</v>
      </c>
      <c r="BC1003" t="s">
        <v>115</v>
      </c>
      <c r="BD1003" t="s">
        <v>882</v>
      </c>
      <c r="BE1003" t="s">
        <v>5832</v>
      </c>
      <c r="BF1003" t="s">
        <v>1396</v>
      </c>
      <c r="BG1003" t="s">
        <v>115</v>
      </c>
      <c r="BH1003" t="s">
        <v>5833</v>
      </c>
      <c r="BI1003" t="s">
        <v>709</v>
      </c>
      <c r="BJ1003" t="s">
        <v>709</v>
      </c>
      <c r="BK1003" t="s">
        <v>709</v>
      </c>
      <c r="BL1003" t="s">
        <v>116</v>
      </c>
      <c r="BM1003" t="s">
        <v>709</v>
      </c>
      <c r="BN1003" t="s">
        <v>709</v>
      </c>
      <c r="BO1003" t="s">
        <v>709</v>
      </c>
      <c r="BP1003" t="s">
        <v>709</v>
      </c>
      <c r="BQ1003" t="s">
        <v>709</v>
      </c>
      <c r="BR1003">
        <v>709</v>
      </c>
      <c r="BS1003">
        <v>72</v>
      </c>
      <c r="BT1003" t="s">
        <v>709</v>
      </c>
      <c r="BU1003" t="s">
        <v>709</v>
      </c>
      <c r="BV1003" t="s">
        <v>709</v>
      </c>
      <c r="BW1003" t="s">
        <v>709</v>
      </c>
      <c r="BX1003" t="s">
        <v>709</v>
      </c>
      <c r="BY1003" t="s">
        <v>709</v>
      </c>
      <c r="BZ1003" t="s">
        <v>709</v>
      </c>
      <c r="CB1003">
        <v>1000</v>
      </c>
      <c r="CC1003" t="b">
        <v>1</v>
      </c>
      <c r="CD1003" t="s">
        <v>5834</v>
      </c>
      <c r="CE1003" s="1482">
        <v>45880.738206018519</v>
      </c>
    </row>
    <row r="1004" spans="1:83" x14ac:dyDescent="0.25">
      <c r="A1004">
        <v>2023</v>
      </c>
      <c r="B1004" t="s">
        <v>769</v>
      </c>
      <c r="C1004" t="s">
        <v>1595</v>
      </c>
      <c r="D1004" t="s">
        <v>1596</v>
      </c>
      <c r="E1004" t="s">
        <v>1597</v>
      </c>
      <c r="F1004" t="s">
        <v>747</v>
      </c>
      <c r="G1004" t="s">
        <v>32</v>
      </c>
      <c r="H1004" t="s">
        <v>59</v>
      </c>
      <c r="I1004">
        <v>45056</v>
      </c>
      <c r="J1004">
        <v>45145</v>
      </c>
      <c r="K1004">
        <v>45133</v>
      </c>
      <c r="L1004">
        <v>12</v>
      </c>
      <c r="N1004" t="s">
        <v>120</v>
      </c>
      <c r="O1004">
        <v>45139</v>
      </c>
      <c r="P1004" t="s">
        <v>739</v>
      </c>
      <c r="Q1004">
        <v>10081.120800000001</v>
      </c>
      <c r="R1004">
        <v>0.08</v>
      </c>
      <c r="V1004">
        <v>17</v>
      </c>
      <c r="W1004">
        <v>0</v>
      </c>
      <c r="X1004">
        <v>80666.59</v>
      </c>
      <c r="Z1004">
        <v>45347.42</v>
      </c>
      <c r="AA1004">
        <v>126014.01</v>
      </c>
      <c r="AB1004">
        <v>45142</v>
      </c>
      <c r="AC1004" t="s">
        <v>1177</v>
      </c>
      <c r="AD1004" t="s">
        <v>29</v>
      </c>
      <c r="AE1004" t="s">
        <v>709</v>
      </c>
      <c r="AF1004" t="s">
        <v>116</v>
      </c>
      <c r="AG1004" t="s">
        <v>116</v>
      </c>
      <c r="AH1004" t="s">
        <v>116</v>
      </c>
      <c r="AM1004" t="s">
        <v>116</v>
      </c>
      <c r="AN1004" t="s">
        <v>709</v>
      </c>
      <c r="AO1004" t="s">
        <v>115</v>
      </c>
      <c r="AS1004">
        <v>0</v>
      </c>
      <c r="AT1004">
        <v>0</v>
      </c>
      <c r="AU1004">
        <v>0</v>
      </c>
      <c r="AY1004" t="s">
        <v>709</v>
      </c>
      <c r="AZ1004">
        <v>17</v>
      </c>
      <c r="BA1004" t="s">
        <v>1598</v>
      </c>
      <c r="BB1004" t="s">
        <v>1599</v>
      </c>
      <c r="BC1004" t="s">
        <v>709</v>
      </c>
      <c r="BD1004" t="s">
        <v>837</v>
      </c>
      <c r="BE1004" t="s">
        <v>1600</v>
      </c>
      <c r="BF1004" t="s">
        <v>1600</v>
      </c>
      <c r="BG1004" t="s">
        <v>1582</v>
      </c>
      <c r="BH1004" t="s">
        <v>1601</v>
      </c>
      <c r="BI1004" t="s">
        <v>709</v>
      </c>
      <c r="BJ1004" t="s">
        <v>709</v>
      </c>
      <c r="BK1004" t="s">
        <v>116</v>
      </c>
      <c r="BL1004" t="s">
        <v>116</v>
      </c>
      <c r="BM1004">
        <v>0</v>
      </c>
      <c r="BN1004">
        <v>0</v>
      </c>
      <c r="BO1004">
        <v>0</v>
      </c>
      <c r="BP1004">
        <v>0</v>
      </c>
      <c r="BQ1004">
        <v>0</v>
      </c>
      <c r="BR1004">
        <v>17</v>
      </c>
      <c r="BS1004">
        <v>0</v>
      </c>
      <c r="BT1004">
        <v>0</v>
      </c>
      <c r="BU1004">
        <v>0</v>
      </c>
      <c r="BV1004">
        <v>0</v>
      </c>
      <c r="BW1004">
        <v>0</v>
      </c>
      <c r="BX1004">
        <v>0</v>
      </c>
      <c r="BY1004">
        <v>1</v>
      </c>
      <c r="BZ1004" t="s">
        <v>709</v>
      </c>
      <c r="CA1004" t="s">
        <v>769</v>
      </c>
      <c r="CB1004">
        <v>1004</v>
      </c>
      <c r="CC1004" t="b">
        <v>1</v>
      </c>
      <c r="CD1004" t="s">
        <v>5835</v>
      </c>
      <c r="CE1004" s="1482">
        <v>45880.738217592596</v>
      </c>
    </row>
    <row r="1005" spans="1:83" x14ac:dyDescent="0.25">
      <c r="A1005">
        <v>2023</v>
      </c>
      <c r="B1005" t="s">
        <v>769</v>
      </c>
      <c r="C1005" t="s">
        <v>1595</v>
      </c>
      <c r="D1005" t="s">
        <v>1603</v>
      </c>
      <c r="E1005" t="s">
        <v>1597</v>
      </c>
      <c r="F1005" t="s">
        <v>747</v>
      </c>
      <c r="G1005" t="s">
        <v>32</v>
      </c>
      <c r="H1005" t="s">
        <v>59</v>
      </c>
      <c r="I1005">
        <v>45056</v>
      </c>
      <c r="J1005">
        <v>45145</v>
      </c>
      <c r="K1005">
        <v>45133</v>
      </c>
      <c r="L1005">
        <v>12</v>
      </c>
      <c r="N1005" t="s">
        <v>120</v>
      </c>
      <c r="O1005">
        <v>45139</v>
      </c>
      <c r="P1005" t="s">
        <v>739</v>
      </c>
      <c r="Q1005">
        <v>8924.6623999999993</v>
      </c>
      <c r="R1005">
        <v>0.08</v>
      </c>
      <c r="V1005">
        <v>17</v>
      </c>
      <c r="W1005">
        <v>0</v>
      </c>
      <c r="X1005">
        <v>93106.99</v>
      </c>
      <c r="Z1005">
        <v>18451.29</v>
      </c>
      <c r="AA1005">
        <v>111558.28</v>
      </c>
      <c r="AB1005">
        <v>45142</v>
      </c>
      <c r="AC1005" t="s">
        <v>1177</v>
      </c>
      <c r="AD1005" t="s">
        <v>29</v>
      </c>
      <c r="AE1005" t="s">
        <v>709</v>
      </c>
      <c r="AF1005" t="s">
        <v>116</v>
      </c>
      <c r="AG1005" t="s">
        <v>116</v>
      </c>
      <c r="AH1005" t="s">
        <v>116</v>
      </c>
      <c r="AM1005" t="s">
        <v>116</v>
      </c>
      <c r="AN1005" t="s">
        <v>709</v>
      </c>
      <c r="AS1005">
        <v>0</v>
      </c>
      <c r="AT1005">
        <v>0</v>
      </c>
      <c r="AU1005">
        <v>0</v>
      </c>
      <c r="AY1005" t="s">
        <v>709</v>
      </c>
      <c r="AZ1005">
        <v>18</v>
      </c>
      <c r="BA1005" t="s">
        <v>1598</v>
      </c>
      <c r="BB1005" t="s">
        <v>1599</v>
      </c>
      <c r="BC1005" t="s">
        <v>709</v>
      </c>
      <c r="BD1005" t="s">
        <v>837</v>
      </c>
      <c r="BE1005" t="s">
        <v>1600</v>
      </c>
      <c r="BF1005" t="s">
        <v>1600</v>
      </c>
      <c r="BG1005" t="s">
        <v>1582</v>
      </c>
      <c r="BH1005" t="s">
        <v>1601</v>
      </c>
      <c r="BI1005" t="s">
        <v>709</v>
      </c>
      <c r="BJ1005" t="s">
        <v>709</v>
      </c>
      <c r="BK1005" t="s">
        <v>116</v>
      </c>
      <c r="BL1005" t="s">
        <v>116</v>
      </c>
      <c r="BM1005">
        <v>0</v>
      </c>
      <c r="BN1005">
        <v>0</v>
      </c>
      <c r="BO1005">
        <v>0</v>
      </c>
      <c r="BP1005">
        <v>0</v>
      </c>
      <c r="BQ1005">
        <v>0</v>
      </c>
      <c r="BR1005">
        <v>17</v>
      </c>
      <c r="BS1005">
        <v>0</v>
      </c>
      <c r="BT1005">
        <v>0</v>
      </c>
      <c r="BU1005">
        <v>0</v>
      </c>
      <c r="BV1005">
        <v>0</v>
      </c>
      <c r="BW1005">
        <v>0</v>
      </c>
      <c r="BX1005">
        <v>0</v>
      </c>
      <c r="BY1005">
        <v>1</v>
      </c>
      <c r="BZ1005" t="s">
        <v>709</v>
      </c>
      <c r="CA1005" t="s">
        <v>769</v>
      </c>
      <c r="CB1005">
        <v>1005</v>
      </c>
      <c r="CC1005" t="b">
        <v>1</v>
      </c>
      <c r="CD1005" t="s">
        <v>5836</v>
      </c>
      <c r="CE1005" s="1482">
        <v>45880.738229166665</v>
      </c>
    </row>
    <row r="1006" spans="1:83" ht="300" x14ac:dyDescent="0.25">
      <c r="A1006">
        <v>2023</v>
      </c>
      <c r="B1006" t="s">
        <v>4</v>
      </c>
      <c r="C1006" t="s">
        <v>387</v>
      </c>
      <c r="D1006" t="s">
        <v>1593</v>
      </c>
      <c r="E1006" t="s">
        <v>388</v>
      </c>
      <c r="F1006" t="s">
        <v>747</v>
      </c>
      <c r="G1006" t="s">
        <v>28</v>
      </c>
      <c r="H1006" t="s">
        <v>59</v>
      </c>
      <c r="I1006">
        <v>44915</v>
      </c>
      <c r="J1006">
        <v>45135</v>
      </c>
      <c r="K1006">
        <v>45133</v>
      </c>
      <c r="L1006">
        <v>2</v>
      </c>
      <c r="N1006" t="s">
        <v>120</v>
      </c>
      <c r="O1006">
        <v>45139</v>
      </c>
      <c r="P1006" t="s">
        <v>739</v>
      </c>
      <c r="Q1006">
        <v>101276.04</v>
      </c>
      <c r="R1006">
        <v>0.1</v>
      </c>
      <c r="V1006">
        <v>1670</v>
      </c>
      <c r="W1006">
        <v>0</v>
      </c>
      <c r="X1006">
        <v>910834.15</v>
      </c>
      <c r="Z1006">
        <v>101926.25</v>
      </c>
      <c r="AA1006">
        <v>1012760.4</v>
      </c>
      <c r="AB1006">
        <v>45124</v>
      </c>
      <c r="AC1006" t="s">
        <v>116</v>
      </c>
      <c r="AD1006" t="s">
        <v>29</v>
      </c>
      <c r="AE1006" t="s">
        <v>756</v>
      </c>
      <c r="AF1006" t="s">
        <v>756</v>
      </c>
      <c r="AG1006" t="s">
        <v>116</v>
      </c>
      <c r="AH1006">
        <v>45163</v>
      </c>
      <c r="AM1006" t="s">
        <v>116</v>
      </c>
      <c r="AN1006" t="s">
        <v>709</v>
      </c>
      <c r="AO1006" t="s">
        <v>115</v>
      </c>
      <c r="AS1006">
        <v>0</v>
      </c>
      <c r="AT1006">
        <v>0</v>
      </c>
      <c r="AU1006">
        <v>0</v>
      </c>
      <c r="AY1006" t="s">
        <v>709</v>
      </c>
      <c r="AZ1006">
        <v>92</v>
      </c>
      <c r="BA1006" s="4" t="s">
        <v>1590</v>
      </c>
      <c r="BB1006" t="s">
        <v>870</v>
      </c>
      <c r="BC1006" t="s">
        <v>116</v>
      </c>
      <c r="BD1006" t="s">
        <v>709</v>
      </c>
      <c r="BE1006" t="s">
        <v>1591</v>
      </c>
      <c r="BF1006" t="s">
        <v>709</v>
      </c>
      <c r="BG1006" t="s">
        <v>709</v>
      </c>
      <c r="BH1006" t="s">
        <v>1594</v>
      </c>
      <c r="BI1006" t="s">
        <v>709</v>
      </c>
      <c r="BJ1006" t="s">
        <v>709</v>
      </c>
      <c r="BK1006" t="s">
        <v>709</v>
      </c>
      <c r="BL1006" t="s">
        <v>116</v>
      </c>
      <c r="BM1006" t="s">
        <v>709</v>
      </c>
      <c r="BN1006" t="s">
        <v>709</v>
      </c>
      <c r="BO1006" t="s">
        <v>709</v>
      </c>
      <c r="BP1006">
        <v>1187</v>
      </c>
      <c r="BQ1006">
        <v>14</v>
      </c>
      <c r="BR1006">
        <v>280</v>
      </c>
      <c r="BS1006">
        <v>189</v>
      </c>
      <c r="BT1006" t="s">
        <v>709</v>
      </c>
      <c r="BU1006" t="s">
        <v>709</v>
      </c>
      <c r="BV1006" t="s">
        <v>709</v>
      </c>
      <c r="BW1006" t="s">
        <v>709</v>
      </c>
      <c r="BX1006" t="s">
        <v>745</v>
      </c>
      <c r="BY1006" t="s">
        <v>709</v>
      </c>
      <c r="BZ1006" t="s">
        <v>709</v>
      </c>
      <c r="CB1006">
        <v>1002</v>
      </c>
      <c r="CC1006" t="b">
        <v>1</v>
      </c>
      <c r="CD1006" t="s">
        <v>5837</v>
      </c>
      <c r="CE1006" s="1482">
        <v>45880.738229166665</v>
      </c>
    </row>
    <row r="1007" spans="1:83" ht="300" x14ac:dyDescent="0.25">
      <c r="A1007">
        <v>2023</v>
      </c>
      <c r="B1007" t="s">
        <v>4</v>
      </c>
      <c r="C1007" t="s">
        <v>1588</v>
      </c>
      <c r="D1007" t="s">
        <v>1589</v>
      </c>
      <c r="E1007" t="s">
        <v>388</v>
      </c>
      <c r="F1007" t="s">
        <v>747</v>
      </c>
      <c r="G1007" t="s">
        <v>28</v>
      </c>
      <c r="H1007" t="s">
        <v>59</v>
      </c>
      <c r="I1007">
        <v>44915</v>
      </c>
      <c r="J1007">
        <v>45135</v>
      </c>
      <c r="K1007">
        <v>45133</v>
      </c>
      <c r="L1007">
        <v>2</v>
      </c>
      <c r="N1007" t="s">
        <v>120</v>
      </c>
      <c r="O1007">
        <v>45139</v>
      </c>
      <c r="P1007" t="s">
        <v>739</v>
      </c>
      <c r="Q1007">
        <v>25017.435000000001</v>
      </c>
      <c r="R1007">
        <v>0.1</v>
      </c>
      <c r="V1007">
        <v>485</v>
      </c>
      <c r="W1007">
        <v>0</v>
      </c>
      <c r="X1007">
        <v>250174.35</v>
      </c>
      <c r="Z1007">
        <v>0</v>
      </c>
      <c r="AA1007">
        <v>250174.35</v>
      </c>
      <c r="AB1007">
        <v>45028</v>
      </c>
      <c r="AC1007" t="s">
        <v>116</v>
      </c>
      <c r="AD1007" t="s">
        <v>29</v>
      </c>
      <c r="AE1007" t="s">
        <v>756</v>
      </c>
      <c r="AF1007" t="s">
        <v>756</v>
      </c>
      <c r="AG1007" t="s">
        <v>116</v>
      </c>
      <c r="AH1007">
        <v>45163</v>
      </c>
      <c r="AM1007" t="s">
        <v>116</v>
      </c>
      <c r="AN1007" t="s">
        <v>709</v>
      </c>
      <c r="AO1007" t="s">
        <v>115</v>
      </c>
      <c r="AS1007">
        <v>0</v>
      </c>
      <c r="AT1007">
        <v>0</v>
      </c>
      <c r="AU1007">
        <v>0</v>
      </c>
      <c r="AY1007" t="s">
        <v>709</v>
      </c>
      <c r="AZ1007">
        <v>91</v>
      </c>
      <c r="BA1007" s="4" t="s">
        <v>1590</v>
      </c>
      <c r="BB1007" t="s">
        <v>870</v>
      </c>
      <c r="BC1007" t="s">
        <v>116</v>
      </c>
      <c r="BD1007" t="s">
        <v>709</v>
      </c>
      <c r="BE1007" t="s">
        <v>1591</v>
      </c>
      <c r="BF1007" t="s">
        <v>709</v>
      </c>
      <c r="BG1007" t="s">
        <v>709</v>
      </c>
      <c r="BH1007" t="s">
        <v>1592</v>
      </c>
      <c r="BI1007" t="s">
        <v>709</v>
      </c>
      <c r="BJ1007" t="s">
        <v>709</v>
      </c>
      <c r="BK1007" t="s">
        <v>709</v>
      </c>
      <c r="BL1007" t="s">
        <v>116</v>
      </c>
      <c r="BM1007" t="s">
        <v>709</v>
      </c>
      <c r="BN1007" t="s">
        <v>709</v>
      </c>
      <c r="BO1007" t="s">
        <v>709</v>
      </c>
      <c r="BP1007">
        <v>1187</v>
      </c>
      <c r="BQ1007">
        <v>14</v>
      </c>
      <c r="BR1007">
        <v>280</v>
      </c>
      <c r="BS1007">
        <v>189</v>
      </c>
      <c r="BT1007" t="s">
        <v>709</v>
      </c>
      <c r="BU1007" t="s">
        <v>709</v>
      </c>
      <c r="BV1007" t="s">
        <v>709</v>
      </c>
      <c r="BW1007" t="s">
        <v>709</v>
      </c>
      <c r="BX1007" t="s">
        <v>745</v>
      </c>
      <c r="BY1007" t="s">
        <v>709</v>
      </c>
      <c r="BZ1007" t="s">
        <v>709</v>
      </c>
      <c r="CB1007">
        <v>1003</v>
      </c>
      <c r="CC1007" t="b">
        <v>1</v>
      </c>
      <c r="CD1007" t="s">
        <v>5838</v>
      </c>
      <c r="CE1007" s="1482">
        <v>45880.738240740742</v>
      </c>
    </row>
    <row r="1008" spans="1:83" ht="150" x14ac:dyDescent="0.25">
      <c r="A1008">
        <v>2023</v>
      </c>
      <c r="B1008" t="s">
        <v>759</v>
      </c>
      <c r="C1008" t="s">
        <v>445</v>
      </c>
      <c r="D1008" t="s">
        <v>1604</v>
      </c>
      <c r="E1008" t="s">
        <v>1605</v>
      </c>
      <c r="F1008" t="s">
        <v>752</v>
      </c>
      <c r="G1008" t="s">
        <v>34</v>
      </c>
      <c r="H1008" t="s">
        <v>59</v>
      </c>
      <c r="I1008">
        <v>44838</v>
      </c>
      <c r="J1008">
        <v>45138</v>
      </c>
      <c r="K1008">
        <v>45135</v>
      </c>
      <c r="L1008">
        <v>3</v>
      </c>
      <c r="N1008" t="s">
        <v>120</v>
      </c>
      <c r="O1008">
        <v>45139</v>
      </c>
      <c r="P1008" t="s">
        <v>120</v>
      </c>
      <c r="Q1008">
        <v>240051.9682</v>
      </c>
      <c r="R1008">
        <v>0.11</v>
      </c>
      <c r="V1008">
        <v>2503</v>
      </c>
      <c r="W1008">
        <v>2</v>
      </c>
      <c r="X1008">
        <v>1835781.07</v>
      </c>
      <c r="Z1008">
        <v>346509.55</v>
      </c>
      <c r="AA1008">
        <v>2182290.62</v>
      </c>
      <c r="AB1008">
        <v>45141</v>
      </c>
      <c r="AC1008" t="s">
        <v>1441</v>
      </c>
      <c r="AD1008" t="s">
        <v>29</v>
      </c>
      <c r="AE1008" t="s">
        <v>29</v>
      </c>
      <c r="AF1008" t="s">
        <v>29</v>
      </c>
      <c r="AG1008" t="s">
        <v>29</v>
      </c>
      <c r="AH1008" t="s">
        <v>29</v>
      </c>
      <c r="AM1008" t="s">
        <v>116</v>
      </c>
      <c r="AN1008" t="s">
        <v>709</v>
      </c>
      <c r="AO1008">
        <v>11058963</v>
      </c>
      <c r="AS1008">
        <v>0</v>
      </c>
      <c r="AT1008">
        <v>0</v>
      </c>
      <c r="AU1008">
        <v>0</v>
      </c>
      <c r="AY1008" t="s">
        <v>709</v>
      </c>
      <c r="AZ1008">
        <v>157</v>
      </c>
      <c r="BA1008" s="4" t="s">
        <v>1606</v>
      </c>
      <c r="BB1008" t="s">
        <v>1607</v>
      </c>
      <c r="BC1008" t="s">
        <v>116</v>
      </c>
      <c r="BD1008" t="s">
        <v>837</v>
      </c>
      <c r="BE1008" t="s">
        <v>615</v>
      </c>
      <c r="BF1008" t="s">
        <v>115</v>
      </c>
      <c r="BG1008" t="s">
        <v>115</v>
      </c>
      <c r="BI1008" t="s">
        <v>709</v>
      </c>
      <c r="BJ1008" t="s">
        <v>709</v>
      </c>
      <c r="BK1008" t="s">
        <v>116</v>
      </c>
      <c r="BL1008" t="s">
        <v>116</v>
      </c>
      <c r="BM1008" t="s">
        <v>709</v>
      </c>
      <c r="BN1008">
        <v>583</v>
      </c>
      <c r="BO1008" t="s">
        <v>709</v>
      </c>
      <c r="BP1008">
        <v>451</v>
      </c>
      <c r="BQ1008">
        <v>1148</v>
      </c>
      <c r="BR1008">
        <v>86</v>
      </c>
      <c r="BS1008">
        <v>55</v>
      </c>
      <c r="BT1008">
        <v>2</v>
      </c>
      <c r="BU1008" t="s">
        <v>709</v>
      </c>
      <c r="BV1008" t="s">
        <v>709</v>
      </c>
      <c r="BW1008">
        <v>2</v>
      </c>
      <c r="BX1008">
        <v>2</v>
      </c>
      <c r="BY1008" t="s">
        <v>709</v>
      </c>
      <c r="BZ1008" t="s">
        <v>709</v>
      </c>
      <c r="CA1008" t="s">
        <v>1022</v>
      </c>
      <c r="CB1008">
        <v>1006</v>
      </c>
      <c r="CC1008" t="b">
        <v>1</v>
      </c>
      <c r="CD1008" t="s">
        <v>5839</v>
      </c>
      <c r="CE1008" s="1482">
        <v>45880.738252314812</v>
      </c>
    </row>
    <row r="1009" spans="1:83" ht="375" x14ac:dyDescent="0.25">
      <c r="A1009">
        <v>2023</v>
      </c>
      <c r="B1009" t="s">
        <v>4</v>
      </c>
      <c r="C1009" t="s">
        <v>5840</v>
      </c>
      <c r="D1009" t="s">
        <v>115</v>
      </c>
      <c r="E1009" t="s">
        <v>118</v>
      </c>
      <c r="F1009" t="s">
        <v>5136</v>
      </c>
      <c r="G1009" t="s">
        <v>27</v>
      </c>
      <c r="H1009" t="s">
        <v>1903</v>
      </c>
      <c r="I1009">
        <v>45112</v>
      </c>
      <c r="J1009">
        <v>45184</v>
      </c>
      <c r="K1009">
        <v>45138</v>
      </c>
      <c r="L1009">
        <v>46</v>
      </c>
      <c r="N1009" t="s">
        <v>120</v>
      </c>
      <c r="O1009">
        <v>45108</v>
      </c>
      <c r="P1009" t="s">
        <v>739</v>
      </c>
      <c r="Q1009" t="s">
        <v>115</v>
      </c>
      <c r="R1009" t="s">
        <v>115</v>
      </c>
      <c r="AB1009" t="s">
        <v>29</v>
      </c>
      <c r="AC1009" t="s">
        <v>29</v>
      </c>
      <c r="AD1009" t="s">
        <v>29</v>
      </c>
      <c r="AE1009" t="s">
        <v>756</v>
      </c>
      <c r="AF1009" t="s">
        <v>29</v>
      </c>
      <c r="AG1009" t="s">
        <v>29</v>
      </c>
      <c r="AH1009">
        <v>45163</v>
      </c>
      <c r="AM1009" t="s">
        <v>709</v>
      </c>
      <c r="AY1009" t="s">
        <v>29</v>
      </c>
      <c r="BA1009" s="4" t="s">
        <v>5841</v>
      </c>
      <c r="BB1009" t="s">
        <v>961</v>
      </c>
      <c r="BC1009" t="s">
        <v>709</v>
      </c>
      <c r="BD1009" t="s">
        <v>1167</v>
      </c>
      <c r="BE1009" t="s">
        <v>709</v>
      </c>
      <c r="BF1009" t="s">
        <v>709</v>
      </c>
      <c r="BG1009" t="s">
        <v>709</v>
      </c>
      <c r="CA1009" t="s">
        <v>915</v>
      </c>
      <c r="CB1009">
        <v>1008</v>
      </c>
      <c r="CC1009" t="b">
        <v>1</v>
      </c>
      <c r="CD1009" t="s">
        <v>5842</v>
      </c>
      <c r="CE1009" s="1482">
        <v>45880.738252314812</v>
      </c>
    </row>
    <row r="1010" spans="1:83" ht="409.5" x14ac:dyDescent="0.25">
      <c r="A1010">
        <v>2023</v>
      </c>
      <c r="B1010" t="s">
        <v>4</v>
      </c>
      <c r="C1010" t="s">
        <v>5843</v>
      </c>
      <c r="D1010" t="s">
        <v>5844</v>
      </c>
      <c r="E1010" t="s">
        <v>2114</v>
      </c>
      <c r="F1010" t="s">
        <v>784</v>
      </c>
      <c r="G1010" t="s">
        <v>26</v>
      </c>
      <c r="H1010" t="s">
        <v>59</v>
      </c>
      <c r="I1010">
        <v>45056</v>
      </c>
      <c r="J1010">
        <v>45156</v>
      </c>
      <c r="K1010">
        <v>45138</v>
      </c>
      <c r="L1010">
        <v>18</v>
      </c>
      <c r="N1010" t="s">
        <v>120</v>
      </c>
      <c r="O1010">
        <v>45139</v>
      </c>
      <c r="P1010" t="s">
        <v>739</v>
      </c>
      <c r="Q1010">
        <v>71812.311000000002</v>
      </c>
      <c r="R1010">
        <v>0.1</v>
      </c>
      <c r="V1010">
        <v>2576</v>
      </c>
      <c r="W1010">
        <v>0</v>
      </c>
      <c r="X1010">
        <v>615850.37</v>
      </c>
      <c r="Z1010">
        <v>102272.74</v>
      </c>
      <c r="AA1010">
        <v>718123.11</v>
      </c>
      <c r="AB1010">
        <v>45140</v>
      </c>
      <c r="AC1010" t="s">
        <v>709</v>
      </c>
      <c r="AD1010" t="s">
        <v>29</v>
      </c>
      <c r="AE1010" t="s">
        <v>29</v>
      </c>
      <c r="AF1010" t="s">
        <v>29</v>
      </c>
      <c r="AG1010" t="s">
        <v>29</v>
      </c>
      <c r="AH1010" t="s">
        <v>29</v>
      </c>
      <c r="AM1010" t="s">
        <v>116</v>
      </c>
      <c r="AN1010">
        <v>45182</v>
      </c>
      <c r="AO1010">
        <v>11071057</v>
      </c>
      <c r="AP1010">
        <v>601788.6</v>
      </c>
      <c r="AR1010">
        <v>35718.129999999997</v>
      </c>
      <c r="AS1010">
        <v>637506.73</v>
      </c>
      <c r="AT1010">
        <v>-80616.38</v>
      </c>
      <c r="AU1010">
        <v>-8061.6379999999999</v>
      </c>
      <c r="AV1010" t="s">
        <v>709</v>
      </c>
      <c r="AW1010" t="s">
        <v>5845</v>
      </c>
      <c r="AX1010">
        <v>-8061.6379999999999</v>
      </c>
      <c r="AY1010">
        <v>45352</v>
      </c>
      <c r="BA1010" s="4" t="s">
        <v>5846</v>
      </c>
      <c r="BB1010" t="s">
        <v>5411</v>
      </c>
      <c r="BC1010" t="s">
        <v>116</v>
      </c>
      <c r="BD1010" t="s">
        <v>788</v>
      </c>
      <c r="BE1010" t="s">
        <v>115</v>
      </c>
      <c r="BF1010" t="s">
        <v>3561</v>
      </c>
      <c r="BG1010" s="4" t="s">
        <v>5847</v>
      </c>
      <c r="BH1010" t="s">
        <v>5848</v>
      </c>
      <c r="BI1010" t="s">
        <v>709</v>
      </c>
      <c r="BJ1010" t="s">
        <v>709</v>
      </c>
      <c r="BK1010" t="s">
        <v>709</v>
      </c>
      <c r="BL1010" t="s">
        <v>116</v>
      </c>
      <c r="BM1010" t="s">
        <v>709</v>
      </c>
      <c r="BN1010" t="s">
        <v>709</v>
      </c>
      <c r="BO1010" t="s">
        <v>709</v>
      </c>
      <c r="BP1010" t="s">
        <v>709</v>
      </c>
      <c r="BQ1010" t="s">
        <v>709</v>
      </c>
      <c r="BR1010">
        <v>1814</v>
      </c>
      <c r="BS1010">
        <v>762</v>
      </c>
      <c r="BT1010" t="s">
        <v>709</v>
      </c>
      <c r="BU1010" t="s">
        <v>709</v>
      </c>
      <c r="BV1010" t="s">
        <v>709</v>
      </c>
      <c r="BW1010" t="s">
        <v>709</v>
      </c>
      <c r="BX1010" t="s">
        <v>745</v>
      </c>
      <c r="BY1010" t="s">
        <v>709</v>
      </c>
      <c r="BZ1010" t="s">
        <v>709</v>
      </c>
      <c r="CB1010">
        <v>1009</v>
      </c>
      <c r="CC1010" t="b">
        <v>1</v>
      </c>
      <c r="CD1010" t="s">
        <v>5849</v>
      </c>
      <c r="CE1010" s="1482">
        <v>45880.738263888888</v>
      </c>
    </row>
    <row r="1011" spans="1:83" x14ac:dyDescent="0.25">
      <c r="A1011">
        <v>2024</v>
      </c>
      <c r="B1011" t="s">
        <v>4</v>
      </c>
      <c r="C1011" t="s">
        <v>5850</v>
      </c>
      <c r="D1011" t="s">
        <v>115</v>
      </c>
      <c r="E1011" t="s">
        <v>118</v>
      </c>
      <c r="F1011" t="s">
        <v>784</v>
      </c>
      <c r="G1011" t="s">
        <v>27</v>
      </c>
      <c r="H1011" t="s">
        <v>1681</v>
      </c>
      <c r="I1011">
        <v>45082</v>
      </c>
      <c r="J1011">
        <v>45169</v>
      </c>
      <c r="K1011">
        <v>45138</v>
      </c>
      <c r="L1011">
        <v>31</v>
      </c>
      <c r="N1011" t="s">
        <v>120</v>
      </c>
      <c r="O1011">
        <v>45108</v>
      </c>
      <c r="P1011" t="s">
        <v>739</v>
      </c>
      <c r="Q1011" t="s">
        <v>115</v>
      </c>
      <c r="R1011" t="s">
        <v>115</v>
      </c>
      <c r="AB1011" t="s">
        <v>29</v>
      </c>
      <c r="AC1011" t="s">
        <v>29</v>
      </c>
      <c r="AD1011" t="s">
        <v>29</v>
      </c>
      <c r="AE1011" t="s">
        <v>756</v>
      </c>
      <c r="AF1011" t="s">
        <v>29</v>
      </c>
      <c r="AG1011" t="s">
        <v>29</v>
      </c>
      <c r="AH1011">
        <v>45163</v>
      </c>
      <c r="AM1011" t="s">
        <v>709</v>
      </c>
      <c r="AY1011" t="s">
        <v>29</v>
      </c>
      <c r="BA1011" t="s">
        <v>5851</v>
      </c>
      <c r="BB1011" t="s">
        <v>1071</v>
      </c>
      <c r="BC1011" t="s">
        <v>709</v>
      </c>
      <c r="BD1011" t="s">
        <v>1167</v>
      </c>
      <c r="BE1011" t="s">
        <v>2898</v>
      </c>
      <c r="BF1011" t="s">
        <v>709</v>
      </c>
      <c r="BG1011" t="s">
        <v>709</v>
      </c>
      <c r="CA1011" t="s">
        <v>915</v>
      </c>
      <c r="CB1011">
        <v>1007</v>
      </c>
      <c r="CC1011" t="b">
        <v>1</v>
      </c>
      <c r="CD1011" t="s">
        <v>5852</v>
      </c>
      <c r="CE1011" s="1482">
        <v>45880.738263888888</v>
      </c>
    </row>
    <row r="1012" spans="1:83" x14ac:dyDescent="0.25">
      <c r="A1012">
        <v>2023</v>
      </c>
      <c r="B1012" t="s">
        <v>771</v>
      </c>
      <c r="C1012" t="s">
        <v>5382</v>
      </c>
      <c r="D1012">
        <v>1412111</v>
      </c>
      <c r="E1012" t="s">
        <v>141</v>
      </c>
      <c r="F1012" t="s">
        <v>747</v>
      </c>
      <c r="G1012" t="s">
        <v>36</v>
      </c>
      <c r="H1012" t="s">
        <v>3178</v>
      </c>
      <c r="I1012">
        <v>45048</v>
      </c>
      <c r="J1012" t="s">
        <v>2052</v>
      </c>
      <c r="K1012">
        <v>45139</v>
      </c>
      <c r="L1012">
        <v>91</v>
      </c>
      <c r="M1012" t="s">
        <v>5853</v>
      </c>
      <c r="N1012" t="s">
        <v>120</v>
      </c>
      <c r="O1012">
        <v>45139</v>
      </c>
      <c r="P1012" t="s">
        <v>120</v>
      </c>
      <c r="Q1012">
        <v>9230</v>
      </c>
      <c r="R1012" t="s">
        <v>1922</v>
      </c>
      <c r="S1012">
        <v>0</v>
      </c>
      <c r="T1012">
        <v>0</v>
      </c>
      <c r="U1012">
        <v>9230</v>
      </c>
      <c r="V1012">
        <v>1083</v>
      </c>
      <c r="W1012">
        <v>0</v>
      </c>
      <c r="AB1012" t="s">
        <v>29</v>
      </c>
      <c r="AC1012" t="s">
        <v>29</v>
      </c>
      <c r="AD1012" t="s">
        <v>29</v>
      </c>
      <c r="AE1012" t="s">
        <v>116</v>
      </c>
      <c r="AF1012" t="s">
        <v>116</v>
      </c>
      <c r="AG1012" t="s">
        <v>29</v>
      </c>
      <c r="AH1012" t="s">
        <v>29</v>
      </c>
      <c r="AM1012" t="s">
        <v>709</v>
      </c>
      <c r="AY1012" t="s">
        <v>29</v>
      </c>
      <c r="BA1012">
        <v>2</v>
      </c>
      <c r="BB1012" t="s">
        <v>709</v>
      </c>
      <c r="BI1012" t="s">
        <v>709</v>
      </c>
      <c r="BJ1012" t="s">
        <v>709</v>
      </c>
      <c r="BK1012" t="s">
        <v>709</v>
      </c>
      <c r="BL1012" t="s">
        <v>116</v>
      </c>
      <c r="BM1012" t="s">
        <v>709</v>
      </c>
      <c r="BN1012" t="s">
        <v>709</v>
      </c>
      <c r="BO1012" t="s">
        <v>709</v>
      </c>
      <c r="BP1012">
        <v>361</v>
      </c>
      <c r="BQ1012">
        <v>595</v>
      </c>
      <c r="BR1012" t="s">
        <v>709</v>
      </c>
      <c r="BS1012">
        <v>127</v>
      </c>
      <c r="BT1012" t="s">
        <v>709</v>
      </c>
      <c r="BU1012" t="s">
        <v>709</v>
      </c>
      <c r="BV1012" t="s">
        <v>709</v>
      </c>
      <c r="BW1012" t="s">
        <v>709</v>
      </c>
      <c r="BX1012" t="s">
        <v>745</v>
      </c>
      <c r="BY1012" t="s">
        <v>709</v>
      </c>
      <c r="BZ1012" t="s">
        <v>709</v>
      </c>
      <c r="CB1012">
        <v>1010</v>
      </c>
      <c r="CC1012" t="b">
        <v>1</v>
      </c>
      <c r="CD1012" t="s">
        <v>5854</v>
      </c>
      <c r="CE1012" s="1482">
        <v>45880.738275462965</v>
      </c>
    </row>
    <row r="1013" spans="1:83" x14ac:dyDescent="0.25">
      <c r="A1013">
        <v>2023</v>
      </c>
      <c r="B1013" t="s">
        <v>4</v>
      </c>
      <c r="C1013" t="s">
        <v>3159</v>
      </c>
      <c r="D1013" t="s">
        <v>3160</v>
      </c>
      <c r="E1013" t="s">
        <v>393</v>
      </c>
      <c r="F1013" t="s">
        <v>784</v>
      </c>
      <c r="G1013" t="s">
        <v>5855</v>
      </c>
      <c r="H1013" t="s">
        <v>3759</v>
      </c>
      <c r="I1013">
        <v>45127</v>
      </c>
      <c r="J1013" t="s">
        <v>2724</v>
      </c>
      <c r="K1013">
        <v>45140</v>
      </c>
      <c r="L1013">
        <v>13</v>
      </c>
      <c r="M1013" t="s">
        <v>5856</v>
      </c>
      <c r="N1013" t="s">
        <v>120</v>
      </c>
      <c r="O1013">
        <v>45200</v>
      </c>
      <c r="P1013" t="s">
        <v>120</v>
      </c>
      <c r="Q1013">
        <v>8245</v>
      </c>
      <c r="R1013" t="s">
        <v>1922</v>
      </c>
      <c r="S1013">
        <v>0</v>
      </c>
      <c r="T1013">
        <v>0</v>
      </c>
      <c r="U1013">
        <v>8245</v>
      </c>
      <c r="V1013">
        <v>5379</v>
      </c>
      <c r="W1013">
        <v>0</v>
      </c>
      <c r="AB1013" t="s">
        <v>29</v>
      </c>
      <c r="AC1013" t="s">
        <v>29</v>
      </c>
      <c r="AD1013" t="s">
        <v>29</v>
      </c>
      <c r="AE1013" t="s">
        <v>756</v>
      </c>
      <c r="AF1013" t="s">
        <v>756</v>
      </c>
      <c r="AG1013" t="s">
        <v>29</v>
      </c>
      <c r="AH1013" t="s">
        <v>29</v>
      </c>
      <c r="AM1013" t="s">
        <v>709</v>
      </c>
      <c r="AY1013" t="s">
        <v>29</v>
      </c>
      <c r="BA1013">
        <v>7</v>
      </c>
      <c r="BB1013" t="s">
        <v>709</v>
      </c>
      <c r="BI1013" t="s">
        <v>709</v>
      </c>
      <c r="BJ1013" t="s">
        <v>709</v>
      </c>
      <c r="BK1013" t="s">
        <v>709</v>
      </c>
      <c r="BL1013" t="s">
        <v>116</v>
      </c>
      <c r="BM1013">
        <v>55</v>
      </c>
      <c r="BN1013">
        <v>4125</v>
      </c>
      <c r="BO1013" t="s">
        <v>709</v>
      </c>
      <c r="BP1013" t="s">
        <v>709</v>
      </c>
      <c r="BQ1013">
        <v>93</v>
      </c>
      <c r="BR1013">
        <v>367</v>
      </c>
      <c r="BS1013">
        <v>630</v>
      </c>
      <c r="BT1013" t="s">
        <v>709</v>
      </c>
      <c r="BU1013" t="s">
        <v>709</v>
      </c>
      <c r="BV1013" t="s">
        <v>709</v>
      </c>
      <c r="BW1013" t="s">
        <v>709</v>
      </c>
      <c r="BX1013" t="s">
        <v>745</v>
      </c>
      <c r="BY1013" t="s">
        <v>709</v>
      </c>
      <c r="BZ1013" t="s">
        <v>709</v>
      </c>
      <c r="CB1013">
        <v>1011</v>
      </c>
      <c r="CC1013" t="b">
        <v>1</v>
      </c>
      <c r="CD1013" t="s">
        <v>5857</v>
      </c>
      <c r="CE1013" s="1482">
        <v>45880.738287037035</v>
      </c>
    </row>
    <row r="1014" spans="1:83" ht="315" x14ac:dyDescent="0.25">
      <c r="A1014">
        <v>2023</v>
      </c>
      <c r="B1014" t="s">
        <v>4</v>
      </c>
      <c r="C1014" t="s">
        <v>5858</v>
      </c>
      <c r="D1014" t="s">
        <v>5859</v>
      </c>
      <c r="E1014" t="s">
        <v>232</v>
      </c>
      <c r="F1014" t="s">
        <v>747</v>
      </c>
      <c r="G1014" t="s">
        <v>23</v>
      </c>
      <c r="H1014" t="s">
        <v>59</v>
      </c>
      <c r="I1014">
        <v>45020</v>
      </c>
      <c r="J1014">
        <v>45142</v>
      </c>
      <c r="K1014">
        <v>45141</v>
      </c>
      <c r="L1014">
        <v>1</v>
      </c>
      <c r="N1014" t="s">
        <v>120</v>
      </c>
      <c r="O1014">
        <v>45139</v>
      </c>
      <c r="P1014" t="s">
        <v>739</v>
      </c>
      <c r="Q1014">
        <v>40928.18</v>
      </c>
      <c r="R1014">
        <v>0.1</v>
      </c>
      <c r="V1014">
        <v>273</v>
      </c>
      <c r="X1014">
        <v>331458.46999999997</v>
      </c>
      <c r="Z1014">
        <v>77823.33</v>
      </c>
      <c r="AA1014">
        <v>409281.8</v>
      </c>
      <c r="AB1014">
        <v>45155</v>
      </c>
      <c r="AC1014" t="s">
        <v>709</v>
      </c>
      <c r="AD1014" t="s">
        <v>29</v>
      </c>
      <c r="AE1014" t="s">
        <v>116</v>
      </c>
      <c r="AF1014" t="s">
        <v>29</v>
      </c>
      <c r="AG1014" t="s">
        <v>116</v>
      </c>
      <c r="AH1014">
        <v>45163</v>
      </c>
      <c r="AM1014" t="s">
        <v>116</v>
      </c>
      <c r="AN1014">
        <v>45188</v>
      </c>
      <c r="AO1014">
        <v>11071368</v>
      </c>
      <c r="AP1014">
        <v>331473.13</v>
      </c>
      <c r="AR1014">
        <v>77823.33</v>
      </c>
      <c r="AS1014">
        <v>409296.46</v>
      </c>
      <c r="AT1014">
        <v>14.66</v>
      </c>
      <c r="AU1014">
        <v>1.466</v>
      </c>
      <c r="AV1014" t="s">
        <v>709</v>
      </c>
      <c r="AX1014">
        <v>1.466</v>
      </c>
      <c r="AY1014">
        <v>45352</v>
      </c>
      <c r="BA1014" s="4" t="s">
        <v>5860</v>
      </c>
      <c r="BB1014" t="s">
        <v>1045</v>
      </c>
      <c r="BC1014" t="s">
        <v>116</v>
      </c>
      <c r="BD1014" t="s">
        <v>115</v>
      </c>
      <c r="BE1014" t="s">
        <v>595</v>
      </c>
      <c r="BF1014" t="s">
        <v>115</v>
      </c>
      <c r="BG1014" t="s">
        <v>115</v>
      </c>
      <c r="BH1014" t="s">
        <v>5861</v>
      </c>
      <c r="BI1014" t="s">
        <v>709</v>
      </c>
      <c r="BJ1014" t="s">
        <v>709</v>
      </c>
      <c r="BK1014" t="s">
        <v>709</v>
      </c>
      <c r="BL1014" t="s">
        <v>116</v>
      </c>
      <c r="BM1014" t="s">
        <v>709</v>
      </c>
      <c r="BN1014" t="s">
        <v>709</v>
      </c>
      <c r="BO1014" t="s">
        <v>709</v>
      </c>
      <c r="BP1014">
        <v>192</v>
      </c>
      <c r="BQ1014" t="s">
        <v>709</v>
      </c>
      <c r="BR1014" t="s">
        <v>709</v>
      </c>
      <c r="BS1014">
        <v>81</v>
      </c>
      <c r="BT1014" t="s">
        <v>709</v>
      </c>
      <c r="BU1014" t="s">
        <v>709</v>
      </c>
      <c r="BV1014" t="s">
        <v>709</v>
      </c>
      <c r="BW1014" t="s">
        <v>709</v>
      </c>
      <c r="BX1014" t="s">
        <v>745</v>
      </c>
      <c r="BY1014" t="s">
        <v>709</v>
      </c>
      <c r="BZ1014" t="s">
        <v>709</v>
      </c>
      <c r="CB1014">
        <v>1012</v>
      </c>
      <c r="CC1014" t="b">
        <v>1</v>
      </c>
      <c r="CD1014" t="s">
        <v>5862</v>
      </c>
      <c r="CE1014" s="1482">
        <v>45880.738287037035</v>
      </c>
    </row>
    <row r="1015" spans="1:83" ht="210" x14ac:dyDescent="0.25">
      <c r="A1015">
        <v>2023</v>
      </c>
      <c r="B1015" t="s">
        <v>759</v>
      </c>
      <c r="C1015" t="s">
        <v>224</v>
      </c>
      <c r="D1015">
        <v>102083</v>
      </c>
      <c r="E1015" t="s">
        <v>225</v>
      </c>
      <c r="F1015" t="s">
        <v>752</v>
      </c>
      <c r="G1015" t="s">
        <v>34</v>
      </c>
      <c r="H1015" t="s">
        <v>59</v>
      </c>
      <c r="I1015">
        <v>44965</v>
      </c>
      <c r="J1015">
        <v>45142</v>
      </c>
      <c r="K1015">
        <v>45142</v>
      </c>
      <c r="L1015">
        <v>0</v>
      </c>
      <c r="N1015" t="s">
        <v>120</v>
      </c>
      <c r="O1015">
        <v>45170</v>
      </c>
      <c r="P1015" t="s">
        <v>120</v>
      </c>
      <c r="Q1015">
        <v>150646.77650000001</v>
      </c>
      <c r="R1015">
        <v>0.11</v>
      </c>
      <c r="V1015">
        <v>776</v>
      </c>
      <c r="W1015">
        <v>1</v>
      </c>
      <c r="X1015">
        <v>1256808.9099999999</v>
      </c>
      <c r="Z1015">
        <v>112707.24</v>
      </c>
      <c r="AA1015">
        <v>1369516.15</v>
      </c>
      <c r="AB1015">
        <v>45166</v>
      </c>
      <c r="AC1015" t="s">
        <v>1441</v>
      </c>
      <c r="AD1015" t="s">
        <v>29</v>
      </c>
      <c r="AE1015" t="s">
        <v>116</v>
      </c>
      <c r="AF1015" t="s">
        <v>756</v>
      </c>
      <c r="AG1015" t="s">
        <v>116</v>
      </c>
      <c r="AH1015" t="s">
        <v>116</v>
      </c>
      <c r="AM1015" t="s">
        <v>116</v>
      </c>
      <c r="AN1015" t="s">
        <v>709</v>
      </c>
      <c r="AO1015">
        <v>11015976</v>
      </c>
      <c r="AS1015">
        <v>0</v>
      </c>
      <c r="AT1015">
        <v>0</v>
      </c>
      <c r="AU1015">
        <v>0</v>
      </c>
      <c r="AY1015" t="s">
        <v>709</v>
      </c>
      <c r="AZ1015">
        <v>158</v>
      </c>
      <c r="BA1015" s="4" t="s">
        <v>1613</v>
      </c>
      <c r="BB1015" t="s">
        <v>1614</v>
      </c>
      <c r="BC1015" t="s">
        <v>116</v>
      </c>
      <c r="BD1015" t="s">
        <v>1066</v>
      </c>
      <c r="BE1015" t="s">
        <v>115</v>
      </c>
      <c r="BF1015" t="s">
        <v>115</v>
      </c>
      <c r="BG1015" t="s">
        <v>115</v>
      </c>
      <c r="BH1015" t="s">
        <v>1273</v>
      </c>
      <c r="BI1015" t="s">
        <v>709</v>
      </c>
      <c r="BJ1015" t="s">
        <v>709</v>
      </c>
      <c r="BK1015" t="s">
        <v>709</v>
      </c>
      <c r="BL1015" t="s">
        <v>116</v>
      </c>
      <c r="BM1015" t="s">
        <v>709</v>
      </c>
      <c r="BN1015" t="s">
        <v>709</v>
      </c>
      <c r="BO1015" t="s">
        <v>709</v>
      </c>
      <c r="BP1015">
        <v>547</v>
      </c>
      <c r="BQ1015">
        <v>41</v>
      </c>
      <c r="BR1015">
        <v>73</v>
      </c>
      <c r="BS1015">
        <v>25</v>
      </c>
      <c r="BT1015">
        <v>1</v>
      </c>
      <c r="BU1015" t="s">
        <v>709</v>
      </c>
      <c r="BV1015" t="s">
        <v>745</v>
      </c>
      <c r="BW1015">
        <v>1</v>
      </c>
      <c r="BX1015" t="s">
        <v>709</v>
      </c>
      <c r="BY1015" t="s">
        <v>745</v>
      </c>
      <c r="BZ1015" t="s">
        <v>709</v>
      </c>
      <c r="CA1015" t="s">
        <v>1022</v>
      </c>
      <c r="CB1015">
        <v>1013</v>
      </c>
      <c r="CC1015" t="b">
        <v>1</v>
      </c>
      <c r="CD1015" t="s">
        <v>5863</v>
      </c>
      <c r="CE1015" s="1482">
        <v>45880.738298611112</v>
      </c>
    </row>
    <row r="1016" spans="1:83" ht="270" x14ac:dyDescent="0.25">
      <c r="A1016">
        <v>2023</v>
      </c>
      <c r="B1016" t="s">
        <v>4</v>
      </c>
      <c r="C1016" t="s">
        <v>1608</v>
      </c>
      <c r="D1016" t="s">
        <v>1609</v>
      </c>
      <c r="E1016" t="s">
        <v>232</v>
      </c>
      <c r="F1016" t="s">
        <v>747</v>
      </c>
      <c r="G1016" t="s">
        <v>33</v>
      </c>
      <c r="H1016" t="s">
        <v>59</v>
      </c>
      <c r="I1016">
        <v>44977</v>
      </c>
      <c r="J1016">
        <v>45142</v>
      </c>
      <c r="K1016">
        <v>45142</v>
      </c>
      <c r="L1016">
        <v>0</v>
      </c>
      <c r="M1016" t="s">
        <v>1610</v>
      </c>
      <c r="N1016" t="s">
        <v>120</v>
      </c>
      <c r="O1016">
        <v>45200</v>
      </c>
      <c r="P1016" t="s">
        <v>739</v>
      </c>
      <c r="Q1016">
        <v>24659.753000000001</v>
      </c>
      <c r="R1016">
        <v>0.1</v>
      </c>
      <c r="V1016">
        <v>905</v>
      </c>
      <c r="W1016">
        <v>0</v>
      </c>
      <c r="X1016">
        <v>213292.88</v>
      </c>
      <c r="Z1016">
        <v>33304.65</v>
      </c>
      <c r="AA1016">
        <v>246597.53</v>
      </c>
      <c r="AB1016">
        <v>45026</v>
      </c>
      <c r="AC1016" t="s">
        <v>709</v>
      </c>
      <c r="AD1016" t="s">
        <v>29</v>
      </c>
      <c r="AE1016" t="s">
        <v>756</v>
      </c>
      <c r="AF1016" t="s">
        <v>29</v>
      </c>
      <c r="AG1016" t="s">
        <v>29</v>
      </c>
      <c r="AH1016" t="s">
        <v>29</v>
      </c>
      <c r="AM1016" t="s">
        <v>116</v>
      </c>
      <c r="AN1016">
        <v>45496</v>
      </c>
      <c r="AO1016">
        <v>11086823</v>
      </c>
      <c r="AP1016">
        <v>156209.79</v>
      </c>
      <c r="AR1016">
        <v>26312.77</v>
      </c>
      <c r="AS1016">
        <v>182522.56</v>
      </c>
      <c r="AT1016">
        <v>-64074.97</v>
      </c>
      <c r="AU1016">
        <v>-6407.4970000000003</v>
      </c>
      <c r="AV1016">
        <v>7367.5</v>
      </c>
      <c r="AW1016" t="s">
        <v>5864</v>
      </c>
      <c r="AX1016">
        <v>0</v>
      </c>
      <c r="AY1016">
        <v>45901</v>
      </c>
      <c r="AZ1016">
        <v>93</v>
      </c>
      <c r="BA1016" s="4" t="s">
        <v>1611</v>
      </c>
      <c r="BB1016" t="s">
        <v>1045</v>
      </c>
      <c r="BC1016" t="s">
        <v>709</v>
      </c>
      <c r="BD1016" t="s">
        <v>1092</v>
      </c>
      <c r="BE1016" t="s">
        <v>595</v>
      </c>
      <c r="BF1016" t="s">
        <v>595</v>
      </c>
      <c r="BG1016" t="s">
        <v>709</v>
      </c>
      <c r="BH1016" t="s">
        <v>1612</v>
      </c>
      <c r="BI1016" t="s">
        <v>709</v>
      </c>
      <c r="BJ1016" t="s">
        <v>709</v>
      </c>
      <c r="BK1016" t="s">
        <v>709</v>
      </c>
      <c r="BL1016" t="s">
        <v>116</v>
      </c>
      <c r="BM1016" t="s">
        <v>709</v>
      </c>
      <c r="BN1016" t="s">
        <v>709</v>
      </c>
      <c r="BO1016" t="s">
        <v>709</v>
      </c>
      <c r="BP1016" t="s">
        <v>709</v>
      </c>
      <c r="BQ1016" t="s">
        <v>709</v>
      </c>
      <c r="BR1016">
        <v>535</v>
      </c>
      <c r="BS1016">
        <v>370</v>
      </c>
      <c r="BT1016" t="s">
        <v>709</v>
      </c>
      <c r="BU1016" t="s">
        <v>709</v>
      </c>
      <c r="BV1016" t="s">
        <v>709</v>
      </c>
      <c r="BW1016" t="s">
        <v>709</v>
      </c>
      <c r="BX1016" t="s">
        <v>745</v>
      </c>
      <c r="BY1016" t="s">
        <v>709</v>
      </c>
      <c r="BZ1016" t="s">
        <v>709</v>
      </c>
      <c r="CB1016">
        <v>1014</v>
      </c>
      <c r="CC1016" t="b">
        <v>1</v>
      </c>
      <c r="CD1016" t="s">
        <v>5865</v>
      </c>
      <c r="CE1016" s="1482">
        <v>45880.738310185188</v>
      </c>
    </row>
    <row r="1017" spans="1:83" ht="300" x14ac:dyDescent="0.25">
      <c r="A1017">
        <v>2023</v>
      </c>
      <c r="B1017" t="s">
        <v>4</v>
      </c>
      <c r="C1017" t="s">
        <v>5866</v>
      </c>
      <c r="D1017" t="s">
        <v>115</v>
      </c>
      <c r="E1017" t="s">
        <v>155</v>
      </c>
      <c r="F1017" t="s">
        <v>784</v>
      </c>
      <c r="G1017" t="s">
        <v>26</v>
      </c>
      <c r="H1017" t="s">
        <v>1903</v>
      </c>
      <c r="I1017">
        <v>45103</v>
      </c>
      <c r="J1017">
        <v>45170</v>
      </c>
      <c r="K1017">
        <v>45145</v>
      </c>
      <c r="L1017">
        <v>25</v>
      </c>
      <c r="M1017">
        <v>0</v>
      </c>
      <c r="N1017" t="s">
        <v>120</v>
      </c>
      <c r="O1017">
        <v>45139</v>
      </c>
      <c r="P1017" t="s">
        <v>739</v>
      </c>
      <c r="Q1017" t="s">
        <v>115</v>
      </c>
      <c r="R1017" t="s">
        <v>115</v>
      </c>
      <c r="AB1017" t="s">
        <v>29</v>
      </c>
      <c r="AC1017" t="s">
        <v>29</v>
      </c>
      <c r="AD1017" t="s">
        <v>29</v>
      </c>
      <c r="AE1017" t="s">
        <v>116</v>
      </c>
      <c r="AF1017" t="s">
        <v>116</v>
      </c>
      <c r="AG1017" t="s">
        <v>116</v>
      </c>
      <c r="AH1017">
        <v>45163</v>
      </c>
      <c r="AM1017" t="s">
        <v>709</v>
      </c>
      <c r="AY1017" t="s">
        <v>29</v>
      </c>
      <c r="BA1017" s="4" t="s">
        <v>5867</v>
      </c>
      <c r="BB1017" t="s">
        <v>5868</v>
      </c>
      <c r="BC1017" t="s">
        <v>709</v>
      </c>
      <c r="BD1017" t="s">
        <v>882</v>
      </c>
      <c r="BE1017" t="s">
        <v>1085</v>
      </c>
      <c r="BF1017" t="s">
        <v>709</v>
      </c>
      <c r="BG1017" t="s">
        <v>709</v>
      </c>
      <c r="CA1017" t="s">
        <v>915</v>
      </c>
      <c r="CB1017">
        <v>1015</v>
      </c>
      <c r="CC1017" t="b">
        <v>1</v>
      </c>
      <c r="CD1017" t="s">
        <v>5869</v>
      </c>
      <c r="CE1017" s="1482">
        <v>45880.738310185188</v>
      </c>
    </row>
    <row r="1018" spans="1:83" ht="375" x14ac:dyDescent="0.25">
      <c r="A1018">
        <v>2023</v>
      </c>
      <c r="B1018" t="s">
        <v>4</v>
      </c>
      <c r="C1018" t="s">
        <v>5870</v>
      </c>
      <c r="D1018" t="s">
        <v>5871</v>
      </c>
      <c r="E1018" t="s">
        <v>2258</v>
      </c>
      <c r="F1018" t="s">
        <v>784</v>
      </c>
      <c r="G1018" t="s">
        <v>25</v>
      </c>
      <c r="H1018" t="s">
        <v>543</v>
      </c>
      <c r="I1018">
        <v>44893</v>
      </c>
      <c r="J1018">
        <v>45177</v>
      </c>
      <c r="K1018">
        <v>45146</v>
      </c>
      <c r="L1018">
        <v>31</v>
      </c>
      <c r="N1018" t="s">
        <v>120</v>
      </c>
      <c r="O1018">
        <v>45139</v>
      </c>
      <c r="P1018" t="s">
        <v>739</v>
      </c>
      <c r="Q1018" t="s">
        <v>115</v>
      </c>
      <c r="R1018" t="s">
        <v>115</v>
      </c>
      <c r="AB1018" t="s">
        <v>29</v>
      </c>
      <c r="AC1018" t="s">
        <v>29</v>
      </c>
      <c r="AD1018" t="s">
        <v>29</v>
      </c>
      <c r="AE1018" t="s">
        <v>756</v>
      </c>
      <c r="AF1018" t="s">
        <v>116</v>
      </c>
      <c r="AG1018" t="s">
        <v>29</v>
      </c>
      <c r="AH1018">
        <v>45160</v>
      </c>
      <c r="AM1018" t="s">
        <v>709</v>
      </c>
      <c r="AY1018" t="s">
        <v>29</v>
      </c>
      <c r="BA1018" s="4" t="s">
        <v>5872</v>
      </c>
      <c r="BB1018" t="s">
        <v>1071</v>
      </c>
      <c r="BC1018" t="s">
        <v>709</v>
      </c>
      <c r="BD1018" t="s">
        <v>1167</v>
      </c>
      <c r="BE1018" t="s">
        <v>5873</v>
      </c>
      <c r="BF1018" t="s">
        <v>709</v>
      </c>
      <c r="BG1018" t="s">
        <v>5874</v>
      </c>
      <c r="CA1018" t="s">
        <v>915</v>
      </c>
      <c r="CB1018">
        <v>1016</v>
      </c>
      <c r="CC1018" t="b">
        <v>1</v>
      </c>
      <c r="CD1018" t="s">
        <v>5875</v>
      </c>
      <c r="CE1018" s="1482">
        <v>45880.738321759258</v>
      </c>
    </row>
    <row r="1019" spans="1:83" x14ac:dyDescent="0.25">
      <c r="A1019">
        <v>2023</v>
      </c>
      <c r="B1019" t="s">
        <v>4</v>
      </c>
      <c r="C1019" t="s">
        <v>5507</v>
      </c>
      <c r="D1019" t="s">
        <v>5508</v>
      </c>
      <c r="E1019" t="s">
        <v>859</v>
      </c>
      <c r="F1019" t="s">
        <v>851</v>
      </c>
      <c r="G1019" t="s">
        <v>25</v>
      </c>
      <c r="H1019" t="s">
        <v>3178</v>
      </c>
      <c r="I1019">
        <v>45096</v>
      </c>
      <c r="J1019" t="s">
        <v>2052</v>
      </c>
      <c r="K1019">
        <v>45146</v>
      </c>
      <c r="L1019">
        <v>50</v>
      </c>
      <c r="M1019" t="s">
        <v>5876</v>
      </c>
      <c r="N1019" t="s">
        <v>120</v>
      </c>
      <c r="O1019">
        <v>45139</v>
      </c>
      <c r="P1019" t="s">
        <v>739</v>
      </c>
      <c r="Q1019">
        <v>17477.5</v>
      </c>
      <c r="R1019" t="s">
        <v>1922</v>
      </c>
      <c r="S1019" t="s">
        <v>709</v>
      </c>
      <c r="T1019" t="s">
        <v>709</v>
      </c>
      <c r="U1019">
        <v>17477.5</v>
      </c>
      <c r="V1019">
        <v>5420</v>
      </c>
      <c r="W1019">
        <v>0</v>
      </c>
      <c r="AB1019" t="s">
        <v>29</v>
      </c>
      <c r="AC1019" t="s">
        <v>29</v>
      </c>
      <c r="AD1019" t="s">
        <v>29</v>
      </c>
      <c r="AE1019" t="s">
        <v>756</v>
      </c>
      <c r="AF1019" t="s">
        <v>116</v>
      </c>
      <c r="AG1019" t="s">
        <v>29</v>
      </c>
      <c r="AH1019">
        <v>45160</v>
      </c>
      <c r="AM1019" t="s">
        <v>709</v>
      </c>
      <c r="AY1019" t="s">
        <v>29</v>
      </c>
      <c r="BA1019">
        <v>7</v>
      </c>
      <c r="BB1019" t="s">
        <v>709</v>
      </c>
      <c r="BH1019" t="s">
        <v>5877</v>
      </c>
      <c r="BI1019" t="s">
        <v>709</v>
      </c>
      <c r="BJ1019" t="s">
        <v>709</v>
      </c>
      <c r="BK1019" t="s">
        <v>116</v>
      </c>
      <c r="BL1019" t="s">
        <v>116</v>
      </c>
      <c r="BM1019" t="s">
        <v>709</v>
      </c>
      <c r="BN1019" t="s">
        <v>709</v>
      </c>
      <c r="BO1019" t="s">
        <v>709</v>
      </c>
      <c r="BP1019" t="s">
        <v>709</v>
      </c>
      <c r="BQ1019" t="s">
        <v>709</v>
      </c>
      <c r="BR1019" t="s">
        <v>709</v>
      </c>
      <c r="BS1019">
        <v>601</v>
      </c>
      <c r="BT1019" t="s">
        <v>709</v>
      </c>
      <c r="BU1019" t="s">
        <v>709</v>
      </c>
      <c r="BV1019" t="s">
        <v>709</v>
      </c>
      <c r="BW1019" t="s">
        <v>709</v>
      </c>
      <c r="BX1019" t="s">
        <v>745</v>
      </c>
      <c r="BY1019" t="s">
        <v>709</v>
      </c>
      <c r="BZ1019" t="s">
        <v>709</v>
      </c>
      <c r="CB1019">
        <v>1017</v>
      </c>
      <c r="CC1019" t="b">
        <v>1</v>
      </c>
      <c r="CD1019" t="s">
        <v>5878</v>
      </c>
      <c r="CE1019" s="1482">
        <v>45880.738321759258</v>
      </c>
    </row>
    <row r="1020" spans="1:83" x14ac:dyDescent="0.25">
      <c r="A1020">
        <v>2023</v>
      </c>
      <c r="B1020" t="s">
        <v>4</v>
      </c>
      <c r="C1020" t="s">
        <v>5879</v>
      </c>
      <c r="D1020" t="s">
        <v>5880</v>
      </c>
      <c r="E1020" t="s">
        <v>61</v>
      </c>
      <c r="F1020" t="s">
        <v>784</v>
      </c>
      <c r="G1020" t="s">
        <v>25</v>
      </c>
      <c r="H1020" t="s">
        <v>1681</v>
      </c>
      <c r="I1020">
        <v>45005</v>
      </c>
      <c r="J1020">
        <v>45163</v>
      </c>
      <c r="K1020">
        <v>45147</v>
      </c>
      <c r="L1020">
        <v>16</v>
      </c>
      <c r="M1020" t="s">
        <v>5881</v>
      </c>
      <c r="N1020" t="s">
        <v>120</v>
      </c>
      <c r="O1020">
        <v>45170</v>
      </c>
      <c r="P1020" t="s">
        <v>739</v>
      </c>
      <c r="Q1020">
        <v>21457.5</v>
      </c>
      <c r="R1020" t="s">
        <v>1922</v>
      </c>
      <c r="S1020">
        <v>0</v>
      </c>
      <c r="T1020" t="s">
        <v>709</v>
      </c>
      <c r="U1020">
        <v>21457.5</v>
      </c>
      <c r="AB1020" t="s">
        <v>29</v>
      </c>
      <c r="AC1020" t="s">
        <v>29</v>
      </c>
      <c r="AD1020" t="s">
        <v>29</v>
      </c>
      <c r="AE1020" t="s">
        <v>116</v>
      </c>
      <c r="AF1020" t="s">
        <v>116</v>
      </c>
      <c r="AG1020" t="s">
        <v>29</v>
      </c>
      <c r="AH1020">
        <v>45160</v>
      </c>
      <c r="AM1020" t="s">
        <v>709</v>
      </c>
      <c r="AY1020" t="s">
        <v>29</v>
      </c>
      <c r="BA1020" t="s">
        <v>5882</v>
      </c>
      <c r="BB1020" t="s">
        <v>1617</v>
      </c>
      <c r="BC1020" t="s">
        <v>709</v>
      </c>
      <c r="BD1020" t="s">
        <v>709</v>
      </c>
      <c r="BE1020" t="s">
        <v>5883</v>
      </c>
      <c r="BF1020" t="s">
        <v>709</v>
      </c>
      <c r="BG1020" t="s">
        <v>709</v>
      </c>
      <c r="CA1020" t="s">
        <v>915</v>
      </c>
      <c r="CB1020">
        <v>1020</v>
      </c>
      <c r="CC1020" t="b">
        <v>1</v>
      </c>
      <c r="CD1020" t="s">
        <v>5884</v>
      </c>
      <c r="CE1020" s="1482">
        <v>45880.738333333335</v>
      </c>
    </row>
    <row r="1021" spans="1:83" x14ac:dyDescent="0.25">
      <c r="A1021">
        <v>2023</v>
      </c>
      <c r="B1021" t="s">
        <v>4</v>
      </c>
      <c r="C1021" t="s">
        <v>4250</v>
      </c>
      <c r="D1021" t="s">
        <v>5885</v>
      </c>
      <c r="E1021" t="s">
        <v>2280</v>
      </c>
      <c r="F1021" t="s">
        <v>747</v>
      </c>
      <c r="G1021" t="s">
        <v>23</v>
      </c>
      <c r="H1021" t="s">
        <v>1681</v>
      </c>
      <c r="I1021">
        <v>44621</v>
      </c>
      <c r="J1021">
        <v>45156</v>
      </c>
      <c r="K1021">
        <v>45147</v>
      </c>
      <c r="L1021">
        <v>9</v>
      </c>
      <c r="N1021" t="s">
        <v>120</v>
      </c>
      <c r="O1021">
        <v>45139</v>
      </c>
      <c r="P1021" t="s">
        <v>739</v>
      </c>
      <c r="Q1021" t="s">
        <v>115</v>
      </c>
      <c r="R1021" t="s">
        <v>115</v>
      </c>
      <c r="AB1021" t="s">
        <v>29</v>
      </c>
      <c r="AC1021" t="s">
        <v>29</v>
      </c>
      <c r="AD1021" t="s">
        <v>29</v>
      </c>
      <c r="AE1021" t="s">
        <v>116</v>
      </c>
      <c r="AF1021" t="s">
        <v>29</v>
      </c>
      <c r="AG1021" t="s">
        <v>29</v>
      </c>
      <c r="AH1021">
        <v>45163</v>
      </c>
      <c r="AM1021" t="s">
        <v>709</v>
      </c>
      <c r="AY1021" t="s">
        <v>29</v>
      </c>
      <c r="BA1021" t="s">
        <v>5886</v>
      </c>
      <c r="BB1021" t="s">
        <v>1617</v>
      </c>
      <c r="BC1021" t="s">
        <v>116</v>
      </c>
      <c r="BD1021" t="s">
        <v>709</v>
      </c>
      <c r="BE1021" t="s">
        <v>4528</v>
      </c>
      <c r="BF1021" t="s">
        <v>709</v>
      </c>
      <c r="BG1021" t="s">
        <v>709</v>
      </c>
      <c r="CA1021" t="s">
        <v>915</v>
      </c>
      <c r="CB1021">
        <v>1018</v>
      </c>
      <c r="CC1021" t="b">
        <v>1</v>
      </c>
      <c r="CD1021" t="s">
        <v>5887</v>
      </c>
      <c r="CE1021" s="1482">
        <v>45880.738333333335</v>
      </c>
    </row>
    <row r="1022" spans="1:83" x14ac:dyDescent="0.25">
      <c r="A1022">
        <v>2023</v>
      </c>
      <c r="B1022" t="s">
        <v>4</v>
      </c>
      <c r="C1022" t="s">
        <v>404</v>
      </c>
      <c r="D1022" t="s">
        <v>1615</v>
      </c>
      <c r="E1022" t="s">
        <v>405</v>
      </c>
      <c r="F1022" t="s">
        <v>747</v>
      </c>
      <c r="G1022" t="s">
        <v>28</v>
      </c>
      <c r="H1022" t="s">
        <v>59</v>
      </c>
      <c r="I1022">
        <v>44963</v>
      </c>
      <c r="J1022">
        <v>45148</v>
      </c>
      <c r="K1022">
        <v>45147</v>
      </c>
      <c r="L1022">
        <v>1</v>
      </c>
      <c r="N1022" t="s">
        <v>120</v>
      </c>
      <c r="O1022">
        <v>45139</v>
      </c>
      <c r="P1022" t="s">
        <v>739</v>
      </c>
      <c r="Q1022">
        <v>65280.822</v>
      </c>
      <c r="R1022">
        <v>0.1</v>
      </c>
      <c r="V1022">
        <v>5576</v>
      </c>
      <c r="W1022">
        <v>0</v>
      </c>
      <c r="X1022">
        <v>626842.82999999996</v>
      </c>
      <c r="Z1022">
        <v>25965.39</v>
      </c>
      <c r="AA1022">
        <v>652808.22</v>
      </c>
      <c r="AB1022">
        <v>45141</v>
      </c>
      <c r="AC1022" t="s">
        <v>116</v>
      </c>
      <c r="AD1022" t="s">
        <v>29</v>
      </c>
      <c r="AE1022" t="s">
        <v>756</v>
      </c>
      <c r="AF1022" t="s">
        <v>756</v>
      </c>
      <c r="AG1022" t="s">
        <v>116</v>
      </c>
      <c r="AH1022">
        <v>45163</v>
      </c>
      <c r="AM1022" t="s">
        <v>116</v>
      </c>
      <c r="AN1022" t="s">
        <v>709</v>
      </c>
      <c r="AS1022">
        <v>0</v>
      </c>
      <c r="AT1022">
        <v>0</v>
      </c>
      <c r="AU1022">
        <v>0</v>
      </c>
      <c r="AY1022" t="s">
        <v>709</v>
      </c>
      <c r="AZ1022">
        <v>94</v>
      </c>
      <c r="BA1022" t="s">
        <v>1616</v>
      </c>
      <c r="BB1022" t="s">
        <v>1617</v>
      </c>
      <c r="BC1022" t="s">
        <v>116</v>
      </c>
      <c r="BD1022" t="s">
        <v>709</v>
      </c>
      <c r="BE1022" t="s">
        <v>115</v>
      </c>
      <c r="BF1022" t="s">
        <v>115</v>
      </c>
      <c r="BG1022" t="s">
        <v>1618</v>
      </c>
      <c r="BH1022" t="s">
        <v>1619</v>
      </c>
      <c r="BI1022" t="s">
        <v>709</v>
      </c>
      <c r="BJ1022" t="s">
        <v>116</v>
      </c>
      <c r="BK1022" t="s">
        <v>709</v>
      </c>
      <c r="BL1022" t="s">
        <v>709</v>
      </c>
      <c r="BM1022" t="s">
        <v>709</v>
      </c>
      <c r="BN1022" t="s">
        <v>709</v>
      </c>
      <c r="BO1022" t="s">
        <v>709</v>
      </c>
      <c r="BP1022" t="s">
        <v>709</v>
      </c>
      <c r="BQ1022" t="s">
        <v>709</v>
      </c>
      <c r="BR1022" t="s">
        <v>709</v>
      </c>
      <c r="BS1022">
        <v>5576</v>
      </c>
      <c r="BT1022" t="s">
        <v>709</v>
      </c>
      <c r="BU1022" t="s">
        <v>709</v>
      </c>
      <c r="BV1022" t="s">
        <v>709</v>
      </c>
      <c r="BW1022" t="s">
        <v>709</v>
      </c>
      <c r="BX1022" t="s">
        <v>745</v>
      </c>
      <c r="BY1022" t="s">
        <v>709</v>
      </c>
      <c r="BZ1022" t="s">
        <v>709</v>
      </c>
      <c r="CB1022">
        <v>1019</v>
      </c>
      <c r="CC1022" t="b">
        <v>1</v>
      </c>
      <c r="CD1022" t="s">
        <v>5888</v>
      </c>
      <c r="CE1022" s="1482">
        <v>45880.738344907404</v>
      </c>
    </row>
    <row r="1023" spans="1:83" x14ac:dyDescent="0.25">
      <c r="A1023">
        <v>2024</v>
      </c>
      <c r="B1023" t="s">
        <v>1073</v>
      </c>
      <c r="C1023" t="s">
        <v>594</v>
      </c>
      <c r="D1023" t="s">
        <v>5889</v>
      </c>
      <c r="E1023" t="s">
        <v>232</v>
      </c>
      <c r="F1023" t="s">
        <v>851</v>
      </c>
      <c r="G1023" t="s">
        <v>32</v>
      </c>
      <c r="H1023" t="s">
        <v>59</v>
      </c>
      <c r="I1023">
        <v>45090</v>
      </c>
      <c r="J1023">
        <v>45152</v>
      </c>
      <c r="K1023">
        <v>45148</v>
      </c>
      <c r="L1023">
        <v>4</v>
      </c>
      <c r="N1023" t="s">
        <v>120</v>
      </c>
      <c r="O1023">
        <v>45139</v>
      </c>
      <c r="P1023" t="s">
        <v>739</v>
      </c>
      <c r="Q1023">
        <v>6767.3527999999997</v>
      </c>
      <c r="R1023">
        <v>0.08</v>
      </c>
      <c r="V1023">
        <v>0</v>
      </c>
      <c r="W1023">
        <v>0</v>
      </c>
      <c r="X1023">
        <v>84591.91</v>
      </c>
      <c r="Z1023">
        <v>0</v>
      </c>
      <c r="AA1023">
        <v>84591.91</v>
      </c>
      <c r="AB1023">
        <v>45149</v>
      </c>
      <c r="AC1023" t="s">
        <v>1441</v>
      </c>
      <c r="AD1023" t="s">
        <v>29</v>
      </c>
      <c r="AE1023" t="s">
        <v>709</v>
      </c>
      <c r="AF1023" t="s">
        <v>756</v>
      </c>
      <c r="AG1023" t="s">
        <v>116</v>
      </c>
      <c r="AH1023" t="s">
        <v>709</v>
      </c>
      <c r="AM1023" t="s">
        <v>116</v>
      </c>
      <c r="AN1023">
        <v>45238</v>
      </c>
      <c r="AO1023">
        <v>11068210</v>
      </c>
      <c r="AP1023">
        <v>94592.27</v>
      </c>
      <c r="AR1023">
        <v>0</v>
      </c>
      <c r="AS1023">
        <v>94592.27</v>
      </c>
      <c r="AT1023">
        <v>10000.36</v>
      </c>
      <c r="AU1023">
        <v>800.02880000000005</v>
      </c>
      <c r="AV1023">
        <v>887.5</v>
      </c>
      <c r="AW1023" t="s">
        <v>5890</v>
      </c>
      <c r="AX1023">
        <v>0</v>
      </c>
      <c r="AY1023">
        <v>45352</v>
      </c>
      <c r="BA1023" t="s">
        <v>5891</v>
      </c>
      <c r="BB1023" t="s">
        <v>5892</v>
      </c>
      <c r="BC1023" t="s">
        <v>709</v>
      </c>
      <c r="BD1023" t="s">
        <v>837</v>
      </c>
      <c r="BE1023" t="s">
        <v>595</v>
      </c>
      <c r="BF1023" t="s">
        <v>838</v>
      </c>
      <c r="BG1023" t="s">
        <v>1582</v>
      </c>
      <c r="BH1023" t="s">
        <v>5893</v>
      </c>
      <c r="BI1023" t="s">
        <v>709</v>
      </c>
      <c r="BJ1023" t="s">
        <v>709</v>
      </c>
      <c r="BK1023" t="s">
        <v>116</v>
      </c>
      <c r="BL1023" t="s">
        <v>116</v>
      </c>
      <c r="BM1023">
        <v>0</v>
      </c>
      <c r="BN1023">
        <v>0</v>
      </c>
      <c r="BO1023">
        <v>0</v>
      </c>
      <c r="BP1023">
        <v>0</v>
      </c>
      <c r="BQ1023">
        <v>0</v>
      </c>
      <c r="BR1023">
        <v>169</v>
      </c>
      <c r="BS1023">
        <v>0</v>
      </c>
      <c r="BT1023">
        <v>0</v>
      </c>
      <c r="BU1023">
        <v>0</v>
      </c>
      <c r="BV1023">
        <v>0</v>
      </c>
      <c r="BW1023">
        <v>0</v>
      </c>
      <c r="BX1023">
        <v>0</v>
      </c>
      <c r="BY1023">
        <v>1</v>
      </c>
      <c r="BZ1023" t="s">
        <v>709</v>
      </c>
      <c r="CB1023">
        <v>1021</v>
      </c>
      <c r="CC1023" t="b">
        <v>1</v>
      </c>
      <c r="CD1023" t="s">
        <v>5894</v>
      </c>
      <c r="CE1023" s="1482">
        <v>45880.738344907404</v>
      </c>
    </row>
    <row r="1024" spans="1:83" x14ac:dyDescent="0.25">
      <c r="A1024">
        <v>2024</v>
      </c>
      <c r="B1024" t="s">
        <v>1073</v>
      </c>
      <c r="C1024" t="s">
        <v>594</v>
      </c>
      <c r="D1024" t="s">
        <v>5895</v>
      </c>
      <c r="E1024" t="s">
        <v>232</v>
      </c>
      <c r="F1024" t="s">
        <v>851</v>
      </c>
      <c r="G1024" t="s">
        <v>32</v>
      </c>
      <c r="H1024" t="s">
        <v>59</v>
      </c>
      <c r="I1024">
        <v>45090</v>
      </c>
      <c r="J1024">
        <v>45152</v>
      </c>
      <c r="K1024">
        <v>45148</v>
      </c>
      <c r="L1024">
        <v>4</v>
      </c>
      <c r="N1024" t="s">
        <v>120</v>
      </c>
      <c r="O1024">
        <v>45139</v>
      </c>
      <c r="P1024" t="s">
        <v>739</v>
      </c>
      <c r="Q1024">
        <v>5044.8648000000003</v>
      </c>
      <c r="R1024">
        <v>0.08</v>
      </c>
      <c r="V1024">
        <v>196</v>
      </c>
      <c r="W1024">
        <v>0</v>
      </c>
      <c r="X1024">
        <v>63060.81</v>
      </c>
      <c r="Z1024">
        <v>0</v>
      </c>
      <c r="AA1024">
        <v>63060.81</v>
      </c>
      <c r="AB1024">
        <v>45149</v>
      </c>
      <c r="AC1024" t="s">
        <v>709</v>
      </c>
      <c r="AD1024" t="s">
        <v>29</v>
      </c>
      <c r="AE1024" t="s">
        <v>709</v>
      </c>
      <c r="AF1024" t="s">
        <v>756</v>
      </c>
      <c r="AG1024" t="s">
        <v>116</v>
      </c>
      <c r="AH1024" t="s">
        <v>709</v>
      </c>
      <c r="AM1024" t="s">
        <v>116</v>
      </c>
      <c r="AN1024">
        <v>45238</v>
      </c>
      <c r="AO1024">
        <v>11068211</v>
      </c>
      <c r="AP1024">
        <v>75090.52</v>
      </c>
      <c r="AR1024">
        <v>0</v>
      </c>
      <c r="AS1024">
        <v>75090.52</v>
      </c>
      <c r="AT1024">
        <v>12029.71</v>
      </c>
      <c r="AU1024">
        <v>962.3768</v>
      </c>
      <c r="AV1024">
        <v>887.5</v>
      </c>
      <c r="AW1024" t="s">
        <v>5896</v>
      </c>
      <c r="AX1024">
        <v>0</v>
      </c>
      <c r="AY1024">
        <v>45352</v>
      </c>
      <c r="BA1024" t="s">
        <v>5897</v>
      </c>
      <c r="BB1024" t="s">
        <v>5892</v>
      </c>
      <c r="BC1024" t="s">
        <v>709</v>
      </c>
      <c r="BD1024" t="s">
        <v>837</v>
      </c>
      <c r="BE1024" t="s">
        <v>595</v>
      </c>
      <c r="BF1024" t="s">
        <v>838</v>
      </c>
      <c r="BG1024" t="s">
        <v>5898</v>
      </c>
      <c r="BH1024" t="s">
        <v>5899</v>
      </c>
      <c r="BI1024" t="s">
        <v>709</v>
      </c>
      <c r="BJ1024" t="s">
        <v>709</v>
      </c>
      <c r="BK1024" t="s">
        <v>116</v>
      </c>
      <c r="BL1024" t="s">
        <v>116</v>
      </c>
      <c r="BM1024">
        <v>0</v>
      </c>
      <c r="BN1024">
        <v>0</v>
      </c>
      <c r="BO1024">
        <v>0</v>
      </c>
      <c r="BP1024">
        <v>0</v>
      </c>
      <c r="BQ1024">
        <v>0</v>
      </c>
      <c r="BR1024">
        <v>196</v>
      </c>
      <c r="BS1024">
        <v>0</v>
      </c>
      <c r="BT1024">
        <v>0</v>
      </c>
      <c r="BU1024">
        <v>0</v>
      </c>
      <c r="BV1024">
        <v>0</v>
      </c>
      <c r="BW1024">
        <v>0</v>
      </c>
      <c r="BX1024">
        <v>0</v>
      </c>
      <c r="BY1024">
        <v>1</v>
      </c>
      <c r="BZ1024" t="s">
        <v>709</v>
      </c>
      <c r="CB1024">
        <v>1022</v>
      </c>
      <c r="CC1024" t="b">
        <v>1</v>
      </c>
      <c r="CD1024" t="s">
        <v>5900</v>
      </c>
      <c r="CE1024" s="1482">
        <v>45880.738356481481</v>
      </c>
    </row>
    <row r="1025" spans="1:83" x14ac:dyDescent="0.25">
      <c r="A1025">
        <v>2023</v>
      </c>
      <c r="B1025" t="s">
        <v>4</v>
      </c>
      <c r="C1025" t="s">
        <v>5901</v>
      </c>
      <c r="D1025" t="s">
        <v>5902</v>
      </c>
      <c r="E1025" t="s">
        <v>178</v>
      </c>
      <c r="F1025" t="s">
        <v>851</v>
      </c>
      <c r="G1025" t="s">
        <v>26</v>
      </c>
      <c r="H1025" t="s">
        <v>59</v>
      </c>
      <c r="I1025">
        <v>45093</v>
      </c>
      <c r="J1025">
        <v>45154</v>
      </c>
      <c r="K1025">
        <v>45153</v>
      </c>
      <c r="L1025">
        <v>1</v>
      </c>
      <c r="N1025" t="s">
        <v>120</v>
      </c>
      <c r="O1025">
        <v>45139</v>
      </c>
      <c r="P1025" t="s">
        <v>739</v>
      </c>
      <c r="Q1025">
        <v>25882.338</v>
      </c>
      <c r="R1025">
        <v>0.1</v>
      </c>
      <c r="V1025">
        <v>388</v>
      </c>
      <c r="W1025">
        <v>0</v>
      </c>
      <c r="X1025">
        <v>198640.51</v>
      </c>
      <c r="Z1025">
        <v>60182.87</v>
      </c>
      <c r="AA1025">
        <v>258823.38</v>
      </c>
      <c r="AB1025">
        <v>45146</v>
      </c>
      <c r="AC1025" t="s">
        <v>709</v>
      </c>
      <c r="AD1025" t="s">
        <v>29</v>
      </c>
      <c r="AE1025" t="s">
        <v>116</v>
      </c>
      <c r="AF1025" t="s">
        <v>116</v>
      </c>
      <c r="AG1025" t="s">
        <v>116</v>
      </c>
      <c r="AH1025">
        <v>45160</v>
      </c>
      <c r="AM1025" t="s">
        <v>116</v>
      </c>
      <c r="AN1025">
        <v>45230</v>
      </c>
      <c r="AO1025">
        <v>11073633</v>
      </c>
      <c r="AP1025">
        <v>194174.46</v>
      </c>
      <c r="AR1025">
        <v>59592.45</v>
      </c>
      <c r="AS1025">
        <v>253766.91</v>
      </c>
      <c r="AT1025">
        <v>-5056.47</v>
      </c>
      <c r="AU1025">
        <v>-505.64699999999999</v>
      </c>
      <c r="AV1025" t="s">
        <v>709</v>
      </c>
      <c r="AX1025">
        <v>-505.64699999999999</v>
      </c>
      <c r="AY1025">
        <v>45352</v>
      </c>
      <c r="BA1025" t="s">
        <v>5903</v>
      </c>
      <c r="BB1025" t="s">
        <v>5904</v>
      </c>
      <c r="BC1025" t="s">
        <v>116</v>
      </c>
      <c r="BD1025" t="s">
        <v>709</v>
      </c>
      <c r="BE1025" t="s">
        <v>5134</v>
      </c>
      <c r="BF1025" t="s">
        <v>709</v>
      </c>
      <c r="BG1025" t="s">
        <v>5905</v>
      </c>
      <c r="BH1025" t="s">
        <v>5906</v>
      </c>
      <c r="BI1025" t="s">
        <v>709</v>
      </c>
      <c r="BJ1025" t="s">
        <v>709</v>
      </c>
      <c r="BK1025" t="s">
        <v>709</v>
      </c>
      <c r="BL1025" t="s">
        <v>116</v>
      </c>
      <c r="BM1025" t="s">
        <v>709</v>
      </c>
      <c r="BN1025" t="s">
        <v>709</v>
      </c>
      <c r="BO1025" t="s">
        <v>709</v>
      </c>
      <c r="BP1025" t="s">
        <v>709</v>
      </c>
      <c r="BQ1025" t="s">
        <v>709</v>
      </c>
      <c r="BR1025" t="s">
        <v>709</v>
      </c>
      <c r="BS1025">
        <v>388</v>
      </c>
      <c r="BT1025" t="s">
        <v>709</v>
      </c>
      <c r="BU1025" t="s">
        <v>709</v>
      </c>
      <c r="BV1025" t="s">
        <v>709</v>
      </c>
      <c r="BW1025" t="s">
        <v>709</v>
      </c>
      <c r="BX1025" t="s">
        <v>745</v>
      </c>
      <c r="BY1025" t="s">
        <v>709</v>
      </c>
      <c r="BZ1025" t="s">
        <v>709</v>
      </c>
      <c r="CB1025">
        <v>1023</v>
      </c>
      <c r="CC1025" t="b">
        <v>1</v>
      </c>
      <c r="CD1025" t="s">
        <v>5907</v>
      </c>
      <c r="CE1025" s="1482">
        <v>45880.738368055558</v>
      </c>
    </row>
    <row r="1026" spans="1:83" x14ac:dyDescent="0.25">
      <c r="A1026">
        <v>2023</v>
      </c>
      <c r="B1026" t="s">
        <v>4</v>
      </c>
      <c r="C1026" t="s">
        <v>964</v>
      </c>
      <c r="D1026" t="s">
        <v>965</v>
      </c>
      <c r="E1026" t="s">
        <v>966</v>
      </c>
      <c r="F1026" t="s">
        <v>784</v>
      </c>
      <c r="G1026" t="s">
        <v>25</v>
      </c>
      <c r="H1026" t="s">
        <v>59</v>
      </c>
      <c r="I1026">
        <v>45005</v>
      </c>
      <c r="J1026">
        <v>45163</v>
      </c>
      <c r="K1026">
        <v>45153</v>
      </c>
      <c r="L1026">
        <v>10</v>
      </c>
      <c r="N1026" t="s">
        <v>120</v>
      </c>
      <c r="O1026">
        <v>45170</v>
      </c>
      <c r="P1026" t="s">
        <v>739</v>
      </c>
      <c r="Q1026">
        <v>358660.56699999998</v>
      </c>
      <c r="R1026">
        <v>0.1</v>
      </c>
      <c r="V1026">
        <v>5546</v>
      </c>
      <c r="W1026">
        <v>0</v>
      </c>
      <c r="X1026">
        <v>2051036.21</v>
      </c>
      <c r="Z1026">
        <v>1535569.46</v>
      </c>
      <c r="AA1026">
        <v>3586605.67</v>
      </c>
      <c r="AB1026">
        <v>45159</v>
      </c>
      <c r="AC1026" t="s">
        <v>709</v>
      </c>
      <c r="AD1026" t="s">
        <v>116</v>
      </c>
      <c r="AE1026" t="s">
        <v>756</v>
      </c>
      <c r="AF1026" t="s">
        <v>116</v>
      </c>
      <c r="AG1026" t="s">
        <v>116</v>
      </c>
      <c r="AH1026">
        <v>45160</v>
      </c>
      <c r="AM1026" t="s">
        <v>116</v>
      </c>
      <c r="AN1026">
        <v>45398</v>
      </c>
      <c r="AO1026">
        <v>11080446</v>
      </c>
      <c r="AP1026">
        <v>2069755.83</v>
      </c>
      <c r="AR1026">
        <v>1535578.54</v>
      </c>
      <c r="AS1026">
        <v>3605334.37</v>
      </c>
      <c r="AT1026">
        <v>18728.7</v>
      </c>
      <c r="AU1026">
        <v>1872.87</v>
      </c>
      <c r="AV1026">
        <v>0</v>
      </c>
      <c r="AW1026" t="s">
        <v>967</v>
      </c>
      <c r="AX1026">
        <v>1872.87</v>
      </c>
      <c r="AY1026">
        <v>45566</v>
      </c>
      <c r="AZ1026">
        <v>95</v>
      </c>
      <c r="BA1026" t="s">
        <v>968</v>
      </c>
      <c r="BB1026" t="s">
        <v>870</v>
      </c>
      <c r="BC1026" t="s">
        <v>116</v>
      </c>
      <c r="BD1026" t="s">
        <v>969</v>
      </c>
      <c r="BE1026" t="s">
        <v>970</v>
      </c>
      <c r="BF1026" t="s">
        <v>709</v>
      </c>
      <c r="BG1026" t="s">
        <v>971</v>
      </c>
      <c r="BH1026" t="s">
        <v>972</v>
      </c>
      <c r="BI1026" t="s">
        <v>709</v>
      </c>
      <c r="BJ1026" t="s">
        <v>709</v>
      </c>
      <c r="BK1026" t="s">
        <v>709</v>
      </c>
      <c r="BL1026" t="s">
        <v>116</v>
      </c>
      <c r="BM1026" t="s">
        <v>709</v>
      </c>
      <c r="BN1026" t="s">
        <v>709</v>
      </c>
      <c r="BO1026" t="s">
        <v>709</v>
      </c>
      <c r="BP1026" t="s">
        <v>709</v>
      </c>
      <c r="BQ1026">
        <v>4733</v>
      </c>
      <c r="BR1026">
        <v>384</v>
      </c>
      <c r="BS1026">
        <v>429</v>
      </c>
      <c r="BT1026" t="s">
        <v>709</v>
      </c>
      <c r="BU1026" t="s">
        <v>709</v>
      </c>
      <c r="BV1026" t="s">
        <v>709</v>
      </c>
      <c r="BW1026" t="s">
        <v>709</v>
      </c>
      <c r="BX1026" t="s">
        <v>745</v>
      </c>
      <c r="BY1026" t="s">
        <v>709</v>
      </c>
      <c r="BZ1026" t="s">
        <v>709</v>
      </c>
      <c r="CB1026">
        <v>1025</v>
      </c>
      <c r="CC1026" t="b">
        <v>1</v>
      </c>
      <c r="CD1026" t="s">
        <v>5908</v>
      </c>
      <c r="CE1026" s="1482">
        <v>45880.738368055558</v>
      </c>
    </row>
    <row r="1027" spans="1:83" x14ac:dyDescent="0.25">
      <c r="A1027">
        <v>2023</v>
      </c>
      <c r="B1027" t="s">
        <v>4</v>
      </c>
      <c r="C1027" t="s">
        <v>1087</v>
      </c>
      <c r="D1027" t="s">
        <v>1088</v>
      </c>
      <c r="E1027" t="s">
        <v>309</v>
      </c>
      <c r="F1027" t="s">
        <v>747</v>
      </c>
      <c r="G1027" t="s">
        <v>27</v>
      </c>
      <c r="H1027" t="s">
        <v>4462</v>
      </c>
      <c r="I1027">
        <v>45107</v>
      </c>
      <c r="J1027" t="s">
        <v>2052</v>
      </c>
      <c r="K1027">
        <v>45153</v>
      </c>
      <c r="L1027">
        <v>46</v>
      </c>
      <c r="N1027" t="s">
        <v>120</v>
      </c>
      <c r="O1027">
        <v>45139</v>
      </c>
      <c r="P1027" t="s">
        <v>739</v>
      </c>
      <c r="Q1027" t="s">
        <v>115</v>
      </c>
      <c r="R1027" t="s">
        <v>115</v>
      </c>
      <c r="AB1027" t="s">
        <v>29</v>
      </c>
      <c r="AC1027" t="s">
        <v>29</v>
      </c>
      <c r="AD1027" t="s">
        <v>116</v>
      </c>
      <c r="AE1027" t="s">
        <v>756</v>
      </c>
      <c r="AF1027" t="s">
        <v>756</v>
      </c>
      <c r="AG1027" t="s">
        <v>29</v>
      </c>
      <c r="AH1027" t="s">
        <v>29</v>
      </c>
      <c r="AM1027" t="s">
        <v>709</v>
      </c>
      <c r="AY1027" t="s">
        <v>29</v>
      </c>
      <c r="BA1027" t="s">
        <v>5909</v>
      </c>
      <c r="BB1027" t="s">
        <v>5910</v>
      </c>
      <c r="BI1027" t="s">
        <v>709</v>
      </c>
      <c r="BJ1027" t="s">
        <v>709</v>
      </c>
      <c r="BK1027" t="s">
        <v>709</v>
      </c>
      <c r="BL1027" t="s">
        <v>116</v>
      </c>
      <c r="BM1027" t="s">
        <v>709</v>
      </c>
      <c r="BN1027" t="s">
        <v>709</v>
      </c>
      <c r="BO1027" t="s">
        <v>709</v>
      </c>
      <c r="BP1027" t="s">
        <v>709</v>
      </c>
      <c r="BQ1027" t="s">
        <v>709</v>
      </c>
      <c r="BR1027">
        <v>3556</v>
      </c>
      <c r="BS1027">
        <v>86</v>
      </c>
      <c r="BT1027" t="s">
        <v>709</v>
      </c>
      <c r="BU1027" t="s">
        <v>709</v>
      </c>
      <c r="BV1027" t="s">
        <v>709</v>
      </c>
      <c r="BW1027" t="s">
        <v>709</v>
      </c>
      <c r="BX1027" t="s">
        <v>745</v>
      </c>
      <c r="BY1027" t="s">
        <v>709</v>
      </c>
      <c r="BZ1027" t="s">
        <v>709</v>
      </c>
      <c r="CB1027">
        <v>1024</v>
      </c>
      <c r="CC1027" t="b">
        <v>1</v>
      </c>
      <c r="CD1027" t="s">
        <v>5911</v>
      </c>
      <c r="CE1027" s="1482">
        <v>45880.738379629627</v>
      </c>
    </row>
    <row r="1028" spans="1:83" x14ac:dyDescent="0.25">
      <c r="A1028">
        <v>2023</v>
      </c>
      <c r="B1028" t="s">
        <v>4</v>
      </c>
      <c r="C1028" t="s">
        <v>643</v>
      </c>
      <c r="D1028" t="s">
        <v>5912</v>
      </c>
      <c r="E1028" t="s">
        <v>5913</v>
      </c>
      <c r="F1028" t="s">
        <v>747</v>
      </c>
      <c r="G1028" t="s">
        <v>31</v>
      </c>
      <c r="H1028" t="s">
        <v>59</v>
      </c>
      <c r="I1028">
        <v>45100</v>
      </c>
      <c r="J1028">
        <v>45155</v>
      </c>
      <c r="K1028">
        <v>45154</v>
      </c>
      <c r="L1028">
        <v>1</v>
      </c>
      <c r="N1028" t="s">
        <v>120</v>
      </c>
      <c r="O1028">
        <v>45170</v>
      </c>
      <c r="P1028" t="s">
        <v>739</v>
      </c>
      <c r="Q1028">
        <v>14183</v>
      </c>
      <c r="R1028">
        <v>0.1</v>
      </c>
      <c r="V1028">
        <v>434</v>
      </c>
      <c r="W1028">
        <v>0</v>
      </c>
      <c r="X1028">
        <v>130178.27</v>
      </c>
      <c r="Z1028">
        <v>11651.73</v>
      </c>
      <c r="AA1028">
        <v>141830</v>
      </c>
      <c r="AB1028">
        <v>45156</v>
      </c>
      <c r="AC1028" t="s">
        <v>116</v>
      </c>
      <c r="AD1028" t="s">
        <v>29</v>
      </c>
      <c r="AE1028" t="s">
        <v>756</v>
      </c>
      <c r="AF1028" t="s">
        <v>116</v>
      </c>
      <c r="AG1028" t="s">
        <v>116</v>
      </c>
      <c r="AH1028">
        <v>45162</v>
      </c>
      <c r="AM1028" t="s">
        <v>116</v>
      </c>
      <c r="AN1028">
        <v>45187</v>
      </c>
      <c r="AO1028">
        <v>11071362</v>
      </c>
      <c r="AP1028">
        <v>130178.27</v>
      </c>
      <c r="AR1028">
        <v>11651.73</v>
      </c>
      <c r="AS1028">
        <v>141830</v>
      </c>
      <c r="AT1028">
        <v>0</v>
      </c>
      <c r="AU1028">
        <v>0</v>
      </c>
      <c r="AV1028" t="s">
        <v>709</v>
      </c>
      <c r="AX1028">
        <v>0</v>
      </c>
      <c r="AY1028">
        <v>45352</v>
      </c>
      <c r="BA1028" t="s">
        <v>5914</v>
      </c>
      <c r="BB1028" t="s">
        <v>5915</v>
      </c>
      <c r="BC1028" t="s">
        <v>709</v>
      </c>
      <c r="BD1028" t="s">
        <v>709</v>
      </c>
      <c r="BE1028" t="s">
        <v>641</v>
      </c>
      <c r="BF1028" t="s">
        <v>709</v>
      </c>
      <c r="BG1028" t="s">
        <v>709</v>
      </c>
      <c r="BH1028" t="s">
        <v>5916</v>
      </c>
      <c r="BI1028" t="s">
        <v>709</v>
      </c>
      <c r="BJ1028" t="s">
        <v>709</v>
      </c>
      <c r="BK1028" t="s">
        <v>709</v>
      </c>
      <c r="BL1028" t="s">
        <v>116</v>
      </c>
      <c r="BM1028" t="s">
        <v>709</v>
      </c>
      <c r="BN1028" t="s">
        <v>709</v>
      </c>
      <c r="BO1028" t="s">
        <v>709</v>
      </c>
      <c r="BP1028" t="s">
        <v>709</v>
      </c>
      <c r="BQ1028" t="s">
        <v>709</v>
      </c>
      <c r="BR1028" t="s">
        <v>709</v>
      </c>
      <c r="BS1028">
        <v>434</v>
      </c>
      <c r="BT1028" t="s">
        <v>709</v>
      </c>
      <c r="BU1028" t="s">
        <v>709</v>
      </c>
      <c r="BV1028" t="s">
        <v>709</v>
      </c>
      <c r="BW1028" t="s">
        <v>709</v>
      </c>
      <c r="BX1028" t="s">
        <v>745</v>
      </c>
      <c r="BY1028" t="s">
        <v>709</v>
      </c>
      <c r="BZ1028" t="s">
        <v>709</v>
      </c>
      <c r="CB1028">
        <v>1026</v>
      </c>
      <c r="CC1028" t="b">
        <v>1</v>
      </c>
      <c r="CD1028" t="s">
        <v>5917</v>
      </c>
      <c r="CE1028" s="1482">
        <v>45880.738379629627</v>
      </c>
    </row>
    <row r="1029" spans="1:83" ht="375" x14ac:dyDescent="0.25">
      <c r="A1029">
        <v>2023</v>
      </c>
      <c r="B1029" t="s">
        <v>4</v>
      </c>
      <c r="C1029" t="s">
        <v>414</v>
      </c>
      <c r="D1029" t="s">
        <v>1620</v>
      </c>
      <c r="E1029" t="s">
        <v>415</v>
      </c>
      <c r="F1029" t="s">
        <v>784</v>
      </c>
      <c r="G1029" t="s">
        <v>25</v>
      </c>
      <c r="H1029" t="s">
        <v>59</v>
      </c>
      <c r="I1029">
        <v>44946</v>
      </c>
      <c r="J1029">
        <v>45156</v>
      </c>
      <c r="K1029">
        <v>45155</v>
      </c>
      <c r="L1029">
        <v>1</v>
      </c>
      <c r="N1029" t="s">
        <v>120</v>
      </c>
      <c r="O1029">
        <v>45170</v>
      </c>
      <c r="P1029" t="s">
        <v>739</v>
      </c>
      <c r="Q1029">
        <v>125752.537</v>
      </c>
      <c r="R1029">
        <v>0.1</v>
      </c>
      <c r="V1029">
        <v>1441</v>
      </c>
      <c r="W1029">
        <v>0</v>
      </c>
      <c r="X1029">
        <v>1112669.8700000001</v>
      </c>
      <c r="Z1029">
        <v>144855.5</v>
      </c>
      <c r="AA1029">
        <v>1257525.3700000001</v>
      </c>
      <c r="AB1029">
        <v>45125</v>
      </c>
      <c r="AC1029" t="s">
        <v>116</v>
      </c>
      <c r="AD1029" t="s">
        <v>29</v>
      </c>
      <c r="AE1029" t="s">
        <v>756</v>
      </c>
      <c r="AF1029" t="s">
        <v>116</v>
      </c>
      <c r="AG1029" t="s">
        <v>116</v>
      </c>
      <c r="AH1029">
        <v>45160</v>
      </c>
      <c r="AM1029" t="s">
        <v>116</v>
      </c>
      <c r="AN1029">
        <v>45642</v>
      </c>
      <c r="AO1029">
        <v>11092315</v>
      </c>
      <c r="AP1029">
        <v>1087444.94</v>
      </c>
      <c r="AR1029">
        <v>146759.64000000001</v>
      </c>
      <c r="AS1029">
        <v>1234204.58</v>
      </c>
      <c r="AT1029">
        <v>-23320.79</v>
      </c>
      <c r="AU1029">
        <v>-2332.0790000000002</v>
      </c>
      <c r="AV1029">
        <v>4732.5</v>
      </c>
      <c r="AW1029" t="s">
        <v>5918</v>
      </c>
      <c r="AX1029">
        <v>0</v>
      </c>
      <c r="AY1029">
        <v>45901</v>
      </c>
      <c r="AZ1029">
        <v>96</v>
      </c>
      <c r="BA1029" s="4" t="s">
        <v>1621</v>
      </c>
      <c r="BB1029" t="s">
        <v>870</v>
      </c>
      <c r="BC1029" t="s">
        <v>116</v>
      </c>
      <c r="BD1029" t="s">
        <v>709</v>
      </c>
      <c r="BE1029" t="s">
        <v>1622</v>
      </c>
      <c r="BF1029" t="s">
        <v>709</v>
      </c>
      <c r="BG1029" t="s">
        <v>709</v>
      </c>
      <c r="BI1029" t="s">
        <v>709</v>
      </c>
      <c r="BJ1029" t="s">
        <v>709</v>
      </c>
      <c r="BK1029" t="s">
        <v>709</v>
      </c>
      <c r="BL1029" t="s">
        <v>116</v>
      </c>
      <c r="BM1029" t="s">
        <v>709</v>
      </c>
      <c r="BN1029" t="s">
        <v>709</v>
      </c>
      <c r="BO1029" t="s">
        <v>709</v>
      </c>
      <c r="BP1029">
        <v>723</v>
      </c>
      <c r="BQ1029">
        <v>591</v>
      </c>
      <c r="BR1029" t="s">
        <v>709</v>
      </c>
      <c r="BS1029">
        <v>127</v>
      </c>
      <c r="BT1029" t="s">
        <v>709</v>
      </c>
      <c r="BU1029" t="s">
        <v>709</v>
      </c>
      <c r="BV1029" t="s">
        <v>745</v>
      </c>
      <c r="BW1029" t="s">
        <v>709</v>
      </c>
      <c r="BX1029" t="s">
        <v>709</v>
      </c>
      <c r="BY1029" t="s">
        <v>709</v>
      </c>
      <c r="BZ1029" t="s">
        <v>709</v>
      </c>
      <c r="CB1029">
        <v>1027</v>
      </c>
      <c r="CC1029" t="b">
        <v>1</v>
      </c>
      <c r="CD1029" t="s">
        <v>5919</v>
      </c>
      <c r="CE1029" s="1482">
        <v>45880.738391203704</v>
      </c>
    </row>
    <row r="1030" spans="1:83" x14ac:dyDescent="0.25">
      <c r="A1030">
        <v>2023</v>
      </c>
      <c r="B1030" t="s">
        <v>1073</v>
      </c>
      <c r="C1030" t="s">
        <v>5920</v>
      </c>
      <c r="D1030" t="s">
        <v>5921</v>
      </c>
      <c r="E1030" t="s">
        <v>232</v>
      </c>
      <c r="F1030" t="s">
        <v>851</v>
      </c>
      <c r="G1030" t="s">
        <v>32</v>
      </c>
      <c r="H1030" t="s">
        <v>59</v>
      </c>
      <c r="I1030">
        <v>45103</v>
      </c>
      <c r="J1030">
        <v>45163</v>
      </c>
      <c r="K1030">
        <v>45156</v>
      </c>
      <c r="L1030">
        <v>7</v>
      </c>
      <c r="N1030" t="s">
        <v>120</v>
      </c>
      <c r="O1030">
        <v>45139</v>
      </c>
      <c r="P1030" t="s">
        <v>739</v>
      </c>
      <c r="Q1030">
        <v>7453.4656000000004</v>
      </c>
      <c r="R1030">
        <v>0.08</v>
      </c>
      <c r="V1030">
        <v>0</v>
      </c>
      <c r="W1030">
        <v>0</v>
      </c>
      <c r="X1030">
        <v>93168.320000000007</v>
      </c>
      <c r="Z1030">
        <v>0</v>
      </c>
      <c r="AA1030">
        <v>93168.320000000007</v>
      </c>
      <c r="AB1030">
        <v>45157</v>
      </c>
      <c r="AC1030" t="s">
        <v>1177</v>
      </c>
      <c r="AD1030" t="s">
        <v>29</v>
      </c>
      <c r="AE1030" t="s">
        <v>709</v>
      </c>
      <c r="AF1030" t="s">
        <v>756</v>
      </c>
      <c r="AG1030" t="s">
        <v>116</v>
      </c>
      <c r="AH1030" t="s">
        <v>709</v>
      </c>
      <c r="AM1030" t="s">
        <v>116</v>
      </c>
      <c r="AN1030">
        <v>45223</v>
      </c>
      <c r="AO1030">
        <v>11072999</v>
      </c>
      <c r="AP1030">
        <v>95540.83</v>
      </c>
      <c r="AR1030">
        <v>0</v>
      </c>
      <c r="AS1030">
        <v>95540.83</v>
      </c>
      <c r="AT1030">
        <v>2372.5100000000002</v>
      </c>
      <c r="AU1030">
        <v>189.80080000000001</v>
      </c>
      <c r="AV1030" t="s">
        <v>709</v>
      </c>
      <c r="AX1030">
        <v>189.8</v>
      </c>
      <c r="AY1030">
        <v>45352</v>
      </c>
      <c r="BA1030" t="s">
        <v>5922</v>
      </c>
      <c r="BB1030" t="s">
        <v>5892</v>
      </c>
      <c r="BC1030" t="s">
        <v>709</v>
      </c>
      <c r="BD1030" t="s">
        <v>837</v>
      </c>
      <c r="BE1030" t="s">
        <v>595</v>
      </c>
      <c r="BF1030" t="s">
        <v>838</v>
      </c>
      <c r="BG1030" t="s">
        <v>1582</v>
      </c>
      <c r="BH1030" t="s">
        <v>5797</v>
      </c>
      <c r="BI1030" t="s">
        <v>709</v>
      </c>
      <c r="BJ1030" t="s">
        <v>709</v>
      </c>
      <c r="BK1030" t="s">
        <v>116</v>
      </c>
      <c r="BL1030" t="s">
        <v>116</v>
      </c>
      <c r="BM1030">
        <v>0</v>
      </c>
      <c r="BN1030">
        <v>0</v>
      </c>
      <c r="BO1030">
        <v>0</v>
      </c>
      <c r="BP1030">
        <v>0</v>
      </c>
      <c r="BQ1030">
        <v>0</v>
      </c>
      <c r="BR1030">
        <v>326</v>
      </c>
      <c r="BS1030">
        <v>0</v>
      </c>
      <c r="BT1030">
        <v>0</v>
      </c>
      <c r="BU1030">
        <v>0</v>
      </c>
      <c r="BV1030">
        <v>0</v>
      </c>
      <c r="BW1030">
        <v>0</v>
      </c>
      <c r="BX1030">
        <v>0</v>
      </c>
      <c r="BY1030">
        <v>1</v>
      </c>
      <c r="BZ1030" t="s">
        <v>709</v>
      </c>
      <c r="CA1030" t="s">
        <v>2739</v>
      </c>
      <c r="CB1030">
        <v>1028</v>
      </c>
      <c r="CC1030" t="b">
        <v>1</v>
      </c>
      <c r="CD1030" t="s">
        <v>5923</v>
      </c>
      <c r="CE1030" s="1482">
        <v>45880.738391203704</v>
      </c>
    </row>
    <row r="1031" spans="1:83" ht="255" x14ac:dyDescent="0.25">
      <c r="A1031">
        <v>2023</v>
      </c>
      <c r="B1031" t="s">
        <v>1073</v>
      </c>
      <c r="C1031" t="s">
        <v>5920</v>
      </c>
      <c r="D1031" t="s">
        <v>5924</v>
      </c>
      <c r="E1031" t="s">
        <v>232</v>
      </c>
      <c r="F1031" t="s">
        <v>851</v>
      </c>
      <c r="G1031" t="s">
        <v>32</v>
      </c>
      <c r="H1031" t="s">
        <v>59</v>
      </c>
      <c r="I1031">
        <v>45103</v>
      </c>
      <c r="J1031">
        <v>45163</v>
      </c>
      <c r="K1031">
        <v>45156</v>
      </c>
      <c r="L1031">
        <v>7</v>
      </c>
      <c r="N1031" t="s">
        <v>120</v>
      </c>
      <c r="O1031">
        <v>45139</v>
      </c>
      <c r="P1031" t="s">
        <v>739</v>
      </c>
      <c r="Q1031">
        <v>5938.0631999999996</v>
      </c>
      <c r="R1031">
        <v>0.08</v>
      </c>
      <c r="V1031">
        <v>326</v>
      </c>
      <c r="W1031">
        <v>0</v>
      </c>
      <c r="X1031">
        <v>74225.789999999994</v>
      </c>
      <c r="Z1031">
        <v>0</v>
      </c>
      <c r="AA1031">
        <v>74225.789999999994</v>
      </c>
      <c r="AB1031">
        <v>45157</v>
      </c>
      <c r="AC1031" t="s">
        <v>709</v>
      </c>
      <c r="AD1031" t="s">
        <v>29</v>
      </c>
      <c r="AE1031" t="s">
        <v>709</v>
      </c>
      <c r="AF1031" t="s">
        <v>756</v>
      </c>
      <c r="AG1031" t="s">
        <v>116</v>
      </c>
      <c r="AH1031" t="s">
        <v>709</v>
      </c>
      <c r="AM1031" t="s">
        <v>116</v>
      </c>
      <c r="AN1031">
        <v>45223</v>
      </c>
      <c r="AO1031">
        <v>11072998</v>
      </c>
      <c r="AP1031">
        <v>74770.91</v>
      </c>
      <c r="AR1031">
        <v>0</v>
      </c>
      <c r="AS1031">
        <v>74770.91</v>
      </c>
      <c r="AT1031">
        <v>545.12</v>
      </c>
      <c r="AU1031">
        <v>43.6096</v>
      </c>
      <c r="AV1031" t="s">
        <v>709</v>
      </c>
      <c r="AX1031">
        <v>43.61</v>
      </c>
      <c r="AY1031">
        <v>45352</v>
      </c>
      <c r="BA1031" s="4" t="s">
        <v>5925</v>
      </c>
      <c r="BB1031" t="s">
        <v>5892</v>
      </c>
      <c r="BC1031" t="s">
        <v>709</v>
      </c>
      <c r="BD1031" t="s">
        <v>837</v>
      </c>
      <c r="BE1031" t="s">
        <v>595</v>
      </c>
      <c r="BF1031" t="s">
        <v>838</v>
      </c>
      <c r="BG1031" t="s">
        <v>5898</v>
      </c>
      <c r="BH1031" t="s">
        <v>5797</v>
      </c>
      <c r="BI1031" t="s">
        <v>709</v>
      </c>
      <c r="BJ1031" t="s">
        <v>709</v>
      </c>
      <c r="BK1031" t="s">
        <v>116</v>
      </c>
      <c r="BL1031" t="s">
        <v>116</v>
      </c>
      <c r="BM1031">
        <v>0</v>
      </c>
      <c r="BN1031">
        <v>0</v>
      </c>
      <c r="BO1031">
        <v>0</v>
      </c>
      <c r="BP1031">
        <v>0</v>
      </c>
      <c r="BQ1031">
        <v>0</v>
      </c>
      <c r="BR1031">
        <v>326</v>
      </c>
      <c r="BS1031">
        <v>0</v>
      </c>
      <c r="BT1031">
        <v>0</v>
      </c>
      <c r="BU1031">
        <v>0</v>
      </c>
      <c r="BV1031">
        <v>0</v>
      </c>
      <c r="BW1031">
        <v>0</v>
      </c>
      <c r="BX1031">
        <v>0</v>
      </c>
      <c r="BY1031">
        <v>1</v>
      </c>
      <c r="BZ1031" t="s">
        <v>709</v>
      </c>
      <c r="CA1031" t="s">
        <v>2739</v>
      </c>
      <c r="CB1031">
        <v>1029</v>
      </c>
      <c r="CC1031" t="b">
        <v>1</v>
      </c>
      <c r="CD1031" t="s">
        <v>5926</v>
      </c>
      <c r="CE1031" s="1482">
        <v>45880.738402777781</v>
      </c>
    </row>
    <row r="1032" spans="1:83" x14ac:dyDescent="0.25">
      <c r="A1032">
        <v>2023</v>
      </c>
      <c r="B1032" t="s">
        <v>771</v>
      </c>
      <c r="C1032" t="s">
        <v>5425</v>
      </c>
      <c r="D1032">
        <v>1212067</v>
      </c>
      <c r="E1032" t="s">
        <v>2350</v>
      </c>
      <c r="F1032" t="s">
        <v>784</v>
      </c>
      <c r="G1032" t="s">
        <v>31</v>
      </c>
      <c r="H1032" t="s">
        <v>4189</v>
      </c>
      <c r="I1032">
        <v>45106</v>
      </c>
      <c r="J1032" t="s">
        <v>2052</v>
      </c>
      <c r="K1032">
        <v>45159</v>
      </c>
      <c r="L1032">
        <v>53</v>
      </c>
      <c r="M1032" t="s">
        <v>5927</v>
      </c>
      <c r="N1032" t="s">
        <v>120</v>
      </c>
      <c r="O1032">
        <v>45170</v>
      </c>
      <c r="P1032" t="s">
        <v>120</v>
      </c>
      <c r="Q1032">
        <v>7447.5</v>
      </c>
      <c r="R1032" t="s">
        <v>1922</v>
      </c>
      <c r="U1032">
        <v>7447.5</v>
      </c>
      <c r="V1032">
        <v>2620</v>
      </c>
      <c r="AA1032">
        <v>0</v>
      </c>
      <c r="AB1032" t="s">
        <v>29</v>
      </c>
      <c r="AC1032" t="s">
        <v>29</v>
      </c>
      <c r="AD1032" t="s">
        <v>29</v>
      </c>
      <c r="AE1032" t="s">
        <v>756</v>
      </c>
      <c r="AF1032" t="s">
        <v>756</v>
      </c>
      <c r="AG1032" t="s">
        <v>29</v>
      </c>
      <c r="AH1032" t="s">
        <v>29</v>
      </c>
      <c r="AM1032" t="s">
        <v>709</v>
      </c>
      <c r="AY1032" t="s">
        <v>29</v>
      </c>
      <c r="BA1032">
        <v>2</v>
      </c>
      <c r="BB1032" t="s">
        <v>745</v>
      </c>
      <c r="BI1032" t="s">
        <v>709</v>
      </c>
      <c r="BJ1032" t="s">
        <v>709</v>
      </c>
      <c r="BK1032" t="s">
        <v>709</v>
      </c>
      <c r="BL1032" t="s">
        <v>116</v>
      </c>
      <c r="BM1032" t="s">
        <v>709</v>
      </c>
      <c r="BN1032" t="s">
        <v>709</v>
      </c>
      <c r="BO1032" t="s">
        <v>709</v>
      </c>
      <c r="BP1032" t="s">
        <v>709</v>
      </c>
      <c r="BQ1032" t="s">
        <v>709</v>
      </c>
      <c r="BR1032" t="s">
        <v>709</v>
      </c>
      <c r="BS1032">
        <v>2620</v>
      </c>
      <c r="BT1032" t="s">
        <v>709</v>
      </c>
      <c r="BU1032" t="s">
        <v>709</v>
      </c>
      <c r="BV1032" t="s">
        <v>709</v>
      </c>
      <c r="BW1032" t="s">
        <v>709</v>
      </c>
      <c r="BX1032" t="s">
        <v>745</v>
      </c>
      <c r="BY1032" t="s">
        <v>709</v>
      </c>
      <c r="BZ1032" t="s">
        <v>709</v>
      </c>
      <c r="CB1032">
        <v>1030</v>
      </c>
      <c r="CC1032" t="b">
        <v>1</v>
      </c>
      <c r="CD1032" t="s">
        <v>5928</v>
      </c>
      <c r="CE1032" s="1482">
        <v>45880.738402777781</v>
      </c>
    </row>
    <row r="1033" spans="1:83" x14ac:dyDescent="0.25">
      <c r="A1033">
        <v>2023</v>
      </c>
      <c r="B1033" t="s">
        <v>771</v>
      </c>
      <c r="C1033" t="s">
        <v>283</v>
      </c>
      <c r="D1033">
        <v>1213062</v>
      </c>
      <c r="E1033" t="s">
        <v>284</v>
      </c>
      <c r="F1033" t="s">
        <v>747</v>
      </c>
      <c r="G1033" t="s">
        <v>24</v>
      </c>
      <c r="H1033" t="s">
        <v>3178</v>
      </c>
      <c r="I1033">
        <v>45071</v>
      </c>
      <c r="J1033" t="s">
        <v>2052</v>
      </c>
      <c r="K1033">
        <v>45159</v>
      </c>
      <c r="L1033">
        <v>88</v>
      </c>
      <c r="M1033" t="s">
        <v>5929</v>
      </c>
      <c r="N1033" t="s">
        <v>120</v>
      </c>
      <c r="O1033">
        <v>45170</v>
      </c>
      <c r="P1033" t="s">
        <v>120</v>
      </c>
      <c r="Q1033">
        <v>15845</v>
      </c>
      <c r="R1033" t="s">
        <v>1922</v>
      </c>
      <c r="U1033">
        <v>15845</v>
      </c>
      <c r="V1033">
        <v>962</v>
      </c>
      <c r="AA1033">
        <v>0</v>
      </c>
      <c r="AD1033" t="s">
        <v>116</v>
      </c>
      <c r="AE1033" t="s">
        <v>116</v>
      </c>
      <c r="AF1033" t="s">
        <v>116</v>
      </c>
      <c r="AG1033" t="s">
        <v>29</v>
      </c>
      <c r="AH1033" t="s">
        <v>29</v>
      </c>
      <c r="AM1033" t="s">
        <v>709</v>
      </c>
      <c r="AY1033" t="s">
        <v>29</v>
      </c>
      <c r="BA1033">
        <v>3</v>
      </c>
      <c r="BB1033" t="s">
        <v>116</v>
      </c>
      <c r="BD1033" t="s">
        <v>882</v>
      </c>
      <c r="BI1033" t="s">
        <v>709</v>
      </c>
      <c r="BJ1033" t="s">
        <v>709</v>
      </c>
      <c r="BK1033" t="s">
        <v>709</v>
      </c>
      <c r="BL1033" t="s">
        <v>116</v>
      </c>
      <c r="BM1033" t="s">
        <v>709</v>
      </c>
      <c r="BN1033" t="s">
        <v>709</v>
      </c>
      <c r="BO1033" t="s">
        <v>709</v>
      </c>
      <c r="BP1033">
        <v>962</v>
      </c>
      <c r="BQ1033" t="s">
        <v>709</v>
      </c>
      <c r="BR1033" t="s">
        <v>709</v>
      </c>
      <c r="BS1033" t="s">
        <v>709</v>
      </c>
      <c r="BT1033" t="s">
        <v>709</v>
      </c>
      <c r="BU1033" t="s">
        <v>709</v>
      </c>
      <c r="BV1033" t="s">
        <v>709</v>
      </c>
      <c r="BW1033" t="s">
        <v>709</v>
      </c>
      <c r="BX1033" t="s">
        <v>745</v>
      </c>
      <c r="BY1033" t="s">
        <v>709</v>
      </c>
      <c r="BZ1033" t="s">
        <v>709</v>
      </c>
      <c r="CB1033">
        <v>1031</v>
      </c>
      <c r="CC1033" t="b">
        <v>1</v>
      </c>
      <c r="CD1033" t="s">
        <v>5930</v>
      </c>
      <c r="CE1033" s="1482">
        <v>45880.73841435185</v>
      </c>
    </row>
    <row r="1034" spans="1:83" x14ac:dyDescent="0.25">
      <c r="A1034">
        <v>2023</v>
      </c>
      <c r="B1034" t="s">
        <v>4</v>
      </c>
      <c r="C1034" t="s">
        <v>5759</v>
      </c>
      <c r="D1034" t="s">
        <v>5760</v>
      </c>
      <c r="E1034" t="s">
        <v>232</v>
      </c>
      <c r="F1034" t="s">
        <v>747</v>
      </c>
      <c r="G1034" t="s">
        <v>28</v>
      </c>
      <c r="H1034" t="s">
        <v>4189</v>
      </c>
      <c r="I1034">
        <v>45154</v>
      </c>
      <c r="J1034" t="s">
        <v>2052</v>
      </c>
      <c r="K1034">
        <v>45161</v>
      </c>
      <c r="L1034">
        <v>7</v>
      </c>
      <c r="M1034" t="s">
        <v>5931</v>
      </c>
      <c r="N1034" t="s">
        <v>120</v>
      </c>
      <c r="O1034">
        <v>45170</v>
      </c>
      <c r="P1034" t="s">
        <v>739</v>
      </c>
      <c r="Q1034">
        <v>4357.5</v>
      </c>
      <c r="R1034" t="s">
        <v>1922</v>
      </c>
      <c r="U1034">
        <v>4357.5</v>
      </c>
      <c r="AB1034" t="s">
        <v>29</v>
      </c>
      <c r="AC1034" t="s">
        <v>29</v>
      </c>
      <c r="AD1034" t="s">
        <v>29</v>
      </c>
      <c r="AE1034" t="s">
        <v>756</v>
      </c>
      <c r="AF1034" t="s">
        <v>756</v>
      </c>
      <c r="AG1034" t="s">
        <v>29</v>
      </c>
      <c r="AH1034">
        <v>45222</v>
      </c>
      <c r="AM1034" t="s">
        <v>709</v>
      </c>
      <c r="AY1034" t="s">
        <v>29</v>
      </c>
      <c r="BA1034">
        <v>1</v>
      </c>
      <c r="BB1034" t="s">
        <v>709</v>
      </c>
      <c r="BC1034" t="s">
        <v>116</v>
      </c>
      <c r="BD1034" t="s">
        <v>837</v>
      </c>
      <c r="BE1034" t="s">
        <v>595</v>
      </c>
      <c r="BF1034" t="s">
        <v>745</v>
      </c>
      <c r="BG1034" t="s">
        <v>709</v>
      </c>
      <c r="BH1034" t="s">
        <v>5932</v>
      </c>
      <c r="BI1034" t="s">
        <v>709</v>
      </c>
      <c r="BJ1034" t="s">
        <v>709</v>
      </c>
      <c r="BK1034" t="s">
        <v>709</v>
      </c>
      <c r="BL1034" t="s">
        <v>116</v>
      </c>
      <c r="BM1034" t="s">
        <v>709</v>
      </c>
      <c r="BN1034" t="s">
        <v>709</v>
      </c>
      <c r="BO1034" t="s">
        <v>709</v>
      </c>
      <c r="BP1034" t="s">
        <v>709</v>
      </c>
      <c r="BQ1034" t="s">
        <v>709</v>
      </c>
      <c r="BR1034">
        <v>4981</v>
      </c>
      <c r="BS1034">
        <v>304</v>
      </c>
      <c r="BT1034" t="s">
        <v>709</v>
      </c>
      <c r="BU1034" t="s">
        <v>709</v>
      </c>
      <c r="BV1034" t="s">
        <v>709</v>
      </c>
      <c r="BW1034" t="s">
        <v>709</v>
      </c>
      <c r="BX1034" t="s">
        <v>745</v>
      </c>
      <c r="BY1034" t="s">
        <v>709</v>
      </c>
      <c r="BZ1034" t="s">
        <v>709</v>
      </c>
      <c r="CA1034" t="s">
        <v>915</v>
      </c>
      <c r="CB1034">
        <v>1032</v>
      </c>
      <c r="CC1034" t="b">
        <v>1</v>
      </c>
      <c r="CD1034" t="s">
        <v>5933</v>
      </c>
      <c r="CE1034" s="1482">
        <v>45880.73841435185</v>
      </c>
    </row>
    <row r="1035" spans="1:83" x14ac:dyDescent="0.25">
      <c r="A1035">
        <v>2023</v>
      </c>
      <c r="B1035" t="s">
        <v>769</v>
      </c>
      <c r="C1035" t="s">
        <v>304</v>
      </c>
      <c r="D1035" t="s">
        <v>1351</v>
      </c>
      <c r="E1035" t="s">
        <v>305</v>
      </c>
      <c r="F1035" t="s">
        <v>752</v>
      </c>
      <c r="G1035" t="s">
        <v>24</v>
      </c>
      <c r="H1035" t="s">
        <v>4001</v>
      </c>
      <c r="I1035">
        <v>45133</v>
      </c>
      <c r="J1035" t="s">
        <v>2052</v>
      </c>
      <c r="K1035">
        <v>45162</v>
      </c>
      <c r="L1035">
        <v>29</v>
      </c>
      <c r="M1035" t="s">
        <v>5934</v>
      </c>
      <c r="N1035" t="s">
        <v>120</v>
      </c>
      <c r="O1035">
        <v>45170</v>
      </c>
      <c r="P1035" t="s">
        <v>120</v>
      </c>
      <c r="Q1035">
        <v>15045</v>
      </c>
      <c r="R1035" t="s">
        <v>1922</v>
      </c>
      <c r="U1035">
        <v>15045</v>
      </c>
      <c r="AD1035" t="s">
        <v>709</v>
      </c>
      <c r="AE1035" t="s">
        <v>29</v>
      </c>
      <c r="AF1035" t="s">
        <v>29</v>
      </c>
      <c r="AG1035" t="s">
        <v>29</v>
      </c>
      <c r="AH1035" t="s">
        <v>29</v>
      </c>
      <c r="AM1035" t="s">
        <v>709</v>
      </c>
      <c r="AY1035" t="s">
        <v>29</v>
      </c>
      <c r="BA1035">
        <v>2</v>
      </c>
      <c r="BH1035" t="s">
        <v>5935</v>
      </c>
      <c r="BI1035" t="s">
        <v>709</v>
      </c>
      <c r="BJ1035" t="s">
        <v>709</v>
      </c>
      <c r="BK1035" t="s">
        <v>116</v>
      </c>
      <c r="BL1035" t="s">
        <v>116</v>
      </c>
      <c r="BM1035" t="s">
        <v>709</v>
      </c>
      <c r="BN1035" t="s">
        <v>709</v>
      </c>
      <c r="BO1035" t="s">
        <v>709</v>
      </c>
      <c r="BP1035" t="s">
        <v>709</v>
      </c>
      <c r="BQ1035" t="s">
        <v>709</v>
      </c>
      <c r="BR1035">
        <v>406</v>
      </c>
      <c r="BS1035">
        <v>156</v>
      </c>
      <c r="BT1035" t="s">
        <v>709</v>
      </c>
      <c r="BU1035">
        <v>1</v>
      </c>
      <c r="BV1035" t="s">
        <v>709</v>
      </c>
      <c r="BW1035" t="s">
        <v>709</v>
      </c>
      <c r="BX1035">
        <v>1</v>
      </c>
      <c r="BY1035" t="s">
        <v>709</v>
      </c>
      <c r="BZ1035" t="s">
        <v>709</v>
      </c>
      <c r="CA1035" t="s">
        <v>2</v>
      </c>
      <c r="CB1035">
        <v>1034</v>
      </c>
      <c r="CC1035" t="b">
        <v>1</v>
      </c>
      <c r="CD1035" t="s">
        <v>5936</v>
      </c>
      <c r="CE1035" s="1482">
        <v>45880.738425925927</v>
      </c>
    </row>
    <row r="1036" spans="1:83" ht="300" x14ac:dyDescent="0.25">
      <c r="A1036">
        <v>2023</v>
      </c>
      <c r="B1036" t="s">
        <v>4</v>
      </c>
      <c r="C1036" t="s">
        <v>5937</v>
      </c>
      <c r="D1036" t="s">
        <v>5938</v>
      </c>
      <c r="E1036" t="s">
        <v>2573</v>
      </c>
      <c r="F1036" t="s">
        <v>784</v>
      </c>
      <c r="G1036" t="s">
        <v>28</v>
      </c>
      <c r="H1036" t="s">
        <v>59</v>
      </c>
      <c r="I1036">
        <v>44939</v>
      </c>
      <c r="J1036">
        <v>45170</v>
      </c>
      <c r="K1036">
        <v>45162</v>
      </c>
      <c r="L1036">
        <v>8</v>
      </c>
      <c r="N1036" t="s">
        <v>120</v>
      </c>
      <c r="O1036">
        <v>45139</v>
      </c>
      <c r="P1036" t="s">
        <v>739</v>
      </c>
      <c r="Q1036">
        <v>5899.6930000000002</v>
      </c>
      <c r="R1036">
        <v>0.1</v>
      </c>
      <c r="S1036" t="s">
        <v>29</v>
      </c>
      <c r="T1036" t="s">
        <v>29</v>
      </c>
      <c r="U1036" t="s">
        <v>29</v>
      </c>
      <c r="V1036">
        <v>0</v>
      </c>
      <c r="W1036">
        <v>0</v>
      </c>
      <c r="X1036">
        <v>0</v>
      </c>
      <c r="Z1036">
        <v>58996.93</v>
      </c>
      <c r="AA1036">
        <v>58996.93</v>
      </c>
      <c r="AB1036">
        <v>45147</v>
      </c>
      <c r="AC1036" t="s">
        <v>29</v>
      </c>
      <c r="AD1036" t="s">
        <v>29</v>
      </c>
      <c r="AE1036" t="s">
        <v>756</v>
      </c>
      <c r="AF1036" t="s">
        <v>756</v>
      </c>
      <c r="AG1036" t="s">
        <v>116</v>
      </c>
      <c r="AH1036">
        <v>45222</v>
      </c>
      <c r="AM1036" t="s">
        <v>116</v>
      </c>
      <c r="AN1036">
        <v>45166</v>
      </c>
      <c r="AO1036">
        <v>11070265</v>
      </c>
      <c r="AP1036">
        <v>0</v>
      </c>
      <c r="AR1036">
        <v>58996.93</v>
      </c>
      <c r="AS1036">
        <v>58996.93</v>
      </c>
      <c r="AT1036">
        <v>0</v>
      </c>
      <c r="AU1036">
        <v>0</v>
      </c>
      <c r="AV1036" t="s">
        <v>709</v>
      </c>
      <c r="AX1036">
        <v>0</v>
      </c>
      <c r="AY1036">
        <v>45352</v>
      </c>
      <c r="BA1036" s="4" t="s">
        <v>5939</v>
      </c>
      <c r="BB1036" t="s">
        <v>1071</v>
      </c>
      <c r="BC1036" t="s">
        <v>116</v>
      </c>
      <c r="BD1036" t="s">
        <v>709</v>
      </c>
      <c r="BE1036" t="s">
        <v>115</v>
      </c>
      <c r="BF1036" t="s">
        <v>709</v>
      </c>
      <c r="BG1036" t="s">
        <v>29</v>
      </c>
      <c r="BH1036" t="s">
        <v>5940</v>
      </c>
      <c r="BI1036" t="s">
        <v>709</v>
      </c>
      <c r="BJ1036" t="s">
        <v>709</v>
      </c>
      <c r="BK1036" t="s">
        <v>709</v>
      </c>
      <c r="BL1036" t="s">
        <v>709</v>
      </c>
      <c r="BM1036" t="s">
        <v>709</v>
      </c>
      <c r="BN1036" t="s">
        <v>709</v>
      </c>
      <c r="BO1036" t="s">
        <v>709</v>
      </c>
      <c r="BP1036" t="s">
        <v>709</v>
      </c>
      <c r="BQ1036" t="s">
        <v>709</v>
      </c>
      <c r="BR1036" t="s">
        <v>709</v>
      </c>
      <c r="BS1036" t="s">
        <v>709</v>
      </c>
      <c r="BT1036" t="s">
        <v>709</v>
      </c>
      <c r="BU1036" t="s">
        <v>709</v>
      </c>
      <c r="BV1036" t="s">
        <v>709</v>
      </c>
      <c r="BW1036" t="s">
        <v>709</v>
      </c>
      <c r="BX1036" t="s">
        <v>709</v>
      </c>
      <c r="BY1036" t="s">
        <v>709</v>
      </c>
      <c r="BZ1036" t="s">
        <v>709</v>
      </c>
      <c r="CA1036" t="s">
        <v>1146</v>
      </c>
      <c r="CB1036">
        <v>1033</v>
      </c>
      <c r="CC1036" t="b">
        <v>1</v>
      </c>
      <c r="CD1036" t="s">
        <v>5941</v>
      </c>
      <c r="CE1036" s="1482">
        <v>45880.738437499997</v>
      </c>
    </row>
    <row r="1037" spans="1:83" x14ac:dyDescent="0.25">
      <c r="A1037">
        <v>2023</v>
      </c>
      <c r="B1037" t="s">
        <v>771</v>
      </c>
      <c r="C1037" t="s">
        <v>360</v>
      </c>
      <c r="D1037">
        <v>1212064</v>
      </c>
      <c r="E1037" t="s">
        <v>361</v>
      </c>
      <c r="F1037" t="s">
        <v>784</v>
      </c>
      <c r="G1037" t="s">
        <v>23</v>
      </c>
      <c r="H1037" t="s">
        <v>2396</v>
      </c>
      <c r="I1037">
        <v>45163</v>
      </c>
      <c r="J1037" t="s">
        <v>2397</v>
      </c>
      <c r="K1037">
        <v>45168</v>
      </c>
      <c r="L1037">
        <v>5</v>
      </c>
      <c r="M1037" t="s">
        <v>5942</v>
      </c>
      <c r="N1037" t="s">
        <v>120</v>
      </c>
      <c r="O1037">
        <v>45170</v>
      </c>
      <c r="P1037" t="s">
        <v>120</v>
      </c>
      <c r="Q1037">
        <v>3272.5</v>
      </c>
      <c r="R1037" t="s">
        <v>1922</v>
      </c>
      <c r="S1037" t="s">
        <v>709</v>
      </c>
      <c r="T1037" t="s">
        <v>709</v>
      </c>
      <c r="U1037">
        <v>3272.5</v>
      </c>
      <c r="AB1037" t="s">
        <v>29</v>
      </c>
      <c r="AE1037" t="s">
        <v>116</v>
      </c>
      <c r="AF1037" t="s">
        <v>116</v>
      </c>
      <c r="AG1037" t="s">
        <v>29</v>
      </c>
      <c r="AH1037">
        <v>45169</v>
      </c>
      <c r="AM1037" t="s">
        <v>709</v>
      </c>
      <c r="AY1037" t="s">
        <v>29</v>
      </c>
      <c r="BA1037">
        <v>1</v>
      </c>
      <c r="BB1037" t="s">
        <v>116</v>
      </c>
      <c r="BI1037" t="s">
        <v>709</v>
      </c>
      <c r="BJ1037" t="s">
        <v>709</v>
      </c>
      <c r="BK1037" t="s">
        <v>709</v>
      </c>
      <c r="BL1037" t="s">
        <v>116</v>
      </c>
      <c r="BM1037" t="s">
        <v>709</v>
      </c>
      <c r="BN1037">
        <v>458</v>
      </c>
      <c r="BO1037" t="s">
        <v>709</v>
      </c>
      <c r="BP1037" t="s">
        <v>709</v>
      </c>
      <c r="BQ1037">
        <v>48</v>
      </c>
      <c r="BR1037" t="s">
        <v>709</v>
      </c>
      <c r="BS1037" t="s">
        <v>709</v>
      </c>
      <c r="BT1037" t="s">
        <v>709</v>
      </c>
      <c r="BU1037" t="s">
        <v>709</v>
      </c>
      <c r="BV1037" t="s">
        <v>709</v>
      </c>
      <c r="BW1037" t="s">
        <v>709</v>
      </c>
      <c r="BX1037">
        <v>1</v>
      </c>
      <c r="BY1037" t="s">
        <v>709</v>
      </c>
      <c r="BZ1037" t="s">
        <v>709</v>
      </c>
      <c r="CB1037">
        <v>1037</v>
      </c>
      <c r="CC1037" t="b">
        <v>1</v>
      </c>
      <c r="CD1037" t="s">
        <v>5943</v>
      </c>
      <c r="CE1037" s="1482">
        <v>45880.738437499997</v>
      </c>
    </row>
    <row r="1038" spans="1:83" x14ac:dyDescent="0.25">
      <c r="A1038">
        <v>2023</v>
      </c>
      <c r="B1038" t="s">
        <v>771</v>
      </c>
      <c r="C1038" t="s">
        <v>5549</v>
      </c>
      <c r="D1038">
        <v>1212275</v>
      </c>
      <c r="E1038" t="s">
        <v>361</v>
      </c>
      <c r="F1038" t="s">
        <v>784</v>
      </c>
      <c r="G1038" t="s">
        <v>23</v>
      </c>
      <c r="H1038" t="s">
        <v>2396</v>
      </c>
      <c r="I1038">
        <v>45163</v>
      </c>
      <c r="J1038" t="s">
        <v>2397</v>
      </c>
      <c r="K1038">
        <v>45168</v>
      </c>
      <c r="L1038">
        <v>5</v>
      </c>
      <c r="M1038" t="s">
        <v>5944</v>
      </c>
      <c r="N1038" t="s">
        <v>120</v>
      </c>
      <c r="O1038">
        <v>45170</v>
      </c>
      <c r="P1038" t="s">
        <v>120</v>
      </c>
      <c r="Q1038">
        <v>3365</v>
      </c>
      <c r="R1038" t="s">
        <v>1922</v>
      </c>
      <c r="S1038" t="s">
        <v>709</v>
      </c>
      <c r="T1038" t="s">
        <v>709</v>
      </c>
      <c r="U1038">
        <v>3365</v>
      </c>
      <c r="W1038">
        <v>0</v>
      </c>
      <c r="AB1038" t="s">
        <v>29</v>
      </c>
      <c r="AE1038" t="s">
        <v>116</v>
      </c>
      <c r="AF1038" t="s">
        <v>116</v>
      </c>
      <c r="AG1038" t="s">
        <v>29</v>
      </c>
      <c r="AH1038">
        <v>45169</v>
      </c>
      <c r="AM1038" t="s">
        <v>709</v>
      </c>
      <c r="AY1038" t="s">
        <v>29</v>
      </c>
      <c r="BA1038">
        <v>1</v>
      </c>
      <c r="BB1038" t="s">
        <v>116</v>
      </c>
      <c r="BI1038" t="s">
        <v>709</v>
      </c>
      <c r="BJ1038" t="s">
        <v>709</v>
      </c>
      <c r="BK1038" t="s">
        <v>709</v>
      </c>
      <c r="BL1038" t="s">
        <v>116</v>
      </c>
      <c r="BM1038" t="s">
        <v>709</v>
      </c>
      <c r="BN1038" t="s">
        <v>709</v>
      </c>
      <c r="BO1038" t="s">
        <v>709</v>
      </c>
      <c r="BP1038">
        <v>505</v>
      </c>
      <c r="BQ1038" t="s">
        <v>709</v>
      </c>
      <c r="BR1038" t="s">
        <v>709</v>
      </c>
      <c r="BS1038" t="s">
        <v>709</v>
      </c>
      <c r="BT1038" t="s">
        <v>709</v>
      </c>
      <c r="BU1038" t="s">
        <v>709</v>
      </c>
      <c r="BV1038" t="s">
        <v>709</v>
      </c>
      <c r="BW1038" t="s">
        <v>709</v>
      </c>
      <c r="BX1038" t="s">
        <v>745</v>
      </c>
      <c r="BY1038" t="s">
        <v>709</v>
      </c>
      <c r="BZ1038" t="s">
        <v>709</v>
      </c>
      <c r="CB1038">
        <v>1036</v>
      </c>
      <c r="CC1038" t="b">
        <v>1</v>
      </c>
      <c r="CD1038" t="s">
        <v>5945</v>
      </c>
      <c r="CE1038" s="1482">
        <v>45880.738449074073</v>
      </c>
    </row>
    <row r="1039" spans="1:83" x14ac:dyDescent="0.25">
      <c r="A1039">
        <v>2023</v>
      </c>
      <c r="B1039" t="s">
        <v>769</v>
      </c>
      <c r="C1039" t="s">
        <v>1014</v>
      </c>
      <c r="D1039" t="s">
        <v>1015</v>
      </c>
      <c r="E1039" t="s">
        <v>1016</v>
      </c>
      <c r="F1039" t="s">
        <v>752</v>
      </c>
      <c r="G1039" t="s">
        <v>4770</v>
      </c>
      <c r="H1039" t="s">
        <v>3178</v>
      </c>
      <c r="I1039">
        <v>45097</v>
      </c>
      <c r="J1039" t="s">
        <v>2052</v>
      </c>
      <c r="K1039">
        <v>45168</v>
      </c>
      <c r="L1039">
        <v>71</v>
      </c>
      <c r="M1039" t="s">
        <v>5946</v>
      </c>
      <c r="N1039" t="s">
        <v>120</v>
      </c>
      <c r="O1039">
        <v>45170</v>
      </c>
      <c r="P1039" t="s">
        <v>120</v>
      </c>
      <c r="Q1039">
        <v>7257.5</v>
      </c>
      <c r="R1039" t="s">
        <v>1922</v>
      </c>
      <c r="U1039">
        <v>7257.5</v>
      </c>
      <c r="AD1039" t="s">
        <v>116</v>
      </c>
      <c r="AE1039" t="s">
        <v>756</v>
      </c>
      <c r="AF1039" t="s">
        <v>756</v>
      </c>
      <c r="AG1039" t="s">
        <v>116</v>
      </c>
      <c r="AH1039" t="s">
        <v>116</v>
      </c>
      <c r="AM1039" t="s">
        <v>709</v>
      </c>
      <c r="AY1039" t="s">
        <v>29</v>
      </c>
      <c r="BA1039">
        <v>4</v>
      </c>
      <c r="BH1039" t="s">
        <v>5947</v>
      </c>
      <c r="BI1039" t="s">
        <v>709</v>
      </c>
      <c r="BJ1039" t="s">
        <v>709</v>
      </c>
      <c r="BK1039" t="s">
        <v>116</v>
      </c>
      <c r="BL1039" t="s">
        <v>116</v>
      </c>
      <c r="BM1039" t="s">
        <v>709</v>
      </c>
      <c r="BN1039" t="s">
        <v>709</v>
      </c>
      <c r="BO1039" t="s">
        <v>709</v>
      </c>
      <c r="BP1039" t="s">
        <v>709</v>
      </c>
      <c r="BQ1039">
        <v>204</v>
      </c>
      <c r="BR1039">
        <v>187</v>
      </c>
      <c r="BS1039">
        <v>50</v>
      </c>
      <c r="BT1039">
        <v>1</v>
      </c>
      <c r="BU1039" t="s">
        <v>709</v>
      </c>
      <c r="BV1039" t="s">
        <v>709</v>
      </c>
      <c r="BW1039">
        <v>1</v>
      </c>
      <c r="BX1039">
        <v>1</v>
      </c>
      <c r="BY1039" t="s">
        <v>709</v>
      </c>
      <c r="BZ1039" t="s">
        <v>709</v>
      </c>
      <c r="CA1039" t="s">
        <v>1022</v>
      </c>
      <c r="CB1039">
        <v>1040</v>
      </c>
      <c r="CC1039" t="b">
        <v>1</v>
      </c>
      <c r="CD1039" t="s">
        <v>5948</v>
      </c>
      <c r="CE1039" s="1482">
        <v>45880.73846064815</v>
      </c>
    </row>
    <row r="1040" spans="1:83" ht="255" x14ac:dyDescent="0.25">
      <c r="A1040">
        <v>2023</v>
      </c>
      <c r="B1040" t="s">
        <v>4</v>
      </c>
      <c r="C1040" t="s">
        <v>399</v>
      </c>
      <c r="D1040" t="s">
        <v>1628</v>
      </c>
      <c r="E1040" t="s">
        <v>400</v>
      </c>
      <c r="F1040" t="s">
        <v>784</v>
      </c>
      <c r="G1040" t="s">
        <v>35</v>
      </c>
      <c r="H1040" t="s">
        <v>59</v>
      </c>
      <c r="I1040">
        <v>45027</v>
      </c>
      <c r="J1040">
        <v>45173</v>
      </c>
      <c r="K1040">
        <v>45168</v>
      </c>
      <c r="L1040">
        <v>5</v>
      </c>
      <c r="N1040" t="s">
        <v>120</v>
      </c>
      <c r="O1040">
        <v>45170</v>
      </c>
      <c r="P1040" t="s">
        <v>739</v>
      </c>
      <c r="Q1040">
        <v>22244.629000000001</v>
      </c>
      <c r="R1040">
        <v>0.1</v>
      </c>
      <c r="V1040">
        <v>600</v>
      </c>
      <c r="W1040">
        <v>0</v>
      </c>
      <c r="X1040">
        <v>210973.81</v>
      </c>
      <c r="Z1040">
        <v>11472.48</v>
      </c>
      <c r="AA1040">
        <v>222446.29</v>
      </c>
      <c r="AB1040">
        <v>45107</v>
      </c>
      <c r="AC1040" t="s">
        <v>116</v>
      </c>
      <c r="AD1040" t="s">
        <v>29</v>
      </c>
      <c r="AE1040" t="s">
        <v>756</v>
      </c>
      <c r="AF1040" t="s">
        <v>29</v>
      </c>
      <c r="AG1040" t="s">
        <v>756</v>
      </c>
      <c r="AH1040" t="s">
        <v>29</v>
      </c>
      <c r="AM1040" t="s">
        <v>116</v>
      </c>
      <c r="AN1040" t="s">
        <v>709</v>
      </c>
      <c r="AS1040">
        <v>0</v>
      </c>
      <c r="AT1040">
        <v>0</v>
      </c>
      <c r="AU1040">
        <v>0</v>
      </c>
      <c r="AY1040" t="s">
        <v>709</v>
      </c>
      <c r="AZ1040">
        <v>98</v>
      </c>
      <c r="BA1040" s="4" t="s">
        <v>1629</v>
      </c>
      <c r="BB1040" t="s">
        <v>870</v>
      </c>
      <c r="BC1040" t="s">
        <v>115</v>
      </c>
      <c r="BD1040" t="s">
        <v>1626</v>
      </c>
      <c r="BE1040" t="s">
        <v>1627</v>
      </c>
      <c r="BF1040" t="s">
        <v>709</v>
      </c>
      <c r="BG1040" t="s">
        <v>709</v>
      </c>
      <c r="BH1040" t="s">
        <v>1630</v>
      </c>
      <c r="BI1040" t="s">
        <v>709</v>
      </c>
      <c r="BJ1040" t="s">
        <v>709</v>
      </c>
      <c r="BK1040" t="s">
        <v>116</v>
      </c>
      <c r="BL1040" t="s">
        <v>709</v>
      </c>
      <c r="BM1040" t="s">
        <v>709</v>
      </c>
      <c r="BN1040" t="s">
        <v>709</v>
      </c>
      <c r="BO1040" t="s">
        <v>709</v>
      </c>
      <c r="BP1040">
        <v>600</v>
      </c>
      <c r="BQ1040" t="s">
        <v>709</v>
      </c>
      <c r="BR1040" t="s">
        <v>709</v>
      </c>
      <c r="BS1040" t="s">
        <v>709</v>
      </c>
      <c r="BT1040" t="s">
        <v>709</v>
      </c>
      <c r="BU1040" t="s">
        <v>709</v>
      </c>
      <c r="BV1040" t="s">
        <v>745</v>
      </c>
      <c r="BW1040" t="s">
        <v>709</v>
      </c>
      <c r="BX1040" t="s">
        <v>709</v>
      </c>
      <c r="BY1040" t="s">
        <v>709</v>
      </c>
      <c r="BZ1040" t="s">
        <v>709</v>
      </c>
      <c r="CB1040">
        <v>1039</v>
      </c>
      <c r="CC1040" t="b">
        <v>1</v>
      </c>
      <c r="CD1040" t="s">
        <v>5949</v>
      </c>
      <c r="CE1040" s="1482">
        <v>45880.73846064815</v>
      </c>
    </row>
    <row r="1041" spans="1:83" ht="285" x14ac:dyDescent="0.25">
      <c r="A1041">
        <v>2023</v>
      </c>
      <c r="B1041" t="s">
        <v>4</v>
      </c>
      <c r="C1041" t="s">
        <v>1623</v>
      </c>
      <c r="D1041" t="s">
        <v>1624</v>
      </c>
      <c r="E1041" t="s">
        <v>400</v>
      </c>
      <c r="F1041" t="s">
        <v>784</v>
      </c>
      <c r="G1041" t="s">
        <v>35</v>
      </c>
      <c r="H1041" t="s">
        <v>59</v>
      </c>
      <c r="I1041">
        <v>45027</v>
      </c>
      <c r="J1041">
        <v>45173</v>
      </c>
      <c r="K1041">
        <v>45168</v>
      </c>
      <c r="L1041">
        <v>5</v>
      </c>
      <c r="N1041" t="s">
        <v>120</v>
      </c>
      <c r="O1041">
        <v>45170</v>
      </c>
      <c r="P1041" t="s">
        <v>739</v>
      </c>
      <c r="Q1041">
        <v>80882.486999999994</v>
      </c>
      <c r="R1041">
        <v>0.1</v>
      </c>
      <c r="V1041">
        <v>1531</v>
      </c>
      <c r="W1041">
        <v>0</v>
      </c>
      <c r="X1041">
        <v>766647.95</v>
      </c>
      <c r="Z1041">
        <v>42176.92</v>
      </c>
      <c r="AA1041">
        <v>808824.87</v>
      </c>
      <c r="AB1041">
        <v>45107</v>
      </c>
      <c r="AC1041" t="s">
        <v>116</v>
      </c>
      <c r="AD1041" t="s">
        <v>29</v>
      </c>
      <c r="AE1041" t="s">
        <v>756</v>
      </c>
      <c r="AF1041" t="s">
        <v>29</v>
      </c>
      <c r="AG1041" t="s">
        <v>756</v>
      </c>
      <c r="AH1041" t="s">
        <v>29</v>
      </c>
      <c r="AM1041" t="s">
        <v>116</v>
      </c>
      <c r="AN1041" t="s">
        <v>709</v>
      </c>
      <c r="AS1041">
        <v>0</v>
      </c>
      <c r="AT1041">
        <v>0</v>
      </c>
      <c r="AU1041">
        <v>0</v>
      </c>
      <c r="AY1041" t="s">
        <v>709</v>
      </c>
      <c r="AZ1041">
        <v>97</v>
      </c>
      <c r="BA1041" s="4" t="s">
        <v>1625</v>
      </c>
      <c r="BB1041" t="s">
        <v>870</v>
      </c>
      <c r="BC1041" t="s">
        <v>115</v>
      </c>
      <c r="BD1041" t="s">
        <v>1626</v>
      </c>
      <c r="BE1041" t="s">
        <v>1627</v>
      </c>
      <c r="BF1041" t="s">
        <v>709</v>
      </c>
      <c r="BG1041" t="s">
        <v>709</v>
      </c>
      <c r="BI1041" t="s">
        <v>709</v>
      </c>
      <c r="BJ1041" t="s">
        <v>709</v>
      </c>
      <c r="BK1041" t="s">
        <v>116</v>
      </c>
      <c r="BL1041" t="s">
        <v>709</v>
      </c>
      <c r="BM1041" t="s">
        <v>709</v>
      </c>
      <c r="BN1041" t="s">
        <v>709</v>
      </c>
      <c r="BO1041" t="s">
        <v>709</v>
      </c>
      <c r="BP1041">
        <v>600</v>
      </c>
      <c r="BQ1041" t="s">
        <v>709</v>
      </c>
      <c r="BR1041" t="s">
        <v>709</v>
      </c>
      <c r="BS1041" t="s">
        <v>709</v>
      </c>
      <c r="BT1041" t="s">
        <v>709</v>
      </c>
      <c r="BU1041" t="s">
        <v>709</v>
      </c>
      <c r="BV1041" t="s">
        <v>745</v>
      </c>
      <c r="BW1041" t="s">
        <v>709</v>
      </c>
      <c r="BX1041" t="s">
        <v>709</v>
      </c>
      <c r="BY1041" t="s">
        <v>709</v>
      </c>
      <c r="BZ1041" t="s">
        <v>709</v>
      </c>
      <c r="CB1041">
        <v>1038</v>
      </c>
      <c r="CC1041" t="b">
        <v>1</v>
      </c>
      <c r="CD1041" t="s">
        <v>5950</v>
      </c>
      <c r="CE1041" s="1482">
        <v>45880.73847222222</v>
      </c>
    </row>
    <row r="1042" spans="1:83" x14ac:dyDescent="0.25">
      <c r="A1042">
        <v>2024</v>
      </c>
      <c r="B1042" t="s">
        <v>759</v>
      </c>
      <c r="C1042" t="s">
        <v>525</v>
      </c>
      <c r="D1042" t="s">
        <v>1521</v>
      </c>
      <c r="E1042" t="s">
        <v>1522</v>
      </c>
      <c r="F1042" t="s">
        <v>752</v>
      </c>
      <c r="G1042" t="s">
        <v>37</v>
      </c>
      <c r="H1042" t="s">
        <v>4462</v>
      </c>
      <c r="I1042">
        <v>45125</v>
      </c>
      <c r="J1042" t="s">
        <v>2052</v>
      </c>
      <c r="K1042">
        <v>45168</v>
      </c>
      <c r="L1042">
        <v>43</v>
      </c>
      <c r="M1042" t="s">
        <v>5951</v>
      </c>
      <c r="N1042" t="s">
        <v>120</v>
      </c>
      <c r="O1042">
        <v>45170</v>
      </c>
      <c r="P1042" t="s">
        <v>120</v>
      </c>
      <c r="Q1042" t="s">
        <v>115</v>
      </c>
      <c r="R1042" t="s">
        <v>115</v>
      </c>
      <c r="AA1042">
        <v>0</v>
      </c>
      <c r="AB1042" t="s">
        <v>29</v>
      </c>
      <c r="AC1042" t="s">
        <v>29</v>
      </c>
      <c r="AH1042">
        <v>45609</v>
      </c>
      <c r="AM1042" t="s">
        <v>709</v>
      </c>
      <c r="AY1042" t="s">
        <v>29</v>
      </c>
      <c r="BC1042" t="s">
        <v>992</v>
      </c>
      <c r="BI1042" t="s">
        <v>709</v>
      </c>
      <c r="BJ1042" t="s">
        <v>709</v>
      </c>
      <c r="BK1042" t="s">
        <v>116</v>
      </c>
      <c r="BL1042" t="s">
        <v>116</v>
      </c>
      <c r="BM1042" t="s">
        <v>709</v>
      </c>
      <c r="BN1042" t="s">
        <v>709</v>
      </c>
      <c r="BO1042" t="s">
        <v>709</v>
      </c>
      <c r="BP1042">
        <v>128</v>
      </c>
      <c r="BQ1042" t="s">
        <v>709</v>
      </c>
      <c r="BR1042">
        <v>9</v>
      </c>
      <c r="BS1042" t="s">
        <v>709</v>
      </c>
      <c r="BT1042" t="s">
        <v>709</v>
      </c>
      <c r="BU1042" t="s">
        <v>709</v>
      </c>
      <c r="BV1042" t="s">
        <v>709</v>
      </c>
      <c r="BW1042">
        <v>1</v>
      </c>
      <c r="BX1042" t="s">
        <v>745</v>
      </c>
      <c r="BY1042" t="s">
        <v>709</v>
      </c>
      <c r="BZ1042" t="s">
        <v>709</v>
      </c>
      <c r="CA1042" t="s">
        <v>1022</v>
      </c>
      <c r="CB1042">
        <v>1035</v>
      </c>
      <c r="CC1042" t="b">
        <v>1</v>
      </c>
      <c r="CD1042" t="s">
        <v>5952</v>
      </c>
      <c r="CE1042" s="1482">
        <v>45880.738483796296</v>
      </c>
    </row>
    <row r="1043" spans="1:83" x14ac:dyDescent="0.25">
      <c r="A1043">
        <v>2023</v>
      </c>
      <c r="B1043" t="s">
        <v>4</v>
      </c>
      <c r="C1043" t="s">
        <v>5937</v>
      </c>
      <c r="D1043">
        <v>1212401</v>
      </c>
      <c r="E1043" t="s">
        <v>2573</v>
      </c>
      <c r="F1043" t="s">
        <v>784</v>
      </c>
      <c r="G1043" t="s">
        <v>28</v>
      </c>
      <c r="H1043" t="s">
        <v>4646</v>
      </c>
      <c r="I1043">
        <v>45078</v>
      </c>
      <c r="J1043" t="s">
        <v>4110</v>
      </c>
      <c r="K1043">
        <v>45174</v>
      </c>
      <c r="L1043">
        <v>96</v>
      </c>
      <c r="M1043" t="s">
        <v>5953</v>
      </c>
      <c r="N1043" t="s">
        <v>120</v>
      </c>
      <c r="O1043">
        <v>45170</v>
      </c>
      <c r="P1043" t="s">
        <v>739</v>
      </c>
      <c r="Q1043">
        <v>5020</v>
      </c>
      <c r="R1043" t="s">
        <v>1922</v>
      </c>
      <c r="U1043">
        <v>5020</v>
      </c>
      <c r="AB1043" t="s">
        <v>29</v>
      </c>
      <c r="AC1043" t="s">
        <v>29</v>
      </c>
      <c r="AD1043" t="s">
        <v>29</v>
      </c>
      <c r="AE1043" t="s">
        <v>756</v>
      </c>
      <c r="AF1043" t="s">
        <v>756</v>
      </c>
      <c r="AG1043" t="s">
        <v>29</v>
      </c>
      <c r="AH1043">
        <v>45222</v>
      </c>
      <c r="AM1043" t="s">
        <v>709</v>
      </c>
      <c r="AY1043" t="s">
        <v>29</v>
      </c>
      <c r="BA1043" t="s">
        <v>4646</v>
      </c>
      <c r="BI1043" t="s">
        <v>709</v>
      </c>
      <c r="BJ1043" t="s">
        <v>116</v>
      </c>
      <c r="BK1043" t="s">
        <v>709</v>
      </c>
      <c r="BL1043" t="s">
        <v>116</v>
      </c>
      <c r="BM1043" t="s">
        <v>709</v>
      </c>
      <c r="BN1043" t="s">
        <v>709</v>
      </c>
      <c r="BO1043" t="s">
        <v>709</v>
      </c>
      <c r="BP1043" t="s">
        <v>709</v>
      </c>
      <c r="BQ1043" t="s">
        <v>709</v>
      </c>
      <c r="BR1043" t="s">
        <v>709</v>
      </c>
      <c r="BS1043" t="s">
        <v>709</v>
      </c>
      <c r="BT1043" t="s">
        <v>709</v>
      </c>
      <c r="BU1043" t="s">
        <v>709</v>
      </c>
      <c r="BV1043" t="s">
        <v>709</v>
      </c>
      <c r="BW1043" t="s">
        <v>709</v>
      </c>
      <c r="BX1043" t="s">
        <v>709</v>
      </c>
      <c r="BY1043" t="s">
        <v>709</v>
      </c>
      <c r="BZ1043" t="s">
        <v>709</v>
      </c>
      <c r="CA1043" t="s">
        <v>915</v>
      </c>
      <c r="CB1043">
        <v>1041</v>
      </c>
      <c r="CC1043" t="b">
        <v>1</v>
      </c>
      <c r="CD1043" t="s">
        <v>5954</v>
      </c>
      <c r="CE1043" s="1482">
        <v>45880.738495370373</v>
      </c>
    </row>
    <row r="1044" spans="1:83" ht="270" x14ac:dyDescent="0.25">
      <c r="A1044">
        <v>2023</v>
      </c>
      <c r="B1044" t="s">
        <v>4</v>
      </c>
      <c r="C1044" t="s">
        <v>5955</v>
      </c>
      <c r="D1044" t="s">
        <v>115</v>
      </c>
      <c r="E1044" t="s">
        <v>111</v>
      </c>
      <c r="F1044" t="s">
        <v>784</v>
      </c>
      <c r="G1044" t="s">
        <v>39</v>
      </c>
      <c r="H1044" t="s">
        <v>1681</v>
      </c>
      <c r="I1044">
        <v>44958</v>
      </c>
      <c r="J1044">
        <v>45184</v>
      </c>
      <c r="K1044">
        <v>45175</v>
      </c>
      <c r="L1044">
        <v>9</v>
      </c>
      <c r="N1044" t="s">
        <v>120</v>
      </c>
      <c r="O1044">
        <v>45170</v>
      </c>
      <c r="P1044" t="s">
        <v>739</v>
      </c>
      <c r="Q1044" t="s">
        <v>115</v>
      </c>
      <c r="R1044" t="s">
        <v>115</v>
      </c>
      <c r="AB1044" t="s">
        <v>29</v>
      </c>
      <c r="AC1044" t="s">
        <v>29</v>
      </c>
      <c r="AD1044" t="s">
        <v>29</v>
      </c>
      <c r="AE1044" t="s">
        <v>116</v>
      </c>
      <c r="AF1044" t="s">
        <v>29</v>
      </c>
      <c r="AG1044" t="s">
        <v>29</v>
      </c>
      <c r="AH1044">
        <v>45222</v>
      </c>
      <c r="AM1044" t="s">
        <v>709</v>
      </c>
      <c r="AY1044" t="s">
        <v>29</v>
      </c>
      <c r="BA1044" s="4" t="s">
        <v>5956</v>
      </c>
      <c r="BB1044" t="s">
        <v>1071</v>
      </c>
      <c r="BC1044" t="s">
        <v>116</v>
      </c>
      <c r="BD1044" t="s">
        <v>709</v>
      </c>
      <c r="BE1044" t="s">
        <v>1114</v>
      </c>
      <c r="CA1044" t="s">
        <v>915</v>
      </c>
      <c r="CB1044">
        <v>1043</v>
      </c>
      <c r="CC1044" t="b">
        <v>1</v>
      </c>
      <c r="CD1044" t="s">
        <v>5957</v>
      </c>
      <c r="CE1044" s="1482">
        <v>45880.738495370373</v>
      </c>
    </row>
    <row r="1045" spans="1:83" x14ac:dyDescent="0.25">
      <c r="A1045">
        <v>2023</v>
      </c>
      <c r="B1045" t="s">
        <v>769</v>
      </c>
      <c r="C1045" t="s">
        <v>1566</v>
      </c>
      <c r="D1045">
        <v>1010976</v>
      </c>
      <c r="E1045" t="s">
        <v>3315</v>
      </c>
      <c r="F1045" t="s">
        <v>752</v>
      </c>
      <c r="G1045" t="s">
        <v>23</v>
      </c>
      <c r="H1045" t="s">
        <v>4189</v>
      </c>
      <c r="I1045">
        <v>45167</v>
      </c>
      <c r="J1045" t="s">
        <v>2052</v>
      </c>
      <c r="K1045">
        <v>45175</v>
      </c>
      <c r="L1045">
        <v>8</v>
      </c>
      <c r="M1045" t="s">
        <v>5958</v>
      </c>
      <c r="N1045" t="s">
        <v>120</v>
      </c>
      <c r="O1045">
        <v>45170</v>
      </c>
      <c r="P1045" t="s">
        <v>120</v>
      </c>
      <c r="Q1045">
        <v>9150</v>
      </c>
      <c r="R1045" t="s">
        <v>1922</v>
      </c>
      <c r="S1045">
        <v>0</v>
      </c>
      <c r="T1045">
        <v>0</v>
      </c>
      <c r="U1045">
        <v>9150</v>
      </c>
      <c r="AD1045" t="s">
        <v>29</v>
      </c>
      <c r="AE1045" t="s">
        <v>116</v>
      </c>
      <c r="AF1045" t="s">
        <v>116</v>
      </c>
      <c r="AG1045" t="s">
        <v>29</v>
      </c>
      <c r="AH1045" t="s">
        <v>29</v>
      </c>
      <c r="AM1045" t="s">
        <v>709</v>
      </c>
      <c r="AY1045" t="s">
        <v>29</v>
      </c>
      <c r="BA1045" t="s">
        <v>4919</v>
      </c>
      <c r="BH1045" t="s">
        <v>5959</v>
      </c>
      <c r="BI1045" t="s">
        <v>709</v>
      </c>
      <c r="BJ1045" t="s">
        <v>709</v>
      </c>
      <c r="BK1045" t="s">
        <v>709</v>
      </c>
      <c r="BL1045" t="s">
        <v>116</v>
      </c>
      <c r="BM1045" t="s">
        <v>709</v>
      </c>
      <c r="BN1045" t="s">
        <v>709</v>
      </c>
      <c r="BO1045" t="s">
        <v>709</v>
      </c>
      <c r="BP1045" t="s">
        <v>709</v>
      </c>
      <c r="BQ1045">
        <v>3967</v>
      </c>
      <c r="BR1045">
        <v>95</v>
      </c>
      <c r="BS1045">
        <v>590</v>
      </c>
      <c r="BT1045">
        <v>1</v>
      </c>
      <c r="BU1045" t="s">
        <v>709</v>
      </c>
      <c r="BV1045" t="s">
        <v>709</v>
      </c>
      <c r="BW1045">
        <v>1</v>
      </c>
      <c r="BX1045">
        <v>1</v>
      </c>
      <c r="BY1045" t="s">
        <v>709</v>
      </c>
      <c r="BZ1045" t="s">
        <v>709</v>
      </c>
      <c r="CA1045" t="s">
        <v>1022</v>
      </c>
      <c r="CB1045">
        <v>1042</v>
      </c>
      <c r="CC1045" t="b">
        <v>1</v>
      </c>
      <c r="CD1045" t="s">
        <v>5960</v>
      </c>
      <c r="CE1045" s="1482">
        <v>45880.738506944443</v>
      </c>
    </row>
    <row r="1046" spans="1:83" x14ac:dyDescent="0.25">
      <c r="A1046">
        <v>2023</v>
      </c>
      <c r="B1046" t="s">
        <v>771</v>
      </c>
      <c r="C1046" t="s">
        <v>5425</v>
      </c>
      <c r="D1046">
        <v>1212067</v>
      </c>
      <c r="E1046" t="s">
        <v>2350</v>
      </c>
      <c r="F1046" t="s">
        <v>5604</v>
      </c>
      <c r="G1046" t="s">
        <v>31</v>
      </c>
      <c r="H1046" t="s">
        <v>4001</v>
      </c>
      <c r="I1046">
        <v>45167</v>
      </c>
      <c r="J1046" t="s">
        <v>2052</v>
      </c>
      <c r="K1046">
        <v>45176</v>
      </c>
      <c r="L1046">
        <v>9</v>
      </c>
      <c r="M1046" t="s">
        <v>5961</v>
      </c>
      <c r="N1046" t="s">
        <v>120</v>
      </c>
      <c r="O1046">
        <v>45170</v>
      </c>
      <c r="P1046" t="s">
        <v>120</v>
      </c>
      <c r="Q1046">
        <v>752.5</v>
      </c>
      <c r="R1046" t="s">
        <v>1922</v>
      </c>
      <c r="S1046">
        <v>0</v>
      </c>
      <c r="T1046">
        <v>0</v>
      </c>
      <c r="U1046">
        <v>752.5</v>
      </c>
      <c r="AD1046" t="s">
        <v>29</v>
      </c>
      <c r="AE1046" t="s">
        <v>29</v>
      </c>
      <c r="AF1046" t="s">
        <v>756</v>
      </c>
      <c r="AG1046" t="s">
        <v>29</v>
      </c>
      <c r="AH1046" t="s">
        <v>29</v>
      </c>
      <c r="AM1046" t="s">
        <v>709</v>
      </c>
      <c r="AY1046" t="s">
        <v>29</v>
      </c>
      <c r="BA1046">
        <v>2</v>
      </c>
      <c r="BB1046" t="s">
        <v>745</v>
      </c>
      <c r="BI1046" t="s">
        <v>709</v>
      </c>
      <c r="BJ1046" t="s">
        <v>709</v>
      </c>
      <c r="BK1046" t="s">
        <v>709</v>
      </c>
      <c r="BL1046" t="s">
        <v>116</v>
      </c>
      <c r="BM1046" t="s">
        <v>709</v>
      </c>
      <c r="BN1046" t="s">
        <v>709</v>
      </c>
      <c r="BO1046" t="s">
        <v>709</v>
      </c>
      <c r="BP1046" t="s">
        <v>709</v>
      </c>
      <c r="BQ1046" t="s">
        <v>709</v>
      </c>
      <c r="BR1046" t="s">
        <v>709</v>
      </c>
      <c r="BS1046">
        <v>2620</v>
      </c>
      <c r="BT1046" t="s">
        <v>709</v>
      </c>
      <c r="BU1046" t="s">
        <v>709</v>
      </c>
      <c r="BV1046" t="s">
        <v>709</v>
      </c>
      <c r="BW1046" t="s">
        <v>709</v>
      </c>
      <c r="BX1046" t="s">
        <v>745</v>
      </c>
      <c r="BY1046" t="s">
        <v>709</v>
      </c>
      <c r="BZ1046" t="s">
        <v>709</v>
      </c>
      <c r="CB1046">
        <v>1044</v>
      </c>
      <c r="CC1046" t="b">
        <v>1</v>
      </c>
      <c r="CD1046" t="s">
        <v>5962</v>
      </c>
      <c r="CE1046" s="1482">
        <v>45880.738506944443</v>
      </c>
    </row>
    <row r="1047" spans="1:83" ht="240" x14ac:dyDescent="0.25">
      <c r="A1047">
        <v>2023</v>
      </c>
      <c r="B1047" t="s">
        <v>4</v>
      </c>
      <c r="C1047" t="s">
        <v>5963</v>
      </c>
      <c r="D1047" t="s">
        <v>115</v>
      </c>
      <c r="E1047" t="s">
        <v>342</v>
      </c>
      <c r="F1047" t="s">
        <v>5495</v>
      </c>
      <c r="G1047" t="s">
        <v>28</v>
      </c>
      <c r="H1047" t="s">
        <v>1681</v>
      </c>
      <c r="I1047">
        <v>44917</v>
      </c>
      <c r="J1047">
        <v>45184</v>
      </c>
      <c r="K1047">
        <v>45180</v>
      </c>
      <c r="L1047">
        <v>4</v>
      </c>
      <c r="N1047" t="s">
        <v>120</v>
      </c>
      <c r="O1047">
        <v>45170</v>
      </c>
      <c r="P1047" t="s">
        <v>739</v>
      </c>
      <c r="Q1047" t="s">
        <v>115</v>
      </c>
      <c r="R1047" t="s">
        <v>115</v>
      </c>
      <c r="AB1047" t="s">
        <v>29</v>
      </c>
      <c r="AC1047" t="s">
        <v>29</v>
      </c>
      <c r="AD1047" t="s">
        <v>29</v>
      </c>
      <c r="AE1047" t="s">
        <v>756</v>
      </c>
      <c r="AF1047" t="s">
        <v>756</v>
      </c>
      <c r="AG1047" t="s">
        <v>29</v>
      </c>
      <c r="AH1047">
        <v>45222</v>
      </c>
      <c r="AM1047" t="s">
        <v>709</v>
      </c>
      <c r="AY1047" t="s">
        <v>29</v>
      </c>
      <c r="BA1047" s="4" t="s">
        <v>5964</v>
      </c>
      <c r="BB1047" t="s">
        <v>1071</v>
      </c>
      <c r="BC1047" t="s">
        <v>709</v>
      </c>
      <c r="BD1047" t="s">
        <v>1066</v>
      </c>
      <c r="BE1047" t="s">
        <v>115</v>
      </c>
      <c r="CA1047" t="s">
        <v>915</v>
      </c>
      <c r="CB1047">
        <v>1045</v>
      </c>
      <c r="CC1047" t="b">
        <v>1</v>
      </c>
      <c r="CD1047" t="s">
        <v>5965</v>
      </c>
      <c r="CE1047" s="1482">
        <v>45880.738518518519</v>
      </c>
    </row>
    <row r="1048" spans="1:83" x14ac:dyDescent="0.25">
      <c r="A1048">
        <v>2023</v>
      </c>
      <c r="B1048" t="s">
        <v>4</v>
      </c>
      <c r="C1048" t="s">
        <v>5963</v>
      </c>
      <c r="D1048" t="s">
        <v>115</v>
      </c>
      <c r="E1048" t="s">
        <v>342</v>
      </c>
      <c r="F1048" t="s">
        <v>5495</v>
      </c>
      <c r="G1048" t="s">
        <v>28</v>
      </c>
      <c r="H1048" t="s">
        <v>4646</v>
      </c>
      <c r="I1048">
        <v>45035</v>
      </c>
      <c r="J1048" t="s">
        <v>4110</v>
      </c>
      <c r="K1048">
        <v>45180</v>
      </c>
      <c r="L1048">
        <v>145</v>
      </c>
      <c r="M1048" t="s">
        <v>5966</v>
      </c>
      <c r="N1048" t="s">
        <v>120</v>
      </c>
      <c r="O1048">
        <v>45170</v>
      </c>
      <c r="P1048" t="s">
        <v>739</v>
      </c>
      <c r="Q1048">
        <v>6990</v>
      </c>
      <c r="R1048" t="s">
        <v>1922</v>
      </c>
      <c r="U1048">
        <v>6990</v>
      </c>
      <c r="AB1048" t="s">
        <v>29</v>
      </c>
      <c r="AC1048" t="s">
        <v>29</v>
      </c>
      <c r="AD1048" t="s">
        <v>29</v>
      </c>
      <c r="AE1048" t="s">
        <v>756</v>
      </c>
      <c r="AF1048" t="s">
        <v>29</v>
      </c>
      <c r="AG1048" t="s">
        <v>29</v>
      </c>
      <c r="AH1048">
        <v>45222</v>
      </c>
      <c r="AM1048" t="s">
        <v>709</v>
      </c>
      <c r="AY1048" t="s">
        <v>29</v>
      </c>
      <c r="BA1048" t="s">
        <v>5967</v>
      </c>
      <c r="CA1048" t="s">
        <v>915</v>
      </c>
      <c r="CB1048">
        <v>1046</v>
      </c>
      <c r="CC1048" t="b">
        <v>1</v>
      </c>
      <c r="CD1048" t="s">
        <v>5968</v>
      </c>
      <c r="CE1048" s="1482">
        <v>45880.738518518519</v>
      </c>
    </row>
    <row r="1049" spans="1:83" ht="409.5" x14ac:dyDescent="0.25">
      <c r="A1049">
        <v>2023</v>
      </c>
      <c r="B1049" t="s">
        <v>4</v>
      </c>
      <c r="C1049" t="s">
        <v>1023</v>
      </c>
      <c r="D1049" t="s">
        <v>1024</v>
      </c>
      <c r="E1049" t="s">
        <v>245</v>
      </c>
      <c r="F1049" t="s">
        <v>784</v>
      </c>
      <c r="G1049" t="s">
        <v>784</v>
      </c>
      <c r="H1049" t="s">
        <v>413</v>
      </c>
      <c r="I1049">
        <v>45041</v>
      </c>
      <c r="J1049">
        <v>45184</v>
      </c>
      <c r="K1049">
        <v>45181</v>
      </c>
      <c r="L1049">
        <v>3</v>
      </c>
      <c r="N1049" t="s">
        <v>120</v>
      </c>
      <c r="O1049">
        <v>45200</v>
      </c>
      <c r="P1049" t="s">
        <v>739</v>
      </c>
      <c r="Q1049">
        <v>162543.111</v>
      </c>
      <c r="R1049">
        <v>0.1</v>
      </c>
      <c r="V1049">
        <v>5390</v>
      </c>
      <c r="W1049">
        <v>1</v>
      </c>
      <c r="X1049">
        <v>1456392.16</v>
      </c>
      <c r="Z1049">
        <v>169038.95</v>
      </c>
      <c r="AA1049">
        <v>1625431.11</v>
      </c>
      <c r="AB1049">
        <v>45159</v>
      </c>
      <c r="AC1049" t="s">
        <v>745</v>
      </c>
      <c r="AD1049" t="s">
        <v>29</v>
      </c>
      <c r="AE1049" t="s">
        <v>756</v>
      </c>
      <c r="AF1049" t="s">
        <v>756</v>
      </c>
      <c r="AG1049" t="s">
        <v>116</v>
      </c>
      <c r="AH1049">
        <v>45222</v>
      </c>
      <c r="AM1049" t="s">
        <v>116</v>
      </c>
      <c r="AN1049">
        <v>45442</v>
      </c>
      <c r="AO1049">
        <v>11083250</v>
      </c>
      <c r="AP1049">
        <v>1479075.05</v>
      </c>
      <c r="AR1049">
        <v>171367.36</v>
      </c>
      <c r="AS1049">
        <v>1650442.41</v>
      </c>
      <c r="AT1049">
        <v>25011.3</v>
      </c>
      <c r="AU1049">
        <v>2501.13</v>
      </c>
      <c r="AV1049">
        <v>0</v>
      </c>
      <c r="AW1049" t="s">
        <v>1025</v>
      </c>
      <c r="AX1049">
        <v>2501.13</v>
      </c>
      <c r="AY1049">
        <v>45566</v>
      </c>
      <c r="AZ1049">
        <v>99</v>
      </c>
      <c r="BA1049" s="4" t="s">
        <v>1026</v>
      </c>
      <c r="BB1049" t="s">
        <v>1027</v>
      </c>
      <c r="BC1049" t="s">
        <v>709</v>
      </c>
      <c r="BD1049" t="s">
        <v>115</v>
      </c>
      <c r="BE1049" t="s">
        <v>1028</v>
      </c>
      <c r="BF1049" t="s">
        <v>709</v>
      </c>
      <c r="BG1049" t="s">
        <v>709</v>
      </c>
      <c r="BH1049" t="s">
        <v>1029</v>
      </c>
      <c r="BI1049" t="s">
        <v>709</v>
      </c>
      <c r="BJ1049" t="s">
        <v>709</v>
      </c>
      <c r="BK1049" t="s">
        <v>709</v>
      </c>
      <c r="BL1049" t="s">
        <v>116</v>
      </c>
      <c r="BM1049" t="s">
        <v>709</v>
      </c>
      <c r="BN1049" t="s">
        <v>709</v>
      </c>
      <c r="BO1049" t="s">
        <v>709</v>
      </c>
      <c r="BP1049" t="s">
        <v>709</v>
      </c>
      <c r="BQ1049">
        <v>2812</v>
      </c>
      <c r="BR1049" t="s">
        <v>709</v>
      </c>
      <c r="BS1049">
        <v>2578</v>
      </c>
      <c r="BT1049" t="s">
        <v>709</v>
      </c>
      <c r="BU1049" t="s">
        <v>709</v>
      </c>
      <c r="BV1049">
        <v>1</v>
      </c>
      <c r="BW1049" t="s">
        <v>709</v>
      </c>
      <c r="BX1049" t="s">
        <v>709</v>
      </c>
      <c r="BY1049" t="s">
        <v>709</v>
      </c>
      <c r="BZ1049" t="s">
        <v>709</v>
      </c>
      <c r="CB1049">
        <v>1047</v>
      </c>
      <c r="CC1049" t="b">
        <v>1</v>
      </c>
      <c r="CD1049" t="s">
        <v>5969</v>
      </c>
      <c r="CE1049" s="1482">
        <v>45880.738530092596</v>
      </c>
    </row>
    <row r="1050" spans="1:83" x14ac:dyDescent="0.25">
      <c r="A1050">
        <v>2023</v>
      </c>
      <c r="B1050" t="s">
        <v>730</v>
      </c>
      <c r="C1050" t="s">
        <v>823</v>
      </c>
      <c r="D1050" t="s">
        <v>824</v>
      </c>
      <c r="E1050" t="s">
        <v>825</v>
      </c>
      <c r="F1050" t="s">
        <v>752</v>
      </c>
      <c r="G1050" t="s">
        <v>37</v>
      </c>
      <c r="H1050" t="s">
        <v>4189</v>
      </c>
      <c r="I1050">
        <v>45149</v>
      </c>
      <c r="J1050" t="s">
        <v>2052</v>
      </c>
      <c r="K1050">
        <v>45183</v>
      </c>
      <c r="L1050">
        <v>34</v>
      </c>
      <c r="M1050" t="s">
        <v>5970</v>
      </c>
      <c r="N1050" t="s">
        <v>120</v>
      </c>
      <c r="O1050">
        <v>45170</v>
      </c>
      <c r="P1050" t="s">
        <v>120</v>
      </c>
      <c r="Q1050">
        <v>3182.5</v>
      </c>
      <c r="R1050" t="s">
        <v>1922</v>
      </c>
      <c r="S1050" t="s">
        <v>709</v>
      </c>
      <c r="T1050">
        <v>0</v>
      </c>
      <c r="U1050">
        <v>3182.5</v>
      </c>
      <c r="V1050">
        <v>689</v>
      </c>
      <c r="W1050">
        <v>0</v>
      </c>
      <c r="AA1050">
        <v>0</v>
      </c>
      <c r="AD1050" t="s">
        <v>116</v>
      </c>
      <c r="AE1050" t="s">
        <v>756</v>
      </c>
      <c r="AF1050" t="s">
        <v>756</v>
      </c>
      <c r="AG1050" t="s">
        <v>29</v>
      </c>
      <c r="AH1050" t="s">
        <v>29</v>
      </c>
      <c r="AM1050" t="s">
        <v>709</v>
      </c>
      <c r="AY1050" t="s">
        <v>29</v>
      </c>
      <c r="BA1050">
        <v>2</v>
      </c>
      <c r="BB1050" t="s">
        <v>709</v>
      </c>
      <c r="BC1050" t="s">
        <v>992</v>
      </c>
      <c r="BH1050" t="s">
        <v>5971</v>
      </c>
      <c r="BI1050" t="s">
        <v>709</v>
      </c>
      <c r="BJ1050" t="s">
        <v>709</v>
      </c>
      <c r="BK1050" t="s">
        <v>709</v>
      </c>
      <c r="BL1050" t="s">
        <v>116</v>
      </c>
      <c r="BM1050" t="s">
        <v>709</v>
      </c>
      <c r="BN1050" t="s">
        <v>709</v>
      </c>
      <c r="BO1050" t="s">
        <v>709</v>
      </c>
      <c r="BP1050" t="s">
        <v>709</v>
      </c>
      <c r="BQ1050" t="s">
        <v>709</v>
      </c>
      <c r="BR1050">
        <v>698</v>
      </c>
      <c r="BS1050" t="s">
        <v>709</v>
      </c>
      <c r="BT1050" t="s">
        <v>709</v>
      </c>
      <c r="BU1050" t="s">
        <v>709</v>
      </c>
      <c r="BV1050" t="s">
        <v>709</v>
      </c>
      <c r="BW1050" t="s">
        <v>709</v>
      </c>
      <c r="BX1050" t="s">
        <v>745</v>
      </c>
      <c r="BY1050" t="s">
        <v>709</v>
      </c>
      <c r="BZ1050" t="s">
        <v>709</v>
      </c>
      <c r="CA1050" t="s">
        <v>769</v>
      </c>
      <c r="CB1050">
        <v>1048</v>
      </c>
      <c r="CC1050" t="b">
        <v>1</v>
      </c>
      <c r="CD1050" t="s">
        <v>5972</v>
      </c>
      <c r="CE1050" s="1482">
        <v>45880.738530092596</v>
      </c>
    </row>
    <row r="1051" spans="1:83" x14ac:dyDescent="0.25">
      <c r="A1051">
        <v>2023</v>
      </c>
      <c r="B1051" t="s">
        <v>4</v>
      </c>
      <c r="C1051" t="s">
        <v>5312</v>
      </c>
      <c r="D1051" t="s">
        <v>5313</v>
      </c>
      <c r="E1051" t="s">
        <v>1957</v>
      </c>
      <c r="F1051" t="s">
        <v>784</v>
      </c>
      <c r="G1051" t="s">
        <v>25</v>
      </c>
      <c r="H1051" t="s">
        <v>4189</v>
      </c>
      <c r="I1051">
        <v>45049</v>
      </c>
      <c r="J1051" t="s">
        <v>2052</v>
      </c>
      <c r="K1051">
        <v>45183</v>
      </c>
      <c r="L1051">
        <v>134</v>
      </c>
      <c r="M1051" t="s">
        <v>5973</v>
      </c>
      <c r="N1051" t="s">
        <v>120</v>
      </c>
      <c r="O1051">
        <v>45170</v>
      </c>
      <c r="P1051" t="s">
        <v>739</v>
      </c>
      <c r="Q1051">
        <v>6285</v>
      </c>
      <c r="R1051" t="s">
        <v>1922</v>
      </c>
      <c r="S1051">
        <v>0</v>
      </c>
      <c r="U1051">
        <v>6285</v>
      </c>
      <c r="V1051">
        <v>840</v>
      </c>
      <c r="AB1051" t="s">
        <v>29</v>
      </c>
      <c r="AC1051" t="s">
        <v>709</v>
      </c>
      <c r="AD1051" t="s">
        <v>116</v>
      </c>
      <c r="AE1051" t="s">
        <v>756</v>
      </c>
      <c r="AF1051" t="s">
        <v>756</v>
      </c>
      <c r="AG1051" t="s">
        <v>29</v>
      </c>
      <c r="AH1051">
        <v>45222</v>
      </c>
      <c r="AM1051" t="s">
        <v>709</v>
      </c>
      <c r="AY1051" t="s">
        <v>29</v>
      </c>
      <c r="BA1051">
        <v>4</v>
      </c>
      <c r="BB1051" t="s">
        <v>709</v>
      </c>
      <c r="BH1051" t="s">
        <v>5974</v>
      </c>
      <c r="BI1051" t="s">
        <v>709</v>
      </c>
      <c r="BJ1051" t="s">
        <v>709</v>
      </c>
      <c r="BK1051" t="s">
        <v>709</v>
      </c>
      <c r="BL1051" t="s">
        <v>116</v>
      </c>
      <c r="BM1051" t="s">
        <v>709</v>
      </c>
      <c r="BN1051" t="s">
        <v>709</v>
      </c>
      <c r="BO1051" t="s">
        <v>709</v>
      </c>
      <c r="BP1051" t="s">
        <v>709</v>
      </c>
      <c r="BQ1051" t="s">
        <v>709</v>
      </c>
      <c r="BR1051" t="s">
        <v>709</v>
      </c>
      <c r="BS1051">
        <v>840</v>
      </c>
      <c r="BT1051" t="s">
        <v>709</v>
      </c>
      <c r="BU1051" t="s">
        <v>709</v>
      </c>
      <c r="BV1051" t="s">
        <v>709</v>
      </c>
      <c r="BW1051" t="s">
        <v>709</v>
      </c>
      <c r="BX1051" t="s">
        <v>745</v>
      </c>
      <c r="BY1051" t="s">
        <v>709</v>
      </c>
      <c r="BZ1051" t="s">
        <v>709</v>
      </c>
      <c r="CA1051" t="s">
        <v>915</v>
      </c>
      <c r="CB1051">
        <v>1049</v>
      </c>
      <c r="CC1051" t="b">
        <v>1</v>
      </c>
      <c r="CD1051" t="s">
        <v>5975</v>
      </c>
      <c r="CE1051" s="1482">
        <v>45880.738530092596</v>
      </c>
    </row>
    <row r="1052" spans="1:83" x14ac:dyDescent="0.25">
      <c r="A1052">
        <v>2023</v>
      </c>
      <c r="B1052" t="s">
        <v>4</v>
      </c>
      <c r="C1052" t="s">
        <v>5659</v>
      </c>
      <c r="D1052" t="s">
        <v>5976</v>
      </c>
      <c r="E1052" t="s">
        <v>354</v>
      </c>
      <c r="F1052" t="s">
        <v>5661</v>
      </c>
      <c r="G1052" t="s">
        <v>27</v>
      </c>
      <c r="H1052" t="s">
        <v>59</v>
      </c>
      <c r="I1052">
        <v>44739</v>
      </c>
      <c r="J1052">
        <v>45177</v>
      </c>
      <c r="K1052">
        <v>45187</v>
      </c>
      <c r="L1052">
        <v>-10</v>
      </c>
      <c r="M1052" t="s">
        <v>5977</v>
      </c>
      <c r="N1052" t="s">
        <v>120</v>
      </c>
      <c r="O1052">
        <v>45231</v>
      </c>
      <c r="P1052" t="s">
        <v>739</v>
      </c>
      <c r="Q1052">
        <v>167252.5</v>
      </c>
      <c r="R1052" t="s">
        <v>1922</v>
      </c>
      <c r="S1052" t="s">
        <v>709</v>
      </c>
      <c r="T1052" t="s">
        <v>709</v>
      </c>
      <c r="U1052">
        <v>167252.5</v>
      </c>
      <c r="V1052">
        <v>608</v>
      </c>
      <c r="W1052">
        <v>0</v>
      </c>
      <c r="X1052">
        <v>1792377.31</v>
      </c>
      <c r="Z1052">
        <v>200369.4</v>
      </c>
      <c r="AA1052" t="s">
        <v>915</v>
      </c>
      <c r="AB1052">
        <v>45187</v>
      </c>
      <c r="AC1052" t="s">
        <v>745</v>
      </c>
      <c r="AD1052" t="s">
        <v>29</v>
      </c>
      <c r="AE1052" t="s">
        <v>116</v>
      </c>
      <c r="AF1052" t="s">
        <v>756</v>
      </c>
      <c r="AG1052" t="s">
        <v>116</v>
      </c>
      <c r="AH1052">
        <v>45239</v>
      </c>
      <c r="AM1052" t="s">
        <v>709</v>
      </c>
      <c r="AY1052" t="s">
        <v>29</v>
      </c>
      <c r="BA1052" t="s">
        <v>5978</v>
      </c>
      <c r="BB1052" t="s">
        <v>905</v>
      </c>
      <c r="BC1052" t="s">
        <v>116</v>
      </c>
      <c r="BD1052" t="s">
        <v>709</v>
      </c>
      <c r="BE1052" t="s">
        <v>115</v>
      </c>
      <c r="BF1052" t="s">
        <v>5979</v>
      </c>
      <c r="BG1052" t="s">
        <v>709</v>
      </c>
      <c r="BH1052" t="s">
        <v>5980</v>
      </c>
      <c r="BI1052" t="s">
        <v>116</v>
      </c>
      <c r="BJ1052" t="s">
        <v>709</v>
      </c>
      <c r="BK1052" t="s">
        <v>709</v>
      </c>
      <c r="BL1052" t="s">
        <v>116</v>
      </c>
      <c r="BM1052">
        <v>308</v>
      </c>
      <c r="BN1052" t="s">
        <v>709</v>
      </c>
      <c r="BO1052" t="s">
        <v>709</v>
      </c>
      <c r="BP1052" t="s">
        <v>709</v>
      </c>
      <c r="BQ1052">
        <v>313</v>
      </c>
      <c r="BR1052" t="s">
        <v>709</v>
      </c>
      <c r="BS1052" t="s">
        <v>709</v>
      </c>
      <c r="BT1052" t="s">
        <v>709</v>
      </c>
      <c r="BU1052" t="s">
        <v>709</v>
      </c>
      <c r="BV1052" t="s">
        <v>709</v>
      </c>
      <c r="BW1052" t="s">
        <v>709</v>
      </c>
      <c r="BX1052" t="s">
        <v>745</v>
      </c>
      <c r="BY1052" t="s">
        <v>709</v>
      </c>
      <c r="BZ1052" t="s">
        <v>709</v>
      </c>
      <c r="CB1052">
        <v>1050</v>
      </c>
      <c r="CC1052" t="b">
        <v>1</v>
      </c>
      <c r="CD1052" t="s">
        <v>5981</v>
      </c>
      <c r="CE1052" s="1482">
        <v>45880.738541666666</v>
      </c>
    </row>
    <row r="1053" spans="1:83" x14ac:dyDescent="0.25">
      <c r="A1053">
        <v>2023</v>
      </c>
      <c r="B1053" t="s">
        <v>771</v>
      </c>
      <c r="C1053" t="s">
        <v>924</v>
      </c>
      <c r="D1053" t="s">
        <v>925</v>
      </c>
      <c r="E1053" t="s">
        <v>926</v>
      </c>
      <c r="F1053" t="s">
        <v>784</v>
      </c>
      <c r="G1053" t="s">
        <v>31</v>
      </c>
      <c r="H1053" t="s">
        <v>59</v>
      </c>
      <c r="I1053">
        <v>45100</v>
      </c>
      <c r="J1053">
        <v>45190</v>
      </c>
      <c r="K1053">
        <v>45188</v>
      </c>
      <c r="L1053">
        <v>2</v>
      </c>
      <c r="N1053" t="s">
        <v>120</v>
      </c>
      <c r="O1053">
        <v>45200</v>
      </c>
      <c r="P1053" t="s">
        <v>120</v>
      </c>
      <c r="Q1053">
        <v>33379.236900000004</v>
      </c>
      <c r="R1053">
        <v>0.09</v>
      </c>
      <c r="V1053">
        <v>1867</v>
      </c>
      <c r="W1053">
        <v>0</v>
      </c>
      <c r="X1053">
        <v>356049.77</v>
      </c>
      <c r="Z1053">
        <v>14830.64</v>
      </c>
      <c r="AA1053">
        <v>370880.41</v>
      </c>
      <c r="AB1053">
        <v>45190</v>
      </c>
      <c r="AC1053" t="s">
        <v>709</v>
      </c>
      <c r="AD1053" t="s">
        <v>29</v>
      </c>
      <c r="AE1053" t="s">
        <v>756</v>
      </c>
      <c r="AF1053" t="s">
        <v>29</v>
      </c>
      <c r="AG1053" t="s">
        <v>116</v>
      </c>
      <c r="AH1053" t="s">
        <v>29</v>
      </c>
      <c r="AM1053" t="s">
        <v>116</v>
      </c>
      <c r="AN1053">
        <v>45372</v>
      </c>
      <c r="AO1053">
        <v>11070337</v>
      </c>
      <c r="AP1053">
        <v>356161.13</v>
      </c>
      <c r="AR1053">
        <v>17521.46</v>
      </c>
      <c r="AS1053">
        <v>373682.59</v>
      </c>
      <c r="AT1053">
        <v>2802.18</v>
      </c>
      <c r="AU1053">
        <v>252.1962</v>
      </c>
      <c r="AV1053">
        <v>2900</v>
      </c>
      <c r="AW1053" t="s">
        <v>5982</v>
      </c>
      <c r="AX1053">
        <v>0</v>
      </c>
      <c r="AY1053">
        <v>45566</v>
      </c>
      <c r="AZ1053">
        <v>50</v>
      </c>
      <c r="BA1053" t="s">
        <v>928</v>
      </c>
      <c r="BB1053" t="s">
        <v>929</v>
      </c>
      <c r="BH1053" t="s">
        <v>930</v>
      </c>
      <c r="BI1053" t="s">
        <v>709</v>
      </c>
      <c r="BJ1053" t="s">
        <v>709</v>
      </c>
      <c r="BK1053" t="s">
        <v>709</v>
      </c>
      <c r="BL1053" t="s">
        <v>116</v>
      </c>
      <c r="BM1053" t="s">
        <v>709</v>
      </c>
      <c r="BN1053" t="s">
        <v>709</v>
      </c>
      <c r="BO1053" t="s">
        <v>709</v>
      </c>
      <c r="BP1053" t="s">
        <v>709</v>
      </c>
      <c r="BQ1053" t="s">
        <v>709</v>
      </c>
      <c r="BR1053">
        <v>1867</v>
      </c>
      <c r="BS1053" t="s">
        <v>709</v>
      </c>
      <c r="BT1053" t="s">
        <v>709</v>
      </c>
      <c r="BU1053" t="s">
        <v>709</v>
      </c>
      <c r="BV1053" t="s">
        <v>709</v>
      </c>
      <c r="BW1053" t="s">
        <v>709</v>
      </c>
      <c r="BX1053" t="s">
        <v>745</v>
      </c>
      <c r="BY1053" t="s">
        <v>709</v>
      </c>
      <c r="BZ1053" t="s">
        <v>709</v>
      </c>
      <c r="CB1053">
        <v>1051</v>
      </c>
      <c r="CC1053" t="b">
        <v>1</v>
      </c>
      <c r="CD1053" t="s">
        <v>5983</v>
      </c>
      <c r="CE1053" s="1482">
        <v>45880.738541666666</v>
      </c>
    </row>
    <row r="1054" spans="1:83" ht="255" x14ac:dyDescent="0.25">
      <c r="A1054">
        <v>2023</v>
      </c>
      <c r="B1054" t="s">
        <v>4</v>
      </c>
      <c r="C1054" t="s">
        <v>1631</v>
      </c>
      <c r="D1054" t="s">
        <v>1632</v>
      </c>
      <c r="E1054" t="s">
        <v>1633</v>
      </c>
      <c r="F1054" t="s">
        <v>784</v>
      </c>
      <c r="G1054" t="s">
        <v>25</v>
      </c>
      <c r="H1054" t="s">
        <v>59</v>
      </c>
      <c r="I1054">
        <v>44966</v>
      </c>
      <c r="J1054">
        <v>45191</v>
      </c>
      <c r="K1054">
        <v>45188</v>
      </c>
      <c r="L1054">
        <v>3</v>
      </c>
      <c r="N1054" t="s">
        <v>120</v>
      </c>
      <c r="O1054">
        <v>45200</v>
      </c>
      <c r="P1054" t="s">
        <v>739</v>
      </c>
      <c r="Q1054">
        <v>70945.646999999997</v>
      </c>
      <c r="R1054">
        <v>0.1</v>
      </c>
      <c r="V1054">
        <v>2830</v>
      </c>
      <c r="W1054">
        <v>0</v>
      </c>
      <c r="X1054">
        <v>680056.27</v>
      </c>
      <c r="Z1054">
        <v>29400.2</v>
      </c>
      <c r="AA1054">
        <v>709456.47</v>
      </c>
      <c r="AB1054">
        <v>45175</v>
      </c>
      <c r="AC1054" t="s">
        <v>709</v>
      </c>
      <c r="AD1054" t="s">
        <v>29</v>
      </c>
      <c r="AE1054" t="s">
        <v>756</v>
      </c>
      <c r="AF1054" t="s">
        <v>756</v>
      </c>
      <c r="AG1054" t="s">
        <v>116</v>
      </c>
      <c r="AH1054">
        <v>45222</v>
      </c>
      <c r="AM1054" t="s">
        <v>116</v>
      </c>
      <c r="AN1054" t="s">
        <v>709</v>
      </c>
      <c r="AS1054">
        <v>0</v>
      </c>
      <c r="AT1054">
        <v>0</v>
      </c>
      <c r="AU1054">
        <v>0</v>
      </c>
      <c r="AY1054" t="s">
        <v>709</v>
      </c>
      <c r="AZ1054">
        <v>100</v>
      </c>
      <c r="BA1054" s="4" t="s">
        <v>1634</v>
      </c>
      <c r="BB1054" t="s">
        <v>1635</v>
      </c>
      <c r="BC1054" t="s">
        <v>709</v>
      </c>
      <c r="BD1054" t="s">
        <v>788</v>
      </c>
      <c r="BE1054" t="s">
        <v>1636</v>
      </c>
      <c r="BF1054" t="s">
        <v>709</v>
      </c>
      <c r="BG1054" t="s">
        <v>709</v>
      </c>
      <c r="BH1054" t="s">
        <v>1637</v>
      </c>
      <c r="BI1054" t="s">
        <v>709</v>
      </c>
      <c r="BJ1054" t="s">
        <v>709</v>
      </c>
      <c r="BK1054" t="s">
        <v>709</v>
      </c>
      <c r="BL1054" t="s">
        <v>116</v>
      </c>
      <c r="BM1054" t="s">
        <v>709</v>
      </c>
      <c r="BN1054" t="s">
        <v>709</v>
      </c>
      <c r="BO1054" t="s">
        <v>709</v>
      </c>
      <c r="BP1054" t="s">
        <v>709</v>
      </c>
      <c r="BQ1054" t="s">
        <v>709</v>
      </c>
      <c r="BR1054">
        <v>1359</v>
      </c>
      <c r="BS1054">
        <v>1473</v>
      </c>
      <c r="BT1054" t="s">
        <v>709</v>
      </c>
      <c r="BU1054" t="s">
        <v>709</v>
      </c>
      <c r="BV1054" t="s">
        <v>745</v>
      </c>
      <c r="BW1054" t="s">
        <v>709</v>
      </c>
      <c r="BX1054" t="s">
        <v>709</v>
      </c>
      <c r="BY1054" t="s">
        <v>709</v>
      </c>
      <c r="BZ1054" t="s">
        <v>709</v>
      </c>
      <c r="CB1054">
        <v>1052</v>
      </c>
      <c r="CC1054" t="b">
        <v>1</v>
      </c>
      <c r="CD1054" t="s">
        <v>5984</v>
      </c>
      <c r="CE1054" s="1482">
        <v>45880.738553240742</v>
      </c>
    </row>
    <row r="1055" spans="1:83" x14ac:dyDescent="0.25">
      <c r="A1055">
        <v>2022</v>
      </c>
      <c r="B1055" t="s">
        <v>771</v>
      </c>
      <c r="C1055" t="s">
        <v>772</v>
      </c>
      <c r="D1055">
        <v>1410797</v>
      </c>
      <c r="E1055" t="s">
        <v>774</v>
      </c>
      <c r="F1055" t="s">
        <v>747</v>
      </c>
      <c r="G1055" t="s">
        <v>219</v>
      </c>
      <c r="H1055" t="s">
        <v>4189</v>
      </c>
      <c r="I1055">
        <v>44895</v>
      </c>
      <c r="J1055" t="s">
        <v>2052</v>
      </c>
      <c r="K1055">
        <v>45189</v>
      </c>
      <c r="L1055">
        <v>294</v>
      </c>
      <c r="M1055" t="s">
        <v>5985</v>
      </c>
      <c r="N1055" t="s">
        <v>120</v>
      </c>
      <c r="O1055">
        <v>45200</v>
      </c>
      <c r="P1055" t="s">
        <v>120</v>
      </c>
      <c r="Q1055">
        <v>4632.5</v>
      </c>
      <c r="R1055" t="s">
        <v>1922</v>
      </c>
      <c r="S1055">
        <v>0</v>
      </c>
      <c r="T1055" t="s">
        <v>709</v>
      </c>
      <c r="U1055">
        <v>4632.5</v>
      </c>
      <c r="V1055">
        <v>0</v>
      </c>
      <c r="W1055">
        <v>0</v>
      </c>
      <c r="AB1055" t="s">
        <v>29</v>
      </c>
      <c r="AC1055" t="s">
        <v>709</v>
      </c>
      <c r="AD1055" t="s">
        <v>116</v>
      </c>
      <c r="AE1055" t="s">
        <v>756</v>
      </c>
      <c r="AF1055" t="s">
        <v>116</v>
      </c>
      <c r="AG1055" t="s">
        <v>29</v>
      </c>
      <c r="AH1055" t="s">
        <v>376</v>
      </c>
      <c r="AM1055" t="s">
        <v>709</v>
      </c>
      <c r="AY1055" t="s">
        <v>29</v>
      </c>
      <c r="BA1055">
        <v>2</v>
      </c>
      <c r="BB1055" t="s">
        <v>709</v>
      </c>
      <c r="BI1055" t="s">
        <v>709</v>
      </c>
      <c r="BJ1055" t="s">
        <v>709</v>
      </c>
      <c r="BK1055" t="s">
        <v>116</v>
      </c>
      <c r="BL1055" t="s">
        <v>116</v>
      </c>
      <c r="BM1055" t="s">
        <v>709</v>
      </c>
      <c r="BN1055" t="s">
        <v>709</v>
      </c>
      <c r="BO1055" t="s">
        <v>709</v>
      </c>
      <c r="BP1055">
        <v>3435</v>
      </c>
      <c r="BQ1055">
        <v>10</v>
      </c>
      <c r="BR1055" t="s">
        <v>709</v>
      </c>
      <c r="BS1055">
        <v>480</v>
      </c>
      <c r="BT1055" t="s">
        <v>709</v>
      </c>
      <c r="BU1055" t="s">
        <v>709</v>
      </c>
      <c r="BV1055" t="s">
        <v>709</v>
      </c>
      <c r="BW1055" t="s">
        <v>709</v>
      </c>
      <c r="BX1055" t="s">
        <v>745</v>
      </c>
      <c r="BY1055" t="s">
        <v>709</v>
      </c>
      <c r="BZ1055" t="s">
        <v>709</v>
      </c>
      <c r="CB1055">
        <v>1054</v>
      </c>
      <c r="CC1055" t="b">
        <v>1</v>
      </c>
      <c r="CD1055" t="s">
        <v>5986</v>
      </c>
      <c r="CE1055" s="1482">
        <v>45880.738553240742</v>
      </c>
    </row>
    <row r="1056" spans="1:83" x14ac:dyDescent="0.25">
      <c r="A1056">
        <v>2023</v>
      </c>
      <c r="B1056" t="s">
        <v>1205</v>
      </c>
      <c r="C1056" t="s">
        <v>409</v>
      </c>
      <c r="D1056">
        <v>1412200</v>
      </c>
      <c r="E1056" t="s">
        <v>141</v>
      </c>
      <c r="F1056" t="s">
        <v>747</v>
      </c>
      <c r="G1056" t="s">
        <v>219</v>
      </c>
      <c r="H1056" t="s">
        <v>3178</v>
      </c>
      <c r="I1056">
        <v>45071</v>
      </c>
      <c r="J1056" t="s">
        <v>2052</v>
      </c>
      <c r="K1056">
        <v>45189</v>
      </c>
      <c r="L1056">
        <v>118</v>
      </c>
      <c r="M1056" t="s">
        <v>5987</v>
      </c>
      <c r="N1056" t="s">
        <v>120</v>
      </c>
      <c r="O1056">
        <v>45200</v>
      </c>
      <c r="P1056" t="s">
        <v>120</v>
      </c>
      <c r="Q1056">
        <v>23040</v>
      </c>
      <c r="R1056" t="s">
        <v>1922</v>
      </c>
      <c r="S1056">
        <v>0</v>
      </c>
      <c r="T1056" t="s">
        <v>709</v>
      </c>
      <c r="U1056">
        <v>23040</v>
      </c>
      <c r="V1056">
        <v>0</v>
      </c>
      <c r="W1056">
        <v>0</v>
      </c>
      <c r="AB1056" t="s">
        <v>29</v>
      </c>
      <c r="AC1056" t="s">
        <v>709</v>
      </c>
      <c r="AD1056" t="s">
        <v>116</v>
      </c>
      <c r="AE1056" t="s">
        <v>756</v>
      </c>
      <c r="AF1056" t="s">
        <v>116</v>
      </c>
      <c r="AG1056" t="s">
        <v>29</v>
      </c>
      <c r="AH1056" t="s">
        <v>376</v>
      </c>
      <c r="AM1056" t="s">
        <v>709</v>
      </c>
      <c r="AY1056" t="s">
        <v>29</v>
      </c>
      <c r="BA1056">
        <v>2</v>
      </c>
      <c r="BB1056" t="s">
        <v>709</v>
      </c>
      <c r="BI1056" t="s">
        <v>709</v>
      </c>
      <c r="BJ1056" t="s">
        <v>709</v>
      </c>
      <c r="BK1056" t="s">
        <v>709</v>
      </c>
      <c r="BL1056" t="s">
        <v>116</v>
      </c>
      <c r="BM1056" t="s">
        <v>709</v>
      </c>
      <c r="BN1056" t="s">
        <v>709</v>
      </c>
      <c r="BO1056" t="s">
        <v>709</v>
      </c>
      <c r="BP1056">
        <v>463</v>
      </c>
      <c r="BQ1056" t="s">
        <v>709</v>
      </c>
      <c r="BR1056" t="s">
        <v>709</v>
      </c>
      <c r="BS1056" t="s">
        <v>709</v>
      </c>
      <c r="BT1056" t="s">
        <v>709</v>
      </c>
      <c r="BU1056" t="s">
        <v>709</v>
      </c>
      <c r="BV1056" t="s">
        <v>709</v>
      </c>
      <c r="BW1056" t="s">
        <v>709</v>
      </c>
      <c r="BX1056" t="s">
        <v>745</v>
      </c>
      <c r="BY1056" t="s">
        <v>709</v>
      </c>
      <c r="BZ1056" t="s">
        <v>709</v>
      </c>
      <c r="CB1056">
        <v>1053</v>
      </c>
      <c r="CC1056" t="b">
        <v>1</v>
      </c>
      <c r="CD1056" t="s">
        <v>5988</v>
      </c>
      <c r="CE1056" s="1482">
        <v>45880.738553240742</v>
      </c>
    </row>
    <row r="1057" spans="1:83" x14ac:dyDescent="0.25">
      <c r="A1057">
        <v>2023</v>
      </c>
      <c r="B1057" t="s">
        <v>4</v>
      </c>
      <c r="C1057" t="s">
        <v>5759</v>
      </c>
      <c r="D1057" t="s">
        <v>5760</v>
      </c>
      <c r="E1057" t="s">
        <v>232</v>
      </c>
      <c r="F1057" t="s">
        <v>747</v>
      </c>
      <c r="G1057" t="s">
        <v>28</v>
      </c>
      <c r="H1057" t="s">
        <v>4001</v>
      </c>
      <c r="I1057">
        <v>45169</v>
      </c>
      <c r="J1057" t="s">
        <v>2052</v>
      </c>
      <c r="K1057">
        <v>45189</v>
      </c>
      <c r="L1057">
        <v>20</v>
      </c>
      <c r="M1057" t="s">
        <v>5989</v>
      </c>
      <c r="N1057" t="s">
        <v>120</v>
      </c>
      <c r="O1057">
        <v>45200</v>
      </c>
      <c r="P1057" t="s">
        <v>739</v>
      </c>
      <c r="Q1057">
        <v>6225</v>
      </c>
      <c r="R1057" t="s">
        <v>1922</v>
      </c>
      <c r="S1057">
        <v>0</v>
      </c>
      <c r="T1057" t="s">
        <v>709</v>
      </c>
      <c r="U1057">
        <v>6225</v>
      </c>
      <c r="V1057">
        <v>5293</v>
      </c>
      <c r="W1057">
        <v>0</v>
      </c>
      <c r="AB1057" t="s">
        <v>29</v>
      </c>
      <c r="AC1057" t="s">
        <v>29</v>
      </c>
      <c r="AD1057" t="s">
        <v>29</v>
      </c>
      <c r="AE1057" t="s">
        <v>116</v>
      </c>
      <c r="AF1057" t="s">
        <v>116</v>
      </c>
      <c r="AG1057" t="s">
        <v>29</v>
      </c>
      <c r="AH1057">
        <v>45222</v>
      </c>
      <c r="AM1057" t="s">
        <v>709</v>
      </c>
      <c r="AY1057" t="s">
        <v>29</v>
      </c>
      <c r="BA1057">
        <v>3</v>
      </c>
      <c r="BB1057" t="s">
        <v>5990</v>
      </c>
      <c r="BC1057" t="s">
        <v>116</v>
      </c>
      <c r="BD1057" t="s">
        <v>837</v>
      </c>
      <c r="BE1057" t="s">
        <v>595</v>
      </c>
      <c r="BF1057" t="s">
        <v>745</v>
      </c>
      <c r="BG1057" t="s">
        <v>709</v>
      </c>
      <c r="BH1057" t="s">
        <v>5991</v>
      </c>
      <c r="BI1057" t="s">
        <v>709</v>
      </c>
      <c r="BJ1057" t="s">
        <v>709</v>
      </c>
      <c r="BK1057" t="s">
        <v>709</v>
      </c>
      <c r="BL1057" t="s">
        <v>116</v>
      </c>
      <c r="BM1057" t="s">
        <v>709</v>
      </c>
      <c r="BN1057" t="s">
        <v>709</v>
      </c>
      <c r="BO1057" t="s">
        <v>709</v>
      </c>
      <c r="BP1057" t="s">
        <v>709</v>
      </c>
      <c r="BQ1057" t="s">
        <v>709</v>
      </c>
      <c r="BR1057">
        <v>4989</v>
      </c>
      <c r="BS1057">
        <v>304</v>
      </c>
      <c r="BT1057" t="s">
        <v>709</v>
      </c>
      <c r="BU1057" t="s">
        <v>709</v>
      </c>
      <c r="BV1057" t="s">
        <v>709</v>
      </c>
      <c r="BW1057" t="s">
        <v>709</v>
      </c>
      <c r="BX1057" t="s">
        <v>745</v>
      </c>
      <c r="BY1057" t="s">
        <v>709</v>
      </c>
      <c r="BZ1057" t="s">
        <v>709</v>
      </c>
      <c r="CA1057" t="s">
        <v>915</v>
      </c>
      <c r="CB1057">
        <v>1055</v>
      </c>
      <c r="CC1057" t="b">
        <v>1</v>
      </c>
      <c r="CD1057" t="s">
        <v>5992</v>
      </c>
      <c r="CE1057" s="1482">
        <v>45880.738553240742</v>
      </c>
    </row>
    <row r="1058" spans="1:83" x14ac:dyDescent="0.25">
      <c r="A1058">
        <v>2022</v>
      </c>
      <c r="B1058" t="s">
        <v>1981</v>
      </c>
      <c r="C1058" t="s">
        <v>2572</v>
      </c>
      <c r="D1058">
        <v>1013300080007</v>
      </c>
      <c r="E1058" t="s">
        <v>426</v>
      </c>
      <c r="F1058" t="s">
        <v>747</v>
      </c>
      <c r="G1058" t="s">
        <v>5754</v>
      </c>
      <c r="H1058" t="s">
        <v>2723</v>
      </c>
      <c r="I1058">
        <v>44894</v>
      </c>
      <c r="J1058" t="s">
        <v>2724</v>
      </c>
      <c r="K1058">
        <v>45190</v>
      </c>
      <c r="L1058">
        <v>296</v>
      </c>
      <c r="M1058" t="s">
        <v>5993</v>
      </c>
      <c r="N1058" t="s">
        <v>120</v>
      </c>
      <c r="O1058">
        <v>45200</v>
      </c>
      <c r="P1058" t="s">
        <v>739</v>
      </c>
      <c r="Q1058">
        <v>10460</v>
      </c>
      <c r="R1058" t="s">
        <v>1922</v>
      </c>
      <c r="U1058">
        <v>10460</v>
      </c>
      <c r="V1058" t="s">
        <v>29</v>
      </c>
      <c r="W1058" t="s">
        <v>29</v>
      </c>
      <c r="AM1058" t="s">
        <v>709</v>
      </c>
      <c r="AY1058" t="s">
        <v>29</v>
      </c>
      <c r="BA1058">
        <v>2</v>
      </c>
      <c r="BB1058" t="s">
        <v>709</v>
      </c>
      <c r="BI1058" t="s">
        <v>709</v>
      </c>
      <c r="BJ1058" t="s">
        <v>709</v>
      </c>
      <c r="BK1058" t="s">
        <v>709</v>
      </c>
      <c r="BL1058" t="s">
        <v>709</v>
      </c>
      <c r="BM1058">
        <v>0</v>
      </c>
      <c r="BN1058">
        <v>0</v>
      </c>
      <c r="BO1058">
        <v>0</v>
      </c>
      <c r="BP1058">
        <v>0</v>
      </c>
      <c r="BQ1058">
        <v>0</v>
      </c>
      <c r="BR1058">
        <v>0</v>
      </c>
      <c r="BS1058">
        <v>0</v>
      </c>
      <c r="BT1058">
        <v>0</v>
      </c>
      <c r="BU1058">
        <v>0</v>
      </c>
      <c r="BV1058">
        <v>0</v>
      </c>
      <c r="BW1058">
        <v>0</v>
      </c>
      <c r="BX1058">
        <v>0</v>
      </c>
      <c r="BY1058">
        <v>0</v>
      </c>
      <c r="BZ1058" t="s">
        <v>709</v>
      </c>
      <c r="CA1058" t="s">
        <v>2531</v>
      </c>
      <c r="CB1058">
        <v>1057</v>
      </c>
      <c r="CC1058" t="b">
        <v>1</v>
      </c>
      <c r="CD1058" t="s">
        <v>5994</v>
      </c>
      <c r="CE1058" s="1482">
        <v>45880.738564814812</v>
      </c>
    </row>
    <row r="1059" spans="1:83" x14ac:dyDescent="0.25">
      <c r="A1059">
        <v>2023</v>
      </c>
      <c r="B1059" t="s">
        <v>1073</v>
      </c>
      <c r="C1059" t="s">
        <v>544</v>
      </c>
      <c r="D1059">
        <v>1612421</v>
      </c>
      <c r="E1059" t="s">
        <v>1492</v>
      </c>
      <c r="F1059" t="s">
        <v>784</v>
      </c>
      <c r="G1059" t="s">
        <v>31</v>
      </c>
      <c r="H1059" t="s">
        <v>3178</v>
      </c>
      <c r="I1059">
        <v>45182</v>
      </c>
      <c r="J1059" t="s">
        <v>2052</v>
      </c>
      <c r="K1059">
        <v>45190</v>
      </c>
      <c r="L1059">
        <v>8</v>
      </c>
      <c r="M1059" t="s">
        <v>5995</v>
      </c>
      <c r="N1059" t="s">
        <v>120</v>
      </c>
      <c r="O1059">
        <v>45200</v>
      </c>
      <c r="P1059" t="s">
        <v>739</v>
      </c>
      <c r="Q1059">
        <v>1882.5</v>
      </c>
      <c r="R1059" t="s">
        <v>1922</v>
      </c>
      <c r="S1059">
        <v>0</v>
      </c>
      <c r="T1059" t="s">
        <v>709</v>
      </c>
      <c r="U1059">
        <v>1882.5</v>
      </c>
      <c r="V1059">
        <v>0</v>
      </c>
      <c r="W1059">
        <v>0</v>
      </c>
      <c r="AB1059" t="s">
        <v>29</v>
      </c>
      <c r="AC1059" t="s">
        <v>709</v>
      </c>
      <c r="AD1059" t="s">
        <v>29</v>
      </c>
      <c r="AE1059" t="s">
        <v>29</v>
      </c>
      <c r="AF1059" t="s">
        <v>116</v>
      </c>
      <c r="AG1059" t="s">
        <v>29</v>
      </c>
      <c r="AH1059" t="s">
        <v>29</v>
      </c>
      <c r="AM1059" t="s">
        <v>709</v>
      </c>
      <c r="AY1059" t="s">
        <v>29</v>
      </c>
      <c r="BA1059">
        <v>8</v>
      </c>
      <c r="BB1059" t="s">
        <v>745</v>
      </c>
      <c r="BI1059" t="s">
        <v>709</v>
      </c>
      <c r="BJ1059" t="s">
        <v>116</v>
      </c>
      <c r="BK1059" t="s">
        <v>709</v>
      </c>
      <c r="BL1059" t="s">
        <v>116</v>
      </c>
      <c r="BM1059" t="s">
        <v>709</v>
      </c>
      <c r="BN1059" t="s">
        <v>709</v>
      </c>
      <c r="BO1059" t="s">
        <v>709</v>
      </c>
      <c r="BP1059">
        <v>4800</v>
      </c>
      <c r="BQ1059">
        <v>2447</v>
      </c>
      <c r="BR1059">
        <v>45</v>
      </c>
      <c r="BS1059">
        <v>5</v>
      </c>
      <c r="BT1059">
        <v>1</v>
      </c>
      <c r="BU1059" t="s">
        <v>709</v>
      </c>
      <c r="BV1059" t="s">
        <v>709</v>
      </c>
      <c r="BW1059" t="s">
        <v>709</v>
      </c>
      <c r="BX1059">
        <v>1</v>
      </c>
      <c r="BY1059" t="s">
        <v>709</v>
      </c>
      <c r="BZ1059" t="s">
        <v>709</v>
      </c>
      <c r="CB1059">
        <v>1056</v>
      </c>
      <c r="CC1059" t="b">
        <v>1</v>
      </c>
      <c r="CD1059" t="s">
        <v>5996</v>
      </c>
      <c r="CE1059" s="1482">
        <v>45880.738564814812</v>
      </c>
    </row>
    <row r="1060" spans="1:83" x14ac:dyDescent="0.25">
      <c r="A1060">
        <v>2024</v>
      </c>
      <c r="B1060" t="s">
        <v>730</v>
      </c>
      <c r="C1060" t="s">
        <v>1638</v>
      </c>
      <c r="D1060" t="s">
        <v>1639</v>
      </c>
      <c r="E1060" t="s">
        <v>232</v>
      </c>
      <c r="F1060" t="s">
        <v>752</v>
      </c>
      <c r="G1060" t="s">
        <v>37</v>
      </c>
      <c r="H1060" t="s">
        <v>59</v>
      </c>
      <c r="I1060">
        <v>45089</v>
      </c>
      <c r="J1060">
        <v>45211</v>
      </c>
      <c r="K1060">
        <v>45194</v>
      </c>
      <c r="L1060">
        <v>17</v>
      </c>
      <c r="N1060" t="s">
        <v>120</v>
      </c>
      <c r="O1060">
        <v>45231</v>
      </c>
      <c r="P1060" t="s">
        <v>120</v>
      </c>
      <c r="Q1060">
        <v>124640.64629999999</v>
      </c>
      <c r="R1060">
        <v>0.09</v>
      </c>
      <c r="V1060">
        <v>3831</v>
      </c>
      <c r="W1060">
        <v>0</v>
      </c>
      <c r="X1060">
        <v>1261547.47</v>
      </c>
      <c r="Z1060">
        <v>123348.6</v>
      </c>
      <c r="AA1060">
        <v>1384896.07</v>
      </c>
      <c r="AB1060">
        <v>45194</v>
      </c>
      <c r="AC1060" t="s">
        <v>709</v>
      </c>
      <c r="AD1060" t="s">
        <v>29</v>
      </c>
      <c r="AE1060" t="s">
        <v>116</v>
      </c>
      <c r="AF1060" t="s">
        <v>756</v>
      </c>
      <c r="AG1060" t="s">
        <v>116</v>
      </c>
      <c r="AH1060" t="s">
        <v>116</v>
      </c>
      <c r="AM1060" t="s">
        <v>116</v>
      </c>
      <c r="AN1060" t="s">
        <v>709</v>
      </c>
      <c r="AS1060">
        <v>0</v>
      </c>
      <c r="AT1060">
        <v>0</v>
      </c>
      <c r="AU1060">
        <v>0</v>
      </c>
      <c r="AY1060" t="s">
        <v>709</v>
      </c>
      <c r="AZ1060">
        <v>51</v>
      </c>
      <c r="BA1060" t="s">
        <v>1640</v>
      </c>
      <c r="BB1060" t="s">
        <v>1641</v>
      </c>
      <c r="BC1060" t="s">
        <v>756</v>
      </c>
      <c r="BD1060" t="s">
        <v>115</v>
      </c>
      <c r="BE1060" t="s">
        <v>595</v>
      </c>
      <c r="BF1060" t="s">
        <v>115</v>
      </c>
      <c r="BH1060" t="s">
        <v>5997</v>
      </c>
      <c r="BI1060" t="s">
        <v>709</v>
      </c>
      <c r="BJ1060" t="s">
        <v>709</v>
      </c>
      <c r="BK1060" t="s">
        <v>709</v>
      </c>
      <c r="BL1060" t="s">
        <v>116</v>
      </c>
      <c r="BM1060" t="s">
        <v>709</v>
      </c>
      <c r="BN1060" t="s">
        <v>709</v>
      </c>
      <c r="BO1060" t="s">
        <v>709</v>
      </c>
      <c r="BP1060" t="s">
        <v>709</v>
      </c>
      <c r="BQ1060" t="s">
        <v>709</v>
      </c>
      <c r="BR1060">
        <v>3831</v>
      </c>
      <c r="BS1060" t="s">
        <v>709</v>
      </c>
      <c r="BT1060" t="s">
        <v>709</v>
      </c>
      <c r="BU1060" t="s">
        <v>709</v>
      </c>
      <c r="BV1060" t="s">
        <v>709</v>
      </c>
      <c r="BW1060" t="s">
        <v>709</v>
      </c>
      <c r="BX1060">
        <v>1</v>
      </c>
      <c r="BY1060" t="s">
        <v>709</v>
      </c>
      <c r="BZ1060" t="s">
        <v>709</v>
      </c>
      <c r="CB1060">
        <v>1058</v>
      </c>
      <c r="CC1060" t="b">
        <v>1</v>
      </c>
      <c r="CD1060" t="s">
        <v>5998</v>
      </c>
      <c r="CE1060" s="1482">
        <v>45880.738564814812</v>
      </c>
    </row>
    <row r="1061" spans="1:83" x14ac:dyDescent="0.25">
      <c r="A1061">
        <v>2023</v>
      </c>
      <c r="B1061" t="s">
        <v>1205</v>
      </c>
      <c r="C1061" t="s">
        <v>580</v>
      </c>
      <c r="D1061">
        <v>1212584</v>
      </c>
      <c r="E1061" t="s">
        <v>1529</v>
      </c>
      <c r="F1061" t="s">
        <v>784</v>
      </c>
      <c r="G1061" t="s">
        <v>5754</v>
      </c>
      <c r="H1061" t="s">
        <v>4189</v>
      </c>
      <c r="I1061">
        <v>45195</v>
      </c>
      <c r="J1061" t="s">
        <v>2052</v>
      </c>
      <c r="K1061">
        <v>45198</v>
      </c>
      <c r="L1061">
        <v>3</v>
      </c>
      <c r="M1061" t="s">
        <v>5999</v>
      </c>
      <c r="N1061" t="s">
        <v>120</v>
      </c>
      <c r="O1061">
        <v>45200</v>
      </c>
      <c r="P1061" t="s">
        <v>120</v>
      </c>
      <c r="Q1061">
        <v>4645</v>
      </c>
      <c r="R1061" t="s">
        <v>1922</v>
      </c>
      <c r="S1061">
        <v>0</v>
      </c>
      <c r="T1061">
        <v>0</v>
      </c>
      <c r="U1061">
        <v>4645</v>
      </c>
      <c r="V1061">
        <v>16409</v>
      </c>
      <c r="W1061">
        <v>0</v>
      </c>
      <c r="AB1061" t="s">
        <v>29</v>
      </c>
      <c r="AC1061" t="s">
        <v>709</v>
      </c>
      <c r="AD1061" t="s">
        <v>116</v>
      </c>
      <c r="AE1061" t="s">
        <v>709</v>
      </c>
      <c r="AF1061" t="s">
        <v>116</v>
      </c>
      <c r="AG1061" t="s">
        <v>29</v>
      </c>
      <c r="AH1061" t="s">
        <v>29</v>
      </c>
      <c r="AM1061" t="s">
        <v>709</v>
      </c>
      <c r="AY1061" t="s">
        <v>29</v>
      </c>
      <c r="BA1061">
        <v>3</v>
      </c>
      <c r="BB1061" t="s">
        <v>116</v>
      </c>
      <c r="BD1061" t="s">
        <v>882</v>
      </c>
      <c r="BI1061" t="s">
        <v>709</v>
      </c>
      <c r="BJ1061" t="s">
        <v>709</v>
      </c>
      <c r="BK1061" t="s">
        <v>709</v>
      </c>
      <c r="BL1061" t="s">
        <v>116</v>
      </c>
      <c r="BM1061">
        <v>0</v>
      </c>
      <c r="BN1061">
        <v>0</v>
      </c>
      <c r="BO1061">
        <v>0</v>
      </c>
      <c r="BP1061">
        <v>3073</v>
      </c>
      <c r="BQ1061">
        <v>1001</v>
      </c>
      <c r="BR1061">
        <v>1733</v>
      </c>
      <c r="BS1061">
        <v>10602</v>
      </c>
      <c r="BT1061">
        <v>0</v>
      </c>
      <c r="BU1061">
        <v>0</v>
      </c>
      <c r="BV1061">
        <v>0</v>
      </c>
      <c r="BW1061">
        <v>0</v>
      </c>
      <c r="BX1061">
        <v>0</v>
      </c>
      <c r="BY1061">
        <v>0</v>
      </c>
      <c r="BZ1061" t="s">
        <v>709</v>
      </c>
      <c r="CB1061">
        <v>1060</v>
      </c>
      <c r="CC1061" t="b">
        <v>1</v>
      </c>
      <c r="CD1061" t="s">
        <v>6000</v>
      </c>
      <c r="CE1061" s="1482">
        <v>45880.738564814812</v>
      </c>
    </row>
    <row r="1062" spans="1:83" ht="409.5" x14ac:dyDescent="0.25">
      <c r="A1062">
        <v>2024</v>
      </c>
      <c r="B1062" t="s">
        <v>1205</v>
      </c>
      <c r="C1062" t="s">
        <v>6001</v>
      </c>
      <c r="D1062" t="s">
        <v>6002</v>
      </c>
      <c r="E1062" t="s">
        <v>108</v>
      </c>
      <c r="F1062" t="s">
        <v>784</v>
      </c>
      <c r="G1062" t="s">
        <v>32</v>
      </c>
      <c r="H1062" t="s">
        <v>59</v>
      </c>
      <c r="I1062">
        <v>45153</v>
      </c>
      <c r="J1062">
        <v>45212</v>
      </c>
      <c r="K1062">
        <v>45198</v>
      </c>
      <c r="L1062">
        <v>14</v>
      </c>
      <c r="N1062" t="s">
        <v>120</v>
      </c>
      <c r="O1062">
        <v>45200</v>
      </c>
      <c r="P1062" t="s">
        <v>120</v>
      </c>
      <c r="Q1062">
        <v>63075.036599999999</v>
      </c>
      <c r="R1062">
        <v>0.09</v>
      </c>
      <c r="V1062">
        <v>1508</v>
      </c>
      <c r="X1062">
        <v>645130.21</v>
      </c>
      <c r="Z1062">
        <v>55703.53</v>
      </c>
      <c r="AA1062">
        <v>700833.74</v>
      </c>
      <c r="AB1062">
        <v>45202</v>
      </c>
      <c r="AC1062" t="s">
        <v>709</v>
      </c>
      <c r="AD1062" t="s">
        <v>116</v>
      </c>
      <c r="AE1062" t="s">
        <v>29</v>
      </c>
      <c r="AF1062" t="s">
        <v>29</v>
      </c>
      <c r="AG1062" t="s">
        <v>29</v>
      </c>
      <c r="AH1062" t="s">
        <v>29</v>
      </c>
      <c r="AM1062" t="s">
        <v>116</v>
      </c>
      <c r="AN1062">
        <v>45245</v>
      </c>
      <c r="AO1062">
        <v>11074363</v>
      </c>
      <c r="AP1062">
        <v>645129.91</v>
      </c>
      <c r="AR1062">
        <v>55703.53</v>
      </c>
      <c r="AS1062">
        <v>700833.44</v>
      </c>
      <c r="AT1062">
        <v>-0.3</v>
      </c>
      <c r="AU1062">
        <v>-2.7E-2</v>
      </c>
      <c r="AV1062">
        <v>3795</v>
      </c>
      <c r="AW1062" s="4" t="s">
        <v>6003</v>
      </c>
      <c r="AX1062">
        <v>0</v>
      </c>
      <c r="AY1062">
        <v>45352</v>
      </c>
      <c r="BA1062" s="4" t="s">
        <v>6004</v>
      </c>
      <c r="BB1062" t="s">
        <v>6005</v>
      </c>
      <c r="BH1062" t="s">
        <v>6006</v>
      </c>
      <c r="BI1062" t="s">
        <v>709</v>
      </c>
      <c r="BJ1062" t="s">
        <v>709</v>
      </c>
      <c r="BK1062" t="s">
        <v>709</v>
      </c>
      <c r="BL1062" t="s">
        <v>116</v>
      </c>
      <c r="BM1062">
        <v>0</v>
      </c>
      <c r="BN1062">
        <v>0</v>
      </c>
      <c r="BO1062">
        <v>0</v>
      </c>
      <c r="BP1062">
        <v>0</v>
      </c>
      <c r="BQ1062">
        <v>1327</v>
      </c>
      <c r="BR1062">
        <v>141</v>
      </c>
      <c r="BS1062">
        <v>40</v>
      </c>
      <c r="BT1062">
        <v>0</v>
      </c>
      <c r="BU1062">
        <v>0</v>
      </c>
      <c r="BV1062">
        <v>0</v>
      </c>
      <c r="BW1062">
        <v>0</v>
      </c>
      <c r="BX1062">
        <v>0</v>
      </c>
      <c r="BY1062">
        <v>0</v>
      </c>
      <c r="BZ1062" t="s">
        <v>709</v>
      </c>
      <c r="CB1062">
        <v>1059</v>
      </c>
      <c r="CC1062" t="b">
        <v>1</v>
      </c>
      <c r="CD1062" t="s">
        <v>6007</v>
      </c>
      <c r="CE1062" s="1482">
        <v>45880.738576388889</v>
      </c>
    </row>
    <row r="1063" spans="1:83" x14ac:dyDescent="0.25">
      <c r="A1063">
        <v>2023</v>
      </c>
      <c r="B1063" t="s">
        <v>1205</v>
      </c>
      <c r="C1063" t="s">
        <v>587</v>
      </c>
      <c r="D1063">
        <v>1212818</v>
      </c>
      <c r="E1063" t="s">
        <v>354</v>
      </c>
      <c r="F1063" t="s">
        <v>784</v>
      </c>
      <c r="G1063" t="s">
        <v>23</v>
      </c>
      <c r="H1063" t="s">
        <v>2723</v>
      </c>
      <c r="I1063">
        <v>45180</v>
      </c>
      <c r="J1063" t="s">
        <v>2724</v>
      </c>
      <c r="K1063">
        <v>45202</v>
      </c>
      <c r="L1063">
        <v>22</v>
      </c>
      <c r="M1063" t="s">
        <v>6008</v>
      </c>
      <c r="N1063" t="s">
        <v>120</v>
      </c>
      <c r="O1063">
        <v>45200</v>
      </c>
      <c r="P1063" t="s">
        <v>739</v>
      </c>
      <c r="Q1063">
        <v>3162.5</v>
      </c>
      <c r="R1063" t="s">
        <v>1922</v>
      </c>
      <c r="S1063">
        <v>0</v>
      </c>
      <c r="T1063">
        <v>0</v>
      </c>
      <c r="U1063">
        <v>3162.5</v>
      </c>
      <c r="V1063">
        <v>437</v>
      </c>
      <c r="W1063">
        <v>0</v>
      </c>
      <c r="AB1063" t="s">
        <v>29</v>
      </c>
      <c r="AC1063" t="s">
        <v>29</v>
      </c>
      <c r="AD1063" t="s">
        <v>29</v>
      </c>
      <c r="AE1063" t="s">
        <v>116</v>
      </c>
      <c r="AF1063" t="s">
        <v>756</v>
      </c>
      <c r="AG1063" t="s">
        <v>29</v>
      </c>
      <c r="AH1063" t="s">
        <v>29</v>
      </c>
      <c r="AM1063" t="s">
        <v>709</v>
      </c>
      <c r="AY1063" t="s">
        <v>29</v>
      </c>
      <c r="BA1063" t="s">
        <v>29</v>
      </c>
      <c r="BC1063" t="s">
        <v>116</v>
      </c>
      <c r="BD1063" t="s">
        <v>115</v>
      </c>
      <c r="BE1063" t="s">
        <v>588</v>
      </c>
      <c r="BF1063" t="s">
        <v>115</v>
      </c>
      <c r="BG1063" t="s">
        <v>3021</v>
      </c>
      <c r="BI1063" t="s">
        <v>709</v>
      </c>
      <c r="BJ1063" t="s">
        <v>709</v>
      </c>
      <c r="BK1063" t="s">
        <v>709</v>
      </c>
      <c r="BL1063" t="s">
        <v>116</v>
      </c>
      <c r="BM1063" t="s">
        <v>709</v>
      </c>
      <c r="BN1063" t="s">
        <v>709</v>
      </c>
      <c r="BO1063" t="s">
        <v>709</v>
      </c>
      <c r="BP1063">
        <v>456</v>
      </c>
      <c r="BQ1063" t="s">
        <v>709</v>
      </c>
      <c r="BR1063" t="s">
        <v>709</v>
      </c>
      <c r="BS1063" t="s">
        <v>709</v>
      </c>
      <c r="BT1063" t="s">
        <v>709</v>
      </c>
      <c r="BU1063" t="s">
        <v>709</v>
      </c>
      <c r="BV1063" t="s">
        <v>709</v>
      </c>
      <c r="BW1063" t="s">
        <v>709</v>
      </c>
      <c r="BX1063" t="s">
        <v>709</v>
      </c>
      <c r="BY1063" t="s">
        <v>709</v>
      </c>
      <c r="BZ1063" t="s">
        <v>709</v>
      </c>
      <c r="CB1063">
        <v>1061</v>
      </c>
      <c r="CC1063" t="b">
        <v>1</v>
      </c>
      <c r="CD1063" t="s">
        <v>6009</v>
      </c>
      <c r="CE1063" s="1482">
        <v>45880.738576388889</v>
      </c>
    </row>
    <row r="1064" spans="1:83" x14ac:dyDescent="0.25">
      <c r="A1064">
        <v>2023</v>
      </c>
      <c r="B1064" t="s">
        <v>771</v>
      </c>
      <c r="C1064" t="s">
        <v>6010</v>
      </c>
      <c r="D1064">
        <v>1211022</v>
      </c>
      <c r="E1064" t="s">
        <v>415</v>
      </c>
      <c r="F1064" t="s">
        <v>6011</v>
      </c>
      <c r="G1064" t="s">
        <v>36</v>
      </c>
      <c r="H1064" t="s">
        <v>2723</v>
      </c>
      <c r="I1064">
        <v>44953</v>
      </c>
      <c r="J1064" t="s">
        <v>2724</v>
      </c>
      <c r="K1064">
        <v>45204</v>
      </c>
      <c r="L1064">
        <v>251</v>
      </c>
      <c r="M1064" t="s">
        <v>6012</v>
      </c>
      <c r="N1064" t="s">
        <v>120</v>
      </c>
      <c r="O1064">
        <v>45200</v>
      </c>
      <c r="P1064" t="s">
        <v>120</v>
      </c>
      <c r="Q1064">
        <v>4697.5</v>
      </c>
      <c r="R1064" t="s">
        <v>1922</v>
      </c>
      <c r="S1064">
        <v>0</v>
      </c>
      <c r="T1064">
        <v>0</v>
      </c>
      <c r="U1064">
        <v>4697.5</v>
      </c>
      <c r="AM1064" t="s">
        <v>709</v>
      </c>
      <c r="AY1064" t="s">
        <v>29</v>
      </c>
      <c r="BA1064" t="s">
        <v>29</v>
      </c>
      <c r="BB1064" t="s">
        <v>29</v>
      </c>
      <c r="BZ1064" t="s">
        <v>709</v>
      </c>
      <c r="CA1064" t="s">
        <v>915</v>
      </c>
      <c r="CB1064">
        <v>1062</v>
      </c>
      <c r="CC1064" t="b">
        <v>1</v>
      </c>
      <c r="CD1064" t="s">
        <v>6013</v>
      </c>
      <c r="CE1064" s="1482">
        <v>45880.738576388889</v>
      </c>
    </row>
    <row r="1065" spans="1:83" x14ac:dyDescent="0.25">
      <c r="A1065">
        <v>2023</v>
      </c>
      <c r="B1065" t="s">
        <v>771</v>
      </c>
      <c r="C1065" t="s">
        <v>5549</v>
      </c>
      <c r="D1065">
        <v>1212275</v>
      </c>
      <c r="E1065" t="s">
        <v>361</v>
      </c>
      <c r="F1065" t="s">
        <v>784</v>
      </c>
      <c r="G1065" t="s">
        <v>23</v>
      </c>
      <c r="H1065" t="s">
        <v>4189</v>
      </c>
      <c r="I1065">
        <v>45170</v>
      </c>
      <c r="J1065" t="s">
        <v>2052</v>
      </c>
      <c r="K1065">
        <v>45209</v>
      </c>
      <c r="L1065">
        <v>39</v>
      </c>
      <c r="M1065" t="s">
        <v>6014</v>
      </c>
      <c r="N1065" t="s">
        <v>120</v>
      </c>
      <c r="O1065">
        <v>45231</v>
      </c>
      <c r="P1065" t="s">
        <v>120</v>
      </c>
      <c r="Q1065">
        <v>9435</v>
      </c>
      <c r="R1065" t="s">
        <v>1922</v>
      </c>
      <c r="S1065">
        <v>0</v>
      </c>
      <c r="T1065">
        <v>0</v>
      </c>
      <c r="U1065">
        <v>9435</v>
      </c>
      <c r="AB1065" t="s">
        <v>29</v>
      </c>
      <c r="AD1065" t="s">
        <v>29</v>
      </c>
      <c r="AE1065" t="s">
        <v>756</v>
      </c>
      <c r="AF1065" t="s">
        <v>756</v>
      </c>
      <c r="AG1065" t="s">
        <v>29</v>
      </c>
      <c r="AH1065" t="s">
        <v>29</v>
      </c>
      <c r="AM1065" t="s">
        <v>709</v>
      </c>
      <c r="AY1065" t="s">
        <v>29</v>
      </c>
      <c r="BA1065">
        <v>4</v>
      </c>
      <c r="BB1065" t="s">
        <v>709</v>
      </c>
      <c r="BI1065" t="s">
        <v>709</v>
      </c>
      <c r="BJ1065" t="s">
        <v>709</v>
      </c>
      <c r="BK1065" t="s">
        <v>709</v>
      </c>
      <c r="BL1065" t="s">
        <v>116</v>
      </c>
      <c r="BM1065" t="s">
        <v>709</v>
      </c>
      <c r="BN1065" t="s">
        <v>709</v>
      </c>
      <c r="BO1065" t="s">
        <v>709</v>
      </c>
      <c r="BP1065">
        <v>916</v>
      </c>
      <c r="BQ1065" t="s">
        <v>709</v>
      </c>
      <c r="BR1065" t="s">
        <v>709</v>
      </c>
      <c r="BS1065">
        <v>15007</v>
      </c>
      <c r="BT1065" t="s">
        <v>709</v>
      </c>
      <c r="BU1065" t="s">
        <v>709</v>
      </c>
      <c r="BV1065" t="s">
        <v>709</v>
      </c>
      <c r="BW1065" t="s">
        <v>709</v>
      </c>
      <c r="BX1065" t="s">
        <v>745</v>
      </c>
      <c r="BY1065" t="s">
        <v>709</v>
      </c>
      <c r="BZ1065" t="s">
        <v>709</v>
      </c>
      <c r="CB1065">
        <v>1063</v>
      </c>
      <c r="CC1065" t="b">
        <v>1</v>
      </c>
      <c r="CD1065" t="s">
        <v>6015</v>
      </c>
      <c r="CE1065" s="1482">
        <v>45880.738587962966</v>
      </c>
    </row>
    <row r="1066" spans="1:83" ht="270" x14ac:dyDescent="0.25">
      <c r="A1066">
        <v>2024</v>
      </c>
      <c r="B1066" t="s">
        <v>4</v>
      </c>
      <c r="C1066" t="s">
        <v>801</v>
      </c>
      <c r="D1066" t="s">
        <v>802</v>
      </c>
      <c r="E1066" t="s">
        <v>239</v>
      </c>
      <c r="F1066" t="s">
        <v>747</v>
      </c>
      <c r="G1066" t="s">
        <v>26</v>
      </c>
      <c r="H1066" t="s">
        <v>59</v>
      </c>
      <c r="I1066">
        <v>45027</v>
      </c>
      <c r="J1066">
        <v>45260</v>
      </c>
      <c r="K1066">
        <v>45218</v>
      </c>
      <c r="L1066">
        <v>42</v>
      </c>
      <c r="N1066" t="s">
        <v>120</v>
      </c>
      <c r="O1066">
        <v>45231</v>
      </c>
      <c r="P1066" t="s">
        <v>739</v>
      </c>
      <c r="Q1066">
        <v>77333.657000000007</v>
      </c>
      <c r="R1066">
        <v>0.1</v>
      </c>
      <c r="V1066">
        <v>2014</v>
      </c>
      <c r="W1066">
        <v>0</v>
      </c>
      <c r="X1066">
        <v>680014.29</v>
      </c>
      <c r="Z1066">
        <v>93322.28</v>
      </c>
      <c r="AA1066">
        <v>773336.57</v>
      </c>
      <c r="AB1066">
        <v>45212</v>
      </c>
      <c r="AC1066" t="s">
        <v>709</v>
      </c>
      <c r="AD1066" t="s">
        <v>29</v>
      </c>
      <c r="AE1066" t="s">
        <v>756</v>
      </c>
      <c r="AF1066" t="s">
        <v>116</v>
      </c>
      <c r="AG1066" t="s">
        <v>116</v>
      </c>
      <c r="AH1066">
        <v>45308</v>
      </c>
      <c r="AM1066" t="s">
        <v>116</v>
      </c>
      <c r="AN1066">
        <v>45316</v>
      </c>
      <c r="AO1066">
        <v>11077599</v>
      </c>
      <c r="AP1066">
        <v>693761.18</v>
      </c>
      <c r="AR1066">
        <v>93331.88</v>
      </c>
      <c r="AS1066">
        <v>787093.06</v>
      </c>
      <c r="AT1066">
        <v>13756.49</v>
      </c>
      <c r="AU1066">
        <v>1375.6489999999999</v>
      </c>
      <c r="AV1066">
        <v>0</v>
      </c>
      <c r="AW1066" t="s">
        <v>803</v>
      </c>
      <c r="AX1066">
        <v>1375.65</v>
      </c>
      <c r="AY1066">
        <v>45566</v>
      </c>
      <c r="AZ1066">
        <v>101</v>
      </c>
      <c r="BA1066" s="4" t="s">
        <v>804</v>
      </c>
      <c r="BB1066" t="s">
        <v>805</v>
      </c>
      <c r="BC1066" t="s">
        <v>709</v>
      </c>
      <c r="BD1066" t="s">
        <v>806</v>
      </c>
      <c r="BE1066" t="s">
        <v>807</v>
      </c>
      <c r="BF1066" t="s">
        <v>807</v>
      </c>
      <c r="BG1066" t="s">
        <v>709</v>
      </c>
      <c r="BI1066" t="s">
        <v>709</v>
      </c>
      <c r="BJ1066" t="s">
        <v>709</v>
      </c>
      <c r="BK1066" t="s">
        <v>709</v>
      </c>
      <c r="BL1066" t="s">
        <v>116</v>
      </c>
      <c r="BM1066" t="s">
        <v>709</v>
      </c>
      <c r="BN1066" t="s">
        <v>709</v>
      </c>
      <c r="BO1066" t="s">
        <v>709</v>
      </c>
      <c r="BP1066" t="s">
        <v>709</v>
      </c>
      <c r="BQ1066" t="s">
        <v>709</v>
      </c>
      <c r="BR1066">
        <v>918</v>
      </c>
      <c r="BS1066">
        <v>1096</v>
      </c>
      <c r="BT1066" t="s">
        <v>709</v>
      </c>
      <c r="BU1066" t="s">
        <v>709</v>
      </c>
      <c r="BV1066" t="s">
        <v>709</v>
      </c>
      <c r="BW1066" t="s">
        <v>709</v>
      </c>
      <c r="BX1066" t="s">
        <v>745</v>
      </c>
      <c r="BY1066" t="s">
        <v>709</v>
      </c>
      <c r="BZ1066" t="s">
        <v>709</v>
      </c>
      <c r="CB1066">
        <v>1064</v>
      </c>
      <c r="CC1066" t="b">
        <v>1</v>
      </c>
      <c r="CD1066" t="s">
        <v>6016</v>
      </c>
      <c r="CE1066" s="1482">
        <v>45880.738587962966</v>
      </c>
    </row>
    <row r="1067" spans="1:83" x14ac:dyDescent="0.25">
      <c r="A1067">
        <v>2023</v>
      </c>
      <c r="B1067" t="s">
        <v>1073</v>
      </c>
      <c r="C1067" t="s">
        <v>594</v>
      </c>
      <c r="D1067" t="s">
        <v>6017</v>
      </c>
      <c r="E1067" t="s">
        <v>232</v>
      </c>
      <c r="F1067" t="s">
        <v>851</v>
      </c>
      <c r="G1067" t="s">
        <v>32</v>
      </c>
      <c r="H1067" t="s">
        <v>4189</v>
      </c>
      <c r="I1067">
        <v>45216</v>
      </c>
      <c r="J1067" t="s">
        <v>2052</v>
      </c>
      <c r="K1067">
        <v>45222</v>
      </c>
      <c r="L1067">
        <v>6</v>
      </c>
      <c r="M1067" t="s">
        <v>6018</v>
      </c>
      <c r="N1067" t="s">
        <v>120</v>
      </c>
      <c r="O1067">
        <v>45231</v>
      </c>
      <c r="P1067" t="s">
        <v>739</v>
      </c>
      <c r="Q1067">
        <v>1775</v>
      </c>
      <c r="R1067" t="s">
        <v>1922</v>
      </c>
      <c r="S1067">
        <v>0</v>
      </c>
      <c r="T1067">
        <v>0</v>
      </c>
      <c r="U1067">
        <v>1775</v>
      </c>
      <c r="V1067">
        <v>169</v>
      </c>
      <c r="W1067">
        <v>0</v>
      </c>
      <c r="AC1067" t="s">
        <v>709</v>
      </c>
      <c r="AD1067" t="s">
        <v>116</v>
      </c>
      <c r="AE1067" t="s">
        <v>709</v>
      </c>
      <c r="AF1067" t="s">
        <v>756</v>
      </c>
      <c r="AG1067" t="s">
        <v>29</v>
      </c>
      <c r="AH1067" t="s">
        <v>709</v>
      </c>
      <c r="AM1067" t="s">
        <v>709</v>
      </c>
      <c r="AY1067" t="s">
        <v>29</v>
      </c>
      <c r="BA1067">
        <v>11</v>
      </c>
      <c r="BB1067" t="s">
        <v>116</v>
      </c>
      <c r="BI1067" t="s">
        <v>709</v>
      </c>
      <c r="BJ1067" t="s">
        <v>709</v>
      </c>
      <c r="BK1067" t="s">
        <v>116</v>
      </c>
      <c r="BL1067" t="s">
        <v>116</v>
      </c>
      <c r="BM1067">
        <v>0</v>
      </c>
      <c r="BN1067">
        <v>0</v>
      </c>
      <c r="BO1067">
        <v>0</v>
      </c>
      <c r="BP1067">
        <v>0</v>
      </c>
      <c r="BQ1067">
        <v>0</v>
      </c>
      <c r="BR1067">
        <v>169</v>
      </c>
      <c r="BS1067">
        <v>0</v>
      </c>
      <c r="BT1067">
        <v>0</v>
      </c>
      <c r="BU1067">
        <v>0</v>
      </c>
      <c r="BV1067">
        <v>0</v>
      </c>
      <c r="BW1067">
        <v>0</v>
      </c>
      <c r="BX1067">
        <v>0</v>
      </c>
      <c r="BY1067">
        <v>1</v>
      </c>
      <c r="BZ1067" t="s">
        <v>709</v>
      </c>
      <c r="CB1067">
        <v>1065</v>
      </c>
      <c r="CC1067" t="b">
        <v>1</v>
      </c>
      <c r="CD1067" t="s">
        <v>6019</v>
      </c>
      <c r="CE1067" s="1482">
        <v>45880.738587962966</v>
      </c>
    </row>
    <row r="1068" spans="1:83" x14ac:dyDescent="0.25">
      <c r="A1068">
        <v>2023</v>
      </c>
      <c r="B1068" t="s">
        <v>769</v>
      </c>
      <c r="C1068" t="s">
        <v>416</v>
      </c>
      <c r="D1068" t="s">
        <v>6020</v>
      </c>
      <c r="E1068" t="s">
        <v>309</v>
      </c>
      <c r="F1068" t="s">
        <v>752</v>
      </c>
      <c r="G1068" t="s">
        <v>219</v>
      </c>
      <c r="H1068" t="s">
        <v>4189</v>
      </c>
      <c r="I1068">
        <v>45155</v>
      </c>
      <c r="J1068" t="s">
        <v>2052</v>
      </c>
      <c r="K1068">
        <v>45225</v>
      </c>
      <c r="L1068">
        <v>70</v>
      </c>
      <c r="M1068" t="s">
        <v>6021</v>
      </c>
      <c r="N1068" t="s">
        <v>120</v>
      </c>
      <c r="O1068">
        <v>45231</v>
      </c>
      <c r="P1068" t="s">
        <v>120</v>
      </c>
      <c r="Q1068">
        <v>5002.5</v>
      </c>
      <c r="R1068" t="s">
        <v>1922</v>
      </c>
      <c r="S1068">
        <v>0</v>
      </c>
      <c r="T1068">
        <v>0</v>
      </c>
      <c r="U1068">
        <v>5002.5</v>
      </c>
      <c r="AA1068">
        <v>0</v>
      </c>
      <c r="AB1068" t="s">
        <v>29</v>
      </c>
      <c r="AD1068" t="s">
        <v>29</v>
      </c>
      <c r="AE1068" t="s">
        <v>29</v>
      </c>
      <c r="AF1068" t="s">
        <v>29</v>
      </c>
      <c r="AG1068" t="s">
        <v>29</v>
      </c>
      <c r="AH1068" t="s">
        <v>29</v>
      </c>
      <c r="AM1068" t="s">
        <v>709</v>
      </c>
      <c r="AY1068" t="s">
        <v>29</v>
      </c>
      <c r="BA1068">
        <v>10</v>
      </c>
      <c r="BB1068" t="s">
        <v>709</v>
      </c>
      <c r="BH1068" t="s">
        <v>6022</v>
      </c>
      <c r="BI1068" t="s">
        <v>709</v>
      </c>
      <c r="BJ1068" t="s">
        <v>709</v>
      </c>
      <c r="BK1068" t="s">
        <v>116</v>
      </c>
      <c r="BL1068" t="s">
        <v>116</v>
      </c>
      <c r="BM1068" t="s">
        <v>709</v>
      </c>
      <c r="BN1068" t="s">
        <v>709</v>
      </c>
      <c r="BO1068" t="s">
        <v>709</v>
      </c>
      <c r="BP1068" t="s">
        <v>709</v>
      </c>
      <c r="BQ1068">
        <v>139</v>
      </c>
      <c r="BR1068">
        <v>140</v>
      </c>
      <c r="BS1068">
        <v>54</v>
      </c>
      <c r="BT1068" t="s">
        <v>709</v>
      </c>
      <c r="BU1068" t="s">
        <v>709</v>
      </c>
      <c r="BV1068" t="s">
        <v>709</v>
      </c>
      <c r="BW1068">
        <v>1</v>
      </c>
      <c r="BX1068">
        <v>1</v>
      </c>
      <c r="BY1068" t="s">
        <v>709</v>
      </c>
      <c r="BZ1068" t="s">
        <v>709</v>
      </c>
      <c r="CA1068" t="s">
        <v>1440</v>
      </c>
      <c r="CB1068">
        <v>1068</v>
      </c>
      <c r="CC1068" t="b">
        <v>1</v>
      </c>
      <c r="CD1068" t="s">
        <v>6023</v>
      </c>
      <c r="CE1068" s="1482">
        <v>45880.738587962966</v>
      </c>
    </row>
    <row r="1069" spans="1:83" ht="345" x14ac:dyDescent="0.25">
      <c r="A1069">
        <v>2023</v>
      </c>
      <c r="B1069" t="s">
        <v>4</v>
      </c>
      <c r="C1069" t="s">
        <v>900</v>
      </c>
      <c r="D1069" t="s">
        <v>901</v>
      </c>
      <c r="E1069" t="s">
        <v>902</v>
      </c>
      <c r="F1069" t="s">
        <v>784</v>
      </c>
      <c r="G1069" t="s">
        <v>27</v>
      </c>
      <c r="H1069" t="s">
        <v>59</v>
      </c>
      <c r="I1069">
        <v>45103</v>
      </c>
      <c r="J1069">
        <v>45230</v>
      </c>
      <c r="K1069">
        <v>45225</v>
      </c>
      <c r="L1069">
        <v>5</v>
      </c>
      <c r="N1069" t="s">
        <v>120</v>
      </c>
      <c r="O1069">
        <v>45231</v>
      </c>
      <c r="P1069" t="s">
        <v>739</v>
      </c>
      <c r="Q1069">
        <v>82182.982999999993</v>
      </c>
      <c r="R1069">
        <v>0.1</v>
      </c>
      <c r="V1069">
        <v>2174</v>
      </c>
      <c r="W1069">
        <v>0</v>
      </c>
      <c r="X1069">
        <v>714309.61</v>
      </c>
      <c r="Z1069">
        <v>107520.22</v>
      </c>
      <c r="AA1069">
        <v>821829.83</v>
      </c>
      <c r="AB1069">
        <v>45217</v>
      </c>
      <c r="AC1069" t="s">
        <v>116</v>
      </c>
      <c r="AD1069" t="s">
        <v>29</v>
      </c>
      <c r="AE1069" t="s">
        <v>116</v>
      </c>
      <c r="AF1069" t="s">
        <v>756</v>
      </c>
      <c r="AG1069">
        <v>45371</v>
      </c>
      <c r="AH1069">
        <v>45371</v>
      </c>
      <c r="AM1069" t="s">
        <v>116</v>
      </c>
      <c r="AN1069">
        <v>45369</v>
      </c>
      <c r="AO1069">
        <v>11080052</v>
      </c>
      <c r="AP1069">
        <v>685524.31</v>
      </c>
      <c r="AR1069">
        <v>107524.76</v>
      </c>
      <c r="AS1069">
        <v>793049.07</v>
      </c>
      <c r="AT1069">
        <v>-28780.76</v>
      </c>
      <c r="AU1069">
        <v>-2878.076</v>
      </c>
      <c r="AV1069">
        <v>0</v>
      </c>
      <c r="AW1069" t="s">
        <v>903</v>
      </c>
      <c r="AX1069">
        <v>-2878.08</v>
      </c>
      <c r="AY1069">
        <v>45566</v>
      </c>
      <c r="AZ1069">
        <v>102</v>
      </c>
      <c r="BA1069" s="4" t="s">
        <v>904</v>
      </c>
      <c r="BB1069" t="s">
        <v>905</v>
      </c>
      <c r="BC1069" t="s">
        <v>116</v>
      </c>
      <c r="BD1069" t="s">
        <v>906</v>
      </c>
      <c r="BE1069" t="s">
        <v>907</v>
      </c>
      <c r="BF1069" t="s">
        <v>709</v>
      </c>
      <c r="BG1069" t="s">
        <v>709</v>
      </c>
      <c r="BI1069" t="s">
        <v>709</v>
      </c>
      <c r="BJ1069" t="s">
        <v>709</v>
      </c>
      <c r="BK1069" t="s">
        <v>709</v>
      </c>
      <c r="BL1069" t="s">
        <v>116</v>
      </c>
      <c r="BM1069" t="s">
        <v>709</v>
      </c>
      <c r="BN1069" t="s">
        <v>709</v>
      </c>
      <c r="BO1069" t="s">
        <v>709</v>
      </c>
      <c r="BP1069" t="s">
        <v>709</v>
      </c>
      <c r="BQ1069" t="s">
        <v>709</v>
      </c>
      <c r="BR1069" t="s">
        <v>709</v>
      </c>
      <c r="BS1069">
        <v>2174</v>
      </c>
      <c r="BT1069" t="s">
        <v>709</v>
      </c>
      <c r="BU1069" t="s">
        <v>709</v>
      </c>
      <c r="BV1069" t="s">
        <v>709</v>
      </c>
      <c r="BW1069" t="s">
        <v>709</v>
      </c>
      <c r="BX1069" t="s">
        <v>745</v>
      </c>
      <c r="BY1069" t="s">
        <v>709</v>
      </c>
      <c r="BZ1069" t="s">
        <v>709</v>
      </c>
      <c r="CB1069">
        <v>1066</v>
      </c>
      <c r="CC1069" t="b">
        <v>1</v>
      </c>
      <c r="CD1069" t="s">
        <v>6024</v>
      </c>
      <c r="CE1069" s="1482">
        <v>45880.738599537035</v>
      </c>
    </row>
    <row r="1070" spans="1:83" ht="150" x14ac:dyDescent="0.25">
      <c r="A1070">
        <v>2023</v>
      </c>
      <c r="B1070" t="s">
        <v>4</v>
      </c>
      <c r="C1070" t="s">
        <v>6025</v>
      </c>
      <c r="D1070" t="s">
        <v>115</v>
      </c>
      <c r="E1070" t="s">
        <v>141</v>
      </c>
      <c r="F1070" t="s">
        <v>747</v>
      </c>
      <c r="G1070" t="s">
        <v>25</v>
      </c>
      <c r="H1070" t="s">
        <v>1681</v>
      </c>
      <c r="I1070">
        <v>45118</v>
      </c>
      <c r="J1070">
        <v>45226</v>
      </c>
      <c r="K1070">
        <v>45225</v>
      </c>
      <c r="L1070">
        <v>1</v>
      </c>
      <c r="N1070" t="s">
        <v>120</v>
      </c>
      <c r="O1070">
        <v>45231</v>
      </c>
      <c r="P1070" t="s">
        <v>739</v>
      </c>
      <c r="Q1070" t="s">
        <v>115</v>
      </c>
      <c r="R1070" t="s">
        <v>115</v>
      </c>
      <c r="AA1070">
        <v>0</v>
      </c>
      <c r="AB1070" t="s">
        <v>29</v>
      </c>
      <c r="AC1070" t="s">
        <v>29</v>
      </c>
      <c r="AD1070" t="s">
        <v>29</v>
      </c>
      <c r="AE1070" t="s">
        <v>116</v>
      </c>
      <c r="AF1070" t="s">
        <v>29</v>
      </c>
      <c r="AG1070" t="s">
        <v>29</v>
      </c>
      <c r="AH1070">
        <v>45447</v>
      </c>
      <c r="AM1070" t="s">
        <v>709</v>
      </c>
      <c r="AY1070" t="s">
        <v>29</v>
      </c>
      <c r="BA1070" s="4" t="s">
        <v>6026</v>
      </c>
      <c r="BB1070" t="s">
        <v>961</v>
      </c>
      <c r="BC1070" t="s">
        <v>116</v>
      </c>
      <c r="BD1070" t="s">
        <v>757</v>
      </c>
      <c r="BE1070" t="s">
        <v>757</v>
      </c>
      <c r="BF1070" t="s">
        <v>757</v>
      </c>
      <c r="BG1070" t="s">
        <v>709</v>
      </c>
      <c r="CA1070" t="s">
        <v>915</v>
      </c>
      <c r="CB1070">
        <v>1067</v>
      </c>
      <c r="CC1070" t="b">
        <v>1</v>
      </c>
      <c r="CD1070" t="s">
        <v>6027</v>
      </c>
      <c r="CE1070" s="1482">
        <v>45880.738599537035</v>
      </c>
    </row>
    <row r="1071" spans="1:83" x14ac:dyDescent="0.25">
      <c r="A1071">
        <v>2023</v>
      </c>
      <c r="B1071" t="s">
        <v>1205</v>
      </c>
      <c r="C1071" t="s">
        <v>409</v>
      </c>
      <c r="D1071">
        <v>1412200</v>
      </c>
      <c r="E1071" t="s">
        <v>141</v>
      </c>
      <c r="F1071" t="s">
        <v>6028</v>
      </c>
      <c r="G1071" t="s">
        <v>219</v>
      </c>
      <c r="H1071" t="s">
        <v>4001</v>
      </c>
      <c r="I1071">
        <v>45226</v>
      </c>
      <c r="J1071" t="s">
        <v>2052</v>
      </c>
      <c r="K1071">
        <v>45231</v>
      </c>
      <c r="L1071">
        <v>5</v>
      </c>
      <c r="M1071" t="s">
        <v>6029</v>
      </c>
      <c r="N1071" t="s">
        <v>120</v>
      </c>
      <c r="O1071">
        <v>45261</v>
      </c>
      <c r="P1071" t="s">
        <v>120</v>
      </c>
      <c r="Q1071">
        <v>3055</v>
      </c>
      <c r="R1071" t="s">
        <v>1922</v>
      </c>
      <c r="S1071">
        <v>0</v>
      </c>
      <c r="T1071">
        <v>0</v>
      </c>
      <c r="U1071">
        <v>3055</v>
      </c>
      <c r="V1071" t="s">
        <v>29</v>
      </c>
      <c r="W1071" t="s">
        <v>29</v>
      </c>
      <c r="AA1071">
        <v>0</v>
      </c>
      <c r="AB1071" t="s">
        <v>29</v>
      </c>
      <c r="AD1071" t="s">
        <v>116</v>
      </c>
      <c r="AE1071" t="s">
        <v>756</v>
      </c>
      <c r="AF1071" t="s">
        <v>116</v>
      </c>
      <c r="AG1071" t="s">
        <v>29</v>
      </c>
      <c r="AH1071" t="s">
        <v>709</v>
      </c>
      <c r="AM1071" t="s">
        <v>709</v>
      </c>
      <c r="AY1071" t="s">
        <v>29</v>
      </c>
      <c r="BA1071">
        <v>2</v>
      </c>
      <c r="BB1071" t="s">
        <v>116</v>
      </c>
      <c r="BI1071" t="s">
        <v>709</v>
      </c>
      <c r="BJ1071" t="s">
        <v>709</v>
      </c>
      <c r="BK1071" t="s">
        <v>709</v>
      </c>
      <c r="BL1071" t="s">
        <v>116</v>
      </c>
      <c r="BM1071" t="s">
        <v>709</v>
      </c>
      <c r="BN1071" t="s">
        <v>709</v>
      </c>
      <c r="BO1071" t="s">
        <v>709</v>
      </c>
      <c r="BP1071">
        <v>463</v>
      </c>
      <c r="BQ1071" t="s">
        <v>709</v>
      </c>
      <c r="BR1071" t="s">
        <v>709</v>
      </c>
      <c r="BS1071" t="s">
        <v>709</v>
      </c>
      <c r="BT1071" t="s">
        <v>709</v>
      </c>
      <c r="BU1071" t="s">
        <v>709</v>
      </c>
      <c r="BV1071" t="s">
        <v>709</v>
      </c>
      <c r="BW1071" t="s">
        <v>709</v>
      </c>
      <c r="BX1071" t="s">
        <v>745</v>
      </c>
      <c r="BY1071" t="s">
        <v>709</v>
      </c>
      <c r="BZ1071" t="s">
        <v>709</v>
      </c>
      <c r="CB1071">
        <v>1069</v>
      </c>
      <c r="CC1071" t="b">
        <v>1</v>
      </c>
      <c r="CD1071" t="s">
        <v>6030</v>
      </c>
      <c r="CE1071" s="1482">
        <v>45880.738599537035</v>
      </c>
    </row>
    <row r="1072" spans="1:83" x14ac:dyDescent="0.25">
      <c r="A1072">
        <v>2023</v>
      </c>
      <c r="B1072" t="s">
        <v>771</v>
      </c>
      <c r="C1072" t="s">
        <v>1642</v>
      </c>
      <c r="D1072" t="s">
        <v>1643</v>
      </c>
      <c r="E1072" t="s">
        <v>1644</v>
      </c>
      <c r="F1072" t="s">
        <v>747</v>
      </c>
      <c r="G1072" t="s">
        <v>32</v>
      </c>
      <c r="H1072" t="s">
        <v>4450</v>
      </c>
      <c r="I1072">
        <v>45119</v>
      </c>
      <c r="J1072" t="s">
        <v>2612</v>
      </c>
      <c r="K1072">
        <v>45232</v>
      </c>
      <c r="L1072">
        <v>113</v>
      </c>
      <c r="M1072" t="s">
        <v>6031</v>
      </c>
      <c r="N1072" t="s">
        <v>120</v>
      </c>
      <c r="O1072">
        <v>45323</v>
      </c>
      <c r="P1072" t="s">
        <v>120</v>
      </c>
      <c r="Q1072">
        <v>44895</v>
      </c>
      <c r="R1072" t="s">
        <v>1922</v>
      </c>
      <c r="S1072">
        <v>0</v>
      </c>
      <c r="T1072">
        <v>0</v>
      </c>
      <c r="U1072">
        <v>44895</v>
      </c>
      <c r="AD1072" t="s">
        <v>29</v>
      </c>
      <c r="AE1072" t="s">
        <v>709</v>
      </c>
      <c r="AL1072">
        <v>0</v>
      </c>
      <c r="AM1072" t="s">
        <v>709</v>
      </c>
      <c r="AY1072" t="s">
        <v>29</v>
      </c>
      <c r="BI1072" t="s">
        <v>709</v>
      </c>
      <c r="BJ1072" t="s">
        <v>709</v>
      </c>
      <c r="BK1072" t="s">
        <v>709</v>
      </c>
      <c r="BL1072" t="s">
        <v>116</v>
      </c>
      <c r="BM1072">
        <v>0</v>
      </c>
      <c r="BN1072">
        <v>9557</v>
      </c>
      <c r="BO1072">
        <v>0</v>
      </c>
      <c r="BP1072">
        <v>0</v>
      </c>
      <c r="BQ1072">
        <v>203</v>
      </c>
      <c r="BR1072">
        <v>2955</v>
      </c>
      <c r="BS1072">
        <v>801</v>
      </c>
      <c r="BT1072">
        <v>0</v>
      </c>
      <c r="BU1072">
        <v>0</v>
      </c>
      <c r="BV1072">
        <v>0</v>
      </c>
      <c r="BW1072">
        <v>0</v>
      </c>
      <c r="BX1072">
        <v>0</v>
      </c>
      <c r="BY1072">
        <v>0</v>
      </c>
      <c r="BZ1072" t="s">
        <v>709</v>
      </c>
      <c r="CB1072">
        <v>1071</v>
      </c>
      <c r="CC1072" t="b">
        <v>1</v>
      </c>
      <c r="CD1072" t="s">
        <v>6032</v>
      </c>
      <c r="CE1072" s="1482">
        <v>45880.738599537035</v>
      </c>
    </row>
    <row r="1073" spans="1:83" x14ac:dyDescent="0.25">
      <c r="A1073">
        <v>2024</v>
      </c>
      <c r="B1073" t="s">
        <v>771</v>
      </c>
      <c r="C1073" t="s">
        <v>1642</v>
      </c>
      <c r="D1073" t="s">
        <v>1643</v>
      </c>
      <c r="E1073" t="s">
        <v>1644</v>
      </c>
      <c r="F1073" t="s">
        <v>747</v>
      </c>
      <c r="G1073" t="s">
        <v>32</v>
      </c>
      <c r="H1073" t="s">
        <v>59</v>
      </c>
      <c r="I1073">
        <v>44977</v>
      </c>
      <c r="J1073">
        <v>45233</v>
      </c>
      <c r="K1073">
        <v>45232</v>
      </c>
      <c r="L1073">
        <v>1</v>
      </c>
      <c r="N1073" t="s">
        <v>120</v>
      </c>
      <c r="O1073">
        <v>45292</v>
      </c>
      <c r="P1073" t="s">
        <v>120</v>
      </c>
      <c r="Q1073">
        <v>488768.6764</v>
      </c>
      <c r="R1073">
        <v>0.04</v>
      </c>
      <c r="V1073">
        <v>13516</v>
      </c>
      <c r="W1073">
        <v>0</v>
      </c>
      <c r="X1073">
        <v>11635927.51</v>
      </c>
      <c r="Z1073">
        <v>583289.4</v>
      </c>
      <c r="AA1073">
        <v>12219216.91</v>
      </c>
      <c r="AB1073" t="s">
        <v>709</v>
      </c>
      <c r="AC1073" t="s">
        <v>116</v>
      </c>
      <c r="AD1073" t="s">
        <v>116</v>
      </c>
      <c r="AE1073" t="s">
        <v>709</v>
      </c>
      <c r="AF1073" t="s">
        <v>116</v>
      </c>
      <c r="AG1073" t="s">
        <v>709</v>
      </c>
      <c r="AH1073" t="s">
        <v>709</v>
      </c>
      <c r="AL1073">
        <v>0</v>
      </c>
      <c r="AM1073" t="s">
        <v>116</v>
      </c>
      <c r="AN1073" t="s">
        <v>709</v>
      </c>
      <c r="AO1073">
        <v>11065457</v>
      </c>
      <c r="AS1073">
        <v>0</v>
      </c>
      <c r="AT1073">
        <v>0</v>
      </c>
      <c r="AU1073">
        <v>0</v>
      </c>
      <c r="AY1073" t="s">
        <v>709</v>
      </c>
      <c r="AZ1073">
        <v>3</v>
      </c>
      <c r="BA1073" t="s">
        <v>1645</v>
      </c>
      <c r="BB1073" t="s">
        <v>1646</v>
      </c>
      <c r="BH1073" t="s">
        <v>1647</v>
      </c>
      <c r="BI1073" t="s">
        <v>709</v>
      </c>
      <c r="BJ1073" t="s">
        <v>709</v>
      </c>
      <c r="BK1073" t="s">
        <v>709</v>
      </c>
      <c r="BL1073" t="s">
        <v>116</v>
      </c>
      <c r="BM1073">
        <v>0</v>
      </c>
      <c r="BN1073">
        <v>9540</v>
      </c>
      <c r="BO1073">
        <v>0</v>
      </c>
      <c r="BP1073">
        <v>10</v>
      </c>
      <c r="BQ1073">
        <v>388</v>
      </c>
      <c r="BR1073">
        <v>2788</v>
      </c>
      <c r="BS1073">
        <v>790</v>
      </c>
      <c r="BT1073">
        <v>0</v>
      </c>
      <c r="BU1073">
        <v>0</v>
      </c>
      <c r="BV1073">
        <v>0</v>
      </c>
      <c r="BW1073">
        <v>0</v>
      </c>
      <c r="BX1073">
        <v>0</v>
      </c>
      <c r="BY1073">
        <v>0</v>
      </c>
      <c r="BZ1073" t="s">
        <v>709</v>
      </c>
      <c r="CB1073">
        <v>1070</v>
      </c>
      <c r="CC1073" t="b">
        <v>1</v>
      </c>
      <c r="CD1073" t="s">
        <v>6033</v>
      </c>
      <c r="CE1073" s="1482">
        <v>45880.738611111112</v>
      </c>
    </row>
    <row r="1074" spans="1:83" x14ac:dyDescent="0.25">
      <c r="A1074">
        <v>2023</v>
      </c>
      <c r="B1074" t="s">
        <v>4</v>
      </c>
      <c r="C1074" t="s">
        <v>6034</v>
      </c>
      <c r="D1074" t="s">
        <v>6035</v>
      </c>
      <c r="E1074" t="s">
        <v>232</v>
      </c>
      <c r="F1074" t="s">
        <v>747</v>
      </c>
      <c r="G1074" t="s">
        <v>27</v>
      </c>
      <c r="H1074" t="s">
        <v>59</v>
      </c>
      <c r="I1074">
        <v>45120</v>
      </c>
      <c r="J1074">
        <v>45237</v>
      </c>
      <c r="K1074">
        <v>45237</v>
      </c>
      <c r="L1074">
        <v>0</v>
      </c>
      <c r="N1074" t="s">
        <v>120</v>
      </c>
      <c r="O1074">
        <v>45261</v>
      </c>
      <c r="P1074" t="s">
        <v>739</v>
      </c>
      <c r="Q1074">
        <v>105830.48299999999</v>
      </c>
      <c r="R1074">
        <v>0.1</v>
      </c>
      <c r="V1074">
        <v>3107</v>
      </c>
      <c r="W1074">
        <v>0</v>
      </c>
      <c r="X1074">
        <v>956487.19</v>
      </c>
      <c r="Z1074">
        <v>101817.64</v>
      </c>
      <c r="AA1074">
        <v>1058304.83</v>
      </c>
      <c r="AB1074">
        <v>45224</v>
      </c>
      <c r="AC1074" t="s">
        <v>29</v>
      </c>
      <c r="AD1074" t="s">
        <v>29</v>
      </c>
      <c r="AE1074" t="s">
        <v>116</v>
      </c>
      <c r="AF1074" t="s">
        <v>756</v>
      </c>
      <c r="AG1074" t="s">
        <v>116</v>
      </c>
      <c r="AH1074">
        <v>45366</v>
      </c>
      <c r="AM1074" t="s">
        <v>116</v>
      </c>
      <c r="AN1074">
        <v>45288</v>
      </c>
      <c r="AO1074">
        <v>1413063</v>
      </c>
      <c r="AP1074">
        <v>956487.19</v>
      </c>
      <c r="AR1074">
        <v>101817.64</v>
      </c>
      <c r="AS1074">
        <v>1058304.83</v>
      </c>
      <c r="AT1074">
        <v>0</v>
      </c>
      <c r="AU1074">
        <v>0</v>
      </c>
      <c r="AV1074" t="s">
        <v>709</v>
      </c>
      <c r="AX1074">
        <v>0</v>
      </c>
      <c r="AY1074">
        <v>45352</v>
      </c>
      <c r="BA1074" t="s">
        <v>6036</v>
      </c>
      <c r="BB1074" t="s">
        <v>1045</v>
      </c>
      <c r="BC1074" t="s">
        <v>709</v>
      </c>
      <c r="BD1074" t="s">
        <v>709</v>
      </c>
      <c r="BE1074" t="s">
        <v>595</v>
      </c>
      <c r="BF1074" t="s">
        <v>709</v>
      </c>
      <c r="BG1074" t="s">
        <v>709</v>
      </c>
      <c r="BH1074" t="s">
        <v>6037</v>
      </c>
      <c r="BI1074" t="s">
        <v>709</v>
      </c>
      <c r="BJ1074" t="s">
        <v>709</v>
      </c>
      <c r="BK1074" t="s">
        <v>709</v>
      </c>
      <c r="BL1074" t="s">
        <v>116</v>
      </c>
      <c r="BM1074" t="s">
        <v>709</v>
      </c>
      <c r="BN1074" t="s">
        <v>709</v>
      </c>
      <c r="BO1074" t="s">
        <v>709</v>
      </c>
      <c r="BP1074" t="s">
        <v>709</v>
      </c>
      <c r="BQ1074">
        <v>2860</v>
      </c>
      <c r="BR1074">
        <v>217</v>
      </c>
      <c r="BS1074">
        <v>17</v>
      </c>
      <c r="BT1074" t="s">
        <v>709</v>
      </c>
      <c r="BU1074" t="s">
        <v>709</v>
      </c>
      <c r="BV1074" t="s">
        <v>709</v>
      </c>
      <c r="BW1074" t="s">
        <v>709</v>
      </c>
      <c r="BX1074" t="s">
        <v>745</v>
      </c>
      <c r="BY1074" t="s">
        <v>709</v>
      </c>
      <c r="BZ1074" t="s">
        <v>709</v>
      </c>
      <c r="CB1074">
        <v>1072</v>
      </c>
      <c r="CC1074" t="b">
        <v>1</v>
      </c>
      <c r="CD1074" t="s">
        <v>6038</v>
      </c>
      <c r="CE1074" s="1482">
        <v>45880.738611111112</v>
      </c>
    </row>
    <row r="1075" spans="1:83" x14ac:dyDescent="0.25">
      <c r="A1075">
        <v>2023</v>
      </c>
      <c r="B1075" t="s">
        <v>4</v>
      </c>
      <c r="C1075" t="s">
        <v>6039</v>
      </c>
      <c r="D1075" t="s">
        <v>6040</v>
      </c>
      <c r="E1075" t="s">
        <v>232</v>
      </c>
      <c r="F1075" t="s">
        <v>747</v>
      </c>
      <c r="G1075" t="s">
        <v>27</v>
      </c>
      <c r="H1075" t="s">
        <v>59</v>
      </c>
      <c r="I1075">
        <v>45120</v>
      </c>
      <c r="J1075">
        <v>45237</v>
      </c>
      <c r="K1075">
        <v>45237</v>
      </c>
      <c r="L1075">
        <v>0</v>
      </c>
      <c r="N1075" t="s">
        <v>120</v>
      </c>
      <c r="O1075">
        <v>45261</v>
      </c>
      <c r="P1075" t="s">
        <v>739</v>
      </c>
      <c r="Q1075">
        <v>15888.843000000001</v>
      </c>
      <c r="R1075">
        <v>0.1</v>
      </c>
      <c r="V1075">
        <v>150</v>
      </c>
      <c r="W1075">
        <v>0</v>
      </c>
      <c r="X1075">
        <v>83397.8</v>
      </c>
      <c r="Z1075">
        <v>75490.63</v>
      </c>
      <c r="AA1075">
        <v>158888.43</v>
      </c>
      <c r="AB1075">
        <v>45224</v>
      </c>
      <c r="AC1075" t="s">
        <v>29</v>
      </c>
      <c r="AD1075" t="s">
        <v>29</v>
      </c>
      <c r="AE1075" t="s">
        <v>116</v>
      </c>
      <c r="AF1075" t="s">
        <v>756</v>
      </c>
      <c r="AG1075" t="s">
        <v>116</v>
      </c>
      <c r="AH1075">
        <v>45366</v>
      </c>
      <c r="AM1075" t="s">
        <v>116</v>
      </c>
      <c r="AN1075">
        <v>45288</v>
      </c>
      <c r="AO1075">
        <v>1413064</v>
      </c>
      <c r="AP1075">
        <v>83397.8</v>
      </c>
      <c r="AR1075">
        <v>75490.63</v>
      </c>
      <c r="AS1075">
        <v>158888.43</v>
      </c>
      <c r="AT1075">
        <v>0</v>
      </c>
      <c r="AU1075">
        <v>0</v>
      </c>
      <c r="AV1075" t="s">
        <v>709</v>
      </c>
      <c r="AX1075">
        <v>0</v>
      </c>
      <c r="AY1075">
        <v>45352</v>
      </c>
      <c r="BA1075" t="s">
        <v>6041</v>
      </c>
      <c r="BB1075" t="s">
        <v>1045</v>
      </c>
      <c r="BC1075" t="s">
        <v>709</v>
      </c>
      <c r="BD1075" t="s">
        <v>709</v>
      </c>
      <c r="BE1075" t="s">
        <v>595</v>
      </c>
      <c r="BF1075" t="s">
        <v>709</v>
      </c>
      <c r="BG1075" t="s">
        <v>709</v>
      </c>
      <c r="BH1075" t="s">
        <v>6037</v>
      </c>
      <c r="BI1075" t="s">
        <v>709</v>
      </c>
      <c r="BJ1075" t="s">
        <v>709</v>
      </c>
      <c r="BK1075" t="s">
        <v>709</v>
      </c>
      <c r="BL1075" t="s">
        <v>116</v>
      </c>
      <c r="BM1075" t="s">
        <v>709</v>
      </c>
      <c r="BN1075" t="s">
        <v>709</v>
      </c>
      <c r="BO1075" t="s">
        <v>709</v>
      </c>
      <c r="BP1075" t="s">
        <v>709</v>
      </c>
      <c r="BQ1075">
        <v>150</v>
      </c>
      <c r="BR1075" t="s">
        <v>709</v>
      </c>
      <c r="BS1075" t="s">
        <v>709</v>
      </c>
      <c r="BT1075" t="s">
        <v>709</v>
      </c>
      <c r="BU1075" t="s">
        <v>709</v>
      </c>
      <c r="BV1075" t="s">
        <v>709</v>
      </c>
      <c r="BW1075" t="s">
        <v>709</v>
      </c>
      <c r="BX1075" t="s">
        <v>745</v>
      </c>
      <c r="BY1075" t="s">
        <v>709</v>
      </c>
      <c r="BZ1075" t="s">
        <v>709</v>
      </c>
      <c r="CB1075">
        <v>1073</v>
      </c>
      <c r="CC1075" t="b">
        <v>1</v>
      </c>
      <c r="CD1075" t="s">
        <v>6042</v>
      </c>
      <c r="CE1075" s="1482">
        <v>45880.738611111112</v>
      </c>
    </row>
    <row r="1076" spans="1:83" x14ac:dyDescent="0.25">
      <c r="A1076">
        <v>2023</v>
      </c>
      <c r="B1076" t="s">
        <v>1205</v>
      </c>
      <c r="C1076" t="s">
        <v>6001</v>
      </c>
      <c r="D1076">
        <v>1213045</v>
      </c>
      <c r="E1076" t="s">
        <v>108</v>
      </c>
      <c r="F1076" t="s">
        <v>784</v>
      </c>
      <c r="G1076" t="s">
        <v>32</v>
      </c>
      <c r="H1076" t="s">
        <v>4189</v>
      </c>
      <c r="I1076">
        <v>45230</v>
      </c>
      <c r="J1076" t="s">
        <v>2052</v>
      </c>
      <c r="K1076">
        <v>45238</v>
      </c>
      <c r="L1076">
        <v>8</v>
      </c>
      <c r="M1076" t="s">
        <v>6043</v>
      </c>
      <c r="N1076" t="s">
        <v>120</v>
      </c>
      <c r="O1076">
        <v>45261</v>
      </c>
      <c r="P1076" t="s">
        <v>120</v>
      </c>
      <c r="Q1076">
        <v>3795</v>
      </c>
      <c r="R1076" t="s">
        <v>1922</v>
      </c>
      <c r="S1076">
        <v>0</v>
      </c>
      <c r="T1076">
        <v>0</v>
      </c>
      <c r="U1076">
        <v>3795</v>
      </c>
      <c r="V1076">
        <v>1508</v>
      </c>
      <c r="W1076">
        <v>0</v>
      </c>
      <c r="AB1076" t="s">
        <v>29</v>
      </c>
      <c r="AC1076" t="s">
        <v>709</v>
      </c>
      <c r="AD1076" t="s">
        <v>709</v>
      </c>
      <c r="AE1076" t="s">
        <v>709</v>
      </c>
      <c r="AG1076" t="s">
        <v>29</v>
      </c>
      <c r="AH1076" t="s">
        <v>29</v>
      </c>
      <c r="AM1076" t="s">
        <v>709</v>
      </c>
      <c r="AY1076" t="s">
        <v>29</v>
      </c>
      <c r="BA1076">
        <v>4</v>
      </c>
      <c r="BI1076" t="s">
        <v>709</v>
      </c>
      <c r="BJ1076" t="s">
        <v>709</v>
      </c>
      <c r="BK1076" t="s">
        <v>709</v>
      </c>
      <c r="BL1076" t="s">
        <v>116</v>
      </c>
      <c r="BM1076">
        <v>0</v>
      </c>
      <c r="BN1076">
        <v>0</v>
      </c>
      <c r="BO1076">
        <v>0</v>
      </c>
      <c r="BP1076">
        <v>0</v>
      </c>
      <c r="BQ1076">
        <v>1327</v>
      </c>
      <c r="BR1076">
        <v>141</v>
      </c>
      <c r="BS1076">
        <v>40</v>
      </c>
      <c r="BT1076">
        <v>0</v>
      </c>
      <c r="BU1076">
        <v>0</v>
      </c>
      <c r="BV1076">
        <v>0</v>
      </c>
      <c r="BW1076">
        <v>0</v>
      </c>
      <c r="BX1076">
        <v>0</v>
      </c>
      <c r="BY1076">
        <v>0</v>
      </c>
      <c r="BZ1076" t="s">
        <v>709</v>
      </c>
      <c r="CB1076">
        <v>1074</v>
      </c>
      <c r="CC1076" t="b">
        <v>1</v>
      </c>
      <c r="CD1076" t="s">
        <v>6044</v>
      </c>
      <c r="CE1076" s="1482">
        <v>45880.738611111112</v>
      </c>
    </row>
    <row r="1077" spans="1:83" x14ac:dyDescent="0.25">
      <c r="A1077">
        <v>2024</v>
      </c>
      <c r="B1077" t="s">
        <v>759</v>
      </c>
      <c r="C1077" t="s">
        <v>1654</v>
      </c>
      <c r="D1077" t="s">
        <v>1655</v>
      </c>
      <c r="E1077" t="s">
        <v>1149</v>
      </c>
      <c r="F1077" t="s">
        <v>752</v>
      </c>
      <c r="G1077" t="s">
        <v>34</v>
      </c>
      <c r="H1077" t="s">
        <v>59</v>
      </c>
      <c r="I1077">
        <v>45103</v>
      </c>
      <c r="J1077">
        <v>45240</v>
      </c>
      <c r="K1077">
        <v>45239</v>
      </c>
      <c r="L1077">
        <v>1</v>
      </c>
      <c r="N1077" t="s">
        <v>120</v>
      </c>
      <c r="O1077">
        <v>45261</v>
      </c>
      <c r="P1077" t="s">
        <v>120</v>
      </c>
      <c r="Q1077">
        <v>141816.94339999999</v>
      </c>
      <c r="R1077">
        <v>0.11</v>
      </c>
      <c r="V1077">
        <v>1578</v>
      </c>
      <c r="W1077">
        <v>3</v>
      </c>
      <c r="X1077">
        <v>1112237.6399999999</v>
      </c>
      <c r="Z1077">
        <v>177007.3</v>
      </c>
      <c r="AA1077">
        <v>1289244.94</v>
      </c>
      <c r="AB1077">
        <v>45245</v>
      </c>
      <c r="AC1077" t="s">
        <v>811</v>
      </c>
      <c r="AD1077" t="s">
        <v>29</v>
      </c>
      <c r="AE1077">
        <v>45239</v>
      </c>
      <c r="AF1077">
        <v>45240</v>
      </c>
      <c r="AG1077">
        <v>45245</v>
      </c>
      <c r="AH1077">
        <v>45245</v>
      </c>
      <c r="AM1077" t="s">
        <v>116</v>
      </c>
      <c r="AN1077" t="s">
        <v>709</v>
      </c>
      <c r="AO1077">
        <v>11071464</v>
      </c>
      <c r="AS1077">
        <v>0</v>
      </c>
      <c r="AT1077">
        <v>0</v>
      </c>
      <c r="AU1077">
        <v>0</v>
      </c>
      <c r="AY1077" t="s">
        <v>709</v>
      </c>
      <c r="AZ1077">
        <v>160</v>
      </c>
      <c r="BA1077" t="s">
        <v>1656</v>
      </c>
      <c r="BB1077" t="s">
        <v>1657</v>
      </c>
      <c r="BC1077" t="s">
        <v>115</v>
      </c>
      <c r="BD1077" t="s">
        <v>115</v>
      </c>
      <c r="BE1077" t="s">
        <v>3609</v>
      </c>
      <c r="BF1077" t="s">
        <v>115</v>
      </c>
      <c r="BG1077" t="s">
        <v>115</v>
      </c>
      <c r="BH1077" t="s">
        <v>1658</v>
      </c>
      <c r="BI1077" t="s">
        <v>709</v>
      </c>
      <c r="BJ1077" t="s">
        <v>709</v>
      </c>
      <c r="BK1077" t="s">
        <v>116</v>
      </c>
      <c r="BL1077" t="s">
        <v>116</v>
      </c>
      <c r="BM1077" t="s">
        <v>709</v>
      </c>
      <c r="BN1077">
        <v>248</v>
      </c>
      <c r="BO1077" t="s">
        <v>709</v>
      </c>
      <c r="BP1077">
        <v>26</v>
      </c>
      <c r="BQ1077">
        <v>1169</v>
      </c>
      <c r="BR1077">
        <v>40</v>
      </c>
      <c r="BS1077">
        <v>5</v>
      </c>
      <c r="BT1077">
        <v>1</v>
      </c>
      <c r="BU1077" t="s">
        <v>709</v>
      </c>
      <c r="BV1077" t="s">
        <v>709</v>
      </c>
      <c r="BW1077" t="s">
        <v>709</v>
      </c>
      <c r="BX1077">
        <v>1</v>
      </c>
      <c r="BY1077" t="s">
        <v>709</v>
      </c>
      <c r="BZ1077" t="s">
        <v>709</v>
      </c>
      <c r="CA1077" t="s">
        <v>769</v>
      </c>
      <c r="CB1077">
        <v>1075</v>
      </c>
      <c r="CC1077" t="b">
        <v>1</v>
      </c>
      <c r="CD1077" t="s">
        <v>6045</v>
      </c>
      <c r="CE1077" s="1482">
        <v>45880.738611111112</v>
      </c>
    </row>
    <row r="1078" spans="1:83" x14ac:dyDescent="0.25">
      <c r="A1078">
        <v>2024</v>
      </c>
      <c r="B1078" t="s">
        <v>759</v>
      </c>
      <c r="C1078" t="s">
        <v>1648</v>
      </c>
      <c r="D1078" t="s">
        <v>1649</v>
      </c>
      <c r="E1078" t="s">
        <v>1650</v>
      </c>
      <c r="F1078" t="s">
        <v>752</v>
      </c>
      <c r="G1078" t="s">
        <v>37</v>
      </c>
      <c r="H1078" t="s">
        <v>59</v>
      </c>
      <c r="I1078">
        <v>45103</v>
      </c>
      <c r="J1078">
        <v>45239</v>
      </c>
      <c r="K1078">
        <v>45239</v>
      </c>
      <c r="L1078">
        <v>0</v>
      </c>
      <c r="N1078" t="s">
        <v>120</v>
      </c>
      <c r="O1078">
        <v>45261</v>
      </c>
      <c r="P1078" t="s">
        <v>120</v>
      </c>
      <c r="Q1078">
        <v>113917.20450000001</v>
      </c>
      <c r="R1078">
        <v>0.11</v>
      </c>
      <c r="V1078">
        <v>2092</v>
      </c>
      <c r="W1078">
        <v>3</v>
      </c>
      <c r="X1078">
        <v>940183.43</v>
      </c>
      <c r="Z1078">
        <v>95427.520000000004</v>
      </c>
      <c r="AA1078">
        <v>1035610.95</v>
      </c>
      <c r="AB1078">
        <v>45245</v>
      </c>
      <c r="AC1078" t="s">
        <v>811</v>
      </c>
      <c r="AD1078" t="s">
        <v>116</v>
      </c>
      <c r="AE1078">
        <v>45239</v>
      </c>
      <c r="AF1078">
        <v>45240</v>
      </c>
      <c r="AG1078">
        <v>45245</v>
      </c>
      <c r="AH1078">
        <v>45245</v>
      </c>
      <c r="AM1078" t="s">
        <v>116</v>
      </c>
      <c r="AN1078" t="s">
        <v>709</v>
      </c>
      <c r="AS1078">
        <v>0</v>
      </c>
      <c r="AT1078">
        <v>0</v>
      </c>
      <c r="AU1078">
        <v>0</v>
      </c>
      <c r="AY1078" t="s">
        <v>709</v>
      </c>
      <c r="AZ1078">
        <v>159</v>
      </c>
      <c r="BA1078" t="s">
        <v>1651</v>
      </c>
      <c r="BB1078" t="s">
        <v>1652</v>
      </c>
      <c r="BC1078" t="s">
        <v>709</v>
      </c>
      <c r="BD1078" t="s">
        <v>6046</v>
      </c>
      <c r="BE1078" t="s">
        <v>3609</v>
      </c>
      <c r="BF1078" t="s">
        <v>709</v>
      </c>
      <c r="BG1078" t="s">
        <v>709</v>
      </c>
      <c r="BH1078" t="s">
        <v>1653</v>
      </c>
      <c r="BI1078" t="s">
        <v>709</v>
      </c>
      <c r="BJ1078" t="s">
        <v>709</v>
      </c>
      <c r="BK1078" t="s">
        <v>116</v>
      </c>
      <c r="BL1078" t="s">
        <v>116</v>
      </c>
      <c r="BM1078" t="s">
        <v>709</v>
      </c>
      <c r="BN1078" t="s">
        <v>709</v>
      </c>
      <c r="BO1078" t="s">
        <v>709</v>
      </c>
      <c r="BP1078">
        <v>125</v>
      </c>
      <c r="BQ1078">
        <v>1883</v>
      </c>
      <c r="BR1078">
        <v>164</v>
      </c>
      <c r="BS1078">
        <v>45</v>
      </c>
      <c r="BT1078">
        <v>1</v>
      </c>
      <c r="BU1078" t="s">
        <v>709</v>
      </c>
      <c r="BV1078" t="s">
        <v>709</v>
      </c>
      <c r="BW1078">
        <v>1</v>
      </c>
      <c r="BX1078" t="s">
        <v>709</v>
      </c>
      <c r="BY1078" t="s">
        <v>709</v>
      </c>
      <c r="BZ1078" t="s">
        <v>709</v>
      </c>
      <c r="CA1078" t="s">
        <v>769</v>
      </c>
      <c r="CB1078">
        <v>1076</v>
      </c>
      <c r="CC1078" t="b">
        <v>1</v>
      </c>
      <c r="CD1078" t="s">
        <v>6047</v>
      </c>
      <c r="CE1078" s="1482">
        <v>45880.738622685189</v>
      </c>
    </row>
    <row r="1079" spans="1:83" x14ac:dyDescent="0.25">
      <c r="A1079">
        <v>2024</v>
      </c>
      <c r="B1079" t="s">
        <v>4</v>
      </c>
      <c r="C1079" t="s">
        <v>6048</v>
      </c>
      <c r="D1079" t="s">
        <v>6049</v>
      </c>
      <c r="E1079" t="s">
        <v>354</v>
      </c>
      <c r="F1079" t="s">
        <v>5661</v>
      </c>
      <c r="G1079" t="s">
        <v>27</v>
      </c>
      <c r="H1079" t="s">
        <v>59</v>
      </c>
      <c r="I1079">
        <v>45104</v>
      </c>
      <c r="J1079">
        <v>45239</v>
      </c>
      <c r="K1079">
        <v>45239</v>
      </c>
      <c r="L1079">
        <v>0</v>
      </c>
      <c r="M1079" t="s">
        <v>6050</v>
      </c>
      <c r="N1079" t="s">
        <v>120</v>
      </c>
      <c r="O1079">
        <v>45261</v>
      </c>
      <c r="P1079" t="s">
        <v>739</v>
      </c>
      <c r="Q1079">
        <v>82322.5</v>
      </c>
      <c r="R1079" t="s">
        <v>1922</v>
      </c>
      <c r="S1079" t="s">
        <v>709</v>
      </c>
      <c r="T1079">
        <v>0</v>
      </c>
      <c r="U1079">
        <v>82322.5</v>
      </c>
      <c r="V1079">
        <v>797</v>
      </c>
      <c r="W1079">
        <v>0</v>
      </c>
      <c r="X1079">
        <v>527328.43000000005</v>
      </c>
      <c r="Z1079">
        <v>50157</v>
      </c>
      <c r="AA1079" t="s">
        <v>915</v>
      </c>
      <c r="AB1079">
        <v>45236</v>
      </c>
      <c r="AC1079" t="s">
        <v>116</v>
      </c>
      <c r="AD1079" t="s">
        <v>29</v>
      </c>
      <c r="AE1079" t="s">
        <v>116</v>
      </c>
      <c r="AF1079" t="s">
        <v>756</v>
      </c>
      <c r="AG1079" t="s">
        <v>116</v>
      </c>
      <c r="AH1079">
        <v>45272</v>
      </c>
      <c r="AM1079" t="s">
        <v>709</v>
      </c>
      <c r="AY1079" t="s">
        <v>29</v>
      </c>
      <c r="BA1079" t="s">
        <v>6051</v>
      </c>
      <c r="BB1079" t="s">
        <v>6052</v>
      </c>
      <c r="BC1079" t="s">
        <v>116</v>
      </c>
      <c r="BD1079" t="s">
        <v>709</v>
      </c>
      <c r="BE1079" t="s">
        <v>116</v>
      </c>
      <c r="BF1079" t="s">
        <v>709</v>
      </c>
      <c r="BG1079" t="s">
        <v>709</v>
      </c>
      <c r="BH1079" t="s">
        <v>6053</v>
      </c>
      <c r="BI1079" t="s">
        <v>116</v>
      </c>
      <c r="BJ1079" t="s">
        <v>709</v>
      </c>
      <c r="BK1079" t="s">
        <v>709</v>
      </c>
      <c r="BL1079" t="s">
        <v>709</v>
      </c>
      <c r="BM1079" t="s">
        <v>709</v>
      </c>
      <c r="BN1079">
        <v>797</v>
      </c>
      <c r="BO1079" t="s">
        <v>709</v>
      </c>
      <c r="BP1079" t="s">
        <v>709</v>
      </c>
      <c r="BQ1079" t="s">
        <v>709</v>
      </c>
      <c r="BR1079" t="s">
        <v>709</v>
      </c>
      <c r="BS1079" t="s">
        <v>709</v>
      </c>
      <c r="BT1079" t="s">
        <v>745</v>
      </c>
      <c r="BU1079" t="s">
        <v>709</v>
      </c>
      <c r="BV1079" t="s">
        <v>709</v>
      </c>
      <c r="BW1079" t="s">
        <v>709</v>
      </c>
      <c r="BX1079" t="s">
        <v>709</v>
      </c>
      <c r="BY1079" t="s">
        <v>745</v>
      </c>
      <c r="BZ1079" t="s">
        <v>709</v>
      </c>
      <c r="CB1079">
        <v>1077</v>
      </c>
      <c r="CC1079" t="b">
        <v>1</v>
      </c>
      <c r="CD1079" t="s">
        <v>6054</v>
      </c>
      <c r="CE1079" s="1482">
        <v>45880.738622685189</v>
      </c>
    </row>
    <row r="1080" spans="1:83" ht="165" x14ac:dyDescent="0.25">
      <c r="A1080">
        <v>2023</v>
      </c>
      <c r="B1080" t="s">
        <v>759</v>
      </c>
      <c r="C1080" t="s">
        <v>1259</v>
      </c>
      <c r="D1080" t="s">
        <v>1260</v>
      </c>
      <c r="E1080" t="s">
        <v>1261</v>
      </c>
      <c r="F1080" t="s">
        <v>752</v>
      </c>
      <c r="G1080" t="s">
        <v>34</v>
      </c>
      <c r="H1080" t="s">
        <v>59</v>
      </c>
      <c r="I1080">
        <v>45015</v>
      </c>
      <c r="J1080">
        <v>45247</v>
      </c>
      <c r="K1080">
        <v>45243</v>
      </c>
      <c r="L1080">
        <v>4</v>
      </c>
      <c r="N1080" t="s">
        <v>120</v>
      </c>
      <c r="O1080">
        <v>45261</v>
      </c>
      <c r="P1080" t="s">
        <v>120</v>
      </c>
      <c r="Q1080">
        <v>98159.153399999996</v>
      </c>
      <c r="R1080">
        <v>0.11</v>
      </c>
      <c r="V1080">
        <v>1146</v>
      </c>
      <c r="W1080">
        <v>3</v>
      </c>
      <c r="X1080">
        <v>808862.07</v>
      </c>
      <c r="Z1080">
        <v>83493.87</v>
      </c>
      <c r="AA1080">
        <v>892355.94</v>
      </c>
      <c r="AB1080">
        <v>45257</v>
      </c>
      <c r="AC1080" t="s">
        <v>1659</v>
      </c>
      <c r="AD1080" t="s">
        <v>29</v>
      </c>
      <c r="AE1080" t="s">
        <v>756</v>
      </c>
      <c r="AF1080" t="s">
        <v>29</v>
      </c>
      <c r="AG1080" t="s">
        <v>116</v>
      </c>
      <c r="AH1080" t="s">
        <v>116</v>
      </c>
      <c r="AM1080" t="s">
        <v>116</v>
      </c>
      <c r="AN1080" t="s">
        <v>709</v>
      </c>
      <c r="AO1080">
        <v>11039510</v>
      </c>
      <c r="AS1080">
        <v>0</v>
      </c>
      <c r="AT1080">
        <v>0</v>
      </c>
      <c r="AU1080">
        <v>0</v>
      </c>
      <c r="AY1080" t="s">
        <v>709</v>
      </c>
      <c r="AZ1080">
        <v>161</v>
      </c>
      <c r="BA1080" s="4" t="s">
        <v>1660</v>
      </c>
      <c r="BB1080" t="s">
        <v>1661</v>
      </c>
      <c r="BC1080" t="s">
        <v>115</v>
      </c>
      <c r="BD1080" t="s">
        <v>1066</v>
      </c>
      <c r="BE1080" t="s">
        <v>115</v>
      </c>
      <c r="BF1080" t="s">
        <v>115</v>
      </c>
      <c r="BG1080" t="s">
        <v>115</v>
      </c>
      <c r="BH1080" t="s">
        <v>1662</v>
      </c>
      <c r="BI1080" t="s">
        <v>709</v>
      </c>
      <c r="BJ1080" t="s">
        <v>709</v>
      </c>
      <c r="BK1080" t="s">
        <v>116</v>
      </c>
      <c r="BL1080" t="s">
        <v>116</v>
      </c>
      <c r="BM1080" t="s">
        <v>709</v>
      </c>
      <c r="BN1080" t="s">
        <v>709</v>
      </c>
      <c r="BO1080" t="s">
        <v>709</v>
      </c>
      <c r="BP1080">
        <v>789</v>
      </c>
      <c r="BQ1080">
        <v>164</v>
      </c>
      <c r="BR1080">
        <v>45</v>
      </c>
      <c r="BS1080">
        <v>5</v>
      </c>
      <c r="BT1080">
        <v>1</v>
      </c>
      <c r="BU1080" t="s">
        <v>709</v>
      </c>
      <c r="BV1080" t="s">
        <v>709</v>
      </c>
      <c r="BW1080">
        <v>1</v>
      </c>
      <c r="BX1080">
        <v>1</v>
      </c>
      <c r="BY1080" t="s">
        <v>709</v>
      </c>
      <c r="BZ1080" t="s">
        <v>709</v>
      </c>
      <c r="CA1080" t="s">
        <v>769</v>
      </c>
      <c r="CB1080">
        <v>1078</v>
      </c>
      <c r="CC1080" t="b">
        <v>1</v>
      </c>
      <c r="CD1080" t="s">
        <v>6055</v>
      </c>
      <c r="CE1080" s="1482">
        <v>45880.738622685189</v>
      </c>
    </row>
    <row r="1081" spans="1:83" ht="195" x14ac:dyDescent="0.25">
      <c r="A1081">
        <v>2023</v>
      </c>
      <c r="B1081" t="s">
        <v>4</v>
      </c>
      <c r="C1081" t="s">
        <v>842</v>
      </c>
      <c r="D1081" t="s">
        <v>843</v>
      </c>
      <c r="E1081" t="s">
        <v>844</v>
      </c>
      <c r="F1081" t="s">
        <v>784</v>
      </c>
      <c r="G1081" t="s">
        <v>31</v>
      </c>
      <c r="H1081" t="s">
        <v>413</v>
      </c>
      <c r="I1081">
        <v>45202</v>
      </c>
      <c r="J1081">
        <v>45247</v>
      </c>
      <c r="K1081">
        <v>45243</v>
      </c>
      <c r="L1081">
        <v>4</v>
      </c>
      <c r="N1081" t="s">
        <v>120</v>
      </c>
      <c r="O1081">
        <v>45261</v>
      </c>
      <c r="P1081" t="s">
        <v>739</v>
      </c>
      <c r="Q1081">
        <v>12350.125</v>
      </c>
      <c r="R1081">
        <v>0.1</v>
      </c>
      <c r="V1081">
        <v>196</v>
      </c>
      <c r="W1081">
        <v>0</v>
      </c>
      <c r="X1081">
        <v>98117.29</v>
      </c>
      <c r="Z1081">
        <v>25383.96</v>
      </c>
      <c r="AA1081">
        <v>123501.25</v>
      </c>
      <c r="AB1081">
        <v>45257</v>
      </c>
      <c r="AC1081" t="s">
        <v>709</v>
      </c>
      <c r="AD1081" t="s">
        <v>29</v>
      </c>
      <c r="AE1081" t="s">
        <v>116</v>
      </c>
      <c r="AF1081" t="s">
        <v>756</v>
      </c>
      <c r="AG1081">
        <v>45308</v>
      </c>
      <c r="AH1081">
        <v>45308</v>
      </c>
      <c r="AM1081" t="s">
        <v>116</v>
      </c>
      <c r="AN1081">
        <v>45348</v>
      </c>
      <c r="AO1081">
        <v>11079101</v>
      </c>
      <c r="AP1081">
        <v>98117.29</v>
      </c>
      <c r="AR1081">
        <v>25384.51</v>
      </c>
      <c r="AS1081">
        <v>123501.8</v>
      </c>
      <c r="AT1081">
        <v>0.55000000000000004</v>
      </c>
      <c r="AU1081">
        <v>5.5E-2</v>
      </c>
      <c r="AV1081">
        <v>0</v>
      </c>
      <c r="AX1081">
        <v>0.05</v>
      </c>
      <c r="AY1081">
        <v>45566</v>
      </c>
      <c r="AZ1081">
        <v>103</v>
      </c>
      <c r="BA1081" s="4" t="s">
        <v>845</v>
      </c>
      <c r="BB1081" t="s">
        <v>846</v>
      </c>
      <c r="BC1081" t="s">
        <v>709</v>
      </c>
      <c r="BD1081" t="s">
        <v>115</v>
      </c>
      <c r="BE1081" t="s">
        <v>846</v>
      </c>
      <c r="BF1081" t="s">
        <v>115</v>
      </c>
      <c r="BG1081" t="s">
        <v>115</v>
      </c>
      <c r="BH1081" t="s">
        <v>847</v>
      </c>
      <c r="BI1081" t="s">
        <v>709</v>
      </c>
      <c r="BJ1081" t="s">
        <v>709</v>
      </c>
      <c r="BK1081" t="s">
        <v>709</v>
      </c>
      <c r="BL1081" t="s">
        <v>116</v>
      </c>
      <c r="BM1081" t="s">
        <v>709</v>
      </c>
      <c r="BN1081" t="s">
        <v>709</v>
      </c>
      <c r="BO1081" t="s">
        <v>709</v>
      </c>
      <c r="BP1081" t="s">
        <v>709</v>
      </c>
      <c r="BQ1081" t="s">
        <v>709</v>
      </c>
      <c r="BR1081" t="s">
        <v>709</v>
      </c>
      <c r="BS1081">
        <v>196</v>
      </c>
      <c r="BT1081" t="s">
        <v>709</v>
      </c>
      <c r="BU1081" t="s">
        <v>709</v>
      </c>
      <c r="BV1081" t="s">
        <v>709</v>
      </c>
      <c r="BW1081" t="s">
        <v>709</v>
      </c>
      <c r="BX1081" t="s">
        <v>745</v>
      </c>
      <c r="BY1081" t="s">
        <v>709</v>
      </c>
      <c r="BZ1081" t="s">
        <v>709</v>
      </c>
      <c r="CB1081">
        <v>1079</v>
      </c>
      <c r="CC1081" t="b">
        <v>1</v>
      </c>
      <c r="CD1081" t="s">
        <v>6056</v>
      </c>
      <c r="CE1081" s="1482">
        <v>45880.738622685189</v>
      </c>
    </row>
    <row r="1082" spans="1:83" x14ac:dyDescent="0.25">
      <c r="A1082">
        <v>2023</v>
      </c>
      <c r="B1082" t="s">
        <v>4</v>
      </c>
      <c r="C1082" t="s">
        <v>1023</v>
      </c>
      <c r="D1082">
        <v>1212901</v>
      </c>
      <c r="E1082" t="s">
        <v>245</v>
      </c>
      <c r="F1082" t="s">
        <v>784</v>
      </c>
      <c r="G1082" t="s">
        <v>31</v>
      </c>
      <c r="H1082" t="s">
        <v>4109</v>
      </c>
      <c r="I1082">
        <v>45226</v>
      </c>
      <c r="J1082" t="s">
        <v>4110</v>
      </c>
      <c r="K1082">
        <v>45244</v>
      </c>
      <c r="L1082">
        <v>18</v>
      </c>
      <c r="M1082" t="s">
        <v>6057</v>
      </c>
      <c r="N1082" t="s">
        <v>120</v>
      </c>
      <c r="O1082">
        <v>45261</v>
      </c>
      <c r="P1082" t="s">
        <v>739</v>
      </c>
      <c r="Q1082">
        <v>4330</v>
      </c>
      <c r="R1082" t="s">
        <v>1922</v>
      </c>
      <c r="S1082">
        <v>0</v>
      </c>
      <c r="T1082">
        <v>0</v>
      </c>
      <c r="U1082">
        <v>4330</v>
      </c>
      <c r="AB1082" t="s">
        <v>29</v>
      </c>
      <c r="AC1082" t="s">
        <v>29</v>
      </c>
      <c r="AD1082" t="s">
        <v>29</v>
      </c>
      <c r="AE1082" t="s">
        <v>756</v>
      </c>
      <c r="AF1082" t="s">
        <v>756</v>
      </c>
      <c r="AG1082" t="s">
        <v>29</v>
      </c>
      <c r="AH1082" t="s">
        <v>29</v>
      </c>
      <c r="AM1082" t="s">
        <v>709</v>
      </c>
      <c r="AY1082" t="s">
        <v>29</v>
      </c>
      <c r="BA1082" t="s">
        <v>6058</v>
      </c>
      <c r="BB1082" t="s">
        <v>6059</v>
      </c>
      <c r="BI1082" t="s">
        <v>709</v>
      </c>
      <c r="BJ1082" t="s">
        <v>709</v>
      </c>
      <c r="BK1082" t="s">
        <v>709</v>
      </c>
      <c r="BL1082" t="s">
        <v>116</v>
      </c>
      <c r="BM1082" t="s">
        <v>709</v>
      </c>
      <c r="BN1082" t="s">
        <v>709</v>
      </c>
      <c r="BO1082" t="s">
        <v>709</v>
      </c>
      <c r="BP1082" t="s">
        <v>709</v>
      </c>
      <c r="BQ1082">
        <v>2712</v>
      </c>
      <c r="BR1082" t="s">
        <v>709</v>
      </c>
      <c r="BS1082">
        <v>2578</v>
      </c>
      <c r="BT1082" t="s">
        <v>709</v>
      </c>
      <c r="BU1082" t="s">
        <v>709</v>
      </c>
      <c r="BV1082">
        <v>1</v>
      </c>
      <c r="BW1082" t="s">
        <v>709</v>
      </c>
      <c r="BX1082" t="s">
        <v>745</v>
      </c>
      <c r="BY1082" t="s">
        <v>709</v>
      </c>
      <c r="BZ1082" t="s">
        <v>709</v>
      </c>
      <c r="CA1082" t="s">
        <v>915</v>
      </c>
      <c r="CB1082">
        <v>1081</v>
      </c>
      <c r="CC1082" t="b">
        <v>1</v>
      </c>
      <c r="CD1082" t="s">
        <v>6060</v>
      </c>
      <c r="CE1082" s="1482">
        <v>45880.738622685189</v>
      </c>
    </row>
    <row r="1083" spans="1:83" ht="255" x14ac:dyDescent="0.25">
      <c r="A1083">
        <v>2023</v>
      </c>
      <c r="B1083" t="s">
        <v>4</v>
      </c>
      <c r="C1083" t="s">
        <v>1068</v>
      </c>
      <c r="D1083" t="s">
        <v>1069</v>
      </c>
      <c r="E1083" t="s">
        <v>818</v>
      </c>
      <c r="F1083" t="s">
        <v>851</v>
      </c>
      <c r="G1083" t="s">
        <v>26</v>
      </c>
      <c r="H1083" t="s">
        <v>413</v>
      </c>
      <c r="I1083">
        <v>45153</v>
      </c>
      <c r="J1083">
        <v>45245</v>
      </c>
      <c r="K1083">
        <v>45244</v>
      </c>
      <c r="L1083">
        <v>1</v>
      </c>
      <c r="N1083" t="s">
        <v>120</v>
      </c>
      <c r="O1083">
        <v>45261</v>
      </c>
      <c r="P1083" t="s">
        <v>739</v>
      </c>
      <c r="Q1083">
        <v>14673.89</v>
      </c>
      <c r="R1083">
        <v>0.1</v>
      </c>
      <c r="V1083">
        <v>515</v>
      </c>
      <c r="X1083">
        <v>135816.75</v>
      </c>
      <c r="Z1083">
        <v>10922.15</v>
      </c>
      <c r="AA1083">
        <v>146738.9</v>
      </c>
      <c r="AB1083">
        <v>45210</v>
      </c>
      <c r="AC1083" t="s">
        <v>709</v>
      </c>
      <c r="AD1083" t="s">
        <v>29</v>
      </c>
      <c r="AE1083" t="s">
        <v>116</v>
      </c>
      <c r="AF1083" t="s">
        <v>756</v>
      </c>
      <c r="AG1083" t="s">
        <v>116</v>
      </c>
      <c r="AH1083">
        <v>45308</v>
      </c>
      <c r="AM1083" t="s">
        <v>116</v>
      </c>
      <c r="AN1083">
        <v>45468</v>
      </c>
      <c r="AO1083">
        <v>11084991</v>
      </c>
      <c r="AP1083">
        <v>135820.13</v>
      </c>
      <c r="AR1083">
        <v>10922.15</v>
      </c>
      <c r="AS1083">
        <v>146742.28</v>
      </c>
      <c r="AT1083">
        <v>3.38</v>
      </c>
      <c r="AU1083">
        <v>0.33800000000000002</v>
      </c>
      <c r="AV1083">
        <v>0</v>
      </c>
      <c r="AW1083" t="s">
        <v>1005</v>
      </c>
      <c r="AX1083">
        <v>0.34</v>
      </c>
      <c r="AY1083">
        <v>45566</v>
      </c>
      <c r="AZ1083">
        <v>104</v>
      </c>
      <c r="BA1083" s="4" t="s">
        <v>1070</v>
      </c>
      <c r="BB1083" t="s">
        <v>1071</v>
      </c>
      <c r="BC1083" t="s">
        <v>116</v>
      </c>
      <c r="BD1083" t="s">
        <v>862</v>
      </c>
      <c r="BE1083" t="s">
        <v>822</v>
      </c>
      <c r="BF1083" t="s">
        <v>709</v>
      </c>
      <c r="BG1083" t="s">
        <v>709</v>
      </c>
      <c r="BH1083" t="s">
        <v>1072</v>
      </c>
      <c r="BI1083" t="s">
        <v>709</v>
      </c>
      <c r="BJ1083" t="s">
        <v>709</v>
      </c>
      <c r="BK1083" t="s">
        <v>709</v>
      </c>
      <c r="BL1083" t="s">
        <v>116</v>
      </c>
      <c r="BM1083" t="s">
        <v>709</v>
      </c>
      <c r="BN1083" t="s">
        <v>709</v>
      </c>
      <c r="BO1083" t="s">
        <v>709</v>
      </c>
      <c r="BP1083" t="s">
        <v>709</v>
      </c>
      <c r="BQ1083" t="s">
        <v>709</v>
      </c>
      <c r="BR1083" t="s">
        <v>709</v>
      </c>
      <c r="BS1083">
        <v>515</v>
      </c>
      <c r="BT1083" t="s">
        <v>709</v>
      </c>
      <c r="BU1083" t="s">
        <v>709</v>
      </c>
      <c r="BV1083" t="s">
        <v>709</v>
      </c>
      <c r="BW1083" t="s">
        <v>709</v>
      </c>
      <c r="BX1083" t="s">
        <v>745</v>
      </c>
      <c r="BY1083" t="s">
        <v>709</v>
      </c>
      <c r="BZ1083" t="s">
        <v>709</v>
      </c>
      <c r="CB1083">
        <v>1080</v>
      </c>
      <c r="CC1083" t="b">
        <v>1</v>
      </c>
      <c r="CD1083" t="s">
        <v>6061</v>
      </c>
      <c r="CE1083" s="1482">
        <v>45880.738634259258</v>
      </c>
    </row>
    <row r="1084" spans="1:83" ht="315" x14ac:dyDescent="0.25">
      <c r="A1084">
        <v>2023</v>
      </c>
      <c r="B1084" t="s">
        <v>4</v>
      </c>
      <c r="C1084" t="s">
        <v>1669</v>
      </c>
      <c r="D1084" t="s">
        <v>1670</v>
      </c>
      <c r="E1084" t="s">
        <v>1665</v>
      </c>
      <c r="F1084" t="s">
        <v>784</v>
      </c>
      <c r="G1084" t="s">
        <v>25</v>
      </c>
      <c r="H1084" t="s">
        <v>413</v>
      </c>
      <c r="I1084">
        <v>45064</v>
      </c>
      <c r="J1084">
        <v>45247</v>
      </c>
      <c r="K1084">
        <v>45246</v>
      </c>
      <c r="L1084">
        <v>1</v>
      </c>
      <c r="N1084" t="s">
        <v>120</v>
      </c>
      <c r="O1084">
        <v>45292</v>
      </c>
      <c r="P1084" t="s">
        <v>739</v>
      </c>
      <c r="Q1084">
        <v>515321.83799999999</v>
      </c>
      <c r="R1084">
        <v>0.1</v>
      </c>
      <c r="V1084">
        <v>11549</v>
      </c>
      <c r="W1084">
        <v>0</v>
      </c>
      <c r="X1084">
        <v>3052987.02</v>
      </c>
      <c r="Z1084">
        <v>2100231.36</v>
      </c>
      <c r="AA1084">
        <v>5153218.38</v>
      </c>
      <c r="AB1084">
        <v>45225</v>
      </c>
      <c r="AC1084" t="s">
        <v>709</v>
      </c>
      <c r="AD1084" t="s">
        <v>116</v>
      </c>
      <c r="AE1084" t="s">
        <v>116</v>
      </c>
      <c r="AF1084" t="s">
        <v>116</v>
      </c>
      <c r="AG1084" t="s">
        <v>376</v>
      </c>
      <c r="AH1084">
        <v>45308</v>
      </c>
      <c r="AI1084">
        <v>9850</v>
      </c>
      <c r="AJ1084">
        <v>9217.5</v>
      </c>
      <c r="AK1084">
        <v>5542</v>
      </c>
      <c r="AL1084">
        <v>4.7755593078514173E-2</v>
      </c>
      <c r="AM1084" t="s">
        <v>116</v>
      </c>
      <c r="AN1084">
        <v>45593</v>
      </c>
      <c r="AO1084">
        <v>11093015</v>
      </c>
      <c r="AP1084">
        <v>3066913.73</v>
      </c>
      <c r="AR1084">
        <v>1195583.6499999999</v>
      </c>
      <c r="AS1084">
        <v>4262497.38</v>
      </c>
      <c r="AT1084">
        <v>-890721</v>
      </c>
      <c r="AU1084">
        <v>-89072.1</v>
      </c>
      <c r="AV1084">
        <v>13248.75</v>
      </c>
      <c r="AW1084" t="s">
        <v>6062</v>
      </c>
      <c r="AX1084">
        <v>0</v>
      </c>
      <c r="AY1084">
        <v>45901</v>
      </c>
      <c r="AZ1084">
        <v>106</v>
      </c>
      <c r="BA1084" s="4" t="s">
        <v>1671</v>
      </c>
      <c r="BB1084" t="s">
        <v>870</v>
      </c>
      <c r="BC1084" t="s">
        <v>709</v>
      </c>
      <c r="BD1084" t="s">
        <v>1626</v>
      </c>
      <c r="BE1084" t="s">
        <v>1667</v>
      </c>
      <c r="BF1084" t="s">
        <v>709</v>
      </c>
      <c r="BG1084" t="s">
        <v>709</v>
      </c>
      <c r="BH1084" t="s">
        <v>1668</v>
      </c>
      <c r="BI1084" t="s">
        <v>709</v>
      </c>
      <c r="BJ1084" t="s">
        <v>709</v>
      </c>
      <c r="BK1084" t="s">
        <v>709</v>
      </c>
      <c r="BL1084" t="s">
        <v>116</v>
      </c>
      <c r="BM1084" t="s">
        <v>709</v>
      </c>
      <c r="BN1084" t="s">
        <v>709</v>
      </c>
      <c r="BO1084" t="s">
        <v>709</v>
      </c>
      <c r="BP1084" t="s">
        <v>709</v>
      </c>
      <c r="BQ1084">
        <v>7665</v>
      </c>
      <c r="BR1084">
        <v>1674</v>
      </c>
      <c r="BS1084">
        <v>2210</v>
      </c>
      <c r="BT1084" t="s">
        <v>709</v>
      </c>
      <c r="BU1084" t="s">
        <v>709</v>
      </c>
      <c r="BV1084" t="s">
        <v>709</v>
      </c>
      <c r="BW1084" t="s">
        <v>709</v>
      </c>
      <c r="BX1084" t="s">
        <v>745</v>
      </c>
      <c r="BY1084" t="s">
        <v>709</v>
      </c>
      <c r="BZ1084" t="s">
        <v>709</v>
      </c>
      <c r="CB1084">
        <v>1083</v>
      </c>
      <c r="CC1084" t="b">
        <v>1</v>
      </c>
      <c r="CD1084" t="s">
        <v>6063</v>
      </c>
      <c r="CE1084" s="1482">
        <v>45880.738634259258</v>
      </c>
    </row>
    <row r="1085" spans="1:83" ht="315" x14ac:dyDescent="0.25">
      <c r="A1085">
        <v>2023</v>
      </c>
      <c r="B1085" t="s">
        <v>4</v>
      </c>
      <c r="C1085" t="s">
        <v>1663</v>
      </c>
      <c r="D1085" t="s">
        <v>1664</v>
      </c>
      <c r="E1085" t="s">
        <v>1665</v>
      </c>
      <c r="F1085" t="s">
        <v>784</v>
      </c>
      <c r="G1085" t="s">
        <v>25</v>
      </c>
      <c r="H1085" t="s">
        <v>413</v>
      </c>
      <c r="I1085">
        <v>45064</v>
      </c>
      <c r="J1085">
        <v>45247</v>
      </c>
      <c r="K1085">
        <v>45246</v>
      </c>
      <c r="L1085">
        <v>1</v>
      </c>
      <c r="N1085" t="s">
        <v>120</v>
      </c>
      <c r="O1085">
        <v>45261</v>
      </c>
      <c r="P1085" t="s">
        <v>739</v>
      </c>
      <c r="Q1085">
        <v>69581.989000000001</v>
      </c>
      <c r="R1085">
        <v>0.1</v>
      </c>
      <c r="V1085">
        <v>1144</v>
      </c>
      <c r="W1085">
        <v>0</v>
      </c>
      <c r="X1085">
        <v>256271.07</v>
      </c>
      <c r="Z1085">
        <v>439548.82</v>
      </c>
      <c r="AA1085">
        <v>695819.89</v>
      </c>
      <c r="AB1085">
        <v>45180</v>
      </c>
      <c r="AC1085" t="s">
        <v>709</v>
      </c>
      <c r="AD1085" t="s">
        <v>29</v>
      </c>
      <c r="AE1085" t="s">
        <v>116</v>
      </c>
      <c r="AF1085" t="s">
        <v>756</v>
      </c>
      <c r="AG1085" t="s">
        <v>376</v>
      </c>
      <c r="AH1085">
        <v>45308</v>
      </c>
      <c r="AM1085" t="s">
        <v>116</v>
      </c>
      <c r="AN1085">
        <v>45581</v>
      </c>
      <c r="AO1085">
        <v>11092386</v>
      </c>
      <c r="AP1085">
        <v>71911.88</v>
      </c>
      <c r="AR1085">
        <v>72890.320000000007</v>
      </c>
      <c r="AS1085">
        <v>144802.20000000001</v>
      </c>
      <c r="AT1085">
        <v>-551017.68999999994</v>
      </c>
      <c r="AU1085">
        <v>-55101.769</v>
      </c>
      <c r="AV1085">
        <v>13248.75</v>
      </c>
      <c r="AW1085" t="s">
        <v>6064</v>
      </c>
      <c r="AX1085">
        <v>0</v>
      </c>
      <c r="AY1085">
        <v>45901</v>
      </c>
      <c r="AZ1085">
        <v>105</v>
      </c>
      <c r="BA1085" s="4" t="s">
        <v>1666</v>
      </c>
      <c r="BB1085" t="s">
        <v>870</v>
      </c>
      <c r="BC1085" t="s">
        <v>709</v>
      </c>
      <c r="BD1085" t="s">
        <v>1626</v>
      </c>
      <c r="BE1085" t="s">
        <v>1667</v>
      </c>
      <c r="BF1085" t="s">
        <v>709</v>
      </c>
      <c r="BG1085" t="s">
        <v>709</v>
      </c>
      <c r="BH1085" t="s">
        <v>1668</v>
      </c>
      <c r="BI1085" t="s">
        <v>709</v>
      </c>
      <c r="BJ1085" t="s">
        <v>709</v>
      </c>
      <c r="BK1085" t="s">
        <v>709</v>
      </c>
      <c r="BL1085" t="s">
        <v>116</v>
      </c>
      <c r="BM1085" t="s">
        <v>709</v>
      </c>
      <c r="BN1085" t="s">
        <v>709</v>
      </c>
      <c r="BO1085" t="s">
        <v>709</v>
      </c>
      <c r="BP1085" t="s">
        <v>709</v>
      </c>
      <c r="BQ1085">
        <v>7663</v>
      </c>
      <c r="BR1085">
        <v>1674</v>
      </c>
      <c r="BS1085">
        <v>2204</v>
      </c>
      <c r="BT1085" t="s">
        <v>709</v>
      </c>
      <c r="BU1085" t="s">
        <v>709</v>
      </c>
      <c r="BV1085" t="s">
        <v>709</v>
      </c>
      <c r="BW1085" t="s">
        <v>709</v>
      </c>
      <c r="BX1085" t="s">
        <v>745</v>
      </c>
      <c r="BY1085" t="s">
        <v>709</v>
      </c>
      <c r="BZ1085" t="s">
        <v>709</v>
      </c>
      <c r="CB1085">
        <v>1082</v>
      </c>
      <c r="CC1085" t="b">
        <v>1</v>
      </c>
      <c r="CD1085" t="s">
        <v>6065</v>
      </c>
      <c r="CE1085" s="1482">
        <v>45880.738634259258</v>
      </c>
    </row>
    <row r="1086" spans="1:83" x14ac:dyDescent="0.25">
      <c r="A1086">
        <v>2023</v>
      </c>
      <c r="B1086" t="s">
        <v>4</v>
      </c>
      <c r="C1086" t="s">
        <v>5765</v>
      </c>
      <c r="D1086" t="s">
        <v>115</v>
      </c>
      <c r="E1086" t="s">
        <v>918</v>
      </c>
      <c r="F1086" t="s">
        <v>747</v>
      </c>
      <c r="G1086" t="s">
        <v>31</v>
      </c>
      <c r="H1086" t="s">
        <v>4109</v>
      </c>
      <c r="I1086">
        <v>45232</v>
      </c>
      <c r="J1086" t="s">
        <v>4110</v>
      </c>
      <c r="K1086">
        <v>45247</v>
      </c>
      <c r="L1086">
        <v>15</v>
      </c>
      <c r="M1086" t="s">
        <v>6066</v>
      </c>
      <c r="N1086" t="s">
        <v>120</v>
      </c>
      <c r="O1086">
        <v>45261</v>
      </c>
      <c r="P1086" t="s">
        <v>739</v>
      </c>
      <c r="Q1086">
        <v>12199.39</v>
      </c>
      <c r="R1086" t="s">
        <v>1922</v>
      </c>
      <c r="S1086">
        <v>6336.89</v>
      </c>
      <c r="T1086">
        <v>0</v>
      </c>
      <c r="U1086">
        <v>5862.5</v>
      </c>
      <c r="AB1086" t="s">
        <v>29</v>
      </c>
      <c r="AC1086" t="s">
        <v>29</v>
      </c>
      <c r="AD1086" t="s">
        <v>29</v>
      </c>
      <c r="AE1086" t="s">
        <v>756</v>
      </c>
      <c r="AF1086" t="s">
        <v>756</v>
      </c>
      <c r="AG1086" t="s">
        <v>29</v>
      </c>
      <c r="AH1086" t="s">
        <v>29</v>
      </c>
      <c r="AM1086" t="s">
        <v>709</v>
      </c>
      <c r="AY1086" t="s">
        <v>29</v>
      </c>
      <c r="BA1086" t="s">
        <v>6067</v>
      </c>
      <c r="BB1086" t="s">
        <v>29</v>
      </c>
      <c r="BH1086" t="s">
        <v>6068</v>
      </c>
      <c r="CA1086" t="s">
        <v>915</v>
      </c>
      <c r="CB1086">
        <v>1084</v>
      </c>
      <c r="CC1086" t="b">
        <v>1</v>
      </c>
      <c r="CD1086" t="s">
        <v>6069</v>
      </c>
      <c r="CE1086" s="1482">
        <v>45880.738645833335</v>
      </c>
    </row>
    <row r="1087" spans="1:83" x14ac:dyDescent="0.25">
      <c r="A1087">
        <v>2023</v>
      </c>
      <c r="B1087" t="s">
        <v>4</v>
      </c>
      <c r="C1087" t="s">
        <v>973</v>
      </c>
      <c r="D1087" t="s">
        <v>974</v>
      </c>
      <c r="E1087" t="s">
        <v>975</v>
      </c>
      <c r="F1087" t="s">
        <v>747</v>
      </c>
      <c r="G1087" t="s">
        <v>27</v>
      </c>
      <c r="H1087" t="s">
        <v>3661</v>
      </c>
      <c r="I1087">
        <v>45237</v>
      </c>
      <c r="J1087" t="s">
        <v>3662</v>
      </c>
      <c r="K1087">
        <v>45251</v>
      </c>
      <c r="L1087">
        <v>14</v>
      </c>
      <c r="M1087" t="s">
        <v>5279</v>
      </c>
      <c r="N1087" t="s">
        <v>120</v>
      </c>
      <c r="O1087">
        <v>45261</v>
      </c>
      <c r="P1087" t="s">
        <v>739</v>
      </c>
      <c r="Q1087">
        <v>4140</v>
      </c>
      <c r="R1087" t="s">
        <v>1922</v>
      </c>
      <c r="S1087" t="s">
        <v>709</v>
      </c>
      <c r="T1087" t="s">
        <v>709</v>
      </c>
      <c r="U1087">
        <v>4140</v>
      </c>
      <c r="AB1087" t="s">
        <v>29</v>
      </c>
      <c r="AC1087" t="s">
        <v>29</v>
      </c>
      <c r="AD1087" t="s">
        <v>29</v>
      </c>
      <c r="AM1087" t="s">
        <v>709</v>
      </c>
      <c r="AY1087" t="s">
        <v>29</v>
      </c>
      <c r="BA1087" t="s">
        <v>6070</v>
      </c>
      <c r="BB1087" t="s">
        <v>29</v>
      </c>
      <c r="BH1087" t="s">
        <v>6071</v>
      </c>
      <c r="BI1087" t="s">
        <v>709</v>
      </c>
      <c r="BJ1087" t="s">
        <v>709</v>
      </c>
      <c r="BK1087" t="s">
        <v>709</v>
      </c>
      <c r="BL1087" t="s">
        <v>116</v>
      </c>
      <c r="BM1087" t="s">
        <v>709</v>
      </c>
      <c r="BN1087" t="s">
        <v>709</v>
      </c>
      <c r="BO1087" t="s">
        <v>709</v>
      </c>
      <c r="BP1087" t="s">
        <v>709</v>
      </c>
      <c r="BQ1087" t="s">
        <v>709</v>
      </c>
      <c r="BR1087" t="s">
        <v>709</v>
      </c>
      <c r="BS1087">
        <v>240</v>
      </c>
      <c r="BT1087" t="s">
        <v>709</v>
      </c>
      <c r="BU1087" t="s">
        <v>709</v>
      </c>
      <c r="BV1087" t="s">
        <v>709</v>
      </c>
      <c r="BW1087" t="s">
        <v>709</v>
      </c>
      <c r="BX1087" t="s">
        <v>709</v>
      </c>
      <c r="BY1087" t="s">
        <v>709</v>
      </c>
      <c r="BZ1087" t="s">
        <v>709</v>
      </c>
      <c r="CA1087" t="s">
        <v>915</v>
      </c>
      <c r="CB1087">
        <v>1087</v>
      </c>
      <c r="CC1087" t="b">
        <v>1</v>
      </c>
      <c r="CD1087" t="s">
        <v>6072</v>
      </c>
      <c r="CE1087" s="1482">
        <v>45880.738645833335</v>
      </c>
    </row>
    <row r="1088" spans="1:83" x14ac:dyDescent="0.25">
      <c r="A1088">
        <v>2023</v>
      </c>
      <c r="B1088" t="s">
        <v>4</v>
      </c>
      <c r="C1088" t="s">
        <v>973</v>
      </c>
      <c r="D1088" t="s">
        <v>974</v>
      </c>
      <c r="E1088" t="s">
        <v>975</v>
      </c>
      <c r="F1088" t="s">
        <v>747</v>
      </c>
      <c r="G1088" t="s">
        <v>27</v>
      </c>
      <c r="H1088" t="s">
        <v>413</v>
      </c>
      <c r="I1088">
        <v>44120</v>
      </c>
      <c r="J1088">
        <v>45260</v>
      </c>
      <c r="K1088">
        <v>45251</v>
      </c>
      <c r="L1088">
        <v>9</v>
      </c>
      <c r="N1088" t="s">
        <v>120</v>
      </c>
      <c r="O1088">
        <v>45261</v>
      </c>
      <c r="P1088" t="s">
        <v>739</v>
      </c>
      <c r="Q1088">
        <v>25911.984</v>
      </c>
      <c r="R1088">
        <v>0.1</v>
      </c>
      <c r="V1088">
        <v>240</v>
      </c>
      <c r="W1088">
        <v>0</v>
      </c>
      <c r="X1088">
        <v>221240.09</v>
      </c>
      <c r="Z1088">
        <v>37879.75</v>
      </c>
      <c r="AA1088">
        <v>259119.84</v>
      </c>
      <c r="AB1088">
        <v>45259</v>
      </c>
      <c r="AC1088" t="s">
        <v>29</v>
      </c>
      <c r="AD1088" t="s">
        <v>29</v>
      </c>
      <c r="AE1088" t="s">
        <v>116</v>
      </c>
      <c r="AF1088" t="s">
        <v>756</v>
      </c>
      <c r="AG1088">
        <v>45371</v>
      </c>
      <c r="AH1088">
        <v>45371</v>
      </c>
      <c r="AM1088" t="s">
        <v>116</v>
      </c>
      <c r="AN1088">
        <v>45406</v>
      </c>
      <c r="AO1088">
        <v>11081728</v>
      </c>
      <c r="AP1088">
        <v>221242.69</v>
      </c>
      <c r="AR1088">
        <v>38476.71</v>
      </c>
      <c r="AS1088">
        <v>259719.4</v>
      </c>
      <c r="AT1088">
        <v>599.55999999999995</v>
      </c>
      <c r="AU1088">
        <v>59.956000000000003</v>
      </c>
      <c r="AV1088">
        <v>0</v>
      </c>
      <c r="AW1088" t="s">
        <v>976</v>
      </c>
      <c r="AX1088">
        <v>59.96</v>
      </c>
      <c r="AY1088">
        <v>45566</v>
      </c>
      <c r="AZ1088">
        <v>108</v>
      </c>
      <c r="BA1088" t="s">
        <v>977</v>
      </c>
      <c r="BB1088" t="s">
        <v>978</v>
      </c>
      <c r="BC1088" t="s">
        <v>115</v>
      </c>
      <c r="BD1088" t="s">
        <v>882</v>
      </c>
      <c r="BE1088" t="s">
        <v>6073</v>
      </c>
      <c r="BF1088" t="s">
        <v>115</v>
      </c>
      <c r="BG1088" t="s">
        <v>980</v>
      </c>
      <c r="BH1088" t="s">
        <v>981</v>
      </c>
      <c r="BI1088" t="s">
        <v>709</v>
      </c>
      <c r="BJ1088" t="s">
        <v>709</v>
      </c>
      <c r="BK1088" t="s">
        <v>709</v>
      </c>
      <c r="BL1088" t="s">
        <v>116</v>
      </c>
      <c r="BM1088" t="s">
        <v>709</v>
      </c>
      <c r="BN1088" t="s">
        <v>709</v>
      </c>
      <c r="BO1088" t="s">
        <v>709</v>
      </c>
      <c r="BP1088" t="s">
        <v>709</v>
      </c>
      <c r="BQ1088" t="s">
        <v>709</v>
      </c>
      <c r="BR1088" t="s">
        <v>709</v>
      </c>
      <c r="BS1088">
        <v>240</v>
      </c>
      <c r="BT1088" t="s">
        <v>709</v>
      </c>
      <c r="BU1088" t="s">
        <v>709</v>
      </c>
      <c r="BV1088" t="s">
        <v>709</v>
      </c>
      <c r="BW1088" t="s">
        <v>709</v>
      </c>
      <c r="BX1088" t="s">
        <v>709</v>
      </c>
      <c r="BY1088" t="s">
        <v>709</v>
      </c>
      <c r="BZ1088" t="s">
        <v>709</v>
      </c>
      <c r="CB1088">
        <v>1086</v>
      </c>
      <c r="CC1088" t="b">
        <v>1</v>
      </c>
      <c r="CD1088" t="s">
        <v>6074</v>
      </c>
      <c r="CE1088" s="1482">
        <v>45880.738645833335</v>
      </c>
    </row>
    <row r="1089" spans="1:83" ht="315" x14ac:dyDescent="0.25">
      <c r="A1089">
        <v>2023</v>
      </c>
      <c r="B1089" t="s">
        <v>4</v>
      </c>
      <c r="C1089" t="s">
        <v>1672</v>
      </c>
      <c r="D1089" t="s">
        <v>1673</v>
      </c>
      <c r="E1089" t="s">
        <v>1674</v>
      </c>
      <c r="F1089" t="s">
        <v>784</v>
      </c>
      <c r="G1089" t="s">
        <v>23</v>
      </c>
      <c r="H1089" t="s">
        <v>413</v>
      </c>
      <c r="I1089">
        <v>45027</v>
      </c>
      <c r="J1089">
        <v>45254</v>
      </c>
      <c r="K1089">
        <v>45251</v>
      </c>
      <c r="L1089">
        <v>3</v>
      </c>
      <c r="N1089" t="s">
        <v>120</v>
      </c>
      <c r="O1089">
        <v>45261</v>
      </c>
      <c r="P1089" t="s">
        <v>739</v>
      </c>
      <c r="Q1089">
        <v>5355.2860000000001</v>
      </c>
      <c r="R1089">
        <v>0.1</v>
      </c>
      <c r="V1089">
        <v>0</v>
      </c>
      <c r="W1089">
        <v>0</v>
      </c>
      <c r="X1089">
        <v>0</v>
      </c>
      <c r="Z1089">
        <v>53552.86</v>
      </c>
      <c r="AA1089">
        <v>53552.86</v>
      </c>
      <c r="AB1089">
        <v>45257</v>
      </c>
      <c r="AC1089" t="s">
        <v>709</v>
      </c>
      <c r="AD1089" t="s">
        <v>29</v>
      </c>
      <c r="AE1089" t="s">
        <v>116</v>
      </c>
      <c r="AF1089" t="s">
        <v>756</v>
      </c>
      <c r="AG1089" t="s">
        <v>116</v>
      </c>
      <c r="AH1089">
        <v>45308</v>
      </c>
      <c r="AM1089" t="s">
        <v>116</v>
      </c>
      <c r="AN1089" t="s">
        <v>709</v>
      </c>
      <c r="AS1089">
        <v>0</v>
      </c>
      <c r="AT1089">
        <v>0</v>
      </c>
      <c r="AU1089">
        <v>0</v>
      </c>
      <c r="AY1089" t="s">
        <v>709</v>
      </c>
      <c r="AZ1089">
        <v>107</v>
      </c>
      <c r="BA1089" s="4" t="s">
        <v>1675</v>
      </c>
      <c r="BB1089" t="s">
        <v>1071</v>
      </c>
      <c r="BC1089" t="s">
        <v>709</v>
      </c>
      <c r="BD1089" t="s">
        <v>1167</v>
      </c>
      <c r="BE1089" t="s">
        <v>709</v>
      </c>
      <c r="BF1089" t="s">
        <v>1676</v>
      </c>
      <c r="BG1089" t="s">
        <v>709</v>
      </c>
      <c r="BH1089" t="s">
        <v>1677</v>
      </c>
      <c r="BI1089" t="s">
        <v>709</v>
      </c>
      <c r="BJ1089" t="s">
        <v>709</v>
      </c>
      <c r="BK1089" t="s">
        <v>709</v>
      </c>
      <c r="BL1089" t="s">
        <v>709</v>
      </c>
      <c r="BM1089" t="s">
        <v>709</v>
      </c>
      <c r="BN1089" t="s">
        <v>709</v>
      </c>
      <c r="BO1089" t="s">
        <v>709</v>
      </c>
      <c r="BP1089" t="s">
        <v>709</v>
      </c>
      <c r="BQ1089" t="s">
        <v>709</v>
      </c>
      <c r="BR1089" t="s">
        <v>709</v>
      </c>
      <c r="BS1089" t="s">
        <v>709</v>
      </c>
      <c r="BT1089" t="s">
        <v>709</v>
      </c>
      <c r="BU1089" t="s">
        <v>709</v>
      </c>
      <c r="BV1089" t="s">
        <v>709</v>
      </c>
      <c r="BW1089" t="s">
        <v>709</v>
      </c>
      <c r="BX1089" t="s">
        <v>709</v>
      </c>
      <c r="BY1089" t="s">
        <v>709</v>
      </c>
      <c r="BZ1089" t="s">
        <v>709</v>
      </c>
      <c r="CA1089" t="s">
        <v>1146</v>
      </c>
      <c r="CB1089">
        <v>1085</v>
      </c>
      <c r="CC1089" t="b">
        <v>1</v>
      </c>
      <c r="CD1089" t="s">
        <v>6075</v>
      </c>
      <c r="CE1089" s="1482">
        <v>45880.738645833335</v>
      </c>
    </row>
    <row r="1090" spans="1:83" x14ac:dyDescent="0.25">
      <c r="A1090">
        <v>2023</v>
      </c>
      <c r="B1090" t="s">
        <v>771</v>
      </c>
      <c r="C1090" t="s">
        <v>924</v>
      </c>
      <c r="D1090">
        <v>1212906</v>
      </c>
      <c r="E1090" t="s">
        <v>926</v>
      </c>
      <c r="F1090" t="s">
        <v>784</v>
      </c>
      <c r="G1090" t="s">
        <v>31</v>
      </c>
      <c r="H1090" t="s">
        <v>4189</v>
      </c>
      <c r="I1090">
        <v>45245</v>
      </c>
      <c r="J1090" t="s">
        <v>2052</v>
      </c>
      <c r="K1090">
        <v>45257</v>
      </c>
      <c r="L1090">
        <v>12</v>
      </c>
      <c r="M1090" t="s">
        <v>6076</v>
      </c>
      <c r="N1090" t="s">
        <v>120</v>
      </c>
      <c r="O1090">
        <v>45261</v>
      </c>
      <c r="P1090" t="s">
        <v>120</v>
      </c>
      <c r="Q1090">
        <v>1577.5</v>
      </c>
      <c r="R1090" t="s">
        <v>1922</v>
      </c>
      <c r="S1090">
        <v>0</v>
      </c>
      <c r="T1090">
        <v>0</v>
      </c>
      <c r="U1090">
        <v>1577.5</v>
      </c>
      <c r="V1090">
        <v>0</v>
      </c>
      <c r="W1090">
        <v>0</v>
      </c>
      <c r="AC1090" t="s">
        <v>29</v>
      </c>
      <c r="AD1090" t="s">
        <v>745</v>
      </c>
      <c r="AE1090" t="s">
        <v>116</v>
      </c>
      <c r="AF1090" t="s">
        <v>116</v>
      </c>
      <c r="AG1090" t="s">
        <v>29</v>
      </c>
      <c r="AH1090" t="s">
        <v>29</v>
      </c>
      <c r="AM1090" t="s">
        <v>709</v>
      </c>
      <c r="AY1090" t="s">
        <v>29</v>
      </c>
      <c r="BA1090">
        <v>2</v>
      </c>
      <c r="BB1090" t="s">
        <v>376</v>
      </c>
      <c r="BH1090" t="s">
        <v>6077</v>
      </c>
      <c r="BI1090" t="s">
        <v>709</v>
      </c>
      <c r="BJ1090" t="s">
        <v>709</v>
      </c>
      <c r="BK1090" t="s">
        <v>709</v>
      </c>
      <c r="BL1090" t="s">
        <v>116</v>
      </c>
      <c r="BM1090" t="s">
        <v>709</v>
      </c>
      <c r="BN1090" t="s">
        <v>709</v>
      </c>
      <c r="BO1090" t="s">
        <v>709</v>
      </c>
      <c r="BP1090" t="s">
        <v>709</v>
      </c>
      <c r="BQ1090" t="s">
        <v>709</v>
      </c>
      <c r="BR1090">
        <v>1867</v>
      </c>
      <c r="BS1090" t="s">
        <v>709</v>
      </c>
      <c r="BT1090" t="s">
        <v>709</v>
      </c>
      <c r="BU1090" t="s">
        <v>709</v>
      </c>
      <c r="BV1090" t="s">
        <v>709</v>
      </c>
      <c r="BW1090" t="s">
        <v>709</v>
      </c>
      <c r="BX1090" t="s">
        <v>709</v>
      </c>
      <c r="BY1090" t="s">
        <v>709</v>
      </c>
      <c r="BZ1090" t="s">
        <v>709</v>
      </c>
      <c r="CB1090">
        <v>1088</v>
      </c>
      <c r="CC1090" t="b">
        <v>1</v>
      </c>
      <c r="CD1090" t="s">
        <v>6078</v>
      </c>
      <c r="CE1090" s="1482">
        <v>45880.738645833335</v>
      </c>
    </row>
    <row r="1091" spans="1:83" x14ac:dyDescent="0.25">
      <c r="A1091">
        <v>2023</v>
      </c>
      <c r="B1091" t="s">
        <v>4</v>
      </c>
      <c r="C1091" t="s">
        <v>1678</v>
      </c>
      <c r="D1091" t="s">
        <v>1679</v>
      </c>
      <c r="E1091" t="s">
        <v>1680</v>
      </c>
      <c r="F1091" t="s">
        <v>851</v>
      </c>
      <c r="G1091" t="s">
        <v>25</v>
      </c>
      <c r="H1091" t="s">
        <v>1681</v>
      </c>
      <c r="I1091">
        <v>45135</v>
      </c>
      <c r="J1091">
        <v>45275</v>
      </c>
      <c r="K1091">
        <v>45259</v>
      </c>
      <c r="L1091">
        <v>16</v>
      </c>
      <c r="M1091" t="s">
        <v>1682</v>
      </c>
      <c r="N1091" t="s">
        <v>120</v>
      </c>
      <c r="O1091">
        <v>45261</v>
      </c>
      <c r="P1091" t="s">
        <v>739</v>
      </c>
      <c r="Q1091">
        <v>10853.37</v>
      </c>
      <c r="R1091">
        <v>0.1</v>
      </c>
      <c r="V1091">
        <v>0</v>
      </c>
      <c r="W1091">
        <v>0</v>
      </c>
      <c r="X1091">
        <v>76598.83</v>
      </c>
      <c r="Z1091">
        <v>31934.87</v>
      </c>
      <c r="AA1091">
        <v>108533.7</v>
      </c>
      <c r="AB1091">
        <v>45238</v>
      </c>
      <c r="AC1091" t="s">
        <v>29</v>
      </c>
      <c r="AD1091" t="s">
        <v>29</v>
      </c>
      <c r="AE1091" t="s">
        <v>116</v>
      </c>
      <c r="AF1091" t="s">
        <v>29</v>
      </c>
      <c r="AG1091" t="s">
        <v>29</v>
      </c>
      <c r="AH1091">
        <v>45447</v>
      </c>
      <c r="AM1091" t="s">
        <v>116</v>
      </c>
      <c r="AN1091" t="s">
        <v>709</v>
      </c>
      <c r="AS1091">
        <v>0</v>
      </c>
      <c r="AT1091">
        <v>0</v>
      </c>
      <c r="AU1091">
        <v>0</v>
      </c>
      <c r="AY1091" t="s">
        <v>709</v>
      </c>
      <c r="AZ1091">
        <v>109</v>
      </c>
      <c r="BA1091" t="s">
        <v>1683</v>
      </c>
      <c r="BB1091" t="s">
        <v>1684</v>
      </c>
      <c r="BC1091" t="s">
        <v>116</v>
      </c>
      <c r="BD1091" t="s">
        <v>788</v>
      </c>
      <c r="BE1091" t="s">
        <v>1684</v>
      </c>
      <c r="BF1091" t="s">
        <v>709</v>
      </c>
      <c r="BG1091" t="s">
        <v>709</v>
      </c>
      <c r="BH1091" t="s">
        <v>1685</v>
      </c>
      <c r="BI1091" t="s">
        <v>709</v>
      </c>
      <c r="BJ1091" t="s">
        <v>709</v>
      </c>
      <c r="BK1091" t="s">
        <v>709</v>
      </c>
      <c r="BL1091" t="s">
        <v>116</v>
      </c>
      <c r="BM1091" t="s">
        <v>709</v>
      </c>
      <c r="BN1091" t="s">
        <v>709</v>
      </c>
      <c r="BO1091" t="s">
        <v>709</v>
      </c>
      <c r="BP1091" t="s">
        <v>709</v>
      </c>
      <c r="BQ1091" t="s">
        <v>709</v>
      </c>
      <c r="BR1091" t="s">
        <v>709</v>
      </c>
      <c r="BS1091">
        <v>87</v>
      </c>
      <c r="BT1091" t="s">
        <v>709</v>
      </c>
      <c r="BU1091" t="s">
        <v>709</v>
      </c>
      <c r="BV1091" t="s">
        <v>709</v>
      </c>
      <c r="BW1091" t="s">
        <v>709</v>
      </c>
      <c r="BX1091" t="s">
        <v>709</v>
      </c>
      <c r="BY1091" t="s">
        <v>709</v>
      </c>
      <c r="BZ1091" t="s">
        <v>709</v>
      </c>
      <c r="CA1091" t="s">
        <v>915</v>
      </c>
      <c r="CB1091">
        <v>1089</v>
      </c>
      <c r="CC1091" t="b">
        <v>1</v>
      </c>
      <c r="CD1091" t="s">
        <v>6079</v>
      </c>
      <c r="CE1091" s="1482">
        <v>45880.738657407404</v>
      </c>
    </row>
    <row r="1092" spans="1:83" x14ac:dyDescent="0.25">
      <c r="A1092">
        <v>2023</v>
      </c>
      <c r="B1092" t="s">
        <v>4</v>
      </c>
      <c r="C1092" t="s">
        <v>385</v>
      </c>
      <c r="D1092">
        <v>135740</v>
      </c>
      <c r="E1092" t="s">
        <v>783</v>
      </c>
      <c r="F1092" t="s">
        <v>784</v>
      </c>
      <c r="G1092" t="s">
        <v>6080</v>
      </c>
      <c r="H1092" t="s">
        <v>4462</v>
      </c>
      <c r="I1092">
        <v>45245</v>
      </c>
      <c r="J1092" t="s">
        <v>2052</v>
      </c>
      <c r="K1092">
        <v>45260</v>
      </c>
      <c r="L1092">
        <v>15</v>
      </c>
      <c r="M1092" t="s">
        <v>6081</v>
      </c>
      <c r="N1092" t="s">
        <v>120</v>
      </c>
      <c r="O1092">
        <v>45261</v>
      </c>
      <c r="P1092" t="s">
        <v>739</v>
      </c>
      <c r="Q1092" t="s">
        <v>115</v>
      </c>
      <c r="R1092" t="s">
        <v>115</v>
      </c>
      <c r="AB1092" t="s">
        <v>29</v>
      </c>
      <c r="AC1092" t="s">
        <v>29</v>
      </c>
      <c r="AD1092" t="s">
        <v>116</v>
      </c>
      <c r="AM1092" t="s">
        <v>709</v>
      </c>
      <c r="AY1092" t="s">
        <v>29</v>
      </c>
      <c r="BA1092">
        <v>3</v>
      </c>
      <c r="BB1092" t="s">
        <v>376</v>
      </c>
      <c r="BC1092" t="s">
        <v>6082</v>
      </c>
      <c r="BD1092" t="s">
        <v>74</v>
      </c>
      <c r="BE1092" t="s">
        <v>376</v>
      </c>
      <c r="BI1092" t="s">
        <v>709</v>
      </c>
      <c r="BJ1092" t="s">
        <v>709</v>
      </c>
      <c r="BK1092" t="s">
        <v>709</v>
      </c>
      <c r="BL1092" t="s">
        <v>116</v>
      </c>
      <c r="BM1092" t="s">
        <v>709</v>
      </c>
      <c r="BN1092">
        <v>1222</v>
      </c>
      <c r="BO1092" t="s">
        <v>709</v>
      </c>
      <c r="BP1092" t="s">
        <v>709</v>
      </c>
      <c r="BQ1092">
        <v>63</v>
      </c>
      <c r="BR1092">
        <v>100</v>
      </c>
      <c r="BS1092">
        <v>153</v>
      </c>
      <c r="BT1092" t="s">
        <v>709</v>
      </c>
      <c r="BU1092" t="s">
        <v>709</v>
      </c>
      <c r="BV1092" t="s">
        <v>709</v>
      </c>
      <c r="BW1092" t="s">
        <v>709</v>
      </c>
      <c r="BX1092" t="s">
        <v>709</v>
      </c>
      <c r="BY1092" t="s">
        <v>709</v>
      </c>
      <c r="BZ1092" t="s">
        <v>709</v>
      </c>
      <c r="CB1092">
        <v>1091</v>
      </c>
      <c r="CC1092" t="b">
        <v>1</v>
      </c>
      <c r="CD1092" t="s">
        <v>6083</v>
      </c>
      <c r="CE1092" s="1482">
        <v>45880.738657407404</v>
      </c>
    </row>
    <row r="1093" spans="1:83" x14ac:dyDescent="0.25">
      <c r="A1093">
        <v>2023</v>
      </c>
      <c r="B1093" t="s">
        <v>4</v>
      </c>
      <c r="C1093" t="s">
        <v>5828</v>
      </c>
      <c r="D1093">
        <v>1212843</v>
      </c>
      <c r="E1093" t="s">
        <v>1117</v>
      </c>
      <c r="F1093" t="s">
        <v>784</v>
      </c>
      <c r="G1093" t="s">
        <v>26</v>
      </c>
      <c r="H1093" t="s">
        <v>4189</v>
      </c>
      <c r="I1093">
        <v>45257</v>
      </c>
      <c r="J1093" t="s">
        <v>2052</v>
      </c>
      <c r="K1093">
        <v>45260</v>
      </c>
      <c r="L1093">
        <v>3</v>
      </c>
      <c r="M1093" t="s">
        <v>6084</v>
      </c>
      <c r="N1093" t="s">
        <v>120</v>
      </c>
      <c r="O1093">
        <v>45261</v>
      </c>
      <c r="P1093" t="s">
        <v>739</v>
      </c>
      <c r="Q1093">
        <v>1737.5</v>
      </c>
      <c r="R1093" t="s">
        <v>1922</v>
      </c>
      <c r="S1093">
        <v>0</v>
      </c>
      <c r="T1093">
        <v>0</v>
      </c>
      <c r="U1093">
        <v>1737.5</v>
      </c>
      <c r="AB1093" t="s">
        <v>29</v>
      </c>
      <c r="AC1093" t="s">
        <v>29</v>
      </c>
      <c r="AD1093" t="s">
        <v>29</v>
      </c>
      <c r="AE1093" t="s">
        <v>116</v>
      </c>
      <c r="AF1093" t="s">
        <v>116</v>
      </c>
      <c r="AG1093" t="s">
        <v>29</v>
      </c>
      <c r="AH1093">
        <v>45447</v>
      </c>
      <c r="AM1093" t="s">
        <v>709</v>
      </c>
      <c r="AY1093" t="s">
        <v>29</v>
      </c>
      <c r="BA1093">
        <v>3</v>
      </c>
      <c r="BB1093" t="s">
        <v>6085</v>
      </c>
      <c r="BD1093" t="s">
        <v>882</v>
      </c>
      <c r="BH1093" t="s">
        <v>6086</v>
      </c>
      <c r="BI1093" t="s">
        <v>709</v>
      </c>
      <c r="BJ1093" t="s">
        <v>709</v>
      </c>
      <c r="BK1093" t="s">
        <v>709</v>
      </c>
      <c r="BL1093" t="s">
        <v>116</v>
      </c>
      <c r="BM1093" t="s">
        <v>709</v>
      </c>
      <c r="BN1093" t="s">
        <v>709</v>
      </c>
      <c r="BO1093" t="s">
        <v>709</v>
      </c>
      <c r="BP1093" t="s">
        <v>709</v>
      </c>
      <c r="BQ1093" t="s">
        <v>709</v>
      </c>
      <c r="BR1093">
        <v>709</v>
      </c>
      <c r="BS1093">
        <v>72</v>
      </c>
      <c r="BT1093" t="s">
        <v>709</v>
      </c>
      <c r="BU1093" t="s">
        <v>709</v>
      </c>
      <c r="BV1093" t="s">
        <v>709</v>
      </c>
      <c r="BW1093" t="s">
        <v>709</v>
      </c>
      <c r="BX1093" t="s">
        <v>709</v>
      </c>
      <c r="BY1093" t="s">
        <v>709</v>
      </c>
      <c r="BZ1093" t="s">
        <v>709</v>
      </c>
      <c r="CA1093" t="s">
        <v>915</v>
      </c>
      <c r="CB1093">
        <v>1092</v>
      </c>
      <c r="CC1093" t="b">
        <v>1</v>
      </c>
      <c r="CD1093" t="s">
        <v>6087</v>
      </c>
      <c r="CE1093" s="1482">
        <v>45880.738657407404</v>
      </c>
    </row>
    <row r="1094" spans="1:83" x14ac:dyDescent="0.25">
      <c r="A1094">
        <v>2023</v>
      </c>
      <c r="B1094" t="s">
        <v>1073</v>
      </c>
      <c r="C1094" t="s">
        <v>1686</v>
      </c>
      <c r="D1094" t="s">
        <v>1687</v>
      </c>
      <c r="E1094" t="s">
        <v>1674</v>
      </c>
      <c r="F1094" t="s">
        <v>1688</v>
      </c>
      <c r="G1094" t="s">
        <v>23</v>
      </c>
      <c r="H1094" t="s">
        <v>59</v>
      </c>
      <c r="I1094">
        <v>45190</v>
      </c>
      <c r="J1094">
        <v>45264</v>
      </c>
      <c r="K1094">
        <v>45260</v>
      </c>
      <c r="L1094">
        <v>4</v>
      </c>
      <c r="N1094" t="s">
        <v>120</v>
      </c>
      <c r="O1094">
        <v>45261</v>
      </c>
      <c r="P1094" t="s">
        <v>739</v>
      </c>
      <c r="Q1094">
        <v>29967.556</v>
      </c>
      <c r="R1094">
        <v>0.08</v>
      </c>
      <c r="V1094">
        <v>1484</v>
      </c>
      <c r="W1094">
        <v>0</v>
      </c>
      <c r="X1094">
        <v>374594.45</v>
      </c>
      <c r="Z1094">
        <v>0</v>
      </c>
      <c r="AA1094">
        <v>374594.45</v>
      </c>
      <c r="AB1094">
        <v>45261</v>
      </c>
      <c r="AC1094" t="s">
        <v>709</v>
      </c>
      <c r="AD1094" t="s">
        <v>29</v>
      </c>
      <c r="AE1094" t="s">
        <v>116</v>
      </c>
      <c r="AF1094" t="s">
        <v>116</v>
      </c>
      <c r="AG1094" t="s">
        <v>376</v>
      </c>
      <c r="AH1094" t="s">
        <v>376</v>
      </c>
      <c r="AM1094" t="s">
        <v>116</v>
      </c>
      <c r="AN1094" t="s">
        <v>709</v>
      </c>
      <c r="AS1094">
        <v>0</v>
      </c>
      <c r="AT1094">
        <v>0</v>
      </c>
      <c r="AU1094">
        <v>0</v>
      </c>
      <c r="AY1094" t="s">
        <v>709</v>
      </c>
      <c r="AZ1094">
        <v>19</v>
      </c>
      <c r="BA1094" t="s">
        <v>1689</v>
      </c>
      <c r="BB1094" t="s">
        <v>1690</v>
      </c>
      <c r="BC1094" t="s">
        <v>116</v>
      </c>
      <c r="BD1094" t="s">
        <v>709</v>
      </c>
      <c r="BE1094" t="s">
        <v>1691</v>
      </c>
      <c r="BF1094" t="s">
        <v>115</v>
      </c>
      <c r="BH1094" t="s">
        <v>1677</v>
      </c>
      <c r="BI1094" t="s">
        <v>709</v>
      </c>
      <c r="BJ1094" t="s">
        <v>709</v>
      </c>
      <c r="BK1094" t="s">
        <v>709</v>
      </c>
      <c r="BL1094" t="s">
        <v>116</v>
      </c>
      <c r="BM1094" t="s">
        <v>709</v>
      </c>
      <c r="BN1094" t="s">
        <v>709</v>
      </c>
      <c r="BO1094" t="s">
        <v>709</v>
      </c>
      <c r="BP1094" t="s">
        <v>709</v>
      </c>
      <c r="BQ1094" t="s">
        <v>709</v>
      </c>
      <c r="BR1094">
        <v>1484</v>
      </c>
      <c r="BS1094" t="s">
        <v>709</v>
      </c>
      <c r="BT1094" t="s">
        <v>709</v>
      </c>
      <c r="BU1094" t="s">
        <v>709</v>
      </c>
      <c r="BV1094" t="s">
        <v>709</v>
      </c>
      <c r="BW1094" t="s">
        <v>709</v>
      </c>
      <c r="BX1094" t="s">
        <v>709</v>
      </c>
      <c r="BY1094" t="s">
        <v>709</v>
      </c>
      <c r="BZ1094" t="s">
        <v>709</v>
      </c>
      <c r="CB1094">
        <v>1090</v>
      </c>
      <c r="CC1094" t="b">
        <v>1</v>
      </c>
      <c r="CD1094" t="s">
        <v>6088</v>
      </c>
      <c r="CE1094" s="1482">
        <v>45880.738657407404</v>
      </c>
    </row>
    <row r="1095" spans="1:83" ht="315" x14ac:dyDescent="0.25">
      <c r="A1095">
        <v>2024</v>
      </c>
      <c r="B1095" t="s">
        <v>4</v>
      </c>
      <c r="C1095" t="s">
        <v>397</v>
      </c>
      <c r="D1095" t="s">
        <v>1692</v>
      </c>
      <c r="E1095" t="s">
        <v>398</v>
      </c>
      <c r="F1095" t="s">
        <v>784</v>
      </c>
      <c r="G1095" t="s">
        <v>35</v>
      </c>
      <c r="H1095" t="s">
        <v>59</v>
      </c>
      <c r="I1095">
        <v>44854</v>
      </c>
      <c r="J1095">
        <v>45267</v>
      </c>
      <c r="K1095">
        <v>45261</v>
      </c>
      <c r="L1095">
        <v>6</v>
      </c>
      <c r="N1095" t="s">
        <v>120</v>
      </c>
      <c r="O1095">
        <v>45292</v>
      </c>
      <c r="P1095" t="s">
        <v>739</v>
      </c>
      <c r="Q1095">
        <v>584340.76300000004</v>
      </c>
      <c r="R1095">
        <v>0.1</v>
      </c>
      <c r="V1095">
        <v>15156</v>
      </c>
      <c r="W1095">
        <v>0</v>
      </c>
      <c r="X1095">
        <v>4473504.66</v>
      </c>
      <c r="Z1095">
        <v>1369902.97</v>
      </c>
      <c r="AA1095">
        <v>5843407.6299999999</v>
      </c>
      <c r="AB1095">
        <v>45244</v>
      </c>
      <c r="AC1095" t="s">
        <v>116</v>
      </c>
      <c r="AD1095" t="s">
        <v>29</v>
      </c>
      <c r="AE1095" t="s">
        <v>116</v>
      </c>
      <c r="AF1095" t="s">
        <v>116</v>
      </c>
      <c r="AG1095" t="s">
        <v>376</v>
      </c>
      <c r="AH1095">
        <v>45308</v>
      </c>
      <c r="AI1095">
        <v>6220</v>
      </c>
      <c r="AK1095">
        <v>2232.5</v>
      </c>
      <c r="AL1095">
        <v>1.4465018590530881E-2</v>
      </c>
      <c r="AM1095" t="s">
        <v>116</v>
      </c>
      <c r="AN1095">
        <v>45524</v>
      </c>
      <c r="AO1095">
        <v>11088378</v>
      </c>
      <c r="AP1095">
        <v>4555170.26</v>
      </c>
      <c r="AR1095">
        <v>1402767.51</v>
      </c>
      <c r="AS1095">
        <v>5957937.7699999996</v>
      </c>
      <c r="AT1095">
        <v>114530.14</v>
      </c>
      <c r="AU1095">
        <v>11453.013999999999</v>
      </c>
      <c r="AV1095">
        <v>0</v>
      </c>
      <c r="AW1095" t="s">
        <v>6089</v>
      </c>
      <c r="AX1095">
        <v>11453.013999999999</v>
      </c>
      <c r="AY1095">
        <v>45901</v>
      </c>
      <c r="AZ1095">
        <v>110</v>
      </c>
      <c r="BA1095" s="4" t="s">
        <v>1693</v>
      </c>
      <c r="BB1095" t="s">
        <v>870</v>
      </c>
      <c r="BC1095" t="s">
        <v>116</v>
      </c>
      <c r="BD1095" t="s">
        <v>1626</v>
      </c>
      <c r="BE1095" t="s">
        <v>115</v>
      </c>
      <c r="BF1095" t="s">
        <v>709</v>
      </c>
      <c r="BG1095" s="4" t="s">
        <v>1694</v>
      </c>
      <c r="BH1095" t="s">
        <v>1695</v>
      </c>
      <c r="BI1095" t="s">
        <v>709</v>
      </c>
      <c r="BJ1095" t="s">
        <v>709</v>
      </c>
      <c r="BK1095" t="s">
        <v>116</v>
      </c>
      <c r="BL1095" t="s">
        <v>116</v>
      </c>
      <c r="BM1095" t="s">
        <v>709</v>
      </c>
      <c r="BN1095" t="s">
        <v>709</v>
      </c>
      <c r="BO1095" t="s">
        <v>709</v>
      </c>
      <c r="BP1095">
        <v>1010</v>
      </c>
      <c r="BQ1095">
        <v>6628</v>
      </c>
      <c r="BR1095">
        <v>7033</v>
      </c>
      <c r="BS1095">
        <v>485</v>
      </c>
      <c r="BT1095" t="s">
        <v>709</v>
      </c>
      <c r="BU1095" t="s">
        <v>709</v>
      </c>
      <c r="BV1095" t="s">
        <v>709</v>
      </c>
      <c r="BW1095" t="s">
        <v>709</v>
      </c>
      <c r="BX1095" t="s">
        <v>709</v>
      </c>
      <c r="BY1095" t="s">
        <v>709</v>
      </c>
      <c r="BZ1095" t="s">
        <v>709</v>
      </c>
      <c r="CB1095">
        <v>1093</v>
      </c>
      <c r="CC1095" t="b">
        <v>1</v>
      </c>
      <c r="CD1095" t="s">
        <v>6090</v>
      </c>
      <c r="CE1095" s="1482">
        <v>45880.738668981481</v>
      </c>
    </row>
    <row r="1096" spans="1:83" x14ac:dyDescent="0.25">
      <c r="A1096">
        <v>2023</v>
      </c>
      <c r="B1096" t="s">
        <v>769</v>
      </c>
      <c r="C1096" t="s">
        <v>445</v>
      </c>
      <c r="D1096">
        <v>1011925</v>
      </c>
      <c r="E1096" t="s">
        <v>1605</v>
      </c>
      <c r="F1096" t="s">
        <v>752</v>
      </c>
      <c r="G1096" t="s">
        <v>4770</v>
      </c>
      <c r="H1096" t="s">
        <v>4189</v>
      </c>
      <c r="I1096">
        <v>45202</v>
      </c>
      <c r="J1096" t="s">
        <v>2052</v>
      </c>
      <c r="K1096">
        <v>45265</v>
      </c>
      <c r="L1096">
        <v>63</v>
      </c>
      <c r="M1096" t="s">
        <v>6091</v>
      </c>
      <c r="N1096" t="s">
        <v>120</v>
      </c>
      <c r="O1096">
        <v>45261</v>
      </c>
      <c r="P1096" t="s">
        <v>120</v>
      </c>
      <c r="Q1096">
        <v>4740</v>
      </c>
      <c r="R1096" t="s">
        <v>1922</v>
      </c>
      <c r="S1096">
        <v>0</v>
      </c>
      <c r="T1096">
        <v>0</v>
      </c>
      <c r="U1096">
        <v>4740</v>
      </c>
      <c r="AD1096" t="s">
        <v>29</v>
      </c>
      <c r="AE1096" t="s">
        <v>29</v>
      </c>
      <c r="AF1096" t="s">
        <v>29</v>
      </c>
      <c r="AG1096" t="s">
        <v>29</v>
      </c>
      <c r="AH1096" t="s">
        <v>29</v>
      </c>
      <c r="AM1096" t="s">
        <v>709</v>
      </c>
      <c r="AY1096" t="s">
        <v>29</v>
      </c>
      <c r="BA1096">
        <v>2</v>
      </c>
      <c r="BH1096" t="s">
        <v>6092</v>
      </c>
      <c r="BI1096" t="s">
        <v>709</v>
      </c>
      <c r="BJ1096" t="s">
        <v>709</v>
      </c>
      <c r="BK1096" t="s">
        <v>116</v>
      </c>
      <c r="BL1096" t="s">
        <v>116</v>
      </c>
      <c r="BM1096" t="s">
        <v>709</v>
      </c>
      <c r="BN1096">
        <v>583</v>
      </c>
      <c r="BO1096" t="s">
        <v>709</v>
      </c>
      <c r="BP1096">
        <v>451</v>
      </c>
      <c r="BQ1096">
        <v>1148</v>
      </c>
      <c r="BR1096">
        <v>86</v>
      </c>
      <c r="BS1096">
        <v>55</v>
      </c>
      <c r="BT1096">
        <v>2</v>
      </c>
      <c r="BU1096" t="s">
        <v>709</v>
      </c>
      <c r="BV1096" t="s">
        <v>709</v>
      </c>
      <c r="BW1096">
        <v>2</v>
      </c>
      <c r="BX1096">
        <v>2</v>
      </c>
      <c r="BY1096" t="s">
        <v>709</v>
      </c>
      <c r="BZ1096" t="s">
        <v>709</v>
      </c>
      <c r="CA1096" t="s">
        <v>1022</v>
      </c>
      <c r="CB1096">
        <v>1094</v>
      </c>
      <c r="CC1096" t="b">
        <v>1</v>
      </c>
      <c r="CD1096" t="s">
        <v>6093</v>
      </c>
      <c r="CE1096" s="1482">
        <v>45880.738668981481</v>
      </c>
    </row>
    <row r="1097" spans="1:83" ht="225" x14ac:dyDescent="0.25">
      <c r="A1097">
        <v>2023</v>
      </c>
      <c r="B1097" t="s">
        <v>4</v>
      </c>
      <c r="C1097" t="s">
        <v>6094</v>
      </c>
      <c r="D1097" t="s">
        <v>115</v>
      </c>
      <c r="E1097" t="s">
        <v>1032</v>
      </c>
      <c r="F1097" t="s">
        <v>747</v>
      </c>
      <c r="G1097" t="s">
        <v>31</v>
      </c>
      <c r="H1097" t="s">
        <v>1903</v>
      </c>
      <c r="I1097">
        <v>45162</v>
      </c>
      <c r="J1097">
        <v>45280</v>
      </c>
      <c r="K1097">
        <v>45265</v>
      </c>
      <c r="L1097">
        <v>15</v>
      </c>
      <c r="M1097">
        <v>0</v>
      </c>
      <c r="N1097" t="s">
        <v>120</v>
      </c>
      <c r="O1097">
        <v>45261</v>
      </c>
      <c r="P1097" t="s">
        <v>739</v>
      </c>
      <c r="Q1097" t="s">
        <v>115</v>
      </c>
      <c r="R1097" t="s">
        <v>115</v>
      </c>
      <c r="AB1097" t="s">
        <v>29</v>
      </c>
      <c r="AC1097" t="s">
        <v>29</v>
      </c>
      <c r="AD1097" t="s">
        <v>29</v>
      </c>
      <c r="AE1097" t="s">
        <v>116</v>
      </c>
      <c r="AF1097" t="s">
        <v>116</v>
      </c>
      <c r="AG1097" t="s">
        <v>29</v>
      </c>
      <c r="AH1097">
        <v>45447</v>
      </c>
      <c r="AM1097" t="s">
        <v>709</v>
      </c>
      <c r="AY1097" t="s">
        <v>29</v>
      </c>
      <c r="BA1097" s="4" t="s">
        <v>6095</v>
      </c>
      <c r="BB1097" t="s">
        <v>1035</v>
      </c>
      <c r="BC1097" t="s">
        <v>116</v>
      </c>
      <c r="BD1097" t="s">
        <v>709</v>
      </c>
      <c r="BE1097" t="s">
        <v>1841</v>
      </c>
      <c r="BF1097" t="s">
        <v>709</v>
      </c>
      <c r="BG1097" t="s">
        <v>6096</v>
      </c>
      <c r="BH1097" t="s">
        <v>6097</v>
      </c>
      <c r="BZ1097" t="s">
        <v>709</v>
      </c>
      <c r="CA1097" t="s">
        <v>915</v>
      </c>
      <c r="CB1097">
        <v>1095</v>
      </c>
      <c r="CC1097" t="b">
        <v>1</v>
      </c>
      <c r="CD1097" t="s">
        <v>6098</v>
      </c>
      <c r="CE1097" s="1482">
        <v>45880.738668981481</v>
      </c>
    </row>
    <row r="1098" spans="1:83" x14ac:dyDescent="0.25">
      <c r="A1098">
        <v>2023</v>
      </c>
      <c r="B1098" t="s">
        <v>4</v>
      </c>
      <c r="C1098" t="s">
        <v>414</v>
      </c>
      <c r="D1098" t="s">
        <v>1620</v>
      </c>
      <c r="E1098" t="s">
        <v>415</v>
      </c>
      <c r="F1098" t="s">
        <v>784</v>
      </c>
      <c r="G1098" t="s">
        <v>25</v>
      </c>
      <c r="H1098" t="s">
        <v>4462</v>
      </c>
      <c r="I1098">
        <v>45261</v>
      </c>
      <c r="J1098" t="s">
        <v>2052</v>
      </c>
      <c r="K1098">
        <v>45267</v>
      </c>
      <c r="L1098">
        <v>6</v>
      </c>
      <c r="N1098" t="s">
        <v>120</v>
      </c>
      <c r="O1098">
        <v>45261</v>
      </c>
      <c r="P1098" t="s">
        <v>739</v>
      </c>
      <c r="Q1098" t="s">
        <v>115</v>
      </c>
      <c r="R1098" t="s">
        <v>115</v>
      </c>
      <c r="AB1098" t="s">
        <v>29</v>
      </c>
      <c r="AC1098" t="s">
        <v>29</v>
      </c>
      <c r="AD1098" t="s">
        <v>29</v>
      </c>
      <c r="AE1098" t="s">
        <v>756</v>
      </c>
      <c r="AF1098" t="s">
        <v>29</v>
      </c>
      <c r="AG1098" t="s">
        <v>29</v>
      </c>
      <c r="AH1098">
        <v>45447</v>
      </c>
      <c r="AM1098" t="s">
        <v>709</v>
      </c>
      <c r="AY1098" t="s">
        <v>29</v>
      </c>
      <c r="BC1098" t="s">
        <v>116</v>
      </c>
      <c r="BD1098" t="s">
        <v>709</v>
      </c>
      <c r="BE1098" t="s">
        <v>1622</v>
      </c>
      <c r="BF1098" t="s">
        <v>709</v>
      </c>
      <c r="BG1098" t="s">
        <v>709</v>
      </c>
      <c r="BH1098" t="s">
        <v>6099</v>
      </c>
      <c r="BI1098" t="s">
        <v>709</v>
      </c>
      <c r="BJ1098" t="s">
        <v>709</v>
      </c>
      <c r="BK1098" t="s">
        <v>709</v>
      </c>
      <c r="BL1098" t="s">
        <v>116</v>
      </c>
      <c r="BM1098" t="s">
        <v>709</v>
      </c>
      <c r="BN1098" t="s">
        <v>709</v>
      </c>
      <c r="BO1098" t="s">
        <v>709</v>
      </c>
      <c r="BP1098">
        <v>765</v>
      </c>
      <c r="BQ1098">
        <v>591</v>
      </c>
      <c r="BR1098" t="s">
        <v>709</v>
      </c>
      <c r="BS1098">
        <v>83</v>
      </c>
      <c r="BT1098" t="s">
        <v>709</v>
      </c>
      <c r="BU1098" t="s">
        <v>709</v>
      </c>
      <c r="BV1098" t="s">
        <v>709</v>
      </c>
      <c r="BW1098" t="s">
        <v>709</v>
      </c>
      <c r="BX1098" t="s">
        <v>709</v>
      </c>
      <c r="BY1098" t="s">
        <v>709</v>
      </c>
      <c r="BZ1098" t="s">
        <v>709</v>
      </c>
      <c r="CB1098">
        <v>1096</v>
      </c>
      <c r="CC1098" t="b">
        <v>1</v>
      </c>
      <c r="CD1098" t="s">
        <v>6100</v>
      </c>
      <c r="CE1098" s="1482">
        <v>45880.738668981481</v>
      </c>
    </row>
    <row r="1099" spans="1:83" x14ac:dyDescent="0.25">
      <c r="A1099">
        <v>2023</v>
      </c>
      <c r="B1099" t="s">
        <v>1205</v>
      </c>
      <c r="C1099" t="s">
        <v>587</v>
      </c>
      <c r="D1099">
        <v>1212818</v>
      </c>
      <c r="E1099" t="s">
        <v>354</v>
      </c>
      <c r="F1099" t="s">
        <v>784</v>
      </c>
      <c r="G1099" t="s">
        <v>23</v>
      </c>
      <c r="H1099" t="s">
        <v>4189</v>
      </c>
      <c r="I1099">
        <v>45261</v>
      </c>
      <c r="J1099" t="s">
        <v>2052</v>
      </c>
      <c r="K1099">
        <v>45268</v>
      </c>
      <c r="L1099">
        <v>7</v>
      </c>
      <c r="M1099" t="s">
        <v>6101</v>
      </c>
      <c r="N1099" t="s">
        <v>120</v>
      </c>
      <c r="O1099">
        <v>45261</v>
      </c>
      <c r="P1099" t="s">
        <v>739</v>
      </c>
      <c r="Q1099">
        <v>5660</v>
      </c>
      <c r="R1099" t="s">
        <v>1922</v>
      </c>
      <c r="S1099">
        <v>0</v>
      </c>
      <c r="T1099">
        <v>0</v>
      </c>
      <c r="U1099">
        <v>5660</v>
      </c>
      <c r="V1099">
        <v>456</v>
      </c>
      <c r="W1099">
        <v>0</v>
      </c>
      <c r="AB1099" t="s">
        <v>29</v>
      </c>
      <c r="AC1099" t="s">
        <v>709</v>
      </c>
      <c r="AD1099" t="s">
        <v>116</v>
      </c>
      <c r="AE1099" t="s">
        <v>116</v>
      </c>
      <c r="AF1099" t="s">
        <v>116</v>
      </c>
      <c r="AG1099" t="s">
        <v>29</v>
      </c>
      <c r="AH1099" t="s">
        <v>709</v>
      </c>
      <c r="AM1099" t="s">
        <v>709</v>
      </c>
      <c r="AY1099" t="s">
        <v>29</v>
      </c>
      <c r="BA1099">
        <v>7</v>
      </c>
      <c r="BB1099" t="s">
        <v>116</v>
      </c>
      <c r="BC1099" t="s">
        <v>116</v>
      </c>
      <c r="BD1099" t="s">
        <v>115</v>
      </c>
      <c r="BE1099" t="s">
        <v>588</v>
      </c>
      <c r="BF1099" t="s">
        <v>115</v>
      </c>
      <c r="BG1099" t="s">
        <v>3021</v>
      </c>
      <c r="BH1099" t="s">
        <v>6102</v>
      </c>
      <c r="BI1099" t="s">
        <v>709</v>
      </c>
      <c r="BJ1099" t="s">
        <v>709</v>
      </c>
      <c r="BK1099" t="s">
        <v>709</v>
      </c>
      <c r="BL1099" t="s">
        <v>116</v>
      </c>
      <c r="BM1099" t="s">
        <v>709</v>
      </c>
      <c r="BN1099" t="s">
        <v>709</v>
      </c>
      <c r="BO1099" t="s">
        <v>709</v>
      </c>
      <c r="BP1099">
        <v>456</v>
      </c>
      <c r="BQ1099" t="s">
        <v>709</v>
      </c>
      <c r="BR1099" t="s">
        <v>709</v>
      </c>
      <c r="BS1099" t="s">
        <v>709</v>
      </c>
      <c r="BT1099" t="s">
        <v>709</v>
      </c>
      <c r="BU1099" t="s">
        <v>709</v>
      </c>
      <c r="BV1099" t="s">
        <v>709</v>
      </c>
      <c r="BW1099" t="s">
        <v>709</v>
      </c>
      <c r="BX1099" t="s">
        <v>709</v>
      </c>
      <c r="BY1099" t="s">
        <v>709</v>
      </c>
      <c r="BZ1099" t="s">
        <v>709</v>
      </c>
      <c r="CB1099">
        <v>1097</v>
      </c>
      <c r="CC1099" t="b">
        <v>1</v>
      </c>
      <c r="CD1099" t="s">
        <v>6103</v>
      </c>
      <c r="CE1099" s="1482">
        <v>45880.738668981481</v>
      </c>
    </row>
    <row r="1100" spans="1:83" x14ac:dyDescent="0.25">
      <c r="A1100">
        <v>2024</v>
      </c>
      <c r="B1100" t="s">
        <v>4</v>
      </c>
      <c r="C1100" t="s">
        <v>982</v>
      </c>
      <c r="D1100" t="s">
        <v>983</v>
      </c>
      <c r="E1100" t="s">
        <v>354</v>
      </c>
      <c r="F1100" t="s">
        <v>784</v>
      </c>
      <c r="G1100" t="s">
        <v>26</v>
      </c>
      <c r="H1100" t="s">
        <v>59</v>
      </c>
      <c r="I1100">
        <v>45177</v>
      </c>
      <c r="J1100">
        <v>45282</v>
      </c>
      <c r="K1100">
        <v>45268</v>
      </c>
      <c r="L1100">
        <v>14</v>
      </c>
      <c r="N1100" t="s">
        <v>120</v>
      </c>
      <c r="O1100">
        <v>45292</v>
      </c>
      <c r="P1100" t="s">
        <v>739</v>
      </c>
      <c r="Q1100">
        <v>80522.115000000005</v>
      </c>
      <c r="R1100">
        <v>0.1</v>
      </c>
      <c r="V1100">
        <v>934</v>
      </c>
      <c r="W1100">
        <v>0</v>
      </c>
      <c r="X1100">
        <v>713766.41</v>
      </c>
      <c r="Z1100">
        <v>91454.74</v>
      </c>
      <c r="AA1100">
        <v>805221.15</v>
      </c>
      <c r="AB1100">
        <v>45257</v>
      </c>
      <c r="AC1100" t="s">
        <v>709</v>
      </c>
      <c r="AD1100" t="s">
        <v>29</v>
      </c>
      <c r="AE1100" t="s">
        <v>116</v>
      </c>
      <c r="AF1100" t="s">
        <v>116</v>
      </c>
      <c r="AG1100" t="s">
        <v>116</v>
      </c>
      <c r="AH1100">
        <v>45308</v>
      </c>
      <c r="AI1100">
        <v>0</v>
      </c>
      <c r="AK1100">
        <v>777</v>
      </c>
      <c r="AL1100">
        <v>9.6495229912925157E-3</v>
      </c>
      <c r="AM1100" t="s">
        <v>116</v>
      </c>
      <c r="AN1100">
        <v>45406</v>
      </c>
      <c r="AO1100">
        <v>11081357</v>
      </c>
      <c r="AP1100">
        <v>724927.25</v>
      </c>
      <c r="AR1100">
        <v>103189.68</v>
      </c>
      <c r="AS1100">
        <v>828116.93</v>
      </c>
      <c r="AT1100">
        <v>22895.78</v>
      </c>
      <c r="AU1100">
        <v>2289.578</v>
      </c>
      <c r="AV1100">
        <v>0</v>
      </c>
      <c r="AW1100" t="s">
        <v>984</v>
      </c>
      <c r="AX1100">
        <v>2289.58</v>
      </c>
      <c r="AY1100">
        <v>45566</v>
      </c>
      <c r="AZ1100">
        <v>111</v>
      </c>
      <c r="BA1100" t="s">
        <v>985</v>
      </c>
      <c r="BB1100" t="s">
        <v>986</v>
      </c>
      <c r="BC1100" t="s">
        <v>709</v>
      </c>
      <c r="BD1100" t="s">
        <v>743</v>
      </c>
      <c r="BE1100" t="s">
        <v>588</v>
      </c>
      <c r="BF1100" t="s">
        <v>709</v>
      </c>
      <c r="BG1100" t="s">
        <v>709</v>
      </c>
      <c r="BH1100" t="s">
        <v>987</v>
      </c>
      <c r="BI1100" t="s">
        <v>709</v>
      </c>
      <c r="BJ1100" t="s">
        <v>709</v>
      </c>
      <c r="BK1100" t="s">
        <v>709</v>
      </c>
      <c r="BL1100" t="s">
        <v>116</v>
      </c>
      <c r="BM1100" t="s">
        <v>709</v>
      </c>
      <c r="BN1100" t="s">
        <v>709</v>
      </c>
      <c r="BO1100" t="s">
        <v>709</v>
      </c>
      <c r="BP1100" t="s">
        <v>709</v>
      </c>
      <c r="BQ1100">
        <v>648</v>
      </c>
      <c r="BR1100" t="s">
        <v>709</v>
      </c>
      <c r="BS1100">
        <v>286</v>
      </c>
      <c r="BT1100" t="s">
        <v>709</v>
      </c>
      <c r="BU1100" t="s">
        <v>709</v>
      </c>
      <c r="BV1100" t="s">
        <v>709</v>
      </c>
      <c r="BW1100" t="s">
        <v>709</v>
      </c>
      <c r="BX1100" t="s">
        <v>709</v>
      </c>
      <c r="BY1100" t="s">
        <v>709</v>
      </c>
      <c r="BZ1100" t="s">
        <v>709</v>
      </c>
      <c r="CB1100">
        <v>1098</v>
      </c>
      <c r="CC1100" t="b">
        <v>1</v>
      </c>
      <c r="CD1100" t="s">
        <v>6104</v>
      </c>
      <c r="CE1100" s="1482">
        <v>45880.738680555558</v>
      </c>
    </row>
    <row r="1101" spans="1:83" x14ac:dyDescent="0.25">
      <c r="A1101">
        <v>2023</v>
      </c>
      <c r="B1101" t="s">
        <v>4</v>
      </c>
      <c r="C1101" t="s">
        <v>6105</v>
      </c>
      <c r="D1101" t="s">
        <v>115</v>
      </c>
      <c r="E1101" t="s">
        <v>1763</v>
      </c>
      <c r="F1101" t="s">
        <v>784</v>
      </c>
      <c r="G1101" t="s">
        <v>31</v>
      </c>
      <c r="H1101" t="s">
        <v>5512</v>
      </c>
      <c r="I1101">
        <v>45251</v>
      </c>
      <c r="J1101" t="s">
        <v>4110</v>
      </c>
      <c r="K1101">
        <v>45272</v>
      </c>
      <c r="L1101">
        <v>21</v>
      </c>
      <c r="M1101" t="s">
        <v>6106</v>
      </c>
      <c r="N1101" t="s">
        <v>120</v>
      </c>
      <c r="O1101">
        <v>45261</v>
      </c>
      <c r="P1101" t="s">
        <v>739</v>
      </c>
      <c r="Q1101">
        <v>6741.44</v>
      </c>
      <c r="R1101" t="s">
        <v>1922</v>
      </c>
      <c r="S1101">
        <v>5478.94</v>
      </c>
      <c r="U1101">
        <v>1262.5</v>
      </c>
      <c r="AB1101" t="s">
        <v>29</v>
      </c>
      <c r="AC1101" t="s">
        <v>29</v>
      </c>
      <c r="AD1101" t="s">
        <v>29</v>
      </c>
      <c r="AE1101" t="s">
        <v>756</v>
      </c>
      <c r="AF1101" t="s">
        <v>756</v>
      </c>
      <c r="AG1101" t="s">
        <v>29</v>
      </c>
      <c r="AH1101" t="s">
        <v>29</v>
      </c>
      <c r="AM1101" t="s">
        <v>709</v>
      </c>
      <c r="AY1101" t="s">
        <v>29</v>
      </c>
      <c r="BH1101" t="s">
        <v>6107</v>
      </c>
      <c r="BZ1101" t="s">
        <v>709</v>
      </c>
      <c r="CA1101" t="s">
        <v>915</v>
      </c>
      <c r="CB1101">
        <v>1100</v>
      </c>
      <c r="CC1101" t="b">
        <v>1</v>
      </c>
      <c r="CD1101" t="s">
        <v>6108</v>
      </c>
      <c r="CE1101" s="1482">
        <v>45880.738680555558</v>
      </c>
    </row>
    <row r="1102" spans="1:83" ht="255" x14ac:dyDescent="0.25">
      <c r="A1102">
        <v>2023</v>
      </c>
      <c r="B1102" t="s">
        <v>4</v>
      </c>
      <c r="C1102" t="s">
        <v>6109</v>
      </c>
      <c r="D1102" t="s">
        <v>6110</v>
      </c>
      <c r="E1102" t="s">
        <v>6111</v>
      </c>
      <c r="F1102" t="s">
        <v>851</v>
      </c>
      <c r="G1102" t="s">
        <v>23</v>
      </c>
      <c r="H1102" t="s">
        <v>1681</v>
      </c>
      <c r="I1102">
        <v>45027</v>
      </c>
      <c r="J1102">
        <v>45345</v>
      </c>
      <c r="K1102">
        <v>45272</v>
      </c>
      <c r="L1102">
        <v>73</v>
      </c>
      <c r="N1102" t="s">
        <v>120</v>
      </c>
      <c r="O1102">
        <v>45261</v>
      </c>
      <c r="P1102" t="s">
        <v>739</v>
      </c>
      <c r="Q1102" t="s">
        <v>115</v>
      </c>
      <c r="R1102" t="s">
        <v>115</v>
      </c>
      <c r="AB1102" t="s">
        <v>29</v>
      </c>
      <c r="AC1102" t="s">
        <v>29</v>
      </c>
      <c r="AD1102" t="s">
        <v>29</v>
      </c>
      <c r="AE1102" t="s">
        <v>116</v>
      </c>
      <c r="AF1102" t="s">
        <v>29</v>
      </c>
      <c r="AG1102" t="s">
        <v>29</v>
      </c>
      <c r="AH1102">
        <v>45308</v>
      </c>
      <c r="AM1102" t="s">
        <v>709</v>
      </c>
      <c r="AY1102" t="s">
        <v>29</v>
      </c>
      <c r="BA1102" s="4" t="s">
        <v>6112</v>
      </c>
      <c r="BB1102" t="s">
        <v>870</v>
      </c>
      <c r="BC1102" t="s">
        <v>116</v>
      </c>
      <c r="BD1102" t="s">
        <v>709</v>
      </c>
      <c r="BE1102" t="s">
        <v>6113</v>
      </c>
      <c r="BF1102" t="s">
        <v>709</v>
      </c>
      <c r="BG1102" t="s">
        <v>709</v>
      </c>
      <c r="BH1102" t="s">
        <v>6114</v>
      </c>
      <c r="BZ1102" t="s">
        <v>709</v>
      </c>
      <c r="CA1102" t="s">
        <v>915</v>
      </c>
      <c r="CB1102">
        <v>1099</v>
      </c>
      <c r="CC1102" t="b">
        <v>1</v>
      </c>
      <c r="CD1102" t="s">
        <v>6115</v>
      </c>
      <c r="CE1102" s="1482">
        <v>45880.738680555558</v>
      </c>
    </row>
    <row r="1103" spans="1:83" x14ac:dyDescent="0.25">
      <c r="A1103">
        <v>2023</v>
      </c>
      <c r="B1103" t="s">
        <v>4</v>
      </c>
      <c r="C1103" t="s">
        <v>1696</v>
      </c>
      <c r="D1103" t="s">
        <v>1697</v>
      </c>
      <c r="E1103" t="s">
        <v>1698</v>
      </c>
      <c r="F1103" t="s">
        <v>784</v>
      </c>
      <c r="G1103" t="s">
        <v>27</v>
      </c>
      <c r="H1103" t="s">
        <v>59</v>
      </c>
      <c r="I1103">
        <v>45188</v>
      </c>
      <c r="J1103">
        <v>45306</v>
      </c>
      <c r="K1103">
        <v>45273</v>
      </c>
      <c r="L1103">
        <v>33</v>
      </c>
      <c r="N1103" t="s">
        <v>120</v>
      </c>
      <c r="O1103">
        <v>45292</v>
      </c>
      <c r="P1103" t="s">
        <v>739</v>
      </c>
      <c r="Q1103">
        <v>85706.263999999996</v>
      </c>
      <c r="R1103">
        <v>0.1</v>
      </c>
      <c r="V1103">
        <v>306</v>
      </c>
      <c r="W1103">
        <v>0</v>
      </c>
      <c r="X1103">
        <v>654133.12</v>
      </c>
      <c r="Z1103">
        <v>202929.52</v>
      </c>
      <c r="AA1103">
        <v>857062.64</v>
      </c>
      <c r="AB1103">
        <v>45264</v>
      </c>
      <c r="AC1103" t="s">
        <v>116</v>
      </c>
      <c r="AD1103" t="s">
        <v>29</v>
      </c>
      <c r="AE1103" t="s">
        <v>116</v>
      </c>
      <c r="AF1103" t="s">
        <v>116</v>
      </c>
      <c r="AG1103">
        <v>45371</v>
      </c>
      <c r="AH1103">
        <v>45371</v>
      </c>
      <c r="AI1103">
        <v>0</v>
      </c>
      <c r="AJ1103">
        <v>1599.5</v>
      </c>
      <c r="AK1103">
        <v>682</v>
      </c>
      <c r="AL1103">
        <v>2.6619991276250237E-2</v>
      </c>
      <c r="AM1103" t="s">
        <v>709</v>
      </c>
      <c r="AY1103" t="s">
        <v>29</v>
      </c>
      <c r="BA1103" t="s">
        <v>1699</v>
      </c>
      <c r="BB1103" t="s">
        <v>870</v>
      </c>
      <c r="BC1103" t="s">
        <v>116</v>
      </c>
      <c r="BD1103" t="s">
        <v>882</v>
      </c>
      <c r="BE1103" t="s">
        <v>1700</v>
      </c>
      <c r="BF1103" t="s">
        <v>709</v>
      </c>
      <c r="BG1103" t="s">
        <v>709</v>
      </c>
      <c r="BH1103" t="s">
        <v>1701</v>
      </c>
      <c r="BI1103" t="s">
        <v>709</v>
      </c>
      <c r="BJ1103" t="s">
        <v>709</v>
      </c>
      <c r="BK1103" t="s">
        <v>709</v>
      </c>
      <c r="BL1103" t="s">
        <v>116</v>
      </c>
      <c r="BM1103" t="s">
        <v>709</v>
      </c>
      <c r="BN1103">
        <v>153</v>
      </c>
      <c r="BO1103" t="s">
        <v>709</v>
      </c>
      <c r="BP1103" t="s">
        <v>709</v>
      </c>
      <c r="BQ1103">
        <v>92</v>
      </c>
      <c r="BR1103">
        <v>61</v>
      </c>
      <c r="BS1103" t="s">
        <v>709</v>
      </c>
      <c r="BT1103" t="s">
        <v>709</v>
      </c>
      <c r="BU1103" t="s">
        <v>709</v>
      </c>
      <c r="BV1103" t="s">
        <v>709</v>
      </c>
      <c r="BW1103" t="s">
        <v>709</v>
      </c>
      <c r="BX1103" t="s">
        <v>709</v>
      </c>
      <c r="BY1103" t="s">
        <v>709</v>
      </c>
      <c r="BZ1103" t="s">
        <v>709</v>
      </c>
      <c r="CB1103">
        <v>1101</v>
      </c>
      <c r="CC1103" t="b">
        <v>1</v>
      </c>
      <c r="CD1103" t="s">
        <v>6116</v>
      </c>
      <c r="CE1103" s="1482">
        <v>45880.738680555558</v>
      </c>
    </row>
    <row r="1104" spans="1:83" x14ac:dyDescent="0.25">
      <c r="A1104">
        <v>2023</v>
      </c>
      <c r="B1104" t="s">
        <v>732</v>
      </c>
      <c r="C1104" t="s">
        <v>6117</v>
      </c>
      <c r="D1104" t="s">
        <v>6118</v>
      </c>
      <c r="E1104" t="s">
        <v>2119</v>
      </c>
      <c r="F1104" t="s">
        <v>752</v>
      </c>
      <c r="G1104" t="s">
        <v>34</v>
      </c>
      <c r="H1104" t="s">
        <v>59</v>
      </c>
      <c r="I1104">
        <v>45056</v>
      </c>
      <c r="J1104">
        <v>45282</v>
      </c>
      <c r="K1104">
        <v>45281</v>
      </c>
      <c r="L1104">
        <v>1</v>
      </c>
      <c r="N1104" t="s">
        <v>120</v>
      </c>
      <c r="O1104">
        <v>45292</v>
      </c>
      <c r="P1104" t="s">
        <v>120</v>
      </c>
      <c r="Q1104">
        <v>14500</v>
      </c>
      <c r="R1104" t="s">
        <v>6119</v>
      </c>
      <c r="V1104">
        <v>63</v>
      </c>
      <c r="W1104">
        <v>2</v>
      </c>
      <c r="X1104">
        <v>139589</v>
      </c>
      <c r="Z1104">
        <v>92467.09</v>
      </c>
      <c r="AA1104">
        <v>232056.09</v>
      </c>
      <c r="AB1104">
        <v>45293</v>
      </c>
      <c r="AC1104" t="s">
        <v>1177</v>
      </c>
      <c r="AD1104" t="s">
        <v>29</v>
      </c>
      <c r="AE1104" t="s">
        <v>756</v>
      </c>
      <c r="AF1104" t="s">
        <v>29</v>
      </c>
      <c r="AG1104" t="s">
        <v>29</v>
      </c>
      <c r="AH1104" t="s">
        <v>116</v>
      </c>
      <c r="AL1104">
        <v>0</v>
      </c>
      <c r="AM1104" t="s">
        <v>709</v>
      </c>
      <c r="AY1104" t="s">
        <v>29</v>
      </c>
      <c r="BA1104" t="s">
        <v>6120</v>
      </c>
      <c r="BB1104" t="s">
        <v>6121</v>
      </c>
      <c r="BC1104" t="s">
        <v>115</v>
      </c>
      <c r="BD1104" t="s">
        <v>115</v>
      </c>
      <c r="BE1104" t="s">
        <v>6122</v>
      </c>
      <c r="BF1104" t="s">
        <v>115</v>
      </c>
      <c r="BG1104" t="s">
        <v>115</v>
      </c>
      <c r="BH1104" t="s">
        <v>6123</v>
      </c>
      <c r="BI1104" t="s">
        <v>709</v>
      </c>
      <c r="BJ1104" t="s">
        <v>709</v>
      </c>
      <c r="BK1104" t="s">
        <v>116</v>
      </c>
      <c r="BL1104" t="s">
        <v>709</v>
      </c>
      <c r="BM1104" t="s">
        <v>709</v>
      </c>
      <c r="BN1104" t="s">
        <v>709</v>
      </c>
      <c r="BO1104" t="s">
        <v>709</v>
      </c>
      <c r="BP1104" t="s">
        <v>709</v>
      </c>
      <c r="BQ1104">
        <v>41</v>
      </c>
      <c r="BR1104">
        <v>22</v>
      </c>
      <c r="BS1104" t="s">
        <v>709</v>
      </c>
      <c r="BT1104" t="s">
        <v>709</v>
      </c>
      <c r="BU1104" t="s">
        <v>709</v>
      </c>
      <c r="BV1104" t="s">
        <v>709</v>
      </c>
      <c r="BW1104">
        <v>1</v>
      </c>
      <c r="BX1104">
        <v>1</v>
      </c>
      <c r="BY1104" t="s">
        <v>709</v>
      </c>
      <c r="BZ1104" t="s">
        <v>709</v>
      </c>
      <c r="CB1104">
        <v>1102</v>
      </c>
      <c r="CC1104" t="b">
        <v>1</v>
      </c>
      <c r="CD1104" t="s">
        <v>6124</v>
      </c>
      <c r="CE1104" s="1482">
        <v>45880.738692129627</v>
      </c>
    </row>
    <row r="1105" spans="1:83" ht="240" x14ac:dyDescent="0.25">
      <c r="A1105">
        <v>2023</v>
      </c>
      <c r="B1105" t="s">
        <v>4</v>
      </c>
      <c r="C1105" t="s">
        <v>865</v>
      </c>
      <c r="D1105" t="s">
        <v>866</v>
      </c>
      <c r="E1105" t="s">
        <v>867</v>
      </c>
      <c r="F1105" t="s">
        <v>851</v>
      </c>
      <c r="G1105" t="s">
        <v>28</v>
      </c>
      <c r="H1105" t="s">
        <v>59</v>
      </c>
      <c r="I1105">
        <v>45103</v>
      </c>
      <c r="J1105">
        <v>45299</v>
      </c>
      <c r="K1105">
        <v>45282</v>
      </c>
      <c r="L1105">
        <v>17</v>
      </c>
      <c r="N1105" t="s">
        <v>120</v>
      </c>
      <c r="O1105">
        <v>45292</v>
      </c>
      <c r="P1105" t="s">
        <v>739</v>
      </c>
      <c r="Q1105">
        <v>15738.49</v>
      </c>
      <c r="R1105">
        <v>0.1</v>
      </c>
      <c r="V1105">
        <v>458</v>
      </c>
      <c r="W1105">
        <v>0</v>
      </c>
      <c r="X1105">
        <v>127620.77</v>
      </c>
      <c r="Z1105">
        <v>29764.13</v>
      </c>
      <c r="AA1105">
        <v>157384.9</v>
      </c>
      <c r="AB1105">
        <v>45294</v>
      </c>
      <c r="AC1105" t="s">
        <v>709</v>
      </c>
      <c r="AD1105" t="s">
        <v>29</v>
      </c>
      <c r="AE1105" t="s">
        <v>116</v>
      </c>
      <c r="AF1105" t="s">
        <v>116</v>
      </c>
      <c r="AG1105" t="s">
        <v>116</v>
      </c>
      <c r="AH1105">
        <v>45308</v>
      </c>
      <c r="AI1105">
        <v>0</v>
      </c>
      <c r="AJ1105">
        <v>849.32</v>
      </c>
      <c r="AK1105">
        <v>492</v>
      </c>
      <c r="AL1105">
        <v>8.5225456825908971E-2</v>
      </c>
      <c r="AM1105" t="s">
        <v>116</v>
      </c>
      <c r="AN1105">
        <v>45359</v>
      </c>
      <c r="AO1105">
        <v>11079675</v>
      </c>
      <c r="AP1105">
        <v>133514.34</v>
      </c>
      <c r="AR1105">
        <v>26077.23</v>
      </c>
      <c r="AS1105">
        <v>159591.57</v>
      </c>
      <c r="AT1105">
        <v>2206.67</v>
      </c>
      <c r="AU1105">
        <v>220.667</v>
      </c>
      <c r="AV1105">
        <v>1332.5</v>
      </c>
      <c r="AW1105" t="s">
        <v>868</v>
      </c>
      <c r="AX1105">
        <v>0</v>
      </c>
      <c r="AY1105">
        <v>45566</v>
      </c>
      <c r="AZ1105">
        <v>113</v>
      </c>
      <c r="BA1105" s="4" t="s">
        <v>869</v>
      </c>
      <c r="BB1105" t="s">
        <v>870</v>
      </c>
      <c r="BC1105" t="s">
        <v>116</v>
      </c>
      <c r="BD1105" t="s">
        <v>709</v>
      </c>
      <c r="BE1105" t="s">
        <v>871</v>
      </c>
      <c r="BF1105" t="s">
        <v>709</v>
      </c>
      <c r="BG1105" t="s">
        <v>709</v>
      </c>
      <c r="BH1105" t="s">
        <v>872</v>
      </c>
      <c r="BI1105" t="s">
        <v>709</v>
      </c>
      <c r="BJ1105" t="s">
        <v>709</v>
      </c>
      <c r="BK1105" t="s">
        <v>709</v>
      </c>
      <c r="BL1105" t="s">
        <v>116</v>
      </c>
      <c r="BM1105" t="s">
        <v>709</v>
      </c>
      <c r="BN1105" t="s">
        <v>709</v>
      </c>
      <c r="BO1105" t="s">
        <v>709</v>
      </c>
      <c r="BP1105" t="s">
        <v>709</v>
      </c>
      <c r="BQ1105" t="s">
        <v>709</v>
      </c>
      <c r="BR1105">
        <v>458</v>
      </c>
      <c r="BS1105" t="s">
        <v>709</v>
      </c>
      <c r="BT1105" t="s">
        <v>745</v>
      </c>
      <c r="BU1105" t="s">
        <v>709</v>
      </c>
      <c r="BV1105" t="s">
        <v>745</v>
      </c>
      <c r="BW1105" t="s">
        <v>709</v>
      </c>
      <c r="BX1105" t="s">
        <v>745</v>
      </c>
      <c r="BY1105" t="s">
        <v>745</v>
      </c>
      <c r="BZ1105" t="s">
        <v>709</v>
      </c>
      <c r="CB1105">
        <v>1103</v>
      </c>
      <c r="CC1105" t="b">
        <v>1</v>
      </c>
      <c r="CD1105" t="s">
        <v>6125</v>
      </c>
      <c r="CE1105" s="1482">
        <v>45880.738692129627</v>
      </c>
    </row>
    <row r="1106" spans="1:83" ht="360" x14ac:dyDescent="0.25">
      <c r="A1106">
        <v>2024</v>
      </c>
      <c r="B1106" t="s">
        <v>4</v>
      </c>
      <c r="C1106" t="s">
        <v>6126</v>
      </c>
      <c r="D1106" t="s">
        <v>115</v>
      </c>
      <c r="E1106" t="s">
        <v>1032</v>
      </c>
      <c r="F1106" t="s">
        <v>747</v>
      </c>
      <c r="G1106" t="s">
        <v>25</v>
      </c>
      <c r="H1106" t="s">
        <v>1681</v>
      </c>
      <c r="I1106">
        <v>45078</v>
      </c>
      <c r="J1106">
        <v>45331</v>
      </c>
      <c r="K1106">
        <v>45282</v>
      </c>
      <c r="L1106">
        <v>49</v>
      </c>
      <c r="N1106" t="s">
        <v>120</v>
      </c>
      <c r="O1106">
        <v>45292</v>
      </c>
      <c r="P1106" t="s">
        <v>739</v>
      </c>
      <c r="Q1106" t="s">
        <v>115</v>
      </c>
      <c r="R1106" t="s">
        <v>115</v>
      </c>
      <c r="AB1106" t="s">
        <v>29</v>
      </c>
      <c r="AC1106" t="s">
        <v>29</v>
      </c>
      <c r="AD1106" t="s">
        <v>29</v>
      </c>
      <c r="AE1106" t="s">
        <v>756</v>
      </c>
      <c r="AF1106" t="s">
        <v>29</v>
      </c>
      <c r="AG1106" t="s">
        <v>29</v>
      </c>
      <c r="AH1106">
        <v>45308</v>
      </c>
      <c r="AL1106" t="e">
        <v>#VALUE!</v>
      </c>
      <c r="AM1106" t="s">
        <v>709</v>
      </c>
      <c r="AY1106" t="s">
        <v>29</v>
      </c>
      <c r="BA1106" s="4" t="s">
        <v>6127</v>
      </c>
      <c r="BB1106" t="s">
        <v>961</v>
      </c>
      <c r="BC1106" t="s">
        <v>116</v>
      </c>
      <c r="BD1106" t="s">
        <v>1036</v>
      </c>
      <c r="BE1106" t="s">
        <v>1841</v>
      </c>
      <c r="BF1106" t="s">
        <v>709</v>
      </c>
      <c r="BG1106" t="s">
        <v>709</v>
      </c>
      <c r="BH1106" t="s">
        <v>6128</v>
      </c>
      <c r="BZ1106" t="s">
        <v>709</v>
      </c>
      <c r="CA1106" t="s">
        <v>915</v>
      </c>
      <c r="CB1106">
        <v>1104</v>
      </c>
      <c r="CC1106" t="b">
        <v>1</v>
      </c>
      <c r="CD1106" t="s">
        <v>6129</v>
      </c>
      <c r="CE1106" s="1482">
        <v>45880.738692129627</v>
      </c>
    </row>
    <row r="1107" spans="1:83" x14ac:dyDescent="0.25">
      <c r="A1107">
        <v>2023</v>
      </c>
      <c r="B1107" t="s">
        <v>4</v>
      </c>
      <c r="C1107" t="s">
        <v>6130</v>
      </c>
      <c r="D1107">
        <v>1313140</v>
      </c>
      <c r="E1107" t="s">
        <v>818</v>
      </c>
      <c r="F1107" t="s">
        <v>851</v>
      </c>
      <c r="G1107" t="s">
        <v>25</v>
      </c>
      <c r="H1107" t="s">
        <v>5512</v>
      </c>
      <c r="I1107">
        <v>45279</v>
      </c>
      <c r="J1107" t="s">
        <v>4110</v>
      </c>
      <c r="K1107">
        <v>45286</v>
      </c>
      <c r="L1107">
        <v>7</v>
      </c>
      <c r="M1107" t="s">
        <v>6131</v>
      </c>
      <c r="N1107" t="s">
        <v>120</v>
      </c>
      <c r="O1107">
        <v>45292</v>
      </c>
      <c r="P1107" t="s">
        <v>739</v>
      </c>
      <c r="Q1107">
        <v>1161.98</v>
      </c>
      <c r="R1107" t="s">
        <v>1922</v>
      </c>
      <c r="S1107">
        <v>696.98</v>
      </c>
      <c r="T1107" t="s">
        <v>709</v>
      </c>
      <c r="U1107">
        <v>465</v>
      </c>
      <c r="AB1107" t="s">
        <v>29</v>
      </c>
      <c r="AC1107" t="s">
        <v>29</v>
      </c>
      <c r="AD1107" t="s">
        <v>29</v>
      </c>
      <c r="AE1107" t="s">
        <v>756</v>
      </c>
      <c r="AF1107" t="s">
        <v>116</v>
      </c>
      <c r="AG1107" t="s">
        <v>29</v>
      </c>
      <c r="AH1107" t="s">
        <v>29</v>
      </c>
      <c r="AL1107">
        <v>0</v>
      </c>
      <c r="AM1107" t="s">
        <v>709</v>
      </c>
      <c r="AY1107" t="s">
        <v>29</v>
      </c>
      <c r="BA1107" t="s">
        <v>6132</v>
      </c>
      <c r="BB1107" t="s">
        <v>376</v>
      </c>
      <c r="BH1107" t="s">
        <v>6133</v>
      </c>
      <c r="BZ1107" t="s">
        <v>709</v>
      </c>
      <c r="CA1107" t="s">
        <v>915</v>
      </c>
      <c r="CB1107">
        <v>1106</v>
      </c>
      <c r="CC1107" t="b">
        <v>1</v>
      </c>
      <c r="CD1107" t="s">
        <v>6134</v>
      </c>
      <c r="CE1107" s="1482">
        <v>45880.738692129627</v>
      </c>
    </row>
    <row r="1108" spans="1:83" ht="240" x14ac:dyDescent="0.25">
      <c r="A1108">
        <v>2024</v>
      </c>
      <c r="B1108" t="s">
        <v>4</v>
      </c>
      <c r="C1108" t="s">
        <v>1041</v>
      </c>
      <c r="D1108" t="s">
        <v>1042</v>
      </c>
      <c r="E1108" t="s">
        <v>232</v>
      </c>
      <c r="F1108" t="s">
        <v>747</v>
      </c>
      <c r="G1108" t="s">
        <v>25</v>
      </c>
      <c r="H1108" t="s">
        <v>59</v>
      </c>
      <c r="I1108">
        <v>44806</v>
      </c>
      <c r="J1108">
        <v>45303</v>
      </c>
      <c r="K1108">
        <v>45286</v>
      </c>
      <c r="L1108">
        <v>17</v>
      </c>
      <c r="N1108" t="s">
        <v>120</v>
      </c>
      <c r="O1108">
        <v>45292</v>
      </c>
      <c r="P1108" t="s">
        <v>739</v>
      </c>
      <c r="Q1108">
        <v>196942.08199999999</v>
      </c>
      <c r="R1108">
        <v>0.1</v>
      </c>
      <c r="V1108">
        <v>2416</v>
      </c>
      <c r="W1108">
        <v>0</v>
      </c>
      <c r="X1108">
        <v>699460.52</v>
      </c>
      <c r="Z1108">
        <v>1269960.3</v>
      </c>
      <c r="AA1108">
        <v>1969420.82</v>
      </c>
      <c r="AB1108">
        <v>45273</v>
      </c>
      <c r="AC1108" t="s">
        <v>116</v>
      </c>
      <c r="AD1108" t="s">
        <v>116</v>
      </c>
      <c r="AE1108" t="s">
        <v>756</v>
      </c>
      <c r="AF1108" t="s">
        <v>116</v>
      </c>
      <c r="AG1108" t="s">
        <v>116</v>
      </c>
      <c r="AH1108">
        <v>45308</v>
      </c>
      <c r="AI1108">
        <v>0</v>
      </c>
      <c r="AJ1108">
        <v>8611</v>
      </c>
      <c r="AK1108">
        <v>1513.5</v>
      </c>
      <c r="AL1108">
        <v>5.1408515118673309E-2</v>
      </c>
      <c r="AM1108" t="s">
        <v>116</v>
      </c>
      <c r="AN1108">
        <v>45448</v>
      </c>
      <c r="AO1108">
        <v>11079929</v>
      </c>
      <c r="AP1108">
        <v>708091.52</v>
      </c>
      <c r="AR1108">
        <v>1331341.94</v>
      </c>
      <c r="AS1108">
        <v>2039433.46</v>
      </c>
      <c r="AT1108">
        <v>70012.639999999999</v>
      </c>
      <c r="AU1108">
        <v>7001.2640000000001</v>
      </c>
      <c r="AV1108">
        <v>0</v>
      </c>
      <c r="AW1108" t="s">
        <v>1043</v>
      </c>
      <c r="AX1108">
        <v>7001.26</v>
      </c>
      <c r="AY1108">
        <v>45566</v>
      </c>
      <c r="AZ1108">
        <v>114</v>
      </c>
      <c r="BA1108" s="4" t="s">
        <v>1044</v>
      </c>
      <c r="BB1108" t="s">
        <v>1045</v>
      </c>
      <c r="BC1108" t="s">
        <v>709</v>
      </c>
      <c r="BD1108" t="s">
        <v>709</v>
      </c>
      <c r="BE1108" t="s">
        <v>595</v>
      </c>
      <c r="BF1108" t="s">
        <v>923</v>
      </c>
      <c r="BG1108" t="s">
        <v>709</v>
      </c>
      <c r="BH1108" t="s">
        <v>1046</v>
      </c>
      <c r="BI1108" t="s">
        <v>709</v>
      </c>
      <c r="BJ1108" t="s">
        <v>709</v>
      </c>
      <c r="BK1108" t="s">
        <v>709</v>
      </c>
      <c r="BL1108" t="s">
        <v>116</v>
      </c>
      <c r="BM1108" t="s">
        <v>709</v>
      </c>
      <c r="BN1108" t="s">
        <v>709</v>
      </c>
      <c r="BO1108" t="s">
        <v>709</v>
      </c>
      <c r="BP1108" t="s">
        <v>709</v>
      </c>
      <c r="BQ1108">
        <v>2392</v>
      </c>
      <c r="BR1108" t="s">
        <v>709</v>
      </c>
      <c r="BS1108">
        <v>24</v>
      </c>
      <c r="BT1108" t="s">
        <v>745</v>
      </c>
      <c r="BU1108" t="s">
        <v>709</v>
      </c>
      <c r="BV1108" t="s">
        <v>745</v>
      </c>
      <c r="BW1108" t="s">
        <v>709</v>
      </c>
      <c r="BX1108" t="s">
        <v>745</v>
      </c>
      <c r="BY1108" t="s">
        <v>745</v>
      </c>
      <c r="BZ1108" t="s">
        <v>709</v>
      </c>
      <c r="CB1108">
        <v>1105</v>
      </c>
      <c r="CC1108" t="b">
        <v>1</v>
      </c>
      <c r="CD1108" t="s">
        <v>6135</v>
      </c>
      <c r="CE1108" s="1482">
        <v>45880.738703703704</v>
      </c>
    </row>
    <row r="1109" spans="1:83" x14ac:dyDescent="0.25">
      <c r="A1109">
        <v>2023</v>
      </c>
      <c r="B1109" t="s">
        <v>769</v>
      </c>
      <c r="C1109" t="s">
        <v>6136</v>
      </c>
      <c r="D1109" t="s">
        <v>6137</v>
      </c>
      <c r="E1109" t="s">
        <v>6138</v>
      </c>
      <c r="F1109" t="s">
        <v>5604</v>
      </c>
      <c r="G1109" t="s">
        <v>34</v>
      </c>
      <c r="H1109" t="s">
        <v>59</v>
      </c>
      <c r="I1109">
        <v>45191</v>
      </c>
      <c r="J1109">
        <v>45291</v>
      </c>
      <c r="K1109">
        <v>45288</v>
      </c>
      <c r="L1109">
        <v>3</v>
      </c>
      <c r="N1109" t="s">
        <v>120</v>
      </c>
      <c r="O1109">
        <v>45292</v>
      </c>
      <c r="P1109" t="s">
        <v>739</v>
      </c>
      <c r="Q1109">
        <v>12750</v>
      </c>
      <c r="R1109" t="s">
        <v>5194</v>
      </c>
      <c r="V1109">
        <v>86</v>
      </c>
      <c r="W1109">
        <v>1</v>
      </c>
      <c r="X1109">
        <v>151886.57</v>
      </c>
      <c r="Z1109">
        <v>56618.09</v>
      </c>
      <c r="AA1109">
        <v>208504.66</v>
      </c>
      <c r="AB1109">
        <v>45293</v>
      </c>
      <c r="AC1109" t="s">
        <v>116</v>
      </c>
      <c r="AD1109" t="s">
        <v>29</v>
      </c>
      <c r="AE1109" t="s">
        <v>116</v>
      </c>
      <c r="AF1109" t="s">
        <v>756</v>
      </c>
      <c r="AG1109">
        <v>45293</v>
      </c>
      <c r="AH1109">
        <v>45770</v>
      </c>
      <c r="AI1109">
        <v>0</v>
      </c>
      <c r="AJ1109">
        <v>0</v>
      </c>
      <c r="AK1109">
        <v>1069</v>
      </c>
      <c r="AL1109">
        <v>8.3843137254901959E-2</v>
      </c>
      <c r="AM1109" t="s">
        <v>709</v>
      </c>
      <c r="AY1109" t="s">
        <v>29</v>
      </c>
      <c r="BA1109" t="s">
        <v>6139</v>
      </c>
      <c r="BB1109" t="s">
        <v>6140</v>
      </c>
      <c r="BC1109" t="s">
        <v>115</v>
      </c>
      <c r="BD1109" t="s">
        <v>1167</v>
      </c>
      <c r="BE1109" t="s">
        <v>115</v>
      </c>
      <c r="BF1109" t="s">
        <v>115</v>
      </c>
      <c r="BG1109" t="s">
        <v>115</v>
      </c>
      <c r="BH1109" t="s">
        <v>6141</v>
      </c>
      <c r="BI1109" t="s">
        <v>709</v>
      </c>
      <c r="BJ1109" t="s">
        <v>709</v>
      </c>
      <c r="BK1109" t="s">
        <v>116</v>
      </c>
      <c r="BL1109" t="s">
        <v>116</v>
      </c>
      <c r="BM1109" t="s">
        <v>709</v>
      </c>
      <c r="BN1109" t="s">
        <v>709</v>
      </c>
      <c r="BO1109" t="s">
        <v>709</v>
      </c>
      <c r="BP1109" t="s">
        <v>709</v>
      </c>
      <c r="BQ1109" t="s">
        <v>709</v>
      </c>
      <c r="BR1109">
        <v>4</v>
      </c>
      <c r="BS1109">
        <v>82</v>
      </c>
      <c r="BT1109" t="s">
        <v>709</v>
      </c>
      <c r="BU1109" t="s">
        <v>709</v>
      </c>
      <c r="BV1109" t="s">
        <v>709</v>
      </c>
      <c r="BW1109" t="s">
        <v>709</v>
      </c>
      <c r="BX1109">
        <v>1</v>
      </c>
      <c r="BY1109" t="s">
        <v>709</v>
      </c>
      <c r="BZ1109" t="s">
        <v>709</v>
      </c>
      <c r="CB1109">
        <v>1107</v>
      </c>
      <c r="CC1109" t="b">
        <v>1</v>
      </c>
      <c r="CD1109" t="s">
        <v>6142</v>
      </c>
      <c r="CE1109" s="1482">
        <v>45880.738703703704</v>
      </c>
    </row>
    <row r="1110" spans="1:83" ht="409.5" x14ac:dyDescent="0.25">
      <c r="A1110">
        <v>2024</v>
      </c>
      <c r="B1110" t="s">
        <v>4</v>
      </c>
      <c r="C1110" t="s">
        <v>392</v>
      </c>
      <c r="D1110" t="s">
        <v>1702</v>
      </c>
      <c r="E1110" t="s">
        <v>393</v>
      </c>
      <c r="F1110" t="s">
        <v>784</v>
      </c>
      <c r="G1110" t="s">
        <v>27</v>
      </c>
      <c r="H1110" t="s">
        <v>59</v>
      </c>
      <c r="I1110">
        <v>44886</v>
      </c>
      <c r="J1110">
        <v>45289</v>
      </c>
      <c r="K1110">
        <v>45288</v>
      </c>
      <c r="L1110">
        <v>1</v>
      </c>
      <c r="N1110" t="s">
        <v>120</v>
      </c>
      <c r="O1110">
        <v>45292</v>
      </c>
      <c r="P1110" t="s">
        <v>739</v>
      </c>
      <c r="Q1110">
        <v>414065.52399999998</v>
      </c>
      <c r="R1110">
        <v>0.1</v>
      </c>
      <c r="V1110">
        <v>8446</v>
      </c>
      <c r="W1110">
        <v>0</v>
      </c>
      <c r="X1110">
        <v>3141483.87</v>
      </c>
      <c r="Z1110">
        <v>999171.37</v>
      </c>
      <c r="AA1110">
        <v>4140655.24</v>
      </c>
      <c r="AB1110">
        <v>45288</v>
      </c>
      <c r="AC1110" t="s">
        <v>116</v>
      </c>
      <c r="AD1110" t="s">
        <v>116</v>
      </c>
      <c r="AE1110" t="s">
        <v>116</v>
      </c>
      <c r="AF1110" t="s">
        <v>116</v>
      </c>
      <c r="AG1110" t="s">
        <v>116</v>
      </c>
      <c r="AH1110">
        <v>45366</v>
      </c>
      <c r="AI1110">
        <v>0</v>
      </c>
      <c r="AJ1110">
        <v>9588.4</v>
      </c>
      <c r="AK1110">
        <v>2448.75</v>
      </c>
      <c r="AL1110">
        <v>2.9070640520170422E-2</v>
      </c>
      <c r="AM1110" t="s">
        <v>116</v>
      </c>
      <c r="AN1110">
        <v>45720</v>
      </c>
      <c r="AO1110">
        <v>11099139</v>
      </c>
      <c r="AP1110">
        <v>1475414.9</v>
      </c>
      <c r="AR1110">
        <v>552484.56000000006</v>
      </c>
      <c r="AS1110">
        <v>2027899.46</v>
      </c>
      <c r="AT1110">
        <v>-2112755.7799999998</v>
      </c>
      <c r="AU1110">
        <v>-211275.57800000001</v>
      </c>
      <c r="AV1110">
        <v>79956.179999999993</v>
      </c>
      <c r="AW1110" s="4" t="s">
        <v>6143</v>
      </c>
      <c r="AX1110">
        <v>0</v>
      </c>
      <c r="AY1110">
        <v>45901</v>
      </c>
      <c r="AZ1110">
        <v>115</v>
      </c>
      <c r="BA1110" s="4" t="s">
        <v>1703</v>
      </c>
      <c r="BB1110" t="s">
        <v>1704</v>
      </c>
      <c r="BC1110" t="s">
        <v>116</v>
      </c>
      <c r="BD1110" t="s">
        <v>1066</v>
      </c>
      <c r="BE1110" t="s">
        <v>1705</v>
      </c>
      <c r="BF1110" t="s">
        <v>1706</v>
      </c>
      <c r="BG1110" t="s">
        <v>1707</v>
      </c>
      <c r="BH1110" t="s">
        <v>1708</v>
      </c>
      <c r="BI1110" t="s">
        <v>709</v>
      </c>
      <c r="BJ1110" t="s">
        <v>709</v>
      </c>
      <c r="BK1110" t="s">
        <v>709</v>
      </c>
      <c r="BL1110" t="s">
        <v>116</v>
      </c>
      <c r="BM1110" t="s">
        <v>709</v>
      </c>
      <c r="BN1110" t="s">
        <v>709</v>
      </c>
      <c r="BO1110" t="s">
        <v>709</v>
      </c>
      <c r="BP1110">
        <v>250</v>
      </c>
      <c r="BQ1110">
        <v>5956</v>
      </c>
      <c r="BR1110">
        <v>928</v>
      </c>
      <c r="BS1110">
        <v>1562</v>
      </c>
      <c r="BT1110" t="s">
        <v>745</v>
      </c>
      <c r="BU1110" t="s">
        <v>709</v>
      </c>
      <c r="BV1110" t="s">
        <v>745</v>
      </c>
      <c r="BW1110" t="s">
        <v>709</v>
      </c>
      <c r="BX1110" t="s">
        <v>745</v>
      </c>
      <c r="BY1110" t="s">
        <v>745</v>
      </c>
      <c r="BZ1110" t="s">
        <v>709</v>
      </c>
      <c r="CB1110">
        <v>1108</v>
      </c>
      <c r="CC1110" t="b">
        <v>1</v>
      </c>
      <c r="CD1110" t="s">
        <v>6144</v>
      </c>
      <c r="CE1110" s="1482">
        <v>45880.738703703704</v>
      </c>
    </row>
    <row r="1111" spans="1:83" x14ac:dyDescent="0.25">
      <c r="A1111">
        <v>2024</v>
      </c>
      <c r="B1111" t="s">
        <v>4</v>
      </c>
      <c r="C1111" t="s">
        <v>857</v>
      </c>
      <c r="D1111" t="s">
        <v>858</v>
      </c>
      <c r="E1111" t="s">
        <v>859</v>
      </c>
      <c r="F1111" t="s">
        <v>851</v>
      </c>
      <c r="G1111" t="s">
        <v>25</v>
      </c>
      <c r="H1111" t="s">
        <v>59</v>
      </c>
      <c r="I1111">
        <v>45191</v>
      </c>
      <c r="J1111">
        <v>45303</v>
      </c>
      <c r="K1111">
        <v>45294</v>
      </c>
      <c r="L1111">
        <v>9</v>
      </c>
      <c r="N1111" t="s">
        <v>120</v>
      </c>
      <c r="O1111">
        <v>45323</v>
      </c>
      <c r="P1111" t="s">
        <v>739</v>
      </c>
      <c r="Q1111">
        <v>128020.914</v>
      </c>
      <c r="R1111">
        <v>0.1</v>
      </c>
      <c r="V1111">
        <v>4285</v>
      </c>
      <c r="W1111">
        <v>0</v>
      </c>
      <c r="X1111">
        <v>837750.8</v>
      </c>
      <c r="Z1111">
        <v>442458.34</v>
      </c>
      <c r="AA1111">
        <v>1280209.1399999999</v>
      </c>
      <c r="AB1111">
        <v>45273</v>
      </c>
      <c r="AC1111" t="s">
        <v>709</v>
      </c>
      <c r="AD1111" t="s">
        <v>116</v>
      </c>
      <c r="AE1111" t="s">
        <v>756</v>
      </c>
      <c r="AF1111" t="s">
        <v>116</v>
      </c>
      <c r="AG1111" t="s">
        <v>376</v>
      </c>
      <c r="AH1111">
        <v>45308</v>
      </c>
      <c r="AI1111">
        <v>0</v>
      </c>
      <c r="AJ1111">
        <v>5175.75</v>
      </c>
      <c r="AK1111">
        <v>3424</v>
      </c>
      <c r="AL1111">
        <v>6.7174571179830805E-2</v>
      </c>
      <c r="AM1111" t="s">
        <v>116</v>
      </c>
      <c r="AN1111">
        <v>45356</v>
      </c>
      <c r="AO1111">
        <v>11079547</v>
      </c>
      <c r="AP1111">
        <v>846228.66</v>
      </c>
      <c r="AR1111">
        <v>442231.03</v>
      </c>
      <c r="AS1111">
        <v>1288459.69</v>
      </c>
      <c r="AT1111">
        <v>8250.5499999999993</v>
      </c>
      <c r="AU1111">
        <v>825.05499999999995</v>
      </c>
      <c r="AV1111">
        <v>0</v>
      </c>
      <c r="AW1111" t="s">
        <v>785</v>
      </c>
      <c r="AX1111">
        <v>825.05</v>
      </c>
      <c r="AY1111">
        <v>45566</v>
      </c>
      <c r="AZ1111">
        <v>116</v>
      </c>
      <c r="BA1111" t="s">
        <v>860</v>
      </c>
      <c r="BB1111" t="s">
        <v>861</v>
      </c>
      <c r="BC1111" t="s">
        <v>115</v>
      </c>
      <c r="BD1111" t="s">
        <v>862</v>
      </c>
      <c r="BE1111" t="s">
        <v>863</v>
      </c>
      <c r="BF1111" t="s">
        <v>115</v>
      </c>
      <c r="BG1111" t="s">
        <v>115</v>
      </c>
      <c r="BH1111" t="s">
        <v>864</v>
      </c>
      <c r="BI1111" t="s">
        <v>709</v>
      </c>
      <c r="BJ1111" t="s">
        <v>709</v>
      </c>
      <c r="BK1111" t="s">
        <v>709</v>
      </c>
      <c r="BL1111" t="s">
        <v>116</v>
      </c>
      <c r="BM1111" t="s">
        <v>709</v>
      </c>
      <c r="BN1111" t="s">
        <v>709</v>
      </c>
      <c r="BO1111" t="s">
        <v>709</v>
      </c>
      <c r="BP1111" t="s">
        <v>709</v>
      </c>
      <c r="BQ1111" t="s">
        <v>709</v>
      </c>
      <c r="BR1111" t="s">
        <v>709</v>
      </c>
      <c r="BS1111">
        <v>4285</v>
      </c>
      <c r="BT1111" t="s">
        <v>745</v>
      </c>
      <c r="BU1111" t="s">
        <v>709</v>
      </c>
      <c r="BV1111" t="s">
        <v>745</v>
      </c>
      <c r="BW1111" t="s">
        <v>709</v>
      </c>
      <c r="BX1111" t="s">
        <v>745</v>
      </c>
      <c r="BY1111" t="s">
        <v>745</v>
      </c>
      <c r="BZ1111" t="s">
        <v>709</v>
      </c>
      <c r="CB1111">
        <v>1109</v>
      </c>
      <c r="CC1111" t="b">
        <v>1</v>
      </c>
      <c r="CD1111" t="s">
        <v>6145</v>
      </c>
      <c r="CE1111" s="1482">
        <v>45880.738703703704</v>
      </c>
    </row>
    <row r="1112" spans="1:83" ht="240" x14ac:dyDescent="0.25">
      <c r="A1112">
        <v>2024</v>
      </c>
      <c r="B1112" t="s">
        <v>4</v>
      </c>
      <c r="C1112" t="s">
        <v>6146</v>
      </c>
      <c r="D1112" t="s">
        <v>115</v>
      </c>
      <c r="E1112" t="s">
        <v>2535</v>
      </c>
      <c r="F1112" t="s">
        <v>784</v>
      </c>
      <c r="G1112" t="s">
        <v>26</v>
      </c>
      <c r="H1112" t="s">
        <v>1681</v>
      </c>
      <c r="I1112">
        <v>44732</v>
      </c>
      <c r="J1112">
        <v>45322</v>
      </c>
      <c r="K1112">
        <v>45295</v>
      </c>
      <c r="L1112">
        <v>27</v>
      </c>
      <c r="N1112" t="s">
        <v>120</v>
      </c>
      <c r="O1112">
        <v>45292</v>
      </c>
      <c r="P1112" t="s">
        <v>739</v>
      </c>
      <c r="Q1112" t="s">
        <v>115</v>
      </c>
      <c r="R1112" t="s">
        <v>115</v>
      </c>
      <c r="AB1112" t="s">
        <v>29</v>
      </c>
      <c r="AC1112" t="s">
        <v>29</v>
      </c>
      <c r="AD1112" t="s">
        <v>29</v>
      </c>
      <c r="AE1112" t="s">
        <v>756</v>
      </c>
      <c r="AF1112" t="s">
        <v>29</v>
      </c>
      <c r="AG1112" t="s">
        <v>29</v>
      </c>
      <c r="AH1112">
        <v>45406</v>
      </c>
      <c r="AI1112">
        <v>0</v>
      </c>
      <c r="AJ1112">
        <v>2459.4</v>
      </c>
      <c r="AK1112">
        <v>0</v>
      </c>
      <c r="AL1112" t="e">
        <v>#VALUE!</v>
      </c>
      <c r="AM1112" t="s">
        <v>709</v>
      </c>
      <c r="AY1112" t="s">
        <v>29</v>
      </c>
      <c r="BA1112" s="4" t="s">
        <v>6147</v>
      </c>
      <c r="BB1112" t="s">
        <v>870</v>
      </c>
      <c r="BC1112" t="s">
        <v>709</v>
      </c>
      <c r="BD1112" t="s">
        <v>788</v>
      </c>
      <c r="BE1112" t="s">
        <v>3340</v>
      </c>
      <c r="BF1112" t="s">
        <v>3639</v>
      </c>
      <c r="BG1112" t="s">
        <v>5619</v>
      </c>
      <c r="BH1112" t="s">
        <v>6148</v>
      </c>
      <c r="CA1112" t="s">
        <v>915</v>
      </c>
      <c r="CB1112">
        <v>1110</v>
      </c>
      <c r="CC1112" t="b">
        <v>1</v>
      </c>
      <c r="CD1112" t="s">
        <v>6149</v>
      </c>
      <c r="CE1112" s="1482">
        <v>45880.738703703704</v>
      </c>
    </row>
    <row r="1113" spans="1:83" x14ac:dyDescent="0.25">
      <c r="A1113">
        <v>2024</v>
      </c>
      <c r="B1113" t="s">
        <v>4</v>
      </c>
      <c r="C1113" t="s">
        <v>982</v>
      </c>
      <c r="D1113">
        <v>1213288</v>
      </c>
      <c r="E1113" t="s">
        <v>354</v>
      </c>
      <c r="F1113" t="s">
        <v>784</v>
      </c>
      <c r="G1113" t="s">
        <v>26</v>
      </c>
      <c r="H1113" t="s">
        <v>4462</v>
      </c>
      <c r="I1113">
        <v>45281</v>
      </c>
      <c r="J1113" t="s">
        <v>2052</v>
      </c>
      <c r="K1113">
        <v>45299</v>
      </c>
      <c r="L1113">
        <v>18</v>
      </c>
      <c r="M1113" t="s">
        <v>6150</v>
      </c>
      <c r="N1113" t="s">
        <v>120</v>
      </c>
      <c r="O1113">
        <v>45292</v>
      </c>
      <c r="P1113" t="s">
        <v>739</v>
      </c>
      <c r="Q1113" t="s">
        <v>115</v>
      </c>
      <c r="R1113" t="s">
        <v>115</v>
      </c>
      <c r="AB1113" t="s">
        <v>29</v>
      </c>
      <c r="AC1113" t="s">
        <v>29</v>
      </c>
      <c r="AD1113" t="s">
        <v>116</v>
      </c>
      <c r="AE1113" t="s">
        <v>756</v>
      </c>
      <c r="AF1113" t="s">
        <v>116</v>
      </c>
      <c r="AG1113" t="s">
        <v>29</v>
      </c>
      <c r="AH1113">
        <v>45447</v>
      </c>
      <c r="AI1113">
        <v>0</v>
      </c>
      <c r="AJ1113">
        <v>0</v>
      </c>
      <c r="AK1113">
        <v>0</v>
      </c>
      <c r="AL1113" t="e">
        <v>#VALUE!</v>
      </c>
      <c r="AM1113" t="s">
        <v>709</v>
      </c>
      <c r="AY1113" t="s">
        <v>29</v>
      </c>
      <c r="BA1113" t="s">
        <v>6151</v>
      </c>
      <c r="CB1113">
        <v>1111</v>
      </c>
      <c r="CC1113" t="b">
        <v>1</v>
      </c>
      <c r="CD1113" t="s">
        <v>6152</v>
      </c>
      <c r="CE1113" s="1482">
        <v>45880.738715277781</v>
      </c>
    </row>
    <row r="1114" spans="1:83" ht="315" x14ac:dyDescent="0.25">
      <c r="A1114">
        <v>2024</v>
      </c>
      <c r="B1114" t="s">
        <v>4</v>
      </c>
      <c r="C1114" t="s">
        <v>1008</v>
      </c>
      <c r="D1114" t="s">
        <v>1009</v>
      </c>
      <c r="E1114" t="s">
        <v>354</v>
      </c>
      <c r="F1114" t="s">
        <v>784</v>
      </c>
      <c r="G1114" t="s">
        <v>26</v>
      </c>
      <c r="H1114" t="s">
        <v>59</v>
      </c>
      <c r="I1114">
        <v>44958</v>
      </c>
      <c r="J1114">
        <v>45310</v>
      </c>
      <c r="K1114">
        <v>45300</v>
      </c>
      <c r="L1114">
        <v>10</v>
      </c>
      <c r="N1114" t="s">
        <v>120</v>
      </c>
      <c r="O1114">
        <v>45323</v>
      </c>
      <c r="P1114" t="s">
        <v>739</v>
      </c>
      <c r="Q1114">
        <v>23783.064999999999</v>
      </c>
      <c r="R1114">
        <v>0.1</v>
      </c>
      <c r="V1114">
        <v>110</v>
      </c>
      <c r="W1114">
        <v>0</v>
      </c>
      <c r="X1114">
        <v>176508.39</v>
      </c>
      <c r="Z1114">
        <v>61322.26</v>
      </c>
      <c r="AA1114">
        <v>237830.65</v>
      </c>
      <c r="AB1114">
        <v>45301</v>
      </c>
      <c r="AC1114" t="s">
        <v>709</v>
      </c>
      <c r="AD1114" t="s">
        <v>29</v>
      </c>
      <c r="AE1114" t="s">
        <v>116</v>
      </c>
      <c r="AF1114" t="s">
        <v>756</v>
      </c>
      <c r="AG1114">
        <v>45366</v>
      </c>
      <c r="AH1114">
        <v>45366</v>
      </c>
      <c r="AI1114">
        <v>0</v>
      </c>
      <c r="AJ1114">
        <v>2547</v>
      </c>
      <c r="AK1114">
        <v>0</v>
      </c>
      <c r="AL1114">
        <v>0.10709300924838744</v>
      </c>
      <c r="AM1114" t="s">
        <v>116</v>
      </c>
      <c r="AN1114">
        <v>45441</v>
      </c>
      <c r="AO1114">
        <v>11078712</v>
      </c>
      <c r="AP1114">
        <v>326549.63</v>
      </c>
      <c r="AR1114">
        <v>74469.759999999995</v>
      </c>
      <c r="AS1114">
        <v>401019.39</v>
      </c>
      <c r="AT1114">
        <v>163188.74</v>
      </c>
      <c r="AU1114">
        <v>16318.874</v>
      </c>
      <c r="AV1114">
        <v>25615</v>
      </c>
      <c r="AW1114" t="s">
        <v>1010</v>
      </c>
      <c r="AX1114">
        <v>0</v>
      </c>
      <c r="AY1114">
        <v>45566</v>
      </c>
      <c r="AZ1114">
        <v>117</v>
      </c>
      <c r="BA1114" s="4" t="s">
        <v>1011</v>
      </c>
      <c r="BB1114" t="s">
        <v>905</v>
      </c>
      <c r="BC1114" t="s">
        <v>116</v>
      </c>
      <c r="BD1114" t="s">
        <v>115</v>
      </c>
      <c r="BE1114" t="s">
        <v>1012</v>
      </c>
      <c r="BF1114" t="s">
        <v>115</v>
      </c>
      <c r="BG1114" t="s">
        <v>115</v>
      </c>
      <c r="BH1114" t="s">
        <v>1013</v>
      </c>
      <c r="BI1114" t="s">
        <v>709</v>
      </c>
      <c r="BJ1114" t="s">
        <v>709</v>
      </c>
      <c r="BK1114" t="s">
        <v>709</v>
      </c>
      <c r="BL1114" t="s">
        <v>116</v>
      </c>
      <c r="BM1114" t="s">
        <v>709</v>
      </c>
      <c r="BN1114" t="s">
        <v>709</v>
      </c>
      <c r="BO1114" t="s">
        <v>709</v>
      </c>
      <c r="BP1114" t="s">
        <v>709</v>
      </c>
      <c r="BQ1114">
        <v>110</v>
      </c>
      <c r="BR1114" t="s">
        <v>709</v>
      </c>
      <c r="BS1114" t="s">
        <v>709</v>
      </c>
      <c r="BT1114" t="s">
        <v>745</v>
      </c>
      <c r="BU1114" t="s">
        <v>709</v>
      </c>
      <c r="BV1114" t="s">
        <v>745</v>
      </c>
      <c r="BW1114" t="s">
        <v>709</v>
      </c>
      <c r="BX1114" t="s">
        <v>745</v>
      </c>
      <c r="BY1114" t="s">
        <v>745</v>
      </c>
      <c r="BZ1114" t="s">
        <v>709</v>
      </c>
      <c r="CB1114">
        <v>1112</v>
      </c>
      <c r="CC1114" t="b">
        <v>1</v>
      </c>
      <c r="CD1114" t="s">
        <v>6153</v>
      </c>
      <c r="CE1114" s="1482">
        <v>45880.738715277781</v>
      </c>
    </row>
    <row r="1115" spans="1:83" x14ac:dyDescent="0.25">
      <c r="A1115">
        <v>2023</v>
      </c>
      <c r="B1115" t="s">
        <v>4</v>
      </c>
      <c r="C1115" t="s">
        <v>399</v>
      </c>
      <c r="D1115" t="s">
        <v>1628</v>
      </c>
      <c r="E1115" t="s">
        <v>400</v>
      </c>
      <c r="F1115" t="s">
        <v>784</v>
      </c>
      <c r="G1115" t="s">
        <v>35</v>
      </c>
      <c r="H1115" t="s">
        <v>2724</v>
      </c>
      <c r="I1115">
        <v>45181</v>
      </c>
      <c r="J1115" t="s">
        <v>2724</v>
      </c>
      <c r="K1115">
        <v>45302</v>
      </c>
      <c r="L1115">
        <v>121</v>
      </c>
      <c r="M1115" t="s">
        <v>6154</v>
      </c>
      <c r="N1115" t="s">
        <v>120</v>
      </c>
      <c r="O1115">
        <v>45292</v>
      </c>
      <c r="P1115" t="s">
        <v>739</v>
      </c>
      <c r="Q1115" t="s">
        <v>115</v>
      </c>
      <c r="R1115" t="s">
        <v>115</v>
      </c>
      <c r="V1115" t="s">
        <v>29</v>
      </c>
      <c r="W1115" t="s">
        <v>29</v>
      </c>
      <c r="X1115" t="s">
        <v>29</v>
      </c>
      <c r="Y1115" t="s">
        <v>915</v>
      </c>
      <c r="Z1115" t="s">
        <v>29</v>
      </c>
      <c r="AA1115" t="s">
        <v>29</v>
      </c>
      <c r="AB1115" t="s">
        <v>29</v>
      </c>
      <c r="AC1115" t="s">
        <v>29</v>
      </c>
      <c r="AD1115" t="s">
        <v>29</v>
      </c>
      <c r="AE1115" t="s">
        <v>756</v>
      </c>
      <c r="AF1115" t="s">
        <v>29</v>
      </c>
      <c r="AG1115" t="s">
        <v>29</v>
      </c>
      <c r="AH1115" t="s">
        <v>29</v>
      </c>
      <c r="AI1115">
        <v>17300</v>
      </c>
      <c r="AL1115" t="e">
        <v>#VALUE!</v>
      </c>
      <c r="AM1115" t="s">
        <v>709</v>
      </c>
      <c r="AY1115" t="s">
        <v>29</v>
      </c>
      <c r="BA1115" t="s">
        <v>5156</v>
      </c>
      <c r="BB1115" t="s">
        <v>6155</v>
      </c>
      <c r="BC1115" t="s">
        <v>6156</v>
      </c>
      <c r="BD1115" t="s">
        <v>739</v>
      </c>
      <c r="BZ1115" t="s">
        <v>709</v>
      </c>
      <c r="CA1115" t="s">
        <v>915</v>
      </c>
      <c r="CB1115">
        <v>1113</v>
      </c>
      <c r="CC1115" t="b">
        <v>1</v>
      </c>
      <c r="CD1115" t="s">
        <v>6157</v>
      </c>
      <c r="CE1115" s="1482">
        <v>45880.738715277781</v>
      </c>
    </row>
    <row r="1116" spans="1:83" ht="255" x14ac:dyDescent="0.25">
      <c r="A1116">
        <v>2024</v>
      </c>
      <c r="B1116" t="s">
        <v>4</v>
      </c>
      <c r="C1116" t="s">
        <v>1709</v>
      </c>
      <c r="D1116" t="s">
        <v>1710</v>
      </c>
      <c r="E1116" t="s">
        <v>1605</v>
      </c>
      <c r="F1116" t="s">
        <v>747</v>
      </c>
      <c r="G1116" t="s">
        <v>25</v>
      </c>
      <c r="H1116" t="s">
        <v>59</v>
      </c>
      <c r="I1116">
        <v>45230</v>
      </c>
      <c r="J1116">
        <v>45317</v>
      </c>
      <c r="K1116">
        <v>45303</v>
      </c>
      <c r="L1116">
        <v>14</v>
      </c>
      <c r="N1116" t="s">
        <v>120</v>
      </c>
      <c r="O1116">
        <v>45323</v>
      </c>
      <c r="P1116" t="s">
        <v>739</v>
      </c>
      <c r="Q1116">
        <v>32968.319000000003</v>
      </c>
      <c r="R1116">
        <v>0.1</v>
      </c>
      <c r="V1116">
        <v>1336</v>
      </c>
      <c r="W1116">
        <v>0</v>
      </c>
      <c r="X1116">
        <v>303555.40999999997</v>
      </c>
      <c r="Z1116">
        <v>26127.78</v>
      </c>
      <c r="AA1116">
        <v>329683.19</v>
      </c>
      <c r="AB1116">
        <v>45294</v>
      </c>
      <c r="AC1116" t="s">
        <v>709</v>
      </c>
      <c r="AD1116" t="s">
        <v>29</v>
      </c>
      <c r="AE1116" t="s">
        <v>756</v>
      </c>
      <c r="AF1116" t="s">
        <v>29</v>
      </c>
      <c r="AG1116" t="s">
        <v>116</v>
      </c>
      <c r="AH1116">
        <v>45308</v>
      </c>
      <c r="AI1116">
        <v>58383</v>
      </c>
      <c r="AJ1116">
        <v>4502</v>
      </c>
      <c r="AK1116">
        <v>0</v>
      </c>
      <c r="AL1116">
        <v>1.9074372581750378</v>
      </c>
      <c r="AM1116" t="s">
        <v>116</v>
      </c>
      <c r="AN1116">
        <v>45805</v>
      </c>
      <c r="AO1116">
        <v>11103686</v>
      </c>
      <c r="AP1116">
        <v>309815.05</v>
      </c>
      <c r="AR1116">
        <v>27939.74</v>
      </c>
      <c r="AS1116">
        <v>337754.79</v>
      </c>
      <c r="AT1116">
        <v>8071.6</v>
      </c>
      <c r="AU1116">
        <v>807.16</v>
      </c>
      <c r="AV1116">
        <v>0</v>
      </c>
      <c r="AW1116" t="s">
        <v>6158</v>
      </c>
      <c r="AX1116">
        <v>807.16</v>
      </c>
      <c r="AY1116">
        <v>45901</v>
      </c>
      <c r="AZ1116">
        <v>118</v>
      </c>
      <c r="BA1116" s="4" t="s">
        <v>1711</v>
      </c>
      <c r="BB1116" t="s">
        <v>1712</v>
      </c>
      <c r="BC1116" t="s">
        <v>115</v>
      </c>
      <c r="BD1116" t="s">
        <v>837</v>
      </c>
      <c r="BE1116" t="s">
        <v>615</v>
      </c>
      <c r="BF1116" t="s">
        <v>115</v>
      </c>
      <c r="BG1116" t="s">
        <v>115</v>
      </c>
      <c r="BH1116" t="s">
        <v>1713</v>
      </c>
      <c r="BI1116" t="s">
        <v>709</v>
      </c>
      <c r="BJ1116" t="s">
        <v>709</v>
      </c>
      <c r="BK1116" t="s">
        <v>709</v>
      </c>
      <c r="BL1116" t="s">
        <v>116</v>
      </c>
      <c r="BM1116" t="s">
        <v>709</v>
      </c>
      <c r="BN1116" t="s">
        <v>709</v>
      </c>
      <c r="BO1116" t="s">
        <v>709</v>
      </c>
      <c r="BP1116" t="s">
        <v>709</v>
      </c>
      <c r="BQ1116" t="s">
        <v>709</v>
      </c>
      <c r="BR1116" t="s">
        <v>709</v>
      </c>
      <c r="BS1116">
        <v>1336</v>
      </c>
      <c r="BT1116" t="s">
        <v>745</v>
      </c>
      <c r="BU1116" t="s">
        <v>709</v>
      </c>
      <c r="BV1116" t="s">
        <v>745</v>
      </c>
      <c r="BW1116" t="s">
        <v>709</v>
      </c>
      <c r="BX1116" t="s">
        <v>745</v>
      </c>
      <c r="BY1116" t="s">
        <v>745</v>
      </c>
      <c r="BZ1116" t="s">
        <v>709</v>
      </c>
      <c r="CB1116">
        <v>1114</v>
      </c>
      <c r="CC1116" t="b">
        <v>1</v>
      </c>
      <c r="CD1116" t="s">
        <v>6159</v>
      </c>
      <c r="CE1116" s="1482">
        <v>45880.738726851851</v>
      </c>
    </row>
    <row r="1117" spans="1:83" x14ac:dyDescent="0.25">
      <c r="A1117">
        <v>2024</v>
      </c>
      <c r="B1117" t="s">
        <v>769</v>
      </c>
      <c r="C1117" t="s">
        <v>1426</v>
      </c>
      <c r="D1117" t="s">
        <v>1427</v>
      </c>
      <c r="E1117" t="s">
        <v>1428</v>
      </c>
      <c r="F1117" t="s">
        <v>4769</v>
      </c>
      <c r="G1117" t="s">
        <v>4770</v>
      </c>
      <c r="H1117" t="s">
        <v>4001</v>
      </c>
      <c r="I1117">
        <v>45300</v>
      </c>
      <c r="J1117" t="s">
        <v>2052</v>
      </c>
      <c r="K1117">
        <v>45307</v>
      </c>
      <c r="L1117">
        <v>7</v>
      </c>
      <c r="M1117" t="s">
        <v>6160</v>
      </c>
      <c r="N1117" t="s">
        <v>120</v>
      </c>
      <c r="O1117">
        <v>45292</v>
      </c>
      <c r="P1117" t="s">
        <v>120</v>
      </c>
      <c r="Q1117">
        <v>2330</v>
      </c>
      <c r="R1117" t="s">
        <v>1922</v>
      </c>
      <c r="S1117">
        <v>0</v>
      </c>
      <c r="T1117">
        <v>0</v>
      </c>
      <c r="U1117">
        <v>2330</v>
      </c>
      <c r="AB1117" t="s">
        <v>29</v>
      </c>
      <c r="AC1117" t="s">
        <v>29</v>
      </c>
      <c r="AD1117" t="s">
        <v>29</v>
      </c>
      <c r="AE1117" t="s">
        <v>116</v>
      </c>
      <c r="AF1117" t="s">
        <v>116</v>
      </c>
      <c r="AG1117" t="s">
        <v>29</v>
      </c>
      <c r="AH1117" t="s">
        <v>29</v>
      </c>
      <c r="AM1117" t="s">
        <v>709</v>
      </c>
      <c r="AY1117" t="s">
        <v>29</v>
      </c>
      <c r="BA1117">
        <v>10</v>
      </c>
      <c r="BB1117" t="s">
        <v>6161</v>
      </c>
      <c r="BH1117" t="s">
        <v>6162</v>
      </c>
      <c r="BI1117" t="s">
        <v>709</v>
      </c>
      <c r="BJ1117" t="s">
        <v>709</v>
      </c>
      <c r="BK1117" t="s">
        <v>709</v>
      </c>
      <c r="BL1117" t="s">
        <v>116</v>
      </c>
      <c r="BM1117" t="s">
        <v>709</v>
      </c>
      <c r="BN1117" t="s">
        <v>709</v>
      </c>
      <c r="BO1117" t="s">
        <v>709</v>
      </c>
      <c r="BP1117" t="s">
        <v>709</v>
      </c>
      <c r="BQ1117" t="s">
        <v>709</v>
      </c>
      <c r="BR1117">
        <v>3047</v>
      </c>
      <c r="BS1117">
        <v>30</v>
      </c>
      <c r="BT1117" t="s">
        <v>709</v>
      </c>
      <c r="BU1117" t="s">
        <v>709</v>
      </c>
      <c r="BV1117" t="s">
        <v>709</v>
      </c>
      <c r="BW1117" t="s">
        <v>709</v>
      </c>
      <c r="BX1117" t="s">
        <v>709</v>
      </c>
      <c r="BY1117" t="s">
        <v>709</v>
      </c>
      <c r="BZ1117" t="s">
        <v>709</v>
      </c>
      <c r="CB1117">
        <v>1115</v>
      </c>
      <c r="CC1117" t="b">
        <v>1</v>
      </c>
      <c r="CD1117" t="s">
        <v>6163</v>
      </c>
      <c r="CE1117" s="1482">
        <v>45880.738726851851</v>
      </c>
    </row>
    <row r="1118" spans="1:83" x14ac:dyDescent="0.25">
      <c r="A1118">
        <v>2024</v>
      </c>
      <c r="B1118" t="s">
        <v>4</v>
      </c>
      <c r="C1118" t="s">
        <v>848</v>
      </c>
      <c r="D1118" t="s">
        <v>849</v>
      </c>
      <c r="E1118" t="s">
        <v>850</v>
      </c>
      <c r="F1118" t="s">
        <v>851</v>
      </c>
      <c r="G1118" t="s">
        <v>22</v>
      </c>
      <c r="H1118" t="s">
        <v>59</v>
      </c>
      <c r="I1118">
        <v>45216</v>
      </c>
      <c r="J1118">
        <v>45309</v>
      </c>
      <c r="K1118">
        <v>45308</v>
      </c>
      <c r="L1118">
        <v>1</v>
      </c>
      <c r="N1118" t="s">
        <v>120</v>
      </c>
      <c r="O1118">
        <v>45323</v>
      </c>
      <c r="P1118" t="s">
        <v>739</v>
      </c>
      <c r="Q1118">
        <v>68612.562999999995</v>
      </c>
      <c r="R1118">
        <v>0.1</v>
      </c>
      <c r="V1118">
        <v>1090</v>
      </c>
      <c r="W1118">
        <v>0</v>
      </c>
      <c r="X1118">
        <v>456995.48</v>
      </c>
      <c r="Z1118">
        <v>229130.15</v>
      </c>
      <c r="AA1118">
        <v>686125.63</v>
      </c>
      <c r="AB1118">
        <v>45315</v>
      </c>
      <c r="AC1118" t="s">
        <v>709</v>
      </c>
      <c r="AD1118" t="s">
        <v>29</v>
      </c>
      <c r="AE1118" t="s">
        <v>116</v>
      </c>
      <c r="AF1118" t="s">
        <v>29</v>
      </c>
      <c r="AG1118">
        <v>45447</v>
      </c>
      <c r="AH1118">
        <v>45447</v>
      </c>
      <c r="AI1118">
        <v>0</v>
      </c>
      <c r="AJ1118">
        <v>4430.75</v>
      </c>
      <c r="AK1118">
        <v>17</v>
      </c>
      <c r="AL1118">
        <v>6.4824134320707411E-2</v>
      </c>
      <c r="AM1118" t="s">
        <v>116</v>
      </c>
      <c r="AN1118">
        <v>45349</v>
      </c>
      <c r="AO1118">
        <v>11079278</v>
      </c>
      <c r="AP1118">
        <v>456995.48</v>
      </c>
      <c r="AR1118">
        <v>231428.89</v>
      </c>
      <c r="AS1118">
        <v>688424.37</v>
      </c>
      <c r="AT1118">
        <v>2298.7399999999998</v>
      </c>
      <c r="AU1118">
        <v>229.874</v>
      </c>
      <c r="AV1118">
        <v>0</v>
      </c>
      <c r="AW1118" t="s">
        <v>852</v>
      </c>
      <c r="AX1118">
        <v>229.87</v>
      </c>
      <c r="AY1118">
        <v>45566</v>
      </c>
      <c r="AZ1118">
        <v>119</v>
      </c>
      <c r="BA1118" t="s">
        <v>853</v>
      </c>
      <c r="BB1118" t="s">
        <v>854</v>
      </c>
      <c r="BC1118" t="s">
        <v>115</v>
      </c>
      <c r="BD1118" t="s">
        <v>115</v>
      </c>
      <c r="BE1118" t="s">
        <v>855</v>
      </c>
      <c r="BF1118" t="s">
        <v>115</v>
      </c>
      <c r="BG1118" t="s">
        <v>115</v>
      </c>
      <c r="BH1118" t="s">
        <v>856</v>
      </c>
      <c r="BI1118" t="s">
        <v>709</v>
      </c>
      <c r="BJ1118" t="s">
        <v>709</v>
      </c>
      <c r="BK1118" t="s">
        <v>709</v>
      </c>
      <c r="BL1118" t="s">
        <v>116</v>
      </c>
      <c r="BM1118" t="s">
        <v>709</v>
      </c>
      <c r="BN1118" t="s">
        <v>709</v>
      </c>
      <c r="BO1118" t="s">
        <v>709</v>
      </c>
      <c r="BP1118" t="s">
        <v>709</v>
      </c>
      <c r="BQ1118" t="s">
        <v>709</v>
      </c>
      <c r="BR1118" t="s">
        <v>709</v>
      </c>
      <c r="BS1118">
        <v>1090</v>
      </c>
      <c r="BT1118" t="s">
        <v>745</v>
      </c>
      <c r="BU1118" t="s">
        <v>709</v>
      </c>
      <c r="BV1118" t="s">
        <v>709</v>
      </c>
      <c r="BW1118" t="s">
        <v>709</v>
      </c>
      <c r="BX1118" t="s">
        <v>745</v>
      </c>
      <c r="BY1118" t="s">
        <v>745</v>
      </c>
      <c r="BZ1118" t="s">
        <v>709</v>
      </c>
      <c r="CB1118">
        <v>1116</v>
      </c>
      <c r="CC1118" t="b">
        <v>1</v>
      </c>
      <c r="CD1118" t="s">
        <v>6164</v>
      </c>
      <c r="CE1118" s="1482">
        <v>45880.738726851851</v>
      </c>
    </row>
    <row r="1119" spans="1:83" x14ac:dyDescent="0.25">
      <c r="A1119">
        <v>2024</v>
      </c>
      <c r="B1119" t="s">
        <v>4</v>
      </c>
      <c r="C1119" t="s">
        <v>982</v>
      </c>
      <c r="D1119">
        <v>1213288</v>
      </c>
      <c r="E1119" t="s">
        <v>354</v>
      </c>
      <c r="F1119" t="s">
        <v>784</v>
      </c>
      <c r="G1119" t="s">
        <v>26</v>
      </c>
      <c r="H1119" t="s">
        <v>4462</v>
      </c>
      <c r="I1119">
        <v>45302</v>
      </c>
      <c r="J1119" t="s">
        <v>2052</v>
      </c>
      <c r="K1119">
        <v>45309</v>
      </c>
      <c r="L1119">
        <v>7</v>
      </c>
      <c r="M1119" t="s">
        <v>6165</v>
      </c>
      <c r="N1119" t="s">
        <v>120</v>
      </c>
      <c r="O1119">
        <v>45292</v>
      </c>
      <c r="P1119" t="s">
        <v>739</v>
      </c>
      <c r="Q1119" t="s">
        <v>115</v>
      </c>
      <c r="R1119" t="s">
        <v>115</v>
      </c>
      <c r="AB1119" t="s">
        <v>29</v>
      </c>
      <c r="AC1119" t="s">
        <v>29</v>
      </c>
      <c r="AD1119" t="s">
        <v>116</v>
      </c>
      <c r="AE1119" t="s">
        <v>756</v>
      </c>
      <c r="AF1119" t="s">
        <v>756</v>
      </c>
      <c r="AG1119" t="s">
        <v>29</v>
      </c>
      <c r="AH1119">
        <v>45447</v>
      </c>
      <c r="AI1119">
        <v>0</v>
      </c>
      <c r="AJ1119">
        <v>0</v>
      </c>
      <c r="AK1119">
        <v>0</v>
      </c>
      <c r="AL1119" t="e">
        <v>#VALUE!</v>
      </c>
      <c r="AM1119" t="s">
        <v>709</v>
      </c>
      <c r="AY1119" t="s">
        <v>29</v>
      </c>
      <c r="CB1119">
        <v>1117</v>
      </c>
      <c r="CC1119" t="b">
        <v>1</v>
      </c>
      <c r="CD1119" t="s">
        <v>6166</v>
      </c>
      <c r="CE1119" s="1482">
        <v>45880.738726851851</v>
      </c>
    </row>
    <row r="1120" spans="1:83" ht="270" x14ac:dyDescent="0.25">
      <c r="A1120">
        <v>2023</v>
      </c>
      <c r="B1120" t="s">
        <v>4</v>
      </c>
      <c r="C1120" t="s">
        <v>956</v>
      </c>
      <c r="D1120" t="s">
        <v>957</v>
      </c>
      <c r="E1120" t="s">
        <v>958</v>
      </c>
      <c r="F1120" t="s">
        <v>784</v>
      </c>
      <c r="G1120" t="s">
        <v>31</v>
      </c>
      <c r="H1120" t="s">
        <v>59</v>
      </c>
      <c r="I1120">
        <v>45191</v>
      </c>
      <c r="J1120">
        <v>45334</v>
      </c>
      <c r="K1120">
        <v>45314</v>
      </c>
      <c r="L1120">
        <v>20</v>
      </c>
      <c r="N1120" t="s">
        <v>120</v>
      </c>
      <c r="O1120">
        <v>45292</v>
      </c>
      <c r="P1120" t="s">
        <v>739</v>
      </c>
      <c r="Q1120">
        <v>19990.944</v>
      </c>
      <c r="R1120">
        <v>0.1</v>
      </c>
      <c r="V1120">
        <v>1004</v>
      </c>
      <c r="W1120">
        <v>0</v>
      </c>
      <c r="X1120">
        <v>159361.79</v>
      </c>
      <c r="Z1120">
        <v>40547.65</v>
      </c>
      <c r="AA1120">
        <v>199909.44</v>
      </c>
      <c r="AB1120">
        <v>45225</v>
      </c>
      <c r="AC1120" t="s">
        <v>709</v>
      </c>
      <c r="AD1120" t="s">
        <v>29</v>
      </c>
      <c r="AE1120" t="s">
        <v>116</v>
      </c>
      <c r="AF1120" t="s">
        <v>756</v>
      </c>
      <c r="AG1120">
        <v>45371</v>
      </c>
      <c r="AH1120">
        <v>45371</v>
      </c>
      <c r="AJ1120">
        <v>2255</v>
      </c>
      <c r="AK1120">
        <v>974</v>
      </c>
      <c r="AL1120">
        <v>0.16152313767674001</v>
      </c>
      <c r="AM1120" t="s">
        <v>116</v>
      </c>
      <c r="AN1120">
        <v>45394</v>
      </c>
      <c r="AO1120">
        <v>11080741</v>
      </c>
      <c r="AP1120">
        <v>149397.6</v>
      </c>
      <c r="AR1120">
        <v>44102.61</v>
      </c>
      <c r="AS1120">
        <v>193500.21</v>
      </c>
      <c r="AT1120">
        <v>-6409.23</v>
      </c>
      <c r="AU1120">
        <v>-640.923</v>
      </c>
      <c r="AV1120">
        <v>0</v>
      </c>
      <c r="AW1120" t="s">
        <v>959</v>
      </c>
      <c r="AX1120">
        <v>-640.91999999999996</v>
      </c>
      <c r="AY1120">
        <v>45566</v>
      </c>
      <c r="AZ1120">
        <v>120</v>
      </c>
      <c r="BA1120" s="4" t="s">
        <v>960</v>
      </c>
      <c r="BB1120" t="s">
        <v>961</v>
      </c>
      <c r="BC1120" t="s">
        <v>115</v>
      </c>
      <c r="BD1120" t="s">
        <v>115</v>
      </c>
      <c r="BE1120" t="s">
        <v>592</v>
      </c>
      <c r="BF1120" t="s">
        <v>115</v>
      </c>
      <c r="BG1120" t="s">
        <v>962</v>
      </c>
      <c r="BH1120" t="s">
        <v>963</v>
      </c>
      <c r="BI1120" t="s">
        <v>709</v>
      </c>
      <c r="BJ1120" t="s">
        <v>709</v>
      </c>
      <c r="BK1120" t="s">
        <v>116</v>
      </c>
      <c r="BL1120" t="s">
        <v>709</v>
      </c>
      <c r="BM1120" t="s">
        <v>709</v>
      </c>
      <c r="BN1120" t="s">
        <v>709</v>
      </c>
      <c r="BO1120" t="s">
        <v>709</v>
      </c>
      <c r="BP1120" t="s">
        <v>709</v>
      </c>
      <c r="BQ1120" t="s">
        <v>709</v>
      </c>
      <c r="BR1120">
        <v>1004</v>
      </c>
      <c r="BS1120" t="s">
        <v>709</v>
      </c>
      <c r="BT1120" t="s">
        <v>709</v>
      </c>
      <c r="BU1120" t="s">
        <v>709</v>
      </c>
      <c r="BV1120" t="s">
        <v>709</v>
      </c>
      <c r="BW1120" t="s">
        <v>709</v>
      </c>
      <c r="BX1120" t="s">
        <v>709</v>
      </c>
      <c r="BY1120" t="s">
        <v>709</v>
      </c>
      <c r="BZ1120" t="s">
        <v>709</v>
      </c>
      <c r="CB1120">
        <v>1118</v>
      </c>
      <c r="CC1120" t="b">
        <v>1</v>
      </c>
      <c r="CD1120" t="s">
        <v>6167</v>
      </c>
      <c r="CE1120" s="1482">
        <v>45880.738738425927</v>
      </c>
    </row>
    <row r="1121" spans="1:83" ht="285" x14ac:dyDescent="0.25">
      <c r="A1121">
        <v>2024</v>
      </c>
      <c r="B1121" t="s">
        <v>4</v>
      </c>
      <c r="C1121" t="s">
        <v>1002</v>
      </c>
      <c r="D1121" t="s">
        <v>1003</v>
      </c>
      <c r="E1121" t="s">
        <v>1004</v>
      </c>
      <c r="F1121" t="s">
        <v>851</v>
      </c>
      <c r="G1121" t="s">
        <v>26</v>
      </c>
      <c r="H1121" t="s">
        <v>59</v>
      </c>
      <c r="I1121">
        <v>45148</v>
      </c>
      <c r="J1121">
        <v>45317</v>
      </c>
      <c r="K1121">
        <v>45314</v>
      </c>
      <c r="L1121">
        <v>3</v>
      </c>
      <c r="N1121" t="s">
        <v>120</v>
      </c>
      <c r="O1121">
        <v>45352</v>
      </c>
      <c r="P1121" t="s">
        <v>739</v>
      </c>
      <c r="Q1121">
        <v>24982.948</v>
      </c>
      <c r="R1121">
        <v>0.1</v>
      </c>
      <c r="V1121">
        <v>470</v>
      </c>
      <c r="W1121">
        <v>0</v>
      </c>
      <c r="X1121">
        <v>178607.67</v>
      </c>
      <c r="Z1121">
        <v>71221.81</v>
      </c>
      <c r="AA1121">
        <v>249829.48</v>
      </c>
      <c r="AB1121">
        <v>45315</v>
      </c>
      <c r="AC1121" t="s">
        <v>709</v>
      </c>
      <c r="AD1121" t="s">
        <v>29</v>
      </c>
      <c r="AE1121" t="s">
        <v>116</v>
      </c>
      <c r="AF1121" t="s">
        <v>756</v>
      </c>
      <c r="AG1121">
        <v>45366</v>
      </c>
      <c r="AH1121">
        <v>45366</v>
      </c>
      <c r="AI1121">
        <v>0</v>
      </c>
      <c r="AJ1121">
        <v>1357</v>
      </c>
      <c r="AK1121">
        <v>0</v>
      </c>
      <c r="AL1121">
        <v>5.4317048572490319E-2</v>
      </c>
      <c r="AM1121" t="s">
        <v>116</v>
      </c>
      <c r="AN1121">
        <v>45429</v>
      </c>
      <c r="AO1121">
        <v>11082766</v>
      </c>
      <c r="AP1121">
        <v>178680.32000000001</v>
      </c>
      <c r="AR1121">
        <v>71221.81</v>
      </c>
      <c r="AS1121">
        <v>249902.13</v>
      </c>
      <c r="AT1121">
        <v>72.650000000000006</v>
      </c>
      <c r="AU1121">
        <v>7.2649999999999997</v>
      </c>
      <c r="AV1121">
        <v>0</v>
      </c>
      <c r="AW1121" t="s">
        <v>1005</v>
      </c>
      <c r="AX1121">
        <v>7.26</v>
      </c>
      <c r="AY1121">
        <v>45566</v>
      </c>
      <c r="AZ1121">
        <v>121</v>
      </c>
      <c r="BA1121" s="4" t="s">
        <v>1006</v>
      </c>
      <c r="BB1121" t="s">
        <v>961</v>
      </c>
      <c r="BC1121" t="s">
        <v>115</v>
      </c>
      <c r="BD1121" t="s">
        <v>862</v>
      </c>
      <c r="BE1121" t="s">
        <v>495</v>
      </c>
      <c r="BF1121" t="s">
        <v>115</v>
      </c>
      <c r="BG1121" t="s">
        <v>115</v>
      </c>
      <c r="BH1121" t="s">
        <v>1007</v>
      </c>
      <c r="BI1121" t="s">
        <v>709</v>
      </c>
      <c r="BJ1121" t="s">
        <v>709</v>
      </c>
      <c r="BK1121" t="s">
        <v>709</v>
      </c>
      <c r="BL1121" t="s">
        <v>116</v>
      </c>
      <c r="BM1121" t="s">
        <v>709</v>
      </c>
      <c r="BN1121" t="s">
        <v>709</v>
      </c>
      <c r="BO1121" t="s">
        <v>709</v>
      </c>
      <c r="BP1121" t="s">
        <v>709</v>
      </c>
      <c r="BQ1121">
        <v>347</v>
      </c>
      <c r="BR1121" t="s">
        <v>709</v>
      </c>
      <c r="BS1121">
        <v>123</v>
      </c>
      <c r="BT1121" t="s">
        <v>709</v>
      </c>
      <c r="BU1121" t="s">
        <v>709</v>
      </c>
      <c r="BV1121" t="s">
        <v>709</v>
      </c>
      <c r="BW1121" t="s">
        <v>709</v>
      </c>
      <c r="BX1121" t="s">
        <v>709</v>
      </c>
      <c r="BY1121" t="s">
        <v>709</v>
      </c>
      <c r="BZ1121" t="s">
        <v>709</v>
      </c>
      <c r="CB1121">
        <v>1119</v>
      </c>
      <c r="CC1121" t="b">
        <v>1</v>
      </c>
      <c r="CD1121" t="s">
        <v>6168</v>
      </c>
      <c r="CE1121" s="1482">
        <v>45880.738738425927</v>
      </c>
    </row>
    <row r="1122" spans="1:83" x14ac:dyDescent="0.25">
      <c r="A1122">
        <v>2023</v>
      </c>
      <c r="B1122" t="s">
        <v>771</v>
      </c>
      <c r="C1122" t="s">
        <v>924</v>
      </c>
      <c r="D1122">
        <v>1212906</v>
      </c>
      <c r="E1122" t="s">
        <v>6169</v>
      </c>
      <c r="F1122" t="s">
        <v>784</v>
      </c>
      <c r="G1122" t="s">
        <v>31</v>
      </c>
      <c r="H1122" t="s">
        <v>2396</v>
      </c>
      <c r="I1122">
        <v>45316</v>
      </c>
      <c r="J1122" t="s">
        <v>2397</v>
      </c>
      <c r="K1122">
        <v>45321</v>
      </c>
      <c r="L1122">
        <v>5</v>
      </c>
      <c r="M1122" t="s">
        <v>6170</v>
      </c>
      <c r="N1122" t="s">
        <v>120</v>
      </c>
      <c r="O1122">
        <v>45323</v>
      </c>
      <c r="P1122" t="s">
        <v>120</v>
      </c>
      <c r="Q1122">
        <v>1322.5</v>
      </c>
      <c r="R1122" t="s">
        <v>1922</v>
      </c>
      <c r="S1122" t="s">
        <v>709</v>
      </c>
      <c r="T1122" t="s">
        <v>709</v>
      </c>
      <c r="U1122">
        <v>1322.5</v>
      </c>
      <c r="AD1122" t="s">
        <v>29</v>
      </c>
      <c r="AE1122" t="s">
        <v>116</v>
      </c>
      <c r="AF1122" t="s">
        <v>116</v>
      </c>
      <c r="AG1122" t="s">
        <v>29</v>
      </c>
      <c r="AH1122" t="s">
        <v>29</v>
      </c>
      <c r="AM1122" t="s">
        <v>709</v>
      </c>
      <c r="AY1122" t="s">
        <v>29</v>
      </c>
      <c r="BA1122" t="s">
        <v>6171</v>
      </c>
      <c r="BB1122" t="s">
        <v>6172</v>
      </c>
      <c r="BH1122" t="s">
        <v>6173</v>
      </c>
      <c r="BI1122" t="s">
        <v>709</v>
      </c>
      <c r="BJ1122" t="s">
        <v>709</v>
      </c>
      <c r="BK1122" t="s">
        <v>709</v>
      </c>
      <c r="BL1122" t="s">
        <v>116</v>
      </c>
      <c r="BM1122" t="s">
        <v>709</v>
      </c>
      <c r="BN1122" t="s">
        <v>709</v>
      </c>
      <c r="BO1122" t="s">
        <v>709</v>
      </c>
      <c r="BP1122" t="s">
        <v>709</v>
      </c>
      <c r="BQ1122" t="s">
        <v>709</v>
      </c>
      <c r="BR1122">
        <v>400</v>
      </c>
      <c r="BS1122" t="s">
        <v>709</v>
      </c>
      <c r="BT1122" t="s">
        <v>709</v>
      </c>
      <c r="BU1122" t="s">
        <v>709</v>
      </c>
      <c r="BV1122" t="s">
        <v>709</v>
      </c>
      <c r="BW1122" t="s">
        <v>709</v>
      </c>
      <c r="BX1122" t="s">
        <v>709</v>
      </c>
      <c r="BY1122" t="s">
        <v>709</v>
      </c>
      <c r="BZ1122" t="s">
        <v>709</v>
      </c>
      <c r="CB1122">
        <v>1121</v>
      </c>
      <c r="CC1122" t="b">
        <v>1</v>
      </c>
      <c r="CD1122" t="s">
        <v>6174</v>
      </c>
      <c r="CE1122" s="1482">
        <v>45880.738738425927</v>
      </c>
    </row>
    <row r="1123" spans="1:83" ht="180" x14ac:dyDescent="0.25">
      <c r="A1123">
        <v>2024</v>
      </c>
      <c r="B1123" t="s">
        <v>4</v>
      </c>
      <c r="C1123" t="s">
        <v>6175</v>
      </c>
      <c r="D1123" t="s">
        <v>115</v>
      </c>
      <c r="E1123" t="s">
        <v>1573</v>
      </c>
      <c r="F1123" t="s">
        <v>1757</v>
      </c>
      <c r="G1123" t="s">
        <v>36</v>
      </c>
      <c r="H1123" t="s">
        <v>1681</v>
      </c>
      <c r="I1123">
        <v>45293</v>
      </c>
      <c r="J1123">
        <v>45335</v>
      </c>
      <c r="K1123">
        <v>45321</v>
      </c>
      <c r="L1123">
        <v>14</v>
      </c>
      <c r="N1123" t="s">
        <v>120</v>
      </c>
      <c r="O1123">
        <v>45292</v>
      </c>
      <c r="P1123" t="s">
        <v>739</v>
      </c>
      <c r="Q1123" t="s">
        <v>115</v>
      </c>
      <c r="R1123" t="s">
        <v>115</v>
      </c>
      <c r="AB1123" t="s">
        <v>29</v>
      </c>
      <c r="AC1123" t="s">
        <v>29</v>
      </c>
      <c r="AD1123" t="s">
        <v>29</v>
      </c>
      <c r="AE1123" t="s">
        <v>116</v>
      </c>
      <c r="AF1123" t="s">
        <v>29</v>
      </c>
      <c r="AG1123" t="s">
        <v>29</v>
      </c>
      <c r="AH1123">
        <v>45408</v>
      </c>
      <c r="AI1123">
        <v>0</v>
      </c>
      <c r="AK1123">
        <v>0</v>
      </c>
      <c r="AL1123" t="e">
        <v>#VALUE!</v>
      </c>
      <c r="AM1123" t="s">
        <v>709</v>
      </c>
      <c r="AY1123" t="s">
        <v>29</v>
      </c>
      <c r="BA1123" s="4" t="s">
        <v>6176</v>
      </c>
      <c r="BB1123" t="s">
        <v>6177</v>
      </c>
      <c r="BC1123" t="s">
        <v>709</v>
      </c>
      <c r="BD1123" t="s">
        <v>709</v>
      </c>
      <c r="BE1123" t="s">
        <v>1575</v>
      </c>
      <c r="BF1123" t="s">
        <v>709</v>
      </c>
      <c r="BG1123" t="s">
        <v>709</v>
      </c>
      <c r="BH1123" t="s">
        <v>6178</v>
      </c>
      <c r="CA1123" t="s">
        <v>915</v>
      </c>
      <c r="CB1123">
        <v>1120</v>
      </c>
      <c r="CC1123" t="b">
        <v>1</v>
      </c>
      <c r="CD1123" t="s">
        <v>6179</v>
      </c>
      <c r="CE1123" s="1482">
        <v>45880.738738425927</v>
      </c>
    </row>
    <row r="1124" spans="1:83" ht="285" x14ac:dyDescent="0.25">
      <c r="A1124">
        <v>2024</v>
      </c>
      <c r="B1124" t="s">
        <v>4</v>
      </c>
      <c r="C1124" t="s">
        <v>832</v>
      </c>
      <c r="D1124" t="s">
        <v>833</v>
      </c>
      <c r="E1124" t="s">
        <v>834</v>
      </c>
      <c r="F1124" t="s">
        <v>747</v>
      </c>
      <c r="G1124" t="s">
        <v>25</v>
      </c>
      <c r="H1124" t="s">
        <v>59</v>
      </c>
      <c r="I1124">
        <v>45258</v>
      </c>
      <c r="J1124">
        <v>45345</v>
      </c>
      <c r="K1124">
        <v>45322</v>
      </c>
      <c r="L1124">
        <v>23</v>
      </c>
      <c r="N1124" t="s">
        <v>120</v>
      </c>
      <c r="O1124">
        <v>45323</v>
      </c>
      <c r="P1124" t="s">
        <v>739</v>
      </c>
      <c r="Q1124">
        <v>15681.652</v>
      </c>
      <c r="R1124">
        <v>0.1</v>
      </c>
      <c r="V1124">
        <v>461</v>
      </c>
      <c r="W1124">
        <v>0</v>
      </c>
      <c r="X1124">
        <v>148130.85</v>
      </c>
      <c r="Z1124">
        <v>8685.67</v>
      </c>
      <c r="AA1124">
        <v>156816.51999999999</v>
      </c>
      <c r="AB1124">
        <v>45321</v>
      </c>
      <c r="AC1124" t="s">
        <v>709</v>
      </c>
      <c r="AD1124" t="s">
        <v>29</v>
      </c>
      <c r="AE1124" t="s">
        <v>116</v>
      </c>
      <c r="AF1124" t="s">
        <v>29</v>
      </c>
      <c r="AG1124">
        <v>45366</v>
      </c>
      <c r="AH1124">
        <v>45366</v>
      </c>
      <c r="AI1124">
        <v>0</v>
      </c>
      <c r="AJ1124">
        <v>5050.8500000000004</v>
      </c>
      <c r="AK1124">
        <v>5712.25</v>
      </c>
      <c r="AL1124">
        <v>0.68634988201498148</v>
      </c>
      <c r="AM1124" t="s">
        <v>116</v>
      </c>
      <c r="AN1124">
        <v>45334</v>
      </c>
      <c r="AO1124">
        <v>11078441</v>
      </c>
      <c r="AP1124">
        <v>148130.85</v>
      </c>
      <c r="AR1124">
        <v>8685.67</v>
      </c>
      <c r="AS1124">
        <v>156816.51999999999</v>
      </c>
      <c r="AT1124">
        <v>0</v>
      </c>
      <c r="AU1124">
        <v>0</v>
      </c>
      <c r="AV1124">
        <v>0</v>
      </c>
      <c r="AX1124">
        <v>0</v>
      </c>
      <c r="AY1124">
        <v>45566</v>
      </c>
      <c r="AZ1124">
        <v>122</v>
      </c>
      <c r="BA1124" s="4" t="s">
        <v>835</v>
      </c>
      <c r="BB1124" t="s">
        <v>836</v>
      </c>
      <c r="BC1124" t="s">
        <v>115</v>
      </c>
      <c r="BD1124" t="s">
        <v>837</v>
      </c>
      <c r="BE1124" t="s">
        <v>838</v>
      </c>
      <c r="BF1124" t="s">
        <v>839</v>
      </c>
      <c r="BG1124" t="s">
        <v>840</v>
      </c>
      <c r="BH1124" t="s">
        <v>841</v>
      </c>
      <c r="BI1124" t="s">
        <v>709</v>
      </c>
      <c r="BJ1124" t="s">
        <v>709</v>
      </c>
      <c r="BK1124" t="s">
        <v>709</v>
      </c>
      <c r="BL1124" t="s">
        <v>116</v>
      </c>
      <c r="BM1124" t="s">
        <v>709</v>
      </c>
      <c r="BN1124" t="s">
        <v>709</v>
      </c>
      <c r="BO1124" t="s">
        <v>709</v>
      </c>
      <c r="BP1124" t="s">
        <v>709</v>
      </c>
      <c r="BQ1124" t="s">
        <v>709</v>
      </c>
      <c r="BR1124" t="s">
        <v>709</v>
      </c>
      <c r="BS1124">
        <v>461</v>
      </c>
      <c r="BT1124" t="s">
        <v>709</v>
      </c>
      <c r="BU1124" t="s">
        <v>709</v>
      </c>
      <c r="BV1124" t="s">
        <v>709</v>
      </c>
      <c r="BW1124" t="s">
        <v>709</v>
      </c>
      <c r="BX1124" t="s">
        <v>709</v>
      </c>
      <c r="BY1124" t="s">
        <v>709</v>
      </c>
      <c r="BZ1124" t="s">
        <v>709</v>
      </c>
      <c r="CB1124">
        <v>1122</v>
      </c>
      <c r="CC1124" t="b">
        <v>1</v>
      </c>
      <c r="CD1124" t="s">
        <v>6180</v>
      </c>
      <c r="CE1124" s="1482">
        <v>45880.738749999997</v>
      </c>
    </row>
    <row r="1125" spans="1:83" x14ac:dyDescent="0.25">
      <c r="A1125">
        <v>2023</v>
      </c>
      <c r="B1125" t="s">
        <v>771</v>
      </c>
      <c r="C1125" t="s">
        <v>1642</v>
      </c>
      <c r="D1125">
        <v>1212413</v>
      </c>
      <c r="E1125" t="s">
        <v>1644</v>
      </c>
      <c r="F1125" t="s">
        <v>747</v>
      </c>
      <c r="G1125" t="s">
        <v>32</v>
      </c>
      <c r="H1125" t="s">
        <v>4189</v>
      </c>
      <c r="I1125">
        <v>45274</v>
      </c>
      <c r="J1125" t="s">
        <v>2052</v>
      </c>
      <c r="K1125">
        <v>45335</v>
      </c>
      <c r="L1125">
        <v>61</v>
      </c>
      <c r="M1125" t="s">
        <v>6181</v>
      </c>
      <c r="N1125" t="s">
        <v>120</v>
      </c>
      <c r="O1125">
        <v>45352</v>
      </c>
      <c r="P1125" t="s">
        <v>120</v>
      </c>
      <c r="Q1125">
        <v>4937.5</v>
      </c>
      <c r="R1125" t="s">
        <v>1922</v>
      </c>
      <c r="S1125">
        <v>0</v>
      </c>
      <c r="T1125">
        <v>0</v>
      </c>
      <c r="U1125">
        <v>4937.5</v>
      </c>
      <c r="AD1125" t="s">
        <v>116</v>
      </c>
      <c r="AE1125" t="s">
        <v>116</v>
      </c>
      <c r="AF1125" t="s">
        <v>116</v>
      </c>
      <c r="AG1125" t="s">
        <v>29</v>
      </c>
      <c r="AH1125" t="s">
        <v>709</v>
      </c>
      <c r="AM1125" t="s">
        <v>709</v>
      </c>
      <c r="AY1125" t="s">
        <v>29</v>
      </c>
      <c r="BA1125">
        <v>8</v>
      </c>
      <c r="BB1125" t="s">
        <v>6182</v>
      </c>
      <c r="BH1125" t="s">
        <v>6183</v>
      </c>
      <c r="BI1125" t="s">
        <v>709</v>
      </c>
      <c r="BJ1125" t="s">
        <v>709</v>
      </c>
      <c r="BK1125" t="s">
        <v>709</v>
      </c>
      <c r="BL1125" t="s">
        <v>116</v>
      </c>
      <c r="BM1125">
        <v>0</v>
      </c>
      <c r="BN1125">
        <v>9543</v>
      </c>
      <c r="BO1125">
        <v>0</v>
      </c>
      <c r="BP1125">
        <v>10</v>
      </c>
      <c r="BQ1125">
        <v>388</v>
      </c>
      <c r="BR1125">
        <v>2788</v>
      </c>
      <c r="BS1125">
        <v>790</v>
      </c>
      <c r="BT1125">
        <v>0</v>
      </c>
      <c r="BU1125">
        <v>0</v>
      </c>
      <c r="BV1125">
        <v>0</v>
      </c>
      <c r="BW1125">
        <v>0</v>
      </c>
      <c r="BX1125">
        <v>0</v>
      </c>
      <c r="BY1125">
        <v>0</v>
      </c>
      <c r="BZ1125" t="s">
        <v>709</v>
      </c>
      <c r="CB1125">
        <v>1123</v>
      </c>
      <c r="CC1125" t="b">
        <v>1</v>
      </c>
      <c r="CD1125" t="s">
        <v>6184</v>
      </c>
      <c r="CE1125" s="1482">
        <v>45880.738749999997</v>
      </c>
    </row>
    <row r="1126" spans="1:83" x14ac:dyDescent="0.25">
      <c r="A1126">
        <v>2024</v>
      </c>
      <c r="B1126" t="s">
        <v>4</v>
      </c>
      <c r="C1126" t="s">
        <v>947</v>
      </c>
      <c r="D1126" t="s">
        <v>948</v>
      </c>
      <c r="E1126" t="s">
        <v>949</v>
      </c>
      <c r="F1126" t="s">
        <v>784</v>
      </c>
      <c r="G1126" t="s">
        <v>26</v>
      </c>
      <c r="H1126" t="s">
        <v>59</v>
      </c>
      <c r="I1126">
        <v>45216</v>
      </c>
      <c r="J1126">
        <v>45338</v>
      </c>
      <c r="K1126">
        <v>45336</v>
      </c>
      <c r="L1126">
        <v>2</v>
      </c>
      <c r="N1126" t="s">
        <v>120</v>
      </c>
      <c r="O1126">
        <v>45323</v>
      </c>
      <c r="P1126" t="s">
        <v>739</v>
      </c>
      <c r="Q1126">
        <v>36681.165000000001</v>
      </c>
      <c r="R1126">
        <v>0.1</v>
      </c>
      <c r="V1126">
        <v>875</v>
      </c>
      <c r="W1126">
        <v>0</v>
      </c>
      <c r="X1126">
        <v>332101.24</v>
      </c>
      <c r="Z1126">
        <v>34710.410000000003</v>
      </c>
      <c r="AA1126">
        <v>366811.65</v>
      </c>
      <c r="AB1126">
        <v>45335</v>
      </c>
      <c r="AC1126" t="s">
        <v>709</v>
      </c>
      <c r="AD1126" t="s">
        <v>29</v>
      </c>
      <c r="AE1126" t="s">
        <v>116</v>
      </c>
      <c r="AF1126" t="s">
        <v>29</v>
      </c>
      <c r="AG1126">
        <v>45366</v>
      </c>
      <c r="AH1126">
        <v>45366</v>
      </c>
      <c r="AI1126">
        <v>0</v>
      </c>
      <c r="AJ1126">
        <v>3000</v>
      </c>
      <c r="AK1126">
        <v>672</v>
      </c>
      <c r="AL1126">
        <v>0.10010587177370184</v>
      </c>
      <c r="AM1126" t="s">
        <v>116</v>
      </c>
      <c r="AN1126">
        <v>45377</v>
      </c>
      <c r="AO1126">
        <v>11080424</v>
      </c>
      <c r="AP1126">
        <v>335524.99</v>
      </c>
      <c r="AR1126">
        <v>34712.800000000003</v>
      </c>
      <c r="AS1126">
        <v>370237.79</v>
      </c>
      <c r="AT1126">
        <v>3426.14</v>
      </c>
      <c r="AU1126">
        <v>342.61399999999998</v>
      </c>
      <c r="AV1126">
        <v>0</v>
      </c>
      <c r="AW1126" t="s">
        <v>950</v>
      </c>
      <c r="AX1126">
        <v>342.61</v>
      </c>
      <c r="AY1126">
        <v>45566</v>
      </c>
      <c r="AZ1126">
        <v>123</v>
      </c>
      <c r="BA1126" t="s">
        <v>951</v>
      </c>
      <c r="BB1126" t="s">
        <v>905</v>
      </c>
      <c r="BC1126" t="s">
        <v>116</v>
      </c>
      <c r="BD1126" t="s">
        <v>952</v>
      </c>
      <c r="BE1126" t="s">
        <v>953</v>
      </c>
      <c r="BF1126" t="s">
        <v>954</v>
      </c>
      <c r="BG1126" t="s">
        <v>115</v>
      </c>
      <c r="BH1126" t="s">
        <v>955</v>
      </c>
      <c r="BI1126" t="s">
        <v>709</v>
      </c>
      <c r="BJ1126" t="s">
        <v>709</v>
      </c>
      <c r="BK1126" t="s">
        <v>709</v>
      </c>
      <c r="BL1126" t="s">
        <v>116</v>
      </c>
      <c r="BM1126" t="s">
        <v>709</v>
      </c>
      <c r="BN1126" t="s">
        <v>709</v>
      </c>
      <c r="BO1126" t="s">
        <v>709</v>
      </c>
      <c r="BP1126" t="s">
        <v>709</v>
      </c>
      <c r="BQ1126">
        <v>115</v>
      </c>
      <c r="BR1126" t="s">
        <v>709</v>
      </c>
      <c r="BS1126">
        <v>760</v>
      </c>
      <c r="BT1126" t="s">
        <v>709</v>
      </c>
      <c r="BU1126" t="s">
        <v>709</v>
      </c>
      <c r="BV1126" t="s">
        <v>709</v>
      </c>
      <c r="BW1126" t="s">
        <v>709</v>
      </c>
      <c r="BX1126" t="s">
        <v>709</v>
      </c>
      <c r="BY1126" t="s">
        <v>709</v>
      </c>
      <c r="BZ1126" t="s">
        <v>709</v>
      </c>
      <c r="CB1126">
        <v>1124</v>
      </c>
      <c r="CC1126" t="b">
        <v>1</v>
      </c>
      <c r="CD1126" t="s">
        <v>6185</v>
      </c>
      <c r="CE1126" s="1482">
        <v>45880.738749999997</v>
      </c>
    </row>
    <row r="1127" spans="1:83" x14ac:dyDescent="0.25">
      <c r="A1127">
        <v>2024</v>
      </c>
      <c r="B1127" t="s">
        <v>4</v>
      </c>
      <c r="C1127" t="s">
        <v>6186</v>
      </c>
      <c r="D1127">
        <v>1313448</v>
      </c>
      <c r="E1127" t="s">
        <v>1164</v>
      </c>
      <c r="F1127" t="s">
        <v>1515</v>
      </c>
      <c r="G1127" t="s">
        <v>22</v>
      </c>
      <c r="H1127" t="s">
        <v>4646</v>
      </c>
      <c r="I1127">
        <v>45294</v>
      </c>
      <c r="J1127" t="s">
        <v>4110</v>
      </c>
      <c r="K1127">
        <v>45342</v>
      </c>
      <c r="L1127">
        <v>48</v>
      </c>
      <c r="M1127" t="s">
        <v>5966</v>
      </c>
      <c r="N1127" t="s">
        <v>120</v>
      </c>
      <c r="O1127">
        <v>45352</v>
      </c>
      <c r="P1127" t="s">
        <v>739</v>
      </c>
      <c r="Q1127">
        <v>3010</v>
      </c>
      <c r="R1127" t="s">
        <v>1922</v>
      </c>
      <c r="S1127">
        <v>0</v>
      </c>
      <c r="T1127">
        <v>0</v>
      </c>
      <c r="U1127">
        <v>3010</v>
      </c>
      <c r="AB1127" t="s">
        <v>29</v>
      </c>
      <c r="AC1127" t="s">
        <v>29</v>
      </c>
      <c r="AD1127" t="s">
        <v>29</v>
      </c>
      <c r="AE1127" t="s">
        <v>116</v>
      </c>
      <c r="AF1127" t="s">
        <v>29</v>
      </c>
      <c r="AG1127" t="s">
        <v>29</v>
      </c>
      <c r="AH1127">
        <v>45475</v>
      </c>
      <c r="AL1127">
        <v>0</v>
      </c>
      <c r="AM1127" t="s">
        <v>709</v>
      </c>
      <c r="AY1127" t="s">
        <v>29</v>
      </c>
      <c r="BA1127" t="s">
        <v>6187</v>
      </c>
      <c r="BH1127" t="s">
        <v>6188</v>
      </c>
      <c r="CB1127">
        <v>1125</v>
      </c>
      <c r="CC1127" t="b">
        <v>1</v>
      </c>
      <c r="CD1127" t="s">
        <v>6189</v>
      </c>
      <c r="CE1127" s="1482">
        <v>45880.738749999997</v>
      </c>
    </row>
    <row r="1128" spans="1:83" x14ac:dyDescent="0.25">
      <c r="A1128">
        <v>2024</v>
      </c>
      <c r="B1128" t="s">
        <v>4</v>
      </c>
      <c r="C1128" t="s">
        <v>392</v>
      </c>
      <c r="D1128" t="s">
        <v>1702</v>
      </c>
      <c r="E1128" t="s">
        <v>393</v>
      </c>
      <c r="F1128" t="s">
        <v>784</v>
      </c>
      <c r="G1128" t="s">
        <v>27</v>
      </c>
      <c r="H1128" t="s">
        <v>4462</v>
      </c>
      <c r="I1128">
        <v>45337</v>
      </c>
      <c r="J1128" t="s">
        <v>2052</v>
      </c>
      <c r="K1128">
        <v>45344</v>
      </c>
      <c r="L1128">
        <v>7</v>
      </c>
      <c r="M1128" t="s">
        <v>6190</v>
      </c>
      <c r="N1128" t="s">
        <v>120</v>
      </c>
      <c r="O1128">
        <v>45323</v>
      </c>
      <c r="P1128" t="s">
        <v>739</v>
      </c>
      <c r="Q1128" t="s">
        <v>115</v>
      </c>
      <c r="R1128" t="s">
        <v>115</v>
      </c>
      <c r="AB1128" t="s">
        <v>29</v>
      </c>
      <c r="AC1128" t="s">
        <v>29</v>
      </c>
      <c r="AD1128" t="s">
        <v>116</v>
      </c>
      <c r="AE1128" t="s">
        <v>116</v>
      </c>
      <c r="AF1128" t="s">
        <v>756</v>
      </c>
      <c r="AG1128" t="s">
        <v>116</v>
      </c>
      <c r="AH1128">
        <v>45366</v>
      </c>
      <c r="AL1128" t="e">
        <v>#VALUE!</v>
      </c>
      <c r="AM1128" t="s">
        <v>709</v>
      </c>
      <c r="AY1128" t="s">
        <v>29</v>
      </c>
      <c r="BA1128">
        <v>1</v>
      </c>
      <c r="BB1128" t="s">
        <v>6191</v>
      </c>
      <c r="CB1128">
        <v>1126</v>
      </c>
      <c r="CC1128" t="b">
        <v>1</v>
      </c>
      <c r="CD1128" t="s">
        <v>6192</v>
      </c>
      <c r="CE1128" s="1482">
        <v>45880.738749999997</v>
      </c>
    </row>
    <row r="1129" spans="1:83" ht="300" x14ac:dyDescent="0.25">
      <c r="A1129">
        <v>2024</v>
      </c>
      <c r="B1129" t="s">
        <v>4</v>
      </c>
      <c r="C1129" t="s">
        <v>6193</v>
      </c>
      <c r="D1129" t="s">
        <v>1715</v>
      </c>
      <c r="E1129" t="s">
        <v>1716</v>
      </c>
      <c r="F1129" t="s">
        <v>784</v>
      </c>
      <c r="G1129" t="s">
        <v>26</v>
      </c>
      <c r="H1129" t="s">
        <v>59</v>
      </c>
      <c r="I1129">
        <v>45252</v>
      </c>
      <c r="J1129">
        <v>45345</v>
      </c>
      <c r="K1129">
        <v>45344</v>
      </c>
      <c r="L1129">
        <v>1</v>
      </c>
      <c r="N1129" t="s">
        <v>120</v>
      </c>
      <c r="O1129">
        <v>45323</v>
      </c>
      <c r="P1129" t="s">
        <v>739</v>
      </c>
      <c r="Q1129">
        <v>168227.36300000001</v>
      </c>
      <c r="R1129">
        <v>0.1</v>
      </c>
      <c r="V1129">
        <v>3635</v>
      </c>
      <c r="W1129">
        <v>0</v>
      </c>
      <c r="X1129">
        <v>1357205.65</v>
      </c>
      <c r="Z1129">
        <v>325067.98</v>
      </c>
      <c r="AA1129">
        <v>1682273.63</v>
      </c>
      <c r="AB1129">
        <v>45348</v>
      </c>
      <c r="AC1129" t="s">
        <v>709</v>
      </c>
      <c r="AD1129" t="s">
        <v>29</v>
      </c>
      <c r="AE1129" t="s">
        <v>116</v>
      </c>
      <c r="AF1129" t="s">
        <v>116</v>
      </c>
      <c r="AG1129">
        <v>45366</v>
      </c>
      <c r="AH1129">
        <v>45366</v>
      </c>
      <c r="AI1129">
        <v>0</v>
      </c>
      <c r="AJ1129">
        <v>3800</v>
      </c>
      <c r="AK1129">
        <v>14250</v>
      </c>
      <c r="AL1129">
        <v>0.10729526801177998</v>
      </c>
      <c r="AM1129" t="s">
        <v>116</v>
      </c>
      <c r="AN1129" t="s">
        <v>709</v>
      </c>
      <c r="AS1129">
        <v>0</v>
      </c>
      <c r="AT1129">
        <v>0</v>
      </c>
      <c r="AU1129">
        <v>0</v>
      </c>
      <c r="AY1129" t="s">
        <v>709</v>
      </c>
      <c r="AZ1129">
        <v>124</v>
      </c>
      <c r="BA1129" s="4" t="s">
        <v>1717</v>
      </c>
      <c r="BB1129" t="s">
        <v>1718</v>
      </c>
      <c r="BC1129" t="s">
        <v>115</v>
      </c>
      <c r="BD1129" t="s">
        <v>882</v>
      </c>
      <c r="BE1129" t="s">
        <v>1719</v>
      </c>
      <c r="BF1129" t="s">
        <v>1396</v>
      </c>
      <c r="BG1129" t="s">
        <v>115</v>
      </c>
      <c r="BH1129" t="s">
        <v>1720</v>
      </c>
      <c r="BI1129" t="s">
        <v>709</v>
      </c>
      <c r="BJ1129" t="s">
        <v>709</v>
      </c>
      <c r="BK1129" t="s">
        <v>709</v>
      </c>
      <c r="BL1129" t="s">
        <v>116</v>
      </c>
      <c r="BM1129" t="s">
        <v>709</v>
      </c>
      <c r="BN1129" t="s">
        <v>709</v>
      </c>
      <c r="BO1129" t="s">
        <v>709</v>
      </c>
      <c r="BP1129" t="s">
        <v>709</v>
      </c>
      <c r="BQ1129" t="s">
        <v>709</v>
      </c>
      <c r="BR1129">
        <v>2942</v>
      </c>
      <c r="BS1129">
        <v>693</v>
      </c>
      <c r="BT1129" t="s">
        <v>709</v>
      </c>
      <c r="BU1129" t="s">
        <v>709</v>
      </c>
      <c r="BV1129" t="s">
        <v>709</v>
      </c>
      <c r="BW1129" t="s">
        <v>709</v>
      </c>
      <c r="BX1129" t="s">
        <v>709</v>
      </c>
      <c r="BY1129" t="s">
        <v>709</v>
      </c>
      <c r="BZ1129" t="s">
        <v>709</v>
      </c>
      <c r="CB1129">
        <v>1127</v>
      </c>
      <c r="CC1129" t="b">
        <v>1</v>
      </c>
      <c r="CD1129" t="s">
        <v>6194</v>
      </c>
      <c r="CE1129" s="1482">
        <v>45880.738761574074</v>
      </c>
    </row>
    <row r="1130" spans="1:83" x14ac:dyDescent="0.25">
      <c r="A1130">
        <v>2024</v>
      </c>
      <c r="B1130" t="s">
        <v>4</v>
      </c>
      <c r="C1130" t="s">
        <v>1726</v>
      </c>
      <c r="D1130" t="s">
        <v>1727</v>
      </c>
      <c r="E1130" t="s">
        <v>850</v>
      </c>
      <c r="F1130" t="s">
        <v>851</v>
      </c>
      <c r="G1130" t="s">
        <v>26</v>
      </c>
      <c r="H1130" t="s">
        <v>59</v>
      </c>
      <c r="I1130">
        <v>45191</v>
      </c>
      <c r="J1130">
        <v>45350</v>
      </c>
      <c r="K1130">
        <v>45348</v>
      </c>
      <c r="L1130">
        <v>2</v>
      </c>
      <c r="N1130" t="s">
        <v>120</v>
      </c>
      <c r="O1130">
        <v>45352</v>
      </c>
      <c r="P1130" t="s">
        <v>739</v>
      </c>
      <c r="Q1130">
        <v>42993.122000000003</v>
      </c>
      <c r="R1130">
        <v>0.1</v>
      </c>
      <c r="V1130">
        <v>1419</v>
      </c>
      <c r="W1130">
        <v>0</v>
      </c>
      <c r="X1130">
        <v>411689.63</v>
      </c>
      <c r="Z1130">
        <v>18241.59</v>
      </c>
      <c r="AA1130">
        <v>429931.22</v>
      </c>
      <c r="AB1130">
        <v>45329</v>
      </c>
      <c r="AC1130" t="s">
        <v>709</v>
      </c>
      <c r="AD1130" t="s">
        <v>29</v>
      </c>
      <c r="AE1130" t="s">
        <v>116</v>
      </c>
      <c r="AF1130" t="s">
        <v>116</v>
      </c>
      <c r="AG1130">
        <v>45366</v>
      </c>
      <c r="AH1130">
        <v>45366</v>
      </c>
      <c r="AI1130">
        <v>0</v>
      </c>
      <c r="AJ1130">
        <v>2142</v>
      </c>
      <c r="AK1130">
        <v>656.625</v>
      </c>
      <c r="AL1130">
        <v>6.509471445223261E-2</v>
      </c>
      <c r="AM1130" t="s">
        <v>116</v>
      </c>
      <c r="AN1130">
        <v>45525</v>
      </c>
      <c r="AO1130">
        <v>11089739</v>
      </c>
      <c r="AP1130">
        <v>461071.23</v>
      </c>
      <c r="AR1130">
        <v>21389.64</v>
      </c>
      <c r="AS1130">
        <v>482460.87</v>
      </c>
      <c r="AT1130">
        <v>52529.65</v>
      </c>
      <c r="AU1130">
        <v>5252.9650000000001</v>
      </c>
      <c r="AV1130">
        <v>0</v>
      </c>
      <c r="AW1130" t="s">
        <v>6195</v>
      </c>
      <c r="AX1130">
        <v>5252.9650000000001</v>
      </c>
      <c r="AY1130">
        <v>45901</v>
      </c>
      <c r="AZ1130">
        <v>126</v>
      </c>
      <c r="BA1130" t="s">
        <v>1728</v>
      </c>
      <c r="BB1130" t="s">
        <v>854</v>
      </c>
      <c r="BC1130" t="s">
        <v>115</v>
      </c>
      <c r="BD1130" t="s">
        <v>862</v>
      </c>
      <c r="BE1130" t="s">
        <v>855</v>
      </c>
      <c r="BF1130" t="s">
        <v>115</v>
      </c>
      <c r="BG1130" t="s">
        <v>1724</v>
      </c>
      <c r="BH1130" t="s">
        <v>1729</v>
      </c>
      <c r="BI1130" t="s">
        <v>709</v>
      </c>
      <c r="BJ1130" t="s">
        <v>709</v>
      </c>
      <c r="BK1130" t="s">
        <v>709</v>
      </c>
      <c r="BL1130" t="s">
        <v>116</v>
      </c>
      <c r="BM1130" t="s">
        <v>709</v>
      </c>
      <c r="BN1130" t="s">
        <v>709</v>
      </c>
      <c r="BO1130" t="s">
        <v>709</v>
      </c>
      <c r="BP1130" t="s">
        <v>709</v>
      </c>
      <c r="BQ1130">
        <v>1301</v>
      </c>
      <c r="BR1130" t="s">
        <v>709</v>
      </c>
      <c r="BS1130">
        <v>469</v>
      </c>
      <c r="BT1130" t="s">
        <v>709</v>
      </c>
      <c r="BU1130" t="s">
        <v>709</v>
      </c>
      <c r="BV1130" t="s">
        <v>709</v>
      </c>
      <c r="BW1130" t="s">
        <v>709</v>
      </c>
      <c r="BX1130" t="s">
        <v>709</v>
      </c>
      <c r="BY1130" t="s">
        <v>709</v>
      </c>
      <c r="BZ1130" t="s">
        <v>709</v>
      </c>
      <c r="CB1130">
        <v>1129</v>
      </c>
      <c r="CC1130" t="b">
        <v>1</v>
      </c>
      <c r="CD1130" t="s">
        <v>6196</v>
      </c>
      <c r="CE1130" s="1482">
        <v>45880.738761574074</v>
      </c>
    </row>
    <row r="1131" spans="1:83" x14ac:dyDescent="0.25">
      <c r="A1131">
        <v>2024</v>
      </c>
      <c r="B1131" t="s">
        <v>4</v>
      </c>
      <c r="C1131" t="s">
        <v>1721</v>
      </c>
      <c r="D1131" t="s">
        <v>1722</v>
      </c>
      <c r="E1131" t="s">
        <v>850</v>
      </c>
      <c r="F1131" t="s">
        <v>851</v>
      </c>
      <c r="G1131" t="s">
        <v>26</v>
      </c>
      <c r="H1131" t="s">
        <v>59</v>
      </c>
      <c r="I1131">
        <v>45191</v>
      </c>
      <c r="J1131">
        <v>45350</v>
      </c>
      <c r="K1131">
        <v>45348</v>
      </c>
      <c r="L1131">
        <v>2</v>
      </c>
      <c r="N1131" t="s">
        <v>120</v>
      </c>
      <c r="O1131">
        <v>45352</v>
      </c>
      <c r="P1131" t="s">
        <v>739</v>
      </c>
      <c r="Q1131">
        <v>51974.387000000002</v>
      </c>
      <c r="R1131">
        <v>0.1</v>
      </c>
      <c r="V1131">
        <v>1770</v>
      </c>
      <c r="W1131">
        <v>0</v>
      </c>
      <c r="X1131">
        <v>474635.76</v>
      </c>
      <c r="Z1131">
        <v>45108.11</v>
      </c>
      <c r="AA1131">
        <v>519743.87</v>
      </c>
      <c r="AB1131">
        <v>45329</v>
      </c>
      <c r="AC1131" t="s">
        <v>709</v>
      </c>
      <c r="AD1131" t="s">
        <v>29</v>
      </c>
      <c r="AE1131" t="s">
        <v>116</v>
      </c>
      <c r="AF1131" t="s">
        <v>116</v>
      </c>
      <c r="AG1131">
        <v>45366</v>
      </c>
      <c r="AH1131">
        <v>45366</v>
      </c>
      <c r="AI1131">
        <v>0</v>
      </c>
      <c r="AJ1131">
        <v>2142</v>
      </c>
      <c r="AK1131">
        <v>656.625</v>
      </c>
      <c r="AL1131">
        <v>5.3846233915178253E-2</v>
      </c>
      <c r="AM1131" t="s">
        <v>116</v>
      </c>
      <c r="AN1131">
        <v>45525</v>
      </c>
      <c r="AO1131">
        <v>11089738</v>
      </c>
      <c r="AP1131">
        <v>570185.64</v>
      </c>
      <c r="AR1131">
        <v>86510.31</v>
      </c>
      <c r="AS1131">
        <v>656695.94999999995</v>
      </c>
      <c r="AT1131">
        <v>136952.07999999999</v>
      </c>
      <c r="AU1131">
        <v>13695.208000000001</v>
      </c>
      <c r="AV1131">
        <v>0</v>
      </c>
      <c r="AW1131" t="s">
        <v>6195</v>
      </c>
      <c r="AX1131">
        <v>13695.208000000001</v>
      </c>
      <c r="AY1131">
        <v>45901</v>
      </c>
      <c r="AZ1131">
        <v>125</v>
      </c>
      <c r="BA1131" t="s">
        <v>1723</v>
      </c>
      <c r="BB1131" t="s">
        <v>854</v>
      </c>
      <c r="BC1131" t="s">
        <v>115</v>
      </c>
      <c r="BD1131" t="s">
        <v>862</v>
      </c>
      <c r="BE1131" t="s">
        <v>855</v>
      </c>
      <c r="BF1131" t="s">
        <v>115</v>
      </c>
      <c r="BG1131" t="s">
        <v>1724</v>
      </c>
      <c r="BH1131" t="s">
        <v>1725</v>
      </c>
      <c r="BI1131" t="s">
        <v>709</v>
      </c>
      <c r="BJ1131" t="s">
        <v>709</v>
      </c>
      <c r="BK1131" t="s">
        <v>709</v>
      </c>
      <c r="BL1131" t="s">
        <v>116</v>
      </c>
      <c r="BM1131" t="s">
        <v>709</v>
      </c>
      <c r="BN1131" t="s">
        <v>709</v>
      </c>
      <c r="BO1131" t="s">
        <v>709</v>
      </c>
      <c r="BP1131" t="s">
        <v>709</v>
      </c>
      <c r="BQ1131">
        <v>1301</v>
      </c>
      <c r="BR1131" t="s">
        <v>709</v>
      </c>
      <c r="BS1131">
        <v>469</v>
      </c>
      <c r="BT1131" t="s">
        <v>709</v>
      </c>
      <c r="BU1131" t="s">
        <v>709</v>
      </c>
      <c r="BV1131" t="s">
        <v>709</v>
      </c>
      <c r="BW1131" t="s">
        <v>709</v>
      </c>
      <c r="BX1131" t="s">
        <v>709</v>
      </c>
      <c r="BY1131" t="s">
        <v>709</v>
      </c>
      <c r="BZ1131" t="s">
        <v>709</v>
      </c>
      <c r="CB1131">
        <v>1128</v>
      </c>
      <c r="CC1131" t="b">
        <v>1</v>
      </c>
      <c r="CD1131" t="s">
        <v>6197</v>
      </c>
      <c r="CE1131" s="1482">
        <v>45880.738761574074</v>
      </c>
    </row>
    <row r="1132" spans="1:83" x14ac:dyDescent="0.25">
      <c r="A1132">
        <v>2023</v>
      </c>
      <c r="B1132" t="s">
        <v>4</v>
      </c>
      <c r="C1132" t="s">
        <v>865</v>
      </c>
      <c r="D1132" t="s">
        <v>866</v>
      </c>
      <c r="E1132" t="s">
        <v>867</v>
      </c>
      <c r="F1132" t="s">
        <v>851</v>
      </c>
      <c r="G1132" t="s">
        <v>28</v>
      </c>
      <c r="H1132" t="s">
        <v>4189</v>
      </c>
      <c r="I1132">
        <v>45344</v>
      </c>
      <c r="J1132" t="s">
        <v>2052</v>
      </c>
      <c r="K1132">
        <v>45349</v>
      </c>
      <c r="L1132">
        <v>5</v>
      </c>
      <c r="M1132" t="s">
        <v>6198</v>
      </c>
      <c r="N1132" t="s">
        <v>120</v>
      </c>
      <c r="O1132">
        <v>45352</v>
      </c>
      <c r="P1132" t="s">
        <v>739</v>
      </c>
      <c r="Q1132">
        <v>1332.5</v>
      </c>
      <c r="R1132" t="s">
        <v>1922</v>
      </c>
      <c r="S1132">
        <v>0</v>
      </c>
      <c r="T1132">
        <v>0</v>
      </c>
      <c r="U1132">
        <v>1332.5</v>
      </c>
      <c r="AB1132" t="s">
        <v>29</v>
      </c>
      <c r="AC1132" t="s">
        <v>29</v>
      </c>
      <c r="AD1132" t="s">
        <v>116</v>
      </c>
      <c r="AE1132" t="s">
        <v>116</v>
      </c>
      <c r="AF1132" t="s">
        <v>116</v>
      </c>
      <c r="AG1132" t="s">
        <v>29</v>
      </c>
      <c r="AH1132">
        <v>45447</v>
      </c>
      <c r="AM1132" t="s">
        <v>709</v>
      </c>
      <c r="AY1132" t="s">
        <v>29</v>
      </c>
      <c r="BA1132" t="s">
        <v>5156</v>
      </c>
      <c r="BB1132" t="s">
        <v>6199</v>
      </c>
      <c r="BH1132" t="s">
        <v>6200</v>
      </c>
      <c r="BI1132" t="s">
        <v>709</v>
      </c>
      <c r="BJ1132" t="s">
        <v>709</v>
      </c>
      <c r="BK1132" t="s">
        <v>709</v>
      </c>
      <c r="BL1132" t="s">
        <v>116</v>
      </c>
      <c r="BM1132" t="s">
        <v>709</v>
      </c>
      <c r="BN1132" t="s">
        <v>709</v>
      </c>
      <c r="BO1132" t="s">
        <v>709</v>
      </c>
      <c r="BP1132" t="s">
        <v>709</v>
      </c>
      <c r="BQ1132" t="s">
        <v>709</v>
      </c>
      <c r="BR1132">
        <v>462</v>
      </c>
      <c r="BS1132" t="s">
        <v>709</v>
      </c>
      <c r="BT1132" t="s">
        <v>709</v>
      </c>
      <c r="BU1132" t="s">
        <v>709</v>
      </c>
      <c r="BV1132" t="s">
        <v>709</v>
      </c>
      <c r="BW1132" t="s">
        <v>709</v>
      </c>
      <c r="BX1132" t="s">
        <v>709</v>
      </c>
      <c r="BY1132" t="s">
        <v>709</v>
      </c>
      <c r="BZ1132" t="s">
        <v>709</v>
      </c>
      <c r="CB1132">
        <v>1130</v>
      </c>
      <c r="CC1132" t="b">
        <v>1</v>
      </c>
      <c r="CD1132" t="s">
        <v>6201</v>
      </c>
      <c r="CE1132" s="1482">
        <v>45880.738761574074</v>
      </c>
    </row>
    <row r="1133" spans="1:83" x14ac:dyDescent="0.25">
      <c r="A1133">
        <v>2024</v>
      </c>
      <c r="B1133" t="s">
        <v>771</v>
      </c>
      <c r="C1133" t="s">
        <v>885</v>
      </c>
      <c r="D1133">
        <v>1312060</v>
      </c>
      <c r="E1133" t="s">
        <v>887</v>
      </c>
      <c r="F1133" t="s">
        <v>784</v>
      </c>
      <c r="G1133" t="s">
        <v>36</v>
      </c>
      <c r="H1133" t="s">
        <v>4189</v>
      </c>
      <c r="I1133">
        <v>45308</v>
      </c>
      <c r="J1133" t="s">
        <v>2052</v>
      </c>
      <c r="K1133">
        <v>45350</v>
      </c>
      <c r="L1133">
        <v>42</v>
      </c>
      <c r="M1133" t="s">
        <v>6202</v>
      </c>
      <c r="N1133" t="s">
        <v>120</v>
      </c>
      <c r="O1133">
        <v>45352</v>
      </c>
      <c r="P1133" t="s">
        <v>120</v>
      </c>
      <c r="Q1133">
        <v>4252.5</v>
      </c>
      <c r="R1133" t="s">
        <v>1922</v>
      </c>
      <c r="S1133">
        <v>0</v>
      </c>
      <c r="T1133">
        <v>0</v>
      </c>
      <c r="U1133">
        <v>4252.5</v>
      </c>
      <c r="AD1133" t="s">
        <v>116</v>
      </c>
      <c r="AM1133" t="s">
        <v>709</v>
      </c>
      <c r="AY1133" t="s">
        <v>29</v>
      </c>
      <c r="BA1133">
        <v>4</v>
      </c>
      <c r="BB1133" t="s">
        <v>6203</v>
      </c>
      <c r="BH1133" t="s">
        <v>6204</v>
      </c>
      <c r="BI1133" t="s">
        <v>709</v>
      </c>
      <c r="BJ1133" t="s">
        <v>709</v>
      </c>
      <c r="BK1133" t="s">
        <v>709</v>
      </c>
      <c r="BL1133" t="s">
        <v>116</v>
      </c>
      <c r="BM1133" t="s">
        <v>709</v>
      </c>
      <c r="BN1133" t="s">
        <v>709</v>
      </c>
      <c r="BO1133" t="s">
        <v>709</v>
      </c>
      <c r="BP1133" t="s">
        <v>709</v>
      </c>
      <c r="BQ1133" t="s">
        <v>709</v>
      </c>
      <c r="BR1133">
        <v>136</v>
      </c>
      <c r="BS1133">
        <v>644</v>
      </c>
      <c r="BT1133" t="s">
        <v>745</v>
      </c>
      <c r="BU1133" t="s">
        <v>709</v>
      </c>
      <c r="BV1133" t="s">
        <v>709</v>
      </c>
      <c r="BW1133" t="s">
        <v>709</v>
      </c>
      <c r="BX1133" t="s">
        <v>745</v>
      </c>
      <c r="BY1133" t="s">
        <v>745</v>
      </c>
      <c r="BZ1133" t="s">
        <v>709</v>
      </c>
      <c r="CB1133">
        <v>1131</v>
      </c>
      <c r="CC1133" t="b">
        <v>1</v>
      </c>
      <c r="CD1133" t="s">
        <v>6205</v>
      </c>
      <c r="CE1133" s="1482">
        <v>45880.73877314815</v>
      </c>
    </row>
    <row r="1134" spans="1:83" ht="285" x14ac:dyDescent="0.25">
      <c r="A1134">
        <v>2024</v>
      </c>
      <c r="B1134" t="s">
        <v>4</v>
      </c>
      <c r="C1134" t="s">
        <v>908</v>
      </c>
      <c r="D1134" t="s">
        <v>909</v>
      </c>
      <c r="E1134" t="s">
        <v>910</v>
      </c>
      <c r="F1134" t="s">
        <v>784</v>
      </c>
      <c r="G1134" t="s">
        <v>36</v>
      </c>
      <c r="H1134" t="s">
        <v>59</v>
      </c>
      <c r="I1134">
        <v>45293</v>
      </c>
      <c r="J1134">
        <v>45359</v>
      </c>
      <c r="K1134">
        <v>45350</v>
      </c>
      <c r="L1134">
        <v>9</v>
      </c>
      <c r="N1134" t="s">
        <v>120</v>
      </c>
      <c r="O1134">
        <v>45352</v>
      </c>
      <c r="P1134" t="s">
        <v>739</v>
      </c>
      <c r="Q1134">
        <v>34371.571000000004</v>
      </c>
      <c r="R1134">
        <v>0.1</v>
      </c>
      <c r="V1134">
        <v>846</v>
      </c>
      <c r="W1134">
        <v>0</v>
      </c>
      <c r="X1134">
        <v>254263.42</v>
      </c>
      <c r="Z1134">
        <v>89452.29</v>
      </c>
      <c r="AA1134">
        <v>343715.71</v>
      </c>
      <c r="AB1134">
        <v>45359</v>
      </c>
      <c r="AC1134" t="s">
        <v>709</v>
      </c>
      <c r="AD1134" t="s">
        <v>29</v>
      </c>
      <c r="AE1134" t="s">
        <v>116</v>
      </c>
      <c r="AF1134" t="s">
        <v>116</v>
      </c>
      <c r="AG1134" t="s">
        <v>29</v>
      </c>
      <c r="AH1134">
        <v>45406</v>
      </c>
      <c r="AI1134">
        <v>0</v>
      </c>
      <c r="AJ1134">
        <v>9474</v>
      </c>
      <c r="AK1134">
        <v>3315</v>
      </c>
      <c r="AL1134">
        <v>0.37208075243345723</v>
      </c>
      <c r="AM1134" t="s">
        <v>116</v>
      </c>
      <c r="AN1134">
        <v>45369</v>
      </c>
      <c r="AO1134">
        <v>11080051</v>
      </c>
      <c r="AP1134">
        <v>254263.42</v>
      </c>
      <c r="AR1134">
        <v>89452.29</v>
      </c>
      <c r="AS1134">
        <v>343715.71</v>
      </c>
      <c r="AT1134">
        <v>0</v>
      </c>
      <c r="AU1134">
        <v>0</v>
      </c>
      <c r="AV1134">
        <v>0</v>
      </c>
      <c r="AX1134">
        <v>0</v>
      </c>
      <c r="AY1134">
        <v>45566</v>
      </c>
      <c r="AZ1134">
        <v>127</v>
      </c>
      <c r="BA1134" s="4" t="s">
        <v>911</v>
      </c>
      <c r="BB1134" t="s">
        <v>912</v>
      </c>
      <c r="BC1134" t="s">
        <v>115</v>
      </c>
      <c r="BD1134" t="s">
        <v>115</v>
      </c>
      <c r="BE1134" t="s">
        <v>913</v>
      </c>
      <c r="BF1134" t="s">
        <v>115</v>
      </c>
      <c r="BG1134" t="s">
        <v>115</v>
      </c>
      <c r="BH1134" t="s">
        <v>914</v>
      </c>
      <c r="BI1134" t="s">
        <v>709</v>
      </c>
      <c r="BJ1134" t="s">
        <v>709</v>
      </c>
      <c r="BK1134" t="s">
        <v>709</v>
      </c>
      <c r="BL1134" t="s">
        <v>116</v>
      </c>
      <c r="BM1134" t="s">
        <v>709</v>
      </c>
      <c r="BN1134" t="s">
        <v>709</v>
      </c>
      <c r="BO1134" t="s">
        <v>709</v>
      </c>
      <c r="BP1134" t="s">
        <v>709</v>
      </c>
      <c r="BQ1134" t="s">
        <v>709</v>
      </c>
      <c r="BR1134" t="s">
        <v>709</v>
      </c>
      <c r="BS1134">
        <v>846</v>
      </c>
      <c r="BT1134" t="s">
        <v>709</v>
      </c>
      <c r="BU1134" t="s">
        <v>709</v>
      </c>
      <c r="BV1134" t="s">
        <v>709</v>
      </c>
      <c r="BW1134" t="s">
        <v>709</v>
      </c>
      <c r="BX1134" t="s">
        <v>709</v>
      </c>
      <c r="BY1134" t="s">
        <v>709</v>
      </c>
      <c r="BZ1134" t="s">
        <v>709</v>
      </c>
      <c r="CA1134" t="s">
        <v>915</v>
      </c>
      <c r="CB1134">
        <v>1132</v>
      </c>
      <c r="CC1134" t="b">
        <v>1</v>
      </c>
      <c r="CD1134" t="s">
        <v>6206</v>
      </c>
      <c r="CE1134" s="1482">
        <v>45880.73877314815</v>
      </c>
    </row>
    <row r="1135" spans="1:83" x14ac:dyDescent="0.25">
      <c r="A1135">
        <v>2024</v>
      </c>
      <c r="B1135" t="s">
        <v>759</v>
      </c>
      <c r="C1135" t="s">
        <v>336</v>
      </c>
      <c r="D1135" t="s">
        <v>5222</v>
      </c>
      <c r="E1135" t="s">
        <v>305</v>
      </c>
      <c r="F1135" t="s">
        <v>752</v>
      </c>
      <c r="G1135" t="s">
        <v>32</v>
      </c>
      <c r="H1135" t="s">
        <v>4189</v>
      </c>
      <c r="I1135">
        <v>45338</v>
      </c>
      <c r="J1135" t="s">
        <v>2052</v>
      </c>
      <c r="K1135">
        <v>45351</v>
      </c>
      <c r="L1135">
        <v>13</v>
      </c>
      <c r="M1135" t="s">
        <v>6207</v>
      </c>
      <c r="N1135" t="s">
        <v>120</v>
      </c>
      <c r="O1135">
        <v>45352</v>
      </c>
      <c r="P1135" t="s">
        <v>120</v>
      </c>
      <c r="Q1135">
        <v>9062.5</v>
      </c>
      <c r="R1135" t="s">
        <v>1922</v>
      </c>
      <c r="S1135">
        <v>0</v>
      </c>
      <c r="T1135">
        <v>0</v>
      </c>
      <c r="U1135">
        <v>9062.5</v>
      </c>
      <c r="AD1135" t="s">
        <v>29</v>
      </c>
      <c r="AE1135" t="s">
        <v>756</v>
      </c>
      <c r="AF1135" t="s">
        <v>756</v>
      </c>
      <c r="AG1135" t="s">
        <v>29</v>
      </c>
      <c r="AH1135" t="s">
        <v>709</v>
      </c>
      <c r="AM1135" t="s">
        <v>709</v>
      </c>
      <c r="AY1135" t="s">
        <v>29</v>
      </c>
      <c r="BA1135" t="s">
        <v>4919</v>
      </c>
      <c r="BB1135" t="s">
        <v>6208</v>
      </c>
      <c r="BH1135" t="s">
        <v>6209</v>
      </c>
      <c r="BI1135" t="s">
        <v>709</v>
      </c>
      <c r="BJ1135" t="s">
        <v>709</v>
      </c>
      <c r="BK1135" t="s">
        <v>116</v>
      </c>
      <c r="BL1135" t="s">
        <v>116</v>
      </c>
      <c r="BM1135">
        <v>0</v>
      </c>
      <c r="BN1135">
        <v>0</v>
      </c>
      <c r="BO1135">
        <v>0</v>
      </c>
      <c r="BP1135">
        <v>144</v>
      </c>
      <c r="BQ1135">
        <v>73</v>
      </c>
      <c r="BR1135">
        <v>45</v>
      </c>
      <c r="BS1135">
        <v>5</v>
      </c>
      <c r="BT1135">
        <v>1</v>
      </c>
      <c r="BU1135">
        <v>0</v>
      </c>
      <c r="BV1135">
        <v>0</v>
      </c>
      <c r="BW1135">
        <v>1</v>
      </c>
      <c r="BX1135">
        <v>1</v>
      </c>
      <c r="BY1135">
        <v>0</v>
      </c>
      <c r="BZ1135" t="s">
        <v>709</v>
      </c>
      <c r="CB1135">
        <v>1133</v>
      </c>
      <c r="CC1135" t="b">
        <v>1</v>
      </c>
      <c r="CD1135" t="s">
        <v>6210</v>
      </c>
      <c r="CE1135" s="1482">
        <v>45880.73877314815</v>
      </c>
    </row>
    <row r="1136" spans="1:83" ht="345" x14ac:dyDescent="0.25">
      <c r="A1136">
        <v>2024</v>
      </c>
      <c r="B1136" t="s">
        <v>4</v>
      </c>
      <c r="C1136" t="s">
        <v>988</v>
      </c>
      <c r="D1136" t="s">
        <v>989</v>
      </c>
      <c r="E1136" t="s">
        <v>354</v>
      </c>
      <c r="F1136" t="s">
        <v>784</v>
      </c>
      <c r="G1136" t="s">
        <v>35</v>
      </c>
      <c r="H1136" t="s">
        <v>59</v>
      </c>
      <c r="I1136">
        <v>45293</v>
      </c>
      <c r="J1136">
        <v>45357</v>
      </c>
      <c r="K1136">
        <v>45357</v>
      </c>
      <c r="L1136">
        <v>0</v>
      </c>
      <c r="N1136" t="s">
        <v>120</v>
      </c>
      <c r="O1136">
        <v>45352</v>
      </c>
      <c r="P1136" t="s">
        <v>739</v>
      </c>
      <c r="Q1136">
        <v>135052.08799999999</v>
      </c>
      <c r="R1136">
        <v>0.1</v>
      </c>
      <c r="V1136">
        <v>1129</v>
      </c>
      <c r="W1136">
        <v>0</v>
      </c>
      <c r="X1136">
        <v>942013.64</v>
      </c>
      <c r="Z1136">
        <v>408507.24</v>
      </c>
      <c r="AA1136">
        <v>1350520.88</v>
      </c>
      <c r="AB1136">
        <v>45359</v>
      </c>
      <c r="AC1136" t="s">
        <v>116</v>
      </c>
      <c r="AD1136" t="s">
        <v>29</v>
      </c>
      <c r="AE1136" t="s">
        <v>116</v>
      </c>
      <c r="AF1136" t="s">
        <v>116</v>
      </c>
      <c r="AG1136" t="s">
        <v>376</v>
      </c>
      <c r="AH1136">
        <v>45406</v>
      </c>
      <c r="AI1136">
        <v>0</v>
      </c>
      <c r="AJ1136">
        <v>9990</v>
      </c>
      <c r="AK1136">
        <v>14813.5</v>
      </c>
      <c r="AL1136">
        <v>0.18365876727503838</v>
      </c>
      <c r="AM1136" t="s">
        <v>116</v>
      </c>
      <c r="AN1136">
        <v>45406</v>
      </c>
      <c r="AO1136">
        <v>11080859</v>
      </c>
      <c r="AP1136">
        <v>940384.55</v>
      </c>
      <c r="AR1136">
        <v>417182.09</v>
      </c>
      <c r="AS1136">
        <v>1357566.64</v>
      </c>
      <c r="AT1136">
        <v>7045.76</v>
      </c>
      <c r="AU1136">
        <v>704.57600000000002</v>
      </c>
      <c r="AV1136">
        <v>0</v>
      </c>
      <c r="AW1136" t="s">
        <v>990</v>
      </c>
      <c r="AX1136">
        <v>704.58</v>
      </c>
      <c r="AY1136">
        <v>45566</v>
      </c>
      <c r="AZ1136">
        <v>128</v>
      </c>
      <c r="BA1136" s="4" t="s">
        <v>991</v>
      </c>
      <c r="BB1136" t="s">
        <v>986</v>
      </c>
      <c r="BC1136" t="s">
        <v>992</v>
      </c>
      <c r="BD1136" t="s">
        <v>743</v>
      </c>
      <c r="BE1136" t="s">
        <v>588</v>
      </c>
      <c r="BF1136" t="s">
        <v>588</v>
      </c>
      <c r="BG1136" t="s">
        <v>115</v>
      </c>
      <c r="BH1136" t="s">
        <v>993</v>
      </c>
      <c r="BI1136" t="s">
        <v>709</v>
      </c>
      <c r="BJ1136" t="s">
        <v>709</v>
      </c>
      <c r="BK1136" t="s">
        <v>709</v>
      </c>
      <c r="BL1136" t="s">
        <v>116</v>
      </c>
      <c r="BM1136" t="s">
        <v>709</v>
      </c>
      <c r="BN1136">
        <v>254</v>
      </c>
      <c r="BO1136" t="s">
        <v>709</v>
      </c>
      <c r="BP1136" t="s">
        <v>709</v>
      </c>
      <c r="BQ1136" t="s">
        <v>709</v>
      </c>
      <c r="BR1136">
        <v>55</v>
      </c>
      <c r="BS1136">
        <v>820</v>
      </c>
      <c r="BT1136" t="s">
        <v>745</v>
      </c>
      <c r="BU1136" t="s">
        <v>709</v>
      </c>
      <c r="BV1136" t="s">
        <v>745</v>
      </c>
      <c r="BW1136" t="s">
        <v>709</v>
      </c>
      <c r="BX1136" t="s">
        <v>745</v>
      </c>
      <c r="BY1136" t="s">
        <v>745</v>
      </c>
      <c r="BZ1136" t="s">
        <v>709</v>
      </c>
      <c r="CB1136">
        <v>1135</v>
      </c>
      <c r="CC1136" t="b">
        <v>1</v>
      </c>
      <c r="CD1136" t="s">
        <v>6211</v>
      </c>
      <c r="CE1136" s="1482">
        <v>45880.73877314815</v>
      </c>
    </row>
    <row r="1137" spans="1:83" ht="165" x14ac:dyDescent="0.25">
      <c r="A1137">
        <v>2024</v>
      </c>
      <c r="B1137" t="s">
        <v>4</v>
      </c>
      <c r="C1137" t="s">
        <v>1730</v>
      </c>
      <c r="D1137" t="s">
        <v>1731</v>
      </c>
      <c r="E1137" t="s">
        <v>818</v>
      </c>
      <c r="F1137" t="s">
        <v>851</v>
      </c>
      <c r="G1137" t="s">
        <v>35</v>
      </c>
      <c r="H1137" t="s">
        <v>59</v>
      </c>
      <c r="I1137">
        <v>45293</v>
      </c>
      <c r="J1137">
        <v>45401</v>
      </c>
      <c r="K1137">
        <v>45357</v>
      </c>
      <c r="L1137">
        <v>44</v>
      </c>
      <c r="N1137" t="s">
        <v>120</v>
      </c>
      <c r="O1137">
        <v>45352</v>
      </c>
      <c r="P1137" t="s">
        <v>739</v>
      </c>
      <c r="Q1137">
        <v>18737.776999999998</v>
      </c>
      <c r="R1137">
        <v>0.1</v>
      </c>
      <c r="V1137">
        <v>247</v>
      </c>
      <c r="W1137">
        <v>0</v>
      </c>
      <c r="X1137">
        <v>163426.01999999999</v>
      </c>
      <c r="Z1137">
        <v>23951.75</v>
      </c>
      <c r="AA1137">
        <v>187377.77</v>
      </c>
      <c r="AB1137">
        <v>45370</v>
      </c>
      <c r="AC1137" t="s">
        <v>709</v>
      </c>
      <c r="AD1137" t="s">
        <v>29</v>
      </c>
      <c r="AE1137" t="s">
        <v>756</v>
      </c>
      <c r="AF1137" t="s">
        <v>29</v>
      </c>
      <c r="AG1137" t="s">
        <v>376</v>
      </c>
      <c r="AH1137">
        <v>45406</v>
      </c>
      <c r="AI1137">
        <v>0</v>
      </c>
      <c r="AJ1137">
        <v>0</v>
      </c>
      <c r="AK1137">
        <v>4399</v>
      </c>
      <c r="AL1137">
        <v>0.23476637596871819</v>
      </c>
      <c r="AM1137" t="s">
        <v>116</v>
      </c>
      <c r="AN1137">
        <v>45553</v>
      </c>
      <c r="AO1137">
        <v>11090968</v>
      </c>
      <c r="AP1137">
        <v>165598.39999999999</v>
      </c>
      <c r="AR1137">
        <v>24994.65</v>
      </c>
      <c r="AS1137">
        <v>190593.05</v>
      </c>
      <c r="AT1137">
        <v>3215.28</v>
      </c>
      <c r="AU1137">
        <v>321.52800000000002</v>
      </c>
      <c r="AV1137">
        <v>0</v>
      </c>
      <c r="AW1137" t="s">
        <v>6089</v>
      </c>
      <c r="AX1137">
        <v>321.52800000000002</v>
      </c>
      <c r="AY1137">
        <v>45901</v>
      </c>
      <c r="AZ1137">
        <v>129</v>
      </c>
      <c r="BA1137" s="4" t="s">
        <v>1732</v>
      </c>
      <c r="BB1137" t="s">
        <v>1733</v>
      </c>
      <c r="BC1137" t="s">
        <v>115</v>
      </c>
      <c r="BD1137" t="s">
        <v>115</v>
      </c>
      <c r="BE1137" t="s">
        <v>822</v>
      </c>
      <c r="BF1137" t="s">
        <v>115</v>
      </c>
      <c r="BG1137" t="s">
        <v>115</v>
      </c>
      <c r="BH1137" t="s">
        <v>1734</v>
      </c>
      <c r="BI1137" t="s">
        <v>709</v>
      </c>
      <c r="BJ1137" t="s">
        <v>709</v>
      </c>
      <c r="BK1137" t="s">
        <v>709</v>
      </c>
      <c r="BL1137" t="s">
        <v>709</v>
      </c>
      <c r="BM1137" t="s">
        <v>709</v>
      </c>
      <c r="BN1137" t="s">
        <v>709</v>
      </c>
      <c r="BO1137" t="s">
        <v>709</v>
      </c>
      <c r="BP1137" t="s">
        <v>709</v>
      </c>
      <c r="BQ1137" t="s">
        <v>709</v>
      </c>
      <c r="BR1137" t="s">
        <v>709</v>
      </c>
      <c r="BS1137">
        <v>247</v>
      </c>
      <c r="BT1137" t="s">
        <v>745</v>
      </c>
      <c r="BU1137" t="s">
        <v>709</v>
      </c>
      <c r="BV1137" t="s">
        <v>745</v>
      </c>
      <c r="BW1137" t="s">
        <v>709</v>
      </c>
      <c r="BX1137" t="s">
        <v>745</v>
      </c>
      <c r="BY1137" t="s">
        <v>745</v>
      </c>
      <c r="BZ1137" t="s">
        <v>709</v>
      </c>
      <c r="CB1137">
        <v>1134</v>
      </c>
      <c r="CC1137" t="b">
        <v>1</v>
      </c>
      <c r="CD1137" t="s">
        <v>6212</v>
      </c>
      <c r="CE1137" s="1482">
        <v>45880.73878472222</v>
      </c>
    </row>
    <row r="1138" spans="1:83" x14ac:dyDescent="0.25">
      <c r="A1138">
        <v>2024</v>
      </c>
      <c r="B1138" t="s">
        <v>1205</v>
      </c>
      <c r="C1138" t="s">
        <v>1735</v>
      </c>
      <c r="D1138" t="s">
        <v>1736</v>
      </c>
      <c r="E1138" t="s">
        <v>818</v>
      </c>
      <c r="F1138" t="s">
        <v>851</v>
      </c>
      <c r="G1138" t="s">
        <v>36</v>
      </c>
      <c r="H1138" t="s">
        <v>59</v>
      </c>
      <c r="I1138">
        <v>45307</v>
      </c>
      <c r="J1138">
        <v>45377</v>
      </c>
      <c r="K1138">
        <v>45358</v>
      </c>
      <c r="L1138">
        <v>19</v>
      </c>
      <c r="N1138" t="s">
        <v>120</v>
      </c>
      <c r="O1138">
        <v>45352</v>
      </c>
      <c r="P1138" t="s">
        <v>739</v>
      </c>
      <c r="Q1138">
        <v>18967.2948</v>
      </c>
      <c r="R1138">
        <v>0.09</v>
      </c>
      <c r="V1138">
        <v>1051</v>
      </c>
      <c r="W1138">
        <v>0</v>
      </c>
      <c r="X1138">
        <v>210747.72</v>
      </c>
      <c r="Y1138">
        <v>0</v>
      </c>
      <c r="Z1138">
        <v>0</v>
      </c>
      <c r="AA1138">
        <v>210747.72</v>
      </c>
      <c r="AB1138">
        <v>45370</v>
      </c>
      <c r="AC1138" t="s">
        <v>709</v>
      </c>
      <c r="AD1138" t="s">
        <v>116</v>
      </c>
      <c r="AE1138" t="s">
        <v>116</v>
      </c>
      <c r="AF1138" t="s">
        <v>116</v>
      </c>
      <c r="AG1138" t="s">
        <v>116</v>
      </c>
      <c r="AH1138" t="s">
        <v>116</v>
      </c>
      <c r="AI1138">
        <v>0</v>
      </c>
      <c r="AJ1138">
        <v>630</v>
      </c>
      <c r="AK1138">
        <v>8249.5</v>
      </c>
      <c r="AL1138">
        <v>0.46814794063305221</v>
      </c>
      <c r="AM1138" t="s">
        <v>116</v>
      </c>
      <c r="AN1138">
        <v>45510</v>
      </c>
      <c r="AO1138">
        <v>11088785</v>
      </c>
      <c r="AP1138">
        <v>209305.33</v>
      </c>
      <c r="AR1138">
        <v>0</v>
      </c>
      <c r="AS1138">
        <v>209305.33</v>
      </c>
      <c r="AT1138">
        <v>-1442.39</v>
      </c>
      <c r="AU1138">
        <v>-129.8151</v>
      </c>
      <c r="AV1138">
        <v>0</v>
      </c>
      <c r="AW1138" t="s">
        <v>6213</v>
      </c>
      <c r="AX1138">
        <v>-129.8151</v>
      </c>
      <c r="AY1138">
        <v>45901</v>
      </c>
      <c r="AZ1138">
        <v>52</v>
      </c>
      <c r="BA1138" t="s">
        <v>1737</v>
      </c>
      <c r="BB1138" t="s">
        <v>1738</v>
      </c>
      <c r="BC1138" t="s">
        <v>116</v>
      </c>
      <c r="BD1138" t="s">
        <v>115</v>
      </c>
      <c r="BE1138" t="s">
        <v>822</v>
      </c>
      <c r="BF1138" t="s">
        <v>115</v>
      </c>
      <c r="BG1138" t="s">
        <v>115</v>
      </c>
      <c r="BH1138" t="s">
        <v>1739</v>
      </c>
      <c r="BI1138" t="s">
        <v>709</v>
      </c>
      <c r="BJ1138" t="s">
        <v>709</v>
      </c>
      <c r="BK1138" t="s">
        <v>709</v>
      </c>
      <c r="BL1138" t="s">
        <v>116</v>
      </c>
      <c r="BM1138" t="s">
        <v>709</v>
      </c>
      <c r="BN1138" t="s">
        <v>709</v>
      </c>
      <c r="BO1138" t="s">
        <v>709</v>
      </c>
      <c r="BP1138" t="s">
        <v>709</v>
      </c>
      <c r="BQ1138" t="s">
        <v>709</v>
      </c>
      <c r="BR1138" t="s">
        <v>709</v>
      </c>
      <c r="BS1138">
        <v>1051</v>
      </c>
      <c r="BT1138" t="s">
        <v>709</v>
      </c>
      <c r="BU1138" t="s">
        <v>709</v>
      </c>
      <c r="BV1138" t="s">
        <v>709</v>
      </c>
      <c r="BW1138" t="s">
        <v>709</v>
      </c>
      <c r="BX1138" t="s">
        <v>709</v>
      </c>
      <c r="BY1138" t="s">
        <v>709</v>
      </c>
      <c r="BZ1138" t="s">
        <v>709</v>
      </c>
      <c r="CB1138">
        <v>1136</v>
      </c>
      <c r="CC1138" t="b">
        <v>1</v>
      </c>
      <c r="CD1138" t="s">
        <v>6214</v>
      </c>
      <c r="CE1138" s="1482">
        <v>45880.73878472222</v>
      </c>
    </row>
    <row r="1139" spans="1:83" x14ac:dyDescent="0.25">
      <c r="A1139">
        <v>2024</v>
      </c>
      <c r="B1139" t="s">
        <v>4</v>
      </c>
      <c r="C1139" t="s">
        <v>6215</v>
      </c>
      <c r="D1139" t="s">
        <v>6216</v>
      </c>
      <c r="E1139" t="s">
        <v>850</v>
      </c>
      <c r="F1139" t="s">
        <v>851</v>
      </c>
      <c r="G1139" t="s">
        <v>28</v>
      </c>
      <c r="H1139" t="s">
        <v>1681</v>
      </c>
      <c r="I1139">
        <v>45089</v>
      </c>
      <c r="J1139">
        <v>45387</v>
      </c>
      <c r="K1139">
        <v>45358</v>
      </c>
      <c r="L1139">
        <v>29</v>
      </c>
      <c r="N1139" t="s">
        <v>120</v>
      </c>
      <c r="O1139">
        <v>45352</v>
      </c>
      <c r="P1139" t="s">
        <v>739</v>
      </c>
      <c r="Q1139" t="s">
        <v>115</v>
      </c>
      <c r="R1139" t="s">
        <v>115</v>
      </c>
      <c r="AB1139" t="s">
        <v>29</v>
      </c>
      <c r="AC1139" t="s">
        <v>29</v>
      </c>
      <c r="AD1139" t="s">
        <v>29</v>
      </c>
      <c r="AE1139" t="s">
        <v>116</v>
      </c>
      <c r="AF1139" t="s">
        <v>756</v>
      </c>
      <c r="AG1139" t="s">
        <v>29</v>
      </c>
      <c r="AH1139">
        <v>45406</v>
      </c>
      <c r="AM1139" t="s">
        <v>709</v>
      </c>
      <c r="AY1139" t="s">
        <v>29</v>
      </c>
      <c r="BA1139" t="s">
        <v>6217</v>
      </c>
      <c r="BB1139" t="s">
        <v>870</v>
      </c>
      <c r="BC1139" t="s">
        <v>116</v>
      </c>
      <c r="BD1139" t="s">
        <v>862</v>
      </c>
      <c r="BE1139" t="s">
        <v>6218</v>
      </c>
      <c r="BF1139" t="s">
        <v>3639</v>
      </c>
      <c r="BG1139" t="s">
        <v>709</v>
      </c>
      <c r="BH1139" t="s">
        <v>6219</v>
      </c>
      <c r="CA1139" t="s">
        <v>915</v>
      </c>
      <c r="CB1139">
        <v>1137</v>
      </c>
      <c r="CC1139" t="b">
        <v>1</v>
      </c>
      <c r="CD1139" t="s">
        <v>6220</v>
      </c>
      <c r="CE1139" s="1482">
        <v>45880.73878472222</v>
      </c>
    </row>
    <row r="1140" spans="1:83" x14ac:dyDescent="0.25">
      <c r="A1140">
        <v>2024</v>
      </c>
      <c r="B1140" t="s">
        <v>771</v>
      </c>
      <c r="C1140" t="s">
        <v>1740</v>
      </c>
      <c r="D1140" t="s">
        <v>1741</v>
      </c>
      <c r="E1140" t="s">
        <v>104</v>
      </c>
      <c r="F1140" t="s">
        <v>784</v>
      </c>
      <c r="G1140" t="s">
        <v>36</v>
      </c>
      <c r="H1140" t="s">
        <v>59</v>
      </c>
      <c r="I1140">
        <v>44946</v>
      </c>
      <c r="J1140">
        <v>45366</v>
      </c>
      <c r="K1140">
        <v>45359</v>
      </c>
      <c r="L1140">
        <v>7</v>
      </c>
      <c r="N1140" t="s">
        <v>120</v>
      </c>
      <c r="O1140">
        <v>45352</v>
      </c>
      <c r="P1140" t="s">
        <v>120</v>
      </c>
      <c r="Q1140">
        <v>265333.7268</v>
      </c>
      <c r="R1140">
        <v>0.06</v>
      </c>
      <c r="V1140">
        <v>8803</v>
      </c>
      <c r="W1140">
        <v>0</v>
      </c>
      <c r="X1140">
        <v>4101169.29</v>
      </c>
      <c r="Z1140">
        <v>321059.49</v>
      </c>
      <c r="AA1140">
        <v>4422228.78</v>
      </c>
      <c r="AB1140">
        <v>45369</v>
      </c>
      <c r="AC1140" t="s">
        <v>709</v>
      </c>
      <c r="AD1140" t="s">
        <v>116</v>
      </c>
      <c r="AE1140" t="s">
        <v>116</v>
      </c>
      <c r="AF1140" t="s">
        <v>116</v>
      </c>
      <c r="AG1140" t="s">
        <v>116</v>
      </c>
      <c r="AH1140" t="s">
        <v>116</v>
      </c>
      <c r="AI1140">
        <v>0</v>
      </c>
      <c r="AJ1140">
        <v>0</v>
      </c>
      <c r="AK1140">
        <v>0</v>
      </c>
      <c r="AL1140">
        <v>0</v>
      </c>
      <c r="AM1140" t="s">
        <v>116</v>
      </c>
      <c r="AN1140" t="s">
        <v>709</v>
      </c>
      <c r="AS1140">
        <v>0</v>
      </c>
      <c r="AT1140">
        <v>0</v>
      </c>
      <c r="AU1140">
        <v>0</v>
      </c>
      <c r="AY1140" t="s">
        <v>709</v>
      </c>
      <c r="AZ1140">
        <v>8</v>
      </c>
      <c r="BA1140" t="s">
        <v>1742</v>
      </c>
      <c r="BB1140" t="s">
        <v>1743</v>
      </c>
      <c r="BC1140" t="s">
        <v>116</v>
      </c>
      <c r="BD1140" t="s">
        <v>115</v>
      </c>
      <c r="BE1140" t="s">
        <v>1232</v>
      </c>
      <c r="BF1140" t="s">
        <v>115</v>
      </c>
      <c r="BG1140" t="s">
        <v>1480</v>
      </c>
      <c r="BH1140" t="s">
        <v>1744</v>
      </c>
      <c r="BI1140" t="s">
        <v>709</v>
      </c>
      <c r="BJ1140" t="s">
        <v>709</v>
      </c>
      <c r="BK1140" t="s">
        <v>709</v>
      </c>
      <c r="BL1140" t="s">
        <v>116</v>
      </c>
      <c r="BM1140" t="s">
        <v>709</v>
      </c>
      <c r="BN1140">
        <v>2784</v>
      </c>
      <c r="BO1140" t="s">
        <v>709</v>
      </c>
      <c r="BP1140">
        <v>3955</v>
      </c>
      <c r="BQ1140" t="s">
        <v>709</v>
      </c>
      <c r="BR1140">
        <v>1221</v>
      </c>
      <c r="BS1140">
        <v>843</v>
      </c>
      <c r="BT1140" t="s">
        <v>709</v>
      </c>
      <c r="BU1140" t="s">
        <v>709</v>
      </c>
      <c r="BV1140" t="s">
        <v>709</v>
      </c>
      <c r="BW1140" t="s">
        <v>709</v>
      </c>
      <c r="BX1140" t="s">
        <v>709</v>
      </c>
      <c r="BY1140" t="s">
        <v>709</v>
      </c>
      <c r="BZ1140" t="s">
        <v>709</v>
      </c>
      <c r="CA1140" t="s">
        <v>1745</v>
      </c>
      <c r="CB1140">
        <v>1138</v>
      </c>
      <c r="CC1140" t="b">
        <v>1</v>
      </c>
      <c r="CD1140" t="s">
        <v>6221</v>
      </c>
      <c r="CE1140" s="1482">
        <v>45880.73878472222</v>
      </c>
    </row>
    <row r="1141" spans="1:83" ht="195" x14ac:dyDescent="0.25">
      <c r="A1141">
        <v>2024</v>
      </c>
      <c r="B1141" t="s">
        <v>4</v>
      </c>
      <c r="C1141" t="s">
        <v>1746</v>
      </c>
      <c r="D1141" t="s">
        <v>1747</v>
      </c>
      <c r="E1141" t="s">
        <v>1748</v>
      </c>
      <c r="F1141" t="s">
        <v>784</v>
      </c>
      <c r="G1141" t="s">
        <v>31</v>
      </c>
      <c r="H1141" t="s">
        <v>59</v>
      </c>
      <c r="I1141">
        <v>45252</v>
      </c>
      <c r="J1141">
        <v>45380</v>
      </c>
      <c r="K1141">
        <v>45363</v>
      </c>
      <c r="L1141">
        <v>17</v>
      </c>
      <c r="N1141" t="s">
        <v>120</v>
      </c>
      <c r="O1141">
        <v>45352</v>
      </c>
      <c r="P1141" t="s">
        <v>739</v>
      </c>
      <c r="Q1141">
        <v>29913.794000000002</v>
      </c>
      <c r="R1141">
        <v>0.1</v>
      </c>
      <c r="V1141">
        <v>285</v>
      </c>
      <c r="W1141">
        <v>0</v>
      </c>
      <c r="X1141">
        <v>211063.84</v>
      </c>
      <c r="Z1141">
        <v>88074.1</v>
      </c>
      <c r="AA1141">
        <v>299137.94</v>
      </c>
      <c r="AB1141">
        <v>45334</v>
      </c>
      <c r="AC1141" t="s">
        <v>709</v>
      </c>
      <c r="AE1141" t="s">
        <v>116</v>
      </c>
      <c r="AF1141" t="s">
        <v>756</v>
      </c>
      <c r="AG1141">
        <v>45371</v>
      </c>
      <c r="AH1141">
        <v>45371</v>
      </c>
      <c r="AI1141">
        <v>0</v>
      </c>
      <c r="AJ1141">
        <v>2955.65</v>
      </c>
      <c r="AK1141">
        <v>5344.5</v>
      </c>
      <c r="AL1141">
        <v>0.27746898303839357</v>
      </c>
      <c r="AM1141" t="s">
        <v>116</v>
      </c>
      <c r="AN1141">
        <v>45588</v>
      </c>
      <c r="AO1141">
        <v>11092776</v>
      </c>
      <c r="AP1141">
        <v>214239.4</v>
      </c>
      <c r="AR1141">
        <v>89523.07</v>
      </c>
      <c r="AS1141">
        <v>303762.46999999997</v>
      </c>
      <c r="AT1141">
        <v>4624.53</v>
      </c>
      <c r="AU1141">
        <v>462.45299999999997</v>
      </c>
      <c r="AV1141">
        <v>10522.5</v>
      </c>
      <c r="AW1141" t="s">
        <v>6222</v>
      </c>
      <c r="AX1141">
        <v>0</v>
      </c>
      <c r="AY1141">
        <v>45901</v>
      </c>
      <c r="AZ1141">
        <v>130</v>
      </c>
      <c r="BA1141" s="4" t="s">
        <v>1749</v>
      </c>
      <c r="BB1141" t="s">
        <v>1750</v>
      </c>
      <c r="BC1141" t="s">
        <v>116</v>
      </c>
      <c r="BD1141" t="s">
        <v>6223</v>
      </c>
      <c r="BE1141" s="4" t="s">
        <v>1752</v>
      </c>
      <c r="BF1141" t="s">
        <v>115</v>
      </c>
      <c r="BG1141" t="s">
        <v>1753</v>
      </c>
      <c r="BH1141" t="s">
        <v>1754</v>
      </c>
      <c r="BI1141" t="s">
        <v>709</v>
      </c>
      <c r="BJ1141" t="s">
        <v>709</v>
      </c>
      <c r="BK1141" t="s">
        <v>709</v>
      </c>
      <c r="BL1141" t="s">
        <v>116</v>
      </c>
      <c r="BM1141" t="s">
        <v>709</v>
      </c>
      <c r="BN1141" t="s">
        <v>709</v>
      </c>
      <c r="BO1141" t="s">
        <v>709</v>
      </c>
      <c r="BP1141" t="s">
        <v>709</v>
      </c>
      <c r="BQ1141" t="s">
        <v>709</v>
      </c>
      <c r="BR1141">
        <v>285</v>
      </c>
      <c r="BS1141" t="s">
        <v>709</v>
      </c>
      <c r="BT1141" t="s">
        <v>745</v>
      </c>
      <c r="BU1141" t="s">
        <v>709</v>
      </c>
      <c r="BV1141" t="s">
        <v>745</v>
      </c>
      <c r="BW1141" t="s">
        <v>709</v>
      </c>
      <c r="BX1141" t="s">
        <v>745</v>
      </c>
      <c r="BY1141" t="s">
        <v>745</v>
      </c>
      <c r="BZ1141" t="s">
        <v>709</v>
      </c>
      <c r="CA1141" t="s">
        <v>29</v>
      </c>
      <c r="CB1141">
        <v>1139</v>
      </c>
      <c r="CC1141" t="b">
        <v>1</v>
      </c>
      <c r="CD1141" t="s">
        <v>6224</v>
      </c>
      <c r="CE1141" s="1482">
        <v>45880.73878472222</v>
      </c>
    </row>
    <row r="1142" spans="1:83" ht="255" x14ac:dyDescent="0.25">
      <c r="A1142">
        <v>2025</v>
      </c>
      <c r="B1142" t="s">
        <v>4</v>
      </c>
      <c r="C1142" t="s">
        <v>6225</v>
      </c>
      <c r="D1142" t="s">
        <v>115</v>
      </c>
      <c r="E1142" t="s">
        <v>910</v>
      </c>
      <c r="F1142" t="s">
        <v>784</v>
      </c>
      <c r="G1142" t="s">
        <v>25</v>
      </c>
      <c r="H1142" t="s">
        <v>1681</v>
      </c>
      <c r="I1142">
        <v>45321</v>
      </c>
      <c r="J1142">
        <v>45429</v>
      </c>
      <c r="K1142">
        <v>45364</v>
      </c>
      <c r="L1142">
        <v>65</v>
      </c>
      <c r="N1142" t="s">
        <v>120</v>
      </c>
      <c r="O1142">
        <v>45352</v>
      </c>
      <c r="P1142" t="s">
        <v>739</v>
      </c>
      <c r="Q1142" t="s">
        <v>115</v>
      </c>
      <c r="R1142" t="s">
        <v>115</v>
      </c>
      <c r="AB1142" t="s">
        <v>29</v>
      </c>
      <c r="AC1142" t="s">
        <v>29</v>
      </c>
      <c r="AD1142" t="s">
        <v>29</v>
      </c>
      <c r="AE1142" t="s">
        <v>756</v>
      </c>
      <c r="AF1142" t="s">
        <v>29</v>
      </c>
      <c r="AG1142" t="s">
        <v>29</v>
      </c>
      <c r="AH1142">
        <v>45475</v>
      </c>
      <c r="AM1142" t="s">
        <v>709</v>
      </c>
      <c r="AY1142" t="s">
        <v>29</v>
      </c>
      <c r="BA1142" s="4" t="s">
        <v>1125</v>
      </c>
      <c r="BB1142" t="s">
        <v>912</v>
      </c>
      <c r="BC1142" t="s">
        <v>116</v>
      </c>
      <c r="BD1142" t="s">
        <v>709</v>
      </c>
      <c r="BE1142" t="s">
        <v>913</v>
      </c>
      <c r="BF1142" t="s">
        <v>709</v>
      </c>
      <c r="BG1142" t="s">
        <v>709</v>
      </c>
      <c r="BH1142" t="s">
        <v>6226</v>
      </c>
      <c r="CA1142" t="s">
        <v>915</v>
      </c>
      <c r="CB1142">
        <v>1140</v>
      </c>
      <c r="CC1142" t="b">
        <v>1</v>
      </c>
      <c r="CD1142" t="s">
        <v>6227</v>
      </c>
      <c r="CE1142" s="1482">
        <v>45880.738796296297</v>
      </c>
    </row>
    <row r="1143" spans="1:83" x14ac:dyDescent="0.25">
      <c r="A1143">
        <v>2024</v>
      </c>
      <c r="B1143" t="s">
        <v>4</v>
      </c>
      <c r="C1143" t="s">
        <v>1030</v>
      </c>
      <c r="D1143" t="s">
        <v>6228</v>
      </c>
      <c r="E1143" t="s">
        <v>1032</v>
      </c>
      <c r="F1143" t="s">
        <v>747</v>
      </c>
      <c r="G1143" t="s">
        <v>31</v>
      </c>
      <c r="H1143" t="s">
        <v>59</v>
      </c>
      <c r="I1143">
        <v>45177</v>
      </c>
      <c r="J1143">
        <v>45371</v>
      </c>
      <c r="K1143">
        <v>45369</v>
      </c>
      <c r="L1143">
        <v>2</v>
      </c>
      <c r="N1143" t="s">
        <v>120</v>
      </c>
      <c r="O1143">
        <v>45352</v>
      </c>
      <c r="P1143" t="s">
        <v>739</v>
      </c>
      <c r="Q1143">
        <v>342513.63299999997</v>
      </c>
      <c r="R1143">
        <v>0.1</v>
      </c>
      <c r="V1143">
        <v>12027</v>
      </c>
      <c r="W1143">
        <v>1</v>
      </c>
      <c r="X1143">
        <v>3142203.6</v>
      </c>
      <c r="Z1143">
        <v>282932.73</v>
      </c>
      <c r="AA1143">
        <v>3425136.33</v>
      </c>
      <c r="AB1143">
        <v>45349</v>
      </c>
      <c r="AC1143" t="s">
        <v>116</v>
      </c>
      <c r="AD1143" t="s">
        <v>29</v>
      </c>
      <c r="AE1143" t="s">
        <v>756</v>
      </c>
      <c r="AF1143" t="s">
        <v>756</v>
      </c>
      <c r="AG1143">
        <v>45371</v>
      </c>
      <c r="AH1143">
        <v>45371</v>
      </c>
      <c r="AI1143">
        <v>5950</v>
      </c>
      <c r="AJ1143">
        <v>7300</v>
      </c>
      <c r="AK1143">
        <v>3031</v>
      </c>
      <c r="AL1143">
        <v>4.7533874366980304E-2</v>
      </c>
      <c r="AM1143" t="s">
        <v>116</v>
      </c>
      <c r="AN1143">
        <v>45447</v>
      </c>
      <c r="AO1143">
        <v>11082654</v>
      </c>
      <c r="AP1143">
        <v>3406471.77</v>
      </c>
      <c r="AR1143">
        <v>339987.06</v>
      </c>
      <c r="AS1143">
        <v>3746458.83</v>
      </c>
      <c r="AT1143">
        <v>321322.5</v>
      </c>
      <c r="AU1143">
        <v>32132.25</v>
      </c>
      <c r="AV1143">
        <v>15295</v>
      </c>
      <c r="AW1143" t="s">
        <v>1033</v>
      </c>
      <c r="AX1143">
        <v>0</v>
      </c>
      <c r="AY1143">
        <v>45566</v>
      </c>
      <c r="AZ1143">
        <v>131</v>
      </c>
      <c r="BA1143" t="s">
        <v>1034</v>
      </c>
      <c r="BB1143" t="s">
        <v>1035</v>
      </c>
      <c r="BC1143" t="s">
        <v>116</v>
      </c>
      <c r="BD1143" t="s">
        <v>1036</v>
      </c>
      <c r="BE1143" t="s">
        <v>1037</v>
      </c>
      <c r="BF1143" t="s">
        <v>115</v>
      </c>
      <c r="BG1143" t="s">
        <v>1038</v>
      </c>
      <c r="BH1143" t="s">
        <v>1039</v>
      </c>
      <c r="BI1143" t="s">
        <v>709</v>
      </c>
      <c r="BJ1143" t="s">
        <v>116</v>
      </c>
      <c r="BK1143" t="s">
        <v>709</v>
      </c>
      <c r="BL1143" t="s">
        <v>116</v>
      </c>
      <c r="BM1143" t="s">
        <v>709</v>
      </c>
      <c r="BN1143" t="s">
        <v>709</v>
      </c>
      <c r="BO1143" t="s">
        <v>709</v>
      </c>
      <c r="BP1143">
        <v>5032</v>
      </c>
      <c r="BQ1143">
        <v>5981</v>
      </c>
      <c r="BR1143">
        <v>872</v>
      </c>
      <c r="BS1143">
        <v>30</v>
      </c>
      <c r="BT1143" t="s">
        <v>116</v>
      </c>
      <c r="BU1143" t="s">
        <v>116</v>
      </c>
      <c r="BV1143" t="s">
        <v>116</v>
      </c>
      <c r="BW1143" t="s">
        <v>709</v>
      </c>
      <c r="BX1143" t="s">
        <v>116</v>
      </c>
      <c r="BY1143" t="s">
        <v>745</v>
      </c>
      <c r="BZ1143" t="s">
        <v>709</v>
      </c>
      <c r="CA1143" t="s">
        <v>1040</v>
      </c>
      <c r="CB1143">
        <v>1141</v>
      </c>
      <c r="CC1143" t="b">
        <v>1</v>
      </c>
      <c r="CD1143" t="s">
        <v>6229</v>
      </c>
      <c r="CE1143" s="1482">
        <v>45880.738796296297</v>
      </c>
    </row>
    <row r="1144" spans="1:83" ht="360" x14ac:dyDescent="0.25">
      <c r="A1144">
        <v>2024</v>
      </c>
      <c r="B1144" t="s">
        <v>4</v>
      </c>
      <c r="C1144" t="s">
        <v>1755</v>
      </c>
      <c r="D1144" t="s">
        <v>1756</v>
      </c>
      <c r="E1144" t="s">
        <v>239</v>
      </c>
      <c r="F1144" t="s">
        <v>1757</v>
      </c>
      <c r="G1144" t="s">
        <v>26</v>
      </c>
      <c r="H1144" t="s">
        <v>59</v>
      </c>
      <c r="I1144">
        <v>45233</v>
      </c>
      <c r="J1144">
        <v>45369</v>
      </c>
      <c r="K1144">
        <v>45369</v>
      </c>
      <c r="L1144">
        <v>0</v>
      </c>
      <c r="N1144" t="s">
        <v>120</v>
      </c>
      <c r="O1144">
        <v>45352</v>
      </c>
      <c r="P1144" t="s">
        <v>739</v>
      </c>
      <c r="Q1144">
        <v>92635.680999999997</v>
      </c>
      <c r="R1144">
        <v>0.1</v>
      </c>
      <c r="V1144">
        <v>2927</v>
      </c>
      <c r="W1144">
        <v>0</v>
      </c>
      <c r="X1144">
        <v>818439.95</v>
      </c>
      <c r="Z1144">
        <v>107916.86</v>
      </c>
      <c r="AA1144">
        <v>926356.81</v>
      </c>
      <c r="AB1144">
        <v>45366</v>
      </c>
      <c r="AC1144" t="s">
        <v>709</v>
      </c>
      <c r="AD1144" t="s">
        <v>29</v>
      </c>
      <c r="AE1144" t="s">
        <v>756</v>
      </c>
      <c r="AF1144" t="s">
        <v>116</v>
      </c>
      <c r="AG1144" t="s">
        <v>376</v>
      </c>
      <c r="AH1144">
        <v>45406</v>
      </c>
      <c r="AI1144" t="s">
        <v>6230</v>
      </c>
      <c r="AJ1144">
        <v>10040</v>
      </c>
      <c r="AK1144">
        <v>7499.5</v>
      </c>
      <c r="AL1144">
        <v>0.18933849042465614</v>
      </c>
      <c r="AM1144" t="s">
        <v>116</v>
      </c>
      <c r="AN1144">
        <v>45741</v>
      </c>
      <c r="AO1144">
        <v>11100501</v>
      </c>
      <c r="AP1144">
        <v>834213.38</v>
      </c>
      <c r="AR1144">
        <v>111023.94</v>
      </c>
      <c r="AS1144">
        <v>945237.32</v>
      </c>
      <c r="AT1144">
        <v>18880.509999999998</v>
      </c>
      <c r="AU1144">
        <v>1888.0509999999999</v>
      </c>
      <c r="AV1144">
        <v>0</v>
      </c>
      <c r="AW1144" t="s">
        <v>6231</v>
      </c>
      <c r="AX1144">
        <v>1888.0509999999999</v>
      </c>
      <c r="AY1144">
        <v>45901</v>
      </c>
      <c r="AZ1144">
        <v>132</v>
      </c>
      <c r="BA1144" s="4" t="s">
        <v>1758</v>
      </c>
      <c r="BB1144" t="s">
        <v>805</v>
      </c>
      <c r="BC1144" t="s">
        <v>116</v>
      </c>
      <c r="BD1144" t="s">
        <v>115</v>
      </c>
      <c r="BE1144" t="s">
        <v>807</v>
      </c>
      <c r="BF1144" t="s">
        <v>115</v>
      </c>
      <c r="BG1144" t="s">
        <v>1759</v>
      </c>
      <c r="BH1144" t="s">
        <v>1760</v>
      </c>
      <c r="BI1144" t="s">
        <v>709</v>
      </c>
      <c r="BJ1144" t="s">
        <v>709</v>
      </c>
      <c r="BK1144" t="s">
        <v>709</v>
      </c>
      <c r="BL1144" t="s">
        <v>116</v>
      </c>
      <c r="BM1144" t="s">
        <v>709</v>
      </c>
      <c r="BN1144" t="s">
        <v>709</v>
      </c>
      <c r="BO1144" t="s">
        <v>709</v>
      </c>
      <c r="BP1144" t="s">
        <v>709</v>
      </c>
      <c r="BQ1144">
        <v>86</v>
      </c>
      <c r="BR1144">
        <v>242</v>
      </c>
      <c r="BS1144">
        <v>2599</v>
      </c>
      <c r="BT1144" t="s">
        <v>709</v>
      </c>
      <c r="BU1144" t="s">
        <v>709</v>
      </c>
      <c r="BV1144" t="s">
        <v>709</v>
      </c>
      <c r="BW1144" t="s">
        <v>709</v>
      </c>
      <c r="BX1144" t="s">
        <v>709</v>
      </c>
      <c r="BY1144" t="s">
        <v>709</v>
      </c>
      <c r="BZ1144" t="s">
        <v>709</v>
      </c>
      <c r="CB1144">
        <v>1142</v>
      </c>
      <c r="CC1144" t="b">
        <v>1</v>
      </c>
      <c r="CD1144" t="s">
        <v>6232</v>
      </c>
      <c r="CE1144" s="1482">
        <v>45880.738796296297</v>
      </c>
    </row>
    <row r="1145" spans="1:83" x14ac:dyDescent="0.25">
      <c r="A1145">
        <v>2024</v>
      </c>
      <c r="B1145" t="s">
        <v>730</v>
      </c>
      <c r="C1145" t="s">
        <v>332</v>
      </c>
      <c r="D1145" t="s">
        <v>5193</v>
      </c>
      <c r="E1145" t="s">
        <v>239</v>
      </c>
      <c r="F1145" t="s">
        <v>752</v>
      </c>
      <c r="G1145" t="s">
        <v>32</v>
      </c>
      <c r="H1145" t="s">
        <v>4462</v>
      </c>
      <c r="I1145">
        <v>45364</v>
      </c>
      <c r="J1145" t="s">
        <v>2052</v>
      </c>
      <c r="K1145">
        <v>45370</v>
      </c>
      <c r="L1145">
        <v>6</v>
      </c>
      <c r="M1145" t="s">
        <v>6233</v>
      </c>
      <c r="N1145" t="s">
        <v>120</v>
      </c>
      <c r="O1145">
        <v>45375</v>
      </c>
      <c r="P1145" t="s">
        <v>120</v>
      </c>
      <c r="Q1145" t="s">
        <v>115</v>
      </c>
      <c r="R1145" t="s">
        <v>115</v>
      </c>
      <c r="AB1145" t="s">
        <v>29</v>
      </c>
      <c r="AC1145" t="s">
        <v>709</v>
      </c>
      <c r="AD1145" t="s">
        <v>29</v>
      </c>
      <c r="AE1145" t="s">
        <v>29</v>
      </c>
      <c r="AF1145" t="s">
        <v>29</v>
      </c>
      <c r="AG1145" t="s">
        <v>29</v>
      </c>
      <c r="AH1145" t="s">
        <v>29</v>
      </c>
      <c r="AM1145" t="s">
        <v>709</v>
      </c>
      <c r="AY1145" t="s">
        <v>29</v>
      </c>
      <c r="BA1145" t="s">
        <v>4919</v>
      </c>
      <c r="BB1145" t="s">
        <v>6234</v>
      </c>
      <c r="BH1145" t="s">
        <v>6235</v>
      </c>
      <c r="BI1145" t="s">
        <v>709</v>
      </c>
      <c r="BJ1145" t="s">
        <v>116</v>
      </c>
      <c r="BK1145" t="s">
        <v>709</v>
      </c>
      <c r="BL1145" t="s">
        <v>116</v>
      </c>
      <c r="BM1145">
        <v>0</v>
      </c>
      <c r="BN1145">
        <v>0</v>
      </c>
      <c r="BO1145">
        <v>0</v>
      </c>
      <c r="BP1145">
        <v>0</v>
      </c>
      <c r="BQ1145">
        <v>0</v>
      </c>
      <c r="BR1145">
        <v>0</v>
      </c>
      <c r="BS1145">
        <v>384</v>
      </c>
      <c r="BT1145">
        <v>0</v>
      </c>
      <c r="BU1145">
        <v>1</v>
      </c>
      <c r="BV1145">
        <v>0</v>
      </c>
      <c r="BW1145">
        <v>0</v>
      </c>
      <c r="BX1145">
        <v>1</v>
      </c>
      <c r="BY1145">
        <v>0</v>
      </c>
      <c r="BZ1145" t="s">
        <v>709</v>
      </c>
      <c r="CB1145">
        <v>1143</v>
      </c>
      <c r="CC1145" t="b">
        <v>1</v>
      </c>
      <c r="CD1145" t="s">
        <v>6236</v>
      </c>
      <c r="CE1145" s="1482">
        <v>45880.738796296297</v>
      </c>
    </row>
    <row r="1146" spans="1:83" x14ac:dyDescent="0.25">
      <c r="A1146">
        <v>2024</v>
      </c>
      <c r="B1146" t="s">
        <v>1073</v>
      </c>
      <c r="C1146" t="s">
        <v>1074</v>
      </c>
      <c r="D1146" t="s">
        <v>1075</v>
      </c>
      <c r="E1146" t="s">
        <v>818</v>
      </c>
      <c r="F1146" t="s">
        <v>851</v>
      </c>
      <c r="G1146" t="s">
        <v>36</v>
      </c>
      <c r="H1146" t="s">
        <v>59</v>
      </c>
      <c r="I1146">
        <v>45307</v>
      </c>
      <c r="J1146">
        <v>45377</v>
      </c>
      <c r="K1146">
        <v>45371</v>
      </c>
      <c r="L1146">
        <v>6</v>
      </c>
      <c r="N1146" t="s">
        <v>120</v>
      </c>
      <c r="O1146">
        <v>45352</v>
      </c>
      <c r="P1146" t="s">
        <v>739</v>
      </c>
      <c r="Q1146">
        <v>29150.774399999998</v>
      </c>
      <c r="R1146">
        <v>0.08</v>
      </c>
      <c r="V1146">
        <v>2138</v>
      </c>
      <c r="W1146">
        <v>0</v>
      </c>
      <c r="X1146">
        <v>364384.68</v>
      </c>
      <c r="Z1146">
        <v>0</v>
      </c>
      <c r="AA1146">
        <v>364384.68</v>
      </c>
      <c r="AB1146">
        <v>45371</v>
      </c>
      <c r="AC1146" t="s">
        <v>709</v>
      </c>
      <c r="AD1146" t="s">
        <v>29</v>
      </c>
      <c r="AE1146" t="s">
        <v>116</v>
      </c>
      <c r="AF1146" t="s">
        <v>116</v>
      </c>
      <c r="AG1146" t="s">
        <v>116</v>
      </c>
      <c r="AH1146" t="s">
        <v>116</v>
      </c>
      <c r="AI1146">
        <v>0</v>
      </c>
      <c r="AJ1146">
        <v>0</v>
      </c>
      <c r="AK1146">
        <v>6332</v>
      </c>
      <c r="AL1146">
        <v>0.21721549874160462</v>
      </c>
      <c r="AM1146" t="s">
        <v>116</v>
      </c>
      <c r="AN1146">
        <v>45468</v>
      </c>
      <c r="AO1146">
        <v>11084897</v>
      </c>
      <c r="AP1146">
        <v>364412.66</v>
      </c>
      <c r="AR1146">
        <v>0</v>
      </c>
      <c r="AS1146">
        <v>364412.66</v>
      </c>
      <c r="AT1146">
        <v>27.98</v>
      </c>
      <c r="AU1146">
        <v>2.2383999999999999</v>
      </c>
      <c r="AV1146">
        <v>0</v>
      </c>
      <c r="AW1146" t="s">
        <v>1076</v>
      </c>
      <c r="AX1146">
        <v>2.2400000000000002</v>
      </c>
      <c r="AY1146">
        <v>45566</v>
      </c>
      <c r="AZ1146">
        <v>20</v>
      </c>
      <c r="BA1146" t="s">
        <v>1077</v>
      </c>
      <c r="BB1146" t="s">
        <v>1078</v>
      </c>
      <c r="BC1146" t="s">
        <v>115</v>
      </c>
      <c r="BD1146" t="s">
        <v>115</v>
      </c>
      <c r="BE1146" t="s">
        <v>822</v>
      </c>
      <c r="BF1146" t="s">
        <v>115</v>
      </c>
      <c r="BG1146" t="s">
        <v>115</v>
      </c>
      <c r="BH1146" t="s">
        <v>1079</v>
      </c>
      <c r="BI1146" t="s">
        <v>709</v>
      </c>
      <c r="BJ1146" t="s">
        <v>709</v>
      </c>
      <c r="BK1146" t="s">
        <v>709</v>
      </c>
      <c r="BL1146" t="s">
        <v>116</v>
      </c>
      <c r="BM1146" t="s">
        <v>709</v>
      </c>
      <c r="BN1146" t="s">
        <v>709</v>
      </c>
      <c r="BO1146" t="s">
        <v>709</v>
      </c>
      <c r="BP1146" t="s">
        <v>709</v>
      </c>
      <c r="BQ1146" t="s">
        <v>709</v>
      </c>
      <c r="BR1146">
        <v>1033</v>
      </c>
      <c r="BS1146">
        <v>1105</v>
      </c>
      <c r="BT1146" t="s">
        <v>709</v>
      </c>
      <c r="BU1146" t="s">
        <v>709</v>
      </c>
      <c r="BV1146" t="s">
        <v>709</v>
      </c>
      <c r="BW1146" t="s">
        <v>709</v>
      </c>
      <c r="BX1146" t="s">
        <v>709</v>
      </c>
      <c r="BY1146" t="s">
        <v>709</v>
      </c>
      <c r="BZ1146" t="s">
        <v>709</v>
      </c>
      <c r="CA1146" t="s">
        <v>1080</v>
      </c>
      <c r="CB1146">
        <v>1144</v>
      </c>
      <c r="CC1146" t="b">
        <v>1</v>
      </c>
      <c r="CD1146" t="s">
        <v>6237</v>
      </c>
      <c r="CE1146" s="1482">
        <v>45880.738807870373</v>
      </c>
    </row>
    <row r="1147" spans="1:83" x14ac:dyDescent="0.25">
      <c r="A1147">
        <v>2024</v>
      </c>
      <c r="B1147" t="s">
        <v>4</v>
      </c>
      <c r="C1147" t="s">
        <v>1115</v>
      </c>
      <c r="D1147" t="s">
        <v>1116</v>
      </c>
      <c r="E1147" t="s">
        <v>1117</v>
      </c>
      <c r="F1147" t="s">
        <v>784</v>
      </c>
      <c r="G1147" t="s">
        <v>35</v>
      </c>
      <c r="H1147" t="s">
        <v>59</v>
      </c>
      <c r="I1147">
        <v>45307</v>
      </c>
      <c r="J1147">
        <v>45380</v>
      </c>
      <c r="K1147">
        <v>45376</v>
      </c>
      <c r="L1147">
        <v>4</v>
      </c>
      <c r="N1147" t="s">
        <v>120</v>
      </c>
      <c r="O1147">
        <v>45352</v>
      </c>
      <c r="P1147" t="s">
        <v>739</v>
      </c>
      <c r="Q1147">
        <v>54325.762000000002</v>
      </c>
      <c r="R1147">
        <v>0.1</v>
      </c>
      <c r="V1147">
        <v>1039</v>
      </c>
      <c r="W1147">
        <v>0</v>
      </c>
      <c r="X1147">
        <v>457410.42</v>
      </c>
      <c r="Z1147">
        <v>85847.2</v>
      </c>
      <c r="AA1147">
        <v>543257.62</v>
      </c>
      <c r="AB1147">
        <v>45369</v>
      </c>
      <c r="AC1147" t="s">
        <v>709</v>
      </c>
      <c r="AD1147" t="s">
        <v>29</v>
      </c>
      <c r="AE1147" t="s">
        <v>116</v>
      </c>
      <c r="AF1147" t="s">
        <v>116</v>
      </c>
      <c r="AG1147" t="s">
        <v>376</v>
      </c>
      <c r="AH1147">
        <v>45406</v>
      </c>
      <c r="AI1147">
        <v>0</v>
      </c>
      <c r="AJ1147">
        <v>11870</v>
      </c>
      <c r="AK1147">
        <v>14616.5</v>
      </c>
      <c r="AL1147">
        <v>0.48754953497016756</v>
      </c>
      <c r="AM1147" t="s">
        <v>116</v>
      </c>
      <c r="AN1147">
        <v>45482</v>
      </c>
      <c r="AO1147">
        <v>11085908</v>
      </c>
      <c r="AP1147">
        <v>457231.43</v>
      </c>
      <c r="AR1147">
        <v>87246.76</v>
      </c>
      <c r="AS1147">
        <v>544478.18999999994</v>
      </c>
      <c r="AT1147">
        <v>1220.57</v>
      </c>
      <c r="AU1147">
        <v>122.057</v>
      </c>
      <c r="AV1147">
        <v>0</v>
      </c>
      <c r="AW1147" t="s">
        <v>6238</v>
      </c>
      <c r="AX1147">
        <v>122.057</v>
      </c>
      <c r="AY1147">
        <v>45901</v>
      </c>
      <c r="AZ1147">
        <v>133</v>
      </c>
      <c r="BA1147" t="s">
        <v>1119</v>
      </c>
      <c r="BB1147" t="s">
        <v>1120</v>
      </c>
      <c r="BC1147" t="s">
        <v>116</v>
      </c>
      <c r="BD1147" t="s">
        <v>115</v>
      </c>
      <c r="BE1147" t="s">
        <v>115</v>
      </c>
      <c r="BF1147" t="s">
        <v>115</v>
      </c>
      <c r="BG1147" t="s">
        <v>115</v>
      </c>
      <c r="BH1147" t="s">
        <v>1121</v>
      </c>
      <c r="BI1147" t="s">
        <v>709</v>
      </c>
      <c r="BJ1147" t="s">
        <v>709</v>
      </c>
      <c r="BK1147" t="s">
        <v>116</v>
      </c>
      <c r="BL1147" t="s">
        <v>116</v>
      </c>
      <c r="BM1147" t="s">
        <v>709</v>
      </c>
      <c r="BN1147" t="s">
        <v>709</v>
      </c>
      <c r="BO1147" t="s">
        <v>709</v>
      </c>
      <c r="BP1147" t="s">
        <v>709</v>
      </c>
      <c r="BQ1147">
        <v>75</v>
      </c>
      <c r="BR1147">
        <v>0</v>
      </c>
      <c r="BS1147">
        <v>964</v>
      </c>
      <c r="BT1147" t="s">
        <v>745</v>
      </c>
      <c r="BU1147" t="s">
        <v>709</v>
      </c>
      <c r="BV1147" t="s">
        <v>745</v>
      </c>
      <c r="BW1147" t="s">
        <v>709</v>
      </c>
      <c r="BX1147" t="s">
        <v>745</v>
      </c>
      <c r="BY1147" t="s">
        <v>745</v>
      </c>
      <c r="BZ1147" t="s">
        <v>709</v>
      </c>
      <c r="CB1147">
        <v>1145</v>
      </c>
      <c r="CC1147" t="b">
        <v>1</v>
      </c>
      <c r="CD1147" t="s">
        <v>6239</v>
      </c>
      <c r="CE1147" s="1482">
        <v>45880.738807870373</v>
      </c>
    </row>
    <row r="1148" spans="1:83" x14ac:dyDescent="0.25">
      <c r="A1148">
        <v>2025</v>
      </c>
      <c r="B1148" t="s">
        <v>1205</v>
      </c>
      <c r="C1148" t="s">
        <v>1498</v>
      </c>
      <c r="D1148">
        <v>1211570</v>
      </c>
      <c r="E1148" t="s">
        <v>1500</v>
      </c>
      <c r="F1148" t="s">
        <v>1501</v>
      </c>
      <c r="G1148" t="s">
        <v>22</v>
      </c>
      <c r="H1148" t="s">
        <v>3178</v>
      </c>
      <c r="I1148">
        <v>45125</v>
      </c>
      <c r="J1148" t="s">
        <v>2052</v>
      </c>
      <c r="K1148">
        <v>45387</v>
      </c>
      <c r="L1148">
        <v>262</v>
      </c>
      <c r="M1148" t="s">
        <v>6240</v>
      </c>
      <c r="N1148" t="s">
        <v>120</v>
      </c>
      <c r="O1148">
        <v>45383</v>
      </c>
      <c r="P1148" t="s">
        <v>120</v>
      </c>
      <c r="Q1148" t="s">
        <v>6241</v>
      </c>
      <c r="R1148" t="s">
        <v>1922</v>
      </c>
      <c r="S1148">
        <v>0</v>
      </c>
      <c r="T1148">
        <v>0</v>
      </c>
      <c r="U1148" t="s">
        <v>6241</v>
      </c>
      <c r="V1148">
        <v>0</v>
      </c>
      <c r="W1148">
        <v>0</v>
      </c>
      <c r="AB1148" t="s">
        <v>29</v>
      </c>
      <c r="AC1148" t="s">
        <v>29</v>
      </c>
      <c r="AD1148" t="s">
        <v>29</v>
      </c>
      <c r="AE1148" t="s">
        <v>116</v>
      </c>
      <c r="AF1148" t="s">
        <v>116</v>
      </c>
      <c r="AG1148" t="s">
        <v>29</v>
      </c>
      <c r="AH1148" t="s">
        <v>29</v>
      </c>
      <c r="AM1148" t="s">
        <v>709</v>
      </c>
      <c r="AY1148" t="s">
        <v>29</v>
      </c>
      <c r="BA1148">
        <v>1</v>
      </c>
      <c r="BB1148" t="s">
        <v>6242</v>
      </c>
      <c r="BC1148" t="s">
        <v>992</v>
      </c>
      <c r="BD1148" t="s">
        <v>709</v>
      </c>
      <c r="BE1148" t="s">
        <v>1504</v>
      </c>
      <c r="BF1148" t="s">
        <v>709</v>
      </c>
      <c r="BG1148" t="s">
        <v>6243</v>
      </c>
      <c r="BH1148" t="s">
        <v>6244</v>
      </c>
      <c r="BI1148" t="s">
        <v>709</v>
      </c>
      <c r="BJ1148" t="s">
        <v>709</v>
      </c>
      <c r="BK1148" t="s">
        <v>116</v>
      </c>
      <c r="BL1148" t="s">
        <v>709</v>
      </c>
      <c r="BM1148" t="s">
        <v>709</v>
      </c>
      <c r="BN1148" t="s">
        <v>709</v>
      </c>
      <c r="BO1148" t="s">
        <v>709</v>
      </c>
      <c r="BP1148" t="s">
        <v>709</v>
      </c>
      <c r="BQ1148" t="s">
        <v>709</v>
      </c>
      <c r="BR1148" t="s">
        <v>709</v>
      </c>
      <c r="BS1148" t="s">
        <v>709</v>
      </c>
      <c r="BT1148" t="s">
        <v>709</v>
      </c>
      <c r="BU1148" t="s">
        <v>709</v>
      </c>
      <c r="BV1148" t="s">
        <v>709</v>
      </c>
      <c r="BW1148" t="s">
        <v>709</v>
      </c>
      <c r="BX1148" t="s">
        <v>709</v>
      </c>
      <c r="BY1148" t="s">
        <v>709</v>
      </c>
      <c r="BZ1148" t="s">
        <v>709</v>
      </c>
      <c r="CA1148" t="s">
        <v>6245</v>
      </c>
      <c r="CB1148">
        <v>1146</v>
      </c>
      <c r="CC1148" t="b">
        <v>1</v>
      </c>
      <c r="CD1148" t="s">
        <v>6246</v>
      </c>
      <c r="CE1148" s="1482">
        <v>45880.738807870373</v>
      </c>
    </row>
    <row r="1149" spans="1:83" ht="210" x14ac:dyDescent="0.25">
      <c r="A1149">
        <v>2024</v>
      </c>
      <c r="B1149" t="s">
        <v>4</v>
      </c>
      <c r="C1149" t="s">
        <v>6130</v>
      </c>
      <c r="D1149" t="s">
        <v>6247</v>
      </c>
      <c r="E1149" t="s">
        <v>818</v>
      </c>
      <c r="F1149" t="s">
        <v>851</v>
      </c>
      <c r="G1149" t="s">
        <v>25</v>
      </c>
      <c r="H1149" t="s">
        <v>1681</v>
      </c>
      <c r="I1149">
        <v>45100</v>
      </c>
      <c r="J1149">
        <v>45401</v>
      </c>
      <c r="K1149">
        <v>45392</v>
      </c>
      <c r="L1149">
        <v>9</v>
      </c>
      <c r="N1149" t="s">
        <v>120</v>
      </c>
      <c r="O1149">
        <v>45383</v>
      </c>
      <c r="P1149" t="s">
        <v>739</v>
      </c>
      <c r="Q1149" t="s">
        <v>115</v>
      </c>
      <c r="R1149" t="s">
        <v>115</v>
      </c>
      <c r="AB1149" t="s">
        <v>29</v>
      </c>
      <c r="AC1149" t="s">
        <v>29</v>
      </c>
      <c r="AD1149" t="s">
        <v>29</v>
      </c>
      <c r="AE1149" t="s">
        <v>756</v>
      </c>
      <c r="AF1149" t="s">
        <v>116</v>
      </c>
      <c r="AG1149" t="s">
        <v>29</v>
      </c>
      <c r="AH1149">
        <v>45475</v>
      </c>
      <c r="AM1149" t="s">
        <v>709</v>
      </c>
      <c r="AY1149" t="s">
        <v>29</v>
      </c>
      <c r="BA1149" s="4" t="s">
        <v>6248</v>
      </c>
      <c r="BB1149" t="s">
        <v>961</v>
      </c>
      <c r="BC1149" t="s">
        <v>709</v>
      </c>
      <c r="BD1149" t="s">
        <v>788</v>
      </c>
      <c r="BE1149" t="s">
        <v>822</v>
      </c>
      <c r="BF1149" t="s">
        <v>822</v>
      </c>
      <c r="BG1149" t="s">
        <v>709</v>
      </c>
      <c r="BH1149" t="s">
        <v>6249</v>
      </c>
      <c r="CA1149" t="s">
        <v>915</v>
      </c>
      <c r="CB1149">
        <v>1147</v>
      </c>
      <c r="CC1149" t="b">
        <v>1</v>
      </c>
      <c r="CD1149" t="s">
        <v>6250</v>
      </c>
      <c r="CE1149" s="1482">
        <v>45880.738807870373</v>
      </c>
    </row>
    <row r="1150" spans="1:83" x14ac:dyDescent="0.25">
      <c r="A1150">
        <v>2024</v>
      </c>
      <c r="B1150" t="s">
        <v>4</v>
      </c>
      <c r="C1150" t="s">
        <v>1761</v>
      </c>
      <c r="D1150" t="s">
        <v>1762</v>
      </c>
      <c r="E1150" t="s">
        <v>1763</v>
      </c>
      <c r="F1150" t="s">
        <v>784</v>
      </c>
      <c r="G1150" t="s">
        <v>31</v>
      </c>
      <c r="H1150" t="s">
        <v>413</v>
      </c>
      <c r="I1150">
        <v>45251</v>
      </c>
      <c r="J1150">
        <v>45401</v>
      </c>
      <c r="K1150">
        <v>45399</v>
      </c>
      <c r="L1150">
        <v>2</v>
      </c>
      <c r="N1150" t="s">
        <v>120</v>
      </c>
      <c r="O1150">
        <v>45383</v>
      </c>
      <c r="P1150" t="s">
        <v>739</v>
      </c>
      <c r="Q1150">
        <v>39601.826999999997</v>
      </c>
      <c r="R1150">
        <v>0.1</v>
      </c>
      <c r="V1150">
        <v>869</v>
      </c>
      <c r="W1150">
        <v>0</v>
      </c>
      <c r="X1150">
        <v>329235.82</v>
      </c>
      <c r="Z1150">
        <v>66782.45</v>
      </c>
      <c r="AA1150">
        <v>396018.27</v>
      </c>
      <c r="AB1150">
        <v>45392</v>
      </c>
      <c r="AC1150" t="s">
        <v>709</v>
      </c>
      <c r="AD1150" t="s">
        <v>29</v>
      </c>
      <c r="AE1150" t="s">
        <v>116</v>
      </c>
      <c r="AF1150" t="s">
        <v>116</v>
      </c>
      <c r="AG1150" t="s">
        <v>116</v>
      </c>
      <c r="AH1150">
        <v>45475</v>
      </c>
      <c r="AI1150">
        <v>0</v>
      </c>
      <c r="AJ1150">
        <v>5478.94</v>
      </c>
      <c r="AK1150">
        <v>5202.75</v>
      </c>
      <c r="AL1150">
        <v>0.26972720223236157</v>
      </c>
      <c r="AM1150" t="s">
        <v>116</v>
      </c>
      <c r="AN1150">
        <v>45540</v>
      </c>
      <c r="AO1150">
        <v>11090611</v>
      </c>
      <c r="AP1150">
        <v>335487.15000000002</v>
      </c>
      <c r="AR1150">
        <v>66866.66</v>
      </c>
      <c r="AS1150">
        <v>402353.81</v>
      </c>
      <c r="AT1150">
        <v>6335.54</v>
      </c>
      <c r="AU1150">
        <v>633.55399999999997</v>
      </c>
      <c r="AV1150">
        <v>0</v>
      </c>
      <c r="AW1150" t="s">
        <v>6251</v>
      </c>
      <c r="AX1150">
        <v>633.55399999999997</v>
      </c>
      <c r="AY1150">
        <v>45901</v>
      </c>
      <c r="AZ1150">
        <v>134</v>
      </c>
      <c r="BA1150" t="s">
        <v>1764</v>
      </c>
      <c r="BB1150" t="s">
        <v>1765</v>
      </c>
      <c r="BC1150" t="s">
        <v>115</v>
      </c>
      <c r="BD1150" t="s">
        <v>882</v>
      </c>
      <c r="BE1150" t="s">
        <v>1766</v>
      </c>
      <c r="BF1150" t="s">
        <v>1767</v>
      </c>
      <c r="BG1150" t="s">
        <v>115</v>
      </c>
      <c r="BH1150" t="s">
        <v>1768</v>
      </c>
      <c r="BI1150" t="s">
        <v>709</v>
      </c>
      <c r="BJ1150" t="s">
        <v>709</v>
      </c>
      <c r="BK1150" t="s">
        <v>709</v>
      </c>
      <c r="BL1150" t="s">
        <v>116</v>
      </c>
      <c r="BM1150" t="s">
        <v>709</v>
      </c>
      <c r="BN1150" t="s">
        <v>709</v>
      </c>
      <c r="BO1150" t="s">
        <v>709</v>
      </c>
      <c r="BP1150" t="s">
        <v>709</v>
      </c>
      <c r="BQ1150" t="s">
        <v>709</v>
      </c>
      <c r="BR1150" t="s">
        <v>709</v>
      </c>
      <c r="BS1150">
        <v>869</v>
      </c>
      <c r="BT1150" t="s">
        <v>709</v>
      </c>
      <c r="BU1150" t="s">
        <v>709</v>
      </c>
      <c r="BV1150" t="s">
        <v>709</v>
      </c>
      <c r="BW1150" t="s">
        <v>709</v>
      </c>
      <c r="BX1150" t="s">
        <v>709</v>
      </c>
      <c r="BY1150" t="s">
        <v>709</v>
      </c>
      <c r="BZ1150" t="s">
        <v>709</v>
      </c>
      <c r="CB1150">
        <v>1148</v>
      </c>
      <c r="CC1150" t="b">
        <v>1</v>
      </c>
      <c r="CD1150" t="s">
        <v>6252</v>
      </c>
      <c r="CE1150" s="1482">
        <v>45880.738819444443</v>
      </c>
    </row>
    <row r="1151" spans="1:83" ht="240" x14ac:dyDescent="0.25">
      <c r="A1151">
        <v>2024</v>
      </c>
      <c r="B1151" t="s">
        <v>4</v>
      </c>
      <c r="C1151" t="s">
        <v>1769</v>
      </c>
      <c r="D1151" t="s">
        <v>1770</v>
      </c>
      <c r="E1151" t="s">
        <v>910</v>
      </c>
      <c r="F1151" t="s">
        <v>784</v>
      </c>
      <c r="G1151" t="s">
        <v>25</v>
      </c>
      <c r="H1151" t="s">
        <v>59</v>
      </c>
      <c r="I1151">
        <v>45293</v>
      </c>
      <c r="J1151">
        <v>45411</v>
      </c>
      <c r="K1151">
        <v>45400</v>
      </c>
      <c r="L1151">
        <v>11</v>
      </c>
      <c r="N1151" t="s">
        <v>120</v>
      </c>
      <c r="O1151">
        <v>45383</v>
      </c>
      <c r="P1151" t="s">
        <v>739</v>
      </c>
      <c r="Q1151">
        <v>78947.281000000003</v>
      </c>
      <c r="R1151">
        <v>0.1</v>
      </c>
      <c r="V1151">
        <v>1231</v>
      </c>
      <c r="W1151">
        <v>0</v>
      </c>
      <c r="X1151">
        <v>635337.11</v>
      </c>
      <c r="Z1151">
        <v>154135.70000000001</v>
      </c>
      <c r="AA1151">
        <v>789472.81</v>
      </c>
      <c r="AB1151">
        <v>45392</v>
      </c>
      <c r="AC1151" t="s">
        <v>709</v>
      </c>
      <c r="AD1151" t="s">
        <v>29</v>
      </c>
      <c r="AE1151" t="s">
        <v>116</v>
      </c>
      <c r="AF1151" t="s">
        <v>29</v>
      </c>
      <c r="AG1151" t="s">
        <v>376</v>
      </c>
      <c r="AH1151">
        <v>45475</v>
      </c>
      <c r="AI1151">
        <v>0</v>
      </c>
      <c r="AJ1151">
        <v>5900</v>
      </c>
      <c r="AK1151">
        <v>13415.75</v>
      </c>
      <c r="AL1151">
        <v>0.2446664375939685</v>
      </c>
      <c r="AM1151" t="s">
        <v>116</v>
      </c>
      <c r="AN1151">
        <v>45722</v>
      </c>
      <c r="AO1151">
        <v>11099260</v>
      </c>
      <c r="AP1151">
        <v>647401.43999999994</v>
      </c>
      <c r="AR1151">
        <v>158661.78</v>
      </c>
      <c r="AS1151">
        <v>806063.22</v>
      </c>
      <c r="AT1151">
        <v>16590.41</v>
      </c>
      <c r="AU1151">
        <v>1659.0409999999999</v>
      </c>
      <c r="AV1151">
        <v>0</v>
      </c>
      <c r="AW1151" t="s">
        <v>6253</v>
      </c>
      <c r="AX1151">
        <v>1659.0409999999999</v>
      </c>
      <c r="AY1151">
        <v>45901</v>
      </c>
      <c r="AZ1151">
        <v>135</v>
      </c>
      <c r="BA1151" s="4" t="s">
        <v>1771</v>
      </c>
      <c r="BB1151" t="s">
        <v>870</v>
      </c>
      <c r="BC1151" t="s">
        <v>992</v>
      </c>
      <c r="BD1151" t="s">
        <v>115</v>
      </c>
      <c r="BE1151" t="s">
        <v>115</v>
      </c>
      <c r="BF1151" t="s">
        <v>115</v>
      </c>
      <c r="BG1151" t="s">
        <v>115</v>
      </c>
      <c r="BH1151" t="s">
        <v>1772</v>
      </c>
      <c r="BI1151" t="s">
        <v>709</v>
      </c>
      <c r="BJ1151" t="s">
        <v>709</v>
      </c>
      <c r="BK1151" t="s">
        <v>709</v>
      </c>
      <c r="BL1151" t="s">
        <v>116</v>
      </c>
      <c r="BM1151" t="s">
        <v>709</v>
      </c>
      <c r="BN1151" t="s">
        <v>709</v>
      </c>
      <c r="BO1151" t="s">
        <v>709</v>
      </c>
      <c r="BP1151" t="s">
        <v>709</v>
      </c>
      <c r="BQ1151">
        <v>1231</v>
      </c>
      <c r="BR1151" t="s">
        <v>709</v>
      </c>
      <c r="BS1151" t="s">
        <v>709</v>
      </c>
      <c r="BT1151" t="s">
        <v>745</v>
      </c>
      <c r="BU1151" t="s">
        <v>709</v>
      </c>
      <c r="BV1151" t="s">
        <v>745</v>
      </c>
      <c r="BW1151" t="s">
        <v>709</v>
      </c>
      <c r="BX1151" t="s">
        <v>745</v>
      </c>
      <c r="BY1151" t="s">
        <v>745</v>
      </c>
      <c r="BZ1151" t="s">
        <v>709</v>
      </c>
      <c r="CA1151" t="s">
        <v>1773</v>
      </c>
      <c r="CB1151">
        <v>1149</v>
      </c>
      <c r="CC1151" t="b">
        <v>1</v>
      </c>
      <c r="CD1151" t="s">
        <v>6254</v>
      </c>
      <c r="CE1151" s="1482">
        <v>45880.738819444443</v>
      </c>
    </row>
    <row r="1152" spans="1:83" x14ac:dyDescent="0.25">
      <c r="A1152">
        <v>2024</v>
      </c>
      <c r="B1152" t="s">
        <v>4</v>
      </c>
      <c r="C1152" t="s">
        <v>6255</v>
      </c>
      <c r="D1152">
        <v>1313599</v>
      </c>
      <c r="E1152" t="s">
        <v>822</v>
      </c>
      <c r="F1152" t="s">
        <v>6256</v>
      </c>
      <c r="G1152" t="s">
        <v>35</v>
      </c>
      <c r="H1152" t="s">
        <v>4189</v>
      </c>
      <c r="I1152">
        <v>45398</v>
      </c>
      <c r="J1152" t="s">
        <v>2052</v>
      </c>
      <c r="K1152">
        <v>45407</v>
      </c>
      <c r="L1152">
        <v>9</v>
      </c>
      <c r="M1152" t="s">
        <v>6257</v>
      </c>
      <c r="N1152" t="s">
        <v>120</v>
      </c>
      <c r="O1152">
        <v>45413</v>
      </c>
      <c r="P1152" t="s">
        <v>739</v>
      </c>
      <c r="Q1152">
        <v>2777.5</v>
      </c>
      <c r="R1152" t="s">
        <v>1922</v>
      </c>
      <c r="S1152">
        <v>0</v>
      </c>
      <c r="T1152">
        <v>0</v>
      </c>
      <c r="U1152">
        <v>2777.5</v>
      </c>
      <c r="AA1152">
        <v>0</v>
      </c>
      <c r="AB1152" t="s">
        <v>29</v>
      </c>
      <c r="AC1152" t="s">
        <v>29</v>
      </c>
      <c r="AD1152" t="s">
        <v>29</v>
      </c>
      <c r="AE1152" t="s">
        <v>116</v>
      </c>
      <c r="AF1152" t="s">
        <v>116</v>
      </c>
      <c r="AG1152" t="s">
        <v>29</v>
      </c>
      <c r="AH1152">
        <v>45406</v>
      </c>
      <c r="AM1152" t="s">
        <v>709</v>
      </c>
      <c r="AY1152" t="s">
        <v>29</v>
      </c>
      <c r="BA1152">
        <v>4</v>
      </c>
      <c r="BB1152" t="s">
        <v>6258</v>
      </c>
      <c r="BC1152" t="s">
        <v>709</v>
      </c>
      <c r="BD1152" t="s">
        <v>709</v>
      </c>
      <c r="BE1152" t="s">
        <v>822</v>
      </c>
      <c r="BF1152" t="s">
        <v>745</v>
      </c>
      <c r="BG1152" t="s">
        <v>709</v>
      </c>
      <c r="BH1152" t="s">
        <v>6259</v>
      </c>
      <c r="BI1152" t="s">
        <v>709</v>
      </c>
      <c r="BJ1152" t="s">
        <v>709</v>
      </c>
      <c r="BK1152" t="s">
        <v>116</v>
      </c>
      <c r="BL1152" t="s">
        <v>709</v>
      </c>
      <c r="BM1152" t="s">
        <v>709</v>
      </c>
      <c r="BN1152" t="s">
        <v>709</v>
      </c>
      <c r="BO1152" t="s">
        <v>709</v>
      </c>
      <c r="BP1152" t="s">
        <v>709</v>
      </c>
      <c r="BQ1152" t="s">
        <v>709</v>
      </c>
      <c r="BR1152" t="s">
        <v>709</v>
      </c>
      <c r="BS1152">
        <v>247</v>
      </c>
      <c r="BT1152" t="s">
        <v>745</v>
      </c>
      <c r="BU1152" t="s">
        <v>709</v>
      </c>
      <c r="BV1152" t="s">
        <v>745</v>
      </c>
      <c r="BW1152" t="s">
        <v>709</v>
      </c>
      <c r="BX1152" t="s">
        <v>745</v>
      </c>
      <c r="BY1152" t="s">
        <v>745</v>
      </c>
      <c r="BZ1152" t="s">
        <v>709</v>
      </c>
      <c r="CB1152">
        <v>1150</v>
      </c>
      <c r="CC1152" t="b">
        <v>1</v>
      </c>
      <c r="CD1152" t="s">
        <v>6260</v>
      </c>
      <c r="CE1152" s="1482">
        <v>45880.738819444443</v>
      </c>
    </row>
    <row r="1153" spans="1:83" x14ac:dyDescent="0.25">
      <c r="A1153">
        <v>2024</v>
      </c>
      <c r="B1153" t="s">
        <v>759</v>
      </c>
      <c r="C1153" t="s">
        <v>224</v>
      </c>
      <c r="D1153">
        <v>102083</v>
      </c>
      <c r="E1153" t="s">
        <v>6261</v>
      </c>
      <c r="F1153" t="s">
        <v>752</v>
      </c>
      <c r="G1153" t="s">
        <v>4770</v>
      </c>
      <c r="H1153" t="s">
        <v>6262</v>
      </c>
      <c r="I1153">
        <v>45388</v>
      </c>
      <c r="J1153" t="s">
        <v>2052</v>
      </c>
      <c r="K1153">
        <v>45411</v>
      </c>
      <c r="L1153">
        <v>23</v>
      </c>
      <c r="M1153" t="s">
        <v>6263</v>
      </c>
      <c r="N1153" t="s">
        <v>120</v>
      </c>
      <c r="O1153">
        <v>45413</v>
      </c>
      <c r="P1153" t="s">
        <v>120</v>
      </c>
      <c r="Q1153">
        <v>16605</v>
      </c>
      <c r="R1153" t="s">
        <v>1922</v>
      </c>
      <c r="S1153">
        <v>0</v>
      </c>
      <c r="T1153">
        <v>0</v>
      </c>
      <c r="U1153">
        <v>16605</v>
      </c>
      <c r="AB1153" t="s">
        <v>29</v>
      </c>
      <c r="AC1153" t="s">
        <v>29</v>
      </c>
      <c r="AD1153" t="s">
        <v>29</v>
      </c>
      <c r="AE1153" t="s">
        <v>116</v>
      </c>
      <c r="AF1153" t="s">
        <v>116</v>
      </c>
      <c r="AG1153" t="s">
        <v>29</v>
      </c>
      <c r="AH1153" t="s">
        <v>29</v>
      </c>
      <c r="AM1153" t="s">
        <v>709</v>
      </c>
      <c r="AY1153" t="s">
        <v>29</v>
      </c>
      <c r="BA1153">
        <v>2</v>
      </c>
      <c r="BB1153" t="s">
        <v>6264</v>
      </c>
      <c r="BH1153" t="s">
        <v>6265</v>
      </c>
      <c r="BI1153" t="s">
        <v>709</v>
      </c>
      <c r="BJ1153" t="s">
        <v>709</v>
      </c>
      <c r="BK1153" t="s">
        <v>709</v>
      </c>
      <c r="BL1153" t="s">
        <v>116</v>
      </c>
      <c r="BM1153" t="s">
        <v>709</v>
      </c>
      <c r="BN1153" t="s">
        <v>709</v>
      </c>
      <c r="BO1153" t="s">
        <v>709</v>
      </c>
      <c r="BP1153">
        <v>547</v>
      </c>
      <c r="BQ1153">
        <v>41</v>
      </c>
      <c r="BR1153">
        <v>73</v>
      </c>
      <c r="BS1153">
        <v>25</v>
      </c>
      <c r="BT1153">
        <v>1</v>
      </c>
      <c r="BU1153" t="s">
        <v>709</v>
      </c>
      <c r="BV1153" t="s">
        <v>745</v>
      </c>
      <c r="BW1153">
        <v>1</v>
      </c>
      <c r="BX1153" t="s">
        <v>709</v>
      </c>
      <c r="BY1153" t="s">
        <v>745</v>
      </c>
      <c r="BZ1153" t="s">
        <v>709</v>
      </c>
      <c r="CB1153">
        <v>1151</v>
      </c>
      <c r="CC1153" t="b">
        <v>1</v>
      </c>
      <c r="CD1153" t="s">
        <v>6266</v>
      </c>
      <c r="CE1153" s="1482">
        <v>45880.738819444443</v>
      </c>
    </row>
    <row r="1154" spans="1:83" x14ac:dyDescent="0.25">
      <c r="A1154">
        <v>2024</v>
      </c>
      <c r="B1154" t="s">
        <v>771</v>
      </c>
      <c r="C1154" t="s">
        <v>1060</v>
      </c>
      <c r="D1154">
        <v>1212248</v>
      </c>
      <c r="E1154" t="s">
        <v>1062</v>
      </c>
      <c r="F1154" t="s">
        <v>5604</v>
      </c>
      <c r="G1154" t="s">
        <v>31</v>
      </c>
      <c r="H1154" t="s">
        <v>4462</v>
      </c>
      <c r="I1154">
        <v>45399</v>
      </c>
      <c r="J1154" t="s">
        <v>2052</v>
      </c>
      <c r="K1154">
        <v>45413</v>
      </c>
      <c r="L1154">
        <v>14</v>
      </c>
      <c r="M1154" t="s">
        <v>6267</v>
      </c>
      <c r="N1154" t="s">
        <v>120</v>
      </c>
      <c r="O1154">
        <v>45413</v>
      </c>
      <c r="P1154" t="s">
        <v>120</v>
      </c>
      <c r="Q1154" t="s">
        <v>115</v>
      </c>
      <c r="R1154" t="s">
        <v>115</v>
      </c>
      <c r="AB1154" t="s">
        <v>29</v>
      </c>
      <c r="AC1154" t="s">
        <v>709</v>
      </c>
      <c r="AD1154" t="s">
        <v>29</v>
      </c>
      <c r="AM1154" t="s">
        <v>709</v>
      </c>
      <c r="AY1154" t="s">
        <v>29</v>
      </c>
      <c r="BA1154">
        <v>3</v>
      </c>
      <c r="BB1154" t="s">
        <v>6268</v>
      </c>
      <c r="BH1154" t="s">
        <v>6269</v>
      </c>
      <c r="CB1154">
        <v>1154</v>
      </c>
      <c r="CC1154" t="b">
        <v>1</v>
      </c>
      <c r="CD1154" t="s">
        <v>6270</v>
      </c>
      <c r="CE1154" s="1482">
        <v>45880.73883101852</v>
      </c>
    </row>
    <row r="1155" spans="1:83" x14ac:dyDescent="0.25">
      <c r="A1155">
        <v>2024</v>
      </c>
      <c r="B1155" t="s">
        <v>4</v>
      </c>
      <c r="C1155" t="s">
        <v>873</v>
      </c>
      <c r="D1155" t="s">
        <v>874</v>
      </c>
      <c r="E1155" t="s">
        <v>104</v>
      </c>
      <c r="F1155" t="s">
        <v>5604</v>
      </c>
      <c r="G1155" t="s">
        <v>39</v>
      </c>
      <c r="H1155" t="s">
        <v>3852</v>
      </c>
      <c r="I1155">
        <v>45408</v>
      </c>
      <c r="J1155" t="s">
        <v>2052</v>
      </c>
      <c r="K1155">
        <v>45413</v>
      </c>
      <c r="L1155">
        <v>5</v>
      </c>
      <c r="M1155" t="s">
        <v>6271</v>
      </c>
      <c r="N1155" t="s">
        <v>120</v>
      </c>
      <c r="O1155">
        <v>45413</v>
      </c>
      <c r="P1155" t="s">
        <v>739</v>
      </c>
      <c r="Q1155">
        <v>5770</v>
      </c>
      <c r="R1155" t="s">
        <v>1922</v>
      </c>
      <c r="S1155">
        <v>0</v>
      </c>
      <c r="T1155">
        <v>0</v>
      </c>
      <c r="U1155">
        <v>5770</v>
      </c>
      <c r="AB1155" t="s">
        <v>29</v>
      </c>
      <c r="AC1155" t="s">
        <v>29</v>
      </c>
      <c r="AD1155" t="s">
        <v>29</v>
      </c>
      <c r="AE1155" t="s">
        <v>116</v>
      </c>
      <c r="AF1155" t="s">
        <v>116</v>
      </c>
      <c r="AG1155" t="s">
        <v>29</v>
      </c>
      <c r="AH1155">
        <v>45447</v>
      </c>
      <c r="AM1155" t="s">
        <v>709</v>
      </c>
      <c r="AY1155" t="s">
        <v>29</v>
      </c>
      <c r="BA1155">
        <v>7</v>
      </c>
      <c r="BB1155" t="s">
        <v>29</v>
      </c>
      <c r="BH1155" t="s">
        <v>6272</v>
      </c>
      <c r="BI1155" t="s">
        <v>709</v>
      </c>
      <c r="BJ1155" t="s">
        <v>709</v>
      </c>
      <c r="BK1155" t="s">
        <v>709</v>
      </c>
      <c r="BL1155" t="s">
        <v>116</v>
      </c>
      <c r="BM1155" t="s">
        <v>709</v>
      </c>
      <c r="BN1155" t="s">
        <v>709</v>
      </c>
      <c r="BO1155" t="s">
        <v>709</v>
      </c>
      <c r="BP1155">
        <v>1441</v>
      </c>
      <c r="BQ1155" t="s">
        <v>709</v>
      </c>
      <c r="BR1155" t="s">
        <v>709</v>
      </c>
      <c r="BS1155" t="s">
        <v>709</v>
      </c>
      <c r="BT1155" t="s">
        <v>745</v>
      </c>
      <c r="BU1155" t="s">
        <v>709</v>
      </c>
      <c r="BV1155" t="s">
        <v>745</v>
      </c>
      <c r="BW1155" t="s">
        <v>709</v>
      </c>
      <c r="BX1155" t="s">
        <v>745</v>
      </c>
      <c r="BY1155" t="s">
        <v>745</v>
      </c>
      <c r="BZ1155" t="s">
        <v>709</v>
      </c>
      <c r="CA1155" t="s">
        <v>6273</v>
      </c>
      <c r="CB1155">
        <v>1152</v>
      </c>
      <c r="CC1155" t="b">
        <v>1</v>
      </c>
      <c r="CD1155" t="s">
        <v>6274</v>
      </c>
      <c r="CE1155" s="1482">
        <v>45880.73883101852</v>
      </c>
    </row>
    <row r="1156" spans="1:83" x14ac:dyDescent="0.25">
      <c r="A1156">
        <v>2024</v>
      </c>
      <c r="B1156" t="s">
        <v>4</v>
      </c>
      <c r="C1156" t="s">
        <v>5828</v>
      </c>
      <c r="D1156" t="s">
        <v>5829</v>
      </c>
      <c r="E1156" t="s">
        <v>1117</v>
      </c>
      <c r="F1156" t="s">
        <v>784</v>
      </c>
      <c r="G1156" t="s">
        <v>26</v>
      </c>
      <c r="H1156" t="s">
        <v>4001</v>
      </c>
      <c r="I1156">
        <v>45280</v>
      </c>
      <c r="J1156" t="s">
        <v>2052</v>
      </c>
      <c r="K1156">
        <v>45413</v>
      </c>
      <c r="L1156">
        <v>133</v>
      </c>
      <c r="M1156" t="s">
        <v>6275</v>
      </c>
      <c r="N1156" t="s">
        <v>120</v>
      </c>
      <c r="O1156">
        <v>45444</v>
      </c>
      <c r="P1156" t="s">
        <v>739</v>
      </c>
      <c r="Q1156">
        <v>50826.5</v>
      </c>
      <c r="R1156" t="s">
        <v>1922</v>
      </c>
      <c r="S1156">
        <v>10896.5</v>
      </c>
      <c r="T1156">
        <v>4100</v>
      </c>
      <c r="U1156">
        <v>35830</v>
      </c>
      <c r="V1156">
        <v>3079</v>
      </c>
      <c r="W1156">
        <v>0</v>
      </c>
      <c r="AB1156" t="s">
        <v>29</v>
      </c>
      <c r="AC1156" t="s">
        <v>29</v>
      </c>
      <c r="AD1156" t="s">
        <v>29</v>
      </c>
      <c r="AE1156" t="s">
        <v>116</v>
      </c>
      <c r="AF1156" t="s">
        <v>116</v>
      </c>
      <c r="AG1156" t="s">
        <v>29</v>
      </c>
      <c r="AH1156">
        <v>45475</v>
      </c>
      <c r="AI1156">
        <v>0</v>
      </c>
      <c r="AJ1156">
        <v>4100</v>
      </c>
      <c r="AK1156">
        <v>10896.5</v>
      </c>
      <c r="AL1156">
        <v>0.29505277758649523</v>
      </c>
      <c r="AM1156" t="s">
        <v>709</v>
      </c>
      <c r="AY1156" t="s">
        <v>29</v>
      </c>
      <c r="BA1156" t="s">
        <v>4650</v>
      </c>
      <c r="BB1156" t="s">
        <v>6276</v>
      </c>
      <c r="BD1156" t="s">
        <v>882</v>
      </c>
      <c r="BH1156" t="s">
        <v>6277</v>
      </c>
      <c r="BI1156" t="s">
        <v>709</v>
      </c>
      <c r="BJ1156" t="s">
        <v>709</v>
      </c>
      <c r="BK1156" t="s">
        <v>709</v>
      </c>
      <c r="BL1156" t="s">
        <v>116</v>
      </c>
      <c r="BM1156" t="s">
        <v>709</v>
      </c>
      <c r="BN1156" t="s">
        <v>709</v>
      </c>
      <c r="BO1156" t="s">
        <v>709</v>
      </c>
      <c r="BP1156" t="s">
        <v>709</v>
      </c>
      <c r="BQ1156" t="s">
        <v>709</v>
      </c>
      <c r="BR1156">
        <v>2910</v>
      </c>
      <c r="BS1156">
        <v>169</v>
      </c>
      <c r="BT1156" t="s">
        <v>745</v>
      </c>
      <c r="BU1156" t="s">
        <v>709</v>
      </c>
      <c r="BV1156" t="s">
        <v>745</v>
      </c>
      <c r="BW1156" t="s">
        <v>709</v>
      </c>
      <c r="BX1156" t="s">
        <v>745</v>
      </c>
      <c r="BY1156" t="s">
        <v>745</v>
      </c>
      <c r="BZ1156" t="s">
        <v>709</v>
      </c>
      <c r="CA1156" t="s">
        <v>29</v>
      </c>
      <c r="CB1156">
        <v>1155</v>
      </c>
      <c r="CC1156" t="b">
        <v>1</v>
      </c>
      <c r="CD1156" t="s">
        <v>6278</v>
      </c>
      <c r="CE1156" s="1482">
        <v>45880.73883101852</v>
      </c>
    </row>
    <row r="1157" spans="1:83" x14ac:dyDescent="0.25">
      <c r="A1157">
        <v>2024</v>
      </c>
      <c r="B1157" t="s">
        <v>4</v>
      </c>
      <c r="C1157" t="s">
        <v>1774</v>
      </c>
      <c r="D1157" t="s">
        <v>1775</v>
      </c>
      <c r="E1157" t="s">
        <v>155</v>
      </c>
      <c r="F1157" t="s">
        <v>784</v>
      </c>
      <c r="G1157" t="s">
        <v>28</v>
      </c>
      <c r="H1157" t="s">
        <v>59</v>
      </c>
      <c r="I1157">
        <v>45307</v>
      </c>
      <c r="J1157">
        <v>45436</v>
      </c>
      <c r="K1157">
        <v>45413</v>
      </c>
      <c r="L1157">
        <v>23</v>
      </c>
      <c r="N1157" t="s">
        <v>120</v>
      </c>
      <c r="O1157">
        <v>45413</v>
      </c>
      <c r="P1157" t="s">
        <v>739</v>
      </c>
      <c r="Q1157">
        <v>11779.630999999999</v>
      </c>
      <c r="R1157">
        <v>0.1</v>
      </c>
      <c r="V1157">
        <v>203</v>
      </c>
      <c r="W1157">
        <v>0</v>
      </c>
      <c r="X1157">
        <v>104917.16</v>
      </c>
      <c r="Z1157">
        <v>12879.15</v>
      </c>
      <c r="AA1157">
        <v>117796.31</v>
      </c>
      <c r="AB1157">
        <v>45352</v>
      </c>
      <c r="AC1157" t="s">
        <v>29</v>
      </c>
      <c r="AD1157" t="s">
        <v>29</v>
      </c>
      <c r="AE1157" t="s">
        <v>116</v>
      </c>
      <c r="AF1157" t="s">
        <v>116</v>
      </c>
      <c r="AG1157" t="s">
        <v>376</v>
      </c>
      <c r="AH1157">
        <v>45447</v>
      </c>
      <c r="AI1157" t="s">
        <v>115</v>
      </c>
      <c r="AJ1157">
        <v>2550</v>
      </c>
      <c r="AK1157" t="s">
        <v>115</v>
      </c>
      <c r="AL1157">
        <v>0.21647537176673867</v>
      </c>
      <c r="AM1157" t="s">
        <v>116</v>
      </c>
      <c r="AN1157">
        <v>45524</v>
      </c>
      <c r="AO1157">
        <v>11089694</v>
      </c>
      <c r="AP1157">
        <v>107241.82</v>
      </c>
      <c r="AR1157">
        <v>13259.35</v>
      </c>
      <c r="AS1157">
        <v>120501.17</v>
      </c>
      <c r="AT1157">
        <v>2704.86</v>
      </c>
      <c r="AU1157">
        <v>270.48599999999999</v>
      </c>
      <c r="AV1157">
        <v>3052.5</v>
      </c>
      <c r="AW1157" t="s">
        <v>5454</v>
      </c>
      <c r="AX1157">
        <v>0</v>
      </c>
      <c r="AY1157">
        <v>45901</v>
      </c>
      <c r="AZ1157">
        <v>136</v>
      </c>
      <c r="BA1157" t="s">
        <v>1776</v>
      </c>
      <c r="BB1157" t="s">
        <v>1750</v>
      </c>
      <c r="BC1157" t="s">
        <v>115</v>
      </c>
      <c r="BD1157" t="s">
        <v>882</v>
      </c>
      <c r="BE1157" t="s">
        <v>115</v>
      </c>
      <c r="BF1157" t="s">
        <v>115</v>
      </c>
      <c r="BG1157" t="s">
        <v>1505</v>
      </c>
      <c r="BH1157" t="s">
        <v>1777</v>
      </c>
      <c r="BI1157" t="s">
        <v>709</v>
      </c>
      <c r="BJ1157" t="s">
        <v>709</v>
      </c>
      <c r="BK1157" t="s">
        <v>709</v>
      </c>
      <c r="BL1157" t="s">
        <v>116</v>
      </c>
      <c r="BM1157" t="s">
        <v>709</v>
      </c>
      <c r="BN1157" t="s">
        <v>709</v>
      </c>
      <c r="BO1157" t="s">
        <v>709</v>
      </c>
      <c r="BP1157" t="s">
        <v>709</v>
      </c>
      <c r="BQ1157" t="s">
        <v>709</v>
      </c>
      <c r="BR1157">
        <v>203</v>
      </c>
      <c r="BS1157" t="s">
        <v>709</v>
      </c>
      <c r="BT1157" t="s">
        <v>745</v>
      </c>
      <c r="BU1157" t="s">
        <v>709</v>
      </c>
      <c r="BV1157" t="s">
        <v>745</v>
      </c>
      <c r="BW1157" t="s">
        <v>709</v>
      </c>
      <c r="BX1157" t="s">
        <v>745</v>
      </c>
      <c r="BY1157" t="s">
        <v>745</v>
      </c>
      <c r="BZ1157" t="s">
        <v>709</v>
      </c>
      <c r="CA1157" t="s">
        <v>29</v>
      </c>
      <c r="CB1157">
        <v>1153</v>
      </c>
      <c r="CC1157" t="b">
        <v>1</v>
      </c>
      <c r="CD1157" t="s">
        <v>6279</v>
      </c>
      <c r="CE1157" s="1482">
        <v>45880.738842592589</v>
      </c>
    </row>
    <row r="1158" spans="1:83" x14ac:dyDescent="0.25">
      <c r="A1158">
        <v>2024</v>
      </c>
      <c r="B1158" t="s">
        <v>4</v>
      </c>
      <c r="C1158" t="s">
        <v>1746</v>
      </c>
      <c r="D1158">
        <v>1213525</v>
      </c>
      <c r="E1158" t="s">
        <v>1748</v>
      </c>
      <c r="F1158" t="s">
        <v>5604</v>
      </c>
      <c r="G1158" t="s">
        <v>31</v>
      </c>
      <c r="H1158" t="s">
        <v>4189</v>
      </c>
      <c r="I1158">
        <v>45372</v>
      </c>
      <c r="J1158" t="s">
        <v>2052</v>
      </c>
      <c r="K1158">
        <v>45418</v>
      </c>
      <c r="L1158">
        <v>46</v>
      </c>
      <c r="M1158" t="s">
        <v>6280</v>
      </c>
      <c r="N1158" t="s">
        <v>120</v>
      </c>
      <c r="O1158">
        <v>45413</v>
      </c>
      <c r="P1158" t="s">
        <v>739</v>
      </c>
      <c r="Q1158">
        <v>7287.5</v>
      </c>
      <c r="R1158" t="s">
        <v>1922</v>
      </c>
      <c r="S1158">
        <v>0</v>
      </c>
      <c r="T1158">
        <v>0</v>
      </c>
      <c r="U1158">
        <v>7287.5</v>
      </c>
      <c r="AD1158" t="s">
        <v>116</v>
      </c>
      <c r="AE1158" t="s">
        <v>116</v>
      </c>
      <c r="AF1158" t="s">
        <v>116</v>
      </c>
      <c r="AG1158" t="s">
        <v>29</v>
      </c>
      <c r="AH1158">
        <v>45447</v>
      </c>
      <c r="AM1158" t="s">
        <v>709</v>
      </c>
      <c r="AY1158" t="s">
        <v>29</v>
      </c>
      <c r="BA1158">
        <v>3</v>
      </c>
      <c r="BB1158" t="s">
        <v>709</v>
      </c>
      <c r="BH1158" t="s">
        <v>6281</v>
      </c>
      <c r="BI1158" t="s">
        <v>709</v>
      </c>
      <c r="BJ1158" t="s">
        <v>709</v>
      </c>
      <c r="BK1158" t="s">
        <v>709</v>
      </c>
      <c r="BL1158" t="s">
        <v>116</v>
      </c>
      <c r="BM1158" t="s">
        <v>709</v>
      </c>
      <c r="BN1158" t="s">
        <v>709</v>
      </c>
      <c r="BO1158" t="s">
        <v>709</v>
      </c>
      <c r="BP1158" t="s">
        <v>709</v>
      </c>
      <c r="BQ1158" t="s">
        <v>709</v>
      </c>
      <c r="BR1158">
        <v>285</v>
      </c>
      <c r="BS1158" t="s">
        <v>709</v>
      </c>
      <c r="BT1158" t="s">
        <v>709</v>
      </c>
      <c r="BU1158" t="s">
        <v>709</v>
      </c>
      <c r="BV1158" t="s">
        <v>709</v>
      </c>
      <c r="BW1158" t="s">
        <v>709</v>
      </c>
      <c r="BX1158" t="s">
        <v>709</v>
      </c>
      <c r="BY1158" t="s">
        <v>709</v>
      </c>
      <c r="BZ1158" t="s">
        <v>709</v>
      </c>
      <c r="CA1158" t="s">
        <v>6282</v>
      </c>
      <c r="CB1158">
        <v>1158</v>
      </c>
      <c r="CC1158" t="b">
        <v>1</v>
      </c>
      <c r="CD1158" t="s">
        <v>6283</v>
      </c>
      <c r="CE1158" s="1482">
        <v>45880.738842592589</v>
      </c>
    </row>
    <row r="1159" spans="1:83" ht="255" x14ac:dyDescent="0.25">
      <c r="A1159">
        <v>2024</v>
      </c>
      <c r="B1159" t="s">
        <v>4</v>
      </c>
      <c r="C1159" t="s">
        <v>1122</v>
      </c>
      <c r="D1159" t="s">
        <v>1123</v>
      </c>
      <c r="E1159" t="s">
        <v>910</v>
      </c>
      <c r="F1159" t="s">
        <v>784</v>
      </c>
      <c r="G1159" t="s">
        <v>25</v>
      </c>
      <c r="H1159" t="s">
        <v>59</v>
      </c>
      <c r="I1159">
        <v>45336</v>
      </c>
      <c r="J1159">
        <v>45443</v>
      </c>
      <c r="K1159">
        <v>45418</v>
      </c>
      <c r="L1159">
        <v>25</v>
      </c>
      <c r="N1159" t="s">
        <v>120</v>
      </c>
      <c r="O1159">
        <v>45413</v>
      </c>
      <c r="P1159" t="s">
        <v>739</v>
      </c>
      <c r="Q1159">
        <v>33373.732000000004</v>
      </c>
      <c r="R1159">
        <v>0.1</v>
      </c>
      <c r="V1159">
        <v>368</v>
      </c>
      <c r="W1159">
        <v>0</v>
      </c>
      <c r="X1159">
        <v>279430.8</v>
      </c>
      <c r="Z1159">
        <v>54306.52</v>
      </c>
      <c r="AA1159">
        <v>333737.32</v>
      </c>
      <c r="AB1159">
        <v>45414</v>
      </c>
      <c r="AC1159" t="s">
        <v>29</v>
      </c>
      <c r="AD1159" t="s">
        <v>29</v>
      </c>
      <c r="AE1159" t="s">
        <v>116</v>
      </c>
      <c r="AF1159" t="s">
        <v>29</v>
      </c>
      <c r="AG1159" t="s">
        <v>376</v>
      </c>
      <c r="AH1159">
        <v>45475</v>
      </c>
      <c r="AI1159">
        <v>0</v>
      </c>
      <c r="AJ1159">
        <v>36956.5</v>
      </c>
      <c r="AK1159">
        <v>777</v>
      </c>
      <c r="AL1159">
        <v>1.1306347159496575</v>
      </c>
      <c r="AM1159" t="s">
        <v>116</v>
      </c>
      <c r="AN1159">
        <v>45482</v>
      </c>
      <c r="AO1159">
        <v>11085898</v>
      </c>
      <c r="AP1159">
        <v>284240.23</v>
      </c>
      <c r="AR1159">
        <v>55608.68</v>
      </c>
      <c r="AS1159">
        <v>339848.91</v>
      </c>
      <c r="AT1159">
        <v>6111.59</v>
      </c>
      <c r="AU1159">
        <v>611.15899999999999</v>
      </c>
      <c r="AV1159">
        <v>0</v>
      </c>
      <c r="AW1159" t="s">
        <v>6284</v>
      </c>
      <c r="AX1159">
        <v>611.15899999999999</v>
      </c>
      <c r="AY1159">
        <v>45901</v>
      </c>
      <c r="AZ1159">
        <v>137</v>
      </c>
      <c r="BA1159" s="4" t="s">
        <v>1125</v>
      </c>
      <c r="BB1159" t="s">
        <v>912</v>
      </c>
      <c r="BC1159" t="s">
        <v>116</v>
      </c>
      <c r="BD1159" t="s">
        <v>115</v>
      </c>
      <c r="BE1159" t="s">
        <v>913</v>
      </c>
      <c r="BF1159" t="s">
        <v>115</v>
      </c>
      <c r="BG1159" t="s">
        <v>115</v>
      </c>
      <c r="BH1159" t="s">
        <v>1126</v>
      </c>
      <c r="BI1159" t="s">
        <v>709</v>
      </c>
      <c r="BJ1159" t="s">
        <v>709</v>
      </c>
      <c r="BK1159" t="s">
        <v>709</v>
      </c>
      <c r="BL1159" t="s">
        <v>116</v>
      </c>
      <c r="BM1159" t="s">
        <v>709</v>
      </c>
      <c r="BN1159" t="s">
        <v>709</v>
      </c>
      <c r="BO1159" t="s">
        <v>709</v>
      </c>
      <c r="BP1159" t="s">
        <v>709</v>
      </c>
      <c r="BQ1159" t="s">
        <v>709</v>
      </c>
      <c r="BR1159" t="s">
        <v>709</v>
      </c>
      <c r="BS1159">
        <v>368</v>
      </c>
      <c r="BT1159" t="s">
        <v>745</v>
      </c>
      <c r="BU1159" t="s">
        <v>709</v>
      </c>
      <c r="BV1159" t="s">
        <v>745</v>
      </c>
      <c r="BW1159" t="s">
        <v>709</v>
      </c>
      <c r="BX1159" t="s">
        <v>745</v>
      </c>
      <c r="BY1159" t="s">
        <v>745</v>
      </c>
      <c r="BZ1159" t="s">
        <v>709</v>
      </c>
      <c r="CB1159">
        <v>1157</v>
      </c>
      <c r="CC1159" t="b">
        <v>1</v>
      </c>
      <c r="CD1159" t="s">
        <v>6285</v>
      </c>
      <c r="CE1159" s="1482">
        <v>45880.738842592589</v>
      </c>
    </row>
    <row r="1160" spans="1:83" ht="409.5" x14ac:dyDescent="0.25">
      <c r="A1160">
        <v>2025</v>
      </c>
      <c r="B1160" t="s">
        <v>759</v>
      </c>
      <c r="C1160" t="s">
        <v>6286</v>
      </c>
      <c r="D1160" t="s">
        <v>6287</v>
      </c>
      <c r="E1160" t="s">
        <v>2535</v>
      </c>
      <c r="F1160" t="s">
        <v>752</v>
      </c>
      <c r="G1160" t="s">
        <v>34</v>
      </c>
      <c r="H1160" t="s">
        <v>59</v>
      </c>
      <c r="I1160">
        <v>45296</v>
      </c>
      <c r="J1160">
        <v>45428</v>
      </c>
      <c r="K1160">
        <v>45418</v>
      </c>
      <c r="L1160">
        <v>10</v>
      </c>
      <c r="N1160" t="s">
        <v>120</v>
      </c>
      <c r="O1160">
        <v>45413</v>
      </c>
      <c r="P1160" t="s">
        <v>120</v>
      </c>
      <c r="Q1160">
        <v>14750</v>
      </c>
      <c r="R1160" t="s">
        <v>5223</v>
      </c>
      <c r="V1160">
        <v>372</v>
      </c>
      <c r="W1160">
        <v>3</v>
      </c>
      <c r="X1160">
        <v>527370.93000000005</v>
      </c>
      <c r="Z1160">
        <v>158378.78</v>
      </c>
      <c r="AA1160">
        <v>685749.71</v>
      </c>
      <c r="AB1160">
        <v>45429</v>
      </c>
      <c r="AC1160" t="s">
        <v>1177</v>
      </c>
      <c r="AD1160" t="s">
        <v>29</v>
      </c>
      <c r="AE1160" t="s">
        <v>756</v>
      </c>
      <c r="AF1160" t="s">
        <v>29</v>
      </c>
      <c r="AG1160" t="s">
        <v>29</v>
      </c>
      <c r="AH1160" t="s">
        <v>116</v>
      </c>
      <c r="AI1160">
        <v>12100</v>
      </c>
      <c r="AJ1160">
        <v>0</v>
      </c>
      <c r="AK1160">
        <v>0</v>
      </c>
      <c r="AL1160">
        <v>0.82030000000000003</v>
      </c>
      <c r="AM1160" t="s">
        <v>709</v>
      </c>
      <c r="AY1160" t="s">
        <v>29</v>
      </c>
      <c r="BA1160" t="s">
        <v>6288</v>
      </c>
      <c r="BB1160" s="4" t="s">
        <v>6289</v>
      </c>
      <c r="BC1160" t="s">
        <v>116</v>
      </c>
      <c r="BD1160" t="s">
        <v>115</v>
      </c>
      <c r="BE1160" t="s">
        <v>6290</v>
      </c>
      <c r="BF1160" t="s">
        <v>115</v>
      </c>
      <c r="BG1160" t="s">
        <v>115</v>
      </c>
      <c r="BH1160" t="s">
        <v>6291</v>
      </c>
      <c r="BI1160" t="s">
        <v>709</v>
      </c>
      <c r="BJ1160" t="s">
        <v>709</v>
      </c>
      <c r="BK1160" t="s">
        <v>116</v>
      </c>
      <c r="BL1160" t="s">
        <v>116</v>
      </c>
      <c r="BM1160" t="s">
        <v>709</v>
      </c>
      <c r="BN1160">
        <v>128</v>
      </c>
      <c r="BO1160" t="s">
        <v>709</v>
      </c>
      <c r="BP1160">
        <v>31</v>
      </c>
      <c r="BQ1160">
        <v>63</v>
      </c>
      <c r="BR1160">
        <v>40</v>
      </c>
      <c r="BS1160">
        <v>20</v>
      </c>
      <c r="BT1160">
        <v>1</v>
      </c>
      <c r="BU1160" t="s">
        <v>709</v>
      </c>
      <c r="BV1160" t="s">
        <v>709</v>
      </c>
      <c r="BW1160">
        <v>1</v>
      </c>
      <c r="BX1160">
        <v>1</v>
      </c>
      <c r="BY1160" t="s">
        <v>709</v>
      </c>
      <c r="BZ1160" t="s">
        <v>709</v>
      </c>
      <c r="CA1160" t="s">
        <v>1022</v>
      </c>
      <c r="CB1160">
        <v>1156</v>
      </c>
      <c r="CC1160" t="b">
        <v>1</v>
      </c>
      <c r="CD1160" t="s">
        <v>6292</v>
      </c>
      <c r="CE1160" s="1482">
        <v>45880.738842592589</v>
      </c>
    </row>
    <row r="1161" spans="1:83" x14ac:dyDescent="0.25">
      <c r="A1161">
        <v>2024</v>
      </c>
      <c r="B1161" t="s">
        <v>4</v>
      </c>
      <c r="C1161" t="s">
        <v>5858</v>
      </c>
      <c r="D1161">
        <v>1412847</v>
      </c>
      <c r="E1161" t="s">
        <v>232</v>
      </c>
      <c r="F1161" t="s">
        <v>5604</v>
      </c>
      <c r="G1161" t="s">
        <v>27</v>
      </c>
      <c r="H1161" t="s">
        <v>4189</v>
      </c>
      <c r="I1161">
        <v>45415</v>
      </c>
      <c r="J1161" t="s">
        <v>2052</v>
      </c>
      <c r="K1161">
        <v>45420</v>
      </c>
      <c r="L1161">
        <v>5</v>
      </c>
      <c r="M1161" t="s">
        <v>6293</v>
      </c>
      <c r="N1161" t="s">
        <v>120</v>
      </c>
      <c r="O1161">
        <v>45413</v>
      </c>
      <c r="P1161" t="s">
        <v>739</v>
      </c>
      <c r="Q1161">
        <v>2735</v>
      </c>
      <c r="R1161" t="s">
        <v>1922</v>
      </c>
      <c r="S1161">
        <v>0</v>
      </c>
      <c r="T1161">
        <v>0</v>
      </c>
      <c r="U1161">
        <v>2735</v>
      </c>
      <c r="AB1161" t="s">
        <v>29</v>
      </c>
      <c r="AC1161" t="s">
        <v>29</v>
      </c>
      <c r="AD1161" t="s">
        <v>29</v>
      </c>
      <c r="AE1161" t="s">
        <v>116</v>
      </c>
      <c r="AF1161" t="s">
        <v>116</v>
      </c>
      <c r="AG1161" t="s">
        <v>29</v>
      </c>
      <c r="AH1161">
        <v>45447</v>
      </c>
      <c r="AM1161" t="s">
        <v>709</v>
      </c>
      <c r="AY1161" t="s">
        <v>29</v>
      </c>
      <c r="BA1161" t="s">
        <v>5156</v>
      </c>
      <c r="BB1161" t="s">
        <v>6294</v>
      </c>
      <c r="BH1161" t="s">
        <v>6295</v>
      </c>
      <c r="BI1161" t="s">
        <v>709</v>
      </c>
      <c r="BJ1161" t="s">
        <v>709</v>
      </c>
      <c r="BK1161" t="s">
        <v>709</v>
      </c>
      <c r="BL1161" t="s">
        <v>116</v>
      </c>
      <c r="BM1161" t="s">
        <v>709</v>
      </c>
      <c r="BN1161" t="s">
        <v>709</v>
      </c>
      <c r="BO1161" t="s">
        <v>709</v>
      </c>
      <c r="BP1161" t="s">
        <v>116</v>
      </c>
      <c r="BQ1161" t="s">
        <v>709</v>
      </c>
      <c r="BR1161" t="s">
        <v>709</v>
      </c>
      <c r="BS1161" t="s">
        <v>116</v>
      </c>
      <c r="BT1161" t="s">
        <v>709</v>
      </c>
      <c r="BU1161" t="s">
        <v>709</v>
      </c>
      <c r="BV1161" t="s">
        <v>709</v>
      </c>
      <c r="BW1161" t="s">
        <v>709</v>
      </c>
      <c r="BX1161" t="s">
        <v>709</v>
      </c>
      <c r="BY1161" t="s">
        <v>709</v>
      </c>
      <c r="BZ1161" t="s">
        <v>709</v>
      </c>
      <c r="CA1161" t="s">
        <v>6296</v>
      </c>
      <c r="CB1161">
        <v>1159</v>
      </c>
      <c r="CC1161" t="b">
        <v>1</v>
      </c>
      <c r="CD1161" t="s">
        <v>6297</v>
      </c>
      <c r="CE1161" s="1482">
        <v>45880.738854166666</v>
      </c>
    </row>
    <row r="1162" spans="1:83" x14ac:dyDescent="0.25">
      <c r="A1162">
        <v>2024</v>
      </c>
      <c r="B1162" t="s">
        <v>4</v>
      </c>
      <c r="C1162" t="s">
        <v>1778</v>
      </c>
      <c r="D1162" t="s">
        <v>1779</v>
      </c>
      <c r="E1162" t="s">
        <v>1780</v>
      </c>
      <c r="F1162" t="s">
        <v>747</v>
      </c>
      <c r="G1162" t="s">
        <v>25</v>
      </c>
      <c r="H1162" t="s">
        <v>59</v>
      </c>
      <c r="I1162">
        <v>45280</v>
      </c>
      <c r="J1162">
        <v>45422</v>
      </c>
      <c r="K1162">
        <v>45420</v>
      </c>
      <c r="L1162">
        <v>2</v>
      </c>
      <c r="N1162" t="s">
        <v>120</v>
      </c>
      <c r="O1162">
        <v>45413</v>
      </c>
      <c r="P1162" t="s">
        <v>739</v>
      </c>
      <c r="Q1162">
        <v>130376.226</v>
      </c>
      <c r="R1162">
        <v>0.1</v>
      </c>
      <c r="V1162">
        <v>6050</v>
      </c>
      <c r="W1162">
        <v>0</v>
      </c>
      <c r="X1162">
        <v>1125658.07</v>
      </c>
      <c r="Z1162">
        <v>178104.19</v>
      </c>
      <c r="AA1162">
        <v>1303762.26</v>
      </c>
      <c r="AB1162">
        <v>45407</v>
      </c>
      <c r="AC1162" t="s">
        <v>29</v>
      </c>
      <c r="AD1162" t="s">
        <v>29</v>
      </c>
      <c r="AE1162" t="s">
        <v>116</v>
      </c>
      <c r="AF1162" t="s">
        <v>116</v>
      </c>
      <c r="AG1162" t="s">
        <v>376</v>
      </c>
      <c r="AH1162">
        <v>45475</v>
      </c>
      <c r="AI1162">
        <v>20300</v>
      </c>
      <c r="AJ1162">
        <v>12183</v>
      </c>
      <c r="AK1162">
        <v>19881</v>
      </c>
      <c r="AL1162">
        <v>0.40163764212656378</v>
      </c>
      <c r="AM1162" t="s">
        <v>116</v>
      </c>
      <c r="AN1162">
        <v>45588</v>
      </c>
      <c r="AO1162">
        <v>11092796</v>
      </c>
      <c r="AP1162">
        <v>1347749.09</v>
      </c>
      <c r="AR1162">
        <v>225087.4</v>
      </c>
      <c r="AS1162">
        <v>1572836.49</v>
      </c>
      <c r="AT1162">
        <v>269074.23</v>
      </c>
      <c r="AU1162">
        <v>26907.422999999999</v>
      </c>
      <c r="AV1162">
        <v>19677.5</v>
      </c>
      <c r="AW1162" t="s">
        <v>6298</v>
      </c>
      <c r="AX1162">
        <v>0</v>
      </c>
      <c r="AY1162">
        <v>45901</v>
      </c>
      <c r="AZ1162">
        <v>138</v>
      </c>
      <c r="BA1162" t="s">
        <v>1781</v>
      </c>
      <c r="BB1162" t="s">
        <v>1782</v>
      </c>
      <c r="BC1162" t="s">
        <v>992</v>
      </c>
      <c r="BD1162" t="s">
        <v>115</v>
      </c>
      <c r="BE1162" t="s">
        <v>1783</v>
      </c>
      <c r="BF1162" t="s">
        <v>115</v>
      </c>
      <c r="BG1162" t="s">
        <v>115</v>
      </c>
      <c r="BH1162" t="s">
        <v>1784</v>
      </c>
      <c r="BI1162" t="s">
        <v>709</v>
      </c>
      <c r="BJ1162" t="s">
        <v>709</v>
      </c>
      <c r="BK1162" t="s">
        <v>709</v>
      </c>
      <c r="BL1162" t="s">
        <v>116</v>
      </c>
      <c r="BM1162" t="s">
        <v>709</v>
      </c>
      <c r="BN1162" t="s">
        <v>709</v>
      </c>
      <c r="BO1162" t="s">
        <v>709</v>
      </c>
      <c r="BP1162" t="s">
        <v>709</v>
      </c>
      <c r="BQ1162" t="s">
        <v>709</v>
      </c>
      <c r="BR1162" t="s">
        <v>116</v>
      </c>
      <c r="BS1162" t="s">
        <v>116</v>
      </c>
      <c r="BT1162" t="s">
        <v>709</v>
      </c>
      <c r="BU1162" t="s">
        <v>709</v>
      </c>
      <c r="BV1162" t="s">
        <v>709</v>
      </c>
      <c r="BW1162" t="s">
        <v>709</v>
      </c>
      <c r="BX1162" t="s">
        <v>709</v>
      </c>
      <c r="BY1162" t="s">
        <v>709</v>
      </c>
      <c r="BZ1162" t="s">
        <v>709</v>
      </c>
      <c r="CB1162">
        <v>1160</v>
      </c>
      <c r="CC1162" t="b">
        <v>1</v>
      </c>
      <c r="CD1162" t="s">
        <v>6299</v>
      </c>
      <c r="CE1162" s="1482">
        <v>45880.738854166666</v>
      </c>
    </row>
    <row r="1163" spans="1:83" ht="240" x14ac:dyDescent="0.25">
      <c r="A1163">
        <v>2024</v>
      </c>
      <c r="B1163" t="s">
        <v>4</v>
      </c>
      <c r="C1163" t="s">
        <v>1008</v>
      </c>
      <c r="D1163">
        <v>1213072</v>
      </c>
      <c r="E1163" t="s">
        <v>354</v>
      </c>
      <c r="F1163" t="s">
        <v>5604</v>
      </c>
      <c r="G1163" t="s">
        <v>26</v>
      </c>
      <c r="H1163" t="s">
        <v>4189</v>
      </c>
      <c r="I1163">
        <v>45373</v>
      </c>
      <c r="J1163" t="s">
        <v>2052</v>
      </c>
      <c r="K1163">
        <v>45425</v>
      </c>
      <c r="L1163">
        <v>52</v>
      </c>
      <c r="M1163" t="s">
        <v>6300</v>
      </c>
      <c r="N1163" t="s">
        <v>120</v>
      </c>
      <c r="O1163">
        <v>45413</v>
      </c>
      <c r="P1163" t="s">
        <v>739</v>
      </c>
      <c r="Q1163">
        <v>25615</v>
      </c>
      <c r="R1163" t="s">
        <v>1922</v>
      </c>
      <c r="S1163">
        <v>0</v>
      </c>
      <c r="T1163">
        <v>0</v>
      </c>
      <c r="U1163">
        <v>25615</v>
      </c>
      <c r="AE1163" t="s">
        <v>116</v>
      </c>
      <c r="AF1163" t="s">
        <v>116</v>
      </c>
      <c r="AG1163" t="s">
        <v>29</v>
      </c>
      <c r="AH1163">
        <v>45475</v>
      </c>
      <c r="AM1163" t="s">
        <v>709</v>
      </c>
      <c r="AY1163" t="s">
        <v>29</v>
      </c>
      <c r="BA1163">
        <v>7</v>
      </c>
      <c r="BB1163" s="4" t="s">
        <v>6301</v>
      </c>
      <c r="BH1163" t="s">
        <v>6302</v>
      </c>
      <c r="BI1163" t="s">
        <v>709</v>
      </c>
      <c r="BJ1163" t="s">
        <v>745</v>
      </c>
      <c r="BK1163" t="s">
        <v>745</v>
      </c>
      <c r="BL1163" t="s">
        <v>116</v>
      </c>
      <c r="BM1163" t="s">
        <v>745</v>
      </c>
      <c r="BN1163" t="s">
        <v>745</v>
      </c>
      <c r="BO1163" t="s">
        <v>745</v>
      </c>
      <c r="BP1163" t="s">
        <v>745</v>
      </c>
      <c r="BQ1163">
        <v>208</v>
      </c>
      <c r="BR1163" t="s">
        <v>745</v>
      </c>
      <c r="BS1163" t="s">
        <v>745</v>
      </c>
      <c r="BT1163" t="s">
        <v>745</v>
      </c>
      <c r="BU1163" t="s">
        <v>709</v>
      </c>
      <c r="BV1163" t="s">
        <v>745</v>
      </c>
      <c r="BW1163" t="s">
        <v>709</v>
      </c>
      <c r="BX1163" t="s">
        <v>745</v>
      </c>
      <c r="BY1163" t="s">
        <v>745</v>
      </c>
      <c r="BZ1163" t="s">
        <v>709</v>
      </c>
      <c r="CA1163" t="s">
        <v>6303</v>
      </c>
      <c r="CB1163">
        <v>1162</v>
      </c>
      <c r="CC1163" t="b">
        <v>1</v>
      </c>
      <c r="CD1163" t="s">
        <v>6304</v>
      </c>
      <c r="CE1163" s="1482">
        <v>45880.738854166666</v>
      </c>
    </row>
    <row r="1164" spans="1:83" ht="180" x14ac:dyDescent="0.25">
      <c r="A1164">
        <v>2024</v>
      </c>
      <c r="B1164" t="s">
        <v>4</v>
      </c>
      <c r="C1164" t="s">
        <v>1081</v>
      </c>
      <c r="D1164" t="s">
        <v>1082</v>
      </c>
      <c r="E1164" t="s">
        <v>155</v>
      </c>
      <c r="F1164" t="s">
        <v>784</v>
      </c>
      <c r="G1164" t="s">
        <v>28</v>
      </c>
      <c r="H1164" t="s">
        <v>59</v>
      </c>
      <c r="I1164">
        <v>45100</v>
      </c>
      <c r="J1164">
        <v>45429</v>
      </c>
      <c r="K1164">
        <v>45425</v>
      </c>
      <c r="L1164">
        <v>4</v>
      </c>
      <c r="N1164" t="s">
        <v>120</v>
      </c>
      <c r="O1164">
        <v>45413</v>
      </c>
      <c r="P1164" t="s">
        <v>739</v>
      </c>
      <c r="Q1164">
        <v>52914.18</v>
      </c>
      <c r="R1164">
        <v>0.1</v>
      </c>
      <c r="V1164">
        <v>746</v>
      </c>
      <c r="W1164">
        <v>0</v>
      </c>
      <c r="X1164">
        <v>416727.01</v>
      </c>
      <c r="Z1164">
        <v>112414.79</v>
      </c>
      <c r="AA1164">
        <v>529141.80000000005</v>
      </c>
      <c r="AB1164">
        <v>45411</v>
      </c>
      <c r="AC1164" t="s">
        <v>29</v>
      </c>
      <c r="AD1164" t="s">
        <v>29</v>
      </c>
      <c r="AE1164" t="s">
        <v>116</v>
      </c>
      <c r="AF1164" t="s">
        <v>116</v>
      </c>
      <c r="AG1164" t="s">
        <v>376</v>
      </c>
      <c r="AH1164">
        <v>45475</v>
      </c>
      <c r="AI1164">
        <v>0</v>
      </c>
      <c r="AJ1164">
        <v>550.02</v>
      </c>
      <c r="AK1164">
        <v>17944</v>
      </c>
      <c r="AL1164">
        <v>0.34950971554316818</v>
      </c>
      <c r="AM1164" t="s">
        <v>116</v>
      </c>
      <c r="AN1164">
        <v>45470</v>
      </c>
      <c r="AO1164">
        <v>11085291</v>
      </c>
      <c r="AP1164">
        <v>424547.5</v>
      </c>
      <c r="AR1164">
        <v>115837.08</v>
      </c>
      <c r="AS1164">
        <v>540384.57999999996</v>
      </c>
      <c r="AT1164">
        <v>11242.78</v>
      </c>
      <c r="AU1164">
        <v>1124.278</v>
      </c>
      <c r="AV1164">
        <v>0</v>
      </c>
      <c r="AW1164" t="s">
        <v>1083</v>
      </c>
      <c r="AX1164">
        <v>1124.28</v>
      </c>
      <c r="AY1164">
        <v>45566</v>
      </c>
      <c r="AZ1164">
        <v>139</v>
      </c>
      <c r="BA1164" s="4" t="s">
        <v>1084</v>
      </c>
      <c r="BB1164" t="s">
        <v>870</v>
      </c>
      <c r="BC1164" t="s">
        <v>116</v>
      </c>
      <c r="BD1164" t="s">
        <v>882</v>
      </c>
      <c r="BE1164" t="s">
        <v>1085</v>
      </c>
      <c r="BF1164" t="s">
        <v>115</v>
      </c>
      <c r="BG1164" t="s">
        <v>115</v>
      </c>
      <c r="BH1164" t="s">
        <v>1086</v>
      </c>
      <c r="BI1164" t="s">
        <v>709</v>
      </c>
      <c r="BJ1164" t="s">
        <v>709</v>
      </c>
      <c r="BK1164" t="s">
        <v>709</v>
      </c>
      <c r="BL1164" t="s">
        <v>116</v>
      </c>
      <c r="BM1164" t="s">
        <v>709</v>
      </c>
      <c r="BN1164" t="s">
        <v>709</v>
      </c>
      <c r="BO1164" t="s">
        <v>709</v>
      </c>
      <c r="BP1164" t="s">
        <v>709</v>
      </c>
      <c r="BQ1164">
        <v>685</v>
      </c>
      <c r="BR1164" t="s">
        <v>709</v>
      </c>
      <c r="BS1164">
        <v>61</v>
      </c>
      <c r="BT1164" t="s">
        <v>745</v>
      </c>
      <c r="BU1164" t="s">
        <v>709</v>
      </c>
      <c r="BV1164" t="s">
        <v>745</v>
      </c>
      <c r="BW1164" t="s">
        <v>709</v>
      </c>
      <c r="BX1164" t="s">
        <v>745</v>
      </c>
      <c r="BY1164" t="s">
        <v>745</v>
      </c>
      <c r="BZ1164" t="s">
        <v>709</v>
      </c>
      <c r="CA1164" t="s">
        <v>29</v>
      </c>
      <c r="CB1164">
        <v>1161</v>
      </c>
      <c r="CC1164" t="b">
        <v>1</v>
      </c>
      <c r="CD1164" t="s">
        <v>6305</v>
      </c>
      <c r="CE1164" s="1482">
        <v>45880.738865740743</v>
      </c>
    </row>
    <row r="1165" spans="1:83" x14ac:dyDescent="0.25">
      <c r="A1165">
        <v>2024</v>
      </c>
      <c r="B1165" t="s">
        <v>4</v>
      </c>
      <c r="C1165" t="s">
        <v>6306</v>
      </c>
      <c r="D1165" t="s">
        <v>115</v>
      </c>
      <c r="E1165" t="s">
        <v>3259</v>
      </c>
      <c r="F1165" t="s">
        <v>6307</v>
      </c>
      <c r="G1165" t="s">
        <v>28</v>
      </c>
      <c r="H1165" t="s">
        <v>4646</v>
      </c>
      <c r="I1165">
        <v>45427</v>
      </c>
      <c r="J1165" t="s">
        <v>4110</v>
      </c>
      <c r="K1165">
        <v>45428</v>
      </c>
      <c r="L1165">
        <v>1</v>
      </c>
      <c r="M1165" t="s">
        <v>6308</v>
      </c>
      <c r="N1165" t="s">
        <v>120</v>
      </c>
      <c r="O1165">
        <v>45444</v>
      </c>
      <c r="P1165" t="s">
        <v>739</v>
      </c>
      <c r="Q1165">
        <v>2072.5</v>
      </c>
      <c r="R1165" t="s">
        <v>1922</v>
      </c>
      <c r="S1165">
        <v>0</v>
      </c>
      <c r="T1165">
        <v>0</v>
      </c>
      <c r="U1165">
        <v>2072.5</v>
      </c>
      <c r="AB1165" t="s">
        <v>29</v>
      </c>
      <c r="AC1165" t="s">
        <v>29</v>
      </c>
      <c r="AD1165" t="s">
        <v>29</v>
      </c>
      <c r="AE1165" t="s">
        <v>116</v>
      </c>
      <c r="AF1165" t="s">
        <v>116</v>
      </c>
      <c r="AG1165" t="s">
        <v>29</v>
      </c>
      <c r="AH1165">
        <v>45475</v>
      </c>
      <c r="AM1165" t="s">
        <v>709</v>
      </c>
      <c r="AY1165" t="s">
        <v>29</v>
      </c>
      <c r="BA1165" t="s">
        <v>6309</v>
      </c>
      <c r="BB1165" t="s">
        <v>29</v>
      </c>
      <c r="BH1165" t="s">
        <v>6310</v>
      </c>
      <c r="CB1165">
        <v>1164</v>
      </c>
      <c r="CC1165" t="b">
        <v>1</v>
      </c>
      <c r="CD1165" t="s">
        <v>6311</v>
      </c>
      <c r="CE1165" s="1482">
        <v>45880.738865740743</v>
      </c>
    </row>
    <row r="1166" spans="1:83" x14ac:dyDescent="0.25">
      <c r="A1166">
        <v>2024</v>
      </c>
      <c r="B1166" t="s">
        <v>1073</v>
      </c>
      <c r="C1166" t="s">
        <v>544</v>
      </c>
      <c r="D1166" t="s">
        <v>6312</v>
      </c>
      <c r="E1166" t="s">
        <v>1492</v>
      </c>
      <c r="F1166" t="s">
        <v>784</v>
      </c>
      <c r="G1166" t="s">
        <v>31</v>
      </c>
      <c r="H1166" t="s">
        <v>4001</v>
      </c>
      <c r="I1166">
        <v>45383</v>
      </c>
      <c r="J1166" t="s">
        <v>2052</v>
      </c>
      <c r="K1166">
        <v>45428</v>
      </c>
      <c r="L1166">
        <v>45</v>
      </c>
      <c r="M1166" t="s">
        <v>6313</v>
      </c>
      <c r="N1166" t="s">
        <v>120</v>
      </c>
      <c r="O1166">
        <v>45444</v>
      </c>
      <c r="P1166" t="s">
        <v>739</v>
      </c>
      <c r="Q1166">
        <v>22152.5</v>
      </c>
      <c r="R1166" t="s">
        <v>1922</v>
      </c>
      <c r="S1166">
        <v>0</v>
      </c>
      <c r="T1166">
        <v>0</v>
      </c>
      <c r="U1166">
        <v>22152.5</v>
      </c>
      <c r="AB1166">
        <v>45131</v>
      </c>
      <c r="AC1166" t="s">
        <v>756</v>
      </c>
      <c r="AD1166" t="s">
        <v>29</v>
      </c>
      <c r="AE1166" t="s">
        <v>116</v>
      </c>
      <c r="AF1166" t="s">
        <v>116</v>
      </c>
      <c r="AG1166" t="s">
        <v>29</v>
      </c>
      <c r="AH1166" t="s">
        <v>29</v>
      </c>
      <c r="AM1166" t="s">
        <v>709</v>
      </c>
      <c r="AY1166" t="s">
        <v>29</v>
      </c>
      <c r="BA1166">
        <v>4</v>
      </c>
      <c r="BB1166" t="s">
        <v>6314</v>
      </c>
      <c r="BH1166" t="s">
        <v>6315</v>
      </c>
      <c r="BI1166" t="s">
        <v>709</v>
      </c>
      <c r="BJ1166" t="s">
        <v>709</v>
      </c>
      <c r="BK1166" t="s">
        <v>709</v>
      </c>
      <c r="BL1166" t="s">
        <v>116</v>
      </c>
      <c r="BM1166" t="s">
        <v>709</v>
      </c>
      <c r="BN1166" t="s">
        <v>709</v>
      </c>
      <c r="BO1166" t="s">
        <v>709</v>
      </c>
      <c r="BP1166">
        <v>4652</v>
      </c>
      <c r="BQ1166">
        <v>10</v>
      </c>
      <c r="BR1166" t="s">
        <v>709</v>
      </c>
      <c r="BS1166" t="s">
        <v>709</v>
      </c>
      <c r="BT1166" t="s">
        <v>709</v>
      </c>
      <c r="BU1166" t="s">
        <v>709</v>
      </c>
      <c r="BV1166" t="s">
        <v>709</v>
      </c>
      <c r="BW1166" t="s">
        <v>709</v>
      </c>
      <c r="BX1166" t="s">
        <v>709</v>
      </c>
      <c r="BY1166" t="s">
        <v>709</v>
      </c>
      <c r="BZ1166" t="s">
        <v>709</v>
      </c>
      <c r="CB1166">
        <v>1165</v>
      </c>
      <c r="CC1166" t="b">
        <v>1</v>
      </c>
      <c r="CD1166" t="s">
        <v>6316</v>
      </c>
      <c r="CE1166" s="1482">
        <v>45880.738865740743</v>
      </c>
    </row>
    <row r="1167" spans="1:83" ht="255" x14ac:dyDescent="0.25">
      <c r="A1167">
        <v>2024</v>
      </c>
      <c r="B1167" t="s">
        <v>759</v>
      </c>
      <c r="C1167" t="s">
        <v>1785</v>
      </c>
      <c r="D1167" t="s">
        <v>1786</v>
      </c>
      <c r="E1167" t="s">
        <v>1787</v>
      </c>
      <c r="F1167" t="s">
        <v>752</v>
      </c>
      <c r="G1167" t="s">
        <v>34</v>
      </c>
      <c r="H1167" t="s">
        <v>59</v>
      </c>
      <c r="I1167">
        <v>45296</v>
      </c>
      <c r="J1167">
        <v>45428</v>
      </c>
      <c r="K1167">
        <v>45428</v>
      </c>
      <c r="L1167">
        <v>0</v>
      </c>
      <c r="N1167" t="s">
        <v>120</v>
      </c>
      <c r="O1167">
        <v>45413</v>
      </c>
      <c r="P1167" t="s">
        <v>120</v>
      </c>
      <c r="Q1167">
        <v>101543.1164</v>
      </c>
      <c r="R1167">
        <v>0.11</v>
      </c>
      <c r="V1167">
        <v>1591</v>
      </c>
      <c r="W1167">
        <v>1</v>
      </c>
      <c r="X1167">
        <v>784377</v>
      </c>
      <c r="Z1167">
        <v>138742.24</v>
      </c>
      <c r="AA1167">
        <v>923119.24</v>
      </c>
      <c r="AB1167">
        <v>45429</v>
      </c>
      <c r="AC1167" t="s">
        <v>1177</v>
      </c>
      <c r="AD1167" t="s">
        <v>29</v>
      </c>
      <c r="AE1167" t="s">
        <v>116</v>
      </c>
      <c r="AF1167" t="s">
        <v>29</v>
      </c>
      <c r="AG1167" t="s">
        <v>116</v>
      </c>
      <c r="AH1167" t="s">
        <v>116</v>
      </c>
      <c r="AI1167">
        <v>13590</v>
      </c>
      <c r="AJ1167">
        <v>0</v>
      </c>
      <c r="AK1167">
        <v>4272</v>
      </c>
      <c r="AL1167">
        <v>0.1759055722658518</v>
      </c>
      <c r="AM1167" t="s">
        <v>116</v>
      </c>
      <c r="AN1167" t="s">
        <v>709</v>
      </c>
      <c r="AS1167">
        <v>0</v>
      </c>
      <c r="AT1167">
        <v>0</v>
      </c>
      <c r="AU1167">
        <v>0</v>
      </c>
      <c r="AY1167" t="s">
        <v>709</v>
      </c>
      <c r="AZ1167">
        <v>162</v>
      </c>
      <c r="BA1167" t="s">
        <v>1788</v>
      </c>
      <c r="BB1167" s="4" t="s">
        <v>1789</v>
      </c>
      <c r="BC1167" t="s">
        <v>115</v>
      </c>
      <c r="BD1167" t="s">
        <v>1790</v>
      </c>
      <c r="BE1167" t="s">
        <v>1791</v>
      </c>
      <c r="BF1167" t="s">
        <v>115</v>
      </c>
      <c r="BG1167" t="s">
        <v>115</v>
      </c>
      <c r="BH1167" t="s">
        <v>1792</v>
      </c>
      <c r="BI1167" t="s">
        <v>709</v>
      </c>
      <c r="BJ1167" t="s">
        <v>709</v>
      </c>
      <c r="BK1167" t="s">
        <v>709</v>
      </c>
      <c r="BL1167" t="s">
        <v>116</v>
      </c>
      <c r="BM1167" t="s">
        <v>709</v>
      </c>
      <c r="BN1167" t="s">
        <v>709</v>
      </c>
      <c r="BO1167" t="s">
        <v>709</v>
      </c>
      <c r="BP1167">
        <v>82</v>
      </c>
      <c r="BQ1167">
        <v>1127</v>
      </c>
      <c r="BR1167">
        <v>40</v>
      </c>
      <c r="BS1167">
        <v>252</v>
      </c>
      <c r="BT1167">
        <v>1</v>
      </c>
      <c r="BU1167" t="s">
        <v>709</v>
      </c>
      <c r="BV1167" t="s">
        <v>745</v>
      </c>
      <c r="BW1167">
        <v>1</v>
      </c>
      <c r="BX1167">
        <v>1</v>
      </c>
      <c r="BY1167" t="s">
        <v>745</v>
      </c>
      <c r="BZ1167" t="s">
        <v>709</v>
      </c>
      <c r="CA1167" t="s">
        <v>1022</v>
      </c>
      <c r="CB1167">
        <v>1163</v>
      </c>
      <c r="CC1167" t="b">
        <v>1</v>
      </c>
      <c r="CD1167" t="s">
        <v>6317</v>
      </c>
      <c r="CE1167" s="1482">
        <v>45880.738877314812</v>
      </c>
    </row>
    <row r="1168" spans="1:83" ht="105" x14ac:dyDescent="0.25">
      <c r="A1168">
        <v>2023</v>
      </c>
      <c r="B1168" t="s">
        <v>759</v>
      </c>
      <c r="C1168" t="s">
        <v>1793</v>
      </c>
      <c r="D1168" t="s">
        <v>1794</v>
      </c>
      <c r="E1168" t="s">
        <v>1787</v>
      </c>
      <c r="F1168" t="s">
        <v>752</v>
      </c>
      <c r="G1168" t="s">
        <v>34</v>
      </c>
      <c r="H1168" t="s">
        <v>59</v>
      </c>
      <c r="I1168">
        <v>44582</v>
      </c>
      <c r="J1168">
        <v>45429</v>
      </c>
      <c r="K1168">
        <v>45429</v>
      </c>
      <c r="L1168">
        <v>0</v>
      </c>
      <c r="N1168" t="s">
        <v>120</v>
      </c>
      <c r="O1168">
        <v>45413</v>
      </c>
      <c r="P1168" t="s">
        <v>120</v>
      </c>
      <c r="Q1168">
        <v>146544.959</v>
      </c>
      <c r="R1168">
        <v>0.11</v>
      </c>
      <c r="V1168">
        <v>1638</v>
      </c>
      <c r="W1168">
        <v>1</v>
      </c>
      <c r="X1168">
        <v>1222303.93</v>
      </c>
      <c r="Z1168">
        <v>109922.97</v>
      </c>
      <c r="AA1168">
        <v>1332226.8999999999</v>
      </c>
      <c r="AB1168">
        <v>45426</v>
      </c>
      <c r="AC1168" t="s">
        <v>1056</v>
      </c>
      <c r="AD1168" t="s">
        <v>29</v>
      </c>
      <c r="AE1168" t="s">
        <v>116</v>
      </c>
      <c r="AF1168" t="s">
        <v>116</v>
      </c>
      <c r="AG1168" t="s">
        <v>116</v>
      </c>
      <c r="AH1168" t="s">
        <v>116</v>
      </c>
      <c r="AI1168">
        <v>30900</v>
      </c>
      <c r="AJ1168">
        <v>0</v>
      </c>
      <c r="AK1168">
        <v>0</v>
      </c>
      <c r="AL1168">
        <v>0.21085679241958777</v>
      </c>
      <c r="AM1168" t="s">
        <v>116</v>
      </c>
      <c r="AN1168" t="s">
        <v>709</v>
      </c>
      <c r="AS1168">
        <v>0</v>
      </c>
      <c r="AT1168">
        <v>0</v>
      </c>
      <c r="AU1168">
        <v>0</v>
      </c>
      <c r="AY1168" t="s">
        <v>709</v>
      </c>
      <c r="AZ1168">
        <v>163</v>
      </c>
      <c r="BA1168" s="4" t="s">
        <v>1795</v>
      </c>
      <c r="BB1168" t="s">
        <v>1796</v>
      </c>
      <c r="BC1168" t="s">
        <v>116</v>
      </c>
      <c r="BD1168" t="s">
        <v>882</v>
      </c>
      <c r="BE1168" t="s">
        <v>1791</v>
      </c>
      <c r="BF1168" t="s">
        <v>115</v>
      </c>
      <c r="BG1168" t="s">
        <v>1496</v>
      </c>
      <c r="BH1168" s="4" t="s">
        <v>1797</v>
      </c>
      <c r="BI1168" t="s">
        <v>709</v>
      </c>
      <c r="BJ1168" t="s">
        <v>1798</v>
      </c>
      <c r="BK1168" t="s">
        <v>709</v>
      </c>
      <c r="BL1168" t="s">
        <v>116</v>
      </c>
      <c r="BM1168" t="s">
        <v>709</v>
      </c>
      <c r="BN1168" t="s">
        <v>709</v>
      </c>
      <c r="BO1168" t="s">
        <v>709</v>
      </c>
      <c r="BP1168" t="s">
        <v>709</v>
      </c>
      <c r="BQ1168">
        <v>41</v>
      </c>
      <c r="BR1168">
        <v>1537</v>
      </c>
      <c r="BS1168">
        <v>11</v>
      </c>
      <c r="BT1168" t="s">
        <v>745</v>
      </c>
      <c r="BU1168" t="s">
        <v>709</v>
      </c>
      <c r="BV1168" t="s">
        <v>745</v>
      </c>
      <c r="BW1168">
        <v>1</v>
      </c>
      <c r="BX1168" t="s">
        <v>745</v>
      </c>
      <c r="BY1168" t="s">
        <v>745</v>
      </c>
      <c r="BZ1168" t="s">
        <v>709</v>
      </c>
      <c r="CA1168" t="s">
        <v>1799</v>
      </c>
      <c r="CB1168">
        <v>1166</v>
      </c>
      <c r="CC1168" t="b">
        <v>1</v>
      </c>
      <c r="CD1168" t="s">
        <v>6318</v>
      </c>
      <c r="CE1168" s="1482">
        <v>45880.738877314812</v>
      </c>
    </row>
    <row r="1169" spans="1:83" x14ac:dyDescent="0.25">
      <c r="A1169">
        <v>2024</v>
      </c>
      <c r="B1169" t="s">
        <v>759</v>
      </c>
      <c r="C1169" t="s">
        <v>416</v>
      </c>
      <c r="D1169" t="s">
        <v>6020</v>
      </c>
      <c r="E1169" t="s">
        <v>309</v>
      </c>
      <c r="F1169" t="s">
        <v>752</v>
      </c>
      <c r="G1169" t="s">
        <v>219</v>
      </c>
      <c r="H1169" t="s">
        <v>4001</v>
      </c>
      <c r="I1169">
        <v>45429</v>
      </c>
      <c r="J1169" t="s">
        <v>2052</v>
      </c>
      <c r="K1169">
        <v>45436</v>
      </c>
      <c r="L1169">
        <v>7</v>
      </c>
      <c r="M1169" t="s">
        <v>6319</v>
      </c>
      <c r="N1169" t="s">
        <v>120</v>
      </c>
      <c r="O1169">
        <v>45444</v>
      </c>
      <c r="P1169" t="s">
        <v>120</v>
      </c>
      <c r="Q1169">
        <v>4175</v>
      </c>
      <c r="R1169" t="s">
        <v>1922</v>
      </c>
      <c r="S1169">
        <v>0</v>
      </c>
      <c r="T1169">
        <v>0</v>
      </c>
      <c r="U1169">
        <v>4175</v>
      </c>
      <c r="AB1169" t="s">
        <v>29</v>
      </c>
      <c r="AC1169" t="s">
        <v>756</v>
      </c>
      <c r="AD1169" t="s">
        <v>116</v>
      </c>
      <c r="AE1169" t="s">
        <v>29</v>
      </c>
      <c r="AF1169" t="s">
        <v>29</v>
      </c>
      <c r="AG1169" t="s">
        <v>29</v>
      </c>
      <c r="AH1169" t="s">
        <v>29</v>
      </c>
      <c r="AM1169" t="s">
        <v>709</v>
      </c>
      <c r="AY1169" t="s">
        <v>29</v>
      </c>
      <c r="BA1169">
        <v>10</v>
      </c>
      <c r="BB1169" t="s">
        <v>6320</v>
      </c>
      <c r="BH1169" t="s">
        <v>6321</v>
      </c>
      <c r="BI1169" t="s">
        <v>709</v>
      </c>
      <c r="BJ1169" t="s">
        <v>709</v>
      </c>
      <c r="BK1169" t="s">
        <v>116</v>
      </c>
      <c r="BL1169" t="s">
        <v>116</v>
      </c>
      <c r="BM1169" t="s">
        <v>709</v>
      </c>
      <c r="BN1169" t="s">
        <v>709</v>
      </c>
      <c r="BO1169" t="s">
        <v>709</v>
      </c>
      <c r="BP1169" t="s">
        <v>709</v>
      </c>
      <c r="BQ1169">
        <v>139</v>
      </c>
      <c r="BR1169">
        <v>140</v>
      </c>
      <c r="BS1169">
        <v>54</v>
      </c>
      <c r="BT1169" t="s">
        <v>709</v>
      </c>
      <c r="BU1169" t="s">
        <v>709</v>
      </c>
      <c r="BV1169" t="s">
        <v>709</v>
      </c>
      <c r="BW1169">
        <v>1</v>
      </c>
      <c r="BX1169">
        <v>1</v>
      </c>
      <c r="BY1169" t="s">
        <v>709</v>
      </c>
      <c r="BZ1169" t="s">
        <v>709</v>
      </c>
      <c r="CA1169" t="s">
        <v>1440</v>
      </c>
      <c r="CB1169">
        <v>1167</v>
      </c>
      <c r="CC1169" t="b">
        <v>1</v>
      </c>
      <c r="CD1169" t="s">
        <v>6322</v>
      </c>
      <c r="CE1169" s="1482">
        <v>45880.738877314812</v>
      </c>
    </row>
    <row r="1170" spans="1:83" x14ac:dyDescent="0.25">
      <c r="A1170">
        <v>2024</v>
      </c>
      <c r="B1170" t="s">
        <v>733</v>
      </c>
      <c r="C1170" t="s">
        <v>6323</v>
      </c>
      <c r="D1170" t="s">
        <v>6324</v>
      </c>
      <c r="E1170" t="s">
        <v>426</v>
      </c>
      <c r="F1170" t="s">
        <v>752</v>
      </c>
      <c r="G1170" t="s">
        <v>34</v>
      </c>
      <c r="H1170" t="s">
        <v>2724</v>
      </c>
      <c r="I1170">
        <v>45296</v>
      </c>
      <c r="J1170" t="s">
        <v>4110</v>
      </c>
      <c r="K1170">
        <v>45437</v>
      </c>
      <c r="L1170">
        <v>141</v>
      </c>
      <c r="M1170" t="s">
        <v>6325</v>
      </c>
      <c r="N1170" t="s">
        <v>120</v>
      </c>
      <c r="O1170">
        <v>45504</v>
      </c>
      <c r="P1170" t="s">
        <v>120</v>
      </c>
      <c r="Q1170">
        <v>14750</v>
      </c>
      <c r="R1170" t="s">
        <v>1922</v>
      </c>
      <c r="S1170" t="s">
        <v>915</v>
      </c>
      <c r="T1170" t="s">
        <v>915</v>
      </c>
      <c r="U1170">
        <v>14750</v>
      </c>
      <c r="V1170" t="s">
        <v>29</v>
      </c>
      <c r="W1170" t="s">
        <v>29</v>
      </c>
      <c r="X1170" t="s">
        <v>29</v>
      </c>
      <c r="Y1170" t="s">
        <v>915</v>
      </c>
      <c r="Z1170" t="s">
        <v>29</v>
      </c>
      <c r="AA1170" t="s">
        <v>29</v>
      </c>
      <c r="AB1170" t="s">
        <v>29</v>
      </c>
      <c r="AC1170" t="s">
        <v>29</v>
      </c>
      <c r="AD1170" t="s">
        <v>29</v>
      </c>
      <c r="AM1170" t="s">
        <v>709</v>
      </c>
      <c r="AY1170" t="s">
        <v>29</v>
      </c>
      <c r="BH1170" t="s">
        <v>6326</v>
      </c>
      <c r="BI1170" t="s">
        <v>709</v>
      </c>
      <c r="BJ1170" t="s">
        <v>709</v>
      </c>
      <c r="BK1170" t="s">
        <v>709</v>
      </c>
      <c r="BL1170" t="s">
        <v>116</v>
      </c>
      <c r="BM1170" t="s">
        <v>709</v>
      </c>
      <c r="BN1170" t="s">
        <v>709</v>
      </c>
      <c r="BO1170" t="s">
        <v>709</v>
      </c>
      <c r="BP1170" t="s">
        <v>709</v>
      </c>
      <c r="BQ1170">
        <v>21</v>
      </c>
      <c r="BR1170" t="s">
        <v>709</v>
      </c>
      <c r="BS1170" t="s">
        <v>709</v>
      </c>
      <c r="BT1170" t="s">
        <v>745</v>
      </c>
      <c r="BU1170" t="s">
        <v>745</v>
      </c>
      <c r="BV1170" t="s">
        <v>745</v>
      </c>
      <c r="BW1170" t="s">
        <v>745</v>
      </c>
      <c r="BX1170">
        <v>1</v>
      </c>
      <c r="BY1170" t="s">
        <v>745</v>
      </c>
      <c r="BZ1170" t="s">
        <v>709</v>
      </c>
      <c r="CB1170">
        <v>1168</v>
      </c>
      <c r="CC1170" t="b">
        <v>1</v>
      </c>
      <c r="CD1170" t="s">
        <v>6327</v>
      </c>
      <c r="CE1170" s="1482">
        <v>45880.738888888889</v>
      </c>
    </row>
    <row r="1171" spans="1:83" x14ac:dyDescent="0.25">
      <c r="A1171">
        <v>2024</v>
      </c>
      <c r="B1171" t="s">
        <v>4</v>
      </c>
      <c r="C1171" t="s">
        <v>392</v>
      </c>
      <c r="D1171" t="s">
        <v>1702</v>
      </c>
      <c r="E1171" t="s">
        <v>393</v>
      </c>
      <c r="F1171" t="s">
        <v>784</v>
      </c>
      <c r="G1171" t="s">
        <v>27</v>
      </c>
      <c r="H1171" t="s">
        <v>4189</v>
      </c>
      <c r="I1171">
        <v>45433</v>
      </c>
      <c r="J1171" t="s">
        <v>2052</v>
      </c>
      <c r="K1171">
        <v>45440</v>
      </c>
      <c r="L1171">
        <v>7</v>
      </c>
      <c r="M1171" t="s">
        <v>6328</v>
      </c>
      <c r="N1171" t="s">
        <v>120</v>
      </c>
      <c r="O1171">
        <v>45444</v>
      </c>
      <c r="P1171" t="s">
        <v>739</v>
      </c>
      <c r="Q1171">
        <v>4660</v>
      </c>
      <c r="R1171" t="s">
        <v>1922</v>
      </c>
      <c r="S1171">
        <v>0</v>
      </c>
      <c r="T1171">
        <v>0</v>
      </c>
      <c r="U1171">
        <v>4660</v>
      </c>
      <c r="AB1171" t="s">
        <v>29</v>
      </c>
      <c r="AC1171" t="s">
        <v>29</v>
      </c>
      <c r="AD1171" t="s">
        <v>29</v>
      </c>
      <c r="AE1171" t="s">
        <v>116</v>
      </c>
      <c r="AF1171" t="s">
        <v>116</v>
      </c>
      <c r="AG1171" t="s">
        <v>29</v>
      </c>
      <c r="AH1171">
        <v>45770</v>
      </c>
      <c r="AM1171" t="s">
        <v>709</v>
      </c>
      <c r="AY1171" t="s">
        <v>29</v>
      </c>
      <c r="BA1171" t="s">
        <v>4919</v>
      </c>
      <c r="BB1171" t="s">
        <v>6329</v>
      </c>
      <c r="BH1171" t="s">
        <v>6330</v>
      </c>
      <c r="BI1171" t="s">
        <v>709</v>
      </c>
      <c r="BJ1171" t="s">
        <v>709</v>
      </c>
      <c r="BK1171" t="s">
        <v>709</v>
      </c>
      <c r="BL1171" t="s">
        <v>116</v>
      </c>
      <c r="BM1171" t="s">
        <v>709</v>
      </c>
      <c r="BN1171" t="s">
        <v>709</v>
      </c>
      <c r="BO1171" t="s">
        <v>709</v>
      </c>
      <c r="BP1171" t="s">
        <v>709</v>
      </c>
      <c r="BQ1171" t="s">
        <v>116</v>
      </c>
      <c r="BR1171" t="s">
        <v>116</v>
      </c>
      <c r="BS1171" t="s">
        <v>116</v>
      </c>
      <c r="BT1171" t="s">
        <v>745</v>
      </c>
      <c r="BU1171" t="s">
        <v>709</v>
      </c>
      <c r="BV1171" t="s">
        <v>745</v>
      </c>
      <c r="BW1171" t="s">
        <v>709</v>
      </c>
      <c r="BX1171" t="s">
        <v>745</v>
      </c>
      <c r="BY1171" t="s">
        <v>745</v>
      </c>
      <c r="BZ1171" t="s">
        <v>709</v>
      </c>
      <c r="CA1171" t="s">
        <v>29</v>
      </c>
      <c r="CB1171">
        <v>1169</v>
      </c>
      <c r="CC1171" t="b">
        <v>1</v>
      </c>
      <c r="CD1171" t="s">
        <v>6331</v>
      </c>
      <c r="CE1171" s="1482">
        <v>45880.738888888889</v>
      </c>
    </row>
    <row r="1172" spans="1:83" x14ac:dyDescent="0.25">
      <c r="A1172">
        <v>2024</v>
      </c>
      <c r="B1172" t="s">
        <v>4</v>
      </c>
      <c r="C1172" t="s">
        <v>1030</v>
      </c>
      <c r="D1172">
        <v>1413358</v>
      </c>
      <c r="E1172" t="s">
        <v>1032</v>
      </c>
      <c r="F1172" t="s">
        <v>1757</v>
      </c>
      <c r="G1172" t="s">
        <v>31</v>
      </c>
      <c r="H1172" t="s">
        <v>4189</v>
      </c>
      <c r="I1172">
        <v>45433</v>
      </c>
      <c r="J1172" t="s">
        <v>2052</v>
      </c>
      <c r="K1172">
        <v>45440</v>
      </c>
      <c r="L1172">
        <v>7</v>
      </c>
      <c r="M1172" t="s">
        <v>6332</v>
      </c>
      <c r="N1172" t="s">
        <v>120</v>
      </c>
      <c r="O1172">
        <v>45444</v>
      </c>
      <c r="P1172" t="s">
        <v>739</v>
      </c>
      <c r="Q1172">
        <v>5790</v>
      </c>
      <c r="R1172" t="s">
        <v>1922</v>
      </c>
      <c r="S1172">
        <v>0</v>
      </c>
      <c r="T1172">
        <v>0</v>
      </c>
      <c r="U1172">
        <v>5790</v>
      </c>
      <c r="AB1172" t="s">
        <v>29</v>
      </c>
      <c r="AC1172" t="s">
        <v>29</v>
      </c>
      <c r="AD1172" t="s">
        <v>29</v>
      </c>
      <c r="AE1172" t="s">
        <v>116</v>
      </c>
      <c r="AF1172" t="s">
        <v>116</v>
      </c>
      <c r="AG1172" t="s">
        <v>29</v>
      </c>
      <c r="AH1172">
        <v>45447</v>
      </c>
      <c r="AM1172" t="s">
        <v>709</v>
      </c>
      <c r="AY1172" t="s">
        <v>29</v>
      </c>
      <c r="BA1172">
        <v>1</v>
      </c>
      <c r="BH1172" t="s">
        <v>6333</v>
      </c>
      <c r="BI1172" t="s">
        <v>709</v>
      </c>
      <c r="BJ1172" t="s">
        <v>709</v>
      </c>
      <c r="BK1172" t="s">
        <v>709</v>
      </c>
      <c r="BL1172" t="s">
        <v>116</v>
      </c>
      <c r="BM1172" t="s">
        <v>709</v>
      </c>
      <c r="BN1172" t="s">
        <v>709</v>
      </c>
      <c r="BO1172" t="s">
        <v>709</v>
      </c>
      <c r="BP1172" t="s">
        <v>709</v>
      </c>
      <c r="BQ1172">
        <v>5165</v>
      </c>
      <c r="BR1172">
        <v>763</v>
      </c>
      <c r="BS1172">
        <v>25</v>
      </c>
      <c r="BT1172" t="s">
        <v>709</v>
      </c>
      <c r="BU1172" t="s">
        <v>709</v>
      </c>
      <c r="BV1172" t="s">
        <v>709</v>
      </c>
      <c r="BW1172" t="s">
        <v>709</v>
      </c>
      <c r="BX1172" t="s">
        <v>709</v>
      </c>
      <c r="BY1172" t="s">
        <v>709</v>
      </c>
      <c r="BZ1172" t="s">
        <v>709</v>
      </c>
      <c r="CB1172">
        <v>1170</v>
      </c>
      <c r="CC1172" t="b">
        <v>1</v>
      </c>
      <c r="CD1172" t="s">
        <v>6334</v>
      </c>
      <c r="CE1172" s="1482">
        <v>45880.738888888889</v>
      </c>
    </row>
    <row r="1173" spans="1:83" x14ac:dyDescent="0.25">
      <c r="A1173">
        <v>2024</v>
      </c>
      <c r="B1173" t="s">
        <v>4</v>
      </c>
      <c r="C1173" t="s">
        <v>1696</v>
      </c>
      <c r="D1173" t="s">
        <v>1697</v>
      </c>
      <c r="E1173" t="s">
        <v>1698</v>
      </c>
      <c r="F1173" t="s">
        <v>784</v>
      </c>
      <c r="G1173" t="s">
        <v>27</v>
      </c>
      <c r="H1173" t="s">
        <v>4189</v>
      </c>
      <c r="I1173">
        <v>45434</v>
      </c>
      <c r="J1173" t="s">
        <v>2052</v>
      </c>
      <c r="K1173">
        <v>45441</v>
      </c>
      <c r="L1173">
        <v>7</v>
      </c>
      <c r="M1173" t="s">
        <v>6335</v>
      </c>
      <c r="N1173" t="s">
        <v>120</v>
      </c>
      <c r="O1173">
        <v>45444</v>
      </c>
      <c r="P1173" t="s">
        <v>739</v>
      </c>
      <c r="Q1173">
        <v>1470</v>
      </c>
      <c r="R1173" t="s">
        <v>1922</v>
      </c>
      <c r="S1173">
        <v>0</v>
      </c>
      <c r="T1173">
        <v>0</v>
      </c>
      <c r="U1173">
        <v>1470</v>
      </c>
      <c r="AB1173">
        <v>45442</v>
      </c>
      <c r="AC1173" t="s">
        <v>29</v>
      </c>
      <c r="AD1173" t="s">
        <v>116</v>
      </c>
      <c r="AE1173" t="s">
        <v>116</v>
      </c>
      <c r="AF1173" t="s">
        <v>116</v>
      </c>
      <c r="AG1173" t="s">
        <v>29</v>
      </c>
      <c r="AH1173">
        <v>45567</v>
      </c>
      <c r="AM1173" t="s">
        <v>709</v>
      </c>
      <c r="AY1173" t="s">
        <v>29</v>
      </c>
      <c r="BA1173">
        <v>4</v>
      </c>
      <c r="BH1173" t="s">
        <v>6336</v>
      </c>
      <c r="BI1173" t="s">
        <v>709</v>
      </c>
      <c r="BJ1173" t="s">
        <v>709</v>
      </c>
      <c r="BK1173" t="s">
        <v>709</v>
      </c>
      <c r="BL1173" t="s">
        <v>709</v>
      </c>
      <c r="BM1173" t="s">
        <v>709</v>
      </c>
      <c r="BN1173" t="s">
        <v>116</v>
      </c>
      <c r="BO1173" t="s">
        <v>709</v>
      </c>
      <c r="BP1173" t="s">
        <v>116</v>
      </c>
      <c r="BQ1173" t="s">
        <v>116</v>
      </c>
      <c r="BR1173" t="s">
        <v>116</v>
      </c>
      <c r="BS1173" t="s">
        <v>116</v>
      </c>
      <c r="BT1173" t="s">
        <v>745</v>
      </c>
      <c r="BU1173" t="s">
        <v>709</v>
      </c>
      <c r="BV1173" t="s">
        <v>745</v>
      </c>
      <c r="BW1173" t="s">
        <v>709</v>
      </c>
      <c r="BX1173" t="s">
        <v>745</v>
      </c>
      <c r="BY1173" t="s">
        <v>745</v>
      </c>
      <c r="BZ1173" t="s">
        <v>709</v>
      </c>
      <c r="CA1173" t="s">
        <v>29</v>
      </c>
      <c r="CB1173">
        <v>1171</v>
      </c>
      <c r="CC1173" t="b">
        <v>1</v>
      </c>
      <c r="CD1173" t="s">
        <v>6337</v>
      </c>
      <c r="CE1173" s="1482">
        <v>45880.738900462966</v>
      </c>
    </row>
    <row r="1174" spans="1:83" x14ac:dyDescent="0.25">
      <c r="A1174">
        <v>2024</v>
      </c>
      <c r="B1174" t="s">
        <v>4</v>
      </c>
      <c r="C1174" t="s">
        <v>1802</v>
      </c>
      <c r="D1174" t="s">
        <v>1803</v>
      </c>
      <c r="E1174" t="s">
        <v>1804</v>
      </c>
      <c r="F1174" t="s">
        <v>851</v>
      </c>
      <c r="G1174" t="s">
        <v>28</v>
      </c>
      <c r="H1174" t="s">
        <v>4450</v>
      </c>
      <c r="I1174">
        <v>45422</v>
      </c>
      <c r="J1174" t="s">
        <v>2612</v>
      </c>
      <c r="K1174">
        <v>45442</v>
      </c>
      <c r="L1174">
        <v>20</v>
      </c>
      <c r="M1174" t="s">
        <v>6338</v>
      </c>
      <c r="N1174" t="s">
        <v>120</v>
      </c>
      <c r="O1174">
        <v>45444</v>
      </c>
      <c r="P1174" t="s">
        <v>739</v>
      </c>
      <c r="Q1174">
        <v>16280</v>
      </c>
      <c r="R1174" t="s">
        <v>1922</v>
      </c>
      <c r="S1174">
        <v>0</v>
      </c>
      <c r="T1174">
        <v>0</v>
      </c>
      <c r="U1174">
        <v>16280</v>
      </c>
      <c r="AB1174" t="s">
        <v>29</v>
      </c>
      <c r="AC1174" t="s">
        <v>29</v>
      </c>
      <c r="AD1174" t="s">
        <v>29</v>
      </c>
      <c r="AE1174" t="s">
        <v>116</v>
      </c>
      <c r="AF1174" t="s">
        <v>116</v>
      </c>
      <c r="AG1174" t="s">
        <v>29</v>
      </c>
      <c r="AH1174">
        <v>45475</v>
      </c>
      <c r="AM1174" t="s">
        <v>709</v>
      </c>
      <c r="AY1174" t="s">
        <v>29</v>
      </c>
      <c r="BA1174" t="s">
        <v>6339</v>
      </c>
      <c r="BB1174" t="s">
        <v>29</v>
      </c>
      <c r="BH1174" t="s">
        <v>6340</v>
      </c>
      <c r="CB1174">
        <v>1173</v>
      </c>
      <c r="CC1174" t="b">
        <v>1</v>
      </c>
      <c r="CD1174" t="s">
        <v>6341</v>
      </c>
      <c r="CE1174" s="1482">
        <v>45880.738900462966</v>
      </c>
    </row>
    <row r="1175" spans="1:83" x14ac:dyDescent="0.25">
      <c r="A1175">
        <v>2024</v>
      </c>
      <c r="B1175" t="s">
        <v>4</v>
      </c>
      <c r="C1175" t="s">
        <v>1802</v>
      </c>
      <c r="D1175" t="s">
        <v>1803</v>
      </c>
      <c r="E1175" t="s">
        <v>1804</v>
      </c>
      <c r="F1175" t="s">
        <v>851</v>
      </c>
      <c r="G1175" t="s">
        <v>28</v>
      </c>
      <c r="H1175" t="s">
        <v>59</v>
      </c>
      <c r="I1175">
        <v>45216</v>
      </c>
      <c r="J1175">
        <v>45443</v>
      </c>
      <c r="K1175">
        <v>45442</v>
      </c>
      <c r="L1175">
        <v>1</v>
      </c>
      <c r="N1175" t="s">
        <v>120</v>
      </c>
      <c r="O1175">
        <v>45444</v>
      </c>
      <c r="P1175" t="s">
        <v>739</v>
      </c>
      <c r="Q1175">
        <v>297748.33100000001</v>
      </c>
      <c r="R1175">
        <v>0.1</v>
      </c>
      <c r="V1175">
        <v>7041</v>
      </c>
      <c r="W1175">
        <v>0</v>
      </c>
      <c r="X1175">
        <v>2529591.65</v>
      </c>
      <c r="Z1175">
        <v>447891.66</v>
      </c>
      <c r="AA1175">
        <v>2977483.31</v>
      </c>
      <c r="AB1175">
        <v>45433</v>
      </c>
      <c r="AC1175" t="s">
        <v>116</v>
      </c>
      <c r="AD1175" t="s">
        <v>29</v>
      </c>
      <c r="AE1175" t="s">
        <v>116</v>
      </c>
      <c r="AF1175" t="s">
        <v>116</v>
      </c>
      <c r="AG1175" t="s">
        <v>376</v>
      </c>
      <c r="AH1175">
        <v>45475</v>
      </c>
      <c r="AI1175">
        <v>0</v>
      </c>
      <c r="AJ1175">
        <v>19800</v>
      </c>
      <c r="AK1175">
        <v>7092</v>
      </c>
      <c r="AL1175">
        <v>9.0317886618145313E-2</v>
      </c>
      <c r="AM1175" t="s">
        <v>116</v>
      </c>
      <c r="AN1175">
        <v>45593</v>
      </c>
      <c r="AO1175">
        <v>11090345</v>
      </c>
      <c r="AP1175">
        <v>2568392.08</v>
      </c>
      <c r="AQ1175">
        <v>2568</v>
      </c>
      <c r="AR1175">
        <v>453813.49</v>
      </c>
      <c r="AS1175">
        <v>3022205.57</v>
      </c>
      <c r="AT1175">
        <v>44722.26</v>
      </c>
      <c r="AU1175">
        <v>4472.2259999999997</v>
      </c>
      <c r="AV1175">
        <v>0</v>
      </c>
      <c r="AW1175" t="s">
        <v>6342</v>
      </c>
      <c r="AX1175">
        <v>4472.2259999999997</v>
      </c>
      <c r="AY1175">
        <v>45901</v>
      </c>
      <c r="AZ1175">
        <v>140</v>
      </c>
      <c r="BA1175" t="s">
        <v>1805</v>
      </c>
      <c r="BB1175" t="s">
        <v>1806</v>
      </c>
      <c r="BC1175" t="s">
        <v>992</v>
      </c>
      <c r="BD1175" t="s">
        <v>882</v>
      </c>
      <c r="BE1175" t="s">
        <v>1807</v>
      </c>
      <c r="BF1175" t="s">
        <v>907</v>
      </c>
      <c r="BG1175" t="s">
        <v>115</v>
      </c>
      <c r="BH1175" t="s">
        <v>1808</v>
      </c>
      <c r="BI1175" t="s">
        <v>709</v>
      </c>
      <c r="BJ1175" t="s">
        <v>709</v>
      </c>
      <c r="BK1175" t="s">
        <v>709</v>
      </c>
      <c r="BL1175" t="s">
        <v>116</v>
      </c>
      <c r="BM1175" t="s">
        <v>709</v>
      </c>
      <c r="BN1175" t="s">
        <v>709</v>
      </c>
      <c r="BO1175" t="s">
        <v>709</v>
      </c>
      <c r="BP1175">
        <v>6395</v>
      </c>
      <c r="BQ1175" t="s">
        <v>709</v>
      </c>
      <c r="BR1175">
        <v>209</v>
      </c>
      <c r="BS1175">
        <v>437</v>
      </c>
      <c r="BT1175" t="s">
        <v>709</v>
      </c>
      <c r="BU1175" t="s">
        <v>709</v>
      </c>
      <c r="BV1175" t="s">
        <v>709</v>
      </c>
      <c r="BW1175" t="s">
        <v>709</v>
      </c>
      <c r="BX1175" t="s">
        <v>709</v>
      </c>
      <c r="BY1175" t="s">
        <v>709</v>
      </c>
      <c r="BZ1175" t="s">
        <v>709</v>
      </c>
      <c r="CB1175">
        <v>1172</v>
      </c>
      <c r="CC1175" t="b">
        <v>1</v>
      </c>
      <c r="CD1175" t="s">
        <v>6343</v>
      </c>
      <c r="CE1175" s="1482">
        <v>45880.738900462966</v>
      </c>
    </row>
    <row r="1176" spans="1:83" x14ac:dyDescent="0.25">
      <c r="A1176">
        <v>2024</v>
      </c>
      <c r="B1176" t="s">
        <v>771</v>
      </c>
      <c r="C1176" t="s">
        <v>1809</v>
      </c>
      <c r="D1176" t="s">
        <v>1810</v>
      </c>
      <c r="E1176" t="s">
        <v>149</v>
      </c>
      <c r="F1176" t="s">
        <v>784</v>
      </c>
      <c r="G1176" t="s">
        <v>34</v>
      </c>
      <c r="H1176" t="s">
        <v>59</v>
      </c>
      <c r="I1176">
        <v>45216</v>
      </c>
      <c r="J1176">
        <v>45450</v>
      </c>
      <c r="K1176">
        <v>45446</v>
      </c>
      <c r="L1176">
        <v>4</v>
      </c>
      <c r="N1176" t="s">
        <v>120</v>
      </c>
      <c r="O1176">
        <v>45444</v>
      </c>
      <c r="P1176" t="s">
        <v>120</v>
      </c>
      <c r="Q1176">
        <v>278927.18040000001</v>
      </c>
      <c r="R1176">
        <v>0.04</v>
      </c>
      <c r="V1176">
        <v>27260</v>
      </c>
      <c r="W1176">
        <v>0</v>
      </c>
      <c r="X1176">
        <v>6755557.0300000003</v>
      </c>
      <c r="Z1176">
        <v>217622.48</v>
      </c>
      <c r="AA1176">
        <v>6973179.5099999998</v>
      </c>
      <c r="AB1176">
        <v>45448</v>
      </c>
      <c r="AC1176" t="s">
        <v>116</v>
      </c>
      <c r="AD1176" t="s">
        <v>29</v>
      </c>
      <c r="AE1176" t="s">
        <v>116</v>
      </c>
      <c r="AF1176" t="s">
        <v>116</v>
      </c>
      <c r="AG1176" t="s">
        <v>116</v>
      </c>
      <c r="AH1176" t="s">
        <v>376</v>
      </c>
      <c r="AI1176">
        <v>65810</v>
      </c>
      <c r="AK1176">
        <v>6175.5</v>
      </c>
      <c r="AL1176">
        <v>0.25807990421287746</v>
      </c>
      <c r="AM1176" t="s">
        <v>116</v>
      </c>
      <c r="AN1176" t="s">
        <v>709</v>
      </c>
      <c r="AS1176">
        <v>0</v>
      </c>
      <c r="AT1176">
        <v>0</v>
      </c>
      <c r="AU1176">
        <v>0</v>
      </c>
      <c r="AY1176" t="s">
        <v>709</v>
      </c>
      <c r="AZ1176">
        <v>4</v>
      </c>
      <c r="BA1176" t="s">
        <v>1811</v>
      </c>
      <c r="BB1176" t="s">
        <v>1812</v>
      </c>
      <c r="BC1176" t="s">
        <v>116</v>
      </c>
      <c r="BD1176" t="s">
        <v>115</v>
      </c>
      <c r="BE1176" t="s">
        <v>1813</v>
      </c>
      <c r="BF1176" t="s">
        <v>115</v>
      </c>
      <c r="BG1176" t="s">
        <v>1814</v>
      </c>
      <c r="BH1176" t="s">
        <v>1815</v>
      </c>
      <c r="BI1176" t="s">
        <v>709</v>
      </c>
      <c r="BJ1176" t="s">
        <v>709</v>
      </c>
      <c r="BK1176" t="s">
        <v>709</v>
      </c>
      <c r="BL1176" t="s">
        <v>116</v>
      </c>
      <c r="BM1176" t="s">
        <v>709</v>
      </c>
      <c r="BN1176" t="s">
        <v>709</v>
      </c>
      <c r="BO1176" t="s">
        <v>709</v>
      </c>
      <c r="BP1176" t="s">
        <v>709</v>
      </c>
      <c r="BQ1176" t="s">
        <v>709</v>
      </c>
      <c r="BR1176" t="s">
        <v>116</v>
      </c>
      <c r="BS1176" t="s">
        <v>116</v>
      </c>
      <c r="BT1176" t="s">
        <v>709</v>
      </c>
      <c r="BU1176" t="s">
        <v>709</v>
      </c>
      <c r="BV1176" t="s">
        <v>709</v>
      </c>
      <c r="BW1176" t="s">
        <v>709</v>
      </c>
      <c r="BX1176" t="s">
        <v>709</v>
      </c>
      <c r="BY1176" t="s">
        <v>709</v>
      </c>
      <c r="BZ1176" t="s">
        <v>709</v>
      </c>
      <c r="CB1176">
        <v>1175</v>
      </c>
      <c r="CC1176" t="b">
        <v>1</v>
      </c>
      <c r="CD1176" t="s">
        <v>6344</v>
      </c>
      <c r="CE1176" s="1482">
        <v>45880.738912037035</v>
      </c>
    </row>
    <row r="1177" spans="1:83" x14ac:dyDescent="0.25">
      <c r="A1177">
        <v>2024</v>
      </c>
      <c r="B1177" t="s">
        <v>4</v>
      </c>
      <c r="C1177" t="s">
        <v>6345</v>
      </c>
      <c r="D1177" t="s">
        <v>115</v>
      </c>
      <c r="E1177" t="s">
        <v>354</v>
      </c>
      <c r="F1177" t="s">
        <v>784</v>
      </c>
      <c r="G1177" t="s">
        <v>27</v>
      </c>
      <c r="H1177" t="s">
        <v>1681</v>
      </c>
      <c r="I1177">
        <v>45230</v>
      </c>
      <c r="J1177">
        <v>45464</v>
      </c>
      <c r="K1177">
        <v>45446</v>
      </c>
      <c r="L1177">
        <v>18</v>
      </c>
      <c r="N1177" t="s">
        <v>120</v>
      </c>
      <c r="O1177">
        <v>45444</v>
      </c>
      <c r="P1177" t="s">
        <v>739</v>
      </c>
      <c r="Q1177" t="s">
        <v>115</v>
      </c>
      <c r="R1177" t="s">
        <v>115</v>
      </c>
      <c r="AB1177" t="s">
        <v>29</v>
      </c>
      <c r="AC1177" t="s">
        <v>29</v>
      </c>
      <c r="AD1177" t="s">
        <v>29</v>
      </c>
      <c r="AE1177" t="s">
        <v>756</v>
      </c>
      <c r="AF1177" t="s">
        <v>29</v>
      </c>
      <c r="AG1177" t="s">
        <v>29</v>
      </c>
      <c r="AH1177">
        <v>45567</v>
      </c>
      <c r="AM1177" t="s">
        <v>709</v>
      </c>
      <c r="AY1177" t="s">
        <v>29</v>
      </c>
      <c r="BB1177" t="s">
        <v>905</v>
      </c>
      <c r="BC1177" t="s">
        <v>992</v>
      </c>
      <c r="BD1177" t="s">
        <v>709</v>
      </c>
      <c r="BE1177" t="s">
        <v>709</v>
      </c>
      <c r="BF1177" t="s">
        <v>709</v>
      </c>
      <c r="BG1177" t="s">
        <v>6346</v>
      </c>
      <c r="BH1177" t="s">
        <v>6347</v>
      </c>
      <c r="CA1177" t="s">
        <v>915</v>
      </c>
      <c r="CB1177">
        <v>1174</v>
      </c>
      <c r="CC1177" t="b">
        <v>1</v>
      </c>
      <c r="CD1177" t="s">
        <v>6348</v>
      </c>
      <c r="CE1177" s="1482">
        <v>45880.738912037035</v>
      </c>
    </row>
    <row r="1178" spans="1:83" ht="345" x14ac:dyDescent="0.25">
      <c r="A1178">
        <v>2024</v>
      </c>
      <c r="B1178" t="s">
        <v>4</v>
      </c>
      <c r="C1178" t="s">
        <v>1134</v>
      </c>
      <c r="D1178" t="s">
        <v>1135</v>
      </c>
      <c r="E1178" t="s">
        <v>1136</v>
      </c>
      <c r="F1178" t="s">
        <v>784</v>
      </c>
      <c r="G1178" t="s">
        <v>26</v>
      </c>
      <c r="H1178" t="s">
        <v>59</v>
      </c>
      <c r="I1178">
        <v>45321</v>
      </c>
      <c r="J1178">
        <v>45450</v>
      </c>
      <c r="K1178">
        <v>45447</v>
      </c>
      <c r="L1178">
        <v>3</v>
      </c>
      <c r="N1178" t="s">
        <v>120</v>
      </c>
      <c r="O1178">
        <v>45444</v>
      </c>
      <c r="P1178" t="s">
        <v>739</v>
      </c>
      <c r="Q1178">
        <v>223755.731</v>
      </c>
      <c r="R1178">
        <v>0.1</v>
      </c>
      <c r="V1178">
        <v>3851</v>
      </c>
      <c r="W1178">
        <v>0</v>
      </c>
      <c r="X1178">
        <v>1907783.6799999999</v>
      </c>
      <c r="Z1178">
        <v>329773.63</v>
      </c>
      <c r="AA1178">
        <v>2237557.31</v>
      </c>
      <c r="AB1178">
        <v>45433</v>
      </c>
      <c r="AC1178" t="s">
        <v>116</v>
      </c>
      <c r="AD1178" t="s">
        <v>29</v>
      </c>
      <c r="AE1178" t="s">
        <v>116</v>
      </c>
      <c r="AF1178" t="s">
        <v>116</v>
      </c>
      <c r="AG1178" t="s">
        <v>116</v>
      </c>
      <c r="AH1178">
        <v>45525</v>
      </c>
      <c r="AI1178">
        <v>17900</v>
      </c>
      <c r="AJ1178">
        <v>8218.34</v>
      </c>
      <c r="AK1178">
        <v>13090.25</v>
      </c>
      <c r="AL1178">
        <v>0.17522943356476528</v>
      </c>
      <c r="AM1178" t="s">
        <v>116</v>
      </c>
      <c r="AN1178">
        <v>45484</v>
      </c>
      <c r="AO1178">
        <v>11086100</v>
      </c>
      <c r="AP1178">
        <v>1907783.6799999999</v>
      </c>
      <c r="AR1178">
        <v>329053.63</v>
      </c>
      <c r="AS1178">
        <v>2236837.31</v>
      </c>
      <c r="AT1178">
        <v>-720</v>
      </c>
      <c r="AU1178">
        <v>-72</v>
      </c>
      <c r="AV1178">
        <v>0</v>
      </c>
      <c r="AW1178" t="s">
        <v>6349</v>
      </c>
      <c r="AX1178">
        <v>-72</v>
      </c>
      <c r="AY1178">
        <v>45901</v>
      </c>
      <c r="AZ1178">
        <v>142</v>
      </c>
      <c r="BA1178" s="4" t="s">
        <v>1138</v>
      </c>
      <c r="BB1178" t="s">
        <v>1139</v>
      </c>
      <c r="BC1178" t="s">
        <v>115</v>
      </c>
      <c r="BD1178" t="s">
        <v>1140</v>
      </c>
      <c r="BE1178" t="s">
        <v>115</v>
      </c>
      <c r="BF1178" t="s">
        <v>115</v>
      </c>
      <c r="BG1178" t="s">
        <v>115</v>
      </c>
      <c r="BH1178" t="s">
        <v>1141</v>
      </c>
      <c r="BI1178" t="s">
        <v>709</v>
      </c>
      <c r="BJ1178" t="s">
        <v>709</v>
      </c>
      <c r="BK1178" t="s">
        <v>116</v>
      </c>
      <c r="BL1178" t="s">
        <v>116</v>
      </c>
      <c r="BM1178" t="s">
        <v>709</v>
      </c>
      <c r="BN1178">
        <v>381</v>
      </c>
      <c r="BO1178" t="s">
        <v>709</v>
      </c>
      <c r="BP1178" t="s">
        <v>709</v>
      </c>
      <c r="BQ1178" t="s">
        <v>709</v>
      </c>
      <c r="BR1178">
        <v>369</v>
      </c>
      <c r="BS1178">
        <v>3101</v>
      </c>
      <c r="BT1178" t="s">
        <v>709</v>
      </c>
      <c r="BU1178" t="s">
        <v>709</v>
      </c>
      <c r="BV1178" t="s">
        <v>709</v>
      </c>
      <c r="BW1178" t="s">
        <v>709</v>
      </c>
      <c r="BX1178" t="s">
        <v>709</v>
      </c>
      <c r="BY1178" t="s">
        <v>709</v>
      </c>
      <c r="BZ1178" t="s">
        <v>709</v>
      </c>
      <c r="CA1178" t="s">
        <v>29</v>
      </c>
      <c r="CB1178">
        <v>1177</v>
      </c>
      <c r="CC1178" t="b">
        <v>1</v>
      </c>
      <c r="CD1178" t="s">
        <v>6350</v>
      </c>
      <c r="CE1178" s="1482">
        <v>45880.738923611112</v>
      </c>
    </row>
    <row r="1179" spans="1:83" x14ac:dyDescent="0.25">
      <c r="A1179">
        <v>2024</v>
      </c>
      <c r="B1179" t="s">
        <v>4</v>
      </c>
      <c r="C1179" t="s">
        <v>1816</v>
      </c>
      <c r="D1179" t="s">
        <v>1817</v>
      </c>
      <c r="E1179" t="s">
        <v>1347</v>
      </c>
      <c r="F1179" t="s">
        <v>1102</v>
      </c>
      <c r="G1179" t="s">
        <v>35</v>
      </c>
      <c r="H1179" t="s">
        <v>59</v>
      </c>
      <c r="I1179">
        <v>45352</v>
      </c>
      <c r="J1179">
        <v>45450</v>
      </c>
      <c r="K1179">
        <v>45447</v>
      </c>
      <c r="L1179">
        <v>3</v>
      </c>
      <c r="N1179" t="s">
        <v>120</v>
      </c>
      <c r="O1179">
        <v>45444</v>
      </c>
      <c r="P1179" t="s">
        <v>739</v>
      </c>
      <c r="Q1179">
        <v>55458.917000000001</v>
      </c>
      <c r="R1179">
        <v>0.1</v>
      </c>
      <c r="V1179">
        <v>1877</v>
      </c>
      <c r="W1179">
        <v>0</v>
      </c>
      <c r="X1179">
        <v>449671.96</v>
      </c>
      <c r="Z1179">
        <v>104917.21</v>
      </c>
      <c r="AA1179">
        <v>554589.17000000004</v>
      </c>
      <c r="AB1179">
        <v>45447</v>
      </c>
      <c r="AC1179" t="s">
        <v>709</v>
      </c>
      <c r="AD1179" t="s">
        <v>29</v>
      </c>
      <c r="AE1179" t="s">
        <v>116</v>
      </c>
      <c r="AF1179" t="s">
        <v>29</v>
      </c>
      <c r="AG1179" t="s">
        <v>376</v>
      </c>
      <c r="AH1179">
        <v>45525</v>
      </c>
      <c r="AI1179">
        <v>0</v>
      </c>
      <c r="AJ1179">
        <v>4100</v>
      </c>
      <c r="AK1179">
        <v>8442.5</v>
      </c>
      <c r="AL1179">
        <v>0.22615840118190547</v>
      </c>
      <c r="AM1179" t="s">
        <v>116</v>
      </c>
      <c r="AN1179">
        <v>45581</v>
      </c>
      <c r="AO1179">
        <v>11092361</v>
      </c>
      <c r="AP1179">
        <v>455037.29</v>
      </c>
      <c r="AR1179">
        <v>105076.41</v>
      </c>
      <c r="AS1179">
        <v>560113.69999999995</v>
      </c>
      <c r="AT1179">
        <v>5524.53</v>
      </c>
      <c r="AU1179">
        <v>552.45299999999997</v>
      </c>
      <c r="AV1179">
        <v>0</v>
      </c>
      <c r="AW1179" t="s">
        <v>6351</v>
      </c>
      <c r="AX1179">
        <v>552.45299999999997</v>
      </c>
      <c r="AY1179">
        <v>45901</v>
      </c>
      <c r="AZ1179">
        <v>141</v>
      </c>
      <c r="BA1179" t="s">
        <v>1818</v>
      </c>
      <c r="BB1179" t="s">
        <v>1819</v>
      </c>
      <c r="BC1179" t="s">
        <v>115</v>
      </c>
      <c r="BD1179" t="s">
        <v>115</v>
      </c>
      <c r="BE1179" t="s">
        <v>6352</v>
      </c>
      <c r="BF1179" t="s">
        <v>115</v>
      </c>
      <c r="BG1179" t="s">
        <v>115</v>
      </c>
      <c r="BH1179" t="s">
        <v>1820</v>
      </c>
      <c r="BI1179" t="s">
        <v>709</v>
      </c>
      <c r="BJ1179" t="s">
        <v>709</v>
      </c>
      <c r="BK1179" t="s">
        <v>709</v>
      </c>
      <c r="BL1179" t="s">
        <v>116</v>
      </c>
      <c r="BM1179" t="s">
        <v>709</v>
      </c>
      <c r="BN1179" t="s">
        <v>709</v>
      </c>
      <c r="BO1179" t="s">
        <v>709</v>
      </c>
      <c r="BP1179" t="s">
        <v>709</v>
      </c>
      <c r="BQ1179" t="s">
        <v>709</v>
      </c>
      <c r="BR1179" t="s">
        <v>709</v>
      </c>
      <c r="BS1179">
        <v>1877</v>
      </c>
      <c r="BT1179" t="s">
        <v>745</v>
      </c>
      <c r="BU1179" t="s">
        <v>709</v>
      </c>
      <c r="BV1179" t="s">
        <v>745</v>
      </c>
      <c r="BW1179" t="s">
        <v>709</v>
      </c>
      <c r="BX1179" t="s">
        <v>745</v>
      </c>
      <c r="BY1179" t="s">
        <v>745</v>
      </c>
      <c r="BZ1179" t="s">
        <v>709</v>
      </c>
      <c r="CB1179">
        <v>1176</v>
      </c>
      <c r="CC1179" t="b">
        <v>1</v>
      </c>
      <c r="CD1179" t="s">
        <v>6353</v>
      </c>
      <c r="CE1179" s="1482">
        <v>45880.738923611112</v>
      </c>
    </row>
    <row r="1180" spans="1:83" x14ac:dyDescent="0.25">
      <c r="A1180">
        <v>2024</v>
      </c>
      <c r="B1180" t="s">
        <v>4</v>
      </c>
      <c r="C1180" t="s">
        <v>1821</v>
      </c>
      <c r="D1180" t="s">
        <v>1822</v>
      </c>
      <c r="E1180" t="s">
        <v>1154</v>
      </c>
      <c r="F1180" t="s">
        <v>1102</v>
      </c>
      <c r="G1180" t="s">
        <v>26</v>
      </c>
      <c r="H1180" t="s">
        <v>59</v>
      </c>
      <c r="I1180">
        <v>45348</v>
      </c>
      <c r="J1180">
        <v>45457</v>
      </c>
      <c r="K1180">
        <v>45448</v>
      </c>
      <c r="L1180">
        <v>9</v>
      </c>
      <c r="N1180" t="s">
        <v>120</v>
      </c>
      <c r="O1180">
        <v>45444</v>
      </c>
      <c r="P1180" t="s">
        <v>739</v>
      </c>
      <c r="Q1180">
        <v>45482.546000000002</v>
      </c>
      <c r="R1180">
        <v>0.1</v>
      </c>
      <c r="V1180">
        <v>1529</v>
      </c>
      <c r="W1180">
        <v>0</v>
      </c>
      <c r="X1180">
        <v>401411.53</v>
      </c>
      <c r="Z1180">
        <v>53413.93</v>
      </c>
      <c r="AA1180">
        <v>454825.46</v>
      </c>
      <c r="AB1180">
        <v>45422</v>
      </c>
      <c r="AC1180" t="s">
        <v>709</v>
      </c>
      <c r="AD1180" t="s">
        <v>29</v>
      </c>
      <c r="AE1180" t="s">
        <v>116</v>
      </c>
      <c r="AF1180" t="s">
        <v>116</v>
      </c>
      <c r="AG1180" t="s">
        <v>116</v>
      </c>
      <c r="AH1180">
        <v>45525</v>
      </c>
      <c r="AJ1180">
        <v>4200</v>
      </c>
      <c r="AK1180">
        <v>8015.75</v>
      </c>
      <c r="AL1180">
        <v>0.26858105084970396</v>
      </c>
      <c r="AM1180" t="s">
        <v>116</v>
      </c>
      <c r="AN1180" t="s">
        <v>709</v>
      </c>
      <c r="AS1180">
        <v>0</v>
      </c>
      <c r="AT1180">
        <v>0</v>
      </c>
      <c r="AU1180">
        <v>0</v>
      </c>
      <c r="AY1180" t="s">
        <v>709</v>
      </c>
      <c r="AZ1180">
        <v>143</v>
      </c>
      <c r="BA1180" t="s">
        <v>1823</v>
      </c>
      <c r="BB1180" t="s">
        <v>1092</v>
      </c>
      <c r="BC1180" t="s">
        <v>116</v>
      </c>
      <c r="BD1180" t="s">
        <v>115</v>
      </c>
      <c r="BE1180" t="s">
        <v>115</v>
      </c>
      <c r="BF1180" t="s">
        <v>1381</v>
      </c>
      <c r="BG1180" t="s">
        <v>115</v>
      </c>
      <c r="BH1180" t="s">
        <v>1824</v>
      </c>
      <c r="BI1180" t="s">
        <v>709</v>
      </c>
      <c r="BJ1180" t="s">
        <v>709</v>
      </c>
      <c r="BK1180" t="s">
        <v>709</v>
      </c>
      <c r="BL1180" t="s">
        <v>116</v>
      </c>
      <c r="BM1180" t="s">
        <v>709</v>
      </c>
      <c r="BN1180" t="s">
        <v>709</v>
      </c>
      <c r="BO1180" t="s">
        <v>709</v>
      </c>
      <c r="BP1180" t="s">
        <v>709</v>
      </c>
      <c r="BQ1180" t="s">
        <v>709</v>
      </c>
      <c r="BR1180">
        <v>273</v>
      </c>
      <c r="BS1180">
        <v>1256</v>
      </c>
      <c r="BT1180" t="s">
        <v>709</v>
      </c>
      <c r="BU1180" t="s">
        <v>709</v>
      </c>
      <c r="BV1180" t="s">
        <v>709</v>
      </c>
      <c r="BW1180" t="s">
        <v>709</v>
      </c>
      <c r="BX1180" t="s">
        <v>709</v>
      </c>
      <c r="BY1180" t="s">
        <v>709</v>
      </c>
      <c r="BZ1180" t="s">
        <v>709</v>
      </c>
      <c r="CB1180">
        <v>1178</v>
      </c>
      <c r="CC1180" t="b">
        <v>1</v>
      </c>
      <c r="CD1180" t="s">
        <v>6354</v>
      </c>
      <c r="CE1180" s="1482">
        <v>45880.738923611112</v>
      </c>
    </row>
    <row r="1181" spans="1:83" ht="255" x14ac:dyDescent="0.25">
      <c r="A1181">
        <v>2024</v>
      </c>
      <c r="B1181" t="s">
        <v>4</v>
      </c>
      <c r="C1181" t="s">
        <v>1825</v>
      </c>
      <c r="D1181" t="s">
        <v>1826</v>
      </c>
      <c r="E1181" t="s">
        <v>1827</v>
      </c>
      <c r="F1181" t="s">
        <v>1102</v>
      </c>
      <c r="G1181" t="s">
        <v>6355</v>
      </c>
      <c r="H1181" t="s">
        <v>59</v>
      </c>
      <c r="I1181">
        <v>45369</v>
      </c>
      <c r="J1181">
        <v>45450</v>
      </c>
      <c r="K1181">
        <v>45449</v>
      </c>
      <c r="L1181">
        <v>1</v>
      </c>
      <c r="N1181" t="s">
        <v>120</v>
      </c>
      <c r="O1181">
        <v>45444</v>
      </c>
      <c r="P1181" t="s">
        <v>739</v>
      </c>
      <c r="Q1181">
        <v>77953.918999999994</v>
      </c>
      <c r="R1181">
        <v>0.1</v>
      </c>
      <c r="V1181">
        <v>4962</v>
      </c>
      <c r="W1181">
        <v>0</v>
      </c>
      <c r="X1181">
        <v>642426.15</v>
      </c>
      <c r="Z1181">
        <v>137113.04</v>
      </c>
      <c r="AA1181">
        <v>779539.19</v>
      </c>
      <c r="AB1181">
        <v>45447</v>
      </c>
      <c r="AC1181" t="s">
        <v>709</v>
      </c>
      <c r="AD1181" t="s">
        <v>29</v>
      </c>
      <c r="AE1181" t="s">
        <v>116</v>
      </c>
      <c r="AF1181" t="s">
        <v>116</v>
      </c>
      <c r="AG1181" t="s">
        <v>376</v>
      </c>
      <c r="AH1181">
        <v>45525</v>
      </c>
      <c r="AI1181">
        <v>0</v>
      </c>
      <c r="AJ1181">
        <v>5525</v>
      </c>
      <c r="AK1181">
        <v>7000</v>
      </c>
      <c r="AL1181">
        <v>0.16067184511916582</v>
      </c>
      <c r="AM1181" t="s">
        <v>116</v>
      </c>
      <c r="AN1181" t="s">
        <v>709</v>
      </c>
      <c r="AS1181">
        <v>0</v>
      </c>
      <c r="AT1181">
        <v>0</v>
      </c>
      <c r="AU1181">
        <v>0</v>
      </c>
      <c r="AY1181" t="s">
        <v>709</v>
      </c>
      <c r="AZ1181">
        <v>144</v>
      </c>
      <c r="BA1181" s="4" t="s">
        <v>1828</v>
      </c>
      <c r="BB1181" t="s">
        <v>1829</v>
      </c>
      <c r="BC1181" t="s">
        <v>115</v>
      </c>
      <c r="BD1181" t="s">
        <v>757</v>
      </c>
      <c r="BE1181" t="s">
        <v>1830</v>
      </c>
      <c r="BF1181" t="s">
        <v>115</v>
      </c>
      <c r="BG1181" t="s">
        <v>115</v>
      </c>
      <c r="BH1181" t="s">
        <v>1831</v>
      </c>
      <c r="BI1181" t="s">
        <v>709</v>
      </c>
      <c r="BJ1181" t="s">
        <v>709</v>
      </c>
      <c r="BK1181" t="s">
        <v>709</v>
      </c>
      <c r="BL1181" t="s">
        <v>116</v>
      </c>
      <c r="BM1181" t="s">
        <v>709</v>
      </c>
      <c r="BN1181" t="s">
        <v>709</v>
      </c>
      <c r="BO1181" t="s">
        <v>709</v>
      </c>
      <c r="BP1181" t="s">
        <v>709</v>
      </c>
      <c r="BQ1181" t="s">
        <v>709</v>
      </c>
      <c r="BR1181" t="s">
        <v>116</v>
      </c>
      <c r="BS1181" t="s">
        <v>709</v>
      </c>
      <c r="BT1181" t="s">
        <v>709</v>
      </c>
      <c r="BU1181" t="s">
        <v>709</v>
      </c>
      <c r="BV1181" t="s">
        <v>709</v>
      </c>
      <c r="BW1181" t="s">
        <v>709</v>
      </c>
      <c r="BX1181" t="s">
        <v>709</v>
      </c>
      <c r="BY1181" t="s">
        <v>709</v>
      </c>
      <c r="BZ1181" t="s">
        <v>709</v>
      </c>
      <c r="CA1181" t="s">
        <v>29</v>
      </c>
      <c r="CB1181">
        <v>1179</v>
      </c>
      <c r="CC1181" t="b">
        <v>1</v>
      </c>
      <c r="CD1181" t="s">
        <v>6356</v>
      </c>
      <c r="CE1181" s="1482">
        <v>45880.738935185182</v>
      </c>
    </row>
    <row r="1182" spans="1:83" x14ac:dyDescent="0.25">
      <c r="A1182">
        <v>2024</v>
      </c>
      <c r="B1182" t="s">
        <v>771</v>
      </c>
      <c r="C1182" t="s">
        <v>494</v>
      </c>
      <c r="D1182">
        <v>1312367</v>
      </c>
      <c r="E1182" t="s">
        <v>1004</v>
      </c>
      <c r="F1182" t="s">
        <v>1515</v>
      </c>
      <c r="G1182" t="s">
        <v>22</v>
      </c>
      <c r="H1182" t="s">
        <v>4001</v>
      </c>
      <c r="I1182">
        <v>45440</v>
      </c>
      <c r="J1182" t="s">
        <v>2052</v>
      </c>
      <c r="K1182">
        <v>45450</v>
      </c>
      <c r="L1182">
        <v>10</v>
      </c>
      <c r="M1182" t="s">
        <v>6357</v>
      </c>
      <c r="N1182" t="s">
        <v>120</v>
      </c>
      <c r="O1182">
        <v>45444</v>
      </c>
      <c r="P1182" t="s">
        <v>120</v>
      </c>
      <c r="Q1182">
        <v>4172.5</v>
      </c>
      <c r="R1182" t="s">
        <v>1922</v>
      </c>
      <c r="S1182">
        <v>0</v>
      </c>
      <c r="T1182">
        <v>0</v>
      </c>
      <c r="U1182">
        <v>4172.5</v>
      </c>
      <c r="AB1182" t="s">
        <v>29</v>
      </c>
      <c r="AC1182" t="s">
        <v>756</v>
      </c>
      <c r="AD1182" t="s">
        <v>116</v>
      </c>
      <c r="AE1182" t="s">
        <v>116</v>
      </c>
      <c r="AF1182" t="s">
        <v>29</v>
      </c>
      <c r="AG1182" t="s">
        <v>29</v>
      </c>
      <c r="AH1182" t="s">
        <v>376</v>
      </c>
      <c r="AI1182" t="s">
        <v>29</v>
      </c>
      <c r="AJ1182" t="s">
        <v>29</v>
      </c>
      <c r="AK1182" t="s">
        <v>29</v>
      </c>
      <c r="AL1182" t="s">
        <v>29</v>
      </c>
      <c r="AM1182" t="s">
        <v>709</v>
      </c>
      <c r="AY1182" t="s">
        <v>29</v>
      </c>
      <c r="BA1182">
        <v>10</v>
      </c>
      <c r="BB1182" t="s">
        <v>6358</v>
      </c>
      <c r="BH1182" t="s">
        <v>6359</v>
      </c>
      <c r="BI1182" t="s">
        <v>709</v>
      </c>
      <c r="BJ1182" t="s">
        <v>709</v>
      </c>
      <c r="BK1182" t="s">
        <v>116</v>
      </c>
      <c r="BL1182" t="s">
        <v>709</v>
      </c>
      <c r="BM1182" t="s">
        <v>116</v>
      </c>
      <c r="BN1182" t="s">
        <v>116</v>
      </c>
      <c r="BO1182" t="s">
        <v>709</v>
      </c>
      <c r="BP1182" t="s">
        <v>709</v>
      </c>
      <c r="BQ1182" t="s">
        <v>709</v>
      </c>
      <c r="BR1182" t="s">
        <v>709</v>
      </c>
      <c r="BS1182" t="s">
        <v>709</v>
      </c>
      <c r="BT1182" t="s">
        <v>709</v>
      </c>
      <c r="BU1182" t="s">
        <v>709</v>
      </c>
      <c r="BV1182" t="s">
        <v>709</v>
      </c>
      <c r="BW1182" t="s">
        <v>709</v>
      </c>
      <c r="BX1182" t="s">
        <v>709</v>
      </c>
      <c r="BY1182" t="s">
        <v>709</v>
      </c>
      <c r="BZ1182" t="s">
        <v>709</v>
      </c>
      <c r="CA1182" t="s">
        <v>29</v>
      </c>
      <c r="CB1182">
        <v>1181</v>
      </c>
      <c r="CC1182" t="b">
        <v>1</v>
      </c>
      <c r="CD1182" t="s">
        <v>6360</v>
      </c>
      <c r="CE1182" s="1482">
        <v>45880.738935185182</v>
      </c>
    </row>
    <row r="1183" spans="1:83" x14ac:dyDescent="0.25">
      <c r="A1183">
        <v>2024</v>
      </c>
      <c r="B1183" t="s">
        <v>4</v>
      </c>
      <c r="C1183" t="s">
        <v>1669</v>
      </c>
      <c r="D1183">
        <v>1212832</v>
      </c>
      <c r="E1183" t="s">
        <v>1665</v>
      </c>
      <c r="F1183" t="s">
        <v>784</v>
      </c>
      <c r="G1183" t="s">
        <v>25</v>
      </c>
      <c r="H1183" t="s">
        <v>4189</v>
      </c>
      <c r="I1183">
        <v>45324</v>
      </c>
      <c r="J1183" t="s">
        <v>2052</v>
      </c>
      <c r="K1183">
        <v>45450</v>
      </c>
      <c r="L1183">
        <v>126</v>
      </c>
      <c r="M1183" t="s">
        <v>6361</v>
      </c>
      <c r="N1183" t="s">
        <v>120</v>
      </c>
      <c r="O1183">
        <v>45504</v>
      </c>
      <c r="P1183" t="s">
        <v>739</v>
      </c>
      <c r="Q1183">
        <v>26497.5</v>
      </c>
      <c r="R1183" t="s">
        <v>1922</v>
      </c>
      <c r="S1183">
        <v>0</v>
      </c>
      <c r="T1183">
        <v>0</v>
      </c>
      <c r="U1183">
        <v>26497.5</v>
      </c>
      <c r="AB1183" t="s">
        <v>29</v>
      </c>
      <c r="AC1183" t="s">
        <v>116</v>
      </c>
      <c r="AD1183" t="s">
        <v>29</v>
      </c>
      <c r="AE1183" t="s">
        <v>116</v>
      </c>
      <c r="AF1183" t="s">
        <v>116</v>
      </c>
      <c r="AG1183" t="s">
        <v>29</v>
      </c>
      <c r="AH1183">
        <v>45475</v>
      </c>
      <c r="AI1183" t="s">
        <v>29</v>
      </c>
      <c r="AJ1183" t="s">
        <v>29</v>
      </c>
      <c r="AK1183" t="s">
        <v>29</v>
      </c>
      <c r="AL1183" t="s">
        <v>29</v>
      </c>
      <c r="AM1183" t="s">
        <v>709</v>
      </c>
      <c r="AY1183" t="s">
        <v>29</v>
      </c>
      <c r="BA1183" t="s">
        <v>4650</v>
      </c>
      <c r="BB1183">
        <v>3</v>
      </c>
      <c r="BC1183" t="s">
        <v>709</v>
      </c>
      <c r="BD1183" t="s">
        <v>6362</v>
      </c>
      <c r="BE1183" t="s">
        <v>739</v>
      </c>
      <c r="BF1183" t="s">
        <v>6363</v>
      </c>
      <c r="BH1183" t="s">
        <v>6364</v>
      </c>
      <c r="BI1183" t="s">
        <v>709</v>
      </c>
      <c r="BJ1183" t="s">
        <v>709</v>
      </c>
      <c r="BK1183" t="s">
        <v>709</v>
      </c>
      <c r="BL1183" t="s">
        <v>116</v>
      </c>
      <c r="BM1183" t="s">
        <v>709</v>
      </c>
      <c r="BN1183" t="s">
        <v>709</v>
      </c>
      <c r="BO1183" t="s">
        <v>709</v>
      </c>
      <c r="BP1183">
        <v>141</v>
      </c>
      <c r="BQ1183">
        <v>7738</v>
      </c>
      <c r="BR1183">
        <v>1650</v>
      </c>
      <c r="BS1183">
        <v>2206</v>
      </c>
      <c r="BT1183" t="s">
        <v>745</v>
      </c>
      <c r="BU1183" t="s">
        <v>709</v>
      </c>
      <c r="BV1183" t="s">
        <v>745</v>
      </c>
      <c r="BW1183" t="s">
        <v>709</v>
      </c>
      <c r="BX1183" t="s">
        <v>745</v>
      </c>
      <c r="BY1183" t="s">
        <v>745</v>
      </c>
      <c r="BZ1183" t="s">
        <v>709</v>
      </c>
      <c r="CA1183" t="s">
        <v>6365</v>
      </c>
      <c r="CB1183">
        <v>1182</v>
      </c>
      <c r="CC1183" t="b">
        <v>1</v>
      </c>
      <c r="CD1183" t="s">
        <v>6366</v>
      </c>
      <c r="CE1183" s="1482">
        <v>45880.738935185182</v>
      </c>
    </row>
    <row r="1184" spans="1:83" x14ac:dyDescent="0.25">
      <c r="A1184">
        <v>2024</v>
      </c>
      <c r="B1184" t="s">
        <v>4</v>
      </c>
      <c r="C1184" t="s">
        <v>1800</v>
      </c>
      <c r="D1184">
        <v>1413964</v>
      </c>
      <c r="E1184" t="s">
        <v>1032</v>
      </c>
      <c r="F1184" t="s">
        <v>1757</v>
      </c>
      <c r="G1184" t="s">
        <v>31</v>
      </c>
      <c r="H1184" t="s">
        <v>4189</v>
      </c>
      <c r="I1184">
        <v>45433</v>
      </c>
      <c r="J1184" t="s">
        <v>2052</v>
      </c>
      <c r="K1184">
        <v>45450</v>
      </c>
      <c r="L1184">
        <v>17</v>
      </c>
      <c r="M1184" t="s">
        <v>6332</v>
      </c>
      <c r="N1184" t="s">
        <v>120</v>
      </c>
      <c r="O1184">
        <v>45444</v>
      </c>
      <c r="P1184" t="s">
        <v>739</v>
      </c>
      <c r="Q1184">
        <v>9505</v>
      </c>
      <c r="R1184" t="s">
        <v>1922</v>
      </c>
      <c r="S1184">
        <v>0</v>
      </c>
      <c r="T1184">
        <v>0</v>
      </c>
      <c r="U1184">
        <v>9505</v>
      </c>
      <c r="AB1184" t="s">
        <v>29</v>
      </c>
      <c r="AC1184" t="s">
        <v>116</v>
      </c>
      <c r="AD1184" t="s">
        <v>29</v>
      </c>
      <c r="AE1184" t="s">
        <v>116</v>
      </c>
      <c r="AF1184" t="s">
        <v>116</v>
      </c>
      <c r="AG1184" t="s">
        <v>29</v>
      </c>
      <c r="AH1184" t="s">
        <v>29</v>
      </c>
      <c r="AI1184" t="s">
        <v>29</v>
      </c>
      <c r="AJ1184" t="s">
        <v>29</v>
      </c>
      <c r="AK1184" t="s">
        <v>29</v>
      </c>
      <c r="AL1184" t="s">
        <v>29</v>
      </c>
      <c r="AM1184" t="s">
        <v>709</v>
      </c>
      <c r="AY1184" t="s">
        <v>29</v>
      </c>
      <c r="BA1184">
        <v>1</v>
      </c>
      <c r="BB1184">
        <v>1</v>
      </c>
      <c r="BC1184" t="s">
        <v>745</v>
      </c>
      <c r="BD1184" t="s">
        <v>6367</v>
      </c>
      <c r="BF1184" t="s">
        <v>6368</v>
      </c>
      <c r="BH1184" t="s">
        <v>6369</v>
      </c>
      <c r="BI1184" t="s">
        <v>709</v>
      </c>
      <c r="BJ1184" t="s">
        <v>116</v>
      </c>
      <c r="BK1184" t="s">
        <v>709</v>
      </c>
      <c r="BL1184" t="s">
        <v>116</v>
      </c>
      <c r="BM1184" t="s">
        <v>709</v>
      </c>
      <c r="BN1184" t="s">
        <v>709</v>
      </c>
      <c r="BO1184" t="s">
        <v>709</v>
      </c>
      <c r="BP1184" t="s">
        <v>116</v>
      </c>
      <c r="BQ1184" t="s">
        <v>116</v>
      </c>
      <c r="BR1184" t="s">
        <v>116</v>
      </c>
      <c r="BS1184" t="s">
        <v>116</v>
      </c>
      <c r="BT1184" t="s">
        <v>116</v>
      </c>
      <c r="BU1184" t="s">
        <v>709</v>
      </c>
      <c r="BV1184" t="s">
        <v>709</v>
      </c>
      <c r="BW1184" t="s">
        <v>709</v>
      </c>
      <c r="BX1184" t="s">
        <v>709</v>
      </c>
      <c r="BY1184" t="s">
        <v>709</v>
      </c>
      <c r="BZ1184" t="s">
        <v>709</v>
      </c>
      <c r="CB1184">
        <v>1180</v>
      </c>
      <c r="CC1184" t="b">
        <v>1</v>
      </c>
      <c r="CD1184" t="s">
        <v>6370</v>
      </c>
      <c r="CE1184" s="1482">
        <v>45880.738946759258</v>
      </c>
    </row>
    <row r="1185" spans="1:83" x14ac:dyDescent="0.25">
      <c r="A1185">
        <v>2024</v>
      </c>
      <c r="B1185" t="s">
        <v>4</v>
      </c>
      <c r="C1185" t="s">
        <v>1608</v>
      </c>
      <c r="D1185">
        <v>1412597</v>
      </c>
      <c r="E1185" t="s">
        <v>232</v>
      </c>
      <c r="F1185" t="s">
        <v>1757</v>
      </c>
      <c r="G1185" t="s">
        <v>39</v>
      </c>
      <c r="H1185" t="s">
        <v>4189</v>
      </c>
      <c r="I1185">
        <v>45443</v>
      </c>
      <c r="J1185" t="s">
        <v>2052</v>
      </c>
      <c r="K1185">
        <v>45454</v>
      </c>
      <c r="L1185">
        <v>11</v>
      </c>
      <c r="M1185" t="s">
        <v>6371</v>
      </c>
      <c r="N1185" t="s">
        <v>120</v>
      </c>
      <c r="O1185">
        <v>45444</v>
      </c>
      <c r="P1185" t="s">
        <v>739</v>
      </c>
      <c r="Q1185">
        <v>5487.5</v>
      </c>
      <c r="R1185" t="s">
        <v>1922</v>
      </c>
      <c r="S1185">
        <v>0</v>
      </c>
      <c r="T1185">
        <v>0</v>
      </c>
      <c r="U1185">
        <v>5487.5</v>
      </c>
      <c r="AB1185" t="s">
        <v>29</v>
      </c>
      <c r="AC1185" t="s">
        <v>29</v>
      </c>
      <c r="AD1185" t="s">
        <v>29</v>
      </c>
      <c r="AE1185" t="s">
        <v>116</v>
      </c>
      <c r="AF1185" t="s">
        <v>29</v>
      </c>
      <c r="AG1185" t="s">
        <v>29</v>
      </c>
      <c r="AH1185">
        <v>45580</v>
      </c>
      <c r="AI1185" t="s">
        <v>29</v>
      </c>
      <c r="AJ1185" t="s">
        <v>29</v>
      </c>
      <c r="AK1185" t="s">
        <v>29</v>
      </c>
      <c r="AL1185" t="s">
        <v>29</v>
      </c>
      <c r="AM1185" t="s">
        <v>709</v>
      </c>
      <c r="AY1185" t="s">
        <v>29</v>
      </c>
      <c r="BA1185">
        <v>5</v>
      </c>
      <c r="BB1185" t="s">
        <v>709</v>
      </c>
      <c r="BC1185" t="s">
        <v>6372</v>
      </c>
      <c r="BD1185" t="s">
        <v>739</v>
      </c>
      <c r="BE1185" t="s">
        <v>6373</v>
      </c>
      <c r="BH1185" t="s">
        <v>6374</v>
      </c>
      <c r="BI1185" t="s">
        <v>709</v>
      </c>
      <c r="BJ1185" t="s">
        <v>709</v>
      </c>
      <c r="BK1185" t="s">
        <v>709</v>
      </c>
      <c r="BL1185" t="s">
        <v>116</v>
      </c>
      <c r="BM1185" t="s">
        <v>709</v>
      </c>
      <c r="BN1185" t="s">
        <v>709</v>
      </c>
      <c r="BO1185" t="s">
        <v>709</v>
      </c>
      <c r="BP1185" t="s">
        <v>709</v>
      </c>
      <c r="BQ1185" t="s">
        <v>709</v>
      </c>
      <c r="BR1185">
        <v>440</v>
      </c>
      <c r="BS1185">
        <v>14</v>
      </c>
      <c r="BT1185" t="s">
        <v>745</v>
      </c>
      <c r="BU1185" t="s">
        <v>709</v>
      </c>
      <c r="BV1185" t="s">
        <v>745</v>
      </c>
      <c r="BW1185" t="s">
        <v>709</v>
      </c>
      <c r="BX1185" t="s">
        <v>745</v>
      </c>
      <c r="BY1185" t="s">
        <v>745</v>
      </c>
      <c r="BZ1185" t="s">
        <v>709</v>
      </c>
      <c r="CA1185" t="s">
        <v>29</v>
      </c>
      <c r="CB1185">
        <v>1185</v>
      </c>
      <c r="CC1185" t="b">
        <v>1</v>
      </c>
      <c r="CD1185" t="s">
        <v>6375</v>
      </c>
      <c r="CE1185" s="1482">
        <v>45880.738946759258</v>
      </c>
    </row>
    <row r="1186" spans="1:83" x14ac:dyDescent="0.25">
      <c r="A1186">
        <v>2024</v>
      </c>
      <c r="B1186" t="s">
        <v>4</v>
      </c>
      <c r="C1186" t="s">
        <v>6376</v>
      </c>
      <c r="D1186" t="s">
        <v>115</v>
      </c>
      <c r="E1186" t="s">
        <v>149</v>
      </c>
      <c r="F1186" t="s">
        <v>784</v>
      </c>
      <c r="G1186" t="s">
        <v>6377</v>
      </c>
      <c r="H1186" t="s">
        <v>1681</v>
      </c>
      <c r="I1186">
        <v>45349</v>
      </c>
      <c r="J1186">
        <v>45499</v>
      </c>
      <c r="K1186">
        <v>45454</v>
      </c>
      <c r="L1186">
        <v>45</v>
      </c>
      <c r="N1186" t="s">
        <v>120</v>
      </c>
      <c r="O1186">
        <v>45444</v>
      </c>
      <c r="P1186" t="s">
        <v>739</v>
      </c>
      <c r="Q1186" t="s">
        <v>115</v>
      </c>
      <c r="R1186" t="s">
        <v>115</v>
      </c>
      <c r="AB1186" t="s">
        <v>29</v>
      </c>
      <c r="AC1186" t="s">
        <v>29</v>
      </c>
      <c r="AD1186" t="s">
        <v>29</v>
      </c>
      <c r="AE1186" t="s">
        <v>116</v>
      </c>
      <c r="AF1186" t="s">
        <v>116</v>
      </c>
      <c r="AG1186" t="s">
        <v>29</v>
      </c>
      <c r="AH1186">
        <v>45567</v>
      </c>
      <c r="AI1186" t="s">
        <v>29</v>
      </c>
      <c r="AJ1186" t="s">
        <v>29</v>
      </c>
      <c r="AK1186" t="s">
        <v>29</v>
      </c>
      <c r="AL1186" t="s">
        <v>29</v>
      </c>
      <c r="AM1186" t="s">
        <v>709</v>
      </c>
      <c r="AY1186" t="s">
        <v>29</v>
      </c>
      <c r="BB1186" t="s">
        <v>870</v>
      </c>
      <c r="BC1186" t="s">
        <v>992</v>
      </c>
      <c r="BD1186" t="s">
        <v>882</v>
      </c>
      <c r="BE1186" t="s">
        <v>709</v>
      </c>
      <c r="BF1186" t="s">
        <v>6378</v>
      </c>
      <c r="BG1186" t="s">
        <v>709</v>
      </c>
      <c r="BH1186" t="s">
        <v>6379</v>
      </c>
      <c r="CA1186" t="s">
        <v>915</v>
      </c>
      <c r="CB1186">
        <v>1184</v>
      </c>
      <c r="CC1186" t="b">
        <v>1</v>
      </c>
      <c r="CD1186" t="s">
        <v>6380</v>
      </c>
      <c r="CE1186" s="1482">
        <v>45880.738946759258</v>
      </c>
    </row>
    <row r="1187" spans="1:83" ht="270" x14ac:dyDescent="0.25">
      <c r="A1187">
        <v>2024</v>
      </c>
      <c r="B1187" t="s">
        <v>4</v>
      </c>
      <c r="C1187" t="s">
        <v>1832</v>
      </c>
      <c r="D1187" t="s">
        <v>1833</v>
      </c>
      <c r="E1187" t="s">
        <v>1149</v>
      </c>
      <c r="F1187" t="s">
        <v>851</v>
      </c>
      <c r="G1187" t="s">
        <v>6377</v>
      </c>
      <c r="H1187" t="s">
        <v>59</v>
      </c>
      <c r="I1187">
        <v>45335</v>
      </c>
      <c r="J1187">
        <v>45464</v>
      </c>
      <c r="K1187">
        <v>45454</v>
      </c>
      <c r="L1187">
        <v>10</v>
      </c>
      <c r="N1187" t="s">
        <v>120</v>
      </c>
      <c r="O1187">
        <v>45444</v>
      </c>
      <c r="P1187" t="s">
        <v>739</v>
      </c>
      <c r="Q1187">
        <v>11886.871999999999</v>
      </c>
      <c r="R1187">
        <v>0.1</v>
      </c>
      <c r="V1187">
        <v>58</v>
      </c>
      <c r="W1187">
        <v>0</v>
      </c>
      <c r="X1187">
        <v>93888.57</v>
      </c>
      <c r="Z1187">
        <v>24980.15</v>
      </c>
      <c r="AA1187">
        <v>118868.72</v>
      </c>
      <c r="AB1187">
        <v>45447</v>
      </c>
      <c r="AC1187" t="s">
        <v>709</v>
      </c>
      <c r="AD1187" t="s">
        <v>29</v>
      </c>
      <c r="AE1187" t="s">
        <v>116</v>
      </c>
      <c r="AF1187" t="s">
        <v>116</v>
      </c>
      <c r="AG1187" t="s">
        <v>376</v>
      </c>
      <c r="AH1187">
        <v>45567</v>
      </c>
      <c r="AI1187">
        <v>0</v>
      </c>
      <c r="AJ1187">
        <v>2400</v>
      </c>
      <c r="AK1187">
        <v>3650</v>
      </c>
      <c r="AL1187">
        <v>0.5089648479431762</v>
      </c>
      <c r="AM1187" t="s">
        <v>116</v>
      </c>
      <c r="AN1187">
        <v>45517</v>
      </c>
      <c r="AO1187">
        <v>11089236</v>
      </c>
      <c r="AP1187">
        <v>95227.15</v>
      </c>
      <c r="AR1187">
        <v>24980.15</v>
      </c>
      <c r="AS1187">
        <v>120207.3</v>
      </c>
      <c r="AT1187">
        <v>1338.58</v>
      </c>
      <c r="AU1187">
        <v>133.858</v>
      </c>
      <c r="AV1187">
        <v>0</v>
      </c>
      <c r="AW1187" t="s">
        <v>6381</v>
      </c>
      <c r="AX1187">
        <v>133.858</v>
      </c>
      <c r="AY1187">
        <v>45901</v>
      </c>
      <c r="AZ1187">
        <v>145</v>
      </c>
      <c r="BA1187" s="4" t="s">
        <v>1834</v>
      </c>
      <c r="BB1187" t="s">
        <v>870</v>
      </c>
      <c r="BC1187" t="s">
        <v>116</v>
      </c>
      <c r="BD1187" t="s">
        <v>115</v>
      </c>
      <c r="BE1187" t="s">
        <v>1835</v>
      </c>
      <c r="BF1187" t="s">
        <v>1835</v>
      </c>
      <c r="BG1187" t="s">
        <v>115</v>
      </c>
      <c r="BH1187" t="s">
        <v>1836</v>
      </c>
      <c r="BI1187" t="s">
        <v>709</v>
      </c>
      <c r="BJ1187" t="s">
        <v>709</v>
      </c>
      <c r="BK1187" t="s">
        <v>709</v>
      </c>
      <c r="BL1187" t="s">
        <v>116</v>
      </c>
      <c r="BM1187" t="s">
        <v>709</v>
      </c>
      <c r="BN1187" t="s">
        <v>709</v>
      </c>
      <c r="BO1187" t="s">
        <v>709</v>
      </c>
      <c r="BP1187" t="s">
        <v>709</v>
      </c>
      <c r="BQ1187" t="s">
        <v>709</v>
      </c>
      <c r="BR1187" t="s">
        <v>709</v>
      </c>
      <c r="BS1187" t="s">
        <v>116</v>
      </c>
      <c r="BT1187" t="s">
        <v>709</v>
      </c>
      <c r="BU1187" t="s">
        <v>709</v>
      </c>
      <c r="BV1187" t="s">
        <v>709</v>
      </c>
      <c r="BW1187" t="s">
        <v>709</v>
      </c>
      <c r="BX1187" t="s">
        <v>709</v>
      </c>
      <c r="BY1187" t="s">
        <v>709</v>
      </c>
      <c r="BZ1187" t="s">
        <v>709</v>
      </c>
      <c r="CA1187" t="s">
        <v>1837</v>
      </c>
      <c r="CB1187">
        <v>1183</v>
      </c>
      <c r="CC1187" t="b">
        <v>1</v>
      </c>
      <c r="CD1187" t="s">
        <v>6382</v>
      </c>
      <c r="CE1187" s="1482">
        <v>45880.738958333335</v>
      </c>
    </row>
    <row r="1188" spans="1:83" x14ac:dyDescent="0.25">
      <c r="A1188">
        <v>2024</v>
      </c>
      <c r="B1188" t="s">
        <v>771</v>
      </c>
      <c r="C1188" t="s">
        <v>283</v>
      </c>
      <c r="D1188" t="s">
        <v>878</v>
      </c>
      <c r="E1188" t="s">
        <v>284</v>
      </c>
      <c r="F1188" t="s">
        <v>784</v>
      </c>
      <c r="G1188" t="s">
        <v>36</v>
      </c>
      <c r="H1188" t="s">
        <v>4001</v>
      </c>
      <c r="I1188">
        <v>45440</v>
      </c>
      <c r="J1188" t="s">
        <v>2052</v>
      </c>
      <c r="K1188">
        <v>45456</v>
      </c>
      <c r="L1188">
        <v>16</v>
      </c>
      <c r="M1188" t="s">
        <v>6383</v>
      </c>
      <c r="N1188" t="s">
        <v>120</v>
      </c>
      <c r="O1188">
        <v>45444</v>
      </c>
      <c r="P1188" t="s">
        <v>120</v>
      </c>
      <c r="Q1188">
        <v>5835</v>
      </c>
      <c r="R1188" t="s">
        <v>1922</v>
      </c>
      <c r="S1188">
        <v>0</v>
      </c>
      <c r="T1188">
        <v>0</v>
      </c>
      <c r="U1188">
        <v>5835</v>
      </c>
      <c r="AB1188" t="s">
        <v>29</v>
      </c>
      <c r="AC1188" t="s">
        <v>29</v>
      </c>
      <c r="AD1188" t="s">
        <v>29</v>
      </c>
      <c r="AE1188" t="s">
        <v>116</v>
      </c>
      <c r="AF1188" t="s">
        <v>116</v>
      </c>
      <c r="AG1188" t="s">
        <v>29</v>
      </c>
      <c r="AH1188" t="s">
        <v>29</v>
      </c>
      <c r="AI1188" t="s">
        <v>29</v>
      </c>
      <c r="AJ1188" t="s">
        <v>29</v>
      </c>
      <c r="AK1188" t="s">
        <v>29</v>
      </c>
      <c r="AL1188" t="s">
        <v>29</v>
      </c>
      <c r="AM1188" t="s">
        <v>709</v>
      </c>
      <c r="AY1188" t="s">
        <v>29</v>
      </c>
      <c r="BA1188">
        <v>7</v>
      </c>
      <c r="BB1188" t="s">
        <v>6384</v>
      </c>
      <c r="BD1188" t="s">
        <v>882</v>
      </c>
      <c r="BH1188" t="s">
        <v>6385</v>
      </c>
      <c r="BI1188" t="s">
        <v>709</v>
      </c>
      <c r="BJ1188" t="s">
        <v>709</v>
      </c>
      <c r="BK1188" t="s">
        <v>709</v>
      </c>
      <c r="BL1188" t="s">
        <v>116</v>
      </c>
      <c r="BM1188" t="s">
        <v>709</v>
      </c>
      <c r="BN1188" t="s">
        <v>709</v>
      </c>
      <c r="BO1188" t="s">
        <v>709</v>
      </c>
      <c r="BP1188">
        <v>989</v>
      </c>
      <c r="BQ1188" t="s">
        <v>709</v>
      </c>
      <c r="BR1188" t="s">
        <v>709</v>
      </c>
      <c r="BS1188" t="s">
        <v>709</v>
      </c>
      <c r="BT1188" t="s">
        <v>709</v>
      </c>
      <c r="BU1188" t="s">
        <v>709</v>
      </c>
      <c r="BV1188" t="s">
        <v>709</v>
      </c>
      <c r="BW1188" t="s">
        <v>709</v>
      </c>
      <c r="BX1188" t="s">
        <v>709</v>
      </c>
      <c r="BY1188" t="s">
        <v>709</v>
      </c>
      <c r="BZ1188" t="s">
        <v>709</v>
      </c>
      <c r="CB1188">
        <v>1186</v>
      </c>
      <c r="CC1188" t="b">
        <v>1</v>
      </c>
      <c r="CD1188" t="s">
        <v>6386</v>
      </c>
      <c r="CE1188" s="1482">
        <v>45880.738958333335</v>
      </c>
    </row>
    <row r="1189" spans="1:83" x14ac:dyDescent="0.25">
      <c r="A1189">
        <v>2023</v>
      </c>
      <c r="B1189" t="s">
        <v>769</v>
      </c>
      <c r="C1189" t="s">
        <v>1426</v>
      </c>
      <c r="D1189" t="s">
        <v>1427</v>
      </c>
      <c r="E1189" t="s">
        <v>1428</v>
      </c>
      <c r="F1189" t="s">
        <v>752</v>
      </c>
      <c r="G1189" t="s">
        <v>4770</v>
      </c>
      <c r="H1189" t="s">
        <v>6387</v>
      </c>
      <c r="I1189">
        <v>45454</v>
      </c>
      <c r="J1189" t="s">
        <v>2052</v>
      </c>
      <c r="K1189">
        <v>45460</v>
      </c>
      <c r="L1189">
        <v>6</v>
      </c>
      <c r="M1189" t="s">
        <v>6388</v>
      </c>
      <c r="N1189" t="s">
        <v>120</v>
      </c>
      <c r="O1189">
        <v>45504</v>
      </c>
      <c r="P1189" t="s">
        <v>120</v>
      </c>
      <c r="Q1189">
        <v>2430</v>
      </c>
      <c r="R1189" t="s">
        <v>1922</v>
      </c>
      <c r="S1189">
        <v>0</v>
      </c>
      <c r="T1189">
        <v>0</v>
      </c>
      <c r="U1189">
        <v>2430</v>
      </c>
      <c r="V1189">
        <v>3137</v>
      </c>
      <c r="W1189">
        <v>2</v>
      </c>
      <c r="AB1189" t="s">
        <v>29</v>
      </c>
      <c r="AD1189" t="s">
        <v>29</v>
      </c>
      <c r="AE1189" t="s">
        <v>116</v>
      </c>
      <c r="AF1189" t="s">
        <v>29</v>
      </c>
      <c r="AG1189" t="s">
        <v>29</v>
      </c>
      <c r="AH1189" t="s">
        <v>29</v>
      </c>
      <c r="AM1189" t="s">
        <v>709</v>
      </c>
      <c r="AY1189" t="s">
        <v>29</v>
      </c>
      <c r="BA1189">
        <v>10</v>
      </c>
      <c r="BH1189" t="s">
        <v>6389</v>
      </c>
      <c r="BI1189" t="s">
        <v>709</v>
      </c>
      <c r="BJ1189" t="s">
        <v>709</v>
      </c>
      <c r="BK1189" t="s">
        <v>116</v>
      </c>
      <c r="BL1189" t="s">
        <v>116</v>
      </c>
      <c r="BM1189" t="s">
        <v>709</v>
      </c>
      <c r="BN1189" t="s">
        <v>709</v>
      </c>
      <c r="BO1189" t="s">
        <v>709</v>
      </c>
      <c r="BP1189" t="s">
        <v>709</v>
      </c>
      <c r="BQ1189" t="s">
        <v>709</v>
      </c>
      <c r="BR1189">
        <v>3047</v>
      </c>
      <c r="BS1189">
        <v>30</v>
      </c>
      <c r="BT1189" t="s">
        <v>709</v>
      </c>
      <c r="BU1189" t="s">
        <v>709</v>
      </c>
      <c r="BV1189" t="s">
        <v>709</v>
      </c>
      <c r="BW1189" t="s">
        <v>709</v>
      </c>
      <c r="BX1189" t="s">
        <v>709</v>
      </c>
      <c r="BY1189" t="s">
        <v>709</v>
      </c>
      <c r="BZ1189" t="s">
        <v>709</v>
      </c>
      <c r="CB1189">
        <v>1187</v>
      </c>
      <c r="CC1189" t="b">
        <v>1</v>
      </c>
      <c r="CD1189" t="s">
        <v>6390</v>
      </c>
      <c r="CE1189" s="1482">
        <v>45880.738958333335</v>
      </c>
    </row>
    <row r="1190" spans="1:83" ht="225" x14ac:dyDescent="0.25">
      <c r="A1190">
        <v>2024</v>
      </c>
      <c r="B1190" t="s">
        <v>4</v>
      </c>
      <c r="C1190" t="s">
        <v>1838</v>
      </c>
      <c r="D1190" t="s">
        <v>1839</v>
      </c>
      <c r="E1190" t="s">
        <v>1032</v>
      </c>
      <c r="F1190" t="s">
        <v>1102</v>
      </c>
      <c r="G1190" t="s">
        <v>6391</v>
      </c>
      <c r="H1190" t="s">
        <v>413</v>
      </c>
      <c r="I1190">
        <v>45378</v>
      </c>
      <c r="J1190">
        <v>45471</v>
      </c>
      <c r="K1190">
        <v>45461</v>
      </c>
      <c r="L1190">
        <v>10</v>
      </c>
      <c r="N1190" t="s">
        <v>120</v>
      </c>
      <c r="O1190">
        <v>45444</v>
      </c>
      <c r="P1190" t="s">
        <v>739</v>
      </c>
      <c r="Q1190">
        <v>8929.3410000000003</v>
      </c>
      <c r="R1190">
        <v>0.1</v>
      </c>
      <c r="V1190">
        <v>41</v>
      </c>
      <c r="W1190">
        <v>0</v>
      </c>
      <c r="X1190">
        <v>63667.62</v>
      </c>
      <c r="Z1190">
        <v>25625.79</v>
      </c>
      <c r="AA1190">
        <v>89293.41</v>
      </c>
      <c r="AB1190">
        <v>45447</v>
      </c>
      <c r="AC1190" t="s">
        <v>709</v>
      </c>
      <c r="AD1190" t="s">
        <v>29</v>
      </c>
      <c r="AE1190" t="s">
        <v>116</v>
      </c>
      <c r="AF1190" t="s">
        <v>116</v>
      </c>
      <c r="AG1190" t="s">
        <v>376</v>
      </c>
      <c r="AH1190">
        <v>45567</v>
      </c>
      <c r="AI1190">
        <v>0</v>
      </c>
      <c r="AJ1190">
        <v>2368.25</v>
      </c>
      <c r="AK1190">
        <v>4483.24</v>
      </c>
      <c r="AL1190">
        <v>0.76730074481420296</v>
      </c>
      <c r="AM1190" t="s">
        <v>116</v>
      </c>
      <c r="AN1190" t="s">
        <v>709</v>
      </c>
      <c r="AS1190">
        <v>0</v>
      </c>
      <c r="AT1190">
        <v>0</v>
      </c>
      <c r="AU1190">
        <v>0</v>
      </c>
      <c r="AY1190" t="s">
        <v>709</v>
      </c>
      <c r="AZ1190">
        <v>146</v>
      </c>
      <c r="BA1190" s="4" t="s">
        <v>1840</v>
      </c>
      <c r="BB1190" t="s">
        <v>1035</v>
      </c>
      <c r="BC1190" t="s">
        <v>115</v>
      </c>
      <c r="BD1190" t="s">
        <v>115</v>
      </c>
      <c r="BE1190" t="s">
        <v>1841</v>
      </c>
      <c r="BF1190" t="s">
        <v>115</v>
      </c>
      <c r="BG1190" t="s">
        <v>115</v>
      </c>
      <c r="BH1190" t="s">
        <v>1842</v>
      </c>
      <c r="BI1190" t="s">
        <v>709</v>
      </c>
      <c r="BJ1190" t="s">
        <v>709</v>
      </c>
      <c r="BK1190" t="s">
        <v>709</v>
      </c>
      <c r="BL1190" t="s">
        <v>116</v>
      </c>
      <c r="BM1190" t="s">
        <v>709</v>
      </c>
      <c r="BN1190" t="s">
        <v>709</v>
      </c>
      <c r="BO1190" t="s">
        <v>709</v>
      </c>
      <c r="BP1190" t="s">
        <v>709</v>
      </c>
      <c r="BQ1190" t="s">
        <v>709</v>
      </c>
      <c r="BR1190" t="s">
        <v>709</v>
      </c>
      <c r="BS1190">
        <v>41</v>
      </c>
      <c r="BT1190" t="s">
        <v>745</v>
      </c>
      <c r="BU1190" t="s">
        <v>745</v>
      </c>
      <c r="BV1190" t="s">
        <v>745</v>
      </c>
      <c r="BW1190" t="s">
        <v>745</v>
      </c>
      <c r="BX1190" t="s">
        <v>745</v>
      </c>
      <c r="BY1190" t="s">
        <v>745</v>
      </c>
      <c r="BZ1190" t="s">
        <v>709</v>
      </c>
      <c r="CB1190">
        <v>1188</v>
      </c>
      <c r="CC1190" t="b">
        <v>1</v>
      </c>
      <c r="CD1190" t="s">
        <v>6392</v>
      </c>
      <c r="CE1190" s="1482">
        <v>45880.738969907405</v>
      </c>
    </row>
    <row r="1191" spans="1:83" x14ac:dyDescent="0.25">
      <c r="A1191">
        <v>2024</v>
      </c>
      <c r="B1191" t="s">
        <v>771</v>
      </c>
      <c r="C1191" t="s">
        <v>68</v>
      </c>
      <c r="D1191">
        <v>120405</v>
      </c>
      <c r="E1191" t="s">
        <v>70</v>
      </c>
      <c r="F1191" t="s">
        <v>1757</v>
      </c>
      <c r="G1191" t="s">
        <v>36</v>
      </c>
      <c r="H1191" t="s">
        <v>4045</v>
      </c>
      <c r="I1191">
        <v>45461</v>
      </c>
      <c r="J1191" t="s">
        <v>2958</v>
      </c>
      <c r="K1191">
        <v>45462</v>
      </c>
      <c r="L1191">
        <v>1</v>
      </c>
      <c r="M1191" t="s">
        <v>6393</v>
      </c>
      <c r="N1191" t="s">
        <v>120</v>
      </c>
      <c r="O1191">
        <v>45504</v>
      </c>
      <c r="P1191" t="s">
        <v>120</v>
      </c>
      <c r="Q1191">
        <v>1285</v>
      </c>
      <c r="R1191" t="s">
        <v>1922</v>
      </c>
      <c r="S1191">
        <v>0</v>
      </c>
      <c r="T1191">
        <v>0</v>
      </c>
      <c r="U1191">
        <v>1285</v>
      </c>
      <c r="AB1191" t="s">
        <v>29</v>
      </c>
      <c r="AD1191" t="s">
        <v>29</v>
      </c>
      <c r="AI1191" t="s">
        <v>29</v>
      </c>
      <c r="AJ1191" t="s">
        <v>29</v>
      </c>
      <c r="AK1191" t="s">
        <v>29</v>
      </c>
      <c r="AL1191" t="s">
        <v>29</v>
      </c>
      <c r="AM1191" t="s">
        <v>709</v>
      </c>
      <c r="AY1191" t="s">
        <v>29</v>
      </c>
      <c r="BA1191" t="s">
        <v>6394</v>
      </c>
      <c r="BH1191" t="s">
        <v>6395</v>
      </c>
      <c r="CB1191">
        <v>1191</v>
      </c>
      <c r="CC1191" t="b">
        <v>1</v>
      </c>
      <c r="CD1191" t="s">
        <v>6396</v>
      </c>
      <c r="CE1191" s="1482">
        <v>45880.738969907405</v>
      </c>
    </row>
    <row r="1192" spans="1:83" x14ac:dyDescent="0.25">
      <c r="A1192">
        <v>2024</v>
      </c>
      <c r="B1192" t="s">
        <v>4</v>
      </c>
      <c r="C1192" t="s">
        <v>414</v>
      </c>
      <c r="D1192">
        <v>1212526</v>
      </c>
      <c r="E1192" t="s">
        <v>415</v>
      </c>
      <c r="F1192" t="s">
        <v>784</v>
      </c>
      <c r="G1192" t="s">
        <v>25</v>
      </c>
      <c r="H1192" t="s">
        <v>4189</v>
      </c>
      <c r="I1192">
        <v>45457</v>
      </c>
      <c r="J1192" t="s">
        <v>2052</v>
      </c>
      <c r="K1192">
        <v>45462</v>
      </c>
      <c r="L1192">
        <v>5</v>
      </c>
      <c r="M1192" t="s">
        <v>6397</v>
      </c>
      <c r="N1192" t="s">
        <v>120</v>
      </c>
      <c r="O1192">
        <v>45504</v>
      </c>
      <c r="P1192" t="s">
        <v>739</v>
      </c>
      <c r="Q1192">
        <v>2640</v>
      </c>
      <c r="R1192" t="s">
        <v>1922</v>
      </c>
      <c r="S1192">
        <v>0</v>
      </c>
      <c r="T1192">
        <v>0</v>
      </c>
      <c r="U1192">
        <v>2640</v>
      </c>
      <c r="AB1192" t="s">
        <v>29</v>
      </c>
      <c r="AC1192" t="s">
        <v>29</v>
      </c>
      <c r="AD1192" t="s">
        <v>29</v>
      </c>
      <c r="AE1192" t="s">
        <v>116</v>
      </c>
      <c r="AF1192" t="s">
        <v>29</v>
      </c>
      <c r="AG1192" t="s">
        <v>29</v>
      </c>
      <c r="AH1192">
        <v>45475</v>
      </c>
      <c r="AI1192" t="s">
        <v>29</v>
      </c>
      <c r="AJ1192" t="s">
        <v>29</v>
      </c>
      <c r="AK1192" t="s">
        <v>29</v>
      </c>
      <c r="AL1192" t="s">
        <v>29</v>
      </c>
      <c r="AM1192" t="s">
        <v>709</v>
      </c>
      <c r="AY1192" t="s">
        <v>29</v>
      </c>
      <c r="BA1192" t="s">
        <v>5156</v>
      </c>
      <c r="BB1192" t="s">
        <v>116</v>
      </c>
      <c r="BC1192" t="s">
        <v>116</v>
      </c>
      <c r="BD1192" t="s">
        <v>709</v>
      </c>
      <c r="BE1192" t="s">
        <v>1622</v>
      </c>
      <c r="BF1192" t="s">
        <v>709</v>
      </c>
      <c r="BG1192" t="s">
        <v>709</v>
      </c>
      <c r="BH1192" t="s">
        <v>6398</v>
      </c>
      <c r="BI1192" t="s">
        <v>709</v>
      </c>
      <c r="BJ1192" t="s">
        <v>709</v>
      </c>
      <c r="BK1192" t="s">
        <v>709</v>
      </c>
      <c r="BL1192" t="s">
        <v>116</v>
      </c>
      <c r="BM1192" t="s">
        <v>709</v>
      </c>
      <c r="BN1192" t="s">
        <v>709</v>
      </c>
      <c r="BO1192" t="s">
        <v>709</v>
      </c>
      <c r="BP1192" t="s">
        <v>116</v>
      </c>
      <c r="BQ1192" t="s">
        <v>116</v>
      </c>
      <c r="BR1192" t="s">
        <v>709</v>
      </c>
      <c r="BS1192" t="s">
        <v>116</v>
      </c>
      <c r="BT1192" t="s">
        <v>709</v>
      </c>
      <c r="BU1192" t="s">
        <v>709</v>
      </c>
      <c r="BV1192" t="s">
        <v>709</v>
      </c>
      <c r="BW1192" t="s">
        <v>709</v>
      </c>
      <c r="BX1192" t="s">
        <v>709</v>
      </c>
      <c r="BY1192" t="s">
        <v>709</v>
      </c>
      <c r="BZ1192" t="s">
        <v>709</v>
      </c>
      <c r="CB1192">
        <v>1190</v>
      </c>
      <c r="CC1192" t="b">
        <v>1</v>
      </c>
      <c r="CD1192" t="s">
        <v>6399</v>
      </c>
      <c r="CE1192" s="1482">
        <v>45880.738981481481</v>
      </c>
    </row>
    <row r="1193" spans="1:83" ht="255" x14ac:dyDescent="0.25">
      <c r="A1193">
        <v>2024</v>
      </c>
      <c r="B1193" t="s">
        <v>4</v>
      </c>
      <c r="C1193" t="s">
        <v>1099</v>
      </c>
      <c r="D1193" t="s">
        <v>1100</v>
      </c>
      <c r="E1193" t="s">
        <v>1101</v>
      </c>
      <c r="F1193" t="s">
        <v>1102</v>
      </c>
      <c r="G1193" t="s">
        <v>6391</v>
      </c>
      <c r="H1193" t="s">
        <v>59</v>
      </c>
      <c r="I1193">
        <v>45401</v>
      </c>
      <c r="J1193">
        <v>45492</v>
      </c>
      <c r="K1193">
        <v>45462</v>
      </c>
      <c r="L1193">
        <v>30</v>
      </c>
      <c r="N1193" t="s">
        <v>120</v>
      </c>
      <c r="O1193">
        <v>45444</v>
      </c>
      <c r="P1193" t="s">
        <v>739</v>
      </c>
      <c r="Q1193">
        <v>12368.651</v>
      </c>
      <c r="R1193">
        <v>0.1</v>
      </c>
      <c r="V1193">
        <v>90</v>
      </c>
      <c r="W1193">
        <v>0</v>
      </c>
      <c r="X1193">
        <v>100367.72</v>
      </c>
      <c r="Z1193">
        <v>23318.79</v>
      </c>
      <c r="AA1193">
        <v>123686.51</v>
      </c>
      <c r="AB1193">
        <v>45456</v>
      </c>
      <c r="AC1193" t="s">
        <v>709</v>
      </c>
      <c r="AD1193" t="s">
        <v>29</v>
      </c>
      <c r="AE1193" t="s">
        <v>116</v>
      </c>
      <c r="AF1193" t="s">
        <v>116</v>
      </c>
      <c r="AG1193" t="s">
        <v>376</v>
      </c>
      <c r="AH1193">
        <v>45567</v>
      </c>
      <c r="AI1193">
        <v>0</v>
      </c>
      <c r="AJ1193">
        <v>2950</v>
      </c>
      <c r="AK1193">
        <v>2942</v>
      </c>
      <c r="AL1193">
        <v>0.47636561173890341</v>
      </c>
      <c r="AM1193" t="s">
        <v>116</v>
      </c>
      <c r="AN1193">
        <v>45475</v>
      </c>
      <c r="AO1193">
        <v>11085612</v>
      </c>
      <c r="AP1193">
        <v>101481.74</v>
      </c>
      <c r="AR1193">
        <v>23578.45</v>
      </c>
      <c r="AS1193">
        <v>125060.19</v>
      </c>
      <c r="AT1193">
        <v>1373.68</v>
      </c>
      <c r="AU1193">
        <v>137.36799999999999</v>
      </c>
      <c r="AV1193">
        <v>0</v>
      </c>
      <c r="AW1193" t="s">
        <v>6400</v>
      </c>
      <c r="AX1193">
        <v>137.36799999999999</v>
      </c>
      <c r="AY1193">
        <v>45901</v>
      </c>
      <c r="AZ1193">
        <v>147</v>
      </c>
      <c r="BA1193" s="4" t="s">
        <v>1104</v>
      </c>
      <c r="BB1193" t="s">
        <v>1105</v>
      </c>
      <c r="BC1193" t="s">
        <v>115</v>
      </c>
      <c r="BD1193" t="s">
        <v>882</v>
      </c>
      <c r="BE1193" t="s">
        <v>1106</v>
      </c>
      <c r="BF1193" t="s">
        <v>115</v>
      </c>
      <c r="BG1193" t="s">
        <v>115</v>
      </c>
      <c r="BH1193" t="s">
        <v>1107</v>
      </c>
      <c r="BI1193" t="s">
        <v>709</v>
      </c>
      <c r="BJ1193" t="s">
        <v>709</v>
      </c>
      <c r="BK1193" t="s">
        <v>709</v>
      </c>
      <c r="BL1193" t="s">
        <v>116</v>
      </c>
      <c r="BM1193" t="s">
        <v>709</v>
      </c>
      <c r="BN1193" t="s">
        <v>709</v>
      </c>
      <c r="BO1193" t="s">
        <v>709</v>
      </c>
      <c r="BP1193" t="s">
        <v>709</v>
      </c>
      <c r="BQ1193" t="s">
        <v>709</v>
      </c>
      <c r="BR1193" t="s">
        <v>709</v>
      </c>
      <c r="BS1193">
        <v>90</v>
      </c>
      <c r="BT1193" t="s">
        <v>745</v>
      </c>
      <c r="BU1193" t="s">
        <v>745</v>
      </c>
      <c r="BV1193" t="s">
        <v>745</v>
      </c>
      <c r="BW1193" t="s">
        <v>745</v>
      </c>
      <c r="BX1193" t="s">
        <v>745</v>
      </c>
      <c r="BY1193" t="s">
        <v>745</v>
      </c>
      <c r="BZ1193" t="s">
        <v>709</v>
      </c>
      <c r="CB1193">
        <v>1189</v>
      </c>
      <c r="CC1193" t="b">
        <v>1</v>
      </c>
      <c r="CD1193" t="s">
        <v>6401</v>
      </c>
      <c r="CE1193" s="1482">
        <v>45880.738981481481</v>
      </c>
    </row>
    <row r="1194" spans="1:83" ht="180" x14ac:dyDescent="0.25">
      <c r="A1194">
        <v>2024</v>
      </c>
      <c r="B1194" t="s">
        <v>4</v>
      </c>
      <c r="C1194" t="s">
        <v>6402</v>
      </c>
      <c r="D1194" t="s">
        <v>6403</v>
      </c>
      <c r="E1194" t="s">
        <v>3528</v>
      </c>
      <c r="F1194" t="s">
        <v>784</v>
      </c>
      <c r="G1194" t="s">
        <v>25</v>
      </c>
      <c r="H1194" t="s">
        <v>2127</v>
      </c>
      <c r="I1194">
        <v>45163</v>
      </c>
      <c r="J1194">
        <v>45520</v>
      </c>
      <c r="K1194">
        <v>45468</v>
      </c>
      <c r="L1194">
        <v>52</v>
      </c>
      <c r="M1194" t="s">
        <v>6404</v>
      </c>
      <c r="N1194" t="s">
        <v>120</v>
      </c>
      <c r="O1194">
        <v>45504</v>
      </c>
      <c r="P1194" t="s">
        <v>739</v>
      </c>
      <c r="Q1194" t="s">
        <v>115</v>
      </c>
      <c r="R1194" t="s">
        <v>115</v>
      </c>
      <c r="S1194" t="s">
        <v>915</v>
      </c>
      <c r="T1194" t="s">
        <v>915</v>
      </c>
      <c r="U1194" t="s">
        <v>915</v>
      </c>
      <c r="AB1194" t="s">
        <v>29</v>
      </c>
      <c r="AC1194" t="s">
        <v>29</v>
      </c>
      <c r="AD1194" t="s">
        <v>29</v>
      </c>
      <c r="AH1194" t="s">
        <v>29</v>
      </c>
      <c r="AI1194" t="s">
        <v>29</v>
      </c>
      <c r="AJ1194" t="s">
        <v>29</v>
      </c>
      <c r="AK1194" t="s">
        <v>29</v>
      </c>
      <c r="AL1194" t="s">
        <v>29</v>
      </c>
      <c r="AM1194" t="s">
        <v>709</v>
      </c>
      <c r="AY1194" t="s">
        <v>29</v>
      </c>
      <c r="BA1194" s="4" t="s">
        <v>6405</v>
      </c>
      <c r="BB1194" t="s">
        <v>4666</v>
      </c>
      <c r="BC1194" t="s">
        <v>709</v>
      </c>
      <c r="BD1194" t="s">
        <v>1066</v>
      </c>
      <c r="BE1194" t="s">
        <v>6406</v>
      </c>
      <c r="BF1194" t="s">
        <v>6407</v>
      </c>
      <c r="BG1194" t="s">
        <v>709</v>
      </c>
      <c r="BH1194" t="s">
        <v>29</v>
      </c>
      <c r="BZ1194" t="s">
        <v>709</v>
      </c>
      <c r="CA1194" t="s">
        <v>915</v>
      </c>
      <c r="CB1194">
        <v>1192</v>
      </c>
      <c r="CC1194" t="b">
        <v>1</v>
      </c>
      <c r="CD1194" t="s">
        <v>6408</v>
      </c>
      <c r="CE1194" s="1482">
        <v>45880.738981481481</v>
      </c>
    </row>
    <row r="1195" spans="1:83" x14ac:dyDescent="0.25">
      <c r="A1195">
        <v>2024</v>
      </c>
      <c r="B1195" t="s">
        <v>771</v>
      </c>
      <c r="C1195" t="s">
        <v>447</v>
      </c>
      <c r="D1195">
        <v>1212254</v>
      </c>
      <c r="E1195" t="s">
        <v>327</v>
      </c>
      <c r="F1195" t="s">
        <v>784</v>
      </c>
      <c r="G1195" t="s">
        <v>36</v>
      </c>
      <c r="H1195" t="s">
        <v>3178</v>
      </c>
      <c r="I1195">
        <v>45440</v>
      </c>
      <c r="J1195" t="s">
        <v>2052</v>
      </c>
      <c r="K1195">
        <v>45469</v>
      </c>
      <c r="L1195">
        <v>29</v>
      </c>
      <c r="M1195" t="s">
        <v>6409</v>
      </c>
      <c r="N1195" t="s">
        <v>120</v>
      </c>
      <c r="O1195">
        <v>45504</v>
      </c>
      <c r="P1195" t="s">
        <v>120</v>
      </c>
      <c r="Q1195">
        <v>9070</v>
      </c>
      <c r="R1195" t="s">
        <v>1922</v>
      </c>
      <c r="S1195">
        <v>0</v>
      </c>
      <c r="T1195">
        <v>0</v>
      </c>
      <c r="U1195">
        <v>9070</v>
      </c>
      <c r="AB1195" t="s">
        <v>29</v>
      </c>
      <c r="AC1195" t="s">
        <v>29</v>
      </c>
      <c r="AD1195" t="s">
        <v>116</v>
      </c>
      <c r="AE1195" t="s">
        <v>116</v>
      </c>
      <c r="AF1195" t="s">
        <v>116</v>
      </c>
      <c r="AG1195" t="s">
        <v>29</v>
      </c>
      <c r="AH1195">
        <v>45707</v>
      </c>
      <c r="AI1195" t="s">
        <v>29</v>
      </c>
      <c r="AJ1195" t="s">
        <v>29</v>
      </c>
      <c r="AK1195" t="s">
        <v>29</v>
      </c>
      <c r="AL1195" t="s">
        <v>29</v>
      </c>
      <c r="AM1195" t="s">
        <v>709</v>
      </c>
      <c r="AY1195" t="s">
        <v>29</v>
      </c>
      <c r="BA1195">
        <v>4</v>
      </c>
      <c r="BB1195" t="s">
        <v>6410</v>
      </c>
      <c r="BH1195" t="s">
        <v>6411</v>
      </c>
      <c r="BI1195" t="s">
        <v>709</v>
      </c>
      <c r="BJ1195" t="s">
        <v>709</v>
      </c>
      <c r="BK1195" t="s">
        <v>709</v>
      </c>
      <c r="BL1195" t="s">
        <v>116</v>
      </c>
      <c r="BM1195" t="s">
        <v>709</v>
      </c>
      <c r="BN1195" t="s">
        <v>709</v>
      </c>
      <c r="BO1195" t="s">
        <v>709</v>
      </c>
      <c r="BP1195">
        <v>1309</v>
      </c>
      <c r="BQ1195" t="s">
        <v>709</v>
      </c>
      <c r="BR1195" t="s">
        <v>709</v>
      </c>
      <c r="BS1195">
        <v>29</v>
      </c>
      <c r="BT1195" t="s">
        <v>709</v>
      </c>
      <c r="BU1195" t="s">
        <v>709</v>
      </c>
      <c r="BV1195" t="s">
        <v>745</v>
      </c>
      <c r="BW1195" t="s">
        <v>709</v>
      </c>
      <c r="BX1195" t="s">
        <v>709</v>
      </c>
      <c r="BY1195" t="s">
        <v>745</v>
      </c>
      <c r="BZ1195" t="s">
        <v>709</v>
      </c>
      <c r="CB1195">
        <v>1194</v>
      </c>
      <c r="CC1195" t="b">
        <v>1</v>
      </c>
      <c r="CD1195" t="s">
        <v>6412</v>
      </c>
      <c r="CE1195" s="1482">
        <v>45880.738993055558</v>
      </c>
    </row>
    <row r="1196" spans="1:83" ht="315" x14ac:dyDescent="0.25">
      <c r="A1196">
        <v>2024</v>
      </c>
      <c r="B1196" t="s">
        <v>4</v>
      </c>
      <c r="C1196" t="s">
        <v>1843</v>
      </c>
      <c r="D1196" t="s">
        <v>1844</v>
      </c>
      <c r="E1196" t="s">
        <v>1845</v>
      </c>
      <c r="F1196" t="s">
        <v>1102</v>
      </c>
      <c r="G1196" t="s">
        <v>27</v>
      </c>
      <c r="H1196" t="s">
        <v>59</v>
      </c>
      <c r="I1196">
        <v>45328</v>
      </c>
      <c r="J1196">
        <v>45474</v>
      </c>
      <c r="K1196">
        <v>45469</v>
      </c>
      <c r="L1196">
        <v>5</v>
      </c>
      <c r="N1196" t="s">
        <v>120</v>
      </c>
      <c r="O1196">
        <v>45504</v>
      </c>
      <c r="P1196" t="s">
        <v>739</v>
      </c>
      <c r="Q1196">
        <v>96673.373999999996</v>
      </c>
      <c r="R1196">
        <v>0.1</v>
      </c>
      <c r="V1196">
        <v>712</v>
      </c>
      <c r="W1196">
        <v>0</v>
      </c>
      <c r="X1196">
        <v>881604.73</v>
      </c>
      <c r="Z1196">
        <v>85129.01</v>
      </c>
      <c r="AA1196">
        <v>966733.74</v>
      </c>
      <c r="AB1196">
        <v>45456</v>
      </c>
      <c r="AC1196" t="s">
        <v>116</v>
      </c>
      <c r="AD1196" t="s">
        <v>116</v>
      </c>
      <c r="AE1196" t="s">
        <v>116</v>
      </c>
      <c r="AF1196" t="s">
        <v>116</v>
      </c>
      <c r="AG1196" t="s">
        <v>116</v>
      </c>
      <c r="AH1196">
        <v>45567</v>
      </c>
      <c r="AI1196">
        <v>37330</v>
      </c>
      <c r="AJ1196">
        <v>8730</v>
      </c>
      <c r="AK1196">
        <v>0</v>
      </c>
      <c r="AL1196">
        <v>0.4764496995832585</v>
      </c>
      <c r="AM1196" t="s">
        <v>116</v>
      </c>
      <c r="AN1196">
        <v>45581</v>
      </c>
      <c r="AO1196">
        <v>11091791</v>
      </c>
      <c r="AP1196">
        <v>977551.39</v>
      </c>
      <c r="AR1196">
        <v>86344.18</v>
      </c>
      <c r="AS1196">
        <v>1063895.57</v>
      </c>
      <c r="AT1196">
        <v>97161.83</v>
      </c>
      <c r="AU1196">
        <v>9716.1830000000009</v>
      </c>
      <c r="AV1196">
        <v>0</v>
      </c>
      <c r="AW1196" t="s">
        <v>6413</v>
      </c>
      <c r="AX1196">
        <v>9716.1830000000009</v>
      </c>
      <c r="AY1196">
        <v>45901</v>
      </c>
      <c r="AZ1196">
        <v>148</v>
      </c>
      <c r="BA1196" s="4" t="s">
        <v>1846</v>
      </c>
      <c r="BB1196" t="s">
        <v>870</v>
      </c>
      <c r="BC1196" t="s">
        <v>116</v>
      </c>
      <c r="BD1196" t="s">
        <v>882</v>
      </c>
      <c r="BE1196" t="s">
        <v>1847</v>
      </c>
      <c r="BF1196" t="s">
        <v>115</v>
      </c>
      <c r="BG1196" t="s">
        <v>115</v>
      </c>
      <c r="BH1196" t="s">
        <v>1848</v>
      </c>
      <c r="BI1196" t="s">
        <v>709</v>
      </c>
      <c r="BJ1196" t="s">
        <v>709</v>
      </c>
      <c r="BK1196" t="s">
        <v>116</v>
      </c>
      <c r="BL1196" t="s">
        <v>116</v>
      </c>
      <c r="BM1196" t="s">
        <v>709</v>
      </c>
      <c r="BN1196" t="s">
        <v>709</v>
      </c>
      <c r="BO1196" t="s">
        <v>709</v>
      </c>
      <c r="BP1196">
        <v>328</v>
      </c>
      <c r="BQ1196">
        <v>167</v>
      </c>
      <c r="BR1196">
        <v>221</v>
      </c>
      <c r="BS1196" t="s">
        <v>709</v>
      </c>
      <c r="BT1196" t="s">
        <v>745</v>
      </c>
      <c r="BU1196" t="s">
        <v>745</v>
      </c>
      <c r="BV1196" t="s">
        <v>745</v>
      </c>
      <c r="BW1196" t="s">
        <v>745</v>
      </c>
      <c r="BX1196" t="s">
        <v>745</v>
      </c>
      <c r="BY1196" t="s">
        <v>745</v>
      </c>
      <c r="BZ1196" t="s">
        <v>709</v>
      </c>
      <c r="CB1196">
        <v>1193</v>
      </c>
      <c r="CC1196" t="b">
        <v>1</v>
      </c>
      <c r="CD1196" t="s">
        <v>6414</v>
      </c>
      <c r="CE1196" s="1482">
        <v>45880.738993055558</v>
      </c>
    </row>
    <row r="1197" spans="1:83" x14ac:dyDescent="0.25">
      <c r="A1197">
        <v>2024</v>
      </c>
      <c r="B1197" t="s">
        <v>4</v>
      </c>
      <c r="C1197" t="s">
        <v>1778</v>
      </c>
      <c r="D1197">
        <v>1213617</v>
      </c>
      <c r="E1197" t="s">
        <v>1780</v>
      </c>
      <c r="F1197" t="s">
        <v>1757</v>
      </c>
      <c r="G1197" t="s">
        <v>25</v>
      </c>
      <c r="H1197" t="s">
        <v>4189</v>
      </c>
      <c r="I1197">
        <v>45434</v>
      </c>
      <c r="J1197" t="s">
        <v>2052</v>
      </c>
      <c r="K1197">
        <v>45476</v>
      </c>
      <c r="L1197">
        <v>42</v>
      </c>
      <c r="M1197" t="s">
        <v>6415</v>
      </c>
      <c r="N1197" t="s">
        <v>120</v>
      </c>
      <c r="O1197">
        <v>45504</v>
      </c>
      <c r="P1197" t="s">
        <v>739</v>
      </c>
      <c r="Q1197">
        <v>19677.5</v>
      </c>
      <c r="R1197" t="s">
        <v>1922</v>
      </c>
      <c r="S1197">
        <v>0</v>
      </c>
      <c r="T1197">
        <v>0</v>
      </c>
      <c r="U1197">
        <v>19677.5</v>
      </c>
      <c r="AB1197" t="s">
        <v>29</v>
      </c>
      <c r="AC1197" t="s">
        <v>29</v>
      </c>
      <c r="AD1197" t="s">
        <v>29</v>
      </c>
      <c r="AE1197" t="s">
        <v>116</v>
      </c>
      <c r="AF1197" t="s">
        <v>29</v>
      </c>
      <c r="AG1197" t="s">
        <v>29</v>
      </c>
      <c r="AH1197">
        <v>45525</v>
      </c>
      <c r="AI1197" t="s">
        <v>29</v>
      </c>
      <c r="AJ1197" t="s">
        <v>29</v>
      </c>
      <c r="AK1197" t="s">
        <v>29</v>
      </c>
      <c r="AL1197" t="s">
        <v>29</v>
      </c>
      <c r="AM1197" t="s">
        <v>709</v>
      </c>
      <c r="AY1197" t="s">
        <v>29</v>
      </c>
      <c r="BA1197" t="s">
        <v>4919</v>
      </c>
      <c r="BB1197" t="s">
        <v>6416</v>
      </c>
      <c r="BH1197" t="s">
        <v>6417</v>
      </c>
      <c r="BI1197" t="s">
        <v>709</v>
      </c>
      <c r="BJ1197" t="s">
        <v>709</v>
      </c>
      <c r="BK1197" t="s">
        <v>709</v>
      </c>
      <c r="BL1197" t="s">
        <v>116</v>
      </c>
      <c r="BM1197" t="s">
        <v>709</v>
      </c>
      <c r="BN1197" t="s">
        <v>709</v>
      </c>
      <c r="BO1197" t="s">
        <v>709</v>
      </c>
      <c r="BP1197" t="s">
        <v>709</v>
      </c>
      <c r="BQ1197" t="s">
        <v>709</v>
      </c>
      <c r="BR1197">
        <v>1732</v>
      </c>
      <c r="BS1197">
        <v>5904</v>
      </c>
      <c r="BT1197" t="s">
        <v>745</v>
      </c>
      <c r="BU1197" t="s">
        <v>709</v>
      </c>
      <c r="BV1197" t="s">
        <v>745</v>
      </c>
      <c r="BW1197" t="s">
        <v>709</v>
      </c>
      <c r="BX1197" t="s">
        <v>745</v>
      </c>
      <c r="BY1197" t="s">
        <v>745</v>
      </c>
      <c r="BZ1197" t="s">
        <v>709</v>
      </c>
      <c r="CB1197">
        <v>1195</v>
      </c>
      <c r="CC1197" t="b">
        <v>1</v>
      </c>
      <c r="CD1197" t="s">
        <v>6418</v>
      </c>
      <c r="CE1197" s="1482">
        <v>45880.738993055558</v>
      </c>
    </row>
    <row r="1198" spans="1:83" x14ac:dyDescent="0.25">
      <c r="A1198">
        <v>2024</v>
      </c>
      <c r="B1198" t="s">
        <v>1205</v>
      </c>
      <c r="C1198" t="s">
        <v>580</v>
      </c>
      <c r="D1198">
        <v>1212584</v>
      </c>
      <c r="E1198" t="s">
        <v>1529</v>
      </c>
      <c r="F1198" t="s">
        <v>784</v>
      </c>
      <c r="G1198" t="s">
        <v>36</v>
      </c>
      <c r="H1198" t="s">
        <v>4462</v>
      </c>
      <c r="I1198">
        <v>45481</v>
      </c>
      <c r="J1198" t="s">
        <v>2052</v>
      </c>
      <c r="K1198">
        <v>45481</v>
      </c>
      <c r="L1198">
        <v>0</v>
      </c>
      <c r="M1198" t="s">
        <v>6419</v>
      </c>
      <c r="N1198" t="s">
        <v>120</v>
      </c>
      <c r="O1198">
        <v>45504</v>
      </c>
      <c r="P1198" t="s">
        <v>120</v>
      </c>
      <c r="Q1198" t="s">
        <v>115</v>
      </c>
      <c r="R1198" t="s">
        <v>115</v>
      </c>
      <c r="AB1198" t="s">
        <v>29</v>
      </c>
      <c r="AC1198" t="s">
        <v>709</v>
      </c>
      <c r="AD1198" t="s">
        <v>29</v>
      </c>
      <c r="AE1198" t="s">
        <v>116</v>
      </c>
      <c r="AI1198" t="s">
        <v>29</v>
      </c>
      <c r="AJ1198" t="s">
        <v>29</v>
      </c>
      <c r="AK1198" t="s">
        <v>29</v>
      </c>
      <c r="AL1198" t="s">
        <v>29</v>
      </c>
      <c r="AM1198" t="s">
        <v>709</v>
      </c>
      <c r="AY1198" t="s">
        <v>29</v>
      </c>
      <c r="BA1198">
        <v>2</v>
      </c>
      <c r="CB1198">
        <v>1196</v>
      </c>
      <c r="CC1198" t="b">
        <v>1</v>
      </c>
      <c r="CD1198" t="s">
        <v>6420</v>
      </c>
      <c r="CE1198" s="1482">
        <v>45880.739004629628</v>
      </c>
    </row>
    <row r="1199" spans="1:83" x14ac:dyDescent="0.25">
      <c r="A1199">
        <v>2024</v>
      </c>
      <c r="B1199" t="s">
        <v>771</v>
      </c>
      <c r="C1199" t="s">
        <v>1127</v>
      </c>
      <c r="D1199">
        <v>1212282</v>
      </c>
      <c r="E1199" t="s">
        <v>1129</v>
      </c>
      <c r="F1199" t="s">
        <v>784</v>
      </c>
      <c r="G1199" t="s">
        <v>32</v>
      </c>
      <c r="H1199" t="s">
        <v>4462</v>
      </c>
      <c r="I1199">
        <v>45440</v>
      </c>
      <c r="J1199" t="s">
        <v>2052</v>
      </c>
      <c r="K1199">
        <v>45482</v>
      </c>
      <c r="L1199">
        <v>42</v>
      </c>
      <c r="M1199" t="s">
        <v>6421</v>
      </c>
      <c r="N1199" t="s">
        <v>120</v>
      </c>
      <c r="O1199">
        <v>45504</v>
      </c>
      <c r="P1199" t="s">
        <v>120</v>
      </c>
      <c r="Q1199" t="s">
        <v>115</v>
      </c>
      <c r="R1199" t="s">
        <v>115</v>
      </c>
      <c r="AB1199" t="s">
        <v>29</v>
      </c>
      <c r="AE1199" t="s">
        <v>709</v>
      </c>
      <c r="AI1199" t="s">
        <v>29</v>
      </c>
      <c r="AJ1199" t="s">
        <v>29</v>
      </c>
      <c r="AK1199" t="s">
        <v>29</v>
      </c>
      <c r="AL1199" t="s">
        <v>29</v>
      </c>
      <c r="AM1199" t="s">
        <v>709</v>
      </c>
      <c r="AY1199" t="s">
        <v>29</v>
      </c>
      <c r="BA1199">
        <v>4</v>
      </c>
      <c r="BB1199" t="s">
        <v>6422</v>
      </c>
      <c r="BH1199" t="s">
        <v>6423</v>
      </c>
      <c r="CB1199">
        <v>1197</v>
      </c>
      <c r="CC1199" t="b">
        <v>1</v>
      </c>
      <c r="CD1199" t="s">
        <v>6424</v>
      </c>
      <c r="CE1199" s="1482">
        <v>45880.739004629628</v>
      </c>
    </row>
    <row r="1200" spans="1:83" x14ac:dyDescent="0.25">
      <c r="A1200">
        <v>2024</v>
      </c>
      <c r="B1200" t="s">
        <v>4</v>
      </c>
      <c r="C1200" t="s">
        <v>1746</v>
      </c>
      <c r="D1200" t="s">
        <v>1747</v>
      </c>
      <c r="E1200" t="s">
        <v>1748</v>
      </c>
      <c r="F1200" t="s">
        <v>784</v>
      </c>
      <c r="G1200" t="s">
        <v>31</v>
      </c>
      <c r="H1200" t="s">
        <v>4001</v>
      </c>
      <c r="I1200">
        <v>45478</v>
      </c>
      <c r="J1200" t="s">
        <v>2052</v>
      </c>
      <c r="K1200">
        <v>45483</v>
      </c>
      <c r="L1200">
        <v>5</v>
      </c>
      <c r="M1200" t="s">
        <v>6425</v>
      </c>
      <c r="N1200" t="s">
        <v>120</v>
      </c>
      <c r="O1200">
        <v>45504</v>
      </c>
      <c r="P1200" t="s">
        <v>739</v>
      </c>
      <c r="Q1200">
        <v>3235</v>
      </c>
      <c r="R1200" t="s">
        <v>1922</v>
      </c>
      <c r="S1200">
        <v>0</v>
      </c>
      <c r="T1200">
        <v>0</v>
      </c>
      <c r="U1200">
        <v>3235</v>
      </c>
      <c r="AB1200" t="s">
        <v>29</v>
      </c>
      <c r="AC1200" t="s">
        <v>29</v>
      </c>
      <c r="AD1200" t="s">
        <v>116</v>
      </c>
      <c r="AE1200" t="s">
        <v>116</v>
      </c>
      <c r="AF1200" t="s">
        <v>116</v>
      </c>
      <c r="AG1200" t="s">
        <v>29</v>
      </c>
      <c r="AH1200">
        <v>45567</v>
      </c>
      <c r="AI1200" t="s">
        <v>29</v>
      </c>
      <c r="AJ1200" t="s">
        <v>29</v>
      </c>
      <c r="AK1200" t="s">
        <v>29</v>
      </c>
      <c r="AL1200" t="s">
        <v>29</v>
      </c>
      <c r="AM1200" t="s">
        <v>709</v>
      </c>
      <c r="AY1200" t="s">
        <v>29</v>
      </c>
      <c r="BA1200">
        <v>3</v>
      </c>
      <c r="BB1200" t="s">
        <v>787</v>
      </c>
      <c r="BH1200" t="s">
        <v>6426</v>
      </c>
      <c r="BI1200" t="s">
        <v>709</v>
      </c>
      <c r="BJ1200" t="s">
        <v>709</v>
      </c>
      <c r="BK1200" t="s">
        <v>709</v>
      </c>
      <c r="BL1200" t="s">
        <v>116</v>
      </c>
      <c r="BM1200" t="s">
        <v>709</v>
      </c>
      <c r="BN1200" t="s">
        <v>709</v>
      </c>
      <c r="BO1200" t="s">
        <v>709</v>
      </c>
      <c r="BP1200" t="s">
        <v>709</v>
      </c>
      <c r="BQ1200" t="s">
        <v>709</v>
      </c>
      <c r="BR1200">
        <v>121</v>
      </c>
      <c r="BS1200" t="s">
        <v>709</v>
      </c>
      <c r="BT1200" t="s">
        <v>709</v>
      </c>
      <c r="BU1200" t="s">
        <v>709</v>
      </c>
      <c r="BV1200" t="s">
        <v>709</v>
      </c>
      <c r="BW1200" t="s">
        <v>709</v>
      </c>
      <c r="BX1200" t="s">
        <v>709</v>
      </c>
      <c r="BY1200" t="s">
        <v>709</v>
      </c>
      <c r="BZ1200" t="s">
        <v>709</v>
      </c>
      <c r="CB1200">
        <v>1198</v>
      </c>
      <c r="CC1200" t="b">
        <v>1</v>
      </c>
      <c r="CD1200" t="s">
        <v>6427</v>
      </c>
      <c r="CE1200" s="1482">
        <v>45880.739004629628</v>
      </c>
    </row>
    <row r="1201" spans="1:83" ht="315" x14ac:dyDescent="0.25">
      <c r="A1201">
        <v>2024</v>
      </c>
      <c r="B1201" t="s">
        <v>4</v>
      </c>
      <c r="C1201" t="s">
        <v>6428</v>
      </c>
      <c r="D1201" t="s">
        <v>115</v>
      </c>
      <c r="E1201" t="s">
        <v>1164</v>
      </c>
      <c r="F1201" t="s">
        <v>784</v>
      </c>
      <c r="G1201" t="s">
        <v>25</v>
      </c>
      <c r="H1201" t="s">
        <v>1681</v>
      </c>
      <c r="I1201">
        <v>44480</v>
      </c>
      <c r="J1201">
        <v>45534</v>
      </c>
      <c r="K1201">
        <v>45483</v>
      </c>
      <c r="L1201">
        <v>51</v>
      </c>
      <c r="M1201" t="s">
        <v>6429</v>
      </c>
      <c r="N1201" t="s">
        <v>120</v>
      </c>
      <c r="O1201">
        <v>45504</v>
      </c>
      <c r="P1201" t="s">
        <v>739</v>
      </c>
      <c r="Q1201" t="s">
        <v>115</v>
      </c>
      <c r="R1201" t="s">
        <v>115</v>
      </c>
      <c r="AB1201" t="s">
        <v>29</v>
      </c>
      <c r="AC1201" t="s">
        <v>29</v>
      </c>
      <c r="AD1201" t="s">
        <v>29</v>
      </c>
      <c r="AE1201" t="s">
        <v>29</v>
      </c>
      <c r="AF1201" t="s">
        <v>29</v>
      </c>
      <c r="AG1201" t="s">
        <v>29</v>
      </c>
      <c r="AH1201" t="s">
        <v>29</v>
      </c>
      <c r="AI1201" t="s">
        <v>29</v>
      </c>
      <c r="AJ1201" t="s">
        <v>29</v>
      </c>
      <c r="AK1201" t="s">
        <v>29</v>
      </c>
      <c r="AL1201" t="s">
        <v>29</v>
      </c>
      <c r="AM1201" t="s">
        <v>709</v>
      </c>
      <c r="AY1201" t="s">
        <v>29</v>
      </c>
      <c r="BA1201" s="4" t="s">
        <v>6430</v>
      </c>
      <c r="BB1201" t="s">
        <v>5133</v>
      </c>
      <c r="BC1201" t="s">
        <v>709</v>
      </c>
      <c r="BD1201" t="s">
        <v>709</v>
      </c>
      <c r="BE1201" t="s">
        <v>5134</v>
      </c>
      <c r="BF1201" t="s">
        <v>709</v>
      </c>
      <c r="BG1201" t="s">
        <v>709</v>
      </c>
      <c r="BH1201" t="s">
        <v>6431</v>
      </c>
      <c r="CA1201" t="s">
        <v>915</v>
      </c>
      <c r="CB1201">
        <v>1199</v>
      </c>
      <c r="CC1201" t="b">
        <v>1</v>
      </c>
      <c r="CD1201" t="s">
        <v>6432</v>
      </c>
      <c r="CE1201" s="1482">
        <v>45880.739016203705</v>
      </c>
    </row>
    <row r="1202" spans="1:83" ht="210" x14ac:dyDescent="0.25">
      <c r="A1202">
        <v>2024</v>
      </c>
      <c r="B1202" t="s">
        <v>733</v>
      </c>
      <c r="C1202" t="s">
        <v>6323</v>
      </c>
      <c r="D1202" t="s">
        <v>6324</v>
      </c>
      <c r="E1202" t="s">
        <v>426</v>
      </c>
      <c r="F1202" t="s">
        <v>752</v>
      </c>
      <c r="G1202" t="s">
        <v>34</v>
      </c>
      <c r="H1202" t="s">
        <v>59</v>
      </c>
      <c r="I1202">
        <v>45296</v>
      </c>
      <c r="J1202">
        <v>45520</v>
      </c>
      <c r="K1202">
        <v>45489</v>
      </c>
      <c r="L1202">
        <v>31</v>
      </c>
      <c r="M1202" t="s">
        <v>6433</v>
      </c>
      <c r="N1202" t="s">
        <v>120</v>
      </c>
      <c r="O1202">
        <v>45504</v>
      </c>
      <c r="P1202" t="s">
        <v>120</v>
      </c>
      <c r="Q1202">
        <v>6750</v>
      </c>
      <c r="R1202" t="s">
        <v>6434</v>
      </c>
      <c r="W1202">
        <v>1</v>
      </c>
      <c r="X1202">
        <v>123955.68</v>
      </c>
      <c r="Z1202">
        <v>46519.68</v>
      </c>
      <c r="AA1202">
        <v>170475.36</v>
      </c>
      <c r="AB1202">
        <v>45460</v>
      </c>
      <c r="AC1202" t="s">
        <v>29</v>
      </c>
      <c r="AD1202" t="s">
        <v>116</v>
      </c>
      <c r="AE1202" t="s">
        <v>116</v>
      </c>
      <c r="AF1202" t="s">
        <v>756</v>
      </c>
      <c r="AG1202" t="s">
        <v>29</v>
      </c>
      <c r="AH1202" t="s">
        <v>116</v>
      </c>
      <c r="AM1202" t="s">
        <v>709</v>
      </c>
      <c r="AY1202" t="s">
        <v>29</v>
      </c>
      <c r="BB1202" s="4" t="s">
        <v>6435</v>
      </c>
      <c r="BC1202" t="s">
        <v>115</v>
      </c>
      <c r="BD1202" t="s">
        <v>1790</v>
      </c>
      <c r="BE1202" t="s">
        <v>1396</v>
      </c>
      <c r="BF1202" t="s">
        <v>115</v>
      </c>
      <c r="BG1202" t="s">
        <v>115</v>
      </c>
      <c r="BH1202" t="s">
        <v>6326</v>
      </c>
      <c r="BI1202" t="s">
        <v>709</v>
      </c>
      <c r="BJ1202" t="s">
        <v>709</v>
      </c>
      <c r="BK1202" t="s">
        <v>709</v>
      </c>
      <c r="BL1202" t="s">
        <v>116</v>
      </c>
      <c r="BM1202" t="s">
        <v>709</v>
      </c>
      <c r="BN1202" t="s">
        <v>709</v>
      </c>
      <c r="BO1202" t="s">
        <v>709</v>
      </c>
      <c r="BP1202" t="s">
        <v>709</v>
      </c>
      <c r="BQ1202">
        <v>21</v>
      </c>
      <c r="BR1202" t="s">
        <v>709</v>
      </c>
      <c r="BS1202" t="s">
        <v>709</v>
      </c>
      <c r="BT1202" t="s">
        <v>745</v>
      </c>
      <c r="BU1202" t="s">
        <v>745</v>
      </c>
      <c r="BV1202" t="s">
        <v>745</v>
      </c>
      <c r="BW1202" t="s">
        <v>745</v>
      </c>
      <c r="BX1202" t="s">
        <v>745</v>
      </c>
      <c r="BY1202" t="s">
        <v>745</v>
      </c>
      <c r="BZ1202" t="s">
        <v>709</v>
      </c>
      <c r="CB1202">
        <v>1200</v>
      </c>
      <c r="CC1202" t="b">
        <v>1</v>
      </c>
      <c r="CD1202" t="s">
        <v>6436</v>
      </c>
      <c r="CE1202" s="1482">
        <v>45880.739016203705</v>
      </c>
    </row>
    <row r="1203" spans="1:83" x14ac:dyDescent="0.25">
      <c r="A1203">
        <v>2024</v>
      </c>
      <c r="B1203" t="s">
        <v>769</v>
      </c>
      <c r="C1203" t="s">
        <v>1654</v>
      </c>
      <c r="D1203">
        <v>1012913</v>
      </c>
      <c r="E1203" t="s">
        <v>1149</v>
      </c>
      <c r="F1203" t="s">
        <v>752</v>
      </c>
      <c r="G1203" t="s">
        <v>4770</v>
      </c>
      <c r="H1203" t="s">
        <v>4462</v>
      </c>
      <c r="I1203">
        <v>45482</v>
      </c>
      <c r="J1203" t="s">
        <v>2052</v>
      </c>
      <c r="K1203">
        <v>45489</v>
      </c>
      <c r="L1203">
        <v>7</v>
      </c>
      <c r="M1203" t="s">
        <v>6437</v>
      </c>
      <c r="N1203" t="s">
        <v>120</v>
      </c>
      <c r="O1203">
        <v>45505</v>
      </c>
      <c r="P1203" t="s">
        <v>120</v>
      </c>
      <c r="Q1203" t="s">
        <v>115</v>
      </c>
      <c r="R1203" t="s">
        <v>115</v>
      </c>
      <c r="S1203" t="s">
        <v>29</v>
      </c>
      <c r="T1203" t="s">
        <v>29</v>
      </c>
      <c r="U1203" t="s">
        <v>29</v>
      </c>
      <c r="V1203">
        <v>1578</v>
      </c>
      <c r="W1203">
        <v>3</v>
      </c>
      <c r="X1203" t="s">
        <v>29</v>
      </c>
      <c r="Z1203" t="s">
        <v>29</v>
      </c>
      <c r="AA1203" t="s">
        <v>29</v>
      </c>
      <c r="AB1203" t="s">
        <v>29</v>
      </c>
      <c r="AC1203" t="s">
        <v>29</v>
      </c>
      <c r="AD1203" t="s">
        <v>116</v>
      </c>
      <c r="AE1203" t="s">
        <v>116</v>
      </c>
      <c r="AF1203" t="s">
        <v>116</v>
      </c>
      <c r="AG1203" t="s">
        <v>29</v>
      </c>
      <c r="AH1203" t="s">
        <v>29</v>
      </c>
      <c r="AM1203" t="s">
        <v>709</v>
      </c>
      <c r="AY1203" t="s">
        <v>29</v>
      </c>
      <c r="BA1203">
        <v>3</v>
      </c>
      <c r="BH1203" t="s">
        <v>29</v>
      </c>
      <c r="BI1203" t="s">
        <v>709</v>
      </c>
      <c r="BJ1203" t="s">
        <v>709</v>
      </c>
      <c r="BK1203" t="s">
        <v>116</v>
      </c>
      <c r="BL1203" t="s">
        <v>116</v>
      </c>
      <c r="BM1203" t="s">
        <v>709</v>
      </c>
      <c r="BN1203">
        <v>248</v>
      </c>
      <c r="BO1203" t="s">
        <v>709</v>
      </c>
      <c r="BP1203">
        <v>26</v>
      </c>
      <c r="BQ1203">
        <v>1169</v>
      </c>
      <c r="BR1203">
        <v>40</v>
      </c>
      <c r="BS1203">
        <v>5</v>
      </c>
      <c r="BT1203">
        <v>1</v>
      </c>
      <c r="BU1203" t="s">
        <v>709</v>
      </c>
      <c r="BV1203" t="s">
        <v>709</v>
      </c>
      <c r="BW1203">
        <v>1</v>
      </c>
      <c r="BX1203">
        <v>1</v>
      </c>
      <c r="BY1203" t="s">
        <v>709</v>
      </c>
      <c r="BZ1203" t="s">
        <v>709</v>
      </c>
      <c r="CA1203" t="s">
        <v>769</v>
      </c>
      <c r="CB1203">
        <v>1201</v>
      </c>
      <c r="CC1203" t="b">
        <v>1</v>
      </c>
      <c r="CD1203" t="s">
        <v>6438</v>
      </c>
      <c r="CE1203" s="1482">
        <v>45880.739016203705</v>
      </c>
    </row>
    <row r="1204" spans="1:83" x14ac:dyDescent="0.25">
      <c r="A1204">
        <v>2024</v>
      </c>
      <c r="B1204" t="s">
        <v>733</v>
      </c>
      <c r="C1204" t="s">
        <v>6323</v>
      </c>
      <c r="D1204">
        <v>1013480</v>
      </c>
      <c r="E1204" t="s">
        <v>426</v>
      </c>
      <c r="F1204" t="s">
        <v>752</v>
      </c>
      <c r="G1204" t="s">
        <v>4770</v>
      </c>
      <c r="H1204" t="s">
        <v>4045</v>
      </c>
      <c r="I1204">
        <v>45496</v>
      </c>
      <c r="J1204" t="s">
        <v>2958</v>
      </c>
      <c r="K1204">
        <v>45496</v>
      </c>
      <c r="L1204">
        <v>0</v>
      </c>
      <c r="M1204" t="s">
        <v>6439</v>
      </c>
      <c r="N1204" t="s">
        <v>120</v>
      </c>
      <c r="O1204">
        <v>45505</v>
      </c>
      <c r="P1204" t="s">
        <v>120</v>
      </c>
      <c r="Q1204" t="s">
        <v>115</v>
      </c>
      <c r="R1204" t="s">
        <v>115</v>
      </c>
      <c r="S1204" t="s">
        <v>29</v>
      </c>
      <c r="T1204" t="s">
        <v>29</v>
      </c>
      <c r="U1204" t="s">
        <v>29</v>
      </c>
      <c r="W1204">
        <v>1</v>
      </c>
      <c r="X1204" t="s">
        <v>29</v>
      </c>
      <c r="Z1204" t="s">
        <v>29</v>
      </c>
      <c r="AA1204" t="s">
        <v>29</v>
      </c>
      <c r="AB1204" t="s">
        <v>29</v>
      </c>
      <c r="AC1204" t="s">
        <v>29</v>
      </c>
      <c r="AD1204" t="s">
        <v>29</v>
      </c>
      <c r="AE1204" t="s">
        <v>116</v>
      </c>
      <c r="AF1204" t="s">
        <v>116</v>
      </c>
      <c r="AG1204" t="s">
        <v>29</v>
      </c>
      <c r="AH1204" t="s">
        <v>29</v>
      </c>
      <c r="AM1204" t="s">
        <v>709</v>
      </c>
      <c r="AY1204" t="s">
        <v>29</v>
      </c>
      <c r="BA1204" t="s">
        <v>6440</v>
      </c>
      <c r="BH1204" t="s">
        <v>6441</v>
      </c>
      <c r="BI1204" t="s">
        <v>709</v>
      </c>
      <c r="BJ1204" t="s">
        <v>709</v>
      </c>
      <c r="BK1204" t="s">
        <v>116</v>
      </c>
      <c r="BL1204" t="s">
        <v>116</v>
      </c>
      <c r="BM1204" t="s">
        <v>709</v>
      </c>
      <c r="BN1204" t="s">
        <v>709</v>
      </c>
      <c r="BO1204" t="s">
        <v>709</v>
      </c>
      <c r="BP1204" t="s">
        <v>709</v>
      </c>
      <c r="BQ1204">
        <v>21</v>
      </c>
      <c r="BR1204" t="s">
        <v>709</v>
      </c>
      <c r="BS1204" t="s">
        <v>709</v>
      </c>
      <c r="BT1204" t="s">
        <v>709</v>
      </c>
      <c r="BU1204" t="s">
        <v>709</v>
      </c>
      <c r="BV1204" t="s">
        <v>709</v>
      </c>
      <c r="BW1204" t="s">
        <v>709</v>
      </c>
      <c r="BX1204">
        <v>1</v>
      </c>
      <c r="BY1204" t="s">
        <v>709</v>
      </c>
      <c r="BZ1204" t="s">
        <v>709</v>
      </c>
      <c r="CB1204">
        <v>1202</v>
      </c>
      <c r="CC1204" t="b">
        <v>1</v>
      </c>
      <c r="CD1204" t="s">
        <v>6442</v>
      </c>
      <c r="CE1204" s="1482">
        <v>45880.739027777781</v>
      </c>
    </row>
    <row r="1205" spans="1:83" x14ac:dyDescent="0.25">
      <c r="A1205">
        <v>2024</v>
      </c>
      <c r="B1205" t="s">
        <v>759</v>
      </c>
      <c r="C1205" t="s">
        <v>6443</v>
      </c>
      <c r="D1205" t="s">
        <v>115</v>
      </c>
      <c r="E1205" t="s">
        <v>29</v>
      </c>
      <c r="F1205" t="s">
        <v>752</v>
      </c>
      <c r="G1205" t="s">
        <v>37</v>
      </c>
      <c r="H1205" t="s">
        <v>4110</v>
      </c>
      <c r="I1205">
        <v>45495</v>
      </c>
      <c r="J1205" t="s">
        <v>4110</v>
      </c>
      <c r="K1205">
        <v>45496</v>
      </c>
      <c r="L1205">
        <v>1</v>
      </c>
      <c r="M1205" t="s">
        <v>6444</v>
      </c>
      <c r="N1205" t="s">
        <v>120</v>
      </c>
      <c r="O1205">
        <v>45536</v>
      </c>
      <c r="P1205" t="s">
        <v>739</v>
      </c>
      <c r="Q1205">
        <v>2735</v>
      </c>
      <c r="R1205" t="s">
        <v>1922</v>
      </c>
      <c r="S1205">
        <v>0</v>
      </c>
      <c r="T1205">
        <v>0</v>
      </c>
      <c r="U1205">
        <v>2735</v>
      </c>
      <c r="V1205" t="s">
        <v>29</v>
      </c>
      <c r="W1205" t="s">
        <v>29</v>
      </c>
      <c r="X1205" t="s">
        <v>29</v>
      </c>
      <c r="Z1205" t="s">
        <v>29</v>
      </c>
      <c r="AA1205" t="s">
        <v>29</v>
      </c>
      <c r="AB1205" t="s">
        <v>29</v>
      </c>
      <c r="AC1205" t="s">
        <v>29</v>
      </c>
      <c r="AD1205" t="s">
        <v>29</v>
      </c>
      <c r="AE1205" t="s">
        <v>29</v>
      </c>
      <c r="AF1205" t="s">
        <v>116</v>
      </c>
      <c r="AG1205" t="s">
        <v>29</v>
      </c>
      <c r="AH1205" t="s">
        <v>29</v>
      </c>
      <c r="AI1205" t="s">
        <v>29</v>
      </c>
      <c r="AJ1205" t="s">
        <v>29</v>
      </c>
      <c r="AK1205" t="s">
        <v>29</v>
      </c>
      <c r="AL1205" t="s">
        <v>29</v>
      </c>
      <c r="AM1205" t="s">
        <v>709</v>
      </c>
      <c r="AY1205" t="s">
        <v>29</v>
      </c>
      <c r="BA1205" t="s">
        <v>29</v>
      </c>
      <c r="BB1205" t="s">
        <v>6444</v>
      </c>
      <c r="BH1205" t="s">
        <v>6445</v>
      </c>
      <c r="BI1205" t="s">
        <v>709</v>
      </c>
      <c r="BJ1205" t="s">
        <v>709</v>
      </c>
      <c r="BK1205" t="s">
        <v>709</v>
      </c>
      <c r="BL1205" t="s">
        <v>709</v>
      </c>
      <c r="BM1205" t="s">
        <v>709</v>
      </c>
      <c r="BN1205" t="s">
        <v>709</v>
      </c>
      <c r="BO1205" t="s">
        <v>709</v>
      </c>
      <c r="BP1205" t="s">
        <v>709</v>
      </c>
      <c r="BQ1205" t="s">
        <v>709</v>
      </c>
      <c r="BR1205" t="s">
        <v>709</v>
      </c>
      <c r="BS1205" t="s">
        <v>709</v>
      </c>
      <c r="BT1205" t="s">
        <v>709</v>
      </c>
      <c r="BU1205" t="s">
        <v>709</v>
      </c>
      <c r="BV1205" t="s">
        <v>709</v>
      </c>
      <c r="BW1205" t="s">
        <v>709</v>
      </c>
      <c r="BX1205" t="s">
        <v>709</v>
      </c>
      <c r="BY1205" t="s">
        <v>709</v>
      </c>
      <c r="BZ1205" t="s">
        <v>709</v>
      </c>
      <c r="CB1205">
        <v>1203</v>
      </c>
      <c r="CC1205" t="b">
        <v>1</v>
      </c>
      <c r="CD1205" t="s">
        <v>6446</v>
      </c>
      <c r="CE1205" s="1482">
        <v>45880.739027777781</v>
      </c>
    </row>
    <row r="1206" spans="1:83" x14ac:dyDescent="0.25">
      <c r="A1206">
        <v>2024</v>
      </c>
      <c r="B1206" t="s">
        <v>4</v>
      </c>
      <c r="C1206" t="s">
        <v>1774</v>
      </c>
      <c r="D1206" t="s">
        <v>1775</v>
      </c>
      <c r="E1206" t="s">
        <v>155</v>
      </c>
      <c r="F1206" t="s">
        <v>784</v>
      </c>
      <c r="G1206" t="s">
        <v>28</v>
      </c>
      <c r="H1206" t="s">
        <v>4189</v>
      </c>
      <c r="I1206">
        <v>45490</v>
      </c>
      <c r="J1206" t="s">
        <v>2052</v>
      </c>
      <c r="K1206">
        <v>45497</v>
      </c>
      <c r="L1206">
        <v>7</v>
      </c>
      <c r="M1206" t="s">
        <v>6447</v>
      </c>
      <c r="N1206" t="s">
        <v>120</v>
      </c>
      <c r="O1206">
        <v>45505</v>
      </c>
      <c r="P1206" t="s">
        <v>739</v>
      </c>
      <c r="Q1206">
        <v>3052.5</v>
      </c>
      <c r="R1206" t="s">
        <v>1922</v>
      </c>
      <c r="S1206">
        <v>0</v>
      </c>
      <c r="T1206">
        <v>0</v>
      </c>
      <c r="U1206">
        <v>3052.5</v>
      </c>
      <c r="V1206">
        <v>203</v>
      </c>
      <c r="W1206">
        <v>0</v>
      </c>
      <c r="X1206" t="s">
        <v>29</v>
      </c>
      <c r="Z1206" t="s">
        <v>29</v>
      </c>
      <c r="AA1206" t="s">
        <v>29</v>
      </c>
      <c r="AB1206" t="s">
        <v>29</v>
      </c>
      <c r="AC1206" t="s">
        <v>29</v>
      </c>
      <c r="AD1206" t="s">
        <v>29</v>
      </c>
      <c r="AE1206" t="s">
        <v>116</v>
      </c>
      <c r="AF1206" t="s">
        <v>116</v>
      </c>
      <c r="AG1206" t="s">
        <v>29</v>
      </c>
      <c r="AH1206">
        <v>45567</v>
      </c>
      <c r="AI1206" t="s">
        <v>29</v>
      </c>
      <c r="AJ1206" t="s">
        <v>29</v>
      </c>
      <c r="AK1206" t="s">
        <v>29</v>
      </c>
      <c r="AL1206" t="s">
        <v>29</v>
      </c>
      <c r="AM1206" t="s">
        <v>709</v>
      </c>
      <c r="AY1206" t="s">
        <v>29</v>
      </c>
      <c r="BA1206">
        <v>3</v>
      </c>
      <c r="BB1206" t="s">
        <v>1236</v>
      </c>
      <c r="BD1206" t="s">
        <v>882</v>
      </c>
      <c r="BH1206" t="s">
        <v>6448</v>
      </c>
      <c r="BI1206" t="s">
        <v>709</v>
      </c>
      <c r="BJ1206" t="s">
        <v>709</v>
      </c>
      <c r="BK1206" t="s">
        <v>709</v>
      </c>
      <c r="BL1206" t="s">
        <v>116</v>
      </c>
      <c r="BM1206" t="s">
        <v>709</v>
      </c>
      <c r="BN1206" t="s">
        <v>709</v>
      </c>
      <c r="BO1206" t="s">
        <v>709</v>
      </c>
      <c r="BP1206" t="s">
        <v>709</v>
      </c>
      <c r="BQ1206" t="s">
        <v>709</v>
      </c>
      <c r="BR1206">
        <v>203</v>
      </c>
      <c r="BS1206" t="s">
        <v>709</v>
      </c>
      <c r="BT1206" t="s">
        <v>745</v>
      </c>
      <c r="BU1206" t="s">
        <v>745</v>
      </c>
      <c r="BV1206" t="s">
        <v>745</v>
      </c>
      <c r="BW1206" t="s">
        <v>745</v>
      </c>
      <c r="BX1206" t="s">
        <v>745</v>
      </c>
      <c r="BY1206" t="s">
        <v>745</v>
      </c>
      <c r="BZ1206" t="s">
        <v>709</v>
      </c>
      <c r="CB1206">
        <v>1204</v>
      </c>
      <c r="CC1206" t="b">
        <v>1</v>
      </c>
      <c r="CD1206" t="s">
        <v>6449</v>
      </c>
      <c r="CE1206" s="1482">
        <v>45880.739027777781</v>
      </c>
    </row>
    <row r="1207" spans="1:83" x14ac:dyDescent="0.25">
      <c r="A1207">
        <v>2024</v>
      </c>
      <c r="B1207" t="s">
        <v>4</v>
      </c>
      <c r="C1207" t="s">
        <v>6193</v>
      </c>
      <c r="D1207" t="s">
        <v>1715</v>
      </c>
      <c r="E1207" t="s">
        <v>1716</v>
      </c>
      <c r="F1207" t="s">
        <v>784</v>
      </c>
      <c r="G1207" t="s">
        <v>26</v>
      </c>
      <c r="H1207" t="s">
        <v>4189</v>
      </c>
      <c r="I1207">
        <v>45491</v>
      </c>
      <c r="J1207" t="s">
        <v>2052</v>
      </c>
      <c r="K1207">
        <v>45498</v>
      </c>
      <c r="L1207">
        <v>7</v>
      </c>
      <c r="M1207" t="s">
        <v>6450</v>
      </c>
      <c r="N1207" t="s">
        <v>120</v>
      </c>
      <c r="O1207">
        <v>45620</v>
      </c>
      <c r="P1207" t="s">
        <v>739</v>
      </c>
      <c r="Q1207">
        <v>3665</v>
      </c>
      <c r="R1207" t="s">
        <v>1922</v>
      </c>
      <c r="S1207">
        <v>0</v>
      </c>
      <c r="T1207">
        <v>0</v>
      </c>
      <c r="U1207">
        <v>3665</v>
      </c>
      <c r="V1207" t="s">
        <v>29</v>
      </c>
      <c r="W1207" t="s">
        <v>29</v>
      </c>
      <c r="X1207" t="s">
        <v>29</v>
      </c>
      <c r="Y1207" t="s">
        <v>29</v>
      </c>
      <c r="Z1207" t="s">
        <v>29</v>
      </c>
      <c r="AA1207" t="s">
        <v>29</v>
      </c>
      <c r="AB1207" t="s">
        <v>29</v>
      </c>
      <c r="AC1207" t="s">
        <v>29</v>
      </c>
      <c r="AD1207" t="s">
        <v>116</v>
      </c>
      <c r="AE1207" t="s">
        <v>116</v>
      </c>
      <c r="AF1207" t="s">
        <v>116</v>
      </c>
      <c r="AG1207" t="s">
        <v>29</v>
      </c>
      <c r="AH1207">
        <v>45580</v>
      </c>
      <c r="AI1207" t="s">
        <v>29</v>
      </c>
      <c r="AJ1207" t="s">
        <v>29</v>
      </c>
      <c r="AK1207" t="s">
        <v>29</v>
      </c>
      <c r="AL1207" t="s">
        <v>29</v>
      </c>
      <c r="AM1207" t="s">
        <v>709</v>
      </c>
      <c r="AY1207" t="s">
        <v>29</v>
      </c>
      <c r="BA1207">
        <v>3</v>
      </c>
      <c r="BB1207" t="s">
        <v>6451</v>
      </c>
      <c r="BC1207" t="s">
        <v>709</v>
      </c>
      <c r="BD1207" t="s">
        <v>882</v>
      </c>
      <c r="BE1207" t="s">
        <v>1719</v>
      </c>
      <c r="BF1207" t="s">
        <v>709</v>
      </c>
      <c r="BG1207" t="s">
        <v>709</v>
      </c>
      <c r="BH1207" t="s">
        <v>6452</v>
      </c>
      <c r="BI1207" t="s">
        <v>709</v>
      </c>
      <c r="BJ1207" t="s">
        <v>709</v>
      </c>
      <c r="BK1207" t="s">
        <v>709</v>
      </c>
      <c r="BL1207" t="s">
        <v>116</v>
      </c>
      <c r="BM1207" t="s">
        <v>709</v>
      </c>
      <c r="BN1207" t="s">
        <v>709</v>
      </c>
      <c r="BO1207" t="s">
        <v>709</v>
      </c>
      <c r="BP1207" t="s">
        <v>709</v>
      </c>
      <c r="BQ1207" t="s">
        <v>709</v>
      </c>
      <c r="BR1207">
        <v>2942</v>
      </c>
      <c r="BS1207">
        <v>693</v>
      </c>
      <c r="BT1207" t="s">
        <v>709</v>
      </c>
      <c r="BU1207" t="s">
        <v>709</v>
      </c>
      <c r="BV1207" t="s">
        <v>709</v>
      </c>
      <c r="BW1207" t="s">
        <v>709</v>
      </c>
      <c r="BX1207" t="s">
        <v>709</v>
      </c>
      <c r="BY1207" t="s">
        <v>709</v>
      </c>
      <c r="BZ1207" t="s">
        <v>709</v>
      </c>
      <c r="CB1207">
        <v>1205</v>
      </c>
      <c r="CC1207" t="b">
        <v>1</v>
      </c>
      <c r="CD1207" t="s">
        <v>6453</v>
      </c>
      <c r="CE1207" s="1482">
        <v>45880.739039351851</v>
      </c>
    </row>
    <row r="1208" spans="1:83" ht="105" x14ac:dyDescent="0.25">
      <c r="A1208">
        <v>2024</v>
      </c>
      <c r="B1208" t="s">
        <v>769</v>
      </c>
      <c r="C1208" t="s">
        <v>6454</v>
      </c>
      <c r="D1208" t="s">
        <v>6455</v>
      </c>
      <c r="E1208" t="s">
        <v>245</v>
      </c>
      <c r="F1208" t="s">
        <v>784</v>
      </c>
      <c r="G1208" t="s">
        <v>34</v>
      </c>
      <c r="H1208" t="s">
        <v>59</v>
      </c>
      <c r="I1208">
        <v>45268</v>
      </c>
      <c r="J1208">
        <v>45499</v>
      </c>
      <c r="K1208">
        <v>45499</v>
      </c>
      <c r="L1208">
        <v>0</v>
      </c>
      <c r="N1208" t="s">
        <v>120</v>
      </c>
      <c r="O1208">
        <v>45505</v>
      </c>
      <c r="P1208" t="s">
        <v>739</v>
      </c>
      <c r="Q1208">
        <v>114930.36719999999</v>
      </c>
      <c r="R1208">
        <v>0.11</v>
      </c>
      <c r="S1208" t="s">
        <v>29</v>
      </c>
      <c r="T1208" t="s">
        <v>29</v>
      </c>
      <c r="U1208" t="s">
        <v>29</v>
      </c>
      <c r="V1208">
        <v>412</v>
      </c>
      <c r="W1208">
        <v>2</v>
      </c>
      <c r="X1208">
        <v>847647.74</v>
      </c>
      <c r="Z1208">
        <v>197173.78</v>
      </c>
      <c r="AA1208">
        <v>1044821.52</v>
      </c>
      <c r="AB1208">
        <v>45456</v>
      </c>
      <c r="AC1208" t="s">
        <v>1523</v>
      </c>
      <c r="AD1208" t="s">
        <v>29</v>
      </c>
      <c r="AE1208" t="s">
        <v>116</v>
      </c>
      <c r="AF1208" t="s">
        <v>116</v>
      </c>
      <c r="AG1208" t="s">
        <v>116</v>
      </c>
      <c r="AH1208">
        <v>45567</v>
      </c>
      <c r="AI1208">
        <v>0</v>
      </c>
      <c r="AJ1208">
        <v>0</v>
      </c>
      <c r="AK1208">
        <v>1951</v>
      </c>
      <c r="AL1208">
        <v>1.6975496098475876E-2</v>
      </c>
      <c r="AM1208" t="s">
        <v>116</v>
      </c>
      <c r="AN1208" t="s">
        <v>709</v>
      </c>
      <c r="AS1208">
        <v>0</v>
      </c>
      <c r="AT1208">
        <v>0</v>
      </c>
      <c r="AU1208">
        <v>0</v>
      </c>
      <c r="AY1208" t="s">
        <v>709</v>
      </c>
      <c r="AZ1208" t="s">
        <v>709</v>
      </c>
      <c r="BA1208" t="s">
        <v>6456</v>
      </c>
      <c r="BB1208" s="4" t="s">
        <v>6457</v>
      </c>
      <c r="BC1208" t="s">
        <v>115</v>
      </c>
      <c r="BD1208" t="s">
        <v>115</v>
      </c>
      <c r="BE1208" t="s">
        <v>6458</v>
      </c>
      <c r="BF1208" t="s">
        <v>115</v>
      </c>
      <c r="BG1208" s="4" t="s">
        <v>6459</v>
      </c>
      <c r="BH1208" t="s">
        <v>6460</v>
      </c>
      <c r="BI1208" t="s">
        <v>709</v>
      </c>
      <c r="BJ1208" t="s">
        <v>709</v>
      </c>
      <c r="BK1208" t="s">
        <v>116</v>
      </c>
      <c r="BL1208" t="s">
        <v>116</v>
      </c>
      <c r="BM1208" t="s">
        <v>709</v>
      </c>
      <c r="BN1208">
        <v>165</v>
      </c>
      <c r="BO1208" t="s">
        <v>709</v>
      </c>
      <c r="BP1208">
        <v>30</v>
      </c>
      <c r="BQ1208">
        <v>70</v>
      </c>
      <c r="BR1208">
        <v>48</v>
      </c>
      <c r="BS1208">
        <v>30</v>
      </c>
      <c r="BT1208">
        <v>1</v>
      </c>
      <c r="BU1208" t="s">
        <v>709</v>
      </c>
      <c r="BV1208" t="s">
        <v>745</v>
      </c>
      <c r="BW1208" t="s">
        <v>709</v>
      </c>
      <c r="BX1208">
        <v>1</v>
      </c>
      <c r="BY1208">
        <v>2</v>
      </c>
      <c r="BZ1208" t="s">
        <v>709</v>
      </c>
      <c r="CB1208">
        <v>1206</v>
      </c>
      <c r="CC1208" t="b">
        <v>1</v>
      </c>
      <c r="CD1208" t="s">
        <v>6461</v>
      </c>
      <c r="CE1208" s="1482">
        <v>45880.739039351851</v>
      </c>
    </row>
    <row r="1209" spans="1:83" ht="345" x14ac:dyDescent="0.25">
      <c r="A1209">
        <v>2025</v>
      </c>
      <c r="B1209" t="s">
        <v>4</v>
      </c>
      <c r="C1209" t="s">
        <v>6462</v>
      </c>
      <c r="D1209" t="s">
        <v>6463</v>
      </c>
      <c r="E1209" t="s">
        <v>354</v>
      </c>
      <c r="F1209" t="s">
        <v>784</v>
      </c>
      <c r="G1209" t="s">
        <v>35</v>
      </c>
      <c r="H1209" t="s">
        <v>59</v>
      </c>
      <c r="I1209">
        <v>45335</v>
      </c>
      <c r="J1209">
        <v>45504</v>
      </c>
      <c r="K1209">
        <v>45503</v>
      </c>
      <c r="L1209">
        <v>1</v>
      </c>
      <c r="N1209" t="s">
        <v>120</v>
      </c>
      <c r="O1209">
        <v>45505</v>
      </c>
      <c r="P1209" t="s">
        <v>739</v>
      </c>
      <c r="Q1209">
        <v>104927.51300000001</v>
      </c>
      <c r="R1209">
        <v>0.1</v>
      </c>
      <c r="S1209" t="s">
        <v>29</v>
      </c>
      <c r="T1209" t="s">
        <v>29</v>
      </c>
      <c r="U1209" t="s">
        <v>29</v>
      </c>
      <c r="V1209">
        <v>2054</v>
      </c>
      <c r="W1209">
        <v>0</v>
      </c>
      <c r="X1209">
        <v>580996.19999999995</v>
      </c>
      <c r="Z1209">
        <v>468278.93</v>
      </c>
      <c r="AA1209">
        <v>1049275.1299999999</v>
      </c>
      <c r="AB1209">
        <v>45495</v>
      </c>
      <c r="AC1209" t="s">
        <v>709</v>
      </c>
      <c r="AD1209" t="s">
        <v>29</v>
      </c>
      <c r="AE1209" t="s">
        <v>116</v>
      </c>
      <c r="AF1209" t="s">
        <v>29</v>
      </c>
      <c r="AG1209" t="s">
        <v>376</v>
      </c>
      <c r="AH1209">
        <v>45525</v>
      </c>
      <c r="AI1209">
        <v>0</v>
      </c>
      <c r="AJ1209">
        <v>0</v>
      </c>
      <c r="AK1209">
        <v>13957</v>
      </c>
      <c r="AL1209">
        <v>0.13301563718564455</v>
      </c>
      <c r="AM1209" t="s">
        <v>116</v>
      </c>
      <c r="AN1209">
        <v>45553</v>
      </c>
      <c r="AO1209">
        <v>11091245</v>
      </c>
      <c r="AP1209">
        <v>570517.85</v>
      </c>
      <c r="AR1209">
        <v>472801.46</v>
      </c>
      <c r="AS1209">
        <v>1043319.31</v>
      </c>
      <c r="AT1209">
        <v>-5955.82</v>
      </c>
      <c r="AU1209">
        <v>-595.58199999999999</v>
      </c>
      <c r="AV1209">
        <v>0</v>
      </c>
      <c r="AW1209" t="s">
        <v>6464</v>
      </c>
      <c r="AX1209">
        <v>-595.58199999999999</v>
      </c>
      <c r="AY1209">
        <v>45901</v>
      </c>
      <c r="BA1209" s="4" t="s">
        <v>6465</v>
      </c>
      <c r="BB1209" t="s">
        <v>986</v>
      </c>
      <c r="BC1209" t="s">
        <v>992</v>
      </c>
      <c r="BD1209" t="s">
        <v>743</v>
      </c>
      <c r="BE1209" t="s">
        <v>588</v>
      </c>
      <c r="BF1209" t="s">
        <v>588</v>
      </c>
      <c r="BG1209" t="s">
        <v>115</v>
      </c>
      <c r="BH1209" t="s">
        <v>6466</v>
      </c>
      <c r="BI1209" t="s">
        <v>709</v>
      </c>
      <c r="BJ1209" t="s">
        <v>709</v>
      </c>
      <c r="BK1209" t="s">
        <v>709</v>
      </c>
      <c r="BL1209" t="s">
        <v>116</v>
      </c>
      <c r="BM1209" t="s">
        <v>709</v>
      </c>
      <c r="BN1209" t="s">
        <v>709</v>
      </c>
      <c r="BO1209" t="s">
        <v>709</v>
      </c>
      <c r="BP1209" t="s">
        <v>709</v>
      </c>
      <c r="BQ1209" t="s">
        <v>709</v>
      </c>
      <c r="BR1209" t="s">
        <v>709</v>
      </c>
      <c r="BS1209">
        <v>2054</v>
      </c>
      <c r="BT1209" t="s">
        <v>745</v>
      </c>
      <c r="BU1209" t="s">
        <v>745</v>
      </c>
      <c r="BV1209" t="s">
        <v>745</v>
      </c>
      <c r="BW1209" t="s">
        <v>745</v>
      </c>
      <c r="BX1209" t="s">
        <v>745</v>
      </c>
      <c r="BY1209" t="s">
        <v>745</v>
      </c>
      <c r="BZ1209" t="s">
        <v>709</v>
      </c>
      <c r="CB1209">
        <v>1207</v>
      </c>
      <c r="CC1209" t="b">
        <v>1</v>
      </c>
      <c r="CD1209" t="s">
        <v>6467</v>
      </c>
      <c r="CE1209" s="1482">
        <v>45880.739050925928</v>
      </c>
    </row>
    <row r="1210" spans="1:83" x14ac:dyDescent="0.25">
      <c r="A1210">
        <v>2024</v>
      </c>
      <c r="B1210" t="s">
        <v>1073</v>
      </c>
      <c r="C1210" t="s">
        <v>6468</v>
      </c>
      <c r="D1210" t="s">
        <v>6469</v>
      </c>
      <c r="E1210" t="s">
        <v>111</v>
      </c>
      <c r="F1210" t="s">
        <v>784</v>
      </c>
      <c r="G1210" t="s">
        <v>26</v>
      </c>
      <c r="H1210" t="s">
        <v>59</v>
      </c>
      <c r="I1210">
        <v>45414</v>
      </c>
      <c r="J1210">
        <v>45504</v>
      </c>
      <c r="K1210">
        <v>45504</v>
      </c>
      <c r="L1210">
        <v>0</v>
      </c>
      <c r="N1210" t="s">
        <v>120</v>
      </c>
      <c r="O1210">
        <v>45536</v>
      </c>
      <c r="P1210" t="s">
        <v>739</v>
      </c>
      <c r="Q1210">
        <v>47922.286399999997</v>
      </c>
      <c r="R1210">
        <v>0.08</v>
      </c>
      <c r="V1210">
        <v>6161</v>
      </c>
      <c r="W1210">
        <v>0</v>
      </c>
      <c r="X1210">
        <v>599028.57999999996</v>
      </c>
      <c r="Y1210">
        <v>832372.58</v>
      </c>
      <c r="Z1210">
        <v>0</v>
      </c>
      <c r="AA1210">
        <v>599028.57999999996</v>
      </c>
      <c r="AB1210">
        <v>45518</v>
      </c>
      <c r="AC1210" t="s">
        <v>709</v>
      </c>
      <c r="AD1210" t="s">
        <v>29</v>
      </c>
      <c r="AE1210" t="s">
        <v>116</v>
      </c>
      <c r="AF1210" t="s">
        <v>116</v>
      </c>
      <c r="AG1210" t="s">
        <v>116</v>
      </c>
      <c r="AH1210">
        <v>45525</v>
      </c>
      <c r="AI1210">
        <v>0</v>
      </c>
      <c r="AJ1210">
        <v>0</v>
      </c>
      <c r="AK1210">
        <v>13247</v>
      </c>
      <c r="AL1210">
        <v>0.27642671072555502</v>
      </c>
      <c r="AM1210" t="s">
        <v>709</v>
      </c>
      <c r="AY1210" t="s">
        <v>29</v>
      </c>
      <c r="BB1210" t="s">
        <v>961</v>
      </c>
      <c r="BC1210" t="s">
        <v>116</v>
      </c>
      <c r="BD1210" t="s">
        <v>115</v>
      </c>
      <c r="BE1210" t="s">
        <v>1114</v>
      </c>
      <c r="BF1210" t="s">
        <v>115</v>
      </c>
      <c r="BG1210" t="s">
        <v>115</v>
      </c>
      <c r="BH1210" t="s">
        <v>6470</v>
      </c>
      <c r="BI1210" t="s">
        <v>709</v>
      </c>
      <c r="BJ1210" t="s">
        <v>709</v>
      </c>
      <c r="BK1210" t="s">
        <v>709</v>
      </c>
      <c r="BL1210" t="s">
        <v>116</v>
      </c>
      <c r="BM1210" t="s">
        <v>709</v>
      </c>
      <c r="BN1210" t="s">
        <v>709</v>
      </c>
      <c r="BO1210" t="s">
        <v>709</v>
      </c>
      <c r="BP1210" t="s">
        <v>709</v>
      </c>
      <c r="BQ1210" t="s">
        <v>709</v>
      </c>
      <c r="BR1210" t="s">
        <v>709</v>
      </c>
      <c r="BS1210">
        <v>6161</v>
      </c>
      <c r="BT1210" t="s">
        <v>709</v>
      </c>
      <c r="BU1210" t="s">
        <v>709</v>
      </c>
      <c r="BV1210" t="s">
        <v>709</v>
      </c>
      <c r="BW1210" t="s">
        <v>709</v>
      </c>
      <c r="BX1210" t="s">
        <v>709</v>
      </c>
      <c r="BY1210" t="s">
        <v>709</v>
      </c>
      <c r="BZ1210" t="s">
        <v>709</v>
      </c>
      <c r="CB1210">
        <v>1209</v>
      </c>
      <c r="CC1210" t="b">
        <v>1</v>
      </c>
      <c r="CD1210" t="s">
        <v>6471</v>
      </c>
      <c r="CE1210" s="1482">
        <v>45880.739050925928</v>
      </c>
    </row>
    <row r="1211" spans="1:83" x14ac:dyDescent="0.25">
      <c r="A1211">
        <v>2024</v>
      </c>
      <c r="B1211" t="s">
        <v>1073</v>
      </c>
      <c r="C1211" t="s">
        <v>6468</v>
      </c>
      <c r="D1211" t="s">
        <v>6469</v>
      </c>
      <c r="E1211" t="s">
        <v>111</v>
      </c>
      <c r="F1211" t="s">
        <v>784</v>
      </c>
      <c r="G1211" t="s">
        <v>26</v>
      </c>
      <c r="H1211" t="s">
        <v>59</v>
      </c>
      <c r="I1211">
        <v>45414</v>
      </c>
      <c r="J1211">
        <v>45504</v>
      </c>
      <c r="K1211">
        <v>45504</v>
      </c>
      <c r="L1211">
        <v>0</v>
      </c>
      <c r="M1211" t="s">
        <v>6472</v>
      </c>
      <c r="N1211" t="s">
        <v>120</v>
      </c>
      <c r="O1211">
        <v>45627</v>
      </c>
      <c r="P1211" t="s">
        <v>739</v>
      </c>
      <c r="Q1211">
        <v>16895</v>
      </c>
      <c r="R1211" t="s">
        <v>1922</v>
      </c>
      <c r="S1211">
        <v>0</v>
      </c>
      <c r="T1211">
        <v>0</v>
      </c>
      <c r="U1211">
        <v>16895</v>
      </c>
      <c r="V1211" t="s">
        <v>29</v>
      </c>
      <c r="W1211" t="s">
        <v>29</v>
      </c>
      <c r="X1211" t="s">
        <v>29</v>
      </c>
      <c r="Z1211" t="s">
        <v>29</v>
      </c>
      <c r="AA1211" t="s">
        <v>29</v>
      </c>
      <c r="AB1211" t="s">
        <v>29</v>
      </c>
      <c r="AC1211" t="s">
        <v>29</v>
      </c>
      <c r="AD1211" t="s">
        <v>29</v>
      </c>
      <c r="AE1211" t="s">
        <v>29</v>
      </c>
      <c r="AF1211" t="s">
        <v>29</v>
      </c>
      <c r="AG1211" t="s">
        <v>29</v>
      </c>
      <c r="AH1211" t="s">
        <v>29</v>
      </c>
      <c r="AI1211" t="s">
        <v>29</v>
      </c>
      <c r="AJ1211" t="s">
        <v>29</v>
      </c>
      <c r="AK1211" t="s">
        <v>29</v>
      </c>
      <c r="AL1211" t="s">
        <v>29</v>
      </c>
      <c r="AM1211" t="s">
        <v>709</v>
      </c>
      <c r="AY1211" t="s">
        <v>29</v>
      </c>
      <c r="BA1211" t="s">
        <v>29</v>
      </c>
      <c r="BB1211" t="s">
        <v>29</v>
      </c>
      <c r="BC1211" t="s">
        <v>115</v>
      </c>
      <c r="BD1211" t="s">
        <v>115</v>
      </c>
      <c r="BE1211" t="s">
        <v>115</v>
      </c>
      <c r="BF1211" t="s">
        <v>115</v>
      </c>
      <c r="BG1211" t="s">
        <v>115</v>
      </c>
      <c r="BH1211" t="s">
        <v>6473</v>
      </c>
      <c r="CB1211">
        <v>1210</v>
      </c>
      <c r="CC1211" t="b">
        <v>1</v>
      </c>
      <c r="CD1211" t="s">
        <v>6471</v>
      </c>
      <c r="CE1211" s="1482">
        <v>45880.739050925928</v>
      </c>
    </row>
    <row r="1212" spans="1:83" ht="330" x14ac:dyDescent="0.25">
      <c r="A1212">
        <v>2024</v>
      </c>
      <c r="B1212" t="s">
        <v>4</v>
      </c>
      <c r="C1212" t="s">
        <v>6474</v>
      </c>
      <c r="D1212" t="s">
        <v>6475</v>
      </c>
      <c r="E1212" t="s">
        <v>111</v>
      </c>
      <c r="F1212" t="s">
        <v>784</v>
      </c>
      <c r="G1212" t="s">
        <v>26</v>
      </c>
      <c r="H1212" t="s">
        <v>59</v>
      </c>
      <c r="I1212">
        <v>45100</v>
      </c>
      <c r="J1212">
        <v>45504</v>
      </c>
      <c r="K1212">
        <v>45504</v>
      </c>
      <c r="L1212">
        <v>0</v>
      </c>
      <c r="N1212" t="s">
        <v>120</v>
      </c>
      <c r="O1212">
        <v>45505</v>
      </c>
      <c r="P1212" t="s">
        <v>739</v>
      </c>
      <c r="Q1212">
        <v>7327.8270000000002</v>
      </c>
      <c r="R1212">
        <v>0.1</v>
      </c>
      <c r="S1212" t="s">
        <v>29</v>
      </c>
      <c r="T1212" t="s">
        <v>29</v>
      </c>
      <c r="U1212" t="s">
        <v>29</v>
      </c>
      <c r="V1212">
        <v>230</v>
      </c>
      <c r="W1212">
        <v>0</v>
      </c>
      <c r="X1212">
        <v>44717.62</v>
      </c>
      <c r="Z1212">
        <v>28560.65</v>
      </c>
      <c r="AA1212">
        <v>73278.27</v>
      </c>
      <c r="AB1212">
        <v>45505</v>
      </c>
      <c r="AC1212" t="s">
        <v>709</v>
      </c>
      <c r="AD1212" t="s">
        <v>29</v>
      </c>
      <c r="AE1212" t="s">
        <v>116</v>
      </c>
      <c r="AF1212" t="s">
        <v>116</v>
      </c>
      <c r="AG1212" t="s">
        <v>116</v>
      </c>
      <c r="AH1212">
        <v>45525</v>
      </c>
      <c r="AI1212">
        <v>0</v>
      </c>
      <c r="AJ1212">
        <v>4262.8</v>
      </c>
      <c r="AK1212">
        <v>0</v>
      </c>
      <c r="AL1212">
        <v>0.58172770727256518</v>
      </c>
      <c r="AM1212" t="s">
        <v>709</v>
      </c>
      <c r="AY1212" t="s">
        <v>29</v>
      </c>
      <c r="BA1212" s="4" t="s">
        <v>6476</v>
      </c>
      <c r="BB1212" t="s">
        <v>961</v>
      </c>
      <c r="BC1212" t="s">
        <v>116</v>
      </c>
      <c r="BD1212" t="s">
        <v>115</v>
      </c>
      <c r="BE1212" t="s">
        <v>1114</v>
      </c>
      <c r="BF1212" t="s">
        <v>115</v>
      </c>
      <c r="BG1212" t="s">
        <v>115</v>
      </c>
      <c r="BH1212" t="s">
        <v>6477</v>
      </c>
      <c r="BI1212" t="s">
        <v>709</v>
      </c>
      <c r="BJ1212" t="s">
        <v>709</v>
      </c>
      <c r="BK1212" t="s">
        <v>709</v>
      </c>
      <c r="BL1212" t="s">
        <v>116</v>
      </c>
      <c r="BM1212" t="s">
        <v>709</v>
      </c>
      <c r="BN1212" t="s">
        <v>709</v>
      </c>
      <c r="BO1212" t="s">
        <v>709</v>
      </c>
      <c r="BP1212" t="s">
        <v>709</v>
      </c>
      <c r="BQ1212" t="s">
        <v>709</v>
      </c>
      <c r="BR1212" t="s">
        <v>709</v>
      </c>
      <c r="BS1212">
        <v>230</v>
      </c>
      <c r="BT1212" t="s">
        <v>709</v>
      </c>
      <c r="BU1212" t="s">
        <v>709</v>
      </c>
      <c r="BV1212" t="s">
        <v>709</v>
      </c>
      <c r="BW1212" t="s">
        <v>709</v>
      </c>
      <c r="BX1212" t="s">
        <v>709</v>
      </c>
      <c r="BY1212" t="s">
        <v>709</v>
      </c>
      <c r="BZ1212" t="s">
        <v>709</v>
      </c>
      <c r="CA1212" t="s">
        <v>6478</v>
      </c>
      <c r="CB1212">
        <v>1208</v>
      </c>
      <c r="CC1212" t="b">
        <v>1</v>
      </c>
      <c r="CD1212" t="s">
        <v>6479</v>
      </c>
      <c r="CE1212" s="1482">
        <v>45880.739062499997</v>
      </c>
    </row>
    <row r="1213" spans="1:83" ht="360" x14ac:dyDescent="0.25">
      <c r="A1213">
        <v>2024</v>
      </c>
      <c r="B1213" t="s">
        <v>4</v>
      </c>
      <c r="C1213" t="s">
        <v>6480</v>
      </c>
      <c r="D1213" t="s">
        <v>6481</v>
      </c>
      <c r="E1213" t="s">
        <v>6482</v>
      </c>
      <c r="F1213" t="s">
        <v>1102</v>
      </c>
      <c r="G1213" t="s">
        <v>31</v>
      </c>
      <c r="H1213" t="s">
        <v>413</v>
      </c>
      <c r="I1213">
        <v>45380</v>
      </c>
      <c r="J1213">
        <v>45513</v>
      </c>
      <c r="K1213">
        <v>45506</v>
      </c>
      <c r="L1213">
        <v>7</v>
      </c>
      <c r="N1213" t="s">
        <v>120</v>
      </c>
      <c r="O1213">
        <v>45505</v>
      </c>
      <c r="P1213" t="s">
        <v>739</v>
      </c>
      <c r="Q1213">
        <v>106046.621</v>
      </c>
      <c r="R1213">
        <v>0.1</v>
      </c>
      <c r="S1213" t="s">
        <v>29</v>
      </c>
      <c r="T1213" t="s">
        <v>29</v>
      </c>
      <c r="U1213" t="s">
        <v>29</v>
      </c>
      <c r="V1213">
        <v>3818</v>
      </c>
      <c r="W1213">
        <v>0</v>
      </c>
      <c r="X1213">
        <v>897800.8</v>
      </c>
      <c r="Z1213">
        <v>162665.41</v>
      </c>
      <c r="AA1213">
        <v>1060466.21</v>
      </c>
      <c r="AB1213">
        <v>45490</v>
      </c>
      <c r="AC1213" t="s">
        <v>709</v>
      </c>
      <c r="AD1213" t="s">
        <v>29</v>
      </c>
      <c r="AE1213" t="s">
        <v>116</v>
      </c>
      <c r="AF1213" t="s">
        <v>116</v>
      </c>
      <c r="AG1213" t="s">
        <v>376</v>
      </c>
      <c r="AH1213">
        <v>45567</v>
      </c>
      <c r="AI1213">
        <v>0</v>
      </c>
      <c r="AJ1213">
        <v>16760</v>
      </c>
      <c r="AK1213">
        <v>12867</v>
      </c>
      <c r="AL1213">
        <v>0.27937712414240901</v>
      </c>
      <c r="AM1213" t="s">
        <v>116</v>
      </c>
      <c r="AN1213">
        <v>45532</v>
      </c>
      <c r="AO1213">
        <v>11089908</v>
      </c>
      <c r="AP1213">
        <v>897800.8</v>
      </c>
      <c r="AR1213">
        <v>162665.41</v>
      </c>
      <c r="AS1213">
        <v>1060466.21</v>
      </c>
      <c r="AT1213">
        <v>0</v>
      </c>
      <c r="AU1213">
        <v>0</v>
      </c>
      <c r="AV1213">
        <v>0</v>
      </c>
      <c r="AW1213" t="s">
        <v>29</v>
      </c>
      <c r="AX1213">
        <v>0</v>
      </c>
      <c r="AY1213">
        <v>45901</v>
      </c>
      <c r="BA1213" s="4" t="s">
        <v>6483</v>
      </c>
      <c r="BB1213" t="s">
        <v>5767</v>
      </c>
      <c r="BC1213" t="s">
        <v>116</v>
      </c>
      <c r="BD1213" t="s">
        <v>115</v>
      </c>
      <c r="BE1213" t="s">
        <v>923</v>
      </c>
      <c r="BF1213" t="s">
        <v>115</v>
      </c>
      <c r="BG1213" t="s">
        <v>115</v>
      </c>
      <c r="BH1213" t="s">
        <v>6484</v>
      </c>
      <c r="BI1213" t="s">
        <v>709</v>
      </c>
      <c r="BJ1213" t="s">
        <v>709</v>
      </c>
      <c r="BK1213" t="s">
        <v>709</v>
      </c>
      <c r="BL1213" t="s">
        <v>116</v>
      </c>
      <c r="BM1213" t="s">
        <v>709</v>
      </c>
      <c r="BN1213" t="s">
        <v>709</v>
      </c>
      <c r="BO1213" t="s">
        <v>709</v>
      </c>
      <c r="BP1213" t="s">
        <v>709</v>
      </c>
      <c r="BQ1213" t="s">
        <v>709</v>
      </c>
      <c r="BR1213" t="s">
        <v>709</v>
      </c>
      <c r="BS1213">
        <v>3818</v>
      </c>
      <c r="BT1213" t="s">
        <v>745</v>
      </c>
      <c r="BU1213" t="s">
        <v>745</v>
      </c>
      <c r="BV1213" t="s">
        <v>745</v>
      </c>
      <c r="BW1213" t="s">
        <v>745</v>
      </c>
      <c r="BX1213" t="s">
        <v>745</v>
      </c>
      <c r="BY1213" t="s">
        <v>745</v>
      </c>
      <c r="BZ1213" t="s">
        <v>709</v>
      </c>
      <c r="CB1213">
        <v>1211</v>
      </c>
      <c r="CC1213" t="b">
        <v>1</v>
      </c>
      <c r="CD1213" t="s">
        <v>6485</v>
      </c>
      <c r="CE1213" s="1482">
        <v>45880.739062499997</v>
      </c>
    </row>
    <row r="1214" spans="1:83" x14ac:dyDescent="0.25">
      <c r="A1214">
        <v>2024</v>
      </c>
      <c r="B1214" t="s">
        <v>4</v>
      </c>
      <c r="C1214" t="s">
        <v>6486</v>
      </c>
      <c r="D1214" t="s">
        <v>6487</v>
      </c>
      <c r="E1214" t="s">
        <v>6488</v>
      </c>
      <c r="F1214" t="s">
        <v>784</v>
      </c>
      <c r="G1214" t="s">
        <v>26</v>
      </c>
      <c r="H1214" t="s">
        <v>59</v>
      </c>
      <c r="I1214">
        <v>45470</v>
      </c>
      <c r="J1214">
        <v>45526</v>
      </c>
      <c r="K1214">
        <v>45516</v>
      </c>
      <c r="L1214">
        <v>10</v>
      </c>
      <c r="N1214" t="s">
        <v>120</v>
      </c>
      <c r="O1214">
        <v>45505</v>
      </c>
      <c r="P1214" t="s">
        <v>739</v>
      </c>
      <c r="Q1214">
        <v>17215.901999999998</v>
      </c>
      <c r="R1214">
        <v>0.1</v>
      </c>
      <c r="S1214" t="s">
        <v>29</v>
      </c>
      <c r="T1214" t="s">
        <v>29</v>
      </c>
      <c r="U1214" t="s">
        <v>29</v>
      </c>
      <c r="V1214">
        <v>28</v>
      </c>
      <c r="W1214">
        <v>0</v>
      </c>
      <c r="X1214">
        <v>113699.09</v>
      </c>
      <c r="Z1214">
        <v>58459.93</v>
      </c>
      <c r="AA1214">
        <v>172159.02</v>
      </c>
      <c r="AB1214">
        <v>45511</v>
      </c>
      <c r="AC1214" t="s">
        <v>29</v>
      </c>
      <c r="AD1214" t="s">
        <v>29</v>
      </c>
      <c r="AE1214" t="s">
        <v>116</v>
      </c>
      <c r="AF1214" t="s">
        <v>29</v>
      </c>
      <c r="AG1214" t="s">
        <v>376</v>
      </c>
      <c r="AH1214">
        <v>45525</v>
      </c>
      <c r="AI1214">
        <v>0</v>
      </c>
      <c r="AJ1214">
        <v>0</v>
      </c>
      <c r="AK1214">
        <v>7688</v>
      </c>
      <c r="AL1214">
        <v>0.44656388030089861</v>
      </c>
      <c r="AM1214" t="s">
        <v>116</v>
      </c>
      <c r="AN1214">
        <v>45519</v>
      </c>
      <c r="AO1214">
        <v>11089477</v>
      </c>
      <c r="AP1214">
        <v>113699.09</v>
      </c>
      <c r="AR1214">
        <v>58459.93</v>
      </c>
      <c r="AS1214">
        <v>172159.02</v>
      </c>
      <c r="AT1214">
        <v>0</v>
      </c>
      <c r="AU1214">
        <v>0</v>
      </c>
      <c r="AV1214">
        <v>0</v>
      </c>
      <c r="AW1214" t="s">
        <v>29</v>
      </c>
      <c r="AX1214">
        <v>0</v>
      </c>
      <c r="AY1214">
        <v>45901</v>
      </c>
      <c r="BA1214" t="s">
        <v>6489</v>
      </c>
      <c r="BB1214" t="s">
        <v>870</v>
      </c>
      <c r="BC1214" t="s">
        <v>116</v>
      </c>
      <c r="BD1214" t="s">
        <v>115</v>
      </c>
      <c r="BE1214" t="s">
        <v>115</v>
      </c>
      <c r="BF1214" t="s">
        <v>115</v>
      </c>
      <c r="BG1214" t="s">
        <v>3021</v>
      </c>
      <c r="BH1214" t="s">
        <v>6490</v>
      </c>
      <c r="BI1214" t="s">
        <v>709</v>
      </c>
      <c r="BJ1214" t="s">
        <v>709</v>
      </c>
      <c r="BK1214" t="s">
        <v>709</v>
      </c>
      <c r="BL1214" t="s">
        <v>116</v>
      </c>
      <c r="BM1214" t="s">
        <v>709</v>
      </c>
      <c r="BN1214" t="s">
        <v>709</v>
      </c>
      <c r="BO1214" t="s">
        <v>709</v>
      </c>
      <c r="BP1214" t="s">
        <v>709</v>
      </c>
      <c r="BQ1214">
        <v>28</v>
      </c>
      <c r="BR1214" t="s">
        <v>709</v>
      </c>
      <c r="BS1214" t="s">
        <v>709</v>
      </c>
      <c r="BT1214" t="s">
        <v>709</v>
      </c>
      <c r="BU1214" t="s">
        <v>709</v>
      </c>
      <c r="BV1214" t="s">
        <v>709</v>
      </c>
      <c r="BW1214" t="s">
        <v>709</v>
      </c>
      <c r="BX1214" t="s">
        <v>709</v>
      </c>
      <c r="BY1214" t="s">
        <v>709</v>
      </c>
      <c r="BZ1214" t="s">
        <v>709</v>
      </c>
      <c r="CB1214">
        <v>1212</v>
      </c>
      <c r="CC1214" t="b">
        <v>1</v>
      </c>
      <c r="CD1214" t="s">
        <v>6491</v>
      </c>
      <c r="CE1214" s="1482">
        <v>45880.739062499997</v>
      </c>
    </row>
    <row r="1215" spans="1:83" ht="270" x14ac:dyDescent="0.25">
      <c r="A1215">
        <v>2024</v>
      </c>
      <c r="B1215" t="s">
        <v>4</v>
      </c>
      <c r="C1215" t="s">
        <v>6492</v>
      </c>
      <c r="D1215" t="s">
        <v>6493</v>
      </c>
      <c r="E1215" t="s">
        <v>108</v>
      </c>
      <c r="F1215" t="s">
        <v>784</v>
      </c>
      <c r="G1215" t="s">
        <v>35</v>
      </c>
      <c r="H1215" t="s">
        <v>59</v>
      </c>
      <c r="I1215">
        <v>45321</v>
      </c>
      <c r="J1215">
        <v>45520</v>
      </c>
      <c r="K1215">
        <v>45516</v>
      </c>
      <c r="L1215">
        <v>4</v>
      </c>
      <c r="N1215" t="s">
        <v>120</v>
      </c>
      <c r="O1215">
        <v>45505</v>
      </c>
      <c r="P1215" t="s">
        <v>739</v>
      </c>
      <c r="Q1215">
        <v>41146.434999999998</v>
      </c>
      <c r="R1215">
        <v>0.1</v>
      </c>
      <c r="S1215" t="s">
        <v>29</v>
      </c>
      <c r="T1215" t="s">
        <v>29</v>
      </c>
      <c r="U1215" t="s">
        <v>29</v>
      </c>
      <c r="V1215">
        <v>149</v>
      </c>
      <c r="W1215">
        <v>0</v>
      </c>
      <c r="X1215">
        <v>340265.03</v>
      </c>
      <c r="Z1215">
        <v>71199.320000000007</v>
      </c>
      <c r="AA1215">
        <v>411464.35</v>
      </c>
      <c r="AB1215">
        <v>45510</v>
      </c>
      <c r="AC1215" t="s">
        <v>745</v>
      </c>
      <c r="AD1215" t="s">
        <v>29</v>
      </c>
      <c r="AE1215" t="s">
        <v>116</v>
      </c>
      <c r="AF1215" t="s">
        <v>29</v>
      </c>
      <c r="AG1215" t="s">
        <v>376</v>
      </c>
      <c r="AH1215">
        <v>45525</v>
      </c>
      <c r="AI1215">
        <v>0</v>
      </c>
      <c r="AJ1215">
        <v>4615</v>
      </c>
      <c r="AK1215">
        <v>1209.5</v>
      </c>
      <c r="AL1215">
        <v>0.14155539842030054</v>
      </c>
      <c r="AM1215" t="s">
        <v>116</v>
      </c>
      <c r="AN1215">
        <v>45834</v>
      </c>
      <c r="AO1215">
        <v>11092806</v>
      </c>
      <c r="AP1215">
        <v>269704.52</v>
      </c>
      <c r="AR1215">
        <v>64382.33</v>
      </c>
      <c r="AS1215">
        <v>334086.84999999998</v>
      </c>
      <c r="AT1215">
        <v>-77377.5</v>
      </c>
      <c r="AU1215">
        <v>-7737.75</v>
      </c>
      <c r="AV1215">
        <v>2985</v>
      </c>
      <c r="AW1215" t="s">
        <v>6494</v>
      </c>
      <c r="AX1215">
        <v>0</v>
      </c>
      <c r="AY1215">
        <v>45901</v>
      </c>
      <c r="BA1215" s="4" t="s">
        <v>6495</v>
      </c>
      <c r="BB1215" t="s">
        <v>961</v>
      </c>
      <c r="BC1215" t="s">
        <v>116</v>
      </c>
      <c r="BD1215" t="s">
        <v>115</v>
      </c>
      <c r="BE1215" t="s">
        <v>1569</v>
      </c>
      <c r="BF1215" t="s">
        <v>115</v>
      </c>
      <c r="BG1215" t="s">
        <v>115</v>
      </c>
      <c r="BH1215" t="s">
        <v>6496</v>
      </c>
      <c r="BI1215" t="s">
        <v>709</v>
      </c>
      <c r="BJ1215" t="s">
        <v>709</v>
      </c>
      <c r="BK1215" t="s">
        <v>709</v>
      </c>
      <c r="BL1215" t="s">
        <v>116</v>
      </c>
      <c r="BM1215" t="s">
        <v>709</v>
      </c>
      <c r="BN1215" t="s">
        <v>709</v>
      </c>
      <c r="BO1215" t="s">
        <v>709</v>
      </c>
      <c r="BP1215">
        <v>149</v>
      </c>
      <c r="BQ1215" t="s">
        <v>709</v>
      </c>
      <c r="BR1215" t="s">
        <v>709</v>
      </c>
      <c r="BS1215" t="s">
        <v>709</v>
      </c>
      <c r="BT1215" t="s">
        <v>709</v>
      </c>
      <c r="BU1215" t="s">
        <v>709</v>
      </c>
      <c r="BV1215" t="s">
        <v>709</v>
      </c>
      <c r="BW1215" t="s">
        <v>709</v>
      </c>
      <c r="BX1215" t="s">
        <v>709</v>
      </c>
      <c r="BY1215" t="s">
        <v>709</v>
      </c>
      <c r="BZ1215" t="s">
        <v>709</v>
      </c>
      <c r="CB1215">
        <v>1214</v>
      </c>
      <c r="CC1215" t="b">
        <v>1</v>
      </c>
      <c r="CD1215" t="s">
        <v>6497</v>
      </c>
      <c r="CE1215" s="1482">
        <v>45880.739074074074</v>
      </c>
    </row>
    <row r="1216" spans="1:83" ht="285" x14ac:dyDescent="0.25">
      <c r="A1216">
        <v>2024</v>
      </c>
      <c r="B1216" t="s">
        <v>4</v>
      </c>
      <c r="C1216" t="s">
        <v>6498</v>
      </c>
      <c r="D1216" t="s">
        <v>6499</v>
      </c>
      <c r="E1216" t="s">
        <v>438</v>
      </c>
      <c r="F1216" t="s">
        <v>784</v>
      </c>
      <c r="G1216" t="s">
        <v>25</v>
      </c>
      <c r="H1216" t="s">
        <v>59</v>
      </c>
      <c r="I1216">
        <v>45433</v>
      </c>
      <c r="J1216">
        <v>45527</v>
      </c>
      <c r="K1216">
        <v>45516</v>
      </c>
      <c r="L1216">
        <v>11</v>
      </c>
      <c r="N1216" t="s">
        <v>120</v>
      </c>
      <c r="O1216">
        <v>45505</v>
      </c>
      <c r="P1216" t="s">
        <v>739</v>
      </c>
      <c r="Q1216">
        <v>82804.061000000002</v>
      </c>
      <c r="R1216">
        <v>0.1</v>
      </c>
      <c r="S1216" t="s">
        <v>29</v>
      </c>
      <c r="T1216" t="s">
        <v>29</v>
      </c>
      <c r="U1216" t="s">
        <v>29</v>
      </c>
      <c r="V1216">
        <v>1697</v>
      </c>
      <c r="W1216">
        <v>0</v>
      </c>
      <c r="X1216">
        <v>533735.47</v>
      </c>
      <c r="Z1216">
        <v>294305.14</v>
      </c>
      <c r="AA1216">
        <v>828040.61</v>
      </c>
      <c r="AB1216">
        <v>45504</v>
      </c>
      <c r="AC1216" t="s">
        <v>29</v>
      </c>
      <c r="AD1216" t="s">
        <v>29</v>
      </c>
      <c r="AE1216" t="s">
        <v>116</v>
      </c>
      <c r="AF1216" t="s">
        <v>29</v>
      </c>
      <c r="AG1216" t="s">
        <v>376</v>
      </c>
      <c r="AH1216">
        <v>45525</v>
      </c>
      <c r="AI1216">
        <v>0</v>
      </c>
      <c r="AJ1216">
        <v>7600</v>
      </c>
      <c r="AK1216">
        <v>9847</v>
      </c>
      <c r="AL1216">
        <v>0.21070222630747543</v>
      </c>
      <c r="AM1216" t="s">
        <v>116</v>
      </c>
      <c r="AN1216">
        <v>45566</v>
      </c>
      <c r="AO1216">
        <v>11091807</v>
      </c>
      <c r="AP1216">
        <v>536564.55000000005</v>
      </c>
      <c r="AR1216">
        <v>294523.38</v>
      </c>
      <c r="AS1216">
        <v>831087.93</v>
      </c>
      <c r="AT1216">
        <v>3047.32</v>
      </c>
      <c r="AU1216">
        <v>304.73200000000003</v>
      </c>
      <c r="AV1216">
        <v>0</v>
      </c>
      <c r="AW1216" t="s">
        <v>6500</v>
      </c>
      <c r="AX1216">
        <v>304.73200000000003</v>
      </c>
      <c r="AY1216">
        <v>45901</v>
      </c>
      <c r="BA1216" s="4" t="s">
        <v>6501</v>
      </c>
      <c r="BB1216" t="s">
        <v>6502</v>
      </c>
      <c r="BC1216" t="s">
        <v>115</v>
      </c>
      <c r="BD1216" t="s">
        <v>115</v>
      </c>
      <c r="BE1216" t="s">
        <v>1444</v>
      </c>
      <c r="BF1216" t="s">
        <v>115</v>
      </c>
      <c r="BG1216" t="s">
        <v>115</v>
      </c>
      <c r="BH1216" t="s">
        <v>6503</v>
      </c>
      <c r="BI1216" t="s">
        <v>709</v>
      </c>
      <c r="BJ1216" t="s">
        <v>709</v>
      </c>
      <c r="BK1216" t="s">
        <v>709</v>
      </c>
      <c r="BL1216" t="s">
        <v>116</v>
      </c>
      <c r="BM1216" t="s">
        <v>709</v>
      </c>
      <c r="BN1216" t="s">
        <v>709</v>
      </c>
      <c r="BO1216" t="s">
        <v>709</v>
      </c>
      <c r="BP1216" t="s">
        <v>709</v>
      </c>
      <c r="BQ1216" t="s">
        <v>709</v>
      </c>
      <c r="BR1216">
        <v>545</v>
      </c>
      <c r="BS1216">
        <v>1152</v>
      </c>
      <c r="BT1216" t="s">
        <v>709</v>
      </c>
      <c r="BU1216" t="s">
        <v>709</v>
      </c>
      <c r="BV1216" t="s">
        <v>709</v>
      </c>
      <c r="BW1216" t="s">
        <v>709</v>
      </c>
      <c r="BX1216" t="s">
        <v>709</v>
      </c>
      <c r="BY1216" t="s">
        <v>709</v>
      </c>
      <c r="BZ1216" t="s">
        <v>709</v>
      </c>
      <c r="CB1216">
        <v>1213</v>
      </c>
      <c r="CC1216" t="b">
        <v>1</v>
      </c>
      <c r="CD1216" t="s">
        <v>6504</v>
      </c>
      <c r="CE1216" s="1482">
        <v>45880.739074074074</v>
      </c>
    </row>
    <row r="1217" spans="1:83" x14ac:dyDescent="0.25">
      <c r="A1217">
        <v>2024</v>
      </c>
      <c r="B1217" t="s">
        <v>1073</v>
      </c>
      <c r="C1217" t="s">
        <v>280</v>
      </c>
      <c r="D1217">
        <v>1611416</v>
      </c>
      <c r="E1217" t="s">
        <v>281</v>
      </c>
      <c r="F1217" t="s">
        <v>851</v>
      </c>
      <c r="G1217" t="s">
        <v>31</v>
      </c>
      <c r="H1217" t="s">
        <v>4001</v>
      </c>
      <c r="I1217">
        <v>45518</v>
      </c>
      <c r="J1217" t="s">
        <v>2052</v>
      </c>
      <c r="K1217">
        <v>45524</v>
      </c>
      <c r="L1217">
        <v>6</v>
      </c>
      <c r="M1217" t="s">
        <v>6505</v>
      </c>
      <c r="N1217" t="s">
        <v>120</v>
      </c>
      <c r="O1217">
        <v>45536</v>
      </c>
      <c r="P1217" t="s">
        <v>739</v>
      </c>
      <c r="Q1217">
        <v>4300</v>
      </c>
      <c r="R1217" t="s">
        <v>1922</v>
      </c>
      <c r="S1217">
        <v>0</v>
      </c>
      <c r="T1217">
        <v>0</v>
      </c>
      <c r="U1217">
        <v>4300</v>
      </c>
      <c r="V1217" t="s">
        <v>29</v>
      </c>
      <c r="W1217" t="s">
        <v>29</v>
      </c>
      <c r="X1217" t="s">
        <v>29</v>
      </c>
      <c r="Y1217" t="s">
        <v>915</v>
      </c>
      <c r="Z1217" t="s">
        <v>29</v>
      </c>
      <c r="AA1217" t="s">
        <v>29</v>
      </c>
      <c r="AB1217" t="s">
        <v>29</v>
      </c>
      <c r="AC1217" t="s">
        <v>29</v>
      </c>
      <c r="AD1217" t="s">
        <v>29</v>
      </c>
      <c r="AE1217" t="s">
        <v>116</v>
      </c>
      <c r="AF1217" t="s">
        <v>29</v>
      </c>
      <c r="AG1217" t="s">
        <v>29</v>
      </c>
      <c r="AH1217">
        <v>45580</v>
      </c>
      <c r="AI1217" t="s">
        <v>29</v>
      </c>
      <c r="AJ1217" t="s">
        <v>29</v>
      </c>
      <c r="AK1217" t="s">
        <v>29</v>
      </c>
      <c r="AL1217" t="s">
        <v>29</v>
      </c>
      <c r="AM1217" t="s">
        <v>709</v>
      </c>
      <c r="AY1217" t="s">
        <v>29</v>
      </c>
      <c r="BA1217">
        <v>1</v>
      </c>
      <c r="BB1217" t="s">
        <v>6506</v>
      </c>
      <c r="BH1217" t="s">
        <v>6507</v>
      </c>
      <c r="BI1217" t="s">
        <v>709</v>
      </c>
      <c r="BJ1217" t="s">
        <v>709</v>
      </c>
      <c r="BK1217" t="s">
        <v>116</v>
      </c>
      <c r="BL1217" t="s">
        <v>116</v>
      </c>
      <c r="BM1217" t="s">
        <v>709</v>
      </c>
      <c r="BN1217" t="s">
        <v>709</v>
      </c>
      <c r="BO1217" t="s">
        <v>709</v>
      </c>
      <c r="BP1217" t="s">
        <v>709</v>
      </c>
      <c r="BQ1217">
        <v>1212</v>
      </c>
      <c r="BR1217">
        <v>11045</v>
      </c>
      <c r="BS1217">
        <v>217</v>
      </c>
      <c r="BT1217" t="s">
        <v>745</v>
      </c>
      <c r="BU1217">
        <v>1</v>
      </c>
      <c r="BV1217" t="s">
        <v>745</v>
      </c>
      <c r="BW1217" t="s">
        <v>709</v>
      </c>
      <c r="BX1217">
        <v>1</v>
      </c>
      <c r="BY1217" t="s">
        <v>745</v>
      </c>
      <c r="BZ1217" t="s">
        <v>709</v>
      </c>
      <c r="CB1217">
        <v>1215</v>
      </c>
      <c r="CC1217" t="b">
        <v>1</v>
      </c>
      <c r="CD1217" t="s">
        <v>6508</v>
      </c>
      <c r="CE1217" s="1482">
        <v>45880.739085648151</v>
      </c>
    </row>
    <row r="1218" spans="1:83" x14ac:dyDescent="0.25">
      <c r="A1218">
        <v>2024</v>
      </c>
      <c r="B1218" t="s">
        <v>4</v>
      </c>
      <c r="C1218" t="s">
        <v>414</v>
      </c>
      <c r="D1218">
        <v>1212526</v>
      </c>
      <c r="E1218" t="s">
        <v>415</v>
      </c>
      <c r="F1218" t="s">
        <v>784</v>
      </c>
      <c r="G1218" t="s">
        <v>25</v>
      </c>
      <c r="H1218" t="s">
        <v>4001</v>
      </c>
      <c r="I1218">
        <v>45497</v>
      </c>
      <c r="J1218" t="s">
        <v>2052</v>
      </c>
      <c r="K1218">
        <v>45525</v>
      </c>
      <c r="L1218">
        <v>28</v>
      </c>
      <c r="M1218" t="s">
        <v>6509</v>
      </c>
      <c r="N1218" t="s">
        <v>120</v>
      </c>
      <c r="O1218">
        <v>45536</v>
      </c>
      <c r="P1218" t="s">
        <v>739</v>
      </c>
      <c r="Q1218">
        <v>2092.5</v>
      </c>
      <c r="R1218" t="s">
        <v>1922</v>
      </c>
      <c r="S1218">
        <v>0</v>
      </c>
      <c r="T1218">
        <v>0</v>
      </c>
      <c r="U1218">
        <v>1940</v>
      </c>
      <c r="V1218" t="s">
        <v>29</v>
      </c>
      <c r="W1218" t="s">
        <v>29</v>
      </c>
      <c r="X1218" t="s">
        <v>29</v>
      </c>
      <c r="Y1218" t="s">
        <v>915</v>
      </c>
      <c r="Z1218" t="s">
        <v>29</v>
      </c>
      <c r="AA1218" t="s">
        <v>29</v>
      </c>
      <c r="AB1218" t="s">
        <v>29</v>
      </c>
      <c r="AC1218" t="s">
        <v>29</v>
      </c>
      <c r="AD1218" t="s">
        <v>29</v>
      </c>
      <c r="AE1218" t="s">
        <v>116</v>
      </c>
      <c r="AF1218" t="s">
        <v>116</v>
      </c>
      <c r="AG1218" t="s">
        <v>29</v>
      </c>
      <c r="AH1218">
        <v>45580</v>
      </c>
      <c r="AI1218" t="s">
        <v>29</v>
      </c>
      <c r="AJ1218" t="s">
        <v>29</v>
      </c>
      <c r="AK1218" t="s">
        <v>29</v>
      </c>
      <c r="AL1218" t="s">
        <v>29</v>
      </c>
      <c r="AM1218" t="s">
        <v>709</v>
      </c>
      <c r="AY1218" t="s">
        <v>29</v>
      </c>
      <c r="BA1218">
        <v>2</v>
      </c>
      <c r="BB1218" t="s">
        <v>6510</v>
      </c>
      <c r="BH1218" t="s">
        <v>6511</v>
      </c>
      <c r="BI1218" t="s">
        <v>709</v>
      </c>
      <c r="BJ1218" t="s">
        <v>709</v>
      </c>
      <c r="BK1218" t="s">
        <v>709</v>
      </c>
      <c r="BL1218" t="s">
        <v>116</v>
      </c>
      <c r="BM1218" t="s">
        <v>709</v>
      </c>
      <c r="BN1218" t="s">
        <v>709</v>
      </c>
      <c r="BO1218" t="s">
        <v>709</v>
      </c>
      <c r="BP1218">
        <v>723</v>
      </c>
      <c r="BQ1218">
        <v>591</v>
      </c>
      <c r="BR1218">
        <v>124</v>
      </c>
      <c r="BS1218" t="s">
        <v>709</v>
      </c>
      <c r="BT1218" t="s">
        <v>709</v>
      </c>
      <c r="BU1218" t="s">
        <v>709</v>
      </c>
      <c r="BV1218" t="s">
        <v>709</v>
      </c>
      <c r="BW1218" t="s">
        <v>709</v>
      </c>
      <c r="BX1218" t="s">
        <v>709</v>
      </c>
      <c r="BY1218" t="s">
        <v>709</v>
      </c>
      <c r="BZ1218" t="s">
        <v>709</v>
      </c>
      <c r="CB1218">
        <v>1216</v>
      </c>
      <c r="CC1218" t="b">
        <v>1</v>
      </c>
      <c r="CD1218" t="s">
        <v>6512</v>
      </c>
      <c r="CE1218" s="1482">
        <v>45880.739085648151</v>
      </c>
    </row>
    <row r="1219" spans="1:83" x14ac:dyDescent="0.25">
      <c r="A1219">
        <v>2024</v>
      </c>
      <c r="B1219" t="s">
        <v>6513</v>
      </c>
      <c r="C1219" t="s">
        <v>283</v>
      </c>
      <c r="D1219">
        <v>1213062</v>
      </c>
      <c r="E1219" t="s">
        <v>284</v>
      </c>
      <c r="F1219" t="s">
        <v>1757</v>
      </c>
      <c r="G1219" t="s">
        <v>36</v>
      </c>
      <c r="H1219" t="s">
        <v>3852</v>
      </c>
      <c r="I1219">
        <v>45517</v>
      </c>
      <c r="J1219" t="s">
        <v>2052</v>
      </c>
      <c r="K1219">
        <v>45527</v>
      </c>
      <c r="L1219">
        <v>10</v>
      </c>
      <c r="M1219" t="s">
        <v>6514</v>
      </c>
      <c r="N1219" t="s">
        <v>120</v>
      </c>
      <c r="O1219">
        <v>45536</v>
      </c>
      <c r="P1219" t="s">
        <v>120</v>
      </c>
      <c r="Q1219">
        <v>2915</v>
      </c>
      <c r="R1219" t="s">
        <v>1922</v>
      </c>
      <c r="S1219">
        <v>0</v>
      </c>
      <c r="T1219">
        <v>0</v>
      </c>
      <c r="U1219">
        <v>2915</v>
      </c>
      <c r="V1219" t="s">
        <v>29</v>
      </c>
      <c r="W1219" t="s">
        <v>29</v>
      </c>
      <c r="X1219" t="s">
        <v>29</v>
      </c>
      <c r="Y1219" t="s">
        <v>915</v>
      </c>
      <c r="Z1219" t="s">
        <v>29</v>
      </c>
      <c r="AA1219" t="s">
        <v>29</v>
      </c>
      <c r="AB1219" t="s">
        <v>29</v>
      </c>
      <c r="AC1219" t="s">
        <v>29</v>
      </c>
      <c r="AD1219" t="s">
        <v>116</v>
      </c>
      <c r="AE1219" t="s">
        <v>116</v>
      </c>
      <c r="AF1219" t="s">
        <v>116</v>
      </c>
      <c r="AG1219" t="s">
        <v>29</v>
      </c>
      <c r="AH1219" t="s">
        <v>376</v>
      </c>
      <c r="AI1219" t="s">
        <v>29</v>
      </c>
      <c r="AJ1219" t="s">
        <v>29</v>
      </c>
      <c r="AK1219" t="s">
        <v>29</v>
      </c>
      <c r="AL1219" t="s">
        <v>29</v>
      </c>
      <c r="AM1219" t="s">
        <v>709</v>
      </c>
      <c r="AY1219" t="s">
        <v>29</v>
      </c>
      <c r="BA1219">
        <v>3</v>
      </c>
      <c r="BB1219" t="s">
        <v>6515</v>
      </c>
      <c r="BD1219" t="s">
        <v>882</v>
      </c>
      <c r="BH1219" t="s">
        <v>6516</v>
      </c>
      <c r="BI1219" t="s">
        <v>709</v>
      </c>
      <c r="BJ1219" t="s">
        <v>709</v>
      </c>
      <c r="BK1219" t="s">
        <v>709</v>
      </c>
      <c r="BL1219" t="s">
        <v>116</v>
      </c>
      <c r="BM1219" t="s">
        <v>709</v>
      </c>
      <c r="BN1219" t="s">
        <v>709</v>
      </c>
      <c r="BO1219" t="s">
        <v>709</v>
      </c>
      <c r="BP1219">
        <v>989</v>
      </c>
      <c r="BQ1219" t="s">
        <v>709</v>
      </c>
      <c r="BR1219" t="s">
        <v>709</v>
      </c>
      <c r="BS1219" t="s">
        <v>709</v>
      </c>
      <c r="BT1219" t="s">
        <v>709</v>
      </c>
      <c r="BU1219" t="s">
        <v>709</v>
      </c>
      <c r="BV1219" t="s">
        <v>709</v>
      </c>
      <c r="BW1219" t="s">
        <v>709</v>
      </c>
      <c r="BX1219" t="s">
        <v>709</v>
      </c>
      <c r="BY1219" t="s">
        <v>709</v>
      </c>
      <c r="BZ1219" t="s">
        <v>709</v>
      </c>
      <c r="CB1219">
        <v>1217</v>
      </c>
      <c r="CC1219" t="b">
        <v>1</v>
      </c>
      <c r="CD1219" t="s">
        <v>6517</v>
      </c>
      <c r="CE1219" s="1482">
        <v>45880.739085648151</v>
      </c>
    </row>
    <row r="1220" spans="1:83" x14ac:dyDescent="0.25">
      <c r="A1220">
        <v>2023</v>
      </c>
      <c r="B1220" t="s">
        <v>4</v>
      </c>
      <c r="C1220" t="s">
        <v>5659</v>
      </c>
      <c r="D1220" t="s">
        <v>5976</v>
      </c>
      <c r="E1220" t="s">
        <v>354</v>
      </c>
      <c r="F1220" t="s">
        <v>1515</v>
      </c>
      <c r="G1220" t="s">
        <v>6518</v>
      </c>
      <c r="H1220" t="s">
        <v>2724</v>
      </c>
      <c r="I1220">
        <v>45556</v>
      </c>
      <c r="J1220" t="s">
        <v>2724</v>
      </c>
      <c r="K1220">
        <v>45532</v>
      </c>
      <c r="L1220">
        <v>-24</v>
      </c>
      <c r="M1220" t="s">
        <v>6519</v>
      </c>
      <c r="N1220" t="s">
        <v>120</v>
      </c>
      <c r="O1220">
        <v>45536</v>
      </c>
      <c r="P1220" t="s">
        <v>739</v>
      </c>
      <c r="Q1220">
        <v>33835</v>
      </c>
      <c r="R1220" t="s">
        <v>1922</v>
      </c>
      <c r="S1220">
        <v>0</v>
      </c>
      <c r="T1220">
        <v>0</v>
      </c>
      <c r="U1220">
        <v>33835</v>
      </c>
      <c r="V1220" t="s">
        <v>29</v>
      </c>
      <c r="W1220" t="s">
        <v>29</v>
      </c>
      <c r="X1220" t="s">
        <v>29</v>
      </c>
      <c r="Y1220" t="s">
        <v>915</v>
      </c>
      <c r="Z1220" t="s">
        <v>29</v>
      </c>
      <c r="AA1220" t="s">
        <v>29</v>
      </c>
      <c r="AB1220" t="s">
        <v>29</v>
      </c>
      <c r="AC1220" t="s">
        <v>709</v>
      </c>
      <c r="AD1220" t="s">
        <v>29</v>
      </c>
      <c r="AE1220" t="s">
        <v>116</v>
      </c>
      <c r="AF1220" t="s">
        <v>116</v>
      </c>
      <c r="AG1220" t="s">
        <v>29</v>
      </c>
      <c r="AH1220">
        <v>45512</v>
      </c>
      <c r="AI1220" t="s">
        <v>29</v>
      </c>
      <c r="AJ1220" t="s">
        <v>29</v>
      </c>
      <c r="AK1220" t="s">
        <v>29</v>
      </c>
      <c r="AL1220" t="s">
        <v>29</v>
      </c>
      <c r="AM1220" t="s">
        <v>709</v>
      </c>
      <c r="AY1220" t="s">
        <v>29</v>
      </c>
      <c r="BA1220">
        <v>11</v>
      </c>
      <c r="BB1220" t="s">
        <v>6520</v>
      </c>
      <c r="BC1220" t="s">
        <v>116</v>
      </c>
      <c r="BD1220" t="s">
        <v>709</v>
      </c>
      <c r="BE1220" t="s">
        <v>115</v>
      </c>
      <c r="BF1220" t="s">
        <v>5979</v>
      </c>
      <c r="BG1220" t="s">
        <v>709</v>
      </c>
      <c r="BH1220" t="s">
        <v>6521</v>
      </c>
      <c r="BI1220" t="s">
        <v>116</v>
      </c>
      <c r="BJ1220" t="s">
        <v>709</v>
      </c>
      <c r="BK1220" t="s">
        <v>709</v>
      </c>
      <c r="BL1220" t="s">
        <v>116</v>
      </c>
      <c r="BM1220">
        <v>308</v>
      </c>
      <c r="BN1220" t="s">
        <v>709</v>
      </c>
      <c r="BO1220" t="s">
        <v>709</v>
      </c>
      <c r="BP1220" t="s">
        <v>709</v>
      </c>
      <c r="BQ1220">
        <v>313</v>
      </c>
      <c r="BR1220" t="s">
        <v>709</v>
      </c>
      <c r="BS1220" t="s">
        <v>709</v>
      </c>
      <c r="BT1220" t="s">
        <v>709</v>
      </c>
      <c r="BU1220" t="s">
        <v>709</v>
      </c>
      <c r="BV1220" t="s">
        <v>709</v>
      </c>
      <c r="BW1220" t="s">
        <v>709</v>
      </c>
      <c r="BX1220" t="s">
        <v>709</v>
      </c>
      <c r="BY1220" t="s">
        <v>709</v>
      </c>
      <c r="BZ1220" t="s">
        <v>709</v>
      </c>
      <c r="CB1220">
        <v>1220</v>
      </c>
      <c r="CC1220" t="b">
        <v>1</v>
      </c>
      <c r="CD1220" t="s">
        <v>6522</v>
      </c>
      <c r="CE1220" s="1482">
        <v>45880.73909722222</v>
      </c>
    </row>
    <row r="1221" spans="1:83" x14ac:dyDescent="0.25">
      <c r="A1221">
        <v>2023</v>
      </c>
      <c r="B1221" t="s">
        <v>4</v>
      </c>
      <c r="C1221" t="s">
        <v>6048</v>
      </c>
      <c r="D1221" t="s">
        <v>6049</v>
      </c>
      <c r="E1221" t="s">
        <v>354</v>
      </c>
      <c r="F1221" t="s">
        <v>1515</v>
      </c>
      <c r="G1221" t="s">
        <v>6518</v>
      </c>
      <c r="H1221" t="s">
        <v>2724</v>
      </c>
      <c r="I1221">
        <v>45627</v>
      </c>
      <c r="J1221" t="s">
        <v>2724</v>
      </c>
      <c r="K1221">
        <v>45532</v>
      </c>
      <c r="L1221">
        <v>-95</v>
      </c>
      <c r="M1221" t="s">
        <v>6523</v>
      </c>
      <c r="N1221" t="s">
        <v>120</v>
      </c>
      <c r="O1221">
        <v>45536</v>
      </c>
      <c r="P1221" t="s">
        <v>739</v>
      </c>
      <c r="Q1221">
        <v>16445</v>
      </c>
      <c r="R1221" t="s">
        <v>1922</v>
      </c>
      <c r="S1221">
        <v>0</v>
      </c>
      <c r="T1221">
        <v>0</v>
      </c>
      <c r="U1221">
        <v>16445</v>
      </c>
      <c r="V1221" t="s">
        <v>29</v>
      </c>
      <c r="W1221" t="s">
        <v>29</v>
      </c>
      <c r="X1221" t="s">
        <v>29</v>
      </c>
      <c r="Y1221" t="s">
        <v>915</v>
      </c>
      <c r="Z1221" t="s">
        <v>29</v>
      </c>
      <c r="AA1221" t="s">
        <v>29</v>
      </c>
      <c r="AB1221" t="s">
        <v>29</v>
      </c>
      <c r="AC1221" t="s">
        <v>709</v>
      </c>
      <c r="AD1221" t="s">
        <v>29</v>
      </c>
      <c r="AE1221" t="s">
        <v>116</v>
      </c>
      <c r="AF1221" t="s">
        <v>116</v>
      </c>
      <c r="AG1221" t="s">
        <v>29</v>
      </c>
      <c r="AH1221">
        <v>45512</v>
      </c>
      <c r="AI1221" t="s">
        <v>29</v>
      </c>
      <c r="AJ1221" t="s">
        <v>29</v>
      </c>
      <c r="AK1221" t="s">
        <v>29</v>
      </c>
      <c r="AL1221" t="s">
        <v>29</v>
      </c>
      <c r="AM1221" t="s">
        <v>709</v>
      </c>
      <c r="AY1221" t="s">
        <v>29</v>
      </c>
      <c r="BA1221">
        <v>11</v>
      </c>
      <c r="BB1221" t="s">
        <v>6524</v>
      </c>
      <c r="BC1221" t="s">
        <v>116</v>
      </c>
      <c r="BD1221" t="s">
        <v>709</v>
      </c>
      <c r="BE1221" t="s">
        <v>116</v>
      </c>
      <c r="BF1221" t="s">
        <v>709</v>
      </c>
      <c r="BG1221" t="s">
        <v>709</v>
      </c>
      <c r="BH1221" t="s">
        <v>6525</v>
      </c>
      <c r="BI1221" t="s">
        <v>116</v>
      </c>
      <c r="BJ1221" t="s">
        <v>709</v>
      </c>
      <c r="BK1221" t="s">
        <v>709</v>
      </c>
      <c r="BL1221" t="s">
        <v>709</v>
      </c>
      <c r="BM1221" t="s">
        <v>709</v>
      </c>
      <c r="BN1221">
        <v>797</v>
      </c>
      <c r="BO1221" t="s">
        <v>709</v>
      </c>
      <c r="BP1221" t="s">
        <v>709</v>
      </c>
      <c r="BQ1221" t="s">
        <v>709</v>
      </c>
      <c r="BR1221" t="s">
        <v>709</v>
      </c>
      <c r="BS1221" t="s">
        <v>709</v>
      </c>
      <c r="BT1221" t="s">
        <v>709</v>
      </c>
      <c r="BU1221" t="s">
        <v>709</v>
      </c>
      <c r="BV1221" t="s">
        <v>709</v>
      </c>
      <c r="BW1221" t="s">
        <v>709</v>
      </c>
      <c r="BX1221" t="s">
        <v>709</v>
      </c>
      <c r="BY1221" t="s">
        <v>709</v>
      </c>
      <c r="BZ1221" t="s">
        <v>709</v>
      </c>
      <c r="CB1221">
        <v>1221</v>
      </c>
      <c r="CC1221" t="b">
        <v>1</v>
      </c>
      <c r="CD1221" t="s">
        <v>6526</v>
      </c>
      <c r="CE1221" s="1482">
        <v>45880.73909722222</v>
      </c>
    </row>
    <row r="1222" spans="1:83" x14ac:dyDescent="0.25">
      <c r="A1222">
        <v>2024</v>
      </c>
      <c r="B1222" t="s">
        <v>1073</v>
      </c>
      <c r="C1222" t="s">
        <v>265</v>
      </c>
      <c r="D1222">
        <v>1911012</v>
      </c>
      <c r="E1222" t="s">
        <v>232</v>
      </c>
      <c r="F1222" t="s">
        <v>1757</v>
      </c>
      <c r="G1222" t="s">
        <v>36</v>
      </c>
      <c r="H1222" t="s">
        <v>4462</v>
      </c>
      <c r="I1222">
        <v>45343</v>
      </c>
      <c r="J1222" t="s">
        <v>2052</v>
      </c>
      <c r="K1222">
        <v>45532</v>
      </c>
      <c r="L1222">
        <v>189</v>
      </c>
      <c r="M1222" t="s">
        <v>6527</v>
      </c>
      <c r="N1222" t="s">
        <v>120</v>
      </c>
      <c r="O1222">
        <v>45536</v>
      </c>
      <c r="P1222" t="s">
        <v>739</v>
      </c>
      <c r="Q1222" t="s">
        <v>115</v>
      </c>
      <c r="R1222" t="s">
        <v>115</v>
      </c>
      <c r="S1222" t="s">
        <v>29</v>
      </c>
      <c r="T1222" t="s">
        <v>29</v>
      </c>
      <c r="U1222" t="s">
        <v>29</v>
      </c>
      <c r="V1222" t="s">
        <v>29</v>
      </c>
      <c r="W1222" t="s">
        <v>29</v>
      </c>
      <c r="X1222" t="s">
        <v>29</v>
      </c>
      <c r="Y1222" t="s">
        <v>915</v>
      </c>
      <c r="Z1222" t="s">
        <v>29</v>
      </c>
      <c r="AA1222" t="s">
        <v>29</v>
      </c>
      <c r="AB1222" t="s">
        <v>29</v>
      </c>
      <c r="AC1222" t="s">
        <v>29</v>
      </c>
      <c r="AD1222" t="s">
        <v>29</v>
      </c>
      <c r="AE1222" t="s">
        <v>116</v>
      </c>
      <c r="AF1222" t="s">
        <v>116</v>
      </c>
      <c r="AG1222" t="s">
        <v>29</v>
      </c>
      <c r="AH1222">
        <v>45672</v>
      </c>
      <c r="AI1222" t="s">
        <v>29</v>
      </c>
      <c r="AJ1222" t="s">
        <v>29</v>
      </c>
      <c r="AK1222" t="s">
        <v>29</v>
      </c>
      <c r="AL1222" t="s">
        <v>29</v>
      </c>
      <c r="AM1222" t="s">
        <v>709</v>
      </c>
      <c r="AY1222" t="s">
        <v>29</v>
      </c>
      <c r="BA1222">
        <v>7</v>
      </c>
      <c r="BB1222" t="s">
        <v>6528</v>
      </c>
      <c r="BH1222" t="s">
        <v>29</v>
      </c>
      <c r="CA1222" t="s">
        <v>915</v>
      </c>
      <c r="CB1222">
        <v>1219</v>
      </c>
      <c r="CC1222" t="b">
        <v>1</v>
      </c>
      <c r="CD1222" t="s">
        <v>6529</v>
      </c>
      <c r="CE1222" s="1482">
        <v>45880.739108796297</v>
      </c>
    </row>
    <row r="1223" spans="1:83" ht="330" x14ac:dyDescent="0.25">
      <c r="A1223">
        <v>2024</v>
      </c>
      <c r="B1223" t="s">
        <v>4</v>
      </c>
      <c r="C1223" t="s">
        <v>6530</v>
      </c>
      <c r="D1223" t="s">
        <v>115</v>
      </c>
      <c r="E1223" t="s">
        <v>104</v>
      </c>
      <c r="F1223" t="s">
        <v>851</v>
      </c>
      <c r="G1223" t="s">
        <v>35</v>
      </c>
      <c r="H1223" t="s">
        <v>1681</v>
      </c>
      <c r="I1223">
        <v>45483</v>
      </c>
      <c r="J1223">
        <v>45539</v>
      </c>
      <c r="K1223">
        <v>45532</v>
      </c>
      <c r="L1223">
        <v>7</v>
      </c>
      <c r="M1223" t="s">
        <v>6531</v>
      </c>
      <c r="N1223" t="s">
        <v>120</v>
      </c>
      <c r="O1223">
        <v>45505</v>
      </c>
      <c r="P1223" t="s">
        <v>739</v>
      </c>
      <c r="Q1223" t="s">
        <v>115</v>
      </c>
      <c r="R1223" t="s">
        <v>115</v>
      </c>
      <c r="S1223" t="s">
        <v>29</v>
      </c>
      <c r="T1223" t="s">
        <v>29</v>
      </c>
      <c r="U1223" t="s">
        <v>29</v>
      </c>
      <c r="V1223" t="s">
        <v>29</v>
      </c>
      <c r="W1223" t="s">
        <v>29</v>
      </c>
      <c r="X1223" t="s">
        <v>29</v>
      </c>
      <c r="Y1223" t="s">
        <v>29</v>
      </c>
      <c r="Z1223" t="s">
        <v>29</v>
      </c>
      <c r="AA1223" t="s">
        <v>29</v>
      </c>
      <c r="AB1223" t="s">
        <v>29</v>
      </c>
      <c r="AC1223" t="s">
        <v>29</v>
      </c>
      <c r="AD1223" t="s">
        <v>29</v>
      </c>
      <c r="AE1223" t="s">
        <v>116</v>
      </c>
      <c r="AF1223" t="s">
        <v>29</v>
      </c>
      <c r="AG1223" t="s">
        <v>29</v>
      </c>
      <c r="AH1223">
        <v>45608</v>
      </c>
      <c r="AI1223" t="s">
        <v>29</v>
      </c>
      <c r="AJ1223" t="s">
        <v>29</v>
      </c>
      <c r="AK1223" t="s">
        <v>29</v>
      </c>
      <c r="AL1223" t="s">
        <v>29</v>
      </c>
      <c r="AM1223" t="s">
        <v>709</v>
      </c>
      <c r="AY1223" t="s">
        <v>29</v>
      </c>
      <c r="BA1223" s="4" t="s">
        <v>6532</v>
      </c>
      <c r="BB1223" t="s">
        <v>961</v>
      </c>
      <c r="BC1223" t="s">
        <v>709</v>
      </c>
      <c r="BD1223" t="s">
        <v>709</v>
      </c>
      <c r="BE1223" t="s">
        <v>3722</v>
      </c>
      <c r="BF1223" t="s">
        <v>1232</v>
      </c>
      <c r="BG1223" t="s">
        <v>709</v>
      </c>
      <c r="BH1223" t="s">
        <v>6533</v>
      </c>
      <c r="CA1223" t="s">
        <v>915</v>
      </c>
      <c r="CB1223">
        <v>1218</v>
      </c>
      <c r="CC1223" t="b">
        <v>1</v>
      </c>
      <c r="CD1223" t="s">
        <v>6534</v>
      </c>
      <c r="CE1223" s="1482">
        <v>45880.739108796297</v>
      </c>
    </row>
    <row r="1224" spans="1:83" ht="240" x14ac:dyDescent="0.25">
      <c r="A1224">
        <v>2024</v>
      </c>
      <c r="B1224" t="s">
        <v>4</v>
      </c>
      <c r="C1224" t="s">
        <v>6535</v>
      </c>
      <c r="D1224" t="s">
        <v>115</v>
      </c>
      <c r="E1224" t="s">
        <v>1032</v>
      </c>
      <c r="F1224" t="s">
        <v>1757</v>
      </c>
      <c r="G1224" t="s">
        <v>31</v>
      </c>
      <c r="H1224" t="s">
        <v>1903</v>
      </c>
      <c r="I1224">
        <v>45516</v>
      </c>
      <c r="J1224">
        <v>45558</v>
      </c>
      <c r="K1224">
        <v>45538</v>
      </c>
      <c r="L1224">
        <v>20</v>
      </c>
      <c r="M1224" t="s">
        <v>6536</v>
      </c>
      <c r="N1224" t="s">
        <v>120</v>
      </c>
      <c r="O1224">
        <v>45536</v>
      </c>
      <c r="P1224" t="s">
        <v>739</v>
      </c>
      <c r="Q1224" t="s">
        <v>115</v>
      </c>
      <c r="R1224" t="s">
        <v>115</v>
      </c>
      <c r="S1224" t="s">
        <v>29</v>
      </c>
      <c r="T1224" t="s">
        <v>29</v>
      </c>
      <c r="U1224" t="s">
        <v>29</v>
      </c>
      <c r="V1224" t="s">
        <v>29</v>
      </c>
      <c r="W1224" t="s">
        <v>29</v>
      </c>
      <c r="X1224" t="s">
        <v>29</v>
      </c>
      <c r="Y1224" t="s">
        <v>915</v>
      </c>
      <c r="Z1224" t="s">
        <v>29</v>
      </c>
      <c r="AA1224" t="s">
        <v>29</v>
      </c>
      <c r="AB1224" t="s">
        <v>29</v>
      </c>
      <c r="AC1224" t="s">
        <v>29</v>
      </c>
      <c r="AD1224" t="s">
        <v>29</v>
      </c>
      <c r="AE1224" t="s">
        <v>756</v>
      </c>
      <c r="AF1224" t="s">
        <v>29</v>
      </c>
      <c r="AG1224" t="s">
        <v>29</v>
      </c>
      <c r="AH1224">
        <v>45580</v>
      </c>
      <c r="AI1224" t="s">
        <v>29</v>
      </c>
      <c r="AJ1224" t="s">
        <v>29</v>
      </c>
      <c r="AK1224" t="s">
        <v>29</v>
      </c>
      <c r="AL1224" t="s">
        <v>29</v>
      </c>
      <c r="AM1224" t="s">
        <v>709</v>
      </c>
      <c r="AY1224" t="s">
        <v>29</v>
      </c>
      <c r="BA1224" s="4" t="s">
        <v>6537</v>
      </c>
      <c r="BB1224" t="s">
        <v>1035</v>
      </c>
      <c r="BC1224" t="s">
        <v>709</v>
      </c>
      <c r="BD1224" t="s">
        <v>709</v>
      </c>
      <c r="BE1224" t="s">
        <v>1841</v>
      </c>
      <c r="BF1224" t="s">
        <v>709</v>
      </c>
      <c r="BG1224" t="s">
        <v>709</v>
      </c>
      <c r="BH1224" t="s">
        <v>6538</v>
      </c>
      <c r="CA1224" t="s">
        <v>915</v>
      </c>
      <c r="CB1224">
        <v>1222</v>
      </c>
      <c r="CC1224" t="b">
        <v>1</v>
      </c>
      <c r="CD1224" t="s">
        <v>6539</v>
      </c>
      <c r="CE1224" s="1482">
        <v>45880.739108796297</v>
      </c>
    </row>
    <row r="1225" spans="1:83" x14ac:dyDescent="0.25">
      <c r="A1225">
        <v>2024</v>
      </c>
      <c r="B1225" t="s">
        <v>4</v>
      </c>
      <c r="C1225" t="s">
        <v>1816</v>
      </c>
      <c r="D1225">
        <v>1413787</v>
      </c>
      <c r="E1225" t="s">
        <v>1347</v>
      </c>
      <c r="F1225" t="s">
        <v>1757</v>
      </c>
      <c r="G1225" t="s">
        <v>35</v>
      </c>
      <c r="H1225" t="s">
        <v>6540</v>
      </c>
      <c r="I1225">
        <v>45525</v>
      </c>
      <c r="J1225" t="s">
        <v>2052</v>
      </c>
      <c r="K1225">
        <v>45544</v>
      </c>
      <c r="L1225">
        <v>19</v>
      </c>
      <c r="M1225" t="s">
        <v>6541</v>
      </c>
      <c r="N1225" t="s">
        <v>120</v>
      </c>
      <c r="O1225">
        <v>45536</v>
      </c>
      <c r="P1225" t="s">
        <v>739</v>
      </c>
      <c r="Q1225" t="s">
        <v>115</v>
      </c>
      <c r="R1225" t="s">
        <v>115</v>
      </c>
      <c r="S1225" t="s">
        <v>29</v>
      </c>
      <c r="T1225" t="s">
        <v>29</v>
      </c>
      <c r="U1225" t="s">
        <v>29</v>
      </c>
      <c r="V1225" t="s">
        <v>29</v>
      </c>
      <c r="W1225" t="s">
        <v>29</v>
      </c>
      <c r="X1225" t="s">
        <v>29</v>
      </c>
      <c r="Y1225" t="s">
        <v>29</v>
      </c>
      <c r="Z1225" t="s">
        <v>29</v>
      </c>
      <c r="AA1225" t="s">
        <v>29</v>
      </c>
      <c r="AB1225" t="s">
        <v>29</v>
      </c>
      <c r="AC1225" t="s">
        <v>29</v>
      </c>
      <c r="AD1225" t="s">
        <v>29</v>
      </c>
      <c r="AE1225" t="s">
        <v>116</v>
      </c>
      <c r="AF1225" t="s">
        <v>29</v>
      </c>
      <c r="AG1225" t="s">
        <v>29</v>
      </c>
      <c r="AH1225">
        <v>45609</v>
      </c>
      <c r="AI1225" t="s">
        <v>29</v>
      </c>
      <c r="AJ1225" t="s">
        <v>29</v>
      </c>
      <c r="AK1225" t="s">
        <v>29</v>
      </c>
      <c r="AL1225" t="s">
        <v>29</v>
      </c>
      <c r="AM1225" t="s">
        <v>709</v>
      </c>
      <c r="AY1225" t="s">
        <v>29</v>
      </c>
      <c r="BA1225" t="s">
        <v>4919</v>
      </c>
      <c r="BB1225" t="s">
        <v>6542</v>
      </c>
      <c r="BH1225" t="s">
        <v>29</v>
      </c>
      <c r="CA1225" t="s">
        <v>915</v>
      </c>
      <c r="CB1225">
        <v>1223</v>
      </c>
      <c r="CC1225" t="b">
        <v>1</v>
      </c>
      <c r="CD1225" t="s">
        <v>6543</v>
      </c>
      <c r="CE1225" s="1482">
        <v>45880.739120370374</v>
      </c>
    </row>
    <row r="1226" spans="1:83" ht="285" x14ac:dyDescent="0.25">
      <c r="A1226">
        <v>2024</v>
      </c>
      <c r="B1226" t="s">
        <v>4</v>
      </c>
      <c r="C1226" t="s">
        <v>6544</v>
      </c>
      <c r="D1226" t="s">
        <v>115</v>
      </c>
      <c r="E1226" t="s">
        <v>249</v>
      </c>
      <c r="F1226" t="s">
        <v>784</v>
      </c>
      <c r="G1226" t="s">
        <v>26</v>
      </c>
      <c r="H1226" t="s">
        <v>1681</v>
      </c>
      <c r="I1226">
        <v>45461</v>
      </c>
      <c r="J1226">
        <v>45579</v>
      </c>
      <c r="K1226">
        <v>45546</v>
      </c>
      <c r="L1226">
        <v>33</v>
      </c>
      <c r="M1226" t="s">
        <v>6545</v>
      </c>
      <c r="N1226" t="s">
        <v>120</v>
      </c>
      <c r="O1226">
        <v>45536</v>
      </c>
      <c r="P1226" t="s">
        <v>739</v>
      </c>
      <c r="Q1226" t="s">
        <v>115</v>
      </c>
      <c r="R1226" t="s">
        <v>115</v>
      </c>
      <c r="S1226" t="s">
        <v>29</v>
      </c>
      <c r="T1226" t="s">
        <v>29</v>
      </c>
      <c r="U1226" t="s">
        <v>29</v>
      </c>
      <c r="V1226" t="s">
        <v>29</v>
      </c>
      <c r="W1226" t="s">
        <v>29</v>
      </c>
      <c r="X1226" t="s">
        <v>29</v>
      </c>
      <c r="Y1226" t="s">
        <v>29</v>
      </c>
      <c r="Z1226" t="s">
        <v>29</v>
      </c>
      <c r="AA1226" t="s">
        <v>29</v>
      </c>
      <c r="AB1226" t="s">
        <v>29</v>
      </c>
      <c r="AC1226" t="s">
        <v>29</v>
      </c>
      <c r="AD1226" t="s">
        <v>29</v>
      </c>
      <c r="AE1226" t="s">
        <v>756</v>
      </c>
      <c r="AF1226" t="s">
        <v>29</v>
      </c>
      <c r="AG1226" t="s">
        <v>29</v>
      </c>
      <c r="AH1226">
        <v>45580</v>
      </c>
      <c r="AI1226" t="s">
        <v>29</v>
      </c>
      <c r="AJ1226">
        <v>5679.5</v>
      </c>
      <c r="AK1226" t="s">
        <v>29</v>
      </c>
      <c r="AL1226" t="s">
        <v>29</v>
      </c>
      <c r="AM1226" t="s">
        <v>709</v>
      </c>
      <c r="AY1226" t="s">
        <v>29</v>
      </c>
      <c r="BA1226" s="4" t="s">
        <v>6546</v>
      </c>
      <c r="BB1226" t="s">
        <v>870</v>
      </c>
      <c r="BC1226" t="s">
        <v>116</v>
      </c>
      <c r="BD1226" t="s">
        <v>882</v>
      </c>
      <c r="BE1226" t="s">
        <v>709</v>
      </c>
      <c r="BF1226" t="s">
        <v>6547</v>
      </c>
      <c r="BG1226" t="s">
        <v>709</v>
      </c>
      <c r="BH1226" t="s">
        <v>6548</v>
      </c>
      <c r="CA1226" t="s">
        <v>915</v>
      </c>
      <c r="CB1226">
        <v>1224</v>
      </c>
      <c r="CC1226" t="b">
        <v>1</v>
      </c>
      <c r="CD1226" t="s">
        <v>6549</v>
      </c>
      <c r="CE1226" s="1482">
        <v>45880.739120370374</v>
      </c>
    </row>
    <row r="1227" spans="1:83" ht="360" x14ac:dyDescent="0.25">
      <c r="A1227">
        <v>2024</v>
      </c>
      <c r="B1227" t="s">
        <v>4</v>
      </c>
      <c r="C1227" t="s">
        <v>204</v>
      </c>
      <c r="D1227" t="s">
        <v>1158</v>
      </c>
      <c r="E1227" t="s">
        <v>1159</v>
      </c>
      <c r="F1227" t="s">
        <v>1757</v>
      </c>
      <c r="G1227" t="s">
        <v>25</v>
      </c>
      <c r="H1227" t="s">
        <v>3852</v>
      </c>
      <c r="I1227">
        <v>45512</v>
      </c>
      <c r="J1227" t="s">
        <v>2052</v>
      </c>
      <c r="K1227">
        <v>45546</v>
      </c>
      <c r="L1227">
        <v>34</v>
      </c>
      <c r="M1227" t="s">
        <v>6550</v>
      </c>
      <c r="N1227" t="s">
        <v>120</v>
      </c>
      <c r="O1227">
        <v>45566</v>
      </c>
      <c r="P1227" t="s">
        <v>739</v>
      </c>
      <c r="Q1227">
        <v>17700</v>
      </c>
      <c r="R1227" t="s">
        <v>1922</v>
      </c>
      <c r="S1227">
        <v>0</v>
      </c>
      <c r="T1227">
        <v>0</v>
      </c>
      <c r="U1227">
        <v>17700</v>
      </c>
      <c r="V1227" t="s">
        <v>29</v>
      </c>
      <c r="W1227" t="s">
        <v>29</v>
      </c>
      <c r="X1227" t="s">
        <v>29</v>
      </c>
      <c r="Y1227" t="s">
        <v>915</v>
      </c>
      <c r="Z1227" t="s">
        <v>29</v>
      </c>
      <c r="AA1227" t="s">
        <v>29</v>
      </c>
      <c r="AB1227" t="s">
        <v>29</v>
      </c>
      <c r="AC1227" t="s">
        <v>29</v>
      </c>
      <c r="AD1227" t="s">
        <v>29</v>
      </c>
      <c r="AE1227" t="s">
        <v>116</v>
      </c>
      <c r="AF1227" t="s">
        <v>29</v>
      </c>
      <c r="AG1227" t="s">
        <v>29</v>
      </c>
      <c r="AH1227">
        <v>45580</v>
      </c>
      <c r="AI1227" t="s">
        <v>29</v>
      </c>
      <c r="AJ1227" t="s">
        <v>29</v>
      </c>
      <c r="AK1227" t="s">
        <v>29</v>
      </c>
      <c r="AL1227" t="s">
        <v>29</v>
      </c>
      <c r="AM1227" t="s">
        <v>709</v>
      </c>
      <c r="AY1227" t="s">
        <v>29</v>
      </c>
      <c r="BA1227" t="s">
        <v>4919</v>
      </c>
      <c r="BB1227" s="4" t="s">
        <v>6551</v>
      </c>
      <c r="BC1227" t="s">
        <v>116</v>
      </c>
      <c r="BD1227" t="s">
        <v>709</v>
      </c>
      <c r="BE1227" t="s">
        <v>1210</v>
      </c>
      <c r="BF1227" t="s">
        <v>5636</v>
      </c>
      <c r="BG1227" t="s">
        <v>6552</v>
      </c>
      <c r="BH1227" t="s">
        <v>6553</v>
      </c>
      <c r="BI1227" t="s">
        <v>709</v>
      </c>
      <c r="BJ1227" t="s">
        <v>709</v>
      </c>
      <c r="BK1227" t="s">
        <v>709</v>
      </c>
      <c r="BL1227" t="s">
        <v>116</v>
      </c>
      <c r="BM1227" t="s">
        <v>709</v>
      </c>
      <c r="BN1227" t="s">
        <v>709</v>
      </c>
      <c r="BO1227" t="s">
        <v>709</v>
      </c>
      <c r="BP1227" t="s">
        <v>709</v>
      </c>
      <c r="BQ1227" t="s">
        <v>709</v>
      </c>
      <c r="BR1227">
        <v>495</v>
      </c>
      <c r="BS1227" t="s">
        <v>709</v>
      </c>
      <c r="BT1227" t="s">
        <v>709</v>
      </c>
      <c r="BU1227" t="s">
        <v>709</v>
      </c>
      <c r="BV1227" t="s">
        <v>709</v>
      </c>
      <c r="BW1227" t="s">
        <v>709</v>
      </c>
      <c r="BX1227" t="s">
        <v>709</v>
      </c>
      <c r="BY1227" t="s">
        <v>709</v>
      </c>
      <c r="BZ1227" t="s">
        <v>709</v>
      </c>
      <c r="CB1227">
        <v>1225</v>
      </c>
      <c r="CC1227" t="b">
        <v>1</v>
      </c>
      <c r="CD1227" t="s">
        <v>6554</v>
      </c>
      <c r="CE1227" s="1482">
        <v>45880.739120370374</v>
      </c>
    </row>
    <row r="1228" spans="1:83" x14ac:dyDescent="0.25">
      <c r="A1228">
        <v>2024</v>
      </c>
      <c r="B1228" t="s">
        <v>4</v>
      </c>
      <c r="C1228" t="s">
        <v>1608</v>
      </c>
      <c r="D1228">
        <v>1412597</v>
      </c>
      <c r="E1228" t="s">
        <v>232</v>
      </c>
      <c r="F1228" t="s">
        <v>1757</v>
      </c>
      <c r="G1228" t="s">
        <v>25</v>
      </c>
      <c r="H1228" t="s">
        <v>4001</v>
      </c>
      <c r="I1228">
        <v>45540</v>
      </c>
      <c r="J1228" t="s">
        <v>2052</v>
      </c>
      <c r="K1228">
        <v>45547</v>
      </c>
      <c r="L1228">
        <v>7</v>
      </c>
      <c r="M1228" t="s">
        <v>6555</v>
      </c>
      <c r="N1228" t="s">
        <v>120</v>
      </c>
      <c r="O1228">
        <v>45566</v>
      </c>
      <c r="P1228" t="s">
        <v>739</v>
      </c>
      <c r="Q1228">
        <v>1880</v>
      </c>
      <c r="R1228" t="s">
        <v>1922</v>
      </c>
      <c r="S1228">
        <v>0</v>
      </c>
      <c r="T1228">
        <v>0</v>
      </c>
      <c r="U1228">
        <v>1880</v>
      </c>
      <c r="V1228" t="s">
        <v>29</v>
      </c>
      <c r="W1228" t="s">
        <v>29</v>
      </c>
      <c r="X1228" t="s">
        <v>29</v>
      </c>
      <c r="Y1228" t="s">
        <v>915</v>
      </c>
      <c r="Z1228" t="s">
        <v>29</v>
      </c>
      <c r="AA1228" t="s">
        <v>29</v>
      </c>
      <c r="AB1228" t="s">
        <v>29</v>
      </c>
      <c r="AC1228" t="s">
        <v>29</v>
      </c>
      <c r="AD1228" t="s">
        <v>116</v>
      </c>
      <c r="AE1228" t="s">
        <v>116</v>
      </c>
      <c r="AF1228" t="s">
        <v>756</v>
      </c>
      <c r="AG1228" t="s">
        <v>29</v>
      </c>
      <c r="AH1228">
        <v>45580</v>
      </c>
      <c r="AI1228" t="s">
        <v>29</v>
      </c>
      <c r="AJ1228" t="s">
        <v>29</v>
      </c>
      <c r="AK1228" t="s">
        <v>29</v>
      </c>
      <c r="AL1228" t="s">
        <v>29</v>
      </c>
      <c r="AM1228" t="s">
        <v>709</v>
      </c>
      <c r="AY1228" t="s">
        <v>29</v>
      </c>
      <c r="BA1228">
        <v>4</v>
      </c>
      <c r="BB1228" t="s">
        <v>6556</v>
      </c>
      <c r="BC1228" t="s">
        <v>709</v>
      </c>
      <c r="BD1228" t="s">
        <v>1092</v>
      </c>
      <c r="BE1228" t="s">
        <v>595</v>
      </c>
      <c r="BF1228" t="s">
        <v>595</v>
      </c>
      <c r="BG1228" t="s">
        <v>709</v>
      </c>
      <c r="BH1228" t="s">
        <v>6557</v>
      </c>
      <c r="BI1228" t="s">
        <v>709</v>
      </c>
      <c r="BJ1228" t="s">
        <v>709</v>
      </c>
      <c r="BK1228" t="s">
        <v>709</v>
      </c>
      <c r="BL1228" t="s">
        <v>116</v>
      </c>
      <c r="BM1228" t="s">
        <v>709</v>
      </c>
      <c r="BN1228" t="s">
        <v>709</v>
      </c>
      <c r="BO1228" t="s">
        <v>709</v>
      </c>
      <c r="BP1228" t="s">
        <v>709</v>
      </c>
      <c r="BQ1228" t="s">
        <v>709</v>
      </c>
      <c r="BR1228">
        <v>440</v>
      </c>
      <c r="BS1228">
        <v>14</v>
      </c>
      <c r="BT1228" t="s">
        <v>709</v>
      </c>
      <c r="BU1228" t="s">
        <v>709</v>
      </c>
      <c r="BV1228" t="s">
        <v>709</v>
      </c>
      <c r="BW1228" t="s">
        <v>709</v>
      </c>
      <c r="BX1228" t="s">
        <v>709</v>
      </c>
      <c r="BY1228" t="s">
        <v>709</v>
      </c>
      <c r="BZ1228" t="s">
        <v>709</v>
      </c>
      <c r="CB1228">
        <v>1227</v>
      </c>
      <c r="CC1228" t="b">
        <v>1</v>
      </c>
      <c r="CD1228" t="s">
        <v>6558</v>
      </c>
      <c r="CE1228" s="1482">
        <v>45880.739131944443</v>
      </c>
    </row>
    <row r="1229" spans="1:83" ht="285" x14ac:dyDescent="0.25">
      <c r="A1229">
        <v>2024</v>
      </c>
      <c r="B1229" t="s">
        <v>4</v>
      </c>
      <c r="C1229" t="s">
        <v>6186</v>
      </c>
      <c r="D1229" t="s">
        <v>6559</v>
      </c>
      <c r="E1229" t="s">
        <v>1164</v>
      </c>
      <c r="F1229" t="s">
        <v>851</v>
      </c>
      <c r="G1229" t="s">
        <v>219</v>
      </c>
      <c r="H1229" t="s">
        <v>1681</v>
      </c>
      <c r="I1229">
        <v>45216</v>
      </c>
      <c r="J1229">
        <v>45562</v>
      </c>
      <c r="K1229">
        <v>45547</v>
      </c>
      <c r="L1229">
        <v>15</v>
      </c>
      <c r="M1229" t="s">
        <v>6560</v>
      </c>
      <c r="N1229" t="s">
        <v>120</v>
      </c>
      <c r="O1229">
        <v>45536</v>
      </c>
      <c r="P1229" t="s">
        <v>739</v>
      </c>
      <c r="Q1229" t="s">
        <v>115</v>
      </c>
      <c r="R1229" t="s">
        <v>115</v>
      </c>
      <c r="S1229" t="s">
        <v>29</v>
      </c>
      <c r="T1229" t="s">
        <v>29</v>
      </c>
      <c r="U1229" t="s">
        <v>29</v>
      </c>
      <c r="V1229" t="s">
        <v>29</v>
      </c>
      <c r="W1229" t="s">
        <v>29</v>
      </c>
      <c r="X1229" t="s">
        <v>29</v>
      </c>
      <c r="Y1229" t="s">
        <v>29</v>
      </c>
      <c r="Z1229" t="s">
        <v>29</v>
      </c>
      <c r="AA1229" t="s">
        <v>29</v>
      </c>
      <c r="AB1229" t="s">
        <v>29</v>
      </c>
      <c r="AC1229" t="s">
        <v>29</v>
      </c>
      <c r="AD1229" t="s">
        <v>29</v>
      </c>
      <c r="AE1229" t="s">
        <v>756</v>
      </c>
      <c r="AF1229" t="s">
        <v>29</v>
      </c>
      <c r="AG1229" t="s">
        <v>29</v>
      </c>
      <c r="AH1229">
        <v>45475</v>
      </c>
      <c r="AI1229" t="s">
        <v>29</v>
      </c>
      <c r="AJ1229" t="s">
        <v>29</v>
      </c>
      <c r="AK1229" t="s">
        <v>29</v>
      </c>
      <c r="AL1229" t="s">
        <v>29</v>
      </c>
      <c r="AM1229" t="s">
        <v>709</v>
      </c>
      <c r="AY1229" t="s">
        <v>29</v>
      </c>
      <c r="BA1229" s="4" t="s">
        <v>6561</v>
      </c>
      <c r="BB1229" t="s">
        <v>961</v>
      </c>
      <c r="BC1229" t="s">
        <v>709</v>
      </c>
      <c r="BD1229" t="s">
        <v>1167</v>
      </c>
      <c r="BE1229" t="s">
        <v>5134</v>
      </c>
      <c r="BF1229" t="s">
        <v>5134</v>
      </c>
      <c r="BG1229" t="s">
        <v>6562</v>
      </c>
      <c r="BH1229" t="s">
        <v>6563</v>
      </c>
      <c r="CA1229" t="s">
        <v>915</v>
      </c>
      <c r="CB1229">
        <v>1226</v>
      </c>
      <c r="CC1229" t="b">
        <v>1</v>
      </c>
      <c r="CD1229" t="s">
        <v>6564</v>
      </c>
      <c r="CE1229" s="1482">
        <v>45880.739131944443</v>
      </c>
    </row>
    <row r="1230" spans="1:83" x14ac:dyDescent="0.25">
      <c r="A1230">
        <v>2024</v>
      </c>
      <c r="B1230" t="s">
        <v>1073</v>
      </c>
      <c r="C1230" t="s">
        <v>280</v>
      </c>
      <c r="D1230">
        <v>1611416</v>
      </c>
      <c r="E1230" t="s">
        <v>281</v>
      </c>
      <c r="F1230" t="s">
        <v>784</v>
      </c>
      <c r="G1230" t="s">
        <v>31</v>
      </c>
      <c r="H1230" t="s">
        <v>4462</v>
      </c>
      <c r="I1230">
        <v>45541</v>
      </c>
      <c r="J1230" t="s">
        <v>2052</v>
      </c>
      <c r="K1230">
        <v>45548</v>
      </c>
      <c r="L1230">
        <v>7</v>
      </c>
      <c r="M1230" t="s">
        <v>6565</v>
      </c>
      <c r="N1230" t="s">
        <v>120</v>
      </c>
      <c r="O1230">
        <v>45536</v>
      </c>
      <c r="P1230" t="s">
        <v>739</v>
      </c>
      <c r="Q1230" t="s">
        <v>115</v>
      </c>
      <c r="R1230" t="s">
        <v>115</v>
      </c>
      <c r="S1230" t="s">
        <v>29</v>
      </c>
      <c r="T1230" t="s">
        <v>29</v>
      </c>
      <c r="U1230" t="s">
        <v>29</v>
      </c>
      <c r="V1230" t="s">
        <v>29</v>
      </c>
      <c r="W1230" t="s">
        <v>29</v>
      </c>
      <c r="X1230" t="s">
        <v>29</v>
      </c>
      <c r="Y1230" t="s">
        <v>29</v>
      </c>
      <c r="Z1230" t="s">
        <v>29</v>
      </c>
      <c r="AA1230" t="s">
        <v>29</v>
      </c>
      <c r="AB1230" t="s">
        <v>29</v>
      </c>
      <c r="AC1230" t="s">
        <v>29</v>
      </c>
      <c r="AD1230" t="s">
        <v>29</v>
      </c>
      <c r="AE1230" t="s">
        <v>116</v>
      </c>
      <c r="AF1230" t="s">
        <v>29</v>
      </c>
      <c r="AG1230" t="s">
        <v>29</v>
      </c>
      <c r="AH1230">
        <v>45580</v>
      </c>
      <c r="AI1230" t="s">
        <v>29</v>
      </c>
      <c r="AJ1230" t="s">
        <v>29</v>
      </c>
      <c r="AK1230" t="s">
        <v>29</v>
      </c>
      <c r="AL1230" t="s">
        <v>29</v>
      </c>
      <c r="AM1230" t="s">
        <v>709</v>
      </c>
      <c r="AY1230" t="s">
        <v>29</v>
      </c>
      <c r="BA1230">
        <v>3</v>
      </c>
      <c r="CB1230">
        <v>1228</v>
      </c>
      <c r="CC1230" t="b">
        <v>1</v>
      </c>
      <c r="CD1230" t="s">
        <v>6566</v>
      </c>
      <c r="CE1230" s="1482">
        <v>45880.73914351852</v>
      </c>
    </row>
    <row r="1231" spans="1:83" ht="195" x14ac:dyDescent="0.25">
      <c r="A1231">
        <v>2024</v>
      </c>
      <c r="B1231" t="s">
        <v>4</v>
      </c>
      <c r="C1231" t="s">
        <v>6567</v>
      </c>
      <c r="D1231" t="s">
        <v>6568</v>
      </c>
      <c r="E1231" t="s">
        <v>1159</v>
      </c>
      <c r="F1231" t="s">
        <v>1102</v>
      </c>
      <c r="G1231" t="s">
        <v>28</v>
      </c>
      <c r="H1231" t="s">
        <v>59</v>
      </c>
      <c r="I1231">
        <v>45369</v>
      </c>
      <c r="J1231">
        <v>45569</v>
      </c>
      <c r="K1231">
        <v>45551</v>
      </c>
      <c r="L1231">
        <v>18</v>
      </c>
      <c r="N1231" t="s">
        <v>120</v>
      </c>
      <c r="O1231">
        <v>45559</v>
      </c>
      <c r="P1231" t="s">
        <v>739</v>
      </c>
      <c r="Q1231">
        <v>105410.814</v>
      </c>
      <c r="R1231">
        <v>0.1</v>
      </c>
      <c r="S1231" t="s">
        <v>29</v>
      </c>
      <c r="T1231" t="s">
        <v>29</v>
      </c>
      <c r="U1231" t="s">
        <v>29</v>
      </c>
      <c r="V1231">
        <v>530</v>
      </c>
      <c r="W1231">
        <v>0</v>
      </c>
      <c r="X1231">
        <v>915818.58</v>
      </c>
      <c r="Z1231">
        <v>138289.56</v>
      </c>
      <c r="AA1231">
        <v>1054108.1399999999</v>
      </c>
      <c r="AB1231">
        <v>45518</v>
      </c>
      <c r="AC1231" t="s">
        <v>116</v>
      </c>
      <c r="AD1231" t="s">
        <v>116</v>
      </c>
      <c r="AE1231" t="s">
        <v>116</v>
      </c>
      <c r="AF1231" t="s">
        <v>116</v>
      </c>
      <c r="AG1231" t="s">
        <v>376</v>
      </c>
      <c r="AH1231">
        <v>45580</v>
      </c>
      <c r="AI1231">
        <v>6905</v>
      </c>
      <c r="AJ1231">
        <v>5035</v>
      </c>
      <c r="AK1231">
        <v>7452.25</v>
      </c>
      <c r="AL1231">
        <v>0.18396831657139087</v>
      </c>
      <c r="AM1231" t="s">
        <v>116</v>
      </c>
      <c r="AN1231" t="s">
        <v>709</v>
      </c>
      <c r="AS1231">
        <v>0</v>
      </c>
      <c r="AT1231">
        <v>0</v>
      </c>
      <c r="AU1231">
        <v>0</v>
      </c>
      <c r="AY1231" t="s">
        <v>709</v>
      </c>
      <c r="BA1231" s="4" t="s">
        <v>6569</v>
      </c>
      <c r="BB1231" t="s">
        <v>5452</v>
      </c>
      <c r="BC1231" t="s">
        <v>116</v>
      </c>
      <c r="BD1231" t="s">
        <v>115</v>
      </c>
      <c r="BE1231" t="s">
        <v>1210</v>
      </c>
      <c r="BF1231" t="s">
        <v>115</v>
      </c>
      <c r="BG1231" t="s">
        <v>115</v>
      </c>
      <c r="BH1231" t="s">
        <v>6570</v>
      </c>
      <c r="BI1231" t="s">
        <v>116</v>
      </c>
      <c r="BJ1231" t="s">
        <v>709</v>
      </c>
      <c r="BK1231" t="s">
        <v>709</v>
      </c>
      <c r="BL1231" t="s">
        <v>709</v>
      </c>
      <c r="BM1231" t="s">
        <v>709</v>
      </c>
      <c r="BN1231" t="s">
        <v>116</v>
      </c>
      <c r="BO1231" t="s">
        <v>709</v>
      </c>
      <c r="BP1231" t="s">
        <v>709</v>
      </c>
      <c r="BQ1231" t="s">
        <v>116</v>
      </c>
      <c r="BR1231" t="s">
        <v>6571</v>
      </c>
      <c r="BS1231" t="s">
        <v>709</v>
      </c>
      <c r="BT1231" t="s">
        <v>709</v>
      </c>
      <c r="BU1231" t="s">
        <v>709</v>
      </c>
      <c r="BV1231" t="s">
        <v>709</v>
      </c>
      <c r="BW1231" t="s">
        <v>709</v>
      </c>
      <c r="BX1231" t="s">
        <v>709</v>
      </c>
      <c r="BY1231" t="s">
        <v>709</v>
      </c>
      <c r="BZ1231" t="s">
        <v>709</v>
      </c>
      <c r="CB1231">
        <v>1229</v>
      </c>
      <c r="CC1231" t="b">
        <v>1</v>
      </c>
      <c r="CD1231" t="s">
        <v>6572</v>
      </c>
      <c r="CE1231" s="1482">
        <v>45880.73914351852</v>
      </c>
    </row>
    <row r="1232" spans="1:83" ht="180" x14ac:dyDescent="0.25">
      <c r="A1232">
        <v>2024</v>
      </c>
      <c r="B1232" t="s">
        <v>4</v>
      </c>
      <c r="C1232" t="s">
        <v>6573</v>
      </c>
      <c r="D1232" t="s">
        <v>6574</v>
      </c>
      <c r="E1232" t="s">
        <v>1159</v>
      </c>
      <c r="F1232" t="s">
        <v>1102</v>
      </c>
      <c r="G1232" t="s">
        <v>28</v>
      </c>
      <c r="H1232" t="s">
        <v>59</v>
      </c>
      <c r="I1232">
        <v>45446</v>
      </c>
      <c r="J1232">
        <v>45569</v>
      </c>
      <c r="K1232">
        <v>45551</v>
      </c>
      <c r="L1232">
        <v>18</v>
      </c>
      <c r="N1232" t="s">
        <v>120</v>
      </c>
      <c r="O1232">
        <v>45559</v>
      </c>
      <c r="P1232" t="s">
        <v>739</v>
      </c>
      <c r="Q1232">
        <v>16432.713</v>
      </c>
      <c r="R1232">
        <v>0.1</v>
      </c>
      <c r="S1232" t="s">
        <v>29</v>
      </c>
      <c r="T1232" t="s">
        <v>29</v>
      </c>
      <c r="U1232" t="s">
        <v>29</v>
      </c>
      <c r="V1232">
        <v>291</v>
      </c>
      <c r="W1232">
        <v>0</v>
      </c>
      <c r="X1232">
        <v>114983.56</v>
      </c>
      <c r="Z1232">
        <v>49343.57</v>
      </c>
      <c r="AA1232">
        <v>164327.13</v>
      </c>
      <c r="AB1232">
        <v>45447</v>
      </c>
      <c r="AC1232" t="s">
        <v>709</v>
      </c>
      <c r="AD1232" t="s">
        <v>29</v>
      </c>
      <c r="AE1232" t="s">
        <v>116</v>
      </c>
      <c r="AF1232" t="s">
        <v>29</v>
      </c>
      <c r="AG1232" t="s">
        <v>376</v>
      </c>
      <c r="AH1232">
        <v>45580</v>
      </c>
      <c r="AI1232">
        <v>0</v>
      </c>
      <c r="AJ1232">
        <v>0</v>
      </c>
      <c r="AK1232">
        <v>0</v>
      </c>
      <c r="AL1232">
        <v>0</v>
      </c>
      <c r="AM1232" t="s">
        <v>116</v>
      </c>
      <c r="AN1232" t="s">
        <v>709</v>
      </c>
      <c r="AS1232">
        <v>0</v>
      </c>
      <c r="AT1232">
        <v>0</v>
      </c>
      <c r="AU1232">
        <v>0</v>
      </c>
      <c r="AY1232" t="s">
        <v>709</v>
      </c>
      <c r="BA1232" s="4" t="s">
        <v>6575</v>
      </c>
      <c r="BB1232" t="s">
        <v>5452</v>
      </c>
      <c r="BC1232" t="s">
        <v>116</v>
      </c>
      <c r="BD1232" t="s">
        <v>115</v>
      </c>
      <c r="BE1232" t="s">
        <v>1210</v>
      </c>
      <c r="BF1232" t="s">
        <v>115</v>
      </c>
      <c r="BG1232" t="s">
        <v>115</v>
      </c>
      <c r="BH1232" t="s">
        <v>6576</v>
      </c>
      <c r="BI1232" t="s">
        <v>709</v>
      </c>
      <c r="BJ1232" t="s">
        <v>709</v>
      </c>
      <c r="BK1232" t="s">
        <v>709</v>
      </c>
      <c r="BL1232" t="s">
        <v>116</v>
      </c>
      <c r="BM1232" t="s">
        <v>709</v>
      </c>
      <c r="BN1232" t="s">
        <v>709</v>
      </c>
      <c r="BO1232" t="s">
        <v>709</v>
      </c>
      <c r="BP1232" t="s">
        <v>709</v>
      </c>
      <c r="BQ1232" t="s">
        <v>709</v>
      </c>
      <c r="BR1232" t="s">
        <v>116</v>
      </c>
      <c r="BS1232" t="s">
        <v>709</v>
      </c>
      <c r="BT1232" t="s">
        <v>709</v>
      </c>
      <c r="BU1232" t="s">
        <v>709</v>
      </c>
      <c r="BV1232" t="s">
        <v>709</v>
      </c>
      <c r="BW1232" t="s">
        <v>709</v>
      </c>
      <c r="BX1232" t="s">
        <v>709</v>
      </c>
      <c r="BY1232" t="s">
        <v>709</v>
      </c>
      <c r="BZ1232" t="s">
        <v>709</v>
      </c>
      <c r="CB1232">
        <v>1230</v>
      </c>
      <c r="CC1232" t="b">
        <v>1</v>
      </c>
      <c r="CD1232" t="s">
        <v>6577</v>
      </c>
      <c r="CE1232" s="1482">
        <v>45880.73914351852</v>
      </c>
    </row>
    <row r="1233" spans="1:83" ht="240" x14ac:dyDescent="0.25">
      <c r="A1233">
        <v>2024</v>
      </c>
      <c r="B1233" t="s">
        <v>4</v>
      </c>
      <c r="C1233" t="s">
        <v>6578</v>
      </c>
      <c r="D1233" t="s">
        <v>115</v>
      </c>
      <c r="E1233" t="s">
        <v>2032</v>
      </c>
      <c r="F1233" t="s">
        <v>851</v>
      </c>
      <c r="G1233" t="s">
        <v>27</v>
      </c>
      <c r="H1233" t="s">
        <v>1903</v>
      </c>
      <c r="I1233">
        <v>45516</v>
      </c>
      <c r="J1233">
        <v>45572</v>
      </c>
      <c r="K1233">
        <v>45552</v>
      </c>
      <c r="L1233">
        <v>20</v>
      </c>
      <c r="N1233" t="s">
        <v>120</v>
      </c>
      <c r="O1233">
        <v>45566</v>
      </c>
      <c r="P1233" t="s">
        <v>739</v>
      </c>
      <c r="Q1233" t="s">
        <v>115</v>
      </c>
      <c r="R1233" t="s">
        <v>115</v>
      </c>
      <c r="S1233" t="s">
        <v>29</v>
      </c>
      <c r="T1233" t="s">
        <v>29</v>
      </c>
      <c r="U1233" t="s">
        <v>29</v>
      </c>
      <c r="V1233" t="s">
        <v>29</v>
      </c>
      <c r="W1233" t="s">
        <v>29</v>
      </c>
      <c r="X1233" t="s">
        <v>29</v>
      </c>
      <c r="Y1233" t="s">
        <v>29</v>
      </c>
      <c r="Z1233" t="s">
        <v>29</v>
      </c>
      <c r="AA1233" t="s">
        <v>29</v>
      </c>
      <c r="AB1233" t="s">
        <v>29</v>
      </c>
      <c r="AC1233" t="s">
        <v>29</v>
      </c>
      <c r="AD1233" t="s">
        <v>29</v>
      </c>
      <c r="AE1233" t="s">
        <v>756</v>
      </c>
      <c r="AF1233" t="s">
        <v>756</v>
      </c>
      <c r="AG1233" t="s">
        <v>29</v>
      </c>
      <c r="AH1233">
        <v>45609</v>
      </c>
      <c r="AI1233" t="s">
        <v>29</v>
      </c>
      <c r="AJ1233" t="s">
        <v>29</v>
      </c>
      <c r="AK1233" t="s">
        <v>29</v>
      </c>
      <c r="AL1233" t="s">
        <v>29</v>
      </c>
      <c r="AM1233" t="s">
        <v>709</v>
      </c>
      <c r="AY1233" t="s">
        <v>29</v>
      </c>
      <c r="BA1233" s="4" t="s">
        <v>6579</v>
      </c>
      <c r="BB1233" t="s">
        <v>870</v>
      </c>
      <c r="BC1233" t="s">
        <v>709</v>
      </c>
      <c r="BD1233" t="s">
        <v>709</v>
      </c>
      <c r="BE1233" t="s">
        <v>709</v>
      </c>
      <c r="BF1233" t="s">
        <v>709</v>
      </c>
      <c r="BG1233" t="s">
        <v>709</v>
      </c>
      <c r="BH1233" t="s">
        <v>6580</v>
      </c>
      <c r="CB1233">
        <v>1231</v>
      </c>
      <c r="CC1233" t="b">
        <v>1</v>
      </c>
      <c r="CD1233" t="s">
        <v>6581</v>
      </c>
      <c r="CE1233" s="1482">
        <v>45880.739155092589</v>
      </c>
    </row>
    <row r="1234" spans="1:83" x14ac:dyDescent="0.25">
      <c r="A1234">
        <v>2024</v>
      </c>
      <c r="B1234" t="s">
        <v>733</v>
      </c>
      <c r="C1234" t="s">
        <v>6323</v>
      </c>
      <c r="D1234" t="s">
        <v>6324</v>
      </c>
      <c r="E1234" t="s">
        <v>426</v>
      </c>
      <c r="F1234" t="s">
        <v>752</v>
      </c>
      <c r="G1234" t="s">
        <v>4770</v>
      </c>
      <c r="H1234" t="s">
        <v>4189</v>
      </c>
      <c r="I1234">
        <v>45546</v>
      </c>
      <c r="J1234" t="s">
        <v>2052</v>
      </c>
      <c r="K1234">
        <v>45553</v>
      </c>
      <c r="L1234">
        <v>7</v>
      </c>
      <c r="M1234" t="s">
        <v>6582</v>
      </c>
      <c r="N1234" t="s">
        <v>120</v>
      </c>
      <c r="O1234">
        <v>45620</v>
      </c>
      <c r="P1234" t="s">
        <v>120</v>
      </c>
      <c r="Q1234">
        <v>1867.5</v>
      </c>
      <c r="R1234" t="s">
        <v>1922</v>
      </c>
      <c r="S1234">
        <v>0</v>
      </c>
      <c r="T1234">
        <v>0</v>
      </c>
      <c r="U1234">
        <v>1867.5</v>
      </c>
      <c r="V1234">
        <v>21</v>
      </c>
      <c r="W1234">
        <v>1</v>
      </c>
      <c r="X1234" t="s">
        <v>29</v>
      </c>
      <c r="Z1234" t="s">
        <v>29</v>
      </c>
      <c r="AA1234" t="s">
        <v>29</v>
      </c>
      <c r="AB1234" t="s">
        <v>29</v>
      </c>
      <c r="AC1234" t="s">
        <v>29</v>
      </c>
      <c r="AD1234" t="s">
        <v>116</v>
      </c>
      <c r="AE1234" t="s">
        <v>116</v>
      </c>
      <c r="AF1234" t="s">
        <v>116</v>
      </c>
      <c r="AG1234" t="s">
        <v>29</v>
      </c>
      <c r="AH1234" t="s">
        <v>376</v>
      </c>
      <c r="AI1234" t="s">
        <v>29</v>
      </c>
      <c r="AJ1234" t="s">
        <v>29</v>
      </c>
      <c r="AK1234" t="s">
        <v>29</v>
      </c>
      <c r="AL1234" t="s">
        <v>29</v>
      </c>
      <c r="AM1234" t="s">
        <v>709</v>
      </c>
      <c r="AY1234" t="s">
        <v>29</v>
      </c>
      <c r="BA1234">
        <v>3</v>
      </c>
      <c r="BB1234" t="s">
        <v>29</v>
      </c>
      <c r="BC1234" t="s">
        <v>709</v>
      </c>
      <c r="BD1234" t="s">
        <v>882</v>
      </c>
      <c r="BE1234" t="s">
        <v>709</v>
      </c>
      <c r="BF1234" t="s">
        <v>709</v>
      </c>
      <c r="BG1234" t="s">
        <v>709</v>
      </c>
      <c r="BH1234" t="s">
        <v>6441</v>
      </c>
      <c r="BI1234" t="s">
        <v>709</v>
      </c>
      <c r="BJ1234" t="s">
        <v>709</v>
      </c>
      <c r="BK1234" t="s">
        <v>116</v>
      </c>
      <c r="BL1234" t="s">
        <v>116</v>
      </c>
      <c r="BM1234" t="s">
        <v>709</v>
      </c>
      <c r="BN1234" t="s">
        <v>709</v>
      </c>
      <c r="BO1234" t="s">
        <v>709</v>
      </c>
      <c r="BP1234" t="s">
        <v>709</v>
      </c>
      <c r="BQ1234">
        <v>21</v>
      </c>
      <c r="BR1234" t="s">
        <v>709</v>
      </c>
      <c r="BS1234" t="s">
        <v>709</v>
      </c>
      <c r="BT1234" t="s">
        <v>709</v>
      </c>
      <c r="BU1234" t="s">
        <v>709</v>
      </c>
      <c r="BV1234" t="s">
        <v>709</v>
      </c>
      <c r="BW1234" t="s">
        <v>709</v>
      </c>
      <c r="BX1234">
        <v>1</v>
      </c>
      <c r="BY1234" t="s">
        <v>709</v>
      </c>
      <c r="BZ1234" t="s">
        <v>709</v>
      </c>
      <c r="CB1234">
        <v>1232</v>
      </c>
      <c r="CC1234" t="b">
        <v>1</v>
      </c>
      <c r="CD1234" t="s">
        <v>6583</v>
      </c>
      <c r="CE1234" s="1482">
        <v>45880.739155092589</v>
      </c>
    </row>
    <row r="1235" spans="1:83" ht="409.5" x14ac:dyDescent="0.25">
      <c r="A1235">
        <v>2023</v>
      </c>
      <c r="B1235" t="s">
        <v>4</v>
      </c>
      <c r="C1235" t="s">
        <v>380</v>
      </c>
      <c r="D1235" t="s">
        <v>5695</v>
      </c>
      <c r="E1235" t="s">
        <v>111</v>
      </c>
      <c r="F1235" t="s">
        <v>784</v>
      </c>
      <c r="G1235" t="s">
        <v>27</v>
      </c>
      <c r="H1235" t="s">
        <v>2724</v>
      </c>
      <c r="I1235">
        <v>45168</v>
      </c>
      <c r="J1235" t="s">
        <v>4110</v>
      </c>
      <c r="K1235">
        <v>45554</v>
      </c>
      <c r="L1235">
        <v>386</v>
      </c>
      <c r="M1235" t="s">
        <v>6584</v>
      </c>
      <c r="N1235" t="s">
        <v>120</v>
      </c>
      <c r="O1235">
        <v>45566</v>
      </c>
      <c r="P1235" t="s">
        <v>739</v>
      </c>
      <c r="Q1235">
        <v>16237.5</v>
      </c>
      <c r="R1235" t="s">
        <v>1922</v>
      </c>
      <c r="S1235">
        <v>0</v>
      </c>
      <c r="T1235">
        <v>0</v>
      </c>
      <c r="U1235">
        <v>16237.5</v>
      </c>
      <c r="V1235" t="s">
        <v>29</v>
      </c>
      <c r="W1235" t="s">
        <v>29</v>
      </c>
      <c r="X1235" t="s">
        <v>29</v>
      </c>
      <c r="Z1235" t="s">
        <v>29</v>
      </c>
      <c r="AA1235" t="s">
        <v>29</v>
      </c>
      <c r="AB1235" t="s">
        <v>29</v>
      </c>
      <c r="AC1235" t="s">
        <v>29</v>
      </c>
      <c r="AD1235" t="s">
        <v>29</v>
      </c>
      <c r="AE1235" t="s">
        <v>756</v>
      </c>
      <c r="AF1235" t="s">
        <v>116</v>
      </c>
      <c r="AG1235" t="s">
        <v>29</v>
      </c>
      <c r="AH1235" t="s">
        <v>29</v>
      </c>
      <c r="AI1235" t="s">
        <v>29</v>
      </c>
      <c r="AJ1235" t="s">
        <v>29</v>
      </c>
      <c r="AK1235" t="s">
        <v>29</v>
      </c>
      <c r="AL1235" t="s">
        <v>29</v>
      </c>
      <c r="AM1235" t="s">
        <v>709</v>
      </c>
      <c r="AY1235" t="s">
        <v>29</v>
      </c>
      <c r="BA1235" t="s">
        <v>29</v>
      </c>
      <c r="BB1235" s="4" t="s">
        <v>6585</v>
      </c>
      <c r="BC1235" t="s">
        <v>6586</v>
      </c>
      <c r="BD1235" t="s">
        <v>709</v>
      </c>
      <c r="BE1235" t="s">
        <v>1114</v>
      </c>
      <c r="BF1235" t="s">
        <v>709</v>
      </c>
      <c r="BG1235" t="s">
        <v>709</v>
      </c>
      <c r="BH1235" t="s">
        <v>6587</v>
      </c>
      <c r="CB1235">
        <v>1233</v>
      </c>
      <c r="CC1235" t="b">
        <v>1</v>
      </c>
      <c r="CD1235" t="s">
        <v>6588</v>
      </c>
      <c r="CE1235" s="1482">
        <v>45880.739166666666</v>
      </c>
    </row>
    <row r="1236" spans="1:83" x14ac:dyDescent="0.25">
      <c r="A1236">
        <v>2024</v>
      </c>
      <c r="B1236" t="s">
        <v>4</v>
      </c>
      <c r="C1236" t="s">
        <v>6193</v>
      </c>
      <c r="D1236" t="s">
        <v>1715</v>
      </c>
      <c r="E1236" t="s">
        <v>1716</v>
      </c>
      <c r="F1236" t="s">
        <v>784</v>
      </c>
      <c r="G1236" t="s">
        <v>26</v>
      </c>
      <c r="H1236" t="s">
        <v>4001</v>
      </c>
      <c r="I1236">
        <v>45505</v>
      </c>
      <c r="J1236" t="s">
        <v>2052</v>
      </c>
      <c r="K1236">
        <v>45555</v>
      </c>
      <c r="L1236">
        <v>50</v>
      </c>
      <c r="M1236" t="s">
        <v>6589</v>
      </c>
      <c r="N1236" t="s">
        <v>120</v>
      </c>
      <c r="O1236">
        <v>45620</v>
      </c>
      <c r="P1236" t="s">
        <v>739</v>
      </c>
      <c r="Q1236">
        <v>9792.5</v>
      </c>
      <c r="R1236" t="s">
        <v>1922</v>
      </c>
      <c r="S1236">
        <v>0</v>
      </c>
      <c r="T1236">
        <v>0</v>
      </c>
      <c r="U1236">
        <v>9792.5</v>
      </c>
      <c r="V1236" t="s">
        <v>29</v>
      </c>
      <c r="W1236" t="s">
        <v>29</v>
      </c>
      <c r="X1236" t="s">
        <v>29</v>
      </c>
      <c r="Z1236" t="s">
        <v>29</v>
      </c>
      <c r="AA1236" t="s">
        <v>29</v>
      </c>
      <c r="AB1236" t="s">
        <v>29</v>
      </c>
      <c r="AC1236" t="s">
        <v>29</v>
      </c>
      <c r="AD1236" t="s">
        <v>116</v>
      </c>
      <c r="AE1236" t="s">
        <v>116</v>
      </c>
      <c r="AF1236" t="s">
        <v>116</v>
      </c>
      <c r="AG1236" t="s">
        <v>29</v>
      </c>
      <c r="AH1236">
        <v>45580</v>
      </c>
      <c r="AI1236" t="s">
        <v>29</v>
      </c>
      <c r="AJ1236">
        <v>3500</v>
      </c>
      <c r="AK1236" t="s">
        <v>29</v>
      </c>
      <c r="AL1236" t="s">
        <v>29</v>
      </c>
      <c r="AM1236" t="s">
        <v>709</v>
      </c>
      <c r="AY1236" t="s">
        <v>29</v>
      </c>
      <c r="BA1236">
        <v>3</v>
      </c>
      <c r="BB1236" t="s">
        <v>6590</v>
      </c>
      <c r="BC1236" t="s">
        <v>709</v>
      </c>
      <c r="BD1236" t="s">
        <v>882</v>
      </c>
      <c r="BE1236" t="s">
        <v>1719</v>
      </c>
      <c r="BF1236" t="s">
        <v>709</v>
      </c>
      <c r="BG1236" t="s">
        <v>709</v>
      </c>
      <c r="BH1236" t="s">
        <v>6591</v>
      </c>
      <c r="BI1236" t="s">
        <v>709</v>
      </c>
      <c r="BJ1236" t="s">
        <v>709</v>
      </c>
      <c r="BK1236" t="s">
        <v>709</v>
      </c>
      <c r="BL1236" t="s">
        <v>116</v>
      </c>
      <c r="BM1236" t="s">
        <v>709</v>
      </c>
      <c r="BN1236" t="s">
        <v>709</v>
      </c>
      <c r="BO1236" t="s">
        <v>709</v>
      </c>
      <c r="BP1236" t="s">
        <v>709</v>
      </c>
      <c r="BQ1236" t="s">
        <v>709</v>
      </c>
      <c r="BR1236">
        <v>2942</v>
      </c>
      <c r="BS1236">
        <v>693</v>
      </c>
      <c r="BT1236" t="s">
        <v>709</v>
      </c>
      <c r="BU1236" t="s">
        <v>709</v>
      </c>
      <c r="BV1236" t="s">
        <v>709</v>
      </c>
      <c r="BW1236" t="s">
        <v>709</v>
      </c>
      <c r="BX1236" t="s">
        <v>709</v>
      </c>
      <c r="BY1236" t="s">
        <v>709</v>
      </c>
      <c r="BZ1236" t="s">
        <v>709</v>
      </c>
      <c r="CB1236">
        <v>1234</v>
      </c>
      <c r="CC1236" t="b">
        <v>1</v>
      </c>
      <c r="CD1236" t="s">
        <v>6592</v>
      </c>
      <c r="CE1236" s="1482">
        <v>45880.739166666666</v>
      </c>
    </row>
    <row r="1237" spans="1:83" x14ac:dyDescent="0.25">
      <c r="A1237">
        <v>2024</v>
      </c>
      <c r="B1237" t="s">
        <v>4</v>
      </c>
      <c r="C1237" t="s">
        <v>6492</v>
      </c>
      <c r="D1237">
        <v>1213713</v>
      </c>
      <c r="E1237" t="s">
        <v>108</v>
      </c>
      <c r="F1237" t="s">
        <v>784</v>
      </c>
      <c r="G1237" t="s">
        <v>32</v>
      </c>
      <c r="H1237" t="s">
        <v>4189</v>
      </c>
      <c r="I1237">
        <v>45552</v>
      </c>
      <c r="J1237" t="s">
        <v>2052</v>
      </c>
      <c r="K1237">
        <v>45559</v>
      </c>
      <c r="L1237">
        <v>7</v>
      </c>
      <c r="M1237" t="s">
        <v>6593</v>
      </c>
      <c r="N1237" t="s">
        <v>120</v>
      </c>
      <c r="O1237">
        <v>45566</v>
      </c>
      <c r="P1237" t="s">
        <v>739</v>
      </c>
      <c r="Q1237">
        <v>2985</v>
      </c>
      <c r="R1237" t="s">
        <v>1922</v>
      </c>
      <c r="S1237">
        <v>0</v>
      </c>
      <c r="T1237">
        <v>0</v>
      </c>
      <c r="U1237">
        <v>2985</v>
      </c>
      <c r="V1237" t="s">
        <v>29</v>
      </c>
      <c r="W1237" t="s">
        <v>29</v>
      </c>
      <c r="X1237" t="s">
        <v>29</v>
      </c>
      <c r="Y1237" t="s">
        <v>29</v>
      </c>
      <c r="Z1237" t="s">
        <v>29</v>
      </c>
      <c r="AA1237" t="s">
        <v>29</v>
      </c>
      <c r="AB1237" t="s">
        <v>29</v>
      </c>
      <c r="AC1237" t="s">
        <v>709</v>
      </c>
      <c r="AD1237" t="s">
        <v>116</v>
      </c>
      <c r="AE1237" t="s">
        <v>116</v>
      </c>
      <c r="AF1237" t="s">
        <v>756</v>
      </c>
      <c r="AG1237" t="s">
        <v>29</v>
      </c>
      <c r="AH1237">
        <v>45609</v>
      </c>
      <c r="AI1237" t="s">
        <v>29</v>
      </c>
      <c r="AJ1237" t="s">
        <v>29</v>
      </c>
      <c r="AK1237" t="s">
        <v>29</v>
      </c>
      <c r="AL1237" t="s">
        <v>29</v>
      </c>
      <c r="AM1237" t="s">
        <v>709</v>
      </c>
      <c r="AY1237" t="s">
        <v>29</v>
      </c>
      <c r="BA1237">
        <v>4</v>
      </c>
      <c r="BB1237" t="s">
        <v>6594</v>
      </c>
      <c r="BC1237" t="s">
        <v>116</v>
      </c>
      <c r="BD1237" t="s">
        <v>709</v>
      </c>
      <c r="BE1237" t="s">
        <v>1569</v>
      </c>
      <c r="BF1237" t="s">
        <v>709</v>
      </c>
      <c r="BG1237" t="s">
        <v>709</v>
      </c>
      <c r="BH1237" t="s">
        <v>6595</v>
      </c>
      <c r="BI1237" t="s">
        <v>709</v>
      </c>
      <c r="BJ1237" t="s">
        <v>709</v>
      </c>
      <c r="BK1237" t="s">
        <v>709</v>
      </c>
      <c r="BL1237" t="s">
        <v>116</v>
      </c>
      <c r="BM1237">
        <v>0</v>
      </c>
      <c r="BN1237">
        <v>0</v>
      </c>
      <c r="BO1237">
        <v>0</v>
      </c>
      <c r="BP1237">
        <v>149</v>
      </c>
      <c r="BQ1237">
        <v>0</v>
      </c>
      <c r="BR1237">
        <v>0</v>
      </c>
      <c r="BS1237">
        <v>0</v>
      </c>
      <c r="BT1237">
        <v>0</v>
      </c>
      <c r="BU1237">
        <v>0</v>
      </c>
      <c r="BV1237">
        <v>0</v>
      </c>
      <c r="BW1237">
        <v>0</v>
      </c>
      <c r="BX1237">
        <v>0</v>
      </c>
      <c r="BY1237">
        <v>0</v>
      </c>
      <c r="BZ1237" t="s">
        <v>709</v>
      </c>
      <c r="CA1237" t="s">
        <v>6596</v>
      </c>
      <c r="CB1237">
        <v>1236</v>
      </c>
      <c r="CC1237" t="b">
        <v>1</v>
      </c>
      <c r="CD1237" t="s">
        <v>6597</v>
      </c>
      <c r="CE1237" s="1482">
        <v>45880.739166666666</v>
      </c>
    </row>
    <row r="1238" spans="1:83" x14ac:dyDescent="0.25">
      <c r="A1238">
        <v>2024</v>
      </c>
      <c r="B1238" t="s">
        <v>4</v>
      </c>
      <c r="C1238" t="s">
        <v>6598</v>
      </c>
      <c r="D1238" t="s">
        <v>6599</v>
      </c>
      <c r="E1238" t="s">
        <v>2945</v>
      </c>
      <c r="F1238" t="s">
        <v>1102</v>
      </c>
      <c r="G1238" t="s">
        <v>26</v>
      </c>
      <c r="H1238" t="s">
        <v>59</v>
      </c>
      <c r="I1238">
        <v>45517</v>
      </c>
      <c r="J1238">
        <v>45559</v>
      </c>
      <c r="K1238">
        <v>45559</v>
      </c>
      <c r="L1238">
        <v>0</v>
      </c>
      <c r="M1238" t="s">
        <v>6600</v>
      </c>
      <c r="N1238" t="s">
        <v>120</v>
      </c>
      <c r="O1238">
        <v>45566</v>
      </c>
      <c r="P1238" t="s">
        <v>739</v>
      </c>
      <c r="Q1238">
        <v>4493.09</v>
      </c>
      <c r="R1238" t="s">
        <v>1922</v>
      </c>
      <c r="S1238" t="s">
        <v>29</v>
      </c>
      <c r="T1238">
        <v>445.59</v>
      </c>
      <c r="U1238">
        <v>4047.5</v>
      </c>
      <c r="V1238" t="s">
        <v>29</v>
      </c>
      <c r="W1238" t="s">
        <v>29</v>
      </c>
      <c r="X1238" t="s">
        <v>29</v>
      </c>
      <c r="Y1238" t="s">
        <v>29</v>
      </c>
      <c r="Z1238" t="s">
        <v>29</v>
      </c>
      <c r="AA1238" t="s">
        <v>29</v>
      </c>
      <c r="AB1238" t="s">
        <v>29</v>
      </c>
      <c r="AC1238" t="s">
        <v>29</v>
      </c>
      <c r="AD1238" t="s">
        <v>29</v>
      </c>
      <c r="AE1238" t="s">
        <v>116</v>
      </c>
      <c r="AF1238" t="s">
        <v>29</v>
      </c>
      <c r="AG1238" t="s">
        <v>29</v>
      </c>
      <c r="AH1238">
        <v>45580</v>
      </c>
      <c r="AI1238" t="s">
        <v>29</v>
      </c>
      <c r="AJ1238">
        <v>445.59</v>
      </c>
      <c r="AK1238" t="s">
        <v>29</v>
      </c>
      <c r="AL1238">
        <v>9.9172284552501724E-2</v>
      </c>
      <c r="AM1238" t="s">
        <v>709</v>
      </c>
      <c r="AY1238" t="s">
        <v>29</v>
      </c>
      <c r="BA1238" t="s">
        <v>6601</v>
      </c>
      <c r="BB1238" t="s">
        <v>6602</v>
      </c>
      <c r="BC1238" t="s">
        <v>115</v>
      </c>
      <c r="BD1238" t="s">
        <v>115</v>
      </c>
      <c r="BE1238" t="s">
        <v>6603</v>
      </c>
      <c r="BF1238" t="s">
        <v>115</v>
      </c>
      <c r="BG1238" t="s">
        <v>115</v>
      </c>
      <c r="BH1238" t="s">
        <v>6604</v>
      </c>
      <c r="BI1238" t="s">
        <v>709</v>
      </c>
      <c r="BJ1238" t="s">
        <v>709</v>
      </c>
      <c r="BK1238" t="s">
        <v>709</v>
      </c>
      <c r="BL1238" t="s">
        <v>116</v>
      </c>
      <c r="BM1238" t="s">
        <v>709</v>
      </c>
      <c r="BN1238" t="s">
        <v>709</v>
      </c>
      <c r="BO1238" t="s">
        <v>709</v>
      </c>
      <c r="BP1238" t="s">
        <v>709</v>
      </c>
      <c r="BQ1238" t="s">
        <v>709</v>
      </c>
      <c r="BR1238" t="s">
        <v>709</v>
      </c>
      <c r="BS1238" t="s">
        <v>709</v>
      </c>
      <c r="BT1238" t="s">
        <v>709</v>
      </c>
      <c r="BU1238" t="s">
        <v>709</v>
      </c>
      <c r="BV1238" t="s">
        <v>709</v>
      </c>
      <c r="BW1238" t="s">
        <v>709</v>
      </c>
      <c r="BX1238" t="s">
        <v>709</v>
      </c>
      <c r="BY1238" t="s">
        <v>709</v>
      </c>
      <c r="BZ1238" t="s">
        <v>709</v>
      </c>
      <c r="CB1238">
        <v>1235</v>
      </c>
      <c r="CC1238" t="b">
        <v>1</v>
      </c>
      <c r="CD1238" t="s">
        <v>6605</v>
      </c>
      <c r="CE1238" s="1482">
        <v>45880.739178240743</v>
      </c>
    </row>
    <row r="1239" spans="1:83" ht="255" x14ac:dyDescent="0.25">
      <c r="A1239">
        <v>2024</v>
      </c>
      <c r="B1239" t="s">
        <v>4</v>
      </c>
      <c r="C1239" t="s">
        <v>6606</v>
      </c>
      <c r="D1239" t="s">
        <v>6607</v>
      </c>
      <c r="E1239" t="s">
        <v>149</v>
      </c>
      <c r="F1239" t="s">
        <v>784</v>
      </c>
      <c r="G1239" t="s">
        <v>26</v>
      </c>
      <c r="H1239" t="s">
        <v>59</v>
      </c>
      <c r="I1239">
        <v>45380</v>
      </c>
      <c r="J1239">
        <v>45566</v>
      </c>
      <c r="K1239">
        <v>45565</v>
      </c>
      <c r="L1239">
        <v>1</v>
      </c>
      <c r="N1239" t="s">
        <v>120</v>
      </c>
      <c r="O1239">
        <v>45566</v>
      </c>
      <c r="P1239" t="s">
        <v>739</v>
      </c>
      <c r="Q1239">
        <v>88481.532000000007</v>
      </c>
      <c r="R1239">
        <v>0.1</v>
      </c>
      <c r="S1239" t="s">
        <v>29</v>
      </c>
      <c r="T1239" t="s">
        <v>29</v>
      </c>
      <c r="U1239" t="s">
        <v>29</v>
      </c>
      <c r="V1239">
        <v>939</v>
      </c>
      <c r="W1239" t="s">
        <v>29</v>
      </c>
      <c r="X1239">
        <v>849401.39</v>
      </c>
      <c r="Z1239">
        <v>35413.93</v>
      </c>
      <c r="AA1239">
        <v>884815.32</v>
      </c>
      <c r="AB1239">
        <v>45568</v>
      </c>
      <c r="AC1239" t="s">
        <v>29</v>
      </c>
      <c r="AD1239" t="s">
        <v>29</v>
      </c>
      <c r="AE1239" t="s">
        <v>116</v>
      </c>
      <c r="AF1239" t="s">
        <v>756</v>
      </c>
      <c r="AG1239" t="s">
        <v>376</v>
      </c>
      <c r="AH1239">
        <v>45580</v>
      </c>
      <c r="AI1239">
        <v>16050</v>
      </c>
      <c r="AJ1239">
        <v>8750</v>
      </c>
      <c r="AK1239">
        <v>9150.75</v>
      </c>
      <c r="AL1239">
        <v>0.38370436443166467</v>
      </c>
      <c r="AM1239" t="s">
        <v>116</v>
      </c>
      <c r="AN1239" t="s">
        <v>709</v>
      </c>
      <c r="AS1239">
        <v>0</v>
      </c>
      <c r="AT1239">
        <v>0</v>
      </c>
      <c r="AU1239">
        <v>0</v>
      </c>
      <c r="AY1239" t="s">
        <v>709</v>
      </c>
      <c r="BA1239" s="4" t="s">
        <v>6608</v>
      </c>
      <c r="BB1239" t="s">
        <v>5572</v>
      </c>
      <c r="BC1239" t="s">
        <v>115</v>
      </c>
      <c r="BD1239" t="s">
        <v>115</v>
      </c>
      <c r="BE1239" t="s">
        <v>5573</v>
      </c>
      <c r="BF1239" t="s">
        <v>115</v>
      </c>
      <c r="BG1239" t="s">
        <v>115</v>
      </c>
      <c r="BH1239" t="s">
        <v>6609</v>
      </c>
      <c r="BI1239" t="s">
        <v>709</v>
      </c>
      <c r="BJ1239" t="s">
        <v>709</v>
      </c>
      <c r="BK1239" t="s">
        <v>116</v>
      </c>
      <c r="BL1239" t="s">
        <v>709</v>
      </c>
      <c r="BM1239" t="s">
        <v>709</v>
      </c>
      <c r="BN1239" t="s">
        <v>709</v>
      </c>
      <c r="BO1239" t="s">
        <v>709</v>
      </c>
      <c r="BP1239" t="s">
        <v>709</v>
      </c>
      <c r="BQ1239">
        <v>939</v>
      </c>
      <c r="BR1239" t="s">
        <v>709</v>
      </c>
      <c r="BS1239" t="s">
        <v>709</v>
      </c>
      <c r="BT1239" t="s">
        <v>745</v>
      </c>
      <c r="BU1239" t="s">
        <v>709</v>
      </c>
      <c r="BV1239" t="s">
        <v>745</v>
      </c>
      <c r="BW1239" t="s">
        <v>709</v>
      </c>
      <c r="BX1239" t="s">
        <v>745</v>
      </c>
      <c r="BY1239" t="s">
        <v>745</v>
      </c>
      <c r="BZ1239" t="s">
        <v>709</v>
      </c>
      <c r="CB1239">
        <v>1237</v>
      </c>
      <c r="CC1239" t="b">
        <v>1</v>
      </c>
      <c r="CD1239" t="s">
        <v>6610</v>
      </c>
      <c r="CE1239" s="1482">
        <v>45880.739178240743</v>
      </c>
    </row>
    <row r="1240" spans="1:83" x14ac:dyDescent="0.25">
      <c r="A1240">
        <v>2023</v>
      </c>
      <c r="B1240" t="s">
        <v>759</v>
      </c>
      <c r="C1240" t="s">
        <v>1566</v>
      </c>
      <c r="D1240" t="s">
        <v>4367</v>
      </c>
      <c r="E1240" t="s">
        <v>3315</v>
      </c>
      <c r="F1240" t="s">
        <v>752</v>
      </c>
      <c r="G1240" t="s">
        <v>4770</v>
      </c>
      <c r="H1240" t="s">
        <v>4001</v>
      </c>
      <c r="I1240">
        <v>45540</v>
      </c>
      <c r="J1240" t="s">
        <v>2052</v>
      </c>
      <c r="K1240">
        <v>45567</v>
      </c>
      <c r="L1240">
        <v>27</v>
      </c>
      <c r="M1240" t="s">
        <v>6611</v>
      </c>
      <c r="N1240" t="s">
        <v>120</v>
      </c>
      <c r="O1240">
        <v>45566</v>
      </c>
      <c r="P1240" t="s">
        <v>120</v>
      </c>
      <c r="Q1240">
        <v>11340</v>
      </c>
      <c r="R1240" t="s">
        <v>1922</v>
      </c>
      <c r="S1240">
        <v>0</v>
      </c>
      <c r="T1240">
        <v>0</v>
      </c>
      <c r="U1240">
        <v>11340</v>
      </c>
      <c r="V1240" t="s">
        <v>29</v>
      </c>
      <c r="W1240" t="s">
        <v>29</v>
      </c>
      <c r="X1240" t="s">
        <v>29</v>
      </c>
      <c r="Y1240" t="s">
        <v>29</v>
      </c>
      <c r="Z1240" t="s">
        <v>29</v>
      </c>
      <c r="AA1240" t="s">
        <v>29</v>
      </c>
      <c r="AB1240" t="s">
        <v>29</v>
      </c>
      <c r="AC1240" t="s">
        <v>29</v>
      </c>
      <c r="AD1240" t="s">
        <v>29</v>
      </c>
      <c r="AE1240" t="s">
        <v>756</v>
      </c>
      <c r="AF1240" t="s">
        <v>756</v>
      </c>
      <c r="AG1240" t="s">
        <v>29</v>
      </c>
      <c r="AH1240" t="s">
        <v>376</v>
      </c>
      <c r="AI1240" t="s">
        <v>29</v>
      </c>
      <c r="AJ1240" t="s">
        <v>29</v>
      </c>
      <c r="AK1240" t="s">
        <v>29</v>
      </c>
      <c r="AL1240" t="s">
        <v>29</v>
      </c>
      <c r="AM1240" t="s">
        <v>709</v>
      </c>
      <c r="AY1240" t="s">
        <v>29</v>
      </c>
      <c r="BA1240">
        <v>7</v>
      </c>
      <c r="BB1240" t="s">
        <v>6612</v>
      </c>
      <c r="BC1240" t="s">
        <v>116</v>
      </c>
      <c r="BD1240" t="s">
        <v>709</v>
      </c>
      <c r="BE1240" t="s">
        <v>1569</v>
      </c>
      <c r="BF1240" t="s">
        <v>3319</v>
      </c>
      <c r="BG1240" t="s">
        <v>709</v>
      </c>
      <c r="BH1240" t="s">
        <v>6613</v>
      </c>
      <c r="BI1240" t="s">
        <v>709</v>
      </c>
      <c r="BJ1240" t="s">
        <v>709</v>
      </c>
      <c r="BK1240" t="s">
        <v>709</v>
      </c>
      <c r="BL1240" t="s">
        <v>116</v>
      </c>
      <c r="BM1240" t="s">
        <v>709</v>
      </c>
      <c r="BN1240" t="s">
        <v>709</v>
      </c>
      <c r="BO1240" t="s">
        <v>709</v>
      </c>
      <c r="BP1240" t="s">
        <v>709</v>
      </c>
      <c r="BQ1240">
        <v>3873</v>
      </c>
      <c r="BR1240">
        <v>95</v>
      </c>
      <c r="BS1240">
        <v>632</v>
      </c>
      <c r="BT1240">
        <v>1</v>
      </c>
      <c r="BU1240" t="s">
        <v>709</v>
      </c>
      <c r="BV1240" t="s">
        <v>745</v>
      </c>
      <c r="BW1240" t="s">
        <v>709</v>
      </c>
      <c r="BX1240">
        <v>1</v>
      </c>
      <c r="BY1240" t="s">
        <v>745</v>
      </c>
      <c r="BZ1240" t="s">
        <v>709</v>
      </c>
      <c r="CB1240">
        <v>1238</v>
      </c>
      <c r="CC1240" t="b">
        <v>1</v>
      </c>
      <c r="CD1240" t="s">
        <v>6614</v>
      </c>
      <c r="CE1240" s="1482">
        <v>45880.739189814813</v>
      </c>
    </row>
    <row r="1241" spans="1:83" ht="285" x14ac:dyDescent="0.25">
      <c r="A1241">
        <v>2024</v>
      </c>
      <c r="B1241" t="s">
        <v>4</v>
      </c>
      <c r="C1241" t="s">
        <v>6615</v>
      </c>
      <c r="D1241" t="s">
        <v>6616</v>
      </c>
      <c r="E1241" t="s">
        <v>6617</v>
      </c>
      <c r="F1241" t="s">
        <v>784</v>
      </c>
      <c r="G1241" t="s">
        <v>32</v>
      </c>
      <c r="H1241" t="s">
        <v>59</v>
      </c>
      <c r="I1241">
        <v>45230</v>
      </c>
      <c r="J1241">
        <v>45569</v>
      </c>
      <c r="K1241">
        <v>45567</v>
      </c>
      <c r="L1241">
        <v>2</v>
      </c>
      <c r="N1241" t="s">
        <v>120</v>
      </c>
      <c r="O1241">
        <v>45566</v>
      </c>
      <c r="P1241" t="s">
        <v>739</v>
      </c>
      <c r="Q1241">
        <v>42476.822</v>
      </c>
      <c r="R1241">
        <v>0.1</v>
      </c>
      <c r="S1241">
        <v>0</v>
      </c>
      <c r="T1241">
        <v>0</v>
      </c>
      <c r="U1241">
        <v>0</v>
      </c>
      <c r="V1241">
        <v>449</v>
      </c>
      <c r="W1241">
        <v>0</v>
      </c>
      <c r="X1241">
        <v>381887.59</v>
      </c>
      <c r="Z1241">
        <v>42880.63</v>
      </c>
      <c r="AA1241">
        <v>424768.22</v>
      </c>
      <c r="AB1241">
        <v>45567</v>
      </c>
      <c r="AC1241" t="s">
        <v>709</v>
      </c>
      <c r="AD1241" t="s">
        <v>29</v>
      </c>
      <c r="AE1241" t="s">
        <v>756</v>
      </c>
      <c r="AF1241" t="s">
        <v>709</v>
      </c>
      <c r="AG1241" t="s">
        <v>376</v>
      </c>
      <c r="AH1241">
        <v>45609</v>
      </c>
      <c r="AI1241">
        <v>0</v>
      </c>
      <c r="AJ1241">
        <v>0</v>
      </c>
      <c r="AK1241">
        <v>5942.5</v>
      </c>
      <c r="AL1241">
        <v>0.13989982583913643</v>
      </c>
      <c r="AM1241" t="s">
        <v>116</v>
      </c>
      <c r="AN1241" t="s">
        <v>709</v>
      </c>
      <c r="AS1241">
        <v>0</v>
      </c>
      <c r="AT1241">
        <v>0</v>
      </c>
      <c r="AU1241">
        <v>0</v>
      </c>
      <c r="AY1241" t="s">
        <v>709</v>
      </c>
      <c r="BA1241" s="4" t="s">
        <v>6618</v>
      </c>
      <c r="BB1241" t="s">
        <v>870</v>
      </c>
      <c r="BC1241" t="s">
        <v>116</v>
      </c>
      <c r="BD1241" t="s">
        <v>882</v>
      </c>
      <c r="BE1241" t="s">
        <v>115</v>
      </c>
      <c r="BF1241" t="s">
        <v>115</v>
      </c>
      <c r="BG1241" t="s">
        <v>115</v>
      </c>
      <c r="BH1241" t="s">
        <v>6619</v>
      </c>
      <c r="BI1241" t="s">
        <v>709</v>
      </c>
      <c r="BJ1241" t="s">
        <v>709</v>
      </c>
      <c r="BK1241" t="s">
        <v>709</v>
      </c>
      <c r="BL1241" t="s">
        <v>116</v>
      </c>
      <c r="BM1241">
        <v>0</v>
      </c>
      <c r="BN1241">
        <v>0</v>
      </c>
      <c r="BO1241">
        <v>0</v>
      </c>
      <c r="BP1241">
        <v>0</v>
      </c>
      <c r="BQ1241">
        <v>0</v>
      </c>
      <c r="BR1241">
        <v>449</v>
      </c>
      <c r="BS1241">
        <v>0</v>
      </c>
      <c r="BT1241">
        <v>0</v>
      </c>
      <c r="BU1241">
        <v>0</v>
      </c>
      <c r="BV1241">
        <v>0</v>
      </c>
      <c r="BW1241">
        <v>0</v>
      </c>
      <c r="BX1241">
        <v>0</v>
      </c>
      <c r="BY1241">
        <v>0</v>
      </c>
      <c r="BZ1241" t="s">
        <v>709</v>
      </c>
      <c r="CB1241">
        <v>1239</v>
      </c>
      <c r="CC1241" t="b">
        <v>1</v>
      </c>
      <c r="CD1241" t="s">
        <v>6620</v>
      </c>
      <c r="CE1241" s="1482">
        <v>45880.739189814813</v>
      </c>
    </row>
    <row r="1242" spans="1:83" x14ac:dyDescent="0.25">
      <c r="A1242">
        <v>2024</v>
      </c>
      <c r="B1242" t="s">
        <v>4</v>
      </c>
      <c r="C1242" t="s">
        <v>1721</v>
      </c>
      <c r="D1242">
        <v>1313432</v>
      </c>
      <c r="E1242" t="s">
        <v>850</v>
      </c>
      <c r="F1242" t="s">
        <v>851</v>
      </c>
      <c r="G1242" t="s">
        <v>26</v>
      </c>
      <c r="H1242" t="s">
        <v>3677</v>
      </c>
      <c r="I1242">
        <v>45561</v>
      </c>
      <c r="J1242" t="s">
        <v>2612</v>
      </c>
      <c r="K1242">
        <v>45572</v>
      </c>
      <c r="L1242">
        <v>11</v>
      </c>
      <c r="M1242" t="s">
        <v>6621</v>
      </c>
      <c r="N1242" t="s">
        <v>120</v>
      </c>
      <c r="O1242">
        <v>45566</v>
      </c>
      <c r="P1242" t="s">
        <v>739</v>
      </c>
      <c r="Q1242" t="s">
        <v>115</v>
      </c>
      <c r="R1242" t="s">
        <v>115</v>
      </c>
      <c r="S1242" t="s">
        <v>29</v>
      </c>
      <c r="T1242" t="s">
        <v>29</v>
      </c>
      <c r="U1242" t="s">
        <v>29</v>
      </c>
      <c r="V1242" t="s">
        <v>29</v>
      </c>
      <c r="W1242" t="s">
        <v>29</v>
      </c>
      <c r="X1242" t="s">
        <v>29</v>
      </c>
      <c r="Y1242" t="s">
        <v>29</v>
      </c>
      <c r="Z1242" t="s">
        <v>29</v>
      </c>
      <c r="AA1242" t="s">
        <v>29</v>
      </c>
      <c r="AB1242" t="s">
        <v>29</v>
      </c>
      <c r="AC1242" t="s">
        <v>29</v>
      </c>
      <c r="AD1242" t="s">
        <v>29</v>
      </c>
      <c r="AE1242" t="s">
        <v>756</v>
      </c>
      <c r="AF1242" t="s">
        <v>756</v>
      </c>
      <c r="AG1242" t="s">
        <v>29</v>
      </c>
      <c r="AH1242" t="s">
        <v>29</v>
      </c>
      <c r="AI1242" t="s">
        <v>29</v>
      </c>
      <c r="AJ1242" t="s">
        <v>29</v>
      </c>
      <c r="AK1242" t="s">
        <v>29</v>
      </c>
      <c r="AL1242" t="s">
        <v>29</v>
      </c>
      <c r="AM1242" t="s">
        <v>709</v>
      </c>
      <c r="AY1242" t="s">
        <v>29</v>
      </c>
      <c r="BA1242" t="s">
        <v>29</v>
      </c>
      <c r="BB1242" t="s">
        <v>6622</v>
      </c>
      <c r="BC1242" t="s">
        <v>709</v>
      </c>
      <c r="BD1242" t="s">
        <v>862</v>
      </c>
      <c r="BE1242" t="s">
        <v>855</v>
      </c>
      <c r="BF1242" t="s">
        <v>709</v>
      </c>
      <c r="BG1242" t="s">
        <v>1724</v>
      </c>
      <c r="BH1242" t="s">
        <v>6623</v>
      </c>
      <c r="CB1242">
        <v>1241</v>
      </c>
      <c r="CC1242" t="b">
        <v>1</v>
      </c>
      <c r="CD1242" t="s">
        <v>6624</v>
      </c>
      <c r="CE1242" s="1482">
        <v>45880.739189814813</v>
      </c>
    </row>
    <row r="1243" spans="1:83" ht="409.5" x14ac:dyDescent="0.25">
      <c r="A1243">
        <v>2024</v>
      </c>
      <c r="B1243" t="s">
        <v>4</v>
      </c>
      <c r="C1243" t="s">
        <v>1030</v>
      </c>
      <c r="D1243">
        <v>1413358</v>
      </c>
      <c r="E1243" t="s">
        <v>1032</v>
      </c>
      <c r="F1243" t="s">
        <v>1757</v>
      </c>
      <c r="G1243" t="s">
        <v>31</v>
      </c>
      <c r="H1243" t="s">
        <v>2396</v>
      </c>
      <c r="I1243">
        <v>45503</v>
      </c>
      <c r="J1243" t="s">
        <v>2397</v>
      </c>
      <c r="K1243">
        <v>45572</v>
      </c>
      <c r="L1243">
        <v>69</v>
      </c>
      <c r="M1243" t="s">
        <v>6625</v>
      </c>
      <c r="N1243" t="s">
        <v>120</v>
      </c>
      <c r="O1243">
        <v>45566</v>
      </c>
      <c r="P1243" t="s">
        <v>739</v>
      </c>
      <c r="Q1243">
        <v>14792.5</v>
      </c>
      <c r="R1243" t="s">
        <v>1922</v>
      </c>
      <c r="S1243">
        <v>0</v>
      </c>
      <c r="T1243">
        <v>0</v>
      </c>
      <c r="U1243">
        <v>14792.5</v>
      </c>
      <c r="V1243" t="s">
        <v>29</v>
      </c>
      <c r="W1243" t="s">
        <v>29</v>
      </c>
      <c r="X1243" t="s">
        <v>29</v>
      </c>
      <c r="Z1243" t="s">
        <v>29</v>
      </c>
      <c r="AA1243" t="s">
        <v>29</v>
      </c>
      <c r="AB1243" t="s">
        <v>29</v>
      </c>
      <c r="AC1243" t="s">
        <v>29</v>
      </c>
      <c r="AD1243" t="s">
        <v>29</v>
      </c>
      <c r="AE1243" t="s">
        <v>116</v>
      </c>
      <c r="AF1243" t="s">
        <v>116</v>
      </c>
      <c r="AG1243" t="s">
        <v>29</v>
      </c>
      <c r="AH1243" t="s">
        <v>376</v>
      </c>
      <c r="AI1243" t="s">
        <v>29</v>
      </c>
      <c r="AJ1243" t="s">
        <v>29</v>
      </c>
      <c r="AK1243" t="s">
        <v>29</v>
      </c>
      <c r="AL1243" t="s">
        <v>29</v>
      </c>
      <c r="AM1243" t="s">
        <v>709</v>
      </c>
      <c r="AY1243" t="s">
        <v>29</v>
      </c>
      <c r="BA1243" t="s">
        <v>29</v>
      </c>
      <c r="BB1243" s="4" t="s">
        <v>6626</v>
      </c>
      <c r="BC1243" t="s">
        <v>116</v>
      </c>
      <c r="BD1243" t="s">
        <v>1036</v>
      </c>
      <c r="BE1243" t="s">
        <v>1037</v>
      </c>
      <c r="BF1243" t="s">
        <v>745</v>
      </c>
      <c r="BG1243" t="s">
        <v>1038</v>
      </c>
      <c r="BH1243" t="s">
        <v>6627</v>
      </c>
      <c r="BI1243" t="s">
        <v>709</v>
      </c>
      <c r="BJ1243" t="s">
        <v>116</v>
      </c>
      <c r="BK1243" t="s">
        <v>709</v>
      </c>
      <c r="BL1243" t="s">
        <v>116</v>
      </c>
      <c r="BM1243" t="s">
        <v>709</v>
      </c>
      <c r="BN1243" t="s">
        <v>709</v>
      </c>
      <c r="BO1243" t="s">
        <v>709</v>
      </c>
      <c r="BP1243">
        <v>677</v>
      </c>
      <c r="BQ1243">
        <v>829</v>
      </c>
      <c r="BR1243">
        <v>34</v>
      </c>
      <c r="BS1243" t="s">
        <v>709</v>
      </c>
      <c r="BT1243" t="s">
        <v>709</v>
      </c>
      <c r="BU1243" t="s">
        <v>709</v>
      </c>
      <c r="BV1243" t="s">
        <v>709</v>
      </c>
      <c r="BW1243" t="s">
        <v>709</v>
      </c>
      <c r="BX1243" t="s">
        <v>709</v>
      </c>
      <c r="BY1243" t="s">
        <v>709</v>
      </c>
      <c r="BZ1243" t="s">
        <v>709</v>
      </c>
      <c r="CB1243">
        <v>1240</v>
      </c>
      <c r="CC1243" t="b">
        <v>1</v>
      </c>
      <c r="CD1243" t="s">
        <v>6628</v>
      </c>
      <c r="CE1243" s="1482">
        <v>45880.739201388889</v>
      </c>
    </row>
    <row r="1244" spans="1:83" x14ac:dyDescent="0.25">
      <c r="A1244">
        <v>2024</v>
      </c>
      <c r="B1244" t="s">
        <v>4</v>
      </c>
      <c r="C1244" t="s">
        <v>1571</v>
      </c>
      <c r="D1244" t="s">
        <v>1572</v>
      </c>
      <c r="E1244" t="s">
        <v>1573</v>
      </c>
      <c r="F1244" t="s">
        <v>6629</v>
      </c>
      <c r="G1244" t="s">
        <v>26</v>
      </c>
      <c r="H1244" t="s">
        <v>4189</v>
      </c>
      <c r="I1244">
        <v>45377</v>
      </c>
      <c r="J1244" t="s">
        <v>2052</v>
      </c>
      <c r="K1244">
        <v>45574</v>
      </c>
      <c r="L1244">
        <v>197</v>
      </c>
      <c r="M1244" t="s">
        <v>6630</v>
      </c>
      <c r="N1244" t="s">
        <v>120</v>
      </c>
      <c r="O1244">
        <v>45620</v>
      </c>
      <c r="P1244" t="s">
        <v>739</v>
      </c>
      <c r="Q1244">
        <v>31651.86</v>
      </c>
      <c r="R1244" t="s">
        <v>1922</v>
      </c>
      <c r="S1244">
        <v>0</v>
      </c>
      <c r="T1244">
        <v>699.36</v>
      </c>
      <c r="U1244">
        <v>30952.5</v>
      </c>
      <c r="V1244" t="s">
        <v>29</v>
      </c>
      <c r="W1244" t="s">
        <v>29</v>
      </c>
      <c r="X1244" t="s">
        <v>29</v>
      </c>
      <c r="Z1244" t="s">
        <v>29</v>
      </c>
      <c r="AA1244" t="s">
        <v>29</v>
      </c>
      <c r="AB1244" t="s">
        <v>29</v>
      </c>
      <c r="AC1244" t="s">
        <v>29</v>
      </c>
      <c r="AD1244" t="s">
        <v>29</v>
      </c>
      <c r="AE1244" t="s">
        <v>116</v>
      </c>
      <c r="AF1244" t="s">
        <v>116</v>
      </c>
      <c r="AG1244" t="s">
        <v>29</v>
      </c>
      <c r="AH1244">
        <v>45609</v>
      </c>
      <c r="AI1244" t="s">
        <v>29</v>
      </c>
      <c r="AJ1244">
        <v>699.36</v>
      </c>
      <c r="AK1244" t="s">
        <v>29</v>
      </c>
      <c r="AL1244" t="s">
        <v>29</v>
      </c>
      <c r="AM1244" t="s">
        <v>709</v>
      </c>
      <c r="AY1244" t="s">
        <v>29</v>
      </c>
      <c r="BA1244" t="s">
        <v>4919</v>
      </c>
      <c r="BB1244" t="s">
        <v>6631</v>
      </c>
      <c r="BC1244" t="s">
        <v>709</v>
      </c>
      <c r="BD1244" t="s">
        <v>837</v>
      </c>
      <c r="BE1244" t="s">
        <v>1575</v>
      </c>
      <c r="BF1244" t="s">
        <v>839</v>
      </c>
      <c r="BG1244" t="s">
        <v>6632</v>
      </c>
      <c r="BH1244" t="s">
        <v>6633</v>
      </c>
      <c r="BI1244" t="s">
        <v>709</v>
      </c>
      <c r="BJ1244" t="s">
        <v>709</v>
      </c>
      <c r="BK1244" t="s">
        <v>709</v>
      </c>
      <c r="BL1244" t="s">
        <v>116</v>
      </c>
      <c r="BM1244" t="s">
        <v>709</v>
      </c>
      <c r="BN1244" t="s">
        <v>709</v>
      </c>
      <c r="BO1244" t="s">
        <v>709</v>
      </c>
      <c r="BP1244" t="s">
        <v>709</v>
      </c>
      <c r="BQ1244" t="s">
        <v>709</v>
      </c>
      <c r="BR1244" t="s">
        <v>709</v>
      </c>
      <c r="BS1244">
        <v>1646</v>
      </c>
      <c r="BT1244" t="s">
        <v>709</v>
      </c>
      <c r="BU1244" t="s">
        <v>709</v>
      </c>
      <c r="BV1244" t="s">
        <v>709</v>
      </c>
      <c r="BW1244" t="s">
        <v>709</v>
      </c>
      <c r="BX1244" t="s">
        <v>745</v>
      </c>
      <c r="BY1244" t="s">
        <v>709</v>
      </c>
      <c r="BZ1244" t="s">
        <v>709</v>
      </c>
      <c r="CB1244">
        <v>1242</v>
      </c>
      <c r="CC1244" t="b">
        <v>1</v>
      </c>
      <c r="CD1244" t="s">
        <v>6634</v>
      </c>
      <c r="CE1244" s="1482">
        <v>45880.739201388889</v>
      </c>
    </row>
    <row r="1245" spans="1:83" ht="330" x14ac:dyDescent="0.25">
      <c r="A1245">
        <v>2024</v>
      </c>
      <c r="B1245" t="s">
        <v>4</v>
      </c>
      <c r="C1245" t="s">
        <v>6635</v>
      </c>
      <c r="D1245" t="s">
        <v>115</v>
      </c>
      <c r="E1245" t="s">
        <v>918</v>
      </c>
      <c r="F1245" t="s">
        <v>1102</v>
      </c>
      <c r="G1245" t="s">
        <v>6377</v>
      </c>
      <c r="H1245" t="s">
        <v>1903</v>
      </c>
      <c r="I1245">
        <v>45550</v>
      </c>
      <c r="J1245">
        <v>45590</v>
      </c>
      <c r="K1245">
        <v>45580</v>
      </c>
      <c r="L1245">
        <v>10</v>
      </c>
      <c r="M1245" t="s">
        <v>6636</v>
      </c>
      <c r="N1245" t="s">
        <v>120</v>
      </c>
      <c r="O1245">
        <v>45566</v>
      </c>
      <c r="P1245" t="s">
        <v>739</v>
      </c>
      <c r="Q1245" t="s">
        <v>115</v>
      </c>
      <c r="R1245" t="s">
        <v>115</v>
      </c>
      <c r="S1245" t="s">
        <v>29</v>
      </c>
      <c r="T1245" t="s">
        <v>29</v>
      </c>
      <c r="U1245" t="s">
        <v>29</v>
      </c>
      <c r="V1245" t="s">
        <v>29</v>
      </c>
      <c r="W1245" t="s">
        <v>29</v>
      </c>
      <c r="X1245" t="s">
        <v>29</v>
      </c>
      <c r="Y1245" t="s">
        <v>6637</v>
      </c>
      <c r="Z1245" t="s">
        <v>29</v>
      </c>
      <c r="AA1245" t="s">
        <v>29</v>
      </c>
      <c r="AB1245" t="s">
        <v>29</v>
      </c>
      <c r="AC1245" t="s">
        <v>29</v>
      </c>
      <c r="AD1245" t="s">
        <v>29</v>
      </c>
      <c r="AE1245" t="s">
        <v>116</v>
      </c>
      <c r="AF1245" t="s">
        <v>116</v>
      </c>
      <c r="AG1245" t="s">
        <v>29</v>
      </c>
      <c r="AH1245">
        <v>45609</v>
      </c>
      <c r="AI1245" t="s">
        <v>29</v>
      </c>
      <c r="AJ1245" t="s">
        <v>29</v>
      </c>
      <c r="AK1245" t="s">
        <v>29</v>
      </c>
      <c r="AL1245" t="s">
        <v>29</v>
      </c>
      <c r="AM1245" t="s">
        <v>709</v>
      </c>
      <c r="AY1245" t="s">
        <v>29</v>
      </c>
      <c r="BA1245" s="4" t="s">
        <v>6638</v>
      </c>
      <c r="BB1245" t="s">
        <v>5767</v>
      </c>
      <c r="BC1245" t="s">
        <v>709</v>
      </c>
      <c r="BD1245" t="s">
        <v>709</v>
      </c>
      <c r="BE1245" t="s">
        <v>709</v>
      </c>
      <c r="BF1245" t="s">
        <v>709</v>
      </c>
      <c r="BG1245" t="s">
        <v>29</v>
      </c>
      <c r="BH1245" t="s">
        <v>6639</v>
      </c>
      <c r="CB1245">
        <v>1243</v>
      </c>
      <c r="CC1245" t="b">
        <v>1</v>
      </c>
      <c r="CD1245" t="s">
        <v>6640</v>
      </c>
      <c r="CE1245" s="1482">
        <v>45880.739212962966</v>
      </c>
    </row>
    <row r="1246" spans="1:83" x14ac:dyDescent="0.25">
      <c r="A1246">
        <v>2025</v>
      </c>
      <c r="B1246" t="s">
        <v>730</v>
      </c>
      <c r="C1246" t="s">
        <v>6641</v>
      </c>
      <c r="D1246" t="s">
        <v>6642</v>
      </c>
      <c r="E1246" t="s">
        <v>5168</v>
      </c>
      <c r="F1246" t="s">
        <v>6643</v>
      </c>
      <c r="G1246" t="s">
        <v>34</v>
      </c>
      <c r="H1246" t="s">
        <v>59</v>
      </c>
      <c r="I1246">
        <v>45470</v>
      </c>
      <c r="J1246">
        <v>45590</v>
      </c>
      <c r="K1246">
        <v>45582</v>
      </c>
      <c r="L1246">
        <v>8</v>
      </c>
      <c r="N1246" t="s">
        <v>120</v>
      </c>
      <c r="O1246">
        <v>45620</v>
      </c>
      <c r="P1246" t="s">
        <v>120</v>
      </c>
      <c r="Q1246">
        <v>12750</v>
      </c>
      <c r="R1246" t="s">
        <v>6644</v>
      </c>
      <c r="S1246" t="s">
        <v>29</v>
      </c>
      <c r="T1246" t="s">
        <v>29</v>
      </c>
      <c r="U1246" t="s">
        <v>29</v>
      </c>
      <c r="V1246">
        <v>287</v>
      </c>
      <c r="W1246">
        <v>1</v>
      </c>
      <c r="X1246">
        <v>126962.25</v>
      </c>
      <c r="Z1246">
        <v>35234.239999999998</v>
      </c>
      <c r="AA1246">
        <v>162196.49</v>
      </c>
      <c r="AB1246">
        <v>45587</v>
      </c>
      <c r="AC1246" t="s">
        <v>811</v>
      </c>
      <c r="AD1246" t="s">
        <v>29</v>
      </c>
      <c r="AE1246" t="s">
        <v>116</v>
      </c>
      <c r="AF1246" t="s">
        <v>116</v>
      </c>
      <c r="AG1246" t="s">
        <v>376</v>
      </c>
      <c r="AH1246" t="s">
        <v>376</v>
      </c>
      <c r="AI1246">
        <v>16500</v>
      </c>
      <c r="AJ1246" t="s">
        <v>29</v>
      </c>
      <c r="AK1246">
        <v>5397</v>
      </c>
      <c r="AL1246">
        <v>1.7174117647058824</v>
      </c>
      <c r="AM1246" t="s">
        <v>709</v>
      </c>
      <c r="AY1246" t="s">
        <v>29</v>
      </c>
      <c r="BA1246" t="s">
        <v>6645</v>
      </c>
      <c r="BB1246" t="s">
        <v>6646</v>
      </c>
      <c r="BC1246" t="s">
        <v>116</v>
      </c>
      <c r="BD1246" t="s">
        <v>115</v>
      </c>
      <c r="BE1246" t="s">
        <v>115</v>
      </c>
      <c r="BF1246" t="s">
        <v>6647</v>
      </c>
      <c r="BG1246" t="s">
        <v>6648</v>
      </c>
      <c r="BH1246" t="s">
        <v>6649</v>
      </c>
      <c r="BI1246" t="s">
        <v>709</v>
      </c>
      <c r="BJ1246" t="s">
        <v>709</v>
      </c>
      <c r="BK1246" t="s">
        <v>116</v>
      </c>
      <c r="BL1246" t="s">
        <v>116</v>
      </c>
      <c r="BM1246" t="s">
        <v>709</v>
      </c>
      <c r="BN1246" t="s">
        <v>709</v>
      </c>
      <c r="BO1246" t="s">
        <v>709</v>
      </c>
      <c r="BP1246" t="s">
        <v>709</v>
      </c>
      <c r="BQ1246" t="s">
        <v>709</v>
      </c>
      <c r="BR1246" t="s">
        <v>709</v>
      </c>
      <c r="BS1246">
        <v>287</v>
      </c>
      <c r="BT1246" t="s">
        <v>709</v>
      </c>
      <c r="BU1246">
        <v>1</v>
      </c>
      <c r="BV1246" t="s">
        <v>709</v>
      </c>
      <c r="BW1246" t="s">
        <v>709</v>
      </c>
      <c r="BX1246">
        <v>1</v>
      </c>
      <c r="BY1246" t="s">
        <v>709</v>
      </c>
      <c r="BZ1246" t="s">
        <v>709</v>
      </c>
      <c r="CB1246">
        <v>1244</v>
      </c>
      <c r="CC1246" t="b">
        <v>1</v>
      </c>
      <c r="CD1246" t="s">
        <v>6650</v>
      </c>
      <c r="CE1246" s="1482">
        <v>45880.739212962966</v>
      </c>
    </row>
    <row r="1247" spans="1:83" ht="270" x14ac:dyDescent="0.25">
      <c r="A1247">
        <v>2025</v>
      </c>
      <c r="B1247" t="s">
        <v>730</v>
      </c>
      <c r="C1247" t="s">
        <v>6651</v>
      </c>
      <c r="D1247" t="s">
        <v>6652</v>
      </c>
      <c r="E1247" t="s">
        <v>1373</v>
      </c>
      <c r="F1247" t="s">
        <v>6643</v>
      </c>
      <c r="G1247" t="s">
        <v>37</v>
      </c>
      <c r="H1247" t="s">
        <v>59</v>
      </c>
      <c r="I1247">
        <v>45490</v>
      </c>
      <c r="J1247">
        <v>45582</v>
      </c>
      <c r="K1247">
        <v>45582</v>
      </c>
      <c r="L1247">
        <v>0</v>
      </c>
      <c r="N1247" t="s">
        <v>120</v>
      </c>
      <c r="O1247">
        <v>45620</v>
      </c>
      <c r="P1247" t="s">
        <v>120</v>
      </c>
      <c r="Q1247">
        <v>12750</v>
      </c>
      <c r="R1247" t="s">
        <v>6644</v>
      </c>
      <c r="S1247" t="s">
        <v>29</v>
      </c>
      <c r="T1247" t="s">
        <v>29</v>
      </c>
      <c r="U1247" t="s">
        <v>29</v>
      </c>
      <c r="V1247">
        <v>3</v>
      </c>
      <c r="W1247">
        <v>1</v>
      </c>
      <c r="X1247">
        <v>23024.85</v>
      </c>
      <c r="Z1247">
        <v>0</v>
      </c>
      <c r="AA1247">
        <v>23024.85</v>
      </c>
      <c r="AB1247">
        <v>45586</v>
      </c>
      <c r="AC1247" t="s">
        <v>709</v>
      </c>
      <c r="AD1247" t="s">
        <v>29</v>
      </c>
      <c r="AE1247" t="s">
        <v>116</v>
      </c>
      <c r="AF1247" t="s">
        <v>116</v>
      </c>
      <c r="AG1247" t="s">
        <v>376</v>
      </c>
      <c r="AH1247" t="s">
        <v>376</v>
      </c>
      <c r="AI1247">
        <v>3750</v>
      </c>
      <c r="AJ1247" t="s">
        <v>29</v>
      </c>
      <c r="AK1247">
        <v>4679.5</v>
      </c>
      <c r="AL1247">
        <v>0.66113725490196074</v>
      </c>
      <c r="AM1247" t="s">
        <v>709</v>
      </c>
      <c r="AY1247" t="s">
        <v>29</v>
      </c>
      <c r="BA1247" t="s">
        <v>6653</v>
      </c>
      <c r="BB1247" s="4" t="s">
        <v>6654</v>
      </c>
      <c r="BC1247" t="s">
        <v>115</v>
      </c>
      <c r="BD1247" t="s">
        <v>1626</v>
      </c>
      <c r="BE1247" t="s">
        <v>115</v>
      </c>
      <c r="BF1247" t="s">
        <v>6655</v>
      </c>
      <c r="BG1247" t="s">
        <v>115</v>
      </c>
      <c r="BH1247" t="s">
        <v>6656</v>
      </c>
      <c r="BI1247" t="s">
        <v>709</v>
      </c>
      <c r="BJ1247" t="s">
        <v>709</v>
      </c>
      <c r="BK1247" t="s">
        <v>116</v>
      </c>
      <c r="BL1247" t="s">
        <v>116</v>
      </c>
      <c r="BM1247" t="s">
        <v>709</v>
      </c>
      <c r="BN1247" t="s">
        <v>709</v>
      </c>
      <c r="BO1247" t="s">
        <v>709</v>
      </c>
      <c r="BP1247" t="s">
        <v>709</v>
      </c>
      <c r="BQ1247" t="s">
        <v>709</v>
      </c>
      <c r="BR1247" t="s">
        <v>709</v>
      </c>
      <c r="BS1247">
        <v>3</v>
      </c>
      <c r="BT1247" t="s">
        <v>709</v>
      </c>
      <c r="BU1247" t="s">
        <v>709</v>
      </c>
      <c r="BV1247" t="s">
        <v>709</v>
      </c>
      <c r="BW1247" t="s">
        <v>709</v>
      </c>
      <c r="BX1247" t="s">
        <v>709</v>
      </c>
      <c r="BY1247" t="s">
        <v>709</v>
      </c>
      <c r="BZ1247" t="s">
        <v>709</v>
      </c>
      <c r="CA1247" t="s">
        <v>6657</v>
      </c>
      <c r="CB1247">
        <v>1245</v>
      </c>
      <c r="CC1247" t="b">
        <v>1</v>
      </c>
      <c r="CD1247" t="s">
        <v>6658</v>
      </c>
      <c r="CE1247" s="1482">
        <v>45880.739212962966</v>
      </c>
    </row>
    <row r="1248" spans="1:83" x14ac:dyDescent="0.25">
      <c r="A1248">
        <v>2024</v>
      </c>
      <c r="B1248" t="s">
        <v>1205</v>
      </c>
      <c r="C1248" t="s">
        <v>1552</v>
      </c>
      <c r="D1248">
        <v>1211933</v>
      </c>
      <c r="E1248" t="s">
        <v>6659</v>
      </c>
      <c r="F1248" t="s">
        <v>784</v>
      </c>
      <c r="G1248" t="s">
        <v>36</v>
      </c>
      <c r="H1248" t="s">
        <v>4045</v>
      </c>
      <c r="I1248">
        <v>45583</v>
      </c>
      <c r="J1248" t="s">
        <v>2958</v>
      </c>
      <c r="K1248">
        <v>45586</v>
      </c>
      <c r="L1248">
        <v>3</v>
      </c>
      <c r="M1248" t="s">
        <v>6660</v>
      </c>
      <c r="N1248" t="s">
        <v>120</v>
      </c>
      <c r="O1248">
        <v>45597</v>
      </c>
      <c r="P1248" t="s">
        <v>120</v>
      </c>
      <c r="Q1248">
        <v>1605</v>
      </c>
      <c r="R1248" t="s">
        <v>1922</v>
      </c>
      <c r="S1248">
        <v>0</v>
      </c>
      <c r="T1248">
        <v>0</v>
      </c>
      <c r="U1248">
        <v>1605</v>
      </c>
      <c r="V1248" t="s">
        <v>29</v>
      </c>
      <c r="W1248" t="s">
        <v>29</v>
      </c>
      <c r="X1248" t="s">
        <v>29</v>
      </c>
      <c r="Z1248" t="s">
        <v>29</v>
      </c>
      <c r="AA1248" t="s">
        <v>29</v>
      </c>
      <c r="AB1248" t="s">
        <v>29</v>
      </c>
      <c r="AC1248" t="s">
        <v>29</v>
      </c>
      <c r="AD1248" t="s">
        <v>29</v>
      </c>
      <c r="AE1248" t="s">
        <v>116</v>
      </c>
      <c r="AF1248" t="s">
        <v>116</v>
      </c>
      <c r="AG1248" t="s">
        <v>29</v>
      </c>
      <c r="AH1248" t="s">
        <v>29</v>
      </c>
      <c r="AI1248" t="s">
        <v>29</v>
      </c>
      <c r="AJ1248" t="s">
        <v>29</v>
      </c>
      <c r="AK1248" t="s">
        <v>29</v>
      </c>
      <c r="AL1248" t="s">
        <v>29</v>
      </c>
      <c r="AM1248" t="s">
        <v>709</v>
      </c>
      <c r="AY1248" t="s">
        <v>29</v>
      </c>
      <c r="BA1248" t="s">
        <v>6661</v>
      </c>
      <c r="BB1248" t="s">
        <v>29</v>
      </c>
      <c r="BC1248" t="s">
        <v>116</v>
      </c>
      <c r="BD1248" t="s">
        <v>709</v>
      </c>
      <c r="BE1248" t="s">
        <v>1557</v>
      </c>
      <c r="BF1248" t="s">
        <v>709</v>
      </c>
      <c r="BG1248" t="s">
        <v>709</v>
      </c>
      <c r="BH1248" t="s">
        <v>6662</v>
      </c>
      <c r="BI1248" t="s">
        <v>709</v>
      </c>
      <c r="BJ1248" t="s">
        <v>709</v>
      </c>
      <c r="BK1248" t="s">
        <v>709</v>
      </c>
      <c r="BL1248" t="s">
        <v>116</v>
      </c>
      <c r="BM1248" t="s">
        <v>709</v>
      </c>
      <c r="BN1248" t="s">
        <v>709</v>
      </c>
      <c r="BO1248" t="s">
        <v>709</v>
      </c>
      <c r="BP1248">
        <v>1492</v>
      </c>
      <c r="BQ1248">
        <v>1374</v>
      </c>
      <c r="BR1248">
        <v>44</v>
      </c>
      <c r="BS1248">
        <v>290</v>
      </c>
      <c r="BT1248" t="s">
        <v>709</v>
      </c>
      <c r="BU1248" t="s">
        <v>709</v>
      </c>
      <c r="BV1248" t="s">
        <v>709</v>
      </c>
      <c r="BW1248" t="s">
        <v>709</v>
      </c>
      <c r="BX1248" t="s">
        <v>709</v>
      </c>
      <c r="BY1248" t="s">
        <v>709</v>
      </c>
      <c r="BZ1248" t="s">
        <v>709</v>
      </c>
      <c r="CB1248">
        <v>1246</v>
      </c>
      <c r="CC1248" t="b">
        <v>1</v>
      </c>
      <c r="CD1248" t="s">
        <v>6663</v>
      </c>
      <c r="CE1248" s="1482">
        <v>45880.739224537036</v>
      </c>
    </row>
    <row r="1249" spans="1:83" ht="390" x14ac:dyDescent="0.25">
      <c r="A1249">
        <v>2025</v>
      </c>
      <c r="B1249" t="s">
        <v>4</v>
      </c>
      <c r="C1249" t="s">
        <v>6664</v>
      </c>
      <c r="D1249" t="s">
        <v>115</v>
      </c>
      <c r="E1249" t="s">
        <v>232</v>
      </c>
      <c r="F1249" t="s">
        <v>1102</v>
      </c>
      <c r="G1249" t="s">
        <v>6665</v>
      </c>
      <c r="H1249" t="s">
        <v>1681</v>
      </c>
      <c r="I1249">
        <v>45531</v>
      </c>
      <c r="J1249">
        <v>45601</v>
      </c>
      <c r="K1249">
        <v>45587</v>
      </c>
      <c r="L1249">
        <v>14</v>
      </c>
      <c r="M1249" t="s">
        <v>6666</v>
      </c>
      <c r="N1249" t="s">
        <v>120</v>
      </c>
      <c r="O1249">
        <v>45566</v>
      </c>
      <c r="P1249" t="s">
        <v>739</v>
      </c>
      <c r="Q1249" t="s">
        <v>115</v>
      </c>
      <c r="R1249" t="s">
        <v>115</v>
      </c>
      <c r="S1249" t="s">
        <v>29</v>
      </c>
      <c r="T1249" t="s">
        <v>29</v>
      </c>
      <c r="U1249" t="s">
        <v>29</v>
      </c>
      <c r="V1249" t="s">
        <v>29</v>
      </c>
      <c r="W1249" t="s">
        <v>29</v>
      </c>
      <c r="X1249" t="s">
        <v>29</v>
      </c>
      <c r="Y1249" t="s">
        <v>29</v>
      </c>
      <c r="Z1249" t="s">
        <v>29</v>
      </c>
      <c r="AA1249" t="s">
        <v>29</v>
      </c>
      <c r="AB1249" t="s">
        <v>29</v>
      </c>
      <c r="AC1249" t="s">
        <v>29</v>
      </c>
      <c r="AD1249" t="s">
        <v>29</v>
      </c>
      <c r="AE1249" t="s">
        <v>116</v>
      </c>
      <c r="AF1249" t="s">
        <v>29</v>
      </c>
      <c r="AG1249" t="s">
        <v>29</v>
      </c>
      <c r="AH1249">
        <v>45609</v>
      </c>
      <c r="AI1249" t="s">
        <v>29</v>
      </c>
      <c r="AJ1249" t="s">
        <v>29</v>
      </c>
      <c r="AK1249" t="s">
        <v>29</v>
      </c>
      <c r="AL1249" t="s">
        <v>29</v>
      </c>
      <c r="AM1249" t="s">
        <v>709</v>
      </c>
      <c r="AY1249" t="s">
        <v>29</v>
      </c>
      <c r="BA1249" s="4" t="s">
        <v>6667</v>
      </c>
      <c r="BB1249" t="s">
        <v>4986</v>
      </c>
      <c r="BC1249" t="s">
        <v>709</v>
      </c>
      <c r="BD1249" t="s">
        <v>709</v>
      </c>
      <c r="BE1249" t="s">
        <v>595</v>
      </c>
      <c r="BF1249" t="s">
        <v>709</v>
      </c>
      <c r="BG1249" t="s">
        <v>6668</v>
      </c>
      <c r="BH1249" t="s">
        <v>6669</v>
      </c>
      <c r="CA1249" t="s">
        <v>915</v>
      </c>
      <c r="CB1249">
        <v>1247</v>
      </c>
      <c r="CC1249" t="b">
        <v>1</v>
      </c>
      <c r="CD1249" t="s">
        <v>6670</v>
      </c>
      <c r="CE1249" s="1482">
        <v>45880.739224537036</v>
      </c>
    </row>
    <row r="1250" spans="1:83" x14ac:dyDescent="0.25">
      <c r="A1250">
        <v>2024</v>
      </c>
      <c r="B1250" t="s">
        <v>4</v>
      </c>
      <c r="C1250" t="s">
        <v>6671</v>
      </c>
      <c r="D1250" t="s">
        <v>6672</v>
      </c>
      <c r="E1250" t="s">
        <v>1716</v>
      </c>
      <c r="F1250" t="s">
        <v>784</v>
      </c>
      <c r="G1250" t="s">
        <v>6673</v>
      </c>
      <c r="H1250" t="s">
        <v>59</v>
      </c>
      <c r="I1250">
        <v>45429</v>
      </c>
      <c r="J1250">
        <v>45590</v>
      </c>
      <c r="K1250">
        <v>45588</v>
      </c>
      <c r="L1250">
        <v>2</v>
      </c>
      <c r="N1250" t="s">
        <v>120</v>
      </c>
      <c r="O1250">
        <v>45597</v>
      </c>
      <c r="P1250" t="s">
        <v>739</v>
      </c>
      <c r="Q1250">
        <v>185710.98</v>
      </c>
      <c r="R1250">
        <v>0.1</v>
      </c>
      <c r="S1250" t="s">
        <v>29</v>
      </c>
      <c r="T1250" t="s">
        <v>29</v>
      </c>
      <c r="U1250" t="s">
        <v>29</v>
      </c>
      <c r="V1250">
        <v>3774</v>
      </c>
      <c r="W1250">
        <v>0</v>
      </c>
      <c r="X1250">
        <v>1523622.99</v>
      </c>
      <c r="Z1250">
        <v>333486.81</v>
      </c>
      <c r="AA1250">
        <v>1857109.8</v>
      </c>
      <c r="AB1250">
        <v>45589</v>
      </c>
      <c r="AC1250" t="s">
        <v>29</v>
      </c>
      <c r="AD1250" t="s">
        <v>29</v>
      </c>
      <c r="AE1250" t="s">
        <v>756</v>
      </c>
      <c r="AF1250" t="s">
        <v>116</v>
      </c>
      <c r="AG1250" t="s">
        <v>376</v>
      </c>
      <c r="AH1250">
        <v>45609</v>
      </c>
      <c r="AI1250">
        <v>0</v>
      </c>
      <c r="AJ1250">
        <v>9750</v>
      </c>
      <c r="AK1250">
        <v>20444.5</v>
      </c>
      <c r="AL1250">
        <v>0.16258866330897612</v>
      </c>
      <c r="AM1250" t="s">
        <v>116</v>
      </c>
      <c r="AN1250">
        <v>45656</v>
      </c>
      <c r="AO1250">
        <v>11095845</v>
      </c>
      <c r="AP1250">
        <v>1524304.98</v>
      </c>
      <c r="AR1250">
        <v>333486.81</v>
      </c>
      <c r="AS1250">
        <v>1857791.79</v>
      </c>
      <c r="AT1250">
        <v>681.99</v>
      </c>
      <c r="AU1250">
        <v>68.198999999999998</v>
      </c>
      <c r="AV1250">
        <v>0</v>
      </c>
      <c r="AW1250" t="s">
        <v>6674</v>
      </c>
      <c r="AX1250">
        <v>68.198999999999998</v>
      </c>
      <c r="AY1250">
        <v>45901</v>
      </c>
      <c r="BA1250" t="s">
        <v>6675</v>
      </c>
      <c r="BB1250" t="s">
        <v>1718</v>
      </c>
      <c r="BC1250" t="s">
        <v>115</v>
      </c>
      <c r="BD1250" t="s">
        <v>882</v>
      </c>
      <c r="BE1250" t="s">
        <v>1719</v>
      </c>
      <c r="BF1250" t="s">
        <v>115</v>
      </c>
      <c r="BG1250" t="s">
        <v>115</v>
      </c>
      <c r="BH1250" t="s">
        <v>6676</v>
      </c>
      <c r="BI1250" t="s">
        <v>709</v>
      </c>
      <c r="BJ1250" t="s">
        <v>709</v>
      </c>
      <c r="BK1250" t="s">
        <v>709</v>
      </c>
      <c r="BL1250" t="s">
        <v>116</v>
      </c>
      <c r="BM1250" t="s">
        <v>709</v>
      </c>
      <c r="BN1250" t="s">
        <v>709</v>
      </c>
      <c r="BO1250" t="s">
        <v>709</v>
      </c>
      <c r="BP1250" t="s">
        <v>709</v>
      </c>
      <c r="BQ1250" t="s">
        <v>709</v>
      </c>
      <c r="BR1250">
        <v>2810</v>
      </c>
      <c r="BS1250">
        <v>964</v>
      </c>
      <c r="BT1250" t="s">
        <v>709</v>
      </c>
      <c r="BU1250" t="s">
        <v>709</v>
      </c>
      <c r="BV1250" t="s">
        <v>709</v>
      </c>
      <c r="BW1250" t="s">
        <v>709</v>
      </c>
      <c r="BX1250" t="s">
        <v>709</v>
      </c>
      <c r="BY1250" t="s">
        <v>709</v>
      </c>
      <c r="BZ1250" t="s">
        <v>709</v>
      </c>
      <c r="CB1250">
        <v>1248</v>
      </c>
      <c r="CC1250" t="b">
        <v>1</v>
      </c>
      <c r="CD1250" t="s">
        <v>6677</v>
      </c>
      <c r="CE1250" s="1482">
        <v>45880.739236111112</v>
      </c>
    </row>
    <row r="1251" spans="1:83" x14ac:dyDescent="0.25">
      <c r="A1251">
        <v>2024</v>
      </c>
      <c r="B1251" t="s">
        <v>4</v>
      </c>
      <c r="C1251" t="s">
        <v>6193</v>
      </c>
      <c r="D1251">
        <v>1213489</v>
      </c>
      <c r="E1251" t="s">
        <v>1716</v>
      </c>
      <c r="F1251" t="s">
        <v>784</v>
      </c>
      <c r="G1251" t="s">
        <v>26</v>
      </c>
      <c r="H1251" t="s">
        <v>4462</v>
      </c>
      <c r="I1251">
        <v>45574</v>
      </c>
      <c r="J1251" t="s">
        <v>2052</v>
      </c>
      <c r="K1251">
        <v>45589</v>
      </c>
      <c r="L1251">
        <v>15</v>
      </c>
      <c r="M1251" t="s">
        <v>6678</v>
      </c>
      <c r="N1251" t="s">
        <v>120</v>
      </c>
      <c r="O1251">
        <v>45566</v>
      </c>
      <c r="P1251" t="s">
        <v>739</v>
      </c>
      <c r="Q1251" t="s">
        <v>115</v>
      </c>
      <c r="R1251" t="s">
        <v>115</v>
      </c>
      <c r="S1251" t="s">
        <v>29</v>
      </c>
      <c r="T1251" t="s">
        <v>29</v>
      </c>
      <c r="U1251" t="s">
        <v>29</v>
      </c>
      <c r="V1251" t="s">
        <v>29</v>
      </c>
      <c r="W1251" t="s">
        <v>29</v>
      </c>
      <c r="X1251" t="s">
        <v>29</v>
      </c>
      <c r="Z1251" t="s">
        <v>29</v>
      </c>
      <c r="AA1251" t="s">
        <v>29</v>
      </c>
      <c r="AB1251" t="s">
        <v>29</v>
      </c>
      <c r="AC1251" t="s">
        <v>29</v>
      </c>
      <c r="AD1251" t="s">
        <v>116</v>
      </c>
      <c r="AE1251" t="s">
        <v>116</v>
      </c>
      <c r="AF1251" t="s">
        <v>116</v>
      </c>
      <c r="AG1251" t="s">
        <v>29</v>
      </c>
      <c r="AH1251">
        <v>45609</v>
      </c>
      <c r="AI1251" t="s">
        <v>29</v>
      </c>
      <c r="AJ1251" t="s">
        <v>29</v>
      </c>
      <c r="AK1251" t="s">
        <v>29</v>
      </c>
      <c r="AL1251" t="s">
        <v>29</v>
      </c>
      <c r="AM1251" t="s">
        <v>709</v>
      </c>
      <c r="AY1251" t="s">
        <v>29</v>
      </c>
      <c r="BA1251">
        <v>3</v>
      </c>
      <c r="BB1251" t="s">
        <v>6679</v>
      </c>
      <c r="BC1251" t="s">
        <v>709</v>
      </c>
      <c r="BD1251" t="s">
        <v>882</v>
      </c>
      <c r="BE1251" t="s">
        <v>1719</v>
      </c>
      <c r="BF1251" t="s">
        <v>709</v>
      </c>
      <c r="BG1251" t="s">
        <v>709</v>
      </c>
      <c r="BH1251" t="s">
        <v>6680</v>
      </c>
      <c r="CB1251">
        <v>1249</v>
      </c>
      <c r="CC1251" t="b">
        <v>1</v>
      </c>
      <c r="CD1251" t="s">
        <v>6681</v>
      </c>
      <c r="CE1251" s="1482">
        <v>45880.739236111112</v>
      </c>
    </row>
    <row r="1252" spans="1:83" x14ac:dyDescent="0.25">
      <c r="A1252">
        <v>2025</v>
      </c>
      <c r="B1252" t="s">
        <v>730</v>
      </c>
      <c r="C1252" t="s">
        <v>6682</v>
      </c>
      <c r="D1252" t="s">
        <v>6683</v>
      </c>
      <c r="E1252" t="s">
        <v>245</v>
      </c>
      <c r="F1252" t="s">
        <v>6643</v>
      </c>
      <c r="G1252" t="s">
        <v>34</v>
      </c>
      <c r="H1252" t="s">
        <v>59</v>
      </c>
      <c r="I1252">
        <v>45470</v>
      </c>
      <c r="J1252">
        <v>45590</v>
      </c>
      <c r="K1252">
        <v>45589</v>
      </c>
      <c r="L1252">
        <v>1</v>
      </c>
      <c r="N1252" t="s">
        <v>120</v>
      </c>
      <c r="O1252">
        <v>45620</v>
      </c>
      <c r="P1252" t="s">
        <v>120</v>
      </c>
      <c r="Q1252">
        <v>12750</v>
      </c>
      <c r="R1252" t="s">
        <v>6644</v>
      </c>
      <c r="S1252" t="s">
        <v>29</v>
      </c>
      <c r="T1252" t="s">
        <v>29</v>
      </c>
      <c r="U1252" t="s">
        <v>29</v>
      </c>
      <c r="V1252">
        <v>104</v>
      </c>
      <c r="W1252">
        <v>2</v>
      </c>
      <c r="X1252">
        <v>152286.35</v>
      </c>
      <c r="Z1252">
        <v>57855.93</v>
      </c>
      <c r="AA1252">
        <v>210142.28</v>
      </c>
      <c r="AB1252">
        <v>45590</v>
      </c>
      <c r="AC1252" t="s">
        <v>811</v>
      </c>
      <c r="AD1252" t="s">
        <v>29</v>
      </c>
      <c r="AE1252" t="s">
        <v>116</v>
      </c>
      <c r="AF1252" t="s">
        <v>116</v>
      </c>
      <c r="AG1252" t="s">
        <v>376</v>
      </c>
      <c r="AH1252" t="s">
        <v>376</v>
      </c>
      <c r="AI1252">
        <v>9500</v>
      </c>
      <c r="AJ1252" t="s">
        <v>29</v>
      </c>
      <c r="AK1252">
        <v>4722</v>
      </c>
      <c r="AL1252">
        <v>1.1154509803921568</v>
      </c>
      <c r="AM1252" t="s">
        <v>709</v>
      </c>
      <c r="AY1252" t="s">
        <v>29</v>
      </c>
      <c r="BA1252" t="s">
        <v>6684</v>
      </c>
      <c r="BB1252" t="s">
        <v>6685</v>
      </c>
      <c r="BC1252" t="s">
        <v>116</v>
      </c>
      <c r="BD1252" t="s">
        <v>115</v>
      </c>
      <c r="BE1252" t="s">
        <v>115</v>
      </c>
      <c r="BF1252" t="s">
        <v>1028</v>
      </c>
      <c r="BG1252" t="s">
        <v>115</v>
      </c>
      <c r="BH1252" t="s">
        <v>6686</v>
      </c>
      <c r="BI1252" t="s">
        <v>709</v>
      </c>
      <c r="BJ1252" t="s">
        <v>709</v>
      </c>
      <c r="BK1252" t="s">
        <v>116</v>
      </c>
      <c r="BL1252" t="s">
        <v>116</v>
      </c>
      <c r="BM1252" t="s">
        <v>709</v>
      </c>
      <c r="BN1252" t="s">
        <v>709</v>
      </c>
      <c r="BO1252" t="s">
        <v>709</v>
      </c>
      <c r="BP1252" t="s">
        <v>709</v>
      </c>
      <c r="BQ1252" t="s">
        <v>709</v>
      </c>
      <c r="BR1252">
        <v>46</v>
      </c>
      <c r="BS1252">
        <v>58</v>
      </c>
      <c r="BT1252" t="s">
        <v>709</v>
      </c>
      <c r="BU1252">
        <v>1</v>
      </c>
      <c r="BV1252" t="s">
        <v>709</v>
      </c>
      <c r="BW1252" t="s">
        <v>709</v>
      </c>
      <c r="BX1252">
        <v>1</v>
      </c>
      <c r="BY1252" t="s">
        <v>709</v>
      </c>
      <c r="BZ1252" t="s">
        <v>709</v>
      </c>
      <c r="CB1252">
        <v>1250</v>
      </c>
      <c r="CC1252" t="b">
        <v>1</v>
      </c>
      <c r="CD1252" t="s">
        <v>6687</v>
      </c>
      <c r="CE1252" s="1482">
        <v>45880.739236111112</v>
      </c>
    </row>
    <row r="1253" spans="1:83" x14ac:dyDescent="0.25">
      <c r="A1253">
        <v>2024</v>
      </c>
      <c r="B1253" t="s">
        <v>771</v>
      </c>
      <c r="C1253" t="s">
        <v>447</v>
      </c>
      <c r="D1253">
        <v>1212254</v>
      </c>
      <c r="E1253" t="s">
        <v>327</v>
      </c>
      <c r="F1253" t="s">
        <v>784</v>
      </c>
      <c r="G1253" t="s">
        <v>36</v>
      </c>
      <c r="H1253" t="s">
        <v>4450</v>
      </c>
      <c r="I1253">
        <v>45586</v>
      </c>
      <c r="J1253" t="s">
        <v>2612</v>
      </c>
      <c r="K1253">
        <v>45590</v>
      </c>
      <c r="L1253">
        <v>4</v>
      </c>
      <c r="M1253" t="s">
        <v>6688</v>
      </c>
      <c r="N1253" t="s">
        <v>120</v>
      </c>
      <c r="O1253">
        <v>45597</v>
      </c>
      <c r="P1253" t="s">
        <v>120</v>
      </c>
      <c r="Q1253">
        <v>3000</v>
      </c>
      <c r="R1253" t="s">
        <v>1922</v>
      </c>
      <c r="S1253">
        <v>0</v>
      </c>
      <c r="T1253">
        <v>0</v>
      </c>
      <c r="U1253">
        <v>3000</v>
      </c>
      <c r="V1253" t="s">
        <v>29</v>
      </c>
      <c r="W1253" t="s">
        <v>29</v>
      </c>
      <c r="X1253" t="s">
        <v>29</v>
      </c>
      <c r="Z1253" t="s">
        <v>29</v>
      </c>
      <c r="AA1253" t="s">
        <v>29</v>
      </c>
      <c r="AB1253" t="s">
        <v>29</v>
      </c>
      <c r="AC1253" t="s">
        <v>29</v>
      </c>
      <c r="AD1253" t="s">
        <v>29</v>
      </c>
      <c r="AE1253" t="s">
        <v>29</v>
      </c>
      <c r="AF1253" t="s">
        <v>29</v>
      </c>
      <c r="AG1253" t="s">
        <v>29</v>
      </c>
      <c r="AH1253" t="s">
        <v>29</v>
      </c>
      <c r="AI1253" t="s">
        <v>29</v>
      </c>
      <c r="AJ1253" t="s">
        <v>29</v>
      </c>
      <c r="AK1253" t="s">
        <v>29</v>
      </c>
      <c r="AL1253" t="s">
        <v>29</v>
      </c>
      <c r="AM1253" t="s">
        <v>709</v>
      </c>
      <c r="AY1253" t="s">
        <v>29</v>
      </c>
      <c r="BA1253" t="s">
        <v>29</v>
      </c>
      <c r="BB1253" t="s">
        <v>29</v>
      </c>
      <c r="BC1253" t="s">
        <v>29</v>
      </c>
      <c r="BD1253" t="s">
        <v>29</v>
      </c>
      <c r="BE1253" t="s">
        <v>29</v>
      </c>
      <c r="BF1253" t="s">
        <v>29</v>
      </c>
      <c r="BG1253" t="s">
        <v>29</v>
      </c>
      <c r="BH1253" t="s">
        <v>6689</v>
      </c>
      <c r="CB1253">
        <v>1251</v>
      </c>
      <c r="CC1253" t="b">
        <v>1</v>
      </c>
      <c r="CD1253" t="s">
        <v>6690</v>
      </c>
      <c r="CE1253" s="1482">
        <v>45880.739247685182</v>
      </c>
    </row>
    <row r="1254" spans="1:83" x14ac:dyDescent="0.25">
      <c r="A1254">
        <v>2025</v>
      </c>
      <c r="B1254" t="s">
        <v>730</v>
      </c>
      <c r="C1254" t="s">
        <v>6691</v>
      </c>
      <c r="D1254" t="s">
        <v>6692</v>
      </c>
      <c r="E1254" t="s">
        <v>6693</v>
      </c>
      <c r="F1254" t="s">
        <v>6643</v>
      </c>
      <c r="G1254" t="s">
        <v>34</v>
      </c>
      <c r="H1254" t="s">
        <v>59</v>
      </c>
      <c r="I1254">
        <v>45483</v>
      </c>
      <c r="J1254">
        <v>45590</v>
      </c>
      <c r="K1254">
        <v>45590</v>
      </c>
      <c r="L1254">
        <v>0</v>
      </c>
      <c r="N1254" t="s">
        <v>120</v>
      </c>
      <c r="O1254">
        <v>45620</v>
      </c>
      <c r="P1254" t="s">
        <v>120</v>
      </c>
      <c r="Q1254">
        <v>12750</v>
      </c>
      <c r="R1254" t="s">
        <v>6644</v>
      </c>
      <c r="S1254" t="s">
        <v>29</v>
      </c>
      <c r="T1254" t="s">
        <v>29</v>
      </c>
      <c r="U1254" t="s">
        <v>29</v>
      </c>
      <c r="V1254">
        <v>85</v>
      </c>
      <c r="W1254">
        <v>2</v>
      </c>
      <c r="X1254">
        <v>114033.02</v>
      </c>
      <c r="Z1254">
        <v>51879.57</v>
      </c>
      <c r="AA1254">
        <v>165912.59</v>
      </c>
      <c r="AB1254">
        <v>45593</v>
      </c>
      <c r="AC1254" t="s">
        <v>1056</v>
      </c>
      <c r="AD1254" t="s">
        <v>29</v>
      </c>
      <c r="AE1254" t="s">
        <v>116</v>
      </c>
      <c r="AF1254" t="s">
        <v>29</v>
      </c>
      <c r="AG1254" t="s">
        <v>376</v>
      </c>
      <c r="AH1254" t="s">
        <v>376</v>
      </c>
      <c r="AI1254">
        <v>8740</v>
      </c>
      <c r="AJ1254" t="s">
        <v>29</v>
      </c>
      <c r="AK1254">
        <v>5573.25</v>
      </c>
      <c r="AL1254">
        <v>1.1226078431372548</v>
      </c>
      <c r="AM1254" t="s">
        <v>709</v>
      </c>
      <c r="AY1254" t="s">
        <v>29</v>
      </c>
      <c r="BA1254" t="s">
        <v>6694</v>
      </c>
      <c r="BC1254" t="s">
        <v>115</v>
      </c>
      <c r="BD1254" t="s">
        <v>1167</v>
      </c>
      <c r="BE1254" t="s">
        <v>115</v>
      </c>
      <c r="BF1254" t="s">
        <v>6695</v>
      </c>
      <c r="BG1254" t="s">
        <v>115</v>
      </c>
      <c r="BH1254" t="s">
        <v>6696</v>
      </c>
      <c r="BI1254" t="s">
        <v>709</v>
      </c>
      <c r="BJ1254" t="s">
        <v>709</v>
      </c>
      <c r="BK1254" t="s">
        <v>116</v>
      </c>
      <c r="BL1254" t="s">
        <v>116</v>
      </c>
      <c r="BM1254" t="s">
        <v>709</v>
      </c>
      <c r="BN1254" t="s">
        <v>709</v>
      </c>
      <c r="BO1254" t="s">
        <v>709</v>
      </c>
      <c r="BP1254" t="s">
        <v>709</v>
      </c>
      <c r="BQ1254" t="s">
        <v>709</v>
      </c>
      <c r="BR1254">
        <v>20</v>
      </c>
      <c r="BS1254">
        <v>65</v>
      </c>
      <c r="BT1254" t="s">
        <v>709</v>
      </c>
      <c r="BU1254">
        <v>1</v>
      </c>
      <c r="BV1254" t="s">
        <v>709</v>
      </c>
      <c r="BW1254" t="s">
        <v>709</v>
      </c>
      <c r="BX1254">
        <v>1</v>
      </c>
      <c r="BY1254" t="s">
        <v>709</v>
      </c>
      <c r="BZ1254" t="s">
        <v>709</v>
      </c>
      <c r="CB1254">
        <v>1252</v>
      </c>
      <c r="CC1254" t="b">
        <v>1</v>
      </c>
      <c r="CD1254" t="s">
        <v>6697</v>
      </c>
      <c r="CE1254" s="1482">
        <v>45880.739247685182</v>
      </c>
    </row>
    <row r="1255" spans="1:83" x14ac:dyDescent="0.25">
      <c r="A1255">
        <v>2024</v>
      </c>
      <c r="B1255" t="s">
        <v>4</v>
      </c>
      <c r="C1255" t="s">
        <v>6615</v>
      </c>
      <c r="D1255">
        <v>1214113</v>
      </c>
      <c r="E1255" t="s">
        <v>6617</v>
      </c>
      <c r="F1255" t="s">
        <v>784</v>
      </c>
      <c r="G1255" t="s">
        <v>32</v>
      </c>
      <c r="H1255" t="s">
        <v>4189</v>
      </c>
      <c r="I1255">
        <v>45574</v>
      </c>
      <c r="J1255" t="s">
        <v>2052</v>
      </c>
      <c r="K1255">
        <v>45593</v>
      </c>
      <c r="L1255">
        <v>19</v>
      </c>
      <c r="M1255" t="s">
        <v>6698</v>
      </c>
      <c r="N1255" t="s">
        <v>120</v>
      </c>
      <c r="O1255">
        <v>45597</v>
      </c>
      <c r="P1255" t="s">
        <v>739</v>
      </c>
      <c r="Q1255">
        <v>5222.5</v>
      </c>
      <c r="R1255" t="s">
        <v>1922</v>
      </c>
      <c r="S1255">
        <v>0</v>
      </c>
      <c r="T1255">
        <v>0</v>
      </c>
      <c r="U1255">
        <v>5222.5</v>
      </c>
      <c r="V1255" t="s">
        <v>29</v>
      </c>
      <c r="W1255" t="s">
        <v>29</v>
      </c>
      <c r="X1255" t="s">
        <v>29</v>
      </c>
      <c r="Z1255" t="s">
        <v>29</v>
      </c>
      <c r="AA1255" t="s">
        <v>29</v>
      </c>
      <c r="AB1255" t="s">
        <v>29</v>
      </c>
      <c r="AC1255" t="s">
        <v>29</v>
      </c>
      <c r="AD1255" t="s">
        <v>116</v>
      </c>
      <c r="AE1255" t="s">
        <v>709</v>
      </c>
      <c r="AF1255" t="s">
        <v>756</v>
      </c>
      <c r="AG1255" t="s">
        <v>29</v>
      </c>
      <c r="AH1255">
        <v>45609</v>
      </c>
      <c r="AI1255" t="s">
        <v>29</v>
      </c>
      <c r="AJ1255" t="s">
        <v>29</v>
      </c>
      <c r="AK1255" t="s">
        <v>29</v>
      </c>
      <c r="AL1255" t="s">
        <v>29</v>
      </c>
      <c r="AM1255" t="s">
        <v>709</v>
      </c>
      <c r="AY1255" t="s">
        <v>29</v>
      </c>
      <c r="BA1255">
        <v>2</v>
      </c>
      <c r="BB1255" t="s">
        <v>6699</v>
      </c>
      <c r="BC1255" t="s">
        <v>116</v>
      </c>
      <c r="BD1255" t="s">
        <v>882</v>
      </c>
      <c r="BE1255" t="s">
        <v>709</v>
      </c>
      <c r="BF1255" t="s">
        <v>709</v>
      </c>
      <c r="BG1255" t="s">
        <v>709</v>
      </c>
      <c r="BH1255" t="s">
        <v>6700</v>
      </c>
      <c r="BI1255" t="s">
        <v>709</v>
      </c>
      <c r="BJ1255" t="s">
        <v>709</v>
      </c>
      <c r="BK1255" t="s">
        <v>709</v>
      </c>
      <c r="BL1255" t="s">
        <v>116</v>
      </c>
      <c r="BM1255">
        <v>0</v>
      </c>
      <c r="BN1255">
        <v>0</v>
      </c>
      <c r="BO1255">
        <v>0</v>
      </c>
      <c r="BP1255">
        <v>0</v>
      </c>
      <c r="BQ1255">
        <v>0</v>
      </c>
      <c r="BR1255">
        <v>449</v>
      </c>
      <c r="BS1255">
        <v>0</v>
      </c>
      <c r="BT1255">
        <v>0</v>
      </c>
      <c r="BU1255">
        <v>0</v>
      </c>
      <c r="BV1255">
        <v>0</v>
      </c>
      <c r="BW1255">
        <v>0</v>
      </c>
      <c r="BX1255">
        <v>0</v>
      </c>
      <c r="BY1255">
        <v>0</v>
      </c>
      <c r="BZ1255" t="s">
        <v>709</v>
      </c>
      <c r="CB1255">
        <v>1253</v>
      </c>
      <c r="CC1255" t="b">
        <v>1</v>
      </c>
      <c r="CD1255" t="s">
        <v>6701</v>
      </c>
      <c r="CE1255" s="1482">
        <v>45880.739259259259</v>
      </c>
    </row>
    <row r="1256" spans="1:83" x14ac:dyDescent="0.25">
      <c r="A1256">
        <v>2024</v>
      </c>
      <c r="B1256" t="s">
        <v>1073</v>
      </c>
      <c r="C1256" t="s">
        <v>6702</v>
      </c>
      <c r="D1256" t="s">
        <v>6703</v>
      </c>
      <c r="E1256" t="s">
        <v>1032</v>
      </c>
      <c r="F1256" t="s">
        <v>851</v>
      </c>
      <c r="G1256" t="s">
        <v>31</v>
      </c>
      <c r="H1256" t="s">
        <v>59</v>
      </c>
      <c r="I1256">
        <v>45579</v>
      </c>
      <c r="J1256">
        <v>45600</v>
      </c>
      <c r="K1256">
        <v>45596</v>
      </c>
      <c r="L1256">
        <v>4</v>
      </c>
      <c r="M1256" t="s">
        <v>6704</v>
      </c>
      <c r="N1256" t="s">
        <v>120</v>
      </c>
      <c r="O1256">
        <v>45597</v>
      </c>
      <c r="P1256" t="s">
        <v>739</v>
      </c>
      <c r="Q1256">
        <v>11555</v>
      </c>
      <c r="R1256" t="s">
        <v>1922</v>
      </c>
      <c r="S1256">
        <v>0</v>
      </c>
      <c r="T1256">
        <v>0</v>
      </c>
      <c r="U1256">
        <v>11555</v>
      </c>
      <c r="V1256">
        <v>50</v>
      </c>
      <c r="W1256">
        <v>0</v>
      </c>
      <c r="X1256">
        <v>126541.84</v>
      </c>
      <c r="Z1256">
        <v>36423.49</v>
      </c>
      <c r="AA1256" t="s">
        <v>29</v>
      </c>
      <c r="AB1256">
        <v>45586</v>
      </c>
      <c r="AC1256" t="s">
        <v>29</v>
      </c>
      <c r="AD1256" t="s">
        <v>29</v>
      </c>
      <c r="AE1256" t="s">
        <v>116</v>
      </c>
      <c r="AF1256" t="s">
        <v>29</v>
      </c>
      <c r="AG1256" t="s">
        <v>29</v>
      </c>
      <c r="AH1256">
        <v>45672</v>
      </c>
      <c r="AI1256">
        <v>0</v>
      </c>
      <c r="AJ1256">
        <v>0</v>
      </c>
      <c r="AK1256">
        <v>0</v>
      </c>
      <c r="AL1256">
        <v>0</v>
      </c>
      <c r="AM1256" t="s">
        <v>709</v>
      </c>
      <c r="AY1256" t="s">
        <v>29</v>
      </c>
      <c r="BA1256" t="s">
        <v>6705</v>
      </c>
      <c r="BB1256" t="s">
        <v>6706</v>
      </c>
      <c r="BC1256" t="s">
        <v>115</v>
      </c>
      <c r="BD1256" t="s">
        <v>115</v>
      </c>
      <c r="BE1256" t="s">
        <v>1841</v>
      </c>
      <c r="BF1256" t="s">
        <v>115</v>
      </c>
      <c r="BG1256" t="s">
        <v>6707</v>
      </c>
      <c r="BH1256" t="s">
        <v>6708</v>
      </c>
      <c r="BI1256" t="s">
        <v>709</v>
      </c>
      <c r="BJ1256" t="s">
        <v>116</v>
      </c>
      <c r="BK1256" t="s">
        <v>709</v>
      </c>
      <c r="BL1256" t="s">
        <v>709</v>
      </c>
      <c r="BM1256" t="s">
        <v>709</v>
      </c>
      <c r="BN1256" t="s">
        <v>709</v>
      </c>
      <c r="BO1256" t="s">
        <v>709</v>
      </c>
      <c r="BP1256">
        <v>50</v>
      </c>
      <c r="BQ1256" t="s">
        <v>709</v>
      </c>
      <c r="BR1256" t="s">
        <v>709</v>
      </c>
      <c r="BS1256" t="s">
        <v>709</v>
      </c>
      <c r="BT1256" t="s">
        <v>709</v>
      </c>
      <c r="BU1256" t="s">
        <v>709</v>
      </c>
      <c r="BV1256" t="s">
        <v>709</v>
      </c>
      <c r="BW1256" t="s">
        <v>709</v>
      </c>
      <c r="BX1256" t="s">
        <v>709</v>
      </c>
      <c r="BY1256" t="s">
        <v>709</v>
      </c>
      <c r="BZ1256" t="s">
        <v>709</v>
      </c>
      <c r="CA1256" t="s">
        <v>6709</v>
      </c>
      <c r="CB1256">
        <v>1254</v>
      </c>
      <c r="CC1256" t="b">
        <v>1</v>
      </c>
      <c r="CD1256" t="s">
        <v>6710</v>
      </c>
      <c r="CE1256" s="1482">
        <v>45880.739259259259</v>
      </c>
    </row>
    <row r="1257" spans="1:83" ht="240" x14ac:dyDescent="0.25">
      <c r="A1257">
        <v>2024</v>
      </c>
      <c r="B1257" t="s">
        <v>4</v>
      </c>
      <c r="C1257" t="s">
        <v>6711</v>
      </c>
      <c r="D1257" t="s">
        <v>115</v>
      </c>
      <c r="E1257" t="s">
        <v>232</v>
      </c>
      <c r="F1257" t="s">
        <v>1102</v>
      </c>
      <c r="G1257" t="s">
        <v>6712</v>
      </c>
      <c r="H1257" t="s">
        <v>1903</v>
      </c>
      <c r="I1257">
        <v>45550</v>
      </c>
      <c r="J1257">
        <v>45632</v>
      </c>
      <c r="K1257">
        <v>45600</v>
      </c>
      <c r="L1257">
        <v>32</v>
      </c>
      <c r="M1257" t="s">
        <v>6713</v>
      </c>
      <c r="N1257" t="s">
        <v>120</v>
      </c>
      <c r="O1257">
        <v>45597</v>
      </c>
      <c r="P1257" t="s">
        <v>739</v>
      </c>
      <c r="Q1257" t="s">
        <v>115</v>
      </c>
      <c r="R1257" t="s">
        <v>115</v>
      </c>
      <c r="S1257" t="s">
        <v>29</v>
      </c>
      <c r="T1257" t="s">
        <v>29</v>
      </c>
      <c r="U1257" t="s">
        <v>29</v>
      </c>
      <c r="V1257" t="s">
        <v>29</v>
      </c>
      <c r="W1257" t="s">
        <v>29</v>
      </c>
      <c r="X1257" t="s">
        <v>29</v>
      </c>
      <c r="Z1257" t="s">
        <v>29</v>
      </c>
      <c r="AA1257" t="s">
        <v>29</v>
      </c>
      <c r="AB1257" t="s">
        <v>29</v>
      </c>
      <c r="AC1257" t="s">
        <v>29</v>
      </c>
      <c r="AD1257" t="s">
        <v>29</v>
      </c>
      <c r="AE1257" t="s">
        <v>116</v>
      </c>
      <c r="AF1257" t="s">
        <v>29</v>
      </c>
      <c r="AG1257" t="s">
        <v>29</v>
      </c>
      <c r="AH1257">
        <v>45609</v>
      </c>
      <c r="AI1257" t="s">
        <v>29</v>
      </c>
      <c r="AJ1257" t="s">
        <v>29</v>
      </c>
      <c r="AK1257" t="s">
        <v>29</v>
      </c>
      <c r="AL1257" t="s">
        <v>29</v>
      </c>
      <c r="AM1257" t="s">
        <v>709</v>
      </c>
      <c r="AY1257" t="s">
        <v>29</v>
      </c>
      <c r="BA1257" s="4" t="s">
        <v>6714</v>
      </c>
      <c r="BB1257" t="s">
        <v>4986</v>
      </c>
      <c r="BC1257" t="s">
        <v>709</v>
      </c>
      <c r="BD1257" t="s">
        <v>709</v>
      </c>
      <c r="BE1257" t="s">
        <v>595</v>
      </c>
      <c r="BF1257" t="s">
        <v>709</v>
      </c>
      <c r="BG1257" t="s">
        <v>709</v>
      </c>
      <c r="BH1257" t="s">
        <v>6715</v>
      </c>
      <c r="CB1257">
        <v>1255</v>
      </c>
      <c r="CC1257" t="b">
        <v>1</v>
      </c>
      <c r="CD1257" t="s">
        <v>6716</v>
      </c>
      <c r="CE1257" s="1482">
        <v>45880.739270833335</v>
      </c>
    </row>
    <row r="1258" spans="1:83" ht="255" x14ac:dyDescent="0.25">
      <c r="A1258">
        <v>2024</v>
      </c>
      <c r="B1258" t="s">
        <v>4</v>
      </c>
      <c r="C1258" t="s">
        <v>6717</v>
      </c>
      <c r="D1258" t="s">
        <v>6718</v>
      </c>
      <c r="E1258" t="s">
        <v>6719</v>
      </c>
      <c r="F1258" t="s">
        <v>784</v>
      </c>
      <c r="G1258" t="s">
        <v>6712</v>
      </c>
      <c r="H1258" t="s">
        <v>59</v>
      </c>
      <c r="I1258">
        <v>45550</v>
      </c>
      <c r="J1258">
        <v>45604</v>
      </c>
      <c r="K1258">
        <v>45602</v>
      </c>
      <c r="L1258">
        <v>2</v>
      </c>
      <c r="N1258" t="s">
        <v>120</v>
      </c>
      <c r="O1258">
        <v>45597</v>
      </c>
      <c r="P1258" t="s">
        <v>739</v>
      </c>
      <c r="Q1258">
        <v>10943.445</v>
      </c>
      <c r="R1258">
        <v>0.1</v>
      </c>
      <c r="S1258" t="s">
        <v>29</v>
      </c>
      <c r="T1258" t="s">
        <v>29</v>
      </c>
      <c r="U1258" t="s">
        <v>29</v>
      </c>
      <c r="V1258">
        <v>159</v>
      </c>
      <c r="W1258" t="s">
        <v>29</v>
      </c>
      <c r="X1258">
        <v>76825.48</v>
      </c>
      <c r="Z1258">
        <v>32608.97</v>
      </c>
      <c r="AA1258">
        <v>109434.45</v>
      </c>
      <c r="AB1258">
        <v>45601</v>
      </c>
      <c r="AC1258" t="s">
        <v>29</v>
      </c>
      <c r="AD1258" t="s">
        <v>29</v>
      </c>
      <c r="AE1258" t="s">
        <v>116</v>
      </c>
      <c r="AF1258" t="s">
        <v>29</v>
      </c>
      <c r="AG1258" t="s">
        <v>29</v>
      </c>
      <c r="AH1258">
        <v>45646</v>
      </c>
      <c r="AI1258" t="s">
        <v>29</v>
      </c>
      <c r="AJ1258">
        <v>2450</v>
      </c>
      <c r="AK1258" t="s">
        <v>29</v>
      </c>
      <c r="AL1258">
        <v>0.22387831254234841</v>
      </c>
      <c r="AM1258" t="s">
        <v>116</v>
      </c>
      <c r="AN1258" t="s">
        <v>709</v>
      </c>
      <c r="AS1258">
        <v>0</v>
      </c>
      <c r="AT1258">
        <v>0</v>
      </c>
      <c r="AU1258">
        <v>0</v>
      </c>
      <c r="AY1258" t="s">
        <v>709</v>
      </c>
      <c r="BA1258" s="4" t="s">
        <v>6720</v>
      </c>
      <c r="BB1258" t="s">
        <v>6721</v>
      </c>
      <c r="BC1258" t="s">
        <v>115</v>
      </c>
      <c r="BD1258" t="s">
        <v>115</v>
      </c>
      <c r="BE1258" t="s">
        <v>6722</v>
      </c>
      <c r="BF1258" t="s">
        <v>115</v>
      </c>
      <c r="BG1258" t="s">
        <v>115</v>
      </c>
      <c r="BH1258" t="s">
        <v>6723</v>
      </c>
      <c r="BI1258" t="s">
        <v>709</v>
      </c>
      <c r="BJ1258" t="s">
        <v>709</v>
      </c>
      <c r="BK1258" t="s">
        <v>709</v>
      </c>
      <c r="BL1258" t="s">
        <v>116</v>
      </c>
      <c r="BM1258" t="s">
        <v>709</v>
      </c>
      <c r="BN1258" t="s">
        <v>709</v>
      </c>
      <c r="BO1258" t="s">
        <v>709</v>
      </c>
      <c r="BP1258" t="s">
        <v>709</v>
      </c>
      <c r="BQ1258" t="s">
        <v>709</v>
      </c>
      <c r="BR1258" t="s">
        <v>709</v>
      </c>
      <c r="BS1258">
        <v>159</v>
      </c>
      <c r="BT1258" t="s">
        <v>709</v>
      </c>
      <c r="BU1258" t="s">
        <v>709</v>
      </c>
      <c r="BV1258" t="s">
        <v>709</v>
      </c>
      <c r="BW1258" t="s">
        <v>709</v>
      </c>
      <c r="BX1258" t="s">
        <v>709</v>
      </c>
      <c r="BY1258" t="s">
        <v>709</v>
      </c>
      <c r="BZ1258" t="s">
        <v>709</v>
      </c>
      <c r="CB1258">
        <v>1256</v>
      </c>
      <c r="CC1258" t="b">
        <v>1</v>
      </c>
      <c r="CD1258" t="s">
        <v>6724</v>
      </c>
      <c r="CE1258" s="1482">
        <v>45880.739270833335</v>
      </c>
    </row>
    <row r="1259" spans="1:83" x14ac:dyDescent="0.25">
      <c r="A1259">
        <v>2024</v>
      </c>
      <c r="B1259" t="s">
        <v>1205</v>
      </c>
      <c r="C1259" t="s">
        <v>587</v>
      </c>
      <c r="D1259">
        <v>1212818</v>
      </c>
      <c r="E1259" t="s">
        <v>354</v>
      </c>
      <c r="F1259" t="s">
        <v>784</v>
      </c>
      <c r="G1259" t="s">
        <v>36</v>
      </c>
      <c r="H1259" t="s">
        <v>4001</v>
      </c>
      <c r="I1259">
        <v>45601</v>
      </c>
      <c r="J1259" t="s">
        <v>2052</v>
      </c>
      <c r="K1259">
        <v>45604</v>
      </c>
      <c r="L1259">
        <v>3</v>
      </c>
      <c r="M1259" t="s">
        <v>6725</v>
      </c>
      <c r="N1259" t="s">
        <v>120</v>
      </c>
      <c r="O1259">
        <v>45597</v>
      </c>
      <c r="P1259" t="s">
        <v>739</v>
      </c>
      <c r="Q1259">
        <v>2800</v>
      </c>
      <c r="R1259" t="s">
        <v>1922</v>
      </c>
      <c r="S1259">
        <v>0</v>
      </c>
      <c r="T1259">
        <v>0</v>
      </c>
      <c r="U1259">
        <v>2800</v>
      </c>
      <c r="V1259" t="s">
        <v>29</v>
      </c>
      <c r="W1259" t="s">
        <v>29</v>
      </c>
      <c r="X1259" t="s">
        <v>29</v>
      </c>
      <c r="Z1259" t="s">
        <v>29</v>
      </c>
      <c r="AA1259" t="s">
        <v>29</v>
      </c>
      <c r="AB1259" t="s">
        <v>29</v>
      </c>
      <c r="AC1259" t="s">
        <v>29</v>
      </c>
      <c r="AD1259" t="s">
        <v>116</v>
      </c>
      <c r="AE1259" t="s">
        <v>29</v>
      </c>
      <c r="AF1259" t="s">
        <v>756</v>
      </c>
      <c r="AG1259" t="s">
        <v>29</v>
      </c>
      <c r="AH1259">
        <v>45672</v>
      </c>
      <c r="AI1259" t="s">
        <v>29</v>
      </c>
      <c r="AJ1259" t="s">
        <v>29</v>
      </c>
      <c r="AK1259" t="s">
        <v>29</v>
      </c>
      <c r="AL1259" t="s">
        <v>29</v>
      </c>
      <c r="AM1259" t="s">
        <v>709</v>
      </c>
      <c r="AY1259" t="s">
        <v>29</v>
      </c>
      <c r="BA1259">
        <v>8</v>
      </c>
      <c r="BB1259" t="s">
        <v>29</v>
      </c>
      <c r="BC1259" t="s">
        <v>116</v>
      </c>
      <c r="BD1259" t="s">
        <v>709</v>
      </c>
      <c r="BE1259" t="s">
        <v>588</v>
      </c>
      <c r="BF1259" t="s">
        <v>709</v>
      </c>
      <c r="BG1259" t="s">
        <v>3021</v>
      </c>
      <c r="BH1259" t="s">
        <v>6726</v>
      </c>
      <c r="BI1259" t="s">
        <v>709</v>
      </c>
      <c r="BJ1259" t="s">
        <v>709</v>
      </c>
      <c r="BK1259" t="s">
        <v>709</v>
      </c>
      <c r="BL1259" t="s">
        <v>116</v>
      </c>
      <c r="BM1259" t="s">
        <v>709</v>
      </c>
      <c r="BN1259" t="s">
        <v>709</v>
      </c>
      <c r="BO1259" t="s">
        <v>709</v>
      </c>
      <c r="BP1259">
        <v>458</v>
      </c>
      <c r="BQ1259" t="s">
        <v>709</v>
      </c>
      <c r="BR1259" t="s">
        <v>709</v>
      </c>
      <c r="BS1259" t="s">
        <v>709</v>
      </c>
      <c r="BT1259" t="s">
        <v>709</v>
      </c>
      <c r="BU1259" t="s">
        <v>709</v>
      </c>
      <c r="BV1259" t="s">
        <v>709</v>
      </c>
      <c r="BW1259" t="s">
        <v>709</v>
      </c>
      <c r="BX1259" t="s">
        <v>709</v>
      </c>
      <c r="BY1259" t="s">
        <v>709</v>
      </c>
      <c r="BZ1259" t="s">
        <v>709</v>
      </c>
      <c r="CB1259">
        <v>1257</v>
      </c>
      <c r="CC1259" t="b">
        <v>1</v>
      </c>
      <c r="CD1259" t="s">
        <v>6727</v>
      </c>
      <c r="CE1259" s="1482">
        <v>45880.739270833335</v>
      </c>
    </row>
    <row r="1260" spans="1:83" ht="409.5" x14ac:dyDescent="0.25">
      <c r="A1260">
        <v>2024</v>
      </c>
      <c r="B1260" t="s">
        <v>1205</v>
      </c>
      <c r="C1260" t="s">
        <v>6728</v>
      </c>
      <c r="D1260" t="s">
        <v>6729</v>
      </c>
      <c r="E1260" t="s">
        <v>850</v>
      </c>
      <c r="F1260" t="s">
        <v>851</v>
      </c>
      <c r="G1260" t="s">
        <v>32</v>
      </c>
      <c r="H1260" t="s">
        <v>59</v>
      </c>
      <c r="I1260">
        <v>45562</v>
      </c>
      <c r="J1260">
        <v>45639</v>
      </c>
      <c r="K1260">
        <v>45607</v>
      </c>
      <c r="L1260">
        <v>32</v>
      </c>
      <c r="N1260" t="s">
        <v>120</v>
      </c>
      <c r="O1260">
        <v>45597</v>
      </c>
      <c r="P1260" t="s">
        <v>120</v>
      </c>
      <c r="Q1260">
        <v>17846.808300000001</v>
      </c>
      <c r="R1260">
        <v>0.09</v>
      </c>
      <c r="S1260">
        <v>0</v>
      </c>
      <c r="T1260">
        <v>0</v>
      </c>
      <c r="U1260">
        <v>0</v>
      </c>
      <c r="V1260">
        <v>286</v>
      </c>
      <c r="W1260">
        <v>0</v>
      </c>
      <c r="X1260">
        <v>183986.2</v>
      </c>
      <c r="Z1260">
        <v>14311.67</v>
      </c>
      <c r="AA1260">
        <v>198297.87</v>
      </c>
      <c r="AB1260">
        <v>45609</v>
      </c>
      <c r="AC1260" t="s">
        <v>709</v>
      </c>
      <c r="AD1260" t="s">
        <v>29</v>
      </c>
      <c r="AE1260" t="s">
        <v>709</v>
      </c>
      <c r="AF1260" t="s">
        <v>709</v>
      </c>
      <c r="AG1260" t="s">
        <v>116</v>
      </c>
      <c r="AH1260">
        <v>45672</v>
      </c>
      <c r="AI1260">
        <v>0</v>
      </c>
      <c r="AJ1260">
        <v>0</v>
      </c>
      <c r="AK1260">
        <v>5825</v>
      </c>
      <c r="AL1260">
        <v>0.32638889274111832</v>
      </c>
      <c r="AM1260" t="s">
        <v>116</v>
      </c>
      <c r="AN1260">
        <v>45740</v>
      </c>
      <c r="AO1260">
        <v>11100453</v>
      </c>
      <c r="AP1260">
        <v>169485.53</v>
      </c>
      <c r="AR1260">
        <v>17687.91</v>
      </c>
      <c r="AS1260">
        <v>187173.44</v>
      </c>
      <c r="AT1260">
        <v>-11124.43</v>
      </c>
      <c r="AU1260">
        <v>-1001.1987</v>
      </c>
      <c r="AV1260">
        <v>0</v>
      </c>
      <c r="AW1260" t="s">
        <v>6730</v>
      </c>
      <c r="AX1260">
        <v>-1001.1987</v>
      </c>
      <c r="AY1260">
        <v>45901</v>
      </c>
      <c r="BA1260" s="4" t="s">
        <v>6731</v>
      </c>
      <c r="BB1260" t="s">
        <v>6732</v>
      </c>
      <c r="BC1260" t="s">
        <v>115</v>
      </c>
      <c r="BD1260" t="s">
        <v>115</v>
      </c>
      <c r="BE1260" t="s">
        <v>855</v>
      </c>
      <c r="BF1260" t="s">
        <v>115</v>
      </c>
      <c r="BG1260" t="s">
        <v>115</v>
      </c>
      <c r="BH1260" t="s">
        <v>6733</v>
      </c>
      <c r="BI1260" t="s">
        <v>709</v>
      </c>
      <c r="BJ1260" t="s">
        <v>709</v>
      </c>
      <c r="BK1260" t="s">
        <v>709</v>
      </c>
      <c r="BL1260" t="s">
        <v>116</v>
      </c>
      <c r="BM1260">
        <v>0</v>
      </c>
      <c r="BN1260">
        <v>0</v>
      </c>
      <c r="BO1260">
        <v>0</v>
      </c>
      <c r="BP1260">
        <v>0</v>
      </c>
      <c r="BQ1260">
        <v>0</v>
      </c>
      <c r="BR1260">
        <v>0</v>
      </c>
      <c r="BS1260">
        <v>286</v>
      </c>
      <c r="BT1260">
        <v>0</v>
      </c>
      <c r="BU1260">
        <v>0</v>
      </c>
      <c r="BV1260">
        <v>0</v>
      </c>
      <c r="BW1260">
        <v>0</v>
      </c>
      <c r="BX1260">
        <v>0</v>
      </c>
      <c r="BY1260">
        <v>0</v>
      </c>
      <c r="BZ1260" t="s">
        <v>709</v>
      </c>
      <c r="CB1260">
        <v>1258</v>
      </c>
      <c r="CC1260" t="b">
        <v>1</v>
      </c>
      <c r="CD1260" t="s">
        <v>6734</v>
      </c>
      <c r="CE1260" s="1482">
        <v>45880.739282407405</v>
      </c>
    </row>
    <row r="1261" spans="1:83" ht="409.5" x14ac:dyDescent="0.25">
      <c r="A1261">
        <v>2024</v>
      </c>
      <c r="B1261" t="s">
        <v>1073</v>
      </c>
      <c r="C1261" t="s">
        <v>6735</v>
      </c>
      <c r="D1261" t="s">
        <v>6736</v>
      </c>
      <c r="E1261" t="s">
        <v>232</v>
      </c>
      <c r="F1261" t="s">
        <v>851</v>
      </c>
      <c r="G1261" t="s">
        <v>32</v>
      </c>
      <c r="H1261" t="s">
        <v>59</v>
      </c>
      <c r="I1261">
        <v>45540</v>
      </c>
      <c r="J1261">
        <v>45610</v>
      </c>
      <c r="K1261">
        <v>45609</v>
      </c>
      <c r="L1261">
        <v>1</v>
      </c>
      <c r="N1261" t="s">
        <v>120</v>
      </c>
      <c r="O1261">
        <v>45597</v>
      </c>
      <c r="P1261" t="s">
        <v>739</v>
      </c>
      <c r="Q1261">
        <v>34472.7952</v>
      </c>
      <c r="R1261">
        <v>0.08</v>
      </c>
      <c r="S1261">
        <v>0</v>
      </c>
      <c r="T1261">
        <v>0</v>
      </c>
      <c r="U1261">
        <v>0</v>
      </c>
      <c r="V1261">
        <v>898</v>
      </c>
      <c r="W1261">
        <v>0</v>
      </c>
      <c r="X1261">
        <v>430909.94</v>
      </c>
      <c r="Z1261">
        <v>0</v>
      </c>
      <c r="AA1261">
        <v>430909.94</v>
      </c>
      <c r="AB1261">
        <v>45609</v>
      </c>
      <c r="AC1261" t="s">
        <v>116</v>
      </c>
      <c r="AD1261" t="s">
        <v>29</v>
      </c>
      <c r="AE1261" t="s">
        <v>709</v>
      </c>
      <c r="AF1261" t="s">
        <v>709</v>
      </c>
      <c r="AG1261" t="s">
        <v>116</v>
      </c>
      <c r="AH1261">
        <v>45646</v>
      </c>
      <c r="AI1261">
        <v>0</v>
      </c>
      <c r="AJ1261">
        <v>0</v>
      </c>
      <c r="AK1261">
        <v>3892.5</v>
      </c>
      <c r="AL1261">
        <v>0.11291512560606051</v>
      </c>
      <c r="AM1261" t="s">
        <v>116</v>
      </c>
      <c r="AN1261" t="s">
        <v>709</v>
      </c>
      <c r="AS1261">
        <v>0</v>
      </c>
      <c r="AT1261">
        <v>0</v>
      </c>
      <c r="AU1261">
        <v>0</v>
      </c>
      <c r="AY1261" t="s">
        <v>709</v>
      </c>
      <c r="BA1261" s="4" t="s">
        <v>6737</v>
      </c>
      <c r="BB1261" s="4" t="s">
        <v>6738</v>
      </c>
      <c r="BC1261" t="s">
        <v>115</v>
      </c>
      <c r="BD1261" t="s">
        <v>837</v>
      </c>
      <c r="BE1261" t="s">
        <v>595</v>
      </c>
      <c r="BF1261" t="s">
        <v>838</v>
      </c>
      <c r="BG1261" t="s">
        <v>115</v>
      </c>
      <c r="BH1261" t="s">
        <v>6739</v>
      </c>
      <c r="BI1261" t="s">
        <v>709</v>
      </c>
      <c r="BJ1261" t="s">
        <v>709</v>
      </c>
      <c r="BK1261" t="s">
        <v>709</v>
      </c>
      <c r="BL1261" t="s">
        <v>116</v>
      </c>
      <c r="BM1261">
        <v>0</v>
      </c>
      <c r="BN1261">
        <v>0</v>
      </c>
      <c r="BO1261">
        <v>0</v>
      </c>
      <c r="BP1261">
        <v>898</v>
      </c>
      <c r="BQ1261">
        <v>0</v>
      </c>
      <c r="BR1261">
        <v>0</v>
      </c>
      <c r="BS1261">
        <v>0</v>
      </c>
      <c r="BT1261">
        <v>0</v>
      </c>
      <c r="BU1261">
        <v>0</v>
      </c>
      <c r="BV1261">
        <v>0</v>
      </c>
      <c r="BW1261">
        <v>0</v>
      </c>
      <c r="BX1261">
        <v>0</v>
      </c>
      <c r="BY1261">
        <v>0</v>
      </c>
      <c r="BZ1261" t="s">
        <v>709</v>
      </c>
      <c r="CB1261">
        <v>1259</v>
      </c>
      <c r="CC1261" t="b">
        <v>1</v>
      </c>
      <c r="CD1261" t="s">
        <v>6740</v>
      </c>
      <c r="CE1261" s="1482">
        <v>45880.739282407405</v>
      </c>
    </row>
    <row r="1262" spans="1:83" x14ac:dyDescent="0.25">
      <c r="A1262">
        <v>2024</v>
      </c>
      <c r="B1262" t="s">
        <v>4</v>
      </c>
      <c r="C1262" t="s">
        <v>372</v>
      </c>
      <c r="D1262">
        <v>1211967</v>
      </c>
      <c r="E1262" t="s">
        <v>373</v>
      </c>
      <c r="F1262" t="s">
        <v>784</v>
      </c>
      <c r="G1262" t="s">
        <v>27</v>
      </c>
      <c r="H1262" t="s">
        <v>4189</v>
      </c>
      <c r="I1262">
        <v>45573</v>
      </c>
      <c r="J1262" t="s">
        <v>2052</v>
      </c>
      <c r="K1262">
        <v>45610</v>
      </c>
      <c r="L1262">
        <v>37</v>
      </c>
      <c r="M1262" t="s">
        <v>6741</v>
      </c>
      <c r="N1262" t="s">
        <v>120</v>
      </c>
      <c r="O1262">
        <v>45627</v>
      </c>
      <c r="P1262" t="s">
        <v>739</v>
      </c>
      <c r="Q1262">
        <v>6580</v>
      </c>
      <c r="R1262" t="s">
        <v>1922</v>
      </c>
      <c r="S1262" t="s">
        <v>29</v>
      </c>
      <c r="T1262" t="s">
        <v>29</v>
      </c>
      <c r="U1262">
        <v>6580</v>
      </c>
      <c r="V1262" t="s">
        <v>29</v>
      </c>
      <c r="W1262" t="s">
        <v>29</v>
      </c>
      <c r="X1262" t="s">
        <v>29</v>
      </c>
      <c r="Y1262" t="s">
        <v>709</v>
      </c>
      <c r="Z1262" t="s">
        <v>29</v>
      </c>
      <c r="AA1262" t="s">
        <v>29</v>
      </c>
      <c r="AB1262" t="s">
        <v>29</v>
      </c>
      <c r="AC1262" t="s">
        <v>29</v>
      </c>
      <c r="AD1262" t="s">
        <v>29</v>
      </c>
      <c r="AE1262" t="s">
        <v>116</v>
      </c>
      <c r="AF1262" t="s">
        <v>29</v>
      </c>
      <c r="AG1262" t="s">
        <v>29</v>
      </c>
      <c r="AH1262">
        <v>45646</v>
      </c>
      <c r="AI1262" t="s">
        <v>29</v>
      </c>
      <c r="AJ1262" t="s">
        <v>29</v>
      </c>
      <c r="AK1262" t="s">
        <v>29</v>
      </c>
      <c r="AL1262" t="s">
        <v>29</v>
      </c>
      <c r="AM1262" t="s">
        <v>709</v>
      </c>
      <c r="AY1262" t="s">
        <v>29</v>
      </c>
      <c r="BA1262" t="s">
        <v>5156</v>
      </c>
      <c r="BB1262" t="s">
        <v>6742</v>
      </c>
      <c r="BC1262" t="s">
        <v>116</v>
      </c>
      <c r="BD1262" t="s">
        <v>709</v>
      </c>
      <c r="BE1262" t="s">
        <v>709</v>
      </c>
      <c r="BF1262" t="s">
        <v>709</v>
      </c>
      <c r="BG1262" t="s">
        <v>709</v>
      </c>
      <c r="BH1262" t="s">
        <v>6743</v>
      </c>
      <c r="BI1262" t="s">
        <v>709</v>
      </c>
      <c r="BJ1262" t="s">
        <v>116</v>
      </c>
      <c r="BK1262" t="s">
        <v>709</v>
      </c>
      <c r="BL1262" t="s">
        <v>116</v>
      </c>
      <c r="BM1262" t="s">
        <v>709</v>
      </c>
      <c r="BN1262" t="s">
        <v>709</v>
      </c>
      <c r="BO1262" t="s">
        <v>709</v>
      </c>
      <c r="BP1262" t="s">
        <v>709</v>
      </c>
      <c r="BQ1262" t="s">
        <v>709</v>
      </c>
      <c r="BR1262">
        <v>7959</v>
      </c>
      <c r="BS1262">
        <v>9</v>
      </c>
      <c r="BT1262" t="s">
        <v>709</v>
      </c>
      <c r="BU1262" t="s">
        <v>709</v>
      </c>
      <c r="BV1262" t="s">
        <v>709</v>
      </c>
      <c r="BW1262" t="s">
        <v>709</v>
      </c>
      <c r="BX1262" t="s">
        <v>709</v>
      </c>
      <c r="BY1262" t="s">
        <v>709</v>
      </c>
      <c r="BZ1262" t="s">
        <v>709</v>
      </c>
      <c r="CB1262">
        <v>1261</v>
      </c>
      <c r="CC1262" t="b">
        <v>1</v>
      </c>
      <c r="CD1262" t="s">
        <v>6744</v>
      </c>
      <c r="CE1262" s="1482">
        <v>45880.739293981482</v>
      </c>
    </row>
    <row r="1263" spans="1:83" ht="345" x14ac:dyDescent="0.25">
      <c r="A1263">
        <v>2024</v>
      </c>
      <c r="B1263" t="s">
        <v>4</v>
      </c>
      <c r="C1263" t="s">
        <v>6745</v>
      </c>
      <c r="D1263" t="s">
        <v>6746</v>
      </c>
      <c r="E1263" t="s">
        <v>76</v>
      </c>
      <c r="F1263" t="s">
        <v>851</v>
      </c>
      <c r="G1263" t="s">
        <v>6377</v>
      </c>
      <c r="H1263" t="s">
        <v>59</v>
      </c>
      <c r="I1263">
        <v>45496</v>
      </c>
      <c r="J1263">
        <v>45611</v>
      </c>
      <c r="K1263">
        <v>45610</v>
      </c>
      <c r="L1263">
        <v>1</v>
      </c>
      <c r="N1263" t="s">
        <v>120</v>
      </c>
      <c r="O1263">
        <v>45597</v>
      </c>
      <c r="P1263" t="s">
        <v>739</v>
      </c>
      <c r="Q1263">
        <v>108189.251</v>
      </c>
      <c r="R1263">
        <v>0.1</v>
      </c>
      <c r="S1263" t="s">
        <v>29</v>
      </c>
      <c r="T1263" t="s">
        <v>29</v>
      </c>
      <c r="U1263" t="s">
        <v>29</v>
      </c>
      <c r="V1263">
        <v>2585</v>
      </c>
      <c r="W1263">
        <v>0</v>
      </c>
      <c r="X1263">
        <v>863453.43</v>
      </c>
      <c r="Z1263">
        <v>218439.08</v>
      </c>
      <c r="AA1263">
        <v>1081892.51</v>
      </c>
      <c r="AB1263">
        <v>45610</v>
      </c>
      <c r="AC1263" t="s">
        <v>709</v>
      </c>
      <c r="AD1263" t="s">
        <v>29</v>
      </c>
      <c r="AE1263" t="s">
        <v>756</v>
      </c>
      <c r="AF1263" t="s">
        <v>756</v>
      </c>
      <c r="AG1263" t="s">
        <v>116</v>
      </c>
      <c r="AH1263">
        <v>45646</v>
      </c>
      <c r="AI1263" t="s">
        <v>29</v>
      </c>
      <c r="AJ1263">
        <v>6150</v>
      </c>
      <c r="AK1263">
        <v>8371.75</v>
      </c>
      <c r="AL1263">
        <v>0.1342254416753472</v>
      </c>
      <c r="AM1263" t="s">
        <v>116</v>
      </c>
      <c r="AN1263">
        <v>45722</v>
      </c>
      <c r="AO1263">
        <v>11099580</v>
      </c>
      <c r="AP1263">
        <v>870348.87</v>
      </c>
      <c r="AR1263">
        <v>218439.08</v>
      </c>
      <c r="AS1263">
        <v>1088787.95</v>
      </c>
      <c r="AT1263">
        <v>6895.44</v>
      </c>
      <c r="AU1263">
        <v>689.54399999999998</v>
      </c>
      <c r="AV1263">
        <v>0</v>
      </c>
      <c r="AW1263" t="s">
        <v>6747</v>
      </c>
      <c r="AX1263">
        <v>689.54399999999998</v>
      </c>
      <c r="AY1263">
        <v>45901</v>
      </c>
      <c r="BA1263" s="4" t="s">
        <v>6748</v>
      </c>
      <c r="BB1263" t="s">
        <v>4997</v>
      </c>
      <c r="BC1263" t="s">
        <v>115</v>
      </c>
      <c r="BD1263" t="s">
        <v>115</v>
      </c>
      <c r="BE1263" t="s">
        <v>6749</v>
      </c>
      <c r="BF1263" t="s">
        <v>115</v>
      </c>
      <c r="BG1263" t="s">
        <v>115</v>
      </c>
      <c r="BH1263" t="s">
        <v>6750</v>
      </c>
      <c r="BI1263" t="s">
        <v>709</v>
      </c>
      <c r="BJ1263" t="s">
        <v>709</v>
      </c>
      <c r="BK1263" t="s">
        <v>709</v>
      </c>
      <c r="BL1263" t="s">
        <v>116</v>
      </c>
      <c r="BM1263" t="s">
        <v>709</v>
      </c>
      <c r="BN1263" t="s">
        <v>709</v>
      </c>
      <c r="BO1263" t="s">
        <v>709</v>
      </c>
      <c r="BP1263" t="s">
        <v>709</v>
      </c>
      <c r="BQ1263" t="s">
        <v>709</v>
      </c>
      <c r="BR1263" t="s">
        <v>709</v>
      </c>
      <c r="BS1263">
        <v>2585</v>
      </c>
      <c r="BT1263" t="s">
        <v>745</v>
      </c>
      <c r="BU1263" t="s">
        <v>709</v>
      </c>
      <c r="BV1263" t="s">
        <v>745</v>
      </c>
      <c r="BW1263" t="s">
        <v>709</v>
      </c>
      <c r="BX1263" t="s">
        <v>745</v>
      </c>
      <c r="BY1263" t="s">
        <v>745</v>
      </c>
      <c r="BZ1263" t="s">
        <v>709</v>
      </c>
      <c r="CB1263">
        <v>1260</v>
      </c>
      <c r="CC1263" t="b">
        <v>1</v>
      </c>
      <c r="CD1263" t="s">
        <v>6751</v>
      </c>
      <c r="CE1263" s="1482">
        <v>45880.739293981482</v>
      </c>
    </row>
    <row r="1264" spans="1:83" x14ac:dyDescent="0.25">
      <c r="A1264">
        <v>2024</v>
      </c>
      <c r="B1264" t="s">
        <v>1205</v>
      </c>
      <c r="C1264" t="s">
        <v>6752</v>
      </c>
      <c r="D1264">
        <v>1414140</v>
      </c>
      <c r="E1264" t="s">
        <v>2074</v>
      </c>
      <c r="F1264" t="s">
        <v>1757</v>
      </c>
      <c r="G1264" t="s">
        <v>31</v>
      </c>
      <c r="H1264" t="s">
        <v>4450</v>
      </c>
      <c r="I1264">
        <v>45560</v>
      </c>
      <c r="J1264" t="s">
        <v>2612</v>
      </c>
      <c r="K1264">
        <v>45611</v>
      </c>
      <c r="L1264">
        <v>51</v>
      </c>
      <c r="M1264" t="s">
        <v>6753</v>
      </c>
      <c r="N1264" t="s">
        <v>120</v>
      </c>
      <c r="O1264">
        <v>45627</v>
      </c>
      <c r="P1264" t="s">
        <v>739</v>
      </c>
      <c r="Q1264">
        <v>22132.5</v>
      </c>
      <c r="R1264" t="s">
        <v>1922</v>
      </c>
      <c r="S1264">
        <v>0</v>
      </c>
      <c r="T1264">
        <v>0</v>
      </c>
      <c r="U1264">
        <v>22132.5</v>
      </c>
      <c r="V1264" t="s">
        <v>29</v>
      </c>
      <c r="W1264" t="s">
        <v>29</v>
      </c>
      <c r="X1264" t="s">
        <v>29</v>
      </c>
      <c r="Z1264" t="s">
        <v>29</v>
      </c>
      <c r="AA1264" t="s">
        <v>29</v>
      </c>
      <c r="AB1264" t="s">
        <v>29</v>
      </c>
      <c r="AC1264" t="s">
        <v>29</v>
      </c>
      <c r="AD1264" t="s">
        <v>29</v>
      </c>
      <c r="AE1264" t="s">
        <v>29</v>
      </c>
      <c r="AF1264" t="s">
        <v>29</v>
      </c>
      <c r="AG1264" t="s">
        <v>29</v>
      </c>
      <c r="AH1264" t="s">
        <v>29</v>
      </c>
      <c r="AI1264" t="s">
        <v>29</v>
      </c>
      <c r="AJ1264" t="s">
        <v>29</v>
      </c>
      <c r="AK1264" t="s">
        <v>29</v>
      </c>
      <c r="AL1264" t="s">
        <v>29</v>
      </c>
      <c r="AM1264" t="s">
        <v>709</v>
      </c>
      <c r="AY1264" t="s">
        <v>29</v>
      </c>
      <c r="BA1264" t="s">
        <v>6754</v>
      </c>
      <c r="BB1264" t="s">
        <v>29</v>
      </c>
      <c r="BC1264" t="s">
        <v>116</v>
      </c>
      <c r="BD1264" t="s">
        <v>709</v>
      </c>
      <c r="BE1264" t="s">
        <v>5564</v>
      </c>
      <c r="BF1264" t="s">
        <v>709</v>
      </c>
      <c r="BG1264" t="s">
        <v>709</v>
      </c>
      <c r="BH1264" t="s">
        <v>6755</v>
      </c>
      <c r="CB1264">
        <v>1264</v>
      </c>
      <c r="CC1264" t="b">
        <v>1</v>
      </c>
      <c r="CD1264" t="s">
        <v>6756</v>
      </c>
      <c r="CE1264" s="1482">
        <v>45880.739305555559</v>
      </c>
    </row>
    <row r="1265" spans="1:83" x14ac:dyDescent="0.25">
      <c r="A1265">
        <v>2024</v>
      </c>
      <c r="B1265" t="s">
        <v>1205</v>
      </c>
      <c r="C1265" t="s">
        <v>6752</v>
      </c>
      <c r="D1265" t="s">
        <v>6757</v>
      </c>
      <c r="E1265" t="s">
        <v>2074</v>
      </c>
      <c r="F1265" t="s">
        <v>1757</v>
      </c>
      <c r="G1265" t="s">
        <v>31</v>
      </c>
      <c r="H1265" t="s">
        <v>59</v>
      </c>
      <c r="I1265">
        <v>45495</v>
      </c>
      <c r="J1265">
        <v>45614</v>
      </c>
      <c r="K1265">
        <v>45611</v>
      </c>
      <c r="L1265">
        <v>3</v>
      </c>
      <c r="N1265" t="s">
        <v>120</v>
      </c>
      <c r="O1265">
        <v>45597</v>
      </c>
      <c r="P1265" t="s">
        <v>739</v>
      </c>
      <c r="Q1265">
        <v>112962.87</v>
      </c>
      <c r="R1265">
        <v>0.09</v>
      </c>
      <c r="S1265" t="s">
        <v>29</v>
      </c>
      <c r="T1265" t="s">
        <v>29</v>
      </c>
      <c r="U1265" t="s">
        <v>29</v>
      </c>
      <c r="V1265">
        <v>1179</v>
      </c>
      <c r="W1265">
        <v>0</v>
      </c>
      <c r="X1265">
        <v>1137993.55</v>
      </c>
      <c r="Z1265">
        <v>117149.45</v>
      </c>
      <c r="AA1265">
        <v>1255143</v>
      </c>
      <c r="AB1265">
        <v>45601</v>
      </c>
      <c r="AC1265" t="s">
        <v>116</v>
      </c>
      <c r="AD1265" t="s">
        <v>29</v>
      </c>
      <c r="AE1265" t="s">
        <v>29</v>
      </c>
      <c r="AF1265" t="s">
        <v>116</v>
      </c>
      <c r="AG1265" t="s">
        <v>116</v>
      </c>
      <c r="AH1265">
        <v>45672</v>
      </c>
      <c r="AI1265">
        <v>64564.5</v>
      </c>
      <c r="AJ1265">
        <v>0</v>
      </c>
      <c r="AK1265">
        <v>1109.5</v>
      </c>
      <c r="AL1265">
        <v>0.58137687188719622</v>
      </c>
      <c r="AM1265" t="s">
        <v>116</v>
      </c>
      <c r="AN1265" t="s">
        <v>709</v>
      </c>
      <c r="AS1265">
        <v>0</v>
      </c>
      <c r="AT1265">
        <v>0</v>
      </c>
      <c r="AU1265">
        <v>0</v>
      </c>
      <c r="AY1265" t="s">
        <v>709</v>
      </c>
      <c r="BA1265" t="s">
        <v>6758</v>
      </c>
      <c r="BB1265" t="s">
        <v>6759</v>
      </c>
      <c r="BC1265" t="s">
        <v>116</v>
      </c>
      <c r="BD1265" t="s">
        <v>115</v>
      </c>
      <c r="BE1265" t="s">
        <v>5564</v>
      </c>
      <c r="BF1265" t="s">
        <v>115</v>
      </c>
      <c r="BG1265" t="s">
        <v>115</v>
      </c>
      <c r="BH1265" t="s">
        <v>6760</v>
      </c>
      <c r="BI1265" t="s">
        <v>709</v>
      </c>
      <c r="BJ1265" t="s">
        <v>709</v>
      </c>
      <c r="BK1265" t="s">
        <v>116</v>
      </c>
      <c r="BL1265" t="s">
        <v>709</v>
      </c>
      <c r="BM1265" t="s">
        <v>709</v>
      </c>
      <c r="BN1265">
        <v>1179</v>
      </c>
      <c r="BO1265" t="s">
        <v>709</v>
      </c>
      <c r="BP1265" t="s">
        <v>709</v>
      </c>
      <c r="BQ1265" t="s">
        <v>709</v>
      </c>
      <c r="BR1265" t="s">
        <v>709</v>
      </c>
      <c r="BS1265" t="s">
        <v>709</v>
      </c>
      <c r="BT1265" t="s">
        <v>709</v>
      </c>
      <c r="BU1265" t="s">
        <v>709</v>
      </c>
      <c r="BV1265" t="s">
        <v>709</v>
      </c>
      <c r="BW1265" t="s">
        <v>709</v>
      </c>
      <c r="BX1265" t="s">
        <v>709</v>
      </c>
      <c r="BY1265" t="s">
        <v>709</v>
      </c>
      <c r="BZ1265" t="s">
        <v>709</v>
      </c>
      <c r="CB1265">
        <v>1262</v>
      </c>
      <c r="CC1265" t="b">
        <v>1</v>
      </c>
      <c r="CD1265" t="s">
        <v>6761</v>
      </c>
      <c r="CE1265" s="1482">
        <v>45880.739305555559</v>
      </c>
    </row>
    <row r="1266" spans="1:83" ht="135" x14ac:dyDescent="0.25">
      <c r="A1266">
        <v>2025</v>
      </c>
      <c r="B1266" t="s">
        <v>730</v>
      </c>
      <c r="C1266" t="s">
        <v>6762</v>
      </c>
      <c r="D1266" t="s">
        <v>6763</v>
      </c>
      <c r="E1266" t="s">
        <v>6764</v>
      </c>
      <c r="F1266" t="s">
        <v>6643</v>
      </c>
      <c r="G1266" t="s">
        <v>37</v>
      </c>
      <c r="H1266" t="s">
        <v>59</v>
      </c>
      <c r="I1266">
        <v>45491</v>
      </c>
      <c r="J1266">
        <v>45615</v>
      </c>
      <c r="K1266">
        <v>45611</v>
      </c>
      <c r="L1266">
        <v>4</v>
      </c>
      <c r="N1266" t="s">
        <v>120</v>
      </c>
      <c r="O1266">
        <v>45620</v>
      </c>
      <c r="P1266" t="s">
        <v>120</v>
      </c>
      <c r="Q1266">
        <v>50089.041899999997</v>
      </c>
      <c r="R1266">
        <v>0.09</v>
      </c>
      <c r="S1266" t="s">
        <v>29</v>
      </c>
      <c r="T1266" t="s">
        <v>29</v>
      </c>
      <c r="U1266" t="s">
        <v>29</v>
      </c>
      <c r="V1266">
        <v>2019</v>
      </c>
      <c r="W1266">
        <v>0</v>
      </c>
      <c r="X1266">
        <v>507454.25</v>
      </c>
      <c r="Z1266">
        <v>49090.66</v>
      </c>
      <c r="AA1266">
        <v>556544.91</v>
      </c>
      <c r="AB1266">
        <v>45609</v>
      </c>
      <c r="AC1266" t="s">
        <v>116</v>
      </c>
      <c r="AD1266" t="s">
        <v>116</v>
      </c>
      <c r="AE1266" t="s">
        <v>116</v>
      </c>
      <c r="AF1266" t="s">
        <v>116</v>
      </c>
      <c r="AG1266" t="s">
        <v>29</v>
      </c>
      <c r="AH1266">
        <v>45735</v>
      </c>
      <c r="AI1266">
        <v>0</v>
      </c>
      <c r="AJ1266">
        <v>1638.52</v>
      </c>
      <c r="AK1266">
        <v>8927</v>
      </c>
      <c r="AL1266">
        <v>0.21093475936500194</v>
      </c>
      <c r="AM1266" t="s">
        <v>116</v>
      </c>
      <c r="AN1266" t="s">
        <v>709</v>
      </c>
      <c r="AS1266">
        <v>0</v>
      </c>
      <c r="AT1266">
        <v>0</v>
      </c>
      <c r="AU1266">
        <v>0</v>
      </c>
      <c r="AY1266" t="s">
        <v>709</v>
      </c>
      <c r="BA1266" t="s">
        <v>6765</v>
      </c>
      <c r="BB1266" s="4" t="s">
        <v>6766</v>
      </c>
      <c r="BC1266" t="s">
        <v>115</v>
      </c>
      <c r="BD1266" t="s">
        <v>6767</v>
      </c>
      <c r="BE1266" t="s">
        <v>115</v>
      </c>
      <c r="BF1266" t="s">
        <v>6768</v>
      </c>
      <c r="BG1266" t="s">
        <v>6769</v>
      </c>
      <c r="BH1266" t="s">
        <v>6770</v>
      </c>
      <c r="BI1266" t="s">
        <v>709</v>
      </c>
      <c r="BJ1266" t="s">
        <v>709</v>
      </c>
      <c r="BK1266" t="s">
        <v>709</v>
      </c>
      <c r="BL1266" t="s">
        <v>116</v>
      </c>
      <c r="BM1266" t="s">
        <v>709</v>
      </c>
      <c r="BN1266" t="s">
        <v>709</v>
      </c>
      <c r="BO1266" t="s">
        <v>709</v>
      </c>
      <c r="BP1266" t="s">
        <v>709</v>
      </c>
      <c r="BQ1266" t="s">
        <v>709</v>
      </c>
      <c r="BR1266">
        <v>2019</v>
      </c>
      <c r="BS1266" t="s">
        <v>709</v>
      </c>
      <c r="BT1266" t="s">
        <v>709</v>
      </c>
      <c r="BU1266" t="s">
        <v>709</v>
      </c>
      <c r="BV1266" t="s">
        <v>709</v>
      </c>
      <c r="BW1266" t="s">
        <v>709</v>
      </c>
      <c r="BX1266" t="s">
        <v>709</v>
      </c>
      <c r="BY1266" t="s">
        <v>709</v>
      </c>
      <c r="BZ1266" t="s">
        <v>709</v>
      </c>
      <c r="CB1266">
        <v>1263</v>
      </c>
      <c r="CC1266" t="b">
        <v>1</v>
      </c>
      <c r="CD1266" t="s">
        <v>6771</v>
      </c>
      <c r="CE1266" s="1482">
        <v>45880.739305555559</v>
      </c>
    </row>
    <row r="1267" spans="1:83" x14ac:dyDescent="0.25">
      <c r="A1267">
        <v>2025</v>
      </c>
      <c r="B1267" t="s">
        <v>730</v>
      </c>
      <c r="C1267" t="s">
        <v>6772</v>
      </c>
      <c r="D1267" t="s">
        <v>6773</v>
      </c>
      <c r="E1267" t="s">
        <v>6774</v>
      </c>
      <c r="F1267" t="s">
        <v>6643</v>
      </c>
      <c r="G1267" t="s">
        <v>34</v>
      </c>
      <c r="H1267" t="s">
        <v>59</v>
      </c>
      <c r="I1267">
        <v>45470</v>
      </c>
      <c r="J1267">
        <v>45618</v>
      </c>
      <c r="K1267">
        <v>45617</v>
      </c>
      <c r="L1267">
        <v>1</v>
      </c>
      <c r="N1267" t="s">
        <v>120</v>
      </c>
      <c r="O1267">
        <v>45627</v>
      </c>
      <c r="P1267" t="s">
        <v>120</v>
      </c>
      <c r="Q1267">
        <v>89413.880600000004</v>
      </c>
      <c r="R1267">
        <v>0.11</v>
      </c>
      <c r="S1267" t="s">
        <v>29</v>
      </c>
      <c r="T1267" t="s">
        <v>29</v>
      </c>
      <c r="U1267" t="s">
        <v>29</v>
      </c>
      <c r="V1267">
        <v>5051</v>
      </c>
      <c r="W1267">
        <v>0</v>
      </c>
      <c r="X1267">
        <v>712022.75</v>
      </c>
      <c r="Z1267">
        <v>100830.71</v>
      </c>
      <c r="AA1267">
        <v>812853.46</v>
      </c>
      <c r="AB1267">
        <v>45636</v>
      </c>
      <c r="AC1267" t="s">
        <v>1056</v>
      </c>
      <c r="AD1267" t="s">
        <v>29</v>
      </c>
      <c r="AE1267" t="s">
        <v>116</v>
      </c>
      <c r="AF1267" t="s">
        <v>29</v>
      </c>
      <c r="AG1267" t="s">
        <v>376</v>
      </c>
      <c r="AH1267" t="s">
        <v>376</v>
      </c>
      <c r="AI1267">
        <v>10450</v>
      </c>
      <c r="AJ1267">
        <v>0</v>
      </c>
      <c r="AK1267">
        <v>3450</v>
      </c>
      <c r="AL1267">
        <v>0.15545684749085817</v>
      </c>
      <c r="AM1267" t="s">
        <v>116</v>
      </c>
      <c r="AN1267" t="s">
        <v>709</v>
      </c>
      <c r="AS1267">
        <v>0</v>
      </c>
      <c r="AT1267">
        <v>0</v>
      </c>
      <c r="AU1267">
        <v>0</v>
      </c>
      <c r="AY1267" t="s">
        <v>709</v>
      </c>
      <c r="BA1267" t="s">
        <v>6775</v>
      </c>
      <c r="BB1267" t="s">
        <v>6776</v>
      </c>
      <c r="BC1267" t="s">
        <v>115</v>
      </c>
      <c r="BD1267" t="s">
        <v>115</v>
      </c>
      <c r="BE1267" t="s">
        <v>115</v>
      </c>
      <c r="BF1267" t="s">
        <v>6777</v>
      </c>
      <c r="BG1267" t="s">
        <v>115</v>
      </c>
      <c r="BH1267" t="s">
        <v>6778</v>
      </c>
      <c r="BI1267" t="s">
        <v>709</v>
      </c>
      <c r="BJ1267" t="s">
        <v>116</v>
      </c>
      <c r="BK1267" t="s">
        <v>709</v>
      </c>
      <c r="BL1267" t="s">
        <v>116</v>
      </c>
      <c r="BM1267" t="s">
        <v>709</v>
      </c>
      <c r="BN1267" t="s">
        <v>709</v>
      </c>
      <c r="BO1267" t="s">
        <v>709</v>
      </c>
      <c r="BP1267" t="s">
        <v>709</v>
      </c>
      <c r="BQ1267" t="s">
        <v>709</v>
      </c>
      <c r="BR1267">
        <v>4954</v>
      </c>
      <c r="BS1267">
        <v>97</v>
      </c>
      <c r="BT1267" t="s">
        <v>709</v>
      </c>
      <c r="BU1267">
        <v>1</v>
      </c>
      <c r="BV1267" t="s">
        <v>709</v>
      </c>
      <c r="BW1267" t="s">
        <v>709</v>
      </c>
      <c r="BX1267" t="s">
        <v>709</v>
      </c>
      <c r="BY1267" t="s">
        <v>709</v>
      </c>
      <c r="BZ1267" t="s">
        <v>709</v>
      </c>
      <c r="CB1267">
        <v>1265</v>
      </c>
      <c r="CC1267" t="b">
        <v>1</v>
      </c>
      <c r="CD1267" t="s">
        <v>6779</v>
      </c>
      <c r="CE1267" s="1482">
        <v>45880.739317129628</v>
      </c>
    </row>
    <row r="1268" spans="1:83" x14ac:dyDescent="0.25">
      <c r="A1268">
        <v>2024</v>
      </c>
      <c r="B1268" t="s">
        <v>4</v>
      </c>
      <c r="C1268" t="s">
        <v>6780</v>
      </c>
      <c r="D1268" t="s">
        <v>6475</v>
      </c>
      <c r="E1268" t="s">
        <v>111</v>
      </c>
      <c r="F1268" t="s">
        <v>784</v>
      </c>
      <c r="G1268" t="s">
        <v>26</v>
      </c>
      <c r="H1268" t="s">
        <v>4189</v>
      </c>
      <c r="I1268">
        <v>45588</v>
      </c>
      <c r="J1268" t="s">
        <v>2052</v>
      </c>
      <c r="K1268">
        <v>45618</v>
      </c>
      <c r="L1268">
        <v>30</v>
      </c>
      <c r="M1268" t="s">
        <v>6781</v>
      </c>
      <c r="N1268" t="s">
        <v>120</v>
      </c>
      <c r="O1268">
        <v>45627</v>
      </c>
      <c r="P1268" t="s">
        <v>739</v>
      </c>
      <c r="Q1268">
        <v>14648</v>
      </c>
      <c r="R1268" t="s">
        <v>1922</v>
      </c>
      <c r="S1268">
        <v>2468</v>
      </c>
      <c r="T1268">
        <v>0</v>
      </c>
      <c r="U1268">
        <v>12180</v>
      </c>
      <c r="V1268" t="s">
        <v>29</v>
      </c>
      <c r="W1268" t="s">
        <v>29</v>
      </c>
      <c r="X1268" t="s">
        <v>29</v>
      </c>
      <c r="Y1268" t="s">
        <v>709</v>
      </c>
      <c r="Z1268" t="s">
        <v>29</v>
      </c>
      <c r="AA1268" t="s">
        <v>29</v>
      </c>
      <c r="AB1268" t="s">
        <v>29</v>
      </c>
      <c r="AC1268" t="s">
        <v>709</v>
      </c>
      <c r="AD1268" t="s">
        <v>29</v>
      </c>
      <c r="AE1268" t="s">
        <v>116</v>
      </c>
      <c r="AF1268" t="s">
        <v>116</v>
      </c>
      <c r="AG1268" t="s">
        <v>116</v>
      </c>
      <c r="AH1268">
        <v>45646</v>
      </c>
      <c r="AI1268" t="s">
        <v>29</v>
      </c>
      <c r="AJ1268" t="s">
        <v>29</v>
      </c>
      <c r="AK1268" t="s">
        <v>29</v>
      </c>
      <c r="AL1268" t="s">
        <v>29</v>
      </c>
      <c r="AM1268" t="s">
        <v>709</v>
      </c>
      <c r="AY1268" t="s">
        <v>29</v>
      </c>
      <c r="BA1268">
        <v>2</v>
      </c>
      <c r="BB1268" t="s">
        <v>6782</v>
      </c>
      <c r="BC1268" t="s">
        <v>116</v>
      </c>
      <c r="BD1268" t="s">
        <v>709</v>
      </c>
      <c r="BE1268" t="s">
        <v>1114</v>
      </c>
      <c r="BF1268" t="s">
        <v>709</v>
      </c>
      <c r="BG1268" t="s">
        <v>709</v>
      </c>
      <c r="BH1268" t="s">
        <v>6783</v>
      </c>
      <c r="BI1268" t="s">
        <v>709</v>
      </c>
      <c r="BJ1268" t="s">
        <v>709</v>
      </c>
      <c r="BK1268" t="s">
        <v>709</v>
      </c>
      <c r="BL1268" t="s">
        <v>116</v>
      </c>
      <c r="BM1268" t="s">
        <v>709</v>
      </c>
      <c r="BN1268" t="s">
        <v>709</v>
      </c>
      <c r="BO1268" t="s">
        <v>709</v>
      </c>
      <c r="BP1268" t="s">
        <v>709</v>
      </c>
      <c r="BQ1268" t="s">
        <v>709</v>
      </c>
      <c r="BR1268">
        <v>747</v>
      </c>
      <c r="BS1268">
        <v>5179</v>
      </c>
      <c r="BT1268" t="s">
        <v>709</v>
      </c>
      <c r="BU1268" t="s">
        <v>709</v>
      </c>
      <c r="BV1268" t="s">
        <v>709</v>
      </c>
      <c r="BW1268" t="s">
        <v>709</v>
      </c>
      <c r="BX1268" t="s">
        <v>709</v>
      </c>
      <c r="BY1268" t="s">
        <v>709</v>
      </c>
      <c r="BZ1268" t="s">
        <v>709</v>
      </c>
      <c r="CB1268">
        <v>1266</v>
      </c>
      <c r="CC1268" t="b">
        <v>1</v>
      </c>
      <c r="CD1268" t="s">
        <v>6784</v>
      </c>
      <c r="CE1268" s="1482">
        <v>45880.739317129628</v>
      </c>
    </row>
    <row r="1269" spans="1:83" ht="105" x14ac:dyDescent="0.25">
      <c r="A1269">
        <v>2025</v>
      </c>
      <c r="B1269" t="s">
        <v>730</v>
      </c>
      <c r="C1269" t="s">
        <v>6785</v>
      </c>
      <c r="D1269" t="s">
        <v>6786</v>
      </c>
      <c r="E1269" t="s">
        <v>2258</v>
      </c>
      <c r="F1269" t="s">
        <v>6643</v>
      </c>
      <c r="G1269" t="s">
        <v>37</v>
      </c>
      <c r="H1269" t="s">
        <v>59</v>
      </c>
      <c r="I1269">
        <v>45518</v>
      </c>
      <c r="J1269">
        <v>45621</v>
      </c>
      <c r="K1269">
        <v>45621</v>
      </c>
      <c r="L1269">
        <v>0</v>
      </c>
      <c r="N1269" t="s">
        <v>120</v>
      </c>
      <c r="O1269">
        <v>45627</v>
      </c>
      <c r="P1269" t="s">
        <v>120</v>
      </c>
      <c r="Q1269">
        <v>34409.454299999998</v>
      </c>
      <c r="R1269">
        <v>0.09</v>
      </c>
      <c r="S1269" t="s">
        <v>29</v>
      </c>
      <c r="T1269" t="s">
        <v>29</v>
      </c>
      <c r="U1269" t="s">
        <v>29</v>
      </c>
      <c r="V1269">
        <v>2602</v>
      </c>
      <c r="W1269">
        <v>0</v>
      </c>
      <c r="X1269">
        <v>334865.09000000003</v>
      </c>
      <c r="Z1269">
        <v>47462.18</v>
      </c>
      <c r="AA1269">
        <v>382327.27</v>
      </c>
      <c r="AB1269">
        <v>45637</v>
      </c>
      <c r="AC1269" t="s">
        <v>709</v>
      </c>
      <c r="AD1269" t="s">
        <v>116</v>
      </c>
      <c r="AE1269" t="s">
        <v>116</v>
      </c>
      <c r="AF1269" t="s">
        <v>29</v>
      </c>
      <c r="AG1269" t="s">
        <v>376</v>
      </c>
      <c r="AH1269" t="s">
        <v>376</v>
      </c>
      <c r="AI1269">
        <v>0</v>
      </c>
      <c r="AJ1269">
        <v>0</v>
      </c>
      <c r="AK1269">
        <v>7167</v>
      </c>
      <c r="AL1269">
        <v>0.20828577917900898</v>
      </c>
      <c r="AM1269" t="s">
        <v>116</v>
      </c>
      <c r="AN1269" t="s">
        <v>709</v>
      </c>
      <c r="AS1269">
        <v>0</v>
      </c>
      <c r="AT1269">
        <v>0</v>
      </c>
      <c r="AU1269">
        <v>0</v>
      </c>
      <c r="AY1269" t="s">
        <v>709</v>
      </c>
      <c r="BA1269" t="s">
        <v>6787</v>
      </c>
      <c r="BB1269" s="4" t="s">
        <v>6788</v>
      </c>
      <c r="BC1269" t="s">
        <v>115</v>
      </c>
      <c r="BD1269" t="s">
        <v>115</v>
      </c>
      <c r="BE1269" t="s">
        <v>5873</v>
      </c>
      <c r="BF1269" t="s">
        <v>115</v>
      </c>
      <c r="BG1269" t="s">
        <v>115</v>
      </c>
      <c r="BH1269" t="s">
        <v>6789</v>
      </c>
      <c r="BI1269" t="s">
        <v>709</v>
      </c>
      <c r="BJ1269" t="s">
        <v>709</v>
      </c>
      <c r="BK1269" t="s">
        <v>709</v>
      </c>
      <c r="BL1269" t="s">
        <v>116</v>
      </c>
      <c r="BM1269" t="s">
        <v>709</v>
      </c>
      <c r="BN1269" t="s">
        <v>709</v>
      </c>
      <c r="BO1269" t="s">
        <v>709</v>
      </c>
      <c r="BP1269" t="s">
        <v>709</v>
      </c>
      <c r="BQ1269" t="s">
        <v>709</v>
      </c>
      <c r="BR1269" t="s">
        <v>709</v>
      </c>
      <c r="BS1269">
        <v>2602</v>
      </c>
      <c r="BT1269" t="s">
        <v>709</v>
      </c>
      <c r="BU1269" t="s">
        <v>709</v>
      </c>
      <c r="BV1269" t="s">
        <v>709</v>
      </c>
      <c r="BW1269" t="s">
        <v>709</v>
      </c>
      <c r="BX1269" t="s">
        <v>709</v>
      </c>
      <c r="BY1269" t="s">
        <v>709</v>
      </c>
      <c r="BZ1269" t="s">
        <v>709</v>
      </c>
      <c r="CA1269" t="s">
        <v>6790</v>
      </c>
      <c r="CB1269">
        <v>1267</v>
      </c>
      <c r="CC1269" t="b">
        <v>1</v>
      </c>
      <c r="CD1269" t="s">
        <v>6791</v>
      </c>
      <c r="CE1269" s="1482">
        <v>45880.739328703705</v>
      </c>
    </row>
    <row r="1270" spans="1:83" ht="210" x14ac:dyDescent="0.25">
      <c r="A1270">
        <v>2024</v>
      </c>
      <c r="B1270" t="s">
        <v>4</v>
      </c>
      <c r="C1270" t="s">
        <v>6792</v>
      </c>
      <c r="D1270" t="s">
        <v>6793</v>
      </c>
      <c r="E1270" t="s">
        <v>3528</v>
      </c>
      <c r="F1270" t="s">
        <v>784</v>
      </c>
      <c r="G1270" t="s">
        <v>25</v>
      </c>
      <c r="H1270" t="s">
        <v>59</v>
      </c>
      <c r="I1270">
        <v>45163</v>
      </c>
      <c r="J1270">
        <v>45625</v>
      </c>
      <c r="K1270">
        <v>45623</v>
      </c>
      <c r="L1270">
        <v>2</v>
      </c>
      <c r="N1270" t="s">
        <v>120</v>
      </c>
      <c r="O1270">
        <v>45627</v>
      </c>
      <c r="P1270" t="s">
        <v>739</v>
      </c>
      <c r="Q1270">
        <v>255329.68900000001</v>
      </c>
      <c r="R1270">
        <v>0.1</v>
      </c>
      <c r="S1270" t="s">
        <v>29</v>
      </c>
      <c r="T1270" t="s">
        <v>29</v>
      </c>
      <c r="U1270" t="s">
        <v>29</v>
      </c>
      <c r="V1270">
        <v>9544</v>
      </c>
      <c r="W1270">
        <v>0</v>
      </c>
      <c r="X1270">
        <v>2253330.7599999998</v>
      </c>
      <c r="Z1270">
        <v>299966.13</v>
      </c>
      <c r="AA1270">
        <v>2553296.89</v>
      </c>
      <c r="AB1270">
        <v>45608</v>
      </c>
      <c r="AC1270" t="s">
        <v>116</v>
      </c>
      <c r="AD1270" t="s">
        <v>29</v>
      </c>
      <c r="AE1270" t="s">
        <v>756</v>
      </c>
      <c r="AF1270" t="s">
        <v>29</v>
      </c>
      <c r="AG1270" t="s">
        <v>116</v>
      </c>
      <c r="AH1270">
        <v>45646</v>
      </c>
      <c r="AI1270">
        <v>0</v>
      </c>
      <c r="AJ1270">
        <v>17900</v>
      </c>
      <c r="AK1270">
        <v>56473.25</v>
      </c>
      <c r="AL1270">
        <v>0.29128320443769468</v>
      </c>
      <c r="AM1270" t="s">
        <v>116</v>
      </c>
      <c r="AN1270" t="s">
        <v>709</v>
      </c>
      <c r="AS1270">
        <v>0</v>
      </c>
      <c r="AT1270">
        <v>0</v>
      </c>
      <c r="AU1270">
        <v>0</v>
      </c>
      <c r="AY1270" t="s">
        <v>709</v>
      </c>
      <c r="BA1270" s="4" t="s">
        <v>6794</v>
      </c>
      <c r="BB1270" t="s">
        <v>4666</v>
      </c>
      <c r="BC1270" t="s">
        <v>115</v>
      </c>
      <c r="BD1270" t="s">
        <v>1066</v>
      </c>
      <c r="BE1270" t="s">
        <v>6406</v>
      </c>
      <c r="BF1270" t="s">
        <v>115</v>
      </c>
      <c r="BG1270" t="s">
        <v>115</v>
      </c>
      <c r="BH1270" t="s">
        <v>6795</v>
      </c>
      <c r="BI1270" t="s">
        <v>709</v>
      </c>
      <c r="BJ1270" t="s">
        <v>709</v>
      </c>
      <c r="BK1270" t="s">
        <v>709</v>
      </c>
      <c r="BL1270" t="s">
        <v>116</v>
      </c>
      <c r="BM1270" t="s">
        <v>709</v>
      </c>
      <c r="BN1270" t="s">
        <v>709</v>
      </c>
      <c r="BO1270">
        <v>4</v>
      </c>
      <c r="BP1270">
        <v>70</v>
      </c>
      <c r="BQ1270">
        <v>1995</v>
      </c>
      <c r="BR1270">
        <v>3648</v>
      </c>
      <c r="BS1270">
        <v>3827</v>
      </c>
      <c r="BT1270" t="s">
        <v>745</v>
      </c>
      <c r="BU1270" t="s">
        <v>709</v>
      </c>
      <c r="BV1270" t="s">
        <v>745</v>
      </c>
      <c r="BW1270" t="s">
        <v>709</v>
      </c>
      <c r="BX1270" t="s">
        <v>745</v>
      </c>
      <c r="BY1270" t="s">
        <v>745</v>
      </c>
      <c r="BZ1270" t="s">
        <v>709</v>
      </c>
      <c r="CA1270" t="s">
        <v>6796</v>
      </c>
      <c r="CB1270">
        <v>1268</v>
      </c>
      <c r="CC1270" t="b">
        <v>1</v>
      </c>
      <c r="CD1270" t="s">
        <v>6797</v>
      </c>
      <c r="CE1270" s="1482">
        <v>45880.739328703705</v>
      </c>
    </row>
    <row r="1271" spans="1:83" x14ac:dyDescent="0.25">
      <c r="A1271">
        <v>2025</v>
      </c>
      <c r="B1271" t="s">
        <v>6798</v>
      </c>
      <c r="C1271" t="s">
        <v>6799</v>
      </c>
      <c r="D1271" t="s">
        <v>6800</v>
      </c>
      <c r="E1271" t="s">
        <v>6801</v>
      </c>
      <c r="F1271" t="s">
        <v>6643</v>
      </c>
      <c r="G1271" t="s">
        <v>34</v>
      </c>
      <c r="H1271" t="s">
        <v>59</v>
      </c>
      <c r="I1271">
        <v>45665</v>
      </c>
      <c r="J1271">
        <v>45777</v>
      </c>
      <c r="K1271">
        <v>45723</v>
      </c>
      <c r="L1271">
        <v>54</v>
      </c>
      <c r="N1271" t="s">
        <v>120</v>
      </c>
      <c r="O1271">
        <v>45717</v>
      </c>
      <c r="P1271" t="s">
        <v>739</v>
      </c>
      <c r="Q1271">
        <v>6432.5</v>
      </c>
      <c r="R1271" t="s">
        <v>1922</v>
      </c>
      <c r="S1271">
        <v>0</v>
      </c>
      <c r="T1271">
        <v>0</v>
      </c>
      <c r="U1271">
        <v>6432.5</v>
      </c>
      <c r="V1271">
        <v>0</v>
      </c>
      <c r="W1271">
        <v>1</v>
      </c>
      <c r="X1271">
        <v>25000</v>
      </c>
      <c r="Z1271">
        <v>0</v>
      </c>
      <c r="AA1271">
        <v>25000</v>
      </c>
      <c r="AB1271" t="s">
        <v>29</v>
      </c>
      <c r="AC1271" t="s">
        <v>1177</v>
      </c>
      <c r="AD1271" t="s">
        <v>29</v>
      </c>
      <c r="AE1271" t="s">
        <v>756</v>
      </c>
      <c r="AF1271" t="s">
        <v>29</v>
      </c>
      <c r="AG1271" t="s">
        <v>29</v>
      </c>
      <c r="AH1271" t="s">
        <v>376</v>
      </c>
      <c r="AI1271">
        <v>0</v>
      </c>
      <c r="AJ1271">
        <v>0</v>
      </c>
      <c r="AK1271">
        <v>0</v>
      </c>
      <c r="AL1271">
        <v>0</v>
      </c>
      <c r="AM1271" t="s">
        <v>709</v>
      </c>
      <c r="AY1271" t="s">
        <v>29</v>
      </c>
      <c r="BA1271" t="s">
        <v>6802</v>
      </c>
      <c r="BB1271" t="s">
        <v>6803</v>
      </c>
      <c r="BC1271" t="s">
        <v>116</v>
      </c>
      <c r="BD1271" t="s">
        <v>115</v>
      </c>
      <c r="BE1271" t="s">
        <v>115</v>
      </c>
      <c r="BF1271" t="s">
        <v>6804</v>
      </c>
      <c r="BG1271" t="s">
        <v>115</v>
      </c>
      <c r="BH1271" t="s">
        <v>6805</v>
      </c>
      <c r="BI1271" t="s">
        <v>745</v>
      </c>
      <c r="BJ1271" t="s">
        <v>116</v>
      </c>
      <c r="BK1271" t="s">
        <v>745</v>
      </c>
      <c r="BL1271" t="s">
        <v>116</v>
      </c>
      <c r="BM1271" t="s">
        <v>745</v>
      </c>
      <c r="BN1271" t="s">
        <v>745</v>
      </c>
      <c r="BO1271" t="s">
        <v>745</v>
      </c>
      <c r="BP1271" t="s">
        <v>745</v>
      </c>
      <c r="BQ1271" t="s">
        <v>745</v>
      </c>
      <c r="BR1271" t="s">
        <v>709</v>
      </c>
      <c r="BS1271" t="s">
        <v>709</v>
      </c>
      <c r="BT1271" t="s">
        <v>745</v>
      </c>
      <c r="BU1271" t="s">
        <v>116</v>
      </c>
      <c r="BV1271" t="s">
        <v>745</v>
      </c>
      <c r="BW1271" t="s">
        <v>745</v>
      </c>
      <c r="BX1271" t="s">
        <v>745</v>
      </c>
      <c r="BY1271" t="s">
        <v>745</v>
      </c>
      <c r="BZ1271" t="s">
        <v>709</v>
      </c>
      <c r="CA1271" t="s">
        <v>6806</v>
      </c>
      <c r="CB1271">
        <v>1358</v>
      </c>
      <c r="CC1271" t="b">
        <v>1</v>
      </c>
      <c r="CD1271" t="s">
        <v>6807</v>
      </c>
      <c r="CE1271" s="1482">
        <v>45880.739328703705</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90F8E-BF5D-44A5-AD3B-C263807A4C35}">
  <sheetPr codeName="Sheet10"/>
  <dimension ref="A1:BZ310"/>
  <sheetViews>
    <sheetView workbookViewId="0"/>
  </sheetViews>
  <sheetFormatPr defaultColWidth="9.140625" defaultRowHeight="15" x14ac:dyDescent="0.25"/>
  <cols>
    <col min="1" max="1" width="7.42578125" customWidth="1"/>
    <col min="2" max="2" width="11" customWidth="1"/>
    <col min="3" max="3" width="19.7109375" customWidth="1"/>
    <col min="4" max="4" width="16.28515625" style="447" bestFit="1" customWidth="1"/>
    <col min="5" max="5" width="18.7109375" customWidth="1"/>
    <col min="6" max="6" width="16.85546875" customWidth="1"/>
    <col min="7" max="7" width="15.42578125" customWidth="1"/>
    <col min="8" max="8" width="19.28515625" customWidth="1"/>
    <col min="9" max="9" width="13.28515625" customWidth="1"/>
    <col min="10" max="10" width="14" style="11" customWidth="1"/>
    <col min="11" max="11" width="14.42578125" customWidth="1"/>
    <col min="12" max="12" width="10.85546875" style="16" customWidth="1"/>
    <col min="13" max="13" width="48.85546875" customWidth="1"/>
    <col min="14" max="14" width="9.140625" style="555" customWidth="1"/>
    <col min="15" max="15" width="10.28515625" style="78" customWidth="1"/>
    <col min="16" max="16" width="12" style="78" customWidth="1"/>
    <col min="17" max="17" width="17.28515625" style="22" customWidth="1"/>
    <col min="18" max="18" width="19.28515625" style="74" customWidth="1"/>
    <col min="19" max="19" width="14.85546875" style="24" customWidth="1"/>
    <col min="20" max="20" width="11.28515625" style="538" customWidth="1"/>
    <col min="21" max="21" width="16" style="28" customWidth="1"/>
    <col min="22" max="22" width="15.7109375" style="437" customWidth="1"/>
    <col min="23" max="23" width="10.7109375" style="437" customWidth="1"/>
    <col min="24" max="24" width="14.7109375" style="1" customWidth="1"/>
    <col min="25" max="25" width="0.140625" style="596" customWidth="1"/>
    <col min="26" max="26" width="15.28515625" style="14" customWidth="1"/>
    <col min="27" max="27" width="16.42578125" style="445" customWidth="1"/>
    <col min="28" max="28" width="12.85546875" style="205" customWidth="1"/>
    <col min="29" max="29" width="11.7109375" style="107" customWidth="1"/>
    <col min="30" max="30" width="13" style="107" customWidth="1"/>
    <col min="31" max="31" width="11.7109375" style="344" customWidth="1"/>
    <col min="32" max="32" width="12.85546875" style="574" customWidth="1"/>
    <col min="33" max="33" width="12.140625" style="574" customWidth="1"/>
    <col min="34" max="34" width="11.7109375" style="351" customWidth="1"/>
    <col min="35" max="35" width="13.140625" style="474" customWidth="1"/>
    <col min="36" max="37" width="13.140625" style="566" customWidth="1"/>
    <col min="38" max="38" width="11.7109375" style="351" customWidth="1"/>
    <col min="39" max="39" width="14.85546875" style="359" customWidth="1"/>
    <col min="40" max="40" width="13.140625" style="18" customWidth="1"/>
    <col min="41" max="41" width="12.7109375" style="555" customWidth="1"/>
    <col min="42" max="42" width="15.5703125" style="14" customWidth="1"/>
    <col min="43" max="43" width="0.140625" style="14" customWidth="1"/>
    <col min="44" max="44" width="17.5703125" style="14" customWidth="1"/>
    <col min="45" max="45" width="14.42578125" style="14" customWidth="1"/>
    <col min="46" max="46" width="15.28515625" style="14" customWidth="1"/>
    <col min="47" max="47" width="14.42578125" style="14" customWidth="1"/>
    <col min="48" max="48" width="12.28515625" style="600" customWidth="1"/>
    <col min="49" max="49" width="31.28515625" style="600" customWidth="1"/>
    <col min="50" max="50" width="15.7109375" style="18" customWidth="1"/>
    <col min="51" max="51" width="14.7109375" style="333" customWidth="1"/>
    <col min="52" max="52" width="9.140625" style="605" customWidth="1"/>
    <col min="53" max="53" width="12.140625" style="608" customWidth="1"/>
    <col min="54" max="54" width="45.5703125" style="543" customWidth="1"/>
    <col min="55" max="55" width="9.140625" style="480" customWidth="1"/>
    <col min="56" max="58" width="9.140625" style="588" customWidth="1"/>
    <col min="59" max="59" width="9.140625" style="482" customWidth="1"/>
    <col min="60" max="60" width="33.28515625" style="747" customWidth="1"/>
    <col min="61" max="61" width="6.5703125" style="535" customWidth="1"/>
    <col min="62" max="64" width="6.5703125" style="547" customWidth="1"/>
    <col min="65" max="66" width="6.140625" style="547" customWidth="1"/>
    <col min="67" max="68" width="10.5703125" style="547" bestFit="1" customWidth="1"/>
    <col min="69" max="69" width="8.85546875" style="547" bestFit="1" customWidth="1"/>
    <col min="70" max="71" width="10.5703125" style="547" bestFit="1" customWidth="1"/>
    <col min="72" max="72" width="11.7109375" style="547" bestFit="1" customWidth="1"/>
    <col min="73" max="73" width="9.7109375" style="547" bestFit="1" customWidth="1"/>
    <col min="74" max="74" width="9.42578125" style="547" bestFit="1" customWidth="1"/>
    <col min="75" max="76" width="10.5703125" style="547" bestFit="1" customWidth="1"/>
    <col min="77" max="77" width="11.42578125" style="547" bestFit="1" customWidth="1"/>
    <col min="78" max="78" width="36.5703125" style="482" bestFit="1" customWidth="1"/>
  </cols>
  <sheetData>
    <row r="1" spans="1:78" ht="18.75" x14ac:dyDescent="0.3">
      <c r="A1" s="81" t="s">
        <v>6808</v>
      </c>
      <c r="E1" t="s">
        <v>41</v>
      </c>
      <c r="S1" s="1786" t="s">
        <v>6809</v>
      </c>
      <c r="T1" s="1787"/>
      <c r="U1" s="1788"/>
      <c r="Y1" s="14"/>
      <c r="AM1" s="98" t="s">
        <v>654</v>
      </c>
      <c r="AN1" s="14"/>
      <c r="AO1" s="14"/>
      <c r="AV1" s="14"/>
      <c r="AW1" s="14"/>
      <c r="AX1" s="538"/>
      <c r="BB1" s="527"/>
      <c r="BC1" s="481" t="s">
        <v>655</v>
      </c>
      <c r="BD1" s="548"/>
      <c r="BE1" s="548"/>
      <c r="BF1" s="548"/>
      <c r="BI1" s="1784" t="s">
        <v>656</v>
      </c>
      <c r="BJ1" s="1785"/>
      <c r="BK1" s="1785"/>
      <c r="BL1" s="1785"/>
      <c r="BM1" s="1785" t="s">
        <v>657</v>
      </c>
      <c r="BN1" s="1785"/>
      <c r="BO1" s="1785"/>
      <c r="BP1" s="1785"/>
      <c r="BQ1" s="1785"/>
      <c r="BR1" s="1785"/>
      <c r="BS1" s="1785"/>
      <c r="BT1" s="1785" t="s">
        <v>658</v>
      </c>
      <c r="BU1" s="1785"/>
      <c r="BV1" s="1785"/>
      <c r="BW1" s="1785"/>
      <c r="BX1" s="1785"/>
      <c r="BY1" s="1785"/>
    </row>
    <row r="2" spans="1:78" ht="45" customHeight="1" x14ac:dyDescent="0.25">
      <c r="A2" s="470" t="s">
        <v>659</v>
      </c>
      <c r="B2" s="470" t="s">
        <v>660</v>
      </c>
      <c r="C2" s="470" t="s">
        <v>661</v>
      </c>
      <c r="D2" s="470" t="s">
        <v>662</v>
      </c>
      <c r="E2" s="470" t="s">
        <v>44</v>
      </c>
      <c r="F2" s="470" t="s">
        <v>663</v>
      </c>
      <c r="G2" s="470" t="s">
        <v>664</v>
      </c>
      <c r="H2" s="470" t="s">
        <v>665</v>
      </c>
      <c r="I2" s="470" t="s">
        <v>666</v>
      </c>
      <c r="J2" s="2" t="s">
        <v>667</v>
      </c>
      <c r="K2" s="2" t="s">
        <v>668</v>
      </c>
      <c r="L2" s="448" t="s">
        <v>669</v>
      </c>
      <c r="M2" s="453" t="s">
        <v>21</v>
      </c>
      <c r="N2" s="2" t="s">
        <v>670</v>
      </c>
      <c r="O2" s="720" t="s">
        <v>671</v>
      </c>
      <c r="P2" s="33" t="s">
        <v>672</v>
      </c>
      <c r="Q2" s="72" t="s">
        <v>673</v>
      </c>
      <c r="R2" s="73" t="s">
        <v>674</v>
      </c>
      <c r="S2" s="23" t="s">
        <v>675</v>
      </c>
      <c r="T2" s="560" t="s">
        <v>676</v>
      </c>
      <c r="U2" s="438" t="s">
        <v>677</v>
      </c>
      <c r="V2" s="439" t="s">
        <v>678</v>
      </c>
      <c r="W2" s="439" t="s">
        <v>679</v>
      </c>
      <c r="X2" s="69" t="s">
        <v>680</v>
      </c>
      <c r="Y2" s="564" t="s">
        <v>681</v>
      </c>
      <c r="Z2" s="564" t="s">
        <v>682</v>
      </c>
      <c r="AA2" s="335" t="s">
        <v>683</v>
      </c>
      <c r="AB2" s="206" t="s">
        <v>684</v>
      </c>
      <c r="AC2" s="72" t="s">
        <v>685</v>
      </c>
      <c r="AD2" s="72" t="s">
        <v>686</v>
      </c>
      <c r="AE2" s="347" t="s">
        <v>687</v>
      </c>
      <c r="AF2" s="578" t="s">
        <v>688</v>
      </c>
      <c r="AG2" s="578" t="s">
        <v>689</v>
      </c>
      <c r="AH2" s="352" t="s">
        <v>690</v>
      </c>
      <c r="AI2" s="475" t="s">
        <v>691</v>
      </c>
      <c r="AJ2" s="567" t="s">
        <v>692</v>
      </c>
      <c r="AK2" s="567" t="s">
        <v>693</v>
      </c>
      <c r="AL2" s="352" t="s">
        <v>694</v>
      </c>
      <c r="AM2" s="446" t="s">
        <v>695</v>
      </c>
      <c r="AN2" s="597" t="s">
        <v>696</v>
      </c>
      <c r="AO2" s="598" t="s">
        <v>697</v>
      </c>
      <c r="AP2" s="564" t="s">
        <v>698</v>
      </c>
      <c r="AQ2" s="564" t="s">
        <v>699</v>
      </c>
      <c r="AR2" s="564" t="s">
        <v>700</v>
      </c>
      <c r="AS2" s="564" t="s">
        <v>701</v>
      </c>
      <c r="AT2" s="564" t="s">
        <v>702</v>
      </c>
      <c r="AU2" s="564" t="s">
        <v>703</v>
      </c>
      <c r="AV2" s="564" t="s">
        <v>704</v>
      </c>
      <c r="AW2" s="599" t="s">
        <v>705</v>
      </c>
      <c r="AX2" s="599" t="s">
        <v>706</v>
      </c>
      <c r="AY2" s="635" t="s">
        <v>707</v>
      </c>
      <c r="AZ2" s="606" t="s">
        <v>708</v>
      </c>
      <c r="BA2" s="609" t="s">
        <v>710</v>
      </c>
      <c r="BB2" s="610" t="s">
        <v>711</v>
      </c>
      <c r="BC2" s="477" t="s">
        <v>712</v>
      </c>
      <c r="BD2" s="587" t="s">
        <v>713</v>
      </c>
      <c r="BE2" s="587" t="s">
        <v>714</v>
      </c>
      <c r="BF2" s="587" t="s">
        <v>715</v>
      </c>
      <c r="BG2" s="611" t="s">
        <v>716</v>
      </c>
      <c r="BH2" s="748" t="s">
        <v>717</v>
      </c>
      <c r="BI2" s="616" t="s">
        <v>718</v>
      </c>
      <c r="BJ2" s="617" t="s">
        <v>719</v>
      </c>
      <c r="BK2" s="617" t="s">
        <v>720</v>
      </c>
      <c r="BL2" s="617" t="s">
        <v>721</v>
      </c>
      <c r="BM2" s="617" t="s">
        <v>722</v>
      </c>
      <c r="BN2" s="617" t="s">
        <v>723</v>
      </c>
      <c r="BO2" s="617" t="s">
        <v>724</v>
      </c>
      <c r="BP2" s="617" t="s">
        <v>725</v>
      </c>
      <c r="BQ2" s="617" t="s">
        <v>726</v>
      </c>
      <c r="BR2" s="617" t="s">
        <v>727</v>
      </c>
      <c r="BS2" s="617" t="s">
        <v>728</v>
      </c>
      <c r="BT2" s="617" t="s">
        <v>729</v>
      </c>
      <c r="BU2" s="617" t="s">
        <v>730</v>
      </c>
      <c r="BV2" s="617" t="s">
        <v>731</v>
      </c>
      <c r="BW2" s="617" t="s">
        <v>732</v>
      </c>
      <c r="BX2" s="617" t="s">
        <v>733</v>
      </c>
      <c r="BY2" s="617" t="s">
        <v>734</v>
      </c>
      <c r="BZ2" s="471" t="s">
        <v>735</v>
      </c>
    </row>
    <row r="3" spans="1:78" ht="15" hidden="1" customHeight="1" x14ac:dyDescent="0.25">
      <c r="A3" s="8" t="s">
        <v>994</v>
      </c>
      <c r="B3" s="8" t="s">
        <v>4</v>
      </c>
      <c r="C3" s="8" t="s">
        <v>1142</v>
      </c>
      <c r="D3" s="656" t="s">
        <v>1143</v>
      </c>
      <c r="E3" s="8" t="s">
        <v>859</v>
      </c>
      <c r="F3" s="8" t="s">
        <v>919</v>
      </c>
      <c r="G3" s="8" t="s">
        <v>1896</v>
      </c>
      <c r="H3" s="8" t="s">
        <v>59</v>
      </c>
      <c r="I3" s="642">
        <v>43784</v>
      </c>
      <c r="J3" s="18">
        <v>43889</v>
      </c>
      <c r="K3" s="642">
        <v>43879</v>
      </c>
      <c r="L3" s="16">
        <f>IF(ISTEXT(Table159[[#This Row],[Engineering Approved Design Date]]),Table159[[#This Row],[Date Completed]]-Table159[[#This Row],[Date Assigned to Designer]],Table159[[#This Row],[Engineering Approved Design Date]]-Table159[[#This Row],[Date Completed]])</f>
        <v>10</v>
      </c>
      <c r="M3" s="642"/>
      <c r="N3" s="642" t="s">
        <v>120</v>
      </c>
      <c r="O3" s="534">
        <v>43879</v>
      </c>
      <c r="P3" s="68" t="s">
        <v>739</v>
      </c>
      <c r="Q3" s="106">
        <f>AA3*R3</f>
        <v>935.61400000000003</v>
      </c>
      <c r="R3" s="86">
        <v>0.1</v>
      </c>
      <c r="S3" s="24" t="s">
        <v>709</v>
      </c>
      <c r="T3" s="538" t="s">
        <v>709</v>
      </c>
      <c r="U3" s="28" t="s">
        <v>115</v>
      </c>
      <c r="V3" s="437" t="s">
        <v>115</v>
      </c>
      <c r="X3" s="24">
        <v>0</v>
      </c>
      <c r="Y3" s="592">
        <v>0</v>
      </c>
      <c r="Z3" s="538">
        <v>9356.14</v>
      </c>
      <c r="AA3" s="28">
        <f>X3-Y3+Z3</f>
        <v>9356.14</v>
      </c>
      <c r="AB3" s="68"/>
      <c r="AC3" s="22"/>
      <c r="AD3" s="22"/>
      <c r="AE3" s="348"/>
      <c r="AF3" s="580"/>
      <c r="AG3" s="580"/>
      <c r="AH3" s="353"/>
      <c r="AI3" s="426"/>
      <c r="AJ3" s="542"/>
      <c r="AK3" s="542"/>
      <c r="AL3" s="493"/>
      <c r="AM3" s="21" t="s">
        <v>116</v>
      </c>
      <c r="AN3" s="680" t="s">
        <v>709</v>
      </c>
      <c r="AO3" s="601" t="s">
        <v>115</v>
      </c>
      <c r="AP3" s="572"/>
      <c r="AQ3" s="572"/>
      <c r="AR3" s="572"/>
      <c r="AS3" s="538">
        <f>IF(Table159[[#This Row],[PCTS Approved]]="N",0,Table159[[#This Row],[Investment Amount (1'#'#'#'#'#)]]+Table159[[#This Row],[Retirement Amount (3'#'#'#'#'#)]])</f>
        <v>0</v>
      </c>
      <c r="AT3" s="538">
        <f>IF(Table159[[#This Row],[Approved Construction Cost]]=0,0,Table159[[#This Row],[Approved Construction Cost]]-Table159[[#This Row],[Construction Cost to Bill From]])</f>
        <v>0</v>
      </c>
      <c r="AU3" s="538">
        <f>IFERROR(Table159[[#This Row],[Difference in Construction Cost]]*Table159[[#This Row],[Rate]],Table159[[#This Row],[Difference in Construction Cost]]*0.085)</f>
        <v>0</v>
      </c>
      <c r="AV3" s="572"/>
      <c r="AW3" s="639"/>
      <c r="AX3" s="538"/>
      <c r="AY3" s="636" t="s">
        <v>709</v>
      </c>
      <c r="AZ3" s="443">
        <v>54</v>
      </c>
      <c r="BA3" s="652" t="s">
        <v>1144</v>
      </c>
      <c r="BB3" s="644" t="s">
        <v>1145</v>
      </c>
      <c r="BC3" s="478"/>
      <c r="BD3" s="544"/>
      <c r="BE3" s="544"/>
      <c r="BF3" s="544"/>
      <c r="BG3" s="512"/>
      <c r="BH3" s="741"/>
      <c r="BI3" s="535" t="s">
        <v>709</v>
      </c>
      <c r="BJ3" s="547" t="s">
        <v>709</v>
      </c>
      <c r="BK3" s="547" t="s">
        <v>709</v>
      </c>
      <c r="BL3" s="547" t="s">
        <v>709</v>
      </c>
      <c r="BM3" s="547" t="s">
        <v>709</v>
      </c>
      <c r="BN3" s="547" t="s">
        <v>709</v>
      </c>
      <c r="BO3" s="547" t="s">
        <v>709</v>
      </c>
      <c r="BP3" s="547" t="s">
        <v>709</v>
      </c>
      <c r="BQ3" s="547" t="s">
        <v>709</v>
      </c>
      <c r="BR3" s="547" t="s">
        <v>709</v>
      </c>
      <c r="BS3" s="547" t="s">
        <v>709</v>
      </c>
      <c r="BT3" s="547" t="s">
        <v>709</v>
      </c>
      <c r="BU3" s="547" t="s">
        <v>709</v>
      </c>
      <c r="BV3" s="547" t="s">
        <v>709</v>
      </c>
      <c r="BW3" s="547" t="s">
        <v>709</v>
      </c>
      <c r="BX3" s="547" t="s">
        <v>709</v>
      </c>
      <c r="BY3" s="547" t="s">
        <v>709</v>
      </c>
      <c r="BZ3" s="483" t="s">
        <v>1146</v>
      </c>
    </row>
    <row r="4" spans="1:78" ht="15" hidden="1" customHeight="1" x14ac:dyDescent="0.25">
      <c r="A4" s="8" t="s">
        <v>994</v>
      </c>
      <c r="B4" s="8" t="s">
        <v>4</v>
      </c>
      <c r="C4" s="8" t="s">
        <v>1147</v>
      </c>
      <c r="D4" s="656" t="s">
        <v>1148</v>
      </c>
      <c r="E4" s="8" t="s">
        <v>1149</v>
      </c>
      <c r="F4" s="8" t="s">
        <v>919</v>
      </c>
      <c r="G4" s="8" t="s">
        <v>2743</v>
      </c>
      <c r="H4" s="8" t="s">
        <v>59</v>
      </c>
      <c r="I4" s="642">
        <v>44069</v>
      </c>
      <c r="J4" s="18">
        <v>44113</v>
      </c>
      <c r="K4" s="642">
        <v>44119</v>
      </c>
      <c r="L4" s="16">
        <v>0</v>
      </c>
      <c r="M4" s="642" t="s">
        <v>1150</v>
      </c>
      <c r="N4" s="642" t="s">
        <v>120</v>
      </c>
      <c r="O4" s="534">
        <v>44119</v>
      </c>
      <c r="P4" s="68" t="s">
        <v>739</v>
      </c>
      <c r="Q4" s="70">
        <f>R4*AA4</f>
        <v>32221.179</v>
      </c>
      <c r="R4" s="75">
        <v>0.1</v>
      </c>
      <c r="V4" s="437">
        <v>402</v>
      </c>
      <c r="X4" s="24">
        <v>292732.42</v>
      </c>
      <c r="Y4" s="591"/>
      <c r="Z4" s="538">
        <v>29479.37</v>
      </c>
      <c r="AA4" s="87">
        <f t="shared" ref="AA4:AA6" si="0">X4+Z4</f>
        <v>322211.78999999998</v>
      </c>
      <c r="AB4" s="207"/>
      <c r="AC4" s="108"/>
      <c r="AD4" s="108"/>
      <c r="AE4" s="349"/>
      <c r="AF4" s="579"/>
      <c r="AG4" s="579"/>
      <c r="AH4" s="354"/>
      <c r="AI4" s="489"/>
      <c r="AJ4" s="553"/>
      <c r="AK4" s="553"/>
      <c r="AL4" s="495"/>
      <c r="AM4" s="21" t="s">
        <v>116</v>
      </c>
      <c r="AN4" s="680" t="s">
        <v>709</v>
      </c>
      <c r="AO4" s="601" t="s">
        <v>115</v>
      </c>
      <c r="AP4" s="572"/>
      <c r="AQ4" s="572"/>
      <c r="AR4" s="572"/>
      <c r="AS4" s="538">
        <f>IF(Table159[[#This Row],[PCTS Approved]]="N",0,Table159[[#This Row],[Investment Amount (1'#'#'#'#'#)]]+Table159[[#This Row],[Retirement Amount (3'#'#'#'#'#)]])</f>
        <v>0</v>
      </c>
      <c r="AT4" s="538">
        <f>IF(Table159[[#This Row],[Approved Construction Cost]]=0,0,Table159[[#This Row],[Approved Construction Cost]]-Table159[[#This Row],[Construction Cost to Bill From]])</f>
        <v>0</v>
      </c>
      <c r="AU4" s="538">
        <f>IFERROR(Table159[[#This Row],[Difference in Construction Cost]]*Table159[[#This Row],[Rate]],Table159[[#This Row],[Difference in Construction Cost]]*0.085)</f>
        <v>0</v>
      </c>
      <c r="AV4" s="572"/>
      <c r="AW4" s="639"/>
      <c r="AX4" s="538"/>
      <c r="AY4" s="636" t="s">
        <v>709</v>
      </c>
      <c r="AZ4" s="443">
        <v>55</v>
      </c>
      <c r="BA4" s="652" t="s">
        <v>1151</v>
      </c>
      <c r="BB4" s="644"/>
      <c r="BC4" s="478"/>
      <c r="BD4" s="544"/>
      <c r="BE4" s="544"/>
      <c r="BF4" s="544"/>
      <c r="BG4" s="512"/>
      <c r="BH4" s="741"/>
      <c r="BI4" s="535" t="s">
        <v>709</v>
      </c>
      <c r="BJ4" s="547" t="s">
        <v>709</v>
      </c>
      <c r="BK4" s="547" t="s">
        <v>709</v>
      </c>
      <c r="BL4" s="547" t="s">
        <v>116</v>
      </c>
      <c r="BM4" s="547" t="s">
        <v>709</v>
      </c>
      <c r="BN4" s="547" t="s">
        <v>709</v>
      </c>
      <c r="BO4" s="547" t="s">
        <v>709</v>
      </c>
      <c r="BP4" s="547">
        <v>193</v>
      </c>
      <c r="BQ4" s="547" t="s">
        <v>709</v>
      </c>
      <c r="BR4" s="547">
        <v>48</v>
      </c>
      <c r="BS4" s="547">
        <v>161</v>
      </c>
      <c r="BT4" s="547" t="s">
        <v>745</v>
      </c>
      <c r="BU4" s="547" t="s">
        <v>709</v>
      </c>
      <c r="BV4" s="547" t="s">
        <v>745</v>
      </c>
      <c r="BW4" s="547" t="s">
        <v>709</v>
      </c>
      <c r="BX4" s="547" t="s">
        <v>745</v>
      </c>
      <c r="BY4" s="547" t="s">
        <v>745</v>
      </c>
      <c r="BZ4" s="483"/>
    </row>
    <row r="5" spans="1:78" ht="15" hidden="1" customHeight="1" x14ac:dyDescent="0.25">
      <c r="A5" s="8" t="s">
        <v>770</v>
      </c>
      <c r="B5" s="8" t="s">
        <v>4</v>
      </c>
      <c r="C5" s="8" t="s">
        <v>1152</v>
      </c>
      <c r="D5" s="656" t="s">
        <v>1153</v>
      </c>
      <c r="E5" s="8" t="s">
        <v>1154</v>
      </c>
      <c r="F5" s="8" t="s">
        <v>919</v>
      </c>
      <c r="G5" s="8" t="s">
        <v>40</v>
      </c>
      <c r="H5" s="8" t="s">
        <v>59</v>
      </c>
      <c r="I5" s="642">
        <v>44166</v>
      </c>
      <c r="J5" s="18">
        <v>44217</v>
      </c>
      <c r="K5" s="642">
        <v>44217</v>
      </c>
      <c r="L5" s="16">
        <f>IF(ISTEXT(Table159[[#This Row],[Engineering Approved Design Date]]),Table159[[#This Row],[Date Completed]]-Table159[[#This Row],[Date Assigned to Designer]],Table159[[#This Row],[Engineering Approved Design Date]]-Table159[[#This Row],[Date Completed]])</f>
        <v>0</v>
      </c>
      <c r="M5" s="642"/>
      <c r="N5" s="642" t="s">
        <v>120</v>
      </c>
      <c r="O5" s="534">
        <v>44214</v>
      </c>
      <c r="P5" s="68" t="s">
        <v>739</v>
      </c>
      <c r="Q5" s="70">
        <f>R5*AA5</f>
        <v>26108.262999999999</v>
      </c>
      <c r="R5" s="75">
        <v>0.1</v>
      </c>
      <c r="V5" s="440">
        <v>407</v>
      </c>
      <c r="W5" s="440"/>
      <c r="X5" s="29">
        <v>253431.11</v>
      </c>
      <c r="Y5" s="592"/>
      <c r="Z5" s="551">
        <v>7651.52</v>
      </c>
      <c r="AA5" s="87">
        <f t="shared" si="0"/>
        <v>261082.62999999998</v>
      </c>
      <c r="AB5" s="207"/>
      <c r="AC5" s="108" t="s">
        <v>709</v>
      </c>
      <c r="AD5" s="108"/>
      <c r="AE5" s="349"/>
      <c r="AF5" s="579"/>
      <c r="AG5" s="579"/>
      <c r="AH5" s="354"/>
      <c r="AI5" s="489"/>
      <c r="AJ5" s="553"/>
      <c r="AK5" s="553"/>
      <c r="AL5" s="495"/>
      <c r="AM5" s="21" t="s">
        <v>116</v>
      </c>
      <c r="AN5" s="680" t="s">
        <v>709</v>
      </c>
      <c r="AO5" s="601" t="s">
        <v>115</v>
      </c>
      <c r="AP5" s="572"/>
      <c r="AQ5" s="572"/>
      <c r="AR5" s="572"/>
      <c r="AS5" s="538">
        <f>IF(Table159[[#This Row],[PCTS Approved]]="N",0,Table159[[#This Row],[Investment Amount (1'#'#'#'#'#)]]+Table159[[#This Row],[Retirement Amount (3'#'#'#'#'#)]])</f>
        <v>0</v>
      </c>
      <c r="AT5" s="538">
        <f>IF(Table159[[#This Row],[Approved Construction Cost]]=0,0,Table159[[#This Row],[Approved Construction Cost]]-Table159[[#This Row],[Construction Cost to Bill From]])</f>
        <v>0</v>
      </c>
      <c r="AU5" s="538">
        <f>IFERROR(Table159[[#This Row],[Difference in Construction Cost]]*Table159[[#This Row],[Rate]],Table159[[#This Row],[Difference in Construction Cost]]*0.085)</f>
        <v>0</v>
      </c>
      <c r="AV5" s="572"/>
      <c r="AW5" s="639"/>
      <c r="AX5" s="538"/>
      <c r="AY5" s="636" t="s">
        <v>709</v>
      </c>
      <c r="AZ5" s="443">
        <v>56</v>
      </c>
      <c r="BA5" s="652" t="s">
        <v>1155</v>
      </c>
      <c r="BB5" s="644" t="s">
        <v>1156</v>
      </c>
      <c r="BC5" s="478" t="s">
        <v>709</v>
      </c>
      <c r="BD5" s="544" t="s">
        <v>709</v>
      </c>
      <c r="BE5" s="544" t="s">
        <v>709</v>
      </c>
      <c r="BF5" s="544" t="s">
        <v>1157</v>
      </c>
      <c r="BG5" s="512" t="s">
        <v>709</v>
      </c>
      <c r="BH5" s="741"/>
      <c r="BI5" s="535" t="s">
        <v>709</v>
      </c>
      <c r="BJ5" s="547" t="s">
        <v>709</v>
      </c>
      <c r="BK5" s="547" t="s">
        <v>709</v>
      </c>
      <c r="BL5" s="547" t="s">
        <v>116</v>
      </c>
      <c r="BM5" s="547" t="s">
        <v>709</v>
      </c>
      <c r="BN5" s="547" t="s">
        <v>709</v>
      </c>
      <c r="BO5" s="547" t="s">
        <v>709</v>
      </c>
      <c r="BP5" s="547" t="s">
        <v>709</v>
      </c>
      <c r="BQ5" s="547" t="s">
        <v>709</v>
      </c>
      <c r="BR5" s="547" t="s">
        <v>709</v>
      </c>
      <c r="BS5" s="547">
        <v>407</v>
      </c>
      <c r="BT5" s="547" t="s">
        <v>745</v>
      </c>
      <c r="BU5" s="547" t="s">
        <v>709</v>
      </c>
      <c r="BV5" s="547" t="s">
        <v>745</v>
      </c>
      <c r="BW5" s="547" t="s">
        <v>709</v>
      </c>
      <c r="BX5" s="547" t="s">
        <v>745</v>
      </c>
      <c r="BY5" s="547" t="s">
        <v>745</v>
      </c>
      <c r="BZ5" s="483"/>
    </row>
    <row r="6" spans="1:78" ht="15" hidden="1" customHeight="1" x14ac:dyDescent="0.25">
      <c r="A6" s="8" t="s">
        <v>994</v>
      </c>
      <c r="B6" s="8" t="s">
        <v>4</v>
      </c>
      <c r="C6" s="8" t="s">
        <v>204</v>
      </c>
      <c r="D6" s="656" t="s">
        <v>1158</v>
      </c>
      <c r="E6" s="8" t="s">
        <v>1159</v>
      </c>
      <c r="F6" s="8" t="s">
        <v>919</v>
      </c>
      <c r="G6" s="8" t="s">
        <v>2743</v>
      </c>
      <c r="H6" s="8" t="s">
        <v>59</v>
      </c>
      <c r="I6" s="642">
        <v>43887</v>
      </c>
      <c r="J6" s="18">
        <v>44239</v>
      </c>
      <c r="K6" s="642">
        <v>44237</v>
      </c>
      <c r="L6" s="16">
        <f>IF(ISTEXT(Table159[[#This Row],[Engineering Approved Design Date]]),Table159[[#This Row],[Date Completed]]-Table159[[#This Row],[Date Assigned to Designer]],Table159[[#This Row],[Engineering Approved Design Date]]-Table159[[#This Row],[Date Completed]])</f>
        <v>2</v>
      </c>
      <c r="M6" s="642"/>
      <c r="N6" s="642" t="s">
        <v>120</v>
      </c>
      <c r="O6" s="534">
        <v>44237</v>
      </c>
      <c r="P6" s="68" t="s">
        <v>739</v>
      </c>
      <c r="Q6" s="70">
        <f>R6*AA6</f>
        <v>72501.573000000004</v>
      </c>
      <c r="R6" s="75">
        <v>0.1</v>
      </c>
      <c r="S6" s="24" t="s">
        <v>709</v>
      </c>
      <c r="T6" s="538" t="s">
        <v>709</v>
      </c>
      <c r="U6" s="28" t="s">
        <v>709</v>
      </c>
      <c r="V6" s="440">
        <v>2309</v>
      </c>
      <c r="W6" s="440"/>
      <c r="X6" s="29">
        <v>671732.85</v>
      </c>
      <c r="Y6" s="594"/>
      <c r="Z6" s="551">
        <v>53282.879999999997</v>
      </c>
      <c r="AA6" s="87">
        <f t="shared" si="0"/>
        <v>725015.73</v>
      </c>
      <c r="AB6" s="207"/>
      <c r="AC6" s="108" t="s">
        <v>116</v>
      </c>
      <c r="AD6" s="108"/>
      <c r="AE6" s="349"/>
      <c r="AF6" s="579"/>
      <c r="AG6" s="579"/>
      <c r="AH6" s="354"/>
      <c r="AI6" s="489"/>
      <c r="AJ6" s="553"/>
      <c r="AK6" s="553"/>
      <c r="AL6" s="495"/>
      <c r="AM6" s="21" t="s">
        <v>116</v>
      </c>
      <c r="AN6" s="680" t="s">
        <v>709</v>
      </c>
      <c r="AO6" s="601" t="s">
        <v>115</v>
      </c>
      <c r="AP6" s="572"/>
      <c r="AQ6" s="572"/>
      <c r="AR6" s="572"/>
      <c r="AS6" s="538">
        <f>IF(Table159[[#This Row],[PCTS Approved]]="N",0,Table159[[#This Row],[Investment Amount (1'#'#'#'#'#)]]+Table159[[#This Row],[Retirement Amount (3'#'#'#'#'#)]])</f>
        <v>0</v>
      </c>
      <c r="AT6" s="538">
        <f>IF(Table159[[#This Row],[Approved Construction Cost]]=0,0,Table159[[#This Row],[Approved Construction Cost]]-Table159[[#This Row],[Construction Cost to Bill From]])</f>
        <v>0</v>
      </c>
      <c r="AU6" s="538">
        <f>IFERROR(Table159[[#This Row],[Difference in Construction Cost]]*Table159[[#This Row],[Rate]],Table159[[#This Row],[Difference in Construction Cost]]*0.085)</f>
        <v>0</v>
      </c>
      <c r="AV6" s="572"/>
      <c r="AW6" s="639"/>
      <c r="AX6" s="538"/>
      <c r="AY6" s="636" t="s">
        <v>709</v>
      </c>
      <c r="AZ6" s="443">
        <v>57</v>
      </c>
      <c r="BA6" s="652" t="s">
        <v>1160</v>
      </c>
      <c r="BB6" s="644" t="s">
        <v>1161</v>
      </c>
      <c r="BC6" s="478"/>
      <c r="BD6" s="544"/>
      <c r="BE6" s="544"/>
      <c r="BF6" s="544"/>
      <c r="BG6" s="512"/>
      <c r="BH6" s="741"/>
      <c r="BI6" s="535" t="s">
        <v>709</v>
      </c>
      <c r="BJ6" s="547" t="s">
        <v>709</v>
      </c>
      <c r="BK6" s="547" t="s">
        <v>116</v>
      </c>
      <c r="BL6" s="547" t="s">
        <v>116</v>
      </c>
      <c r="BM6" s="547" t="s">
        <v>709</v>
      </c>
      <c r="BN6" s="547" t="s">
        <v>709</v>
      </c>
      <c r="BO6" s="547" t="s">
        <v>709</v>
      </c>
      <c r="BP6" s="547">
        <v>1485</v>
      </c>
      <c r="BQ6" s="547" t="s">
        <v>709</v>
      </c>
      <c r="BR6" s="547">
        <v>822</v>
      </c>
      <c r="BS6" s="547" t="s">
        <v>709</v>
      </c>
      <c r="BT6" s="547" t="s">
        <v>709</v>
      </c>
      <c r="BU6" s="547" t="s">
        <v>709</v>
      </c>
      <c r="BV6" s="547" t="s">
        <v>745</v>
      </c>
      <c r="BW6" s="547" t="s">
        <v>709</v>
      </c>
      <c r="BX6" s="547" t="s">
        <v>709</v>
      </c>
      <c r="BY6" s="547" t="s">
        <v>745</v>
      </c>
      <c r="BZ6" s="483"/>
    </row>
    <row r="7" spans="1:78" ht="15" hidden="1" customHeight="1" x14ac:dyDescent="0.25">
      <c r="A7" s="8" t="s">
        <v>749</v>
      </c>
      <c r="B7" s="8" t="s">
        <v>1073</v>
      </c>
      <c r="C7" s="8" t="s">
        <v>235</v>
      </c>
      <c r="D7" s="8" t="s">
        <v>1330</v>
      </c>
      <c r="E7" s="8" t="s">
        <v>236</v>
      </c>
      <c r="F7" s="8" t="s">
        <v>747</v>
      </c>
      <c r="G7" s="8" t="s">
        <v>23</v>
      </c>
      <c r="H7" s="8" t="s">
        <v>59</v>
      </c>
      <c r="I7" s="642">
        <v>44715</v>
      </c>
      <c r="J7" s="18">
        <v>44799</v>
      </c>
      <c r="K7" s="97">
        <v>44797</v>
      </c>
      <c r="L7" s="16">
        <f>IF(ISTEXT(Table159[[#This Row],[Engineering Approved Design Date]]),Table159[[#This Row],[Date Completed]]-Table159[[#This Row],[Date Assigned to Designer]],Table159[[#This Row],[Engineering Approved Design Date]]-Table159[[#This Row],[Date Completed]])</f>
        <v>2</v>
      </c>
      <c r="M7" s="642"/>
      <c r="N7" s="642" t="s">
        <v>120</v>
      </c>
      <c r="O7" s="590">
        <v>44805</v>
      </c>
      <c r="P7" s="68" t="s">
        <v>739</v>
      </c>
      <c r="Q7" s="71">
        <f>R7*AA7</f>
        <v>126321.63390000002</v>
      </c>
      <c r="R7" s="75">
        <v>7.0000000000000007E-2</v>
      </c>
      <c r="U7" s="87"/>
      <c r="V7" s="437">
        <v>7490</v>
      </c>
      <c r="X7" s="29">
        <v>1756139</v>
      </c>
      <c r="Y7" s="592"/>
      <c r="Z7" s="552">
        <v>48455.77</v>
      </c>
      <c r="AA7" s="300">
        <f>Table159[[#This Row],[PCTS Investment Amount]]+Table159[[#This Row],[PCTS Retirement Amount]]</f>
        <v>1804594.77</v>
      </c>
      <c r="AB7" s="207">
        <v>44798</v>
      </c>
      <c r="AC7" s="108" t="s">
        <v>116</v>
      </c>
      <c r="AD7" s="108" t="s">
        <v>116</v>
      </c>
      <c r="AE7" s="349"/>
      <c r="AF7" s="579"/>
      <c r="AG7" s="579"/>
      <c r="AH7" s="354"/>
      <c r="AI7" s="489"/>
      <c r="AJ7" s="553"/>
      <c r="AK7" s="553"/>
      <c r="AL7" s="495"/>
      <c r="AM7" s="21" t="s">
        <v>116</v>
      </c>
      <c r="AN7" s="680" t="s">
        <v>709</v>
      </c>
      <c r="AO7" s="601">
        <v>11041926</v>
      </c>
      <c r="AP7" s="572"/>
      <c r="AQ7" s="572"/>
      <c r="AR7" s="572"/>
      <c r="AS7" s="538">
        <f>IF(Table159[[#This Row],[PCTS Approved]]="N",0,Table159[[#This Row],[Investment Amount (1'#'#'#'#'#)]]+Table159[[#This Row],[Retirement Amount (3'#'#'#'#'#)]])</f>
        <v>0</v>
      </c>
      <c r="AT7" s="538">
        <f>IF(Table159[[#This Row],[Approved Construction Cost]]=0,0,Table159[[#This Row],[Approved Construction Cost]]-Table159[[#This Row],[Construction Cost to Bill From]])</f>
        <v>0</v>
      </c>
      <c r="AU7" s="538">
        <f>IFERROR(Table159[[#This Row],[Difference in Construction Cost]]*Table159[[#This Row],[Rate]],Table159[[#This Row],[Difference in Construction Cost]]*0.085)</f>
        <v>0</v>
      </c>
      <c r="AV7" s="572"/>
      <c r="AW7" s="639"/>
      <c r="AX7" s="538"/>
      <c r="AY7" s="636" t="s">
        <v>709</v>
      </c>
      <c r="AZ7" s="443">
        <v>10</v>
      </c>
      <c r="BA7" s="652" t="s">
        <v>1331</v>
      </c>
      <c r="BB7" s="644" t="s">
        <v>1332</v>
      </c>
      <c r="BC7" s="478" t="s">
        <v>115</v>
      </c>
      <c r="BD7" s="544" t="s">
        <v>1333</v>
      </c>
      <c r="BE7" s="544" t="s">
        <v>1334</v>
      </c>
      <c r="BF7" s="544" t="s">
        <v>115</v>
      </c>
      <c r="BG7" s="512" t="s">
        <v>1335</v>
      </c>
      <c r="BH7" s="741"/>
      <c r="BI7" s="535" t="s">
        <v>709</v>
      </c>
      <c r="BJ7" s="547" t="s">
        <v>709</v>
      </c>
      <c r="BK7" s="547" t="s">
        <v>709</v>
      </c>
      <c r="BL7" s="547" t="s">
        <v>116</v>
      </c>
      <c r="BM7" s="547" t="s">
        <v>709</v>
      </c>
      <c r="BN7" s="547" t="s">
        <v>709</v>
      </c>
      <c r="BO7" s="547" t="s">
        <v>709</v>
      </c>
      <c r="BP7" s="547">
        <v>7001</v>
      </c>
      <c r="BQ7" s="547">
        <v>18</v>
      </c>
      <c r="BR7" s="547">
        <v>110</v>
      </c>
      <c r="BS7" s="547">
        <v>361</v>
      </c>
      <c r="BT7" s="547" t="s">
        <v>745</v>
      </c>
      <c r="BU7" s="547" t="s">
        <v>709</v>
      </c>
      <c r="BV7" s="547" t="s">
        <v>745</v>
      </c>
      <c r="BW7" s="547" t="s">
        <v>709</v>
      </c>
      <c r="BX7" s="547" t="s">
        <v>745</v>
      </c>
      <c r="BY7" s="547" t="s">
        <v>709</v>
      </c>
      <c r="BZ7" s="483"/>
    </row>
    <row r="8" spans="1:78" ht="15" hidden="1" customHeight="1" x14ac:dyDescent="0.25">
      <c r="A8" s="8" t="s">
        <v>770</v>
      </c>
      <c r="B8" s="8" t="s">
        <v>1108</v>
      </c>
      <c r="C8" s="8" t="s">
        <v>1169</v>
      </c>
      <c r="D8" s="656" t="s">
        <v>1170</v>
      </c>
      <c r="E8" s="8" t="s">
        <v>1171</v>
      </c>
      <c r="F8" s="8" t="s">
        <v>1172</v>
      </c>
      <c r="G8" s="8" t="s">
        <v>40</v>
      </c>
      <c r="H8" s="8" t="s">
        <v>59</v>
      </c>
      <c r="I8" s="642">
        <v>44188</v>
      </c>
      <c r="J8" s="18">
        <v>44274</v>
      </c>
      <c r="K8" s="642">
        <v>44274</v>
      </c>
      <c r="L8" s="16">
        <f>IF(ISTEXT(Table159[[#This Row],[Engineering Approved Design Date]]),Table159[[#This Row],[Date Completed]]-Table159[[#This Row],[Date Assigned to Designer]],Table159[[#This Row],[Engineering Approved Design Date]]-Table159[[#This Row],[Date Completed]])</f>
        <v>0</v>
      </c>
      <c r="M8" s="642"/>
      <c r="N8" s="642" t="s">
        <v>120</v>
      </c>
      <c r="O8" s="534">
        <v>44274</v>
      </c>
      <c r="P8" s="68" t="s">
        <v>739</v>
      </c>
      <c r="Q8" s="70">
        <f>(Table159[[#This Row],[Construction Cost to Bill From]]*0.085)+7750</f>
        <v>22430.406950000004</v>
      </c>
      <c r="R8" s="75" t="s">
        <v>1055</v>
      </c>
      <c r="S8" s="24" t="s">
        <v>709</v>
      </c>
      <c r="T8" s="538" t="s">
        <v>709</v>
      </c>
      <c r="U8" s="441" t="s">
        <v>709</v>
      </c>
      <c r="V8" s="440">
        <v>8</v>
      </c>
      <c r="W8" s="440"/>
      <c r="X8" s="29">
        <v>165048.51</v>
      </c>
      <c r="Y8" s="593"/>
      <c r="Z8" s="551">
        <v>7662.16</v>
      </c>
      <c r="AA8" s="28">
        <f>X8+Z8</f>
        <v>172710.67</v>
      </c>
      <c r="AB8" s="207"/>
      <c r="AC8" s="108" t="s">
        <v>116</v>
      </c>
      <c r="AD8" s="108"/>
      <c r="AE8" s="349"/>
      <c r="AF8" s="579"/>
      <c r="AG8" s="579"/>
      <c r="AH8" s="354"/>
      <c r="AI8" s="489"/>
      <c r="AJ8" s="553"/>
      <c r="AK8" s="553"/>
      <c r="AL8" s="495"/>
      <c r="AM8" s="21" t="s">
        <v>116</v>
      </c>
      <c r="AN8" s="680" t="s">
        <v>709</v>
      </c>
      <c r="AO8" s="601" t="s">
        <v>115</v>
      </c>
      <c r="AP8" s="572"/>
      <c r="AQ8" s="572"/>
      <c r="AR8" s="572"/>
      <c r="AS8" s="538">
        <f>IF(Table159[[#This Row],[PCTS Approved]]="N",0,Table159[[#This Row],[Investment Amount (1'#'#'#'#'#)]]+Table159[[#This Row],[Retirement Amount (3'#'#'#'#'#)]])</f>
        <v>0</v>
      </c>
      <c r="AT8" s="538">
        <f>IF(Table159[[#This Row],[Approved Construction Cost]]=0,0,Table159[[#This Row],[Approved Construction Cost]]-Table159[[#This Row],[Construction Cost to Bill From]])</f>
        <v>0</v>
      </c>
      <c r="AU8" s="538">
        <f>IFERROR(Table159[[#This Row],[Difference in Construction Cost]]*Table159[[#This Row],[Rate]],Table159[[#This Row],[Difference in Construction Cost]]*0.085)</f>
        <v>0</v>
      </c>
      <c r="AV8" s="572"/>
      <c r="AW8" s="639"/>
      <c r="AX8" s="538"/>
      <c r="AY8" s="636" t="s">
        <v>709</v>
      </c>
      <c r="AZ8" s="443">
        <v>177</v>
      </c>
      <c r="BA8" s="652" t="s">
        <v>1173</v>
      </c>
      <c r="BB8" s="644" t="s">
        <v>1174</v>
      </c>
      <c r="BC8" s="478" t="s">
        <v>116</v>
      </c>
      <c r="BD8" s="544" t="s">
        <v>709</v>
      </c>
      <c r="BE8" s="544" t="s">
        <v>709</v>
      </c>
      <c r="BF8" s="544" t="s">
        <v>709</v>
      </c>
      <c r="BG8" s="512" t="s">
        <v>709</v>
      </c>
      <c r="BH8" s="741"/>
      <c r="BI8" s="535" t="s">
        <v>709</v>
      </c>
      <c r="BJ8" s="547" t="s">
        <v>709</v>
      </c>
      <c r="BK8" s="547" t="s">
        <v>116</v>
      </c>
      <c r="BL8" s="547" t="s">
        <v>709</v>
      </c>
      <c r="BM8" s="547" t="s">
        <v>709</v>
      </c>
      <c r="BN8" s="547" t="s">
        <v>709</v>
      </c>
      <c r="BO8" s="547" t="s">
        <v>709</v>
      </c>
      <c r="BP8" s="547">
        <v>4</v>
      </c>
      <c r="BQ8" s="547">
        <v>4</v>
      </c>
      <c r="BR8" s="547" t="s">
        <v>709</v>
      </c>
      <c r="BS8" s="547" t="s">
        <v>709</v>
      </c>
      <c r="BT8" s="547" t="s">
        <v>709</v>
      </c>
      <c r="BU8" s="547" t="s">
        <v>709</v>
      </c>
      <c r="BV8" s="547" t="s">
        <v>709</v>
      </c>
      <c r="BW8" s="547">
        <v>2</v>
      </c>
      <c r="BX8" s="547" t="s">
        <v>709</v>
      </c>
      <c r="BY8" s="547" t="s">
        <v>709</v>
      </c>
      <c r="BZ8" s="483" t="s">
        <v>2</v>
      </c>
    </row>
    <row r="9" spans="1:78" ht="15" hidden="1" customHeight="1" x14ac:dyDescent="0.25">
      <c r="A9" s="8" t="s">
        <v>770</v>
      </c>
      <c r="B9" s="8" t="s">
        <v>1108</v>
      </c>
      <c r="C9" s="8" t="s">
        <v>1180</v>
      </c>
      <c r="D9" s="656" t="s">
        <v>1181</v>
      </c>
      <c r="E9" s="8" t="s">
        <v>1182</v>
      </c>
      <c r="F9" s="8" t="s">
        <v>1111</v>
      </c>
      <c r="G9" s="8" t="s">
        <v>40</v>
      </c>
      <c r="H9" s="8" t="s">
        <v>59</v>
      </c>
      <c r="I9" s="642">
        <v>44105</v>
      </c>
      <c r="J9" s="18">
        <v>44302</v>
      </c>
      <c r="K9" s="642">
        <v>44293</v>
      </c>
      <c r="L9" s="16">
        <f>IF(ISTEXT(Table159[[#This Row],[Engineering Approved Design Date]]),Table159[[#This Row],[Date Completed]]-Table159[[#This Row],[Date Assigned to Designer]],Table159[[#This Row],[Engineering Approved Design Date]]-Table159[[#This Row],[Date Completed]])</f>
        <v>9</v>
      </c>
      <c r="M9" s="642"/>
      <c r="N9" s="642" t="s">
        <v>120</v>
      </c>
      <c r="O9" s="534">
        <v>44293</v>
      </c>
      <c r="P9" s="68" t="s">
        <v>739</v>
      </c>
      <c r="Q9" s="70">
        <f>(Table159[[#This Row],[Construction Cost to Bill From]]*0.085)+7750</f>
        <v>25162.796549999999</v>
      </c>
      <c r="R9" s="75" t="s">
        <v>1055</v>
      </c>
      <c r="S9" s="24" t="s">
        <v>709</v>
      </c>
      <c r="T9" s="538" t="s">
        <v>709</v>
      </c>
      <c r="U9" s="28" t="s">
        <v>709</v>
      </c>
      <c r="X9" s="24">
        <v>177808.07</v>
      </c>
      <c r="Y9" s="591"/>
      <c r="Z9" s="538">
        <v>27048.36</v>
      </c>
      <c r="AA9" s="28">
        <f>X9+Z9</f>
        <v>204856.43</v>
      </c>
      <c r="AB9" s="207"/>
      <c r="AC9" s="108" t="s">
        <v>116</v>
      </c>
      <c r="AD9" s="108"/>
      <c r="AE9" s="349"/>
      <c r="AF9" s="579"/>
      <c r="AG9" s="579"/>
      <c r="AH9" s="354"/>
      <c r="AI9" s="489"/>
      <c r="AJ9" s="553"/>
      <c r="AK9" s="553"/>
      <c r="AL9" s="495"/>
      <c r="AM9" s="21" t="s">
        <v>116</v>
      </c>
      <c r="AN9" s="680" t="s">
        <v>709</v>
      </c>
      <c r="AO9" s="601" t="s">
        <v>115</v>
      </c>
      <c r="AP9" s="572"/>
      <c r="AQ9" s="572"/>
      <c r="AR9" s="572"/>
      <c r="AS9" s="538">
        <f>IF(Table159[[#This Row],[PCTS Approved]]="N",0,Table159[[#This Row],[Investment Amount (1'#'#'#'#'#)]]+Table159[[#This Row],[Retirement Amount (3'#'#'#'#'#)]])</f>
        <v>0</v>
      </c>
      <c r="AT9" s="538">
        <f>IF(Table159[[#This Row],[Approved Construction Cost]]=0,0,Table159[[#This Row],[Approved Construction Cost]]-Table159[[#This Row],[Construction Cost to Bill From]])</f>
        <v>0</v>
      </c>
      <c r="AU9" s="538">
        <f>IFERROR(Table159[[#This Row],[Difference in Construction Cost]]*Table159[[#This Row],[Rate]],Table159[[#This Row],[Difference in Construction Cost]]*0.085)</f>
        <v>0</v>
      </c>
      <c r="AV9" s="572"/>
      <c r="AW9" s="639"/>
      <c r="AX9" s="538"/>
      <c r="AY9" s="636" t="s">
        <v>709</v>
      </c>
      <c r="AZ9" s="443">
        <v>179</v>
      </c>
      <c r="BA9" s="652" t="s">
        <v>1183</v>
      </c>
      <c r="BB9" s="644" t="s">
        <v>1184</v>
      </c>
      <c r="BC9" s="478" t="s">
        <v>709</v>
      </c>
      <c r="BD9" s="544" t="s">
        <v>709</v>
      </c>
      <c r="BE9" s="544" t="s">
        <v>1185</v>
      </c>
      <c r="BF9" s="544" t="s">
        <v>709</v>
      </c>
      <c r="BG9" s="512" t="s">
        <v>709</v>
      </c>
      <c r="BH9" s="741"/>
      <c r="BI9" s="535" t="s">
        <v>709</v>
      </c>
      <c r="BJ9" s="547" t="s">
        <v>709</v>
      </c>
      <c r="BK9" s="547" t="s">
        <v>116</v>
      </c>
      <c r="BL9" s="547" t="s">
        <v>116</v>
      </c>
      <c r="BM9" s="547" t="s">
        <v>709</v>
      </c>
      <c r="BN9" s="547" t="s">
        <v>709</v>
      </c>
      <c r="BO9" s="547" t="s">
        <v>709</v>
      </c>
      <c r="BP9" s="547" t="s">
        <v>709</v>
      </c>
      <c r="BQ9" s="547" t="s">
        <v>709</v>
      </c>
      <c r="BR9" s="547">
        <v>11</v>
      </c>
      <c r="BS9" s="547">
        <v>33</v>
      </c>
      <c r="BT9" s="547" t="s">
        <v>709</v>
      </c>
      <c r="BU9" s="547">
        <v>1</v>
      </c>
      <c r="BV9" s="547" t="s">
        <v>709</v>
      </c>
      <c r="BW9" s="547">
        <v>1</v>
      </c>
      <c r="BX9" s="547">
        <v>1</v>
      </c>
      <c r="BY9" s="547" t="s">
        <v>709</v>
      </c>
      <c r="BZ9" s="483" t="s">
        <v>2</v>
      </c>
    </row>
    <row r="10" spans="1:78" ht="15" hidden="1" customHeight="1" x14ac:dyDescent="0.25">
      <c r="A10" s="8">
        <v>2021</v>
      </c>
      <c r="B10" s="8" t="s">
        <v>1108</v>
      </c>
      <c r="C10" s="8" t="s">
        <v>1175</v>
      </c>
      <c r="D10" s="656" t="s">
        <v>1176</v>
      </c>
      <c r="E10" s="8" t="s">
        <v>111</v>
      </c>
      <c r="F10" s="8" t="s">
        <v>1111</v>
      </c>
      <c r="G10" s="8" t="s">
        <v>40</v>
      </c>
      <c r="H10" s="8" t="s">
        <v>59</v>
      </c>
      <c r="I10" s="642">
        <v>44176</v>
      </c>
      <c r="J10" s="18">
        <v>44295</v>
      </c>
      <c r="K10" s="642">
        <v>44293</v>
      </c>
      <c r="L10" s="16">
        <f>IF(ISTEXT(Table159[[#This Row],[Engineering Approved Design Date]]),Table159[[#This Row],[Date Completed]]-Table159[[#This Row],[Date Assigned to Designer]],Table159[[#This Row],[Engineering Approved Design Date]]-Table159[[#This Row],[Date Completed]])</f>
        <v>2</v>
      </c>
      <c r="M10" s="642"/>
      <c r="N10" s="642" t="s">
        <v>120</v>
      </c>
      <c r="O10" s="534">
        <v>44293</v>
      </c>
      <c r="P10" s="68" t="s">
        <v>739</v>
      </c>
      <c r="Q10" s="70">
        <f>(Table159[[#This Row],[Construction Cost to Bill From]]*0.085)+7750</f>
        <v>24899.581300000002</v>
      </c>
      <c r="R10" s="75" t="s">
        <v>1055</v>
      </c>
      <c r="S10" s="24" t="s">
        <v>709</v>
      </c>
      <c r="T10" s="538" t="s">
        <v>709</v>
      </c>
      <c r="U10" s="28" t="s">
        <v>709</v>
      </c>
      <c r="X10" s="24">
        <v>173111.31</v>
      </c>
      <c r="Y10" s="591"/>
      <c r="Z10" s="538">
        <v>28648.47</v>
      </c>
      <c r="AA10" s="28">
        <f>X10+Z10</f>
        <v>201759.78</v>
      </c>
      <c r="AB10" s="207"/>
      <c r="AC10" s="108" t="s">
        <v>1177</v>
      </c>
      <c r="AD10" s="108"/>
      <c r="AE10" s="349"/>
      <c r="AF10" s="579"/>
      <c r="AG10" s="579"/>
      <c r="AH10" s="354"/>
      <c r="AI10" s="489"/>
      <c r="AJ10" s="553"/>
      <c r="AK10" s="553"/>
      <c r="AL10" s="495"/>
      <c r="AM10" s="21" t="s">
        <v>116</v>
      </c>
      <c r="AN10" s="680" t="s">
        <v>709</v>
      </c>
      <c r="AO10" s="601" t="s">
        <v>115</v>
      </c>
      <c r="AP10" s="572"/>
      <c r="AQ10" s="572"/>
      <c r="AR10" s="572"/>
      <c r="AS10" s="538">
        <f>IF(Table159[[#This Row],[PCTS Approved]]="N",0,Table159[[#This Row],[Investment Amount (1'#'#'#'#'#)]]+Table159[[#This Row],[Retirement Amount (3'#'#'#'#'#)]])</f>
        <v>0</v>
      </c>
      <c r="AT10" s="538">
        <f>IF(Table159[[#This Row],[Approved Construction Cost]]=0,0,Table159[[#This Row],[Approved Construction Cost]]-Table159[[#This Row],[Construction Cost to Bill From]])</f>
        <v>0</v>
      </c>
      <c r="AU10" s="538">
        <f>IFERROR(Table159[[#This Row],[Difference in Construction Cost]]*Table159[[#This Row],[Rate]],Table159[[#This Row],[Difference in Construction Cost]]*0.085)</f>
        <v>0</v>
      </c>
      <c r="AV10" s="572"/>
      <c r="AW10" s="639"/>
      <c r="AX10" s="538"/>
      <c r="AY10" s="636" t="s">
        <v>709</v>
      </c>
      <c r="AZ10" s="443">
        <v>178</v>
      </c>
      <c r="BA10" s="652" t="s">
        <v>1178</v>
      </c>
      <c r="BB10" s="644" t="s">
        <v>1179</v>
      </c>
      <c r="BC10" s="478" t="s">
        <v>116</v>
      </c>
      <c r="BD10" s="544" t="s">
        <v>709</v>
      </c>
      <c r="BE10" s="544" t="s">
        <v>1114</v>
      </c>
      <c r="BF10" s="544" t="s">
        <v>709</v>
      </c>
      <c r="BG10" s="512" t="s">
        <v>709</v>
      </c>
      <c r="BH10" s="741"/>
      <c r="BI10" s="535" t="s">
        <v>709</v>
      </c>
      <c r="BJ10" s="547" t="s">
        <v>709</v>
      </c>
      <c r="BK10" s="547" t="s">
        <v>116</v>
      </c>
      <c r="BL10" s="547" t="s">
        <v>116</v>
      </c>
      <c r="BM10" s="547" t="s">
        <v>709</v>
      </c>
      <c r="BN10" s="547" t="s">
        <v>709</v>
      </c>
      <c r="BO10" s="547" t="s">
        <v>709</v>
      </c>
      <c r="BP10" s="547" t="s">
        <v>709</v>
      </c>
      <c r="BQ10" s="547" t="s">
        <v>709</v>
      </c>
      <c r="BR10" s="547">
        <v>5</v>
      </c>
      <c r="BS10" s="547">
        <v>64</v>
      </c>
      <c r="BT10" s="547" t="s">
        <v>709</v>
      </c>
      <c r="BU10" s="547">
        <v>1</v>
      </c>
      <c r="BV10" s="547" t="s">
        <v>709</v>
      </c>
      <c r="BW10" s="547">
        <v>1</v>
      </c>
      <c r="BX10" s="547" t="s">
        <v>709</v>
      </c>
      <c r="BY10" s="547" t="s">
        <v>709</v>
      </c>
      <c r="BZ10" s="483" t="s">
        <v>2</v>
      </c>
    </row>
    <row r="11" spans="1:78" ht="15" hidden="1" customHeight="1" x14ac:dyDescent="0.25">
      <c r="A11" s="8" t="s">
        <v>781</v>
      </c>
      <c r="B11" s="8" t="s">
        <v>1073</v>
      </c>
      <c r="C11" s="8" t="s">
        <v>1360</v>
      </c>
      <c r="D11" s="8" t="s">
        <v>1361</v>
      </c>
      <c r="E11" s="8" t="s">
        <v>281</v>
      </c>
      <c r="F11" s="8" t="s">
        <v>784</v>
      </c>
      <c r="G11" s="8" t="s">
        <v>23</v>
      </c>
      <c r="H11" s="8" t="s">
        <v>59</v>
      </c>
      <c r="I11" s="642">
        <v>44818</v>
      </c>
      <c r="J11" s="18">
        <v>44876</v>
      </c>
      <c r="K11" s="97">
        <v>44859</v>
      </c>
      <c r="L11" s="16">
        <f>IF(ISTEXT(Table159[[#This Row],[Engineering Approved Design Date]]),Table159[[#This Row],[Date Completed]]-Table159[[#This Row],[Date Assigned to Designer]],Table159[[#This Row],[Engineering Approved Design Date]]-Table159[[#This Row],[Date Completed]])</f>
        <v>17</v>
      </c>
      <c r="M11" s="642"/>
      <c r="N11" s="642" t="s">
        <v>120</v>
      </c>
      <c r="O11" s="534">
        <v>44866</v>
      </c>
      <c r="P11" s="68" t="s">
        <v>739</v>
      </c>
      <c r="Q11" s="29">
        <f>R11*AA11</f>
        <v>18768.990100000003</v>
      </c>
      <c r="R11" s="75">
        <v>7.0000000000000007E-2</v>
      </c>
      <c r="U11" s="87"/>
      <c r="V11" s="437">
        <v>1175</v>
      </c>
      <c r="X11" s="106">
        <v>254704.24</v>
      </c>
      <c r="Y11" s="592"/>
      <c r="Z11" s="570">
        <v>13424.19</v>
      </c>
      <c r="AA11" s="300">
        <f>Table159[[#This Row],[PCTS Investment Amount]]+Table159[[#This Row],[PCTS Retirement Amount]]</f>
        <v>268128.43</v>
      </c>
      <c r="AB11" s="207">
        <v>44860</v>
      </c>
      <c r="AC11" s="108" t="s">
        <v>709</v>
      </c>
      <c r="AD11" s="108" t="s">
        <v>116</v>
      </c>
      <c r="AE11" s="349"/>
      <c r="AF11" s="579"/>
      <c r="AG11" s="579"/>
      <c r="AH11" s="354"/>
      <c r="AI11" s="489"/>
      <c r="AJ11" s="553"/>
      <c r="AK11" s="553"/>
      <c r="AL11" s="495"/>
      <c r="AM11" s="21" t="s">
        <v>116</v>
      </c>
      <c r="AN11" s="680" t="s">
        <v>709</v>
      </c>
      <c r="AO11" s="601" t="s">
        <v>115</v>
      </c>
      <c r="AP11" s="572"/>
      <c r="AQ11" s="572"/>
      <c r="AR11" s="572"/>
      <c r="AS11" s="538">
        <f>IF(Table159[[#This Row],[PCTS Approved]]="N",0,Table159[[#This Row],[Investment Amount (1'#'#'#'#'#)]]+Table159[[#This Row],[Retirement Amount (3'#'#'#'#'#)]])</f>
        <v>0</v>
      </c>
      <c r="AT11" s="538">
        <f>IF(Table159[[#This Row],[Approved Construction Cost]]=0,0,Table159[[#This Row],[Approved Construction Cost]]-Table159[[#This Row],[Construction Cost to Bill From]])</f>
        <v>0</v>
      </c>
      <c r="AU11" s="538">
        <f>IFERROR(Table159[[#This Row],[Difference in Construction Cost]]*Table159[[#This Row],[Rate]],Table159[[#This Row],[Difference in Construction Cost]]*0.085)</f>
        <v>0</v>
      </c>
      <c r="AV11" s="572"/>
      <c r="AW11" s="639"/>
      <c r="AX11" s="538"/>
      <c r="AY11" s="636" t="s">
        <v>709</v>
      </c>
      <c r="AZ11" s="443">
        <v>11</v>
      </c>
      <c r="BA11" s="652" t="s">
        <v>1362</v>
      </c>
      <c r="BB11" s="644" t="s">
        <v>1363</v>
      </c>
      <c r="BC11" s="478" t="s">
        <v>115</v>
      </c>
      <c r="BD11" s="544" t="s">
        <v>115</v>
      </c>
      <c r="BE11" s="544" t="s">
        <v>1364</v>
      </c>
      <c r="BF11" s="544" t="s">
        <v>1364</v>
      </c>
      <c r="BG11" s="512" t="s">
        <v>115</v>
      </c>
      <c r="BH11" s="741"/>
      <c r="BI11" s="535" t="s">
        <v>709</v>
      </c>
      <c r="BJ11" s="547" t="s">
        <v>709</v>
      </c>
      <c r="BK11" s="547" t="s">
        <v>709</v>
      </c>
      <c r="BL11" s="547" t="s">
        <v>116</v>
      </c>
      <c r="BM11" s="547" t="s">
        <v>709</v>
      </c>
      <c r="BN11" s="547" t="s">
        <v>709</v>
      </c>
      <c r="BO11" s="547" t="s">
        <v>709</v>
      </c>
      <c r="BP11" s="547" t="s">
        <v>709</v>
      </c>
      <c r="BQ11" s="547" t="s">
        <v>709</v>
      </c>
      <c r="BR11" s="547">
        <v>1175</v>
      </c>
      <c r="BS11" s="547" t="s">
        <v>709</v>
      </c>
      <c r="BT11" s="547" t="s">
        <v>745</v>
      </c>
      <c r="BU11" s="547" t="s">
        <v>709</v>
      </c>
      <c r="BV11" s="547" t="s">
        <v>709</v>
      </c>
      <c r="BW11" s="547" t="s">
        <v>709</v>
      </c>
      <c r="BX11" s="547" t="s">
        <v>745</v>
      </c>
      <c r="BY11" s="547" t="s">
        <v>745</v>
      </c>
      <c r="BZ11" s="483"/>
    </row>
    <row r="12" spans="1:78" ht="15" hidden="1" customHeight="1" x14ac:dyDescent="0.25">
      <c r="A12" s="8" t="s">
        <v>770</v>
      </c>
      <c r="B12" s="8" t="s">
        <v>1108</v>
      </c>
      <c r="C12" s="8" t="s">
        <v>1192</v>
      </c>
      <c r="D12" s="656" t="s">
        <v>1193</v>
      </c>
      <c r="E12" s="8" t="s">
        <v>249</v>
      </c>
      <c r="F12" s="8" t="s">
        <v>1111</v>
      </c>
      <c r="G12" s="8" t="s">
        <v>40</v>
      </c>
      <c r="H12" s="8" t="s">
        <v>59</v>
      </c>
      <c r="I12" s="642">
        <v>44176</v>
      </c>
      <c r="J12" s="18">
        <v>44309</v>
      </c>
      <c r="K12" s="642">
        <v>44309</v>
      </c>
      <c r="L12" s="16">
        <f>IF(ISTEXT(Table159[[#This Row],[Engineering Approved Design Date]]),Table159[[#This Row],[Date Completed]]-Table159[[#This Row],[Date Assigned to Designer]],Table159[[#This Row],[Engineering Approved Design Date]]-Table159[[#This Row],[Date Completed]])</f>
        <v>0</v>
      </c>
      <c r="M12" s="642"/>
      <c r="N12" s="642" t="s">
        <v>120</v>
      </c>
      <c r="O12" s="534">
        <v>44317</v>
      </c>
      <c r="P12" s="68" t="s">
        <v>739</v>
      </c>
      <c r="Q12" s="70">
        <f>(Table159[[#This Row],[Construction Cost to Bill From]]*0.085)+7750</f>
        <v>30205.770050000003</v>
      </c>
      <c r="R12" s="75" t="s">
        <v>1055</v>
      </c>
      <c r="S12" s="24" t="s">
        <v>709</v>
      </c>
      <c r="T12" s="538" t="s">
        <v>709</v>
      </c>
      <c r="U12" s="28" t="s">
        <v>709</v>
      </c>
      <c r="V12" s="440"/>
      <c r="W12" s="440"/>
      <c r="X12" s="29">
        <v>237292.7</v>
      </c>
      <c r="Y12" s="591"/>
      <c r="Z12" s="551">
        <v>26892.83</v>
      </c>
      <c r="AA12" s="87">
        <f>X12+Z12</f>
        <v>264185.53000000003</v>
      </c>
      <c r="AB12" s="207"/>
      <c r="AC12" s="108" t="s">
        <v>116</v>
      </c>
      <c r="AD12" s="108"/>
      <c r="AE12" s="349"/>
      <c r="AF12" s="579"/>
      <c r="AG12" s="579"/>
      <c r="AH12" s="354"/>
      <c r="AI12" s="489"/>
      <c r="AJ12" s="553"/>
      <c r="AK12" s="553"/>
      <c r="AL12" s="495"/>
      <c r="AM12" s="21" t="s">
        <v>116</v>
      </c>
      <c r="AN12" s="680" t="s">
        <v>709</v>
      </c>
      <c r="AO12" s="601" t="s">
        <v>115</v>
      </c>
      <c r="AP12" s="572"/>
      <c r="AQ12" s="572"/>
      <c r="AR12" s="572"/>
      <c r="AS12" s="538">
        <f>IF(Table159[[#This Row],[PCTS Approved]]="N",0,Table159[[#This Row],[Investment Amount (1'#'#'#'#'#)]]+Table159[[#This Row],[Retirement Amount (3'#'#'#'#'#)]])</f>
        <v>0</v>
      </c>
      <c r="AT12" s="538">
        <f>IF(Table159[[#This Row],[Approved Construction Cost]]=0,0,Table159[[#This Row],[Approved Construction Cost]]-Table159[[#This Row],[Construction Cost to Bill From]])</f>
        <v>0</v>
      </c>
      <c r="AU12" s="538">
        <f>IFERROR(Table159[[#This Row],[Difference in Construction Cost]]*Table159[[#This Row],[Rate]],Table159[[#This Row],[Difference in Construction Cost]]*0.085)</f>
        <v>0</v>
      </c>
      <c r="AV12" s="572"/>
      <c r="AW12" s="639"/>
      <c r="AX12" s="538"/>
      <c r="AY12" s="636" t="s">
        <v>709</v>
      </c>
      <c r="AZ12" s="443">
        <v>180</v>
      </c>
      <c r="BA12" s="652" t="s">
        <v>1194</v>
      </c>
      <c r="BB12" s="644" t="s">
        <v>1174</v>
      </c>
      <c r="BC12" s="478" t="s">
        <v>116</v>
      </c>
      <c r="BD12" s="544" t="s">
        <v>709</v>
      </c>
      <c r="BE12" s="544" t="s">
        <v>709</v>
      </c>
      <c r="BF12" s="544" t="s">
        <v>709</v>
      </c>
      <c r="BG12" s="512" t="s">
        <v>709</v>
      </c>
      <c r="BH12" s="741"/>
      <c r="BI12" s="535" t="s">
        <v>709</v>
      </c>
      <c r="BJ12" s="547" t="s">
        <v>709</v>
      </c>
      <c r="BK12" s="547" t="s">
        <v>709</v>
      </c>
      <c r="BL12" s="547" t="s">
        <v>116</v>
      </c>
      <c r="BM12" s="547" t="s">
        <v>709</v>
      </c>
      <c r="BN12" s="547" t="s">
        <v>709</v>
      </c>
      <c r="BO12" s="547" t="s">
        <v>709</v>
      </c>
      <c r="BP12" s="547">
        <v>3</v>
      </c>
      <c r="BQ12" s="547">
        <v>23</v>
      </c>
      <c r="BR12" s="547">
        <v>5</v>
      </c>
      <c r="BS12" s="547" t="s">
        <v>709</v>
      </c>
      <c r="BT12" s="547" t="s">
        <v>709</v>
      </c>
      <c r="BU12" s="547" t="s">
        <v>709</v>
      </c>
      <c r="BV12" s="547" t="s">
        <v>709</v>
      </c>
      <c r="BW12" s="547">
        <v>1</v>
      </c>
      <c r="BX12" s="547" t="s">
        <v>709</v>
      </c>
      <c r="BY12" s="547" t="s">
        <v>709</v>
      </c>
      <c r="BZ12" s="483" t="s">
        <v>2</v>
      </c>
    </row>
    <row r="13" spans="1:78" ht="15" hidden="1" customHeight="1" x14ac:dyDescent="0.25">
      <c r="A13" s="8">
        <v>2021</v>
      </c>
      <c r="B13" s="8" t="s">
        <v>1108</v>
      </c>
      <c r="C13" s="8" t="s">
        <v>1195</v>
      </c>
      <c r="D13" s="656" t="s">
        <v>1196</v>
      </c>
      <c r="E13" s="8" t="s">
        <v>155</v>
      </c>
      <c r="F13" s="8" t="s">
        <v>1111</v>
      </c>
      <c r="G13" s="8" t="s">
        <v>40</v>
      </c>
      <c r="H13" s="8" t="s">
        <v>59</v>
      </c>
      <c r="I13" s="642">
        <v>44229</v>
      </c>
      <c r="J13" s="18">
        <v>44326</v>
      </c>
      <c r="K13" s="642">
        <v>44323</v>
      </c>
      <c r="L13" s="16">
        <f>IF(ISTEXT(Table159[[#This Row],[Engineering Approved Design Date]]),Table159[[#This Row],[Date Completed]]-Table159[[#This Row],[Date Assigned to Designer]],Table159[[#This Row],[Engineering Approved Design Date]]-Table159[[#This Row],[Date Completed]])</f>
        <v>3</v>
      </c>
      <c r="M13" s="642"/>
      <c r="N13" s="642" t="s">
        <v>120</v>
      </c>
      <c r="O13" s="534">
        <v>44323</v>
      </c>
      <c r="P13" s="68" t="s">
        <v>739</v>
      </c>
      <c r="Q13" s="70">
        <f>(Table159[[#This Row],[Construction Cost to Bill From]]*0.085)+7750</f>
        <v>27091.844349999999</v>
      </c>
      <c r="R13" s="75" t="s">
        <v>1055</v>
      </c>
      <c r="S13" s="24" t="s">
        <v>709</v>
      </c>
      <c r="T13" s="538" t="s">
        <v>709</v>
      </c>
      <c r="U13" s="28" t="s">
        <v>709</v>
      </c>
      <c r="V13" s="440">
        <v>48</v>
      </c>
      <c r="W13" s="440"/>
      <c r="X13" s="24">
        <v>180757.62</v>
      </c>
      <c r="Y13" s="591"/>
      <c r="Z13" s="538">
        <v>46793.49</v>
      </c>
      <c r="AA13" s="28">
        <f>X13+Z13</f>
        <v>227551.11</v>
      </c>
      <c r="AB13" s="207"/>
      <c r="AC13" s="108" t="s">
        <v>709</v>
      </c>
      <c r="AD13" s="108"/>
      <c r="AE13" s="349"/>
      <c r="AF13" s="579"/>
      <c r="AG13" s="579"/>
      <c r="AH13" s="354"/>
      <c r="AI13" s="489"/>
      <c r="AJ13" s="553"/>
      <c r="AK13" s="553"/>
      <c r="AL13" s="495"/>
      <c r="AM13" s="21" t="s">
        <v>116</v>
      </c>
      <c r="AN13" s="680" t="s">
        <v>709</v>
      </c>
      <c r="AO13" s="601" t="s">
        <v>115</v>
      </c>
      <c r="AP13" s="572"/>
      <c r="AQ13" s="572"/>
      <c r="AR13" s="572"/>
      <c r="AS13" s="538">
        <f>IF(Table159[[#This Row],[PCTS Approved]]="N",0,Table159[[#This Row],[Investment Amount (1'#'#'#'#'#)]]+Table159[[#This Row],[Retirement Amount (3'#'#'#'#'#)]])</f>
        <v>0</v>
      </c>
      <c r="AT13" s="538">
        <f>IF(Table159[[#This Row],[Approved Construction Cost]]=0,0,Table159[[#This Row],[Approved Construction Cost]]-Table159[[#This Row],[Construction Cost to Bill From]])</f>
        <v>0</v>
      </c>
      <c r="AU13" s="538">
        <f>IFERROR(Table159[[#This Row],[Difference in Construction Cost]]*Table159[[#This Row],[Rate]],Table159[[#This Row],[Difference in Construction Cost]]*0.085)</f>
        <v>0</v>
      </c>
      <c r="AV13" s="572"/>
      <c r="AW13" s="639"/>
      <c r="AX13" s="538"/>
      <c r="AY13" s="636" t="s">
        <v>709</v>
      </c>
      <c r="AZ13" s="443">
        <v>181</v>
      </c>
      <c r="BA13" s="652" t="s">
        <v>1197</v>
      </c>
      <c r="BB13" s="644" t="s">
        <v>1174</v>
      </c>
      <c r="BC13" s="478" t="s">
        <v>116</v>
      </c>
      <c r="BD13" s="544" t="s">
        <v>709</v>
      </c>
      <c r="BE13" s="544" t="s">
        <v>709</v>
      </c>
      <c r="BF13" s="544" t="s">
        <v>709</v>
      </c>
      <c r="BG13" s="512" t="s">
        <v>709</v>
      </c>
      <c r="BH13" s="741"/>
      <c r="BI13" s="535" t="s">
        <v>709</v>
      </c>
      <c r="BJ13" s="547" t="s">
        <v>709</v>
      </c>
      <c r="BK13" s="547" t="s">
        <v>116</v>
      </c>
      <c r="BL13" s="547" t="s">
        <v>709</v>
      </c>
      <c r="BM13" s="547" t="s">
        <v>709</v>
      </c>
      <c r="BN13" s="547" t="s">
        <v>709</v>
      </c>
      <c r="BO13" s="547" t="s">
        <v>709</v>
      </c>
      <c r="BP13" s="547" t="s">
        <v>709</v>
      </c>
      <c r="BQ13" s="547" t="s">
        <v>709</v>
      </c>
      <c r="BR13" s="547">
        <v>48</v>
      </c>
      <c r="BS13" s="547" t="s">
        <v>709</v>
      </c>
      <c r="BT13" s="547" t="s">
        <v>709</v>
      </c>
      <c r="BU13" s="547" t="s">
        <v>709</v>
      </c>
      <c r="BV13" s="547" t="s">
        <v>709</v>
      </c>
      <c r="BW13" s="547">
        <v>1</v>
      </c>
      <c r="BX13" s="547">
        <v>1</v>
      </c>
      <c r="BY13" s="547" t="s">
        <v>709</v>
      </c>
      <c r="BZ13" s="483" t="s">
        <v>2</v>
      </c>
    </row>
    <row r="14" spans="1:78" ht="15" hidden="1" customHeight="1" x14ac:dyDescent="0.25">
      <c r="A14" s="8">
        <v>2021</v>
      </c>
      <c r="B14" s="8" t="s">
        <v>4</v>
      </c>
      <c r="C14" s="8" t="s">
        <v>1198</v>
      </c>
      <c r="D14" s="655" t="s">
        <v>1199</v>
      </c>
      <c r="E14" s="8" t="s">
        <v>1200</v>
      </c>
      <c r="F14" s="8" t="s">
        <v>738</v>
      </c>
      <c r="G14" s="8" t="s">
        <v>39</v>
      </c>
      <c r="H14" s="8" t="s">
        <v>59</v>
      </c>
      <c r="I14" s="642">
        <v>44264</v>
      </c>
      <c r="J14" s="18">
        <v>44327</v>
      </c>
      <c r="K14" s="642">
        <v>44326</v>
      </c>
      <c r="L14" s="16">
        <f>IF(ISTEXT(Table159[[#This Row],[Engineering Approved Design Date]]),Table159[[#This Row],[Date Completed]]-Table159[[#This Row],[Date Assigned to Designer]],Table159[[#This Row],[Engineering Approved Design Date]]-Table159[[#This Row],[Date Completed]])</f>
        <v>1</v>
      </c>
      <c r="M14" s="642"/>
      <c r="N14" s="642" t="s">
        <v>120</v>
      </c>
      <c r="O14" s="534">
        <v>44326</v>
      </c>
      <c r="P14" s="68" t="s">
        <v>739</v>
      </c>
      <c r="Q14" s="70">
        <f>R14*AA14</f>
        <v>51302.567000000003</v>
      </c>
      <c r="R14" s="75">
        <v>0.1</v>
      </c>
      <c r="S14" s="24" t="s">
        <v>709</v>
      </c>
      <c r="T14" s="538" t="s">
        <v>709</v>
      </c>
      <c r="U14" s="28" t="s">
        <v>709</v>
      </c>
      <c r="V14" s="440">
        <v>2622</v>
      </c>
      <c r="W14" s="440"/>
      <c r="X14" s="29">
        <f>484057.24</f>
        <v>484057.24</v>
      </c>
      <c r="Y14" s="591"/>
      <c r="Z14" s="538">
        <f>28968.43</f>
        <v>28968.43</v>
      </c>
      <c r="AA14" s="28">
        <f>X14+Z14</f>
        <v>513025.67</v>
      </c>
      <c r="AB14" s="207"/>
      <c r="AC14" s="108" t="s">
        <v>709</v>
      </c>
      <c r="AD14" s="108"/>
      <c r="AE14" s="349"/>
      <c r="AF14" s="579"/>
      <c r="AG14" s="579"/>
      <c r="AH14" s="354"/>
      <c r="AI14" s="489"/>
      <c r="AJ14" s="553"/>
      <c r="AK14" s="553"/>
      <c r="AL14" s="495"/>
      <c r="AM14" s="21" t="s">
        <v>116</v>
      </c>
      <c r="AN14" s="680" t="s">
        <v>709</v>
      </c>
      <c r="AO14" s="681" t="s">
        <v>115</v>
      </c>
      <c r="AP14" s="682"/>
      <c r="AQ14" s="682"/>
      <c r="AR14" s="682"/>
      <c r="AS14" s="538">
        <f>IF(Table159[[#This Row],[PCTS Approved]]="N",0,Table159[[#This Row],[Investment Amount (1'#'#'#'#'#)]]+Table159[[#This Row],[Retirement Amount (3'#'#'#'#'#)]])</f>
        <v>0</v>
      </c>
      <c r="AT14" s="538">
        <f>IF(Table159[[#This Row],[Approved Construction Cost]]=0,0,Table159[[#This Row],[Approved Construction Cost]]-Table159[[#This Row],[Construction Cost to Bill From]])</f>
        <v>0</v>
      </c>
      <c r="AU14" s="538">
        <f>IFERROR(Table159[[#This Row],[Difference in Construction Cost]]*Table159[[#This Row],[Rate]],Table159[[#This Row],[Difference in Construction Cost]]*0.085)</f>
        <v>0</v>
      </c>
      <c r="AV14" s="682"/>
      <c r="AW14" s="686"/>
      <c r="AX14" s="538"/>
      <c r="AY14" s="636" t="s">
        <v>709</v>
      </c>
      <c r="AZ14" s="443">
        <v>58</v>
      </c>
      <c r="BA14" s="652" t="s">
        <v>1201</v>
      </c>
      <c r="BB14" s="644" t="s">
        <v>1202</v>
      </c>
      <c r="BC14" s="478" t="s">
        <v>116</v>
      </c>
      <c r="BD14" s="544" t="s">
        <v>709</v>
      </c>
      <c r="BE14" s="544" t="s">
        <v>1203</v>
      </c>
      <c r="BF14" s="544" t="s">
        <v>709</v>
      </c>
      <c r="BG14" s="512" t="s">
        <v>709</v>
      </c>
      <c r="BH14" s="741"/>
      <c r="BI14" s="535" t="s">
        <v>709</v>
      </c>
      <c r="BJ14" s="547" t="s">
        <v>709</v>
      </c>
      <c r="BK14" s="547" t="s">
        <v>709</v>
      </c>
      <c r="BL14" s="547" t="s">
        <v>116</v>
      </c>
      <c r="BM14" s="547" t="s">
        <v>709</v>
      </c>
      <c r="BN14" s="547" t="s">
        <v>709</v>
      </c>
      <c r="BO14" s="547" t="s">
        <v>709</v>
      </c>
      <c r="BP14" s="547" t="s">
        <v>709</v>
      </c>
      <c r="BQ14" s="547" t="s">
        <v>709</v>
      </c>
      <c r="BR14" s="547">
        <v>1439</v>
      </c>
      <c r="BS14" s="547">
        <v>1183</v>
      </c>
      <c r="BT14" s="547" t="s">
        <v>745</v>
      </c>
      <c r="BU14" s="547" t="s">
        <v>709</v>
      </c>
      <c r="BV14" s="547" t="s">
        <v>745</v>
      </c>
      <c r="BW14" s="547" t="s">
        <v>709</v>
      </c>
      <c r="BX14" s="547" t="s">
        <v>745</v>
      </c>
      <c r="BY14" s="547" t="s">
        <v>745</v>
      </c>
      <c r="BZ14" s="483"/>
    </row>
    <row r="15" spans="1:78" ht="15" hidden="1" customHeight="1" x14ac:dyDescent="0.25">
      <c r="A15" s="8">
        <v>2021</v>
      </c>
      <c r="B15" s="8" t="s">
        <v>4</v>
      </c>
      <c r="C15" s="8" t="s">
        <v>1198</v>
      </c>
      <c r="D15" s="655" t="s">
        <v>1204</v>
      </c>
      <c r="E15" s="8" t="s">
        <v>1200</v>
      </c>
      <c r="F15" s="8" t="s">
        <v>738</v>
      </c>
      <c r="G15" s="8" t="s">
        <v>39</v>
      </c>
      <c r="H15" s="8" t="s">
        <v>59</v>
      </c>
      <c r="I15" s="642">
        <v>44264</v>
      </c>
      <c r="J15" s="18">
        <v>44327</v>
      </c>
      <c r="K15" s="642">
        <v>44326</v>
      </c>
      <c r="L15" s="16">
        <f>IF(ISTEXT(Table159[[#This Row],[Engineering Approved Design Date]]),Table159[[#This Row],[Date Completed]]-Table159[[#This Row],[Date Assigned to Designer]],Table159[[#This Row],[Engineering Approved Design Date]]-Table159[[#This Row],[Date Completed]])</f>
        <v>1</v>
      </c>
      <c r="M15" s="642"/>
      <c r="N15" s="642" t="s">
        <v>120</v>
      </c>
      <c r="O15" s="534">
        <v>44326</v>
      </c>
      <c r="P15" s="68" t="s">
        <v>739</v>
      </c>
      <c r="Q15" s="70">
        <f>R15*AA15</f>
        <v>19836.063000000002</v>
      </c>
      <c r="R15" s="75">
        <v>0.1</v>
      </c>
      <c r="S15" s="24" t="s">
        <v>709</v>
      </c>
      <c r="T15" s="538" t="s">
        <v>709</v>
      </c>
      <c r="U15" s="28" t="s">
        <v>709</v>
      </c>
      <c r="V15" s="440">
        <v>834</v>
      </c>
      <c r="W15" s="440"/>
      <c r="X15" s="29">
        <f>169446.82</f>
        <v>169446.82</v>
      </c>
      <c r="Y15" s="591"/>
      <c r="Z15" s="538">
        <f>28913.81</f>
        <v>28913.81</v>
      </c>
      <c r="AA15" s="28">
        <f>X15+Z15</f>
        <v>198360.63</v>
      </c>
      <c r="AB15" s="207"/>
      <c r="AC15" s="108" t="s">
        <v>709</v>
      </c>
      <c r="AD15" s="108"/>
      <c r="AE15" s="349"/>
      <c r="AF15" s="579"/>
      <c r="AG15" s="579"/>
      <c r="AH15" s="354"/>
      <c r="AI15" s="489"/>
      <c r="AJ15" s="553"/>
      <c r="AK15" s="553"/>
      <c r="AL15" s="495"/>
      <c r="AM15" s="21" t="s">
        <v>116</v>
      </c>
      <c r="AN15" s="680" t="s">
        <v>709</v>
      </c>
      <c r="AO15" s="681" t="s">
        <v>115</v>
      </c>
      <c r="AP15" s="682"/>
      <c r="AQ15" s="682"/>
      <c r="AR15" s="682"/>
      <c r="AS15" s="538">
        <f>IF(Table159[[#This Row],[PCTS Approved]]="N",0,Table159[[#This Row],[Investment Amount (1'#'#'#'#'#)]]+Table159[[#This Row],[Retirement Amount (3'#'#'#'#'#)]])</f>
        <v>0</v>
      </c>
      <c r="AT15" s="538">
        <f>IF(Table159[[#This Row],[Approved Construction Cost]]=0,0,Table159[[#This Row],[Approved Construction Cost]]-Table159[[#This Row],[Construction Cost to Bill From]])</f>
        <v>0</v>
      </c>
      <c r="AU15" s="538">
        <f>IFERROR(Table159[[#This Row],[Difference in Construction Cost]]*Table159[[#This Row],[Rate]],Table159[[#This Row],[Difference in Construction Cost]]*0.085)</f>
        <v>0</v>
      </c>
      <c r="AV15" s="682"/>
      <c r="AW15" s="686"/>
      <c r="AX15" s="538"/>
      <c r="AY15" s="636" t="s">
        <v>709</v>
      </c>
      <c r="AZ15" s="443">
        <v>59</v>
      </c>
      <c r="BA15" s="652" t="s">
        <v>1201</v>
      </c>
      <c r="BB15" s="644" t="s">
        <v>1202</v>
      </c>
      <c r="BC15" s="478" t="s">
        <v>116</v>
      </c>
      <c r="BD15" s="544" t="s">
        <v>709</v>
      </c>
      <c r="BE15" s="544" t="s">
        <v>1203</v>
      </c>
      <c r="BF15" s="544" t="s">
        <v>709</v>
      </c>
      <c r="BG15" s="512" t="s">
        <v>709</v>
      </c>
      <c r="BH15" s="741"/>
      <c r="BI15" s="535" t="s">
        <v>709</v>
      </c>
      <c r="BJ15" s="547" t="s">
        <v>709</v>
      </c>
      <c r="BK15" s="547" t="s">
        <v>709</v>
      </c>
      <c r="BL15" s="547" t="s">
        <v>116</v>
      </c>
      <c r="BM15" s="547" t="s">
        <v>709</v>
      </c>
      <c r="BN15" s="547" t="s">
        <v>709</v>
      </c>
      <c r="BO15" s="547" t="s">
        <v>709</v>
      </c>
      <c r="BP15" s="547" t="s">
        <v>709</v>
      </c>
      <c r="BQ15" s="547" t="s">
        <v>709</v>
      </c>
      <c r="BR15" s="547">
        <v>1439</v>
      </c>
      <c r="BS15" s="547">
        <v>1183</v>
      </c>
      <c r="BT15" s="547" t="s">
        <v>745</v>
      </c>
      <c r="BU15" s="547" t="s">
        <v>709</v>
      </c>
      <c r="BV15" s="547" t="s">
        <v>745</v>
      </c>
      <c r="BW15" s="547" t="s">
        <v>709</v>
      </c>
      <c r="BX15" s="547" t="s">
        <v>745</v>
      </c>
      <c r="BY15" s="547" t="s">
        <v>745</v>
      </c>
      <c r="BZ15" s="483"/>
    </row>
    <row r="16" spans="1:78" ht="15" hidden="1" customHeight="1" x14ac:dyDescent="0.25">
      <c r="A16" s="8">
        <v>2023</v>
      </c>
      <c r="B16" s="8" t="s">
        <v>730</v>
      </c>
      <c r="C16" s="8" t="s">
        <v>1426</v>
      </c>
      <c r="D16" s="8" t="s">
        <v>1427</v>
      </c>
      <c r="E16" s="8" t="s">
        <v>1428</v>
      </c>
      <c r="F16" s="8" t="s">
        <v>752</v>
      </c>
      <c r="G16" s="8" t="s">
        <v>24</v>
      </c>
      <c r="H16" s="8" t="s">
        <v>59</v>
      </c>
      <c r="I16" s="642">
        <v>44888</v>
      </c>
      <c r="J16" s="18">
        <v>45009</v>
      </c>
      <c r="K16" s="97">
        <v>45005</v>
      </c>
      <c r="L16" s="16">
        <f>IF(ISTEXT(Table159[[#This Row],[Engineering Approved Design Date]]),Table159[[#This Row],[Date Completed]]-Table159[[#This Row],[Date Assigned to Designer]],Table159[[#This Row],[Engineering Approved Design Date]]-Table159[[#This Row],[Date Completed]])</f>
        <v>4</v>
      </c>
      <c r="M16" s="642"/>
      <c r="N16" s="642" t="s">
        <v>120</v>
      </c>
      <c r="O16" s="510">
        <v>45017</v>
      </c>
      <c r="P16" s="221" t="s">
        <v>120</v>
      </c>
      <c r="Q16" s="70">
        <f>Table159[[#This Row],[Rate]]*Table159[[#This Row],[Construction Cost to Bill From]]</f>
        <v>46794.15</v>
      </c>
      <c r="R16" s="75">
        <v>0.09</v>
      </c>
      <c r="U16" s="87"/>
      <c r="V16" s="437">
        <v>3077</v>
      </c>
      <c r="W16" s="437">
        <v>2</v>
      </c>
      <c r="X16" s="24">
        <v>452148.43</v>
      </c>
      <c r="Y16" s="592"/>
      <c r="Z16" s="552">
        <v>67786.570000000007</v>
      </c>
      <c r="AA16" s="800">
        <f>Table159[[#This Row],[PCTS Investment Amount]]+Table159[[#This Row],[PCTS Retirement Amount]]</f>
        <v>519935</v>
      </c>
      <c r="AB16" s="207" t="s">
        <v>709</v>
      </c>
      <c r="AC16" s="108" t="s">
        <v>709</v>
      </c>
      <c r="AD16" s="108" t="s">
        <v>29</v>
      </c>
      <c r="AE16" s="349"/>
      <c r="AF16" s="579"/>
      <c r="AG16" s="579"/>
      <c r="AH16" s="354"/>
      <c r="AI16" s="489"/>
      <c r="AJ16" s="553"/>
      <c r="AK16" s="553"/>
      <c r="AL16" s="495"/>
      <c r="AM16" s="21" t="s">
        <v>116</v>
      </c>
      <c r="AN16" s="680">
        <v>45566</v>
      </c>
      <c r="AO16" s="681">
        <v>11056677</v>
      </c>
      <c r="AP16" s="788">
        <v>492625.96</v>
      </c>
      <c r="AQ16" s="788"/>
      <c r="AR16" s="788">
        <v>70857.600000000006</v>
      </c>
      <c r="AS16" s="538">
        <f>IF(Table159[[#This Row],[PCTS Approved]]="N",0,Table159[[#This Row],[Investment Amount (1'#'#'#'#'#)]]+Table159[[#This Row],[Retirement Amount (3'#'#'#'#'#)]])</f>
        <v>563483.56000000006</v>
      </c>
      <c r="AT16" s="538">
        <f>IF(Table159[[#This Row],[Approved Construction Cost]]=0,0,Table159[[#This Row],[Approved Construction Cost]]-Table159[[#This Row],[Construction Cost to Bill From]])</f>
        <v>43548.560000000056</v>
      </c>
      <c r="AU16" s="538">
        <f>IFERROR(Table159[[#This Row],[Difference in Construction Cost]]*Table159[[#This Row],[Rate]],Table159[[#This Row],[Difference in Construction Cost]]*0.085)</f>
        <v>3919.3704000000048</v>
      </c>
      <c r="AV16" s="682">
        <v>6685</v>
      </c>
      <c r="AW16" s="686" t="s">
        <v>6810</v>
      </c>
      <c r="AX16" s="538"/>
      <c r="AY16" s="636" t="s">
        <v>709</v>
      </c>
      <c r="AZ16" s="443">
        <v>37</v>
      </c>
      <c r="BA16" s="652" t="s">
        <v>1429</v>
      </c>
      <c r="BB16" s="644" t="s">
        <v>1430</v>
      </c>
      <c r="BC16" s="478" t="s">
        <v>115</v>
      </c>
      <c r="BD16" s="544" t="s">
        <v>1066</v>
      </c>
      <c r="BE16" s="544" t="s">
        <v>1431</v>
      </c>
      <c r="BF16" s="544" t="s">
        <v>1432</v>
      </c>
      <c r="BG16" s="512" t="s">
        <v>115</v>
      </c>
      <c r="BH16" s="741" t="s">
        <v>1433</v>
      </c>
      <c r="BI16" s="535" t="s">
        <v>709</v>
      </c>
      <c r="BJ16" s="547" t="s">
        <v>709</v>
      </c>
      <c r="BK16" s="547" t="s">
        <v>709</v>
      </c>
      <c r="BL16" s="547" t="s">
        <v>116</v>
      </c>
      <c r="BM16" s="547" t="s">
        <v>709</v>
      </c>
      <c r="BN16" s="547" t="s">
        <v>709</v>
      </c>
      <c r="BO16" s="547" t="s">
        <v>709</v>
      </c>
      <c r="BP16" s="547" t="s">
        <v>709</v>
      </c>
      <c r="BQ16" s="547" t="s">
        <v>709</v>
      </c>
      <c r="BR16" s="547">
        <v>3047</v>
      </c>
      <c r="BS16" s="547">
        <v>30</v>
      </c>
      <c r="BT16" s="547" t="s">
        <v>709</v>
      </c>
      <c r="BU16" s="547" t="s">
        <v>709</v>
      </c>
      <c r="BV16" s="547" t="s">
        <v>709</v>
      </c>
      <c r="BW16" s="547" t="s">
        <v>709</v>
      </c>
      <c r="BX16" s="547" t="s">
        <v>709</v>
      </c>
      <c r="BY16" s="547" t="s">
        <v>709</v>
      </c>
      <c r="BZ16" s="483"/>
    </row>
    <row r="17" spans="1:78" ht="15" hidden="1" customHeight="1" x14ac:dyDescent="0.25">
      <c r="A17" s="8" t="s">
        <v>749</v>
      </c>
      <c r="B17" s="8" t="s">
        <v>771</v>
      </c>
      <c r="C17" s="8" t="s">
        <v>1402</v>
      </c>
      <c r="D17" s="8" t="s">
        <v>1403</v>
      </c>
      <c r="E17" s="8" t="s">
        <v>1404</v>
      </c>
      <c r="F17" s="8" t="s">
        <v>784</v>
      </c>
      <c r="G17" s="8" t="s">
        <v>23</v>
      </c>
      <c r="H17" s="8" t="s">
        <v>59</v>
      </c>
      <c r="I17" s="642">
        <v>44875</v>
      </c>
      <c r="J17" s="18">
        <v>44981</v>
      </c>
      <c r="K17" s="97">
        <v>44970</v>
      </c>
      <c r="L17" s="16">
        <f>IF(ISTEXT(Table159[[#This Row],[Engineering Approved Design Date]]),Table159[[#This Row],[Date Completed]]-Table159[[#This Row],[Date Assigned to Designer]],Table159[[#This Row],[Engineering Approved Design Date]]-Table159[[#This Row],[Date Completed]])</f>
        <v>11</v>
      </c>
      <c r="M17" s="642"/>
      <c r="N17" s="642" t="s">
        <v>120</v>
      </c>
      <c r="O17" s="510">
        <f>Table159[[#This Row],[Date Completed]]</f>
        <v>44970</v>
      </c>
      <c r="P17" s="221" t="s">
        <v>120</v>
      </c>
      <c r="Q17" s="71">
        <f>R17*AA17</f>
        <v>26265.086100000004</v>
      </c>
      <c r="R17" s="77">
        <v>0.09</v>
      </c>
      <c r="U17" s="87"/>
      <c r="V17" s="437">
        <v>1197</v>
      </c>
      <c r="X17" s="94">
        <v>254931.95</v>
      </c>
      <c r="Y17" s="592"/>
      <c r="Z17" s="552">
        <v>36902.339999999997</v>
      </c>
      <c r="AA17" s="300">
        <f>SUM(Table159[[#This Row],[PCTS Investment Amount]:[PCTS Retirement Amount]])</f>
        <v>291834.29000000004</v>
      </c>
      <c r="AB17" s="207">
        <v>44965</v>
      </c>
      <c r="AC17" s="108" t="s">
        <v>709</v>
      </c>
      <c r="AD17" s="108" t="s">
        <v>29</v>
      </c>
      <c r="AE17" s="349"/>
      <c r="AF17" s="579"/>
      <c r="AG17" s="579"/>
      <c r="AH17" s="354"/>
      <c r="AI17" s="489"/>
      <c r="AJ17" s="553"/>
      <c r="AK17" s="553"/>
      <c r="AL17" s="495"/>
      <c r="AM17" s="21" t="s">
        <v>116</v>
      </c>
      <c r="AN17" s="680" t="s">
        <v>709</v>
      </c>
      <c r="AO17" s="601" t="s">
        <v>115</v>
      </c>
      <c r="AP17" s="572"/>
      <c r="AQ17" s="572"/>
      <c r="AR17" s="572"/>
      <c r="AS17" s="538">
        <f>IF(Table159[[#This Row],[PCTS Approved]]="N",0,Table159[[#This Row],[Investment Amount (1'#'#'#'#'#)]]+Table159[[#This Row],[Retirement Amount (3'#'#'#'#'#)]])</f>
        <v>0</v>
      </c>
      <c r="AT17" s="538">
        <f>IF(Table159[[#This Row],[Approved Construction Cost]]=0,0,Table159[[#This Row],[Approved Construction Cost]]-Table159[[#This Row],[Construction Cost to Bill From]])</f>
        <v>0</v>
      </c>
      <c r="AU17" s="538">
        <f>IFERROR(Table159[[#This Row],[Difference in Construction Cost]]*Table159[[#This Row],[Rate]],Table159[[#This Row],[Difference in Construction Cost]]*0.085)</f>
        <v>0</v>
      </c>
      <c r="AV17" s="572"/>
      <c r="AW17" s="639"/>
      <c r="AX17" s="538"/>
      <c r="AY17" s="636" t="s">
        <v>709</v>
      </c>
      <c r="AZ17" s="443">
        <v>35</v>
      </c>
      <c r="BA17" s="652" t="s">
        <v>1405</v>
      </c>
      <c r="BB17" s="644" t="s">
        <v>1406</v>
      </c>
      <c r="BC17" s="478" t="s">
        <v>116</v>
      </c>
      <c r="BD17" s="544" t="s">
        <v>115</v>
      </c>
      <c r="BE17" s="544" t="s">
        <v>115</v>
      </c>
      <c r="BF17" s="544" t="s">
        <v>1407</v>
      </c>
      <c r="BG17" s="512" t="s">
        <v>115</v>
      </c>
      <c r="BH17" s="741"/>
      <c r="BI17" s="535" t="s">
        <v>709</v>
      </c>
      <c r="BJ17" s="547" t="s">
        <v>709</v>
      </c>
      <c r="BK17" s="547" t="s">
        <v>709</v>
      </c>
      <c r="BL17" s="547" t="s">
        <v>116</v>
      </c>
      <c r="BM17" s="547" t="s">
        <v>709</v>
      </c>
      <c r="BN17" s="547" t="s">
        <v>709</v>
      </c>
      <c r="BO17" s="547" t="s">
        <v>709</v>
      </c>
      <c r="BP17" s="547" t="s">
        <v>709</v>
      </c>
      <c r="BQ17" s="547" t="s">
        <v>709</v>
      </c>
      <c r="BR17" s="547">
        <v>1197</v>
      </c>
      <c r="BS17" s="547" t="s">
        <v>709</v>
      </c>
      <c r="BT17" s="547" t="s">
        <v>745</v>
      </c>
      <c r="BU17" s="547" t="s">
        <v>709</v>
      </c>
      <c r="BV17" s="547" t="s">
        <v>745</v>
      </c>
      <c r="BW17" s="547" t="s">
        <v>709</v>
      </c>
      <c r="BX17" s="547" t="s">
        <v>745</v>
      </c>
      <c r="BY17" s="547" t="s">
        <v>745</v>
      </c>
      <c r="BZ17" s="483"/>
    </row>
    <row r="18" spans="1:78" ht="15" hidden="1" customHeight="1" x14ac:dyDescent="0.25">
      <c r="A18" s="8">
        <v>2021</v>
      </c>
      <c r="B18" s="8" t="s">
        <v>4</v>
      </c>
      <c r="C18" s="8" t="s">
        <v>1212</v>
      </c>
      <c r="D18" s="8" t="s">
        <v>1213</v>
      </c>
      <c r="E18" s="8" t="s">
        <v>1214</v>
      </c>
      <c r="F18" s="8" t="s">
        <v>919</v>
      </c>
      <c r="G18" s="8" t="s">
        <v>2814</v>
      </c>
      <c r="H18" s="8" t="s">
        <v>59</v>
      </c>
      <c r="I18" s="642">
        <v>44308</v>
      </c>
      <c r="J18" s="18">
        <v>44379</v>
      </c>
      <c r="K18" s="642">
        <v>44378</v>
      </c>
      <c r="L18" s="16">
        <f>IF(ISTEXT(Table159[[#This Row],[Engineering Approved Design Date]]),Table159[[#This Row],[Date Completed]]-Table159[[#This Row],[Date Assigned to Designer]],Table159[[#This Row],[Engineering Approved Design Date]]-Table159[[#This Row],[Date Completed]])</f>
        <v>1</v>
      </c>
      <c r="M18" s="642"/>
      <c r="N18" s="642" t="s">
        <v>120</v>
      </c>
      <c r="O18" s="534">
        <v>44378</v>
      </c>
      <c r="P18" s="68" t="s">
        <v>739</v>
      </c>
      <c r="Q18" s="70">
        <f>R18*AA18</f>
        <v>47608.161</v>
      </c>
      <c r="R18" s="75">
        <v>0.1</v>
      </c>
      <c r="S18" s="24" t="s">
        <v>709</v>
      </c>
      <c r="T18" s="538" t="s">
        <v>709</v>
      </c>
      <c r="U18" s="28" t="s">
        <v>709</v>
      </c>
      <c r="V18" s="440">
        <v>1888</v>
      </c>
      <c r="W18" s="440"/>
      <c r="X18" s="29">
        <v>446359.68</v>
      </c>
      <c r="Y18" s="592"/>
      <c r="Z18" s="551">
        <v>29721.93</v>
      </c>
      <c r="AA18" s="87">
        <f>X18+Z18</f>
        <v>476081.61</v>
      </c>
      <c r="AB18" s="207"/>
      <c r="AC18" s="108" t="s">
        <v>709</v>
      </c>
      <c r="AD18" s="108"/>
      <c r="AE18" s="349"/>
      <c r="AF18" s="579"/>
      <c r="AG18" s="579"/>
      <c r="AH18" s="354"/>
      <c r="AI18" s="489"/>
      <c r="AJ18" s="553"/>
      <c r="AK18" s="553"/>
      <c r="AL18" s="495"/>
      <c r="AM18" s="21" t="s">
        <v>116</v>
      </c>
      <c r="AN18" s="680" t="s">
        <v>709</v>
      </c>
      <c r="AO18" s="601" t="s">
        <v>115</v>
      </c>
      <c r="AP18" s="572"/>
      <c r="AQ18" s="572"/>
      <c r="AR18" s="572"/>
      <c r="AS18" s="538">
        <f>IF(Table159[[#This Row],[PCTS Approved]]="N",0,Table159[[#This Row],[Investment Amount (1'#'#'#'#'#)]]+Table159[[#This Row],[Retirement Amount (3'#'#'#'#'#)]])</f>
        <v>0</v>
      </c>
      <c r="AT18" s="538">
        <f>IF(Table159[[#This Row],[Approved Construction Cost]]=0,0,Table159[[#This Row],[Approved Construction Cost]]-Table159[[#This Row],[Construction Cost to Bill From]])</f>
        <v>0</v>
      </c>
      <c r="AU18" s="538">
        <f>IFERROR(Table159[[#This Row],[Difference in Construction Cost]]*Table159[[#This Row],[Rate]],Table159[[#This Row],[Difference in Construction Cost]]*0.085)</f>
        <v>0</v>
      </c>
      <c r="AV18" s="572"/>
      <c r="AW18" s="639"/>
      <c r="AX18" s="538"/>
      <c r="AY18" s="636" t="s">
        <v>709</v>
      </c>
      <c r="AZ18" s="443">
        <v>60</v>
      </c>
      <c r="BA18" s="652" t="s">
        <v>1215</v>
      </c>
      <c r="BB18" s="644" t="s">
        <v>1216</v>
      </c>
      <c r="BC18" s="478" t="s">
        <v>116</v>
      </c>
      <c r="BD18" s="544" t="s">
        <v>709</v>
      </c>
      <c r="BE18" s="544" t="s">
        <v>1217</v>
      </c>
      <c r="BF18" s="544" t="s">
        <v>709</v>
      </c>
      <c r="BG18" s="512" t="s">
        <v>709</v>
      </c>
      <c r="BH18" s="741"/>
      <c r="BI18" s="535" t="s">
        <v>709</v>
      </c>
      <c r="BJ18" s="547" t="s">
        <v>709</v>
      </c>
      <c r="BK18" s="547" t="s">
        <v>709</v>
      </c>
      <c r="BL18" s="547" t="s">
        <v>116</v>
      </c>
      <c r="BM18" s="547" t="s">
        <v>709</v>
      </c>
      <c r="BN18" s="547" t="s">
        <v>709</v>
      </c>
      <c r="BO18" s="547" t="s">
        <v>709</v>
      </c>
      <c r="BP18" s="547" t="s">
        <v>709</v>
      </c>
      <c r="BQ18" s="547">
        <v>1762</v>
      </c>
      <c r="BR18" s="547" t="s">
        <v>709</v>
      </c>
      <c r="BS18" s="547">
        <v>126</v>
      </c>
      <c r="BT18" s="547" t="s">
        <v>745</v>
      </c>
      <c r="BU18" s="547" t="s">
        <v>709</v>
      </c>
      <c r="BV18" s="547" t="s">
        <v>745</v>
      </c>
      <c r="BW18" s="547" t="s">
        <v>709</v>
      </c>
      <c r="BX18" s="547" t="s">
        <v>745</v>
      </c>
      <c r="BY18" s="547" t="s">
        <v>745</v>
      </c>
      <c r="BZ18" s="483"/>
    </row>
    <row r="19" spans="1:78" ht="15" hidden="1" customHeight="1" x14ac:dyDescent="0.25">
      <c r="A19" s="8">
        <v>2021</v>
      </c>
      <c r="B19" s="8" t="s">
        <v>4</v>
      </c>
      <c r="C19" s="8" t="s">
        <v>1218</v>
      </c>
      <c r="D19" s="8" t="s">
        <v>1219</v>
      </c>
      <c r="E19" s="8" t="s">
        <v>1129</v>
      </c>
      <c r="F19" s="8" t="s">
        <v>738</v>
      </c>
      <c r="G19" s="8" t="s">
        <v>39</v>
      </c>
      <c r="H19" s="8" t="s">
        <v>59</v>
      </c>
      <c r="I19" s="642">
        <v>44355</v>
      </c>
      <c r="J19" s="18">
        <v>44386</v>
      </c>
      <c r="K19" s="642">
        <v>44384</v>
      </c>
      <c r="L19" s="16">
        <f>IF(ISTEXT(Table159[[#This Row],[Engineering Approved Design Date]]),Table159[[#This Row],[Date Completed]]-Table159[[#This Row],[Date Assigned to Designer]],Table159[[#This Row],[Engineering Approved Design Date]]-Table159[[#This Row],[Date Completed]])</f>
        <v>2</v>
      </c>
      <c r="M19" s="642"/>
      <c r="N19" s="642" t="s">
        <v>120</v>
      </c>
      <c r="O19" s="534">
        <v>44384</v>
      </c>
      <c r="P19" s="68" t="s">
        <v>739</v>
      </c>
      <c r="Q19" s="70">
        <f>R19*AA19</f>
        <v>7728.6</v>
      </c>
      <c r="R19" s="75">
        <v>0.1</v>
      </c>
      <c r="S19" s="24" t="s">
        <v>709</v>
      </c>
      <c r="T19" s="538" t="s">
        <v>709</v>
      </c>
      <c r="U19" s="441" t="s">
        <v>709</v>
      </c>
      <c r="V19" s="440"/>
      <c r="W19" s="440"/>
      <c r="X19" s="24">
        <v>55579.41</v>
      </c>
      <c r="Y19" s="591"/>
      <c r="Z19" s="538">
        <v>21706.59</v>
      </c>
      <c r="AA19" s="87">
        <f>X19+Z19</f>
        <v>77286</v>
      </c>
      <c r="AB19" s="207"/>
      <c r="AC19" s="108" t="s">
        <v>709</v>
      </c>
      <c r="AD19" s="108"/>
      <c r="AE19" s="349"/>
      <c r="AF19" s="579"/>
      <c r="AG19" s="579"/>
      <c r="AH19" s="354"/>
      <c r="AI19" s="489"/>
      <c r="AJ19" s="553"/>
      <c r="AK19" s="553"/>
      <c r="AL19" s="495"/>
      <c r="AM19" s="21" t="s">
        <v>116</v>
      </c>
      <c r="AN19" s="680" t="s">
        <v>709</v>
      </c>
      <c r="AO19" s="681" t="s">
        <v>115</v>
      </c>
      <c r="AP19" s="682"/>
      <c r="AQ19" s="682"/>
      <c r="AR19" s="682"/>
      <c r="AS19" s="538">
        <f>IF(Table159[[#This Row],[PCTS Approved]]="N",0,Table159[[#This Row],[Investment Amount (1'#'#'#'#'#)]]+Table159[[#This Row],[Retirement Amount (3'#'#'#'#'#)]])</f>
        <v>0</v>
      </c>
      <c r="AT19" s="538">
        <f>IF(Table159[[#This Row],[Approved Construction Cost]]=0,0,Table159[[#This Row],[Approved Construction Cost]]-Table159[[#This Row],[Construction Cost to Bill From]])</f>
        <v>0</v>
      </c>
      <c r="AU19" s="538">
        <f>IFERROR(Table159[[#This Row],[Difference in Construction Cost]]*Table159[[#This Row],[Rate]],Table159[[#This Row],[Difference in Construction Cost]]*0.085)</f>
        <v>0</v>
      </c>
      <c r="AV19" s="682"/>
      <c r="AW19" s="686"/>
      <c r="AX19" s="538"/>
      <c r="AY19" s="636" t="s">
        <v>709</v>
      </c>
      <c r="AZ19" s="443">
        <v>61</v>
      </c>
      <c r="BA19" s="652" t="s">
        <v>1220</v>
      </c>
      <c r="BB19" s="644" t="s">
        <v>1221</v>
      </c>
      <c r="BC19" s="478" t="s">
        <v>709</v>
      </c>
      <c r="BD19" s="544" t="s">
        <v>1066</v>
      </c>
      <c r="BE19" s="544" t="s">
        <v>709</v>
      </c>
      <c r="BF19" s="544" t="s">
        <v>709</v>
      </c>
      <c r="BG19" s="512" t="s">
        <v>709</v>
      </c>
      <c r="BH19" s="741"/>
      <c r="BI19" s="535" t="s">
        <v>709</v>
      </c>
      <c r="BJ19" s="547" t="s">
        <v>709</v>
      </c>
      <c r="BK19" s="547" t="s">
        <v>709</v>
      </c>
      <c r="BL19" s="547" t="s">
        <v>116</v>
      </c>
      <c r="BM19" s="547" t="s">
        <v>709</v>
      </c>
      <c r="BN19" s="547" t="s">
        <v>709</v>
      </c>
      <c r="BO19" s="547" t="s">
        <v>709</v>
      </c>
      <c r="BP19" s="547" t="s">
        <v>709</v>
      </c>
      <c r="BQ19" s="547" t="s">
        <v>709</v>
      </c>
      <c r="BR19" s="547" t="s">
        <v>709</v>
      </c>
      <c r="BS19" s="547">
        <v>55</v>
      </c>
      <c r="BT19" s="547" t="s">
        <v>745</v>
      </c>
      <c r="BU19" s="547" t="s">
        <v>709</v>
      </c>
      <c r="BV19" s="547" t="s">
        <v>745</v>
      </c>
      <c r="BW19" s="547" t="s">
        <v>709</v>
      </c>
      <c r="BX19" s="547" t="s">
        <v>745</v>
      </c>
      <c r="BY19" s="547" t="s">
        <v>745</v>
      </c>
      <c r="BZ19" s="483"/>
    </row>
    <row r="20" spans="1:78" ht="15" hidden="1" customHeight="1" x14ac:dyDescent="0.25">
      <c r="A20" s="8">
        <v>2022</v>
      </c>
      <c r="B20" s="8" t="s">
        <v>730</v>
      </c>
      <c r="C20" s="8" t="s">
        <v>1222</v>
      </c>
      <c r="D20" s="8" t="s">
        <v>1223</v>
      </c>
      <c r="E20" s="8" t="s">
        <v>1224</v>
      </c>
      <c r="F20" s="8" t="s">
        <v>747</v>
      </c>
      <c r="G20" s="8" t="s">
        <v>347</v>
      </c>
      <c r="H20" s="8" t="s">
        <v>59</v>
      </c>
      <c r="I20" s="642">
        <v>44320</v>
      </c>
      <c r="J20" s="18">
        <v>44435</v>
      </c>
      <c r="K20" s="642">
        <v>44427</v>
      </c>
      <c r="L20" s="16">
        <f>IF(ISTEXT(Table159[[#This Row],[Engineering Approved Design Date]]),Table159[[#This Row],[Date Completed]]-Table159[[#This Row],[Date Assigned to Designer]],Table159[[#This Row],[Engineering Approved Design Date]]-Table159[[#This Row],[Date Completed]])</f>
        <v>8</v>
      </c>
      <c r="M20" s="642"/>
      <c r="N20" s="642" t="s">
        <v>120</v>
      </c>
      <c r="O20" s="534">
        <f>Table159[[#This Row],[Date Completed]]</f>
        <v>44427</v>
      </c>
      <c r="P20" s="68" t="s">
        <v>120</v>
      </c>
      <c r="Q20" s="106">
        <f>(Table159[[#This Row],[Construction Cost to Bill From]]*0.085)+5250</f>
        <v>27388.629950000002</v>
      </c>
      <c r="R20" s="75" t="s">
        <v>794</v>
      </c>
      <c r="S20" s="24" t="s">
        <v>709</v>
      </c>
      <c r="T20" s="538" t="s">
        <v>709</v>
      </c>
      <c r="U20" s="28" t="s">
        <v>709</v>
      </c>
      <c r="V20" s="437">
        <v>189</v>
      </c>
      <c r="X20" s="24">
        <v>219773.31</v>
      </c>
      <c r="Y20" s="591"/>
      <c r="Z20" s="538">
        <v>40681.160000000003</v>
      </c>
      <c r="AA20" s="87">
        <f>X20+Z20</f>
        <v>260454.47</v>
      </c>
      <c r="AB20" s="207"/>
      <c r="AC20" s="108" t="s">
        <v>1177</v>
      </c>
      <c r="AD20" s="108"/>
      <c r="AE20" s="349"/>
      <c r="AF20" s="579"/>
      <c r="AG20" s="579"/>
      <c r="AH20" s="354"/>
      <c r="AI20" s="489"/>
      <c r="AJ20" s="553"/>
      <c r="AK20" s="553"/>
      <c r="AL20" s="495"/>
      <c r="AM20" s="21" t="s">
        <v>116</v>
      </c>
      <c r="AN20" s="680" t="s">
        <v>709</v>
      </c>
      <c r="AO20" s="601">
        <v>11038370</v>
      </c>
      <c r="AP20" s="572"/>
      <c r="AQ20" s="572"/>
      <c r="AR20" s="572"/>
      <c r="AS20" s="538">
        <f>IF(Table159[[#This Row],[PCTS Approved]]="N",0,Table159[[#This Row],[Investment Amount (1'#'#'#'#'#)]]+Table159[[#This Row],[Retirement Amount (3'#'#'#'#'#)]])</f>
        <v>0</v>
      </c>
      <c r="AT20" s="538">
        <f>IF(Table159[[#This Row],[Approved Construction Cost]]=0,0,Table159[[#This Row],[Approved Construction Cost]]-Table159[[#This Row],[Construction Cost to Bill From]])</f>
        <v>0</v>
      </c>
      <c r="AU20" s="538">
        <f>IFERROR(Table159[[#This Row],[Difference in Construction Cost]]*Table159[[#This Row],[Rate]],Table159[[#This Row],[Difference in Construction Cost]]*0.085)</f>
        <v>0</v>
      </c>
      <c r="AV20" s="572"/>
      <c r="AW20" s="639"/>
      <c r="AX20" s="538"/>
      <c r="AY20" s="636" t="s">
        <v>709</v>
      </c>
      <c r="AZ20" s="443">
        <v>166</v>
      </c>
      <c r="BA20" s="652" t="s">
        <v>1225</v>
      </c>
      <c r="BB20" s="644" t="s">
        <v>1226</v>
      </c>
      <c r="BC20" s="478" t="s">
        <v>709</v>
      </c>
      <c r="BD20" s="544" t="s">
        <v>1227</v>
      </c>
      <c r="BE20" s="544" t="s">
        <v>709</v>
      </c>
      <c r="BF20" s="544" t="s">
        <v>709</v>
      </c>
      <c r="BG20" s="512" t="s">
        <v>709</v>
      </c>
      <c r="BH20" s="741"/>
      <c r="BI20" s="535" t="s">
        <v>709</v>
      </c>
      <c r="BJ20" s="547" t="s">
        <v>116</v>
      </c>
      <c r="BK20" s="547" t="s">
        <v>709</v>
      </c>
      <c r="BL20" s="547" t="s">
        <v>116</v>
      </c>
      <c r="BM20" s="547" t="s">
        <v>709</v>
      </c>
      <c r="BN20" s="547" t="s">
        <v>709</v>
      </c>
      <c r="BO20" s="547" t="s">
        <v>709</v>
      </c>
      <c r="BP20" s="547" t="s">
        <v>709</v>
      </c>
      <c r="BQ20" s="547" t="s">
        <v>709</v>
      </c>
      <c r="BR20" s="547" t="s">
        <v>709</v>
      </c>
      <c r="BS20" s="547">
        <v>189</v>
      </c>
      <c r="BT20" s="547" t="s">
        <v>709</v>
      </c>
      <c r="BU20" s="547">
        <v>1</v>
      </c>
      <c r="BV20" s="547" t="s">
        <v>709</v>
      </c>
      <c r="BW20" s="547" t="s">
        <v>709</v>
      </c>
      <c r="BX20" s="547">
        <v>1</v>
      </c>
      <c r="BY20" s="547" t="s">
        <v>709</v>
      </c>
      <c r="BZ20" s="483" t="s">
        <v>730</v>
      </c>
    </row>
    <row r="21" spans="1:78" ht="15" customHeight="1" x14ac:dyDescent="0.25">
      <c r="A21" s="8" t="s">
        <v>749</v>
      </c>
      <c r="B21" s="8" t="s">
        <v>771</v>
      </c>
      <c r="C21" s="8" t="s">
        <v>447</v>
      </c>
      <c r="D21" s="8" t="s">
        <v>1477</v>
      </c>
      <c r="E21" s="8" t="s">
        <v>327</v>
      </c>
      <c r="F21" s="8" t="s">
        <v>784</v>
      </c>
      <c r="G21" s="8" t="s">
        <v>23</v>
      </c>
      <c r="H21" s="13" t="s">
        <v>59</v>
      </c>
      <c r="I21" s="642">
        <v>44939</v>
      </c>
      <c r="J21" s="18">
        <v>45056</v>
      </c>
      <c r="K21" s="97">
        <v>45055</v>
      </c>
      <c r="L21" s="16">
        <f>IF(ISTEXT(Table159[[#This Row],[Engineering Approved Design Date]]),Table159[[#This Row],[Date Completed]]-Table159[[#This Row],[Date Assigned to Designer]],Table159[[#This Row],[Engineering Approved Design Date]]-Table159[[#This Row],[Date Completed]])</f>
        <v>1</v>
      </c>
      <c r="M21" s="642"/>
      <c r="N21" s="642" t="s">
        <v>120</v>
      </c>
      <c r="O21" s="510">
        <v>45047</v>
      </c>
      <c r="P21" s="221" t="s">
        <v>120</v>
      </c>
      <c r="Q21" s="70">
        <f>Table159[[#This Row],[Rate]]*Table159[[#This Row],[Construction Cost to Bill From]]</f>
        <v>113072.59349999999</v>
      </c>
      <c r="R21" s="75">
        <v>0.09</v>
      </c>
      <c r="U21" s="87"/>
      <c r="V21" s="437">
        <v>1338</v>
      </c>
      <c r="W21" s="437">
        <v>0</v>
      </c>
      <c r="X21" s="94">
        <v>1222821.21</v>
      </c>
      <c r="Y21" s="592"/>
      <c r="Z21" s="552">
        <v>33540.94</v>
      </c>
      <c r="AA21" s="800">
        <f>SUM(Table159[[#This Row],[PCTS Investment Amount]:[PCTS Retirement Amount]])</f>
        <v>1256362.1499999999</v>
      </c>
      <c r="AB21" s="207">
        <v>45056</v>
      </c>
      <c r="AC21" s="108" t="s">
        <v>1441</v>
      </c>
      <c r="AD21" s="108" t="s">
        <v>116</v>
      </c>
      <c r="AE21" s="349"/>
      <c r="AF21" s="579"/>
      <c r="AG21" s="579"/>
      <c r="AH21" s="354"/>
      <c r="AI21" s="489"/>
      <c r="AJ21" s="553"/>
      <c r="AK21" s="553"/>
      <c r="AL21" s="495"/>
      <c r="AM21" s="21" t="s">
        <v>116</v>
      </c>
      <c r="AN21" s="785">
        <v>45547</v>
      </c>
      <c r="AO21" s="786">
        <v>11058971</v>
      </c>
      <c r="AP21" s="788">
        <v>2216288.62</v>
      </c>
      <c r="AQ21" s="572"/>
      <c r="AR21" s="788">
        <v>157300.5</v>
      </c>
      <c r="AS21" s="538">
        <f>IF(Table159[[#This Row],[PCTS Approved]]="N",0,Table159[[#This Row],[Investment Amount (1'#'#'#'#'#)]]+Table159[[#This Row],[Retirement Amount (3'#'#'#'#'#)]])</f>
        <v>2373589.12</v>
      </c>
      <c r="AT21" s="538">
        <f>IF(Table159[[#This Row],[Approved Construction Cost]]=0,0,Table159[[#This Row],[Approved Construction Cost]]-Table159[[#This Row],[Construction Cost to Bill From]])</f>
        <v>1117226.9700000002</v>
      </c>
      <c r="AU21" s="538">
        <f>IFERROR(Table159[[#This Row],[Difference in Construction Cost]]*Table159[[#This Row],[Rate]],Table159[[#This Row],[Difference in Construction Cost]]*0.085)</f>
        <v>100550.42730000001</v>
      </c>
      <c r="AV21" s="788">
        <v>9070</v>
      </c>
      <c r="AW21" s="787" t="s">
        <v>5607</v>
      </c>
      <c r="AX21" s="538"/>
      <c r="AY21" s="636" t="s">
        <v>709</v>
      </c>
      <c r="AZ21" s="443">
        <v>42</v>
      </c>
      <c r="BA21" s="652" t="s">
        <v>1478</v>
      </c>
      <c r="BB21" s="644" t="s">
        <v>1479</v>
      </c>
      <c r="BC21" s="478" t="s">
        <v>709</v>
      </c>
      <c r="BD21" s="544" t="s">
        <v>115</v>
      </c>
      <c r="BE21" s="544" t="s">
        <v>448</v>
      </c>
      <c r="BF21" s="544" t="s">
        <v>115</v>
      </c>
      <c r="BG21" s="512" t="s">
        <v>1480</v>
      </c>
      <c r="BH21" s="741" t="s">
        <v>1481</v>
      </c>
      <c r="BI21" s="535" t="s">
        <v>709</v>
      </c>
      <c r="BJ21" s="547" t="s">
        <v>709</v>
      </c>
      <c r="BK21" s="547" t="s">
        <v>709</v>
      </c>
      <c r="BL21" s="547" t="s">
        <v>116</v>
      </c>
      <c r="BM21" s="547" t="s">
        <v>709</v>
      </c>
      <c r="BN21" s="547" t="s">
        <v>709</v>
      </c>
      <c r="BO21" s="547" t="s">
        <v>709</v>
      </c>
      <c r="BP21" s="547">
        <v>1309</v>
      </c>
      <c r="BQ21" s="547" t="s">
        <v>709</v>
      </c>
      <c r="BR21" s="547" t="s">
        <v>709</v>
      </c>
      <c r="BS21" s="547">
        <v>29</v>
      </c>
      <c r="BT21" s="547" t="s">
        <v>709</v>
      </c>
      <c r="BU21" s="547" t="s">
        <v>709</v>
      </c>
      <c r="BV21" s="547" t="s">
        <v>745</v>
      </c>
      <c r="BW21" s="547" t="s">
        <v>709</v>
      </c>
      <c r="BX21" s="547" t="s">
        <v>709</v>
      </c>
      <c r="BY21" s="547" t="s">
        <v>745</v>
      </c>
      <c r="BZ21" s="483"/>
    </row>
    <row r="22" spans="1:78" ht="15" hidden="1" customHeight="1" x14ac:dyDescent="0.25">
      <c r="A22" s="13" t="s">
        <v>749</v>
      </c>
      <c r="B22" s="13" t="s">
        <v>759</v>
      </c>
      <c r="C22" s="13" t="s">
        <v>1566</v>
      </c>
      <c r="D22" s="13">
        <v>1010976</v>
      </c>
      <c r="E22" s="13" t="s">
        <v>108</v>
      </c>
      <c r="F22" s="452" t="s">
        <v>752</v>
      </c>
      <c r="G22" s="13" t="s">
        <v>23</v>
      </c>
      <c r="H22" s="13" t="s">
        <v>59</v>
      </c>
      <c r="I22" s="642">
        <v>44582</v>
      </c>
      <c r="J22" s="18">
        <v>45135</v>
      </c>
      <c r="K22" s="642">
        <v>45124</v>
      </c>
      <c r="L22" s="649">
        <f>IF(ISTEXT(Table159[[#This Row],[Engineering Approved Design Date]]),Table159[[#This Row],[Date Completed]]-Table159[[#This Row],[Date Assigned to Designer]],Table159[[#This Row],[Engineering Approved Design Date]]-Table159[[#This Row],[Date Completed]])</f>
        <v>11</v>
      </c>
      <c r="M22" s="673"/>
      <c r="N22" s="642" t="s">
        <v>120</v>
      </c>
      <c r="O22" s="510">
        <v>45139</v>
      </c>
      <c r="P22" s="221" t="s">
        <v>120</v>
      </c>
      <c r="Q22" s="70">
        <f>Table159[[#This Row],[Rate]]*Table159[[#This Row],[Construction Cost to Bill From]]</f>
        <v>217852.57560000001</v>
      </c>
      <c r="R22" s="77">
        <v>0.11</v>
      </c>
      <c r="V22" s="442">
        <v>4735</v>
      </c>
      <c r="W22" s="442">
        <v>1</v>
      </c>
      <c r="X22" s="106">
        <v>1876996.96</v>
      </c>
      <c r="Y22" s="550">
        <v>45019</v>
      </c>
      <c r="Z22" s="552">
        <v>103481</v>
      </c>
      <c r="AA22" s="800">
        <f>Table159[[#This Row],[PCTS Retirement Amount]]+Table159[[#This Row],[PCTS Investment Amount]]</f>
        <v>1980477.96</v>
      </c>
      <c r="AB22" s="212">
        <v>45141</v>
      </c>
      <c r="AC22" s="229" t="s">
        <v>1441</v>
      </c>
      <c r="AD22" s="329" t="s">
        <v>29</v>
      </c>
      <c r="AE22" s="187" t="s">
        <v>116</v>
      </c>
      <c r="AF22" s="568" t="s">
        <v>756</v>
      </c>
      <c r="AG22" s="568" t="s">
        <v>116</v>
      </c>
      <c r="AH22" s="356" t="s">
        <v>116</v>
      </c>
      <c r="AI22" s="490"/>
      <c r="AJ22" s="583"/>
      <c r="AK22" s="583"/>
      <c r="AL22" s="496"/>
      <c r="AM22" s="21" t="s">
        <v>116</v>
      </c>
      <c r="AN22" s="680">
        <v>45516</v>
      </c>
      <c r="AO22" s="681">
        <v>11039437</v>
      </c>
      <c r="AP22" s="788">
        <v>1905701.58</v>
      </c>
      <c r="AQ22" s="788"/>
      <c r="AR22" s="788">
        <v>105617.83</v>
      </c>
      <c r="AS22" s="538">
        <f>IF(Table159[[#This Row],[PCTS Approved]]="N",0,Table159[[#This Row],[Investment Amount (1'#'#'#'#'#)]]+Table159[[#This Row],[Retirement Amount (3'#'#'#'#'#)]])</f>
        <v>2011319.4100000001</v>
      </c>
      <c r="AT22" s="538">
        <f>IF(Table159[[#This Row],[Approved Construction Cost]]=0,0,Table159[[#This Row],[Approved Construction Cost]]-Table159[[#This Row],[Construction Cost to Bill From]])</f>
        <v>30841.450000000186</v>
      </c>
      <c r="AU22" s="538">
        <f>IFERROR(Table159[[#This Row],[Difference in Construction Cost]]*Table159[[#This Row],[Rate]],Table159[[#This Row],[Difference in Construction Cost]]*0.085)</f>
        <v>3392.5595000000203</v>
      </c>
      <c r="AV22" s="682">
        <v>20490</v>
      </c>
      <c r="AW22" s="686" t="s">
        <v>6811</v>
      </c>
      <c r="AX22" s="538"/>
      <c r="AY22" s="636" t="s">
        <v>709</v>
      </c>
      <c r="AZ22" s="443">
        <v>156</v>
      </c>
      <c r="BA22" s="652" t="s">
        <v>1567</v>
      </c>
      <c r="BB22" s="543" t="s">
        <v>1568</v>
      </c>
      <c r="BC22" s="478" t="s">
        <v>116</v>
      </c>
      <c r="BD22" s="544" t="s">
        <v>115</v>
      </c>
      <c r="BE22" s="544" t="s">
        <v>1569</v>
      </c>
      <c r="BF22" s="544" t="s">
        <v>115</v>
      </c>
      <c r="BG22" s="512" t="s">
        <v>115</v>
      </c>
      <c r="BH22" s="741" t="s">
        <v>1570</v>
      </c>
      <c r="BI22" s="528" t="s">
        <v>709</v>
      </c>
      <c r="BJ22" s="549" t="s">
        <v>709</v>
      </c>
      <c r="BK22" s="549" t="s">
        <v>709</v>
      </c>
      <c r="BL22" s="549" t="s">
        <v>116</v>
      </c>
      <c r="BM22" s="549" t="s">
        <v>709</v>
      </c>
      <c r="BN22" s="549" t="s">
        <v>709</v>
      </c>
      <c r="BO22" s="549" t="s">
        <v>709</v>
      </c>
      <c r="BP22" s="549" t="s">
        <v>709</v>
      </c>
      <c r="BQ22" s="549">
        <v>3960</v>
      </c>
      <c r="BR22" s="549">
        <v>95</v>
      </c>
      <c r="BS22" s="549">
        <v>590</v>
      </c>
      <c r="BT22" s="549">
        <v>1</v>
      </c>
      <c r="BU22" s="549" t="s">
        <v>709</v>
      </c>
      <c r="BV22" s="549" t="s">
        <v>709</v>
      </c>
      <c r="BW22" s="549">
        <v>1</v>
      </c>
      <c r="BX22" s="549">
        <v>1</v>
      </c>
      <c r="BY22" s="549" t="s">
        <v>709</v>
      </c>
      <c r="BZ22" s="484" t="s">
        <v>1022</v>
      </c>
    </row>
    <row r="23" spans="1:78" ht="15" hidden="1" customHeight="1" x14ac:dyDescent="0.25">
      <c r="A23" s="8">
        <v>2023</v>
      </c>
      <c r="B23" s="8" t="s">
        <v>771</v>
      </c>
      <c r="C23" s="8" t="s">
        <v>449</v>
      </c>
      <c r="D23" s="8" t="s">
        <v>1487</v>
      </c>
      <c r="E23" s="8" t="s">
        <v>327</v>
      </c>
      <c r="F23" s="8" t="s">
        <v>784</v>
      </c>
      <c r="G23" s="8" t="s">
        <v>23</v>
      </c>
      <c r="H23" s="8" t="s">
        <v>59</v>
      </c>
      <c r="I23" s="642">
        <v>44939</v>
      </c>
      <c r="J23" s="18">
        <v>45065</v>
      </c>
      <c r="K23" s="97">
        <v>45061</v>
      </c>
      <c r="L23" s="16">
        <f>IF(ISTEXT(Table159[[#This Row],[Engineering Approved Design Date]]),Table159[[#This Row],[Date Completed]]-Table159[[#This Row],[Date Assigned to Designer]],Table159[[#This Row],[Engineering Approved Design Date]]-Table159[[#This Row],[Date Completed]])</f>
        <v>4</v>
      </c>
      <c r="M23" s="642"/>
      <c r="N23" s="642" t="s">
        <v>120</v>
      </c>
      <c r="O23" s="510">
        <v>45078</v>
      </c>
      <c r="P23" s="221" t="s">
        <v>120</v>
      </c>
      <c r="Q23" s="70">
        <f>Table159[[#This Row],[Rate]]*Table159[[#This Row],[Construction Cost to Bill From]]</f>
        <v>161460.64619999999</v>
      </c>
      <c r="R23" s="75">
        <v>0.06</v>
      </c>
      <c r="U23" s="87"/>
      <c r="V23" s="437">
        <v>10511</v>
      </c>
      <c r="W23" s="437">
        <v>0</v>
      </c>
      <c r="X23" s="24">
        <v>2575270.17</v>
      </c>
      <c r="Y23" s="592"/>
      <c r="Z23" s="552">
        <v>115740.6</v>
      </c>
      <c r="AA23" s="300">
        <f>SUM(Table159[[#This Row],[PCTS Investment Amount]:[PCTS Retirement Amount]])</f>
        <v>2691010.77</v>
      </c>
      <c r="AB23" s="207">
        <v>45068</v>
      </c>
      <c r="AC23" s="108" t="s">
        <v>1441</v>
      </c>
      <c r="AD23" s="108" t="s">
        <v>116</v>
      </c>
      <c r="AE23" s="349"/>
      <c r="AF23" s="579"/>
      <c r="AG23" s="579"/>
      <c r="AH23" s="354"/>
      <c r="AI23" s="489"/>
      <c r="AJ23" s="553"/>
      <c r="AK23" s="553"/>
      <c r="AL23" s="495"/>
      <c r="AM23" s="21" t="s">
        <v>116</v>
      </c>
      <c r="AN23" s="680" t="s">
        <v>709</v>
      </c>
      <c r="AO23" s="601">
        <v>11060024</v>
      </c>
      <c r="AP23" s="572"/>
      <c r="AQ23" s="572"/>
      <c r="AR23" s="572"/>
      <c r="AS23" s="538">
        <f>IF(Table159[[#This Row],[PCTS Approved]]="N",0,Table159[[#This Row],[Investment Amount (1'#'#'#'#'#)]]+Table159[[#This Row],[Retirement Amount (3'#'#'#'#'#)]])</f>
        <v>0</v>
      </c>
      <c r="AT23" s="538">
        <f>IF(Table159[[#This Row],[Approved Construction Cost]]=0,0,Table159[[#This Row],[Approved Construction Cost]]-Table159[[#This Row],[Construction Cost to Bill From]])</f>
        <v>0</v>
      </c>
      <c r="AU23" s="538">
        <f>IFERROR(Table159[[#This Row],[Difference in Construction Cost]]*Table159[[#This Row],[Rate]],Table159[[#This Row],[Difference in Construction Cost]]*0.085)</f>
        <v>0</v>
      </c>
      <c r="AV23" s="572"/>
      <c r="AW23" s="639"/>
      <c r="AX23" s="538"/>
      <c r="AY23" s="636" t="s">
        <v>709</v>
      </c>
      <c r="AZ23" s="443">
        <v>6</v>
      </c>
      <c r="BA23" s="652" t="s">
        <v>1488</v>
      </c>
      <c r="BB23" s="644" t="s">
        <v>1479</v>
      </c>
      <c r="BC23" s="478" t="s">
        <v>709</v>
      </c>
      <c r="BD23" s="544" t="s">
        <v>115</v>
      </c>
      <c r="BE23" s="544" t="s">
        <v>448</v>
      </c>
      <c r="BF23" s="544" t="s">
        <v>115</v>
      </c>
      <c r="BG23" s="512" t="s">
        <v>115</v>
      </c>
      <c r="BH23" s="741" t="s">
        <v>1489</v>
      </c>
      <c r="BI23" s="535" t="s">
        <v>709</v>
      </c>
      <c r="BJ23" s="547" t="s">
        <v>709</v>
      </c>
      <c r="BK23" s="547" t="s">
        <v>709</v>
      </c>
      <c r="BL23" s="547" t="s">
        <v>116</v>
      </c>
      <c r="BM23" s="547" t="s">
        <v>709</v>
      </c>
      <c r="BN23" s="547" t="s">
        <v>709</v>
      </c>
      <c r="BO23" s="547" t="s">
        <v>709</v>
      </c>
      <c r="BP23" s="547" t="s">
        <v>709</v>
      </c>
      <c r="BQ23" s="547">
        <v>1240</v>
      </c>
      <c r="BR23" s="547">
        <v>1503</v>
      </c>
      <c r="BS23" s="547">
        <v>7768</v>
      </c>
      <c r="BT23" s="547" t="s">
        <v>745</v>
      </c>
      <c r="BU23" s="547" t="s">
        <v>709</v>
      </c>
      <c r="BV23" s="547" t="s">
        <v>745</v>
      </c>
      <c r="BW23" s="547" t="s">
        <v>709</v>
      </c>
      <c r="BX23" s="547" t="s">
        <v>745</v>
      </c>
      <c r="BY23" s="547" t="s">
        <v>745</v>
      </c>
      <c r="BZ23" s="483"/>
    </row>
    <row r="24" spans="1:78" ht="15" hidden="1" customHeight="1" x14ac:dyDescent="0.25">
      <c r="A24" s="8" t="s">
        <v>781</v>
      </c>
      <c r="B24" s="8" t="s">
        <v>731</v>
      </c>
      <c r="C24" s="8" t="s">
        <v>1244</v>
      </c>
      <c r="D24" s="8" t="s">
        <v>1245</v>
      </c>
      <c r="E24" s="8" t="s">
        <v>277</v>
      </c>
      <c r="F24" s="8" t="s">
        <v>752</v>
      </c>
      <c r="G24" s="8" t="s">
        <v>23</v>
      </c>
      <c r="H24" s="8" t="s">
        <v>59</v>
      </c>
      <c r="I24" s="642">
        <v>44571</v>
      </c>
      <c r="J24" s="18">
        <v>44662</v>
      </c>
      <c r="K24" s="18">
        <v>44656</v>
      </c>
      <c r="L24" s="16">
        <f>IF(ISTEXT(Table159[[#This Row],[Engineering Approved Design Date]]),Table159[[#This Row],[Date Completed]]-Table159[[#This Row],[Date Assigned to Designer]],Table159[[#This Row],[Engineering Approved Design Date]]-Table159[[#This Row],[Date Completed]])</f>
        <v>6</v>
      </c>
      <c r="M24" s="642"/>
      <c r="N24" s="642" t="s">
        <v>120</v>
      </c>
      <c r="O24" s="534">
        <f>Table159[[#This Row],[Date Completed]]</f>
        <v>44656</v>
      </c>
      <c r="P24" s="68" t="s">
        <v>739</v>
      </c>
      <c r="Q24" s="70">
        <f>R24*AA24</f>
        <v>7334.3042999999998</v>
      </c>
      <c r="R24" s="75">
        <v>0.09</v>
      </c>
      <c r="S24" s="24" t="s">
        <v>709</v>
      </c>
      <c r="T24" s="538" t="s">
        <v>709</v>
      </c>
      <c r="U24" s="87" t="s">
        <v>709</v>
      </c>
      <c r="V24" s="440"/>
      <c r="W24" s="440"/>
      <c r="X24" s="29"/>
      <c r="Y24" s="591"/>
      <c r="Z24" s="551">
        <v>81492.27</v>
      </c>
      <c r="AA24" s="87">
        <f>Table159[[#This Row],[PCTS Investment Amount]]+Table159[[#This Row],[PCTS Retirement Amount]]</f>
        <v>81492.27</v>
      </c>
      <c r="AB24" s="207"/>
      <c r="AC24" s="108" t="s">
        <v>709</v>
      </c>
      <c r="AD24" s="108"/>
      <c r="AE24" s="349"/>
      <c r="AF24" s="579"/>
      <c r="AG24" s="579"/>
      <c r="AH24" s="354"/>
      <c r="AI24" s="489"/>
      <c r="AJ24" s="553"/>
      <c r="AK24" s="553"/>
      <c r="AL24" s="495"/>
      <c r="AM24" s="21" t="s">
        <v>116</v>
      </c>
      <c r="AN24" s="680" t="s">
        <v>709</v>
      </c>
      <c r="AO24" s="601" t="s">
        <v>115</v>
      </c>
      <c r="AP24" s="572"/>
      <c r="AQ24" s="572"/>
      <c r="AR24" s="572"/>
      <c r="AS24" s="538">
        <f>IF(Table159[[#This Row],[PCTS Approved]]="N",0,Table159[[#This Row],[Investment Amount (1'#'#'#'#'#)]]+Table159[[#This Row],[Retirement Amount (3'#'#'#'#'#)]])</f>
        <v>0</v>
      </c>
      <c r="AT24" s="538">
        <f>IF(Table159[[#This Row],[Approved Construction Cost]]=0,0,Table159[[#This Row],[Approved Construction Cost]]-Table159[[#This Row],[Construction Cost to Bill From]])</f>
        <v>0</v>
      </c>
      <c r="AU24" s="538">
        <f>IFERROR(Table159[[#This Row],[Difference in Construction Cost]]*Table159[[#This Row],[Rate]],Table159[[#This Row],[Difference in Construction Cost]]*0.085)</f>
        <v>0</v>
      </c>
      <c r="AV24" s="572"/>
      <c r="AW24" s="639"/>
      <c r="AX24" s="538"/>
      <c r="AY24" s="636" t="s">
        <v>709</v>
      </c>
      <c r="AZ24" s="443">
        <v>24</v>
      </c>
      <c r="BA24" s="652" t="s">
        <v>1246</v>
      </c>
      <c r="BB24" s="644" t="s">
        <v>1247</v>
      </c>
      <c r="BC24" s="478" t="s">
        <v>116</v>
      </c>
      <c r="BD24" s="544" t="s">
        <v>709</v>
      </c>
      <c r="BE24" s="544" t="s">
        <v>709</v>
      </c>
      <c r="BF24" s="544" t="s">
        <v>709</v>
      </c>
      <c r="BG24" s="512" t="s">
        <v>1248</v>
      </c>
      <c r="BH24" s="741"/>
      <c r="BI24" s="535" t="s">
        <v>709</v>
      </c>
      <c r="BJ24" s="547" t="s">
        <v>709</v>
      </c>
      <c r="BK24" s="547" t="s">
        <v>709</v>
      </c>
      <c r="BL24" s="547" t="s">
        <v>709</v>
      </c>
      <c r="BM24" s="547" t="s">
        <v>709</v>
      </c>
      <c r="BN24" s="547" t="s">
        <v>709</v>
      </c>
      <c r="BO24" s="547" t="s">
        <v>709</v>
      </c>
      <c r="BP24" s="547" t="s">
        <v>709</v>
      </c>
      <c r="BQ24" s="547" t="s">
        <v>709</v>
      </c>
      <c r="BR24" s="547" t="s">
        <v>709</v>
      </c>
      <c r="BS24" s="547" t="s">
        <v>709</v>
      </c>
      <c r="BT24" s="547" t="s">
        <v>745</v>
      </c>
      <c r="BU24" s="547" t="s">
        <v>709</v>
      </c>
      <c r="BV24" s="547">
        <v>1</v>
      </c>
      <c r="BW24" s="547" t="s">
        <v>709</v>
      </c>
      <c r="BX24" s="547" t="s">
        <v>745</v>
      </c>
      <c r="BY24" s="547" t="s">
        <v>745</v>
      </c>
      <c r="BZ24" s="483" t="s">
        <v>731</v>
      </c>
    </row>
    <row r="25" spans="1:78" ht="15" hidden="1" customHeight="1" x14ac:dyDescent="0.25">
      <c r="A25" s="8" t="s">
        <v>781</v>
      </c>
      <c r="B25" s="8" t="s">
        <v>730</v>
      </c>
      <c r="C25" s="8" t="s">
        <v>294</v>
      </c>
      <c r="D25" s="8" t="s">
        <v>1249</v>
      </c>
      <c r="E25" s="8" t="s">
        <v>295</v>
      </c>
      <c r="F25" s="8" t="s">
        <v>752</v>
      </c>
      <c r="G25" s="8" t="s">
        <v>40</v>
      </c>
      <c r="H25" s="8" t="s">
        <v>59</v>
      </c>
      <c r="I25" s="642">
        <v>44603</v>
      </c>
      <c r="J25" s="18">
        <v>44715</v>
      </c>
      <c r="K25" s="18">
        <v>44685</v>
      </c>
      <c r="L25" s="16">
        <f>IF(ISTEXT(Table159[[#This Row],[Engineering Approved Design Date]]),Table159[[#This Row],[Date Completed]]-Table159[[#This Row],[Date Assigned to Designer]],Table159[[#This Row],[Engineering Approved Design Date]]-Table159[[#This Row],[Date Completed]])</f>
        <v>30</v>
      </c>
      <c r="M25" s="642"/>
      <c r="N25" s="642" t="s">
        <v>120</v>
      </c>
      <c r="O25" s="534">
        <f>Table159[[#This Row],[Date Completed]]</f>
        <v>44685</v>
      </c>
      <c r="P25" s="68" t="s">
        <v>739</v>
      </c>
      <c r="Q25" s="71">
        <f>(Table159[[#This Row],[Construction Cost to Bill From]]*0.085)+5250</f>
        <v>26388.316800000001</v>
      </c>
      <c r="R25" s="75" t="s">
        <v>794</v>
      </c>
      <c r="S25" s="24" t="s">
        <v>709</v>
      </c>
      <c r="T25" s="538" t="s">
        <v>709</v>
      </c>
      <c r="U25" s="87" t="s">
        <v>709</v>
      </c>
      <c r="V25" s="440">
        <v>125</v>
      </c>
      <c r="W25" s="440"/>
      <c r="X25" s="29">
        <v>210299.3</v>
      </c>
      <c r="Y25" s="592"/>
      <c r="Z25" s="551">
        <v>38386.78</v>
      </c>
      <c r="AA25" s="87">
        <f>Table159[[#This Row],[PCTS Investment Amount]]+Table159[[#This Row],[PCTS Retirement Amount]]</f>
        <v>248686.07999999999</v>
      </c>
      <c r="AB25" s="207"/>
      <c r="AC25" s="108" t="s">
        <v>1056</v>
      </c>
      <c r="AD25" s="108"/>
      <c r="AE25" s="349"/>
      <c r="AF25" s="579"/>
      <c r="AG25" s="579"/>
      <c r="AH25" s="354"/>
      <c r="AI25" s="489"/>
      <c r="AJ25" s="553"/>
      <c r="AK25" s="553"/>
      <c r="AL25" s="495"/>
      <c r="AM25" s="21" t="s">
        <v>116</v>
      </c>
      <c r="AN25" s="680" t="s">
        <v>709</v>
      </c>
      <c r="AO25" s="601">
        <v>11042140</v>
      </c>
      <c r="AP25" s="572"/>
      <c r="AQ25" s="572"/>
      <c r="AR25" s="572"/>
      <c r="AS25" s="538">
        <f>IF(Table159[[#This Row],[PCTS Approved]]="N",0,Table159[[#This Row],[Investment Amount (1'#'#'#'#'#)]]+Table159[[#This Row],[Retirement Amount (3'#'#'#'#'#)]])</f>
        <v>0</v>
      </c>
      <c r="AT25" s="538">
        <f>IF(Table159[[#This Row],[Approved Construction Cost]]=0,0,Table159[[#This Row],[Approved Construction Cost]]-Table159[[#This Row],[Construction Cost to Bill From]])</f>
        <v>0</v>
      </c>
      <c r="AU25" s="538">
        <f>IFERROR(Table159[[#This Row],[Difference in Construction Cost]]*Table159[[#This Row],[Rate]],Table159[[#This Row],[Difference in Construction Cost]]*0.085)</f>
        <v>0</v>
      </c>
      <c r="AV25" s="572"/>
      <c r="AW25" s="639"/>
      <c r="AX25" s="538"/>
      <c r="AY25" s="636" t="s">
        <v>709</v>
      </c>
      <c r="AZ25" s="443">
        <v>168</v>
      </c>
      <c r="BA25" s="652" t="s">
        <v>1250</v>
      </c>
      <c r="BB25" s="644" t="s">
        <v>1251</v>
      </c>
      <c r="BC25" s="478" t="s">
        <v>709</v>
      </c>
      <c r="BD25" s="544" t="s">
        <v>709</v>
      </c>
      <c r="BE25" s="544" t="s">
        <v>1252</v>
      </c>
      <c r="BF25" s="544" t="s">
        <v>1252</v>
      </c>
      <c r="BG25" s="512" t="s">
        <v>709</v>
      </c>
      <c r="BH25" s="741"/>
      <c r="BI25" s="535" t="s">
        <v>709</v>
      </c>
      <c r="BJ25" s="547" t="s">
        <v>116</v>
      </c>
      <c r="BK25" s="547" t="s">
        <v>709</v>
      </c>
      <c r="BL25" s="547" t="s">
        <v>116</v>
      </c>
      <c r="BM25" s="547" t="s">
        <v>709</v>
      </c>
      <c r="BN25" s="547" t="s">
        <v>709</v>
      </c>
      <c r="BO25" s="547" t="s">
        <v>709</v>
      </c>
      <c r="BP25" s="547" t="s">
        <v>709</v>
      </c>
      <c r="BQ25" s="547" t="s">
        <v>709</v>
      </c>
      <c r="BR25" s="547" t="s">
        <v>709</v>
      </c>
      <c r="BS25" s="547">
        <v>125</v>
      </c>
      <c r="BT25" s="547" t="s">
        <v>745</v>
      </c>
      <c r="BU25" s="547">
        <v>1</v>
      </c>
      <c r="BV25" s="547" t="s">
        <v>745</v>
      </c>
      <c r="BW25" s="547" t="s">
        <v>709</v>
      </c>
      <c r="BX25" s="547">
        <v>1</v>
      </c>
      <c r="BY25" s="547" t="s">
        <v>745</v>
      </c>
      <c r="BZ25" s="483"/>
    </row>
    <row r="26" spans="1:78" ht="15" hidden="1" customHeight="1" x14ac:dyDescent="0.25">
      <c r="A26" s="8" t="s">
        <v>781</v>
      </c>
      <c r="B26" s="8" t="s">
        <v>4</v>
      </c>
      <c r="C26" s="8" t="s">
        <v>1253</v>
      </c>
      <c r="D26" s="8" t="s">
        <v>1254</v>
      </c>
      <c r="E26" s="8" t="s">
        <v>1255</v>
      </c>
      <c r="F26" s="8" t="s">
        <v>738</v>
      </c>
      <c r="G26" s="8" t="s">
        <v>23</v>
      </c>
      <c r="H26" s="8" t="s">
        <v>59</v>
      </c>
      <c r="I26" s="642">
        <v>44631</v>
      </c>
      <c r="J26" s="18">
        <v>44694</v>
      </c>
      <c r="K26" s="18">
        <v>44690</v>
      </c>
      <c r="L26" s="16">
        <f>IF(ISTEXT(Table159[[#This Row],[Engineering Approved Design Date]]),Table159[[#This Row],[Date Completed]]-Table159[[#This Row],[Date Assigned to Designer]],Table159[[#This Row],[Engineering Approved Design Date]]-Table159[[#This Row],[Date Completed]])</f>
        <v>4</v>
      </c>
      <c r="M26" s="642"/>
      <c r="N26" s="642" t="s">
        <v>120</v>
      </c>
      <c r="O26" s="534">
        <f>Table159[[#This Row],[Date Completed]]</f>
        <v>44690</v>
      </c>
      <c r="P26" s="68" t="s">
        <v>739</v>
      </c>
      <c r="Q26" s="106">
        <f>R26*AA26</f>
        <v>34712.473000000005</v>
      </c>
      <c r="R26" s="75">
        <v>0.1</v>
      </c>
      <c r="S26" s="24" t="s">
        <v>709</v>
      </c>
      <c r="T26" s="538" t="s">
        <v>709</v>
      </c>
      <c r="U26" s="87" t="s">
        <v>709</v>
      </c>
      <c r="V26" s="440">
        <v>1282</v>
      </c>
      <c r="W26" s="440"/>
      <c r="X26" s="29">
        <v>308709.96000000002</v>
      </c>
      <c r="Y26" s="592"/>
      <c r="Z26" s="551">
        <v>38414.769999999997</v>
      </c>
      <c r="AA26" s="87">
        <f>Table159[[#This Row],[PCTS Investment Amount]]+Table159[[#This Row],[PCTS Retirement Amount]]</f>
        <v>347124.73000000004</v>
      </c>
      <c r="AB26" s="207"/>
      <c r="AC26" s="108" t="s">
        <v>709</v>
      </c>
      <c r="AD26" s="108"/>
      <c r="AE26" s="349"/>
      <c r="AF26" s="579"/>
      <c r="AG26" s="579"/>
      <c r="AH26" s="354"/>
      <c r="AI26" s="489"/>
      <c r="AJ26" s="553"/>
      <c r="AK26" s="553"/>
      <c r="AL26" s="495"/>
      <c r="AM26" s="21" t="s">
        <v>116</v>
      </c>
      <c r="AN26" s="680" t="s">
        <v>709</v>
      </c>
      <c r="AO26" s="601" t="s">
        <v>115</v>
      </c>
      <c r="AP26" s="572"/>
      <c r="AQ26" s="572"/>
      <c r="AR26" s="572"/>
      <c r="AS26" s="538">
        <f>IF(Table159[[#This Row],[PCTS Approved]]="N",0,Table159[[#This Row],[Investment Amount (1'#'#'#'#'#)]]+Table159[[#This Row],[Retirement Amount (3'#'#'#'#'#)]])</f>
        <v>0</v>
      </c>
      <c r="AT26" s="538">
        <f>IF(Table159[[#This Row],[Approved Construction Cost]]=0,0,Table159[[#This Row],[Approved Construction Cost]]-Table159[[#This Row],[Construction Cost to Bill From]])</f>
        <v>0</v>
      </c>
      <c r="AU26" s="538">
        <f>IFERROR(Table159[[#This Row],[Difference in Construction Cost]]*Table159[[#This Row],[Rate]],Table159[[#This Row],[Difference in Construction Cost]]*0.085)</f>
        <v>0</v>
      </c>
      <c r="AV26" s="572"/>
      <c r="AW26" s="639"/>
      <c r="AX26" s="538"/>
      <c r="AY26" s="636" t="s">
        <v>709</v>
      </c>
      <c r="AZ26" s="443">
        <v>66</v>
      </c>
      <c r="BA26" s="652" t="s">
        <v>1256</v>
      </c>
      <c r="BB26" s="644" t="s">
        <v>1257</v>
      </c>
      <c r="BC26" s="478" t="s">
        <v>116</v>
      </c>
      <c r="BD26" s="544" t="s">
        <v>709</v>
      </c>
      <c r="BE26" s="544" t="s">
        <v>1258</v>
      </c>
      <c r="BF26" s="544" t="s">
        <v>709</v>
      </c>
      <c r="BG26" s="512" t="s">
        <v>709</v>
      </c>
      <c r="BH26" s="741"/>
      <c r="BI26" s="535" t="s">
        <v>709</v>
      </c>
      <c r="BJ26" s="547" t="s">
        <v>709</v>
      </c>
      <c r="BK26" s="547" t="s">
        <v>709</v>
      </c>
      <c r="BL26" s="547" t="s">
        <v>116</v>
      </c>
      <c r="BM26" s="547" t="s">
        <v>709</v>
      </c>
      <c r="BN26" s="547" t="s">
        <v>709</v>
      </c>
      <c r="BO26" s="547" t="s">
        <v>709</v>
      </c>
      <c r="BP26" s="547" t="s">
        <v>709</v>
      </c>
      <c r="BQ26" s="547" t="s">
        <v>709</v>
      </c>
      <c r="BR26" s="547">
        <v>1070</v>
      </c>
      <c r="BS26" s="547">
        <v>212</v>
      </c>
      <c r="BT26" s="547" t="s">
        <v>745</v>
      </c>
      <c r="BU26" s="547" t="s">
        <v>709</v>
      </c>
      <c r="BV26" s="547" t="s">
        <v>745</v>
      </c>
      <c r="BW26" s="547" t="s">
        <v>709</v>
      </c>
      <c r="BX26" s="547" t="s">
        <v>745</v>
      </c>
      <c r="BY26" s="547" t="s">
        <v>745</v>
      </c>
      <c r="BZ26" s="483"/>
    </row>
    <row r="27" spans="1:78" ht="15" hidden="1" customHeight="1" x14ac:dyDescent="0.25">
      <c r="A27" s="8" t="s">
        <v>781</v>
      </c>
      <c r="B27" s="8" t="s">
        <v>759</v>
      </c>
      <c r="C27" s="661" t="s">
        <v>1259</v>
      </c>
      <c r="D27" s="8" t="s">
        <v>1260</v>
      </c>
      <c r="E27" s="8" t="s">
        <v>1261</v>
      </c>
      <c r="F27" s="8" t="s">
        <v>752</v>
      </c>
      <c r="G27" s="8" t="s">
        <v>40</v>
      </c>
      <c r="H27" s="8" t="s">
        <v>59</v>
      </c>
      <c r="I27" s="642">
        <v>44582</v>
      </c>
      <c r="J27" s="450">
        <v>44694</v>
      </c>
      <c r="K27" s="18">
        <v>44691</v>
      </c>
      <c r="L27" s="16">
        <f>IF(ISTEXT(Table159[[#This Row],[Engineering Approved Design Date]]),Table159[[#This Row],[Date Completed]]-Table159[[#This Row],[Date Assigned to Designer]],Table159[[#This Row],[Engineering Approved Design Date]]-Table159[[#This Row],[Date Completed]])</f>
        <v>3</v>
      </c>
      <c r="M27" s="642"/>
      <c r="N27" s="642" t="s">
        <v>120</v>
      </c>
      <c r="O27" s="534">
        <f>Table159[[#This Row],[Date Completed]]</f>
        <v>44691</v>
      </c>
      <c r="P27" s="68" t="s">
        <v>120</v>
      </c>
      <c r="Q27" s="71">
        <f>(Table159[[#This Row],[Construction Cost to Bill From]]*0.085)+5250</f>
        <v>58634.540699999998</v>
      </c>
      <c r="R27" s="75" t="s">
        <v>1055</v>
      </c>
      <c r="S27" s="24" t="s">
        <v>709</v>
      </c>
      <c r="T27" s="538" t="s">
        <v>709</v>
      </c>
      <c r="U27" s="87" t="s">
        <v>709</v>
      </c>
      <c r="V27" s="440">
        <v>662</v>
      </c>
      <c r="W27" s="440"/>
      <c r="X27" s="29">
        <v>544357.96</v>
      </c>
      <c r="Y27" s="592"/>
      <c r="Z27" s="551">
        <v>83695.460000000006</v>
      </c>
      <c r="AA27" s="87">
        <f>Table159[[#This Row],[PCTS Investment Amount]]+Table159[[#This Row],[PCTS Retirement Amount]]</f>
        <v>628053.41999999993</v>
      </c>
      <c r="AB27" s="207"/>
      <c r="AC27" s="108" t="s">
        <v>1056</v>
      </c>
      <c r="AD27" s="108"/>
      <c r="AE27" s="349"/>
      <c r="AF27" s="579"/>
      <c r="AG27" s="579"/>
      <c r="AH27" s="354"/>
      <c r="AI27" s="489"/>
      <c r="AJ27" s="553"/>
      <c r="AK27" s="553"/>
      <c r="AL27" s="495"/>
      <c r="AM27" s="21" t="s">
        <v>116</v>
      </c>
      <c r="AN27" s="680" t="s">
        <v>709</v>
      </c>
      <c r="AO27" s="601">
        <v>11039510</v>
      </c>
      <c r="AP27" s="572"/>
      <c r="AQ27" s="572"/>
      <c r="AR27" s="572"/>
      <c r="AS27" s="538">
        <f>IF(Table159[[#This Row],[PCTS Approved]]="N",0,Table159[[#This Row],[Investment Amount (1'#'#'#'#'#)]]+Table159[[#This Row],[Retirement Amount (3'#'#'#'#'#)]])</f>
        <v>0</v>
      </c>
      <c r="AT27" s="538">
        <f>IF(Table159[[#This Row],[Approved Construction Cost]]=0,0,Table159[[#This Row],[Approved Construction Cost]]-Table159[[#This Row],[Construction Cost to Bill From]])</f>
        <v>0</v>
      </c>
      <c r="AU27" s="538">
        <f>IFERROR(Table159[[#This Row],[Difference in Construction Cost]]*Table159[[#This Row],[Rate]],Table159[[#This Row],[Difference in Construction Cost]]*0.085)</f>
        <v>0</v>
      </c>
      <c r="AV27" s="572"/>
      <c r="AW27" s="639"/>
      <c r="AX27" s="538"/>
      <c r="AY27" s="636" t="s">
        <v>709</v>
      </c>
      <c r="AZ27" s="443">
        <v>183</v>
      </c>
      <c r="BA27" s="652" t="s">
        <v>1262</v>
      </c>
      <c r="BB27" s="644" t="s">
        <v>1263</v>
      </c>
      <c r="BC27" s="478" t="s">
        <v>709</v>
      </c>
      <c r="BD27" s="544" t="s">
        <v>1066</v>
      </c>
      <c r="BE27" s="544" t="s">
        <v>709</v>
      </c>
      <c r="BF27" s="544" t="s">
        <v>709</v>
      </c>
      <c r="BG27" s="512" t="s">
        <v>709</v>
      </c>
      <c r="BH27" s="741"/>
      <c r="BI27" s="535" t="s">
        <v>709</v>
      </c>
      <c r="BJ27" s="547" t="s">
        <v>709</v>
      </c>
      <c r="BK27" s="547" t="s">
        <v>116</v>
      </c>
      <c r="BL27" s="547" t="s">
        <v>116</v>
      </c>
      <c r="BM27" s="547" t="s">
        <v>709</v>
      </c>
      <c r="BN27" s="547">
        <v>104</v>
      </c>
      <c r="BO27" s="547" t="s">
        <v>709</v>
      </c>
      <c r="BP27" s="547">
        <v>141</v>
      </c>
      <c r="BQ27" s="547">
        <v>276</v>
      </c>
      <c r="BR27" s="547">
        <v>45</v>
      </c>
      <c r="BS27" s="547">
        <v>5</v>
      </c>
      <c r="BT27" s="547">
        <v>1</v>
      </c>
      <c r="BU27" s="547" t="s">
        <v>709</v>
      </c>
      <c r="BV27" s="547" t="s">
        <v>745</v>
      </c>
      <c r="BW27" s="547">
        <v>1</v>
      </c>
      <c r="BX27" s="547">
        <v>1</v>
      </c>
      <c r="BY27" s="547" t="s">
        <v>745</v>
      </c>
      <c r="BZ27" s="483"/>
    </row>
    <row r="28" spans="1:78" ht="15" hidden="1" customHeight="1" x14ac:dyDescent="0.25">
      <c r="A28" s="8" t="s">
        <v>781</v>
      </c>
      <c r="B28" s="8" t="s">
        <v>730</v>
      </c>
      <c r="C28" s="8" t="s">
        <v>457</v>
      </c>
      <c r="D28" s="8" t="s">
        <v>1264</v>
      </c>
      <c r="E28" s="8" t="s">
        <v>1265</v>
      </c>
      <c r="F28" s="8" t="s">
        <v>752</v>
      </c>
      <c r="G28" s="8" t="s">
        <v>34</v>
      </c>
      <c r="H28" s="8" t="s">
        <v>59</v>
      </c>
      <c r="I28" s="642">
        <v>44607</v>
      </c>
      <c r="J28" s="18">
        <v>44693</v>
      </c>
      <c r="K28" s="18">
        <v>44692</v>
      </c>
      <c r="L28" s="16">
        <f>IF(ISTEXT(Table159[[#This Row],[Engineering Approved Design Date]]),Table159[[#This Row],[Date Completed]]-Table159[[#This Row],[Date Assigned to Designer]],Table159[[#This Row],[Engineering Approved Design Date]]-Table159[[#This Row],[Date Completed]])</f>
        <v>1</v>
      </c>
      <c r="M28" s="642"/>
      <c r="N28" s="642" t="s">
        <v>120</v>
      </c>
      <c r="O28" s="534">
        <f>Table159[[#This Row],[Date Completed]]</f>
        <v>44692</v>
      </c>
      <c r="P28" s="68" t="s">
        <v>739</v>
      </c>
      <c r="Q28" s="106">
        <f>(Table159[[#This Row],[Construction Cost to Bill From]]*0.085)+5250</f>
        <v>12895.919150000002</v>
      </c>
      <c r="R28" s="75" t="s">
        <v>794</v>
      </c>
      <c r="S28" s="24" t="s">
        <v>709</v>
      </c>
      <c r="T28" s="538" t="s">
        <v>709</v>
      </c>
      <c r="U28" s="87" t="s">
        <v>709</v>
      </c>
      <c r="V28" s="440">
        <v>60</v>
      </c>
      <c r="W28" s="440"/>
      <c r="X28" s="29">
        <v>76483.740000000005</v>
      </c>
      <c r="Y28" s="592"/>
      <c r="Z28" s="551">
        <v>13468.25</v>
      </c>
      <c r="AA28" s="87">
        <f>Table159[[#This Row],[PCTS Investment Amount]]+Table159[[#This Row],[PCTS Retirement Amount]]</f>
        <v>89951.99</v>
      </c>
      <c r="AB28" s="207"/>
      <c r="AC28" s="108" t="s">
        <v>116</v>
      </c>
      <c r="AD28" s="108" t="s">
        <v>29</v>
      </c>
      <c r="AE28" s="349"/>
      <c r="AF28" s="579"/>
      <c r="AG28" s="579"/>
      <c r="AH28" s="354"/>
      <c r="AI28" s="489"/>
      <c r="AJ28" s="553"/>
      <c r="AK28" s="553"/>
      <c r="AL28" s="495"/>
      <c r="AM28" s="21" t="s">
        <v>116</v>
      </c>
      <c r="AN28" s="680" t="s">
        <v>709</v>
      </c>
      <c r="AO28" s="601">
        <v>11058433</v>
      </c>
      <c r="AP28" s="572"/>
      <c r="AQ28" s="572"/>
      <c r="AR28" s="572"/>
      <c r="AS28" s="538">
        <f>IF(Table159[[#This Row],[PCTS Approved]]="N",0,Table159[[#This Row],[Investment Amount (1'#'#'#'#'#)]]+Table159[[#This Row],[Retirement Amount (3'#'#'#'#'#)]])</f>
        <v>0</v>
      </c>
      <c r="AT28" s="538">
        <f>IF(Table159[[#This Row],[Approved Construction Cost]]=0,0,Table159[[#This Row],[Approved Construction Cost]]-Table159[[#This Row],[Construction Cost to Bill From]])</f>
        <v>0</v>
      </c>
      <c r="AU28" s="538">
        <f>IFERROR(Table159[[#This Row],[Difference in Construction Cost]]*Table159[[#This Row],[Rate]],Table159[[#This Row],[Difference in Construction Cost]]*0.085)</f>
        <v>0</v>
      </c>
      <c r="AV28" s="572"/>
      <c r="AW28" s="639"/>
      <c r="AX28" s="538"/>
      <c r="AY28" s="636" t="s">
        <v>709</v>
      </c>
      <c r="AZ28" s="443">
        <v>169</v>
      </c>
      <c r="BA28" s="652" t="s">
        <v>1266</v>
      </c>
      <c r="BB28" s="644" t="s">
        <v>1267</v>
      </c>
      <c r="BC28" s="478" t="s">
        <v>709</v>
      </c>
      <c r="BD28" s="544" t="s">
        <v>709</v>
      </c>
      <c r="BE28" s="544" t="s">
        <v>709</v>
      </c>
      <c r="BF28" s="544" t="s">
        <v>1268</v>
      </c>
      <c r="BG28" s="512" t="s">
        <v>709</v>
      </c>
      <c r="BH28" s="741"/>
      <c r="BI28" s="535" t="s">
        <v>116</v>
      </c>
      <c r="BJ28" s="547" t="s">
        <v>709</v>
      </c>
      <c r="BK28" s="547" t="s">
        <v>709</v>
      </c>
      <c r="BL28" s="547" t="s">
        <v>709</v>
      </c>
      <c r="BM28" s="547" t="s">
        <v>709</v>
      </c>
      <c r="BN28" s="547" t="s">
        <v>709</v>
      </c>
      <c r="BO28" s="547" t="s">
        <v>709</v>
      </c>
      <c r="BP28" s="547" t="s">
        <v>709</v>
      </c>
      <c r="BQ28" s="547" t="s">
        <v>709</v>
      </c>
      <c r="BR28" s="547" t="s">
        <v>709</v>
      </c>
      <c r="BS28" s="547">
        <v>60</v>
      </c>
      <c r="BT28" s="547" t="s">
        <v>745</v>
      </c>
      <c r="BU28" s="547" t="s">
        <v>709</v>
      </c>
      <c r="BV28" s="547" t="s">
        <v>745</v>
      </c>
      <c r="BW28" s="547" t="s">
        <v>709</v>
      </c>
      <c r="BX28" s="547">
        <v>1</v>
      </c>
      <c r="BY28" s="547" t="s">
        <v>745</v>
      </c>
      <c r="BZ28" s="483"/>
    </row>
    <row r="29" spans="1:78" ht="15" hidden="1" customHeight="1" x14ac:dyDescent="0.25">
      <c r="A29" s="8" t="s">
        <v>1269</v>
      </c>
      <c r="B29" s="8" t="s">
        <v>759</v>
      </c>
      <c r="C29" s="8" t="s">
        <v>224</v>
      </c>
      <c r="D29" s="8" t="s">
        <v>1270</v>
      </c>
      <c r="E29" s="8" t="s">
        <v>225</v>
      </c>
      <c r="F29" s="8" t="s">
        <v>738</v>
      </c>
      <c r="G29" s="8" t="s">
        <v>1882</v>
      </c>
      <c r="H29" s="8" t="s">
        <v>59</v>
      </c>
      <c r="I29" s="18">
        <v>44425</v>
      </c>
      <c r="J29" s="450">
        <v>44712</v>
      </c>
      <c r="K29" s="18">
        <v>44694</v>
      </c>
      <c r="L29" s="16">
        <f>IF(ISTEXT(Table159[[#This Row],[Engineering Approved Design Date]]),Table159[[#This Row],[Date Completed]]-Table159[[#This Row],[Date Assigned to Designer]],Table159[[#This Row],[Engineering Approved Design Date]]-Table159[[#This Row],[Date Completed]])</f>
        <v>18</v>
      </c>
      <c r="M29" s="642"/>
      <c r="N29" s="642" t="s">
        <v>120</v>
      </c>
      <c r="O29" s="534">
        <f>Table159[[#This Row],[Date Completed]]</f>
        <v>44694</v>
      </c>
      <c r="P29" s="68" t="s">
        <v>120</v>
      </c>
      <c r="Q29" s="106">
        <f>(Table159[[#This Row],[Construction Cost to Bill From]]*0.085)+5250</f>
        <v>94710.559450000001</v>
      </c>
      <c r="R29" s="75" t="s">
        <v>1055</v>
      </c>
      <c r="S29" s="24" t="s">
        <v>709</v>
      </c>
      <c r="T29" s="538" t="s">
        <v>709</v>
      </c>
      <c r="U29" s="87" t="s">
        <v>709</v>
      </c>
      <c r="V29" s="440">
        <v>940</v>
      </c>
      <c r="W29" s="440">
        <v>514</v>
      </c>
      <c r="X29" s="29">
        <v>979255.57</v>
      </c>
      <c r="Y29" s="592"/>
      <c r="Z29" s="551">
        <v>73221.600000000006</v>
      </c>
      <c r="AA29" s="87">
        <f>Table159[[#This Row],[PCTS Investment Amount]]+Table159[[#This Row],[PCTS Retirement Amount]]</f>
        <v>1052477.17</v>
      </c>
      <c r="AB29" s="207"/>
      <c r="AC29" s="108" t="s">
        <v>116</v>
      </c>
      <c r="AD29" s="108"/>
      <c r="AE29" s="349"/>
      <c r="AF29" s="579"/>
      <c r="AG29" s="579"/>
      <c r="AH29" s="354"/>
      <c r="AI29" s="489"/>
      <c r="AJ29" s="553"/>
      <c r="AK29" s="553"/>
      <c r="AL29" s="495"/>
      <c r="AM29" s="21" t="s">
        <v>116</v>
      </c>
      <c r="AN29" s="680" t="s">
        <v>709</v>
      </c>
      <c r="AO29" s="601">
        <v>11015976</v>
      </c>
      <c r="AP29" s="572"/>
      <c r="AQ29" s="572"/>
      <c r="AR29" s="572"/>
      <c r="AS29" s="538">
        <f>IF(Table159[[#This Row],[PCTS Approved]]="N",0,Table159[[#This Row],[Investment Amount (1'#'#'#'#'#)]]+Table159[[#This Row],[Retirement Amount (3'#'#'#'#'#)]])</f>
        <v>0</v>
      </c>
      <c r="AT29" s="538">
        <f>IF(Table159[[#This Row],[Approved Construction Cost]]=0,0,Table159[[#This Row],[Approved Construction Cost]]-Table159[[#This Row],[Construction Cost to Bill From]])</f>
        <v>0</v>
      </c>
      <c r="AU29" s="538">
        <f>IFERROR(Table159[[#This Row],[Difference in Construction Cost]]*Table159[[#This Row],[Rate]],Table159[[#This Row],[Difference in Construction Cost]]*0.085)</f>
        <v>0</v>
      </c>
      <c r="AV29" s="572"/>
      <c r="AW29" s="639"/>
      <c r="AX29" s="538"/>
      <c r="AY29" s="636" t="s">
        <v>709</v>
      </c>
      <c r="AZ29" s="443">
        <v>184</v>
      </c>
      <c r="BA29" s="652" t="s">
        <v>1271</v>
      </c>
      <c r="BB29" s="644" t="s">
        <v>1272</v>
      </c>
      <c r="BC29" s="478"/>
      <c r="BD29" s="544"/>
      <c r="BE29" s="544"/>
      <c r="BF29" s="544"/>
      <c r="BG29" s="512"/>
      <c r="BH29" s="741" t="s">
        <v>1273</v>
      </c>
      <c r="BI29" s="535" t="s">
        <v>709</v>
      </c>
      <c r="BJ29" s="547" t="s">
        <v>709</v>
      </c>
      <c r="BK29" s="547" t="s">
        <v>116</v>
      </c>
      <c r="BL29" s="547" t="s">
        <v>116</v>
      </c>
      <c r="BM29" s="547" t="s">
        <v>709</v>
      </c>
      <c r="BN29" s="547" t="s">
        <v>709</v>
      </c>
      <c r="BO29" s="547" t="s">
        <v>709</v>
      </c>
      <c r="BP29" s="547">
        <v>724</v>
      </c>
      <c r="BQ29" s="547">
        <v>70</v>
      </c>
      <c r="BR29" s="547">
        <v>45</v>
      </c>
      <c r="BS29" s="547">
        <v>10</v>
      </c>
      <c r="BT29" s="547">
        <v>1</v>
      </c>
      <c r="BU29" s="547" t="s">
        <v>709</v>
      </c>
      <c r="BV29" s="547" t="s">
        <v>745</v>
      </c>
      <c r="BW29" s="547">
        <v>1</v>
      </c>
      <c r="BX29" s="547" t="s">
        <v>709</v>
      </c>
      <c r="BY29" s="547" t="s">
        <v>745</v>
      </c>
      <c r="BZ29" s="483" t="s">
        <v>769</v>
      </c>
    </row>
    <row r="30" spans="1:78" ht="15" hidden="1" customHeight="1" x14ac:dyDescent="0.25">
      <c r="A30" s="8">
        <v>2022</v>
      </c>
      <c r="B30" s="8" t="s">
        <v>4</v>
      </c>
      <c r="C30" s="8" t="s">
        <v>1278</v>
      </c>
      <c r="D30" s="8" t="s">
        <v>1279</v>
      </c>
      <c r="E30" s="8" t="s">
        <v>1280</v>
      </c>
      <c r="F30" s="8" t="s">
        <v>738</v>
      </c>
      <c r="G30" s="8" t="s">
        <v>35</v>
      </c>
      <c r="H30" s="8" t="s">
        <v>59</v>
      </c>
      <c r="I30" s="642">
        <v>44656</v>
      </c>
      <c r="J30" s="97">
        <v>44705</v>
      </c>
      <c r="K30" s="97">
        <v>44704</v>
      </c>
      <c r="L30" s="16">
        <f>IF(ISTEXT(Table159[[#This Row],[Engineering Approved Design Date]]),Table159[[#This Row],[Date Completed]]-Table159[[#This Row],[Date Assigned to Designer]],Table159[[#This Row],[Engineering Approved Design Date]]-Table159[[#This Row],[Date Completed]])</f>
        <v>1</v>
      </c>
      <c r="M30" s="642"/>
      <c r="N30" s="642" t="s">
        <v>120</v>
      </c>
      <c r="O30" s="534">
        <f>Table159[[#This Row],[Date Completed]]</f>
        <v>44704</v>
      </c>
      <c r="P30" s="68" t="s">
        <v>739</v>
      </c>
      <c r="Q30" s="71">
        <f>R30*AA30</f>
        <v>10622.783000000001</v>
      </c>
      <c r="R30" s="75">
        <v>0.1</v>
      </c>
      <c r="S30" s="24" t="s">
        <v>709</v>
      </c>
      <c r="T30" s="538" t="s">
        <v>709</v>
      </c>
      <c r="U30" s="87" t="s">
        <v>709</v>
      </c>
      <c r="V30" s="440">
        <v>81</v>
      </c>
      <c r="W30" s="440"/>
      <c r="X30" s="29">
        <v>92799.81</v>
      </c>
      <c r="Y30" s="592"/>
      <c r="Z30" s="551">
        <v>13428.02</v>
      </c>
      <c r="AA30" s="87">
        <f>Table159[[#This Row],[PCTS Investment Amount]]+Table159[[#This Row],[PCTS Retirement Amount]]</f>
        <v>106227.83</v>
      </c>
      <c r="AB30" s="207"/>
      <c r="AC30" s="108" t="s">
        <v>709</v>
      </c>
      <c r="AD30" s="108" t="s">
        <v>709</v>
      </c>
      <c r="AE30" s="349"/>
      <c r="AF30" s="579"/>
      <c r="AG30" s="579"/>
      <c r="AH30" s="354"/>
      <c r="AI30" s="489"/>
      <c r="AJ30" s="553"/>
      <c r="AK30" s="553"/>
      <c r="AL30" s="495"/>
      <c r="AM30" s="21" t="s">
        <v>116</v>
      </c>
      <c r="AN30" s="680" t="s">
        <v>709</v>
      </c>
      <c r="AO30" s="681" t="s">
        <v>115</v>
      </c>
      <c r="AP30" s="682"/>
      <c r="AQ30" s="682"/>
      <c r="AR30" s="682"/>
      <c r="AS30" s="538">
        <f>IF(Table159[[#This Row],[PCTS Approved]]="N",0,Table159[[#This Row],[Investment Amount (1'#'#'#'#'#)]]+Table159[[#This Row],[Retirement Amount (3'#'#'#'#'#)]])</f>
        <v>0</v>
      </c>
      <c r="AT30" s="538">
        <f>IF(Table159[[#This Row],[Approved Construction Cost]]=0,0,Table159[[#This Row],[Approved Construction Cost]]-Table159[[#This Row],[Construction Cost to Bill From]])</f>
        <v>0</v>
      </c>
      <c r="AU30" s="538">
        <f>IFERROR(Table159[[#This Row],[Difference in Construction Cost]]*Table159[[#This Row],[Rate]],Table159[[#This Row],[Difference in Construction Cost]]*0.085)</f>
        <v>0</v>
      </c>
      <c r="AV30" s="682"/>
      <c r="AW30" s="686"/>
      <c r="AX30" s="538"/>
      <c r="AY30" s="636" t="s">
        <v>709</v>
      </c>
      <c r="AZ30" s="443">
        <v>67</v>
      </c>
      <c r="BA30" s="652" t="s">
        <v>1281</v>
      </c>
      <c r="BB30" s="644" t="s">
        <v>1282</v>
      </c>
      <c r="BC30" s="478" t="s">
        <v>709</v>
      </c>
      <c r="BD30" s="544" t="s">
        <v>709</v>
      </c>
      <c r="BE30" s="544" t="s">
        <v>1283</v>
      </c>
      <c r="BF30" s="544" t="s">
        <v>709</v>
      </c>
      <c r="BG30" s="512" t="s">
        <v>709</v>
      </c>
      <c r="BH30" s="741"/>
      <c r="BI30" s="535" t="s">
        <v>709</v>
      </c>
      <c r="BJ30" s="547" t="s">
        <v>709</v>
      </c>
      <c r="BK30" s="547" t="s">
        <v>709</v>
      </c>
      <c r="BL30" s="547" t="s">
        <v>116</v>
      </c>
      <c r="BM30" s="547" t="s">
        <v>709</v>
      </c>
      <c r="BN30" s="547" t="s">
        <v>709</v>
      </c>
      <c r="BO30" s="547" t="s">
        <v>709</v>
      </c>
      <c r="BP30" s="547" t="s">
        <v>709</v>
      </c>
      <c r="BQ30" s="547" t="s">
        <v>709</v>
      </c>
      <c r="BR30" s="547" t="s">
        <v>709</v>
      </c>
      <c r="BS30" s="547">
        <v>81</v>
      </c>
      <c r="BT30" s="547" t="s">
        <v>745</v>
      </c>
      <c r="BU30" s="547" t="s">
        <v>709</v>
      </c>
      <c r="BV30" s="547" t="s">
        <v>745</v>
      </c>
      <c r="BW30" s="547" t="s">
        <v>709</v>
      </c>
      <c r="BX30" s="547" t="s">
        <v>745</v>
      </c>
      <c r="BY30" s="547" t="s">
        <v>745</v>
      </c>
      <c r="BZ30" s="483"/>
    </row>
    <row r="31" spans="1:78" ht="15" hidden="1" customHeight="1" x14ac:dyDescent="0.25">
      <c r="A31" s="8">
        <v>2022</v>
      </c>
      <c r="B31" s="8" t="s">
        <v>730</v>
      </c>
      <c r="C31" s="8" t="s">
        <v>1274</v>
      </c>
      <c r="D31" s="8" t="s">
        <v>1275</v>
      </c>
      <c r="E31" s="8" t="s">
        <v>1276</v>
      </c>
      <c r="F31" s="8" t="s">
        <v>747</v>
      </c>
      <c r="G31" s="8" t="s">
        <v>34</v>
      </c>
      <c r="H31" s="8" t="s">
        <v>59</v>
      </c>
      <c r="I31" s="642">
        <v>44418</v>
      </c>
      <c r="J31" s="18">
        <v>44712</v>
      </c>
      <c r="K31" s="18">
        <v>44704</v>
      </c>
      <c r="L31" s="16">
        <f>IF(ISTEXT(Table159[[#This Row],[Engineering Approved Design Date]]),Table159[[#This Row],[Date Completed]]-Table159[[#This Row],[Date Assigned to Designer]],Table159[[#This Row],[Engineering Approved Design Date]]-Table159[[#This Row],[Date Completed]])</f>
        <v>8</v>
      </c>
      <c r="M31" s="642"/>
      <c r="N31" s="642" t="s">
        <v>120</v>
      </c>
      <c r="O31" s="534">
        <f>Table159[[#This Row],[Date Completed]]</f>
        <v>44704</v>
      </c>
      <c r="P31" s="68" t="s">
        <v>120</v>
      </c>
      <c r="Q31" s="106">
        <f>(Table159[[#This Row],[Construction Cost to Bill From]]*0.085)+(5250*2)</f>
        <v>42952.833400000003</v>
      </c>
      <c r="R31" s="75" t="s">
        <v>794</v>
      </c>
      <c r="S31" s="24" t="s">
        <v>709</v>
      </c>
      <c r="T31" s="538" t="s">
        <v>709</v>
      </c>
      <c r="U31" s="87" t="s">
        <v>709</v>
      </c>
      <c r="V31" s="440">
        <v>230</v>
      </c>
      <c r="W31" s="440"/>
      <c r="X31" s="29">
        <v>327874.32</v>
      </c>
      <c r="Y31" s="592"/>
      <c r="Z31" s="551">
        <v>53923.72</v>
      </c>
      <c r="AA31" s="87">
        <f>Table159[[#This Row],[PCTS Investment Amount]]+Table159[[#This Row],[PCTS Retirement Amount]]</f>
        <v>381798.04000000004</v>
      </c>
      <c r="AB31" s="207"/>
      <c r="AC31" s="108" t="s">
        <v>811</v>
      </c>
      <c r="AD31" s="108" t="s">
        <v>29</v>
      </c>
      <c r="AE31" s="349"/>
      <c r="AF31" s="579"/>
      <c r="AG31" s="579"/>
      <c r="AH31" s="354"/>
      <c r="AI31" s="489"/>
      <c r="AJ31" s="553"/>
      <c r="AK31" s="553"/>
      <c r="AL31" s="495"/>
      <c r="AM31" s="21" t="s">
        <v>116</v>
      </c>
      <c r="AN31" s="680" t="s">
        <v>709</v>
      </c>
      <c r="AO31" s="601">
        <v>11038167</v>
      </c>
      <c r="AP31" s="572"/>
      <c r="AQ31" s="572"/>
      <c r="AR31" s="572"/>
      <c r="AS31" s="538">
        <f>IF(Table159[[#This Row],[PCTS Approved]]="N",0,Table159[[#This Row],[Investment Amount (1'#'#'#'#'#)]]+Table159[[#This Row],[Retirement Amount (3'#'#'#'#'#)]])</f>
        <v>0</v>
      </c>
      <c r="AT31" s="538">
        <f>IF(Table159[[#This Row],[Approved Construction Cost]]=0,0,Table159[[#This Row],[Approved Construction Cost]]-Table159[[#This Row],[Construction Cost to Bill From]])</f>
        <v>0</v>
      </c>
      <c r="AU31" s="538">
        <f>IFERROR(Table159[[#This Row],[Difference in Construction Cost]]*Table159[[#This Row],[Rate]],Table159[[#This Row],[Difference in Construction Cost]]*0.085)</f>
        <v>0</v>
      </c>
      <c r="AV31" s="572"/>
      <c r="AW31" s="639"/>
      <c r="AX31" s="538"/>
      <c r="AY31" s="636" t="s">
        <v>709</v>
      </c>
      <c r="AZ31" s="443">
        <v>170</v>
      </c>
      <c r="BA31" s="652" t="s">
        <v>1277</v>
      </c>
      <c r="BB31" s="644" t="s">
        <v>1226</v>
      </c>
      <c r="BC31" s="478" t="s">
        <v>116</v>
      </c>
      <c r="BD31" s="544" t="s">
        <v>709</v>
      </c>
      <c r="BE31" s="544" t="s">
        <v>709</v>
      </c>
      <c r="BF31" s="544" t="s">
        <v>709</v>
      </c>
      <c r="BG31" s="512" t="s">
        <v>709</v>
      </c>
      <c r="BH31" s="741"/>
      <c r="BI31" s="535" t="s">
        <v>116</v>
      </c>
      <c r="BJ31" s="547" t="s">
        <v>709</v>
      </c>
      <c r="BK31" s="547" t="s">
        <v>116</v>
      </c>
      <c r="BL31" s="547" t="s">
        <v>116</v>
      </c>
      <c r="BM31" s="547" t="s">
        <v>709</v>
      </c>
      <c r="BN31" s="547" t="s">
        <v>709</v>
      </c>
      <c r="BO31" s="547" t="s">
        <v>709</v>
      </c>
      <c r="BP31" s="547" t="s">
        <v>709</v>
      </c>
      <c r="BQ31" s="547" t="s">
        <v>709</v>
      </c>
      <c r="BR31" s="547">
        <v>26</v>
      </c>
      <c r="BS31" s="547">
        <v>204</v>
      </c>
      <c r="BT31" s="547" t="s">
        <v>745</v>
      </c>
      <c r="BU31" s="547">
        <v>2</v>
      </c>
      <c r="BV31" s="547" t="s">
        <v>745</v>
      </c>
      <c r="BW31" s="547" t="s">
        <v>709</v>
      </c>
      <c r="BX31" s="547">
        <v>1</v>
      </c>
      <c r="BY31" s="547" t="s">
        <v>745</v>
      </c>
      <c r="BZ31" s="483"/>
    </row>
    <row r="32" spans="1:78" ht="15" hidden="1" customHeight="1" x14ac:dyDescent="0.25">
      <c r="A32" s="8" t="s">
        <v>781</v>
      </c>
      <c r="B32" s="8" t="s">
        <v>730</v>
      </c>
      <c r="C32" s="8" t="s">
        <v>1284</v>
      </c>
      <c r="D32" s="8" t="s">
        <v>1285</v>
      </c>
      <c r="E32" s="8" t="s">
        <v>1286</v>
      </c>
      <c r="F32" s="8" t="s">
        <v>752</v>
      </c>
      <c r="G32" s="8" t="s">
        <v>23</v>
      </c>
      <c r="H32" s="8" t="s">
        <v>59</v>
      </c>
      <c r="I32" s="642">
        <v>44607</v>
      </c>
      <c r="J32" s="451">
        <v>44722</v>
      </c>
      <c r="K32" s="18">
        <v>44720</v>
      </c>
      <c r="L32" s="16">
        <f>IF(ISTEXT(Table159[[#This Row],[Engineering Approved Design Date]]),Table159[[#This Row],[Date Completed]]-Table159[[#This Row],[Date Assigned to Designer]],Table159[[#This Row],[Engineering Approved Design Date]]-Table159[[#This Row],[Date Completed]])</f>
        <v>2</v>
      </c>
      <c r="M32" s="642"/>
      <c r="N32" s="642" t="s">
        <v>120</v>
      </c>
      <c r="O32" s="534">
        <f>Table159[[#This Row],[Date Completed]]</f>
        <v>44720</v>
      </c>
      <c r="P32" s="68" t="s">
        <v>739</v>
      </c>
      <c r="Q32" s="71">
        <f>(Table159[[#This Row],[Construction Cost to Bill From]]*0.085)+(5250*2)</f>
        <v>35341.335850000003</v>
      </c>
      <c r="R32" s="75" t="s">
        <v>794</v>
      </c>
      <c r="S32" s="24" t="s">
        <v>709</v>
      </c>
      <c r="T32" s="538" t="s">
        <v>709</v>
      </c>
      <c r="U32" s="87" t="s">
        <v>709</v>
      </c>
      <c r="V32" s="440">
        <v>312</v>
      </c>
      <c r="W32" s="440"/>
      <c r="X32" s="29">
        <v>241769.56</v>
      </c>
      <c r="Y32" s="592"/>
      <c r="Z32" s="551">
        <v>50481.45</v>
      </c>
      <c r="AA32" s="87">
        <f>Table159[[#This Row],[PCTS Retirement Amount]]+Table159[[#This Row],[PCTS Investment Amount]]</f>
        <v>292251.01</v>
      </c>
      <c r="AB32" s="207"/>
      <c r="AC32" s="108" t="s">
        <v>1056</v>
      </c>
      <c r="AD32" s="108"/>
      <c r="AE32" s="349"/>
      <c r="AF32" s="579"/>
      <c r="AG32" s="579"/>
      <c r="AH32" s="354"/>
      <c r="AI32" s="489"/>
      <c r="AJ32" s="553"/>
      <c r="AK32" s="553"/>
      <c r="AL32" s="495"/>
      <c r="AM32" s="21" t="s">
        <v>116</v>
      </c>
      <c r="AN32" s="680" t="s">
        <v>709</v>
      </c>
      <c r="AO32" s="601">
        <v>11042525</v>
      </c>
      <c r="AP32" s="572"/>
      <c r="AQ32" s="572"/>
      <c r="AR32" s="572"/>
      <c r="AS32" s="538">
        <f>IF(Table159[[#This Row],[PCTS Approved]]="N",0,Table159[[#This Row],[Investment Amount (1'#'#'#'#'#)]]+Table159[[#This Row],[Retirement Amount (3'#'#'#'#'#)]])</f>
        <v>0</v>
      </c>
      <c r="AT32" s="538">
        <f>IF(Table159[[#This Row],[Approved Construction Cost]]=0,0,Table159[[#This Row],[Approved Construction Cost]]-Table159[[#This Row],[Construction Cost to Bill From]])</f>
        <v>0</v>
      </c>
      <c r="AU32" s="538">
        <f>IFERROR(Table159[[#This Row],[Difference in Construction Cost]]*Table159[[#This Row],[Rate]],Table159[[#This Row],[Difference in Construction Cost]]*0.085)</f>
        <v>0</v>
      </c>
      <c r="AV32" s="572"/>
      <c r="AW32" s="639"/>
      <c r="AX32" s="538"/>
      <c r="AY32" s="636" t="s">
        <v>709</v>
      </c>
      <c r="AZ32" s="443">
        <v>171</v>
      </c>
      <c r="BA32" s="652" t="s">
        <v>1287</v>
      </c>
      <c r="BB32" s="644" t="s">
        <v>1288</v>
      </c>
      <c r="BC32" s="478" t="s">
        <v>709</v>
      </c>
      <c r="BD32" s="544" t="s">
        <v>709</v>
      </c>
      <c r="BE32" s="544" t="s">
        <v>709</v>
      </c>
      <c r="BF32" s="544" t="s">
        <v>1289</v>
      </c>
      <c r="BG32" s="512" t="s">
        <v>709</v>
      </c>
      <c r="BH32" s="741"/>
      <c r="BI32" s="535" t="s">
        <v>116</v>
      </c>
      <c r="BJ32" s="547" t="s">
        <v>116</v>
      </c>
      <c r="BK32" s="547" t="s">
        <v>709</v>
      </c>
      <c r="BL32" s="547" t="s">
        <v>116</v>
      </c>
      <c r="BM32" s="547" t="s">
        <v>709</v>
      </c>
      <c r="BN32" s="547" t="s">
        <v>709</v>
      </c>
      <c r="BO32" s="547" t="s">
        <v>709</v>
      </c>
      <c r="BP32" s="547" t="s">
        <v>709</v>
      </c>
      <c r="BQ32" s="547" t="s">
        <v>709</v>
      </c>
      <c r="BR32" s="547" t="s">
        <v>709</v>
      </c>
      <c r="BS32" s="547">
        <v>312</v>
      </c>
      <c r="BT32" s="547" t="s">
        <v>745</v>
      </c>
      <c r="BU32" s="547">
        <v>2</v>
      </c>
      <c r="BV32" s="547" t="s">
        <v>745</v>
      </c>
      <c r="BW32" s="547" t="s">
        <v>709</v>
      </c>
      <c r="BX32" s="547">
        <v>1</v>
      </c>
      <c r="BY32" s="547" t="s">
        <v>745</v>
      </c>
      <c r="BZ32" s="483" t="s">
        <v>769</v>
      </c>
    </row>
    <row r="33" spans="1:78" ht="15" hidden="1" customHeight="1" x14ac:dyDescent="0.25">
      <c r="A33" s="8" t="s">
        <v>781</v>
      </c>
      <c r="B33" s="8" t="s">
        <v>730</v>
      </c>
      <c r="C33" s="8" t="s">
        <v>1290</v>
      </c>
      <c r="D33" s="8" t="s">
        <v>1291</v>
      </c>
      <c r="E33" s="8" t="s">
        <v>1292</v>
      </c>
      <c r="F33" s="8" t="s">
        <v>752</v>
      </c>
      <c r="G33" s="8" t="s">
        <v>23</v>
      </c>
      <c r="H33" s="8" t="s">
        <v>59</v>
      </c>
      <c r="I33" s="642">
        <v>44603</v>
      </c>
      <c r="J33" s="451">
        <v>44736</v>
      </c>
      <c r="K33" s="18">
        <v>44733</v>
      </c>
      <c r="L33" s="16">
        <f>IF(ISTEXT(Table159[[#This Row],[Engineering Approved Design Date]]),Table159[[#This Row],[Date Completed]]-Table159[[#This Row],[Date Assigned to Designer]],Table159[[#This Row],[Engineering Approved Design Date]]-Table159[[#This Row],[Date Completed]])</f>
        <v>3</v>
      </c>
      <c r="M33" s="642"/>
      <c r="N33" s="642" t="s">
        <v>120</v>
      </c>
      <c r="O33" s="534">
        <f>Table159[[#This Row],[Date Completed]]</f>
        <v>44733</v>
      </c>
      <c r="P33" s="68" t="s">
        <v>739</v>
      </c>
      <c r="Q33" s="71">
        <f>(Table159[[#This Row],[Construction Cost to Bill From]]*0.085)+(5250*1)</f>
        <v>25371.576550000002</v>
      </c>
      <c r="R33" s="75" t="s">
        <v>794</v>
      </c>
      <c r="S33" s="24" t="s">
        <v>709</v>
      </c>
      <c r="T33" s="538" t="s">
        <v>709</v>
      </c>
      <c r="U33" s="87" t="s">
        <v>709</v>
      </c>
      <c r="V33" s="440">
        <v>279</v>
      </c>
      <c r="W33" s="440"/>
      <c r="X33" s="29">
        <v>183205.61</v>
      </c>
      <c r="Y33" s="592"/>
      <c r="Z33" s="551">
        <v>53518.82</v>
      </c>
      <c r="AA33" s="87">
        <f>Table159[[#This Row],[PCTS Investment Amount]]+Table159[[#This Row],[PCTS Retirement Amount]]</f>
        <v>236724.43</v>
      </c>
      <c r="AB33" s="207"/>
      <c r="AC33" s="108" t="s">
        <v>1056</v>
      </c>
      <c r="AD33" s="108"/>
      <c r="AE33" s="349"/>
      <c r="AF33" s="579"/>
      <c r="AG33" s="579"/>
      <c r="AH33" s="354"/>
      <c r="AI33" s="489"/>
      <c r="AJ33" s="553"/>
      <c r="AK33" s="553"/>
      <c r="AL33" s="495"/>
      <c r="AM33" s="21" t="s">
        <v>116</v>
      </c>
      <c r="AN33" s="680" t="s">
        <v>709</v>
      </c>
      <c r="AO33" s="601">
        <v>11042120</v>
      </c>
      <c r="AP33" s="572"/>
      <c r="AQ33" s="572"/>
      <c r="AR33" s="572"/>
      <c r="AS33" s="538">
        <f>IF(Table159[[#This Row],[PCTS Approved]]="N",0,Table159[[#This Row],[Investment Amount (1'#'#'#'#'#)]]+Table159[[#This Row],[Retirement Amount (3'#'#'#'#'#)]])</f>
        <v>0</v>
      </c>
      <c r="AT33" s="538">
        <f>IF(Table159[[#This Row],[Approved Construction Cost]]=0,0,Table159[[#This Row],[Approved Construction Cost]]-Table159[[#This Row],[Construction Cost to Bill From]])</f>
        <v>0</v>
      </c>
      <c r="AU33" s="538">
        <f>IFERROR(Table159[[#This Row],[Difference in Construction Cost]]*Table159[[#This Row],[Rate]],Table159[[#This Row],[Difference in Construction Cost]]*0.085)</f>
        <v>0</v>
      </c>
      <c r="AV33" s="572"/>
      <c r="AW33" s="639"/>
      <c r="AX33" s="538"/>
      <c r="AY33" s="636" t="s">
        <v>709</v>
      </c>
      <c r="AZ33" s="443">
        <v>172</v>
      </c>
      <c r="BA33" s="652" t="s">
        <v>1293</v>
      </c>
      <c r="BB33" s="644" t="s">
        <v>1294</v>
      </c>
      <c r="BC33" s="478" t="s">
        <v>709</v>
      </c>
      <c r="BD33" s="544" t="s">
        <v>709</v>
      </c>
      <c r="BE33" s="544" t="s">
        <v>1292</v>
      </c>
      <c r="BF33" s="544" t="s">
        <v>709</v>
      </c>
      <c r="BG33" s="512" t="s">
        <v>709</v>
      </c>
      <c r="BH33" s="741"/>
      <c r="BI33" s="535" t="s">
        <v>709</v>
      </c>
      <c r="BJ33" s="547" t="s">
        <v>116</v>
      </c>
      <c r="BK33" s="547" t="s">
        <v>709</v>
      </c>
      <c r="BL33" s="547" t="s">
        <v>116</v>
      </c>
      <c r="BM33" s="547" t="s">
        <v>709</v>
      </c>
      <c r="BN33" s="547" t="s">
        <v>709</v>
      </c>
      <c r="BO33" s="547" t="s">
        <v>709</v>
      </c>
      <c r="BP33" s="547" t="s">
        <v>709</v>
      </c>
      <c r="BQ33" s="547" t="s">
        <v>709</v>
      </c>
      <c r="BR33" s="547" t="s">
        <v>709</v>
      </c>
      <c r="BS33" s="547">
        <v>279</v>
      </c>
      <c r="BT33" s="547" t="s">
        <v>745</v>
      </c>
      <c r="BU33" s="547">
        <v>1</v>
      </c>
      <c r="BV33" s="547" t="s">
        <v>745</v>
      </c>
      <c r="BW33" s="547" t="s">
        <v>709</v>
      </c>
      <c r="BX33" s="547">
        <v>1</v>
      </c>
      <c r="BY33" s="547" t="s">
        <v>745</v>
      </c>
      <c r="BZ33" s="483"/>
    </row>
    <row r="34" spans="1:78" ht="15" hidden="1" customHeight="1" x14ac:dyDescent="0.25">
      <c r="A34" s="8" t="s">
        <v>781</v>
      </c>
      <c r="B34" s="8" t="s">
        <v>730</v>
      </c>
      <c r="C34" s="8" t="s">
        <v>308</v>
      </c>
      <c r="D34" s="8" t="s">
        <v>1295</v>
      </c>
      <c r="E34" s="8" t="s">
        <v>309</v>
      </c>
      <c r="F34" s="8" t="s">
        <v>752</v>
      </c>
      <c r="G34" s="8" t="s">
        <v>24</v>
      </c>
      <c r="H34" s="8" t="s">
        <v>59</v>
      </c>
      <c r="I34" s="642">
        <v>44607</v>
      </c>
      <c r="J34" s="18">
        <v>44762</v>
      </c>
      <c r="K34" s="18">
        <v>44740</v>
      </c>
      <c r="L34" s="16">
        <f>IF(ISTEXT(Table159[[#This Row],[Engineering Approved Design Date]]),Table159[[#This Row],[Date Completed]]-Table159[[#This Row],[Date Assigned to Designer]],Table159[[#This Row],[Engineering Approved Design Date]]-Table159[[#This Row],[Date Completed]])</f>
        <v>22</v>
      </c>
      <c r="M34" s="642"/>
      <c r="N34" s="642" t="s">
        <v>120</v>
      </c>
      <c r="O34" s="534">
        <v>44743</v>
      </c>
      <c r="P34" s="68" t="s">
        <v>739</v>
      </c>
      <c r="Q34" s="106">
        <f>(Table159[[#This Row],[Construction Cost to Bill From]]*0.085)+(5250*1)</f>
        <v>28111.990999999998</v>
      </c>
      <c r="R34" s="75" t="s">
        <v>794</v>
      </c>
      <c r="U34" s="87"/>
      <c r="V34" s="437">
        <v>528</v>
      </c>
      <c r="X34" s="24">
        <v>176710.62</v>
      </c>
      <c r="Y34" s="592"/>
      <c r="Z34" s="538">
        <v>92253.98</v>
      </c>
      <c r="AA34" s="87">
        <f>Table159[[#This Row],[PCTS Investment Amount]]+Table159[[#This Row],[PCTS Retirement Amount]]</f>
        <v>268964.59999999998</v>
      </c>
      <c r="AB34" s="207"/>
      <c r="AC34" s="108" t="s">
        <v>1296</v>
      </c>
      <c r="AD34" s="108" t="s">
        <v>116</v>
      </c>
      <c r="AE34" s="349"/>
      <c r="AF34" s="579"/>
      <c r="AG34" s="579"/>
      <c r="AH34" s="354"/>
      <c r="AI34" s="489"/>
      <c r="AJ34" s="553"/>
      <c r="AK34" s="553"/>
      <c r="AL34" s="495"/>
      <c r="AM34" s="21" t="s">
        <v>116</v>
      </c>
      <c r="AN34" s="680" t="s">
        <v>709</v>
      </c>
      <c r="AO34" s="601">
        <v>11042074</v>
      </c>
      <c r="AP34" s="572"/>
      <c r="AQ34" s="572"/>
      <c r="AR34" s="572"/>
      <c r="AS34" s="538">
        <f>IF(Table159[[#This Row],[PCTS Approved]]="N",0,Table159[[#This Row],[Investment Amount (1'#'#'#'#'#)]]+Table159[[#This Row],[Retirement Amount (3'#'#'#'#'#)]])</f>
        <v>0</v>
      </c>
      <c r="AT34" s="538">
        <f>IF(Table159[[#This Row],[Approved Construction Cost]]=0,0,Table159[[#This Row],[Approved Construction Cost]]-Table159[[#This Row],[Construction Cost to Bill From]])</f>
        <v>0</v>
      </c>
      <c r="AU34" s="538">
        <f>IFERROR(Table159[[#This Row],[Difference in Construction Cost]]*Table159[[#This Row],[Rate]],Table159[[#This Row],[Difference in Construction Cost]]*0.085)</f>
        <v>0</v>
      </c>
      <c r="AV34" s="572"/>
      <c r="AW34" s="639"/>
      <c r="AX34" s="538"/>
      <c r="AY34" s="636" t="s">
        <v>709</v>
      </c>
      <c r="AZ34" s="443">
        <v>173</v>
      </c>
      <c r="BA34" s="652" t="s">
        <v>1297</v>
      </c>
      <c r="BB34" s="644" t="s">
        <v>1298</v>
      </c>
      <c r="BC34" s="478" t="s">
        <v>116</v>
      </c>
      <c r="BD34" s="544" t="s">
        <v>837</v>
      </c>
      <c r="BE34" s="544" t="s">
        <v>709</v>
      </c>
      <c r="BF34" s="544" t="s">
        <v>709</v>
      </c>
      <c r="BG34" s="512" t="s">
        <v>709</v>
      </c>
      <c r="BH34" s="741"/>
      <c r="BI34" s="535" t="s">
        <v>709</v>
      </c>
      <c r="BJ34" s="547" t="s">
        <v>709</v>
      </c>
      <c r="BK34" s="547" t="s">
        <v>116</v>
      </c>
      <c r="BL34" s="547" t="s">
        <v>116</v>
      </c>
      <c r="BM34" s="547" t="s">
        <v>709</v>
      </c>
      <c r="BN34" s="547" t="s">
        <v>709</v>
      </c>
      <c r="BO34" s="547" t="s">
        <v>709</v>
      </c>
      <c r="BP34" s="547" t="s">
        <v>709</v>
      </c>
      <c r="BQ34" s="547" t="s">
        <v>709</v>
      </c>
      <c r="BR34" s="547" t="s">
        <v>709</v>
      </c>
      <c r="BS34" s="547">
        <v>528</v>
      </c>
      <c r="BT34" s="547" t="s">
        <v>745</v>
      </c>
      <c r="BU34" s="547">
        <v>1</v>
      </c>
      <c r="BV34" s="547" t="s">
        <v>745</v>
      </c>
      <c r="BW34" s="547" t="s">
        <v>709</v>
      </c>
      <c r="BX34" s="547">
        <v>1</v>
      </c>
      <c r="BY34" s="547" t="s">
        <v>745</v>
      </c>
      <c r="BZ34" s="483"/>
    </row>
    <row r="35" spans="1:78" ht="15" hidden="1" customHeight="1" x14ac:dyDescent="0.25">
      <c r="A35" s="8" t="s">
        <v>781</v>
      </c>
      <c r="B35" s="8" t="s">
        <v>730</v>
      </c>
      <c r="C35" s="8" t="s">
        <v>1299</v>
      </c>
      <c r="D35" s="8" t="s">
        <v>1300</v>
      </c>
      <c r="E35" s="8" t="s">
        <v>1301</v>
      </c>
      <c r="F35" s="8" t="s">
        <v>752</v>
      </c>
      <c r="G35" s="8" t="s">
        <v>32</v>
      </c>
      <c r="H35" s="8" t="s">
        <v>59</v>
      </c>
      <c r="I35" s="642">
        <v>44692</v>
      </c>
      <c r="J35" s="18">
        <v>44750</v>
      </c>
      <c r="K35" s="97">
        <v>44749</v>
      </c>
      <c r="L35" s="16">
        <f>IF(ISTEXT(Table159[[#This Row],[Engineering Approved Design Date]]),Table159[[#This Row],[Date Completed]]-Table159[[#This Row],[Date Assigned to Designer]],Table159[[#This Row],[Engineering Approved Design Date]]-Table159[[#This Row],[Date Completed]])</f>
        <v>1</v>
      </c>
      <c r="M35" s="642"/>
      <c r="N35" s="642" t="s">
        <v>120</v>
      </c>
      <c r="O35" s="534">
        <f>Table159[[#This Row],[Date Completed]]</f>
        <v>44749</v>
      </c>
      <c r="P35" s="68" t="s">
        <v>739</v>
      </c>
      <c r="Q35" s="106">
        <f>(Table159[[#This Row],[Construction Cost to Bill From]]*0.085)+(5250*1)</f>
        <v>17915.941800000001</v>
      </c>
      <c r="R35" s="75" t="s">
        <v>794</v>
      </c>
      <c r="U35" s="87"/>
      <c r="V35" s="437">
        <v>41</v>
      </c>
      <c r="W35" s="437">
        <v>1</v>
      </c>
      <c r="X35" s="24">
        <v>122879.35</v>
      </c>
      <c r="Y35" s="592"/>
      <c r="Z35" s="538">
        <v>26131.73</v>
      </c>
      <c r="AA35" s="87">
        <f>Table159[[#This Row],[PCTS Investment Amount]]+Table159[[#This Row],[PCTS Retirement Amount]]</f>
        <v>149011.08000000002</v>
      </c>
      <c r="AB35" s="207" t="s">
        <v>29</v>
      </c>
      <c r="AC35" s="108" t="s">
        <v>116</v>
      </c>
      <c r="AD35" s="108" t="s">
        <v>116</v>
      </c>
      <c r="AE35" s="349"/>
      <c r="AF35" s="579"/>
      <c r="AG35" s="579"/>
      <c r="AH35" s="354"/>
      <c r="AI35" s="489"/>
      <c r="AJ35" s="553"/>
      <c r="AK35" s="553"/>
      <c r="AL35" s="495"/>
      <c r="AM35" s="21" t="s">
        <v>116</v>
      </c>
      <c r="AN35" s="680" t="s">
        <v>709</v>
      </c>
      <c r="AO35" s="601" t="s">
        <v>115</v>
      </c>
      <c r="AP35" s="572"/>
      <c r="AQ35" s="572"/>
      <c r="AR35" s="572"/>
      <c r="AS35" s="538">
        <f>IF(Table159[[#This Row],[PCTS Approved]]="N",0,Table159[[#This Row],[Investment Amount (1'#'#'#'#'#)]]+Table159[[#This Row],[Retirement Amount (3'#'#'#'#'#)]])</f>
        <v>0</v>
      </c>
      <c r="AT35" s="538">
        <f>IF(Table159[[#This Row],[Approved Construction Cost]]=0,0,Table159[[#This Row],[Approved Construction Cost]]-Table159[[#This Row],[Construction Cost to Bill From]])</f>
        <v>0</v>
      </c>
      <c r="AU35" s="538">
        <f>IFERROR(Table159[[#This Row],[Difference in Construction Cost]]*Table159[[#This Row],[Rate]],Table159[[#This Row],[Difference in Construction Cost]]*0.085)</f>
        <v>0</v>
      </c>
      <c r="AV35" s="572"/>
      <c r="AW35" s="639"/>
      <c r="AX35" s="538"/>
      <c r="AY35" s="636" t="s">
        <v>709</v>
      </c>
      <c r="AZ35" s="443">
        <v>174</v>
      </c>
      <c r="BA35" s="652" t="s">
        <v>1302</v>
      </c>
      <c r="BB35" s="644" t="s">
        <v>1303</v>
      </c>
      <c r="BC35" s="478" t="s">
        <v>709</v>
      </c>
      <c r="BD35" s="544" t="s">
        <v>709</v>
      </c>
      <c r="BE35" s="544" t="s">
        <v>709</v>
      </c>
      <c r="BF35" s="544" t="s">
        <v>709</v>
      </c>
      <c r="BG35" s="512" t="s">
        <v>709</v>
      </c>
      <c r="BH35" s="741"/>
      <c r="BI35" s="535" t="s">
        <v>709</v>
      </c>
      <c r="BJ35" s="547" t="s">
        <v>709</v>
      </c>
      <c r="BK35" s="547" t="s">
        <v>116</v>
      </c>
      <c r="BL35" s="547" t="s">
        <v>709</v>
      </c>
      <c r="BM35" s="547" t="s">
        <v>709</v>
      </c>
      <c r="BN35" s="547" t="s">
        <v>709</v>
      </c>
      <c r="BO35" s="547" t="s">
        <v>709</v>
      </c>
      <c r="BP35" s="547" t="s">
        <v>709</v>
      </c>
      <c r="BQ35" s="547" t="s">
        <v>709</v>
      </c>
      <c r="BR35" s="547" t="s">
        <v>709</v>
      </c>
      <c r="BS35" s="547">
        <v>41</v>
      </c>
      <c r="BT35" s="547" t="s">
        <v>745</v>
      </c>
      <c r="BU35" s="547" t="s">
        <v>709</v>
      </c>
      <c r="BV35" s="547" t="s">
        <v>745</v>
      </c>
      <c r="BW35" s="547" t="s">
        <v>709</v>
      </c>
      <c r="BX35" s="547">
        <v>1</v>
      </c>
      <c r="BY35" s="547" t="s">
        <v>745</v>
      </c>
      <c r="BZ35" s="483"/>
    </row>
    <row r="36" spans="1:78" ht="15" hidden="1" customHeight="1" x14ac:dyDescent="0.25">
      <c r="A36" s="8" t="s">
        <v>781</v>
      </c>
      <c r="B36" s="8" t="s">
        <v>4</v>
      </c>
      <c r="C36" s="8" t="s">
        <v>1304</v>
      </c>
      <c r="D36" s="8" t="s">
        <v>1305</v>
      </c>
      <c r="E36" s="8" t="s">
        <v>1306</v>
      </c>
      <c r="F36" s="8" t="s">
        <v>738</v>
      </c>
      <c r="G36" s="8" t="s">
        <v>27</v>
      </c>
      <c r="H36" s="8" t="s">
        <v>59</v>
      </c>
      <c r="I36" s="642">
        <v>44684</v>
      </c>
      <c r="J36" s="97">
        <v>44757</v>
      </c>
      <c r="K36" s="97">
        <v>44753</v>
      </c>
      <c r="L36" s="16">
        <f>IF(ISTEXT(Table159[[#This Row],[Engineering Approved Design Date]]),Table159[[#This Row],[Date Completed]]-Table159[[#This Row],[Date Assigned to Designer]],Table159[[#This Row],[Engineering Approved Design Date]]-Table159[[#This Row],[Date Completed]])</f>
        <v>4</v>
      </c>
      <c r="M36" s="642"/>
      <c r="N36" s="642" t="s">
        <v>120</v>
      </c>
      <c r="O36" s="534">
        <f>Table159[[#This Row],[Date Completed]]</f>
        <v>44753</v>
      </c>
      <c r="P36" s="68" t="s">
        <v>739</v>
      </c>
      <c r="Q36" s="106">
        <f>R36*AA36</f>
        <v>17769.143</v>
      </c>
      <c r="R36" s="77">
        <v>0.1</v>
      </c>
      <c r="S36" s="24" t="s">
        <v>709</v>
      </c>
      <c r="T36" s="538" t="s">
        <v>709</v>
      </c>
      <c r="U36" s="87" t="s">
        <v>709</v>
      </c>
      <c r="V36" s="440">
        <v>576</v>
      </c>
      <c r="W36" s="440"/>
      <c r="X36" s="29">
        <v>132282.79999999999</v>
      </c>
      <c r="Y36" s="592"/>
      <c r="Z36" s="551">
        <v>45408.63</v>
      </c>
      <c r="AA36" s="87">
        <f>Table159[[#This Row],[PCTS Investment Amount]]+Table159[[#This Row],[PCTS Retirement Amount]]</f>
        <v>177691.43</v>
      </c>
      <c r="AB36" s="207"/>
      <c r="AC36" s="108" t="s">
        <v>709</v>
      </c>
      <c r="AD36" s="108"/>
      <c r="AE36" s="349"/>
      <c r="AF36" s="579"/>
      <c r="AG36" s="579"/>
      <c r="AH36" s="354"/>
      <c r="AI36" s="489"/>
      <c r="AJ36" s="553"/>
      <c r="AK36" s="553"/>
      <c r="AL36" s="495"/>
      <c r="AM36" s="21" t="s">
        <v>116</v>
      </c>
      <c r="AN36" s="680" t="s">
        <v>709</v>
      </c>
      <c r="AO36" s="601"/>
      <c r="AP36" s="572"/>
      <c r="AQ36" s="572"/>
      <c r="AR36" s="572"/>
      <c r="AS36" s="538">
        <f>IF(Table159[[#This Row],[PCTS Approved]]="N",0,Table159[[#This Row],[Investment Amount (1'#'#'#'#'#)]]+Table159[[#This Row],[Retirement Amount (3'#'#'#'#'#)]])</f>
        <v>0</v>
      </c>
      <c r="AT36" s="538">
        <f>IF(Table159[[#This Row],[Approved Construction Cost]]=0,0,Table159[[#This Row],[Approved Construction Cost]]-Table159[[#This Row],[Construction Cost to Bill From]])</f>
        <v>0</v>
      </c>
      <c r="AU36" s="538">
        <f>IFERROR(Table159[[#This Row],[Difference in Construction Cost]]*Table159[[#This Row],[Rate]],Table159[[#This Row],[Difference in Construction Cost]]*0.085)</f>
        <v>0</v>
      </c>
      <c r="AV36" s="572"/>
      <c r="AW36" s="639"/>
      <c r="AX36" s="538"/>
      <c r="AY36" s="636" t="s">
        <v>709</v>
      </c>
      <c r="AZ36" s="443">
        <v>68</v>
      </c>
      <c r="BA36" s="652" t="s">
        <v>1307</v>
      </c>
      <c r="BB36" s="644" t="s">
        <v>1308</v>
      </c>
      <c r="BC36" s="478" t="s">
        <v>709</v>
      </c>
      <c r="BD36" s="544" t="s">
        <v>709</v>
      </c>
      <c r="BE36" s="544" t="s">
        <v>1309</v>
      </c>
      <c r="BF36" s="544" t="s">
        <v>709</v>
      </c>
      <c r="BG36" s="512" t="s">
        <v>709</v>
      </c>
      <c r="BH36" s="741"/>
      <c r="BI36" s="535" t="s">
        <v>709</v>
      </c>
      <c r="BJ36" s="547" t="s">
        <v>709</v>
      </c>
      <c r="BK36" s="547" t="s">
        <v>709</v>
      </c>
      <c r="BL36" s="547" t="s">
        <v>116</v>
      </c>
      <c r="BM36" s="547" t="s">
        <v>709</v>
      </c>
      <c r="BN36" s="547" t="s">
        <v>709</v>
      </c>
      <c r="BO36" s="547" t="s">
        <v>709</v>
      </c>
      <c r="BP36" s="547" t="s">
        <v>709</v>
      </c>
      <c r="BQ36" s="547" t="s">
        <v>709</v>
      </c>
      <c r="BR36" s="547">
        <v>576</v>
      </c>
      <c r="BS36" s="547" t="s">
        <v>709</v>
      </c>
      <c r="BT36" s="547" t="s">
        <v>745</v>
      </c>
      <c r="BU36" s="547" t="s">
        <v>709</v>
      </c>
      <c r="BV36" s="547" t="s">
        <v>745</v>
      </c>
      <c r="BW36" s="547" t="s">
        <v>709</v>
      </c>
      <c r="BX36" s="547" t="s">
        <v>745</v>
      </c>
      <c r="BY36" s="547" t="s">
        <v>745</v>
      </c>
      <c r="BZ36" s="483"/>
    </row>
    <row r="37" spans="1:78" ht="15" hidden="1" customHeight="1" x14ac:dyDescent="0.25">
      <c r="A37" s="8" t="s">
        <v>781</v>
      </c>
      <c r="B37" s="8" t="s">
        <v>4</v>
      </c>
      <c r="C37" s="8" t="s">
        <v>1310</v>
      </c>
      <c r="D37" s="8" t="s">
        <v>1311</v>
      </c>
      <c r="E37" s="8" t="s">
        <v>183</v>
      </c>
      <c r="F37" s="8" t="s">
        <v>738</v>
      </c>
      <c r="G37" s="8" t="s">
        <v>23</v>
      </c>
      <c r="H37" s="8" t="s">
        <v>59</v>
      </c>
      <c r="I37" s="642">
        <v>44693</v>
      </c>
      <c r="J37" s="97">
        <v>44771</v>
      </c>
      <c r="K37" s="97">
        <v>44763</v>
      </c>
      <c r="L37" s="16">
        <f>IF(ISTEXT(Table159[[#This Row],[Engineering Approved Design Date]]),Table159[[#This Row],[Date Completed]]-Table159[[#This Row],[Date Assigned to Designer]],Table159[[#This Row],[Engineering Approved Design Date]]-Table159[[#This Row],[Date Completed]])</f>
        <v>8</v>
      </c>
      <c r="M37" s="642"/>
      <c r="N37" s="642" t="s">
        <v>120</v>
      </c>
      <c r="O37" s="534">
        <f>Table159[[#This Row],[Date Completed]]</f>
        <v>44763</v>
      </c>
      <c r="P37" s="68" t="s">
        <v>739</v>
      </c>
      <c r="Q37" s="106">
        <f>R37*AA37</f>
        <v>21583.229000000003</v>
      </c>
      <c r="R37" s="77">
        <v>0.1</v>
      </c>
      <c r="S37" s="24" t="s">
        <v>709</v>
      </c>
      <c r="T37" s="538" t="s">
        <v>709</v>
      </c>
      <c r="U37" s="87" t="s">
        <v>709</v>
      </c>
      <c r="V37" s="440">
        <v>738</v>
      </c>
      <c r="W37" s="440"/>
      <c r="X37" s="29">
        <v>199493.89</v>
      </c>
      <c r="Y37" s="592"/>
      <c r="Z37" s="551">
        <v>16338.4</v>
      </c>
      <c r="AA37" s="87">
        <f>Table159[[#This Row],[PCTS Investment Amount]]+Table159[[#This Row],[PCTS Retirement Amount]]</f>
        <v>215832.29</v>
      </c>
      <c r="AB37" s="207"/>
      <c r="AC37" s="108" t="s">
        <v>709</v>
      </c>
      <c r="AD37" s="108"/>
      <c r="AE37" s="349"/>
      <c r="AF37" s="579"/>
      <c r="AG37" s="579"/>
      <c r="AH37" s="354"/>
      <c r="AI37" s="489"/>
      <c r="AJ37" s="553"/>
      <c r="AK37" s="553"/>
      <c r="AL37" s="495"/>
      <c r="AM37" s="21" t="s">
        <v>116</v>
      </c>
      <c r="AN37" s="680" t="s">
        <v>709</v>
      </c>
      <c r="AO37" s="601" t="s">
        <v>115</v>
      </c>
      <c r="AP37" s="572"/>
      <c r="AQ37" s="572"/>
      <c r="AR37" s="572"/>
      <c r="AS37" s="538">
        <f>IF(Table159[[#This Row],[PCTS Approved]]="N",0,Table159[[#This Row],[Investment Amount (1'#'#'#'#'#)]]+Table159[[#This Row],[Retirement Amount (3'#'#'#'#'#)]])</f>
        <v>0</v>
      </c>
      <c r="AT37" s="538">
        <f>IF(Table159[[#This Row],[Approved Construction Cost]]=0,0,Table159[[#This Row],[Approved Construction Cost]]-Table159[[#This Row],[Construction Cost to Bill From]])</f>
        <v>0</v>
      </c>
      <c r="AU37" s="538">
        <f>IFERROR(Table159[[#This Row],[Difference in Construction Cost]]*Table159[[#This Row],[Rate]],Table159[[#This Row],[Difference in Construction Cost]]*0.085)</f>
        <v>0</v>
      </c>
      <c r="AV37" s="572"/>
      <c r="AW37" s="639"/>
      <c r="AX37" s="538"/>
      <c r="AY37" s="636" t="s">
        <v>709</v>
      </c>
      <c r="AZ37" s="443">
        <v>69</v>
      </c>
      <c r="BA37" s="652" t="s">
        <v>1312</v>
      </c>
      <c r="BB37" s="644" t="s">
        <v>1313</v>
      </c>
      <c r="BC37" s="478" t="s">
        <v>709</v>
      </c>
      <c r="BD37" s="544" t="s">
        <v>709</v>
      </c>
      <c r="BE37" s="544" t="s">
        <v>1314</v>
      </c>
      <c r="BF37" s="544" t="s">
        <v>709</v>
      </c>
      <c r="BG37" s="512" t="s">
        <v>709</v>
      </c>
      <c r="BH37" s="741"/>
      <c r="BI37" s="535" t="s">
        <v>709</v>
      </c>
      <c r="BJ37" s="547" t="s">
        <v>709</v>
      </c>
      <c r="BK37" s="547" t="s">
        <v>709</v>
      </c>
      <c r="BL37" s="547" t="s">
        <v>116</v>
      </c>
      <c r="BM37" s="547" t="s">
        <v>709</v>
      </c>
      <c r="BN37" s="547" t="s">
        <v>709</v>
      </c>
      <c r="BO37" s="547" t="s">
        <v>709</v>
      </c>
      <c r="BP37" s="547" t="s">
        <v>709</v>
      </c>
      <c r="BQ37" s="547" t="s">
        <v>709</v>
      </c>
      <c r="BR37" s="547" t="s">
        <v>709</v>
      </c>
      <c r="BS37" s="547">
        <v>738</v>
      </c>
      <c r="BT37" s="547" t="s">
        <v>745</v>
      </c>
      <c r="BU37" s="547" t="s">
        <v>709</v>
      </c>
      <c r="BV37" s="547" t="s">
        <v>745</v>
      </c>
      <c r="BW37" s="547" t="s">
        <v>709</v>
      </c>
      <c r="BX37" s="547" t="s">
        <v>709</v>
      </c>
      <c r="BY37" s="547" t="s">
        <v>745</v>
      </c>
      <c r="BZ37" s="483"/>
    </row>
    <row r="38" spans="1:78" ht="15" hidden="1" customHeight="1" x14ac:dyDescent="0.25">
      <c r="A38" s="8" t="s">
        <v>781</v>
      </c>
      <c r="B38" s="8" t="s">
        <v>1108</v>
      </c>
      <c r="C38" s="8" t="s">
        <v>1315</v>
      </c>
      <c r="D38" s="8" t="s">
        <v>1316</v>
      </c>
      <c r="E38" s="8" t="s">
        <v>818</v>
      </c>
      <c r="F38" s="8" t="s">
        <v>752</v>
      </c>
      <c r="G38" s="8" t="s">
        <v>34</v>
      </c>
      <c r="H38" s="8" t="s">
        <v>59</v>
      </c>
      <c r="I38" s="642">
        <v>44480</v>
      </c>
      <c r="J38" s="18">
        <v>44764</v>
      </c>
      <c r="K38" s="97">
        <v>44764</v>
      </c>
      <c r="L38" s="16">
        <f>IF(ISTEXT(Table159[[#This Row],[Engineering Approved Design Date]]),Table159[[#This Row],[Date Completed]]-Table159[[#This Row],[Date Assigned to Designer]],Table159[[#This Row],[Engineering Approved Design Date]]-Table159[[#This Row],[Date Completed]])</f>
        <v>0</v>
      </c>
      <c r="M38" s="642"/>
      <c r="N38" s="642" t="s">
        <v>120</v>
      </c>
      <c r="O38" s="534">
        <f>Table159[[#This Row],[Date Completed]]</f>
        <v>44764</v>
      </c>
      <c r="P38" s="68" t="s">
        <v>120</v>
      </c>
      <c r="Q38" s="71">
        <f>(Table159[[#This Row],[Construction Cost to Bill From]]*0.085)+7750</f>
        <v>80510.001700000008</v>
      </c>
      <c r="R38" s="75" t="s">
        <v>1055</v>
      </c>
      <c r="S38" s="24" t="s">
        <v>709</v>
      </c>
      <c r="T38" s="538" t="s">
        <v>709</v>
      </c>
      <c r="U38" s="87" t="s">
        <v>709</v>
      </c>
      <c r="V38" s="437">
        <v>506</v>
      </c>
      <c r="X38" s="24">
        <v>712423.59</v>
      </c>
      <c r="Y38" s="592"/>
      <c r="Z38" s="538">
        <v>143576.43</v>
      </c>
      <c r="AA38" s="87">
        <f>Table159[[#This Row],[PCTS Investment Amount]]+Table159[[#This Row],[PCTS Retirement Amount]]</f>
        <v>856000.02</v>
      </c>
      <c r="AB38" s="207"/>
      <c r="AC38" s="108" t="s">
        <v>1177</v>
      </c>
      <c r="AD38" s="108" t="s">
        <v>29</v>
      </c>
      <c r="AE38" s="349"/>
      <c r="AF38" s="579"/>
      <c r="AG38" s="579"/>
      <c r="AH38" s="354"/>
      <c r="AI38" s="489"/>
      <c r="AJ38" s="553"/>
      <c r="AK38" s="553"/>
      <c r="AL38" s="495"/>
      <c r="AM38" s="21" t="s">
        <v>116</v>
      </c>
      <c r="AN38" s="680" t="s">
        <v>709</v>
      </c>
      <c r="AO38" s="601">
        <v>11038425</v>
      </c>
      <c r="AP38" s="572"/>
      <c r="AQ38" s="572"/>
      <c r="AR38" s="572"/>
      <c r="AS38" s="538">
        <f>IF(Table159[[#This Row],[PCTS Approved]]="N",0,Table159[[#This Row],[Investment Amount (1'#'#'#'#'#)]]+Table159[[#This Row],[Retirement Amount (3'#'#'#'#'#)]])</f>
        <v>0</v>
      </c>
      <c r="AT38" s="538">
        <f>IF(Table159[[#This Row],[Approved Construction Cost]]=0,0,Table159[[#This Row],[Approved Construction Cost]]-Table159[[#This Row],[Construction Cost to Bill From]])</f>
        <v>0</v>
      </c>
      <c r="AU38" s="538">
        <f>IFERROR(Table159[[#This Row],[Difference in Construction Cost]]*Table159[[#This Row],[Rate]],Table159[[#This Row],[Difference in Construction Cost]]*0.085)</f>
        <v>0</v>
      </c>
      <c r="AV38" s="572"/>
      <c r="AW38" s="639"/>
      <c r="AX38" s="538"/>
      <c r="AY38" s="636" t="s">
        <v>709</v>
      </c>
      <c r="AZ38" s="443">
        <v>185</v>
      </c>
      <c r="BA38" s="652" t="s">
        <v>1317</v>
      </c>
      <c r="BB38" s="644" t="s">
        <v>1318</v>
      </c>
      <c r="BC38" s="478" t="s">
        <v>709</v>
      </c>
      <c r="BD38" s="544" t="s">
        <v>709</v>
      </c>
      <c r="BE38" s="544" t="s">
        <v>822</v>
      </c>
      <c r="BF38" s="544" t="s">
        <v>709</v>
      </c>
      <c r="BG38" s="512" t="s">
        <v>709</v>
      </c>
      <c r="BH38" s="741"/>
      <c r="BI38" s="535" t="s">
        <v>709</v>
      </c>
      <c r="BJ38" s="547" t="s">
        <v>709</v>
      </c>
      <c r="BK38" s="547" t="s">
        <v>116</v>
      </c>
      <c r="BL38" s="547" t="s">
        <v>116</v>
      </c>
      <c r="BM38" s="547" t="s">
        <v>709</v>
      </c>
      <c r="BN38" s="547">
        <v>90</v>
      </c>
      <c r="BO38" s="547" t="s">
        <v>709</v>
      </c>
      <c r="BP38" s="547">
        <v>92</v>
      </c>
      <c r="BQ38" s="547">
        <v>69</v>
      </c>
      <c r="BR38" s="547" t="s">
        <v>709</v>
      </c>
      <c r="BS38" s="547" t="s">
        <v>709</v>
      </c>
      <c r="BT38" s="547">
        <v>1</v>
      </c>
      <c r="BU38" s="547" t="s">
        <v>709</v>
      </c>
      <c r="BV38" s="547" t="s">
        <v>745</v>
      </c>
      <c r="BW38" s="547">
        <v>2</v>
      </c>
      <c r="BX38" s="547">
        <v>1</v>
      </c>
      <c r="BY38" s="547" t="s">
        <v>745</v>
      </c>
      <c r="BZ38" s="483" t="s">
        <v>2</v>
      </c>
    </row>
    <row r="39" spans="1:78" ht="15" hidden="1" customHeight="1" x14ac:dyDescent="0.25">
      <c r="A39" s="8" t="s">
        <v>781</v>
      </c>
      <c r="B39" s="8" t="s">
        <v>759</v>
      </c>
      <c r="C39" s="8" t="s">
        <v>1319</v>
      </c>
      <c r="D39" s="8" t="s">
        <v>1320</v>
      </c>
      <c r="E39" s="8" t="s">
        <v>245</v>
      </c>
      <c r="F39" s="8" t="s">
        <v>752</v>
      </c>
      <c r="G39" s="8" t="s">
        <v>34</v>
      </c>
      <c r="H39" s="8" t="s">
        <v>59</v>
      </c>
      <c r="I39" s="642">
        <v>44580</v>
      </c>
      <c r="J39" s="18">
        <v>44764</v>
      </c>
      <c r="K39" s="97">
        <v>44764</v>
      </c>
      <c r="L39" s="16">
        <f>IF(ISTEXT(Table159[[#This Row],[Engineering Approved Design Date]]),Table159[[#This Row],[Date Completed]]-Table159[[#This Row],[Date Assigned to Designer]],Table159[[#This Row],[Engineering Approved Design Date]]-Table159[[#This Row],[Date Completed]])</f>
        <v>0</v>
      </c>
      <c r="M39" s="642"/>
      <c r="N39" s="642" t="s">
        <v>120</v>
      </c>
      <c r="O39" s="534">
        <v>44774</v>
      </c>
      <c r="P39" s="68" t="s">
        <v>120</v>
      </c>
      <c r="Q39" s="106">
        <f>(Table159[[#This Row],[Construction Cost to Bill From]]*0.085)+7750</f>
        <v>103950.74665</v>
      </c>
      <c r="R39" s="75" t="s">
        <v>1055</v>
      </c>
      <c r="S39" s="24" t="s">
        <v>709</v>
      </c>
      <c r="T39" s="538" t="s">
        <v>709</v>
      </c>
      <c r="U39" s="87" t="s">
        <v>709</v>
      </c>
      <c r="V39" s="437">
        <v>1358</v>
      </c>
      <c r="X39" s="94">
        <v>980455.18</v>
      </c>
      <c r="Y39" s="592"/>
      <c r="Z39" s="552">
        <v>151318.31</v>
      </c>
      <c r="AA39" s="87">
        <f>Table159[[#This Row],[PCTS Investment Amount]]+Table159[[#This Row],[PCTS Retirement Amount]]</f>
        <v>1131773.49</v>
      </c>
      <c r="AB39" s="207">
        <v>44768</v>
      </c>
      <c r="AC39" s="108" t="s">
        <v>1056</v>
      </c>
      <c r="AD39" s="108" t="s">
        <v>29</v>
      </c>
      <c r="AE39" s="349"/>
      <c r="AF39" s="579"/>
      <c r="AG39" s="579"/>
      <c r="AH39" s="354"/>
      <c r="AI39" s="489"/>
      <c r="AJ39" s="553"/>
      <c r="AK39" s="553"/>
      <c r="AL39" s="495"/>
      <c r="AM39" s="21" t="s">
        <v>116</v>
      </c>
      <c r="AN39" s="680" t="s">
        <v>709</v>
      </c>
      <c r="AO39" s="601">
        <v>11039840</v>
      </c>
      <c r="AP39" s="572"/>
      <c r="AQ39" s="572"/>
      <c r="AR39" s="572"/>
      <c r="AS39" s="538">
        <f>IF(Table159[[#This Row],[PCTS Approved]]="N",0,Table159[[#This Row],[Investment Amount (1'#'#'#'#'#)]]+Table159[[#This Row],[Retirement Amount (3'#'#'#'#'#)]])</f>
        <v>0</v>
      </c>
      <c r="AT39" s="538">
        <f>IF(Table159[[#This Row],[Approved Construction Cost]]=0,0,Table159[[#This Row],[Approved Construction Cost]]-Table159[[#This Row],[Construction Cost to Bill From]])</f>
        <v>0</v>
      </c>
      <c r="AU39" s="538">
        <f>IFERROR(Table159[[#This Row],[Difference in Construction Cost]]*Table159[[#This Row],[Rate]],Table159[[#This Row],[Difference in Construction Cost]]*0.085)</f>
        <v>0</v>
      </c>
      <c r="AV39" s="572"/>
      <c r="AW39" s="639"/>
      <c r="AX39" s="538"/>
      <c r="AY39" s="636" t="s">
        <v>709</v>
      </c>
      <c r="AZ39" s="443">
        <v>186</v>
      </c>
      <c r="BA39" s="652" t="s">
        <v>1321</v>
      </c>
      <c r="BB39" s="644" t="s">
        <v>1322</v>
      </c>
      <c r="BC39" s="478" t="s">
        <v>116</v>
      </c>
      <c r="BD39" s="544" t="s">
        <v>1140</v>
      </c>
      <c r="BE39" s="544" t="s">
        <v>709</v>
      </c>
      <c r="BF39" s="544" t="s">
        <v>1028</v>
      </c>
      <c r="BG39" s="512" t="s">
        <v>709</v>
      </c>
      <c r="BH39" s="741"/>
      <c r="BI39" s="535" t="s">
        <v>709</v>
      </c>
      <c r="BJ39" s="547" t="s">
        <v>709</v>
      </c>
      <c r="BK39" s="547" t="s">
        <v>116</v>
      </c>
      <c r="BL39" s="547" t="s">
        <v>709</v>
      </c>
      <c r="BM39" s="547" t="s">
        <v>709</v>
      </c>
      <c r="BN39" s="547" t="s">
        <v>709</v>
      </c>
      <c r="BO39" s="547" t="s">
        <v>709</v>
      </c>
      <c r="BP39" s="547">
        <v>604</v>
      </c>
      <c r="BQ39" s="547">
        <v>395</v>
      </c>
      <c r="BR39" s="547">
        <v>74</v>
      </c>
      <c r="BS39" s="547" t="s">
        <v>709</v>
      </c>
      <c r="BT39" s="547" t="s">
        <v>709</v>
      </c>
      <c r="BU39" s="547" t="s">
        <v>709</v>
      </c>
      <c r="BV39" s="547" t="s">
        <v>745</v>
      </c>
      <c r="BW39" s="547">
        <v>2</v>
      </c>
      <c r="BX39" s="547" t="s">
        <v>745</v>
      </c>
      <c r="BY39" s="547" t="s">
        <v>745</v>
      </c>
      <c r="BZ39" s="483" t="s">
        <v>2</v>
      </c>
    </row>
    <row r="40" spans="1:78" ht="15" hidden="1" customHeight="1" x14ac:dyDescent="0.25">
      <c r="A40" s="8" t="s">
        <v>781</v>
      </c>
      <c r="B40" s="8" t="s">
        <v>759</v>
      </c>
      <c r="C40" s="8" t="s">
        <v>1323</v>
      </c>
      <c r="D40" s="8" t="s">
        <v>1324</v>
      </c>
      <c r="E40" s="8" t="s">
        <v>1325</v>
      </c>
      <c r="F40" s="8" t="s">
        <v>752</v>
      </c>
      <c r="G40" s="8" t="s">
        <v>34</v>
      </c>
      <c r="H40" s="8" t="s">
        <v>59</v>
      </c>
      <c r="I40" s="642">
        <v>44603</v>
      </c>
      <c r="J40" s="18">
        <v>44771</v>
      </c>
      <c r="K40" s="97">
        <v>44771</v>
      </c>
      <c r="L40" s="16">
        <f>IF(ISTEXT(Table159[[#This Row],[Engineering Approved Design Date]]),Table159[[#This Row],[Date Completed]]-Table159[[#This Row],[Date Assigned to Designer]],Table159[[#This Row],[Engineering Approved Design Date]]-Table159[[#This Row],[Date Completed]])</f>
        <v>0</v>
      </c>
      <c r="M40" s="642"/>
      <c r="N40" s="642" t="s">
        <v>120</v>
      </c>
      <c r="O40" s="534">
        <v>44774</v>
      </c>
      <c r="P40" s="68" t="s">
        <v>739</v>
      </c>
      <c r="Q40" s="106">
        <f>(Table159[[#This Row],[Construction Cost to Bill From]]*0.085)+7750</f>
        <v>34223.024750000004</v>
      </c>
      <c r="R40" s="75" t="s">
        <v>1055</v>
      </c>
      <c r="S40" s="24" t="s">
        <v>709</v>
      </c>
      <c r="T40" s="538" t="s">
        <v>709</v>
      </c>
      <c r="U40" s="87" t="s">
        <v>709</v>
      </c>
      <c r="V40" s="437">
        <v>208</v>
      </c>
      <c r="X40" s="94">
        <v>256912.92</v>
      </c>
      <c r="Y40" s="592"/>
      <c r="Z40" s="552">
        <v>54534.43</v>
      </c>
      <c r="AA40" s="87">
        <f>Table159[[#This Row],[PCTS Investment Amount]]+Table159[[#This Row],[PCTS Retirement Amount]]</f>
        <v>311447.35000000003</v>
      </c>
      <c r="AB40" s="207">
        <v>44789</v>
      </c>
      <c r="AC40" s="108" t="s">
        <v>1177</v>
      </c>
      <c r="AD40" s="108" t="s">
        <v>29</v>
      </c>
      <c r="AE40" s="349"/>
      <c r="AF40" s="579"/>
      <c r="AG40" s="579"/>
      <c r="AH40" s="354"/>
      <c r="AI40" s="489"/>
      <c r="AJ40" s="553"/>
      <c r="AK40" s="553"/>
      <c r="AL40" s="495"/>
      <c r="AM40" s="21" t="s">
        <v>116</v>
      </c>
      <c r="AN40" s="680" t="s">
        <v>709</v>
      </c>
      <c r="AO40" s="601">
        <v>11041770</v>
      </c>
      <c r="AP40" s="572"/>
      <c r="AQ40" s="572"/>
      <c r="AR40" s="572"/>
      <c r="AS40" s="538">
        <f>IF(Table159[[#This Row],[PCTS Approved]]="N",0,Table159[[#This Row],[Investment Amount (1'#'#'#'#'#)]]+Table159[[#This Row],[Retirement Amount (3'#'#'#'#'#)]])</f>
        <v>0</v>
      </c>
      <c r="AT40" s="538">
        <f>IF(Table159[[#This Row],[Approved Construction Cost]]=0,0,Table159[[#This Row],[Approved Construction Cost]]-Table159[[#This Row],[Construction Cost to Bill From]])</f>
        <v>0</v>
      </c>
      <c r="AU40" s="538">
        <f>IFERROR(Table159[[#This Row],[Difference in Construction Cost]]*Table159[[#This Row],[Rate]],Table159[[#This Row],[Difference in Construction Cost]]*0.085)</f>
        <v>0</v>
      </c>
      <c r="AV40" s="572"/>
      <c r="AW40" s="639"/>
      <c r="AX40" s="538"/>
      <c r="AY40" s="636" t="s">
        <v>709</v>
      </c>
      <c r="AZ40" s="443">
        <v>187</v>
      </c>
      <c r="BA40" s="652" t="s">
        <v>1326</v>
      </c>
      <c r="BB40" s="644" t="s">
        <v>1327</v>
      </c>
      <c r="BC40" s="478" t="s">
        <v>709</v>
      </c>
      <c r="BD40" s="544" t="s">
        <v>1328</v>
      </c>
      <c r="BE40" s="544" t="s">
        <v>1328</v>
      </c>
      <c r="BF40" s="544" t="s">
        <v>1329</v>
      </c>
      <c r="BG40" s="512" t="s">
        <v>709</v>
      </c>
      <c r="BH40" s="741"/>
      <c r="BI40" s="535" t="s">
        <v>709</v>
      </c>
      <c r="BJ40" s="547" t="s">
        <v>116</v>
      </c>
      <c r="BK40" s="547" t="s">
        <v>709</v>
      </c>
      <c r="BL40" s="547" t="s">
        <v>116</v>
      </c>
      <c r="BM40" s="547" t="s">
        <v>709</v>
      </c>
      <c r="BN40" s="547" t="s">
        <v>709</v>
      </c>
      <c r="BO40" s="547" t="s">
        <v>709</v>
      </c>
      <c r="BP40" s="547" t="s">
        <v>709</v>
      </c>
      <c r="BQ40" s="547" t="s">
        <v>709</v>
      </c>
      <c r="BR40" s="547">
        <v>125</v>
      </c>
      <c r="BS40" s="547">
        <v>60</v>
      </c>
      <c r="BT40" s="547">
        <v>1</v>
      </c>
      <c r="BU40" s="547" t="s">
        <v>709</v>
      </c>
      <c r="BV40" s="547" t="s">
        <v>745</v>
      </c>
      <c r="BW40" s="547" t="s">
        <v>709</v>
      </c>
      <c r="BX40" s="547">
        <v>1</v>
      </c>
      <c r="BY40" s="547" t="s">
        <v>745</v>
      </c>
      <c r="BZ40" s="483"/>
    </row>
    <row r="41" spans="1:78" ht="15" hidden="1" customHeight="1" x14ac:dyDescent="0.25">
      <c r="A41" s="8" t="s">
        <v>800</v>
      </c>
      <c r="B41" s="8" t="s">
        <v>771</v>
      </c>
      <c r="C41" s="8" t="s">
        <v>1552</v>
      </c>
      <c r="D41" s="8" t="s">
        <v>1553</v>
      </c>
      <c r="E41" s="8" t="s">
        <v>1554</v>
      </c>
      <c r="F41" s="8" t="s">
        <v>784</v>
      </c>
      <c r="G41" s="8" t="s">
        <v>23</v>
      </c>
      <c r="H41" s="13" t="s">
        <v>59</v>
      </c>
      <c r="I41" s="642">
        <v>44838</v>
      </c>
      <c r="J41" s="18">
        <v>45119</v>
      </c>
      <c r="K41" s="97">
        <v>45118</v>
      </c>
      <c r="L41" s="649">
        <f>IF(ISTEXT(Table159[[#This Row],[Engineering Approved Design Date]]),Table159[[#This Row],[Date Completed]]-Table159[[#This Row],[Date Assigned to Designer]],Table159[[#This Row],[Engineering Approved Design Date]]-Table159[[#This Row],[Date Completed]])</f>
        <v>1</v>
      </c>
      <c r="M41" s="642"/>
      <c r="N41" s="642" t="s">
        <v>120</v>
      </c>
      <c r="O41" s="510">
        <v>45108</v>
      </c>
      <c r="P41" s="221" t="s">
        <v>120</v>
      </c>
      <c r="Q41" s="24">
        <f>Table159[[#This Row],[Rate]]*Table159[[#This Row],[Construction Cost to Bill From]]</f>
        <v>200595.49109999998</v>
      </c>
      <c r="R41" s="75">
        <v>0.09</v>
      </c>
      <c r="U41" s="87"/>
      <c r="V41" s="437">
        <v>3200</v>
      </c>
      <c r="W41" s="443">
        <v>0</v>
      </c>
      <c r="X41" s="94">
        <v>2198073.4900000002</v>
      </c>
      <c r="Y41" s="592"/>
      <c r="Z41" s="552">
        <v>30765.3</v>
      </c>
      <c r="AA41" s="300">
        <f>SUM(Table159[[#This Row],[PCTS Investment Amount]]+Table159[[#This Row],[PCTS Retirement Amount]])</f>
        <v>2228838.79</v>
      </c>
      <c r="AB41" s="207">
        <v>45131</v>
      </c>
      <c r="AC41" s="109" t="s">
        <v>116</v>
      </c>
      <c r="AD41" s="108" t="s">
        <v>116</v>
      </c>
      <c r="AE41" s="187" t="s">
        <v>116</v>
      </c>
      <c r="AF41" s="568" t="s">
        <v>116</v>
      </c>
      <c r="AG41" s="568" t="s">
        <v>116</v>
      </c>
      <c r="AH41" s="356" t="s">
        <v>116</v>
      </c>
      <c r="AI41" s="489"/>
      <c r="AJ41" s="553"/>
      <c r="AK41" s="553"/>
      <c r="AL41" s="495"/>
      <c r="AM41" s="21" t="s">
        <v>116</v>
      </c>
      <c r="AN41" s="680" t="s">
        <v>709</v>
      </c>
      <c r="AO41" s="601">
        <v>11050933</v>
      </c>
      <c r="AP41" s="572"/>
      <c r="AQ41" s="572"/>
      <c r="AR41" s="572"/>
      <c r="AS41" s="538">
        <f>IF(Table159[[#This Row],[PCTS Approved]]="N",0,Table159[[#This Row],[Investment Amount (1'#'#'#'#'#)]]+Table159[[#This Row],[Retirement Amount (3'#'#'#'#'#)]])</f>
        <v>0</v>
      </c>
      <c r="AT41" s="538">
        <f>IF(Table159[[#This Row],[Approved Construction Cost]]=0,0,Table159[[#This Row],[Approved Construction Cost]]-Table159[[#This Row],[Construction Cost to Bill From]])</f>
        <v>0</v>
      </c>
      <c r="AU41" s="538">
        <f>IFERROR(Table159[[#This Row],[Difference in Construction Cost]]*Table159[[#This Row],[Rate]],Table159[[#This Row],[Difference in Construction Cost]]*0.085)</f>
        <v>0</v>
      </c>
      <c r="AV41" s="572"/>
      <c r="AW41" s="639"/>
      <c r="AX41" s="538"/>
      <c r="AY41" s="636" t="s">
        <v>709</v>
      </c>
      <c r="AZ41" s="443">
        <v>49</v>
      </c>
      <c r="BA41" s="652" t="s">
        <v>1555</v>
      </c>
      <c r="BB41" s="644" t="s">
        <v>1556</v>
      </c>
      <c r="BC41" s="478" t="s">
        <v>116</v>
      </c>
      <c r="BD41" s="544" t="s">
        <v>115</v>
      </c>
      <c r="BE41" s="544" t="s">
        <v>1557</v>
      </c>
      <c r="BF41" s="544" t="s">
        <v>115</v>
      </c>
      <c r="BG41" s="765" t="s">
        <v>115</v>
      </c>
      <c r="BH41" s="741" t="s">
        <v>1559</v>
      </c>
      <c r="BI41" s="535" t="s">
        <v>709</v>
      </c>
      <c r="BJ41" s="547" t="s">
        <v>709</v>
      </c>
      <c r="BK41" s="547" t="s">
        <v>709</v>
      </c>
      <c r="BL41" s="547" t="s">
        <v>116</v>
      </c>
      <c r="BM41" s="547" t="s">
        <v>709</v>
      </c>
      <c r="BN41" s="547" t="s">
        <v>709</v>
      </c>
      <c r="BO41" s="547" t="s">
        <v>709</v>
      </c>
      <c r="BP41" s="547">
        <v>1492</v>
      </c>
      <c r="BQ41" s="547">
        <v>1374</v>
      </c>
      <c r="BR41" s="547">
        <v>44</v>
      </c>
      <c r="BS41" s="547">
        <v>290</v>
      </c>
      <c r="BT41" s="547" t="s">
        <v>709</v>
      </c>
      <c r="BU41" s="547" t="s">
        <v>709</v>
      </c>
      <c r="BV41" s="547" t="s">
        <v>709</v>
      </c>
      <c r="BW41" s="547" t="s">
        <v>709</v>
      </c>
      <c r="BX41" s="547" t="s">
        <v>709</v>
      </c>
      <c r="BY41" s="547" t="s">
        <v>709</v>
      </c>
      <c r="BZ41" s="483"/>
    </row>
    <row r="42" spans="1:78" ht="15" hidden="1" customHeight="1" x14ac:dyDescent="0.25">
      <c r="A42" s="8" t="s">
        <v>800</v>
      </c>
      <c r="B42" s="8" t="s">
        <v>771</v>
      </c>
      <c r="C42" s="8" t="s">
        <v>1545</v>
      </c>
      <c r="D42" s="8" t="s">
        <v>1546</v>
      </c>
      <c r="E42" s="8" t="s">
        <v>1200</v>
      </c>
      <c r="F42" s="8" t="s">
        <v>784</v>
      </c>
      <c r="G42" s="8" t="s">
        <v>23</v>
      </c>
      <c r="H42" s="13" t="s">
        <v>59</v>
      </c>
      <c r="I42" s="642">
        <v>44838</v>
      </c>
      <c r="J42" s="18">
        <v>45119</v>
      </c>
      <c r="K42" s="97">
        <v>45118</v>
      </c>
      <c r="L42" s="649">
        <f>IF(ISTEXT(Table159[[#This Row],[Engineering Approved Design Date]]),Table159[[#This Row],[Date Completed]]-Table159[[#This Row],[Date Assigned to Designer]],Table159[[#This Row],[Engineering Approved Design Date]]-Table159[[#This Row],[Date Completed]])</f>
        <v>1</v>
      </c>
      <c r="M42" s="642"/>
      <c r="N42" s="642" t="s">
        <v>120</v>
      </c>
      <c r="O42" s="510">
        <v>45108</v>
      </c>
      <c r="P42" s="221" t="s">
        <v>120</v>
      </c>
      <c r="Q42" s="24">
        <f>Table159[[#This Row],[Rate]]*Table159[[#This Row],[Construction Cost to Bill From]]</f>
        <v>247260.61259999999</v>
      </c>
      <c r="R42" s="75">
        <v>0.06</v>
      </c>
      <c r="U42" s="87"/>
      <c r="V42" s="437">
        <v>5676</v>
      </c>
      <c r="W42" s="443">
        <v>0</v>
      </c>
      <c r="X42" s="94">
        <v>4068856.64</v>
      </c>
      <c r="Y42" s="592"/>
      <c r="Z42" s="552">
        <v>52153.57</v>
      </c>
      <c r="AA42" s="300">
        <f>SUM(Table159[[#This Row],[PCTS Investment Amount]]+Table159[[#This Row],[PCTS Retirement Amount]])</f>
        <v>4121010.21</v>
      </c>
      <c r="AB42" s="207">
        <v>45131</v>
      </c>
      <c r="AC42" s="109" t="s">
        <v>116</v>
      </c>
      <c r="AD42" s="108" t="s">
        <v>116</v>
      </c>
      <c r="AE42" s="187" t="s">
        <v>116</v>
      </c>
      <c r="AF42" s="568" t="s">
        <v>116</v>
      </c>
      <c r="AG42" s="568" t="s">
        <v>116</v>
      </c>
      <c r="AH42" s="356" t="s">
        <v>116</v>
      </c>
      <c r="AI42" s="489"/>
      <c r="AJ42" s="553"/>
      <c r="AK42" s="553"/>
      <c r="AL42" s="495"/>
      <c r="AM42" s="21" t="s">
        <v>116</v>
      </c>
      <c r="AN42" s="680" t="s">
        <v>709</v>
      </c>
      <c r="AO42" s="601">
        <v>11067715</v>
      </c>
      <c r="AP42" s="572"/>
      <c r="AQ42" s="572"/>
      <c r="AR42" s="572"/>
      <c r="AS42" s="538">
        <f>IF(Table159[[#This Row],[PCTS Approved]]="N",0,Table159[[#This Row],[Investment Amount (1'#'#'#'#'#)]]+Table159[[#This Row],[Retirement Amount (3'#'#'#'#'#)]])</f>
        <v>0</v>
      </c>
      <c r="AT42" s="538">
        <f>IF(Table159[[#This Row],[Approved Construction Cost]]=0,0,Table159[[#This Row],[Approved Construction Cost]]-Table159[[#This Row],[Construction Cost to Bill From]])</f>
        <v>0</v>
      </c>
      <c r="AU42" s="538">
        <f>IFERROR(Table159[[#This Row],[Difference in Construction Cost]]*Table159[[#This Row],[Rate]],Table159[[#This Row],[Difference in Construction Cost]]*0.085)</f>
        <v>0</v>
      </c>
      <c r="AV42" s="572"/>
      <c r="AW42" s="639"/>
      <c r="AX42" s="538"/>
      <c r="AY42" s="636" t="s">
        <v>709</v>
      </c>
      <c r="AZ42" s="443">
        <v>7</v>
      </c>
      <c r="BA42" s="652" t="s">
        <v>1547</v>
      </c>
      <c r="BB42" s="644" t="s">
        <v>1548</v>
      </c>
      <c r="BC42" s="478" t="s">
        <v>116</v>
      </c>
      <c r="BD42" s="544" t="s">
        <v>115</v>
      </c>
      <c r="BE42" s="544" t="s">
        <v>1549</v>
      </c>
      <c r="BF42" s="544" t="s">
        <v>115</v>
      </c>
      <c r="BG42" s="512" t="s">
        <v>1550</v>
      </c>
      <c r="BH42" s="741" t="s">
        <v>1551</v>
      </c>
      <c r="BI42" s="535" t="s">
        <v>709</v>
      </c>
      <c r="BJ42" s="547" t="s">
        <v>709</v>
      </c>
      <c r="BK42" s="547" t="s">
        <v>709</v>
      </c>
      <c r="BL42" s="547" t="s">
        <v>116</v>
      </c>
      <c r="BM42" s="547" t="s">
        <v>709</v>
      </c>
      <c r="BN42" s="547" t="s">
        <v>709</v>
      </c>
      <c r="BO42" s="547" t="s">
        <v>709</v>
      </c>
      <c r="BP42" s="547">
        <v>704</v>
      </c>
      <c r="BQ42" s="547">
        <v>3943</v>
      </c>
      <c r="BR42" s="547">
        <v>74</v>
      </c>
      <c r="BS42" s="547">
        <v>954</v>
      </c>
      <c r="BT42" s="547" t="s">
        <v>709</v>
      </c>
      <c r="BU42" s="547" t="s">
        <v>709</v>
      </c>
      <c r="BV42" s="547" t="s">
        <v>709</v>
      </c>
      <c r="BW42" s="547" t="s">
        <v>709</v>
      </c>
      <c r="BX42" s="547" t="s">
        <v>745</v>
      </c>
      <c r="BY42" s="547" t="s">
        <v>709</v>
      </c>
      <c r="BZ42" s="483"/>
    </row>
    <row r="43" spans="1:78" ht="15" hidden="1" customHeight="1" x14ac:dyDescent="0.25">
      <c r="A43" s="8" t="s">
        <v>749</v>
      </c>
      <c r="B43" s="8" t="s">
        <v>730</v>
      </c>
      <c r="C43" s="8" t="s">
        <v>304</v>
      </c>
      <c r="D43" s="8" t="s">
        <v>1351</v>
      </c>
      <c r="E43" s="8" t="s">
        <v>1352</v>
      </c>
      <c r="F43" s="8" t="s">
        <v>752</v>
      </c>
      <c r="G43" s="8" t="s">
        <v>24</v>
      </c>
      <c r="H43" s="8" t="s">
        <v>59</v>
      </c>
      <c r="I43" s="642">
        <v>44733</v>
      </c>
      <c r="J43" s="18">
        <v>44825</v>
      </c>
      <c r="K43" s="97">
        <v>44824</v>
      </c>
      <c r="L43" s="16">
        <f>IF(ISTEXT(Table159[[#This Row],[Engineering Approved Design Date]]),Table159[[#This Row],[Date Completed]]-Table159[[#This Row],[Date Assigned to Designer]],Table159[[#This Row],[Engineering Approved Design Date]]-Table159[[#This Row],[Date Completed]])</f>
        <v>1</v>
      </c>
      <c r="M43" s="642"/>
      <c r="N43" s="642" t="s">
        <v>120</v>
      </c>
      <c r="O43" s="558">
        <f>Table159[[#This Row],[Date Completed]]</f>
        <v>44824</v>
      </c>
      <c r="P43" s="68" t="s">
        <v>120</v>
      </c>
      <c r="Q43" s="71">
        <f>(Table159[[#This Row],[Construction Cost to Bill From]]*0.085)+(5250*1)</f>
        <v>30110.493150000002</v>
      </c>
      <c r="R43" s="75" t="s">
        <v>794</v>
      </c>
      <c r="U43" s="87"/>
      <c r="V43" s="437">
        <v>562</v>
      </c>
      <c r="X43" s="94">
        <v>245071.24</v>
      </c>
      <c r="Y43" s="592"/>
      <c r="Z43" s="552">
        <v>47405.15</v>
      </c>
      <c r="AA43" s="300">
        <f>Table159[[#This Row],[PCTS Investment Amount]]+Table159[[#This Row],[PCTS Retirement Amount]]</f>
        <v>292476.39</v>
      </c>
      <c r="AB43" s="207">
        <v>44830</v>
      </c>
      <c r="AC43" s="108" t="s">
        <v>1056</v>
      </c>
      <c r="AD43" s="108" t="s">
        <v>29</v>
      </c>
      <c r="AE43" s="349"/>
      <c r="AF43" s="579"/>
      <c r="AG43" s="579"/>
      <c r="AH43" s="354"/>
      <c r="AI43" s="489"/>
      <c r="AJ43" s="553"/>
      <c r="AK43" s="553"/>
      <c r="AL43" s="495"/>
      <c r="AM43" s="21" t="s">
        <v>116</v>
      </c>
      <c r="AN43" s="680" t="s">
        <v>709</v>
      </c>
      <c r="AO43" s="601">
        <v>11042622</v>
      </c>
      <c r="AP43" s="572"/>
      <c r="AQ43" s="572"/>
      <c r="AR43" s="572"/>
      <c r="AS43" s="538">
        <f>IF(Table159[[#This Row],[PCTS Approved]]="N",0,Table159[[#This Row],[Investment Amount (1'#'#'#'#'#)]]+Table159[[#This Row],[Retirement Amount (3'#'#'#'#'#)]])</f>
        <v>0</v>
      </c>
      <c r="AT43" s="538">
        <f>IF(Table159[[#This Row],[Approved Construction Cost]]=0,0,Table159[[#This Row],[Approved Construction Cost]]-Table159[[#This Row],[Construction Cost to Bill From]])</f>
        <v>0</v>
      </c>
      <c r="AU43" s="538">
        <f>IFERROR(Table159[[#This Row],[Difference in Construction Cost]]*Table159[[#This Row],[Rate]],Table159[[#This Row],[Difference in Construction Cost]]*0.085)</f>
        <v>0</v>
      </c>
      <c r="AV43" s="572"/>
      <c r="AW43" s="639"/>
      <c r="AX43" s="538"/>
      <c r="AY43" s="636" t="s">
        <v>709</v>
      </c>
      <c r="AZ43" s="443">
        <v>175</v>
      </c>
      <c r="BA43" s="652" t="s">
        <v>1353</v>
      </c>
      <c r="BB43" s="644" t="s">
        <v>1354</v>
      </c>
      <c r="BC43" s="478" t="s">
        <v>116</v>
      </c>
      <c r="BD43" s="544" t="s">
        <v>115</v>
      </c>
      <c r="BE43" s="544" t="s">
        <v>1355</v>
      </c>
      <c r="BF43" s="544" t="s">
        <v>115</v>
      </c>
      <c r="BG43" s="512" t="s">
        <v>115</v>
      </c>
      <c r="BH43" s="741" t="s">
        <v>1356</v>
      </c>
      <c r="BI43" s="535" t="s">
        <v>709</v>
      </c>
      <c r="BJ43" s="547" t="s">
        <v>709</v>
      </c>
      <c r="BK43" s="547" t="s">
        <v>116</v>
      </c>
      <c r="BL43" s="547" t="s">
        <v>116</v>
      </c>
      <c r="BM43" s="547" t="s">
        <v>709</v>
      </c>
      <c r="BN43" s="547" t="s">
        <v>709</v>
      </c>
      <c r="BO43" s="547" t="s">
        <v>709</v>
      </c>
      <c r="BP43" s="547" t="s">
        <v>709</v>
      </c>
      <c r="BQ43" s="547" t="s">
        <v>709</v>
      </c>
      <c r="BR43" s="547">
        <v>406</v>
      </c>
      <c r="BS43" s="547">
        <v>156</v>
      </c>
      <c r="BT43" s="547" t="s">
        <v>709</v>
      </c>
      <c r="BU43" s="547">
        <v>1</v>
      </c>
      <c r="BV43" s="547" t="s">
        <v>709</v>
      </c>
      <c r="BW43" s="547" t="s">
        <v>709</v>
      </c>
      <c r="BX43" s="547">
        <v>1</v>
      </c>
      <c r="BY43" s="547" t="s">
        <v>709</v>
      </c>
      <c r="BZ43" s="483" t="s">
        <v>2</v>
      </c>
    </row>
    <row r="44" spans="1:78" ht="15" hidden="1" customHeight="1" x14ac:dyDescent="0.25">
      <c r="A44" s="8" t="s">
        <v>781</v>
      </c>
      <c r="B44" s="8" t="s">
        <v>4</v>
      </c>
      <c r="C44" s="8" t="s">
        <v>1341</v>
      </c>
      <c r="D44" s="8" t="s">
        <v>1342</v>
      </c>
      <c r="E44" s="8" t="s">
        <v>1136</v>
      </c>
      <c r="F44" s="8" t="s">
        <v>784</v>
      </c>
      <c r="G44" s="8" t="s">
        <v>35</v>
      </c>
      <c r="H44" s="8" t="s">
        <v>59</v>
      </c>
      <c r="I44" s="642">
        <v>44718</v>
      </c>
      <c r="J44" s="18">
        <v>44819</v>
      </c>
      <c r="K44" s="97">
        <v>44817</v>
      </c>
      <c r="L44" s="16">
        <f>IF(ISTEXT(Table159[[#This Row],[Engineering Approved Design Date]]),Table159[[#This Row],[Date Completed]]-Table159[[#This Row],[Date Assigned to Designer]],Table159[[#This Row],[Engineering Approved Design Date]]-Table159[[#This Row],[Date Completed]])</f>
        <v>2</v>
      </c>
      <c r="M44" s="642"/>
      <c r="N44" s="642" t="s">
        <v>120</v>
      </c>
      <c r="O44" s="534">
        <v>44835</v>
      </c>
      <c r="P44" s="68" t="s">
        <v>739</v>
      </c>
      <c r="Q44" s="71">
        <f>R44*AA44</f>
        <v>83840.455000000016</v>
      </c>
      <c r="R44" s="75">
        <v>0.1</v>
      </c>
      <c r="U44" s="87"/>
      <c r="V44" s="437">
        <v>2909</v>
      </c>
      <c r="X44" s="220">
        <v>798419.77</v>
      </c>
      <c r="Y44" s="592"/>
      <c r="Z44" s="571">
        <v>39984.78</v>
      </c>
      <c r="AA44" s="300">
        <f>Table159[[#This Row],[PCTS Investment Amount]]+Table159[[#This Row],[PCTS Retirement Amount]]</f>
        <v>838404.55</v>
      </c>
      <c r="AB44" s="207">
        <v>44853</v>
      </c>
      <c r="AC44" s="108" t="s">
        <v>709</v>
      </c>
      <c r="AD44" s="108" t="s">
        <v>29</v>
      </c>
      <c r="AE44" s="349"/>
      <c r="AF44" s="579"/>
      <c r="AG44" s="579"/>
      <c r="AH44" s="354"/>
      <c r="AI44" s="489"/>
      <c r="AJ44" s="553"/>
      <c r="AK44" s="553"/>
      <c r="AL44" s="495"/>
      <c r="AM44" s="21" t="s">
        <v>116</v>
      </c>
      <c r="AN44" s="680" t="s">
        <v>709</v>
      </c>
      <c r="AO44" s="681" t="s">
        <v>115</v>
      </c>
      <c r="AP44" s="682"/>
      <c r="AQ44" s="682"/>
      <c r="AR44" s="682"/>
      <c r="AS44" s="538">
        <f>IF(Table159[[#This Row],[PCTS Approved]]="N",0,Table159[[#This Row],[Investment Amount (1'#'#'#'#'#)]]+Table159[[#This Row],[Retirement Amount (3'#'#'#'#'#)]])</f>
        <v>0</v>
      </c>
      <c r="AT44" s="538">
        <f>IF(Table159[[#This Row],[Approved Construction Cost]]=0,0,Table159[[#This Row],[Approved Construction Cost]]-Table159[[#This Row],[Construction Cost to Bill From]])</f>
        <v>0</v>
      </c>
      <c r="AU44" s="538">
        <f>IFERROR(Table159[[#This Row],[Difference in Construction Cost]]*Table159[[#This Row],[Rate]],Table159[[#This Row],[Difference in Construction Cost]]*0.085)</f>
        <v>0</v>
      </c>
      <c r="AV44" s="682"/>
      <c r="AW44" s="686"/>
      <c r="AX44" s="538"/>
      <c r="AY44" s="636" t="s">
        <v>709</v>
      </c>
      <c r="AZ44" s="443">
        <v>71</v>
      </c>
      <c r="BA44" s="652" t="s">
        <v>1343</v>
      </c>
      <c r="BB44" s="644" t="s">
        <v>1344</v>
      </c>
      <c r="BC44" s="478" t="s">
        <v>115</v>
      </c>
      <c r="BD44" s="544" t="s">
        <v>115</v>
      </c>
      <c r="BE44" s="544" t="s">
        <v>115</v>
      </c>
      <c r="BF44" s="544" t="s">
        <v>1028</v>
      </c>
      <c r="BG44" s="512" t="s">
        <v>115</v>
      </c>
      <c r="BH44" s="741"/>
      <c r="BI44" s="535" t="s">
        <v>709</v>
      </c>
      <c r="BJ44" s="547" t="s">
        <v>709</v>
      </c>
      <c r="BK44" s="547" t="s">
        <v>709</v>
      </c>
      <c r="BL44" s="547" t="s">
        <v>116</v>
      </c>
      <c r="BM44" s="547" t="s">
        <v>709</v>
      </c>
      <c r="BN44" s="547" t="s">
        <v>709</v>
      </c>
      <c r="BO44" s="547" t="s">
        <v>709</v>
      </c>
      <c r="BP44" s="547" t="s">
        <v>709</v>
      </c>
      <c r="BQ44" s="547">
        <v>133</v>
      </c>
      <c r="BR44" s="547" t="s">
        <v>709</v>
      </c>
      <c r="BS44" s="547">
        <v>2027</v>
      </c>
      <c r="BT44" s="547" t="s">
        <v>745</v>
      </c>
      <c r="BU44" s="547" t="s">
        <v>709</v>
      </c>
      <c r="BV44" s="547" t="s">
        <v>745</v>
      </c>
      <c r="BW44" s="547" t="s">
        <v>709</v>
      </c>
      <c r="BX44" s="547" t="s">
        <v>745</v>
      </c>
      <c r="BY44" s="547" t="s">
        <v>745</v>
      </c>
      <c r="BZ44" s="483"/>
    </row>
    <row r="45" spans="1:78" ht="15" hidden="1" customHeight="1" x14ac:dyDescent="0.25">
      <c r="A45" s="8" t="s">
        <v>749</v>
      </c>
      <c r="B45" s="8" t="s">
        <v>730</v>
      </c>
      <c r="C45" s="8" t="s">
        <v>1345</v>
      </c>
      <c r="D45" s="8" t="s">
        <v>1346</v>
      </c>
      <c r="E45" s="8" t="s">
        <v>1347</v>
      </c>
      <c r="F45" s="8" t="s">
        <v>752</v>
      </c>
      <c r="G45" s="8" t="s">
        <v>24</v>
      </c>
      <c r="H45" s="8" t="s">
        <v>59</v>
      </c>
      <c r="I45" s="642">
        <v>44739</v>
      </c>
      <c r="J45" s="18">
        <v>44834</v>
      </c>
      <c r="K45" s="97">
        <v>44824</v>
      </c>
      <c r="L45" s="16">
        <f>IF(ISTEXT(Table159[[#This Row],[Engineering Approved Design Date]]),Table159[[#This Row],[Date Completed]]-Table159[[#This Row],[Date Assigned to Designer]],Table159[[#This Row],[Engineering Approved Design Date]]-Table159[[#This Row],[Date Completed]])</f>
        <v>10</v>
      </c>
      <c r="M45" s="642"/>
      <c r="N45" s="642" t="s">
        <v>120</v>
      </c>
      <c r="O45" s="534">
        <v>44835</v>
      </c>
      <c r="P45" s="68" t="s">
        <v>120</v>
      </c>
      <c r="Q45" s="71">
        <f>R45*AA45</f>
        <v>25770.5658</v>
      </c>
      <c r="R45" s="75">
        <v>0.09</v>
      </c>
      <c r="U45" s="87"/>
      <c r="V45" s="437">
        <v>2147</v>
      </c>
      <c r="X45" s="106">
        <v>271016.56</v>
      </c>
      <c r="Y45" s="592"/>
      <c r="Z45" s="570">
        <v>15323.06</v>
      </c>
      <c r="AA45" s="300">
        <f>Table159[[#This Row],[PCTS Investment Amount]]+Table159[[#This Row],[PCTS Retirement Amount]]</f>
        <v>286339.62</v>
      </c>
      <c r="AB45" s="207">
        <v>44831</v>
      </c>
      <c r="AC45" s="108" t="s">
        <v>709</v>
      </c>
      <c r="AD45" s="108" t="s">
        <v>29</v>
      </c>
      <c r="AE45" s="349"/>
      <c r="AF45" s="579"/>
      <c r="AG45" s="579"/>
      <c r="AH45" s="354"/>
      <c r="AI45" s="489"/>
      <c r="AJ45" s="553"/>
      <c r="AK45" s="553"/>
      <c r="AL45" s="495"/>
      <c r="AM45" s="21" t="s">
        <v>116</v>
      </c>
      <c r="AN45" s="680" t="s">
        <v>709</v>
      </c>
      <c r="AO45" s="601" t="s">
        <v>115</v>
      </c>
      <c r="AP45" s="572"/>
      <c r="AQ45" s="572"/>
      <c r="AR45" s="572"/>
      <c r="AS45" s="538">
        <f>IF(Table159[[#This Row],[PCTS Approved]]="N",0,Table159[[#This Row],[Investment Amount (1'#'#'#'#'#)]]+Table159[[#This Row],[Retirement Amount (3'#'#'#'#'#)]])</f>
        <v>0</v>
      </c>
      <c r="AT45" s="538">
        <f>IF(Table159[[#This Row],[Approved Construction Cost]]=0,0,Table159[[#This Row],[Approved Construction Cost]]-Table159[[#This Row],[Construction Cost to Bill From]])</f>
        <v>0</v>
      </c>
      <c r="AU45" s="538">
        <f>IFERROR(Table159[[#This Row],[Difference in Construction Cost]]*Table159[[#This Row],[Rate]],Table159[[#This Row],[Difference in Construction Cost]]*0.085)</f>
        <v>0</v>
      </c>
      <c r="AV45" s="572"/>
      <c r="AW45" s="639"/>
      <c r="AX45" s="538"/>
      <c r="AY45" s="636" t="s">
        <v>709</v>
      </c>
      <c r="AZ45" s="443">
        <v>26</v>
      </c>
      <c r="BA45" s="652" t="s">
        <v>1348</v>
      </c>
      <c r="BB45" s="644" t="s">
        <v>1349</v>
      </c>
      <c r="BC45" s="478" t="s">
        <v>115</v>
      </c>
      <c r="BD45" s="544" t="s">
        <v>837</v>
      </c>
      <c r="BE45" s="544" t="s">
        <v>1350</v>
      </c>
      <c r="BF45" s="544" t="s">
        <v>115</v>
      </c>
      <c r="BG45" s="512" t="s">
        <v>115</v>
      </c>
      <c r="BH45" s="741"/>
      <c r="BI45" s="535" t="s">
        <v>709</v>
      </c>
      <c r="BJ45" s="547" t="s">
        <v>709</v>
      </c>
      <c r="BK45" s="547" t="s">
        <v>709</v>
      </c>
      <c r="BL45" s="547" t="s">
        <v>116</v>
      </c>
      <c r="BM45" s="547" t="s">
        <v>709</v>
      </c>
      <c r="BN45" s="547" t="s">
        <v>709</v>
      </c>
      <c r="BO45" s="547" t="s">
        <v>709</v>
      </c>
      <c r="BP45" s="547" t="s">
        <v>709</v>
      </c>
      <c r="BQ45" s="547" t="s">
        <v>709</v>
      </c>
      <c r="BR45" s="547">
        <v>2174</v>
      </c>
      <c r="BS45" s="547" t="s">
        <v>709</v>
      </c>
      <c r="BT45" s="547" t="s">
        <v>745</v>
      </c>
      <c r="BU45" s="547" t="s">
        <v>709</v>
      </c>
      <c r="BV45" s="547" t="s">
        <v>745</v>
      </c>
      <c r="BW45" s="547" t="s">
        <v>709</v>
      </c>
      <c r="BX45" s="547" t="s">
        <v>709</v>
      </c>
      <c r="BY45" s="547" t="s">
        <v>745</v>
      </c>
      <c r="BZ45" s="483"/>
    </row>
    <row r="46" spans="1:78" ht="15" hidden="1" customHeight="1" x14ac:dyDescent="0.25">
      <c r="A46" s="8" t="s">
        <v>749</v>
      </c>
      <c r="B46" s="8" t="s">
        <v>1073</v>
      </c>
      <c r="C46" s="8" t="s">
        <v>1686</v>
      </c>
      <c r="D46" s="8" t="s">
        <v>1687</v>
      </c>
      <c r="E46" s="8" t="s">
        <v>1674</v>
      </c>
      <c r="F46" s="8" t="s">
        <v>1688</v>
      </c>
      <c r="G46" s="8" t="s">
        <v>23</v>
      </c>
      <c r="H46" s="8" t="s">
        <v>59</v>
      </c>
      <c r="I46" s="642">
        <v>45190</v>
      </c>
      <c r="J46" s="18">
        <v>45264</v>
      </c>
      <c r="K46" s="97">
        <v>45260</v>
      </c>
      <c r="L46" s="649">
        <f>IF(ISTEXT(Table159[[#This Row],[Engineering Approved Design Date]]),Table159[[#This Row],[Date Completed]]-Table159[[#This Row],[Date Assigned to Designer]],Table159[[#This Row],[Engineering Approved Design Date]]-Table159[[#This Row],[Date Completed]])</f>
        <v>4</v>
      </c>
      <c r="M46" s="642"/>
      <c r="N46" s="642" t="s">
        <v>120</v>
      </c>
      <c r="O46" s="510">
        <v>45261</v>
      </c>
      <c r="P46" s="221" t="s">
        <v>739</v>
      </c>
      <c r="Q46" s="70">
        <f>Table159[[#This Row],[Rate]]*Table159[[#This Row],[Construction Cost to Bill From]]</f>
        <v>29967.556</v>
      </c>
      <c r="R46" s="75">
        <v>0.08</v>
      </c>
      <c r="U46" s="87"/>
      <c r="V46" s="437">
        <v>1484</v>
      </c>
      <c r="W46" s="437">
        <v>0</v>
      </c>
      <c r="X46" s="94">
        <v>374594.45</v>
      </c>
      <c r="Y46" s="551"/>
      <c r="Z46" s="552">
        <v>0</v>
      </c>
      <c r="AA46" s="300">
        <f>SUM(Table159[[#This Row],[PCTS Investment Amount]:[PCTS Retirement Amount]])</f>
        <v>374594.45</v>
      </c>
      <c r="AB46" s="207">
        <v>45261</v>
      </c>
      <c r="AC46" s="108" t="s">
        <v>709</v>
      </c>
      <c r="AD46" s="108" t="s">
        <v>29</v>
      </c>
      <c r="AE46" s="187" t="s">
        <v>116</v>
      </c>
      <c r="AF46" s="568" t="s">
        <v>116</v>
      </c>
      <c r="AG46" s="568" t="s">
        <v>376</v>
      </c>
      <c r="AH46" s="374" t="s">
        <v>376</v>
      </c>
      <c r="AI46" s="489"/>
      <c r="AJ46" s="553"/>
      <c r="AK46" s="553"/>
      <c r="AL46" s="495"/>
      <c r="AM46" s="21" t="s">
        <v>116</v>
      </c>
      <c r="AN46" s="680" t="s">
        <v>709</v>
      </c>
      <c r="AO46" s="601"/>
      <c r="AP46" s="572"/>
      <c r="AQ46" s="572"/>
      <c r="AR46" s="572"/>
      <c r="AS46" s="538">
        <f>IF(Table159[[#This Row],[PCTS Approved]]="N",0,Table159[[#This Row],[Investment Amount (1'#'#'#'#'#)]]+Table159[[#This Row],[Retirement Amount (3'#'#'#'#'#)]])</f>
        <v>0</v>
      </c>
      <c r="AT46" s="538">
        <f>IF(Table159[[#This Row],[Approved Construction Cost]]=0,0,Table159[[#This Row],[Approved Construction Cost]]-Table159[[#This Row],[Construction Cost to Bill From]])</f>
        <v>0</v>
      </c>
      <c r="AU46" s="538">
        <f>IFERROR(Table159[[#This Row],[Difference in Construction Cost]]*Table159[[#This Row],[Rate]],Table159[[#This Row],[Difference in Construction Cost]]*0.085)</f>
        <v>0</v>
      </c>
      <c r="AV46" s="602"/>
      <c r="AW46" s="640"/>
      <c r="AX46" s="555"/>
      <c r="AY46" s="636" t="s">
        <v>709</v>
      </c>
      <c r="AZ46" s="443">
        <v>19</v>
      </c>
      <c r="BA46" s="1074" t="s">
        <v>1689</v>
      </c>
      <c r="BB46" s="644" t="s">
        <v>1690</v>
      </c>
      <c r="BC46" s="479" t="s">
        <v>116</v>
      </c>
      <c r="BD46" s="554" t="s">
        <v>709</v>
      </c>
      <c r="BE46" s="588" t="s">
        <v>1691</v>
      </c>
      <c r="BF46" s="588" t="s">
        <v>115</v>
      </c>
      <c r="BG46" s="483"/>
      <c r="BH46" s="749" t="s">
        <v>1677</v>
      </c>
      <c r="BI46" s="535" t="s">
        <v>709</v>
      </c>
      <c r="BJ46" s="547" t="s">
        <v>709</v>
      </c>
      <c r="BK46" s="547" t="s">
        <v>709</v>
      </c>
      <c r="BL46" s="547" t="s">
        <v>116</v>
      </c>
      <c r="BM46" s="547" t="s">
        <v>709</v>
      </c>
      <c r="BN46" s="547" t="s">
        <v>709</v>
      </c>
      <c r="BO46" s="547" t="s">
        <v>709</v>
      </c>
      <c r="BP46" s="547" t="s">
        <v>709</v>
      </c>
      <c r="BQ46" s="547" t="s">
        <v>709</v>
      </c>
      <c r="BR46" s="547">
        <v>1484</v>
      </c>
      <c r="BS46" s="547" t="s">
        <v>709</v>
      </c>
      <c r="BT46" s="547" t="s">
        <v>709</v>
      </c>
      <c r="BU46" s="547" t="s">
        <v>709</v>
      </c>
      <c r="BV46" s="547" t="s">
        <v>709</v>
      </c>
      <c r="BW46" s="547" t="s">
        <v>709</v>
      </c>
      <c r="BX46" s="547" t="s">
        <v>709</v>
      </c>
      <c r="BY46" s="547" t="s">
        <v>709</v>
      </c>
      <c r="BZ46" s="483"/>
    </row>
    <row r="47" spans="1:78" ht="15" hidden="1" customHeight="1" x14ac:dyDescent="0.25">
      <c r="A47" s="8" t="s">
        <v>749</v>
      </c>
      <c r="B47" s="8" t="s">
        <v>759</v>
      </c>
      <c r="C47" s="8" t="s">
        <v>326</v>
      </c>
      <c r="D47" s="8" t="s">
        <v>1368</v>
      </c>
      <c r="E47" s="8" t="s">
        <v>327</v>
      </c>
      <c r="F47" s="8" t="s">
        <v>752</v>
      </c>
      <c r="G47" s="8" t="s">
        <v>32</v>
      </c>
      <c r="H47" s="8" t="s">
        <v>59</v>
      </c>
      <c r="I47" s="642">
        <v>44788</v>
      </c>
      <c r="J47" s="18">
        <v>44865</v>
      </c>
      <c r="K47" s="97">
        <v>44861</v>
      </c>
      <c r="L47" s="16">
        <f>IF(ISTEXT(Table159[[#This Row],[Engineering Approved Design Date]]),Table159[[#This Row],[Date Completed]]-Table159[[#This Row],[Date Assigned to Designer]],Table159[[#This Row],[Engineering Approved Design Date]]-Table159[[#This Row],[Date Completed]])</f>
        <v>4</v>
      </c>
      <c r="M47" s="642"/>
      <c r="N47" s="642" t="s">
        <v>120</v>
      </c>
      <c r="O47" s="534">
        <v>44866</v>
      </c>
      <c r="P47" s="68" t="s">
        <v>739</v>
      </c>
      <c r="Q47" s="94">
        <f>(Table159[[#This Row],[Construction Cost to Bill From]]*0.085)+7750</f>
        <v>25950.77375</v>
      </c>
      <c r="R47" s="75" t="s">
        <v>1055</v>
      </c>
      <c r="U47" s="87"/>
      <c r="V47" s="437">
        <v>6</v>
      </c>
      <c r="W47" s="437">
        <v>2</v>
      </c>
      <c r="X47" s="106">
        <v>173326.94</v>
      </c>
      <c r="Y47" s="592"/>
      <c r="Z47" s="570">
        <v>40799.81</v>
      </c>
      <c r="AA47" s="300">
        <f>Table159[[#This Row],[PCTS Investment Amount]]+Table159[[#This Row],[PCTS Retirement Amount]]</f>
        <v>214126.75</v>
      </c>
      <c r="AB47" s="207">
        <v>44887</v>
      </c>
      <c r="AC47" s="108" t="s">
        <v>116</v>
      </c>
      <c r="AD47" s="108" t="s">
        <v>709</v>
      </c>
      <c r="AE47" s="349"/>
      <c r="AF47" s="579"/>
      <c r="AG47" s="579"/>
      <c r="AH47" s="354"/>
      <c r="AI47" s="489"/>
      <c r="AJ47" s="553"/>
      <c r="AK47" s="553"/>
      <c r="AL47" s="495"/>
      <c r="AM47" s="21" t="s">
        <v>116</v>
      </c>
      <c r="AN47" s="680" t="s">
        <v>709</v>
      </c>
      <c r="AO47" s="601" t="s">
        <v>115</v>
      </c>
      <c r="AP47" s="572"/>
      <c r="AQ47" s="572"/>
      <c r="AR47" s="572"/>
      <c r="AS47" s="538">
        <f>IF(Table159[[#This Row],[PCTS Approved]]="N",0,Table159[[#This Row],[Investment Amount (1'#'#'#'#'#)]]+Table159[[#This Row],[Retirement Amount (3'#'#'#'#'#)]])</f>
        <v>0</v>
      </c>
      <c r="AT47" s="538">
        <f>IF(Table159[[#This Row],[Approved Construction Cost]]=0,0,Table159[[#This Row],[Approved Construction Cost]]-Table159[[#This Row],[Construction Cost to Bill From]])</f>
        <v>0</v>
      </c>
      <c r="AU47" s="538">
        <f>IFERROR(Table159[[#This Row],[Difference in Construction Cost]]*Table159[[#This Row],[Rate]],Table159[[#This Row],[Difference in Construction Cost]]*0.085)</f>
        <v>0</v>
      </c>
      <c r="AV47" s="572"/>
      <c r="AW47" s="639"/>
      <c r="AX47" s="538"/>
      <c r="AY47" s="636" t="s">
        <v>709</v>
      </c>
      <c r="AZ47" s="443">
        <v>189</v>
      </c>
      <c r="BA47" s="652" t="s">
        <v>1369</v>
      </c>
      <c r="BB47" s="644" t="s">
        <v>1370</v>
      </c>
      <c r="BC47" s="478" t="s">
        <v>709</v>
      </c>
      <c r="BD47" s="544" t="s">
        <v>882</v>
      </c>
      <c r="BE47" s="544" t="s">
        <v>448</v>
      </c>
      <c r="BF47" s="544" t="s">
        <v>115</v>
      </c>
      <c r="BG47" s="512" t="s">
        <v>115</v>
      </c>
      <c r="BH47" s="741"/>
      <c r="BI47" s="535" t="s">
        <v>709</v>
      </c>
      <c r="BJ47" s="547" t="s">
        <v>709</v>
      </c>
      <c r="BK47" s="547" t="s">
        <v>116</v>
      </c>
      <c r="BL47" s="547" t="s">
        <v>709</v>
      </c>
      <c r="BM47" s="547" t="s">
        <v>709</v>
      </c>
      <c r="BN47" s="547" t="s">
        <v>709</v>
      </c>
      <c r="BO47" s="547" t="s">
        <v>709</v>
      </c>
      <c r="BP47" s="547" t="s">
        <v>709</v>
      </c>
      <c r="BQ47" s="547" t="s">
        <v>709</v>
      </c>
      <c r="BR47" s="547">
        <v>6</v>
      </c>
      <c r="BS47" s="547" t="s">
        <v>709</v>
      </c>
      <c r="BT47" s="547" t="s">
        <v>745</v>
      </c>
      <c r="BU47" s="547" t="s">
        <v>709</v>
      </c>
      <c r="BV47" s="547" t="s">
        <v>745</v>
      </c>
      <c r="BW47" s="547">
        <v>1</v>
      </c>
      <c r="BX47" s="547">
        <v>1</v>
      </c>
      <c r="BY47" s="547" t="s">
        <v>745</v>
      </c>
      <c r="BZ47" s="483" t="s">
        <v>2</v>
      </c>
    </row>
    <row r="48" spans="1:78" ht="15" hidden="1" customHeight="1" x14ac:dyDescent="0.25">
      <c r="A48" s="8" t="s">
        <v>749</v>
      </c>
      <c r="B48" s="8" t="s">
        <v>4</v>
      </c>
      <c r="C48" s="8" t="s">
        <v>1608</v>
      </c>
      <c r="D48" s="8" t="s">
        <v>1609</v>
      </c>
      <c r="E48" s="8" t="s">
        <v>232</v>
      </c>
      <c r="F48" s="8" t="s">
        <v>747</v>
      </c>
      <c r="G48" s="8" t="s">
        <v>33</v>
      </c>
      <c r="H48" s="13" t="s">
        <v>59</v>
      </c>
      <c r="I48" s="642">
        <v>44977</v>
      </c>
      <c r="J48" s="18">
        <v>45142</v>
      </c>
      <c r="K48" s="175">
        <v>45142</v>
      </c>
      <c r="L48" s="649">
        <f>IF(ISTEXT(Table159[[#This Row],[Engineering Approved Design Date]]),Table159[[#This Row],[Date Completed]]-Table159[[#This Row],[Date Assigned to Designer]],Table159[[#This Row],[Engineering Approved Design Date]]-Table159[[#This Row],[Date Completed]])</f>
        <v>0</v>
      </c>
      <c r="M48" s="642" t="s">
        <v>1610</v>
      </c>
      <c r="N48" s="642" t="s">
        <v>120</v>
      </c>
      <c r="O48" s="510">
        <v>45200</v>
      </c>
      <c r="P48" s="221" t="s">
        <v>739</v>
      </c>
      <c r="Q48" s="70">
        <f>Table159[[#This Row],[Rate]]*Table159[[#This Row],[Construction Cost to Bill From]]</f>
        <v>24659.753000000001</v>
      </c>
      <c r="R48" s="75">
        <v>0.1</v>
      </c>
      <c r="U48" s="87"/>
      <c r="V48" s="437">
        <v>905</v>
      </c>
      <c r="W48" s="437">
        <v>0</v>
      </c>
      <c r="X48" s="94">
        <v>213292.88</v>
      </c>
      <c r="Y48" s="592"/>
      <c r="Z48" s="552">
        <v>33304.65</v>
      </c>
      <c r="AA48" s="300">
        <f>SUM(Table159[[#This Row],[PCTS Investment Amount]:[PCTS Retirement Amount]])</f>
        <v>246597.53</v>
      </c>
      <c r="AB48" s="207">
        <v>45026</v>
      </c>
      <c r="AC48" s="108" t="s">
        <v>709</v>
      </c>
      <c r="AD48" s="108" t="s">
        <v>29</v>
      </c>
      <c r="AE48" s="187" t="s">
        <v>756</v>
      </c>
      <c r="AF48" s="568" t="s">
        <v>29</v>
      </c>
      <c r="AG48" s="568" t="s">
        <v>29</v>
      </c>
      <c r="AH48" s="356" t="s">
        <v>29</v>
      </c>
      <c r="AI48" s="489"/>
      <c r="AJ48" s="553"/>
      <c r="AK48" s="553"/>
      <c r="AL48" s="495"/>
      <c r="AM48" s="21" t="s">
        <v>116</v>
      </c>
      <c r="AN48" s="801">
        <v>45496</v>
      </c>
      <c r="AO48" s="806">
        <v>11086823</v>
      </c>
      <c r="AP48" s="788">
        <v>156209.79</v>
      </c>
      <c r="AQ48" s="788"/>
      <c r="AR48" s="788">
        <v>26312.77</v>
      </c>
      <c r="AS48" s="538">
        <f>IF(Table159[[#This Row],[PCTS Approved]]="N",0,Table159[[#This Row],[Investment Amount (1'#'#'#'#'#)]]+Table159[[#This Row],[Retirement Amount (3'#'#'#'#'#)]])</f>
        <v>182522.56</v>
      </c>
      <c r="AT48" s="538">
        <f>IF(Table159[[#This Row],[Approved Construction Cost]]=0,0,Table159[[#This Row],[Approved Construction Cost]]-Table159[[#This Row],[Construction Cost to Bill From]])</f>
        <v>-64074.97</v>
      </c>
      <c r="AU48" s="538">
        <f>IFERROR(Table159[[#This Row],[Difference in Construction Cost]]*Table159[[#This Row],[Rate]],Table159[[#This Row],[Difference in Construction Cost]]*0.085)</f>
        <v>-6407.4970000000003</v>
      </c>
      <c r="AV48" s="718">
        <v>7367.5</v>
      </c>
      <c r="AW48" s="683" t="s">
        <v>6812</v>
      </c>
      <c r="AX48" s="555"/>
      <c r="AY48" s="636" t="s">
        <v>709</v>
      </c>
      <c r="AZ48" s="443">
        <v>93</v>
      </c>
      <c r="BA48" s="652" t="s">
        <v>1611</v>
      </c>
      <c r="BB48" s="644" t="s">
        <v>1045</v>
      </c>
      <c r="BC48" s="478" t="s">
        <v>709</v>
      </c>
      <c r="BD48" s="544" t="s">
        <v>1092</v>
      </c>
      <c r="BE48" s="544" t="s">
        <v>595</v>
      </c>
      <c r="BF48" s="544" t="s">
        <v>595</v>
      </c>
      <c r="BG48" s="483" t="s">
        <v>709</v>
      </c>
      <c r="BH48" s="749" t="s">
        <v>1612</v>
      </c>
      <c r="BI48" s="535" t="s">
        <v>709</v>
      </c>
      <c r="BJ48" s="547" t="s">
        <v>709</v>
      </c>
      <c r="BK48" s="547" t="s">
        <v>709</v>
      </c>
      <c r="BL48" s="547" t="s">
        <v>116</v>
      </c>
      <c r="BM48" s="547" t="s">
        <v>709</v>
      </c>
      <c r="BN48" s="547" t="s">
        <v>709</v>
      </c>
      <c r="BO48" s="547" t="s">
        <v>709</v>
      </c>
      <c r="BP48" s="547" t="s">
        <v>709</v>
      </c>
      <c r="BQ48" s="547" t="s">
        <v>709</v>
      </c>
      <c r="BR48" s="547">
        <v>535</v>
      </c>
      <c r="BS48" s="547">
        <v>370</v>
      </c>
      <c r="BT48" s="547" t="s">
        <v>709</v>
      </c>
      <c r="BU48" s="547" t="s">
        <v>709</v>
      </c>
      <c r="BV48" s="547" t="s">
        <v>709</v>
      </c>
      <c r="BW48" s="547" t="s">
        <v>709</v>
      </c>
      <c r="BX48" s="547" t="s">
        <v>745</v>
      </c>
      <c r="BY48" s="547" t="s">
        <v>709</v>
      </c>
      <c r="BZ48" s="483"/>
    </row>
    <row r="49" spans="1:78" ht="15" customHeight="1" x14ac:dyDescent="0.25">
      <c r="A49" s="8">
        <v>2023</v>
      </c>
      <c r="B49" s="8" t="s">
        <v>1073</v>
      </c>
      <c r="C49" s="8" t="s">
        <v>544</v>
      </c>
      <c r="D49" s="8" t="s">
        <v>1540</v>
      </c>
      <c r="E49" s="8" t="s">
        <v>1492</v>
      </c>
      <c r="F49" s="8" t="s">
        <v>784</v>
      </c>
      <c r="G49" s="8" t="s">
        <v>31</v>
      </c>
      <c r="H49" s="13" t="s">
        <v>59</v>
      </c>
      <c r="I49" s="642">
        <v>44978</v>
      </c>
      <c r="J49" s="18">
        <v>45106</v>
      </c>
      <c r="K49" s="97">
        <v>45106</v>
      </c>
      <c r="L49" s="16">
        <f>IF(ISTEXT(Table159[[#This Row],[Engineering Approved Design Date]]),Table159[[#This Row],[Date Completed]]-Table159[[#This Row],[Date Assigned to Designer]],Table159[[#This Row],[Engineering Approved Design Date]]-Table159[[#This Row],[Date Completed]])</f>
        <v>0</v>
      </c>
      <c r="M49" s="642"/>
      <c r="N49" s="642" t="s">
        <v>120</v>
      </c>
      <c r="O49" s="510">
        <v>45108</v>
      </c>
      <c r="P49" s="221" t="s">
        <v>739</v>
      </c>
      <c r="Q49" s="70">
        <f>Table159[[#This Row],[Rate]]*Table159[[#This Row],[Construction Cost to Bill From]]</f>
        <v>217618.17120000001</v>
      </c>
      <c r="R49" s="75">
        <v>0.08</v>
      </c>
      <c r="U49" s="87"/>
      <c r="V49" s="437">
        <v>7379</v>
      </c>
      <c r="W49" s="437">
        <v>1</v>
      </c>
      <c r="X49" s="94">
        <v>2642675.2400000002</v>
      </c>
      <c r="Y49" s="592"/>
      <c r="Z49" s="552">
        <v>77551.899999999994</v>
      </c>
      <c r="AA49" s="800">
        <f>SUM(Table159[[#This Row],[PCTS Investment Amount]:[PCTS Retirement Amount]])</f>
        <v>2720227.14</v>
      </c>
      <c r="AB49" s="207">
        <v>45107</v>
      </c>
      <c r="AC49" s="108" t="s">
        <v>116</v>
      </c>
      <c r="AD49" s="108" t="s">
        <v>29</v>
      </c>
      <c r="AE49" s="187" t="s">
        <v>756</v>
      </c>
      <c r="AF49" s="568" t="s">
        <v>29</v>
      </c>
      <c r="AG49" s="568" t="s">
        <v>116</v>
      </c>
      <c r="AH49" s="356" t="s">
        <v>29</v>
      </c>
      <c r="AI49" s="489"/>
      <c r="AJ49" s="553"/>
      <c r="AK49" s="553"/>
      <c r="AL49" s="495"/>
      <c r="AM49" s="21" t="s">
        <v>116</v>
      </c>
      <c r="AN49" s="790">
        <v>45657</v>
      </c>
      <c r="AO49" s="791">
        <v>11060045</v>
      </c>
      <c r="AP49" s="788">
        <v>1082126.52</v>
      </c>
      <c r="AQ49" s="682"/>
      <c r="AR49" s="788">
        <v>0</v>
      </c>
      <c r="AS49" s="538">
        <f>IF(Table159[[#This Row],[PCTS Approved]]="N",0,Table159[[#This Row],[Investment Amount (1'#'#'#'#'#)]]+Table159[[#This Row],[Retirement Amount (3'#'#'#'#'#)]])</f>
        <v>1082126.52</v>
      </c>
      <c r="AT49" s="538">
        <f>IF(Table159[[#This Row],[Approved Construction Cost]]=0,0,Table159[[#This Row],[Approved Construction Cost]]-Table159[[#This Row],[Construction Cost to Bill From]])</f>
        <v>-1638100.62</v>
      </c>
      <c r="AU49" s="538">
        <f>IFERROR(Table159[[#This Row],[Difference in Construction Cost]]*Table159[[#This Row],[Rate]],Table159[[#This Row],[Difference in Construction Cost]]*0.085)</f>
        <v>-131048.04960000001</v>
      </c>
      <c r="AV49" s="788">
        <v>24035</v>
      </c>
      <c r="AW49" s="787" t="s">
        <v>5757</v>
      </c>
      <c r="AX49" s="538"/>
      <c r="AY49" s="636" t="s">
        <v>709</v>
      </c>
      <c r="AZ49" s="443">
        <v>15</v>
      </c>
      <c r="BA49" s="652" t="s">
        <v>1541</v>
      </c>
      <c r="BB49" s="644" t="s">
        <v>1542</v>
      </c>
      <c r="BC49" s="478" t="s">
        <v>116</v>
      </c>
      <c r="BD49" s="544" t="s">
        <v>115</v>
      </c>
      <c r="BE49" s="544" t="s">
        <v>545</v>
      </c>
      <c r="BF49" s="544" t="s">
        <v>115</v>
      </c>
      <c r="BG49" s="512" t="s">
        <v>1543</v>
      </c>
      <c r="BH49" s="741" t="s">
        <v>1544</v>
      </c>
      <c r="BI49" s="528" t="s">
        <v>116</v>
      </c>
      <c r="BJ49" s="549" t="s">
        <v>709</v>
      </c>
      <c r="BK49" s="549" t="s">
        <v>709</v>
      </c>
      <c r="BL49" s="549" t="s">
        <v>116</v>
      </c>
      <c r="BM49" s="549" t="s">
        <v>709</v>
      </c>
      <c r="BN49" s="549" t="s">
        <v>709</v>
      </c>
      <c r="BO49" s="549" t="s">
        <v>709</v>
      </c>
      <c r="BP49" s="549">
        <v>4800</v>
      </c>
      <c r="BQ49" s="549">
        <v>2447</v>
      </c>
      <c r="BR49" s="549">
        <v>45</v>
      </c>
      <c r="BS49" s="549">
        <v>5</v>
      </c>
      <c r="BT49" s="549">
        <v>1</v>
      </c>
      <c r="BU49" s="549" t="s">
        <v>709</v>
      </c>
      <c r="BV49" s="549" t="s">
        <v>709</v>
      </c>
      <c r="BW49" s="549" t="s">
        <v>709</v>
      </c>
      <c r="BX49" s="549">
        <v>1</v>
      </c>
      <c r="BY49" s="549" t="s">
        <v>709</v>
      </c>
      <c r="BZ49" s="483"/>
    </row>
    <row r="50" spans="1:78" ht="15" hidden="1" customHeight="1" x14ac:dyDescent="0.25">
      <c r="A50" s="8" t="s">
        <v>781</v>
      </c>
      <c r="B50" s="8" t="s">
        <v>4</v>
      </c>
      <c r="C50" s="8" t="s">
        <v>1357</v>
      </c>
      <c r="D50" s="8" t="s">
        <v>1358</v>
      </c>
      <c r="E50" s="8" t="s">
        <v>958</v>
      </c>
      <c r="F50" s="8" t="s">
        <v>784</v>
      </c>
      <c r="G50" s="8" t="s">
        <v>35</v>
      </c>
      <c r="H50" s="8" t="s">
        <v>59</v>
      </c>
      <c r="I50" s="642">
        <v>44774</v>
      </c>
      <c r="J50" s="18">
        <v>44862</v>
      </c>
      <c r="K50" s="97">
        <v>44852</v>
      </c>
      <c r="L50" s="16">
        <f>IF(ISTEXT(Table159[[#This Row],[Engineering Approved Design Date]]),Table159[[#This Row],[Date Completed]]-Table159[[#This Row],[Date Assigned to Designer]],Table159[[#This Row],[Engineering Approved Design Date]]-Table159[[#This Row],[Date Completed]])</f>
        <v>10</v>
      </c>
      <c r="M50" s="642"/>
      <c r="N50" s="642" t="s">
        <v>120</v>
      </c>
      <c r="O50" s="510">
        <v>44896</v>
      </c>
      <c r="P50" s="68" t="s">
        <v>739</v>
      </c>
      <c r="Q50" s="71">
        <f>R50*AA50</f>
        <v>77940.687000000005</v>
      </c>
      <c r="R50" s="75">
        <v>0.1</v>
      </c>
      <c r="U50" s="87"/>
      <c r="V50" s="437">
        <f>1052+1889</f>
        <v>2941</v>
      </c>
      <c r="X50" s="106">
        <v>747426.32</v>
      </c>
      <c r="Y50" s="592"/>
      <c r="Z50" s="570">
        <v>31980.55</v>
      </c>
      <c r="AA50" s="300">
        <f>Table159[[#This Row],[PCTS Investment Amount]]+Table159[[#This Row],[PCTS Retirement Amount]]</f>
        <v>779406.87</v>
      </c>
      <c r="AB50" s="207">
        <v>44886</v>
      </c>
      <c r="AC50" s="108" t="s">
        <v>709</v>
      </c>
      <c r="AD50" s="108" t="s">
        <v>709</v>
      </c>
      <c r="AE50" s="349"/>
      <c r="AF50" s="579"/>
      <c r="AG50" s="579"/>
      <c r="AH50" s="354"/>
      <c r="AI50" s="489"/>
      <c r="AJ50" s="553"/>
      <c r="AK50" s="553"/>
      <c r="AL50" s="495"/>
      <c r="AM50" s="21" t="s">
        <v>116</v>
      </c>
      <c r="AN50" s="680" t="s">
        <v>709</v>
      </c>
      <c r="AO50" s="681" t="s">
        <v>115</v>
      </c>
      <c r="AP50" s="682"/>
      <c r="AQ50" s="682"/>
      <c r="AR50" s="682"/>
      <c r="AS50" s="538">
        <f>IF(Table159[[#This Row],[PCTS Approved]]="N",0,Table159[[#This Row],[Investment Amount (1'#'#'#'#'#)]]+Table159[[#This Row],[Retirement Amount (3'#'#'#'#'#)]])</f>
        <v>0</v>
      </c>
      <c r="AT50" s="538">
        <f>IF(Table159[[#This Row],[Approved Construction Cost]]=0,0,Table159[[#This Row],[Approved Construction Cost]]-Table159[[#This Row],[Construction Cost to Bill From]])</f>
        <v>0</v>
      </c>
      <c r="AU50" s="538">
        <f>IFERROR(Table159[[#This Row],[Difference in Construction Cost]]*Table159[[#This Row],[Rate]],Table159[[#This Row],[Difference in Construction Cost]]*0.085)</f>
        <v>0</v>
      </c>
      <c r="AV50" s="682"/>
      <c r="AW50" s="686"/>
      <c r="AX50" s="538"/>
      <c r="AY50" s="636" t="s">
        <v>709</v>
      </c>
      <c r="AZ50" s="443">
        <v>72</v>
      </c>
      <c r="BA50" s="657">
        <v>7</v>
      </c>
      <c r="BB50" s="650" t="s">
        <v>1359</v>
      </c>
      <c r="BC50" s="478" t="s">
        <v>116</v>
      </c>
      <c r="BD50" s="544" t="s">
        <v>115</v>
      </c>
      <c r="BE50" s="544" t="s">
        <v>592</v>
      </c>
      <c r="BF50" s="544" t="s">
        <v>115</v>
      </c>
      <c r="BG50" s="512" t="s">
        <v>115</v>
      </c>
      <c r="BH50" s="741"/>
      <c r="BI50" s="535" t="s">
        <v>709</v>
      </c>
      <c r="BJ50" s="547" t="s">
        <v>709</v>
      </c>
      <c r="BK50" s="547" t="s">
        <v>709</v>
      </c>
      <c r="BL50" s="547" t="s">
        <v>116</v>
      </c>
      <c r="BM50" s="547" t="s">
        <v>709</v>
      </c>
      <c r="BN50" s="547" t="s">
        <v>709</v>
      </c>
      <c r="BO50" s="547" t="s">
        <v>709</v>
      </c>
      <c r="BP50" s="547" t="s">
        <v>709</v>
      </c>
      <c r="BQ50" s="547" t="s">
        <v>709</v>
      </c>
      <c r="BR50" s="547">
        <v>1889</v>
      </c>
      <c r="BS50" s="547">
        <v>1052</v>
      </c>
      <c r="BT50" s="547" t="s">
        <v>745</v>
      </c>
      <c r="BU50" s="547" t="s">
        <v>709</v>
      </c>
      <c r="BV50" s="547" t="s">
        <v>745</v>
      </c>
      <c r="BW50" s="547" t="s">
        <v>709</v>
      </c>
      <c r="BX50" s="547" t="s">
        <v>745</v>
      </c>
      <c r="BY50" s="547" t="s">
        <v>745</v>
      </c>
      <c r="BZ50" s="483"/>
    </row>
    <row r="51" spans="1:78" ht="15" hidden="1" customHeight="1" x14ac:dyDescent="0.25">
      <c r="A51" s="8" t="s">
        <v>781</v>
      </c>
      <c r="B51" s="8" t="s">
        <v>4</v>
      </c>
      <c r="C51" s="8" t="s">
        <v>1365</v>
      </c>
      <c r="D51" s="8" t="s">
        <v>1366</v>
      </c>
      <c r="E51" s="8" t="s">
        <v>1004</v>
      </c>
      <c r="F51" s="8" t="s">
        <v>747</v>
      </c>
      <c r="G51" s="8" t="s">
        <v>23</v>
      </c>
      <c r="H51" s="8" t="s">
        <v>59</v>
      </c>
      <c r="I51" s="642">
        <v>44631</v>
      </c>
      <c r="J51" s="18">
        <v>44862</v>
      </c>
      <c r="K51" s="97">
        <v>44860</v>
      </c>
      <c r="L51" s="16">
        <f>IF(ISTEXT(Table159[[#This Row],[Engineering Approved Design Date]]),Table159[[#This Row],[Date Completed]]-Table159[[#This Row],[Date Assigned to Designer]],Table159[[#This Row],[Engineering Approved Design Date]]-Table159[[#This Row],[Date Completed]])</f>
        <v>2</v>
      </c>
      <c r="M51" s="642"/>
      <c r="N51" s="642" t="s">
        <v>120</v>
      </c>
      <c r="O51" s="510">
        <v>44896</v>
      </c>
      <c r="P51" s="68" t="s">
        <v>739</v>
      </c>
      <c r="Q51" s="71">
        <f>R51*AA51</f>
        <v>162589.47100000002</v>
      </c>
      <c r="R51" s="75">
        <v>0.1</v>
      </c>
      <c r="U51" s="87"/>
      <c r="V51" s="437">
        <v>6132</v>
      </c>
      <c r="X51" s="106">
        <v>1560406.45</v>
      </c>
      <c r="Y51" s="592"/>
      <c r="Z51" s="570">
        <v>65488.26</v>
      </c>
      <c r="AA51" s="300">
        <f>Table159[[#This Row],[PCTS Investment Amount]]+Table159[[#This Row],[PCTS Retirement Amount]]</f>
        <v>1625894.71</v>
      </c>
      <c r="AB51" s="207">
        <v>44881</v>
      </c>
      <c r="AC51" s="108" t="s">
        <v>709</v>
      </c>
      <c r="AD51" s="108" t="s">
        <v>29</v>
      </c>
      <c r="AE51" s="349"/>
      <c r="AF51" s="579"/>
      <c r="AG51" s="579"/>
      <c r="AH51" s="354"/>
      <c r="AI51" s="489"/>
      <c r="AJ51" s="553"/>
      <c r="AK51" s="553"/>
      <c r="AL51" s="495"/>
      <c r="AM51" s="21" t="s">
        <v>116</v>
      </c>
      <c r="AN51" s="680" t="s">
        <v>709</v>
      </c>
      <c r="AO51" s="601">
        <v>11051711</v>
      </c>
      <c r="AP51" s="572"/>
      <c r="AQ51" s="572"/>
      <c r="AR51" s="572"/>
      <c r="AS51" s="538">
        <f>IF(Table159[[#This Row],[PCTS Approved]]="N",0,Table159[[#This Row],[Investment Amount (1'#'#'#'#'#)]]+Table159[[#This Row],[Retirement Amount (3'#'#'#'#'#)]])</f>
        <v>0</v>
      </c>
      <c r="AT51" s="538">
        <f>IF(Table159[[#This Row],[Approved Construction Cost]]=0,0,Table159[[#This Row],[Approved Construction Cost]]-Table159[[#This Row],[Construction Cost to Bill From]])</f>
        <v>0</v>
      </c>
      <c r="AU51" s="538">
        <f>IFERROR(Table159[[#This Row],[Difference in Construction Cost]]*Table159[[#This Row],[Rate]],Table159[[#This Row],[Difference in Construction Cost]]*0.085)</f>
        <v>0</v>
      </c>
      <c r="AV51" s="572"/>
      <c r="AW51" s="639"/>
      <c r="AX51" s="538"/>
      <c r="AY51" s="636" t="s">
        <v>709</v>
      </c>
      <c r="AZ51" s="443">
        <v>73</v>
      </c>
      <c r="BA51" s="652" t="s">
        <v>1367</v>
      </c>
      <c r="BB51" s="644" t="s">
        <v>787</v>
      </c>
      <c r="BC51" s="478" t="s">
        <v>116</v>
      </c>
      <c r="BD51" s="544" t="s">
        <v>788</v>
      </c>
      <c r="BE51" s="544" t="s">
        <v>495</v>
      </c>
      <c r="BF51" s="544" t="s">
        <v>115</v>
      </c>
      <c r="BG51" s="512" t="s">
        <v>115</v>
      </c>
      <c r="BH51" s="741"/>
      <c r="BI51" s="535" t="s">
        <v>709</v>
      </c>
      <c r="BJ51" s="547" t="s">
        <v>709</v>
      </c>
      <c r="BK51" s="547" t="s">
        <v>116</v>
      </c>
      <c r="BL51" s="547" t="s">
        <v>116</v>
      </c>
      <c r="BM51" s="547" t="s">
        <v>709</v>
      </c>
      <c r="BN51" s="547">
        <v>189</v>
      </c>
      <c r="BO51" s="547" t="s">
        <v>709</v>
      </c>
      <c r="BP51" s="547" t="s">
        <v>709</v>
      </c>
      <c r="BQ51" s="547" t="s">
        <v>709</v>
      </c>
      <c r="BR51" s="547">
        <v>3731</v>
      </c>
      <c r="BS51" s="547">
        <v>2212</v>
      </c>
      <c r="BT51" s="547" t="s">
        <v>745</v>
      </c>
      <c r="BU51" s="547" t="s">
        <v>709</v>
      </c>
      <c r="BV51" s="547" t="s">
        <v>745</v>
      </c>
      <c r="BW51" s="547" t="s">
        <v>709</v>
      </c>
      <c r="BX51" s="547" t="s">
        <v>709</v>
      </c>
      <c r="BY51" s="547" t="s">
        <v>745</v>
      </c>
      <c r="BZ51" s="483"/>
    </row>
    <row r="52" spans="1:78" ht="15" hidden="1" customHeight="1" x14ac:dyDescent="0.25">
      <c r="A52" s="8" t="s">
        <v>749</v>
      </c>
      <c r="B52" s="8" t="s">
        <v>4</v>
      </c>
      <c r="C52" s="8" t="s">
        <v>1377</v>
      </c>
      <c r="D52" s="8" t="s">
        <v>1378</v>
      </c>
      <c r="E52" s="8" t="s">
        <v>1154</v>
      </c>
      <c r="F52" s="8" t="s">
        <v>747</v>
      </c>
      <c r="G52" s="8" t="s">
        <v>23</v>
      </c>
      <c r="H52" s="8" t="s">
        <v>59</v>
      </c>
      <c r="I52" s="642">
        <v>44806</v>
      </c>
      <c r="J52" s="18">
        <v>44897</v>
      </c>
      <c r="K52" s="97">
        <v>44886</v>
      </c>
      <c r="L52" s="16">
        <f>IF(ISTEXT(Table159[[#This Row],[Engineering Approved Design Date]]),Table159[[#This Row],[Date Completed]]-Table159[[#This Row],[Date Assigned to Designer]],Table159[[#This Row],[Engineering Approved Design Date]]-Table159[[#This Row],[Date Completed]])</f>
        <v>11</v>
      </c>
      <c r="M52" s="642"/>
      <c r="N52" s="642" t="s">
        <v>120</v>
      </c>
      <c r="O52" s="510">
        <v>44896</v>
      </c>
      <c r="P52" s="68" t="s">
        <v>739</v>
      </c>
      <c r="Q52" s="71">
        <f>R52*AA52</f>
        <v>34386.415000000001</v>
      </c>
      <c r="R52" s="75">
        <v>0.1</v>
      </c>
      <c r="U52" s="87"/>
      <c r="V52" s="437">
        <v>1494</v>
      </c>
      <c r="X52" s="94">
        <v>288923.75</v>
      </c>
      <c r="Y52" s="592"/>
      <c r="Z52" s="552">
        <v>54940.4</v>
      </c>
      <c r="AA52" s="300">
        <f>Table159[[#This Row],[PCTS Investment Amount]]+Table159[[#This Row],[PCTS Retirement Amount]]</f>
        <v>343864.15</v>
      </c>
      <c r="AB52" s="207">
        <v>44888</v>
      </c>
      <c r="AC52" s="108" t="s">
        <v>709</v>
      </c>
      <c r="AD52" s="108" t="s">
        <v>116</v>
      </c>
      <c r="AE52" s="349"/>
      <c r="AF52" s="579"/>
      <c r="AG52" s="579"/>
      <c r="AH52" s="354"/>
      <c r="AI52" s="489"/>
      <c r="AJ52" s="553"/>
      <c r="AK52" s="553"/>
      <c r="AL52" s="495"/>
      <c r="AM52" s="21" t="s">
        <v>116</v>
      </c>
      <c r="AN52" s="680" t="s">
        <v>709</v>
      </c>
      <c r="AO52" s="601" t="s">
        <v>115</v>
      </c>
      <c r="AP52" s="572"/>
      <c r="AQ52" s="572"/>
      <c r="AR52" s="572"/>
      <c r="AS52" s="538">
        <f>IF(Table159[[#This Row],[PCTS Approved]]="N",0,Table159[[#This Row],[Investment Amount (1'#'#'#'#'#)]]+Table159[[#This Row],[Retirement Amount (3'#'#'#'#'#)]])</f>
        <v>0</v>
      </c>
      <c r="AT52" s="538">
        <f>IF(Table159[[#This Row],[Approved Construction Cost]]=0,0,Table159[[#This Row],[Approved Construction Cost]]-Table159[[#This Row],[Construction Cost to Bill From]])</f>
        <v>0</v>
      </c>
      <c r="AU52" s="538">
        <f>IFERROR(Table159[[#This Row],[Difference in Construction Cost]]*Table159[[#This Row],[Rate]],Table159[[#This Row],[Difference in Construction Cost]]*0.085)</f>
        <v>0</v>
      </c>
      <c r="AV52" s="572"/>
      <c r="AW52" s="639"/>
      <c r="AX52" s="538"/>
      <c r="AY52" s="636" t="s">
        <v>709</v>
      </c>
      <c r="AZ52" s="443">
        <v>74</v>
      </c>
      <c r="BA52" s="652" t="s">
        <v>1379</v>
      </c>
      <c r="BB52" s="644" t="s">
        <v>1380</v>
      </c>
      <c r="BC52" s="478" t="s">
        <v>115</v>
      </c>
      <c r="BD52" s="544" t="s">
        <v>115</v>
      </c>
      <c r="BE52" s="544" t="s">
        <v>1381</v>
      </c>
      <c r="BF52" s="544" t="s">
        <v>1157</v>
      </c>
      <c r="BG52" s="512" t="s">
        <v>115</v>
      </c>
      <c r="BH52" s="741"/>
      <c r="BI52" s="535" t="s">
        <v>709</v>
      </c>
      <c r="BJ52" s="547" t="s">
        <v>709</v>
      </c>
      <c r="BK52" s="547" t="s">
        <v>709</v>
      </c>
      <c r="BL52" s="547" t="s">
        <v>116</v>
      </c>
      <c r="BM52" s="547" t="s">
        <v>709</v>
      </c>
      <c r="BN52" s="547" t="s">
        <v>709</v>
      </c>
      <c r="BO52" s="547" t="s">
        <v>709</v>
      </c>
      <c r="BP52" s="547" t="s">
        <v>709</v>
      </c>
      <c r="BQ52" s="547">
        <v>1189</v>
      </c>
      <c r="BR52" s="547">
        <v>287</v>
      </c>
      <c r="BS52" s="547">
        <v>18</v>
      </c>
      <c r="BT52" s="547" t="s">
        <v>745</v>
      </c>
      <c r="BU52" s="547" t="s">
        <v>709</v>
      </c>
      <c r="BV52" s="547" t="s">
        <v>745</v>
      </c>
      <c r="BW52" s="547" t="s">
        <v>709</v>
      </c>
      <c r="BX52" s="547" t="s">
        <v>745</v>
      </c>
      <c r="BY52" s="547" t="s">
        <v>745</v>
      </c>
      <c r="BZ52" s="483"/>
    </row>
    <row r="53" spans="1:78" ht="15" hidden="1" customHeight="1" x14ac:dyDescent="0.25">
      <c r="A53" s="8" t="s">
        <v>781</v>
      </c>
      <c r="B53" s="8" t="s">
        <v>4</v>
      </c>
      <c r="C53" s="8" t="s">
        <v>1382</v>
      </c>
      <c r="D53" s="8" t="s">
        <v>1383</v>
      </c>
      <c r="E53" s="8" t="s">
        <v>1384</v>
      </c>
      <c r="F53" s="8" t="s">
        <v>747</v>
      </c>
      <c r="G53" s="8" t="s">
        <v>35</v>
      </c>
      <c r="H53" s="8" t="s">
        <v>59</v>
      </c>
      <c r="I53" s="642">
        <v>44721</v>
      </c>
      <c r="J53" s="18">
        <v>44895</v>
      </c>
      <c r="K53" s="97">
        <v>44893</v>
      </c>
      <c r="L53" s="16">
        <f>IF(ISTEXT(Table159[[#This Row],[Engineering Approved Design Date]]),Table159[[#This Row],[Date Completed]]-Table159[[#This Row],[Date Assigned to Designer]],Table159[[#This Row],[Engineering Approved Design Date]]-Table159[[#This Row],[Date Completed]])</f>
        <v>2</v>
      </c>
      <c r="M53" s="642"/>
      <c r="N53" s="642" t="s">
        <v>120</v>
      </c>
      <c r="O53" s="510">
        <v>44896</v>
      </c>
      <c r="P53" s="68" t="s">
        <v>739</v>
      </c>
      <c r="Q53" s="71">
        <f>R53*AA53</f>
        <v>57646.325000000004</v>
      </c>
      <c r="R53" s="75">
        <v>0.1</v>
      </c>
      <c r="U53" s="87"/>
      <c r="V53" s="437">
        <f>2081+25+4</f>
        <v>2110</v>
      </c>
      <c r="X53" s="106">
        <v>534271.6</v>
      </c>
      <c r="Y53" s="592"/>
      <c r="Z53" s="570">
        <v>42191.65</v>
      </c>
      <c r="AA53" s="300">
        <f>Table159[[#This Row],[PCTS Investment Amount]]+Table159[[#This Row],[PCTS Retirement Amount]]</f>
        <v>576463.25</v>
      </c>
      <c r="AB53" s="207" t="s">
        <v>709</v>
      </c>
      <c r="AC53" s="108" t="s">
        <v>709</v>
      </c>
      <c r="AD53" s="108" t="s">
        <v>29</v>
      </c>
      <c r="AE53" s="349"/>
      <c r="AF53" s="579"/>
      <c r="AG53" s="579"/>
      <c r="AH53" s="354"/>
      <c r="AI53" s="489"/>
      <c r="AJ53" s="553"/>
      <c r="AK53" s="553"/>
      <c r="AL53" s="495"/>
      <c r="AM53" s="21" t="s">
        <v>116</v>
      </c>
      <c r="AN53" s="680" t="s">
        <v>709</v>
      </c>
      <c r="AO53" s="681" t="s">
        <v>115</v>
      </c>
      <c r="AP53" s="682"/>
      <c r="AQ53" s="682"/>
      <c r="AR53" s="682"/>
      <c r="AS53" s="538">
        <f>IF(Table159[[#This Row],[PCTS Approved]]="N",0,Table159[[#This Row],[Investment Amount (1'#'#'#'#'#)]]+Table159[[#This Row],[Retirement Amount (3'#'#'#'#'#)]])</f>
        <v>0</v>
      </c>
      <c r="AT53" s="538">
        <f>IF(Table159[[#This Row],[Approved Construction Cost]]=0,0,Table159[[#This Row],[Approved Construction Cost]]-Table159[[#This Row],[Construction Cost to Bill From]])</f>
        <v>0</v>
      </c>
      <c r="AU53" s="538">
        <f>IFERROR(Table159[[#This Row],[Difference in Construction Cost]]*Table159[[#This Row],[Rate]],Table159[[#This Row],[Difference in Construction Cost]]*0.085)</f>
        <v>0</v>
      </c>
      <c r="AV53" s="682"/>
      <c r="AW53" s="686"/>
      <c r="AX53" s="538"/>
      <c r="AY53" s="636" t="s">
        <v>709</v>
      </c>
      <c r="AZ53" s="443">
        <v>75</v>
      </c>
      <c r="BA53" s="652" t="s">
        <v>1385</v>
      </c>
      <c r="BB53" s="644" t="s">
        <v>1386</v>
      </c>
      <c r="BC53" s="478" t="s">
        <v>709</v>
      </c>
      <c r="BD53" s="544" t="s">
        <v>115</v>
      </c>
      <c r="BE53" s="544" t="s">
        <v>1387</v>
      </c>
      <c r="BF53" s="544" t="s">
        <v>115</v>
      </c>
      <c r="BG53" s="512" t="s">
        <v>115</v>
      </c>
      <c r="BH53" s="741"/>
      <c r="BI53" s="535" t="s">
        <v>709</v>
      </c>
      <c r="BJ53" s="547" t="s">
        <v>709</v>
      </c>
      <c r="BK53" s="547" t="s">
        <v>709</v>
      </c>
      <c r="BL53" s="547" t="s">
        <v>116</v>
      </c>
      <c r="BM53" s="547" t="s">
        <v>709</v>
      </c>
      <c r="BN53" s="547" t="s">
        <v>709</v>
      </c>
      <c r="BO53" s="547" t="s">
        <v>709</v>
      </c>
      <c r="BP53" s="547" t="s">
        <v>709</v>
      </c>
      <c r="BQ53" s="547">
        <v>2081</v>
      </c>
      <c r="BR53" s="547">
        <v>4</v>
      </c>
      <c r="BS53" s="547">
        <v>25</v>
      </c>
      <c r="BT53" s="547" t="s">
        <v>745</v>
      </c>
      <c r="BU53" s="547" t="s">
        <v>709</v>
      </c>
      <c r="BV53" s="547" t="s">
        <v>745</v>
      </c>
      <c r="BW53" s="547" t="s">
        <v>709</v>
      </c>
      <c r="BX53" s="547" t="s">
        <v>745</v>
      </c>
      <c r="BY53" s="547" t="s">
        <v>745</v>
      </c>
      <c r="BZ53" s="483"/>
    </row>
    <row r="54" spans="1:78" ht="15" hidden="1" customHeight="1" x14ac:dyDescent="0.25">
      <c r="A54" s="8" t="s">
        <v>800</v>
      </c>
      <c r="B54" s="8" t="s">
        <v>4</v>
      </c>
      <c r="C54" s="8" t="s">
        <v>1746</v>
      </c>
      <c r="D54" s="8" t="s">
        <v>1747</v>
      </c>
      <c r="E54" s="8" t="s">
        <v>1748</v>
      </c>
      <c r="F54" s="8" t="s">
        <v>784</v>
      </c>
      <c r="G54" s="8" t="s">
        <v>31</v>
      </c>
      <c r="H54" s="8" t="s">
        <v>59</v>
      </c>
      <c r="I54" s="642">
        <v>45252</v>
      </c>
      <c r="J54" s="18">
        <v>45380</v>
      </c>
      <c r="K54" s="97">
        <v>45363</v>
      </c>
      <c r="L54" s="16">
        <f>IF(ISTEXT(Table159[[#This Row],[Engineering Approved Design Date]]),Table159[[#This Row],[Date Completed]]-Table159[[#This Row],[Date Assigned to Designer]],Table159[[#This Row],[Engineering Approved Design Date]]-Table159[[#This Row],[Date Completed]])</f>
        <v>17</v>
      </c>
      <c r="M54" s="642"/>
      <c r="N54" s="642" t="s">
        <v>120</v>
      </c>
      <c r="O54" s="510">
        <v>45352</v>
      </c>
      <c r="P54" s="221" t="s">
        <v>739</v>
      </c>
      <c r="Q54" s="70">
        <f>Table159[[#This Row],[Rate]]*Table159[[#This Row],[Construction Cost to Bill From]]</f>
        <v>29913.794000000002</v>
      </c>
      <c r="R54" s="75">
        <v>0.1</v>
      </c>
      <c r="U54" s="87"/>
      <c r="V54" s="437">
        <v>285</v>
      </c>
      <c r="W54" s="437">
        <v>0</v>
      </c>
      <c r="X54" s="70">
        <v>211063.84</v>
      </c>
      <c r="Y54" s="595"/>
      <c r="Z54" s="570">
        <v>88074.1</v>
      </c>
      <c r="AA54" s="300">
        <f>Table159[[#This Row],[PCTS Retirement Amount]]+Table159[[#This Row],[PCTS Investment Amount]]</f>
        <v>299137.94</v>
      </c>
      <c r="AB54" s="207">
        <v>45334</v>
      </c>
      <c r="AC54" s="22" t="s">
        <v>709</v>
      </c>
      <c r="AD54" s="22"/>
      <c r="AE54" s="187" t="s">
        <v>116</v>
      </c>
      <c r="AF54" s="568" t="s">
        <v>756</v>
      </c>
      <c r="AG54" s="183">
        <v>45371</v>
      </c>
      <c r="AH54" s="356">
        <v>45371</v>
      </c>
      <c r="AI54" s="426">
        <v>0</v>
      </c>
      <c r="AJ54" s="542">
        <v>2955.65</v>
      </c>
      <c r="AK54" s="542">
        <v>5344.5</v>
      </c>
      <c r="AL54" s="493">
        <f>SUM(Table159[[#This Row],[Nicor Initiated DBE]:[Staffing]])/(Table159[[#This Row],[Amount Invoiced]])</f>
        <v>0.27746898303839357</v>
      </c>
      <c r="AM54" s="21" t="s">
        <v>116</v>
      </c>
      <c r="AN54" s="801">
        <v>45588</v>
      </c>
      <c r="AO54" s="806">
        <v>11092776</v>
      </c>
      <c r="AP54" s="788">
        <v>214239.4</v>
      </c>
      <c r="AQ54" s="788"/>
      <c r="AR54" s="788">
        <v>89523.07</v>
      </c>
      <c r="AS54" s="538">
        <f>IF(Table159[[#This Row],[PCTS Approved]]="N",0,Table159[[#This Row],[Investment Amount (1'#'#'#'#'#)]]+Table159[[#This Row],[Retirement Amount (3'#'#'#'#'#)]])</f>
        <v>303762.46999999997</v>
      </c>
      <c r="AT54" s="538">
        <f>IF(Table159[[#This Row],[Approved Construction Cost]]=0,0,Table159[[#This Row],[Approved Construction Cost]]-Table159[[#This Row],[Construction Cost to Bill From]])</f>
        <v>4624.5299999999697</v>
      </c>
      <c r="AU54" s="538">
        <f>IFERROR(Table159[[#This Row],[Difference in Construction Cost]]*Table159[[#This Row],[Rate]],Table159[[#This Row],[Difference in Construction Cost]]*0.085)</f>
        <v>462.45299999999702</v>
      </c>
      <c r="AV54" s="718">
        <v>10522.5</v>
      </c>
      <c r="AW54" s="660" t="s">
        <v>6813</v>
      </c>
      <c r="AX54" s="555"/>
      <c r="AY54" s="636" t="s">
        <v>709</v>
      </c>
      <c r="AZ54" s="443">
        <v>130</v>
      </c>
      <c r="BA54" s="651" t="s">
        <v>1749</v>
      </c>
      <c r="BB54" s="644" t="s">
        <v>1750</v>
      </c>
      <c r="BC54" s="479" t="s">
        <v>116</v>
      </c>
      <c r="BD54" s="554" t="s">
        <v>1751</v>
      </c>
      <c r="BE54" s="588" t="s">
        <v>1752</v>
      </c>
      <c r="BF54" s="588" t="s">
        <v>709</v>
      </c>
      <c r="BG54" s="483" t="s">
        <v>1753</v>
      </c>
      <c r="BH54" s="615" t="s">
        <v>1754</v>
      </c>
      <c r="BI54" s="535" t="s">
        <v>709</v>
      </c>
      <c r="BJ54" s="549" t="s">
        <v>709</v>
      </c>
      <c r="BK54" s="547" t="s">
        <v>709</v>
      </c>
      <c r="BL54" s="547" t="s">
        <v>116</v>
      </c>
      <c r="BM54" s="626" t="s">
        <v>709</v>
      </c>
      <c r="BN54" s="549" t="s">
        <v>709</v>
      </c>
      <c r="BO54" s="626" t="s">
        <v>709</v>
      </c>
      <c r="BP54" s="626" t="s">
        <v>709</v>
      </c>
      <c r="BQ54" s="549" t="s">
        <v>709</v>
      </c>
      <c r="BR54" s="549">
        <v>285</v>
      </c>
      <c r="BS54" s="549" t="s">
        <v>709</v>
      </c>
      <c r="BT54" s="549" t="s">
        <v>745</v>
      </c>
      <c r="BU54" s="549" t="s">
        <v>709</v>
      </c>
      <c r="BV54" s="549" t="s">
        <v>745</v>
      </c>
      <c r="BW54" s="549" t="s">
        <v>709</v>
      </c>
      <c r="BX54" s="547" t="s">
        <v>745</v>
      </c>
      <c r="BY54" s="549" t="s">
        <v>745</v>
      </c>
      <c r="BZ54" s="483" t="s">
        <v>29</v>
      </c>
    </row>
    <row r="55" spans="1:78" ht="15" hidden="1" customHeight="1" x14ac:dyDescent="0.25">
      <c r="A55" s="8" t="s">
        <v>770</v>
      </c>
      <c r="B55" s="8" t="s">
        <v>771</v>
      </c>
      <c r="C55" s="8" t="s">
        <v>1228</v>
      </c>
      <c r="D55" s="8" t="s">
        <v>1229</v>
      </c>
      <c r="E55" s="8" t="s">
        <v>104</v>
      </c>
      <c r="F55" s="8" t="s">
        <v>738</v>
      </c>
      <c r="G55" s="8" t="s">
        <v>347</v>
      </c>
      <c r="H55" s="8" t="s">
        <v>59</v>
      </c>
      <c r="I55" s="642">
        <v>44250</v>
      </c>
      <c r="J55" s="18">
        <v>44526</v>
      </c>
      <c r="K55" s="97">
        <v>44524</v>
      </c>
      <c r="L55" s="16">
        <f>IF(ISTEXT(Table159[[#This Row],[Engineering Approved Design Date]]),Table159[[#This Row],[Date Completed]]-Table159[[#This Row],[Date Assigned to Designer]],Table159[[#This Row],[Engineering Approved Design Date]]-Table159[[#This Row],[Date Completed]])</f>
        <v>2</v>
      </c>
      <c r="M55" s="642"/>
      <c r="N55" s="642" t="s">
        <v>120</v>
      </c>
      <c r="O55" s="534">
        <v>44531</v>
      </c>
      <c r="P55" s="68" t="s">
        <v>120</v>
      </c>
      <c r="Q55" s="24">
        <f>R55*AA55</f>
        <v>100097.7831</v>
      </c>
      <c r="R55" s="75">
        <v>0.09</v>
      </c>
      <c r="S55" s="24" t="s">
        <v>709</v>
      </c>
      <c r="T55" s="538" t="s">
        <v>709</v>
      </c>
      <c r="U55" s="87" t="s">
        <v>709</v>
      </c>
      <c r="V55" s="437">
        <v>1526</v>
      </c>
      <c r="X55" s="70">
        <v>1031524.91</v>
      </c>
      <c r="Y55" s="591"/>
      <c r="Z55" s="556">
        <v>80672.679999999993</v>
      </c>
      <c r="AA55" s="87">
        <f>X55+Z55</f>
        <v>1112197.5900000001</v>
      </c>
      <c r="AB55" s="207"/>
      <c r="AC55" s="108" t="s">
        <v>709</v>
      </c>
      <c r="AD55" s="108"/>
      <c r="AE55" s="349"/>
      <c r="AF55" s="579"/>
      <c r="AG55" s="579"/>
      <c r="AH55" s="354"/>
      <c r="AI55" s="489"/>
      <c r="AJ55" s="553"/>
      <c r="AK55" s="553"/>
      <c r="AL55" s="495"/>
      <c r="AM55" s="21" t="s">
        <v>116</v>
      </c>
      <c r="AN55" s="680" t="s">
        <v>709</v>
      </c>
      <c r="AO55" s="601" t="s">
        <v>115</v>
      </c>
      <c r="AP55" s="572"/>
      <c r="AQ55" s="572"/>
      <c r="AR55" s="572"/>
      <c r="AS55" s="538">
        <f>IF(Table159[[#This Row],[PCTS Approved]]="N",0,Table159[[#This Row],[Investment Amount (1'#'#'#'#'#)]]+Table159[[#This Row],[Retirement Amount (3'#'#'#'#'#)]])</f>
        <v>0</v>
      </c>
      <c r="AT55" s="538">
        <f>IF(Table159[[#This Row],[Approved Construction Cost]]=0,0,Table159[[#This Row],[Approved Construction Cost]]-Table159[[#This Row],[Construction Cost to Bill From]])</f>
        <v>0</v>
      </c>
      <c r="AU55" s="538">
        <f>IFERROR(Table159[[#This Row],[Difference in Construction Cost]]*Table159[[#This Row],[Rate]],Table159[[#This Row],[Difference in Construction Cost]]*0.085)</f>
        <v>0</v>
      </c>
      <c r="AV55" s="572"/>
      <c r="AW55" s="639"/>
      <c r="AX55" s="538"/>
      <c r="AY55" s="637" t="s">
        <v>709</v>
      </c>
      <c r="AZ55" s="443">
        <v>22</v>
      </c>
      <c r="BA55" s="652" t="s">
        <v>1230</v>
      </c>
      <c r="BB55" s="644" t="s">
        <v>1231</v>
      </c>
      <c r="BC55" s="478" t="s">
        <v>709</v>
      </c>
      <c r="BD55" s="544" t="s">
        <v>709</v>
      </c>
      <c r="BE55" s="544" t="s">
        <v>1232</v>
      </c>
      <c r="BF55" s="544" t="s">
        <v>709</v>
      </c>
      <c r="BG55" s="512" t="s">
        <v>709</v>
      </c>
      <c r="BH55" s="741"/>
      <c r="BI55" s="535" t="s">
        <v>709</v>
      </c>
      <c r="BJ55" s="547" t="s">
        <v>709</v>
      </c>
      <c r="BK55" s="547" t="s">
        <v>709</v>
      </c>
      <c r="BL55" s="547" t="s">
        <v>116</v>
      </c>
      <c r="BM55" s="547" t="s">
        <v>709</v>
      </c>
      <c r="BN55" s="547" t="s">
        <v>709</v>
      </c>
      <c r="BO55" s="547" t="s">
        <v>709</v>
      </c>
      <c r="BP55" s="547" t="s">
        <v>709</v>
      </c>
      <c r="BQ55" s="547">
        <v>1299</v>
      </c>
      <c r="BR55" s="547">
        <v>170</v>
      </c>
      <c r="BS55" s="547">
        <v>57</v>
      </c>
      <c r="BT55" s="547" t="s">
        <v>745</v>
      </c>
      <c r="BU55" s="547" t="s">
        <v>709</v>
      </c>
      <c r="BV55" s="547" t="s">
        <v>745</v>
      </c>
      <c r="BW55" s="547" t="s">
        <v>709</v>
      </c>
      <c r="BX55" s="547" t="s">
        <v>745</v>
      </c>
      <c r="BY55" s="547" t="s">
        <v>745</v>
      </c>
      <c r="BZ55" s="483"/>
    </row>
    <row r="56" spans="1:78" ht="15" hidden="1" customHeight="1" x14ac:dyDescent="0.25">
      <c r="A56" s="8">
        <v>2024</v>
      </c>
      <c r="B56" s="8" t="s">
        <v>4</v>
      </c>
      <c r="C56" s="8" t="s">
        <v>1761</v>
      </c>
      <c r="D56" s="8" t="s">
        <v>1762</v>
      </c>
      <c r="E56" s="8" t="s">
        <v>1763</v>
      </c>
      <c r="F56" s="8" t="s">
        <v>784</v>
      </c>
      <c r="G56" s="8" t="s">
        <v>31</v>
      </c>
      <c r="H56" s="8" t="s">
        <v>413</v>
      </c>
      <c r="I56" s="642">
        <v>45251</v>
      </c>
      <c r="J56" s="18">
        <v>45401</v>
      </c>
      <c r="K56" s="97">
        <v>45399</v>
      </c>
      <c r="L56" s="16">
        <f>IF(ISTEXT(Table159[[#This Row],[Engineering Approved Design Date]]),Table159[[#This Row],[Date Completed]]-Table159[[#This Row],[Date Assigned to Designer]],Table159[[#This Row],[Engineering Approved Design Date]]-Table159[[#This Row],[Date Completed]])</f>
        <v>2</v>
      </c>
      <c r="M56" s="642"/>
      <c r="N56" s="642" t="s">
        <v>120</v>
      </c>
      <c r="O56" s="510">
        <v>45383</v>
      </c>
      <c r="P56" s="221" t="s">
        <v>739</v>
      </c>
      <c r="Q56" s="70">
        <f>Table159[[#This Row],[Rate]]*Table159[[#This Row],[Construction Cost to Bill From]]</f>
        <v>39601.827000000005</v>
      </c>
      <c r="R56" s="75">
        <v>0.1</v>
      </c>
      <c r="U56" s="87"/>
      <c r="V56" s="437">
        <v>869</v>
      </c>
      <c r="W56" s="437">
        <v>0</v>
      </c>
      <c r="X56" s="70">
        <v>329235.82</v>
      </c>
      <c r="Y56" s="595"/>
      <c r="Z56" s="570">
        <v>66782.45</v>
      </c>
      <c r="AA56" s="300">
        <f>SUM(Table159[[#This Row],[PCTS Investment Amount]:[PCTS Retirement Amount]])</f>
        <v>396018.27</v>
      </c>
      <c r="AB56" s="207">
        <v>45392</v>
      </c>
      <c r="AC56" s="22" t="s">
        <v>709</v>
      </c>
      <c r="AD56" s="22" t="s">
        <v>29</v>
      </c>
      <c r="AE56" s="187" t="s">
        <v>116</v>
      </c>
      <c r="AF56" s="568" t="s">
        <v>116</v>
      </c>
      <c r="AG56" s="568" t="s">
        <v>116</v>
      </c>
      <c r="AH56" s="356">
        <v>45475</v>
      </c>
      <c r="AI56" s="426">
        <v>0</v>
      </c>
      <c r="AJ56" s="542">
        <f>5478.94</f>
        <v>5478.94</v>
      </c>
      <c r="AK56" s="542">
        <f>1975.75+3227</f>
        <v>5202.75</v>
      </c>
      <c r="AL56" s="493">
        <f>SUM(Table159[[#This Row],[Nicor Initiated DBE]:[Staffing]])/(Table159[[#This Row],[Amount Invoiced]])</f>
        <v>0.26972720223236157</v>
      </c>
      <c r="AM56" s="21" t="s">
        <v>116</v>
      </c>
      <c r="AN56" s="801">
        <v>45540</v>
      </c>
      <c r="AO56" s="806">
        <v>11090611</v>
      </c>
      <c r="AP56" s="788">
        <v>335487.15000000002</v>
      </c>
      <c r="AQ56" s="788"/>
      <c r="AR56" s="788">
        <v>66866.66</v>
      </c>
      <c r="AS56" s="538">
        <f>IF(Table159[[#This Row],[PCTS Approved]]="N",0,Table159[[#This Row],[Investment Amount (1'#'#'#'#'#)]]+Table159[[#This Row],[Retirement Amount (3'#'#'#'#'#)]])</f>
        <v>402353.81000000006</v>
      </c>
      <c r="AT56" s="538">
        <f>IF(Table159[[#This Row],[Approved Construction Cost]]=0,0,Table159[[#This Row],[Approved Construction Cost]]-Table159[[#This Row],[Construction Cost to Bill From]])</f>
        <v>6335.5400000000373</v>
      </c>
      <c r="AU56" s="538">
        <f>IFERROR(Table159[[#This Row],[Difference in Construction Cost]]*Table159[[#This Row],[Rate]],Table159[[#This Row],[Difference in Construction Cost]]*0.085)</f>
        <v>633.55400000000373</v>
      </c>
      <c r="AV56" s="718">
        <v>0</v>
      </c>
      <c r="AW56" s="660" t="s">
        <v>6814</v>
      </c>
      <c r="AX56" s="555"/>
      <c r="AY56" s="636" t="s">
        <v>709</v>
      </c>
      <c r="AZ56" s="443">
        <v>134</v>
      </c>
      <c r="BA56" s="651" t="s">
        <v>1764</v>
      </c>
      <c r="BB56" s="644" t="s">
        <v>1765</v>
      </c>
      <c r="BC56" s="479" t="s">
        <v>709</v>
      </c>
      <c r="BD56" s="554" t="s">
        <v>882</v>
      </c>
      <c r="BE56" s="588" t="s">
        <v>1766</v>
      </c>
      <c r="BF56" s="588" t="s">
        <v>1767</v>
      </c>
      <c r="BG56" s="483" t="s">
        <v>709</v>
      </c>
      <c r="BH56" s="615" t="s">
        <v>1768</v>
      </c>
      <c r="BI56" s="535" t="s">
        <v>709</v>
      </c>
      <c r="BJ56" s="549" t="s">
        <v>709</v>
      </c>
      <c r="BK56" s="547" t="s">
        <v>709</v>
      </c>
      <c r="BL56" s="547" t="s">
        <v>116</v>
      </c>
      <c r="BM56" s="626" t="s">
        <v>709</v>
      </c>
      <c r="BN56" s="626" t="s">
        <v>709</v>
      </c>
      <c r="BO56" s="626" t="s">
        <v>709</v>
      </c>
      <c r="BP56" s="626" t="s">
        <v>709</v>
      </c>
      <c r="BQ56" s="626" t="s">
        <v>709</v>
      </c>
      <c r="BR56" s="549" t="s">
        <v>709</v>
      </c>
      <c r="BS56" s="549">
        <v>869</v>
      </c>
      <c r="BT56" s="549" t="s">
        <v>709</v>
      </c>
      <c r="BU56" s="549" t="s">
        <v>709</v>
      </c>
      <c r="BV56" s="549" t="s">
        <v>709</v>
      </c>
      <c r="BW56" s="549" t="s">
        <v>709</v>
      </c>
      <c r="BX56" s="547" t="s">
        <v>709</v>
      </c>
      <c r="BY56" s="549" t="s">
        <v>709</v>
      </c>
      <c r="BZ56" s="483"/>
    </row>
    <row r="57" spans="1:78" ht="15" hidden="1" customHeight="1" x14ac:dyDescent="0.25">
      <c r="A57" s="8" t="s">
        <v>749</v>
      </c>
      <c r="B57" s="8" t="s">
        <v>759</v>
      </c>
      <c r="C57" s="8" t="s">
        <v>368</v>
      </c>
      <c r="D57" s="8" t="s">
        <v>1398</v>
      </c>
      <c r="E57" s="8" t="s">
        <v>369</v>
      </c>
      <c r="F57" s="8" t="s">
        <v>752</v>
      </c>
      <c r="G57" s="8" t="s">
        <v>27</v>
      </c>
      <c r="H57" s="8" t="s">
        <v>59</v>
      </c>
      <c r="I57" s="642">
        <v>44838</v>
      </c>
      <c r="J57" s="18">
        <v>44964</v>
      </c>
      <c r="K57" s="97">
        <v>44956</v>
      </c>
      <c r="L57" s="16">
        <f>IF(ISTEXT(Table159[[#This Row],[Engineering Approved Design Date]]),Table159[[#This Row],[Date Completed]]-Table159[[#This Row],[Date Assigned to Designer]],Table159[[#This Row],[Engineering Approved Design Date]]-Table159[[#This Row],[Date Completed]])</f>
        <v>8</v>
      </c>
      <c r="M57" s="642"/>
      <c r="N57" s="642" t="s">
        <v>120</v>
      </c>
      <c r="O57" s="510">
        <v>44958</v>
      </c>
      <c r="P57" s="221" t="s">
        <v>120</v>
      </c>
      <c r="Q57" s="71">
        <f>R57*AA57</f>
        <v>51070.6394</v>
      </c>
      <c r="R57" s="75">
        <v>0.11</v>
      </c>
      <c r="T57" s="538">
        <v>5000</v>
      </c>
      <c r="U57" s="87">
        <v>0</v>
      </c>
      <c r="V57" s="437">
        <v>840</v>
      </c>
      <c r="X57" s="94">
        <v>411073.66</v>
      </c>
      <c r="Y57" s="592"/>
      <c r="Z57" s="552">
        <v>53204.88</v>
      </c>
      <c r="AA57" s="300">
        <f>Table159[[#This Row],[PCTS Investment Amount]]+Table159[[#This Row],[PCTS Retirement Amount]]</f>
        <v>464278.54</v>
      </c>
      <c r="AB57" s="207" t="s">
        <v>709</v>
      </c>
      <c r="AC57" s="108" t="s">
        <v>1177</v>
      </c>
      <c r="AD57" s="108" t="s">
        <v>29</v>
      </c>
      <c r="AE57" s="349"/>
      <c r="AF57" s="579"/>
      <c r="AG57" s="579"/>
      <c r="AH57" s="354"/>
      <c r="AI57" s="489"/>
      <c r="AJ57" s="553"/>
      <c r="AK57" s="553"/>
      <c r="AL57" s="495"/>
      <c r="AM57" s="21" t="s">
        <v>116</v>
      </c>
      <c r="AN57" s="680" t="s">
        <v>709</v>
      </c>
      <c r="AO57" s="601" t="s">
        <v>115</v>
      </c>
      <c r="AP57" s="572"/>
      <c r="AQ57" s="572"/>
      <c r="AR57" s="572"/>
      <c r="AS57" s="538">
        <f>IF(Table159[[#This Row],[PCTS Approved]]="N",0,Table159[[#This Row],[Investment Amount (1'#'#'#'#'#)]]+Table159[[#This Row],[Retirement Amount (3'#'#'#'#'#)]])</f>
        <v>0</v>
      </c>
      <c r="AT57" s="538">
        <f>IF(Table159[[#This Row],[Approved Construction Cost]]=0,0,Table159[[#This Row],[Approved Construction Cost]]-Table159[[#This Row],[Construction Cost to Bill From]])</f>
        <v>0</v>
      </c>
      <c r="AU57" s="538">
        <f>IFERROR(Table159[[#This Row],[Difference in Construction Cost]]*Table159[[#This Row],[Rate]],Table159[[#This Row],[Difference in Construction Cost]]*0.085)</f>
        <v>0</v>
      </c>
      <c r="AV57" s="572"/>
      <c r="AW57" s="639"/>
      <c r="AX57" s="538"/>
      <c r="AY57" s="636" t="s">
        <v>709</v>
      </c>
      <c r="AZ57" s="443">
        <v>149</v>
      </c>
      <c r="BA57" s="652" t="s">
        <v>1399</v>
      </c>
      <c r="BB57" s="644" t="s">
        <v>1400</v>
      </c>
      <c r="BC57" s="478" t="s">
        <v>709</v>
      </c>
      <c r="BD57" s="544" t="s">
        <v>115</v>
      </c>
      <c r="BE57" s="544" t="s">
        <v>1401</v>
      </c>
      <c r="BF57" s="544" t="s">
        <v>115</v>
      </c>
      <c r="BG57" s="512" t="s">
        <v>115</v>
      </c>
      <c r="BH57" s="741"/>
      <c r="BI57" s="535" t="s">
        <v>709</v>
      </c>
      <c r="BJ57" s="547" t="s">
        <v>116</v>
      </c>
      <c r="BK57" s="547" t="s">
        <v>709</v>
      </c>
      <c r="BL57" s="547" t="s">
        <v>116</v>
      </c>
      <c r="BM57" s="547" t="s">
        <v>709</v>
      </c>
      <c r="BN57" s="547" t="s">
        <v>709</v>
      </c>
      <c r="BO57" s="547" t="s">
        <v>709</v>
      </c>
      <c r="BP57" s="547" t="s">
        <v>709</v>
      </c>
      <c r="BQ57" s="547" t="s">
        <v>709</v>
      </c>
      <c r="BR57" s="547" t="s">
        <v>709</v>
      </c>
      <c r="BS57" s="547">
        <v>750</v>
      </c>
      <c r="BT57" s="547">
        <v>1</v>
      </c>
      <c r="BU57" s="547" t="s">
        <v>709</v>
      </c>
      <c r="BV57" s="547" t="s">
        <v>745</v>
      </c>
      <c r="BW57" s="547">
        <v>1</v>
      </c>
      <c r="BX57" s="547">
        <v>1</v>
      </c>
      <c r="BY57" s="547" t="s">
        <v>745</v>
      </c>
      <c r="BZ57" s="483"/>
    </row>
    <row r="58" spans="1:78" ht="15" hidden="1" customHeight="1" x14ac:dyDescent="0.25">
      <c r="A58" s="8" t="s">
        <v>800</v>
      </c>
      <c r="B58" s="8" t="s">
        <v>1205</v>
      </c>
      <c r="C58" s="8" t="s">
        <v>6752</v>
      </c>
      <c r="D58" s="8" t="s">
        <v>6757</v>
      </c>
      <c r="E58" s="8" t="s">
        <v>2074</v>
      </c>
      <c r="F58" s="8" t="s">
        <v>1757</v>
      </c>
      <c r="G58" s="8" t="s">
        <v>31</v>
      </c>
      <c r="H58" s="8" t="s">
        <v>59</v>
      </c>
      <c r="I58" s="642">
        <v>45495</v>
      </c>
      <c r="J58" s="18">
        <v>45614</v>
      </c>
      <c r="K58" s="97">
        <v>45611</v>
      </c>
      <c r="L58" s="16">
        <f>IF(ISTEXT(Table159[[#This Row],[Engineering Approved Design Date]]),Table159[[#This Row],[Date Completed]]-Table159[[#This Row],[Date Assigned to Designer]],Table159[[#This Row],[Engineering Approved Design Date]]-Table159[[#This Row],[Date Completed]])</f>
        <v>3</v>
      </c>
      <c r="M58" s="642"/>
      <c r="N58" s="99" t="s">
        <v>120</v>
      </c>
      <c r="O58" s="510">
        <v>45597</v>
      </c>
      <c r="P58" s="221" t="s">
        <v>739</v>
      </c>
      <c r="Q58" s="71">
        <f>Table159[[#This Row],[Rate]]*Table159[[#This Row],[Construction Cost to Bill From]]</f>
        <v>112962.87</v>
      </c>
      <c r="R58" s="77">
        <v>0.09</v>
      </c>
      <c r="S58" s="754" t="s">
        <v>29</v>
      </c>
      <c r="T58" s="538" t="s">
        <v>29</v>
      </c>
      <c r="U58" s="87" t="s">
        <v>29</v>
      </c>
      <c r="V58" s="437">
        <v>1179</v>
      </c>
      <c r="W58" s="437">
        <v>0</v>
      </c>
      <c r="X58" s="24">
        <v>1137993.55</v>
      </c>
      <c r="Y58" s="550"/>
      <c r="Z58" s="552">
        <v>117149.45</v>
      </c>
      <c r="AA58" s="300">
        <f>SUM(Table159[[#This Row],[PCTS Investment Amount]:[PCTS Retirement Amount]])</f>
        <v>1255143</v>
      </c>
      <c r="AB58" s="207">
        <v>45601</v>
      </c>
      <c r="AC58" s="22" t="s">
        <v>116</v>
      </c>
      <c r="AD58" s="22" t="s">
        <v>29</v>
      </c>
      <c r="AE58" s="187" t="s">
        <v>29</v>
      </c>
      <c r="AF58" s="568" t="s">
        <v>116</v>
      </c>
      <c r="AG58" s="568" t="s">
        <v>376</v>
      </c>
      <c r="AH58" s="356" t="s">
        <v>376</v>
      </c>
      <c r="AI58" s="529">
        <v>64564.5</v>
      </c>
      <c r="AJ58" s="541">
        <v>0</v>
      </c>
      <c r="AK58" s="745">
        <v>1109.5</v>
      </c>
      <c r="AL58" s="494">
        <f>SUM(Table159[[#This Row],[Nicor Initiated DBE]:[Staffing]])/(Table159[[#This Row],[Amount Invoiced]])</f>
        <v>0.58137687188719622</v>
      </c>
      <c r="AM58" s="21" t="s">
        <v>116</v>
      </c>
      <c r="AN58" s="680" t="s">
        <v>709</v>
      </c>
      <c r="AO58" s="681"/>
      <c r="AP58" s="682"/>
      <c r="AQ58" s="682"/>
      <c r="AR58" s="682"/>
      <c r="AS58" s="538">
        <f>IF(Table159[[#This Row],[PCTS Approved]]="N",0,Table159[[#This Row],[Investment Amount (1'#'#'#'#'#)]]+Table159[[#This Row],[Retirement Amount (3'#'#'#'#'#)]])</f>
        <v>0</v>
      </c>
      <c r="AT58" s="538">
        <f>IF(Table159[[#This Row],[Approved Construction Cost]]=0,0,Table159[[#This Row],[Approved Construction Cost]]-Table159[[#This Row],[Construction Cost to Bill From]])</f>
        <v>0</v>
      </c>
      <c r="AU58" s="538">
        <f>Table159[[#This Row],[Difference in Construction Cost]]*Table159[[#This Row],[Rate]]</f>
        <v>0</v>
      </c>
      <c r="AV58" s="690"/>
      <c r="AW58" s="660"/>
      <c r="AX58" s="555"/>
      <c r="AY58" s="636" t="s">
        <v>709</v>
      </c>
      <c r="AZ58" s="443"/>
      <c r="BA58" s="643" t="s">
        <v>6815</v>
      </c>
      <c r="BB58" s="644" t="s">
        <v>6759</v>
      </c>
      <c r="BC58" s="479" t="s">
        <v>116</v>
      </c>
      <c r="BD58" s="559" t="s">
        <v>709</v>
      </c>
      <c r="BE58" s="554" t="s">
        <v>5564</v>
      </c>
      <c r="BF58" s="588" t="s">
        <v>709</v>
      </c>
      <c r="BG58" s="612" t="s">
        <v>709</v>
      </c>
      <c r="BH58" s="615" t="s">
        <v>6760</v>
      </c>
      <c r="BI58" s="528" t="s">
        <v>709</v>
      </c>
      <c r="BJ58" s="549" t="s">
        <v>709</v>
      </c>
      <c r="BK58" s="549" t="s">
        <v>116</v>
      </c>
      <c r="BL58" s="547" t="s">
        <v>709</v>
      </c>
      <c r="BM58" s="547" t="s">
        <v>709</v>
      </c>
      <c r="BN58" s="549">
        <v>1179</v>
      </c>
      <c r="BO58" s="549" t="s">
        <v>709</v>
      </c>
      <c r="BP58" s="549" t="s">
        <v>709</v>
      </c>
      <c r="BQ58" s="549" t="s">
        <v>709</v>
      </c>
      <c r="BR58" s="549" t="s">
        <v>709</v>
      </c>
      <c r="BS58" s="549" t="s">
        <v>709</v>
      </c>
      <c r="BT58" s="549" t="s">
        <v>709</v>
      </c>
      <c r="BU58" s="549" t="s">
        <v>709</v>
      </c>
      <c r="BV58" s="549" t="s">
        <v>709</v>
      </c>
      <c r="BW58" s="549" t="s">
        <v>709</v>
      </c>
      <c r="BX58" s="549" t="s">
        <v>709</v>
      </c>
      <c r="BY58" s="549" t="s">
        <v>709</v>
      </c>
      <c r="BZ58" s="743"/>
    </row>
    <row r="59" spans="1:78" ht="15" hidden="1" customHeight="1" x14ac:dyDescent="0.25">
      <c r="A59" s="778" t="s">
        <v>6816</v>
      </c>
      <c r="B59" s="8" t="s">
        <v>1073</v>
      </c>
      <c r="C59" t="s">
        <v>6817</v>
      </c>
      <c r="D59" s="779" t="s">
        <v>6818</v>
      </c>
      <c r="E59" t="s">
        <v>3259</v>
      </c>
      <c r="F59" s="8" t="s">
        <v>851</v>
      </c>
      <c r="G59" s="8" t="s">
        <v>31</v>
      </c>
      <c r="H59" s="8" t="s">
        <v>59</v>
      </c>
      <c r="I59" s="755">
        <v>45502</v>
      </c>
      <c r="J59" s="18">
        <v>45653</v>
      </c>
      <c r="K59" s="18">
        <v>45649</v>
      </c>
      <c r="L59" s="16">
        <f>IF(ISTEXT(Table159[[#This Row],[Engineering Approved Design Date]]),Table159[[#This Row],[Date Completed]]-Table159[[#This Row],[Date Assigned to Designer]],Table159[[#This Row],[Engineering Approved Design Date]]-Table159[[#This Row],[Date Completed]])</f>
        <v>4</v>
      </c>
      <c r="N59" s="99" t="s">
        <v>739</v>
      </c>
      <c r="O59" s="510">
        <v>45627</v>
      </c>
      <c r="P59" s="221" t="s">
        <v>739</v>
      </c>
      <c r="Q59" s="781">
        <f>Table159[[#This Row],[Rate]]*Table159[[#This Row],[Construction Cost to Bill From]]</f>
        <v>365755.87520000007</v>
      </c>
      <c r="R59" s="75">
        <v>0.08</v>
      </c>
      <c r="S59" s="24" t="s">
        <v>29</v>
      </c>
      <c r="T59" s="538" t="s">
        <v>29</v>
      </c>
      <c r="U59" s="28" t="s">
        <v>29</v>
      </c>
      <c r="V59" s="437">
        <v>6156</v>
      </c>
      <c r="W59" s="437">
        <v>0</v>
      </c>
      <c r="X59" s="24">
        <v>4520383.28</v>
      </c>
      <c r="Y59" s="550"/>
      <c r="Z59" s="538">
        <v>51565.16</v>
      </c>
      <c r="AA59" s="300">
        <f>SUM(Table159[[#This Row],[PCTS Investment Amount]:[PCTS Retirement Amount]])</f>
        <v>4571948.4400000004</v>
      </c>
      <c r="AB59" s="207">
        <v>45659</v>
      </c>
      <c r="AC59" s="108" t="s">
        <v>116</v>
      </c>
      <c r="AD59" s="229" t="s">
        <v>29</v>
      </c>
      <c r="AE59" s="455" t="s">
        <v>756</v>
      </c>
      <c r="AF59" s="576" t="s">
        <v>116</v>
      </c>
      <c r="AG59" s="576" t="s">
        <v>376</v>
      </c>
      <c r="AH59" s="356" t="s">
        <v>376</v>
      </c>
      <c r="AI59" s="455">
        <f>11500+42200+59665</f>
        <v>113365</v>
      </c>
      <c r="AJ59" s="576">
        <v>0</v>
      </c>
      <c r="AK59" s="576">
        <v>8884.25</v>
      </c>
      <c r="AL59" s="494">
        <f>SUM(Table159[[#This Row],[Nicor Initiated DBE]:[Staffing]])/(Table159[[#This Row],[Amount Invoiced]])</f>
        <v>0.33423728308712064</v>
      </c>
      <c r="AM59" s="21" t="s">
        <v>116</v>
      </c>
      <c r="AN59" s="680" t="s">
        <v>709</v>
      </c>
      <c r="AO59" s="681"/>
      <c r="AP59" s="682"/>
      <c r="AQ59" s="682"/>
      <c r="AR59" s="682"/>
      <c r="AS59" s="538"/>
      <c r="AT59" s="538"/>
      <c r="AU59" s="538"/>
      <c r="AV59" s="690"/>
      <c r="AW59" s="660"/>
      <c r="AX59" s="555"/>
      <c r="AY59" s="636"/>
      <c r="BA59" s="643" t="s">
        <v>6819</v>
      </c>
      <c r="BB59" s="543" t="s">
        <v>6820</v>
      </c>
      <c r="BC59" s="479" t="s">
        <v>116</v>
      </c>
      <c r="BD59" s="554" t="s">
        <v>882</v>
      </c>
      <c r="BE59" s="588" t="s">
        <v>3262</v>
      </c>
      <c r="BF59" s="588" t="s">
        <v>6821</v>
      </c>
      <c r="BG59" s="512" t="s">
        <v>29</v>
      </c>
      <c r="BH59" s="615" t="s">
        <v>6822</v>
      </c>
      <c r="BI59" s="535" t="s">
        <v>745</v>
      </c>
      <c r="BJ59" s="547" t="s">
        <v>745</v>
      </c>
      <c r="BK59" s="547" t="s">
        <v>116</v>
      </c>
      <c r="BL59" s="547" t="s">
        <v>745</v>
      </c>
      <c r="BM59" s="547" t="s">
        <v>745</v>
      </c>
      <c r="BN59" s="547">
        <v>6138</v>
      </c>
      <c r="BO59" s="547" t="s">
        <v>745</v>
      </c>
      <c r="BP59" s="547" t="s">
        <v>745</v>
      </c>
      <c r="BQ59" s="547" t="s">
        <v>745</v>
      </c>
      <c r="BR59" s="547">
        <v>18</v>
      </c>
      <c r="BS59" s="547" t="s">
        <v>745</v>
      </c>
      <c r="BT59" s="547" t="s">
        <v>745</v>
      </c>
      <c r="BU59" s="547" t="s">
        <v>745</v>
      </c>
      <c r="BV59" s="547" t="s">
        <v>745</v>
      </c>
      <c r="BW59" s="547" t="s">
        <v>745</v>
      </c>
      <c r="BX59" s="547" t="s">
        <v>745</v>
      </c>
      <c r="BY59" s="547" t="s">
        <v>116</v>
      </c>
    </row>
    <row r="60" spans="1:78" ht="15" hidden="1" customHeight="1" x14ac:dyDescent="0.25">
      <c r="A60" s="8">
        <v>2024</v>
      </c>
      <c r="B60" s="8" t="s">
        <v>1073</v>
      </c>
      <c r="C60" s="8" t="s">
        <v>6468</v>
      </c>
      <c r="D60" s="8" t="s">
        <v>6469</v>
      </c>
      <c r="E60" s="8" t="s">
        <v>111</v>
      </c>
      <c r="F60" s="8" t="s">
        <v>784</v>
      </c>
      <c r="G60" s="8" t="s">
        <v>26</v>
      </c>
      <c r="H60" s="8" t="s">
        <v>59</v>
      </c>
      <c r="I60" s="642">
        <v>45414</v>
      </c>
      <c r="J60" s="472">
        <v>45504</v>
      </c>
      <c r="K60" s="97">
        <v>45504</v>
      </c>
      <c r="L60" s="16">
        <f>IF(ISTEXT(Table159[[#This Row],[Engineering Approved Design Date]]),Table159[[#This Row],[Date Completed]]-Table159[[#This Row],[Date Assigned to Designer]],Table159[[#This Row],[Engineering Approved Design Date]]-Table159[[#This Row],[Date Completed]])</f>
        <v>0</v>
      </c>
      <c r="M60" s="642"/>
      <c r="N60" s="642" t="s">
        <v>120</v>
      </c>
      <c r="O60" s="510">
        <v>45536</v>
      </c>
      <c r="P60" s="221" t="s">
        <v>739</v>
      </c>
      <c r="Q60" s="70">
        <f>Table159[[#This Row],[Rate]]*Table159[[#This Row],[Construction Cost to Bill From]]</f>
        <v>47922.286399999997</v>
      </c>
      <c r="R60" s="75">
        <v>0.08</v>
      </c>
      <c r="U60" s="87"/>
      <c r="V60" s="437">
        <v>6161</v>
      </c>
      <c r="W60" s="437">
        <v>0</v>
      </c>
      <c r="X60" s="24">
        <v>599028.57999999996</v>
      </c>
      <c r="Y60" s="734">
        <v>832372.58</v>
      </c>
      <c r="Z60" s="552">
        <v>0</v>
      </c>
      <c r="AA60" s="300">
        <f>Table159[[#This Row],[PCTS Retirement Amount]]+Table159[[#This Row],[PCTS Investment Amount]]</f>
        <v>599028.57999999996</v>
      </c>
      <c r="AB60" s="207">
        <v>45518</v>
      </c>
      <c r="AC60" s="22" t="s">
        <v>709</v>
      </c>
      <c r="AD60" s="22" t="s">
        <v>29</v>
      </c>
      <c r="AE60" s="187" t="s">
        <v>116</v>
      </c>
      <c r="AF60" s="568" t="s">
        <v>116</v>
      </c>
      <c r="AG60" s="568" t="s">
        <v>116</v>
      </c>
      <c r="AH60" s="356">
        <v>45525</v>
      </c>
      <c r="AI60" s="509">
        <v>0</v>
      </c>
      <c r="AJ60" s="541">
        <v>0</v>
      </c>
      <c r="AK60" s="557">
        <v>13247</v>
      </c>
      <c r="AL60" s="494">
        <f>SUM(Table159[[#This Row],[Nicor Initiated DBE]:[Staffing]])/(Table159[[#This Row],[Amount Invoiced]])</f>
        <v>0.27642671072555502</v>
      </c>
      <c r="AM60" s="21" t="s">
        <v>116</v>
      </c>
      <c r="AN60" s="680" t="s">
        <v>709</v>
      </c>
      <c r="AO60" s="681"/>
      <c r="AP60" s="682"/>
      <c r="AQ60" s="682"/>
      <c r="AR60" s="682"/>
      <c r="AS60" s="538">
        <f>IF(Table159[[#This Row],[PCTS Approved]]="N",0,Table159[[#This Row],[Investment Amount (1'#'#'#'#'#)]]+Table159[[#This Row],[Retirement Amount (3'#'#'#'#'#)]])</f>
        <v>0</v>
      </c>
      <c r="AT60" s="538">
        <f>IF(Table159[[#This Row],[Approved Construction Cost]]=0,0,Table159[[#This Row],[Approved Construction Cost]]-Table159[[#This Row],[Construction Cost to Bill From]])</f>
        <v>0</v>
      </c>
      <c r="AU60" s="538">
        <f>IFERROR(Table159[[#This Row],[Difference in Construction Cost]]*Table159[[#This Row],[Rate]],Table159[[#This Row],[Difference in Construction Cost]]*0.085)</f>
        <v>0</v>
      </c>
      <c r="AV60" s="690"/>
      <c r="AW60" s="660"/>
      <c r="AX60" s="555"/>
      <c r="AY60" s="636" t="s">
        <v>709</v>
      </c>
      <c r="AZ60" s="443"/>
      <c r="BA60" s="651"/>
      <c r="BB60" s="644" t="s">
        <v>961</v>
      </c>
      <c r="BC60" s="479" t="s">
        <v>116</v>
      </c>
      <c r="BD60" s="554" t="s">
        <v>115</v>
      </c>
      <c r="BE60" s="588" t="s">
        <v>116</v>
      </c>
      <c r="BF60" s="588" t="s">
        <v>115</v>
      </c>
      <c r="BG60" s="483" t="s">
        <v>115</v>
      </c>
      <c r="BH60" s="615" t="s">
        <v>6470</v>
      </c>
      <c r="BI60" s="528" t="s">
        <v>709</v>
      </c>
      <c r="BJ60" s="549" t="s">
        <v>709</v>
      </c>
      <c r="BK60" s="549" t="s">
        <v>709</v>
      </c>
      <c r="BL60" s="547" t="s">
        <v>116</v>
      </c>
      <c r="BM60" s="549" t="s">
        <v>709</v>
      </c>
      <c r="BN60" s="549" t="s">
        <v>709</v>
      </c>
      <c r="BO60" s="549" t="s">
        <v>709</v>
      </c>
      <c r="BP60" s="549" t="s">
        <v>709</v>
      </c>
      <c r="BQ60" s="549" t="s">
        <v>709</v>
      </c>
      <c r="BR60" s="549" t="s">
        <v>709</v>
      </c>
      <c r="BS60" s="547">
        <v>6161</v>
      </c>
      <c r="BT60" s="549" t="s">
        <v>709</v>
      </c>
      <c r="BU60" s="549" t="s">
        <v>709</v>
      </c>
      <c r="BV60" s="549" t="s">
        <v>709</v>
      </c>
      <c r="BW60" s="549" t="s">
        <v>709</v>
      </c>
      <c r="BX60" s="549" t="s">
        <v>709</v>
      </c>
      <c r="BY60" s="549" t="s">
        <v>709</v>
      </c>
      <c r="BZ60" s="744"/>
    </row>
    <row r="61" spans="1:78" ht="15" hidden="1" customHeight="1" x14ac:dyDescent="0.25">
      <c r="A61" s="8">
        <v>2023</v>
      </c>
      <c r="B61" s="8" t="s">
        <v>4</v>
      </c>
      <c r="C61" s="8" t="s">
        <v>1408</v>
      </c>
      <c r="D61" s="8" t="s">
        <v>1409</v>
      </c>
      <c r="E61" s="8" t="s">
        <v>164</v>
      </c>
      <c r="F61" s="8" t="s">
        <v>784</v>
      </c>
      <c r="G61" s="8" t="s">
        <v>23</v>
      </c>
      <c r="H61" s="8" t="s">
        <v>59</v>
      </c>
      <c r="I61" s="642">
        <v>44778</v>
      </c>
      <c r="J61" s="18">
        <v>44981</v>
      </c>
      <c r="K61" s="97">
        <v>44980</v>
      </c>
      <c r="L61" s="16">
        <f>IF(ISTEXT(Table159[[#This Row],[Engineering Approved Design Date]]),Table159[[#This Row],[Date Completed]]-Table159[[#This Row],[Date Assigned to Designer]],Table159[[#This Row],[Engineering Approved Design Date]]-Table159[[#This Row],[Date Completed]])</f>
        <v>1</v>
      </c>
      <c r="M61" s="642"/>
      <c r="N61" s="642" t="s">
        <v>120</v>
      </c>
      <c r="O61" s="510">
        <v>45017</v>
      </c>
      <c r="P61" s="221" t="s">
        <v>739</v>
      </c>
      <c r="Q61" s="70">
        <f>Table159[[#This Row],[Rate]]*Table159[[#This Row],[Construction Cost to Bill From]]</f>
        <v>126536.67300000001</v>
      </c>
      <c r="R61" s="75">
        <v>0.1</v>
      </c>
      <c r="U61" s="87"/>
      <c r="V61" s="437">
        <v>3291</v>
      </c>
      <c r="X61" s="94">
        <v>1230812.25</v>
      </c>
      <c r="Y61" s="592"/>
      <c r="Z61" s="552">
        <v>34554.480000000003</v>
      </c>
      <c r="AA61" s="300">
        <f>Table159[[#This Row],[PCTS Investment Amount]]+Table159[[#This Row],[PCTS Retirement Amount]]</f>
        <v>1265366.73</v>
      </c>
      <c r="AB61" s="207">
        <v>45033</v>
      </c>
      <c r="AC61" s="108" t="s">
        <v>709</v>
      </c>
      <c r="AD61" s="108" t="s">
        <v>29</v>
      </c>
      <c r="AE61" s="349"/>
      <c r="AF61" s="579"/>
      <c r="AG61" s="579"/>
      <c r="AH61" s="354"/>
      <c r="AI61" s="489"/>
      <c r="AJ61" s="553"/>
      <c r="AK61" s="553"/>
      <c r="AL61" s="495"/>
      <c r="AM61" s="21" t="s">
        <v>116</v>
      </c>
      <c r="AN61" s="680" t="s">
        <v>709</v>
      </c>
      <c r="AO61" s="601" t="s">
        <v>115</v>
      </c>
      <c r="AP61" s="572"/>
      <c r="AQ61" s="572"/>
      <c r="AR61" s="572"/>
      <c r="AS61" s="538">
        <f>IF(Table159[[#This Row],[PCTS Approved]]="N",0,Table159[[#This Row],[Investment Amount (1'#'#'#'#'#)]]+Table159[[#This Row],[Retirement Amount (3'#'#'#'#'#)]])</f>
        <v>0</v>
      </c>
      <c r="AT61" s="538">
        <f>IF(Table159[[#This Row],[Approved Construction Cost]]=0,0,Table159[[#This Row],[Approved Construction Cost]]-Table159[[#This Row],[Construction Cost to Bill From]])</f>
        <v>0</v>
      </c>
      <c r="AU61" s="538">
        <f>IFERROR(Table159[[#This Row],[Difference in Construction Cost]]*Table159[[#This Row],[Rate]],Table159[[#This Row],[Difference in Construction Cost]]*0.085)</f>
        <v>0</v>
      </c>
      <c r="AV61" s="572"/>
      <c r="AW61" s="639"/>
      <c r="AX61" s="538"/>
      <c r="AY61" s="636" t="s">
        <v>709</v>
      </c>
      <c r="AZ61" s="443">
        <v>78</v>
      </c>
      <c r="BA61" s="652" t="s">
        <v>1410</v>
      </c>
      <c r="BB61" s="644" t="s">
        <v>1411</v>
      </c>
      <c r="BC61" s="478" t="s">
        <v>115</v>
      </c>
      <c r="BD61" s="544" t="s">
        <v>115</v>
      </c>
      <c r="BE61" s="544" t="s">
        <v>1411</v>
      </c>
      <c r="BF61" s="544" t="s">
        <v>115</v>
      </c>
      <c r="BG61" s="512" t="s">
        <v>115</v>
      </c>
      <c r="BH61" s="741"/>
      <c r="BI61" s="535" t="s">
        <v>709</v>
      </c>
      <c r="BJ61" s="547" t="s">
        <v>709</v>
      </c>
      <c r="BK61" s="547" t="s">
        <v>709</v>
      </c>
      <c r="BL61" s="547" t="s">
        <v>116</v>
      </c>
      <c r="BM61" s="547" t="s">
        <v>709</v>
      </c>
      <c r="BN61" s="547" t="s">
        <v>709</v>
      </c>
      <c r="BO61" s="547" t="s">
        <v>709</v>
      </c>
      <c r="BP61" s="547" t="s">
        <v>709</v>
      </c>
      <c r="BQ61" s="547" t="s">
        <v>709</v>
      </c>
      <c r="BR61" s="547">
        <v>2067</v>
      </c>
      <c r="BS61" s="547">
        <v>1224</v>
      </c>
      <c r="BT61" s="547" t="s">
        <v>745</v>
      </c>
      <c r="BU61" s="547" t="s">
        <v>709</v>
      </c>
      <c r="BV61" s="547" t="s">
        <v>745</v>
      </c>
      <c r="BW61" s="547" t="s">
        <v>709</v>
      </c>
      <c r="BX61" s="547" t="s">
        <v>745</v>
      </c>
      <c r="BY61" s="547" t="s">
        <v>745</v>
      </c>
      <c r="BZ61" s="483"/>
    </row>
    <row r="62" spans="1:78" ht="15" hidden="1" customHeight="1" x14ac:dyDescent="0.25">
      <c r="A62" s="8">
        <v>2023</v>
      </c>
      <c r="B62" s="8" t="s">
        <v>4</v>
      </c>
      <c r="C62" s="8" t="s">
        <v>1420</v>
      </c>
      <c r="D62" s="8" t="s">
        <v>1421</v>
      </c>
      <c r="E62" s="8" t="s">
        <v>1422</v>
      </c>
      <c r="F62" s="8" t="s">
        <v>784</v>
      </c>
      <c r="G62" s="8" t="s">
        <v>25</v>
      </c>
      <c r="H62" s="13" t="s">
        <v>59</v>
      </c>
      <c r="I62" s="642">
        <v>44907</v>
      </c>
      <c r="J62" s="18">
        <v>45016</v>
      </c>
      <c r="K62" s="97">
        <v>45002</v>
      </c>
      <c r="L62" s="16">
        <f>IF(ISTEXT(Table159[[#This Row],[Engineering Approved Design Date]]),Table159[[#This Row],[Date Completed]]-Table159[[#This Row],[Date Assigned to Designer]],Table159[[#This Row],[Engineering Approved Design Date]]-Table159[[#This Row],[Date Completed]])</f>
        <v>14</v>
      </c>
      <c r="M62" s="642"/>
      <c r="N62" s="642" t="s">
        <v>120</v>
      </c>
      <c r="O62" s="510">
        <v>45017</v>
      </c>
      <c r="P62" s="221" t="s">
        <v>739</v>
      </c>
      <c r="Q62" s="70">
        <f>Table159[[#This Row],[Rate]]*Table159[[#This Row],[Construction Cost to Bill From]]</f>
        <v>10427.678</v>
      </c>
      <c r="R62" s="75">
        <v>0.1</v>
      </c>
      <c r="U62" s="87"/>
      <c r="V62" s="437">
        <v>131</v>
      </c>
      <c r="W62" s="437">
        <v>0</v>
      </c>
      <c r="X62" s="94">
        <v>95628.03</v>
      </c>
      <c r="Y62" s="592"/>
      <c r="Z62" s="552">
        <v>8648.75</v>
      </c>
      <c r="AA62" s="300">
        <f>Table159[[#This Row],[PCTS Investment Amount]]+Table159[[#This Row],[PCTS Retirement Amount]]</f>
        <v>104276.78</v>
      </c>
      <c r="AB62" s="207" t="s">
        <v>709</v>
      </c>
      <c r="AC62" s="108" t="s">
        <v>709</v>
      </c>
      <c r="AD62" s="108" t="s">
        <v>29</v>
      </c>
      <c r="AE62" s="349"/>
      <c r="AF62" s="579"/>
      <c r="AG62" s="579"/>
      <c r="AH62" s="354"/>
      <c r="AI62" s="489"/>
      <c r="AJ62" s="553"/>
      <c r="AK62" s="553"/>
      <c r="AL62" s="495"/>
      <c r="AM62" s="21" t="s">
        <v>116</v>
      </c>
      <c r="AN62" s="680" t="s">
        <v>709</v>
      </c>
      <c r="AO62" s="601" t="s">
        <v>115</v>
      </c>
      <c r="AP62" s="572"/>
      <c r="AQ62" s="572"/>
      <c r="AR62" s="572"/>
      <c r="AS62" s="538">
        <f>IF(Table159[[#This Row],[PCTS Approved]]="N",0,Table159[[#This Row],[Investment Amount (1'#'#'#'#'#)]]+Table159[[#This Row],[Retirement Amount (3'#'#'#'#'#)]])</f>
        <v>0</v>
      </c>
      <c r="AT62" s="538">
        <f>IF(Table159[[#This Row],[Approved Construction Cost]]=0,0,Table159[[#This Row],[Approved Construction Cost]]-Table159[[#This Row],[Construction Cost to Bill From]])</f>
        <v>0</v>
      </c>
      <c r="AU62" s="538">
        <f>IFERROR(Table159[[#This Row],[Difference in Construction Cost]]*Table159[[#This Row],[Rate]],Table159[[#This Row],[Difference in Construction Cost]]*0.085)</f>
        <v>0</v>
      </c>
      <c r="AV62" s="572"/>
      <c r="AW62" s="639"/>
      <c r="AX62" s="538"/>
      <c r="AY62" s="636" t="s">
        <v>709</v>
      </c>
      <c r="AZ62" s="443">
        <v>80</v>
      </c>
      <c r="BA62" s="652" t="s">
        <v>1423</v>
      </c>
      <c r="BB62" s="644" t="s">
        <v>1424</v>
      </c>
      <c r="BC62" s="478" t="s">
        <v>116</v>
      </c>
      <c r="BD62" s="544" t="s">
        <v>115</v>
      </c>
      <c r="BE62" s="544" t="s">
        <v>1425</v>
      </c>
      <c r="BF62" s="544" t="s">
        <v>115</v>
      </c>
      <c r="BG62" s="512" t="s">
        <v>115</v>
      </c>
      <c r="BH62" s="741"/>
      <c r="BI62" s="535" t="s">
        <v>709</v>
      </c>
      <c r="BJ62" s="547" t="s">
        <v>709</v>
      </c>
      <c r="BK62" s="547" t="s">
        <v>709</v>
      </c>
      <c r="BL62" s="547" t="s">
        <v>116</v>
      </c>
      <c r="BM62" s="547" t="s">
        <v>709</v>
      </c>
      <c r="BN62" s="547" t="s">
        <v>709</v>
      </c>
      <c r="BO62" s="547" t="s">
        <v>709</v>
      </c>
      <c r="BP62" s="547" t="s">
        <v>709</v>
      </c>
      <c r="BQ62" s="547" t="s">
        <v>709</v>
      </c>
      <c r="BR62" s="547" t="s">
        <v>709</v>
      </c>
      <c r="BS62" s="547">
        <v>131</v>
      </c>
      <c r="BT62" s="547" t="s">
        <v>745</v>
      </c>
      <c r="BU62" s="547" t="s">
        <v>709</v>
      </c>
      <c r="BV62" s="547" t="s">
        <v>745</v>
      </c>
      <c r="BW62" s="547" t="s">
        <v>709</v>
      </c>
      <c r="BX62" s="547" t="s">
        <v>745</v>
      </c>
      <c r="BY62" s="547" t="s">
        <v>745</v>
      </c>
      <c r="BZ62" s="483"/>
    </row>
    <row r="63" spans="1:78" ht="15" hidden="1" customHeight="1" x14ac:dyDescent="0.25">
      <c r="A63" s="8" t="s">
        <v>800</v>
      </c>
      <c r="B63" s="8" t="s">
        <v>4</v>
      </c>
      <c r="C63" s="8" t="s">
        <v>6480</v>
      </c>
      <c r="D63" s="8" t="s">
        <v>6481</v>
      </c>
      <c r="E63" s="8" t="s">
        <v>6482</v>
      </c>
      <c r="F63" s="8" t="s">
        <v>1102</v>
      </c>
      <c r="G63" s="8" t="s">
        <v>31</v>
      </c>
      <c r="H63" s="8" t="s">
        <v>413</v>
      </c>
      <c r="I63" s="642">
        <v>45380</v>
      </c>
      <c r="J63" s="18">
        <v>45513</v>
      </c>
      <c r="K63" s="97">
        <v>45506</v>
      </c>
      <c r="L63" s="16">
        <f>IF(ISTEXT(Table159[[#This Row],[Engineering Approved Design Date]]),Table159[[#This Row],[Date Completed]]-Table159[[#This Row],[Date Assigned to Designer]],Table159[[#This Row],[Engineering Approved Design Date]]-Table159[[#This Row],[Date Completed]])</f>
        <v>7</v>
      </c>
      <c r="M63" s="642"/>
      <c r="N63" s="99" t="s">
        <v>120</v>
      </c>
      <c r="O63" s="510">
        <v>45505</v>
      </c>
      <c r="P63" s="221" t="s">
        <v>739</v>
      </c>
      <c r="Q63" s="70">
        <f>Table159[[#This Row],[Rate]]*Table159[[#This Row],[Construction Cost to Bill From]]</f>
        <v>106046.621</v>
      </c>
      <c r="R63" s="75">
        <v>0.1</v>
      </c>
      <c r="S63" s="24" t="s">
        <v>29</v>
      </c>
      <c r="T63" s="538" t="s">
        <v>29</v>
      </c>
      <c r="U63" s="28" t="s">
        <v>29</v>
      </c>
      <c r="V63" s="437">
        <v>3818</v>
      </c>
      <c r="W63" s="437">
        <v>0</v>
      </c>
      <c r="X63" s="24">
        <v>897800.8</v>
      </c>
      <c r="Y63" s="550"/>
      <c r="Z63" s="552">
        <v>162665.41</v>
      </c>
      <c r="AA63" s="300">
        <f>SUM(Table159[[#This Row],[PCTS Investment Amount]:[PCTS Retirement Amount]])</f>
        <v>1060466.21</v>
      </c>
      <c r="AB63" s="207">
        <v>45490</v>
      </c>
      <c r="AC63" s="22" t="s">
        <v>709</v>
      </c>
      <c r="AD63" s="22" t="s">
        <v>29</v>
      </c>
      <c r="AE63" s="187" t="s">
        <v>116</v>
      </c>
      <c r="AF63" s="568" t="s">
        <v>116</v>
      </c>
      <c r="AG63" s="568" t="s">
        <v>376</v>
      </c>
      <c r="AH63" s="356">
        <v>45567</v>
      </c>
      <c r="AI63" s="509">
        <v>0</v>
      </c>
      <c r="AJ63" s="541">
        <v>16760</v>
      </c>
      <c r="AK63" s="557">
        <v>12867</v>
      </c>
      <c r="AL63" s="494">
        <f>SUM(Table159[[#This Row],[Nicor Initiated DBE]:[Staffing]])/(Table159[[#This Row],[Amount Invoiced]])</f>
        <v>0.27937712414240901</v>
      </c>
      <c r="AM63" s="21" t="s">
        <v>116</v>
      </c>
      <c r="AN63" s="801">
        <v>45532</v>
      </c>
      <c r="AO63" s="806">
        <v>11089908</v>
      </c>
      <c r="AP63" s="788">
        <v>897800.8</v>
      </c>
      <c r="AQ63" s="788"/>
      <c r="AR63" s="788">
        <v>162665.41</v>
      </c>
      <c r="AS63" s="538">
        <f>IF(Table159[[#This Row],[PCTS Approved]]="N",0,Table159[[#This Row],[Investment Amount (1'#'#'#'#'#)]]+Table159[[#This Row],[Retirement Amount (3'#'#'#'#'#)]])</f>
        <v>1060466.21</v>
      </c>
      <c r="AT63" s="538">
        <f>IF(Table159[[#This Row],[Approved Construction Cost]]=0,0,Table159[[#This Row],[Approved Construction Cost]]-Table159[[#This Row],[Construction Cost to Bill From]])</f>
        <v>0</v>
      </c>
      <c r="AU63" s="538">
        <f>Table159[[#This Row],[Difference in Construction Cost]]*Table159[[#This Row],[Rate]]</f>
        <v>0</v>
      </c>
      <c r="AV63" s="718">
        <v>0</v>
      </c>
      <c r="AW63" s="660"/>
      <c r="AX63" s="555"/>
      <c r="AY63" s="636" t="s">
        <v>709</v>
      </c>
      <c r="AZ63" s="443"/>
      <c r="BA63" s="643" t="s">
        <v>6483</v>
      </c>
      <c r="BB63" s="644" t="s">
        <v>5767</v>
      </c>
      <c r="BC63" s="479" t="s">
        <v>116</v>
      </c>
      <c r="BD63" s="559" t="s">
        <v>709</v>
      </c>
      <c r="BE63" s="554" t="s">
        <v>923</v>
      </c>
      <c r="BF63" s="588" t="s">
        <v>709</v>
      </c>
      <c r="BG63" s="612" t="s">
        <v>709</v>
      </c>
      <c r="BH63" s="615" t="s">
        <v>6484</v>
      </c>
      <c r="BI63" s="528" t="s">
        <v>709</v>
      </c>
      <c r="BJ63" s="549" t="s">
        <v>709</v>
      </c>
      <c r="BK63" s="549" t="s">
        <v>709</v>
      </c>
      <c r="BL63" s="547" t="s">
        <v>116</v>
      </c>
      <c r="BM63" s="549" t="s">
        <v>709</v>
      </c>
      <c r="BN63" s="549" t="s">
        <v>709</v>
      </c>
      <c r="BO63" s="549" t="s">
        <v>709</v>
      </c>
      <c r="BP63" s="549" t="s">
        <v>709</v>
      </c>
      <c r="BQ63" s="549" t="s">
        <v>709</v>
      </c>
      <c r="BR63" s="549" t="s">
        <v>709</v>
      </c>
      <c r="BS63" s="549">
        <v>3818</v>
      </c>
      <c r="BT63" s="549" t="s">
        <v>745</v>
      </c>
      <c r="BU63" s="549" t="s">
        <v>745</v>
      </c>
      <c r="BV63" s="549" t="s">
        <v>745</v>
      </c>
      <c r="BW63" s="549" t="s">
        <v>745</v>
      </c>
      <c r="BX63" s="549" t="s">
        <v>745</v>
      </c>
      <c r="BY63" s="549" t="s">
        <v>745</v>
      </c>
      <c r="BZ63" s="743"/>
    </row>
    <row r="64" spans="1:78" ht="15" hidden="1" customHeight="1" x14ac:dyDescent="0.25">
      <c r="A64" s="13" t="s">
        <v>749</v>
      </c>
      <c r="B64" s="13" t="s">
        <v>759</v>
      </c>
      <c r="C64" s="13" t="s">
        <v>1412</v>
      </c>
      <c r="D64" s="13">
        <v>1011916</v>
      </c>
      <c r="E64" s="13" t="s">
        <v>361</v>
      </c>
      <c r="F64" s="452" t="s">
        <v>752</v>
      </c>
      <c r="G64" s="13" t="s">
        <v>34</v>
      </c>
      <c r="H64" s="13" t="s">
        <v>59</v>
      </c>
      <c r="I64" s="642">
        <v>44837</v>
      </c>
      <c r="J64" s="18">
        <v>45000</v>
      </c>
      <c r="K64" s="642">
        <v>45000</v>
      </c>
      <c r="L64" s="649">
        <f>IF(ISTEXT(Table159[[#This Row],[Engineering Approved Design Date]]),Table159[[#This Row],[Date Completed]]-Table159[[#This Row],[Date Assigned to Designer]],Table159[[#This Row],[Engineering Approved Design Date]]-Table159[[#This Row],[Date Completed]])</f>
        <v>0</v>
      </c>
      <c r="N64" s="642" t="s">
        <v>120</v>
      </c>
      <c r="O64" s="510">
        <v>45017</v>
      </c>
      <c r="P64" s="68" t="s">
        <v>120</v>
      </c>
      <c r="Q64" s="70">
        <f>Table159[[#This Row],[Rate]]*Table159[[#This Row],[Construction Cost to Bill From]]</f>
        <v>116426.8501</v>
      </c>
      <c r="R64" s="77">
        <v>0.11</v>
      </c>
      <c r="V64" s="442">
        <v>1904</v>
      </c>
      <c r="W64" s="442">
        <v>1</v>
      </c>
      <c r="X64" s="94">
        <v>972576.23</v>
      </c>
      <c r="Y64" s="591"/>
      <c r="Z64" s="552">
        <v>85849.68</v>
      </c>
      <c r="AA64" s="300">
        <f>Table159[[#This Row],[PCTS Investment Amount]]+Table159[[#This Row],[PCTS Retirement Amount]]</f>
        <v>1058425.9099999999</v>
      </c>
      <c r="AB64" s="212">
        <v>45029</v>
      </c>
      <c r="AC64" s="229" t="s">
        <v>1177</v>
      </c>
      <c r="AD64" s="229" t="s">
        <v>29</v>
      </c>
      <c r="AE64" s="350"/>
      <c r="AF64" s="581"/>
      <c r="AG64" s="581"/>
      <c r="AH64" s="355"/>
      <c r="AI64" s="490"/>
      <c r="AJ64" s="583"/>
      <c r="AK64" s="583"/>
      <c r="AL64" s="496"/>
      <c r="AM64" s="21" t="s">
        <v>116</v>
      </c>
      <c r="AN64" s="680" t="s">
        <v>709</v>
      </c>
      <c r="AO64" s="603" t="s">
        <v>115</v>
      </c>
      <c r="AP64" s="572"/>
      <c r="AQ64" s="603"/>
      <c r="AR64" s="572"/>
      <c r="AS64" s="538">
        <f>IF(Table159[[#This Row],[PCTS Approved]]="N",0,Table159[[#This Row],[Investment Amount (1'#'#'#'#'#)]]+Table159[[#This Row],[Retirement Amount (3'#'#'#'#'#)]])</f>
        <v>0</v>
      </c>
      <c r="AT64" s="538">
        <f>IF(Table159[[#This Row],[Approved Construction Cost]]=0,0,Table159[[#This Row],[Approved Construction Cost]]-Table159[[#This Row],[Construction Cost to Bill From]])</f>
        <v>0</v>
      </c>
      <c r="AU64" s="538">
        <f>IFERROR(Table159[[#This Row],[Difference in Construction Cost]]*Table159[[#This Row],[Rate]],Table159[[#This Row],[Difference in Construction Cost]]*0.085)</f>
        <v>0</v>
      </c>
      <c r="AV64" s="572"/>
      <c r="AW64" s="639"/>
      <c r="AX64" s="538"/>
      <c r="AY64" s="636" t="s">
        <v>709</v>
      </c>
      <c r="AZ64" s="443">
        <v>150</v>
      </c>
      <c r="BA64" s="652" t="s">
        <v>1413</v>
      </c>
      <c r="BB64" s="543" t="s">
        <v>1414</v>
      </c>
      <c r="BC64" s="478" t="s">
        <v>116</v>
      </c>
      <c r="BD64" s="544" t="s">
        <v>115</v>
      </c>
      <c r="BE64" s="544" t="s">
        <v>1415</v>
      </c>
      <c r="BF64" s="544" t="s">
        <v>115</v>
      </c>
      <c r="BG64" s="512" t="s">
        <v>115</v>
      </c>
      <c r="BH64" s="741"/>
      <c r="BI64" s="535" t="s">
        <v>709</v>
      </c>
      <c r="BJ64" s="547" t="s">
        <v>709</v>
      </c>
      <c r="BK64" s="547" t="s">
        <v>116</v>
      </c>
      <c r="BL64" s="547" t="s">
        <v>116</v>
      </c>
      <c r="BM64" s="547" t="s">
        <v>709</v>
      </c>
      <c r="BN64" s="547" t="s">
        <v>709</v>
      </c>
      <c r="BO64" s="547" t="s">
        <v>709</v>
      </c>
      <c r="BP64" s="547" t="s">
        <v>709</v>
      </c>
      <c r="BQ64" s="547">
        <v>1631</v>
      </c>
      <c r="BR64" s="547">
        <v>133</v>
      </c>
      <c r="BS64" s="547">
        <v>50</v>
      </c>
      <c r="BT64" s="547">
        <v>1</v>
      </c>
      <c r="BU64" s="547" t="s">
        <v>709</v>
      </c>
      <c r="BV64" s="547" t="s">
        <v>745</v>
      </c>
      <c r="BW64" s="547">
        <v>1</v>
      </c>
      <c r="BX64" s="547" t="s">
        <v>709</v>
      </c>
      <c r="BY64" s="547" t="s">
        <v>745</v>
      </c>
      <c r="BZ64" s="483"/>
    </row>
    <row r="65" spans="1:78" ht="15" hidden="1" customHeight="1" x14ac:dyDescent="0.25">
      <c r="A65" s="13" t="s">
        <v>749</v>
      </c>
      <c r="B65" s="13" t="s">
        <v>759</v>
      </c>
      <c r="C65" s="13" t="s">
        <v>437</v>
      </c>
      <c r="D65" s="13">
        <v>1011935</v>
      </c>
      <c r="E65" s="13" t="s">
        <v>438</v>
      </c>
      <c r="F65" s="452" t="s">
        <v>752</v>
      </c>
      <c r="G65" s="13" t="s">
        <v>34</v>
      </c>
      <c r="H65" s="13" t="s">
        <v>59</v>
      </c>
      <c r="I65" s="642">
        <v>44838</v>
      </c>
      <c r="J65" s="175">
        <v>45016</v>
      </c>
      <c r="K65" s="642">
        <v>45016</v>
      </c>
      <c r="L65" s="649">
        <f>IF(ISTEXT(Table159[[#This Row],[Engineering Approved Design Date]]),Table159[[#This Row],[Date Completed]]-Table159[[#This Row],[Date Assigned to Designer]],Table159[[#This Row],[Engineering Approved Design Date]]-Table159[[#This Row],[Date Completed]])</f>
        <v>0</v>
      </c>
      <c r="N65" s="642" t="s">
        <v>120</v>
      </c>
      <c r="O65" s="510">
        <v>45017</v>
      </c>
      <c r="P65" s="68" t="s">
        <v>120</v>
      </c>
      <c r="Q65" s="70">
        <f>Table159[[#This Row],[Rate]]*Table159[[#This Row],[Construction Cost to Bill From]]</f>
        <v>102706.21130000001</v>
      </c>
      <c r="R65" s="77">
        <v>0.11</v>
      </c>
      <c r="V65" s="442">
        <v>1253</v>
      </c>
      <c r="W65" s="442">
        <v>3</v>
      </c>
      <c r="X65" s="94">
        <v>818002.56</v>
      </c>
      <c r="Y65" s="591"/>
      <c r="Z65" s="552">
        <v>115690.27</v>
      </c>
      <c r="AA65" s="300">
        <f>Table159[[#This Row],[PCTS Investment Amount]]+Table159[[#This Row],[PCTS Retirement Amount]]</f>
        <v>933692.83000000007</v>
      </c>
      <c r="AB65" s="212">
        <v>45028</v>
      </c>
      <c r="AC65" s="229" t="s">
        <v>1441</v>
      </c>
      <c r="AD65" s="229" t="s">
        <v>29</v>
      </c>
      <c r="AE65" s="350"/>
      <c r="AF65" s="581"/>
      <c r="AG65" s="581"/>
      <c r="AH65" s="355"/>
      <c r="AI65" s="490"/>
      <c r="AJ65" s="583"/>
      <c r="AK65" s="583"/>
      <c r="AL65" s="496"/>
      <c r="AM65" s="21" t="s">
        <v>116</v>
      </c>
      <c r="AN65" s="680" t="s">
        <v>709</v>
      </c>
      <c r="AO65" s="604">
        <v>11056663</v>
      </c>
      <c r="AP65" s="572"/>
      <c r="AQ65" s="603"/>
      <c r="AR65" s="572"/>
      <c r="AS65" s="538">
        <f>IF(Table159[[#This Row],[PCTS Approved]]="N",0,Table159[[#This Row],[Investment Amount (1'#'#'#'#'#)]]+Table159[[#This Row],[Retirement Amount (3'#'#'#'#'#)]])</f>
        <v>0</v>
      </c>
      <c r="AT65" s="538">
        <f>IF(Table159[[#This Row],[Approved Construction Cost]]=0,0,Table159[[#This Row],[Approved Construction Cost]]-Table159[[#This Row],[Construction Cost to Bill From]])</f>
        <v>0</v>
      </c>
      <c r="AU65" s="538">
        <f>IFERROR(Table159[[#This Row],[Difference in Construction Cost]]*Table159[[#This Row],[Rate]],Table159[[#This Row],[Difference in Construction Cost]]*0.085)</f>
        <v>0</v>
      </c>
      <c r="AV65" s="572"/>
      <c r="AW65" s="639"/>
      <c r="AX65" s="538"/>
      <c r="AY65" s="636" t="s">
        <v>709</v>
      </c>
      <c r="AZ65" s="443">
        <v>152</v>
      </c>
      <c r="BA65" s="652" t="s">
        <v>1442</v>
      </c>
      <c r="BB65" s="543" t="s">
        <v>1443</v>
      </c>
      <c r="BC65" s="478" t="s">
        <v>115</v>
      </c>
      <c r="BD65" s="544" t="s">
        <v>115</v>
      </c>
      <c r="BE65" s="544" t="s">
        <v>1444</v>
      </c>
      <c r="BF65" s="544" t="s">
        <v>115</v>
      </c>
      <c r="BG65" s="512" t="s">
        <v>115</v>
      </c>
      <c r="BH65" s="741" t="s">
        <v>1445</v>
      </c>
      <c r="BI65" s="535" t="s">
        <v>709</v>
      </c>
      <c r="BJ65" s="547" t="s">
        <v>709</v>
      </c>
      <c r="BK65" s="547" t="s">
        <v>709</v>
      </c>
      <c r="BL65" s="547" t="s">
        <v>116</v>
      </c>
      <c r="BM65" s="547" t="s">
        <v>709</v>
      </c>
      <c r="BN65" s="547" t="s">
        <v>709</v>
      </c>
      <c r="BO65" s="547" t="s">
        <v>709</v>
      </c>
      <c r="BP65" s="547">
        <v>354</v>
      </c>
      <c r="BQ65" s="547">
        <v>759</v>
      </c>
      <c r="BR65" s="547">
        <v>45</v>
      </c>
      <c r="BS65" s="547">
        <v>5</v>
      </c>
      <c r="BT65" s="547">
        <v>1</v>
      </c>
      <c r="BU65" s="547" t="s">
        <v>709</v>
      </c>
      <c r="BV65" s="547" t="s">
        <v>709</v>
      </c>
      <c r="BW65" s="547">
        <v>1</v>
      </c>
      <c r="BX65" s="547">
        <v>1</v>
      </c>
      <c r="BY65" s="547" t="s">
        <v>709</v>
      </c>
      <c r="BZ65" s="483" t="s">
        <v>1022</v>
      </c>
    </row>
    <row r="66" spans="1:78" ht="15" hidden="1" customHeight="1" x14ac:dyDescent="0.25">
      <c r="A66" s="8" t="s">
        <v>800</v>
      </c>
      <c r="B66" s="8" t="s">
        <v>4</v>
      </c>
      <c r="C66" s="8" t="s">
        <v>372</v>
      </c>
      <c r="D66" s="8" t="s">
        <v>1451</v>
      </c>
      <c r="E66" s="8" t="s">
        <v>373</v>
      </c>
      <c r="F66" s="8" t="s">
        <v>784</v>
      </c>
      <c r="G66" s="8" t="s">
        <v>27</v>
      </c>
      <c r="H66" s="8" t="s">
        <v>59</v>
      </c>
      <c r="I66" s="642">
        <v>44784</v>
      </c>
      <c r="J66" s="18">
        <v>45077</v>
      </c>
      <c r="K66" s="97">
        <v>45037</v>
      </c>
      <c r="L66" s="16">
        <f>IF(ISTEXT(Table159[[#This Row],[Engineering Approved Design Date]]),Table159[[#This Row],[Date Completed]]-Table159[[#This Row],[Date Assigned to Designer]],Table159[[#This Row],[Engineering Approved Design Date]]-Table159[[#This Row],[Date Completed]])</f>
        <v>40</v>
      </c>
      <c r="M66" s="642"/>
      <c r="N66" s="642" t="s">
        <v>120</v>
      </c>
      <c r="O66" s="510">
        <f>Table159[[#This Row],[Date Completed]]</f>
        <v>45037</v>
      </c>
      <c r="P66" s="221" t="s">
        <v>739</v>
      </c>
      <c r="Q66" s="70">
        <f>Table159[[#This Row],[Rate]]*Table159[[#This Row],[Construction Cost to Bill From]]</f>
        <v>17358.519</v>
      </c>
      <c r="R66" s="75">
        <v>0.1</v>
      </c>
      <c r="U66" s="87"/>
      <c r="V66" s="437">
        <f>928+50</f>
        <v>978</v>
      </c>
      <c r="W66" s="437">
        <v>0</v>
      </c>
      <c r="X66" s="24">
        <v>161986.32</v>
      </c>
      <c r="Y66" s="592"/>
      <c r="Z66" s="552">
        <v>11598.87</v>
      </c>
      <c r="AA66" s="300">
        <f>Table159[[#This Row],[PCTS Investment Amount]]+Table159[[#This Row],[PCTS Retirement Amount]]</f>
        <v>173585.19</v>
      </c>
      <c r="AB66" s="207" t="s">
        <v>709</v>
      </c>
      <c r="AC66" s="108" t="s">
        <v>116</v>
      </c>
      <c r="AD66" s="108" t="s">
        <v>29</v>
      </c>
      <c r="AE66" s="349"/>
      <c r="AF66" s="579"/>
      <c r="AG66" s="579"/>
      <c r="AH66" s="354">
        <v>45000</v>
      </c>
      <c r="AI66" s="489"/>
      <c r="AJ66" s="553"/>
      <c r="AK66" s="553"/>
      <c r="AL66" s="495"/>
      <c r="AM66" s="21" t="s">
        <v>116</v>
      </c>
      <c r="AN66" s="680" t="s">
        <v>709</v>
      </c>
      <c r="AO66" s="601"/>
      <c r="AP66" s="572"/>
      <c r="AQ66" s="572"/>
      <c r="AR66" s="572"/>
      <c r="AS66" s="538">
        <f>IF(Table159[[#This Row],[PCTS Approved]]="N",0,Table159[[#This Row],[Investment Amount (1'#'#'#'#'#)]]+Table159[[#This Row],[Retirement Amount (3'#'#'#'#'#)]])</f>
        <v>0</v>
      </c>
      <c r="AT66" s="538">
        <f>IF(Table159[[#This Row],[Approved Construction Cost]]=0,0,Table159[[#This Row],[Approved Construction Cost]]-Table159[[#This Row],[Construction Cost to Bill From]])</f>
        <v>0</v>
      </c>
      <c r="AU66" s="538">
        <f>IFERROR(Table159[[#This Row],[Difference in Construction Cost]]*Table159[[#This Row],[Rate]],Table159[[#This Row],[Difference in Construction Cost]]*0.085)</f>
        <v>0</v>
      </c>
      <c r="AV66" s="572"/>
      <c r="AW66" s="639"/>
      <c r="AX66" s="538"/>
      <c r="AY66" s="636" t="s">
        <v>709</v>
      </c>
      <c r="AZ66" s="443">
        <v>82</v>
      </c>
      <c r="BA66" s="652" t="s">
        <v>1452</v>
      </c>
      <c r="BB66" s="644" t="s">
        <v>905</v>
      </c>
      <c r="BC66" s="478" t="s">
        <v>116</v>
      </c>
      <c r="BD66" s="544" t="s">
        <v>1448</v>
      </c>
      <c r="BE66" s="544" t="s">
        <v>1449</v>
      </c>
      <c r="BF66" s="544" t="s">
        <v>1450</v>
      </c>
      <c r="BG66" s="512" t="s">
        <v>709</v>
      </c>
      <c r="BH66" s="741"/>
      <c r="BI66" s="535" t="s">
        <v>709</v>
      </c>
      <c r="BJ66" s="547" t="s">
        <v>116</v>
      </c>
      <c r="BK66" s="547" t="s">
        <v>709</v>
      </c>
      <c r="BL66" s="547" t="s">
        <v>709</v>
      </c>
      <c r="BM66" s="547" t="s">
        <v>709</v>
      </c>
      <c r="BN66" s="547" t="s">
        <v>709</v>
      </c>
      <c r="BO66" s="547" t="s">
        <v>709</v>
      </c>
      <c r="BP66" s="547" t="s">
        <v>709</v>
      </c>
      <c r="BQ66" s="547" t="s">
        <v>709</v>
      </c>
      <c r="BR66" s="547">
        <v>978</v>
      </c>
      <c r="BS66" s="547" t="s">
        <v>709</v>
      </c>
      <c r="BT66" s="547" t="s">
        <v>745</v>
      </c>
      <c r="BU66" s="547" t="s">
        <v>709</v>
      </c>
      <c r="BV66" s="547" t="s">
        <v>745</v>
      </c>
      <c r="BW66" s="547" t="s">
        <v>709</v>
      </c>
      <c r="BX66" s="547" t="s">
        <v>745</v>
      </c>
      <c r="BY66" s="547" t="s">
        <v>745</v>
      </c>
      <c r="BZ66" s="483"/>
    </row>
    <row r="67" spans="1:78" ht="15" hidden="1" customHeight="1" x14ac:dyDescent="0.25">
      <c r="A67" s="8" t="s">
        <v>800</v>
      </c>
      <c r="B67" s="8" t="s">
        <v>4</v>
      </c>
      <c r="C67" s="8" t="s">
        <v>377</v>
      </c>
      <c r="D67" s="8" t="s">
        <v>1446</v>
      </c>
      <c r="E67" s="8" t="s">
        <v>373</v>
      </c>
      <c r="F67" s="8" t="s">
        <v>784</v>
      </c>
      <c r="G67" s="8" t="s">
        <v>27</v>
      </c>
      <c r="H67" s="8" t="s">
        <v>59</v>
      </c>
      <c r="I67" s="642">
        <v>44784</v>
      </c>
      <c r="J67" s="18">
        <v>45077</v>
      </c>
      <c r="K67" s="97">
        <v>45037</v>
      </c>
      <c r="L67" s="16">
        <f>IF(ISTEXT(Table159[[#This Row],[Engineering Approved Design Date]]),Table159[[#This Row],[Date Completed]]-Table159[[#This Row],[Date Assigned to Designer]],Table159[[#This Row],[Engineering Approved Design Date]]-Table159[[#This Row],[Date Completed]])</f>
        <v>40</v>
      </c>
      <c r="M67" s="642"/>
      <c r="N67" s="642" t="s">
        <v>120</v>
      </c>
      <c r="O67" s="510">
        <f>Table159[[#This Row],[Date Completed]]</f>
        <v>45037</v>
      </c>
      <c r="P67" s="221" t="s">
        <v>739</v>
      </c>
      <c r="Q67" s="70">
        <f>Table159[[#This Row],[Rate]]*Table159[[#This Row],[Construction Cost to Bill From]]</f>
        <v>165330.28700000001</v>
      </c>
      <c r="R67" s="75">
        <v>0.1</v>
      </c>
      <c r="U67" s="87"/>
      <c r="V67" s="437">
        <f>9+6289+692</f>
        <v>6990</v>
      </c>
      <c r="W67" s="437">
        <v>0</v>
      </c>
      <c r="X67" s="24">
        <v>1623644.96</v>
      </c>
      <c r="Y67" s="592"/>
      <c r="Z67" s="552">
        <v>29657.91</v>
      </c>
      <c r="AA67" s="300">
        <f>Table159[[#This Row],[PCTS Investment Amount]]+Table159[[#This Row],[PCTS Retirement Amount]]</f>
        <v>1653302.8699999999</v>
      </c>
      <c r="AB67" s="207" t="s">
        <v>709</v>
      </c>
      <c r="AC67" s="108" t="s">
        <v>116</v>
      </c>
      <c r="AD67" s="108" t="s">
        <v>29</v>
      </c>
      <c r="AE67" s="349"/>
      <c r="AF67" s="579"/>
      <c r="AG67" s="579"/>
      <c r="AH67" s="354">
        <v>45000</v>
      </c>
      <c r="AI67" s="489"/>
      <c r="AJ67" s="553"/>
      <c r="AK67" s="553"/>
      <c r="AL67" s="495"/>
      <c r="AM67" s="21" t="s">
        <v>116</v>
      </c>
      <c r="AN67" s="680" t="s">
        <v>709</v>
      </c>
      <c r="AO67" s="601"/>
      <c r="AP67" s="572"/>
      <c r="AQ67" s="572"/>
      <c r="AR67" s="572"/>
      <c r="AS67" s="538">
        <f>IF(Table159[[#This Row],[PCTS Approved]]="N",0,Table159[[#This Row],[Investment Amount (1'#'#'#'#'#)]]+Table159[[#This Row],[Retirement Amount (3'#'#'#'#'#)]])</f>
        <v>0</v>
      </c>
      <c r="AT67" s="538">
        <f>IF(Table159[[#This Row],[Approved Construction Cost]]=0,0,Table159[[#This Row],[Approved Construction Cost]]-Table159[[#This Row],[Construction Cost to Bill From]])</f>
        <v>0</v>
      </c>
      <c r="AU67" s="538">
        <f>IFERROR(Table159[[#This Row],[Difference in Construction Cost]]*Table159[[#This Row],[Rate]],Table159[[#This Row],[Difference in Construction Cost]]*0.085)</f>
        <v>0</v>
      </c>
      <c r="AV67" s="572"/>
      <c r="AW67" s="639"/>
      <c r="AX67" s="538"/>
      <c r="AY67" s="636" t="s">
        <v>709</v>
      </c>
      <c r="AZ67" s="443">
        <v>81</v>
      </c>
      <c r="BA67" s="652" t="s">
        <v>1447</v>
      </c>
      <c r="BB67" s="644" t="s">
        <v>905</v>
      </c>
      <c r="BC67" s="478" t="s">
        <v>116</v>
      </c>
      <c r="BD67" s="544" t="s">
        <v>1448</v>
      </c>
      <c r="BE67" s="544" t="s">
        <v>1449</v>
      </c>
      <c r="BF67" s="544" t="s">
        <v>1450</v>
      </c>
      <c r="BG67" s="512" t="s">
        <v>709</v>
      </c>
      <c r="BH67" s="741"/>
      <c r="BI67" s="535" t="s">
        <v>709</v>
      </c>
      <c r="BJ67" s="547" t="s">
        <v>116</v>
      </c>
      <c r="BK67" s="547" t="s">
        <v>709</v>
      </c>
      <c r="BL67" s="547" t="s">
        <v>709</v>
      </c>
      <c r="BM67" s="547" t="s">
        <v>709</v>
      </c>
      <c r="BN67" s="547" t="s">
        <v>709</v>
      </c>
      <c r="BO67" s="547" t="s">
        <v>709</v>
      </c>
      <c r="BP67" s="547" t="s">
        <v>709</v>
      </c>
      <c r="BQ67" s="547" t="s">
        <v>709</v>
      </c>
      <c r="BR67" s="547">
        <v>978</v>
      </c>
      <c r="BS67" s="547" t="s">
        <v>709</v>
      </c>
      <c r="BT67" s="547" t="s">
        <v>745</v>
      </c>
      <c r="BU67" s="547" t="s">
        <v>709</v>
      </c>
      <c r="BV67" s="547" t="s">
        <v>745</v>
      </c>
      <c r="BW67" s="547" t="s">
        <v>709</v>
      </c>
      <c r="BX67" s="547" t="s">
        <v>745</v>
      </c>
      <c r="BY67" s="547" t="s">
        <v>745</v>
      </c>
      <c r="BZ67" s="483"/>
    </row>
    <row r="68" spans="1:78" ht="15" hidden="1" customHeight="1" x14ac:dyDescent="0.25">
      <c r="A68" s="8" t="s">
        <v>749</v>
      </c>
      <c r="B68" s="8" t="s">
        <v>4</v>
      </c>
      <c r="C68" s="8" t="s">
        <v>1453</v>
      </c>
      <c r="D68" s="8" t="s">
        <v>1454</v>
      </c>
      <c r="E68" s="8" t="s">
        <v>342</v>
      </c>
      <c r="F68" s="8" t="s">
        <v>784</v>
      </c>
      <c r="G68" s="8" t="s">
        <v>27</v>
      </c>
      <c r="H68" s="8" t="s">
        <v>59</v>
      </c>
      <c r="I68" s="642">
        <v>44959</v>
      </c>
      <c r="J68" s="18">
        <v>45047</v>
      </c>
      <c r="K68" s="97">
        <v>45040</v>
      </c>
      <c r="L68" s="16">
        <f>IF(ISTEXT(Table159[[#This Row],[Engineering Approved Design Date]]),Table159[[#This Row],[Date Completed]]-Table159[[#This Row],[Date Assigned to Designer]],Table159[[#This Row],[Engineering Approved Design Date]]-Table159[[#This Row],[Date Completed]])</f>
        <v>7</v>
      </c>
      <c r="M68" s="642"/>
      <c r="N68" s="642" t="s">
        <v>120</v>
      </c>
      <c r="O68" s="510">
        <f>Table159[[#This Row],[Date Completed]]</f>
        <v>45040</v>
      </c>
      <c r="P68" s="221" t="s">
        <v>739</v>
      </c>
      <c r="Q68" s="70">
        <f>Table159[[#This Row],[Rate]]*Table159[[#This Row],[Construction Cost to Bill From]]</f>
        <v>26887.298999999999</v>
      </c>
      <c r="R68" s="75">
        <v>0.1</v>
      </c>
      <c r="U68" s="87"/>
      <c r="V68" s="437">
        <v>294</v>
      </c>
      <c r="W68" s="437">
        <v>0</v>
      </c>
      <c r="X68" s="24">
        <v>245464.03</v>
      </c>
      <c r="Y68" s="592"/>
      <c r="Z68" s="552">
        <v>23408.959999999999</v>
      </c>
      <c r="AA68" s="300">
        <f>Table159[[#This Row],[PCTS Investment Amount]]+Table159[[#This Row],[PCTS Retirement Amount]]</f>
        <v>268872.99</v>
      </c>
      <c r="AB68" s="207">
        <v>45041</v>
      </c>
      <c r="AC68" s="108" t="s">
        <v>709</v>
      </c>
      <c r="AD68" s="108" t="s">
        <v>116</v>
      </c>
      <c r="AE68" s="187" t="s">
        <v>756</v>
      </c>
      <c r="AF68" s="568" t="s">
        <v>29</v>
      </c>
      <c r="AG68" s="568" t="s">
        <v>116</v>
      </c>
      <c r="AH68" s="356">
        <v>45160</v>
      </c>
      <c r="AI68" s="489"/>
      <c r="AJ68" s="553"/>
      <c r="AK68" s="553"/>
      <c r="AL68" s="495"/>
      <c r="AM68" s="21" t="s">
        <v>116</v>
      </c>
      <c r="AN68" s="680" t="s">
        <v>709</v>
      </c>
      <c r="AO68" s="601"/>
      <c r="AP68" s="572"/>
      <c r="AQ68" s="572"/>
      <c r="AR68" s="572"/>
      <c r="AS68" s="538">
        <f>IF(Table159[[#This Row],[PCTS Approved]]="N",0,Table159[[#This Row],[Investment Amount (1'#'#'#'#'#)]]+Table159[[#This Row],[Retirement Amount (3'#'#'#'#'#)]])</f>
        <v>0</v>
      </c>
      <c r="AT68" s="538">
        <f>IF(Table159[[#This Row],[Approved Construction Cost]]=0,0,Table159[[#This Row],[Approved Construction Cost]]-Table159[[#This Row],[Construction Cost to Bill From]])</f>
        <v>0</v>
      </c>
      <c r="AU68" s="538">
        <f>IFERROR(Table159[[#This Row],[Difference in Construction Cost]]*Table159[[#This Row],[Rate]],Table159[[#This Row],[Difference in Construction Cost]]*0.085)</f>
        <v>0</v>
      </c>
      <c r="AV68" s="572"/>
      <c r="AW68" s="639"/>
      <c r="AX68" s="538"/>
      <c r="AY68" s="636" t="s">
        <v>709</v>
      </c>
      <c r="AZ68" s="443">
        <v>83</v>
      </c>
      <c r="BA68" s="652" t="s">
        <v>1455</v>
      </c>
      <c r="BB68" s="644" t="s">
        <v>1456</v>
      </c>
      <c r="BC68" s="478" t="s">
        <v>709</v>
      </c>
      <c r="BD68" s="544" t="s">
        <v>709</v>
      </c>
      <c r="BE68" s="544" t="s">
        <v>1456</v>
      </c>
      <c r="BF68" s="544" t="s">
        <v>709</v>
      </c>
      <c r="BG68" s="512" t="s">
        <v>709</v>
      </c>
      <c r="BH68" s="741"/>
      <c r="BI68" s="535" t="s">
        <v>709</v>
      </c>
      <c r="BJ68" s="547" t="s">
        <v>709</v>
      </c>
      <c r="BK68" s="547" t="s">
        <v>709</v>
      </c>
      <c r="BL68" s="547" t="s">
        <v>116</v>
      </c>
      <c r="BM68" s="547" t="s">
        <v>709</v>
      </c>
      <c r="BN68" s="547" t="s">
        <v>709</v>
      </c>
      <c r="BO68" s="547" t="s">
        <v>709</v>
      </c>
      <c r="BP68" s="547" t="s">
        <v>709</v>
      </c>
      <c r="BQ68" s="547" t="s">
        <v>709</v>
      </c>
      <c r="BR68" s="547">
        <v>183</v>
      </c>
      <c r="BS68" s="547">
        <v>111</v>
      </c>
      <c r="BT68" s="547" t="s">
        <v>709</v>
      </c>
      <c r="BU68" s="547" t="s">
        <v>709</v>
      </c>
      <c r="BV68" s="547" t="s">
        <v>745</v>
      </c>
      <c r="BW68" s="547" t="s">
        <v>709</v>
      </c>
      <c r="BX68" s="547" t="s">
        <v>745</v>
      </c>
      <c r="BY68" s="547" t="s">
        <v>745</v>
      </c>
      <c r="BZ68" s="483"/>
    </row>
    <row r="69" spans="1:78" ht="15" hidden="1" customHeight="1" x14ac:dyDescent="0.25">
      <c r="A69" s="8" t="s">
        <v>770</v>
      </c>
      <c r="B69" s="8" t="s">
        <v>769</v>
      </c>
      <c r="C69" s="8" t="s">
        <v>1186</v>
      </c>
      <c r="D69" s="656" t="s">
        <v>1187</v>
      </c>
      <c r="E69" s="8" t="s">
        <v>393</v>
      </c>
      <c r="F69" s="8" t="s">
        <v>738</v>
      </c>
      <c r="G69" s="8" t="s">
        <v>1882</v>
      </c>
      <c r="H69" s="8" t="s">
        <v>59</v>
      </c>
      <c r="I69" s="642">
        <v>44105</v>
      </c>
      <c r="J69" s="18">
        <v>44309</v>
      </c>
      <c r="K69" s="642">
        <v>44307</v>
      </c>
      <c r="L69" s="16">
        <f>IF(ISTEXT(Table159[[#This Row],[Engineering Approved Design Date]]),Table159[[#This Row],[Date Completed]]-Table159[[#This Row],[Date Assigned to Designer]],Table159[[#This Row],[Engineering Approved Design Date]]-Table159[[#This Row],[Date Completed]])</f>
        <v>2</v>
      </c>
      <c r="M69" s="642"/>
      <c r="N69" s="642" t="s">
        <v>120</v>
      </c>
      <c r="O69" s="534">
        <v>44307</v>
      </c>
      <c r="P69" s="68" t="s">
        <v>739</v>
      </c>
      <c r="Q69" s="70">
        <f>(Table159[[#This Row],[Construction Cost to Bill From]]*0.085)+(3*5250)</f>
        <v>101557.56375</v>
      </c>
      <c r="R69" s="75" t="s">
        <v>794</v>
      </c>
      <c r="S69" s="24" t="s">
        <v>709</v>
      </c>
      <c r="T69" s="538" t="s">
        <v>709</v>
      </c>
      <c r="U69" s="300" t="s">
        <v>709</v>
      </c>
      <c r="V69" s="437">
        <f>11108+1550+80+546</f>
        <v>13284</v>
      </c>
      <c r="X69" s="24">
        <v>763186.12</v>
      </c>
      <c r="Y69" s="591"/>
      <c r="Z69" s="538">
        <v>246314.63</v>
      </c>
      <c r="AA69" s="87">
        <f>X69+Z69</f>
        <v>1009500.75</v>
      </c>
      <c r="AB69" s="207"/>
      <c r="AC69" s="108" t="s">
        <v>709</v>
      </c>
      <c r="AD69" s="108"/>
      <c r="AE69" s="349"/>
      <c r="AF69" s="579"/>
      <c r="AG69" s="579"/>
      <c r="AH69" s="354"/>
      <c r="AI69" s="489"/>
      <c r="AJ69" s="553"/>
      <c r="AK69" s="553"/>
      <c r="AL69" s="495"/>
      <c r="AM69" s="21" t="s">
        <v>116</v>
      </c>
      <c r="AN69" s="796" t="s">
        <v>709</v>
      </c>
      <c r="AO69" s="798">
        <v>11039270</v>
      </c>
      <c r="AP69" s="797"/>
      <c r="AQ69" s="797"/>
      <c r="AR69" s="797"/>
      <c r="AS69" s="538">
        <f>IF(Table159[[#This Row],[PCTS Approved]]="N",0,Table159[[#This Row],[Investment Amount (1'#'#'#'#'#)]]+Table159[[#This Row],[Retirement Amount (3'#'#'#'#'#)]])</f>
        <v>0</v>
      </c>
      <c r="AT69" s="538">
        <f>IF(Table159[[#This Row],[Approved Construction Cost]]=0,0,Table159[[#This Row],[Approved Construction Cost]]-Table159[[#This Row],[Construction Cost to Bill From]])</f>
        <v>0</v>
      </c>
      <c r="AU69" s="538">
        <f>IFERROR(Table159[[#This Row],[Difference in Construction Cost]]*Table159[[#This Row],[Rate]],Table159[[#This Row],[Difference in Construction Cost]]*0.085)</f>
        <v>0</v>
      </c>
      <c r="AV69" s="572"/>
      <c r="AW69" s="639"/>
      <c r="AX69" s="538"/>
      <c r="AY69" s="636" t="s">
        <v>709</v>
      </c>
      <c r="AZ69" s="443">
        <v>164</v>
      </c>
      <c r="BA69" s="652" t="s">
        <v>1188</v>
      </c>
      <c r="BB69" s="644" t="s">
        <v>1189</v>
      </c>
      <c r="BC69" s="478" t="s">
        <v>116</v>
      </c>
      <c r="BD69" s="544" t="s">
        <v>1066</v>
      </c>
      <c r="BE69" s="544" t="s">
        <v>1190</v>
      </c>
      <c r="BF69" s="544" t="s">
        <v>709</v>
      </c>
      <c r="BG69" s="512" t="s">
        <v>709</v>
      </c>
      <c r="BH69" s="741" t="s">
        <v>1191</v>
      </c>
      <c r="BI69" s="535" t="s">
        <v>709</v>
      </c>
      <c r="BJ69" s="547" t="s">
        <v>709</v>
      </c>
      <c r="BK69" s="547" t="s">
        <v>709</v>
      </c>
      <c r="BL69" s="547" t="s">
        <v>116</v>
      </c>
      <c r="BM69" s="547" t="s">
        <v>709</v>
      </c>
      <c r="BN69" s="547" t="s">
        <v>709</v>
      </c>
      <c r="BO69" s="547" t="s">
        <v>709</v>
      </c>
      <c r="BP69" s="547" t="s">
        <v>709</v>
      </c>
      <c r="BQ69" s="547">
        <v>546</v>
      </c>
      <c r="BR69" s="547">
        <v>507</v>
      </c>
      <c r="BS69" s="547">
        <v>1553</v>
      </c>
      <c r="BT69" s="547" t="s">
        <v>709</v>
      </c>
      <c r="BU69" s="547" t="s">
        <v>709</v>
      </c>
      <c r="BV69" s="547" t="s">
        <v>709</v>
      </c>
      <c r="BW69" s="547" t="s">
        <v>709</v>
      </c>
      <c r="BX69" s="547" t="s">
        <v>709</v>
      </c>
      <c r="BY69" s="547" t="s">
        <v>709</v>
      </c>
      <c r="BZ69" s="483" t="s">
        <v>769</v>
      </c>
    </row>
    <row r="70" spans="1:78" ht="15" hidden="1" customHeight="1" x14ac:dyDescent="0.25">
      <c r="A70" s="8" t="s">
        <v>749</v>
      </c>
      <c r="B70" s="8" t="s">
        <v>4</v>
      </c>
      <c r="C70" s="8" t="s">
        <v>1473</v>
      </c>
      <c r="D70" s="8" t="s">
        <v>1474</v>
      </c>
      <c r="E70" s="8" t="s">
        <v>1154</v>
      </c>
      <c r="F70" s="8" t="s">
        <v>747</v>
      </c>
      <c r="G70" s="8" t="s">
        <v>28</v>
      </c>
      <c r="H70" s="8" t="s">
        <v>59</v>
      </c>
      <c r="I70" s="642">
        <v>44939</v>
      </c>
      <c r="J70" s="18">
        <v>45044</v>
      </c>
      <c r="K70" s="97">
        <v>45044</v>
      </c>
      <c r="L70" s="16">
        <f>IF(ISTEXT(Table159[[#This Row],[Engineering Approved Design Date]]),Table159[[#This Row],[Date Completed]]-Table159[[#This Row],[Date Assigned to Designer]],Table159[[#This Row],[Engineering Approved Design Date]]-Table159[[#This Row],[Date Completed]])</f>
        <v>0</v>
      </c>
      <c r="M70" s="642"/>
      <c r="N70" s="642" t="s">
        <v>120</v>
      </c>
      <c r="O70" s="510">
        <v>45047</v>
      </c>
      <c r="P70" s="221" t="s">
        <v>739</v>
      </c>
      <c r="Q70" s="70">
        <f>Table159[[#This Row],[Rate]]*Table159[[#This Row],[Construction Cost to Bill From]]</f>
        <v>82497.73000000001</v>
      </c>
      <c r="R70" s="75">
        <v>0.1</v>
      </c>
      <c r="U70" s="87"/>
      <c r="V70" s="437">
        <v>2410</v>
      </c>
      <c r="W70" s="437">
        <v>0</v>
      </c>
      <c r="X70" s="24">
        <v>756203.8</v>
      </c>
      <c r="Y70" s="592"/>
      <c r="Z70" s="552">
        <v>68773.5</v>
      </c>
      <c r="AA70" s="300">
        <f>Table159[[#This Row],[PCTS Investment Amount]]+Table159[[#This Row],[PCTS Retirement Amount]]</f>
        <v>824977.3</v>
      </c>
      <c r="AB70" s="207">
        <v>45054</v>
      </c>
      <c r="AC70" s="108" t="s">
        <v>709</v>
      </c>
      <c r="AD70" s="108" t="s">
        <v>116</v>
      </c>
      <c r="AE70" s="349"/>
      <c r="AF70" s="579"/>
      <c r="AG70" s="579"/>
      <c r="AH70" s="354"/>
      <c r="AI70" s="489"/>
      <c r="AJ70" s="553"/>
      <c r="AK70" s="553"/>
      <c r="AL70" s="495"/>
      <c r="AM70" s="21" t="s">
        <v>116</v>
      </c>
      <c r="AN70" s="680" t="s">
        <v>709</v>
      </c>
      <c r="AO70" s="601" t="s">
        <v>115</v>
      </c>
      <c r="AP70" s="572"/>
      <c r="AQ70" s="572"/>
      <c r="AR70" s="572"/>
      <c r="AS70" s="538">
        <f>IF(Table159[[#This Row],[PCTS Approved]]="N",0,Table159[[#This Row],[Investment Amount (1'#'#'#'#'#)]]+Table159[[#This Row],[Retirement Amount (3'#'#'#'#'#)]])</f>
        <v>0</v>
      </c>
      <c r="AT70" s="538">
        <f>IF(Table159[[#This Row],[Approved Construction Cost]]=0,0,Table159[[#This Row],[Approved Construction Cost]]-Table159[[#This Row],[Construction Cost to Bill From]])</f>
        <v>0</v>
      </c>
      <c r="AU70" s="538">
        <f>IFERROR(Table159[[#This Row],[Difference in Construction Cost]]*Table159[[#This Row],[Rate]],Table159[[#This Row],[Difference in Construction Cost]]*0.085)</f>
        <v>0</v>
      </c>
      <c r="AV70" s="572"/>
      <c r="AW70" s="639"/>
      <c r="AX70" s="538"/>
      <c r="AY70" s="636" t="s">
        <v>709</v>
      </c>
      <c r="AZ70" s="443">
        <v>84</v>
      </c>
      <c r="BA70" s="652" t="s">
        <v>1475</v>
      </c>
      <c r="BB70" s="644" t="s">
        <v>1380</v>
      </c>
      <c r="BC70" s="478" t="s">
        <v>116</v>
      </c>
      <c r="BD70" s="544" t="s">
        <v>709</v>
      </c>
      <c r="BE70" s="544" t="s">
        <v>1381</v>
      </c>
      <c r="BF70" s="544" t="s">
        <v>709</v>
      </c>
      <c r="BG70" s="512" t="s">
        <v>709</v>
      </c>
      <c r="BH70" s="741" t="s">
        <v>1476</v>
      </c>
      <c r="BI70" s="535" t="s">
        <v>709</v>
      </c>
      <c r="BJ70" s="547" t="s">
        <v>709</v>
      </c>
      <c r="BK70" s="547" t="s">
        <v>709</v>
      </c>
      <c r="BL70" s="547" t="s">
        <v>116</v>
      </c>
      <c r="BM70" s="547" t="s">
        <v>709</v>
      </c>
      <c r="BN70" s="547" t="s">
        <v>709</v>
      </c>
      <c r="BO70" s="547" t="s">
        <v>709</v>
      </c>
      <c r="BP70" s="547" t="s">
        <v>709</v>
      </c>
      <c r="BQ70" s="547">
        <v>733</v>
      </c>
      <c r="BR70" s="547">
        <v>904</v>
      </c>
      <c r="BS70" s="547">
        <v>773</v>
      </c>
      <c r="BT70" s="547" t="s">
        <v>745</v>
      </c>
      <c r="BU70" s="547" t="s">
        <v>709</v>
      </c>
      <c r="BV70" s="547" t="s">
        <v>745</v>
      </c>
      <c r="BW70" s="547" t="s">
        <v>709</v>
      </c>
      <c r="BX70" s="547" t="s">
        <v>745</v>
      </c>
      <c r="BY70" s="547" t="s">
        <v>745</v>
      </c>
      <c r="BZ70" s="483"/>
    </row>
    <row r="71" spans="1:78" ht="15" hidden="1" customHeight="1" x14ac:dyDescent="0.25">
      <c r="A71" s="8" t="s">
        <v>770</v>
      </c>
      <c r="B71" s="8" t="s">
        <v>771</v>
      </c>
      <c r="C71" s="8" t="s">
        <v>1238</v>
      </c>
      <c r="D71" s="8" t="s">
        <v>1239</v>
      </c>
      <c r="E71" s="8" t="s">
        <v>272</v>
      </c>
      <c r="F71" s="8" t="s">
        <v>919</v>
      </c>
      <c r="G71" s="8" t="s">
        <v>1882</v>
      </c>
      <c r="H71" s="8" t="s">
        <v>59</v>
      </c>
      <c r="I71" s="642">
        <v>44448</v>
      </c>
      <c r="J71" s="18">
        <v>44655</v>
      </c>
      <c r="K71" s="18">
        <v>44588</v>
      </c>
      <c r="L71" s="16">
        <f>IF(ISTEXT(Table159[[#This Row],[Engineering Approved Design Date]]),Table159[[#This Row],[Date Completed]]-Table159[[#This Row],[Date Assigned to Designer]],Table159[[#This Row],[Engineering Approved Design Date]]-Table159[[#This Row],[Date Completed]])</f>
        <v>67</v>
      </c>
      <c r="M71" s="642"/>
      <c r="N71" s="642" t="s">
        <v>120</v>
      </c>
      <c r="O71" s="534">
        <v>44593</v>
      </c>
      <c r="P71" s="68" t="s">
        <v>120</v>
      </c>
      <c r="Q71" s="70">
        <f>R71*AA71</f>
        <v>68083.122599999988</v>
      </c>
      <c r="R71" s="75">
        <v>0.09</v>
      </c>
      <c r="S71" s="24" t="s">
        <v>709</v>
      </c>
      <c r="T71" s="538" t="s">
        <v>709</v>
      </c>
      <c r="U71" s="87" t="s">
        <v>709</v>
      </c>
      <c r="V71" s="440">
        <v>1953</v>
      </c>
      <c r="W71" s="440"/>
      <c r="X71" s="29">
        <v>716899.69</v>
      </c>
      <c r="Y71" s="592"/>
      <c r="Z71" s="551">
        <v>39579.449999999997</v>
      </c>
      <c r="AA71" s="87">
        <f>Table159[[#This Row],[PCTS Investment Amount]]+Table159[[#This Row],[PCTS Retirement Amount]]</f>
        <v>756479.1399999999</v>
      </c>
      <c r="AB71" s="207"/>
      <c r="AC71" s="108" t="s">
        <v>116</v>
      </c>
      <c r="AD71" s="108"/>
      <c r="AE71" s="349"/>
      <c r="AF71" s="579"/>
      <c r="AG71" s="579"/>
      <c r="AH71" s="354"/>
      <c r="AI71" s="489"/>
      <c r="AJ71" s="553"/>
      <c r="AK71" s="553"/>
      <c r="AL71" s="495"/>
      <c r="AM71" s="21" t="s">
        <v>116</v>
      </c>
      <c r="AN71" s="680" t="s">
        <v>709</v>
      </c>
      <c r="AO71" s="601">
        <v>11038988</v>
      </c>
      <c r="AP71" s="572"/>
      <c r="AQ71" s="572"/>
      <c r="AR71" s="572"/>
      <c r="AS71" s="538">
        <f>IF(Table159[[#This Row],[PCTS Approved]]="N",0,Table159[[#This Row],[Investment Amount (1'#'#'#'#'#)]]+Table159[[#This Row],[Retirement Amount (3'#'#'#'#'#)]])</f>
        <v>0</v>
      </c>
      <c r="AT71" s="538">
        <f>IF(Table159[[#This Row],[Approved Construction Cost]]=0,0,Table159[[#This Row],[Approved Construction Cost]]-Table159[[#This Row],[Construction Cost to Bill From]])</f>
        <v>0</v>
      </c>
      <c r="AU71" s="538">
        <f>IFERROR(Table159[[#This Row],[Difference in Construction Cost]]*Table159[[#This Row],[Rate]],Table159[[#This Row],[Difference in Construction Cost]]*0.085)</f>
        <v>0</v>
      </c>
      <c r="AV71" s="572"/>
      <c r="AW71" s="639"/>
      <c r="AX71" s="538"/>
      <c r="AY71" s="636" t="s">
        <v>709</v>
      </c>
      <c r="AZ71" s="443">
        <v>23</v>
      </c>
      <c r="BA71" s="652" t="s">
        <v>1240</v>
      </c>
      <c r="BB71" s="644" t="s">
        <v>1241</v>
      </c>
      <c r="BC71" s="478" t="s">
        <v>709</v>
      </c>
      <c r="BD71" s="544" t="s">
        <v>709</v>
      </c>
      <c r="BE71" s="544" t="s">
        <v>1242</v>
      </c>
      <c r="BF71" s="544" t="s">
        <v>709</v>
      </c>
      <c r="BG71" s="512" t="s">
        <v>1243</v>
      </c>
      <c r="BH71" s="741"/>
      <c r="BI71" s="535" t="s">
        <v>709</v>
      </c>
      <c r="BJ71" s="547" t="s">
        <v>709</v>
      </c>
      <c r="BK71" s="547" t="s">
        <v>709</v>
      </c>
      <c r="BL71" s="547" t="s">
        <v>116</v>
      </c>
      <c r="BM71" s="547" t="s">
        <v>709</v>
      </c>
      <c r="BN71" s="547" t="s">
        <v>709</v>
      </c>
      <c r="BO71" s="547" t="s">
        <v>709</v>
      </c>
      <c r="BP71" s="547" t="s">
        <v>709</v>
      </c>
      <c r="BQ71" s="547">
        <v>1164</v>
      </c>
      <c r="BR71" s="547" t="s">
        <v>709</v>
      </c>
      <c r="BS71" s="547">
        <v>789</v>
      </c>
      <c r="BT71" s="547" t="s">
        <v>745</v>
      </c>
      <c r="BU71" s="547" t="s">
        <v>709</v>
      </c>
      <c r="BV71" s="547" t="s">
        <v>745</v>
      </c>
      <c r="BW71" s="547" t="s">
        <v>709</v>
      </c>
      <c r="BX71" s="547" t="s">
        <v>745</v>
      </c>
      <c r="BY71" s="547" t="s">
        <v>745</v>
      </c>
      <c r="BZ71" s="483"/>
    </row>
    <row r="72" spans="1:78" ht="15" hidden="1" customHeight="1" x14ac:dyDescent="0.25">
      <c r="A72" s="8" t="s">
        <v>770</v>
      </c>
      <c r="B72" s="8" t="s">
        <v>1162</v>
      </c>
      <c r="C72" s="8" t="s">
        <v>195</v>
      </c>
      <c r="D72" s="656" t="s">
        <v>1163</v>
      </c>
      <c r="E72" s="8" t="s">
        <v>1164</v>
      </c>
      <c r="F72" s="8" t="s">
        <v>738</v>
      </c>
      <c r="G72" s="8" t="s">
        <v>2743</v>
      </c>
      <c r="H72" s="8" t="s">
        <v>59</v>
      </c>
      <c r="I72" s="642">
        <v>44166</v>
      </c>
      <c r="J72" s="18">
        <v>44259</v>
      </c>
      <c r="K72" s="642">
        <v>44259</v>
      </c>
      <c r="L72" s="16">
        <f>IF(ISTEXT(Table159[[#This Row],[Engineering Approved Design Date]]),Table159[[#This Row],[Date Completed]]-Table159[[#This Row],[Date Assigned to Designer]],Table159[[#This Row],[Engineering Approved Design Date]]-Table159[[#This Row],[Date Completed]])</f>
        <v>0</v>
      </c>
      <c r="M72" s="642"/>
      <c r="N72" s="642" t="s">
        <v>120</v>
      </c>
      <c r="O72" s="534">
        <v>44259</v>
      </c>
      <c r="P72" s="68" t="s">
        <v>739</v>
      </c>
      <c r="Q72" s="70">
        <f>R72*AA72</f>
        <v>34108.435900000004</v>
      </c>
      <c r="R72" s="75">
        <v>7.0000000000000007E-2</v>
      </c>
      <c r="S72" s="29"/>
      <c r="U72" s="441"/>
      <c r="V72" s="440">
        <v>2887</v>
      </c>
      <c r="W72" s="440"/>
      <c r="X72" s="29">
        <v>474251.77</v>
      </c>
      <c r="Y72" s="591"/>
      <c r="Z72" s="551">
        <v>13011.6</v>
      </c>
      <c r="AA72" s="28">
        <f>X72+Z72</f>
        <v>487263.37</v>
      </c>
      <c r="AB72" s="207"/>
      <c r="AC72" s="108" t="s">
        <v>116</v>
      </c>
      <c r="AD72" s="108"/>
      <c r="AE72" s="349"/>
      <c r="AF72" s="579"/>
      <c r="AG72" s="579"/>
      <c r="AH72" s="354"/>
      <c r="AI72" s="489"/>
      <c r="AJ72" s="553"/>
      <c r="AK72" s="553"/>
      <c r="AL72" s="495"/>
      <c r="AM72" s="21" t="s">
        <v>116</v>
      </c>
      <c r="AN72" s="680" t="s">
        <v>709</v>
      </c>
      <c r="AO72" s="601">
        <v>11033199</v>
      </c>
      <c r="AP72" s="572"/>
      <c r="AQ72" s="572"/>
      <c r="AR72" s="572"/>
      <c r="AS72" s="538">
        <f>IF(Table159[[#This Row],[PCTS Approved]]="N",0,Table159[[#This Row],[Investment Amount (1'#'#'#'#'#)]]+Table159[[#This Row],[Retirement Amount (3'#'#'#'#'#)]])</f>
        <v>0</v>
      </c>
      <c r="AT72" s="538">
        <f>IF(Table159[[#This Row],[Approved Construction Cost]]=0,0,Table159[[#This Row],[Approved Construction Cost]]-Table159[[#This Row],[Construction Cost to Bill From]])</f>
        <v>0</v>
      </c>
      <c r="AU72" s="538">
        <f>IFERROR(Table159[[#This Row],[Difference in Construction Cost]]*Table159[[#This Row],[Rate]],Table159[[#This Row],[Difference in Construction Cost]]*0.085)</f>
        <v>0</v>
      </c>
      <c r="AV72" s="572"/>
      <c r="AW72" s="639"/>
      <c r="AX72" s="538"/>
      <c r="AY72" s="636" t="s">
        <v>709</v>
      </c>
      <c r="AZ72" s="443">
        <v>9</v>
      </c>
      <c r="BA72" s="652" t="s">
        <v>1165</v>
      </c>
      <c r="BB72" s="644" t="s">
        <v>1166</v>
      </c>
      <c r="BC72" s="478" t="s">
        <v>709</v>
      </c>
      <c r="BD72" s="544" t="s">
        <v>1167</v>
      </c>
      <c r="BE72" s="544" t="s">
        <v>709</v>
      </c>
      <c r="BF72" s="544" t="s">
        <v>1168</v>
      </c>
      <c r="BG72" s="512" t="s">
        <v>709</v>
      </c>
      <c r="BH72" s="741"/>
      <c r="BI72" s="535" t="s">
        <v>709</v>
      </c>
      <c r="BJ72" s="547" t="s">
        <v>709</v>
      </c>
      <c r="BK72" s="547" t="s">
        <v>709</v>
      </c>
      <c r="BL72" s="547" t="s">
        <v>116</v>
      </c>
      <c r="BM72" s="547" t="s">
        <v>709</v>
      </c>
      <c r="BN72" s="547" t="s">
        <v>709</v>
      </c>
      <c r="BO72" s="547" t="s">
        <v>709</v>
      </c>
      <c r="BP72" s="547">
        <v>189</v>
      </c>
      <c r="BQ72" s="547">
        <v>1085</v>
      </c>
      <c r="BR72" s="547">
        <v>1755</v>
      </c>
      <c r="BS72" s="547">
        <v>93</v>
      </c>
      <c r="BT72" s="547" t="s">
        <v>745</v>
      </c>
      <c r="BU72" s="547" t="s">
        <v>709</v>
      </c>
      <c r="BV72" s="547" t="s">
        <v>745</v>
      </c>
      <c r="BW72" s="547" t="s">
        <v>709</v>
      </c>
      <c r="BX72" s="547" t="s">
        <v>745</v>
      </c>
      <c r="BY72" s="547" t="s">
        <v>745</v>
      </c>
      <c r="BZ72" s="483"/>
    </row>
    <row r="73" spans="1:78" ht="15" hidden="1" customHeight="1" x14ac:dyDescent="0.25">
      <c r="A73" s="8" t="s">
        <v>770</v>
      </c>
      <c r="B73" s="8" t="s">
        <v>1205</v>
      </c>
      <c r="C73" s="8" t="s">
        <v>1206</v>
      </c>
      <c r="D73" s="8" t="s">
        <v>1207</v>
      </c>
      <c r="E73" s="8" t="s">
        <v>1159</v>
      </c>
      <c r="F73" s="8" t="s">
        <v>919</v>
      </c>
      <c r="G73" s="8" t="s">
        <v>2743</v>
      </c>
      <c r="H73" s="8" t="s">
        <v>59</v>
      </c>
      <c r="I73" s="642">
        <v>44179</v>
      </c>
      <c r="J73" s="18">
        <v>44372</v>
      </c>
      <c r="K73" s="642">
        <v>44365</v>
      </c>
      <c r="L73" s="16">
        <f>IF(ISTEXT(Table159[[#This Row],[Engineering Approved Design Date]]),Table159[[#This Row],[Date Completed]]-Table159[[#This Row],[Date Assigned to Designer]],Table159[[#This Row],[Engineering Approved Design Date]]-Table159[[#This Row],[Date Completed]])</f>
        <v>7</v>
      </c>
      <c r="M73" s="642"/>
      <c r="N73" s="642" t="s">
        <v>120</v>
      </c>
      <c r="O73" s="534">
        <v>44365</v>
      </c>
      <c r="P73" s="68" t="s">
        <v>739</v>
      </c>
      <c r="Q73" s="106">
        <f>R73*AA73</f>
        <v>31711.634099999999</v>
      </c>
      <c r="R73" s="75">
        <v>0.09</v>
      </c>
      <c r="S73" s="24" t="s">
        <v>709</v>
      </c>
      <c r="T73" s="538" t="s">
        <v>709</v>
      </c>
      <c r="U73" s="28" t="s">
        <v>709</v>
      </c>
      <c r="V73" s="440">
        <v>1362</v>
      </c>
      <c r="W73" s="440"/>
      <c r="X73" s="29">
        <v>320730.27</v>
      </c>
      <c r="Y73" s="591"/>
      <c r="Z73" s="551">
        <v>31621.22</v>
      </c>
      <c r="AA73" s="87">
        <f>X73+Z73</f>
        <v>352351.49</v>
      </c>
      <c r="AB73" s="207"/>
      <c r="AC73" s="108" t="s">
        <v>116</v>
      </c>
      <c r="AD73" s="108"/>
      <c r="AE73" s="349"/>
      <c r="AF73" s="579"/>
      <c r="AG73" s="579"/>
      <c r="AH73" s="354"/>
      <c r="AI73" s="489"/>
      <c r="AJ73" s="553"/>
      <c r="AK73" s="553"/>
      <c r="AL73" s="495"/>
      <c r="AM73" s="21" t="s">
        <v>116</v>
      </c>
      <c r="AN73" s="680" t="s">
        <v>709</v>
      </c>
      <c r="AO73" s="601" t="s">
        <v>115</v>
      </c>
      <c r="AP73" s="572"/>
      <c r="AQ73" s="572"/>
      <c r="AR73" s="572"/>
      <c r="AS73" s="538">
        <f>IF(Table159[[#This Row],[PCTS Approved]]="N",0,Table159[[#This Row],[Investment Amount (1'#'#'#'#'#)]]+Table159[[#This Row],[Retirement Amount (3'#'#'#'#'#)]])</f>
        <v>0</v>
      </c>
      <c r="AT73" s="538">
        <f>IF(Table159[[#This Row],[Approved Construction Cost]]=0,0,Table159[[#This Row],[Approved Construction Cost]]-Table159[[#This Row],[Construction Cost to Bill From]])</f>
        <v>0</v>
      </c>
      <c r="AU73" s="538">
        <f>IFERROR(Table159[[#This Row],[Difference in Construction Cost]]*Table159[[#This Row],[Rate]],Table159[[#This Row],[Difference in Construction Cost]]*0.085)</f>
        <v>0</v>
      </c>
      <c r="AV73" s="572"/>
      <c r="AW73" s="639"/>
      <c r="AX73" s="538"/>
      <c r="AY73" s="636" t="s">
        <v>709</v>
      </c>
      <c r="AZ73" s="443">
        <v>21</v>
      </c>
      <c r="BA73" s="652" t="s">
        <v>1208</v>
      </c>
      <c r="BB73" s="644" t="s">
        <v>1209</v>
      </c>
      <c r="BC73" s="478" t="s">
        <v>116</v>
      </c>
      <c r="BD73" s="544" t="s">
        <v>709</v>
      </c>
      <c r="BE73" s="544" t="s">
        <v>1210</v>
      </c>
      <c r="BF73" s="544" t="s">
        <v>709</v>
      </c>
      <c r="BG73" s="512" t="s">
        <v>1211</v>
      </c>
      <c r="BH73" s="741"/>
      <c r="BI73" s="535" t="s">
        <v>709</v>
      </c>
      <c r="BJ73" s="547" t="s">
        <v>709</v>
      </c>
      <c r="BK73" s="547" t="s">
        <v>116</v>
      </c>
      <c r="BL73" s="547" t="s">
        <v>709</v>
      </c>
      <c r="BM73" s="547" t="s">
        <v>709</v>
      </c>
      <c r="BN73" s="547" t="s">
        <v>709</v>
      </c>
      <c r="BO73" s="547" t="s">
        <v>709</v>
      </c>
      <c r="BP73" s="547">
        <v>1362</v>
      </c>
      <c r="BQ73" s="547" t="s">
        <v>709</v>
      </c>
      <c r="BR73" s="547" t="s">
        <v>709</v>
      </c>
      <c r="BS73" s="547" t="s">
        <v>709</v>
      </c>
      <c r="BT73" s="547" t="s">
        <v>745</v>
      </c>
      <c r="BU73" s="547" t="s">
        <v>709</v>
      </c>
      <c r="BV73" s="547" t="s">
        <v>745</v>
      </c>
      <c r="BW73" s="547" t="s">
        <v>709</v>
      </c>
      <c r="BX73" s="547" t="s">
        <v>745</v>
      </c>
      <c r="BY73" s="547" t="s">
        <v>745</v>
      </c>
      <c r="BZ73" s="483"/>
    </row>
    <row r="74" spans="1:78" ht="15" hidden="1" customHeight="1" x14ac:dyDescent="0.25">
      <c r="A74" s="8" t="s">
        <v>800</v>
      </c>
      <c r="B74" s="8" t="s">
        <v>771</v>
      </c>
      <c r="C74" s="8" t="s">
        <v>1809</v>
      </c>
      <c r="D74" s="8" t="s">
        <v>1810</v>
      </c>
      <c r="E74" s="8" t="s">
        <v>149</v>
      </c>
      <c r="F74" s="8" t="s">
        <v>784</v>
      </c>
      <c r="G74" s="8" t="s">
        <v>34</v>
      </c>
      <c r="H74" s="8" t="s">
        <v>59</v>
      </c>
      <c r="I74" s="642">
        <v>45216</v>
      </c>
      <c r="J74" s="18">
        <v>45450</v>
      </c>
      <c r="K74" s="97">
        <v>45446</v>
      </c>
      <c r="L74" s="16">
        <f>IF(ISTEXT(Table159[[#This Row],[Engineering Approved Design Date]]),Table159[[#This Row],[Date Completed]]-Table159[[#This Row],[Date Assigned to Designer]],Table159[[#This Row],[Engineering Approved Design Date]]-Table159[[#This Row],[Date Completed]])</f>
        <v>4</v>
      </c>
      <c r="M74" s="642"/>
      <c r="N74" s="642" t="s">
        <v>120</v>
      </c>
      <c r="O74" s="510">
        <v>45444</v>
      </c>
      <c r="P74" s="221" t="s">
        <v>120</v>
      </c>
      <c r="Q74" s="70">
        <f>Table159[[#This Row],[Rate]]*Table159[[#This Row],[Construction Cost to Bill From]]</f>
        <v>278927.18040000001</v>
      </c>
      <c r="R74" s="75">
        <v>0.04</v>
      </c>
      <c r="U74" s="87"/>
      <c r="V74" s="437">
        <v>27260</v>
      </c>
      <c r="W74" s="437">
        <v>0</v>
      </c>
      <c r="X74" s="24">
        <v>6755557.0300000003</v>
      </c>
      <c r="Y74" s="551"/>
      <c r="Z74" s="552">
        <v>217622.48</v>
      </c>
      <c r="AA74" s="300">
        <f>SUM(Table159[[#This Row],[PCTS Investment Amount]:[PCTS Retirement Amount]])</f>
        <v>6973179.5100000007</v>
      </c>
      <c r="AB74" s="207">
        <v>45448</v>
      </c>
      <c r="AC74" s="22" t="s">
        <v>116</v>
      </c>
      <c r="AD74" s="22" t="s">
        <v>29</v>
      </c>
      <c r="AE74" s="359" t="s">
        <v>116</v>
      </c>
      <c r="AF74" s="568" t="s">
        <v>116</v>
      </c>
      <c r="AG74" s="568" t="s">
        <v>116</v>
      </c>
      <c r="AH74" s="374" t="s">
        <v>376</v>
      </c>
      <c r="AI74" s="426">
        <v>65810</v>
      </c>
      <c r="AJ74" s="542"/>
      <c r="AK74" s="542">
        <v>6175.5</v>
      </c>
      <c r="AL74" s="493">
        <f>SUM(Table159[[#This Row],[Nicor Initiated DBE]:[Staffing]])/(Table159[[#This Row],[Amount Invoiced]])</f>
        <v>0.25807990421287746</v>
      </c>
      <c r="AM74" s="21" t="s">
        <v>116</v>
      </c>
      <c r="AN74" s="680" t="s">
        <v>709</v>
      </c>
      <c r="AO74" s="601"/>
      <c r="AP74" s="572"/>
      <c r="AQ74" s="572"/>
      <c r="AR74" s="572"/>
      <c r="AS74" s="538">
        <f>IF(Table159[[#This Row],[PCTS Approved]]="N",0,Table159[[#This Row],[Investment Amount (1'#'#'#'#'#)]]+Table159[[#This Row],[Retirement Amount (3'#'#'#'#'#)]])</f>
        <v>0</v>
      </c>
      <c r="AT74" s="538">
        <f>IF(Table159[[#This Row],[Approved Construction Cost]]=0,0,Table159[[#This Row],[Approved Construction Cost]]-Table159[[#This Row],[Construction Cost to Bill From]])</f>
        <v>0</v>
      </c>
      <c r="AU74" s="538">
        <f>IFERROR(Table159[[#This Row],[Difference in Construction Cost]]*Table159[[#This Row],[Rate]],Table159[[#This Row],[Difference in Construction Cost]]*0.085)</f>
        <v>0</v>
      </c>
      <c r="AV74" s="602"/>
      <c r="AW74" s="640"/>
      <c r="AX74" s="555"/>
      <c r="AY74" s="636" t="s">
        <v>709</v>
      </c>
      <c r="AZ74" s="443">
        <v>4</v>
      </c>
      <c r="BA74" s="643" t="s">
        <v>1811</v>
      </c>
      <c r="BB74" s="644" t="s">
        <v>1812</v>
      </c>
      <c r="BC74" s="479" t="s">
        <v>116</v>
      </c>
      <c r="BD74" s="554" t="s">
        <v>115</v>
      </c>
      <c r="BE74" s="588" t="s">
        <v>1813</v>
      </c>
      <c r="BF74" s="588" t="s">
        <v>115</v>
      </c>
      <c r="BG74" s="483" t="s">
        <v>1814</v>
      </c>
      <c r="BH74" s="615" t="s">
        <v>1815</v>
      </c>
      <c r="BI74" s="535" t="s">
        <v>709</v>
      </c>
      <c r="BJ74" s="549" t="s">
        <v>709</v>
      </c>
      <c r="BK74" s="547" t="s">
        <v>709</v>
      </c>
      <c r="BL74" s="547" t="s">
        <v>116</v>
      </c>
      <c r="BM74" s="626" t="s">
        <v>709</v>
      </c>
      <c r="BN74" s="549" t="s">
        <v>709</v>
      </c>
      <c r="BO74" s="626" t="s">
        <v>709</v>
      </c>
      <c r="BP74" s="626" t="s">
        <v>709</v>
      </c>
      <c r="BQ74" s="549" t="s">
        <v>709</v>
      </c>
      <c r="BR74" s="549" t="s">
        <v>116</v>
      </c>
      <c r="BS74" s="549" t="s">
        <v>116</v>
      </c>
      <c r="BT74" s="549" t="s">
        <v>709</v>
      </c>
      <c r="BU74" s="549" t="s">
        <v>709</v>
      </c>
      <c r="BV74" s="549" t="s">
        <v>709</v>
      </c>
      <c r="BW74" s="549" t="s">
        <v>709</v>
      </c>
      <c r="BX74" s="547" t="s">
        <v>709</v>
      </c>
      <c r="BY74" s="549" t="s">
        <v>709</v>
      </c>
      <c r="BZ74" s="483"/>
    </row>
    <row r="75" spans="1:78" ht="15" hidden="1" customHeight="1" x14ac:dyDescent="0.25">
      <c r="A75" s="13">
        <v>2023</v>
      </c>
      <c r="B75" s="13" t="s">
        <v>759</v>
      </c>
      <c r="C75" s="13" t="s">
        <v>416</v>
      </c>
      <c r="D75" s="13">
        <v>1011926</v>
      </c>
      <c r="E75" s="13" t="s">
        <v>309</v>
      </c>
      <c r="F75" s="452" t="s">
        <v>752</v>
      </c>
      <c r="G75" s="13" t="s">
        <v>22</v>
      </c>
      <c r="H75" s="13" t="s">
        <v>59</v>
      </c>
      <c r="I75" s="642">
        <v>44838</v>
      </c>
      <c r="J75" s="18">
        <v>45016</v>
      </c>
      <c r="K75" s="642">
        <v>45015</v>
      </c>
      <c r="L75" s="649">
        <f>IF(ISTEXT(Table159[[#This Row],[Engineering Approved Design Date]]),Table159[[#This Row],[Date Completed]]-Table159[[#This Row],[Date Assigned to Designer]],Table159[[#This Row],[Engineering Approved Design Date]]-Table159[[#This Row],[Date Completed]])</f>
        <v>1</v>
      </c>
      <c r="N75" s="642" t="s">
        <v>120</v>
      </c>
      <c r="O75" s="510">
        <v>45047</v>
      </c>
      <c r="P75" s="68" t="s">
        <v>120</v>
      </c>
      <c r="Q75" s="70">
        <f>Table159[[#This Row],[Rate]]*Table159[[#This Row],[Construction Cost to Bill From]]</f>
        <v>92865.143799999991</v>
      </c>
      <c r="R75" s="77">
        <v>0.11</v>
      </c>
      <c r="V75" s="442">
        <v>403</v>
      </c>
      <c r="W75" s="442">
        <v>2</v>
      </c>
      <c r="X75" s="106">
        <v>737349.19</v>
      </c>
      <c r="Y75" s="591"/>
      <c r="Z75" s="570">
        <v>106879.39</v>
      </c>
      <c r="AA75" s="300">
        <f>Table159[[#This Row],[PCTS Investment Amount]]+Table159[[#This Row],[PCTS Retirement Amount]]</f>
        <v>844228.58</v>
      </c>
      <c r="AB75" s="212">
        <v>45028</v>
      </c>
      <c r="AC75" s="229" t="s">
        <v>1296</v>
      </c>
      <c r="AD75" s="229" t="s">
        <v>29</v>
      </c>
      <c r="AE75" s="350"/>
      <c r="AF75" s="581"/>
      <c r="AG75" s="581"/>
      <c r="AH75" s="355"/>
      <c r="AI75" s="490"/>
      <c r="AJ75" s="583"/>
      <c r="AK75" s="583"/>
      <c r="AL75" s="496"/>
      <c r="AM75" s="21" t="s">
        <v>116</v>
      </c>
      <c r="AN75" s="796" t="s">
        <v>709</v>
      </c>
      <c r="AO75" s="1255">
        <v>11050929</v>
      </c>
      <c r="AP75" s="797"/>
      <c r="AQ75" s="1256"/>
      <c r="AR75" s="797"/>
      <c r="AS75" s="538">
        <f>IF(Table159[[#This Row],[PCTS Approved]]="N",0,Table159[[#This Row],[Investment Amount (1'#'#'#'#'#)]]+Table159[[#This Row],[Retirement Amount (3'#'#'#'#'#)]])</f>
        <v>0</v>
      </c>
      <c r="AT75" s="538">
        <f>IF(Table159[[#This Row],[Approved Construction Cost]]=0,0,Table159[[#This Row],[Approved Construction Cost]]-Table159[[#This Row],[Construction Cost to Bill From]])</f>
        <v>0</v>
      </c>
      <c r="AU75" s="538">
        <f>IFERROR(Table159[[#This Row],[Difference in Construction Cost]]*Table159[[#This Row],[Rate]],Table159[[#This Row],[Difference in Construction Cost]]*0.085)</f>
        <v>0</v>
      </c>
      <c r="AV75" s="572"/>
      <c r="AW75" s="639"/>
      <c r="AX75" s="538"/>
      <c r="AY75" s="636" t="s">
        <v>709</v>
      </c>
      <c r="AZ75" s="443">
        <v>151</v>
      </c>
      <c r="BA75" s="652" t="s">
        <v>1437</v>
      </c>
      <c r="BB75" s="543" t="s">
        <v>1438</v>
      </c>
      <c r="BC75" s="478" t="s">
        <v>115</v>
      </c>
      <c r="BD75" s="544" t="s">
        <v>709</v>
      </c>
      <c r="BE75" s="544" t="s">
        <v>709</v>
      </c>
      <c r="BF75" s="544" t="s">
        <v>1439</v>
      </c>
      <c r="BG75" s="512" t="s">
        <v>115</v>
      </c>
      <c r="BH75" s="741"/>
      <c r="BI75" s="528" t="s">
        <v>709</v>
      </c>
      <c r="BJ75" s="549" t="s">
        <v>709</v>
      </c>
      <c r="BK75" s="549" t="s">
        <v>116</v>
      </c>
      <c r="BL75" s="549" t="s">
        <v>116</v>
      </c>
      <c r="BM75" s="549" t="s">
        <v>709</v>
      </c>
      <c r="BN75" s="549" t="s">
        <v>709</v>
      </c>
      <c r="BO75" s="549" t="s">
        <v>709</v>
      </c>
      <c r="BP75" s="549" t="s">
        <v>709</v>
      </c>
      <c r="BQ75" s="549">
        <v>139</v>
      </c>
      <c r="BR75" s="549">
        <v>140</v>
      </c>
      <c r="BS75" s="549">
        <v>54</v>
      </c>
      <c r="BT75" s="549" t="s">
        <v>709</v>
      </c>
      <c r="BU75" s="549" t="s">
        <v>709</v>
      </c>
      <c r="BV75" s="549" t="s">
        <v>709</v>
      </c>
      <c r="BW75" s="549">
        <v>1</v>
      </c>
      <c r="BX75" s="549">
        <v>1</v>
      </c>
      <c r="BY75" s="549" t="s">
        <v>709</v>
      </c>
      <c r="BZ75" s="484" t="s">
        <v>1440</v>
      </c>
    </row>
    <row r="76" spans="1:78" ht="15" hidden="1" customHeight="1" x14ac:dyDescent="0.25">
      <c r="A76" s="8">
        <v>2024</v>
      </c>
      <c r="B76" s="8" t="s">
        <v>769</v>
      </c>
      <c r="C76" s="8" t="s">
        <v>6454</v>
      </c>
      <c r="D76" s="8" t="s">
        <v>6455</v>
      </c>
      <c r="E76" s="8" t="s">
        <v>245</v>
      </c>
      <c r="F76" s="8" t="s">
        <v>784</v>
      </c>
      <c r="G76" s="8" t="s">
        <v>34</v>
      </c>
      <c r="H76" s="13" t="s">
        <v>59</v>
      </c>
      <c r="I76" s="642">
        <v>45268</v>
      </c>
      <c r="J76" s="18">
        <v>45499</v>
      </c>
      <c r="K76" s="175">
        <v>45499</v>
      </c>
      <c r="L76" s="16">
        <f>IF(ISTEXT(Table159[[#This Row],[Engineering Approved Design Date]]),Table159[[#This Row],[Date Completed]]-Table159[[#This Row],[Date Assigned to Designer]],Table159[[#This Row],[Engineering Approved Design Date]]-Table159[[#This Row],[Date Completed]])</f>
        <v>0</v>
      </c>
      <c r="M76" s="642"/>
      <c r="N76" s="642" t="s">
        <v>120</v>
      </c>
      <c r="O76" s="510">
        <v>45505</v>
      </c>
      <c r="P76" s="221" t="s">
        <v>739</v>
      </c>
      <c r="Q76" s="70">
        <f>Table159[[#This Row],[Rate]]*Table159[[#This Row],[Construction Cost to Bill From]]</f>
        <v>114930.36720000001</v>
      </c>
      <c r="R76" s="75">
        <v>0.11</v>
      </c>
      <c r="S76" s="24" t="s">
        <v>29</v>
      </c>
      <c r="T76" s="538" t="s">
        <v>29</v>
      </c>
      <c r="U76" s="28" t="s">
        <v>29</v>
      </c>
      <c r="V76" s="437">
        <v>412</v>
      </c>
      <c r="W76" s="437">
        <v>2</v>
      </c>
      <c r="X76" s="94">
        <v>847647.74</v>
      </c>
      <c r="Y76" s="550"/>
      <c r="Z76" s="552">
        <v>197173.78</v>
      </c>
      <c r="AA76" s="300">
        <f>SUM(Table159[[#This Row],[PCTS Investment Amount]:[PCTS Retirement Amount]])</f>
        <v>1044821.52</v>
      </c>
      <c r="AB76" s="207">
        <v>45456</v>
      </c>
      <c r="AC76" s="108" t="s">
        <v>1523</v>
      </c>
      <c r="AD76" s="108" t="s">
        <v>29</v>
      </c>
      <c r="AE76" s="187" t="s">
        <v>116</v>
      </c>
      <c r="AF76" s="568" t="s">
        <v>116</v>
      </c>
      <c r="AG76" s="568" t="s">
        <v>116</v>
      </c>
      <c r="AH76" s="356">
        <v>45567</v>
      </c>
      <c r="AI76" s="509">
        <v>0</v>
      </c>
      <c r="AJ76" s="541">
        <v>0</v>
      </c>
      <c r="AK76" s="738">
        <v>1951</v>
      </c>
      <c r="AL76" s="494">
        <f>SUM(Table159[[#This Row],[Nicor Initiated DBE]:[Staffing]])/(Table159[[#This Row],[Amount Invoiced]])</f>
        <v>1.6975496098475876E-2</v>
      </c>
      <c r="AM76" s="21" t="s">
        <v>116</v>
      </c>
      <c r="AN76" s="680" t="s">
        <v>709</v>
      </c>
      <c r="AO76" s="681">
        <v>11078652</v>
      </c>
      <c r="AP76" s="572"/>
      <c r="AQ76" s="572"/>
      <c r="AR76" s="572"/>
      <c r="AS76" s="538">
        <f>IF(Table159[[#This Row],[PCTS Approved]]="N",0,Table159[[#This Row],[Investment Amount (1'#'#'#'#'#)]]+Table159[[#This Row],[Retirement Amount (3'#'#'#'#'#)]])</f>
        <v>0</v>
      </c>
      <c r="AT76" s="538">
        <f>IF(Table159[[#This Row],[Approved Construction Cost]]=0,0,Table159[[#This Row],[Approved Construction Cost]]-Table159[[#This Row],[Construction Cost to Bill From]])</f>
        <v>0</v>
      </c>
      <c r="AU76" s="538">
        <f>IFERROR(Table159[[#This Row],[Difference in Construction Cost]]*Table159[[#This Row],[Rate]],Table159[[#This Row],[Difference in Construction Cost]]*0.085)</f>
        <v>0</v>
      </c>
      <c r="AV76" s="572"/>
      <c r="AW76" s="639"/>
      <c r="AX76" s="538"/>
      <c r="AY76" s="636" t="s">
        <v>709</v>
      </c>
      <c r="AZ76" s="443" t="s">
        <v>709</v>
      </c>
      <c r="BA76" s="652" t="s">
        <v>6456</v>
      </c>
      <c r="BB76" s="644" t="s">
        <v>6457</v>
      </c>
      <c r="BC76" s="478" t="s">
        <v>115</v>
      </c>
      <c r="BD76" s="544" t="s">
        <v>115</v>
      </c>
      <c r="BE76" s="544" t="s">
        <v>6458</v>
      </c>
      <c r="BF76" s="544" t="s">
        <v>115</v>
      </c>
      <c r="BG76" s="512" t="s">
        <v>6459</v>
      </c>
      <c r="BH76" s="741" t="s">
        <v>6460</v>
      </c>
      <c r="BI76" s="535" t="s">
        <v>709</v>
      </c>
      <c r="BJ76" s="547" t="s">
        <v>709</v>
      </c>
      <c r="BK76" s="547" t="s">
        <v>116</v>
      </c>
      <c r="BL76" s="547" t="s">
        <v>116</v>
      </c>
      <c r="BM76" s="547" t="s">
        <v>709</v>
      </c>
      <c r="BN76" s="547">
        <v>165</v>
      </c>
      <c r="BO76" s="547" t="s">
        <v>709</v>
      </c>
      <c r="BP76" s="547">
        <v>30</v>
      </c>
      <c r="BQ76" s="547">
        <v>70</v>
      </c>
      <c r="BR76" s="547">
        <v>48</v>
      </c>
      <c r="BS76" s="547">
        <v>30</v>
      </c>
      <c r="BT76" s="547">
        <v>1</v>
      </c>
      <c r="BU76" s="547" t="s">
        <v>709</v>
      </c>
      <c r="BV76" s="547" t="s">
        <v>745</v>
      </c>
      <c r="BW76" s="547" t="s">
        <v>709</v>
      </c>
      <c r="BX76" s="621">
        <v>1</v>
      </c>
      <c r="BY76" s="621">
        <v>2</v>
      </c>
      <c r="BZ76" s="483"/>
    </row>
    <row r="77" spans="1:78" ht="15" hidden="1" customHeight="1" x14ac:dyDescent="0.25">
      <c r="A77" s="8" t="s">
        <v>749</v>
      </c>
      <c r="B77" s="8" t="s">
        <v>4</v>
      </c>
      <c r="C77" s="8" t="s">
        <v>1482</v>
      </c>
      <c r="D77" s="8" t="s">
        <v>1483</v>
      </c>
      <c r="E77" s="8" t="s">
        <v>354</v>
      </c>
      <c r="F77" s="8" t="s">
        <v>784</v>
      </c>
      <c r="G77" s="8" t="s">
        <v>27</v>
      </c>
      <c r="H77" s="8" t="s">
        <v>59</v>
      </c>
      <c r="I77" s="642">
        <v>44974</v>
      </c>
      <c r="J77" s="18">
        <v>45058</v>
      </c>
      <c r="K77" s="97">
        <v>45057</v>
      </c>
      <c r="L77" s="16">
        <f>IF(ISTEXT(Table159[[#This Row],[Engineering Approved Design Date]]),Table159[[#This Row],[Date Completed]]-Table159[[#This Row],[Date Assigned to Designer]],Table159[[#This Row],[Engineering Approved Design Date]]-Table159[[#This Row],[Date Completed]])</f>
        <v>1</v>
      </c>
      <c r="M77" s="642"/>
      <c r="N77" s="642" t="s">
        <v>120</v>
      </c>
      <c r="O77" s="510">
        <v>45061</v>
      </c>
      <c r="P77" s="221" t="s">
        <v>739</v>
      </c>
      <c r="Q77" s="70">
        <f>Table159[[#This Row],[Rate]]*Table159[[#This Row],[Construction Cost to Bill From]]</f>
        <v>5264.8130000000001</v>
      </c>
      <c r="R77" s="75">
        <v>0.1</v>
      </c>
      <c r="U77" s="87"/>
      <c r="V77" s="437">
        <v>0</v>
      </c>
      <c r="W77" s="437">
        <v>0</v>
      </c>
      <c r="X77" s="24">
        <v>0</v>
      </c>
      <c r="Y77" s="592"/>
      <c r="Z77" s="552">
        <v>52648.13</v>
      </c>
      <c r="AA77" s="300">
        <f>SUM(Table159[[#This Row],[PCTS Investment Amount]:[PCTS Retirement Amount]])</f>
        <v>52648.13</v>
      </c>
      <c r="AB77" s="207" t="s">
        <v>29</v>
      </c>
      <c r="AC77" s="108" t="s">
        <v>709</v>
      </c>
      <c r="AD77" s="108" t="s">
        <v>29</v>
      </c>
      <c r="AE77" s="187" t="s">
        <v>116</v>
      </c>
      <c r="AF77" s="568" t="s">
        <v>29</v>
      </c>
      <c r="AG77" s="568" t="s">
        <v>29</v>
      </c>
      <c r="AH77" s="356">
        <v>45160</v>
      </c>
      <c r="AI77" s="489"/>
      <c r="AJ77" s="553"/>
      <c r="AK77" s="553"/>
      <c r="AL77" s="495"/>
      <c r="AM77" s="21" t="s">
        <v>116</v>
      </c>
      <c r="AN77" s="796" t="s">
        <v>709</v>
      </c>
      <c r="AO77" s="798"/>
      <c r="AP77" s="797"/>
      <c r="AQ77" s="797"/>
      <c r="AR77" s="797"/>
      <c r="AS77" s="538">
        <f>IF(Table159[[#This Row],[PCTS Approved]]="N",0,Table159[[#This Row],[Investment Amount (1'#'#'#'#'#)]]+Table159[[#This Row],[Retirement Amount (3'#'#'#'#'#)]])</f>
        <v>0</v>
      </c>
      <c r="AT77" s="538">
        <f>IF(Table159[[#This Row],[Approved Construction Cost]]=0,0,Table159[[#This Row],[Approved Construction Cost]]-Table159[[#This Row],[Construction Cost to Bill From]])</f>
        <v>0</v>
      </c>
      <c r="AU77" s="538">
        <f>IFERROR(Table159[[#This Row],[Difference in Construction Cost]]*Table159[[#This Row],[Rate]],Table159[[#This Row],[Difference in Construction Cost]]*0.085)</f>
        <v>0</v>
      </c>
      <c r="AV77" s="572"/>
      <c r="AW77" s="639"/>
      <c r="AX77" s="538"/>
      <c r="AY77" s="636" t="s">
        <v>709</v>
      </c>
      <c r="AZ77" s="443">
        <v>85</v>
      </c>
      <c r="BA77" s="652" t="s">
        <v>1484</v>
      </c>
      <c r="BB77" s="644" t="s">
        <v>1485</v>
      </c>
      <c r="BC77" s="478" t="s">
        <v>709</v>
      </c>
      <c r="BD77" s="544" t="s">
        <v>709</v>
      </c>
      <c r="BE77" s="544" t="s">
        <v>588</v>
      </c>
      <c r="BF77" s="544" t="s">
        <v>709</v>
      </c>
      <c r="BG77" s="512" t="s">
        <v>709</v>
      </c>
      <c r="BH77" s="741" t="s">
        <v>1486</v>
      </c>
      <c r="BI77" s="535" t="s">
        <v>709</v>
      </c>
      <c r="BJ77" s="547" t="s">
        <v>709</v>
      </c>
      <c r="BK77" s="547" t="s">
        <v>709</v>
      </c>
      <c r="BL77" s="547" t="s">
        <v>709</v>
      </c>
      <c r="BM77" s="547" t="s">
        <v>709</v>
      </c>
      <c r="BN77" s="547" t="s">
        <v>709</v>
      </c>
      <c r="BO77" s="547" t="s">
        <v>709</v>
      </c>
      <c r="BP77" s="547" t="s">
        <v>709</v>
      </c>
      <c r="BQ77" s="547" t="s">
        <v>709</v>
      </c>
      <c r="BR77" s="547" t="s">
        <v>709</v>
      </c>
      <c r="BS77" s="547" t="s">
        <v>709</v>
      </c>
      <c r="BT77" s="547" t="s">
        <v>745</v>
      </c>
      <c r="BU77" s="547" t="s">
        <v>709</v>
      </c>
      <c r="BV77" s="547" t="s">
        <v>745</v>
      </c>
      <c r="BW77" s="547" t="s">
        <v>709</v>
      </c>
      <c r="BX77" s="547" t="s">
        <v>745</v>
      </c>
      <c r="BY77" s="547" t="s">
        <v>745</v>
      </c>
      <c r="BZ77" s="483" t="s">
        <v>1146</v>
      </c>
    </row>
    <row r="78" spans="1:78" ht="15" hidden="1" customHeight="1" x14ac:dyDescent="0.25">
      <c r="A78" s="8" t="s">
        <v>749</v>
      </c>
      <c r="B78" s="8" t="s">
        <v>4</v>
      </c>
      <c r="C78" s="8" t="s">
        <v>1490</v>
      </c>
      <c r="D78" s="8" t="s">
        <v>1491</v>
      </c>
      <c r="E78" s="8" t="s">
        <v>1492</v>
      </c>
      <c r="F78" s="8" t="s">
        <v>784</v>
      </c>
      <c r="G78" s="8" t="s">
        <v>25</v>
      </c>
      <c r="H78" s="13" t="s">
        <v>59</v>
      </c>
      <c r="I78" s="642">
        <v>44966</v>
      </c>
      <c r="J78" s="18">
        <v>45077</v>
      </c>
      <c r="K78" s="175">
        <v>45062</v>
      </c>
      <c r="L78" s="16">
        <f>IF(ISTEXT(Table159[[#This Row],[Engineering Approved Design Date]]),Table159[[#This Row],[Date Completed]]-Table159[[#This Row],[Date Assigned to Designer]],Table159[[#This Row],[Engineering Approved Design Date]]-Table159[[#This Row],[Date Completed]])</f>
        <v>15</v>
      </c>
      <c r="M78" s="642"/>
      <c r="N78" s="642" t="s">
        <v>120</v>
      </c>
      <c r="O78" s="510">
        <v>45061</v>
      </c>
      <c r="P78" s="221" t="s">
        <v>739</v>
      </c>
      <c r="Q78" s="70">
        <f>Table159[[#This Row],[Rate]]*Table159[[#This Row],[Construction Cost to Bill From]]</f>
        <v>17623.817000000003</v>
      </c>
      <c r="R78" s="75">
        <v>0.1</v>
      </c>
      <c r="U78" s="87"/>
      <c r="V78" s="437">
        <v>601</v>
      </c>
      <c r="W78" s="437">
        <v>0</v>
      </c>
      <c r="X78" s="94">
        <v>157687.95000000001</v>
      </c>
      <c r="Y78" s="592"/>
      <c r="Z78" s="552">
        <v>18550.22</v>
      </c>
      <c r="AA78" s="300">
        <f>SUM(Table159[[#This Row],[PCTS Investment Amount]:[PCTS Retirement Amount]])</f>
        <v>176238.17</v>
      </c>
      <c r="AB78" s="207">
        <v>45047</v>
      </c>
      <c r="AC78" s="108" t="s">
        <v>709</v>
      </c>
      <c r="AD78" s="108" t="s">
        <v>29</v>
      </c>
      <c r="AE78" s="187" t="s">
        <v>116</v>
      </c>
      <c r="AF78" s="568" t="s">
        <v>116</v>
      </c>
      <c r="AG78" s="568" t="s">
        <v>116</v>
      </c>
      <c r="AH78" s="356">
        <v>45086</v>
      </c>
      <c r="AI78" s="489"/>
      <c r="AJ78" s="553"/>
      <c r="AK78" s="553"/>
      <c r="AL78" s="495"/>
      <c r="AM78" s="21" t="s">
        <v>116</v>
      </c>
      <c r="AN78" s="680" t="s">
        <v>709</v>
      </c>
      <c r="AO78" s="601" t="s">
        <v>115</v>
      </c>
      <c r="AP78" s="572"/>
      <c r="AQ78" s="572"/>
      <c r="AR78" s="572"/>
      <c r="AS78" s="538">
        <f>IF(Table159[[#This Row],[PCTS Approved]]="N",0,Table159[[#This Row],[Investment Amount (1'#'#'#'#'#)]]+Table159[[#This Row],[Retirement Amount (3'#'#'#'#'#)]])</f>
        <v>0</v>
      </c>
      <c r="AT78" s="538">
        <f>IF(Table159[[#This Row],[Approved Construction Cost]]=0,0,Table159[[#This Row],[Approved Construction Cost]]-Table159[[#This Row],[Construction Cost to Bill From]])</f>
        <v>0</v>
      </c>
      <c r="AU78" s="538">
        <f>IFERROR(Table159[[#This Row],[Difference in Construction Cost]]*Table159[[#This Row],[Rate]],Table159[[#This Row],[Difference in Construction Cost]]*0.085)</f>
        <v>0</v>
      </c>
      <c r="AV78" s="572"/>
      <c r="AW78" s="639"/>
      <c r="AX78" s="538"/>
      <c r="AY78" s="636" t="s">
        <v>709</v>
      </c>
      <c r="AZ78" s="443">
        <v>86</v>
      </c>
      <c r="BA78" s="652" t="s">
        <v>1493</v>
      </c>
      <c r="BB78" s="644" t="s">
        <v>1494</v>
      </c>
      <c r="BC78" s="478" t="s">
        <v>116</v>
      </c>
      <c r="BD78" s="544" t="s">
        <v>743</v>
      </c>
      <c r="BE78" s="544" t="s">
        <v>545</v>
      </c>
      <c r="BF78" s="544" t="s">
        <v>1495</v>
      </c>
      <c r="BG78" s="512" t="s">
        <v>1496</v>
      </c>
      <c r="BH78" s="741" t="s">
        <v>1497</v>
      </c>
      <c r="BI78" s="535" t="s">
        <v>709</v>
      </c>
      <c r="BJ78" s="547" t="s">
        <v>709</v>
      </c>
      <c r="BK78" s="547" t="s">
        <v>709</v>
      </c>
      <c r="BL78" s="547" t="s">
        <v>116</v>
      </c>
      <c r="BM78" s="547" t="s">
        <v>709</v>
      </c>
      <c r="BN78" s="547" t="s">
        <v>709</v>
      </c>
      <c r="BO78" s="547" t="s">
        <v>709</v>
      </c>
      <c r="BP78" s="547" t="s">
        <v>709</v>
      </c>
      <c r="BQ78" s="547">
        <v>601</v>
      </c>
      <c r="BR78" s="547" t="s">
        <v>709</v>
      </c>
      <c r="BS78" s="547" t="s">
        <v>709</v>
      </c>
      <c r="BT78" s="547" t="s">
        <v>745</v>
      </c>
      <c r="BU78" s="547" t="s">
        <v>709</v>
      </c>
      <c r="BV78" s="547" t="s">
        <v>745</v>
      </c>
      <c r="BW78" s="547" t="s">
        <v>709</v>
      </c>
      <c r="BX78" s="547" t="s">
        <v>745</v>
      </c>
      <c r="BY78" s="547" t="s">
        <v>745</v>
      </c>
      <c r="BZ78" s="483"/>
    </row>
    <row r="79" spans="1:78" ht="15" hidden="1" customHeight="1" x14ac:dyDescent="0.25">
      <c r="A79" s="778">
        <v>2025</v>
      </c>
      <c r="B79" s="8" t="s">
        <v>1073</v>
      </c>
      <c r="C79" t="s">
        <v>6823</v>
      </c>
      <c r="D79" s="779" t="s">
        <v>6824</v>
      </c>
      <c r="E79" t="s">
        <v>3259</v>
      </c>
      <c r="F79" s="8" t="s">
        <v>851</v>
      </c>
      <c r="G79" s="8" t="s">
        <v>34</v>
      </c>
      <c r="H79" s="8" t="s">
        <v>59</v>
      </c>
      <c r="I79" s="755">
        <v>45502</v>
      </c>
      <c r="J79" s="18">
        <v>45653</v>
      </c>
      <c r="K79" s="18">
        <v>45649</v>
      </c>
      <c r="L79" s="16">
        <f>IF(ISTEXT(Table159[[#This Row],[Engineering Approved Design Date]]),Table159[[#This Row],[Date Completed]]-Table159[[#This Row],[Date Assigned to Designer]],Table159[[#This Row],[Engineering Approved Design Date]]-Table159[[#This Row],[Date Completed]])</f>
        <v>4</v>
      </c>
      <c r="N79" s="99" t="s">
        <v>739</v>
      </c>
      <c r="O79" s="510">
        <v>45627</v>
      </c>
      <c r="P79" s="221" t="s">
        <v>739</v>
      </c>
      <c r="Q79" s="781">
        <f>Table159[[#This Row],[Rate]]*Table159[[#This Row],[Construction Cost to Bill From]]</f>
        <v>15793.2672</v>
      </c>
      <c r="R79" s="75">
        <v>0.08</v>
      </c>
      <c r="S79" s="24" t="s">
        <v>29</v>
      </c>
      <c r="T79" s="538" t="s">
        <v>29</v>
      </c>
      <c r="U79" s="28" t="s">
        <v>29</v>
      </c>
      <c r="V79" s="437">
        <v>744</v>
      </c>
      <c r="W79" s="437">
        <v>0</v>
      </c>
      <c r="X79" s="24">
        <v>197415.84</v>
      </c>
      <c r="Y79" s="550"/>
      <c r="Z79" s="538">
        <v>0</v>
      </c>
      <c r="AA79" s="300">
        <f>SUM(Table159[[#This Row],[PCTS Investment Amount]:[PCTS Retirement Amount]])</f>
        <v>197415.84</v>
      </c>
      <c r="AB79" s="207">
        <v>45646</v>
      </c>
      <c r="AC79" s="108" t="s">
        <v>709</v>
      </c>
      <c r="AD79" s="229" t="s">
        <v>29</v>
      </c>
      <c r="AE79" s="455" t="s">
        <v>756</v>
      </c>
      <c r="AF79" s="576" t="s">
        <v>29</v>
      </c>
      <c r="AG79" s="576" t="s">
        <v>376</v>
      </c>
      <c r="AH79" s="356" t="s">
        <v>376</v>
      </c>
      <c r="AI79" s="782">
        <v>0</v>
      </c>
      <c r="AJ79" s="733">
        <v>0</v>
      </c>
      <c r="AK79" s="733">
        <v>0</v>
      </c>
      <c r="AL79" s="494">
        <f>SUM(Table159[[#This Row],[Nicor Initiated DBE]:[Staffing]])/(Table159[[#This Row],[Amount Invoiced]])</f>
        <v>0</v>
      </c>
      <c r="AM79" s="21" t="s">
        <v>116</v>
      </c>
      <c r="AN79" s="680" t="s">
        <v>709</v>
      </c>
      <c r="AO79" s="601"/>
      <c r="AP79" s="572"/>
      <c r="AQ79" s="572"/>
      <c r="AR79" s="572"/>
      <c r="AS79" s="538"/>
      <c r="AT79" s="538"/>
      <c r="AU79" s="538"/>
      <c r="AV79" s="602"/>
      <c r="AW79" s="640"/>
      <c r="AX79" s="555"/>
      <c r="AY79" s="636"/>
      <c r="BA79" s="643" t="s">
        <v>6825</v>
      </c>
      <c r="BB79" s="543" t="s">
        <v>6820</v>
      </c>
      <c r="BC79" s="479" t="s">
        <v>116</v>
      </c>
      <c r="BD79" s="554" t="s">
        <v>882</v>
      </c>
      <c r="BE79" s="588" t="s">
        <v>3262</v>
      </c>
      <c r="BF79" s="588" t="s">
        <v>6821</v>
      </c>
      <c r="BG79" s="512" t="s">
        <v>29</v>
      </c>
      <c r="BH79" s="615" t="s">
        <v>6826</v>
      </c>
      <c r="BI79" s="535" t="s">
        <v>709</v>
      </c>
      <c r="BJ79" s="547" t="s">
        <v>709</v>
      </c>
      <c r="BK79" s="547" t="s">
        <v>116</v>
      </c>
      <c r="BL79" s="547" t="s">
        <v>709</v>
      </c>
      <c r="BM79" s="547" t="s">
        <v>709</v>
      </c>
      <c r="BN79" s="547" t="s">
        <v>709</v>
      </c>
      <c r="BO79" s="547" t="s">
        <v>709</v>
      </c>
      <c r="BP79" s="547">
        <v>744</v>
      </c>
      <c r="BQ79" s="547" t="s">
        <v>709</v>
      </c>
      <c r="BR79" s="547" t="s">
        <v>709</v>
      </c>
      <c r="BS79" s="547" t="s">
        <v>709</v>
      </c>
      <c r="BT79" s="547" t="s">
        <v>709</v>
      </c>
      <c r="BU79" s="547" t="s">
        <v>709</v>
      </c>
      <c r="BV79" s="547" t="s">
        <v>709</v>
      </c>
      <c r="BW79" s="547" t="s">
        <v>709</v>
      </c>
      <c r="BX79" s="547" t="s">
        <v>709</v>
      </c>
      <c r="BY79" s="547" t="s">
        <v>709</v>
      </c>
      <c r="BZ79" s="482" t="s">
        <v>6827</v>
      </c>
    </row>
    <row r="80" spans="1:78" ht="15" hidden="1" customHeight="1" x14ac:dyDescent="0.25">
      <c r="A80" s="778">
        <v>2025</v>
      </c>
      <c r="B80" s="8" t="s">
        <v>1073</v>
      </c>
      <c r="C80" t="s">
        <v>6828</v>
      </c>
      <c r="D80" s="779" t="s">
        <v>6829</v>
      </c>
      <c r="E80" t="s">
        <v>3259</v>
      </c>
      <c r="F80" s="8" t="s">
        <v>851</v>
      </c>
      <c r="G80" s="8" t="s">
        <v>34</v>
      </c>
      <c r="H80" s="8" t="s">
        <v>59</v>
      </c>
      <c r="I80" s="755">
        <v>45502</v>
      </c>
      <c r="J80" s="18">
        <v>45653</v>
      </c>
      <c r="K80" s="18">
        <v>45649</v>
      </c>
      <c r="L80" s="16">
        <f>IF(ISTEXT(Table159[[#This Row],[Engineering Approved Design Date]]),Table159[[#This Row],[Date Completed]]-Table159[[#This Row],[Date Assigned to Designer]],Table159[[#This Row],[Engineering Approved Design Date]]-Table159[[#This Row],[Date Completed]])</f>
        <v>4</v>
      </c>
      <c r="N80" s="99" t="s">
        <v>739</v>
      </c>
      <c r="O80" s="510">
        <v>45627</v>
      </c>
      <c r="P80" s="221" t="s">
        <v>739</v>
      </c>
      <c r="Q80" s="781">
        <f>Table159[[#This Row],[Rate]]*Table159[[#This Row],[Construction Cost to Bill From]]</f>
        <v>36745.468000000001</v>
      </c>
      <c r="R80" s="75">
        <v>0.08</v>
      </c>
      <c r="S80" s="24" t="s">
        <v>29</v>
      </c>
      <c r="T80" s="538" t="s">
        <v>29</v>
      </c>
      <c r="U80" s="28" t="s">
        <v>29</v>
      </c>
      <c r="V80" s="437">
        <v>270</v>
      </c>
      <c r="W80" s="437">
        <v>2</v>
      </c>
      <c r="X80" s="24">
        <v>459318.35</v>
      </c>
      <c r="Y80" s="550"/>
      <c r="Z80" s="538">
        <v>0</v>
      </c>
      <c r="AA80" s="300">
        <f>SUM(Table159[[#This Row],[PCTS Investment Amount]:[PCTS Retirement Amount]])</f>
        <v>459318.35</v>
      </c>
      <c r="AB80" s="207">
        <v>45663</v>
      </c>
      <c r="AC80" s="108" t="s">
        <v>1056</v>
      </c>
      <c r="AD80" s="229" t="s">
        <v>29</v>
      </c>
      <c r="AE80" s="455" t="s">
        <v>756</v>
      </c>
      <c r="AF80" s="576" t="s">
        <v>29</v>
      </c>
      <c r="AG80" s="576" t="s">
        <v>376</v>
      </c>
      <c r="AH80" s="356" t="s">
        <v>376</v>
      </c>
      <c r="AI80" s="782">
        <v>0</v>
      </c>
      <c r="AJ80" s="733">
        <v>0</v>
      </c>
      <c r="AK80" s="1362">
        <v>0</v>
      </c>
      <c r="AL80" s="494">
        <f>SUM(Table159[[#This Row],[Nicor Initiated DBE]:[Staffing]])/(Table159[[#This Row],[Amount Invoiced]])</f>
        <v>0</v>
      </c>
      <c r="AM80" s="21" t="s">
        <v>116</v>
      </c>
      <c r="AN80" s="680" t="s">
        <v>709</v>
      </c>
      <c r="AO80" s="681">
        <v>11090755</v>
      </c>
      <c r="AP80" s="572"/>
      <c r="AQ80" s="572"/>
      <c r="AR80" s="572"/>
      <c r="AS80" s="538"/>
      <c r="AT80" s="538"/>
      <c r="AU80" s="538"/>
      <c r="AV80" s="602"/>
      <c r="AW80" s="640"/>
      <c r="AX80" s="555"/>
      <c r="AY80" s="636"/>
      <c r="BA80" s="643" t="s">
        <v>6830</v>
      </c>
      <c r="BB80" s="543" t="s">
        <v>6820</v>
      </c>
      <c r="BC80" s="479" t="s">
        <v>116</v>
      </c>
      <c r="BD80" s="554" t="s">
        <v>882</v>
      </c>
      <c r="BE80" s="588" t="s">
        <v>3262</v>
      </c>
      <c r="BF80" s="588" t="s">
        <v>6821</v>
      </c>
      <c r="BG80" s="512" t="s">
        <v>29</v>
      </c>
      <c r="BH80" s="615" t="s">
        <v>6831</v>
      </c>
      <c r="BI80" s="535" t="s">
        <v>709</v>
      </c>
      <c r="BJ80" s="547" t="s">
        <v>709</v>
      </c>
      <c r="BK80" s="547" t="s">
        <v>116</v>
      </c>
      <c r="BL80" s="547" t="s">
        <v>116</v>
      </c>
      <c r="BM80" s="547" t="s">
        <v>709</v>
      </c>
      <c r="BN80" s="547">
        <v>74</v>
      </c>
      <c r="BO80" s="547" t="s">
        <v>709</v>
      </c>
      <c r="BP80" s="547">
        <v>17</v>
      </c>
      <c r="BQ80" s="547">
        <v>2</v>
      </c>
      <c r="BR80" s="547">
        <v>107</v>
      </c>
      <c r="BS80" s="547" t="s">
        <v>709</v>
      </c>
      <c r="BT80" s="547" t="s">
        <v>709</v>
      </c>
      <c r="BU80" s="547" t="s">
        <v>709</v>
      </c>
      <c r="BV80" s="547" t="s">
        <v>709</v>
      </c>
      <c r="BW80" s="547" t="s">
        <v>116</v>
      </c>
      <c r="BX80" s="547" t="s">
        <v>709</v>
      </c>
      <c r="BY80" s="547" t="s">
        <v>116</v>
      </c>
      <c r="BZ80" s="482" t="s">
        <v>6832</v>
      </c>
    </row>
    <row r="81" spans="1:78" ht="15" hidden="1" customHeight="1" x14ac:dyDescent="0.25">
      <c r="A81" s="8" t="s">
        <v>800</v>
      </c>
      <c r="B81" s="8" t="s">
        <v>4</v>
      </c>
      <c r="C81" s="8" t="s">
        <v>1099</v>
      </c>
      <c r="D81" s="8" t="s">
        <v>1100</v>
      </c>
      <c r="E81" s="8" t="s">
        <v>1101</v>
      </c>
      <c r="F81" s="8" t="s">
        <v>1102</v>
      </c>
      <c r="G81" s="8" t="s">
        <v>6391</v>
      </c>
      <c r="H81" s="8" t="s">
        <v>59</v>
      </c>
      <c r="I81" s="642">
        <v>45401</v>
      </c>
      <c r="J81" s="472">
        <v>45492</v>
      </c>
      <c r="K81" s="97">
        <v>45462</v>
      </c>
      <c r="L81" s="16">
        <f>IF(ISTEXT(Table159[[#This Row],[Engineering Approved Design Date]]),Table159[[#This Row],[Date Completed]]-Table159[[#This Row],[Date Assigned to Designer]],Table159[[#This Row],[Engineering Approved Design Date]]-Table159[[#This Row],[Date Completed]])</f>
        <v>30</v>
      </c>
      <c r="M81" s="642"/>
      <c r="N81" s="642" t="s">
        <v>120</v>
      </c>
      <c r="O81" s="510">
        <v>45444</v>
      </c>
      <c r="P81" s="221" t="s">
        <v>739</v>
      </c>
      <c r="Q81" s="70">
        <f>Table159[[#This Row],[Rate]]*Table159[[#This Row],[Construction Cost to Bill From]]</f>
        <v>12368.651000000002</v>
      </c>
      <c r="R81" s="75">
        <v>0.1</v>
      </c>
      <c r="U81" s="87"/>
      <c r="V81" s="437">
        <v>90</v>
      </c>
      <c r="W81" s="437">
        <v>0</v>
      </c>
      <c r="X81" s="24">
        <v>100367.72</v>
      </c>
      <c r="Y81" s="551"/>
      <c r="Z81" s="552">
        <v>23318.79</v>
      </c>
      <c r="AA81" s="300">
        <f>SUM(Table159[[#This Row],[PCTS Investment Amount]:[PCTS Retirement Amount]])</f>
        <v>123686.51000000001</v>
      </c>
      <c r="AB81" s="207">
        <v>45456</v>
      </c>
      <c r="AC81" s="22" t="s">
        <v>709</v>
      </c>
      <c r="AD81" s="22" t="s">
        <v>29</v>
      </c>
      <c r="AE81" s="187" t="s">
        <v>116</v>
      </c>
      <c r="AF81" s="568" t="s">
        <v>116</v>
      </c>
      <c r="AG81" s="568" t="s">
        <v>376</v>
      </c>
      <c r="AH81" s="356">
        <v>45567</v>
      </c>
      <c r="AI81" s="426">
        <v>0</v>
      </c>
      <c r="AJ81" s="542">
        <v>2950</v>
      </c>
      <c r="AK81" s="1467">
        <v>2942</v>
      </c>
      <c r="AL81" s="493">
        <f>SUM(Table159[[#This Row],[Nicor Initiated DBE]:[Staffing]])/(Table159[[#This Row],[Amount Invoiced]])</f>
        <v>0.47636561173890341</v>
      </c>
      <c r="AM81" s="21" t="s">
        <v>116</v>
      </c>
      <c r="AN81" s="801">
        <v>45475</v>
      </c>
      <c r="AO81" s="806">
        <v>11085612</v>
      </c>
      <c r="AP81" s="788">
        <v>101481.74</v>
      </c>
      <c r="AQ81" s="788"/>
      <c r="AR81" s="788">
        <v>23578.45</v>
      </c>
      <c r="AS81" s="538">
        <f>IF(Table159[[#This Row],[PCTS Approved]]="N",0,Table159[[#This Row],[Investment Amount (1'#'#'#'#'#)]]+Table159[[#This Row],[Retirement Amount (3'#'#'#'#'#)]])</f>
        <v>125060.19</v>
      </c>
      <c r="AT81" s="538">
        <f>IF(Table159[[#This Row],[Approved Construction Cost]]=0,0,Table159[[#This Row],[Approved Construction Cost]]-Table159[[#This Row],[Construction Cost to Bill From]])</f>
        <v>1373.679999999993</v>
      </c>
      <c r="AU81" s="538">
        <f>IFERROR(Table159[[#This Row],[Difference in Construction Cost]]*Table159[[#This Row],[Rate]],Table159[[#This Row],[Difference in Construction Cost]]*0.085)</f>
        <v>137.36799999999931</v>
      </c>
      <c r="AV81" s="718">
        <v>0</v>
      </c>
      <c r="AW81" s="660" t="s">
        <v>6833</v>
      </c>
      <c r="AX81" s="555"/>
      <c r="AY81" s="636" t="s">
        <v>709</v>
      </c>
      <c r="AZ81" s="443">
        <v>147</v>
      </c>
      <c r="BA81" s="651" t="s">
        <v>1104</v>
      </c>
      <c r="BB81" s="644" t="s">
        <v>1105</v>
      </c>
      <c r="BC81" s="479" t="s">
        <v>709</v>
      </c>
      <c r="BD81" s="554" t="s">
        <v>882</v>
      </c>
      <c r="BE81" s="588" t="s">
        <v>1106</v>
      </c>
      <c r="BF81" s="588" t="s">
        <v>709</v>
      </c>
      <c r="BG81" s="483" t="s">
        <v>709</v>
      </c>
      <c r="BH81" s="615" t="s">
        <v>1107</v>
      </c>
      <c r="BI81" s="535" t="s">
        <v>709</v>
      </c>
      <c r="BJ81" s="547" t="s">
        <v>709</v>
      </c>
      <c r="BK81" s="547" t="s">
        <v>709</v>
      </c>
      <c r="BL81" s="547" t="s">
        <v>116</v>
      </c>
      <c r="BM81" s="547" t="s">
        <v>709</v>
      </c>
      <c r="BN81" s="547" t="s">
        <v>709</v>
      </c>
      <c r="BO81" s="547" t="s">
        <v>709</v>
      </c>
      <c r="BP81" s="547" t="s">
        <v>709</v>
      </c>
      <c r="BQ81" s="547" t="s">
        <v>709</v>
      </c>
      <c r="BR81" s="547" t="s">
        <v>709</v>
      </c>
      <c r="BS81" s="549">
        <v>90</v>
      </c>
      <c r="BT81" s="547" t="s">
        <v>745</v>
      </c>
      <c r="BU81" s="547" t="s">
        <v>745</v>
      </c>
      <c r="BV81" s="547" t="s">
        <v>745</v>
      </c>
      <c r="BW81" s="547" t="s">
        <v>745</v>
      </c>
      <c r="BX81" s="547" t="s">
        <v>745</v>
      </c>
      <c r="BY81" s="547" t="s">
        <v>745</v>
      </c>
      <c r="BZ81" s="483"/>
    </row>
    <row r="82" spans="1:78" ht="15" hidden="1" customHeight="1" x14ac:dyDescent="0.25">
      <c r="A82" s="8">
        <v>2023</v>
      </c>
      <c r="B82" s="8" t="s">
        <v>1205</v>
      </c>
      <c r="C82" s="8" t="s">
        <v>1392</v>
      </c>
      <c r="D82" s="8" t="s">
        <v>1393</v>
      </c>
      <c r="E82" s="8" t="s">
        <v>426</v>
      </c>
      <c r="F82" s="8" t="s">
        <v>784</v>
      </c>
      <c r="G82" s="8" t="s">
        <v>32</v>
      </c>
      <c r="H82" s="8" t="s">
        <v>59</v>
      </c>
      <c r="I82" s="642">
        <v>44832</v>
      </c>
      <c r="J82" s="18">
        <v>44925</v>
      </c>
      <c r="K82" s="97">
        <v>44922</v>
      </c>
      <c r="L82" s="16">
        <f>IF(ISTEXT(Table159[[#This Row],[Engineering Approved Design Date]]),Table159[[#This Row],[Date Completed]]-Table159[[#This Row],[Date Assigned to Designer]],Table159[[#This Row],[Engineering Approved Design Date]]-Table159[[#This Row],[Date Completed]])</f>
        <v>3</v>
      </c>
      <c r="M82" s="642"/>
      <c r="N82" s="642" t="s">
        <v>120</v>
      </c>
      <c r="O82" s="510">
        <v>44928</v>
      </c>
      <c r="P82" s="221" t="s">
        <v>120</v>
      </c>
      <c r="Q82" s="71">
        <f>R82*AA82</f>
        <v>76364.406900000002</v>
      </c>
      <c r="R82" s="75">
        <v>0.09</v>
      </c>
      <c r="U82" s="87"/>
      <c r="V82" s="437">
        <v>568</v>
      </c>
      <c r="X82" s="94">
        <v>659699.77</v>
      </c>
      <c r="Y82" s="592"/>
      <c r="Z82" s="552">
        <v>188793.64</v>
      </c>
      <c r="AA82" s="300">
        <f>Table159[[#This Row],[PCTS Investment Amount]]+Table159[[#This Row],[PCTS Retirement Amount]]</f>
        <v>848493.41</v>
      </c>
      <c r="AB82" s="207">
        <v>44930</v>
      </c>
      <c r="AC82" s="108" t="s">
        <v>709</v>
      </c>
      <c r="AD82" s="108" t="s">
        <v>116</v>
      </c>
      <c r="AE82" s="349"/>
      <c r="AF82" s="579"/>
      <c r="AG82" s="579"/>
      <c r="AH82" s="354"/>
      <c r="AI82" s="489"/>
      <c r="AJ82" s="553"/>
      <c r="AK82" s="553"/>
      <c r="AL82" s="495"/>
      <c r="AM82" s="21" t="s">
        <v>116</v>
      </c>
      <c r="AN82" s="680" t="s">
        <v>709</v>
      </c>
      <c r="AO82" s="601">
        <v>11050935</v>
      </c>
      <c r="AP82" s="572"/>
      <c r="AQ82" s="572"/>
      <c r="AR82" s="572"/>
      <c r="AS82" s="538">
        <f>IF(Table159[[#This Row],[PCTS Approved]]="N",0,Table159[[#This Row],[Investment Amount (1'#'#'#'#'#)]]+Table159[[#This Row],[Retirement Amount (3'#'#'#'#'#)]])</f>
        <v>0</v>
      </c>
      <c r="AT82" s="538">
        <f>IF(Table159[[#This Row],[Approved Construction Cost]]=0,0,Table159[[#This Row],[Approved Construction Cost]]-Table159[[#This Row],[Construction Cost to Bill From]])</f>
        <v>0</v>
      </c>
      <c r="AU82" s="538">
        <f>IFERROR(Table159[[#This Row],[Difference in Construction Cost]]*Table159[[#This Row],[Rate]],Table159[[#This Row],[Difference in Construction Cost]]*0.085)</f>
        <v>0</v>
      </c>
      <c r="AV82" s="572"/>
      <c r="AW82" s="639"/>
      <c r="AX82" s="538"/>
      <c r="AY82" s="636" t="s">
        <v>709</v>
      </c>
      <c r="AZ82" s="443">
        <v>33</v>
      </c>
      <c r="BA82" s="652" t="s">
        <v>1394</v>
      </c>
      <c r="BB82" s="644" t="s">
        <v>1395</v>
      </c>
      <c r="BC82" s="478" t="s">
        <v>709</v>
      </c>
      <c r="BD82" s="544" t="s">
        <v>115</v>
      </c>
      <c r="BE82" s="544" t="s">
        <v>1396</v>
      </c>
      <c r="BF82" s="544" t="s">
        <v>115</v>
      </c>
      <c r="BG82" s="512" t="s">
        <v>1397</v>
      </c>
      <c r="BH82" s="741"/>
      <c r="BI82" s="535" t="s">
        <v>709</v>
      </c>
      <c r="BJ82" s="547" t="s">
        <v>709</v>
      </c>
      <c r="BK82" s="547" t="s">
        <v>709</v>
      </c>
      <c r="BL82" s="547" t="s">
        <v>116</v>
      </c>
      <c r="BM82" s="547" t="s">
        <v>709</v>
      </c>
      <c r="BN82" s="547" t="s">
        <v>709</v>
      </c>
      <c r="BO82" s="547" t="s">
        <v>709</v>
      </c>
      <c r="BP82" s="547" t="s">
        <v>709</v>
      </c>
      <c r="BQ82" s="547">
        <v>473</v>
      </c>
      <c r="BR82" s="547">
        <v>13</v>
      </c>
      <c r="BS82" s="547">
        <v>82</v>
      </c>
      <c r="BT82" s="547" t="s">
        <v>745</v>
      </c>
      <c r="BU82" s="547" t="s">
        <v>709</v>
      </c>
      <c r="BV82" s="547" t="s">
        <v>745</v>
      </c>
      <c r="BW82" s="547" t="s">
        <v>709</v>
      </c>
      <c r="BX82" s="547" t="s">
        <v>745</v>
      </c>
      <c r="BY82" s="547" t="s">
        <v>745</v>
      </c>
      <c r="BZ82" s="483"/>
    </row>
    <row r="83" spans="1:78" ht="15" hidden="1" customHeight="1" x14ac:dyDescent="0.25">
      <c r="A83" s="8" t="s">
        <v>800</v>
      </c>
      <c r="B83" s="8" t="s">
        <v>4</v>
      </c>
      <c r="C83" s="8" t="s">
        <v>1721</v>
      </c>
      <c r="D83" s="8" t="s">
        <v>1722</v>
      </c>
      <c r="E83" s="8" t="s">
        <v>850</v>
      </c>
      <c r="F83" s="8" t="s">
        <v>851</v>
      </c>
      <c r="G83" s="8" t="s">
        <v>26</v>
      </c>
      <c r="H83" s="8" t="s">
        <v>59</v>
      </c>
      <c r="I83" s="642">
        <v>45191</v>
      </c>
      <c r="J83" s="18">
        <v>45350</v>
      </c>
      <c r="K83" s="97">
        <v>45348</v>
      </c>
      <c r="L83" s="16">
        <f>IF(ISTEXT(Table159[[#This Row],[Engineering Approved Design Date]]),Table159[[#This Row],[Date Completed]]-Table159[[#This Row],[Date Assigned to Designer]],Table159[[#This Row],[Engineering Approved Design Date]]-Table159[[#This Row],[Date Completed]])</f>
        <v>2</v>
      </c>
      <c r="M83" s="642"/>
      <c r="N83" s="642" t="s">
        <v>120</v>
      </c>
      <c r="O83" s="510">
        <v>45352</v>
      </c>
      <c r="P83" s="221" t="s">
        <v>739</v>
      </c>
      <c r="Q83" s="70">
        <f>Table159[[#This Row],[Rate]]*Table159[[#This Row],[Construction Cost to Bill From]]</f>
        <v>51974.387000000002</v>
      </c>
      <c r="R83" s="75">
        <v>0.1</v>
      </c>
      <c r="U83" s="87"/>
      <c r="V83" s="437">
        <v>1770</v>
      </c>
      <c r="W83" s="437">
        <v>0</v>
      </c>
      <c r="X83" s="70">
        <v>474635.76</v>
      </c>
      <c r="Y83" s="550"/>
      <c r="Z83" s="570">
        <v>45108.11</v>
      </c>
      <c r="AA83" s="300">
        <f>Table159[[#This Row],[PCTS Investment Amount]]+Table159[[#This Row],[PCTS Retirement Amount]]</f>
        <v>519743.87</v>
      </c>
      <c r="AB83" s="207">
        <v>45329</v>
      </c>
      <c r="AC83" s="22" t="s">
        <v>709</v>
      </c>
      <c r="AD83" s="108" t="s">
        <v>29</v>
      </c>
      <c r="AE83" s="187" t="s">
        <v>116</v>
      </c>
      <c r="AF83" s="568" t="s">
        <v>116</v>
      </c>
      <c r="AG83" s="183">
        <v>45366</v>
      </c>
      <c r="AH83" s="356">
        <v>45366</v>
      </c>
      <c r="AI83" s="499">
        <v>0</v>
      </c>
      <c r="AJ83" s="541">
        <v>2142</v>
      </c>
      <c r="AK83" s="541">
        <v>656.625</v>
      </c>
      <c r="AL83" s="494">
        <f>SUM(Table159[[#This Row],[Nicor Initiated DBE]:[Staffing]])/(Table159[[#This Row],[Amount Invoiced]])</f>
        <v>5.3846233915178253E-2</v>
      </c>
      <c r="AM83" s="21" t="s">
        <v>116</v>
      </c>
      <c r="AN83" s="802">
        <v>45525</v>
      </c>
      <c r="AO83" s="807">
        <v>11089738</v>
      </c>
      <c r="AP83" s="862">
        <v>570185.64</v>
      </c>
      <c r="AQ83" s="862"/>
      <c r="AR83" s="862">
        <v>86510.31</v>
      </c>
      <c r="AS83" s="538">
        <f>IF(Table159[[#This Row],[PCTS Approved]]="N",0,Table159[[#This Row],[Investment Amount (1'#'#'#'#'#)]]+Table159[[#This Row],[Retirement Amount (3'#'#'#'#'#)]])</f>
        <v>656695.94999999995</v>
      </c>
      <c r="AT83" s="538">
        <f>IF(Table159[[#This Row],[Approved Construction Cost]]=0,0,Table159[[#This Row],[Approved Construction Cost]]-Table159[[#This Row],[Construction Cost to Bill From]])</f>
        <v>136952.07999999996</v>
      </c>
      <c r="AU83" s="538">
        <f>IFERROR(Table159[[#This Row],[Difference in Construction Cost]]*Table159[[#This Row],[Rate]],Table159[[#This Row],[Difference in Construction Cost]]*0.085)</f>
        <v>13695.207999999997</v>
      </c>
      <c r="AV83" s="718">
        <v>0</v>
      </c>
      <c r="AW83" s="805" t="s">
        <v>6834</v>
      </c>
      <c r="AX83" s="555"/>
      <c r="AY83" s="636" t="s">
        <v>709</v>
      </c>
      <c r="AZ83" s="443">
        <v>125</v>
      </c>
      <c r="BA83" s="670" t="s">
        <v>1723</v>
      </c>
      <c r="BB83" s="671" t="s">
        <v>854</v>
      </c>
      <c r="BC83" s="479" t="s">
        <v>709</v>
      </c>
      <c r="BD83" s="554" t="s">
        <v>862</v>
      </c>
      <c r="BE83" s="588" t="s">
        <v>855</v>
      </c>
      <c r="BF83" s="588" t="s">
        <v>709</v>
      </c>
      <c r="BG83" s="483" t="s">
        <v>1724</v>
      </c>
      <c r="BH83" s="615" t="s">
        <v>1725</v>
      </c>
      <c r="BI83" s="535" t="s">
        <v>709</v>
      </c>
      <c r="BJ83" s="549" t="s">
        <v>709</v>
      </c>
      <c r="BK83" s="547" t="s">
        <v>709</v>
      </c>
      <c r="BL83" s="547" t="s">
        <v>116</v>
      </c>
      <c r="BM83" s="626" t="s">
        <v>709</v>
      </c>
      <c r="BN83" s="549" t="s">
        <v>709</v>
      </c>
      <c r="BO83" s="626" t="s">
        <v>709</v>
      </c>
      <c r="BP83" s="626" t="s">
        <v>709</v>
      </c>
      <c r="BQ83" s="549">
        <v>1301</v>
      </c>
      <c r="BR83" s="549" t="s">
        <v>709</v>
      </c>
      <c r="BS83" s="549">
        <v>469</v>
      </c>
      <c r="BT83" s="549" t="s">
        <v>709</v>
      </c>
      <c r="BU83" s="549" t="s">
        <v>709</v>
      </c>
      <c r="BV83" s="549" t="s">
        <v>709</v>
      </c>
      <c r="BW83" s="549" t="s">
        <v>709</v>
      </c>
      <c r="BX83" s="547" t="s">
        <v>709</v>
      </c>
      <c r="BY83" s="549" t="s">
        <v>709</v>
      </c>
      <c r="BZ83" s="483"/>
    </row>
    <row r="84" spans="1:78" ht="15" hidden="1" customHeight="1" x14ac:dyDescent="0.25">
      <c r="A84" s="8">
        <v>2024</v>
      </c>
      <c r="B84" s="8" t="s">
        <v>4</v>
      </c>
      <c r="C84" s="8" t="s">
        <v>1726</v>
      </c>
      <c r="D84" s="8" t="s">
        <v>1727</v>
      </c>
      <c r="E84" s="8" t="s">
        <v>850</v>
      </c>
      <c r="F84" s="8" t="s">
        <v>851</v>
      </c>
      <c r="G84" s="8" t="s">
        <v>26</v>
      </c>
      <c r="H84" s="8" t="s">
        <v>59</v>
      </c>
      <c r="I84" s="642">
        <v>45191</v>
      </c>
      <c r="J84" s="18">
        <v>45350</v>
      </c>
      <c r="K84" s="97">
        <v>45348</v>
      </c>
      <c r="L84" s="16">
        <f>IF(ISTEXT(Table159[[#This Row],[Engineering Approved Design Date]]),Table159[[#This Row],[Date Completed]]-Table159[[#This Row],[Date Assigned to Designer]],Table159[[#This Row],[Engineering Approved Design Date]]-Table159[[#This Row],[Date Completed]])</f>
        <v>2</v>
      </c>
      <c r="M84" s="642"/>
      <c r="N84" s="642" t="s">
        <v>120</v>
      </c>
      <c r="O84" s="510">
        <v>45352</v>
      </c>
      <c r="P84" s="221" t="s">
        <v>739</v>
      </c>
      <c r="Q84" s="70">
        <f>Table159[[#This Row],[Rate]]*Table159[[#This Row],[Construction Cost to Bill From]]</f>
        <v>42993.122000000003</v>
      </c>
      <c r="R84" s="75">
        <v>0.1</v>
      </c>
      <c r="U84" s="87"/>
      <c r="V84" s="437">
        <v>1419</v>
      </c>
      <c r="W84" s="437">
        <v>0</v>
      </c>
      <c r="X84" s="70">
        <v>411689.63</v>
      </c>
      <c r="Y84" s="550"/>
      <c r="Z84" s="570">
        <v>18241.59</v>
      </c>
      <c r="AA84" s="300">
        <f>Table159[[#This Row],[PCTS Investment Amount]]+Table159[[#This Row],[PCTS Retirement Amount]]</f>
        <v>429931.22000000003</v>
      </c>
      <c r="AB84" s="207">
        <v>45329</v>
      </c>
      <c r="AC84" s="22" t="s">
        <v>709</v>
      </c>
      <c r="AD84" s="108" t="s">
        <v>29</v>
      </c>
      <c r="AE84" s="187" t="s">
        <v>116</v>
      </c>
      <c r="AF84" s="568" t="s">
        <v>116</v>
      </c>
      <c r="AG84" s="183">
        <v>45366</v>
      </c>
      <c r="AH84" s="356">
        <v>45366</v>
      </c>
      <c r="AI84" s="499">
        <v>0</v>
      </c>
      <c r="AJ84" s="541">
        <v>2142</v>
      </c>
      <c r="AK84" s="541">
        <v>656.625</v>
      </c>
      <c r="AL84" s="494">
        <f>SUM(Table159[[#This Row],[Nicor Initiated DBE]:[Staffing]])/(Table159[[#This Row],[Amount Invoiced]])</f>
        <v>6.509471445223261E-2</v>
      </c>
      <c r="AM84" s="21" t="s">
        <v>116</v>
      </c>
      <c r="AN84" s="801">
        <v>45525</v>
      </c>
      <c r="AO84" s="806">
        <v>11089739</v>
      </c>
      <c r="AP84" s="788">
        <v>461071.23</v>
      </c>
      <c r="AQ84" s="788"/>
      <c r="AR84" s="788">
        <v>21389.64</v>
      </c>
      <c r="AS84" s="538">
        <f>IF(Table159[[#This Row],[PCTS Approved]]="N",0,Table159[[#This Row],[Investment Amount (1'#'#'#'#'#)]]+Table159[[#This Row],[Retirement Amount (3'#'#'#'#'#)]])</f>
        <v>482460.87</v>
      </c>
      <c r="AT84" s="538">
        <f>IF(Table159[[#This Row],[Approved Construction Cost]]=0,0,Table159[[#This Row],[Approved Construction Cost]]-Table159[[#This Row],[Construction Cost to Bill From]])</f>
        <v>52529.649999999965</v>
      </c>
      <c r="AU84" s="538">
        <f>IFERROR(Table159[[#This Row],[Difference in Construction Cost]]*Table159[[#This Row],[Rate]],Table159[[#This Row],[Difference in Construction Cost]]*0.085)</f>
        <v>5252.9649999999965</v>
      </c>
      <c r="AV84" s="718">
        <v>0</v>
      </c>
      <c r="AW84" s="805" t="s">
        <v>6835</v>
      </c>
      <c r="AX84" s="555"/>
      <c r="AY84" s="636" t="s">
        <v>709</v>
      </c>
      <c r="AZ84" s="443">
        <v>126</v>
      </c>
      <c r="BA84" s="670" t="s">
        <v>1728</v>
      </c>
      <c r="BB84" s="671" t="s">
        <v>854</v>
      </c>
      <c r="BC84" s="479" t="s">
        <v>709</v>
      </c>
      <c r="BD84" s="554" t="s">
        <v>862</v>
      </c>
      <c r="BE84" s="588" t="s">
        <v>855</v>
      </c>
      <c r="BF84" s="588" t="s">
        <v>709</v>
      </c>
      <c r="BG84" s="483" t="s">
        <v>1724</v>
      </c>
      <c r="BH84" s="615" t="s">
        <v>1729</v>
      </c>
      <c r="BI84" s="535" t="s">
        <v>709</v>
      </c>
      <c r="BJ84" s="549" t="s">
        <v>709</v>
      </c>
      <c r="BK84" s="547" t="s">
        <v>709</v>
      </c>
      <c r="BL84" s="547" t="s">
        <v>116</v>
      </c>
      <c r="BM84" s="626" t="s">
        <v>709</v>
      </c>
      <c r="BN84" s="549" t="s">
        <v>709</v>
      </c>
      <c r="BO84" s="626" t="s">
        <v>709</v>
      </c>
      <c r="BP84" s="626" t="s">
        <v>709</v>
      </c>
      <c r="BQ84" s="549">
        <v>1301</v>
      </c>
      <c r="BR84" s="549" t="s">
        <v>709</v>
      </c>
      <c r="BS84" s="549">
        <v>469</v>
      </c>
      <c r="BT84" s="549" t="s">
        <v>709</v>
      </c>
      <c r="BU84" s="549" t="s">
        <v>709</v>
      </c>
      <c r="BV84" s="549" t="s">
        <v>709</v>
      </c>
      <c r="BW84" s="549" t="s">
        <v>709</v>
      </c>
      <c r="BX84" s="547" t="s">
        <v>709</v>
      </c>
      <c r="BY84" s="549" t="s">
        <v>709</v>
      </c>
      <c r="BZ84" s="483"/>
    </row>
    <row r="85" spans="1:78" ht="15" hidden="1" customHeight="1" x14ac:dyDescent="0.25">
      <c r="A85" s="8" t="s">
        <v>800</v>
      </c>
      <c r="B85" s="8" t="s">
        <v>4</v>
      </c>
      <c r="C85" s="8" t="s">
        <v>1134</v>
      </c>
      <c r="D85" s="8" t="s">
        <v>1135</v>
      </c>
      <c r="E85" s="8" t="s">
        <v>1136</v>
      </c>
      <c r="F85" s="8" t="s">
        <v>784</v>
      </c>
      <c r="G85" s="8" t="s">
        <v>26</v>
      </c>
      <c r="H85" s="8" t="s">
        <v>59</v>
      </c>
      <c r="I85" s="642">
        <v>45321</v>
      </c>
      <c r="J85" s="18">
        <v>45450</v>
      </c>
      <c r="K85" s="97">
        <v>45447</v>
      </c>
      <c r="L85" s="16">
        <f>IF(ISTEXT(Table159[[#This Row],[Engineering Approved Design Date]]),Table159[[#This Row],[Date Completed]]-Table159[[#This Row],[Date Assigned to Designer]],Table159[[#This Row],[Engineering Approved Design Date]]-Table159[[#This Row],[Date Completed]])</f>
        <v>3</v>
      </c>
      <c r="M85" s="642"/>
      <c r="N85" s="642" t="s">
        <v>120</v>
      </c>
      <c r="O85" s="510">
        <v>45444</v>
      </c>
      <c r="P85" s="221" t="s">
        <v>739</v>
      </c>
      <c r="Q85" s="70">
        <f>Table159[[#This Row],[Rate]]*Table159[[#This Row],[Construction Cost to Bill From]]</f>
        <v>223755.73100000003</v>
      </c>
      <c r="R85" s="75">
        <v>0.1</v>
      </c>
      <c r="U85" s="87"/>
      <c r="V85" s="437">
        <v>3851</v>
      </c>
      <c r="W85" s="437">
        <v>0</v>
      </c>
      <c r="X85" s="24">
        <v>1907783.6799999999</v>
      </c>
      <c r="Y85" s="551"/>
      <c r="Z85" s="552">
        <v>329773.63</v>
      </c>
      <c r="AA85" s="300">
        <f>SUM(Table159[[#This Row],[PCTS Investment Amount]:[PCTS Retirement Amount]])</f>
        <v>2237557.31</v>
      </c>
      <c r="AB85" s="207">
        <v>45433</v>
      </c>
      <c r="AC85" s="22" t="s">
        <v>116</v>
      </c>
      <c r="AD85" s="22" t="s">
        <v>29</v>
      </c>
      <c r="AE85" s="187" t="s">
        <v>116</v>
      </c>
      <c r="AF85" s="568" t="s">
        <v>116</v>
      </c>
      <c r="AG85" s="568" t="s">
        <v>116</v>
      </c>
      <c r="AH85" s="356">
        <v>45525</v>
      </c>
      <c r="AI85" s="426">
        <v>17900</v>
      </c>
      <c r="AJ85" s="542">
        <v>8218.34</v>
      </c>
      <c r="AK85" s="1467">
        <v>13090.25</v>
      </c>
      <c r="AL85" s="493">
        <f>SUM(Table159[[#This Row],[Nicor Initiated DBE]:[Staffing]])/(Table159[[#This Row],[Amount Invoiced]])</f>
        <v>0.17522943356476528</v>
      </c>
      <c r="AM85" s="21" t="s">
        <v>116</v>
      </c>
      <c r="AN85" s="801">
        <v>45484</v>
      </c>
      <c r="AO85" s="806">
        <v>11086100</v>
      </c>
      <c r="AP85" s="788">
        <v>1907783.6799999999</v>
      </c>
      <c r="AQ85" s="788"/>
      <c r="AR85" s="788">
        <v>329053.63</v>
      </c>
      <c r="AS85" s="538">
        <f>IF(Table159[[#This Row],[PCTS Approved]]="N",0,Table159[[#This Row],[Investment Amount (1'#'#'#'#'#)]]+Table159[[#This Row],[Retirement Amount (3'#'#'#'#'#)]])</f>
        <v>2236837.31</v>
      </c>
      <c r="AT85" s="538">
        <f>IF(Table159[[#This Row],[Approved Construction Cost]]=0,0,Table159[[#This Row],[Approved Construction Cost]]-Table159[[#This Row],[Construction Cost to Bill From]])</f>
        <v>-720</v>
      </c>
      <c r="AU85" s="538">
        <f>IFERROR(Table159[[#This Row],[Difference in Construction Cost]]*Table159[[#This Row],[Rate]],Table159[[#This Row],[Difference in Construction Cost]]*0.085)</f>
        <v>-72</v>
      </c>
      <c r="AV85" s="718">
        <v>0</v>
      </c>
      <c r="AW85" s="660" t="s">
        <v>6836</v>
      </c>
      <c r="AX85" s="555"/>
      <c r="AY85" s="636" t="s">
        <v>709</v>
      </c>
      <c r="AZ85" s="443">
        <v>142</v>
      </c>
      <c r="BA85" s="643" t="s">
        <v>1138</v>
      </c>
      <c r="BB85" s="644" t="s">
        <v>1139</v>
      </c>
      <c r="BC85" s="479" t="s">
        <v>709</v>
      </c>
      <c r="BD85" s="554" t="s">
        <v>1140</v>
      </c>
      <c r="BE85" s="588" t="s">
        <v>709</v>
      </c>
      <c r="BF85" s="588" t="s">
        <v>745</v>
      </c>
      <c r="BG85" s="483" t="s">
        <v>29</v>
      </c>
      <c r="BH85" s="615" t="s">
        <v>1141</v>
      </c>
      <c r="BI85" s="535" t="s">
        <v>709</v>
      </c>
      <c r="BJ85" s="547" t="s">
        <v>709</v>
      </c>
      <c r="BK85" s="547" t="s">
        <v>116</v>
      </c>
      <c r="BL85" s="547" t="s">
        <v>116</v>
      </c>
      <c r="BM85" s="547" t="s">
        <v>709</v>
      </c>
      <c r="BN85" s="547">
        <v>381</v>
      </c>
      <c r="BO85" s="547" t="s">
        <v>709</v>
      </c>
      <c r="BP85" s="626" t="s">
        <v>709</v>
      </c>
      <c r="BQ85" s="626" t="s">
        <v>709</v>
      </c>
      <c r="BR85" s="549">
        <v>369</v>
      </c>
      <c r="BS85" s="549">
        <v>3101</v>
      </c>
      <c r="BT85" s="547" t="s">
        <v>709</v>
      </c>
      <c r="BU85" s="547" t="s">
        <v>709</v>
      </c>
      <c r="BV85" s="547" t="s">
        <v>709</v>
      </c>
      <c r="BW85" s="547" t="s">
        <v>709</v>
      </c>
      <c r="BX85" s="547" t="s">
        <v>709</v>
      </c>
      <c r="BY85" s="547" t="s">
        <v>709</v>
      </c>
      <c r="BZ85" s="483" t="s">
        <v>29</v>
      </c>
    </row>
    <row r="86" spans="1:78" ht="15" hidden="1" customHeight="1" x14ac:dyDescent="0.25">
      <c r="A86" s="8">
        <v>2023</v>
      </c>
      <c r="B86" s="8" t="s">
        <v>771</v>
      </c>
      <c r="C86" s="8" t="s">
        <v>1527</v>
      </c>
      <c r="D86" s="8" t="s">
        <v>1528</v>
      </c>
      <c r="E86" s="8" t="s">
        <v>1529</v>
      </c>
      <c r="F86" s="8" t="s">
        <v>784</v>
      </c>
      <c r="G86" s="8" t="s">
        <v>32</v>
      </c>
      <c r="H86" s="8" t="s">
        <v>59</v>
      </c>
      <c r="I86" s="642">
        <v>45006</v>
      </c>
      <c r="J86" s="18">
        <v>45098</v>
      </c>
      <c r="K86" s="97">
        <v>45085</v>
      </c>
      <c r="L86" s="16">
        <f>IF(ISTEXT(Table159[[#This Row],[Engineering Approved Design Date]]),Table159[[#This Row],[Date Completed]]-Table159[[#This Row],[Date Assigned to Designer]],Table159[[#This Row],[Engineering Approved Design Date]]-Table159[[#This Row],[Date Completed]])</f>
        <v>13</v>
      </c>
      <c r="M86" s="642"/>
      <c r="N86" s="642" t="s">
        <v>120</v>
      </c>
      <c r="O86" s="510">
        <f>Table159[[#This Row],[Date Completed]]</f>
        <v>45085</v>
      </c>
      <c r="P86" s="221" t="s">
        <v>120</v>
      </c>
      <c r="Q86" s="70">
        <f>Table159[[#This Row],[Rate]]*Table159[[#This Row],[Construction Cost to Bill From]]</f>
        <v>44915.480100000001</v>
      </c>
      <c r="R86" s="75">
        <v>0.09</v>
      </c>
      <c r="U86" s="87"/>
      <c r="V86" s="437">
        <v>1694</v>
      </c>
      <c r="W86" s="437">
        <v>0</v>
      </c>
      <c r="X86" s="24">
        <v>456922.55</v>
      </c>
      <c r="Y86" s="592"/>
      <c r="Z86" s="552">
        <v>42138.34</v>
      </c>
      <c r="AA86" s="300">
        <f>SUM(Table159[[#This Row],[PCTS Investment Amount]:[PCTS Retirement Amount]])</f>
        <v>499060.89</v>
      </c>
      <c r="AB86" s="207">
        <v>45086</v>
      </c>
      <c r="AC86" s="108" t="s">
        <v>29</v>
      </c>
      <c r="AD86" s="108" t="s">
        <v>116</v>
      </c>
      <c r="AE86" s="349"/>
      <c r="AF86" s="568" t="s">
        <v>116</v>
      </c>
      <c r="AG86" s="568" t="s">
        <v>116</v>
      </c>
      <c r="AH86" s="354"/>
      <c r="AI86" s="489"/>
      <c r="AJ86" s="553"/>
      <c r="AK86" s="553"/>
      <c r="AL86" s="495"/>
      <c r="AM86" s="21" t="s">
        <v>116</v>
      </c>
      <c r="AN86" s="680" t="s">
        <v>709</v>
      </c>
      <c r="AO86" s="601" t="s">
        <v>115</v>
      </c>
      <c r="AP86" s="572"/>
      <c r="AQ86" s="572"/>
      <c r="AR86" s="572"/>
      <c r="AS86" s="538">
        <f>IF(Table159[[#This Row],[PCTS Approved]]="N",0,Table159[[#This Row],[Investment Amount (1'#'#'#'#'#)]]+Table159[[#This Row],[Retirement Amount (3'#'#'#'#'#)]])</f>
        <v>0</v>
      </c>
      <c r="AT86" s="538">
        <f>IF(Table159[[#This Row],[Approved Construction Cost]]=0,0,Table159[[#This Row],[Approved Construction Cost]]-Table159[[#This Row],[Construction Cost to Bill From]])</f>
        <v>0</v>
      </c>
      <c r="AU86" s="538">
        <f>IFERROR(Table159[[#This Row],[Difference in Construction Cost]]*Table159[[#This Row],[Rate]],Table159[[#This Row],[Difference in Construction Cost]]*0.085)</f>
        <v>0</v>
      </c>
      <c r="AV86" s="572"/>
      <c r="AW86" s="639"/>
      <c r="AX86" s="538"/>
      <c r="AY86" s="636" t="s">
        <v>709</v>
      </c>
      <c r="AZ86" s="443">
        <v>46</v>
      </c>
      <c r="BA86" s="652" t="s">
        <v>1530</v>
      </c>
      <c r="BB86" s="644" t="s">
        <v>1531</v>
      </c>
      <c r="BC86" s="478" t="s">
        <v>709</v>
      </c>
      <c r="BD86" s="544" t="s">
        <v>882</v>
      </c>
      <c r="BE86" s="544" t="s">
        <v>581</v>
      </c>
      <c r="BF86" s="544" t="s">
        <v>115</v>
      </c>
      <c r="BG86" s="512" t="s">
        <v>115</v>
      </c>
      <c r="BH86" s="741" t="s">
        <v>1532</v>
      </c>
      <c r="BI86" s="535" t="s">
        <v>709</v>
      </c>
      <c r="BJ86" s="547" t="s">
        <v>709</v>
      </c>
      <c r="BK86" s="547" t="s">
        <v>709</v>
      </c>
      <c r="BL86" s="547" t="s">
        <v>116</v>
      </c>
      <c r="BM86" s="547" t="s">
        <v>709</v>
      </c>
      <c r="BN86" s="547" t="s">
        <v>709</v>
      </c>
      <c r="BO86" s="547" t="s">
        <v>709</v>
      </c>
      <c r="BP86" s="547" t="s">
        <v>709</v>
      </c>
      <c r="BQ86" s="547" t="s">
        <v>709</v>
      </c>
      <c r="BR86" s="547" t="s">
        <v>709</v>
      </c>
      <c r="BS86" s="547">
        <v>1694</v>
      </c>
      <c r="BT86" s="547" t="s">
        <v>745</v>
      </c>
      <c r="BU86" s="547" t="s">
        <v>709</v>
      </c>
      <c r="BV86" s="547" t="s">
        <v>745</v>
      </c>
      <c r="BW86" s="547" t="s">
        <v>709</v>
      </c>
      <c r="BX86" s="547" t="s">
        <v>745</v>
      </c>
      <c r="BY86" s="547" t="s">
        <v>745</v>
      </c>
      <c r="BZ86" s="483"/>
    </row>
    <row r="87" spans="1:78" ht="15" hidden="1" customHeight="1" x14ac:dyDescent="0.25">
      <c r="A87" s="8">
        <v>2023</v>
      </c>
      <c r="B87" s="8" t="s">
        <v>769</v>
      </c>
      <c r="C87" s="8" t="s">
        <v>1578</v>
      </c>
      <c r="D87" s="8" t="s">
        <v>1579</v>
      </c>
      <c r="E87" s="8" t="s">
        <v>232</v>
      </c>
      <c r="F87" s="8" t="s">
        <v>747</v>
      </c>
      <c r="G87" s="8" t="s">
        <v>32</v>
      </c>
      <c r="H87" s="13" t="s">
        <v>59</v>
      </c>
      <c r="I87" s="642">
        <v>45056</v>
      </c>
      <c r="J87" s="18">
        <v>45145</v>
      </c>
      <c r="K87" s="175">
        <v>45128</v>
      </c>
      <c r="L87" s="16">
        <f>IF(ISTEXT(Table159[[#This Row],[Engineering Approved Design Date]]),Table159[[#This Row],[Date Completed]]-Table159[[#This Row],[Date Assigned to Designer]],Table159[[#This Row],[Engineering Approved Design Date]]-Table159[[#This Row],[Date Completed]])</f>
        <v>17</v>
      </c>
      <c r="M87" s="642"/>
      <c r="N87" s="642" t="s">
        <v>120</v>
      </c>
      <c r="O87" s="510">
        <v>45108</v>
      </c>
      <c r="P87" s="221" t="s">
        <v>739</v>
      </c>
      <c r="Q87" s="70">
        <f>Table159[[#This Row],[Rate]]*Table159[[#This Row],[Construction Cost to Bill From]]</f>
        <v>18842.86</v>
      </c>
      <c r="R87" s="75">
        <v>0.08</v>
      </c>
      <c r="U87" s="87"/>
      <c r="V87" s="437">
        <v>27</v>
      </c>
      <c r="W87" s="437">
        <v>0</v>
      </c>
      <c r="X87" s="94">
        <v>188113.79</v>
      </c>
      <c r="Y87" s="592"/>
      <c r="Z87" s="552">
        <v>47421.96</v>
      </c>
      <c r="AA87" s="300">
        <f>Table159[[#This Row],[PCTS Retirement Amount]]+Table159[[#This Row],[PCTS Investment Amount]]</f>
        <v>235535.75</v>
      </c>
      <c r="AB87" s="207">
        <v>45132</v>
      </c>
      <c r="AC87" s="108" t="s">
        <v>1177</v>
      </c>
      <c r="AD87" s="108" t="s">
        <v>29</v>
      </c>
      <c r="AE87" s="187" t="s">
        <v>29</v>
      </c>
      <c r="AF87" s="568" t="s">
        <v>116</v>
      </c>
      <c r="AG87" s="568" t="s">
        <v>116</v>
      </c>
      <c r="AH87" s="356" t="s">
        <v>116</v>
      </c>
      <c r="AI87" s="489"/>
      <c r="AJ87" s="553"/>
      <c r="AK87" s="553"/>
      <c r="AL87" s="495"/>
      <c r="AM87" s="21" t="s">
        <v>116</v>
      </c>
      <c r="AN87" s="680" t="s">
        <v>709</v>
      </c>
      <c r="AO87" s="601" t="s">
        <v>115</v>
      </c>
      <c r="AP87" s="572"/>
      <c r="AQ87" s="572"/>
      <c r="AR87" s="572"/>
      <c r="AS87" s="538">
        <f>IF(Table159[[#This Row],[PCTS Approved]]="N",0,Table159[[#This Row],[Investment Amount (1'#'#'#'#'#)]]+Table159[[#This Row],[Retirement Amount (3'#'#'#'#'#)]])</f>
        <v>0</v>
      </c>
      <c r="AT87" s="538">
        <f>IF(Table159[[#This Row],[Approved Construction Cost]]=0,0,Table159[[#This Row],[Approved Construction Cost]]-Table159[[#This Row],[Construction Cost to Bill From]])</f>
        <v>0</v>
      </c>
      <c r="AU87" s="538">
        <f>IFERROR(Table159[[#This Row],[Difference in Construction Cost]]*Table159[[#This Row],[Rate]],Table159[[#This Row],[Difference in Construction Cost]]*0.085)</f>
        <v>0</v>
      </c>
      <c r="AV87" s="572"/>
      <c r="AW87" s="639"/>
      <c r="AX87" s="538"/>
      <c r="AY87" s="636" t="s">
        <v>709</v>
      </c>
      <c r="AZ87" s="443">
        <v>16</v>
      </c>
      <c r="BA87" s="652" t="s">
        <v>1580</v>
      </c>
      <c r="BB87" s="644" t="s">
        <v>1581</v>
      </c>
      <c r="BC87" s="478" t="s">
        <v>709</v>
      </c>
      <c r="BD87" s="544" t="s">
        <v>837</v>
      </c>
      <c r="BE87" s="544" t="s">
        <v>595</v>
      </c>
      <c r="BF87" s="544" t="s">
        <v>595</v>
      </c>
      <c r="BG87" s="512" t="s">
        <v>1582</v>
      </c>
      <c r="BH87" s="741" t="s">
        <v>1583</v>
      </c>
      <c r="BI87" s="535" t="s">
        <v>709</v>
      </c>
      <c r="BJ87" s="547" t="s">
        <v>709</v>
      </c>
      <c r="BK87" s="547" t="s">
        <v>116</v>
      </c>
      <c r="BL87" s="547" t="s">
        <v>116</v>
      </c>
      <c r="BM87" s="547" t="s">
        <v>709</v>
      </c>
      <c r="BN87" s="547" t="s">
        <v>709</v>
      </c>
      <c r="BO87" s="547" t="s">
        <v>709</v>
      </c>
      <c r="BP87" s="547" t="s">
        <v>709</v>
      </c>
      <c r="BQ87" s="547" t="s">
        <v>709</v>
      </c>
      <c r="BR87" s="547">
        <v>27</v>
      </c>
      <c r="BS87" s="547" t="s">
        <v>709</v>
      </c>
      <c r="BT87" s="547" t="s">
        <v>709</v>
      </c>
      <c r="BU87" s="547" t="s">
        <v>709</v>
      </c>
      <c r="BV87" s="547" t="s">
        <v>709</v>
      </c>
      <c r="BW87" s="547" t="s">
        <v>709</v>
      </c>
      <c r="BX87" s="547" t="s">
        <v>709</v>
      </c>
      <c r="BY87" s="547">
        <v>1</v>
      </c>
      <c r="BZ87" s="483" t="s">
        <v>769</v>
      </c>
    </row>
    <row r="88" spans="1:78" ht="15" hidden="1" customHeight="1" x14ac:dyDescent="0.25">
      <c r="A88" s="8">
        <v>2023</v>
      </c>
      <c r="B88" s="8" t="s">
        <v>771</v>
      </c>
      <c r="C88" s="8" t="s">
        <v>580</v>
      </c>
      <c r="D88" s="8" t="s">
        <v>1584</v>
      </c>
      <c r="E88" s="8" t="s">
        <v>1529</v>
      </c>
      <c r="F88" s="8" t="s">
        <v>784</v>
      </c>
      <c r="G88" s="8" t="s">
        <v>32</v>
      </c>
      <c r="H88" s="13" t="s">
        <v>59</v>
      </c>
      <c r="I88" s="642">
        <v>45006</v>
      </c>
      <c r="J88" s="18">
        <v>45128</v>
      </c>
      <c r="K88" s="175">
        <v>45128</v>
      </c>
      <c r="L88" s="16">
        <f>IF(ISTEXT(Table159[[#This Row],[Engineering Approved Design Date]]),Table159[[#This Row],[Date Completed]]-Table159[[#This Row],[Date Assigned to Designer]],Table159[[#This Row],[Engineering Approved Design Date]]-Table159[[#This Row],[Date Completed]])</f>
        <v>0</v>
      </c>
      <c r="M88" s="642"/>
      <c r="N88" s="642" t="s">
        <v>120</v>
      </c>
      <c r="O88" s="510">
        <v>45139</v>
      </c>
      <c r="P88" s="221" t="s">
        <v>120</v>
      </c>
      <c r="Q88" s="70">
        <f>Table159[[#This Row],[Rate]]*Table159[[#This Row],[Construction Cost to Bill From]]</f>
        <v>172700.64400000003</v>
      </c>
      <c r="R88" s="75">
        <v>0.04</v>
      </c>
      <c r="U88" s="87"/>
      <c r="V88" s="437">
        <v>16406</v>
      </c>
      <c r="W88" s="437">
        <v>0</v>
      </c>
      <c r="X88" s="106">
        <v>4176248.62</v>
      </c>
      <c r="Y88" s="551"/>
      <c r="Z88" s="552">
        <v>141267.48000000001</v>
      </c>
      <c r="AA88" s="300">
        <f>Table159[[#This Row],[PCTS Retirement Amount]]+Table159[[#This Row],[PCTS Investment Amount]]</f>
        <v>4317516.1000000006</v>
      </c>
      <c r="AB88" s="207">
        <v>45133</v>
      </c>
      <c r="AC88" s="108" t="s">
        <v>1441</v>
      </c>
      <c r="AD88" s="108" t="s">
        <v>116</v>
      </c>
      <c r="AE88" s="187" t="s">
        <v>756</v>
      </c>
      <c r="AF88" s="568" t="s">
        <v>116</v>
      </c>
      <c r="AG88" s="568" t="s">
        <v>709</v>
      </c>
      <c r="AH88" s="356" t="s">
        <v>709</v>
      </c>
      <c r="AI88" s="489"/>
      <c r="AJ88" s="553"/>
      <c r="AK88" s="553"/>
      <c r="AL88" s="495"/>
      <c r="AM88" s="21" t="s">
        <v>116</v>
      </c>
      <c r="AN88" s="680" t="s">
        <v>709</v>
      </c>
      <c r="AO88" s="601">
        <v>11068638</v>
      </c>
      <c r="AP88" s="572"/>
      <c r="AQ88" s="572"/>
      <c r="AR88" s="572"/>
      <c r="AS88" s="538">
        <f>IF(Table159[[#This Row],[PCTS Approved]]="N",0,Table159[[#This Row],[Investment Amount (1'#'#'#'#'#)]]+Table159[[#This Row],[Retirement Amount (3'#'#'#'#'#)]])</f>
        <v>0</v>
      </c>
      <c r="AT88" s="538">
        <f>IF(Table159[[#This Row],[Approved Construction Cost]]=0,0,Table159[[#This Row],[Approved Construction Cost]]-Table159[[#This Row],[Construction Cost to Bill From]])</f>
        <v>0</v>
      </c>
      <c r="AU88" s="538">
        <f>IFERROR(Table159[[#This Row],[Difference in Construction Cost]]*Table159[[#This Row],[Rate]],Table159[[#This Row],[Difference in Construction Cost]]*0.085)</f>
        <v>0</v>
      </c>
      <c r="AV88" s="572"/>
      <c r="AW88" s="639"/>
      <c r="AX88" s="538"/>
      <c r="AY88" s="636" t="s">
        <v>709</v>
      </c>
      <c r="AZ88" s="443">
        <v>2</v>
      </c>
      <c r="BA88" s="652" t="s">
        <v>1585</v>
      </c>
      <c r="BB88" s="644" t="s">
        <v>1586</v>
      </c>
      <c r="BC88" s="478" t="s">
        <v>116</v>
      </c>
      <c r="BD88" s="544" t="s">
        <v>882</v>
      </c>
      <c r="BE88" s="544" t="s">
        <v>581</v>
      </c>
      <c r="BF88" s="544" t="s">
        <v>115</v>
      </c>
      <c r="BG88" s="512" t="s">
        <v>1496</v>
      </c>
      <c r="BH88" s="741" t="s">
        <v>1587</v>
      </c>
      <c r="BI88" s="528" t="s">
        <v>709</v>
      </c>
      <c r="BJ88" s="549" t="s">
        <v>709</v>
      </c>
      <c r="BK88" s="549" t="s">
        <v>709</v>
      </c>
      <c r="BL88" s="549" t="s">
        <v>116</v>
      </c>
      <c r="BM88" s="549" t="s">
        <v>709</v>
      </c>
      <c r="BN88" s="549" t="s">
        <v>709</v>
      </c>
      <c r="BO88" s="549" t="s">
        <v>709</v>
      </c>
      <c r="BP88" s="549">
        <v>3073</v>
      </c>
      <c r="BQ88" s="549">
        <v>1001</v>
      </c>
      <c r="BR88" s="549">
        <v>1733</v>
      </c>
      <c r="BS88" s="549">
        <v>10602</v>
      </c>
      <c r="BT88" s="549" t="s">
        <v>709</v>
      </c>
      <c r="BU88" s="549" t="s">
        <v>709</v>
      </c>
      <c r="BV88" s="549" t="s">
        <v>709</v>
      </c>
      <c r="BW88" s="549" t="s">
        <v>709</v>
      </c>
      <c r="BX88" s="549" t="s">
        <v>709</v>
      </c>
      <c r="BY88" s="549" t="s">
        <v>709</v>
      </c>
      <c r="BZ88" s="483"/>
    </row>
    <row r="89" spans="1:78" ht="15" hidden="1" customHeight="1" x14ac:dyDescent="0.25">
      <c r="A89" s="8">
        <v>2023</v>
      </c>
      <c r="B89" s="8" t="s">
        <v>769</v>
      </c>
      <c r="C89" s="8" t="s">
        <v>1595</v>
      </c>
      <c r="D89" s="8" t="s">
        <v>1596</v>
      </c>
      <c r="E89" s="8" t="s">
        <v>1597</v>
      </c>
      <c r="F89" s="8" t="s">
        <v>747</v>
      </c>
      <c r="G89" s="8" t="s">
        <v>32</v>
      </c>
      <c r="H89" s="13" t="s">
        <v>59</v>
      </c>
      <c r="I89" s="642">
        <v>45056</v>
      </c>
      <c r="J89" s="18">
        <v>45145</v>
      </c>
      <c r="K89" s="175">
        <v>45133</v>
      </c>
      <c r="L89" s="16">
        <f>IF(ISTEXT(Table159[[#This Row],[Engineering Approved Design Date]]),Table159[[#This Row],[Date Completed]]-Table159[[#This Row],[Date Assigned to Designer]],Table159[[#This Row],[Engineering Approved Design Date]]-Table159[[#This Row],[Date Completed]])</f>
        <v>12</v>
      </c>
      <c r="M89" s="642"/>
      <c r="N89" s="642" t="s">
        <v>120</v>
      </c>
      <c r="O89" s="510">
        <v>45139</v>
      </c>
      <c r="P89" s="221" t="s">
        <v>739</v>
      </c>
      <c r="Q89" s="70">
        <f>Table159[[#This Row],[Rate]]*Table159[[#This Row],[Construction Cost to Bill From]]</f>
        <v>10081.120800000001</v>
      </c>
      <c r="R89" s="75">
        <v>0.08</v>
      </c>
      <c r="U89" s="87"/>
      <c r="V89" s="437">
        <v>17</v>
      </c>
      <c r="W89" s="437">
        <v>0</v>
      </c>
      <c r="X89" s="94">
        <f>80666.59</f>
        <v>80666.59</v>
      </c>
      <c r="Y89" s="551"/>
      <c r="Z89" s="552">
        <f>45347.42</f>
        <v>45347.42</v>
      </c>
      <c r="AA89" s="300">
        <f>SUM(Table159[[#This Row],[PCTS Investment Amount]:[PCTS Retirement Amount]])</f>
        <v>126014.01</v>
      </c>
      <c r="AB89" s="207">
        <v>45142</v>
      </c>
      <c r="AC89" s="108" t="s">
        <v>1177</v>
      </c>
      <c r="AD89" s="108" t="s">
        <v>29</v>
      </c>
      <c r="AE89" s="187" t="s">
        <v>29</v>
      </c>
      <c r="AF89" s="568" t="s">
        <v>116</v>
      </c>
      <c r="AG89" s="568" t="s">
        <v>116</v>
      </c>
      <c r="AH89" s="356" t="s">
        <v>116</v>
      </c>
      <c r="AI89" s="489"/>
      <c r="AJ89" s="553"/>
      <c r="AK89" s="553"/>
      <c r="AL89" s="495"/>
      <c r="AM89" s="21" t="s">
        <v>116</v>
      </c>
      <c r="AN89" s="680" t="s">
        <v>709</v>
      </c>
      <c r="AO89" s="601" t="s">
        <v>115</v>
      </c>
      <c r="AP89" s="572"/>
      <c r="AQ89" s="572"/>
      <c r="AR89" s="572"/>
      <c r="AS89" s="538">
        <f>IF(Table159[[#This Row],[PCTS Approved]]="N",0,Table159[[#This Row],[Investment Amount (1'#'#'#'#'#)]]+Table159[[#This Row],[Retirement Amount (3'#'#'#'#'#)]])</f>
        <v>0</v>
      </c>
      <c r="AT89" s="538">
        <f>IF(Table159[[#This Row],[Approved Construction Cost]]=0,0,Table159[[#This Row],[Approved Construction Cost]]-Table159[[#This Row],[Construction Cost to Bill From]])</f>
        <v>0</v>
      </c>
      <c r="AU89" s="538">
        <f>IFERROR(Table159[[#This Row],[Difference in Construction Cost]]*Table159[[#This Row],[Rate]],Table159[[#This Row],[Difference in Construction Cost]]*0.085)</f>
        <v>0</v>
      </c>
      <c r="AV89" s="572"/>
      <c r="AW89" s="639"/>
      <c r="AX89" s="538"/>
      <c r="AY89" s="636" t="s">
        <v>709</v>
      </c>
      <c r="AZ89" s="443">
        <v>17</v>
      </c>
      <c r="BA89" s="652" t="s">
        <v>1598</v>
      </c>
      <c r="BB89" s="644" t="s">
        <v>1599</v>
      </c>
      <c r="BC89" s="478" t="s">
        <v>709</v>
      </c>
      <c r="BD89" s="544" t="s">
        <v>837</v>
      </c>
      <c r="BE89" s="544" t="s">
        <v>1600</v>
      </c>
      <c r="BF89" s="544" t="s">
        <v>1600</v>
      </c>
      <c r="BG89" s="512" t="s">
        <v>1582</v>
      </c>
      <c r="BH89" s="741" t="s">
        <v>1601</v>
      </c>
      <c r="BI89" s="535" t="s">
        <v>709</v>
      </c>
      <c r="BJ89" s="547" t="s">
        <v>709</v>
      </c>
      <c r="BK89" s="547" t="s">
        <v>116</v>
      </c>
      <c r="BL89" s="547" t="s">
        <v>116</v>
      </c>
      <c r="BM89" s="547" t="s">
        <v>709</v>
      </c>
      <c r="BN89" s="547" t="s">
        <v>709</v>
      </c>
      <c r="BO89" s="547" t="s">
        <v>709</v>
      </c>
      <c r="BP89" s="547" t="s">
        <v>709</v>
      </c>
      <c r="BQ89" s="547" t="s">
        <v>709</v>
      </c>
      <c r="BR89" s="547">
        <v>17</v>
      </c>
      <c r="BS89" s="547" t="s">
        <v>709</v>
      </c>
      <c r="BT89" s="547" t="s">
        <v>709</v>
      </c>
      <c r="BU89" s="547" t="s">
        <v>709</v>
      </c>
      <c r="BV89" s="547" t="s">
        <v>709</v>
      </c>
      <c r="BW89" s="547" t="s">
        <v>709</v>
      </c>
      <c r="BX89" s="547" t="s">
        <v>745</v>
      </c>
      <c r="BY89" s="547" t="s">
        <v>1602</v>
      </c>
      <c r="BZ89" s="483" t="s">
        <v>769</v>
      </c>
    </row>
    <row r="90" spans="1:78" ht="15" hidden="1" customHeight="1" x14ac:dyDescent="0.25">
      <c r="A90" s="8" t="s">
        <v>749</v>
      </c>
      <c r="B90" s="8" t="s">
        <v>730</v>
      </c>
      <c r="C90" s="8" t="s">
        <v>1533</v>
      </c>
      <c r="D90" s="8" t="s">
        <v>1534</v>
      </c>
      <c r="E90" s="8" t="s">
        <v>1535</v>
      </c>
      <c r="F90" s="8" t="s">
        <v>752</v>
      </c>
      <c r="G90" s="8" t="s">
        <v>24</v>
      </c>
      <c r="H90" s="8" t="s">
        <v>59</v>
      </c>
      <c r="I90" s="642">
        <v>44980</v>
      </c>
      <c r="J90" s="18">
        <v>45107</v>
      </c>
      <c r="K90" s="175">
        <v>45104</v>
      </c>
      <c r="L90" s="16">
        <f>IF(ISTEXT(Table159[[#This Row],[Engineering Approved Design Date]]),Table159[[#This Row],[Date Completed]]-Table159[[#This Row],[Date Assigned to Designer]],Table159[[#This Row],[Engineering Approved Design Date]]-Table159[[#This Row],[Date Completed]])</f>
        <v>3</v>
      </c>
      <c r="M90" s="642"/>
      <c r="N90" s="642" t="s">
        <v>120</v>
      </c>
      <c r="O90" s="510">
        <v>45108</v>
      </c>
      <c r="P90" s="221" t="s">
        <v>120</v>
      </c>
      <c r="Q90" s="70">
        <f>Table159[[#This Row],[Rate]]*Table159[[#This Row],[Construction Cost to Bill From]]</f>
        <v>62040.957299999995</v>
      </c>
      <c r="R90" s="75">
        <v>0.09</v>
      </c>
      <c r="U90" s="87"/>
      <c r="V90" s="437">
        <v>1876</v>
      </c>
      <c r="W90" s="437">
        <v>2</v>
      </c>
      <c r="X90" s="24">
        <v>595893.63</v>
      </c>
      <c r="Y90" s="592">
        <v>45049</v>
      </c>
      <c r="Z90" s="552">
        <v>93450.34</v>
      </c>
      <c r="AA90" s="300">
        <f>Table159[[#This Row],[PCTS Investment Amount]]+Table159[[#This Row],[PCTS Retirement Amount]]</f>
        <v>689343.97</v>
      </c>
      <c r="AB90" s="207">
        <v>45083</v>
      </c>
      <c r="AC90" s="108" t="s">
        <v>29</v>
      </c>
      <c r="AD90" s="108" t="s">
        <v>29</v>
      </c>
      <c r="AE90" s="187" t="s">
        <v>116</v>
      </c>
      <c r="AF90" s="568" t="s">
        <v>756</v>
      </c>
      <c r="AG90" s="568" t="s">
        <v>116</v>
      </c>
      <c r="AH90" s="356" t="s">
        <v>116</v>
      </c>
      <c r="AI90" s="489"/>
      <c r="AJ90" s="553"/>
      <c r="AK90" s="553"/>
      <c r="AL90" s="495"/>
      <c r="AM90" s="21" t="s">
        <v>116</v>
      </c>
      <c r="AN90" s="680" t="s">
        <v>709</v>
      </c>
      <c r="AO90" s="601">
        <v>11059557</v>
      </c>
      <c r="AP90" s="572"/>
      <c r="AQ90" s="572"/>
      <c r="AR90" s="572"/>
      <c r="AS90" s="538">
        <f>IF(Table159[[#This Row],[PCTS Approved]]="N",0,Table159[[#This Row],[Investment Amount (1'#'#'#'#'#)]]+Table159[[#This Row],[Retirement Amount (3'#'#'#'#'#)]])</f>
        <v>0</v>
      </c>
      <c r="AT90" s="538">
        <f>IF(Table159[[#This Row],[Approved Construction Cost]]=0,0,Table159[[#This Row],[Approved Construction Cost]]-Table159[[#This Row],[Construction Cost to Bill From]])</f>
        <v>0</v>
      </c>
      <c r="AU90" s="538">
        <f>IFERROR(Table159[[#This Row],[Difference in Construction Cost]]*Table159[[#This Row],[Rate]],Table159[[#This Row],[Difference in Construction Cost]]*0.085)</f>
        <v>0</v>
      </c>
      <c r="AV90" s="572"/>
      <c r="AW90" s="639"/>
      <c r="AX90" s="538"/>
      <c r="AY90" s="636" t="s">
        <v>709</v>
      </c>
      <c r="AZ90" s="443">
        <v>47</v>
      </c>
      <c r="BA90" s="652" t="s">
        <v>1536</v>
      </c>
      <c r="BB90" s="644" t="s">
        <v>1537</v>
      </c>
      <c r="BC90" s="478"/>
      <c r="BD90" s="544"/>
      <c r="BE90" s="544" t="s">
        <v>1538</v>
      </c>
      <c r="BF90" s="544" t="s">
        <v>115</v>
      </c>
      <c r="BG90" s="512" t="s">
        <v>115</v>
      </c>
      <c r="BH90" s="741" t="s">
        <v>1539</v>
      </c>
      <c r="BI90" s="535" t="s">
        <v>709</v>
      </c>
      <c r="BJ90" s="547" t="s">
        <v>709</v>
      </c>
      <c r="BK90" s="547" t="s">
        <v>709</v>
      </c>
      <c r="BL90" s="547" t="s">
        <v>116</v>
      </c>
      <c r="BM90" s="547" t="s">
        <v>709</v>
      </c>
      <c r="BN90" s="547" t="s">
        <v>709</v>
      </c>
      <c r="BO90" s="547" t="s">
        <v>709</v>
      </c>
      <c r="BP90" s="547" t="s">
        <v>709</v>
      </c>
      <c r="BQ90" s="547" t="s">
        <v>709</v>
      </c>
      <c r="BR90" s="547">
        <v>1287</v>
      </c>
      <c r="BS90" s="547">
        <v>589</v>
      </c>
      <c r="BT90" s="547" t="s">
        <v>709</v>
      </c>
      <c r="BU90" s="547" t="s">
        <v>709</v>
      </c>
      <c r="BV90" s="547" t="s">
        <v>709</v>
      </c>
      <c r="BW90" s="547" t="s">
        <v>709</v>
      </c>
      <c r="BX90" s="547" t="s">
        <v>745</v>
      </c>
      <c r="BY90" s="547" t="s">
        <v>709</v>
      </c>
      <c r="BZ90" s="483"/>
    </row>
    <row r="91" spans="1:78" ht="15" hidden="1" customHeight="1" x14ac:dyDescent="0.25">
      <c r="A91" s="8">
        <v>2023</v>
      </c>
      <c r="B91" s="8" t="s">
        <v>769</v>
      </c>
      <c r="C91" s="8" t="s">
        <v>1595</v>
      </c>
      <c r="D91" s="8" t="s">
        <v>1603</v>
      </c>
      <c r="E91" s="8" t="s">
        <v>1597</v>
      </c>
      <c r="F91" s="8" t="s">
        <v>747</v>
      </c>
      <c r="G91" s="8" t="s">
        <v>32</v>
      </c>
      <c r="H91" s="13" t="s">
        <v>59</v>
      </c>
      <c r="I91" s="642">
        <v>45056</v>
      </c>
      <c r="J91" s="18">
        <v>45145</v>
      </c>
      <c r="K91" s="175">
        <v>45133</v>
      </c>
      <c r="L91" s="16">
        <f>IF(ISTEXT(Table159[[#This Row],[Engineering Approved Design Date]]),Table159[[#This Row],[Date Completed]]-Table159[[#This Row],[Date Assigned to Designer]],Table159[[#This Row],[Engineering Approved Design Date]]-Table159[[#This Row],[Date Completed]])</f>
        <v>12</v>
      </c>
      <c r="M91" s="642"/>
      <c r="N91" s="642" t="s">
        <v>120</v>
      </c>
      <c r="O91" s="510">
        <v>45139</v>
      </c>
      <c r="P91" s="221" t="s">
        <v>739</v>
      </c>
      <c r="Q91" s="70">
        <f>Table159[[#This Row],[Rate]]*Table159[[#This Row],[Construction Cost to Bill From]]</f>
        <v>8924.6623999999993</v>
      </c>
      <c r="R91" s="75">
        <v>0.08</v>
      </c>
      <c r="U91" s="87"/>
      <c r="V91" s="437">
        <v>17</v>
      </c>
      <c r="W91" s="437">
        <v>0</v>
      </c>
      <c r="X91" s="94">
        <v>93106.99</v>
      </c>
      <c r="Y91" s="551"/>
      <c r="Z91" s="552">
        <v>18451.29</v>
      </c>
      <c r="AA91" s="300">
        <f>SUM(Table159[[#This Row],[PCTS Investment Amount]:[PCTS Retirement Amount]])</f>
        <v>111558.28</v>
      </c>
      <c r="AB91" s="207">
        <v>45142</v>
      </c>
      <c r="AC91" s="108" t="s">
        <v>1177</v>
      </c>
      <c r="AD91" s="108" t="s">
        <v>29</v>
      </c>
      <c r="AE91" s="187" t="s">
        <v>29</v>
      </c>
      <c r="AF91" s="568" t="s">
        <v>116</v>
      </c>
      <c r="AG91" s="568" t="s">
        <v>116</v>
      </c>
      <c r="AH91" s="356" t="s">
        <v>116</v>
      </c>
      <c r="AI91" s="489"/>
      <c r="AJ91" s="553"/>
      <c r="AK91" s="553"/>
      <c r="AL91" s="495"/>
      <c r="AM91" s="21" t="s">
        <v>116</v>
      </c>
      <c r="AN91" s="680" t="s">
        <v>709</v>
      </c>
      <c r="AO91" s="681">
        <v>11082769</v>
      </c>
      <c r="AP91" s="572"/>
      <c r="AQ91" s="572"/>
      <c r="AR91" s="572"/>
      <c r="AS91" s="538">
        <f>IF(Table159[[#This Row],[PCTS Approved]]="N",0,Table159[[#This Row],[Investment Amount (1'#'#'#'#'#)]]+Table159[[#This Row],[Retirement Amount (3'#'#'#'#'#)]])</f>
        <v>0</v>
      </c>
      <c r="AT91" s="538">
        <f>IF(Table159[[#This Row],[Approved Construction Cost]]=0,0,Table159[[#This Row],[Approved Construction Cost]]-Table159[[#This Row],[Construction Cost to Bill From]])</f>
        <v>0</v>
      </c>
      <c r="AU91" s="538">
        <f>IFERROR(Table159[[#This Row],[Difference in Construction Cost]]*Table159[[#This Row],[Rate]],Table159[[#This Row],[Difference in Construction Cost]]*0.085)</f>
        <v>0</v>
      </c>
      <c r="AV91" s="572"/>
      <c r="AW91" s="639"/>
      <c r="AX91" s="538"/>
      <c r="AY91" s="636" t="s">
        <v>709</v>
      </c>
      <c r="AZ91" s="443">
        <v>18</v>
      </c>
      <c r="BA91" s="652" t="s">
        <v>1598</v>
      </c>
      <c r="BB91" s="644" t="s">
        <v>1599</v>
      </c>
      <c r="BC91" s="478" t="s">
        <v>709</v>
      </c>
      <c r="BD91" s="544" t="s">
        <v>837</v>
      </c>
      <c r="BE91" s="544" t="s">
        <v>1600</v>
      </c>
      <c r="BF91" s="544" t="s">
        <v>1600</v>
      </c>
      <c r="BG91" s="512" t="s">
        <v>1582</v>
      </c>
      <c r="BH91" s="741" t="s">
        <v>1601</v>
      </c>
      <c r="BI91" s="535" t="s">
        <v>709</v>
      </c>
      <c r="BJ91" s="547" t="s">
        <v>709</v>
      </c>
      <c r="BK91" s="547" t="s">
        <v>116</v>
      </c>
      <c r="BL91" s="547" t="s">
        <v>116</v>
      </c>
      <c r="BM91" s="547" t="s">
        <v>709</v>
      </c>
      <c r="BN91" s="547" t="s">
        <v>709</v>
      </c>
      <c r="BO91" s="547" t="s">
        <v>709</v>
      </c>
      <c r="BP91" s="547" t="s">
        <v>709</v>
      </c>
      <c r="BQ91" s="547" t="s">
        <v>709</v>
      </c>
      <c r="BR91" s="547">
        <v>17</v>
      </c>
      <c r="BS91" s="547" t="s">
        <v>709</v>
      </c>
      <c r="BT91" s="547" t="s">
        <v>709</v>
      </c>
      <c r="BU91" s="547" t="s">
        <v>709</v>
      </c>
      <c r="BV91" s="547" t="s">
        <v>709</v>
      </c>
      <c r="BW91" s="547" t="s">
        <v>709</v>
      </c>
      <c r="BX91" s="547" t="s">
        <v>745</v>
      </c>
      <c r="BY91" s="547" t="s">
        <v>1602</v>
      </c>
      <c r="BZ91" s="483" t="s">
        <v>769</v>
      </c>
    </row>
    <row r="92" spans="1:78" ht="15" hidden="1" customHeight="1" x14ac:dyDescent="0.25">
      <c r="A92" s="8" t="s">
        <v>800</v>
      </c>
      <c r="B92" s="8" t="s">
        <v>4</v>
      </c>
      <c r="C92" s="8" t="s">
        <v>6486</v>
      </c>
      <c r="D92" s="8" t="s">
        <v>6487</v>
      </c>
      <c r="E92" s="8" t="s">
        <v>6488</v>
      </c>
      <c r="F92" s="8" t="s">
        <v>784</v>
      </c>
      <c r="G92" s="8" t="s">
        <v>26</v>
      </c>
      <c r="H92" s="8" t="s">
        <v>59</v>
      </c>
      <c r="I92" s="642">
        <v>45470</v>
      </c>
      <c r="J92" s="18">
        <v>45526</v>
      </c>
      <c r="K92" s="97">
        <v>45516</v>
      </c>
      <c r="L92" s="16">
        <f>IF(ISTEXT(Table159[[#This Row],[Engineering Approved Design Date]]),Table159[[#This Row],[Date Completed]]-Table159[[#This Row],[Date Assigned to Designer]],Table159[[#This Row],[Engineering Approved Design Date]]-Table159[[#This Row],[Date Completed]])</f>
        <v>10</v>
      </c>
      <c r="M92" s="642"/>
      <c r="N92" s="99" t="s">
        <v>120</v>
      </c>
      <c r="O92" s="510">
        <v>45505</v>
      </c>
      <c r="P92" s="221" t="s">
        <v>739</v>
      </c>
      <c r="Q92" s="70">
        <f>Table159[[#This Row],[Rate]]*Table159[[#This Row],[Construction Cost to Bill From]]</f>
        <v>17215.901999999998</v>
      </c>
      <c r="R92" s="75">
        <v>0.1</v>
      </c>
      <c r="S92" s="24" t="s">
        <v>29</v>
      </c>
      <c r="T92" s="538" t="s">
        <v>29</v>
      </c>
      <c r="U92" s="28" t="s">
        <v>29</v>
      </c>
      <c r="V92" s="437">
        <v>28</v>
      </c>
      <c r="W92" s="437">
        <v>0</v>
      </c>
      <c r="X92" s="24">
        <v>113699.09</v>
      </c>
      <c r="Y92" s="550"/>
      <c r="Z92" s="552">
        <v>58459.93</v>
      </c>
      <c r="AA92" s="300">
        <f>SUM(Table159[[#This Row],[PCTS Investment Amount]:[PCTS Retirement Amount]])</f>
        <v>172159.02</v>
      </c>
      <c r="AB92" s="207">
        <v>45511</v>
      </c>
      <c r="AC92" s="22" t="s">
        <v>29</v>
      </c>
      <c r="AD92" s="22" t="s">
        <v>29</v>
      </c>
      <c r="AE92" s="187" t="s">
        <v>116</v>
      </c>
      <c r="AF92" s="568" t="s">
        <v>29</v>
      </c>
      <c r="AG92" s="568" t="s">
        <v>376</v>
      </c>
      <c r="AH92" s="356">
        <v>45525</v>
      </c>
      <c r="AI92" s="509">
        <v>0</v>
      </c>
      <c r="AJ92" s="541">
        <v>0</v>
      </c>
      <c r="AK92" s="740">
        <v>7688</v>
      </c>
      <c r="AL92" s="494">
        <f>SUM(Table159[[#This Row],[Nicor Initiated DBE]:[Staffing]])/(Table159[[#This Row],[Amount Invoiced]])</f>
        <v>0.44656388030089861</v>
      </c>
      <c r="AM92" s="21" t="s">
        <v>116</v>
      </c>
      <c r="AN92" s="801">
        <v>45519</v>
      </c>
      <c r="AO92" s="806">
        <v>11089477</v>
      </c>
      <c r="AP92" s="788">
        <v>113699.09</v>
      </c>
      <c r="AQ92" s="788"/>
      <c r="AR92" s="788">
        <v>58459.93</v>
      </c>
      <c r="AS92" s="538">
        <f>IF(Table159[[#This Row],[PCTS Approved]]="N",0,Table159[[#This Row],[Investment Amount (1'#'#'#'#'#)]]+Table159[[#This Row],[Retirement Amount (3'#'#'#'#'#)]])</f>
        <v>172159.02</v>
      </c>
      <c r="AT92" s="538">
        <f>IF(Table159[[#This Row],[Approved Construction Cost]]=0,0,Table159[[#This Row],[Approved Construction Cost]]-Table159[[#This Row],[Construction Cost to Bill From]])</f>
        <v>0</v>
      </c>
      <c r="AU92" s="538">
        <f>Table159[[#This Row],[Difference in Construction Cost]]*Table159[[#This Row],[Rate]]</f>
        <v>0</v>
      </c>
      <c r="AV92" s="718">
        <v>0</v>
      </c>
      <c r="AW92" s="660"/>
      <c r="AX92" s="555"/>
      <c r="AY92" s="636" t="s">
        <v>709</v>
      </c>
      <c r="AZ92" s="443"/>
      <c r="BA92" s="643" t="s">
        <v>6489</v>
      </c>
      <c r="BB92" s="644" t="s">
        <v>870</v>
      </c>
      <c r="BC92" s="479" t="s">
        <v>116</v>
      </c>
      <c r="BD92" s="559" t="s">
        <v>29</v>
      </c>
      <c r="BE92" s="554" t="s">
        <v>29</v>
      </c>
      <c r="BF92" s="588" t="s">
        <v>29</v>
      </c>
      <c r="BG92" s="612" t="s">
        <v>3021</v>
      </c>
      <c r="BH92" s="615" t="s">
        <v>6490</v>
      </c>
      <c r="BI92" s="528" t="s">
        <v>709</v>
      </c>
      <c r="BJ92" s="549" t="s">
        <v>709</v>
      </c>
      <c r="BK92" s="549" t="s">
        <v>709</v>
      </c>
      <c r="BL92" s="547" t="s">
        <v>116</v>
      </c>
      <c r="BM92" s="549" t="s">
        <v>709</v>
      </c>
      <c r="BN92" s="549" t="s">
        <v>709</v>
      </c>
      <c r="BO92" s="549" t="s">
        <v>709</v>
      </c>
      <c r="BP92" s="549" t="s">
        <v>709</v>
      </c>
      <c r="BQ92" s="549">
        <v>28</v>
      </c>
      <c r="BR92" s="549" t="s">
        <v>709</v>
      </c>
      <c r="BS92" s="549" t="s">
        <v>709</v>
      </c>
      <c r="BT92" s="549" t="s">
        <v>709</v>
      </c>
      <c r="BU92" s="549" t="s">
        <v>709</v>
      </c>
      <c r="BV92" s="549" t="s">
        <v>709</v>
      </c>
      <c r="BW92" s="549" t="s">
        <v>709</v>
      </c>
      <c r="BX92" s="549" t="s">
        <v>709</v>
      </c>
      <c r="BY92" s="549" t="s">
        <v>709</v>
      </c>
      <c r="BZ92" s="743"/>
    </row>
    <row r="93" spans="1:78" ht="15" hidden="1" customHeight="1" x14ac:dyDescent="0.25">
      <c r="A93" s="8" t="s">
        <v>749</v>
      </c>
      <c r="B93" s="8" t="s">
        <v>4</v>
      </c>
      <c r="C93" s="8" t="s">
        <v>1571</v>
      </c>
      <c r="D93" s="8" t="s">
        <v>1572</v>
      </c>
      <c r="E93" s="8" t="s">
        <v>1573</v>
      </c>
      <c r="F93" s="8" t="s">
        <v>747</v>
      </c>
      <c r="G93" s="8" t="s">
        <v>26</v>
      </c>
      <c r="H93" s="13" t="s">
        <v>59</v>
      </c>
      <c r="I93" s="642">
        <v>44994</v>
      </c>
      <c r="J93" s="18">
        <v>45128</v>
      </c>
      <c r="K93" s="175">
        <v>45128</v>
      </c>
      <c r="L93" s="649">
        <f>IF(ISTEXT(Table159[[#This Row],[Engineering Approved Design Date]]),Table159[[#This Row],[Date Completed]]-Table159[[#This Row],[Date Assigned to Designer]],Table159[[#This Row],[Engineering Approved Design Date]]-Table159[[#This Row],[Date Completed]])</f>
        <v>0</v>
      </c>
      <c r="M93" s="642"/>
      <c r="N93" s="642" t="s">
        <v>120</v>
      </c>
      <c r="O93" s="510">
        <v>45139</v>
      </c>
      <c r="P93" s="221" t="s">
        <v>739</v>
      </c>
      <c r="Q93" s="70">
        <f>Table159[[#This Row],[Rate]]*Table159[[#This Row],[Construction Cost to Bill From]]</f>
        <v>59941.532000000007</v>
      </c>
      <c r="R93" s="75">
        <v>0.1</v>
      </c>
      <c r="U93" s="87"/>
      <c r="V93" s="437">
        <v>1748</v>
      </c>
      <c r="W93" s="437">
        <v>0</v>
      </c>
      <c r="X93" s="94">
        <v>581279.28</v>
      </c>
      <c r="Y93" s="592"/>
      <c r="Z93" s="552">
        <v>18136.04</v>
      </c>
      <c r="AA93" s="300">
        <f>SUM(Table159[[#This Row],[PCTS Investment Amount]:[PCTS Retirement Amount]])</f>
        <v>599415.32000000007</v>
      </c>
      <c r="AB93" s="207">
        <v>45134</v>
      </c>
      <c r="AC93" s="108" t="s">
        <v>709</v>
      </c>
      <c r="AD93" s="108" t="s">
        <v>29</v>
      </c>
      <c r="AE93" s="187" t="s">
        <v>116</v>
      </c>
      <c r="AF93" s="568" t="s">
        <v>116</v>
      </c>
      <c r="AG93" s="568" t="s">
        <v>116</v>
      </c>
      <c r="AH93" s="356">
        <v>45160</v>
      </c>
      <c r="AI93" s="489"/>
      <c r="AJ93" s="553"/>
      <c r="AK93" s="553"/>
      <c r="AL93" s="495"/>
      <c r="AM93" s="21" t="s">
        <v>116</v>
      </c>
      <c r="AN93" s="680" t="s">
        <v>709</v>
      </c>
      <c r="AO93" s="681"/>
      <c r="AP93" s="682"/>
      <c r="AQ93" s="682"/>
      <c r="AR93" s="682"/>
      <c r="AS93" s="538">
        <f>IF(Table159[[#This Row],[PCTS Approved]]="N",0,Table159[[#This Row],[Investment Amount (1'#'#'#'#'#)]]+Table159[[#This Row],[Retirement Amount (3'#'#'#'#'#)]])</f>
        <v>0</v>
      </c>
      <c r="AT93" s="538">
        <f>IF(Table159[[#This Row],[Approved Construction Cost]]=0,0,Table159[[#This Row],[Approved Construction Cost]]-Table159[[#This Row],[Construction Cost to Bill From]])</f>
        <v>0</v>
      </c>
      <c r="AU93" s="538">
        <f>IFERROR(Table159[[#This Row],[Difference in Construction Cost]]*Table159[[#This Row],[Rate]],Table159[[#This Row],[Difference in Construction Cost]]*0.085)</f>
        <v>0</v>
      </c>
      <c r="AV93" s="682"/>
      <c r="AW93" s="683"/>
      <c r="AX93" s="555"/>
      <c r="AY93" s="636" t="s">
        <v>709</v>
      </c>
      <c r="AZ93" s="443">
        <v>90</v>
      </c>
      <c r="BA93" s="746" t="s">
        <v>1574</v>
      </c>
      <c r="BB93" s="644" t="s">
        <v>870</v>
      </c>
      <c r="BC93" s="478" t="s">
        <v>709</v>
      </c>
      <c r="BD93" s="544" t="s">
        <v>837</v>
      </c>
      <c r="BE93" s="544" t="s">
        <v>1575</v>
      </c>
      <c r="BF93" s="544" t="s">
        <v>839</v>
      </c>
      <c r="BG93" s="483" t="s">
        <v>1576</v>
      </c>
      <c r="BH93" s="749" t="s">
        <v>1577</v>
      </c>
      <c r="BI93" s="535" t="s">
        <v>709</v>
      </c>
      <c r="BJ93" s="547" t="s">
        <v>709</v>
      </c>
      <c r="BK93" s="547" t="s">
        <v>709</v>
      </c>
      <c r="BL93" s="547" t="s">
        <v>116</v>
      </c>
      <c r="BM93" s="547" t="s">
        <v>709</v>
      </c>
      <c r="BN93" s="547" t="s">
        <v>709</v>
      </c>
      <c r="BO93" s="547" t="s">
        <v>709</v>
      </c>
      <c r="BP93" s="547" t="s">
        <v>709</v>
      </c>
      <c r="BQ93" s="547" t="s">
        <v>709</v>
      </c>
      <c r="BR93" s="547" t="s">
        <v>709</v>
      </c>
      <c r="BS93" s="547">
        <v>1748</v>
      </c>
      <c r="BT93" s="547" t="s">
        <v>709</v>
      </c>
      <c r="BU93" s="547" t="s">
        <v>709</v>
      </c>
      <c r="BV93" s="547" t="s">
        <v>709</v>
      </c>
      <c r="BW93" s="547" t="s">
        <v>709</v>
      </c>
      <c r="BX93" s="547" t="s">
        <v>745</v>
      </c>
      <c r="BY93" s="547" t="s">
        <v>709</v>
      </c>
      <c r="BZ93" s="483"/>
    </row>
    <row r="94" spans="1:78" ht="15" hidden="1" customHeight="1" x14ac:dyDescent="0.25">
      <c r="A94" s="8" t="s">
        <v>749</v>
      </c>
      <c r="B94" s="8" t="s">
        <v>4</v>
      </c>
      <c r="C94" s="8" t="s">
        <v>387</v>
      </c>
      <c r="D94" s="8" t="s">
        <v>1593</v>
      </c>
      <c r="E94" s="8" t="s">
        <v>388</v>
      </c>
      <c r="F94" s="8" t="s">
        <v>747</v>
      </c>
      <c r="G94" s="8" t="s">
        <v>28</v>
      </c>
      <c r="H94" s="13" t="s">
        <v>59</v>
      </c>
      <c r="I94" s="642">
        <v>44915</v>
      </c>
      <c r="J94" s="18">
        <v>45135</v>
      </c>
      <c r="K94" s="175">
        <v>45133</v>
      </c>
      <c r="L94" s="649">
        <f>IF(ISTEXT(Table159[[#This Row],[Engineering Approved Design Date]]),Table159[[#This Row],[Date Completed]]-Table159[[#This Row],[Date Assigned to Designer]],Table159[[#This Row],[Engineering Approved Design Date]]-Table159[[#This Row],[Date Completed]])</f>
        <v>2</v>
      </c>
      <c r="M94" s="642"/>
      <c r="N94" s="642" t="s">
        <v>120</v>
      </c>
      <c r="O94" s="510">
        <v>45139</v>
      </c>
      <c r="P94" s="221" t="s">
        <v>739</v>
      </c>
      <c r="Q94" s="70">
        <f>Table159[[#This Row],[Rate]]*Table159[[#This Row],[Construction Cost to Bill From]]</f>
        <v>101276.04000000001</v>
      </c>
      <c r="R94" s="75">
        <v>0.1</v>
      </c>
      <c r="U94" s="87"/>
      <c r="V94" s="437">
        <v>1670</v>
      </c>
      <c r="W94" s="437">
        <v>0</v>
      </c>
      <c r="X94" s="94">
        <v>910834.15</v>
      </c>
      <c r="Y94" s="592"/>
      <c r="Z94" s="552">
        <v>101926.25</v>
      </c>
      <c r="AA94" s="300">
        <f>SUM(Table159[[#This Row],[PCTS Investment Amount]:[PCTS Retirement Amount]])</f>
        <v>1012760.4</v>
      </c>
      <c r="AB94" s="207">
        <v>45124</v>
      </c>
      <c r="AC94" s="108" t="s">
        <v>116</v>
      </c>
      <c r="AD94" s="108" t="s">
        <v>29</v>
      </c>
      <c r="AE94" s="187" t="s">
        <v>756</v>
      </c>
      <c r="AF94" s="568" t="s">
        <v>756</v>
      </c>
      <c r="AG94" s="568" t="s">
        <v>116</v>
      </c>
      <c r="AH94" s="356">
        <v>45163</v>
      </c>
      <c r="AI94" s="489"/>
      <c r="AJ94" s="553"/>
      <c r="AK94" s="553"/>
      <c r="AL94" s="495"/>
      <c r="AM94" s="21" t="s">
        <v>116</v>
      </c>
      <c r="AN94" s="680" t="s">
        <v>709</v>
      </c>
      <c r="AO94" s="601" t="s">
        <v>115</v>
      </c>
      <c r="AP94" s="572"/>
      <c r="AQ94" s="572"/>
      <c r="AR94" s="572"/>
      <c r="AS94" s="538">
        <f>IF(Table159[[#This Row],[PCTS Approved]]="N",0,Table159[[#This Row],[Investment Amount (1'#'#'#'#'#)]]+Table159[[#This Row],[Retirement Amount (3'#'#'#'#'#)]])</f>
        <v>0</v>
      </c>
      <c r="AT94" s="538">
        <f>IF(Table159[[#This Row],[Approved Construction Cost]]=0,0,Table159[[#This Row],[Approved Construction Cost]]-Table159[[#This Row],[Construction Cost to Bill From]])</f>
        <v>0</v>
      </c>
      <c r="AU94" s="538">
        <f>IFERROR(Table159[[#This Row],[Difference in Construction Cost]]*Table159[[#This Row],[Rate]],Table159[[#This Row],[Difference in Construction Cost]]*0.085)</f>
        <v>0</v>
      </c>
      <c r="AV94" s="572"/>
      <c r="AW94" s="641"/>
      <c r="AX94" s="555"/>
      <c r="AY94" s="636" t="s">
        <v>709</v>
      </c>
      <c r="AZ94" s="443">
        <v>92</v>
      </c>
      <c r="BA94" s="652" t="s">
        <v>1590</v>
      </c>
      <c r="BB94" s="644" t="s">
        <v>870</v>
      </c>
      <c r="BC94" s="478" t="s">
        <v>116</v>
      </c>
      <c r="BD94" s="544" t="s">
        <v>709</v>
      </c>
      <c r="BE94" s="544" t="s">
        <v>1591</v>
      </c>
      <c r="BF94" s="544" t="s">
        <v>709</v>
      </c>
      <c r="BG94" s="483" t="s">
        <v>709</v>
      </c>
      <c r="BH94" s="749" t="s">
        <v>1594</v>
      </c>
      <c r="BI94" s="535" t="s">
        <v>709</v>
      </c>
      <c r="BJ94" s="547" t="s">
        <v>709</v>
      </c>
      <c r="BK94" s="547" t="s">
        <v>709</v>
      </c>
      <c r="BL94" s="547" t="s">
        <v>116</v>
      </c>
      <c r="BM94" s="547" t="s">
        <v>709</v>
      </c>
      <c r="BN94" s="547" t="s">
        <v>709</v>
      </c>
      <c r="BO94" s="547" t="s">
        <v>709</v>
      </c>
      <c r="BP94" s="547">
        <v>1187</v>
      </c>
      <c r="BQ94" s="547">
        <v>14</v>
      </c>
      <c r="BR94" s="547">
        <v>280</v>
      </c>
      <c r="BS94" s="547">
        <v>189</v>
      </c>
      <c r="BT94" s="547" t="s">
        <v>709</v>
      </c>
      <c r="BU94" s="547" t="s">
        <v>709</v>
      </c>
      <c r="BV94" s="547" t="s">
        <v>709</v>
      </c>
      <c r="BW94" s="547" t="s">
        <v>709</v>
      </c>
      <c r="BX94" s="547" t="s">
        <v>745</v>
      </c>
      <c r="BY94" s="547" t="s">
        <v>709</v>
      </c>
      <c r="BZ94" s="483"/>
    </row>
    <row r="95" spans="1:78" ht="15" hidden="1" customHeight="1" x14ac:dyDescent="0.25">
      <c r="A95" s="8" t="s">
        <v>749</v>
      </c>
      <c r="B95" s="8" t="s">
        <v>4</v>
      </c>
      <c r="C95" s="8" t="s">
        <v>1588</v>
      </c>
      <c r="D95" s="8" t="s">
        <v>1589</v>
      </c>
      <c r="E95" s="8" t="s">
        <v>388</v>
      </c>
      <c r="F95" s="8" t="s">
        <v>747</v>
      </c>
      <c r="G95" s="8" t="s">
        <v>28</v>
      </c>
      <c r="H95" s="13" t="s">
        <v>59</v>
      </c>
      <c r="I95" s="642">
        <v>44915</v>
      </c>
      <c r="J95" s="18">
        <v>45135</v>
      </c>
      <c r="K95" s="175">
        <v>45133</v>
      </c>
      <c r="L95" s="649">
        <f>IF(ISTEXT(Table159[[#This Row],[Engineering Approved Design Date]]),Table159[[#This Row],[Date Completed]]-Table159[[#This Row],[Date Assigned to Designer]],Table159[[#This Row],[Engineering Approved Design Date]]-Table159[[#This Row],[Date Completed]])</f>
        <v>2</v>
      </c>
      <c r="M95" s="642"/>
      <c r="N95" s="642" t="s">
        <v>120</v>
      </c>
      <c r="O95" s="510">
        <v>45139</v>
      </c>
      <c r="P95" s="221" t="s">
        <v>739</v>
      </c>
      <c r="Q95" s="70">
        <f>Table159[[#This Row],[Rate]]*Table159[[#This Row],[Construction Cost to Bill From]]</f>
        <v>25017.435000000001</v>
      </c>
      <c r="R95" s="75">
        <v>0.1</v>
      </c>
      <c r="U95" s="87"/>
      <c r="V95" s="437">
        <v>485</v>
      </c>
      <c r="W95" s="437">
        <v>0</v>
      </c>
      <c r="X95" s="94">
        <v>250174.35</v>
      </c>
      <c r="Y95" s="592"/>
      <c r="Z95" s="552">
        <v>0</v>
      </c>
      <c r="AA95" s="300">
        <f>SUM(Table159[[#This Row],[PCTS Investment Amount]:[PCTS Retirement Amount]])</f>
        <v>250174.35</v>
      </c>
      <c r="AB95" s="207">
        <v>45028</v>
      </c>
      <c r="AC95" s="108" t="s">
        <v>116</v>
      </c>
      <c r="AD95" s="108" t="s">
        <v>29</v>
      </c>
      <c r="AE95" s="187" t="s">
        <v>756</v>
      </c>
      <c r="AF95" s="568" t="s">
        <v>756</v>
      </c>
      <c r="AG95" s="568" t="s">
        <v>116</v>
      </c>
      <c r="AH95" s="356">
        <v>45163</v>
      </c>
      <c r="AI95" s="489"/>
      <c r="AJ95" s="553"/>
      <c r="AK95" s="553"/>
      <c r="AL95" s="495"/>
      <c r="AM95" s="21" t="s">
        <v>116</v>
      </c>
      <c r="AN95" s="680" t="s">
        <v>709</v>
      </c>
      <c r="AO95" s="601" t="s">
        <v>115</v>
      </c>
      <c r="AP95" s="572"/>
      <c r="AQ95" s="572"/>
      <c r="AR95" s="572"/>
      <c r="AS95" s="538">
        <f>IF(Table159[[#This Row],[PCTS Approved]]="N",0,Table159[[#This Row],[Investment Amount (1'#'#'#'#'#)]]+Table159[[#This Row],[Retirement Amount (3'#'#'#'#'#)]])</f>
        <v>0</v>
      </c>
      <c r="AT95" s="538">
        <f>IF(Table159[[#This Row],[Approved Construction Cost]]=0,0,Table159[[#This Row],[Approved Construction Cost]]-Table159[[#This Row],[Construction Cost to Bill From]])</f>
        <v>0</v>
      </c>
      <c r="AU95" s="538">
        <f>IFERROR(Table159[[#This Row],[Difference in Construction Cost]]*Table159[[#This Row],[Rate]],Table159[[#This Row],[Difference in Construction Cost]]*0.085)</f>
        <v>0</v>
      </c>
      <c r="AV95" s="572"/>
      <c r="AW95" s="641"/>
      <c r="AX95" s="555"/>
      <c r="AY95" s="636" t="s">
        <v>709</v>
      </c>
      <c r="AZ95" s="443">
        <v>91</v>
      </c>
      <c r="BA95" s="652" t="s">
        <v>1590</v>
      </c>
      <c r="BB95" s="644" t="s">
        <v>870</v>
      </c>
      <c r="BC95" s="478" t="s">
        <v>116</v>
      </c>
      <c r="BD95" s="544" t="s">
        <v>709</v>
      </c>
      <c r="BE95" s="544" t="s">
        <v>1591</v>
      </c>
      <c r="BF95" s="544" t="s">
        <v>709</v>
      </c>
      <c r="BG95" s="483" t="s">
        <v>709</v>
      </c>
      <c r="BH95" s="749" t="s">
        <v>1592</v>
      </c>
      <c r="BI95" s="535" t="s">
        <v>709</v>
      </c>
      <c r="BJ95" s="547" t="s">
        <v>709</v>
      </c>
      <c r="BK95" s="547" t="s">
        <v>709</v>
      </c>
      <c r="BL95" s="547" t="s">
        <v>116</v>
      </c>
      <c r="BM95" s="547" t="s">
        <v>709</v>
      </c>
      <c r="BN95" s="547" t="s">
        <v>709</v>
      </c>
      <c r="BO95" s="547" t="s">
        <v>709</v>
      </c>
      <c r="BP95" s="547">
        <v>1187</v>
      </c>
      <c r="BQ95" s="547">
        <v>14</v>
      </c>
      <c r="BR95" s="547">
        <v>280</v>
      </c>
      <c r="BS95" s="547">
        <v>189</v>
      </c>
      <c r="BT95" s="547" t="s">
        <v>709</v>
      </c>
      <c r="BU95" s="547" t="s">
        <v>709</v>
      </c>
      <c r="BV95" s="547" t="s">
        <v>709</v>
      </c>
      <c r="BW95" s="547" t="s">
        <v>709</v>
      </c>
      <c r="BX95" s="547" t="s">
        <v>745</v>
      </c>
      <c r="BY95" s="547" t="s">
        <v>709</v>
      </c>
      <c r="BZ95" s="483"/>
    </row>
    <row r="96" spans="1:78" ht="15" hidden="1" customHeight="1" x14ac:dyDescent="0.25">
      <c r="A96" s="8" t="s">
        <v>749</v>
      </c>
      <c r="B96" s="8" t="s">
        <v>4</v>
      </c>
      <c r="C96" s="8" t="s">
        <v>404</v>
      </c>
      <c r="D96" s="8" t="s">
        <v>1615</v>
      </c>
      <c r="E96" s="8" t="s">
        <v>405</v>
      </c>
      <c r="F96" s="8" t="s">
        <v>747</v>
      </c>
      <c r="G96" s="8" t="s">
        <v>28</v>
      </c>
      <c r="H96" s="13" t="s">
        <v>59</v>
      </c>
      <c r="I96" s="642">
        <v>44963</v>
      </c>
      <c r="J96" s="18">
        <v>45148</v>
      </c>
      <c r="K96" s="175">
        <v>45147</v>
      </c>
      <c r="L96" s="649">
        <f>IF(ISTEXT(Table159[[#This Row],[Engineering Approved Design Date]]),Table159[[#This Row],[Date Completed]]-Table159[[#This Row],[Date Assigned to Designer]],Table159[[#This Row],[Engineering Approved Design Date]]-Table159[[#This Row],[Date Completed]])</f>
        <v>1</v>
      </c>
      <c r="M96" s="642"/>
      <c r="N96" s="642" t="s">
        <v>120</v>
      </c>
      <c r="O96" s="510">
        <v>45139</v>
      </c>
      <c r="P96" s="221" t="s">
        <v>739</v>
      </c>
      <c r="Q96" s="70">
        <f>Table159[[#This Row],[Rate]]*Table159[[#This Row],[Construction Cost to Bill From]]</f>
        <v>65280.822</v>
      </c>
      <c r="R96" s="75">
        <v>0.1</v>
      </c>
      <c r="U96" s="87"/>
      <c r="V96" s="437">
        <v>5576</v>
      </c>
      <c r="W96" s="437">
        <v>0</v>
      </c>
      <c r="X96" s="94">
        <v>626842.82999999996</v>
      </c>
      <c r="Y96" s="592"/>
      <c r="Z96" s="552">
        <v>25965.39</v>
      </c>
      <c r="AA96" s="300">
        <f>SUM(Table159[[#This Row],[PCTS Investment Amount]:[PCTS Retirement Amount]])</f>
        <v>652808.22</v>
      </c>
      <c r="AB96" s="207">
        <v>45141</v>
      </c>
      <c r="AC96" s="108" t="s">
        <v>116</v>
      </c>
      <c r="AD96" s="108" t="s">
        <v>29</v>
      </c>
      <c r="AE96" s="187" t="s">
        <v>756</v>
      </c>
      <c r="AF96" s="568" t="s">
        <v>756</v>
      </c>
      <c r="AG96" s="568" t="s">
        <v>116</v>
      </c>
      <c r="AH96" s="356">
        <v>45163</v>
      </c>
      <c r="AI96" s="489"/>
      <c r="AJ96" s="553"/>
      <c r="AK96" s="553"/>
      <c r="AL96" s="495"/>
      <c r="AM96" s="21" t="s">
        <v>116</v>
      </c>
      <c r="AN96" s="680" t="s">
        <v>709</v>
      </c>
      <c r="AO96" s="601"/>
      <c r="AP96" s="572"/>
      <c r="AQ96" s="572"/>
      <c r="AR96" s="572"/>
      <c r="AS96" s="538">
        <f>IF(Table159[[#This Row],[PCTS Approved]]="N",0,Table159[[#This Row],[Investment Amount (1'#'#'#'#'#)]]+Table159[[#This Row],[Retirement Amount (3'#'#'#'#'#)]])</f>
        <v>0</v>
      </c>
      <c r="AT96" s="538">
        <f>IF(Table159[[#This Row],[Approved Construction Cost]]=0,0,Table159[[#This Row],[Approved Construction Cost]]-Table159[[#This Row],[Construction Cost to Bill From]])</f>
        <v>0</v>
      </c>
      <c r="AU96" s="538">
        <f>IFERROR(Table159[[#This Row],[Difference in Construction Cost]]*Table159[[#This Row],[Rate]],Table159[[#This Row],[Difference in Construction Cost]]*0.085)</f>
        <v>0</v>
      </c>
      <c r="AV96" s="572"/>
      <c r="AW96" s="641"/>
      <c r="AX96" s="555"/>
      <c r="AY96" s="636" t="s">
        <v>709</v>
      </c>
      <c r="AZ96" s="443">
        <v>94</v>
      </c>
      <c r="BA96" s="652" t="s">
        <v>1616</v>
      </c>
      <c r="BB96" s="644" t="s">
        <v>1617</v>
      </c>
      <c r="BC96" s="478" t="s">
        <v>116</v>
      </c>
      <c r="BD96" s="544" t="s">
        <v>709</v>
      </c>
      <c r="BE96" s="544" t="s">
        <v>115</v>
      </c>
      <c r="BF96" s="544" t="s">
        <v>115</v>
      </c>
      <c r="BG96" s="483" t="s">
        <v>1618</v>
      </c>
      <c r="BH96" s="749" t="s">
        <v>1619</v>
      </c>
      <c r="BI96" s="535" t="s">
        <v>709</v>
      </c>
      <c r="BJ96" s="547" t="s">
        <v>116</v>
      </c>
      <c r="BK96" s="547" t="s">
        <v>709</v>
      </c>
      <c r="BL96" s="547" t="s">
        <v>709</v>
      </c>
      <c r="BM96" s="547" t="s">
        <v>709</v>
      </c>
      <c r="BN96" s="547" t="s">
        <v>709</v>
      </c>
      <c r="BO96" s="547" t="s">
        <v>709</v>
      </c>
      <c r="BP96" s="547" t="s">
        <v>709</v>
      </c>
      <c r="BQ96" s="547" t="s">
        <v>709</v>
      </c>
      <c r="BR96" s="547" t="s">
        <v>709</v>
      </c>
      <c r="BS96" s="547">
        <v>5576</v>
      </c>
      <c r="BT96" s="547" t="s">
        <v>709</v>
      </c>
      <c r="BU96" s="547" t="s">
        <v>709</v>
      </c>
      <c r="BV96" s="547" t="s">
        <v>709</v>
      </c>
      <c r="BW96" s="547" t="s">
        <v>709</v>
      </c>
      <c r="BX96" s="547" t="s">
        <v>745</v>
      </c>
      <c r="BY96" s="547" t="s">
        <v>709</v>
      </c>
      <c r="BZ96" s="483"/>
    </row>
    <row r="97" spans="1:78" ht="15" hidden="1" customHeight="1" x14ac:dyDescent="0.25">
      <c r="A97" s="8" t="s">
        <v>800</v>
      </c>
      <c r="B97" s="8" t="s">
        <v>771</v>
      </c>
      <c r="C97" s="8" t="s">
        <v>1642</v>
      </c>
      <c r="D97" s="8" t="s">
        <v>1643</v>
      </c>
      <c r="E97" s="8" t="s">
        <v>1644</v>
      </c>
      <c r="F97" s="8" t="s">
        <v>747</v>
      </c>
      <c r="G97" s="8" t="s">
        <v>32</v>
      </c>
      <c r="H97" s="8" t="s">
        <v>59</v>
      </c>
      <c r="I97" s="642">
        <v>44977</v>
      </c>
      <c r="J97" s="175">
        <v>45233</v>
      </c>
      <c r="K97" s="97">
        <v>45232</v>
      </c>
      <c r="L97" s="649">
        <f>IF(ISTEXT(Table159[[#This Row],[Engineering Approved Design Date]]),Table159[[#This Row],[Date Completed]]-Table159[[#This Row],[Date Assigned to Designer]],Table159[[#This Row],[Engineering Approved Design Date]]-Table159[[#This Row],[Date Completed]])</f>
        <v>1</v>
      </c>
      <c r="M97" s="16"/>
      <c r="N97" s="642" t="s">
        <v>120</v>
      </c>
      <c r="O97" s="510">
        <v>45292</v>
      </c>
      <c r="P97" s="68" t="s">
        <v>120</v>
      </c>
      <c r="Q97" s="70">
        <f>Table159[[#This Row],[Rate]]*Table159[[#This Row],[Construction Cost to Bill From]]</f>
        <v>488768.6764</v>
      </c>
      <c r="R97" s="77">
        <v>0.04</v>
      </c>
      <c r="U97" s="454"/>
      <c r="V97" s="437">
        <v>13516</v>
      </c>
      <c r="W97" s="437">
        <v>0</v>
      </c>
      <c r="X97" s="24">
        <v>11635927.51</v>
      </c>
      <c r="Y97" s="551"/>
      <c r="Z97" s="556">
        <v>583289.4</v>
      </c>
      <c r="AA97" s="300">
        <f>SUM(Table159[[#This Row],[PCTS Investment Amount]:[PCTS Retirement Amount]])</f>
        <v>12219216.91</v>
      </c>
      <c r="AB97" s="207" t="s">
        <v>709</v>
      </c>
      <c r="AC97" s="108" t="s">
        <v>116</v>
      </c>
      <c r="AD97" s="22" t="s">
        <v>116</v>
      </c>
      <c r="AE97" s="359" t="s">
        <v>709</v>
      </c>
      <c r="AF97" s="569" t="s">
        <v>116</v>
      </c>
      <c r="AG97" s="569" t="s">
        <v>709</v>
      </c>
      <c r="AH97" s="759" t="s">
        <v>376</v>
      </c>
      <c r="AI97" s="21"/>
      <c r="AJ97" s="536"/>
      <c r="AK97" s="536"/>
      <c r="AL97" s="492">
        <f>SUM(Table159[[#This Row],[Nicor Initiated DBE]:[Staffing]])/(Table159[[#This Row],[Amount Invoiced]])</f>
        <v>0</v>
      </c>
      <c r="AM97" s="21" t="s">
        <v>116</v>
      </c>
      <c r="AN97" s="680" t="s">
        <v>709</v>
      </c>
      <c r="AO97" s="601">
        <v>11065457</v>
      </c>
      <c r="AP97" s="572"/>
      <c r="AQ97" s="572"/>
      <c r="AR97" s="572"/>
      <c r="AS97" s="538">
        <f>IF(Table159[[#This Row],[PCTS Approved]]="N",0,Table159[[#This Row],[Investment Amount (1'#'#'#'#'#)]]+Table159[[#This Row],[Retirement Amount (3'#'#'#'#'#)]])</f>
        <v>0</v>
      </c>
      <c r="AT97" s="538">
        <f>IF(Table159[[#This Row],[Approved Construction Cost]]=0,0,Table159[[#This Row],[Approved Construction Cost]]-Table159[[#This Row],[Construction Cost to Bill From]])</f>
        <v>0</v>
      </c>
      <c r="AU97" s="538">
        <f>IFERROR(Table159[[#This Row],[Difference in Construction Cost]]*Table159[[#This Row],[Rate]],Table159[[#This Row],[Difference in Construction Cost]]*0.085)</f>
        <v>0</v>
      </c>
      <c r="AV97" s="572"/>
      <c r="AW97" s="639"/>
      <c r="AX97" s="538"/>
      <c r="AY97" s="636" t="s">
        <v>709</v>
      </c>
      <c r="AZ97" s="443">
        <v>3</v>
      </c>
      <c r="BA97" s="643" t="s">
        <v>1645</v>
      </c>
      <c r="BB97" s="653" t="s">
        <v>1646</v>
      </c>
      <c r="BC97" s="478"/>
      <c r="BD97" s="544"/>
      <c r="BE97" s="544"/>
      <c r="BF97" s="544"/>
      <c r="BG97" s="512"/>
      <c r="BH97" s="741" t="s">
        <v>1647</v>
      </c>
      <c r="BI97" s="535" t="s">
        <v>709</v>
      </c>
      <c r="BJ97" s="547" t="s">
        <v>709</v>
      </c>
      <c r="BK97" s="547" t="s">
        <v>709</v>
      </c>
      <c r="BL97" s="547" t="s">
        <v>116</v>
      </c>
      <c r="BM97" s="547" t="s">
        <v>709</v>
      </c>
      <c r="BN97" s="547">
        <v>9540</v>
      </c>
      <c r="BO97" s="547" t="s">
        <v>709</v>
      </c>
      <c r="BP97" s="547">
        <v>10</v>
      </c>
      <c r="BQ97" s="547">
        <v>388</v>
      </c>
      <c r="BR97" s="547">
        <v>2788</v>
      </c>
      <c r="BS97" s="547">
        <v>790</v>
      </c>
      <c r="BT97" s="547" t="s">
        <v>709</v>
      </c>
      <c r="BU97" s="547" t="s">
        <v>709</v>
      </c>
      <c r="BV97" s="547" t="s">
        <v>709</v>
      </c>
      <c r="BW97" s="547" t="s">
        <v>709</v>
      </c>
      <c r="BX97" s="547" t="s">
        <v>709</v>
      </c>
      <c r="BY97" s="547" t="s">
        <v>709</v>
      </c>
      <c r="BZ97" s="484"/>
    </row>
    <row r="98" spans="1:78" ht="15" hidden="1" customHeight="1" x14ac:dyDescent="0.25">
      <c r="A98" s="8" t="s">
        <v>800</v>
      </c>
      <c r="B98" s="8" t="s">
        <v>1205</v>
      </c>
      <c r="C98" s="8" t="s">
        <v>6728</v>
      </c>
      <c r="D98" s="8" t="s">
        <v>6729</v>
      </c>
      <c r="E98" s="8" t="s">
        <v>850</v>
      </c>
      <c r="F98" s="8" t="s">
        <v>851</v>
      </c>
      <c r="G98" s="8" t="s">
        <v>32</v>
      </c>
      <c r="H98" s="8" t="s">
        <v>59</v>
      </c>
      <c r="I98" s="642">
        <v>45562</v>
      </c>
      <c r="J98" s="18">
        <v>45639</v>
      </c>
      <c r="K98" s="97">
        <v>45607</v>
      </c>
      <c r="L98" s="16">
        <f>IF(ISTEXT(Table159[[#This Row],[Engineering Approved Design Date]]),Table159[[#This Row],[Date Completed]]-Table159[[#This Row],[Date Assigned to Designer]],Table159[[#This Row],[Engineering Approved Design Date]]-Table159[[#This Row],[Date Completed]])</f>
        <v>32</v>
      </c>
      <c r="M98" s="642"/>
      <c r="N98" s="99" t="s">
        <v>120</v>
      </c>
      <c r="O98" s="510">
        <v>45597</v>
      </c>
      <c r="P98" s="221" t="s">
        <v>120</v>
      </c>
      <c r="Q98" s="70">
        <f>Table159[[#This Row],[Rate]]*Table159[[#This Row],[Construction Cost to Bill From]]</f>
        <v>17846.808300000001</v>
      </c>
      <c r="R98" s="75">
        <v>0.09</v>
      </c>
      <c r="S98" s="754" t="s">
        <v>29</v>
      </c>
      <c r="T98" s="538" t="s">
        <v>29</v>
      </c>
      <c r="U98" s="87" t="s">
        <v>29</v>
      </c>
      <c r="V98" s="437">
        <v>286</v>
      </c>
      <c r="W98" s="437">
        <v>0</v>
      </c>
      <c r="X98" s="24">
        <v>183986.2</v>
      </c>
      <c r="Y98" s="550"/>
      <c r="Z98" s="552">
        <v>14311.67</v>
      </c>
      <c r="AA98" s="300">
        <f>SUM(Table159[[#This Row],[PCTS Investment Amount]:[PCTS Retirement Amount]])</f>
        <v>198297.87000000002</v>
      </c>
      <c r="AB98" s="207">
        <v>45609</v>
      </c>
      <c r="AC98" s="22" t="s">
        <v>709</v>
      </c>
      <c r="AD98" s="22" t="s">
        <v>29</v>
      </c>
      <c r="AE98" s="187" t="s">
        <v>29</v>
      </c>
      <c r="AF98" s="568" t="s">
        <v>709</v>
      </c>
      <c r="AG98" s="568" t="s">
        <v>376</v>
      </c>
      <c r="AH98" s="356" t="s">
        <v>376</v>
      </c>
      <c r="AI98" s="499">
        <v>0</v>
      </c>
      <c r="AJ98" s="541">
        <v>0</v>
      </c>
      <c r="AK98" s="745">
        <v>5825</v>
      </c>
      <c r="AL98" s="494">
        <f>SUM(Table159[[#This Row],[Nicor Initiated DBE]:[Staffing]])/(Table159[[#This Row],[Amount Invoiced]])</f>
        <v>0.32638889274111832</v>
      </c>
      <c r="AM98" s="21" t="s">
        <v>116</v>
      </c>
      <c r="AN98" s="680" t="s">
        <v>709</v>
      </c>
      <c r="AO98" s="601"/>
      <c r="AP98" s="572"/>
      <c r="AQ98" s="572"/>
      <c r="AR98" s="572"/>
      <c r="AS98" s="538">
        <f>IF(Table159[[#This Row],[PCTS Approved]]="N",0,Table159[[#This Row],[Investment Amount (1'#'#'#'#'#)]]+Table159[[#This Row],[Retirement Amount (3'#'#'#'#'#)]])</f>
        <v>0</v>
      </c>
      <c r="AT98" s="538">
        <f>IF(Table159[[#This Row],[Approved Construction Cost]]=0,0,Table159[[#This Row],[Approved Construction Cost]]-Table159[[#This Row],[Construction Cost to Bill From]])</f>
        <v>0</v>
      </c>
      <c r="AU98" s="538">
        <f>Table159[[#This Row],[Difference in Construction Cost]]*Table159[[#This Row],[Rate]]</f>
        <v>0</v>
      </c>
      <c r="AV98" s="602"/>
      <c r="AW98" s="640"/>
      <c r="AX98" s="555"/>
      <c r="AY98" s="636" t="s">
        <v>709</v>
      </c>
      <c r="AZ98" s="443"/>
      <c r="BA98" s="643" t="s">
        <v>6731</v>
      </c>
      <c r="BB98" s="644" t="s">
        <v>6732</v>
      </c>
      <c r="BC98" s="479" t="s">
        <v>709</v>
      </c>
      <c r="BD98" s="559" t="s">
        <v>709</v>
      </c>
      <c r="BE98" s="554" t="s">
        <v>855</v>
      </c>
      <c r="BF98" s="588" t="s">
        <v>709</v>
      </c>
      <c r="BG98" s="612" t="s">
        <v>709</v>
      </c>
      <c r="BH98" s="615" t="s">
        <v>6733</v>
      </c>
      <c r="BI98" s="528" t="s">
        <v>709</v>
      </c>
      <c r="BJ98" s="549" t="s">
        <v>709</v>
      </c>
      <c r="BK98" s="549" t="s">
        <v>709</v>
      </c>
      <c r="BL98" s="547" t="s">
        <v>116</v>
      </c>
      <c r="BM98" s="549" t="s">
        <v>709</v>
      </c>
      <c r="BN98" s="549" t="s">
        <v>709</v>
      </c>
      <c r="BO98" s="549" t="s">
        <v>709</v>
      </c>
      <c r="BP98" s="549" t="s">
        <v>709</v>
      </c>
      <c r="BQ98" s="549" t="s">
        <v>709</v>
      </c>
      <c r="BR98" s="549" t="s">
        <v>709</v>
      </c>
      <c r="BS98" s="549">
        <v>286</v>
      </c>
      <c r="BT98" s="549" t="s">
        <v>745</v>
      </c>
      <c r="BU98" s="549" t="s">
        <v>709</v>
      </c>
      <c r="BV98" s="549" t="s">
        <v>745</v>
      </c>
      <c r="BW98" s="549" t="s">
        <v>709</v>
      </c>
      <c r="BX98" s="549" t="s">
        <v>745</v>
      </c>
      <c r="BY98" s="549" t="s">
        <v>745</v>
      </c>
      <c r="BZ98" s="743"/>
    </row>
    <row r="99" spans="1:78" ht="15" hidden="1" customHeight="1" x14ac:dyDescent="0.25">
      <c r="A99" s="8" t="s">
        <v>749</v>
      </c>
      <c r="B99" s="8" t="s">
        <v>759</v>
      </c>
      <c r="C99" s="8" t="s">
        <v>445</v>
      </c>
      <c r="D99" s="8" t="s">
        <v>1604</v>
      </c>
      <c r="E99" s="8" t="s">
        <v>1605</v>
      </c>
      <c r="F99" s="8" t="s">
        <v>752</v>
      </c>
      <c r="G99" s="8" t="s">
        <v>34</v>
      </c>
      <c r="H99" s="13" t="s">
        <v>59</v>
      </c>
      <c r="I99" s="642">
        <v>44838</v>
      </c>
      <c r="J99" s="18">
        <v>45138</v>
      </c>
      <c r="K99" s="175">
        <v>45135</v>
      </c>
      <c r="L99" s="16">
        <f>IF(ISTEXT(Table159[[#This Row],[Engineering Approved Design Date]]),Table159[[#This Row],[Date Completed]]-Table159[[#This Row],[Date Assigned to Designer]],Table159[[#This Row],[Engineering Approved Design Date]]-Table159[[#This Row],[Date Completed]])</f>
        <v>3</v>
      </c>
      <c r="M99" s="642"/>
      <c r="N99" s="642" t="s">
        <v>120</v>
      </c>
      <c r="O99" s="510">
        <v>45139</v>
      </c>
      <c r="P99" s="221" t="s">
        <v>120</v>
      </c>
      <c r="Q99" s="70">
        <f>Table159[[#This Row],[Rate]]*Table159[[#This Row],[Construction Cost to Bill From]]</f>
        <v>240051.9682</v>
      </c>
      <c r="R99" s="75">
        <v>0.11</v>
      </c>
      <c r="U99" s="87"/>
      <c r="V99" s="437">
        <v>2503</v>
      </c>
      <c r="W99" s="437">
        <v>2</v>
      </c>
      <c r="X99" s="106">
        <v>1835781.07</v>
      </c>
      <c r="Y99" s="551"/>
      <c r="Z99" s="552">
        <v>346509.55</v>
      </c>
      <c r="AA99" s="300">
        <f>SUM(Table159[[#This Row],[PCTS Investment Amount]:[PCTS Retirement Amount]])</f>
        <v>2182290.62</v>
      </c>
      <c r="AB99" s="207">
        <v>45141</v>
      </c>
      <c r="AC99" s="108" t="s">
        <v>1441</v>
      </c>
      <c r="AD99" s="108" t="s">
        <v>29</v>
      </c>
      <c r="AE99" s="187" t="s">
        <v>116</v>
      </c>
      <c r="AF99" s="568" t="s">
        <v>756</v>
      </c>
      <c r="AG99" s="568" t="s">
        <v>116</v>
      </c>
      <c r="AH99" s="356" t="s">
        <v>116</v>
      </c>
      <c r="AI99" s="489"/>
      <c r="AJ99" s="553"/>
      <c r="AK99" s="553"/>
      <c r="AL99" s="495"/>
      <c r="AM99" s="21" t="s">
        <v>116</v>
      </c>
      <c r="AN99" s="680" t="s">
        <v>709</v>
      </c>
      <c r="AO99" s="601">
        <v>11058963</v>
      </c>
      <c r="AP99" s="572"/>
      <c r="AQ99" s="572"/>
      <c r="AR99" s="572"/>
      <c r="AS99" s="538">
        <f>IF(Table159[[#This Row],[PCTS Approved]]="N",0,Table159[[#This Row],[Investment Amount (1'#'#'#'#'#)]]+Table159[[#This Row],[Retirement Amount (3'#'#'#'#'#)]])</f>
        <v>0</v>
      </c>
      <c r="AT99" s="538">
        <f>IF(Table159[[#This Row],[Approved Construction Cost]]=0,0,Table159[[#This Row],[Approved Construction Cost]]-Table159[[#This Row],[Construction Cost to Bill From]])</f>
        <v>0</v>
      </c>
      <c r="AU99" s="538">
        <f>IFERROR(Table159[[#This Row],[Difference in Construction Cost]]*Table159[[#This Row],[Rate]],Table159[[#This Row],[Difference in Construction Cost]]*0.085)</f>
        <v>0</v>
      </c>
      <c r="AV99" s="572"/>
      <c r="AW99" s="639"/>
      <c r="AX99" s="538"/>
      <c r="AY99" s="636" t="s">
        <v>709</v>
      </c>
      <c r="AZ99" s="443">
        <v>157</v>
      </c>
      <c r="BA99" s="659" t="s">
        <v>1606</v>
      </c>
      <c r="BB99" s="648" t="s">
        <v>1607</v>
      </c>
      <c r="BC99" s="478" t="s">
        <v>116</v>
      </c>
      <c r="BD99" s="544" t="s">
        <v>837</v>
      </c>
      <c r="BE99" s="544" t="s">
        <v>615</v>
      </c>
      <c r="BF99" s="544" t="s">
        <v>115</v>
      </c>
      <c r="BG99" s="512" t="s">
        <v>115</v>
      </c>
      <c r="BH99" s="741"/>
      <c r="BI99" s="528" t="s">
        <v>709</v>
      </c>
      <c r="BJ99" s="549" t="s">
        <v>709</v>
      </c>
      <c r="BK99" s="549" t="s">
        <v>116</v>
      </c>
      <c r="BL99" s="549" t="s">
        <v>116</v>
      </c>
      <c r="BM99" s="549" t="s">
        <v>709</v>
      </c>
      <c r="BN99" s="549">
        <v>583</v>
      </c>
      <c r="BO99" s="549" t="s">
        <v>709</v>
      </c>
      <c r="BP99" s="549">
        <v>451</v>
      </c>
      <c r="BQ99" s="549">
        <v>1148</v>
      </c>
      <c r="BR99" s="549">
        <v>86</v>
      </c>
      <c r="BS99" s="549">
        <v>55</v>
      </c>
      <c r="BT99" s="549">
        <v>2</v>
      </c>
      <c r="BU99" s="549" t="s">
        <v>709</v>
      </c>
      <c r="BV99" s="549" t="s">
        <v>709</v>
      </c>
      <c r="BW99" s="549">
        <v>2</v>
      </c>
      <c r="BX99" s="549">
        <v>2</v>
      </c>
      <c r="BY99" s="549" t="s">
        <v>709</v>
      </c>
      <c r="BZ99" s="484" t="s">
        <v>1022</v>
      </c>
    </row>
    <row r="100" spans="1:78" ht="15" hidden="1" customHeight="1" x14ac:dyDescent="0.25">
      <c r="A100" s="8" t="s">
        <v>749</v>
      </c>
      <c r="B100" s="8" t="s">
        <v>4</v>
      </c>
      <c r="C100" s="8" t="s">
        <v>399</v>
      </c>
      <c r="D100" s="8" t="s">
        <v>1628</v>
      </c>
      <c r="E100" s="8" t="s">
        <v>400</v>
      </c>
      <c r="F100" s="8" t="s">
        <v>784</v>
      </c>
      <c r="G100" s="8" t="s">
        <v>35</v>
      </c>
      <c r="H100" s="8" t="s">
        <v>59</v>
      </c>
      <c r="I100" s="642">
        <v>45027</v>
      </c>
      <c r="J100" s="18">
        <v>45173</v>
      </c>
      <c r="K100" s="97">
        <v>45168</v>
      </c>
      <c r="L100" s="16">
        <f>IF(ISTEXT(Table159[[#This Row],[Engineering Approved Design Date]]),Table159[[#This Row],[Date Completed]]-Table159[[#This Row],[Date Assigned to Designer]],Table159[[#This Row],[Engineering Approved Design Date]]-Table159[[#This Row],[Date Completed]])</f>
        <v>5</v>
      </c>
      <c r="M100" s="642"/>
      <c r="N100" s="642" t="s">
        <v>120</v>
      </c>
      <c r="O100" s="510">
        <v>45170</v>
      </c>
      <c r="P100" s="221" t="s">
        <v>739</v>
      </c>
      <c r="Q100" s="70">
        <f>Table159[[#This Row],[Rate]]*Table159[[#This Row],[Construction Cost to Bill From]]</f>
        <v>22244.629000000001</v>
      </c>
      <c r="R100" s="75">
        <v>0.1</v>
      </c>
      <c r="U100" s="87"/>
      <c r="V100" s="437">
        <v>600</v>
      </c>
      <c r="W100" s="437">
        <v>0</v>
      </c>
      <c r="X100" s="24">
        <v>210973.81</v>
      </c>
      <c r="Y100" s="551"/>
      <c r="Z100" s="570">
        <v>11472.48</v>
      </c>
      <c r="AA100" s="300">
        <f>SUM(Table159[[#This Row],[PCTS Investment Amount]:[PCTS Retirement Amount]])</f>
        <v>222446.29</v>
      </c>
      <c r="AB100" s="207">
        <v>45107</v>
      </c>
      <c r="AC100" s="108" t="s">
        <v>116</v>
      </c>
      <c r="AD100" s="108" t="s">
        <v>29</v>
      </c>
      <c r="AE100" s="187" t="s">
        <v>756</v>
      </c>
      <c r="AF100" s="568" t="s">
        <v>29</v>
      </c>
      <c r="AG100" s="569" t="s">
        <v>756</v>
      </c>
      <c r="AH100" s="356" t="s">
        <v>29</v>
      </c>
      <c r="AI100" s="489"/>
      <c r="AJ100" s="553"/>
      <c r="AK100" s="553"/>
      <c r="AL100" s="495"/>
      <c r="AM100" s="21" t="s">
        <v>116</v>
      </c>
      <c r="AN100" s="680" t="s">
        <v>709</v>
      </c>
      <c r="AO100" s="681"/>
      <c r="AP100" s="682"/>
      <c r="AQ100" s="682"/>
      <c r="AR100" s="682"/>
      <c r="AS100" s="538">
        <f>IF(Table159[[#This Row],[PCTS Approved]]="N",0,Table159[[#This Row],[Investment Amount (1'#'#'#'#'#)]]+Table159[[#This Row],[Retirement Amount (3'#'#'#'#'#)]])</f>
        <v>0</v>
      </c>
      <c r="AT100" s="538">
        <f>IF(Table159[[#This Row],[Approved Construction Cost]]=0,0,Table159[[#This Row],[Approved Construction Cost]]-Table159[[#This Row],[Construction Cost to Bill From]])</f>
        <v>0</v>
      </c>
      <c r="AU100" s="538">
        <f>IFERROR(Table159[[#This Row],[Difference in Construction Cost]]*Table159[[#This Row],[Rate]],Table159[[#This Row],[Difference in Construction Cost]]*0.085)</f>
        <v>0</v>
      </c>
      <c r="AV100" s="682"/>
      <c r="AW100" s="686"/>
      <c r="AX100" s="538"/>
      <c r="AY100" s="636" t="s">
        <v>709</v>
      </c>
      <c r="AZ100" s="443">
        <v>98</v>
      </c>
      <c r="BA100" s="659" t="s">
        <v>1629</v>
      </c>
      <c r="BB100" s="653" t="s">
        <v>870</v>
      </c>
      <c r="BC100" s="478" t="s">
        <v>115</v>
      </c>
      <c r="BD100" s="544" t="s">
        <v>1626</v>
      </c>
      <c r="BE100" s="559" t="s">
        <v>1627</v>
      </c>
      <c r="BF100" s="554" t="s">
        <v>709</v>
      </c>
      <c r="BG100" s="483" t="s">
        <v>709</v>
      </c>
      <c r="BH100" s="749" t="s">
        <v>1630</v>
      </c>
      <c r="BI100" s="535" t="s">
        <v>709</v>
      </c>
      <c r="BJ100" s="547" t="s">
        <v>709</v>
      </c>
      <c r="BK100" s="547" t="s">
        <v>116</v>
      </c>
      <c r="BL100" s="547" t="s">
        <v>709</v>
      </c>
      <c r="BM100" s="547" t="s">
        <v>709</v>
      </c>
      <c r="BN100" s="547" t="s">
        <v>709</v>
      </c>
      <c r="BO100" s="547" t="s">
        <v>709</v>
      </c>
      <c r="BP100" s="547">
        <v>600</v>
      </c>
      <c r="BQ100" s="547" t="s">
        <v>709</v>
      </c>
      <c r="BR100" s="547" t="s">
        <v>709</v>
      </c>
      <c r="BS100" s="547" t="s">
        <v>709</v>
      </c>
      <c r="BT100" s="547" t="s">
        <v>709</v>
      </c>
      <c r="BU100" s="547" t="s">
        <v>709</v>
      </c>
      <c r="BV100" s="547" t="s">
        <v>745</v>
      </c>
      <c r="BW100" s="547" t="s">
        <v>709</v>
      </c>
      <c r="BX100" s="547" t="s">
        <v>709</v>
      </c>
      <c r="BY100" s="547" t="s">
        <v>709</v>
      </c>
      <c r="BZ100" s="483"/>
    </row>
    <row r="101" spans="1:78" ht="15" hidden="1" customHeight="1" x14ac:dyDescent="0.25">
      <c r="A101" s="8" t="s">
        <v>749</v>
      </c>
      <c r="B101" s="8" t="s">
        <v>4</v>
      </c>
      <c r="C101" s="8" t="s">
        <v>1623</v>
      </c>
      <c r="D101" s="8" t="s">
        <v>1624</v>
      </c>
      <c r="E101" s="8" t="s">
        <v>400</v>
      </c>
      <c r="F101" s="8" t="s">
        <v>784</v>
      </c>
      <c r="G101" s="8" t="s">
        <v>35</v>
      </c>
      <c r="H101" s="8" t="s">
        <v>59</v>
      </c>
      <c r="I101" s="642">
        <v>45027</v>
      </c>
      <c r="J101" s="18">
        <v>45173</v>
      </c>
      <c r="K101" s="97">
        <v>45168</v>
      </c>
      <c r="L101" s="16">
        <f>IF(ISTEXT(Table159[[#This Row],[Engineering Approved Design Date]]),Table159[[#This Row],[Date Completed]]-Table159[[#This Row],[Date Assigned to Designer]],Table159[[#This Row],[Engineering Approved Design Date]]-Table159[[#This Row],[Date Completed]])</f>
        <v>5</v>
      </c>
      <c r="M101" s="642"/>
      <c r="N101" s="642" t="s">
        <v>120</v>
      </c>
      <c r="O101" s="510">
        <v>45170</v>
      </c>
      <c r="P101" s="221" t="s">
        <v>739</v>
      </c>
      <c r="Q101" s="70">
        <f>Table159[[#This Row],[Rate]]*Table159[[#This Row],[Construction Cost to Bill From]]</f>
        <v>80882.487000000008</v>
      </c>
      <c r="R101" s="75">
        <v>0.1</v>
      </c>
      <c r="U101" s="87"/>
      <c r="V101" s="437">
        <v>1531</v>
      </c>
      <c r="W101" s="437">
        <v>0</v>
      </c>
      <c r="X101" s="24">
        <v>766647.95</v>
      </c>
      <c r="Y101" s="551"/>
      <c r="Z101" s="570">
        <v>42176.92</v>
      </c>
      <c r="AA101" s="300">
        <f>SUM(Table159[[#This Row],[PCTS Investment Amount]:[PCTS Retirement Amount]])</f>
        <v>808824.87</v>
      </c>
      <c r="AB101" s="207">
        <v>45107</v>
      </c>
      <c r="AC101" s="108" t="s">
        <v>116</v>
      </c>
      <c r="AD101" s="108" t="s">
        <v>29</v>
      </c>
      <c r="AE101" s="187" t="s">
        <v>756</v>
      </c>
      <c r="AF101" s="568" t="s">
        <v>29</v>
      </c>
      <c r="AG101" s="569" t="s">
        <v>756</v>
      </c>
      <c r="AH101" s="356" t="s">
        <v>29</v>
      </c>
      <c r="AI101" s="489"/>
      <c r="AJ101" s="553"/>
      <c r="AK101" s="553"/>
      <c r="AL101" s="495"/>
      <c r="AM101" s="21" t="s">
        <v>116</v>
      </c>
      <c r="AN101" s="680" t="s">
        <v>709</v>
      </c>
      <c r="AO101" s="681"/>
      <c r="AP101" s="682"/>
      <c r="AQ101" s="682"/>
      <c r="AR101" s="682"/>
      <c r="AS101" s="538">
        <f>IF(Table159[[#This Row],[PCTS Approved]]="N",0,Table159[[#This Row],[Investment Amount (1'#'#'#'#'#)]]+Table159[[#This Row],[Retirement Amount (3'#'#'#'#'#)]])</f>
        <v>0</v>
      </c>
      <c r="AT101" s="538">
        <f>IF(Table159[[#This Row],[Approved Construction Cost]]=0,0,Table159[[#This Row],[Approved Construction Cost]]-Table159[[#This Row],[Construction Cost to Bill From]])</f>
        <v>0</v>
      </c>
      <c r="AU101" s="538">
        <f>IFERROR(Table159[[#This Row],[Difference in Construction Cost]]*Table159[[#This Row],[Rate]],Table159[[#This Row],[Difference in Construction Cost]]*0.085)</f>
        <v>0</v>
      </c>
      <c r="AV101" s="682"/>
      <c r="AW101" s="686"/>
      <c r="AX101" s="538"/>
      <c r="AY101" s="636" t="s">
        <v>709</v>
      </c>
      <c r="AZ101" s="443">
        <v>97</v>
      </c>
      <c r="BA101" s="659" t="s">
        <v>1625</v>
      </c>
      <c r="BB101" s="653" t="s">
        <v>870</v>
      </c>
      <c r="BC101" s="478" t="s">
        <v>115</v>
      </c>
      <c r="BD101" s="544" t="s">
        <v>1626</v>
      </c>
      <c r="BE101" s="559" t="s">
        <v>1627</v>
      </c>
      <c r="BF101" s="554" t="s">
        <v>709</v>
      </c>
      <c r="BG101" s="483" t="s">
        <v>709</v>
      </c>
      <c r="BH101" s="749"/>
      <c r="BI101" s="535" t="s">
        <v>709</v>
      </c>
      <c r="BJ101" s="547" t="s">
        <v>709</v>
      </c>
      <c r="BK101" s="547" t="s">
        <v>116</v>
      </c>
      <c r="BL101" s="547" t="s">
        <v>709</v>
      </c>
      <c r="BM101" s="547" t="s">
        <v>709</v>
      </c>
      <c r="BN101" s="547" t="s">
        <v>709</v>
      </c>
      <c r="BO101" s="547" t="s">
        <v>709</v>
      </c>
      <c r="BP101" s="547">
        <v>600</v>
      </c>
      <c r="BQ101" s="547" t="s">
        <v>709</v>
      </c>
      <c r="BR101" s="547" t="s">
        <v>709</v>
      </c>
      <c r="BS101" s="547" t="s">
        <v>709</v>
      </c>
      <c r="BT101" s="547" t="s">
        <v>709</v>
      </c>
      <c r="BU101" s="547" t="s">
        <v>709</v>
      </c>
      <c r="BV101" s="547" t="s">
        <v>745</v>
      </c>
      <c r="BW101" s="547" t="s">
        <v>709</v>
      </c>
      <c r="BX101" s="547" t="s">
        <v>709</v>
      </c>
      <c r="BY101" s="547" t="s">
        <v>709</v>
      </c>
      <c r="BZ101" s="483"/>
    </row>
    <row r="102" spans="1:78" ht="15" hidden="1" customHeight="1" x14ac:dyDescent="0.25">
      <c r="A102" s="8" t="s">
        <v>800</v>
      </c>
      <c r="B102" s="8" t="s">
        <v>4</v>
      </c>
      <c r="C102" s="8" t="s">
        <v>6474</v>
      </c>
      <c r="D102" s="8" t="s">
        <v>6475</v>
      </c>
      <c r="E102" s="8" t="s">
        <v>111</v>
      </c>
      <c r="F102" s="8" t="s">
        <v>784</v>
      </c>
      <c r="G102" s="8" t="s">
        <v>26</v>
      </c>
      <c r="H102" s="8" t="s">
        <v>59</v>
      </c>
      <c r="I102" s="642">
        <v>45100</v>
      </c>
      <c r="J102" s="777">
        <v>45504</v>
      </c>
      <c r="K102" s="97">
        <v>45504</v>
      </c>
      <c r="L102" s="16">
        <f>IF(ISTEXT(Table159[[#This Row],[Engineering Approved Design Date]]),Table159[[#This Row],[Date Completed]]-Table159[[#This Row],[Date Assigned to Designer]],Table159[[#This Row],[Engineering Approved Design Date]]-Table159[[#This Row],[Date Completed]])</f>
        <v>0</v>
      </c>
      <c r="M102" s="642"/>
      <c r="N102" s="99" t="s">
        <v>120</v>
      </c>
      <c r="O102" s="510">
        <v>45505</v>
      </c>
      <c r="P102" s="221" t="s">
        <v>739</v>
      </c>
      <c r="Q102" s="70">
        <f>Table159[[#This Row],[Rate]]*Table159[[#This Row],[Construction Cost to Bill From]]</f>
        <v>7327.8270000000011</v>
      </c>
      <c r="R102" s="75">
        <v>0.1</v>
      </c>
      <c r="S102" s="24" t="s">
        <v>29</v>
      </c>
      <c r="T102" s="538" t="s">
        <v>29</v>
      </c>
      <c r="U102" s="28" t="s">
        <v>29</v>
      </c>
      <c r="V102" s="437">
        <v>230</v>
      </c>
      <c r="W102" s="437">
        <v>0</v>
      </c>
      <c r="X102" s="24">
        <v>44717.62</v>
      </c>
      <c r="Y102" s="550"/>
      <c r="Z102" s="552">
        <v>28560.65</v>
      </c>
      <c r="AA102" s="300">
        <f>SUM(Table159[[#This Row],[PCTS Investment Amount]:[PCTS Retirement Amount]])</f>
        <v>73278.27</v>
      </c>
      <c r="AB102" s="207">
        <v>45505</v>
      </c>
      <c r="AC102" s="22" t="s">
        <v>709</v>
      </c>
      <c r="AD102" s="22" t="s">
        <v>29</v>
      </c>
      <c r="AE102" s="187" t="s">
        <v>116</v>
      </c>
      <c r="AF102" s="568" t="s">
        <v>116</v>
      </c>
      <c r="AG102" s="568" t="s">
        <v>116</v>
      </c>
      <c r="AH102" s="356">
        <v>45525</v>
      </c>
      <c r="AI102" s="509">
        <v>0</v>
      </c>
      <c r="AJ102" s="541">
        <v>4262.8</v>
      </c>
      <c r="AK102" s="557">
        <v>0</v>
      </c>
      <c r="AL102" s="494">
        <f>SUM(Table159[[#This Row],[Nicor Initiated DBE]:[Staffing]])/(Table159[[#This Row],[Amount Invoiced]])</f>
        <v>0.58172770727256518</v>
      </c>
      <c r="AM102" s="21" t="s">
        <v>116</v>
      </c>
      <c r="AN102" s="801">
        <v>45567</v>
      </c>
      <c r="AO102" s="806">
        <v>11091841</v>
      </c>
      <c r="AP102" s="788">
        <v>44717.62</v>
      </c>
      <c r="AQ102" s="788"/>
      <c r="AR102" s="788">
        <v>28560.65</v>
      </c>
      <c r="AS102" s="538">
        <f>IF(Table159[[#This Row],[PCTS Approved]]="N",0,Table159[[#This Row],[Investment Amount (1'#'#'#'#'#)]]+Table159[[#This Row],[Retirement Amount (3'#'#'#'#'#)]])</f>
        <v>73278.27</v>
      </c>
      <c r="AT102" s="538">
        <f>IF(Table159[[#This Row],[Approved Construction Cost]]=0,0,Table159[[#This Row],[Approved Construction Cost]]-Table159[[#This Row],[Construction Cost to Bill From]])</f>
        <v>0</v>
      </c>
      <c r="AU102" s="538">
        <f>IFERROR(Table159[[#This Row],[Difference in Construction Cost]]*Table159[[#This Row],[Rate]],Table159[[#This Row],[Difference in Construction Cost]]*0.085)</f>
        <v>0</v>
      </c>
      <c r="AV102" s="718">
        <v>14648</v>
      </c>
      <c r="AW102" s="660" t="s">
        <v>6837</v>
      </c>
      <c r="AX102" s="555"/>
      <c r="AY102" s="636" t="s">
        <v>709</v>
      </c>
      <c r="AZ102" s="443"/>
      <c r="BA102" s="643" t="s">
        <v>6476</v>
      </c>
      <c r="BB102" s="644" t="s">
        <v>961</v>
      </c>
      <c r="BC102" s="479" t="s">
        <v>116</v>
      </c>
      <c r="BD102" s="559" t="s">
        <v>709</v>
      </c>
      <c r="BE102" s="554" t="s">
        <v>1114</v>
      </c>
      <c r="BF102" s="588" t="s">
        <v>709</v>
      </c>
      <c r="BG102" s="612" t="s">
        <v>709</v>
      </c>
      <c r="BH102" s="615" t="s">
        <v>6477</v>
      </c>
      <c r="BI102" s="528" t="s">
        <v>709</v>
      </c>
      <c r="BJ102" s="626" t="s">
        <v>709</v>
      </c>
      <c r="BK102" s="549" t="s">
        <v>709</v>
      </c>
      <c r="BL102" s="547" t="s">
        <v>116</v>
      </c>
      <c r="BM102" s="549" t="s">
        <v>709</v>
      </c>
      <c r="BN102" s="549" t="s">
        <v>709</v>
      </c>
      <c r="BO102" s="549" t="s">
        <v>709</v>
      </c>
      <c r="BP102" s="549" t="s">
        <v>709</v>
      </c>
      <c r="BQ102" s="549" t="s">
        <v>709</v>
      </c>
      <c r="BR102" s="549" t="s">
        <v>709</v>
      </c>
      <c r="BS102" s="549">
        <v>230</v>
      </c>
      <c r="BT102" s="549" t="s">
        <v>709</v>
      </c>
      <c r="BU102" s="549" t="s">
        <v>709</v>
      </c>
      <c r="BV102" s="549" t="s">
        <v>709</v>
      </c>
      <c r="BW102" s="549" t="s">
        <v>709</v>
      </c>
      <c r="BX102" s="549" t="s">
        <v>709</v>
      </c>
      <c r="BY102" s="549" t="s">
        <v>709</v>
      </c>
      <c r="BZ102" s="743" t="s">
        <v>6478</v>
      </c>
    </row>
    <row r="103" spans="1:78" ht="15" hidden="1" customHeight="1" x14ac:dyDescent="0.25">
      <c r="A103" s="13">
        <v>2023</v>
      </c>
      <c r="B103" s="13" t="s">
        <v>759</v>
      </c>
      <c r="C103" s="13" t="s">
        <v>224</v>
      </c>
      <c r="D103" s="13">
        <v>102083</v>
      </c>
      <c r="E103" s="13" t="s">
        <v>225</v>
      </c>
      <c r="F103" s="452" t="s">
        <v>752</v>
      </c>
      <c r="G103" s="13" t="s">
        <v>34</v>
      </c>
      <c r="H103" s="13" t="s">
        <v>59</v>
      </c>
      <c r="I103" s="642">
        <v>44965</v>
      </c>
      <c r="J103" s="18">
        <v>45142</v>
      </c>
      <c r="K103" s="175">
        <v>45142</v>
      </c>
      <c r="L103" s="649">
        <f>IF(ISTEXT(Table159[[#This Row],[Engineering Approved Design Date]]),Table159[[#This Row],[Date Completed]]-Table159[[#This Row],[Date Assigned to Designer]],Table159[[#This Row],[Engineering Approved Design Date]]-Table159[[#This Row],[Date Completed]])</f>
        <v>0</v>
      </c>
      <c r="N103" s="642" t="s">
        <v>120</v>
      </c>
      <c r="O103" s="558">
        <v>45170</v>
      </c>
      <c r="P103" s="221" t="s">
        <v>120</v>
      </c>
      <c r="Q103" s="70">
        <f>Table159[[#This Row],[Rate]]*Table159[[#This Row],[Construction Cost to Bill From]]</f>
        <v>150646.77649999998</v>
      </c>
      <c r="R103" s="77">
        <v>0.11</v>
      </c>
      <c r="V103" s="442">
        <v>776</v>
      </c>
      <c r="W103" s="442">
        <v>1</v>
      </c>
      <c r="X103" s="94">
        <v>1256808.9099999999</v>
      </c>
      <c r="Y103" s="550"/>
      <c r="Z103" s="552">
        <v>112707.24</v>
      </c>
      <c r="AA103" s="300">
        <f>SUM(Table159[[#This Row],[PCTS Investment Amount]:[PCTS Retirement Amount]])</f>
        <v>1369516.15</v>
      </c>
      <c r="AB103" s="212">
        <v>45166</v>
      </c>
      <c r="AC103" s="229" t="s">
        <v>1441</v>
      </c>
      <c r="AD103" s="229" t="s">
        <v>29</v>
      </c>
      <c r="AE103" s="187" t="s">
        <v>116</v>
      </c>
      <c r="AF103" s="568" t="s">
        <v>756</v>
      </c>
      <c r="AG103" s="568" t="s">
        <v>116</v>
      </c>
      <c r="AH103" s="356" t="s">
        <v>116</v>
      </c>
      <c r="AI103" s="490"/>
      <c r="AJ103" s="583"/>
      <c r="AK103" s="583"/>
      <c r="AL103" s="496"/>
      <c r="AM103" s="21" t="s">
        <v>116</v>
      </c>
      <c r="AN103" s="680" t="s">
        <v>709</v>
      </c>
      <c r="AO103" s="601">
        <v>11015976</v>
      </c>
      <c r="AP103" s="572"/>
      <c r="AQ103" s="572"/>
      <c r="AR103" s="572"/>
      <c r="AS103" s="538">
        <f>IF(Table159[[#This Row],[PCTS Approved]]="N",0,Table159[[#This Row],[Investment Amount (1'#'#'#'#'#)]]+Table159[[#This Row],[Retirement Amount (3'#'#'#'#'#)]])</f>
        <v>0</v>
      </c>
      <c r="AT103" s="538">
        <f>IF(Table159[[#This Row],[Approved Construction Cost]]=0,0,Table159[[#This Row],[Approved Construction Cost]]-Table159[[#This Row],[Construction Cost to Bill From]])</f>
        <v>0</v>
      </c>
      <c r="AU103" s="538">
        <f>IFERROR(Table159[[#This Row],[Difference in Construction Cost]]*Table159[[#This Row],[Rate]],Table159[[#This Row],[Difference in Construction Cost]]*0.085)</f>
        <v>0</v>
      </c>
      <c r="AV103" s="572"/>
      <c r="AW103" s="639"/>
      <c r="AX103" s="538"/>
      <c r="AY103" s="636" t="s">
        <v>709</v>
      </c>
      <c r="AZ103" s="443">
        <v>158</v>
      </c>
      <c r="BA103" s="652" t="s">
        <v>1613</v>
      </c>
      <c r="BB103" s="543" t="s">
        <v>1614</v>
      </c>
      <c r="BC103" s="478" t="s">
        <v>116</v>
      </c>
      <c r="BD103" s="544" t="s">
        <v>1066</v>
      </c>
      <c r="BE103" s="544" t="s">
        <v>115</v>
      </c>
      <c r="BF103" s="544" t="s">
        <v>115</v>
      </c>
      <c r="BG103" s="512" t="s">
        <v>115</v>
      </c>
      <c r="BH103" s="741" t="s">
        <v>1273</v>
      </c>
      <c r="BI103" s="535" t="s">
        <v>709</v>
      </c>
      <c r="BJ103" s="547" t="s">
        <v>709</v>
      </c>
      <c r="BK103" s="547" t="s">
        <v>709</v>
      </c>
      <c r="BL103" s="547" t="s">
        <v>116</v>
      </c>
      <c r="BM103" s="547" t="s">
        <v>709</v>
      </c>
      <c r="BN103" s="547" t="s">
        <v>709</v>
      </c>
      <c r="BO103" s="547" t="s">
        <v>709</v>
      </c>
      <c r="BP103" s="547">
        <v>547</v>
      </c>
      <c r="BQ103" s="547">
        <v>41</v>
      </c>
      <c r="BR103" s="547">
        <v>73</v>
      </c>
      <c r="BS103" s="547">
        <v>25</v>
      </c>
      <c r="BT103" s="547">
        <v>1</v>
      </c>
      <c r="BU103" s="547" t="s">
        <v>709</v>
      </c>
      <c r="BV103" s="547" t="s">
        <v>745</v>
      </c>
      <c r="BW103" s="547">
        <v>1</v>
      </c>
      <c r="BX103" s="547" t="s">
        <v>709</v>
      </c>
      <c r="BY103" s="547" t="s">
        <v>745</v>
      </c>
      <c r="BZ103" s="483" t="s">
        <v>1022</v>
      </c>
    </row>
    <row r="104" spans="1:78" ht="15" hidden="1" customHeight="1" x14ac:dyDescent="0.25">
      <c r="A104" s="8" t="s">
        <v>800</v>
      </c>
      <c r="B104" s="8" t="s">
        <v>4</v>
      </c>
      <c r="C104" s="8" t="s">
        <v>1774</v>
      </c>
      <c r="D104" s="8" t="s">
        <v>1775</v>
      </c>
      <c r="E104" s="8" t="s">
        <v>155</v>
      </c>
      <c r="F104" s="8" t="s">
        <v>784</v>
      </c>
      <c r="G104" s="8" t="s">
        <v>28</v>
      </c>
      <c r="H104" s="8" t="s">
        <v>59</v>
      </c>
      <c r="I104" s="642">
        <v>45307</v>
      </c>
      <c r="J104" s="18">
        <v>45436</v>
      </c>
      <c r="K104" s="97">
        <v>45413</v>
      </c>
      <c r="L104" s="16">
        <f>IF(ISTEXT(Table159[[#This Row],[Engineering Approved Design Date]]),Table159[[#This Row],[Date Completed]]-Table159[[#This Row],[Date Assigned to Designer]],Table159[[#This Row],[Engineering Approved Design Date]]-Table159[[#This Row],[Date Completed]])</f>
        <v>23</v>
      </c>
      <c r="M104" s="642"/>
      <c r="N104" s="642" t="s">
        <v>120</v>
      </c>
      <c r="O104" s="510">
        <v>45413</v>
      </c>
      <c r="P104" s="221" t="s">
        <v>739</v>
      </c>
      <c r="Q104" s="70">
        <f>Table159[[#This Row],[Rate]]*Table159[[#This Row],[Construction Cost to Bill From]]</f>
        <v>11779.631000000001</v>
      </c>
      <c r="R104" s="75">
        <v>0.1</v>
      </c>
      <c r="U104" s="87"/>
      <c r="V104" s="437">
        <v>203</v>
      </c>
      <c r="W104" s="437">
        <v>0</v>
      </c>
      <c r="X104" s="24">
        <v>104917.16</v>
      </c>
      <c r="Y104" s="551"/>
      <c r="Z104" s="552">
        <v>12879.15</v>
      </c>
      <c r="AA104" s="300">
        <f>SUM(Table159[[#This Row],[PCTS Investment Amount]:[PCTS Retirement Amount]])</f>
        <v>117796.31</v>
      </c>
      <c r="AB104" s="207">
        <v>45352</v>
      </c>
      <c r="AC104" s="22" t="s">
        <v>29</v>
      </c>
      <c r="AD104" s="22" t="s">
        <v>29</v>
      </c>
      <c r="AE104" s="187" t="s">
        <v>116</v>
      </c>
      <c r="AF104" s="568" t="s">
        <v>116</v>
      </c>
      <c r="AG104" s="568" t="s">
        <v>376</v>
      </c>
      <c r="AH104" s="356">
        <v>45447</v>
      </c>
      <c r="AI104" s="426" t="s">
        <v>115</v>
      </c>
      <c r="AJ104" s="542">
        <v>2550</v>
      </c>
      <c r="AK104" s="542" t="s">
        <v>115</v>
      </c>
      <c r="AL104" s="493">
        <f>SUM(Table159[[#This Row],[Nicor Initiated DBE]:[Staffing]])/(Table159[[#This Row],[Amount Invoiced]])</f>
        <v>0.21647537176673867</v>
      </c>
      <c r="AM104" s="21" t="s">
        <v>116</v>
      </c>
      <c r="AN104" s="801">
        <v>45524</v>
      </c>
      <c r="AO104" s="806">
        <v>11089694</v>
      </c>
      <c r="AP104" s="788">
        <v>107241.82</v>
      </c>
      <c r="AQ104" s="788"/>
      <c r="AR104" s="788">
        <v>13259.35</v>
      </c>
      <c r="AS104" s="538">
        <f>IF(Table159[[#This Row],[PCTS Approved]]="N",0,Table159[[#This Row],[Investment Amount (1'#'#'#'#'#)]]+Table159[[#This Row],[Retirement Amount (3'#'#'#'#'#)]])</f>
        <v>120501.17000000001</v>
      </c>
      <c r="AT104" s="538">
        <f>IF(Table159[[#This Row],[Approved Construction Cost]]=0,0,Table159[[#This Row],[Approved Construction Cost]]-Table159[[#This Row],[Construction Cost to Bill From]])</f>
        <v>2704.8600000000151</v>
      </c>
      <c r="AU104" s="538">
        <f>IFERROR(Table159[[#This Row],[Difference in Construction Cost]]*Table159[[#This Row],[Rate]],Table159[[#This Row],[Difference in Construction Cost]]*0.085)</f>
        <v>270.48600000000152</v>
      </c>
      <c r="AV104" s="803">
        <v>3052.5</v>
      </c>
      <c r="AW104" s="783" t="s">
        <v>6838</v>
      </c>
      <c r="AX104" s="555"/>
      <c r="AY104" s="636" t="s">
        <v>709</v>
      </c>
      <c r="AZ104" s="443">
        <v>136</v>
      </c>
      <c r="BA104" s="651" t="s">
        <v>1776</v>
      </c>
      <c r="BB104" s="644" t="s">
        <v>1750</v>
      </c>
      <c r="BC104" s="479" t="s">
        <v>709</v>
      </c>
      <c r="BD104" s="554" t="s">
        <v>882</v>
      </c>
      <c r="BE104" s="588" t="s">
        <v>709</v>
      </c>
      <c r="BF104" s="588" t="s">
        <v>709</v>
      </c>
      <c r="BG104" s="483" t="s">
        <v>1505</v>
      </c>
      <c r="BH104" s="615" t="s">
        <v>1777</v>
      </c>
      <c r="BI104" s="535" t="s">
        <v>709</v>
      </c>
      <c r="BJ104" s="549" t="s">
        <v>709</v>
      </c>
      <c r="BK104" s="547" t="s">
        <v>709</v>
      </c>
      <c r="BL104" s="547" t="s">
        <v>116</v>
      </c>
      <c r="BM104" s="626" t="s">
        <v>709</v>
      </c>
      <c r="BN104" s="626" t="s">
        <v>709</v>
      </c>
      <c r="BO104" s="626" t="s">
        <v>709</v>
      </c>
      <c r="BP104" s="626" t="s">
        <v>709</v>
      </c>
      <c r="BQ104" s="626" t="s">
        <v>709</v>
      </c>
      <c r="BR104" s="549">
        <v>203</v>
      </c>
      <c r="BS104" s="549" t="s">
        <v>709</v>
      </c>
      <c r="BT104" s="549" t="s">
        <v>745</v>
      </c>
      <c r="BU104" s="549" t="s">
        <v>709</v>
      </c>
      <c r="BV104" s="549" t="s">
        <v>745</v>
      </c>
      <c r="BW104" s="549" t="s">
        <v>709</v>
      </c>
      <c r="BX104" s="547" t="s">
        <v>745</v>
      </c>
      <c r="BY104" s="549" t="s">
        <v>745</v>
      </c>
      <c r="BZ104" s="483" t="s">
        <v>29</v>
      </c>
    </row>
    <row r="105" spans="1:78" ht="15" hidden="1" customHeight="1" x14ac:dyDescent="0.25">
      <c r="A105" s="8" t="s">
        <v>749</v>
      </c>
      <c r="B105" s="8" t="s">
        <v>4</v>
      </c>
      <c r="C105" s="8" t="s">
        <v>1631</v>
      </c>
      <c r="D105" s="8" t="s">
        <v>1632</v>
      </c>
      <c r="E105" s="8" t="s">
        <v>1633</v>
      </c>
      <c r="F105" s="8" t="s">
        <v>784</v>
      </c>
      <c r="G105" s="8" t="s">
        <v>25</v>
      </c>
      <c r="H105" s="8" t="s">
        <v>59</v>
      </c>
      <c r="I105" s="642">
        <v>44966</v>
      </c>
      <c r="J105" s="18">
        <v>45191</v>
      </c>
      <c r="K105" s="97">
        <v>45188</v>
      </c>
      <c r="L105" s="16">
        <f>IF(ISTEXT(Table159[[#This Row],[Engineering Approved Design Date]]),Table159[[#This Row],[Date Completed]]-Table159[[#This Row],[Date Assigned to Designer]],Table159[[#This Row],[Engineering Approved Design Date]]-Table159[[#This Row],[Date Completed]])</f>
        <v>3</v>
      </c>
      <c r="M105" s="642"/>
      <c r="N105" s="642" t="s">
        <v>120</v>
      </c>
      <c r="O105" s="510">
        <v>45200</v>
      </c>
      <c r="P105" s="221" t="s">
        <v>739</v>
      </c>
      <c r="Q105" s="70">
        <f>Table159[[#This Row],[Rate]]*Table159[[#This Row],[Construction Cost to Bill From]]</f>
        <v>70945.646999999997</v>
      </c>
      <c r="R105" s="75">
        <v>0.1</v>
      </c>
      <c r="U105" s="87"/>
      <c r="V105" s="437">
        <v>2830</v>
      </c>
      <c r="W105" s="437">
        <v>0</v>
      </c>
      <c r="X105" s="24">
        <v>680056.27</v>
      </c>
      <c r="Y105" s="551"/>
      <c r="Z105" s="570">
        <v>29400.2</v>
      </c>
      <c r="AA105" s="300">
        <f>Table159[[#This Row],[PCTS Retirement Amount]]+Table159[[#This Row],[PCTS Investment Amount]]</f>
        <v>709456.47</v>
      </c>
      <c r="AB105" s="207">
        <v>45175</v>
      </c>
      <c r="AC105" s="108" t="s">
        <v>709</v>
      </c>
      <c r="AD105" s="108" t="s">
        <v>29</v>
      </c>
      <c r="AE105" s="187" t="s">
        <v>756</v>
      </c>
      <c r="AF105" s="568" t="s">
        <v>756</v>
      </c>
      <c r="AG105" s="568" t="s">
        <v>116</v>
      </c>
      <c r="AH105" s="356">
        <v>45222</v>
      </c>
      <c r="AI105" s="489"/>
      <c r="AJ105" s="553"/>
      <c r="AK105" s="553"/>
      <c r="AL105" s="495"/>
      <c r="AM105" s="21" t="s">
        <v>116</v>
      </c>
      <c r="AN105" s="680" t="s">
        <v>709</v>
      </c>
      <c r="AO105" s="601"/>
      <c r="AP105" s="572"/>
      <c r="AQ105" s="572"/>
      <c r="AR105" s="572"/>
      <c r="AS105" s="538">
        <f>IF(Table159[[#This Row],[PCTS Approved]]="N",0,Table159[[#This Row],[Investment Amount (1'#'#'#'#'#)]]+Table159[[#This Row],[Retirement Amount (3'#'#'#'#'#)]])</f>
        <v>0</v>
      </c>
      <c r="AT105" s="538">
        <f>IF(Table159[[#This Row],[Approved Construction Cost]]=0,0,Table159[[#This Row],[Approved Construction Cost]]-Table159[[#This Row],[Construction Cost to Bill From]])</f>
        <v>0</v>
      </c>
      <c r="AU105" s="538">
        <f>IFERROR(Table159[[#This Row],[Difference in Construction Cost]]*Table159[[#This Row],[Rate]],Table159[[#This Row],[Difference in Construction Cost]]*0.085)</f>
        <v>0</v>
      </c>
      <c r="AV105" s="572"/>
      <c r="AW105" s="639"/>
      <c r="AX105" s="538"/>
      <c r="AY105" s="636" t="s">
        <v>709</v>
      </c>
      <c r="AZ105" s="443">
        <v>100</v>
      </c>
      <c r="BA105" s="659" t="s">
        <v>1634</v>
      </c>
      <c r="BB105" s="653" t="s">
        <v>1635</v>
      </c>
      <c r="BC105" s="478" t="s">
        <v>709</v>
      </c>
      <c r="BD105" s="544" t="s">
        <v>788</v>
      </c>
      <c r="BE105" s="559" t="s">
        <v>1636</v>
      </c>
      <c r="BF105" s="554" t="s">
        <v>709</v>
      </c>
      <c r="BG105" s="483" t="s">
        <v>709</v>
      </c>
      <c r="BH105" s="749" t="s">
        <v>1637</v>
      </c>
      <c r="BI105" s="535" t="s">
        <v>709</v>
      </c>
      <c r="BJ105" s="547" t="s">
        <v>709</v>
      </c>
      <c r="BK105" s="547" t="s">
        <v>709</v>
      </c>
      <c r="BL105" s="547" t="s">
        <v>116</v>
      </c>
      <c r="BM105" s="547" t="s">
        <v>709</v>
      </c>
      <c r="BN105" s="547" t="s">
        <v>709</v>
      </c>
      <c r="BO105" s="547" t="s">
        <v>709</v>
      </c>
      <c r="BP105" s="547" t="s">
        <v>709</v>
      </c>
      <c r="BQ105" s="547" t="s">
        <v>709</v>
      </c>
      <c r="BR105" s="547">
        <v>1359</v>
      </c>
      <c r="BS105" s="547">
        <v>1473</v>
      </c>
      <c r="BT105" s="547" t="s">
        <v>709</v>
      </c>
      <c r="BU105" s="547" t="s">
        <v>709</v>
      </c>
      <c r="BV105" s="547" t="s">
        <v>745</v>
      </c>
      <c r="BW105" s="547" t="s">
        <v>709</v>
      </c>
      <c r="BX105" s="547" t="s">
        <v>709</v>
      </c>
      <c r="BY105" s="547" t="s">
        <v>709</v>
      </c>
      <c r="BZ105" s="483"/>
    </row>
    <row r="106" spans="1:78" ht="15" hidden="1" customHeight="1" x14ac:dyDescent="0.25">
      <c r="A106" s="8" t="s">
        <v>800</v>
      </c>
      <c r="B106" s="8" t="s">
        <v>730</v>
      </c>
      <c r="C106" s="8" t="s">
        <v>1638</v>
      </c>
      <c r="D106" s="8" t="s">
        <v>1639</v>
      </c>
      <c r="E106" s="8" t="s">
        <v>232</v>
      </c>
      <c r="F106" s="8" t="s">
        <v>752</v>
      </c>
      <c r="G106" s="8" t="s">
        <v>37</v>
      </c>
      <c r="H106" s="13" t="s">
        <v>59</v>
      </c>
      <c r="I106" s="642">
        <v>45089</v>
      </c>
      <c r="J106" s="18">
        <v>45211</v>
      </c>
      <c r="K106" s="175">
        <v>45194</v>
      </c>
      <c r="L106" s="649">
        <f>IF(ISTEXT(Table159[[#This Row],[Engineering Approved Design Date]]),Table159[[#This Row],[Date Completed]]-Table159[[#This Row],[Date Assigned to Designer]],Table159[[#This Row],[Engineering Approved Design Date]]-Table159[[#This Row],[Date Completed]])</f>
        <v>17</v>
      </c>
      <c r="M106" s="642"/>
      <c r="N106" s="642" t="s">
        <v>120</v>
      </c>
      <c r="O106" s="510">
        <v>45231</v>
      </c>
      <c r="P106" s="221" t="s">
        <v>120</v>
      </c>
      <c r="Q106" s="70">
        <f>Table159[[#This Row],[Rate]]*Table159[[#This Row],[Construction Cost to Bill From]]</f>
        <v>124640.64630000001</v>
      </c>
      <c r="R106" s="75">
        <v>0.09</v>
      </c>
      <c r="U106" s="87"/>
      <c r="V106" s="437">
        <v>3831</v>
      </c>
      <c r="W106" s="437">
        <v>0</v>
      </c>
      <c r="X106" s="94">
        <v>1261547.47</v>
      </c>
      <c r="Y106" s="551"/>
      <c r="Z106" s="552">
        <v>123348.6</v>
      </c>
      <c r="AA106" s="300">
        <f>Table159[[#This Row],[PCTS Retirement Amount]]+Table159[[#This Row],[PCTS Investment Amount]]</f>
        <v>1384896.07</v>
      </c>
      <c r="AB106" s="207">
        <v>45194</v>
      </c>
      <c r="AC106" s="108" t="s">
        <v>709</v>
      </c>
      <c r="AD106" s="108" t="s">
        <v>29</v>
      </c>
      <c r="AE106" s="187" t="s">
        <v>116</v>
      </c>
      <c r="AF106" s="568" t="s">
        <v>756</v>
      </c>
      <c r="AG106" s="568" t="s">
        <v>116</v>
      </c>
      <c r="AH106" s="356" t="s">
        <v>116</v>
      </c>
      <c r="AI106" s="489"/>
      <c r="AJ106" s="553"/>
      <c r="AK106" s="553"/>
      <c r="AL106" s="495"/>
      <c r="AM106" s="21" t="s">
        <v>116</v>
      </c>
      <c r="AN106" s="680" t="s">
        <v>709</v>
      </c>
      <c r="AO106" s="601"/>
      <c r="AP106" s="572"/>
      <c r="AQ106" s="572"/>
      <c r="AR106" s="572"/>
      <c r="AS106" s="538">
        <f>IF(Table159[[#This Row],[PCTS Approved]]="N",0,Table159[[#This Row],[Investment Amount (1'#'#'#'#'#)]]+Table159[[#This Row],[Retirement Amount (3'#'#'#'#'#)]])</f>
        <v>0</v>
      </c>
      <c r="AT106" s="538">
        <f>IF(Table159[[#This Row],[Approved Construction Cost]]=0,0,Table159[[#This Row],[Approved Construction Cost]]-Table159[[#This Row],[Construction Cost to Bill From]])</f>
        <v>0</v>
      </c>
      <c r="AU106" s="538">
        <f>IFERROR(Table159[[#This Row],[Difference in Construction Cost]]*Table159[[#This Row],[Rate]],Table159[[#This Row],[Difference in Construction Cost]]*0.085)</f>
        <v>0</v>
      </c>
      <c r="AV106" s="602"/>
      <c r="AW106" s="640"/>
      <c r="AX106" s="555"/>
      <c r="AY106" s="636" t="s">
        <v>709</v>
      </c>
      <c r="AZ106" s="443">
        <v>51</v>
      </c>
      <c r="BA106" s="659" t="s">
        <v>1640</v>
      </c>
      <c r="BB106" s="644" t="s">
        <v>1641</v>
      </c>
      <c r="BC106" s="478"/>
      <c r="BD106" s="544"/>
      <c r="BE106" s="544"/>
      <c r="BF106" s="544"/>
      <c r="BG106" s="512"/>
      <c r="BH106" s="741" t="s">
        <v>5997</v>
      </c>
      <c r="BI106" s="535" t="s">
        <v>709</v>
      </c>
      <c r="BJ106" s="547" t="s">
        <v>709</v>
      </c>
      <c r="BK106" s="547" t="s">
        <v>709</v>
      </c>
      <c r="BL106" s="547" t="s">
        <v>116</v>
      </c>
      <c r="BM106" s="547" t="s">
        <v>709</v>
      </c>
      <c r="BN106" s="547" t="s">
        <v>709</v>
      </c>
      <c r="BO106" s="547" t="s">
        <v>709</v>
      </c>
      <c r="BP106" s="547" t="s">
        <v>709</v>
      </c>
      <c r="BQ106" s="547" t="s">
        <v>709</v>
      </c>
      <c r="BR106" s="547">
        <v>3831</v>
      </c>
      <c r="BS106" s="547" t="s">
        <v>709</v>
      </c>
      <c r="BT106" s="547" t="s">
        <v>709</v>
      </c>
      <c r="BU106" s="547" t="s">
        <v>709</v>
      </c>
      <c r="BV106" s="547" t="s">
        <v>709</v>
      </c>
      <c r="BW106" s="547" t="s">
        <v>709</v>
      </c>
      <c r="BX106" s="547">
        <v>1</v>
      </c>
      <c r="BY106" s="547" t="s">
        <v>709</v>
      </c>
      <c r="BZ106" s="483"/>
    </row>
    <row r="107" spans="1:78" ht="15" hidden="1" customHeight="1" x14ac:dyDescent="0.25">
      <c r="A107" s="8" t="s">
        <v>749</v>
      </c>
      <c r="B107" s="8" t="s">
        <v>4</v>
      </c>
      <c r="C107" s="8" t="s">
        <v>1672</v>
      </c>
      <c r="D107" s="8" t="s">
        <v>1673</v>
      </c>
      <c r="E107" s="8" t="s">
        <v>1674</v>
      </c>
      <c r="F107" s="8" t="s">
        <v>784</v>
      </c>
      <c r="G107" s="8" t="s">
        <v>23</v>
      </c>
      <c r="H107" s="8" t="s">
        <v>413</v>
      </c>
      <c r="I107" s="642">
        <v>45027</v>
      </c>
      <c r="J107" s="18">
        <v>45254</v>
      </c>
      <c r="K107" s="97">
        <v>45251</v>
      </c>
      <c r="L107" s="16">
        <f>IF(ISTEXT(Table159[[#This Row],[Engineering Approved Design Date]]),Table159[[#This Row],[Date Completed]]-Table159[[#This Row],[Date Assigned to Designer]],Table159[[#This Row],[Engineering Approved Design Date]]-Table159[[#This Row],[Date Completed]])</f>
        <v>3</v>
      </c>
      <c r="M107" s="642"/>
      <c r="N107" s="642" t="s">
        <v>120</v>
      </c>
      <c r="O107" s="510">
        <v>45261</v>
      </c>
      <c r="P107" s="221" t="s">
        <v>739</v>
      </c>
      <c r="Q107" s="70">
        <f>Table159[[#This Row],[Rate]]*Table159[[#This Row],[Construction Cost to Bill From]]</f>
        <v>5355.2860000000001</v>
      </c>
      <c r="R107" s="75">
        <v>0.1</v>
      </c>
      <c r="U107" s="87"/>
      <c r="V107" s="437">
        <v>0</v>
      </c>
      <c r="W107" s="437">
        <v>0</v>
      </c>
      <c r="X107" s="24">
        <v>0</v>
      </c>
      <c r="Y107" s="551"/>
      <c r="Z107" s="552">
        <v>53552.86</v>
      </c>
      <c r="AA107" s="300">
        <f>SUM(Table159[[#This Row],[PCTS Investment Amount]:[PCTS Retirement Amount]])</f>
        <v>53552.86</v>
      </c>
      <c r="AB107" s="207">
        <v>45257</v>
      </c>
      <c r="AC107" s="108" t="s">
        <v>709</v>
      </c>
      <c r="AD107" s="108" t="s">
        <v>29</v>
      </c>
      <c r="AE107" s="187" t="s">
        <v>116</v>
      </c>
      <c r="AF107" s="568" t="s">
        <v>756</v>
      </c>
      <c r="AG107" s="568" t="s">
        <v>116</v>
      </c>
      <c r="AH107" s="356">
        <v>45308</v>
      </c>
      <c r="AI107" s="489"/>
      <c r="AJ107" s="553"/>
      <c r="AK107" s="553"/>
      <c r="AL107" s="495"/>
      <c r="AM107" s="21" t="s">
        <v>116</v>
      </c>
      <c r="AN107" s="680" t="s">
        <v>709</v>
      </c>
      <c r="AO107" s="601"/>
      <c r="AP107" s="572"/>
      <c r="AQ107" s="572"/>
      <c r="AR107" s="572"/>
      <c r="AS107" s="538">
        <f>IF(Table159[[#This Row],[PCTS Approved]]="N",0,Table159[[#This Row],[Investment Amount (1'#'#'#'#'#)]]+Table159[[#This Row],[Retirement Amount (3'#'#'#'#'#)]])</f>
        <v>0</v>
      </c>
      <c r="AT107" s="538">
        <f>IF(Table159[[#This Row],[Approved Construction Cost]]=0,0,Table159[[#This Row],[Approved Construction Cost]]-Table159[[#This Row],[Construction Cost to Bill From]])</f>
        <v>0</v>
      </c>
      <c r="AU107" s="538">
        <f>IFERROR(Table159[[#This Row],[Difference in Construction Cost]]*Table159[[#This Row],[Rate]],Table159[[#This Row],[Difference in Construction Cost]]*0.085)</f>
        <v>0</v>
      </c>
      <c r="AV107" s="602"/>
      <c r="AW107" s="640"/>
      <c r="AX107" s="555"/>
      <c r="AY107" s="636" t="s">
        <v>709</v>
      </c>
      <c r="AZ107" s="443">
        <v>107</v>
      </c>
      <c r="BA107" s="668" t="s">
        <v>1675</v>
      </c>
      <c r="BB107" s="669" t="s">
        <v>1071</v>
      </c>
      <c r="BC107" s="479" t="s">
        <v>709</v>
      </c>
      <c r="BD107" s="554" t="s">
        <v>1167</v>
      </c>
      <c r="BE107" s="588" t="s">
        <v>709</v>
      </c>
      <c r="BF107" s="588" t="s">
        <v>1676</v>
      </c>
      <c r="BG107" s="483" t="s">
        <v>709</v>
      </c>
      <c r="BH107" s="749" t="s">
        <v>1677</v>
      </c>
      <c r="BI107" s="535" t="s">
        <v>709</v>
      </c>
      <c r="BJ107" s="549" t="s">
        <v>709</v>
      </c>
      <c r="BK107" s="547" t="s">
        <v>709</v>
      </c>
      <c r="BL107" s="547" t="s">
        <v>709</v>
      </c>
      <c r="BM107" s="626" t="s">
        <v>709</v>
      </c>
      <c r="BN107" s="549" t="s">
        <v>709</v>
      </c>
      <c r="BO107" s="626" t="s">
        <v>709</v>
      </c>
      <c r="BP107" s="626" t="s">
        <v>709</v>
      </c>
      <c r="BQ107" s="549" t="s">
        <v>709</v>
      </c>
      <c r="BR107" s="549" t="s">
        <v>709</v>
      </c>
      <c r="BS107" s="549" t="s">
        <v>709</v>
      </c>
      <c r="BT107" s="549" t="s">
        <v>709</v>
      </c>
      <c r="BU107" s="549" t="s">
        <v>709</v>
      </c>
      <c r="BV107" s="549" t="s">
        <v>709</v>
      </c>
      <c r="BW107" s="549" t="s">
        <v>709</v>
      </c>
      <c r="BX107" s="547" t="s">
        <v>709</v>
      </c>
      <c r="BY107" s="549" t="s">
        <v>709</v>
      </c>
      <c r="BZ107" s="483" t="s">
        <v>1146</v>
      </c>
    </row>
    <row r="108" spans="1:78" ht="15" hidden="1" customHeight="1" x14ac:dyDescent="0.25">
      <c r="A108" s="8" t="s">
        <v>749</v>
      </c>
      <c r="B108" s="8" t="s">
        <v>4</v>
      </c>
      <c r="C108" s="8" t="s">
        <v>1678</v>
      </c>
      <c r="D108" s="8" t="s">
        <v>1679</v>
      </c>
      <c r="E108" s="8" t="s">
        <v>1680</v>
      </c>
      <c r="F108" s="8" t="s">
        <v>851</v>
      </c>
      <c r="G108" s="8" t="s">
        <v>25</v>
      </c>
      <c r="H108" s="8" t="s">
        <v>1681</v>
      </c>
      <c r="I108" s="642">
        <v>45135</v>
      </c>
      <c r="J108" s="18">
        <v>45275</v>
      </c>
      <c r="K108" s="97">
        <v>45259</v>
      </c>
      <c r="L108" s="16">
        <f>IF(ISTEXT(Table159[[#This Row],[Engineering Approved Design Date]]),Table159[[#This Row],[Date Completed]]-Table159[[#This Row],[Date Assigned to Designer]],Table159[[#This Row],[Engineering Approved Design Date]]-Table159[[#This Row],[Date Completed]])</f>
        <v>16</v>
      </c>
      <c r="M108" s="642" t="s">
        <v>1682</v>
      </c>
      <c r="N108" s="642" t="s">
        <v>120</v>
      </c>
      <c r="O108" s="510">
        <v>45261</v>
      </c>
      <c r="P108" s="221" t="s">
        <v>739</v>
      </c>
      <c r="Q108" s="70">
        <f>Table159[[#This Row],[Rate]]*Table159[[#This Row],[Construction Cost to Bill From]]</f>
        <v>10853.37</v>
      </c>
      <c r="R108" s="75">
        <v>0.1</v>
      </c>
      <c r="U108" s="87"/>
      <c r="V108" s="437">
        <v>0</v>
      </c>
      <c r="W108" s="437">
        <v>0</v>
      </c>
      <c r="X108" s="24">
        <v>76598.83</v>
      </c>
      <c r="Y108" s="551"/>
      <c r="Z108" s="552">
        <v>31934.87</v>
      </c>
      <c r="AA108" s="300">
        <f>SUM(Table159[[#This Row],[PCTS Investment Amount]:[PCTS Retirement Amount]])</f>
        <v>108533.7</v>
      </c>
      <c r="AB108" s="207">
        <v>45238</v>
      </c>
      <c r="AC108" s="108" t="s">
        <v>29</v>
      </c>
      <c r="AD108" s="108" t="s">
        <v>29</v>
      </c>
      <c r="AE108" s="187" t="s">
        <v>116</v>
      </c>
      <c r="AF108" s="568" t="s">
        <v>29</v>
      </c>
      <c r="AG108" s="568" t="s">
        <v>29</v>
      </c>
      <c r="AH108" s="356">
        <v>45447</v>
      </c>
      <c r="AI108" s="489"/>
      <c r="AJ108" s="553"/>
      <c r="AK108" s="553"/>
      <c r="AL108" s="495"/>
      <c r="AM108" s="21" t="s">
        <v>116</v>
      </c>
      <c r="AN108" s="680" t="s">
        <v>709</v>
      </c>
      <c r="AO108" s="601"/>
      <c r="AP108" s="572"/>
      <c r="AQ108" s="572"/>
      <c r="AR108" s="572"/>
      <c r="AS108" s="538">
        <f>IF(Table159[[#This Row],[PCTS Approved]]="N",0,Table159[[#This Row],[Investment Amount (1'#'#'#'#'#)]]+Table159[[#This Row],[Retirement Amount (3'#'#'#'#'#)]])</f>
        <v>0</v>
      </c>
      <c r="AT108" s="538">
        <f>IF(Table159[[#This Row],[Approved Construction Cost]]=0,0,Table159[[#This Row],[Approved Construction Cost]]-Table159[[#This Row],[Construction Cost to Bill From]])</f>
        <v>0</v>
      </c>
      <c r="AU108" s="538">
        <f>IFERROR(Table159[[#This Row],[Difference in Construction Cost]]*Table159[[#This Row],[Rate]],Table159[[#This Row],[Difference in Construction Cost]]*0.085)</f>
        <v>0</v>
      </c>
      <c r="AV108" s="602"/>
      <c r="AW108" s="640"/>
      <c r="AX108" s="555"/>
      <c r="AY108" s="636" t="s">
        <v>709</v>
      </c>
      <c r="AZ108" s="443">
        <v>109</v>
      </c>
      <c r="BA108" s="659" t="s">
        <v>1683</v>
      </c>
      <c r="BB108" s="653" t="s">
        <v>1684</v>
      </c>
      <c r="BC108" s="478" t="s">
        <v>116</v>
      </c>
      <c r="BD108" s="544" t="s">
        <v>788</v>
      </c>
      <c r="BE108" s="559" t="s">
        <v>1684</v>
      </c>
      <c r="BF108" s="554" t="s">
        <v>709</v>
      </c>
      <c r="BG108" s="483" t="s">
        <v>709</v>
      </c>
      <c r="BH108" s="749" t="s">
        <v>1685</v>
      </c>
      <c r="BI108" s="535" t="s">
        <v>709</v>
      </c>
      <c r="BJ108" s="547" t="s">
        <v>709</v>
      </c>
      <c r="BK108" s="547" t="s">
        <v>709</v>
      </c>
      <c r="BL108" s="547" t="s">
        <v>116</v>
      </c>
      <c r="BM108" s="547" t="s">
        <v>709</v>
      </c>
      <c r="BN108" s="547" t="s">
        <v>709</v>
      </c>
      <c r="BO108" s="547" t="s">
        <v>709</v>
      </c>
      <c r="BP108" s="547" t="s">
        <v>709</v>
      </c>
      <c r="BQ108" s="547" t="s">
        <v>709</v>
      </c>
      <c r="BR108" s="547" t="s">
        <v>709</v>
      </c>
      <c r="BS108" s="547">
        <v>87</v>
      </c>
      <c r="BT108" s="547" t="s">
        <v>709</v>
      </c>
      <c r="BU108" s="547" t="s">
        <v>709</v>
      </c>
      <c r="BV108" s="547" t="s">
        <v>709</v>
      </c>
      <c r="BW108" s="547" t="s">
        <v>709</v>
      </c>
      <c r="BX108" s="547" t="s">
        <v>709</v>
      </c>
      <c r="BY108" s="547" t="s">
        <v>709</v>
      </c>
      <c r="BZ108" s="483" t="s">
        <v>915</v>
      </c>
    </row>
    <row r="109" spans="1:78" ht="15" hidden="1" customHeight="1" x14ac:dyDescent="0.25">
      <c r="A109" s="8" t="s">
        <v>800</v>
      </c>
      <c r="B109" s="8" t="s">
        <v>4</v>
      </c>
      <c r="C109" s="8" t="s">
        <v>1802</v>
      </c>
      <c r="D109" s="8" t="s">
        <v>1803</v>
      </c>
      <c r="E109" s="8" t="s">
        <v>1804</v>
      </c>
      <c r="F109" s="8" t="s">
        <v>851</v>
      </c>
      <c r="G109" s="8" t="s">
        <v>28</v>
      </c>
      <c r="H109" s="8" t="s">
        <v>59</v>
      </c>
      <c r="I109" s="642">
        <v>45216</v>
      </c>
      <c r="J109" s="18">
        <v>45443</v>
      </c>
      <c r="K109" s="642">
        <v>45442</v>
      </c>
      <c r="L109" s="16">
        <f>IF(ISTEXT(Table159[[#This Row],[Engineering Approved Design Date]]),Table159[[#This Row],[Date Completed]]-Table159[[#This Row],[Date Assigned to Designer]],Table159[[#This Row],[Engineering Approved Design Date]]-Table159[[#This Row],[Date Completed]])</f>
        <v>1</v>
      </c>
      <c r="M109" s="642"/>
      <c r="N109" s="642" t="s">
        <v>120</v>
      </c>
      <c r="O109" s="510">
        <v>45444</v>
      </c>
      <c r="P109" s="221" t="s">
        <v>739</v>
      </c>
      <c r="Q109" s="70">
        <f>Table159[[#This Row],[Rate]]*Table159[[#This Row],[Construction Cost to Bill From]]</f>
        <v>297748.33100000001</v>
      </c>
      <c r="R109" s="75">
        <v>0.1</v>
      </c>
      <c r="U109" s="87"/>
      <c r="V109" s="437">
        <v>7041</v>
      </c>
      <c r="W109" s="437">
        <v>0</v>
      </c>
      <c r="X109" s="24">
        <v>2529591.65</v>
      </c>
      <c r="Y109" s="551"/>
      <c r="Z109" s="552">
        <v>447891.66</v>
      </c>
      <c r="AA109" s="300">
        <f>SUM(Table159[[#This Row],[PCTS Investment Amount]:[PCTS Retirement Amount]])</f>
        <v>2977483.31</v>
      </c>
      <c r="AB109" s="207">
        <v>45433</v>
      </c>
      <c r="AC109" s="22" t="s">
        <v>116</v>
      </c>
      <c r="AD109" s="22" t="s">
        <v>29</v>
      </c>
      <c r="AE109" s="359" t="s">
        <v>116</v>
      </c>
      <c r="AF109" s="568" t="s">
        <v>116</v>
      </c>
      <c r="AG109" s="568" t="s">
        <v>376</v>
      </c>
      <c r="AH109" s="356">
        <v>45475</v>
      </c>
      <c r="AI109" s="426">
        <v>0</v>
      </c>
      <c r="AJ109" s="542">
        <f>12500+7300</f>
        <v>19800</v>
      </c>
      <c r="AK109" s="542">
        <v>7092</v>
      </c>
      <c r="AL109" s="493">
        <f>SUM(Table159[[#This Row],[Nicor Initiated DBE]:[Staffing]])/(Table159[[#This Row],[Amount Invoiced]])</f>
        <v>9.0317886618145313E-2</v>
      </c>
      <c r="AM109" s="21" t="s">
        <v>116</v>
      </c>
      <c r="AN109" s="801">
        <v>45593</v>
      </c>
      <c r="AO109" s="806">
        <v>11090345</v>
      </c>
      <c r="AP109" s="788">
        <v>2568392.08</v>
      </c>
      <c r="AQ109" s="788"/>
      <c r="AR109" s="788">
        <v>453813.49</v>
      </c>
      <c r="AS109" s="538">
        <f>IF(Table159[[#This Row],[PCTS Approved]]="N",0,Table159[[#This Row],[Investment Amount (1'#'#'#'#'#)]]+Table159[[#This Row],[Retirement Amount (3'#'#'#'#'#)]])</f>
        <v>3022205.5700000003</v>
      </c>
      <c r="AT109" s="538">
        <f>IF(Table159[[#This Row],[Approved Construction Cost]]=0,0,Table159[[#This Row],[Approved Construction Cost]]-Table159[[#This Row],[Construction Cost to Bill From]])</f>
        <v>44722.260000000242</v>
      </c>
      <c r="AU109" s="538">
        <f>IFERROR(Table159[[#This Row],[Difference in Construction Cost]]*Table159[[#This Row],[Rate]],Table159[[#This Row],[Difference in Construction Cost]]*0.085)</f>
        <v>4472.2260000000242</v>
      </c>
      <c r="AV109" s="718">
        <v>0</v>
      </c>
      <c r="AW109" s="660" t="s">
        <v>6839</v>
      </c>
      <c r="AX109" s="555"/>
      <c r="AY109" s="636" t="s">
        <v>709</v>
      </c>
      <c r="AZ109" s="443">
        <v>140</v>
      </c>
      <c r="BA109" s="643" t="s">
        <v>1805</v>
      </c>
      <c r="BB109" s="644" t="s">
        <v>1806</v>
      </c>
      <c r="BC109" s="479" t="s">
        <v>992</v>
      </c>
      <c r="BD109" s="554" t="s">
        <v>882</v>
      </c>
      <c r="BE109" s="588" t="s">
        <v>1807</v>
      </c>
      <c r="BF109" s="588" t="s">
        <v>907</v>
      </c>
      <c r="BG109" s="483" t="s">
        <v>709</v>
      </c>
      <c r="BH109" s="615" t="s">
        <v>1808</v>
      </c>
      <c r="BI109" s="535" t="s">
        <v>709</v>
      </c>
      <c r="BJ109" s="547" t="s">
        <v>709</v>
      </c>
      <c r="BK109" s="547" t="s">
        <v>709</v>
      </c>
      <c r="BL109" s="547" t="s">
        <v>116</v>
      </c>
      <c r="BM109" s="547" t="s">
        <v>709</v>
      </c>
      <c r="BN109" s="547" t="s">
        <v>709</v>
      </c>
      <c r="BO109" s="547" t="s">
        <v>709</v>
      </c>
      <c r="BP109" s="626">
        <v>6395</v>
      </c>
      <c r="BQ109" s="626" t="s">
        <v>709</v>
      </c>
      <c r="BR109" s="549">
        <v>209</v>
      </c>
      <c r="BS109" s="549">
        <v>437</v>
      </c>
      <c r="BT109" s="547" t="s">
        <v>709</v>
      </c>
      <c r="BU109" s="547" t="s">
        <v>709</v>
      </c>
      <c r="BV109" s="547" t="s">
        <v>709</v>
      </c>
      <c r="BW109" s="547" t="s">
        <v>709</v>
      </c>
      <c r="BX109" s="547" t="s">
        <v>709</v>
      </c>
      <c r="BY109" s="547" t="s">
        <v>709</v>
      </c>
      <c r="BZ109" s="483"/>
    </row>
    <row r="110" spans="1:78" ht="15" hidden="1" customHeight="1" x14ac:dyDescent="0.25">
      <c r="A110" s="8" t="s">
        <v>800</v>
      </c>
      <c r="B110" s="8" t="s">
        <v>1073</v>
      </c>
      <c r="C110" s="8" t="s">
        <v>6735</v>
      </c>
      <c r="D110" s="8" t="s">
        <v>6736</v>
      </c>
      <c r="E110" s="8" t="s">
        <v>232</v>
      </c>
      <c r="F110" s="8" t="s">
        <v>851</v>
      </c>
      <c r="G110" s="8" t="s">
        <v>32</v>
      </c>
      <c r="H110" s="8" t="s">
        <v>59</v>
      </c>
      <c r="I110" s="642">
        <v>45540</v>
      </c>
      <c r="J110" s="18">
        <v>45610</v>
      </c>
      <c r="K110" s="97">
        <v>45609</v>
      </c>
      <c r="L110" s="16">
        <f>IF(ISTEXT(Table159[[#This Row],[Engineering Approved Design Date]]),Table159[[#This Row],[Date Completed]]-Table159[[#This Row],[Date Assigned to Designer]],Table159[[#This Row],[Engineering Approved Design Date]]-Table159[[#This Row],[Date Completed]])</f>
        <v>1</v>
      </c>
      <c r="M110" s="642"/>
      <c r="N110" s="642" t="s">
        <v>120</v>
      </c>
      <c r="O110" s="510">
        <v>45597</v>
      </c>
      <c r="P110" s="221" t="s">
        <v>739</v>
      </c>
      <c r="Q110" s="70">
        <f>Table159[[#This Row],[Rate]]*Table159[[#This Row],[Construction Cost to Bill From]]</f>
        <v>34472.7952</v>
      </c>
      <c r="R110" s="75">
        <v>0.08</v>
      </c>
      <c r="S110" s="754" t="s">
        <v>29</v>
      </c>
      <c r="T110" s="538" t="s">
        <v>29</v>
      </c>
      <c r="U110" s="87" t="s">
        <v>29</v>
      </c>
      <c r="V110" s="437">
        <v>898</v>
      </c>
      <c r="W110" s="437">
        <v>0</v>
      </c>
      <c r="X110" s="24">
        <v>430909.94</v>
      </c>
      <c r="Y110" s="768"/>
      <c r="Z110" s="552">
        <v>0</v>
      </c>
      <c r="AA110" s="300">
        <f>SUM(Table159[[#This Row],[PCTS Investment Amount]:[PCTS Retirement Amount]])</f>
        <v>430909.94</v>
      </c>
      <c r="AB110" s="207">
        <v>45609</v>
      </c>
      <c r="AC110" s="22" t="s">
        <v>116</v>
      </c>
      <c r="AD110" s="22" t="s">
        <v>29</v>
      </c>
      <c r="AE110" s="187" t="s">
        <v>29</v>
      </c>
      <c r="AF110" s="568" t="s">
        <v>709</v>
      </c>
      <c r="AG110" s="568" t="s">
        <v>376</v>
      </c>
      <c r="AH110" s="356">
        <v>45646</v>
      </c>
      <c r="AI110" s="509">
        <v>0</v>
      </c>
      <c r="AJ110" s="541">
        <v>0</v>
      </c>
      <c r="AK110" s="557">
        <v>3892.5</v>
      </c>
      <c r="AL110" s="494">
        <f>SUM(Table159[[#This Row],[Nicor Initiated DBE]:[Staffing]])/(Table159[[#This Row],[Amount Invoiced]])</f>
        <v>0.11291512560606051</v>
      </c>
      <c r="AM110" s="21" t="s">
        <v>116</v>
      </c>
      <c r="AN110" s="680" t="s">
        <v>709</v>
      </c>
      <c r="AO110" s="681">
        <v>11093737</v>
      </c>
      <c r="AP110" s="572"/>
      <c r="AQ110" s="572"/>
      <c r="AR110" s="572"/>
      <c r="AS110" s="538">
        <f>IF(Table159[[#This Row],[PCTS Approved]]="N",0,Table159[[#This Row],[Investment Amount (1'#'#'#'#'#)]]+Table159[[#This Row],[Retirement Amount (3'#'#'#'#'#)]])</f>
        <v>0</v>
      </c>
      <c r="AT110" s="538">
        <f>IF(Table159[[#This Row],[Approved Construction Cost]]=0,0,Table159[[#This Row],[Approved Construction Cost]]-Table159[[#This Row],[Construction Cost to Bill From]])</f>
        <v>0</v>
      </c>
      <c r="AU110" s="538">
        <f>Table159[[#This Row],[Difference in Construction Cost]]*Table159[[#This Row],[Rate]]</f>
        <v>0</v>
      </c>
      <c r="AV110" s="602"/>
      <c r="AW110" s="640"/>
      <c r="AX110" s="555"/>
      <c r="AY110" s="636" t="s">
        <v>709</v>
      </c>
      <c r="AZ110" s="443"/>
      <c r="BA110" s="651" t="s">
        <v>6737</v>
      </c>
      <c r="BB110" s="644" t="s">
        <v>6738</v>
      </c>
      <c r="BC110" s="479" t="s">
        <v>709</v>
      </c>
      <c r="BD110" s="554" t="s">
        <v>837</v>
      </c>
      <c r="BE110" s="588" t="s">
        <v>595</v>
      </c>
      <c r="BF110" s="588" t="s">
        <v>838</v>
      </c>
      <c r="BG110" s="483" t="s">
        <v>29</v>
      </c>
      <c r="BH110" s="615" t="s">
        <v>6739</v>
      </c>
      <c r="BI110" s="528" t="s">
        <v>709</v>
      </c>
      <c r="BJ110" s="549" t="s">
        <v>709</v>
      </c>
      <c r="BK110" s="549" t="s">
        <v>709</v>
      </c>
      <c r="BL110" s="547" t="s">
        <v>116</v>
      </c>
      <c r="BM110" s="549" t="s">
        <v>709</v>
      </c>
      <c r="BN110" s="549" t="s">
        <v>709</v>
      </c>
      <c r="BO110" s="549" t="s">
        <v>709</v>
      </c>
      <c r="BP110" s="549">
        <v>898</v>
      </c>
      <c r="BQ110" s="549" t="s">
        <v>709</v>
      </c>
      <c r="BR110" s="549" t="s">
        <v>709</v>
      </c>
      <c r="BS110" s="547" t="s">
        <v>709</v>
      </c>
      <c r="BT110" s="549" t="s">
        <v>745</v>
      </c>
      <c r="BU110" s="549" t="s">
        <v>709</v>
      </c>
      <c r="BV110" s="549" t="s">
        <v>745</v>
      </c>
      <c r="BW110" s="549" t="s">
        <v>709</v>
      </c>
      <c r="BX110" s="549" t="s">
        <v>745</v>
      </c>
      <c r="BY110" s="549" t="s">
        <v>745</v>
      </c>
      <c r="BZ110" s="744"/>
    </row>
    <row r="111" spans="1:78" ht="15" hidden="1" customHeight="1" x14ac:dyDescent="0.25">
      <c r="A111" s="8" t="s">
        <v>800</v>
      </c>
      <c r="B111" s="8" t="s">
        <v>759</v>
      </c>
      <c r="C111" s="8" t="s">
        <v>1654</v>
      </c>
      <c r="D111" s="8" t="s">
        <v>1655</v>
      </c>
      <c r="E111" s="8" t="s">
        <v>1149</v>
      </c>
      <c r="F111" s="8" t="s">
        <v>752</v>
      </c>
      <c r="G111" s="8" t="s">
        <v>34</v>
      </c>
      <c r="H111" s="13" t="s">
        <v>59</v>
      </c>
      <c r="I111" s="642">
        <v>45103</v>
      </c>
      <c r="J111" s="18">
        <v>45240</v>
      </c>
      <c r="K111" s="97">
        <v>45239</v>
      </c>
      <c r="L111" s="16">
        <f>IF(ISTEXT(Table159[[#This Row],[Engineering Approved Design Date]]),Table159[[#This Row],[Date Completed]]-Table159[[#This Row],[Date Assigned to Designer]],Table159[[#This Row],[Engineering Approved Design Date]]-Table159[[#This Row],[Date Completed]])</f>
        <v>1</v>
      </c>
      <c r="M111" s="642"/>
      <c r="N111" s="642" t="s">
        <v>120</v>
      </c>
      <c r="O111" s="510">
        <v>45261</v>
      </c>
      <c r="P111" s="221" t="s">
        <v>120</v>
      </c>
      <c r="Q111" s="70">
        <f>Table159[[#This Row],[Rate]]*Table159[[#This Row],[Construction Cost to Bill From]]</f>
        <v>141816.94339999999</v>
      </c>
      <c r="R111" s="75">
        <v>0.11</v>
      </c>
      <c r="U111" s="87"/>
      <c r="V111" s="437">
        <v>1578</v>
      </c>
      <c r="W111" s="437">
        <v>3</v>
      </c>
      <c r="X111" s="94">
        <v>1112237.6399999999</v>
      </c>
      <c r="Y111" s="551"/>
      <c r="Z111" s="552">
        <v>177007.3</v>
      </c>
      <c r="AA111" s="300">
        <f>SUM(Table159[[#This Row],[PCTS Investment Amount]:[PCTS Retirement Amount]])</f>
        <v>1289244.94</v>
      </c>
      <c r="AB111" s="207">
        <v>45245</v>
      </c>
      <c r="AC111" s="108" t="s">
        <v>811</v>
      </c>
      <c r="AD111" s="108" t="s">
        <v>29</v>
      </c>
      <c r="AE111" s="341">
        <v>45239</v>
      </c>
      <c r="AF111" s="183">
        <v>45240</v>
      </c>
      <c r="AG111" s="183">
        <v>45245</v>
      </c>
      <c r="AH111" s="356">
        <v>45245</v>
      </c>
      <c r="AI111" s="489"/>
      <c r="AJ111" s="553"/>
      <c r="AK111" s="553"/>
      <c r="AL111" s="495"/>
      <c r="AM111" s="21" t="s">
        <v>116</v>
      </c>
      <c r="AN111" s="680" t="s">
        <v>709</v>
      </c>
      <c r="AO111" s="601">
        <v>11071464</v>
      </c>
      <c r="AP111" s="572"/>
      <c r="AQ111" s="572"/>
      <c r="AR111" s="572"/>
      <c r="AS111" s="538">
        <f>IF(Table159[[#This Row],[PCTS Approved]]="N",0,Table159[[#This Row],[Investment Amount (1'#'#'#'#'#)]]+Table159[[#This Row],[Retirement Amount (3'#'#'#'#'#)]])</f>
        <v>0</v>
      </c>
      <c r="AT111" s="538">
        <f>IF(Table159[[#This Row],[Approved Construction Cost]]=0,0,Table159[[#This Row],[Approved Construction Cost]]-Table159[[#This Row],[Construction Cost to Bill From]])</f>
        <v>0</v>
      </c>
      <c r="AU111" s="538">
        <f>IFERROR(Table159[[#This Row],[Difference in Construction Cost]]*Table159[[#This Row],[Rate]],Table159[[#This Row],[Difference in Construction Cost]]*0.085)</f>
        <v>0</v>
      </c>
      <c r="AV111" s="572"/>
      <c r="AW111" s="639"/>
      <c r="AX111" s="538"/>
      <c r="AY111" s="636" t="s">
        <v>709</v>
      </c>
      <c r="AZ111" s="443">
        <v>160</v>
      </c>
      <c r="BA111" s="659" t="s">
        <v>1656</v>
      </c>
      <c r="BB111" s="648" t="s">
        <v>1657</v>
      </c>
      <c r="BC111" s="479"/>
      <c r="BD111" s="554"/>
      <c r="BG111" s="483"/>
      <c r="BH111" s="741" t="s">
        <v>1658</v>
      </c>
      <c r="BI111" s="535" t="s">
        <v>709</v>
      </c>
      <c r="BJ111" s="549" t="s">
        <v>709</v>
      </c>
      <c r="BK111" s="547" t="s">
        <v>116</v>
      </c>
      <c r="BL111" s="547" t="s">
        <v>116</v>
      </c>
      <c r="BM111" s="547" t="s">
        <v>709</v>
      </c>
      <c r="BN111" s="547">
        <v>248</v>
      </c>
      <c r="BO111" s="547" t="s">
        <v>709</v>
      </c>
      <c r="BP111" s="547">
        <v>26</v>
      </c>
      <c r="BQ111" s="547">
        <v>1169</v>
      </c>
      <c r="BR111" s="547">
        <v>40</v>
      </c>
      <c r="BS111" s="547">
        <v>5</v>
      </c>
      <c r="BT111" s="547">
        <v>1</v>
      </c>
      <c r="BU111" s="547" t="s">
        <v>709</v>
      </c>
      <c r="BV111" s="547" t="s">
        <v>709</v>
      </c>
      <c r="BW111" s="547" t="s">
        <v>709</v>
      </c>
      <c r="BX111" s="547">
        <v>1</v>
      </c>
      <c r="BY111" s="547" t="s">
        <v>709</v>
      </c>
      <c r="BZ111" s="483" t="s">
        <v>769</v>
      </c>
    </row>
    <row r="112" spans="1:78" ht="15" hidden="1" customHeight="1" x14ac:dyDescent="0.25">
      <c r="A112" s="8" t="s">
        <v>800</v>
      </c>
      <c r="B112" s="8" t="s">
        <v>759</v>
      </c>
      <c r="C112" s="8" t="s">
        <v>1648</v>
      </c>
      <c r="D112" s="8" t="s">
        <v>1649</v>
      </c>
      <c r="E112" s="8" t="s">
        <v>1650</v>
      </c>
      <c r="F112" s="8" t="s">
        <v>752</v>
      </c>
      <c r="G112" s="8" t="s">
        <v>37</v>
      </c>
      <c r="H112" s="13" t="s">
        <v>59</v>
      </c>
      <c r="I112" s="642">
        <v>45103</v>
      </c>
      <c r="J112" s="18">
        <v>45239</v>
      </c>
      <c r="K112" s="97">
        <v>45239</v>
      </c>
      <c r="L112" s="16">
        <f>IF(ISTEXT(Table159[[#This Row],[Engineering Approved Design Date]]),Table159[[#This Row],[Date Completed]]-Table159[[#This Row],[Date Assigned to Designer]],Table159[[#This Row],[Engineering Approved Design Date]]-Table159[[#This Row],[Date Completed]])</f>
        <v>0</v>
      </c>
      <c r="M112" s="642"/>
      <c r="N112" s="642" t="s">
        <v>120</v>
      </c>
      <c r="O112" s="510">
        <v>45261</v>
      </c>
      <c r="P112" s="221" t="s">
        <v>120</v>
      </c>
      <c r="Q112" s="70">
        <f>Table159[[#This Row],[Rate]]*Table159[[#This Row],[Construction Cost to Bill From]]</f>
        <v>113917.20450000001</v>
      </c>
      <c r="R112" s="75">
        <v>0.11</v>
      </c>
      <c r="U112" s="87"/>
      <c r="V112" s="437">
        <v>2092</v>
      </c>
      <c r="W112" s="437">
        <v>3</v>
      </c>
      <c r="X112" s="94">
        <v>940183.43</v>
      </c>
      <c r="Y112" s="551"/>
      <c r="Z112" s="552">
        <v>95427.520000000004</v>
      </c>
      <c r="AA112" s="300">
        <f>SUM(Table159[[#This Row],[PCTS Investment Amount]:[PCTS Retirement Amount]])</f>
        <v>1035610.9500000001</v>
      </c>
      <c r="AB112" s="207">
        <v>45245</v>
      </c>
      <c r="AC112" s="108" t="s">
        <v>811</v>
      </c>
      <c r="AD112" s="108" t="s">
        <v>116</v>
      </c>
      <c r="AE112" s="341">
        <v>45239</v>
      </c>
      <c r="AF112" s="183">
        <v>45240</v>
      </c>
      <c r="AG112" s="183">
        <v>45245</v>
      </c>
      <c r="AH112" s="356">
        <v>45245</v>
      </c>
      <c r="AI112" s="489"/>
      <c r="AJ112" s="553"/>
      <c r="AK112" s="553"/>
      <c r="AL112" s="495"/>
      <c r="AM112" s="21" t="s">
        <v>116</v>
      </c>
      <c r="AN112" s="680" t="s">
        <v>709</v>
      </c>
      <c r="AO112" s="601"/>
      <c r="AP112" s="572"/>
      <c r="AQ112" s="572"/>
      <c r="AR112" s="572"/>
      <c r="AS112" s="538">
        <f>IF(Table159[[#This Row],[PCTS Approved]]="N",0,Table159[[#This Row],[Investment Amount (1'#'#'#'#'#)]]+Table159[[#This Row],[Retirement Amount (3'#'#'#'#'#)]])</f>
        <v>0</v>
      </c>
      <c r="AT112" s="538">
        <f>IF(Table159[[#This Row],[Approved Construction Cost]]=0,0,Table159[[#This Row],[Approved Construction Cost]]-Table159[[#This Row],[Construction Cost to Bill From]])</f>
        <v>0</v>
      </c>
      <c r="AU112" s="538">
        <f>IFERROR(Table159[[#This Row],[Difference in Construction Cost]]*Table159[[#This Row],[Rate]],Table159[[#This Row],[Difference in Construction Cost]]*0.085)</f>
        <v>0</v>
      </c>
      <c r="AV112" s="572"/>
      <c r="AW112" s="639"/>
      <c r="AX112" s="538"/>
      <c r="AY112" s="636" t="s">
        <v>709</v>
      </c>
      <c r="AZ112" s="443">
        <v>159</v>
      </c>
      <c r="BA112" s="659" t="s">
        <v>1651</v>
      </c>
      <c r="BB112" s="648" t="s">
        <v>1652</v>
      </c>
      <c r="BC112" s="479"/>
      <c r="BD112" s="554"/>
      <c r="BG112" s="483"/>
      <c r="BH112" s="741" t="s">
        <v>1653</v>
      </c>
      <c r="BI112" s="535" t="s">
        <v>709</v>
      </c>
      <c r="BJ112" s="547" t="s">
        <v>709</v>
      </c>
      <c r="BK112" s="547" t="s">
        <v>116</v>
      </c>
      <c r="BL112" s="547" t="s">
        <v>116</v>
      </c>
      <c r="BM112" s="547" t="s">
        <v>709</v>
      </c>
      <c r="BN112" s="547" t="s">
        <v>709</v>
      </c>
      <c r="BO112" s="547" t="s">
        <v>709</v>
      </c>
      <c r="BP112" s="547">
        <v>125</v>
      </c>
      <c r="BQ112" s="547">
        <v>1883</v>
      </c>
      <c r="BR112" s="547">
        <v>164</v>
      </c>
      <c r="BS112" s="547">
        <v>45</v>
      </c>
      <c r="BT112" s="547">
        <v>1</v>
      </c>
      <c r="BU112" s="547" t="s">
        <v>709</v>
      </c>
      <c r="BV112" s="547" t="s">
        <v>709</v>
      </c>
      <c r="BW112" s="547">
        <v>1</v>
      </c>
      <c r="BX112" s="547" t="s">
        <v>709</v>
      </c>
      <c r="BY112" s="547" t="s">
        <v>709</v>
      </c>
      <c r="BZ112" s="483" t="s">
        <v>769</v>
      </c>
    </row>
    <row r="113" spans="1:78" ht="15" hidden="1" customHeight="1" x14ac:dyDescent="0.25">
      <c r="A113" s="8" t="s">
        <v>749</v>
      </c>
      <c r="B113" s="8" t="s">
        <v>759</v>
      </c>
      <c r="C113" s="8" t="s">
        <v>1259</v>
      </c>
      <c r="D113" s="8" t="s">
        <v>1260</v>
      </c>
      <c r="E113" s="8" t="s">
        <v>1261</v>
      </c>
      <c r="F113" s="8" t="s">
        <v>752</v>
      </c>
      <c r="G113" s="8" t="s">
        <v>34</v>
      </c>
      <c r="H113" s="13" t="s">
        <v>59</v>
      </c>
      <c r="I113" s="642">
        <v>45015</v>
      </c>
      <c r="J113" s="18">
        <v>45247</v>
      </c>
      <c r="K113" s="175">
        <v>45243</v>
      </c>
      <c r="L113" s="16">
        <f>IF(ISTEXT(Table159[[#This Row],[Engineering Approved Design Date]]),Table159[[#This Row],[Date Completed]]-Table159[[#This Row],[Date Assigned to Designer]],Table159[[#This Row],[Engineering Approved Design Date]]-Table159[[#This Row],[Date Completed]])</f>
        <v>4</v>
      </c>
      <c r="M113" s="642"/>
      <c r="N113" s="642" t="s">
        <v>120</v>
      </c>
      <c r="O113" s="510">
        <v>45261</v>
      </c>
      <c r="P113" s="221" t="s">
        <v>120</v>
      </c>
      <c r="Q113" s="70">
        <f>Table159[[#This Row],[Rate]]*Table159[[#This Row],[Construction Cost to Bill From]]</f>
        <v>98159.153399999996</v>
      </c>
      <c r="R113" s="75">
        <v>0.11</v>
      </c>
      <c r="U113" s="87"/>
      <c r="V113" s="437">
        <v>1146</v>
      </c>
      <c r="W113" s="437">
        <v>3</v>
      </c>
      <c r="X113" s="94">
        <v>808862.07</v>
      </c>
      <c r="Y113" s="551"/>
      <c r="Z113" s="552">
        <v>83493.87</v>
      </c>
      <c r="AA113" s="300">
        <f>SUM(Table159[[#This Row],[PCTS Investment Amount]:[PCTS Retirement Amount]])</f>
        <v>892355.94</v>
      </c>
      <c r="AB113" s="207">
        <v>45257</v>
      </c>
      <c r="AC113" s="108" t="s">
        <v>1659</v>
      </c>
      <c r="AD113" s="108" t="s">
        <v>29</v>
      </c>
      <c r="AE113" s="341" t="s">
        <v>756</v>
      </c>
      <c r="AF113" s="183" t="s">
        <v>29</v>
      </c>
      <c r="AG113" s="183" t="s">
        <v>116</v>
      </c>
      <c r="AH113" s="356" t="s">
        <v>116</v>
      </c>
      <c r="AI113" s="489"/>
      <c r="AJ113" s="553"/>
      <c r="AK113" s="553"/>
      <c r="AL113" s="495"/>
      <c r="AM113" s="21" t="s">
        <v>116</v>
      </c>
      <c r="AN113" s="680" t="s">
        <v>709</v>
      </c>
      <c r="AO113" s="601">
        <v>11039510</v>
      </c>
      <c r="AP113" s="572"/>
      <c r="AQ113" s="572"/>
      <c r="AR113" s="572"/>
      <c r="AS113" s="538">
        <f>IF(Table159[[#This Row],[PCTS Approved]]="N",0,Table159[[#This Row],[Investment Amount (1'#'#'#'#'#)]]+Table159[[#This Row],[Retirement Amount (3'#'#'#'#'#)]])</f>
        <v>0</v>
      </c>
      <c r="AT113" s="538">
        <f>IF(Table159[[#This Row],[Approved Construction Cost]]=0,0,Table159[[#This Row],[Approved Construction Cost]]-Table159[[#This Row],[Construction Cost to Bill From]])</f>
        <v>0</v>
      </c>
      <c r="AU113" s="538">
        <f>IFERROR(Table159[[#This Row],[Difference in Construction Cost]]*Table159[[#This Row],[Rate]],Table159[[#This Row],[Difference in Construction Cost]]*0.085)</f>
        <v>0</v>
      </c>
      <c r="AV113" s="572"/>
      <c r="AW113" s="639"/>
      <c r="AX113" s="538"/>
      <c r="AY113" s="636" t="s">
        <v>709</v>
      </c>
      <c r="AZ113" s="443">
        <v>161</v>
      </c>
      <c r="BA113" s="659" t="s">
        <v>1660</v>
      </c>
      <c r="BB113" s="648" t="s">
        <v>1661</v>
      </c>
      <c r="BC113" s="478" t="s">
        <v>115</v>
      </c>
      <c r="BD113" s="544" t="s">
        <v>1066</v>
      </c>
      <c r="BE113" s="544"/>
      <c r="BF113" s="544" t="s">
        <v>115</v>
      </c>
      <c r="BG113" s="512" t="s">
        <v>115</v>
      </c>
      <c r="BH113" s="741" t="s">
        <v>1662</v>
      </c>
      <c r="BI113" s="535" t="s">
        <v>709</v>
      </c>
      <c r="BJ113" s="547" t="s">
        <v>709</v>
      </c>
      <c r="BK113" s="547" t="s">
        <v>116</v>
      </c>
      <c r="BL113" s="547" t="s">
        <v>116</v>
      </c>
      <c r="BM113" s="547" t="s">
        <v>709</v>
      </c>
      <c r="BN113" s="547" t="s">
        <v>709</v>
      </c>
      <c r="BO113" s="547" t="s">
        <v>709</v>
      </c>
      <c r="BP113" s="547">
        <v>789</v>
      </c>
      <c r="BQ113" s="547">
        <v>164</v>
      </c>
      <c r="BR113" s="547">
        <v>45</v>
      </c>
      <c r="BS113" s="547">
        <v>5</v>
      </c>
      <c r="BT113" s="547">
        <v>1</v>
      </c>
      <c r="BU113" s="547" t="s">
        <v>709</v>
      </c>
      <c r="BV113" s="547" t="s">
        <v>709</v>
      </c>
      <c r="BW113" s="547">
        <v>1</v>
      </c>
      <c r="BX113" s="547">
        <v>1</v>
      </c>
      <c r="BY113" s="547" t="s">
        <v>709</v>
      </c>
      <c r="BZ113" s="483" t="s">
        <v>769</v>
      </c>
    </row>
    <row r="114" spans="1:78" ht="15" hidden="1" customHeight="1" x14ac:dyDescent="0.25">
      <c r="A114" s="8" t="s">
        <v>800</v>
      </c>
      <c r="B114" s="8" t="s">
        <v>4</v>
      </c>
      <c r="C114" s="8" t="s">
        <v>6671</v>
      </c>
      <c r="D114" s="8" t="s">
        <v>6672</v>
      </c>
      <c r="E114" s="8" t="s">
        <v>1716</v>
      </c>
      <c r="F114" s="8" t="s">
        <v>784</v>
      </c>
      <c r="G114" s="8" t="s">
        <v>6673</v>
      </c>
      <c r="H114" s="8" t="s">
        <v>59</v>
      </c>
      <c r="I114" s="642">
        <v>45429</v>
      </c>
      <c r="J114" s="18">
        <v>45590</v>
      </c>
      <c r="K114" s="97">
        <v>45588</v>
      </c>
      <c r="L114" s="16">
        <f>IF(ISTEXT(Table159[[#This Row],[Engineering Approved Design Date]]),Table159[[#This Row],[Date Completed]]-Table159[[#This Row],[Date Assigned to Designer]],Table159[[#This Row],[Engineering Approved Design Date]]-Table159[[#This Row],[Date Completed]])</f>
        <v>2</v>
      </c>
      <c r="M114" s="642"/>
      <c r="N114" s="99" t="s">
        <v>120</v>
      </c>
      <c r="O114" s="510">
        <v>45597</v>
      </c>
      <c r="P114" s="221" t="s">
        <v>739</v>
      </c>
      <c r="Q114" s="70">
        <f>Table159[[#This Row],[Rate]]*Table159[[#This Row],[Construction Cost to Bill From]]</f>
        <v>185710.98</v>
      </c>
      <c r="R114" s="75">
        <v>0.1</v>
      </c>
      <c r="S114" s="24" t="s">
        <v>29</v>
      </c>
      <c r="T114" s="538" t="s">
        <v>29</v>
      </c>
      <c r="U114" s="28" t="s">
        <v>29</v>
      </c>
      <c r="V114" s="437">
        <v>3774</v>
      </c>
      <c r="W114" s="425">
        <v>0</v>
      </c>
      <c r="X114" s="24">
        <v>1523622.99</v>
      </c>
      <c r="Y114" s="551"/>
      <c r="Z114" s="538">
        <v>333486.81</v>
      </c>
      <c r="AA114" s="300">
        <f>SUM(Table159[[#This Row],[PCTS Investment Amount]:[PCTS Retirement Amount]])</f>
        <v>1857109.8</v>
      </c>
      <c r="AB114" s="207">
        <v>45589</v>
      </c>
      <c r="AC114" s="22" t="s">
        <v>29</v>
      </c>
      <c r="AD114" s="108" t="s">
        <v>29</v>
      </c>
      <c r="AE114" s="187" t="s">
        <v>756</v>
      </c>
      <c r="AF114" s="568" t="s">
        <v>116</v>
      </c>
      <c r="AG114" s="569" t="s">
        <v>376</v>
      </c>
      <c r="AH114" s="356">
        <v>45609</v>
      </c>
      <c r="AI114" s="499">
        <v>0</v>
      </c>
      <c r="AJ114" s="541">
        <v>9750</v>
      </c>
      <c r="AK114" s="740">
        <v>20444.5</v>
      </c>
      <c r="AL114" s="494">
        <f>SUM(Table159[[#This Row],[Nicor Initiated DBE]:[Staffing]])/(Table159[[#This Row],[Amount Invoiced]])</f>
        <v>0.16258866330897612</v>
      </c>
      <c r="AM114" s="21" t="s">
        <v>116</v>
      </c>
      <c r="AN114" s="801">
        <v>45656</v>
      </c>
      <c r="AO114" s="806">
        <v>11095845</v>
      </c>
      <c r="AP114" s="788">
        <v>1524304.98</v>
      </c>
      <c r="AQ114" s="788"/>
      <c r="AR114" s="788">
        <v>333486.81</v>
      </c>
      <c r="AS114" s="538">
        <f>IF(Table159[[#This Row],[PCTS Approved]]="N",0,Table159[[#This Row],[Investment Amount (1'#'#'#'#'#)]]+Table159[[#This Row],[Retirement Amount (3'#'#'#'#'#)]])</f>
        <v>1857791.79</v>
      </c>
      <c r="AT114" s="538">
        <f>IF(Table159[[#This Row],[Approved Construction Cost]]=0,0,Table159[[#This Row],[Approved Construction Cost]]-Table159[[#This Row],[Construction Cost to Bill From]])</f>
        <v>681.98999999999069</v>
      </c>
      <c r="AU114" s="538">
        <f>Table159[[#This Row],[Difference in Construction Cost]]*Table159[[#This Row],[Rate]]</f>
        <v>68.198999999999074</v>
      </c>
      <c r="AV114" s="718">
        <v>0</v>
      </c>
      <c r="AW114" s="660" t="s">
        <v>6840</v>
      </c>
      <c r="AX114" s="555"/>
      <c r="AY114" s="636" t="s">
        <v>709</v>
      </c>
      <c r="AZ114" s="443"/>
      <c r="BA114" s="643" t="s">
        <v>6675</v>
      </c>
      <c r="BB114" s="644" t="s">
        <v>1718</v>
      </c>
      <c r="BC114" s="479" t="s">
        <v>709</v>
      </c>
      <c r="BD114" s="554" t="s">
        <v>882</v>
      </c>
      <c r="BE114" s="588" t="s">
        <v>1719</v>
      </c>
      <c r="BF114" s="588" t="s">
        <v>709</v>
      </c>
      <c r="BG114" s="483" t="s">
        <v>709</v>
      </c>
      <c r="BH114" s="615" t="s">
        <v>6676</v>
      </c>
      <c r="BI114" s="742" t="s">
        <v>709</v>
      </c>
      <c r="BJ114" s="626" t="s">
        <v>709</v>
      </c>
      <c r="BK114" s="626" t="s">
        <v>709</v>
      </c>
      <c r="BL114" s="626" t="s">
        <v>116</v>
      </c>
      <c r="BM114" s="626" t="s">
        <v>709</v>
      </c>
      <c r="BN114" s="626" t="s">
        <v>709</v>
      </c>
      <c r="BO114" s="626" t="s">
        <v>709</v>
      </c>
      <c r="BP114" s="626" t="s">
        <v>709</v>
      </c>
      <c r="BQ114" s="626" t="s">
        <v>709</v>
      </c>
      <c r="BR114" s="626">
        <v>2810</v>
      </c>
      <c r="BS114" s="626">
        <v>964</v>
      </c>
      <c r="BT114" s="626" t="s">
        <v>709</v>
      </c>
      <c r="BU114" s="626" t="s">
        <v>709</v>
      </c>
      <c r="BV114" s="626" t="s">
        <v>709</v>
      </c>
      <c r="BW114" s="626" t="s">
        <v>709</v>
      </c>
      <c r="BX114" s="626" t="s">
        <v>709</v>
      </c>
      <c r="BY114" s="626" t="s">
        <v>709</v>
      </c>
      <c r="BZ114" s="483"/>
    </row>
    <row r="115" spans="1:78" ht="15" hidden="1" customHeight="1" x14ac:dyDescent="0.25">
      <c r="A115" s="8" t="s">
        <v>800</v>
      </c>
      <c r="B115" s="8" t="s">
        <v>759</v>
      </c>
      <c r="C115" s="8" t="s">
        <v>525</v>
      </c>
      <c r="D115" s="8" t="s">
        <v>1521</v>
      </c>
      <c r="E115" s="8" t="s">
        <v>1522</v>
      </c>
      <c r="F115" s="8" t="s">
        <v>752</v>
      </c>
      <c r="G115" s="8" t="s">
        <v>37</v>
      </c>
      <c r="H115" s="13" t="s">
        <v>59</v>
      </c>
      <c r="I115" s="642">
        <v>44979</v>
      </c>
      <c r="J115" s="18">
        <v>45079</v>
      </c>
      <c r="K115" s="175">
        <v>45079</v>
      </c>
      <c r="L115" s="16">
        <f>IF(ISTEXT(Table159[[#This Row],[Engineering Approved Design Date]]),Table159[[#This Row],[Date Completed]]-Table159[[#This Row],[Date Assigned to Designer]],Table159[[#This Row],[Engineering Approved Design Date]]-Table159[[#This Row],[Date Completed]])</f>
        <v>0</v>
      </c>
      <c r="M115" s="642"/>
      <c r="N115" s="642" t="s">
        <v>120</v>
      </c>
      <c r="O115" s="510">
        <f>Table159[[#This Row],[Date Completed]]</f>
        <v>45079</v>
      </c>
      <c r="P115" s="221" t="s">
        <v>120</v>
      </c>
      <c r="Q115" s="70">
        <f>Table159[[#This Row],[Rate]]*Table159[[#This Row],[Construction Cost to Bill From]]</f>
        <v>66982.895100000009</v>
      </c>
      <c r="R115" s="75">
        <v>0.11</v>
      </c>
      <c r="U115" s="87"/>
      <c r="V115" s="437">
        <v>267</v>
      </c>
      <c r="W115" s="437">
        <v>1</v>
      </c>
      <c r="X115" s="94">
        <v>517133.74</v>
      </c>
      <c r="Y115" s="592"/>
      <c r="Z115" s="552">
        <v>91801.67</v>
      </c>
      <c r="AA115" s="800">
        <f>Table159[[#This Row],[PCTS Investment Amount]]+Table159[[#This Row],[PCTS Retirement Amount]]</f>
        <v>608935.41</v>
      </c>
      <c r="AB115" s="207">
        <v>45091</v>
      </c>
      <c r="AC115" s="108" t="s">
        <v>1523</v>
      </c>
      <c r="AD115" s="108" t="s">
        <v>29</v>
      </c>
      <c r="AE115" s="349"/>
      <c r="AF115" s="579"/>
      <c r="AG115" s="579"/>
      <c r="AH115" s="354">
        <v>45609</v>
      </c>
      <c r="AI115" s="489"/>
      <c r="AJ115" s="553"/>
      <c r="AK115" s="553"/>
      <c r="AL115" s="495"/>
      <c r="AM115" s="21" t="s">
        <v>116</v>
      </c>
      <c r="AN115" s="680">
        <v>45496</v>
      </c>
      <c r="AO115" s="681">
        <v>11070082</v>
      </c>
      <c r="AP115" s="788">
        <v>532671.96</v>
      </c>
      <c r="AQ115" s="788"/>
      <c r="AR115" s="788">
        <v>96042.03</v>
      </c>
      <c r="AS115" s="538">
        <f>IF(Table159[[#This Row],[PCTS Approved]]="N",0,Table159[[#This Row],[Investment Amount (1'#'#'#'#'#)]]+Table159[[#This Row],[Retirement Amount (3'#'#'#'#'#)]])</f>
        <v>628713.99</v>
      </c>
      <c r="AT115" s="538">
        <f>IF(Table159[[#This Row],[Approved Construction Cost]]=0,0,Table159[[#This Row],[Approved Construction Cost]]-Table159[[#This Row],[Construction Cost to Bill From]])</f>
        <v>19778.579999999958</v>
      </c>
      <c r="AU115" s="538">
        <f>IFERROR(Table159[[#This Row],[Difference in Construction Cost]]*Table159[[#This Row],[Rate]],Table159[[#This Row],[Difference in Construction Cost]]*0.085)</f>
        <v>2175.6437999999953</v>
      </c>
      <c r="AV115" s="682">
        <v>0</v>
      </c>
      <c r="AW115" s="686" t="s">
        <v>6841</v>
      </c>
      <c r="AX115" s="538"/>
      <c r="AY115" s="636" t="s">
        <v>709</v>
      </c>
      <c r="AZ115" s="443">
        <v>154</v>
      </c>
      <c r="BA115" s="652" t="s">
        <v>1524</v>
      </c>
      <c r="BB115" s="644" t="s">
        <v>1525</v>
      </c>
      <c r="BC115" s="478" t="s">
        <v>115</v>
      </c>
      <c r="BD115" s="544" t="s">
        <v>115</v>
      </c>
      <c r="BE115" s="544" t="s">
        <v>115</v>
      </c>
      <c r="BF115" s="544" t="s">
        <v>526</v>
      </c>
      <c r="BG115" s="512" t="s">
        <v>115</v>
      </c>
      <c r="BH115" s="741" t="s">
        <v>1526</v>
      </c>
      <c r="BI115" s="535" t="s">
        <v>709</v>
      </c>
      <c r="BJ115" s="547" t="s">
        <v>709</v>
      </c>
      <c r="BK115" s="547" t="s">
        <v>116</v>
      </c>
      <c r="BL115" s="547" t="s">
        <v>116</v>
      </c>
      <c r="BM115" s="547" t="s">
        <v>709</v>
      </c>
      <c r="BN115" s="547" t="s">
        <v>709</v>
      </c>
      <c r="BO115" s="547" t="s">
        <v>709</v>
      </c>
      <c r="BP115" s="547">
        <v>128</v>
      </c>
      <c r="BQ115" s="547" t="s">
        <v>709</v>
      </c>
      <c r="BR115" s="547">
        <v>9</v>
      </c>
      <c r="BS115" s="547" t="s">
        <v>709</v>
      </c>
      <c r="BT115" s="547" t="s">
        <v>709</v>
      </c>
      <c r="BU115" s="547" t="s">
        <v>709</v>
      </c>
      <c r="BV115" s="547" t="s">
        <v>709</v>
      </c>
      <c r="BW115" s="547">
        <v>1</v>
      </c>
      <c r="BX115" s="547" t="s">
        <v>745</v>
      </c>
      <c r="BY115" s="547" t="s">
        <v>709</v>
      </c>
      <c r="BZ115" s="483" t="s">
        <v>1022</v>
      </c>
    </row>
    <row r="116" spans="1:78" ht="15" hidden="1" customHeight="1" x14ac:dyDescent="0.25">
      <c r="A116" s="8">
        <v>2023</v>
      </c>
      <c r="B116" s="8" t="s">
        <v>730</v>
      </c>
      <c r="C116" s="8" t="s">
        <v>1371</v>
      </c>
      <c r="D116" s="8" t="s">
        <v>1372</v>
      </c>
      <c r="E116" s="8" t="s">
        <v>1373</v>
      </c>
      <c r="F116" s="8" t="s">
        <v>752</v>
      </c>
      <c r="G116" s="8" t="s">
        <v>34</v>
      </c>
      <c r="H116" s="8" t="s">
        <v>59</v>
      </c>
      <c r="I116" s="642">
        <v>44750</v>
      </c>
      <c r="J116" s="18">
        <v>44862</v>
      </c>
      <c r="K116" s="97">
        <v>44862</v>
      </c>
      <c r="L116" s="16">
        <f>IF(ISTEXT(Table159[[#This Row],[Engineering Approved Design Date]]),Table159[[#This Row],[Date Completed]]-Table159[[#This Row],[Date Assigned to Designer]],Table159[[#This Row],[Engineering Approved Design Date]]-Table159[[#This Row],[Date Completed]])</f>
        <v>0</v>
      </c>
      <c r="M116" s="642"/>
      <c r="N116" s="642" t="s">
        <v>120</v>
      </c>
      <c r="O116" s="534">
        <v>44866</v>
      </c>
      <c r="P116" s="68" t="s">
        <v>120</v>
      </c>
      <c r="Q116" s="71">
        <f>R116*AA116</f>
        <v>40167.617399999996</v>
      </c>
      <c r="R116" s="75">
        <v>0.09</v>
      </c>
      <c r="U116" s="87"/>
      <c r="V116" s="437">
        <v>1949</v>
      </c>
      <c r="X116" s="106">
        <v>405369.01</v>
      </c>
      <c r="Y116" s="592"/>
      <c r="Z116" s="570">
        <v>40937.85</v>
      </c>
      <c r="AA116" s="800">
        <f>Table159[[#This Row],[PCTS Investment Amount]]+Table159[[#This Row],[PCTS Retirement Amount]]</f>
        <v>446306.86</v>
      </c>
      <c r="AB116" s="207">
        <v>44867</v>
      </c>
      <c r="AC116" s="108" t="s">
        <v>709</v>
      </c>
      <c r="AD116" s="108" t="s">
        <v>709</v>
      </c>
      <c r="AE116" s="349"/>
      <c r="AF116" s="579"/>
      <c r="AG116" s="579"/>
      <c r="AH116" s="354"/>
      <c r="AI116" s="489"/>
      <c r="AJ116" s="553"/>
      <c r="AK116" s="553"/>
      <c r="AL116" s="495"/>
      <c r="AM116" s="21" t="s">
        <v>116</v>
      </c>
      <c r="AN116" s="680">
        <v>45573</v>
      </c>
      <c r="AO116" s="681">
        <v>11091536</v>
      </c>
      <c r="AP116" s="788">
        <v>351493.28</v>
      </c>
      <c r="AQ116" s="788"/>
      <c r="AR116" s="788">
        <v>40937.85</v>
      </c>
      <c r="AS116" s="538">
        <f>IF(Table159[[#This Row],[PCTS Approved]]="N",0,Table159[[#This Row],[Investment Amount (1'#'#'#'#'#)]]+Table159[[#This Row],[Retirement Amount (3'#'#'#'#'#)]])</f>
        <v>392431.13</v>
      </c>
      <c r="AT116" s="538">
        <f>IF(Table159[[#This Row],[Approved Construction Cost]]=0,0,Table159[[#This Row],[Approved Construction Cost]]-Table159[[#This Row],[Construction Cost to Bill From]])</f>
        <v>-53875.729999999981</v>
      </c>
      <c r="AU116" s="538">
        <f>IFERROR(Table159[[#This Row],[Difference in Construction Cost]]*Table159[[#This Row],[Rate]],Table159[[#This Row],[Difference in Construction Cost]]*0.085)</f>
        <v>-4848.8156999999983</v>
      </c>
      <c r="AV116" s="682">
        <v>0</v>
      </c>
      <c r="AW116" s="686" t="s">
        <v>6842</v>
      </c>
      <c r="AX116" s="538"/>
      <c r="AY116" s="636" t="s">
        <v>709</v>
      </c>
      <c r="AZ116" s="443">
        <v>28</v>
      </c>
      <c r="BA116" s="652" t="s">
        <v>1374</v>
      </c>
      <c r="BB116" s="644" t="s">
        <v>1375</v>
      </c>
      <c r="BC116" s="478" t="s">
        <v>116</v>
      </c>
      <c r="BD116" s="544" t="s">
        <v>115</v>
      </c>
      <c r="BE116" s="544" t="s">
        <v>115</v>
      </c>
      <c r="BF116" s="544" t="s">
        <v>1376</v>
      </c>
      <c r="BG116" s="512" t="s">
        <v>115</v>
      </c>
      <c r="BH116" s="741"/>
      <c r="BI116" s="535" t="s">
        <v>709</v>
      </c>
      <c r="BJ116" s="547" t="s">
        <v>709</v>
      </c>
      <c r="BK116" s="547" t="s">
        <v>709</v>
      </c>
      <c r="BL116" s="547" t="s">
        <v>116</v>
      </c>
      <c r="BM116" s="547" t="s">
        <v>709</v>
      </c>
      <c r="BN116" s="547" t="s">
        <v>709</v>
      </c>
      <c r="BO116" s="547" t="s">
        <v>709</v>
      </c>
      <c r="BP116" s="547" t="s">
        <v>709</v>
      </c>
      <c r="BQ116" s="547" t="s">
        <v>709</v>
      </c>
      <c r="BR116" s="547" t="s">
        <v>709</v>
      </c>
      <c r="BS116" s="547">
        <v>1949</v>
      </c>
      <c r="BT116" s="547" t="s">
        <v>709</v>
      </c>
      <c r="BU116" s="547" t="s">
        <v>709</v>
      </c>
      <c r="BV116" s="547" t="s">
        <v>745</v>
      </c>
      <c r="BW116" s="547" t="s">
        <v>709</v>
      </c>
      <c r="BX116" s="547" t="s">
        <v>709</v>
      </c>
      <c r="BY116" s="547" t="s">
        <v>745</v>
      </c>
      <c r="BZ116" s="483"/>
    </row>
    <row r="117" spans="1:78" ht="15" hidden="1" customHeight="1" x14ac:dyDescent="0.25">
      <c r="A117" s="8" t="s">
        <v>800</v>
      </c>
      <c r="B117" s="8" t="s">
        <v>4</v>
      </c>
      <c r="C117" s="8" t="s">
        <v>392</v>
      </c>
      <c r="D117" s="8" t="s">
        <v>1702</v>
      </c>
      <c r="E117" s="8" t="s">
        <v>393</v>
      </c>
      <c r="F117" s="8" t="s">
        <v>784</v>
      </c>
      <c r="G117" s="8" t="s">
        <v>27</v>
      </c>
      <c r="H117" s="8" t="s">
        <v>59</v>
      </c>
      <c r="I117" s="642">
        <v>44886</v>
      </c>
      <c r="J117" s="18">
        <v>45289</v>
      </c>
      <c r="K117" s="97">
        <v>45288</v>
      </c>
      <c r="L117" s="16">
        <f>IF(ISTEXT(Table159[[#This Row],[Engineering Approved Design Date]]),Table159[[#This Row],[Date Completed]]-Table159[[#This Row],[Date Assigned to Designer]],Table159[[#This Row],[Engineering Approved Design Date]]-Table159[[#This Row],[Date Completed]])</f>
        <v>1</v>
      </c>
      <c r="M117" s="642"/>
      <c r="N117" s="642" t="s">
        <v>120</v>
      </c>
      <c r="O117" s="510">
        <v>45292</v>
      </c>
      <c r="P117" s="221" t="s">
        <v>739</v>
      </c>
      <c r="Q117" s="70">
        <f>Table159[[#This Row],[Rate]]*Table159[[#This Row],[Construction Cost to Bill From]]</f>
        <v>414065.52400000003</v>
      </c>
      <c r="R117" s="75">
        <v>0.1</v>
      </c>
      <c r="U117" s="87"/>
      <c r="V117" s="437">
        <v>8446</v>
      </c>
      <c r="W117" s="437">
        <v>0</v>
      </c>
      <c r="X117" s="70">
        <v>3141483.87</v>
      </c>
      <c r="Y117" s="551"/>
      <c r="Z117" s="570">
        <v>999171.37</v>
      </c>
      <c r="AA117" s="300">
        <f>SUM(Table159[[#This Row],[PCTS Investment Amount]:[PCTS Retirement Amount]])</f>
        <v>4140655.24</v>
      </c>
      <c r="AB117" s="207">
        <v>45288</v>
      </c>
      <c r="AC117" s="108" t="s">
        <v>116</v>
      </c>
      <c r="AD117" s="108" t="s">
        <v>116</v>
      </c>
      <c r="AE117" s="187" t="s">
        <v>116</v>
      </c>
      <c r="AF117" s="568" t="s">
        <v>116</v>
      </c>
      <c r="AG117" s="568" t="s">
        <v>116</v>
      </c>
      <c r="AH117" s="356">
        <v>45366</v>
      </c>
      <c r="AI117" s="498">
        <v>0</v>
      </c>
      <c r="AJ117" s="585">
        <v>9588.4</v>
      </c>
      <c r="AK117" s="585">
        <v>2448.75</v>
      </c>
      <c r="AL117" s="494">
        <f>SUM(Table159[[#This Row],[Nicor Initiated DBE]:[Staffing]])/(Table159[[#This Row],[Amount Invoiced]])</f>
        <v>2.9070640520170422E-2</v>
      </c>
      <c r="AM117" s="21" t="s">
        <v>116</v>
      </c>
      <c r="AN117" s="680" t="s">
        <v>709</v>
      </c>
      <c r="AO117" s="601"/>
      <c r="AP117" s="572"/>
      <c r="AQ117" s="572"/>
      <c r="AR117" s="572"/>
      <c r="AS117" s="538">
        <f>IF(Table159[[#This Row],[PCTS Approved]]="N",0,Table159[[#This Row],[Investment Amount (1'#'#'#'#'#)]]+Table159[[#This Row],[Retirement Amount (3'#'#'#'#'#)]])</f>
        <v>0</v>
      </c>
      <c r="AT117" s="538">
        <f>IF(Table159[[#This Row],[Approved Construction Cost]]=0,0,Table159[[#This Row],[Approved Construction Cost]]-Table159[[#This Row],[Construction Cost to Bill From]])</f>
        <v>0</v>
      </c>
      <c r="AU117" s="538">
        <f>IFERROR(Table159[[#This Row],[Difference in Construction Cost]]*Table159[[#This Row],[Rate]],Table159[[#This Row],[Difference in Construction Cost]]*0.085)</f>
        <v>0</v>
      </c>
      <c r="AV117" s="602"/>
      <c r="AW117" s="640"/>
      <c r="AX117" s="555"/>
      <c r="AY117" s="636" t="s">
        <v>709</v>
      </c>
      <c r="AZ117" s="443">
        <v>115</v>
      </c>
      <c r="BA117" s="651" t="s">
        <v>1703</v>
      </c>
      <c r="BB117" s="644" t="s">
        <v>1704</v>
      </c>
      <c r="BC117" s="479" t="s">
        <v>116</v>
      </c>
      <c r="BD117" s="554" t="s">
        <v>1066</v>
      </c>
      <c r="BE117" s="588" t="s">
        <v>1705</v>
      </c>
      <c r="BF117" s="588" t="s">
        <v>1706</v>
      </c>
      <c r="BG117" s="483" t="s">
        <v>1707</v>
      </c>
      <c r="BH117" s="615" t="s">
        <v>1708</v>
      </c>
      <c r="BI117" s="535" t="s">
        <v>709</v>
      </c>
      <c r="BJ117" s="549" t="s">
        <v>709</v>
      </c>
      <c r="BK117" s="547" t="s">
        <v>709</v>
      </c>
      <c r="BL117" s="547" t="s">
        <v>116</v>
      </c>
      <c r="BM117" s="626" t="s">
        <v>709</v>
      </c>
      <c r="BN117" s="549" t="s">
        <v>709</v>
      </c>
      <c r="BO117" s="626" t="s">
        <v>709</v>
      </c>
      <c r="BP117" s="626">
        <v>250</v>
      </c>
      <c r="BQ117" s="549">
        <v>5956</v>
      </c>
      <c r="BR117" s="549">
        <v>928</v>
      </c>
      <c r="BS117" s="549">
        <v>1562</v>
      </c>
      <c r="BT117" s="549" t="s">
        <v>745</v>
      </c>
      <c r="BU117" s="549" t="s">
        <v>709</v>
      </c>
      <c r="BV117" s="549" t="s">
        <v>745</v>
      </c>
      <c r="BW117" s="549" t="s">
        <v>709</v>
      </c>
      <c r="BX117" s="547" t="s">
        <v>745</v>
      </c>
      <c r="BY117" s="549" t="s">
        <v>745</v>
      </c>
      <c r="BZ117" s="483"/>
    </row>
    <row r="118" spans="1:78" ht="15" customHeight="1" x14ac:dyDescent="0.25">
      <c r="A118" s="8">
        <v>2023</v>
      </c>
      <c r="B118" s="8" t="s">
        <v>1205</v>
      </c>
      <c r="C118" s="8" t="s">
        <v>271</v>
      </c>
      <c r="D118" s="8" t="s">
        <v>1388</v>
      </c>
      <c r="E118" s="8" t="s">
        <v>272</v>
      </c>
      <c r="F118" s="8" t="s">
        <v>747</v>
      </c>
      <c r="G118" s="8" t="s">
        <v>32</v>
      </c>
      <c r="H118" s="8" t="s">
        <v>59</v>
      </c>
      <c r="I118" s="642">
        <v>44795</v>
      </c>
      <c r="J118" s="18">
        <v>44909</v>
      </c>
      <c r="K118" s="97">
        <v>44901</v>
      </c>
      <c r="L118" s="16">
        <f>IF(ISTEXT(Table159[[#This Row],[Engineering Approved Design Date]]),Table159[[#This Row],[Date Completed]]-Table159[[#This Row],[Date Assigned to Designer]],Table159[[#This Row],[Engineering Approved Design Date]]-Table159[[#This Row],[Date Completed]])</f>
        <v>8</v>
      </c>
      <c r="M118" s="642"/>
      <c r="N118" s="642" t="s">
        <v>120</v>
      </c>
      <c r="O118" s="510">
        <f>Table159[[#This Row],[Date Completed]]</f>
        <v>44901</v>
      </c>
      <c r="P118" s="68" t="s">
        <v>120</v>
      </c>
      <c r="Q118" s="71">
        <f>R118*AA118</f>
        <v>39511.660499999998</v>
      </c>
      <c r="R118" s="75">
        <v>0.09</v>
      </c>
      <c r="U118" s="87"/>
      <c r="V118" s="440">
        <v>279</v>
      </c>
      <c r="W118" s="440"/>
      <c r="X118" s="106">
        <v>406784.84</v>
      </c>
      <c r="Y118" s="592"/>
      <c r="Z118" s="570">
        <v>32233.61</v>
      </c>
      <c r="AA118" s="800">
        <f>Table159[[#This Row],[PCTS Investment Amount]]+Table159[[#This Row],[PCTS Retirement Amount]]</f>
        <v>439018.45</v>
      </c>
      <c r="AB118" s="207">
        <v>44902</v>
      </c>
      <c r="AC118" s="108" t="s">
        <v>1177</v>
      </c>
      <c r="AD118" s="108" t="s">
        <v>709</v>
      </c>
      <c r="AE118" s="349"/>
      <c r="AF118" s="579"/>
      <c r="AG118" s="579"/>
      <c r="AH118" s="354"/>
      <c r="AI118" s="489"/>
      <c r="AJ118" s="553"/>
      <c r="AK118" s="553"/>
      <c r="AL118" s="495"/>
      <c r="AM118" s="21" t="s">
        <v>116</v>
      </c>
      <c r="AN118" s="785">
        <v>45582</v>
      </c>
      <c r="AO118" s="786">
        <v>11050949</v>
      </c>
      <c r="AP118" s="788">
        <v>422454.2</v>
      </c>
      <c r="AQ118" s="788"/>
      <c r="AR118" s="788">
        <v>36314.230000000003</v>
      </c>
      <c r="AS118" s="538">
        <f>IF(Table159[[#This Row],[PCTS Approved]]="N",0,Table159[[#This Row],[Investment Amount (1'#'#'#'#'#)]]+Table159[[#This Row],[Retirement Amount (3'#'#'#'#'#)]])</f>
        <v>458768.43</v>
      </c>
      <c r="AT118" s="538">
        <f>IF(Table159[[#This Row],[Approved Construction Cost]]=0,0,Table159[[#This Row],[Approved Construction Cost]]-Table159[[#This Row],[Construction Cost to Bill From]])</f>
        <v>19749.979999999981</v>
      </c>
      <c r="AU118" s="538">
        <f>IFERROR(Table159[[#This Row],[Difference in Construction Cost]]*Table159[[#This Row],[Rate]],Table159[[#This Row],[Difference in Construction Cost]]*0.085)</f>
        <v>1777.4981999999982</v>
      </c>
      <c r="AV118" s="793">
        <v>2125</v>
      </c>
      <c r="AW118" s="787" t="s">
        <v>6843</v>
      </c>
      <c r="AX118" s="538"/>
      <c r="AY118" s="636" t="s">
        <v>709</v>
      </c>
      <c r="AZ118" s="443">
        <v>30</v>
      </c>
      <c r="BA118" s="652" t="s">
        <v>1389</v>
      </c>
      <c r="BB118" s="644" t="s">
        <v>1390</v>
      </c>
      <c r="BC118" s="478" t="s">
        <v>116</v>
      </c>
      <c r="BD118" s="544" t="s">
        <v>115</v>
      </c>
      <c r="BE118" s="544" t="s">
        <v>1242</v>
      </c>
      <c r="BF118" s="544" t="s">
        <v>115</v>
      </c>
      <c r="BG118" s="512" t="s">
        <v>1391</v>
      </c>
      <c r="BH118" s="741"/>
      <c r="BI118" s="535" t="s">
        <v>709</v>
      </c>
      <c r="BJ118" s="547" t="s">
        <v>709</v>
      </c>
      <c r="BK118" s="547" t="s">
        <v>709</v>
      </c>
      <c r="BL118" s="547" t="s">
        <v>116</v>
      </c>
      <c r="BM118" s="547" t="s">
        <v>709</v>
      </c>
      <c r="BN118" s="547" t="s">
        <v>709</v>
      </c>
      <c r="BO118" s="547" t="s">
        <v>709</v>
      </c>
      <c r="BP118" s="547" t="s">
        <v>709</v>
      </c>
      <c r="BQ118" s="547" t="s">
        <v>709</v>
      </c>
      <c r="BR118" s="547">
        <v>261</v>
      </c>
      <c r="BS118" s="547">
        <v>18</v>
      </c>
      <c r="BT118" s="547" t="s">
        <v>745</v>
      </c>
      <c r="BU118" s="547" t="s">
        <v>709</v>
      </c>
      <c r="BV118" s="547" t="s">
        <v>745</v>
      </c>
      <c r="BW118" s="547" t="s">
        <v>709</v>
      </c>
      <c r="BX118" s="547" t="s">
        <v>745</v>
      </c>
      <c r="BY118" s="547" t="s">
        <v>745</v>
      </c>
      <c r="BZ118" s="483"/>
    </row>
    <row r="119" spans="1:78" ht="15" hidden="1" customHeight="1" x14ac:dyDescent="0.25">
      <c r="A119" s="8" t="s">
        <v>800</v>
      </c>
      <c r="B119" s="8" t="s">
        <v>4</v>
      </c>
      <c r="C119" s="8" t="s">
        <v>1709</v>
      </c>
      <c r="D119" s="8" t="s">
        <v>1710</v>
      </c>
      <c r="E119" s="8" t="s">
        <v>1605</v>
      </c>
      <c r="F119" s="8" t="s">
        <v>747</v>
      </c>
      <c r="G119" s="8" t="s">
        <v>25</v>
      </c>
      <c r="H119" s="8" t="s">
        <v>59</v>
      </c>
      <c r="I119" s="642">
        <v>45230</v>
      </c>
      <c r="J119" s="18">
        <v>45317</v>
      </c>
      <c r="K119" s="97">
        <v>45303</v>
      </c>
      <c r="L119" s="16">
        <f>IF(ISTEXT(Table159[[#This Row],[Engineering Approved Design Date]]),Table159[[#This Row],[Date Completed]]-Table159[[#This Row],[Date Assigned to Designer]],Table159[[#This Row],[Engineering Approved Design Date]]-Table159[[#This Row],[Date Completed]])</f>
        <v>14</v>
      </c>
      <c r="M119" s="642"/>
      <c r="N119" s="642" t="s">
        <v>120</v>
      </c>
      <c r="O119" s="510">
        <v>45323</v>
      </c>
      <c r="P119" s="221" t="s">
        <v>739</v>
      </c>
      <c r="Q119" s="70">
        <f>Table159[[#This Row],[Rate]]*Table159[[#This Row],[Construction Cost to Bill From]]</f>
        <v>32968.318999999996</v>
      </c>
      <c r="R119" s="75">
        <v>0.1</v>
      </c>
      <c r="U119" s="87"/>
      <c r="V119" s="437">
        <v>1336</v>
      </c>
      <c r="W119" s="437">
        <v>0</v>
      </c>
      <c r="X119" s="25">
        <v>303555.40999999997</v>
      </c>
      <c r="Y119" s="551"/>
      <c r="Z119" s="570">
        <v>26127.78</v>
      </c>
      <c r="AA119" s="300">
        <f>Table159[[#This Row],[PCTS Investment Amount]]+Table159[[#This Row],[PCTS Retirement Amount]]</f>
        <v>329683.18999999994</v>
      </c>
      <c r="AB119" s="207">
        <v>45294</v>
      </c>
      <c r="AC119" s="108" t="s">
        <v>709</v>
      </c>
      <c r="AD119" s="22" t="s">
        <v>29</v>
      </c>
      <c r="AE119" s="187" t="s">
        <v>756</v>
      </c>
      <c r="AF119" s="568" t="s">
        <v>29</v>
      </c>
      <c r="AG119" s="183" t="s">
        <v>116</v>
      </c>
      <c r="AH119" s="356">
        <v>45308</v>
      </c>
      <c r="AI119" s="499">
        <v>58383</v>
      </c>
      <c r="AJ119" s="541">
        <v>4502</v>
      </c>
      <c r="AK119" s="541">
        <v>0</v>
      </c>
      <c r="AL119" s="494">
        <f>SUM(Table159[[#This Row],[Nicor Initiated DBE]:[Staffing]])/(Table159[[#This Row],[Amount Invoiced]])</f>
        <v>1.9074372581750378</v>
      </c>
      <c r="AM119" s="21" t="s">
        <v>116</v>
      </c>
      <c r="AN119" s="680" t="s">
        <v>709</v>
      </c>
      <c r="AO119" s="601"/>
      <c r="AP119" s="572"/>
      <c r="AQ119" s="572"/>
      <c r="AR119" s="572"/>
      <c r="AS119" s="538">
        <f>IF(Table159[[#This Row],[PCTS Approved]]="N",0,Table159[[#This Row],[Investment Amount (1'#'#'#'#'#)]]+Table159[[#This Row],[Retirement Amount (3'#'#'#'#'#)]])</f>
        <v>0</v>
      </c>
      <c r="AT119" s="538">
        <f>IF(Table159[[#This Row],[Approved Construction Cost]]=0,0,Table159[[#This Row],[Approved Construction Cost]]-Table159[[#This Row],[Construction Cost to Bill From]])</f>
        <v>0</v>
      </c>
      <c r="AU119" s="538">
        <f>IFERROR(Table159[[#This Row],[Difference in Construction Cost]]*Table159[[#This Row],[Rate]],Table159[[#This Row],[Difference in Construction Cost]]*0.085)</f>
        <v>0</v>
      </c>
      <c r="AV119" s="602"/>
      <c r="AW119" s="640"/>
      <c r="AX119" s="555"/>
      <c r="AY119" s="636" t="s">
        <v>709</v>
      </c>
      <c r="AZ119" s="443">
        <v>118</v>
      </c>
      <c r="BA119" s="651" t="s">
        <v>1711</v>
      </c>
      <c r="BB119" s="644" t="s">
        <v>1712</v>
      </c>
      <c r="BC119" s="479" t="s">
        <v>709</v>
      </c>
      <c r="BD119" s="554" t="s">
        <v>837</v>
      </c>
      <c r="BE119" s="588" t="s">
        <v>615</v>
      </c>
      <c r="BF119" s="588" t="s">
        <v>709</v>
      </c>
      <c r="BG119" s="483" t="s">
        <v>709</v>
      </c>
      <c r="BH119" s="615" t="s">
        <v>1713</v>
      </c>
      <c r="BI119" s="535" t="s">
        <v>709</v>
      </c>
      <c r="BJ119" s="549" t="s">
        <v>709</v>
      </c>
      <c r="BK119" s="547" t="s">
        <v>709</v>
      </c>
      <c r="BL119" s="547" t="s">
        <v>116</v>
      </c>
      <c r="BM119" s="626" t="s">
        <v>709</v>
      </c>
      <c r="BN119" s="549" t="s">
        <v>709</v>
      </c>
      <c r="BO119" s="626" t="s">
        <v>709</v>
      </c>
      <c r="BP119" s="626" t="s">
        <v>709</v>
      </c>
      <c r="BQ119" s="549" t="s">
        <v>709</v>
      </c>
      <c r="BR119" s="549" t="s">
        <v>709</v>
      </c>
      <c r="BS119" s="549">
        <v>1336</v>
      </c>
      <c r="BT119" s="549" t="s">
        <v>745</v>
      </c>
      <c r="BU119" s="549" t="s">
        <v>709</v>
      </c>
      <c r="BV119" s="549" t="s">
        <v>745</v>
      </c>
      <c r="BW119" s="549" t="s">
        <v>709</v>
      </c>
      <c r="BX119" s="547" t="s">
        <v>745</v>
      </c>
      <c r="BY119" s="549" t="s">
        <v>745</v>
      </c>
      <c r="BZ119" s="483"/>
    </row>
    <row r="120" spans="1:78" ht="15" hidden="1" customHeight="1" x14ac:dyDescent="0.25">
      <c r="A120" s="8">
        <v>2024</v>
      </c>
      <c r="B120" s="8" t="s">
        <v>4</v>
      </c>
      <c r="C120" s="8" t="s">
        <v>1714</v>
      </c>
      <c r="D120" s="8" t="s">
        <v>1715</v>
      </c>
      <c r="E120" s="8" t="s">
        <v>1716</v>
      </c>
      <c r="F120" s="8" t="s">
        <v>784</v>
      </c>
      <c r="G120" s="8" t="s">
        <v>26</v>
      </c>
      <c r="H120" s="8" t="s">
        <v>59</v>
      </c>
      <c r="I120" s="642">
        <v>45252</v>
      </c>
      <c r="J120" s="18">
        <v>45345</v>
      </c>
      <c r="K120" s="97">
        <v>45344</v>
      </c>
      <c r="L120" s="16">
        <f>IF(ISTEXT(Table159[[#This Row],[Engineering Approved Design Date]]),Table159[[#This Row],[Date Completed]]-Table159[[#This Row],[Date Assigned to Designer]],Table159[[#This Row],[Engineering Approved Design Date]]-Table159[[#This Row],[Date Completed]])</f>
        <v>1</v>
      </c>
      <c r="M120" s="642"/>
      <c r="N120" s="642" t="s">
        <v>120</v>
      </c>
      <c r="O120" s="510">
        <v>45323</v>
      </c>
      <c r="P120" s="221" t="s">
        <v>739</v>
      </c>
      <c r="Q120" s="70">
        <f>Table159[[#This Row],[Rate]]*Table159[[#This Row],[Construction Cost to Bill From]]</f>
        <v>168227.36300000001</v>
      </c>
      <c r="R120" s="75">
        <v>0.1</v>
      </c>
      <c r="U120" s="87"/>
      <c r="V120" s="437">
        <v>3635</v>
      </c>
      <c r="W120" s="437">
        <v>0</v>
      </c>
      <c r="X120" s="25">
        <v>1357205.65</v>
      </c>
      <c r="Y120" s="551"/>
      <c r="Z120" s="561">
        <v>325067.98</v>
      </c>
      <c r="AA120" s="300">
        <f>Table159[[#This Row],[PCTS Retirement Amount]]+Table159[[#This Row],[PCTS Investment Amount]]</f>
        <v>1682273.63</v>
      </c>
      <c r="AB120" s="207">
        <v>45348</v>
      </c>
      <c r="AC120" s="108" t="s">
        <v>709</v>
      </c>
      <c r="AD120" s="108" t="s">
        <v>29</v>
      </c>
      <c r="AE120" s="187" t="s">
        <v>116</v>
      </c>
      <c r="AF120" s="568" t="s">
        <v>116</v>
      </c>
      <c r="AG120" s="183">
        <v>45366</v>
      </c>
      <c r="AH120" s="356">
        <v>45366</v>
      </c>
      <c r="AI120" s="499">
        <v>0</v>
      </c>
      <c r="AJ120" s="541">
        <v>3800</v>
      </c>
      <c r="AK120" s="540">
        <v>14250</v>
      </c>
      <c r="AL120" s="494">
        <f>SUM(Table159[[#This Row],[Nicor Initiated DBE]:[Staffing]])/(Table159[[#This Row],[Amount Invoiced]])</f>
        <v>0.10729526801177998</v>
      </c>
      <c r="AM120" s="21" t="s">
        <v>116</v>
      </c>
      <c r="AN120" s="680" t="s">
        <v>709</v>
      </c>
      <c r="AO120" s="681"/>
      <c r="AP120" s="682"/>
      <c r="AQ120" s="682"/>
      <c r="AR120" s="682"/>
      <c r="AS120" s="538">
        <f>IF(Table159[[#This Row],[PCTS Approved]]="N",0,Table159[[#This Row],[Investment Amount (1'#'#'#'#'#)]]+Table159[[#This Row],[Retirement Amount (3'#'#'#'#'#)]])</f>
        <v>0</v>
      </c>
      <c r="AT120" s="538">
        <f>IF(Table159[[#This Row],[Approved Construction Cost]]=0,0,Table159[[#This Row],[Approved Construction Cost]]-Table159[[#This Row],[Construction Cost to Bill From]])</f>
        <v>0</v>
      </c>
      <c r="AU120" s="538">
        <f>IFERROR(Table159[[#This Row],[Difference in Construction Cost]]*Table159[[#This Row],[Rate]],Table159[[#This Row],[Difference in Construction Cost]]*0.085)</f>
        <v>0</v>
      </c>
      <c r="AV120" s="690"/>
      <c r="AW120" s="660"/>
      <c r="AX120" s="555"/>
      <c r="AY120" s="636" t="s">
        <v>709</v>
      </c>
      <c r="AZ120" s="443">
        <v>124</v>
      </c>
      <c r="BA120" s="651" t="s">
        <v>1717</v>
      </c>
      <c r="BB120" s="644" t="s">
        <v>1718</v>
      </c>
      <c r="BC120" s="479" t="s">
        <v>709</v>
      </c>
      <c r="BD120" s="554" t="s">
        <v>882</v>
      </c>
      <c r="BE120" s="588" t="s">
        <v>1719</v>
      </c>
      <c r="BF120" s="588" t="s">
        <v>1396</v>
      </c>
      <c r="BG120" s="483" t="s">
        <v>709</v>
      </c>
      <c r="BH120" s="615" t="s">
        <v>1720</v>
      </c>
      <c r="BI120" s="535" t="s">
        <v>709</v>
      </c>
      <c r="BJ120" s="549" t="s">
        <v>709</v>
      </c>
      <c r="BK120" s="547" t="s">
        <v>709</v>
      </c>
      <c r="BL120" s="547" t="s">
        <v>116</v>
      </c>
      <c r="BM120" s="626" t="s">
        <v>709</v>
      </c>
      <c r="BN120" s="549" t="s">
        <v>709</v>
      </c>
      <c r="BO120" s="626" t="s">
        <v>709</v>
      </c>
      <c r="BP120" s="626" t="s">
        <v>709</v>
      </c>
      <c r="BQ120" s="549" t="s">
        <v>709</v>
      </c>
      <c r="BR120" s="549">
        <v>2942</v>
      </c>
      <c r="BS120" s="549">
        <v>693</v>
      </c>
      <c r="BT120" s="549" t="s">
        <v>709</v>
      </c>
      <c r="BU120" s="549" t="s">
        <v>709</v>
      </c>
      <c r="BV120" s="549" t="s">
        <v>709</v>
      </c>
      <c r="BW120" s="549" t="s">
        <v>709</v>
      </c>
      <c r="BX120" s="547" t="s">
        <v>709</v>
      </c>
      <c r="BY120" s="549" t="s">
        <v>709</v>
      </c>
      <c r="BZ120" s="483"/>
    </row>
    <row r="121" spans="1:78" ht="15" customHeight="1" x14ac:dyDescent="0.25">
      <c r="A121" s="8" t="s">
        <v>749</v>
      </c>
      <c r="B121" s="8" t="s">
        <v>771</v>
      </c>
      <c r="C121" s="8" t="s">
        <v>1127</v>
      </c>
      <c r="D121" s="8" t="s">
        <v>1128</v>
      </c>
      <c r="E121" s="8" t="s">
        <v>1129</v>
      </c>
      <c r="F121" s="8" t="s">
        <v>784</v>
      </c>
      <c r="G121" s="8" t="s">
        <v>32</v>
      </c>
      <c r="H121" s="13" t="s">
        <v>59</v>
      </c>
      <c r="I121" s="642">
        <v>44946</v>
      </c>
      <c r="J121" s="18">
        <v>45036</v>
      </c>
      <c r="K121" s="97">
        <v>45023</v>
      </c>
      <c r="L121" s="16">
        <f>IF(ISTEXT(Table159[[#This Row],[Engineering Approved Design Date]]),Table159[[#This Row],[Date Completed]]-Table159[[#This Row],[Date Assigned to Designer]],Table159[[#This Row],[Engineering Approved Design Date]]-Table159[[#This Row],[Date Completed]])</f>
        <v>13</v>
      </c>
      <c r="M121" s="642"/>
      <c r="N121" s="642" t="s">
        <v>120</v>
      </c>
      <c r="O121" s="510">
        <v>45047</v>
      </c>
      <c r="P121" s="221" t="s">
        <v>120</v>
      </c>
      <c r="Q121" s="70">
        <f>Table159[[#This Row],[Rate]]*Table159[[#This Row],[Construction Cost to Bill From]]</f>
        <v>38230.177499999998</v>
      </c>
      <c r="R121" s="75">
        <v>0.09</v>
      </c>
      <c r="U121" s="87"/>
      <c r="V121" s="437">
        <v>1538</v>
      </c>
      <c r="W121" s="437">
        <v>0</v>
      </c>
      <c r="X121" s="94">
        <v>393521.83</v>
      </c>
      <c r="Y121" s="592"/>
      <c r="Z121" s="552">
        <v>31257.919999999998</v>
      </c>
      <c r="AA121" s="800">
        <f>SUM(Table159[[#This Row],[PCTS Investment Amount]:[PCTS Retirement Amount]])</f>
        <v>424779.75</v>
      </c>
      <c r="AB121" s="207">
        <v>45028</v>
      </c>
      <c r="AC121" s="108" t="s">
        <v>709</v>
      </c>
      <c r="AD121" s="108" t="s">
        <v>116</v>
      </c>
      <c r="AE121" s="349"/>
      <c r="AF121" s="579"/>
      <c r="AG121" s="579"/>
      <c r="AH121" s="354"/>
      <c r="AI121" s="489"/>
      <c r="AJ121" s="553"/>
      <c r="AK121" s="553"/>
      <c r="AL121" s="495"/>
      <c r="AM121" s="21" t="s">
        <v>116</v>
      </c>
      <c r="AN121" s="785">
        <v>45483</v>
      </c>
      <c r="AO121" s="786">
        <v>11086005</v>
      </c>
      <c r="AP121" s="788">
        <v>437457.65</v>
      </c>
      <c r="AQ121" s="682"/>
      <c r="AR121" s="788">
        <v>81907.31</v>
      </c>
      <c r="AS121" s="538">
        <f>IF(Table159[[#This Row],[PCTS Approved]]="N",0,Table159[[#This Row],[Investment Amount (1'#'#'#'#'#)]]+Table159[[#This Row],[Retirement Amount (3'#'#'#'#'#)]])</f>
        <v>519364.96</v>
      </c>
      <c r="AT121" s="538">
        <f>IF(Table159[[#This Row],[Approved Construction Cost]]=0,0,Table159[[#This Row],[Approved Construction Cost]]-Table159[[#This Row],[Construction Cost to Bill From]])</f>
        <v>94585.210000000021</v>
      </c>
      <c r="AU121" s="538">
        <f>IFERROR(Table159[[#This Row],[Difference in Construction Cost]]*Table159[[#This Row],[Rate]],Table159[[#This Row],[Difference in Construction Cost]]*0.085)</f>
        <v>8512.6689000000024</v>
      </c>
      <c r="AV121" s="788">
        <v>0</v>
      </c>
      <c r="AW121" s="787" t="s">
        <v>6844</v>
      </c>
      <c r="AX121" s="538"/>
      <c r="AY121" s="636" t="s">
        <v>709</v>
      </c>
      <c r="AZ121" s="443">
        <v>40</v>
      </c>
      <c r="BA121" s="652" t="s">
        <v>1131</v>
      </c>
      <c r="BB121" s="644" t="s">
        <v>1132</v>
      </c>
      <c r="BC121" s="478" t="s">
        <v>116</v>
      </c>
      <c r="BD121" s="544" t="s">
        <v>1066</v>
      </c>
      <c r="BE121" s="544" t="s">
        <v>1133</v>
      </c>
      <c r="BF121" s="544" t="s">
        <v>1133</v>
      </c>
      <c r="BG121" s="512" t="s">
        <v>115</v>
      </c>
      <c r="BH121" s="741"/>
      <c r="BI121" s="535" t="s">
        <v>709</v>
      </c>
      <c r="BJ121" s="547" t="s">
        <v>709</v>
      </c>
      <c r="BK121" s="547" t="s">
        <v>709</v>
      </c>
      <c r="BL121" s="547" t="s">
        <v>116</v>
      </c>
      <c r="BM121" s="547" t="s">
        <v>709</v>
      </c>
      <c r="BN121" s="547" t="s">
        <v>709</v>
      </c>
      <c r="BO121" s="547" t="s">
        <v>709</v>
      </c>
      <c r="BP121" s="547" t="s">
        <v>709</v>
      </c>
      <c r="BQ121" s="547" t="s">
        <v>709</v>
      </c>
      <c r="BR121" s="547">
        <v>1054</v>
      </c>
      <c r="BS121" s="547">
        <v>484</v>
      </c>
      <c r="BT121" s="547" t="s">
        <v>745</v>
      </c>
      <c r="BU121" s="547" t="s">
        <v>709</v>
      </c>
      <c r="BV121" s="547" t="s">
        <v>745</v>
      </c>
      <c r="BW121" s="547" t="s">
        <v>709</v>
      </c>
      <c r="BX121" s="547" t="s">
        <v>745</v>
      </c>
      <c r="BY121" s="547" t="s">
        <v>745</v>
      </c>
      <c r="BZ121" s="483"/>
    </row>
    <row r="122" spans="1:78" ht="15" customHeight="1" x14ac:dyDescent="0.25">
      <c r="A122" s="8">
        <v>2023</v>
      </c>
      <c r="B122" s="8" t="s">
        <v>771</v>
      </c>
      <c r="C122" s="8" t="s">
        <v>1469</v>
      </c>
      <c r="D122" s="8" t="s">
        <v>1470</v>
      </c>
      <c r="E122" s="8" t="s">
        <v>1129</v>
      </c>
      <c r="F122" s="8" t="s">
        <v>784</v>
      </c>
      <c r="G122" s="8" t="s">
        <v>32</v>
      </c>
      <c r="H122" s="13" t="s">
        <v>59</v>
      </c>
      <c r="I122" s="642">
        <v>44946</v>
      </c>
      <c r="J122" s="18">
        <v>45065</v>
      </c>
      <c r="K122" s="97">
        <v>45043</v>
      </c>
      <c r="L122" s="16">
        <f>IF(ISTEXT(Table159[[#This Row],[Engineering Approved Design Date]]),Table159[[#This Row],[Date Completed]]-Table159[[#This Row],[Date Assigned to Designer]],Table159[[#This Row],[Engineering Approved Design Date]]-Table159[[#This Row],[Date Completed]])</f>
        <v>22</v>
      </c>
      <c r="M122" s="642"/>
      <c r="N122" s="642" t="s">
        <v>120</v>
      </c>
      <c r="O122" s="510">
        <v>45061</v>
      </c>
      <c r="P122" s="221" t="s">
        <v>120</v>
      </c>
      <c r="Q122" s="70">
        <f>Table159[[#This Row],[Rate]]*Table159[[#This Row],[Construction Cost to Bill From]]</f>
        <v>62958.712499999994</v>
      </c>
      <c r="R122" s="75">
        <v>0.09</v>
      </c>
      <c r="U122" s="87"/>
      <c r="V122" s="437">
        <v>3016</v>
      </c>
      <c r="W122" s="437">
        <v>0</v>
      </c>
      <c r="X122" s="94">
        <v>670013.47</v>
      </c>
      <c r="Y122" s="592"/>
      <c r="Z122" s="552">
        <v>29527.78</v>
      </c>
      <c r="AA122" s="800">
        <f>SUM(Table159[[#This Row],[PCTS Investment Amount]:[PCTS Retirement Amount]])</f>
        <v>699541.25</v>
      </c>
      <c r="AB122" s="207">
        <v>45047</v>
      </c>
      <c r="AC122" s="108" t="s">
        <v>709</v>
      </c>
      <c r="AD122" s="108" t="s">
        <v>116</v>
      </c>
      <c r="AE122" s="349"/>
      <c r="AF122" s="579"/>
      <c r="AG122" s="579"/>
      <c r="AH122" s="354"/>
      <c r="AI122" s="489"/>
      <c r="AJ122" s="553"/>
      <c r="AK122" s="553"/>
      <c r="AL122" s="495"/>
      <c r="AM122" s="21" t="s">
        <v>116</v>
      </c>
      <c r="AN122" s="785">
        <v>45490</v>
      </c>
      <c r="AO122" s="786">
        <v>11086409</v>
      </c>
      <c r="AP122" s="788">
        <v>713470.35</v>
      </c>
      <c r="AQ122" s="682"/>
      <c r="AR122" s="788">
        <v>74452.259999999995</v>
      </c>
      <c r="AS122" s="538">
        <f>IF(Table159[[#This Row],[PCTS Approved]]="N",0,Table159[[#This Row],[Investment Amount (1'#'#'#'#'#)]]+Table159[[#This Row],[Retirement Amount (3'#'#'#'#'#)]])</f>
        <v>787922.61</v>
      </c>
      <c r="AT122" s="538">
        <f>IF(Table159[[#This Row],[Approved Construction Cost]]=0,0,Table159[[#This Row],[Approved Construction Cost]]-Table159[[#This Row],[Construction Cost to Bill From]])</f>
        <v>88381.359999999986</v>
      </c>
      <c r="AU122" s="538">
        <f>IFERROR(Table159[[#This Row],[Difference in Construction Cost]]*Table159[[#This Row],[Rate]],Table159[[#This Row],[Difference in Construction Cost]]*0.085)</f>
        <v>7954.3223999999982</v>
      </c>
      <c r="AV122" s="788">
        <v>0</v>
      </c>
      <c r="AW122" s="787" t="s">
        <v>6844</v>
      </c>
      <c r="AX122" s="538"/>
      <c r="AY122" s="636" t="s">
        <v>709</v>
      </c>
      <c r="AZ122" s="443">
        <v>41</v>
      </c>
      <c r="BA122" s="652" t="s">
        <v>1471</v>
      </c>
      <c r="BB122" s="644" t="s">
        <v>1132</v>
      </c>
      <c r="BC122" s="478" t="s">
        <v>116</v>
      </c>
      <c r="BD122" s="544" t="s">
        <v>1066</v>
      </c>
      <c r="BE122" s="544" t="s">
        <v>1133</v>
      </c>
      <c r="BF122" s="544" t="s">
        <v>1133</v>
      </c>
      <c r="BG122" s="512" t="s">
        <v>115</v>
      </c>
      <c r="BH122" s="741" t="s">
        <v>1472</v>
      </c>
      <c r="BI122" s="535" t="s">
        <v>709</v>
      </c>
      <c r="BJ122" s="547" t="s">
        <v>709</v>
      </c>
      <c r="BK122" s="547" t="s">
        <v>709</v>
      </c>
      <c r="BL122" s="547" t="s">
        <v>116</v>
      </c>
      <c r="BM122" s="547" t="s">
        <v>709</v>
      </c>
      <c r="BN122" s="547" t="s">
        <v>709</v>
      </c>
      <c r="BO122" s="547" t="s">
        <v>709</v>
      </c>
      <c r="BP122" s="547" t="s">
        <v>709</v>
      </c>
      <c r="BQ122" s="547" t="s">
        <v>709</v>
      </c>
      <c r="BR122" s="547">
        <v>762</v>
      </c>
      <c r="BS122" s="547">
        <v>2290</v>
      </c>
      <c r="BT122" s="547" t="s">
        <v>745</v>
      </c>
      <c r="BU122" s="547" t="s">
        <v>709</v>
      </c>
      <c r="BV122" s="547" t="s">
        <v>745</v>
      </c>
      <c r="BW122" s="547" t="s">
        <v>709</v>
      </c>
      <c r="BX122" s="547" t="s">
        <v>745</v>
      </c>
      <c r="BY122" s="547" t="s">
        <v>745</v>
      </c>
      <c r="BZ122" s="483"/>
    </row>
    <row r="123" spans="1:78" ht="15" hidden="1" customHeight="1" x14ac:dyDescent="0.25">
      <c r="A123" s="8" t="s">
        <v>770</v>
      </c>
      <c r="B123" s="8" t="s">
        <v>1108</v>
      </c>
      <c r="C123" s="662" t="s">
        <v>1109</v>
      </c>
      <c r="D123" s="656" t="s">
        <v>761</v>
      </c>
      <c r="E123" s="8" t="s">
        <v>1110</v>
      </c>
      <c r="F123" s="8" t="s">
        <v>1111</v>
      </c>
      <c r="G123" s="8" t="s">
        <v>40</v>
      </c>
      <c r="H123" s="8" t="s">
        <v>59</v>
      </c>
      <c r="I123" s="642">
        <v>44105</v>
      </c>
      <c r="J123" s="18">
        <v>44342</v>
      </c>
      <c r="K123" s="642">
        <v>44340</v>
      </c>
      <c r="L123" s="16">
        <f>IF(ISTEXT(Table159[[#This Row],[Engineering Approved Design Date]]),Table159[[#This Row],[Date Completed]]-Table159[[#This Row],[Date Assigned to Designer]],Table159[[#This Row],[Engineering Approved Design Date]]-Table159[[#This Row],[Date Completed]])</f>
        <v>2</v>
      </c>
      <c r="M123" s="642"/>
      <c r="N123" s="642" t="s">
        <v>120</v>
      </c>
      <c r="O123" s="534">
        <v>44340</v>
      </c>
      <c r="P123" s="68" t="s">
        <v>739</v>
      </c>
      <c r="Q123" s="70">
        <f>(Table159[[#This Row],[Construction Cost to Bill From]]*0.085)+7750</f>
        <v>56111.2379</v>
      </c>
      <c r="R123" s="75" t="s">
        <v>1055</v>
      </c>
      <c r="S123" s="24" t="s">
        <v>709</v>
      </c>
      <c r="T123" s="538" t="s">
        <v>709</v>
      </c>
      <c r="U123" s="28" t="s">
        <v>709</v>
      </c>
      <c r="X123" s="24">
        <v>485306.62</v>
      </c>
      <c r="Y123" s="591"/>
      <c r="Z123" s="538">
        <v>83649.119999999995</v>
      </c>
      <c r="AA123" s="799">
        <f>X123+Z123</f>
        <v>568955.74</v>
      </c>
      <c r="AB123" s="207"/>
      <c r="AC123" s="108" t="s">
        <v>116</v>
      </c>
      <c r="AD123" s="108"/>
      <c r="AE123" s="349"/>
      <c r="AF123" s="579"/>
      <c r="AG123" s="579"/>
      <c r="AH123" s="354"/>
      <c r="AI123" s="489"/>
      <c r="AJ123" s="553"/>
      <c r="AK123" s="553"/>
      <c r="AL123" s="495"/>
      <c r="AM123" s="21" t="s">
        <v>709</v>
      </c>
      <c r="AN123" s="680">
        <v>45309</v>
      </c>
      <c r="AO123" s="681">
        <v>11031821</v>
      </c>
      <c r="AP123" s="682">
        <v>759339.67</v>
      </c>
      <c r="AQ123" s="572"/>
      <c r="AR123" s="682">
        <v>156991.09</v>
      </c>
      <c r="AS123" s="538">
        <f>IF(Table159[[#This Row],[PCTS Approved]]="N",0,Table159[[#This Row],[Investment Amount (1'#'#'#'#'#)]]+Table159[[#This Row],[Retirement Amount (3'#'#'#'#'#)]])</f>
        <v>916330.76</v>
      </c>
      <c r="AT123" s="538">
        <f>IF(Table159[[#This Row],[Approved Construction Cost]]=0,0,Table159[[#This Row],[Approved Construction Cost]]-Table159[[#This Row],[Construction Cost to Bill From]])</f>
        <v>347375.02</v>
      </c>
      <c r="AU123" s="538">
        <f>IFERROR(Table159[[#This Row],[Difference in Construction Cost]]*Table159[[#This Row],[Rate]],Table159[[#This Row],[Difference in Construction Cost]]*0.085)</f>
        <v>29526.876700000004</v>
      </c>
      <c r="AV123" s="682">
        <v>1412.5</v>
      </c>
      <c r="AW123" s="686" t="s">
        <v>6845</v>
      </c>
      <c r="AX123" s="538"/>
      <c r="AY123" s="636" t="s">
        <v>709</v>
      </c>
      <c r="AZ123" s="443">
        <v>182</v>
      </c>
      <c r="BA123" s="652" t="s">
        <v>1112</v>
      </c>
      <c r="BB123" s="644" t="s">
        <v>1113</v>
      </c>
      <c r="BC123" s="478" t="s">
        <v>116</v>
      </c>
      <c r="BD123" s="544" t="s">
        <v>709</v>
      </c>
      <c r="BE123" s="544" t="s">
        <v>1114</v>
      </c>
      <c r="BF123" s="544" t="s">
        <v>709</v>
      </c>
      <c r="BG123" s="512" t="s">
        <v>709</v>
      </c>
      <c r="BH123" s="741"/>
      <c r="BZ123" s="483" t="s">
        <v>1053</v>
      </c>
    </row>
    <row r="124" spans="1:78" ht="15" hidden="1" customHeight="1" x14ac:dyDescent="0.25">
      <c r="A124" s="8" t="s">
        <v>800</v>
      </c>
      <c r="B124" s="8" t="s">
        <v>4</v>
      </c>
      <c r="C124" s="8" t="s">
        <v>1832</v>
      </c>
      <c r="D124" s="8" t="s">
        <v>1833</v>
      </c>
      <c r="E124" s="8" t="s">
        <v>1149</v>
      </c>
      <c r="F124" s="8" t="s">
        <v>851</v>
      </c>
      <c r="G124" s="8" t="s">
        <v>6377</v>
      </c>
      <c r="H124" s="8" t="s">
        <v>59</v>
      </c>
      <c r="I124" s="642">
        <v>45335</v>
      </c>
      <c r="J124" s="18">
        <v>45464</v>
      </c>
      <c r="K124" s="97">
        <v>45454</v>
      </c>
      <c r="L124" s="16">
        <f>IF(ISTEXT(Table159[[#This Row],[Engineering Approved Design Date]]),Table159[[#This Row],[Date Completed]]-Table159[[#This Row],[Date Assigned to Designer]],Table159[[#This Row],[Engineering Approved Design Date]]-Table159[[#This Row],[Date Completed]])</f>
        <v>10</v>
      </c>
      <c r="M124" s="642"/>
      <c r="N124" s="642" t="s">
        <v>120</v>
      </c>
      <c r="O124" s="510">
        <v>45444</v>
      </c>
      <c r="P124" s="221" t="s">
        <v>739</v>
      </c>
      <c r="Q124" s="70">
        <f>Table159[[#This Row],[Rate]]*Table159[[#This Row],[Construction Cost to Bill From]]</f>
        <v>11886.872000000001</v>
      </c>
      <c r="R124" s="75">
        <v>0.1</v>
      </c>
      <c r="U124" s="87"/>
      <c r="V124" s="437">
        <v>58</v>
      </c>
      <c r="W124" s="437">
        <v>0</v>
      </c>
      <c r="X124" s="24">
        <v>93888.57</v>
      </c>
      <c r="Y124" s="551"/>
      <c r="Z124" s="552">
        <v>24980.15</v>
      </c>
      <c r="AA124" s="300">
        <f>SUM(Table159[[#This Row],[PCTS Investment Amount]:[PCTS Retirement Amount]])</f>
        <v>118868.72</v>
      </c>
      <c r="AB124" s="207">
        <v>45447</v>
      </c>
      <c r="AC124" s="22" t="s">
        <v>709</v>
      </c>
      <c r="AD124" s="22" t="s">
        <v>29</v>
      </c>
      <c r="AE124" s="187" t="s">
        <v>116</v>
      </c>
      <c r="AF124" s="568" t="s">
        <v>116</v>
      </c>
      <c r="AG124" s="568" t="s">
        <v>376</v>
      </c>
      <c r="AH124" s="356">
        <v>45567</v>
      </c>
      <c r="AI124" s="426">
        <v>0</v>
      </c>
      <c r="AJ124" s="542">
        <v>2400</v>
      </c>
      <c r="AK124" s="542">
        <f>2575+1075</f>
        <v>3650</v>
      </c>
      <c r="AL124" s="493">
        <f>SUM(Table159[[#This Row],[Nicor Initiated DBE]:[Staffing]])/(Table159[[#This Row],[Amount Invoiced]])</f>
        <v>0.5089648479431762</v>
      </c>
      <c r="AM124" s="21" t="s">
        <v>116</v>
      </c>
      <c r="AN124" s="802">
        <v>45517</v>
      </c>
      <c r="AO124" s="807">
        <v>11089236</v>
      </c>
      <c r="AP124" s="862">
        <v>95227.15</v>
      </c>
      <c r="AQ124" s="862"/>
      <c r="AR124" s="862">
        <v>24980.15</v>
      </c>
      <c r="AS124" s="538">
        <f>IF(Table159[[#This Row],[PCTS Approved]]="N",0,Table159[[#This Row],[Investment Amount (1'#'#'#'#'#)]]+Table159[[#This Row],[Retirement Amount (3'#'#'#'#'#)]])</f>
        <v>120207.29999999999</v>
      </c>
      <c r="AT124" s="538">
        <f>IF(Table159[[#This Row],[Approved Construction Cost]]=0,0,Table159[[#This Row],[Approved Construction Cost]]-Table159[[#This Row],[Construction Cost to Bill From]])</f>
        <v>1338.5799999999872</v>
      </c>
      <c r="AU124" s="538">
        <f>IFERROR(Table159[[#This Row],[Difference in Construction Cost]]*Table159[[#This Row],[Rate]],Table159[[#This Row],[Difference in Construction Cost]]*0.085)</f>
        <v>133.85799999999873</v>
      </c>
      <c r="AV124" s="1257">
        <v>0</v>
      </c>
      <c r="AW124" s="1472" t="s">
        <v>6846</v>
      </c>
      <c r="AX124" s="555"/>
      <c r="AY124" s="636" t="s">
        <v>709</v>
      </c>
      <c r="AZ124" s="443">
        <v>145</v>
      </c>
      <c r="BA124" s="643" t="s">
        <v>1834</v>
      </c>
      <c r="BB124" s="644" t="s">
        <v>870</v>
      </c>
      <c r="BC124" s="479" t="s">
        <v>116</v>
      </c>
      <c r="BD124" s="554" t="s">
        <v>709</v>
      </c>
      <c r="BE124" s="588" t="s">
        <v>1835</v>
      </c>
      <c r="BF124" s="588" t="s">
        <v>1835</v>
      </c>
      <c r="BG124" s="483" t="s">
        <v>709</v>
      </c>
      <c r="BH124" s="615" t="s">
        <v>1836</v>
      </c>
      <c r="BI124" s="535" t="s">
        <v>709</v>
      </c>
      <c r="BJ124" s="547" t="s">
        <v>709</v>
      </c>
      <c r="BK124" s="547" t="s">
        <v>709</v>
      </c>
      <c r="BL124" s="547" t="s">
        <v>116</v>
      </c>
      <c r="BM124" s="547" t="s">
        <v>709</v>
      </c>
      <c r="BN124" s="547" t="s">
        <v>709</v>
      </c>
      <c r="BO124" s="547" t="s">
        <v>709</v>
      </c>
      <c r="BP124" s="626" t="s">
        <v>709</v>
      </c>
      <c r="BQ124" s="626" t="s">
        <v>709</v>
      </c>
      <c r="BR124" s="549" t="s">
        <v>709</v>
      </c>
      <c r="BS124" s="549" t="s">
        <v>116</v>
      </c>
      <c r="BT124" s="547" t="s">
        <v>709</v>
      </c>
      <c r="BU124" s="547" t="s">
        <v>709</v>
      </c>
      <c r="BV124" s="547" t="s">
        <v>709</v>
      </c>
      <c r="BW124" s="547" t="s">
        <v>709</v>
      </c>
      <c r="BX124" s="547" t="s">
        <v>709</v>
      </c>
      <c r="BY124" s="547" t="s">
        <v>709</v>
      </c>
      <c r="BZ124" s="483" t="s">
        <v>1837</v>
      </c>
    </row>
    <row r="125" spans="1:78" ht="15" hidden="1" customHeight="1" x14ac:dyDescent="0.25">
      <c r="A125" s="8" t="s">
        <v>749</v>
      </c>
      <c r="B125" s="8" t="s">
        <v>4</v>
      </c>
      <c r="C125" s="8" t="s">
        <v>1233</v>
      </c>
      <c r="D125" s="8" t="s">
        <v>1234</v>
      </c>
      <c r="E125" s="8" t="s">
        <v>1101</v>
      </c>
      <c r="F125" s="8" t="s">
        <v>919</v>
      </c>
      <c r="G125" s="8" t="s">
        <v>2814</v>
      </c>
      <c r="H125" s="8" t="s">
        <v>59</v>
      </c>
      <c r="I125" s="642">
        <v>44188</v>
      </c>
      <c r="J125" s="18">
        <v>44610</v>
      </c>
      <c r="K125" s="97">
        <v>44539</v>
      </c>
      <c r="L125" s="16">
        <f>IF(ISTEXT(Table159[[#This Row],[Engineering Approved Design Date]]),Table159[[#This Row],[Date Completed]]-Table159[[#This Row],[Date Assigned to Designer]],Table159[[#This Row],[Engineering Approved Design Date]]-Table159[[#This Row],[Date Completed]])</f>
        <v>71</v>
      </c>
      <c r="M125" s="642"/>
      <c r="N125" s="642" t="s">
        <v>120</v>
      </c>
      <c r="O125" s="534">
        <f>Table159[[#This Row],[Date Completed]]</f>
        <v>44539</v>
      </c>
      <c r="P125" s="68" t="s">
        <v>739</v>
      </c>
      <c r="Q125" s="70">
        <f>R125*AA125</f>
        <v>179188.223</v>
      </c>
      <c r="R125" s="75">
        <v>0.1</v>
      </c>
      <c r="S125" s="24" t="s">
        <v>709</v>
      </c>
      <c r="T125" s="538" t="s">
        <v>709</v>
      </c>
      <c r="U125" s="87" t="s">
        <v>709</v>
      </c>
      <c r="V125" s="437">
        <v>5487</v>
      </c>
      <c r="X125" s="70">
        <v>1669599.84</v>
      </c>
      <c r="Y125" s="591"/>
      <c r="Z125" s="556">
        <v>122282.39</v>
      </c>
      <c r="AA125" s="28">
        <f>X125+Z125</f>
        <v>1791882.23</v>
      </c>
      <c r="AB125" s="207"/>
      <c r="AC125" s="108" t="s">
        <v>116</v>
      </c>
      <c r="AD125" s="108"/>
      <c r="AE125" s="349"/>
      <c r="AF125" s="579"/>
      <c r="AG125" s="579"/>
      <c r="AH125" s="354"/>
      <c r="AI125" s="489"/>
      <c r="AJ125" s="553"/>
      <c r="AK125" s="553"/>
      <c r="AL125" s="495"/>
      <c r="AM125" s="21" t="s">
        <v>116</v>
      </c>
      <c r="AN125" s="801">
        <v>45547</v>
      </c>
      <c r="AO125" s="806">
        <v>11033224</v>
      </c>
      <c r="AP125" s="788">
        <v>1812529.87</v>
      </c>
      <c r="AQ125" s="863"/>
      <c r="AR125" s="788">
        <v>140109.29</v>
      </c>
      <c r="AS125" s="538">
        <f>IF(Table159[[#This Row],[PCTS Approved]]="N",0,Table159[[#This Row],[Investment Amount (1'#'#'#'#'#)]]+Table159[[#This Row],[Retirement Amount (3'#'#'#'#'#)]])</f>
        <v>1952639.1600000001</v>
      </c>
      <c r="AT125" s="538">
        <f>IF(Table159[[#This Row],[Approved Construction Cost]]=0,0,Table159[[#This Row],[Approved Construction Cost]]-Table159[[#This Row],[Construction Cost to Bill From]])</f>
        <v>160756.93000000017</v>
      </c>
      <c r="AU125" s="538">
        <f>IFERROR(Table159[[#This Row],[Difference in Construction Cost]]*Table159[[#This Row],[Rate]],Table159[[#This Row],[Difference in Construction Cost]]*0.085)</f>
        <v>16075.693000000017</v>
      </c>
      <c r="AV125" s="718">
        <f>7340+30655</f>
        <v>37995</v>
      </c>
      <c r="AW125" s="686" t="s">
        <v>6847</v>
      </c>
      <c r="AX125" s="538"/>
      <c r="AY125" s="637" t="s">
        <v>709</v>
      </c>
      <c r="AZ125" s="443">
        <v>64</v>
      </c>
      <c r="BA125" s="652" t="s">
        <v>1235</v>
      </c>
      <c r="BB125" s="644" t="s">
        <v>1236</v>
      </c>
      <c r="BC125" s="478" t="s">
        <v>709</v>
      </c>
      <c r="BD125" s="544" t="s">
        <v>882</v>
      </c>
      <c r="BE125" s="544" t="s">
        <v>1106</v>
      </c>
      <c r="BF125" s="544" t="s">
        <v>709</v>
      </c>
      <c r="BG125" s="512" t="s">
        <v>709</v>
      </c>
      <c r="BH125" s="741"/>
      <c r="BI125" s="535" t="s">
        <v>709</v>
      </c>
      <c r="BJ125" s="547" t="s">
        <v>709</v>
      </c>
      <c r="BK125" s="547" t="s">
        <v>709</v>
      </c>
      <c r="BL125" s="547" t="s">
        <v>116</v>
      </c>
      <c r="BM125" s="547" t="s">
        <v>709</v>
      </c>
      <c r="BN125" s="547" t="s">
        <v>709</v>
      </c>
      <c r="BO125" s="547" t="s">
        <v>709</v>
      </c>
      <c r="BP125" s="547">
        <v>1747</v>
      </c>
      <c r="BQ125" s="547">
        <v>498</v>
      </c>
      <c r="BR125" s="547">
        <v>1564</v>
      </c>
      <c r="BS125" s="547">
        <v>1588</v>
      </c>
      <c r="BT125" s="547">
        <v>1</v>
      </c>
      <c r="BU125" s="547" t="s">
        <v>709</v>
      </c>
      <c r="BV125" s="547" t="s">
        <v>745</v>
      </c>
      <c r="BW125" s="547" t="s">
        <v>709</v>
      </c>
      <c r="BX125" s="547">
        <v>1</v>
      </c>
      <c r="BY125" s="547" t="s">
        <v>745</v>
      </c>
      <c r="BZ125" s="483" t="s">
        <v>1237</v>
      </c>
    </row>
    <row r="126" spans="1:78" ht="15" customHeight="1" x14ac:dyDescent="0.25">
      <c r="A126" s="8" t="s">
        <v>781</v>
      </c>
      <c r="B126" s="8" t="s">
        <v>769</v>
      </c>
      <c r="C126" s="8" t="s">
        <v>469</v>
      </c>
      <c r="D126" s="8" t="s">
        <v>1464</v>
      </c>
      <c r="E126" s="8" t="s">
        <v>1459</v>
      </c>
      <c r="F126" s="8" t="s">
        <v>747</v>
      </c>
      <c r="G126" s="8" t="s">
        <v>22</v>
      </c>
      <c r="H126" s="13" t="s">
        <v>59</v>
      </c>
      <c r="I126" s="642">
        <v>44439</v>
      </c>
      <c r="J126" s="18">
        <v>45044</v>
      </c>
      <c r="K126" s="97">
        <v>45042</v>
      </c>
      <c r="L126" s="16">
        <f>IF(ISTEXT(Table159[[#This Row],[Engineering Approved Design Date]]),Table159[[#This Row],[Date Completed]]-Table159[[#This Row],[Date Assigned to Designer]],Table159[[#This Row],[Engineering Approved Design Date]]-Table159[[#This Row],[Date Completed]])</f>
        <v>2</v>
      </c>
      <c r="M126" s="642"/>
      <c r="N126" s="642" t="s">
        <v>120</v>
      </c>
      <c r="O126" s="510">
        <v>45047</v>
      </c>
      <c r="P126" s="221" t="s">
        <v>739</v>
      </c>
      <c r="Q126" s="70">
        <f>Table159[[#This Row],[Rate]]*Table159[[#This Row],[Construction Cost to Bill From]]</f>
        <v>16797.376799999998</v>
      </c>
      <c r="R126" s="75">
        <v>0.08</v>
      </c>
      <c r="U126" s="87"/>
      <c r="V126" s="437">
        <v>51</v>
      </c>
      <c r="X126" s="94">
        <v>184560.22</v>
      </c>
      <c r="Y126" s="592"/>
      <c r="Z126" s="552">
        <v>25406.99</v>
      </c>
      <c r="AA126" s="800">
        <f>SUM(Table159[[#This Row],[PCTS Investment Amount]:[PCTS Retirement Amount]])</f>
        <v>209967.21</v>
      </c>
      <c r="AB126" s="207">
        <v>45054</v>
      </c>
      <c r="AC126" s="108" t="s">
        <v>1441</v>
      </c>
      <c r="AD126" s="108" t="s">
        <v>29</v>
      </c>
      <c r="AE126" s="349"/>
      <c r="AF126" s="579"/>
      <c r="AG126" s="579"/>
      <c r="AH126" s="354"/>
      <c r="AI126" s="489"/>
      <c r="AJ126" s="553"/>
      <c r="AK126" s="553"/>
      <c r="AL126" s="495"/>
      <c r="AM126" s="21" t="s">
        <v>116</v>
      </c>
      <c r="AN126" s="785">
        <v>45601</v>
      </c>
      <c r="AO126" s="786">
        <v>11065639</v>
      </c>
      <c r="AP126" s="788">
        <v>191157.06</v>
      </c>
      <c r="AQ126" s="682"/>
      <c r="AR126" s="788">
        <v>34432.49</v>
      </c>
      <c r="AS126" s="538">
        <f>IF(Table159[[#This Row],[PCTS Approved]]="N",0,Table159[[#This Row],[Investment Amount (1'#'#'#'#'#)]]+Table159[[#This Row],[Retirement Amount (3'#'#'#'#'#)]])</f>
        <v>225589.55</v>
      </c>
      <c r="AT126" s="538">
        <f>IF(Table159[[#This Row],[Approved Construction Cost]]=0,0,Table159[[#This Row],[Approved Construction Cost]]-Table159[[#This Row],[Construction Cost to Bill From]])</f>
        <v>15622.339999999997</v>
      </c>
      <c r="AU126" s="538">
        <f>IFERROR(Table159[[#This Row],[Difference in Construction Cost]]*Table159[[#This Row],[Rate]],Table159[[#This Row],[Difference in Construction Cost]]*0.085)</f>
        <v>1249.7871999999998</v>
      </c>
      <c r="AV126" s="862">
        <v>0</v>
      </c>
      <c r="AW126" s="787" t="s">
        <v>5556</v>
      </c>
      <c r="AX126" s="538"/>
      <c r="AY126" s="636" t="s">
        <v>709</v>
      </c>
      <c r="AZ126" s="443">
        <v>13</v>
      </c>
      <c r="BA126" s="652" t="s">
        <v>1465</v>
      </c>
      <c r="BB126" s="644" t="s">
        <v>1461</v>
      </c>
      <c r="BC126" s="478" t="s">
        <v>115</v>
      </c>
      <c r="BD126" s="544" t="s">
        <v>1462</v>
      </c>
      <c r="BE126" s="544" t="s">
        <v>115</v>
      </c>
      <c r="BF126" s="544" t="s">
        <v>115</v>
      </c>
      <c r="BG126" s="512" t="s">
        <v>1463</v>
      </c>
      <c r="BH126" s="741"/>
      <c r="BI126" s="535" t="s">
        <v>709</v>
      </c>
      <c r="BJ126" s="547" t="s">
        <v>116</v>
      </c>
      <c r="BK126" s="547" t="s">
        <v>116</v>
      </c>
      <c r="BL126" s="547" t="s">
        <v>116</v>
      </c>
      <c r="BM126" s="547" t="s">
        <v>709</v>
      </c>
      <c r="BN126" s="547" t="s">
        <v>709</v>
      </c>
      <c r="BO126" s="547" t="s">
        <v>709</v>
      </c>
      <c r="BP126" s="547" t="s">
        <v>709</v>
      </c>
      <c r="BQ126" s="547" t="s">
        <v>709</v>
      </c>
      <c r="BR126" s="547">
        <v>3</v>
      </c>
      <c r="BS126" s="547">
        <v>43</v>
      </c>
      <c r="BT126" s="547" t="s">
        <v>745</v>
      </c>
      <c r="BU126" s="547" t="s">
        <v>709</v>
      </c>
      <c r="BV126" s="547" t="s">
        <v>745</v>
      </c>
      <c r="BW126" s="547" t="s">
        <v>709</v>
      </c>
      <c r="BX126" s="547" t="s">
        <v>745</v>
      </c>
      <c r="BY126" s="547">
        <v>1</v>
      </c>
      <c r="BZ126" s="483" t="s">
        <v>769</v>
      </c>
    </row>
    <row r="127" spans="1:78" ht="15" hidden="1" customHeight="1" x14ac:dyDescent="0.25">
      <c r="A127" s="8" t="s">
        <v>800</v>
      </c>
      <c r="B127" s="8" t="s">
        <v>4</v>
      </c>
      <c r="C127" s="8" t="s">
        <v>1755</v>
      </c>
      <c r="D127" s="8" t="s">
        <v>1756</v>
      </c>
      <c r="E127" s="8" t="s">
        <v>239</v>
      </c>
      <c r="F127" s="8" t="s">
        <v>1757</v>
      </c>
      <c r="G127" s="8" t="s">
        <v>26</v>
      </c>
      <c r="H127" s="8" t="s">
        <v>59</v>
      </c>
      <c r="I127" s="642">
        <v>45233</v>
      </c>
      <c r="J127" s="18">
        <v>45369</v>
      </c>
      <c r="K127" s="97">
        <v>45369</v>
      </c>
      <c r="L127" s="16">
        <f>IF(ISTEXT(Table159[[#This Row],[Engineering Approved Design Date]]),Table159[[#This Row],[Date Completed]]-Table159[[#This Row],[Date Assigned to Designer]],Table159[[#This Row],[Engineering Approved Design Date]]-Table159[[#This Row],[Date Completed]])</f>
        <v>0</v>
      </c>
      <c r="M127" s="642"/>
      <c r="N127" s="642" t="s">
        <v>120</v>
      </c>
      <c r="O127" s="510">
        <v>45352</v>
      </c>
      <c r="P127" s="221" t="s">
        <v>739</v>
      </c>
      <c r="Q127" s="70">
        <f>Table159[[#This Row],[Rate]]*Table159[[#This Row],[Construction Cost to Bill From]]</f>
        <v>92635.680999999997</v>
      </c>
      <c r="R127" s="75">
        <v>0.1</v>
      </c>
      <c r="U127" s="87"/>
      <c r="V127" s="437">
        <v>2927</v>
      </c>
      <c r="W127" s="437">
        <v>0</v>
      </c>
      <c r="X127" s="70">
        <v>818439.95</v>
      </c>
      <c r="Y127" s="595"/>
      <c r="Z127" s="570">
        <v>107916.86</v>
      </c>
      <c r="AA127" s="300">
        <f>Table159[[#This Row],[PCTS Retirement Amount]]+Table159[[#This Row],[PCTS Investment Amount]]</f>
        <v>926356.80999999994</v>
      </c>
      <c r="AB127" s="207">
        <v>45366</v>
      </c>
      <c r="AC127" s="22" t="s">
        <v>709</v>
      </c>
      <c r="AD127" s="22" t="s">
        <v>29</v>
      </c>
      <c r="AE127" s="187" t="s">
        <v>756</v>
      </c>
      <c r="AF127" s="568" t="s">
        <v>116</v>
      </c>
      <c r="AG127" s="568" t="s">
        <v>376</v>
      </c>
      <c r="AH127" s="356">
        <v>45406</v>
      </c>
      <c r="AI127" s="426" t="s">
        <v>6230</v>
      </c>
      <c r="AJ127" s="542">
        <v>10040</v>
      </c>
      <c r="AK127" s="542">
        <v>7499.5</v>
      </c>
      <c r="AL127" s="493">
        <f>SUM(Table159[[#This Row],[Nicor Initiated DBE]:[Staffing]])/(Table159[[#This Row],[Amount Invoiced]])</f>
        <v>0.18933849042465614</v>
      </c>
      <c r="AM127" s="21" t="s">
        <v>116</v>
      </c>
      <c r="AN127" s="680" t="s">
        <v>709</v>
      </c>
      <c r="AO127" s="681"/>
      <c r="AP127" s="682"/>
      <c r="AQ127" s="682"/>
      <c r="AR127" s="682"/>
      <c r="AS127" s="538">
        <f>IF(Table159[[#This Row],[PCTS Approved]]="N",0,Table159[[#This Row],[Investment Amount (1'#'#'#'#'#)]]+Table159[[#This Row],[Retirement Amount (3'#'#'#'#'#)]])</f>
        <v>0</v>
      </c>
      <c r="AT127" s="538">
        <f>IF(Table159[[#This Row],[Approved Construction Cost]]=0,0,Table159[[#This Row],[Approved Construction Cost]]-Table159[[#This Row],[Construction Cost to Bill From]])</f>
        <v>0</v>
      </c>
      <c r="AU127" s="538">
        <f>IFERROR(Table159[[#This Row],[Difference in Construction Cost]]*Table159[[#This Row],[Rate]],Table159[[#This Row],[Difference in Construction Cost]]*0.085)</f>
        <v>0</v>
      </c>
      <c r="AV127" s="690"/>
      <c r="AW127" s="660"/>
      <c r="AX127" s="555"/>
      <c r="AY127" s="636" t="s">
        <v>709</v>
      </c>
      <c r="AZ127" s="443">
        <v>132</v>
      </c>
      <c r="BA127" s="651" t="s">
        <v>1758</v>
      </c>
      <c r="BB127" s="644" t="s">
        <v>805</v>
      </c>
      <c r="BC127" s="479" t="s">
        <v>116</v>
      </c>
      <c r="BD127" s="554" t="s">
        <v>709</v>
      </c>
      <c r="BE127" s="588" t="s">
        <v>807</v>
      </c>
      <c r="BF127" s="588" t="s">
        <v>709</v>
      </c>
      <c r="BG127" s="483" t="s">
        <v>1759</v>
      </c>
      <c r="BH127" s="615" t="s">
        <v>1760</v>
      </c>
      <c r="BI127" s="535" t="s">
        <v>709</v>
      </c>
      <c r="BJ127" s="549" t="s">
        <v>709</v>
      </c>
      <c r="BK127" s="547" t="s">
        <v>709</v>
      </c>
      <c r="BL127" s="547" t="s">
        <v>116</v>
      </c>
      <c r="BM127" s="626" t="s">
        <v>709</v>
      </c>
      <c r="BN127" s="549" t="s">
        <v>709</v>
      </c>
      <c r="BO127" s="626" t="s">
        <v>709</v>
      </c>
      <c r="BP127" s="626" t="s">
        <v>709</v>
      </c>
      <c r="BQ127" s="549">
        <v>86</v>
      </c>
      <c r="BR127" s="549">
        <v>242</v>
      </c>
      <c r="BS127" s="549">
        <v>2599</v>
      </c>
      <c r="BT127" s="549" t="s">
        <v>709</v>
      </c>
      <c r="BU127" s="549" t="s">
        <v>709</v>
      </c>
      <c r="BV127" s="549" t="s">
        <v>709</v>
      </c>
      <c r="BW127" s="549" t="s">
        <v>709</v>
      </c>
      <c r="BX127" s="547" t="s">
        <v>709</v>
      </c>
      <c r="BY127" s="549" t="s">
        <v>709</v>
      </c>
      <c r="BZ127" s="483"/>
    </row>
    <row r="128" spans="1:78" ht="15" customHeight="1" x14ac:dyDescent="0.25">
      <c r="A128" s="8" t="s">
        <v>781</v>
      </c>
      <c r="B128" s="8" t="s">
        <v>769</v>
      </c>
      <c r="C128" s="8" t="s">
        <v>1457</v>
      </c>
      <c r="D128" s="8" t="s">
        <v>1458</v>
      </c>
      <c r="E128" s="8" t="s">
        <v>1459</v>
      </c>
      <c r="F128" s="8" t="s">
        <v>747</v>
      </c>
      <c r="G128" s="8" t="s">
        <v>22</v>
      </c>
      <c r="H128" s="8" t="s">
        <v>59</v>
      </c>
      <c r="I128" s="642">
        <v>45020</v>
      </c>
      <c r="J128" s="18">
        <v>45044</v>
      </c>
      <c r="K128" s="97">
        <v>45042</v>
      </c>
      <c r="L128" s="16">
        <f>IF(ISTEXT(Table159[[#This Row],[Engineering Approved Design Date]]),Table159[[#This Row],[Date Completed]]-Table159[[#This Row],[Date Assigned to Designer]],Table159[[#This Row],[Engineering Approved Design Date]]-Table159[[#This Row],[Date Completed]])</f>
        <v>2</v>
      </c>
      <c r="M128" s="642"/>
      <c r="N128" s="642" t="s">
        <v>120</v>
      </c>
      <c r="O128" s="510">
        <v>45047</v>
      </c>
      <c r="P128" s="221" t="s">
        <v>739</v>
      </c>
      <c r="Q128" s="70">
        <f>Table159[[#This Row],[Rate]]*Table159[[#This Row],[Construction Cost to Bill From]]</f>
        <v>39668.469600000004</v>
      </c>
      <c r="R128" s="75">
        <v>0.08</v>
      </c>
      <c r="U128" s="87"/>
      <c r="V128" s="437">
        <v>1832</v>
      </c>
      <c r="X128" s="24">
        <v>470513.43</v>
      </c>
      <c r="Y128" s="592"/>
      <c r="Z128" s="552">
        <v>25342.44</v>
      </c>
      <c r="AA128" s="800">
        <f>SUM(Table159[[#This Row],[PCTS Investment Amount]:[PCTS Retirement Amount]])</f>
        <v>495855.87</v>
      </c>
      <c r="AB128" s="207">
        <v>45054</v>
      </c>
      <c r="AC128" s="108" t="s">
        <v>1441</v>
      </c>
      <c r="AD128" s="108" t="s">
        <v>29</v>
      </c>
      <c r="AE128" s="349"/>
      <c r="AF128" s="579"/>
      <c r="AG128" s="579"/>
      <c r="AH128" s="354"/>
      <c r="AI128" s="489"/>
      <c r="AJ128" s="553"/>
      <c r="AK128" s="553"/>
      <c r="AL128" s="495"/>
      <c r="AM128" s="21" t="s">
        <v>116</v>
      </c>
      <c r="AN128" s="785">
        <v>45601</v>
      </c>
      <c r="AO128" s="789">
        <v>11093187</v>
      </c>
      <c r="AP128" s="788">
        <v>526526.31999999995</v>
      </c>
      <c r="AQ128" s="682"/>
      <c r="AR128" s="788">
        <v>34367.94</v>
      </c>
      <c r="AS128" s="538">
        <f>IF(Table159[[#This Row],[PCTS Approved]]="N",0,Table159[[#This Row],[Investment Amount (1'#'#'#'#'#)]]+Table159[[#This Row],[Retirement Amount (3'#'#'#'#'#)]])</f>
        <v>560894.26</v>
      </c>
      <c r="AT128" s="538">
        <f>IF(Table159[[#This Row],[Approved Construction Cost]]=0,0,Table159[[#This Row],[Approved Construction Cost]]-Table159[[#This Row],[Construction Cost to Bill From]])</f>
        <v>65038.390000000014</v>
      </c>
      <c r="AU128" s="538">
        <f>IFERROR(Table159[[#This Row],[Difference in Construction Cost]]*Table159[[#This Row],[Rate]],Table159[[#This Row],[Difference in Construction Cost]]*0.085)</f>
        <v>5203.0712000000012</v>
      </c>
      <c r="AV128" s="788">
        <v>0</v>
      </c>
      <c r="AW128" s="787" t="s">
        <v>5558</v>
      </c>
      <c r="AX128" s="538"/>
      <c r="AY128" s="636" t="s">
        <v>709</v>
      </c>
      <c r="AZ128" s="443">
        <v>12</v>
      </c>
      <c r="BA128" s="652" t="s">
        <v>1460</v>
      </c>
      <c r="BB128" s="644" t="s">
        <v>1461</v>
      </c>
      <c r="BC128" s="478" t="s">
        <v>115</v>
      </c>
      <c r="BD128" s="544" t="s">
        <v>1462</v>
      </c>
      <c r="BE128" s="544" t="s">
        <v>115</v>
      </c>
      <c r="BF128" s="544" t="s">
        <v>115</v>
      </c>
      <c r="BG128" s="512" t="s">
        <v>1463</v>
      </c>
      <c r="BH128" s="741"/>
      <c r="BI128" s="535" t="s">
        <v>709</v>
      </c>
      <c r="BJ128" s="547" t="s">
        <v>116</v>
      </c>
      <c r="BK128" s="547" t="s">
        <v>116</v>
      </c>
      <c r="BL128" s="547" t="s">
        <v>116</v>
      </c>
      <c r="BM128" s="547" t="s">
        <v>709</v>
      </c>
      <c r="BN128" s="547" t="s">
        <v>709</v>
      </c>
      <c r="BO128" s="547" t="s">
        <v>709</v>
      </c>
      <c r="BP128" s="547" t="s">
        <v>709</v>
      </c>
      <c r="BQ128" s="547" t="s">
        <v>709</v>
      </c>
      <c r="BR128" s="547">
        <v>3</v>
      </c>
      <c r="BS128" s="547">
        <v>43</v>
      </c>
      <c r="BT128" s="547" t="s">
        <v>745</v>
      </c>
      <c r="BU128" s="547" t="s">
        <v>709</v>
      </c>
      <c r="BV128" s="547" t="s">
        <v>745</v>
      </c>
      <c r="BW128" s="547" t="s">
        <v>709</v>
      </c>
      <c r="BX128" s="547" t="s">
        <v>745</v>
      </c>
      <c r="BY128" s="547">
        <v>1</v>
      </c>
      <c r="BZ128" s="483" t="s">
        <v>769</v>
      </c>
    </row>
    <row r="129" spans="1:78" ht="15" customHeight="1" x14ac:dyDescent="0.25">
      <c r="A129" s="8" t="s">
        <v>781</v>
      </c>
      <c r="B129" s="8" t="s">
        <v>769</v>
      </c>
      <c r="C129" s="8" t="s">
        <v>1466</v>
      </c>
      <c r="D129" s="8" t="s">
        <v>1467</v>
      </c>
      <c r="E129" s="8" t="s">
        <v>1459</v>
      </c>
      <c r="F129" s="8" t="s">
        <v>747</v>
      </c>
      <c r="G129" s="8" t="s">
        <v>22</v>
      </c>
      <c r="H129" s="13" t="s">
        <v>59</v>
      </c>
      <c r="I129" s="642">
        <v>45020</v>
      </c>
      <c r="J129" s="18">
        <v>45044</v>
      </c>
      <c r="K129" s="97">
        <v>45042</v>
      </c>
      <c r="L129" s="16">
        <f>IF(ISTEXT(Table159[[#This Row],[Engineering Approved Design Date]]),Table159[[#This Row],[Date Completed]]-Table159[[#This Row],[Date Assigned to Designer]],Table159[[#This Row],[Engineering Approved Design Date]]-Table159[[#This Row],[Date Completed]])</f>
        <v>2</v>
      </c>
      <c r="M129" s="642"/>
      <c r="N129" s="642" t="s">
        <v>120</v>
      </c>
      <c r="O129" s="510">
        <v>45047</v>
      </c>
      <c r="P129" s="221" t="s">
        <v>739</v>
      </c>
      <c r="Q129" s="70">
        <f>Table159[[#This Row],[Rate]]*Table159[[#This Row],[Construction Cost to Bill From]]</f>
        <v>8425.1904000000013</v>
      </c>
      <c r="R129" s="75">
        <v>0.08</v>
      </c>
      <c r="U129" s="87"/>
      <c r="V129" s="437">
        <v>0</v>
      </c>
      <c r="X129" s="94">
        <v>79103.53</v>
      </c>
      <c r="Y129" s="592"/>
      <c r="Z129" s="552">
        <v>26211.35</v>
      </c>
      <c r="AA129" s="800">
        <f>SUM(Table159[[#This Row],[PCTS Investment Amount]:[PCTS Retirement Amount]])</f>
        <v>105314.88</v>
      </c>
      <c r="AB129" s="207">
        <v>45054</v>
      </c>
      <c r="AC129" s="108" t="s">
        <v>1441</v>
      </c>
      <c r="AD129" s="108" t="s">
        <v>29</v>
      </c>
      <c r="AE129" s="349"/>
      <c r="AF129" s="579"/>
      <c r="AG129" s="579"/>
      <c r="AH129" s="354"/>
      <c r="AI129" s="489"/>
      <c r="AJ129" s="553"/>
      <c r="AK129" s="553"/>
      <c r="AL129" s="495"/>
      <c r="AM129" s="21" t="s">
        <v>116</v>
      </c>
      <c r="AN129" s="1468">
        <v>45601</v>
      </c>
      <c r="AO129" s="1469">
        <v>11093186</v>
      </c>
      <c r="AP129" s="862">
        <v>130794.03</v>
      </c>
      <c r="AQ129" s="1470"/>
      <c r="AR129" s="862">
        <v>36750.800000000003</v>
      </c>
      <c r="AS129" s="538">
        <f>IF(Table159[[#This Row],[PCTS Approved]]="N",0,Table159[[#This Row],[Investment Amount (1'#'#'#'#'#)]]+Table159[[#This Row],[Retirement Amount (3'#'#'#'#'#)]])</f>
        <v>167544.83000000002</v>
      </c>
      <c r="AT129" s="538">
        <f>IF(Table159[[#This Row],[Approved Construction Cost]]=0,0,Table159[[#This Row],[Approved Construction Cost]]-Table159[[#This Row],[Construction Cost to Bill From]])</f>
        <v>62229.950000000012</v>
      </c>
      <c r="AU129" s="538">
        <f>IFERROR(Table159[[#This Row],[Difference in Construction Cost]]*Table159[[#This Row],[Rate]],Table159[[#This Row],[Difference in Construction Cost]]*0.085)</f>
        <v>4978.3960000000006</v>
      </c>
      <c r="AV129" s="862">
        <v>0</v>
      </c>
      <c r="AW129" s="1471" t="s">
        <v>5560</v>
      </c>
      <c r="AX129" s="538"/>
      <c r="AY129" s="636" t="s">
        <v>709</v>
      </c>
      <c r="AZ129" s="443">
        <v>14</v>
      </c>
      <c r="BA129" s="652" t="s">
        <v>1468</v>
      </c>
      <c r="BB129" s="644" t="s">
        <v>1461</v>
      </c>
      <c r="BC129" s="478" t="s">
        <v>115</v>
      </c>
      <c r="BD129" s="544" t="s">
        <v>1462</v>
      </c>
      <c r="BE129" s="544" t="s">
        <v>115</v>
      </c>
      <c r="BF129" s="544" t="s">
        <v>115</v>
      </c>
      <c r="BG129" s="512" t="s">
        <v>1463</v>
      </c>
      <c r="BH129" s="741"/>
      <c r="BI129" s="535" t="s">
        <v>709</v>
      </c>
      <c r="BJ129" s="547" t="s">
        <v>116</v>
      </c>
      <c r="BK129" s="547" t="s">
        <v>116</v>
      </c>
      <c r="BL129" s="547" t="s">
        <v>116</v>
      </c>
      <c r="BM129" s="547" t="s">
        <v>709</v>
      </c>
      <c r="BN129" s="547" t="s">
        <v>709</v>
      </c>
      <c r="BO129" s="547" t="s">
        <v>709</v>
      </c>
      <c r="BP129" s="547" t="s">
        <v>709</v>
      </c>
      <c r="BQ129" s="547" t="s">
        <v>709</v>
      </c>
      <c r="BR129" s="547">
        <v>3</v>
      </c>
      <c r="BS129" s="547">
        <v>43</v>
      </c>
      <c r="BT129" s="547" t="s">
        <v>745</v>
      </c>
      <c r="BU129" s="547" t="s">
        <v>709</v>
      </c>
      <c r="BV129" s="547" t="s">
        <v>745</v>
      </c>
      <c r="BW129" s="547" t="s">
        <v>709</v>
      </c>
      <c r="BX129" s="547" t="s">
        <v>745</v>
      </c>
      <c r="BY129" s="547">
        <v>1</v>
      </c>
      <c r="BZ129" s="483" t="s">
        <v>769</v>
      </c>
    </row>
    <row r="130" spans="1:78" ht="15" hidden="1" customHeight="1" x14ac:dyDescent="0.25">
      <c r="A130" s="8" t="s">
        <v>800</v>
      </c>
      <c r="B130" s="8" t="s">
        <v>4</v>
      </c>
      <c r="C130" s="8" t="s">
        <v>1769</v>
      </c>
      <c r="D130" s="8" t="s">
        <v>1770</v>
      </c>
      <c r="E130" s="8" t="s">
        <v>910</v>
      </c>
      <c r="F130" s="8" t="s">
        <v>784</v>
      </c>
      <c r="G130" s="8" t="s">
        <v>25</v>
      </c>
      <c r="H130" s="8" t="s">
        <v>59</v>
      </c>
      <c r="I130" s="642">
        <v>45293</v>
      </c>
      <c r="J130" s="18">
        <v>45411</v>
      </c>
      <c r="K130" s="97">
        <v>45400</v>
      </c>
      <c r="L130" s="16">
        <f>IF(ISTEXT(Table159[[#This Row],[Engineering Approved Design Date]]),Table159[[#This Row],[Date Completed]]-Table159[[#This Row],[Date Assigned to Designer]],Table159[[#This Row],[Engineering Approved Design Date]]-Table159[[#This Row],[Date Completed]])</f>
        <v>11</v>
      </c>
      <c r="M130" s="642"/>
      <c r="N130" s="642" t="s">
        <v>120</v>
      </c>
      <c r="O130" s="510">
        <v>45383</v>
      </c>
      <c r="P130" s="221" t="s">
        <v>739</v>
      </c>
      <c r="Q130" s="70">
        <f>Table159[[#This Row],[Rate]]*Table159[[#This Row],[Construction Cost to Bill From]]</f>
        <v>78947.281000000017</v>
      </c>
      <c r="R130" s="75">
        <v>0.1</v>
      </c>
      <c r="U130" s="87"/>
      <c r="V130" s="437">
        <v>1231</v>
      </c>
      <c r="W130" s="437">
        <v>0</v>
      </c>
      <c r="X130" s="70">
        <v>635337.11</v>
      </c>
      <c r="Y130" s="551"/>
      <c r="Z130" s="570">
        <v>154135.70000000001</v>
      </c>
      <c r="AA130" s="300">
        <f>SUM(Table159[[#This Row],[PCTS Investment Amount]:[PCTS Retirement Amount]])</f>
        <v>789472.81</v>
      </c>
      <c r="AB130" s="207">
        <v>45392</v>
      </c>
      <c r="AC130" s="22" t="s">
        <v>709</v>
      </c>
      <c r="AD130" s="22" t="s">
        <v>29</v>
      </c>
      <c r="AE130" s="187" t="s">
        <v>116</v>
      </c>
      <c r="AF130" s="568" t="s">
        <v>29</v>
      </c>
      <c r="AG130" s="568" t="s">
        <v>376</v>
      </c>
      <c r="AH130" s="356">
        <v>45475</v>
      </c>
      <c r="AI130" s="426">
        <v>0</v>
      </c>
      <c r="AJ130" s="542">
        <v>5900</v>
      </c>
      <c r="AK130" s="542">
        <v>13415.75</v>
      </c>
      <c r="AL130" s="493">
        <f>SUM(Table159[[#This Row],[Nicor Initiated DBE]:[Staffing]])/(Table159[[#This Row],[Amount Invoiced]])</f>
        <v>0.2446664375939685</v>
      </c>
      <c r="AM130" s="21" t="s">
        <v>116</v>
      </c>
      <c r="AN130" s="680" t="s">
        <v>709</v>
      </c>
      <c r="AO130" s="601"/>
      <c r="AP130" s="572"/>
      <c r="AQ130" s="572"/>
      <c r="AR130" s="572"/>
      <c r="AS130" s="538">
        <f>IF(Table159[[#This Row],[PCTS Approved]]="N",0,Table159[[#This Row],[Investment Amount (1'#'#'#'#'#)]]+Table159[[#This Row],[Retirement Amount (3'#'#'#'#'#)]])</f>
        <v>0</v>
      </c>
      <c r="AT130" s="538">
        <f>IF(Table159[[#This Row],[Approved Construction Cost]]=0,0,Table159[[#This Row],[Approved Construction Cost]]-Table159[[#This Row],[Construction Cost to Bill From]])</f>
        <v>0</v>
      </c>
      <c r="AU130" s="538">
        <f>IFERROR(Table159[[#This Row],[Difference in Construction Cost]]*Table159[[#This Row],[Rate]],Table159[[#This Row],[Difference in Construction Cost]]*0.085)</f>
        <v>0</v>
      </c>
      <c r="AV130" s="602"/>
      <c r="AW130" s="640"/>
      <c r="AX130" s="555"/>
      <c r="AY130" s="636" t="s">
        <v>709</v>
      </c>
      <c r="AZ130" s="443">
        <v>135</v>
      </c>
      <c r="BA130" s="651" t="s">
        <v>1771</v>
      </c>
      <c r="BB130" s="644" t="s">
        <v>870</v>
      </c>
      <c r="BC130" s="479" t="s">
        <v>992</v>
      </c>
      <c r="BD130" s="554" t="s">
        <v>709</v>
      </c>
      <c r="BE130" s="588" t="s">
        <v>709</v>
      </c>
      <c r="BF130" s="588" t="s">
        <v>745</v>
      </c>
      <c r="BG130" s="483" t="s">
        <v>29</v>
      </c>
      <c r="BH130" s="615" t="s">
        <v>1772</v>
      </c>
      <c r="BI130" s="535" t="s">
        <v>709</v>
      </c>
      <c r="BJ130" s="547" t="s">
        <v>709</v>
      </c>
      <c r="BK130" s="547" t="s">
        <v>709</v>
      </c>
      <c r="BL130" s="547" t="s">
        <v>116</v>
      </c>
      <c r="BM130" s="547" t="s">
        <v>709</v>
      </c>
      <c r="BN130" s="547" t="s">
        <v>709</v>
      </c>
      <c r="BO130" s="547" t="s">
        <v>709</v>
      </c>
      <c r="BP130" s="626" t="s">
        <v>709</v>
      </c>
      <c r="BQ130" s="626">
        <v>1231</v>
      </c>
      <c r="BR130" s="549" t="s">
        <v>709</v>
      </c>
      <c r="BS130" s="549" t="s">
        <v>709</v>
      </c>
      <c r="BT130" s="549" t="s">
        <v>745</v>
      </c>
      <c r="BU130" s="549" t="s">
        <v>709</v>
      </c>
      <c r="BV130" s="549" t="s">
        <v>745</v>
      </c>
      <c r="BW130" s="549" t="s">
        <v>709</v>
      </c>
      <c r="BX130" s="547" t="s">
        <v>745</v>
      </c>
      <c r="BY130" s="549" t="s">
        <v>745</v>
      </c>
      <c r="BZ130" s="483" t="s">
        <v>1773</v>
      </c>
    </row>
    <row r="131" spans="1:78" ht="15" customHeight="1" x14ac:dyDescent="0.25">
      <c r="A131" s="8" t="s">
        <v>800</v>
      </c>
      <c r="B131" s="8" t="s">
        <v>1205</v>
      </c>
      <c r="C131" s="8" t="s">
        <v>1735</v>
      </c>
      <c r="D131" s="8" t="s">
        <v>1736</v>
      </c>
      <c r="E131" s="8" t="s">
        <v>818</v>
      </c>
      <c r="F131" s="8" t="s">
        <v>851</v>
      </c>
      <c r="G131" s="8" t="s">
        <v>36</v>
      </c>
      <c r="H131" s="8" t="s">
        <v>59</v>
      </c>
      <c r="I131" s="642">
        <v>45307</v>
      </c>
      <c r="J131" s="18">
        <v>45377</v>
      </c>
      <c r="K131" s="97">
        <v>45358</v>
      </c>
      <c r="L131" s="16">
        <f>IF(ISTEXT(Table159[[#This Row],[Engineering Approved Design Date]]),Table159[[#This Row],[Date Completed]]-Table159[[#This Row],[Date Assigned to Designer]],Table159[[#This Row],[Engineering Approved Design Date]]-Table159[[#This Row],[Date Completed]])</f>
        <v>19</v>
      </c>
      <c r="M131" s="642"/>
      <c r="N131" s="642" t="s">
        <v>120</v>
      </c>
      <c r="O131" s="510">
        <v>45352</v>
      </c>
      <c r="P131" s="221" t="s">
        <v>739</v>
      </c>
      <c r="Q131" s="70">
        <f>Table159[[#This Row],[Rate]]*Table159[[#This Row],[Construction Cost to Bill From]]</f>
        <v>18967.2948</v>
      </c>
      <c r="R131" s="75">
        <v>0.09</v>
      </c>
      <c r="U131" s="87"/>
      <c r="V131" s="437">
        <v>1051</v>
      </c>
      <c r="W131" s="437">
        <v>0</v>
      </c>
      <c r="X131" s="70">
        <v>210747.72</v>
      </c>
      <c r="Y131" s="595">
        <v>0</v>
      </c>
      <c r="Z131" s="570">
        <v>0</v>
      </c>
      <c r="AA131" s="800">
        <f>Table159[[#This Row],[PCTS Retirement Amount]]+Table159[[#This Row],[PCTS Investment Amount]]</f>
        <v>210747.72</v>
      </c>
      <c r="AB131" s="207">
        <v>45370</v>
      </c>
      <c r="AC131" s="22" t="s">
        <v>709</v>
      </c>
      <c r="AD131" s="22" t="s">
        <v>116</v>
      </c>
      <c r="AE131" s="187" t="s">
        <v>116</v>
      </c>
      <c r="AF131" s="568" t="s">
        <v>116</v>
      </c>
      <c r="AG131" s="183" t="s">
        <v>116</v>
      </c>
      <c r="AH131" s="374" t="s">
        <v>116</v>
      </c>
      <c r="AI131" s="426">
        <v>0</v>
      </c>
      <c r="AJ131" s="542">
        <v>630</v>
      </c>
      <c r="AK131" s="542">
        <v>8249.5</v>
      </c>
      <c r="AL131" s="493">
        <f>SUM(Table159[[#This Row],[Nicor Initiated DBE]:[Staffing]])/(Table159[[#This Row],[Amount Invoiced]])</f>
        <v>0.46814794063305221</v>
      </c>
      <c r="AM131" s="21" t="s">
        <v>116</v>
      </c>
      <c r="AN131" s="785">
        <v>45510</v>
      </c>
      <c r="AO131" s="786">
        <v>11088785</v>
      </c>
      <c r="AP131" s="788">
        <v>209305.33</v>
      </c>
      <c r="AQ131" s="682"/>
      <c r="AR131" s="788">
        <v>0</v>
      </c>
      <c r="AS131" s="538">
        <f>IF(Table159[[#This Row],[PCTS Approved]]="N",0,Table159[[#This Row],[Investment Amount (1'#'#'#'#'#)]]+Table159[[#This Row],[Retirement Amount (3'#'#'#'#'#)]])</f>
        <v>209305.33</v>
      </c>
      <c r="AT131" s="538">
        <f>IF(Table159[[#This Row],[Approved Construction Cost]]=0,0,Table159[[#This Row],[Approved Construction Cost]]-Table159[[#This Row],[Construction Cost to Bill From]])</f>
        <v>-1442.390000000014</v>
      </c>
      <c r="AU131" s="538">
        <f>IFERROR(Table159[[#This Row],[Difference in Construction Cost]]*Table159[[#This Row],[Rate]],Table159[[#This Row],[Difference in Construction Cost]]*0.085)</f>
        <v>-129.81510000000125</v>
      </c>
      <c r="AV131" s="788">
        <v>0</v>
      </c>
      <c r="AW131" s="792" t="s">
        <v>6848</v>
      </c>
      <c r="AX131" s="555"/>
      <c r="AY131" s="636" t="s">
        <v>709</v>
      </c>
      <c r="AZ131" s="443">
        <v>52</v>
      </c>
      <c r="BA131" s="651" t="s">
        <v>1737</v>
      </c>
      <c r="BB131" s="644" t="s">
        <v>1738</v>
      </c>
      <c r="BC131" s="479" t="s">
        <v>116</v>
      </c>
      <c r="BD131" s="554" t="s">
        <v>115</v>
      </c>
      <c r="BE131" s="588" t="s">
        <v>822</v>
      </c>
      <c r="BF131" s="588" t="s">
        <v>115</v>
      </c>
      <c r="BG131" s="483" t="s">
        <v>115</v>
      </c>
      <c r="BH131" s="615" t="s">
        <v>1739</v>
      </c>
      <c r="BI131" s="535" t="s">
        <v>709</v>
      </c>
      <c r="BJ131" s="549" t="s">
        <v>709</v>
      </c>
      <c r="BK131" s="547" t="s">
        <v>709</v>
      </c>
      <c r="BL131" s="547" t="s">
        <v>116</v>
      </c>
      <c r="BM131" s="626" t="s">
        <v>709</v>
      </c>
      <c r="BN131" s="549" t="s">
        <v>709</v>
      </c>
      <c r="BO131" s="626" t="s">
        <v>709</v>
      </c>
      <c r="BP131" s="626" t="s">
        <v>709</v>
      </c>
      <c r="BQ131" s="549" t="s">
        <v>709</v>
      </c>
      <c r="BR131" s="549" t="s">
        <v>709</v>
      </c>
      <c r="BS131" s="549">
        <v>1051</v>
      </c>
      <c r="BT131" s="549" t="s">
        <v>709</v>
      </c>
      <c r="BU131" s="549" t="s">
        <v>709</v>
      </c>
      <c r="BV131" s="549" t="s">
        <v>709</v>
      </c>
      <c r="BW131" s="549" t="s">
        <v>709</v>
      </c>
      <c r="BX131" s="547" t="s">
        <v>709</v>
      </c>
      <c r="BY131" s="549" t="s">
        <v>709</v>
      </c>
      <c r="BZ131" s="483"/>
    </row>
    <row r="132" spans="1:78" ht="15" hidden="1" customHeight="1" x14ac:dyDescent="0.25">
      <c r="A132" s="8" t="s">
        <v>749</v>
      </c>
      <c r="B132" s="8" t="s">
        <v>4</v>
      </c>
      <c r="C132" s="8" t="s">
        <v>1087</v>
      </c>
      <c r="D132" s="8" t="s">
        <v>1088</v>
      </c>
      <c r="E132" s="8" t="s">
        <v>309</v>
      </c>
      <c r="F132" s="8" t="s">
        <v>747</v>
      </c>
      <c r="G132" s="8" t="s">
        <v>27</v>
      </c>
      <c r="H132" s="8" t="s">
        <v>59</v>
      </c>
      <c r="I132" s="642">
        <v>44637</v>
      </c>
      <c r="J132" s="18">
        <v>44895</v>
      </c>
      <c r="K132" s="97">
        <v>44894</v>
      </c>
      <c r="L132" s="16">
        <f>IF(ISTEXT(Table159[[#This Row],[Engineering Approved Design Date]]),Table159[[#This Row],[Date Completed]]-Table159[[#This Row],[Date Assigned to Designer]],Table159[[#This Row],[Engineering Approved Design Date]]-Table159[[#This Row],[Date Completed]])</f>
        <v>1</v>
      </c>
      <c r="M132" s="642"/>
      <c r="N132" s="642" t="s">
        <v>120</v>
      </c>
      <c r="O132" s="510">
        <v>44896</v>
      </c>
      <c r="P132" s="68" t="s">
        <v>739</v>
      </c>
      <c r="Q132" s="71">
        <f>R132*AA132</f>
        <v>171948.44900000002</v>
      </c>
      <c r="R132" s="75">
        <v>0.1</v>
      </c>
      <c r="U132" s="87"/>
      <c r="V132" s="437">
        <v>3234</v>
      </c>
      <c r="X132" s="106">
        <v>980442.02</v>
      </c>
      <c r="Y132" s="592"/>
      <c r="Z132" s="570">
        <v>739042.47</v>
      </c>
      <c r="AA132" s="300">
        <f>Table159[[#This Row],[PCTS Investment Amount]]+Table159[[#This Row],[PCTS Retirement Amount]]</f>
        <v>1719484.49</v>
      </c>
      <c r="AB132" s="207" t="s">
        <v>1089</v>
      </c>
      <c r="AC132" s="108" t="s">
        <v>709</v>
      </c>
      <c r="AD132" s="108" t="s">
        <v>116</v>
      </c>
      <c r="AE132" s="349"/>
      <c r="AF132" s="579"/>
      <c r="AG132" s="579"/>
      <c r="AH132" s="354"/>
      <c r="AI132" s="489"/>
      <c r="AJ132" s="553"/>
      <c r="AK132" s="553"/>
      <c r="AL132" s="495"/>
      <c r="AM132" s="21" t="s">
        <v>116</v>
      </c>
      <c r="AN132" s="801">
        <v>45475</v>
      </c>
      <c r="AO132" s="806">
        <v>11085682</v>
      </c>
      <c r="AP132" s="562">
        <v>996204.6</v>
      </c>
      <c r="AQ132" s="562"/>
      <c r="AR132" s="562">
        <v>754936.91</v>
      </c>
      <c r="AS132" s="538">
        <f>IF(Table159[[#This Row],[PCTS Approved]]="N",0,Table159[[#This Row],[Investment Amount (1'#'#'#'#'#)]]+Table159[[#This Row],[Retirement Amount (3'#'#'#'#'#)]])</f>
        <v>1751141.51</v>
      </c>
      <c r="AT132" s="538">
        <f>IF(Table159[[#This Row],[Approved Construction Cost]]=0,0,Table159[[#This Row],[Approved Construction Cost]]-Table159[[#This Row],[Construction Cost to Bill From]])</f>
        <v>31657.020000000019</v>
      </c>
      <c r="AU132" s="538">
        <f>IFERROR(Table159[[#This Row],[Difference in Construction Cost]]*Table159[[#This Row],[Rate]],Table159[[#This Row],[Difference in Construction Cost]]*0.085)</f>
        <v>3165.702000000002</v>
      </c>
      <c r="AV132" s="718">
        <v>9982.5</v>
      </c>
      <c r="AW132" s="686" t="s">
        <v>6849</v>
      </c>
      <c r="AX132" s="538"/>
      <c r="AY132" s="636" t="s">
        <v>709</v>
      </c>
      <c r="AZ132" s="443">
        <v>77</v>
      </c>
      <c r="BA132" s="652" t="s">
        <v>1091</v>
      </c>
      <c r="BB132" s="644" t="s">
        <v>1092</v>
      </c>
      <c r="BC132" s="478" t="s">
        <v>116</v>
      </c>
      <c r="BD132" s="544" t="s">
        <v>837</v>
      </c>
      <c r="BE132" s="544" t="s">
        <v>1093</v>
      </c>
      <c r="BF132" s="544" t="s">
        <v>115</v>
      </c>
      <c r="BG132" s="512" t="s">
        <v>115</v>
      </c>
      <c r="BH132" s="741" t="s">
        <v>1094</v>
      </c>
      <c r="BI132" s="535" t="s">
        <v>709</v>
      </c>
      <c r="BJ132" s="547" t="s">
        <v>709</v>
      </c>
      <c r="BK132" s="547" t="s">
        <v>709</v>
      </c>
      <c r="BL132" s="547" t="s">
        <v>116</v>
      </c>
      <c r="BM132" s="547" t="s">
        <v>709</v>
      </c>
      <c r="BN132" s="547" t="s">
        <v>709</v>
      </c>
      <c r="BO132" s="547" t="s">
        <v>709</v>
      </c>
      <c r="BP132" s="547" t="s">
        <v>709</v>
      </c>
      <c r="BQ132" s="547" t="s">
        <v>709</v>
      </c>
      <c r="BR132" s="547">
        <v>3138</v>
      </c>
      <c r="BS132" s="547">
        <v>96</v>
      </c>
      <c r="BT132" s="547" t="s">
        <v>709</v>
      </c>
      <c r="BU132" s="547" t="s">
        <v>709</v>
      </c>
      <c r="BV132" s="547" t="s">
        <v>709</v>
      </c>
      <c r="BW132" s="547" t="s">
        <v>709</v>
      </c>
      <c r="BX132" s="547" t="s">
        <v>745</v>
      </c>
      <c r="BY132" s="547" t="s">
        <v>709</v>
      </c>
      <c r="BZ132" s="483"/>
    </row>
    <row r="133" spans="1:78" ht="15" hidden="1" customHeight="1" x14ac:dyDescent="0.25">
      <c r="A133" s="8" t="s">
        <v>749</v>
      </c>
      <c r="B133" s="8" t="s">
        <v>4</v>
      </c>
      <c r="C133" s="8" t="s">
        <v>1095</v>
      </c>
      <c r="D133" s="8" t="s">
        <v>1096</v>
      </c>
      <c r="E133" s="8" t="s">
        <v>309</v>
      </c>
      <c r="F133" s="8" t="s">
        <v>747</v>
      </c>
      <c r="G133" s="8" t="s">
        <v>27</v>
      </c>
      <c r="H133" s="8" t="s">
        <v>59</v>
      </c>
      <c r="I133" s="642">
        <v>44791</v>
      </c>
      <c r="J133" s="18">
        <v>44895</v>
      </c>
      <c r="K133" s="97">
        <v>44894</v>
      </c>
      <c r="L133" s="16">
        <f>IF(ISTEXT(Table159[[#This Row],[Engineering Approved Design Date]]),Table159[[#This Row],[Date Completed]]-Table159[[#This Row],[Date Assigned to Designer]],Table159[[#This Row],[Engineering Approved Design Date]]-Table159[[#This Row],[Date Completed]])</f>
        <v>1</v>
      </c>
      <c r="M133" s="642"/>
      <c r="N133" s="642" t="s">
        <v>120</v>
      </c>
      <c r="O133" s="510">
        <v>44896</v>
      </c>
      <c r="P133" s="68" t="s">
        <v>739</v>
      </c>
      <c r="Q133" s="71">
        <f>R133*AA133</f>
        <v>103641.395</v>
      </c>
      <c r="R133" s="75">
        <v>0.1</v>
      </c>
      <c r="U133" s="87"/>
      <c r="V133" s="437">
        <v>2473</v>
      </c>
      <c r="X133" s="106">
        <v>688510.01</v>
      </c>
      <c r="Y133" s="592"/>
      <c r="Z133" s="570">
        <v>347903.94</v>
      </c>
      <c r="AA133" s="300">
        <f>Table159[[#This Row],[PCTS Investment Amount]]+Table159[[#This Row],[PCTS Retirement Amount]]</f>
        <v>1036413.95</v>
      </c>
      <c r="AB133" s="207" t="s">
        <v>1089</v>
      </c>
      <c r="AC133" s="108" t="s">
        <v>709</v>
      </c>
      <c r="AD133" s="108" t="s">
        <v>116</v>
      </c>
      <c r="AE133" s="349"/>
      <c r="AF133" s="579"/>
      <c r="AG133" s="579"/>
      <c r="AH133" s="354"/>
      <c r="AI133" s="489"/>
      <c r="AJ133" s="553"/>
      <c r="AK133" s="553"/>
      <c r="AL133" s="495"/>
      <c r="AM133" s="21" t="s">
        <v>116</v>
      </c>
      <c r="AN133" s="801">
        <v>45642</v>
      </c>
      <c r="AO133" s="806">
        <v>11082174</v>
      </c>
      <c r="AP133" s="562">
        <v>742927.88</v>
      </c>
      <c r="AQ133" s="562"/>
      <c r="AR133" s="562">
        <v>416914.29</v>
      </c>
      <c r="AS133" s="538">
        <f>IF(Table159[[#This Row],[PCTS Approved]]="N",0,Table159[[#This Row],[Investment Amount (1'#'#'#'#'#)]]+Table159[[#This Row],[Retirement Amount (3'#'#'#'#'#)]])</f>
        <v>1159842.17</v>
      </c>
      <c r="AT133" s="538">
        <f>IF(Table159[[#This Row],[Approved Construction Cost]]=0,0,Table159[[#This Row],[Approved Construction Cost]]-Table159[[#This Row],[Construction Cost to Bill From]])</f>
        <v>123428.21999999997</v>
      </c>
      <c r="AU133" s="538">
        <f>IFERROR(Table159[[#This Row],[Difference in Construction Cost]]*Table159[[#This Row],[Rate]],Table159[[#This Row],[Difference in Construction Cost]]*0.085)</f>
        <v>12342.821999999998</v>
      </c>
      <c r="AV133" s="718">
        <v>0</v>
      </c>
      <c r="AW133" s="686" t="s">
        <v>6849</v>
      </c>
      <c r="AX133" s="538"/>
      <c r="AY133" s="636" t="s">
        <v>709</v>
      </c>
      <c r="AZ133" s="443">
        <v>76</v>
      </c>
      <c r="BA133" s="652" t="s">
        <v>1098</v>
      </c>
      <c r="BB133" s="644" t="s">
        <v>1092</v>
      </c>
      <c r="BC133" s="478" t="s">
        <v>116</v>
      </c>
      <c r="BD133" s="544" t="s">
        <v>837</v>
      </c>
      <c r="BE133" s="544" t="s">
        <v>1093</v>
      </c>
      <c r="BF133" s="544" t="s">
        <v>115</v>
      </c>
      <c r="BG133" s="512" t="s">
        <v>115</v>
      </c>
      <c r="BH133" s="741" t="s">
        <v>1094</v>
      </c>
      <c r="BI133" s="535" t="s">
        <v>709</v>
      </c>
      <c r="BJ133" s="547" t="s">
        <v>709</v>
      </c>
      <c r="BK133" s="547" t="s">
        <v>709</v>
      </c>
      <c r="BL133" s="547" t="s">
        <v>116</v>
      </c>
      <c r="BM133" s="547" t="s">
        <v>709</v>
      </c>
      <c r="BN133" s="547" t="s">
        <v>709</v>
      </c>
      <c r="BO133" s="547" t="s">
        <v>709</v>
      </c>
      <c r="BP133" s="547" t="s">
        <v>709</v>
      </c>
      <c r="BQ133" s="547" t="s">
        <v>709</v>
      </c>
      <c r="BR133" s="547">
        <v>2473</v>
      </c>
      <c r="BS133" s="547" t="s">
        <v>709</v>
      </c>
      <c r="BT133" s="547" t="s">
        <v>745</v>
      </c>
      <c r="BU133" s="547" t="s">
        <v>709</v>
      </c>
      <c r="BV133" s="547" t="s">
        <v>745</v>
      </c>
      <c r="BW133" s="547" t="s">
        <v>709</v>
      </c>
      <c r="BX133" s="547" t="s">
        <v>745</v>
      </c>
      <c r="BY133" s="547" t="s">
        <v>745</v>
      </c>
      <c r="BZ133" s="483"/>
    </row>
    <row r="134" spans="1:78" ht="15" hidden="1" customHeight="1" x14ac:dyDescent="0.25">
      <c r="A134" s="8" t="s">
        <v>800</v>
      </c>
      <c r="B134" s="8" t="s">
        <v>759</v>
      </c>
      <c r="C134" s="8" t="s">
        <v>1785</v>
      </c>
      <c r="D134" s="8" t="s">
        <v>1786</v>
      </c>
      <c r="E134" s="8" t="s">
        <v>1787</v>
      </c>
      <c r="F134" s="8" t="s">
        <v>752</v>
      </c>
      <c r="G134" s="8" t="s">
        <v>34</v>
      </c>
      <c r="H134" s="8" t="s">
        <v>59</v>
      </c>
      <c r="I134" s="642">
        <v>45296</v>
      </c>
      <c r="J134" s="18">
        <v>45428</v>
      </c>
      <c r="K134" s="642">
        <v>45428</v>
      </c>
      <c r="L134" s="16">
        <f>IF(ISTEXT(Table159[[#This Row],[Engineering Approved Design Date]]),Table159[[#This Row],[Date Completed]]-Table159[[#This Row],[Date Assigned to Designer]],Table159[[#This Row],[Engineering Approved Design Date]]-Table159[[#This Row],[Date Completed]])</f>
        <v>0</v>
      </c>
      <c r="M134" s="642"/>
      <c r="N134" s="642" t="s">
        <v>120</v>
      </c>
      <c r="O134" s="510">
        <v>45413</v>
      </c>
      <c r="P134" s="221" t="s">
        <v>120</v>
      </c>
      <c r="Q134" s="70">
        <f>Table159[[#This Row],[Rate]]*Table159[[#This Row],[Construction Cost to Bill From]]</f>
        <v>101543.1164</v>
      </c>
      <c r="R134" s="77">
        <v>0.11</v>
      </c>
      <c r="U134" s="87"/>
      <c r="V134" s="437">
        <f>247+967+90+5+40+160+82</f>
        <v>1591</v>
      </c>
      <c r="W134" s="437">
        <v>1</v>
      </c>
      <c r="X134" s="24">
        <v>784377</v>
      </c>
      <c r="Y134" s="551"/>
      <c r="Z134" s="552">
        <v>138742.24</v>
      </c>
      <c r="AA134" s="300">
        <f>SUM(Table159[[#This Row],[PCTS Investment Amount]:[PCTS Retirement Amount]])</f>
        <v>923119.24</v>
      </c>
      <c r="AB134" s="207">
        <v>45429</v>
      </c>
      <c r="AC134" s="22" t="s">
        <v>1177</v>
      </c>
      <c r="AD134" s="22" t="s">
        <v>29</v>
      </c>
      <c r="AE134" s="359" t="s">
        <v>116</v>
      </c>
      <c r="AF134" s="568" t="s">
        <v>29</v>
      </c>
      <c r="AG134" s="568" t="s">
        <v>116</v>
      </c>
      <c r="AH134" s="374" t="s">
        <v>116</v>
      </c>
      <c r="AI134" s="499">
        <v>13590</v>
      </c>
      <c r="AJ134" s="541">
        <v>0</v>
      </c>
      <c r="AK134" s="541">
        <v>4272</v>
      </c>
      <c r="AL134" s="492">
        <f>SUM(Table159[[#This Row],[Nicor Initiated DBE]:[Staffing]])/(Table159[[#This Row],[Amount Invoiced]])</f>
        <v>0.1759055722658518</v>
      </c>
      <c r="AM134" s="21" t="s">
        <v>116</v>
      </c>
      <c r="AN134" s="680" t="s">
        <v>709</v>
      </c>
      <c r="AO134" s="601"/>
      <c r="AP134" s="572"/>
      <c r="AQ134" s="572"/>
      <c r="AR134" s="572"/>
      <c r="AS134" s="538">
        <f>IF(Table159[[#This Row],[PCTS Approved]]="N",0,Table159[[#This Row],[Investment Amount (1'#'#'#'#'#)]]+Table159[[#This Row],[Retirement Amount (3'#'#'#'#'#)]])</f>
        <v>0</v>
      </c>
      <c r="AT134" s="538">
        <f>IF(Table159[[#This Row],[Approved Construction Cost]]=0,0,Table159[[#This Row],[Approved Construction Cost]]-Table159[[#This Row],[Construction Cost to Bill From]])</f>
        <v>0</v>
      </c>
      <c r="AU134" s="538">
        <f>IFERROR(Table159[[#This Row],[Difference in Construction Cost]]*Table159[[#This Row],[Rate]],Table159[[#This Row],[Difference in Construction Cost]]*0.085)</f>
        <v>0</v>
      </c>
      <c r="AV134" s="572"/>
      <c r="AW134" s="639"/>
      <c r="AX134" s="538"/>
      <c r="AY134" s="637" t="s">
        <v>709</v>
      </c>
      <c r="AZ134" s="443">
        <v>162</v>
      </c>
      <c r="BA134" s="643" t="s">
        <v>1788</v>
      </c>
      <c r="BB134" s="644" t="s">
        <v>1789</v>
      </c>
      <c r="BC134" s="479" t="s">
        <v>115</v>
      </c>
      <c r="BD134" s="554" t="s">
        <v>1790</v>
      </c>
      <c r="BE134" s="588" t="s">
        <v>1791</v>
      </c>
      <c r="BF134" s="588" t="s">
        <v>115</v>
      </c>
      <c r="BG134" s="483" t="s">
        <v>115</v>
      </c>
      <c r="BH134" s="615" t="s">
        <v>1792</v>
      </c>
      <c r="BI134" s="535" t="s">
        <v>709</v>
      </c>
      <c r="BJ134" s="547" t="s">
        <v>709</v>
      </c>
      <c r="BK134" s="547" t="s">
        <v>709</v>
      </c>
      <c r="BL134" s="547" t="s">
        <v>116</v>
      </c>
      <c r="BM134" s="547" t="s">
        <v>709</v>
      </c>
      <c r="BN134" s="547" t="s">
        <v>709</v>
      </c>
      <c r="BO134" s="547" t="s">
        <v>709</v>
      </c>
      <c r="BP134" s="626">
        <v>82</v>
      </c>
      <c r="BQ134" s="626">
        <f>160+967</f>
        <v>1127</v>
      </c>
      <c r="BR134" s="549">
        <v>40</v>
      </c>
      <c r="BS134" s="549">
        <f>5+247</f>
        <v>252</v>
      </c>
      <c r="BT134" s="547">
        <v>1</v>
      </c>
      <c r="BU134" s="547" t="s">
        <v>709</v>
      </c>
      <c r="BV134" s="547" t="s">
        <v>745</v>
      </c>
      <c r="BW134" s="547">
        <v>1</v>
      </c>
      <c r="BX134" s="547">
        <v>1</v>
      </c>
      <c r="BY134" s="547" t="s">
        <v>745</v>
      </c>
      <c r="BZ134" s="483" t="s">
        <v>1022</v>
      </c>
    </row>
    <row r="135" spans="1:78" ht="15" hidden="1" customHeight="1" x14ac:dyDescent="0.25">
      <c r="A135" s="8" t="s">
        <v>749</v>
      </c>
      <c r="B135" s="8" t="s">
        <v>759</v>
      </c>
      <c r="C135" s="8" t="s">
        <v>1793</v>
      </c>
      <c r="D135" s="8" t="s">
        <v>1794</v>
      </c>
      <c r="E135" s="8" t="s">
        <v>1787</v>
      </c>
      <c r="F135" s="8" t="s">
        <v>752</v>
      </c>
      <c r="G135" s="8" t="s">
        <v>34</v>
      </c>
      <c r="H135" s="8" t="s">
        <v>59</v>
      </c>
      <c r="I135" s="642">
        <v>44582</v>
      </c>
      <c r="J135" s="18">
        <v>45429</v>
      </c>
      <c r="K135" s="642">
        <v>45429</v>
      </c>
      <c r="L135" s="16">
        <f>IF(ISTEXT(Table159[[#This Row],[Engineering Approved Design Date]]),Table159[[#This Row],[Date Completed]]-Table159[[#This Row],[Date Assigned to Designer]],Table159[[#This Row],[Engineering Approved Design Date]]-Table159[[#This Row],[Date Completed]])</f>
        <v>0</v>
      </c>
      <c r="M135" s="642"/>
      <c r="N135" s="642" t="s">
        <v>120</v>
      </c>
      <c r="O135" s="510">
        <v>45413</v>
      </c>
      <c r="P135" s="221" t="s">
        <v>120</v>
      </c>
      <c r="Q135" s="70">
        <f>Table159[[#This Row],[Rate]]*Table159[[#This Row],[Construction Cost to Bill From]]</f>
        <v>146544.959</v>
      </c>
      <c r="R135" s="77">
        <v>0.11</v>
      </c>
      <c r="U135" s="87"/>
      <c r="V135" s="437">
        <v>1638</v>
      </c>
      <c r="W135" s="437">
        <v>1</v>
      </c>
      <c r="X135" s="24">
        <v>1222303.93</v>
      </c>
      <c r="Y135" s="551"/>
      <c r="Z135" s="552">
        <v>109922.97</v>
      </c>
      <c r="AA135" s="300">
        <f>SUM(Table159[[#This Row],[PCTS Investment Amount]:[PCTS Retirement Amount]])</f>
        <v>1332226.8999999999</v>
      </c>
      <c r="AB135" s="207">
        <v>45426</v>
      </c>
      <c r="AC135" s="22" t="s">
        <v>1056</v>
      </c>
      <c r="AD135" s="22" t="s">
        <v>29</v>
      </c>
      <c r="AE135" s="359" t="s">
        <v>116</v>
      </c>
      <c r="AF135" s="568" t="s">
        <v>116</v>
      </c>
      <c r="AG135" s="568" t="s">
        <v>116</v>
      </c>
      <c r="AH135" s="374" t="s">
        <v>116</v>
      </c>
      <c r="AI135" s="499">
        <f>30900</f>
        <v>30900</v>
      </c>
      <c r="AJ135" s="541">
        <v>0</v>
      </c>
      <c r="AK135" s="541">
        <v>0</v>
      </c>
      <c r="AL135" s="1254">
        <f>SUM(Table159[[#This Row],[Nicor Initiated DBE]:[Staffing]])/(Table159[[#This Row],[Amount Invoiced]])</f>
        <v>0.21085679241958777</v>
      </c>
      <c r="AM135" s="21" t="s">
        <v>116</v>
      </c>
      <c r="AN135" s="680" t="s">
        <v>709</v>
      </c>
      <c r="AO135" s="601"/>
      <c r="AP135" s="572"/>
      <c r="AQ135" s="572"/>
      <c r="AR135" s="572"/>
      <c r="AS135" s="538">
        <f>IF(Table159[[#This Row],[PCTS Approved]]="N",0,Table159[[#This Row],[Investment Amount (1'#'#'#'#'#)]]+Table159[[#This Row],[Retirement Amount (3'#'#'#'#'#)]])</f>
        <v>0</v>
      </c>
      <c r="AT135" s="538">
        <f>IF(Table159[[#This Row],[Approved Construction Cost]]=0,0,Table159[[#This Row],[Approved Construction Cost]]-Table159[[#This Row],[Construction Cost to Bill From]])</f>
        <v>0</v>
      </c>
      <c r="AU135" s="538">
        <f>IFERROR(Table159[[#This Row],[Difference in Construction Cost]]*Table159[[#This Row],[Rate]],Table159[[#This Row],[Difference in Construction Cost]]*0.085)</f>
        <v>0</v>
      </c>
      <c r="AV135" s="572"/>
      <c r="AW135" s="639"/>
      <c r="AX135" s="538"/>
      <c r="AY135" s="637" t="s">
        <v>709</v>
      </c>
      <c r="AZ135" s="443">
        <v>163</v>
      </c>
      <c r="BA135" s="643" t="s">
        <v>1795</v>
      </c>
      <c r="BB135" s="644" t="s">
        <v>1796</v>
      </c>
      <c r="BC135" s="479" t="s">
        <v>116</v>
      </c>
      <c r="BD135" s="554" t="s">
        <v>882</v>
      </c>
      <c r="BE135" s="588" t="s">
        <v>1791</v>
      </c>
      <c r="BF135" s="588" t="s">
        <v>115</v>
      </c>
      <c r="BG135" s="483" t="s">
        <v>1496</v>
      </c>
      <c r="BH135" s="615" t="s">
        <v>1797</v>
      </c>
      <c r="BI135" s="535" t="s">
        <v>709</v>
      </c>
      <c r="BJ135" s="547" t="s">
        <v>1798</v>
      </c>
      <c r="BK135" s="547" t="s">
        <v>709</v>
      </c>
      <c r="BL135" s="547" t="s">
        <v>116</v>
      </c>
      <c r="BM135" s="547" t="s">
        <v>709</v>
      </c>
      <c r="BN135" s="547" t="s">
        <v>709</v>
      </c>
      <c r="BO135" s="547" t="s">
        <v>709</v>
      </c>
      <c r="BP135" s="626" t="s">
        <v>709</v>
      </c>
      <c r="BQ135" s="626">
        <f>40+1</f>
        <v>41</v>
      </c>
      <c r="BR135" s="549">
        <f>216+1317+4</f>
        <v>1537</v>
      </c>
      <c r="BS135" s="549">
        <v>11</v>
      </c>
      <c r="BT135" s="547" t="s">
        <v>745</v>
      </c>
      <c r="BU135" s="547" t="s">
        <v>709</v>
      </c>
      <c r="BV135" s="547" t="s">
        <v>745</v>
      </c>
      <c r="BW135" s="547">
        <v>1</v>
      </c>
      <c r="BX135" s="547" t="s">
        <v>745</v>
      </c>
      <c r="BY135" s="547" t="s">
        <v>745</v>
      </c>
      <c r="BZ135" s="483" t="s">
        <v>1799</v>
      </c>
    </row>
    <row r="136" spans="1:78" ht="15" hidden="1" customHeight="1" x14ac:dyDescent="0.25">
      <c r="A136" s="8" t="s">
        <v>800</v>
      </c>
      <c r="B136" s="8" t="s">
        <v>1205</v>
      </c>
      <c r="C136" s="8" t="s">
        <v>1498</v>
      </c>
      <c r="D136" s="8" t="s">
        <v>1499</v>
      </c>
      <c r="E136" s="8" t="s">
        <v>1500</v>
      </c>
      <c r="F136" s="8" t="s">
        <v>1501</v>
      </c>
      <c r="G136" s="8" t="s">
        <v>22</v>
      </c>
      <c r="H136" s="13" t="s">
        <v>59</v>
      </c>
      <c r="I136" s="642">
        <v>44704</v>
      </c>
      <c r="J136" s="18">
        <v>45065</v>
      </c>
      <c r="K136" s="97">
        <v>45064</v>
      </c>
      <c r="L136" s="16">
        <f>IF(ISTEXT(Table159[[#This Row],[Engineering Approved Design Date]]),Table159[[#This Row],[Date Completed]]-Table159[[#This Row],[Date Assigned to Designer]],Table159[[#This Row],[Engineering Approved Design Date]]-Table159[[#This Row],[Date Completed]])</f>
        <v>1</v>
      </c>
      <c r="M136" s="642"/>
      <c r="N136" s="642" t="s">
        <v>120</v>
      </c>
      <c r="O136" s="510">
        <f>Table159[[#This Row],[Date Completed]]</f>
        <v>45064</v>
      </c>
      <c r="P136" s="221" t="s">
        <v>120</v>
      </c>
      <c r="Q136" s="70">
        <f>Table159[[#This Row],[Rate]]*Table159[[#This Row],[Construction Cost to Bill From]]</f>
        <v>302998.19759999996</v>
      </c>
      <c r="R136" s="75">
        <v>0.09</v>
      </c>
      <c r="U136" s="87"/>
      <c r="V136" s="437">
        <v>1030</v>
      </c>
      <c r="W136" s="437">
        <v>0</v>
      </c>
      <c r="X136" s="94">
        <v>3121172.84</v>
      </c>
      <c r="Y136" s="592"/>
      <c r="Z136" s="552">
        <v>245473.8</v>
      </c>
      <c r="AA136" s="300">
        <f>SUM(Table159[[#This Row],[PCTS Investment Amount]:[PCTS Retirement Amount]])</f>
        <v>3366646.6399999997</v>
      </c>
      <c r="AB136" s="207">
        <v>45069</v>
      </c>
      <c r="AC136" s="108" t="s">
        <v>709</v>
      </c>
      <c r="AD136" s="108" t="s">
        <v>116</v>
      </c>
      <c r="AE136" s="349"/>
      <c r="AF136" s="579"/>
      <c r="AG136" s="579"/>
      <c r="AH136" s="354"/>
      <c r="AI136" s="489"/>
      <c r="AJ136" s="553"/>
      <c r="AK136" s="553"/>
      <c r="AL136" s="1363"/>
      <c r="AM136" s="21" t="s">
        <v>116</v>
      </c>
      <c r="AN136" s="680" t="s">
        <v>709</v>
      </c>
      <c r="AO136" s="681">
        <v>11043653</v>
      </c>
      <c r="AP136" s="572"/>
      <c r="AQ136" s="572"/>
      <c r="AR136" s="572"/>
      <c r="AS136" s="538">
        <f>IF(Table159[[#This Row],[PCTS Approved]]="N",0,Table159[[#This Row],[Investment Amount (1'#'#'#'#'#)]]+Table159[[#This Row],[Retirement Amount (3'#'#'#'#'#)]])</f>
        <v>0</v>
      </c>
      <c r="AT136" s="538">
        <f>IF(Table159[[#This Row],[Approved Construction Cost]]=0,0,Table159[[#This Row],[Approved Construction Cost]]-Table159[[#This Row],[Construction Cost to Bill From]])</f>
        <v>0</v>
      </c>
      <c r="AU136" s="538">
        <f>IFERROR(Table159[[#This Row],[Difference in Construction Cost]]*Table159[[#This Row],[Rate]],Table159[[#This Row],[Difference in Construction Cost]]*0.085)</f>
        <v>0</v>
      </c>
      <c r="AV136" s="572"/>
      <c r="AW136" s="639"/>
      <c r="AX136" s="538"/>
      <c r="AY136" s="636" t="s">
        <v>709</v>
      </c>
      <c r="AZ136" s="443">
        <v>43</v>
      </c>
      <c r="BA136" s="652" t="s">
        <v>1502</v>
      </c>
      <c r="BB136" s="644" t="s">
        <v>1503</v>
      </c>
      <c r="BC136" s="478" t="s">
        <v>116</v>
      </c>
      <c r="BD136" s="544" t="s">
        <v>115</v>
      </c>
      <c r="BE136" s="544" t="s">
        <v>1504</v>
      </c>
      <c r="BF136" s="544" t="s">
        <v>115</v>
      </c>
      <c r="BG136" s="512" t="s">
        <v>1505</v>
      </c>
      <c r="BH136" s="741" t="s">
        <v>1506</v>
      </c>
      <c r="BI136" s="535" t="s">
        <v>709</v>
      </c>
      <c r="BJ136" s="547" t="s">
        <v>709</v>
      </c>
      <c r="BK136" s="547" t="s">
        <v>116</v>
      </c>
      <c r="BL136" s="547" t="s">
        <v>709</v>
      </c>
      <c r="BM136" s="547" t="s">
        <v>709</v>
      </c>
      <c r="BN136" s="547" t="s">
        <v>709</v>
      </c>
      <c r="BO136" s="547" t="s">
        <v>709</v>
      </c>
      <c r="BP136" s="547" t="s">
        <v>709</v>
      </c>
      <c r="BQ136" s="547" t="s">
        <v>709</v>
      </c>
      <c r="BR136" s="547" t="s">
        <v>709</v>
      </c>
      <c r="BS136" s="547" t="s">
        <v>709</v>
      </c>
      <c r="BT136" s="547" t="s">
        <v>745</v>
      </c>
      <c r="BU136" s="547" t="s">
        <v>709</v>
      </c>
      <c r="BV136" s="547" t="s">
        <v>745</v>
      </c>
      <c r="BW136" s="547" t="s">
        <v>709</v>
      </c>
      <c r="BX136" s="547" t="s">
        <v>745</v>
      </c>
      <c r="BY136" s="547" t="s">
        <v>745</v>
      </c>
      <c r="BZ136" s="483" t="s">
        <v>1507</v>
      </c>
    </row>
    <row r="137" spans="1:78" ht="15" hidden="1" customHeight="1" x14ac:dyDescent="0.25">
      <c r="A137" s="8" t="s">
        <v>749</v>
      </c>
      <c r="B137" s="8" t="s">
        <v>4</v>
      </c>
      <c r="C137" s="8" t="s">
        <v>1696</v>
      </c>
      <c r="D137" s="8" t="s">
        <v>1697</v>
      </c>
      <c r="E137" s="8" t="s">
        <v>1698</v>
      </c>
      <c r="F137" s="8" t="s">
        <v>784</v>
      </c>
      <c r="G137" s="8" t="s">
        <v>27</v>
      </c>
      <c r="H137" s="8" t="s">
        <v>59</v>
      </c>
      <c r="I137" s="642">
        <v>45188</v>
      </c>
      <c r="J137" s="18">
        <v>45306</v>
      </c>
      <c r="K137" s="97">
        <v>45273</v>
      </c>
      <c r="L137" s="16">
        <f>IF(ISTEXT(Table159[[#This Row],[Engineering Approved Design Date]]),Table159[[#This Row],[Date Completed]]-Table159[[#This Row],[Date Assigned to Designer]],Table159[[#This Row],[Engineering Approved Design Date]]-Table159[[#This Row],[Date Completed]])</f>
        <v>33</v>
      </c>
      <c r="M137" s="642"/>
      <c r="N137" s="642" t="s">
        <v>120</v>
      </c>
      <c r="O137" s="510">
        <v>45292</v>
      </c>
      <c r="P137" s="221" t="s">
        <v>739</v>
      </c>
      <c r="Q137" s="70">
        <f>Table159[[#This Row],[Rate]]*Table159[[#This Row],[Construction Cost to Bill From]]</f>
        <v>85706.26400000001</v>
      </c>
      <c r="R137" s="75">
        <v>0.1</v>
      </c>
      <c r="U137" s="87"/>
      <c r="V137" s="437">
        <v>306</v>
      </c>
      <c r="W137" s="437">
        <v>0</v>
      </c>
      <c r="X137" s="70">
        <v>654133.12</v>
      </c>
      <c r="Y137" s="551"/>
      <c r="Z137" s="570">
        <v>202929.52</v>
      </c>
      <c r="AA137" s="300">
        <f>SUM(Table159[[#This Row],[PCTS Investment Amount]:[PCTS Retirement Amount]])</f>
        <v>857062.64</v>
      </c>
      <c r="AB137" s="207">
        <v>45264</v>
      </c>
      <c r="AC137" s="108" t="s">
        <v>116</v>
      </c>
      <c r="AD137" s="108" t="s">
        <v>29</v>
      </c>
      <c r="AE137" s="187" t="s">
        <v>116</v>
      </c>
      <c r="AF137" s="568" t="s">
        <v>116</v>
      </c>
      <c r="AG137" s="183">
        <v>45371</v>
      </c>
      <c r="AH137" s="356">
        <v>45371</v>
      </c>
      <c r="AI137" s="499">
        <v>0</v>
      </c>
      <c r="AJ137" s="585">
        <v>1599.5</v>
      </c>
      <c r="AK137" s="585">
        <v>682</v>
      </c>
      <c r="AL137" s="494">
        <f>SUM(Table159[[#This Row],[Nicor Initiated DBE]:[Staffing]])/(Table159[[#This Row],[Amount Invoiced]])</f>
        <v>2.6619991276250237E-2</v>
      </c>
      <c r="AM137" s="21" t="s">
        <v>116</v>
      </c>
      <c r="AN137" s="801">
        <v>45505</v>
      </c>
      <c r="AO137" s="806">
        <v>11088462</v>
      </c>
      <c r="AP137" s="788">
        <v>1004495.43</v>
      </c>
      <c r="AQ137" s="788"/>
      <c r="AR137" s="788">
        <v>229124.63</v>
      </c>
      <c r="AS137" s="538">
        <f>IF(Table159[[#This Row],[PCTS Approved]]="N",0,Table159[[#This Row],[Investment Amount (1'#'#'#'#'#)]]+Table159[[#This Row],[Retirement Amount (3'#'#'#'#'#)]])</f>
        <v>1233620.06</v>
      </c>
      <c r="AT137" s="538">
        <f>IF(Table159[[#This Row],[Approved Construction Cost]]=0,0,Table159[[#This Row],[Approved Construction Cost]]-Table159[[#This Row],[Construction Cost to Bill From]])</f>
        <v>376557.42000000004</v>
      </c>
      <c r="AU137" s="538">
        <f>IFERROR(Table159[[#This Row],[Difference in Construction Cost]]*Table159[[#This Row],[Rate]],Table159[[#This Row],[Difference in Construction Cost]]*0.085)</f>
        <v>37655.742000000006</v>
      </c>
      <c r="AV137" s="804">
        <v>1470</v>
      </c>
      <c r="AW137" s="660" t="s">
        <v>6850</v>
      </c>
      <c r="AX137" s="555"/>
      <c r="AY137" s="636" t="s">
        <v>709</v>
      </c>
      <c r="AZ137" s="443">
        <v>112</v>
      </c>
      <c r="BA137" s="651" t="s">
        <v>1699</v>
      </c>
      <c r="BB137" s="644" t="s">
        <v>870</v>
      </c>
      <c r="BC137" s="479" t="s">
        <v>116</v>
      </c>
      <c r="BD137" s="554" t="s">
        <v>882</v>
      </c>
      <c r="BE137" s="588" t="s">
        <v>1700</v>
      </c>
      <c r="BF137" s="588" t="s">
        <v>709</v>
      </c>
      <c r="BG137" s="483" t="s">
        <v>709</v>
      </c>
      <c r="BH137" s="615" t="s">
        <v>1701</v>
      </c>
      <c r="BI137" s="535" t="s">
        <v>709</v>
      </c>
      <c r="BJ137" s="549" t="s">
        <v>709</v>
      </c>
      <c r="BK137" s="547" t="s">
        <v>709</v>
      </c>
      <c r="BL137" s="547" t="s">
        <v>116</v>
      </c>
      <c r="BM137" s="626" t="s">
        <v>709</v>
      </c>
      <c r="BN137" s="549">
        <v>153</v>
      </c>
      <c r="BO137" s="626" t="s">
        <v>709</v>
      </c>
      <c r="BP137" s="626" t="s">
        <v>709</v>
      </c>
      <c r="BQ137" s="549">
        <v>92</v>
      </c>
      <c r="BR137" s="549">
        <v>61</v>
      </c>
      <c r="BS137" s="549" t="s">
        <v>709</v>
      </c>
      <c r="BT137" s="549" t="s">
        <v>709</v>
      </c>
      <c r="BU137" s="549" t="s">
        <v>709</v>
      </c>
      <c r="BV137" s="549" t="s">
        <v>709</v>
      </c>
      <c r="BW137" s="549" t="s">
        <v>709</v>
      </c>
      <c r="BX137" s="547" t="s">
        <v>709</v>
      </c>
      <c r="BY137" s="549" t="s">
        <v>709</v>
      </c>
      <c r="BZ137" s="483"/>
    </row>
    <row r="138" spans="1:78" ht="15" hidden="1" customHeight="1" x14ac:dyDescent="0.25">
      <c r="A138" s="8" t="s">
        <v>800</v>
      </c>
      <c r="B138" s="8" t="s">
        <v>4</v>
      </c>
      <c r="C138" s="8" t="s">
        <v>1843</v>
      </c>
      <c r="D138" s="8" t="s">
        <v>1844</v>
      </c>
      <c r="E138" s="8" t="s">
        <v>1845</v>
      </c>
      <c r="F138" s="8" t="s">
        <v>1102</v>
      </c>
      <c r="G138" s="8" t="s">
        <v>27</v>
      </c>
      <c r="H138" s="8" t="s">
        <v>59</v>
      </c>
      <c r="I138" s="642">
        <v>45328</v>
      </c>
      <c r="J138" s="18">
        <v>45474</v>
      </c>
      <c r="K138" s="97">
        <v>45469</v>
      </c>
      <c r="L138" s="16">
        <f>IF(ISTEXT(Table159[[#This Row],[Engineering Approved Design Date]]),Table159[[#This Row],[Date Completed]]-Table159[[#This Row],[Date Assigned to Designer]],Table159[[#This Row],[Engineering Approved Design Date]]-Table159[[#This Row],[Date Completed]])</f>
        <v>5</v>
      </c>
      <c r="M138" s="642"/>
      <c r="N138" s="99" t="s">
        <v>120</v>
      </c>
      <c r="O138" s="510">
        <v>45504</v>
      </c>
      <c r="P138" s="221" t="s">
        <v>739</v>
      </c>
      <c r="Q138" s="70">
        <f>Table159[[#This Row],[Rate]]*Table159[[#This Row],[Construction Cost to Bill From]]</f>
        <v>96673.374000000011</v>
      </c>
      <c r="R138" s="75">
        <v>0.1</v>
      </c>
      <c r="U138" s="87"/>
      <c r="V138" s="437">
        <v>712</v>
      </c>
      <c r="W138" s="437">
        <v>0</v>
      </c>
      <c r="X138" s="24">
        <v>881604.73</v>
      </c>
      <c r="Y138" s="551"/>
      <c r="Z138" s="552">
        <v>85129.01</v>
      </c>
      <c r="AA138" s="300">
        <f>SUM(Table159[[#This Row],[PCTS Investment Amount]:[PCTS Retirement Amount]])</f>
        <v>966733.74</v>
      </c>
      <c r="AB138" s="207">
        <v>45456</v>
      </c>
      <c r="AC138" s="22" t="s">
        <v>116</v>
      </c>
      <c r="AD138" s="22" t="s">
        <v>116</v>
      </c>
      <c r="AE138" s="187" t="s">
        <v>116</v>
      </c>
      <c r="AF138" s="568" t="s">
        <v>116</v>
      </c>
      <c r="AG138" s="568" t="s">
        <v>116</v>
      </c>
      <c r="AH138" s="356">
        <v>45567</v>
      </c>
      <c r="AI138" s="426">
        <v>37330</v>
      </c>
      <c r="AJ138" s="542">
        <v>8730</v>
      </c>
      <c r="AK138" s="542">
        <v>0</v>
      </c>
      <c r="AL138" s="1241">
        <f>SUM(Table159[[#This Row],[Nicor Initiated DBE]:[Staffing]])/(Table159[[#This Row],[Amount Invoiced]])</f>
        <v>0.4764496995832585</v>
      </c>
      <c r="AM138" s="21" t="s">
        <v>116</v>
      </c>
      <c r="AN138" s="801">
        <v>45581</v>
      </c>
      <c r="AO138" s="806">
        <v>11091791</v>
      </c>
      <c r="AP138" s="788">
        <v>977551.39</v>
      </c>
      <c r="AQ138" s="788"/>
      <c r="AR138" s="788">
        <v>86344.18</v>
      </c>
      <c r="AS138" s="538">
        <f>IF(Table159[[#This Row],[PCTS Approved]]="N",0,Table159[[#This Row],[Investment Amount (1'#'#'#'#'#)]]+Table159[[#This Row],[Retirement Amount (3'#'#'#'#'#)]])</f>
        <v>1063895.57</v>
      </c>
      <c r="AT138" s="538">
        <f>IF(Table159[[#This Row],[Approved Construction Cost]]=0,0,Table159[[#This Row],[Approved Construction Cost]]-Table159[[#This Row],[Construction Cost to Bill From]])</f>
        <v>97161.830000000075</v>
      </c>
      <c r="AU138" s="538">
        <f>IFERROR(Table159[[#This Row],[Difference in Construction Cost]]*Table159[[#This Row],[Rate]],Table159[[#This Row],[Difference in Construction Cost]]*0.085)</f>
        <v>9716.1830000000082</v>
      </c>
      <c r="AV138" s="804">
        <v>0</v>
      </c>
      <c r="AW138" s="660" t="s">
        <v>6851</v>
      </c>
      <c r="AX138" s="555"/>
      <c r="AY138" s="636" t="s">
        <v>709</v>
      </c>
      <c r="AZ138" s="443">
        <v>148</v>
      </c>
      <c r="BA138" s="643" t="s">
        <v>1846</v>
      </c>
      <c r="BB138" s="644" t="s">
        <v>870</v>
      </c>
      <c r="BC138" s="479" t="s">
        <v>877</v>
      </c>
      <c r="BD138" s="559" t="s">
        <v>882</v>
      </c>
      <c r="BE138" s="554" t="s">
        <v>1847</v>
      </c>
      <c r="BF138" s="588" t="s">
        <v>709</v>
      </c>
      <c r="BG138" s="612" t="s">
        <v>709</v>
      </c>
      <c r="BH138" s="615" t="s">
        <v>1848</v>
      </c>
      <c r="BI138" s="535" t="s">
        <v>709</v>
      </c>
      <c r="BJ138" s="547" t="s">
        <v>709</v>
      </c>
      <c r="BK138" s="547" t="s">
        <v>116</v>
      </c>
      <c r="BL138" s="547" t="s">
        <v>116</v>
      </c>
      <c r="BM138" s="547" t="s">
        <v>709</v>
      </c>
      <c r="BN138" s="547" t="s">
        <v>709</v>
      </c>
      <c r="BO138" s="547" t="s">
        <v>709</v>
      </c>
      <c r="BP138" s="626">
        <v>328</v>
      </c>
      <c r="BQ138" s="626">
        <v>167</v>
      </c>
      <c r="BR138" s="549">
        <v>221</v>
      </c>
      <c r="BS138" s="549" t="s">
        <v>709</v>
      </c>
      <c r="BT138" s="547" t="s">
        <v>745</v>
      </c>
      <c r="BU138" s="547" t="s">
        <v>745</v>
      </c>
      <c r="BV138" s="547" t="s">
        <v>745</v>
      </c>
      <c r="BW138" s="547" t="s">
        <v>745</v>
      </c>
      <c r="BX138" s="547" t="s">
        <v>745</v>
      </c>
      <c r="BY138" s="547" t="s">
        <v>745</v>
      </c>
      <c r="BZ138" s="483"/>
    </row>
    <row r="139" spans="1:78" ht="15" hidden="1" customHeight="1" x14ac:dyDescent="0.25">
      <c r="A139" s="8">
        <v>2023</v>
      </c>
      <c r="B139" s="8" t="s">
        <v>4</v>
      </c>
      <c r="C139" s="8" t="s">
        <v>414</v>
      </c>
      <c r="D139" s="8" t="s">
        <v>1620</v>
      </c>
      <c r="E139" s="8" t="s">
        <v>415</v>
      </c>
      <c r="F139" s="8" t="s">
        <v>784</v>
      </c>
      <c r="G139" s="8" t="s">
        <v>25</v>
      </c>
      <c r="H139" s="8" t="s">
        <v>59</v>
      </c>
      <c r="I139" s="642">
        <v>44946</v>
      </c>
      <c r="J139" s="18">
        <v>45156</v>
      </c>
      <c r="K139" s="97">
        <v>45155</v>
      </c>
      <c r="L139" s="16">
        <f>IF(ISTEXT(Table159[[#This Row],[Engineering Approved Design Date]]),Table159[[#This Row],[Date Completed]]-Table159[[#This Row],[Date Assigned to Designer]],Table159[[#This Row],[Engineering Approved Design Date]]-Table159[[#This Row],[Date Completed]])</f>
        <v>1</v>
      </c>
      <c r="M139" s="642"/>
      <c r="N139" s="642" t="s">
        <v>120</v>
      </c>
      <c r="O139" s="510">
        <v>45170</v>
      </c>
      <c r="P139" s="221" t="s">
        <v>739</v>
      </c>
      <c r="Q139" s="70">
        <f>Table159[[#This Row],[Rate]]*Table159[[#This Row],[Construction Cost to Bill From]]</f>
        <v>125752.53700000001</v>
      </c>
      <c r="R139" s="75">
        <v>0.1</v>
      </c>
      <c r="U139" s="87"/>
      <c r="V139" s="437">
        <v>1441</v>
      </c>
      <c r="W139" s="437">
        <v>0</v>
      </c>
      <c r="X139" s="24">
        <v>1112669.8700000001</v>
      </c>
      <c r="Y139" s="551"/>
      <c r="Z139" s="570">
        <v>144855.5</v>
      </c>
      <c r="AA139" s="300">
        <f>SUM(Table159[[#This Row],[PCTS Investment Amount]:[PCTS Retirement Amount]])</f>
        <v>1257525.3700000001</v>
      </c>
      <c r="AB139" s="207">
        <v>45125</v>
      </c>
      <c r="AC139" s="108" t="s">
        <v>116</v>
      </c>
      <c r="AD139" s="108" t="s">
        <v>29</v>
      </c>
      <c r="AE139" s="187" t="s">
        <v>756</v>
      </c>
      <c r="AF139" s="568" t="s">
        <v>116</v>
      </c>
      <c r="AG139" s="568" t="s">
        <v>116</v>
      </c>
      <c r="AH139" s="356">
        <v>45160</v>
      </c>
      <c r="AI139" s="489"/>
      <c r="AJ139" s="553"/>
      <c r="AK139" s="553"/>
      <c r="AL139" s="1363"/>
      <c r="AM139" s="21" t="s">
        <v>116</v>
      </c>
      <c r="AN139" s="801">
        <v>45642</v>
      </c>
      <c r="AO139" s="806">
        <v>11092315</v>
      </c>
      <c r="AP139" s="788">
        <v>1087444.94</v>
      </c>
      <c r="AQ139" s="788"/>
      <c r="AR139" s="788">
        <v>146759.64000000001</v>
      </c>
      <c r="AS139" s="538">
        <f>IF(Table159[[#This Row],[PCTS Approved]]="N",0,Table159[[#This Row],[Investment Amount (1'#'#'#'#'#)]]+Table159[[#This Row],[Retirement Amount (3'#'#'#'#'#)]])</f>
        <v>1234204.58</v>
      </c>
      <c r="AT139" s="538">
        <f>IF(Table159[[#This Row],[Approved Construction Cost]]=0,0,Table159[[#This Row],[Approved Construction Cost]]-Table159[[#This Row],[Construction Cost to Bill From]])</f>
        <v>-23320.790000000037</v>
      </c>
      <c r="AU139" s="538">
        <f>IFERROR(Table159[[#This Row],[Difference in Construction Cost]]*Table159[[#This Row],[Rate]],Table159[[#This Row],[Difference in Construction Cost]]*0.085)</f>
        <v>-2332.0790000000038</v>
      </c>
      <c r="AV139" s="718">
        <v>4732.5</v>
      </c>
      <c r="AW139" s="686" t="s">
        <v>6852</v>
      </c>
      <c r="AX139" s="538"/>
      <c r="AY139" s="636" t="s">
        <v>709</v>
      </c>
      <c r="AZ139" s="443">
        <v>96</v>
      </c>
      <c r="BA139" s="659" t="s">
        <v>1621</v>
      </c>
      <c r="BB139" s="653" t="s">
        <v>870</v>
      </c>
      <c r="BC139" s="478" t="s">
        <v>116</v>
      </c>
      <c r="BD139" s="544" t="s">
        <v>709</v>
      </c>
      <c r="BE139" s="559" t="s">
        <v>1622</v>
      </c>
      <c r="BF139" s="554" t="s">
        <v>709</v>
      </c>
      <c r="BG139" s="483" t="s">
        <v>709</v>
      </c>
      <c r="BH139" s="749"/>
      <c r="BI139" s="535" t="s">
        <v>709</v>
      </c>
      <c r="BJ139" s="547" t="s">
        <v>709</v>
      </c>
      <c r="BK139" s="547" t="s">
        <v>709</v>
      </c>
      <c r="BL139" s="547" t="s">
        <v>116</v>
      </c>
      <c r="BM139" s="547" t="s">
        <v>709</v>
      </c>
      <c r="BN139" s="547" t="s">
        <v>709</v>
      </c>
      <c r="BO139" s="547" t="s">
        <v>709</v>
      </c>
      <c r="BP139" s="547">
        <v>723</v>
      </c>
      <c r="BQ139" s="547">
        <v>591</v>
      </c>
      <c r="BR139" s="547" t="s">
        <v>709</v>
      </c>
      <c r="BS139" s="547">
        <v>127</v>
      </c>
      <c r="BT139" s="547" t="s">
        <v>709</v>
      </c>
      <c r="BU139" s="547" t="s">
        <v>709</v>
      </c>
      <c r="BV139" s="547" t="s">
        <v>745</v>
      </c>
      <c r="BW139" s="547" t="s">
        <v>709</v>
      </c>
      <c r="BX139" s="547" t="s">
        <v>709</v>
      </c>
      <c r="BY139" s="547" t="s">
        <v>709</v>
      </c>
      <c r="BZ139" s="483"/>
    </row>
    <row r="140" spans="1:78" ht="15" hidden="1" customHeight="1" x14ac:dyDescent="0.25">
      <c r="A140" s="8" t="s">
        <v>749</v>
      </c>
      <c r="B140" s="8" t="s">
        <v>4</v>
      </c>
      <c r="C140" s="8" t="s">
        <v>1663</v>
      </c>
      <c r="D140" s="8" t="s">
        <v>1664</v>
      </c>
      <c r="E140" s="8" t="s">
        <v>1665</v>
      </c>
      <c r="F140" s="8" t="s">
        <v>784</v>
      </c>
      <c r="G140" s="8" t="s">
        <v>25</v>
      </c>
      <c r="H140" s="8" t="s">
        <v>413</v>
      </c>
      <c r="I140" s="642">
        <v>45064</v>
      </c>
      <c r="J140" s="18">
        <v>45247</v>
      </c>
      <c r="K140" s="97">
        <v>45246</v>
      </c>
      <c r="L140" s="649">
        <f>IF(ISTEXT(Table159[[#This Row],[Engineering Approved Design Date]]),Table159[[#This Row],[Date Completed]]-Table159[[#This Row],[Date Assigned to Designer]],Table159[[#This Row],[Engineering Approved Design Date]]-Table159[[#This Row],[Date Completed]])</f>
        <v>1</v>
      </c>
      <c r="M140" s="642"/>
      <c r="N140" s="642" t="s">
        <v>120</v>
      </c>
      <c r="O140" s="510">
        <v>45261</v>
      </c>
      <c r="P140" s="221" t="s">
        <v>739</v>
      </c>
      <c r="Q140" s="70">
        <f>Table159[[#This Row],[Rate]]*Table159[[#This Row],[Construction Cost to Bill From]]</f>
        <v>69581.989000000001</v>
      </c>
      <c r="R140" s="75">
        <v>0.1</v>
      </c>
      <c r="U140" s="87"/>
      <c r="V140" s="437">
        <v>1144</v>
      </c>
      <c r="W140" s="437">
        <v>0</v>
      </c>
      <c r="X140" s="24">
        <v>256271.07</v>
      </c>
      <c r="Y140" s="551"/>
      <c r="Z140" s="552">
        <v>439548.82</v>
      </c>
      <c r="AA140" s="300">
        <f>SUM(Table159[[#This Row],[PCTS Investment Amount]:[PCTS Retirement Amount]])</f>
        <v>695819.89</v>
      </c>
      <c r="AB140" s="207">
        <v>45180</v>
      </c>
      <c r="AC140" s="108" t="s">
        <v>709</v>
      </c>
      <c r="AD140" s="108" t="s">
        <v>29</v>
      </c>
      <c r="AE140" s="187" t="s">
        <v>116</v>
      </c>
      <c r="AF140" s="568" t="s">
        <v>756</v>
      </c>
      <c r="AG140" s="575" t="s">
        <v>376</v>
      </c>
      <c r="AH140" s="356">
        <v>45308</v>
      </c>
      <c r="AI140" s="489"/>
      <c r="AJ140" s="553"/>
      <c r="AK140" s="553"/>
      <c r="AL140" s="1363"/>
      <c r="AM140" s="21" t="s">
        <v>116</v>
      </c>
      <c r="AN140" s="801">
        <v>45581</v>
      </c>
      <c r="AO140" s="806">
        <v>11092386</v>
      </c>
      <c r="AP140" s="788">
        <v>71911.88</v>
      </c>
      <c r="AQ140" s="788"/>
      <c r="AR140" s="788">
        <v>72890.320000000007</v>
      </c>
      <c r="AS140" s="538">
        <f>IF(Table159[[#This Row],[PCTS Approved]]="N",0,Table159[[#This Row],[Investment Amount (1'#'#'#'#'#)]]+Table159[[#This Row],[Retirement Amount (3'#'#'#'#'#)]])</f>
        <v>144802.20000000001</v>
      </c>
      <c r="AT140" s="538">
        <f>IF(Table159[[#This Row],[Approved Construction Cost]]=0,0,Table159[[#This Row],[Approved Construction Cost]]-Table159[[#This Row],[Construction Cost to Bill From]])</f>
        <v>-551017.68999999994</v>
      </c>
      <c r="AU140" s="538">
        <f>IFERROR(Table159[[#This Row],[Difference in Construction Cost]]*Table159[[#This Row],[Rate]],Table159[[#This Row],[Difference in Construction Cost]]*0.085)</f>
        <v>-55101.769</v>
      </c>
      <c r="AV140" s="718">
        <v>0</v>
      </c>
      <c r="AW140" s="660" t="s">
        <v>6853</v>
      </c>
      <c r="AX140" s="555"/>
      <c r="AY140" s="636" t="s">
        <v>709</v>
      </c>
      <c r="AZ140" s="443">
        <v>105</v>
      </c>
      <c r="BA140" s="651" t="s">
        <v>1666</v>
      </c>
      <c r="BB140" s="644" t="s">
        <v>870</v>
      </c>
      <c r="BC140" s="479" t="s">
        <v>709</v>
      </c>
      <c r="BD140" s="554" t="s">
        <v>1626</v>
      </c>
      <c r="BE140" s="588" t="s">
        <v>1667</v>
      </c>
      <c r="BF140" s="588" t="s">
        <v>709</v>
      </c>
      <c r="BG140" s="483"/>
      <c r="BH140" s="741" t="s">
        <v>1668</v>
      </c>
      <c r="BI140" s="535" t="s">
        <v>709</v>
      </c>
      <c r="BJ140" s="547" t="s">
        <v>709</v>
      </c>
      <c r="BK140" s="547" t="s">
        <v>709</v>
      </c>
      <c r="BL140" s="547" t="s">
        <v>116</v>
      </c>
      <c r="BM140" s="547" t="s">
        <v>709</v>
      </c>
      <c r="BN140" s="547" t="s">
        <v>709</v>
      </c>
      <c r="BO140" s="547" t="s">
        <v>709</v>
      </c>
      <c r="BP140" s="547" t="s">
        <v>709</v>
      </c>
      <c r="BQ140" s="547">
        <v>7663</v>
      </c>
      <c r="BR140" s="547">
        <v>1674</v>
      </c>
      <c r="BS140" s="547">
        <v>2204</v>
      </c>
      <c r="BT140" s="547" t="s">
        <v>709</v>
      </c>
      <c r="BU140" s="547" t="s">
        <v>709</v>
      </c>
      <c r="BV140" s="547" t="s">
        <v>709</v>
      </c>
      <c r="BW140" s="547" t="s">
        <v>709</v>
      </c>
      <c r="BX140" s="547" t="s">
        <v>745</v>
      </c>
      <c r="BY140" s="547" t="s">
        <v>709</v>
      </c>
      <c r="BZ140" s="483"/>
    </row>
    <row r="141" spans="1:78" ht="15" hidden="1" customHeight="1" x14ac:dyDescent="0.25">
      <c r="A141" s="8">
        <v>2024</v>
      </c>
      <c r="B141" s="8" t="s">
        <v>4</v>
      </c>
      <c r="C141" s="8" t="s">
        <v>1821</v>
      </c>
      <c r="D141" s="8" t="s">
        <v>1822</v>
      </c>
      <c r="E141" s="8" t="s">
        <v>1154</v>
      </c>
      <c r="F141" s="8" t="s">
        <v>1102</v>
      </c>
      <c r="G141" s="8" t="s">
        <v>26</v>
      </c>
      <c r="H141" s="8" t="s">
        <v>59</v>
      </c>
      <c r="I141" s="642">
        <v>45348</v>
      </c>
      <c r="J141" s="777">
        <v>45457</v>
      </c>
      <c r="K141" s="97">
        <v>45448</v>
      </c>
      <c r="L141" s="16">
        <f>IF(ISTEXT(Table159[[#This Row],[Engineering Approved Design Date]]),Table159[[#This Row],[Date Completed]]-Table159[[#This Row],[Date Assigned to Designer]],Table159[[#This Row],[Engineering Approved Design Date]]-Table159[[#This Row],[Date Completed]])</f>
        <v>9</v>
      </c>
      <c r="M141" s="16"/>
      <c r="N141" s="642" t="s">
        <v>120</v>
      </c>
      <c r="O141" s="510">
        <v>45444</v>
      </c>
      <c r="P141" s="221" t="s">
        <v>739</v>
      </c>
      <c r="Q141" s="70">
        <f>Table159[[#This Row],[Rate]]*Table159[[#This Row],[Construction Cost to Bill From]]</f>
        <v>45482.546000000002</v>
      </c>
      <c r="R141" s="75">
        <v>0.1</v>
      </c>
      <c r="U141" s="87"/>
      <c r="V141" s="437">
        <v>1529</v>
      </c>
      <c r="W141" s="437">
        <v>0</v>
      </c>
      <c r="X141" s="24">
        <v>401411.53</v>
      </c>
      <c r="Y141" s="551"/>
      <c r="Z141" s="552">
        <v>53413.93</v>
      </c>
      <c r="AA141" s="300">
        <f>SUM(Table159[[#This Row],[PCTS Investment Amount]:[PCTS Retirement Amount]])</f>
        <v>454825.46</v>
      </c>
      <c r="AB141" s="207">
        <v>45422</v>
      </c>
      <c r="AC141" s="22" t="s">
        <v>709</v>
      </c>
      <c r="AD141" s="22" t="s">
        <v>29</v>
      </c>
      <c r="AE141" s="359" t="s">
        <v>116</v>
      </c>
      <c r="AF141" s="569" t="s">
        <v>116</v>
      </c>
      <c r="AG141" s="569" t="s">
        <v>116</v>
      </c>
      <c r="AH141" s="356">
        <v>45525</v>
      </c>
      <c r="AI141" s="426"/>
      <c r="AJ141" s="542">
        <v>4200</v>
      </c>
      <c r="AK141" s="542">
        <v>8015.75</v>
      </c>
      <c r="AL141" s="493">
        <f>SUM(Table159[[#This Row],[Nicor Initiated DBE]:[Staffing]])/(Table159[[#This Row],[Amount Invoiced]])</f>
        <v>0.26858105084970396</v>
      </c>
      <c r="AM141" s="21" t="s">
        <v>116</v>
      </c>
      <c r="AN141" s="680" t="s">
        <v>709</v>
      </c>
      <c r="AO141" s="681"/>
      <c r="AP141" s="682"/>
      <c r="AQ141" s="682"/>
      <c r="AR141" s="682"/>
      <c r="AS141" s="538">
        <f>IF(Table159[[#This Row],[PCTS Approved]]="N",0,Table159[[#This Row],[Investment Amount (1'#'#'#'#'#)]]+Table159[[#This Row],[Retirement Amount (3'#'#'#'#'#)]])</f>
        <v>0</v>
      </c>
      <c r="AT141" s="538">
        <f>IF(Table159[[#This Row],[Approved Construction Cost]]=0,0,Table159[[#This Row],[Approved Construction Cost]]-Table159[[#This Row],[Construction Cost to Bill From]])</f>
        <v>0</v>
      </c>
      <c r="AU141" s="538">
        <f>IFERROR(Table159[[#This Row],[Difference in Construction Cost]]*Table159[[#This Row],[Rate]],Table159[[#This Row],[Difference in Construction Cost]]*0.085)</f>
        <v>0</v>
      </c>
      <c r="AV141" s="690"/>
      <c r="AW141" s="660"/>
      <c r="AX141" s="555"/>
      <c r="AY141" s="636" t="s">
        <v>709</v>
      </c>
      <c r="AZ141" s="443">
        <v>143</v>
      </c>
      <c r="BA141" s="643" t="s">
        <v>1823</v>
      </c>
      <c r="BB141" s="644" t="s">
        <v>1092</v>
      </c>
      <c r="BC141" s="479" t="s">
        <v>877</v>
      </c>
      <c r="BD141" s="554" t="s">
        <v>709</v>
      </c>
      <c r="BE141" s="588" t="s">
        <v>709</v>
      </c>
      <c r="BF141" s="588" t="s">
        <v>1381</v>
      </c>
      <c r="BG141" s="483" t="s">
        <v>709</v>
      </c>
      <c r="BH141" s="615" t="s">
        <v>1824</v>
      </c>
      <c r="BI141" s="535" t="s">
        <v>709</v>
      </c>
      <c r="BJ141" s="547" t="s">
        <v>709</v>
      </c>
      <c r="BK141" s="547" t="s">
        <v>709</v>
      </c>
      <c r="BL141" s="547" t="s">
        <v>116</v>
      </c>
      <c r="BM141" s="547" t="s">
        <v>709</v>
      </c>
      <c r="BN141" s="547" t="s">
        <v>709</v>
      </c>
      <c r="BO141" s="547" t="s">
        <v>709</v>
      </c>
      <c r="BP141" s="547" t="s">
        <v>709</v>
      </c>
      <c r="BQ141" s="547" t="s">
        <v>709</v>
      </c>
      <c r="BR141" s="549">
        <v>273</v>
      </c>
      <c r="BS141" s="549">
        <v>1256</v>
      </c>
      <c r="BT141" s="547" t="s">
        <v>709</v>
      </c>
      <c r="BU141" s="547" t="s">
        <v>709</v>
      </c>
      <c r="BV141" s="547" t="s">
        <v>709</v>
      </c>
      <c r="BW141" s="547" t="s">
        <v>709</v>
      </c>
      <c r="BX141" s="547" t="s">
        <v>709</v>
      </c>
      <c r="BY141" s="547" t="s">
        <v>709</v>
      </c>
      <c r="BZ141" s="483"/>
    </row>
    <row r="142" spans="1:78" ht="15" hidden="1" customHeight="1" x14ac:dyDescent="0.25">
      <c r="A142" s="8" t="s">
        <v>800</v>
      </c>
      <c r="B142" s="8" t="s">
        <v>4</v>
      </c>
      <c r="C142" s="8" t="s">
        <v>1825</v>
      </c>
      <c r="D142" s="8" t="s">
        <v>1826</v>
      </c>
      <c r="E142" s="8" t="s">
        <v>1827</v>
      </c>
      <c r="F142" s="8" t="s">
        <v>1102</v>
      </c>
      <c r="G142" s="8" t="s">
        <v>6854</v>
      </c>
      <c r="H142" s="8" t="s">
        <v>59</v>
      </c>
      <c r="I142" s="642">
        <v>45369</v>
      </c>
      <c r="J142" s="18">
        <v>45450</v>
      </c>
      <c r="K142" s="97">
        <v>45449</v>
      </c>
      <c r="L142" s="16">
        <f>IF(ISTEXT(Table159[[#This Row],[Engineering Approved Design Date]]),Table159[[#This Row],[Date Completed]]-Table159[[#This Row],[Date Assigned to Designer]],Table159[[#This Row],[Engineering Approved Design Date]]-Table159[[#This Row],[Date Completed]])</f>
        <v>1</v>
      </c>
      <c r="M142" s="642"/>
      <c r="N142" s="642" t="s">
        <v>120</v>
      </c>
      <c r="O142" s="510">
        <v>45444</v>
      </c>
      <c r="P142" s="221" t="s">
        <v>739</v>
      </c>
      <c r="Q142" s="70">
        <f>Table159[[#This Row],[Rate]]*Table159[[#This Row],[Construction Cost to Bill From]]</f>
        <v>77953.919000000009</v>
      </c>
      <c r="R142" s="75">
        <v>0.1</v>
      </c>
      <c r="U142" s="87"/>
      <c r="V142" s="437">
        <v>4962</v>
      </c>
      <c r="W142" s="437">
        <v>0</v>
      </c>
      <c r="X142" s="24">
        <v>642426.15</v>
      </c>
      <c r="Y142" s="551"/>
      <c r="Z142" s="552">
        <v>137113.04</v>
      </c>
      <c r="AA142" s="300">
        <f>SUM(Table159[[#This Row],[PCTS Investment Amount]:[PCTS Retirement Amount]])</f>
        <v>779539.19000000006</v>
      </c>
      <c r="AB142" s="207">
        <v>45447</v>
      </c>
      <c r="AC142" s="22" t="s">
        <v>709</v>
      </c>
      <c r="AD142" s="22" t="s">
        <v>29</v>
      </c>
      <c r="AE142" s="187" t="s">
        <v>116</v>
      </c>
      <c r="AF142" s="568" t="s">
        <v>116</v>
      </c>
      <c r="AG142" s="568" t="s">
        <v>376</v>
      </c>
      <c r="AH142" s="356">
        <v>45525</v>
      </c>
      <c r="AI142" s="426">
        <v>0</v>
      </c>
      <c r="AJ142" s="542">
        <v>5525</v>
      </c>
      <c r="AK142" s="542">
        <v>7000</v>
      </c>
      <c r="AL142" s="493">
        <f>SUM(Table159[[#This Row],[Nicor Initiated DBE]:[Staffing]])/(Table159[[#This Row],[Amount Invoiced]])</f>
        <v>0.16067184511916582</v>
      </c>
      <c r="AM142" s="21" t="s">
        <v>116</v>
      </c>
      <c r="AN142" s="680" t="s">
        <v>709</v>
      </c>
      <c r="AO142" s="681"/>
      <c r="AP142" s="682"/>
      <c r="AQ142" s="682"/>
      <c r="AR142" s="682"/>
      <c r="AS142" s="538">
        <f>IF(Table159[[#This Row],[PCTS Approved]]="N",0,Table159[[#This Row],[Investment Amount (1'#'#'#'#'#)]]+Table159[[#This Row],[Retirement Amount (3'#'#'#'#'#)]])</f>
        <v>0</v>
      </c>
      <c r="AT142" s="538">
        <f>IF(Table159[[#This Row],[Approved Construction Cost]]=0,0,Table159[[#This Row],[Approved Construction Cost]]-Table159[[#This Row],[Construction Cost to Bill From]])</f>
        <v>0</v>
      </c>
      <c r="AU142" s="538">
        <f>IFERROR(Table159[[#This Row],[Difference in Construction Cost]]*Table159[[#This Row],[Rate]],Table159[[#This Row],[Difference in Construction Cost]]*0.085)</f>
        <v>0</v>
      </c>
      <c r="AV142" s="682"/>
      <c r="AW142" s="660"/>
      <c r="AX142" s="555"/>
      <c r="AY142" s="636" t="s">
        <v>709</v>
      </c>
      <c r="AZ142" s="443">
        <v>144</v>
      </c>
      <c r="BA142" s="643" t="s">
        <v>1828</v>
      </c>
      <c r="BB142" s="644" t="s">
        <v>1829</v>
      </c>
      <c r="BC142" s="479" t="s">
        <v>709</v>
      </c>
      <c r="BD142" s="554" t="s">
        <v>757</v>
      </c>
      <c r="BE142" s="588" t="s">
        <v>1830</v>
      </c>
      <c r="BF142" s="588" t="s">
        <v>709</v>
      </c>
      <c r="BG142" s="483" t="s">
        <v>709</v>
      </c>
      <c r="BH142" s="615" t="s">
        <v>1831</v>
      </c>
      <c r="BI142" s="535" t="s">
        <v>709</v>
      </c>
      <c r="BJ142" s="547" t="s">
        <v>709</v>
      </c>
      <c r="BK142" s="547" t="s">
        <v>709</v>
      </c>
      <c r="BL142" s="547" t="s">
        <v>116</v>
      </c>
      <c r="BM142" s="547" t="s">
        <v>709</v>
      </c>
      <c r="BN142" s="547" t="s">
        <v>709</v>
      </c>
      <c r="BO142" s="547" t="s">
        <v>709</v>
      </c>
      <c r="BP142" s="626" t="s">
        <v>709</v>
      </c>
      <c r="BQ142" s="626" t="s">
        <v>709</v>
      </c>
      <c r="BR142" s="549" t="s">
        <v>116</v>
      </c>
      <c r="BS142" s="549" t="s">
        <v>709</v>
      </c>
      <c r="BT142" s="547" t="s">
        <v>709</v>
      </c>
      <c r="BU142" s="547" t="s">
        <v>709</v>
      </c>
      <c r="BV142" s="547" t="s">
        <v>709</v>
      </c>
      <c r="BW142" s="547" t="s">
        <v>709</v>
      </c>
      <c r="BX142" s="547" t="s">
        <v>709</v>
      </c>
      <c r="BY142" s="547" t="s">
        <v>709</v>
      </c>
      <c r="BZ142" s="483" t="s">
        <v>29</v>
      </c>
    </row>
    <row r="143" spans="1:78" ht="15" hidden="1" customHeight="1" x14ac:dyDescent="0.25">
      <c r="A143" s="8" t="s">
        <v>749</v>
      </c>
      <c r="B143" s="8" t="s">
        <v>4</v>
      </c>
      <c r="C143" s="8" t="s">
        <v>1669</v>
      </c>
      <c r="D143" s="8" t="s">
        <v>1670</v>
      </c>
      <c r="E143" s="8" t="s">
        <v>1665</v>
      </c>
      <c r="F143" s="8" t="s">
        <v>784</v>
      </c>
      <c r="G143" s="8" t="s">
        <v>25</v>
      </c>
      <c r="H143" s="8" t="s">
        <v>413</v>
      </c>
      <c r="I143" s="642">
        <v>45064</v>
      </c>
      <c r="J143" s="18">
        <v>45247</v>
      </c>
      <c r="K143" s="97">
        <v>45246</v>
      </c>
      <c r="L143" s="1361">
        <f>IF(ISTEXT(Table159[[#This Row],[Engineering Approved Design Date]]),Table159[[#This Row],[Date Completed]]-Table159[[#This Row],[Date Assigned to Designer]],Table159[[#This Row],[Engineering Approved Design Date]]-Table159[[#This Row],[Date Completed]])</f>
        <v>1</v>
      </c>
      <c r="M143" s="642"/>
      <c r="N143" s="642" t="s">
        <v>120</v>
      </c>
      <c r="O143" s="510">
        <v>45292</v>
      </c>
      <c r="P143" s="221" t="s">
        <v>739</v>
      </c>
      <c r="Q143" s="70">
        <f>Table159[[#This Row],[Rate]]*Table159[[#This Row],[Construction Cost to Bill From]]</f>
        <v>515321.83799999999</v>
      </c>
      <c r="R143" s="75">
        <v>0.1</v>
      </c>
      <c r="U143" s="87"/>
      <c r="V143" s="437">
        <v>11549</v>
      </c>
      <c r="W143" s="437">
        <v>0</v>
      </c>
      <c r="X143" s="556">
        <v>3052987.02</v>
      </c>
      <c r="Y143" s="551"/>
      <c r="Z143" s="570">
        <v>2100231.36</v>
      </c>
      <c r="AA143" s="300">
        <f>SUM(Table159[[#This Row],[PCTS Investment Amount]:[PCTS Retirement Amount]])</f>
        <v>5153218.38</v>
      </c>
      <c r="AB143" s="207">
        <v>45225</v>
      </c>
      <c r="AC143" s="108" t="s">
        <v>709</v>
      </c>
      <c r="AD143" s="108" t="s">
        <v>116</v>
      </c>
      <c r="AE143" s="187" t="s">
        <v>116</v>
      </c>
      <c r="AF143" s="568" t="s">
        <v>116</v>
      </c>
      <c r="AG143" s="568" t="s">
        <v>376</v>
      </c>
      <c r="AH143" s="356">
        <v>45308</v>
      </c>
      <c r="AI143" s="505">
        <v>9850</v>
      </c>
      <c r="AJ143" s="586">
        <v>9217.5</v>
      </c>
      <c r="AK143" s="586">
        <f>3550+1992</f>
        <v>5542</v>
      </c>
      <c r="AL143" s="494">
        <f>SUM(Table159[[#This Row],[Nicor Initiated DBE]:[Staffing]])/(Table159[[#This Row],[Amount Invoiced]])</f>
        <v>4.7755593078514173E-2</v>
      </c>
      <c r="AM143" s="21" t="s">
        <v>116</v>
      </c>
      <c r="AN143" s="801">
        <v>45593</v>
      </c>
      <c r="AO143" s="806">
        <v>11093015</v>
      </c>
      <c r="AP143" s="788">
        <v>3066913.73</v>
      </c>
      <c r="AQ143" s="788"/>
      <c r="AR143" s="788">
        <v>1195583.6499999999</v>
      </c>
      <c r="AS143" s="538">
        <f>IF(Table159[[#This Row],[PCTS Approved]]="N",0,Table159[[#This Row],[Investment Amount (1'#'#'#'#'#)]]+Table159[[#This Row],[Retirement Amount (3'#'#'#'#'#)]])</f>
        <v>4262497.38</v>
      </c>
      <c r="AT143" s="538">
        <f>IF(Table159[[#This Row],[Approved Construction Cost]]=0,0,Table159[[#This Row],[Approved Construction Cost]]-Table159[[#This Row],[Construction Cost to Bill From]])</f>
        <v>-890721</v>
      </c>
      <c r="AU143" s="538">
        <f>IFERROR(Table159[[#This Row],[Difference in Construction Cost]]*Table159[[#This Row],[Rate]],Table159[[#This Row],[Difference in Construction Cost]]*0.085)</f>
        <v>-89072.1</v>
      </c>
      <c r="AV143" s="718">
        <v>26497.5</v>
      </c>
      <c r="AW143" s="660" t="s">
        <v>6855</v>
      </c>
      <c r="AX143" s="555"/>
      <c r="AY143" s="636" t="s">
        <v>709</v>
      </c>
      <c r="AZ143" s="443">
        <v>106</v>
      </c>
      <c r="BA143" s="651" t="s">
        <v>1671</v>
      </c>
      <c r="BB143" s="644" t="s">
        <v>870</v>
      </c>
      <c r="BC143" s="479" t="s">
        <v>709</v>
      </c>
      <c r="BD143" s="554" t="s">
        <v>1626</v>
      </c>
      <c r="BE143" s="588" t="s">
        <v>1667</v>
      </c>
      <c r="BF143" s="588" t="s">
        <v>709</v>
      </c>
      <c r="BG143" s="483" t="s">
        <v>709</v>
      </c>
      <c r="BH143" s="741" t="s">
        <v>1668</v>
      </c>
      <c r="BI143" s="535" t="s">
        <v>709</v>
      </c>
      <c r="BJ143" s="547" t="s">
        <v>709</v>
      </c>
      <c r="BK143" s="547" t="s">
        <v>709</v>
      </c>
      <c r="BL143" s="547" t="s">
        <v>116</v>
      </c>
      <c r="BM143" s="547" t="s">
        <v>709</v>
      </c>
      <c r="BN143" s="547" t="s">
        <v>709</v>
      </c>
      <c r="BO143" s="547" t="s">
        <v>709</v>
      </c>
      <c r="BP143" s="547" t="s">
        <v>709</v>
      </c>
      <c r="BQ143" s="547">
        <v>7665</v>
      </c>
      <c r="BR143" s="547">
        <v>1674</v>
      </c>
      <c r="BS143" s="547">
        <v>2210</v>
      </c>
      <c r="BT143" s="547" t="s">
        <v>709</v>
      </c>
      <c r="BU143" s="547" t="s">
        <v>709</v>
      </c>
      <c r="BV143" s="547" t="s">
        <v>709</v>
      </c>
      <c r="BW143" s="547" t="s">
        <v>709</v>
      </c>
      <c r="BX143" s="547" t="s">
        <v>745</v>
      </c>
      <c r="BY143" s="547" t="s">
        <v>709</v>
      </c>
      <c r="BZ143" s="483"/>
    </row>
    <row r="144" spans="1:78" ht="15" hidden="1" customHeight="1" x14ac:dyDescent="0.25">
      <c r="A144" s="8" t="s">
        <v>800</v>
      </c>
      <c r="B144" s="8" t="s">
        <v>4</v>
      </c>
      <c r="C144" s="8" t="s">
        <v>1838</v>
      </c>
      <c r="D144" s="8" t="s">
        <v>1839</v>
      </c>
      <c r="E144" s="8" t="s">
        <v>1032</v>
      </c>
      <c r="F144" s="8" t="s">
        <v>1102</v>
      </c>
      <c r="G144" s="8" t="s">
        <v>6391</v>
      </c>
      <c r="H144" s="8" t="s">
        <v>413</v>
      </c>
      <c r="I144" s="642">
        <v>45378</v>
      </c>
      <c r="J144" s="18">
        <v>45471</v>
      </c>
      <c r="K144" s="97">
        <v>45461</v>
      </c>
      <c r="L144" s="16">
        <f>IF(ISTEXT(Table159[[#This Row],[Engineering Approved Design Date]]),Table159[[#This Row],[Date Completed]]-Table159[[#This Row],[Date Assigned to Designer]],Table159[[#This Row],[Engineering Approved Design Date]]-Table159[[#This Row],[Date Completed]])</f>
        <v>10</v>
      </c>
      <c r="M144" s="642"/>
      <c r="N144" s="642" t="s">
        <v>120</v>
      </c>
      <c r="O144" s="510">
        <v>45444</v>
      </c>
      <c r="P144" s="221" t="s">
        <v>739</v>
      </c>
      <c r="Q144" s="70">
        <f>Table159[[#This Row],[Rate]]*Table159[[#This Row],[Construction Cost to Bill From]]</f>
        <v>8929.3410000000003</v>
      </c>
      <c r="R144" s="75">
        <v>0.1</v>
      </c>
      <c r="U144" s="87"/>
      <c r="V144" s="437">
        <v>41</v>
      </c>
      <c r="W144" s="437">
        <v>0</v>
      </c>
      <c r="X144" s="24">
        <v>63667.62</v>
      </c>
      <c r="Y144" s="551"/>
      <c r="Z144" s="552">
        <v>25625.79</v>
      </c>
      <c r="AA144" s="300">
        <f>SUM(Table159[[#This Row],[PCTS Investment Amount]:[PCTS Retirement Amount]])</f>
        <v>89293.41</v>
      </c>
      <c r="AB144" s="207">
        <v>45447</v>
      </c>
      <c r="AC144" s="22" t="s">
        <v>709</v>
      </c>
      <c r="AD144" s="22" t="s">
        <v>29</v>
      </c>
      <c r="AE144" s="187" t="s">
        <v>116</v>
      </c>
      <c r="AF144" s="568" t="s">
        <v>116</v>
      </c>
      <c r="AG144" s="568" t="s">
        <v>376</v>
      </c>
      <c r="AH144" s="356">
        <v>45567</v>
      </c>
      <c r="AI144" s="426">
        <v>0</v>
      </c>
      <c r="AJ144" s="542">
        <v>2368.25</v>
      </c>
      <c r="AK144" s="542">
        <v>4483.24</v>
      </c>
      <c r="AL144" s="1241">
        <f>SUM(Table159[[#This Row],[Nicor Initiated DBE]:[Staffing]])/(Table159[[#This Row],[Amount Invoiced]])</f>
        <v>0.76730074481420296</v>
      </c>
      <c r="AM144" s="21" t="s">
        <v>116</v>
      </c>
      <c r="AN144" s="680" t="s">
        <v>709</v>
      </c>
      <c r="AO144" s="681"/>
      <c r="AP144" s="682"/>
      <c r="AQ144" s="682"/>
      <c r="AR144" s="682"/>
      <c r="AS144" s="538">
        <f>IF(Table159[[#This Row],[PCTS Approved]]="N",0,Table159[[#This Row],[Investment Amount (1'#'#'#'#'#)]]+Table159[[#This Row],[Retirement Amount (3'#'#'#'#'#)]])</f>
        <v>0</v>
      </c>
      <c r="AT144" s="538">
        <f>IF(Table159[[#This Row],[Approved Construction Cost]]=0,0,Table159[[#This Row],[Approved Construction Cost]]-Table159[[#This Row],[Construction Cost to Bill From]])</f>
        <v>0</v>
      </c>
      <c r="AU144" s="538">
        <f>IFERROR(Table159[[#This Row],[Difference in Construction Cost]]*Table159[[#This Row],[Rate]],Table159[[#This Row],[Difference in Construction Cost]]*0.085)</f>
        <v>0</v>
      </c>
      <c r="AV144" s="690"/>
      <c r="AW144" s="660"/>
      <c r="AX144" s="555"/>
      <c r="AY144" s="636" t="s">
        <v>709</v>
      </c>
      <c r="AZ144" s="443">
        <v>146</v>
      </c>
      <c r="BA144" s="651" t="s">
        <v>1840</v>
      </c>
      <c r="BB144" s="644" t="s">
        <v>1035</v>
      </c>
      <c r="BC144" s="479" t="s">
        <v>709</v>
      </c>
      <c r="BD144" s="554" t="s">
        <v>709</v>
      </c>
      <c r="BE144" s="588" t="s">
        <v>1841</v>
      </c>
      <c r="BF144" s="588" t="s">
        <v>709</v>
      </c>
      <c r="BG144" s="483" t="s">
        <v>709</v>
      </c>
      <c r="BH144" s="615" t="s">
        <v>1842</v>
      </c>
      <c r="BI144" s="535" t="s">
        <v>709</v>
      </c>
      <c r="BJ144" s="547" t="s">
        <v>709</v>
      </c>
      <c r="BK144" s="547" t="s">
        <v>709</v>
      </c>
      <c r="BL144" s="547" t="s">
        <v>116</v>
      </c>
      <c r="BM144" s="547" t="s">
        <v>709</v>
      </c>
      <c r="BN144" s="547" t="s">
        <v>709</v>
      </c>
      <c r="BO144" s="547" t="s">
        <v>709</v>
      </c>
      <c r="BP144" s="547" t="s">
        <v>709</v>
      </c>
      <c r="BQ144" s="547" t="s">
        <v>709</v>
      </c>
      <c r="BR144" s="547" t="s">
        <v>709</v>
      </c>
      <c r="BS144" s="549">
        <v>41</v>
      </c>
      <c r="BT144" s="547" t="s">
        <v>745</v>
      </c>
      <c r="BU144" s="547" t="s">
        <v>745</v>
      </c>
      <c r="BV144" s="547" t="s">
        <v>745</v>
      </c>
      <c r="BW144" s="547" t="s">
        <v>745</v>
      </c>
      <c r="BX144" s="547" t="s">
        <v>745</v>
      </c>
      <c r="BY144" s="547" t="s">
        <v>745</v>
      </c>
      <c r="BZ144" s="514"/>
    </row>
    <row r="145" spans="1:78" ht="15" hidden="1" customHeight="1" x14ac:dyDescent="0.25">
      <c r="A145" s="8" t="s">
        <v>800</v>
      </c>
      <c r="B145" s="8" t="s">
        <v>4</v>
      </c>
      <c r="C145" s="8" t="s">
        <v>1122</v>
      </c>
      <c r="D145" s="8" t="s">
        <v>1123</v>
      </c>
      <c r="E145" s="8" t="s">
        <v>910</v>
      </c>
      <c r="F145" s="8" t="s">
        <v>784</v>
      </c>
      <c r="G145" s="8" t="s">
        <v>25</v>
      </c>
      <c r="H145" s="8" t="s">
        <v>59</v>
      </c>
      <c r="I145" s="642">
        <v>45336</v>
      </c>
      <c r="J145" s="18">
        <v>45443</v>
      </c>
      <c r="K145" s="97">
        <v>45418</v>
      </c>
      <c r="L145" s="16">
        <f>IF(ISTEXT(Table159[[#This Row],[Engineering Approved Design Date]]),Table159[[#This Row],[Date Completed]]-Table159[[#This Row],[Date Assigned to Designer]],Table159[[#This Row],[Engineering Approved Design Date]]-Table159[[#This Row],[Date Completed]])</f>
        <v>25</v>
      </c>
      <c r="M145" s="642"/>
      <c r="N145" s="642" t="s">
        <v>120</v>
      </c>
      <c r="O145" s="510">
        <v>45413</v>
      </c>
      <c r="P145" s="221" t="s">
        <v>739</v>
      </c>
      <c r="Q145" s="70">
        <f>Table159[[#This Row],[Rate]]*Table159[[#This Row],[Construction Cost to Bill From]]</f>
        <v>33373.732000000004</v>
      </c>
      <c r="R145" s="75">
        <v>0.1</v>
      </c>
      <c r="U145" s="87"/>
      <c r="V145" s="437">
        <v>368</v>
      </c>
      <c r="W145" s="437">
        <v>0</v>
      </c>
      <c r="X145" s="24">
        <v>279430.8</v>
      </c>
      <c r="Y145" s="551"/>
      <c r="Z145" s="552">
        <v>54306.52</v>
      </c>
      <c r="AA145" s="300">
        <f>SUM(Table159[[#This Row],[PCTS Investment Amount]:[PCTS Retirement Amount]])</f>
        <v>333737.32</v>
      </c>
      <c r="AB145" s="207">
        <v>45414</v>
      </c>
      <c r="AC145" s="22" t="s">
        <v>29</v>
      </c>
      <c r="AD145" s="22" t="s">
        <v>29</v>
      </c>
      <c r="AE145" s="187" t="s">
        <v>116</v>
      </c>
      <c r="AF145" s="568" t="s">
        <v>29</v>
      </c>
      <c r="AG145" s="568" t="s">
        <v>376</v>
      </c>
      <c r="AH145" s="356">
        <v>45475</v>
      </c>
      <c r="AI145" s="426">
        <v>0</v>
      </c>
      <c r="AJ145" s="542">
        <f>36250+706.5</f>
        <v>36956.5</v>
      </c>
      <c r="AK145" s="542">
        <f>777</f>
        <v>777</v>
      </c>
      <c r="AL145" s="1241">
        <f>SUM(Table159[[#This Row],[Nicor Initiated DBE]:[Staffing]])/(Table159[[#This Row],[Amount Invoiced]])</f>
        <v>1.1306347159496575</v>
      </c>
      <c r="AM145" s="21" t="s">
        <v>116</v>
      </c>
      <c r="AN145" s="801">
        <v>45482</v>
      </c>
      <c r="AO145" s="806">
        <v>11085898</v>
      </c>
      <c r="AP145" s="788">
        <v>284240.23</v>
      </c>
      <c r="AQ145" s="788"/>
      <c r="AR145" s="788">
        <v>55608.68</v>
      </c>
      <c r="AS145" s="538">
        <f>IF(Table159[[#This Row],[PCTS Approved]]="N",0,Table159[[#This Row],[Investment Amount (1'#'#'#'#'#)]]+Table159[[#This Row],[Retirement Amount (3'#'#'#'#'#)]])</f>
        <v>339848.91</v>
      </c>
      <c r="AT145" s="538">
        <f>IF(Table159[[#This Row],[Approved Construction Cost]]=0,0,Table159[[#This Row],[Approved Construction Cost]]-Table159[[#This Row],[Construction Cost to Bill From]])</f>
        <v>6111.5899999999674</v>
      </c>
      <c r="AU145" s="538">
        <f>IFERROR(Table159[[#This Row],[Difference in Construction Cost]]*Table159[[#This Row],[Rate]],Table159[[#This Row],[Difference in Construction Cost]]*0.085)</f>
        <v>611.15899999999681</v>
      </c>
      <c r="AV145" s="718">
        <v>0</v>
      </c>
      <c r="AW145" s="660" t="s">
        <v>3416</v>
      </c>
      <c r="AX145" s="555"/>
      <c r="AY145" s="636" t="s">
        <v>709</v>
      </c>
      <c r="AZ145" s="443">
        <v>137</v>
      </c>
      <c r="BA145" s="651" t="s">
        <v>1125</v>
      </c>
      <c r="BB145" s="644" t="s">
        <v>912</v>
      </c>
      <c r="BC145" s="479" t="s">
        <v>116</v>
      </c>
      <c r="BD145" s="554" t="s">
        <v>709</v>
      </c>
      <c r="BE145" s="588" t="s">
        <v>913</v>
      </c>
      <c r="BF145" s="588" t="s">
        <v>709</v>
      </c>
      <c r="BG145" s="483" t="s">
        <v>709</v>
      </c>
      <c r="BH145" s="615" t="s">
        <v>1126</v>
      </c>
      <c r="BI145" s="535" t="s">
        <v>709</v>
      </c>
      <c r="BJ145" s="547" t="s">
        <v>709</v>
      </c>
      <c r="BK145" s="547" t="s">
        <v>709</v>
      </c>
      <c r="BL145" s="547" t="s">
        <v>116</v>
      </c>
      <c r="BM145" s="547" t="s">
        <v>709</v>
      </c>
      <c r="BN145" s="547" t="s">
        <v>709</v>
      </c>
      <c r="BO145" s="547" t="s">
        <v>709</v>
      </c>
      <c r="BP145" s="626" t="s">
        <v>709</v>
      </c>
      <c r="BQ145" s="626" t="s">
        <v>709</v>
      </c>
      <c r="BR145" s="549" t="s">
        <v>709</v>
      </c>
      <c r="BS145" s="549">
        <v>368</v>
      </c>
      <c r="BT145" s="547" t="s">
        <v>745</v>
      </c>
      <c r="BU145" s="547" t="s">
        <v>709</v>
      </c>
      <c r="BV145" s="547" t="s">
        <v>745</v>
      </c>
      <c r="BW145" s="547" t="s">
        <v>709</v>
      </c>
      <c r="BX145" s="547" t="s">
        <v>745</v>
      </c>
      <c r="BY145" s="547" t="s">
        <v>745</v>
      </c>
      <c r="BZ145" s="483"/>
    </row>
    <row r="146" spans="1:78" ht="15" hidden="1" customHeight="1" x14ac:dyDescent="0.25">
      <c r="A146" s="8" t="s">
        <v>800</v>
      </c>
      <c r="B146" s="8" t="s">
        <v>4</v>
      </c>
      <c r="C146" s="8" t="s">
        <v>1778</v>
      </c>
      <c r="D146" s="8" t="s">
        <v>1779</v>
      </c>
      <c r="E146" s="8" t="s">
        <v>1780</v>
      </c>
      <c r="F146" s="8" t="s">
        <v>747</v>
      </c>
      <c r="G146" s="8" t="s">
        <v>25</v>
      </c>
      <c r="H146" s="8" t="s">
        <v>59</v>
      </c>
      <c r="I146" s="642">
        <v>45280</v>
      </c>
      <c r="J146" s="18">
        <v>45422</v>
      </c>
      <c r="K146" s="97">
        <v>45420</v>
      </c>
      <c r="L146" s="16">
        <f>IF(ISTEXT(Table159[[#This Row],[Engineering Approved Design Date]]),Table159[[#This Row],[Date Completed]]-Table159[[#This Row],[Date Assigned to Designer]],Table159[[#This Row],[Engineering Approved Design Date]]-Table159[[#This Row],[Date Completed]])</f>
        <v>2</v>
      </c>
      <c r="M146" s="642"/>
      <c r="N146" s="642" t="s">
        <v>120</v>
      </c>
      <c r="O146" s="510">
        <v>45413</v>
      </c>
      <c r="P146" s="221" t="s">
        <v>739</v>
      </c>
      <c r="Q146" s="70">
        <f>Table159[[#This Row],[Rate]]*Table159[[#This Row],[Construction Cost to Bill From]]</f>
        <v>130376.22600000001</v>
      </c>
      <c r="R146" s="75">
        <v>0.1</v>
      </c>
      <c r="U146" s="87"/>
      <c r="V146" s="437">
        <v>6050</v>
      </c>
      <c r="W146" s="437">
        <v>0</v>
      </c>
      <c r="X146" s="24">
        <v>1125658.07</v>
      </c>
      <c r="Y146" s="551"/>
      <c r="Z146" s="552">
        <v>178104.19</v>
      </c>
      <c r="AA146" s="300">
        <f>SUM(Table159[[#This Row],[PCTS Investment Amount]:[PCTS Retirement Amount]])</f>
        <v>1303762.26</v>
      </c>
      <c r="AB146" s="207">
        <v>45407</v>
      </c>
      <c r="AC146" s="22" t="s">
        <v>29</v>
      </c>
      <c r="AD146" s="22" t="s">
        <v>29</v>
      </c>
      <c r="AE146" s="187" t="s">
        <v>116</v>
      </c>
      <c r="AF146" s="568" t="s">
        <v>116</v>
      </c>
      <c r="AG146" s="568" t="s">
        <v>376</v>
      </c>
      <c r="AH146" s="356">
        <v>45475</v>
      </c>
      <c r="AI146" s="426">
        <v>20300</v>
      </c>
      <c r="AJ146" s="542">
        <f>1753+10430</f>
        <v>12183</v>
      </c>
      <c r="AK146" s="542">
        <v>19881</v>
      </c>
      <c r="AL146" s="1241">
        <f>SUM(Table159[[#This Row],[Nicor Initiated DBE]:[Staffing]])/(Table159[[#This Row],[Amount Invoiced]])</f>
        <v>0.40163764212656378</v>
      </c>
      <c r="AM146" s="21" t="s">
        <v>116</v>
      </c>
      <c r="AN146" s="801">
        <v>45588</v>
      </c>
      <c r="AO146" s="806">
        <v>11092796</v>
      </c>
      <c r="AP146" s="788">
        <v>1347749.09</v>
      </c>
      <c r="AQ146" s="788"/>
      <c r="AR146" s="788">
        <v>225087.4</v>
      </c>
      <c r="AS146" s="538">
        <f>IF(Table159[[#This Row],[PCTS Approved]]="N",0,Table159[[#This Row],[Investment Amount (1'#'#'#'#'#)]]+Table159[[#This Row],[Retirement Amount (3'#'#'#'#'#)]])</f>
        <v>1572836.49</v>
      </c>
      <c r="AT146" s="538">
        <f>IF(Table159[[#This Row],[Approved Construction Cost]]=0,0,Table159[[#This Row],[Approved Construction Cost]]-Table159[[#This Row],[Construction Cost to Bill From]])</f>
        <v>269074.23</v>
      </c>
      <c r="AU146" s="538">
        <f>IFERROR(Table159[[#This Row],[Difference in Construction Cost]]*Table159[[#This Row],[Rate]],Table159[[#This Row],[Difference in Construction Cost]]*0.085)</f>
        <v>26907.422999999999</v>
      </c>
      <c r="AV146" s="718">
        <v>19677.5</v>
      </c>
      <c r="AW146" s="783" t="s">
        <v>6856</v>
      </c>
      <c r="AX146" s="555"/>
      <c r="AY146" s="636" t="s">
        <v>709</v>
      </c>
      <c r="AZ146" s="443">
        <v>138</v>
      </c>
      <c r="BA146" s="651" t="s">
        <v>1781</v>
      </c>
      <c r="BB146" s="644" t="s">
        <v>1782</v>
      </c>
      <c r="BC146" s="479" t="s">
        <v>992</v>
      </c>
      <c r="BD146" s="554" t="s">
        <v>709</v>
      </c>
      <c r="BE146" s="588" t="s">
        <v>1783</v>
      </c>
      <c r="BF146" s="588" t="s">
        <v>709</v>
      </c>
      <c r="BG146" s="483" t="s">
        <v>709</v>
      </c>
      <c r="BH146" s="615" t="s">
        <v>1784</v>
      </c>
      <c r="BI146" s="535" t="s">
        <v>709</v>
      </c>
      <c r="BJ146" s="547" t="s">
        <v>709</v>
      </c>
      <c r="BK146" s="547" t="s">
        <v>709</v>
      </c>
      <c r="BL146" s="547" t="s">
        <v>116</v>
      </c>
      <c r="BM146" s="547" t="s">
        <v>709</v>
      </c>
      <c r="BN146" s="547" t="s">
        <v>709</v>
      </c>
      <c r="BO146" s="547" t="s">
        <v>709</v>
      </c>
      <c r="BP146" s="626" t="s">
        <v>709</v>
      </c>
      <c r="BQ146" s="626" t="s">
        <v>709</v>
      </c>
      <c r="BR146" s="549" t="s">
        <v>116</v>
      </c>
      <c r="BS146" s="549" t="s">
        <v>116</v>
      </c>
      <c r="BT146" s="547" t="s">
        <v>709</v>
      </c>
      <c r="BU146" s="547" t="s">
        <v>709</v>
      </c>
      <c r="BV146" s="547" t="s">
        <v>709</v>
      </c>
      <c r="BW146" s="547" t="s">
        <v>709</v>
      </c>
      <c r="BX146" s="547" t="s">
        <v>709</v>
      </c>
      <c r="BY146" s="547" t="s">
        <v>709</v>
      </c>
      <c r="BZ146" s="483"/>
    </row>
    <row r="147" spans="1:78" ht="15" hidden="1" customHeight="1" x14ac:dyDescent="0.25">
      <c r="A147" s="8" t="s">
        <v>800</v>
      </c>
      <c r="B147" s="8" t="s">
        <v>4</v>
      </c>
      <c r="C147" s="8" t="s">
        <v>6498</v>
      </c>
      <c r="D147" s="8" t="s">
        <v>6499</v>
      </c>
      <c r="E147" s="8" t="s">
        <v>438</v>
      </c>
      <c r="F147" s="8" t="s">
        <v>784</v>
      </c>
      <c r="G147" s="8" t="s">
        <v>25</v>
      </c>
      <c r="H147" s="8" t="s">
        <v>59</v>
      </c>
      <c r="I147" s="642">
        <v>45433</v>
      </c>
      <c r="J147" s="18">
        <v>45527</v>
      </c>
      <c r="K147" s="97">
        <v>45516</v>
      </c>
      <c r="L147" s="16">
        <f>IF(ISTEXT(Table159[[#This Row],[Engineering Approved Design Date]]),Table159[[#This Row],[Date Completed]]-Table159[[#This Row],[Date Assigned to Designer]],Table159[[#This Row],[Engineering Approved Design Date]]-Table159[[#This Row],[Date Completed]])</f>
        <v>11</v>
      </c>
      <c r="M147" s="642"/>
      <c r="N147" s="99" t="s">
        <v>120</v>
      </c>
      <c r="O147" s="510">
        <v>45505</v>
      </c>
      <c r="P147" s="221" t="s">
        <v>739</v>
      </c>
      <c r="Q147" s="70">
        <f>Table159[[#This Row],[Rate]]*Table159[[#This Row],[Construction Cost to Bill From]]</f>
        <v>82804.061000000002</v>
      </c>
      <c r="R147" s="75">
        <v>0.1</v>
      </c>
      <c r="S147" s="24" t="s">
        <v>29</v>
      </c>
      <c r="T147" s="538" t="s">
        <v>29</v>
      </c>
      <c r="U147" s="28" t="s">
        <v>29</v>
      </c>
      <c r="V147" s="437">
        <v>1697</v>
      </c>
      <c r="W147" s="437">
        <v>0</v>
      </c>
      <c r="X147" s="24">
        <v>533735.47</v>
      </c>
      <c r="Y147" s="550"/>
      <c r="Z147" s="552">
        <v>294305.14</v>
      </c>
      <c r="AA147" s="300">
        <f>SUM(Table159[[#This Row],[PCTS Investment Amount]:[PCTS Retirement Amount]])</f>
        <v>828040.61</v>
      </c>
      <c r="AB147" s="207">
        <v>45504</v>
      </c>
      <c r="AC147" s="22" t="s">
        <v>29</v>
      </c>
      <c r="AD147" s="22" t="s">
        <v>29</v>
      </c>
      <c r="AE147" s="187" t="s">
        <v>116</v>
      </c>
      <c r="AF147" s="568" t="s">
        <v>29</v>
      </c>
      <c r="AG147" s="568" t="s">
        <v>376</v>
      </c>
      <c r="AH147" s="356">
        <v>45525</v>
      </c>
      <c r="AI147" s="509">
        <v>0</v>
      </c>
      <c r="AJ147" s="733">
        <v>7600</v>
      </c>
      <c r="AK147" s="557">
        <v>9847</v>
      </c>
      <c r="AL147" s="1240">
        <f>SUM(Table159[[#This Row],[Nicor Initiated DBE]:[Staffing]])/(Table159[[#This Row],[Amount Invoiced]])</f>
        <v>0.21070222630747543</v>
      </c>
      <c r="AM147" s="21" t="s">
        <v>116</v>
      </c>
      <c r="AN147" s="801">
        <v>45566</v>
      </c>
      <c r="AO147" s="806">
        <v>11091807</v>
      </c>
      <c r="AP147" s="788">
        <v>536564.55000000005</v>
      </c>
      <c r="AQ147" s="788"/>
      <c r="AR147" s="788">
        <v>294523.38</v>
      </c>
      <c r="AS147" s="538">
        <f>IF(Table159[[#This Row],[PCTS Approved]]="N",0,Table159[[#This Row],[Investment Amount (1'#'#'#'#'#)]]+Table159[[#This Row],[Retirement Amount (3'#'#'#'#'#)]])</f>
        <v>831087.93</v>
      </c>
      <c r="AT147" s="538">
        <f>IF(Table159[[#This Row],[Approved Construction Cost]]=0,0,Table159[[#This Row],[Approved Construction Cost]]-Table159[[#This Row],[Construction Cost to Bill From]])</f>
        <v>3047.3200000000652</v>
      </c>
      <c r="AU147" s="538">
        <f>Table159[[#This Row],[Difference in Construction Cost]]*Table159[[#This Row],[Rate]]</f>
        <v>304.73200000000651</v>
      </c>
      <c r="AV147" s="718">
        <v>0</v>
      </c>
      <c r="AW147" s="660" t="s">
        <v>6857</v>
      </c>
      <c r="AX147" s="555"/>
      <c r="AY147" s="636" t="s">
        <v>709</v>
      </c>
      <c r="AZ147" s="443"/>
      <c r="BA147" s="643" t="s">
        <v>6501</v>
      </c>
      <c r="BB147" s="644" t="s">
        <v>6502</v>
      </c>
      <c r="BC147" s="479" t="s">
        <v>709</v>
      </c>
      <c r="BD147" s="559" t="s">
        <v>709</v>
      </c>
      <c r="BE147" s="554" t="s">
        <v>1444</v>
      </c>
      <c r="BF147" s="588" t="s">
        <v>709</v>
      </c>
      <c r="BG147" s="612" t="s">
        <v>709</v>
      </c>
      <c r="BH147" s="615" t="s">
        <v>6503</v>
      </c>
      <c r="BI147" s="528" t="s">
        <v>709</v>
      </c>
      <c r="BJ147" s="549" t="s">
        <v>709</v>
      </c>
      <c r="BK147" s="549" t="s">
        <v>709</v>
      </c>
      <c r="BL147" s="547" t="s">
        <v>116</v>
      </c>
      <c r="BM147" s="549" t="s">
        <v>709</v>
      </c>
      <c r="BN147" s="549" t="s">
        <v>709</v>
      </c>
      <c r="BO147" s="549" t="s">
        <v>709</v>
      </c>
      <c r="BP147" s="549" t="s">
        <v>709</v>
      </c>
      <c r="BQ147" s="549" t="s">
        <v>709</v>
      </c>
      <c r="BR147" s="549">
        <v>545</v>
      </c>
      <c r="BS147" s="549">
        <v>1152</v>
      </c>
      <c r="BT147" s="549" t="s">
        <v>709</v>
      </c>
      <c r="BU147" s="549" t="s">
        <v>709</v>
      </c>
      <c r="BV147" s="549" t="s">
        <v>709</v>
      </c>
      <c r="BW147" s="549" t="s">
        <v>709</v>
      </c>
      <c r="BX147" s="549" t="s">
        <v>709</v>
      </c>
      <c r="BY147" s="549" t="s">
        <v>709</v>
      </c>
      <c r="BZ147" s="743"/>
    </row>
    <row r="148" spans="1:78" ht="15" hidden="1" customHeight="1" x14ac:dyDescent="0.25">
      <c r="A148" s="8" t="s">
        <v>800</v>
      </c>
      <c r="B148" s="8" t="s">
        <v>4</v>
      </c>
      <c r="C148" s="8" t="s">
        <v>397</v>
      </c>
      <c r="D148" s="8" t="s">
        <v>1692</v>
      </c>
      <c r="E148" s="8" t="s">
        <v>398</v>
      </c>
      <c r="F148" s="8" t="s">
        <v>784</v>
      </c>
      <c r="G148" s="8" t="s">
        <v>35</v>
      </c>
      <c r="H148" s="8" t="s">
        <v>59</v>
      </c>
      <c r="I148" s="642">
        <v>44854</v>
      </c>
      <c r="J148" s="18">
        <v>45267</v>
      </c>
      <c r="K148" s="97">
        <v>45261</v>
      </c>
      <c r="L148" s="16">
        <f>IF(ISTEXT(Table159[[#This Row],[Engineering Approved Design Date]]),Table159[[#This Row],[Date Completed]]-Table159[[#This Row],[Date Assigned to Designer]],Table159[[#This Row],[Engineering Approved Design Date]]-Table159[[#This Row],[Date Completed]])</f>
        <v>6</v>
      </c>
      <c r="M148" s="642"/>
      <c r="N148" s="642" t="s">
        <v>120</v>
      </c>
      <c r="O148" s="510">
        <v>45292</v>
      </c>
      <c r="P148" s="221" t="s">
        <v>739</v>
      </c>
      <c r="Q148" s="70">
        <f>Table159[[#This Row],[Rate]]*Table159[[#This Row],[Construction Cost to Bill From]]</f>
        <v>584340.76300000004</v>
      </c>
      <c r="R148" s="75">
        <v>0.1</v>
      </c>
      <c r="U148" s="87"/>
      <c r="V148" s="437">
        <v>15156</v>
      </c>
      <c r="W148" s="437">
        <v>0</v>
      </c>
      <c r="X148" s="70">
        <v>4473504.66</v>
      </c>
      <c r="Y148" s="551"/>
      <c r="Z148" s="570">
        <v>1369902.97</v>
      </c>
      <c r="AA148" s="300">
        <f>SUM(Table159[[#This Row],[PCTS Investment Amount]:[PCTS Retirement Amount]])</f>
        <v>5843407.6299999999</v>
      </c>
      <c r="AB148" s="207">
        <v>45244</v>
      </c>
      <c r="AC148" s="108" t="s">
        <v>116</v>
      </c>
      <c r="AD148" s="108" t="s">
        <v>29</v>
      </c>
      <c r="AE148" s="187" t="s">
        <v>116</v>
      </c>
      <c r="AF148" s="568" t="s">
        <v>116</v>
      </c>
      <c r="AG148" s="568" t="s">
        <v>376</v>
      </c>
      <c r="AH148" s="356">
        <v>45308</v>
      </c>
      <c r="AI148" s="505">
        <v>6220</v>
      </c>
      <c r="AJ148" s="553"/>
      <c r="AK148" s="586">
        <v>2232.5</v>
      </c>
      <c r="AL148" s="1240">
        <f>SUM(Table159[[#This Row],[Nicor Initiated DBE]:[Staffing]])/(Table159[[#This Row],[Amount Invoiced]])</f>
        <v>1.4465018590530881E-2</v>
      </c>
      <c r="AM148" s="21" t="s">
        <v>116</v>
      </c>
      <c r="AN148" s="801">
        <v>45524</v>
      </c>
      <c r="AO148" s="806">
        <v>11088378</v>
      </c>
      <c r="AP148" s="788">
        <v>4555170.26</v>
      </c>
      <c r="AQ148" s="788"/>
      <c r="AR148" s="788">
        <v>1402767.51</v>
      </c>
      <c r="AS148" s="538">
        <f>IF(Table159[[#This Row],[PCTS Approved]]="N",0,Table159[[#This Row],[Investment Amount (1'#'#'#'#'#)]]+Table159[[#This Row],[Retirement Amount (3'#'#'#'#'#)]])</f>
        <v>5957937.7699999996</v>
      </c>
      <c r="AT148" s="538">
        <f>IF(Table159[[#This Row],[Approved Construction Cost]]=0,0,Table159[[#This Row],[Approved Construction Cost]]-Table159[[#This Row],[Construction Cost to Bill From]])</f>
        <v>114530.13999999966</v>
      </c>
      <c r="AU148" s="538">
        <f>IFERROR(Table159[[#This Row],[Difference in Construction Cost]]*Table159[[#This Row],[Rate]],Table159[[#This Row],[Difference in Construction Cost]]*0.085)</f>
        <v>11453.013999999966</v>
      </c>
      <c r="AV148" s="718">
        <v>0</v>
      </c>
      <c r="AW148" s="660" t="s">
        <v>6857</v>
      </c>
      <c r="AX148" s="555"/>
      <c r="AY148" s="636" t="s">
        <v>709</v>
      </c>
      <c r="AZ148" s="443">
        <v>110</v>
      </c>
      <c r="BA148" s="651" t="s">
        <v>1693</v>
      </c>
      <c r="BB148" s="644" t="s">
        <v>870</v>
      </c>
      <c r="BC148" s="479" t="s">
        <v>116</v>
      </c>
      <c r="BD148" s="554" t="s">
        <v>1626</v>
      </c>
      <c r="BE148" s="588" t="s">
        <v>115</v>
      </c>
      <c r="BF148" s="588" t="s">
        <v>709</v>
      </c>
      <c r="BG148" s="483" t="s">
        <v>1694</v>
      </c>
      <c r="BH148" s="749" t="s">
        <v>1695</v>
      </c>
      <c r="BI148" s="535" t="s">
        <v>709</v>
      </c>
      <c r="BJ148" s="549" t="s">
        <v>709</v>
      </c>
      <c r="BK148" s="547" t="s">
        <v>116</v>
      </c>
      <c r="BL148" s="547" t="s">
        <v>116</v>
      </c>
      <c r="BM148" s="626" t="s">
        <v>709</v>
      </c>
      <c r="BN148" s="549" t="s">
        <v>709</v>
      </c>
      <c r="BO148" s="626" t="s">
        <v>709</v>
      </c>
      <c r="BP148" s="626">
        <v>1010</v>
      </c>
      <c r="BQ148" s="549">
        <v>6628</v>
      </c>
      <c r="BR148" s="549">
        <v>7033</v>
      </c>
      <c r="BS148" s="549">
        <v>485</v>
      </c>
      <c r="BT148" s="549" t="s">
        <v>709</v>
      </c>
      <c r="BU148" s="549" t="s">
        <v>709</v>
      </c>
      <c r="BV148" s="549" t="s">
        <v>709</v>
      </c>
      <c r="BW148" s="549" t="s">
        <v>709</v>
      </c>
      <c r="BX148" s="547" t="s">
        <v>709</v>
      </c>
      <c r="BY148" s="549" t="s">
        <v>709</v>
      </c>
      <c r="BZ148" s="483"/>
    </row>
    <row r="149" spans="1:78" ht="15" hidden="1" customHeight="1" x14ac:dyDescent="0.25">
      <c r="A149" s="8" t="s">
        <v>800</v>
      </c>
      <c r="B149" s="8" t="s">
        <v>4</v>
      </c>
      <c r="C149" s="8" t="s">
        <v>1115</v>
      </c>
      <c r="D149" s="8" t="s">
        <v>1116</v>
      </c>
      <c r="E149" s="8" t="s">
        <v>1117</v>
      </c>
      <c r="F149" s="8" t="s">
        <v>784</v>
      </c>
      <c r="G149" s="8" t="s">
        <v>35</v>
      </c>
      <c r="H149" s="8" t="s">
        <v>59</v>
      </c>
      <c r="I149" s="642">
        <v>45307</v>
      </c>
      <c r="J149" s="18">
        <v>45380</v>
      </c>
      <c r="K149" s="97">
        <v>45376</v>
      </c>
      <c r="L149" s="16">
        <f>IF(ISTEXT(Table159[[#This Row],[Engineering Approved Design Date]]),Table159[[#This Row],[Date Completed]]-Table159[[#This Row],[Date Assigned to Designer]],Table159[[#This Row],[Engineering Approved Design Date]]-Table159[[#This Row],[Date Completed]])</f>
        <v>4</v>
      </c>
      <c r="M149" s="642"/>
      <c r="N149" s="642" t="s">
        <v>120</v>
      </c>
      <c r="O149" s="510">
        <v>45352</v>
      </c>
      <c r="P149" s="221" t="s">
        <v>739</v>
      </c>
      <c r="Q149" s="70">
        <f>Table159[[#This Row],[Rate]]*Table159[[#This Row],[Construction Cost to Bill From]]</f>
        <v>54325.762000000002</v>
      </c>
      <c r="R149" s="75">
        <v>0.1</v>
      </c>
      <c r="U149" s="87"/>
      <c r="V149" s="437">
        <f>964+48+27</f>
        <v>1039</v>
      </c>
      <c r="W149" s="437">
        <v>0</v>
      </c>
      <c r="X149" s="70">
        <v>457410.42</v>
      </c>
      <c r="Y149" s="595"/>
      <c r="Z149" s="570">
        <v>85847.2</v>
      </c>
      <c r="AA149" s="300">
        <f>Table159[[#This Row],[PCTS Retirement Amount]]+Table159[[#This Row],[PCTS Investment Amount]]</f>
        <v>543257.62</v>
      </c>
      <c r="AB149" s="207">
        <v>45369</v>
      </c>
      <c r="AC149" s="22" t="s">
        <v>709</v>
      </c>
      <c r="AD149" s="22" t="s">
        <v>29</v>
      </c>
      <c r="AE149" s="187" t="s">
        <v>116</v>
      </c>
      <c r="AF149" s="568" t="s">
        <v>116</v>
      </c>
      <c r="AG149" s="568" t="s">
        <v>376</v>
      </c>
      <c r="AH149" s="356">
        <v>45406</v>
      </c>
      <c r="AI149" s="426">
        <v>0</v>
      </c>
      <c r="AJ149" s="542">
        <v>11870</v>
      </c>
      <c r="AK149" s="542">
        <v>14616.5</v>
      </c>
      <c r="AL149" s="493">
        <f>SUM(Table159[[#This Row],[Nicor Initiated DBE]:[Staffing]])/(Table159[[#This Row],[Amount Invoiced]])</f>
        <v>0.48754953497016756</v>
      </c>
      <c r="AM149" s="21" t="s">
        <v>116</v>
      </c>
      <c r="AN149" s="801">
        <v>45482</v>
      </c>
      <c r="AO149" s="806">
        <v>11085908</v>
      </c>
      <c r="AP149" s="788">
        <v>457231.43</v>
      </c>
      <c r="AQ149" s="788"/>
      <c r="AR149" s="788">
        <v>87246.76</v>
      </c>
      <c r="AS149" s="538">
        <f>IF(Table159[[#This Row],[PCTS Approved]]="N",0,Table159[[#This Row],[Investment Amount (1'#'#'#'#'#)]]+Table159[[#This Row],[Retirement Amount (3'#'#'#'#'#)]])</f>
        <v>544478.18999999994</v>
      </c>
      <c r="AT149" s="538">
        <f>IF(Table159[[#This Row],[Approved Construction Cost]]=0,0,Table159[[#This Row],[Approved Construction Cost]]-Table159[[#This Row],[Construction Cost to Bill From]])</f>
        <v>1220.5699999999488</v>
      </c>
      <c r="AU149" s="538">
        <f>IFERROR(Table159[[#This Row],[Difference in Construction Cost]]*Table159[[#This Row],[Rate]],Table159[[#This Row],[Difference in Construction Cost]]*0.085)</f>
        <v>122.05699999999489</v>
      </c>
      <c r="AV149" s="718">
        <v>0</v>
      </c>
      <c r="AW149" s="660" t="s">
        <v>6858</v>
      </c>
      <c r="AX149" s="555"/>
      <c r="AY149" s="636" t="s">
        <v>709</v>
      </c>
      <c r="AZ149" s="443">
        <v>133</v>
      </c>
      <c r="BA149" s="651" t="s">
        <v>1119</v>
      </c>
      <c r="BB149" s="644" t="s">
        <v>1120</v>
      </c>
      <c r="BC149" s="479" t="s">
        <v>116</v>
      </c>
      <c r="BD149" s="554" t="s">
        <v>709</v>
      </c>
      <c r="BE149" s="588" t="s">
        <v>709</v>
      </c>
      <c r="BF149" s="588" t="s">
        <v>745</v>
      </c>
      <c r="BG149" s="483" t="s">
        <v>709</v>
      </c>
      <c r="BH149" s="615" t="s">
        <v>1121</v>
      </c>
      <c r="BI149" s="535" t="s">
        <v>709</v>
      </c>
      <c r="BJ149" s="549" t="s">
        <v>709</v>
      </c>
      <c r="BK149" s="547" t="s">
        <v>116</v>
      </c>
      <c r="BL149" s="547" t="s">
        <v>116</v>
      </c>
      <c r="BM149" s="626" t="s">
        <v>709</v>
      </c>
      <c r="BN149" s="549" t="s">
        <v>709</v>
      </c>
      <c r="BO149" s="626" t="s">
        <v>709</v>
      </c>
      <c r="BP149" s="626" t="s">
        <v>709</v>
      </c>
      <c r="BQ149" s="549">
        <v>75</v>
      </c>
      <c r="BR149" s="549">
        <v>0</v>
      </c>
      <c r="BS149" s="549">
        <v>964</v>
      </c>
      <c r="BT149" s="549" t="s">
        <v>745</v>
      </c>
      <c r="BU149" s="549" t="s">
        <v>709</v>
      </c>
      <c r="BV149" s="549" t="s">
        <v>745</v>
      </c>
      <c r="BW149" s="549" t="s">
        <v>709</v>
      </c>
      <c r="BX149" s="547" t="s">
        <v>745</v>
      </c>
      <c r="BY149" s="549" t="s">
        <v>745</v>
      </c>
      <c r="BZ149" s="483"/>
    </row>
    <row r="150" spans="1:78" ht="15" hidden="1" customHeight="1" x14ac:dyDescent="0.25">
      <c r="A150" s="8" t="s">
        <v>800</v>
      </c>
      <c r="B150" s="8" t="s">
        <v>4</v>
      </c>
      <c r="C150" s="8" t="s">
        <v>1730</v>
      </c>
      <c r="D150" s="8" t="s">
        <v>1731</v>
      </c>
      <c r="E150" s="8" t="s">
        <v>818</v>
      </c>
      <c r="F150" s="8" t="s">
        <v>851</v>
      </c>
      <c r="G150" s="8" t="s">
        <v>35</v>
      </c>
      <c r="H150" s="8" t="s">
        <v>59</v>
      </c>
      <c r="I150" s="642">
        <v>45293</v>
      </c>
      <c r="J150" s="18">
        <v>45401</v>
      </c>
      <c r="K150" s="97">
        <v>45357</v>
      </c>
      <c r="L150" s="16">
        <f>IF(ISTEXT(Table159[[#This Row],[Engineering Approved Design Date]]),Table159[[#This Row],[Date Completed]]-Table159[[#This Row],[Date Assigned to Designer]],Table159[[#This Row],[Engineering Approved Design Date]]-Table159[[#This Row],[Date Completed]])</f>
        <v>44</v>
      </c>
      <c r="M150" s="642"/>
      <c r="N150" s="642" t="s">
        <v>120</v>
      </c>
      <c r="O150" s="510">
        <v>45352</v>
      </c>
      <c r="P150" s="221" t="s">
        <v>739</v>
      </c>
      <c r="Q150" s="70">
        <f>Table159[[#This Row],[Rate]]*Table159[[#This Row],[Construction Cost to Bill From]]</f>
        <v>18737.776999999998</v>
      </c>
      <c r="R150" s="75">
        <v>0.1</v>
      </c>
      <c r="U150" s="87"/>
      <c r="V150" s="437">
        <v>247</v>
      </c>
      <c r="W150" s="437">
        <v>0</v>
      </c>
      <c r="X150" s="70">
        <v>163426.01999999999</v>
      </c>
      <c r="Y150" s="595"/>
      <c r="Z150" s="570">
        <v>23951.75</v>
      </c>
      <c r="AA150" s="300">
        <f>Table159[[#This Row],[PCTS Retirement Amount]]+Table159[[#This Row],[PCTS Investment Amount]]</f>
        <v>187377.77</v>
      </c>
      <c r="AB150" s="207">
        <v>45370</v>
      </c>
      <c r="AC150" s="22" t="s">
        <v>709</v>
      </c>
      <c r="AD150" s="22" t="s">
        <v>29</v>
      </c>
      <c r="AE150" s="187" t="s">
        <v>756</v>
      </c>
      <c r="AF150" s="568" t="s">
        <v>29</v>
      </c>
      <c r="AG150" s="183" t="s">
        <v>376</v>
      </c>
      <c r="AH150" s="672">
        <v>45406</v>
      </c>
      <c r="AI150" s="426">
        <v>0</v>
      </c>
      <c r="AJ150" s="542">
        <v>0</v>
      </c>
      <c r="AK150" s="542">
        <v>4399</v>
      </c>
      <c r="AL150" s="1241">
        <f>SUM(Table159[[#This Row],[Nicor Initiated DBE]:[Staffing]])/(Table159[[#This Row],[Amount Invoiced]])</f>
        <v>0.23476637596871819</v>
      </c>
      <c r="AM150" s="21" t="s">
        <v>116</v>
      </c>
      <c r="AN150" s="801">
        <v>45553</v>
      </c>
      <c r="AO150" s="806">
        <v>11090968</v>
      </c>
      <c r="AP150" s="788">
        <v>165598.39999999999</v>
      </c>
      <c r="AQ150" s="788"/>
      <c r="AR150" s="788">
        <v>24994.65</v>
      </c>
      <c r="AS150" s="538">
        <f>IF(Table159[[#This Row],[PCTS Approved]]="N",0,Table159[[#This Row],[Investment Amount (1'#'#'#'#'#)]]+Table159[[#This Row],[Retirement Amount (3'#'#'#'#'#)]])</f>
        <v>190593.05</v>
      </c>
      <c r="AT150" s="538">
        <f>IF(Table159[[#This Row],[Approved Construction Cost]]=0,0,Table159[[#This Row],[Approved Construction Cost]]-Table159[[#This Row],[Construction Cost to Bill From]])</f>
        <v>3215.2799999999988</v>
      </c>
      <c r="AU150" s="538">
        <f>IFERROR(Table159[[#This Row],[Difference in Construction Cost]]*Table159[[#This Row],[Rate]],Table159[[#This Row],[Difference in Construction Cost]]*0.085)</f>
        <v>321.52799999999991</v>
      </c>
      <c r="AV150" s="718">
        <v>0</v>
      </c>
      <c r="AW150" s="660" t="s">
        <v>6857</v>
      </c>
      <c r="AX150" s="555"/>
      <c r="AY150" s="636" t="s">
        <v>709</v>
      </c>
      <c r="AZ150" s="443">
        <v>129</v>
      </c>
      <c r="BA150" s="651" t="s">
        <v>1732</v>
      </c>
      <c r="BB150" s="644" t="s">
        <v>1733</v>
      </c>
      <c r="BC150" s="479" t="s">
        <v>709</v>
      </c>
      <c r="BD150" s="554" t="s">
        <v>709</v>
      </c>
      <c r="BE150" s="588" t="s">
        <v>822</v>
      </c>
      <c r="BF150" s="588" t="s">
        <v>745</v>
      </c>
      <c r="BG150" s="483" t="s">
        <v>709</v>
      </c>
      <c r="BH150" s="615" t="s">
        <v>1734</v>
      </c>
      <c r="BI150" s="535" t="s">
        <v>709</v>
      </c>
      <c r="BJ150" s="549" t="s">
        <v>709</v>
      </c>
      <c r="BK150" s="547" t="s">
        <v>709</v>
      </c>
      <c r="BL150" s="547" t="s">
        <v>709</v>
      </c>
      <c r="BM150" s="626" t="s">
        <v>709</v>
      </c>
      <c r="BN150" s="549" t="s">
        <v>709</v>
      </c>
      <c r="BO150" s="626" t="s">
        <v>709</v>
      </c>
      <c r="BP150" s="626" t="s">
        <v>709</v>
      </c>
      <c r="BQ150" s="549" t="s">
        <v>709</v>
      </c>
      <c r="BR150" s="549" t="s">
        <v>709</v>
      </c>
      <c r="BS150" s="549">
        <v>247</v>
      </c>
      <c r="BT150" s="549" t="s">
        <v>745</v>
      </c>
      <c r="BU150" s="549" t="s">
        <v>709</v>
      </c>
      <c r="BV150" s="549" t="s">
        <v>745</v>
      </c>
      <c r="BW150" s="549" t="s">
        <v>709</v>
      </c>
      <c r="BX150" s="547" t="s">
        <v>745</v>
      </c>
      <c r="BY150" s="549" t="s">
        <v>745</v>
      </c>
      <c r="BZ150" s="483"/>
    </row>
    <row r="151" spans="1:78" ht="15" hidden="1" customHeight="1" x14ac:dyDescent="0.25">
      <c r="A151" s="8" t="s">
        <v>800</v>
      </c>
      <c r="B151" s="8" t="s">
        <v>4</v>
      </c>
      <c r="C151" s="8" t="s">
        <v>6492</v>
      </c>
      <c r="D151" s="8" t="s">
        <v>6493</v>
      </c>
      <c r="E151" s="8" t="s">
        <v>108</v>
      </c>
      <c r="F151" s="8" t="s">
        <v>784</v>
      </c>
      <c r="G151" s="8" t="s">
        <v>35</v>
      </c>
      <c r="H151" s="8" t="s">
        <v>59</v>
      </c>
      <c r="I151" s="642">
        <v>45321</v>
      </c>
      <c r="J151" s="18">
        <v>45520</v>
      </c>
      <c r="K151" s="97">
        <v>45516</v>
      </c>
      <c r="L151" s="16">
        <f>IF(ISTEXT(Table159[[#This Row],[Engineering Approved Design Date]]),Table159[[#This Row],[Date Completed]]-Table159[[#This Row],[Date Assigned to Designer]],Table159[[#This Row],[Engineering Approved Design Date]]-Table159[[#This Row],[Date Completed]])</f>
        <v>4</v>
      </c>
      <c r="M151" s="642"/>
      <c r="N151" s="99" t="s">
        <v>120</v>
      </c>
      <c r="O151" s="510">
        <v>45505</v>
      </c>
      <c r="P151" s="221" t="s">
        <v>739</v>
      </c>
      <c r="Q151" s="70">
        <f>Table159[[#This Row],[Rate]]*Table159[[#This Row],[Construction Cost to Bill From]]</f>
        <v>41146.435000000005</v>
      </c>
      <c r="R151" s="75">
        <v>0.1</v>
      </c>
      <c r="S151" s="24" t="s">
        <v>29</v>
      </c>
      <c r="T151" s="538" t="s">
        <v>29</v>
      </c>
      <c r="U151" s="28" t="s">
        <v>29</v>
      </c>
      <c r="V151" s="437">
        <v>149</v>
      </c>
      <c r="W151" s="437">
        <v>0</v>
      </c>
      <c r="X151" s="94">
        <v>340265.03</v>
      </c>
      <c r="Y151" s="552"/>
      <c r="Z151" s="552">
        <v>71199.320000000007</v>
      </c>
      <c r="AA151" s="300">
        <f>SUM(Table159[[#This Row],[PCTS Investment Amount]:[PCTS Retirement Amount]])</f>
        <v>411464.35000000003</v>
      </c>
      <c r="AB151" s="207">
        <v>45510</v>
      </c>
      <c r="AC151" s="22" t="s">
        <v>745</v>
      </c>
      <c r="AD151" s="22" t="s">
        <v>29</v>
      </c>
      <c r="AE151" s="187" t="s">
        <v>116</v>
      </c>
      <c r="AF151" s="568" t="s">
        <v>29</v>
      </c>
      <c r="AG151" s="568" t="s">
        <v>376</v>
      </c>
      <c r="AH151" s="356">
        <v>45525</v>
      </c>
      <c r="AI151" s="509">
        <v>0</v>
      </c>
      <c r="AJ151" s="541">
        <v>4615</v>
      </c>
      <c r="AK151" s="557">
        <v>1209.5</v>
      </c>
      <c r="AL151" s="1240">
        <f>SUM(Table159[[#This Row],[Nicor Initiated DBE]:[Staffing]])/(Table159[[#This Row],[Amount Invoiced]])</f>
        <v>0.14155539842030054</v>
      </c>
      <c r="AM151" s="21" t="s">
        <v>116</v>
      </c>
      <c r="AN151" s="680" t="s">
        <v>709</v>
      </c>
      <c r="AO151" s="681"/>
      <c r="AP151" s="682"/>
      <c r="AQ151" s="682"/>
      <c r="AR151" s="682"/>
      <c r="AS151" s="538">
        <f>IF(Table159[[#This Row],[PCTS Approved]]="N",0,Table159[[#This Row],[Investment Amount (1'#'#'#'#'#)]]+Table159[[#This Row],[Retirement Amount (3'#'#'#'#'#)]])</f>
        <v>0</v>
      </c>
      <c r="AT151" s="538">
        <f>IF(Table159[[#This Row],[Approved Construction Cost]]=0,0,Table159[[#This Row],[Approved Construction Cost]]-Table159[[#This Row],[Construction Cost to Bill From]])</f>
        <v>0</v>
      </c>
      <c r="AU151" s="538">
        <f>Table159[[#This Row],[Difference in Construction Cost]]*Table159[[#This Row],[Rate]]</f>
        <v>0</v>
      </c>
      <c r="AV151" s="682"/>
      <c r="AW151" s="660"/>
      <c r="AX151" s="555"/>
      <c r="AY151" s="636" t="s">
        <v>709</v>
      </c>
      <c r="AZ151" s="443"/>
      <c r="BA151" s="643" t="s">
        <v>6495</v>
      </c>
      <c r="BB151" s="644" t="s">
        <v>961</v>
      </c>
      <c r="BC151" s="479" t="s">
        <v>116</v>
      </c>
      <c r="BD151" s="559" t="s">
        <v>709</v>
      </c>
      <c r="BE151" s="739" t="s">
        <v>1569</v>
      </c>
      <c r="BF151" s="588" t="s">
        <v>709</v>
      </c>
      <c r="BG151" s="612" t="s">
        <v>709</v>
      </c>
      <c r="BH151" s="615" t="s">
        <v>6496</v>
      </c>
      <c r="BI151" s="528" t="s">
        <v>709</v>
      </c>
      <c r="BJ151" s="549" t="s">
        <v>709</v>
      </c>
      <c r="BK151" s="549" t="s">
        <v>709</v>
      </c>
      <c r="BL151" s="547" t="s">
        <v>116</v>
      </c>
      <c r="BM151" s="549" t="s">
        <v>709</v>
      </c>
      <c r="BN151" s="549" t="s">
        <v>709</v>
      </c>
      <c r="BO151" s="549" t="s">
        <v>709</v>
      </c>
      <c r="BP151" s="549">
        <v>149</v>
      </c>
      <c r="BQ151" s="549" t="s">
        <v>709</v>
      </c>
      <c r="BR151" s="549" t="s">
        <v>709</v>
      </c>
      <c r="BS151" s="549" t="s">
        <v>709</v>
      </c>
      <c r="BT151" s="549" t="s">
        <v>709</v>
      </c>
      <c r="BU151" s="549" t="s">
        <v>709</v>
      </c>
      <c r="BV151" s="549" t="s">
        <v>709</v>
      </c>
      <c r="BW151" s="549" t="s">
        <v>709</v>
      </c>
      <c r="BX151" s="549" t="s">
        <v>709</v>
      </c>
      <c r="BY151" s="549" t="s">
        <v>709</v>
      </c>
      <c r="BZ151" s="743"/>
    </row>
    <row r="152" spans="1:78" ht="15" hidden="1" customHeight="1" x14ac:dyDescent="0.25">
      <c r="A152" s="8">
        <v>2023</v>
      </c>
      <c r="B152" s="8" t="s">
        <v>771</v>
      </c>
      <c r="C152" s="8" t="s">
        <v>494</v>
      </c>
      <c r="D152" s="8" t="s">
        <v>1514</v>
      </c>
      <c r="E152" s="8" t="s">
        <v>1004</v>
      </c>
      <c r="F152" s="8" t="s">
        <v>1515</v>
      </c>
      <c r="G152" s="8" t="s">
        <v>22</v>
      </c>
      <c r="H152" s="8" t="s">
        <v>59</v>
      </c>
      <c r="I152" s="642">
        <v>44957</v>
      </c>
      <c r="J152" s="18">
        <v>45072</v>
      </c>
      <c r="K152" s="97">
        <v>45072</v>
      </c>
      <c r="L152" s="16">
        <f>IF(ISTEXT(Table159[[#This Row],[Engineering Approved Design Date]]),Table159[[#This Row],[Date Completed]]-Table159[[#This Row],[Date Assigned to Designer]],Table159[[#This Row],[Engineering Approved Design Date]]-Table159[[#This Row],[Date Completed]])</f>
        <v>0</v>
      </c>
      <c r="M152" s="642"/>
      <c r="N152" s="642" t="s">
        <v>120</v>
      </c>
      <c r="O152" s="510">
        <v>45078</v>
      </c>
      <c r="P152" s="221" t="s">
        <v>120</v>
      </c>
      <c r="Q152" s="70">
        <f>Table159[[#This Row],[Rate]]*Table159[[#This Row],[Construction Cost to Bill From]]</f>
        <v>143735.7726</v>
      </c>
      <c r="R152" s="75">
        <v>0.09</v>
      </c>
      <c r="U152" s="87"/>
      <c r="V152" s="437">
        <v>1021</v>
      </c>
      <c r="W152" s="437">
        <v>0</v>
      </c>
      <c r="X152" s="24">
        <v>1139019.48</v>
      </c>
      <c r="Y152" s="592"/>
      <c r="Z152" s="552">
        <v>458044.66</v>
      </c>
      <c r="AA152" s="300">
        <f>SUM(Table159[[#This Row],[PCTS Investment Amount]:[PCTS Retirement Amount]])</f>
        <v>1597064.14</v>
      </c>
      <c r="AB152" s="207">
        <v>45077</v>
      </c>
      <c r="AC152" s="108" t="s">
        <v>1516</v>
      </c>
      <c r="AD152" s="108" t="s">
        <v>29</v>
      </c>
      <c r="AE152" s="349"/>
      <c r="AF152" s="579"/>
      <c r="AG152" s="579"/>
      <c r="AH152" s="354"/>
      <c r="AI152" s="489"/>
      <c r="AJ152" s="553"/>
      <c r="AK152" s="553"/>
      <c r="AL152" s="1363"/>
      <c r="AM152" s="21" t="s">
        <v>116</v>
      </c>
      <c r="AN152" s="680" t="s">
        <v>709</v>
      </c>
      <c r="AO152" s="681">
        <v>11057162</v>
      </c>
      <c r="AP152" s="572"/>
      <c r="AQ152" s="572"/>
      <c r="AR152" s="572"/>
      <c r="AS152" s="538">
        <f>IF(Table159[[#This Row],[PCTS Approved]]="N",0,Table159[[#This Row],[Investment Amount (1'#'#'#'#'#)]]+Table159[[#This Row],[Retirement Amount (3'#'#'#'#'#)]])</f>
        <v>0</v>
      </c>
      <c r="AT152" s="538">
        <f>IF(Table159[[#This Row],[Approved Construction Cost]]=0,0,Table159[[#This Row],[Approved Construction Cost]]-Table159[[#This Row],[Construction Cost to Bill From]])</f>
        <v>0</v>
      </c>
      <c r="AU152" s="538">
        <f>IFERROR(Table159[[#This Row],[Difference in Construction Cost]]*Table159[[#This Row],[Rate]],Table159[[#This Row],[Difference in Construction Cost]]*0.085)</f>
        <v>0</v>
      </c>
      <c r="AV152" s="572"/>
      <c r="AW152" s="639"/>
      <c r="AX152" s="538"/>
      <c r="AY152" s="636" t="s">
        <v>709</v>
      </c>
      <c r="AZ152" s="443">
        <v>45</v>
      </c>
      <c r="BA152" s="1365" t="s">
        <v>1517</v>
      </c>
      <c r="BB152" s="644" t="s">
        <v>1518</v>
      </c>
      <c r="BC152" s="478" t="s">
        <v>116</v>
      </c>
      <c r="BD152" s="544" t="s">
        <v>862</v>
      </c>
      <c r="BE152" s="544" t="s">
        <v>495</v>
      </c>
      <c r="BF152" s="544" t="s">
        <v>709</v>
      </c>
      <c r="BG152" s="512" t="s">
        <v>1519</v>
      </c>
      <c r="BH152" s="741" t="s">
        <v>1520</v>
      </c>
      <c r="BI152" s="535" t="s">
        <v>709</v>
      </c>
      <c r="BJ152" s="547" t="s">
        <v>709</v>
      </c>
      <c r="BK152" s="547" t="s">
        <v>116</v>
      </c>
      <c r="BL152" s="547" t="s">
        <v>709</v>
      </c>
      <c r="BM152" s="547">
        <v>1016</v>
      </c>
      <c r="BN152" s="547">
        <v>5</v>
      </c>
      <c r="BO152" s="547" t="s">
        <v>709</v>
      </c>
      <c r="BP152" s="547" t="s">
        <v>709</v>
      </c>
      <c r="BQ152" s="547" t="s">
        <v>709</v>
      </c>
      <c r="BR152" s="547" t="s">
        <v>709</v>
      </c>
      <c r="BS152" s="547" t="s">
        <v>709</v>
      </c>
      <c r="BT152" s="547" t="s">
        <v>709</v>
      </c>
      <c r="BU152" s="547" t="s">
        <v>709</v>
      </c>
      <c r="BV152" s="547" t="s">
        <v>709</v>
      </c>
      <c r="BW152" s="547" t="s">
        <v>709</v>
      </c>
      <c r="BX152" s="547" t="s">
        <v>709</v>
      </c>
      <c r="BY152" s="547" t="s">
        <v>709</v>
      </c>
      <c r="BZ152" s="483"/>
    </row>
    <row r="153" spans="1:78" ht="15" hidden="1" customHeight="1" x14ac:dyDescent="0.25">
      <c r="A153" s="8">
        <v>2023</v>
      </c>
      <c r="B153" s="8" t="s">
        <v>1205</v>
      </c>
      <c r="C153" s="8" t="s">
        <v>515</v>
      </c>
      <c r="D153" s="8" t="s">
        <v>1508</v>
      </c>
      <c r="E153" s="8" t="s">
        <v>1509</v>
      </c>
      <c r="F153" s="8" t="s">
        <v>747</v>
      </c>
      <c r="G153" s="8" t="s">
        <v>22</v>
      </c>
      <c r="H153" s="13" t="s">
        <v>59</v>
      </c>
      <c r="I153" s="642">
        <v>44790</v>
      </c>
      <c r="J153" s="18">
        <v>45107</v>
      </c>
      <c r="K153" s="97">
        <v>45064</v>
      </c>
      <c r="L153" s="16">
        <f>IF(ISTEXT(Table159[[#This Row],[Engineering Approved Design Date]]),Table159[[#This Row],[Date Completed]]-Table159[[#This Row],[Date Assigned to Designer]],Table159[[#This Row],[Engineering Approved Design Date]]-Table159[[#This Row],[Date Completed]])</f>
        <v>43</v>
      </c>
      <c r="M153" s="642"/>
      <c r="N153" s="642" t="s">
        <v>120</v>
      </c>
      <c r="O153" s="510">
        <v>45078</v>
      </c>
      <c r="P153" s="221" t="s">
        <v>120</v>
      </c>
      <c r="Q153" s="70">
        <f>Table159[[#This Row],[Rate]]*Table159[[#This Row],[Construction Cost to Bill From]]</f>
        <v>61998.634799999993</v>
      </c>
      <c r="R153" s="75">
        <v>0.09</v>
      </c>
      <c r="U153" s="87"/>
      <c r="V153" s="437">
        <v>2082</v>
      </c>
      <c r="W153" s="437">
        <v>0</v>
      </c>
      <c r="X153" s="94">
        <v>581681.93999999994</v>
      </c>
      <c r="Y153" s="592"/>
      <c r="Z153" s="552">
        <v>107191.78</v>
      </c>
      <c r="AA153" s="300">
        <f>SUM(Table159[[#This Row],[PCTS Investment Amount]:[PCTS Retirement Amount]])</f>
        <v>688873.72</v>
      </c>
      <c r="AB153" s="207">
        <v>45091</v>
      </c>
      <c r="AC153" s="108" t="s">
        <v>1441</v>
      </c>
      <c r="AD153" s="108" t="s">
        <v>29</v>
      </c>
      <c r="AE153" s="349"/>
      <c r="AF153" s="579"/>
      <c r="AG153" s="579"/>
      <c r="AH153" s="354"/>
      <c r="AI153" s="489"/>
      <c r="AJ153" s="553"/>
      <c r="AK153" s="553"/>
      <c r="AL153" s="1363"/>
      <c r="AM153" s="21" t="s">
        <v>116</v>
      </c>
      <c r="AN153" s="680" t="s">
        <v>709</v>
      </c>
      <c r="AO153" s="681">
        <v>11033946</v>
      </c>
      <c r="AP153" s="572"/>
      <c r="AQ153" s="572"/>
      <c r="AR153" s="572"/>
      <c r="AS153" s="538">
        <f>IF(Table159[[#This Row],[PCTS Approved]]="N",0,Table159[[#This Row],[Investment Amount (1'#'#'#'#'#)]]+Table159[[#This Row],[Retirement Amount (3'#'#'#'#'#)]])</f>
        <v>0</v>
      </c>
      <c r="AT153" s="538">
        <f>IF(Table159[[#This Row],[Approved Construction Cost]]=0,0,Table159[[#This Row],[Approved Construction Cost]]-Table159[[#This Row],[Construction Cost to Bill From]])</f>
        <v>0</v>
      </c>
      <c r="AU153" s="538">
        <f>IFERROR(Table159[[#This Row],[Difference in Construction Cost]]*Table159[[#This Row],[Rate]],Table159[[#This Row],[Difference in Construction Cost]]*0.085)</f>
        <v>0</v>
      </c>
      <c r="AV153" s="572"/>
      <c r="AW153" s="639"/>
      <c r="AX153" s="538"/>
      <c r="AY153" s="636" t="s">
        <v>709</v>
      </c>
      <c r="AZ153" s="443">
        <v>44</v>
      </c>
      <c r="BA153" s="861" t="s">
        <v>1510</v>
      </c>
      <c r="BB153" s="644" t="s">
        <v>1511</v>
      </c>
      <c r="BC153" s="478" t="s">
        <v>709</v>
      </c>
      <c r="BD153" s="544" t="s">
        <v>115</v>
      </c>
      <c r="BE153" s="544" t="s">
        <v>115</v>
      </c>
      <c r="BF153" s="544" t="s">
        <v>1512</v>
      </c>
      <c r="BG153" s="512" t="s">
        <v>115</v>
      </c>
      <c r="BH153" s="741" t="s">
        <v>1513</v>
      </c>
      <c r="BI153" s="535" t="s">
        <v>709</v>
      </c>
      <c r="BJ153" s="547" t="s">
        <v>116</v>
      </c>
      <c r="BK153" s="547" t="s">
        <v>709</v>
      </c>
      <c r="BL153" s="547" t="s">
        <v>709</v>
      </c>
      <c r="BM153" s="547" t="s">
        <v>709</v>
      </c>
      <c r="BN153" s="547" t="s">
        <v>709</v>
      </c>
      <c r="BO153" s="547" t="s">
        <v>709</v>
      </c>
      <c r="BP153" s="547">
        <v>2082</v>
      </c>
      <c r="BQ153" s="547" t="s">
        <v>709</v>
      </c>
      <c r="BR153" s="547" t="s">
        <v>709</v>
      </c>
      <c r="BS153" s="547" t="s">
        <v>709</v>
      </c>
      <c r="BT153" s="547" t="s">
        <v>745</v>
      </c>
      <c r="BU153" s="547" t="s">
        <v>709</v>
      </c>
      <c r="BV153" s="547" t="s">
        <v>745</v>
      </c>
      <c r="BW153" s="547" t="s">
        <v>709</v>
      </c>
      <c r="BX153" s="547" t="s">
        <v>745</v>
      </c>
      <c r="BY153" s="547" t="s">
        <v>745</v>
      </c>
      <c r="BZ153" s="483"/>
    </row>
    <row r="154" spans="1:78" ht="15" hidden="1" customHeight="1" x14ac:dyDescent="0.25">
      <c r="A154" s="8" t="s">
        <v>800</v>
      </c>
      <c r="B154" s="8" t="s">
        <v>4</v>
      </c>
      <c r="C154" s="8" t="s">
        <v>6567</v>
      </c>
      <c r="D154" s="8" t="s">
        <v>6568</v>
      </c>
      <c r="E154" s="8" t="s">
        <v>1159</v>
      </c>
      <c r="F154" s="8" t="s">
        <v>1102</v>
      </c>
      <c r="G154" s="8" t="s">
        <v>28</v>
      </c>
      <c r="H154" s="8" t="s">
        <v>59</v>
      </c>
      <c r="I154" s="642">
        <v>45369</v>
      </c>
      <c r="J154" s="18">
        <v>45569</v>
      </c>
      <c r="K154" s="97">
        <v>45551</v>
      </c>
      <c r="L154" s="16">
        <f>IF(ISTEXT(Table159[[#This Row],[Engineering Approved Design Date]]),Table159[[#This Row],[Date Completed]]-Table159[[#This Row],[Date Assigned to Designer]],Table159[[#This Row],[Engineering Approved Design Date]]-Table159[[#This Row],[Date Completed]])</f>
        <v>18</v>
      </c>
      <c r="M154" s="642"/>
      <c r="N154" s="99" t="s">
        <v>120</v>
      </c>
      <c r="O154" s="510">
        <v>45559</v>
      </c>
      <c r="P154" s="221" t="s">
        <v>739</v>
      </c>
      <c r="Q154" s="70">
        <f>Table159[[#This Row],[Rate]]*Table159[[#This Row],[Construction Cost to Bill From]]</f>
        <v>105410.814</v>
      </c>
      <c r="R154" s="75">
        <v>0.1</v>
      </c>
      <c r="S154" s="24" t="s">
        <v>29</v>
      </c>
      <c r="T154" s="538" t="s">
        <v>29</v>
      </c>
      <c r="U154" s="28" t="s">
        <v>29</v>
      </c>
      <c r="V154" s="437">
        <v>530</v>
      </c>
      <c r="W154" s="437">
        <v>0</v>
      </c>
      <c r="X154" s="24">
        <v>915818.58</v>
      </c>
      <c r="Y154" s="550"/>
      <c r="Z154" s="552">
        <v>138289.56</v>
      </c>
      <c r="AA154" s="300">
        <f>SUM(Table159[[#This Row],[PCTS Investment Amount]:[PCTS Retirement Amount]])</f>
        <v>1054108.1399999999</v>
      </c>
      <c r="AB154" s="207">
        <v>45518</v>
      </c>
      <c r="AC154" s="22" t="s">
        <v>116</v>
      </c>
      <c r="AD154" s="22" t="s">
        <v>116</v>
      </c>
      <c r="AE154" s="187" t="s">
        <v>116</v>
      </c>
      <c r="AF154" s="568" t="s">
        <v>116</v>
      </c>
      <c r="AG154" s="568" t="s">
        <v>376</v>
      </c>
      <c r="AH154" s="356">
        <v>45580</v>
      </c>
      <c r="AI154" s="509">
        <v>6905</v>
      </c>
      <c r="AJ154" s="541">
        <f>3640+1395</f>
        <v>5035</v>
      </c>
      <c r="AK154" s="745">
        <f>2544.5+4907.75</f>
        <v>7452.25</v>
      </c>
      <c r="AL154" s="1240">
        <f>SUM(Table159[[#This Row],[Nicor Initiated DBE]:[Staffing]])/(Table159[[#This Row],[Amount Invoiced]])</f>
        <v>0.18396831657139087</v>
      </c>
      <c r="AM154" s="21" t="s">
        <v>116</v>
      </c>
      <c r="AN154" s="796" t="s">
        <v>709</v>
      </c>
      <c r="AO154" s="601"/>
      <c r="AP154" s="572"/>
      <c r="AQ154" s="572"/>
      <c r="AR154" s="572"/>
      <c r="AS154" s="538">
        <f>IF(Table159[[#This Row],[PCTS Approved]]="N",0,Table159[[#This Row],[Investment Amount (1'#'#'#'#'#)]]+Table159[[#This Row],[Retirement Amount (3'#'#'#'#'#)]])</f>
        <v>0</v>
      </c>
      <c r="AT154" s="538">
        <f>IF(Table159[[#This Row],[Approved Construction Cost]]=0,0,Table159[[#This Row],[Approved Construction Cost]]-Table159[[#This Row],[Construction Cost to Bill From]])</f>
        <v>0</v>
      </c>
      <c r="AU154" s="538">
        <f>Table159[[#This Row],[Difference in Construction Cost]]*Table159[[#This Row],[Rate]]</f>
        <v>0</v>
      </c>
      <c r="AV154" s="602"/>
      <c r="AW154" s="640"/>
      <c r="AX154" s="555"/>
      <c r="AY154" s="636" t="s">
        <v>709</v>
      </c>
      <c r="AZ154" s="443"/>
      <c r="BA154" s="643" t="s">
        <v>6569</v>
      </c>
      <c r="BB154" s="644" t="s">
        <v>5452</v>
      </c>
      <c r="BC154" s="479" t="s">
        <v>116</v>
      </c>
      <c r="BD154" s="559" t="s">
        <v>709</v>
      </c>
      <c r="BE154" s="554" t="s">
        <v>1210</v>
      </c>
      <c r="BF154" s="588" t="s">
        <v>709</v>
      </c>
      <c r="BG154" s="612" t="s">
        <v>709</v>
      </c>
      <c r="BH154" s="615" t="s">
        <v>6570</v>
      </c>
      <c r="BI154" s="528" t="s">
        <v>116</v>
      </c>
      <c r="BJ154" s="549" t="s">
        <v>709</v>
      </c>
      <c r="BK154" s="549" t="s">
        <v>709</v>
      </c>
      <c r="BL154" s="547" t="s">
        <v>709</v>
      </c>
      <c r="BM154" s="549" t="s">
        <v>709</v>
      </c>
      <c r="BN154" s="549" t="s">
        <v>116</v>
      </c>
      <c r="BO154" s="549" t="s">
        <v>709</v>
      </c>
      <c r="BP154" s="549" t="s">
        <v>709</v>
      </c>
      <c r="BQ154" s="549" t="s">
        <v>116</v>
      </c>
      <c r="BR154" s="549" t="s">
        <v>6571</v>
      </c>
      <c r="BS154" s="549" t="s">
        <v>709</v>
      </c>
      <c r="BT154" s="549" t="s">
        <v>709</v>
      </c>
      <c r="BU154" s="549" t="s">
        <v>709</v>
      </c>
      <c r="BV154" s="549" t="s">
        <v>709</v>
      </c>
      <c r="BW154" s="549" t="s">
        <v>709</v>
      </c>
      <c r="BX154" s="549" t="s">
        <v>709</v>
      </c>
      <c r="BY154" s="549" t="s">
        <v>709</v>
      </c>
      <c r="BZ154" s="743"/>
    </row>
    <row r="155" spans="1:78" ht="15" hidden="1" customHeight="1" x14ac:dyDescent="0.25">
      <c r="A155" s="8" t="s">
        <v>800</v>
      </c>
      <c r="B155" s="8" t="s">
        <v>4</v>
      </c>
      <c r="C155" s="8" t="s">
        <v>6573</v>
      </c>
      <c r="D155" s="8" t="s">
        <v>6574</v>
      </c>
      <c r="E155" s="8" t="s">
        <v>1159</v>
      </c>
      <c r="F155" s="8" t="s">
        <v>1102</v>
      </c>
      <c r="G155" s="8" t="s">
        <v>28</v>
      </c>
      <c r="H155" s="8" t="s">
        <v>59</v>
      </c>
      <c r="I155" s="642">
        <v>45446</v>
      </c>
      <c r="J155" s="18">
        <v>45569</v>
      </c>
      <c r="K155" s="97">
        <v>45551</v>
      </c>
      <c r="L155" s="16">
        <f>IF(ISTEXT(Table159[[#This Row],[Engineering Approved Design Date]]),Table159[[#This Row],[Date Completed]]-Table159[[#This Row],[Date Assigned to Designer]],Table159[[#This Row],[Engineering Approved Design Date]]-Table159[[#This Row],[Date Completed]])</f>
        <v>18</v>
      </c>
      <c r="M155" s="642"/>
      <c r="N155" s="99" t="s">
        <v>120</v>
      </c>
      <c r="O155" s="510">
        <v>45559</v>
      </c>
      <c r="P155" s="221" t="s">
        <v>739</v>
      </c>
      <c r="Q155" s="70">
        <f>Table159[[#This Row],[Rate]]*Table159[[#This Row],[Construction Cost to Bill From]]</f>
        <v>16432.713</v>
      </c>
      <c r="R155" s="75">
        <v>0.1</v>
      </c>
      <c r="S155" s="24" t="s">
        <v>29</v>
      </c>
      <c r="T155" s="538" t="s">
        <v>29</v>
      </c>
      <c r="U155" s="28" t="s">
        <v>29</v>
      </c>
      <c r="V155" s="437">
        <v>291</v>
      </c>
      <c r="W155" s="437">
        <v>0</v>
      </c>
      <c r="X155" s="24">
        <v>114983.56</v>
      </c>
      <c r="Y155" s="550"/>
      <c r="Z155" s="552">
        <v>49343.57</v>
      </c>
      <c r="AA155" s="300">
        <f>SUM(Table159[[#This Row],[PCTS Investment Amount]:[PCTS Retirement Amount]])</f>
        <v>164327.13</v>
      </c>
      <c r="AB155" s="207">
        <v>45447</v>
      </c>
      <c r="AC155" s="22" t="s">
        <v>709</v>
      </c>
      <c r="AD155" s="22" t="s">
        <v>29</v>
      </c>
      <c r="AE155" s="187" t="s">
        <v>116</v>
      </c>
      <c r="AF155" s="568" t="s">
        <v>29</v>
      </c>
      <c r="AG155" s="568" t="s">
        <v>376</v>
      </c>
      <c r="AH155" s="356">
        <v>45580</v>
      </c>
      <c r="AI155" s="509">
        <v>0</v>
      </c>
      <c r="AJ155" s="541">
        <v>0</v>
      </c>
      <c r="AK155" s="541">
        <v>0</v>
      </c>
      <c r="AL155" s="1240">
        <f>SUM(Table159[[#This Row],[Nicor Initiated DBE]:[Staffing]])/(Table159[[#This Row],[Amount Invoiced]])</f>
        <v>0</v>
      </c>
      <c r="AM155" s="21" t="s">
        <v>116</v>
      </c>
      <c r="AN155" s="796" t="s">
        <v>709</v>
      </c>
      <c r="AO155" s="601"/>
      <c r="AP155" s="572"/>
      <c r="AQ155" s="572"/>
      <c r="AR155" s="572"/>
      <c r="AS155" s="538">
        <f>IF(Table159[[#This Row],[PCTS Approved]]="N",0,Table159[[#This Row],[Investment Amount (1'#'#'#'#'#)]]+Table159[[#This Row],[Retirement Amount (3'#'#'#'#'#)]])</f>
        <v>0</v>
      </c>
      <c r="AT155" s="538">
        <f>IF(Table159[[#This Row],[Approved Construction Cost]]=0,0,Table159[[#This Row],[Approved Construction Cost]]-Table159[[#This Row],[Construction Cost to Bill From]])</f>
        <v>0</v>
      </c>
      <c r="AU155" s="538">
        <f>Table159[[#This Row],[Difference in Construction Cost]]*Table159[[#This Row],[Rate]]</f>
        <v>0</v>
      </c>
      <c r="AV155" s="602"/>
      <c r="AW155" s="640"/>
      <c r="AX155" s="555"/>
      <c r="AY155" s="636" t="s">
        <v>709</v>
      </c>
      <c r="AZ155" s="443"/>
      <c r="BA155" s="643" t="s">
        <v>6575</v>
      </c>
      <c r="BB155" s="644" t="s">
        <v>5452</v>
      </c>
      <c r="BC155" s="479" t="s">
        <v>116</v>
      </c>
      <c r="BD155" s="559" t="s">
        <v>709</v>
      </c>
      <c r="BE155" s="554" t="s">
        <v>1210</v>
      </c>
      <c r="BF155" s="588" t="s">
        <v>709</v>
      </c>
      <c r="BG155" s="612" t="s">
        <v>709</v>
      </c>
      <c r="BH155" s="615" t="s">
        <v>6576</v>
      </c>
      <c r="BI155" s="528" t="s">
        <v>709</v>
      </c>
      <c r="BJ155" s="549" t="s">
        <v>709</v>
      </c>
      <c r="BK155" s="549" t="s">
        <v>709</v>
      </c>
      <c r="BL155" s="547" t="s">
        <v>116</v>
      </c>
      <c r="BM155" s="549" t="s">
        <v>709</v>
      </c>
      <c r="BN155" s="549" t="s">
        <v>709</v>
      </c>
      <c r="BO155" s="549" t="s">
        <v>709</v>
      </c>
      <c r="BP155" s="549" t="s">
        <v>709</v>
      </c>
      <c r="BQ155" s="549" t="s">
        <v>709</v>
      </c>
      <c r="BR155" s="549" t="s">
        <v>116</v>
      </c>
      <c r="BS155" s="549" t="s">
        <v>709</v>
      </c>
      <c r="BT155" s="549" t="s">
        <v>709</v>
      </c>
      <c r="BU155" s="549" t="s">
        <v>709</v>
      </c>
      <c r="BV155" s="549" t="s">
        <v>709</v>
      </c>
      <c r="BW155" s="549" t="s">
        <v>709</v>
      </c>
      <c r="BX155" s="549" t="s">
        <v>709</v>
      </c>
      <c r="BY155" s="549" t="s">
        <v>709</v>
      </c>
      <c r="BZ155" s="743"/>
    </row>
    <row r="156" spans="1:78" ht="16.5" hidden="1" customHeight="1" x14ac:dyDescent="0.25">
      <c r="A156" s="8" t="s">
        <v>800</v>
      </c>
      <c r="B156" s="8" t="s">
        <v>4</v>
      </c>
      <c r="C156" s="8" t="s">
        <v>6606</v>
      </c>
      <c r="D156" s="8" t="s">
        <v>6607</v>
      </c>
      <c r="E156" s="8" t="s">
        <v>149</v>
      </c>
      <c r="F156" s="8" t="s">
        <v>784</v>
      </c>
      <c r="G156" s="8" t="s">
        <v>26</v>
      </c>
      <c r="H156" s="8" t="s">
        <v>59</v>
      </c>
      <c r="I156" s="642">
        <v>45380</v>
      </c>
      <c r="J156" s="18">
        <v>45566</v>
      </c>
      <c r="K156" s="97">
        <v>45565</v>
      </c>
      <c r="L156" s="16">
        <f>IF(ISTEXT(Table159[[#This Row],[Engineering Approved Design Date]]),Table159[[#This Row],[Date Completed]]-Table159[[#This Row],[Date Assigned to Designer]],Table159[[#This Row],[Engineering Approved Design Date]]-Table159[[#This Row],[Date Completed]])</f>
        <v>1</v>
      </c>
      <c r="M156" s="642"/>
      <c r="N156" s="99" t="s">
        <v>120</v>
      </c>
      <c r="O156" s="510">
        <v>45566</v>
      </c>
      <c r="P156" s="221" t="s">
        <v>739</v>
      </c>
      <c r="Q156" s="70">
        <f>Table159[[#This Row],[Rate]]*Table159[[#This Row],[Construction Cost to Bill From]]</f>
        <v>88481.532000000007</v>
      </c>
      <c r="R156" s="75">
        <v>0.1</v>
      </c>
      <c r="S156" s="24" t="s">
        <v>29</v>
      </c>
      <c r="T156" s="538" t="s">
        <v>29</v>
      </c>
      <c r="U156" s="28" t="s">
        <v>29</v>
      </c>
      <c r="V156" s="437">
        <v>939</v>
      </c>
      <c r="W156" s="343" t="s">
        <v>29</v>
      </c>
      <c r="X156" s="24">
        <v>849401.39</v>
      </c>
      <c r="Y156" s="550"/>
      <c r="Z156" s="552">
        <v>35413.93</v>
      </c>
      <c r="AA156" s="300">
        <f>SUM(Table159[[#This Row],[PCTS Investment Amount]:[PCTS Retirement Amount]])</f>
        <v>884815.32000000007</v>
      </c>
      <c r="AB156" s="183">
        <v>45568</v>
      </c>
      <c r="AC156" s="22" t="s">
        <v>29</v>
      </c>
      <c r="AD156" s="22" t="s">
        <v>29</v>
      </c>
      <c r="AE156" s="187" t="s">
        <v>116</v>
      </c>
      <c r="AF156" s="569" t="s">
        <v>756</v>
      </c>
      <c r="AG156" s="568" t="s">
        <v>376</v>
      </c>
      <c r="AH156" s="356">
        <v>45580</v>
      </c>
      <c r="AI156" s="509">
        <v>16050</v>
      </c>
      <c r="AJ156" s="541">
        <v>8750</v>
      </c>
      <c r="AK156" s="541">
        <v>9150.75</v>
      </c>
      <c r="AL156" s="494">
        <f>SUM(Table159[[#This Row],[Nicor Initiated DBE]:[Staffing]])/(Table159[[#This Row],[Amount Invoiced]])</f>
        <v>0.38370436443166467</v>
      </c>
      <c r="AM156" s="21" t="s">
        <v>116</v>
      </c>
      <c r="AN156" s="680" t="s">
        <v>709</v>
      </c>
      <c r="AO156" s="681"/>
      <c r="AP156" s="682"/>
      <c r="AQ156" s="682"/>
      <c r="AR156" s="682"/>
      <c r="AS156" s="538">
        <f>IF(Table159[[#This Row],[PCTS Approved]]="N",0,Table159[[#This Row],[Investment Amount (1'#'#'#'#'#)]]+Table159[[#This Row],[Retirement Amount (3'#'#'#'#'#)]])</f>
        <v>0</v>
      </c>
      <c r="AT156" s="538">
        <f>IF(Table159[[#This Row],[Approved Construction Cost]]=0,0,Table159[[#This Row],[Approved Construction Cost]]-Table159[[#This Row],[Construction Cost to Bill From]])</f>
        <v>0</v>
      </c>
      <c r="AU156" s="538">
        <f>Table159[[#This Row],[Difference in Construction Cost]]*Table159[[#This Row],[Rate]]</f>
        <v>0</v>
      </c>
      <c r="AV156" s="690"/>
      <c r="AW156" s="660"/>
      <c r="AX156" s="555"/>
      <c r="AY156" s="636" t="s">
        <v>709</v>
      </c>
      <c r="AZ156" s="443"/>
      <c r="BA156" s="643" t="s">
        <v>6608</v>
      </c>
      <c r="BB156" s="644" t="s">
        <v>5572</v>
      </c>
      <c r="BC156" s="479" t="s">
        <v>709</v>
      </c>
      <c r="BD156" s="559" t="s">
        <v>709</v>
      </c>
      <c r="BE156" s="554" t="s">
        <v>5573</v>
      </c>
      <c r="BF156" s="762" t="s">
        <v>709</v>
      </c>
      <c r="BG156" s="763" t="s">
        <v>709</v>
      </c>
      <c r="BH156" s="615" t="s">
        <v>6609</v>
      </c>
      <c r="BI156" s="742" t="s">
        <v>709</v>
      </c>
      <c r="BJ156" s="626" t="s">
        <v>709</v>
      </c>
      <c r="BK156" s="547" t="s">
        <v>116</v>
      </c>
      <c r="BL156" s="549" t="s">
        <v>709</v>
      </c>
      <c r="BM156" s="549" t="s">
        <v>709</v>
      </c>
      <c r="BN156" s="549" t="s">
        <v>709</v>
      </c>
      <c r="BO156" s="549" t="s">
        <v>709</v>
      </c>
      <c r="BP156" s="549" t="s">
        <v>709</v>
      </c>
      <c r="BQ156" s="549">
        <v>939</v>
      </c>
      <c r="BR156" s="549" t="s">
        <v>709</v>
      </c>
      <c r="BS156" s="549" t="s">
        <v>709</v>
      </c>
      <c r="BT156" s="549" t="s">
        <v>745</v>
      </c>
      <c r="BU156" s="549" t="s">
        <v>709</v>
      </c>
      <c r="BV156" s="549" t="s">
        <v>745</v>
      </c>
      <c r="BW156" s="549" t="s">
        <v>709</v>
      </c>
      <c r="BX156" s="549" t="s">
        <v>745</v>
      </c>
      <c r="BY156" s="549" t="s">
        <v>745</v>
      </c>
      <c r="BZ156" s="743"/>
    </row>
    <row r="157" spans="1:78" ht="15" hidden="1" customHeight="1" x14ac:dyDescent="0.25">
      <c r="A157" s="8" t="s">
        <v>800</v>
      </c>
      <c r="B157" s="8" t="s">
        <v>4</v>
      </c>
      <c r="C157" s="8" t="s">
        <v>6615</v>
      </c>
      <c r="D157" s="8" t="s">
        <v>6616</v>
      </c>
      <c r="E157" s="8" t="s">
        <v>6617</v>
      </c>
      <c r="F157" s="8" t="s">
        <v>784</v>
      </c>
      <c r="G157" s="8" t="s">
        <v>32</v>
      </c>
      <c r="H157" s="8" t="s">
        <v>59</v>
      </c>
      <c r="I157" s="642">
        <v>45230</v>
      </c>
      <c r="J157" s="18">
        <v>45569</v>
      </c>
      <c r="K157" s="97">
        <v>45567</v>
      </c>
      <c r="L157" s="674">
        <f>IF(ISTEXT(Table159[[#This Row],[Engineering Approved Design Date]]),Table159[[#This Row],[Date Completed]]-Table159[[#This Row],[Date Assigned to Designer]],Table159[[#This Row],[Engineering Approved Design Date]]-Table159[[#This Row],[Date Completed]])</f>
        <v>2</v>
      </c>
      <c r="M157" s="642"/>
      <c r="N157" s="99" t="s">
        <v>120</v>
      </c>
      <c r="O157" s="510">
        <v>45566</v>
      </c>
      <c r="P157" s="221" t="s">
        <v>739</v>
      </c>
      <c r="Q157" s="556">
        <f>Table159[[#This Row],[Rate]]*Table159[[#This Row],[Construction Cost to Bill From]]</f>
        <v>42476.822000000007</v>
      </c>
      <c r="R157" s="75">
        <v>0.1</v>
      </c>
      <c r="S157" s="24" t="s">
        <v>29</v>
      </c>
      <c r="T157" s="538" t="s">
        <v>29</v>
      </c>
      <c r="U157" s="28" t="s">
        <v>29</v>
      </c>
      <c r="V157" s="437">
        <v>449</v>
      </c>
      <c r="W157" s="425">
        <v>0</v>
      </c>
      <c r="X157" s="24">
        <v>381887.59</v>
      </c>
      <c r="Y157" s="551"/>
      <c r="Z157" s="538">
        <v>42880.63</v>
      </c>
      <c r="AA157" s="300">
        <f>SUM(Table159[[#This Row],[PCTS Investment Amount]:[PCTS Retirement Amount]])</f>
        <v>424768.22000000003</v>
      </c>
      <c r="AB157" s="207">
        <v>45567</v>
      </c>
      <c r="AC157" s="22" t="s">
        <v>709</v>
      </c>
      <c r="AD157" s="108" t="s">
        <v>29</v>
      </c>
      <c r="AE157" s="187" t="s">
        <v>756</v>
      </c>
      <c r="AF157" s="568" t="s">
        <v>709</v>
      </c>
      <c r="AG157" s="568" t="s">
        <v>376</v>
      </c>
      <c r="AH157" s="356">
        <v>45609</v>
      </c>
      <c r="AI157" s="509">
        <v>0</v>
      </c>
      <c r="AJ157" s="541">
        <v>0</v>
      </c>
      <c r="AK157" s="541">
        <f>2540+3402.5</f>
        <v>5942.5</v>
      </c>
      <c r="AL157" s="1240">
        <f>SUM(Table159[[#This Row],[Nicor Initiated DBE]:[Staffing]])/(Table159[[#This Row],[Amount Invoiced]])</f>
        <v>0.13989982583913643</v>
      </c>
      <c r="AM157" s="21" t="s">
        <v>116</v>
      </c>
      <c r="AN157" s="680" t="s">
        <v>709</v>
      </c>
      <c r="AO157" s="601"/>
      <c r="AP157" s="572"/>
      <c r="AQ157" s="572"/>
      <c r="AR157" s="572"/>
      <c r="AS157" s="538">
        <f>IF(Table159[[#This Row],[PCTS Approved]]="N",0,Table159[[#This Row],[Investment Amount (1'#'#'#'#'#)]]+Table159[[#This Row],[Retirement Amount (3'#'#'#'#'#)]])</f>
        <v>0</v>
      </c>
      <c r="AT157" s="538">
        <f>IF(Table159[[#This Row],[Approved Construction Cost]]=0,0,Table159[[#This Row],[Approved Construction Cost]]-Table159[[#This Row],[Construction Cost to Bill From]])</f>
        <v>0</v>
      </c>
      <c r="AU157" s="538">
        <f>Table159[[#This Row],[Difference in Construction Cost]]*Table159[[#This Row],[Rate]]</f>
        <v>0</v>
      </c>
      <c r="AV157" s="602"/>
      <c r="AW157" s="640"/>
      <c r="AX157" s="555"/>
      <c r="AY157" s="636" t="s">
        <v>709</v>
      </c>
      <c r="AZ157" s="334"/>
      <c r="BA157" s="643" t="s">
        <v>6618</v>
      </c>
      <c r="BB157" s="644" t="s">
        <v>870</v>
      </c>
      <c r="BC157" s="559" t="s">
        <v>116</v>
      </c>
      <c r="BD157" s="554" t="s">
        <v>882</v>
      </c>
      <c r="BE157" s="588" t="s">
        <v>709</v>
      </c>
      <c r="BF157" s="588" t="s">
        <v>709</v>
      </c>
      <c r="BG157" s="548" t="s">
        <v>709</v>
      </c>
      <c r="BH157" s="615" t="s">
        <v>6619</v>
      </c>
      <c r="BI157" s="742" t="s">
        <v>709</v>
      </c>
      <c r="BJ157" s="626" t="s">
        <v>709</v>
      </c>
      <c r="BK157" s="626" t="s">
        <v>709</v>
      </c>
      <c r="BL157" s="626" t="s">
        <v>116</v>
      </c>
      <c r="BM157" s="626" t="s">
        <v>709</v>
      </c>
      <c r="BN157" s="626" t="s">
        <v>709</v>
      </c>
      <c r="BO157" s="626" t="s">
        <v>709</v>
      </c>
      <c r="BP157" s="626" t="s">
        <v>709</v>
      </c>
      <c r="BQ157" s="626" t="s">
        <v>709</v>
      </c>
      <c r="BR157" s="626">
        <v>449</v>
      </c>
      <c r="BS157" s="626" t="s">
        <v>709</v>
      </c>
      <c r="BT157" s="626" t="s">
        <v>745</v>
      </c>
      <c r="BU157" s="626" t="s">
        <v>709</v>
      </c>
      <c r="BV157" s="626" t="s">
        <v>745</v>
      </c>
      <c r="BW157" s="626" t="s">
        <v>709</v>
      </c>
      <c r="BX157" s="626" t="s">
        <v>745</v>
      </c>
      <c r="BY157" s="626" t="s">
        <v>745</v>
      </c>
      <c r="BZ157" s="483"/>
    </row>
    <row r="158" spans="1:78" ht="15" hidden="1" customHeight="1" x14ac:dyDescent="0.25">
      <c r="A158" s="8" t="s">
        <v>800</v>
      </c>
      <c r="B158" s="8" t="s">
        <v>771</v>
      </c>
      <c r="C158" s="8" t="s">
        <v>1560</v>
      </c>
      <c r="D158" s="8" t="s">
        <v>1561</v>
      </c>
      <c r="E158" s="8" t="s">
        <v>1200</v>
      </c>
      <c r="F158" s="8" t="s">
        <v>784</v>
      </c>
      <c r="G158" s="8" t="s">
        <v>22</v>
      </c>
      <c r="H158" s="13" t="s">
        <v>59</v>
      </c>
      <c r="I158" s="642">
        <v>44838</v>
      </c>
      <c r="J158" s="18">
        <v>45119</v>
      </c>
      <c r="K158" s="97">
        <v>45118</v>
      </c>
      <c r="L158" s="1361">
        <f>IF(ISTEXT(Table159[[#This Row],[Engineering Approved Design Date]]),Table159[[#This Row],[Date Completed]]-Table159[[#This Row],[Date Assigned to Designer]],Table159[[#This Row],[Engineering Approved Design Date]]-Table159[[#This Row],[Date Completed]])</f>
        <v>1</v>
      </c>
      <c r="M158" s="642"/>
      <c r="N158" s="642" t="s">
        <v>120</v>
      </c>
      <c r="O158" s="510">
        <v>45108</v>
      </c>
      <c r="P158" s="221" t="s">
        <v>120</v>
      </c>
      <c r="Q158" s="24">
        <f>Table159[[#This Row],[Rate]]*Table159[[#This Row],[Construction Cost to Bill From]]</f>
        <v>265496.85680000001</v>
      </c>
      <c r="R158" s="75">
        <v>0.04</v>
      </c>
      <c r="U158" s="87"/>
      <c r="V158" s="442">
        <v>10571</v>
      </c>
      <c r="W158" s="444">
        <v>0</v>
      </c>
      <c r="X158" s="94">
        <v>6496699.1200000001</v>
      </c>
      <c r="Y158" s="592"/>
      <c r="Z158" s="552">
        <v>140722.29999999999</v>
      </c>
      <c r="AA158" s="300">
        <f>SUM(Table159[[#This Row],[PCTS Investment Amount]]+Table159[[#This Row],[PCTS Retirement Amount]])</f>
        <v>6637421.4199999999</v>
      </c>
      <c r="AB158" s="207">
        <v>45131</v>
      </c>
      <c r="AC158" s="329" t="s">
        <v>116</v>
      </c>
      <c r="AD158" s="229" t="s">
        <v>116</v>
      </c>
      <c r="AE158" s="455" t="s">
        <v>116</v>
      </c>
      <c r="AF158" s="576" t="s">
        <v>116</v>
      </c>
      <c r="AG158" s="576" t="s">
        <v>116</v>
      </c>
      <c r="AH158" s="456" t="s">
        <v>116</v>
      </c>
      <c r="AI158" s="490"/>
      <c r="AJ158" s="583"/>
      <c r="AK158" s="583"/>
      <c r="AL158" s="496"/>
      <c r="AM158" s="21" t="s">
        <v>116</v>
      </c>
      <c r="AN158" s="796" t="s">
        <v>709</v>
      </c>
      <c r="AO158" s="860">
        <v>11056658</v>
      </c>
      <c r="AP158" s="797"/>
      <c r="AQ158" s="797"/>
      <c r="AR158" s="797"/>
      <c r="AS158" s="538">
        <f>IF(Table159[[#This Row],[PCTS Approved]]="N",0,Table159[[#This Row],[Investment Amount (1'#'#'#'#'#)]]+Table159[[#This Row],[Retirement Amount (3'#'#'#'#'#)]])</f>
        <v>0</v>
      </c>
      <c r="AT158" s="538">
        <f>IF(Table159[[#This Row],[Approved Construction Cost]]=0,0,Table159[[#This Row],[Approved Construction Cost]]-Table159[[#This Row],[Construction Cost to Bill From]])</f>
        <v>0</v>
      </c>
      <c r="AU158" s="538">
        <f>IFERROR(Table159[[#This Row],[Difference in Construction Cost]]*Table159[[#This Row],[Rate]],Table159[[#This Row],[Difference in Construction Cost]]*0.085)</f>
        <v>0</v>
      </c>
      <c r="AV158" s="572"/>
      <c r="AW158" s="1364"/>
      <c r="AX158" s="538"/>
      <c r="AY158" s="636" t="s">
        <v>709</v>
      </c>
      <c r="AZ158" s="334">
        <v>1</v>
      </c>
      <c r="BA158" s="652" t="s">
        <v>1562</v>
      </c>
      <c r="BB158" s="644" t="s">
        <v>1563</v>
      </c>
      <c r="BC158" s="544" t="s">
        <v>116</v>
      </c>
      <c r="BD158" s="544" t="s">
        <v>115</v>
      </c>
      <c r="BE158" s="544" t="s">
        <v>1203</v>
      </c>
      <c r="BF158" s="544" t="s">
        <v>115</v>
      </c>
      <c r="BG158" s="544" t="s">
        <v>1564</v>
      </c>
      <c r="BH158" s="741" t="s">
        <v>1565</v>
      </c>
      <c r="BI158" s="535" t="s">
        <v>709</v>
      </c>
      <c r="BJ158" s="547" t="s">
        <v>709</v>
      </c>
      <c r="BK158" s="547" t="s">
        <v>709</v>
      </c>
      <c r="BL158" s="547" t="s">
        <v>116</v>
      </c>
      <c r="BM158" s="547" t="s">
        <v>709</v>
      </c>
      <c r="BN158" s="547" t="s">
        <v>709</v>
      </c>
      <c r="BO158" s="547" t="s">
        <v>709</v>
      </c>
      <c r="BP158" s="547">
        <v>4375</v>
      </c>
      <c r="BQ158" s="547">
        <v>1866</v>
      </c>
      <c r="BR158" s="547" t="s">
        <v>709</v>
      </c>
      <c r="BS158" s="547">
        <v>4330</v>
      </c>
      <c r="BT158" s="547" t="s">
        <v>709</v>
      </c>
      <c r="BU158" s="547" t="s">
        <v>709</v>
      </c>
      <c r="BV158" s="547" t="s">
        <v>709</v>
      </c>
      <c r="BW158" s="547" t="s">
        <v>709</v>
      </c>
      <c r="BX158" s="547" t="s">
        <v>745</v>
      </c>
      <c r="BY158" s="547" t="s">
        <v>709</v>
      </c>
      <c r="BZ158" s="483"/>
    </row>
    <row r="159" spans="1:78" ht="15" hidden="1" customHeight="1" x14ac:dyDescent="0.25">
      <c r="A159" s="8" t="s">
        <v>781</v>
      </c>
      <c r="B159" s="8" t="s">
        <v>1205</v>
      </c>
      <c r="C159" s="8" t="s">
        <v>262</v>
      </c>
      <c r="D159" s="8" t="s">
        <v>1336</v>
      </c>
      <c r="E159" s="8" t="s">
        <v>263</v>
      </c>
      <c r="F159" s="8" t="s">
        <v>747</v>
      </c>
      <c r="G159" s="8" t="s">
        <v>36</v>
      </c>
      <c r="H159" s="8" t="s">
        <v>59</v>
      </c>
      <c r="I159" s="642">
        <v>44683</v>
      </c>
      <c r="J159" s="18">
        <v>44799</v>
      </c>
      <c r="K159" s="97">
        <v>44799</v>
      </c>
      <c r="L159" s="16">
        <f>IF(ISTEXT(Table159[[#This Row],[Engineering Approved Design Date]]),Table159[[#This Row],[Date Completed]]-Table159[[#This Row],[Date Assigned to Designer]],Table159[[#This Row],[Engineering Approved Design Date]]-Table159[[#This Row],[Date Completed]])</f>
        <v>0</v>
      </c>
      <c r="M159" s="642"/>
      <c r="N159" s="642" t="s">
        <v>120</v>
      </c>
      <c r="O159" s="590">
        <v>44805</v>
      </c>
      <c r="P159" s="68" t="s">
        <v>120</v>
      </c>
      <c r="Q159" s="71">
        <f>R159*AA159</f>
        <v>85129.174799999993</v>
      </c>
      <c r="R159" s="75">
        <v>0.09</v>
      </c>
      <c r="U159" s="87"/>
      <c r="V159" s="437">
        <v>997</v>
      </c>
      <c r="W159" s="858"/>
      <c r="X159" s="94">
        <v>893074.41</v>
      </c>
      <c r="Y159" s="592"/>
      <c r="Z159" s="552">
        <v>52805.31</v>
      </c>
      <c r="AA159" s="300">
        <f>Table159[[#This Row],[PCTS Investment Amount]]+Table159[[#This Row],[PCTS Retirement Amount]]</f>
        <v>945879.72</v>
      </c>
      <c r="AB159" s="212">
        <v>44820</v>
      </c>
      <c r="AC159" s="108" t="s">
        <v>116</v>
      </c>
      <c r="AD159" s="108"/>
      <c r="AE159" s="349"/>
      <c r="AF159" s="579"/>
      <c r="AG159" s="579"/>
      <c r="AH159" s="354"/>
      <c r="AI159" s="489"/>
      <c r="AJ159" s="553"/>
      <c r="AK159" s="553"/>
      <c r="AL159" s="495"/>
      <c r="AM159" s="21" t="s">
        <v>116</v>
      </c>
      <c r="AN159" s="680" t="s">
        <v>709</v>
      </c>
      <c r="AO159" s="681">
        <v>11042197</v>
      </c>
      <c r="AP159" s="572"/>
      <c r="AQ159" s="572"/>
      <c r="AR159" s="572"/>
      <c r="AS159" s="538">
        <f>IF(Table159[[#This Row],[PCTS Approved]]="N",0,Table159[[#This Row],[Investment Amount (1'#'#'#'#'#)]]+Table159[[#This Row],[Retirement Amount (3'#'#'#'#'#)]])</f>
        <v>0</v>
      </c>
      <c r="AT159" s="538">
        <f>IF(Table159[[#This Row],[Approved Construction Cost]]=0,0,Table159[[#This Row],[Approved Construction Cost]]-Table159[[#This Row],[Construction Cost to Bill From]])</f>
        <v>0</v>
      </c>
      <c r="AU159" s="538">
        <f>IFERROR(Table159[[#This Row],[Difference in Construction Cost]]*Table159[[#This Row],[Rate]],Table159[[#This Row],[Difference in Construction Cost]]*0.085)</f>
        <v>0</v>
      </c>
      <c r="AV159" s="572"/>
      <c r="AW159" s="639"/>
      <c r="AX159" s="538"/>
      <c r="AY159" s="636" t="s">
        <v>709</v>
      </c>
      <c r="AZ159" s="334">
        <v>25</v>
      </c>
      <c r="BA159" s="652" t="s">
        <v>1337</v>
      </c>
      <c r="BB159" s="644" t="s">
        <v>1338</v>
      </c>
      <c r="BC159" s="544" t="s">
        <v>115</v>
      </c>
      <c r="BD159" s="544" t="s">
        <v>115</v>
      </c>
      <c r="BE159" s="544" t="s">
        <v>1339</v>
      </c>
      <c r="BF159" s="544" t="s">
        <v>115</v>
      </c>
      <c r="BG159" s="544" t="s">
        <v>1340</v>
      </c>
      <c r="BH159" s="741"/>
      <c r="BI159" s="547" t="s">
        <v>709</v>
      </c>
      <c r="BJ159" s="547" t="s">
        <v>709</v>
      </c>
      <c r="BK159" s="547" t="s">
        <v>116</v>
      </c>
      <c r="BL159" s="547" t="s">
        <v>709</v>
      </c>
      <c r="BM159" s="547" t="s">
        <v>709</v>
      </c>
      <c r="BN159" s="547">
        <v>769</v>
      </c>
      <c r="BO159" s="547" t="s">
        <v>709</v>
      </c>
      <c r="BP159" s="547" t="s">
        <v>709</v>
      </c>
      <c r="BQ159" s="547">
        <v>173</v>
      </c>
      <c r="BR159" s="547">
        <v>55</v>
      </c>
      <c r="BS159" s="547" t="s">
        <v>709</v>
      </c>
      <c r="BT159" s="547" t="s">
        <v>745</v>
      </c>
      <c r="BU159" s="547" t="s">
        <v>709</v>
      </c>
      <c r="BV159" s="547" t="s">
        <v>745</v>
      </c>
      <c r="BW159" s="547" t="s">
        <v>709</v>
      </c>
      <c r="BX159" s="547" t="s">
        <v>745</v>
      </c>
      <c r="BY159" s="547" t="s">
        <v>745</v>
      </c>
      <c r="BZ159" s="483"/>
    </row>
    <row r="160" spans="1:78" ht="15" hidden="1" customHeight="1" x14ac:dyDescent="0.25">
      <c r="A160" s="8" t="s">
        <v>800</v>
      </c>
      <c r="B160" s="8" t="s">
        <v>4</v>
      </c>
      <c r="C160" s="8" t="s">
        <v>1816</v>
      </c>
      <c r="D160" s="8" t="s">
        <v>1817</v>
      </c>
      <c r="E160" s="8" t="s">
        <v>1347</v>
      </c>
      <c r="F160" s="8" t="s">
        <v>1102</v>
      </c>
      <c r="G160" s="8" t="s">
        <v>35</v>
      </c>
      <c r="H160" s="8" t="s">
        <v>59</v>
      </c>
      <c r="I160" s="642">
        <v>45352</v>
      </c>
      <c r="J160" s="18">
        <v>45450</v>
      </c>
      <c r="K160" s="97">
        <v>45447</v>
      </c>
      <c r="L160" s="16">
        <f>IF(ISTEXT(Table159[[#This Row],[Engineering Approved Design Date]]),Table159[[#This Row],[Date Completed]]-Table159[[#This Row],[Date Assigned to Designer]],Table159[[#This Row],[Engineering Approved Design Date]]-Table159[[#This Row],[Date Completed]])</f>
        <v>3</v>
      </c>
      <c r="M160" s="642"/>
      <c r="N160" s="642" t="s">
        <v>120</v>
      </c>
      <c r="O160" s="510">
        <v>45444</v>
      </c>
      <c r="P160" s="221" t="s">
        <v>739</v>
      </c>
      <c r="Q160" s="70">
        <f>Table159[[#This Row],[Rate]]*Table159[[#This Row],[Construction Cost to Bill From]]</f>
        <v>55458.917000000009</v>
      </c>
      <c r="R160" s="75">
        <v>0.1</v>
      </c>
      <c r="U160" s="87"/>
      <c r="V160" s="437">
        <v>1877</v>
      </c>
      <c r="W160" s="437">
        <v>0</v>
      </c>
      <c r="X160" s="24">
        <v>449671.96</v>
      </c>
      <c r="Y160" s="551"/>
      <c r="Z160" s="552">
        <v>104917.21</v>
      </c>
      <c r="AA160" s="300">
        <f>SUM(Table159[[#This Row],[PCTS Investment Amount]:[PCTS Retirement Amount]])</f>
        <v>554589.17000000004</v>
      </c>
      <c r="AB160" s="207">
        <v>45447</v>
      </c>
      <c r="AC160" s="22" t="s">
        <v>709</v>
      </c>
      <c r="AD160" s="22" t="s">
        <v>29</v>
      </c>
      <c r="AE160" s="187" t="s">
        <v>116</v>
      </c>
      <c r="AF160" s="568" t="s">
        <v>29</v>
      </c>
      <c r="AG160" s="568" t="s">
        <v>376</v>
      </c>
      <c r="AH160" s="356">
        <v>45525</v>
      </c>
      <c r="AI160" s="426">
        <v>0</v>
      </c>
      <c r="AJ160" s="542">
        <v>4100</v>
      </c>
      <c r="AK160" s="542">
        <v>8442.5</v>
      </c>
      <c r="AL160" s="493">
        <f>SUM(Table159[[#This Row],[Nicor Initiated DBE]:[Staffing]])/(Table159[[#This Row],[Amount Invoiced]])</f>
        <v>0.22615840118190547</v>
      </c>
      <c r="AM160" s="21" t="s">
        <v>116</v>
      </c>
      <c r="AN160" s="801">
        <v>45581</v>
      </c>
      <c r="AO160" s="806">
        <v>11092361</v>
      </c>
      <c r="AP160" s="788">
        <v>455037.29</v>
      </c>
      <c r="AQ160" s="788"/>
      <c r="AR160" s="788">
        <v>105076.41</v>
      </c>
      <c r="AS160" s="538">
        <f>IF(Table159[[#This Row],[PCTS Approved]]="N",0,Table159[[#This Row],[Investment Amount (1'#'#'#'#'#)]]+Table159[[#This Row],[Retirement Amount (3'#'#'#'#'#)]])</f>
        <v>560113.69999999995</v>
      </c>
      <c r="AT160" s="538">
        <f>IF(Table159[[#This Row],[Approved Construction Cost]]=0,0,Table159[[#This Row],[Approved Construction Cost]]-Table159[[#This Row],[Construction Cost to Bill From]])</f>
        <v>5524.5299999999115</v>
      </c>
      <c r="AU160" s="538">
        <f>IFERROR(Table159[[#This Row],[Difference in Construction Cost]]*Table159[[#This Row],[Rate]],Table159[[#This Row],[Difference in Construction Cost]]*0.085)</f>
        <v>552.45299999999122</v>
      </c>
      <c r="AV160" s="718">
        <v>0</v>
      </c>
      <c r="AW160" s="660" t="s">
        <v>6857</v>
      </c>
      <c r="AX160" s="555"/>
      <c r="AY160" s="636" t="s">
        <v>709</v>
      </c>
      <c r="AZ160" s="334">
        <v>141</v>
      </c>
      <c r="BA160" s="643" t="s">
        <v>1818</v>
      </c>
      <c r="BB160" s="644" t="s">
        <v>1819</v>
      </c>
      <c r="BC160" s="559" t="s">
        <v>709</v>
      </c>
      <c r="BD160" s="554" t="s">
        <v>709</v>
      </c>
      <c r="BE160" s="588" t="s">
        <v>1819</v>
      </c>
      <c r="BF160" s="588" t="s">
        <v>709</v>
      </c>
      <c r="BG160" s="548" t="s">
        <v>29</v>
      </c>
      <c r="BH160" s="615" t="s">
        <v>1820</v>
      </c>
      <c r="BI160" s="547" t="s">
        <v>709</v>
      </c>
      <c r="BJ160" s="547" t="s">
        <v>709</v>
      </c>
      <c r="BK160" s="547" t="s">
        <v>709</v>
      </c>
      <c r="BL160" s="547" t="s">
        <v>116</v>
      </c>
      <c r="BM160" s="547" t="s">
        <v>709</v>
      </c>
      <c r="BN160" s="547" t="s">
        <v>709</v>
      </c>
      <c r="BO160" s="547" t="s">
        <v>709</v>
      </c>
      <c r="BP160" s="626" t="s">
        <v>709</v>
      </c>
      <c r="BQ160" s="626" t="s">
        <v>709</v>
      </c>
      <c r="BR160" s="549" t="s">
        <v>709</v>
      </c>
      <c r="BS160" s="549">
        <v>1877</v>
      </c>
      <c r="BT160" s="547" t="s">
        <v>745</v>
      </c>
      <c r="BU160" s="547" t="s">
        <v>709</v>
      </c>
      <c r="BV160" s="547" t="s">
        <v>745</v>
      </c>
      <c r="BW160" s="547" t="s">
        <v>709</v>
      </c>
      <c r="BX160" s="547" t="s">
        <v>745</v>
      </c>
      <c r="BY160" s="547" t="s">
        <v>745</v>
      </c>
      <c r="BZ160" s="483"/>
    </row>
    <row r="161" spans="1:78" ht="15" hidden="1" customHeight="1" x14ac:dyDescent="0.25">
      <c r="A161" s="8" t="s">
        <v>800</v>
      </c>
      <c r="B161" s="8" t="s">
        <v>4</v>
      </c>
      <c r="C161" s="8" t="s">
        <v>6717</v>
      </c>
      <c r="D161" s="8" t="s">
        <v>6718</v>
      </c>
      <c r="E161" s="8" t="s">
        <v>6719</v>
      </c>
      <c r="F161" s="8" t="s">
        <v>784</v>
      </c>
      <c r="G161" s="8" t="s">
        <v>6712</v>
      </c>
      <c r="H161" s="8" t="s">
        <v>59</v>
      </c>
      <c r="I161" s="642">
        <v>45550</v>
      </c>
      <c r="J161" s="18">
        <v>45604</v>
      </c>
      <c r="K161" s="97">
        <v>45602</v>
      </c>
      <c r="L161" s="16">
        <f>IF(ISTEXT(Table159[[#This Row],[Engineering Approved Design Date]]),Table159[[#This Row],[Date Completed]]-Table159[[#This Row],[Date Assigned to Designer]],Table159[[#This Row],[Engineering Approved Design Date]]-Table159[[#This Row],[Date Completed]])</f>
        <v>2</v>
      </c>
      <c r="M161" s="642"/>
      <c r="N161" s="99" t="s">
        <v>120</v>
      </c>
      <c r="O161" s="510">
        <v>45597</v>
      </c>
      <c r="P161" s="221" t="s">
        <v>739</v>
      </c>
      <c r="Q161" s="70">
        <f>Table159[[#This Row],[Rate]]*Table159[[#This Row],[Construction Cost to Bill From]]</f>
        <v>10943.445</v>
      </c>
      <c r="R161" s="75">
        <v>0.1</v>
      </c>
      <c r="S161" s="24" t="s">
        <v>29</v>
      </c>
      <c r="T161" s="538" t="s">
        <v>29</v>
      </c>
      <c r="U161" s="28" t="s">
        <v>29</v>
      </c>
      <c r="V161" s="437">
        <v>159</v>
      </c>
      <c r="W161" s="437" t="s">
        <v>29</v>
      </c>
      <c r="X161" s="24">
        <v>76825.48</v>
      </c>
      <c r="Y161" s="550"/>
      <c r="Z161" s="552">
        <v>32608.97</v>
      </c>
      <c r="AA161" s="300">
        <f>SUM(Table159[[#This Row],[PCTS Investment Amount]:[PCTS Retirement Amount]])</f>
        <v>109434.45</v>
      </c>
      <c r="AB161" s="207">
        <v>45601</v>
      </c>
      <c r="AC161" s="22" t="s">
        <v>29</v>
      </c>
      <c r="AD161" s="22" t="s">
        <v>29</v>
      </c>
      <c r="AE161" s="187" t="s">
        <v>116</v>
      </c>
      <c r="AF161" s="568" t="s">
        <v>29</v>
      </c>
      <c r="AG161" s="568" t="s">
        <v>29</v>
      </c>
      <c r="AH161" s="356">
        <v>45646</v>
      </c>
      <c r="AI161" s="499" t="s">
        <v>29</v>
      </c>
      <c r="AJ161" s="541">
        <v>2450</v>
      </c>
      <c r="AK161" s="745" t="s">
        <v>29</v>
      </c>
      <c r="AL161" s="494">
        <f>SUM(Table159[[#This Row],[Nicor Initiated DBE]:[Staffing]])/(Table159[[#This Row],[Amount Invoiced]])</f>
        <v>0.22387831254234841</v>
      </c>
      <c r="AM161" s="21" t="s">
        <v>116</v>
      </c>
      <c r="AN161" s="680" t="s">
        <v>709</v>
      </c>
      <c r="AO161" s="601"/>
      <c r="AP161" s="572"/>
      <c r="AQ161" s="572"/>
      <c r="AR161" s="572"/>
      <c r="AS161" s="538">
        <f>IF(Table159[[#This Row],[PCTS Approved]]="N",0,Table159[[#This Row],[Investment Amount (1'#'#'#'#'#)]]+Table159[[#This Row],[Retirement Amount (3'#'#'#'#'#)]])</f>
        <v>0</v>
      </c>
      <c r="AT161" s="538">
        <f>IF(Table159[[#This Row],[Approved Construction Cost]]=0,0,Table159[[#This Row],[Approved Construction Cost]]-Table159[[#This Row],[Construction Cost to Bill From]])</f>
        <v>0</v>
      </c>
      <c r="AU161" s="538">
        <f>Table159[[#This Row],[Difference in Construction Cost]]*Table159[[#This Row],[Rate]]</f>
        <v>0</v>
      </c>
      <c r="AV161" s="602"/>
      <c r="AW161" s="640"/>
      <c r="AX161" s="555"/>
      <c r="AY161" s="636" t="s">
        <v>709</v>
      </c>
      <c r="AZ161" s="334"/>
      <c r="BA161" s="643" t="s">
        <v>6720</v>
      </c>
      <c r="BB161" s="644" t="s">
        <v>6721</v>
      </c>
      <c r="BC161" s="559" t="s">
        <v>709</v>
      </c>
      <c r="BD161" s="559" t="s">
        <v>709</v>
      </c>
      <c r="BE161" s="554" t="s">
        <v>6722</v>
      </c>
      <c r="BF161" s="588" t="s">
        <v>709</v>
      </c>
      <c r="BG161" s="588" t="s">
        <v>709</v>
      </c>
      <c r="BH161" s="615" t="s">
        <v>6723</v>
      </c>
      <c r="BI161" s="549" t="s">
        <v>709</v>
      </c>
      <c r="BJ161" s="549" t="s">
        <v>709</v>
      </c>
      <c r="BK161" s="549" t="s">
        <v>709</v>
      </c>
      <c r="BL161" s="547" t="s">
        <v>116</v>
      </c>
      <c r="BM161" s="549" t="s">
        <v>709</v>
      </c>
      <c r="BN161" s="549" t="s">
        <v>709</v>
      </c>
      <c r="BO161" s="549" t="s">
        <v>709</v>
      </c>
      <c r="BP161" s="549" t="s">
        <v>709</v>
      </c>
      <c r="BQ161" s="549" t="s">
        <v>709</v>
      </c>
      <c r="BR161" s="549" t="s">
        <v>709</v>
      </c>
      <c r="BS161" s="549">
        <v>159</v>
      </c>
      <c r="BT161" s="549" t="s">
        <v>709</v>
      </c>
      <c r="BU161" s="549" t="s">
        <v>709</v>
      </c>
      <c r="BV161" s="549" t="s">
        <v>709</v>
      </c>
      <c r="BW161" s="549" t="s">
        <v>709</v>
      </c>
      <c r="BX161" s="549" t="s">
        <v>709</v>
      </c>
      <c r="BY161" s="549" t="s">
        <v>709</v>
      </c>
      <c r="BZ161" s="743"/>
    </row>
    <row r="162" spans="1:78" ht="15" hidden="1" customHeight="1" x14ac:dyDescent="0.25">
      <c r="A162" s="8" t="s">
        <v>800</v>
      </c>
      <c r="B162" s="8" t="s">
        <v>4</v>
      </c>
      <c r="C162" s="8" t="s">
        <v>6745</v>
      </c>
      <c r="D162" s="8" t="s">
        <v>6746</v>
      </c>
      <c r="E162" s="8" t="s">
        <v>76</v>
      </c>
      <c r="F162" s="8" t="s">
        <v>851</v>
      </c>
      <c r="G162" s="8" t="s">
        <v>6377</v>
      </c>
      <c r="H162" s="8" t="s">
        <v>59</v>
      </c>
      <c r="I162" s="642">
        <v>45496</v>
      </c>
      <c r="J162" s="18">
        <v>45611</v>
      </c>
      <c r="K162" s="97">
        <v>45610</v>
      </c>
      <c r="L162" s="16">
        <f>IF(ISTEXT(Table159[[#This Row],[Engineering Approved Design Date]]),Table159[[#This Row],[Date Completed]]-Table159[[#This Row],[Date Assigned to Designer]],Table159[[#This Row],[Engineering Approved Design Date]]-Table159[[#This Row],[Date Completed]])</f>
        <v>1</v>
      </c>
      <c r="M162" s="642"/>
      <c r="N162" s="99" t="s">
        <v>120</v>
      </c>
      <c r="O162" s="510">
        <v>45597</v>
      </c>
      <c r="P162" s="221" t="s">
        <v>739</v>
      </c>
      <c r="Q162" s="71">
        <f>Table159[[#This Row],[Rate]]*Table159[[#This Row],[Construction Cost to Bill From]]</f>
        <v>108189.251</v>
      </c>
      <c r="R162" s="75">
        <v>0.1</v>
      </c>
      <c r="S162" s="24" t="s">
        <v>29</v>
      </c>
      <c r="T162" s="538" t="s">
        <v>29</v>
      </c>
      <c r="U162" s="28" t="s">
        <v>29</v>
      </c>
      <c r="V162" s="437">
        <v>2585</v>
      </c>
      <c r="W162" s="437">
        <v>0</v>
      </c>
      <c r="X162" s="24">
        <v>863453.43</v>
      </c>
      <c r="Y162" s="550"/>
      <c r="Z162" s="552">
        <v>218439.08</v>
      </c>
      <c r="AA162" s="300">
        <f>SUM(Table159[[#This Row],[PCTS Investment Amount]:[PCTS Retirement Amount]])</f>
        <v>1081892.51</v>
      </c>
      <c r="AB162" s="207">
        <v>45610</v>
      </c>
      <c r="AC162" s="22" t="s">
        <v>709</v>
      </c>
      <c r="AD162" s="22" t="s">
        <v>29</v>
      </c>
      <c r="AE162" s="187" t="s">
        <v>756</v>
      </c>
      <c r="AF162" s="568" t="s">
        <v>756</v>
      </c>
      <c r="AG162" s="568" t="s">
        <v>376</v>
      </c>
      <c r="AH162" s="356">
        <v>45646</v>
      </c>
      <c r="AI162" s="499" t="s">
        <v>29</v>
      </c>
      <c r="AJ162" s="541">
        <v>6150</v>
      </c>
      <c r="AK162" s="745">
        <v>8371.75</v>
      </c>
      <c r="AL162" s="494">
        <f>SUM(Table159[[#This Row],[Nicor Initiated DBE]:[Staffing]])/(Table159[[#This Row],[Amount Invoiced]])</f>
        <v>0.1342254416753472</v>
      </c>
      <c r="AM162" s="21" t="s">
        <v>116</v>
      </c>
      <c r="AN162" s="680" t="s">
        <v>709</v>
      </c>
      <c r="AO162" s="681"/>
      <c r="AP162" s="682"/>
      <c r="AQ162" s="682"/>
      <c r="AR162" s="682"/>
      <c r="AS162" s="538">
        <f>IF(Table159[[#This Row],[PCTS Approved]]="N",0,Table159[[#This Row],[Investment Amount (1'#'#'#'#'#)]]+Table159[[#This Row],[Retirement Amount (3'#'#'#'#'#)]])</f>
        <v>0</v>
      </c>
      <c r="AT162" s="538">
        <f>IF(Table159[[#This Row],[Approved Construction Cost]]=0,0,Table159[[#This Row],[Approved Construction Cost]]-Table159[[#This Row],[Construction Cost to Bill From]])</f>
        <v>0</v>
      </c>
      <c r="AU162" s="538">
        <f>Table159[[#This Row],[Difference in Construction Cost]]*Table159[[#This Row],[Rate]]</f>
        <v>0</v>
      </c>
      <c r="AV162" s="690"/>
      <c r="AW162" s="660"/>
      <c r="AX162" s="555"/>
      <c r="AY162" s="636" t="s">
        <v>709</v>
      </c>
      <c r="AZ162" s="334"/>
      <c r="BA162" s="643" t="s">
        <v>6748</v>
      </c>
      <c r="BB162" s="644" t="s">
        <v>4997</v>
      </c>
      <c r="BC162" s="559" t="s">
        <v>709</v>
      </c>
      <c r="BD162" s="559" t="s">
        <v>709</v>
      </c>
      <c r="BE162" s="554" t="s">
        <v>6749</v>
      </c>
      <c r="BF162" s="588" t="s">
        <v>709</v>
      </c>
      <c r="BG162" s="588" t="s">
        <v>709</v>
      </c>
      <c r="BH162" s="615" t="s">
        <v>6750</v>
      </c>
      <c r="BI162" s="549" t="s">
        <v>709</v>
      </c>
      <c r="BJ162" s="549" t="s">
        <v>709</v>
      </c>
      <c r="BK162" s="549" t="s">
        <v>709</v>
      </c>
      <c r="BL162" s="547" t="s">
        <v>116</v>
      </c>
      <c r="BM162" s="549" t="s">
        <v>709</v>
      </c>
      <c r="BN162" s="549" t="s">
        <v>709</v>
      </c>
      <c r="BO162" s="549" t="s">
        <v>709</v>
      </c>
      <c r="BP162" s="549" t="s">
        <v>709</v>
      </c>
      <c r="BQ162" s="549" t="s">
        <v>709</v>
      </c>
      <c r="BR162" s="549" t="s">
        <v>709</v>
      </c>
      <c r="BS162" s="549">
        <v>2585</v>
      </c>
      <c r="BT162" s="549" t="s">
        <v>745</v>
      </c>
      <c r="BU162" s="549" t="s">
        <v>709</v>
      </c>
      <c r="BV162" s="549" t="s">
        <v>745</v>
      </c>
      <c r="BW162" s="549" t="s">
        <v>709</v>
      </c>
      <c r="BX162" s="549" t="s">
        <v>745</v>
      </c>
      <c r="BY162" s="549" t="s">
        <v>745</v>
      </c>
      <c r="BZ162" s="743"/>
    </row>
    <row r="163" spans="1:78" ht="15" hidden="1" customHeight="1" x14ac:dyDescent="0.25">
      <c r="A163" s="8" t="s">
        <v>770</v>
      </c>
      <c r="B163" s="8" t="s">
        <v>771</v>
      </c>
      <c r="C163" s="8" t="s">
        <v>383</v>
      </c>
      <c r="D163" s="8" t="s">
        <v>1434</v>
      </c>
      <c r="E163" s="8" t="s">
        <v>104</v>
      </c>
      <c r="F163" s="8" t="s">
        <v>784</v>
      </c>
      <c r="G163" s="8" t="s">
        <v>36</v>
      </c>
      <c r="H163" s="13" t="s">
        <v>59</v>
      </c>
      <c r="I163" s="642">
        <v>44250</v>
      </c>
      <c r="J163" s="18">
        <v>45016</v>
      </c>
      <c r="K163" s="97">
        <v>45008</v>
      </c>
      <c r="L163" s="16">
        <f>IF(ISTEXT(Table159[[#This Row],[Engineering Approved Design Date]]),Table159[[#This Row],[Date Completed]]-Table159[[#This Row],[Date Assigned to Designer]],Table159[[#This Row],[Engineering Approved Design Date]]-Table159[[#This Row],[Date Completed]])</f>
        <v>8</v>
      </c>
      <c r="M163" s="642"/>
      <c r="N163" s="642" t="s">
        <v>120</v>
      </c>
      <c r="O163" s="510">
        <v>45017</v>
      </c>
      <c r="P163" s="221" t="s">
        <v>120</v>
      </c>
      <c r="Q163" s="70">
        <f>Table159[[#This Row],[Rate]]*Table159[[#This Row],[Construction Cost to Bill From]]</f>
        <v>148271.67179999998</v>
      </c>
      <c r="R163" s="75">
        <v>0.09</v>
      </c>
      <c r="U163" s="87"/>
      <c r="V163" s="437">
        <v>1626</v>
      </c>
      <c r="W163" s="437">
        <v>0</v>
      </c>
      <c r="X163" s="94">
        <v>1586798.2</v>
      </c>
      <c r="Y163" s="592"/>
      <c r="Z163" s="552">
        <v>60664.82</v>
      </c>
      <c r="AA163" s="300">
        <f>Table159[[#This Row],[PCTS Investment Amount]]+Table159[[#This Row],[PCTS Retirement Amount]]</f>
        <v>1647463.02</v>
      </c>
      <c r="AB163" s="207">
        <v>45040</v>
      </c>
      <c r="AC163" s="108" t="s">
        <v>1177</v>
      </c>
      <c r="AD163" s="108" t="s">
        <v>29</v>
      </c>
      <c r="AE163" s="349"/>
      <c r="AF163" s="579"/>
      <c r="AG163" s="579"/>
      <c r="AH163" s="354"/>
      <c r="AI163" s="489"/>
      <c r="AJ163" s="553"/>
      <c r="AK163" s="553"/>
      <c r="AL163" s="495"/>
      <c r="AM163" s="21" t="s">
        <v>116</v>
      </c>
      <c r="AN163" s="680" t="s">
        <v>709</v>
      </c>
      <c r="AO163" s="681">
        <v>11037256</v>
      </c>
      <c r="AP163" s="572"/>
      <c r="AQ163" s="572"/>
      <c r="AR163" s="572"/>
      <c r="AS163" s="538">
        <f>IF(Table159[[#This Row],[PCTS Approved]]="N",0,Table159[[#This Row],[Investment Amount (1'#'#'#'#'#)]]+Table159[[#This Row],[Retirement Amount (3'#'#'#'#'#)]])</f>
        <v>0</v>
      </c>
      <c r="AT163" s="538">
        <f>IF(Table159[[#This Row],[Approved Construction Cost]]=0,0,Table159[[#This Row],[Approved Construction Cost]]-Table159[[#This Row],[Construction Cost to Bill From]])</f>
        <v>0</v>
      </c>
      <c r="AU163" s="538">
        <f>IFERROR(Table159[[#This Row],[Difference in Construction Cost]]*Table159[[#This Row],[Rate]],Table159[[#This Row],[Difference in Construction Cost]]*0.085)</f>
        <v>0</v>
      </c>
      <c r="AV163" s="572"/>
      <c r="AW163" s="639"/>
      <c r="AX163" s="538"/>
      <c r="AY163" s="636" t="s">
        <v>709</v>
      </c>
      <c r="AZ163" s="334">
        <v>38</v>
      </c>
      <c r="BA163" s="652" t="s">
        <v>1435</v>
      </c>
      <c r="BB163" s="644" t="s">
        <v>1436</v>
      </c>
      <c r="BC163" s="544" t="s">
        <v>116</v>
      </c>
      <c r="BD163" s="544" t="s">
        <v>115</v>
      </c>
      <c r="BE163" s="544" t="s">
        <v>1232</v>
      </c>
      <c r="BF163" s="544" t="s">
        <v>115</v>
      </c>
      <c r="BG163" s="544"/>
      <c r="BH163" s="741"/>
      <c r="BI163" s="547" t="s">
        <v>709</v>
      </c>
      <c r="BJ163" s="547" t="s">
        <v>709</v>
      </c>
      <c r="BK163" s="547" t="s">
        <v>709</v>
      </c>
      <c r="BL163" s="547" t="s">
        <v>116</v>
      </c>
      <c r="BM163" s="547" t="s">
        <v>709</v>
      </c>
      <c r="BN163" s="547">
        <v>533</v>
      </c>
      <c r="BO163" s="547" t="s">
        <v>709</v>
      </c>
      <c r="BP163" s="547">
        <v>228</v>
      </c>
      <c r="BQ163" s="547">
        <v>422</v>
      </c>
      <c r="BR163" s="547">
        <v>414</v>
      </c>
      <c r="BS163" s="547">
        <v>22</v>
      </c>
      <c r="BT163" s="547" t="s">
        <v>745</v>
      </c>
      <c r="BU163" s="547" t="s">
        <v>709</v>
      </c>
      <c r="BV163" s="547" t="s">
        <v>745</v>
      </c>
      <c r="BW163" s="547" t="s">
        <v>709</v>
      </c>
      <c r="BX163" s="547" t="s">
        <v>745</v>
      </c>
      <c r="BY163" s="547" t="s">
        <v>745</v>
      </c>
      <c r="BZ163" s="483"/>
    </row>
    <row r="164" spans="1:78" ht="15" hidden="1" customHeight="1" x14ac:dyDescent="0.25">
      <c r="A164" s="8" t="s">
        <v>6816</v>
      </c>
      <c r="B164" s="8" t="s">
        <v>730</v>
      </c>
      <c r="C164" s="8" t="s">
        <v>6682</v>
      </c>
      <c r="D164" s="8" t="s">
        <v>6683</v>
      </c>
      <c r="E164" s="8" t="s">
        <v>245</v>
      </c>
      <c r="F164" s="8" t="s">
        <v>6643</v>
      </c>
      <c r="G164" s="8" t="s">
        <v>34</v>
      </c>
      <c r="H164" s="8" t="s">
        <v>59</v>
      </c>
      <c r="I164" s="642">
        <v>45470</v>
      </c>
      <c r="J164" s="472">
        <v>45590</v>
      </c>
      <c r="K164" s="18">
        <v>45589</v>
      </c>
      <c r="L164" s="16">
        <f>IF(ISTEXT(Table159[[#This Row],[Engineering Approved Design Date]]),Table159[[#This Row],[Date Completed]]-Table159[[#This Row],[Date Assigned to Designer]],Table159[[#This Row],[Engineering Approved Design Date]]-Table159[[#This Row],[Date Completed]])</f>
        <v>1</v>
      </c>
      <c r="M164" s="642"/>
      <c r="N164" s="642" t="s">
        <v>120</v>
      </c>
      <c r="O164" s="510">
        <v>45620</v>
      </c>
      <c r="P164" s="221" t="s">
        <v>120</v>
      </c>
      <c r="Q164" s="550">
        <v>12750</v>
      </c>
      <c r="R164" s="77" t="s">
        <v>6644</v>
      </c>
      <c r="S164" s="754" t="s">
        <v>29</v>
      </c>
      <c r="T164" s="538" t="s">
        <v>29</v>
      </c>
      <c r="U164" s="87" t="s">
        <v>29</v>
      </c>
      <c r="V164" s="437">
        <v>104</v>
      </c>
      <c r="W164" s="437">
        <v>2</v>
      </c>
      <c r="X164" s="24">
        <v>152286.35</v>
      </c>
      <c r="Y164" s="551"/>
      <c r="Z164" s="552">
        <v>57855.93</v>
      </c>
      <c r="AA164" s="300">
        <f>SUM(Table159[[#This Row],[PCTS Investment Amount]:[PCTS Retirement Amount]])</f>
        <v>210142.28</v>
      </c>
      <c r="AB164" s="207">
        <v>45590</v>
      </c>
      <c r="AC164" s="22" t="s">
        <v>811</v>
      </c>
      <c r="AD164" s="22" t="s">
        <v>29</v>
      </c>
      <c r="AE164" s="187" t="s">
        <v>116</v>
      </c>
      <c r="AF164" s="568" t="s">
        <v>116</v>
      </c>
      <c r="AG164" s="568" t="s">
        <v>376</v>
      </c>
      <c r="AH164" s="356" t="s">
        <v>376</v>
      </c>
      <c r="AI164" s="499">
        <v>9500</v>
      </c>
      <c r="AJ164" s="541" t="s">
        <v>29</v>
      </c>
      <c r="AK164" s="541">
        <v>4722</v>
      </c>
      <c r="AL164" s="494">
        <f>SUM(Table159[[#This Row],[Nicor Initiated DBE]:[Staffing]])/(Table159[[#This Row],[Amount Invoiced]])</f>
        <v>1.1154509803921568</v>
      </c>
      <c r="AM164" s="21" t="s">
        <v>116</v>
      </c>
      <c r="AN164" s="680" t="s">
        <v>709</v>
      </c>
      <c r="AO164" s="681">
        <v>11090427</v>
      </c>
      <c r="AP164" s="572"/>
      <c r="AQ164" s="572"/>
      <c r="AR164" s="572"/>
      <c r="AS164" s="538">
        <f>IF(Table159[[#This Row],[PCTS Approved]]="N",0,Table159[[#This Row],[Investment Amount (1'#'#'#'#'#)]]+Table159[[#This Row],[Retirement Amount (3'#'#'#'#'#)]])</f>
        <v>0</v>
      </c>
      <c r="AT164" s="538">
        <f>IF(Table159[[#This Row],[Approved Construction Cost]]=0,0,Table159[[#This Row],[Approved Construction Cost]]-Table159[[#This Row],[Construction Cost to Bill From]])</f>
        <v>0</v>
      </c>
      <c r="AU164" s="538">
        <f>IFERROR(Table159[[#This Row],[Difference in Construction Cost]]*Table159[[#This Row],[Rate]],Table159[[#This Row],[Difference in Construction Cost]]*0.085)</f>
        <v>0</v>
      </c>
      <c r="AV164" s="572"/>
      <c r="AW164" s="639"/>
      <c r="AX164" s="538"/>
      <c r="AY164" s="636" t="s">
        <v>709</v>
      </c>
      <c r="AZ164" s="1258"/>
      <c r="BA164" s="651" t="s">
        <v>6684</v>
      </c>
      <c r="BB164" s="644" t="s">
        <v>6685</v>
      </c>
      <c r="BC164" s="559" t="s">
        <v>116</v>
      </c>
      <c r="BD164" s="554" t="s">
        <v>709</v>
      </c>
      <c r="BE164" s="588" t="s">
        <v>709</v>
      </c>
      <c r="BF164" s="588" t="s">
        <v>1028</v>
      </c>
      <c r="BG164" s="548" t="s">
        <v>709</v>
      </c>
      <c r="BH164" s="615" t="s">
        <v>6686</v>
      </c>
      <c r="BI164" s="547" t="s">
        <v>709</v>
      </c>
      <c r="BJ164" s="547" t="s">
        <v>709</v>
      </c>
      <c r="BK164" s="547" t="s">
        <v>116</v>
      </c>
      <c r="BL164" s="547" t="s">
        <v>116</v>
      </c>
      <c r="BM164" s="547" t="s">
        <v>709</v>
      </c>
      <c r="BN164" s="547" t="s">
        <v>709</v>
      </c>
      <c r="BO164" s="547" t="s">
        <v>709</v>
      </c>
      <c r="BP164" s="626" t="s">
        <v>709</v>
      </c>
      <c r="BQ164" s="626" t="s">
        <v>709</v>
      </c>
      <c r="BR164" s="549">
        <v>46</v>
      </c>
      <c r="BS164" s="549">
        <v>58</v>
      </c>
      <c r="BT164" s="547" t="s">
        <v>709</v>
      </c>
      <c r="BU164" s="547">
        <v>1</v>
      </c>
      <c r="BV164" s="547" t="s">
        <v>709</v>
      </c>
      <c r="BW164" s="547" t="s">
        <v>709</v>
      </c>
      <c r="BX164" s="547">
        <v>1</v>
      </c>
      <c r="BY164" s="547" t="s">
        <v>709</v>
      </c>
      <c r="BZ164" s="483"/>
    </row>
    <row r="165" spans="1:78" ht="15" hidden="1" customHeight="1" x14ac:dyDescent="0.25">
      <c r="A165" s="8" t="s">
        <v>6816</v>
      </c>
      <c r="B165" s="8" t="s">
        <v>730</v>
      </c>
      <c r="C165" s="8" t="s">
        <v>6762</v>
      </c>
      <c r="D165" s="8" t="s">
        <v>6763</v>
      </c>
      <c r="E165" s="8" t="s">
        <v>6764</v>
      </c>
      <c r="F165" s="8" t="s">
        <v>6643</v>
      </c>
      <c r="G165" s="8" t="s">
        <v>37</v>
      </c>
      <c r="H165" s="8" t="s">
        <v>59</v>
      </c>
      <c r="I165" s="642">
        <v>45491</v>
      </c>
      <c r="J165" s="472">
        <v>45615</v>
      </c>
      <c r="K165" s="18">
        <v>45611</v>
      </c>
      <c r="L165" s="16">
        <f>IF(ISTEXT(Table159[[#This Row],[Engineering Approved Design Date]]),Table159[[#This Row],[Date Completed]]-Table159[[#This Row],[Date Assigned to Designer]],Table159[[#This Row],[Engineering Approved Design Date]]-Table159[[#This Row],[Date Completed]])</f>
        <v>4</v>
      </c>
      <c r="M165" s="642"/>
      <c r="N165" s="642" t="s">
        <v>120</v>
      </c>
      <c r="O165" s="510">
        <v>45620</v>
      </c>
      <c r="P165" s="221" t="s">
        <v>120</v>
      </c>
      <c r="Q165" s="71">
        <f>Table159[[#This Row],[Rate]]*Table159[[#This Row],[Construction Cost to Bill From]]</f>
        <v>50089.041900000004</v>
      </c>
      <c r="R165" s="77">
        <v>0.09</v>
      </c>
      <c r="S165" s="754" t="s">
        <v>29</v>
      </c>
      <c r="T165" s="538" t="s">
        <v>29</v>
      </c>
      <c r="U165" s="87" t="s">
        <v>29</v>
      </c>
      <c r="V165" s="437">
        <f>1700+19+300</f>
        <v>2019</v>
      </c>
      <c r="W165" s="437">
        <v>0</v>
      </c>
      <c r="X165" s="24">
        <v>507454.25</v>
      </c>
      <c r="Y165" s="551"/>
      <c r="Z165" s="552">
        <v>49090.66</v>
      </c>
      <c r="AA165" s="300">
        <f>SUM(Table159[[#This Row],[PCTS Investment Amount]:[PCTS Retirement Amount]])</f>
        <v>556544.91</v>
      </c>
      <c r="AB165" s="207">
        <v>45609</v>
      </c>
      <c r="AC165" s="22" t="s">
        <v>116</v>
      </c>
      <c r="AD165" s="22" t="s">
        <v>116</v>
      </c>
      <c r="AE165" s="187" t="s">
        <v>116</v>
      </c>
      <c r="AF165" s="568" t="s">
        <v>116</v>
      </c>
      <c r="AG165" s="568" t="s">
        <v>376</v>
      </c>
      <c r="AH165" s="356" t="s">
        <v>376</v>
      </c>
      <c r="AI165" s="499">
        <v>0</v>
      </c>
      <c r="AJ165" s="541">
        <v>1638.52</v>
      </c>
      <c r="AK165" s="541">
        <f>3538+5389</f>
        <v>8927</v>
      </c>
      <c r="AL165" s="494">
        <f>SUM(Table159[[#This Row],[Nicor Initiated DBE]:[Staffing]])/(Table159[[#This Row],[Amount Invoiced]])</f>
        <v>0.21093475936500194</v>
      </c>
      <c r="AM165" s="21" t="s">
        <v>116</v>
      </c>
      <c r="AN165" s="680" t="s">
        <v>709</v>
      </c>
      <c r="AO165" s="601"/>
      <c r="AP165" s="572"/>
      <c r="AQ165" s="572"/>
      <c r="AR165" s="572"/>
      <c r="AS165" s="538">
        <f>IF(Table159[[#This Row],[PCTS Approved]]="N",0,Table159[[#This Row],[Investment Amount (1'#'#'#'#'#)]]+Table159[[#This Row],[Retirement Amount (3'#'#'#'#'#)]])</f>
        <v>0</v>
      </c>
      <c r="AT165" s="538">
        <f>IF(Table159[[#This Row],[Approved Construction Cost]]=0,0,Table159[[#This Row],[Approved Construction Cost]]-Table159[[#This Row],[Construction Cost to Bill From]])</f>
        <v>0</v>
      </c>
      <c r="AU165" s="538">
        <f>Table159[[#This Row],[Difference in Construction Cost]]*Table159[[#This Row],[Rate]]</f>
        <v>0</v>
      </c>
      <c r="AV165" s="572"/>
      <c r="AW165" s="639"/>
      <c r="AX165" s="538"/>
      <c r="AY165" s="636" t="s">
        <v>709</v>
      </c>
      <c r="AZ165" s="1258"/>
      <c r="BA165" s="651" t="s">
        <v>6765</v>
      </c>
      <c r="BB165" s="644" t="s">
        <v>6766</v>
      </c>
      <c r="BC165" s="559" t="s">
        <v>709</v>
      </c>
      <c r="BD165" s="554" t="s">
        <v>6767</v>
      </c>
      <c r="BE165" s="588" t="s">
        <v>709</v>
      </c>
      <c r="BF165" s="588" t="s">
        <v>6768</v>
      </c>
      <c r="BG165" s="548" t="s">
        <v>6769</v>
      </c>
      <c r="BH165" s="615" t="s">
        <v>6770</v>
      </c>
      <c r="BI165" s="547" t="s">
        <v>709</v>
      </c>
      <c r="BJ165" s="547" t="s">
        <v>709</v>
      </c>
      <c r="BK165" s="547" t="s">
        <v>709</v>
      </c>
      <c r="BL165" s="547" t="s">
        <v>116</v>
      </c>
      <c r="BM165" s="547" t="s">
        <v>709</v>
      </c>
      <c r="BN165" s="547" t="s">
        <v>709</v>
      </c>
      <c r="BO165" s="547" t="s">
        <v>709</v>
      </c>
      <c r="BP165" s="626" t="s">
        <v>709</v>
      </c>
      <c r="BQ165" s="626" t="s">
        <v>709</v>
      </c>
      <c r="BR165" s="549">
        <v>2019</v>
      </c>
      <c r="BS165" s="549" t="s">
        <v>709</v>
      </c>
      <c r="BT165" s="547" t="s">
        <v>709</v>
      </c>
      <c r="BU165" s="547" t="s">
        <v>709</v>
      </c>
      <c r="BV165" s="547" t="s">
        <v>709</v>
      </c>
      <c r="BW165" s="547" t="s">
        <v>709</v>
      </c>
      <c r="BX165" s="547" t="s">
        <v>709</v>
      </c>
      <c r="BY165" s="547" t="s">
        <v>709</v>
      </c>
      <c r="BZ165" s="483"/>
    </row>
    <row r="166" spans="1:78" ht="15" hidden="1" customHeight="1" x14ac:dyDescent="0.25">
      <c r="A166" s="8" t="s">
        <v>800</v>
      </c>
      <c r="B166" s="8" t="s">
        <v>4</v>
      </c>
      <c r="C166" s="8" t="s">
        <v>6792</v>
      </c>
      <c r="D166" s="8" t="s">
        <v>6793</v>
      </c>
      <c r="E166" s="8" t="s">
        <v>3528</v>
      </c>
      <c r="F166" s="8" t="s">
        <v>784</v>
      </c>
      <c r="G166" s="8" t="s">
        <v>25</v>
      </c>
      <c r="H166" s="8" t="s">
        <v>59</v>
      </c>
      <c r="I166" s="642">
        <v>45163</v>
      </c>
      <c r="J166" s="451">
        <v>45625</v>
      </c>
      <c r="K166" s="18">
        <v>45623</v>
      </c>
      <c r="L166" s="16">
        <f>IF(ISTEXT(Table159[[#This Row],[Engineering Approved Design Date]]),Table159[[#This Row],[Date Completed]]-Table159[[#This Row],[Date Assigned to Designer]],Table159[[#This Row],[Engineering Approved Design Date]]-Table159[[#This Row],[Date Completed]])</f>
        <v>2</v>
      </c>
      <c r="M166" s="642"/>
      <c r="N166" s="99" t="s">
        <v>739</v>
      </c>
      <c r="O166" s="510">
        <v>45627</v>
      </c>
      <c r="P166" s="221" t="s">
        <v>739</v>
      </c>
      <c r="Q166" s="781">
        <f>Table159[[#This Row],[Rate]]*Table159[[#This Row],[Construction Cost to Bill From]]</f>
        <v>255329.68899999998</v>
      </c>
      <c r="R166" s="75">
        <v>0.1</v>
      </c>
      <c r="S166" s="24" t="s">
        <v>29</v>
      </c>
      <c r="T166" s="538" t="s">
        <v>29</v>
      </c>
      <c r="U166" s="28" t="s">
        <v>29</v>
      </c>
      <c r="V166" s="437">
        <v>9544</v>
      </c>
      <c r="W166" s="437">
        <v>0</v>
      </c>
      <c r="X166" s="94">
        <v>2253330.7599999998</v>
      </c>
      <c r="Y166" s="551"/>
      <c r="Z166" s="552">
        <v>299966.13</v>
      </c>
      <c r="AA166" s="300">
        <f>SUM(Table159[[#This Row],[PCTS Investment Amount]:[PCTS Retirement Amount]])</f>
        <v>2553296.8899999997</v>
      </c>
      <c r="AB166" s="207">
        <v>45608</v>
      </c>
      <c r="AC166" s="22" t="s">
        <v>116</v>
      </c>
      <c r="AD166" s="22" t="s">
        <v>29</v>
      </c>
      <c r="AE166" s="187" t="s">
        <v>756</v>
      </c>
      <c r="AF166" s="568" t="s">
        <v>29</v>
      </c>
      <c r="AG166" s="568" t="s">
        <v>376</v>
      </c>
      <c r="AH166" s="356">
        <v>45646</v>
      </c>
      <c r="AI166" s="499">
        <v>0</v>
      </c>
      <c r="AJ166" s="541">
        <v>17900</v>
      </c>
      <c r="AK166" s="745">
        <v>56473.25</v>
      </c>
      <c r="AL166" s="494">
        <f>SUM(Table159[[#This Row],[Nicor Initiated DBE]:[Staffing]])/(Table159[[#This Row],[Amount Invoiced]])</f>
        <v>0.29128320443769468</v>
      </c>
      <c r="AM166" s="21" t="s">
        <v>116</v>
      </c>
      <c r="AN166" s="680" t="s">
        <v>709</v>
      </c>
      <c r="AO166" s="601"/>
      <c r="AP166" s="572"/>
      <c r="AQ166" s="572"/>
      <c r="AR166" s="572"/>
      <c r="AS166" s="538">
        <f>IF(Table159[[#This Row],[PCTS Approved]]="N",0,Table159[[#This Row],[Investment Amount (1'#'#'#'#'#)]]+Table159[[#This Row],[Retirement Amount (3'#'#'#'#'#)]])</f>
        <v>0</v>
      </c>
      <c r="AT166" s="538">
        <f>IF(Table159[[#This Row],[Approved Construction Cost]]=0,0,Table159[[#This Row],[Approved Construction Cost]]-Table159[[#This Row],[Construction Cost to Bill From]])</f>
        <v>0</v>
      </c>
      <c r="AU166" s="538">
        <f>Table159[[#This Row],[Difference in Construction Cost]]*Table159[[#This Row],[Rate]]</f>
        <v>0</v>
      </c>
      <c r="AV166" s="602"/>
      <c r="AW166" s="640"/>
      <c r="AX166" s="555"/>
      <c r="AY166" s="636" t="s">
        <v>709</v>
      </c>
      <c r="AZ166" s="334"/>
      <c r="BA166" s="643" t="s">
        <v>6794</v>
      </c>
      <c r="BB166" s="644" t="s">
        <v>4666</v>
      </c>
      <c r="BC166" s="559" t="s">
        <v>709</v>
      </c>
      <c r="BD166" s="559" t="s">
        <v>1066</v>
      </c>
      <c r="BE166" s="554" t="s">
        <v>6406</v>
      </c>
      <c r="BF166" s="588" t="s">
        <v>745</v>
      </c>
      <c r="BG166" s="588" t="s">
        <v>709</v>
      </c>
      <c r="BH166" s="615" t="s">
        <v>6795</v>
      </c>
      <c r="BI166" s="549" t="s">
        <v>709</v>
      </c>
      <c r="BJ166" s="549" t="s">
        <v>709</v>
      </c>
      <c r="BK166" s="549" t="s">
        <v>709</v>
      </c>
      <c r="BL166" s="547" t="s">
        <v>116</v>
      </c>
      <c r="BM166" s="549" t="s">
        <v>709</v>
      </c>
      <c r="BN166" s="549" t="s">
        <v>709</v>
      </c>
      <c r="BO166" s="549">
        <v>4</v>
      </c>
      <c r="BP166" s="549">
        <v>70</v>
      </c>
      <c r="BQ166" s="549">
        <v>1995</v>
      </c>
      <c r="BR166" s="549">
        <v>3648</v>
      </c>
      <c r="BS166" s="549">
        <v>3827</v>
      </c>
      <c r="BT166" s="549" t="s">
        <v>745</v>
      </c>
      <c r="BU166" s="549" t="s">
        <v>709</v>
      </c>
      <c r="BV166" s="549" t="s">
        <v>745</v>
      </c>
      <c r="BW166" s="549" t="s">
        <v>709</v>
      </c>
      <c r="BX166" s="549" t="s">
        <v>745</v>
      </c>
      <c r="BY166" s="549" t="s">
        <v>745</v>
      </c>
      <c r="BZ166" s="743" t="s">
        <v>6796</v>
      </c>
    </row>
    <row r="167" spans="1:78" ht="15" hidden="1" customHeight="1" x14ac:dyDescent="0.25">
      <c r="A167" s="8" t="s">
        <v>800</v>
      </c>
      <c r="B167" s="8" t="s">
        <v>4</v>
      </c>
      <c r="C167" s="8" t="s">
        <v>6859</v>
      </c>
      <c r="D167" s="8" t="s">
        <v>6860</v>
      </c>
      <c r="E167" s="8" t="s">
        <v>6861</v>
      </c>
      <c r="F167" s="8" t="s">
        <v>784</v>
      </c>
      <c r="G167" s="8" t="s">
        <v>6377</v>
      </c>
      <c r="H167" s="8" t="s">
        <v>59</v>
      </c>
      <c r="I167" s="642">
        <v>45411</v>
      </c>
      <c r="J167" s="18">
        <v>45639</v>
      </c>
      <c r="K167" s="18">
        <v>45638</v>
      </c>
      <c r="L167" s="16">
        <f>IF(ISTEXT(Table159[[#This Row],[Engineering Approved Design Date]]),Table159[[#This Row],[Date Completed]]-Table159[[#This Row],[Date Assigned to Designer]],Table159[[#This Row],[Engineering Approved Design Date]]-Table159[[#This Row],[Date Completed]])</f>
        <v>1</v>
      </c>
      <c r="M167" s="642"/>
      <c r="N167" s="99" t="s">
        <v>739</v>
      </c>
      <c r="O167" s="510">
        <v>45627</v>
      </c>
      <c r="P167" s="221" t="s">
        <v>739</v>
      </c>
      <c r="Q167" s="781">
        <f>Table159[[#This Row],[Rate]]*Table159[[#This Row],[Construction Cost to Bill From]]</f>
        <v>29375.183999999997</v>
      </c>
      <c r="R167" s="75">
        <v>0.1</v>
      </c>
      <c r="S167" s="24" t="s">
        <v>29</v>
      </c>
      <c r="T167" s="538" t="s">
        <v>29</v>
      </c>
      <c r="U167" s="28" t="s">
        <v>29</v>
      </c>
      <c r="V167" s="437">
        <v>527</v>
      </c>
      <c r="W167" s="343" t="s">
        <v>29</v>
      </c>
      <c r="X167" s="24">
        <v>217443.87</v>
      </c>
      <c r="Y167" s="550"/>
      <c r="Z167" s="552">
        <v>76307.97</v>
      </c>
      <c r="AA167" s="300">
        <f>SUM(Table159[[#This Row],[PCTS Investment Amount]:[PCTS Retirement Amount]])</f>
        <v>293751.83999999997</v>
      </c>
      <c r="AB167" s="207">
        <v>45638</v>
      </c>
      <c r="AC167" s="22" t="s">
        <v>29</v>
      </c>
      <c r="AD167" s="22" t="s">
        <v>29</v>
      </c>
      <c r="AE167" s="187" t="s">
        <v>116</v>
      </c>
      <c r="AF167" s="568" t="s">
        <v>116</v>
      </c>
      <c r="AG167" s="568" t="s">
        <v>376</v>
      </c>
      <c r="AH167" s="356" t="s">
        <v>376</v>
      </c>
      <c r="AI167" s="499" t="s">
        <v>29</v>
      </c>
      <c r="AJ167" s="541">
        <v>2200</v>
      </c>
      <c r="AK167" s="745">
        <v>7510.75</v>
      </c>
      <c r="AL167" s="494">
        <f>SUM(Table159[[#This Row],[Nicor Initiated DBE]:[Staffing]])/(Table159[[#This Row],[Amount Invoiced]])</f>
        <v>0.330576652728371</v>
      </c>
      <c r="AM167" s="21" t="s">
        <v>116</v>
      </c>
      <c r="AN167" s="680" t="s">
        <v>709</v>
      </c>
      <c r="AO167" s="681"/>
      <c r="AP167" s="682"/>
      <c r="AQ167" s="682"/>
      <c r="AR167" s="682"/>
      <c r="AS167" s="538">
        <f>IF(Table159[[#This Row],[PCTS Approved]]="N",0,Table159[[#This Row],[Investment Amount (1'#'#'#'#'#)]]+Table159[[#This Row],[Retirement Amount (3'#'#'#'#'#)]])</f>
        <v>0</v>
      </c>
      <c r="AT167" s="538">
        <f>IF(Table159[[#This Row],[Approved Construction Cost]]=0,0,Table159[[#This Row],[Approved Construction Cost]]-Table159[[#This Row],[Construction Cost to Bill From]])</f>
        <v>0</v>
      </c>
      <c r="AU167" s="538">
        <f>Table159[[#This Row],[Difference in Construction Cost]]*Table159[[#This Row],[Rate]]</f>
        <v>0</v>
      </c>
      <c r="AV167" s="690"/>
      <c r="AW167" s="660"/>
      <c r="AX167" s="555"/>
      <c r="AY167" s="636" t="s">
        <v>709</v>
      </c>
      <c r="AZ167" s="443"/>
      <c r="BA167" s="643" t="s">
        <v>6862</v>
      </c>
      <c r="BB167" s="644" t="s">
        <v>6863</v>
      </c>
      <c r="BC167" s="479" t="s">
        <v>709</v>
      </c>
      <c r="BD167" s="559" t="s">
        <v>709</v>
      </c>
      <c r="BE167" s="554" t="s">
        <v>6864</v>
      </c>
      <c r="BF167" s="588" t="s">
        <v>709</v>
      </c>
      <c r="BG167" s="612" t="s">
        <v>709</v>
      </c>
      <c r="BH167" s="480" t="s">
        <v>6865</v>
      </c>
      <c r="BI167" s="1259" t="s">
        <v>709</v>
      </c>
      <c r="BJ167" s="549" t="s">
        <v>709</v>
      </c>
      <c r="BK167" s="549" t="s">
        <v>709</v>
      </c>
      <c r="BL167" s="547" t="s">
        <v>116</v>
      </c>
      <c r="BM167" s="549" t="s">
        <v>709</v>
      </c>
      <c r="BN167" s="549" t="s">
        <v>709</v>
      </c>
      <c r="BO167" s="549" t="s">
        <v>709</v>
      </c>
      <c r="BP167" s="549" t="s">
        <v>709</v>
      </c>
      <c r="BQ167" s="549" t="s">
        <v>709</v>
      </c>
      <c r="BR167" s="549" t="s">
        <v>116</v>
      </c>
      <c r="BS167" s="549" t="s">
        <v>116</v>
      </c>
      <c r="BT167" s="549" t="s">
        <v>709</v>
      </c>
      <c r="BU167" s="549" t="s">
        <v>709</v>
      </c>
      <c r="BV167" s="549" t="s">
        <v>709</v>
      </c>
      <c r="BW167" s="549" t="s">
        <v>709</v>
      </c>
      <c r="BX167" s="549" t="s">
        <v>709</v>
      </c>
      <c r="BY167" s="549" t="s">
        <v>709</v>
      </c>
      <c r="BZ167" s="743"/>
    </row>
    <row r="168" spans="1:78" ht="15" hidden="1" customHeight="1" x14ac:dyDescent="0.25">
      <c r="A168" s="778" t="s">
        <v>800</v>
      </c>
      <c r="B168" s="8" t="s">
        <v>4</v>
      </c>
      <c r="C168" t="s">
        <v>6866</v>
      </c>
      <c r="D168" s="779" t="s">
        <v>6867</v>
      </c>
      <c r="E168" t="s">
        <v>2375</v>
      </c>
      <c r="F168" s="8" t="s">
        <v>784</v>
      </c>
      <c r="G168" s="8" t="s">
        <v>31</v>
      </c>
      <c r="H168" s="8" t="s">
        <v>59</v>
      </c>
      <c r="I168" s="755">
        <v>44427</v>
      </c>
      <c r="J168" s="18">
        <v>45646</v>
      </c>
      <c r="K168" s="642">
        <v>45646</v>
      </c>
      <c r="L168" s="649">
        <f>IF(ISTEXT(Table159[[#This Row],[Engineering Approved Design Date]]),Table159[[#This Row],[Date Completed]]-Table159[[#This Row],[Date Assigned to Designer]],Table159[[#This Row],[Engineering Approved Design Date]]-Table159[[#This Row],[Date Completed]])</f>
        <v>0</v>
      </c>
      <c r="M168" t="s">
        <v>6868</v>
      </c>
      <c r="N168" s="99" t="s">
        <v>739</v>
      </c>
      <c r="O168" s="510">
        <v>45627</v>
      </c>
      <c r="P168" s="221" t="s">
        <v>739</v>
      </c>
      <c r="Q168" s="781">
        <v>1200000</v>
      </c>
      <c r="R168" s="75" t="s">
        <v>6869</v>
      </c>
      <c r="S168" s="24" t="s">
        <v>29</v>
      </c>
      <c r="T168" s="538" t="s">
        <v>29</v>
      </c>
      <c r="U168" s="28" t="s">
        <v>29</v>
      </c>
      <c r="V168" s="437">
        <v>27112</v>
      </c>
      <c r="W168" s="437">
        <v>4</v>
      </c>
      <c r="X168" s="24">
        <v>16357075.050000001</v>
      </c>
      <c r="Y168" s="550"/>
      <c r="Z168" s="538">
        <v>4252885.03</v>
      </c>
      <c r="AA168" s="300">
        <f>SUM(Table159[[#This Row],[PCTS Investment Amount]:[PCTS Retirement Amount]])</f>
        <v>20609960.080000002</v>
      </c>
      <c r="AB168" s="207">
        <v>45639</v>
      </c>
      <c r="AC168" s="108" t="s">
        <v>116</v>
      </c>
      <c r="AD168" s="229" t="s">
        <v>29</v>
      </c>
      <c r="AE168" s="455" t="s">
        <v>116</v>
      </c>
      <c r="AF168" s="576" t="s">
        <v>116</v>
      </c>
      <c r="AG168" s="576" t="s">
        <v>376</v>
      </c>
      <c r="AH168" s="356" t="s">
        <v>376</v>
      </c>
      <c r="AI168" s="455">
        <v>163750</v>
      </c>
      <c r="AJ168" s="576">
        <v>33110</v>
      </c>
      <c r="AK168" s="576">
        <v>18730.5</v>
      </c>
      <c r="AL168" s="1240">
        <f>SUM(Table159[[#This Row],[Nicor Initiated DBE]:[Staffing]])/(Table159[[#This Row],[Amount Invoiced]])</f>
        <v>0.17965875000000001</v>
      </c>
      <c r="AM168" s="21" t="s">
        <v>116</v>
      </c>
      <c r="AN168" s="680" t="s">
        <v>709</v>
      </c>
      <c r="AO168" s="681"/>
      <c r="AP168" s="682"/>
      <c r="AQ168" s="682"/>
      <c r="AR168" s="682"/>
      <c r="AS168" s="538">
        <f>IF(Table159[[#This Row],[PCTS Approved]]="N",0,Table159[[#This Row],[Investment Amount (1'#'#'#'#'#)]]+Table159[[#This Row],[Retirement Amount (3'#'#'#'#'#)]])</f>
        <v>0</v>
      </c>
      <c r="AT168" s="538">
        <f>IF(Table159[[#This Row],[Approved Construction Cost]]=0,0,Table159[[#This Row],[Approved Construction Cost]]-Table159[[#This Row],[Construction Cost to Bill From]])</f>
        <v>0</v>
      </c>
      <c r="AU168" s="538" t="e">
        <f>Table159[[#This Row],[Difference in Construction Cost]]*Table159[[#This Row],[Rate]]</f>
        <v>#VALUE!</v>
      </c>
      <c r="AV168" s="690"/>
      <c r="AW168" s="660"/>
      <c r="AX168" s="555"/>
      <c r="AY168" s="636" t="s">
        <v>709</v>
      </c>
      <c r="BA168" s="643" t="s">
        <v>6870</v>
      </c>
      <c r="BB168" s="543" t="s">
        <v>870</v>
      </c>
      <c r="BC168" s="479" t="s">
        <v>992</v>
      </c>
      <c r="BD168" s="554" t="s">
        <v>709</v>
      </c>
      <c r="BE168" s="588" t="s">
        <v>3205</v>
      </c>
      <c r="BF168" s="588" t="s">
        <v>709</v>
      </c>
      <c r="BG168" s="512" t="s">
        <v>1391</v>
      </c>
      <c r="BH168" s="615" t="s">
        <v>6871</v>
      </c>
      <c r="BI168" s="535" t="s">
        <v>709</v>
      </c>
      <c r="BJ168" s="547" t="s">
        <v>709</v>
      </c>
      <c r="BK168" s="547" t="s">
        <v>116</v>
      </c>
      <c r="BL168" s="547" t="s">
        <v>116</v>
      </c>
      <c r="BM168" s="547" t="s">
        <v>709</v>
      </c>
      <c r="BN168" s="547">
        <v>8467</v>
      </c>
      <c r="BO168" s="547" t="s">
        <v>709</v>
      </c>
      <c r="BP168" s="547">
        <v>3330</v>
      </c>
      <c r="BQ168" s="547">
        <v>1652</v>
      </c>
      <c r="BR168" s="547">
        <v>7602</v>
      </c>
      <c r="BS168" s="547">
        <v>5971</v>
      </c>
      <c r="BT168" s="547">
        <v>1</v>
      </c>
      <c r="BU168" s="547">
        <v>3</v>
      </c>
      <c r="BV168" s="547" t="e">
        <f>IF(DOT_Projects[[#This Row],[TDS (i.e. MOP main)]]="Y",DOT_Projects[[#This Row],[Engineering Approved Design Date]]-28,DOT_Projects[[#This Row],[Engineering Approved Design Date]]-21)</f>
        <v>#VALUE!</v>
      </c>
      <c r="BW168" s="547" t="s">
        <v>709</v>
      </c>
      <c r="BX168" s="547" t="s">
        <v>709</v>
      </c>
      <c r="BY168" s="547" t="s">
        <v>709</v>
      </c>
    </row>
    <row r="169" spans="1:78" ht="15" hidden="1" customHeight="1" x14ac:dyDescent="0.25">
      <c r="A169" s="8" t="s">
        <v>6816</v>
      </c>
      <c r="B169" s="8" t="s">
        <v>4</v>
      </c>
      <c r="C169" s="8" t="s">
        <v>6872</v>
      </c>
      <c r="D169" s="8" t="s">
        <v>6873</v>
      </c>
      <c r="E169" s="8" t="s">
        <v>232</v>
      </c>
      <c r="F169" s="8" t="s">
        <v>6874</v>
      </c>
      <c r="G169" s="8" t="s">
        <v>26</v>
      </c>
      <c r="H169" s="8" t="s">
        <v>59</v>
      </c>
      <c r="I169" s="642">
        <v>45587</v>
      </c>
      <c r="J169" s="18">
        <v>45657</v>
      </c>
      <c r="K169" s="18">
        <v>45646</v>
      </c>
      <c r="L169" s="16">
        <f>IF(ISTEXT(Table159[[#This Row],[Engineering Approved Design Date]]),Table159[[#This Row],[Date Completed]]-Table159[[#This Row],[Date Assigned to Designer]],Table159[[#This Row],[Engineering Approved Design Date]]-Table159[[#This Row],[Date Completed]])</f>
        <v>11</v>
      </c>
      <c r="N169" s="99" t="s">
        <v>739</v>
      </c>
      <c r="O169" s="510">
        <v>45627</v>
      </c>
      <c r="P169" s="221" t="s">
        <v>739</v>
      </c>
      <c r="Q169" s="781">
        <f>Table159[[#This Row],[Rate]]*Table159[[#This Row],[Construction Cost to Bill From]]</f>
        <v>51063.691000000006</v>
      </c>
      <c r="R169" s="75">
        <v>0.1</v>
      </c>
      <c r="S169" s="24" t="s">
        <v>29</v>
      </c>
      <c r="T169" s="538" t="s">
        <v>29</v>
      </c>
      <c r="U169" s="28" t="s">
        <v>29</v>
      </c>
      <c r="V169" s="437">
        <v>233</v>
      </c>
      <c r="W169" s="343" t="s">
        <v>29</v>
      </c>
      <c r="X169" s="24">
        <v>441920</v>
      </c>
      <c r="Y169" s="550"/>
      <c r="Z169" s="552">
        <v>68716.91</v>
      </c>
      <c r="AA169" s="300">
        <f>SUM(Table159[[#This Row],[PCTS Investment Amount]:[PCTS Retirement Amount]])</f>
        <v>510636.91000000003</v>
      </c>
      <c r="AB169" s="207">
        <v>45660</v>
      </c>
      <c r="AC169" s="22" t="s">
        <v>29</v>
      </c>
      <c r="AD169" s="22" t="s">
        <v>29</v>
      </c>
      <c r="AE169" s="187" t="s">
        <v>116</v>
      </c>
      <c r="AF169" s="568" t="s">
        <v>116</v>
      </c>
      <c r="AG169" s="568" t="s">
        <v>376</v>
      </c>
      <c r="AH169" s="356" t="s">
        <v>376</v>
      </c>
      <c r="AI169" s="499">
        <v>0</v>
      </c>
      <c r="AJ169" s="541">
        <v>1586.48</v>
      </c>
      <c r="AK169" s="745">
        <v>5647.25</v>
      </c>
      <c r="AL169" s="494">
        <f>SUM(Table159[[#This Row],[Nicor Initiated DBE]:[Staffing]])/(Table159[[#This Row],[Amount Invoiced]])</f>
        <v>0.14166093085593828</v>
      </c>
      <c r="AM169" s="21" t="s">
        <v>116</v>
      </c>
      <c r="AN169" s="680" t="s">
        <v>709</v>
      </c>
      <c r="AO169" s="681"/>
      <c r="AP169" s="682"/>
      <c r="AQ169" s="682"/>
      <c r="AR169" s="682"/>
      <c r="AS169" s="538">
        <f>IF(Table159[[#This Row],[PCTS Approved]]="N",0,Table159[[#This Row],[Investment Amount (1'#'#'#'#'#)]]+Table159[[#This Row],[Retirement Amount (3'#'#'#'#'#)]])</f>
        <v>0</v>
      </c>
      <c r="AT169" s="538">
        <f>IF(Table159[[#This Row],[Approved Construction Cost]]=0,0,Table159[[#This Row],[Approved Construction Cost]]-Table159[[#This Row],[Construction Cost to Bill From]])</f>
        <v>0</v>
      </c>
      <c r="AU169" s="538">
        <f>Table159[[#This Row],[Difference in Construction Cost]]*Table159[[#This Row],[Rate]]</f>
        <v>0</v>
      </c>
      <c r="AV169" s="690"/>
      <c r="AW169" s="660"/>
      <c r="AX169" s="555"/>
      <c r="AY169" s="636" t="s">
        <v>709</v>
      </c>
      <c r="AZ169" s="443"/>
      <c r="BA169" s="643" t="s">
        <v>6875</v>
      </c>
      <c r="BB169" s="644" t="s">
        <v>4987</v>
      </c>
      <c r="BC169" s="479" t="s">
        <v>116</v>
      </c>
      <c r="BD169" s="559" t="s">
        <v>709</v>
      </c>
      <c r="BE169" s="554" t="s">
        <v>595</v>
      </c>
      <c r="BF169" s="588" t="s">
        <v>709</v>
      </c>
      <c r="BG169" s="612" t="s">
        <v>709</v>
      </c>
      <c r="BH169" s="615" t="s">
        <v>6876</v>
      </c>
      <c r="BI169" s="528" t="s">
        <v>709</v>
      </c>
      <c r="BJ169" s="549" t="s">
        <v>709</v>
      </c>
      <c r="BK169" s="549" t="s">
        <v>709</v>
      </c>
      <c r="BL169" s="547" t="s">
        <v>116</v>
      </c>
      <c r="BM169" s="549" t="s">
        <v>709</v>
      </c>
      <c r="BN169" s="549" t="s">
        <v>709</v>
      </c>
      <c r="BO169" s="549" t="s">
        <v>709</v>
      </c>
      <c r="BP169" s="549" t="s">
        <v>709</v>
      </c>
      <c r="BQ169" s="549">
        <v>109</v>
      </c>
      <c r="BR169" s="549" t="s">
        <v>116</v>
      </c>
      <c r="BS169" s="549">
        <v>124</v>
      </c>
      <c r="BT169" s="549" t="s">
        <v>709</v>
      </c>
      <c r="BU169" s="549" t="s">
        <v>709</v>
      </c>
      <c r="BV169" s="549" t="s">
        <v>709</v>
      </c>
      <c r="BW169" s="549" t="s">
        <v>709</v>
      </c>
      <c r="BX169" s="549" t="s">
        <v>709</v>
      </c>
      <c r="BY169" s="549" t="s">
        <v>709</v>
      </c>
      <c r="BZ169" s="743"/>
    </row>
    <row r="170" spans="1:78" ht="15" hidden="1" customHeight="1" x14ac:dyDescent="0.25">
      <c r="A170" s="8" t="s">
        <v>800</v>
      </c>
      <c r="B170" s="8" t="s">
        <v>771</v>
      </c>
      <c r="C170" s="8" t="s">
        <v>1740</v>
      </c>
      <c r="D170" s="8" t="s">
        <v>1741</v>
      </c>
      <c r="E170" s="8" t="s">
        <v>104</v>
      </c>
      <c r="F170" s="8" t="s">
        <v>784</v>
      </c>
      <c r="G170" s="8" t="s">
        <v>36</v>
      </c>
      <c r="H170" s="8" t="s">
        <v>59</v>
      </c>
      <c r="I170" s="642">
        <v>44946</v>
      </c>
      <c r="J170" s="18">
        <v>45366</v>
      </c>
      <c r="K170" s="97">
        <v>45359</v>
      </c>
      <c r="L170" s="16">
        <f>IF(ISTEXT(Table159[[#This Row],[Engineering Approved Design Date]]),Table159[[#This Row],[Date Completed]]-Table159[[#This Row],[Date Assigned to Designer]],Table159[[#This Row],[Engineering Approved Design Date]]-Table159[[#This Row],[Date Completed]])</f>
        <v>7</v>
      </c>
      <c r="M170" s="642"/>
      <c r="N170" s="642" t="s">
        <v>120</v>
      </c>
      <c r="O170" s="510">
        <v>45352</v>
      </c>
      <c r="P170" s="221" t="s">
        <v>120</v>
      </c>
      <c r="Q170" s="70">
        <f>Table159[[#This Row],[Rate]]*Table159[[#This Row],[Construction Cost to Bill From]]</f>
        <v>265333.7268</v>
      </c>
      <c r="R170" s="75">
        <v>0.06</v>
      </c>
      <c r="U170" s="87"/>
      <c r="V170" s="437">
        <v>8803</v>
      </c>
      <c r="W170" s="437">
        <v>0</v>
      </c>
      <c r="X170" s="70">
        <v>4101169.29</v>
      </c>
      <c r="Y170" s="595"/>
      <c r="Z170" s="570">
        <v>321059.49</v>
      </c>
      <c r="AA170" s="300">
        <f>Table159[[#This Row],[PCTS Retirement Amount]]+Table159[[#This Row],[PCTS Investment Amount]]</f>
        <v>4422228.78</v>
      </c>
      <c r="AB170" s="207">
        <v>45369</v>
      </c>
      <c r="AC170" s="22" t="s">
        <v>709</v>
      </c>
      <c r="AD170" s="22" t="s">
        <v>116</v>
      </c>
      <c r="AE170" s="187" t="s">
        <v>116</v>
      </c>
      <c r="AF170" s="568" t="s">
        <v>116</v>
      </c>
      <c r="AG170" s="183" t="s">
        <v>116</v>
      </c>
      <c r="AH170" s="374" t="s">
        <v>116</v>
      </c>
      <c r="AI170" s="426">
        <v>0</v>
      </c>
      <c r="AJ170" s="542">
        <v>0</v>
      </c>
      <c r="AK170" s="542">
        <v>0</v>
      </c>
      <c r="AL170" s="493">
        <f>SUM(Table159[[#This Row],[Nicor Initiated DBE]:[Staffing]])/(Table159[[#This Row],[Amount Invoiced]])</f>
        <v>0</v>
      </c>
      <c r="AM170" s="21" t="s">
        <v>116</v>
      </c>
      <c r="AN170" s="680" t="s">
        <v>709</v>
      </c>
      <c r="AO170" s="601"/>
      <c r="AP170" s="572"/>
      <c r="AQ170" s="572"/>
      <c r="AR170" s="572"/>
      <c r="AS170" s="538">
        <f>IF(Table159[[#This Row],[PCTS Approved]]="N",0,Table159[[#This Row],[Investment Amount (1'#'#'#'#'#)]]+Table159[[#This Row],[Retirement Amount (3'#'#'#'#'#)]])</f>
        <v>0</v>
      </c>
      <c r="AT170" s="538">
        <f>IF(Table159[[#This Row],[Approved Construction Cost]]=0,0,Table159[[#This Row],[Approved Construction Cost]]-Table159[[#This Row],[Construction Cost to Bill From]])</f>
        <v>0</v>
      </c>
      <c r="AU170" s="538">
        <f>IFERROR(Table159[[#This Row],[Difference in Construction Cost]]*Table159[[#This Row],[Rate]],Table159[[#This Row],[Difference in Construction Cost]]*0.085)</f>
        <v>0</v>
      </c>
      <c r="AV170" s="602"/>
      <c r="AW170" s="640"/>
      <c r="AX170" s="555"/>
      <c r="AY170" s="636" t="s">
        <v>709</v>
      </c>
      <c r="AZ170" s="443">
        <v>8</v>
      </c>
      <c r="BA170" s="651" t="s">
        <v>1742</v>
      </c>
      <c r="BB170" s="644" t="s">
        <v>1743</v>
      </c>
      <c r="BC170" s="479" t="s">
        <v>116</v>
      </c>
      <c r="BD170" s="554" t="s">
        <v>115</v>
      </c>
      <c r="BE170" s="588" t="s">
        <v>1232</v>
      </c>
      <c r="BF170" s="588" t="s">
        <v>115</v>
      </c>
      <c r="BG170" s="483" t="s">
        <v>1480</v>
      </c>
      <c r="BH170" s="615" t="s">
        <v>1744</v>
      </c>
      <c r="BI170" s="535" t="s">
        <v>709</v>
      </c>
      <c r="BJ170" s="549" t="s">
        <v>709</v>
      </c>
      <c r="BK170" s="547" t="s">
        <v>709</v>
      </c>
      <c r="BL170" s="547" t="s">
        <v>116</v>
      </c>
      <c r="BM170" s="626" t="s">
        <v>709</v>
      </c>
      <c r="BN170" s="549">
        <v>2784</v>
      </c>
      <c r="BO170" s="626" t="s">
        <v>709</v>
      </c>
      <c r="BP170" s="626">
        <v>3955</v>
      </c>
      <c r="BQ170" s="549" t="s">
        <v>709</v>
      </c>
      <c r="BR170" s="549">
        <f>737+396+88</f>
        <v>1221</v>
      </c>
      <c r="BS170" s="549">
        <f>81+762</f>
        <v>843</v>
      </c>
      <c r="BT170" s="549" t="s">
        <v>709</v>
      </c>
      <c r="BU170" s="549" t="s">
        <v>709</v>
      </c>
      <c r="BV170" s="549" t="s">
        <v>709</v>
      </c>
      <c r="BW170" s="549" t="s">
        <v>709</v>
      </c>
      <c r="BX170" s="547" t="s">
        <v>709</v>
      </c>
      <c r="BY170" s="549" t="s">
        <v>709</v>
      </c>
      <c r="BZ170" s="483" t="s">
        <v>1745</v>
      </c>
    </row>
    <row r="171" spans="1:78" ht="15" hidden="1" customHeight="1" x14ac:dyDescent="0.25">
      <c r="A171" s="8" t="s">
        <v>6816</v>
      </c>
      <c r="B171" s="8" t="s">
        <v>4</v>
      </c>
      <c r="C171" s="8" t="s">
        <v>6462</v>
      </c>
      <c r="D171" s="8" t="s">
        <v>6463</v>
      </c>
      <c r="E171" s="8" t="s">
        <v>354</v>
      </c>
      <c r="F171" s="8" t="s">
        <v>784</v>
      </c>
      <c r="G171" s="8" t="s">
        <v>35</v>
      </c>
      <c r="H171" s="8" t="s">
        <v>59</v>
      </c>
      <c r="I171" s="642">
        <v>45335</v>
      </c>
      <c r="J171" s="18">
        <v>45504</v>
      </c>
      <c r="K171" s="97">
        <v>45503</v>
      </c>
      <c r="L171" s="16">
        <f>IF(ISTEXT(Table159[[#This Row],[Engineering Approved Design Date]]),Table159[[#This Row],[Date Completed]]-Table159[[#This Row],[Date Assigned to Designer]],Table159[[#This Row],[Engineering Approved Design Date]]-Table159[[#This Row],[Date Completed]])</f>
        <v>1</v>
      </c>
      <c r="M171" s="642"/>
      <c r="N171" s="99" t="s">
        <v>120</v>
      </c>
      <c r="O171" s="510">
        <v>45505</v>
      </c>
      <c r="P171" s="221" t="s">
        <v>739</v>
      </c>
      <c r="Q171" s="556">
        <f>Table159[[#This Row],[Rate]]*Table159[[#This Row],[Construction Cost to Bill From]]</f>
        <v>104927.51299999999</v>
      </c>
      <c r="R171" s="75">
        <v>0.1</v>
      </c>
      <c r="S171" s="24" t="s">
        <v>29</v>
      </c>
      <c r="T171" s="538" t="s">
        <v>29</v>
      </c>
      <c r="U171" s="538" t="s">
        <v>29</v>
      </c>
      <c r="V171" s="437">
        <v>2054</v>
      </c>
      <c r="W171" s="437">
        <v>0</v>
      </c>
      <c r="X171" s="24">
        <v>580996.19999999995</v>
      </c>
      <c r="Y171" s="550"/>
      <c r="Z171" s="552">
        <v>468278.93</v>
      </c>
      <c r="AA171" s="300">
        <f>SUM(Table159[[#This Row],[PCTS Investment Amount]:[PCTS Retirement Amount]])</f>
        <v>1049275.1299999999</v>
      </c>
      <c r="AB171" s="207">
        <v>45495</v>
      </c>
      <c r="AC171" s="22" t="s">
        <v>709</v>
      </c>
      <c r="AD171" s="22" t="s">
        <v>29</v>
      </c>
      <c r="AE171" s="187" t="s">
        <v>116</v>
      </c>
      <c r="AF171" s="568" t="s">
        <v>29</v>
      </c>
      <c r="AG171" s="568" t="s">
        <v>376</v>
      </c>
      <c r="AH171" s="356">
        <v>45525</v>
      </c>
      <c r="AI171" s="509">
        <v>0</v>
      </c>
      <c r="AJ171" s="541">
        <v>0</v>
      </c>
      <c r="AK171" s="557">
        <v>13957</v>
      </c>
      <c r="AL171" s="494">
        <f>SUM(Table159[[#This Row],[Nicor Initiated DBE]:[Staffing]])/(Table159[[#This Row],[Amount Invoiced]])</f>
        <v>0.13301563718564455</v>
      </c>
      <c r="AM171" s="21" t="s">
        <v>116</v>
      </c>
      <c r="AN171" s="801">
        <v>45553</v>
      </c>
      <c r="AO171" s="806">
        <v>11091245</v>
      </c>
      <c r="AP171" s="788">
        <v>570517.85</v>
      </c>
      <c r="AQ171" s="788"/>
      <c r="AR171" s="788">
        <v>472801.46</v>
      </c>
      <c r="AS171" s="538">
        <f>IF(Table159[[#This Row],[PCTS Approved]]="N",0,Table159[[#This Row],[Investment Amount (1'#'#'#'#'#)]]+Table159[[#This Row],[Retirement Amount (3'#'#'#'#'#)]])</f>
        <v>1043319.31</v>
      </c>
      <c r="AT171" s="538">
        <f>IF(Table159[[#This Row],[Approved Construction Cost]]=0,0,Table159[[#This Row],[Approved Construction Cost]]-Table159[[#This Row],[Construction Cost to Bill From]])</f>
        <v>-5955.8199999998324</v>
      </c>
      <c r="AU171" s="538">
        <f>IFERROR(Table159[[#This Row],[Difference in Construction Cost]]*Table159[[#This Row],[Rate]],Table159[[#This Row],[Difference in Construction Cost]]*0.085)</f>
        <v>-595.58199999998328</v>
      </c>
      <c r="AV171" s="718">
        <v>0</v>
      </c>
      <c r="AW171" s="660" t="s">
        <v>6877</v>
      </c>
      <c r="AX171" s="555"/>
      <c r="AY171" s="636" t="s">
        <v>709</v>
      </c>
      <c r="AZ171" s="443"/>
      <c r="BA171" s="653" t="s">
        <v>6465</v>
      </c>
      <c r="BB171" s="644" t="s">
        <v>986</v>
      </c>
      <c r="BC171" s="479" t="s">
        <v>992</v>
      </c>
      <c r="BD171" s="559" t="s">
        <v>743</v>
      </c>
      <c r="BE171" s="554" t="s">
        <v>588</v>
      </c>
      <c r="BF171" s="588" t="s">
        <v>588</v>
      </c>
      <c r="BG171" s="612" t="s">
        <v>709</v>
      </c>
      <c r="BH171" s="615" t="s">
        <v>6466</v>
      </c>
      <c r="BI171" s="535" t="s">
        <v>709</v>
      </c>
      <c r="BJ171" s="547" t="s">
        <v>709</v>
      </c>
      <c r="BK171" s="547" t="s">
        <v>709</v>
      </c>
      <c r="BL171" s="547" t="s">
        <v>116</v>
      </c>
      <c r="BM171" s="547" t="s">
        <v>709</v>
      </c>
      <c r="BN171" s="547" t="s">
        <v>709</v>
      </c>
      <c r="BO171" s="547" t="s">
        <v>709</v>
      </c>
      <c r="BP171" s="626" t="s">
        <v>709</v>
      </c>
      <c r="BQ171" s="626" t="s">
        <v>709</v>
      </c>
      <c r="BR171" s="549" t="s">
        <v>709</v>
      </c>
      <c r="BS171" s="549">
        <v>2054</v>
      </c>
      <c r="BT171" s="547" t="s">
        <v>745</v>
      </c>
      <c r="BU171" s="547" t="s">
        <v>745</v>
      </c>
      <c r="BV171" s="547" t="s">
        <v>745</v>
      </c>
      <c r="BW171" s="547" t="s">
        <v>745</v>
      </c>
      <c r="BX171" s="547" t="s">
        <v>745</v>
      </c>
      <c r="BY171" s="547" t="s">
        <v>745</v>
      </c>
      <c r="BZ171" s="483"/>
    </row>
    <row r="172" spans="1:78" hidden="1" x14ac:dyDescent="0.25">
      <c r="A172" s="8">
        <v>2023</v>
      </c>
      <c r="B172" s="8" t="s">
        <v>771</v>
      </c>
      <c r="C172" s="8" t="s">
        <v>353</v>
      </c>
      <c r="D172" s="8" t="s">
        <v>1416</v>
      </c>
      <c r="E172" s="8" t="s">
        <v>354</v>
      </c>
      <c r="F172" s="8" t="s">
        <v>784</v>
      </c>
      <c r="G172" s="8" t="s">
        <v>25</v>
      </c>
      <c r="H172" s="13" t="s">
        <v>59</v>
      </c>
      <c r="I172" s="642">
        <v>44875</v>
      </c>
      <c r="J172" s="18">
        <v>45002</v>
      </c>
      <c r="K172" s="97">
        <v>45001</v>
      </c>
      <c r="L172" s="16">
        <f>IF(ISTEXT(Table159[[#This Row],[Engineering Approved Design Date]]),Table159[[#This Row],[Date Completed]]-Table159[[#This Row],[Date Assigned to Designer]],Table159[[#This Row],[Engineering Approved Design Date]]-Table159[[#This Row],[Date Completed]])</f>
        <v>1</v>
      </c>
      <c r="M172" s="642"/>
      <c r="N172" s="642" t="s">
        <v>120</v>
      </c>
      <c r="O172" s="510">
        <v>44995</v>
      </c>
      <c r="P172" s="221" t="s">
        <v>120</v>
      </c>
      <c r="Q172" s="70">
        <f>Table159[[#This Row],[Rate]]*Table159[[#This Row],[Construction Cost to Bill From]]</f>
        <v>153674.31689999998</v>
      </c>
      <c r="R172" s="75">
        <v>0.09</v>
      </c>
      <c r="U172" s="87"/>
      <c r="V172" s="437">
        <v>2383</v>
      </c>
      <c r="W172" s="437">
        <v>0</v>
      </c>
      <c r="X172" s="94">
        <v>1636616.73</v>
      </c>
      <c r="Y172" s="592"/>
      <c r="Z172" s="552">
        <v>70875.679999999993</v>
      </c>
      <c r="AA172" s="300">
        <f>Table159[[#This Row],[PCTS Investment Amount]]+Table159[[#This Row],[PCTS Retirement Amount]]</f>
        <v>1707492.41</v>
      </c>
      <c r="AB172" s="207">
        <v>45006</v>
      </c>
      <c r="AC172" s="108" t="s">
        <v>116</v>
      </c>
      <c r="AD172" s="108" t="s">
        <v>29</v>
      </c>
      <c r="AE172" s="349"/>
      <c r="AF172" s="579"/>
      <c r="AG172" s="579"/>
      <c r="AH172" s="354"/>
      <c r="AI172" s="489"/>
      <c r="AJ172" s="553"/>
      <c r="AK172" s="553"/>
      <c r="AL172" s="495"/>
      <c r="AM172" s="21" t="s">
        <v>116</v>
      </c>
      <c r="AN172" s="680" t="s">
        <v>709</v>
      </c>
      <c r="AO172" s="601" t="s">
        <v>115</v>
      </c>
      <c r="AP172" s="572"/>
      <c r="AQ172" s="572"/>
      <c r="AR172" s="572"/>
      <c r="AS172" s="538">
        <f>IF(Table159[[#This Row],[PCTS Approved]]="N",0,Table159[[#This Row],[Investment Amount (1'#'#'#'#'#)]]+Table159[[#This Row],[Retirement Amount (3'#'#'#'#'#)]])</f>
        <v>0</v>
      </c>
      <c r="AT172" s="538">
        <f>IF(Table159[[#This Row],[Approved Construction Cost]]=0,0,Table159[[#This Row],[Approved Construction Cost]]-Table159[[#This Row],[Construction Cost to Bill From]])</f>
        <v>0</v>
      </c>
      <c r="AU172" s="538">
        <f>IFERROR(Table159[[#This Row],[Difference in Construction Cost]]*Table159[[#This Row],[Rate]],Table159[[#This Row],[Difference in Construction Cost]]*0.085)</f>
        <v>0</v>
      </c>
      <c r="AV172" s="572"/>
      <c r="AW172" s="639"/>
      <c r="AX172" s="538"/>
      <c r="AY172" s="636" t="s">
        <v>709</v>
      </c>
      <c r="AZ172" s="443">
        <v>36</v>
      </c>
      <c r="BA172" s="652" t="s">
        <v>1417</v>
      </c>
      <c r="BB172" s="644" t="s">
        <v>1418</v>
      </c>
      <c r="BC172" s="544" t="s">
        <v>116</v>
      </c>
      <c r="BD172" s="544" t="s">
        <v>115</v>
      </c>
      <c r="BE172" s="544" t="s">
        <v>588</v>
      </c>
      <c r="BF172" s="544" t="s">
        <v>115</v>
      </c>
      <c r="BG172" s="544" t="s">
        <v>1419</v>
      </c>
      <c r="BH172" s="741"/>
      <c r="BI172" s="535" t="s">
        <v>709</v>
      </c>
      <c r="BJ172" s="547" t="s">
        <v>709</v>
      </c>
      <c r="BK172" s="547" t="s">
        <v>116</v>
      </c>
      <c r="BL172" s="547" t="s">
        <v>709</v>
      </c>
      <c r="BM172" s="547" t="s">
        <v>709</v>
      </c>
      <c r="BN172" s="547">
        <v>1616</v>
      </c>
      <c r="BO172" s="547" t="s">
        <v>709</v>
      </c>
      <c r="BP172" s="547">
        <v>285</v>
      </c>
      <c r="BQ172" s="547">
        <v>482</v>
      </c>
      <c r="BR172" s="547" t="s">
        <v>709</v>
      </c>
      <c r="BS172" s="547" t="s">
        <v>709</v>
      </c>
      <c r="BT172" s="547" t="s">
        <v>745</v>
      </c>
      <c r="BU172" s="547" t="s">
        <v>709</v>
      </c>
      <c r="BV172" s="547" t="s">
        <v>745</v>
      </c>
      <c r="BW172" s="547" t="s">
        <v>709</v>
      </c>
      <c r="BX172" s="547" t="s">
        <v>745</v>
      </c>
      <c r="BY172" s="547" t="s">
        <v>745</v>
      </c>
      <c r="BZ172" s="483"/>
    </row>
    <row r="173" spans="1:78" hidden="1" x14ac:dyDescent="0.25">
      <c r="A173" s="8" t="s">
        <v>6816</v>
      </c>
      <c r="B173" s="8" t="s">
        <v>730</v>
      </c>
      <c r="C173" s="8" t="s">
        <v>6772</v>
      </c>
      <c r="D173" s="8" t="s">
        <v>6773</v>
      </c>
      <c r="E173" s="8" t="s">
        <v>6774</v>
      </c>
      <c r="F173" s="8" t="s">
        <v>6643</v>
      </c>
      <c r="G173" s="8" t="s">
        <v>34</v>
      </c>
      <c r="H173" s="8" t="s">
        <v>59</v>
      </c>
      <c r="I173" s="642">
        <v>45470</v>
      </c>
      <c r="J173" s="472">
        <v>45618</v>
      </c>
      <c r="K173" s="18">
        <v>45617</v>
      </c>
      <c r="L173" s="16">
        <f>IF(ISTEXT(Table159[[#This Row],[Engineering Approved Design Date]]),Table159[[#This Row],[Date Completed]]-Table159[[#This Row],[Date Assigned to Designer]],Table159[[#This Row],[Engineering Approved Design Date]]-Table159[[#This Row],[Date Completed]])</f>
        <v>1</v>
      </c>
      <c r="M173" s="13"/>
      <c r="N173" s="770" t="s">
        <v>739</v>
      </c>
      <c r="O173" s="510">
        <v>45627</v>
      </c>
      <c r="P173" s="221" t="s">
        <v>120</v>
      </c>
      <c r="Q173" s="1253">
        <f>Table159[[#This Row],[Rate]]*Table159[[#This Row],[Construction Cost to Bill From]]</f>
        <v>89413.880599999989</v>
      </c>
      <c r="R173" s="77">
        <v>0.11</v>
      </c>
      <c r="S173" s="754" t="s">
        <v>29</v>
      </c>
      <c r="T173" s="538" t="s">
        <v>29</v>
      </c>
      <c r="U173" s="28" t="s">
        <v>29</v>
      </c>
      <c r="V173" s="437">
        <v>5051</v>
      </c>
      <c r="W173" s="437">
        <v>0</v>
      </c>
      <c r="X173" s="94">
        <v>712022.75</v>
      </c>
      <c r="Y173" s="551"/>
      <c r="Z173" s="552">
        <v>100830.71</v>
      </c>
      <c r="AA173" s="300">
        <f>SUM(Table159[[#This Row],[PCTS Investment Amount]:[PCTS Retirement Amount]])</f>
        <v>812853.46</v>
      </c>
      <c r="AB173" s="207">
        <v>45636</v>
      </c>
      <c r="AC173" s="108" t="s">
        <v>1056</v>
      </c>
      <c r="AD173" s="769" t="s">
        <v>29</v>
      </c>
      <c r="AE173" s="573" t="s">
        <v>116</v>
      </c>
      <c r="AF173" s="573" t="s">
        <v>29</v>
      </c>
      <c r="AG173" s="573" t="s">
        <v>376</v>
      </c>
      <c r="AH173" s="456" t="s">
        <v>376</v>
      </c>
      <c r="AI173" s="499">
        <v>10450</v>
      </c>
      <c r="AJ173" s="541">
        <v>0</v>
      </c>
      <c r="AK173" s="568">
        <v>3450</v>
      </c>
      <c r="AL173" s="494">
        <f>SUM(Table159[[#This Row],[Nicor Initiated DBE]:[Staffing]])/(Table159[[#This Row],[Amount Invoiced]])</f>
        <v>0.15545684749085817</v>
      </c>
      <c r="AM173" s="21" t="s">
        <v>116</v>
      </c>
      <c r="AN173" s="680" t="s">
        <v>709</v>
      </c>
      <c r="AO173" s="681">
        <v>11091949</v>
      </c>
      <c r="AP173" s="572"/>
      <c r="AQ173" s="572"/>
      <c r="AR173" s="572"/>
      <c r="AS173" s="538">
        <f>IF(Table159[[#This Row],[PCTS Approved]]="N",0,Table159[[#This Row],[Investment Amount (1'#'#'#'#'#)]]+Table159[[#This Row],[Retirement Amount (3'#'#'#'#'#)]])</f>
        <v>0</v>
      </c>
      <c r="AT173" s="538">
        <f>IF(Table159[[#This Row],[Approved Construction Cost]]=0,0,Table159[[#This Row],[Approved Construction Cost]]-Table159[[#This Row],[Construction Cost to Bill From]])</f>
        <v>0</v>
      </c>
      <c r="AU173" s="538">
        <f>Table159[[#This Row],[Difference in Construction Cost]]*Table159[[#This Row],[Rate]]</f>
        <v>0</v>
      </c>
      <c r="AV173" s="602"/>
      <c r="AW173" s="640"/>
      <c r="AX173" s="555"/>
      <c r="AY173" s="636" t="s">
        <v>709</v>
      </c>
      <c r="BA173" s="651" t="s">
        <v>6775</v>
      </c>
      <c r="BB173" s="644" t="s">
        <v>6776</v>
      </c>
      <c r="BC173" s="544" t="s">
        <v>115</v>
      </c>
      <c r="BD173" s="544" t="s">
        <v>115</v>
      </c>
      <c r="BE173" s="544" t="s">
        <v>115</v>
      </c>
      <c r="BF173" s="544" t="s">
        <v>6777</v>
      </c>
      <c r="BG173" s="548" t="s">
        <v>115</v>
      </c>
      <c r="BH173" s="615" t="s">
        <v>6778</v>
      </c>
      <c r="BI173" s="547" t="s">
        <v>709</v>
      </c>
      <c r="BJ173" s="547" t="s">
        <v>116</v>
      </c>
      <c r="BK173" s="547" t="s">
        <v>709</v>
      </c>
      <c r="BL173" s="547" t="s">
        <v>116</v>
      </c>
      <c r="BM173" s="547" t="s">
        <v>709</v>
      </c>
      <c r="BN173" s="547" t="s">
        <v>709</v>
      </c>
      <c r="BO173" s="547" t="s">
        <v>709</v>
      </c>
      <c r="BP173" s="626" t="s">
        <v>709</v>
      </c>
      <c r="BQ173" s="626" t="s">
        <v>709</v>
      </c>
      <c r="BR173" s="549">
        <v>4954</v>
      </c>
      <c r="BS173" s="549">
        <v>97</v>
      </c>
      <c r="BT173" s="547" t="s">
        <v>709</v>
      </c>
      <c r="BU173" s="547">
        <v>1</v>
      </c>
      <c r="BV173" s="547" t="s">
        <v>709</v>
      </c>
      <c r="BW173" s="547" t="s">
        <v>709</v>
      </c>
      <c r="BX173" s="547" t="s">
        <v>709</v>
      </c>
      <c r="BY173" s="547" t="s">
        <v>709</v>
      </c>
      <c r="BZ173" s="548"/>
    </row>
    <row r="174" spans="1:78" hidden="1" x14ac:dyDescent="0.25">
      <c r="A174" s="8">
        <v>2025</v>
      </c>
      <c r="B174" s="8" t="s">
        <v>730</v>
      </c>
      <c r="C174" s="8" t="s">
        <v>6785</v>
      </c>
      <c r="D174" s="8" t="s">
        <v>6786</v>
      </c>
      <c r="E174" s="8" t="s">
        <v>2258</v>
      </c>
      <c r="F174" s="8" t="s">
        <v>6643</v>
      </c>
      <c r="G174" s="8" t="s">
        <v>37</v>
      </c>
      <c r="H174" s="8" t="s">
        <v>59</v>
      </c>
      <c r="I174" s="642">
        <v>45518</v>
      </c>
      <c r="J174" s="449">
        <v>45621</v>
      </c>
      <c r="K174" s="175">
        <v>45621</v>
      </c>
      <c r="L174" s="16">
        <f>IF(ISTEXT(Table159[[#This Row],[Engineering Approved Design Date]]),Table159[[#This Row],[Date Completed]]-Table159[[#This Row],[Date Assigned to Designer]],Table159[[#This Row],[Engineering Approved Design Date]]-Table159[[#This Row],[Date Completed]])</f>
        <v>0</v>
      </c>
      <c r="M174" s="13"/>
      <c r="N174" s="99" t="s">
        <v>739</v>
      </c>
      <c r="O174" s="510">
        <v>45627</v>
      </c>
      <c r="P174" s="221" t="s">
        <v>120</v>
      </c>
      <c r="Q174" s="781">
        <f>Table159[[#This Row],[Rate]]*Table159[[#This Row],[Construction Cost to Bill From]]</f>
        <v>34409.454299999998</v>
      </c>
      <c r="R174" s="77">
        <v>0.09</v>
      </c>
      <c r="S174" s="24" t="s">
        <v>29</v>
      </c>
      <c r="T174" s="538" t="s">
        <v>29</v>
      </c>
      <c r="U174" s="28" t="s">
        <v>29</v>
      </c>
      <c r="V174" s="437">
        <v>2602</v>
      </c>
      <c r="W174" s="437">
        <v>0</v>
      </c>
      <c r="X174" s="94">
        <v>334865.09000000003</v>
      </c>
      <c r="Y174" s="551"/>
      <c r="Z174" s="552">
        <v>47462.18</v>
      </c>
      <c r="AA174" s="300">
        <f>SUM(Table159[[#This Row],[PCTS Investment Amount]:[PCTS Retirement Amount]])</f>
        <v>382327.27</v>
      </c>
      <c r="AB174" s="207">
        <v>45637</v>
      </c>
      <c r="AC174" s="108" t="s">
        <v>709</v>
      </c>
      <c r="AD174" s="769" t="s">
        <v>116</v>
      </c>
      <c r="AE174" s="476" t="s">
        <v>116</v>
      </c>
      <c r="AF174" s="573" t="s">
        <v>29</v>
      </c>
      <c r="AG174" s="573" t="s">
        <v>376</v>
      </c>
      <c r="AH174" s="456" t="s">
        <v>376</v>
      </c>
      <c r="AI174" s="499">
        <v>0</v>
      </c>
      <c r="AJ174" s="541">
        <v>0</v>
      </c>
      <c r="AK174" s="568">
        <v>7167</v>
      </c>
      <c r="AL174" s="494">
        <f>SUM(Table159[[#This Row],[Nicor Initiated DBE]:[Staffing]])/(Table159[[#This Row],[Amount Invoiced]])</f>
        <v>0.20828577917900898</v>
      </c>
      <c r="AM174" s="21" t="s">
        <v>116</v>
      </c>
      <c r="AN174" s="680" t="s">
        <v>709</v>
      </c>
      <c r="AO174" s="601"/>
      <c r="AP174" s="572"/>
      <c r="AQ174" s="572"/>
      <c r="AR174" s="572"/>
      <c r="AS174" s="538">
        <f>IF(Table159[[#This Row],[PCTS Approved]]="N",0,Table159[[#This Row],[Investment Amount (1'#'#'#'#'#)]]+Table159[[#This Row],[Retirement Amount (3'#'#'#'#'#)]])</f>
        <v>0</v>
      </c>
      <c r="AT174" s="538">
        <f>IF(Table159[[#This Row],[Approved Construction Cost]]=0,0,Table159[[#This Row],[Approved Construction Cost]]-Table159[[#This Row],[Construction Cost to Bill From]])</f>
        <v>0</v>
      </c>
      <c r="AU174" s="538">
        <f>Table159[[#This Row],[Difference in Construction Cost]]*Table159[[#This Row],[Rate]]</f>
        <v>0</v>
      </c>
      <c r="AV174" s="602"/>
      <c r="AW174" s="640"/>
      <c r="AX174" s="555"/>
      <c r="AY174" s="636" t="s">
        <v>709</v>
      </c>
      <c r="BA174" s="84" t="s">
        <v>6787</v>
      </c>
      <c r="BB174" s="100" t="s">
        <v>6788</v>
      </c>
      <c r="BC174" s="478" t="s">
        <v>115</v>
      </c>
      <c r="BD174" s="544" t="s">
        <v>115</v>
      </c>
      <c r="BE174" s="544" t="s">
        <v>5873</v>
      </c>
      <c r="BF174" s="544" t="s">
        <v>115</v>
      </c>
      <c r="BG174" s="483" t="s">
        <v>115</v>
      </c>
      <c r="BH174" s="615" t="s">
        <v>6789</v>
      </c>
      <c r="BI174" s="547" t="s">
        <v>709</v>
      </c>
      <c r="BJ174" s="547" t="s">
        <v>709</v>
      </c>
      <c r="BK174" s="547" t="s">
        <v>709</v>
      </c>
      <c r="BL174" s="547" t="s">
        <v>116</v>
      </c>
      <c r="BM174" s="547" t="s">
        <v>709</v>
      </c>
      <c r="BN174" s="547" t="s">
        <v>709</v>
      </c>
      <c r="BO174" s="547" t="s">
        <v>709</v>
      </c>
      <c r="BP174" s="626" t="s">
        <v>709</v>
      </c>
      <c r="BQ174" s="626" t="s">
        <v>709</v>
      </c>
      <c r="BR174" s="549" t="s">
        <v>709</v>
      </c>
      <c r="BS174" s="549">
        <v>2602</v>
      </c>
      <c r="BT174" s="547" t="s">
        <v>709</v>
      </c>
      <c r="BU174" s="547" t="s">
        <v>709</v>
      </c>
      <c r="BV174" s="547" t="s">
        <v>709</v>
      </c>
      <c r="BW174" s="547" t="s">
        <v>709</v>
      </c>
      <c r="BX174" s="547" t="s">
        <v>709</v>
      </c>
      <c r="BY174" s="547" t="s">
        <v>709</v>
      </c>
      <c r="BZ174" s="483" t="s">
        <v>6790</v>
      </c>
    </row>
    <row r="175" spans="1:78" ht="15" hidden="1" customHeight="1" x14ac:dyDescent="0.25">
      <c r="A175" s="8" t="s">
        <v>6816</v>
      </c>
      <c r="B175" s="8" t="s">
        <v>730</v>
      </c>
      <c r="C175" s="8" t="s">
        <v>6878</v>
      </c>
      <c r="D175" s="8" t="s">
        <v>6879</v>
      </c>
      <c r="E175" s="8" t="s">
        <v>6880</v>
      </c>
      <c r="F175" s="8" t="s">
        <v>6643</v>
      </c>
      <c r="G175" s="8" t="s">
        <v>37</v>
      </c>
      <c r="H175" s="8" t="s">
        <v>59</v>
      </c>
      <c r="I175" s="642">
        <v>45517</v>
      </c>
      <c r="J175" s="472">
        <v>45657</v>
      </c>
      <c r="K175" s="18">
        <v>45649</v>
      </c>
      <c r="L175" s="16">
        <f>IF(ISTEXT(Table159[[#This Row],[Engineering Approved Design Date]]),Table159[[#This Row],[Date Completed]]-Table159[[#This Row],[Date Assigned to Designer]],Table159[[#This Row],[Engineering Approved Design Date]]-Table159[[#This Row],[Date Completed]])</f>
        <v>8</v>
      </c>
      <c r="M175" s="13"/>
      <c r="N175" s="770" t="s">
        <v>739</v>
      </c>
      <c r="O175" s="510">
        <v>45627</v>
      </c>
      <c r="P175" s="221" t="s">
        <v>120</v>
      </c>
      <c r="Q175" s="1253">
        <f>Table159[[#This Row],[Rate]]*Table159[[#This Row],[Construction Cost to Bill From]]</f>
        <v>33931.109300000004</v>
      </c>
      <c r="R175" s="77">
        <v>0.11</v>
      </c>
      <c r="S175" s="24" t="s">
        <v>29</v>
      </c>
      <c r="T175" s="538" t="s">
        <v>29</v>
      </c>
      <c r="U175" s="28" t="s">
        <v>29</v>
      </c>
      <c r="V175" s="858">
        <f>1007+59</f>
        <v>1066</v>
      </c>
      <c r="W175" s="437">
        <v>1</v>
      </c>
      <c r="X175" s="94">
        <v>245944.3</v>
      </c>
      <c r="Y175" s="551"/>
      <c r="Z175" s="552">
        <v>62520.33</v>
      </c>
      <c r="AA175" s="300">
        <f>SUM(Table159[[#This Row],[PCTS Investment Amount]:[PCTS Retirement Amount]])</f>
        <v>308464.63</v>
      </c>
      <c r="AB175" s="207">
        <v>45663</v>
      </c>
      <c r="AC175" s="108" t="s">
        <v>1056</v>
      </c>
      <c r="AD175" s="769" t="s">
        <v>29</v>
      </c>
      <c r="AE175" s="573" t="s">
        <v>756</v>
      </c>
      <c r="AF175" s="573" t="s">
        <v>116</v>
      </c>
      <c r="AG175" s="573" t="s">
        <v>116</v>
      </c>
      <c r="AH175" s="456" t="s">
        <v>376</v>
      </c>
      <c r="AI175" s="499">
        <v>10980</v>
      </c>
      <c r="AJ175" s="541">
        <v>0</v>
      </c>
      <c r="AK175" s="568">
        <v>6453.25</v>
      </c>
      <c r="AL175" s="494">
        <f>SUM(Table159[[#This Row],[Nicor Initiated DBE]:[Staffing]])/(Table159[[#This Row],[Amount Invoiced]])</f>
        <v>0.51378367402801062</v>
      </c>
      <c r="AM175" s="21" t="s">
        <v>116</v>
      </c>
      <c r="AN175" s="680" t="s">
        <v>709</v>
      </c>
      <c r="AO175" s="601"/>
      <c r="AP175" s="572"/>
      <c r="AQ175" s="572"/>
      <c r="AR175" s="572"/>
      <c r="AS175" s="538"/>
      <c r="AT175" s="538"/>
      <c r="AU175" s="538"/>
      <c r="AV175" s="602"/>
      <c r="AW175" s="640"/>
      <c r="AX175" s="555"/>
      <c r="AY175" s="636"/>
      <c r="BA175" s="780" t="s">
        <v>6881</v>
      </c>
      <c r="BB175" s="644" t="s">
        <v>6882</v>
      </c>
      <c r="BC175" s="544" t="s">
        <v>116</v>
      </c>
      <c r="BD175" s="544" t="s">
        <v>115</v>
      </c>
      <c r="BE175" s="544" t="s">
        <v>115</v>
      </c>
      <c r="BF175" s="544" t="s">
        <v>6883</v>
      </c>
      <c r="BG175" s="548" t="s">
        <v>115</v>
      </c>
      <c r="BH175" s="615" t="s">
        <v>6884</v>
      </c>
      <c r="BI175" s="547" t="s">
        <v>709</v>
      </c>
      <c r="BJ175" s="547" t="s">
        <v>116</v>
      </c>
      <c r="BK175" s="547" t="s">
        <v>709</v>
      </c>
      <c r="BL175" s="547" t="s">
        <v>709</v>
      </c>
      <c r="BM175" s="547" t="s">
        <v>709</v>
      </c>
      <c r="BN175" s="547" t="s">
        <v>709</v>
      </c>
      <c r="BO175" s="547" t="s">
        <v>709</v>
      </c>
      <c r="BP175" s="626" t="s">
        <v>709</v>
      </c>
      <c r="BQ175" s="626" t="s">
        <v>709</v>
      </c>
      <c r="BR175" s="549">
        <v>1007</v>
      </c>
      <c r="BS175" s="549">
        <v>59</v>
      </c>
      <c r="BT175" s="547" t="s">
        <v>709</v>
      </c>
      <c r="BU175" s="547">
        <v>1</v>
      </c>
      <c r="BV175" s="547" t="s">
        <v>709</v>
      </c>
      <c r="BW175" s="547" t="s">
        <v>709</v>
      </c>
      <c r="BX175" s="547">
        <v>1</v>
      </c>
      <c r="BY175" s="547" t="s">
        <v>709</v>
      </c>
      <c r="BZ175" s="548"/>
    </row>
    <row r="176" spans="1:78" x14ac:dyDescent="0.25">
      <c r="BE176" s="698"/>
      <c r="BF176" s="698"/>
      <c r="BI176" s="828"/>
      <c r="BJ176" s="829"/>
      <c r="BK176" s="829"/>
      <c r="BL176" s="829"/>
      <c r="BM176" s="829"/>
      <c r="BN176" s="829"/>
      <c r="BO176" s="829"/>
      <c r="BP176" s="829"/>
      <c r="BQ176" s="829"/>
      <c r="BR176" s="829"/>
      <c r="BS176" s="829"/>
      <c r="BT176" s="829"/>
      <c r="BU176" s="829"/>
      <c r="BV176" s="829"/>
      <c r="BW176" s="829"/>
      <c r="BX176" s="829"/>
      <c r="BY176" s="829"/>
      <c r="BZ176" s="830"/>
    </row>
    <row r="179" spans="2:44" x14ac:dyDescent="0.25">
      <c r="B179" s="677" t="s">
        <v>1849</v>
      </c>
      <c r="C179" s="678" t="s">
        <v>1850</v>
      </c>
      <c r="AR179" s="14" t="s">
        <v>41</v>
      </c>
    </row>
    <row r="180" spans="2:44" x14ac:dyDescent="0.25">
      <c r="B180" s="730" t="s">
        <v>1851</v>
      </c>
      <c r="C180" s="684"/>
    </row>
    <row r="181" spans="2:44" x14ac:dyDescent="0.25">
      <c r="B181" s="730" t="s">
        <v>1852</v>
      </c>
      <c r="C181" s="684" t="s">
        <v>1853</v>
      </c>
    </row>
    <row r="182" spans="2:44" x14ac:dyDescent="0.25">
      <c r="B182" s="730" t="s">
        <v>1854</v>
      </c>
      <c r="C182" s="684" t="s">
        <v>1855</v>
      </c>
    </row>
    <row r="183" spans="2:44" x14ac:dyDescent="0.25">
      <c r="B183" s="730" t="s">
        <v>1856</v>
      </c>
      <c r="C183" s="684" t="s">
        <v>1855</v>
      </c>
    </row>
    <row r="184" spans="2:44" x14ac:dyDescent="0.25">
      <c r="B184" s="730" t="s">
        <v>1857</v>
      </c>
      <c r="C184" s="684" t="s">
        <v>1858</v>
      </c>
    </row>
    <row r="185" spans="2:44" x14ac:dyDescent="0.25">
      <c r="B185" s="730" t="s">
        <v>1859</v>
      </c>
      <c r="C185" s="684"/>
    </row>
    <row r="186" spans="2:44" x14ac:dyDescent="0.25">
      <c r="B186" s="730" t="s">
        <v>1860</v>
      </c>
      <c r="C186" s="684" t="s">
        <v>1861</v>
      </c>
    </row>
    <row r="187" spans="2:44" x14ac:dyDescent="0.25">
      <c r="B187" s="730" t="s">
        <v>1862</v>
      </c>
      <c r="C187" s="684" t="s">
        <v>6885</v>
      </c>
    </row>
    <row r="188" spans="2:44" x14ac:dyDescent="0.25">
      <c r="B188" s="730" t="s">
        <v>1864</v>
      </c>
      <c r="C188" s="684" t="s">
        <v>1865</v>
      </c>
    </row>
    <row r="189" spans="2:44" x14ac:dyDescent="0.25">
      <c r="B189" s="730" t="s">
        <v>1866</v>
      </c>
      <c r="C189" s="684" t="s">
        <v>1867</v>
      </c>
    </row>
    <row r="190" spans="2:44" x14ac:dyDescent="0.25">
      <c r="B190" s="730" t="s">
        <v>1868</v>
      </c>
      <c r="C190" s="684" t="s">
        <v>1869</v>
      </c>
    </row>
    <row r="191" spans="2:44" x14ac:dyDescent="0.25">
      <c r="B191" s="730" t="s">
        <v>1870</v>
      </c>
      <c r="C191" s="684" t="s">
        <v>1871</v>
      </c>
    </row>
    <row r="192" spans="2:44" x14ac:dyDescent="0.25">
      <c r="B192" s="730" t="s">
        <v>1872</v>
      </c>
      <c r="C192" s="684" t="s">
        <v>1873</v>
      </c>
    </row>
    <row r="193" spans="2:3" x14ac:dyDescent="0.25">
      <c r="B193" s="730" t="s">
        <v>1859</v>
      </c>
      <c r="C193" s="684" t="s">
        <v>6886</v>
      </c>
    </row>
    <row r="194" spans="2:3" x14ac:dyDescent="0.25">
      <c r="B194" s="794" t="s">
        <v>6887</v>
      </c>
      <c r="C194" s="795" t="s">
        <v>6888</v>
      </c>
    </row>
    <row r="285" spans="13:13" x14ac:dyDescent="0.25">
      <c r="M285" t="s">
        <v>1874</v>
      </c>
    </row>
    <row r="310" spans="13:13" x14ac:dyDescent="0.25">
      <c r="M310" t="s">
        <v>1875</v>
      </c>
    </row>
  </sheetData>
  <mergeCells count="4">
    <mergeCell ref="S1:U1"/>
    <mergeCell ref="BI1:BL1"/>
    <mergeCell ref="BM1:BS1"/>
    <mergeCell ref="BT1:BY1"/>
  </mergeCells>
  <pageMargins left="0.7" right="0.7" top="0.75" bottom="0.75" header="0.3" footer="0.3"/>
  <pageSetup orientation="portrait" r:id="rId1"/>
  <drawing r:id="rId2"/>
  <legacyDrawing r:id="rId3"/>
  <tableParts count="1">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D4A70-0BC2-4649-A971-A465489FD120}">
  <sheetPr codeName="Sheet1"/>
  <dimension ref="A1:AV67"/>
  <sheetViews>
    <sheetView workbookViewId="0">
      <selection activeCell="C40" sqref="C40"/>
    </sheetView>
  </sheetViews>
  <sheetFormatPr defaultColWidth="9.140625" defaultRowHeight="15" customHeight="1" x14ac:dyDescent="0.25"/>
  <cols>
    <col min="1" max="1" width="7" customWidth="1"/>
    <col min="2" max="2" width="9.7109375" style="4" customWidth="1"/>
    <col min="3" max="3" width="15" customWidth="1"/>
    <col min="4" max="4" width="11.28515625" customWidth="1"/>
    <col min="5" max="5" width="25.7109375" customWidth="1"/>
    <col min="6" max="6" width="15.5703125" customWidth="1"/>
    <col min="7" max="7" width="19.5703125" customWidth="1"/>
    <col min="8" max="8" width="16.42578125" customWidth="1"/>
    <col min="9" max="9" width="17.140625" bestFit="1" customWidth="1"/>
    <col min="10" max="10" width="14.28515625" customWidth="1"/>
    <col min="11" max="11" width="39.85546875" style="4" customWidth="1"/>
    <col min="12" max="12" width="10.5703125" customWidth="1"/>
    <col min="13" max="13" width="44.85546875" customWidth="1"/>
    <col min="14" max="14" width="47.140625" style="66" customWidth="1"/>
    <col min="15" max="15" width="7.7109375" style="66" customWidth="1"/>
    <col min="16" max="16" width="8.85546875" style="66" customWidth="1"/>
    <col min="17" max="19" width="7.7109375" style="66" customWidth="1"/>
    <col min="20" max="20" width="19.140625" style="66" customWidth="1"/>
    <col min="21" max="21" width="12.140625" style="66" bestFit="1" customWidth="1"/>
    <col min="22" max="22" width="11.28515625" customWidth="1"/>
    <col min="23" max="24" width="11.7109375" customWidth="1"/>
    <col min="25" max="26" width="11.7109375" style="9" customWidth="1"/>
    <col min="27" max="27" width="25.140625" style="31" customWidth="1"/>
    <col min="28" max="28" width="17.85546875" style="31" customWidth="1"/>
    <col min="29" max="29" width="21" style="27" customWidth="1"/>
    <col min="30" max="30" width="11.7109375" style="4" customWidth="1"/>
    <col min="31" max="31" width="17.140625" style="4" customWidth="1"/>
    <col min="32" max="32" width="15.42578125" style="4" customWidth="1"/>
    <col min="33" max="33" width="11.7109375" style="1603" customWidth="1"/>
    <col min="34" max="34" width="11" style="1177" customWidth="1"/>
    <col min="35" max="35" width="13" style="4" customWidth="1"/>
    <col min="36" max="36" width="17.28515625" style="4" bestFit="1" customWidth="1"/>
    <col min="37" max="37" width="16" style="4" bestFit="1" customWidth="1"/>
    <col min="38" max="38" width="14.140625" style="4" bestFit="1" customWidth="1"/>
    <col min="39" max="39" width="14.140625" style="4" customWidth="1"/>
    <col min="40" max="40" width="17.5703125" style="4" customWidth="1"/>
    <col min="41" max="41" width="18.5703125" style="4" customWidth="1"/>
    <col min="42" max="42" width="15.28515625" style="4" customWidth="1"/>
    <col min="43" max="43" width="36.28515625" style="20" customWidth="1"/>
    <col min="44" max="44" width="17.140625" style="1" customWidth="1"/>
    <col min="45" max="45" width="13.85546875" customWidth="1"/>
    <col min="46" max="46" width="15.28515625" customWidth="1"/>
    <col min="47" max="47" width="17.140625" style="19" customWidth="1"/>
    <col min="48" max="48" width="17.140625" customWidth="1"/>
  </cols>
  <sheetData>
    <row r="1" spans="1:48" ht="18.75" x14ac:dyDescent="0.3">
      <c r="A1" s="6" t="s">
        <v>6889</v>
      </c>
      <c r="L1" s="4"/>
      <c r="M1" s="4"/>
      <c r="N1" s="65"/>
      <c r="O1" s="1789" t="s">
        <v>655</v>
      </c>
      <c r="P1" s="1789"/>
      <c r="Q1" s="1789"/>
      <c r="R1" s="1789"/>
      <c r="S1" s="1789"/>
      <c r="T1"/>
      <c r="U1" s="65"/>
      <c r="V1" s="4"/>
      <c r="W1" s="4"/>
      <c r="X1" s="4"/>
      <c r="Y1" s="4"/>
      <c r="Z1" s="4"/>
      <c r="AA1" s="4"/>
      <c r="AB1" s="4"/>
      <c r="AC1" s="4"/>
      <c r="AG1" s="5"/>
      <c r="AH1" s="4"/>
      <c r="AJ1" s="1789" t="s">
        <v>6890</v>
      </c>
      <c r="AK1" s="1790"/>
      <c r="AL1" s="1790"/>
      <c r="AM1" s="1790"/>
      <c r="AN1" s="1790"/>
      <c r="AO1" s="1790"/>
      <c r="AP1" s="1790"/>
      <c r="AQ1" s="1790"/>
    </row>
    <row r="2" spans="1:48" s="5" customFormat="1" ht="45" customHeight="1" x14ac:dyDescent="0.25">
      <c r="A2" s="110" t="s">
        <v>659</v>
      </c>
      <c r="B2" s="110" t="s">
        <v>6891</v>
      </c>
      <c r="C2" s="110" t="s">
        <v>661</v>
      </c>
      <c r="D2" s="110" t="s">
        <v>662</v>
      </c>
      <c r="E2" s="110" t="s">
        <v>44</v>
      </c>
      <c r="F2" s="110" t="s">
        <v>663</v>
      </c>
      <c r="G2" s="110" t="s">
        <v>6892</v>
      </c>
      <c r="H2" s="110" t="s">
        <v>665</v>
      </c>
      <c r="I2" s="110" t="s">
        <v>666</v>
      </c>
      <c r="J2" s="110" t="s">
        <v>667</v>
      </c>
      <c r="K2" s="1313" t="s">
        <v>6893</v>
      </c>
      <c r="L2" s="111" t="s">
        <v>6894</v>
      </c>
      <c r="M2" s="111" t="s">
        <v>6895</v>
      </c>
      <c r="N2" s="111" t="s">
        <v>6896</v>
      </c>
      <c r="O2" s="2" t="s">
        <v>712</v>
      </c>
      <c r="P2" s="2" t="s">
        <v>6897</v>
      </c>
      <c r="Q2" s="2" t="s">
        <v>6898</v>
      </c>
      <c r="R2" s="2" t="s">
        <v>6899</v>
      </c>
      <c r="S2" s="2" t="s">
        <v>716</v>
      </c>
      <c r="T2" s="453" t="s">
        <v>717</v>
      </c>
      <c r="U2" s="2" t="s">
        <v>6900</v>
      </c>
      <c r="V2" s="2" t="s">
        <v>3759</v>
      </c>
      <c r="W2" s="111" t="s">
        <v>6901</v>
      </c>
      <c r="X2" s="111" t="s">
        <v>6902</v>
      </c>
      <c r="Y2" s="111" t="s">
        <v>6903</v>
      </c>
      <c r="Z2" s="111" t="s">
        <v>6904</v>
      </c>
      <c r="AA2" s="111" t="s">
        <v>6905</v>
      </c>
      <c r="AB2" s="111" t="s">
        <v>6906</v>
      </c>
      <c r="AC2" s="111" t="s">
        <v>6907</v>
      </c>
      <c r="AD2" s="111" t="s">
        <v>6908</v>
      </c>
      <c r="AE2" s="118" t="s">
        <v>6909</v>
      </c>
      <c r="AF2" s="2" t="s">
        <v>6910</v>
      </c>
      <c r="AG2" s="2" t="s">
        <v>6911</v>
      </c>
      <c r="AH2" s="448" t="s">
        <v>6912</v>
      </c>
      <c r="AI2" s="2" t="s">
        <v>6913</v>
      </c>
      <c r="AJ2" s="111" t="s">
        <v>6914</v>
      </c>
      <c r="AK2" s="111" t="s">
        <v>6915</v>
      </c>
      <c r="AL2" s="111" t="s">
        <v>6916</v>
      </c>
      <c r="AM2" s="111" t="s">
        <v>6917</v>
      </c>
      <c r="AN2" s="111" t="s">
        <v>6918</v>
      </c>
      <c r="AO2" s="111" t="s">
        <v>6919</v>
      </c>
      <c r="AP2" s="111" t="s">
        <v>6920</v>
      </c>
      <c r="AQ2" s="113" t="s">
        <v>6921</v>
      </c>
      <c r="AR2" s="112" t="s">
        <v>6922</v>
      </c>
      <c r="AS2" s="111" t="s">
        <v>674</v>
      </c>
      <c r="AT2" s="111" t="s">
        <v>6923</v>
      </c>
      <c r="AU2" s="210" t="s">
        <v>6924</v>
      </c>
      <c r="AV2" s="111" t="s">
        <v>6925</v>
      </c>
    </row>
    <row r="3" spans="1:48" s="30" customFormat="1" ht="75.75" customHeight="1" x14ac:dyDescent="0.25">
      <c r="A3" s="115" t="s">
        <v>6816</v>
      </c>
      <c r="B3" s="532" t="s">
        <v>730</v>
      </c>
      <c r="C3" s="469" t="s">
        <v>7058</v>
      </c>
      <c r="D3" s="1571">
        <v>1015225</v>
      </c>
      <c r="E3" s="115" t="s">
        <v>7022</v>
      </c>
      <c r="F3" s="115" t="s">
        <v>6643</v>
      </c>
      <c r="G3" s="532" t="s">
        <v>37</v>
      </c>
      <c r="H3" s="115" t="s">
        <v>7001</v>
      </c>
      <c r="I3" s="468">
        <v>45735</v>
      </c>
      <c r="J3" s="1505">
        <v>45940</v>
      </c>
      <c r="K3" s="1314" t="s">
        <v>7024</v>
      </c>
      <c r="L3" s="833" t="str">
        <f>IF(OR(B3="TWV", B3="PV", B3="FV", B3="STR", B3="COR"), "No", IF(OR(B3="TW", B3="VLT"), "Yes", "Error"))</f>
        <v>Yes</v>
      </c>
      <c r="M3" s="12" t="s">
        <v>7059</v>
      </c>
      <c r="N3" s="469" t="s">
        <v>7060</v>
      </c>
      <c r="O3" s="192" t="s">
        <v>116</v>
      </c>
      <c r="P3" s="193" t="s">
        <v>1167</v>
      </c>
      <c r="Q3" s="193" t="s">
        <v>7061</v>
      </c>
      <c r="R3" s="193" t="s">
        <v>5630</v>
      </c>
      <c r="S3" s="193" t="s">
        <v>115</v>
      </c>
      <c r="T3" s="1477" t="s">
        <v>7062</v>
      </c>
      <c r="U3" s="850" t="s">
        <v>7063</v>
      </c>
      <c r="V3" s="850">
        <v>45807</v>
      </c>
      <c r="W3" s="851" t="s">
        <v>4055</v>
      </c>
      <c r="X3" s="851" t="s">
        <v>4055</v>
      </c>
      <c r="Y3" s="851" t="s">
        <v>4055</v>
      </c>
      <c r="Z3" s="851" t="s">
        <v>4055</v>
      </c>
      <c r="AA3" s="676">
        <v>45848</v>
      </c>
      <c r="AB3" s="676">
        <v>45854</v>
      </c>
      <c r="AC3" s="468">
        <f>IF(CRA_Projects[[#This Row],[TDS (i.e. MOP main)]]="Y",CRA_Projects[[#This Row],[Engineering Approved Design Date]]-28,CRA_Projects[[#This Row],[Engineering Approved Design Date]]-21)</f>
        <v>45912</v>
      </c>
      <c r="AD3" s="468"/>
      <c r="AE3" s="201" t="s">
        <v>116</v>
      </c>
      <c r="AF3" s="201" t="s">
        <v>116</v>
      </c>
      <c r="AG3" s="851">
        <v>45765</v>
      </c>
      <c r="AH3" s="1605">
        <v>1</v>
      </c>
      <c r="AI3" s="9" t="s">
        <v>709</v>
      </c>
      <c r="AJ3" s="736">
        <v>45743</v>
      </c>
      <c r="AK3" s="736">
        <v>45747</v>
      </c>
      <c r="AL3" s="473">
        <v>45834</v>
      </c>
      <c r="AM3" s="473">
        <v>45771</v>
      </c>
      <c r="AN3" s="850">
        <v>45812</v>
      </c>
      <c r="AO3" s="676">
        <v>45867</v>
      </c>
      <c r="AP3" s="473" t="s">
        <v>7064</v>
      </c>
      <c r="AQ3" s="709" t="s">
        <v>7029</v>
      </c>
      <c r="AR3" s="837">
        <v>1000000</v>
      </c>
      <c r="AS3" s="751">
        <v>0.11</v>
      </c>
      <c r="AT3" s="751">
        <f>IF(OR(CRA_Projects[[#This Row],[Rate]]=12750,CRA_Projects[[#This Row],[Rate]]=14750,CRA_Projects[[#This Row],[Rate]]=9250), CRA_Projects[[#This Row],[Rate]], IF(CRA_Projects[[#This Row],[Project Type]]="COR", CRA_Projects[[#This Row],['# of design pages]]*5000, CRA_Projects[[#This Row],[Cost Estimate]] * CRA_Projects[[#This Row],[Rate]]))</f>
        <v>110000</v>
      </c>
      <c r="AU3" s="732" t="s">
        <v>116</v>
      </c>
      <c r="AV3" s="5" t="str">
        <f>IF(DAY(CRA_Projects[[#This Row],[Engineering Approved Design Date]]) &gt; 16, TEXT(EOMONTH(CRA_Projects[[#This Row],[Engineering Approved Design Date]], 0) + 1, "mmmm"), TEXT(EOMONTH(CRA_Projects[[#This Row],[Engineering Approved Design Date]], -1) + 1, "mmmm"))</f>
        <v>October</v>
      </c>
    </row>
    <row r="4" spans="1:48" s="30" customFormat="1" ht="75" customHeight="1" x14ac:dyDescent="0.25">
      <c r="A4" s="115" t="s">
        <v>6816</v>
      </c>
      <c r="B4" s="532" t="s">
        <v>759</v>
      </c>
      <c r="C4" s="469" t="s">
        <v>7030</v>
      </c>
      <c r="D4" s="1571">
        <v>1015488</v>
      </c>
      <c r="E4" s="115" t="s">
        <v>1680</v>
      </c>
      <c r="F4" s="115" t="s">
        <v>6643</v>
      </c>
      <c r="G4" s="115" t="s">
        <v>7023</v>
      </c>
      <c r="H4" s="115" t="s">
        <v>6930</v>
      </c>
      <c r="I4" s="468">
        <v>45811</v>
      </c>
      <c r="J4" s="1505">
        <v>45968</v>
      </c>
      <c r="K4" s="1314" t="s">
        <v>7031</v>
      </c>
      <c r="L4" s="833" t="str">
        <f>IF(OR(B4="TWV", B4="PV", B4="FV", B4="STR", B4="COR"), "No", IF(OR(B4="TW", B4="VLT"), "Yes", "Error"))</f>
        <v>Yes</v>
      </c>
      <c r="M4" s="469" t="s">
        <v>7032</v>
      </c>
      <c r="N4" s="469" t="s">
        <v>7033</v>
      </c>
      <c r="O4" s="192" t="s">
        <v>116</v>
      </c>
      <c r="P4" s="193" t="s">
        <v>862</v>
      </c>
      <c r="Q4" s="193" t="s">
        <v>7034</v>
      </c>
      <c r="R4" s="193" t="s">
        <v>115</v>
      </c>
      <c r="S4" s="193" t="s">
        <v>115</v>
      </c>
      <c r="T4" s="1477" t="s">
        <v>7035</v>
      </c>
      <c r="U4" s="12" t="s">
        <v>7036</v>
      </c>
      <c r="V4" s="850">
        <v>45868</v>
      </c>
      <c r="W4" s="731" t="s">
        <v>4055</v>
      </c>
      <c r="X4" s="731" t="s">
        <v>4055</v>
      </c>
      <c r="Y4" s="731" t="s">
        <v>4055</v>
      </c>
      <c r="Z4" s="731" t="s">
        <v>4055</v>
      </c>
      <c r="AA4" s="676">
        <v>45881</v>
      </c>
      <c r="AB4" s="676">
        <v>45889</v>
      </c>
      <c r="AC4" s="468">
        <f>IF(CRA_Projects[[#This Row],[TDS (i.e. MOP main)]]="Y",CRA_Projects[[#This Row],[Engineering Approved Design Date]]-28,CRA_Projects[[#This Row],[Engineering Approved Design Date]]-21)</f>
        <v>45940</v>
      </c>
      <c r="AD4" s="468"/>
      <c r="AE4" s="201" t="s">
        <v>116</v>
      </c>
      <c r="AF4" s="201" t="s">
        <v>709</v>
      </c>
      <c r="AG4" s="851" t="s">
        <v>376</v>
      </c>
      <c r="AH4" s="1605">
        <v>4</v>
      </c>
      <c r="AI4" s="9" t="s">
        <v>709</v>
      </c>
      <c r="AJ4" s="736">
        <v>45813</v>
      </c>
      <c r="AK4" s="736">
        <v>45819</v>
      </c>
      <c r="AL4" s="473">
        <v>45875</v>
      </c>
      <c r="AM4" s="473">
        <v>45828</v>
      </c>
      <c r="AN4" s="473">
        <v>45887</v>
      </c>
      <c r="AO4" s="676" t="s">
        <v>7037</v>
      </c>
      <c r="AP4" s="473" t="s">
        <v>7038</v>
      </c>
      <c r="AQ4" s="709" t="s">
        <v>7039</v>
      </c>
      <c r="AR4" s="837">
        <v>280000</v>
      </c>
      <c r="AS4" s="751">
        <v>0.11</v>
      </c>
      <c r="AT4" s="750">
        <f>IF(OR(CRA_Projects[[#This Row],[Rate]]=12750,CRA_Projects[[#This Row],[Rate]]=14750,CRA_Projects[[#This Row],[Rate]]=9250), CRA_Projects[[#This Row],[Rate]], IF(CRA_Projects[[#This Row],[Project Type]]="COR", CRA_Projects[[#This Row],['# of design pages]]*5000, CRA_Projects[[#This Row],[Cost Estimate]] * CRA_Projects[[#This Row],[Rate]]))</f>
        <v>30800</v>
      </c>
      <c r="AU4" s="732" t="s">
        <v>116</v>
      </c>
      <c r="AV4" s="5" t="str">
        <f>IF(DAY(CRA_Projects[[#This Row],[Engineering Approved Design Date]]) &gt; 16, TEXT(EOMONTH(CRA_Projects[[#This Row],[Engineering Approved Design Date]], 0) + 1, "mmmm"), TEXT(EOMONTH(CRA_Projects[[#This Row],[Engineering Approved Design Date]], -1) + 1, "mmmm"))</f>
        <v>November</v>
      </c>
    </row>
    <row r="5" spans="1:48" ht="45" customHeight="1" x14ac:dyDescent="0.25">
      <c r="A5" s="115" t="s">
        <v>6816</v>
      </c>
      <c r="B5" s="532" t="s">
        <v>759</v>
      </c>
      <c r="C5" s="469" t="s">
        <v>7123</v>
      </c>
      <c r="D5" s="1571">
        <v>1015485</v>
      </c>
      <c r="E5" s="115" t="s">
        <v>391</v>
      </c>
      <c r="F5" s="115" t="s">
        <v>6643</v>
      </c>
      <c r="G5" s="115" t="s">
        <v>34</v>
      </c>
      <c r="H5" s="115" t="s">
        <v>6930</v>
      </c>
      <c r="I5" s="468">
        <v>45811</v>
      </c>
      <c r="J5" s="1743">
        <v>45975</v>
      </c>
      <c r="K5" s="1314" t="s">
        <v>7124</v>
      </c>
      <c r="L5" s="833" t="str">
        <f>IF(OR(B5="TWV", B5="PV", B5="FV", B5="STR", B5="COR"), "No", IF(OR(B5="TW", B5="VLT"), "Yes", "Error"))</f>
        <v>Yes</v>
      </c>
      <c r="M5" s="1204" t="s">
        <v>7125</v>
      </c>
      <c r="N5" s="469" t="s">
        <v>7126</v>
      </c>
      <c r="O5" s="192" t="s">
        <v>116</v>
      </c>
      <c r="P5" s="193" t="s">
        <v>115</v>
      </c>
      <c r="Q5" s="193" t="s">
        <v>945</v>
      </c>
      <c r="R5" s="193" t="s">
        <v>115</v>
      </c>
      <c r="S5" s="193" t="s">
        <v>115</v>
      </c>
      <c r="T5" s="1477" t="s">
        <v>7127</v>
      </c>
      <c r="U5" s="12" t="s">
        <v>7128</v>
      </c>
      <c r="V5" s="850">
        <v>45873</v>
      </c>
      <c r="W5" s="676" t="s">
        <v>4055</v>
      </c>
      <c r="X5" s="676" t="s">
        <v>7129</v>
      </c>
      <c r="Y5" s="676" t="s">
        <v>7129</v>
      </c>
      <c r="Z5" s="676" t="s">
        <v>4055</v>
      </c>
      <c r="AA5" s="676">
        <v>45896</v>
      </c>
      <c r="AB5" s="676">
        <v>45905</v>
      </c>
      <c r="AC5" s="468">
        <f>IF(CRA_Projects[[#This Row],[TDS (i.e. MOP main)]]="Y",CRA_Projects[[#This Row],[Engineering Approved Design Date]]-28,CRA_Projects[[#This Row],[Engineering Approved Design Date]]-21)</f>
        <v>45954</v>
      </c>
      <c r="AD5" s="468">
        <v>45917</v>
      </c>
      <c r="AE5" s="201" t="s">
        <v>745</v>
      </c>
      <c r="AF5" s="201" t="s">
        <v>116</v>
      </c>
      <c r="AG5" s="851">
        <v>45825</v>
      </c>
      <c r="AH5" s="1605">
        <v>5</v>
      </c>
      <c r="AI5" s="9" t="s">
        <v>709</v>
      </c>
      <c r="AJ5" s="736">
        <v>45813</v>
      </c>
      <c r="AK5" s="736">
        <v>45819</v>
      </c>
      <c r="AL5" s="473">
        <v>45882</v>
      </c>
      <c r="AM5" s="473">
        <v>45853</v>
      </c>
      <c r="AN5" s="473" t="s">
        <v>29</v>
      </c>
      <c r="AO5" s="676" t="s">
        <v>29</v>
      </c>
      <c r="AP5" s="473" t="s">
        <v>6956</v>
      </c>
      <c r="AQ5" s="709" t="s">
        <v>7130</v>
      </c>
      <c r="AR5" s="837">
        <v>500000</v>
      </c>
      <c r="AS5" s="751">
        <v>0.11</v>
      </c>
      <c r="AT5" s="751">
        <f>IF(OR(CRA_Projects[[#This Row],[Rate]]=12750,CRA_Projects[[#This Row],[Rate]]=14750,CRA_Projects[[#This Row],[Rate]]=9250), CRA_Projects[[#This Row],[Rate]], IF(CRA_Projects[[#This Row],[Project Type]]="COR", CRA_Projects[[#This Row],['# of design pages]]*5000, CRA_Projects[[#This Row],[Cost Estimate]] * CRA_Projects[[#This Row],[Rate]]))</f>
        <v>55000</v>
      </c>
      <c r="AU5" s="732" t="s">
        <v>116</v>
      </c>
      <c r="AV5" s="5" t="str">
        <f>IF(DAY(CRA_Projects[[#This Row],[Engineering Approved Design Date]]) &gt; 16, TEXT(EOMONTH(CRA_Projects[[#This Row],[Engineering Approved Design Date]], 0) + 1, "mmmm"), TEXT(EOMONTH(CRA_Projects[[#This Row],[Engineering Approved Design Date]], -1) + 1, "mmmm"))</f>
        <v>November</v>
      </c>
    </row>
    <row r="6" spans="1:48" ht="45" customHeight="1" x14ac:dyDescent="0.25">
      <c r="A6" s="115" t="s">
        <v>6816</v>
      </c>
      <c r="B6" s="532" t="s">
        <v>759</v>
      </c>
      <c r="C6" s="469" t="s">
        <v>7108</v>
      </c>
      <c r="D6" s="1571">
        <v>1015616</v>
      </c>
      <c r="E6" s="115" t="s">
        <v>7109</v>
      </c>
      <c r="F6" s="115" t="s">
        <v>6643</v>
      </c>
      <c r="G6" s="115" t="s">
        <v>34</v>
      </c>
      <c r="H6" s="115" t="s">
        <v>6930</v>
      </c>
      <c r="I6" s="468">
        <v>45825</v>
      </c>
      <c r="J6" s="1505">
        <v>45954</v>
      </c>
      <c r="K6" s="1314" t="s">
        <v>6950</v>
      </c>
      <c r="L6" s="833" t="s">
        <v>120</v>
      </c>
      <c r="M6" s="715" t="s">
        <v>7110</v>
      </c>
      <c r="N6" s="469" t="s">
        <v>7111</v>
      </c>
      <c r="O6" s="192" t="s">
        <v>116</v>
      </c>
      <c r="P6" s="193" t="s">
        <v>115</v>
      </c>
      <c r="Q6" s="193" t="s">
        <v>7112</v>
      </c>
      <c r="R6" s="193" t="s">
        <v>115</v>
      </c>
      <c r="S6" s="193" t="s">
        <v>115</v>
      </c>
      <c r="T6" s="1477" t="s">
        <v>7113</v>
      </c>
      <c r="U6" s="12" t="s">
        <v>7114</v>
      </c>
      <c r="V6" s="850">
        <v>45882</v>
      </c>
      <c r="W6" s="851" t="s">
        <v>4055</v>
      </c>
      <c r="X6" s="851" t="s">
        <v>4055</v>
      </c>
      <c r="Y6" s="851" t="s">
        <v>4055</v>
      </c>
      <c r="Z6" s="851" t="s">
        <v>4055</v>
      </c>
      <c r="AA6" s="1318"/>
      <c r="AB6" s="1317"/>
      <c r="AC6" s="468">
        <f>IF(CRA_Projects[[#This Row],[TDS (i.e. MOP main)]]="Y",CRA_Projects[[#This Row],[Engineering Approved Design Date]]-28,CRA_Projects[[#This Row],[Engineering Approved Design Date]]-21)</f>
        <v>45926</v>
      </c>
      <c r="AD6" s="468"/>
      <c r="AE6" s="201" t="s">
        <v>116</v>
      </c>
      <c r="AF6" s="201" t="s">
        <v>116</v>
      </c>
      <c r="AG6" s="1606"/>
      <c r="AH6" s="1605">
        <v>2</v>
      </c>
      <c r="AI6" s="9" t="s">
        <v>709</v>
      </c>
      <c r="AJ6" s="736">
        <v>45828</v>
      </c>
      <c r="AK6" s="736">
        <v>45833</v>
      </c>
      <c r="AL6" s="473">
        <v>45876</v>
      </c>
      <c r="AM6" s="473">
        <v>45853</v>
      </c>
      <c r="AN6" s="473">
        <v>45854</v>
      </c>
      <c r="AO6" s="676" t="s">
        <v>116</v>
      </c>
      <c r="AP6" s="473" t="s">
        <v>6956</v>
      </c>
      <c r="AQ6" s="709" t="s">
        <v>7115</v>
      </c>
      <c r="AR6" s="837">
        <v>300000</v>
      </c>
      <c r="AS6" s="751">
        <v>14750</v>
      </c>
      <c r="AT6" s="751">
        <f>IF(OR(CRA_Projects[[#This Row],[Rate]]=12750,CRA_Projects[[#This Row],[Rate]]=14750,CRA_Projects[[#This Row],[Rate]]=9250), CRA_Projects[[#This Row],[Rate]], IF(CRA_Projects[[#This Row],[Project Type]]="COR", CRA_Projects[[#This Row],['# of design pages]]*5000, CRA_Projects[[#This Row],[Cost Estimate]] * CRA_Projects[[#This Row],[Rate]]))</f>
        <v>14750</v>
      </c>
      <c r="AU6" s="732" t="s">
        <v>709</v>
      </c>
      <c r="AV6" s="5" t="str">
        <f>IF(DAY(CRA_Projects[[#This Row],[Engineering Approved Design Date]]) &gt; 16, TEXT(EOMONTH(CRA_Projects[[#This Row],[Engineering Approved Design Date]], 0) + 1, "mmmm"), TEXT(EOMONTH(CRA_Projects[[#This Row],[Engineering Approved Design Date]], -1) + 1, "mmmm"))</f>
        <v>November</v>
      </c>
    </row>
    <row r="7" spans="1:48" ht="30" x14ac:dyDescent="0.25">
      <c r="A7" s="532" t="s">
        <v>6816</v>
      </c>
      <c r="B7" s="532" t="s">
        <v>759</v>
      </c>
      <c r="C7" s="12" t="s">
        <v>7116</v>
      </c>
      <c r="D7" s="1570">
        <v>1015615</v>
      </c>
      <c r="E7" s="532" t="s">
        <v>7109</v>
      </c>
      <c r="F7" s="115" t="s">
        <v>6643</v>
      </c>
      <c r="G7" s="532" t="s">
        <v>34</v>
      </c>
      <c r="H7" s="532" t="s">
        <v>6930</v>
      </c>
      <c r="I7" s="533">
        <v>45825</v>
      </c>
      <c r="J7" s="1505">
        <v>45954</v>
      </c>
      <c r="K7" s="1314" t="s">
        <v>6950</v>
      </c>
      <c r="L7" s="833" t="s">
        <v>120</v>
      </c>
      <c r="M7" s="12" t="s">
        <v>7117</v>
      </c>
      <c r="N7" s="715" t="s">
        <v>7111</v>
      </c>
      <c r="O7" s="192" t="s">
        <v>116</v>
      </c>
      <c r="P7" s="193" t="s">
        <v>115</v>
      </c>
      <c r="Q7" s="193" t="s">
        <v>7112</v>
      </c>
      <c r="R7" s="193" t="s">
        <v>115</v>
      </c>
      <c r="S7" s="193" t="s">
        <v>115</v>
      </c>
      <c r="T7" s="1477" t="s">
        <v>7118</v>
      </c>
      <c r="U7" s="12" t="s">
        <v>7114</v>
      </c>
      <c r="V7" s="850">
        <v>45882</v>
      </c>
      <c r="W7" s="676" t="s">
        <v>4055</v>
      </c>
      <c r="X7" s="676" t="s">
        <v>4055</v>
      </c>
      <c r="Y7" s="676" t="s">
        <v>4055</v>
      </c>
      <c r="Z7" s="676" t="s">
        <v>4055</v>
      </c>
      <c r="AA7" s="1318"/>
      <c r="AB7" s="1317"/>
      <c r="AC7" s="533">
        <f>IF(CRA_Projects[[#This Row],[TDS (i.e. MOP main)]]="Y",CRA_Projects[[#This Row],[Engineering Approved Design Date]]-28,CRA_Projects[[#This Row],[Engineering Approved Design Date]]-21)</f>
        <v>45926</v>
      </c>
      <c r="AD7" s="533"/>
      <c r="AE7" s="201" t="s">
        <v>116</v>
      </c>
      <c r="AF7" s="201" t="s">
        <v>116</v>
      </c>
      <c r="AG7" s="1606"/>
      <c r="AH7" s="1605">
        <v>2</v>
      </c>
      <c r="AI7" s="9" t="s">
        <v>709</v>
      </c>
      <c r="AJ7" s="833">
        <v>45828</v>
      </c>
      <c r="AK7" s="833">
        <v>45833</v>
      </c>
      <c r="AL7" s="716">
        <v>45876</v>
      </c>
      <c r="AM7" s="716">
        <v>45853</v>
      </c>
      <c r="AN7" s="716">
        <v>45854</v>
      </c>
      <c r="AO7" s="675" t="s">
        <v>116</v>
      </c>
      <c r="AP7" s="716" t="s">
        <v>6956</v>
      </c>
      <c r="AQ7" s="114"/>
      <c r="AR7" s="827">
        <v>300000</v>
      </c>
      <c r="AS7" s="751">
        <v>14750</v>
      </c>
      <c r="AT7" s="751">
        <f>IF(OR(CRA_Projects[[#This Row],[Rate]]=12750,CRA_Projects[[#This Row],[Rate]]=14750,CRA_Projects[[#This Row],[Rate]]=9250), CRA_Projects[[#This Row],[Rate]], IF(CRA_Projects[[#This Row],[Project Type]]="COR", CRA_Projects[[#This Row],['# of design pages]]*5000, CRA_Projects[[#This Row],[Cost Estimate]] * CRA_Projects[[#This Row],[Rate]]))</f>
        <v>14750</v>
      </c>
      <c r="AU7" s="832" t="s">
        <v>709</v>
      </c>
      <c r="AV7" s="5" t="str">
        <f>IF(DAY(CRA_Projects[[#This Row],[Engineering Approved Design Date]]) &gt; 16, TEXT(EOMONTH(CRA_Projects[[#This Row],[Engineering Approved Design Date]], 0) + 1, "mmmm"), TEXT(EOMONTH(CRA_Projects[[#This Row],[Engineering Approved Design Date]], -1) + 1, "mmmm"))</f>
        <v>November</v>
      </c>
    </row>
    <row r="8" spans="1:48" ht="45.75" customHeight="1" x14ac:dyDescent="0.25">
      <c r="A8" s="532" t="s">
        <v>6816</v>
      </c>
      <c r="B8" s="532" t="s">
        <v>730</v>
      </c>
      <c r="C8" s="715" t="s">
        <v>7021</v>
      </c>
      <c r="D8" s="1570">
        <v>1015226</v>
      </c>
      <c r="E8" s="532" t="s">
        <v>7022</v>
      </c>
      <c r="F8" s="115" t="s">
        <v>6643</v>
      </c>
      <c r="G8" s="532" t="s">
        <v>7023</v>
      </c>
      <c r="H8" s="532" t="s">
        <v>7001</v>
      </c>
      <c r="I8" s="533">
        <v>45735</v>
      </c>
      <c r="J8" s="1677">
        <v>45938</v>
      </c>
      <c r="K8" s="1314" t="s">
        <v>7024</v>
      </c>
      <c r="L8" s="833" t="str">
        <f>IF(OR(B8="TWV", B8="PV", B8="FV", B8="STR", B8="COR"), "No", IF(OR(B8="TW", B8="VLT"), "Yes", "Error"))</f>
        <v>Yes</v>
      </c>
      <c r="M8" s="12" t="s">
        <v>7025</v>
      </c>
      <c r="N8" s="715" t="s">
        <v>7026</v>
      </c>
      <c r="O8" s="192" t="s">
        <v>116</v>
      </c>
      <c r="P8" s="193" t="s">
        <v>1167</v>
      </c>
      <c r="Q8" s="193" t="s">
        <v>115</v>
      </c>
      <c r="R8" s="193" t="s">
        <v>5630</v>
      </c>
      <c r="S8" s="193" t="s">
        <v>115</v>
      </c>
      <c r="T8" s="1477" t="s">
        <v>7027</v>
      </c>
      <c r="U8" s="850" t="s">
        <v>7028</v>
      </c>
      <c r="V8" s="850">
        <v>45792</v>
      </c>
      <c r="W8" s="731" t="s">
        <v>4055</v>
      </c>
      <c r="X8" s="731" t="s">
        <v>4055</v>
      </c>
      <c r="Y8" s="731" t="s">
        <v>4055</v>
      </c>
      <c r="Z8" s="731" t="s">
        <v>4055</v>
      </c>
      <c r="AA8" s="676">
        <v>45826</v>
      </c>
      <c r="AB8" s="676">
        <v>45835</v>
      </c>
      <c r="AC8" s="533">
        <f>IF(CRA_Projects[[#This Row],[TDS (i.e. MOP main)]]="Y",CRA_Projects[[#This Row],[Engineering Approved Design Date]]-28,CRA_Projects[[#This Row],[Engineering Approved Design Date]]-21)</f>
        <v>45910</v>
      </c>
      <c r="AD8" s="533"/>
      <c r="AE8" s="201" t="s">
        <v>116</v>
      </c>
      <c r="AF8" s="201" t="s">
        <v>116</v>
      </c>
      <c r="AG8" s="851">
        <v>45825</v>
      </c>
      <c r="AH8" s="1605">
        <v>14</v>
      </c>
      <c r="AI8" s="9" t="s">
        <v>709</v>
      </c>
      <c r="AJ8" s="833">
        <v>45743</v>
      </c>
      <c r="AK8" s="833">
        <v>45747</v>
      </c>
      <c r="AL8" s="716">
        <v>45818</v>
      </c>
      <c r="AM8" s="716">
        <v>45765</v>
      </c>
      <c r="AN8" s="716">
        <v>45782</v>
      </c>
      <c r="AO8" s="675">
        <v>45853</v>
      </c>
      <c r="AP8" s="716" t="s">
        <v>6956</v>
      </c>
      <c r="AQ8" s="114" t="s">
        <v>7029</v>
      </c>
      <c r="AR8" s="827">
        <v>900000</v>
      </c>
      <c r="AS8" s="751">
        <v>0.11</v>
      </c>
      <c r="AT8" s="751">
        <f>IF(OR(CRA_Projects[[#This Row],[Rate]]=12750,CRA_Projects[[#This Row],[Rate]]=14750,CRA_Projects[[#This Row],[Rate]]=9250), CRA_Projects[[#This Row],[Rate]], IF(CRA_Projects[[#This Row],[Project Type]]="COR", CRA_Projects[[#This Row],['# of design pages]]*5000, CRA_Projects[[#This Row],[Cost Estimate]] * CRA_Projects[[#This Row],[Rate]]))</f>
        <v>99000</v>
      </c>
      <c r="AU8" s="832" t="s">
        <v>116</v>
      </c>
      <c r="AV8" s="5" t="str">
        <f>IF(DAY(CRA_Projects[[#This Row],[Engineering Approved Design Date]]) &gt; 16, TEXT(EOMONTH(CRA_Projects[[#This Row],[Engineering Approved Design Date]], 0) + 1, "mmmm"), TEXT(EOMONTH(CRA_Projects[[#This Row],[Engineering Approved Design Date]], -1) + 1, "mmmm"))</f>
        <v>October</v>
      </c>
    </row>
    <row r="9" spans="1:48" ht="45" customHeight="1" x14ac:dyDescent="0.25">
      <c r="A9" s="115" t="s">
        <v>6816</v>
      </c>
      <c r="B9" s="532" t="s">
        <v>6798</v>
      </c>
      <c r="C9" s="469">
        <v>3601350</v>
      </c>
      <c r="D9" s="1571">
        <v>1014895</v>
      </c>
      <c r="E9" s="115" t="s">
        <v>949</v>
      </c>
      <c r="F9" s="115" t="s">
        <v>6643</v>
      </c>
      <c r="G9" s="532" t="s">
        <v>7047</v>
      </c>
      <c r="H9" s="115" t="s">
        <v>6930</v>
      </c>
      <c r="I9" s="533">
        <v>45665</v>
      </c>
      <c r="J9" s="1583">
        <v>45996</v>
      </c>
      <c r="K9" s="1314" t="s">
        <v>3972</v>
      </c>
      <c r="L9" s="736" t="s">
        <v>739</v>
      </c>
      <c r="M9" s="12" t="s">
        <v>7048</v>
      </c>
      <c r="N9" s="1204" t="s">
        <v>7049</v>
      </c>
      <c r="O9" s="192" t="s">
        <v>115</v>
      </c>
      <c r="P9" s="193" t="s">
        <v>115</v>
      </c>
      <c r="Q9" s="193" t="s">
        <v>115</v>
      </c>
      <c r="R9" s="193" t="s">
        <v>115</v>
      </c>
      <c r="S9" s="193" t="s">
        <v>7050</v>
      </c>
      <c r="T9" s="1477" t="s">
        <v>7051</v>
      </c>
      <c r="U9" s="1475" t="s">
        <v>7052</v>
      </c>
      <c r="V9" s="1315" t="s">
        <v>115</v>
      </c>
      <c r="W9" s="1315" t="s">
        <v>4055</v>
      </c>
      <c r="X9" s="1315" t="s">
        <v>4055</v>
      </c>
      <c r="Y9" s="1315" t="s">
        <v>4055</v>
      </c>
      <c r="Z9" s="1315" t="s">
        <v>4055</v>
      </c>
      <c r="AA9" s="676" t="s">
        <v>376</v>
      </c>
      <c r="AB9" s="676" t="s">
        <v>376</v>
      </c>
      <c r="AC9" s="685">
        <f>IF(CRA_Projects[[#This Row],[TDS (i.e. MOP main)]]="Y",CRA_Projects[[#This Row],[Engineering Approved Design Date]]-28,CRA_Projects[[#This Row],[Engineering Approved Design Date]]-21)</f>
        <v>45975</v>
      </c>
      <c r="AD9" s="468"/>
      <c r="AE9" s="201" t="s">
        <v>745</v>
      </c>
      <c r="AF9" s="201" t="s">
        <v>709</v>
      </c>
      <c r="AG9" s="851" t="s">
        <v>29</v>
      </c>
      <c r="AH9" s="1605">
        <v>1</v>
      </c>
      <c r="AI9" s="36" t="s">
        <v>709</v>
      </c>
      <c r="AJ9" s="201">
        <v>45685</v>
      </c>
      <c r="AK9" s="201">
        <v>45708</v>
      </c>
      <c r="AL9" s="676">
        <v>45727</v>
      </c>
      <c r="AM9" s="716" t="s">
        <v>29</v>
      </c>
      <c r="AN9" s="675">
        <v>45775</v>
      </c>
      <c r="AO9" s="821">
        <v>45831</v>
      </c>
      <c r="AP9" s="675" t="s">
        <v>29</v>
      </c>
      <c r="AQ9" s="709" t="s">
        <v>7046</v>
      </c>
      <c r="AR9" s="822">
        <v>25000</v>
      </c>
      <c r="AS9" s="852" t="s">
        <v>1922</v>
      </c>
      <c r="AT9" s="751">
        <v>7000</v>
      </c>
      <c r="AU9" s="776" t="s">
        <v>709</v>
      </c>
      <c r="AV9" s="752" t="str">
        <f>IF(DAY(CRA_Projects[[#This Row],[Engineering Approved Design Date]]) &gt; 16, TEXT(EOMONTH(CRA_Projects[[#This Row],[Engineering Approved Design Date]], 0) + 1, "mmmm"), TEXT(EOMONTH(CRA_Projects[[#This Row],[Engineering Approved Design Date]], -1) + 1, "mmmm"))</f>
        <v>December</v>
      </c>
    </row>
    <row r="10" spans="1:48" ht="75" customHeight="1" x14ac:dyDescent="0.25">
      <c r="A10" s="532" t="s">
        <v>6816</v>
      </c>
      <c r="B10" s="532" t="s">
        <v>730</v>
      </c>
      <c r="C10" s="715" t="s">
        <v>7053</v>
      </c>
      <c r="D10" s="1570">
        <v>1014895</v>
      </c>
      <c r="E10" s="532" t="s">
        <v>949</v>
      </c>
      <c r="F10" s="115" t="s">
        <v>6643</v>
      </c>
      <c r="G10" s="532" t="s">
        <v>7047</v>
      </c>
      <c r="H10" s="532" t="s">
        <v>6930</v>
      </c>
      <c r="I10" s="533">
        <v>45665</v>
      </c>
      <c r="J10" s="1796">
        <v>45996</v>
      </c>
      <c r="K10" s="1314" t="s">
        <v>7054</v>
      </c>
      <c r="L10" s="833" t="str">
        <f t="shared" ref="L10:L41" si="0">IF(OR(B10="TWV", B10="PV", B10="FV", B10="STR", B10="COR"), "No", IF(OR(B10="TW", B10="VLT"), "Yes", "Error"))</f>
        <v>Yes</v>
      </c>
      <c r="M10" s="715" t="s">
        <v>7055</v>
      </c>
      <c r="N10" s="1473" t="s">
        <v>7049</v>
      </c>
      <c r="O10" s="192" t="s">
        <v>115</v>
      </c>
      <c r="P10" s="193" t="s">
        <v>115</v>
      </c>
      <c r="Q10" s="193" t="s">
        <v>115</v>
      </c>
      <c r="R10" s="193" t="s">
        <v>115</v>
      </c>
      <c r="S10" s="193" t="s">
        <v>7050</v>
      </c>
      <c r="T10" s="1477" t="s">
        <v>7056</v>
      </c>
      <c r="U10" s="1475" t="s">
        <v>7052</v>
      </c>
      <c r="V10" s="1315" t="s">
        <v>115</v>
      </c>
      <c r="W10" s="1315" t="s">
        <v>4055</v>
      </c>
      <c r="X10" s="1315" t="s">
        <v>4055</v>
      </c>
      <c r="Y10" s="1315" t="s">
        <v>4055</v>
      </c>
      <c r="Z10" s="1315" t="s">
        <v>4055</v>
      </c>
      <c r="AA10" s="676" t="s">
        <v>376</v>
      </c>
      <c r="AB10" s="676" t="s">
        <v>376</v>
      </c>
      <c r="AC10" s="774">
        <f>IF(CRA_Projects[[#This Row],[TDS (i.e. MOP main)]]="Y",CRA_Projects[[#This Row],[Engineering Approved Design Date]]-28,CRA_Projects[[#This Row],[Engineering Approved Design Date]]-21)</f>
        <v>45968</v>
      </c>
      <c r="AD10" s="533" t="s">
        <v>376</v>
      </c>
      <c r="AE10" s="201" t="s">
        <v>116</v>
      </c>
      <c r="AF10" s="201" t="s">
        <v>709</v>
      </c>
      <c r="AG10" s="851" t="s">
        <v>29</v>
      </c>
      <c r="AH10" s="1605">
        <v>1</v>
      </c>
      <c r="AI10" s="36" t="s">
        <v>709</v>
      </c>
      <c r="AJ10" s="775">
        <v>45685</v>
      </c>
      <c r="AK10" s="775">
        <v>45708</v>
      </c>
      <c r="AL10" s="675">
        <v>45727</v>
      </c>
      <c r="AM10" s="716" t="s">
        <v>29</v>
      </c>
      <c r="AN10" s="675">
        <v>45775</v>
      </c>
      <c r="AO10" s="821">
        <v>45831</v>
      </c>
      <c r="AP10" s="675" t="s">
        <v>7057</v>
      </c>
      <c r="AQ10" s="114" t="s">
        <v>7046</v>
      </c>
      <c r="AR10" s="822">
        <v>150000</v>
      </c>
      <c r="AS10" s="751" t="s">
        <v>1922</v>
      </c>
      <c r="AT10" s="751">
        <v>19000</v>
      </c>
      <c r="AU10" s="776" t="s">
        <v>709</v>
      </c>
      <c r="AV10" s="752" t="str">
        <f>IF(DAY(CRA_Projects[[#This Row],[Engineering Approved Design Date]]) &gt; 16, TEXT(EOMONTH(CRA_Projects[[#This Row],[Engineering Approved Design Date]], 0) + 1, "mmmm"), TEXT(EOMONTH(CRA_Projects[[#This Row],[Engineering Approved Design Date]], -1) + 1, "mmmm"))</f>
        <v>December</v>
      </c>
    </row>
    <row r="11" spans="1:48" ht="60" x14ac:dyDescent="0.25">
      <c r="A11" s="532" t="s">
        <v>6816</v>
      </c>
      <c r="B11" s="532" t="s">
        <v>759</v>
      </c>
      <c r="C11" s="715" t="s">
        <v>7079</v>
      </c>
      <c r="D11" s="1570">
        <v>1011061</v>
      </c>
      <c r="E11" s="532" t="s">
        <v>966</v>
      </c>
      <c r="F11" s="115" t="s">
        <v>6643</v>
      </c>
      <c r="G11" s="532" t="s">
        <v>37</v>
      </c>
      <c r="H11" s="532" t="s">
        <v>6971</v>
      </c>
      <c r="I11" s="533">
        <v>45735</v>
      </c>
      <c r="J11" s="1583">
        <v>46003</v>
      </c>
      <c r="K11" s="1314" t="s">
        <v>9204</v>
      </c>
      <c r="L11" s="833" t="str">
        <f t="shared" si="0"/>
        <v>Yes</v>
      </c>
      <c r="M11" s="469" t="s">
        <v>7080</v>
      </c>
      <c r="N11" s="715" t="s">
        <v>7081</v>
      </c>
      <c r="O11" s="192" t="s">
        <v>115</v>
      </c>
      <c r="P11" s="193" t="s">
        <v>1167</v>
      </c>
      <c r="Q11" s="193" t="s">
        <v>1232</v>
      </c>
      <c r="R11" s="193" t="s">
        <v>115</v>
      </c>
      <c r="S11" s="193" t="s">
        <v>115</v>
      </c>
      <c r="T11" s="1477" t="s">
        <v>7082</v>
      </c>
      <c r="U11" s="5" t="s">
        <v>7083</v>
      </c>
      <c r="V11" s="1510" t="s">
        <v>115</v>
      </c>
      <c r="W11" s="676" t="s">
        <v>4055</v>
      </c>
      <c r="X11" s="676" t="s">
        <v>4055</v>
      </c>
      <c r="Y11" s="676" t="s">
        <v>4055</v>
      </c>
      <c r="Z11" s="676" t="s">
        <v>4055</v>
      </c>
      <c r="AA11" s="676">
        <v>45841</v>
      </c>
      <c r="AB11" s="676">
        <v>45849</v>
      </c>
      <c r="AC11" s="533">
        <f>IF(CRA_Projects[[#This Row],[TDS (i.e. MOP main)]]="Y",CRA_Projects[[#This Row],[Engineering Approved Design Date]]-28,CRA_Projects[[#This Row],[Engineering Approved Design Date]]-21)</f>
        <v>45975</v>
      </c>
      <c r="AD11" s="533"/>
      <c r="AE11" s="201" t="s">
        <v>116</v>
      </c>
      <c r="AF11" s="201" t="s">
        <v>116</v>
      </c>
      <c r="AG11" s="851">
        <v>45749</v>
      </c>
      <c r="AH11" s="1605">
        <v>4</v>
      </c>
      <c r="AI11" s="9" t="s">
        <v>709</v>
      </c>
      <c r="AJ11" s="833">
        <v>45751</v>
      </c>
      <c r="AK11" s="833">
        <v>45754</v>
      </c>
      <c r="AL11" s="716">
        <v>45813</v>
      </c>
      <c r="AM11" s="716" t="s">
        <v>7084</v>
      </c>
      <c r="AN11" s="716">
        <v>45827</v>
      </c>
      <c r="AO11" s="675">
        <v>45859</v>
      </c>
      <c r="AP11" s="716" t="s">
        <v>6956</v>
      </c>
      <c r="AQ11" s="114" t="s">
        <v>7085</v>
      </c>
      <c r="AR11" s="827">
        <v>500000</v>
      </c>
      <c r="AS11" s="852">
        <v>0.11</v>
      </c>
      <c r="AT11" s="751">
        <f>IF(OR(CRA_Projects[[#This Row],[Rate]]=12750,CRA_Projects[[#This Row],[Rate]]=14750,CRA_Projects[[#This Row],[Rate]]=9250), CRA_Projects[[#This Row],[Rate]], IF(CRA_Projects[[#This Row],[Project Type]]="COR", CRA_Projects[[#This Row],['# of design pages]]*5000, CRA_Projects[[#This Row],[Cost Estimate]] * CRA_Projects[[#This Row],[Rate]]))</f>
        <v>55000</v>
      </c>
      <c r="AU11" s="832" t="s">
        <v>116</v>
      </c>
      <c r="AV11" s="5" t="str">
        <f>IF(DAY(CRA_Projects[[#This Row],[Engineering Approved Design Date]]) &gt; 16, TEXT(EOMONTH(CRA_Projects[[#This Row],[Engineering Approved Design Date]], 0) + 1, "mmmm"), TEXT(EOMONTH(CRA_Projects[[#This Row],[Engineering Approved Design Date]], -1) + 1, "mmmm"))</f>
        <v>December</v>
      </c>
    </row>
    <row r="12" spans="1:48" ht="45" x14ac:dyDescent="0.25">
      <c r="A12" s="532" t="s">
        <v>6816</v>
      </c>
      <c r="B12" s="532" t="s">
        <v>6798</v>
      </c>
      <c r="C12" s="715">
        <v>3601026</v>
      </c>
      <c r="D12" s="1570">
        <v>1014892</v>
      </c>
      <c r="E12" s="532" t="s">
        <v>7040</v>
      </c>
      <c r="F12" s="115" t="s">
        <v>6643</v>
      </c>
      <c r="G12" s="532" t="s">
        <v>7041</v>
      </c>
      <c r="H12" s="532" t="s">
        <v>7001</v>
      </c>
      <c r="I12" s="533">
        <v>45665</v>
      </c>
      <c r="J12" s="1312">
        <v>45945</v>
      </c>
      <c r="K12" s="1314" t="s">
        <v>7042</v>
      </c>
      <c r="L12" s="833" t="str">
        <f t="shared" si="0"/>
        <v>No</v>
      </c>
      <c r="M12" s="12" t="s">
        <v>7043</v>
      </c>
      <c r="N12" s="1473" t="s">
        <v>7044</v>
      </c>
      <c r="O12" s="192" t="s">
        <v>29</v>
      </c>
      <c r="P12" s="193" t="s">
        <v>29</v>
      </c>
      <c r="Q12" s="193" t="s">
        <v>29</v>
      </c>
      <c r="R12" s="193" t="s">
        <v>29</v>
      </c>
      <c r="S12" s="193" t="s">
        <v>29</v>
      </c>
      <c r="T12" s="1477" t="s">
        <v>7045</v>
      </c>
      <c r="U12" s="1475" t="s">
        <v>115</v>
      </c>
      <c r="V12" s="1315" t="s">
        <v>115</v>
      </c>
      <c r="W12" s="731" t="s">
        <v>4055</v>
      </c>
      <c r="X12" s="731" t="s">
        <v>4055</v>
      </c>
      <c r="Y12" s="731" t="s">
        <v>4055</v>
      </c>
      <c r="Z12" s="731" t="s">
        <v>4055</v>
      </c>
      <c r="AA12" s="676" t="s">
        <v>376</v>
      </c>
      <c r="AB12" s="676" t="s">
        <v>376</v>
      </c>
      <c r="AC12" s="774">
        <f>IF(CRA_Projects[[#This Row],[TDS (i.e. MOP main)]]="Y",CRA_Projects[[#This Row],[Engineering Approved Design Date]]-28,CRA_Projects[[#This Row],[Engineering Approved Design Date]]-21)</f>
        <v>45924</v>
      </c>
      <c r="AD12" s="533" t="s">
        <v>376</v>
      </c>
      <c r="AE12" s="201" t="s">
        <v>745</v>
      </c>
      <c r="AF12" s="201" t="s">
        <v>709</v>
      </c>
      <c r="AG12" s="851" t="s">
        <v>29</v>
      </c>
      <c r="AH12" s="1605">
        <v>1</v>
      </c>
      <c r="AI12" s="9" t="s">
        <v>709</v>
      </c>
      <c r="AJ12" s="775">
        <v>45686</v>
      </c>
      <c r="AK12" s="775">
        <v>45693</v>
      </c>
      <c r="AL12" s="675">
        <v>45712</v>
      </c>
      <c r="AM12" s="850" t="s">
        <v>29</v>
      </c>
      <c r="AN12" s="851" t="s">
        <v>29</v>
      </c>
      <c r="AO12" s="851" t="s">
        <v>29</v>
      </c>
      <c r="AP12" s="675" t="s">
        <v>29</v>
      </c>
      <c r="AQ12" s="114" t="s">
        <v>7046</v>
      </c>
      <c r="AR12" s="822">
        <v>25000</v>
      </c>
      <c r="AS12" s="852" t="s">
        <v>1922</v>
      </c>
      <c r="AT12" s="751">
        <v>12000</v>
      </c>
      <c r="AU12" s="776" t="s">
        <v>709</v>
      </c>
      <c r="AV12" s="752" t="str">
        <f>IF(DAY(CRA_Projects[[#This Row],[Engineering Approved Design Date]]) &gt; 16, TEXT(EOMONTH(CRA_Projects[[#This Row],[Engineering Approved Design Date]], 0) + 1, "mmmm"), TEXT(EOMONTH(CRA_Projects[[#This Row],[Engineering Approved Design Date]], -1) + 1, "mmmm"))</f>
        <v>October</v>
      </c>
    </row>
    <row r="13" spans="1:48" ht="45" x14ac:dyDescent="0.25">
      <c r="A13" s="532" t="s">
        <v>6816</v>
      </c>
      <c r="B13" s="532" t="s">
        <v>730</v>
      </c>
      <c r="C13" s="715" t="s">
        <v>6949</v>
      </c>
      <c r="D13" s="1570">
        <v>1014139</v>
      </c>
      <c r="E13" s="532" t="s">
        <v>2937</v>
      </c>
      <c r="F13" s="115" t="s">
        <v>6643</v>
      </c>
      <c r="G13" s="532" t="s">
        <v>26</v>
      </c>
      <c r="H13" s="532" t="s">
        <v>6930</v>
      </c>
      <c r="I13" s="533">
        <v>45491</v>
      </c>
      <c r="J13" s="774">
        <v>45950</v>
      </c>
      <c r="K13" s="1607" t="s">
        <v>6950</v>
      </c>
      <c r="L13" s="833" t="str">
        <f t="shared" si="0"/>
        <v>Yes</v>
      </c>
      <c r="M13" s="12" t="s">
        <v>6951</v>
      </c>
      <c r="N13" s="1473" t="s">
        <v>6952</v>
      </c>
      <c r="O13" s="192" t="s">
        <v>115</v>
      </c>
      <c r="P13" s="193" t="s">
        <v>115</v>
      </c>
      <c r="Q13" s="193" t="s">
        <v>6953</v>
      </c>
      <c r="R13" s="193" t="s">
        <v>6603</v>
      </c>
      <c r="S13" s="193" t="s">
        <v>115</v>
      </c>
      <c r="T13" s="1477" t="s">
        <v>6954</v>
      </c>
      <c r="U13" s="1476" t="s">
        <v>6955</v>
      </c>
      <c r="V13" s="851">
        <v>45887</v>
      </c>
      <c r="W13" s="676" t="s">
        <v>4055</v>
      </c>
      <c r="X13" s="676" t="s">
        <v>4055</v>
      </c>
      <c r="Y13" s="676" t="s">
        <v>4055</v>
      </c>
      <c r="Z13" s="676" t="s">
        <v>4055</v>
      </c>
      <c r="AA13" s="676" t="s">
        <v>376</v>
      </c>
      <c r="AB13" s="676" t="s">
        <v>376</v>
      </c>
      <c r="AC13" s="774">
        <f>IF(CRA_Projects[[#This Row],[TDS (i.e. MOP main)]]="Y",CRA_Projects[[#This Row],[Engineering Approved Design Date]]-28,CRA_Projects[[#This Row],[Engineering Approved Design Date]]-21)</f>
        <v>45929</v>
      </c>
      <c r="AD13" s="533"/>
      <c r="AE13" s="201" t="s">
        <v>709</v>
      </c>
      <c r="AF13" s="201" t="s">
        <v>709</v>
      </c>
      <c r="AG13" s="851">
        <v>45513</v>
      </c>
      <c r="AH13" s="1605">
        <v>2</v>
      </c>
      <c r="AI13" s="9" t="s">
        <v>709</v>
      </c>
      <c r="AJ13" s="775">
        <v>45495</v>
      </c>
      <c r="AK13" s="775">
        <v>45504</v>
      </c>
      <c r="AL13" s="675">
        <v>45513</v>
      </c>
      <c r="AM13" s="716">
        <v>45499</v>
      </c>
      <c r="AN13" s="675" t="s">
        <v>29</v>
      </c>
      <c r="AO13" s="675" t="s">
        <v>29</v>
      </c>
      <c r="AP13" s="716" t="s">
        <v>6956</v>
      </c>
      <c r="AQ13" s="114" t="s">
        <v>6957</v>
      </c>
      <c r="AR13" s="822">
        <v>250000</v>
      </c>
      <c r="AS13" s="751">
        <v>0.11</v>
      </c>
      <c r="AT13" s="751">
        <f>IF(OR(CRA_Projects[[#This Row],[Rate]]=12750,CRA_Projects[[#This Row],[Rate]]=14750,CRA_Projects[[#This Row],[Rate]]=9250), CRA_Projects[[#This Row],[Rate]], IF(CRA_Projects[[#This Row],[Project Type]]="COR", CRA_Projects[[#This Row],['# of design pages]]*5000, CRA_Projects[[#This Row],[Cost Estimate]] * CRA_Projects[[#This Row],[Rate]]))</f>
        <v>27500</v>
      </c>
      <c r="AU13" s="832" t="s">
        <v>116</v>
      </c>
      <c r="AV13" s="752" t="str">
        <f>IF(DAY(CRA_Projects[[#This Row],[Engineering Approved Design Date]]) &gt; 16, TEXT(EOMONTH(CRA_Projects[[#This Row],[Engineering Approved Design Date]], 0) + 1, "mmmm"), TEXT(EOMONTH(CRA_Projects[[#This Row],[Engineering Approved Design Date]], -1) + 1, "mmmm"))</f>
        <v>November</v>
      </c>
    </row>
    <row r="14" spans="1:48" ht="60" x14ac:dyDescent="0.25">
      <c r="A14" s="532" t="s">
        <v>6816</v>
      </c>
      <c r="B14" s="532" t="s">
        <v>730</v>
      </c>
      <c r="C14" s="715" t="s">
        <v>7150</v>
      </c>
      <c r="D14" s="1570">
        <v>1015189</v>
      </c>
      <c r="E14" s="532" t="s">
        <v>7151</v>
      </c>
      <c r="F14" s="115" t="s">
        <v>6643</v>
      </c>
      <c r="G14" s="532" t="s">
        <v>7152</v>
      </c>
      <c r="H14" s="115" t="s">
        <v>6971</v>
      </c>
      <c r="I14" s="533">
        <v>45727</v>
      </c>
      <c r="J14" s="1583">
        <v>45957</v>
      </c>
      <c r="K14" s="1314" t="s">
        <v>7153</v>
      </c>
      <c r="L14" s="833" t="str">
        <f t="shared" si="0"/>
        <v>Yes</v>
      </c>
      <c r="M14" s="469" t="s">
        <v>7154</v>
      </c>
      <c r="N14" s="715" t="s">
        <v>7155</v>
      </c>
      <c r="O14" s="192" t="s">
        <v>115</v>
      </c>
      <c r="P14" s="193" t="s">
        <v>2965</v>
      </c>
      <c r="Q14" s="193" t="s">
        <v>115</v>
      </c>
      <c r="R14" s="193" t="s">
        <v>7156</v>
      </c>
      <c r="S14" s="193" t="s">
        <v>115</v>
      </c>
      <c r="T14" s="1477" t="s">
        <v>7157</v>
      </c>
      <c r="U14" s="1475" t="s">
        <v>7158</v>
      </c>
      <c r="V14" s="851">
        <v>45905</v>
      </c>
      <c r="W14" s="731" t="s">
        <v>7159</v>
      </c>
      <c r="X14" s="1315" t="s">
        <v>7160</v>
      </c>
      <c r="Y14" s="731" t="s">
        <v>7159</v>
      </c>
      <c r="Z14" s="731" t="s">
        <v>7160</v>
      </c>
      <c r="AA14" s="676">
        <v>45918</v>
      </c>
      <c r="AB14" s="676">
        <v>45925</v>
      </c>
      <c r="AC14" s="533">
        <f>IF(CRA_Projects[[#This Row],[TDS (i.e. MOP main)]]="Y",CRA_Projects[[#This Row],[Engineering Approved Design Date]]-28,CRA_Projects[[#This Row],[Engineering Approved Design Date]]-21)</f>
        <v>45929</v>
      </c>
      <c r="AD14" s="533">
        <v>45937</v>
      </c>
      <c r="AE14" s="201" t="s">
        <v>116</v>
      </c>
      <c r="AF14" s="201" t="s">
        <v>709</v>
      </c>
      <c r="AG14" s="851">
        <v>45877</v>
      </c>
      <c r="AH14" s="1605">
        <v>2</v>
      </c>
      <c r="AI14" s="9" t="s">
        <v>709</v>
      </c>
      <c r="AJ14" s="833">
        <v>45863</v>
      </c>
      <c r="AK14" s="833">
        <v>45894</v>
      </c>
      <c r="AL14" s="716" t="s">
        <v>7161</v>
      </c>
      <c r="AM14" s="716">
        <v>45880</v>
      </c>
      <c r="AN14" s="716">
        <v>45869</v>
      </c>
      <c r="AO14" s="716">
        <v>45881</v>
      </c>
      <c r="AP14" s="716" t="s">
        <v>29</v>
      </c>
      <c r="AQ14" s="114" t="s">
        <v>7020</v>
      </c>
      <c r="AR14" s="827">
        <v>100000</v>
      </c>
      <c r="AS14" s="852">
        <v>12750</v>
      </c>
      <c r="AT14" s="751">
        <f>IF(OR(CRA_Projects[[#This Row],[Rate]]=12750,CRA_Projects[[#This Row],[Rate]]=14750,CRA_Projects[[#This Row],[Rate]]=9250), CRA_Projects[[#This Row],[Rate]], IF(CRA_Projects[[#This Row],[Project Type]]="COR", CRA_Projects[[#This Row],['# of design pages]]*5000, CRA_Projects[[#This Row],[Cost Estimate]] * CRA_Projects[[#This Row],[Rate]]))</f>
        <v>12750</v>
      </c>
      <c r="AU14" s="832" t="s">
        <v>709</v>
      </c>
      <c r="AV14" s="5" t="str">
        <f>IF(DAY(CRA_Projects[[#This Row],[Engineering Approved Design Date]]) &gt; 16, TEXT(EOMONTH(CRA_Projects[[#This Row],[Engineering Approved Design Date]], 0) + 1, "mmmm"), TEXT(EOMONTH(CRA_Projects[[#This Row],[Engineering Approved Design Date]], -1) + 1, "mmmm"))</f>
        <v>November</v>
      </c>
    </row>
    <row r="15" spans="1:48" ht="30" x14ac:dyDescent="0.25">
      <c r="A15" s="115" t="s">
        <v>6816</v>
      </c>
      <c r="B15" s="532" t="s">
        <v>730</v>
      </c>
      <c r="C15" s="715" t="s">
        <v>6969</v>
      </c>
      <c r="D15" s="1570">
        <v>1015198</v>
      </c>
      <c r="E15" s="532" t="s">
        <v>6970</v>
      </c>
      <c r="F15" s="115" t="s">
        <v>6643</v>
      </c>
      <c r="G15" s="532" t="s">
        <v>26</v>
      </c>
      <c r="H15" s="532" t="s">
        <v>6971</v>
      </c>
      <c r="I15" s="533">
        <v>45727</v>
      </c>
      <c r="J15" s="774">
        <v>46055</v>
      </c>
      <c r="K15" s="1314" t="s">
        <v>6972</v>
      </c>
      <c r="L15" s="833" t="str">
        <f t="shared" si="0"/>
        <v>Yes</v>
      </c>
      <c r="M15" s="469" t="s">
        <v>6973</v>
      </c>
      <c r="N15" s="715" t="s">
        <v>6974</v>
      </c>
      <c r="O15" s="192" t="s">
        <v>29</v>
      </c>
      <c r="P15" s="193" t="s">
        <v>29</v>
      </c>
      <c r="Q15" s="193" t="s">
        <v>29</v>
      </c>
      <c r="R15" s="193" t="s">
        <v>29</v>
      </c>
      <c r="S15" s="193" t="s">
        <v>29</v>
      </c>
      <c r="T15" s="1477" t="s">
        <v>6975</v>
      </c>
      <c r="U15" s="1475" t="s">
        <v>115</v>
      </c>
      <c r="V15" s="1315" t="s">
        <v>115</v>
      </c>
      <c r="W15" s="731" t="s">
        <v>4055</v>
      </c>
      <c r="X15" s="1315" t="s">
        <v>4055</v>
      </c>
      <c r="Y15" s="731" t="s">
        <v>4055</v>
      </c>
      <c r="Z15" s="731" t="s">
        <v>4055</v>
      </c>
      <c r="AA15" s="1315" t="s">
        <v>115</v>
      </c>
      <c r="AB15" s="1315" t="s">
        <v>115</v>
      </c>
      <c r="AC15" s="533">
        <f>IF(CRA_Projects[[#This Row],[TDS (i.e. MOP main)]]="Y",CRA_Projects[[#This Row],[Engineering Approved Design Date]]-28,CRA_Projects[[#This Row],[Engineering Approved Design Date]]-21)</f>
        <v>46034</v>
      </c>
      <c r="AD15" s="533"/>
      <c r="AE15" s="201"/>
      <c r="AF15" s="201"/>
      <c r="AG15" s="851" t="s">
        <v>29</v>
      </c>
      <c r="AH15" s="1605">
        <v>1</v>
      </c>
      <c r="AI15" s="1613"/>
      <c r="AJ15" s="833">
        <v>45740</v>
      </c>
      <c r="AK15" s="833">
        <v>45742</v>
      </c>
      <c r="AL15" s="716">
        <v>45743</v>
      </c>
      <c r="AM15" s="716" t="s">
        <v>29</v>
      </c>
      <c r="AN15" s="716" t="s">
        <v>29</v>
      </c>
      <c r="AO15" s="675" t="s">
        <v>29</v>
      </c>
      <c r="AP15" s="716" t="s">
        <v>29</v>
      </c>
      <c r="AQ15" s="114" t="s">
        <v>6976</v>
      </c>
      <c r="AR15" s="827">
        <v>25000</v>
      </c>
      <c r="AS15" s="852">
        <v>12750</v>
      </c>
      <c r="AT15" s="751">
        <v>12750</v>
      </c>
      <c r="AU15" s="832" t="s">
        <v>709</v>
      </c>
      <c r="AV15" s="5" t="str">
        <f>IF(DAY(CRA_Projects[[#This Row],[Engineering Approved Design Date]]) &gt; 16, TEXT(EOMONTH(CRA_Projects[[#This Row],[Engineering Approved Design Date]], 0) + 1, "mmmm"), TEXT(EOMONTH(CRA_Projects[[#This Row],[Engineering Approved Design Date]], -1) + 1, "mmmm"))</f>
        <v>February</v>
      </c>
    </row>
    <row r="16" spans="1:48" s="30" customFormat="1" ht="45" x14ac:dyDescent="0.25">
      <c r="A16" s="532" t="s">
        <v>6816</v>
      </c>
      <c r="B16" s="532" t="s">
        <v>730</v>
      </c>
      <c r="C16" s="715" t="s">
        <v>6977</v>
      </c>
      <c r="D16" s="1570">
        <v>1015148</v>
      </c>
      <c r="E16" s="532" t="s">
        <v>6978</v>
      </c>
      <c r="F16" s="115" t="s">
        <v>6643</v>
      </c>
      <c r="G16" s="532" t="s">
        <v>26</v>
      </c>
      <c r="H16" s="532" t="s">
        <v>6971</v>
      </c>
      <c r="I16" s="533">
        <v>45727</v>
      </c>
      <c r="J16" s="774">
        <v>46055</v>
      </c>
      <c r="K16" s="1314" t="s">
        <v>6979</v>
      </c>
      <c r="L16" s="833" t="str">
        <f t="shared" si="0"/>
        <v>Yes</v>
      </c>
      <c r="M16" s="469" t="s">
        <v>6980</v>
      </c>
      <c r="N16" s="715" t="s">
        <v>6981</v>
      </c>
      <c r="O16" s="192" t="s">
        <v>29</v>
      </c>
      <c r="P16" s="193" t="s">
        <v>29</v>
      </c>
      <c r="Q16" s="193" t="s">
        <v>29</v>
      </c>
      <c r="R16" s="193" t="s">
        <v>29</v>
      </c>
      <c r="S16" s="193" t="s">
        <v>29</v>
      </c>
      <c r="T16" s="1477" t="s">
        <v>6982</v>
      </c>
      <c r="U16" s="1475" t="s">
        <v>115</v>
      </c>
      <c r="V16" s="1315" t="s">
        <v>115</v>
      </c>
      <c r="W16" s="676" t="s">
        <v>4055</v>
      </c>
      <c r="X16" s="676" t="s">
        <v>4055</v>
      </c>
      <c r="Y16" s="676" t="s">
        <v>4055</v>
      </c>
      <c r="Z16" s="676" t="s">
        <v>4055</v>
      </c>
      <c r="AA16" s="676" t="s">
        <v>376</v>
      </c>
      <c r="AB16" s="676" t="s">
        <v>376</v>
      </c>
      <c r="AC16" s="533">
        <f>IF(CRA_Projects[[#This Row],[TDS (i.e. MOP main)]]="Y",CRA_Projects[[#This Row],[Engineering Approved Design Date]]-28,CRA_Projects[[#This Row],[Engineering Approved Design Date]]-21)</f>
        <v>46027</v>
      </c>
      <c r="AD16" s="533"/>
      <c r="AE16" s="201" t="s">
        <v>116</v>
      </c>
      <c r="AF16" s="201" t="s">
        <v>709</v>
      </c>
      <c r="AG16" s="851" t="s">
        <v>29</v>
      </c>
      <c r="AH16" s="1605">
        <v>1</v>
      </c>
      <c r="AI16" s="1613"/>
      <c r="AJ16" s="833">
        <v>45740</v>
      </c>
      <c r="AK16" s="833">
        <v>45743</v>
      </c>
      <c r="AL16" s="716">
        <v>45771</v>
      </c>
      <c r="AM16" s="716" t="s">
        <v>29</v>
      </c>
      <c r="AN16" s="716" t="s">
        <v>29</v>
      </c>
      <c r="AO16" s="675" t="s">
        <v>29</v>
      </c>
      <c r="AP16" s="716" t="s">
        <v>29</v>
      </c>
      <c r="AQ16" s="114" t="s">
        <v>6983</v>
      </c>
      <c r="AR16" s="827">
        <v>25000</v>
      </c>
      <c r="AS16" s="852">
        <v>12750</v>
      </c>
      <c r="AT16" s="751">
        <v>12750</v>
      </c>
      <c r="AU16" s="832" t="s">
        <v>709</v>
      </c>
      <c r="AV16" s="5" t="str">
        <f>IF(DAY(CRA_Projects[[#This Row],[Engineering Approved Design Date]]) &gt; 16, TEXT(EOMONTH(CRA_Projects[[#This Row],[Engineering Approved Design Date]], 0) + 1, "mmmm"), TEXT(EOMONTH(CRA_Projects[[#This Row],[Engineering Approved Design Date]], -1) + 1, "mmmm"))</f>
        <v>February</v>
      </c>
    </row>
    <row r="17" spans="1:48" s="30" customFormat="1" ht="75" x14ac:dyDescent="0.25">
      <c r="A17" s="532" t="s">
        <v>6816</v>
      </c>
      <c r="B17" s="532" t="s">
        <v>730</v>
      </c>
      <c r="C17" s="715" t="s">
        <v>6995</v>
      </c>
      <c r="D17" s="1570">
        <v>1014899</v>
      </c>
      <c r="E17" s="532" t="s">
        <v>6959</v>
      </c>
      <c r="F17" s="115" t="s">
        <v>6643</v>
      </c>
      <c r="G17" s="532" t="s">
        <v>6996</v>
      </c>
      <c r="H17" s="532" t="s">
        <v>6930</v>
      </c>
      <c r="I17" s="533">
        <v>45665</v>
      </c>
      <c r="J17" s="1312">
        <v>45991</v>
      </c>
      <c r="K17" s="1314" t="s">
        <v>6997</v>
      </c>
      <c r="L17" s="833" t="str">
        <f t="shared" si="0"/>
        <v>Yes</v>
      </c>
      <c r="M17" s="469" t="s">
        <v>6998</v>
      </c>
      <c r="N17" s="1473" t="s">
        <v>6999</v>
      </c>
      <c r="O17" s="192" t="s">
        <v>29</v>
      </c>
      <c r="P17" s="193" t="s">
        <v>29</v>
      </c>
      <c r="Q17" s="193" t="s">
        <v>29</v>
      </c>
      <c r="R17" s="193" t="s">
        <v>29</v>
      </c>
      <c r="S17" s="193" t="s">
        <v>29</v>
      </c>
      <c r="T17" s="1477" t="s">
        <v>7000</v>
      </c>
      <c r="U17" s="1507" t="s">
        <v>376</v>
      </c>
      <c r="V17" s="1315" t="s">
        <v>376</v>
      </c>
      <c r="W17" s="731" t="s">
        <v>4055</v>
      </c>
      <c r="X17" s="731" t="s">
        <v>4055</v>
      </c>
      <c r="Y17" s="731" t="s">
        <v>4055</v>
      </c>
      <c r="Z17" s="731" t="s">
        <v>4055</v>
      </c>
      <c r="AA17" s="676" t="s">
        <v>376</v>
      </c>
      <c r="AB17" s="676" t="s">
        <v>376</v>
      </c>
      <c r="AC17" s="774">
        <f>IF(CRA_Projects[[#This Row],[TDS (i.e. MOP main)]]="Y",CRA_Projects[[#This Row],[Engineering Approved Design Date]]-28,CRA_Projects[[#This Row],[Engineering Approved Design Date]]-21)</f>
        <v>45970</v>
      </c>
      <c r="AD17" s="533" t="s">
        <v>376</v>
      </c>
      <c r="AE17" s="201" t="s">
        <v>745</v>
      </c>
      <c r="AF17" s="201" t="s">
        <v>116</v>
      </c>
      <c r="AG17" s="851" t="s">
        <v>29</v>
      </c>
      <c r="AH17" s="1605">
        <v>1</v>
      </c>
      <c r="AI17" s="9" t="s">
        <v>709</v>
      </c>
      <c r="AJ17" s="775">
        <v>45685</v>
      </c>
      <c r="AK17" s="775">
        <v>45712</v>
      </c>
      <c r="AL17" s="675">
        <v>45716</v>
      </c>
      <c r="AM17" s="716" t="s">
        <v>29</v>
      </c>
      <c r="AN17" s="675">
        <v>45750</v>
      </c>
      <c r="AO17" s="675">
        <v>45783</v>
      </c>
      <c r="AP17" s="675" t="s">
        <v>29</v>
      </c>
      <c r="AQ17" s="114" t="s">
        <v>6968</v>
      </c>
      <c r="AR17" s="822">
        <v>50000</v>
      </c>
      <c r="AS17" s="852" t="s">
        <v>1922</v>
      </c>
      <c r="AT17" s="751">
        <v>12000</v>
      </c>
      <c r="AU17" s="776" t="s">
        <v>709</v>
      </c>
      <c r="AV17" s="752" t="str">
        <f>IF(DAY(CRA_Projects[[#This Row],[Engineering Approved Design Date]]) &gt; 16, TEXT(EOMONTH(CRA_Projects[[#This Row],[Engineering Approved Design Date]], 0) + 1, "mmmm"), TEXT(EOMONTH(CRA_Projects[[#This Row],[Engineering Approved Design Date]], -1) + 1, "mmmm"))</f>
        <v>December</v>
      </c>
    </row>
    <row r="18" spans="1:48" ht="60" x14ac:dyDescent="0.25">
      <c r="A18" s="532" t="s">
        <v>6816</v>
      </c>
      <c r="B18" s="532" t="s">
        <v>6798</v>
      </c>
      <c r="C18" s="715">
        <v>3401629</v>
      </c>
      <c r="D18" s="1570">
        <v>1014889</v>
      </c>
      <c r="E18" s="532" t="s">
        <v>118</v>
      </c>
      <c r="F18" s="115" t="s">
        <v>6643</v>
      </c>
      <c r="G18" s="532" t="s">
        <v>6996</v>
      </c>
      <c r="H18" s="115" t="s">
        <v>7001</v>
      </c>
      <c r="I18" s="533">
        <v>45665</v>
      </c>
      <c r="J18" s="1312">
        <v>45991</v>
      </c>
      <c r="K18" s="1314" t="s">
        <v>7002</v>
      </c>
      <c r="L18" s="833" t="str">
        <f t="shared" si="0"/>
        <v>No</v>
      </c>
      <c r="M18" s="12" t="s">
        <v>7003</v>
      </c>
      <c r="N18" s="1473" t="s">
        <v>7004</v>
      </c>
      <c r="O18" s="192" t="s">
        <v>29</v>
      </c>
      <c r="P18" s="193" t="s">
        <v>29</v>
      </c>
      <c r="Q18" s="193" t="s">
        <v>29</v>
      </c>
      <c r="R18" s="193" t="s">
        <v>29</v>
      </c>
      <c r="S18" s="193" t="s">
        <v>29</v>
      </c>
      <c r="T18" s="1477" t="s">
        <v>7005</v>
      </c>
      <c r="U18" s="1475" t="s">
        <v>29</v>
      </c>
      <c r="V18" s="1315" t="s">
        <v>29</v>
      </c>
      <c r="W18" s="731" t="s">
        <v>4055</v>
      </c>
      <c r="X18" s="731" t="s">
        <v>4055</v>
      </c>
      <c r="Y18" s="731" t="s">
        <v>4055</v>
      </c>
      <c r="Z18" s="731" t="s">
        <v>4055</v>
      </c>
      <c r="AA18" s="675" t="s">
        <v>376</v>
      </c>
      <c r="AB18" s="675" t="s">
        <v>376</v>
      </c>
      <c r="AC18" s="774">
        <f>IF(CRA_Projects[[#This Row],[TDS (i.e. MOP main)]]="Y",CRA_Projects[[#This Row],[Engineering Approved Design Date]]-28,CRA_Projects[[#This Row],[Engineering Approved Design Date]]-21)</f>
        <v>45970</v>
      </c>
      <c r="AD18" s="533" t="s">
        <v>376</v>
      </c>
      <c r="AE18" s="201" t="s">
        <v>745</v>
      </c>
      <c r="AF18" s="201" t="s">
        <v>709</v>
      </c>
      <c r="AG18" s="851" t="s">
        <v>29</v>
      </c>
      <c r="AH18" s="1605">
        <v>1</v>
      </c>
      <c r="AI18" s="9" t="s">
        <v>709</v>
      </c>
      <c r="AJ18" s="775">
        <v>45686</v>
      </c>
      <c r="AK18" s="775">
        <v>45693</v>
      </c>
      <c r="AL18" s="675">
        <v>45712</v>
      </c>
      <c r="AM18" s="716" t="s">
        <v>29</v>
      </c>
      <c r="AN18" s="675" t="s">
        <v>29</v>
      </c>
      <c r="AO18" s="675" t="s">
        <v>29</v>
      </c>
      <c r="AP18" s="675" t="s">
        <v>29</v>
      </c>
      <c r="AQ18" s="114" t="s">
        <v>7006</v>
      </c>
      <c r="AR18" s="822">
        <v>25000</v>
      </c>
      <c r="AS18" s="751" t="s">
        <v>1922</v>
      </c>
      <c r="AT18" s="751">
        <v>7000</v>
      </c>
      <c r="AU18" s="776" t="s">
        <v>709</v>
      </c>
      <c r="AV18" s="752" t="str">
        <f>IF(DAY(CRA_Projects[[#This Row],[Engineering Approved Design Date]]) &gt; 16, TEXT(EOMONTH(CRA_Projects[[#This Row],[Engineering Approved Design Date]], 0) + 1, "mmmm"), TEXT(EOMONTH(CRA_Projects[[#This Row],[Engineering Approved Design Date]], -1) + 1, "mmmm"))</f>
        <v>December</v>
      </c>
    </row>
    <row r="19" spans="1:48" ht="45.75" customHeight="1" x14ac:dyDescent="0.25">
      <c r="A19" s="115" t="s">
        <v>6816</v>
      </c>
      <c r="B19" s="532" t="s">
        <v>6798</v>
      </c>
      <c r="C19" s="469">
        <v>3701161</v>
      </c>
      <c r="D19" s="1571">
        <v>1014899</v>
      </c>
      <c r="E19" s="115" t="s">
        <v>6959</v>
      </c>
      <c r="F19" s="115" t="s">
        <v>6643</v>
      </c>
      <c r="G19" s="532" t="s">
        <v>6996</v>
      </c>
      <c r="H19" s="532" t="s">
        <v>6930</v>
      </c>
      <c r="I19" s="533">
        <v>45665</v>
      </c>
      <c r="J19" s="1312">
        <v>45991</v>
      </c>
      <c r="K19" s="1314" t="s">
        <v>7007</v>
      </c>
      <c r="L19" s="736" t="str">
        <f t="shared" si="0"/>
        <v>No</v>
      </c>
      <c r="M19" s="12" t="s">
        <v>7008</v>
      </c>
      <c r="N19" s="1204" t="s">
        <v>6999</v>
      </c>
      <c r="O19" s="192" t="s">
        <v>29</v>
      </c>
      <c r="P19" s="193" t="s">
        <v>29</v>
      </c>
      <c r="Q19" s="193" t="s">
        <v>29</v>
      </c>
      <c r="R19" s="193" t="s">
        <v>29</v>
      </c>
      <c r="S19" s="193" t="s">
        <v>29</v>
      </c>
      <c r="T19" s="1477" t="s">
        <v>7000</v>
      </c>
      <c r="U19" s="1475" t="s">
        <v>7009</v>
      </c>
      <c r="V19" s="1315" t="s">
        <v>115</v>
      </c>
      <c r="W19" s="731" t="s">
        <v>4055</v>
      </c>
      <c r="X19" s="731" t="s">
        <v>4055</v>
      </c>
      <c r="Y19" s="731" t="s">
        <v>4055</v>
      </c>
      <c r="Z19" s="731" t="s">
        <v>4055</v>
      </c>
      <c r="AA19" s="676" t="s">
        <v>376</v>
      </c>
      <c r="AB19" s="676" t="s">
        <v>376</v>
      </c>
      <c r="AC19" s="685">
        <f>IF(CRA_Projects[[#This Row],[TDS (i.e. MOP main)]]="Y",CRA_Projects[[#This Row],[Engineering Approved Design Date]]-28,CRA_Projects[[#This Row],[Engineering Approved Design Date]]-21)</f>
        <v>45970</v>
      </c>
      <c r="AD19" s="468" t="s">
        <v>376</v>
      </c>
      <c r="AE19" s="201" t="s">
        <v>745</v>
      </c>
      <c r="AF19" s="201" t="s">
        <v>709</v>
      </c>
      <c r="AG19" s="851" t="s">
        <v>29</v>
      </c>
      <c r="AH19" s="1605">
        <v>1</v>
      </c>
      <c r="AI19" s="36" t="s">
        <v>709</v>
      </c>
      <c r="AJ19" s="201">
        <v>45685</v>
      </c>
      <c r="AK19" s="201">
        <v>45712</v>
      </c>
      <c r="AL19" s="676">
        <v>45716</v>
      </c>
      <c r="AM19" s="716" t="s">
        <v>29</v>
      </c>
      <c r="AN19" s="675">
        <v>45750</v>
      </c>
      <c r="AO19" s="675">
        <v>45783</v>
      </c>
      <c r="AP19" s="675" t="s">
        <v>29</v>
      </c>
      <c r="AQ19" s="114" t="s">
        <v>6968</v>
      </c>
      <c r="AR19" s="822">
        <v>25000</v>
      </c>
      <c r="AS19" s="852" t="s">
        <v>1922</v>
      </c>
      <c r="AT19" s="751">
        <v>7000</v>
      </c>
      <c r="AU19" s="776" t="s">
        <v>709</v>
      </c>
      <c r="AV19" s="752" t="str">
        <f>IF(DAY(CRA_Projects[[#This Row],[Engineering Approved Design Date]]) &gt; 16, TEXT(EOMONTH(CRA_Projects[[#This Row],[Engineering Approved Design Date]], 0) + 1, "mmmm"), TEXT(EOMONTH(CRA_Projects[[#This Row],[Engineering Approved Design Date]], -1) + 1, "mmmm"))</f>
        <v>December</v>
      </c>
    </row>
    <row r="20" spans="1:48" ht="45" customHeight="1" x14ac:dyDescent="0.25">
      <c r="A20" s="532" t="s">
        <v>6816</v>
      </c>
      <c r="B20" s="532" t="s">
        <v>730</v>
      </c>
      <c r="C20" s="715">
        <v>4401320</v>
      </c>
      <c r="D20" s="1570">
        <v>1015201</v>
      </c>
      <c r="E20" s="532" t="s">
        <v>205</v>
      </c>
      <c r="F20" s="115" t="s">
        <v>6643</v>
      </c>
      <c r="G20" s="532" t="s">
        <v>6996</v>
      </c>
      <c r="H20" s="532" t="s">
        <v>6971</v>
      </c>
      <c r="I20" s="533">
        <v>45727</v>
      </c>
      <c r="J20" s="1312">
        <v>45991</v>
      </c>
      <c r="K20" s="1314" t="s">
        <v>7010</v>
      </c>
      <c r="L20" s="833" t="str">
        <f t="shared" si="0"/>
        <v>Yes</v>
      </c>
      <c r="M20" s="715" t="s">
        <v>7011</v>
      </c>
      <c r="N20" s="715" t="s">
        <v>7012</v>
      </c>
      <c r="O20" s="192" t="s">
        <v>29</v>
      </c>
      <c r="P20" s="193" t="s">
        <v>29</v>
      </c>
      <c r="Q20" s="193" t="s">
        <v>29</v>
      </c>
      <c r="R20" s="193" t="s">
        <v>29</v>
      </c>
      <c r="S20" s="193" t="s">
        <v>29</v>
      </c>
      <c r="T20" s="1477" t="s">
        <v>7013</v>
      </c>
      <c r="U20" s="1475" t="s">
        <v>376</v>
      </c>
      <c r="V20" s="1315" t="s">
        <v>376</v>
      </c>
      <c r="W20" s="731" t="s">
        <v>4055</v>
      </c>
      <c r="X20" s="731" t="s">
        <v>4055</v>
      </c>
      <c r="Y20" s="731" t="s">
        <v>4055</v>
      </c>
      <c r="Z20" s="731" t="s">
        <v>4055</v>
      </c>
      <c r="AA20" s="821" t="s">
        <v>376</v>
      </c>
      <c r="AB20" s="821" t="s">
        <v>376</v>
      </c>
      <c r="AC20" s="533">
        <f>IF(CRA_Projects[[#This Row],[TDS (i.e. MOP main)]]="Y",CRA_Projects[[#This Row],[Engineering Approved Design Date]]-28,CRA_Projects[[#This Row],[Engineering Approved Design Date]]-21)</f>
        <v>45970</v>
      </c>
      <c r="AD20" s="533"/>
      <c r="AE20" s="201" t="s">
        <v>745</v>
      </c>
      <c r="AF20" s="201" t="s">
        <v>709</v>
      </c>
      <c r="AG20" s="851" t="s">
        <v>29</v>
      </c>
      <c r="AH20" s="1605">
        <v>1</v>
      </c>
      <c r="AI20" s="9" t="s">
        <v>709</v>
      </c>
      <c r="AJ20" s="833">
        <v>45736</v>
      </c>
      <c r="AK20" s="833">
        <v>45741</v>
      </c>
      <c r="AL20" s="716">
        <v>45755</v>
      </c>
      <c r="AM20" s="716" t="s">
        <v>29</v>
      </c>
      <c r="AN20" s="716" t="s">
        <v>29</v>
      </c>
      <c r="AO20" s="675" t="s">
        <v>29</v>
      </c>
      <c r="AP20" s="716" t="s">
        <v>29</v>
      </c>
      <c r="AQ20" s="114" t="s">
        <v>6976</v>
      </c>
      <c r="AR20" s="827">
        <v>25000</v>
      </c>
      <c r="AS20" s="751" t="s">
        <v>7014</v>
      </c>
      <c r="AT20" s="751">
        <v>7000</v>
      </c>
      <c r="AU20" s="832" t="s">
        <v>709</v>
      </c>
      <c r="AV20" s="5" t="str">
        <f>IF(DAY(CRA_Projects[[#This Row],[Engineering Approved Design Date]]) &gt; 16, TEXT(EOMONTH(CRA_Projects[[#This Row],[Engineering Approved Design Date]], 0) + 1, "mmmm"), TEXT(EOMONTH(CRA_Projects[[#This Row],[Engineering Approved Design Date]], -1) + 1, "mmmm"))</f>
        <v>December</v>
      </c>
    </row>
    <row r="21" spans="1:48" ht="45" x14ac:dyDescent="0.25">
      <c r="A21" s="115" t="s">
        <v>6816</v>
      </c>
      <c r="B21" s="532" t="s">
        <v>6798</v>
      </c>
      <c r="C21" s="715" t="s">
        <v>7015</v>
      </c>
      <c r="D21" s="1570">
        <v>1015191</v>
      </c>
      <c r="E21" s="532" t="s">
        <v>7016</v>
      </c>
      <c r="F21" s="115" t="s">
        <v>6643</v>
      </c>
      <c r="G21" s="532" t="s">
        <v>6996</v>
      </c>
      <c r="H21" s="532" t="s">
        <v>6930</v>
      </c>
      <c r="I21" s="533">
        <v>45727</v>
      </c>
      <c r="J21" s="1199">
        <v>46055</v>
      </c>
      <c r="K21" s="1314" t="s">
        <v>6950</v>
      </c>
      <c r="L21" s="833" t="str">
        <f t="shared" si="0"/>
        <v>No</v>
      </c>
      <c r="M21" s="469" t="s">
        <v>7017</v>
      </c>
      <c r="N21" s="715" t="s">
        <v>7018</v>
      </c>
      <c r="O21" s="192" t="s">
        <v>29</v>
      </c>
      <c r="P21" s="193" t="s">
        <v>29</v>
      </c>
      <c r="Q21" s="193" t="s">
        <v>29</v>
      </c>
      <c r="R21" s="193" t="s">
        <v>29</v>
      </c>
      <c r="S21" s="193" t="s">
        <v>29</v>
      </c>
      <c r="T21" s="1477" t="s">
        <v>7019</v>
      </c>
      <c r="U21" s="1475" t="s">
        <v>115</v>
      </c>
      <c r="V21" s="1315" t="s">
        <v>115</v>
      </c>
      <c r="W21" s="1586" t="s">
        <v>4055</v>
      </c>
      <c r="X21" s="1586" t="s">
        <v>4055</v>
      </c>
      <c r="Y21" s="1586" t="s">
        <v>4055</v>
      </c>
      <c r="Z21" s="1586" t="s">
        <v>4055</v>
      </c>
      <c r="AA21" s="821" t="s">
        <v>115</v>
      </c>
      <c r="AB21" s="821" t="s">
        <v>115</v>
      </c>
      <c r="AC21" s="533">
        <f>IF(CRA_Projects[[#This Row],[TDS (i.e. MOP main)]]="Y",CRA_Projects[[#This Row],[Engineering Approved Design Date]]-28,CRA_Projects[[#This Row],[Engineering Approved Design Date]]-21)</f>
        <v>46034</v>
      </c>
      <c r="AD21" s="533"/>
      <c r="AE21" s="835"/>
      <c r="AF21" s="835"/>
      <c r="AG21" s="851" t="s">
        <v>29</v>
      </c>
      <c r="AH21" s="1605">
        <v>1</v>
      </c>
      <c r="AI21" s="1613"/>
      <c r="AJ21" s="833">
        <v>45740</v>
      </c>
      <c r="AK21" s="833">
        <v>45743</v>
      </c>
      <c r="AL21" s="716">
        <v>45762</v>
      </c>
      <c r="AM21" s="716" t="s">
        <v>29</v>
      </c>
      <c r="AN21" s="716" t="s">
        <v>29</v>
      </c>
      <c r="AO21" s="675" t="s">
        <v>29</v>
      </c>
      <c r="AP21" s="716" t="s">
        <v>29</v>
      </c>
      <c r="AQ21" s="114" t="s">
        <v>7020</v>
      </c>
      <c r="AR21" s="827">
        <v>25000</v>
      </c>
      <c r="AS21" s="751" t="s">
        <v>7014</v>
      </c>
      <c r="AT21" s="751">
        <v>7000</v>
      </c>
      <c r="AU21" s="832" t="s">
        <v>709</v>
      </c>
      <c r="AV21" s="5" t="str">
        <f>IF(DAY(CRA_Projects[[#This Row],[Engineering Approved Design Date]]) &gt; 16, TEXT(EOMONTH(CRA_Projects[[#This Row],[Engineering Approved Design Date]], 0) + 1, "mmmm"), TEXT(EOMONTH(CRA_Projects[[#This Row],[Engineering Approved Design Date]], -1) + 1, "mmmm"))</f>
        <v>February</v>
      </c>
    </row>
    <row r="22" spans="1:48" ht="75" customHeight="1" x14ac:dyDescent="0.25">
      <c r="A22" s="532" t="s">
        <v>6816</v>
      </c>
      <c r="B22" s="532" t="s">
        <v>730</v>
      </c>
      <c r="C22" s="469" t="s">
        <v>7101</v>
      </c>
      <c r="D22" s="1571">
        <v>1015498</v>
      </c>
      <c r="E22" s="115" t="s">
        <v>7102</v>
      </c>
      <c r="F22" s="115" t="s">
        <v>6643</v>
      </c>
      <c r="G22" s="532" t="s">
        <v>37</v>
      </c>
      <c r="H22" s="532" t="s">
        <v>6971</v>
      </c>
      <c r="I22" s="533">
        <v>45917</v>
      </c>
      <c r="J22" s="774">
        <v>46055</v>
      </c>
      <c r="K22" s="1314" t="s">
        <v>6979</v>
      </c>
      <c r="L22" s="736" t="str">
        <f t="shared" si="0"/>
        <v>Yes</v>
      </c>
      <c r="M22" s="12" t="s">
        <v>7103</v>
      </c>
      <c r="N22" s="1204" t="s">
        <v>7104</v>
      </c>
      <c r="O22" s="192" t="s">
        <v>29</v>
      </c>
      <c r="P22" s="193" t="s">
        <v>29</v>
      </c>
      <c r="Q22" s="193" t="s">
        <v>29</v>
      </c>
      <c r="R22" s="193" t="s">
        <v>29</v>
      </c>
      <c r="S22" s="193" t="s">
        <v>29</v>
      </c>
      <c r="T22" s="1477" t="s">
        <v>7105</v>
      </c>
      <c r="U22" s="1475" t="s">
        <v>115</v>
      </c>
      <c r="V22" s="1315" t="s">
        <v>115</v>
      </c>
      <c r="W22" s="731" t="s">
        <v>115</v>
      </c>
      <c r="X22" s="731" t="s">
        <v>115</v>
      </c>
      <c r="Y22" s="731" t="s">
        <v>115</v>
      </c>
      <c r="Z22" s="731" t="s">
        <v>115</v>
      </c>
      <c r="AA22" s="676" t="s">
        <v>376</v>
      </c>
      <c r="AB22" s="676" t="s">
        <v>376</v>
      </c>
      <c r="AC22" s="685">
        <f>IF(CRA_Projects[[#This Row],[TDS (i.e. MOP main)]]="Y",CRA_Projects[[#This Row],[Engineering Approved Design Date]]-28,CRA_Projects[[#This Row],[Engineering Approved Design Date]]-21)</f>
        <v>46027</v>
      </c>
      <c r="AD22" s="468" t="s">
        <v>376</v>
      </c>
      <c r="AE22" s="201" t="s">
        <v>116</v>
      </c>
      <c r="AF22" s="201" t="s">
        <v>709</v>
      </c>
      <c r="AG22" s="851" t="s">
        <v>29</v>
      </c>
      <c r="AH22" s="1605">
        <v>1</v>
      </c>
      <c r="AI22" s="36" t="s">
        <v>709</v>
      </c>
      <c r="AJ22" s="201">
        <v>45686</v>
      </c>
      <c r="AK22" s="201">
        <v>45694</v>
      </c>
      <c r="AL22" s="676">
        <v>45757</v>
      </c>
      <c r="AM22" s="716" t="s">
        <v>29</v>
      </c>
      <c r="AN22" s="675" t="s">
        <v>29</v>
      </c>
      <c r="AO22" s="675">
        <v>45798</v>
      </c>
      <c r="AP22" s="675" t="s">
        <v>29</v>
      </c>
      <c r="AQ22" s="709" t="s">
        <v>6968</v>
      </c>
      <c r="AR22" s="822">
        <v>50000</v>
      </c>
      <c r="AS22" s="751" t="s">
        <v>1922</v>
      </c>
      <c r="AT22" s="751">
        <v>7000</v>
      </c>
      <c r="AU22" s="776" t="s">
        <v>709</v>
      </c>
      <c r="AV22" s="752" t="str">
        <f>IF(DAY(CRA_Projects[[#This Row],[Engineering Approved Design Date]]) &gt; 16, TEXT(EOMONTH(CRA_Projects[[#This Row],[Engineering Approved Design Date]], 0) + 1, "mmmm"), TEXT(EOMONTH(CRA_Projects[[#This Row],[Engineering Approved Design Date]], -1) + 1, "mmmm"))</f>
        <v>February</v>
      </c>
    </row>
    <row r="23" spans="1:48" ht="45" x14ac:dyDescent="0.25">
      <c r="A23" s="532" t="s">
        <v>6816</v>
      </c>
      <c r="B23" s="532" t="s">
        <v>6798</v>
      </c>
      <c r="C23" s="469">
        <v>3701048</v>
      </c>
      <c r="D23" s="1571">
        <v>1014896</v>
      </c>
      <c r="E23" s="115" t="s">
        <v>7102</v>
      </c>
      <c r="F23" s="115" t="s">
        <v>6643</v>
      </c>
      <c r="G23" s="532" t="s">
        <v>37</v>
      </c>
      <c r="H23" s="532" t="s">
        <v>6930</v>
      </c>
      <c r="I23" s="533">
        <v>45665</v>
      </c>
      <c r="J23" s="774">
        <v>46055</v>
      </c>
      <c r="K23" s="1314" t="s">
        <v>7106</v>
      </c>
      <c r="L23" s="736" t="str">
        <f t="shared" si="0"/>
        <v>No</v>
      </c>
      <c r="M23" s="12" t="s">
        <v>7107</v>
      </c>
      <c r="N23" s="1204" t="s">
        <v>7104</v>
      </c>
      <c r="O23" s="192" t="s">
        <v>29</v>
      </c>
      <c r="P23" s="193" t="s">
        <v>29</v>
      </c>
      <c r="Q23" s="193" t="s">
        <v>29</v>
      </c>
      <c r="R23" s="193" t="s">
        <v>29</v>
      </c>
      <c r="S23" s="193" t="s">
        <v>29</v>
      </c>
      <c r="T23" s="1477" t="s">
        <v>7105</v>
      </c>
      <c r="U23" s="1475" t="s">
        <v>115</v>
      </c>
      <c r="V23" s="1315" t="s">
        <v>115</v>
      </c>
      <c r="W23" s="731" t="s">
        <v>115</v>
      </c>
      <c r="X23" s="731" t="s">
        <v>115</v>
      </c>
      <c r="Y23" s="731" t="s">
        <v>115</v>
      </c>
      <c r="Z23" s="731" t="s">
        <v>115</v>
      </c>
      <c r="AA23" s="731" t="s">
        <v>115</v>
      </c>
      <c r="AB23" s="731" t="s">
        <v>115</v>
      </c>
      <c r="AC23" s="685">
        <f>IF(CRA_Projects[[#This Row],[TDS (i.e. MOP main)]]="Y",CRA_Projects[[#This Row],[Engineering Approved Design Date]]-28,CRA_Projects[[#This Row],[Engineering Approved Design Date]]-21)</f>
        <v>46034</v>
      </c>
      <c r="AD23" s="468" t="s">
        <v>376</v>
      </c>
      <c r="AE23" s="201" t="s">
        <v>29</v>
      </c>
      <c r="AF23" s="201" t="s">
        <v>709</v>
      </c>
      <c r="AG23" s="851" t="s">
        <v>29</v>
      </c>
      <c r="AH23" s="1605">
        <v>1</v>
      </c>
      <c r="AI23" s="9" t="s">
        <v>709</v>
      </c>
      <c r="AJ23" s="201">
        <v>45686</v>
      </c>
      <c r="AK23" s="201">
        <v>45694</v>
      </c>
      <c r="AL23" s="676">
        <v>45757</v>
      </c>
      <c r="AM23" s="716" t="s">
        <v>29</v>
      </c>
      <c r="AN23" s="675" t="s">
        <v>29</v>
      </c>
      <c r="AO23" s="675">
        <v>45798</v>
      </c>
      <c r="AP23" s="675" t="s">
        <v>29</v>
      </c>
      <c r="AQ23" s="709" t="s">
        <v>6968</v>
      </c>
      <c r="AR23" s="822">
        <v>25000</v>
      </c>
      <c r="AS23" s="751" t="s">
        <v>1922</v>
      </c>
      <c r="AT23" s="751">
        <v>7000</v>
      </c>
      <c r="AU23" s="776" t="s">
        <v>709</v>
      </c>
      <c r="AV23" s="752" t="str">
        <f>IF(DAY(CRA_Projects[[#This Row],[Engineering Approved Design Date]]) &gt; 16, TEXT(EOMONTH(CRA_Projects[[#This Row],[Engineering Approved Design Date]], 0) + 1, "mmmm"), TEXT(EOMONTH(CRA_Projects[[#This Row],[Engineering Approved Design Date]], -1) + 1, "mmmm"))</f>
        <v>February</v>
      </c>
    </row>
    <row r="24" spans="1:48" ht="42.75" customHeight="1" x14ac:dyDescent="0.25">
      <c r="A24" s="532" t="s">
        <v>6816</v>
      </c>
      <c r="B24" s="532" t="s">
        <v>6798</v>
      </c>
      <c r="C24" s="715" t="s">
        <v>7096</v>
      </c>
      <c r="D24" s="1570">
        <v>1015146</v>
      </c>
      <c r="E24" s="532" t="s">
        <v>5145</v>
      </c>
      <c r="F24" s="532" t="s">
        <v>6643</v>
      </c>
      <c r="G24" s="532" t="s">
        <v>37</v>
      </c>
      <c r="H24" s="532" t="s">
        <v>6930</v>
      </c>
      <c r="I24" s="533">
        <v>45727</v>
      </c>
      <c r="J24" s="774">
        <v>46048</v>
      </c>
      <c r="K24" s="1314" t="s">
        <v>6950</v>
      </c>
      <c r="L24" s="833" t="str">
        <f t="shared" si="0"/>
        <v>No</v>
      </c>
      <c r="M24" s="469" t="s">
        <v>7097</v>
      </c>
      <c r="N24" s="715" t="s">
        <v>7098</v>
      </c>
      <c r="O24" s="192" t="s">
        <v>29</v>
      </c>
      <c r="P24" s="193" t="s">
        <v>29</v>
      </c>
      <c r="Q24" s="193" t="s">
        <v>29</v>
      </c>
      <c r="R24" s="193" t="s">
        <v>29</v>
      </c>
      <c r="S24" s="193" t="s">
        <v>29</v>
      </c>
      <c r="T24" s="1477" t="s">
        <v>7099</v>
      </c>
      <c r="U24" s="1475" t="s">
        <v>7100</v>
      </c>
      <c r="V24" s="1315" t="s">
        <v>115</v>
      </c>
      <c r="W24" s="731" t="s">
        <v>115</v>
      </c>
      <c r="X24" s="731" t="s">
        <v>115</v>
      </c>
      <c r="Y24" s="731" t="s">
        <v>115</v>
      </c>
      <c r="Z24" s="731" t="s">
        <v>115</v>
      </c>
      <c r="AA24" s="676">
        <v>45799</v>
      </c>
      <c r="AB24" s="676">
        <v>45846</v>
      </c>
      <c r="AC24" s="533">
        <f>IF(CRA_Projects[[#This Row],[TDS (i.e. MOP main)]]="Y",CRA_Projects[[#This Row],[Engineering Approved Design Date]]-28,CRA_Projects[[#This Row],[Engineering Approved Design Date]]-21)</f>
        <v>46027</v>
      </c>
      <c r="AD24" s="533"/>
      <c r="AE24" s="201" t="s">
        <v>709</v>
      </c>
      <c r="AF24" s="201" t="s">
        <v>709</v>
      </c>
      <c r="AG24" s="851" t="s">
        <v>29</v>
      </c>
      <c r="AH24" s="1605">
        <v>1</v>
      </c>
      <c r="AI24" s="9"/>
      <c r="AJ24" s="833">
        <v>45740</v>
      </c>
      <c r="AK24" s="833">
        <v>45743</v>
      </c>
      <c r="AL24" s="716">
        <v>45771</v>
      </c>
      <c r="AM24" s="716" t="s">
        <v>29</v>
      </c>
      <c r="AN24" s="716" t="s">
        <v>29</v>
      </c>
      <c r="AO24" s="675" t="s">
        <v>29</v>
      </c>
      <c r="AP24" s="716" t="s">
        <v>29</v>
      </c>
      <c r="AQ24" s="114" t="s">
        <v>6983</v>
      </c>
      <c r="AR24" s="827">
        <v>25000</v>
      </c>
      <c r="AS24" s="852" t="s">
        <v>7014</v>
      </c>
      <c r="AT24" s="852">
        <v>7000</v>
      </c>
      <c r="AU24" s="832" t="s">
        <v>709</v>
      </c>
      <c r="AV24" s="5" t="str">
        <f>IF(DAY(CRA_Projects[[#This Row],[Engineering Approved Design Date]]) &gt; 16, TEXT(EOMONTH(CRA_Projects[[#This Row],[Engineering Approved Design Date]], 0) + 1, "mmmm"), TEXT(EOMONTH(CRA_Projects[[#This Row],[Engineering Approved Design Date]], -1) + 1, "mmmm"))</f>
        <v>February</v>
      </c>
    </row>
    <row r="25" spans="1:48" ht="54" customHeight="1" x14ac:dyDescent="0.25">
      <c r="A25" s="532" t="s">
        <v>6816</v>
      </c>
      <c r="B25" s="532" t="s">
        <v>6798</v>
      </c>
      <c r="C25" s="715">
        <v>4401076</v>
      </c>
      <c r="D25" s="1570">
        <v>1015204</v>
      </c>
      <c r="E25" s="532" t="s">
        <v>1032</v>
      </c>
      <c r="F25" s="532" t="s">
        <v>6643</v>
      </c>
      <c r="G25" s="532" t="s">
        <v>34</v>
      </c>
      <c r="H25" s="532" t="s">
        <v>7001</v>
      </c>
      <c r="I25" s="533">
        <v>45727</v>
      </c>
      <c r="J25" s="1312">
        <v>45961</v>
      </c>
      <c r="K25" s="1314" t="s">
        <v>7119</v>
      </c>
      <c r="L25" s="833" t="str">
        <f t="shared" si="0"/>
        <v>No</v>
      </c>
      <c r="M25" s="469" t="s">
        <v>7120</v>
      </c>
      <c r="N25" s="715" t="s">
        <v>7121</v>
      </c>
      <c r="O25" s="192" t="s">
        <v>29</v>
      </c>
      <c r="P25" s="193" t="s">
        <v>29</v>
      </c>
      <c r="Q25" s="193" t="s">
        <v>29</v>
      </c>
      <c r="R25" s="193" t="s">
        <v>29</v>
      </c>
      <c r="S25" s="193" t="s">
        <v>29</v>
      </c>
      <c r="T25" s="1477" t="s">
        <v>7122</v>
      </c>
      <c r="U25" s="1475" t="s">
        <v>115</v>
      </c>
      <c r="V25" s="1315" t="s">
        <v>115</v>
      </c>
      <c r="W25" s="1315" t="s">
        <v>4055</v>
      </c>
      <c r="X25" s="1315" t="s">
        <v>4055</v>
      </c>
      <c r="Y25" s="1315" t="s">
        <v>4055</v>
      </c>
      <c r="Z25" s="1315" t="s">
        <v>4055</v>
      </c>
      <c r="AA25" s="821" t="s">
        <v>115</v>
      </c>
      <c r="AB25" s="821" t="s">
        <v>115</v>
      </c>
      <c r="AC25" s="533">
        <f>IF(CRA_Projects[[#This Row],[TDS (i.e. MOP main)]]="Y",CRA_Projects[[#This Row],[Engineering Approved Design Date]]-28,CRA_Projects[[#This Row],[Engineering Approved Design Date]]-21)</f>
        <v>45940</v>
      </c>
      <c r="AD25" s="1665" t="s">
        <v>115</v>
      </c>
      <c r="AE25" s="1224" t="s">
        <v>115</v>
      </c>
      <c r="AF25" s="201" t="s">
        <v>709</v>
      </c>
      <c r="AG25" s="851" t="s">
        <v>29</v>
      </c>
      <c r="AH25" s="1605">
        <v>1</v>
      </c>
      <c r="AI25" s="9" t="s">
        <v>709</v>
      </c>
      <c r="AJ25" s="736">
        <v>45740</v>
      </c>
      <c r="AK25" s="833">
        <v>45742</v>
      </c>
      <c r="AL25" s="716">
        <v>45799</v>
      </c>
      <c r="AM25" s="716" t="s">
        <v>29</v>
      </c>
      <c r="AN25" s="716" t="s">
        <v>29</v>
      </c>
      <c r="AO25" s="675" t="s">
        <v>29</v>
      </c>
      <c r="AP25" s="716" t="s">
        <v>29</v>
      </c>
      <c r="AQ25" s="114" t="s">
        <v>6976</v>
      </c>
      <c r="AR25" s="827">
        <v>25000</v>
      </c>
      <c r="AS25" s="852" t="s">
        <v>1922</v>
      </c>
      <c r="AT25" s="852">
        <v>7000</v>
      </c>
      <c r="AU25" s="832" t="s">
        <v>709</v>
      </c>
      <c r="AV25" s="5" t="str">
        <f>IF(DAY(CRA_Projects[[#This Row],[Engineering Approved Design Date]]) &gt; 16, TEXT(EOMONTH(CRA_Projects[[#This Row],[Engineering Approved Design Date]], 0) + 1, "mmmm"), TEXT(EOMONTH(CRA_Projects[[#This Row],[Engineering Approved Design Date]], -1) + 1, "mmmm"))</f>
        <v>November</v>
      </c>
    </row>
    <row r="26" spans="1:48" ht="90.75" customHeight="1" x14ac:dyDescent="0.25">
      <c r="A26" s="115" t="s">
        <v>6816</v>
      </c>
      <c r="B26" s="115" t="s">
        <v>6798</v>
      </c>
      <c r="C26" s="469">
        <v>3401394</v>
      </c>
      <c r="D26" s="1571">
        <v>1015194</v>
      </c>
      <c r="E26" s="115" t="s">
        <v>7022</v>
      </c>
      <c r="F26" s="115" t="s">
        <v>6643</v>
      </c>
      <c r="G26" s="115" t="s">
        <v>34</v>
      </c>
      <c r="H26" s="115" t="s">
        <v>6971</v>
      </c>
      <c r="I26" s="468">
        <v>45727</v>
      </c>
      <c r="J26" s="1563">
        <v>45991</v>
      </c>
      <c r="K26" s="1314" t="s">
        <v>7131</v>
      </c>
      <c r="L26" s="736" t="str">
        <f t="shared" si="0"/>
        <v>No</v>
      </c>
      <c r="M26" s="469" t="s">
        <v>7132</v>
      </c>
      <c r="N26" s="469" t="s">
        <v>7133</v>
      </c>
      <c r="O26" s="192" t="s">
        <v>29</v>
      </c>
      <c r="P26" s="193" t="s">
        <v>29</v>
      </c>
      <c r="Q26" s="193" t="s">
        <v>29</v>
      </c>
      <c r="R26" s="193" t="s">
        <v>29</v>
      </c>
      <c r="S26" s="193" t="s">
        <v>29</v>
      </c>
      <c r="T26" s="1601" t="s">
        <v>7134</v>
      </c>
      <c r="U26" s="1475" t="s">
        <v>115</v>
      </c>
      <c r="V26" s="1315" t="s">
        <v>115</v>
      </c>
      <c r="W26" s="1315" t="s">
        <v>4055</v>
      </c>
      <c r="X26" s="1315" t="s">
        <v>4055</v>
      </c>
      <c r="Y26" s="1315" t="s">
        <v>4055</v>
      </c>
      <c r="Z26" s="1315" t="s">
        <v>4055</v>
      </c>
      <c r="AA26" s="1315" t="s">
        <v>115</v>
      </c>
      <c r="AB26" s="1315" t="s">
        <v>115</v>
      </c>
      <c r="AC26" s="468">
        <f>IF(CRA_Projects[[#This Row],[TDS (i.e. MOP main)]]="Y",CRA_Projects[[#This Row],[Engineering Approved Design Date]]-28,CRA_Projects[[#This Row],[Engineering Approved Design Date]]-21)</f>
        <v>45970</v>
      </c>
      <c r="AD26" s="1594" t="s">
        <v>115</v>
      </c>
      <c r="AE26" s="1224" t="s">
        <v>115</v>
      </c>
      <c r="AF26" s="201" t="s">
        <v>709</v>
      </c>
      <c r="AG26" s="851" t="s">
        <v>29</v>
      </c>
      <c r="AH26" s="1605">
        <v>1</v>
      </c>
      <c r="AI26" s="9" t="s">
        <v>709</v>
      </c>
      <c r="AJ26" s="536">
        <v>45742</v>
      </c>
      <c r="AK26" s="736">
        <v>45747</v>
      </c>
      <c r="AL26" s="473">
        <v>45762</v>
      </c>
      <c r="AM26" s="473" t="s">
        <v>29</v>
      </c>
      <c r="AN26" s="473" t="s">
        <v>29</v>
      </c>
      <c r="AO26" s="676" t="s">
        <v>29</v>
      </c>
      <c r="AP26" s="473" t="s">
        <v>29</v>
      </c>
      <c r="AQ26" s="114" t="s">
        <v>7020</v>
      </c>
      <c r="AR26" s="837">
        <v>25000</v>
      </c>
      <c r="AS26" s="852" t="s">
        <v>7014</v>
      </c>
      <c r="AT26" s="852">
        <v>7000</v>
      </c>
      <c r="AU26" s="732" t="s">
        <v>709</v>
      </c>
      <c r="AV26" s="5" t="str">
        <f>IF(DAY(CRA_Projects[[#This Row],[Engineering Approved Design Date]]) &gt; 16, TEXT(EOMONTH(CRA_Projects[[#This Row],[Engineering Approved Design Date]], 0) + 1, "mmmm"), TEXT(EOMONTH(CRA_Projects[[#This Row],[Engineering Approved Design Date]], -1) + 1, "mmmm"))</f>
        <v>December</v>
      </c>
    </row>
    <row r="27" spans="1:48" ht="90.75" customHeight="1" x14ac:dyDescent="0.25">
      <c r="A27" s="532" t="s">
        <v>6816</v>
      </c>
      <c r="B27" s="532" t="s">
        <v>6798</v>
      </c>
      <c r="C27" s="715">
        <v>3401451</v>
      </c>
      <c r="D27" s="1570">
        <v>1015192</v>
      </c>
      <c r="E27" s="115" t="s">
        <v>7135</v>
      </c>
      <c r="F27" s="532" t="s">
        <v>6643</v>
      </c>
      <c r="G27" s="532" t="s">
        <v>34</v>
      </c>
      <c r="H27" s="532" t="s">
        <v>6971</v>
      </c>
      <c r="I27" s="533">
        <v>45727</v>
      </c>
      <c r="J27" s="1312">
        <v>45991</v>
      </c>
      <c r="K27" s="1314" t="s">
        <v>7131</v>
      </c>
      <c r="L27" s="833" t="str">
        <f t="shared" si="0"/>
        <v>No</v>
      </c>
      <c r="M27" s="715" t="s">
        <v>7136</v>
      </c>
      <c r="N27" s="715" t="s">
        <v>7137</v>
      </c>
      <c r="O27" s="192" t="s">
        <v>29</v>
      </c>
      <c r="P27" s="193" t="s">
        <v>29</v>
      </c>
      <c r="Q27" s="193" t="s">
        <v>29</v>
      </c>
      <c r="R27" s="193" t="s">
        <v>29</v>
      </c>
      <c r="S27" s="193" t="s">
        <v>29</v>
      </c>
      <c r="T27" s="1477" t="s">
        <v>7138</v>
      </c>
      <c r="U27" s="1475" t="s">
        <v>115</v>
      </c>
      <c r="V27" s="1315" t="s">
        <v>115</v>
      </c>
      <c r="W27" s="731" t="s">
        <v>4055</v>
      </c>
      <c r="X27" s="731" t="s">
        <v>4055</v>
      </c>
      <c r="Y27" s="731" t="s">
        <v>4055</v>
      </c>
      <c r="Z27" s="731" t="s">
        <v>4055</v>
      </c>
      <c r="AA27" s="731" t="s">
        <v>115</v>
      </c>
      <c r="AB27" s="731" t="s">
        <v>115</v>
      </c>
      <c r="AC27" s="533">
        <f>IF(CRA_Projects[[#This Row],[TDS (i.e. MOP main)]]="Y",CRA_Projects[[#This Row],[Engineering Approved Design Date]]-28,CRA_Projects[[#This Row],[Engineering Approved Design Date]]-21)</f>
        <v>45970</v>
      </c>
      <c r="AD27" s="1665" t="s">
        <v>115</v>
      </c>
      <c r="AE27" s="1224" t="s">
        <v>115</v>
      </c>
      <c r="AF27" s="201" t="s">
        <v>709</v>
      </c>
      <c r="AG27" s="851" t="s">
        <v>29</v>
      </c>
      <c r="AH27" s="1605">
        <v>1</v>
      </c>
      <c r="AI27" s="9" t="s">
        <v>709</v>
      </c>
      <c r="AJ27" s="536">
        <v>45740</v>
      </c>
      <c r="AK27" s="736">
        <v>45743</v>
      </c>
      <c r="AL27" s="473">
        <v>45762</v>
      </c>
      <c r="AM27" s="716" t="s">
        <v>29</v>
      </c>
      <c r="AN27" s="716" t="s">
        <v>29</v>
      </c>
      <c r="AO27" s="675" t="s">
        <v>29</v>
      </c>
      <c r="AP27" s="716" t="s">
        <v>29</v>
      </c>
      <c r="AQ27" s="114" t="s">
        <v>7020</v>
      </c>
      <c r="AR27" s="827">
        <v>25000</v>
      </c>
      <c r="AS27" s="751" t="s">
        <v>1922</v>
      </c>
      <c r="AT27" s="751">
        <v>7000</v>
      </c>
      <c r="AU27" s="832" t="s">
        <v>709</v>
      </c>
      <c r="AV27" s="5" t="str">
        <f>IF(DAY(CRA_Projects[[#This Row],[Engineering Approved Design Date]]) &gt; 16, TEXT(EOMONTH(CRA_Projects[[#This Row],[Engineering Approved Design Date]], 0) + 1, "mmmm"), TEXT(EOMONTH(CRA_Projects[[#This Row],[Engineering Approved Design Date]], -1) + 1, "mmmm"))</f>
        <v>December</v>
      </c>
    </row>
    <row r="28" spans="1:48" ht="90.75" customHeight="1" x14ac:dyDescent="0.25">
      <c r="A28" s="115" t="s">
        <v>6816</v>
      </c>
      <c r="B28" s="115" t="s">
        <v>6798</v>
      </c>
      <c r="C28" s="469">
        <v>3401457</v>
      </c>
      <c r="D28" s="1571">
        <v>1015190</v>
      </c>
      <c r="E28" s="115" t="s">
        <v>7016</v>
      </c>
      <c r="F28" s="115" t="s">
        <v>6643</v>
      </c>
      <c r="G28" s="115" t="s">
        <v>34</v>
      </c>
      <c r="H28" s="115" t="s">
        <v>6971</v>
      </c>
      <c r="I28" s="468">
        <v>45727</v>
      </c>
      <c r="J28" s="1563">
        <v>45991</v>
      </c>
      <c r="K28" s="1314" t="s">
        <v>7131</v>
      </c>
      <c r="L28" s="736" t="str">
        <f t="shared" si="0"/>
        <v>No</v>
      </c>
      <c r="M28" s="469" t="s">
        <v>7136</v>
      </c>
      <c r="N28" s="469" t="s">
        <v>7139</v>
      </c>
      <c r="O28" s="192" t="s">
        <v>29</v>
      </c>
      <c r="P28" s="193" t="s">
        <v>29</v>
      </c>
      <c r="Q28" s="193" t="s">
        <v>29</v>
      </c>
      <c r="R28" s="193" t="s">
        <v>29</v>
      </c>
      <c r="S28" s="193" t="s">
        <v>29</v>
      </c>
      <c r="T28" s="1477" t="s">
        <v>7140</v>
      </c>
      <c r="U28" s="1475" t="s">
        <v>115</v>
      </c>
      <c r="V28" s="1315" t="s">
        <v>115</v>
      </c>
      <c r="W28" s="1315" t="s">
        <v>4055</v>
      </c>
      <c r="X28" s="1315" t="s">
        <v>4055</v>
      </c>
      <c r="Y28" s="1315" t="s">
        <v>4055</v>
      </c>
      <c r="Z28" s="1315" t="s">
        <v>4055</v>
      </c>
      <c r="AA28" s="731" t="s">
        <v>115</v>
      </c>
      <c r="AB28" s="731" t="s">
        <v>115</v>
      </c>
      <c r="AC28" s="468">
        <f>IF(CRA_Projects[[#This Row],[TDS (i.e. MOP main)]]="Y",CRA_Projects[[#This Row],[Engineering Approved Design Date]]-28,CRA_Projects[[#This Row],[Engineering Approved Design Date]]-21)</f>
        <v>45970</v>
      </c>
      <c r="AD28" s="1594" t="s">
        <v>115</v>
      </c>
      <c r="AE28" s="1224" t="s">
        <v>115</v>
      </c>
      <c r="AF28" s="201" t="s">
        <v>709</v>
      </c>
      <c r="AG28" s="851" t="s">
        <v>29</v>
      </c>
      <c r="AH28" s="1605">
        <v>1</v>
      </c>
      <c r="AI28" s="9" t="s">
        <v>709</v>
      </c>
      <c r="AJ28" s="736">
        <v>45742</v>
      </c>
      <c r="AK28" s="736">
        <v>45747</v>
      </c>
      <c r="AL28" s="473">
        <v>45762</v>
      </c>
      <c r="AM28" s="473" t="s">
        <v>29</v>
      </c>
      <c r="AN28" s="473" t="s">
        <v>29</v>
      </c>
      <c r="AO28" s="676" t="s">
        <v>29</v>
      </c>
      <c r="AP28" s="473" t="s">
        <v>29</v>
      </c>
      <c r="AQ28" s="709" t="s">
        <v>7020</v>
      </c>
      <c r="AR28" s="837">
        <v>25000</v>
      </c>
      <c r="AS28" s="751" t="s">
        <v>7014</v>
      </c>
      <c r="AT28" s="751">
        <v>7000</v>
      </c>
      <c r="AU28" s="732" t="s">
        <v>709</v>
      </c>
      <c r="AV28" s="5" t="str">
        <f>IF(DAY(CRA_Projects[[#This Row],[Engineering Approved Design Date]]) &gt; 16, TEXT(EOMONTH(CRA_Projects[[#This Row],[Engineering Approved Design Date]], 0) + 1, "mmmm"), TEXT(EOMONTH(CRA_Projects[[#This Row],[Engineering Approved Design Date]], -1) + 1, "mmmm"))</f>
        <v>December</v>
      </c>
    </row>
    <row r="29" spans="1:48" ht="90.75" customHeight="1" x14ac:dyDescent="0.25">
      <c r="A29" s="115" t="s">
        <v>6816</v>
      </c>
      <c r="B29" s="115" t="s">
        <v>730</v>
      </c>
      <c r="C29" s="1726">
        <v>4401288</v>
      </c>
      <c r="D29" s="1571">
        <v>1015203</v>
      </c>
      <c r="E29" s="115" t="s">
        <v>7172</v>
      </c>
      <c r="F29" s="115" t="s">
        <v>6643</v>
      </c>
      <c r="G29" s="115" t="s">
        <v>7152</v>
      </c>
      <c r="H29" s="115" t="s">
        <v>6985</v>
      </c>
      <c r="I29" s="468">
        <v>45727</v>
      </c>
      <c r="J29" s="685">
        <v>46055</v>
      </c>
      <c r="K29" s="1314" t="s">
        <v>6979</v>
      </c>
      <c r="L29" s="736" t="str">
        <f t="shared" si="0"/>
        <v>Yes</v>
      </c>
      <c r="M29" s="469" t="s">
        <v>7173</v>
      </c>
      <c r="N29" s="469" t="s">
        <v>7174</v>
      </c>
      <c r="O29" s="192" t="s">
        <v>116</v>
      </c>
      <c r="P29" s="193" t="s">
        <v>115</v>
      </c>
      <c r="Q29" s="193" t="s">
        <v>7175</v>
      </c>
      <c r="R29" s="193" t="s">
        <v>5519</v>
      </c>
      <c r="S29" s="193" t="s">
        <v>115</v>
      </c>
      <c r="T29" s="1477" t="s">
        <v>7176</v>
      </c>
      <c r="U29" s="1475" t="s">
        <v>115</v>
      </c>
      <c r="V29" s="1315" t="s">
        <v>115</v>
      </c>
      <c r="W29" s="731" t="s">
        <v>7177</v>
      </c>
      <c r="X29" s="731" t="s">
        <v>7177</v>
      </c>
      <c r="Y29" s="731" t="s">
        <v>7177</v>
      </c>
      <c r="Z29" s="731" t="s">
        <v>7177</v>
      </c>
      <c r="AA29" s="676" t="s">
        <v>7178</v>
      </c>
      <c r="AB29" s="676" t="s">
        <v>7178</v>
      </c>
      <c r="AC29" s="468">
        <f>IF(CRA_Projects[[#This Row],[TDS (i.e. MOP main)]]="Y",CRA_Projects[[#This Row],[Engineering Approved Design Date]]-28,CRA_Projects[[#This Row],[Engineering Approved Design Date]]-21)</f>
        <v>46027</v>
      </c>
      <c r="AD29" s="468" t="s">
        <v>376</v>
      </c>
      <c r="AE29" s="201" t="s">
        <v>116</v>
      </c>
      <c r="AF29" s="201" t="s">
        <v>709</v>
      </c>
      <c r="AG29" s="851" t="s">
        <v>29</v>
      </c>
      <c r="AH29" s="1605">
        <v>1</v>
      </c>
      <c r="AI29" s="1613"/>
      <c r="AJ29" s="736">
        <v>45736</v>
      </c>
      <c r="AK29" s="736">
        <v>45741</v>
      </c>
      <c r="AL29" s="473">
        <v>45756</v>
      </c>
      <c r="AM29" s="473" t="s">
        <v>7179</v>
      </c>
      <c r="AN29" s="473" t="s">
        <v>7179</v>
      </c>
      <c r="AO29" s="473" t="s">
        <v>7179</v>
      </c>
      <c r="AP29" s="473" t="s">
        <v>29</v>
      </c>
      <c r="AQ29" s="709" t="s">
        <v>6976</v>
      </c>
      <c r="AR29" s="837">
        <v>25000</v>
      </c>
      <c r="AS29" s="751" t="s">
        <v>1922</v>
      </c>
      <c r="AT29" s="751">
        <v>7000</v>
      </c>
      <c r="AU29" s="732" t="s">
        <v>709</v>
      </c>
      <c r="AV29" s="5" t="str">
        <f>IF(DAY(CRA_Projects[[#This Row],[Engineering Approved Design Date]]) &gt; 16, TEXT(EOMONTH(CRA_Projects[[#This Row],[Engineering Approved Design Date]], 0) + 1, "mmmm"), TEXT(EOMONTH(CRA_Projects[[#This Row],[Engineering Approved Design Date]], -1) + 1, "mmmm"))</f>
        <v>February</v>
      </c>
    </row>
    <row r="30" spans="1:48" ht="75" x14ac:dyDescent="0.25">
      <c r="A30" s="115" t="s">
        <v>6816</v>
      </c>
      <c r="B30" s="115" t="s">
        <v>730</v>
      </c>
      <c r="C30" s="469" t="s">
        <v>6958</v>
      </c>
      <c r="D30" s="1571">
        <v>1014897</v>
      </c>
      <c r="E30" s="115" t="s">
        <v>6959</v>
      </c>
      <c r="F30" s="115" t="s">
        <v>6643</v>
      </c>
      <c r="G30" s="115" t="s">
        <v>26</v>
      </c>
      <c r="H30" s="115" t="s">
        <v>6930</v>
      </c>
      <c r="I30" s="468">
        <v>45665</v>
      </c>
      <c r="J30" s="1664">
        <v>45971</v>
      </c>
      <c r="K30" s="1314" t="s">
        <v>6960</v>
      </c>
      <c r="L30" s="736" t="str">
        <f t="shared" si="0"/>
        <v>Yes</v>
      </c>
      <c r="M30" s="469" t="s">
        <v>6961</v>
      </c>
      <c r="N30" s="1204" t="s">
        <v>6962</v>
      </c>
      <c r="O30" s="192" t="s">
        <v>116</v>
      </c>
      <c r="P30" s="193" t="s">
        <v>115</v>
      </c>
      <c r="Q30" s="193" t="s">
        <v>115</v>
      </c>
      <c r="R30" s="193" t="s">
        <v>5171</v>
      </c>
      <c r="S30" s="193" t="s">
        <v>115</v>
      </c>
      <c r="T30" s="1477" t="s">
        <v>6963</v>
      </c>
      <c r="U30" s="1475" t="s">
        <v>6964</v>
      </c>
      <c r="V30" s="1315">
        <v>45805</v>
      </c>
      <c r="W30" s="676" t="s">
        <v>4055</v>
      </c>
      <c r="X30" s="676" t="s">
        <v>4055</v>
      </c>
      <c r="Y30" s="676" t="s">
        <v>4055</v>
      </c>
      <c r="Z30" s="676" t="s">
        <v>4055</v>
      </c>
      <c r="AA30" s="676">
        <v>45833</v>
      </c>
      <c r="AB30" s="676">
        <v>45849</v>
      </c>
      <c r="AC30" s="685">
        <f>IF(CRA_Projects[[#This Row],[TDS (i.e. MOP main)]]="Y",CRA_Projects[[#This Row],[Engineering Approved Design Date]]-28,CRA_Projects[[#This Row],[Engineering Approved Design Date]]-21)</f>
        <v>45943</v>
      </c>
      <c r="AD30" s="468" t="s">
        <v>376</v>
      </c>
      <c r="AE30" s="201" t="s">
        <v>116</v>
      </c>
      <c r="AF30" s="201" t="s">
        <v>709</v>
      </c>
      <c r="AG30" s="851" t="s">
        <v>29</v>
      </c>
      <c r="AH30" s="1605">
        <v>3</v>
      </c>
      <c r="AI30" s="36" t="s">
        <v>709</v>
      </c>
      <c r="AJ30" s="201">
        <v>45685</v>
      </c>
      <c r="AK30" s="201" t="s">
        <v>6965</v>
      </c>
      <c r="AL30" s="201" t="s">
        <v>6965</v>
      </c>
      <c r="AM30" s="473">
        <v>45833</v>
      </c>
      <c r="AN30" s="201" t="s">
        <v>6965</v>
      </c>
      <c r="AO30" s="676" t="s">
        <v>6966</v>
      </c>
      <c r="AP30" s="676" t="s">
        <v>6967</v>
      </c>
      <c r="AQ30" s="709" t="s">
        <v>6968</v>
      </c>
      <c r="AR30" s="735">
        <v>300000</v>
      </c>
      <c r="AS30" s="751">
        <v>0.11</v>
      </c>
      <c r="AT30" s="751">
        <f>IF(OR(CRA_Projects[[#This Row],[Rate]]=12750,CRA_Projects[[#This Row],[Rate]]=14750,CRA_Projects[[#This Row],[Rate]]=9250), CRA_Projects[[#This Row],[Rate]], IF(CRA_Projects[[#This Row],[Project Type]]="COR", CRA_Projects[[#This Row],['# of design pages]]*5000, CRA_Projects[[#This Row],[Cost Estimate]] * CRA_Projects[[#This Row],[Rate]]))</f>
        <v>33000</v>
      </c>
      <c r="AU30" s="856" t="s">
        <v>116</v>
      </c>
      <c r="AV30" s="752" t="str">
        <f>IF(DAY(CRA_Projects[[#This Row],[Engineering Approved Design Date]]) &gt; 16, TEXT(EOMONTH(CRA_Projects[[#This Row],[Engineering Approved Design Date]], 0) + 1, "mmmm"), TEXT(EOMONTH(CRA_Projects[[#This Row],[Engineering Approved Design Date]], -1) + 1, "mmmm"))</f>
        <v>November</v>
      </c>
    </row>
    <row r="31" spans="1:48" ht="90" x14ac:dyDescent="0.25">
      <c r="A31" s="115" t="s">
        <v>6926</v>
      </c>
      <c r="B31" s="115" t="s">
        <v>730</v>
      </c>
      <c r="C31" s="469" t="s">
        <v>6927</v>
      </c>
      <c r="D31" s="1571">
        <v>1015589</v>
      </c>
      <c r="E31" s="115" t="s">
        <v>6928</v>
      </c>
      <c r="F31" s="115" t="s">
        <v>6643</v>
      </c>
      <c r="G31" s="1571" t="s">
        <v>6929</v>
      </c>
      <c r="H31" s="115" t="s">
        <v>6930</v>
      </c>
      <c r="I31" s="468">
        <v>45839</v>
      </c>
      <c r="J31" s="1505">
        <v>45975</v>
      </c>
      <c r="K31" s="1314" t="s">
        <v>6931</v>
      </c>
      <c r="L31" s="736" t="str">
        <f t="shared" si="0"/>
        <v>Yes</v>
      </c>
      <c r="M31" s="12" t="s">
        <v>6932</v>
      </c>
      <c r="N31" s="469" t="s">
        <v>6933</v>
      </c>
      <c r="O31" s="192" t="s">
        <v>116</v>
      </c>
      <c r="P31" s="193" t="s">
        <v>115</v>
      </c>
      <c r="Q31" s="193" t="s">
        <v>115</v>
      </c>
      <c r="R31" s="193" t="s">
        <v>115</v>
      </c>
      <c r="S31" s="193" t="s">
        <v>115</v>
      </c>
      <c r="T31" s="1477" t="s">
        <v>6934</v>
      </c>
      <c r="U31" s="12" t="s">
        <v>6935</v>
      </c>
      <c r="V31" s="850">
        <v>45888</v>
      </c>
      <c r="W31" s="676" t="s">
        <v>6936</v>
      </c>
      <c r="X31" s="676" t="s">
        <v>6937</v>
      </c>
      <c r="Y31" s="676" t="str">
        <f>CRA_Projects[[#This Row],[BL to Shactee]]</f>
        <v>Drafting (8/19/2025)</v>
      </c>
      <c r="Z31" s="676" t="str">
        <f>CRA_Projects[[#This Row],[BL from Shactee]]</f>
        <v>Drafting (9/2/2025)</v>
      </c>
      <c r="AA31" s="851">
        <v>45891</v>
      </c>
      <c r="AB31" s="676">
        <v>45904</v>
      </c>
      <c r="AC31" s="468">
        <f>IF(CRA_Projects[[#This Row],[TDS (i.e. MOP main)]]="Y",CRA_Projects[[#This Row],[Engineering Approved Design Date]]-28,CRA_Projects[[#This Row],[Engineering Approved Design Date]]-21)</f>
        <v>45947</v>
      </c>
      <c r="AD31" s="468">
        <v>45912</v>
      </c>
      <c r="AE31" s="201" t="s">
        <v>116</v>
      </c>
      <c r="AF31" s="201" t="s">
        <v>116</v>
      </c>
      <c r="AG31" s="851" t="s">
        <v>376</v>
      </c>
      <c r="AH31" s="1605">
        <v>2</v>
      </c>
      <c r="AI31" s="9" t="s">
        <v>709</v>
      </c>
      <c r="AJ31" s="736" t="s">
        <v>6938</v>
      </c>
      <c r="AK31" s="736">
        <v>45845</v>
      </c>
      <c r="AL31" s="736">
        <v>45912</v>
      </c>
      <c r="AM31" s="473" t="s">
        <v>6939</v>
      </c>
      <c r="AN31" s="473">
        <v>45849</v>
      </c>
      <c r="AO31" s="676" t="s">
        <v>739</v>
      </c>
      <c r="AP31" s="473" t="s">
        <v>376</v>
      </c>
      <c r="AQ31" s="709"/>
      <c r="AR31" s="837">
        <v>150000</v>
      </c>
      <c r="AS31" s="751">
        <v>0.11</v>
      </c>
      <c r="AT31" s="751">
        <f>IF(OR(CRA_Projects[[#This Row],[Rate]]=12750,CRA_Projects[[#This Row],[Rate]]=14750,CRA_Projects[[#This Row],[Rate]]=9250), CRA_Projects[[#This Row],[Rate]], IF(CRA_Projects[[#This Row],[Project Type]]="COR", CRA_Projects[[#This Row],['# of design pages]]*5000, CRA_Projects[[#This Row],[Cost Estimate]] * CRA_Projects[[#This Row],[Rate]]))</f>
        <v>16500</v>
      </c>
      <c r="AU31" s="732"/>
      <c r="AV31" s="5" t="str">
        <f>IF(DAY(CRA_Projects[[#This Row],[Engineering Approved Design Date]]) &gt; 16, TEXT(EOMONTH(CRA_Projects[[#This Row],[Engineering Approved Design Date]], 0) + 1, "mmmm"), TEXT(EOMONTH(CRA_Projects[[#This Row],[Engineering Approved Design Date]], -1) + 1, "mmmm"))</f>
        <v>November</v>
      </c>
    </row>
    <row r="32" spans="1:48" ht="45.75" customHeight="1" x14ac:dyDescent="0.25">
      <c r="A32" s="115" t="s">
        <v>6816</v>
      </c>
      <c r="B32" s="115" t="s">
        <v>730</v>
      </c>
      <c r="C32" s="469" t="s">
        <v>7162</v>
      </c>
      <c r="D32" s="1571">
        <v>1014890</v>
      </c>
      <c r="E32" s="115" t="s">
        <v>2008</v>
      </c>
      <c r="F32" s="115" t="s">
        <v>6643</v>
      </c>
      <c r="G32" s="115" t="s">
        <v>7152</v>
      </c>
      <c r="H32" s="115" t="s">
        <v>6971</v>
      </c>
      <c r="I32" s="468">
        <v>45665</v>
      </c>
      <c r="J32" s="1505">
        <v>45975</v>
      </c>
      <c r="K32" s="1314" t="s">
        <v>7163</v>
      </c>
      <c r="L32" s="736" t="str">
        <f t="shared" si="0"/>
        <v>Yes</v>
      </c>
      <c r="M32" s="469" t="s">
        <v>7164</v>
      </c>
      <c r="N32" s="1204" t="s">
        <v>7165</v>
      </c>
      <c r="O32" s="192" t="s">
        <v>115</v>
      </c>
      <c r="P32" s="193" t="s">
        <v>743</v>
      </c>
      <c r="Q32" s="193" t="s">
        <v>115</v>
      </c>
      <c r="R32" s="193" t="s">
        <v>7166</v>
      </c>
      <c r="S32" s="193" t="s">
        <v>115</v>
      </c>
      <c r="T32" s="1477" t="s">
        <v>7167</v>
      </c>
      <c r="U32" s="1475" t="s">
        <v>7168</v>
      </c>
      <c r="V32" s="1315" t="s">
        <v>376</v>
      </c>
      <c r="W32" s="731" t="s">
        <v>7169</v>
      </c>
      <c r="X32" s="731" t="s">
        <v>7170</v>
      </c>
      <c r="Y32" s="731" t="s">
        <v>7169</v>
      </c>
      <c r="Z32" s="731" t="s">
        <v>7170</v>
      </c>
      <c r="AA32" s="676">
        <v>45930</v>
      </c>
      <c r="AB32" s="676">
        <v>45938</v>
      </c>
      <c r="AC32" s="685">
        <f>IF(CRA_Projects[[#This Row],[TDS (i.e. MOP main)]]="Y",CRA_Projects[[#This Row],[Engineering Approved Design Date]]-28,CRA_Projects[[#This Row],[Engineering Approved Design Date]]-21)</f>
        <v>45947</v>
      </c>
      <c r="AD32" s="468">
        <v>45950</v>
      </c>
      <c r="AE32" s="201" t="s">
        <v>116</v>
      </c>
      <c r="AF32" s="201" t="s">
        <v>709</v>
      </c>
      <c r="AG32" s="851">
        <v>45877</v>
      </c>
      <c r="AH32" s="1605">
        <v>3</v>
      </c>
      <c r="AI32" s="36" t="s">
        <v>709</v>
      </c>
      <c r="AJ32" s="201">
        <v>45890</v>
      </c>
      <c r="AK32" s="201">
        <v>45896</v>
      </c>
      <c r="AL32" s="473" t="s">
        <v>7171</v>
      </c>
      <c r="AM32" s="473">
        <v>45909</v>
      </c>
      <c r="AN32" s="473">
        <v>45909</v>
      </c>
      <c r="AO32" s="473" t="s">
        <v>376</v>
      </c>
      <c r="AP32" s="676" t="s">
        <v>29</v>
      </c>
      <c r="AQ32" s="709" t="s">
        <v>7046</v>
      </c>
      <c r="AR32" s="735">
        <v>150000</v>
      </c>
      <c r="AS32" s="1614">
        <v>0.11</v>
      </c>
      <c r="AT32" s="751">
        <f>IF(OR(CRA_Projects[[#This Row],[Rate]]=12750,CRA_Projects[[#This Row],[Rate]]=14750,CRA_Projects[[#This Row],[Rate]]=9250), CRA_Projects[[#This Row],[Rate]], IF(CRA_Projects[[#This Row],[Project Type]]="COR", CRA_Projects[[#This Row],['# of design pages]]*5000, CRA_Projects[[#This Row],[Cost Estimate]] * CRA_Projects[[#This Row],[Rate]]))</f>
        <v>16500</v>
      </c>
      <c r="AU32" s="856" t="s">
        <v>709</v>
      </c>
      <c r="AV32" s="752" t="str">
        <f>IF(DAY(CRA_Projects[[#This Row],[Engineering Approved Design Date]]) &gt; 16, TEXT(EOMONTH(CRA_Projects[[#This Row],[Engineering Approved Design Date]], 0) + 1, "mmmm"), TEXT(EOMONTH(CRA_Projects[[#This Row],[Engineering Approved Design Date]], -1) + 1, "mmmm"))</f>
        <v>November</v>
      </c>
    </row>
    <row r="33" spans="1:48" ht="75" x14ac:dyDescent="0.25">
      <c r="A33" s="532" t="s">
        <v>6926</v>
      </c>
      <c r="B33" s="532" t="s">
        <v>730</v>
      </c>
      <c r="C33" s="715" t="s">
        <v>6940</v>
      </c>
      <c r="D33" s="1570">
        <v>1015588</v>
      </c>
      <c r="E33" s="532" t="s">
        <v>2267</v>
      </c>
      <c r="F33" s="532" t="s">
        <v>6643</v>
      </c>
      <c r="G33" s="1570" t="s">
        <v>6929</v>
      </c>
      <c r="H33" s="1570" t="s">
        <v>6930</v>
      </c>
      <c r="I33" s="533">
        <v>45839</v>
      </c>
      <c r="J33" s="1583">
        <v>45978</v>
      </c>
      <c r="K33" s="1314" t="s">
        <v>6941</v>
      </c>
      <c r="L33" s="833" t="str">
        <f t="shared" si="0"/>
        <v>Yes</v>
      </c>
      <c r="M33" s="715" t="s">
        <v>6942</v>
      </c>
      <c r="N33" s="715" t="s">
        <v>6943</v>
      </c>
      <c r="O33" s="192" t="s">
        <v>116</v>
      </c>
      <c r="P33" s="193" t="s">
        <v>115</v>
      </c>
      <c r="Q33" s="193" t="s">
        <v>115</v>
      </c>
      <c r="R33" s="193" t="s">
        <v>115</v>
      </c>
      <c r="S33" s="193" t="s">
        <v>115</v>
      </c>
      <c r="T33" s="1477" t="s">
        <v>6944</v>
      </c>
      <c r="U33" s="12" t="s">
        <v>6945</v>
      </c>
      <c r="V33" s="850">
        <v>45880</v>
      </c>
      <c r="W33" s="675" t="s">
        <v>6946</v>
      </c>
      <c r="X33" s="675" t="s">
        <v>6947</v>
      </c>
      <c r="Y33" s="675" t="s">
        <v>6946</v>
      </c>
      <c r="Z33" s="675" t="s">
        <v>6947</v>
      </c>
      <c r="AA33" s="675">
        <v>45904</v>
      </c>
      <c r="AB33" s="675">
        <v>45909</v>
      </c>
      <c r="AC33" s="533">
        <f>IF(CRA_Projects[[#This Row],[TDS (i.e. MOP main)]]="Y",CRA_Projects[[#This Row],[Engineering Approved Design Date]]-28,CRA_Projects[[#This Row],[Engineering Approved Design Date]]-21)</f>
        <v>45950</v>
      </c>
      <c r="AD33" s="533">
        <v>45911</v>
      </c>
      <c r="AE33" s="201" t="s">
        <v>116</v>
      </c>
      <c r="AF33" s="201" t="s">
        <v>116</v>
      </c>
      <c r="AG33" s="851" t="s">
        <v>376</v>
      </c>
      <c r="AH33" s="1605">
        <v>1</v>
      </c>
      <c r="AI33" s="9" t="s">
        <v>709</v>
      </c>
      <c r="AJ33" s="736" t="s">
        <v>6948</v>
      </c>
      <c r="AK33" s="833">
        <v>45845</v>
      </c>
      <c r="AL33" s="833">
        <v>45880</v>
      </c>
      <c r="AM33" s="716" t="s">
        <v>6939</v>
      </c>
      <c r="AN33" s="716">
        <v>45849</v>
      </c>
      <c r="AO33" s="675">
        <v>45909</v>
      </c>
      <c r="AP33" s="716" t="s">
        <v>376</v>
      </c>
      <c r="AQ33" s="114"/>
      <c r="AR33" s="827">
        <v>100000</v>
      </c>
      <c r="AS33" s="751">
        <v>12750</v>
      </c>
      <c r="AT33" s="751">
        <f>IF(OR(CRA_Projects[[#This Row],[Rate]]=12750,CRA_Projects[[#This Row],[Rate]]=14750,CRA_Projects[[#This Row],[Rate]]=9250), CRA_Projects[[#This Row],[Rate]], IF(CRA_Projects[[#This Row],[Project Type]]="COR", CRA_Projects[[#This Row],['# of design pages]]*5000, CRA_Projects[[#This Row],[Cost Estimate]] * CRA_Projects[[#This Row],[Rate]]))</f>
        <v>12750</v>
      </c>
      <c r="AU33" s="832"/>
      <c r="AV33" s="5" t="str">
        <f>IF(DAY(CRA_Projects[[#This Row],[Engineering Approved Design Date]]) &gt; 16, TEXT(EOMONTH(CRA_Projects[[#This Row],[Engineering Approved Design Date]], 0) + 1, "mmmm"), TEXT(EOMONTH(CRA_Projects[[#This Row],[Engineering Approved Design Date]], -1) + 1, "mmmm"))</f>
        <v>December</v>
      </c>
    </row>
    <row r="34" spans="1:48" ht="75" x14ac:dyDescent="0.25">
      <c r="A34" s="115">
        <v>2025</v>
      </c>
      <c r="B34" s="115" t="s">
        <v>759</v>
      </c>
      <c r="C34" s="469" t="s">
        <v>7065</v>
      </c>
      <c r="D34" s="1571">
        <v>1014642</v>
      </c>
      <c r="E34" s="115" t="s">
        <v>104</v>
      </c>
      <c r="F34" s="115" t="s">
        <v>6643</v>
      </c>
      <c r="G34" s="115" t="s">
        <v>37</v>
      </c>
      <c r="H34" s="115" t="s">
        <v>6971</v>
      </c>
      <c r="I34" s="468">
        <v>45611</v>
      </c>
      <c r="J34" s="1505">
        <v>45992</v>
      </c>
      <c r="K34" s="1314" t="s">
        <v>7066</v>
      </c>
      <c r="L34" s="736" t="str">
        <f t="shared" si="0"/>
        <v>Yes</v>
      </c>
      <c r="M34" s="469" t="s">
        <v>7067</v>
      </c>
      <c r="N34" s="469" t="s">
        <v>7068</v>
      </c>
      <c r="O34" s="192" t="s">
        <v>116</v>
      </c>
      <c r="P34" s="193" t="s">
        <v>115</v>
      </c>
      <c r="Q34" s="193" t="s">
        <v>1232</v>
      </c>
      <c r="R34" s="193" t="s">
        <v>115</v>
      </c>
      <c r="S34" s="193" t="s">
        <v>115</v>
      </c>
      <c r="T34" s="1477" t="s">
        <v>7069</v>
      </c>
      <c r="U34" s="12" t="s">
        <v>7070</v>
      </c>
      <c r="V34" s="850">
        <v>45828</v>
      </c>
      <c r="W34" s="676" t="s">
        <v>4055</v>
      </c>
      <c r="X34" s="676" t="s">
        <v>4055</v>
      </c>
      <c r="Y34" s="676" t="s">
        <v>4055</v>
      </c>
      <c r="Z34" s="676" t="s">
        <v>4055</v>
      </c>
      <c r="AA34" s="676">
        <v>45852</v>
      </c>
      <c r="AB34" s="676">
        <v>45859</v>
      </c>
      <c r="AC34" s="468">
        <f>IF(CRA_Projects[[#This Row],[TDS (i.e. MOP main)]]="Y",CRA_Projects[[#This Row],[Engineering Approved Design Date]]-28,CRA_Projects[[#This Row],[Engineering Approved Design Date]]-21)</f>
        <v>45964</v>
      </c>
      <c r="AD34" s="468"/>
      <c r="AE34" s="201" t="s">
        <v>116</v>
      </c>
      <c r="AF34" s="201" t="s">
        <v>709</v>
      </c>
      <c r="AG34" s="851" t="s">
        <v>376</v>
      </c>
      <c r="AH34" s="1605">
        <v>3</v>
      </c>
      <c r="AI34" s="9" t="s">
        <v>709</v>
      </c>
      <c r="AJ34" s="736">
        <v>45621</v>
      </c>
      <c r="AK34" s="736">
        <v>45635</v>
      </c>
      <c r="AL34" s="473">
        <v>45688</v>
      </c>
      <c r="AM34" s="473">
        <v>45833</v>
      </c>
      <c r="AN34" s="473">
        <v>45833</v>
      </c>
      <c r="AO34" s="1317" t="s">
        <v>7071</v>
      </c>
      <c r="AP34" s="473" t="s">
        <v>6956</v>
      </c>
      <c r="AQ34" s="709" t="s">
        <v>7072</v>
      </c>
      <c r="AR34" s="837">
        <v>500000</v>
      </c>
      <c r="AS34" s="852" t="s">
        <v>1922</v>
      </c>
      <c r="AT34" s="852">
        <v>70000</v>
      </c>
      <c r="AU34" s="732" t="s">
        <v>709</v>
      </c>
      <c r="AV34" s="5" t="str">
        <f>IF(DAY(CRA_Projects[[#This Row],[Engineering Approved Design Date]]) &gt; 16, TEXT(EOMONTH(CRA_Projects[[#This Row],[Engineering Approved Design Date]], 0) + 1, "mmmm"), TEXT(EOMONTH(CRA_Projects[[#This Row],[Engineering Approved Design Date]], -1) + 1, "mmmm"))</f>
        <v>December</v>
      </c>
    </row>
    <row r="35" spans="1:48" ht="40.5" customHeight="1" x14ac:dyDescent="0.25">
      <c r="A35" s="115" t="s">
        <v>6926</v>
      </c>
      <c r="B35" s="115" t="s">
        <v>759</v>
      </c>
      <c r="C35" s="469" t="s">
        <v>7073</v>
      </c>
      <c r="D35" s="1571">
        <v>1015489</v>
      </c>
      <c r="E35" s="115" t="s">
        <v>783</v>
      </c>
      <c r="F35" s="115" t="s">
        <v>6643</v>
      </c>
      <c r="G35" s="115" t="s">
        <v>37</v>
      </c>
      <c r="H35" s="115" t="s">
        <v>6971</v>
      </c>
      <c r="I35" s="468">
        <v>45811</v>
      </c>
      <c r="J35" s="1505">
        <v>45996</v>
      </c>
      <c r="K35" s="1314" t="s">
        <v>7074</v>
      </c>
      <c r="L35" s="736" t="str">
        <f t="shared" si="0"/>
        <v>Yes</v>
      </c>
      <c r="M35" s="469" t="s">
        <v>7075</v>
      </c>
      <c r="N35" s="469" t="s">
        <v>7076</v>
      </c>
      <c r="O35" s="192" t="s">
        <v>116</v>
      </c>
      <c r="P35" s="193" t="s">
        <v>115</v>
      </c>
      <c r="Q35" s="193" t="s">
        <v>789</v>
      </c>
      <c r="R35" s="193" t="s">
        <v>115</v>
      </c>
      <c r="S35" s="193" t="s">
        <v>115</v>
      </c>
      <c r="T35" s="1477" t="s">
        <v>7077</v>
      </c>
      <c r="U35" s="12" t="s">
        <v>7078</v>
      </c>
      <c r="V35" s="850" t="s">
        <v>376</v>
      </c>
      <c r="W35" s="676" t="s">
        <v>4055</v>
      </c>
      <c r="X35" s="676" t="s">
        <v>4055</v>
      </c>
      <c r="Y35" s="676" t="s">
        <v>4055</v>
      </c>
      <c r="Z35" s="676" t="s">
        <v>4055</v>
      </c>
      <c r="AA35" s="676" t="s">
        <v>376</v>
      </c>
      <c r="AB35" s="676" t="s">
        <v>376</v>
      </c>
      <c r="AC35" s="468">
        <f>IF(CRA_Projects[[#This Row],[TDS (i.e. MOP main)]]="Y",CRA_Projects[[#This Row],[Engineering Approved Design Date]]-28,CRA_Projects[[#This Row],[Engineering Approved Design Date]]-21)</f>
        <v>45975</v>
      </c>
      <c r="AD35" s="468"/>
      <c r="AE35" s="201" t="s">
        <v>709</v>
      </c>
      <c r="AF35" s="201" t="s">
        <v>709</v>
      </c>
      <c r="AG35" s="851" t="s">
        <v>376</v>
      </c>
      <c r="AH35" s="1605" t="s">
        <v>376</v>
      </c>
      <c r="AI35" s="9" t="s">
        <v>709</v>
      </c>
      <c r="AJ35" s="536">
        <v>45813</v>
      </c>
      <c r="AK35" s="536">
        <v>45820</v>
      </c>
      <c r="AL35" s="850">
        <v>45875</v>
      </c>
      <c r="AM35" s="473" t="s">
        <v>376</v>
      </c>
      <c r="AN35" s="473" t="s">
        <v>376</v>
      </c>
      <c r="AO35" s="1317"/>
      <c r="AP35" s="473" t="s">
        <v>376</v>
      </c>
      <c r="AQ35" s="709" t="s">
        <v>7039</v>
      </c>
      <c r="AR35" s="837">
        <v>500000</v>
      </c>
      <c r="AS35" s="751">
        <v>0.11</v>
      </c>
      <c r="AT35" s="751">
        <f>IF(OR(CRA_Projects[[#This Row],[Rate]]=12750,CRA_Projects[[#This Row],[Rate]]=14750,CRA_Projects[[#This Row],[Rate]]=9250), CRA_Projects[[#This Row],[Rate]], IF(CRA_Projects[[#This Row],[Project Type]]="COR", CRA_Projects[[#This Row],['# of design pages]]*5000, CRA_Projects[[#This Row],[Cost Estimate]] * CRA_Projects[[#This Row],[Rate]]))</f>
        <v>55000</v>
      </c>
      <c r="AU35" s="732" t="s">
        <v>116</v>
      </c>
      <c r="AV35" s="5" t="str">
        <f>IF(DAY(CRA_Projects[[#This Row],[Engineering Approved Design Date]]) &gt; 16, TEXT(EOMONTH(CRA_Projects[[#This Row],[Engineering Approved Design Date]], 0) + 1, "mmmm"), TEXT(EOMONTH(CRA_Projects[[#This Row],[Engineering Approved Design Date]], -1) + 1, "mmmm"))</f>
        <v>December</v>
      </c>
    </row>
    <row r="36" spans="1:48" ht="60" x14ac:dyDescent="0.25">
      <c r="A36" s="115" t="s">
        <v>6926</v>
      </c>
      <c r="B36" s="115" t="s">
        <v>730</v>
      </c>
      <c r="C36" s="469" t="s">
        <v>7141</v>
      </c>
      <c r="D36" s="115"/>
      <c r="E36" s="115" t="s">
        <v>354</v>
      </c>
      <c r="F36" s="115" t="s">
        <v>6643</v>
      </c>
      <c r="G36" s="115" t="s">
        <v>34</v>
      </c>
      <c r="H36" s="115" t="s">
        <v>6985</v>
      </c>
      <c r="I36" s="468">
        <v>45915</v>
      </c>
      <c r="J36" s="1679">
        <v>46013</v>
      </c>
      <c r="K36" s="1314" t="s">
        <v>6986</v>
      </c>
      <c r="L36" s="1680" t="str">
        <f t="shared" si="0"/>
        <v>Yes</v>
      </c>
      <c r="M36" s="469" t="s">
        <v>7142</v>
      </c>
      <c r="N36" s="709" t="s">
        <v>7143</v>
      </c>
      <c r="O36" s="1678" t="s">
        <v>709</v>
      </c>
      <c r="P36" s="1474" t="s">
        <v>116</v>
      </c>
      <c r="Q36" s="1755" t="s">
        <v>115</v>
      </c>
      <c r="R36" s="1474" t="s">
        <v>116</v>
      </c>
      <c r="S36" s="1755" t="s">
        <v>115</v>
      </c>
      <c r="T36" s="1477" t="s">
        <v>7144</v>
      </c>
      <c r="U36" s="12" t="s">
        <v>7145</v>
      </c>
      <c r="V36" s="676" t="s">
        <v>376</v>
      </c>
      <c r="W36" s="1682"/>
      <c r="X36" s="676"/>
      <c r="Y36" s="1682"/>
      <c r="Z36" s="1682"/>
      <c r="AA36" s="1682"/>
      <c r="AB36" s="676"/>
      <c r="AC36" s="468">
        <f>IF(CRA_Projects[[#This Row],[TDS (i.e. MOP main)]]="Y",CRA_Projects[[#This Row],[Engineering Approved Design Date]]-28,CRA_Projects[[#This Row],[Engineering Approved Design Date]]-21)</f>
        <v>45985</v>
      </c>
      <c r="AD36" s="468"/>
      <c r="AE36" s="201" t="s">
        <v>116</v>
      </c>
      <c r="AF36" s="1682" t="s">
        <v>709</v>
      </c>
      <c r="AG36" s="1682"/>
      <c r="AH36" s="1605"/>
      <c r="AI36" s="736"/>
      <c r="AJ36" s="473">
        <v>45915</v>
      </c>
      <c r="AK36" s="736"/>
      <c r="AL36" s="473"/>
      <c r="AM36" s="473"/>
      <c r="AN36" s="473"/>
      <c r="AO36" s="1681"/>
      <c r="AP36" s="473" t="s">
        <v>6956</v>
      </c>
      <c r="AQ36" s="709" t="s">
        <v>7090</v>
      </c>
      <c r="AR36" s="837"/>
      <c r="AS36" s="751">
        <v>12750</v>
      </c>
      <c r="AT36" s="751">
        <f>IF(OR(CRA_Projects[[#This Row],[Rate]]=12750,CRA_Projects[[#This Row],[Rate]]=14750,CRA_Projects[[#This Row],[Rate]]=9250), CRA_Projects[[#This Row],[Rate]], IF(CRA_Projects[[#This Row],[Project Type]]="COR", CRA_Projects[[#This Row],['# of design pages]]*5000, CRA_Projects[[#This Row],[Cost Estimate]] * CRA_Projects[[#This Row],[Rate]]))</f>
        <v>12750</v>
      </c>
      <c r="AU36" s="732" t="s">
        <v>376</v>
      </c>
      <c r="AV36" s="5" t="str">
        <f>IF(DAY(CRA_Projects[[#This Row],[Engineering Approved Design Date]]) &gt; 16, TEXT(EOMONTH(CRA_Projects[[#This Row],[Engineering Approved Design Date]], 0) + 1, "mmmm"), TEXT(EOMONTH(CRA_Projects[[#This Row],[Engineering Approved Design Date]], -1) + 1, "mmmm"))</f>
        <v>January</v>
      </c>
    </row>
    <row r="37" spans="1:48" ht="60" x14ac:dyDescent="0.25">
      <c r="A37" s="115" t="s">
        <v>6926</v>
      </c>
      <c r="B37" s="115" t="s">
        <v>730</v>
      </c>
      <c r="C37" s="469" t="s">
        <v>7086</v>
      </c>
      <c r="D37" s="115"/>
      <c r="E37" s="115" t="s">
        <v>354</v>
      </c>
      <c r="F37" s="115" t="s">
        <v>6643</v>
      </c>
      <c r="G37" s="115" t="s">
        <v>37</v>
      </c>
      <c r="H37" s="115" t="s">
        <v>6985</v>
      </c>
      <c r="I37" s="468">
        <v>45915</v>
      </c>
      <c r="J37" s="1679">
        <v>46013</v>
      </c>
      <c r="K37" s="1314" t="s">
        <v>6986</v>
      </c>
      <c r="L37" s="1680" t="str">
        <f t="shared" si="0"/>
        <v>Yes</v>
      </c>
      <c r="M37" s="469" t="s">
        <v>7087</v>
      </c>
      <c r="N37" s="709" t="s">
        <v>7088</v>
      </c>
      <c r="O37" s="1678"/>
      <c r="P37" s="1474"/>
      <c r="Q37" s="1474"/>
      <c r="R37" s="1474"/>
      <c r="S37" s="1474"/>
      <c r="T37" s="1477" t="s">
        <v>7089</v>
      </c>
      <c r="U37" s="12"/>
      <c r="V37" s="850" t="s">
        <v>376</v>
      </c>
      <c r="W37" s="676"/>
      <c r="X37" s="676"/>
      <c r="Y37" s="676"/>
      <c r="Z37" s="676"/>
      <c r="AA37" s="676"/>
      <c r="AB37" s="676"/>
      <c r="AC37" s="468">
        <f>IF(CRA_Projects[[#This Row],[TDS (i.e. MOP main)]]="Y",CRA_Projects[[#This Row],[Engineering Approved Design Date]]-28,CRA_Projects[[#This Row],[Engineering Approved Design Date]]-21)</f>
        <v>45985</v>
      </c>
      <c r="AD37" s="468"/>
      <c r="AE37" s="201" t="s">
        <v>116</v>
      </c>
      <c r="AF37" s="201" t="s">
        <v>709</v>
      </c>
      <c r="AG37" s="851"/>
      <c r="AH37" s="1605"/>
      <c r="AI37" s="9"/>
      <c r="AJ37" s="536">
        <v>45915</v>
      </c>
      <c r="AK37" s="536"/>
      <c r="AL37" s="473"/>
      <c r="AM37" s="473"/>
      <c r="AN37" s="473"/>
      <c r="AO37" s="1681"/>
      <c r="AP37" s="1690"/>
      <c r="AQ37" s="709" t="s">
        <v>7090</v>
      </c>
      <c r="AR37" s="1691"/>
      <c r="AS37" s="751"/>
      <c r="AT37" s="751">
        <f>IF(OR(CRA_Projects[[#This Row],[Rate]]=12750,CRA_Projects[[#This Row],[Rate]]=14750,CRA_Projects[[#This Row],[Rate]]=9250), CRA_Projects[[#This Row],[Rate]], IF(CRA_Projects[[#This Row],[Project Type]]="COR", CRA_Projects[[#This Row],['# of design pages]]*5000, CRA_Projects[[#This Row],[Cost Estimate]] * CRA_Projects[[#This Row],[Rate]]))</f>
        <v>0</v>
      </c>
      <c r="AU37" s="732"/>
      <c r="AV37" s="5" t="str">
        <f>IF(DAY(CRA_Projects[[#This Row],[Engineering Approved Design Date]]) &gt; 16, TEXT(EOMONTH(CRA_Projects[[#This Row],[Engineering Approved Design Date]], 0) + 1, "mmmm"), TEXT(EOMONTH(CRA_Projects[[#This Row],[Engineering Approved Design Date]], -1) + 1, "mmmm"))</f>
        <v>January</v>
      </c>
    </row>
    <row r="38" spans="1:48" ht="60" x14ac:dyDescent="0.25">
      <c r="A38" s="115" t="s">
        <v>6926</v>
      </c>
      <c r="B38" s="115" t="s">
        <v>730</v>
      </c>
      <c r="C38" s="469" t="s">
        <v>6984</v>
      </c>
      <c r="D38" s="115"/>
      <c r="E38" s="115" t="s">
        <v>3710</v>
      </c>
      <c r="F38" s="115" t="s">
        <v>6643</v>
      </c>
      <c r="G38" s="115" t="s">
        <v>26</v>
      </c>
      <c r="H38" s="115" t="s">
        <v>6985</v>
      </c>
      <c r="I38" s="468">
        <v>45915</v>
      </c>
      <c r="J38" s="1679"/>
      <c r="K38" s="1314" t="s">
        <v>6986</v>
      </c>
      <c r="L38" s="1680" t="str">
        <f t="shared" si="0"/>
        <v>Yes</v>
      </c>
      <c r="M38" s="469" t="s">
        <v>6987</v>
      </c>
      <c r="N38" s="709" t="s">
        <v>6988</v>
      </c>
      <c r="O38" s="1678"/>
      <c r="P38" s="1474"/>
      <c r="Q38" s="1474"/>
      <c r="R38" s="1474"/>
      <c r="S38" s="1474"/>
      <c r="T38" s="1477" t="s">
        <v>6989</v>
      </c>
      <c r="U38" s="12"/>
      <c r="V38" s="850" t="s">
        <v>376</v>
      </c>
      <c r="W38" s="1696"/>
      <c r="X38" s="1317"/>
      <c r="Y38" s="1318"/>
      <c r="Z38" s="1318"/>
      <c r="AA38" s="1318"/>
      <c r="AB38" s="1317"/>
      <c r="AC38" s="468">
        <f>IF(CRA_Projects[[#This Row],[TDS (i.e. MOP main)]]="Y",CRA_Projects[[#This Row],[Engineering Approved Design Date]]-28,CRA_Projects[[#This Row],[Engineering Approved Design Date]]-21)</f>
        <v>-21</v>
      </c>
      <c r="AD38" s="468"/>
      <c r="AE38" s="835"/>
      <c r="AF38" s="1695"/>
      <c r="AG38" s="1606"/>
      <c r="AH38" s="1605"/>
      <c r="AI38" s="9"/>
      <c r="AJ38" s="1680"/>
      <c r="AK38" s="736"/>
      <c r="AL38" s="473"/>
      <c r="AM38" s="473"/>
      <c r="AN38" s="473"/>
      <c r="AO38" s="1681"/>
      <c r="AP38" s="1690"/>
      <c r="AQ38" s="709" t="s">
        <v>6990</v>
      </c>
      <c r="AR38" s="1691"/>
      <c r="AS38" s="751"/>
      <c r="AT38" s="751">
        <f>IF(OR(CRA_Projects[[#This Row],[Rate]]=12750,CRA_Projects[[#This Row],[Rate]]=14750,CRA_Projects[[#This Row],[Rate]]=9250), CRA_Projects[[#This Row],[Rate]], IF(CRA_Projects[[#This Row],[Project Type]]="COR", CRA_Projects[[#This Row],['# of design pages]]*5000, CRA_Projects[[#This Row],[Cost Estimate]] * CRA_Projects[[#This Row],[Rate]]))</f>
        <v>0</v>
      </c>
      <c r="AU38" s="732"/>
      <c r="AV38" s="5" t="e">
        <f>IF(DAY(CRA_Projects[[#This Row],[Engineering Approved Design Date]]) &gt; 16, TEXT(EOMONTH(CRA_Projects[[#This Row],[Engineering Approved Design Date]], 0) + 1, "mmmm"), TEXT(EOMONTH(CRA_Projects[[#This Row],[Engineering Approved Design Date]], -1) + 1, "mmmm"))</f>
        <v>#NUM!</v>
      </c>
    </row>
    <row r="39" spans="1:48" ht="75" x14ac:dyDescent="0.25">
      <c r="A39" s="115" t="s">
        <v>6926</v>
      </c>
      <c r="B39" s="115" t="s">
        <v>730</v>
      </c>
      <c r="C39" s="469" t="s">
        <v>6991</v>
      </c>
      <c r="D39" s="115"/>
      <c r="E39" s="115" t="s">
        <v>2375</v>
      </c>
      <c r="F39" s="115" t="s">
        <v>6643</v>
      </c>
      <c r="G39" s="115" t="s">
        <v>26</v>
      </c>
      <c r="H39" s="115" t="s">
        <v>6985</v>
      </c>
      <c r="I39" s="468">
        <v>45915</v>
      </c>
      <c r="J39" s="1679"/>
      <c r="K39" s="1314" t="s">
        <v>6986</v>
      </c>
      <c r="L39" s="1680" t="str">
        <f t="shared" si="0"/>
        <v>Yes</v>
      </c>
      <c r="M39" s="469" t="s">
        <v>6992</v>
      </c>
      <c r="N39" s="709" t="s">
        <v>6993</v>
      </c>
      <c r="O39" s="1678"/>
      <c r="P39" s="1474"/>
      <c r="Q39" s="1474"/>
      <c r="R39" s="1474"/>
      <c r="S39" s="1474"/>
      <c r="T39" s="1477" t="s">
        <v>6994</v>
      </c>
      <c r="U39" s="12"/>
      <c r="V39" s="850" t="s">
        <v>376</v>
      </c>
      <c r="W39" s="1696"/>
      <c r="X39" s="1317"/>
      <c r="Y39" s="1318"/>
      <c r="Z39" s="1318"/>
      <c r="AA39" s="1318"/>
      <c r="AB39" s="1317"/>
      <c r="AC39" s="468">
        <f>IF(CRA_Projects[[#This Row],[TDS (i.e. MOP main)]]="Y",CRA_Projects[[#This Row],[Engineering Approved Design Date]]-28,CRA_Projects[[#This Row],[Engineering Approved Design Date]]-21)</f>
        <v>-21</v>
      </c>
      <c r="AD39" s="468"/>
      <c r="AE39" s="835"/>
      <c r="AF39" s="1695"/>
      <c r="AG39" s="1606"/>
      <c r="AH39" s="1605"/>
      <c r="AI39" s="9"/>
      <c r="AJ39" s="1680"/>
      <c r="AK39" s="736"/>
      <c r="AL39" s="473"/>
      <c r="AM39" s="473"/>
      <c r="AN39" s="473"/>
      <c r="AO39" s="1681"/>
      <c r="AP39" s="1690"/>
      <c r="AQ39" s="709" t="s">
        <v>6990</v>
      </c>
      <c r="AR39" s="1691"/>
      <c r="AS39" s="751"/>
      <c r="AT39" s="751">
        <f>IF(OR(CRA_Projects[[#This Row],[Rate]]=12750,CRA_Projects[[#This Row],[Rate]]=14750,CRA_Projects[[#This Row],[Rate]]=9250), CRA_Projects[[#This Row],[Rate]], IF(CRA_Projects[[#This Row],[Project Type]]="COR", CRA_Projects[[#This Row],['# of design pages]]*5000, CRA_Projects[[#This Row],[Cost Estimate]] * CRA_Projects[[#This Row],[Rate]]))</f>
        <v>0</v>
      </c>
      <c r="AU39" s="732"/>
      <c r="AV39" s="5" t="e">
        <f>IF(DAY(CRA_Projects[[#This Row],[Engineering Approved Design Date]]) &gt; 16, TEXT(EOMONTH(CRA_Projects[[#This Row],[Engineering Approved Design Date]], 0) + 1, "mmmm"), TEXT(EOMONTH(CRA_Projects[[#This Row],[Engineering Approved Design Date]], -1) + 1, "mmmm"))</f>
        <v>#NUM!</v>
      </c>
    </row>
    <row r="40" spans="1:48" ht="45" x14ac:dyDescent="0.25">
      <c r="A40" s="115" t="s">
        <v>6926</v>
      </c>
      <c r="B40" s="115" t="s">
        <v>730</v>
      </c>
      <c r="C40" s="469" t="s">
        <v>7091</v>
      </c>
      <c r="D40" s="115"/>
      <c r="E40" s="115" t="s">
        <v>2375</v>
      </c>
      <c r="F40" s="115" t="s">
        <v>6643</v>
      </c>
      <c r="G40" s="115" t="s">
        <v>37</v>
      </c>
      <c r="H40" s="115" t="s">
        <v>7092</v>
      </c>
      <c r="I40" s="468">
        <v>45917</v>
      </c>
      <c r="J40" s="1679">
        <v>46034</v>
      </c>
      <c r="K40" s="1314" t="s">
        <v>7093</v>
      </c>
      <c r="L40" s="1680" t="str">
        <f t="shared" si="0"/>
        <v>Yes</v>
      </c>
      <c r="M40" s="469" t="s">
        <v>7094</v>
      </c>
      <c r="N40" s="709" t="s">
        <v>7095</v>
      </c>
      <c r="O40" s="1678"/>
      <c r="P40" s="1474"/>
      <c r="Q40" s="1474"/>
      <c r="R40" s="1474"/>
      <c r="S40" s="1474"/>
      <c r="T40" s="1725"/>
      <c r="U40" s="12"/>
      <c r="V40" s="850"/>
      <c r="W40" s="1696"/>
      <c r="X40" s="1317"/>
      <c r="Y40" s="1318"/>
      <c r="Z40" s="1318"/>
      <c r="AA40" s="1318"/>
      <c r="AB40" s="1317"/>
      <c r="AC40" s="468">
        <f>IF(CRA_Projects[[#This Row],[TDS (i.e. MOP main)]]="Y",CRA_Projects[[#This Row],[Engineering Approved Design Date]]-28,CRA_Projects[[#This Row],[Engineering Approved Design Date]]-21)</f>
        <v>46013</v>
      </c>
      <c r="AD40" s="468"/>
      <c r="AE40" s="835"/>
      <c r="AF40" s="1695"/>
      <c r="AG40" s="1606"/>
      <c r="AH40" s="1605"/>
      <c r="AI40" s="9"/>
      <c r="AJ40" s="1680"/>
      <c r="AK40" s="736"/>
      <c r="AL40" s="473"/>
      <c r="AM40" s="473"/>
      <c r="AN40" s="473"/>
      <c r="AO40" s="1681"/>
      <c r="AP40" s="1690"/>
      <c r="AQ40" s="709"/>
      <c r="AR40" s="1691"/>
      <c r="AS40" s="751"/>
      <c r="AT40" s="751">
        <f>IF(OR(CRA_Projects[[#This Row],[Rate]]=12750,CRA_Projects[[#This Row],[Rate]]=14750,CRA_Projects[[#This Row],[Rate]]=9250), CRA_Projects[[#This Row],[Rate]], IF(CRA_Projects[[#This Row],[Project Type]]="COR", CRA_Projects[[#This Row],['# of design pages]]*5000, CRA_Projects[[#This Row],[Cost Estimate]] * CRA_Projects[[#This Row],[Rate]]))</f>
        <v>0</v>
      </c>
      <c r="AU40" s="732"/>
      <c r="AV40" s="5" t="str">
        <f>IF(DAY(CRA_Projects[[#This Row],[Engineering Approved Design Date]]) &gt; 16, TEXT(EOMONTH(CRA_Projects[[#This Row],[Engineering Approved Design Date]], 0) + 1, "mmmm"), TEXT(EOMONTH(CRA_Projects[[#This Row],[Engineering Approved Design Date]], -1) + 1, "mmmm"))</f>
        <v>January</v>
      </c>
    </row>
    <row r="41" spans="1:48" ht="15" customHeight="1" x14ac:dyDescent="0.25">
      <c r="A41" s="115" t="s">
        <v>6926</v>
      </c>
      <c r="B41" s="115" t="s">
        <v>730</v>
      </c>
      <c r="C41" s="469" t="s">
        <v>7146</v>
      </c>
      <c r="D41" s="115"/>
      <c r="E41" s="115" t="s">
        <v>7147</v>
      </c>
      <c r="F41" s="115" t="s">
        <v>6643</v>
      </c>
      <c r="G41" s="115" t="s">
        <v>34</v>
      </c>
      <c r="H41" s="115" t="s">
        <v>7092</v>
      </c>
      <c r="I41" s="468">
        <v>45917</v>
      </c>
      <c r="J41" s="1679">
        <v>46055</v>
      </c>
      <c r="K41" s="1314" t="s">
        <v>7093</v>
      </c>
      <c r="L41" s="1680" t="str">
        <f t="shared" si="0"/>
        <v>Yes</v>
      </c>
      <c r="M41" s="469" t="s">
        <v>7148</v>
      </c>
      <c r="N41" s="709" t="s">
        <v>7149</v>
      </c>
      <c r="O41" s="1678"/>
      <c r="P41" s="1474"/>
      <c r="Q41" s="1474"/>
      <c r="R41" s="1474"/>
      <c r="S41" s="1474"/>
      <c r="T41" s="1725"/>
      <c r="U41" s="12"/>
      <c r="V41" s="850"/>
      <c r="W41" s="1696"/>
      <c r="X41" s="1317"/>
      <c r="Y41" s="1318"/>
      <c r="Z41" s="1318"/>
      <c r="AA41" s="1318"/>
      <c r="AB41" s="1317"/>
      <c r="AC41" s="468">
        <f>IF(CRA_Projects[[#This Row],[TDS (i.e. MOP main)]]="Y",CRA_Projects[[#This Row],[Engineering Approved Design Date]]-28,CRA_Projects[[#This Row],[Engineering Approved Design Date]]-21)</f>
        <v>46034</v>
      </c>
      <c r="AD41" s="468"/>
      <c r="AE41" s="835"/>
      <c r="AF41" s="1695"/>
      <c r="AG41" s="1606"/>
      <c r="AH41" s="1605"/>
      <c r="AI41" s="9"/>
      <c r="AJ41" s="1680"/>
      <c r="AK41" s="736"/>
      <c r="AL41" s="473"/>
      <c r="AM41" s="473"/>
      <c r="AN41" s="473"/>
      <c r="AO41" s="1681"/>
      <c r="AP41" s="1690"/>
      <c r="AQ41" s="709"/>
      <c r="AR41" s="1691"/>
      <c r="AS41" s="751"/>
      <c r="AT41" s="751">
        <f>IF(OR(CRA_Projects[[#This Row],[Rate]]=12750,CRA_Projects[[#This Row],[Rate]]=14750,CRA_Projects[[#This Row],[Rate]]=9250), CRA_Projects[[#This Row],[Rate]], IF(CRA_Projects[[#This Row],[Project Type]]="COR", CRA_Projects[[#This Row],['# of design pages]]*5000, CRA_Projects[[#This Row],[Cost Estimate]] * CRA_Projects[[#This Row],[Rate]]))</f>
        <v>0</v>
      </c>
      <c r="AU41" s="732"/>
      <c r="AV41" s="5" t="str">
        <f>IF(DAY(CRA_Projects[[#This Row],[Engineering Approved Design Date]]) &gt; 16, TEXT(EOMONTH(CRA_Projects[[#This Row],[Engineering Approved Design Date]], 0) + 1, "mmmm"), TEXT(EOMONTH(CRA_Projects[[#This Row],[Engineering Approved Design Date]], -1) + 1, "mmmm"))</f>
        <v>February</v>
      </c>
    </row>
    <row r="42" spans="1:48" ht="15" customHeight="1" x14ac:dyDescent="0.25">
      <c r="A42" s="778"/>
      <c r="B42" s="778"/>
      <c r="C42" s="778"/>
      <c r="D42" s="778"/>
      <c r="E42" s="778"/>
      <c r="F42" s="778"/>
      <c r="G42" s="778"/>
      <c r="H42" s="778"/>
      <c r="I42" s="755"/>
      <c r="J42" s="1199"/>
      <c r="L42" s="536"/>
      <c r="M42" s="12"/>
      <c r="N42" s="12"/>
      <c r="O42" s="5"/>
      <c r="P42" s="1474"/>
      <c r="Q42" s="1474"/>
      <c r="R42" s="1474"/>
      <c r="S42" s="1474"/>
      <c r="T42" s="1474"/>
      <c r="U42" s="12"/>
      <c r="V42" s="850"/>
      <c r="W42" s="851"/>
      <c r="X42" s="851"/>
      <c r="Y42" s="1205"/>
      <c r="Z42" s="1205"/>
      <c r="AA42" s="1205"/>
      <c r="AB42" s="851"/>
      <c r="AC42" s="755"/>
      <c r="AD42" s="755"/>
      <c r="AE42" s="573"/>
      <c r="AF42" s="573"/>
      <c r="AG42" s="851"/>
      <c r="AH42" s="1605"/>
      <c r="AI42" s="9"/>
      <c r="AJ42" s="536"/>
      <c r="AK42" s="536"/>
      <c r="AL42" s="850"/>
      <c r="AM42" s="850"/>
      <c r="AN42" s="850"/>
      <c r="AO42" s="851"/>
      <c r="AP42" s="850"/>
      <c r="AQ42" s="1202"/>
      <c r="AR42" s="1206"/>
      <c r="AS42" s="852"/>
      <c r="AT42" s="852"/>
      <c r="AU42" s="1203"/>
      <c r="AV42" s="5"/>
    </row>
    <row r="43" spans="1:48" ht="15" customHeight="1" x14ac:dyDescent="0.25">
      <c r="A43" s="778"/>
      <c r="B43" s="778"/>
      <c r="C43" s="778"/>
      <c r="D43" s="778"/>
      <c r="E43" s="778"/>
      <c r="F43" s="778"/>
      <c r="G43" s="778"/>
      <c r="H43" s="778"/>
      <c r="I43" s="755"/>
      <c r="J43" s="1199"/>
      <c r="L43" s="536"/>
      <c r="M43" s="12"/>
      <c r="N43" s="12"/>
      <c r="O43" s="5"/>
      <c r="P43" s="1474"/>
      <c r="Q43" s="1474"/>
      <c r="R43" s="1474"/>
      <c r="S43" s="1474"/>
      <c r="T43" s="1474"/>
      <c r="U43" s="12"/>
      <c r="V43" s="850"/>
      <c r="W43" s="851"/>
      <c r="X43" s="851"/>
      <c r="Y43" s="1205"/>
      <c r="Z43" s="1205"/>
      <c r="AA43" s="1205"/>
      <c r="AB43" s="851"/>
      <c r="AC43" s="755"/>
      <c r="AD43" s="755"/>
      <c r="AE43" s="573"/>
      <c r="AF43" s="573"/>
      <c r="AG43" s="851"/>
      <c r="AH43" s="1605"/>
      <c r="AI43" s="9"/>
      <c r="AJ43" s="536"/>
      <c r="AK43" s="536"/>
      <c r="AL43" s="850"/>
      <c r="AM43" s="850"/>
      <c r="AN43" s="850"/>
      <c r="AO43" s="851"/>
      <c r="AP43" s="850"/>
      <c r="AQ43" s="1202"/>
      <c r="AR43" s="1206"/>
      <c r="AS43" s="852"/>
      <c r="AT43" s="852"/>
      <c r="AU43" s="1203"/>
      <c r="AV43" s="5"/>
    </row>
    <row r="44" spans="1:48" ht="15" customHeight="1" x14ac:dyDescent="0.25">
      <c r="B44" s="1789" t="s">
        <v>7180</v>
      </c>
      <c r="C44" s="1789"/>
      <c r="D44" s="1789"/>
    </row>
    <row r="45" spans="1:48" ht="15" customHeight="1" x14ac:dyDescent="0.25">
      <c r="B45" s="5"/>
      <c r="C45" s="5" t="s">
        <v>7181</v>
      </c>
      <c r="D45" s="5" t="s">
        <v>7182</v>
      </c>
    </row>
    <row r="46" spans="1:48" ht="15" customHeight="1" x14ac:dyDescent="0.25">
      <c r="B46" t="s">
        <v>7183</v>
      </c>
      <c r="C46">
        <f>SUMIFS(AT:AT, AV:AV, "January", L:L, "No")</f>
        <v>0</v>
      </c>
      <c r="D46">
        <f>SUMIFS(AT:AT, AV:AV, "January", L:L, "Yes")</f>
        <v>12750</v>
      </c>
      <c r="N46" s="66" t="s">
        <v>41</v>
      </c>
    </row>
    <row r="47" spans="1:48" ht="15" customHeight="1" x14ac:dyDescent="0.25">
      <c r="B47" t="s">
        <v>7184</v>
      </c>
      <c r="C47">
        <f>SUMIFS(AT:AT, AV:AV, "February", L:L, "No")</f>
        <v>21000</v>
      </c>
      <c r="D47">
        <f>SUMIFS(AT:AT, AV:AV, "February", L:L, "Yes")</f>
        <v>39500</v>
      </c>
      <c r="N47" s="66" t="s">
        <v>41</v>
      </c>
    </row>
    <row r="48" spans="1:48" ht="15" customHeight="1" x14ac:dyDescent="0.25">
      <c r="B48" t="s">
        <v>7185</v>
      </c>
      <c r="C48">
        <f>SUMIFS(AT:AT, AV:AV, "March", L:L, "No")</f>
        <v>0</v>
      </c>
      <c r="D48">
        <f>SUMIFS(AT:AT, AV:AV, "March", L:L, "Yes")</f>
        <v>0</v>
      </c>
    </row>
    <row r="49" spans="2:10" ht="15" customHeight="1" x14ac:dyDescent="0.25">
      <c r="B49" t="s">
        <v>7186</v>
      </c>
      <c r="C49">
        <f>SUMIFS(AT:AT, AV:AV, "April", L:L, "No")</f>
        <v>0</v>
      </c>
      <c r="D49">
        <f>SUMIFS(AT:AT, AV:AV, "April", L:L, "Yes")</f>
        <v>0</v>
      </c>
    </row>
    <row r="50" spans="2:10" ht="15" customHeight="1" x14ac:dyDescent="0.25">
      <c r="B50" t="s">
        <v>7187</v>
      </c>
      <c r="C50">
        <f>SUMIFS(AT:AT, AV:AV, "May", L:L, "No")</f>
        <v>0</v>
      </c>
      <c r="D50">
        <f>SUMIFS(AT:AT, AV:AV, "May", L:L, "Yes")</f>
        <v>0</v>
      </c>
    </row>
    <row r="51" spans="2:10" ht="15" customHeight="1" x14ac:dyDescent="0.25">
      <c r="B51" t="s">
        <v>7188</v>
      </c>
      <c r="C51">
        <f>SUMIFS(AT:AT, AV:AV, "June", L:L, "No")</f>
        <v>0</v>
      </c>
      <c r="D51">
        <f>SUMIFS(AT:AT, AV:AV, "June", L:L, "Yes")</f>
        <v>0</v>
      </c>
    </row>
    <row r="52" spans="2:10" ht="15" customHeight="1" x14ac:dyDescent="0.25">
      <c r="B52" t="s">
        <v>7189</v>
      </c>
      <c r="C52">
        <f>SUMIFS(AT:AT, AV:AV, "July", L:L, "No")</f>
        <v>0</v>
      </c>
      <c r="D52">
        <f>SUMIFS(AT:AT, AV:AV, "July", L:L, "Yes")</f>
        <v>0</v>
      </c>
    </row>
    <row r="53" spans="2:10" ht="15" customHeight="1" x14ac:dyDescent="0.25">
      <c r="B53" t="s">
        <v>7190</v>
      </c>
      <c r="C53">
        <f>SUMIFS(AT:AT, AV:AV, "August", L:L, "No")</f>
        <v>0</v>
      </c>
      <c r="D53">
        <f>SUMIFS(AT:AT, AV:AV, "August", L:L, "Yes")</f>
        <v>0</v>
      </c>
    </row>
    <row r="54" spans="2:10" ht="15" customHeight="1" x14ac:dyDescent="0.25">
      <c r="B54" s="4" t="s">
        <v>7191</v>
      </c>
      <c r="C54">
        <f>SUMIFS(AT:AT, AV:AV, "September", L:L, "No")</f>
        <v>0</v>
      </c>
      <c r="D54">
        <f>SUMIFS(AT:AT, AV:AV, "September", L:L, "Yes")</f>
        <v>0</v>
      </c>
      <c r="H54" t="s">
        <v>41</v>
      </c>
    </row>
    <row r="55" spans="2:10" ht="15" customHeight="1" x14ac:dyDescent="0.25">
      <c r="B55" t="s">
        <v>7192</v>
      </c>
      <c r="C55">
        <f>SUMIFS(AT:AT, AV:AV, "October", L:L, "No")</f>
        <v>12000</v>
      </c>
      <c r="D55">
        <f>SUMIFS(AT:AT, AV:AV, "October", L:L, "Yes")</f>
        <v>209000</v>
      </c>
    </row>
    <row r="56" spans="2:10" ht="15" customHeight="1" x14ac:dyDescent="0.25">
      <c r="B56" t="s">
        <v>7193</v>
      </c>
      <c r="C56">
        <f>SUMIFS(AT:AT, AV:AV, "November", L:L, "No")</f>
        <v>7000</v>
      </c>
      <c r="D56">
        <f>SUMIFS(AT:AT, AV:AV, "November", L:L, "Yes")</f>
        <v>221550</v>
      </c>
    </row>
    <row r="57" spans="2:10" ht="15" customHeight="1" x14ac:dyDescent="0.25">
      <c r="B57" t="s">
        <v>7194</v>
      </c>
      <c r="C57">
        <f>SUMIFS(AT:AT, AV:AV, "December", L:L, "No")</f>
        <v>42000</v>
      </c>
      <c r="D57">
        <f>SUMIFS(AT:AT, AV:AV, "December", L:L, "Yes")</f>
        <v>230750</v>
      </c>
      <c r="I57" t="s">
        <v>41</v>
      </c>
    </row>
    <row r="58" spans="2:10" ht="15" customHeight="1" x14ac:dyDescent="0.25">
      <c r="H58" t="s">
        <v>41</v>
      </c>
    </row>
    <row r="64" spans="2:10" ht="15" customHeight="1" x14ac:dyDescent="0.25">
      <c r="J64" t="s">
        <v>41</v>
      </c>
    </row>
    <row r="65" spans="11:19" ht="15" customHeight="1" x14ac:dyDescent="0.25">
      <c r="S65" s="66" t="s">
        <v>41</v>
      </c>
    </row>
    <row r="67" spans="11:19" ht="15" customHeight="1" x14ac:dyDescent="0.25">
      <c r="K67" s="4" t="s">
        <v>41</v>
      </c>
    </row>
  </sheetData>
  <mergeCells count="3">
    <mergeCell ref="AJ1:AQ1"/>
    <mergeCell ref="B44:D44"/>
    <mergeCell ref="O1:S1"/>
  </mergeCells>
  <phoneticPr fontId="19" type="noConversion"/>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20EA8-007C-49C8-A83A-FBCA5B6D00F8}">
  <sheetPr codeName="Sheet6"/>
  <dimension ref="A1:AZ12"/>
  <sheetViews>
    <sheetView topLeftCell="AP1" workbookViewId="0">
      <selection activeCell="K7" sqref="K7"/>
    </sheetView>
  </sheetViews>
  <sheetFormatPr defaultColWidth="9.140625" defaultRowHeight="15" customHeight="1" x14ac:dyDescent="0.25"/>
  <cols>
    <col min="1" max="1" width="7" customWidth="1"/>
    <col min="2" max="2" width="9.7109375" style="4" customWidth="1"/>
    <col min="3" max="3" width="17.7109375" bestFit="1" customWidth="1"/>
    <col min="4" max="4" width="13.28515625" customWidth="1"/>
    <col min="5" max="5" width="17.28515625" bestFit="1" customWidth="1"/>
    <col min="6" max="6" width="14.7109375" customWidth="1"/>
    <col min="7" max="7" width="14.140625" customWidth="1"/>
    <col min="8" max="8" width="14" customWidth="1"/>
    <col min="9" max="9" width="11.85546875" customWidth="1"/>
    <col min="10" max="10" width="15.42578125" customWidth="1"/>
    <col min="11" max="11" width="41.42578125" style="4" customWidth="1"/>
    <col min="12" max="12" width="8.5703125" customWidth="1"/>
    <col min="13" max="13" width="47.85546875" customWidth="1"/>
    <col min="14" max="14" width="36.7109375" customWidth="1"/>
    <col min="15" max="15" width="7.7109375" style="13" customWidth="1"/>
    <col min="16" max="16" width="7.7109375" customWidth="1"/>
    <col min="17" max="17" width="10.140625" customWidth="1"/>
    <col min="18" max="18" width="8.7109375" customWidth="1"/>
    <col min="19" max="19" width="8.5703125" bestFit="1" customWidth="1"/>
    <col min="20" max="20" width="36.5703125" bestFit="1" customWidth="1"/>
    <col min="21" max="21" width="13.42578125" customWidth="1"/>
    <col min="22" max="23" width="11.28515625" style="9" customWidth="1"/>
    <col min="24" max="24" width="15.5703125" style="9" customWidth="1"/>
    <col min="25" max="25" width="12.5703125" style="9" customWidth="1"/>
    <col min="26" max="26" width="11.28515625" style="9" customWidth="1"/>
    <col min="27" max="27" width="13.5703125" style="9" customWidth="1"/>
    <col min="28" max="28" width="11.7109375" style="9" customWidth="1"/>
    <col min="29" max="29" width="13.7109375" customWidth="1"/>
    <col min="30" max="30" width="13.7109375" style="4" customWidth="1"/>
    <col min="31" max="32" width="20.140625" style="4" bestFit="1" customWidth="1"/>
    <col min="33" max="34" width="11.42578125" style="4" customWidth="1"/>
    <col min="35" max="35" width="11.85546875" style="1177" customWidth="1"/>
    <col min="36" max="36" width="11" style="1177" customWidth="1"/>
    <col min="37" max="37" width="18.7109375" style="9" customWidth="1"/>
    <col min="38" max="38" width="14.5703125" customWidth="1"/>
    <col min="39" max="39" width="17.140625" style="4" bestFit="1" customWidth="1"/>
    <col min="40" max="40" width="13" style="4" customWidth="1"/>
    <col min="41" max="41" width="16.5703125" style="4" bestFit="1" customWidth="1"/>
    <col min="42" max="42" width="13.85546875" style="4" customWidth="1"/>
    <col min="43" max="43" width="79.7109375" style="4" customWidth="1"/>
    <col min="44" max="44" width="19" style="4" customWidth="1"/>
    <col min="45" max="45" width="13.5703125" style="4" customWidth="1"/>
    <col min="46" max="46" width="16" style="5" customWidth="1"/>
    <col min="47" max="47" width="17.7109375" customWidth="1"/>
    <col min="48" max="48" width="13.7109375" customWidth="1"/>
    <col min="49" max="49" width="14.42578125" customWidth="1"/>
    <col min="50" max="50" width="22.7109375" customWidth="1"/>
  </cols>
  <sheetData>
    <row r="1" spans="1:52" ht="15" customHeight="1" x14ac:dyDescent="0.3">
      <c r="A1" s="6" t="s">
        <v>7195</v>
      </c>
      <c r="K1" s="15"/>
      <c r="L1" s="3"/>
      <c r="M1" s="4"/>
      <c r="N1" s="4"/>
      <c r="O1" s="84" t="s">
        <v>655</v>
      </c>
      <c r="S1" s="19"/>
      <c r="T1" s="20"/>
      <c r="V1" s="4"/>
      <c r="W1" s="4"/>
      <c r="X1" s="4"/>
      <c r="Y1" s="4"/>
      <c r="Z1" s="4"/>
      <c r="AA1" s="4"/>
      <c r="AB1" s="4"/>
      <c r="AC1" s="4"/>
      <c r="AE1" s="3"/>
      <c r="AI1" s="3"/>
      <c r="AJ1" s="20"/>
      <c r="AK1" s="5"/>
      <c r="AL1" s="32"/>
      <c r="AM1" s="15"/>
      <c r="AN1" s="1789"/>
      <c r="AO1" s="1789"/>
      <c r="AP1" s="1789"/>
      <c r="AQ1" s="1789"/>
      <c r="AR1" s="1791" t="s">
        <v>7196</v>
      </c>
      <c r="AS1" s="1791"/>
      <c r="AT1" s="82"/>
    </row>
    <row r="2" spans="1:52" s="5" customFormat="1" ht="45" customHeight="1" x14ac:dyDescent="0.25">
      <c r="A2" s="116" t="s">
        <v>659</v>
      </c>
      <c r="B2" s="116" t="s">
        <v>6891</v>
      </c>
      <c r="C2" s="116" t="s">
        <v>661</v>
      </c>
      <c r="D2" s="116" t="s">
        <v>662</v>
      </c>
      <c r="E2" s="116" t="s">
        <v>44</v>
      </c>
      <c r="F2" s="116" t="s">
        <v>663</v>
      </c>
      <c r="G2" s="281" t="s">
        <v>6892</v>
      </c>
      <c r="H2" s="116" t="s">
        <v>665</v>
      </c>
      <c r="I2" s="117" t="s">
        <v>666</v>
      </c>
      <c r="J2" s="118" t="s">
        <v>667</v>
      </c>
      <c r="K2" s="119" t="s">
        <v>6893</v>
      </c>
      <c r="L2" s="120" t="s">
        <v>6894</v>
      </c>
      <c r="M2" s="118" t="s">
        <v>6895</v>
      </c>
      <c r="N2" s="118" t="s">
        <v>7197</v>
      </c>
      <c r="O2" s="186" t="s">
        <v>712</v>
      </c>
      <c r="P2" s="134" t="s">
        <v>6897</v>
      </c>
      <c r="Q2" s="134" t="s">
        <v>6898</v>
      </c>
      <c r="R2" s="134" t="s">
        <v>6899</v>
      </c>
      <c r="S2" s="136" t="s">
        <v>716</v>
      </c>
      <c r="T2" s="121" t="s">
        <v>717</v>
      </c>
      <c r="U2" s="121" t="s">
        <v>6900</v>
      </c>
      <c r="V2" s="120" t="s">
        <v>3759</v>
      </c>
      <c r="W2" s="118" t="s">
        <v>6901</v>
      </c>
      <c r="X2" s="118" t="s">
        <v>6902</v>
      </c>
      <c r="Y2" s="118" t="s">
        <v>6903</v>
      </c>
      <c r="Z2" s="118" t="s">
        <v>6904</v>
      </c>
      <c r="AA2" s="118" t="s">
        <v>7198</v>
      </c>
      <c r="AB2" s="118" t="s">
        <v>6905</v>
      </c>
      <c r="AC2" s="118" t="s">
        <v>6906</v>
      </c>
      <c r="AD2" s="122" t="s">
        <v>6907</v>
      </c>
      <c r="AE2" s="118" t="s">
        <v>6908</v>
      </c>
      <c r="AF2" s="120" t="s">
        <v>7199</v>
      </c>
      <c r="AG2" s="118" t="s">
        <v>6909</v>
      </c>
      <c r="AH2" s="118" t="s">
        <v>7200</v>
      </c>
      <c r="AI2" s="118" t="s">
        <v>7201</v>
      </c>
      <c r="AJ2" s="120" t="s">
        <v>6911</v>
      </c>
      <c r="AK2" s="199" t="s">
        <v>6912</v>
      </c>
      <c r="AL2" s="217" t="s">
        <v>7202</v>
      </c>
      <c r="AM2" s="119" t="s">
        <v>7203</v>
      </c>
      <c r="AN2" s="119" t="s">
        <v>7204</v>
      </c>
      <c r="AO2" s="118" t="s">
        <v>7205</v>
      </c>
      <c r="AP2" s="118" t="s">
        <v>7206</v>
      </c>
      <c r="AQ2" s="118" t="s">
        <v>7207</v>
      </c>
      <c r="AR2" s="123" t="s">
        <v>6921</v>
      </c>
      <c r="AS2" s="118" t="s">
        <v>7208</v>
      </c>
      <c r="AT2" s="118" t="s">
        <v>7209</v>
      </c>
      <c r="AU2" s="124" t="s">
        <v>7210</v>
      </c>
      <c r="AV2" s="118" t="s">
        <v>7211</v>
      </c>
      <c r="AW2" s="118" t="s">
        <v>674</v>
      </c>
      <c r="AX2" s="118" t="s">
        <v>7212</v>
      </c>
    </row>
    <row r="3" spans="1:52" ht="105" customHeight="1" x14ac:dyDescent="0.25">
      <c r="A3" s="104">
        <v>2025</v>
      </c>
      <c r="B3" s="104" t="s">
        <v>1073</v>
      </c>
      <c r="C3" s="104" t="s">
        <v>7213</v>
      </c>
      <c r="D3" s="104" t="s">
        <v>7214</v>
      </c>
      <c r="E3" s="104" t="s">
        <v>3259</v>
      </c>
      <c r="F3" s="104" t="s">
        <v>851</v>
      </c>
      <c r="G3" s="104" t="s">
        <v>7215</v>
      </c>
      <c r="H3" s="104" t="s">
        <v>6971</v>
      </c>
      <c r="I3" s="105">
        <v>45894</v>
      </c>
      <c r="J3" s="728">
        <v>45950</v>
      </c>
      <c r="K3" s="125" t="s">
        <v>7216</v>
      </c>
      <c r="L3" s="126" t="s">
        <v>739</v>
      </c>
      <c r="M3" s="127" t="s">
        <v>7217</v>
      </c>
      <c r="N3" s="853" t="s">
        <v>7218</v>
      </c>
      <c r="O3" s="192" t="s">
        <v>7219</v>
      </c>
      <c r="P3" s="193" t="s">
        <v>709</v>
      </c>
      <c r="Q3" s="193" t="s">
        <v>116</v>
      </c>
      <c r="R3" s="193" t="s">
        <v>709</v>
      </c>
      <c r="S3" s="194" t="s">
        <v>7220</v>
      </c>
      <c r="T3" s="814" t="s">
        <v>7221</v>
      </c>
      <c r="U3" s="172" t="s">
        <v>376</v>
      </c>
      <c r="V3" s="128" t="s">
        <v>376</v>
      </c>
      <c r="W3" s="128" t="s">
        <v>376</v>
      </c>
      <c r="X3" s="128" t="s">
        <v>376</v>
      </c>
      <c r="Y3" s="128" t="s">
        <v>376</v>
      </c>
      <c r="Z3" s="128" t="s">
        <v>376</v>
      </c>
      <c r="AA3" s="129" t="s">
        <v>116</v>
      </c>
      <c r="AB3" s="129" t="s">
        <v>376</v>
      </c>
      <c r="AC3" s="105" t="s">
        <v>376</v>
      </c>
      <c r="AD3" s="204">
        <f>IF(NonDOT_Projects[[#This Row],[TDS (i.e. MOP main)]]="Y",NonDOT_Projects[[#This Row],[Engineering Approved Design Date]]-28,NonDOT_Projects[[#This Row],[Engineering Approved Design Date]]-21)</f>
        <v>45922</v>
      </c>
      <c r="AE3" s="128" t="s">
        <v>376</v>
      </c>
      <c r="AF3" s="216">
        <f>NonDOT_Projects[[#This Row],[Engineering Approved Design Date]]-(3*7)</f>
        <v>45929</v>
      </c>
      <c r="AG3" s="173" t="s">
        <v>116</v>
      </c>
      <c r="AH3" s="173" t="s">
        <v>116</v>
      </c>
      <c r="AI3" s="461" t="s">
        <v>376</v>
      </c>
      <c r="AJ3" s="203" t="s">
        <v>376</v>
      </c>
      <c r="AK3" s="200">
        <v>8</v>
      </c>
      <c r="AL3" s="218" t="s">
        <v>7222</v>
      </c>
      <c r="AM3" s="131" t="s">
        <v>7223</v>
      </c>
      <c r="AN3" s="174" t="s">
        <v>7224</v>
      </c>
      <c r="AO3" s="130" t="s">
        <v>7225</v>
      </c>
      <c r="AP3" s="130" t="s">
        <v>7226</v>
      </c>
      <c r="AQ3" s="219" t="s">
        <v>756</v>
      </c>
      <c r="AR3" s="132" t="s">
        <v>7227</v>
      </c>
      <c r="AS3" s="130" t="s">
        <v>116</v>
      </c>
      <c r="AT3" s="130" t="s">
        <v>376</v>
      </c>
      <c r="AU3" s="133">
        <v>750000</v>
      </c>
      <c r="AV3" s="1611"/>
      <c r="AW3" s="1179">
        <v>0.08</v>
      </c>
      <c r="AX3" s="1181">
        <f>(NonDOT_Projects[[#This Row],[NM Guess Final Cost]]*NonDOT_Projects[[#This Row],[Rate]])-(NonDOT_Projects[[#This Row],[Current JS Contract Value]]*NonDOT_Projects[[#This Row],[Rate]])</f>
        <v>-60000</v>
      </c>
      <c r="AZ3" t="str">
        <f>_xlfn.CONCAT(NonDOT_Projects[[#This Row],[WO Number]],NonDOT_Projects[[#This Row],[Engineering Number]],NonDOT_Projects[[#This Row],[Town]])</f>
        <v>1615675NBA10019119ELK GROVE VILLAGE</v>
      </c>
    </row>
    <row r="4" spans="1:52" ht="75" x14ac:dyDescent="0.25">
      <c r="A4" s="104">
        <v>2026</v>
      </c>
      <c r="B4" s="104" t="s">
        <v>1073</v>
      </c>
      <c r="C4" s="104" t="s">
        <v>7228</v>
      </c>
      <c r="D4" s="104" t="s">
        <v>7229</v>
      </c>
      <c r="E4" s="104" t="s">
        <v>3259</v>
      </c>
      <c r="F4" s="104" t="s">
        <v>851</v>
      </c>
      <c r="G4" s="104" t="s">
        <v>7215</v>
      </c>
      <c r="H4" s="104" t="s">
        <v>6971</v>
      </c>
      <c r="I4" s="105">
        <v>45899</v>
      </c>
      <c r="J4" s="728">
        <v>45950</v>
      </c>
      <c r="K4" s="125" t="s">
        <v>7216</v>
      </c>
      <c r="L4" s="126" t="s">
        <v>739</v>
      </c>
      <c r="M4" s="127" t="s">
        <v>7230</v>
      </c>
      <c r="N4" s="853" t="s">
        <v>7218</v>
      </c>
      <c r="O4" s="192" t="s">
        <v>7219</v>
      </c>
      <c r="P4" s="193" t="s">
        <v>709</v>
      </c>
      <c r="Q4" s="193" t="s">
        <v>116</v>
      </c>
      <c r="R4" s="193" t="s">
        <v>709</v>
      </c>
      <c r="S4" s="194" t="s">
        <v>7220</v>
      </c>
      <c r="T4" s="814"/>
      <c r="U4" s="172" t="s">
        <v>376</v>
      </c>
      <c r="V4" s="816" t="s">
        <v>376</v>
      </c>
      <c r="W4" s="128" t="s">
        <v>376</v>
      </c>
      <c r="X4" s="128" t="s">
        <v>376</v>
      </c>
      <c r="Y4" s="128" t="s">
        <v>376</v>
      </c>
      <c r="Z4" s="128" t="s">
        <v>376</v>
      </c>
      <c r="AA4" s="129" t="s">
        <v>116</v>
      </c>
      <c r="AB4" s="129" t="s">
        <v>376</v>
      </c>
      <c r="AC4" s="105" t="s">
        <v>376</v>
      </c>
      <c r="AD4" s="204">
        <f>IF(NonDOT_Projects[[#This Row],[TDS (i.e. MOP main)]]="Y",NonDOT_Projects[[#This Row],[Engineering Approved Design Date]]-28,NonDOT_Projects[[#This Row],[Engineering Approved Design Date]]-21)</f>
        <v>45922</v>
      </c>
      <c r="AE4" s="128" t="s">
        <v>376</v>
      </c>
      <c r="AF4" s="216">
        <f>NonDOT_Projects[[#This Row],[Engineering Approved Design Date]]-(3*7)</f>
        <v>45929</v>
      </c>
      <c r="AG4" s="173" t="s">
        <v>116</v>
      </c>
      <c r="AH4" s="173" t="s">
        <v>116</v>
      </c>
      <c r="AI4" s="815" t="s">
        <v>376</v>
      </c>
      <c r="AJ4" s="203" t="s">
        <v>376</v>
      </c>
      <c r="AK4" s="200">
        <v>9</v>
      </c>
      <c r="AL4" s="218" t="s">
        <v>7222</v>
      </c>
      <c r="AM4" s="131" t="s">
        <v>7223</v>
      </c>
      <c r="AN4" s="823" t="s">
        <v>7224</v>
      </c>
      <c r="AO4" s="130" t="s">
        <v>7225</v>
      </c>
      <c r="AP4" s="130" t="s">
        <v>7226</v>
      </c>
      <c r="AQ4" s="219" t="s">
        <v>116</v>
      </c>
      <c r="AR4" s="132" t="s">
        <v>7227</v>
      </c>
      <c r="AS4" s="824" t="s">
        <v>116</v>
      </c>
      <c r="AT4" s="488" t="s">
        <v>376</v>
      </c>
      <c r="AU4" s="133"/>
      <c r="AV4" s="1611"/>
      <c r="AW4" s="1180">
        <v>0.08</v>
      </c>
      <c r="AX4" s="1182">
        <f>(NonDOT_Projects[[#This Row],[NM Guess Final Cost]]*NonDOT_Projects[[#This Row],[Rate]])-(NonDOT_Projects[[#This Row],[Current JS Contract Value]]*NonDOT_Projects[[#This Row],[Rate]])</f>
        <v>0</v>
      </c>
      <c r="AZ4" t="str">
        <f>_xlfn.CONCAT(NonDOT_Projects[[#This Row],[WO Number]],NonDOT_Projects[[#This Row],[Engineering Number]],NonDOT_Projects[[#This Row],[Town]])</f>
        <v>1615795NBA10019119-1ELK GROVE VILLAGE</v>
      </c>
    </row>
    <row r="5" spans="1:52" ht="135" x14ac:dyDescent="0.25">
      <c r="A5" s="104">
        <v>2027</v>
      </c>
      <c r="B5" s="104" t="s">
        <v>1073</v>
      </c>
      <c r="C5" s="104" t="s">
        <v>7231</v>
      </c>
      <c r="D5" s="104" t="s">
        <v>7232</v>
      </c>
      <c r="E5" s="104" t="s">
        <v>3259</v>
      </c>
      <c r="F5" s="104" t="s">
        <v>851</v>
      </c>
      <c r="G5" s="104" t="s">
        <v>7215</v>
      </c>
      <c r="H5" s="104" t="s">
        <v>6971</v>
      </c>
      <c r="I5" s="105">
        <v>45899</v>
      </c>
      <c r="J5" s="728">
        <v>45950</v>
      </c>
      <c r="K5" s="125" t="s">
        <v>7216</v>
      </c>
      <c r="L5" s="126" t="s">
        <v>739</v>
      </c>
      <c r="M5" s="127" t="s">
        <v>7233</v>
      </c>
      <c r="N5" s="853" t="s">
        <v>7218</v>
      </c>
      <c r="O5" s="192" t="s">
        <v>7219</v>
      </c>
      <c r="P5" s="193" t="s">
        <v>709</v>
      </c>
      <c r="Q5" s="1610" t="s">
        <v>116</v>
      </c>
      <c r="R5" s="193" t="s">
        <v>709</v>
      </c>
      <c r="S5" s="194" t="s">
        <v>7220</v>
      </c>
      <c r="T5" s="814"/>
      <c r="U5" s="172" t="s">
        <v>376</v>
      </c>
      <c r="V5" s="128" t="s">
        <v>376</v>
      </c>
      <c r="W5" s="128" t="s">
        <v>376</v>
      </c>
      <c r="X5" s="128" t="s">
        <v>376</v>
      </c>
      <c r="Y5" s="128" t="s">
        <v>376</v>
      </c>
      <c r="Z5" s="128" t="s">
        <v>376</v>
      </c>
      <c r="AA5" s="129" t="s">
        <v>116</v>
      </c>
      <c r="AB5" s="129" t="s">
        <v>376</v>
      </c>
      <c r="AC5" s="105" t="s">
        <v>376</v>
      </c>
      <c r="AD5" s="204">
        <f>IF(NonDOT_Projects[[#This Row],[TDS (i.e. MOP main)]]="Y",NonDOT_Projects[[#This Row],[Engineering Approved Design Date]]-28,NonDOT_Projects[[#This Row],[Engineering Approved Design Date]]-21)</f>
        <v>45922</v>
      </c>
      <c r="AE5" s="128" t="s">
        <v>376</v>
      </c>
      <c r="AF5" s="216">
        <f>NonDOT_Projects[[#This Row],[Engineering Approved Design Date]]-(3*7)</f>
        <v>45929</v>
      </c>
      <c r="AG5" s="173" t="s">
        <v>116</v>
      </c>
      <c r="AH5" s="173" t="s">
        <v>116</v>
      </c>
      <c r="AI5" s="815" t="s">
        <v>376</v>
      </c>
      <c r="AJ5" s="203" t="s">
        <v>376</v>
      </c>
      <c r="AK5" s="200">
        <v>10</v>
      </c>
      <c r="AL5" s="218" t="s">
        <v>7222</v>
      </c>
      <c r="AM5" s="131" t="s">
        <v>7223</v>
      </c>
      <c r="AN5" s="174" t="s">
        <v>7224</v>
      </c>
      <c r="AO5" s="130" t="s">
        <v>7225</v>
      </c>
      <c r="AP5" s="130" t="s">
        <v>7226</v>
      </c>
      <c r="AQ5" s="130" t="s">
        <v>116</v>
      </c>
      <c r="AR5" s="132" t="s">
        <v>7227</v>
      </c>
      <c r="AS5" s="130" t="s">
        <v>116</v>
      </c>
      <c r="AT5" s="130" t="s">
        <v>376</v>
      </c>
      <c r="AU5" s="133"/>
      <c r="AV5" s="1560"/>
      <c r="AW5" s="1551">
        <v>0.08</v>
      </c>
      <c r="AX5" s="1521">
        <f>(NonDOT_Projects[[#This Row],[NM Guess Final Cost]]*NonDOT_Projects[[#This Row],[Rate]])-(NonDOT_Projects[[#This Row],[Current JS Contract Value]]*NonDOT_Projects[[#This Row],[Rate]])</f>
        <v>0</v>
      </c>
      <c r="AZ5" t="str">
        <f>_xlfn.CONCAT(NonDOT_Projects[[#This Row],[WO Number]],NonDOT_Projects[[#This Row],[Engineering Number]],NonDOT_Projects[[#This Row],[Town]])</f>
        <v>1615796NBA10019119-2ELK GROVE VILLAGE</v>
      </c>
    </row>
    <row r="6" spans="1:52" ht="81" customHeight="1" x14ac:dyDescent="0.25">
      <c r="A6" s="104" t="s">
        <v>6816</v>
      </c>
      <c r="B6" s="104" t="s">
        <v>769</v>
      </c>
      <c r="C6" s="104" t="s">
        <v>7234</v>
      </c>
      <c r="D6" s="865" t="s">
        <v>7235</v>
      </c>
      <c r="E6" s="104" t="s">
        <v>3259</v>
      </c>
      <c r="F6" s="104" t="s">
        <v>851</v>
      </c>
      <c r="G6" s="104" t="s">
        <v>7236</v>
      </c>
      <c r="H6" s="104" t="s">
        <v>6971</v>
      </c>
      <c r="I6" s="105">
        <v>45782</v>
      </c>
      <c r="J6" s="1549">
        <v>46003</v>
      </c>
      <c r="K6" s="125" t="s">
        <v>7237</v>
      </c>
      <c r="L6" s="126" t="s">
        <v>739</v>
      </c>
      <c r="M6" s="127" t="s">
        <v>7238</v>
      </c>
      <c r="N6" s="853" t="s">
        <v>7239</v>
      </c>
      <c r="O6" s="192" t="s">
        <v>7219</v>
      </c>
      <c r="P6" s="193" t="s">
        <v>709</v>
      </c>
      <c r="Q6" s="193" t="s">
        <v>3262</v>
      </c>
      <c r="R6" s="193" t="s">
        <v>709</v>
      </c>
      <c r="S6" s="194" t="s">
        <v>29</v>
      </c>
      <c r="T6" s="814" t="s">
        <v>7240</v>
      </c>
      <c r="U6" s="172" t="s">
        <v>376</v>
      </c>
      <c r="V6" s="128" t="s">
        <v>376</v>
      </c>
      <c r="W6" s="128" t="s">
        <v>376</v>
      </c>
      <c r="X6" s="128" t="s">
        <v>376</v>
      </c>
      <c r="Y6" s="128" t="s">
        <v>376</v>
      </c>
      <c r="Z6" s="128" t="s">
        <v>376</v>
      </c>
      <c r="AA6" s="129" t="s">
        <v>709</v>
      </c>
      <c r="AB6" s="129" t="s">
        <v>376</v>
      </c>
      <c r="AC6" s="105" t="s">
        <v>376</v>
      </c>
      <c r="AD6" s="204">
        <f>IF(NonDOT_Projects[[#This Row],[TDS (i.e. MOP main)]]="Y",NonDOT_Projects[[#This Row],[Engineering Approved Design Date]]-28,NonDOT_Projects[[#This Row],[Engineering Approved Design Date]]-21)</f>
        <v>45982</v>
      </c>
      <c r="AE6" s="128" t="s">
        <v>376</v>
      </c>
      <c r="AF6" s="216">
        <f>NonDOT_Projects[[#This Row],[Engineering Approved Design Date]]-(3*7)</f>
        <v>45982</v>
      </c>
      <c r="AG6" s="173" t="s">
        <v>709</v>
      </c>
      <c r="AH6" s="173" t="s">
        <v>709</v>
      </c>
      <c r="AI6" s="1559" t="s">
        <v>116</v>
      </c>
      <c r="AJ6" s="203" t="s">
        <v>376</v>
      </c>
      <c r="AK6" s="200">
        <v>1</v>
      </c>
      <c r="AL6" s="218" t="s">
        <v>709</v>
      </c>
      <c r="AM6" s="131" t="s">
        <v>376</v>
      </c>
      <c r="AN6" s="174" t="s">
        <v>7241</v>
      </c>
      <c r="AO6" s="130" t="s">
        <v>7242</v>
      </c>
      <c r="AP6" s="130" t="s">
        <v>7243</v>
      </c>
      <c r="AQ6" s="130" t="s">
        <v>29</v>
      </c>
      <c r="AR6" s="132"/>
      <c r="AS6" s="130" t="s">
        <v>376</v>
      </c>
      <c r="AT6" s="130" t="s">
        <v>376</v>
      </c>
      <c r="AU6" s="133">
        <v>0</v>
      </c>
      <c r="AV6" s="1521" t="s">
        <v>29</v>
      </c>
      <c r="AW6" s="1551">
        <v>1</v>
      </c>
      <c r="AX6" s="1521" t="s">
        <v>29</v>
      </c>
      <c r="AZ6" t="str">
        <f>_xlfn.CONCAT(NonDOT_Projects[[#This Row],[WO Number]],NonDOT_Projects[[#This Row],[Engineering Number]],NonDOT_Projects[[#This Row],[Town]])</f>
        <v>1015383RS1298ELK GROVE VILLAGE</v>
      </c>
    </row>
    <row r="7" spans="1:52" ht="81" customHeight="1" x14ac:dyDescent="0.25">
      <c r="A7" s="104" t="s">
        <v>6816</v>
      </c>
      <c r="B7" s="104" t="s">
        <v>1205</v>
      </c>
      <c r="C7" s="104" t="s">
        <v>7244</v>
      </c>
      <c r="D7" s="1572" t="s">
        <v>7245</v>
      </c>
      <c r="E7" s="104" t="s">
        <v>3942</v>
      </c>
      <c r="F7" s="104" t="s">
        <v>6874</v>
      </c>
      <c r="G7" s="104" t="s">
        <v>32</v>
      </c>
      <c r="H7" s="104" t="s">
        <v>6971</v>
      </c>
      <c r="I7" s="1573">
        <v>44466</v>
      </c>
      <c r="J7" s="1797">
        <v>46262</v>
      </c>
      <c r="K7" s="125" t="s">
        <v>7246</v>
      </c>
      <c r="L7" s="126" t="s">
        <v>120</v>
      </c>
      <c r="M7" s="1609" t="s">
        <v>7247</v>
      </c>
      <c r="N7" s="1201" t="s">
        <v>7248</v>
      </c>
      <c r="O7" s="192" t="s">
        <v>116</v>
      </c>
      <c r="P7" s="193" t="s">
        <v>709</v>
      </c>
      <c r="Q7" s="193" t="s">
        <v>709</v>
      </c>
      <c r="R7" s="195" t="s">
        <v>709</v>
      </c>
      <c r="S7" s="194" t="s">
        <v>7249</v>
      </c>
      <c r="T7" s="834" t="s">
        <v>7250</v>
      </c>
      <c r="U7" s="172" t="s">
        <v>7251</v>
      </c>
      <c r="V7" s="128" t="s">
        <v>7252</v>
      </c>
      <c r="W7" s="128" t="s">
        <v>7253</v>
      </c>
      <c r="X7" s="128" t="s">
        <v>7253</v>
      </c>
      <c r="Y7" s="128" t="s">
        <v>7253</v>
      </c>
      <c r="Z7" s="128" t="s">
        <v>7253</v>
      </c>
      <c r="AA7" s="129" t="s">
        <v>116</v>
      </c>
      <c r="AB7" s="128" t="s">
        <v>376</v>
      </c>
      <c r="AC7" s="128" t="s">
        <v>376</v>
      </c>
      <c r="AD7" s="204">
        <f>IF(NonDOT_Projects[[#This Row],[TDS (i.e. MOP main)]]="Y",NonDOT_Projects[[#This Row],[Engineering Approved Design Date]]-28,NonDOT_Projects[[#This Row],[Engineering Approved Design Date]]-21)</f>
        <v>46234</v>
      </c>
      <c r="AE7" s="128" t="s">
        <v>376</v>
      </c>
      <c r="AF7" s="216">
        <f>IF(NonDOT_Projects[[#This Row],[TDS (i.e. MOP main)]]="Y",NonDOT_Projects[[#This Row],[Engineering Approved Design Date]]-28,NonDOT_Projects[[#This Row],[Engineering Approved Design Date]]-21)</f>
        <v>46234</v>
      </c>
      <c r="AG7" s="173" t="s">
        <v>116</v>
      </c>
      <c r="AH7" s="173" t="s">
        <v>116</v>
      </c>
      <c r="AI7" s="1559" t="s">
        <v>709</v>
      </c>
      <c r="AJ7" s="203" t="s">
        <v>376</v>
      </c>
      <c r="AK7" s="200">
        <v>5</v>
      </c>
      <c r="AL7" s="218" t="s">
        <v>7254</v>
      </c>
      <c r="AM7" s="174" t="s">
        <v>7255</v>
      </c>
      <c r="AN7" s="174" t="s">
        <v>116</v>
      </c>
      <c r="AO7" s="130" t="s">
        <v>7256</v>
      </c>
      <c r="AP7" s="130" t="s">
        <v>7257</v>
      </c>
      <c r="AQ7" s="824" t="s">
        <v>7258</v>
      </c>
      <c r="AR7" s="132" t="s">
        <v>7259</v>
      </c>
      <c r="AS7" s="130" t="s">
        <v>376</v>
      </c>
      <c r="AT7" s="130" t="s">
        <v>29</v>
      </c>
      <c r="AU7" s="1576">
        <v>1000000</v>
      </c>
      <c r="AV7" s="1182">
        <v>4000000</v>
      </c>
      <c r="AW7" s="1180">
        <v>0.09</v>
      </c>
      <c r="AX7" s="1182">
        <f>(NonDOT_Projects[[#This Row],[NM Guess Final Cost]]*NonDOT_Projects[[#This Row],[Rate]])-(NonDOT_Projects[[#This Row],[Current JS Contract Value]]*NonDOT_Projects[[#This Row],[Rate]])</f>
        <v>270000</v>
      </c>
      <c r="AZ7" t="str">
        <f>_xlfn.CONCAT(NonDOT_Projects[[#This Row],[WO Number]],NonDOT_Projects[[#This Row],[Engineering Number]],NonDOT_Projects[[#This Row],[Town]])</f>
        <v>1210690MR1796SUMMIT</v>
      </c>
    </row>
    <row r="8" spans="1:52" ht="81" customHeight="1" x14ac:dyDescent="0.25">
      <c r="A8" s="104">
        <v>2025</v>
      </c>
      <c r="B8" s="104" t="s">
        <v>771</v>
      </c>
      <c r="C8" s="104" t="s">
        <v>7260</v>
      </c>
      <c r="D8" s="1572" t="s">
        <v>7261</v>
      </c>
      <c r="E8" s="104" t="s">
        <v>2106</v>
      </c>
      <c r="F8" s="104" t="s">
        <v>6874</v>
      </c>
      <c r="G8" s="104" t="s">
        <v>7152</v>
      </c>
      <c r="H8" s="104" t="s">
        <v>6971</v>
      </c>
      <c r="I8" s="1573">
        <v>45881</v>
      </c>
      <c r="J8" s="1574">
        <v>45965</v>
      </c>
      <c r="K8" s="125" t="s">
        <v>7262</v>
      </c>
      <c r="L8" s="126" t="s">
        <v>120</v>
      </c>
      <c r="M8" s="1575" t="s">
        <v>7263</v>
      </c>
      <c r="N8" s="853" t="s">
        <v>7264</v>
      </c>
      <c r="O8" s="834" t="s">
        <v>116</v>
      </c>
      <c r="P8" s="193" t="s">
        <v>709</v>
      </c>
      <c r="Q8" s="193" t="s">
        <v>116</v>
      </c>
      <c r="R8" s="193" t="s">
        <v>709</v>
      </c>
      <c r="S8" s="194" t="s">
        <v>29</v>
      </c>
      <c r="T8" s="814" t="s">
        <v>7265</v>
      </c>
      <c r="U8" s="172" t="s">
        <v>376</v>
      </c>
      <c r="V8" s="128" t="s">
        <v>376</v>
      </c>
      <c r="W8" s="128" t="s">
        <v>7169</v>
      </c>
      <c r="X8" s="128" t="s">
        <v>7170</v>
      </c>
      <c r="Y8" s="128" t="s">
        <v>7169</v>
      </c>
      <c r="Z8" s="128" t="s">
        <v>7170</v>
      </c>
      <c r="AA8" s="129" t="s">
        <v>709</v>
      </c>
      <c r="AB8" s="1550">
        <v>45938</v>
      </c>
      <c r="AC8" s="105">
        <v>45945</v>
      </c>
      <c r="AD8" s="204">
        <f>IF(NonDOT_Projects[[#This Row],[TDS (i.e. MOP main)]]="Y",NonDOT_Projects[[#This Row],[Engineering Approved Design Date]]-28,NonDOT_Projects[[#This Row],[Engineering Approved Design Date]]-21)</f>
        <v>45944</v>
      </c>
      <c r="AE8" s="128">
        <v>45954</v>
      </c>
      <c r="AF8" s="216">
        <f>NonDOT_Projects[[#This Row],[Engineering Approved Design Date]]-(3*7)</f>
        <v>45944</v>
      </c>
      <c r="AG8" s="173" t="s">
        <v>709</v>
      </c>
      <c r="AH8" s="173" t="s">
        <v>709</v>
      </c>
      <c r="AI8" s="1559" t="s">
        <v>709</v>
      </c>
      <c r="AJ8" s="203">
        <v>45888</v>
      </c>
      <c r="AK8" s="200">
        <v>3</v>
      </c>
      <c r="AL8" s="218" t="s">
        <v>709</v>
      </c>
      <c r="AM8" s="1567">
        <v>45890</v>
      </c>
      <c r="AN8" s="174" t="s">
        <v>709</v>
      </c>
      <c r="AO8" s="128">
        <v>45894</v>
      </c>
      <c r="AP8" s="130" t="s">
        <v>7266</v>
      </c>
      <c r="AQ8" s="824" t="s">
        <v>29</v>
      </c>
      <c r="AR8" s="132"/>
      <c r="AS8" s="130" t="s">
        <v>376</v>
      </c>
      <c r="AT8" s="130" t="s">
        <v>376</v>
      </c>
      <c r="AU8" s="1576">
        <v>100000</v>
      </c>
      <c r="AV8" s="824"/>
      <c r="AW8" s="1180">
        <v>0.09</v>
      </c>
      <c r="AX8" s="1182">
        <f>(NonDOT_Projects[[#This Row],[NM Guess Final Cost]]*NonDOT_Projects[[#This Row],[Rate]])-(NonDOT_Projects[[#This Row],[Current JS Contract Value]]*NonDOT_Projects[[#This Row],[Rate]])</f>
        <v>-9000</v>
      </c>
      <c r="AZ8" t="str">
        <f>_xlfn.CONCAT(NonDOT_Projects[[#This Row],[WO Number]],NonDOT_Projects[[#This Row],[Engineering Number]],NonDOT_Projects[[#This Row],[Town]])</f>
        <v>1215731MR2321COUNTRY CLUB HILLS</v>
      </c>
    </row>
    <row r="9" spans="1:52" ht="45" x14ac:dyDescent="0.25">
      <c r="A9" s="104">
        <v>2025</v>
      </c>
      <c r="B9" s="104" t="s">
        <v>771</v>
      </c>
      <c r="C9" s="104" t="s">
        <v>7267</v>
      </c>
      <c r="D9" s="104" t="s">
        <v>7268</v>
      </c>
      <c r="E9" s="104" t="s">
        <v>263</v>
      </c>
      <c r="F9" s="104" t="s">
        <v>6874</v>
      </c>
      <c r="G9" s="104" t="s">
        <v>7152</v>
      </c>
      <c r="H9" s="104" t="s">
        <v>6971</v>
      </c>
      <c r="I9" s="105">
        <v>45897</v>
      </c>
      <c r="J9" s="728">
        <v>45987</v>
      </c>
      <c r="K9" s="125" t="s">
        <v>7269</v>
      </c>
      <c r="L9" s="126" t="s">
        <v>120</v>
      </c>
      <c r="M9" s="127" t="s">
        <v>7270</v>
      </c>
      <c r="N9" s="853" t="s">
        <v>7271</v>
      </c>
      <c r="O9" s="192" t="s">
        <v>7272</v>
      </c>
      <c r="P9" s="193" t="s">
        <v>709</v>
      </c>
      <c r="Q9" s="193" t="s">
        <v>116</v>
      </c>
      <c r="R9" s="193" t="s">
        <v>709</v>
      </c>
      <c r="S9" s="194"/>
      <c r="T9" s="814" t="s">
        <v>7273</v>
      </c>
      <c r="U9" s="172" t="s">
        <v>376</v>
      </c>
      <c r="V9" s="128" t="s">
        <v>376</v>
      </c>
      <c r="W9" s="128" t="s">
        <v>7274</v>
      </c>
      <c r="X9" s="128" t="s">
        <v>7275</v>
      </c>
      <c r="Y9" s="128" t="s">
        <v>7276</v>
      </c>
      <c r="Z9" s="128" t="s">
        <v>7277</v>
      </c>
      <c r="AA9" s="129" t="s">
        <v>116</v>
      </c>
      <c r="AB9" s="128">
        <v>45973</v>
      </c>
      <c r="AC9" s="128">
        <v>45982</v>
      </c>
      <c r="AD9" s="204">
        <f>IF(NonDOT_Projects[[#This Row],[TDS (i.e. MOP main)]]="Y",NonDOT_Projects[[#This Row],[Engineering Approved Design Date]]-28,NonDOT_Projects[[#This Row],[Engineering Approved Design Date]]-21)</f>
        <v>45966</v>
      </c>
      <c r="AE9" s="128">
        <v>45999</v>
      </c>
      <c r="AF9" s="216">
        <f>NonDOT_Projects[[#This Row],[Engineering Approved Design Date]]-(3*7)</f>
        <v>45966</v>
      </c>
      <c r="AG9" s="173" t="s">
        <v>709</v>
      </c>
      <c r="AH9" s="173" t="s">
        <v>709</v>
      </c>
      <c r="AI9" s="1559" t="s">
        <v>709</v>
      </c>
      <c r="AJ9" s="203">
        <v>45905</v>
      </c>
      <c r="AK9" s="200">
        <v>13</v>
      </c>
      <c r="AL9" s="219" t="s">
        <v>7278</v>
      </c>
      <c r="AM9" s="131" t="s">
        <v>7279</v>
      </c>
      <c r="AN9" s="174" t="s">
        <v>116</v>
      </c>
      <c r="AO9" s="128">
        <v>45910</v>
      </c>
      <c r="AP9" s="130" t="s">
        <v>7280</v>
      </c>
      <c r="AQ9" s="130" t="s">
        <v>29</v>
      </c>
      <c r="AR9" s="132"/>
      <c r="AS9" s="130" t="s">
        <v>116</v>
      </c>
      <c r="AT9" s="130" t="s">
        <v>376</v>
      </c>
      <c r="AU9" s="133">
        <v>800000</v>
      </c>
      <c r="AV9" s="130"/>
      <c r="AW9" s="1551">
        <v>0.06</v>
      </c>
      <c r="AX9" s="1521">
        <f>(NonDOT_Projects[[#This Row],[NM Guess Final Cost]]*NonDOT_Projects[[#This Row],[Rate]])-(NonDOT_Projects[[#This Row],[Current JS Contract Value]]*NonDOT_Projects[[#This Row],[Rate]])</f>
        <v>-48000</v>
      </c>
      <c r="AZ9" t="str">
        <f>_xlfn.CONCAT(NonDOT_Projects[[#This Row],[WO Number]],NonDOT_Projects[[#This Row],[Engineering Number]],NonDOT_Projects[[#This Row],[Town]])</f>
        <v>1215809MR2328BEDFORD PARK</v>
      </c>
    </row>
    <row r="10" spans="1:52" ht="75" x14ac:dyDescent="0.25">
      <c r="A10" s="104">
        <v>2026</v>
      </c>
      <c r="B10" s="104" t="s">
        <v>771</v>
      </c>
      <c r="C10" s="104" t="s">
        <v>7281</v>
      </c>
      <c r="D10" s="104"/>
      <c r="E10" s="104" t="s">
        <v>249</v>
      </c>
      <c r="F10" s="104" t="s">
        <v>5604</v>
      </c>
      <c r="G10" s="104" t="s">
        <v>4770</v>
      </c>
      <c r="H10" s="104" t="s">
        <v>7092</v>
      </c>
      <c r="I10" s="105">
        <v>45915</v>
      </c>
      <c r="J10" s="728">
        <v>46038</v>
      </c>
      <c r="K10" s="125" t="s">
        <v>7282</v>
      </c>
      <c r="L10" s="126" t="s">
        <v>120</v>
      </c>
      <c r="M10" s="127" t="s">
        <v>7283</v>
      </c>
      <c r="N10" s="853" t="s">
        <v>7284</v>
      </c>
      <c r="O10" s="192" t="s">
        <v>116</v>
      </c>
      <c r="P10" s="193" t="s">
        <v>709</v>
      </c>
      <c r="Q10" s="193" t="s">
        <v>4814</v>
      </c>
      <c r="R10" s="193" t="s">
        <v>709</v>
      </c>
      <c r="S10" s="194" t="s">
        <v>29</v>
      </c>
      <c r="T10" s="814" t="s">
        <v>7285</v>
      </c>
      <c r="U10" s="172"/>
      <c r="V10" s="128"/>
      <c r="W10" s="128"/>
      <c r="X10" s="128"/>
      <c r="Y10" s="128"/>
      <c r="Z10" s="128"/>
      <c r="AA10" s="129"/>
      <c r="AB10" s="129"/>
      <c r="AC10" s="105"/>
      <c r="AD10" s="204">
        <f>IF(NonDOT_Projects[[#This Row],[TDS (i.e. MOP main)]]="Y",NonDOT_Projects[[#This Row],[Engineering Approved Design Date]]-28,NonDOT_Projects[[#This Row],[Engineering Approved Design Date]]-21)</f>
        <v>46017</v>
      </c>
      <c r="AE10" s="128"/>
      <c r="AF10" s="216">
        <f>NonDOT_Projects[[#This Row],[Engineering Approved Design Date]]-(3*7)</f>
        <v>46017</v>
      </c>
      <c r="AG10" s="173"/>
      <c r="AH10" s="173"/>
      <c r="AI10" s="1559"/>
      <c r="AJ10" s="1684"/>
      <c r="AK10" s="200"/>
      <c r="AL10" s="1685"/>
      <c r="AM10" s="131"/>
      <c r="AN10" s="174"/>
      <c r="AO10" s="130"/>
      <c r="AP10" s="130"/>
      <c r="AQ10" s="130"/>
      <c r="AR10" s="132"/>
      <c r="AS10" s="130"/>
      <c r="AT10" s="130"/>
      <c r="AU10" s="133"/>
      <c r="AV10" s="130"/>
      <c r="AW10" s="1551"/>
      <c r="AX10" s="1521">
        <f>(NonDOT_Projects[[#This Row],[NM Guess Final Cost]]*NonDOT_Projects[[#This Row],[Rate]])-(NonDOT_Projects[[#This Row],[Current JS Contract Value]]*NonDOT_Projects[[#This Row],[Rate]])</f>
        <v>0</v>
      </c>
      <c r="AZ10" t="str">
        <f>_xlfn.CONCAT(NonDOT_Projects[[#This Row],[WO Number]],NonDOT_Projects[[#This Row],[Engineering Number]],NonDOT_Projects[[#This Row],[Town]])</f>
        <v>MR3BID74168PARK RIDGE</v>
      </c>
    </row>
    <row r="11" spans="1:52" ht="45" x14ac:dyDescent="0.25">
      <c r="A11" s="104" t="s">
        <v>6926</v>
      </c>
      <c r="B11" s="104" t="s">
        <v>1205</v>
      </c>
      <c r="C11" s="104" t="s">
        <v>7286</v>
      </c>
      <c r="D11" s="104"/>
      <c r="E11" s="104" t="s">
        <v>1159</v>
      </c>
      <c r="F11" s="104" t="s">
        <v>6874</v>
      </c>
      <c r="G11" s="104" t="s">
        <v>7152</v>
      </c>
      <c r="H11" s="104" t="s">
        <v>7092</v>
      </c>
      <c r="I11" s="105">
        <v>45915</v>
      </c>
      <c r="J11" s="728">
        <v>45978</v>
      </c>
      <c r="K11" s="125" t="s">
        <v>7282</v>
      </c>
      <c r="L11" s="126" t="s">
        <v>120</v>
      </c>
      <c r="M11" s="127" t="s">
        <v>7287</v>
      </c>
      <c r="N11" s="853" t="s">
        <v>9202</v>
      </c>
      <c r="O11" s="1727" t="s">
        <v>116</v>
      </c>
      <c r="P11" s="1728" t="s">
        <v>709</v>
      </c>
      <c r="Q11" s="1728" t="s">
        <v>1210</v>
      </c>
      <c r="R11" s="1728" t="s">
        <v>709</v>
      </c>
      <c r="S11" s="1729" t="s">
        <v>29</v>
      </c>
      <c r="T11" s="1762" t="s">
        <v>7288</v>
      </c>
      <c r="U11" s="1714"/>
      <c r="V11" s="1715"/>
      <c r="W11" s="1715"/>
      <c r="X11" s="1715"/>
      <c r="Y11" s="1715"/>
      <c r="Z11" s="1715"/>
      <c r="AA11" s="1716"/>
      <c r="AB11" s="1716"/>
      <c r="AC11" s="1717"/>
      <c r="AD11" s="204">
        <f>IF(NonDOT_Projects[[#This Row],[TDS (i.e. MOP main)]]="Y",NonDOT_Projects[[#This Row],[Engineering Approved Design Date]]-28,NonDOT_Projects[[#This Row],[Engineering Approved Design Date]]-21)</f>
        <v>45957</v>
      </c>
      <c r="AE11" s="128"/>
      <c r="AF11" s="216">
        <f>NonDOT_Projects[[#This Row],[Engineering Approved Design Date]]-(3*7)</f>
        <v>45957</v>
      </c>
      <c r="AG11" s="1718"/>
      <c r="AH11" s="1718"/>
      <c r="AI11" s="1719"/>
      <c r="AJ11" s="1684"/>
      <c r="AK11" s="200">
        <v>2</v>
      </c>
      <c r="AL11" s="1685"/>
      <c r="AM11" s="1720"/>
      <c r="AN11" s="1721"/>
      <c r="AO11" s="1722"/>
      <c r="AP11" s="1722"/>
      <c r="AQ11" s="1722"/>
      <c r="AR11" s="1723"/>
      <c r="AS11" s="1722"/>
      <c r="AT11" s="1722"/>
      <c r="AU11" s="133">
        <v>100000</v>
      </c>
      <c r="AV11" s="1722"/>
      <c r="AW11" s="1551">
        <v>0.09</v>
      </c>
      <c r="AX11" s="1521">
        <f>(NonDOT_Projects[[#This Row],[NM Guess Final Cost]]*NonDOT_Projects[[#This Row],[Rate]])-(NonDOT_Projects[[#This Row],[Current JS Contract Value]]*NonDOT_Projects[[#This Row],[Rate]])</f>
        <v>-9000</v>
      </c>
    </row>
    <row r="12" spans="1:52" ht="60" x14ac:dyDescent="0.25">
      <c r="A12" s="1572" t="s">
        <v>6926</v>
      </c>
      <c r="B12" s="1572" t="s">
        <v>1205</v>
      </c>
      <c r="C12" s="1572" t="s">
        <v>7289</v>
      </c>
      <c r="D12" s="1572"/>
      <c r="E12" s="1572" t="s">
        <v>104</v>
      </c>
      <c r="F12" s="1572" t="s">
        <v>851</v>
      </c>
      <c r="G12" s="1572" t="s">
        <v>7152</v>
      </c>
      <c r="H12" s="1572" t="s">
        <v>7092</v>
      </c>
      <c r="I12" s="1573">
        <v>45916</v>
      </c>
      <c r="J12" s="1574">
        <v>46003</v>
      </c>
      <c r="K12" s="125" t="s">
        <v>7282</v>
      </c>
      <c r="L12" s="1744" t="s">
        <v>120</v>
      </c>
      <c r="M12" s="1575" t="s">
        <v>7290</v>
      </c>
      <c r="N12" s="1745" t="s">
        <v>7291</v>
      </c>
      <c r="O12" s="1756"/>
      <c r="P12" s="1757"/>
      <c r="Q12" s="1757"/>
      <c r="R12" s="1757"/>
      <c r="S12" s="1758"/>
      <c r="T12" s="1713"/>
      <c r="U12" s="1759"/>
      <c r="V12" s="1760"/>
      <c r="W12" s="1760"/>
      <c r="X12" s="1760"/>
      <c r="Y12" s="1760"/>
      <c r="Z12" s="1760"/>
      <c r="AA12" s="1748"/>
      <c r="AB12" s="1748"/>
      <c r="AC12" s="1761"/>
      <c r="AD12" s="1746">
        <f>IF(NonDOT_Projects[[#This Row],[TDS (i.e. MOP main)]]="Y",NonDOT_Projects[[#This Row],[Engineering Approved Design Date]]-28,NonDOT_Projects[[#This Row],[Engineering Approved Design Date]]-21)</f>
        <v>45982</v>
      </c>
      <c r="AE12" s="1760"/>
      <c r="AF12" s="1747">
        <f>NonDOT_Projects[[#This Row],[Engineering Approved Design Date]]-(3*7)</f>
        <v>45982</v>
      </c>
      <c r="AG12" s="1749"/>
      <c r="AH12" s="1718"/>
      <c r="AI12" s="1750"/>
      <c r="AJ12" s="1684"/>
      <c r="AK12" s="200"/>
      <c r="AL12" s="1685"/>
      <c r="AM12" s="1751"/>
      <c r="AN12" s="1752"/>
      <c r="AO12" s="1753"/>
      <c r="AP12" s="1753"/>
      <c r="AQ12" s="1753"/>
      <c r="AR12" s="1754"/>
      <c r="AS12" s="1753"/>
      <c r="AT12" s="1753"/>
      <c r="AU12" s="1576"/>
      <c r="AV12" s="1753"/>
      <c r="AW12" s="1180"/>
      <c r="AX12" s="1182">
        <f>(NonDOT_Projects[[#This Row],[NM Guess Final Cost]]*NonDOT_Projects[[#This Row],[Rate]])-(NonDOT_Projects[[#This Row],[Current JS Contract Value]]*NonDOT_Projects[[#This Row],[Rate]])</f>
        <v>0</v>
      </c>
    </row>
  </sheetData>
  <mergeCells count="2">
    <mergeCell ref="AN1:AQ1"/>
    <mergeCell ref="AR1:AS1"/>
  </mergeCells>
  <phoneticPr fontId="19" type="noConversion"/>
  <pageMargins left="0.7" right="0.7" top="0.75" bottom="0.75" header="0.3" footer="0.3"/>
  <pageSetup orientation="portrait"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F7263-F600-4C8D-9D10-D3F437B9FB6F}">
  <sheetPr codeName="Sheet7"/>
  <dimension ref="A1:BE37"/>
  <sheetViews>
    <sheetView tabSelected="1" workbookViewId="0">
      <pane xSplit="10" topLeftCell="K1" activePane="topRight" state="frozen"/>
      <selection pane="topRight" activeCell="C2" sqref="C2"/>
    </sheetView>
  </sheetViews>
  <sheetFormatPr defaultColWidth="9.140625" defaultRowHeight="15" customHeight="1" x14ac:dyDescent="0.25"/>
  <cols>
    <col min="1" max="1" width="6.42578125" customWidth="1"/>
    <col min="2" max="2" width="9.42578125" customWidth="1"/>
    <col min="3" max="3" width="11.28515625" customWidth="1"/>
    <col min="4" max="4" width="9.42578125" style="13" customWidth="1"/>
    <col min="5" max="5" width="19.7109375" customWidth="1"/>
    <col min="6" max="6" width="14.28515625" style="4" customWidth="1"/>
    <col min="7" max="8" width="13.5703125" style="4" customWidth="1"/>
    <col min="9" max="9" width="13.5703125" customWidth="1"/>
    <col min="10" max="10" width="13" customWidth="1"/>
    <col min="11" max="11" width="49.42578125" style="225" customWidth="1"/>
    <col min="12" max="12" width="47" style="4" customWidth="1"/>
    <col min="13" max="13" width="23" style="20" customWidth="1"/>
    <col min="14" max="14" width="7" style="80" customWidth="1"/>
    <col min="15" max="18" width="7" style="5" customWidth="1"/>
    <col min="19" max="19" width="17.42578125" style="460" bestFit="1" customWidth="1"/>
    <col min="20" max="20" width="11.85546875" style="4" customWidth="1"/>
    <col min="21" max="21" width="12" style="4" customWidth="1"/>
    <col min="22" max="22" width="11.5703125" style="4" customWidth="1"/>
    <col min="23" max="23" width="12.28515625" style="4" customWidth="1"/>
    <col min="24" max="24" width="13" style="4" customWidth="1"/>
    <col min="25" max="25" width="11.7109375" style="4" customWidth="1"/>
    <col min="26" max="26" width="12.140625" style="4" customWidth="1"/>
    <col min="27" max="27" width="11.7109375" style="4" customWidth="1"/>
    <col min="28" max="28" width="9.42578125" style="4" customWidth="1"/>
    <col min="29" max="29" width="12.140625" style="4" customWidth="1"/>
    <col min="30" max="30" width="12.28515625" style="4" customWidth="1"/>
    <col min="31" max="31" width="25.140625" style="4" customWidth="1"/>
    <col min="32" max="32" width="11.7109375" style="4" customWidth="1"/>
    <col min="33" max="33" width="11.5703125" style="4" customWidth="1"/>
    <col min="34" max="34" width="11.5703125" style="3" customWidth="1"/>
    <col min="35" max="35" width="11.28515625" style="20" customWidth="1"/>
    <col min="36" max="36" width="46.140625" style="1" customWidth="1"/>
    <col min="37" max="37" width="20.42578125" style="4" customWidth="1"/>
    <col min="38" max="38" width="22.42578125" style="4" customWidth="1"/>
    <col min="39" max="39" width="14.7109375" style="847" customWidth="1"/>
    <col min="40" max="40" width="15.85546875" style="847" customWidth="1"/>
    <col min="41" max="41" width="11.7109375" style="316" customWidth="1"/>
    <col min="42" max="42" width="20" style="12" customWidth="1"/>
    <col min="43" max="43" width="36.5703125" style="13" customWidth="1"/>
    <col min="44" max="44" width="12.140625" style="26" customWidth="1"/>
    <col min="45" max="45" width="14.7109375" style="9" customWidth="1"/>
    <col min="46" max="46" width="27.140625" style="5" customWidth="1"/>
    <col min="47" max="47" width="15.140625" style="10" customWidth="1"/>
    <col min="48" max="48" width="18.7109375" style="5" bestFit="1" customWidth="1"/>
    <col min="49" max="49" width="18" style="3" bestFit="1" customWidth="1"/>
    <col min="50" max="50" width="19.5703125" style="9" customWidth="1"/>
    <col min="51" max="51" width="12.5703125" style="463" customWidth="1"/>
    <col min="52" max="52" width="16" style="465" bestFit="1" customWidth="1"/>
    <col min="53" max="53" width="17" style="9" customWidth="1"/>
    <col min="54" max="54" width="13" customWidth="1"/>
    <col min="55" max="55" width="13.140625" customWidth="1"/>
  </cols>
  <sheetData>
    <row r="1" spans="1:57" ht="15" customHeight="1" x14ac:dyDescent="0.3">
      <c r="A1" s="6" t="s">
        <v>7292</v>
      </c>
      <c r="B1" s="6"/>
      <c r="C1" s="6"/>
      <c r="D1" s="184"/>
      <c r="E1" s="6"/>
      <c r="F1" s="7"/>
      <c r="G1" s="7"/>
      <c r="H1" s="7"/>
      <c r="I1" s="6"/>
      <c r="J1" s="81"/>
      <c r="K1" s="222"/>
      <c r="L1" t="s">
        <v>7293</v>
      </c>
      <c r="M1" s="19"/>
      <c r="N1" s="84" t="s">
        <v>655</v>
      </c>
      <c r="O1" s="9"/>
      <c r="P1" s="9"/>
      <c r="Q1" s="9"/>
      <c r="R1" s="9"/>
      <c r="S1" s="457"/>
      <c r="T1" s="1"/>
      <c r="U1"/>
      <c r="V1"/>
      <c r="W1"/>
      <c r="X1"/>
      <c r="Y1"/>
      <c r="Z1"/>
      <c r="AA1"/>
      <c r="AB1"/>
      <c r="AC1"/>
      <c r="AD1"/>
      <c r="AE1"/>
      <c r="AF1"/>
      <c r="AG1"/>
      <c r="AH1"/>
      <c r="AI1"/>
      <c r="AJ1" t="s">
        <v>2188</v>
      </c>
      <c r="AK1"/>
      <c r="AM1" s="4"/>
      <c r="AN1" s="4"/>
      <c r="AP1" s="4"/>
      <c r="AQ1"/>
      <c r="AS1" s="1792"/>
      <c r="AT1" s="1792"/>
      <c r="AU1" s="1792"/>
      <c r="AW1" s="1791" t="s">
        <v>7294</v>
      </c>
      <c r="AX1" s="1791"/>
      <c r="AY1" s="1793" t="s">
        <v>7196</v>
      </c>
      <c r="AZ1" s="1793"/>
    </row>
    <row r="2" spans="1:57" s="2" customFormat="1" ht="50.25" customHeight="1" x14ac:dyDescent="0.25">
      <c r="A2" s="134" t="s">
        <v>659</v>
      </c>
      <c r="B2" s="134" t="s">
        <v>6891</v>
      </c>
      <c r="C2" s="135" t="s">
        <v>661</v>
      </c>
      <c r="D2" s="134" t="s">
        <v>662</v>
      </c>
      <c r="E2" s="134" t="s">
        <v>44</v>
      </c>
      <c r="F2" s="134" t="s">
        <v>663</v>
      </c>
      <c r="G2" s="134" t="s">
        <v>6892</v>
      </c>
      <c r="H2" s="134" t="s">
        <v>665</v>
      </c>
      <c r="I2" s="134" t="s">
        <v>666</v>
      </c>
      <c r="J2" s="134" t="s">
        <v>667</v>
      </c>
      <c r="K2" s="223" t="s">
        <v>6893</v>
      </c>
      <c r="L2" s="137" t="s">
        <v>7295</v>
      </c>
      <c r="M2" s="136" t="s">
        <v>7296</v>
      </c>
      <c r="N2" s="138" t="s">
        <v>712</v>
      </c>
      <c r="O2" s="134" t="s">
        <v>6897</v>
      </c>
      <c r="P2" s="134" t="s">
        <v>6898</v>
      </c>
      <c r="Q2" s="134" t="s">
        <v>6899</v>
      </c>
      <c r="R2" s="134" t="s">
        <v>716</v>
      </c>
      <c r="S2" s="458" t="s">
        <v>717</v>
      </c>
      <c r="T2" s="138" t="s">
        <v>3759</v>
      </c>
      <c r="U2" s="134" t="s">
        <v>7297</v>
      </c>
      <c r="V2" s="134" t="s">
        <v>7298</v>
      </c>
      <c r="W2" s="134" t="s">
        <v>7299</v>
      </c>
      <c r="X2" s="134" t="s">
        <v>7300</v>
      </c>
      <c r="Y2" s="134" t="s">
        <v>7301</v>
      </c>
      <c r="Z2" s="134" t="s">
        <v>7302</v>
      </c>
      <c r="AA2" s="134" t="s">
        <v>7303</v>
      </c>
      <c r="AB2" s="134" t="s">
        <v>7304</v>
      </c>
      <c r="AC2" s="134" t="s">
        <v>6905</v>
      </c>
      <c r="AD2" s="134" t="s">
        <v>7305</v>
      </c>
      <c r="AE2" s="134" t="s">
        <v>7306</v>
      </c>
      <c r="AF2" s="134" t="s">
        <v>6908</v>
      </c>
      <c r="AG2" s="134" t="s">
        <v>6909</v>
      </c>
      <c r="AH2" s="138" t="s">
        <v>6911</v>
      </c>
      <c r="AI2" s="136" t="s">
        <v>6912</v>
      </c>
      <c r="AJ2" s="134" t="s">
        <v>7307</v>
      </c>
      <c r="AK2" s="134" t="s">
        <v>7308</v>
      </c>
      <c r="AL2" s="134" t="s">
        <v>7309</v>
      </c>
      <c r="AM2" s="139" t="s">
        <v>7310</v>
      </c>
      <c r="AN2" s="139" t="s">
        <v>7311</v>
      </c>
      <c r="AO2" s="213" t="s">
        <v>7312</v>
      </c>
      <c r="AP2" s="134" t="s">
        <v>7313</v>
      </c>
      <c r="AQ2" s="134" t="s">
        <v>7314</v>
      </c>
      <c r="AR2" s="140" t="s">
        <v>6913</v>
      </c>
      <c r="AS2" s="134" t="s">
        <v>7315</v>
      </c>
      <c r="AT2" s="134" t="s">
        <v>7316</v>
      </c>
      <c r="AU2" s="136" t="s">
        <v>7317</v>
      </c>
      <c r="AV2" s="134" t="s">
        <v>7207</v>
      </c>
      <c r="AW2" s="141" t="s">
        <v>7318</v>
      </c>
      <c r="AX2" s="134" t="s">
        <v>7319</v>
      </c>
      <c r="AY2" s="462" t="s">
        <v>7208</v>
      </c>
      <c r="AZ2" s="464" t="s">
        <v>7209</v>
      </c>
      <c r="BA2" s="2" t="s">
        <v>7320</v>
      </c>
      <c r="BB2" s="134" t="s">
        <v>7321</v>
      </c>
      <c r="BC2" s="134" t="s">
        <v>7322</v>
      </c>
    </row>
    <row r="3" spans="1:57" s="30" customFormat="1" ht="60" customHeight="1" x14ac:dyDescent="0.25">
      <c r="A3" s="150" t="s">
        <v>6926</v>
      </c>
      <c r="B3" s="150" t="s">
        <v>4</v>
      </c>
      <c r="C3" s="150" t="s">
        <v>7323</v>
      </c>
      <c r="D3" s="342" t="s">
        <v>115</v>
      </c>
      <c r="E3" s="152" t="s">
        <v>2217</v>
      </c>
      <c r="F3" s="150" t="s">
        <v>6874</v>
      </c>
      <c r="G3" s="150" t="s">
        <v>31</v>
      </c>
      <c r="H3" s="150" t="s">
        <v>7324</v>
      </c>
      <c r="I3" s="153">
        <v>45646</v>
      </c>
      <c r="J3" s="836">
        <v>45982</v>
      </c>
      <c r="K3" s="224" t="s">
        <v>7325</v>
      </c>
      <c r="L3" s="153" t="s">
        <v>7326</v>
      </c>
      <c r="M3" s="188" t="s">
        <v>1092</v>
      </c>
      <c r="N3" s="813" t="s">
        <v>992</v>
      </c>
      <c r="O3" s="191" t="s">
        <v>837</v>
      </c>
      <c r="P3" s="191" t="s">
        <v>5212</v>
      </c>
      <c r="Q3" s="191" t="s">
        <v>5212</v>
      </c>
      <c r="R3" s="191" t="s">
        <v>709</v>
      </c>
      <c r="S3" s="725" t="s">
        <v>7327</v>
      </c>
      <c r="T3" s="154">
        <v>45685</v>
      </c>
      <c r="U3" s="155" t="s">
        <v>7071</v>
      </c>
      <c r="V3" s="155" t="s">
        <v>7071</v>
      </c>
      <c r="W3" s="155" t="s">
        <v>7071</v>
      </c>
      <c r="X3" s="155" t="s">
        <v>7071</v>
      </c>
      <c r="Y3" s="155" t="s">
        <v>7071</v>
      </c>
      <c r="Z3" s="155" t="s">
        <v>7071</v>
      </c>
      <c r="AA3" s="155" t="s">
        <v>7071</v>
      </c>
      <c r="AB3" s="155" t="s">
        <v>745</v>
      </c>
      <c r="AC3" s="155" t="s">
        <v>7071</v>
      </c>
      <c r="AD3" s="155" t="s">
        <v>7071</v>
      </c>
      <c r="AE3" s="202">
        <f>IF(DOT_Projects[[#This Row],[TDS (i.e. MOP main)]]="Y",DOT_Projects[[#This Row],[Engineering Approved Design Date]]-28,DOT_Projects[[#This Row],[Engineering Approved Design Date]]-21)</f>
        <v>45961</v>
      </c>
      <c r="AF3" s="155" t="s">
        <v>376</v>
      </c>
      <c r="AG3" s="155" t="s">
        <v>745</v>
      </c>
      <c r="AH3" s="154" t="s">
        <v>7071</v>
      </c>
      <c r="AI3" s="198" t="s">
        <v>376</v>
      </c>
      <c r="AJ3" s="156" t="s">
        <v>7328</v>
      </c>
      <c r="AK3" s="157" t="s">
        <v>756</v>
      </c>
      <c r="AL3" s="157" t="s">
        <v>7329</v>
      </c>
      <c r="AM3" s="848" t="s">
        <v>7330</v>
      </c>
      <c r="AN3" s="848" t="s">
        <v>7331</v>
      </c>
      <c r="AO3" s="317" t="s">
        <v>7332</v>
      </c>
      <c r="AP3" s="157" t="s">
        <v>709</v>
      </c>
      <c r="AQ3" s="190"/>
      <c r="AR3" s="158" t="s">
        <v>7333</v>
      </c>
      <c r="AS3" s="159" t="s">
        <v>7334</v>
      </c>
      <c r="AT3" s="157" t="s">
        <v>7335</v>
      </c>
      <c r="AU3" s="185" t="s">
        <v>376</v>
      </c>
      <c r="AV3" s="160" t="s">
        <v>709</v>
      </c>
      <c r="AW3" s="160" t="s">
        <v>29</v>
      </c>
      <c r="AX3" s="157" t="s">
        <v>7071</v>
      </c>
      <c r="AY3" s="159" t="s">
        <v>7336</v>
      </c>
      <c r="AZ3" s="502" t="s">
        <v>7336</v>
      </c>
      <c r="BA3" s="500" t="s">
        <v>7071</v>
      </c>
      <c r="BB3" t="str">
        <f>IF(DAY(DOT_Projects[[#This Row],[Engineering Approved Design Date]]) &gt; 16, TEXT(EOMONTH(DOT_Projects[[#This Row],[Engineering Approved Design Date]], 0) + 1, "mmmm"), TEXT(EOMONTH(DOT_Projects[[#This Row],[Engineering Approved Design Date]], -1) + 1, "mmmm"))</f>
        <v>December</v>
      </c>
      <c r="BC3" t="str">
        <f>IF(DAY(DOT_Projects[[#This Row],[Engineering Approved Design Date]]) &gt; 16, TEXT(EOMONTH(DOT_Projects[[#This Row],[Engineering Approved Design Date]], 0) + 1, "mmmm"), TEXT(EOMONTH(DOT_Projects[[#This Row],[Engineering Approved Design Date]], -1) + 1, "mmmm"))</f>
        <v>December</v>
      </c>
      <c r="BE3" t="str">
        <f>_xlfn.CONCAT(DOT_Projects[[#This Row],[WO Number]],DOT_Projects[[#This Row],[Engineering Number]],DOT_Projects[[#This Row],[Town]])</f>
        <v>-SC24323NEW LENOX</v>
      </c>
    </row>
    <row r="4" spans="1:57" s="30" customFormat="1" ht="60" customHeight="1" x14ac:dyDescent="0.25">
      <c r="A4" s="150" t="s">
        <v>6926</v>
      </c>
      <c r="B4" s="150" t="s">
        <v>4</v>
      </c>
      <c r="C4" s="150" t="s">
        <v>7337</v>
      </c>
      <c r="D4" s="342" t="s">
        <v>115</v>
      </c>
      <c r="E4" s="152" t="s">
        <v>2217</v>
      </c>
      <c r="F4" s="150" t="s">
        <v>6874</v>
      </c>
      <c r="G4" s="150" t="s">
        <v>31</v>
      </c>
      <c r="H4" s="150" t="s">
        <v>7324</v>
      </c>
      <c r="I4" s="153">
        <v>45611</v>
      </c>
      <c r="J4" s="836">
        <v>45982</v>
      </c>
      <c r="K4" s="224" t="s">
        <v>7325</v>
      </c>
      <c r="L4" s="153" t="s">
        <v>7338</v>
      </c>
      <c r="M4" s="188" t="s">
        <v>1092</v>
      </c>
      <c r="N4" s="813" t="s">
        <v>116</v>
      </c>
      <c r="O4" s="191" t="s">
        <v>837</v>
      </c>
      <c r="P4" s="191" t="s">
        <v>5212</v>
      </c>
      <c r="Q4" s="191" t="s">
        <v>745</v>
      </c>
      <c r="R4" s="191" t="s">
        <v>7339</v>
      </c>
      <c r="S4" s="459" t="s">
        <v>7340</v>
      </c>
      <c r="T4" s="154">
        <v>45644</v>
      </c>
      <c r="U4" s="155" t="s">
        <v>7071</v>
      </c>
      <c r="V4" s="155" t="s">
        <v>7071</v>
      </c>
      <c r="W4" s="850" t="s">
        <v>7071</v>
      </c>
      <c r="X4" s="155" t="s">
        <v>7071</v>
      </c>
      <c r="Y4" s="155" t="s">
        <v>7071</v>
      </c>
      <c r="Z4" s="155" t="s">
        <v>7071</v>
      </c>
      <c r="AA4" s="155" t="s">
        <v>7071</v>
      </c>
      <c r="AB4" s="146" t="s">
        <v>116</v>
      </c>
      <c r="AC4" s="155" t="s">
        <v>7071</v>
      </c>
      <c r="AD4" s="155" t="s">
        <v>7071</v>
      </c>
      <c r="AE4" s="197">
        <f>IF(DOT_Projects[[#This Row],[TDS (i.e. MOP main)]]="Y",DOT_Projects[[#This Row],[Engineering Approved Design Date]]-28,DOT_Projects[[#This Row],[Engineering Approved Design Date]]-21)</f>
        <v>45961</v>
      </c>
      <c r="AF4" s="189" t="s">
        <v>376</v>
      </c>
      <c r="AG4" s="146" t="s">
        <v>709</v>
      </c>
      <c r="AH4" s="145" t="s">
        <v>7071</v>
      </c>
      <c r="AI4" s="841" t="s">
        <v>376</v>
      </c>
      <c r="AJ4" s="147" t="s">
        <v>7328</v>
      </c>
      <c r="AK4" s="148" t="s">
        <v>116</v>
      </c>
      <c r="AL4" s="157" t="s">
        <v>7341</v>
      </c>
      <c r="AM4" s="848" t="s">
        <v>7342</v>
      </c>
      <c r="AN4" s="849" t="s">
        <v>7343</v>
      </c>
      <c r="AO4" s="317" t="s">
        <v>7344</v>
      </c>
      <c r="AP4" s="148" t="s">
        <v>709</v>
      </c>
      <c r="AQ4" s="826"/>
      <c r="AR4" s="158" t="s">
        <v>709</v>
      </c>
      <c r="AS4" s="159" t="s">
        <v>7345</v>
      </c>
      <c r="AT4" s="148" t="s">
        <v>7346</v>
      </c>
      <c r="AU4" s="185" t="s">
        <v>376</v>
      </c>
      <c r="AV4" s="160" t="s">
        <v>709</v>
      </c>
      <c r="AW4" s="160" t="s">
        <v>29</v>
      </c>
      <c r="AX4" s="157" t="s">
        <v>7071</v>
      </c>
      <c r="AY4" s="159" t="s">
        <v>7336</v>
      </c>
      <c r="AZ4" s="502" t="s">
        <v>7336</v>
      </c>
      <c r="BA4" s="839" t="s">
        <v>7071</v>
      </c>
      <c r="BB4" t="str">
        <f>IF(DAY(DOT_Projects[[#This Row],[Engineering Approved Design Date]]) &gt; 16, TEXT(EOMONTH(DOT_Projects[[#This Row],[Engineering Approved Design Date]], 0) + 1, "mmmm"), TEXT(EOMONTH(DOT_Projects[[#This Row],[Engineering Approved Design Date]], -1) + 1, "mmmm"))</f>
        <v>December</v>
      </c>
      <c r="BC4" t="str">
        <f>IF(DAY(DOT_Projects[[#This Row],[Engineering Approved Design Date]]) &gt; 16, TEXT(EOMONTH(DOT_Projects[[#This Row],[Engineering Approved Design Date]], 0) + 1, "mmmm"), TEXT(EOMONTH(DOT_Projects[[#This Row],[Engineering Approved Design Date]], -1) + 1, "mmmm"))</f>
        <v>December</v>
      </c>
      <c r="BE4" t="str">
        <f>_xlfn.CONCAT(DOT_Projects[[#This Row],[WO Number]],DOT_Projects[[#This Row],[Engineering Number]],DOT_Projects[[#This Row],[Town]])</f>
        <v>-SC25268NEW LENOX</v>
      </c>
    </row>
    <row r="5" spans="1:57" ht="60" customHeight="1" x14ac:dyDescent="0.25">
      <c r="A5" s="150" t="s">
        <v>6926</v>
      </c>
      <c r="B5" s="150" t="s">
        <v>4</v>
      </c>
      <c r="C5" s="150" t="s">
        <v>7347</v>
      </c>
      <c r="D5" s="151" t="s">
        <v>115</v>
      </c>
      <c r="E5" s="152" t="s">
        <v>426</v>
      </c>
      <c r="F5" s="150" t="s">
        <v>784</v>
      </c>
      <c r="G5" s="150" t="s">
        <v>31</v>
      </c>
      <c r="H5" s="150" t="s">
        <v>7324</v>
      </c>
      <c r="I5" s="153">
        <v>45258</v>
      </c>
      <c r="J5" s="836">
        <v>46010</v>
      </c>
      <c r="K5" s="224" t="s">
        <v>7348</v>
      </c>
      <c r="L5" s="153" t="s">
        <v>7349</v>
      </c>
      <c r="M5" s="188" t="s">
        <v>7350</v>
      </c>
      <c r="N5" s="813" t="s">
        <v>992</v>
      </c>
      <c r="O5" s="191" t="s">
        <v>882</v>
      </c>
      <c r="P5" s="191" t="s">
        <v>1396</v>
      </c>
      <c r="Q5" s="191" t="s">
        <v>709</v>
      </c>
      <c r="R5" s="191" t="s">
        <v>709</v>
      </c>
      <c r="S5" s="459" t="s">
        <v>7351</v>
      </c>
      <c r="T5" s="154">
        <v>45268</v>
      </c>
      <c r="U5" s="155" t="s">
        <v>7071</v>
      </c>
      <c r="V5" s="155" t="s">
        <v>7071</v>
      </c>
      <c r="W5" s="155" t="s">
        <v>7071</v>
      </c>
      <c r="X5" s="850" t="s">
        <v>7071</v>
      </c>
      <c r="Y5" s="850" t="s">
        <v>7071</v>
      </c>
      <c r="Z5" s="850" t="s">
        <v>7071</v>
      </c>
      <c r="AA5" s="850" t="s">
        <v>7071</v>
      </c>
      <c r="AB5" s="155" t="s">
        <v>745</v>
      </c>
      <c r="AC5" s="155" t="s">
        <v>7071</v>
      </c>
      <c r="AD5" s="155" t="s">
        <v>7071</v>
      </c>
      <c r="AE5" s="202">
        <f>IF(DOT_Projects[[#This Row],[TDS (i.e. MOP main)]]="Y",DOT_Projects[[#This Row],[Engineering Approved Design Date]]-28,DOT_Projects[[#This Row],[Engineering Approved Design Date]]-21)</f>
        <v>45989</v>
      </c>
      <c r="AF5" s="155" t="s">
        <v>376</v>
      </c>
      <c r="AG5" s="155" t="s">
        <v>745</v>
      </c>
      <c r="AH5" s="154" t="s">
        <v>7071</v>
      </c>
      <c r="AI5" s="198" t="s">
        <v>376</v>
      </c>
      <c r="AJ5" s="156" t="s">
        <v>7352</v>
      </c>
      <c r="AK5" s="157" t="s">
        <v>756</v>
      </c>
      <c r="AL5" s="157" t="s">
        <v>29</v>
      </c>
      <c r="AM5" s="848" t="s">
        <v>7353</v>
      </c>
      <c r="AN5" s="848" t="s">
        <v>7354</v>
      </c>
      <c r="AO5" s="317" t="s">
        <v>7344</v>
      </c>
      <c r="AP5" s="157" t="s">
        <v>709</v>
      </c>
      <c r="AQ5" s="190"/>
      <c r="AR5" s="158" t="s">
        <v>7355</v>
      </c>
      <c r="AS5" s="1178" t="s">
        <v>7356</v>
      </c>
      <c r="AT5" s="146">
        <v>45686</v>
      </c>
      <c r="AU5" s="185" t="s">
        <v>376</v>
      </c>
      <c r="AV5" s="160" t="s">
        <v>7357</v>
      </c>
      <c r="AW5" s="160" t="s">
        <v>7358</v>
      </c>
      <c r="AX5" s="157" t="s">
        <v>7071</v>
      </c>
      <c r="AY5" s="159" t="s">
        <v>745</v>
      </c>
      <c r="AZ5" s="502" t="s">
        <v>29</v>
      </c>
      <c r="BA5" s="500" t="s">
        <v>7071</v>
      </c>
      <c r="BB5" t="str">
        <f>IF(DAY(DOT_Projects[[#This Row],[Engineering Approved Design Date]]) &gt; 16, TEXT(EOMONTH(DOT_Projects[[#This Row],[Engineering Approved Design Date]], 0) + 1, "mmmm"), TEXT(EOMONTH(DOT_Projects[[#This Row],[Engineering Approved Design Date]], -1) + 1, "mmmm"))</f>
        <v>January</v>
      </c>
      <c r="BC5" t="str">
        <f>IF(DAY(DOT_Projects[[#This Row],[Engineering Approved Design Date]]) &gt; 16, TEXT(EOMONTH(DOT_Projects[[#This Row],[Engineering Approved Design Date]], 0) + 1, "mmmm"), TEXT(EOMONTH(DOT_Projects[[#This Row],[Engineering Approved Design Date]], -1) + 1, "mmmm"))</f>
        <v>January</v>
      </c>
      <c r="BE5" t="str">
        <f>_xlfn.CONCAT(DOT_Projects[[#This Row],[WO Number]],DOT_Projects[[#This Row],[Engineering Number]],DOT_Projects[[#This Row],[Town]])</f>
        <v>-N14644WHEELING</v>
      </c>
    </row>
    <row r="6" spans="1:57" ht="45" x14ac:dyDescent="0.25">
      <c r="A6" s="150" t="s">
        <v>6816</v>
      </c>
      <c r="B6" s="150" t="s">
        <v>4</v>
      </c>
      <c r="C6" s="150" t="s">
        <v>7359</v>
      </c>
      <c r="D6" s="151" t="s">
        <v>7360</v>
      </c>
      <c r="E6" s="152" t="s">
        <v>1915</v>
      </c>
      <c r="F6" s="150" t="s">
        <v>851</v>
      </c>
      <c r="G6" s="150" t="s">
        <v>7361</v>
      </c>
      <c r="H6" s="150" t="s">
        <v>7324</v>
      </c>
      <c r="I6" s="153">
        <v>45749</v>
      </c>
      <c r="J6" s="755">
        <v>45989</v>
      </c>
      <c r="K6" s="224" t="s">
        <v>9201</v>
      </c>
      <c r="L6" s="153" t="s">
        <v>7362</v>
      </c>
      <c r="M6" s="188" t="s">
        <v>961</v>
      </c>
      <c r="N6" s="813" t="s">
        <v>709</v>
      </c>
      <c r="O6" s="191" t="s">
        <v>709</v>
      </c>
      <c r="P6" s="191" t="s">
        <v>709</v>
      </c>
      <c r="Q6" s="191" t="s">
        <v>3332</v>
      </c>
      <c r="R6" s="191" t="s">
        <v>745</v>
      </c>
      <c r="S6" s="725" t="s">
        <v>7363</v>
      </c>
      <c r="T6" s="154">
        <v>45911</v>
      </c>
      <c r="U6" s="155" t="s">
        <v>7071</v>
      </c>
      <c r="V6" s="155" t="s">
        <v>7071</v>
      </c>
      <c r="W6" s="155" t="s">
        <v>7071</v>
      </c>
      <c r="X6" s="155" t="s">
        <v>7071</v>
      </c>
      <c r="Y6" s="155" t="s">
        <v>7071</v>
      </c>
      <c r="Z6" s="155" t="s">
        <v>7071</v>
      </c>
      <c r="AA6" s="155" t="s">
        <v>7071</v>
      </c>
      <c r="AB6" s="155" t="s">
        <v>709</v>
      </c>
      <c r="AC6" s="155" t="s">
        <v>7071</v>
      </c>
      <c r="AD6" s="155" t="s">
        <v>7071</v>
      </c>
      <c r="AE6" s="202">
        <f>IF(DOT_Projects[[#This Row],[TDS (i.e. MOP main)]]="Y",DOT_Projects[[#This Row],[Engineering Approved Design Date]]-28,DOT_Projects[[#This Row],[Engineering Approved Design Date]]-21)</f>
        <v>45961</v>
      </c>
      <c r="AF6" s="155" t="s">
        <v>376</v>
      </c>
      <c r="AG6" s="155" t="s">
        <v>116</v>
      </c>
      <c r="AH6" s="154">
        <v>45761</v>
      </c>
      <c r="AI6" s="198">
        <v>2</v>
      </c>
      <c r="AJ6" s="156" t="s">
        <v>7364</v>
      </c>
      <c r="AK6" s="157" t="s">
        <v>756</v>
      </c>
      <c r="AL6" s="848" t="s">
        <v>29</v>
      </c>
      <c r="AM6" s="848" t="s">
        <v>29</v>
      </c>
      <c r="AN6" s="848" t="s">
        <v>29</v>
      </c>
      <c r="AO6" s="317" t="s">
        <v>29</v>
      </c>
      <c r="AP6" s="157" t="s">
        <v>709</v>
      </c>
      <c r="AQ6" s="190"/>
      <c r="AR6" s="158" t="s">
        <v>709</v>
      </c>
      <c r="AS6" s="159" t="s">
        <v>7365</v>
      </c>
      <c r="AT6" s="148" t="s">
        <v>7365</v>
      </c>
      <c r="AU6" s="185" t="s">
        <v>120</v>
      </c>
      <c r="AV6" s="160" t="s">
        <v>116</v>
      </c>
      <c r="AW6" s="160" t="s">
        <v>29</v>
      </c>
      <c r="AX6" s="157" t="s">
        <v>7366</v>
      </c>
      <c r="AY6" s="159" t="s">
        <v>7336</v>
      </c>
      <c r="AZ6" s="502" t="s">
        <v>7336</v>
      </c>
      <c r="BA6" s="500" t="s">
        <v>7071</v>
      </c>
      <c r="BB6" t="str">
        <f>IF(DAY(DOT_Projects[[#This Row],[Engineering Approved Design Date]]) &gt; 16, TEXT(EOMONTH(DOT_Projects[[#This Row],[Engineering Approved Design Date]], 0) + 1, "mmmm"), TEXT(EOMONTH(DOT_Projects[[#This Row],[Engineering Approved Design Date]], -1) + 1, "mmmm"))</f>
        <v>December</v>
      </c>
      <c r="BC6" t="str">
        <f>IF(DAY(DOT_Projects[[#This Row],[Engineering Approved Design Date]]) &gt; 16, TEXT(EOMONTH(DOT_Projects[[#This Row],[Engineering Approved Design Date]], 0) + 1, "mmmm"), TEXT(EOMONTH(DOT_Projects[[#This Row],[Engineering Approved Design Date]], -1) + 1, "mmmm"))</f>
        <v>December</v>
      </c>
      <c r="BE6" t="str">
        <f>_xlfn.CONCAT(DOT_Projects[[#This Row],[WO Number]],DOT_Projects[[#This Row],[Engineering Number]],DOT_Projects[[#This Row],[Town]])</f>
        <v>1415232SC25957GILMAN</v>
      </c>
    </row>
    <row r="7" spans="1:57" ht="60" customHeight="1" x14ac:dyDescent="0.25">
      <c r="A7" s="150" t="s">
        <v>6816</v>
      </c>
      <c r="B7" s="150" t="s">
        <v>4</v>
      </c>
      <c r="C7" s="150" t="s">
        <v>7367</v>
      </c>
      <c r="D7" s="151" t="s">
        <v>7368</v>
      </c>
      <c r="E7" s="152" t="s">
        <v>361</v>
      </c>
      <c r="F7" s="150" t="s">
        <v>784</v>
      </c>
      <c r="G7" s="150" t="s">
        <v>7369</v>
      </c>
      <c r="H7" s="150" t="s">
        <v>6930</v>
      </c>
      <c r="I7" s="153">
        <v>45860</v>
      </c>
      <c r="J7" s="283">
        <v>45947</v>
      </c>
      <c r="K7" s="224" t="s">
        <v>3972</v>
      </c>
      <c r="L7" s="153" t="s">
        <v>7370</v>
      </c>
      <c r="M7" s="188" t="s">
        <v>7371</v>
      </c>
      <c r="N7" s="813" t="s">
        <v>992</v>
      </c>
      <c r="O7" s="191" t="s">
        <v>882</v>
      </c>
      <c r="P7" s="191" t="s">
        <v>7372</v>
      </c>
      <c r="Q7" s="191" t="s">
        <v>7373</v>
      </c>
      <c r="R7" s="191" t="s">
        <v>5619</v>
      </c>
      <c r="S7" s="725" t="s">
        <v>7374</v>
      </c>
      <c r="T7" s="154">
        <v>45884</v>
      </c>
      <c r="U7" s="155">
        <v>45888</v>
      </c>
      <c r="V7" s="155" t="s">
        <v>116</v>
      </c>
      <c r="W7" s="155">
        <v>45895</v>
      </c>
      <c r="X7" s="155" t="s">
        <v>29</v>
      </c>
      <c r="Y7" s="155" t="s">
        <v>29</v>
      </c>
      <c r="Z7" s="1705">
        <v>45903</v>
      </c>
      <c r="AA7" s="155">
        <v>45905</v>
      </c>
      <c r="AB7" s="155" t="s">
        <v>745</v>
      </c>
      <c r="AC7" s="155">
        <v>45916</v>
      </c>
      <c r="AD7" s="155">
        <v>45924</v>
      </c>
      <c r="AE7" s="202">
        <f>IF(DOT_Projects[[#This Row],[TDS (i.e. MOP main)]]="Y",DOT_Projects[[#This Row],[Engineering Approved Design Date]]-28,DOT_Projects[[#This Row],[Engineering Approved Design Date]]-21)</f>
        <v>45926</v>
      </c>
      <c r="AF7" s="155">
        <v>45936</v>
      </c>
      <c r="AG7" s="155" t="s">
        <v>745</v>
      </c>
      <c r="AH7" s="154">
        <v>45903</v>
      </c>
      <c r="AI7" s="198">
        <v>1</v>
      </c>
      <c r="AJ7" s="156" t="s">
        <v>7375</v>
      </c>
      <c r="AK7" s="157" t="s">
        <v>756</v>
      </c>
      <c r="AL7" s="157" t="s">
        <v>29</v>
      </c>
      <c r="AM7" s="848" t="s">
        <v>7376</v>
      </c>
      <c r="AN7" s="848" t="s">
        <v>7377</v>
      </c>
      <c r="AO7" s="317" t="s">
        <v>7378</v>
      </c>
      <c r="AP7" s="157" t="s">
        <v>756</v>
      </c>
      <c r="AQ7" s="190"/>
      <c r="AR7" s="158" t="s">
        <v>709</v>
      </c>
      <c r="AS7" s="1178">
        <v>45868</v>
      </c>
      <c r="AT7" s="157" t="s">
        <v>7379</v>
      </c>
      <c r="AU7" s="185" t="s">
        <v>739</v>
      </c>
      <c r="AV7" s="160" t="s">
        <v>709</v>
      </c>
      <c r="AW7" s="160" t="s">
        <v>29</v>
      </c>
      <c r="AX7" s="155">
        <v>45893</v>
      </c>
      <c r="AY7" s="159" t="s">
        <v>745</v>
      </c>
      <c r="AZ7" s="502" t="s">
        <v>709</v>
      </c>
      <c r="BA7" s="500">
        <v>125000</v>
      </c>
      <c r="BB7" t="str">
        <f>IF(DAY(DOT_Projects[[#This Row],[Engineering Approved Design Date]]) &gt; 16, TEXT(EOMONTH(DOT_Projects[[#This Row],[Engineering Approved Design Date]], 0) + 1, "mmmm"), TEXT(EOMONTH(DOT_Projects[[#This Row],[Engineering Approved Design Date]], -1) + 1, "mmmm"))</f>
        <v>November</v>
      </c>
      <c r="BC7" t="str">
        <f>IF(DAY(DOT_Projects[[#This Row],[Engineering Approved Design Date]]) &gt; 16, TEXT(EOMONTH(DOT_Projects[[#This Row],[Engineering Approved Design Date]], 0) + 1, "mmmm"), TEXT(EOMONTH(DOT_Projects[[#This Row],[Engineering Approved Design Date]], -1) + 1, "mmmm"))</f>
        <v>November</v>
      </c>
      <c r="BE7" t="str">
        <f>_xlfn.CONCAT(DOT_Projects[[#This Row],[WO Number]],DOT_Projects[[#This Row],[Engineering Number]],DOT_Projects[[#This Row],[Town]])</f>
        <v>1215754N17936ARLINGTON HEIGHTS</v>
      </c>
    </row>
    <row r="8" spans="1:57" ht="75" customHeight="1" x14ac:dyDescent="0.25">
      <c r="A8" s="150" t="s">
        <v>6816</v>
      </c>
      <c r="B8" s="150" t="s">
        <v>4</v>
      </c>
      <c r="C8" s="778" t="s">
        <v>7380</v>
      </c>
      <c r="D8" s="151" t="s">
        <v>7381</v>
      </c>
      <c r="E8" s="152" t="s">
        <v>391</v>
      </c>
      <c r="F8" s="150" t="s">
        <v>784</v>
      </c>
      <c r="G8" s="150" t="s">
        <v>7382</v>
      </c>
      <c r="H8" s="150" t="s">
        <v>6930</v>
      </c>
      <c r="I8" s="153">
        <v>45719</v>
      </c>
      <c r="J8" s="1731">
        <v>45953</v>
      </c>
      <c r="K8" s="224" t="s">
        <v>7383</v>
      </c>
      <c r="L8" s="153" t="s">
        <v>7384</v>
      </c>
      <c r="M8" s="188" t="s">
        <v>944</v>
      </c>
      <c r="N8" s="813" t="s">
        <v>992</v>
      </c>
      <c r="O8" s="191" t="s">
        <v>709</v>
      </c>
      <c r="P8" s="191" t="s">
        <v>945</v>
      </c>
      <c r="Q8" s="191" t="s">
        <v>709</v>
      </c>
      <c r="R8" s="191" t="s">
        <v>709</v>
      </c>
      <c r="S8" s="459" t="s">
        <v>7385</v>
      </c>
      <c r="T8" s="154">
        <v>45730</v>
      </c>
      <c r="U8" s="1703" t="s">
        <v>7386</v>
      </c>
      <c r="V8" s="155" t="s">
        <v>116</v>
      </c>
      <c r="W8" s="155" t="s">
        <v>7387</v>
      </c>
      <c r="X8" s="155" t="s">
        <v>7388</v>
      </c>
      <c r="Y8" s="850" t="s">
        <v>7389</v>
      </c>
      <c r="Z8" s="1737" t="s">
        <v>7390</v>
      </c>
      <c r="AA8" s="1737" t="s">
        <v>7391</v>
      </c>
      <c r="AB8" s="155" t="s">
        <v>745</v>
      </c>
      <c r="AC8" s="155">
        <v>45884</v>
      </c>
      <c r="AD8" s="155">
        <v>45918</v>
      </c>
      <c r="AE8" s="202">
        <f>IF(DOT_Projects[[#This Row],[TDS (i.e. MOP main)]]="Y",DOT_Projects[[#This Row],[Engineering Approved Design Date]]-28,DOT_Projects[[#This Row],[Engineering Approved Design Date]]-21)</f>
        <v>45932</v>
      </c>
      <c r="AF8" s="155">
        <v>45931</v>
      </c>
      <c r="AG8" s="155" t="s">
        <v>745</v>
      </c>
      <c r="AH8" s="154">
        <v>45854</v>
      </c>
      <c r="AI8" s="198">
        <v>3</v>
      </c>
      <c r="AJ8" s="156" t="s">
        <v>7392</v>
      </c>
      <c r="AK8" s="157" t="s">
        <v>756</v>
      </c>
      <c r="AL8" s="5" t="s">
        <v>29</v>
      </c>
      <c r="AM8" s="848" t="s">
        <v>7393</v>
      </c>
      <c r="AN8" s="848" t="s">
        <v>7394</v>
      </c>
      <c r="AO8" s="317" t="s">
        <v>7395</v>
      </c>
      <c r="AP8" s="5" t="s">
        <v>116</v>
      </c>
      <c r="AQ8" s="190"/>
      <c r="AR8" s="158" t="s">
        <v>745</v>
      </c>
      <c r="AS8" s="159" t="s">
        <v>7396</v>
      </c>
      <c r="AT8" s="157" t="s">
        <v>7397</v>
      </c>
      <c r="AU8" s="185" t="s">
        <v>709</v>
      </c>
      <c r="AV8" s="160" t="s">
        <v>709</v>
      </c>
      <c r="AW8" s="160" t="s">
        <v>29</v>
      </c>
      <c r="AX8" s="157" t="s">
        <v>7398</v>
      </c>
      <c r="AY8" s="159" t="s">
        <v>709</v>
      </c>
      <c r="AZ8" s="502" t="s">
        <v>709</v>
      </c>
      <c r="BA8" s="500">
        <v>150000</v>
      </c>
      <c r="BB8" t="str">
        <f>IF(DAY(DOT_Projects[[#This Row],[Engineering Approved Design Date]]) &gt; 16, TEXT(EOMONTH(DOT_Projects[[#This Row],[Engineering Approved Design Date]], 0) + 1, "mmmm"), TEXT(EOMONTH(DOT_Projects[[#This Row],[Engineering Approved Design Date]], -1) + 1, "mmmm"))</f>
        <v>November</v>
      </c>
      <c r="BC8" t="str">
        <f>IF(DAY(DOT_Projects[[#This Row],[Engineering Approved Design Date]]) &gt; 16, TEXT(EOMONTH(DOT_Projects[[#This Row],[Engineering Approved Design Date]], 0) + 1, "mmmm"), TEXT(EOMONTH(DOT_Projects[[#This Row],[Engineering Approved Design Date]], -1) + 1, "mmmm"))</f>
        <v>November</v>
      </c>
      <c r="BE8" t="str">
        <f>_xlfn.CONCAT(DOT_Projects[[#This Row],[WO Number]],DOT_Projects[[#This Row],[Engineering Number]],DOT_Projects[[#This Row],[Town]])</f>
        <v>1215629M12594NILES</v>
      </c>
    </row>
    <row r="9" spans="1:57" ht="75" customHeight="1" x14ac:dyDescent="0.25">
      <c r="A9" s="150" t="s">
        <v>6816</v>
      </c>
      <c r="B9" s="142" t="s">
        <v>4</v>
      </c>
      <c r="C9" s="142" t="s">
        <v>7399</v>
      </c>
      <c r="D9" s="831" t="s">
        <v>7400</v>
      </c>
      <c r="E9" s="143" t="s">
        <v>7401</v>
      </c>
      <c r="F9" s="142" t="s">
        <v>6874</v>
      </c>
      <c r="G9" s="142" t="s">
        <v>7382</v>
      </c>
      <c r="H9" s="142" t="s">
        <v>7001</v>
      </c>
      <c r="I9" s="144">
        <v>45762</v>
      </c>
      <c r="J9" s="1699">
        <v>45947</v>
      </c>
      <c r="K9" s="1700" t="s">
        <v>9208</v>
      </c>
      <c r="L9" s="153" t="s">
        <v>7402</v>
      </c>
      <c r="M9" s="825" t="s">
        <v>7403</v>
      </c>
      <c r="N9" s="813" t="s">
        <v>992</v>
      </c>
      <c r="O9" s="191" t="s">
        <v>709</v>
      </c>
      <c r="P9" s="191" t="s">
        <v>7404</v>
      </c>
      <c r="Q9" s="191" t="s">
        <v>709</v>
      </c>
      <c r="R9" s="191" t="s">
        <v>745</v>
      </c>
      <c r="S9" s="725" t="s">
        <v>7405</v>
      </c>
      <c r="T9" s="145">
        <v>45730</v>
      </c>
      <c r="U9" s="155">
        <v>45817</v>
      </c>
      <c r="V9" s="155" t="s">
        <v>116</v>
      </c>
      <c r="W9" s="155">
        <v>45860</v>
      </c>
      <c r="X9" s="146" t="s">
        <v>7406</v>
      </c>
      <c r="Y9" s="1736" t="s">
        <v>4055</v>
      </c>
      <c r="Z9" s="1736" t="s">
        <v>4055</v>
      </c>
      <c r="AA9" s="1736" t="s">
        <v>4055</v>
      </c>
      <c r="AB9" s="146" t="s">
        <v>709</v>
      </c>
      <c r="AC9" s="146">
        <v>45867</v>
      </c>
      <c r="AD9" s="146">
        <v>45873</v>
      </c>
      <c r="AE9" s="197">
        <f>IF(DOT_Projects[[#This Row],[TDS (i.e. MOP main)]]="Y",DOT_Projects[[#This Row],[Engineering Approved Design Date]]-28,DOT_Projects[[#This Row],[Engineering Approved Design Date]]-21)</f>
        <v>45926</v>
      </c>
      <c r="AF9" s="146">
        <v>45904</v>
      </c>
      <c r="AG9" s="146" t="s">
        <v>745</v>
      </c>
      <c r="AH9" s="154">
        <v>45824</v>
      </c>
      <c r="AI9" s="198">
        <v>6</v>
      </c>
      <c r="AJ9" s="147" t="s">
        <v>7407</v>
      </c>
      <c r="AK9" s="148" t="s">
        <v>116</v>
      </c>
      <c r="AL9" s="148" t="s">
        <v>29</v>
      </c>
      <c r="AM9" s="849" t="s">
        <v>7408</v>
      </c>
      <c r="AN9" s="849" t="s">
        <v>376</v>
      </c>
      <c r="AO9" s="842" t="s">
        <v>7395</v>
      </c>
      <c r="AP9" s="148" t="s">
        <v>116</v>
      </c>
      <c r="AQ9" s="826"/>
      <c r="AR9" s="843" t="s">
        <v>709</v>
      </c>
      <c r="AS9" s="844" t="s">
        <v>7409</v>
      </c>
      <c r="AT9" s="148" t="s">
        <v>7410</v>
      </c>
      <c r="AU9" s="845" t="s">
        <v>709</v>
      </c>
      <c r="AV9" s="149" t="s">
        <v>7357</v>
      </c>
      <c r="AW9" s="149" t="s">
        <v>29</v>
      </c>
      <c r="AX9" s="157" t="s">
        <v>7411</v>
      </c>
      <c r="AY9" s="844" t="s">
        <v>709</v>
      </c>
      <c r="AZ9" s="846" t="s">
        <v>709</v>
      </c>
      <c r="BA9" s="500">
        <v>200000</v>
      </c>
      <c r="BB9" t="str">
        <f>IF(DAY(DOT_Projects[[#This Row],[Engineering Approved Design Date]]) &gt; 16, TEXT(EOMONTH(DOT_Projects[[#This Row],[Engineering Approved Design Date]], 0) + 1, "mmmm"), TEXT(EOMONTH(DOT_Projects[[#This Row],[Engineering Approved Design Date]], -1) + 1, "mmmm"))</f>
        <v>November</v>
      </c>
      <c r="BC9" t="str">
        <f>IF(DAY(DOT_Projects[[#This Row],[Engineering Approved Design Date]]) &gt; 16, TEXT(EOMONTH(DOT_Projects[[#This Row],[Engineering Approved Design Date]], 0) + 1, "mmmm"), TEXT(EOMONTH(DOT_Projects[[#This Row],[Engineering Approved Design Date]], -1) + 1, "mmmm"))</f>
        <v>November</v>
      </c>
      <c r="BE9" t="str">
        <f>_xlfn.CONCAT(DOT_Projects[[#This Row],[WO Number]],DOT_Projects[[#This Row],[Engineering Number]],DOT_Projects[[#This Row],[Town]])</f>
        <v>1215541SC25745FORD HEIGHTS</v>
      </c>
    </row>
    <row r="10" spans="1:57" ht="60" customHeight="1" x14ac:dyDescent="0.25">
      <c r="A10" s="150" t="s">
        <v>6816</v>
      </c>
      <c r="B10" t="s">
        <v>4</v>
      </c>
      <c r="C10" s="150" t="s">
        <v>7412</v>
      </c>
      <c r="D10" s="12">
        <v>1215830</v>
      </c>
      <c r="E10" t="s">
        <v>3268</v>
      </c>
      <c r="F10" s="142" t="s">
        <v>851</v>
      </c>
      <c r="G10" s="142" t="s">
        <v>7382</v>
      </c>
      <c r="H10" s="142" t="s">
        <v>7001</v>
      </c>
      <c r="I10" s="144">
        <v>45735</v>
      </c>
      <c r="J10" s="1662">
        <v>45940</v>
      </c>
      <c r="K10" s="840" t="s">
        <v>9207</v>
      </c>
      <c r="L10" s="755" t="s">
        <v>7413</v>
      </c>
      <c r="M10" s="825" t="s">
        <v>870</v>
      </c>
      <c r="N10" s="813" t="s">
        <v>709</v>
      </c>
      <c r="O10" s="191" t="s">
        <v>7414</v>
      </c>
      <c r="P10" s="191" t="s">
        <v>7415</v>
      </c>
      <c r="Q10" s="191" t="s">
        <v>3609</v>
      </c>
      <c r="R10" s="191" t="s">
        <v>745</v>
      </c>
      <c r="S10" s="459" t="s">
        <v>7416</v>
      </c>
      <c r="T10" s="145">
        <v>45750</v>
      </c>
      <c r="U10" s="155">
        <v>45839</v>
      </c>
      <c r="V10" s="155" t="s">
        <v>116</v>
      </c>
      <c r="W10" s="155">
        <v>45845</v>
      </c>
      <c r="X10" s="1735" t="s">
        <v>4055</v>
      </c>
      <c r="Y10" s="1735" t="s">
        <v>4055</v>
      </c>
      <c r="Z10" s="1735" t="s">
        <v>4055</v>
      </c>
      <c r="AA10" s="1735" t="s">
        <v>4055</v>
      </c>
      <c r="AB10" s="146" t="s">
        <v>745</v>
      </c>
      <c r="AC10" s="146">
        <v>45838</v>
      </c>
      <c r="AD10" s="146">
        <v>45845</v>
      </c>
      <c r="AE10" s="197">
        <f>IF(DOT_Projects[[#This Row],[TDS (i.e. MOP main)]]="Y",DOT_Projects[[#This Row],[Engineering Approved Design Date]]-28,DOT_Projects[[#This Row],[Engineering Approved Design Date]]-21)</f>
        <v>45919</v>
      </c>
      <c r="AF10" s="146">
        <v>45915</v>
      </c>
      <c r="AG10" s="146" t="s">
        <v>709</v>
      </c>
      <c r="AH10" s="154">
        <v>45827</v>
      </c>
      <c r="AI10" s="841">
        <v>7</v>
      </c>
      <c r="AJ10" s="147" t="s">
        <v>7417</v>
      </c>
      <c r="AK10" s="148" t="s">
        <v>116</v>
      </c>
      <c r="AL10" s="148" t="s">
        <v>7418</v>
      </c>
      <c r="AM10" s="849" t="s">
        <v>7419</v>
      </c>
      <c r="AN10" s="849" t="s">
        <v>7420</v>
      </c>
      <c r="AO10" s="842" t="s">
        <v>7395</v>
      </c>
      <c r="AP10" s="148" t="s">
        <v>116</v>
      </c>
      <c r="AQ10" s="826"/>
      <c r="AR10" s="843" t="s">
        <v>709</v>
      </c>
      <c r="AS10" s="159" t="s">
        <v>7421</v>
      </c>
      <c r="AT10" s="148" t="s">
        <v>7397</v>
      </c>
      <c r="AU10" s="845" t="s">
        <v>709</v>
      </c>
      <c r="AV10" s="149" t="s">
        <v>7357</v>
      </c>
      <c r="AW10" s="149" t="s">
        <v>29</v>
      </c>
      <c r="AX10" s="1740" t="s">
        <v>7422</v>
      </c>
      <c r="AY10" s="844" t="s">
        <v>7423</v>
      </c>
      <c r="AZ10" s="846" t="s">
        <v>7424</v>
      </c>
      <c r="BA10" s="1741">
        <v>625000</v>
      </c>
      <c r="BB10" t="str">
        <f>IF(DAY(DOT_Projects[[#This Row],[Engineering Approved Design Date]]) &gt; 16, TEXT(EOMONTH(DOT_Projects[[#This Row],[Engineering Approved Design Date]], 0) + 1, "mmmm"), TEXT(EOMONTH(DOT_Projects[[#This Row],[Engineering Approved Design Date]], -1) + 1, "mmmm"))</f>
        <v>October</v>
      </c>
      <c r="BC10" t="str">
        <f>IF(DAY(DOT_Projects[[#This Row],[Engineering Approved Design Date]]) &gt; 16, TEXT(EOMONTH(DOT_Projects[[#This Row],[Engineering Approved Design Date]], 0) + 1, "mmmm"), TEXT(EOMONTH(DOT_Projects[[#This Row],[Engineering Approved Design Date]], -1) + 1, "mmmm"))</f>
        <v>October</v>
      </c>
      <c r="BE10" t="str">
        <f>_xlfn.CONCAT(DOT_Projects[[#This Row],[WO Number]],DOT_Projects[[#This Row],[Engineering Number]],DOT_Projects[[#This Row],[Town]])</f>
        <v>1215830N19472HANOVER PARK</v>
      </c>
    </row>
    <row r="11" spans="1:57" ht="75" customHeight="1" x14ac:dyDescent="0.25">
      <c r="A11" s="150" t="s">
        <v>6816</v>
      </c>
      <c r="B11" s="150" t="s">
        <v>4</v>
      </c>
      <c r="C11" s="150" t="s">
        <v>7425</v>
      </c>
      <c r="D11" s="151" t="s">
        <v>7426</v>
      </c>
      <c r="E11" s="152" t="s">
        <v>910</v>
      </c>
      <c r="F11" s="150" t="s">
        <v>784</v>
      </c>
      <c r="G11" s="150" t="s">
        <v>26</v>
      </c>
      <c r="H11" s="142" t="s">
        <v>7001</v>
      </c>
      <c r="I11" s="153">
        <v>45202</v>
      </c>
      <c r="J11" s="836">
        <v>45919</v>
      </c>
      <c r="K11" s="840" t="s">
        <v>7042</v>
      </c>
      <c r="L11" s="1702" t="s">
        <v>7427</v>
      </c>
      <c r="M11" s="188" t="s">
        <v>870</v>
      </c>
      <c r="N11" s="813" t="s">
        <v>116</v>
      </c>
      <c r="O11" s="191" t="s">
        <v>882</v>
      </c>
      <c r="P11" s="191" t="s">
        <v>7428</v>
      </c>
      <c r="Q11" s="191" t="s">
        <v>7429</v>
      </c>
      <c r="R11" s="191" t="s">
        <v>7430</v>
      </c>
      <c r="S11" s="459" t="s">
        <v>7431</v>
      </c>
      <c r="T11" s="154">
        <v>45230</v>
      </c>
      <c r="U11" s="155">
        <v>45887</v>
      </c>
      <c r="V11" s="155" t="s">
        <v>116</v>
      </c>
      <c r="W11" s="155">
        <v>45880</v>
      </c>
      <c r="X11" s="155" t="s">
        <v>4055</v>
      </c>
      <c r="Y11" s="155" t="s">
        <v>4055</v>
      </c>
      <c r="Z11" s="155" t="s">
        <v>4055</v>
      </c>
      <c r="AA11" s="155" t="s">
        <v>4055</v>
      </c>
      <c r="AB11" s="155" t="s">
        <v>745</v>
      </c>
      <c r="AC11" s="155">
        <v>45890</v>
      </c>
      <c r="AD11" s="155">
        <v>45895</v>
      </c>
      <c r="AE11" s="202">
        <f>IF(DOT_Projects[[#This Row],[TDS (i.e. MOP main)]]="Y",DOT_Projects[[#This Row],[Engineering Approved Design Date]]-28,DOT_Projects[[#This Row],[Engineering Approved Design Date]]-21)</f>
        <v>45891</v>
      </c>
      <c r="AF11" s="1496" t="s">
        <v>376</v>
      </c>
      <c r="AG11" s="155" t="s">
        <v>116</v>
      </c>
      <c r="AH11" s="154">
        <v>45874</v>
      </c>
      <c r="AI11" s="1706" t="s">
        <v>376</v>
      </c>
      <c r="AJ11" s="156" t="s">
        <v>7432</v>
      </c>
      <c r="AK11" s="157" t="s">
        <v>116</v>
      </c>
      <c r="AL11" s="157" t="s">
        <v>7433</v>
      </c>
      <c r="AM11" s="848" t="s">
        <v>7434</v>
      </c>
      <c r="AN11" s="848" t="s">
        <v>7435</v>
      </c>
      <c r="AO11" s="842" t="s">
        <v>7378</v>
      </c>
      <c r="AP11" s="157" t="s">
        <v>709</v>
      </c>
      <c r="AQ11" s="190" t="s">
        <v>7436</v>
      </c>
      <c r="AR11" s="158" t="s">
        <v>7437</v>
      </c>
      <c r="AS11" s="9" t="s">
        <v>7438</v>
      </c>
      <c r="AT11" s="5" t="s">
        <v>7439</v>
      </c>
      <c r="AU11" s="1544" t="s">
        <v>7440</v>
      </c>
      <c r="AV11" s="149" t="s">
        <v>7441</v>
      </c>
      <c r="AW11" s="160" t="s">
        <v>7442</v>
      </c>
      <c r="AX11" s="157" t="s">
        <v>7443</v>
      </c>
      <c r="AY11" s="159" t="s">
        <v>709</v>
      </c>
      <c r="AZ11" s="502" t="s">
        <v>709</v>
      </c>
      <c r="BA11" s="839">
        <v>175000</v>
      </c>
      <c r="BB11" t="str">
        <f>IF(DAY(DOT_Projects[[#This Row],[Engineering Approved Design Date]]) &gt; 16, TEXT(EOMONTH(DOT_Projects[[#This Row],[Engineering Approved Design Date]], 0) + 1, "mmmm"), TEXT(EOMONTH(DOT_Projects[[#This Row],[Engineering Approved Design Date]], -1) + 1, "mmmm"))</f>
        <v>October</v>
      </c>
      <c r="BC11" t="s">
        <v>7194</v>
      </c>
      <c r="BE11" t="str">
        <f>_xlfn.CONCAT(DOT_Projects[[#This Row],[WO Number]],DOT_Projects[[#This Row],[Engineering Number]],DOT_Projects[[#This Row],[Town]])</f>
        <v>1215678N17925HOFFMAN ESTATES</v>
      </c>
    </row>
    <row r="12" spans="1:57" ht="68.25" customHeight="1" x14ac:dyDescent="0.25">
      <c r="A12" s="150" t="s">
        <v>6816</v>
      </c>
      <c r="B12" s="150" t="s">
        <v>4</v>
      </c>
      <c r="C12" s="150" t="s">
        <v>7444</v>
      </c>
      <c r="D12" s="342"/>
      <c r="E12" s="152" t="s">
        <v>1159</v>
      </c>
      <c r="F12" s="150" t="s">
        <v>6874</v>
      </c>
      <c r="G12" s="150" t="s">
        <v>7382</v>
      </c>
      <c r="H12" s="150" t="s">
        <v>7324</v>
      </c>
      <c r="I12" s="153">
        <v>45916</v>
      </c>
      <c r="J12" s="755">
        <v>45996</v>
      </c>
      <c r="K12" s="840" t="s">
        <v>9215</v>
      </c>
      <c r="L12" s="153" t="s">
        <v>7445</v>
      </c>
      <c r="M12" s="188" t="s">
        <v>7446</v>
      </c>
      <c r="N12" s="813" t="s">
        <v>116</v>
      </c>
      <c r="O12" s="191"/>
      <c r="P12" s="191"/>
      <c r="Q12" s="191"/>
      <c r="R12" s="191"/>
      <c r="S12" s="459" t="s">
        <v>7447</v>
      </c>
      <c r="T12" s="154" t="s">
        <v>376</v>
      </c>
      <c r="U12" s="155" t="s">
        <v>376</v>
      </c>
      <c r="V12" s="155" t="s">
        <v>376</v>
      </c>
      <c r="W12" s="155" t="s">
        <v>376</v>
      </c>
      <c r="X12" s="155" t="s">
        <v>376</v>
      </c>
      <c r="Y12" s="155" t="s">
        <v>376</v>
      </c>
      <c r="Z12" s="155" t="s">
        <v>376</v>
      </c>
      <c r="AA12" s="155" t="s">
        <v>376</v>
      </c>
      <c r="AB12" s="850" t="s">
        <v>376</v>
      </c>
      <c r="AC12" s="155" t="s">
        <v>376</v>
      </c>
      <c r="AD12" s="155" t="s">
        <v>376</v>
      </c>
      <c r="AE12" s="202">
        <f>IF(DOT_Projects[[#This Row],[TDS (i.e. MOP main)]]="Y",DOT_Projects[[#This Row],[Engineering Approved Design Date]]-28,DOT_Projects[[#This Row],[Engineering Approved Design Date]]-21)</f>
        <v>45975</v>
      </c>
      <c r="AF12" s="155" t="s">
        <v>376</v>
      </c>
      <c r="AG12" s="850" t="s">
        <v>376</v>
      </c>
      <c r="AH12" s="282">
        <v>45918</v>
      </c>
      <c r="AI12" s="198" t="s">
        <v>376</v>
      </c>
      <c r="AJ12" s="156" t="s">
        <v>7448</v>
      </c>
      <c r="AK12" s="157" t="s">
        <v>116</v>
      </c>
      <c r="AL12" s="5" t="s">
        <v>7449</v>
      </c>
      <c r="AM12" s="848" t="s">
        <v>7450</v>
      </c>
      <c r="AN12" s="848" t="s">
        <v>7451</v>
      </c>
      <c r="AO12" s="316" t="s">
        <v>7452</v>
      </c>
      <c r="AP12" s="157" t="s">
        <v>9212</v>
      </c>
      <c r="AQ12" s="190"/>
      <c r="AR12" s="5"/>
      <c r="AS12" s="1590" t="s">
        <v>9213</v>
      </c>
      <c r="AT12" s="5" t="s">
        <v>9214</v>
      </c>
      <c r="AU12" s="185"/>
      <c r="AW12" s="160"/>
      <c r="AX12" s="157"/>
      <c r="AY12" s="159"/>
      <c r="AZ12" s="502"/>
      <c r="BA12" s="500"/>
      <c r="BB12" t="str">
        <f>IF(DAY(DOT_Projects[[#This Row],[Engineering Approved Design Date]]) &gt; 16, TEXT(EOMONTH(DOT_Projects[[#This Row],[Engineering Approved Design Date]], 0) + 1, "mmmm"), TEXT(EOMONTH(DOT_Projects[[#This Row],[Engineering Approved Design Date]], -1) + 1, "mmmm"))</f>
        <v>December</v>
      </c>
      <c r="BC12" t="str">
        <f>IF(DAY(DOT_Projects[[#This Row],[Engineering Approved Design Date]]) &gt; 16, TEXT(EOMONTH(DOT_Projects[[#This Row],[Engineering Approved Design Date]], 0) + 1, "mmmm"), TEXT(EOMONTH(DOT_Projects[[#This Row],[Engineering Approved Design Date]], -1) + 1, "mmmm"))</f>
        <v>December</v>
      </c>
      <c r="BE12" t="str">
        <f>_xlfn.CONCAT(DOT_Projects[[#This Row],[WO Number]],DOT_Projects[[#This Row],[Engineering Number]],DOT_Projects[[#This Row],[Town]])</f>
        <v>SC26438BLOOMINGTON</v>
      </c>
    </row>
    <row r="13" spans="1:57" s="30" customFormat="1" ht="70.5" customHeight="1" x14ac:dyDescent="0.25">
      <c r="A13" s="142" t="s">
        <v>6816</v>
      </c>
      <c r="B13" s="150" t="s">
        <v>4</v>
      </c>
      <c r="C13" s="142" t="s">
        <v>7453</v>
      </c>
      <c r="D13" s="1698" t="s">
        <v>7454</v>
      </c>
      <c r="E13" s="143" t="s">
        <v>1159</v>
      </c>
      <c r="F13" s="142" t="s">
        <v>6874</v>
      </c>
      <c r="G13" s="142" t="s">
        <v>7455</v>
      </c>
      <c r="H13" s="142" t="s">
        <v>6930</v>
      </c>
      <c r="I13" s="144">
        <v>45762</v>
      </c>
      <c r="J13" s="825">
        <v>45968</v>
      </c>
      <c r="K13" s="840" t="s">
        <v>9199</v>
      </c>
      <c r="L13" s="755" t="s">
        <v>7456</v>
      </c>
      <c r="M13" s="825" t="s">
        <v>7457</v>
      </c>
      <c r="N13" s="813" t="s">
        <v>709</v>
      </c>
      <c r="O13" s="191" t="s">
        <v>709</v>
      </c>
      <c r="P13" s="191" t="s">
        <v>1210</v>
      </c>
      <c r="Q13" s="191" t="s">
        <v>5636</v>
      </c>
      <c r="R13" s="191" t="s">
        <v>709</v>
      </c>
      <c r="S13" s="1591" t="s">
        <v>7458</v>
      </c>
      <c r="T13" s="145">
        <v>45778</v>
      </c>
      <c r="U13" s="850">
        <v>45819</v>
      </c>
      <c r="V13" s="850" t="s">
        <v>116</v>
      </c>
      <c r="W13" s="155">
        <v>45854</v>
      </c>
      <c r="X13" s="850" t="s">
        <v>29</v>
      </c>
      <c r="Y13" s="850" t="s">
        <v>29</v>
      </c>
      <c r="Z13" s="146" t="s">
        <v>4055</v>
      </c>
      <c r="AA13" s="146" t="s">
        <v>4055</v>
      </c>
      <c r="AB13" s="146" t="s">
        <v>745</v>
      </c>
      <c r="AC13" s="155">
        <v>45870</v>
      </c>
      <c r="AD13" s="155">
        <v>45947</v>
      </c>
      <c r="AE13" s="197">
        <f>IF(DOT_Projects[[#This Row],[TDS (i.e. MOP main)]]="Y",DOT_Projects[[#This Row],[Engineering Approved Design Date]]-28,DOT_Projects[[#This Row],[Engineering Approved Design Date]]-21)</f>
        <v>45947</v>
      </c>
      <c r="AF13" s="146">
        <v>45957</v>
      </c>
      <c r="AG13" s="146" t="s">
        <v>709</v>
      </c>
      <c r="AH13" s="154">
        <v>45819</v>
      </c>
      <c r="AI13" s="841">
        <v>4</v>
      </c>
      <c r="AJ13" s="147" t="s">
        <v>7459</v>
      </c>
      <c r="AK13" s="148" t="s">
        <v>116</v>
      </c>
      <c r="AL13" s="148" t="s">
        <v>29</v>
      </c>
      <c r="AM13" s="849" t="s">
        <v>7460</v>
      </c>
      <c r="AN13" s="849" t="s">
        <v>7461</v>
      </c>
      <c r="AO13" s="842" t="s">
        <v>7378</v>
      </c>
      <c r="AP13" s="148" t="s">
        <v>756</v>
      </c>
      <c r="AQ13" s="826" t="s">
        <v>7462</v>
      </c>
      <c r="AR13" s="843" t="s">
        <v>745</v>
      </c>
      <c r="AS13" s="844" t="s">
        <v>7463</v>
      </c>
      <c r="AT13" s="148" t="s">
        <v>7464</v>
      </c>
      <c r="AU13" s="845" t="s">
        <v>376</v>
      </c>
      <c r="AV13" s="149" t="s">
        <v>7357</v>
      </c>
      <c r="AW13" s="149" t="s">
        <v>29</v>
      </c>
      <c r="AX13" s="148" t="s">
        <v>7465</v>
      </c>
      <c r="AY13" s="844" t="s">
        <v>745</v>
      </c>
      <c r="AZ13" s="846" t="s">
        <v>29</v>
      </c>
      <c r="BA13" s="839">
        <v>300000</v>
      </c>
      <c r="BB13" t="str">
        <f>IF(DAY(DOT_Projects[[#This Row],[Engineering Approved Design Date]]) &gt; 16, TEXT(EOMONTH(DOT_Projects[[#This Row],[Engineering Approved Design Date]], 0) + 1, "mmmm"), TEXT(EOMONTH(DOT_Projects[[#This Row],[Engineering Approved Design Date]], -1) + 1, "mmmm"))</f>
        <v>November</v>
      </c>
      <c r="BC13" t="str">
        <f>IF(DAY(DOT_Projects[[#This Row],[Engineering Approved Design Date]]) &gt; 16, TEXT(EOMONTH(DOT_Projects[[#This Row],[Engineering Approved Design Date]], 0) + 1, "mmmm"), TEXT(EOMONTH(DOT_Projects[[#This Row],[Engineering Approved Design Date]], -1) + 1, "mmmm"))</f>
        <v>November</v>
      </c>
      <c r="BE13" t="str">
        <f>_xlfn.CONCAT(DOT_Projects[[#This Row],[WO Number]],DOT_Projects[[#This Row],[Engineering Number]],DOT_Projects[[#This Row],[Town]])</f>
        <v>1415542SC25188BLOOMINGTON</v>
      </c>
    </row>
    <row r="14" spans="1:57" ht="79.5" customHeight="1" x14ac:dyDescent="0.25">
      <c r="A14" s="142" t="s">
        <v>6816</v>
      </c>
      <c r="B14" s="142" t="s">
        <v>4</v>
      </c>
      <c r="C14" s="142" t="s">
        <v>7466</v>
      </c>
      <c r="D14" s="1698" t="s">
        <v>7467</v>
      </c>
      <c r="E14" s="143" t="s">
        <v>1159</v>
      </c>
      <c r="F14" s="142" t="s">
        <v>6874</v>
      </c>
      <c r="G14" s="142" t="s">
        <v>7455</v>
      </c>
      <c r="H14" s="142" t="s">
        <v>6930</v>
      </c>
      <c r="I14" s="1602">
        <v>45762</v>
      </c>
      <c r="J14" s="1733">
        <v>45968</v>
      </c>
      <c r="K14" s="224" t="s">
        <v>9200</v>
      </c>
      <c r="L14" s="153" t="s">
        <v>7456</v>
      </c>
      <c r="M14" s="825" t="s">
        <v>7457</v>
      </c>
      <c r="N14" s="813" t="s">
        <v>709</v>
      </c>
      <c r="O14" s="191" t="s">
        <v>709</v>
      </c>
      <c r="P14" s="191" t="s">
        <v>1210</v>
      </c>
      <c r="Q14" s="191" t="s">
        <v>5636</v>
      </c>
      <c r="R14" s="191" t="s">
        <v>709</v>
      </c>
      <c r="S14" s="725" t="s">
        <v>7468</v>
      </c>
      <c r="T14" s="145">
        <v>45778</v>
      </c>
      <c r="U14" s="850">
        <v>45819</v>
      </c>
      <c r="V14" s="850" t="s">
        <v>116</v>
      </c>
      <c r="W14" s="850">
        <v>45854</v>
      </c>
      <c r="X14" s="146" t="s">
        <v>29</v>
      </c>
      <c r="Y14" s="146" t="s">
        <v>29</v>
      </c>
      <c r="Z14" s="146" t="s">
        <v>4055</v>
      </c>
      <c r="AA14" s="146" t="s">
        <v>4055</v>
      </c>
      <c r="AB14" s="146" t="s">
        <v>745</v>
      </c>
      <c r="AC14" s="146">
        <v>45870</v>
      </c>
      <c r="AD14" s="146">
        <v>45947</v>
      </c>
      <c r="AE14" s="197">
        <f>IF(DOT_Projects[[#This Row],[TDS (i.e. MOP main)]]="Y",DOT_Projects[[#This Row],[Engineering Approved Design Date]]-28,DOT_Projects[[#This Row],[Engineering Approved Design Date]]-21)</f>
        <v>45947</v>
      </c>
      <c r="AF14" s="155">
        <v>45957</v>
      </c>
      <c r="AG14" s="146" t="s">
        <v>709</v>
      </c>
      <c r="AH14" s="145">
        <v>45819</v>
      </c>
      <c r="AI14" s="841">
        <v>4</v>
      </c>
      <c r="AJ14" s="147" t="s">
        <v>7459</v>
      </c>
      <c r="AK14" s="148" t="s">
        <v>116</v>
      </c>
      <c r="AL14" s="854" t="s">
        <v>29</v>
      </c>
      <c r="AM14" s="1296" t="s">
        <v>7460</v>
      </c>
      <c r="AN14" s="1296" t="s">
        <v>7461</v>
      </c>
      <c r="AO14" s="855" t="s">
        <v>7378</v>
      </c>
      <c r="AP14" s="854" t="s">
        <v>756</v>
      </c>
      <c r="AQ14" s="1708" t="s">
        <v>7462</v>
      </c>
      <c r="AR14" s="1479" t="s">
        <v>745</v>
      </c>
      <c r="AS14" s="1555" t="s">
        <v>7463</v>
      </c>
      <c r="AT14" s="854" t="s">
        <v>7464</v>
      </c>
      <c r="AU14" s="845" t="s">
        <v>116</v>
      </c>
      <c r="AV14" s="149" t="s">
        <v>7357</v>
      </c>
      <c r="AW14" s="149" t="s">
        <v>29</v>
      </c>
      <c r="AX14" s="148" t="s">
        <v>7465</v>
      </c>
      <c r="AY14" s="844" t="s">
        <v>745</v>
      </c>
      <c r="AZ14" s="846" t="s">
        <v>29</v>
      </c>
      <c r="BA14" s="839">
        <v>300000</v>
      </c>
      <c r="BB14" t="str">
        <f>IF(DAY(DOT_Projects[[#This Row],[Engineering Approved Design Date]]) &gt; 16, TEXT(EOMONTH(DOT_Projects[[#This Row],[Engineering Approved Design Date]], 0) + 1, "mmmm"), TEXT(EOMONTH(DOT_Projects[[#This Row],[Engineering Approved Design Date]], -1) + 1, "mmmm"))</f>
        <v>November</v>
      </c>
      <c r="BC14" t="str">
        <f>IF(DAY(DOT_Projects[[#This Row],[Engineering Approved Design Date]]) &gt; 16, TEXT(EOMONTH(DOT_Projects[[#This Row],[Engineering Approved Design Date]], 0) + 1, "mmmm"), TEXT(EOMONTH(DOT_Projects[[#This Row],[Engineering Approved Design Date]], -1) + 1, "mmmm"))</f>
        <v>November</v>
      </c>
      <c r="BE14" t="str">
        <f>_xlfn.CONCAT(DOT_Projects[[#This Row],[WO Number]],DOT_Projects[[#This Row],[Engineering Number]],DOT_Projects[[#This Row],[Town]])</f>
        <v>1415764SC25188-1BLOOMINGTON</v>
      </c>
    </row>
    <row r="15" spans="1:57" ht="60" customHeight="1" x14ac:dyDescent="0.25">
      <c r="A15" s="150" t="s">
        <v>6816</v>
      </c>
      <c r="B15" s="150" t="s">
        <v>4</v>
      </c>
      <c r="C15" s="150" t="s">
        <v>7469</v>
      </c>
      <c r="D15" s="342" t="s">
        <v>7470</v>
      </c>
      <c r="E15" s="152" t="s">
        <v>7471</v>
      </c>
      <c r="F15" s="150" t="s">
        <v>1102</v>
      </c>
      <c r="G15" s="142" t="s">
        <v>34</v>
      </c>
      <c r="H15" s="142" t="s">
        <v>7324</v>
      </c>
      <c r="I15" s="153">
        <v>45461</v>
      </c>
      <c r="J15" s="283">
        <v>45975</v>
      </c>
      <c r="K15" s="224" t="s">
        <v>7472</v>
      </c>
      <c r="L15" s="153" t="s">
        <v>7473</v>
      </c>
      <c r="M15" s="188" t="s">
        <v>961</v>
      </c>
      <c r="N15" s="813" t="s">
        <v>116</v>
      </c>
      <c r="O15" s="191" t="s">
        <v>709</v>
      </c>
      <c r="P15" s="191" t="s">
        <v>7474</v>
      </c>
      <c r="Q15" s="191" t="s">
        <v>7475</v>
      </c>
      <c r="R15" s="285" t="s">
        <v>115</v>
      </c>
      <c r="S15" s="1221" t="s">
        <v>7476</v>
      </c>
      <c r="T15" s="850">
        <v>45328</v>
      </c>
      <c r="U15" s="850" t="s">
        <v>7071</v>
      </c>
      <c r="V15" s="850" t="s">
        <v>7071</v>
      </c>
      <c r="W15" s="850" t="s">
        <v>7071</v>
      </c>
      <c r="X15" s="155" t="s">
        <v>7071</v>
      </c>
      <c r="Y15" s="155" t="s">
        <v>7071</v>
      </c>
      <c r="Z15" s="155" t="s">
        <v>7071</v>
      </c>
      <c r="AA15" s="155" t="s">
        <v>7071</v>
      </c>
      <c r="AB15" s="155" t="s">
        <v>709</v>
      </c>
      <c r="AC15" s="155" t="s">
        <v>7071</v>
      </c>
      <c r="AD15" s="155" t="s">
        <v>7071</v>
      </c>
      <c r="AE15" s="202">
        <f>IF(DOT_Projects[[#This Row],[TDS (i.e. MOP main)]]="Y",DOT_Projects[[#This Row],[Engineering Approved Design Date]]-28,DOT_Projects[[#This Row],[Engineering Approved Design Date]]-21)</f>
        <v>45947</v>
      </c>
      <c r="AF15" s="146" t="s">
        <v>376</v>
      </c>
      <c r="AG15" s="155" t="s">
        <v>116</v>
      </c>
      <c r="AH15" s="282" t="s">
        <v>7071</v>
      </c>
      <c r="AI15" s="841" t="s">
        <v>376</v>
      </c>
      <c r="AJ15" s="156" t="s">
        <v>7477</v>
      </c>
      <c r="AK15" s="148" t="s">
        <v>116</v>
      </c>
      <c r="AL15" s="157" t="s">
        <v>29</v>
      </c>
      <c r="AM15" s="848" t="s">
        <v>376</v>
      </c>
      <c r="AN15" s="848" t="s">
        <v>7478</v>
      </c>
      <c r="AO15" s="317" t="s">
        <v>7378</v>
      </c>
      <c r="AP15" s="157" t="s">
        <v>709</v>
      </c>
      <c r="AQ15" s="190"/>
      <c r="AR15" s="158" t="s">
        <v>7479</v>
      </c>
      <c r="AS15" s="159" t="s">
        <v>7480</v>
      </c>
      <c r="AT15" s="155" t="s">
        <v>7481</v>
      </c>
      <c r="AU15" s="1577" t="s">
        <v>7482</v>
      </c>
      <c r="AV15" s="160" t="s">
        <v>7483</v>
      </c>
      <c r="AW15" s="149" t="s">
        <v>29</v>
      </c>
      <c r="AX15" s="1709" t="s">
        <v>7071</v>
      </c>
      <c r="AY15" s="1710" t="s">
        <v>7484</v>
      </c>
      <c r="AZ15" s="1711" t="s">
        <v>7485</v>
      </c>
      <c r="BA15" s="1604" t="s">
        <v>7071</v>
      </c>
      <c r="BB15" t="str">
        <f>IF(DAY(DOT_Projects[[#This Row],[Engineering Approved Design Date]]) &gt; 16, TEXT(EOMONTH(DOT_Projects[[#This Row],[Engineering Approved Design Date]], 0) + 1, "mmmm"), TEXT(EOMONTH(DOT_Projects[[#This Row],[Engineering Approved Design Date]], -1) + 1, "mmmm"))</f>
        <v>November</v>
      </c>
      <c r="BC15" t="str">
        <f>IF(DAY(DOT_Projects[[#This Row],[Engineering Approved Design Date]]) &gt; 16, TEXT(EOMONTH(DOT_Projects[[#This Row],[Engineering Approved Design Date]], 0) + 1, "mmmm"), TEXT(EOMONTH(DOT_Projects[[#This Row],[Engineering Approved Design Date]], -1) + 1, "mmmm"))</f>
        <v>November</v>
      </c>
      <c r="BE15" t="str">
        <f>_xlfn.CONCAT(DOT_Projects[[#This Row],[WO Number]],DOT_Projects[[#This Row],[Engineering Number]],DOT_Projects[[#This Row],[Town]])</f>
        <v>1414114SC23981WHEATLAND TWP</v>
      </c>
    </row>
    <row r="16" spans="1:57" ht="60" customHeight="1" x14ac:dyDescent="0.25">
      <c r="A16" s="150">
        <v>2025</v>
      </c>
      <c r="B16" s="150" t="s">
        <v>4</v>
      </c>
      <c r="C16" s="150" t="s">
        <v>7486</v>
      </c>
      <c r="D16" s="151" t="s">
        <v>115</v>
      </c>
      <c r="E16" s="152" t="s">
        <v>5043</v>
      </c>
      <c r="F16" s="150" t="s">
        <v>6874</v>
      </c>
      <c r="G16" s="142" t="s">
        <v>32</v>
      </c>
      <c r="H16" s="142" t="s">
        <v>7324</v>
      </c>
      <c r="I16" s="153">
        <v>45810</v>
      </c>
      <c r="J16" s="283">
        <v>45954</v>
      </c>
      <c r="K16" s="224" t="s">
        <v>7487</v>
      </c>
      <c r="L16" s="153" t="s">
        <v>7488</v>
      </c>
      <c r="M16" s="188" t="s">
        <v>7489</v>
      </c>
      <c r="N16" s="813" t="s">
        <v>709</v>
      </c>
      <c r="O16" s="191" t="s">
        <v>3422</v>
      </c>
      <c r="P16" s="191" t="s">
        <v>7490</v>
      </c>
      <c r="Q16" s="191" t="s">
        <v>7490</v>
      </c>
      <c r="R16" s="191" t="s">
        <v>1078</v>
      </c>
      <c r="S16" s="459" t="s">
        <v>7491</v>
      </c>
      <c r="T16" s="145" t="s">
        <v>376</v>
      </c>
      <c r="U16" s="850" t="s">
        <v>7071</v>
      </c>
      <c r="V16" s="850" t="s">
        <v>7071</v>
      </c>
      <c r="W16" s="850" t="s">
        <v>7071</v>
      </c>
      <c r="X16" s="155" t="s">
        <v>7071</v>
      </c>
      <c r="Y16" s="155" t="s">
        <v>7071</v>
      </c>
      <c r="Z16" s="155" t="s">
        <v>7071</v>
      </c>
      <c r="AA16" s="155" t="s">
        <v>7071</v>
      </c>
      <c r="AB16" s="155" t="s">
        <v>745</v>
      </c>
      <c r="AC16" s="155" t="s">
        <v>7071</v>
      </c>
      <c r="AD16" s="155" t="s">
        <v>7071</v>
      </c>
      <c r="AE16" s="202">
        <f>IF(DOT_Projects[[#This Row],[TDS (i.e. MOP main)]]="Y",DOT_Projects[[#This Row],[Engineering Approved Design Date]]-28,DOT_Projects[[#This Row],[Engineering Approved Design Date]]-21)</f>
        <v>45926</v>
      </c>
      <c r="AF16" s="146" t="s">
        <v>376</v>
      </c>
      <c r="AG16" s="155" t="s">
        <v>116</v>
      </c>
      <c r="AH16" s="154">
        <v>45819</v>
      </c>
      <c r="AI16" s="841" t="s">
        <v>376</v>
      </c>
      <c r="AJ16" s="156" t="s">
        <v>7492</v>
      </c>
      <c r="AK16" s="148" t="s">
        <v>116</v>
      </c>
      <c r="AL16" s="157" t="s">
        <v>29</v>
      </c>
      <c r="AM16" s="848" t="s">
        <v>29</v>
      </c>
      <c r="AN16" s="1585">
        <v>45839</v>
      </c>
      <c r="AO16" s="317"/>
      <c r="AP16" s="157" t="s">
        <v>709</v>
      </c>
      <c r="AQ16" s="190" t="s">
        <v>7493</v>
      </c>
      <c r="AR16" s="158" t="s">
        <v>709</v>
      </c>
      <c r="AS16" s="1178">
        <v>45818</v>
      </c>
      <c r="AT16" s="155">
        <v>45826</v>
      </c>
      <c r="AU16" s="845" t="s">
        <v>116</v>
      </c>
      <c r="AV16" s="154">
        <v>45869</v>
      </c>
      <c r="AW16" s="149" t="s">
        <v>29</v>
      </c>
      <c r="AX16" s="148" t="s">
        <v>7071</v>
      </c>
      <c r="AY16" s="844" t="s">
        <v>376</v>
      </c>
      <c r="AZ16" s="846" t="s">
        <v>376</v>
      </c>
      <c r="BA16" s="839" t="s">
        <v>7071</v>
      </c>
      <c r="BB16" t="str">
        <f>IF(DAY(DOT_Projects[[#This Row],[Engineering Approved Design Date]]) &gt; 16, TEXT(EOMONTH(DOT_Projects[[#This Row],[Engineering Approved Design Date]], 0) + 1, "mmmm"), TEXT(EOMONTH(DOT_Projects[[#This Row],[Engineering Approved Design Date]], -1) + 1, "mmmm"))</f>
        <v>November</v>
      </c>
      <c r="BC16" t="str">
        <f>IF(DAY(DOT_Projects[[#This Row],[Engineering Approved Design Date]]) &gt; 16, TEXT(EOMONTH(DOT_Projects[[#This Row],[Engineering Approved Design Date]], 0) + 1, "mmmm"), TEXT(EOMONTH(DOT_Projects[[#This Row],[Engineering Approved Design Date]], -1) + 1, "mmmm"))</f>
        <v>November</v>
      </c>
      <c r="BE16" t="str">
        <f>_xlfn.CONCAT(DOT_Projects[[#This Row],[WO Number]],DOT_Projects[[#This Row],[Engineering Number]],DOT_Projects[[#This Row],[Town]])</f>
        <v>-SC26238PONTIAC</v>
      </c>
    </row>
    <row r="17" spans="1:57" ht="60" customHeight="1" x14ac:dyDescent="0.25">
      <c r="A17" s="150" t="s">
        <v>6816</v>
      </c>
      <c r="B17" s="150" t="s">
        <v>4</v>
      </c>
      <c r="C17" s="150" t="s">
        <v>7494</v>
      </c>
      <c r="D17" s="151" t="s">
        <v>115</v>
      </c>
      <c r="E17" s="152" t="s">
        <v>7495</v>
      </c>
      <c r="F17" s="150" t="s">
        <v>784</v>
      </c>
      <c r="G17" s="150" t="s">
        <v>6377</v>
      </c>
      <c r="H17" s="142" t="s">
        <v>7324</v>
      </c>
      <c r="I17" s="153">
        <v>45784</v>
      </c>
      <c r="J17" s="836">
        <v>45968</v>
      </c>
      <c r="K17" s="224" t="s">
        <v>7496</v>
      </c>
      <c r="L17" s="153" t="s">
        <v>7497</v>
      </c>
      <c r="M17" s="188" t="s">
        <v>7498</v>
      </c>
      <c r="N17" s="813" t="s">
        <v>992</v>
      </c>
      <c r="O17" s="191" t="s">
        <v>882</v>
      </c>
      <c r="P17" s="191" t="s">
        <v>7499</v>
      </c>
      <c r="Q17" s="191" t="s">
        <v>745</v>
      </c>
      <c r="R17" s="191" t="s">
        <v>745</v>
      </c>
      <c r="S17" s="1221" t="s">
        <v>7500</v>
      </c>
      <c r="T17" s="145">
        <v>45798</v>
      </c>
      <c r="U17" s="850" t="s">
        <v>7071</v>
      </c>
      <c r="V17" s="850" t="s">
        <v>7071</v>
      </c>
      <c r="W17" s="850" t="s">
        <v>7071</v>
      </c>
      <c r="X17" s="155" t="s">
        <v>7501</v>
      </c>
      <c r="Y17" s="155" t="s">
        <v>7501</v>
      </c>
      <c r="Z17" s="155" t="s">
        <v>7071</v>
      </c>
      <c r="AA17" s="155" t="s">
        <v>7071</v>
      </c>
      <c r="AB17" s="155" t="s">
        <v>745</v>
      </c>
      <c r="AC17" s="155">
        <v>45933</v>
      </c>
      <c r="AD17" s="155">
        <v>45940</v>
      </c>
      <c r="AE17" s="202">
        <f>IF(DOT_Projects[[#This Row],[TDS (i.e. MOP main)]]="Y",DOT_Projects[[#This Row],[Engineering Approved Design Date]]-28,DOT_Projects[[#This Row],[Engineering Approved Design Date]]-21)</f>
        <v>45947</v>
      </c>
      <c r="AF17" s="146">
        <v>45947</v>
      </c>
      <c r="AG17" s="155" t="s">
        <v>745</v>
      </c>
      <c r="AH17" s="1697" t="s">
        <v>7071</v>
      </c>
      <c r="AI17" s="841" t="s">
        <v>376</v>
      </c>
      <c r="AJ17" s="156" t="s">
        <v>7502</v>
      </c>
      <c r="AK17" s="148" t="s">
        <v>756</v>
      </c>
      <c r="AL17" s="148" t="s">
        <v>7503</v>
      </c>
      <c r="AM17" s="848" t="s">
        <v>7504</v>
      </c>
      <c r="AN17" s="848" t="s">
        <v>7353</v>
      </c>
      <c r="AO17" s="317" t="s">
        <v>7378</v>
      </c>
      <c r="AP17" s="157" t="s">
        <v>756</v>
      </c>
      <c r="AQ17" s="190" t="s">
        <v>7505</v>
      </c>
      <c r="AR17" s="158" t="s">
        <v>709</v>
      </c>
      <c r="AS17" s="159" t="s">
        <v>7506</v>
      </c>
      <c r="AT17" s="157" t="s">
        <v>7507</v>
      </c>
      <c r="AU17" s="185" t="s">
        <v>376</v>
      </c>
      <c r="AV17" s="160" t="s">
        <v>29</v>
      </c>
      <c r="AW17" s="149" t="s">
        <v>29</v>
      </c>
      <c r="AX17" s="148" t="s">
        <v>7071</v>
      </c>
      <c r="AY17" s="159" t="s">
        <v>376</v>
      </c>
      <c r="AZ17" s="502" t="s">
        <v>376</v>
      </c>
      <c r="BA17" s="839">
        <v>150000</v>
      </c>
      <c r="BB17" t="str">
        <f>IF(DAY(DOT_Projects[[#This Row],[Engineering Approved Design Date]]) &gt; 16, TEXT(EOMONTH(DOT_Projects[[#This Row],[Engineering Approved Design Date]], 0) + 1, "mmmm"), TEXT(EOMONTH(DOT_Projects[[#This Row],[Engineering Approved Design Date]], -1) + 1, "mmmm"))</f>
        <v>November</v>
      </c>
      <c r="BC17" t="str">
        <f>IF(DAY(DOT_Projects[[#This Row],[Engineering Approved Design Date]]) &gt; 16, TEXT(EOMONTH(DOT_Projects[[#This Row],[Engineering Approved Design Date]], 0) + 1, "mmmm"), TEXT(EOMONTH(DOT_Projects[[#This Row],[Engineering Approved Design Date]], -1) + 1, "mmmm"))</f>
        <v>November</v>
      </c>
      <c r="BE17" t="str">
        <f>_xlfn.CONCAT(DOT_Projects[[#This Row],[WO Number]],DOT_Projects[[#This Row],[Engineering Number]],DOT_Projects[[#This Row],[Town]])</f>
        <v>-M15984BERWYN</v>
      </c>
    </row>
    <row r="18" spans="1:57" ht="45" customHeight="1" x14ac:dyDescent="0.25">
      <c r="A18" s="150" t="s">
        <v>6816</v>
      </c>
      <c r="B18" s="150" t="s">
        <v>4</v>
      </c>
      <c r="C18" s="150" t="s">
        <v>7508</v>
      </c>
      <c r="D18" s="342" t="s">
        <v>115</v>
      </c>
      <c r="E18" s="152" t="s">
        <v>2114</v>
      </c>
      <c r="F18" s="150" t="s">
        <v>784</v>
      </c>
      <c r="G18" s="142" t="s">
        <v>6377</v>
      </c>
      <c r="H18" s="142" t="s">
        <v>7324</v>
      </c>
      <c r="I18" s="153">
        <v>45755</v>
      </c>
      <c r="J18" s="283">
        <v>46038</v>
      </c>
      <c r="K18" s="224" t="s">
        <v>7509</v>
      </c>
      <c r="L18" s="1701" t="s">
        <v>7510</v>
      </c>
      <c r="M18" s="188" t="s">
        <v>7511</v>
      </c>
      <c r="N18" s="813" t="s">
        <v>709</v>
      </c>
      <c r="O18" s="191" t="s">
        <v>7512</v>
      </c>
      <c r="P18" s="191" t="s">
        <v>522</v>
      </c>
      <c r="Q18" s="191" t="s">
        <v>709</v>
      </c>
      <c r="R18" s="191" t="s">
        <v>745</v>
      </c>
      <c r="S18" s="850" t="s">
        <v>7513</v>
      </c>
      <c r="T18" s="145">
        <v>45771</v>
      </c>
      <c r="U18" s="850" t="s">
        <v>7071</v>
      </c>
      <c r="V18" s="850" t="s">
        <v>7071</v>
      </c>
      <c r="W18" s="850" t="s">
        <v>7071</v>
      </c>
      <c r="X18" s="155" t="s">
        <v>7071</v>
      </c>
      <c r="Y18" s="155" t="s">
        <v>7071</v>
      </c>
      <c r="Z18" s="155" t="s">
        <v>7071</v>
      </c>
      <c r="AA18" s="155" t="s">
        <v>7071</v>
      </c>
      <c r="AB18" s="155" t="s">
        <v>376</v>
      </c>
      <c r="AC18" s="155" t="s">
        <v>7071</v>
      </c>
      <c r="AD18" s="155" t="s">
        <v>7071</v>
      </c>
      <c r="AE18" s="202">
        <f>IF(DOT_Projects[[#This Row],[TDS (i.e. MOP main)]]="Y",DOT_Projects[[#This Row],[Engineering Approved Design Date]]-28,DOT_Projects[[#This Row],[Engineering Approved Design Date]]-21)</f>
        <v>46017</v>
      </c>
      <c r="AF18" s="146" t="s">
        <v>376</v>
      </c>
      <c r="AG18" s="155" t="s">
        <v>376</v>
      </c>
      <c r="AH18" s="154" t="s">
        <v>7071</v>
      </c>
      <c r="AI18" s="841" t="s">
        <v>376</v>
      </c>
      <c r="AJ18" s="156" t="s">
        <v>7514</v>
      </c>
      <c r="AK18" s="148" t="s">
        <v>756</v>
      </c>
      <c r="AL18" s="157" t="s">
        <v>7515</v>
      </c>
      <c r="AM18" s="1585" t="s">
        <v>29</v>
      </c>
      <c r="AN18" s="1585" t="s">
        <v>7451</v>
      </c>
      <c r="AO18" s="317" t="s">
        <v>7516</v>
      </c>
      <c r="AP18" s="157" t="s">
        <v>756</v>
      </c>
      <c r="AQ18" s="190" t="s">
        <v>7517</v>
      </c>
      <c r="AR18" s="158" t="s">
        <v>7518</v>
      </c>
      <c r="AS18" s="159" t="s">
        <v>7519</v>
      </c>
      <c r="AT18" s="157" t="s">
        <v>7520</v>
      </c>
      <c r="AU18" s="845" t="s">
        <v>376</v>
      </c>
      <c r="AV18" s="160" t="s">
        <v>7521</v>
      </c>
      <c r="AW18" s="149" t="s">
        <v>29</v>
      </c>
      <c r="AX18" s="148" t="s">
        <v>7071</v>
      </c>
      <c r="AY18" s="844" t="s">
        <v>7336</v>
      </c>
      <c r="AZ18" s="846" t="s">
        <v>7336</v>
      </c>
      <c r="BA18" s="839" t="s">
        <v>7071</v>
      </c>
      <c r="BB18" t="str">
        <f>IF(DAY(DOT_Projects[[#This Row],[Engineering Approved Design Date]]) &gt; 16, TEXT(EOMONTH(DOT_Projects[[#This Row],[Engineering Approved Design Date]], 0) + 1, "mmmm"), TEXT(EOMONTH(DOT_Projects[[#This Row],[Engineering Approved Design Date]], -1) + 1, "mmmm"))</f>
        <v>January</v>
      </c>
      <c r="BC18" t="str">
        <f>IF(DAY(DOT_Projects[[#This Row],[Engineering Approved Design Date]]) &gt; 16, TEXT(EOMONTH(DOT_Projects[[#This Row],[Engineering Approved Design Date]], 0) + 1, "mmmm"), TEXT(EOMONTH(DOT_Projects[[#This Row],[Engineering Approved Design Date]], -1) + 1, "mmmm"))</f>
        <v>January</v>
      </c>
      <c r="BE18" t="str">
        <f>_xlfn.CONCAT(DOT_Projects[[#This Row],[WO Number]],DOT_Projects[[#This Row],[Engineering Number]],DOT_Projects[[#This Row],[Town]])</f>
        <v>-M16521BENSENVILLE</v>
      </c>
    </row>
    <row r="19" spans="1:57" ht="81.75" customHeight="1" x14ac:dyDescent="0.25">
      <c r="A19" s="150">
        <v>2025</v>
      </c>
      <c r="B19" s="150" t="s">
        <v>4</v>
      </c>
      <c r="C19" s="150" t="s">
        <v>7522</v>
      </c>
      <c r="D19" s="151" t="s">
        <v>115</v>
      </c>
      <c r="E19" s="152" t="s">
        <v>3259</v>
      </c>
      <c r="F19" s="150" t="s">
        <v>784</v>
      </c>
      <c r="G19" s="150" t="s">
        <v>7523</v>
      </c>
      <c r="H19" s="142" t="s">
        <v>7324</v>
      </c>
      <c r="I19" s="153">
        <v>45916</v>
      </c>
      <c r="J19" s="1699">
        <v>45961</v>
      </c>
      <c r="K19" s="224" t="s">
        <v>7524</v>
      </c>
      <c r="L19" s="153" t="s">
        <v>7525</v>
      </c>
      <c r="M19" s="188" t="s">
        <v>7526</v>
      </c>
      <c r="N19" s="813" t="s">
        <v>992</v>
      </c>
      <c r="O19" s="191" t="s">
        <v>709</v>
      </c>
      <c r="P19" s="191" t="s">
        <v>3262</v>
      </c>
      <c r="Q19" s="191" t="s">
        <v>709</v>
      </c>
      <c r="R19" s="191" t="s">
        <v>745</v>
      </c>
      <c r="S19" s="1663" t="s">
        <v>7527</v>
      </c>
      <c r="T19" s="145">
        <v>45819</v>
      </c>
      <c r="U19" s="850" t="s">
        <v>7071</v>
      </c>
      <c r="V19" s="850" t="s">
        <v>7071</v>
      </c>
      <c r="W19" s="850" t="s">
        <v>7071</v>
      </c>
      <c r="X19" s="850" t="s">
        <v>7071</v>
      </c>
      <c r="Y19" s="850" t="s">
        <v>7071</v>
      </c>
      <c r="Z19" s="850" t="s">
        <v>7071</v>
      </c>
      <c r="AA19" s="850" t="s">
        <v>7071</v>
      </c>
      <c r="AB19" s="155" t="s">
        <v>745</v>
      </c>
      <c r="AC19" s="155" t="s">
        <v>7071</v>
      </c>
      <c r="AD19" s="155" t="s">
        <v>7071</v>
      </c>
      <c r="AE19" s="202">
        <f>IF(DOT_Projects[[#This Row],[TDS (i.e. MOP main)]]="Y",DOT_Projects[[#This Row],[Engineering Approved Design Date]]-28,DOT_Projects[[#This Row],[Engineering Approved Design Date]]-21)</f>
        <v>45940</v>
      </c>
      <c r="AF19" s="146" t="s">
        <v>376</v>
      </c>
      <c r="AG19" s="155" t="s">
        <v>745</v>
      </c>
      <c r="AH19" s="282" t="s">
        <v>7071</v>
      </c>
      <c r="AI19" s="841" t="s">
        <v>376</v>
      </c>
      <c r="AJ19" s="156" t="s">
        <v>7528</v>
      </c>
      <c r="AK19" s="157" t="s">
        <v>756</v>
      </c>
      <c r="AL19" s="157" t="s">
        <v>29</v>
      </c>
      <c r="AM19" s="848" t="s">
        <v>7529</v>
      </c>
      <c r="AN19" s="848" t="s">
        <v>7451</v>
      </c>
      <c r="AO19" s="317" t="s">
        <v>7452</v>
      </c>
      <c r="AP19" s="157" t="s">
        <v>756</v>
      </c>
      <c r="AQ19" s="190" t="s">
        <v>7530</v>
      </c>
      <c r="AR19" s="158" t="s">
        <v>7531</v>
      </c>
      <c r="AS19" s="159" t="s">
        <v>7532</v>
      </c>
      <c r="AT19" s="157" t="s">
        <v>7533</v>
      </c>
      <c r="AU19" s="845" t="s">
        <v>120</v>
      </c>
      <c r="AV19" s="160" t="s">
        <v>7357</v>
      </c>
      <c r="AW19" s="149" t="s">
        <v>29</v>
      </c>
      <c r="AX19" s="146" t="s">
        <v>7534</v>
      </c>
      <c r="AY19" s="159" t="s">
        <v>376</v>
      </c>
      <c r="AZ19" s="502" t="s">
        <v>376</v>
      </c>
      <c r="BA19" s="839" t="s">
        <v>7071</v>
      </c>
      <c r="BB19" t="str">
        <f>IF(DAY(DOT_Projects[[#This Row],[Engineering Approved Design Date]]) &gt; 16, TEXT(EOMONTH(DOT_Projects[[#This Row],[Engineering Approved Design Date]], 0) + 1, "mmmm"), TEXT(EOMONTH(DOT_Projects[[#This Row],[Engineering Approved Design Date]], -1) + 1, "mmmm"))</f>
        <v>November</v>
      </c>
      <c r="BC19" t="str">
        <f>IF(DAY(DOT_Projects[[#This Row],[Engineering Approved Design Date]]) &gt; 16, TEXT(EOMONTH(DOT_Projects[[#This Row],[Engineering Approved Design Date]], 0) + 1, "mmmm"), TEXT(EOMONTH(DOT_Projects[[#This Row],[Engineering Approved Design Date]], -1) + 1, "mmmm"))</f>
        <v>November</v>
      </c>
      <c r="BE19" t="str">
        <f>_xlfn.CONCAT(DOT_Projects[[#This Row],[WO Number]],DOT_Projects[[#This Row],[Engineering Number]],DOT_Projects[[#This Row],[Town]])</f>
        <v>-N19953-1ELK GROVE VILLAGE</v>
      </c>
    </row>
    <row r="20" spans="1:57" ht="40.5" customHeight="1" x14ac:dyDescent="0.25">
      <c r="A20" s="142">
        <v>2025</v>
      </c>
      <c r="B20" s="150" t="s">
        <v>4</v>
      </c>
      <c r="C20" s="142" t="s">
        <v>7535</v>
      </c>
      <c r="D20" s="151" t="s">
        <v>7536</v>
      </c>
      <c r="E20" s="143" t="s">
        <v>3259</v>
      </c>
      <c r="F20" s="142" t="s">
        <v>784</v>
      </c>
      <c r="G20" s="142" t="s">
        <v>7523</v>
      </c>
      <c r="H20" s="142" t="s">
        <v>7001</v>
      </c>
      <c r="I20" s="144">
        <v>45810</v>
      </c>
      <c r="J20" s="1699">
        <v>45922</v>
      </c>
      <c r="K20" s="840" t="s">
        <v>7537</v>
      </c>
      <c r="L20" s="755" t="s">
        <v>7538</v>
      </c>
      <c r="M20" s="825" t="s">
        <v>7526</v>
      </c>
      <c r="N20" s="813" t="s">
        <v>992</v>
      </c>
      <c r="O20" s="191" t="s">
        <v>709</v>
      </c>
      <c r="P20" s="191" t="s">
        <v>3262</v>
      </c>
      <c r="Q20" s="191" t="s">
        <v>709</v>
      </c>
      <c r="R20" s="191" t="s">
        <v>745</v>
      </c>
      <c r="S20" s="1663" t="s">
        <v>7539</v>
      </c>
      <c r="T20" s="145">
        <v>45819</v>
      </c>
      <c r="U20" s="850">
        <v>45880</v>
      </c>
      <c r="V20" s="850">
        <v>45880</v>
      </c>
      <c r="W20" s="850">
        <v>45880</v>
      </c>
      <c r="X20" s="850" t="s">
        <v>7540</v>
      </c>
      <c r="Y20" s="850" t="s">
        <v>7541</v>
      </c>
      <c r="Z20" s="850" t="s">
        <v>7542</v>
      </c>
      <c r="AA20" s="850" t="s">
        <v>7543</v>
      </c>
      <c r="AB20" s="146" t="s">
        <v>745</v>
      </c>
      <c r="AC20" s="155">
        <v>45902</v>
      </c>
      <c r="AD20" s="155">
        <v>45909</v>
      </c>
      <c r="AE20" s="197">
        <f>IF(DOT_Projects[[#This Row],[TDS (i.e. MOP main)]]="Y",DOT_Projects[[#This Row],[Engineering Approved Design Date]]-28,DOT_Projects[[#This Row],[Engineering Approved Design Date]]-21)</f>
        <v>45901</v>
      </c>
      <c r="AF20" s="146">
        <v>45916</v>
      </c>
      <c r="AG20" s="146" t="s">
        <v>709</v>
      </c>
      <c r="AH20" s="154">
        <v>45876</v>
      </c>
      <c r="AI20" s="841">
        <v>1</v>
      </c>
      <c r="AJ20" s="147" t="s">
        <v>7528</v>
      </c>
      <c r="AK20" s="148" t="s">
        <v>756</v>
      </c>
      <c r="AL20" s="148" t="s">
        <v>29</v>
      </c>
      <c r="AM20" s="849" t="s">
        <v>7529</v>
      </c>
      <c r="AN20" s="849" t="s">
        <v>7544</v>
      </c>
      <c r="AO20" s="842" t="s">
        <v>7452</v>
      </c>
      <c r="AP20" s="148" t="s">
        <v>756</v>
      </c>
      <c r="AQ20" s="826" t="s">
        <v>7545</v>
      </c>
      <c r="AR20" s="843" t="s">
        <v>7531</v>
      </c>
      <c r="AS20" s="844" t="s">
        <v>7532</v>
      </c>
      <c r="AT20" s="148" t="s">
        <v>7533</v>
      </c>
      <c r="AU20" s="845" t="s">
        <v>120</v>
      </c>
      <c r="AV20" s="149" t="s">
        <v>7357</v>
      </c>
      <c r="AW20" s="149" t="s">
        <v>29</v>
      </c>
      <c r="AX20" s="146" t="s">
        <v>7534</v>
      </c>
      <c r="AY20" s="844" t="s">
        <v>376</v>
      </c>
      <c r="AZ20" s="846" t="s">
        <v>376</v>
      </c>
      <c r="BA20" s="839">
        <v>100000</v>
      </c>
      <c r="BB20" t="str">
        <f>IF(DAY(DOT_Projects[[#This Row],[Engineering Approved Design Date]]) &gt; 16, TEXT(EOMONTH(DOT_Projects[[#This Row],[Engineering Approved Design Date]], 0) + 1, "mmmm"), TEXT(EOMONTH(DOT_Projects[[#This Row],[Engineering Approved Design Date]], -1) + 1, "mmmm"))</f>
        <v>October</v>
      </c>
      <c r="BC20" t="str">
        <f>IF(DAY(DOT_Projects[[#This Row],[Engineering Approved Design Date]]) &gt; 16, TEXT(EOMONTH(DOT_Projects[[#This Row],[Engineering Approved Design Date]], 0) + 1, "mmmm"), TEXT(EOMONTH(DOT_Projects[[#This Row],[Engineering Approved Design Date]], -1) + 1, "mmmm"))</f>
        <v>October</v>
      </c>
      <c r="BE20" t="str">
        <f>_xlfn.CONCAT(DOT_Projects[[#This Row],[WO Number]],DOT_Projects[[#This Row],[Engineering Number]],DOT_Projects[[#This Row],[Town]])</f>
        <v>1215725N19953ELK GROVE VILLAGE</v>
      </c>
    </row>
    <row r="21" spans="1:57" ht="45" customHeight="1" x14ac:dyDescent="0.25">
      <c r="A21" s="142">
        <v>2025</v>
      </c>
      <c r="B21" s="150" t="s">
        <v>4</v>
      </c>
      <c r="C21" s="142" t="s">
        <v>7546</v>
      </c>
      <c r="D21" s="831" t="s">
        <v>115</v>
      </c>
      <c r="E21" s="143" t="s">
        <v>104</v>
      </c>
      <c r="F21" s="142" t="s">
        <v>851</v>
      </c>
      <c r="G21" s="142" t="s">
        <v>27</v>
      </c>
      <c r="H21" s="142" t="s">
        <v>7324</v>
      </c>
      <c r="I21" s="144">
        <v>45884</v>
      </c>
      <c r="J21" s="1307">
        <v>45961</v>
      </c>
      <c r="K21" s="840" t="s">
        <v>9198</v>
      </c>
      <c r="L21" s="153" t="s">
        <v>7547</v>
      </c>
      <c r="M21" s="825" t="s">
        <v>7548</v>
      </c>
      <c r="N21" s="813" t="s">
        <v>992</v>
      </c>
      <c r="O21" s="191" t="s">
        <v>1167</v>
      </c>
      <c r="P21" s="191" t="s">
        <v>1232</v>
      </c>
      <c r="Q21" s="191" t="s">
        <v>5134</v>
      </c>
      <c r="R21" s="191" t="s">
        <v>745</v>
      </c>
      <c r="S21" s="459" t="s">
        <v>7549</v>
      </c>
      <c r="T21" s="145">
        <v>45905</v>
      </c>
      <c r="U21" s="850" t="s">
        <v>7071</v>
      </c>
      <c r="V21" s="850" t="s">
        <v>7071</v>
      </c>
      <c r="W21" s="850" t="s">
        <v>7071</v>
      </c>
      <c r="X21" s="1704" t="s">
        <v>7071</v>
      </c>
      <c r="Y21" s="1704" t="s">
        <v>7071</v>
      </c>
      <c r="Z21" s="1704" t="s">
        <v>7071</v>
      </c>
      <c r="AA21" s="1704" t="s">
        <v>7071</v>
      </c>
      <c r="AB21" s="146" t="s">
        <v>116</v>
      </c>
      <c r="AC21" s="1738" t="s">
        <v>7071</v>
      </c>
      <c r="AD21" s="1738" t="s">
        <v>7071</v>
      </c>
      <c r="AE21" s="197">
        <f>IF(DOT_Projects[[#This Row],[TDS (i.e. MOP main)]]="Y",DOT_Projects[[#This Row],[Engineering Approved Design Date]]-28,DOT_Projects[[#This Row],[Engineering Approved Design Date]]-21)</f>
        <v>45933</v>
      </c>
      <c r="AF21" s="146" t="s">
        <v>376</v>
      </c>
      <c r="AG21" s="146" t="s">
        <v>116</v>
      </c>
      <c r="AH21" s="282" t="s">
        <v>7071</v>
      </c>
      <c r="AI21" s="198" t="s">
        <v>376</v>
      </c>
      <c r="AJ21" s="147" t="s">
        <v>7550</v>
      </c>
      <c r="AK21" s="148" t="s">
        <v>116</v>
      </c>
      <c r="AL21" s="148" t="s">
        <v>7551</v>
      </c>
      <c r="AM21" s="849" t="s">
        <v>7552</v>
      </c>
      <c r="AN21" s="849" t="s">
        <v>7553</v>
      </c>
      <c r="AO21" s="842" t="s">
        <v>7452</v>
      </c>
      <c r="AP21" s="148" t="s">
        <v>756</v>
      </c>
      <c r="AQ21" s="826"/>
      <c r="AR21" s="843" t="s">
        <v>709</v>
      </c>
      <c r="AS21" s="844" t="s">
        <v>7554</v>
      </c>
      <c r="AT21" s="148" t="s">
        <v>543</v>
      </c>
      <c r="AU21" s="185" t="s">
        <v>376</v>
      </c>
      <c r="AV21" s="160" t="s">
        <v>116</v>
      </c>
      <c r="AW21" s="149" t="s">
        <v>29</v>
      </c>
      <c r="AX21" s="148" t="s">
        <v>7071</v>
      </c>
      <c r="AY21" s="844" t="s">
        <v>7336</v>
      </c>
      <c r="AZ21" s="846" t="s">
        <v>7336</v>
      </c>
      <c r="BA21" s="839" t="s">
        <v>7071</v>
      </c>
      <c r="BB21" t="str">
        <f>IF(DAY(DOT_Projects[[#This Row],[Engineering Approved Design Date]]) &gt; 16, TEXT(EOMONTH(DOT_Projects[[#This Row],[Engineering Approved Design Date]], 0) + 1, "mmmm"), TEXT(EOMONTH(DOT_Projects[[#This Row],[Engineering Approved Design Date]], -1) + 1, "mmmm"))</f>
        <v>November</v>
      </c>
      <c r="BC21" t="str">
        <f>IF(DAY(DOT_Projects[[#This Row],[Engineering Approved Design Date]]) &gt; 16, TEXT(EOMONTH(DOT_Projects[[#This Row],[Engineering Approved Design Date]], 0) + 1, "mmmm"), TEXT(EOMONTH(DOT_Projects[[#This Row],[Engineering Approved Design Date]], -1) + 1, "mmmm"))</f>
        <v>November</v>
      </c>
      <c r="BE21" t="str">
        <f>_xlfn.CONCAT(DOT_Projects[[#This Row],[WO Number]],DOT_Projects[[#This Row],[Engineering Number]],DOT_Projects[[#This Row],[Town]])</f>
        <v>-N20224ELGIN</v>
      </c>
    </row>
    <row r="22" spans="1:57" ht="54" customHeight="1" x14ac:dyDescent="0.25">
      <c r="A22" s="150" t="s">
        <v>6816</v>
      </c>
      <c r="B22" s="150" t="s">
        <v>4</v>
      </c>
      <c r="C22" s="150" t="s">
        <v>7555</v>
      </c>
      <c r="D22" s="151" t="s">
        <v>115</v>
      </c>
      <c r="E22" s="152" t="s">
        <v>1459</v>
      </c>
      <c r="F22" s="150" t="s">
        <v>6874</v>
      </c>
      <c r="G22" s="150" t="s">
        <v>27</v>
      </c>
      <c r="H22" s="150" t="s">
        <v>7324</v>
      </c>
      <c r="I22" s="1730">
        <v>44915</v>
      </c>
      <c r="J22" s="836">
        <v>45968</v>
      </c>
      <c r="K22" s="224" t="s">
        <v>7556</v>
      </c>
      <c r="L22" s="153" t="s">
        <v>7557</v>
      </c>
      <c r="M22" s="188" t="s">
        <v>1617</v>
      </c>
      <c r="N22" s="813" t="s">
        <v>116</v>
      </c>
      <c r="O22" s="191" t="s">
        <v>1462</v>
      </c>
      <c r="P22" s="191" t="s">
        <v>709</v>
      </c>
      <c r="Q22" s="191" t="s">
        <v>7558</v>
      </c>
      <c r="R22" s="191" t="s">
        <v>709</v>
      </c>
      <c r="S22" s="459" t="s">
        <v>7559</v>
      </c>
      <c r="T22" s="154">
        <v>44938</v>
      </c>
      <c r="U22" s="155" t="s">
        <v>7071</v>
      </c>
      <c r="V22" s="155" t="s">
        <v>7071</v>
      </c>
      <c r="W22" s="155" t="s">
        <v>7071</v>
      </c>
      <c r="X22" s="155" t="s">
        <v>7071</v>
      </c>
      <c r="Y22" s="155" t="s">
        <v>7071</v>
      </c>
      <c r="Z22" s="155" t="s">
        <v>7071</v>
      </c>
      <c r="AA22" s="155" t="s">
        <v>7071</v>
      </c>
      <c r="AB22" s="155" t="s">
        <v>745</v>
      </c>
      <c r="AC22" s="155" t="s">
        <v>7071</v>
      </c>
      <c r="AD22" s="155" t="s">
        <v>7071</v>
      </c>
      <c r="AE22" s="202">
        <f>IF(DOT_Projects[[#This Row],[TDS (i.e. MOP main)]]="Y",DOT_Projects[[#This Row],[Engineering Approved Design Date]]-28,DOT_Projects[[#This Row],[Engineering Approved Design Date]]-21)</f>
        <v>45940</v>
      </c>
      <c r="AF22" s="189" t="s">
        <v>376</v>
      </c>
      <c r="AG22" s="155" t="s">
        <v>116</v>
      </c>
      <c r="AH22" s="154" t="s">
        <v>7071</v>
      </c>
      <c r="AI22" s="198" t="s">
        <v>376</v>
      </c>
      <c r="AJ22" s="156" t="s">
        <v>7560</v>
      </c>
      <c r="AK22" s="157" t="s">
        <v>116</v>
      </c>
      <c r="AL22" s="157" t="s">
        <v>7561</v>
      </c>
      <c r="AM22" s="848" t="s">
        <v>7562</v>
      </c>
      <c r="AN22" s="848" t="s">
        <v>376</v>
      </c>
      <c r="AO22" s="842" t="s">
        <v>7516</v>
      </c>
      <c r="AP22" s="157" t="s">
        <v>709</v>
      </c>
      <c r="AQ22" s="190" t="s">
        <v>7436</v>
      </c>
      <c r="AR22" s="158" t="s">
        <v>709</v>
      </c>
      <c r="AS22" s="159" t="s">
        <v>7563</v>
      </c>
      <c r="AT22" s="157" t="s">
        <v>7564</v>
      </c>
      <c r="AU22" s="185" t="s">
        <v>739</v>
      </c>
      <c r="AV22" s="160" t="s">
        <v>7565</v>
      </c>
      <c r="AW22" s="160" t="s">
        <v>7566</v>
      </c>
      <c r="AX22" s="157" t="s">
        <v>7071</v>
      </c>
      <c r="AY22" s="159" t="s">
        <v>709</v>
      </c>
      <c r="AZ22" s="1712" t="s">
        <v>29</v>
      </c>
      <c r="BA22" s="500" t="s">
        <v>7071</v>
      </c>
      <c r="BB22" t="str">
        <f>IF(DAY(DOT_Projects[[#This Row],[Engineering Approved Design Date]]) &gt; 16, TEXT(EOMONTH(DOT_Projects[[#This Row],[Engineering Approved Design Date]], 0) + 1, "mmmm"), TEXT(EOMONTH(DOT_Projects[[#This Row],[Engineering Approved Design Date]], -1) + 1, "mmmm"))</f>
        <v>November</v>
      </c>
      <c r="BC22" t="str">
        <f>IF(DAY(DOT_Projects[[#This Row],[Engineering Approved Design Date]]) &gt; 16, TEXT(EOMONTH(DOT_Projects[[#This Row],[Engineering Approved Design Date]], 0) + 1, "mmmm"), TEXT(EOMONTH(DOT_Projects[[#This Row],[Engineering Approved Design Date]], -1) + 1, "mmmm"))</f>
        <v>November</v>
      </c>
      <c r="BE22" t="str">
        <f>_xlfn.CONCAT(DOT_Projects[[#This Row],[WO Number]],DOT_Projects[[#This Row],[Engineering Number]],DOT_Projects[[#This Row],[Town]])</f>
        <v>-SC20310SHERIDAN</v>
      </c>
    </row>
    <row r="23" spans="1:57" ht="45" customHeight="1" x14ac:dyDescent="0.25">
      <c r="A23" s="150" t="s">
        <v>6816</v>
      </c>
      <c r="B23" s="150" t="s">
        <v>4</v>
      </c>
      <c r="C23" s="150" t="s">
        <v>7567</v>
      </c>
      <c r="D23" s="151" t="s">
        <v>7568</v>
      </c>
      <c r="E23" s="152" t="s">
        <v>1306</v>
      </c>
      <c r="F23" s="150" t="s">
        <v>784</v>
      </c>
      <c r="G23" s="150" t="s">
        <v>27</v>
      </c>
      <c r="H23" s="150" t="s">
        <v>7324</v>
      </c>
      <c r="I23" s="153">
        <v>45120</v>
      </c>
      <c r="J23" s="283">
        <v>45975</v>
      </c>
      <c r="K23" s="224" t="s">
        <v>7569</v>
      </c>
      <c r="L23" s="153" t="s">
        <v>7570</v>
      </c>
      <c r="M23" s="188" t="s">
        <v>961</v>
      </c>
      <c r="N23" s="813" t="s">
        <v>709</v>
      </c>
      <c r="O23" s="191" t="s">
        <v>1167</v>
      </c>
      <c r="P23" s="191" t="s">
        <v>5529</v>
      </c>
      <c r="Q23" s="191" t="s">
        <v>5529</v>
      </c>
      <c r="R23" s="191" t="s">
        <v>709</v>
      </c>
      <c r="S23" s="459" t="s">
        <v>7571</v>
      </c>
      <c r="T23" s="154">
        <v>45133</v>
      </c>
      <c r="U23" s="155" t="s">
        <v>7071</v>
      </c>
      <c r="V23" s="155" t="s">
        <v>7071</v>
      </c>
      <c r="W23" s="155" t="s">
        <v>7071</v>
      </c>
      <c r="X23" s="850" t="s">
        <v>4055</v>
      </c>
      <c r="Y23" s="850" t="s">
        <v>4055</v>
      </c>
      <c r="Z23" s="850" t="s">
        <v>4055</v>
      </c>
      <c r="AA23" s="850" t="s">
        <v>4055</v>
      </c>
      <c r="AB23" s="155" t="s">
        <v>745</v>
      </c>
      <c r="AC23" s="155" t="s">
        <v>7071</v>
      </c>
      <c r="AD23" s="155" t="s">
        <v>7071</v>
      </c>
      <c r="AE23" s="202">
        <f>IF(DOT_Projects[[#This Row],[TDS (i.e. MOP main)]]="Y",DOT_Projects[[#This Row],[Engineering Approved Design Date]]-28,DOT_Projects[[#This Row],[Engineering Approved Design Date]]-21)</f>
        <v>45947</v>
      </c>
      <c r="AF23" s="155" t="s">
        <v>376</v>
      </c>
      <c r="AG23" s="155" t="s">
        <v>116</v>
      </c>
      <c r="AH23" s="154" t="s">
        <v>7071</v>
      </c>
      <c r="AI23" s="198" t="s">
        <v>376</v>
      </c>
      <c r="AJ23" s="156" t="s">
        <v>7572</v>
      </c>
      <c r="AK23" s="189" t="s">
        <v>116</v>
      </c>
      <c r="AL23" s="1552" t="s">
        <v>7573</v>
      </c>
      <c r="AM23" s="848" t="s">
        <v>29</v>
      </c>
      <c r="AN23" s="848" t="s">
        <v>7574</v>
      </c>
      <c r="AO23" s="317" t="s">
        <v>7452</v>
      </c>
      <c r="AP23" s="157" t="s">
        <v>116</v>
      </c>
      <c r="AQ23" s="1707" t="s">
        <v>7575</v>
      </c>
      <c r="AR23" s="158" t="s">
        <v>709</v>
      </c>
      <c r="AS23" s="159" t="s">
        <v>7576</v>
      </c>
      <c r="AT23" s="1319" t="s">
        <v>7577</v>
      </c>
      <c r="AU23" s="1544" t="s">
        <v>120</v>
      </c>
      <c r="AV23" s="160" t="s">
        <v>7578</v>
      </c>
      <c r="AW23" s="160" t="s">
        <v>7579</v>
      </c>
      <c r="AX23" s="157" t="s">
        <v>7071</v>
      </c>
      <c r="AY23" s="159" t="s">
        <v>745</v>
      </c>
      <c r="AZ23" s="502" t="s">
        <v>29</v>
      </c>
      <c r="BA23" s="500" t="s">
        <v>7071</v>
      </c>
      <c r="BB23" s="30" t="str">
        <f>IF(DAY(DOT_Projects[[#This Row],[Engineering Approved Design Date]]) &gt; 16, TEXT(EOMONTH(DOT_Projects[[#This Row],[Engineering Approved Design Date]], 0) + 1, "mmmm"), TEXT(EOMONTH(DOT_Projects[[#This Row],[Engineering Approved Design Date]], -1) + 1, "mmmm"))</f>
        <v>November</v>
      </c>
      <c r="BC23" s="30" t="str">
        <f>IF(DAY(DOT_Projects[[#This Row],[Engineering Approved Design Date]]) &gt; 16, TEXT(EOMONTH(DOT_Projects[[#This Row],[Engineering Approved Design Date]], 0) + 1, "mmmm"), TEXT(EOMONTH(DOT_Projects[[#This Row],[Engineering Approved Design Date]], -1) + 1, "mmmm"))</f>
        <v>November</v>
      </c>
      <c r="BE23" t="str">
        <f>_xlfn.CONCAT(DOT_Projects[[#This Row],[WO Number]],DOT_Projects[[#This Row],[Engineering Number]],DOT_Projects[[#This Row],[Town]])</f>
        <v>1215063N17141HUNTLEY</v>
      </c>
    </row>
    <row r="24" spans="1:57" ht="61.5" customHeight="1" x14ac:dyDescent="0.25">
      <c r="A24" s="150" t="s">
        <v>6816</v>
      </c>
      <c r="B24" s="150" t="s">
        <v>4</v>
      </c>
      <c r="C24" s="150" t="s">
        <v>7580</v>
      </c>
      <c r="D24" s="151" t="s">
        <v>115</v>
      </c>
      <c r="E24" s="152" t="s">
        <v>1404</v>
      </c>
      <c r="F24" s="150" t="s">
        <v>784</v>
      </c>
      <c r="G24" s="150" t="s">
        <v>27</v>
      </c>
      <c r="H24" s="150" t="s">
        <v>7324</v>
      </c>
      <c r="I24" s="153">
        <v>44110</v>
      </c>
      <c r="J24" s="283">
        <v>45975</v>
      </c>
      <c r="K24" s="224" t="s">
        <v>7581</v>
      </c>
      <c r="L24" s="153" t="s">
        <v>7582</v>
      </c>
      <c r="M24" s="196" t="s">
        <v>870</v>
      </c>
      <c r="N24" s="813" t="s">
        <v>116</v>
      </c>
      <c r="O24" s="191" t="s">
        <v>1066</v>
      </c>
      <c r="P24" s="191" t="s">
        <v>709</v>
      </c>
      <c r="Q24" s="191" t="s">
        <v>709</v>
      </c>
      <c r="R24" s="191" t="s">
        <v>709</v>
      </c>
      <c r="S24" s="459" t="s">
        <v>7583</v>
      </c>
      <c r="T24" s="154">
        <v>45128</v>
      </c>
      <c r="U24" s="155" t="s">
        <v>7071</v>
      </c>
      <c r="V24" s="155" t="s">
        <v>7071</v>
      </c>
      <c r="W24" s="155" t="s">
        <v>7071</v>
      </c>
      <c r="X24" s="155" t="s">
        <v>7071</v>
      </c>
      <c r="Y24" s="155" t="s">
        <v>7071</v>
      </c>
      <c r="Z24" s="155" t="s">
        <v>7071</v>
      </c>
      <c r="AA24" s="155" t="s">
        <v>7071</v>
      </c>
      <c r="AB24" s="1554" t="s">
        <v>116</v>
      </c>
      <c r="AC24" s="155" t="s">
        <v>7071</v>
      </c>
      <c r="AD24" s="155" t="s">
        <v>7071</v>
      </c>
      <c r="AE24" s="202">
        <f>IF(DOT_Projects[[#This Row],[TDS (i.e. MOP main)]]="Y",DOT_Projects[[#This Row],[Engineering Approved Design Date]]-28,DOT_Projects[[#This Row],[Engineering Approved Design Date]]-21)</f>
        <v>45954</v>
      </c>
      <c r="AF24" s="155" t="s">
        <v>376</v>
      </c>
      <c r="AG24" s="155" t="s">
        <v>709</v>
      </c>
      <c r="AH24" s="154" t="s">
        <v>7071</v>
      </c>
      <c r="AI24" s="198" t="s">
        <v>376</v>
      </c>
      <c r="AJ24" s="156" t="s">
        <v>7584</v>
      </c>
      <c r="AK24" s="157" t="s">
        <v>116</v>
      </c>
      <c r="AL24" s="1552" t="s">
        <v>7585</v>
      </c>
      <c r="AM24" s="848" t="s">
        <v>7586</v>
      </c>
      <c r="AN24" s="848" t="s">
        <v>7451</v>
      </c>
      <c r="AO24" s="317" t="s">
        <v>7516</v>
      </c>
      <c r="AP24" s="157" t="s">
        <v>756</v>
      </c>
      <c r="AQ24" s="196" t="s">
        <v>7587</v>
      </c>
      <c r="AR24" s="158" t="s">
        <v>709</v>
      </c>
      <c r="AS24" s="159" t="s">
        <v>7588</v>
      </c>
      <c r="AT24" s="1319" t="s">
        <v>7589</v>
      </c>
      <c r="AU24" s="185" t="s">
        <v>739</v>
      </c>
      <c r="AV24" s="160" t="s">
        <v>29</v>
      </c>
      <c r="AW24" s="160" t="s">
        <v>7590</v>
      </c>
      <c r="AX24" s="157" t="s">
        <v>7591</v>
      </c>
      <c r="AY24" s="159" t="s">
        <v>709</v>
      </c>
      <c r="AZ24" s="1712" t="s">
        <v>29</v>
      </c>
      <c r="BA24" s="500" t="s">
        <v>7071</v>
      </c>
      <c r="BB24" t="str">
        <f>IF(DAY(DOT_Projects[[#This Row],[Engineering Approved Design Date]]) &gt; 16, TEXT(EOMONTH(DOT_Projects[[#This Row],[Engineering Approved Design Date]], 0) + 1, "mmmm"), TEXT(EOMONTH(DOT_Projects[[#This Row],[Engineering Approved Design Date]], -1) + 1, "mmmm"))</f>
        <v>November</v>
      </c>
      <c r="BC24" t="str">
        <f>IF(DAY(DOT_Projects[[#This Row],[Engineering Approved Design Date]]) &gt; 16, TEXT(EOMONTH(DOT_Projects[[#This Row],[Engineering Approved Design Date]], 0) + 1, "mmmm"), TEXT(EOMONTH(DOT_Projects[[#This Row],[Engineering Approved Design Date]], -1) + 1, "mmmm"))</f>
        <v>November</v>
      </c>
      <c r="BE24" t="str">
        <f>_xlfn.CONCAT(DOT_Projects[[#This Row],[WO Number]],DOT_Projects[[#This Row],[Engineering Number]],DOT_Projects[[#This Row],[Town]])</f>
        <v>-N13882MUNDELEIN</v>
      </c>
    </row>
    <row r="25" spans="1:57" s="30" customFormat="1" ht="75" customHeight="1" x14ac:dyDescent="0.25">
      <c r="A25" s="150" t="s">
        <v>6816</v>
      </c>
      <c r="B25" s="150" t="s">
        <v>4</v>
      </c>
      <c r="C25" s="150" t="s">
        <v>7592</v>
      </c>
      <c r="D25" s="151" t="s">
        <v>115</v>
      </c>
      <c r="E25" s="152" t="s">
        <v>1261</v>
      </c>
      <c r="F25" s="150" t="s">
        <v>784</v>
      </c>
      <c r="G25" s="150" t="s">
        <v>27</v>
      </c>
      <c r="H25" s="150" t="s">
        <v>7324</v>
      </c>
      <c r="I25" s="153">
        <v>45020</v>
      </c>
      <c r="J25" s="283">
        <v>45978</v>
      </c>
      <c r="K25" s="224" t="s">
        <v>7593</v>
      </c>
      <c r="L25" s="153" t="s">
        <v>7594</v>
      </c>
      <c r="M25" s="188" t="s">
        <v>4666</v>
      </c>
      <c r="N25" s="813" t="s">
        <v>116</v>
      </c>
      <c r="O25" s="191" t="s">
        <v>1066</v>
      </c>
      <c r="P25" s="191" t="s">
        <v>7595</v>
      </c>
      <c r="Q25" s="191" t="s">
        <v>7596</v>
      </c>
      <c r="R25" s="191" t="s">
        <v>709</v>
      </c>
      <c r="S25" s="459" t="s">
        <v>7597</v>
      </c>
      <c r="T25" s="154">
        <v>45454</v>
      </c>
      <c r="U25" s="155" t="s">
        <v>7071</v>
      </c>
      <c r="V25" s="155" t="s">
        <v>7071</v>
      </c>
      <c r="W25" s="155" t="s">
        <v>7071</v>
      </c>
      <c r="X25" s="155" t="s">
        <v>7071</v>
      </c>
      <c r="Y25" s="155" t="s">
        <v>7071</v>
      </c>
      <c r="Z25" s="155" t="s">
        <v>7071</v>
      </c>
      <c r="AA25" s="155" t="s">
        <v>7071</v>
      </c>
      <c r="AB25" s="155" t="s">
        <v>116</v>
      </c>
      <c r="AC25" s="155" t="s">
        <v>7071</v>
      </c>
      <c r="AD25" s="155" t="s">
        <v>7071</v>
      </c>
      <c r="AE25" s="202">
        <f>IF(DOT_Projects[[#This Row],[TDS (i.e. MOP main)]]="Y",DOT_Projects[[#This Row],[Engineering Approved Design Date]]-28,DOT_Projects[[#This Row],[Engineering Approved Design Date]]-21)</f>
        <v>45950</v>
      </c>
      <c r="AF25" s="189" t="s">
        <v>376</v>
      </c>
      <c r="AG25" s="155" t="s">
        <v>116</v>
      </c>
      <c r="AH25" s="154" t="s">
        <v>7071</v>
      </c>
      <c r="AI25" s="1603" t="s">
        <v>376</v>
      </c>
      <c r="AJ25" s="156" t="s">
        <v>7598</v>
      </c>
      <c r="AK25" s="157" t="s">
        <v>116</v>
      </c>
      <c r="AL25" s="157" t="s">
        <v>7599</v>
      </c>
      <c r="AM25" s="848" t="s">
        <v>7600</v>
      </c>
      <c r="AN25" s="848" t="s">
        <v>7601</v>
      </c>
      <c r="AO25" s="317" t="s">
        <v>6971</v>
      </c>
      <c r="AP25" s="157" t="s">
        <v>709</v>
      </c>
      <c r="AQ25" s="190" t="s">
        <v>7602</v>
      </c>
      <c r="AR25" s="158" t="s">
        <v>709</v>
      </c>
      <c r="AS25" s="159" t="s">
        <v>7603</v>
      </c>
      <c r="AT25" s="157" t="s">
        <v>7463</v>
      </c>
      <c r="AU25" s="185" t="s">
        <v>376</v>
      </c>
      <c r="AV25" s="160" t="s">
        <v>7604</v>
      </c>
      <c r="AW25" s="160" t="s">
        <v>7605</v>
      </c>
      <c r="AX25" s="157" t="s">
        <v>7071</v>
      </c>
      <c r="AY25" s="159" t="s">
        <v>745</v>
      </c>
      <c r="AZ25" s="502" t="s">
        <v>29</v>
      </c>
      <c r="BA25" s="839" t="s">
        <v>7071</v>
      </c>
      <c r="BB25" t="str">
        <f>IF(DAY(DOT_Projects[[#This Row],[Engineering Approved Design Date]]) &gt; 16, TEXT(EOMONTH(DOT_Projects[[#This Row],[Engineering Approved Design Date]], 0) + 1, "mmmm"), TEXT(EOMONTH(DOT_Projects[[#This Row],[Engineering Approved Design Date]], -1) + 1, "mmmm"))</f>
        <v>December</v>
      </c>
      <c r="BC25" t="str">
        <f>IF(DAY(DOT_Projects[[#This Row],[Engineering Approved Design Date]]) &gt; 16, TEXT(EOMONTH(DOT_Projects[[#This Row],[Engineering Approved Design Date]], 0) + 1, "mmmm"), TEXT(EOMONTH(DOT_Projects[[#This Row],[Engineering Approved Design Date]], -1) + 1, "mmmm"))</f>
        <v>December</v>
      </c>
      <c r="BE25" s="30" t="str">
        <f>_xlfn.CONCAT(DOT_Projects[[#This Row],[WO Number]],DOT_Projects[[#This Row],[Engineering Number]],DOT_Projects[[#This Row],[Town]])</f>
        <v>-N16723HAWTHORN WOODS</v>
      </c>
    </row>
    <row r="26" spans="1:57" ht="60" customHeight="1" x14ac:dyDescent="0.25">
      <c r="A26" s="150" t="s">
        <v>6816</v>
      </c>
      <c r="B26" s="150" t="s">
        <v>4</v>
      </c>
      <c r="C26" s="150" t="s">
        <v>7606</v>
      </c>
      <c r="D26" s="779" t="s">
        <v>7607</v>
      </c>
      <c r="E26" s="152" t="s">
        <v>1306</v>
      </c>
      <c r="F26" s="150" t="s">
        <v>784</v>
      </c>
      <c r="G26" s="1200" t="s">
        <v>27</v>
      </c>
      <c r="H26" s="150" t="s">
        <v>6971</v>
      </c>
      <c r="I26" s="153">
        <v>45838</v>
      </c>
      <c r="J26" s="836">
        <v>45954</v>
      </c>
      <c r="K26" s="224" t="s">
        <v>6979</v>
      </c>
      <c r="L26" s="153" t="s">
        <v>7608</v>
      </c>
      <c r="M26" s="188" t="s">
        <v>7609</v>
      </c>
      <c r="N26" s="813" t="s">
        <v>116</v>
      </c>
      <c r="O26" s="191" t="s">
        <v>709</v>
      </c>
      <c r="P26" s="191" t="s">
        <v>5529</v>
      </c>
      <c r="Q26" s="191" t="s">
        <v>709</v>
      </c>
      <c r="R26" s="191" t="s">
        <v>3021</v>
      </c>
      <c r="S26" s="459" t="s">
        <v>7610</v>
      </c>
      <c r="T26" s="154">
        <v>45905</v>
      </c>
      <c r="U26" s="1496" t="s">
        <v>7071</v>
      </c>
      <c r="V26" s="1496" t="s">
        <v>7071</v>
      </c>
      <c r="W26" s="155" t="s">
        <v>7071</v>
      </c>
      <c r="X26" s="155" t="s">
        <v>7071</v>
      </c>
      <c r="Y26" s="155" t="s">
        <v>7071</v>
      </c>
      <c r="Z26" s="155" t="s">
        <v>7071</v>
      </c>
      <c r="AA26" s="155" t="s">
        <v>7071</v>
      </c>
      <c r="AB26" s="155" t="s">
        <v>116</v>
      </c>
      <c r="AC26" s="155" t="s">
        <v>7071</v>
      </c>
      <c r="AD26" s="155" t="s">
        <v>7071</v>
      </c>
      <c r="AE26" s="202">
        <f>IF(DOT_Projects[[#This Row],[TDS (i.e. MOP main)]]="Y",DOT_Projects[[#This Row],[Engineering Approved Design Date]]-28,DOT_Projects[[#This Row],[Engineering Approved Design Date]]-21)</f>
        <v>45926</v>
      </c>
      <c r="AF26" s="155" t="s">
        <v>376</v>
      </c>
      <c r="AG26" s="155" t="s">
        <v>116</v>
      </c>
      <c r="AH26" s="154">
        <v>45905</v>
      </c>
      <c r="AI26" s="198" t="s">
        <v>376</v>
      </c>
      <c r="AJ26" s="156" t="s">
        <v>7611</v>
      </c>
      <c r="AK26" s="157" t="s">
        <v>116</v>
      </c>
      <c r="AL26" s="157" t="s">
        <v>7612</v>
      </c>
      <c r="AM26" s="848" t="s">
        <v>7376</v>
      </c>
      <c r="AN26" s="848" t="s">
        <v>7451</v>
      </c>
      <c r="AO26" s="317" t="s">
        <v>7452</v>
      </c>
      <c r="AP26" s="155">
        <v>45846</v>
      </c>
      <c r="AQ26" s="190" t="s">
        <v>7613</v>
      </c>
      <c r="AR26" s="158" t="s">
        <v>709</v>
      </c>
      <c r="AS26" s="159" t="s">
        <v>7614</v>
      </c>
      <c r="AT26" s="157" t="s">
        <v>7615</v>
      </c>
      <c r="AU26" s="185" t="s">
        <v>116</v>
      </c>
      <c r="AV26" s="160" t="s">
        <v>7616</v>
      </c>
      <c r="AW26" s="160" t="s">
        <v>29</v>
      </c>
      <c r="AX26" s="157" t="s">
        <v>7617</v>
      </c>
      <c r="AY26" s="159" t="s">
        <v>745</v>
      </c>
      <c r="AZ26" s="502" t="s">
        <v>29</v>
      </c>
      <c r="BA26" s="1742" t="s">
        <v>7071</v>
      </c>
      <c r="BB26" t="str">
        <f>IF(DAY(DOT_Projects[[#This Row],[Engineering Approved Design Date]]) &gt; 16, TEXT(EOMONTH(DOT_Projects[[#This Row],[Engineering Approved Design Date]], 0) + 1, "mmmm"), TEXT(EOMONTH(DOT_Projects[[#This Row],[Engineering Approved Design Date]], -1) + 1, "mmmm"))</f>
        <v>November</v>
      </c>
      <c r="BC26" t="str">
        <f>IF(DAY(DOT_Projects[[#This Row],[Engineering Approved Design Date]]) &gt; 16, TEXT(EOMONTH(DOT_Projects[[#This Row],[Engineering Approved Design Date]], 0) + 1, "mmmm"), TEXT(EOMONTH(DOT_Projects[[#This Row],[Engineering Approved Design Date]], -1) + 1, "mmmm"))</f>
        <v>November</v>
      </c>
      <c r="BE26" t="str">
        <f>_xlfn.CONCAT(DOT_Projects[[#This Row],[WO Number]],DOT_Projects[[#This Row],[Engineering Number]],DOT_Projects[[#This Row],[Town]])</f>
        <v>1215831N14920HUNTLEY</v>
      </c>
    </row>
    <row r="27" spans="1:57" ht="60" customHeight="1" x14ac:dyDescent="0.25">
      <c r="A27" s="150" t="s">
        <v>6816</v>
      </c>
      <c r="B27" s="150" t="s">
        <v>4</v>
      </c>
      <c r="C27" s="150" t="s">
        <v>7618</v>
      </c>
      <c r="D27" s="779" t="s">
        <v>7619</v>
      </c>
      <c r="E27" s="152" t="s">
        <v>7620</v>
      </c>
      <c r="F27" s="150" t="s">
        <v>6874</v>
      </c>
      <c r="G27" s="1200" t="s">
        <v>27</v>
      </c>
      <c r="H27" s="150" t="s">
        <v>6971</v>
      </c>
      <c r="I27" s="153">
        <v>45064</v>
      </c>
      <c r="J27" s="836">
        <v>45968</v>
      </c>
      <c r="K27" s="224" t="s">
        <v>7621</v>
      </c>
      <c r="L27" s="153" t="s">
        <v>7622</v>
      </c>
      <c r="M27" s="188" t="s">
        <v>7623</v>
      </c>
      <c r="N27" s="813" t="s">
        <v>709</v>
      </c>
      <c r="O27" s="191" t="s">
        <v>709</v>
      </c>
      <c r="P27" s="191" t="s">
        <v>7624</v>
      </c>
      <c r="Q27" s="191" t="s">
        <v>709</v>
      </c>
      <c r="R27" s="191" t="s">
        <v>709</v>
      </c>
      <c r="S27" s="459" t="s">
        <v>7625</v>
      </c>
      <c r="T27" s="154">
        <v>45091</v>
      </c>
      <c r="U27" s="155">
        <v>46281</v>
      </c>
      <c r="V27" s="1496" t="s">
        <v>7071</v>
      </c>
      <c r="W27" s="155" t="s">
        <v>7071</v>
      </c>
      <c r="X27" s="155" t="s">
        <v>7071</v>
      </c>
      <c r="Y27" s="155" t="s">
        <v>7071</v>
      </c>
      <c r="Z27" s="155" t="s">
        <v>7071</v>
      </c>
      <c r="AA27" s="155" t="s">
        <v>7071</v>
      </c>
      <c r="AB27" s="155" t="s">
        <v>116</v>
      </c>
      <c r="AC27" s="155" t="s">
        <v>7071</v>
      </c>
      <c r="AD27" s="155" t="s">
        <v>7071</v>
      </c>
      <c r="AE27" s="202">
        <f>IF(DOT_Projects[[#This Row],[TDS (i.e. MOP main)]]="Y",DOT_Projects[[#This Row],[Engineering Approved Design Date]]-28,DOT_Projects[[#This Row],[Engineering Approved Design Date]]-21)</f>
        <v>45947</v>
      </c>
      <c r="AF27" s="155" t="s">
        <v>376</v>
      </c>
      <c r="AG27" s="155" t="s">
        <v>376</v>
      </c>
      <c r="AH27" s="154">
        <v>45905</v>
      </c>
      <c r="AI27" s="198" t="s">
        <v>376</v>
      </c>
      <c r="AJ27" s="156" t="s">
        <v>7626</v>
      </c>
      <c r="AK27" s="157" t="s">
        <v>116</v>
      </c>
      <c r="AL27" s="157" t="s">
        <v>7627</v>
      </c>
      <c r="AM27" s="848" t="s">
        <v>7628</v>
      </c>
      <c r="AN27" s="848" t="s">
        <v>7451</v>
      </c>
      <c r="AO27" s="317" t="s">
        <v>7395</v>
      </c>
      <c r="AP27" s="157" t="s">
        <v>709</v>
      </c>
      <c r="AQ27" s="190" t="s">
        <v>7629</v>
      </c>
      <c r="AR27" s="158" t="s">
        <v>7518</v>
      </c>
      <c r="AS27" s="159" t="s">
        <v>7630</v>
      </c>
      <c r="AT27" s="157" t="s">
        <v>7631</v>
      </c>
      <c r="AU27" s="185" t="s">
        <v>739</v>
      </c>
      <c r="AV27" s="160" t="s">
        <v>7578</v>
      </c>
      <c r="AW27" s="160" t="s">
        <v>7632</v>
      </c>
      <c r="AX27" s="157" t="s">
        <v>7617</v>
      </c>
      <c r="AY27" s="159" t="s">
        <v>7633</v>
      </c>
      <c r="AZ27" s="502" t="s">
        <v>7634</v>
      </c>
      <c r="BA27" s="500" t="s">
        <v>7071</v>
      </c>
      <c r="BB27" t="str">
        <f>IF(DAY(DOT_Projects[[#This Row],[Engineering Approved Design Date]]) &gt; 16, TEXT(EOMONTH(DOT_Projects[[#This Row],[Engineering Approved Design Date]], 0) + 1, "mmmm"), TEXT(EOMONTH(DOT_Projects[[#This Row],[Engineering Approved Design Date]], -1) + 1, "mmmm"))</f>
        <v>November</v>
      </c>
      <c r="BC27" t="str">
        <f>IF(DAY(DOT_Projects[[#This Row],[Engineering Approved Design Date]]) &gt; 16, TEXT(EOMONTH(DOT_Projects[[#This Row],[Engineering Approved Design Date]], 0) + 1, "mmmm"), TEXT(EOMONTH(DOT_Projects[[#This Row],[Engineering Approved Design Date]], -1) + 1, "mmmm"))</f>
        <v>November</v>
      </c>
      <c r="BE27" t="str">
        <f>_xlfn.CONCAT(DOT_Projects[[#This Row],[WO Number]],DOT_Projects[[#This Row],[Engineering Number]],DOT_Projects[[#This Row],[Town]])</f>
        <v>1212834M12980LAGRANGE PARK</v>
      </c>
    </row>
    <row r="28" spans="1:57" ht="66" customHeight="1" x14ac:dyDescent="0.25">
      <c r="A28" s="150" t="s">
        <v>6926</v>
      </c>
      <c r="B28" s="150" t="s">
        <v>4</v>
      </c>
      <c r="C28" s="150" t="s">
        <v>7635</v>
      </c>
      <c r="D28" s="342" t="s">
        <v>7636</v>
      </c>
      <c r="E28" s="152" t="s">
        <v>111</v>
      </c>
      <c r="F28" s="150" t="s">
        <v>784</v>
      </c>
      <c r="G28" s="150" t="s">
        <v>27</v>
      </c>
      <c r="H28" s="150" t="s">
        <v>6930</v>
      </c>
      <c r="I28" s="153">
        <v>45496</v>
      </c>
      <c r="J28" s="1732">
        <v>45982</v>
      </c>
      <c r="K28" s="224" t="s">
        <v>7637</v>
      </c>
      <c r="L28" s="153" t="s">
        <v>7638</v>
      </c>
      <c r="M28" s="188" t="s">
        <v>870</v>
      </c>
      <c r="N28" s="813" t="s">
        <v>116</v>
      </c>
      <c r="O28" s="191" t="s">
        <v>1626</v>
      </c>
      <c r="P28" s="191" t="s">
        <v>7639</v>
      </c>
      <c r="Q28" s="191" t="s">
        <v>4269</v>
      </c>
      <c r="R28" s="191" t="s">
        <v>709</v>
      </c>
      <c r="S28" s="459" t="s">
        <v>7640</v>
      </c>
      <c r="T28" s="154">
        <v>45516</v>
      </c>
      <c r="U28" s="155">
        <v>45810</v>
      </c>
      <c r="V28" s="155" t="s">
        <v>116</v>
      </c>
      <c r="W28" s="155">
        <v>45761</v>
      </c>
      <c r="X28" s="155" t="s">
        <v>29</v>
      </c>
      <c r="Y28" s="155" t="s">
        <v>29</v>
      </c>
      <c r="Z28" s="155">
        <v>45804</v>
      </c>
      <c r="AA28" s="155">
        <v>45828</v>
      </c>
      <c r="AB28" s="155" t="s">
        <v>745</v>
      </c>
      <c r="AC28" s="155">
        <v>45870</v>
      </c>
      <c r="AD28" s="155">
        <v>45883</v>
      </c>
      <c r="AE28" s="202">
        <f>IF(DOT_Projects[[#This Row],[TDS (i.e. MOP main)]]="Y",DOT_Projects[[#This Row],[Engineering Approved Design Date]]-28,DOT_Projects[[#This Row],[Engineering Approved Design Date]]-21)</f>
        <v>45954</v>
      </c>
      <c r="AF28" s="155">
        <v>45898</v>
      </c>
      <c r="AG28" s="155" t="s">
        <v>116</v>
      </c>
      <c r="AH28" s="154">
        <v>45601</v>
      </c>
      <c r="AI28" s="198">
        <v>75</v>
      </c>
      <c r="AJ28" s="156" t="s">
        <v>7641</v>
      </c>
      <c r="AK28" s="157" t="s">
        <v>116</v>
      </c>
      <c r="AL28" s="157" t="s">
        <v>7642</v>
      </c>
      <c r="AM28" s="848" t="s">
        <v>7586</v>
      </c>
      <c r="AN28" s="848" t="s">
        <v>7353</v>
      </c>
      <c r="AO28" s="317" t="s">
        <v>7378</v>
      </c>
      <c r="AP28" s="155">
        <v>45586</v>
      </c>
      <c r="AQ28" s="190" t="s">
        <v>7643</v>
      </c>
      <c r="AR28" s="1592" t="s">
        <v>7644</v>
      </c>
      <c r="AS28" s="1178" t="s">
        <v>7645</v>
      </c>
      <c r="AT28" s="155" t="s">
        <v>7646</v>
      </c>
      <c r="AU28" s="1544" t="s">
        <v>739</v>
      </c>
      <c r="AV28" s="154" t="s">
        <v>7647</v>
      </c>
      <c r="AW28" s="160" t="s">
        <v>29</v>
      </c>
      <c r="AX28" s="157" t="s">
        <v>7648</v>
      </c>
      <c r="AY28" s="159" t="s">
        <v>116</v>
      </c>
      <c r="AZ28" s="1593" t="s">
        <v>7649</v>
      </c>
      <c r="BA28" s="500">
        <v>7000000</v>
      </c>
      <c r="BB28" t="str">
        <f>IF(DAY(DOT_Projects[[#This Row],[Engineering Approved Design Date]]) &gt; 16, TEXT(EOMONTH(DOT_Projects[[#This Row],[Engineering Approved Design Date]], 0) + 1, "mmmm"), TEXT(EOMONTH(DOT_Projects[[#This Row],[Engineering Approved Design Date]], -1) + 1, "mmmm"))</f>
        <v>December</v>
      </c>
      <c r="BC28" t="str">
        <f>IF(DAY(DOT_Projects[[#This Row],[Engineering Approved Design Date]]) &gt; 16, TEXT(EOMONTH(DOT_Projects[[#This Row],[Engineering Approved Design Date]], 0) + 1, "mmmm"), TEXT(EOMONTH(DOT_Projects[[#This Row],[Engineering Approved Design Date]], -1) + 1, "mmmm"))</f>
        <v>December</v>
      </c>
      <c r="BE28" t="str">
        <f>_xlfn.CONCAT(DOT_Projects[[#This Row],[WO Number]],DOT_Projects[[#This Row],[Engineering Number]],DOT_Projects[[#This Row],[Town]])</f>
        <v>1214571N16744CRYSTAL LAKE</v>
      </c>
    </row>
    <row r="29" spans="1:57" ht="60" customHeight="1" x14ac:dyDescent="0.25">
      <c r="A29" s="142" t="s">
        <v>6816</v>
      </c>
      <c r="B29" s="150" t="s">
        <v>4</v>
      </c>
      <c r="C29" s="142" t="s">
        <v>7650</v>
      </c>
      <c r="D29" s="831" t="s">
        <v>115</v>
      </c>
      <c r="E29" s="143" t="s">
        <v>7651</v>
      </c>
      <c r="F29" s="142" t="s">
        <v>1102</v>
      </c>
      <c r="G29" s="142" t="s">
        <v>25</v>
      </c>
      <c r="H29" s="142" t="s">
        <v>7324</v>
      </c>
      <c r="I29" s="144">
        <v>44683</v>
      </c>
      <c r="J29" s="1307">
        <v>46010</v>
      </c>
      <c r="K29" s="224" t="s">
        <v>7652</v>
      </c>
      <c r="L29" s="755" t="s">
        <v>7653</v>
      </c>
      <c r="M29" s="1734" t="s">
        <v>1092</v>
      </c>
      <c r="N29" s="813" t="s">
        <v>709</v>
      </c>
      <c r="O29" s="191" t="s">
        <v>709</v>
      </c>
      <c r="P29" s="191" t="s">
        <v>7654</v>
      </c>
      <c r="Q29" s="191" t="s">
        <v>839</v>
      </c>
      <c r="R29" s="191" t="s">
        <v>6632</v>
      </c>
      <c r="S29" s="1663" t="s">
        <v>7655</v>
      </c>
      <c r="T29" s="145">
        <v>44697</v>
      </c>
      <c r="U29" s="155" t="s">
        <v>7071</v>
      </c>
      <c r="V29" s="155" t="s">
        <v>7071</v>
      </c>
      <c r="W29" s="155" t="s">
        <v>7071</v>
      </c>
      <c r="X29" s="155" t="s">
        <v>7071</v>
      </c>
      <c r="Y29" s="155" t="s">
        <v>7071</v>
      </c>
      <c r="Z29" s="155" t="s">
        <v>7071</v>
      </c>
      <c r="AA29" s="155" t="s">
        <v>7071</v>
      </c>
      <c r="AB29" s="146" t="s">
        <v>709</v>
      </c>
      <c r="AC29" s="155" t="s">
        <v>7071</v>
      </c>
      <c r="AD29" s="155" t="s">
        <v>7071</v>
      </c>
      <c r="AE29" s="197">
        <f>IF(DOT_Projects[[#This Row],[TDS (i.e. MOP main)]]="Y",DOT_Projects[[#This Row],[Engineering Approved Design Date]]-28,DOT_Projects[[#This Row],[Engineering Approved Design Date]]-21)</f>
        <v>45989</v>
      </c>
      <c r="AF29" s="155" t="s">
        <v>376</v>
      </c>
      <c r="AG29" s="155" t="s">
        <v>709</v>
      </c>
      <c r="AH29" s="154">
        <v>45846</v>
      </c>
      <c r="AI29" s="841" t="s">
        <v>376</v>
      </c>
      <c r="AJ29" s="147" t="s">
        <v>7656</v>
      </c>
      <c r="AK29" s="148" t="s">
        <v>116</v>
      </c>
      <c r="AL29" s="148" t="s">
        <v>7657</v>
      </c>
      <c r="AM29" s="849" t="s">
        <v>7658</v>
      </c>
      <c r="AN29" s="849" t="s">
        <v>7659</v>
      </c>
      <c r="AO29" s="842" t="s">
        <v>6971</v>
      </c>
      <c r="AP29" s="148" t="s">
        <v>709</v>
      </c>
      <c r="AQ29" s="1734" t="s">
        <v>7660</v>
      </c>
      <c r="AR29" s="843" t="s">
        <v>709</v>
      </c>
      <c r="AS29" s="1739" t="s">
        <v>7661</v>
      </c>
      <c r="AT29" s="148" t="s">
        <v>7662</v>
      </c>
      <c r="AU29" s="845" t="s">
        <v>739</v>
      </c>
      <c r="AV29" s="149" t="s">
        <v>7357</v>
      </c>
      <c r="AW29" s="149" t="s">
        <v>7663</v>
      </c>
      <c r="AX29" s="157" t="s">
        <v>7071</v>
      </c>
      <c r="AY29" s="844" t="s">
        <v>7664</v>
      </c>
      <c r="AZ29" s="846" t="s">
        <v>7664</v>
      </c>
      <c r="BA29" s="500" t="s">
        <v>7665</v>
      </c>
      <c r="BB29" t="str">
        <f>IF(DAY(DOT_Projects[[#This Row],[Engineering Approved Design Date]]) &gt; 16, TEXT(EOMONTH(DOT_Projects[[#This Row],[Engineering Approved Design Date]], 0) + 1, "mmmm"), TEXT(EOMONTH(DOT_Projects[[#This Row],[Engineering Approved Design Date]], -1) + 1, "mmmm"))</f>
        <v>January</v>
      </c>
      <c r="BC29" t="str">
        <f>IF(DAY(DOT_Projects[[#This Row],[Engineering Approved Design Date]]) &gt; 16, TEXT(EOMONTH(DOT_Projects[[#This Row],[Engineering Approved Design Date]], 0) + 1, "mmmm"), TEXT(EOMONTH(DOT_Projects[[#This Row],[Engineering Approved Design Date]], -1) + 1, "mmmm"))</f>
        <v>January</v>
      </c>
      <c r="BE29" t="str">
        <f>_xlfn.CONCAT(DOT_Projects[[#This Row],[WO Number]],DOT_Projects[[#This Row],[Engineering Number]],DOT_Projects[[#This Row],[Town]])</f>
        <v>-SC18317TROY</v>
      </c>
    </row>
    <row r="30" spans="1:57" ht="90" x14ac:dyDescent="0.25">
      <c r="A30" s="150" t="s">
        <v>6816</v>
      </c>
      <c r="B30" s="150" t="s">
        <v>4</v>
      </c>
      <c r="C30" s="150" t="s">
        <v>7666</v>
      </c>
      <c r="D30" s="342" t="s">
        <v>7667</v>
      </c>
      <c r="E30" s="152" t="s">
        <v>859</v>
      </c>
      <c r="F30" s="150" t="s">
        <v>851</v>
      </c>
      <c r="G30" s="150" t="s">
        <v>25</v>
      </c>
      <c r="H30" s="150" t="s">
        <v>6930</v>
      </c>
      <c r="I30" s="153">
        <v>45762</v>
      </c>
      <c r="J30" s="836">
        <v>45954</v>
      </c>
      <c r="K30" s="224" t="s">
        <v>9197</v>
      </c>
      <c r="L30" s="153" t="s">
        <v>7668</v>
      </c>
      <c r="M30" s="188" t="s">
        <v>861</v>
      </c>
      <c r="N30" s="813" t="s">
        <v>709</v>
      </c>
      <c r="O30" s="191" t="s">
        <v>862</v>
      </c>
      <c r="P30" s="191" t="s">
        <v>7669</v>
      </c>
      <c r="Q30" s="191" t="s">
        <v>709</v>
      </c>
      <c r="R30" s="191" t="s">
        <v>745</v>
      </c>
      <c r="S30" s="725" t="s">
        <v>7670</v>
      </c>
      <c r="T30" s="154">
        <v>45789</v>
      </c>
      <c r="U30" s="155" t="s">
        <v>7071</v>
      </c>
      <c r="V30" s="155" t="s">
        <v>7071</v>
      </c>
      <c r="W30" s="155" t="s">
        <v>7071</v>
      </c>
      <c r="X30" s="155" t="s">
        <v>4055</v>
      </c>
      <c r="Y30" s="155" t="s">
        <v>4055</v>
      </c>
      <c r="Z30" s="155" t="s">
        <v>4055</v>
      </c>
      <c r="AA30" s="155" t="s">
        <v>4055</v>
      </c>
      <c r="AB30" s="155" t="s">
        <v>745</v>
      </c>
      <c r="AC30" s="155">
        <v>45926</v>
      </c>
      <c r="AD30" s="155">
        <v>45933</v>
      </c>
      <c r="AE30" s="202">
        <f>IF(DOT_Projects[[#This Row],[TDS (i.e. MOP main)]]="Y",DOT_Projects[[#This Row],[Engineering Approved Design Date]]-28,DOT_Projects[[#This Row],[Engineering Approved Design Date]]-21)</f>
        <v>45933</v>
      </c>
      <c r="AF30" s="155">
        <v>45943</v>
      </c>
      <c r="AG30" s="155" t="s">
        <v>745</v>
      </c>
      <c r="AH30" s="154">
        <v>45846</v>
      </c>
      <c r="AI30" s="841">
        <v>11</v>
      </c>
      <c r="AJ30" s="156" t="s">
        <v>7671</v>
      </c>
      <c r="AK30" s="157" t="s">
        <v>756</v>
      </c>
      <c r="AL30" s="157" t="s">
        <v>29</v>
      </c>
      <c r="AM30" s="848" t="s">
        <v>7450</v>
      </c>
      <c r="AN30" s="848" t="s">
        <v>7672</v>
      </c>
      <c r="AO30" s="317" t="s">
        <v>7378</v>
      </c>
      <c r="AP30" s="157" t="s">
        <v>756</v>
      </c>
      <c r="AQ30" s="190" t="s">
        <v>7673</v>
      </c>
      <c r="AR30" s="158" t="s">
        <v>709</v>
      </c>
      <c r="AS30" s="159" t="s">
        <v>7463</v>
      </c>
      <c r="AT30" s="157" t="s">
        <v>7507</v>
      </c>
      <c r="AU30" s="185" t="s">
        <v>739</v>
      </c>
      <c r="AV30" s="160" t="s">
        <v>7357</v>
      </c>
      <c r="AW30" s="149" t="s">
        <v>29</v>
      </c>
      <c r="AX30" s="157" t="s">
        <v>7674</v>
      </c>
      <c r="AY30" s="844" t="s">
        <v>745</v>
      </c>
      <c r="AZ30" s="846" t="s">
        <v>29</v>
      </c>
      <c r="BA30" s="839">
        <v>600000</v>
      </c>
      <c r="BB30" t="str">
        <f>IF(DAY(DOT_Projects[[#This Row],[Engineering Approved Design Date]]) &gt; 16, TEXT(EOMONTH(DOT_Projects[[#This Row],[Engineering Approved Design Date]], 0) + 1, "mmmm"), TEXT(EOMONTH(DOT_Projects[[#This Row],[Engineering Approved Design Date]], -1) + 1, "mmmm"))</f>
        <v>November</v>
      </c>
      <c r="BC30" t="str">
        <f>IF(DAY(DOT_Projects[[#This Row],[Engineering Approved Design Date]]) &gt; 16, TEXT(EOMONTH(DOT_Projects[[#This Row],[Engineering Approved Design Date]], 0) + 1, "mmmm"), TEXT(EOMONTH(DOT_Projects[[#This Row],[Engineering Approved Design Date]], -1) + 1, "mmmm"))</f>
        <v>November</v>
      </c>
      <c r="BE30" t="str">
        <f>_xlfn.CONCAT(DOT_Projects[[#This Row],[WO Number]],DOT_Projects[[#This Row],[Engineering Number]],DOT_Projects[[#This Row],[Town]])</f>
        <v>1315433SC25777WESTMONT</v>
      </c>
    </row>
    <row r="31" spans="1:57" ht="60" x14ac:dyDescent="0.25">
      <c r="A31" s="150" t="s">
        <v>6816</v>
      </c>
      <c r="B31" s="150" t="s">
        <v>4</v>
      </c>
      <c r="C31" s="150" t="s">
        <v>7675</v>
      </c>
      <c r="D31" s="342" t="s">
        <v>7676</v>
      </c>
      <c r="E31" s="152" t="s">
        <v>1492</v>
      </c>
      <c r="F31" s="150" t="s">
        <v>784</v>
      </c>
      <c r="G31" s="150" t="s">
        <v>25</v>
      </c>
      <c r="H31" s="150" t="s">
        <v>7001</v>
      </c>
      <c r="I31" s="153">
        <v>45735</v>
      </c>
      <c r="J31" s="283">
        <v>45926</v>
      </c>
      <c r="K31" s="224" t="s">
        <v>9195</v>
      </c>
      <c r="L31" s="153" t="s">
        <v>7677</v>
      </c>
      <c r="M31" s="188" t="s">
        <v>4627</v>
      </c>
      <c r="N31" s="813" t="s">
        <v>992</v>
      </c>
      <c r="O31" s="191" t="s">
        <v>709</v>
      </c>
      <c r="P31" s="191" t="s">
        <v>545</v>
      </c>
      <c r="Q31" s="191" t="s">
        <v>709</v>
      </c>
      <c r="R31" s="191" t="s">
        <v>709</v>
      </c>
      <c r="S31" s="459" t="s">
        <v>7678</v>
      </c>
      <c r="T31" s="154">
        <v>45761</v>
      </c>
      <c r="U31" s="1496" t="s">
        <v>7071</v>
      </c>
      <c r="V31" s="1496" t="s">
        <v>7071</v>
      </c>
      <c r="W31" s="155">
        <v>45866</v>
      </c>
      <c r="X31" s="155" t="s">
        <v>4055</v>
      </c>
      <c r="Y31" s="155" t="s">
        <v>4055</v>
      </c>
      <c r="Z31" s="155" t="s">
        <v>7679</v>
      </c>
      <c r="AA31" s="155" t="s">
        <v>4055</v>
      </c>
      <c r="AB31" s="155" t="s">
        <v>745</v>
      </c>
      <c r="AC31" s="155">
        <v>45883</v>
      </c>
      <c r="AD31" s="155">
        <v>45889</v>
      </c>
      <c r="AE31" s="202">
        <f>IF(DOT_Projects[[#This Row],[TDS (i.e. MOP main)]]="Y",DOT_Projects[[#This Row],[Engineering Approved Design Date]]-28,DOT_Projects[[#This Row],[Engineering Approved Design Date]]-21)</f>
        <v>45905</v>
      </c>
      <c r="AF31" s="155">
        <v>45917</v>
      </c>
      <c r="AG31" s="155" t="s">
        <v>745</v>
      </c>
      <c r="AH31" s="154">
        <v>45867</v>
      </c>
      <c r="AI31" s="198">
        <v>1</v>
      </c>
      <c r="AJ31" s="156" t="s">
        <v>7680</v>
      </c>
      <c r="AK31" s="157" t="s">
        <v>116</v>
      </c>
      <c r="AL31" s="157" t="s">
        <v>29</v>
      </c>
      <c r="AM31" s="848" t="s">
        <v>7681</v>
      </c>
      <c r="AN31" s="848" t="s">
        <v>376</v>
      </c>
      <c r="AO31" s="317" t="s">
        <v>7378</v>
      </c>
      <c r="AP31" s="157" t="s">
        <v>756</v>
      </c>
      <c r="AQ31" s="190" t="s">
        <v>7682</v>
      </c>
      <c r="AR31" s="158" t="s">
        <v>709</v>
      </c>
      <c r="AS31" s="159" t="s">
        <v>7683</v>
      </c>
      <c r="AT31" s="157" t="s">
        <v>7683</v>
      </c>
      <c r="AU31" s="185" t="s">
        <v>739</v>
      </c>
      <c r="AV31" s="160" t="s">
        <v>7357</v>
      </c>
      <c r="AW31" s="149" t="s">
        <v>29</v>
      </c>
      <c r="AX31" s="157" t="s">
        <v>7684</v>
      </c>
      <c r="AY31" s="844" t="s">
        <v>745</v>
      </c>
      <c r="AZ31" s="846" t="s">
        <v>709</v>
      </c>
      <c r="BA31" s="500">
        <v>400000</v>
      </c>
      <c r="BB31" t="str">
        <f>IF(DAY(DOT_Projects[[#This Row],[Engineering Approved Design Date]]) &gt; 16, TEXT(EOMONTH(DOT_Projects[[#This Row],[Engineering Approved Design Date]], 0) + 1, "mmmm"), TEXT(EOMONTH(DOT_Projects[[#This Row],[Engineering Approved Design Date]], -1) + 1, "mmmm"))</f>
        <v>October</v>
      </c>
      <c r="BC31" t="str">
        <f>IF(DAY(DOT_Projects[[#This Row],[Engineering Approved Design Date]]) &gt; 16, TEXT(EOMONTH(DOT_Projects[[#This Row],[Engineering Approved Design Date]], 0) + 1, "mmmm"), TEXT(EOMONTH(DOT_Projects[[#This Row],[Engineering Approved Design Date]], -1) + 1, "mmmm"))</f>
        <v>October</v>
      </c>
      <c r="BE31" t="str">
        <f>_xlfn.CONCAT(DOT_Projects[[#This Row],[WO Number]],DOT_Projects[[#This Row],[Engineering Number]],DOT_Projects[[#This Row],[Town]])</f>
        <v>1215667N19731MACHESNEY PARK</v>
      </c>
    </row>
    <row r="32" spans="1:57" ht="60" x14ac:dyDescent="0.25">
      <c r="A32" s="142" t="s">
        <v>6816</v>
      </c>
      <c r="B32" s="142" t="s">
        <v>4</v>
      </c>
      <c r="C32" s="142" t="s">
        <v>7685</v>
      </c>
      <c r="D32" s="1698" t="s">
        <v>7686</v>
      </c>
      <c r="E32" s="143" t="s">
        <v>1352</v>
      </c>
      <c r="F32" s="142" t="s">
        <v>784</v>
      </c>
      <c r="G32" s="142" t="s">
        <v>7687</v>
      </c>
      <c r="H32" s="142" t="s">
        <v>6930</v>
      </c>
      <c r="I32" s="144">
        <v>45572</v>
      </c>
      <c r="J32" s="1307">
        <v>45982</v>
      </c>
      <c r="K32" s="224" t="s">
        <v>9196</v>
      </c>
      <c r="L32" s="153" t="s">
        <v>7688</v>
      </c>
      <c r="M32" s="825" t="s">
        <v>1236</v>
      </c>
      <c r="N32" s="813" t="s">
        <v>116</v>
      </c>
      <c r="O32" s="191" t="s">
        <v>882</v>
      </c>
      <c r="P32" s="191" t="s">
        <v>1355</v>
      </c>
      <c r="Q32" s="191" t="s">
        <v>709</v>
      </c>
      <c r="R32" s="191" t="s">
        <v>709</v>
      </c>
      <c r="S32" s="725" t="s">
        <v>7689</v>
      </c>
      <c r="T32" s="145">
        <v>45588</v>
      </c>
      <c r="U32" s="155">
        <v>45818</v>
      </c>
      <c r="V32" s="155" t="s">
        <v>116</v>
      </c>
      <c r="W32" s="155">
        <v>45813</v>
      </c>
      <c r="X32" s="146" t="s">
        <v>7690</v>
      </c>
      <c r="Y32" s="146" t="s">
        <v>7691</v>
      </c>
      <c r="Z32" s="146" t="s">
        <v>4055</v>
      </c>
      <c r="AA32" s="146" t="s">
        <v>4055</v>
      </c>
      <c r="AB32" s="146" t="s">
        <v>745</v>
      </c>
      <c r="AC32" s="146">
        <v>45845</v>
      </c>
      <c r="AD32" s="146">
        <v>45961</v>
      </c>
      <c r="AE32" s="197">
        <f>IF(DOT_Projects[[#This Row],[TDS (i.e. MOP main)]]="Y",DOT_Projects[[#This Row],[Engineering Approved Design Date]]-28,DOT_Projects[[#This Row],[Engineering Approved Design Date]]-21)</f>
        <v>45961</v>
      </c>
      <c r="AF32" s="146">
        <v>45971</v>
      </c>
      <c r="AG32" s="146" t="s">
        <v>709</v>
      </c>
      <c r="AH32" s="145">
        <v>45812</v>
      </c>
      <c r="AI32" s="198">
        <v>11</v>
      </c>
      <c r="AJ32" s="147" t="s">
        <v>7692</v>
      </c>
      <c r="AK32" s="148" t="s">
        <v>116</v>
      </c>
      <c r="AL32" s="148" t="s">
        <v>29</v>
      </c>
      <c r="AM32" s="849" t="s">
        <v>7450</v>
      </c>
      <c r="AN32" s="849" t="s">
        <v>7693</v>
      </c>
      <c r="AO32" s="842" t="s">
        <v>7378</v>
      </c>
      <c r="AP32" s="148" t="s">
        <v>756</v>
      </c>
      <c r="AQ32" s="826" t="s">
        <v>7694</v>
      </c>
      <c r="AR32" s="843" t="s">
        <v>745</v>
      </c>
      <c r="AS32" s="844" t="s">
        <v>7695</v>
      </c>
      <c r="AT32" s="148" t="s">
        <v>7696</v>
      </c>
      <c r="AU32" s="845" t="s">
        <v>739</v>
      </c>
      <c r="AV32" s="149" t="s">
        <v>7357</v>
      </c>
      <c r="AW32" s="149" t="s">
        <v>29</v>
      </c>
      <c r="AX32" s="148" t="s">
        <v>7697</v>
      </c>
      <c r="AY32" s="844" t="s">
        <v>745</v>
      </c>
      <c r="AZ32" s="846" t="s">
        <v>29</v>
      </c>
      <c r="BA32" s="839">
        <v>1500000</v>
      </c>
      <c r="BB32" t="s">
        <v>7191</v>
      </c>
      <c r="BC32" t="s">
        <v>7191</v>
      </c>
      <c r="BE32" t="str">
        <f>_xlfn.CONCAT(DOT_Projects[[#This Row],[WO Number]],DOT_Projects[[#This Row],[Engineering Number]],DOT_Projects[[#This Row],[Town]])</f>
        <v>1215483N17019MT PROSPECT</v>
      </c>
    </row>
    <row r="33" spans="1:57" ht="57.75" customHeight="1" x14ac:dyDescent="0.25">
      <c r="A33" s="150" t="s">
        <v>6926</v>
      </c>
      <c r="B33" s="150" t="s">
        <v>4</v>
      </c>
      <c r="C33" s="150" t="s">
        <v>7698</v>
      </c>
      <c r="D33" s="151" t="s">
        <v>7699</v>
      </c>
      <c r="E33" s="152" t="s">
        <v>104</v>
      </c>
      <c r="F33" s="150" t="s">
        <v>851</v>
      </c>
      <c r="G33" s="150" t="s">
        <v>7700</v>
      </c>
      <c r="H33" s="150" t="s">
        <v>6930</v>
      </c>
      <c r="I33" s="153">
        <v>45792</v>
      </c>
      <c r="J33" s="836">
        <v>45975</v>
      </c>
      <c r="K33" s="224" t="s">
        <v>7701</v>
      </c>
      <c r="L33" s="153" t="s">
        <v>7702</v>
      </c>
      <c r="M33" s="188" t="s">
        <v>969</v>
      </c>
      <c r="N33" s="813" t="s">
        <v>709</v>
      </c>
      <c r="O33" s="191" t="s">
        <v>1167</v>
      </c>
      <c r="P33" s="191" t="s">
        <v>1232</v>
      </c>
      <c r="Q33" s="191" t="s">
        <v>709</v>
      </c>
      <c r="R33" s="191" t="s">
        <v>1707</v>
      </c>
      <c r="S33" s="459" t="s">
        <v>7703</v>
      </c>
      <c r="T33" s="154">
        <v>45807</v>
      </c>
      <c r="U33" s="155" t="s">
        <v>7071</v>
      </c>
      <c r="V33" s="1496" t="s">
        <v>7071</v>
      </c>
      <c r="W33" s="155">
        <v>45877</v>
      </c>
      <c r="X33" s="155" t="s">
        <v>7704</v>
      </c>
      <c r="Y33" s="155" t="s">
        <v>7705</v>
      </c>
      <c r="Z33" s="155" t="s">
        <v>7706</v>
      </c>
      <c r="AA33" s="155" t="s">
        <v>7706</v>
      </c>
      <c r="AB33" s="155" t="s">
        <v>116</v>
      </c>
      <c r="AC33" s="155" t="s">
        <v>7707</v>
      </c>
      <c r="AD33" s="155" t="s">
        <v>7707</v>
      </c>
      <c r="AE33" s="202">
        <f>IF(DOT_Projects[[#This Row],[TDS (i.e. MOP main)]]="Y",DOT_Projects[[#This Row],[Engineering Approved Design Date]]-28,DOT_Projects[[#This Row],[Engineering Approved Design Date]]-21)</f>
        <v>45947</v>
      </c>
      <c r="AF33" s="155" t="s">
        <v>376</v>
      </c>
      <c r="AG33" s="155" t="s">
        <v>116</v>
      </c>
      <c r="AH33" s="154">
        <v>45847</v>
      </c>
      <c r="AI33" s="198" t="s">
        <v>376</v>
      </c>
      <c r="AJ33" s="156" t="s">
        <v>7708</v>
      </c>
      <c r="AK33" s="157" t="s">
        <v>756</v>
      </c>
      <c r="AL33" s="157" t="s">
        <v>29</v>
      </c>
      <c r="AM33" s="848" t="s">
        <v>7709</v>
      </c>
      <c r="AN33" s="848" t="s">
        <v>7710</v>
      </c>
      <c r="AO33" s="317" t="s">
        <v>7378</v>
      </c>
      <c r="AP33" s="157" t="s">
        <v>709</v>
      </c>
      <c r="AQ33" s="190" t="s">
        <v>7711</v>
      </c>
      <c r="AR33" s="158" t="s">
        <v>709</v>
      </c>
      <c r="AS33" s="159" t="s">
        <v>7712</v>
      </c>
      <c r="AT33" s="157" t="s">
        <v>7713</v>
      </c>
      <c r="AU33" s="185" t="s">
        <v>376</v>
      </c>
      <c r="AV33" s="160" t="s">
        <v>116</v>
      </c>
      <c r="AW33" s="160" t="s">
        <v>29</v>
      </c>
      <c r="AX33" s="189" t="s">
        <v>7279</v>
      </c>
      <c r="AY33" s="159" t="s">
        <v>745</v>
      </c>
      <c r="AZ33" s="502" t="s">
        <v>29</v>
      </c>
      <c r="BA33" s="500">
        <v>400000</v>
      </c>
      <c r="BB33" t="str">
        <f>IF(DAY(DOT_Projects[[#This Row],[Engineering Approved Design Date]]) &gt; 16, TEXT(EOMONTH(DOT_Projects[[#This Row],[Engineering Approved Design Date]], 0) + 1, "mmmm"), TEXT(EOMONTH(DOT_Projects[[#This Row],[Engineering Approved Design Date]], -1) + 1, "mmmm"))</f>
        <v>November</v>
      </c>
      <c r="BC33" t="str">
        <f>IF(DAY(DOT_Projects[[#This Row],[Engineering Approved Design Date]]) &gt; 16, TEXT(EOMONTH(DOT_Projects[[#This Row],[Engineering Approved Design Date]], 0) + 1, "mmmm"), TEXT(EOMONTH(DOT_Projects[[#This Row],[Engineering Approved Design Date]], -1) + 1, "mmmm"))</f>
        <v>November</v>
      </c>
      <c r="BE33" t="str">
        <f>_xlfn.CONCAT(DOT_Projects[[#This Row],[WO Number]],DOT_Projects[[#This Row],[Engineering Number]],DOT_Projects[[#This Row],[Town]])</f>
        <v>1215592N18185ELGIN</v>
      </c>
    </row>
    <row r="36" spans="1:57" x14ac:dyDescent="0.25"/>
    <row r="37" spans="1:57" x14ac:dyDescent="0.25"/>
  </sheetData>
  <mergeCells count="3">
    <mergeCell ref="AS1:AU1"/>
    <mergeCell ref="AY1:AZ1"/>
    <mergeCell ref="AW1:AX1"/>
  </mergeCells>
  <phoneticPr fontId="19" type="noConversion"/>
  <pageMargins left="0.7" right="0.7" top="0.75" bottom="0.75" header="0.3" footer="0.3"/>
  <pageSetup paperSize="3" scale="26" fitToWidth="0" fitToHeight="0" orientation="landscape"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BFCC43-7FAD-4A4C-92EC-8ADD8090BA57}">
  <sheetPr codeName="Sheet5"/>
  <dimension ref="A1:V36"/>
  <sheetViews>
    <sheetView workbookViewId="0">
      <pane ySplit="2" topLeftCell="A3" activePane="bottomLeft" state="frozen"/>
      <selection pane="bottomLeft" activeCell="K21" sqref="K21"/>
    </sheetView>
  </sheetViews>
  <sheetFormatPr defaultRowHeight="15" x14ac:dyDescent="0.25"/>
  <cols>
    <col min="1" max="1" width="6.7109375" customWidth="1"/>
    <col min="2" max="2" width="13.7109375" customWidth="1"/>
    <col min="3" max="3" width="13.42578125" customWidth="1"/>
    <col min="4" max="4" width="18.7109375" customWidth="1"/>
    <col min="5" max="5" width="17.140625" customWidth="1"/>
    <col min="6" max="6" width="21" customWidth="1"/>
    <col min="7" max="7" width="16.140625" customWidth="1"/>
    <col min="8" max="8" width="14.42578125" customWidth="1"/>
    <col min="9" max="9" width="14.5703125" customWidth="1"/>
    <col min="10" max="10" width="14.42578125" bestFit="1" customWidth="1"/>
    <col min="11" max="11" width="44.28515625" customWidth="1"/>
    <col min="12" max="12" width="51.7109375" customWidth="1"/>
    <col min="13" max="13" width="10.28515625" style="11" customWidth="1"/>
    <col min="14" max="14" width="14.140625" style="9" customWidth="1"/>
    <col min="15" max="15" width="60.7109375" customWidth="1"/>
    <col min="17" max="17" width="9.140625" customWidth="1"/>
    <col min="18" max="18" width="94.85546875" customWidth="1"/>
    <col min="19" max="19" width="9.140625" customWidth="1"/>
    <col min="20" max="21" width="13.85546875" customWidth="1"/>
    <col min="22" max="22" width="18.5703125" bestFit="1" customWidth="1"/>
  </cols>
  <sheetData>
    <row r="1" spans="1:22" ht="18.75" x14ac:dyDescent="0.3">
      <c r="A1" s="6" t="s">
        <v>7714</v>
      </c>
      <c r="D1" s="11"/>
      <c r="E1" s="4"/>
      <c r="I1" s="99"/>
      <c r="J1" s="100"/>
      <c r="K1" s="19"/>
      <c r="S1" t="s">
        <v>7715</v>
      </c>
      <c r="V1" t="s">
        <v>7716</v>
      </c>
    </row>
    <row r="2" spans="1:22" ht="28.9" customHeight="1" x14ac:dyDescent="0.25">
      <c r="A2" s="12" t="s">
        <v>659</v>
      </c>
      <c r="B2" s="4" t="s">
        <v>6891</v>
      </c>
      <c r="C2" s="4" t="s">
        <v>7717</v>
      </c>
      <c r="D2" s="12" t="s">
        <v>662</v>
      </c>
      <c r="E2" s="4" t="s">
        <v>44</v>
      </c>
      <c r="F2" s="4" t="s">
        <v>7718</v>
      </c>
      <c r="G2" s="4" t="s">
        <v>6892</v>
      </c>
      <c r="H2" s="4" t="s">
        <v>665</v>
      </c>
      <c r="I2" s="101" t="s">
        <v>7719</v>
      </c>
      <c r="J2" s="102" t="s">
        <v>7720</v>
      </c>
      <c r="K2" s="20" t="s">
        <v>6893</v>
      </c>
      <c r="L2" s="4" t="s">
        <v>7721</v>
      </c>
      <c r="M2" s="5" t="s">
        <v>7722</v>
      </c>
      <c r="N2" s="5" t="s">
        <v>7723</v>
      </c>
      <c r="O2" s="4" t="s">
        <v>7724</v>
      </c>
      <c r="P2" s="4" t="s">
        <v>7725</v>
      </c>
      <c r="Q2" s="4" t="s">
        <v>7726</v>
      </c>
      <c r="R2" s="4" t="s">
        <v>7727</v>
      </c>
      <c r="S2" s="4" t="s">
        <v>7728</v>
      </c>
      <c r="T2" s="4" t="s">
        <v>7729</v>
      </c>
      <c r="U2" s="4" t="s">
        <v>7730</v>
      </c>
      <c r="V2" s="4" t="s">
        <v>7731</v>
      </c>
    </row>
    <row r="3" spans="1:22" ht="30" customHeight="1" x14ac:dyDescent="0.25">
      <c r="A3" s="13">
        <v>2025</v>
      </c>
      <c r="B3" t="s">
        <v>1981</v>
      </c>
      <c r="C3" t="s">
        <v>7732</v>
      </c>
      <c r="D3" s="13" t="s">
        <v>7733</v>
      </c>
      <c r="E3" s="4" t="s">
        <v>7734</v>
      </c>
      <c r="F3" t="s">
        <v>7735</v>
      </c>
      <c r="G3" t="s">
        <v>37</v>
      </c>
      <c r="H3" t="s">
        <v>4189</v>
      </c>
      <c r="I3" s="642">
        <v>45771</v>
      </c>
      <c r="J3" s="100">
        <v>45919</v>
      </c>
      <c r="K3" s="20" t="s">
        <v>7736</v>
      </c>
      <c r="L3" s="4" t="s">
        <v>7737</v>
      </c>
      <c r="M3" s="316">
        <v>3</v>
      </c>
      <c r="N3" s="5" t="s">
        <v>709</v>
      </c>
      <c r="O3" s="4" t="s">
        <v>7738</v>
      </c>
      <c r="P3" s="4" t="s">
        <v>7739</v>
      </c>
      <c r="Q3" s="4" t="s">
        <v>7740</v>
      </c>
      <c r="R3" s="784" t="s">
        <v>7741</v>
      </c>
      <c r="S3" s="1214">
        <v>10307.5</v>
      </c>
      <c r="T3" s="1215">
        <v>20721</v>
      </c>
      <c r="U3" s="1215">
        <v>21000</v>
      </c>
      <c r="V3" s="1227">
        <v>45834</v>
      </c>
    </row>
    <row r="4" spans="1:22" ht="30" customHeight="1" x14ac:dyDescent="0.25">
      <c r="A4" s="13">
        <v>2025</v>
      </c>
      <c r="B4" t="s">
        <v>1981</v>
      </c>
      <c r="C4" t="s">
        <v>7742</v>
      </c>
      <c r="D4" s="13">
        <v>1414706</v>
      </c>
      <c r="E4" s="4" t="s">
        <v>141</v>
      </c>
      <c r="F4" t="s">
        <v>7735</v>
      </c>
      <c r="G4" t="s">
        <v>4770</v>
      </c>
      <c r="H4" t="s">
        <v>4436</v>
      </c>
      <c r="I4" s="642">
        <v>45812</v>
      </c>
      <c r="J4" s="1480">
        <v>45926</v>
      </c>
      <c r="K4" s="20" t="s">
        <v>7743</v>
      </c>
      <c r="L4" s="4" t="s">
        <v>7744</v>
      </c>
      <c r="M4" s="316">
        <v>2</v>
      </c>
      <c r="N4" s="5" t="s">
        <v>709</v>
      </c>
      <c r="O4" s="4" t="s">
        <v>7745</v>
      </c>
      <c r="P4" s="4" t="s">
        <v>7739</v>
      </c>
      <c r="Q4" s="4" t="s">
        <v>7746</v>
      </c>
      <c r="R4" s="784" t="s">
        <v>7747</v>
      </c>
      <c r="S4" s="1214">
        <v>7252.5</v>
      </c>
      <c r="T4" s="1215">
        <v>7740</v>
      </c>
      <c r="U4" s="1215" t="s">
        <v>115</v>
      </c>
      <c r="V4" s="1226" t="s">
        <v>29</v>
      </c>
    </row>
    <row r="5" spans="1:22" ht="30" customHeight="1" x14ac:dyDescent="0.25">
      <c r="A5" s="13">
        <v>2025</v>
      </c>
      <c r="B5" t="s">
        <v>1981</v>
      </c>
      <c r="C5" t="s">
        <v>7742</v>
      </c>
      <c r="D5" s="13">
        <v>1414706</v>
      </c>
      <c r="E5" s="4" t="s">
        <v>141</v>
      </c>
      <c r="F5" t="s">
        <v>7735</v>
      </c>
      <c r="G5" t="s">
        <v>4770</v>
      </c>
      <c r="H5" t="s">
        <v>7748</v>
      </c>
      <c r="I5" s="642">
        <v>45812</v>
      </c>
      <c r="J5" s="1480">
        <v>45926</v>
      </c>
      <c r="K5" s="20" t="s">
        <v>7743</v>
      </c>
      <c r="L5" s="4" t="s">
        <v>7749</v>
      </c>
      <c r="M5" s="316">
        <v>2</v>
      </c>
      <c r="N5" s="5" t="s">
        <v>709</v>
      </c>
      <c r="O5" s="4" t="s">
        <v>7750</v>
      </c>
      <c r="P5" s="4" t="s">
        <v>7739</v>
      </c>
      <c r="Q5" s="4" t="s">
        <v>7751</v>
      </c>
      <c r="R5" s="784" t="s">
        <v>7752</v>
      </c>
      <c r="S5" s="1214">
        <v>15470</v>
      </c>
      <c r="T5" s="1215">
        <v>10280</v>
      </c>
      <c r="U5" s="1561"/>
      <c r="V5" s="1226" t="s">
        <v>7753</v>
      </c>
    </row>
    <row r="6" spans="1:22" ht="30" customHeight="1" x14ac:dyDescent="0.25">
      <c r="A6" s="13">
        <v>2025</v>
      </c>
      <c r="B6" t="s">
        <v>1981</v>
      </c>
      <c r="C6" t="s">
        <v>7754</v>
      </c>
      <c r="D6" s="13">
        <v>1214777</v>
      </c>
      <c r="E6" s="4" t="s">
        <v>4890</v>
      </c>
      <c r="F6" t="s">
        <v>7735</v>
      </c>
      <c r="G6" t="s">
        <v>27</v>
      </c>
      <c r="H6" t="s">
        <v>4189</v>
      </c>
      <c r="I6" s="642">
        <v>45854</v>
      </c>
      <c r="J6" s="100">
        <v>45926</v>
      </c>
      <c r="K6" s="20" t="s">
        <v>7755</v>
      </c>
      <c r="L6" s="4" t="s">
        <v>7756</v>
      </c>
      <c r="M6" s="316">
        <v>3</v>
      </c>
      <c r="N6" s="5" t="s">
        <v>709</v>
      </c>
      <c r="O6" s="4" t="s">
        <v>7757</v>
      </c>
      <c r="P6" s="4" t="s">
        <v>7739</v>
      </c>
      <c r="Q6" s="4" t="s">
        <v>7758</v>
      </c>
      <c r="R6" s="784"/>
      <c r="S6" s="1214">
        <v>5900</v>
      </c>
      <c r="T6" s="1215">
        <v>7080</v>
      </c>
      <c r="U6" s="1215" t="s">
        <v>115</v>
      </c>
      <c r="V6" s="1226" t="s">
        <v>29</v>
      </c>
    </row>
    <row r="7" spans="1:22" s="30" customFormat="1" ht="30" customHeight="1" x14ac:dyDescent="0.25">
      <c r="A7" s="13">
        <v>2025</v>
      </c>
      <c r="B7" t="s">
        <v>771</v>
      </c>
      <c r="C7" t="s">
        <v>1228</v>
      </c>
      <c r="D7" s="13">
        <v>1210760</v>
      </c>
      <c r="E7" s="4" t="s">
        <v>104</v>
      </c>
      <c r="F7" t="s">
        <v>784</v>
      </c>
      <c r="G7" t="s">
        <v>32</v>
      </c>
      <c r="H7" t="s">
        <v>3178</v>
      </c>
      <c r="I7" s="642">
        <v>45833</v>
      </c>
      <c r="J7" s="100">
        <v>45926</v>
      </c>
      <c r="K7" s="20" t="s">
        <v>7761</v>
      </c>
      <c r="L7" s="4" t="s">
        <v>7762</v>
      </c>
      <c r="M7" s="316">
        <v>4</v>
      </c>
      <c r="N7" s="5" t="s">
        <v>709</v>
      </c>
      <c r="O7" s="4" t="s">
        <v>7763</v>
      </c>
      <c r="P7" s="4" t="s">
        <v>120</v>
      </c>
      <c r="Q7" s="4" t="s">
        <v>7764</v>
      </c>
      <c r="R7" s="784" t="s">
        <v>7765</v>
      </c>
      <c r="S7" s="1214">
        <v>12855</v>
      </c>
      <c r="T7" s="1215">
        <v>16000</v>
      </c>
      <c r="U7" s="1692"/>
      <c r="V7" s="1226" t="s">
        <v>7753</v>
      </c>
    </row>
    <row r="8" spans="1:22" ht="86.25" customHeight="1" x14ac:dyDescent="0.25">
      <c r="A8" s="13">
        <v>2025</v>
      </c>
      <c r="B8" t="s">
        <v>771</v>
      </c>
      <c r="C8" t="s">
        <v>353</v>
      </c>
      <c r="D8" s="13">
        <v>1212044</v>
      </c>
      <c r="E8" s="4" t="s">
        <v>354</v>
      </c>
      <c r="F8" t="s">
        <v>784</v>
      </c>
      <c r="G8" t="s">
        <v>25</v>
      </c>
      <c r="H8" t="s">
        <v>2724</v>
      </c>
      <c r="I8" s="642">
        <v>45882</v>
      </c>
      <c r="J8" s="100">
        <v>45933</v>
      </c>
      <c r="K8" s="20" t="s">
        <v>7766</v>
      </c>
      <c r="L8" s="4" t="s">
        <v>7767</v>
      </c>
      <c r="M8" s="316" t="s">
        <v>4919</v>
      </c>
      <c r="N8" s="5" t="s">
        <v>709</v>
      </c>
      <c r="O8" s="4" t="s">
        <v>7768</v>
      </c>
      <c r="P8" s="4" t="s">
        <v>120</v>
      </c>
      <c r="Q8" s="4" t="s">
        <v>7769</v>
      </c>
      <c r="R8" s="1360" t="s">
        <v>7770</v>
      </c>
      <c r="S8" s="1214">
        <v>1320</v>
      </c>
      <c r="T8" s="1561"/>
      <c r="U8" s="1215" t="s">
        <v>115</v>
      </c>
      <c r="V8" s="1226" t="s">
        <v>376</v>
      </c>
    </row>
    <row r="9" spans="1:22" ht="30" customHeight="1" x14ac:dyDescent="0.25">
      <c r="A9" s="13">
        <v>2027</v>
      </c>
      <c r="B9" t="s">
        <v>771</v>
      </c>
      <c r="C9" t="s">
        <v>1642</v>
      </c>
      <c r="D9" s="13">
        <v>1212413</v>
      </c>
      <c r="E9" s="4" t="s">
        <v>1644</v>
      </c>
      <c r="F9" t="s">
        <v>6874</v>
      </c>
      <c r="G9" t="s">
        <v>32</v>
      </c>
      <c r="H9" t="s">
        <v>7771</v>
      </c>
      <c r="I9" s="642">
        <v>45877</v>
      </c>
      <c r="J9" s="100">
        <v>45947</v>
      </c>
      <c r="K9" s="20" t="s">
        <v>7772</v>
      </c>
      <c r="L9" s="4" t="s">
        <v>7773</v>
      </c>
      <c r="M9" s="316" t="s">
        <v>29</v>
      </c>
      <c r="N9" s="5" t="s">
        <v>709</v>
      </c>
      <c r="O9" s="4" t="s">
        <v>7774</v>
      </c>
      <c r="P9" s="4" t="s">
        <v>120</v>
      </c>
      <c r="Q9" s="4" t="s">
        <v>7775</v>
      </c>
      <c r="R9" s="784" t="s">
        <v>7776</v>
      </c>
      <c r="S9" s="1214">
        <v>1010</v>
      </c>
      <c r="T9" s="1215">
        <v>23620</v>
      </c>
      <c r="U9" s="1692"/>
      <c r="V9" s="1569" t="s">
        <v>7753</v>
      </c>
    </row>
    <row r="10" spans="1:22" ht="60" x14ac:dyDescent="0.25">
      <c r="A10" s="13">
        <v>2025</v>
      </c>
      <c r="B10" t="s">
        <v>1205</v>
      </c>
      <c r="C10" t="s">
        <v>1545</v>
      </c>
      <c r="D10" s="13">
        <v>1211932</v>
      </c>
      <c r="E10" s="4" t="s">
        <v>1200</v>
      </c>
      <c r="F10" t="s">
        <v>784</v>
      </c>
      <c r="G10" t="s">
        <v>32</v>
      </c>
      <c r="H10" t="s">
        <v>3852</v>
      </c>
      <c r="I10" s="642">
        <v>45904</v>
      </c>
      <c r="J10" s="100">
        <v>45926</v>
      </c>
      <c r="K10" s="20" t="s">
        <v>7777</v>
      </c>
      <c r="L10" s="4" t="s">
        <v>7778</v>
      </c>
      <c r="M10" s="316">
        <v>2</v>
      </c>
      <c r="N10" s="5" t="s">
        <v>709</v>
      </c>
      <c r="O10" s="4" t="s">
        <v>7779</v>
      </c>
      <c r="P10" s="4"/>
      <c r="Q10" s="4" t="s">
        <v>7780</v>
      </c>
      <c r="R10" s="784" t="s">
        <v>7781</v>
      </c>
      <c r="S10" s="1214">
        <v>7732.5</v>
      </c>
      <c r="T10" s="1215">
        <v>20000</v>
      </c>
      <c r="U10" s="1561"/>
      <c r="V10" s="1226" t="s">
        <v>7753</v>
      </c>
    </row>
    <row r="11" spans="1:22" s="30" customFormat="1" ht="75" x14ac:dyDescent="0.25">
      <c r="A11" s="13">
        <v>2025</v>
      </c>
      <c r="B11" t="s">
        <v>1205</v>
      </c>
      <c r="C11" t="s">
        <v>1560</v>
      </c>
      <c r="D11" s="13">
        <v>1211924</v>
      </c>
      <c r="E11" s="4" t="s">
        <v>1200</v>
      </c>
      <c r="F11" t="s">
        <v>784</v>
      </c>
      <c r="G11" s="4" t="s">
        <v>7782</v>
      </c>
      <c r="H11" t="s">
        <v>3178</v>
      </c>
      <c r="I11" s="642">
        <v>45868</v>
      </c>
      <c r="J11" s="100">
        <v>45930</v>
      </c>
      <c r="K11" s="20" t="s">
        <v>7783</v>
      </c>
      <c r="L11" s="4" t="s">
        <v>7784</v>
      </c>
      <c r="M11" s="316">
        <v>4</v>
      </c>
      <c r="N11" s="5" t="s">
        <v>745</v>
      </c>
      <c r="O11" s="4" t="s">
        <v>7785</v>
      </c>
      <c r="P11" s="4" t="s">
        <v>120</v>
      </c>
      <c r="Q11" s="4" t="s">
        <v>7786</v>
      </c>
      <c r="R11" s="784" t="s">
        <v>7787</v>
      </c>
      <c r="S11" s="1214">
        <v>21095</v>
      </c>
      <c r="T11" s="1215">
        <v>20418</v>
      </c>
      <c r="U11" s="1568"/>
      <c r="V11" s="1569" t="s">
        <v>7753</v>
      </c>
    </row>
    <row r="12" spans="1:22" ht="30" customHeight="1" x14ac:dyDescent="0.25">
      <c r="A12" s="13">
        <v>2024</v>
      </c>
      <c r="B12" t="s">
        <v>1205</v>
      </c>
      <c r="C12" t="s">
        <v>1552</v>
      </c>
      <c r="D12" s="13">
        <v>1211933</v>
      </c>
      <c r="E12" s="4" t="s">
        <v>1200</v>
      </c>
      <c r="F12" t="s">
        <v>784</v>
      </c>
      <c r="G12" s="8" t="s">
        <v>31</v>
      </c>
      <c r="H12" t="s">
        <v>7788</v>
      </c>
      <c r="I12" s="642">
        <v>45735</v>
      </c>
      <c r="J12" s="100">
        <v>45930</v>
      </c>
      <c r="K12" s="20" t="s">
        <v>7789</v>
      </c>
      <c r="L12" s="4" t="s">
        <v>7790</v>
      </c>
      <c r="M12" s="316" t="s">
        <v>29</v>
      </c>
      <c r="N12" s="5" t="s">
        <v>29</v>
      </c>
      <c r="O12" s="4" t="s">
        <v>7791</v>
      </c>
      <c r="P12" s="4" t="s">
        <v>120</v>
      </c>
      <c r="Q12" s="4" t="s">
        <v>7792</v>
      </c>
      <c r="R12" s="784" t="s">
        <v>7793</v>
      </c>
      <c r="S12" s="1214">
        <v>26385</v>
      </c>
      <c r="T12" s="1215">
        <v>48576</v>
      </c>
      <c r="U12" s="1215">
        <v>50000</v>
      </c>
      <c r="V12" s="1227">
        <v>45834</v>
      </c>
    </row>
    <row r="13" spans="1:22" ht="30" customHeight="1" x14ac:dyDescent="0.25">
      <c r="A13" s="13">
        <v>2025</v>
      </c>
      <c r="B13" t="s">
        <v>1205</v>
      </c>
      <c r="C13" t="s">
        <v>1560</v>
      </c>
      <c r="D13" s="13">
        <v>1211924</v>
      </c>
      <c r="E13" s="4" t="s">
        <v>1200</v>
      </c>
      <c r="F13" t="s">
        <v>784</v>
      </c>
      <c r="G13" t="s">
        <v>31</v>
      </c>
      <c r="H13" t="s">
        <v>7788</v>
      </c>
      <c r="I13" s="642">
        <v>45868</v>
      </c>
      <c r="J13" s="100">
        <v>45954</v>
      </c>
      <c r="K13" s="20" t="s">
        <v>7794</v>
      </c>
      <c r="L13" s="4" t="s">
        <v>7795</v>
      </c>
      <c r="M13" s="316" t="s">
        <v>29</v>
      </c>
      <c r="N13" s="5" t="s">
        <v>709</v>
      </c>
      <c r="O13" s="4" t="s">
        <v>7796</v>
      </c>
      <c r="P13" s="4" t="s">
        <v>120</v>
      </c>
      <c r="Q13" s="4" t="s">
        <v>7797</v>
      </c>
      <c r="R13" s="784" t="s">
        <v>7798</v>
      </c>
      <c r="S13" s="1214">
        <v>4672.5</v>
      </c>
      <c r="T13" s="1561"/>
      <c r="U13" s="1215"/>
      <c r="V13" s="1226" t="s">
        <v>376</v>
      </c>
    </row>
    <row r="14" spans="1:22" s="30" customFormat="1" ht="312.75" x14ac:dyDescent="0.25">
      <c r="A14" s="13">
        <v>2024</v>
      </c>
      <c r="B14" t="s">
        <v>4</v>
      </c>
      <c r="C14" t="s">
        <v>1800</v>
      </c>
      <c r="D14" s="13">
        <v>1413964</v>
      </c>
      <c r="E14" s="4" t="s">
        <v>1032</v>
      </c>
      <c r="F14" t="s">
        <v>1757</v>
      </c>
      <c r="G14" s="4" t="s">
        <v>7369</v>
      </c>
      <c r="H14" t="s">
        <v>4001</v>
      </c>
      <c r="I14" s="642">
        <v>45551</v>
      </c>
      <c r="J14" s="1480">
        <v>45933</v>
      </c>
      <c r="K14" s="20" t="s">
        <v>7799</v>
      </c>
      <c r="L14" s="4" t="s">
        <v>7800</v>
      </c>
      <c r="M14" s="316" t="s">
        <v>4919</v>
      </c>
      <c r="N14" s="5" t="s">
        <v>709</v>
      </c>
      <c r="O14" s="4" t="s">
        <v>7801</v>
      </c>
      <c r="P14" s="4" t="s">
        <v>739</v>
      </c>
      <c r="Q14" t="s">
        <v>7802</v>
      </c>
      <c r="R14" s="784" t="s">
        <v>7803</v>
      </c>
      <c r="S14" s="1214">
        <v>56042.5</v>
      </c>
      <c r="T14" s="1215">
        <v>61980</v>
      </c>
      <c r="U14" s="1215">
        <v>63000</v>
      </c>
      <c r="V14" s="1227">
        <v>45881</v>
      </c>
    </row>
    <row r="15" spans="1:22" ht="30" x14ac:dyDescent="0.25">
      <c r="A15" s="13">
        <v>2025</v>
      </c>
      <c r="B15" s="4" t="s">
        <v>4</v>
      </c>
      <c r="C15" s="4" t="s">
        <v>7412</v>
      </c>
      <c r="D15" s="13">
        <v>1315531</v>
      </c>
      <c r="E15" s="4" t="s">
        <v>3268</v>
      </c>
      <c r="F15" s="4" t="s">
        <v>851</v>
      </c>
      <c r="G15" s="4" t="s">
        <v>7382</v>
      </c>
      <c r="H15" s="4" t="s">
        <v>7804</v>
      </c>
      <c r="I15" s="642">
        <v>45735</v>
      </c>
      <c r="J15" s="100">
        <v>45940</v>
      </c>
      <c r="K15" s="20" t="s">
        <v>7805</v>
      </c>
      <c r="L15" s="4" t="s">
        <v>7806</v>
      </c>
      <c r="M15" s="316" t="s">
        <v>29</v>
      </c>
      <c r="N15" s="5" t="s">
        <v>29</v>
      </c>
      <c r="O15" s="4" t="s">
        <v>29</v>
      </c>
      <c r="P15" s="4" t="s">
        <v>739</v>
      </c>
      <c r="Q15" s="4" t="s">
        <v>7807</v>
      </c>
      <c r="R15" s="784"/>
      <c r="S15" s="1214">
        <v>4835</v>
      </c>
      <c r="T15" s="1215">
        <v>3568</v>
      </c>
      <c r="U15" s="1215" t="s">
        <v>115</v>
      </c>
      <c r="V15" s="1553" t="s">
        <v>29</v>
      </c>
    </row>
    <row r="16" spans="1:22" ht="156.75" x14ac:dyDescent="0.25">
      <c r="A16" s="13">
        <v>2025</v>
      </c>
      <c r="B16" t="s">
        <v>1073</v>
      </c>
      <c r="C16" t="s">
        <v>6817</v>
      </c>
      <c r="D16" s="12" t="s">
        <v>7808</v>
      </c>
      <c r="E16" s="4" t="s">
        <v>3259</v>
      </c>
      <c r="F16" t="s">
        <v>851</v>
      </c>
      <c r="G16" s="4" t="s">
        <v>7809</v>
      </c>
      <c r="H16" t="s">
        <v>4189</v>
      </c>
      <c r="I16" s="642">
        <v>45729</v>
      </c>
      <c r="J16" s="100">
        <v>45922</v>
      </c>
      <c r="K16" s="20" t="s">
        <v>7810</v>
      </c>
      <c r="L16" s="4" t="s">
        <v>7811</v>
      </c>
      <c r="M16" s="316" t="s">
        <v>4650</v>
      </c>
      <c r="N16" s="5" t="s">
        <v>29</v>
      </c>
      <c r="O16" s="4" t="s">
        <v>7812</v>
      </c>
      <c r="P16" s="4" t="s">
        <v>7739</v>
      </c>
      <c r="Q16" s="4" t="s">
        <v>7813</v>
      </c>
      <c r="R16" s="784" t="s">
        <v>7814</v>
      </c>
      <c r="S16" s="1214">
        <v>30892.5</v>
      </c>
      <c r="T16" s="1215">
        <v>48512</v>
      </c>
      <c r="U16" s="1215">
        <v>50000</v>
      </c>
      <c r="V16" s="1227">
        <v>45834</v>
      </c>
    </row>
    <row r="17" spans="1:22" ht="72.75" x14ac:dyDescent="0.25">
      <c r="A17" s="13">
        <v>2025</v>
      </c>
      <c r="B17" t="s">
        <v>759</v>
      </c>
      <c r="C17" t="s">
        <v>1259</v>
      </c>
      <c r="D17" s="13">
        <v>1010960</v>
      </c>
      <c r="E17" s="4" t="s">
        <v>1261</v>
      </c>
      <c r="F17" t="s">
        <v>6643</v>
      </c>
      <c r="G17" t="s">
        <v>4770</v>
      </c>
      <c r="H17" t="s">
        <v>4436</v>
      </c>
      <c r="I17" s="642">
        <v>45833</v>
      </c>
      <c r="J17" s="100">
        <v>45945</v>
      </c>
      <c r="K17" s="20" t="s">
        <v>7815</v>
      </c>
      <c r="L17" s="4" t="s">
        <v>7816</v>
      </c>
      <c r="M17" s="316" t="s">
        <v>4650</v>
      </c>
      <c r="N17" s="5" t="s">
        <v>709</v>
      </c>
      <c r="O17" s="4" t="s">
        <v>7817</v>
      </c>
      <c r="P17" s="4" t="s">
        <v>120</v>
      </c>
      <c r="Q17" s="4" t="s">
        <v>7818</v>
      </c>
      <c r="R17" s="784" t="s">
        <v>7819</v>
      </c>
      <c r="S17" s="1214">
        <v>5985</v>
      </c>
      <c r="T17" s="1215">
        <v>8185</v>
      </c>
      <c r="U17" s="1215"/>
      <c r="V17" s="1226" t="s">
        <v>29</v>
      </c>
    </row>
    <row r="18" spans="1:22" ht="48.75" x14ac:dyDescent="0.25">
      <c r="A18" s="13">
        <v>2025</v>
      </c>
      <c r="B18" t="s">
        <v>759</v>
      </c>
      <c r="C18" s="772" t="s">
        <v>115</v>
      </c>
      <c r="D18" s="771" t="s">
        <v>115</v>
      </c>
      <c r="E18" s="4" t="s">
        <v>7820</v>
      </c>
      <c r="F18" t="s">
        <v>7821</v>
      </c>
      <c r="G18" t="s">
        <v>37</v>
      </c>
      <c r="H18" s="4" t="s">
        <v>7820</v>
      </c>
      <c r="I18" s="642">
        <v>45582</v>
      </c>
      <c r="J18" s="100">
        <v>45926</v>
      </c>
      <c r="K18" s="20" t="s">
        <v>7822</v>
      </c>
      <c r="L18" s="4" t="s">
        <v>7823</v>
      </c>
      <c r="M18" s="316">
        <v>11</v>
      </c>
      <c r="N18" s="5" t="s">
        <v>29</v>
      </c>
      <c r="O18" s="4" t="s">
        <v>29</v>
      </c>
      <c r="P18" s="4" t="s">
        <v>739</v>
      </c>
      <c r="Q18" s="4" t="s">
        <v>7824</v>
      </c>
      <c r="R18" s="784" t="s">
        <v>7825</v>
      </c>
      <c r="S18" s="1214">
        <v>91985</v>
      </c>
      <c r="T18" s="1215">
        <v>94552</v>
      </c>
      <c r="U18" s="1215">
        <v>75000</v>
      </c>
      <c r="V18" s="1227">
        <v>45748</v>
      </c>
    </row>
    <row r="19" spans="1:22" ht="45" x14ac:dyDescent="0.25">
      <c r="A19" s="13">
        <v>2025</v>
      </c>
      <c r="B19" t="s">
        <v>730</v>
      </c>
      <c r="C19" t="s">
        <v>7058</v>
      </c>
      <c r="D19" s="13">
        <v>1015225</v>
      </c>
      <c r="E19" s="4" t="s">
        <v>3436</v>
      </c>
      <c r="F19" t="s">
        <v>6643</v>
      </c>
      <c r="G19" t="s">
        <v>37</v>
      </c>
      <c r="H19" t="s">
        <v>7826</v>
      </c>
      <c r="I19" s="642"/>
      <c r="J19" s="1724">
        <v>45940</v>
      </c>
      <c r="K19" s="20" t="s">
        <v>7827</v>
      </c>
      <c r="L19" s="4" t="s">
        <v>7828</v>
      </c>
      <c r="M19" s="316">
        <v>3</v>
      </c>
      <c r="N19" s="5" t="s">
        <v>709</v>
      </c>
      <c r="O19" s="4" t="s">
        <v>7829</v>
      </c>
      <c r="P19" s="4" t="s">
        <v>120</v>
      </c>
      <c r="Q19" s="4" t="s">
        <v>7830</v>
      </c>
      <c r="R19" s="784"/>
      <c r="S19" s="1214">
        <v>5125</v>
      </c>
      <c r="T19" s="1215">
        <v>4888</v>
      </c>
      <c r="U19" s="1215"/>
      <c r="V19" s="1226" t="s">
        <v>29</v>
      </c>
    </row>
    <row r="20" spans="1:22" ht="60" x14ac:dyDescent="0.25">
      <c r="A20" s="13">
        <v>2025</v>
      </c>
      <c r="B20" t="s">
        <v>4</v>
      </c>
      <c r="C20" t="s">
        <v>7831</v>
      </c>
      <c r="D20" s="13">
        <v>1212385</v>
      </c>
      <c r="E20" s="4" t="s">
        <v>1190</v>
      </c>
      <c r="F20" t="s">
        <v>784</v>
      </c>
      <c r="G20" t="s">
        <v>27</v>
      </c>
      <c r="H20" t="s">
        <v>4646</v>
      </c>
      <c r="I20" s="642">
        <v>45904</v>
      </c>
      <c r="J20" s="100">
        <v>45926</v>
      </c>
      <c r="K20" s="20" t="s">
        <v>7832</v>
      </c>
      <c r="L20" s="4" t="s">
        <v>7833</v>
      </c>
      <c r="M20" s="316">
        <v>11</v>
      </c>
      <c r="N20" s="5" t="s">
        <v>116</v>
      </c>
      <c r="O20" s="4" t="s">
        <v>7834</v>
      </c>
      <c r="P20" s="4" t="s">
        <v>7739</v>
      </c>
      <c r="Q20" s="4" t="s">
        <v>7835</v>
      </c>
      <c r="R20" s="784"/>
      <c r="S20" s="1214">
        <v>6260</v>
      </c>
      <c r="T20" s="1215">
        <v>7000</v>
      </c>
      <c r="U20" s="1215"/>
      <c r="V20" s="1226" t="s">
        <v>29</v>
      </c>
    </row>
    <row r="21" spans="1:22" ht="90" x14ac:dyDescent="0.25">
      <c r="A21" s="13">
        <v>2025</v>
      </c>
      <c r="B21" t="s">
        <v>769</v>
      </c>
      <c r="C21" t="s">
        <v>1319</v>
      </c>
      <c r="D21" s="13">
        <v>1010971</v>
      </c>
      <c r="E21" s="4" t="s">
        <v>245</v>
      </c>
      <c r="F21" t="s">
        <v>784</v>
      </c>
      <c r="G21" s="4" t="s">
        <v>7836</v>
      </c>
      <c r="H21" t="s">
        <v>4001</v>
      </c>
      <c r="I21" s="642">
        <v>45806</v>
      </c>
      <c r="J21" s="100">
        <v>45961</v>
      </c>
      <c r="K21" s="20" t="s">
        <v>7837</v>
      </c>
      <c r="L21" s="4" t="s">
        <v>7838</v>
      </c>
      <c r="M21" s="316">
        <v>1</v>
      </c>
      <c r="N21" s="5" t="s">
        <v>709</v>
      </c>
      <c r="O21" s="4" t="s">
        <v>7839</v>
      </c>
      <c r="P21" s="4" t="s">
        <v>120</v>
      </c>
      <c r="Q21" s="4" t="s">
        <v>7840</v>
      </c>
      <c r="R21" s="784" t="s">
        <v>7841</v>
      </c>
      <c r="S21" s="1214" t="e">
        <v>#N/A</v>
      </c>
      <c r="T21" s="1215">
        <v>50710</v>
      </c>
      <c r="U21" s="1215"/>
      <c r="V21" s="1226" t="s">
        <v>376</v>
      </c>
    </row>
    <row r="22" spans="1:22" ht="45" x14ac:dyDescent="0.25">
      <c r="A22">
        <v>2025</v>
      </c>
      <c r="B22" s="879" t="s">
        <v>1073</v>
      </c>
      <c r="C22" s="879" t="s">
        <v>8064</v>
      </c>
      <c r="D22" s="1018" t="s">
        <v>8684</v>
      </c>
      <c r="E22" s="965" t="s">
        <v>1915</v>
      </c>
      <c r="F22" s="879" t="s">
        <v>851</v>
      </c>
      <c r="G22" s="879" t="s">
        <v>7152</v>
      </c>
      <c r="H22" s="879" t="s">
        <v>4001</v>
      </c>
      <c r="I22" s="883">
        <v>45895</v>
      </c>
      <c r="J22" s="918">
        <v>45931</v>
      </c>
      <c r="K22" s="945" t="s">
        <v>9206</v>
      </c>
      <c r="L22" s="1801" t="s">
        <v>9147</v>
      </c>
      <c r="M22" s="965"/>
      <c r="N22" s="99" t="s">
        <v>9205</v>
      </c>
      <c r="O22" s="4"/>
      <c r="P22" s="4"/>
      <c r="Q22" s="4"/>
      <c r="R22" s="784"/>
      <c r="S22" s="1214"/>
      <c r="T22" s="1798"/>
      <c r="U22" s="1799"/>
      <c r="V22" s="1800"/>
    </row>
    <row r="23" spans="1:22" ht="45" x14ac:dyDescent="0.25">
      <c r="A23" s="13">
        <v>2025</v>
      </c>
      <c r="B23" t="s">
        <v>769</v>
      </c>
      <c r="C23" t="s">
        <v>7021</v>
      </c>
      <c r="D23" s="13">
        <v>1015226</v>
      </c>
      <c r="E23" s="4" t="s">
        <v>3436</v>
      </c>
      <c r="F23" t="s">
        <v>6643</v>
      </c>
      <c r="G23" s="4" t="s">
        <v>6996</v>
      </c>
      <c r="H23" t="s">
        <v>7826</v>
      </c>
      <c r="I23" s="533">
        <v>45735</v>
      </c>
      <c r="J23" s="1796">
        <v>45938</v>
      </c>
      <c r="K23" s="20" t="s">
        <v>7827</v>
      </c>
      <c r="L23" s="4"/>
      <c r="M23" s="316">
        <v>3</v>
      </c>
      <c r="N23" s="5" t="s">
        <v>709</v>
      </c>
      <c r="O23" s="4" t="s">
        <v>9203</v>
      </c>
      <c r="P23" s="4" t="s">
        <v>120</v>
      </c>
      <c r="Q23" s="4"/>
      <c r="R23" s="784"/>
      <c r="S23" s="1214">
        <v>5125</v>
      </c>
      <c r="T23" s="1215">
        <v>4888</v>
      </c>
      <c r="U23" s="1799"/>
      <c r="V23" s="1800"/>
    </row>
    <row r="28" spans="1:22" x14ac:dyDescent="0.25">
      <c r="F28" t="s">
        <v>41</v>
      </c>
    </row>
    <row r="36" spans="9:9" x14ac:dyDescent="0.25">
      <c r="I36" t="s">
        <v>41</v>
      </c>
    </row>
  </sheetData>
  <autoFilter ref="H43" xr:uid="{4EBFCC43-7FAD-4A4C-92EC-8ADD8090BA57}"/>
  <pageMargins left="0.7" right="0.7" top="0.75" bottom="0.75" header="0.3" footer="0.3"/>
  <pageSetup orientation="portrait" horizontalDpi="300" verticalDpi="0" copies="0" r:id="rId1"/>
  <drawing r:id="rId2"/>
  <legacyDrawing r:id="rId3"/>
  <tableParts count="1">
    <tablePart r:id="rId4"/>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382F4-5155-428C-9F44-A7945E7BC328}">
  <sheetPr codeName="Sheet4"/>
  <dimension ref="A1:Y415"/>
  <sheetViews>
    <sheetView workbookViewId="0">
      <selection activeCell="F409" sqref="F409"/>
    </sheetView>
  </sheetViews>
  <sheetFormatPr defaultRowHeight="15" x14ac:dyDescent="0.25"/>
  <cols>
    <col min="1" max="1" width="24.28515625" customWidth="1"/>
    <col min="2" max="2" width="16.5703125" bestFit="1" customWidth="1"/>
    <col min="3" max="3" width="16.5703125" customWidth="1"/>
    <col min="4" max="4" width="17.5703125" customWidth="1"/>
    <col min="5" max="5" width="14.5703125" customWidth="1"/>
    <col min="6" max="6" width="20" bestFit="1" customWidth="1"/>
    <col min="7" max="7" width="17.28515625" bestFit="1" customWidth="1"/>
    <col min="8" max="8" width="21.85546875" bestFit="1" customWidth="1"/>
    <col min="9" max="9" width="17.5703125" style="9" bestFit="1" customWidth="1"/>
    <col min="10" max="10" width="53" customWidth="1"/>
    <col min="11" max="11" width="11" bestFit="1" customWidth="1"/>
    <col min="12" max="12" width="7.140625" bestFit="1" customWidth="1"/>
    <col min="13" max="13" width="47" style="520" bestFit="1" customWidth="1"/>
    <col min="14" max="14" width="28.42578125" bestFit="1" customWidth="1"/>
    <col min="15" max="15" width="32.28515625" bestFit="1" customWidth="1"/>
    <col min="16" max="16" width="18.42578125" customWidth="1"/>
    <col min="17" max="17" width="10.5703125" bestFit="1" customWidth="1"/>
    <col min="18" max="18" width="18" bestFit="1" customWidth="1"/>
    <col min="19" max="19" width="12" customWidth="1"/>
    <col min="20" max="20" width="18.7109375" bestFit="1" customWidth="1"/>
    <col min="21" max="21" width="16.7109375" bestFit="1" customWidth="1"/>
    <col min="22" max="22" width="11.42578125" bestFit="1" customWidth="1"/>
    <col min="23" max="23" width="28.42578125" bestFit="1" customWidth="1"/>
    <col min="24" max="24" width="12" bestFit="1" customWidth="1"/>
    <col min="25" max="25" width="12.5703125" bestFit="1" customWidth="1"/>
  </cols>
  <sheetData>
    <row r="1" spans="1:25" ht="45" x14ac:dyDescent="0.25">
      <c r="A1" s="376" t="s">
        <v>7842</v>
      </c>
      <c r="B1" s="377" t="s">
        <v>7843</v>
      </c>
      <c r="C1" s="377" t="s">
        <v>7844</v>
      </c>
      <c r="D1" s="377" t="s">
        <v>7845</v>
      </c>
      <c r="E1" s="378" t="s">
        <v>7846</v>
      </c>
      <c r="F1" s="377" t="s">
        <v>44</v>
      </c>
      <c r="G1" s="377" t="s">
        <v>45</v>
      </c>
      <c r="H1" s="377" t="s">
        <v>7718</v>
      </c>
      <c r="I1" s="377" t="s">
        <v>7847</v>
      </c>
      <c r="J1" s="379" t="s">
        <v>7848</v>
      </c>
      <c r="K1" s="377" t="s">
        <v>7849</v>
      </c>
      <c r="L1" s="377" t="s">
        <v>7850</v>
      </c>
      <c r="M1" s="518" t="s">
        <v>49</v>
      </c>
      <c r="N1" s="766" t="s">
        <v>7851</v>
      </c>
      <c r="O1" s="521" t="s">
        <v>7852</v>
      </c>
      <c r="P1" s="380" t="s">
        <v>7853</v>
      </c>
      <c r="Q1" s="377" t="s">
        <v>7854</v>
      </c>
      <c r="R1" s="377" t="s">
        <v>7855</v>
      </c>
      <c r="S1" s="380" t="s">
        <v>7856</v>
      </c>
      <c r="T1" s="377" t="s">
        <v>7857</v>
      </c>
      <c r="U1" s="377" t="s">
        <v>7858</v>
      </c>
      <c r="V1" s="380" t="s">
        <v>7859</v>
      </c>
      <c r="W1" s="377" t="s">
        <v>7860</v>
      </c>
      <c r="X1" s="377" t="s">
        <v>7861</v>
      </c>
      <c r="Y1" s="381" t="s">
        <v>7862</v>
      </c>
    </row>
    <row r="2" spans="1:25" x14ac:dyDescent="0.25">
      <c r="A2" s="382" t="s">
        <v>59</v>
      </c>
      <c r="B2" s="91" t="s">
        <v>244</v>
      </c>
      <c r="C2" s="91" t="s">
        <v>4</v>
      </c>
      <c r="D2" s="383">
        <v>1211638</v>
      </c>
      <c r="E2" s="384">
        <v>11049643</v>
      </c>
      <c r="F2" s="91" t="s">
        <v>245</v>
      </c>
      <c r="G2" s="91" t="s">
        <v>35</v>
      </c>
      <c r="H2" s="385" t="s">
        <v>747</v>
      </c>
      <c r="I2" s="91" t="s">
        <v>247</v>
      </c>
      <c r="J2" s="43" t="s">
        <v>246</v>
      </c>
      <c r="K2" s="383">
        <v>4</v>
      </c>
      <c r="L2" s="91" t="s">
        <v>321</v>
      </c>
      <c r="M2" s="519" t="s">
        <v>7863</v>
      </c>
      <c r="N2" s="760" t="s">
        <v>29</v>
      </c>
      <c r="O2" s="522" t="s">
        <v>167</v>
      </c>
      <c r="P2" s="387" t="str">
        <f>Requisitions_Tracker[[#This Row],[ConOps Contact]]</f>
        <v>Joe Gaca</v>
      </c>
      <c r="Q2" s="385">
        <v>4036</v>
      </c>
      <c r="R2" s="388">
        <v>44979</v>
      </c>
      <c r="S2" s="388">
        <v>44988</v>
      </c>
      <c r="T2" s="385" t="s">
        <v>7864</v>
      </c>
      <c r="U2" s="388">
        <v>44985</v>
      </c>
      <c r="V2" s="388">
        <v>44988</v>
      </c>
      <c r="W2" s="385" t="s">
        <v>7865</v>
      </c>
      <c r="X2" s="389">
        <v>176.35</v>
      </c>
      <c r="Y2" s="390">
        <f>Requisitions_Tracker[[#This Row],[Unit Price]]*Requisitions_Tracker[[#This Row],[Quantity]]</f>
        <v>705.4</v>
      </c>
    </row>
    <row r="3" spans="1:25" x14ac:dyDescent="0.25">
      <c r="A3" s="382" t="s">
        <v>59</v>
      </c>
      <c r="B3" s="91" t="s">
        <v>248</v>
      </c>
      <c r="C3" s="91" t="s">
        <v>3</v>
      </c>
      <c r="D3" s="383">
        <v>1211332</v>
      </c>
      <c r="E3" s="384">
        <v>11042172</v>
      </c>
      <c r="F3" s="91" t="s">
        <v>249</v>
      </c>
      <c r="G3" s="91" t="s">
        <v>36</v>
      </c>
      <c r="H3" s="385" t="s">
        <v>747</v>
      </c>
      <c r="I3" s="91" t="s">
        <v>254</v>
      </c>
      <c r="J3" s="43" t="s">
        <v>251</v>
      </c>
      <c r="K3" s="383">
        <v>1</v>
      </c>
      <c r="L3" s="91" t="s">
        <v>321</v>
      </c>
      <c r="M3" s="385" t="s">
        <v>7863</v>
      </c>
      <c r="N3" s="385" t="s">
        <v>29</v>
      </c>
      <c r="O3" s="386" t="s">
        <v>253</v>
      </c>
      <c r="P3" s="387" t="str">
        <f>Requisitions_Tracker[[#This Row],[ConOps Contact]]</f>
        <v>Drake Partilla</v>
      </c>
      <c r="Q3" s="387">
        <v>6060</v>
      </c>
      <c r="R3" s="388">
        <v>45113</v>
      </c>
      <c r="S3" s="388">
        <v>45138</v>
      </c>
      <c r="T3" s="385" t="s">
        <v>7866</v>
      </c>
      <c r="U3" s="388">
        <v>45118</v>
      </c>
      <c r="V3" s="388">
        <v>45138</v>
      </c>
      <c r="W3" s="385" t="s">
        <v>7867</v>
      </c>
      <c r="X3" s="389">
        <v>29055</v>
      </c>
      <c r="Y3" s="390">
        <f>Requisitions_Tracker[[#This Row],[Unit Price]]*Requisitions_Tracker[[#This Row],[Quantity]]</f>
        <v>29055</v>
      </c>
    </row>
    <row r="4" spans="1:25" x14ac:dyDescent="0.25">
      <c r="A4" s="382" t="s">
        <v>59</v>
      </c>
      <c r="B4" s="402" t="s">
        <v>248</v>
      </c>
      <c r="C4" s="91" t="s">
        <v>3</v>
      </c>
      <c r="D4" s="383">
        <v>1211332</v>
      </c>
      <c r="E4" s="384">
        <v>11042172</v>
      </c>
      <c r="F4" s="91" t="s">
        <v>249</v>
      </c>
      <c r="G4" s="91" t="s">
        <v>36</v>
      </c>
      <c r="H4" s="385" t="s">
        <v>747</v>
      </c>
      <c r="I4" s="402" t="s">
        <v>257</v>
      </c>
      <c r="J4" s="411" t="s">
        <v>7868</v>
      </c>
      <c r="K4" s="412">
        <v>3200</v>
      </c>
      <c r="L4" s="402" t="s">
        <v>321</v>
      </c>
      <c r="M4" s="385" t="s">
        <v>7863</v>
      </c>
      <c r="N4" s="385" t="s">
        <v>29</v>
      </c>
      <c r="O4" s="422" t="s">
        <v>257</v>
      </c>
      <c r="P4" s="423" t="str">
        <f>Requisitions_Tracker[[#This Row],[ConOps Contact]]</f>
        <v>By Eng</v>
      </c>
      <c r="Q4" s="385">
        <v>2352</v>
      </c>
      <c r="R4" s="408" t="s">
        <v>257</v>
      </c>
      <c r="S4" s="408">
        <v>45138</v>
      </c>
      <c r="T4" s="405" t="s">
        <v>7866</v>
      </c>
      <c r="U4" s="408" t="s">
        <v>257</v>
      </c>
      <c r="V4" s="408">
        <v>45138</v>
      </c>
      <c r="W4" s="405" t="s">
        <v>7867</v>
      </c>
      <c r="X4" s="409"/>
      <c r="Y4" s="410">
        <f>Requisitions_Tracker[[#This Row],[Unit Price]]*Requisitions_Tracker[[#This Row],[Quantity]]</f>
        <v>0</v>
      </c>
    </row>
    <row r="5" spans="1:25" x14ac:dyDescent="0.25">
      <c r="A5" s="415" t="s">
        <v>59</v>
      </c>
      <c r="B5" s="414" t="s">
        <v>248</v>
      </c>
      <c r="C5" s="91" t="s">
        <v>3</v>
      </c>
      <c r="D5" s="403">
        <v>1211332</v>
      </c>
      <c r="E5" s="416">
        <v>11042172</v>
      </c>
      <c r="F5" s="414" t="s">
        <v>249</v>
      </c>
      <c r="G5" s="414" t="s">
        <v>36</v>
      </c>
      <c r="H5" s="404" t="s">
        <v>747</v>
      </c>
      <c r="I5" s="414" t="s">
        <v>257</v>
      </c>
      <c r="J5" s="413" t="s">
        <v>7869</v>
      </c>
      <c r="K5" s="403">
        <v>190.9</v>
      </c>
      <c r="L5" s="414" t="s">
        <v>63</v>
      </c>
      <c r="M5" s="385" t="s">
        <v>7863</v>
      </c>
      <c r="N5" s="385" t="s">
        <v>29</v>
      </c>
      <c r="O5" s="417" t="s">
        <v>167</v>
      </c>
      <c r="P5" s="418" t="str">
        <f>Requisitions_Tracker[[#This Row],[ConOps Contact]]</f>
        <v>By Eng</v>
      </c>
      <c r="Q5" s="404">
        <v>2352</v>
      </c>
      <c r="R5" s="419">
        <v>44846</v>
      </c>
      <c r="S5" s="419">
        <v>44986</v>
      </c>
      <c r="T5" s="404" t="s">
        <v>7870</v>
      </c>
      <c r="U5" s="419">
        <v>45028</v>
      </c>
      <c r="V5" s="419">
        <v>44951</v>
      </c>
      <c r="W5" s="404" t="s">
        <v>7871</v>
      </c>
      <c r="X5" s="406">
        <v>79.91</v>
      </c>
      <c r="Y5" s="407">
        <f>Requisitions_Tracker[[#This Row],[Unit Price]]*Requisitions_Tracker[[#This Row],[Quantity]]</f>
        <v>15254.819</v>
      </c>
    </row>
    <row r="6" spans="1:25" x14ac:dyDescent="0.25">
      <c r="A6" s="420" t="s">
        <v>59</v>
      </c>
      <c r="B6" s="402" t="s">
        <v>248</v>
      </c>
      <c r="C6" s="91" t="s">
        <v>3</v>
      </c>
      <c r="D6" s="412">
        <v>1211332</v>
      </c>
      <c r="E6" s="421">
        <v>11042172</v>
      </c>
      <c r="F6" s="402" t="s">
        <v>249</v>
      </c>
      <c r="G6" s="402" t="s">
        <v>36</v>
      </c>
      <c r="H6" s="405" t="s">
        <v>747</v>
      </c>
      <c r="I6" s="402" t="s">
        <v>257</v>
      </c>
      <c r="J6" s="411" t="s">
        <v>7872</v>
      </c>
      <c r="K6" s="412">
        <v>1</v>
      </c>
      <c r="L6" s="402" t="s">
        <v>321</v>
      </c>
      <c r="M6" s="385" t="s">
        <v>7863</v>
      </c>
      <c r="N6" s="385" t="s">
        <v>29</v>
      </c>
      <c r="O6" s="422" t="s">
        <v>167</v>
      </c>
      <c r="P6" s="423" t="str">
        <f>Requisitions_Tracker[[#This Row],[ConOps Contact]]</f>
        <v>By Eng</v>
      </c>
      <c r="Q6" s="405">
        <v>2352</v>
      </c>
      <c r="R6" s="408">
        <v>44846</v>
      </c>
      <c r="S6" s="408">
        <v>44986</v>
      </c>
      <c r="T6" s="405" t="s">
        <v>7873</v>
      </c>
      <c r="U6" s="408">
        <v>44949</v>
      </c>
      <c r="V6" s="408">
        <v>45061</v>
      </c>
      <c r="W6" s="405" t="s">
        <v>7874</v>
      </c>
      <c r="X6" s="409">
        <v>28502.69</v>
      </c>
      <c r="Y6" s="410">
        <f>Requisitions_Tracker[[#This Row],[Unit Price]]*Requisitions_Tracker[[#This Row],[Quantity]]</f>
        <v>28502.69</v>
      </c>
    </row>
    <row r="7" spans="1:25" x14ac:dyDescent="0.25">
      <c r="A7" s="415" t="s">
        <v>59</v>
      </c>
      <c r="B7" s="414" t="s">
        <v>248</v>
      </c>
      <c r="C7" s="91" t="s">
        <v>3</v>
      </c>
      <c r="D7" s="403">
        <v>1211332</v>
      </c>
      <c r="E7" s="416">
        <v>11042172</v>
      </c>
      <c r="F7" s="414" t="s">
        <v>249</v>
      </c>
      <c r="G7" s="414" t="s">
        <v>36</v>
      </c>
      <c r="H7" s="404" t="s">
        <v>747</v>
      </c>
      <c r="I7" s="414" t="s">
        <v>257</v>
      </c>
      <c r="J7" s="413" t="s">
        <v>7875</v>
      </c>
      <c r="K7" s="403">
        <v>1</v>
      </c>
      <c r="L7" s="414" t="s">
        <v>321</v>
      </c>
      <c r="M7" s="385" t="s">
        <v>7863</v>
      </c>
      <c r="N7" s="385" t="s">
        <v>29</v>
      </c>
      <c r="O7" s="417" t="s">
        <v>167</v>
      </c>
      <c r="P7" s="418" t="str">
        <f>Requisitions_Tracker[[#This Row],[ConOps Contact]]</f>
        <v>By Eng</v>
      </c>
      <c r="Q7" s="404">
        <v>2352</v>
      </c>
      <c r="R7" s="419">
        <v>44846</v>
      </c>
      <c r="S7" s="419">
        <v>44986</v>
      </c>
      <c r="T7" s="404" t="s">
        <v>7876</v>
      </c>
      <c r="U7" s="419">
        <v>44935</v>
      </c>
      <c r="V7" s="419">
        <v>45107</v>
      </c>
      <c r="W7" s="404" t="s">
        <v>7867</v>
      </c>
      <c r="X7" s="406">
        <v>42325</v>
      </c>
      <c r="Y7" s="407">
        <f>Requisitions_Tracker[[#This Row],[Unit Price]]*Requisitions_Tracker[[#This Row],[Quantity]]</f>
        <v>42325</v>
      </c>
    </row>
    <row r="8" spans="1:25" x14ac:dyDescent="0.25">
      <c r="A8" s="382" t="s">
        <v>59</v>
      </c>
      <c r="B8" s="402" t="s">
        <v>248</v>
      </c>
      <c r="C8" s="91" t="s">
        <v>3</v>
      </c>
      <c r="D8" s="383">
        <v>1211332</v>
      </c>
      <c r="E8" s="384">
        <v>11042172</v>
      </c>
      <c r="F8" s="91" t="s">
        <v>249</v>
      </c>
      <c r="G8" s="91" t="s">
        <v>36</v>
      </c>
      <c r="H8" s="385" t="s">
        <v>747</v>
      </c>
      <c r="I8" s="402" t="s">
        <v>257</v>
      </c>
      <c r="J8" s="411" t="s">
        <v>7877</v>
      </c>
      <c r="K8" s="412">
        <v>1</v>
      </c>
      <c r="L8" s="402" t="s">
        <v>321</v>
      </c>
      <c r="M8" s="385" t="s">
        <v>7863</v>
      </c>
      <c r="N8" s="385" t="s">
        <v>29</v>
      </c>
      <c r="O8" s="386" t="s">
        <v>167</v>
      </c>
      <c r="P8" s="423" t="str">
        <f>Requisitions_Tracker[[#This Row],[ConOps Contact]]</f>
        <v>By Eng</v>
      </c>
      <c r="Q8" s="385">
        <v>2352</v>
      </c>
      <c r="R8" s="388">
        <v>44846</v>
      </c>
      <c r="S8" s="388">
        <v>44986</v>
      </c>
      <c r="T8" s="405" t="s">
        <v>7878</v>
      </c>
      <c r="U8" s="388">
        <v>44914</v>
      </c>
      <c r="V8" s="388">
        <v>44938</v>
      </c>
      <c r="W8" s="405" t="s">
        <v>7879</v>
      </c>
      <c r="X8" s="409">
        <v>1550</v>
      </c>
      <c r="Y8" s="410">
        <f>Requisitions_Tracker[[#This Row],[Unit Price]]*Requisitions_Tracker[[#This Row],[Quantity]]</f>
        <v>1550</v>
      </c>
    </row>
    <row r="9" spans="1:25" x14ac:dyDescent="0.25">
      <c r="A9" s="415" t="s">
        <v>59</v>
      </c>
      <c r="B9" s="414" t="s">
        <v>248</v>
      </c>
      <c r="C9" s="91" t="s">
        <v>3</v>
      </c>
      <c r="D9" s="403">
        <v>1211332</v>
      </c>
      <c r="E9" s="416">
        <v>11042172</v>
      </c>
      <c r="F9" s="414" t="s">
        <v>249</v>
      </c>
      <c r="G9" s="414" t="s">
        <v>36</v>
      </c>
      <c r="H9" s="404" t="s">
        <v>747</v>
      </c>
      <c r="I9" s="414" t="s">
        <v>257</v>
      </c>
      <c r="J9" s="413" t="s">
        <v>7880</v>
      </c>
      <c r="K9" s="403">
        <v>1</v>
      </c>
      <c r="L9" s="414" t="s">
        <v>321</v>
      </c>
      <c r="M9" s="385" t="s">
        <v>7863</v>
      </c>
      <c r="N9" s="385" t="s">
        <v>29</v>
      </c>
      <c r="O9" s="417" t="s">
        <v>167</v>
      </c>
      <c r="P9" s="418" t="str">
        <f>Requisitions_Tracker[[#This Row],[ConOps Contact]]</f>
        <v>By Eng</v>
      </c>
      <c r="Q9" s="404">
        <v>2352</v>
      </c>
      <c r="R9" s="419">
        <v>44846</v>
      </c>
      <c r="S9" s="419">
        <v>44986</v>
      </c>
      <c r="T9" s="404" t="s">
        <v>7878</v>
      </c>
      <c r="U9" s="419">
        <v>44914</v>
      </c>
      <c r="V9" s="419">
        <v>44938</v>
      </c>
      <c r="W9" s="404" t="s">
        <v>7879</v>
      </c>
      <c r="X9" s="406">
        <v>895</v>
      </c>
      <c r="Y9" s="407">
        <f>Requisitions_Tracker[[#This Row],[Unit Price]]*Requisitions_Tracker[[#This Row],[Quantity]]</f>
        <v>895</v>
      </c>
    </row>
    <row r="10" spans="1:25" x14ac:dyDescent="0.25">
      <c r="A10" s="382" t="s">
        <v>59</v>
      </c>
      <c r="B10" s="91" t="s">
        <v>258</v>
      </c>
      <c r="C10" s="91" t="s">
        <v>3</v>
      </c>
      <c r="D10" s="383">
        <v>1211334</v>
      </c>
      <c r="E10" s="384">
        <v>11042181</v>
      </c>
      <c r="F10" s="91" t="s">
        <v>259</v>
      </c>
      <c r="G10" s="91" t="s">
        <v>36</v>
      </c>
      <c r="H10" s="385" t="s">
        <v>784</v>
      </c>
      <c r="I10" s="402" t="s">
        <v>257</v>
      </c>
      <c r="J10" s="43" t="s">
        <v>582</v>
      </c>
      <c r="K10" s="412">
        <v>3080</v>
      </c>
      <c r="L10" s="91" t="s">
        <v>63</v>
      </c>
      <c r="M10" s="519" t="s">
        <v>7881</v>
      </c>
      <c r="N10" s="385" t="s">
        <v>29</v>
      </c>
      <c r="O10" s="422" t="s">
        <v>357</v>
      </c>
      <c r="P10" s="423" t="str">
        <f>Requisitions_Tracker[[#This Row],[ConOps Contact]]</f>
        <v>By Eng</v>
      </c>
      <c r="Q10" s="385">
        <v>2291</v>
      </c>
      <c r="R10" s="388">
        <v>44844</v>
      </c>
      <c r="S10" s="388">
        <v>44986</v>
      </c>
      <c r="T10" s="385" t="s">
        <v>7882</v>
      </c>
      <c r="U10" s="388">
        <v>44861</v>
      </c>
      <c r="V10" s="388">
        <v>44986</v>
      </c>
      <c r="W10" s="385" t="s">
        <v>7871</v>
      </c>
      <c r="X10" s="389">
        <v>42.15</v>
      </c>
      <c r="Y10" s="390">
        <f>Requisitions_Tracker[[#This Row],[Unit Price]]*Requisitions_Tracker[[#This Row],[Quantity]]</f>
        <v>129822</v>
      </c>
    </row>
    <row r="11" spans="1:25" ht="30" x14ac:dyDescent="0.25">
      <c r="A11" s="382" t="s">
        <v>59</v>
      </c>
      <c r="B11" s="91" t="s">
        <v>258</v>
      </c>
      <c r="C11" s="91" t="s">
        <v>3</v>
      </c>
      <c r="D11" s="383">
        <v>1211334</v>
      </c>
      <c r="E11" s="384">
        <v>11042181</v>
      </c>
      <c r="F11" s="91" t="s">
        <v>259</v>
      </c>
      <c r="G11" s="91" t="s">
        <v>36</v>
      </c>
      <c r="H11" s="385" t="s">
        <v>784</v>
      </c>
      <c r="I11" s="414" t="s">
        <v>257</v>
      </c>
      <c r="J11" s="43" t="s">
        <v>7883</v>
      </c>
      <c r="K11" s="403">
        <v>3104.4</v>
      </c>
      <c r="L11" s="91" t="s">
        <v>63</v>
      </c>
      <c r="M11" s="519" t="s">
        <v>7881</v>
      </c>
      <c r="N11" s="385" t="s">
        <v>29</v>
      </c>
      <c r="O11" s="386" t="s">
        <v>7884</v>
      </c>
      <c r="P11" s="418" t="str">
        <f>Requisitions_Tracker[[#This Row],[ConOps Contact]]</f>
        <v>By Eng</v>
      </c>
      <c r="Q11" s="385">
        <v>3911</v>
      </c>
      <c r="R11" s="388">
        <v>44967</v>
      </c>
      <c r="S11" s="388">
        <v>44977</v>
      </c>
      <c r="T11" s="385" t="s">
        <v>7885</v>
      </c>
      <c r="U11" s="388">
        <v>45023</v>
      </c>
      <c r="V11" s="388">
        <v>44995</v>
      </c>
      <c r="W11" s="385" t="s">
        <v>7871</v>
      </c>
      <c r="X11" s="389">
        <v>41.51</v>
      </c>
      <c r="Y11" s="390">
        <f>Requisitions_Tracker[[#This Row],[Unit Price]]*Requisitions_Tracker[[#This Row],[Quantity]]</f>
        <v>128863.644</v>
      </c>
    </row>
    <row r="12" spans="1:25" x14ac:dyDescent="0.25">
      <c r="A12" s="420"/>
      <c r="B12" s="402" t="s">
        <v>262</v>
      </c>
      <c r="C12" s="91" t="s">
        <v>3</v>
      </c>
      <c r="D12" s="383">
        <v>1211404</v>
      </c>
      <c r="E12" s="384">
        <v>11042197</v>
      </c>
      <c r="F12" s="91" t="s">
        <v>263</v>
      </c>
      <c r="G12" s="91" t="s">
        <v>36</v>
      </c>
      <c r="H12" s="385" t="s">
        <v>747</v>
      </c>
      <c r="I12" s="402" t="s">
        <v>257</v>
      </c>
      <c r="J12" s="411" t="s">
        <v>264</v>
      </c>
      <c r="K12" s="412"/>
      <c r="L12" s="402"/>
      <c r="M12" s="519" t="s">
        <v>7881</v>
      </c>
      <c r="N12" s="385" t="s">
        <v>29</v>
      </c>
      <c r="O12" s="386" t="s">
        <v>257</v>
      </c>
      <c r="P12" s="423" t="str">
        <f>Requisitions_Tracker[[#This Row],[ConOps Contact]]</f>
        <v>By Eng</v>
      </c>
      <c r="Q12" s="385"/>
      <c r="R12" s="388" t="s">
        <v>257</v>
      </c>
      <c r="S12" s="408"/>
      <c r="T12" s="405"/>
      <c r="U12" s="408" t="s">
        <v>257</v>
      </c>
      <c r="V12" s="408"/>
      <c r="W12" s="405"/>
      <c r="X12" s="409"/>
      <c r="Y12" s="410">
        <f>Requisitions_Tracker[[#This Row],[Unit Price]]*Requisitions_Tracker[[#This Row],[Quantity]]</f>
        <v>0</v>
      </c>
    </row>
    <row r="13" spans="1:25" x14ac:dyDescent="0.25">
      <c r="A13" s="415" t="s">
        <v>59</v>
      </c>
      <c r="B13" s="414" t="s">
        <v>265</v>
      </c>
      <c r="C13" s="91" t="s">
        <v>3</v>
      </c>
      <c r="D13" s="403">
        <v>1911012</v>
      </c>
      <c r="E13" s="416">
        <v>11040630</v>
      </c>
      <c r="F13" s="414" t="s">
        <v>232</v>
      </c>
      <c r="G13" s="414" t="s">
        <v>36</v>
      </c>
      <c r="H13" s="404" t="s">
        <v>747</v>
      </c>
      <c r="I13" s="414" t="s">
        <v>267</v>
      </c>
      <c r="J13" s="413" t="s">
        <v>582</v>
      </c>
      <c r="K13" s="403">
        <v>4065.3</v>
      </c>
      <c r="L13" s="414" t="s">
        <v>63</v>
      </c>
      <c r="M13" s="519" t="s">
        <v>7881</v>
      </c>
      <c r="N13" s="385" t="s">
        <v>29</v>
      </c>
      <c r="O13" s="417" t="s">
        <v>267</v>
      </c>
      <c r="P13" s="418" t="str">
        <f>Requisitions_Tracker[[#This Row],[ConOps Contact]]</f>
        <v>By ConOps</v>
      </c>
      <c r="Q13" s="404"/>
      <c r="R13" s="419" t="s">
        <v>267</v>
      </c>
      <c r="S13" s="419">
        <v>45058</v>
      </c>
      <c r="T13" s="404" t="s">
        <v>7886</v>
      </c>
      <c r="U13" s="419" t="s">
        <v>267</v>
      </c>
      <c r="V13" s="419">
        <v>45077</v>
      </c>
      <c r="W13" s="404" t="s">
        <v>7871</v>
      </c>
      <c r="X13" s="406">
        <v>39.1</v>
      </c>
      <c r="Y13" s="407">
        <f>Requisitions_Tracker[[#This Row],[Unit Price]]*Requisitions_Tracker[[#This Row],[Quantity]]</f>
        <v>158953.23000000001</v>
      </c>
    </row>
    <row r="14" spans="1:25" ht="44.25" customHeight="1" x14ac:dyDescent="0.25">
      <c r="A14" s="420" t="s">
        <v>59</v>
      </c>
      <c r="B14" s="91" t="s">
        <v>265</v>
      </c>
      <c r="C14" s="91" t="s">
        <v>3</v>
      </c>
      <c r="D14" s="383">
        <v>1911012</v>
      </c>
      <c r="E14" s="384">
        <v>11040630</v>
      </c>
      <c r="F14" s="91" t="s">
        <v>232</v>
      </c>
      <c r="G14" s="91" t="s">
        <v>36</v>
      </c>
      <c r="H14" s="385" t="s">
        <v>747</v>
      </c>
      <c r="I14" s="91" t="s">
        <v>267</v>
      </c>
      <c r="J14" s="424" t="s">
        <v>7887</v>
      </c>
      <c r="K14" s="412">
        <v>1</v>
      </c>
      <c r="L14" s="402" t="s">
        <v>321</v>
      </c>
      <c r="M14" s="519" t="s">
        <v>7881</v>
      </c>
      <c r="N14" s="385" t="s">
        <v>29</v>
      </c>
      <c r="O14" s="386" t="s">
        <v>267</v>
      </c>
      <c r="P14" s="387" t="str">
        <f>Requisitions_Tracker[[#This Row],[ConOps Contact]]</f>
        <v>By ConOps</v>
      </c>
      <c r="Q14" s="385"/>
      <c r="R14" s="388" t="s">
        <v>267</v>
      </c>
      <c r="S14" s="388">
        <v>45058</v>
      </c>
      <c r="T14" s="385" t="s">
        <v>7886</v>
      </c>
      <c r="U14" s="388" t="s">
        <v>267</v>
      </c>
      <c r="V14" s="388">
        <v>45077</v>
      </c>
      <c r="W14" s="385" t="s">
        <v>7871</v>
      </c>
      <c r="X14" s="409"/>
      <c r="Y14" s="410">
        <f>Requisitions_Tracker[[#This Row],[Unit Price]]*Requisitions_Tracker[[#This Row],[Quantity]]</f>
        <v>0</v>
      </c>
    </row>
    <row r="15" spans="1:25" x14ac:dyDescent="0.25">
      <c r="A15" s="415" t="s">
        <v>59</v>
      </c>
      <c r="B15" s="91" t="s">
        <v>265</v>
      </c>
      <c r="C15" s="91" t="s">
        <v>3</v>
      </c>
      <c r="D15" s="383">
        <v>1911012</v>
      </c>
      <c r="E15" s="384">
        <v>11040630</v>
      </c>
      <c r="F15" s="91" t="s">
        <v>232</v>
      </c>
      <c r="G15" s="91" t="s">
        <v>36</v>
      </c>
      <c r="H15" s="385" t="s">
        <v>747</v>
      </c>
      <c r="I15" s="91" t="s">
        <v>267</v>
      </c>
      <c r="J15" s="413" t="s">
        <v>548</v>
      </c>
      <c r="K15" s="403">
        <v>1</v>
      </c>
      <c r="L15" s="414" t="s">
        <v>321</v>
      </c>
      <c r="M15" s="519" t="s">
        <v>7881</v>
      </c>
      <c r="N15" s="385" t="s">
        <v>29</v>
      </c>
      <c r="O15" s="386" t="s">
        <v>267</v>
      </c>
      <c r="P15" s="387" t="str">
        <f>Requisitions_Tracker[[#This Row],[ConOps Contact]]</f>
        <v>By ConOps</v>
      </c>
      <c r="Q15" s="385"/>
      <c r="R15" s="388" t="s">
        <v>267</v>
      </c>
      <c r="S15" s="388">
        <v>45058</v>
      </c>
      <c r="T15" s="385" t="s">
        <v>7886</v>
      </c>
      <c r="U15" s="388" t="s">
        <v>267</v>
      </c>
      <c r="V15" s="388">
        <v>45077</v>
      </c>
      <c r="W15" s="385" t="s">
        <v>7871</v>
      </c>
      <c r="X15" s="406"/>
      <c r="Y15" s="407">
        <f>Requisitions_Tracker[[#This Row],[Unit Price]]*Requisitions_Tracker[[#This Row],[Quantity]]</f>
        <v>0</v>
      </c>
    </row>
    <row r="16" spans="1:25" x14ac:dyDescent="0.25">
      <c r="A16" s="420" t="s">
        <v>59</v>
      </c>
      <c r="B16" s="91" t="s">
        <v>265</v>
      </c>
      <c r="C16" s="91" t="s">
        <v>3</v>
      </c>
      <c r="D16" s="383">
        <v>1911012</v>
      </c>
      <c r="E16" s="384">
        <v>11040630</v>
      </c>
      <c r="F16" s="91" t="s">
        <v>232</v>
      </c>
      <c r="G16" s="91" t="s">
        <v>36</v>
      </c>
      <c r="H16" s="385" t="s">
        <v>747</v>
      </c>
      <c r="I16" s="91" t="s">
        <v>267</v>
      </c>
      <c r="J16" s="411" t="s">
        <v>7888</v>
      </c>
      <c r="K16" s="412">
        <v>1</v>
      </c>
      <c r="L16" s="402" t="s">
        <v>321</v>
      </c>
      <c r="M16" s="519" t="s">
        <v>7881</v>
      </c>
      <c r="N16" s="385" t="s">
        <v>29</v>
      </c>
      <c r="O16" s="386" t="s">
        <v>267</v>
      </c>
      <c r="P16" s="387" t="str">
        <f>Requisitions_Tracker[[#This Row],[ConOps Contact]]</f>
        <v>By ConOps</v>
      </c>
      <c r="Q16" s="385"/>
      <c r="R16" s="388" t="s">
        <v>267</v>
      </c>
      <c r="S16" s="388">
        <v>45058</v>
      </c>
      <c r="T16" s="385" t="s">
        <v>7886</v>
      </c>
      <c r="U16" s="388" t="s">
        <v>267</v>
      </c>
      <c r="V16" s="388">
        <v>45077</v>
      </c>
      <c r="W16" s="385" t="s">
        <v>7871</v>
      </c>
      <c r="X16" s="409"/>
      <c r="Y16" s="410">
        <f>Requisitions_Tracker[[#This Row],[Unit Price]]*Requisitions_Tracker[[#This Row],[Quantity]]</f>
        <v>0</v>
      </c>
    </row>
    <row r="17" spans="1:25" x14ac:dyDescent="0.25">
      <c r="A17" s="415" t="s">
        <v>59</v>
      </c>
      <c r="B17" s="91" t="s">
        <v>265</v>
      </c>
      <c r="C17" s="91" t="s">
        <v>3</v>
      </c>
      <c r="D17" s="383">
        <v>1911012</v>
      </c>
      <c r="E17" s="384">
        <v>11040630</v>
      </c>
      <c r="F17" s="91" t="s">
        <v>232</v>
      </c>
      <c r="G17" s="91" t="s">
        <v>36</v>
      </c>
      <c r="H17" s="385" t="s">
        <v>747</v>
      </c>
      <c r="I17" s="91" t="s">
        <v>267</v>
      </c>
      <c r="J17" s="413" t="s">
        <v>7889</v>
      </c>
      <c r="K17" s="403">
        <v>1</v>
      </c>
      <c r="L17" s="414" t="s">
        <v>321</v>
      </c>
      <c r="M17" s="519" t="s">
        <v>7881</v>
      </c>
      <c r="N17" s="385" t="s">
        <v>29</v>
      </c>
      <c r="O17" s="386" t="s">
        <v>267</v>
      </c>
      <c r="P17" s="387" t="str">
        <f>Requisitions_Tracker[[#This Row],[ConOps Contact]]</f>
        <v>By ConOps</v>
      </c>
      <c r="Q17" s="385"/>
      <c r="R17" s="388" t="s">
        <v>267</v>
      </c>
      <c r="S17" s="388">
        <v>45058</v>
      </c>
      <c r="T17" s="385" t="s">
        <v>7886</v>
      </c>
      <c r="U17" s="388" t="s">
        <v>267</v>
      </c>
      <c r="V17" s="388">
        <v>45077</v>
      </c>
      <c r="W17" s="385" t="s">
        <v>7871</v>
      </c>
      <c r="X17" s="406"/>
      <c r="Y17" s="407">
        <f>Requisitions_Tracker[[#This Row],[Unit Price]]*Requisitions_Tracker[[#This Row],[Quantity]]</f>
        <v>0</v>
      </c>
    </row>
    <row r="18" spans="1:25" x14ac:dyDescent="0.25">
      <c r="A18" s="420" t="s">
        <v>59</v>
      </c>
      <c r="B18" s="91" t="s">
        <v>265</v>
      </c>
      <c r="C18" s="91" t="s">
        <v>3</v>
      </c>
      <c r="D18" s="383">
        <v>1911012</v>
      </c>
      <c r="E18" s="384">
        <v>11040630</v>
      </c>
      <c r="F18" s="91" t="s">
        <v>232</v>
      </c>
      <c r="G18" s="91" t="s">
        <v>36</v>
      </c>
      <c r="H18" s="385" t="s">
        <v>747</v>
      </c>
      <c r="I18" s="91" t="s">
        <v>267</v>
      </c>
      <c r="J18" s="411" t="s">
        <v>7890</v>
      </c>
      <c r="K18" s="412">
        <v>1</v>
      </c>
      <c r="L18" s="402" t="s">
        <v>321</v>
      </c>
      <c r="M18" s="519" t="s">
        <v>7881</v>
      </c>
      <c r="N18" s="385" t="s">
        <v>29</v>
      </c>
      <c r="O18" s="386" t="s">
        <v>267</v>
      </c>
      <c r="P18" s="387" t="str">
        <f>Requisitions_Tracker[[#This Row],[ConOps Contact]]</f>
        <v>By ConOps</v>
      </c>
      <c r="Q18" s="385"/>
      <c r="R18" s="388" t="s">
        <v>267</v>
      </c>
      <c r="S18" s="388">
        <v>45058</v>
      </c>
      <c r="T18" s="385" t="s">
        <v>7886</v>
      </c>
      <c r="U18" s="388" t="s">
        <v>267</v>
      </c>
      <c r="V18" s="388">
        <v>45077</v>
      </c>
      <c r="W18" s="385" t="s">
        <v>7871</v>
      </c>
      <c r="X18" s="409"/>
      <c r="Y18" s="410">
        <f>Requisitions_Tracker[[#This Row],[Unit Price]]*Requisitions_Tracker[[#This Row],[Quantity]]</f>
        <v>0</v>
      </c>
    </row>
    <row r="19" spans="1:25" x14ac:dyDescent="0.25">
      <c r="A19" s="415" t="s">
        <v>59</v>
      </c>
      <c r="B19" s="91" t="s">
        <v>265</v>
      </c>
      <c r="C19" s="91" t="s">
        <v>3</v>
      </c>
      <c r="D19" s="383">
        <v>1911012</v>
      </c>
      <c r="E19" s="384">
        <v>11040630</v>
      </c>
      <c r="F19" s="91" t="s">
        <v>232</v>
      </c>
      <c r="G19" s="91" t="s">
        <v>36</v>
      </c>
      <c r="H19" s="385" t="s">
        <v>747</v>
      </c>
      <c r="I19" s="91" t="s">
        <v>267</v>
      </c>
      <c r="J19" s="413" t="s">
        <v>7891</v>
      </c>
      <c r="K19" s="403">
        <v>1</v>
      </c>
      <c r="L19" s="414" t="s">
        <v>321</v>
      </c>
      <c r="M19" s="519" t="s">
        <v>7881</v>
      </c>
      <c r="N19" s="385" t="s">
        <v>29</v>
      </c>
      <c r="O19" s="386" t="s">
        <v>267</v>
      </c>
      <c r="P19" s="387" t="str">
        <f>Requisitions_Tracker[[#This Row],[ConOps Contact]]</f>
        <v>By ConOps</v>
      </c>
      <c r="Q19" s="385"/>
      <c r="R19" s="388" t="s">
        <v>267</v>
      </c>
      <c r="S19" s="388">
        <v>45058</v>
      </c>
      <c r="T19" s="385" t="s">
        <v>7886</v>
      </c>
      <c r="U19" s="388" t="s">
        <v>267</v>
      </c>
      <c r="V19" s="388">
        <v>45077</v>
      </c>
      <c r="W19" s="385" t="s">
        <v>7871</v>
      </c>
      <c r="X19" s="406"/>
      <c r="Y19" s="407">
        <f>Requisitions_Tracker[[#This Row],[Unit Price]]*Requisitions_Tracker[[#This Row],[Quantity]]</f>
        <v>0</v>
      </c>
    </row>
    <row r="20" spans="1:25" x14ac:dyDescent="0.25">
      <c r="A20" s="420" t="s">
        <v>59</v>
      </c>
      <c r="B20" s="91" t="s">
        <v>265</v>
      </c>
      <c r="C20" s="91" t="s">
        <v>3</v>
      </c>
      <c r="D20" s="383">
        <v>1911012</v>
      </c>
      <c r="E20" s="384">
        <v>11040630</v>
      </c>
      <c r="F20" s="91" t="s">
        <v>232</v>
      </c>
      <c r="G20" s="91" t="s">
        <v>36</v>
      </c>
      <c r="H20" s="385" t="s">
        <v>747</v>
      </c>
      <c r="I20" s="91" t="s">
        <v>267</v>
      </c>
      <c r="J20" s="411" t="s">
        <v>7892</v>
      </c>
      <c r="K20" s="412">
        <v>1</v>
      </c>
      <c r="L20" s="402" t="s">
        <v>321</v>
      </c>
      <c r="M20" s="519" t="s">
        <v>7881</v>
      </c>
      <c r="N20" s="385" t="s">
        <v>29</v>
      </c>
      <c r="O20" s="386" t="s">
        <v>267</v>
      </c>
      <c r="P20" s="387" t="str">
        <f>Requisitions_Tracker[[#This Row],[ConOps Contact]]</f>
        <v>By ConOps</v>
      </c>
      <c r="Q20" s="385"/>
      <c r="R20" s="388" t="s">
        <v>267</v>
      </c>
      <c r="S20" s="388">
        <v>45058</v>
      </c>
      <c r="T20" s="385" t="s">
        <v>7886</v>
      </c>
      <c r="U20" s="388" t="s">
        <v>267</v>
      </c>
      <c r="V20" s="388">
        <v>45077</v>
      </c>
      <c r="W20" s="385" t="s">
        <v>7871</v>
      </c>
      <c r="X20" s="409"/>
      <c r="Y20" s="410">
        <f>Requisitions_Tracker[[#This Row],[Unit Price]]*Requisitions_Tracker[[#This Row],[Quantity]]</f>
        <v>0</v>
      </c>
    </row>
    <row r="21" spans="1:25" x14ac:dyDescent="0.25">
      <c r="A21" s="415" t="s">
        <v>59</v>
      </c>
      <c r="B21" s="91" t="s">
        <v>265</v>
      </c>
      <c r="C21" s="91" t="s">
        <v>3</v>
      </c>
      <c r="D21" s="383">
        <v>1911012</v>
      </c>
      <c r="E21" s="384">
        <v>11040630</v>
      </c>
      <c r="F21" s="91" t="s">
        <v>232</v>
      </c>
      <c r="G21" s="91" t="s">
        <v>36</v>
      </c>
      <c r="H21" s="385" t="s">
        <v>747</v>
      </c>
      <c r="I21" s="91" t="s">
        <v>267</v>
      </c>
      <c r="J21" s="413" t="s">
        <v>614</v>
      </c>
      <c r="K21" s="403">
        <v>4</v>
      </c>
      <c r="L21" s="414" t="s">
        <v>321</v>
      </c>
      <c r="M21" s="519" t="s">
        <v>7881</v>
      </c>
      <c r="N21" s="385" t="s">
        <v>29</v>
      </c>
      <c r="O21" s="386" t="s">
        <v>267</v>
      </c>
      <c r="P21" s="387" t="str">
        <f>Requisitions_Tracker[[#This Row],[ConOps Contact]]</f>
        <v>By ConOps</v>
      </c>
      <c r="Q21" s="385"/>
      <c r="R21" s="388" t="s">
        <v>267</v>
      </c>
      <c r="S21" s="388">
        <v>45058</v>
      </c>
      <c r="T21" s="385" t="s">
        <v>7886</v>
      </c>
      <c r="U21" s="388" t="s">
        <v>267</v>
      </c>
      <c r="V21" s="388">
        <v>45077</v>
      </c>
      <c r="W21" s="385" t="s">
        <v>7871</v>
      </c>
      <c r="X21" s="406"/>
      <c r="Y21" s="407">
        <f>Requisitions_Tracker[[#This Row],[Unit Price]]*Requisitions_Tracker[[#This Row],[Quantity]]</f>
        <v>0</v>
      </c>
    </row>
    <row r="22" spans="1:25" x14ac:dyDescent="0.25">
      <c r="A22" s="420" t="s">
        <v>59</v>
      </c>
      <c r="B22" s="91" t="s">
        <v>265</v>
      </c>
      <c r="C22" s="91" t="s">
        <v>3</v>
      </c>
      <c r="D22" s="383">
        <v>1911012</v>
      </c>
      <c r="E22" s="384">
        <v>11040630</v>
      </c>
      <c r="F22" s="91" t="s">
        <v>232</v>
      </c>
      <c r="G22" s="91" t="s">
        <v>36</v>
      </c>
      <c r="H22" s="385" t="s">
        <v>747</v>
      </c>
      <c r="I22" s="91" t="s">
        <v>267</v>
      </c>
      <c r="J22" s="411" t="s">
        <v>613</v>
      </c>
      <c r="K22" s="412">
        <v>1</v>
      </c>
      <c r="L22" s="402" t="s">
        <v>321</v>
      </c>
      <c r="M22" s="519" t="s">
        <v>7881</v>
      </c>
      <c r="N22" s="385" t="s">
        <v>29</v>
      </c>
      <c r="O22" s="386" t="s">
        <v>267</v>
      </c>
      <c r="P22" s="387" t="str">
        <f>Requisitions_Tracker[[#This Row],[ConOps Contact]]</f>
        <v>By ConOps</v>
      </c>
      <c r="Q22" s="385"/>
      <c r="R22" s="388" t="s">
        <v>267</v>
      </c>
      <c r="S22" s="388">
        <v>45058</v>
      </c>
      <c r="T22" s="385" t="s">
        <v>7886</v>
      </c>
      <c r="U22" s="388" t="s">
        <v>267</v>
      </c>
      <c r="V22" s="388">
        <v>45077</v>
      </c>
      <c r="W22" s="385" t="s">
        <v>7871</v>
      </c>
      <c r="X22" s="409"/>
      <c r="Y22" s="410">
        <f>Requisitions_Tracker[[#This Row],[Unit Price]]*Requisitions_Tracker[[#This Row],[Quantity]]</f>
        <v>0</v>
      </c>
    </row>
    <row r="23" spans="1:25" x14ac:dyDescent="0.25">
      <c r="A23" s="420" t="s">
        <v>59</v>
      </c>
      <c r="B23" s="91" t="s">
        <v>265</v>
      </c>
      <c r="C23" s="91" t="s">
        <v>3</v>
      </c>
      <c r="D23" s="383">
        <v>1911012</v>
      </c>
      <c r="E23" s="384">
        <v>11040630</v>
      </c>
      <c r="F23" s="91" t="s">
        <v>232</v>
      </c>
      <c r="G23" s="91" t="s">
        <v>36</v>
      </c>
      <c r="H23" s="385" t="s">
        <v>747</v>
      </c>
      <c r="I23" s="91" t="s">
        <v>267</v>
      </c>
      <c r="J23" s="413" t="s">
        <v>555</v>
      </c>
      <c r="K23" s="403">
        <v>1</v>
      </c>
      <c r="L23" s="414" t="s">
        <v>321</v>
      </c>
      <c r="M23" s="519" t="s">
        <v>7881</v>
      </c>
      <c r="N23" s="385" t="s">
        <v>29</v>
      </c>
      <c r="O23" s="386" t="s">
        <v>267</v>
      </c>
      <c r="P23" s="387" t="str">
        <f>Requisitions_Tracker[[#This Row],[ConOps Contact]]</f>
        <v>By ConOps</v>
      </c>
      <c r="Q23" s="385"/>
      <c r="R23" s="388" t="s">
        <v>267</v>
      </c>
      <c r="S23" s="388">
        <v>45058</v>
      </c>
      <c r="T23" s="385" t="s">
        <v>7886</v>
      </c>
      <c r="U23" s="388" t="s">
        <v>267</v>
      </c>
      <c r="V23" s="388">
        <v>45077</v>
      </c>
      <c r="W23" s="385" t="s">
        <v>7871</v>
      </c>
      <c r="X23" s="406"/>
      <c r="Y23" s="407">
        <f>Requisitions_Tracker[[#This Row],[Unit Price]]*Requisitions_Tracker[[#This Row],[Quantity]]</f>
        <v>0</v>
      </c>
    </row>
    <row r="24" spans="1:25" x14ac:dyDescent="0.25">
      <c r="A24" s="420" t="s">
        <v>59</v>
      </c>
      <c r="B24" s="91" t="s">
        <v>265</v>
      </c>
      <c r="C24" s="91" t="s">
        <v>3</v>
      </c>
      <c r="D24" s="383">
        <v>1911012</v>
      </c>
      <c r="E24" s="384">
        <v>11040630</v>
      </c>
      <c r="F24" s="91" t="s">
        <v>232</v>
      </c>
      <c r="G24" s="91" t="s">
        <v>36</v>
      </c>
      <c r="H24" s="385" t="s">
        <v>747</v>
      </c>
      <c r="I24" s="91" t="s">
        <v>267</v>
      </c>
      <c r="J24" s="411" t="s">
        <v>556</v>
      </c>
      <c r="K24" s="412">
        <v>1</v>
      </c>
      <c r="L24" s="402" t="s">
        <v>321</v>
      </c>
      <c r="M24" s="519" t="s">
        <v>7881</v>
      </c>
      <c r="N24" s="385" t="s">
        <v>29</v>
      </c>
      <c r="O24" s="386" t="s">
        <v>267</v>
      </c>
      <c r="P24" s="387" t="str">
        <f>Requisitions_Tracker[[#This Row],[ConOps Contact]]</f>
        <v>By ConOps</v>
      </c>
      <c r="Q24" s="385"/>
      <c r="R24" s="388" t="s">
        <v>267</v>
      </c>
      <c r="S24" s="388">
        <v>45058</v>
      </c>
      <c r="T24" s="385" t="s">
        <v>7886</v>
      </c>
      <c r="U24" s="388" t="s">
        <v>267</v>
      </c>
      <c r="V24" s="388">
        <v>45077</v>
      </c>
      <c r="W24" s="385" t="s">
        <v>7871</v>
      </c>
      <c r="X24" s="409"/>
      <c r="Y24" s="410">
        <f>Requisitions_Tracker[[#This Row],[Unit Price]]*Requisitions_Tracker[[#This Row],[Quantity]]</f>
        <v>0</v>
      </c>
    </row>
    <row r="25" spans="1:25" x14ac:dyDescent="0.25">
      <c r="A25" s="382" t="s">
        <v>59</v>
      </c>
      <c r="B25" s="91" t="s">
        <v>268</v>
      </c>
      <c r="C25" s="91" t="s">
        <v>3</v>
      </c>
      <c r="D25" s="383">
        <v>1211822</v>
      </c>
      <c r="E25" s="384">
        <v>11054255</v>
      </c>
      <c r="F25" s="91" t="s">
        <v>111</v>
      </c>
      <c r="G25" s="91" t="s">
        <v>32</v>
      </c>
      <c r="H25" s="385" t="s">
        <v>784</v>
      </c>
      <c r="I25" s="91" t="s">
        <v>247</v>
      </c>
      <c r="J25" s="43" t="s">
        <v>269</v>
      </c>
      <c r="K25" s="383">
        <v>1</v>
      </c>
      <c r="L25" s="91" t="s">
        <v>321</v>
      </c>
      <c r="M25" s="519" t="s">
        <v>7881</v>
      </c>
      <c r="N25" s="385" t="s">
        <v>29</v>
      </c>
      <c r="O25" s="386" t="s">
        <v>167</v>
      </c>
      <c r="P25" s="387" t="str">
        <f>Requisitions_Tracker[[#This Row],[ConOps Contact]]</f>
        <v>Joe Gaca</v>
      </c>
      <c r="Q25" s="387">
        <v>4101</v>
      </c>
      <c r="R25" s="388">
        <v>45014</v>
      </c>
      <c r="S25" s="388">
        <v>45019</v>
      </c>
      <c r="T25" s="385" t="s">
        <v>7893</v>
      </c>
      <c r="U25" s="388">
        <v>45035</v>
      </c>
      <c r="V25" s="388">
        <v>45023</v>
      </c>
      <c r="W25" s="385" t="s">
        <v>7894</v>
      </c>
      <c r="X25" s="389">
        <v>45.3</v>
      </c>
      <c r="Y25" s="390">
        <f>Requisitions_Tracker[[#This Row],[Unit Price]]*Requisitions_Tracker[[#This Row],[Quantity]]</f>
        <v>45.3</v>
      </c>
    </row>
    <row r="26" spans="1:25" ht="30" x14ac:dyDescent="0.25">
      <c r="A26" s="382" t="s">
        <v>7895</v>
      </c>
      <c r="B26" s="91" t="s">
        <v>271</v>
      </c>
      <c r="C26" s="91" t="s">
        <v>3</v>
      </c>
      <c r="D26" s="383">
        <v>1211740</v>
      </c>
      <c r="E26" s="384">
        <v>11050949</v>
      </c>
      <c r="F26" s="91" t="s">
        <v>272</v>
      </c>
      <c r="G26" s="91" t="s">
        <v>32</v>
      </c>
      <c r="H26" s="385" t="s">
        <v>747</v>
      </c>
      <c r="I26" s="48" t="s">
        <v>7896</v>
      </c>
      <c r="J26" s="43" t="s">
        <v>273</v>
      </c>
      <c r="K26" s="383">
        <v>2</v>
      </c>
      <c r="L26" s="91" t="s">
        <v>321</v>
      </c>
      <c r="M26" s="519" t="s">
        <v>7881</v>
      </c>
      <c r="N26" s="387" t="s">
        <v>7897</v>
      </c>
      <c r="O26" s="386"/>
      <c r="P26" s="387" t="str">
        <f>Requisitions_Tracker[[#This Row],[ConOps Contact]]</f>
        <v>Virginia (Gena) Easley</v>
      </c>
      <c r="Q26" s="385"/>
      <c r="R26" s="388"/>
      <c r="S26" s="388"/>
      <c r="T26" s="385"/>
      <c r="U26" s="388"/>
      <c r="V26" s="388"/>
      <c r="W26" s="385"/>
      <c r="X26" s="389"/>
      <c r="Y26" s="390">
        <f>Requisitions_Tracker[[#This Row],[Unit Price]]*Requisitions_Tracker[[#This Row],[Quantity]]</f>
        <v>0</v>
      </c>
    </row>
    <row r="27" spans="1:25" ht="30" x14ac:dyDescent="0.25">
      <c r="A27" s="382" t="s">
        <v>7895</v>
      </c>
      <c r="B27" s="91" t="s">
        <v>271</v>
      </c>
      <c r="C27" s="91" t="s">
        <v>3</v>
      </c>
      <c r="D27" s="383">
        <v>1211740</v>
      </c>
      <c r="E27" s="384">
        <v>11050949</v>
      </c>
      <c r="F27" s="91" t="s">
        <v>272</v>
      </c>
      <c r="G27" s="91" t="s">
        <v>32</v>
      </c>
      <c r="H27" s="385" t="s">
        <v>747</v>
      </c>
      <c r="I27" s="48" t="s">
        <v>7896</v>
      </c>
      <c r="J27" s="43" t="s">
        <v>275</v>
      </c>
      <c r="K27" s="383">
        <v>290</v>
      </c>
      <c r="L27" s="91" t="s">
        <v>63</v>
      </c>
      <c r="M27" s="519" t="s">
        <v>7881</v>
      </c>
      <c r="N27" s="387" t="s">
        <v>7897</v>
      </c>
      <c r="O27" s="386"/>
      <c r="P27" s="387" t="str">
        <f>Requisitions_Tracker[[#This Row],[ConOps Contact]]</f>
        <v>Virginia (Gena) Easley</v>
      </c>
      <c r="Q27" s="385"/>
      <c r="R27" s="388"/>
      <c r="S27" s="388"/>
      <c r="T27" s="385"/>
      <c r="U27" s="388"/>
      <c r="V27" s="388"/>
      <c r="W27" s="385"/>
      <c r="X27" s="389"/>
      <c r="Y27" s="390">
        <f>Requisitions_Tracker[[#This Row],[Unit Price]]*Requisitions_Tracker[[#This Row],[Quantity]]</f>
        <v>0</v>
      </c>
    </row>
    <row r="28" spans="1:25" x14ac:dyDescent="0.25">
      <c r="A28" s="382" t="s">
        <v>529</v>
      </c>
      <c r="B28" s="91" t="s">
        <v>276</v>
      </c>
      <c r="C28" s="91" t="s">
        <v>3</v>
      </c>
      <c r="D28" s="383">
        <v>1511908</v>
      </c>
      <c r="E28" s="384">
        <v>11055691</v>
      </c>
      <c r="F28" s="91" t="s">
        <v>277</v>
      </c>
      <c r="G28" s="91" t="s">
        <v>22</v>
      </c>
      <c r="H28" s="385" t="s">
        <v>784</v>
      </c>
      <c r="I28" s="91" t="s">
        <v>7898</v>
      </c>
      <c r="J28" s="43" t="s">
        <v>278</v>
      </c>
      <c r="K28" s="383">
        <v>200</v>
      </c>
      <c r="L28" s="91"/>
      <c r="M28" s="385" t="s">
        <v>7863</v>
      </c>
      <c r="N28" s="385" t="s">
        <v>29</v>
      </c>
      <c r="O28" s="386"/>
      <c r="P28" s="387" t="str">
        <f>Requisitions_Tracker[[#This Row],[ConOps Contact]]</f>
        <v>Rob Raymond</v>
      </c>
      <c r="Q28" s="385"/>
      <c r="R28" s="388"/>
      <c r="S28" s="388"/>
      <c r="T28" s="385"/>
      <c r="U28" s="388"/>
      <c r="V28" s="388"/>
      <c r="W28" s="385"/>
      <c r="X28" s="389"/>
      <c r="Y28" s="390">
        <f>Requisitions_Tracker[[#This Row],[Unit Price]]*Requisitions_Tracker[[#This Row],[Quantity]]</f>
        <v>0</v>
      </c>
    </row>
    <row r="29" spans="1:25" x14ac:dyDescent="0.25">
      <c r="A29" s="382" t="s">
        <v>529</v>
      </c>
      <c r="B29" s="91" t="s">
        <v>276</v>
      </c>
      <c r="C29" s="91" t="s">
        <v>3</v>
      </c>
      <c r="D29" s="383">
        <v>1511908</v>
      </c>
      <c r="E29" s="384">
        <v>11055691</v>
      </c>
      <c r="F29" s="91" t="s">
        <v>277</v>
      </c>
      <c r="G29" s="91" t="s">
        <v>22</v>
      </c>
      <c r="H29" s="385" t="s">
        <v>784</v>
      </c>
      <c r="I29" s="91" t="s">
        <v>7898</v>
      </c>
      <c r="J29" s="43" t="s">
        <v>278</v>
      </c>
      <c r="K29" s="383">
        <v>200</v>
      </c>
      <c r="L29" s="91"/>
      <c r="M29" s="385" t="s">
        <v>7863</v>
      </c>
      <c r="N29" s="385" t="s">
        <v>29</v>
      </c>
      <c r="O29" s="386"/>
      <c r="P29" s="387" t="str">
        <f>Requisitions_Tracker[[#This Row],[ConOps Contact]]</f>
        <v>Rob Raymond</v>
      </c>
      <c r="Q29" s="385"/>
      <c r="R29" s="388"/>
      <c r="S29" s="388"/>
      <c r="T29" s="385"/>
      <c r="U29" s="388"/>
      <c r="V29" s="388"/>
      <c r="W29" s="385"/>
      <c r="X29" s="389"/>
      <c r="Y29" s="390">
        <f>Requisitions_Tracker[[#This Row],[Unit Price]]*Requisitions_Tracker[[#This Row],[Quantity]]</f>
        <v>0</v>
      </c>
    </row>
    <row r="30" spans="1:25" x14ac:dyDescent="0.25">
      <c r="A30" s="382" t="s">
        <v>529</v>
      </c>
      <c r="B30" s="91" t="s">
        <v>280</v>
      </c>
      <c r="C30" s="91" t="s">
        <v>3</v>
      </c>
      <c r="D30" s="383">
        <v>1611416</v>
      </c>
      <c r="E30" s="384">
        <v>11050940</v>
      </c>
      <c r="F30" s="91" t="s">
        <v>281</v>
      </c>
      <c r="G30" s="91" t="s">
        <v>23</v>
      </c>
      <c r="H30" s="385" t="s">
        <v>784</v>
      </c>
      <c r="I30" s="91"/>
      <c r="J30" s="43" t="s">
        <v>282</v>
      </c>
      <c r="K30" s="383"/>
      <c r="L30" s="91"/>
      <c r="M30" s="385" t="s">
        <v>7863</v>
      </c>
      <c r="N30" s="385" t="s">
        <v>29</v>
      </c>
      <c r="O30" s="386"/>
      <c r="P30" s="387">
        <f>Requisitions_Tracker[[#This Row],[ConOps Contact]]</f>
        <v>0</v>
      </c>
      <c r="Q30" s="385"/>
      <c r="R30" s="388"/>
      <c r="S30" s="388"/>
      <c r="T30" s="385"/>
      <c r="U30" s="388"/>
      <c r="V30" s="388"/>
      <c r="W30" s="385"/>
      <c r="X30" s="389"/>
      <c r="Y30" s="390">
        <f>Requisitions_Tracker[[#This Row],[Unit Price]]*Requisitions_Tracker[[#This Row],[Quantity]]</f>
        <v>0</v>
      </c>
    </row>
    <row r="31" spans="1:25" x14ac:dyDescent="0.25">
      <c r="A31" s="382" t="s">
        <v>529</v>
      </c>
      <c r="B31" s="91" t="s">
        <v>283</v>
      </c>
      <c r="C31" s="91" t="s">
        <v>3</v>
      </c>
      <c r="D31" s="383">
        <v>1412040</v>
      </c>
      <c r="E31" s="384">
        <v>11054346</v>
      </c>
      <c r="F31" s="91" t="s">
        <v>284</v>
      </c>
      <c r="G31" s="91" t="s">
        <v>24</v>
      </c>
      <c r="H31" s="385" t="s">
        <v>747</v>
      </c>
      <c r="I31" s="91" t="s">
        <v>285</v>
      </c>
      <c r="J31" s="43" t="s">
        <v>109</v>
      </c>
      <c r="K31" s="383">
        <v>1080</v>
      </c>
      <c r="L31" s="91" t="s">
        <v>63</v>
      </c>
      <c r="M31" s="385" t="s">
        <v>7863</v>
      </c>
      <c r="N31" s="385" t="s">
        <v>29</v>
      </c>
      <c r="O31" s="386" t="s">
        <v>167</v>
      </c>
      <c r="P31" s="387" t="str">
        <f>Requisitions_Tracker[[#This Row],[ConOps Contact]]</f>
        <v>Scott Eckstein</v>
      </c>
      <c r="Q31" s="385"/>
      <c r="R31" s="388" t="s">
        <v>267</v>
      </c>
      <c r="S31" s="388"/>
      <c r="T31" s="385"/>
      <c r="U31" s="388" t="s">
        <v>267</v>
      </c>
      <c r="V31" s="388"/>
      <c r="W31" s="385"/>
      <c r="X31" s="389"/>
      <c r="Y31" s="390">
        <f>Requisitions_Tracker[[#This Row],[Unit Price]]*Requisitions_Tracker[[#This Row],[Quantity]]</f>
        <v>0</v>
      </c>
    </row>
    <row r="32" spans="1:25" x14ac:dyDescent="0.25">
      <c r="A32" s="382" t="s">
        <v>529</v>
      </c>
      <c r="B32" s="91" t="s">
        <v>286</v>
      </c>
      <c r="C32" s="91" t="s">
        <v>3</v>
      </c>
      <c r="D32" s="383">
        <v>1511907</v>
      </c>
      <c r="E32" s="384">
        <v>11050932</v>
      </c>
      <c r="F32" s="91" t="s">
        <v>277</v>
      </c>
      <c r="G32" s="91" t="s">
        <v>22</v>
      </c>
      <c r="H32" s="385" t="s">
        <v>784</v>
      </c>
      <c r="I32" s="91"/>
      <c r="J32" s="43" t="s">
        <v>287</v>
      </c>
      <c r="K32" s="383">
        <v>2480</v>
      </c>
      <c r="L32" s="91" t="s">
        <v>63</v>
      </c>
      <c r="M32" s="385" t="s">
        <v>7863</v>
      </c>
      <c r="N32" s="385" t="s">
        <v>29</v>
      </c>
      <c r="O32" s="386"/>
      <c r="P32" s="387">
        <f>Requisitions_Tracker[[#This Row],[ConOps Contact]]</f>
        <v>0</v>
      </c>
      <c r="Q32" s="385"/>
      <c r="R32" s="388"/>
      <c r="S32" s="388"/>
      <c r="T32" s="385"/>
      <c r="U32" s="388"/>
      <c r="V32" s="388"/>
      <c r="W32" s="385"/>
      <c r="X32" s="389"/>
      <c r="Y32" s="390">
        <f>Requisitions_Tracker[[#This Row],[Unit Price]]*Requisitions_Tracker[[#This Row],[Quantity]]</f>
        <v>0</v>
      </c>
    </row>
    <row r="33" spans="1:25" x14ac:dyDescent="0.25">
      <c r="A33" s="382" t="s">
        <v>529</v>
      </c>
      <c r="B33" s="91" t="s">
        <v>288</v>
      </c>
      <c r="C33" s="91" t="s">
        <v>3</v>
      </c>
      <c r="D33" s="383">
        <v>1511908</v>
      </c>
      <c r="E33" s="384">
        <v>11055691</v>
      </c>
      <c r="F33" s="91" t="s">
        <v>277</v>
      </c>
      <c r="G33" s="91" t="s">
        <v>22</v>
      </c>
      <c r="H33" s="385" t="s">
        <v>784</v>
      </c>
      <c r="I33" s="91"/>
      <c r="J33" s="43" t="s">
        <v>289</v>
      </c>
      <c r="K33" s="383">
        <v>1</v>
      </c>
      <c r="L33" s="91" t="s">
        <v>321</v>
      </c>
      <c r="M33" s="385" t="s">
        <v>7863</v>
      </c>
      <c r="N33" s="385" t="s">
        <v>29</v>
      </c>
      <c r="O33" s="386"/>
      <c r="P33" s="387">
        <f>Requisitions_Tracker[[#This Row],[ConOps Contact]]</f>
        <v>0</v>
      </c>
      <c r="Q33" s="385"/>
      <c r="R33" s="388"/>
      <c r="S33" s="388"/>
      <c r="T33" s="385"/>
      <c r="U33" s="388"/>
      <c r="V33" s="388"/>
      <c r="W33" s="385"/>
      <c r="X33" s="389"/>
      <c r="Y33" s="390">
        <f>Requisitions_Tracker[[#This Row],[Unit Price]]*Requisitions_Tracker[[#This Row],[Quantity]]</f>
        <v>0</v>
      </c>
    </row>
    <row r="34" spans="1:25" x14ac:dyDescent="0.25">
      <c r="A34" s="382" t="s">
        <v>529</v>
      </c>
      <c r="B34" s="91" t="s">
        <v>288</v>
      </c>
      <c r="C34" s="91" t="s">
        <v>3</v>
      </c>
      <c r="D34" s="383">
        <v>1511908</v>
      </c>
      <c r="E34" s="384">
        <v>11055691</v>
      </c>
      <c r="F34" s="91" t="s">
        <v>277</v>
      </c>
      <c r="G34" s="91" t="s">
        <v>22</v>
      </c>
      <c r="H34" s="385" t="s">
        <v>784</v>
      </c>
      <c r="I34" s="91"/>
      <c r="J34" s="43" t="s">
        <v>291</v>
      </c>
      <c r="K34" s="383">
        <v>1</v>
      </c>
      <c r="L34" s="91" t="s">
        <v>321</v>
      </c>
      <c r="M34" s="385" t="s">
        <v>7863</v>
      </c>
      <c r="N34" s="385" t="s">
        <v>29</v>
      </c>
      <c r="O34" s="386"/>
      <c r="P34" s="387">
        <f>Requisitions_Tracker[[#This Row],[ConOps Contact]]</f>
        <v>0</v>
      </c>
      <c r="Q34" s="385"/>
      <c r="R34" s="388"/>
      <c r="S34" s="388"/>
      <c r="T34" s="385"/>
      <c r="U34" s="388"/>
      <c r="V34" s="388"/>
      <c r="W34" s="385"/>
      <c r="X34" s="389"/>
      <c r="Y34" s="390">
        <f>Requisitions_Tracker[[#This Row],[Unit Price]]*Requisitions_Tracker[[#This Row],[Quantity]]</f>
        <v>0</v>
      </c>
    </row>
    <row r="35" spans="1:25" x14ac:dyDescent="0.25">
      <c r="A35" s="382" t="s">
        <v>529</v>
      </c>
      <c r="B35" s="91" t="s">
        <v>288</v>
      </c>
      <c r="C35" s="91" t="s">
        <v>3</v>
      </c>
      <c r="D35" s="383">
        <v>1511908</v>
      </c>
      <c r="E35" s="384">
        <v>11055691</v>
      </c>
      <c r="F35" s="91" t="s">
        <v>277</v>
      </c>
      <c r="G35" s="91" t="s">
        <v>22</v>
      </c>
      <c r="H35" s="385" t="s">
        <v>784</v>
      </c>
      <c r="I35" s="91"/>
      <c r="J35" s="43" t="s">
        <v>293</v>
      </c>
      <c r="K35" s="383">
        <v>1</v>
      </c>
      <c r="L35" s="91" t="s">
        <v>321</v>
      </c>
      <c r="M35" s="385" t="s">
        <v>7863</v>
      </c>
      <c r="N35" s="385" t="s">
        <v>29</v>
      </c>
      <c r="O35" s="386"/>
      <c r="P35" s="387">
        <f>Requisitions_Tracker[[#This Row],[ConOps Contact]]</f>
        <v>0</v>
      </c>
      <c r="Q35" s="385"/>
      <c r="R35" s="388"/>
      <c r="S35" s="388"/>
      <c r="T35" s="385"/>
      <c r="U35" s="388"/>
      <c r="V35" s="388"/>
      <c r="W35" s="385"/>
      <c r="X35" s="389"/>
      <c r="Y35" s="390">
        <f>Requisitions_Tracker[[#This Row],[Unit Price]]*Requisitions_Tracker[[#This Row],[Quantity]]</f>
        <v>0</v>
      </c>
    </row>
    <row r="36" spans="1:25" ht="45" x14ac:dyDescent="0.25">
      <c r="A36" s="382" t="s">
        <v>529</v>
      </c>
      <c r="B36" s="91" t="s">
        <v>294</v>
      </c>
      <c r="C36" s="91" t="s">
        <v>2</v>
      </c>
      <c r="D36" s="383">
        <v>1011072</v>
      </c>
      <c r="E36" s="384">
        <v>11042140</v>
      </c>
      <c r="F36" s="91" t="s">
        <v>295</v>
      </c>
      <c r="G36" s="91" t="s">
        <v>24</v>
      </c>
      <c r="H36" s="385" t="s">
        <v>752</v>
      </c>
      <c r="I36" s="91" t="s">
        <v>307</v>
      </c>
      <c r="J36" s="43" t="s">
        <v>296</v>
      </c>
      <c r="K36" s="383">
        <v>1</v>
      </c>
      <c r="L36" s="91" t="s">
        <v>321</v>
      </c>
      <c r="M36" s="519" t="s">
        <v>7881</v>
      </c>
      <c r="N36" s="385" t="s">
        <v>29</v>
      </c>
      <c r="O36" s="386" t="s">
        <v>329</v>
      </c>
      <c r="P36" s="387" t="s">
        <v>7899</v>
      </c>
      <c r="Q36" s="385">
        <v>4879</v>
      </c>
      <c r="R36" s="388">
        <v>45020</v>
      </c>
      <c r="S36" s="388">
        <v>45041</v>
      </c>
      <c r="T36" s="385"/>
      <c r="U36" s="388"/>
      <c r="V36" s="388"/>
      <c r="W36" s="385"/>
      <c r="X36" s="389"/>
      <c r="Y36" s="390">
        <f>Requisitions_Tracker[[#This Row],[Unit Price]]*Requisitions_Tracker[[#This Row],[Quantity]]</f>
        <v>0</v>
      </c>
    </row>
    <row r="37" spans="1:25" ht="45" x14ac:dyDescent="0.25">
      <c r="A37" s="382" t="s">
        <v>529</v>
      </c>
      <c r="B37" s="91" t="s">
        <v>294</v>
      </c>
      <c r="C37" s="91" t="s">
        <v>2</v>
      </c>
      <c r="D37" s="383">
        <v>1011072</v>
      </c>
      <c r="E37" s="384">
        <v>11042140</v>
      </c>
      <c r="F37" s="91" t="s">
        <v>295</v>
      </c>
      <c r="G37" s="91" t="s">
        <v>24</v>
      </c>
      <c r="H37" s="385" t="s">
        <v>752</v>
      </c>
      <c r="I37" s="91" t="s">
        <v>307</v>
      </c>
      <c r="J37" s="43" t="s">
        <v>298</v>
      </c>
      <c r="K37" s="383">
        <v>1</v>
      </c>
      <c r="L37" s="91" t="s">
        <v>321</v>
      </c>
      <c r="M37" s="519" t="s">
        <v>7881</v>
      </c>
      <c r="N37" s="385" t="s">
        <v>29</v>
      </c>
      <c r="O37" s="386" t="s">
        <v>329</v>
      </c>
      <c r="P37" s="387" t="s">
        <v>7900</v>
      </c>
      <c r="Q37" s="385">
        <v>4880</v>
      </c>
      <c r="R37" s="388">
        <v>45020</v>
      </c>
      <c r="S37" s="388">
        <v>45041</v>
      </c>
      <c r="T37" s="385"/>
      <c r="U37" s="388"/>
      <c r="V37" s="388"/>
      <c r="W37" s="385"/>
      <c r="X37" s="389"/>
      <c r="Y37" s="390">
        <f>Requisitions_Tracker[[#This Row],[Unit Price]]*Requisitions_Tracker[[#This Row],[Quantity]]</f>
        <v>0</v>
      </c>
    </row>
    <row r="38" spans="1:25" ht="45" x14ac:dyDescent="0.25">
      <c r="A38" s="382" t="s">
        <v>529</v>
      </c>
      <c r="B38" s="91" t="s">
        <v>299</v>
      </c>
      <c r="C38" s="91" t="s">
        <v>2</v>
      </c>
      <c r="D38" s="383">
        <v>1011722</v>
      </c>
      <c r="E38" s="384">
        <v>11050919</v>
      </c>
      <c r="F38" s="91" t="s">
        <v>300</v>
      </c>
      <c r="G38" s="91" t="s">
        <v>24</v>
      </c>
      <c r="H38" s="385" t="s">
        <v>784</v>
      </c>
      <c r="I38" s="91" t="s">
        <v>307</v>
      </c>
      <c r="J38" s="43" t="s">
        <v>301</v>
      </c>
      <c r="K38" s="383">
        <v>1</v>
      </c>
      <c r="L38" s="91" t="s">
        <v>321</v>
      </c>
      <c r="M38" s="519" t="s">
        <v>7881</v>
      </c>
      <c r="N38" s="385" t="s">
        <v>29</v>
      </c>
      <c r="O38" s="386" t="s">
        <v>329</v>
      </c>
      <c r="P38" s="387" t="s">
        <v>247</v>
      </c>
      <c r="Q38" s="385">
        <v>5008</v>
      </c>
      <c r="R38" s="388">
        <v>45029</v>
      </c>
      <c r="S38" s="388">
        <v>45061</v>
      </c>
      <c r="T38" s="385"/>
      <c r="U38" s="388"/>
      <c r="V38" s="388"/>
      <c r="W38" s="385"/>
      <c r="X38" s="389"/>
      <c r="Y38" s="390">
        <f>Requisitions_Tracker[[#This Row],[Unit Price]]*Requisitions_Tracker[[#This Row],[Quantity]]</f>
        <v>0</v>
      </c>
    </row>
    <row r="39" spans="1:25" ht="45" x14ac:dyDescent="0.25">
      <c r="A39" s="382" t="s">
        <v>529</v>
      </c>
      <c r="B39" s="91" t="s">
        <v>299</v>
      </c>
      <c r="C39" s="91" t="s">
        <v>2</v>
      </c>
      <c r="D39" s="383">
        <v>1011722</v>
      </c>
      <c r="E39" s="384">
        <v>11050919</v>
      </c>
      <c r="F39" s="91" t="s">
        <v>300</v>
      </c>
      <c r="G39" s="91" t="s">
        <v>24</v>
      </c>
      <c r="H39" s="385" t="s">
        <v>784</v>
      </c>
      <c r="I39" s="91" t="s">
        <v>307</v>
      </c>
      <c r="J39" s="43" t="s">
        <v>303</v>
      </c>
      <c r="K39" s="383">
        <v>1</v>
      </c>
      <c r="L39" s="91" t="s">
        <v>321</v>
      </c>
      <c r="M39" s="519" t="s">
        <v>7881</v>
      </c>
      <c r="N39" s="385" t="s">
        <v>29</v>
      </c>
      <c r="O39" s="386" t="s">
        <v>329</v>
      </c>
      <c r="P39" s="387" t="s">
        <v>247</v>
      </c>
      <c r="Q39" s="385">
        <v>5008</v>
      </c>
      <c r="R39" s="388">
        <v>45029</v>
      </c>
      <c r="S39" s="388">
        <v>45061</v>
      </c>
      <c r="T39" s="385"/>
      <c r="U39" s="388"/>
      <c r="V39" s="388"/>
      <c r="W39" s="385"/>
      <c r="X39" s="389"/>
      <c r="Y39" s="390">
        <f>Requisitions_Tracker[[#This Row],[Unit Price]]*Requisitions_Tracker[[#This Row],[Quantity]]</f>
        <v>0</v>
      </c>
    </row>
    <row r="40" spans="1:25" x14ac:dyDescent="0.25">
      <c r="A40" s="382" t="s">
        <v>529</v>
      </c>
      <c r="B40" s="91" t="s">
        <v>304</v>
      </c>
      <c r="C40" s="91" t="s">
        <v>2</v>
      </c>
      <c r="D40" s="383">
        <v>1011558</v>
      </c>
      <c r="E40" s="384">
        <v>11042622</v>
      </c>
      <c r="F40" s="91" t="s">
        <v>305</v>
      </c>
      <c r="G40" s="91" t="s">
        <v>24</v>
      </c>
      <c r="H40" s="385" t="s">
        <v>752</v>
      </c>
      <c r="I40" s="91" t="s">
        <v>307</v>
      </c>
      <c r="J40" s="43" t="s">
        <v>306</v>
      </c>
      <c r="K40" s="383">
        <v>126</v>
      </c>
      <c r="L40" s="91" t="s">
        <v>63</v>
      </c>
      <c r="M40" s="519" t="s">
        <v>7881</v>
      </c>
      <c r="N40" s="385" t="s">
        <v>29</v>
      </c>
      <c r="O40" s="386" t="s">
        <v>167</v>
      </c>
      <c r="P40" s="387" t="str">
        <f>Requisitions_Tracker[[#This Row],[ConOps Contact]]</f>
        <v>Jared Greninger</v>
      </c>
      <c r="Q40" s="385">
        <v>4052</v>
      </c>
      <c r="R40" s="388">
        <v>44981</v>
      </c>
      <c r="S40" s="388">
        <v>45016</v>
      </c>
      <c r="T40" s="385" t="s">
        <v>7901</v>
      </c>
      <c r="U40" s="388">
        <v>45007</v>
      </c>
      <c r="V40" s="388">
        <v>45023</v>
      </c>
      <c r="W40" s="385" t="s">
        <v>7865</v>
      </c>
      <c r="X40" s="389">
        <v>16.2</v>
      </c>
      <c r="Y40" s="390">
        <f>Requisitions_Tracker[[#This Row],[Unit Price]]*Requisitions_Tracker[[#This Row],[Quantity]]</f>
        <v>2041.1999999999998</v>
      </c>
    </row>
    <row r="41" spans="1:25" ht="45" x14ac:dyDescent="0.25">
      <c r="A41" s="382" t="s">
        <v>7902</v>
      </c>
      <c r="B41" s="91" t="s">
        <v>308</v>
      </c>
      <c r="C41" s="91" t="s">
        <v>2</v>
      </c>
      <c r="D41" s="383">
        <v>1011090</v>
      </c>
      <c r="E41" s="384">
        <v>11042074</v>
      </c>
      <c r="F41" s="91" t="s">
        <v>309</v>
      </c>
      <c r="G41" s="91" t="s">
        <v>24</v>
      </c>
      <c r="H41" s="385" t="s">
        <v>752</v>
      </c>
      <c r="I41" s="91" t="s">
        <v>7903</v>
      </c>
      <c r="J41" s="43" t="s">
        <v>296</v>
      </c>
      <c r="K41" s="383">
        <v>1</v>
      </c>
      <c r="L41" s="91" t="s">
        <v>321</v>
      </c>
      <c r="M41" s="519" t="s">
        <v>7881</v>
      </c>
      <c r="N41" s="385" t="s">
        <v>29</v>
      </c>
      <c r="O41" s="386" t="s">
        <v>329</v>
      </c>
      <c r="P41" s="387" t="s">
        <v>7899</v>
      </c>
      <c r="Q41" s="385">
        <v>4879</v>
      </c>
      <c r="R41" s="388">
        <v>45020</v>
      </c>
      <c r="S41" s="388">
        <v>45041</v>
      </c>
      <c r="T41" s="385"/>
      <c r="U41" s="388"/>
      <c r="V41" s="388"/>
      <c r="W41" s="385"/>
      <c r="X41" s="389"/>
      <c r="Y41" s="390">
        <f>Requisitions_Tracker[[#This Row],[Unit Price]]*Requisitions_Tracker[[#This Row],[Quantity]]</f>
        <v>0</v>
      </c>
    </row>
    <row r="42" spans="1:25" ht="45" x14ac:dyDescent="0.25">
      <c r="A42" s="382" t="s">
        <v>7902</v>
      </c>
      <c r="B42" s="91" t="s">
        <v>308</v>
      </c>
      <c r="C42" s="91" t="s">
        <v>2</v>
      </c>
      <c r="D42" s="383">
        <v>1011090</v>
      </c>
      <c r="E42" s="384">
        <v>11042074</v>
      </c>
      <c r="F42" s="91" t="s">
        <v>309</v>
      </c>
      <c r="G42" s="91" t="s">
        <v>24</v>
      </c>
      <c r="H42" s="385" t="s">
        <v>752</v>
      </c>
      <c r="I42" s="91" t="s">
        <v>7903</v>
      </c>
      <c r="J42" s="43" t="s">
        <v>298</v>
      </c>
      <c r="K42" s="383">
        <v>1</v>
      </c>
      <c r="L42" s="91" t="s">
        <v>321</v>
      </c>
      <c r="M42" s="519" t="s">
        <v>7881</v>
      </c>
      <c r="N42" s="385" t="s">
        <v>29</v>
      </c>
      <c r="O42" s="386" t="s">
        <v>329</v>
      </c>
      <c r="P42" s="387" t="s">
        <v>7900</v>
      </c>
      <c r="Q42" s="385">
        <v>4880</v>
      </c>
      <c r="R42" s="388">
        <v>45020</v>
      </c>
      <c r="S42" s="388">
        <v>45041</v>
      </c>
      <c r="T42" s="385"/>
      <c r="U42" s="388"/>
      <c r="V42" s="388"/>
      <c r="W42" s="385"/>
      <c r="X42" s="389"/>
      <c r="Y42" s="390">
        <f>Requisitions_Tracker[[#This Row],[Unit Price]]*Requisitions_Tracker[[#This Row],[Quantity]]</f>
        <v>0</v>
      </c>
    </row>
    <row r="43" spans="1:25" ht="45" x14ac:dyDescent="0.25">
      <c r="A43" s="382" t="s">
        <v>7902</v>
      </c>
      <c r="B43" s="91" t="s">
        <v>311</v>
      </c>
      <c r="C43" s="91" t="s">
        <v>2</v>
      </c>
      <c r="D43" s="383">
        <v>1011993</v>
      </c>
      <c r="E43" s="384">
        <v>11050931</v>
      </c>
      <c r="F43" s="91" t="s">
        <v>312</v>
      </c>
      <c r="G43" s="91" t="s">
        <v>24</v>
      </c>
      <c r="H43" s="385" t="s">
        <v>747</v>
      </c>
      <c r="I43" s="91" t="s">
        <v>247</v>
      </c>
      <c r="J43" s="43" t="s">
        <v>313</v>
      </c>
      <c r="K43" s="383">
        <v>1</v>
      </c>
      <c r="L43" s="91" t="s">
        <v>321</v>
      </c>
      <c r="M43" s="519" t="s">
        <v>7881</v>
      </c>
      <c r="N43" s="385" t="s">
        <v>29</v>
      </c>
      <c r="O43" s="386" t="s">
        <v>329</v>
      </c>
      <c r="P43" s="387" t="s">
        <v>247</v>
      </c>
      <c r="Q43" s="385">
        <v>5009</v>
      </c>
      <c r="R43" s="388">
        <v>45029</v>
      </c>
      <c r="S43" s="388">
        <v>45061</v>
      </c>
      <c r="T43" s="385"/>
      <c r="U43" s="388"/>
      <c r="V43" s="388"/>
      <c r="W43" s="385"/>
      <c r="X43" s="389"/>
      <c r="Y43" s="390">
        <f>Requisitions_Tracker[[#This Row],[Unit Price]]*Requisitions_Tracker[[#This Row],[Quantity]]</f>
        <v>0</v>
      </c>
    </row>
    <row r="44" spans="1:25" ht="45" x14ac:dyDescent="0.25">
      <c r="A44" s="382" t="s">
        <v>7902</v>
      </c>
      <c r="B44" s="91" t="s">
        <v>311</v>
      </c>
      <c r="C44" s="91" t="s">
        <v>2</v>
      </c>
      <c r="D44" s="383">
        <v>1011993</v>
      </c>
      <c r="E44" s="384">
        <v>11050931</v>
      </c>
      <c r="F44" s="91" t="s">
        <v>312</v>
      </c>
      <c r="G44" s="91" t="s">
        <v>24</v>
      </c>
      <c r="H44" s="385" t="s">
        <v>747</v>
      </c>
      <c r="I44" s="91" t="s">
        <v>247</v>
      </c>
      <c r="J44" s="43" t="s">
        <v>315</v>
      </c>
      <c r="K44" s="383">
        <v>1</v>
      </c>
      <c r="L44" s="91" t="s">
        <v>321</v>
      </c>
      <c r="M44" s="519" t="s">
        <v>7881</v>
      </c>
      <c r="N44" s="385" t="s">
        <v>29</v>
      </c>
      <c r="O44" s="386" t="s">
        <v>329</v>
      </c>
      <c r="P44" s="387" t="str">
        <f>Requisitions_Tracker[[#This Row],[ConOps Contact]]</f>
        <v>Joe Gaca</v>
      </c>
      <c r="Q44" s="385">
        <v>5009</v>
      </c>
      <c r="R44" s="388">
        <v>45029</v>
      </c>
      <c r="S44" s="388">
        <v>45061</v>
      </c>
      <c r="T44" s="385"/>
      <c r="U44" s="388"/>
      <c r="V44" s="388"/>
      <c r="W44" s="385"/>
      <c r="X44" s="389"/>
      <c r="Y44" s="390">
        <f>Requisitions_Tracker[[#This Row],[Unit Price]]*Requisitions_Tracker[[#This Row],[Quantity]]</f>
        <v>0</v>
      </c>
    </row>
    <row r="45" spans="1:25" ht="45" x14ac:dyDescent="0.25">
      <c r="A45" s="382" t="s">
        <v>7902</v>
      </c>
      <c r="B45" s="91" t="s">
        <v>311</v>
      </c>
      <c r="C45" s="91" t="s">
        <v>2</v>
      </c>
      <c r="D45" s="383">
        <v>1011993</v>
      </c>
      <c r="E45" s="384">
        <v>11050931</v>
      </c>
      <c r="F45" s="91" t="s">
        <v>312</v>
      </c>
      <c r="G45" s="91" t="s">
        <v>24</v>
      </c>
      <c r="H45" s="385" t="s">
        <v>747</v>
      </c>
      <c r="I45" s="91" t="s">
        <v>247</v>
      </c>
      <c r="J45" s="43" t="s">
        <v>317</v>
      </c>
      <c r="K45" s="383">
        <v>1</v>
      </c>
      <c r="L45" s="91" t="s">
        <v>321</v>
      </c>
      <c r="M45" s="519" t="s">
        <v>7881</v>
      </c>
      <c r="N45" s="385" t="s">
        <v>29</v>
      </c>
      <c r="O45" s="386" t="s">
        <v>329</v>
      </c>
      <c r="P45" s="387" t="str">
        <f>Requisitions_Tracker[[#This Row],[ConOps Contact]]</f>
        <v>Joe Gaca</v>
      </c>
      <c r="Q45" s="385">
        <v>5009</v>
      </c>
      <c r="R45" s="388">
        <v>45029</v>
      </c>
      <c r="S45" s="388">
        <v>45061</v>
      </c>
      <c r="T45" s="385"/>
      <c r="U45" s="388"/>
      <c r="V45" s="388"/>
      <c r="W45" s="385"/>
      <c r="X45" s="389"/>
      <c r="Y45" s="390">
        <f>Requisitions_Tracker[[#This Row],[Unit Price]]*Requisitions_Tracker[[#This Row],[Quantity]]</f>
        <v>0</v>
      </c>
    </row>
    <row r="46" spans="1:25" ht="45" x14ac:dyDescent="0.25">
      <c r="A46" s="382" t="s">
        <v>7902</v>
      </c>
      <c r="B46" s="91" t="s">
        <v>311</v>
      </c>
      <c r="C46" s="91" t="s">
        <v>2</v>
      </c>
      <c r="D46" s="383">
        <v>1011993</v>
      </c>
      <c r="E46" s="384">
        <v>11050931</v>
      </c>
      <c r="F46" s="91" t="s">
        <v>312</v>
      </c>
      <c r="G46" s="91" t="s">
        <v>24</v>
      </c>
      <c r="H46" s="385" t="s">
        <v>747</v>
      </c>
      <c r="I46" s="91" t="s">
        <v>247</v>
      </c>
      <c r="J46" s="43" t="s">
        <v>319</v>
      </c>
      <c r="K46" s="383">
        <v>2</v>
      </c>
      <c r="L46" s="91" t="s">
        <v>321</v>
      </c>
      <c r="M46" s="519" t="s">
        <v>7881</v>
      </c>
      <c r="N46" s="385" t="s">
        <v>29</v>
      </c>
      <c r="O46" s="386" t="s">
        <v>329</v>
      </c>
      <c r="P46" s="387" t="str">
        <f>Requisitions_Tracker[[#This Row],[ConOps Contact]]</f>
        <v>Joe Gaca</v>
      </c>
      <c r="Q46" s="385">
        <v>5009</v>
      </c>
      <c r="R46" s="388">
        <v>45029</v>
      </c>
      <c r="S46" s="388">
        <v>45061</v>
      </c>
      <c r="T46" s="385"/>
      <c r="U46" s="388"/>
      <c r="V46" s="388"/>
      <c r="W46" s="385"/>
      <c r="X46" s="389"/>
      <c r="Y46" s="390">
        <f>Requisitions_Tracker[[#This Row],[Unit Price]]*Requisitions_Tracker[[#This Row],[Quantity]]</f>
        <v>0</v>
      </c>
    </row>
    <row r="47" spans="1:25" ht="30" x14ac:dyDescent="0.25">
      <c r="A47" s="382" t="s">
        <v>7902</v>
      </c>
      <c r="B47" s="91" t="s">
        <v>320</v>
      </c>
      <c r="C47" s="91" t="s">
        <v>4</v>
      </c>
      <c r="D47" s="383">
        <v>129256</v>
      </c>
      <c r="E47" s="384">
        <v>11031424</v>
      </c>
      <c r="F47" s="91" t="s">
        <v>104</v>
      </c>
      <c r="G47" s="91" t="s">
        <v>39</v>
      </c>
      <c r="H47" s="385" t="s">
        <v>738</v>
      </c>
      <c r="I47" s="91" t="s">
        <v>325</v>
      </c>
      <c r="J47" s="92" t="s">
        <v>322</v>
      </c>
      <c r="K47" s="383">
        <v>3</v>
      </c>
      <c r="L47" s="91" t="s">
        <v>321</v>
      </c>
      <c r="M47" s="519" t="s">
        <v>7881</v>
      </c>
      <c r="N47" s="385" t="s">
        <v>29</v>
      </c>
      <c r="O47" s="386" t="s">
        <v>324</v>
      </c>
      <c r="P47" s="387" t="str">
        <f>Requisitions_Tracker[[#This Row],[ConOps Contact]]</f>
        <v>Antonio Rios</v>
      </c>
      <c r="Q47" s="385">
        <v>4283</v>
      </c>
      <c r="R47" s="388">
        <v>45100</v>
      </c>
      <c r="S47" s="388">
        <v>45128</v>
      </c>
      <c r="T47" s="385"/>
      <c r="U47" s="388"/>
      <c r="V47" s="388"/>
      <c r="W47" s="385"/>
      <c r="X47" s="389"/>
      <c r="Y47" s="390">
        <f>Requisitions_Tracker[[#This Row],[Unit Price]]*Requisitions_Tracker[[#This Row],[Quantity]]</f>
        <v>0</v>
      </c>
    </row>
    <row r="48" spans="1:25" ht="45" x14ac:dyDescent="0.25">
      <c r="A48" s="382" t="s">
        <v>529</v>
      </c>
      <c r="B48" s="91" t="s">
        <v>326</v>
      </c>
      <c r="C48" s="91" t="s">
        <v>2</v>
      </c>
      <c r="D48" s="383">
        <v>1011710</v>
      </c>
      <c r="E48" s="384"/>
      <c r="F48" s="91" t="s">
        <v>327</v>
      </c>
      <c r="G48" s="91" t="s">
        <v>32</v>
      </c>
      <c r="H48" s="385" t="s">
        <v>752</v>
      </c>
      <c r="I48" s="91" t="s">
        <v>307</v>
      </c>
      <c r="J48" s="92" t="s">
        <v>328</v>
      </c>
      <c r="K48" s="383">
        <v>1</v>
      </c>
      <c r="L48" s="91" t="s">
        <v>321</v>
      </c>
      <c r="M48" s="519" t="s">
        <v>7881</v>
      </c>
      <c r="N48" s="385" t="s">
        <v>29</v>
      </c>
      <c r="O48" s="386" t="s">
        <v>329</v>
      </c>
      <c r="P48" s="387" t="str">
        <f>Requisitions_Tracker[[#This Row],[ConOps Contact]]</f>
        <v>Jared Greninger</v>
      </c>
      <c r="Q48" s="385">
        <v>4962</v>
      </c>
      <c r="R48" s="388">
        <v>45026</v>
      </c>
      <c r="S48" s="388">
        <v>45078</v>
      </c>
      <c r="T48" s="385"/>
      <c r="U48" s="388"/>
      <c r="V48" s="388"/>
      <c r="W48" s="385"/>
      <c r="X48" s="389"/>
      <c r="Y48" s="390">
        <f>Requisitions_Tracker[[#This Row],[Unit Price]]*Requisitions_Tracker[[#This Row],[Quantity]]</f>
        <v>0</v>
      </c>
    </row>
    <row r="49" spans="1:25" ht="45" x14ac:dyDescent="0.25">
      <c r="A49" s="382" t="s">
        <v>529</v>
      </c>
      <c r="B49" s="91" t="s">
        <v>326</v>
      </c>
      <c r="C49" s="91" t="s">
        <v>2</v>
      </c>
      <c r="D49" s="383">
        <v>1011710</v>
      </c>
      <c r="E49" s="384"/>
      <c r="F49" s="91" t="s">
        <v>327</v>
      </c>
      <c r="G49" s="91" t="s">
        <v>32</v>
      </c>
      <c r="H49" s="385" t="s">
        <v>752</v>
      </c>
      <c r="I49" s="91" t="s">
        <v>307</v>
      </c>
      <c r="J49" s="92" t="s">
        <v>330</v>
      </c>
      <c r="K49" s="383">
        <v>1</v>
      </c>
      <c r="L49" s="91" t="s">
        <v>321</v>
      </c>
      <c r="M49" s="519" t="s">
        <v>7881</v>
      </c>
      <c r="N49" s="385" t="s">
        <v>29</v>
      </c>
      <c r="O49" s="386" t="s">
        <v>329</v>
      </c>
      <c r="P49" s="387" t="str">
        <f>Requisitions_Tracker[[#This Row],[ConOps Contact]]</f>
        <v>Jared Greninger</v>
      </c>
      <c r="Q49" s="385">
        <v>4962</v>
      </c>
      <c r="R49" s="388">
        <v>45026</v>
      </c>
      <c r="S49" s="388">
        <v>45078</v>
      </c>
      <c r="T49" s="385"/>
      <c r="U49" s="388"/>
      <c r="V49" s="388"/>
      <c r="W49" s="385"/>
      <c r="X49" s="389"/>
      <c r="Y49" s="390">
        <f>Requisitions_Tracker[[#This Row],[Unit Price]]*Requisitions_Tracker[[#This Row],[Quantity]]</f>
        <v>0</v>
      </c>
    </row>
    <row r="50" spans="1:25" ht="45" x14ac:dyDescent="0.25">
      <c r="A50" s="382" t="s">
        <v>529</v>
      </c>
      <c r="B50" s="91" t="s">
        <v>326</v>
      </c>
      <c r="C50" s="91" t="s">
        <v>2</v>
      </c>
      <c r="D50" s="383">
        <v>1011710</v>
      </c>
      <c r="E50" s="384"/>
      <c r="F50" s="91" t="s">
        <v>327</v>
      </c>
      <c r="G50" s="91" t="s">
        <v>32</v>
      </c>
      <c r="H50" s="385" t="s">
        <v>752</v>
      </c>
      <c r="I50" s="91" t="s">
        <v>307</v>
      </c>
      <c r="J50" s="92" t="s">
        <v>331</v>
      </c>
      <c r="K50" s="383">
        <v>1</v>
      </c>
      <c r="L50" s="91" t="s">
        <v>321</v>
      </c>
      <c r="M50" s="519" t="s">
        <v>7881</v>
      </c>
      <c r="N50" s="385" t="s">
        <v>29</v>
      </c>
      <c r="O50" s="386" t="s">
        <v>329</v>
      </c>
      <c r="P50" s="387" t="str">
        <f>Requisitions_Tracker[[#This Row],[ConOps Contact]]</f>
        <v>Jared Greninger</v>
      </c>
      <c r="Q50" s="385">
        <v>4962</v>
      </c>
      <c r="R50" s="388">
        <v>45026</v>
      </c>
      <c r="S50" s="388">
        <v>45078</v>
      </c>
      <c r="T50" s="385"/>
      <c r="U50" s="388"/>
      <c r="V50" s="388"/>
      <c r="W50" s="385"/>
      <c r="X50" s="389"/>
      <c r="Y50" s="390">
        <f>Requisitions_Tracker[[#This Row],[Unit Price]]*Requisitions_Tracker[[#This Row],[Quantity]]</f>
        <v>0</v>
      </c>
    </row>
    <row r="51" spans="1:25" ht="45" x14ac:dyDescent="0.25">
      <c r="A51" s="382" t="s">
        <v>529</v>
      </c>
      <c r="B51" s="91" t="s">
        <v>332</v>
      </c>
      <c r="C51" s="91" t="s">
        <v>2</v>
      </c>
      <c r="D51" s="383">
        <v>1012008</v>
      </c>
      <c r="E51" s="384"/>
      <c r="F51" s="91" t="s">
        <v>239</v>
      </c>
      <c r="G51" s="91" t="s">
        <v>32</v>
      </c>
      <c r="H51" s="385" t="s">
        <v>752</v>
      </c>
      <c r="I51" s="91" t="s">
        <v>307</v>
      </c>
      <c r="J51" s="92" t="s">
        <v>333</v>
      </c>
      <c r="K51" s="383">
        <v>1</v>
      </c>
      <c r="L51" s="91" t="s">
        <v>321</v>
      </c>
      <c r="M51" s="519" t="s">
        <v>7881</v>
      </c>
      <c r="N51" s="385" t="s">
        <v>29</v>
      </c>
      <c r="O51" s="386" t="s">
        <v>329</v>
      </c>
      <c r="P51" s="387" t="str">
        <f>Requisitions_Tracker[[#This Row],[ConOps Contact]]</f>
        <v>Jared Greninger</v>
      </c>
      <c r="Q51" s="385">
        <v>4963</v>
      </c>
      <c r="R51" s="388">
        <v>45026</v>
      </c>
      <c r="S51" s="388">
        <v>45078</v>
      </c>
      <c r="T51" s="385"/>
      <c r="U51" s="388"/>
      <c r="V51" s="388"/>
      <c r="W51" s="385"/>
      <c r="X51" s="389"/>
      <c r="Y51" s="390">
        <f>Requisitions_Tracker[[#This Row],[Unit Price]]*Requisitions_Tracker[[#This Row],[Quantity]]</f>
        <v>0</v>
      </c>
    </row>
    <row r="52" spans="1:25" ht="45" x14ac:dyDescent="0.25">
      <c r="A52" s="382" t="s">
        <v>529</v>
      </c>
      <c r="B52" s="91" t="s">
        <v>332</v>
      </c>
      <c r="C52" s="91" t="s">
        <v>2</v>
      </c>
      <c r="D52" s="383">
        <v>1012008</v>
      </c>
      <c r="E52" s="384"/>
      <c r="F52" s="91" t="s">
        <v>239</v>
      </c>
      <c r="G52" s="91" t="s">
        <v>32</v>
      </c>
      <c r="H52" s="385" t="s">
        <v>752</v>
      </c>
      <c r="I52" s="91" t="s">
        <v>307</v>
      </c>
      <c r="J52" s="92" t="s">
        <v>334</v>
      </c>
      <c r="K52" s="383">
        <v>1</v>
      </c>
      <c r="L52" s="91" t="s">
        <v>321</v>
      </c>
      <c r="M52" s="519" t="s">
        <v>7881</v>
      </c>
      <c r="N52" s="385" t="s">
        <v>29</v>
      </c>
      <c r="O52" s="386" t="s">
        <v>329</v>
      </c>
      <c r="P52" s="387" t="str">
        <f>Requisitions_Tracker[[#This Row],[ConOps Contact]]</f>
        <v>Jared Greninger</v>
      </c>
      <c r="Q52" s="385">
        <v>4963</v>
      </c>
      <c r="R52" s="388">
        <v>45026</v>
      </c>
      <c r="S52" s="388">
        <v>45078</v>
      </c>
      <c r="T52" s="385"/>
      <c r="U52" s="388"/>
      <c r="V52" s="388"/>
      <c r="W52" s="385"/>
      <c r="X52" s="389"/>
      <c r="Y52" s="390">
        <f>Requisitions_Tracker[[#This Row],[Unit Price]]*Requisitions_Tracker[[#This Row],[Quantity]]</f>
        <v>0</v>
      </c>
    </row>
    <row r="53" spans="1:25" ht="45" x14ac:dyDescent="0.25">
      <c r="A53" s="382" t="s">
        <v>529</v>
      </c>
      <c r="B53" s="91" t="s">
        <v>332</v>
      </c>
      <c r="C53" s="91" t="s">
        <v>2</v>
      </c>
      <c r="D53" s="383">
        <v>1012008</v>
      </c>
      <c r="E53" s="384"/>
      <c r="F53" s="91" t="s">
        <v>239</v>
      </c>
      <c r="G53" s="91" t="s">
        <v>32</v>
      </c>
      <c r="H53" s="385" t="s">
        <v>752</v>
      </c>
      <c r="I53" s="91" t="s">
        <v>307</v>
      </c>
      <c r="J53" s="92" t="s">
        <v>335</v>
      </c>
      <c r="K53" s="383">
        <v>1</v>
      </c>
      <c r="L53" s="91" t="s">
        <v>321</v>
      </c>
      <c r="M53" s="519" t="s">
        <v>7881</v>
      </c>
      <c r="N53" s="385" t="s">
        <v>29</v>
      </c>
      <c r="O53" s="386" t="s">
        <v>329</v>
      </c>
      <c r="P53" s="387" t="str">
        <f>Requisitions_Tracker[[#This Row],[ConOps Contact]]</f>
        <v>Jared Greninger</v>
      </c>
      <c r="Q53" s="385">
        <v>4963</v>
      </c>
      <c r="R53" s="388">
        <v>45026</v>
      </c>
      <c r="S53" s="388">
        <v>45078</v>
      </c>
      <c r="T53" s="385"/>
      <c r="U53" s="388"/>
      <c r="V53" s="388"/>
      <c r="W53" s="385"/>
      <c r="X53" s="389"/>
      <c r="Y53" s="390">
        <f>Requisitions_Tracker[[#This Row],[Unit Price]]*Requisitions_Tracker[[#This Row],[Quantity]]</f>
        <v>0</v>
      </c>
    </row>
    <row r="54" spans="1:25" ht="45" x14ac:dyDescent="0.25">
      <c r="A54" s="382" t="s">
        <v>529</v>
      </c>
      <c r="B54" s="91" t="s">
        <v>332</v>
      </c>
      <c r="C54" s="91" t="s">
        <v>2</v>
      </c>
      <c r="D54" s="383">
        <v>1012008</v>
      </c>
      <c r="E54" s="384"/>
      <c r="F54" s="91" t="s">
        <v>239</v>
      </c>
      <c r="G54" s="91" t="s">
        <v>32</v>
      </c>
      <c r="H54" s="385" t="s">
        <v>752</v>
      </c>
      <c r="I54" s="91" t="s">
        <v>307</v>
      </c>
      <c r="J54" s="92" t="s">
        <v>298</v>
      </c>
      <c r="K54" s="383">
        <v>1</v>
      </c>
      <c r="L54" s="91" t="s">
        <v>321</v>
      </c>
      <c r="M54" s="519" t="s">
        <v>7881</v>
      </c>
      <c r="N54" s="385" t="s">
        <v>29</v>
      </c>
      <c r="O54" s="386" t="s">
        <v>329</v>
      </c>
      <c r="P54" s="387" t="str">
        <f>Requisitions_Tracker[[#This Row],[ConOps Contact]]</f>
        <v>Jared Greninger</v>
      </c>
      <c r="Q54" s="385">
        <v>4963</v>
      </c>
      <c r="R54" s="388">
        <v>45026</v>
      </c>
      <c r="S54" s="388">
        <v>45078</v>
      </c>
      <c r="T54" s="385"/>
      <c r="U54" s="388"/>
      <c r="V54" s="388"/>
      <c r="W54" s="385"/>
      <c r="X54" s="389"/>
      <c r="Y54" s="390">
        <f>Requisitions_Tracker[[#This Row],[Unit Price]]*Requisitions_Tracker[[#This Row],[Quantity]]</f>
        <v>0</v>
      </c>
    </row>
    <row r="55" spans="1:25" ht="75" x14ac:dyDescent="0.25">
      <c r="A55" s="382" t="s">
        <v>7904</v>
      </c>
      <c r="B55" s="91" t="s">
        <v>336</v>
      </c>
      <c r="C55" s="91" t="s">
        <v>2</v>
      </c>
      <c r="D55" s="383">
        <v>1011913</v>
      </c>
      <c r="E55" s="384">
        <v>11050930</v>
      </c>
      <c r="F55" s="91" t="s">
        <v>305</v>
      </c>
      <c r="G55" s="91" t="s">
        <v>32</v>
      </c>
      <c r="H55" s="385" t="s">
        <v>752</v>
      </c>
      <c r="I55" s="91" t="s">
        <v>307</v>
      </c>
      <c r="J55" s="92" t="s">
        <v>337</v>
      </c>
      <c r="K55" s="383">
        <v>1</v>
      </c>
      <c r="L55" s="91" t="s">
        <v>321</v>
      </c>
      <c r="M55" s="519" t="s">
        <v>7881</v>
      </c>
      <c r="N55" s="385" t="s">
        <v>29</v>
      </c>
      <c r="O55" s="386" t="s">
        <v>329</v>
      </c>
      <c r="P55" s="387" t="str">
        <f>Requisitions_Tracker[[#This Row],[ConOps Contact]]</f>
        <v>Jared Greninger</v>
      </c>
      <c r="Q55" s="385">
        <v>4113</v>
      </c>
      <c r="R55" s="388">
        <v>44986</v>
      </c>
      <c r="S55" s="388">
        <v>45019</v>
      </c>
      <c r="T55" s="385"/>
      <c r="U55" s="388"/>
      <c r="V55" s="388"/>
      <c r="W55" s="385"/>
      <c r="X55" s="389"/>
      <c r="Y55" s="390">
        <f>Requisitions_Tracker[[#This Row],[Unit Price]]*Requisitions_Tracker[[#This Row],[Quantity]]</f>
        <v>0</v>
      </c>
    </row>
    <row r="56" spans="1:25" ht="90" x14ac:dyDescent="0.25">
      <c r="A56" s="382" t="s">
        <v>7904</v>
      </c>
      <c r="B56" s="91" t="s">
        <v>336</v>
      </c>
      <c r="C56" s="91" t="s">
        <v>2</v>
      </c>
      <c r="D56" s="383">
        <v>1011913</v>
      </c>
      <c r="E56" s="384">
        <v>11050930</v>
      </c>
      <c r="F56" s="91" t="s">
        <v>305</v>
      </c>
      <c r="G56" s="91" t="s">
        <v>32</v>
      </c>
      <c r="H56" s="385" t="s">
        <v>752</v>
      </c>
      <c r="I56" s="91" t="s">
        <v>307</v>
      </c>
      <c r="J56" s="92" t="s">
        <v>338</v>
      </c>
      <c r="K56" s="383">
        <v>1</v>
      </c>
      <c r="L56" s="91" t="s">
        <v>321</v>
      </c>
      <c r="M56" s="519" t="s">
        <v>7881</v>
      </c>
      <c r="N56" s="385" t="s">
        <v>29</v>
      </c>
      <c r="O56" s="386" t="s">
        <v>329</v>
      </c>
      <c r="P56" s="387" t="str">
        <f>Requisitions_Tracker[[#This Row],[ConOps Contact]]</f>
        <v>Jared Greninger</v>
      </c>
      <c r="Q56" s="385">
        <v>4113</v>
      </c>
      <c r="R56" s="388">
        <v>44986</v>
      </c>
      <c r="S56" s="388">
        <v>45019</v>
      </c>
      <c r="T56" s="385"/>
      <c r="U56" s="388"/>
      <c r="V56" s="388"/>
      <c r="W56" s="385"/>
      <c r="X56" s="389"/>
      <c r="Y56" s="390">
        <f>Requisitions_Tracker[[#This Row],[Unit Price]]*Requisitions_Tracker[[#This Row],[Quantity]]</f>
        <v>0</v>
      </c>
    </row>
    <row r="57" spans="1:25" ht="45" x14ac:dyDescent="0.25">
      <c r="A57" s="382" t="s">
        <v>7904</v>
      </c>
      <c r="B57" s="91" t="s">
        <v>336</v>
      </c>
      <c r="C57" s="91" t="s">
        <v>2</v>
      </c>
      <c r="D57" s="383">
        <v>1011913</v>
      </c>
      <c r="E57" s="384">
        <v>11050930</v>
      </c>
      <c r="F57" s="91" t="s">
        <v>305</v>
      </c>
      <c r="G57" s="91" t="s">
        <v>32</v>
      </c>
      <c r="H57" s="385" t="s">
        <v>752</v>
      </c>
      <c r="I57" s="91" t="s">
        <v>307</v>
      </c>
      <c r="J57" s="92" t="s">
        <v>339</v>
      </c>
      <c r="K57" s="383">
        <v>1</v>
      </c>
      <c r="L57" s="91" t="s">
        <v>321</v>
      </c>
      <c r="M57" s="519" t="s">
        <v>7881</v>
      </c>
      <c r="N57" s="385" t="s">
        <v>29</v>
      </c>
      <c r="O57" s="386" t="s">
        <v>329</v>
      </c>
      <c r="P57" s="387" t="str">
        <f>Requisitions_Tracker[[#This Row],[ConOps Contact]]</f>
        <v>Jared Greninger</v>
      </c>
      <c r="Q57" s="385">
        <v>4113</v>
      </c>
      <c r="R57" s="388">
        <v>44986</v>
      </c>
      <c r="S57" s="388">
        <v>45019</v>
      </c>
      <c r="T57" s="385"/>
      <c r="U57" s="388"/>
      <c r="V57" s="388"/>
      <c r="W57" s="385"/>
      <c r="X57" s="389"/>
      <c r="Y57" s="390">
        <f>Requisitions_Tracker[[#This Row],[Unit Price]]*Requisitions_Tracker[[#This Row],[Quantity]]</f>
        <v>0</v>
      </c>
    </row>
    <row r="58" spans="1:25" ht="45" x14ac:dyDescent="0.25">
      <c r="A58" s="382" t="s">
        <v>2127</v>
      </c>
      <c r="B58" s="91" t="s">
        <v>336</v>
      </c>
      <c r="C58" s="91" t="s">
        <v>2</v>
      </c>
      <c r="D58" s="383">
        <v>1011913</v>
      </c>
      <c r="E58" s="384">
        <v>11050930</v>
      </c>
      <c r="F58" s="91" t="s">
        <v>305</v>
      </c>
      <c r="G58" s="91" t="s">
        <v>32</v>
      </c>
      <c r="H58" s="385" t="s">
        <v>752</v>
      </c>
      <c r="I58" s="91" t="s">
        <v>307</v>
      </c>
      <c r="J58" s="92" t="s">
        <v>340</v>
      </c>
      <c r="K58" s="383">
        <v>1</v>
      </c>
      <c r="L58" s="91" t="s">
        <v>321</v>
      </c>
      <c r="M58" s="519" t="s">
        <v>7881</v>
      </c>
      <c r="N58" s="385" t="s">
        <v>29</v>
      </c>
      <c r="O58" s="386" t="s">
        <v>329</v>
      </c>
      <c r="P58" s="387" t="str">
        <f>Requisitions_Tracker[[#This Row],[ConOps Contact]]</f>
        <v>Jared Greninger</v>
      </c>
      <c r="Q58" s="385">
        <v>4113</v>
      </c>
      <c r="R58" s="388">
        <v>44986</v>
      </c>
      <c r="S58" s="388">
        <v>45019</v>
      </c>
      <c r="T58" s="385"/>
      <c r="U58" s="388"/>
      <c r="V58" s="388"/>
      <c r="W58" s="385"/>
      <c r="X58" s="389"/>
      <c r="Y58" s="390">
        <f>Requisitions_Tracker[[#This Row],[Unit Price]]*Requisitions_Tracker[[#This Row],[Quantity]]</f>
        <v>0</v>
      </c>
    </row>
    <row r="59" spans="1:25" ht="30" x14ac:dyDescent="0.25">
      <c r="A59" s="382" t="s">
        <v>529</v>
      </c>
      <c r="B59" s="91" t="s">
        <v>341</v>
      </c>
      <c r="C59" s="91" t="s">
        <v>2</v>
      </c>
      <c r="D59" s="383">
        <v>1212094</v>
      </c>
      <c r="E59" s="384"/>
      <c r="F59" s="91" t="s">
        <v>342</v>
      </c>
      <c r="G59" s="91" t="s">
        <v>32</v>
      </c>
      <c r="H59" s="385" t="s">
        <v>7905</v>
      </c>
      <c r="I59" s="91" t="s">
        <v>247</v>
      </c>
      <c r="J59" s="92" t="s">
        <v>343</v>
      </c>
      <c r="K59" s="383">
        <v>1</v>
      </c>
      <c r="L59" s="91" t="s">
        <v>321</v>
      </c>
      <c r="M59" s="519" t="s">
        <v>7881</v>
      </c>
      <c r="N59" s="385" t="s">
        <v>29</v>
      </c>
      <c r="O59" s="386" t="s">
        <v>167</v>
      </c>
      <c r="P59" s="387" t="str">
        <f>Requisitions_Tracker[[#This Row],[ConOps Contact]]</f>
        <v>Joe Gaca</v>
      </c>
      <c r="Q59" s="385">
        <v>4964</v>
      </c>
      <c r="R59" s="388">
        <v>45026</v>
      </c>
      <c r="S59" s="388">
        <v>45078</v>
      </c>
      <c r="T59" s="385"/>
      <c r="U59" s="388"/>
      <c r="V59" s="388"/>
      <c r="W59" s="385"/>
      <c r="X59" s="389"/>
      <c r="Y59" s="390">
        <f>Requisitions_Tracker[[#This Row],[Unit Price]]*Requisitions_Tracker[[#This Row],[Quantity]]</f>
        <v>0</v>
      </c>
    </row>
    <row r="60" spans="1:25" ht="30" x14ac:dyDescent="0.25">
      <c r="A60" s="382" t="s">
        <v>529</v>
      </c>
      <c r="B60" s="91" t="s">
        <v>341</v>
      </c>
      <c r="C60" s="91" t="s">
        <v>2</v>
      </c>
      <c r="D60" s="383">
        <v>1212094</v>
      </c>
      <c r="E60" s="384"/>
      <c r="F60" s="91" t="s">
        <v>342</v>
      </c>
      <c r="G60" s="91" t="s">
        <v>32</v>
      </c>
      <c r="H60" s="385" t="s">
        <v>7905</v>
      </c>
      <c r="I60" s="91" t="s">
        <v>247</v>
      </c>
      <c r="J60" s="92" t="s">
        <v>344</v>
      </c>
      <c r="K60" s="383">
        <v>1</v>
      </c>
      <c r="L60" s="91" t="s">
        <v>321</v>
      </c>
      <c r="M60" s="519" t="s">
        <v>7881</v>
      </c>
      <c r="N60" s="385" t="s">
        <v>29</v>
      </c>
      <c r="O60" s="386" t="s">
        <v>167</v>
      </c>
      <c r="P60" s="387" t="str">
        <f>Requisitions_Tracker[[#This Row],[ConOps Contact]]</f>
        <v>Joe Gaca</v>
      </c>
      <c r="Q60" s="385">
        <v>4964</v>
      </c>
      <c r="R60" s="388">
        <v>45026</v>
      </c>
      <c r="S60" s="388">
        <v>45078</v>
      </c>
      <c r="T60" s="385"/>
      <c r="U60" s="388"/>
      <c r="V60" s="388"/>
      <c r="W60" s="385"/>
      <c r="X60" s="389"/>
      <c r="Y60" s="390">
        <f>Requisitions_Tracker[[#This Row],[Unit Price]]*Requisitions_Tracker[[#This Row],[Quantity]]</f>
        <v>0</v>
      </c>
    </row>
    <row r="61" spans="1:25" ht="30" x14ac:dyDescent="0.25">
      <c r="A61" s="382" t="s">
        <v>529</v>
      </c>
      <c r="B61" s="91" t="s">
        <v>345</v>
      </c>
      <c r="C61" s="91" t="s">
        <v>2</v>
      </c>
      <c r="D61" s="383">
        <v>1010234</v>
      </c>
      <c r="E61" s="384">
        <v>11038498</v>
      </c>
      <c r="F61" s="91" t="s">
        <v>346</v>
      </c>
      <c r="G61" s="91" t="s">
        <v>347</v>
      </c>
      <c r="H61" s="385" t="s">
        <v>747</v>
      </c>
      <c r="I61" s="91"/>
      <c r="J61" s="92" t="s">
        <v>348</v>
      </c>
      <c r="K61" s="383">
        <v>1</v>
      </c>
      <c r="L61" s="91" t="s">
        <v>321</v>
      </c>
      <c r="M61" s="519" t="s">
        <v>7881</v>
      </c>
      <c r="N61" s="385" t="s">
        <v>29</v>
      </c>
      <c r="O61" s="386"/>
      <c r="P61" s="387">
        <f>Requisitions_Tracker[[#This Row],[ConOps Contact]]</f>
        <v>0</v>
      </c>
      <c r="Q61" s="385"/>
      <c r="R61" s="388"/>
      <c r="S61" s="388"/>
      <c r="T61" s="385"/>
      <c r="U61" s="388"/>
      <c r="V61" s="388"/>
      <c r="W61" s="385"/>
      <c r="X61" s="389"/>
      <c r="Y61" s="390">
        <f>Requisitions_Tracker[[#This Row],[Unit Price]]*Requisitions_Tracker[[#This Row],[Quantity]]</f>
        <v>0</v>
      </c>
    </row>
    <row r="62" spans="1:25" ht="30" x14ac:dyDescent="0.25">
      <c r="A62" s="382" t="s">
        <v>529</v>
      </c>
      <c r="B62" s="91" t="s">
        <v>349</v>
      </c>
      <c r="C62" s="91" t="s">
        <v>2</v>
      </c>
      <c r="D62" s="383">
        <v>101205</v>
      </c>
      <c r="E62" s="384">
        <v>11038724</v>
      </c>
      <c r="F62" s="91" t="s">
        <v>350</v>
      </c>
      <c r="G62" s="91" t="s">
        <v>347</v>
      </c>
      <c r="H62" s="385" t="s">
        <v>747</v>
      </c>
      <c r="I62" s="91"/>
      <c r="J62" s="92" t="s">
        <v>348</v>
      </c>
      <c r="K62" s="383">
        <v>1</v>
      </c>
      <c r="L62" s="91" t="s">
        <v>321</v>
      </c>
      <c r="M62" s="519" t="s">
        <v>7881</v>
      </c>
      <c r="N62" s="385" t="s">
        <v>29</v>
      </c>
      <c r="O62" s="386"/>
      <c r="P62" s="387">
        <f>Requisitions_Tracker[[#This Row],[ConOps Contact]]</f>
        <v>0</v>
      </c>
      <c r="Q62" s="385"/>
      <c r="R62" s="388"/>
      <c r="S62" s="388"/>
      <c r="T62" s="385"/>
      <c r="U62" s="388"/>
      <c r="V62" s="388"/>
      <c r="W62" s="385"/>
      <c r="X62" s="389"/>
      <c r="Y62" s="390">
        <f>Requisitions_Tracker[[#This Row],[Unit Price]]*Requisitions_Tracker[[#This Row],[Quantity]]</f>
        <v>0</v>
      </c>
    </row>
    <row r="63" spans="1:25" ht="30" x14ac:dyDescent="0.25">
      <c r="A63" s="382" t="s">
        <v>529</v>
      </c>
      <c r="B63" s="91" t="s">
        <v>351</v>
      </c>
      <c r="C63" s="91" t="s">
        <v>2</v>
      </c>
      <c r="D63" s="383">
        <v>1010503</v>
      </c>
      <c r="E63" s="384">
        <v>11038448</v>
      </c>
      <c r="F63" s="91" t="s">
        <v>352</v>
      </c>
      <c r="G63" s="91" t="s">
        <v>347</v>
      </c>
      <c r="H63" s="385" t="s">
        <v>747</v>
      </c>
      <c r="I63" s="91"/>
      <c r="J63" s="92" t="s">
        <v>348</v>
      </c>
      <c r="K63" s="383">
        <v>1</v>
      </c>
      <c r="L63" s="91" t="s">
        <v>321</v>
      </c>
      <c r="M63" s="519" t="s">
        <v>7881</v>
      </c>
      <c r="N63" s="385" t="s">
        <v>29</v>
      </c>
      <c r="O63" s="386"/>
      <c r="P63" s="387">
        <f>Requisitions_Tracker[[#This Row],[ConOps Contact]]</f>
        <v>0</v>
      </c>
      <c r="Q63" s="385"/>
      <c r="R63" s="388"/>
      <c r="S63" s="388"/>
      <c r="T63" s="385"/>
      <c r="U63" s="388"/>
      <c r="V63" s="388"/>
      <c r="W63" s="385"/>
      <c r="X63" s="389"/>
      <c r="Y63" s="390">
        <f>Requisitions_Tracker[[#This Row],[Unit Price]]*Requisitions_Tracker[[#This Row],[Quantity]]</f>
        <v>0</v>
      </c>
    </row>
    <row r="64" spans="1:25" x14ac:dyDescent="0.25">
      <c r="A64" s="382" t="s">
        <v>529</v>
      </c>
      <c r="B64" s="91" t="s">
        <v>353</v>
      </c>
      <c r="C64" s="91" t="s">
        <v>3</v>
      </c>
      <c r="D64" s="383">
        <v>1212044</v>
      </c>
      <c r="E64" s="384"/>
      <c r="F64" s="91" t="s">
        <v>354</v>
      </c>
      <c r="G64" s="91" t="s">
        <v>25</v>
      </c>
      <c r="H64" s="385" t="s">
        <v>784</v>
      </c>
      <c r="I64" s="91"/>
      <c r="J64" s="92" t="s">
        <v>355</v>
      </c>
      <c r="K64" s="383">
        <v>1</v>
      </c>
      <c r="L64" s="91" t="s">
        <v>321</v>
      </c>
      <c r="M64" s="385" t="s">
        <v>7863</v>
      </c>
      <c r="N64" s="385" t="s">
        <v>29</v>
      </c>
      <c r="O64" s="386" t="s">
        <v>357</v>
      </c>
      <c r="P64" s="387">
        <f>Requisitions_Tracker[[#This Row],[ConOps Contact]]</f>
        <v>0</v>
      </c>
      <c r="Q64" s="385"/>
      <c r="R64" s="388"/>
      <c r="S64" s="388"/>
      <c r="T64" s="385"/>
      <c r="U64" s="388"/>
      <c r="V64" s="388"/>
      <c r="W64" s="385"/>
      <c r="X64" s="389"/>
      <c r="Y64" s="390">
        <f>Requisitions_Tracker[[#This Row],[Unit Price]]*Requisitions_Tracker[[#This Row],[Quantity]]</f>
        <v>0</v>
      </c>
    </row>
    <row r="65" spans="1:25" x14ac:dyDescent="0.25">
      <c r="A65" s="382" t="s">
        <v>529</v>
      </c>
      <c r="B65" s="91" t="s">
        <v>353</v>
      </c>
      <c r="C65" s="91" t="s">
        <v>3</v>
      </c>
      <c r="D65" s="383">
        <v>1212044</v>
      </c>
      <c r="E65" s="384"/>
      <c r="F65" s="91" t="s">
        <v>354</v>
      </c>
      <c r="G65" s="91" t="s">
        <v>25</v>
      </c>
      <c r="H65" s="385" t="s">
        <v>784</v>
      </c>
      <c r="I65" s="91"/>
      <c r="J65" s="92" t="s">
        <v>358</v>
      </c>
      <c r="K65" s="383">
        <v>1680</v>
      </c>
      <c r="L65" s="91" t="s">
        <v>63</v>
      </c>
      <c r="M65" s="385" t="s">
        <v>7863</v>
      </c>
      <c r="N65" s="385" t="s">
        <v>29</v>
      </c>
      <c r="O65" s="386" t="s">
        <v>359</v>
      </c>
      <c r="P65" s="387">
        <f>Requisitions_Tracker[[#This Row],[ConOps Contact]]</f>
        <v>0</v>
      </c>
      <c r="Q65" s="385"/>
      <c r="R65" s="388"/>
      <c r="S65" s="388"/>
      <c r="T65" s="385"/>
      <c r="U65" s="388"/>
      <c r="V65" s="388"/>
      <c r="W65" s="385"/>
      <c r="X65" s="389"/>
      <c r="Y65" s="390">
        <f>Requisitions_Tracker[[#This Row],[Unit Price]]*Requisitions_Tracker[[#This Row],[Quantity]]</f>
        <v>0</v>
      </c>
    </row>
    <row r="66" spans="1:25" x14ac:dyDescent="0.25">
      <c r="A66" s="382" t="s">
        <v>529</v>
      </c>
      <c r="B66" s="91" t="s">
        <v>360</v>
      </c>
      <c r="C66" s="91" t="s">
        <v>3</v>
      </c>
      <c r="D66" s="383">
        <v>1212064</v>
      </c>
      <c r="E66" s="384">
        <v>11056671</v>
      </c>
      <c r="F66" s="91" t="s">
        <v>361</v>
      </c>
      <c r="G66" s="91" t="s">
        <v>23</v>
      </c>
      <c r="H66" s="385" t="s">
        <v>784</v>
      </c>
      <c r="I66" s="91" t="s">
        <v>364</v>
      </c>
      <c r="J66" s="92" t="s">
        <v>362</v>
      </c>
      <c r="K66" s="383">
        <v>4</v>
      </c>
      <c r="L66" s="91" t="s">
        <v>321</v>
      </c>
      <c r="M66" s="519" t="s">
        <v>7881</v>
      </c>
      <c r="N66" s="385" t="s">
        <v>29</v>
      </c>
      <c r="O66" s="386" t="s">
        <v>167</v>
      </c>
      <c r="P66" s="387" t="str">
        <f>Requisitions_Tracker[[#This Row],[ConOps Contact]]</f>
        <v>Mike Steiskal</v>
      </c>
      <c r="Q66" s="387">
        <v>4960</v>
      </c>
      <c r="R66" s="388">
        <v>45026</v>
      </c>
      <c r="S66" s="388">
        <v>45126</v>
      </c>
      <c r="T66" s="385" t="s">
        <v>7906</v>
      </c>
      <c r="U66" s="388">
        <v>45138</v>
      </c>
      <c r="V66" s="388">
        <v>45128</v>
      </c>
      <c r="W66" s="385" t="s">
        <v>7907</v>
      </c>
      <c r="X66" s="389">
        <v>341.29</v>
      </c>
      <c r="Y66" s="390">
        <f>Requisitions_Tracker[[#This Row],[Unit Price]]*Requisitions_Tracker[[#This Row],[Quantity]]</f>
        <v>1365.16</v>
      </c>
    </row>
    <row r="67" spans="1:25" x14ac:dyDescent="0.25">
      <c r="A67" s="382" t="s">
        <v>529</v>
      </c>
      <c r="B67" s="91" t="s">
        <v>360</v>
      </c>
      <c r="C67" s="91" t="s">
        <v>3</v>
      </c>
      <c r="D67" s="383">
        <v>1212064</v>
      </c>
      <c r="E67" s="384">
        <v>11056671</v>
      </c>
      <c r="F67" s="91" t="s">
        <v>361</v>
      </c>
      <c r="G67" s="91" t="s">
        <v>23</v>
      </c>
      <c r="H67" s="385" t="s">
        <v>784</v>
      </c>
      <c r="I67" s="91" t="s">
        <v>364</v>
      </c>
      <c r="J67" s="92" t="s">
        <v>358</v>
      </c>
      <c r="K67" s="383">
        <v>6880</v>
      </c>
      <c r="L67" s="91" t="s">
        <v>63</v>
      </c>
      <c r="M67" s="519" t="s">
        <v>7881</v>
      </c>
      <c r="N67" s="385" t="s">
        <v>29</v>
      </c>
      <c r="O67" s="386" t="s">
        <v>167</v>
      </c>
      <c r="P67" s="387" t="str">
        <f>Requisitions_Tracker[[#This Row],[ConOps Contact]]</f>
        <v>Mike Steiskal</v>
      </c>
      <c r="Q67" s="387">
        <v>4960</v>
      </c>
      <c r="R67" s="388">
        <v>45026</v>
      </c>
      <c r="S67" s="388">
        <v>45126</v>
      </c>
      <c r="T67" s="385" t="s">
        <v>7906</v>
      </c>
      <c r="U67" s="388">
        <v>45138</v>
      </c>
      <c r="V67" s="388">
        <v>45128</v>
      </c>
      <c r="W67" s="385" t="s">
        <v>7907</v>
      </c>
      <c r="X67" s="389">
        <v>55.38</v>
      </c>
      <c r="Y67" s="390">
        <f>Requisitions_Tracker[[#This Row],[Unit Price]]*Requisitions_Tracker[[#This Row],[Quantity]]</f>
        <v>381014.4</v>
      </c>
    </row>
    <row r="68" spans="1:25" ht="30" x14ac:dyDescent="0.25">
      <c r="A68" s="382" t="s">
        <v>529</v>
      </c>
      <c r="B68" s="91" t="s">
        <v>366</v>
      </c>
      <c r="C68" s="91" t="s">
        <v>2</v>
      </c>
      <c r="D68" s="383">
        <v>1212090</v>
      </c>
      <c r="E68" s="384"/>
      <c r="F68" s="91" t="s">
        <v>367</v>
      </c>
      <c r="G68" s="91" t="s">
        <v>32</v>
      </c>
      <c r="H68" s="385" t="s">
        <v>752</v>
      </c>
      <c r="I68" s="91"/>
      <c r="J68" s="92" t="s">
        <v>334</v>
      </c>
      <c r="K68" s="383">
        <v>1</v>
      </c>
      <c r="L68" s="91" t="s">
        <v>321</v>
      </c>
      <c r="M68" s="519" t="s">
        <v>7881</v>
      </c>
      <c r="N68" s="385" t="s">
        <v>29</v>
      </c>
      <c r="O68" s="386"/>
      <c r="P68" s="387">
        <f>Requisitions_Tracker[[#This Row],[ConOps Contact]]</f>
        <v>0</v>
      </c>
      <c r="Q68" s="385">
        <v>4965</v>
      </c>
      <c r="R68" s="388"/>
      <c r="S68" s="388"/>
      <c r="T68" s="385"/>
      <c r="U68" s="388"/>
      <c r="V68" s="388"/>
      <c r="W68" s="385"/>
      <c r="X68" s="389"/>
      <c r="Y68" s="390">
        <f>Requisitions_Tracker[[#This Row],[Unit Price]]*Requisitions_Tracker[[#This Row],[Quantity]]</f>
        <v>0</v>
      </c>
    </row>
    <row r="69" spans="1:25" ht="30" x14ac:dyDescent="0.25">
      <c r="A69" s="382" t="s">
        <v>529</v>
      </c>
      <c r="B69" s="91" t="s">
        <v>299</v>
      </c>
      <c r="C69" s="91" t="s">
        <v>2</v>
      </c>
      <c r="D69" s="383">
        <v>1011722</v>
      </c>
      <c r="E69" s="384">
        <v>11050919</v>
      </c>
      <c r="F69" s="91" t="s">
        <v>300</v>
      </c>
      <c r="G69" s="91" t="s">
        <v>24</v>
      </c>
      <c r="H69" s="385" t="s">
        <v>784</v>
      </c>
      <c r="I69" s="91" t="s">
        <v>307</v>
      </c>
      <c r="J69" s="43" t="s">
        <v>7908</v>
      </c>
      <c r="K69" s="383">
        <v>1</v>
      </c>
      <c r="L69" s="91" t="s">
        <v>321</v>
      </c>
      <c r="M69" s="385" t="s">
        <v>7881</v>
      </c>
      <c r="N69" s="385" t="s">
        <v>29</v>
      </c>
      <c r="O69" s="386" t="s">
        <v>7909</v>
      </c>
      <c r="P69" s="387" t="s">
        <v>307</v>
      </c>
      <c r="Q69" s="385">
        <v>5959</v>
      </c>
      <c r="R69" s="388">
        <v>45029</v>
      </c>
      <c r="S69" s="388">
        <v>45061</v>
      </c>
      <c r="T69" s="385"/>
      <c r="U69" s="388"/>
      <c r="V69" s="388"/>
      <c r="W69" s="385"/>
      <c r="X69" s="389"/>
      <c r="Y69" s="390">
        <f>Requisitions_Tracker[[#This Row],[Unit Price]]*Requisitions_Tracker[[#This Row],[Quantity]]</f>
        <v>0</v>
      </c>
    </row>
    <row r="70" spans="1:25" ht="30" x14ac:dyDescent="0.25">
      <c r="A70" s="382" t="s">
        <v>529</v>
      </c>
      <c r="B70" s="91" t="s">
        <v>299</v>
      </c>
      <c r="C70" s="91" t="s">
        <v>2</v>
      </c>
      <c r="D70" s="383">
        <v>1011722</v>
      </c>
      <c r="E70" s="384">
        <v>11050919</v>
      </c>
      <c r="F70" s="91" t="s">
        <v>300</v>
      </c>
      <c r="G70" s="91" t="s">
        <v>24</v>
      </c>
      <c r="H70" s="385" t="s">
        <v>784</v>
      </c>
      <c r="I70" s="91" t="s">
        <v>307</v>
      </c>
      <c r="J70" s="43" t="s">
        <v>303</v>
      </c>
      <c r="K70" s="383">
        <v>1</v>
      </c>
      <c r="L70" s="91" t="s">
        <v>321</v>
      </c>
      <c r="M70" s="385" t="s">
        <v>7881</v>
      </c>
      <c r="N70" s="385" t="s">
        <v>29</v>
      </c>
      <c r="O70" s="386" t="s">
        <v>7909</v>
      </c>
      <c r="P70" s="387" t="s">
        <v>307</v>
      </c>
      <c r="Q70" s="385">
        <v>5959</v>
      </c>
      <c r="R70" s="388">
        <v>45029</v>
      </c>
      <c r="S70" s="388">
        <v>45061</v>
      </c>
      <c r="T70" s="385"/>
      <c r="U70" s="388"/>
      <c r="V70" s="388"/>
      <c r="W70" s="385"/>
      <c r="X70" s="389"/>
      <c r="Y70" s="390">
        <f>Requisitions_Tracker[[#This Row],[Unit Price]]*Requisitions_Tracker[[#This Row],[Quantity]]</f>
        <v>0</v>
      </c>
    </row>
    <row r="71" spans="1:25" ht="30" x14ac:dyDescent="0.25">
      <c r="A71" s="382" t="s">
        <v>529</v>
      </c>
      <c r="B71" s="91" t="s">
        <v>299</v>
      </c>
      <c r="C71" s="91" t="s">
        <v>2</v>
      </c>
      <c r="D71" s="383">
        <v>1011722</v>
      </c>
      <c r="E71" s="384">
        <v>11050919</v>
      </c>
      <c r="F71" s="91" t="s">
        <v>300</v>
      </c>
      <c r="G71" s="91" t="s">
        <v>24</v>
      </c>
      <c r="H71" s="385" t="s">
        <v>784</v>
      </c>
      <c r="I71" s="91" t="s">
        <v>307</v>
      </c>
      <c r="J71" s="43" t="s">
        <v>328</v>
      </c>
      <c r="K71" s="383">
        <v>1</v>
      </c>
      <c r="L71" s="91" t="s">
        <v>321</v>
      </c>
      <c r="M71" s="385" t="s">
        <v>7881</v>
      </c>
      <c r="N71" s="385" t="s">
        <v>29</v>
      </c>
      <c r="O71" s="386" t="s">
        <v>7909</v>
      </c>
      <c r="P71" s="387" t="s">
        <v>307</v>
      </c>
      <c r="Q71" s="385">
        <v>5959</v>
      </c>
      <c r="R71" s="388">
        <v>45099</v>
      </c>
      <c r="S71" s="388">
        <v>45114</v>
      </c>
      <c r="T71" s="385" t="s">
        <v>7910</v>
      </c>
      <c r="U71" s="388">
        <v>45110</v>
      </c>
      <c r="V71" s="388">
        <v>45118</v>
      </c>
      <c r="W71" s="385" t="s">
        <v>7865</v>
      </c>
      <c r="X71" s="389">
        <v>10.86</v>
      </c>
      <c r="Y71" s="390">
        <f>Requisitions_Tracker[[#This Row],[Unit Price]]*Requisitions_Tracker[[#This Row],[Quantity]]</f>
        <v>10.86</v>
      </c>
    </row>
    <row r="72" spans="1:25" ht="30" x14ac:dyDescent="0.25">
      <c r="A72" s="382" t="s">
        <v>529</v>
      </c>
      <c r="B72" s="91" t="s">
        <v>299</v>
      </c>
      <c r="C72" s="91" t="s">
        <v>2</v>
      </c>
      <c r="D72" s="383">
        <v>1011722</v>
      </c>
      <c r="E72" s="384">
        <v>11050919</v>
      </c>
      <c r="F72" s="91" t="s">
        <v>300</v>
      </c>
      <c r="G72" s="91" t="s">
        <v>24</v>
      </c>
      <c r="H72" s="385" t="s">
        <v>784</v>
      </c>
      <c r="I72" s="91" t="s">
        <v>307</v>
      </c>
      <c r="J72" s="43" t="s">
        <v>613</v>
      </c>
      <c r="K72" s="383">
        <v>3</v>
      </c>
      <c r="L72" s="91" t="s">
        <v>321</v>
      </c>
      <c r="M72" s="385" t="s">
        <v>7881</v>
      </c>
      <c r="N72" s="385" t="s">
        <v>29</v>
      </c>
      <c r="O72" s="386" t="s">
        <v>7909</v>
      </c>
      <c r="P72" s="387" t="s">
        <v>307</v>
      </c>
      <c r="Q72" s="385">
        <v>5959</v>
      </c>
      <c r="R72" s="388">
        <v>45099</v>
      </c>
      <c r="S72" s="388">
        <v>45114</v>
      </c>
      <c r="T72" s="385" t="s">
        <v>7910</v>
      </c>
      <c r="U72" s="388">
        <v>45110</v>
      </c>
      <c r="V72" s="388">
        <v>45118</v>
      </c>
      <c r="W72" s="385" t="s">
        <v>7865</v>
      </c>
      <c r="X72" s="389">
        <v>10.86</v>
      </c>
      <c r="Y72" s="390">
        <f>Requisitions_Tracker[[#This Row],[Unit Price]]*Requisitions_Tracker[[#This Row],[Quantity]]</f>
        <v>32.58</v>
      </c>
    </row>
    <row r="73" spans="1:25" ht="30" x14ac:dyDescent="0.25">
      <c r="A73" s="382" t="s">
        <v>529</v>
      </c>
      <c r="B73" s="91" t="s">
        <v>299</v>
      </c>
      <c r="C73" s="91" t="s">
        <v>2</v>
      </c>
      <c r="D73" s="383">
        <v>1011722</v>
      </c>
      <c r="E73" s="384">
        <v>11050919</v>
      </c>
      <c r="F73" s="91" t="s">
        <v>300</v>
      </c>
      <c r="G73" s="91" t="s">
        <v>24</v>
      </c>
      <c r="H73" s="385" t="s">
        <v>784</v>
      </c>
      <c r="I73" s="91" t="s">
        <v>307</v>
      </c>
      <c r="J73" s="43" t="s">
        <v>555</v>
      </c>
      <c r="K73" s="383">
        <v>1</v>
      </c>
      <c r="L73" s="91" t="s">
        <v>321</v>
      </c>
      <c r="M73" s="385" t="s">
        <v>7881</v>
      </c>
      <c r="N73" s="385" t="s">
        <v>29</v>
      </c>
      <c r="O73" s="386" t="s">
        <v>7909</v>
      </c>
      <c r="P73" s="387" t="s">
        <v>307</v>
      </c>
      <c r="Q73" s="385">
        <v>5959</v>
      </c>
      <c r="R73" s="388">
        <v>45099</v>
      </c>
      <c r="S73" s="388">
        <v>45114</v>
      </c>
      <c r="T73" s="385"/>
      <c r="U73" s="388"/>
      <c r="V73" s="388"/>
      <c r="W73" s="385"/>
      <c r="X73" s="389"/>
      <c r="Y73" s="390">
        <f>Requisitions_Tracker[[#This Row],[Unit Price]]*Requisitions_Tracker[[#This Row],[Quantity]]</f>
        <v>0</v>
      </c>
    </row>
    <row r="74" spans="1:25" ht="30" x14ac:dyDescent="0.25">
      <c r="A74" s="382" t="s">
        <v>529</v>
      </c>
      <c r="B74" s="91" t="s">
        <v>299</v>
      </c>
      <c r="C74" s="91" t="s">
        <v>2</v>
      </c>
      <c r="D74" s="383">
        <v>1011722</v>
      </c>
      <c r="E74" s="384">
        <v>11050919</v>
      </c>
      <c r="F74" s="91" t="s">
        <v>300</v>
      </c>
      <c r="G74" s="91" t="s">
        <v>24</v>
      </c>
      <c r="H74" s="385" t="s">
        <v>784</v>
      </c>
      <c r="I74" s="91" t="s">
        <v>307</v>
      </c>
      <c r="J74" s="43" t="s">
        <v>556</v>
      </c>
      <c r="K74" s="383">
        <v>1</v>
      </c>
      <c r="L74" s="91" t="s">
        <v>321</v>
      </c>
      <c r="M74" s="385" t="s">
        <v>7881</v>
      </c>
      <c r="N74" s="385" t="s">
        <v>29</v>
      </c>
      <c r="O74" s="386" t="s">
        <v>7909</v>
      </c>
      <c r="P74" s="387" t="s">
        <v>307</v>
      </c>
      <c r="Q74" s="385">
        <v>5959</v>
      </c>
      <c r="R74" s="388">
        <v>45099</v>
      </c>
      <c r="S74" s="388">
        <v>45114</v>
      </c>
      <c r="T74" s="385"/>
      <c r="U74" s="388"/>
      <c r="V74" s="388"/>
      <c r="W74" s="385"/>
      <c r="X74" s="389"/>
      <c r="Y74" s="390">
        <f>Requisitions_Tracker[[#This Row],[Unit Price]]*Requisitions_Tracker[[#This Row],[Quantity]]</f>
        <v>0</v>
      </c>
    </row>
    <row r="75" spans="1:25" x14ac:dyDescent="0.25">
      <c r="A75" s="382" t="s">
        <v>529</v>
      </c>
      <c r="B75" s="91" t="s">
        <v>368</v>
      </c>
      <c r="C75" s="91" t="s">
        <v>2</v>
      </c>
      <c r="D75" s="383">
        <v>1011937</v>
      </c>
      <c r="E75" s="384"/>
      <c r="F75" s="91" t="s">
        <v>369</v>
      </c>
      <c r="G75" s="91" t="s">
        <v>27</v>
      </c>
      <c r="H75" s="385" t="s">
        <v>752</v>
      </c>
      <c r="I75" s="91" t="s">
        <v>172</v>
      </c>
      <c r="J75" s="43" t="s">
        <v>370</v>
      </c>
      <c r="K75" s="383">
        <v>1</v>
      </c>
      <c r="L75" s="91" t="s">
        <v>321</v>
      </c>
      <c r="M75" s="519" t="s">
        <v>7881</v>
      </c>
      <c r="N75" s="385" t="s">
        <v>29</v>
      </c>
      <c r="O75" s="386" t="s">
        <v>167</v>
      </c>
      <c r="P75" s="387" t="str">
        <f>Requisitions_Tracker[[#This Row],[ConOps Contact]]</f>
        <v>Scott Koenig</v>
      </c>
      <c r="Q75" s="385">
        <v>5253</v>
      </c>
      <c r="R75" s="388">
        <v>45042</v>
      </c>
      <c r="S75" s="388">
        <v>45058</v>
      </c>
      <c r="T75" s="385"/>
      <c r="U75" s="388"/>
      <c r="V75" s="388"/>
      <c r="W75" s="385"/>
      <c r="X75" s="389"/>
      <c r="Y75" s="390">
        <f>Requisitions_Tracker[[#This Row],[Unit Price]]*Requisitions_Tracker[[#This Row],[Quantity]]</f>
        <v>0</v>
      </c>
    </row>
    <row r="76" spans="1:25" x14ac:dyDescent="0.25">
      <c r="A76" s="382" t="s">
        <v>529</v>
      </c>
      <c r="B76" s="91" t="s">
        <v>372</v>
      </c>
      <c r="C76" s="91" t="s">
        <v>4</v>
      </c>
      <c r="D76" s="383">
        <v>1212132</v>
      </c>
      <c r="E76" s="384"/>
      <c r="F76" s="91" t="s">
        <v>373</v>
      </c>
      <c r="G76" s="91" t="s">
        <v>27</v>
      </c>
      <c r="H76" s="385" t="s">
        <v>784</v>
      </c>
      <c r="I76" s="91" t="s">
        <v>376</v>
      </c>
      <c r="J76" s="43" t="s">
        <v>287</v>
      </c>
      <c r="K76" s="383">
        <v>80</v>
      </c>
      <c r="L76" s="91" t="s">
        <v>63</v>
      </c>
      <c r="M76" s="385" t="s">
        <v>7881</v>
      </c>
      <c r="N76" s="760" t="s">
        <v>7911</v>
      </c>
      <c r="O76" s="530"/>
      <c r="P76" s="387" t="str">
        <f>Requisitions_Tracker[[#This Row],[ConOps Contact]]</f>
        <v>TBD</v>
      </c>
      <c r="Q76" s="385"/>
      <c r="R76" s="388" t="s">
        <v>376</v>
      </c>
      <c r="S76" s="388"/>
      <c r="T76" s="385"/>
      <c r="U76" s="388" t="s">
        <v>376</v>
      </c>
      <c r="V76" s="388"/>
      <c r="W76" s="385"/>
      <c r="X76" s="389"/>
      <c r="Y76" s="390">
        <f>Requisitions_Tracker[[#This Row],[Unit Price]]*Requisitions_Tracker[[#This Row],[Quantity]]</f>
        <v>0</v>
      </c>
    </row>
    <row r="77" spans="1:25" x14ac:dyDescent="0.25">
      <c r="A77" s="382" t="s">
        <v>529</v>
      </c>
      <c r="B77" s="91" t="s">
        <v>377</v>
      </c>
      <c r="C77" s="91" t="s">
        <v>4</v>
      </c>
      <c r="D77" s="383">
        <v>1211967</v>
      </c>
      <c r="E77" s="384"/>
      <c r="F77" s="91" t="s">
        <v>373</v>
      </c>
      <c r="G77" s="91" t="s">
        <v>27</v>
      </c>
      <c r="H77" s="385" t="s">
        <v>784</v>
      </c>
      <c r="I77" s="91" t="s">
        <v>376</v>
      </c>
      <c r="J77" s="43" t="s">
        <v>378</v>
      </c>
      <c r="K77" s="383">
        <v>5</v>
      </c>
      <c r="L77" s="91" t="s">
        <v>321</v>
      </c>
      <c r="M77" s="385" t="s">
        <v>7881</v>
      </c>
      <c r="N77" s="760" t="s">
        <v>7911</v>
      </c>
      <c r="O77" s="530"/>
      <c r="P77" s="387" t="str">
        <f>Requisitions_Tracker[[#This Row],[ConOps Contact]]</f>
        <v>TBD</v>
      </c>
      <c r="Q77" s="385"/>
      <c r="R77" s="388" t="s">
        <v>376</v>
      </c>
      <c r="S77" s="388"/>
      <c r="T77" s="385"/>
      <c r="U77" s="388" t="s">
        <v>376</v>
      </c>
      <c r="V77" s="388"/>
      <c r="W77" s="385"/>
      <c r="X77" s="389"/>
      <c r="Y77" s="390">
        <f>Requisitions_Tracker[[#This Row],[Unit Price]]*Requisitions_Tracker[[#This Row],[Quantity]]</f>
        <v>0</v>
      </c>
    </row>
    <row r="78" spans="1:25" x14ac:dyDescent="0.25">
      <c r="A78" s="382" t="s">
        <v>529</v>
      </c>
      <c r="B78" s="91" t="s">
        <v>377</v>
      </c>
      <c r="C78" s="91" t="s">
        <v>4</v>
      </c>
      <c r="D78" s="383">
        <v>1211967</v>
      </c>
      <c r="E78" s="384"/>
      <c r="F78" s="91" t="s">
        <v>373</v>
      </c>
      <c r="G78" s="91" t="s">
        <v>27</v>
      </c>
      <c r="H78" s="385" t="s">
        <v>784</v>
      </c>
      <c r="I78" s="91" t="s">
        <v>376</v>
      </c>
      <c r="J78" s="43" t="s">
        <v>287</v>
      </c>
      <c r="K78" s="383">
        <v>800</v>
      </c>
      <c r="L78" s="91" t="s">
        <v>63</v>
      </c>
      <c r="M78" s="385" t="s">
        <v>7881</v>
      </c>
      <c r="N78" s="760" t="s">
        <v>7911</v>
      </c>
      <c r="O78" s="530"/>
      <c r="P78" s="387" t="str">
        <f>Requisitions_Tracker[[#This Row],[ConOps Contact]]</f>
        <v>TBD</v>
      </c>
      <c r="Q78" s="385"/>
      <c r="R78" s="388" t="s">
        <v>376</v>
      </c>
      <c r="S78" s="388"/>
      <c r="T78" s="385"/>
      <c r="U78" s="388" t="s">
        <v>376</v>
      </c>
      <c r="V78" s="388"/>
      <c r="W78" s="385"/>
      <c r="X78" s="389"/>
      <c r="Y78" s="390">
        <f>Requisitions_Tracker[[#This Row],[Unit Price]]*Requisitions_Tracker[[#This Row],[Quantity]]</f>
        <v>0</v>
      </c>
    </row>
    <row r="79" spans="1:25" x14ac:dyDescent="0.25">
      <c r="A79" s="382" t="s">
        <v>529</v>
      </c>
      <c r="B79" s="91" t="s">
        <v>377</v>
      </c>
      <c r="C79" s="91" t="s">
        <v>4</v>
      </c>
      <c r="D79" s="383">
        <v>1211967</v>
      </c>
      <c r="E79" s="384"/>
      <c r="F79" s="91" t="s">
        <v>373</v>
      </c>
      <c r="G79" s="91" t="s">
        <v>27</v>
      </c>
      <c r="H79" s="385" t="s">
        <v>784</v>
      </c>
      <c r="I79" s="91" t="s">
        <v>376</v>
      </c>
      <c r="J79" s="43" t="s">
        <v>379</v>
      </c>
      <c r="K79" s="383">
        <v>1</v>
      </c>
      <c r="L79" s="91" t="s">
        <v>321</v>
      </c>
      <c r="M79" s="385" t="s">
        <v>7881</v>
      </c>
      <c r="N79" s="760" t="s">
        <v>7911</v>
      </c>
      <c r="O79" s="530"/>
      <c r="P79" s="387" t="str">
        <f>Requisitions_Tracker[[#This Row],[ConOps Contact]]</f>
        <v>TBD</v>
      </c>
      <c r="Q79" s="385"/>
      <c r="R79" s="388" t="s">
        <v>376</v>
      </c>
      <c r="S79" s="388"/>
      <c r="T79" s="385"/>
      <c r="U79" s="388" t="s">
        <v>376</v>
      </c>
      <c r="V79" s="388"/>
      <c r="W79" s="385"/>
      <c r="X79" s="389"/>
      <c r="Y79" s="390">
        <f>Requisitions_Tracker[[#This Row],[Unit Price]]*Requisitions_Tracker[[#This Row],[Quantity]]</f>
        <v>0</v>
      </c>
    </row>
    <row r="80" spans="1:25" x14ac:dyDescent="0.25">
      <c r="A80" s="382" t="s">
        <v>7912</v>
      </c>
      <c r="B80" s="91" t="s">
        <v>380</v>
      </c>
      <c r="C80" s="91" t="s">
        <v>4</v>
      </c>
      <c r="D80" s="383">
        <v>1211681</v>
      </c>
      <c r="E80" s="384">
        <v>11050938</v>
      </c>
      <c r="F80" s="91" t="s">
        <v>111</v>
      </c>
      <c r="G80" s="91" t="s">
        <v>27</v>
      </c>
      <c r="H80" s="385" t="s">
        <v>784</v>
      </c>
      <c r="I80" s="91" t="s">
        <v>267</v>
      </c>
      <c r="J80" s="43" t="s">
        <v>109</v>
      </c>
      <c r="K80" s="383">
        <v>2200</v>
      </c>
      <c r="L80" s="91" t="s">
        <v>63</v>
      </c>
      <c r="M80" s="519" t="s">
        <v>389</v>
      </c>
      <c r="N80" s="760" t="s">
        <v>29</v>
      </c>
      <c r="O80" s="522" t="s">
        <v>267</v>
      </c>
      <c r="P80" s="387" t="str">
        <f>Requisitions_Tracker[[#This Row],[ConOps Contact]]</f>
        <v>By ConOps</v>
      </c>
      <c r="Q80" s="385"/>
      <c r="R80" s="388" t="s">
        <v>376</v>
      </c>
      <c r="S80" s="388"/>
      <c r="T80" s="385"/>
      <c r="U80" s="388" t="s">
        <v>376</v>
      </c>
      <c r="V80" s="388"/>
      <c r="W80" s="385"/>
      <c r="X80" s="389"/>
      <c r="Y80" s="390">
        <f>Requisitions_Tracker[[#This Row],[Unit Price]]*Requisitions_Tracker[[#This Row],[Quantity]]</f>
        <v>0</v>
      </c>
    </row>
    <row r="81" spans="1:25" x14ac:dyDescent="0.25">
      <c r="A81" s="385" t="s">
        <v>7912</v>
      </c>
      <c r="B81" s="91" t="s">
        <v>380</v>
      </c>
      <c r="C81" s="91" t="s">
        <v>4</v>
      </c>
      <c r="D81" s="383">
        <v>1211681</v>
      </c>
      <c r="E81" s="384">
        <v>11050938</v>
      </c>
      <c r="F81" s="91" t="s">
        <v>111</v>
      </c>
      <c r="G81" s="91" t="s">
        <v>27</v>
      </c>
      <c r="H81" s="385" t="s">
        <v>784</v>
      </c>
      <c r="I81" s="91" t="s">
        <v>267</v>
      </c>
      <c r="J81" s="43" t="s">
        <v>382</v>
      </c>
      <c r="K81" s="383">
        <v>1</v>
      </c>
      <c r="L81" s="91" t="s">
        <v>321</v>
      </c>
      <c r="M81" s="519" t="s">
        <v>279</v>
      </c>
      <c r="N81" s="760" t="s">
        <v>29</v>
      </c>
      <c r="O81" s="522" t="s">
        <v>267</v>
      </c>
      <c r="P81" s="387" t="str">
        <f>Requisitions_Tracker[[#This Row],[ConOps Contact]]</f>
        <v>By ConOps</v>
      </c>
      <c r="Q81" s="385"/>
      <c r="R81" s="388" t="s">
        <v>376</v>
      </c>
      <c r="S81" s="388"/>
      <c r="T81" s="385"/>
      <c r="U81" s="388" t="s">
        <v>376</v>
      </c>
      <c r="V81" s="388"/>
      <c r="W81" s="385"/>
      <c r="X81" s="389"/>
      <c r="Y81" s="390">
        <f>Requisitions_Tracker[[#This Row],[Unit Price]]*Requisitions_Tracker[[#This Row],[Quantity]]</f>
        <v>0</v>
      </c>
    </row>
    <row r="82" spans="1:25" x14ac:dyDescent="0.25">
      <c r="A82" s="382" t="s">
        <v>7912</v>
      </c>
      <c r="B82" s="91" t="s">
        <v>383</v>
      </c>
      <c r="C82" s="91" t="s">
        <v>3</v>
      </c>
      <c r="D82" s="383">
        <v>129327</v>
      </c>
      <c r="E82" s="384">
        <v>11037256</v>
      </c>
      <c r="F82" s="91" t="s">
        <v>104</v>
      </c>
      <c r="G82" s="91" t="s">
        <v>36</v>
      </c>
      <c r="H82" s="385" t="s">
        <v>784</v>
      </c>
      <c r="I82" s="91" t="s">
        <v>267</v>
      </c>
      <c r="J82" s="43" t="s">
        <v>109</v>
      </c>
      <c r="K82" s="383">
        <v>200</v>
      </c>
      <c r="L82" s="91" t="s">
        <v>63</v>
      </c>
      <c r="M82" s="385" t="s">
        <v>279</v>
      </c>
      <c r="N82" s="760" t="s">
        <v>29</v>
      </c>
      <c r="O82" s="386" t="s">
        <v>267</v>
      </c>
      <c r="P82" s="387" t="str">
        <f>Requisitions_Tracker[[#This Row],[ConOps Contact]]</f>
        <v>By ConOps</v>
      </c>
      <c r="Q82" s="385"/>
      <c r="R82" s="388" t="s">
        <v>267</v>
      </c>
      <c r="S82" s="388"/>
      <c r="T82" s="385"/>
      <c r="U82" s="388" t="s">
        <v>267</v>
      </c>
      <c r="V82" s="388"/>
      <c r="W82" s="385"/>
      <c r="X82" s="389"/>
      <c r="Y82" s="390">
        <f>Requisitions_Tracker[[#This Row],[Unit Price]]*Requisitions_Tracker[[#This Row],[Quantity]]</f>
        <v>0</v>
      </c>
    </row>
    <row r="83" spans="1:25" x14ac:dyDescent="0.25">
      <c r="A83" s="382" t="s">
        <v>7912</v>
      </c>
      <c r="B83" s="91" t="s">
        <v>384</v>
      </c>
      <c r="C83" s="91" t="s">
        <v>3</v>
      </c>
      <c r="D83" s="383">
        <v>129328</v>
      </c>
      <c r="E83" s="384">
        <v>11037256</v>
      </c>
      <c r="F83" s="91" t="s">
        <v>104</v>
      </c>
      <c r="G83" s="91" t="s">
        <v>36</v>
      </c>
      <c r="H83" s="385" t="s">
        <v>784</v>
      </c>
      <c r="I83" s="91" t="s">
        <v>267</v>
      </c>
      <c r="J83" s="43" t="s">
        <v>358</v>
      </c>
      <c r="K83" s="383">
        <v>400</v>
      </c>
      <c r="L83" s="91" t="s">
        <v>63</v>
      </c>
      <c r="M83" s="385" t="s">
        <v>279</v>
      </c>
      <c r="N83" s="760" t="s">
        <v>29</v>
      </c>
      <c r="O83" s="386" t="s">
        <v>267</v>
      </c>
      <c r="P83" s="387" t="str">
        <f>Requisitions_Tracker[[#This Row],[ConOps Contact]]</f>
        <v>By ConOps</v>
      </c>
      <c r="Q83" s="385"/>
      <c r="R83" s="388"/>
      <c r="S83" s="388"/>
      <c r="T83" s="385"/>
      <c r="U83" s="388"/>
      <c r="V83" s="388"/>
      <c r="W83" s="385"/>
      <c r="X83" s="389"/>
      <c r="Y83" s="390">
        <f>Requisitions_Tracker[[#This Row],[Unit Price]]*Requisitions_Tracker[[#This Row],[Quantity]]</f>
        <v>0</v>
      </c>
    </row>
    <row r="84" spans="1:25" x14ac:dyDescent="0.25">
      <c r="A84" s="91" t="s">
        <v>7912</v>
      </c>
      <c r="B84" s="91" t="s">
        <v>385</v>
      </c>
      <c r="C84" s="91" t="s">
        <v>4</v>
      </c>
      <c r="D84" s="383">
        <v>135740</v>
      </c>
      <c r="E84" s="384">
        <v>11042302</v>
      </c>
      <c r="F84" s="91" t="s">
        <v>386</v>
      </c>
      <c r="G84" s="91" t="s">
        <v>39</v>
      </c>
      <c r="H84" s="385" t="s">
        <v>738</v>
      </c>
      <c r="I84" s="91" t="s">
        <v>267</v>
      </c>
      <c r="J84" s="43" t="s">
        <v>358</v>
      </c>
      <c r="K84" s="383">
        <v>1120</v>
      </c>
      <c r="L84" s="91" t="s">
        <v>63</v>
      </c>
      <c r="M84" s="519" t="s">
        <v>279</v>
      </c>
      <c r="N84" s="760" t="s">
        <v>29</v>
      </c>
      <c r="O84" s="522" t="s">
        <v>267</v>
      </c>
      <c r="P84" s="387" t="str">
        <f>Requisitions_Tracker[[#This Row],[ConOps Contact]]</f>
        <v>By ConOps</v>
      </c>
      <c r="Q84" s="385"/>
      <c r="R84" s="388" t="s">
        <v>267</v>
      </c>
      <c r="S84" s="388"/>
      <c r="T84" s="385"/>
      <c r="U84" s="388" t="s">
        <v>267</v>
      </c>
      <c r="V84" s="388"/>
      <c r="W84" s="385"/>
      <c r="X84" s="389"/>
      <c r="Y84" s="390">
        <f>Requisitions_Tracker[[#This Row],[Unit Price]]*Requisitions_Tracker[[#This Row],[Quantity]]</f>
        <v>0</v>
      </c>
    </row>
    <row r="85" spans="1:25" x14ac:dyDescent="0.25">
      <c r="A85" s="91" t="s">
        <v>7912</v>
      </c>
      <c r="B85" s="91" t="s">
        <v>387</v>
      </c>
      <c r="C85" s="91" t="s">
        <v>4</v>
      </c>
      <c r="D85" s="383">
        <v>1212705</v>
      </c>
      <c r="E85" s="384"/>
      <c r="F85" s="91" t="s">
        <v>388</v>
      </c>
      <c r="G85" s="91" t="s">
        <v>28</v>
      </c>
      <c r="H85" s="385" t="s">
        <v>747</v>
      </c>
      <c r="I85" s="91" t="s">
        <v>267</v>
      </c>
      <c r="J85" s="43" t="s">
        <v>109</v>
      </c>
      <c r="K85" s="383">
        <v>1800</v>
      </c>
      <c r="L85" s="91" t="s">
        <v>63</v>
      </c>
      <c r="M85" s="519" t="s">
        <v>389</v>
      </c>
      <c r="N85" s="760" t="s">
        <v>29</v>
      </c>
      <c r="O85" s="522" t="s">
        <v>267</v>
      </c>
      <c r="P85" s="387" t="str">
        <f>Requisitions_Tracker[[#This Row],[ConOps Contact]]</f>
        <v>By ConOps</v>
      </c>
      <c r="Q85" s="385"/>
      <c r="R85" s="388" t="s">
        <v>267</v>
      </c>
      <c r="S85" s="388"/>
      <c r="T85" s="385"/>
      <c r="U85" s="388" t="s">
        <v>267</v>
      </c>
      <c r="V85" s="388"/>
      <c r="W85" s="385"/>
      <c r="X85" s="389"/>
      <c r="Y85" s="390">
        <f>Requisitions_Tracker[[#This Row],[Unit Price]]*Requisitions_Tracker[[#This Row],[Quantity]]</f>
        <v>0</v>
      </c>
    </row>
    <row r="86" spans="1:25" x14ac:dyDescent="0.25">
      <c r="A86" s="50" t="s">
        <v>7912</v>
      </c>
      <c r="B86" s="91" t="s">
        <v>390</v>
      </c>
      <c r="C86" s="91" t="s">
        <v>4</v>
      </c>
      <c r="D86" s="383">
        <v>1212745</v>
      </c>
      <c r="E86" s="384"/>
      <c r="F86" s="91" t="s">
        <v>391</v>
      </c>
      <c r="G86" s="91" t="s">
        <v>28</v>
      </c>
      <c r="H86" s="385" t="s">
        <v>784</v>
      </c>
      <c r="I86" s="91" t="s">
        <v>267</v>
      </c>
      <c r="J86" s="43" t="s">
        <v>109</v>
      </c>
      <c r="K86" s="383">
        <v>200</v>
      </c>
      <c r="L86" s="91" t="s">
        <v>63</v>
      </c>
      <c r="M86" s="519" t="s">
        <v>389</v>
      </c>
      <c r="N86" s="760" t="s">
        <v>29</v>
      </c>
      <c r="O86" s="522" t="s">
        <v>267</v>
      </c>
      <c r="P86" s="387" t="str">
        <f>Requisitions_Tracker[[#This Row],[ConOps Contact]]</f>
        <v>By ConOps</v>
      </c>
      <c r="Q86" s="385"/>
      <c r="R86" s="388" t="s">
        <v>267</v>
      </c>
      <c r="S86" s="388"/>
      <c r="T86" s="385"/>
      <c r="U86" s="388" t="s">
        <v>267</v>
      </c>
      <c r="V86" s="388"/>
      <c r="W86" s="385"/>
      <c r="X86" s="389"/>
      <c r="Y86" s="390">
        <f>Requisitions_Tracker[[#This Row],[Unit Price]]*Requisitions_Tracker[[#This Row],[Quantity]]</f>
        <v>0</v>
      </c>
    </row>
    <row r="87" spans="1:25" x14ac:dyDescent="0.25">
      <c r="A87" s="382" t="s">
        <v>7913</v>
      </c>
      <c r="B87" s="91" t="s">
        <v>392</v>
      </c>
      <c r="C87" s="91" t="s">
        <v>4</v>
      </c>
      <c r="D87" s="383">
        <v>1212385</v>
      </c>
      <c r="E87" s="384"/>
      <c r="F87" s="91" t="s">
        <v>393</v>
      </c>
      <c r="G87" s="91" t="s">
        <v>27</v>
      </c>
      <c r="H87" s="385" t="s">
        <v>784</v>
      </c>
      <c r="I87" s="91" t="s">
        <v>7914</v>
      </c>
      <c r="J87" s="43" t="s">
        <v>394</v>
      </c>
      <c r="K87" s="383">
        <v>2</v>
      </c>
      <c r="L87" s="91" t="s">
        <v>321</v>
      </c>
      <c r="M87" s="385" t="s">
        <v>7915</v>
      </c>
      <c r="N87" s="760" t="s">
        <v>7916</v>
      </c>
      <c r="O87" s="530"/>
      <c r="P87" s="387" t="str">
        <f>Requisitions_Tracker[[#This Row],[ConOps Contact]]</f>
        <v>Frank Tanzilo</v>
      </c>
      <c r="Q87" s="385"/>
      <c r="R87" s="388"/>
      <c r="S87" s="388"/>
      <c r="T87" s="385"/>
      <c r="U87" s="388"/>
      <c r="V87" s="388"/>
      <c r="W87" s="385"/>
      <c r="X87" s="389"/>
      <c r="Y87" s="390">
        <f>Requisitions_Tracker[[#This Row],[Unit Price]]*Requisitions_Tracker[[#This Row],[Quantity]]</f>
        <v>0</v>
      </c>
    </row>
    <row r="88" spans="1:25" x14ac:dyDescent="0.25">
      <c r="A88" s="382" t="s">
        <v>7913</v>
      </c>
      <c r="B88" s="91" t="s">
        <v>392</v>
      </c>
      <c r="C88" s="91" t="s">
        <v>4</v>
      </c>
      <c r="D88" s="383">
        <v>1212385</v>
      </c>
      <c r="E88" s="384"/>
      <c r="F88" s="91" t="s">
        <v>393</v>
      </c>
      <c r="G88" s="91" t="s">
        <v>27</v>
      </c>
      <c r="H88" s="385" t="s">
        <v>784</v>
      </c>
      <c r="I88" s="91" t="s">
        <v>7914</v>
      </c>
      <c r="J88" s="43" t="s">
        <v>395</v>
      </c>
      <c r="K88" s="383">
        <v>3</v>
      </c>
      <c r="L88" s="91" t="s">
        <v>321</v>
      </c>
      <c r="M88" s="385" t="s">
        <v>7915</v>
      </c>
      <c r="N88" s="760" t="s">
        <v>7916</v>
      </c>
      <c r="O88" s="530"/>
      <c r="P88" s="387" t="str">
        <f>Requisitions_Tracker[[#This Row],[ConOps Contact]]</f>
        <v>Frank Tanzilo</v>
      </c>
      <c r="Q88" s="385"/>
      <c r="R88" s="388"/>
      <c r="S88" s="388"/>
      <c r="T88" s="385"/>
      <c r="U88" s="388"/>
      <c r="V88" s="388"/>
      <c r="W88" s="385"/>
      <c r="X88" s="389"/>
      <c r="Y88" s="390">
        <f>Requisitions_Tracker[[#This Row],[Unit Price]]*Requisitions_Tracker[[#This Row],[Quantity]]</f>
        <v>0</v>
      </c>
    </row>
    <row r="89" spans="1:25" x14ac:dyDescent="0.25">
      <c r="A89" s="382" t="s">
        <v>7902</v>
      </c>
      <c r="B89" s="91" t="s">
        <v>397</v>
      </c>
      <c r="C89" s="91" t="s">
        <v>4</v>
      </c>
      <c r="D89" s="383">
        <v>1212065</v>
      </c>
      <c r="E89" s="384">
        <v>11088378</v>
      </c>
      <c r="F89" s="91" t="s">
        <v>398</v>
      </c>
      <c r="G89" s="91" t="s">
        <v>35</v>
      </c>
      <c r="H89" s="385" t="s">
        <v>784</v>
      </c>
      <c r="I89" s="91" t="s">
        <v>7917</v>
      </c>
      <c r="J89" s="43" t="s">
        <v>109</v>
      </c>
      <c r="K89" s="383">
        <v>1120</v>
      </c>
      <c r="L89" s="91" t="s">
        <v>63</v>
      </c>
      <c r="M89" s="385" t="s">
        <v>7881</v>
      </c>
      <c r="N89" s="760" t="s">
        <v>7916</v>
      </c>
      <c r="O89" s="522" t="s">
        <v>167</v>
      </c>
      <c r="P89" s="387" t="str">
        <f>Requisitions_Tracker[[#This Row],[ConOps Contact]]</f>
        <v>Frank Tanzillo</v>
      </c>
      <c r="Q89" s="385"/>
      <c r="R89" s="388"/>
      <c r="S89" s="388"/>
      <c r="T89" s="385"/>
      <c r="U89" s="388"/>
      <c r="V89" s="388"/>
      <c r="W89" s="385"/>
      <c r="X89" s="389"/>
      <c r="Y89" s="390">
        <f>Requisitions_Tracker[[#This Row],[Unit Price]]*Requisitions_Tracker[[#This Row],[Quantity]]</f>
        <v>0</v>
      </c>
    </row>
    <row r="90" spans="1:25" x14ac:dyDescent="0.25">
      <c r="A90" s="382" t="s">
        <v>529</v>
      </c>
      <c r="B90" s="91" t="s">
        <v>399</v>
      </c>
      <c r="C90" s="91" t="s">
        <v>4</v>
      </c>
      <c r="D90" s="383">
        <v>1212833</v>
      </c>
      <c r="E90" s="384"/>
      <c r="F90" s="91" t="s">
        <v>400</v>
      </c>
      <c r="G90" s="91" t="s">
        <v>35</v>
      </c>
      <c r="H90" s="385" t="s">
        <v>784</v>
      </c>
      <c r="I90" s="91" t="s">
        <v>7917</v>
      </c>
      <c r="J90" s="43" t="s">
        <v>109</v>
      </c>
      <c r="K90" s="383">
        <v>2400</v>
      </c>
      <c r="L90" s="91" t="s">
        <v>63</v>
      </c>
      <c r="M90" s="773" t="s">
        <v>7881</v>
      </c>
      <c r="N90" s="760" t="s">
        <v>7916</v>
      </c>
      <c r="O90" s="522" t="s">
        <v>167</v>
      </c>
      <c r="P90" s="387" t="str">
        <f>Requisitions_Tracker[[#This Row],[ConOps Contact]]</f>
        <v>Frank Tanzillo</v>
      </c>
      <c r="Q90" s="385"/>
      <c r="R90" s="388"/>
      <c r="S90" s="388"/>
      <c r="T90" s="385"/>
      <c r="U90" s="388"/>
      <c r="V90" s="388"/>
      <c r="W90" s="385"/>
      <c r="X90" s="389"/>
      <c r="Y90" s="390">
        <f>Requisitions_Tracker[[#This Row],[Unit Price]]*Requisitions_Tracker[[#This Row],[Quantity]]</f>
        <v>0</v>
      </c>
    </row>
    <row r="91" spans="1:25" ht="30" x14ac:dyDescent="0.25">
      <c r="A91" s="382" t="s">
        <v>7902</v>
      </c>
      <c r="B91" s="91" t="s">
        <v>401</v>
      </c>
      <c r="C91" s="91" t="s">
        <v>4</v>
      </c>
      <c r="D91" s="383">
        <v>1212723</v>
      </c>
      <c r="E91" s="384"/>
      <c r="F91" s="91" t="s">
        <v>402</v>
      </c>
      <c r="G91" s="91" t="s">
        <v>25</v>
      </c>
      <c r="H91" s="385" t="s">
        <v>747</v>
      </c>
      <c r="I91" s="91" t="s">
        <v>247</v>
      </c>
      <c r="J91" s="43" t="s">
        <v>403</v>
      </c>
      <c r="K91" s="383">
        <v>1</v>
      </c>
      <c r="L91" s="91" t="s">
        <v>321</v>
      </c>
      <c r="M91" s="519" t="s">
        <v>252</v>
      </c>
      <c r="N91" s="760" t="s">
        <v>29</v>
      </c>
      <c r="O91" s="522" t="s">
        <v>7918</v>
      </c>
      <c r="P91" s="387" t="s">
        <v>7919</v>
      </c>
      <c r="Q91" s="385">
        <v>10448</v>
      </c>
      <c r="R91" s="388">
        <v>45413</v>
      </c>
      <c r="S91" s="388">
        <v>45444</v>
      </c>
      <c r="T91" s="385"/>
      <c r="U91" s="388"/>
      <c r="V91" s="388"/>
      <c r="W91" s="385"/>
      <c r="X91" s="389"/>
      <c r="Y91" s="390">
        <f>Requisitions_Tracker[[#This Row],[Unit Price]]*Requisitions_Tracker[[#This Row],[Quantity]]</f>
        <v>0</v>
      </c>
    </row>
    <row r="92" spans="1:25" x14ac:dyDescent="0.25">
      <c r="A92" s="382" t="s">
        <v>7902</v>
      </c>
      <c r="B92" s="91" t="s">
        <v>404</v>
      </c>
      <c r="C92" s="91" t="s">
        <v>4</v>
      </c>
      <c r="D92" s="383">
        <v>1412627</v>
      </c>
      <c r="E92" s="384">
        <v>11059891</v>
      </c>
      <c r="F92" s="91" t="s">
        <v>405</v>
      </c>
      <c r="G92" s="91" t="s">
        <v>28</v>
      </c>
      <c r="H92" s="385" t="s">
        <v>747</v>
      </c>
      <c r="I92" s="91" t="s">
        <v>407</v>
      </c>
      <c r="J92" s="43" t="s">
        <v>379</v>
      </c>
      <c r="K92" s="383">
        <v>3</v>
      </c>
      <c r="L92" s="91" t="s">
        <v>321</v>
      </c>
      <c r="M92" s="519" t="s">
        <v>7863</v>
      </c>
      <c r="N92" s="760" t="s">
        <v>7920</v>
      </c>
      <c r="O92" s="522" t="s">
        <v>406</v>
      </c>
      <c r="P92" s="387" t="str">
        <f>Requisitions_Tracker[[#This Row],[ConOps Contact]]</f>
        <v>Ryant Banks</v>
      </c>
      <c r="Q92" s="385">
        <v>6307</v>
      </c>
      <c r="R92" s="388">
        <v>45132</v>
      </c>
      <c r="S92" s="388">
        <v>45125</v>
      </c>
      <c r="T92" s="385" t="s">
        <v>7921</v>
      </c>
      <c r="U92" s="388">
        <v>45154</v>
      </c>
      <c r="V92" s="388">
        <v>45161</v>
      </c>
      <c r="W92" s="385" t="s">
        <v>7865</v>
      </c>
      <c r="X92" s="389">
        <v>70</v>
      </c>
      <c r="Y92" s="390">
        <f>Requisitions_Tracker[[#This Row],[Unit Price]]*Requisitions_Tracker[[#This Row],[Quantity]]</f>
        <v>210</v>
      </c>
    </row>
    <row r="93" spans="1:25" ht="30" x14ac:dyDescent="0.25">
      <c r="A93" s="382" t="s">
        <v>7902</v>
      </c>
      <c r="B93" s="91" t="s">
        <v>409</v>
      </c>
      <c r="C93" s="91" t="s">
        <v>3</v>
      </c>
      <c r="D93" s="383">
        <v>1412200</v>
      </c>
      <c r="E93" s="384">
        <v>11056678</v>
      </c>
      <c r="F93" s="91" t="s">
        <v>141</v>
      </c>
      <c r="G93" s="91" t="s">
        <v>22</v>
      </c>
      <c r="H93" s="385" t="s">
        <v>747</v>
      </c>
      <c r="I93" s="91" t="s">
        <v>222</v>
      </c>
      <c r="J93" s="43" t="s">
        <v>410</v>
      </c>
      <c r="K93" s="383">
        <v>402.3</v>
      </c>
      <c r="L93" s="91" t="s">
        <v>63</v>
      </c>
      <c r="M93" s="519" t="s">
        <v>7863</v>
      </c>
      <c r="N93" s="760" t="s">
        <v>29</v>
      </c>
      <c r="O93" s="386" t="s">
        <v>167</v>
      </c>
      <c r="P93" s="387" t="str">
        <f>Requisitions_Tracker[[#This Row],[ConOps Contact]]</f>
        <v>Bill McDonald</v>
      </c>
      <c r="Q93" s="385">
        <v>5291</v>
      </c>
      <c r="R93" s="388">
        <v>45043</v>
      </c>
      <c r="S93" s="388">
        <v>45093</v>
      </c>
      <c r="T93" s="385" t="s">
        <v>7922</v>
      </c>
      <c r="U93" s="388">
        <v>45159</v>
      </c>
      <c r="V93" s="388">
        <v>45106</v>
      </c>
      <c r="W93" s="387" t="s">
        <v>7871</v>
      </c>
      <c r="X93" s="389">
        <v>39.35</v>
      </c>
      <c r="Y93" s="390">
        <f>Requisitions_Tracker[[#This Row],[Unit Price]]*Requisitions_Tracker[[#This Row],[Quantity]]</f>
        <v>15830.505000000001</v>
      </c>
    </row>
    <row r="94" spans="1:25" x14ac:dyDescent="0.25">
      <c r="A94" s="382" t="s">
        <v>7902</v>
      </c>
      <c r="B94" s="91" t="s">
        <v>409</v>
      </c>
      <c r="C94" s="91" t="s">
        <v>3</v>
      </c>
      <c r="D94" s="383">
        <v>1412200</v>
      </c>
      <c r="E94" s="384">
        <v>11056678</v>
      </c>
      <c r="F94" s="91" t="s">
        <v>141</v>
      </c>
      <c r="G94" s="91" t="s">
        <v>22</v>
      </c>
      <c r="H94" s="385" t="s">
        <v>747</v>
      </c>
      <c r="I94" s="91" t="s">
        <v>222</v>
      </c>
      <c r="J94" s="43" t="s">
        <v>220</v>
      </c>
      <c r="K94" s="383">
        <v>2</v>
      </c>
      <c r="L94" s="91" t="s">
        <v>321</v>
      </c>
      <c r="M94" s="519" t="s">
        <v>7863</v>
      </c>
      <c r="N94" s="760" t="s">
        <v>29</v>
      </c>
      <c r="O94" s="386" t="s">
        <v>167</v>
      </c>
      <c r="P94" s="387" t="str">
        <f>Requisitions_Tracker[[#This Row],[ConOps Contact]]</f>
        <v>Bill McDonald</v>
      </c>
      <c r="Q94" s="385">
        <v>5291</v>
      </c>
      <c r="R94" s="388">
        <v>45043</v>
      </c>
      <c r="S94" s="388">
        <v>45093</v>
      </c>
      <c r="T94" s="385" t="s">
        <v>7923</v>
      </c>
      <c r="U94" s="388" t="s">
        <v>376</v>
      </c>
      <c r="V94" s="388">
        <v>45070</v>
      </c>
      <c r="W94" s="385" t="s">
        <v>7865</v>
      </c>
      <c r="X94" s="389">
        <v>193.49</v>
      </c>
      <c r="Y94" s="390">
        <f>Requisitions_Tracker[[#This Row],[Unit Price]]*Requisitions_Tracker[[#This Row],[Quantity]]</f>
        <v>386.98</v>
      </c>
    </row>
    <row r="95" spans="1:25" x14ac:dyDescent="0.25">
      <c r="A95" s="382" t="s">
        <v>7912</v>
      </c>
      <c r="B95" s="91" t="s">
        <v>414</v>
      </c>
      <c r="C95" s="91" t="s">
        <v>4</v>
      </c>
      <c r="D95" s="383">
        <v>1212526</v>
      </c>
      <c r="E95" s="384"/>
      <c r="F95" s="91" t="s">
        <v>415</v>
      </c>
      <c r="G95" s="91" t="s">
        <v>25</v>
      </c>
      <c r="H95" s="385" t="s">
        <v>784</v>
      </c>
      <c r="I95" s="91" t="s">
        <v>7917</v>
      </c>
      <c r="J95" s="43" t="s">
        <v>109</v>
      </c>
      <c r="K95" s="383">
        <v>213</v>
      </c>
      <c r="L95" s="91" t="s">
        <v>63</v>
      </c>
      <c r="M95" s="519" t="s">
        <v>389</v>
      </c>
      <c r="N95" s="760" t="s">
        <v>29</v>
      </c>
      <c r="O95" s="522" t="s">
        <v>267</v>
      </c>
      <c r="P95" s="387" t="str">
        <f>Requisitions_Tracker[[#This Row],[ConOps Contact]]</f>
        <v>Frank Tanzillo</v>
      </c>
      <c r="Q95" s="385"/>
      <c r="R95" s="388"/>
      <c r="S95" s="388"/>
      <c r="T95" s="385"/>
      <c r="U95" s="388"/>
      <c r="V95" s="388"/>
      <c r="W95" s="385"/>
      <c r="X95" s="389"/>
      <c r="Y95" s="390">
        <f>Requisitions_Tracker[[#This Row],[Unit Price]]*Requisitions_Tracker[[#This Row],[Quantity]]</f>
        <v>0</v>
      </c>
    </row>
    <row r="96" spans="1:25" x14ac:dyDescent="0.25">
      <c r="A96" s="382" t="s">
        <v>7912</v>
      </c>
      <c r="B96" s="91" t="s">
        <v>414</v>
      </c>
      <c r="C96" s="91" t="s">
        <v>4</v>
      </c>
      <c r="D96" s="383">
        <v>1212526</v>
      </c>
      <c r="E96" s="384"/>
      <c r="F96" s="91" t="s">
        <v>415</v>
      </c>
      <c r="G96" s="91" t="s">
        <v>25</v>
      </c>
      <c r="H96" s="385" t="s">
        <v>784</v>
      </c>
      <c r="I96" s="91" t="s">
        <v>7917</v>
      </c>
      <c r="J96" s="43" t="s">
        <v>395</v>
      </c>
      <c r="K96" s="383">
        <v>2</v>
      </c>
      <c r="L96" s="91" t="s">
        <v>321</v>
      </c>
      <c r="M96" s="519" t="s">
        <v>389</v>
      </c>
      <c r="N96" s="760" t="s">
        <v>29</v>
      </c>
      <c r="O96" s="522" t="s">
        <v>4890</v>
      </c>
      <c r="P96" s="387" t="str">
        <f>Requisitions_Tracker[[#This Row],[ConOps Contact]]</f>
        <v>Frank Tanzillo</v>
      </c>
      <c r="Q96" s="385">
        <v>13368</v>
      </c>
      <c r="R96" s="388">
        <v>45593</v>
      </c>
      <c r="S96" s="388">
        <v>45621</v>
      </c>
      <c r="T96" s="385"/>
      <c r="U96" s="388"/>
      <c r="V96" s="388"/>
      <c r="W96" s="385"/>
      <c r="X96" s="389"/>
      <c r="Y96" s="390">
        <f>Requisitions_Tracker[[#This Row],[Unit Price]]*Requisitions_Tracker[[#This Row],[Quantity]]</f>
        <v>0</v>
      </c>
    </row>
    <row r="97" spans="1:25" x14ac:dyDescent="0.25">
      <c r="A97" s="382" t="s">
        <v>7902</v>
      </c>
      <c r="B97" s="91" t="s">
        <v>7924</v>
      </c>
      <c r="C97" s="91" t="s">
        <v>4</v>
      </c>
      <c r="D97" s="383">
        <v>1314071</v>
      </c>
      <c r="E97" s="384"/>
      <c r="F97" s="91" t="s">
        <v>300</v>
      </c>
      <c r="G97" s="91" t="s">
        <v>25</v>
      </c>
      <c r="H97" s="385" t="s">
        <v>851</v>
      </c>
      <c r="I97" s="91" t="s">
        <v>247</v>
      </c>
      <c r="J97" s="513" t="s">
        <v>113</v>
      </c>
      <c r="K97" s="383">
        <v>1240</v>
      </c>
      <c r="L97" s="91" t="s">
        <v>63</v>
      </c>
      <c r="M97" s="385" t="s">
        <v>59</v>
      </c>
      <c r="N97" s="760" t="s">
        <v>29</v>
      </c>
      <c r="O97" s="726" t="s">
        <v>7925</v>
      </c>
      <c r="P97" s="387" t="str">
        <f>Requisitions_Tracker[[#This Row],[ConOps Contact]]</f>
        <v>Joe Gaca</v>
      </c>
      <c r="Q97" s="385">
        <v>16044</v>
      </c>
      <c r="R97" s="388">
        <v>45750</v>
      </c>
      <c r="S97" s="388">
        <v>45779</v>
      </c>
      <c r="T97" s="385"/>
      <c r="U97" s="388"/>
      <c r="V97" s="388"/>
      <c r="W97" s="385"/>
      <c r="X97" s="389"/>
      <c r="Y97" s="390">
        <f>Requisitions_Tracker[[#This Row],[Unit Price]]*Requisitions_Tracker[[#This Row],[Quantity]]</f>
        <v>0</v>
      </c>
    </row>
    <row r="98" spans="1:25" x14ac:dyDescent="0.25">
      <c r="A98" s="382" t="s">
        <v>7902</v>
      </c>
      <c r="B98" s="91" t="s">
        <v>7924</v>
      </c>
      <c r="C98" s="91" t="s">
        <v>4</v>
      </c>
      <c r="D98" s="383">
        <v>1314001</v>
      </c>
      <c r="E98" s="384"/>
      <c r="F98" s="91" t="s">
        <v>300</v>
      </c>
      <c r="G98" s="91" t="s">
        <v>25</v>
      </c>
      <c r="H98" s="385" t="s">
        <v>851</v>
      </c>
      <c r="I98" s="91" t="s">
        <v>247</v>
      </c>
      <c r="J98" s="513" t="s">
        <v>113</v>
      </c>
      <c r="K98" s="383">
        <v>2560</v>
      </c>
      <c r="L98" s="91" t="s">
        <v>63</v>
      </c>
      <c r="M98" s="385" t="s">
        <v>59</v>
      </c>
      <c r="N98" s="760" t="s">
        <v>29</v>
      </c>
      <c r="O98" s="726" t="s">
        <v>7925</v>
      </c>
      <c r="P98" s="387" t="str">
        <f>Requisitions_Tracker[[#This Row],[ConOps Contact]]</f>
        <v>Joe Gaca</v>
      </c>
      <c r="Q98" s="385">
        <v>16038</v>
      </c>
      <c r="R98" s="388">
        <v>45750</v>
      </c>
      <c r="S98" s="388">
        <v>45779</v>
      </c>
      <c r="T98" s="385"/>
      <c r="U98" s="388"/>
      <c r="V98" s="388"/>
      <c r="W98" s="385"/>
      <c r="X98" s="389"/>
      <c r="Y98" s="390">
        <f>Requisitions_Tracker[[#This Row],[Unit Price]]*Requisitions_Tracker[[#This Row],[Quantity]]</f>
        <v>0</v>
      </c>
    </row>
    <row r="99" spans="1:25" x14ac:dyDescent="0.25">
      <c r="A99" s="382" t="s">
        <v>7902</v>
      </c>
      <c r="B99" s="91" t="s">
        <v>7924</v>
      </c>
      <c r="C99" s="91" t="s">
        <v>4</v>
      </c>
      <c r="D99" s="383">
        <v>1314001</v>
      </c>
      <c r="E99" s="384"/>
      <c r="F99" s="91" t="s">
        <v>300</v>
      </c>
      <c r="G99" s="91" t="s">
        <v>25</v>
      </c>
      <c r="H99" s="385" t="s">
        <v>851</v>
      </c>
      <c r="I99" s="91" t="s">
        <v>247</v>
      </c>
      <c r="J99" s="513" t="s">
        <v>7926</v>
      </c>
      <c r="K99" s="383">
        <v>1</v>
      </c>
      <c r="L99" s="91" t="s">
        <v>321</v>
      </c>
      <c r="M99" s="385" t="s">
        <v>59</v>
      </c>
      <c r="N99" s="760" t="s">
        <v>29</v>
      </c>
      <c r="O99" s="726" t="s">
        <v>7925</v>
      </c>
      <c r="P99" s="387" t="str">
        <f>Requisitions_Tracker[[#This Row],[ConOps Contact]]</f>
        <v>Joe Gaca</v>
      </c>
      <c r="Q99" s="385">
        <v>16038</v>
      </c>
      <c r="R99" s="388">
        <v>45750</v>
      </c>
      <c r="S99" s="388">
        <v>45779</v>
      </c>
      <c r="T99" s="385"/>
      <c r="U99" s="388"/>
      <c r="V99" s="388"/>
      <c r="W99" s="385"/>
      <c r="X99" s="389"/>
      <c r="Y99" s="390">
        <f>Requisitions_Tracker[[#This Row],[Unit Price]]*Requisitions_Tracker[[#This Row],[Quantity]]</f>
        <v>0</v>
      </c>
    </row>
    <row r="100" spans="1:25" x14ac:dyDescent="0.25">
      <c r="A100" s="382" t="s">
        <v>7902</v>
      </c>
      <c r="B100" s="91" t="s">
        <v>7924</v>
      </c>
      <c r="C100" s="91" t="s">
        <v>4</v>
      </c>
      <c r="D100" s="383">
        <v>1314071</v>
      </c>
      <c r="E100" s="384"/>
      <c r="F100" s="91" t="s">
        <v>300</v>
      </c>
      <c r="G100" s="91" t="s">
        <v>25</v>
      </c>
      <c r="H100" s="385" t="s">
        <v>851</v>
      </c>
      <c r="I100" s="91" t="s">
        <v>247</v>
      </c>
      <c r="J100" s="513" t="s">
        <v>7926</v>
      </c>
      <c r="K100" s="383">
        <v>1</v>
      </c>
      <c r="L100" s="91" t="s">
        <v>321</v>
      </c>
      <c r="M100" s="385" t="s">
        <v>59</v>
      </c>
      <c r="N100" s="760" t="s">
        <v>29</v>
      </c>
      <c r="O100" s="758" t="s">
        <v>7925</v>
      </c>
      <c r="P100" s="387" t="str">
        <f>Requisitions_Tracker[[#This Row],[ConOps Contact]]</f>
        <v>Joe Gaca</v>
      </c>
      <c r="Q100" s="385">
        <v>16044</v>
      </c>
      <c r="R100" s="388">
        <v>45750</v>
      </c>
      <c r="S100" s="388">
        <v>45779</v>
      </c>
      <c r="T100" s="385"/>
      <c r="U100" s="388"/>
      <c r="V100" s="388"/>
      <c r="W100" s="385"/>
      <c r="X100" s="756"/>
      <c r="Y100" s="757">
        <f>Requisitions_Tracker[[#This Row],[Unit Price]]*Requisitions_Tracker[[#This Row],[Quantity]]</f>
        <v>0</v>
      </c>
    </row>
    <row r="101" spans="1:25" x14ac:dyDescent="0.25">
      <c r="A101" s="382" t="s">
        <v>7902</v>
      </c>
      <c r="B101" s="91" t="s">
        <v>1041</v>
      </c>
      <c r="C101" s="91" t="s">
        <v>4</v>
      </c>
      <c r="D101" s="383">
        <v>1413286</v>
      </c>
      <c r="E101" s="384">
        <v>1413286</v>
      </c>
      <c r="F101" s="91" t="s">
        <v>232</v>
      </c>
      <c r="G101" s="91" t="s">
        <v>25</v>
      </c>
      <c r="H101" s="385" t="s">
        <v>747</v>
      </c>
      <c r="I101" s="91" t="s">
        <v>407</v>
      </c>
      <c r="J101" s="43" t="s">
        <v>395</v>
      </c>
      <c r="K101" s="383">
        <v>2</v>
      </c>
      <c r="L101" s="91" t="s">
        <v>321</v>
      </c>
      <c r="M101" s="519" t="s">
        <v>252</v>
      </c>
      <c r="N101" s="760" t="s">
        <v>29</v>
      </c>
      <c r="O101" s="522" t="s">
        <v>7927</v>
      </c>
      <c r="P101" s="387" t="str">
        <f>Requisitions_Tracker[[#This Row],[ConOps Contact]]</f>
        <v>Ryant Banks</v>
      </c>
      <c r="Q101" s="385">
        <v>10449</v>
      </c>
      <c r="R101" s="388">
        <v>45413</v>
      </c>
      <c r="S101" s="388">
        <v>45444</v>
      </c>
      <c r="T101" s="385"/>
      <c r="U101" s="388"/>
      <c r="V101" s="388"/>
      <c r="W101" s="385"/>
      <c r="X101" s="389"/>
      <c r="Y101" s="390">
        <f>Requisitions_Tracker[[#This Row],[Unit Price]]*Requisitions_Tracker[[#This Row],[Quantity]]</f>
        <v>0</v>
      </c>
    </row>
    <row r="102" spans="1:25" ht="30" x14ac:dyDescent="0.25">
      <c r="A102" s="382" t="s">
        <v>7902</v>
      </c>
      <c r="B102" s="91" t="s">
        <v>416</v>
      </c>
      <c r="C102" s="91"/>
      <c r="D102" s="383">
        <v>1011926</v>
      </c>
      <c r="E102" s="384">
        <v>11050929</v>
      </c>
      <c r="F102" s="91" t="s">
        <v>309</v>
      </c>
      <c r="G102" s="91" t="s">
        <v>22</v>
      </c>
      <c r="H102" s="385" t="s">
        <v>752</v>
      </c>
      <c r="I102" s="91" t="s">
        <v>407</v>
      </c>
      <c r="J102" s="43" t="s">
        <v>417</v>
      </c>
      <c r="K102" s="383">
        <v>8</v>
      </c>
      <c r="L102" s="91" t="s">
        <v>321</v>
      </c>
      <c r="M102" s="519" t="s">
        <v>7881</v>
      </c>
      <c r="N102" s="385" t="s">
        <v>7928</v>
      </c>
      <c r="O102" s="386" t="s">
        <v>418</v>
      </c>
      <c r="P102" s="387" t="str">
        <f>Requisitions_Tracker[[#This Row],[ConOps Contact]]</f>
        <v>Ryant Banks</v>
      </c>
      <c r="Q102" s="385">
        <v>5292</v>
      </c>
      <c r="R102" s="388"/>
      <c r="S102" s="388">
        <v>45043</v>
      </c>
      <c r="T102" s="388"/>
      <c r="U102" s="388"/>
      <c r="V102" s="388"/>
      <c r="W102" s="385"/>
      <c r="X102" s="389"/>
      <c r="Y102" s="390">
        <f>Requisitions_Tracker[[#This Row],[Unit Price]]*Requisitions_Tracker[[#This Row],[Quantity]]</f>
        <v>0</v>
      </c>
    </row>
    <row r="103" spans="1:25" ht="30" x14ac:dyDescent="0.25">
      <c r="A103" s="382" t="s">
        <v>7902</v>
      </c>
      <c r="B103" s="91" t="s">
        <v>416</v>
      </c>
      <c r="C103" s="91"/>
      <c r="D103" s="383">
        <v>1011926</v>
      </c>
      <c r="E103" s="384">
        <v>11050929</v>
      </c>
      <c r="F103" s="91" t="s">
        <v>309</v>
      </c>
      <c r="G103" s="91" t="s">
        <v>22</v>
      </c>
      <c r="H103" s="385" t="s">
        <v>752</v>
      </c>
      <c r="I103" s="91" t="s">
        <v>407</v>
      </c>
      <c r="J103" s="43" t="s">
        <v>419</v>
      </c>
      <c r="K103" s="383">
        <v>6</v>
      </c>
      <c r="L103" s="91" t="s">
        <v>321</v>
      </c>
      <c r="M103" s="519" t="s">
        <v>7881</v>
      </c>
      <c r="N103" s="385" t="s">
        <v>7928</v>
      </c>
      <c r="O103" s="386" t="s">
        <v>420</v>
      </c>
      <c r="P103" s="387" t="str">
        <f>Requisitions_Tracker[[#This Row],[ConOps Contact]]</f>
        <v>Ryant Banks</v>
      </c>
      <c r="Q103" s="385">
        <v>5292</v>
      </c>
      <c r="R103" s="388"/>
      <c r="S103" s="388">
        <v>45043</v>
      </c>
      <c r="T103" s="388"/>
      <c r="U103" s="388"/>
      <c r="V103" s="388"/>
      <c r="W103" s="385"/>
      <c r="X103" s="389"/>
      <c r="Y103" s="390">
        <f>Requisitions_Tracker[[#This Row],[Unit Price]]*Requisitions_Tracker[[#This Row],[Quantity]]</f>
        <v>0</v>
      </c>
    </row>
    <row r="104" spans="1:25" ht="30" x14ac:dyDescent="0.25">
      <c r="A104" s="382" t="s">
        <v>7902</v>
      </c>
      <c r="B104" s="91" t="s">
        <v>416</v>
      </c>
      <c r="C104" s="91"/>
      <c r="D104" s="383">
        <v>1011926</v>
      </c>
      <c r="E104" s="384">
        <v>11050929</v>
      </c>
      <c r="F104" s="91" t="s">
        <v>309</v>
      </c>
      <c r="G104" s="91" t="s">
        <v>22</v>
      </c>
      <c r="H104" s="385" t="s">
        <v>752</v>
      </c>
      <c r="I104" s="91" t="s">
        <v>407</v>
      </c>
      <c r="J104" s="43" t="s">
        <v>421</v>
      </c>
      <c r="K104" s="383">
        <v>5</v>
      </c>
      <c r="L104" s="91" t="s">
        <v>321</v>
      </c>
      <c r="M104" s="519" t="s">
        <v>7863</v>
      </c>
      <c r="N104" s="385" t="s">
        <v>7928</v>
      </c>
      <c r="O104" s="386" t="s">
        <v>422</v>
      </c>
      <c r="P104" s="387" t="str">
        <f>Requisitions_Tracker[[#This Row],[ConOps Contact]]</f>
        <v>Ryant Banks</v>
      </c>
      <c r="Q104" s="385">
        <v>5292</v>
      </c>
      <c r="R104" s="388"/>
      <c r="S104" s="388">
        <v>45043</v>
      </c>
      <c r="T104" s="388"/>
      <c r="U104" s="388"/>
      <c r="V104" s="388"/>
      <c r="W104" s="385"/>
      <c r="X104" s="389"/>
      <c r="Y104" s="390">
        <f>Requisitions_Tracker[[#This Row],[Unit Price]]*Requisitions_Tracker[[#This Row],[Quantity]]</f>
        <v>0</v>
      </c>
    </row>
    <row r="105" spans="1:25" ht="30" x14ac:dyDescent="0.25">
      <c r="A105" s="382" t="s">
        <v>7902</v>
      </c>
      <c r="B105" s="91" t="s">
        <v>416</v>
      </c>
      <c r="C105" s="91"/>
      <c r="D105" s="383">
        <v>1011926</v>
      </c>
      <c r="E105" s="384">
        <v>11050929</v>
      </c>
      <c r="F105" s="91" t="s">
        <v>309</v>
      </c>
      <c r="G105" s="91" t="s">
        <v>22</v>
      </c>
      <c r="H105" s="385" t="s">
        <v>752</v>
      </c>
      <c r="I105" s="91" t="s">
        <v>407</v>
      </c>
      <c r="J105" s="43" t="s">
        <v>423</v>
      </c>
      <c r="K105" s="383">
        <v>4</v>
      </c>
      <c r="L105" s="91" t="s">
        <v>321</v>
      </c>
      <c r="M105" s="519" t="s">
        <v>7863</v>
      </c>
      <c r="N105" s="385" t="s">
        <v>7928</v>
      </c>
      <c r="O105" s="386" t="s">
        <v>424</v>
      </c>
      <c r="P105" s="387" t="str">
        <f>Requisitions_Tracker[[#This Row],[ConOps Contact]]</f>
        <v>Ryant Banks</v>
      </c>
      <c r="Q105" s="385">
        <v>5292</v>
      </c>
      <c r="R105" s="388"/>
      <c r="S105" s="388">
        <v>45043</v>
      </c>
      <c r="T105" s="388"/>
      <c r="U105" s="388"/>
      <c r="V105" s="388"/>
      <c r="W105" s="385"/>
      <c r="X105" s="389"/>
      <c r="Y105" s="390">
        <f>Requisitions_Tracker[[#This Row],[Unit Price]]*Requisitions_Tracker[[#This Row],[Quantity]]</f>
        <v>0</v>
      </c>
    </row>
    <row r="106" spans="1:25" ht="75" x14ac:dyDescent="0.25">
      <c r="A106" s="382" t="s">
        <v>7902</v>
      </c>
      <c r="B106" s="91" t="s">
        <v>425</v>
      </c>
      <c r="C106" s="91" t="s">
        <v>2</v>
      </c>
      <c r="D106" s="383">
        <v>102155</v>
      </c>
      <c r="E106" s="384">
        <v>11036736</v>
      </c>
      <c r="F106" s="91" t="s">
        <v>426</v>
      </c>
      <c r="G106" s="91" t="s">
        <v>34</v>
      </c>
      <c r="H106" s="385" t="s">
        <v>738</v>
      </c>
      <c r="I106" s="91" t="s">
        <v>429</v>
      </c>
      <c r="J106" s="391" t="s">
        <v>427</v>
      </c>
      <c r="K106" s="383">
        <v>1</v>
      </c>
      <c r="L106" s="91" t="s">
        <v>321</v>
      </c>
      <c r="M106" s="519" t="s">
        <v>7863</v>
      </c>
      <c r="N106" s="385"/>
      <c r="O106" s="386" t="s">
        <v>428</v>
      </c>
      <c r="P106" s="387" t="str">
        <f>Requisitions_Tracker[[#This Row],[ConOps Contact]]</f>
        <v xml:space="preserve">Antonio Rios </v>
      </c>
      <c r="Q106" s="385">
        <v>4050</v>
      </c>
      <c r="R106" s="388">
        <v>44981</v>
      </c>
      <c r="S106" s="388">
        <v>45016</v>
      </c>
      <c r="T106" s="385" t="s">
        <v>7929</v>
      </c>
      <c r="U106" s="388">
        <v>45036</v>
      </c>
      <c r="V106" s="388">
        <v>45030</v>
      </c>
      <c r="W106" s="385" t="s">
        <v>7865</v>
      </c>
      <c r="X106" s="389">
        <v>3494</v>
      </c>
      <c r="Y106" s="390">
        <f>Requisitions_Tracker[[#This Row],[Unit Price]]*Requisitions_Tracker[[#This Row],[Quantity]]</f>
        <v>3494</v>
      </c>
    </row>
    <row r="107" spans="1:25" ht="90" x14ac:dyDescent="0.25">
      <c r="A107" s="382" t="s">
        <v>7902</v>
      </c>
      <c r="B107" s="91" t="s">
        <v>351</v>
      </c>
      <c r="C107" s="91" t="s">
        <v>2</v>
      </c>
      <c r="D107" s="383">
        <v>102156</v>
      </c>
      <c r="E107" s="384">
        <v>11036736</v>
      </c>
      <c r="F107" s="91" t="s">
        <v>426</v>
      </c>
      <c r="G107" s="91" t="s">
        <v>34</v>
      </c>
      <c r="H107" s="385" t="s">
        <v>738</v>
      </c>
      <c r="I107" s="91" t="s">
        <v>429</v>
      </c>
      <c r="J107" s="391" t="s">
        <v>430</v>
      </c>
      <c r="K107" s="383">
        <v>1</v>
      </c>
      <c r="L107" s="91" t="s">
        <v>321</v>
      </c>
      <c r="M107" s="519" t="s">
        <v>7863</v>
      </c>
      <c r="N107" s="385"/>
      <c r="O107" s="386" t="s">
        <v>431</v>
      </c>
      <c r="P107" s="387" t="str">
        <f>Requisitions_Tracker[[#This Row],[ConOps Contact]]</f>
        <v xml:space="preserve">Antonio Rios </v>
      </c>
      <c r="Q107" s="385">
        <v>4050</v>
      </c>
      <c r="R107" s="388">
        <v>44981</v>
      </c>
      <c r="S107" s="388">
        <v>45016</v>
      </c>
      <c r="T107" s="385" t="s">
        <v>7929</v>
      </c>
      <c r="U107" s="388">
        <v>45036</v>
      </c>
      <c r="V107" s="388">
        <v>45030</v>
      </c>
      <c r="W107" s="385" t="s">
        <v>7865</v>
      </c>
      <c r="X107" s="389">
        <v>320</v>
      </c>
      <c r="Y107" s="390">
        <f>Requisitions_Tracker[[#This Row],[Unit Price]]*Requisitions_Tracker[[#This Row],[Quantity]]</f>
        <v>320</v>
      </c>
    </row>
    <row r="108" spans="1:25" ht="30" x14ac:dyDescent="0.25">
      <c r="A108" s="382" t="s">
        <v>7902</v>
      </c>
      <c r="B108" s="91" t="s">
        <v>432</v>
      </c>
      <c r="C108" s="91" t="s">
        <v>2</v>
      </c>
      <c r="D108" s="383">
        <v>1010408</v>
      </c>
      <c r="E108" s="384">
        <v>11038165</v>
      </c>
      <c r="F108" s="91" t="s">
        <v>433</v>
      </c>
      <c r="G108" s="91" t="s">
        <v>34</v>
      </c>
      <c r="H108" s="385" t="s">
        <v>747</v>
      </c>
      <c r="I108" s="91" t="s">
        <v>436</v>
      </c>
      <c r="J108" s="43" t="s">
        <v>434</v>
      </c>
      <c r="K108" s="383">
        <v>2</v>
      </c>
      <c r="L108" s="91" t="s">
        <v>321</v>
      </c>
      <c r="M108" s="519" t="s">
        <v>7863</v>
      </c>
      <c r="N108" s="385"/>
      <c r="O108" s="386" t="s">
        <v>435</v>
      </c>
      <c r="P108" s="387" t="str">
        <f>Requisitions_Tracker[[#This Row],[ConOps Contact]]</f>
        <v xml:space="preserve">Ryan Pattermann </v>
      </c>
      <c r="Q108" s="385">
        <v>4878</v>
      </c>
      <c r="R108" s="388">
        <v>45020</v>
      </c>
      <c r="S108" s="388">
        <v>45027</v>
      </c>
      <c r="T108" s="385"/>
      <c r="U108" s="388"/>
      <c r="V108" s="388"/>
      <c r="W108" s="385"/>
      <c r="X108" s="389"/>
      <c r="Y108" s="390">
        <f>Requisitions_Tracker[[#This Row],[Unit Price]]*Requisitions_Tracker[[#This Row],[Quantity]]</f>
        <v>0</v>
      </c>
    </row>
    <row r="109" spans="1:25" x14ac:dyDescent="0.25">
      <c r="A109" s="382" t="s">
        <v>7902</v>
      </c>
      <c r="B109" s="48" t="s">
        <v>437</v>
      </c>
      <c r="C109" s="91" t="s">
        <v>2</v>
      </c>
      <c r="D109" s="383">
        <v>1011935</v>
      </c>
      <c r="E109" s="384">
        <v>11056663</v>
      </c>
      <c r="F109" s="91" t="s">
        <v>438</v>
      </c>
      <c r="G109" s="91" t="s">
        <v>34</v>
      </c>
      <c r="H109" s="385" t="s">
        <v>784</v>
      </c>
      <c r="I109" s="91" t="s">
        <v>172</v>
      </c>
      <c r="J109" s="43" t="s">
        <v>439</v>
      </c>
      <c r="K109" s="383">
        <v>280</v>
      </c>
      <c r="L109" s="91" t="s">
        <v>63</v>
      </c>
      <c r="M109" s="519" t="s">
        <v>7863</v>
      </c>
      <c r="N109" s="385"/>
      <c r="O109" s="386" t="s">
        <v>167</v>
      </c>
      <c r="P109" s="387" t="str">
        <f>Requisitions_Tracker[[#This Row],[ConOps Contact]]</f>
        <v>Scott Koenig</v>
      </c>
      <c r="Q109" s="385">
        <v>4934</v>
      </c>
      <c r="R109" s="388">
        <v>45022</v>
      </c>
      <c r="S109" s="388">
        <v>45030</v>
      </c>
      <c r="T109" s="385"/>
      <c r="U109" s="388"/>
      <c r="V109" s="388"/>
      <c r="W109" s="385"/>
      <c r="X109" s="389"/>
      <c r="Y109" s="390">
        <f>Requisitions_Tracker[[#This Row],[Unit Price]]*Requisitions_Tracker[[#This Row],[Quantity]]</f>
        <v>0</v>
      </c>
    </row>
    <row r="110" spans="1:25" x14ac:dyDescent="0.25">
      <c r="A110" s="382" t="s">
        <v>7902</v>
      </c>
      <c r="B110" s="48" t="s">
        <v>437</v>
      </c>
      <c r="C110" s="91" t="s">
        <v>2</v>
      </c>
      <c r="D110" s="383">
        <v>1011935</v>
      </c>
      <c r="E110" s="384">
        <v>11056663</v>
      </c>
      <c r="F110" s="91" t="s">
        <v>438</v>
      </c>
      <c r="G110" s="91" t="s">
        <v>34</v>
      </c>
      <c r="H110" s="385" t="s">
        <v>784</v>
      </c>
      <c r="I110" s="91" t="s">
        <v>172</v>
      </c>
      <c r="J110" s="43" t="s">
        <v>440</v>
      </c>
      <c r="K110" s="383">
        <v>1</v>
      </c>
      <c r="L110" s="91" t="s">
        <v>321</v>
      </c>
      <c r="M110" s="519" t="s">
        <v>7863</v>
      </c>
      <c r="N110" s="385"/>
      <c r="O110" s="386" t="s">
        <v>167</v>
      </c>
      <c r="P110" s="387" t="str">
        <f>Requisitions_Tracker[[#This Row],[ConOps Contact]]</f>
        <v>Scott Koenig</v>
      </c>
      <c r="Q110" s="385">
        <v>4934</v>
      </c>
      <c r="R110" s="388">
        <v>45022</v>
      </c>
      <c r="S110" s="388">
        <v>45030</v>
      </c>
      <c r="T110" s="385"/>
      <c r="U110" s="388"/>
      <c r="V110" s="388"/>
      <c r="W110" s="385"/>
      <c r="X110" s="389"/>
      <c r="Y110" s="390">
        <f>Requisitions_Tracker[[#This Row],[Unit Price]]*Requisitions_Tracker[[#This Row],[Quantity]]</f>
        <v>0</v>
      </c>
    </row>
    <row r="111" spans="1:25" x14ac:dyDescent="0.25">
      <c r="A111" s="382" t="s">
        <v>7902</v>
      </c>
      <c r="B111" s="91" t="s">
        <v>441</v>
      </c>
      <c r="C111" s="91" t="s">
        <v>2</v>
      </c>
      <c r="D111" s="383">
        <v>1011803</v>
      </c>
      <c r="E111" s="384">
        <v>11050944</v>
      </c>
      <c r="F111" s="91" t="s">
        <v>277</v>
      </c>
      <c r="G111" s="91" t="s">
        <v>34</v>
      </c>
      <c r="H111" s="385" t="s">
        <v>752</v>
      </c>
      <c r="I111" s="91" t="s">
        <v>443</v>
      </c>
      <c r="J111" s="43" t="s">
        <v>442</v>
      </c>
      <c r="K111" s="383">
        <v>80</v>
      </c>
      <c r="L111" s="91" t="s">
        <v>63</v>
      </c>
      <c r="M111" s="519" t="s">
        <v>7863</v>
      </c>
      <c r="N111" s="385"/>
      <c r="O111" s="386" t="s">
        <v>167</v>
      </c>
      <c r="P111" s="387" t="str">
        <f>Requisitions_Tracker[[#This Row],[ConOps Contact]]</f>
        <v>Donny Walker</v>
      </c>
      <c r="Q111" s="385">
        <v>5244</v>
      </c>
      <c r="R111" s="388">
        <v>45041</v>
      </c>
      <c r="S111" s="388">
        <v>45065</v>
      </c>
      <c r="T111" s="385"/>
      <c r="U111" s="388"/>
      <c r="V111" s="388"/>
      <c r="W111" s="385"/>
      <c r="X111" s="389"/>
      <c r="Y111" s="390">
        <f>Requisitions_Tracker[[#This Row],[Unit Price]]*Requisitions_Tracker[[#This Row],[Quantity]]</f>
        <v>0</v>
      </c>
    </row>
    <row r="112" spans="1:25" ht="75" x14ac:dyDescent="0.25">
      <c r="A112" s="382" t="s">
        <v>7902</v>
      </c>
      <c r="B112" s="91" t="s">
        <v>441</v>
      </c>
      <c r="C112" s="91" t="s">
        <v>2</v>
      </c>
      <c r="D112" s="383">
        <v>1011803</v>
      </c>
      <c r="E112" s="384">
        <v>11050944</v>
      </c>
      <c r="F112" s="91" t="s">
        <v>277</v>
      </c>
      <c r="G112" s="91" t="s">
        <v>34</v>
      </c>
      <c r="H112" s="385" t="s">
        <v>752</v>
      </c>
      <c r="I112" s="91" t="s">
        <v>443</v>
      </c>
      <c r="J112" s="391" t="s">
        <v>444</v>
      </c>
      <c r="K112" s="383">
        <v>1</v>
      </c>
      <c r="L112" s="91" t="s">
        <v>321</v>
      </c>
      <c r="M112" s="519" t="s">
        <v>7863</v>
      </c>
      <c r="N112" s="385"/>
      <c r="O112" s="386" t="s">
        <v>167</v>
      </c>
      <c r="P112" s="387" t="str">
        <f>Requisitions_Tracker[[#This Row],[ConOps Contact]]</f>
        <v>Donny Walker</v>
      </c>
      <c r="Q112" s="385">
        <v>5244</v>
      </c>
      <c r="R112" s="388">
        <v>45041</v>
      </c>
      <c r="S112" s="388">
        <v>45065</v>
      </c>
      <c r="T112" s="385"/>
      <c r="U112" s="388"/>
      <c r="V112" s="388"/>
      <c r="W112" s="385"/>
      <c r="X112" s="389"/>
      <c r="Y112" s="390">
        <f>Requisitions_Tracker[[#This Row],[Unit Price]]*Requisitions_Tracker[[#This Row],[Quantity]]</f>
        <v>0</v>
      </c>
    </row>
    <row r="113" spans="1:25" ht="75" x14ac:dyDescent="0.25">
      <c r="A113" s="382" t="s">
        <v>7902</v>
      </c>
      <c r="B113" s="91" t="s">
        <v>441</v>
      </c>
      <c r="C113" s="91" t="s">
        <v>2</v>
      </c>
      <c r="D113" s="383">
        <v>1011803</v>
      </c>
      <c r="E113" s="384">
        <v>11050944</v>
      </c>
      <c r="F113" s="91" t="s">
        <v>277</v>
      </c>
      <c r="G113" s="91" t="s">
        <v>34</v>
      </c>
      <c r="H113" s="385" t="s">
        <v>752</v>
      </c>
      <c r="I113" s="91" t="s">
        <v>443</v>
      </c>
      <c r="J113" s="391" t="s">
        <v>446</v>
      </c>
      <c r="K113" s="383">
        <v>1</v>
      </c>
      <c r="L113" s="91" t="s">
        <v>321</v>
      </c>
      <c r="M113" s="519" t="s">
        <v>7863</v>
      </c>
      <c r="N113" s="385"/>
      <c r="O113" s="386" t="s">
        <v>167</v>
      </c>
      <c r="P113" s="387" t="str">
        <f>Requisitions_Tracker[[#This Row],[ConOps Contact]]</f>
        <v>Donny Walker</v>
      </c>
      <c r="Q113" s="385">
        <v>5244</v>
      </c>
      <c r="R113" s="388">
        <v>45041</v>
      </c>
      <c r="S113" s="388">
        <v>45065</v>
      </c>
      <c r="T113" s="385"/>
      <c r="U113" s="388"/>
      <c r="V113" s="388"/>
      <c r="W113" s="385"/>
      <c r="X113" s="389"/>
      <c r="Y113" s="390">
        <f>Requisitions_Tracker[[#This Row],[Unit Price]]*Requisitions_Tracker[[#This Row],[Quantity]]</f>
        <v>0</v>
      </c>
    </row>
    <row r="114" spans="1:25" x14ac:dyDescent="0.25">
      <c r="A114" s="382"/>
      <c r="B114" s="91" t="s">
        <v>447</v>
      </c>
      <c r="C114" s="91" t="s">
        <v>3</v>
      </c>
      <c r="D114" s="383">
        <v>1212254</v>
      </c>
      <c r="E114" s="384">
        <v>11058971</v>
      </c>
      <c r="F114" s="91" t="s">
        <v>448</v>
      </c>
      <c r="G114" s="91" t="s">
        <v>23</v>
      </c>
      <c r="H114" s="385" t="s">
        <v>784</v>
      </c>
      <c r="I114" s="91"/>
      <c r="J114" s="43" t="s">
        <v>439</v>
      </c>
      <c r="K114" s="383">
        <v>1</v>
      </c>
      <c r="L114" s="91" t="s">
        <v>321</v>
      </c>
      <c r="M114" s="519" t="s">
        <v>7863</v>
      </c>
      <c r="N114" s="385" t="s">
        <v>7928</v>
      </c>
      <c r="O114" s="386"/>
      <c r="P114" s="387">
        <f>Requisitions_Tracker[[#This Row],[ConOps Contact]]</f>
        <v>0</v>
      </c>
      <c r="Q114" s="385"/>
      <c r="R114" s="388"/>
      <c r="S114" s="388"/>
      <c r="T114" s="385"/>
      <c r="U114" s="388"/>
      <c r="V114" s="388"/>
      <c r="W114" s="385"/>
      <c r="X114" s="389"/>
      <c r="Y114" s="390">
        <f>Requisitions_Tracker[[#This Row],[Unit Price]]*Requisitions_Tracker[[#This Row],[Quantity]]</f>
        <v>0</v>
      </c>
    </row>
    <row r="115" spans="1:25" x14ac:dyDescent="0.25">
      <c r="A115" s="382" t="s">
        <v>7902</v>
      </c>
      <c r="B115" s="91" t="s">
        <v>449</v>
      </c>
      <c r="C115" s="91" t="s">
        <v>3</v>
      </c>
      <c r="D115" s="383">
        <v>1212258</v>
      </c>
      <c r="E115" s="384">
        <v>11060024</v>
      </c>
      <c r="F115" s="91" t="s">
        <v>448</v>
      </c>
      <c r="G115" s="91" t="s">
        <v>23</v>
      </c>
      <c r="H115" s="385" t="s">
        <v>784</v>
      </c>
      <c r="I115" s="91"/>
      <c r="J115" s="43" t="s">
        <v>450</v>
      </c>
      <c r="K115" s="383">
        <v>1</v>
      </c>
      <c r="L115" s="91" t="s">
        <v>321</v>
      </c>
      <c r="M115" s="519" t="s">
        <v>7863</v>
      </c>
      <c r="N115" s="385" t="s">
        <v>7928</v>
      </c>
      <c r="O115" s="386"/>
      <c r="P115" s="387">
        <f>Requisitions_Tracker[[#This Row],[ConOps Contact]]</f>
        <v>0</v>
      </c>
      <c r="Q115" s="385">
        <v>5757</v>
      </c>
      <c r="R115" s="388">
        <v>45077</v>
      </c>
      <c r="S115" s="388">
        <v>45108</v>
      </c>
      <c r="T115" s="385"/>
      <c r="U115" s="388"/>
      <c r="V115" s="388"/>
      <c r="W115" s="385"/>
      <c r="X115" s="389"/>
      <c r="Y115" s="390">
        <f>Requisitions_Tracker[[#This Row],[Unit Price]]*Requisitions_Tracker[[#This Row],[Quantity]]</f>
        <v>0</v>
      </c>
    </row>
    <row r="116" spans="1:25" ht="30" x14ac:dyDescent="0.25">
      <c r="A116" s="382" t="s">
        <v>7930</v>
      </c>
      <c r="B116" s="91" t="s">
        <v>451</v>
      </c>
      <c r="C116" s="91" t="s">
        <v>2</v>
      </c>
      <c r="D116" s="383">
        <v>102169</v>
      </c>
      <c r="E116" s="384">
        <v>11058431</v>
      </c>
      <c r="F116" s="91" t="s">
        <v>452</v>
      </c>
      <c r="G116" s="91" t="s">
        <v>34</v>
      </c>
      <c r="H116" s="385" t="s">
        <v>747</v>
      </c>
      <c r="I116" s="91" t="s">
        <v>172</v>
      </c>
      <c r="J116" s="43" t="s">
        <v>453</v>
      </c>
      <c r="K116" s="383">
        <v>1</v>
      </c>
      <c r="L116" s="91" t="s">
        <v>321</v>
      </c>
      <c r="M116" s="519" t="s">
        <v>7863</v>
      </c>
      <c r="N116" s="385"/>
      <c r="O116" s="386" t="s">
        <v>167</v>
      </c>
      <c r="P116" s="387" t="str">
        <f>Requisitions_Tracker[[#This Row],[ConOps Contact]]</f>
        <v>Scott Koenig</v>
      </c>
      <c r="Q116" s="387">
        <v>5314</v>
      </c>
      <c r="R116" s="388">
        <v>45047</v>
      </c>
      <c r="S116" s="388">
        <v>45078</v>
      </c>
      <c r="T116" s="385" t="s">
        <v>7931</v>
      </c>
      <c r="U116" s="388">
        <v>45079</v>
      </c>
      <c r="V116" s="388">
        <v>45086</v>
      </c>
      <c r="W116" s="387" t="s">
        <v>7932</v>
      </c>
      <c r="X116" s="389">
        <v>60.43</v>
      </c>
      <c r="Y116" s="390">
        <f>Requisitions_Tracker[[#This Row],[Unit Price]]*Requisitions_Tracker[[#This Row],[Quantity]]</f>
        <v>60.43</v>
      </c>
    </row>
    <row r="117" spans="1:25" x14ac:dyDescent="0.25">
      <c r="A117" s="382" t="s">
        <v>7930</v>
      </c>
      <c r="B117" s="91" t="s">
        <v>451</v>
      </c>
      <c r="C117" s="91" t="s">
        <v>2</v>
      </c>
      <c r="D117" s="383">
        <v>102169</v>
      </c>
      <c r="E117" s="384">
        <v>11058431</v>
      </c>
      <c r="F117" s="91" t="s">
        <v>452</v>
      </c>
      <c r="G117" s="91" t="s">
        <v>34</v>
      </c>
      <c r="H117" s="385" t="s">
        <v>747</v>
      </c>
      <c r="I117" s="91" t="s">
        <v>172</v>
      </c>
      <c r="J117" s="43" t="s">
        <v>455</v>
      </c>
      <c r="K117" s="383">
        <v>2</v>
      </c>
      <c r="L117" s="91" t="s">
        <v>321</v>
      </c>
      <c r="M117" s="519" t="s">
        <v>7863</v>
      </c>
      <c r="N117" s="385"/>
      <c r="O117" s="386" t="s">
        <v>167</v>
      </c>
      <c r="P117" s="387" t="str">
        <f>Requisitions_Tracker[[#This Row],[ConOps Contact]]</f>
        <v>Scott Koenig</v>
      </c>
      <c r="Q117" s="387">
        <v>5314</v>
      </c>
      <c r="R117" s="388">
        <v>45047</v>
      </c>
      <c r="S117" s="388">
        <v>45078</v>
      </c>
      <c r="T117" s="385" t="s">
        <v>7933</v>
      </c>
      <c r="U117" s="388">
        <v>45079</v>
      </c>
      <c r="V117" s="388">
        <v>45082</v>
      </c>
      <c r="W117" s="385" t="s">
        <v>7865</v>
      </c>
      <c r="X117" s="389">
        <v>74.290000000000006</v>
      </c>
      <c r="Y117" s="390">
        <f>Requisitions_Tracker[[#This Row],[Unit Price]]*Requisitions_Tracker[[#This Row],[Quantity]]</f>
        <v>148.58000000000001</v>
      </c>
    </row>
    <row r="118" spans="1:25" x14ac:dyDescent="0.25">
      <c r="A118" s="382" t="s">
        <v>7902</v>
      </c>
      <c r="B118" s="91" t="s">
        <v>457</v>
      </c>
      <c r="C118" s="91" t="s">
        <v>2</v>
      </c>
      <c r="D118" s="383">
        <v>1011104</v>
      </c>
      <c r="E118" s="384">
        <v>11058433</v>
      </c>
      <c r="F118" s="91" t="s">
        <v>458</v>
      </c>
      <c r="G118" s="91" t="s">
        <v>34</v>
      </c>
      <c r="H118" s="385" t="s">
        <v>747</v>
      </c>
      <c r="I118" s="91" t="s">
        <v>461</v>
      </c>
      <c r="J118" s="43" t="s">
        <v>459</v>
      </c>
      <c r="K118" s="383">
        <v>1</v>
      </c>
      <c r="L118" s="91" t="s">
        <v>321</v>
      </c>
      <c r="M118" s="519" t="s">
        <v>7863</v>
      </c>
      <c r="N118" s="385"/>
      <c r="O118" s="386" t="s">
        <v>460</v>
      </c>
      <c r="P118" s="387" t="str">
        <f>Requisitions_Tracker[[#This Row],[ConOps Contact]]</f>
        <v>Tim Arseneau</v>
      </c>
      <c r="Q118" s="385">
        <v>5493</v>
      </c>
      <c r="R118" s="388">
        <v>45065</v>
      </c>
      <c r="S118" s="388">
        <v>45096</v>
      </c>
      <c r="T118" s="385"/>
      <c r="U118" s="388"/>
      <c r="V118" s="388"/>
      <c r="W118" s="385"/>
      <c r="X118" s="389"/>
      <c r="Y118" s="390">
        <f>Requisitions_Tracker[[#This Row],[Unit Price]]*Requisitions_Tracker[[#This Row],[Quantity]]</f>
        <v>0</v>
      </c>
    </row>
    <row r="119" spans="1:25" x14ac:dyDescent="0.25">
      <c r="A119" s="382" t="s">
        <v>7902</v>
      </c>
      <c r="B119" s="91" t="s">
        <v>457</v>
      </c>
      <c r="C119" s="91" t="s">
        <v>2</v>
      </c>
      <c r="D119" s="383">
        <v>1011104</v>
      </c>
      <c r="E119" s="384">
        <v>11058433</v>
      </c>
      <c r="F119" s="91" t="s">
        <v>458</v>
      </c>
      <c r="G119" s="91" t="s">
        <v>34</v>
      </c>
      <c r="H119" s="385" t="s">
        <v>747</v>
      </c>
      <c r="I119" s="91" t="s">
        <v>461</v>
      </c>
      <c r="J119" s="43" t="s">
        <v>455</v>
      </c>
      <c r="K119" s="383">
        <v>1</v>
      </c>
      <c r="L119" s="91" t="s">
        <v>321</v>
      </c>
      <c r="M119" s="519" t="s">
        <v>7863</v>
      </c>
      <c r="N119" s="385"/>
      <c r="O119" s="386" t="s">
        <v>460</v>
      </c>
      <c r="P119" s="387" t="str">
        <f>Requisitions_Tracker[[#This Row],[ConOps Contact]]</f>
        <v>Tim Arseneau</v>
      </c>
      <c r="Q119" s="385">
        <v>5493</v>
      </c>
      <c r="R119" s="388">
        <v>45065</v>
      </c>
      <c r="S119" s="388">
        <v>45096</v>
      </c>
      <c r="T119" s="385"/>
      <c r="U119" s="388"/>
      <c r="V119" s="388"/>
      <c r="W119" s="385"/>
      <c r="X119" s="389"/>
      <c r="Y119" s="390">
        <f>Requisitions_Tracker[[#This Row],[Unit Price]]*Requisitions_Tracker[[#This Row],[Quantity]]</f>
        <v>0</v>
      </c>
    </row>
    <row r="120" spans="1:25" x14ac:dyDescent="0.25">
      <c r="A120" s="382" t="s">
        <v>7902</v>
      </c>
      <c r="B120" s="91" t="s">
        <v>462</v>
      </c>
      <c r="C120" s="91" t="s">
        <v>2</v>
      </c>
      <c r="D120" s="383">
        <v>1011561</v>
      </c>
      <c r="E120" s="384">
        <v>11058432</v>
      </c>
      <c r="F120" s="91" t="s">
        <v>463</v>
      </c>
      <c r="G120" s="91" t="s">
        <v>34</v>
      </c>
      <c r="H120" s="385" t="s">
        <v>752</v>
      </c>
      <c r="I120" s="91" t="s">
        <v>465</v>
      </c>
      <c r="J120" s="43" t="s">
        <v>464</v>
      </c>
      <c r="K120" s="383">
        <v>1</v>
      </c>
      <c r="L120" s="91" t="s">
        <v>321</v>
      </c>
      <c r="M120" s="519" t="s">
        <v>7863</v>
      </c>
      <c r="N120" s="385"/>
      <c r="O120" s="386" t="s">
        <v>167</v>
      </c>
      <c r="P120" s="387" t="str">
        <f>Requisitions_Tracker[[#This Row],[ConOps Contact]]</f>
        <v>Jaime Manzanares</v>
      </c>
      <c r="Q120" s="385">
        <v>5495</v>
      </c>
      <c r="R120" s="388">
        <v>45065</v>
      </c>
      <c r="S120" s="388">
        <v>45096</v>
      </c>
      <c r="T120" s="385"/>
      <c r="U120" s="388"/>
      <c r="V120" s="388"/>
      <c r="W120" s="385"/>
      <c r="X120" s="389"/>
      <c r="Y120" s="390">
        <f>Requisitions_Tracker[[#This Row],[Unit Price]]*Requisitions_Tracker[[#This Row],[Quantity]]</f>
        <v>0</v>
      </c>
    </row>
    <row r="121" spans="1:25" ht="30" x14ac:dyDescent="0.25">
      <c r="A121" s="382" t="s">
        <v>7902</v>
      </c>
      <c r="B121" s="91" t="s">
        <v>466</v>
      </c>
      <c r="C121" s="91" t="s">
        <v>2</v>
      </c>
      <c r="D121" s="383">
        <v>1011934</v>
      </c>
      <c r="E121" s="384">
        <v>11058430</v>
      </c>
      <c r="F121" s="91" t="s">
        <v>467</v>
      </c>
      <c r="G121" s="91" t="s">
        <v>34</v>
      </c>
      <c r="H121" s="385" t="s">
        <v>747</v>
      </c>
      <c r="I121" s="91" t="s">
        <v>307</v>
      </c>
      <c r="J121" s="43" t="s">
        <v>468</v>
      </c>
      <c r="K121" s="383">
        <v>1</v>
      </c>
      <c r="L121" s="91" t="s">
        <v>321</v>
      </c>
      <c r="M121" s="519" t="s">
        <v>7863</v>
      </c>
      <c r="N121" s="385"/>
      <c r="O121" s="386" t="s">
        <v>7934</v>
      </c>
      <c r="P121" s="387" t="s">
        <v>7935</v>
      </c>
      <c r="Q121" s="385">
        <v>5449</v>
      </c>
      <c r="R121" s="388">
        <v>45062</v>
      </c>
      <c r="S121" s="388">
        <v>45093</v>
      </c>
      <c r="T121" s="385"/>
      <c r="U121" s="388"/>
      <c r="V121" s="388"/>
      <c r="W121" s="385"/>
      <c r="X121" s="389"/>
      <c r="Y121" s="390">
        <f>Requisitions_Tracker[[#This Row],[Unit Price]]*Requisitions_Tracker[[#This Row],[Quantity]]</f>
        <v>0</v>
      </c>
    </row>
    <row r="122" spans="1:25" x14ac:dyDescent="0.25">
      <c r="A122" s="382" t="s">
        <v>7902</v>
      </c>
      <c r="B122" s="91" t="s">
        <v>469</v>
      </c>
      <c r="C122" s="91" t="s">
        <v>3</v>
      </c>
      <c r="D122" s="383">
        <v>1010582</v>
      </c>
      <c r="E122" s="384">
        <v>11065639</v>
      </c>
      <c r="F122" s="91" t="s">
        <v>470</v>
      </c>
      <c r="G122" s="91" t="s">
        <v>22</v>
      </c>
      <c r="H122" s="385" t="s">
        <v>747</v>
      </c>
      <c r="I122" s="91" t="s">
        <v>247</v>
      </c>
      <c r="J122" s="43" t="s">
        <v>471</v>
      </c>
      <c r="K122" s="383">
        <v>880</v>
      </c>
      <c r="L122" s="91" t="s">
        <v>63</v>
      </c>
      <c r="M122" s="519" t="s">
        <v>7863</v>
      </c>
      <c r="N122" s="385"/>
      <c r="O122" s="386" t="s">
        <v>167</v>
      </c>
      <c r="P122" s="387" t="str">
        <f>Requisitions_Tracker[[#This Row],[ConOps Contact]]</f>
        <v>Joe Gaca</v>
      </c>
      <c r="Q122" s="385">
        <v>5695</v>
      </c>
      <c r="R122" s="388">
        <v>45023</v>
      </c>
      <c r="S122" s="388">
        <v>45093</v>
      </c>
      <c r="T122" s="385"/>
      <c r="U122" s="388"/>
      <c r="V122" s="388"/>
      <c r="W122" s="385"/>
      <c r="X122" s="389"/>
      <c r="Y122" s="390">
        <f>Requisitions_Tracker[[#This Row],[Unit Price]]*Requisitions_Tracker[[#This Row],[Quantity]]</f>
        <v>0</v>
      </c>
    </row>
    <row r="123" spans="1:25" x14ac:dyDescent="0.25">
      <c r="A123" s="382" t="s">
        <v>7902</v>
      </c>
      <c r="B123" s="91" t="s">
        <v>469</v>
      </c>
      <c r="C123" s="91" t="s">
        <v>3</v>
      </c>
      <c r="D123" s="383">
        <v>1010582</v>
      </c>
      <c r="E123" s="384">
        <v>11065639</v>
      </c>
      <c r="F123" s="91" t="s">
        <v>470</v>
      </c>
      <c r="G123" s="91" t="s">
        <v>22</v>
      </c>
      <c r="H123" s="385" t="s">
        <v>747</v>
      </c>
      <c r="I123" s="91" t="s">
        <v>247</v>
      </c>
      <c r="J123" s="43" t="s">
        <v>473</v>
      </c>
      <c r="K123" s="383">
        <v>40</v>
      </c>
      <c r="L123" s="91" t="s">
        <v>63</v>
      </c>
      <c r="M123" s="519" t="s">
        <v>7863</v>
      </c>
      <c r="N123" s="385"/>
      <c r="O123" s="386" t="s">
        <v>167</v>
      </c>
      <c r="P123" s="387" t="str">
        <f>Requisitions_Tracker[[#This Row],[ConOps Contact]]</f>
        <v>Joe Gaca</v>
      </c>
      <c r="Q123" s="385">
        <v>5695</v>
      </c>
      <c r="R123" s="388">
        <v>45023</v>
      </c>
      <c r="S123" s="388">
        <v>45093</v>
      </c>
      <c r="T123" s="385"/>
      <c r="U123" s="388"/>
      <c r="V123" s="388"/>
      <c r="W123" s="385"/>
      <c r="X123" s="389"/>
      <c r="Y123" s="390">
        <f>Requisitions_Tracker[[#This Row],[Unit Price]]*Requisitions_Tracker[[#This Row],[Quantity]]</f>
        <v>0</v>
      </c>
    </row>
    <row r="124" spans="1:25" x14ac:dyDescent="0.25">
      <c r="A124" s="382" t="s">
        <v>7902</v>
      </c>
      <c r="B124" s="91" t="s">
        <v>469</v>
      </c>
      <c r="C124" s="91" t="s">
        <v>3</v>
      </c>
      <c r="D124" s="383">
        <v>1010582</v>
      </c>
      <c r="E124" s="384">
        <v>11065639</v>
      </c>
      <c r="F124" s="91" t="s">
        <v>470</v>
      </c>
      <c r="G124" s="91" t="s">
        <v>22</v>
      </c>
      <c r="H124" s="385" t="s">
        <v>747</v>
      </c>
      <c r="I124" s="91" t="s">
        <v>247</v>
      </c>
      <c r="J124" s="43" t="s">
        <v>474</v>
      </c>
      <c r="K124" s="383">
        <v>40</v>
      </c>
      <c r="L124" s="91" t="s">
        <v>63</v>
      </c>
      <c r="M124" s="519" t="s">
        <v>7863</v>
      </c>
      <c r="N124" s="385"/>
      <c r="O124" s="386" t="s">
        <v>167</v>
      </c>
      <c r="P124" s="387" t="str">
        <f>Requisitions_Tracker[[#This Row],[ConOps Contact]]</f>
        <v>Joe Gaca</v>
      </c>
      <c r="Q124" s="385">
        <v>5695</v>
      </c>
      <c r="R124" s="388">
        <v>45023</v>
      </c>
      <c r="S124" s="388">
        <v>45093</v>
      </c>
      <c r="T124" s="385"/>
      <c r="U124" s="388"/>
      <c r="V124" s="388"/>
      <c r="W124" s="385"/>
      <c r="X124" s="389"/>
      <c r="Y124" s="390">
        <f>Requisitions_Tracker[[#This Row],[Unit Price]]*Requisitions_Tracker[[#This Row],[Quantity]]</f>
        <v>0</v>
      </c>
    </row>
    <row r="125" spans="1:25" x14ac:dyDescent="0.25">
      <c r="A125" s="382" t="s">
        <v>7902</v>
      </c>
      <c r="B125" s="91" t="s">
        <v>469</v>
      </c>
      <c r="C125" s="91" t="s">
        <v>3</v>
      </c>
      <c r="D125" s="383">
        <v>1010582</v>
      </c>
      <c r="E125" s="384">
        <v>11065639</v>
      </c>
      <c r="F125" s="91" t="s">
        <v>470</v>
      </c>
      <c r="G125" s="91" t="s">
        <v>22</v>
      </c>
      <c r="H125" s="385" t="s">
        <v>747</v>
      </c>
      <c r="I125" s="91" t="s">
        <v>247</v>
      </c>
      <c r="J125" s="43" t="s">
        <v>475</v>
      </c>
      <c r="K125" s="383">
        <v>40</v>
      </c>
      <c r="L125" s="91" t="s">
        <v>63</v>
      </c>
      <c r="M125" s="519" t="s">
        <v>7863</v>
      </c>
      <c r="N125" s="385"/>
      <c r="O125" s="386" t="s">
        <v>167</v>
      </c>
      <c r="P125" s="387" t="str">
        <f>Requisitions_Tracker[[#This Row],[ConOps Contact]]</f>
        <v>Joe Gaca</v>
      </c>
      <c r="Q125" s="385">
        <v>5695</v>
      </c>
      <c r="R125" s="388">
        <v>45023</v>
      </c>
      <c r="S125" s="388">
        <v>45093</v>
      </c>
      <c r="T125" s="385"/>
      <c r="U125" s="388"/>
      <c r="V125" s="388"/>
      <c r="W125" s="385"/>
      <c r="X125" s="389"/>
      <c r="Y125" s="390">
        <f>Requisitions_Tracker[[#This Row],[Unit Price]]*Requisitions_Tracker[[#This Row],[Quantity]]</f>
        <v>0</v>
      </c>
    </row>
    <row r="126" spans="1:25" x14ac:dyDescent="0.25">
      <c r="A126" s="382" t="s">
        <v>7902</v>
      </c>
      <c r="B126" s="91" t="s">
        <v>469</v>
      </c>
      <c r="C126" s="91" t="s">
        <v>3</v>
      </c>
      <c r="D126" s="383">
        <v>1010582</v>
      </c>
      <c r="E126" s="384">
        <v>11065639</v>
      </c>
      <c r="F126" s="91" t="s">
        <v>470</v>
      </c>
      <c r="G126" s="91" t="s">
        <v>22</v>
      </c>
      <c r="H126" s="385" t="s">
        <v>747</v>
      </c>
      <c r="I126" s="91" t="s">
        <v>247</v>
      </c>
      <c r="J126" s="43" t="s">
        <v>476</v>
      </c>
      <c r="K126" s="383">
        <v>40</v>
      </c>
      <c r="L126" s="91" t="s">
        <v>63</v>
      </c>
      <c r="M126" s="519" t="s">
        <v>7863</v>
      </c>
      <c r="N126" s="385"/>
      <c r="O126" s="386" t="s">
        <v>167</v>
      </c>
      <c r="P126" s="387" t="str">
        <f>Requisitions_Tracker[[#This Row],[ConOps Contact]]</f>
        <v>Joe Gaca</v>
      </c>
      <c r="Q126" s="385">
        <v>5695</v>
      </c>
      <c r="R126" s="388">
        <v>45023</v>
      </c>
      <c r="S126" s="388">
        <v>45093</v>
      </c>
      <c r="T126" s="385"/>
      <c r="U126" s="388"/>
      <c r="V126" s="388"/>
      <c r="W126" s="385"/>
      <c r="X126" s="389"/>
      <c r="Y126" s="390">
        <f>Requisitions_Tracker[[#This Row],[Unit Price]]*Requisitions_Tracker[[#This Row],[Quantity]]</f>
        <v>0</v>
      </c>
    </row>
    <row r="127" spans="1:25" x14ac:dyDescent="0.25">
      <c r="A127" s="382" t="s">
        <v>7902</v>
      </c>
      <c r="B127" s="91" t="s">
        <v>469</v>
      </c>
      <c r="C127" s="91" t="s">
        <v>3</v>
      </c>
      <c r="D127" s="383">
        <v>1010582</v>
      </c>
      <c r="E127" s="384">
        <v>11065639</v>
      </c>
      <c r="F127" s="91" t="s">
        <v>470</v>
      </c>
      <c r="G127" s="91" t="s">
        <v>22</v>
      </c>
      <c r="H127" s="385" t="s">
        <v>747</v>
      </c>
      <c r="I127" s="91" t="s">
        <v>247</v>
      </c>
      <c r="J127" s="43" t="s">
        <v>477</v>
      </c>
      <c r="K127" s="383">
        <v>1</v>
      </c>
      <c r="L127" s="91" t="s">
        <v>321</v>
      </c>
      <c r="M127" s="519" t="s">
        <v>7863</v>
      </c>
      <c r="N127" s="385"/>
      <c r="O127" s="386" t="s">
        <v>167</v>
      </c>
      <c r="P127" s="387" t="str">
        <f>Requisitions_Tracker[[#This Row],[ConOps Contact]]</f>
        <v>Joe Gaca</v>
      </c>
      <c r="Q127" s="385">
        <v>5695</v>
      </c>
      <c r="R127" s="388">
        <v>45023</v>
      </c>
      <c r="S127" s="388">
        <v>45093</v>
      </c>
      <c r="T127" s="385"/>
      <c r="U127" s="388"/>
      <c r="V127" s="388"/>
      <c r="W127" s="385"/>
      <c r="X127" s="389"/>
      <c r="Y127" s="390">
        <f>Requisitions_Tracker[[#This Row],[Unit Price]]*Requisitions_Tracker[[#This Row],[Quantity]]</f>
        <v>0</v>
      </c>
    </row>
    <row r="128" spans="1:25" x14ac:dyDescent="0.25">
      <c r="A128" s="382" t="s">
        <v>7902</v>
      </c>
      <c r="B128" s="91" t="s">
        <v>469</v>
      </c>
      <c r="C128" s="91" t="s">
        <v>3</v>
      </c>
      <c r="D128" s="383">
        <v>1010582</v>
      </c>
      <c r="E128" s="384">
        <v>11065639</v>
      </c>
      <c r="F128" s="91" t="s">
        <v>470</v>
      </c>
      <c r="G128" s="91" t="s">
        <v>22</v>
      </c>
      <c r="H128" s="385" t="s">
        <v>747</v>
      </c>
      <c r="I128" s="91" t="s">
        <v>247</v>
      </c>
      <c r="J128" s="43" t="s">
        <v>478</v>
      </c>
      <c r="K128" s="383">
        <v>2</v>
      </c>
      <c r="L128" s="91" t="s">
        <v>321</v>
      </c>
      <c r="M128" s="519" t="s">
        <v>7863</v>
      </c>
      <c r="N128" s="385"/>
      <c r="O128" s="386" t="s">
        <v>167</v>
      </c>
      <c r="P128" s="387" t="str">
        <f>Requisitions_Tracker[[#This Row],[ConOps Contact]]</f>
        <v>Joe Gaca</v>
      </c>
      <c r="Q128" s="385">
        <v>5695</v>
      </c>
      <c r="R128" s="388">
        <v>45023</v>
      </c>
      <c r="S128" s="388">
        <v>45093</v>
      </c>
      <c r="T128" s="385"/>
      <c r="U128" s="388"/>
      <c r="V128" s="388"/>
      <c r="W128" s="385"/>
      <c r="X128" s="389"/>
      <c r="Y128" s="390">
        <f>Requisitions_Tracker[[#This Row],[Unit Price]]*Requisitions_Tracker[[#This Row],[Quantity]]</f>
        <v>0</v>
      </c>
    </row>
    <row r="129" spans="1:25" x14ac:dyDescent="0.25">
      <c r="A129" s="382" t="s">
        <v>7902</v>
      </c>
      <c r="B129" s="91" t="s">
        <v>469</v>
      </c>
      <c r="C129" s="91" t="s">
        <v>3</v>
      </c>
      <c r="D129" s="383">
        <v>1010582</v>
      </c>
      <c r="E129" s="384">
        <v>11065639</v>
      </c>
      <c r="F129" s="91" t="s">
        <v>470</v>
      </c>
      <c r="G129" s="91" t="s">
        <v>22</v>
      </c>
      <c r="H129" s="385" t="s">
        <v>747</v>
      </c>
      <c r="I129" s="91" t="s">
        <v>247</v>
      </c>
      <c r="J129" s="43" t="s">
        <v>479</v>
      </c>
      <c r="K129" s="383">
        <v>1</v>
      </c>
      <c r="L129" s="91" t="s">
        <v>321</v>
      </c>
      <c r="M129" s="519" t="s">
        <v>7863</v>
      </c>
      <c r="N129" s="385"/>
      <c r="O129" s="386" t="s">
        <v>167</v>
      </c>
      <c r="P129" s="387" t="str">
        <f>Requisitions_Tracker[[#This Row],[ConOps Contact]]</f>
        <v>Joe Gaca</v>
      </c>
      <c r="Q129" s="385">
        <v>5695</v>
      </c>
      <c r="R129" s="388">
        <v>45023</v>
      </c>
      <c r="S129" s="388">
        <v>45093</v>
      </c>
      <c r="T129" s="385"/>
      <c r="U129" s="388"/>
      <c r="V129" s="388"/>
      <c r="W129" s="385"/>
      <c r="X129" s="389"/>
      <c r="Y129" s="390">
        <f>Requisitions_Tracker[[#This Row],[Unit Price]]*Requisitions_Tracker[[#This Row],[Quantity]]</f>
        <v>0</v>
      </c>
    </row>
    <row r="130" spans="1:25" x14ac:dyDescent="0.25">
      <c r="A130" s="382" t="s">
        <v>7902</v>
      </c>
      <c r="B130" s="91" t="s">
        <v>469</v>
      </c>
      <c r="C130" s="91" t="s">
        <v>3</v>
      </c>
      <c r="D130" s="383">
        <v>1010582</v>
      </c>
      <c r="E130" s="384">
        <v>11065639</v>
      </c>
      <c r="F130" s="91" t="s">
        <v>470</v>
      </c>
      <c r="G130" s="91" t="s">
        <v>22</v>
      </c>
      <c r="H130" s="385" t="s">
        <v>747</v>
      </c>
      <c r="I130" s="91" t="s">
        <v>247</v>
      </c>
      <c r="J130" s="43" t="s">
        <v>480</v>
      </c>
      <c r="K130" s="383">
        <v>2</v>
      </c>
      <c r="L130" s="91" t="s">
        <v>321</v>
      </c>
      <c r="M130" s="519" t="s">
        <v>7863</v>
      </c>
      <c r="N130" s="385"/>
      <c r="O130" s="386" t="s">
        <v>167</v>
      </c>
      <c r="P130" s="387" t="str">
        <f>Requisitions_Tracker[[#This Row],[ConOps Contact]]</f>
        <v>Joe Gaca</v>
      </c>
      <c r="Q130" s="385">
        <v>5695</v>
      </c>
      <c r="R130" s="388">
        <v>45023</v>
      </c>
      <c r="S130" s="388">
        <v>45093</v>
      </c>
      <c r="T130" s="385"/>
      <c r="U130" s="388"/>
      <c r="V130" s="388"/>
      <c r="W130" s="385"/>
      <c r="X130" s="389"/>
      <c r="Y130" s="390">
        <f>Requisitions_Tracker[[#This Row],[Unit Price]]*Requisitions_Tracker[[#This Row],[Quantity]]</f>
        <v>0</v>
      </c>
    </row>
    <row r="131" spans="1:25" x14ac:dyDescent="0.25">
      <c r="A131" s="382" t="s">
        <v>7902</v>
      </c>
      <c r="B131" s="91" t="s">
        <v>469</v>
      </c>
      <c r="C131" s="91" t="s">
        <v>3</v>
      </c>
      <c r="D131" s="383">
        <v>1010582</v>
      </c>
      <c r="E131" s="384">
        <v>11065639</v>
      </c>
      <c r="F131" s="91" t="s">
        <v>470</v>
      </c>
      <c r="G131" s="91" t="s">
        <v>22</v>
      </c>
      <c r="H131" s="385" t="s">
        <v>747</v>
      </c>
      <c r="I131" s="91" t="s">
        <v>247</v>
      </c>
      <c r="J131" s="43" t="s">
        <v>481</v>
      </c>
      <c r="K131" s="383">
        <v>3</v>
      </c>
      <c r="L131" s="91" t="s">
        <v>321</v>
      </c>
      <c r="M131" s="519" t="s">
        <v>7863</v>
      </c>
      <c r="N131" s="385"/>
      <c r="O131" s="386" t="s">
        <v>167</v>
      </c>
      <c r="P131" s="387" t="str">
        <f>Requisitions_Tracker[[#This Row],[ConOps Contact]]</f>
        <v>Joe Gaca</v>
      </c>
      <c r="Q131" s="385">
        <v>5695</v>
      </c>
      <c r="R131" s="388">
        <v>45023</v>
      </c>
      <c r="S131" s="388">
        <v>45093</v>
      </c>
      <c r="T131" s="385"/>
      <c r="U131" s="388"/>
      <c r="V131" s="388"/>
      <c r="W131" s="385"/>
      <c r="X131" s="389"/>
      <c r="Y131" s="390">
        <f>Requisitions_Tracker[[#This Row],[Unit Price]]*Requisitions_Tracker[[#This Row],[Quantity]]</f>
        <v>0</v>
      </c>
    </row>
    <row r="132" spans="1:25" x14ac:dyDescent="0.25">
      <c r="A132" s="382" t="s">
        <v>7902</v>
      </c>
      <c r="B132" s="91" t="s">
        <v>469</v>
      </c>
      <c r="C132" s="91" t="s">
        <v>3</v>
      </c>
      <c r="D132" s="383">
        <v>1010582</v>
      </c>
      <c r="E132" s="384">
        <v>11065639</v>
      </c>
      <c r="F132" s="91" t="s">
        <v>470</v>
      </c>
      <c r="G132" s="91" t="s">
        <v>22</v>
      </c>
      <c r="H132" s="385" t="s">
        <v>747</v>
      </c>
      <c r="I132" s="91" t="s">
        <v>247</v>
      </c>
      <c r="J132" s="43" t="s">
        <v>482</v>
      </c>
      <c r="K132" s="383">
        <v>2</v>
      </c>
      <c r="L132" s="91" t="s">
        <v>321</v>
      </c>
      <c r="M132" s="519" t="s">
        <v>7863</v>
      </c>
      <c r="N132" s="385"/>
      <c r="O132" s="386" t="s">
        <v>167</v>
      </c>
      <c r="P132" s="387" t="str">
        <f>Requisitions_Tracker[[#This Row],[ConOps Contact]]</f>
        <v>Joe Gaca</v>
      </c>
      <c r="Q132" s="385">
        <v>5695</v>
      </c>
      <c r="R132" s="388">
        <v>45023</v>
      </c>
      <c r="S132" s="388">
        <v>45093</v>
      </c>
      <c r="T132" s="385"/>
      <c r="U132" s="388"/>
      <c r="V132" s="388"/>
      <c r="W132" s="385"/>
      <c r="X132" s="389"/>
      <c r="Y132" s="390">
        <f>Requisitions_Tracker[[#This Row],[Unit Price]]*Requisitions_Tracker[[#This Row],[Quantity]]</f>
        <v>0</v>
      </c>
    </row>
    <row r="133" spans="1:25" x14ac:dyDescent="0.25">
      <c r="A133" s="382" t="s">
        <v>7902</v>
      </c>
      <c r="B133" s="91" t="s">
        <v>469</v>
      </c>
      <c r="C133" s="91" t="s">
        <v>3</v>
      </c>
      <c r="D133" s="383">
        <v>1010582</v>
      </c>
      <c r="E133" s="384">
        <v>11065639</v>
      </c>
      <c r="F133" s="91" t="s">
        <v>470</v>
      </c>
      <c r="G133" s="91" t="s">
        <v>22</v>
      </c>
      <c r="H133" s="385" t="s">
        <v>747</v>
      </c>
      <c r="I133" s="91" t="s">
        <v>247</v>
      </c>
      <c r="J133" s="43" t="s">
        <v>483</v>
      </c>
      <c r="K133" s="383">
        <v>2</v>
      </c>
      <c r="L133" s="91" t="s">
        <v>321</v>
      </c>
      <c r="M133" s="519" t="s">
        <v>7863</v>
      </c>
      <c r="N133" s="385"/>
      <c r="O133" s="386" t="s">
        <v>167</v>
      </c>
      <c r="P133" s="387" t="str">
        <f>Requisitions_Tracker[[#This Row],[ConOps Contact]]</f>
        <v>Joe Gaca</v>
      </c>
      <c r="Q133" s="385">
        <v>5695</v>
      </c>
      <c r="R133" s="388">
        <v>45023</v>
      </c>
      <c r="S133" s="388">
        <v>45093</v>
      </c>
      <c r="T133" s="385"/>
      <c r="U133" s="388"/>
      <c r="V133" s="388"/>
      <c r="W133" s="385"/>
      <c r="X133" s="389"/>
      <c r="Y133" s="390">
        <f>Requisitions_Tracker[[#This Row],[Unit Price]]*Requisitions_Tracker[[#This Row],[Quantity]]</f>
        <v>0</v>
      </c>
    </row>
    <row r="134" spans="1:25" x14ac:dyDescent="0.25">
      <c r="A134" s="382" t="s">
        <v>7902</v>
      </c>
      <c r="B134" s="91" t="s">
        <v>469</v>
      </c>
      <c r="C134" s="91" t="s">
        <v>3</v>
      </c>
      <c r="D134" s="383">
        <v>1010582</v>
      </c>
      <c r="E134" s="384">
        <v>11065639</v>
      </c>
      <c r="F134" s="91" t="s">
        <v>470</v>
      </c>
      <c r="G134" s="91" t="s">
        <v>22</v>
      </c>
      <c r="H134" s="385" t="s">
        <v>747</v>
      </c>
      <c r="I134" s="91" t="s">
        <v>247</v>
      </c>
      <c r="J134" s="43" t="s">
        <v>484</v>
      </c>
      <c r="K134" s="383">
        <v>10</v>
      </c>
      <c r="L134" s="91" t="s">
        <v>321</v>
      </c>
      <c r="M134" s="519" t="s">
        <v>7863</v>
      </c>
      <c r="N134" s="385"/>
      <c r="O134" s="386" t="s">
        <v>167</v>
      </c>
      <c r="P134" s="387" t="str">
        <f>Requisitions_Tracker[[#This Row],[ConOps Contact]]</f>
        <v>Joe Gaca</v>
      </c>
      <c r="Q134" s="385">
        <v>5695</v>
      </c>
      <c r="R134" s="388">
        <v>45023</v>
      </c>
      <c r="S134" s="388">
        <v>45093</v>
      </c>
      <c r="T134" s="385"/>
      <c r="U134" s="388"/>
      <c r="V134" s="388"/>
      <c r="W134" s="385"/>
      <c r="X134" s="389"/>
      <c r="Y134" s="390">
        <f>Requisitions_Tracker[[#This Row],[Unit Price]]*Requisitions_Tracker[[#This Row],[Quantity]]</f>
        <v>0</v>
      </c>
    </row>
    <row r="135" spans="1:25" x14ac:dyDescent="0.25">
      <c r="A135" s="382" t="s">
        <v>7902</v>
      </c>
      <c r="B135" s="91" t="s">
        <v>469</v>
      </c>
      <c r="C135" s="91" t="s">
        <v>3</v>
      </c>
      <c r="D135" s="383">
        <v>1010582</v>
      </c>
      <c r="E135" s="384">
        <v>11065639</v>
      </c>
      <c r="F135" s="91" t="s">
        <v>470</v>
      </c>
      <c r="G135" s="91" t="s">
        <v>22</v>
      </c>
      <c r="H135" s="385" t="s">
        <v>747</v>
      </c>
      <c r="I135" s="91" t="s">
        <v>247</v>
      </c>
      <c r="J135" s="43" t="s">
        <v>485</v>
      </c>
      <c r="K135" s="383">
        <v>1</v>
      </c>
      <c r="L135" s="91" t="s">
        <v>321</v>
      </c>
      <c r="M135" s="519" t="s">
        <v>7863</v>
      </c>
      <c r="N135" s="385"/>
      <c r="O135" s="386" t="s">
        <v>167</v>
      </c>
      <c r="P135" s="387" t="str">
        <f>Requisitions_Tracker[[#This Row],[ConOps Contact]]</f>
        <v>Joe Gaca</v>
      </c>
      <c r="Q135" s="385">
        <v>5695</v>
      </c>
      <c r="R135" s="388">
        <v>45023</v>
      </c>
      <c r="S135" s="388">
        <v>45093</v>
      </c>
      <c r="T135" s="385"/>
      <c r="U135" s="388"/>
      <c r="V135" s="388"/>
      <c r="W135" s="385"/>
      <c r="X135" s="389"/>
      <c r="Y135" s="390">
        <f>Requisitions_Tracker[[#This Row],[Unit Price]]*Requisitions_Tracker[[#This Row],[Quantity]]</f>
        <v>0</v>
      </c>
    </row>
    <row r="136" spans="1:25" x14ac:dyDescent="0.25">
      <c r="A136" s="382" t="s">
        <v>7902</v>
      </c>
      <c r="B136" s="91" t="s">
        <v>469</v>
      </c>
      <c r="C136" s="91" t="s">
        <v>3</v>
      </c>
      <c r="D136" s="383">
        <v>1010582</v>
      </c>
      <c r="E136" s="384">
        <v>11065639</v>
      </c>
      <c r="F136" s="91" t="s">
        <v>470</v>
      </c>
      <c r="G136" s="91" t="s">
        <v>22</v>
      </c>
      <c r="H136" s="385" t="s">
        <v>747</v>
      </c>
      <c r="I136" s="91" t="s">
        <v>247</v>
      </c>
      <c r="J136" s="43" t="s">
        <v>486</v>
      </c>
      <c r="K136" s="383">
        <v>1</v>
      </c>
      <c r="L136" s="91" t="s">
        <v>321</v>
      </c>
      <c r="M136" s="519" t="s">
        <v>7863</v>
      </c>
      <c r="N136" s="385"/>
      <c r="O136" s="386" t="s">
        <v>167</v>
      </c>
      <c r="P136" s="387" t="str">
        <f>Requisitions_Tracker[[#This Row],[ConOps Contact]]</f>
        <v>Joe Gaca</v>
      </c>
      <c r="Q136" s="385">
        <v>5695</v>
      </c>
      <c r="R136" s="388">
        <v>45023</v>
      </c>
      <c r="S136" s="388">
        <v>45093</v>
      </c>
      <c r="T136" s="385"/>
      <c r="U136" s="388"/>
      <c r="V136" s="388"/>
      <c r="W136" s="385"/>
      <c r="X136" s="389"/>
      <c r="Y136" s="390">
        <f>Requisitions_Tracker[[#This Row],[Unit Price]]*Requisitions_Tracker[[#This Row],[Quantity]]</f>
        <v>0</v>
      </c>
    </row>
    <row r="137" spans="1:25" x14ac:dyDescent="0.25">
      <c r="A137" s="382" t="s">
        <v>7902</v>
      </c>
      <c r="B137" s="91" t="s">
        <v>469</v>
      </c>
      <c r="C137" s="91" t="s">
        <v>3</v>
      </c>
      <c r="D137" s="383">
        <v>1010582</v>
      </c>
      <c r="E137" s="384">
        <v>11065639</v>
      </c>
      <c r="F137" s="91" t="s">
        <v>470</v>
      </c>
      <c r="G137" s="91" t="s">
        <v>22</v>
      </c>
      <c r="H137" s="385" t="s">
        <v>747</v>
      </c>
      <c r="I137" s="91" t="s">
        <v>247</v>
      </c>
      <c r="J137" s="43" t="s">
        <v>487</v>
      </c>
      <c r="K137" s="383">
        <v>1</v>
      </c>
      <c r="L137" s="91" t="s">
        <v>321</v>
      </c>
      <c r="M137" s="519" t="s">
        <v>7863</v>
      </c>
      <c r="N137" s="385"/>
      <c r="O137" s="386" t="s">
        <v>167</v>
      </c>
      <c r="P137" s="387" t="str">
        <f>Requisitions_Tracker[[#This Row],[ConOps Contact]]</f>
        <v>Joe Gaca</v>
      </c>
      <c r="Q137" s="385">
        <v>5695</v>
      </c>
      <c r="R137" s="388">
        <v>45023</v>
      </c>
      <c r="S137" s="388">
        <v>45093</v>
      </c>
      <c r="T137" s="385"/>
      <c r="U137" s="388"/>
      <c r="V137" s="388"/>
      <c r="W137" s="385"/>
      <c r="X137" s="389"/>
      <c r="Y137" s="390">
        <f>Requisitions_Tracker[[#This Row],[Unit Price]]*Requisitions_Tracker[[#This Row],[Quantity]]</f>
        <v>0</v>
      </c>
    </row>
    <row r="138" spans="1:25" x14ac:dyDescent="0.25">
      <c r="A138" s="382" t="s">
        <v>7902</v>
      </c>
      <c r="B138" s="91" t="s">
        <v>469</v>
      </c>
      <c r="C138" s="91" t="s">
        <v>3</v>
      </c>
      <c r="D138" s="383">
        <v>1010582</v>
      </c>
      <c r="E138" s="384">
        <v>11065639</v>
      </c>
      <c r="F138" s="91" t="s">
        <v>470</v>
      </c>
      <c r="G138" s="91" t="s">
        <v>22</v>
      </c>
      <c r="H138" s="385" t="s">
        <v>747</v>
      </c>
      <c r="I138" s="91" t="s">
        <v>247</v>
      </c>
      <c r="J138" s="43" t="s">
        <v>488</v>
      </c>
      <c r="K138" s="383">
        <v>16</v>
      </c>
      <c r="L138" s="91" t="s">
        <v>321</v>
      </c>
      <c r="M138" s="519" t="s">
        <v>7863</v>
      </c>
      <c r="N138" s="385"/>
      <c r="O138" s="386" t="s">
        <v>167</v>
      </c>
      <c r="P138" s="387" t="str">
        <f>Requisitions_Tracker[[#This Row],[ConOps Contact]]</f>
        <v>Joe Gaca</v>
      </c>
      <c r="Q138" s="385">
        <v>5695</v>
      </c>
      <c r="R138" s="388">
        <v>45023</v>
      </c>
      <c r="S138" s="388">
        <v>45093</v>
      </c>
      <c r="T138" s="385"/>
      <c r="U138" s="388"/>
      <c r="V138" s="388"/>
      <c r="W138" s="385"/>
      <c r="X138" s="389"/>
      <c r="Y138" s="390">
        <f>Requisitions_Tracker[[#This Row],[Unit Price]]*Requisitions_Tracker[[#This Row],[Quantity]]</f>
        <v>0</v>
      </c>
    </row>
    <row r="139" spans="1:25" x14ac:dyDescent="0.25">
      <c r="A139" s="382" t="s">
        <v>7902</v>
      </c>
      <c r="B139" s="91" t="s">
        <v>469</v>
      </c>
      <c r="C139" s="91" t="s">
        <v>3</v>
      </c>
      <c r="D139" s="383">
        <v>1010582</v>
      </c>
      <c r="E139" s="384">
        <v>11065639</v>
      </c>
      <c r="F139" s="91" t="s">
        <v>470</v>
      </c>
      <c r="G139" s="91" t="s">
        <v>22</v>
      </c>
      <c r="H139" s="385" t="s">
        <v>747</v>
      </c>
      <c r="I139" s="91" t="s">
        <v>247</v>
      </c>
      <c r="J139" s="43" t="s">
        <v>489</v>
      </c>
      <c r="K139" s="383">
        <v>1</v>
      </c>
      <c r="L139" s="91" t="s">
        <v>321</v>
      </c>
      <c r="M139" s="519" t="s">
        <v>7863</v>
      </c>
      <c r="N139" s="385"/>
      <c r="O139" s="386" t="s">
        <v>167</v>
      </c>
      <c r="P139" s="387" t="str">
        <f>Requisitions_Tracker[[#This Row],[ConOps Contact]]</f>
        <v>Joe Gaca</v>
      </c>
      <c r="Q139" s="385">
        <v>5695</v>
      </c>
      <c r="R139" s="388">
        <v>45023</v>
      </c>
      <c r="S139" s="388">
        <v>45093</v>
      </c>
      <c r="T139" s="385"/>
      <c r="U139" s="388"/>
      <c r="V139" s="388"/>
      <c r="W139" s="385"/>
      <c r="X139" s="389"/>
      <c r="Y139" s="390">
        <f>Requisitions_Tracker[[#This Row],[Unit Price]]*Requisitions_Tracker[[#This Row],[Quantity]]</f>
        <v>0</v>
      </c>
    </row>
    <row r="140" spans="1:25" x14ac:dyDescent="0.25">
      <c r="A140" s="382" t="s">
        <v>7902</v>
      </c>
      <c r="B140" s="91" t="s">
        <v>469</v>
      </c>
      <c r="C140" s="91" t="s">
        <v>3</v>
      </c>
      <c r="D140" s="383">
        <v>1010582</v>
      </c>
      <c r="E140" s="384">
        <v>11065639</v>
      </c>
      <c r="F140" s="91" t="s">
        <v>470</v>
      </c>
      <c r="G140" s="91" t="s">
        <v>22</v>
      </c>
      <c r="H140" s="385" t="s">
        <v>747</v>
      </c>
      <c r="I140" s="91" t="s">
        <v>247</v>
      </c>
      <c r="J140" s="43" t="s">
        <v>490</v>
      </c>
      <c r="K140" s="383">
        <v>2</v>
      </c>
      <c r="L140" s="91" t="s">
        <v>321</v>
      </c>
      <c r="M140" s="519" t="s">
        <v>7863</v>
      </c>
      <c r="N140" s="385"/>
      <c r="O140" s="386" t="s">
        <v>167</v>
      </c>
      <c r="P140" s="387" t="str">
        <f>Requisitions_Tracker[[#This Row],[ConOps Contact]]</f>
        <v>Joe Gaca</v>
      </c>
      <c r="Q140" s="385">
        <v>5695</v>
      </c>
      <c r="R140" s="388">
        <v>45023</v>
      </c>
      <c r="S140" s="388">
        <v>45093</v>
      </c>
      <c r="T140" s="385"/>
      <c r="U140" s="388"/>
      <c r="V140" s="388"/>
      <c r="W140" s="385"/>
      <c r="X140" s="389"/>
      <c r="Y140" s="390">
        <f>Requisitions_Tracker[[#This Row],[Unit Price]]*Requisitions_Tracker[[#This Row],[Quantity]]</f>
        <v>0</v>
      </c>
    </row>
    <row r="141" spans="1:25" x14ac:dyDescent="0.25">
      <c r="A141" s="382" t="s">
        <v>7902</v>
      </c>
      <c r="B141" s="91" t="s">
        <v>469</v>
      </c>
      <c r="C141" s="91" t="s">
        <v>3</v>
      </c>
      <c r="D141" s="383">
        <v>1010582</v>
      </c>
      <c r="E141" s="384">
        <v>11065639</v>
      </c>
      <c r="F141" s="91" t="s">
        <v>470</v>
      </c>
      <c r="G141" s="91" t="s">
        <v>22</v>
      </c>
      <c r="H141" s="385" t="s">
        <v>747</v>
      </c>
      <c r="I141" s="91" t="s">
        <v>247</v>
      </c>
      <c r="J141" s="43" t="s">
        <v>491</v>
      </c>
      <c r="K141" s="383">
        <v>4</v>
      </c>
      <c r="L141" s="91" t="s">
        <v>321</v>
      </c>
      <c r="M141" s="519" t="s">
        <v>7863</v>
      </c>
      <c r="N141" s="385"/>
      <c r="O141" s="386" t="s">
        <v>167</v>
      </c>
      <c r="P141" s="387" t="str">
        <f>Requisitions_Tracker[[#This Row],[ConOps Contact]]</f>
        <v>Joe Gaca</v>
      </c>
      <c r="Q141" s="385">
        <v>5695</v>
      </c>
      <c r="R141" s="388">
        <v>45023</v>
      </c>
      <c r="S141" s="388">
        <v>45093</v>
      </c>
      <c r="T141" s="385"/>
      <c r="U141" s="388"/>
      <c r="V141" s="388"/>
      <c r="W141" s="385"/>
      <c r="X141" s="389"/>
      <c r="Y141" s="390">
        <f>Requisitions_Tracker[[#This Row],[Unit Price]]*Requisitions_Tracker[[#This Row],[Quantity]]</f>
        <v>0</v>
      </c>
    </row>
    <row r="142" spans="1:25" x14ac:dyDescent="0.25">
      <c r="A142" s="382" t="s">
        <v>7902</v>
      </c>
      <c r="B142" s="91" t="s">
        <v>469</v>
      </c>
      <c r="C142" s="91" t="s">
        <v>3</v>
      </c>
      <c r="D142" s="383">
        <v>1010582</v>
      </c>
      <c r="E142" s="384">
        <v>11065639</v>
      </c>
      <c r="F142" s="91" t="s">
        <v>470</v>
      </c>
      <c r="G142" s="91" t="s">
        <v>22</v>
      </c>
      <c r="H142" s="385" t="s">
        <v>747</v>
      </c>
      <c r="I142" s="91" t="s">
        <v>247</v>
      </c>
      <c r="J142" s="43" t="s">
        <v>492</v>
      </c>
      <c r="K142" s="383">
        <v>2</v>
      </c>
      <c r="L142" s="91" t="s">
        <v>321</v>
      </c>
      <c r="M142" s="519" t="s">
        <v>7863</v>
      </c>
      <c r="N142" s="385"/>
      <c r="O142" s="386" t="s">
        <v>167</v>
      </c>
      <c r="P142" s="387" t="str">
        <f>Requisitions_Tracker[[#This Row],[ConOps Contact]]</f>
        <v>Joe Gaca</v>
      </c>
      <c r="Q142" s="385">
        <v>5695</v>
      </c>
      <c r="R142" s="388">
        <v>45023</v>
      </c>
      <c r="S142" s="388">
        <v>45093</v>
      </c>
      <c r="T142" s="385"/>
      <c r="U142" s="388"/>
      <c r="V142" s="388"/>
      <c r="W142" s="385"/>
      <c r="X142" s="389"/>
      <c r="Y142" s="390">
        <f>Requisitions_Tracker[[#This Row],[Unit Price]]*Requisitions_Tracker[[#This Row],[Quantity]]</f>
        <v>0</v>
      </c>
    </row>
    <row r="143" spans="1:25" x14ac:dyDescent="0.25">
      <c r="A143" s="382" t="s">
        <v>7902</v>
      </c>
      <c r="B143" s="91" t="s">
        <v>469</v>
      </c>
      <c r="C143" s="91" t="s">
        <v>3</v>
      </c>
      <c r="D143" s="383">
        <v>1010582</v>
      </c>
      <c r="E143" s="384">
        <v>11065639</v>
      </c>
      <c r="F143" s="91" t="s">
        <v>470</v>
      </c>
      <c r="G143" s="91" t="s">
        <v>22</v>
      </c>
      <c r="H143" s="385" t="s">
        <v>747</v>
      </c>
      <c r="I143" s="91" t="s">
        <v>247</v>
      </c>
      <c r="J143" s="43" t="s">
        <v>493</v>
      </c>
      <c r="K143" s="383">
        <v>2</v>
      </c>
      <c r="L143" s="91" t="s">
        <v>321</v>
      </c>
      <c r="M143" s="519" t="s">
        <v>7863</v>
      </c>
      <c r="N143" s="385"/>
      <c r="O143" s="386" t="s">
        <v>167</v>
      </c>
      <c r="P143" s="387" t="str">
        <f>Requisitions_Tracker[[#This Row],[ConOps Contact]]</f>
        <v>Joe Gaca</v>
      </c>
      <c r="Q143" s="385">
        <v>5695</v>
      </c>
      <c r="R143" s="388">
        <v>45023</v>
      </c>
      <c r="S143" s="388">
        <v>45093</v>
      </c>
      <c r="T143" s="385"/>
      <c r="U143" s="388"/>
      <c r="V143" s="388"/>
      <c r="W143" s="385"/>
      <c r="X143" s="389"/>
      <c r="Y143" s="390">
        <f>Requisitions_Tracker[[#This Row],[Unit Price]]*Requisitions_Tracker[[#This Row],[Quantity]]</f>
        <v>0</v>
      </c>
    </row>
    <row r="144" spans="1:25" x14ac:dyDescent="0.25">
      <c r="A144" s="382" t="s">
        <v>7930</v>
      </c>
      <c r="B144" s="91" t="s">
        <v>494</v>
      </c>
      <c r="C144" s="91" t="s">
        <v>3</v>
      </c>
      <c r="D144" s="383">
        <v>1312367</v>
      </c>
      <c r="E144" s="384">
        <v>11057162</v>
      </c>
      <c r="F144" s="91" t="s">
        <v>495</v>
      </c>
      <c r="G144" s="91" t="s">
        <v>22</v>
      </c>
      <c r="H144" s="385" t="s">
        <v>7936</v>
      </c>
      <c r="I144" s="91" t="s">
        <v>497</v>
      </c>
      <c r="J144" s="43" t="s">
        <v>496</v>
      </c>
      <c r="K144" s="383">
        <v>1160</v>
      </c>
      <c r="L144" s="91" t="s">
        <v>63</v>
      </c>
      <c r="M144" s="519" t="s">
        <v>7863</v>
      </c>
      <c r="N144" s="385"/>
      <c r="O144" s="386" t="s">
        <v>167</v>
      </c>
      <c r="P144" s="387" t="str">
        <f>Requisitions_Tracker[[#This Row],[ConOps Contact]]</f>
        <v>Mike Crouch</v>
      </c>
      <c r="Q144" s="385">
        <v>4940</v>
      </c>
      <c r="R144" s="388">
        <v>45023</v>
      </c>
      <c r="S144" s="388">
        <v>45093</v>
      </c>
      <c r="T144" s="385" t="s">
        <v>7937</v>
      </c>
      <c r="U144" s="388">
        <v>45057</v>
      </c>
      <c r="V144" s="388">
        <v>45246</v>
      </c>
      <c r="W144" s="385" t="s">
        <v>7865</v>
      </c>
      <c r="X144" s="389">
        <v>94.95</v>
      </c>
      <c r="Y144" s="390">
        <f>Requisitions_Tracker[[#This Row],[Unit Price]]*Requisitions_Tracker[[#This Row],[Quantity]]</f>
        <v>110142</v>
      </c>
    </row>
    <row r="145" spans="1:25" x14ac:dyDescent="0.25">
      <c r="A145" s="382" t="s">
        <v>7902</v>
      </c>
      <c r="B145" s="91" t="s">
        <v>494</v>
      </c>
      <c r="C145" s="91" t="s">
        <v>3</v>
      </c>
      <c r="D145" s="383">
        <v>1312367</v>
      </c>
      <c r="E145" s="384">
        <v>11057162</v>
      </c>
      <c r="F145" s="91" t="s">
        <v>495</v>
      </c>
      <c r="G145" s="91" t="s">
        <v>22</v>
      </c>
      <c r="H145" s="385" t="s">
        <v>7936</v>
      </c>
      <c r="I145" s="91" t="s">
        <v>497</v>
      </c>
      <c r="J145" s="43" t="s">
        <v>498</v>
      </c>
      <c r="K145" s="383">
        <v>1</v>
      </c>
      <c r="L145" s="91" t="s">
        <v>321</v>
      </c>
      <c r="M145" s="519" t="s">
        <v>7863</v>
      </c>
      <c r="N145" s="385"/>
      <c r="O145" s="386" t="s">
        <v>167</v>
      </c>
      <c r="P145" s="387" t="str">
        <f>Requisitions_Tracker[[#This Row],[ConOps Contact]]</f>
        <v>Mike Crouch</v>
      </c>
      <c r="Q145" s="385">
        <v>4940</v>
      </c>
      <c r="R145" s="388">
        <v>45023</v>
      </c>
      <c r="S145" s="388">
        <v>45093</v>
      </c>
      <c r="T145" s="385"/>
      <c r="U145" s="388"/>
      <c r="V145" s="388"/>
      <c r="W145" s="385"/>
      <c r="X145" s="389"/>
      <c r="Y145" s="390">
        <f>Requisitions_Tracker[[#This Row],[Unit Price]]*Requisitions_Tracker[[#This Row],[Quantity]]</f>
        <v>0</v>
      </c>
    </row>
    <row r="146" spans="1:25" x14ac:dyDescent="0.25">
      <c r="A146" s="382" t="s">
        <v>7902</v>
      </c>
      <c r="B146" s="91" t="s">
        <v>494</v>
      </c>
      <c r="C146" s="91" t="s">
        <v>3</v>
      </c>
      <c r="D146" s="383">
        <v>1312367</v>
      </c>
      <c r="E146" s="384">
        <v>11057162</v>
      </c>
      <c r="F146" s="91" t="s">
        <v>495</v>
      </c>
      <c r="G146" s="91" t="s">
        <v>22</v>
      </c>
      <c r="H146" s="385" t="s">
        <v>7936</v>
      </c>
      <c r="I146" s="91" t="s">
        <v>497</v>
      </c>
      <c r="J146" s="43" t="s">
        <v>499</v>
      </c>
      <c r="K146" s="383">
        <v>1</v>
      </c>
      <c r="L146" s="91" t="s">
        <v>321</v>
      </c>
      <c r="M146" s="519" t="s">
        <v>7863</v>
      </c>
      <c r="N146" s="385"/>
      <c r="O146" s="386" t="s">
        <v>167</v>
      </c>
      <c r="P146" s="387" t="str">
        <f>Requisitions_Tracker[[#This Row],[ConOps Contact]]</f>
        <v>Mike Crouch</v>
      </c>
      <c r="Q146" s="385">
        <v>4940</v>
      </c>
      <c r="R146" s="388">
        <v>45023</v>
      </c>
      <c r="S146" s="388">
        <v>45093</v>
      </c>
      <c r="T146" s="385"/>
      <c r="U146" s="388"/>
      <c r="V146" s="388"/>
      <c r="W146" s="385"/>
      <c r="X146" s="389"/>
      <c r="Y146" s="390">
        <f>Requisitions_Tracker[[#This Row],[Unit Price]]*Requisitions_Tracker[[#This Row],[Quantity]]</f>
        <v>0</v>
      </c>
    </row>
    <row r="147" spans="1:25" x14ac:dyDescent="0.25">
      <c r="A147" s="382" t="s">
        <v>7902</v>
      </c>
      <c r="B147" s="91" t="s">
        <v>494</v>
      </c>
      <c r="C147" s="91" t="s">
        <v>3</v>
      </c>
      <c r="D147" s="383">
        <v>1312367</v>
      </c>
      <c r="E147" s="384">
        <v>11057162</v>
      </c>
      <c r="F147" s="91" t="s">
        <v>495</v>
      </c>
      <c r="G147" s="91" t="s">
        <v>22</v>
      </c>
      <c r="H147" s="385" t="s">
        <v>7936</v>
      </c>
      <c r="I147" s="91" t="s">
        <v>497</v>
      </c>
      <c r="J147" s="43" t="s">
        <v>500</v>
      </c>
      <c r="K147" s="383">
        <v>1</v>
      </c>
      <c r="L147" s="91" t="s">
        <v>321</v>
      </c>
      <c r="M147" s="519" t="s">
        <v>7863</v>
      </c>
      <c r="N147" s="385"/>
      <c r="O147" s="386" t="s">
        <v>167</v>
      </c>
      <c r="P147" s="387" t="str">
        <f>Requisitions_Tracker[[#This Row],[ConOps Contact]]</f>
        <v>Mike Crouch</v>
      </c>
      <c r="Q147" s="385">
        <v>4940</v>
      </c>
      <c r="R147" s="388">
        <v>45023</v>
      </c>
      <c r="S147" s="388">
        <v>45093</v>
      </c>
      <c r="T147" s="385"/>
      <c r="U147" s="388"/>
      <c r="V147" s="388"/>
      <c r="W147" s="385"/>
      <c r="X147" s="389"/>
      <c r="Y147" s="390">
        <f>Requisitions_Tracker[[#This Row],[Unit Price]]*Requisitions_Tracker[[#This Row],[Quantity]]</f>
        <v>0</v>
      </c>
    </row>
    <row r="148" spans="1:25" x14ac:dyDescent="0.25">
      <c r="A148" s="382" t="s">
        <v>7902</v>
      </c>
      <c r="B148" s="91" t="s">
        <v>494</v>
      </c>
      <c r="C148" s="91" t="s">
        <v>3</v>
      </c>
      <c r="D148" s="383">
        <v>1312367</v>
      </c>
      <c r="E148" s="384">
        <v>11057162</v>
      </c>
      <c r="F148" s="91" t="s">
        <v>495</v>
      </c>
      <c r="G148" s="91" t="s">
        <v>22</v>
      </c>
      <c r="H148" s="385" t="s">
        <v>7936</v>
      </c>
      <c r="I148" s="91" t="s">
        <v>497</v>
      </c>
      <c r="J148" s="43" t="s">
        <v>501</v>
      </c>
      <c r="K148" s="383">
        <v>1</v>
      </c>
      <c r="L148" s="91" t="s">
        <v>321</v>
      </c>
      <c r="M148" s="519" t="s">
        <v>7863</v>
      </c>
      <c r="N148" s="385"/>
      <c r="O148" s="386" t="s">
        <v>167</v>
      </c>
      <c r="P148" s="387" t="str">
        <f>Requisitions_Tracker[[#This Row],[ConOps Contact]]</f>
        <v>Mike Crouch</v>
      </c>
      <c r="Q148" s="385">
        <v>4940</v>
      </c>
      <c r="R148" s="388">
        <v>45023</v>
      </c>
      <c r="S148" s="388">
        <v>45093</v>
      </c>
      <c r="T148" s="385"/>
      <c r="U148" s="388"/>
      <c r="V148" s="388"/>
      <c r="W148" s="385"/>
      <c r="X148" s="389"/>
      <c r="Y148" s="390">
        <f>Requisitions_Tracker[[#This Row],[Unit Price]]*Requisitions_Tracker[[#This Row],[Quantity]]</f>
        <v>0</v>
      </c>
    </row>
    <row r="149" spans="1:25" x14ac:dyDescent="0.25">
      <c r="A149" s="382" t="s">
        <v>7930</v>
      </c>
      <c r="B149" s="91" t="s">
        <v>494</v>
      </c>
      <c r="C149" s="91" t="s">
        <v>3</v>
      </c>
      <c r="D149" s="383">
        <v>1312367</v>
      </c>
      <c r="E149" s="384">
        <v>11057162</v>
      </c>
      <c r="F149" s="91" t="s">
        <v>495</v>
      </c>
      <c r="G149" s="91" t="s">
        <v>22</v>
      </c>
      <c r="H149" s="385" t="s">
        <v>7936</v>
      </c>
      <c r="I149" s="91" t="s">
        <v>497</v>
      </c>
      <c r="J149" s="43" t="s">
        <v>502</v>
      </c>
      <c r="K149" s="383">
        <v>2</v>
      </c>
      <c r="L149" s="91" t="s">
        <v>321</v>
      </c>
      <c r="M149" s="519" t="s">
        <v>7863</v>
      </c>
      <c r="N149" s="385"/>
      <c r="O149" s="386" t="s">
        <v>167</v>
      </c>
      <c r="P149" s="387" t="str">
        <f>Requisitions_Tracker[[#This Row],[ConOps Contact]]</f>
        <v>Mike Crouch</v>
      </c>
      <c r="Q149" s="385">
        <v>4940</v>
      </c>
      <c r="R149" s="388">
        <v>45023</v>
      </c>
      <c r="S149" s="388">
        <v>45093</v>
      </c>
      <c r="T149" s="385" t="s">
        <v>7937</v>
      </c>
      <c r="U149" s="388">
        <v>45057</v>
      </c>
      <c r="V149" s="388">
        <v>45246</v>
      </c>
      <c r="W149" s="385" t="s">
        <v>7865</v>
      </c>
      <c r="X149" s="389">
        <v>31600</v>
      </c>
      <c r="Y149" s="390">
        <f>Requisitions_Tracker[[#This Row],[Unit Price]]*Requisitions_Tracker[[#This Row],[Quantity]]</f>
        <v>63200</v>
      </c>
    </row>
    <row r="150" spans="1:25" x14ac:dyDescent="0.25">
      <c r="A150" s="382" t="s">
        <v>7930</v>
      </c>
      <c r="B150" s="91" t="s">
        <v>494</v>
      </c>
      <c r="C150" s="91" t="s">
        <v>3</v>
      </c>
      <c r="D150" s="383">
        <v>1312367</v>
      </c>
      <c r="E150" s="384">
        <v>11057162</v>
      </c>
      <c r="F150" s="91" t="s">
        <v>495</v>
      </c>
      <c r="G150" s="91" t="s">
        <v>22</v>
      </c>
      <c r="H150" s="385" t="s">
        <v>7936</v>
      </c>
      <c r="I150" s="91" t="s">
        <v>497</v>
      </c>
      <c r="J150" s="43" t="s">
        <v>503</v>
      </c>
      <c r="K150" s="383">
        <v>10</v>
      </c>
      <c r="L150" s="91" t="s">
        <v>321</v>
      </c>
      <c r="M150" s="519" t="s">
        <v>7863</v>
      </c>
      <c r="N150" s="385"/>
      <c r="O150" s="386" t="s">
        <v>167</v>
      </c>
      <c r="P150" s="387" t="str">
        <f>Requisitions_Tracker[[#This Row],[ConOps Contact]]</f>
        <v>Mike Crouch</v>
      </c>
      <c r="Q150" s="385">
        <v>4940</v>
      </c>
      <c r="R150" s="388">
        <v>45023</v>
      </c>
      <c r="S150" s="388">
        <v>45093</v>
      </c>
      <c r="T150" s="385" t="s">
        <v>7937</v>
      </c>
      <c r="U150" s="388">
        <v>45057</v>
      </c>
      <c r="V150" s="388">
        <v>45246</v>
      </c>
      <c r="W150" s="385" t="s">
        <v>7865</v>
      </c>
      <c r="X150" s="389">
        <v>824.13</v>
      </c>
      <c r="Y150" s="390">
        <f>Requisitions_Tracker[[#This Row],[Unit Price]]*Requisitions_Tracker[[#This Row],[Quantity]]</f>
        <v>8241.2999999999993</v>
      </c>
    </row>
    <row r="151" spans="1:25" x14ac:dyDescent="0.25">
      <c r="A151" s="382" t="s">
        <v>7930</v>
      </c>
      <c r="B151" s="91" t="s">
        <v>494</v>
      </c>
      <c r="C151" s="91" t="s">
        <v>3</v>
      </c>
      <c r="D151" s="383">
        <v>1312367</v>
      </c>
      <c r="E151" s="384">
        <v>11057162</v>
      </c>
      <c r="F151" s="91" t="s">
        <v>495</v>
      </c>
      <c r="G151" s="91" t="s">
        <v>22</v>
      </c>
      <c r="H151" s="385" t="s">
        <v>7936</v>
      </c>
      <c r="I151" s="91" t="s">
        <v>497</v>
      </c>
      <c r="J151" s="43" t="s">
        <v>504</v>
      </c>
      <c r="K151" s="383">
        <v>2</v>
      </c>
      <c r="L151" s="91" t="s">
        <v>321</v>
      </c>
      <c r="M151" s="519" t="s">
        <v>7863</v>
      </c>
      <c r="N151" s="385"/>
      <c r="O151" s="386" t="s">
        <v>167</v>
      </c>
      <c r="P151" s="387" t="str">
        <f>Requisitions_Tracker[[#This Row],[ConOps Contact]]</f>
        <v>Mike Crouch</v>
      </c>
      <c r="Q151" s="385">
        <v>4940</v>
      </c>
      <c r="R151" s="388">
        <v>45023</v>
      </c>
      <c r="S151" s="388">
        <v>45093</v>
      </c>
      <c r="T151" s="385" t="s">
        <v>7937</v>
      </c>
      <c r="U151" s="388">
        <v>45057</v>
      </c>
      <c r="V151" s="388">
        <v>45246</v>
      </c>
      <c r="W151" s="385" t="s">
        <v>7865</v>
      </c>
      <c r="X151" s="389">
        <v>592</v>
      </c>
      <c r="Y151" s="390">
        <f>Requisitions_Tracker[[#This Row],[Unit Price]]*Requisitions_Tracker[[#This Row],[Quantity]]</f>
        <v>1184</v>
      </c>
    </row>
    <row r="152" spans="1:25" x14ac:dyDescent="0.25">
      <c r="A152" s="382" t="s">
        <v>7930</v>
      </c>
      <c r="B152" s="91" t="s">
        <v>494</v>
      </c>
      <c r="C152" s="91" t="s">
        <v>3</v>
      </c>
      <c r="D152" s="383">
        <v>1312367</v>
      </c>
      <c r="E152" s="384">
        <v>11057162</v>
      </c>
      <c r="F152" s="91" t="s">
        <v>495</v>
      </c>
      <c r="G152" s="91" t="s">
        <v>22</v>
      </c>
      <c r="H152" s="385" t="s">
        <v>7936</v>
      </c>
      <c r="I152" s="91" t="s">
        <v>497</v>
      </c>
      <c r="J152" s="43" t="s">
        <v>505</v>
      </c>
      <c r="K152" s="383">
        <v>1</v>
      </c>
      <c r="L152" s="91" t="s">
        <v>321</v>
      </c>
      <c r="M152" s="519" t="s">
        <v>7863</v>
      </c>
      <c r="N152" s="385"/>
      <c r="O152" s="386" t="s">
        <v>167</v>
      </c>
      <c r="P152" s="387" t="str">
        <f>Requisitions_Tracker[[#This Row],[ConOps Contact]]</f>
        <v>Mike Crouch</v>
      </c>
      <c r="Q152" s="385">
        <v>4940</v>
      </c>
      <c r="R152" s="388">
        <v>45023</v>
      </c>
      <c r="S152" s="388">
        <v>45093</v>
      </c>
      <c r="T152" s="385" t="s">
        <v>7937</v>
      </c>
      <c r="U152" s="388">
        <v>45057</v>
      </c>
      <c r="V152" s="388">
        <v>45246</v>
      </c>
      <c r="W152" s="385" t="s">
        <v>7865</v>
      </c>
      <c r="X152" s="389">
        <v>1060.58</v>
      </c>
      <c r="Y152" s="390">
        <f>Requisitions_Tracker[[#This Row],[Unit Price]]*Requisitions_Tracker[[#This Row],[Quantity]]</f>
        <v>1060.58</v>
      </c>
    </row>
    <row r="153" spans="1:25" x14ac:dyDescent="0.25">
      <c r="A153" s="382" t="s">
        <v>7930</v>
      </c>
      <c r="B153" s="91" t="s">
        <v>494</v>
      </c>
      <c r="C153" s="91" t="s">
        <v>3</v>
      </c>
      <c r="D153" s="383">
        <v>1312367</v>
      </c>
      <c r="E153" s="384">
        <v>11057162</v>
      </c>
      <c r="F153" s="91" t="s">
        <v>495</v>
      </c>
      <c r="G153" s="91" t="s">
        <v>22</v>
      </c>
      <c r="H153" s="385" t="s">
        <v>7936</v>
      </c>
      <c r="I153" s="91" t="s">
        <v>497</v>
      </c>
      <c r="J153" s="43" t="s">
        <v>506</v>
      </c>
      <c r="K153" s="383">
        <v>5</v>
      </c>
      <c r="L153" s="91" t="s">
        <v>321</v>
      </c>
      <c r="M153" s="519" t="s">
        <v>7863</v>
      </c>
      <c r="N153" s="385"/>
      <c r="O153" s="386" t="s">
        <v>167</v>
      </c>
      <c r="P153" s="387" t="str">
        <f>Requisitions_Tracker[[#This Row],[ConOps Contact]]</f>
        <v>Mike Crouch</v>
      </c>
      <c r="Q153" s="385">
        <v>4940</v>
      </c>
      <c r="R153" s="388">
        <v>45023</v>
      </c>
      <c r="S153" s="388">
        <v>45093</v>
      </c>
      <c r="T153" s="385" t="s">
        <v>7937</v>
      </c>
      <c r="U153" s="388">
        <v>45057</v>
      </c>
      <c r="V153" s="388">
        <v>45246</v>
      </c>
      <c r="W153" s="385" t="s">
        <v>7865</v>
      </c>
      <c r="X153" s="389">
        <v>266.81</v>
      </c>
      <c r="Y153" s="390">
        <f>Requisitions_Tracker[[#This Row],[Unit Price]]*Requisitions_Tracker[[#This Row],[Quantity]]</f>
        <v>1334.05</v>
      </c>
    </row>
    <row r="154" spans="1:25" x14ac:dyDescent="0.25">
      <c r="A154" s="382" t="s">
        <v>7930</v>
      </c>
      <c r="B154" s="91" t="s">
        <v>494</v>
      </c>
      <c r="C154" s="91" t="s">
        <v>3</v>
      </c>
      <c r="D154" s="383">
        <v>1312367</v>
      </c>
      <c r="E154" s="384">
        <v>11057162</v>
      </c>
      <c r="F154" s="91" t="s">
        <v>495</v>
      </c>
      <c r="G154" s="91" t="s">
        <v>22</v>
      </c>
      <c r="H154" s="385" t="s">
        <v>7936</v>
      </c>
      <c r="I154" s="91" t="s">
        <v>497</v>
      </c>
      <c r="J154" s="43" t="s">
        <v>507</v>
      </c>
      <c r="K154" s="383">
        <v>1</v>
      </c>
      <c r="L154" s="91" t="s">
        <v>321</v>
      </c>
      <c r="M154" s="519" t="s">
        <v>7863</v>
      </c>
      <c r="N154" s="385"/>
      <c r="O154" s="386" t="s">
        <v>167</v>
      </c>
      <c r="P154" s="387" t="str">
        <f>Requisitions_Tracker[[#This Row],[ConOps Contact]]</f>
        <v>Mike Crouch</v>
      </c>
      <c r="Q154" s="385">
        <v>4940</v>
      </c>
      <c r="R154" s="388">
        <v>45023</v>
      </c>
      <c r="S154" s="388">
        <v>45093</v>
      </c>
      <c r="T154" s="385" t="s">
        <v>7937</v>
      </c>
      <c r="U154" s="388">
        <v>45057</v>
      </c>
      <c r="V154" s="388">
        <v>45246</v>
      </c>
      <c r="W154" s="385" t="s">
        <v>7865</v>
      </c>
      <c r="X154" s="389">
        <v>9.5399999999999991</v>
      </c>
      <c r="Y154" s="390">
        <f>Requisitions_Tracker[[#This Row],[Unit Price]]*Requisitions_Tracker[[#This Row],[Quantity]]</f>
        <v>9.5399999999999991</v>
      </c>
    </row>
    <row r="155" spans="1:25" x14ac:dyDescent="0.25">
      <c r="A155" s="382" t="s">
        <v>7930</v>
      </c>
      <c r="B155" s="91" t="s">
        <v>494</v>
      </c>
      <c r="C155" s="91" t="s">
        <v>3</v>
      </c>
      <c r="D155" s="383">
        <v>1312367</v>
      </c>
      <c r="E155" s="384">
        <v>11057162</v>
      </c>
      <c r="F155" s="91" t="s">
        <v>495</v>
      </c>
      <c r="G155" s="91" t="s">
        <v>22</v>
      </c>
      <c r="H155" s="385" t="s">
        <v>7936</v>
      </c>
      <c r="I155" s="91" t="s">
        <v>497</v>
      </c>
      <c r="J155" s="43" t="s">
        <v>508</v>
      </c>
      <c r="K155" s="383">
        <v>2</v>
      </c>
      <c r="L155" s="91" t="s">
        <v>321</v>
      </c>
      <c r="M155" s="519" t="s">
        <v>7863</v>
      </c>
      <c r="N155" s="385"/>
      <c r="O155" s="386" t="s">
        <v>167</v>
      </c>
      <c r="P155" s="387" t="str">
        <f>Requisitions_Tracker[[#This Row],[ConOps Contact]]</f>
        <v>Mike Crouch</v>
      </c>
      <c r="Q155" s="385">
        <v>4940</v>
      </c>
      <c r="R155" s="388">
        <v>45023</v>
      </c>
      <c r="S155" s="388">
        <v>45093</v>
      </c>
      <c r="T155" s="385" t="s">
        <v>7937</v>
      </c>
      <c r="U155" s="388">
        <v>45057</v>
      </c>
      <c r="V155" s="388">
        <v>45246</v>
      </c>
      <c r="W155" s="385" t="s">
        <v>7865</v>
      </c>
      <c r="X155" s="389">
        <v>4.9400000000000004</v>
      </c>
      <c r="Y155" s="390">
        <f>Requisitions_Tracker[[#This Row],[Unit Price]]*Requisitions_Tracker[[#This Row],[Quantity]]</f>
        <v>9.8800000000000008</v>
      </c>
    </row>
    <row r="156" spans="1:25" x14ac:dyDescent="0.25">
      <c r="A156" s="382" t="s">
        <v>7930</v>
      </c>
      <c r="B156" s="91" t="s">
        <v>494</v>
      </c>
      <c r="C156" s="91" t="s">
        <v>3</v>
      </c>
      <c r="D156" s="383">
        <v>1312367</v>
      </c>
      <c r="E156" s="384">
        <v>11057162</v>
      </c>
      <c r="F156" s="91" t="s">
        <v>495</v>
      </c>
      <c r="G156" s="91" t="s">
        <v>22</v>
      </c>
      <c r="H156" s="385" t="s">
        <v>7936</v>
      </c>
      <c r="I156" s="91" t="s">
        <v>497</v>
      </c>
      <c r="J156" s="43" t="s">
        <v>509</v>
      </c>
      <c r="K156" s="383">
        <v>2</v>
      </c>
      <c r="L156" s="91" t="s">
        <v>321</v>
      </c>
      <c r="M156" s="519" t="s">
        <v>7863</v>
      </c>
      <c r="N156" s="385"/>
      <c r="O156" s="386" t="s">
        <v>167</v>
      </c>
      <c r="P156" s="387" t="str">
        <f>Requisitions_Tracker[[#This Row],[ConOps Contact]]</f>
        <v>Mike Crouch</v>
      </c>
      <c r="Q156" s="385">
        <v>4940</v>
      </c>
      <c r="R156" s="388">
        <v>45023</v>
      </c>
      <c r="S156" s="388">
        <v>45093</v>
      </c>
      <c r="T156" s="385" t="s">
        <v>7937</v>
      </c>
      <c r="U156" s="388">
        <v>45057</v>
      </c>
      <c r="V156" s="388">
        <v>45246</v>
      </c>
      <c r="W156" s="385" t="s">
        <v>7865</v>
      </c>
      <c r="X156" s="389">
        <v>605.05999999999995</v>
      </c>
      <c r="Y156" s="390">
        <f>Requisitions_Tracker[[#This Row],[Unit Price]]*Requisitions_Tracker[[#This Row],[Quantity]]</f>
        <v>1210.1199999999999</v>
      </c>
    </row>
    <row r="157" spans="1:25" x14ac:dyDescent="0.25">
      <c r="A157" s="382" t="s">
        <v>7930</v>
      </c>
      <c r="B157" s="91" t="s">
        <v>494</v>
      </c>
      <c r="C157" s="91" t="s">
        <v>3</v>
      </c>
      <c r="D157" s="383">
        <v>1312367</v>
      </c>
      <c r="E157" s="384">
        <v>11057162</v>
      </c>
      <c r="F157" s="91" t="s">
        <v>495</v>
      </c>
      <c r="G157" s="91" t="s">
        <v>22</v>
      </c>
      <c r="H157" s="385" t="s">
        <v>7936</v>
      </c>
      <c r="I157" s="91" t="s">
        <v>497</v>
      </c>
      <c r="J157" s="43" t="s">
        <v>510</v>
      </c>
      <c r="K157" s="383">
        <v>1</v>
      </c>
      <c r="L157" s="91" t="s">
        <v>321</v>
      </c>
      <c r="M157" s="519" t="s">
        <v>7863</v>
      </c>
      <c r="N157" s="385"/>
      <c r="O157" s="386" t="s">
        <v>167</v>
      </c>
      <c r="P157" s="387" t="str">
        <f>Requisitions_Tracker[[#This Row],[ConOps Contact]]</f>
        <v>Mike Crouch</v>
      </c>
      <c r="Q157" s="385">
        <v>4940</v>
      </c>
      <c r="R157" s="388">
        <v>45023</v>
      </c>
      <c r="S157" s="388">
        <v>45093</v>
      </c>
      <c r="T157" s="385" t="s">
        <v>7937</v>
      </c>
      <c r="U157" s="388">
        <v>45057</v>
      </c>
      <c r="V157" s="388">
        <v>45246</v>
      </c>
      <c r="W157" s="385" t="s">
        <v>7865</v>
      </c>
      <c r="X157" s="389">
        <v>50.96</v>
      </c>
      <c r="Y157" s="390">
        <f>Requisitions_Tracker[[#This Row],[Unit Price]]*Requisitions_Tracker[[#This Row],[Quantity]]</f>
        <v>50.96</v>
      </c>
    </row>
    <row r="158" spans="1:25" x14ac:dyDescent="0.25">
      <c r="A158" s="382" t="s">
        <v>7902</v>
      </c>
      <c r="B158" s="91" t="s">
        <v>494</v>
      </c>
      <c r="C158" s="91" t="s">
        <v>3</v>
      </c>
      <c r="D158" s="383">
        <v>1312367</v>
      </c>
      <c r="E158" s="384">
        <v>11057162</v>
      </c>
      <c r="F158" s="91" t="s">
        <v>495</v>
      </c>
      <c r="G158" s="91" t="s">
        <v>22</v>
      </c>
      <c r="H158" s="385" t="s">
        <v>7936</v>
      </c>
      <c r="I158" s="91" t="s">
        <v>497</v>
      </c>
      <c r="J158" s="43" t="s">
        <v>511</v>
      </c>
      <c r="K158" s="383">
        <v>2</v>
      </c>
      <c r="L158" s="91" t="s">
        <v>321</v>
      </c>
      <c r="M158" s="519" t="s">
        <v>7863</v>
      </c>
      <c r="N158" s="385"/>
      <c r="O158" s="386" t="s">
        <v>167</v>
      </c>
      <c r="P158" s="387" t="str">
        <f>Requisitions_Tracker[[#This Row],[ConOps Contact]]</f>
        <v>Mike Crouch</v>
      </c>
      <c r="Q158" s="385">
        <v>4940</v>
      </c>
      <c r="R158" s="388">
        <v>45023</v>
      </c>
      <c r="S158" s="388">
        <v>45093</v>
      </c>
      <c r="T158" s="385"/>
      <c r="U158" s="388"/>
      <c r="V158" s="388"/>
      <c r="W158" s="385"/>
      <c r="X158" s="389"/>
      <c r="Y158" s="390">
        <f>Requisitions_Tracker[[#This Row],[Unit Price]]*Requisitions_Tracker[[#This Row],[Quantity]]</f>
        <v>0</v>
      </c>
    </row>
    <row r="159" spans="1:25" x14ac:dyDescent="0.25">
      <c r="A159" s="382" t="s">
        <v>7902</v>
      </c>
      <c r="B159" s="91" t="s">
        <v>494</v>
      </c>
      <c r="C159" s="91" t="s">
        <v>3</v>
      </c>
      <c r="D159" s="383">
        <v>1312367</v>
      </c>
      <c r="E159" s="384">
        <v>11057162</v>
      </c>
      <c r="F159" s="91" t="s">
        <v>495</v>
      </c>
      <c r="G159" s="91" t="s">
        <v>22</v>
      </c>
      <c r="H159" s="385" t="s">
        <v>7936</v>
      </c>
      <c r="I159" s="91" t="s">
        <v>497</v>
      </c>
      <c r="J159" s="43" t="s">
        <v>512</v>
      </c>
      <c r="K159" s="383">
        <v>2</v>
      </c>
      <c r="L159" s="91" t="s">
        <v>321</v>
      </c>
      <c r="M159" s="519" t="s">
        <v>7863</v>
      </c>
      <c r="N159" s="385"/>
      <c r="O159" s="386" t="s">
        <v>167</v>
      </c>
      <c r="P159" s="387" t="str">
        <f>Requisitions_Tracker[[#This Row],[ConOps Contact]]</f>
        <v>Mike Crouch</v>
      </c>
      <c r="Q159" s="385">
        <v>4940</v>
      </c>
      <c r="R159" s="388">
        <v>45023</v>
      </c>
      <c r="S159" s="388">
        <v>45093</v>
      </c>
      <c r="T159" s="385"/>
      <c r="U159" s="388"/>
      <c r="V159" s="388"/>
      <c r="W159" s="385"/>
      <c r="X159" s="389"/>
      <c r="Y159" s="390">
        <f>Requisitions_Tracker[[#This Row],[Unit Price]]*Requisitions_Tracker[[#This Row],[Quantity]]</f>
        <v>0</v>
      </c>
    </row>
    <row r="160" spans="1:25" x14ac:dyDescent="0.25">
      <c r="A160" s="382" t="s">
        <v>7902</v>
      </c>
      <c r="B160" s="91" t="s">
        <v>494</v>
      </c>
      <c r="C160" s="91" t="s">
        <v>3</v>
      </c>
      <c r="D160" s="383">
        <v>1312367</v>
      </c>
      <c r="E160" s="384">
        <v>11057162</v>
      </c>
      <c r="F160" s="91" t="s">
        <v>495</v>
      </c>
      <c r="G160" s="91" t="s">
        <v>22</v>
      </c>
      <c r="H160" s="385" t="s">
        <v>7936</v>
      </c>
      <c r="I160" s="91" t="s">
        <v>497</v>
      </c>
      <c r="J160" s="43" t="s">
        <v>513</v>
      </c>
      <c r="K160" s="383">
        <v>1</v>
      </c>
      <c r="L160" s="91" t="s">
        <v>321</v>
      </c>
      <c r="M160" s="519" t="s">
        <v>7863</v>
      </c>
      <c r="N160" s="385"/>
      <c r="O160" s="386" t="s">
        <v>167</v>
      </c>
      <c r="P160" s="387" t="str">
        <f>Requisitions_Tracker[[#This Row],[ConOps Contact]]</f>
        <v>Mike Crouch</v>
      </c>
      <c r="Q160" s="385">
        <v>4940</v>
      </c>
      <c r="R160" s="388">
        <v>45023</v>
      </c>
      <c r="S160" s="388">
        <v>45093</v>
      </c>
      <c r="T160" s="385"/>
      <c r="U160" s="388"/>
      <c r="V160" s="388"/>
      <c r="W160" s="385"/>
      <c r="X160" s="389"/>
      <c r="Y160" s="390">
        <f>Requisitions_Tracker[[#This Row],[Unit Price]]*Requisitions_Tracker[[#This Row],[Quantity]]</f>
        <v>0</v>
      </c>
    </row>
    <row r="161" spans="1:25" x14ac:dyDescent="0.25">
      <c r="A161" s="382" t="s">
        <v>7902</v>
      </c>
      <c r="B161" s="91" t="s">
        <v>494</v>
      </c>
      <c r="C161" s="91" t="s">
        <v>3</v>
      </c>
      <c r="D161" s="383">
        <v>1312367</v>
      </c>
      <c r="E161" s="384">
        <v>11057162</v>
      </c>
      <c r="F161" s="91" t="s">
        <v>495</v>
      </c>
      <c r="G161" s="91" t="s">
        <v>22</v>
      </c>
      <c r="H161" s="385" t="s">
        <v>7936</v>
      </c>
      <c r="I161" s="91" t="s">
        <v>497</v>
      </c>
      <c r="J161" s="43" t="s">
        <v>514</v>
      </c>
      <c r="K161" s="383">
        <v>1</v>
      </c>
      <c r="L161" s="91" t="s">
        <v>321</v>
      </c>
      <c r="M161" s="519" t="s">
        <v>7863</v>
      </c>
      <c r="N161" s="385"/>
      <c r="O161" s="386" t="s">
        <v>167</v>
      </c>
      <c r="P161" s="387" t="str">
        <f>Requisitions_Tracker[[#This Row],[ConOps Contact]]</f>
        <v>Mike Crouch</v>
      </c>
      <c r="Q161" s="385">
        <v>4940</v>
      </c>
      <c r="R161" s="388">
        <v>45023</v>
      </c>
      <c r="S161" s="388">
        <v>45093</v>
      </c>
      <c r="T161" s="385"/>
      <c r="U161" s="388"/>
      <c r="V161" s="388"/>
      <c r="W161" s="385"/>
      <c r="X161" s="389"/>
      <c r="Y161" s="390">
        <f>Requisitions_Tracker[[#This Row],[Unit Price]]*Requisitions_Tracker[[#This Row],[Quantity]]</f>
        <v>0</v>
      </c>
    </row>
    <row r="162" spans="1:25" x14ac:dyDescent="0.25">
      <c r="A162" s="382" t="s">
        <v>7902</v>
      </c>
      <c r="B162" s="91" t="s">
        <v>515</v>
      </c>
      <c r="C162" s="91" t="s">
        <v>3</v>
      </c>
      <c r="D162" s="383">
        <v>140585</v>
      </c>
      <c r="E162" s="384">
        <v>11033946</v>
      </c>
      <c r="F162" s="91" t="s">
        <v>516</v>
      </c>
      <c r="G162" s="91" t="s">
        <v>22</v>
      </c>
      <c r="H162" s="385" t="s">
        <v>747</v>
      </c>
      <c r="I162" s="91" t="s">
        <v>364</v>
      </c>
      <c r="J162" s="43" t="s">
        <v>517</v>
      </c>
      <c r="K162" s="383">
        <v>800</v>
      </c>
      <c r="L162" s="91" t="s">
        <v>63</v>
      </c>
      <c r="M162" s="519" t="s">
        <v>7863</v>
      </c>
      <c r="N162" s="385"/>
      <c r="O162" s="386" t="s">
        <v>167</v>
      </c>
      <c r="P162" s="387" t="str">
        <f>Requisitions_Tracker[[#This Row],[ConOps Contact]]</f>
        <v>Mike Steiskal</v>
      </c>
      <c r="Q162" s="385">
        <v>5868</v>
      </c>
      <c r="R162" s="388">
        <v>45091</v>
      </c>
      <c r="S162" s="388">
        <v>45108</v>
      </c>
      <c r="T162" s="385"/>
      <c r="U162" s="388"/>
      <c r="V162" s="388"/>
      <c r="W162" s="385"/>
      <c r="X162" s="389"/>
      <c r="Y162" s="390">
        <f>Requisitions_Tracker[[#This Row],[Unit Price]]*Requisitions_Tracker[[#This Row],[Quantity]]</f>
        <v>0</v>
      </c>
    </row>
    <row r="163" spans="1:25" x14ac:dyDescent="0.25">
      <c r="A163" s="382" t="s">
        <v>59</v>
      </c>
      <c r="B163" s="91" t="s">
        <v>515</v>
      </c>
      <c r="C163" s="91" t="s">
        <v>3</v>
      </c>
      <c r="D163" s="383">
        <v>140585</v>
      </c>
      <c r="E163" s="384">
        <v>11033946</v>
      </c>
      <c r="F163" s="91" t="s">
        <v>516</v>
      </c>
      <c r="G163" s="91" t="s">
        <v>22</v>
      </c>
      <c r="H163" s="385" t="s">
        <v>747</v>
      </c>
      <c r="I163" s="91" t="s">
        <v>364</v>
      </c>
      <c r="J163" s="43" t="s">
        <v>519</v>
      </c>
      <c r="K163" s="383">
        <v>3</v>
      </c>
      <c r="L163" s="91" t="s">
        <v>321</v>
      </c>
      <c r="M163" s="519" t="s">
        <v>7863</v>
      </c>
      <c r="N163" s="385"/>
      <c r="O163" s="386" t="s">
        <v>167</v>
      </c>
      <c r="P163" s="387" t="str">
        <f>Requisitions_Tracker[[#This Row],[ConOps Contact]]</f>
        <v>Mike Steiskal</v>
      </c>
      <c r="Q163" s="387">
        <v>5868</v>
      </c>
      <c r="R163" s="388">
        <v>45091</v>
      </c>
      <c r="S163" s="388">
        <v>45108</v>
      </c>
      <c r="T163" s="385" t="s">
        <v>7938</v>
      </c>
      <c r="U163" s="388">
        <v>45100</v>
      </c>
      <c r="V163" s="388">
        <v>45107</v>
      </c>
      <c r="W163" s="385" t="s">
        <v>7879</v>
      </c>
      <c r="X163" s="389">
        <v>320</v>
      </c>
      <c r="Y163" s="390">
        <f>Requisitions_Tracker[[#This Row],[Unit Price]]*Requisitions_Tracker[[#This Row],[Quantity]]</f>
        <v>960</v>
      </c>
    </row>
    <row r="164" spans="1:25" x14ac:dyDescent="0.25">
      <c r="A164" s="382" t="s">
        <v>7930</v>
      </c>
      <c r="B164" s="91" t="s">
        <v>521</v>
      </c>
      <c r="C164" s="91" t="s">
        <v>2</v>
      </c>
      <c r="D164" s="383">
        <v>1212383</v>
      </c>
      <c r="E164" s="384">
        <v>11059547</v>
      </c>
      <c r="F164" s="91" t="s">
        <v>522</v>
      </c>
      <c r="G164" s="91" t="s">
        <v>24</v>
      </c>
      <c r="H164" s="385" t="s">
        <v>784</v>
      </c>
      <c r="I164" s="91"/>
      <c r="J164" s="43" t="s">
        <v>523</v>
      </c>
      <c r="K164" s="383">
        <v>1</v>
      </c>
      <c r="L164" s="91" t="s">
        <v>321</v>
      </c>
      <c r="M164" s="519" t="s">
        <v>7863</v>
      </c>
      <c r="N164" s="385"/>
      <c r="O164" s="386"/>
      <c r="P164" s="387">
        <f>Requisitions_Tracker[[#This Row],[ConOps Contact]]</f>
        <v>0</v>
      </c>
      <c r="Q164" s="385">
        <v>5952</v>
      </c>
      <c r="R164" s="388">
        <v>45099</v>
      </c>
      <c r="S164" s="388">
        <v>45131</v>
      </c>
      <c r="T164" s="385" t="s">
        <v>7939</v>
      </c>
      <c r="U164" s="388">
        <v>45148</v>
      </c>
      <c r="V164" s="388">
        <v>45121</v>
      </c>
      <c r="W164" s="385" t="s">
        <v>7894</v>
      </c>
      <c r="X164" s="389">
        <v>80.56</v>
      </c>
      <c r="Y164" s="390">
        <f>Requisitions_Tracker[[#This Row],[Unit Price]]*Requisitions_Tracker[[#This Row],[Quantity]]</f>
        <v>80.56</v>
      </c>
    </row>
    <row r="165" spans="1:25" ht="75" x14ac:dyDescent="0.25">
      <c r="A165" s="382" t="s">
        <v>7902</v>
      </c>
      <c r="B165" s="91" t="s">
        <v>525</v>
      </c>
      <c r="C165" s="91" t="s">
        <v>2</v>
      </c>
      <c r="D165" s="383">
        <v>1012417</v>
      </c>
      <c r="E165" s="384">
        <v>11070082</v>
      </c>
      <c r="F165" s="91" t="s">
        <v>526</v>
      </c>
      <c r="G165" s="91" t="s">
        <v>37</v>
      </c>
      <c r="H165" s="385" t="s">
        <v>747</v>
      </c>
      <c r="I165" s="91"/>
      <c r="J165" s="391" t="s">
        <v>527</v>
      </c>
      <c r="K165" s="392">
        <v>1</v>
      </c>
      <c r="L165" s="91" t="s">
        <v>321</v>
      </c>
      <c r="M165" s="519" t="s">
        <v>7863</v>
      </c>
      <c r="N165" s="385"/>
      <c r="O165" s="386" t="s">
        <v>528</v>
      </c>
      <c r="P165" s="387" t="s">
        <v>472</v>
      </c>
      <c r="Q165" s="385">
        <v>5945</v>
      </c>
      <c r="R165" s="388">
        <v>45099</v>
      </c>
      <c r="S165" s="388">
        <v>45205</v>
      </c>
      <c r="T165" s="385"/>
      <c r="U165" s="388"/>
      <c r="V165" s="388"/>
      <c r="W165" s="385"/>
      <c r="X165" s="389"/>
      <c r="Y165" s="390">
        <f>Requisitions_Tracker[[#This Row],[Unit Price]]*Requisitions_Tracker[[#This Row],[Quantity]]</f>
        <v>0</v>
      </c>
    </row>
    <row r="166" spans="1:25" ht="60" x14ac:dyDescent="0.25">
      <c r="A166" s="382" t="s">
        <v>7902</v>
      </c>
      <c r="B166" s="91" t="s">
        <v>525</v>
      </c>
      <c r="C166" s="91" t="s">
        <v>2</v>
      </c>
      <c r="D166" s="383">
        <v>1012417</v>
      </c>
      <c r="E166" s="384">
        <v>11070082</v>
      </c>
      <c r="F166" s="91" t="s">
        <v>526</v>
      </c>
      <c r="G166" s="91" t="s">
        <v>37</v>
      </c>
      <c r="H166" s="385" t="s">
        <v>747</v>
      </c>
      <c r="I166" s="91"/>
      <c r="J166" s="391" t="s">
        <v>530</v>
      </c>
      <c r="K166" s="392">
        <v>1</v>
      </c>
      <c r="L166" s="91" t="s">
        <v>321</v>
      </c>
      <c r="M166" s="519" t="s">
        <v>7863</v>
      </c>
      <c r="N166" s="385"/>
      <c r="O166" s="386" t="s">
        <v>528</v>
      </c>
      <c r="P166" s="387" t="s">
        <v>472</v>
      </c>
      <c r="Q166" s="385">
        <v>5945</v>
      </c>
      <c r="R166" s="388">
        <v>45099</v>
      </c>
      <c r="S166" s="388">
        <v>45205</v>
      </c>
      <c r="T166" s="385"/>
      <c r="U166" s="388"/>
      <c r="V166" s="388"/>
      <c r="W166" s="385"/>
      <c r="X166" s="389"/>
      <c r="Y166" s="390">
        <f>Requisitions_Tracker[[#This Row],[Unit Price]]*Requisitions_Tracker[[#This Row],[Quantity]]</f>
        <v>0</v>
      </c>
    </row>
    <row r="167" spans="1:25" x14ac:dyDescent="0.25">
      <c r="A167" s="382" t="s">
        <v>7902</v>
      </c>
      <c r="B167" s="91" t="s">
        <v>525</v>
      </c>
      <c r="C167" s="91" t="s">
        <v>2</v>
      </c>
      <c r="D167" s="383">
        <v>1012417</v>
      </c>
      <c r="E167" s="384">
        <v>11070082</v>
      </c>
      <c r="F167" s="91" t="s">
        <v>526</v>
      </c>
      <c r="G167" s="91" t="s">
        <v>37</v>
      </c>
      <c r="H167" s="385" t="s">
        <v>747</v>
      </c>
      <c r="I167" s="91"/>
      <c r="J167" s="391" t="s">
        <v>531</v>
      </c>
      <c r="K167" s="392">
        <v>1</v>
      </c>
      <c r="L167" s="91" t="s">
        <v>321</v>
      </c>
      <c r="M167" s="519" t="s">
        <v>7863</v>
      </c>
      <c r="N167" s="385"/>
      <c r="O167" s="386" t="s">
        <v>528</v>
      </c>
      <c r="P167" s="387" t="s">
        <v>472</v>
      </c>
      <c r="Q167" s="385">
        <v>5945</v>
      </c>
      <c r="R167" s="388">
        <v>45099</v>
      </c>
      <c r="S167" s="388">
        <v>45205</v>
      </c>
      <c r="T167" s="385"/>
      <c r="U167" s="388"/>
      <c r="V167" s="388"/>
      <c r="W167" s="385"/>
      <c r="X167" s="389"/>
      <c r="Y167" s="390">
        <f>Requisitions_Tracker[[#This Row],[Unit Price]]*Requisitions_Tracker[[#This Row],[Quantity]]</f>
        <v>0</v>
      </c>
    </row>
    <row r="168" spans="1:25" ht="90" x14ac:dyDescent="0.25">
      <c r="A168" s="382" t="s">
        <v>7902</v>
      </c>
      <c r="B168" s="91" t="s">
        <v>525</v>
      </c>
      <c r="C168" s="91" t="s">
        <v>2</v>
      </c>
      <c r="D168" s="383">
        <v>1012417</v>
      </c>
      <c r="E168" s="384">
        <v>11070082</v>
      </c>
      <c r="F168" s="91" t="s">
        <v>526</v>
      </c>
      <c r="G168" s="91" t="s">
        <v>37</v>
      </c>
      <c r="H168" s="385" t="s">
        <v>747</v>
      </c>
      <c r="I168" s="91"/>
      <c r="J168" s="92" t="s">
        <v>7940</v>
      </c>
      <c r="K168" s="392">
        <v>2</v>
      </c>
      <c r="L168" s="91" t="s">
        <v>321</v>
      </c>
      <c r="M168" s="519" t="s">
        <v>7863</v>
      </c>
      <c r="N168" s="385"/>
      <c r="O168" s="386" t="s">
        <v>528</v>
      </c>
      <c r="P168" s="387" t="s">
        <v>472</v>
      </c>
      <c r="Q168" s="385">
        <v>5945</v>
      </c>
      <c r="R168" s="388">
        <v>45099</v>
      </c>
      <c r="S168" s="388">
        <v>45205</v>
      </c>
      <c r="T168" s="385"/>
      <c r="U168" s="388"/>
      <c r="V168" s="388"/>
      <c r="W168" s="385"/>
      <c r="X168" s="389"/>
      <c r="Y168" s="390">
        <f>Requisitions_Tracker[[#This Row],[Unit Price]]*Requisitions_Tracker[[#This Row],[Quantity]]</f>
        <v>0</v>
      </c>
    </row>
    <row r="169" spans="1:25" ht="90" x14ac:dyDescent="0.25">
      <c r="A169" s="382" t="s">
        <v>7902</v>
      </c>
      <c r="B169" s="91" t="s">
        <v>525</v>
      </c>
      <c r="C169" s="91" t="s">
        <v>2</v>
      </c>
      <c r="D169" s="383">
        <v>1012417</v>
      </c>
      <c r="E169" s="384">
        <v>11070082</v>
      </c>
      <c r="F169" s="91" t="s">
        <v>526</v>
      </c>
      <c r="G169" s="91" t="s">
        <v>37</v>
      </c>
      <c r="H169" s="385" t="s">
        <v>747</v>
      </c>
      <c r="I169" s="91"/>
      <c r="J169" s="92" t="s">
        <v>7941</v>
      </c>
      <c r="K169" s="392">
        <v>2</v>
      </c>
      <c r="L169" s="91" t="s">
        <v>533</v>
      </c>
      <c r="M169" s="519" t="s">
        <v>7863</v>
      </c>
      <c r="N169" s="385"/>
      <c r="O169" s="386" t="s">
        <v>528</v>
      </c>
      <c r="P169" s="387" t="s">
        <v>472</v>
      </c>
      <c r="Q169" s="385">
        <v>5945</v>
      </c>
      <c r="R169" s="388">
        <v>45099</v>
      </c>
      <c r="S169" s="388">
        <v>45205</v>
      </c>
      <c r="T169" s="385"/>
      <c r="U169" s="388"/>
      <c r="V169" s="388"/>
      <c r="W169" s="385"/>
      <c r="X169" s="389"/>
      <c r="Y169" s="390">
        <f>Requisitions_Tracker[[#This Row],[Unit Price]]*Requisitions_Tracker[[#This Row],[Quantity]]</f>
        <v>0</v>
      </c>
    </row>
    <row r="170" spans="1:25" x14ac:dyDescent="0.25">
      <c r="A170" s="382" t="s">
        <v>7902</v>
      </c>
      <c r="B170" s="91" t="s">
        <v>525</v>
      </c>
      <c r="C170" s="91" t="s">
        <v>2</v>
      </c>
      <c r="D170" s="383">
        <v>1012417</v>
      </c>
      <c r="E170" s="384">
        <v>11070082</v>
      </c>
      <c r="F170" s="91" t="s">
        <v>526</v>
      </c>
      <c r="G170" s="91" t="s">
        <v>37</v>
      </c>
      <c r="H170" s="385" t="s">
        <v>747</v>
      </c>
      <c r="I170" s="91"/>
      <c r="J170" s="43" t="s">
        <v>7942</v>
      </c>
      <c r="K170" s="392">
        <v>5</v>
      </c>
      <c r="L170" s="91" t="s">
        <v>321</v>
      </c>
      <c r="M170" s="519" t="s">
        <v>7863</v>
      </c>
      <c r="N170" s="385"/>
      <c r="O170" s="386" t="s">
        <v>528</v>
      </c>
      <c r="P170" s="387" t="s">
        <v>472</v>
      </c>
      <c r="Q170" s="385">
        <v>5945</v>
      </c>
      <c r="R170" s="388">
        <v>45099</v>
      </c>
      <c r="S170" s="388">
        <v>45205</v>
      </c>
      <c r="T170" s="385"/>
      <c r="U170" s="388"/>
      <c r="V170" s="388"/>
      <c r="W170" s="385"/>
      <c r="X170" s="389"/>
      <c r="Y170" s="390">
        <f>Requisitions_Tracker[[#This Row],[Unit Price]]*Requisitions_Tracker[[#This Row],[Quantity]]</f>
        <v>0</v>
      </c>
    </row>
    <row r="171" spans="1:25" ht="30" x14ac:dyDescent="0.25">
      <c r="A171" s="382" t="s">
        <v>7902</v>
      </c>
      <c r="B171" s="91" t="s">
        <v>525</v>
      </c>
      <c r="C171" s="91" t="s">
        <v>2</v>
      </c>
      <c r="D171" s="383">
        <v>1012417</v>
      </c>
      <c r="E171" s="384">
        <v>11070082</v>
      </c>
      <c r="F171" s="91" t="s">
        <v>526</v>
      </c>
      <c r="G171" s="91" t="s">
        <v>37</v>
      </c>
      <c r="H171" s="385" t="s">
        <v>747</v>
      </c>
      <c r="I171" s="91"/>
      <c r="J171" s="391" t="s">
        <v>536</v>
      </c>
      <c r="K171" s="392">
        <v>3</v>
      </c>
      <c r="L171" s="91" t="s">
        <v>321</v>
      </c>
      <c r="M171" s="519" t="s">
        <v>7863</v>
      </c>
      <c r="N171" s="385"/>
      <c r="O171" s="386" t="s">
        <v>528</v>
      </c>
      <c r="P171" s="387" t="s">
        <v>472</v>
      </c>
      <c r="Q171" s="385">
        <v>5945</v>
      </c>
      <c r="R171" s="388">
        <v>45099</v>
      </c>
      <c r="S171" s="388">
        <v>45205</v>
      </c>
      <c r="T171" s="385"/>
      <c r="U171" s="388"/>
      <c r="V171" s="388"/>
      <c r="W171" s="385"/>
      <c r="X171" s="389"/>
      <c r="Y171" s="390">
        <f>Requisitions_Tracker[[#This Row],[Unit Price]]*Requisitions_Tracker[[#This Row],[Quantity]]</f>
        <v>0</v>
      </c>
    </row>
    <row r="172" spans="1:25" ht="30" x14ac:dyDescent="0.25">
      <c r="A172" s="382" t="s">
        <v>7902</v>
      </c>
      <c r="B172" s="91" t="s">
        <v>525</v>
      </c>
      <c r="C172" s="91" t="s">
        <v>2</v>
      </c>
      <c r="D172" s="383">
        <v>1012417</v>
      </c>
      <c r="E172" s="384">
        <v>11070082</v>
      </c>
      <c r="F172" s="91" t="s">
        <v>526</v>
      </c>
      <c r="G172" s="91" t="s">
        <v>37</v>
      </c>
      <c r="H172" s="385" t="s">
        <v>747</v>
      </c>
      <c r="I172" s="91"/>
      <c r="J172" s="92" t="s">
        <v>7943</v>
      </c>
      <c r="K172" s="392">
        <v>3</v>
      </c>
      <c r="L172" s="91" t="s">
        <v>321</v>
      </c>
      <c r="M172" s="519" t="s">
        <v>7863</v>
      </c>
      <c r="N172" s="385"/>
      <c r="O172" s="386" t="s">
        <v>528</v>
      </c>
      <c r="P172" s="387" t="s">
        <v>472</v>
      </c>
      <c r="Q172" s="385">
        <v>5945</v>
      </c>
      <c r="R172" s="388">
        <v>45099</v>
      </c>
      <c r="S172" s="388">
        <v>45205</v>
      </c>
      <c r="T172" s="385"/>
      <c r="U172" s="388"/>
      <c r="V172" s="388"/>
      <c r="W172" s="385"/>
      <c r="X172" s="389"/>
      <c r="Y172" s="390">
        <f>Requisitions_Tracker[[#This Row],[Unit Price]]*Requisitions_Tracker[[#This Row],[Quantity]]</f>
        <v>0</v>
      </c>
    </row>
    <row r="173" spans="1:25" ht="30" x14ac:dyDescent="0.25">
      <c r="A173" s="382" t="s">
        <v>7902</v>
      </c>
      <c r="B173" s="91" t="s">
        <v>525</v>
      </c>
      <c r="C173" s="91" t="s">
        <v>2</v>
      </c>
      <c r="D173" s="383">
        <v>1012417</v>
      </c>
      <c r="E173" s="384">
        <v>11070082</v>
      </c>
      <c r="F173" s="91" t="s">
        <v>526</v>
      </c>
      <c r="G173" s="91" t="s">
        <v>37</v>
      </c>
      <c r="H173" s="385" t="s">
        <v>747</v>
      </c>
      <c r="I173" s="91"/>
      <c r="J173" s="92" t="s">
        <v>538</v>
      </c>
      <c r="K173" s="392">
        <v>7</v>
      </c>
      <c r="L173" s="91" t="s">
        <v>533</v>
      </c>
      <c r="M173" s="519" t="s">
        <v>7863</v>
      </c>
      <c r="N173" s="385"/>
      <c r="O173" s="386" t="s">
        <v>528</v>
      </c>
      <c r="P173" s="387" t="s">
        <v>472</v>
      </c>
      <c r="Q173" s="385">
        <v>5945</v>
      </c>
      <c r="R173" s="388">
        <v>45099</v>
      </c>
      <c r="S173" s="388">
        <v>45205</v>
      </c>
      <c r="T173" s="385"/>
      <c r="U173" s="388"/>
      <c r="V173" s="388"/>
      <c r="W173" s="385"/>
      <c r="X173" s="389"/>
      <c r="Y173" s="390">
        <f>Requisitions_Tracker[[#This Row],[Unit Price]]*Requisitions_Tracker[[#This Row],[Quantity]]</f>
        <v>0</v>
      </c>
    </row>
    <row r="174" spans="1:25" ht="30" x14ac:dyDescent="0.25">
      <c r="A174" s="382" t="s">
        <v>7902</v>
      </c>
      <c r="B174" s="91" t="s">
        <v>525</v>
      </c>
      <c r="C174" s="91" t="s">
        <v>2</v>
      </c>
      <c r="D174" s="383">
        <v>1012417</v>
      </c>
      <c r="E174" s="384">
        <v>11070082</v>
      </c>
      <c r="F174" s="91" t="s">
        <v>526</v>
      </c>
      <c r="G174" s="91" t="s">
        <v>37</v>
      </c>
      <c r="H174" s="385" t="s">
        <v>747</v>
      </c>
      <c r="I174" s="91"/>
      <c r="J174" s="92" t="s">
        <v>7944</v>
      </c>
      <c r="K174" s="392">
        <v>1</v>
      </c>
      <c r="L174" s="91" t="s">
        <v>533</v>
      </c>
      <c r="M174" s="519" t="s">
        <v>7863</v>
      </c>
      <c r="N174" s="385"/>
      <c r="O174" s="386" t="s">
        <v>528</v>
      </c>
      <c r="P174" s="387" t="s">
        <v>472</v>
      </c>
      <c r="Q174" s="385">
        <v>5945</v>
      </c>
      <c r="R174" s="388">
        <v>45099</v>
      </c>
      <c r="S174" s="388">
        <v>45205</v>
      </c>
      <c r="T174" s="385"/>
      <c r="U174" s="388"/>
      <c r="V174" s="388"/>
      <c r="W174" s="385"/>
      <c r="X174" s="389"/>
      <c r="Y174" s="390">
        <f>Requisitions_Tracker[[#This Row],[Unit Price]]*Requisitions_Tracker[[#This Row],[Quantity]]</f>
        <v>0</v>
      </c>
    </row>
    <row r="175" spans="1:25" x14ac:dyDescent="0.25">
      <c r="A175" s="382" t="s">
        <v>7902</v>
      </c>
      <c r="B175" s="91" t="s">
        <v>525</v>
      </c>
      <c r="C175" s="91" t="s">
        <v>2</v>
      </c>
      <c r="D175" s="383">
        <v>1012417</v>
      </c>
      <c r="E175" s="384">
        <v>11070082</v>
      </c>
      <c r="F175" s="91" t="s">
        <v>526</v>
      </c>
      <c r="G175" s="91" t="s">
        <v>37</v>
      </c>
      <c r="H175" s="385" t="s">
        <v>747</v>
      </c>
      <c r="I175" s="91"/>
      <c r="J175" s="43" t="s">
        <v>7945</v>
      </c>
      <c r="K175" s="392">
        <v>6</v>
      </c>
      <c r="L175" s="91" t="s">
        <v>321</v>
      </c>
      <c r="M175" s="519" t="s">
        <v>7863</v>
      </c>
      <c r="N175" s="385"/>
      <c r="O175" s="386" t="s">
        <v>528</v>
      </c>
      <c r="P175" s="387" t="s">
        <v>472</v>
      </c>
      <c r="Q175" s="385">
        <v>5945</v>
      </c>
      <c r="R175" s="388">
        <v>45099</v>
      </c>
      <c r="S175" s="388">
        <v>45205</v>
      </c>
      <c r="T175" s="385"/>
      <c r="U175" s="388"/>
      <c r="V175" s="388"/>
      <c r="W175" s="385"/>
      <c r="X175" s="389"/>
      <c r="Y175" s="390">
        <f>Requisitions_Tracker[[#This Row],[Unit Price]]*Requisitions_Tracker[[#This Row],[Quantity]]</f>
        <v>0</v>
      </c>
    </row>
    <row r="176" spans="1:25" ht="30" x14ac:dyDescent="0.25">
      <c r="A176" s="382" t="s">
        <v>7902</v>
      </c>
      <c r="B176" s="91" t="s">
        <v>525</v>
      </c>
      <c r="C176" s="91" t="s">
        <v>2</v>
      </c>
      <c r="D176" s="383">
        <v>1012417</v>
      </c>
      <c r="E176" s="384">
        <v>11070082</v>
      </c>
      <c r="F176" s="91" t="s">
        <v>526</v>
      </c>
      <c r="G176" s="91" t="s">
        <v>37</v>
      </c>
      <c r="H176" s="385" t="s">
        <v>747</v>
      </c>
      <c r="I176" s="91"/>
      <c r="J176" s="92" t="s">
        <v>541</v>
      </c>
      <c r="K176" s="392">
        <v>7</v>
      </c>
      <c r="L176" s="91" t="s">
        <v>321</v>
      </c>
      <c r="M176" s="519" t="s">
        <v>7863</v>
      </c>
      <c r="N176" s="385"/>
      <c r="O176" s="386" t="s">
        <v>528</v>
      </c>
      <c r="P176" s="387" t="s">
        <v>472</v>
      </c>
      <c r="Q176" s="385">
        <v>5945</v>
      </c>
      <c r="R176" s="388">
        <v>45099</v>
      </c>
      <c r="S176" s="388">
        <v>45205</v>
      </c>
      <c r="T176" s="385"/>
      <c r="U176" s="388"/>
      <c r="V176" s="388"/>
      <c r="W176" s="385"/>
      <c r="X176" s="389"/>
      <c r="Y176" s="390">
        <f>Requisitions_Tracker[[#This Row],[Unit Price]]*Requisitions_Tracker[[#This Row],[Quantity]]</f>
        <v>0</v>
      </c>
    </row>
    <row r="177" spans="1:25" ht="30" x14ac:dyDescent="0.25">
      <c r="A177" s="382" t="s">
        <v>7902</v>
      </c>
      <c r="B177" s="91" t="s">
        <v>525</v>
      </c>
      <c r="C177" s="91" t="s">
        <v>2</v>
      </c>
      <c r="D177" s="383">
        <v>1012417</v>
      </c>
      <c r="E177" s="384">
        <v>11070082</v>
      </c>
      <c r="F177" s="91" t="s">
        <v>526</v>
      </c>
      <c r="G177" s="91" t="s">
        <v>37</v>
      </c>
      <c r="H177" s="385" t="s">
        <v>747</v>
      </c>
      <c r="I177" s="91"/>
      <c r="J177" s="92" t="s">
        <v>542</v>
      </c>
      <c r="K177" s="392">
        <v>3</v>
      </c>
      <c r="L177" s="91" t="s">
        <v>321</v>
      </c>
      <c r="M177" s="519" t="s">
        <v>7863</v>
      </c>
      <c r="N177" s="385"/>
      <c r="O177" s="386" t="s">
        <v>528</v>
      </c>
      <c r="P177" s="387" t="s">
        <v>472</v>
      </c>
      <c r="Q177" s="385">
        <v>5945</v>
      </c>
      <c r="R177" s="388">
        <v>45099</v>
      </c>
      <c r="S177" s="388">
        <v>45205</v>
      </c>
      <c r="T177" s="385"/>
      <c r="U177" s="388"/>
      <c r="V177" s="388"/>
      <c r="W177" s="385"/>
      <c r="X177" s="389"/>
      <c r="Y177" s="390">
        <f>Requisitions_Tracker[[#This Row],[Unit Price]]*Requisitions_Tracker[[#This Row],[Quantity]]</f>
        <v>0</v>
      </c>
    </row>
    <row r="178" spans="1:25" x14ac:dyDescent="0.25">
      <c r="A178" s="382"/>
      <c r="B178" s="91" t="s">
        <v>544</v>
      </c>
      <c r="C178" s="91" t="s">
        <v>3</v>
      </c>
      <c r="D178" s="393">
        <v>1612421</v>
      </c>
      <c r="E178" s="384">
        <v>11060045</v>
      </c>
      <c r="F178" s="91" t="s">
        <v>545</v>
      </c>
      <c r="G178" s="91" t="s">
        <v>31</v>
      </c>
      <c r="H178" s="385" t="s">
        <v>784</v>
      </c>
      <c r="I178" s="91" t="s">
        <v>590</v>
      </c>
      <c r="J178" s="43" t="s">
        <v>7946</v>
      </c>
      <c r="K178" s="383">
        <v>1</v>
      </c>
      <c r="L178" s="91" t="s">
        <v>321</v>
      </c>
      <c r="M178" s="519" t="s">
        <v>7863</v>
      </c>
      <c r="N178" s="385"/>
      <c r="O178" s="386"/>
      <c r="P178" s="387" t="str">
        <f>Requisitions_Tracker[[#This Row],[ConOps Contact]]</f>
        <v>Jeremy Rempert</v>
      </c>
      <c r="Q178" s="385"/>
      <c r="R178" s="388"/>
      <c r="S178" s="388"/>
      <c r="T178" s="385"/>
      <c r="U178" s="388"/>
      <c r="V178" s="388"/>
      <c r="W178" s="385"/>
      <c r="X178" s="389"/>
      <c r="Y178" s="390">
        <f>Requisitions_Tracker[[#This Row],[Unit Price]]*Requisitions_Tracker[[#This Row],[Quantity]]</f>
        <v>0</v>
      </c>
    </row>
    <row r="179" spans="1:25" x14ac:dyDescent="0.25">
      <c r="A179" s="382"/>
      <c r="B179" s="91" t="s">
        <v>544</v>
      </c>
      <c r="C179" s="91" t="s">
        <v>3</v>
      </c>
      <c r="D179" s="393">
        <v>1612421</v>
      </c>
      <c r="E179" s="384">
        <v>11060045</v>
      </c>
      <c r="F179" s="91" t="s">
        <v>545</v>
      </c>
      <c r="G179" s="91" t="s">
        <v>31</v>
      </c>
      <c r="H179" s="385" t="s">
        <v>784</v>
      </c>
      <c r="I179" s="91" t="s">
        <v>590</v>
      </c>
      <c r="J179" s="43" t="s">
        <v>7947</v>
      </c>
      <c r="K179" s="383">
        <v>4880</v>
      </c>
      <c r="L179" s="91" t="s">
        <v>63</v>
      </c>
      <c r="M179" s="519" t="s">
        <v>7863</v>
      </c>
      <c r="N179" s="385"/>
      <c r="O179" s="386"/>
      <c r="P179" s="387" t="str">
        <f>Requisitions_Tracker[[#This Row],[ConOps Contact]]</f>
        <v>Jeremy Rempert</v>
      </c>
      <c r="Q179" s="385"/>
      <c r="R179" s="388"/>
      <c r="S179" s="388"/>
      <c r="T179" s="385"/>
      <c r="U179" s="388"/>
      <c r="V179" s="388"/>
      <c r="W179" s="385"/>
      <c r="X179" s="389"/>
      <c r="Y179" s="390">
        <f>Requisitions_Tracker[[#This Row],[Unit Price]]*Requisitions_Tracker[[#This Row],[Quantity]]</f>
        <v>0</v>
      </c>
    </row>
    <row r="180" spans="1:25" x14ac:dyDescent="0.25">
      <c r="A180" s="382"/>
      <c r="B180" s="91" t="s">
        <v>544</v>
      </c>
      <c r="C180" s="91" t="s">
        <v>3</v>
      </c>
      <c r="D180" s="393">
        <v>1612421</v>
      </c>
      <c r="E180" s="384">
        <v>11060045</v>
      </c>
      <c r="F180" s="91" t="s">
        <v>545</v>
      </c>
      <c r="G180" s="91" t="s">
        <v>31</v>
      </c>
      <c r="H180" s="385" t="s">
        <v>784</v>
      </c>
      <c r="I180" s="91" t="s">
        <v>590</v>
      </c>
      <c r="J180" s="43" t="s">
        <v>7948</v>
      </c>
      <c r="K180" s="383">
        <v>320</v>
      </c>
      <c r="L180" s="91" t="s">
        <v>63</v>
      </c>
      <c r="M180" s="519" t="s">
        <v>7863</v>
      </c>
      <c r="N180" s="385"/>
      <c r="O180" s="386"/>
      <c r="P180" s="387" t="str">
        <f>Requisitions_Tracker[[#This Row],[ConOps Contact]]</f>
        <v>Jeremy Rempert</v>
      </c>
      <c r="Q180" s="385"/>
      <c r="R180" s="388"/>
      <c r="S180" s="388"/>
      <c r="T180" s="385"/>
      <c r="U180" s="388"/>
      <c r="V180" s="388"/>
      <c r="W180" s="385"/>
      <c r="X180" s="389"/>
      <c r="Y180" s="390">
        <f>Requisitions_Tracker[[#This Row],[Unit Price]]*Requisitions_Tracker[[#This Row],[Quantity]]</f>
        <v>0</v>
      </c>
    </row>
    <row r="181" spans="1:25" ht="75" x14ac:dyDescent="0.25">
      <c r="A181" s="382" t="s">
        <v>7895</v>
      </c>
      <c r="B181" s="91" t="s">
        <v>544</v>
      </c>
      <c r="C181" s="91" t="s">
        <v>3</v>
      </c>
      <c r="D181" s="393">
        <v>1612421</v>
      </c>
      <c r="E181" s="384">
        <v>11060045</v>
      </c>
      <c r="F181" s="91" t="s">
        <v>545</v>
      </c>
      <c r="G181" s="91" t="s">
        <v>31</v>
      </c>
      <c r="H181" s="385" t="s">
        <v>784</v>
      </c>
      <c r="I181" s="91"/>
      <c r="J181" s="391" t="s">
        <v>546</v>
      </c>
      <c r="K181" s="383">
        <v>1</v>
      </c>
      <c r="L181" s="91" t="s">
        <v>321</v>
      </c>
      <c r="M181" s="519" t="s">
        <v>7863</v>
      </c>
      <c r="N181" s="385"/>
      <c r="O181" s="386"/>
      <c r="P181" s="387">
        <f>Requisitions_Tracker[[#This Row],[ConOps Contact]]</f>
        <v>0</v>
      </c>
      <c r="Q181" s="385"/>
      <c r="R181" s="388"/>
      <c r="S181" s="388"/>
      <c r="T181" s="385"/>
      <c r="U181" s="388"/>
      <c r="V181" s="388"/>
      <c r="W181" s="385"/>
      <c r="X181" s="389"/>
      <c r="Y181" s="390">
        <f>Requisitions_Tracker[[#This Row],[Unit Price]]*Requisitions_Tracker[[#This Row],[Quantity]]</f>
        <v>0</v>
      </c>
    </row>
    <row r="182" spans="1:25" ht="60" x14ac:dyDescent="0.25">
      <c r="A182" s="382" t="s">
        <v>7895</v>
      </c>
      <c r="B182" s="91" t="s">
        <v>544</v>
      </c>
      <c r="C182" s="91" t="s">
        <v>3</v>
      </c>
      <c r="D182" s="393">
        <v>1612421</v>
      </c>
      <c r="E182" s="384">
        <v>11060045</v>
      </c>
      <c r="F182" s="91" t="s">
        <v>545</v>
      </c>
      <c r="G182" s="91" t="s">
        <v>31</v>
      </c>
      <c r="H182" s="385" t="s">
        <v>784</v>
      </c>
      <c r="I182" s="91"/>
      <c r="J182" s="391" t="s">
        <v>547</v>
      </c>
      <c r="K182" s="383">
        <v>1</v>
      </c>
      <c r="L182" s="91" t="s">
        <v>321</v>
      </c>
      <c r="M182" s="519" t="s">
        <v>7863</v>
      </c>
      <c r="N182" s="385"/>
      <c r="O182" s="386"/>
      <c r="P182" s="387">
        <f>Requisitions_Tracker[[#This Row],[ConOps Contact]]</f>
        <v>0</v>
      </c>
      <c r="Q182" s="385"/>
      <c r="R182" s="388"/>
      <c r="S182" s="388"/>
      <c r="T182" s="385"/>
      <c r="U182" s="388"/>
      <c r="V182" s="388"/>
      <c r="W182" s="385"/>
      <c r="X182" s="389"/>
      <c r="Y182" s="390">
        <f>Requisitions_Tracker[[#This Row],[Unit Price]]*Requisitions_Tracker[[#This Row],[Quantity]]</f>
        <v>0</v>
      </c>
    </row>
    <row r="183" spans="1:25" x14ac:dyDescent="0.25">
      <c r="A183" s="382" t="s">
        <v>7895</v>
      </c>
      <c r="B183" s="91" t="s">
        <v>544</v>
      </c>
      <c r="C183" s="91" t="s">
        <v>3</v>
      </c>
      <c r="D183" s="393">
        <v>1612421</v>
      </c>
      <c r="E183" s="384">
        <v>11060045</v>
      </c>
      <c r="F183" s="91" t="s">
        <v>545</v>
      </c>
      <c r="G183" s="91" t="s">
        <v>31</v>
      </c>
      <c r="H183" s="385" t="s">
        <v>784</v>
      </c>
      <c r="I183" s="91"/>
      <c r="J183" s="43" t="s">
        <v>548</v>
      </c>
      <c r="K183" s="383">
        <v>1</v>
      </c>
      <c r="L183" s="91" t="s">
        <v>321</v>
      </c>
      <c r="M183" s="519" t="s">
        <v>7863</v>
      </c>
      <c r="N183" s="385"/>
      <c r="O183" s="386"/>
      <c r="P183" s="387">
        <f>Requisitions_Tracker[[#This Row],[ConOps Contact]]</f>
        <v>0</v>
      </c>
      <c r="Q183" s="385"/>
      <c r="R183" s="388"/>
      <c r="S183" s="388"/>
      <c r="T183" s="385"/>
      <c r="U183" s="388"/>
      <c r="V183" s="388"/>
      <c r="W183" s="385"/>
      <c r="X183" s="389"/>
      <c r="Y183" s="390">
        <f>Requisitions_Tracker[[#This Row],[Unit Price]]*Requisitions_Tracker[[#This Row],[Quantity]]</f>
        <v>0</v>
      </c>
    </row>
    <row r="184" spans="1:25" x14ac:dyDescent="0.25">
      <c r="A184" s="382" t="s">
        <v>7895</v>
      </c>
      <c r="B184" s="91" t="s">
        <v>544</v>
      </c>
      <c r="C184" s="91" t="s">
        <v>3</v>
      </c>
      <c r="D184" s="393">
        <v>1612421</v>
      </c>
      <c r="E184" s="384">
        <v>11060045</v>
      </c>
      <c r="F184" s="91" t="s">
        <v>545</v>
      </c>
      <c r="G184" s="91" t="s">
        <v>31</v>
      </c>
      <c r="H184" s="385" t="s">
        <v>784</v>
      </c>
      <c r="I184" s="91"/>
      <c r="J184" s="43" t="s">
        <v>549</v>
      </c>
      <c r="K184" s="383">
        <v>1</v>
      </c>
      <c r="L184" s="91" t="s">
        <v>321</v>
      </c>
      <c r="M184" s="519" t="s">
        <v>7863</v>
      </c>
      <c r="N184" s="385"/>
      <c r="O184" s="386"/>
      <c r="P184" s="387">
        <f>Requisitions_Tracker[[#This Row],[ConOps Contact]]</f>
        <v>0</v>
      </c>
      <c r="Q184" s="385"/>
      <c r="R184" s="388"/>
      <c r="S184" s="388"/>
      <c r="T184" s="385"/>
      <c r="U184" s="388"/>
      <c r="V184" s="388"/>
      <c r="W184" s="385"/>
      <c r="X184" s="389"/>
      <c r="Y184" s="390">
        <f>Requisitions_Tracker[[#This Row],[Unit Price]]*Requisitions_Tracker[[#This Row],[Quantity]]</f>
        <v>0</v>
      </c>
    </row>
    <row r="185" spans="1:25" x14ac:dyDescent="0.25">
      <c r="A185" s="382" t="s">
        <v>7895</v>
      </c>
      <c r="B185" s="91" t="s">
        <v>544</v>
      </c>
      <c r="C185" s="91" t="s">
        <v>3</v>
      </c>
      <c r="D185" s="393">
        <v>1612421</v>
      </c>
      <c r="E185" s="384">
        <v>11060045</v>
      </c>
      <c r="F185" s="91" t="s">
        <v>545</v>
      </c>
      <c r="G185" s="91" t="s">
        <v>31</v>
      </c>
      <c r="H185" s="385" t="s">
        <v>784</v>
      </c>
      <c r="I185" s="91"/>
      <c r="J185" s="43" t="s">
        <v>550</v>
      </c>
      <c r="K185" s="383">
        <v>1</v>
      </c>
      <c r="L185" s="91" t="s">
        <v>321</v>
      </c>
      <c r="M185" s="519" t="s">
        <v>7863</v>
      </c>
      <c r="N185" s="385"/>
      <c r="O185" s="386"/>
      <c r="P185" s="387">
        <f>Requisitions_Tracker[[#This Row],[ConOps Contact]]</f>
        <v>0</v>
      </c>
      <c r="Q185" s="385"/>
      <c r="R185" s="388"/>
      <c r="S185" s="388"/>
      <c r="T185" s="385"/>
      <c r="U185" s="388"/>
      <c r="V185" s="388"/>
      <c r="W185" s="385"/>
      <c r="X185" s="389"/>
      <c r="Y185" s="390">
        <f>Requisitions_Tracker[[#This Row],[Unit Price]]*Requisitions_Tracker[[#This Row],[Quantity]]</f>
        <v>0</v>
      </c>
    </row>
    <row r="186" spans="1:25" x14ac:dyDescent="0.25">
      <c r="A186" s="382" t="s">
        <v>7895</v>
      </c>
      <c r="B186" s="91" t="s">
        <v>544</v>
      </c>
      <c r="C186" s="91" t="s">
        <v>3</v>
      </c>
      <c r="D186" s="393">
        <v>1612421</v>
      </c>
      <c r="E186" s="384">
        <v>11060045</v>
      </c>
      <c r="F186" s="91" t="s">
        <v>545</v>
      </c>
      <c r="G186" s="91" t="s">
        <v>31</v>
      </c>
      <c r="H186" s="385" t="s">
        <v>784</v>
      </c>
      <c r="I186" s="91"/>
      <c r="J186" s="43" t="s">
        <v>551</v>
      </c>
      <c r="K186" s="383">
        <v>1</v>
      </c>
      <c r="L186" s="91" t="s">
        <v>321</v>
      </c>
      <c r="M186" s="519" t="s">
        <v>7863</v>
      </c>
      <c r="N186" s="385"/>
      <c r="O186" s="386"/>
      <c r="P186" s="387">
        <f>Requisitions_Tracker[[#This Row],[ConOps Contact]]</f>
        <v>0</v>
      </c>
      <c r="Q186" s="385"/>
      <c r="R186" s="388"/>
      <c r="S186" s="388"/>
      <c r="T186" s="385"/>
      <c r="U186" s="388"/>
      <c r="V186" s="388"/>
      <c r="W186" s="385"/>
      <c r="X186" s="389"/>
      <c r="Y186" s="390">
        <f>Requisitions_Tracker[[#This Row],[Unit Price]]*Requisitions_Tracker[[#This Row],[Quantity]]</f>
        <v>0</v>
      </c>
    </row>
    <row r="187" spans="1:25" x14ac:dyDescent="0.25">
      <c r="A187" s="382" t="s">
        <v>7895</v>
      </c>
      <c r="B187" s="91" t="s">
        <v>544</v>
      </c>
      <c r="C187" s="91" t="s">
        <v>3</v>
      </c>
      <c r="D187" s="393">
        <v>1612421</v>
      </c>
      <c r="E187" s="384">
        <v>11060045</v>
      </c>
      <c r="F187" s="91" t="s">
        <v>545</v>
      </c>
      <c r="G187" s="91" t="s">
        <v>31</v>
      </c>
      <c r="H187" s="385" t="s">
        <v>784</v>
      </c>
      <c r="I187" s="91"/>
      <c r="J187" s="43" t="s">
        <v>552</v>
      </c>
      <c r="K187" s="383">
        <v>1</v>
      </c>
      <c r="L187" s="91" t="s">
        <v>321</v>
      </c>
      <c r="M187" s="519" t="s">
        <v>7863</v>
      </c>
      <c r="N187" s="385"/>
      <c r="O187" s="386"/>
      <c r="P187" s="387">
        <f>Requisitions_Tracker[[#This Row],[ConOps Contact]]</f>
        <v>0</v>
      </c>
      <c r="Q187" s="385"/>
      <c r="R187" s="388"/>
      <c r="S187" s="388"/>
      <c r="T187" s="385"/>
      <c r="U187" s="388"/>
      <c r="V187" s="388"/>
      <c r="W187" s="385"/>
      <c r="X187" s="389"/>
      <c r="Y187" s="390">
        <f>Requisitions_Tracker[[#This Row],[Unit Price]]*Requisitions_Tracker[[#This Row],[Quantity]]</f>
        <v>0</v>
      </c>
    </row>
    <row r="188" spans="1:25" x14ac:dyDescent="0.25">
      <c r="A188" s="382" t="s">
        <v>7895</v>
      </c>
      <c r="B188" s="91" t="s">
        <v>544</v>
      </c>
      <c r="C188" s="91" t="s">
        <v>3</v>
      </c>
      <c r="D188" s="393">
        <v>1612421</v>
      </c>
      <c r="E188" s="384">
        <v>11060045</v>
      </c>
      <c r="F188" s="91" t="s">
        <v>545</v>
      </c>
      <c r="G188" s="91" t="s">
        <v>31</v>
      </c>
      <c r="H188" s="385" t="s">
        <v>784</v>
      </c>
      <c r="I188" s="91"/>
      <c r="J188" s="43" t="s">
        <v>553</v>
      </c>
      <c r="K188" s="383">
        <v>1</v>
      </c>
      <c r="L188" s="91" t="s">
        <v>321</v>
      </c>
      <c r="M188" s="519" t="s">
        <v>7863</v>
      </c>
      <c r="N188" s="385"/>
      <c r="O188" s="386"/>
      <c r="P188" s="387">
        <f>Requisitions_Tracker[[#This Row],[ConOps Contact]]</f>
        <v>0</v>
      </c>
      <c r="Q188" s="385"/>
      <c r="R188" s="388"/>
      <c r="S188" s="388"/>
      <c r="T188" s="385"/>
      <c r="U188" s="388"/>
      <c r="V188" s="388"/>
      <c r="W188" s="385"/>
      <c r="X188" s="389"/>
      <c r="Y188" s="390">
        <f>Requisitions_Tracker[[#This Row],[Unit Price]]*Requisitions_Tracker[[#This Row],[Quantity]]</f>
        <v>0</v>
      </c>
    </row>
    <row r="189" spans="1:25" x14ac:dyDescent="0.25">
      <c r="A189" s="382" t="s">
        <v>7895</v>
      </c>
      <c r="B189" s="91" t="s">
        <v>544</v>
      </c>
      <c r="C189" s="91" t="s">
        <v>3</v>
      </c>
      <c r="D189" s="393">
        <v>1612421</v>
      </c>
      <c r="E189" s="384">
        <v>11060045</v>
      </c>
      <c r="F189" s="91" t="s">
        <v>545</v>
      </c>
      <c r="G189" s="91" t="s">
        <v>31</v>
      </c>
      <c r="H189" s="385" t="s">
        <v>784</v>
      </c>
      <c r="I189" s="91"/>
      <c r="J189" s="43" t="s">
        <v>554</v>
      </c>
      <c r="K189" s="383">
        <v>4</v>
      </c>
      <c r="L189" s="91" t="s">
        <v>321</v>
      </c>
      <c r="M189" s="519" t="s">
        <v>7863</v>
      </c>
      <c r="N189" s="385"/>
      <c r="O189" s="386"/>
      <c r="P189" s="387">
        <f>Requisitions_Tracker[[#This Row],[ConOps Contact]]</f>
        <v>0</v>
      </c>
      <c r="Q189" s="385"/>
      <c r="R189" s="388"/>
      <c r="S189" s="388"/>
      <c r="T189" s="385"/>
      <c r="U189" s="388"/>
      <c r="V189" s="388"/>
      <c r="W189" s="385"/>
      <c r="X189" s="389"/>
      <c r="Y189" s="390">
        <f>Requisitions_Tracker[[#This Row],[Unit Price]]*Requisitions_Tracker[[#This Row],[Quantity]]</f>
        <v>0</v>
      </c>
    </row>
    <row r="190" spans="1:25" x14ac:dyDescent="0.25">
      <c r="A190" s="382" t="s">
        <v>7895</v>
      </c>
      <c r="B190" s="91" t="s">
        <v>544</v>
      </c>
      <c r="C190" s="91" t="s">
        <v>3</v>
      </c>
      <c r="D190" s="393">
        <v>1612421</v>
      </c>
      <c r="E190" s="384">
        <v>11060045</v>
      </c>
      <c r="F190" s="91" t="s">
        <v>545</v>
      </c>
      <c r="G190" s="91" t="s">
        <v>31</v>
      </c>
      <c r="H190" s="385" t="s">
        <v>784</v>
      </c>
      <c r="I190" s="91"/>
      <c r="J190" s="43" t="s">
        <v>555</v>
      </c>
      <c r="K190" s="383">
        <v>1</v>
      </c>
      <c r="L190" s="91" t="s">
        <v>321</v>
      </c>
      <c r="M190" s="519" t="s">
        <v>7863</v>
      </c>
      <c r="N190" s="385"/>
      <c r="O190" s="386"/>
      <c r="P190" s="387">
        <f>Requisitions_Tracker[[#This Row],[ConOps Contact]]</f>
        <v>0</v>
      </c>
      <c r="Q190" s="385"/>
      <c r="R190" s="388"/>
      <c r="S190" s="388"/>
      <c r="T190" s="385"/>
      <c r="U190" s="388"/>
      <c r="V190" s="388"/>
      <c r="W190" s="385"/>
      <c r="X190" s="389"/>
      <c r="Y190" s="390">
        <f>Requisitions_Tracker[[#This Row],[Unit Price]]*Requisitions_Tracker[[#This Row],[Quantity]]</f>
        <v>0</v>
      </c>
    </row>
    <row r="191" spans="1:25" x14ac:dyDescent="0.25">
      <c r="A191" s="382" t="s">
        <v>7895</v>
      </c>
      <c r="B191" s="91" t="s">
        <v>544</v>
      </c>
      <c r="C191" s="91" t="s">
        <v>3</v>
      </c>
      <c r="D191" s="393">
        <v>1612421</v>
      </c>
      <c r="E191" s="384">
        <v>11060045</v>
      </c>
      <c r="F191" s="91" t="s">
        <v>545</v>
      </c>
      <c r="G191" s="91" t="s">
        <v>31</v>
      </c>
      <c r="H191" s="385" t="s">
        <v>784</v>
      </c>
      <c r="I191" s="91"/>
      <c r="J191" s="43" t="s">
        <v>556</v>
      </c>
      <c r="K191" s="383">
        <v>1</v>
      </c>
      <c r="L191" s="91" t="s">
        <v>321</v>
      </c>
      <c r="M191" s="519" t="s">
        <v>7863</v>
      </c>
      <c r="N191" s="385"/>
      <c r="O191" s="386"/>
      <c r="P191" s="387">
        <f>Requisitions_Tracker[[#This Row],[ConOps Contact]]</f>
        <v>0</v>
      </c>
      <c r="Q191" s="385"/>
      <c r="R191" s="388"/>
      <c r="S191" s="388"/>
      <c r="T191" s="385"/>
      <c r="U191" s="388"/>
      <c r="V191" s="388"/>
      <c r="W191" s="385"/>
      <c r="X191" s="389"/>
      <c r="Y191" s="390">
        <f>Requisitions_Tracker[[#This Row],[Unit Price]]*Requisitions_Tracker[[#This Row],[Quantity]]</f>
        <v>0</v>
      </c>
    </row>
    <row r="192" spans="1:25" x14ac:dyDescent="0.25">
      <c r="A192" s="382" t="s">
        <v>7895</v>
      </c>
      <c r="B192" s="91" t="s">
        <v>544</v>
      </c>
      <c r="C192" s="91" t="s">
        <v>3</v>
      </c>
      <c r="D192" s="393">
        <v>1612421</v>
      </c>
      <c r="E192" s="384">
        <v>11060045</v>
      </c>
      <c r="F192" s="91" t="s">
        <v>545</v>
      </c>
      <c r="G192" s="91" t="s">
        <v>31</v>
      </c>
      <c r="H192" s="385" t="s">
        <v>784</v>
      </c>
      <c r="I192" s="91"/>
      <c r="J192" s="43" t="s">
        <v>557</v>
      </c>
      <c r="K192" s="383">
        <v>1</v>
      </c>
      <c r="L192" s="91" t="s">
        <v>321</v>
      </c>
      <c r="M192" s="519" t="s">
        <v>7863</v>
      </c>
      <c r="N192" s="385"/>
      <c r="O192" s="386"/>
      <c r="P192" s="387">
        <f>Requisitions_Tracker[[#This Row],[ConOps Contact]]</f>
        <v>0</v>
      </c>
      <c r="Q192" s="385"/>
      <c r="R192" s="388"/>
      <c r="S192" s="388"/>
      <c r="T192" s="385"/>
      <c r="U192" s="388"/>
      <c r="V192" s="388"/>
      <c r="W192" s="385"/>
      <c r="X192" s="389"/>
      <c r="Y192" s="390">
        <f>Requisitions_Tracker[[#This Row],[Unit Price]]*Requisitions_Tracker[[#This Row],[Quantity]]</f>
        <v>0</v>
      </c>
    </row>
    <row r="193" spans="1:25" x14ac:dyDescent="0.25">
      <c r="A193" s="382" t="s">
        <v>7895</v>
      </c>
      <c r="B193" s="91" t="s">
        <v>544</v>
      </c>
      <c r="C193" s="91" t="s">
        <v>3</v>
      </c>
      <c r="D193" s="393">
        <v>1612421</v>
      </c>
      <c r="E193" s="384">
        <v>11060045</v>
      </c>
      <c r="F193" s="91" t="s">
        <v>545</v>
      </c>
      <c r="G193" s="91" t="s">
        <v>31</v>
      </c>
      <c r="H193" s="385" t="s">
        <v>784</v>
      </c>
      <c r="I193" s="91"/>
      <c r="J193" s="43" t="s">
        <v>559</v>
      </c>
      <c r="K193" s="383"/>
      <c r="L193" s="91" t="s">
        <v>63</v>
      </c>
      <c r="M193" s="519" t="s">
        <v>7863</v>
      </c>
      <c r="N193" s="385"/>
      <c r="O193" s="386"/>
      <c r="P193" s="387">
        <f>Requisitions_Tracker[[#This Row],[ConOps Contact]]</f>
        <v>0</v>
      </c>
      <c r="Q193" s="385"/>
      <c r="R193" s="388"/>
      <c r="S193" s="388"/>
      <c r="T193" s="385"/>
      <c r="U193" s="388"/>
      <c r="V193" s="388"/>
      <c r="W193" s="385"/>
      <c r="X193" s="389"/>
      <c r="Y193" s="390">
        <f>Requisitions_Tracker[[#This Row],[Unit Price]]*Requisitions_Tracker[[#This Row],[Quantity]]</f>
        <v>0</v>
      </c>
    </row>
    <row r="194" spans="1:25" x14ac:dyDescent="0.25">
      <c r="A194" s="382" t="s">
        <v>7895</v>
      </c>
      <c r="B194" s="91" t="s">
        <v>544</v>
      </c>
      <c r="C194" s="91" t="s">
        <v>3</v>
      </c>
      <c r="D194" s="393">
        <v>1612421</v>
      </c>
      <c r="E194" s="384">
        <v>11060045</v>
      </c>
      <c r="F194" s="91" t="s">
        <v>545</v>
      </c>
      <c r="G194" s="91" t="s">
        <v>31</v>
      </c>
      <c r="H194" s="385" t="s">
        <v>784</v>
      </c>
      <c r="I194" s="91"/>
      <c r="J194" s="43" t="s">
        <v>560</v>
      </c>
      <c r="K194" s="383">
        <v>2</v>
      </c>
      <c r="L194" s="91" t="s">
        <v>321</v>
      </c>
      <c r="M194" s="519" t="s">
        <v>7863</v>
      </c>
      <c r="N194" s="385"/>
      <c r="O194" s="386"/>
      <c r="P194" s="387">
        <f>Requisitions_Tracker[[#This Row],[ConOps Contact]]</f>
        <v>0</v>
      </c>
      <c r="Q194" s="385"/>
      <c r="R194" s="388"/>
      <c r="S194" s="388"/>
      <c r="T194" s="385"/>
      <c r="U194" s="388"/>
      <c r="V194" s="388"/>
      <c r="W194" s="385"/>
      <c r="X194" s="389"/>
      <c r="Y194" s="390">
        <f>Requisitions_Tracker[[#This Row],[Unit Price]]*Requisitions_Tracker[[#This Row],[Quantity]]</f>
        <v>0</v>
      </c>
    </row>
    <row r="195" spans="1:25" x14ac:dyDescent="0.25">
      <c r="A195" s="382" t="s">
        <v>7895</v>
      </c>
      <c r="B195" s="91" t="s">
        <v>544</v>
      </c>
      <c r="C195" s="91" t="s">
        <v>3</v>
      </c>
      <c r="D195" s="393">
        <v>1612421</v>
      </c>
      <c r="E195" s="384">
        <v>11060045</v>
      </c>
      <c r="F195" s="91" t="s">
        <v>545</v>
      </c>
      <c r="G195" s="91" t="s">
        <v>31</v>
      </c>
      <c r="H195" s="385" t="s">
        <v>784</v>
      </c>
      <c r="I195" s="91"/>
      <c r="J195" s="43" t="s">
        <v>561</v>
      </c>
      <c r="K195" s="383">
        <v>2</v>
      </c>
      <c r="L195" s="91" t="s">
        <v>321</v>
      </c>
      <c r="M195" s="519" t="s">
        <v>7863</v>
      </c>
      <c r="N195" s="385"/>
      <c r="O195" s="386"/>
      <c r="P195" s="387">
        <f>Requisitions_Tracker[[#This Row],[ConOps Contact]]</f>
        <v>0</v>
      </c>
      <c r="Q195" s="385"/>
      <c r="R195" s="388"/>
      <c r="S195" s="388"/>
      <c r="T195" s="385"/>
      <c r="U195" s="388"/>
      <c r="V195" s="388"/>
      <c r="W195" s="385"/>
      <c r="X195" s="389"/>
      <c r="Y195" s="390">
        <f>Requisitions_Tracker[[#This Row],[Unit Price]]*Requisitions_Tracker[[#This Row],[Quantity]]</f>
        <v>0</v>
      </c>
    </row>
    <row r="196" spans="1:25" x14ac:dyDescent="0.25">
      <c r="A196" s="382" t="s">
        <v>7895</v>
      </c>
      <c r="B196" s="91" t="s">
        <v>544</v>
      </c>
      <c r="C196" s="91" t="s">
        <v>3</v>
      </c>
      <c r="D196" s="393">
        <v>1612421</v>
      </c>
      <c r="E196" s="384">
        <v>11060045</v>
      </c>
      <c r="F196" s="91" t="s">
        <v>545</v>
      </c>
      <c r="G196" s="91" t="s">
        <v>31</v>
      </c>
      <c r="H196" s="385" t="s">
        <v>784</v>
      </c>
      <c r="I196" s="91"/>
      <c r="J196" s="43" t="s">
        <v>562</v>
      </c>
      <c r="K196" s="383">
        <v>6</v>
      </c>
      <c r="L196" s="91" t="s">
        <v>321</v>
      </c>
      <c r="M196" s="519" t="s">
        <v>7863</v>
      </c>
      <c r="N196" s="385"/>
      <c r="O196" s="386"/>
      <c r="P196" s="387">
        <f>Requisitions_Tracker[[#This Row],[ConOps Contact]]</f>
        <v>0</v>
      </c>
      <c r="Q196" s="385"/>
      <c r="R196" s="388"/>
      <c r="S196" s="388"/>
      <c r="T196" s="385"/>
      <c r="U196" s="388"/>
      <c r="V196" s="388"/>
      <c r="W196" s="385"/>
      <c r="X196" s="389"/>
      <c r="Y196" s="390">
        <f>Requisitions_Tracker[[#This Row],[Unit Price]]*Requisitions_Tracker[[#This Row],[Quantity]]</f>
        <v>0</v>
      </c>
    </row>
    <row r="197" spans="1:25" x14ac:dyDescent="0.25">
      <c r="A197" s="382" t="s">
        <v>7895</v>
      </c>
      <c r="B197" s="91" t="s">
        <v>544</v>
      </c>
      <c r="C197" s="91" t="s">
        <v>3</v>
      </c>
      <c r="D197" s="393">
        <v>1612421</v>
      </c>
      <c r="E197" s="384">
        <v>11060045</v>
      </c>
      <c r="F197" s="91" t="s">
        <v>545</v>
      </c>
      <c r="G197" s="91" t="s">
        <v>31</v>
      </c>
      <c r="H197" s="385" t="s">
        <v>784</v>
      </c>
      <c r="I197" s="91"/>
      <c r="J197" s="43" t="s">
        <v>563</v>
      </c>
      <c r="K197" s="383">
        <v>1</v>
      </c>
      <c r="L197" s="91" t="s">
        <v>321</v>
      </c>
      <c r="M197" s="519" t="s">
        <v>7863</v>
      </c>
      <c r="N197" s="385"/>
      <c r="O197" s="386"/>
      <c r="P197" s="387">
        <f>Requisitions_Tracker[[#This Row],[ConOps Contact]]</f>
        <v>0</v>
      </c>
      <c r="Q197" s="385"/>
      <c r="R197" s="388"/>
      <c r="S197" s="388"/>
      <c r="T197" s="385"/>
      <c r="U197" s="388"/>
      <c r="V197" s="388"/>
      <c r="W197" s="385"/>
      <c r="X197" s="389"/>
      <c r="Y197" s="390">
        <f>Requisitions_Tracker[[#This Row],[Unit Price]]*Requisitions_Tracker[[#This Row],[Quantity]]</f>
        <v>0</v>
      </c>
    </row>
    <row r="198" spans="1:25" x14ac:dyDescent="0.25">
      <c r="A198" s="382" t="s">
        <v>7895</v>
      </c>
      <c r="B198" s="91" t="s">
        <v>544</v>
      </c>
      <c r="C198" s="91" t="s">
        <v>3</v>
      </c>
      <c r="D198" s="393">
        <v>1612421</v>
      </c>
      <c r="E198" s="384">
        <v>11060045</v>
      </c>
      <c r="F198" s="91" t="s">
        <v>545</v>
      </c>
      <c r="G198" s="91" t="s">
        <v>31</v>
      </c>
      <c r="H198" s="385" t="s">
        <v>784</v>
      </c>
      <c r="I198" s="91"/>
      <c r="J198" s="43" t="s">
        <v>564</v>
      </c>
      <c r="K198" s="383">
        <v>2</v>
      </c>
      <c r="L198" s="91" t="s">
        <v>321</v>
      </c>
      <c r="M198" s="519" t="s">
        <v>7863</v>
      </c>
      <c r="N198" s="385"/>
      <c r="O198" s="386"/>
      <c r="P198" s="387">
        <f>Requisitions_Tracker[[#This Row],[ConOps Contact]]</f>
        <v>0</v>
      </c>
      <c r="Q198" s="385"/>
      <c r="R198" s="388"/>
      <c r="S198" s="388"/>
      <c r="T198" s="385"/>
      <c r="U198" s="388"/>
      <c r="V198" s="388"/>
      <c r="W198" s="385"/>
      <c r="X198" s="389"/>
      <c r="Y198" s="390">
        <f>Requisitions_Tracker[[#This Row],[Unit Price]]*Requisitions_Tracker[[#This Row],[Quantity]]</f>
        <v>0</v>
      </c>
    </row>
    <row r="199" spans="1:25" x14ac:dyDescent="0.25">
      <c r="A199" s="382" t="s">
        <v>7895</v>
      </c>
      <c r="B199" s="91" t="s">
        <v>544</v>
      </c>
      <c r="C199" s="91" t="s">
        <v>3</v>
      </c>
      <c r="D199" s="393">
        <v>1612421</v>
      </c>
      <c r="E199" s="384">
        <v>11060045</v>
      </c>
      <c r="F199" s="91" t="s">
        <v>545</v>
      </c>
      <c r="G199" s="91" t="s">
        <v>31</v>
      </c>
      <c r="H199" s="385" t="s">
        <v>784</v>
      </c>
      <c r="I199" s="91"/>
      <c r="J199" s="43" t="s">
        <v>565</v>
      </c>
      <c r="K199" s="383">
        <v>1</v>
      </c>
      <c r="L199" s="91" t="s">
        <v>321</v>
      </c>
      <c r="M199" s="519" t="s">
        <v>7863</v>
      </c>
      <c r="N199" s="385"/>
      <c r="O199" s="386"/>
      <c r="P199" s="387">
        <f>Requisitions_Tracker[[#This Row],[ConOps Contact]]</f>
        <v>0</v>
      </c>
      <c r="Q199" s="385"/>
      <c r="R199" s="388"/>
      <c r="S199" s="388"/>
      <c r="T199" s="385"/>
      <c r="U199" s="388"/>
      <c r="V199" s="388"/>
      <c r="W199" s="385"/>
      <c r="X199" s="389"/>
      <c r="Y199" s="390">
        <f>Requisitions_Tracker[[#This Row],[Unit Price]]*Requisitions_Tracker[[#This Row],[Quantity]]</f>
        <v>0</v>
      </c>
    </row>
    <row r="200" spans="1:25" x14ac:dyDescent="0.25">
      <c r="A200" s="382"/>
      <c r="B200" s="91" t="s">
        <v>566</v>
      </c>
      <c r="C200" s="91" t="s">
        <v>3</v>
      </c>
      <c r="D200" s="383">
        <v>1410850</v>
      </c>
      <c r="E200" s="384">
        <v>11040108</v>
      </c>
      <c r="F200" s="91" t="s">
        <v>567</v>
      </c>
      <c r="G200" s="91" t="s">
        <v>36</v>
      </c>
      <c r="H200" s="385" t="s">
        <v>747</v>
      </c>
      <c r="I200" s="91"/>
      <c r="J200" s="43" t="s">
        <v>568</v>
      </c>
      <c r="K200" s="383">
        <v>1</v>
      </c>
      <c r="L200" s="91" t="s">
        <v>321</v>
      </c>
      <c r="M200" s="385" t="s">
        <v>59</v>
      </c>
      <c r="N200" s="385"/>
      <c r="O200" s="386"/>
      <c r="P200" s="387">
        <f>Requisitions_Tracker[[#This Row],[ConOps Contact]]</f>
        <v>0</v>
      </c>
      <c r="Q200" s="385"/>
      <c r="R200" s="388"/>
      <c r="S200" s="388"/>
      <c r="T200" s="385"/>
      <c r="U200" s="388"/>
      <c r="V200" s="388"/>
      <c r="W200" s="385"/>
      <c r="X200" s="389"/>
      <c r="Y200" s="390">
        <f>Requisitions_Tracker[[#This Row],[Unit Price]]*Requisitions_Tracker[[#This Row],[Quantity]]</f>
        <v>0</v>
      </c>
    </row>
    <row r="201" spans="1:25" x14ac:dyDescent="0.25">
      <c r="A201" s="382"/>
      <c r="B201" s="91" t="s">
        <v>566</v>
      </c>
      <c r="C201" s="91" t="s">
        <v>3</v>
      </c>
      <c r="D201" s="383">
        <v>1410850</v>
      </c>
      <c r="E201" s="384">
        <v>11040108</v>
      </c>
      <c r="F201" s="91" t="s">
        <v>567</v>
      </c>
      <c r="G201" s="91" t="s">
        <v>36</v>
      </c>
      <c r="H201" s="385" t="s">
        <v>747</v>
      </c>
      <c r="I201" s="91"/>
      <c r="J201" s="43" t="s">
        <v>571</v>
      </c>
      <c r="K201" s="383">
        <v>1</v>
      </c>
      <c r="L201" s="91" t="s">
        <v>321</v>
      </c>
      <c r="M201" s="385" t="s">
        <v>59</v>
      </c>
      <c r="N201" s="385"/>
      <c r="O201" s="386"/>
      <c r="P201" s="387">
        <f>Requisitions_Tracker[[#This Row],[ConOps Contact]]</f>
        <v>0</v>
      </c>
      <c r="Q201" s="385"/>
      <c r="R201" s="388"/>
      <c r="S201" s="388"/>
      <c r="T201" s="385"/>
      <c r="U201" s="388"/>
      <c r="V201" s="388"/>
      <c r="W201" s="385"/>
      <c r="X201" s="389"/>
      <c r="Y201" s="390">
        <f>Requisitions_Tracker[[#This Row],[Unit Price]]*Requisitions_Tracker[[#This Row],[Quantity]]</f>
        <v>0</v>
      </c>
    </row>
    <row r="202" spans="1:25" x14ac:dyDescent="0.25">
      <c r="A202" s="382"/>
      <c r="B202" s="91" t="s">
        <v>566</v>
      </c>
      <c r="C202" s="91" t="s">
        <v>3</v>
      </c>
      <c r="D202" s="383">
        <v>1410850</v>
      </c>
      <c r="E202" s="384">
        <v>11040108</v>
      </c>
      <c r="F202" s="91" t="s">
        <v>567</v>
      </c>
      <c r="G202" s="91" t="s">
        <v>36</v>
      </c>
      <c r="H202" s="385" t="s">
        <v>747</v>
      </c>
      <c r="I202" s="91"/>
      <c r="J202" s="43" t="s">
        <v>573</v>
      </c>
      <c r="K202" s="383">
        <v>320</v>
      </c>
      <c r="L202" s="91" t="s">
        <v>63</v>
      </c>
      <c r="M202" s="385" t="s">
        <v>59</v>
      </c>
      <c r="N202" s="385"/>
      <c r="O202" s="386"/>
      <c r="P202" s="387">
        <f>Requisitions_Tracker[[#This Row],[ConOps Contact]]</f>
        <v>0</v>
      </c>
      <c r="Q202" s="385"/>
      <c r="R202" s="388"/>
      <c r="S202" s="388"/>
      <c r="T202" s="385"/>
      <c r="U202" s="388"/>
      <c r="V202" s="388"/>
      <c r="W202" s="385"/>
      <c r="X202" s="389"/>
      <c r="Y202" s="390">
        <f>Requisitions_Tracker[[#This Row],[Unit Price]]*Requisitions_Tracker[[#This Row],[Quantity]]</f>
        <v>0</v>
      </c>
    </row>
    <row r="203" spans="1:25" x14ac:dyDescent="0.25">
      <c r="A203" s="382"/>
      <c r="B203" s="91" t="s">
        <v>566</v>
      </c>
      <c r="C203" s="91" t="s">
        <v>3</v>
      </c>
      <c r="D203" s="383">
        <v>1410850</v>
      </c>
      <c r="E203" s="384">
        <v>11040108</v>
      </c>
      <c r="F203" s="91" t="s">
        <v>567</v>
      </c>
      <c r="G203" s="91" t="s">
        <v>36</v>
      </c>
      <c r="H203" s="385" t="s">
        <v>747</v>
      </c>
      <c r="I203" s="91"/>
      <c r="J203" s="43" t="s">
        <v>317</v>
      </c>
      <c r="K203" s="383">
        <v>1</v>
      </c>
      <c r="L203" s="91" t="s">
        <v>321</v>
      </c>
      <c r="M203" s="385" t="s">
        <v>59</v>
      </c>
      <c r="N203" s="385"/>
      <c r="O203" s="386"/>
      <c r="P203" s="387">
        <f>Requisitions_Tracker[[#This Row],[ConOps Contact]]</f>
        <v>0</v>
      </c>
      <c r="Q203" s="385"/>
      <c r="R203" s="388"/>
      <c r="S203" s="388"/>
      <c r="T203" s="385"/>
      <c r="U203" s="388"/>
      <c r="V203" s="388"/>
      <c r="W203" s="385"/>
      <c r="X203" s="389"/>
      <c r="Y203" s="390">
        <f>Requisitions_Tracker[[#This Row],[Unit Price]]*Requisitions_Tracker[[#This Row],[Quantity]]</f>
        <v>0</v>
      </c>
    </row>
    <row r="204" spans="1:25" x14ac:dyDescent="0.25">
      <c r="A204" s="382"/>
      <c r="B204" s="91" t="s">
        <v>566</v>
      </c>
      <c r="C204" s="91" t="s">
        <v>3</v>
      </c>
      <c r="D204" s="383">
        <v>1410850</v>
      </c>
      <c r="E204" s="384">
        <v>11040108</v>
      </c>
      <c r="F204" s="91" t="s">
        <v>567</v>
      </c>
      <c r="G204" s="91" t="s">
        <v>36</v>
      </c>
      <c r="H204" s="385" t="s">
        <v>747</v>
      </c>
      <c r="I204" s="91"/>
      <c r="J204" s="43" t="s">
        <v>576</v>
      </c>
      <c r="K204" s="383"/>
      <c r="L204" s="91"/>
      <c r="M204" s="385" t="s">
        <v>59</v>
      </c>
      <c r="N204" s="385"/>
      <c r="O204" s="386"/>
      <c r="P204" s="387">
        <f>Requisitions_Tracker[[#This Row],[ConOps Contact]]</f>
        <v>0</v>
      </c>
      <c r="Q204" s="385"/>
      <c r="R204" s="388"/>
      <c r="S204" s="388"/>
      <c r="T204" s="385"/>
      <c r="U204" s="388"/>
      <c r="V204" s="388"/>
      <c r="W204" s="385"/>
      <c r="X204" s="389"/>
      <c r="Y204" s="390">
        <f>Requisitions_Tracker[[#This Row],[Unit Price]]*Requisitions_Tracker[[#This Row],[Quantity]]</f>
        <v>0</v>
      </c>
    </row>
    <row r="205" spans="1:25" x14ac:dyDescent="0.25">
      <c r="A205" s="382" t="s">
        <v>543</v>
      </c>
      <c r="B205" s="91" t="s">
        <v>577</v>
      </c>
      <c r="C205" s="91" t="s">
        <v>3</v>
      </c>
      <c r="D205" s="394">
        <v>101200</v>
      </c>
      <c r="E205" s="384"/>
      <c r="F205" s="91" t="s">
        <v>578</v>
      </c>
      <c r="G205" s="91" t="s">
        <v>32</v>
      </c>
      <c r="H205" s="385" t="s">
        <v>747</v>
      </c>
      <c r="I205" s="91"/>
      <c r="J205" s="43" t="s">
        <v>579</v>
      </c>
      <c r="K205" s="383">
        <v>1</v>
      </c>
      <c r="L205" s="91" t="s">
        <v>321</v>
      </c>
      <c r="M205" s="519" t="s">
        <v>7863</v>
      </c>
      <c r="N205" s="385"/>
      <c r="O205" s="386"/>
      <c r="P205" s="387">
        <f>Requisitions_Tracker[[#This Row],[ConOps Contact]]</f>
        <v>0</v>
      </c>
      <c r="Q205" s="385"/>
      <c r="R205" s="388"/>
      <c r="S205" s="388"/>
      <c r="T205" s="385"/>
      <c r="U205" s="388"/>
      <c r="V205" s="388"/>
      <c r="W205" s="385"/>
      <c r="X205" s="389"/>
      <c r="Y205" s="390">
        <f>Requisitions_Tracker[[#This Row],[Unit Price]]*Requisitions_Tracker[[#This Row],[Quantity]]</f>
        <v>0</v>
      </c>
    </row>
    <row r="206" spans="1:25" x14ac:dyDescent="0.25">
      <c r="A206" s="382" t="s">
        <v>59</v>
      </c>
      <c r="B206" s="91" t="s">
        <v>580</v>
      </c>
      <c r="C206" s="91" t="s">
        <v>3</v>
      </c>
      <c r="D206" s="394">
        <v>1212584</v>
      </c>
      <c r="E206" s="384">
        <v>11068638</v>
      </c>
      <c r="F206" s="91" t="s">
        <v>581</v>
      </c>
      <c r="G206" s="91" t="s">
        <v>32</v>
      </c>
      <c r="H206" s="385" t="s">
        <v>784</v>
      </c>
      <c r="I206" s="91" t="s">
        <v>586</v>
      </c>
      <c r="J206" s="43" t="s">
        <v>582</v>
      </c>
      <c r="K206" s="383">
        <v>2960</v>
      </c>
      <c r="L206" s="91" t="s">
        <v>63</v>
      </c>
      <c r="M206" s="519" t="s">
        <v>7863</v>
      </c>
      <c r="N206" s="385" t="s">
        <v>7949</v>
      </c>
      <c r="O206" s="386"/>
      <c r="P206" s="387" t="str">
        <f>Requisitions_Tracker[[#This Row],[ConOps Contact]]</f>
        <v>Sean Lally</v>
      </c>
      <c r="Q206" s="385">
        <v>6380</v>
      </c>
      <c r="R206" s="388"/>
      <c r="S206" s="388"/>
      <c r="T206" s="385"/>
      <c r="U206" s="388"/>
      <c r="V206" s="388"/>
      <c r="W206" s="385"/>
      <c r="X206" s="389"/>
      <c r="Y206" s="390">
        <f>Requisitions_Tracker[[#This Row],[Unit Price]]*Requisitions_Tracker[[#This Row],[Quantity]]</f>
        <v>0</v>
      </c>
    </row>
    <row r="207" spans="1:25" x14ac:dyDescent="0.25">
      <c r="A207" s="382" t="s">
        <v>59</v>
      </c>
      <c r="B207" s="91" t="s">
        <v>580</v>
      </c>
      <c r="C207" s="91" t="s">
        <v>3</v>
      </c>
      <c r="D207" s="394">
        <v>1212584</v>
      </c>
      <c r="E207" s="384">
        <v>11068638</v>
      </c>
      <c r="F207" s="91" t="s">
        <v>581</v>
      </c>
      <c r="G207" s="91" t="s">
        <v>32</v>
      </c>
      <c r="H207" s="385" t="s">
        <v>784</v>
      </c>
      <c r="I207" s="91" t="s">
        <v>586</v>
      </c>
      <c r="J207" s="43" t="s">
        <v>583</v>
      </c>
      <c r="K207" s="383">
        <v>400</v>
      </c>
      <c r="L207" s="91" t="s">
        <v>63</v>
      </c>
      <c r="M207" s="519" t="s">
        <v>7863</v>
      </c>
      <c r="N207" s="385" t="s">
        <v>7949</v>
      </c>
      <c r="O207" s="386"/>
      <c r="P207" s="387" t="str">
        <f>Requisitions_Tracker[[#This Row],[ConOps Contact]]</f>
        <v>Sean Lally</v>
      </c>
      <c r="Q207" s="385">
        <v>6380</v>
      </c>
      <c r="R207" s="388"/>
      <c r="S207" s="388"/>
      <c r="T207" s="385"/>
      <c r="U207" s="388"/>
      <c r="V207" s="388"/>
      <c r="W207" s="385"/>
      <c r="X207" s="389"/>
      <c r="Y207" s="390">
        <f>Requisitions_Tracker[[#This Row],[Unit Price]]*Requisitions_Tracker[[#This Row],[Quantity]]</f>
        <v>0</v>
      </c>
    </row>
    <row r="208" spans="1:25" x14ac:dyDescent="0.25">
      <c r="A208" s="382" t="s">
        <v>59</v>
      </c>
      <c r="B208" s="91" t="s">
        <v>580</v>
      </c>
      <c r="C208" s="91" t="s">
        <v>3</v>
      </c>
      <c r="D208" s="394">
        <v>1212584</v>
      </c>
      <c r="E208" s="384">
        <v>11068638</v>
      </c>
      <c r="F208" s="91" t="s">
        <v>581</v>
      </c>
      <c r="G208" s="91" t="s">
        <v>32</v>
      </c>
      <c r="H208" s="385" t="s">
        <v>784</v>
      </c>
      <c r="I208" s="91" t="s">
        <v>586</v>
      </c>
      <c r="J208" s="43" t="s">
        <v>584</v>
      </c>
      <c r="K208" s="383">
        <v>2</v>
      </c>
      <c r="L208" s="91" t="s">
        <v>321</v>
      </c>
      <c r="M208" s="519" t="s">
        <v>7863</v>
      </c>
      <c r="N208" s="385"/>
      <c r="O208" s="386" t="s">
        <v>167</v>
      </c>
      <c r="P208" s="387" t="str">
        <f>Requisitions_Tracker[[#This Row],[ConOps Contact]]</f>
        <v>Sean Lally</v>
      </c>
      <c r="Q208" s="385">
        <v>6380</v>
      </c>
      <c r="R208" s="388">
        <v>45132</v>
      </c>
      <c r="S208" s="388">
        <v>45180</v>
      </c>
      <c r="T208" s="385" t="s">
        <v>7950</v>
      </c>
      <c r="U208" s="388">
        <v>45182</v>
      </c>
      <c r="V208" s="388">
        <v>45156</v>
      </c>
      <c r="W208" s="385" t="s">
        <v>7865</v>
      </c>
      <c r="X208" s="389">
        <v>180.11</v>
      </c>
      <c r="Y208" s="390">
        <f>Requisitions_Tracker[[#This Row],[Unit Price]]*Requisitions_Tracker[[#This Row],[Quantity]]</f>
        <v>360.22</v>
      </c>
    </row>
    <row r="209" spans="1:25" ht="30" x14ac:dyDescent="0.25">
      <c r="A209" s="382" t="s">
        <v>7902</v>
      </c>
      <c r="B209" s="91" t="s">
        <v>587</v>
      </c>
      <c r="C209" s="91" t="s">
        <v>3</v>
      </c>
      <c r="D209" s="383">
        <v>1212818</v>
      </c>
      <c r="E209" s="384">
        <v>11065462</v>
      </c>
      <c r="F209" s="91" t="s">
        <v>588</v>
      </c>
      <c r="G209" s="91" t="s">
        <v>23</v>
      </c>
      <c r="H209" s="385" t="s">
        <v>784</v>
      </c>
      <c r="I209" s="91" t="s">
        <v>7951</v>
      </c>
      <c r="J209" s="43" t="s">
        <v>583</v>
      </c>
      <c r="K209" s="383">
        <v>520</v>
      </c>
      <c r="L209" s="91" t="s">
        <v>63</v>
      </c>
      <c r="M209" s="385" t="s">
        <v>59</v>
      </c>
      <c r="N209" s="385"/>
      <c r="O209" s="386" t="s">
        <v>7952</v>
      </c>
      <c r="P209" s="387" t="s">
        <v>7951</v>
      </c>
      <c r="Q209" s="385">
        <v>6390</v>
      </c>
      <c r="R209" s="388">
        <v>45133</v>
      </c>
      <c r="S209" s="388">
        <v>45163</v>
      </c>
      <c r="T209" s="385"/>
      <c r="U209" s="388"/>
      <c r="V209" s="388"/>
      <c r="W209" s="385"/>
      <c r="X209" s="389"/>
      <c r="Y209" s="390">
        <f>Requisitions_Tracker[[#This Row],[Unit Price]]*Requisitions_Tracker[[#This Row],[Quantity]]</f>
        <v>0</v>
      </c>
    </row>
    <row r="210" spans="1:25" ht="30" x14ac:dyDescent="0.25">
      <c r="A210" s="382" t="s">
        <v>7902</v>
      </c>
      <c r="B210" s="91" t="s">
        <v>591</v>
      </c>
      <c r="C210" s="91" t="s">
        <v>3</v>
      </c>
      <c r="D210" s="383">
        <v>1612618</v>
      </c>
      <c r="E210" s="384">
        <v>11065452</v>
      </c>
      <c r="F210" s="91" t="s">
        <v>592</v>
      </c>
      <c r="G210" s="91" t="s">
        <v>31</v>
      </c>
      <c r="H210" s="385" t="s">
        <v>784</v>
      </c>
      <c r="I210" s="91"/>
      <c r="J210" s="43" t="s">
        <v>582</v>
      </c>
      <c r="K210" s="383">
        <v>200</v>
      </c>
      <c r="L210" s="91" t="s">
        <v>63</v>
      </c>
      <c r="M210" s="519" t="s">
        <v>7863</v>
      </c>
      <c r="N210" s="385"/>
      <c r="O210" s="386" t="s">
        <v>7884</v>
      </c>
      <c r="P210" s="387">
        <f>Requisitions_Tracker[[#This Row],[ConOps Contact]]</f>
        <v>0</v>
      </c>
      <c r="Q210" s="385">
        <v>6626</v>
      </c>
      <c r="R210" s="388">
        <v>45142</v>
      </c>
      <c r="S210" s="388">
        <v>45173</v>
      </c>
      <c r="T210" s="385"/>
      <c r="U210" s="388"/>
      <c r="V210" s="388"/>
      <c r="W210" s="385"/>
      <c r="X210" s="389"/>
      <c r="Y210" s="390">
        <f>Requisitions_Tracker[[#This Row],[Unit Price]]*Requisitions_Tracker[[#This Row],[Quantity]]</f>
        <v>0</v>
      </c>
    </row>
    <row r="211" spans="1:25" ht="30" x14ac:dyDescent="0.25">
      <c r="A211" s="382" t="s">
        <v>7902</v>
      </c>
      <c r="B211" s="91" t="s">
        <v>591</v>
      </c>
      <c r="C211" s="91" t="s">
        <v>3</v>
      </c>
      <c r="D211" s="383">
        <v>1612618</v>
      </c>
      <c r="E211" s="384">
        <v>11065452</v>
      </c>
      <c r="F211" s="91" t="s">
        <v>592</v>
      </c>
      <c r="G211" s="91" t="s">
        <v>31</v>
      </c>
      <c r="H211" s="385" t="s">
        <v>784</v>
      </c>
      <c r="I211" s="91"/>
      <c r="J211" s="395" t="s">
        <v>593</v>
      </c>
      <c r="K211" s="383">
        <v>2</v>
      </c>
      <c r="L211" s="91" t="s">
        <v>321</v>
      </c>
      <c r="M211" s="519" t="s">
        <v>7863</v>
      </c>
      <c r="N211" s="385"/>
      <c r="O211" s="386" t="s">
        <v>7884</v>
      </c>
      <c r="P211" s="387">
        <f>Requisitions_Tracker[[#This Row],[ConOps Contact]]</f>
        <v>0</v>
      </c>
      <c r="Q211" s="385">
        <v>6626</v>
      </c>
      <c r="R211" s="388">
        <v>45142</v>
      </c>
      <c r="S211" s="388">
        <v>45173</v>
      </c>
      <c r="T211" s="385"/>
      <c r="U211" s="388"/>
      <c r="V211" s="388"/>
      <c r="W211" s="385"/>
      <c r="X211" s="389"/>
      <c r="Y211" s="390">
        <f>Requisitions_Tracker[[#This Row],[Unit Price]]*Requisitions_Tracker[[#This Row],[Quantity]]</f>
        <v>0</v>
      </c>
    </row>
    <row r="212" spans="1:25" ht="30" x14ac:dyDescent="0.25">
      <c r="A212" s="382" t="s">
        <v>7902</v>
      </c>
      <c r="B212" s="91" t="s">
        <v>591</v>
      </c>
      <c r="C212" s="91" t="s">
        <v>3</v>
      </c>
      <c r="D212" s="383">
        <v>1612618</v>
      </c>
      <c r="E212" s="384">
        <v>11065452</v>
      </c>
      <c r="F212" s="91" t="s">
        <v>592</v>
      </c>
      <c r="G212" s="91" t="s">
        <v>31</v>
      </c>
      <c r="H212" s="385" t="s">
        <v>784</v>
      </c>
      <c r="I212" s="91"/>
      <c r="J212" s="43" t="s">
        <v>555</v>
      </c>
      <c r="K212" s="383">
        <v>1</v>
      </c>
      <c r="L212" s="91" t="s">
        <v>321</v>
      </c>
      <c r="M212" s="519" t="s">
        <v>7863</v>
      </c>
      <c r="N212" s="385"/>
      <c r="O212" s="386" t="s">
        <v>7884</v>
      </c>
      <c r="P212" s="387">
        <f>Requisitions_Tracker[[#This Row],[ConOps Contact]]</f>
        <v>0</v>
      </c>
      <c r="Q212" s="385">
        <v>6626</v>
      </c>
      <c r="R212" s="388">
        <v>45142</v>
      </c>
      <c r="S212" s="388">
        <v>45173</v>
      </c>
      <c r="T212" s="385"/>
      <c r="U212" s="388"/>
      <c r="V212" s="388"/>
      <c r="W212" s="385"/>
      <c r="X212" s="389"/>
      <c r="Y212" s="390">
        <f>Requisitions_Tracker[[#This Row],[Unit Price]]*Requisitions_Tracker[[#This Row],[Quantity]]</f>
        <v>0</v>
      </c>
    </row>
    <row r="213" spans="1:25" ht="30" x14ac:dyDescent="0.25">
      <c r="A213" s="382" t="s">
        <v>7902</v>
      </c>
      <c r="B213" s="91" t="s">
        <v>591</v>
      </c>
      <c r="C213" s="91" t="s">
        <v>3</v>
      </c>
      <c r="D213" s="383">
        <v>1612618</v>
      </c>
      <c r="E213" s="384">
        <v>11065452</v>
      </c>
      <c r="F213" s="91" t="s">
        <v>592</v>
      </c>
      <c r="G213" s="91" t="s">
        <v>31</v>
      </c>
      <c r="H213" s="385" t="s">
        <v>784</v>
      </c>
      <c r="I213" s="91"/>
      <c r="J213" s="43" t="s">
        <v>556</v>
      </c>
      <c r="K213" s="383">
        <v>1</v>
      </c>
      <c r="L213" s="91" t="s">
        <v>321</v>
      </c>
      <c r="M213" s="519" t="s">
        <v>7863</v>
      </c>
      <c r="N213" s="385"/>
      <c r="O213" s="386" t="s">
        <v>7884</v>
      </c>
      <c r="P213" s="387">
        <f>Requisitions_Tracker[[#This Row],[ConOps Contact]]</f>
        <v>0</v>
      </c>
      <c r="Q213" s="385">
        <v>6626</v>
      </c>
      <c r="R213" s="388">
        <v>45142</v>
      </c>
      <c r="S213" s="388">
        <v>45173</v>
      </c>
      <c r="T213" s="385"/>
      <c r="U213" s="388"/>
      <c r="V213" s="388"/>
      <c r="W213" s="385"/>
      <c r="X213" s="389"/>
      <c r="Y213" s="390">
        <f>Requisitions_Tracker[[#This Row],[Unit Price]]*Requisitions_Tracker[[#This Row],[Quantity]]</f>
        <v>0</v>
      </c>
    </row>
    <row r="214" spans="1:25" ht="30" x14ac:dyDescent="0.25">
      <c r="A214" s="382" t="s">
        <v>7902</v>
      </c>
      <c r="B214" s="91" t="s">
        <v>591</v>
      </c>
      <c r="C214" s="91" t="s">
        <v>3</v>
      </c>
      <c r="D214" s="383">
        <v>1612618</v>
      </c>
      <c r="E214" s="384">
        <v>11065452</v>
      </c>
      <c r="F214" s="91" t="s">
        <v>592</v>
      </c>
      <c r="G214" s="91" t="s">
        <v>31</v>
      </c>
      <c r="H214" s="385" t="s">
        <v>784</v>
      </c>
      <c r="I214" s="91"/>
      <c r="J214" s="43" t="s">
        <v>7953</v>
      </c>
      <c r="K214" s="383">
        <v>1</v>
      </c>
      <c r="L214" s="91" t="s">
        <v>321</v>
      </c>
      <c r="M214" s="519" t="s">
        <v>7863</v>
      </c>
      <c r="N214" s="385"/>
      <c r="O214" s="386" t="s">
        <v>7884</v>
      </c>
      <c r="P214" s="387">
        <f>Requisitions_Tracker[[#This Row],[ConOps Contact]]</f>
        <v>0</v>
      </c>
      <c r="Q214" s="385">
        <v>6626</v>
      </c>
      <c r="R214" s="388">
        <v>45142</v>
      </c>
      <c r="S214" s="388">
        <v>45173</v>
      </c>
      <c r="T214" s="385"/>
      <c r="U214" s="388"/>
      <c r="V214" s="388"/>
      <c r="W214" s="385"/>
      <c r="X214" s="389"/>
      <c r="Y214" s="390">
        <f>Requisitions_Tracker[[#This Row],[Unit Price]]*Requisitions_Tracker[[#This Row],[Quantity]]</f>
        <v>0</v>
      </c>
    </row>
    <row r="215" spans="1:25" ht="30" x14ac:dyDescent="0.25">
      <c r="A215" s="382" t="s">
        <v>7902</v>
      </c>
      <c r="B215" s="91" t="s">
        <v>591</v>
      </c>
      <c r="C215" s="91" t="s">
        <v>3</v>
      </c>
      <c r="D215" s="383">
        <v>1612618</v>
      </c>
      <c r="E215" s="384">
        <v>11065452</v>
      </c>
      <c r="F215" s="91" t="s">
        <v>592</v>
      </c>
      <c r="G215" s="91" t="s">
        <v>31</v>
      </c>
      <c r="H215" s="385" t="s">
        <v>784</v>
      </c>
      <c r="I215" s="91"/>
      <c r="J215" s="43" t="s">
        <v>565</v>
      </c>
      <c r="K215" s="383">
        <v>1</v>
      </c>
      <c r="L215" s="91" t="s">
        <v>321</v>
      </c>
      <c r="M215" s="519" t="s">
        <v>7863</v>
      </c>
      <c r="N215" s="385"/>
      <c r="O215" s="386" t="s">
        <v>7884</v>
      </c>
      <c r="P215" s="387">
        <f>Requisitions_Tracker[[#This Row],[ConOps Contact]]</f>
        <v>0</v>
      </c>
      <c r="Q215" s="385">
        <v>6626</v>
      </c>
      <c r="R215" s="388">
        <v>45142</v>
      </c>
      <c r="S215" s="388">
        <v>45173</v>
      </c>
      <c r="T215" s="385"/>
      <c r="U215" s="388"/>
      <c r="V215" s="388"/>
      <c r="W215" s="385"/>
      <c r="X215" s="389"/>
      <c r="Y215" s="390">
        <f>Requisitions_Tracker[[#This Row],[Unit Price]]*Requisitions_Tracker[[#This Row],[Quantity]]</f>
        <v>0</v>
      </c>
    </row>
    <row r="216" spans="1:25" ht="30" x14ac:dyDescent="0.25">
      <c r="A216" s="382" t="s">
        <v>7902</v>
      </c>
      <c r="B216" s="91" t="s">
        <v>591</v>
      </c>
      <c r="C216" s="91" t="s">
        <v>3</v>
      </c>
      <c r="D216" s="383">
        <v>1612618</v>
      </c>
      <c r="E216" s="384">
        <v>11065452</v>
      </c>
      <c r="F216" s="91" t="s">
        <v>592</v>
      </c>
      <c r="G216" s="91" t="s">
        <v>31</v>
      </c>
      <c r="H216" s="385" t="s">
        <v>784</v>
      </c>
      <c r="I216" s="91"/>
      <c r="J216" s="43" t="s">
        <v>651</v>
      </c>
      <c r="K216" s="383">
        <v>1</v>
      </c>
      <c r="L216" s="91" t="s">
        <v>321</v>
      </c>
      <c r="M216" s="519" t="s">
        <v>7863</v>
      </c>
      <c r="N216" s="385"/>
      <c r="O216" s="386" t="s">
        <v>7884</v>
      </c>
      <c r="P216" s="387">
        <f>Requisitions_Tracker[[#This Row],[ConOps Contact]]</f>
        <v>0</v>
      </c>
      <c r="Q216" s="385">
        <v>6626</v>
      </c>
      <c r="R216" s="388">
        <v>45142</v>
      </c>
      <c r="S216" s="388">
        <v>45173</v>
      </c>
      <c r="T216" s="385"/>
      <c r="U216" s="388"/>
      <c r="V216" s="388"/>
      <c r="W216" s="385"/>
      <c r="X216" s="389"/>
      <c r="Y216" s="390">
        <f>Requisitions_Tracker[[#This Row],[Unit Price]]*Requisitions_Tracker[[#This Row],[Quantity]]</f>
        <v>0</v>
      </c>
    </row>
    <row r="217" spans="1:25" ht="30" x14ac:dyDescent="0.25">
      <c r="A217" s="382" t="s">
        <v>7902</v>
      </c>
      <c r="B217" s="91" t="s">
        <v>591</v>
      </c>
      <c r="C217" s="91" t="s">
        <v>3</v>
      </c>
      <c r="D217" s="383">
        <v>1612618</v>
      </c>
      <c r="E217" s="384">
        <v>11065452</v>
      </c>
      <c r="F217" s="91" t="s">
        <v>592</v>
      </c>
      <c r="G217" s="91" t="s">
        <v>31</v>
      </c>
      <c r="H217" s="385" t="s">
        <v>784</v>
      </c>
      <c r="I217" s="91"/>
      <c r="J217" s="43" t="s">
        <v>559</v>
      </c>
      <c r="K217" s="383"/>
      <c r="L217" s="91" t="s">
        <v>63</v>
      </c>
      <c r="M217" s="519" t="s">
        <v>7863</v>
      </c>
      <c r="N217" s="385"/>
      <c r="O217" s="386" t="s">
        <v>7884</v>
      </c>
      <c r="P217" s="387">
        <f>Requisitions_Tracker[[#This Row],[ConOps Contact]]</f>
        <v>0</v>
      </c>
      <c r="Q217" s="385">
        <v>6626</v>
      </c>
      <c r="R217" s="388">
        <v>45142</v>
      </c>
      <c r="S217" s="388">
        <v>45173</v>
      </c>
      <c r="T217" s="385"/>
      <c r="U217" s="388"/>
      <c r="V217" s="388"/>
      <c r="W217" s="385"/>
      <c r="X217" s="389"/>
      <c r="Y217" s="390">
        <f>Requisitions_Tracker[[#This Row],[Unit Price]]*Requisitions_Tracker[[#This Row],[Quantity]]</f>
        <v>0</v>
      </c>
    </row>
    <row r="218" spans="1:25" ht="30" x14ac:dyDescent="0.25">
      <c r="A218" s="382" t="s">
        <v>7902</v>
      </c>
      <c r="B218" s="91" t="s">
        <v>591</v>
      </c>
      <c r="C218" s="91" t="s">
        <v>3</v>
      </c>
      <c r="D218" s="383">
        <v>1612618</v>
      </c>
      <c r="E218" s="384">
        <v>11065452</v>
      </c>
      <c r="F218" s="91" t="s">
        <v>592</v>
      </c>
      <c r="G218" s="91" t="s">
        <v>31</v>
      </c>
      <c r="H218" s="385" t="s">
        <v>784</v>
      </c>
      <c r="I218" s="91"/>
      <c r="J218" s="43" t="s">
        <v>563</v>
      </c>
      <c r="K218" s="383">
        <v>1</v>
      </c>
      <c r="L218" s="91" t="s">
        <v>321</v>
      </c>
      <c r="M218" s="519" t="s">
        <v>7863</v>
      </c>
      <c r="N218" s="385"/>
      <c r="O218" s="386" t="s">
        <v>7884</v>
      </c>
      <c r="P218" s="387">
        <f>Requisitions_Tracker[[#This Row],[ConOps Contact]]</f>
        <v>0</v>
      </c>
      <c r="Q218" s="385">
        <v>6626</v>
      </c>
      <c r="R218" s="388">
        <v>45142</v>
      </c>
      <c r="S218" s="388">
        <v>45173</v>
      </c>
      <c r="T218" s="385"/>
      <c r="U218" s="388"/>
      <c r="V218" s="388"/>
      <c r="W218" s="385"/>
      <c r="X218" s="389"/>
      <c r="Y218" s="390">
        <f>Requisitions_Tracker[[#This Row],[Unit Price]]*Requisitions_Tracker[[#This Row],[Quantity]]</f>
        <v>0</v>
      </c>
    </row>
    <row r="219" spans="1:25" ht="30" x14ac:dyDescent="0.25">
      <c r="A219" s="382" t="s">
        <v>7902</v>
      </c>
      <c r="B219" s="91" t="s">
        <v>591</v>
      </c>
      <c r="C219" s="91" t="s">
        <v>3</v>
      </c>
      <c r="D219" s="383">
        <v>1612618</v>
      </c>
      <c r="E219" s="384">
        <v>11065452</v>
      </c>
      <c r="F219" s="91" t="s">
        <v>592</v>
      </c>
      <c r="G219" s="91" t="s">
        <v>31</v>
      </c>
      <c r="H219" s="385" t="s">
        <v>784</v>
      </c>
      <c r="I219" s="91"/>
      <c r="J219" s="43" t="s">
        <v>553</v>
      </c>
      <c r="K219" s="383">
        <v>1</v>
      </c>
      <c r="L219" s="91" t="s">
        <v>321</v>
      </c>
      <c r="M219" s="519" t="s">
        <v>7863</v>
      </c>
      <c r="N219" s="385"/>
      <c r="O219" s="386" t="s">
        <v>7884</v>
      </c>
      <c r="P219" s="387">
        <f>Requisitions_Tracker[[#This Row],[ConOps Contact]]</f>
        <v>0</v>
      </c>
      <c r="Q219" s="385">
        <v>6626</v>
      </c>
      <c r="R219" s="388">
        <v>45142</v>
      </c>
      <c r="S219" s="388">
        <v>45173</v>
      </c>
      <c r="T219" s="385"/>
      <c r="U219" s="388"/>
      <c r="V219" s="388"/>
      <c r="W219" s="385"/>
      <c r="X219" s="389"/>
      <c r="Y219" s="390">
        <f>Requisitions_Tracker[[#This Row],[Unit Price]]*Requisitions_Tracker[[#This Row],[Quantity]]</f>
        <v>0</v>
      </c>
    </row>
    <row r="220" spans="1:25" ht="30" x14ac:dyDescent="0.25">
      <c r="A220" s="382" t="s">
        <v>7902</v>
      </c>
      <c r="B220" s="91" t="s">
        <v>591</v>
      </c>
      <c r="C220" s="91" t="s">
        <v>3</v>
      </c>
      <c r="D220" s="383">
        <v>1612618</v>
      </c>
      <c r="E220" s="384">
        <v>11065452</v>
      </c>
      <c r="F220" s="91" t="s">
        <v>592</v>
      </c>
      <c r="G220" s="91" t="s">
        <v>31</v>
      </c>
      <c r="H220" s="385" t="s">
        <v>784</v>
      </c>
      <c r="I220" s="91"/>
      <c r="J220" s="43" t="s">
        <v>554</v>
      </c>
      <c r="K220" s="383">
        <v>4</v>
      </c>
      <c r="L220" s="91" t="s">
        <v>321</v>
      </c>
      <c r="M220" s="519" t="s">
        <v>7863</v>
      </c>
      <c r="N220" s="385"/>
      <c r="O220" s="386" t="s">
        <v>7884</v>
      </c>
      <c r="P220" s="387">
        <f>Requisitions_Tracker[[#This Row],[ConOps Contact]]</f>
        <v>0</v>
      </c>
      <c r="Q220" s="385">
        <v>6626</v>
      </c>
      <c r="R220" s="388">
        <v>45142</v>
      </c>
      <c r="S220" s="388">
        <v>45173</v>
      </c>
      <c r="T220" s="385"/>
      <c r="U220" s="388"/>
      <c r="V220" s="388"/>
      <c r="W220" s="385"/>
      <c r="X220" s="389"/>
      <c r="Y220" s="390">
        <f>Requisitions_Tracker[[#This Row],[Unit Price]]*Requisitions_Tracker[[#This Row],[Quantity]]</f>
        <v>0</v>
      </c>
    </row>
    <row r="221" spans="1:25" ht="30" x14ac:dyDescent="0.25">
      <c r="A221" s="382" t="s">
        <v>7902</v>
      </c>
      <c r="B221" s="91" t="s">
        <v>591</v>
      </c>
      <c r="C221" s="91" t="s">
        <v>3</v>
      </c>
      <c r="D221" s="383">
        <v>1612618</v>
      </c>
      <c r="E221" s="384">
        <v>11065452</v>
      </c>
      <c r="F221" s="91" t="s">
        <v>592</v>
      </c>
      <c r="G221" s="91" t="s">
        <v>31</v>
      </c>
      <c r="H221" s="385" t="s">
        <v>784</v>
      </c>
      <c r="I221" s="91"/>
      <c r="J221" s="43" t="s">
        <v>552</v>
      </c>
      <c r="K221" s="383">
        <v>1</v>
      </c>
      <c r="L221" s="91" t="s">
        <v>321</v>
      </c>
      <c r="M221" s="519" t="s">
        <v>7863</v>
      </c>
      <c r="N221" s="385"/>
      <c r="O221" s="386" t="s">
        <v>7884</v>
      </c>
      <c r="P221" s="387">
        <f>Requisitions_Tracker[[#This Row],[ConOps Contact]]</f>
        <v>0</v>
      </c>
      <c r="Q221" s="385">
        <v>6626</v>
      </c>
      <c r="R221" s="388">
        <v>45142</v>
      </c>
      <c r="S221" s="388">
        <v>45173</v>
      </c>
      <c r="T221" s="385"/>
      <c r="U221" s="388"/>
      <c r="V221" s="388"/>
      <c r="W221" s="385"/>
      <c r="X221" s="389"/>
      <c r="Y221" s="390">
        <f>Requisitions_Tracker[[#This Row],[Unit Price]]*Requisitions_Tracker[[#This Row],[Quantity]]</f>
        <v>0</v>
      </c>
    </row>
    <row r="222" spans="1:25" ht="30" x14ac:dyDescent="0.25">
      <c r="A222" s="382" t="s">
        <v>7902</v>
      </c>
      <c r="B222" s="91" t="s">
        <v>591</v>
      </c>
      <c r="C222" s="91" t="s">
        <v>3</v>
      </c>
      <c r="D222" s="383">
        <v>1612618</v>
      </c>
      <c r="E222" s="384">
        <v>11065452</v>
      </c>
      <c r="F222" s="91" t="s">
        <v>592</v>
      </c>
      <c r="G222" s="91" t="s">
        <v>31</v>
      </c>
      <c r="H222" s="385" t="s">
        <v>784</v>
      </c>
      <c r="I222" s="91"/>
      <c r="J222" s="43" t="s">
        <v>7954</v>
      </c>
      <c r="K222" s="383">
        <v>1</v>
      </c>
      <c r="L222" s="91" t="s">
        <v>321</v>
      </c>
      <c r="M222" s="519" t="s">
        <v>7863</v>
      </c>
      <c r="N222" s="385"/>
      <c r="O222" s="386" t="s">
        <v>7884</v>
      </c>
      <c r="P222" s="387">
        <f>Requisitions_Tracker[[#This Row],[ConOps Contact]]</f>
        <v>0</v>
      </c>
      <c r="Q222" s="385">
        <v>6626</v>
      </c>
      <c r="R222" s="388">
        <v>45142</v>
      </c>
      <c r="S222" s="388">
        <v>45173</v>
      </c>
      <c r="T222" s="385"/>
      <c r="U222" s="388"/>
      <c r="V222" s="388"/>
      <c r="W222" s="385"/>
      <c r="X222" s="389"/>
      <c r="Y222" s="390">
        <f>Requisitions_Tracker[[#This Row],[Unit Price]]*Requisitions_Tracker[[#This Row],[Quantity]]</f>
        <v>0</v>
      </c>
    </row>
    <row r="223" spans="1:25" ht="30" x14ac:dyDescent="0.25">
      <c r="A223" s="382" t="s">
        <v>7902</v>
      </c>
      <c r="B223" s="91" t="s">
        <v>591</v>
      </c>
      <c r="C223" s="91" t="s">
        <v>3</v>
      </c>
      <c r="D223" s="383">
        <v>1612618</v>
      </c>
      <c r="E223" s="384">
        <v>11065452</v>
      </c>
      <c r="F223" s="91" t="s">
        <v>592</v>
      </c>
      <c r="G223" s="91" t="s">
        <v>31</v>
      </c>
      <c r="H223" s="385" t="s">
        <v>784</v>
      </c>
      <c r="I223" s="91"/>
      <c r="J223" s="43" t="s">
        <v>611</v>
      </c>
      <c r="K223" s="383">
        <v>1</v>
      </c>
      <c r="L223" s="91" t="s">
        <v>321</v>
      </c>
      <c r="M223" s="519" t="s">
        <v>7863</v>
      </c>
      <c r="N223" s="385"/>
      <c r="O223" s="386" t="s">
        <v>7884</v>
      </c>
      <c r="P223" s="387">
        <f>Requisitions_Tracker[[#This Row],[ConOps Contact]]</f>
        <v>0</v>
      </c>
      <c r="Q223" s="385">
        <v>6626</v>
      </c>
      <c r="R223" s="388">
        <v>45142</v>
      </c>
      <c r="S223" s="388">
        <v>45173</v>
      </c>
      <c r="T223" s="385"/>
      <c r="U223" s="388"/>
      <c r="V223" s="388"/>
      <c r="W223" s="385"/>
      <c r="X223" s="389"/>
      <c r="Y223" s="390">
        <f>Requisitions_Tracker[[#This Row],[Unit Price]]*Requisitions_Tracker[[#This Row],[Quantity]]</f>
        <v>0</v>
      </c>
    </row>
    <row r="224" spans="1:25" ht="30" x14ac:dyDescent="0.25">
      <c r="A224" s="382" t="s">
        <v>7902</v>
      </c>
      <c r="B224" s="91" t="s">
        <v>591</v>
      </c>
      <c r="C224" s="91" t="s">
        <v>3</v>
      </c>
      <c r="D224" s="383">
        <v>1612618</v>
      </c>
      <c r="E224" s="384">
        <v>11065452</v>
      </c>
      <c r="F224" s="91" t="s">
        <v>592</v>
      </c>
      <c r="G224" s="91" t="s">
        <v>31</v>
      </c>
      <c r="H224" s="385" t="s">
        <v>784</v>
      </c>
      <c r="I224" s="91"/>
      <c r="J224" s="43" t="s">
        <v>7955</v>
      </c>
      <c r="K224" s="383">
        <v>1</v>
      </c>
      <c r="L224" s="91" t="s">
        <v>321</v>
      </c>
      <c r="M224" s="519" t="s">
        <v>7863</v>
      </c>
      <c r="N224" s="385"/>
      <c r="O224" s="386" t="s">
        <v>7884</v>
      </c>
      <c r="P224" s="387">
        <f>Requisitions_Tracker[[#This Row],[ConOps Contact]]</f>
        <v>0</v>
      </c>
      <c r="Q224" s="385">
        <v>6626</v>
      </c>
      <c r="R224" s="388">
        <v>45142</v>
      </c>
      <c r="S224" s="388">
        <v>45173</v>
      </c>
      <c r="T224" s="385"/>
      <c r="U224" s="388"/>
      <c r="V224" s="388"/>
      <c r="W224" s="385"/>
      <c r="X224" s="389"/>
      <c r="Y224" s="390">
        <f>Requisitions_Tracker[[#This Row],[Unit Price]]*Requisitions_Tracker[[#This Row],[Quantity]]</f>
        <v>0</v>
      </c>
    </row>
    <row r="225" spans="1:25" ht="30" x14ac:dyDescent="0.25">
      <c r="A225" s="382" t="s">
        <v>7902</v>
      </c>
      <c r="B225" s="91" t="s">
        <v>591</v>
      </c>
      <c r="C225" s="91" t="s">
        <v>3</v>
      </c>
      <c r="D225" s="383">
        <v>1612618</v>
      </c>
      <c r="E225" s="384">
        <v>11065452</v>
      </c>
      <c r="F225" s="91" t="s">
        <v>592</v>
      </c>
      <c r="G225" s="91" t="s">
        <v>31</v>
      </c>
      <c r="H225" s="385" t="s">
        <v>784</v>
      </c>
      <c r="I225" s="91"/>
      <c r="J225" s="43" t="s">
        <v>548</v>
      </c>
      <c r="K225" s="383">
        <v>1</v>
      </c>
      <c r="L225" s="91" t="s">
        <v>321</v>
      </c>
      <c r="M225" s="519" t="s">
        <v>7863</v>
      </c>
      <c r="N225" s="385"/>
      <c r="O225" s="386" t="s">
        <v>7884</v>
      </c>
      <c r="P225" s="387">
        <f>Requisitions_Tracker[[#This Row],[ConOps Contact]]</f>
        <v>0</v>
      </c>
      <c r="Q225" s="385">
        <v>6626</v>
      </c>
      <c r="R225" s="388">
        <v>45142</v>
      </c>
      <c r="S225" s="388">
        <v>45173</v>
      </c>
      <c r="T225" s="385"/>
      <c r="U225" s="388"/>
      <c r="V225" s="388"/>
      <c r="W225" s="385"/>
      <c r="X225" s="389"/>
      <c r="Y225" s="390">
        <f>Requisitions_Tracker[[#This Row],[Unit Price]]*Requisitions_Tracker[[#This Row],[Quantity]]</f>
        <v>0</v>
      </c>
    </row>
    <row r="226" spans="1:25" ht="30" x14ac:dyDescent="0.25">
      <c r="A226" s="382" t="s">
        <v>7902</v>
      </c>
      <c r="B226" s="91" t="s">
        <v>591</v>
      </c>
      <c r="C226" s="91" t="s">
        <v>3</v>
      </c>
      <c r="D226" s="383">
        <v>1612618</v>
      </c>
      <c r="E226" s="384">
        <v>11065452</v>
      </c>
      <c r="F226" s="91" t="s">
        <v>592</v>
      </c>
      <c r="G226" s="91" t="s">
        <v>31</v>
      </c>
      <c r="H226" s="385" t="s">
        <v>784</v>
      </c>
      <c r="I226" s="91"/>
      <c r="J226" s="43" t="s">
        <v>7956</v>
      </c>
      <c r="K226" s="383">
        <v>1</v>
      </c>
      <c r="L226" s="91" t="s">
        <v>321</v>
      </c>
      <c r="M226" s="519" t="s">
        <v>7863</v>
      </c>
      <c r="N226" s="385"/>
      <c r="O226" s="386" t="s">
        <v>7884</v>
      </c>
      <c r="P226" s="387">
        <f>Requisitions_Tracker[[#This Row],[ConOps Contact]]</f>
        <v>0</v>
      </c>
      <c r="Q226" s="385">
        <v>6626</v>
      </c>
      <c r="R226" s="388">
        <v>45142</v>
      </c>
      <c r="S226" s="388">
        <v>45173</v>
      </c>
      <c r="T226" s="385"/>
      <c r="U226" s="388"/>
      <c r="V226" s="388"/>
      <c r="W226" s="385"/>
      <c r="X226" s="389"/>
      <c r="Y226" s="390">
        <f>Requisitions_Tracker[[#This Row],[Unit Price]]*Requisitions_Tracker[[#This Row],[Quantity]]</f>
        <v>0</v>
      </c>
    </row>
    <row r="227" spans="1:25" ht="30" x14ac:dyDescent="0.25">
      <c r="A227" s="382" t="s">
        <v>7902</v>
      </c>
      <c r="B227" s="91" t="s">
        <v>591</v>
      </c>
      <c r="C227" s="91" t="s">
        <v>3</v>
      </c>
      <c r="D227" s="383">
        <v>1612618</v>
      </c>
      <c r="E227" s="384">
        <v>11065452</v>
      </c>
      <c r="F227" s="91" t="s">
        <v>592</v>
      </c>
      <c r="G227" s="91" t="s">
        <v>31</v>
      </c>
      <c r="H227" s="385" t="s">
        <v>784</v>
      </c>
      <c r="I227" s="91"/>
      <c r="J227" s="43" t="s">
        <v>606</v>
      </c>
      <c r="K227" s="383">
        <v>1</v>
      </c>
      <c r="L227" s="91" t="s">
        <v>321</v>
      </c>
      <c r="M227" s="519" t="s">
        <v>7863</v>
      </c>
      <c r="N227" s="385"/>
      <c r="O227" s="386" t="s">
        <v>7884</v>
      </c>
      <c r="P227" s="387">
        <f>Requisitions_Tracker[[#This Row],[ConOps Contact]]</f>
        <v>0</v>
      </c>
      <c r="Q227" s="385">
        <v>6626</v>
      </c>
      <c r="R227" s="388">
        <v>45142</v>
      </c>
      <c r="S227" s="388">
        <v>45173</v>
      </c>
      <c r="T227" s="385"/>
      <c r="U227" s="388"/>
      <c r="V227" s="388"/>
      <c r="W227" s="385"/>
      <c r="X227" s="389"/>
      <c r="Y227" s="390">
        <f>Requisitions_Tracker[[#This Row],[Unit Price]]*Requisitions_Tracker[[#This Row],[Quantity]]</f>
        <v>0</v>
      </c>
    </row>
    <row r="228" spans="1:25" ht="30" x14ac:dyDescent="0.25">
      <c r="A228" s="382" t="s">
        <v>7902</v>
      </c>
      <c r="B228" s="91" t="s">
        <v>591</v>
      </c>
      <c r="C228" s="91" t="s">
        <v>3</v>
      </c>
      <c r="D228" s="383">
        <v>1612618</v>
      </c>
      <c r="E228" s="384">
        <v>11065452</v>
      </c>
      <c r="F228" s="91" t="s">
        <v>592</v>
      </c>
      <c r="G228" s="91" t="s">
        <v>31</v>
      </c>
      <c r="H228" s="385" t="s">
        <v>784</v>
      </c>
      <c r="I228" s="91"/>
      <c r="J228" s="43" t="s">
        <v>7957</v>
      </c>
      <c r="K228" s="383">
        <v>1</v>
      </c>
      <c r="L228" s="91" t="s">
        <v>321</v>
      </c>
      <c r="M228" s="519" t="s">
        <v>7863</v>
      </c>
      <c r="N228" s="385"/>
      <c r="O228" s="386" t="s">
        <v>7884</v>
      </c>
      <c r="P228" s="387">
        <f>Requisitions_Tracker[[#This Row],[ConOps Contact]]</f>
        <v>0</v>
      </c>
      <c r="Q228" s="385">
        <v>6626</v>
      </c>
      <c r="R228" s="388">
        <v>45142</v>
      </c>
      <c r="S228" s="388">
        <v>45173</v>
      </c>
      <c r="T228" s="385"/>
      <c r="U228" s="388"/>
      <c r="V228" s="388"/>
      <c r="W228" s="385"/>
      <c r="X228" s="389"/>
      <c r="Y228" s="390">
        <f>Requisitions_Tracker[[#This Row],[Unit Price]]*Requisitions_Tracker[[#This Row],[Quantity]]</f>
        <v>0</v>
      </c>
    </row>
    <row r="229" spans="1:25" ht="30" x14ac:dyDescent="0.25">
      <c r="A229" s="382" t="s">
        <v>7958</v>
      </c>
      <c r="B229" s="91" t="s">
        <v>594</v>
      </c>
      <c r="C229" s="91" t="s">
        <v>3</v>
      </c>
      <c r="D229" s="383">
        <v>1912867</v>
      </c>
      <c r="E229" s="384">
        <v>11068210</v>
      </c>
      <c r="F229" s="91" t="s">
        <v>595</v>
      </c>
      <c r="G229" s="91" t="s">
        <v>32</v>
      </c>
      <c r="H229" s="385" t="s">
        <v>851</v>
      </c>
      <c r="I229" s="91" t="s">
        <v>598</v>
      </c>
      <c r="J229" s="43" t="s">
        <v>596</v>
      </c>
      <c r="K229" s="383">
        <v>40</v>
      </c>
      <c r="L229" s="91" t="s">
        <v>63</v>
      </c>
      <c r="M229" s="385" t="s">
        <v>59</v>
      </c>
      <c r="N229" s="385" t="s">
        <v>7959</v>
      </c>
      <c r="O229" s="386" t="s">
        <v>7960</v>
      </c>
      <c r="P229" s="387" t="str">
        <f>Requisitions_Tracker[[#This Row],[ConOps Contact]]</f>
        <v>Lori Harvey</v>
      </c>
      <c r="Q229" s="387">
        <v>6368</v>
      </c>
      <c r="R229" s="388">
        <v>45139</v>
      </c>
      <c r="S229" s="388"/>
      <c r="T229" s="385"/>
      <c r="U229" s="388"/>
      <c r="V229" s="388"/>
      <c r="W229" s="385"/>
      <c r="X229" s="389"/>
      <c r="Y229" s="390">
        <f>Requisitions_Tracker[[#This Row],[Unit Price]]*Requisitions_Tracker[[#This Row],[Quantity]]</f>
        <v>0</v>
      </c>
    </row>
    <row r="230" spans="1:25" ht="30" x14ac:dyDescent="0.25">
      <c r="A230" s="382" t="s">
        <v>7958</v>
      </c>
      <c r="B230" s="91" t="s">
        <v>594</v>
      </c>
      <c r="C230" s="91" t="s">
        <v>3</v>
      </c>
      <c r="D230" s="383">
        <v>1912867</v>
      </c>
      <c r="E230" s="384">
        <v>11068210</v>
      </c>
      <c r="F230" s="91" t="s">
        <v>595</v>
      </c>
      <c r="G230" s="91" t="s">
        <v>32</v>
      </c>
      <c r="H230" s="385" t="s">
        <v>851</v>
      </c>
      <c r="I230" s="91" t="s">
        <v>598</v>
      </c>
      <c r="J230" s="43" t="s">
        <v>600</v>
      </c>
      <c r="K230" s="383">
        <v>40</v>
      </c>
      <c r="L230" s="91" t="s">
        <v>63</v>
      </c>
      <c r="M230" s="385" t="s">
        <v>59</v>
      </c>
      <c r="N230" s="385" t="s">
        <v>7959</v>
      </c>
      <c r="O230" s="386" t="s">
        <v>7960</v>
      </c>
      <c r="P230" s="387" t="str">
        <f>Requisitions_Tracker[[#This Row],[ConOps Contact]]</f>
        <v>Lori Harvey</v>
      </c>
      <c r="Q230" s="387">
        <v>6368</v>
      </c>
      <c r="R230" s="388">
        <v>45139</v>
      </c>
      <c r="S230" s="388"/>
      <c r="T230" s="385"/>
      <c r="U230" s="388"/>
      <c r="V230" s="388"/>
      <c r="W230" s="385"/>
      <c r="X230" s="389"/>
      <c r="Y230" s="390">
        <f>Requisitions_Tracker[[#This Row],[Unit Price]]*Requisitions_Tracker[[#This Row],[Quantity]]</f>
        <v>0</v>
      </c>
    </row>
    <row r="231" spans="1:25" ht="30" x14ac:dyDescent="0.25">
      <c r="A231" s="382" t="s">
        <v>7958</v>
      </c>
      <c r="B231" s="91" t="s">
        <v>594</v>
      </c>
      <c r="C231" s="91" t="s">
        <v>3</v>
      </c>
      <c r="D231" s="383">
        <v>1912867</v>
      </c>
      <c r="E231" s="384">
        <v>11068210</v>
      </c>
      <c r="F231" s="91" t="s">
        <v>595</v>
      </c>
      <c r="G231" s="91" t="s">
        <v>32</v>
      </c>
      <c r="H231" s="385" t="s">
        <v>851</v>
      </c>
      <c r="I231" s="91" t="s">
        <v>598</v>
      </c>
      <c r="J231" s="43" t="s">
        <v>601</v>
      </c>
      <c r="K231" s="383">
        <v>1</v>
      </c>
      <c r="L231" s="91" t="s">
        <v>321</v>
      </c>
      <c r="M231" s="385" t="s">
        <v>59</v>
      </c>
      <c r="N231" s="385" t="s">
        <v>7959</v>
      </c>
      <c r="O231" s="386" t="s">
        <v>7960</v>
      </c>
      <c r="P231" s="387" t="str">
        <f>Requisitions_Tracker[[#This Row],[ConOps Contact]]</f>
        <v>Lori Harvey</v>
      </c>
      <c r="Q231" s="387">
        <v>6368</v>
      </c>
      <c r="R231" s="388">
        <v>45139</v>
      </c>
      <c r="S231" s="388"/>
      <c r="T231" s="385"/>
      <c r="U231" s="388"/>
      <c r="V231" s="388"/>
      <c r="W231" s="385"/>
      <c r="X231" s="389"/>
      <c r="Y231" s="390">
        <f>Requisitions_Tracker[[#This Row],[Unit Price]]*Requisitions_Tracker[[#This Row],[Quantity]]</f>
        <v>0</v>
      </c>
    </row>
    <row r="232" spans="1:25" ht="30" x14ac:dyDescent="0.25">
      <c r="A232" s="382" t="s">
        <v>7958</v>
      </c>
      <c r="B232" s="91" t="s">
        <v>594</v>
      </c>
      <c r="C232" s="91" t="s">
        <v>3</v>
      </c>
      <c r="D232" s="383">
        <v>1912867</v>
      </c>
      <c r="E232" s="384">
        <v>11068210</v>
      </c>
      <c r="F232" s="91" t="s">
        <v>595</v>
      </c>
      <c r="G232" s="91" t="s">
        <v>32</v>
      </c>
      <c r="H232" s="385" t="s">
        <v>851</v>
      </c>
      <c r="I232" s="91" t="s">
        <v>598</v>
      </c>
      <c r="J232" s="43" t="s">
        <v>602</v>
      </c>
      <c r="K232" s="383">
        <v>6</v>
      </c>
      <c r="L232" s="91" t="s">
        <v>321</v>
      </c>
      <c r="M232" s="385" t="s">
        <v>59</v>
      </c>
      <c r="N232" s="385" t="s">
        <v>7959</v>
      </c>
      <c r="O232" s="386" t="s">
        <v>7960</v>
      </c>
      <c r="P232" s="387" t="str">
        <f>Requisitions_Tracker[[#This Row],[ConOps Contact]]</f>
        <v>Lori Harvey</v>
      </c>
      <c r="Q232" s="387">
        <v>6368</v>
      </c>
      <c r="R232" s="388">
        <v>45139</v>
      </c>
      <c r="S232" s="388"/>
      <c r="T232" s="385"/>
      <c r="U232" s="388"/>
      <c r="V232" s="388"/>
      <c r="W232" s="385"/>
      <c r="X232" s="389"/>
      <c r="Y232" s="390">
        <f>Requisitions_Tracker[[#This Row],[Unit Price]]*Requisitions_Tracker[[#This Row],[Quantity]]</f>
        <v>0</v>
      </c>
    </row>
    <row r="233" spans="1:25" ht="75" x14ac:dyDescent="0.25">
      <c r="A233" s="382" t="s">
        <v>7930</v>
      </c>
      <c r="B233" s="91" t="s">
        <v>604</v>
      </c>
      <c r="C233" s="91" t="s">
        <v>2</v>
      </c>
      <c r="D233" s="383">
        <v>1012573</v>
      </c>
      <c r="E233" s="384">
        <v>11059890</v>
      </c>
      <c r="F233" s="91" t="s">
        <v>605</v>
      </c>
      <c r="G233" s="91" t="s">
        <v>37</v>
      </c>
      <c r="H233" s="385" t="s">
        <v>784</v>
      </c>
      <c r="I233" s="91" t="s">
        <v>472</v>
      </c>
      <c r="J233" s="92" t="s">
        <v>606</v>
      </c>
      <c r="K233" s="383">
        <v>1</v>
      </c>
      <c r="L233" s="91" t="s">
        <v>321</v>
      </c>
      <c r="M233" s="519" t="s">
        <v>7863</v>
      </c>
      <c r="N233" s="385"/>
      <c r="O233" s="386" t="s">
        <v>607</v>
      </c>
      <c r="P233" s="387" t="str">
        <f>Requisitions_Tracker[[#This Row],[ConOps Contact]]</f>
        <v>Ryan Pattermann</v>
      </c>
      <c r="Q233" s="387">
        <v>6266</v>
      </c>
      <c r="R233" s="388">
        <v>45139</v>
      </c>
      <c r="S233" s="388">
        <v>45201</v>
      </c>
      <c r="T233" s="385" t="s">
        <v>7961</v>
      </c>
      <c r="U233" s="388">
        <v>45189</v>
      </c>
      <c r="V233" s="388">
        <v>45211</v>
      </c>
      <c r="W233" s="385" t="s">
        <v>7962</v>
      </c>
      <c r="X233" s="389">
        <v>6592.65</v>
      </c>
      <c r="Y233" s="390">
        <f>Requisitions_Tracker[[#This Row],[Unit Price]]*Requisitions_Tracker[[#This Row],[Quantity]]</f>
        <v>6592.65</v>
      </c>
    </row>
    <row r="234" spans="1:25" ht="60" x14ac:dyDescent="0.25">
      <c r="A234" s="382" t="s">
        <v>7902</v>
      </c>
      <c r="B234" s="91" t="s">
        <v>604</v>
      </c>
      <c r="C234" s="91" t="s">
        <v>2</v>
      </c>
      <c r="D234" s="383">
        <v>1012573</v>
      </c>
      <c r="E234" s="384">
        <v>11059890</v>
      </c>
      <c r="F234" s="91" t="s">
        <v>605</v>
      </c>
      <c r="G234" s="91" t="s">
        <v>37</v>
      </c>
      <c r="H234" s="385" t="s">
        <v>784</v>
      </c>
      <c r="I234" s="91" t="s">
        <v>472</v>
      </c>
      <c r="J234" s="92" t="s">
        <v>609</v>
      </c>
      <c r="K234" s="383">
        <v>1</v>
      </c>
      <c r="L234" s="91" t="s">
        <v>321</v>
      </c>
      <c r="M234" s="519" t="s">
        <v>7863</v>
      </c>
      <c r="N234" s="385"/>
      <c r="O234" s="386" t="s">
        <v>607</v>
      </c>
      <c r="P234" s="387" t="str">
        <f>Requisitions_Tracker[[#This Row],[ConOps Contact]]</f>
        <v>Ryan Pattermann</v>
      </c>
      <c r="Q234" s="387">
        <v>6266</v>
      </c>
      <c r="R234" s="388">
        <v>45139</v>
      </c>
      <c r="S234" s="388">
        <v>45201</v>
      </c>
      <c r="T234" s="385"/>
      <c r="U234" s="388"/>
      <c r="V234" s="388"/>
      <c r="W234" s="385"/>
      <c r="X234" s="389"/>
      <c r="Y234" s="390">
        <f>Requisitions_Tracker[[#This Row],[Unit Price]]*Requisitions_Tracker[[#This Row],[Quantity]]</f>
        <v>0</v>
      </c>
    </row>
    <row r="235" spans="1:25" ht="30" x14ac:dyDescent="0.25">
      <c r="A235" s="382" t="s">
        <v>7930</v>
      </c>
      <c r="B235" s="91" t="s">
        <v>604</v>
      </c>
      <c r="C235" s="91" t="s">
        <v>2</v>
      </c>
      <c r="D235" s="383">
        <v>1012573</v>
      </c>
      <c r="E235" s="384">
        <v>11059890</v>
      </c>
      <c r="F235" s="91" t="s">
        <v>605</v>
      </c>
      <c r="G235" s="91" t="s">
        <v>37</v>
      </c>
      <c r="H235" s="385" t="s">
        <v>784</v>
      </c>
      <c r="I235" s="91" t="s">
        <v>472</v>
      </c>
      <c r="J235" s="92" t="s">
        <v>548</v>
      </c>
      <c r="K235" s="383">
        <v>1</v>
      </c>
      <c r="L235" s="91" t="s">
        <v>321</v>
      </c>
      <c r="M235" s="519" t="s">
        <v>7863</v>
      </c>
      <c r="N235" s="385"/>
      <c r="O235" s="386" t="s">
        <v>607</v>
      </c>
      <c r="P235" s="387" t="str">
        <f>Requisitions_Tracker[[#This Row],[ConOps Contact]]</f>
        <v>Ryan Pattermann</v>
      </c>
      <c r="Q235" s="387">
        <v>6266</v>
      </c>
      <c r="R235" s="388">
        <v>45139</v>
      </c>
      <c r="S235" s="388">
        <v>45201</v>
      </c>
      <c r="T235" s="385" t="s">
        <v>7963</v>
      </c>
      <c r="U235" s="388">
        <v>45189</v>
      </c>
      <c r="V235" s="388">
        <v>45198</v>
      </c>
      <c r="W235" s="385" t="s">
        <v>7865</v>
      </c>
      <c r="X235" s="389">
        <v>0</v>
      </c>
      <c r="Y235" s="390">
        <f>Requisitions_Tracker[[#This Row],[Unit Price]]*Requisitions_Tracker[[#This Row],[Quantity]]</f>
        <v>0</v>
      </c>
    </row>
    <row r="236" spans="1:25" ht="30" x14ac:dyDescent="0.25">
      <c r="A236" s="382" t="s">
        <v>7930</v>
      </c>
      <c r="B236" s="91" t="s">
        <v>604</v>
      </c>
      <c r="C236" s="91" t="s">
        <v>2</v>
      </c>
      <c r="D236" s="383">
        <v>1012573</v>
      </c>
      <c r="E236" s="384">
        <v>11059890</v>
      </c>
      <c r="F236" s="91" t="s">
        <v>605</v>
      </c>
      <c r="G236" s="91" t="s">
        <v>37</v>
      </c>
      <c r="H236" s="385" t="s">
        <v>784</v>
      </c>
      <c r="I236" s="91" t="s">
        <v>472</v>
      </c>
      <c r="J236" s="92" t="s">
        <v>610</v>
      </c>
      <c r="K236" s="383">
        <v>1</v>
      </c>
      <c r="L236" s="91" t="s">
        <v>321</v>
      </c>
      <c r="M236" s="519" t="s">
        <v>7863</v>
      </c>
      <c r="N236" s="385"/>
      <c r="O236" s="386" t="s">
        <v>607</v>
      </c>
      <c r="P236" s="387" t="str">
        <f>Requisitions_Tracker[[#This Row],[ConOps Contact]]</f>
        <v>Ryan Pattermann</v>
      </c>
      <c r="Q236" s="387">
        <v>6266</v>
      </c>
      <c r="R236" s="388">
        <v>45139</v>
      </c>
      <c r="S236" s="388">
        <v>45201</v>
      </c>
      <c r="T236" s="385" t="s">
        <v>7963</v>
      </c>
      <c r="U236" s="388">
        <v>45189</v>
      </c>
      <c r="V236" s="388">
        <v>45198</v>
      </c>
      <c r="W236" s="385" t="s">
        <v>7865</v>
      </c>
      <c r="X236" s="389">
        <v>10.32</v>
      </c>
      <c r="Y236" s="390">
        <f>Requisitions_Tracker[[#This Row],[Unit Price]]*Requisitions_Tracker[[#This Row],[Quantity]]</f>
        <v>10.32</v>
      </c>
    </row>
    <row r="237" spans="1:25" ht="30" x14ac:dyDescent="0.25">
      <c r="A237" s="382" t="s">
        <v>7930</v>
      </c>
      <c r="B237" s="91" t="s">
        <v>604</v>
      </c>
      <c r="C237" s="91" t="s">
        <v>2</v>
      </c>
      <c r="D237" s="383">
        <v>1012573</v>
      </c>
      <c r="E237" s="384">
        <v>11059890</v>
      </c>
      <c r="F237" s="91" t="s">
        <v>605</v>
      </c>
      <c r="G237" s="91" t="s">
        <v>37</v>
      </c>
      <c r="H237" s="385" t="s">
        <v>784</v>
      </c>
      <c r="I237" s="91" t="s">
        <v>472</v>
      </c>
      <c r="J237" s="92" t="s">
        <v>611</v>
      </c>
      <c r="K237" s="383">
        <v>1</v>
      </c>
      <c r="L237" s="91" t="s">
        <v>321</v>
      </c>
      <c r="M237" s="519" t="s">
        <v>7863</v>
      </c>
      <c r="N237" s="385"/>
      <c r="O237" s="386" t="s">
        <v>607</v>
      </c>
      <c r="P237" s="387" t="str">
        <f>Requisitions_Tracker[[#This Row],[ConOps Contact]]</f>
        <v>Ryan Pattermann</v>
      </c>
      <c r="Q237" s="387">
        <v>6266</v>
      </c>
      <c r="R237" s="388">
        <v>45139</v>
      </c>
      <c r="S237" s="388">
        <v>45201</v>
      </c>
      <c r="T237" s="385" t="s">
        <v>7963</v>
      </c>
      <c r="U237" s="388">
        <v>45189</v>
      </c>
      <c r="V237" s="388">
        <v>45198</v>
      </c>
      <c r="W237" s="385" t="s">
        <v>7865</v>
      </c>
      <c r="X237" s="389">
        <v>11.47</v>
      </c>
      <c r="Y237" s="390">
        <f>Requisitions_Tracker[[#This Row],[Unit Price]]*Requisitions_Tracker[[#This Row],[Quantity]]</f>
        <v>11.47</v>
      </c>
    </row>
    <row r="238" spans="1:25" ht="30" x14ac:dyDescent="0.25">
      <c r="A238" s="382" t="s">
        <v>7930</v>
      </c>
      <c r="B238" s="91" t="s">
        <v>604</v>
      </c>
      <c r="C238" s="91" t="s">
        <v>2</v>
      </c>
      <c r="D238" s="383">
        <v>1012573</v>
      </c>
      <c r="E238" s="384">
        <v>11059890</v>
      </c>
      <c r="F238" s="91" t="s">
        <v>605</v>
      </c>
      <c r="G238" s="91" t="s">
        <v>37</v>
      </c>
      <c r="H238" s="385" t="s">
        <v>784</v>
      </c>
      <c r="I238" s="91" t="s">
        <v>472</v>
      </c>
      <c r="J238" s="92" t="s">
        <v>551</v>
      </c>
      <c r="K238" s="383">
        <v>1</v>
      </c>
      <c r="L238" s="91" t="s">
        <v>321</v>
      </c>
      <c r="M238" s="519" t="s">
        <v>7863</v>
      </c>
      <c r="N238" s="385"/>
      <c r="O238" s="386" t="s">
        <v>607</v>
      </c>
      <c r="P238" s="387" t="str">
        <f>Requisitions_Tracker[[#This Row],[ConOps Contact]]</f>
        <v>Ryan Pattermann</v>
      </c>
      <c r="Q238" s="387">
        <v>6266</v>
      </c>
      <c r="R238" s="388">
        <v>45139</v>
      </c>
      <c r="S238" s="388">
        <v>45201</v>
      </c>
      <c r="T238" s="385" t="s">
        <v>7963</v>
      </c>
      <c r="U238" s="388">
        <v>45189</v>
      </c>
      <c r="V238" s="388">
        <v>45198</v>
      </c>
      <c r="W238" s="385" t="s">
        <v>7865</v>
      </c>
      <c r="X238" s="389">
        <v>19.989999999999998</v>
      </c>
      <c r="Y238" s="390">
        <f>Requisitions_Tracker[[#This Row],[Unit Price]]*Requisitions_Tracker[[#This Row],[Quantity]]</f>
        <v>19.989999999999998</v>
      </c>
    </row>
    <row r="239" spans="1:25" ht="30" x14ac:dyDescent="0.25">
      <c r="A239" s="382" t="s">
        <v>7930</v>
      </c>
      <c r="B239" s="91" t="s">
        <v>604</v>
      </c>
      <c r="C239" s="91" t="s">
        <v>2</v>
      </c>
      <c r="D239" s="383">
        <v>1012573</v>
      </c>
      <c r="E239" s="384">
        <v>11059890</v>
      </c>
      <c r="F239" s="91" t="s">
        <v>605</v>
      </c>
      <c r="G239" s="91" t="s">
        <v>37</v>
      </c>
      <c r="H239" s="385" t="s">
        <v>784</v>
      </c>
      <c r="I239" s="91" t="s">
        <v>472</v>
      </c>
      <c r="J239" s="92" t="s">
        <v>612</v>
      </c>
      <c r="K239" s="383">
        <v>1</v>
      </c>
      <c r="L239" s="91" t="s">
        <v>321</v>
      </c>
      <c r="M239" s="519" t="s">
        <v>7863</v>
      </c>
      <c r="N239" s="385"/>
      <c r="O239" s="386" t="s">
        <v>607</v>
      </c>
      <c r="P239" s="387" t="str">
        <f>Requisitions_Tracker[[#This Row],[ConOps Contact]]</f>
        <v>Ryan Pattermann</v>
      </c>
      <c r="Q239" s="387">
        <v>6266</v>
      </c>
      <c r="R239" s="388">
        <v>45139</v>
      </c>
      <c r="S239" s="388">
        <v>45201</v>
      </c>
      <c r="T239" s="385" t="s">
        <v>7963</v>
      </c>
      <c r="U239" s="388">
        <v>45189</v>
      </c>
      <c r="V239" s="388">
        <v>45198</v>
      </c>
      <c r="W239" s="385" t="s">
        <v>7865</v>
      </c>
      <c r="X239" s="389">
        <v>6.14</v>
      </c>
      <c r="Y239" s="390">
        <f>Requisitions_Tracker[[#This Row],[Unit Price]]*Requisitions_Tracker[[#This Row],[Quantity]]</f>
        <v>6.14</v>
      </c>
    </row>
    <row r="240" spans="1:25" ht="30" x14ac:dyDescent="0.25">
      <c r="A240" s="382" t="s">
        <v>7930</v>
      </c>
      <c r="B240" s="91" t="s">
        <v>604</v>
      </c>
      <c r="C240" s="91" t="s">
        <v>2</v>
      </c>
      <c r="D240" s="383">
        <v>1012573</v>
      </c>
      <c r="E240" s="384">
        <v>11059890</v>
      </c>
      <c r="F240" s="91" t="s">
        <v>605</v>
      </c>
      <c r="G240" s="91" t="s">
        <v>37</v>
      </c>
      <c r="H240" s="385" t="s">
        <v>784</v>
      </c>
      <c r="I240" s="91" t="s">
        <v>472</v>
      </c>
      <c r="J240" s="92" t="s">
        <v>613</v>
      </c>
      <c r="K240" s="383">
        <v>1</v>
      </c>
      <c r="L240" s="91" t="s">
        <v>321</v>
      </c>
      <c r="M240" s="519" t="s">
        <v>7863</v>
      </c>
      <c r="N240" s="385"/>
      <c r="O240" s="386" t="s">
        <v>607</v>
      </c>
      <c r="P240" s="387" t="str">
        <f>Requisitions_Tracker[[#This Row],[ConOps Contact]]</f>
        <v>Ryan Pattermann</v>
      </c>
      <c r="Q240" s="387">
        <v>6266</v>
      </c>
      <c r="R240" s="388">
        <v>45139</v>
      </c>
      <c r="S240" s="388">
        <v>45201</v>
      </c>
      <c r="T240" s="385" t="s">
        <v>7963</v>
      </c>
      <c r="U240" s="388">
        <v>45189</v>
      </c>
      <c r="V240" s="388">
        <v>45198</v>
      </c>
      <c r="W240" s="385" t="s">
        <v>7865</v>
      </c>
      <c r="X240" s="389">
        <v>11.64</v>
      </c>
      <c r="Y240" s="390">
        <f>Requisitions_Tracker[[#This Row],[Unit Price]]*Requisitions_Tracker[[#This Row],[Quantity]]</f>
        <v>11.64</v>
      </c>
    </row>
    <row r="241" spans="1:25" ht="30" x14ac:dyDescent="0.25">
      <c r="A241" s="382" t="s">
        <v>7930</v>
      </c>
      <c r="B241" s="91" t="s">
        <v>604</v>
      </c>
      <c r="C241" s="91" t="s">
        <v>2</v>
      </c>
      <c r="D241" s="383">
        <v>1012573</v>
      </c>
      <c r="E241" s="384">
        <v>11059890</v>
      </c>
      <c r="F241" s="91" t="s">
        <v>605</v>
      </c>
      <c r="G241" s="91" t="s">
        <v>37</v>
      </c>
      <c r="H241" s="385" t="s">
        <v>784</v>
      </c>
      <c r="I241" s="91" t="s">
        <v>472</v>
      </c>
      <c r="J241" s="92" t="s">
        <v>614</v>
      </c>
      <c r="K241" s="383">
        <v>4</v>
      </c>
      <c r="L241" s="91" t="s">
        <v>321</v>
      </c>
      <c r="M241" s="519" t="s">
        <v>7863</v>
      </c>
      <c r="N241" s="385"/>
      <c r="O241" s="386" t="s">
        <v>607</v>
      </c>
      <c r="P241" s="387" t="str">
        <f>Requisitions_Tracker[[#This Row],[ConOps Contact]]</f>
        <v>Ryan Pattermann</v>
      </c>
      <c r="Q241" s="387">
        <v>6266</v>
      </c>
      <c r="R241" s="388">
        <v>45139</v>
      </c>
      <c r="S241" s="388">
        <v>45201</v>
      </c>
      <c r="T241" s="385" t="s">
        <v>7963</v>
      </c>
      <c r="U241" s="388">
        <v>45189</v>
      </c>
      <c r="V241" s="388">
        <v>45198</v>
      </c>
      <c r="W241" s="385" t="s">
        <v>7865</v>
      </c>
      <c r="X241" s="389">
        <v>11.64</v>
      </c>
      <c r="Y241" s="390">
        <f>Requisitions_Tracker[[#This Row],[Unit Price]]*Requisitions_Tracker[[#This Row],[Quantity]]</f>
        <v>46.56</v>
      </c>
    </row>
    <row r="242" spans="1:25" ht="30" x14ac:dyDescent="0.25">
      <c r="A242" s="382" t="s">
        <v>7902</v>
      </c>
      <c r="B242" s="91" t="s">
        <v>604</v>
      </c>
      <c r="C242" s="91" t="s">
        <v>2</v>
      </c>
      <c r="D242" s="383">
        <v>1012573</v>
      </c>
      <c r="E242" s="384">
        <v>11059890</v>
      </c>
      <c r="F242" s="91" t="s">
        <v>605</v>
      </c>
      <c r="G242" s="91" t="s">
        <v>37</v>
      </c>
      <c r="H242" s="385" t="s">
        <v>784</v>
      </c>
      <c r="I242" s="91" t="s">
        <v>472</v>
      </c>
      <c r="J242" s="92" t="s">
        <v>555</v>
      </c>
      <c r="K242" s="383">
        <v>1</v>
      </c>
      <c r="L242" s="91" t="s">
        <v>321</v>
      </c>
      <c r="M242" s="519" t="s">
        <v>7863</v>
      </c>
      <c r="N242" s="385"/>
      <c r="O242" s="386" t="s">
        <v>607</v>
      </c>
      <c r="P242" s="387" t="str">
        <f>Requisitions_Tracker[[#This Row],[ConOps Contact]]</f>
        <v>Ryan Pattermann</v>
      </c>
      <c r="Q242" s="387">
        <v>6266</v>
      </c>
      <c r="R242" s="388">
        <v>45139</v>
      </c>
      <c r="S242" s="388">
        <v>45201</v>
      </c>
      <c r="T242" s="385"/>
      <c r="U242" s="388"/>
      <c r="V242" s="388"/>
      <c r="W242" s="385"/>
      <c r="X242" s="389"/>
      <c r="Y242" s="390">
        <f>Requisitions_Tracker[[#This Row],[Unit Price]]*Requisitions_Tracker[[#This Row],[Quantity]]</f>
        <v>0</v>
      </c>
    </row>
    <row r="243" spans="1:25" ht="30" x14ac:dyDescent="0.25">
      <c r="A243" s="382" t="s">
        <v>7902</v>
      </c>
      <c r="B243" s="91" t="s">
        <v>604</v>
      </c>
      <c r="C243" s="91" t="s">
        <v>2</v>
      </c>
      <c r="D243" s="383">
        <v>1012573</v>
      </c>
      <c r="E243" s="384">
        <v>11059890</v>
      </c>
      <c r="F243" s="91" t="s">
        <v>605</v>
      </c>
      <c r="G243" s="91" t="s">
        <v>37</v>
      </c>
      <c r="H243" s="385" t="s">
        <v>784</v>
      </c>
      <c r="I243" s="91" t="s">
        <v>472</v>
      </c>
      <c r="J243" s="92" t="s">
        <v>556</v>
      </c>
      <c r="K243" s="383">
        <v>1</v>
      </c>
      <c r="L243" s="91" t="s">
        <v>321</v>
      </c>
      <c r="M243" s="519" t="s">
        <v>7863</v>
      </c>
      <c r="N243" s="385"/>
      <c r="O243" s="386" t="s">
        <v>607</v>
      </c>
      <c r="P243" s="387" t="str">
        <f>Requisitions_Tracker[[#This Row],[ConOps Contact]]</f>
        <v>Ryan Pattermann</v>
      </c>
      <c r="Q243" s="387">
        <v>6266</v>
      </c>
      <c r="R243" s="388">
        <v>45139</v>
      </c>
      <c r="S243" s="388">
        <v>45201</v>
      </c>
      <c r="T243" s="385"/>
      <c r="U243" s="388"/>
      <c r="V243" s="388"/>
      <c r="W243" s="385"/>
      <c r="X243" s="389"/>
      <c r="Y243" s="390">
        <f>Requisitions_Tracker[[#This Row],[Unit Price]]*Requisitions_Tracker[[#This Row],[Quantity]]</f>
        <v>0</v>
      </c>
    </row>
    <row r="244" spans="1:25" x14ac:dyDescent="0.25">
      <c r="A244" s="382" t="s">
        <v>7902</v>
      </c>
      <c r="B244" s="91" t="s">
        <v>445</v>
      </c>
      <c r="C244" s="91" t="s">
        <v>2</v>
      </c>
      <c r="D244" s="383">
        <v>1011925</v>
      </c>
      <c r="E244" s="384">
        <v>11058963</v>
      </c>
      <c r="F244" s="91" t="s">
        <v>615</v>
      </c>
      <c r="G244" s="91" t="s">
        <v>34</v>
      </c>
      <c r="H244" s="385" t="s">
        <v>752</v>
      </c>
      <c r="I244" s="91" t="s">
        <v>247</v>
      </c>
      <c r="J244" s="92" t="s">
        <v>616</v>
      </c>
      <c r="K244" s="392">
        <v>1</v>
      </c>
      <c r="L244" s="91" t="s">
        <v>321</v>
      </c>
      <c r="M244" s="519" t="s">
        <v>7863</v>
      </c>
      <c r="N244" s="385"/>
      <c r="O244" s="386" t="s">
        <v>617</v>
      </c>
      <c r="P244" s="387" t="str">
        <f>Requisitions_Tracker[[#This Row],[ConOps Contact]]</f>
        <v>Joe Gaca</v>
      </c>
      <c r="Q244" s="387">
        <v>6728</v>
      </c>
      <c r="R244" s="388">
        <v>45152</v>
      </c>
      <c r="S244" s="388">
        <v>45184</v>
      </c>
      <c r="T244" s="385"/>
      <c r="U244" s="388"/>
      <c r="V244" s="388"/>
      <c r="W244" s="385"/>
      <c r="X244" s="389"/>
      <c r="Y244" s="390">
        <f>Requisitions_Tracker[[#This Row],[Unit Price]]*Requisitions_Tracker[[#This Row],[Quantity]]</f>
        <v>0</v>
      </c>
    </row>
    <row r="245" spans="1:25" ht="60" x14ac:dyDescent="0.25">
      <c r="A245" s="382" t="s">
        <v>7902</v>
      </c>
      <c r="B245" s="91" t="s">
        <v>445</v>
      </c>
      <c r="C245" s="91" t="s">
        <v>2</v>
      </c>
      <c r="D245" s="383">
        <v>1011925</v>
      </c>
      <c r="E245" s="384">
        <v>11058963</v>
      </c>
      <c r="F245" s="91" t="s">
        <v>615</v>
      </c>
      <c r="G245" s="91" t="s">
        <v>34</v>
      </c>
      <c r="H245" s="385" t="s">
        <v>752</v>
      </c>
      <c r="I245" s="91" t="s">
        <v>247</v>
      </c>
      <c r="J245" s="92" t="s">
        <v>619</v>
      </c>
      <c r="K245" s="392">
        <v>1</v>
      </c>
      <c r="L245" s="91" t="s">
        <v>321</v>
      </c>
      <c r="M245" s="519" t="s">
        <v>7863</v>
      </c>
      <c r="N245" s="385"/>
      <c r="O245" s="386" t="s">
        <v>617</v>
      </c>
      <c r="P245" s="387" t="str">
        <f>Requisitions_Tracker[[#This Row],[ConOps Contact]]</f>
        <v>Joe Gaca</v>
      </c>
      <c r="Q245" s="387">
        <v>6728</v>
      </c>
      <c r="R245" s="388">
        <v>45152</v>
      </c>
      <c r="S245" s="388">
        <v>45184</v>
      </c>
      <c r="T245" s="385"/>
      <c r="U245" s="388"/>
      <c r="V245" s="388"/>
      <c r="W245" s="385"/>
      <c r="X245" s="389"/>
      <c r="Y245" s="390">
        <f>Requisitions_Tracker[[#This Row],[Unit Price]]*Requisitions_Tracker[[#This Row],[Quantity]]</f>
        <v>0</v>
      </c>
    </row>
    <row r="246" spans="1:25" ht="30" x14ac:dyDescent="0.25">
      <c r="A246" s="382" t="s">
        <v>7902</v>
      </c>
      <c r="B246" s="91" t="s">
        <v>445</v>
      </c>
      <c r="C246" s="91" t="s">
        <v>2</v>
      </c>
      <c r="D246" s="383">
        <v>1011925</v>
      </c>
      <c r="E246" s="384">
        <v>11058963</v>
      </c>
      <c r="F246" s="91" t="s">
        <v>615</v>
      </c>
      <c r="G246" s="91" t="s">
        <v>34</v>
      </c>
      <c r="H246" s="385" t="s">
        <v>752</v>
      </c>
      <c r="I246" s="91" t="s">
        <v>247</v>
      </c>
      <c r="J246" s="92" t="s">
        <v>620</v>
      </c>
      <c r="K246" s="392">
        <v>40</v>
      </c>
      <c r="L246" s="91" t="s">
        <v>63</v>
      </c>
      <c r="M246" s="519" t="s">
        <v>7863</v>
      </c>
      <c r="N246" s="385"/>
      <c r="O246" s="386" t="s">
        <v>617</v>
      </c>
      <c r="P246" s="387" t="str">
        <f>Requisitions_Tracker[[#This Row],[ConOps Contact]]</f>
        <v>Joe Gaca</v>
      </c>
      <c r="Q246" s="387">
        <v>6728</v>
      </c>
      <c r="R246" s="388">
        <v>45152</v>
      </c>
      <c r="S246" s="388">
        <v>45184</v>
      </c>
      <c r="T246" s="385"/>
      <c r="U246" s="388"/>
      <c r="V246" s="388"/>
      <c r="W246" s="385"/>
      <c r="X246" s="389"/>
      <c r="Y246" s="390">
        <f>Requisitions_Tracker[[#This Row],[Unit Price]]*Requisitions_Tracker[[#This Row],[Quantity]]</f>
        <v>0</v>
      </c>
    </row>
    <row r="247" spans="1:25" x14ac:dyDescent="0.25">
      <c r="A247" s="382" t="s">
        <v>7902</v>
      </c>
      <c r="B247" s="91" t="s">
        <v>445</v>
      </c>
      <c r="C247" s="91" t="s">
        <v>2</v>
      </c>
      <c r="D247" s="383">
        <v>1011925</v>
      </c>
      <c r="E247" s="384">
        <v>11058963</v>
      </c>
      <c r="F247" s="91" t="s">
        <v>615</v>
      </c>
      <c r="G247" s="91" t="s">
        <v>34</v>
      </c>
      <c r="H247" s="385" t="s">
        <v>752</v>
      </c>
      <c r="I247" s="91" t="s">
        <v>247</v>
      </c>
      <c r="J247" s="92" t="s">
        <v>548</v>
      </c>
      <c r="K247" s="392">
        <v>2</v>
      </c>
      <c r="L247" s="91" t="s">
        <v>321</v>
      </c>
      <c r="M247" s="519" t="s">
        <v>7863</v>
      </c>
      <c r="N247" s="385"/>
      <c r="O247" s="386" t="s">
        <v>617</v>
      </c>
      <c r="P247" s="387" t="str">
        <f>Requisitions_Tracker[[#This Row],[ConOps Contact]]</f>
        <v>Joe Gaca</v>
      </c>
      <c r="Q247" s="387">
        <v>6728</v>
      </c>
      <c r="R247" s="388">
        <v>45152</v>
      </c>
      <c r="S247" s="388">
        <v>45184</v>
      </c>
      <c r="T247" s="385"/>
      <c r="U247" s="388"/>
      <c r="V247" s="388"/>
      <c r="W247" s="385"/>
      <c r="X247" s="389"/>
      <c r="Y247" s="390">
        <f>Requisitions_Tracker[[#This Row],[Unit Price]]*Requisitions_Tracker[[#This Row],[Quantity]]</f>
        <v>0</v>
      </c>
    </row>
    <row r="248" spans="1:25" ht="30" x14ac:dyDescent="0.25">
      <c r="A248" s="382" t="s">
        <v>7902</v>
      </c>
      <c r="B248" s="91" t="s">
        <v>445</v>
      </c>
      <c r="C248" s="91" t="s">
        <v>2</v>
      </c>
      <c r="D248" s="383">
        <v>1011925</v>
      </c>
      <c r="E248" s="384">
        <v>11058963</v>
      </c>
      <c r="F248" s="91" t="s">
        <v>615</v>
      </c>
      <c r="G248" s="91" t="s">
        <v>34</v>
      </c>
      <c r="H248" s="385" t="s">
        <v>752</v>
      </c>
      <c r="I248" s="91" t="s">
        <v>247</v>
      </c>
      <c r="J248" s="92" t="s">
        <v>621</v>
      </c>
      <c r="K248" s="392">
        <v>2</v>
      </c>
      <c r="L248" s="91" t="s">
        <v>321</v>
      </c>
      <c r="M248" s="519" t="s">
        <v>7863</v>
      </c>
      <c r="N248" s="385"/>
      <c r="O248" s="386" t="s">
        <v>617</v>
      </c>
      <c r="P248" s="387" t="str">
        <f>Requisitions_Tracker[[#This Row],[ConOps Contact]]</f>
        <v>Joe Gaca</v>
      </c>
      <c r="Q248" s="387">
        <v>6728</v>
      </c>
      <c r="R248" s="388">
        <v>45152</v>
      </c>
      <c r="S248" s="388">
        <v>45184</v>
      </c>
      <c r="T248" s="385"/>
      <c r="U248" s="388"/>
      <c r="V248" s="388"/>
      <c r="W248" s="385"/>
      <c r="X248" s="389"/>
      <c r="Y248" s="390">
        <f>Requisitions_Tracker[[#This Row],[Unit Price]]*Requisitions_Tracker[[#This Row],[Quantity]]</f>
        <v>0</v>
      </c>
    </row>
    <row r="249" spans="1:25" ht="30" x14ac:dyDescent="0.25">
      <c r="A249" s="382" t="s">
        <v>7902</v>
      </c>
      <c r="B249" s="91" t="s">
        <v>445</v>
      </c>
      <c r="C249" s="91" t="s">
        <v>2</v>
      </c>
      <c r="D249" s="383">
        <v>1011925</v>
      </c>
      <c r="E249" s="384">
        <v>11058963</v>
      </c>
      <c r="F249" s="91" t="s">
        <v>615</v>
      </c>
      <c r="G249" s="91" t="s">
        <v>34</v>
      </c>
      <c r="H249" s="385" t="s">
        <v>752</v>
      </c>
      <c r="I249" s="91" t="s">
        <v>247</v>
      </c>
      <c r="J249" s="92" t="s">
        <v>611</v>
      </c>
      <c r="K249" s="392">
        <v>2</v>
      </c>
      <c r="L249" s="91" t="s">
        <v>321</v>
      </c>
      <c r="M249" s="519" t="s">
        <v>7863</v>
      </c>
      <c r="N249" s="385"/>
      <c r="O249" s="386" t="s">
        <v>617</v>
      </c>
      <c r="P249" s="387" t="str">
        <f>Requisitions_Tracker[[#This Row],[ConOps Contact]]</f>
        <v>Joe Gaca</v>
      </c>
      <c r="Q249" s="387">
        <v>6728</v>
      </c>
      <c r="R249" s="388">
        <v>45152</v>
      </c>
      <c r="S249" s="388">
        <v>45184</v>
      </c>
      <c r="T249" s="385"/>
      <c r="U249" s="388"/>
      <c r="V249" s="388"/>
      <c r="W249" s="385"/>
      <c r="X249" s="389"/>
      <c r="Y249" s="390">
        <f>Requisitions_Tracker[[#This Row],[Unit Price]]*Requisitions_Tracker[[#This Row],[Quantity]]</f>
        <v>0</v>
      </c>
    </row>
    <row r="250" spans="1:25" x14ac:dyDescent="0.25">
      <c r="A250" s="382" t="s">
        <v>7902</v>
      </c>
      <c r="B250" s="91" t="s">
        <v>445</v>
      </c>
      <c r="C250" s="91" t="s">
        <v>2</v>
      </c>
      <c r="D250" s="383">
        <v>1011925</v>
      </c>
      <c r="E250" s="384">
        <v>11058963</v>
      </c>
      <c r="F250" s="91" t="s">
        <v>615</v>
      </c>
      <c r="G250" s="91" t="s">
        <v>34</v>
      </c>
      <c r="H250" s="385" t="s">
        <v>752</v>
      </c>
      <c r="I250" s="91" t="s">
        <v>247</v>
      </c>
      <c r="J250" s="92" t="s">
        <v>622</v>
      </c>
      <c r="K250" s="392">
        <v>2</v>
      </c>
      <c r="L250" s="91" t="s">
        <v>321</v>
      </c>
      <c r="M250" s="519" t="s">
        <v>7863</v>
      </c>
      <c r="N250" s="385"/>
      <c r="O250" s="386" t="s">
        <v>617</v>
      </c>
      <c r="P250" s="387" t="str">
        <f>Requisitions_Tracker[[#This Row],[ConOps Contact]]</f>
        <v>Joe Gaca</v>
      </c>
      <c r="Q250" s="387">
        <v>6728</v>
      </c>
      <c r="R250" s="388">
        <v>45152</v>
      </c>
      <c r="S250" s="388">
        <v>45184</v>
      </c>
      <c r="T250" s="385"/>
      <c r="U250" s="388"/>
      <c r="V250" s="388"/>
      <c r="W250" s="385"/>
      <c r="X250" s="389"/>
      <c r="Y250" s="390">
        <f>Requisitions_Tracker[[#This Row],[Unit Price]]*Requisitions_Tracker[[#This Row],[Quantity]]</f>
        <v>0</v>
      </c>
    </row>
    <row r="251" spans="1:25" ht="30" x14ac:dyDescent="0.25">
      <c r="A251" s="382" t="s">
        <v>7902</v>
      </c>
      <c r="B251" s="91" t="s">
        <v>445</v>
      </c>
      <c r="C251" s="91" t="s">
        <v>2</v>
      </c>
      <c r="D251" s="383">
        <v>1011925</v>
      </c>
      <c r="E251" s="384">
        <v>11058963</v>
      </c>
      <c r="F251" s="91" t="s">
        <v>615</v>
      </c>
      <c r="G251" s="91" t="s">
        <v>34</v>
      </c>
      <c r="H251" s="385" t="s">
        <v>752</v>
      </c>
      <c r="I251" s="91" t="s">
        <v>247</v>
      </c>
      <c r="J251" s="92" t="s">
        <v>623</v>
      </c>
      <c r="K251" s="392">
        <v>1</v>
      </c>
      <c r="L251" s="91" t="s">
        <v>321</v>
      </c>
      <c r="M251" s="519" t="s">
        <v>7863</v>
      </c>
      <c r="N251" s="385"/>
      <c r="O251" s="386" t="s">
        <v>617</v>
      </c>
      <c r="P251" s="387" t="str">
        <f>Requisitions_Tracker[[#This Row],[ConOps Contact]]</f>
        <v>Joe Gaca</v>
      </c>
      <c r="Q251" s="387">
        <v>6728</v>
      </c>
      <c r="R251" s="388">
        <v>45152</v>
      </c>
      <c r="S251" s="388">
        <v>45184</v>
      </c>
      <c r="T251" s="385"/>
      <c r="U251" s="388"/>
      <c r="V251" s="388"/>
      <c r="W251" s="385"/>
      <c r="X251" s="389"/>
      <c r="Y251" s="390">
        <f>Requisitions_Tracker[[#This Row],[Unit Price]]*Requisitions_Tracker[[#This Row],[Quantity]]</f>
        <v>0</v>
      </c>
    </row>
    <row r="252" spans="1:25" ht="30" x14ac:dyDescent="0.25">
      <c r="A252" s="382" t="s">
        <v>7902</v>
      </c>
      <c r="B252" s="91" t="s">
        <v>445</v>
      </c>
      <c r="C252" s="91" t="s">
        <v>2</v>
      </c>
      <c r="D252" s="383">
        <v>1011925</v>
      </c>
      <c r="E252" s="384">
        <v>11058963</v>
      </c>
      <c r="F252" s="91" t="s">
        <v>615</v>
      </c>
      <c r="G252" s="91" t="s">
        <v>34</v>
      </c>
      <c r="H252" s="385" t="s">
        <v>752</v>
      </c>
      <c r="I252" s="91" t="s">
        <v>247</v>
      </c>
      <c r="J252" s="92" t="s">
        <v>613</v>
      </c>
      <c r="K252" s="392">
        <v>4</v>
      </c>
      <c r="L252" s="91" t="s">
        <v>321</v>
      </c>
      <c r="M252" s="519" t="s">
        <v>7863</v>
      </c>
      <c r="N252" s="385"/>
      <c r="O252" s="386" t="s">
        <v>617</v>
      </c>
      <c r="P252" s="387" t="str">
        <f>Requisitions_Tracker[[#This Row],[ConOps Contact]]</f>
        <v>Joe Gaca</v>
      </c>
      <c r="Q252" s="387">
        <v>6728</v>
      </c>
      <c r="R252" s="388">
        <v>45152</v>
      </c>
      <c r="S252" s="388">
        <v>45184</v>
      </c>
      <c r="T252" s="385"/>
      <c r="U252" s="388"/>
      <c r="V252" s="388"/>
      <c r="W252" s="385"/>
      <c r="X252" s="389"/>
      <c r="Y252" s="390">
        <f>Requisitions_Tracker[[#This Row],[Unit Price]]*Requisitions_Tracker[[#This Row],[Quantity]]</f>
        <v>0</v>
      </c>
    </row>
    <row r="253" spans="1:25" ht="75" x14ac:dyDescent="0.25">
      <c r="A253" s="382" t="s">
        <v>7902</v>
      </c>
      <c r="B253" s="91" t="s">
        <v>445</v>
      </c>
      <c r="C253" s="91" t="s">
        <v>2</v>
      </c>
      <c r="D253" s="383">
        <v>1011925</v>
      </c>
      <c r="E253" s="384">
        <v>11058963</v>
      </c>
      <c r="F253" s="91" t="s">
        <v>615</v>
      </c>
      <c r="G253" s="91" t="s">
        <v>34</v>
      </c>
      <c r="H253" s="385" t="s">
        <v>752</v>
      </c>
      <c r="I253" s="91" t="s">
        <v>247</v>
      </c>
      <c r="J253" s="92" t="s">
        <v>624</v>
      </c>
      <c r="K253" s="392">
        <v>1</v>
      </c>
      <c r="L253" s="91" t="s">
        <v>321</v>
      </c>
      <c r="M253" s="519" t="s">
        <v>7863</v>
      </c>
      <c r="N253" s="385"/>
      <c r="O253" s="386" t="s">
        <v>617</v>
      </c>
      <c r="P253" s="387" t="str">
        <f>Requisitions_Tracker[[#This Row],[ConOps Contact]]</f>
        <v>Joe Gaca</v>
      </c>
      <c r="Q253" s="387">
        <v>6728</v>
      </c>
      <c r="R253" s="388">
        <v>45152</v>
      </c>
      <c r="S253" s="388">
        <v>45184</v>
      </c>
      <c r="T253" s="385"/>
      <c r="U253" s="388"/>
      <c r="V253" s="388"/>
      <c r="W253" s="385"/>
      <c r="X253" s="389"/>
      <c r="Y253" s="390">
        <f>Requisitions_Tracker[[#This Row],[Unit Price]]*Requisitions_Tracker[[#This Row],[Quantity]]</f>
        <v>0</v>
      </c>
    </row>
    <row r="254" spans="1:25" ht="75" x14ac:dyDescent="0.25">
      <c r="A254" s="382" t="s">
        <v>7902</v>
      </c>
      <c r="B254" s="91" t="s">
        <v>445</v>
      </c>
      <c r="C254" s="91" t="s">
        <v>2</v>
      </c>
      <c r="D254" s="383">
        <v>1011925</v>
      </c>
      <c r="E254" s="384">
        <v>11058963</v>
      </c>
      <c r="F254" s="91" t="s">
        <v>615</v>
      </c>
      <c r="G254" s="91" t="s">
        <v>34</v>
      </c>
      <c r="H254" s="385" t="s">
        <v>752</v>
      </c>
      <c r="I254" s="91" t="s">
        <v>247</v>
      </c>
      <c r="J254" s="92" t="s">
        <v>625</v>
      </c>
      <c r="K254" s="392">
        <v>1</v>
      </c>
      <c r="L254" s="91" t="s">
        <v>321</v>
      </c>
      <c r="M254" s="519" t="s">
        <v>7863</v>
      </c>
      <c r="N254" s="385"/>
      <c r="O254" s="386" t="s">
        <v>617</v>
      </c>
      <c r="P254" s="387" t="str">
        <f>Requisitions_Tracker[[#This Row],[ConOps Contact]]</f>
        <v>Joe Gaca</v>
      </c>
      <c r="Q254" s="387">
        <v>6728</v>
      </c>
      <c r="R254" s="388">
        <v>45152</v>
      </c>
      <c r="S254" s="388">
        <v>45184</v>
      </c>
      <c r="T254" s="385"/>
      <c r="U254" s="388"/>
      <c r="V254" s="388"/>
      <c r="W254" s="385"/>
      <c r="X254" s="389"/>
      <c r="Y254" s="390">
        <f>Requisitions_Tracker[[#This Row],[Unit Price]]*Requisitions_Tracker[[#This Row],[Quantity]]</f>
        <v>0</v>
      </c>
    </row>
    <row r="255" spans="1:25" ht="30" x14ac:dyDescent="0.25">
      <c r="A255" s="382" t="s">
        <v>7902</v>
      </c>
      <c r="B255" s="91" t="s">
        <v>445</v>
      </c>
      <c r="C255" s="91" t="s">
        <v>2</v>
      </c>
      <c r="D255" s="383">
        <v>1011925</v>
      </c>
      <c r="E255" s="384">
        <v>11058963</v>
      </c>
      <c r="F255" s="91" t="s">
        <v>615</v>
      </c>
      <c r="G255" s="91" t="s">
        <v>34</v>
      </c>
      <c r="H255" s="385" t="s">
        <v>752</v>
      </c>
      <c r="I255" s="91" t="s">
        <v>247</v>
      </c>
      <c r="J255" s="92" t="s">
        <v>626</v>
      </c>
      <c r="K255" s="392">
        <v>1</v>
      </c>
      <c r="L255" s="91" t="s">
        <v>321</v>
      </c>
      <c r="M255" s="519" t="s">
        <v>7863</v>
      </c>
      <c r="N255" s="385"/>
      <c r="O255" s="386" t="s">
        <v>617</v>
      </c>
      <c r="P255" s="387" t="str">
        <f>Requisitions_Tracker[[#This Row],[ConOps Contact]]</f>
        <v>Joe Gaca</v>
      </c>
      <c r="Q255" s="387">
        <v>6728</v>
      </c>
      <c r="R255" s="388">
        <v>45152</v>
      </c>
      <c r="S255" s="388">
        <v>45184</v>
      </c>
      <c r="T255" s="385"/>
      <c r="U255" s="388"/>
      <c r="V255" s="388"/>
      <c r="W255" s="385"/>
      <c r="X255" s="389"/>
      <c r="Y255" s="390">
        <f>Requisitions_Tracker[[#This Row],[Unit Price]]*Requisitions_Tracker[[#This Row],[Quantity]]</f>
        <v>0</v>
      </c>
    </row>
    <row r="256" spans="1:25" x14ac:dyDescent="0.25">
      <c r="A256" s="382" t="s">
        <v>7902</v>
      </c>
      <c r="B256" s="91" t="s">
        <v>445</v>
      </c>
      <c r="C256" s="91" t="s">
        <v>2</v>
      </c>
      <c r="D256" s="383">
        <v>1011925</v>
      </c>
      <c r="E256" s="384">
        <v>11058963</v>
      </c>
      <c r="F256" s="91" t="s">
        <v>615</v>
      </c>
      <c r="G256" s="91" t="s">
        <v>34</v>
      </c>
      <c r="H256" s="385" t="s">
        <v>752</v>
      </c>
      <c r="I256" s="91" t="s">
        <v>247</v>
      </c>
      <c r="J256" s="92" t="s">
        <v>627</v>
      </c>
      <c r="K256" s="392">
        <v>1</v>
      </c>
      <c r="L256" s="91" t="s">
        <v>321</v>
      </c>
      <c r="M256" s="519" t="s">
        <v>7863</v>
      </c>
      <c r="N256" s="385"/>
      <c r="O256" s="386" t="s">
        <v>617</v>
      </c>
      <c r="P256" s="387" t="str">
        <f>Requisitions_Tracker[[#This Row],[ConOps Contact]]</f>
        <v>Joe Gaca</v>
      </c>
      <c r="Q256" s="387">
        <v>6728</v>
      </c>
      <c r="R256" s="388">
        <v>45152</v>
      </c>
      <c r="S256" s="388">
        <v>45184</v>
      </c>
      <c r="T256" s="385"/>
      <c r="U256" s="388"/>
      <c r="V256" s="388"/>
      <c r="W256" s="385"/>
      <c r="X256" s="389"/>
      <c r="Y256" s="390">
        <f>Requisitions_Tracker[[#This Row],[Unit Price]]*Requisitions_Tracker[[#This Row],[Quantity]]</f>
        <v>0</v>
      </c>
    </row>
    <row r="257" spans="1:25" ht="30" x14ac:dyDescent="0.25">
      <c r="A257" s="382" t="s">
        <v>7902</v>
      </c>
      <c r="B257" s="91" t="s">
        <v>445</v>
      </c>
      <c r="C257" s="91" t="s">
        <v>2</v>
      </c>
      <c r="D257" s="383">
        <v>1011925</v>
      </c>
      <c r="E257" s="384">
        <v>11058963</v>
      </c>
      <c r="F257" s="91" t="s">
        <v>615</v>
      </c>
      <c r="G257" s="91" t="s">
        <v>34</v>
      </c>
      <c r="H257" s="385" t="s">
        <v>752</v>
      </c>
      <c r="I257" s="91" t="s">
        <v>247</v>
      </c>
      <c r="J257" s="92" t="s">
        <v>628</v>
      </c>
      <c r="K257" s="392">
        <v>1</v>
      </c>
      <c r="L257" s="91" t="s">
        <v>321</v>
      </c>
      <c r="M257" s="519" t="s">
        <v>7863</v>
      </c>
      <c r="N257" s="385"/>
      <c r="O257" s="386" t="s">
        <v>617</v>
      </c>
      <c r="P257" s="387" t="str">
        <f>Requisitions_Tracker[[#This Row],[ConOps Contact]]</f>
        <v>Joe Gaca</v>
      </c>
      <c r="Q257" s="387">
        <v>6728</v>
      </c>
      <c r="R257" s="388">
        <v>45152</v>
      </c>
      <c r="S257" s="388">
        <v>45184</v>
      </c>
      <c r="T257" s="385"/>
      <c r="U257" s="388"/>
      <c r="V257" s="388"/>
      <c r="W257" s="385"/>
      <c r="X257" s="389"/>
      <c r="Y257" s="390">
        <f>Requisitions_Tracker[[#This Row],[Unit Price]]*Requisitions_Tracker[[#This Row],[Quantity]]</f>
        <v>0</v>
      </c>
    </row>
    <row r="258" spans="1:25" ht="30" x14ac:dyDescent="0.25">
      <c r="A258" s="382" t="s">
        <v>7902</v>
      </c>
      <c r="B258" s="91" t="s">
        <v>445</v>
      </c>
      <c r="C258" s="91" t="s">
        <v>2</v>
      </c>
      <c r="D258" s="383">
        <v>1011925</v>
      </c>
      <c r="E258" s="384">
        <v>11058963</v>
      </c>
      <c r="F258" s="91" t="s">
        <v>615</v>
      </c>
      <c r="G258" s="91" t="s">
        <v>34</v>
      </c>
      <c r="H258" s="385" t="s">
        <v>752</v>
      </c>
      <c r="I258" s="91" t="s">
        <v>247</v>
      </c>
      <c r="J258" s="92" t="s">
        <v>629</v>
      </c>
      <c r="K258" s="392">
        <v>2</v>
      </c>
      <c r="L258" s="91" t="s">
        <v>321</v>
      </c>
      <c r="M258" s="519" t="s">
        <v>7863</v>
      </c>
      <c r="N258" s="385"/>
      <c r="O258" s="386" t="s">
        <v>617</v>
      </c>
      <c r="P258" s="387" t="str">
        <f>Requisitions_Tracker[[#This Row],[ConOps Contact]]</f>
        <v>Joe Gaca</v>
      </c>
      <c r="Q258" s="387">
        <v>6728</v>
      </c>
      <c r="R258" s="388">
        <v>45152</v>
      </c>
      <c r="S258" s="388">
        <v>45184</v>
      </c>
      <c r="T258" s="385"/>
      <c r="U258" s="388"/>
      <c r="V258" s="388"/>
      <c r="W258" s="385"/>
      <c r="X258" s="389"/>
      <c r="Y258" s="390">
        <f>Requisitions_Tracker[[#This Row],[Unit Price]]*Requisitions_Tracker[[#This Row],[Quantity]]</f>
        <v>0</v>
      </c>
    </row>
    <row r="259" spans="1:25" x14ac:dyDescent="0.25">
      <c r="A259" s="382" t="s">
        <v>7902</v>
      </c>
      <c r="B259" s="91" t="s">
        <v>445</v>
      </c>
      <c r="C259" s="91" t="s">
        <v>2</v>
      </c>
      <c r="D259" s="383">
        <v>1011925</v>
      </c>
      <c r="E259" s="384">
        <v>11058963</v>
      </c>
      <c r="F259" s="91" t="s">
        <v>615</v>
      </c>
      <c r="G259" s="91" t="s">
        <v>34</v>
      </c>
      <c r="H259" s="385" t="s">
        <v>752</v>
      </c>
      <c r="I259" s="91" t="s">
        <v>247</v>
      </c>
      <c r="J259" s="92" t="s">
        <v>630</v>
      </c>
      <c r="K259" s="392">
        <v>1</v>
      </c>
      <c r="L259" s="91" t="s">
        <v>321</v>
      </c>
      <c r="M259" s="519" t="s">
        <v>7863</v>
      </c>
      <c r="N259" s="385"/>
      <c r="O259" s="386" t="s">
        <v>617</v>
      </c>
      <c r="P259" s="387" t="str">
        <f>Requisitions_Tracker[[#This Row],[ConOps Contact]]</f>
        <v>Joe Gaca</v>
      </c>
      <c r="Q259" s="387">
        <v>6728</v>
      </c>
      <c r="R259" s="388">
        <v>45152</v>
      </c>
      <c r="S259" s="388">
        <v>45184</v>
      </c>
      <c r="T259" s="385"/>
      <c r="U259" s="388"/>
      <c r="V259" s="388"/>
      <c r="W259" s="385"/>
      <c r="X259" s="389"/>
      <c r="Y259" s="390">
        <f>Requisitions_Tracker[[#This Row],[Unit Price]]*Requisitions_Tracker[[#This Row],[Quantity]]</f>
        <v>0</v>
      </c>
    </row>
    <row r="260" spans="1:25" ht="30" x14ac:dyDescent="0.25">
      <c r="A260" s="382" t="s">
        <v>7902</v>
      </c>
      <c r="B260" s="91" t="s">
        <v>224</v>
      </c>
      <c r="C260" s="91" t="s">
        <v>2</v>
      </c>
      <c r="D260" s="383">
        <v>102083</v>
      </c>
      <c r="E260" s="384">
        <v>11015976</v>
      </c>
      <c r="F260" s="91" t="s">
        <v>631</v>
      </c>
      <c r="G260" s="91" t="s">
        <v>34</v>
      </c>
      <c r="H260" s="385" t="s">
        <v>738</v>
      </c>
      <c r="I260" s="91" t="s">
        <v>465</v>
      </c>
      <c r="J260" s="92" t="s">
        <v>632</v>
      </c>
      <c r="K260" s="392">
        <v>440</v>
      </c>
      <c r="L260" s="91" t="s">
        <v>63</v>
      </c>
      <c r="M260" s="519" t="s">
        <v>7863</v>
      </c>
      <c r="N260" s="385"/>
      <c r="O260" s="386" t="s">
        <v>633</v>
      </c>
      <c r="P260" s="387" t="str">
        <f>Requisitions_Tracker[[#This Row],[ConOps Contact]]</f>
        <v>Jaime Manzanares</v>
      </c>
      <c r="Q260" s="387">
        <v>6732</v>
      </c>
      <c r="R260" s="388">
        <v>45152</v>
      </c>
      <c r="S260" s="388">
        <v>45184</v>
      </c>
      <c r="T260" s="385"/>
      <c r="U260" s="388"/>
      <c r="V260" s="388"/>
      <c r="W260" s="385"/>
      <c r="X260" s="389"/>
      <c r="Y260" s="390">
        <f>Requisitions_Tracker[[#This Row],[Unit Price]]*Requisitions_Tracker[[#This Row],[Quantity]]</f>
        <v>0</v>
      </c>
    </row>
    <row r="261" spans="1:25" ht="30" x14ac:dyDescent="0.25">
      <c r="A261" s="382" t="s">
        <v>7902</v>
      </c>
      <c r="B261" s="91" t="s">
        <v>224</v>
      </c>
      <c r="C261" s="91" t="s">
        <v>2</v>
      </c>
      <c r="D261" s="383">
        <v>102083</v>
      </c>
      <c r="E261" s="384">
        <v>11015976</v>
      </c>
      <c r="F261" s="91" t="s">
        <v>631</v>
      </c>
      <c r="G261" s="91" t="s">
        <v>34</v>
      </c>
      <c r="H261" s="385" t="s">
        <v>738</v>
      </c>
      <c r="I261" s="91" t="s">
        <v>465</v>
      </c>
      <c r="J261" s="92" t="s">
        <v>635</v>
      </c>
      <c r="K261" s="392">
        <v>120</v>
      </c>
      <c r="L261" s="91" t="s">
        <v>63</v>
      </c>
      <c r="M261" s="519" t="s">
        <v>7863</v>
      </c>
      <c r="N261" s="385"/>
      <c r="O261" s="386" t="s">
        <v>633</v>
      </c>
      <c r="P261" s="387" t="str">
        <f>Requisitions_Tracker[[#This Row],[ConOps Contact]]</f>
        <v>Jaime Manzanares</v>
      </c>
      <c r="Q261" s="387">
        <v>6732</v>
      </c>
      <c r="R261" s="388">
        <v>45152</v>
      </c>
      <c r="S261" s="388">
        <v>45184</v>
      </c>
      <c r="T261" s="385"/>
      <c r="U261" s="388"/>
      <c r="V261" s="388"/>
      <c r="W261" s="385"/>
      <c r="X261" s="389"/>
      <c r="Y261" s="390">
        <f>Requisitions_Tracker[[#This Row],[Unit Price]]*Requisitions_Tracker[[#This Row],[Quantity]]</f>
        <v>0</v>
      </c>
    </row>
    <row r="262" spans="1:25" ht="75" x14ac:dyDescent="0.25">
      <c r="A262" s="382" t="s">
        <v>7902</v>
      </c>
      <c r="B262" s="91" t="s">
        <v>224</v>
      </c>
      <c r="C262" s="91" t="s">
        <v>2</v>
      </c>
      <c r="D262" s="383">
        <v>102083</v>
      </c>
      <c r="E262" s="384">
        <v>11015976</v>
      </c>
      <c r="F262" s="91" t="s">
        <v>631</v>
      </c>
      <c r="G262" s="91" t="s">
        <v>34</v>
      </c>
      <c r="H262" s="385" t="s">
        <v>738</v>
      </c>
      <c r="I262" s="91" t="s">
        <v>465</v>
      </c>
      <c r="J262" s="92" t="s">
        <v>636</v>
      </c>
      <c r="K262" s="392">
        <v>1</v>
      </c>
      <c r="L262" s="91" t="s">
        <v>321</v>
      </c>
      <c r="M262" s="519" t="s">
        <v>7863</v>
      </c>
      <c r="N262" s="385"/>
      <c r="O262" s="386" t="s">
        <v>633</v>
      </c>
      <c r="P262" s="387" t="str">
        <f>Requisitions_Tracker[[#This Row],[ConOps Contact]]</f>
        <v>Jaime Manzanares</v>
      </c>
      <c r="Q262" s="387">
        <v>6732</v>
      </c>
      <c r="R262" s="388">
        <v>45152</v>
      </c>
      <c r="S262" s="388">
        <v>45184</v>
      </c>
      <c r="T262" s="385"/>
      <c r="U262" s="388"/>
      <c r="V262" s="388"/>
      <c r="W262" s="385"/>
      <c r="X262" s="389"/>
      <c r="Y262" s="390">
        <f>Requisitions_Tracker[[#This Row],[Unit Price]]*Requisitions_Tracker[[#This Row],[Quantity]]</f>
        <v>0</v>
      </c>
    </row>
    <row r="263" spans="1:25" ht="60" x14ac:dyDescent="0.25">
      <c r="A263" s="382" t="s">
        <v>7902</v>
      </c>
      <c r="B263" s="91" t="s">
        <v>224</v>
      </c>
      <c r="C263" s="91" t="s">
        <v>2</v>
      </c>
      <c r="D263" s="383">
        <v>102083</v>
      </c>
      <c r="E263" s="384">
        <v>11015976</v>
      </c>
      <c r="F263" s="91" t="s">
        <v>631</v>
      </c>
      <c r="G263" s="91" t="s">
        <v>34</v>
      </c>
      <c r="H263" s="385" t="s">
        <v>738</v>
      </c>
      <c r="I263" s="91" t="s">
        <v>465</v>
      </c>
      <c r="J263" s="92" t="s">
        <v>637</v>
      </c>
      <c r="K263" s="392">
        <v>1</v>
      </c>
      <c r="L263" s="91" t="s">
        <v>321</v>
      </c>
      <c r="M263" s="519" t="s">
        <v>7863</v>
      </c>
      <c r="N263" s="385"/>
      <c r="O263" s="386" t="s">
        <v>633</v>
      </c>
      <c r="P263" s="387" t="str">
        <f>Requisitions_Tracker[[#This Row],[ConOps Contact]]</f>
        <v>Jaime Manzanares</v>
      </c>
      <c r="Q263" s="387">
        <v>6732</v>
      </c>
      <c r="R263" s="388">
        <v>45152</v>
      </c>
      <c r="S263" s="388">
        <v>45184</v>
      </c>
      <c r="T263" s="385"/>
      <c r="U263" s="388"/>
      <c r="V263" s="388"/>
      <c r="W263" s="385"/>
      <c r="X263" s="389"/>
      <c r="Y263" s="390">
        <f>Requisitions_Tracker[[#This Row],[Unit Price]]*Requisitions_Tracker[[#This Row],[Quantity]]</f>
        <v>0</v>
      </c>
    </row>
    <row r="264" spans="1:25" ht="30" x14ac:dyDescent="0.25">
      <c r="A264" s="382" t="s">
        <v>7902</v>
      </c>
      <c r="B264" s="91" t="s">
        <v>224</v>
      </c>
      <c r="C264" s="91" t="s">
        <v>2</v>
      </c>
      <c r="D264" s="383">
        <v>102083</v>
      </c>
      <c r="E264" s="384">
        <v>11015976</v>
      </c>
      <c r="F264" s="91" t="s">
        <v>631</v>
      </c>
      <c r="G264" s="91" t="s">
        <v>34</v>
      </c>
      <c r="H264" s="385" t="s">
        <v>738</v>
      </c>
      <c r="I264" s="91" t="s">
        <v>465</v>
      </c>
      <c r="J264" s="92" t="s">
        <v>638</v>
      </c>
      <c r="K264" s="392">
        <v>40</v>
      </c>
      <c r="L264" s="91" t="s">
        <v>63</v>
      </c>
      <c r="M264" s="519" t="s">
        <v>7863</v>
      </c>
      <c r="N264" s="385"/>
      <c r="O264" s="386" t="s">
        <v>633</v>
      </c>
      <c r="P264" s="387" t="str">
        <f>Requisitions_Tracker[[#This Row],[ConOps Contact]]</f>
        <v>Jaime Manzanares</v>
      </c>
      <c r="Q264" s="387">
        <v>6732</v>
      </c>
      <c r="R264" s="388">
        <v>45152</v>
      </c>
      <c r="S264" s="388">
        <v>45184</v>
      </c>
      <c r="T264" s="385"/>
      <c r="U264" s="388"/>
      <c r="V264" s="388"/>
      <c r="W264" s="385"/>
      <c r="X264" s="389"/>
      <c r="Y264" s="390">
        <f>Requisitions_Tracker[[#This Row],[Unit Price]]*Requisitions_Tracker[[#This Row],[Quantity]]</f>
        <v>0</v>
      </c>
    </row>
    <row r="265" spans="1:25" ht="30" x14ac:dyDescent="0.25">
      <c r="A265" s="382" t="s">
        <v>7902</v>
      </c>
      <c r="B265" s="91" t="s">
        <v>224</v>
      </c>
      <c r="C265" s="91" t="s">
        <v>2</v>
      </c>
      <c r="D265" s="383">
        <v>102083</v>
      </c>
      <c r="E265" s="384">
        <v>11015976</v>
      </c>
      <c r="F265" s="91" t="s">
        <v>631</v>
      </c>
      <c r="G265" s="91" t="s">
        <v>34</v>
      </c>
      <c r="H265" s="385" t="s">
        <v>738</v>
      </c>
      <c r="I265" s="91" t="s">
        <v>465</v>
      </c>
      <c r="J265" s="92" t="s">
        <v>548</v>
      </c>
      <c r="K265" s="392">
        <v>1</v>
      </c>
      <c r="L265" s="91" t="s">
        <v>321</v>
      </c>
      <c r="M265" s="519" t="s">
        <v>7863</v>
      </c>
      <c r="N265" s="385"/>
      <c r="O265" s="386" t="s">
        <v>633</v>
      </c>
      <c r="P265" s="387" t="str">
        <f>Requisitions_Tracker[[#This Row],[ConOps Contact]]</f>
        <v>Jaime Manzanares</v>
      </c>
      <c r="Q265" s="387">
        <v>6732</v>
      </c>
      <c r="R265" s="388">
        <v>45152</v>
      </c>
      <c r="S265" s="388">
        <v>45184</v>
      </c>
      <c r="T265" s="385"/>
      <c r="U265" s="388"/>
      <c r="V265" s="388"/>
      <c r="W265" s="385"/>
      <c r="X265" s="389"/>
      <c r="Y265" s="390">
        <f>Requisitions_Tracker[[#This Row],[Unit Price]]*Requisitions_Tracker[[#This Row],[Quantity]]</f>
        <v>0</v>
      </c>
    </row>
    <row r="266" spans="1:25" ht="30" x14ac:dyDescent="0.25">
      <c r="A266" s="382" t="s">
        <v>7902</v>
      </c>
      <c r="B266" s="91" t="s">
        <v>224</v>
      </c>
      <c r="C266" s="91" t="s">
        <v>2</v>
      </c>
      <c r="D266" s="383">
        <v>102083</v>
      </c>
      <c r="E266" s="384">
        <v>11015976</v>
      </c>
      <c r="F266" s="91" t="s">
        <v>631</v>
      </c>
      <c r="G266" s="91" t="s">
        <v>34</v>
      </c>
      <c r="H266" s="385" t="s">
        <v>738</v>
      </c>
      <c r="I266" s="91" t="s">
        <v>465</v>
      </c>
      <c r="J266" s="92" t="s">
        <v>639</v>
      </c>
      <c r="K266" s="392">
        <v>1</v>
      </c>
      <c r="L266" s="91" t="s">
        <v>321</v>
      </c>
      <c r="M266" s="519" t="s">
        <v>7863</v>
      </c>
      <c r="N266" s="385"/>
      <c r="O266" s="386" t="s">
        <v>633</v>
      </c>
      <c r="P266" s="387" t="str">
        <f>Requisitions_Tracker[[#This Row],[ConOps Contact]]</f>
        <v>Jaime Manzanares</v>
      </c>
      <c r="Q266" s="387">
        <v>6732</v>
      </c>
      <c r="R266" s="388">
        <v>45152</v>
      </c>
      <c r="S266" s="388">
        <v>45184</v>
      </c>
      <c r="T266" s="385"/>
      <c r="U266" s="388"/>
      <c r="V266" s="388"/>
      <c r="W266" s="385"/>
      <c r="X266" s="389"/>
      <c r="Y266" s="390">
        <f>Requisitions_Tracker[[#This Row],[Unit Price]]*Requisitions_Tracker[[#This Row],[Quantity]]</f>
        <v>0</v>
      </c>
    </row>
    <row r="267" spans="1:25" ht="30" x14ac:dyDescent="0.25">
      <c r="A267" s="382" t="s">
        <v>7902</v>
      </c>
      <c r="B267" s="91" t="s">
        <v>224</v>
      </c>
      <c r="C267" s="91" t="s">
        <v>2</v>
      </c>
      <c r="D267" s="383">
        <v>102083</v>
      </c>
      <c r="E267" s="384">
        <v>11015976</v>
      </c>
      <c r="F267" s="91" t="s">
        <v>631</v>
      </c>
      <c r="G267" s="91" t="s">
        <v>34</v>
      </c>
      <c r="H267" s="385" t="s">
        <v>738</v>
      </c>
      <c r="I267" s="91" t="s">
        <v>465</v>
      </c>
      <c r="J267" s="92" t="s">
        <v>611</v>
      </c>
      <c r="K267" s="392">
        <v>1</v>
      </c>
      <c r="L267" s="91" t="s">
        <v>321</v>
      </c>
      <c r="M267" s="519" t="s">
        <v>7863</v>
      </c>
      <c r="N267" s="385"/>
      <c r="O267" s="386" t="s">
        <v>633</v>
      </c>
      <c r="P267" s="387" t="str">
        <f>Requisitions_Tracker[[#This Row],[ConOps Contact]]</f>
        <v>Jaime Manzanares</v>
      </c>
      <c r="Q267" s="387">
        <v>6732</v>
      </c>
      <c r="R267" s="388">
        <v>45152</v>
      </c>
      <c r="S267" s="388">
        <v>45184</v>
      </c>
      <c r="T267" s="385"/>
      <c r="U267" s="388"/>
      <c r="V267" s="388"/>
      <c r="W267" s="385"/>
      <c r="X267" s="389"/>
      <c r="Y267" s="390">
        <f>Requisitions_Tracker[[#This Row],[Unit Price]]*Requisitions_Tracker[[#This Row],[Quantity]]</f>
        <v>0</v>
      </c>
    </row>
    <row r="268" spans="1:25" ht="30" x14ac:dyDescent="0.25">
      <c r="A268" s="382" t="s">
        <v>7902</v>
      </c>
      <c r="B268" s="91" t="s">
        <v>224</v>
      </c>
      <c r="C268" s="91" t="s">
        <v>2</v>
      </c>
      <c r="D268" s="383">
        <v>102083</v>
      </c>
      <c r="E268" s="384">
        <v>11015976</v>
      </c>
      <c r="F268" s="91" t="s">
        <v>631</v>
      </c>
      <c r="G268" s="91" t="s">
        <v>34</v>
      </c>
      <c r="H268" s="385" t="s">
        <v>738</v>
      </c>
      <c r="I268" s="91" t="s">
        <v>465</v>
      </c>
      <c r="J268" s="92" t="s">
        <v>622</v>
      </c>
      <c r="K268" s="392">
        <v>1</v>
      </c>
      <c r="L268" s="91" t="s">
        <v>321</v>
      </c>
      <c r="M268" s="519" t="s">
        <v>7863</v>
      </c>
      <c r="N268" s="385"/>
      <c r="O268" s="386" t="s">
        <v>633</v>
      </c>
      <c r="P268" s="387" t="str">
        <f>Requisitions_Tracker[[#This Row],[ConOps Contact]]</f>
        <v>Jaime Manzanares</v>
      </c>
      <c r="Q268" s="387">
        <v>6732</v>
      </c>
      <c r="R268" s="388">
        <v>45152</v>
      </c>
      <c r="S268" s="388">
        <v>45184</v>
      </c>
      <c r="T268" s="385"/>
      <c r="U268" s="388"/>
      <c r="V268" s="388"/>
      <c r="W268" s="385"/>
      <c r="X268" s="389"/>
      <c r="Y268" s="390">
        <f>Requisitions_Tracker[[#This Row],[Unit Price]]*Requisitions_Tracker[[#This Row],[Quantity]]</f>
        <v>0</v>
      </c>
    </row>
    <row r="269" spans="1:25" ht="30" x14ac:dyDescent="0.25">
      <c r="A269" s="382" t="s">
        <v>7902</v>
      </c>
      <c r="B269" s="91" t="s">
        <v>224</v>
      </c>
      <c r="C269" s="91" t="s">
        <v>2</v>
      </c>
      <c r="D269" s="383">
        <v>102083</v>
      </c>
      <c r="E269" s="384">
        <v>11015976</v>
      </c>
      <c r="F269" s="91" t="s">
        <v>631</v>
      </c>
      <c r="G269" s="91" t="s">
        <v>34</v>
      </c>
      <c r="H269" s="385" t="s">
        <v>738</v>
      </c>
      <c r="I269" s="91" t="s">
        <v>465</v>
      </c>
      <c r="J269" s="92" t="s">
        <v>612</v>
      </c>
      <c r="K269" s="392">
        <v>1</v>
      </c>
      <c r="L269" s="91" t="s">
        <v>321</v>
      </c>
      <c r="M269" s="519" t="s">
        <v>7863</v>
      </c>
      <c r="N269" s="385"/>
      <c r="O269" s="386" t="s">
        <v>633</v>
      </c>
      <c r="P269" s="387" t="str">
        <f>Requisitions_Tracker[[#This Row],[ConOps Contact]]</f>
        <v>Jaime Manzanares</v>
      </c>
      <c r="Q269" s="387">
        <v>6732</v>
      </c>
      <c r="R269" s="388">
        <v>45152</v>
      </c>
      <c r="S269" s="388">
        <v>45184</v>
      </c>
      <c r="T269" s="385"/>
      <c r="U269" s="388"/>
      <c r="V269" s="388"/>
      <c r="W269" s="385"/>
      <c r="X269" s="389"/>
      <c r="Y269" s="390">
        <f>Requisitions_Tracker[[#This Row],[Unit Price]]*Requisitions_Tracker[[#This Row],[Quantity]]</f>
        <v>0</v>
      </c>
    </row>
    <row r="270" spans="1:25" ht="30" x14ac:dyDescent="0.25">
      <c r="A270" s="382" t="s">
        <v>7902</v>
      </c>
      <c r="B270" s="91" t="s">
        <v>224</v>
      </c>
      <c r="C270" s="91" t="s">
        <v>2</v>
      </c>
      <c r="D270" s="383">
        <v>102083</v>
      </c>
      <c r="E270" s="384">
        <v>11015976</v>
      </c>
      <c r="F270" s="91" t="s">
        <v>631</v>
      </c>
      <c r="G270" s="91" t="s">
        <v>34</v>
      </c>
      <c r="H270" s="385" t="s">
        <v>738</v>
      </c>
      <c r="I270" s="91" t="s">
        <v>465</v>
      </c>
      <c r="J270" s="92" t="s">
        <v>613</v>
      </c>
      <c r="K270" s="392">
        <v>1</v>
      </c>
      <c r="L270" s="91" t="s">
        <v>321</v>
      </c>
      <c r="M270" s="519" t="s">
        <v>7863</v>
      </c>
      <c r="N270" s="385"/>
      <c r="O270" s="386" t="s">
        <v>633</v>
      </c>
      <c r="P270" s="387" t="str">
        <f>Requisitions_Tracker[[#This Row],[ConOps Contact]]</f>
        <v>Jaime Manzanares</v>
      </c>
      <c r="Q270" s="387">
        <v>6732</v>
      </c>
      <c r="R270" s="388">
        <v>45152</v>
      </c>
      <c r="S270" s="388">
        <v>45184</v>
      </c>
      <c r="T270" s="385"/>
      <c r="U270" s="388"/>
      <c r="V270" s="388"/>
      <c r="W270" s="385"/>
      <c r="X270" s="389"/>
      <c r="Y270" s="390">
        <f>Requisitions_Tracker[[#This Row],[Unit Price]]*Requisitions_Tracker[[#This Row],[Quantity]]</f>
        <v>0</v>
      </c>
    </row>
    <row r="271" spans="1:25" ht="30" x14ac:dyDescent="0.25">
      <c r="A271" s="382" t="s">
        <v>7902</v>
      </c>
      <c r="B271" s="91" t="s">
        <v>224</v>
      </c>
      <c r="C271" s="91" t="s">
        <v>2</v>
      </c>
      <c r="D271" s="383">
        <v>102083</v>
      </c>
      <c r="E271" s="384">
        <v>11015976</v>
      </c>
      <c r="F271" s="91" t="s">
        <v>631</v>
      </c>
      <c r="G271" s="91" t="s">
        <v>34</v>
      </c>
      <c r="H271" s="385" t="s">
        <v>738</v>
      </c>
      <c r="I271" s="91" t="s">
        <v>465</v>
      </c>
      <c r="J271" s="92" t="s">
        <v>614</v>
      </c>
      <c r="K271" s="392">
        <v>4</v>
      </c>
      <c r="L271" s="91" t="s">
        <v>321</v>
      </c>
      <c r="M271" s="519" t="s">
        <v>7863</v>
      </c>
      <c r="N271" s="385"/>
      <c r="O271" s="386" t="s">
        <v>633</v>
      </c>
      <c r="P271" s="387" t="str">
        <f>Requisitions_Tracker[[#This Row],[ConOps Contact]]</f>
        <v>Jaime Manzanares</v>
      </c>
      <c r="Q271" s="387">
        <v>6732</v>
      </c>
      <c r="R271" s="388">
        <v>45152</v>
      </c>
      <c r="S271" s="388">
        <v>45184</v>
      </c>
      <c r="T271" s="385"/>
      <c r="U271" s="388"/>
      <c r="V271" s="388"/>
      <c r="W271" s="385"/>
      <c r="X271" s="389"/>
      <c r="Y271" s="390">
        <f>Requisitions_Tracker[[#This Row],[Unit Price]]*Requisitions_Tracker[[#This Row],[Quantity]]</f>
        <v>0</v>
      </c>
    </row>
    <row r="272" spans="1:25" ht="30" x14ac:dyDescent="0.25">
      <c r="A272" s="382" t="s">
        <v>7902</v>
      </c>
      <c r="B272" s="91" t="s">
        <v>224</v>
      </c>
      <c r="C272" s="91" t="s">
        <v>2</v>
      </c>
      <c r="D272" s="383">
        <v>102083</v>
      </c>
      <c r="E272" s="384">
        <v>11015976</v>
      </c>
      <c r="F272" s="91" t="s">
        <v>631</v>
      </c>
      <c r="G272" s="91" t="s">
        <v>34</v>
      </c>
      <c r="H272" s="385" t="s">
        <v>738</v>
      </c>
      <c r="I272" s="91" t="s">
        <v>465</v>
      </c>
      <c r="J272" s="92" t="s">
        <v>555</v>
      </c>
      <c r="K272" s="392">
        <v>1</v>
      </c>
      <c r="L272" s="91" t="s">
        <v>321</v>
      </c>
      <c r="M272" s="519" t="s">
        <v>7863</v>
      </c>
      <c r="N272" s="385"/>
      <c r="O272" s="386" t="s">
        <v>633</v>
      </c>
      <c r="P272" s="387" t="str">
        <f>Requisitions_Tracker[[#This Row],[ConOps Contact]]</f>
        <v>Jaime Manzanares</v>
      </c>
      <c r="Q272" s="387">
        <v>6732</v>
      </c>
      <c r="R272" s="388">
        <v>45152</v>
      </c>
      <c r="S272" s="388">
        <v>45184</v>
      </c>
      <c r="T272" s="385"/>
      <c r="U272" s="388"/>
      <c r="V272" s="388"/>
      <c r="W272" s="385"/>
      <c r="X272" s="389"/>
      <c r="Y272" s="390">
        <f>Requisitions_Tracker[[#This Row],[Unit Price]]*Requisitions_Tracker[[#This Row],[Quantity]]</f>
        <v>0</v>
      </c>
    </row>
    <row r="273" spans="1:25" ht="30" x14ac:dyDescent="0.25">
      <c r="A273" s="382" t="s">
        <v>7902</v>
      </c>
      <c r="B273" s="91" t="s">
        <v>224</v>
      </c>
      <c r="C273" s="91" t="s">
        <v>2</v>
      </c>
      <c r="D273" s="383">
        <v>102083</v>
      </c>
      <c r="E273" s="384">
        <v>11015976</v>
      </c>
      <c r="F273" s="91" t="s">
        <v>631</v>
      </c>
      <c r="G273" s="91" t="s">
        <v>34</v>
      </c>
      <c r="H273" s="385" t="s">
        <v>738</v>
      </c>
      <c r="I273" s="91" t="s">
        <v>465</v>
      </c>
      <c r="J273" s="92" t="s">
        <v>556</v>
      </c>
      <c r="K273" s="392">
        <v>1</v>
      </c>
      <c r="L273" s="91" t="s">
        <v>321</v>
      </c>
      <c r="M273" s="519" t="s">
        <v>7863</v>
      </c>
      <c r="N273" s="385"/>
      <c r="O273" s="386" t="s">
        <v>633</v>
      </c>
      <c r="P273" s="387" t="str">
        <f>Requisitions_Tracker[[#This Row],[ConOps Contact]]</f>
        <v>Jaime Manzanares</v>
      </c>
      <c r="Q273" s="387">
        <v>6732</v>
      </c>
      <c r="R273" s="388">
        <v>45152</v>
      </c>
      <c r="S273" s="388">
        <v>45184</v>
      </c>
      <c r="T273" s="385"/>
      <c r="U273" s="388"/>
      <c r="V273" s="388"/>
      <c r="W273" s="385"/>
      <c r="X273" s="389"/>
      <c r="Y273" s="390">
        <f>Requisitions_Tracker[[#This Row],[Unit Price]]*Requisitions_Tracker[[#This Row],[Quantity]]</f>
        <v>0</v>
      </c>
    </row>
    <row r="274" spans="1:25" x14ac:dyDescent="0.25">
      <c r="A274" s="382" t="s">
        <v>59</v>
      </c>
      <c r="B274" s="91" t="s">
        <v>640</v>
      </c>
      <c r="C274" s="91" t="s">
        <v>4</v>
      </c>
      <c r="D274" s="396">
        <v>1412948</v>
      </c>
      <c r="E274" s="384">
        <v>11071362</v>
      </c>
      <c r="F274" s="91" t="s">
        <v>641</v>
      </c>
      <c r="G274" s="91" t="s">
        <v>31</v>
      </c>
      <c r="H274" s="385" t="s">
        <v>747</v>
      </c>
      <c r="I274" s="95" t="s">
        <v>461</v>
      </c>
      <c r="J274" s="43" t="s">
        <v>403</v>
      </c>
      <c r="K274" s="383">
        <v>3</v>
      </c>
      <c r="L274" s="91" t="s">
        <v>321</v>
      </c>
      <c r="M274" s="519" t="s">
        <v>59</v>
      </c>
      <c r="N274" s="767"/>
      <c r="O274" s="161" t="s">
        <v>642</v>
      </c>
      <c r="P274" s="387" t="str">
        <f>Requisitions_Tracker[[#This Row],[ConOps Contact]]</f>
        <v>Tim Arseneau</v>
      </c>
      <c r="Q274" s="385">
        <v>7178</v>
      </c>
      <c r="R274" s="168">
        <v>45189</v>
      </c>
      <c r="S274" s="398">
        <v>45219</v>
      </c>
      <c r="T274" s="385"/>
      <c r="U274" s="388"/>
      <c r="V274" s="388"/>
      <c r="W274" s="385"/>
      <c r="X274" s="389"/>
      <c r="Y274" s="390">
        <f>Requisitions_Tracker[[#This Row],[Unit Price]]*Requisitions_Tracker[[#This Row],[Quantity]]</f>
        <v>0</v>
      </c>
    </row>
    <row r="275" spans="1:25" x14ac:dyDescent="0.25">
      <c r="A275" s="382" t="s">
        <v>7902</v>
      </c>
      <c r="B275" s="91" t="s">
        <v>7964</v>
      </c>
      <c r="C275" s="504" t="s">
        <v>4</v>
      </c>
      <c r="D275" s="338">
        <v>1413358</v>
      </c>
      <c r="E275" s="384">
        <v>11082654</v>
      </c>
      <c r="F275" s="91" t="s">
        <v>1841</v>
      </c>
      <c r="G275" s="91" t="s">
        <v>31</v>
      </c>
      <c r="H275" s="385" t="s">
        <v>747</v>
      </c>
      <c r="I275" s="91" t="s">
        <v>247</v>
      </c>
      <c r="J275" s="43" t="s">
        <v>395</v>
      </c>
      <c r="K275" s="383">
        <v>1</v>
      </c>
      <c r="L275" s="91" t="s">
        <v>321</v>
      </c>
      <c r="M275" s="519" t="s">
        <v>7863</v>
      </c>
      <c r="N275" s="760"/>
      <c r="O275" s="523" t="s">
        <v>7965</v>
      </c>
      <c r="P275" s="387" t="str">
        <f>Requisitions_Tracker[[#This Row],[ConOps Contact]]</f>
        <v>Joe Gaca</v>
      </c>
      <c r="Q275" s="385">
        <v>11223</v>
      </c>
      <c r="R275" s="817"/>
      <c r="S275" s="818"/>
      <c r="T275" s="773"/>
      <c r="U275" s="818"/>
      <c r="V275" s="818"/>
      <c r="W275" s="773"/>
      <c r="X275" s="819"/>
      <c r="Y275" s="820">
        <f>Requisitions_Tracker[[#This Row],[Unit Price]]*Requisitions_Tracker[[#This Row],[Quantity]]</f>
        <v>0</v>
      </c>
    </row>
    <row r="276" spans="1:25" x14ac:dyDescent="0.25">
      <c r="A276" s="382" t="s">
        <v>59</v>
      </c>
      <c r="B276" s="91" t="s">
        <v>6048</v>
      </c>
      <c r="C276" s="90" t="s">
        <v>4</v>
      </c>
      <c r="D276" s="383">
        <v>1213224</v>
      </c>
      <c r="E276" s="384" t="s">
        <v>376</v>
      </c>
      <c r="F276" s="91" t="s">
        <v>588</v>
      </c>
      <c r="G276" s="91" t="s">
        <v>6518</v>
      </c>
      <c r="H276" s="385" t="s">
        <v>1515</v>
      </c>
      <c r="I276" s="91" t="s">
        <v>7917</v>
      </c>
      <c r="J276" s="43" t="s">
        <v>7966</v>
      </c>
      <c r="K276" s="383" t="s">
        <v>29</v>
      </c>
      <c r="L276" s="91" t="s">
        <v>29</v>
      </c>
      <c r="M276" s="519" t="s">
        <v>59</v>
      </c>
      <c r="N276" s="760"/>
      <c r="O276" s="523" t="s">
        <v>7967</v>
      </c>
      <c r="P276" s="387" t="str">
        <f>Requisitions_Tracker[[#This Row],[ConOps Contact]]</f>
        <v>Frank Tanzillo</v>
      </c>
      <c r="Q276" s="385"/>
      <c r="R276" s="52"/>
      <c r="S276" s="388"/>
      <c r="T276" s="385"/>
      <c r="U276" s="388"/>
      <c r="V276" s="388"/>
      <c r="W276" s="385"/>
      <c r="X276" s="389"/>
      <c r="Y276" s="390" t="e">
        <f>Requisitions_Tracker[[#This Row],[Unit Price]]*Requisitions_Tracker[[#This Row],[Quantity]]</f>
        <v>#VALUE!</v>
      </c>
    </row>
    <row r="277" spans="1:25" x14ac:dyDescent="0.25">
      <c r="A277" s="382" t="s">
        <v>59</v>
      </c>
      <c r="B277" s="90" t="s">
        <v>643</v>
      </c>
      <c r="C277" s="90" t="s">
        <v>4</v>
      </c>
      <c r="D277" s="396">
        <v>1412948</v>
      </c>
      <c r="E277" s="384">
        <v>11071362</v>
      </c>
      <c r="F277" s="91" t="s">
        <v>641</v>
      </c>
      <c r="G277" s="91" t="s">
        <v>31</v>
      </c>
      <c r="H277" s="385" t="s">
        <v>747</v>
      </c>
      <c r="I277" s="95" t="s">
        <v>461</v>
      </c>
      <c r="J277" s="93" t="s">
        <v>644</v>
      </c>
      <c r="K277" s="396">
        <v>3</v>
      </c>
      <c r="L277" s="90" t="s">
        <v>321</v>
      </c>
      <c r="M277" s="519" t="s">
        <v>7863</v>
      </c>
      <c r="N277" s="767"/>
      <c r="O277" s="161" t="s">
        <v>642</v>
      </c>
      <c r="P277" s="387" t="str">
        <f>Requisitions_Tracker[[#This Row],[ConOps Contact]]</f>
        <v>Tim Arseneau</v>
      </c>
      <c r="Q277" s="397">
        <v>7178</v>
      </c>
      <c r="R277" s="168">
        <v>45189</v>
      </c>
      <c r="S277" s="398">
        <v>45219</v>
      </c>
      <c r="T277" s="397"/>
      <c r="U277" s="398"/>
      <c r="V277" s="398"/>
      <c r="W277" s="397"/>
      <c r="X277" s="399"/>
      <c r="Y277" s="390">
        <f>Requisitions_Tracker[[#This Row],[Unit Price]]*Requisitions_Tracker[[#This Row],[Quantity]]</f>
        <v>0</v>
      </c>
    </row>
    <row r="278" spans="1:25" ht="75" x14ac:dyDescent="0.25">
      <c r="A278" s="382" t="s">
        <v>7902</v>
      </c>
      <c r="B278" s="91" t="s">
        <v>591</v>
      </c>
      <c r="C278" s="55" t="s">
        <v>3</v>
      </c>
      <c r="D278" s="400">
        <v>1612624</v>
      </c>
      <c r="E278" s="384">
        <v>11070834</v>
      </c>
      <c r="F278" s="318" t="s">
        <v>592</v>
      </c>
      <c r="G278" s="55" t="s">
        <v>31</v>
      </c>
      <c r="H278" s="385" t="s">
        <v>784</v>
      </c>
      <c r="I278" s="96" t="s">
        <v>590</v>
      </c>
      <c r="J278" s="167" t="s">
        <v>645</v>
      </c>
      <c r="K278" s="96">
        <v>1</v>
      </c>
      <c r="L278" s="95" t="s">
        <v>321</v>
      </c>
      <c r="M278" s="519" t="s">
        <v>7863</v>
      </c>
      <c r="N278" s="327"/>
      <c r="O278" s="96" t="s">
        <v>646</v>
      </c>
      <c r="P278" s="387" t="str">
        <f>Requisitions_Tracker[[#This Row],[ConOps Contact]]</f>
        <v>Jeremy Rempert</v>
      </c>
      <c r="Q278" s="385">
        <v>7174</v>
      </c>
      <c r="R278" s="168">
        <v>45189</v>
      </c>
      <c r="S278" s="398">
        <v>45219</v>
      </c>
      <c r="T278" s="385"/>
      <c r="U278" s="388"/>
      <c r="V278" s="388"/>
      <c r="W278" s="385"/>
      <c r="X278" s="389"/>
      <c r="Y278" s="390">
        <f>Requisitions_Tracker[[#This Row],[Unit Price]]*Requisitions_Tracker[[#This Row],[Quantity]]</f>
        <v>0</v>
      </c>
    </row>
    <row r="279" spans="1:25" ht="60" x14ac:dyDescent="0.25">
      <c r="A279" s="382" t="s">
        <v>7902</v>
      </c>
      <c r="B279" s="91" t="s">
        <v>591</v>
      </c>
      <c r="C279" s="55" t="s">
        <v>3</v>
      </c>
      <c r="D279" s="400">
        <v>1612624</v>
      </c>
      <c r="E279" s="384">
        <v>11070834</v>
      </c>
      <c r="F279" s="318" t="s">
        <v>592</v>
      </c>
      <c r="G279" s="55" t="s">
        <v>31</v>
      </c>
      <c r="H279" s="385" t="s">
        <v>784</v>
      </c>
      <c r="I279" s="96" t="s">
        <v>590</v>
      </c>
      <c r="J279" s="167" t="s">
        <v>647</v>
      </c>
      <c r="K279" s="96">
        <v>1</v>
      </c>
      <c r="L279" s="95" t="s">
        <v>321</v>
      </c>
      <c r="M279" s="519" t="s">
        <v>7863</v>
      </c>
      <c r="N279" s="327"/>
      <c r="O279" s="96" t="s">
        <v>646</v>
      </c>
      <c r="P279" s="387" t="str">
        <f>Requisitions_Tracker[[#This Row],[ConOps Contact]]</f>
        <v>Jeremy Rempert</v>
      </c>
      <c r="Q279" s="385">
        <v>7174</v>
      </c>
      <c r="R279" s="168">
        <v>45189</v>
      </c>
      <c r="S279" s="398">
        <v>45219</v>
      </c>
      <c r="T279" s="385"/>
      <c r="U279" s="388"/>
      <c r="V279" s="388"/>
      <c r="W279" s="385"/>
      <c r="X279" s="389"/>
      <c r="Y279" s="390">
        <f>Requisitions_Tracker[[#This Row],[Unit Price]]*Requisitions_Tracker[[#This Row],[Quantity]]</f>
        <v>0</v>
      </c>
    </row>
    <row r="280" spans="1:25" ht="30" x14ac:dyDescent="0.25">
      <c r="A280" s="382" t="s">
        <v>7902</v>
      </c>
      <c r="B280" s="91" t="s">
        <v>591</v>
      </c>
      <c r="C280" s="55" t="s">
        <v>3</v>
      </c>
      <c r="D280" s="400">
        <v>1612624</v>
      </c>
      <c r="E280" s="384">
        <v>11070834</v>
      </c>
      <c r="F280" s="318" t="s">
        <v>592</v>
      </c>
      <c r="G280" s="55" t="s">
        <v>31</v>
      </c>
      <c r="H280" s="385" t="s">
        <v>784</v>
      </c>
      <c r="I280" s="96" t="s">
        <v>590</v>
      </c>
      <c r="J280" s="401" t="s">
        <v>638</v>
      </c>
      <c r="K280" s="166">
        <v>40</v>
      </c>
      <c r="L280" s="180" t="s">
        <v>63</v>
      </c>
      <c r="M280" s="519" t="s">
        <v>7863</v>
      </c>
      <c r="N280" s="322"/>
      <c r="O280" s="96" t="s">
        <v>646</v>
      </c>
      <c r="P280" s="387" t="str">
        <f>Requisitions_Tracker[[#This Row],[ConOps Contact]]</f>
        <v>Jeremy Rempert</v>
      </c>
      <c r="Q280" s="385">
        <v>7174</v>
      </c>
      <c r="R280" s="168">
        <v>45189</v>
      </c>
      <c r="S280" s="398">
        <v>45219</v>
      </c>
      <c r="T280" s="385"/>
      <c r="U280" s="388"/>
      <c r="V280" s="388"/>
      <c r="W280" s="385"/>
      <c r="X280" s="389"/>
      <c r="Y280" s="390">
        <f>Requisitions_Tracker[[#This Row],[Unit Price]]*Requisitions_Tracker[[#This Row],[Quantity]]</f>
        <v>0</v>
      </c>
    </row>
    <row r="281" spans="1:25" x14ac:dyDescent="0.25">
      <c r="A281" s="382" t="s">
        <v>7902</v>
      </c>
      <c r="B281" s="91" t="s">
        <v>591</v>
      </c>
      <c r="C281" s="55" t="s">
        <v>3</v>
      </c>
      <c r="D281" s="400">
        <v>1612624</v>
      </c>
      <c r="E281" s="384">
        <v>11070834</v>
      </c>
      <c r="F281" s="318" t="s">
        <v>592</v>
      </c>
      <c r="G281" s="55" t="s">
        <v>31</v>
      </c>
      <c r="H281" s="385" t="s">
        <v>784</v>
      </c>
      <c r="I281" s="96" t="s">
        <v>590</v>
      </c>
      <c r="J281" s="401" t="s">
        <v>548</v>
      </c>
      <c r="K281" s="96">
        <v>1</v>
      </c>
      <c r="L281" s="95" t="s">
        <v>321</v>
      </c>
      <c r="M281" s="519" t="s">
        <v>7863</v>
      </c>
      <c r="N281" s="324"/>
      <c r="O281" s="96" t="s">
        <v>646</v>
      </c>
      <c r="P281" s="387" t="str">
        <f>Requisitions_Tracker[[#This Row],[ConOps Contact]]</f>
        <v>Jeremy Rempert</v>
      </c>
      <c r="Q281" s="385">
        <v>7174</v>
      </c>
      <c r="R281" s="168">
        <v>45189</v>
      </c>
      <c r="S281" s="398">
        <v>45219</v>
      </c>
      <c r="T281" s="385"/>
      <c r="U281" s="388"/>
      <c r="V281" s="388"/>
      <c r="W281" s="385"/>
      <c r="X281" s="389"/>
      <c r="Y281" s="390">
        <f>Requisitions_Tracker[[#This Row],[Unit Price]]*Requisitions_Tracker[[#This Row],[Quantity]]</f>
        <v>0</v>
      </c>
    </row>
    <row r="282" spans="1:25" ht="30" x14ac:dyDescent="0.25">
      <c r="A282" s="382" t="s">
        <v>7902</v>
      </c>
      <c r="B282" s="91" t="s">
        <v>591</v>
      </c>
      <c r="C282" s="55" t="s">
        <v>3</v>
      </c>
      <c r="D282" s="400">
        <v>1612624</v>
      </c>
      <c r="E282" s="384">
        <v>11070834</v>
      </c>
      <c r="F282" s="318" t="s">
        <v>592</v>
      </c>
      <c r="G282" s="55" t="s">
        <v>31</v>
      </c>
      <c r="H282" s="385" t="s">
        <v>784</v>
      </c>
      <c r="I282" s="96" t="s">
        <v>590</v>
      </c>
      <c r="J282" s="401" t="s">
        <v>639</v>
      </c>
      <c r="K282" s="166">
        <v>1</v>
      </c>
      <c r="L282" s="180" t="s">
        <v>321</v>
      </c>
      <c r="M282" s="519" t="s">
        <v>7863</v>
      </c>
      <c r="N282" s="326"/>
      <c r="O282" s="96" t="s">
        <v>646</v>
      </c>
      <c r="P282" s="387" t="str">
        <f>Requisitions_Tracker[[#This Row],[ConOps Contact]]</f>
        <v>Jeremy Rempert</v>
      </c>
      <c r="Q282" s="385">
        <v>7174</v>
      </c>
      <c r="R282" s="168">
        <v>45189</v>
      </c>
      <c r="S282" s="398">
        <v>45219</v>
      </c>
      <c r="T282" s="385"/>
      <c r="U282" s="388"/>
      <c r="V282" s="388"/>
      <c r="W282" s="385"/>
      <c r="X282" s="389"/>
      <c r="Y282" s="390">
        <f>Requisitions_Tracker[[#This Row],[Unit Price]]*Requisitions_Tracker[[#This Row],[Quantity]]</f>
        <v>0</v>
      </c>
    </row>
    <row r="283" spans="1:25" ht="30" x14ac:dyDescent="0.25">
      <c r="A283" s="382" t="s">
        <v>7902</v>
      </c>
      <c r="B283" s="91" t="s">
        <v>591</v>
      </c>
      <c r="C283" s="55" t="s">
        <v>3</v>
      </c>
      <c r="D283" s="400">
        <v>1612624</v>
      </c>
      <c r="E283" s="384">
        <v>11070834</v>
      </c>
      <c r="F283" s="318" t="s">
        <v>592</v>
      </c>
      <c r="G283" s="55" t="s">
        <v>31</v>
      </c>
      <c r="H283" s="385" t="s">
        <v>784</v>
      </c>
      <c r="I283" s="96" t="s">
        <v>590</v>
      </c>
      <c r="J283" s="401" t="s">
        <v>611</v>
      </c>
      <c r="K283" s="96">
        <v>1</v>
      </c>
      <c r="L283" s="95" t="s">
        <v>321</v>
      </c>
      <c r="M283" s="519" t="s">
        <v>7863</v>
      </c>
      <c r="N283" s="322"/>
      <c r="O283" s="96" t="s">
        <v>646</v>
      </c>
      <c r="P283" s="387" t="str">
        <f>Requisitions_Tracker[[#This Row],[ConOps Contact]]</f>
        <v>Jeremy Rempert</v>
      </c>
      <c r="Q283" s="385">
        <v>7174</v>
      </c>
      <c r="R283" s="168">
        <v>45189</v>
      </c>
      <c r="S283" s="398">
        <v>45219</v>
      </c>
      <c r="T283" s="385"/>
      <c r="U283" s="388"/>
      <c r="V283" s="388"/>
      <c r="W283" s="385"/>
      <c r="X283" s="389"/>
      <c r="Y283" s="390">
        <f>Requisitions_Tracker[[#This Row],[Unit Price]]*Requisitions_Tracker[[#This Row],[Quantity]]</f>
        <v>0</v>
      </c>
    </row>
    <row r="284" spans="1:25" x14ac:dyDescent="0.25">
      <c r="A284" s="382" t="s">
        <v>7902</v>
      </c>
      <c r="B284" s="91" t="s">
        <v>591</v>
      </c>
      <c r="C284" s="55" t="s">
        <v>3</v>
      </c>
      <c r="D284" s="400">
        <v>1612624</v>
      </c>
      <c r="E284" s="384">
        <v>11070834</v>
      </c>
      <c r="F284" s="318" t="s">
        <v>592</v>
      </c>
      <c r="G284" s="55" t="s">
        <v>31</v>
      </c>
      <c r="H284" s="385" t="s">
        <v>784</v>
      </c>
      <c r="I284" s="96" t="s">
        <v>590</v>
      </c>
      <c r="J284" s="401" t="s">
        <v>622</v>
      </c>
      <c r="K284" s="166">
        <v>1</v>
      </c>
      <c r="L284" s="180" t="s">
        <v>321</v>
      </c>
      <c r="M284" s="519" t="s">
        <v>7863</v>
      </c>
      <c r="N284" s="327"/>
      <c r="O284" s="96" t="s">
        <v>646</v>
      </c>
      <c r="P284" s="387" t="str">
        <f>Requisitions_Tracker[[#This Row],[ConOps Contact]]</f>
        <v>Jeremy Rempert</v>
      </c>
      <c r="Q284" s="385">
        <v>7174</v>
      </c>
      <c r="R284" s="168">
        <v>45189</v>
      </c>
      <c r="S284" s="398">
        <v>45219</v>
      </c>
      <c r="T284" s="385"/>
      <c r="U284" s="388"/>
      <c r="V284" s="388"/>
      <c r="W284" s="385"/>
      <c r="X284" s="389"/>
      <c r="Y284" s="390">
        <f>Requisitions_Tracker[[#This Row],[Unit Price]]*Requisitions_Tracker[[#This Row],[Quantity]]</f>
        <v>0</v>
      </c>
    </row>
    <row r="285" spans="1:25" ht="30" x14ac:dyDescent="0.25">
      <c r="A285" s="382" t="s">
        <v>7902</v>
      </c>
      <c r="B285" s="91" t="s">
        <v>591</v>
      </c>
      <c r="C285" s="55" t="s">
        <v>3</v>
      </c>
      <c r="D285" s="400">
        <v>1612624</v>
      </c>
      <c r="E285" s="384">
        <v>11070834</v>
      </c>
      <c r="F285" s="318" t="s">
        <v>592</v>
      </c>
      <c r="G285" s="55" t="s">
        <v>31</v>
      </c>
      <c r="H285" s="385" t="s">
        <v>784</v>
      </c>
      <c r="I285" s="96" t="s">
        <v>590</v>
      </c>
      <c r="J285" s="401" t="s">
        <v>612</v>
      </c>
      <c r="K285" s="166">
        <v>1</v>
      </c>
      <c r="L285" s="180" t="s">
        <v>321</v>
      </c>
      <c r="M285" s="519" t="s">
        <v>7863</v>
      </c>
      <c r="N285" s="327"/>
      <c r="O285" s="96" t="s">
        <v>646</v>
      </c>
      <c r="P285" s="387" t="str">
        <f>Requisitions_Tracker[[#This Row],[ConOps Contact]]</f>
        <v>Jeremy Rempert</v>
      </c>
      <c r="Q285" s="385">
        <v>7174</v>
      </c>
      <c r="R285" s="168">
        <v>45189</v>
      </c>
      <c r="S285" s="398">
        <v>45219</v>
      </c>
      <c r="T285" s="385"/>
      <c r="U285" s="388"/>
      <c r="V285" s="388"/>
      <c r="W285" s="385"/>
      <c r="X285" s="389"/>
      <c r="Y285" s="390">
        <f>Requisitions_Tracker[[#This Row],[Unit Price]]*Requisitions_Tracker[[#This Row],[Quantity]]</f>
        <v>0</v>
      </c>
    </row>
    <row r="286" spans="1:25" ht="30" x14ac:dyDescent="0.25">
      <c r="A286" s="382" t="s">
        <v>7902</v>
      </c>
      <c r="B286" s="91" t="s">
        <v>591</v>
      </c>
      <c r="C286" s="55" t="s">
        <v>3</v>
      </c>
      <c r="D286" s="400">
        <v>1612624</v>
      </c>
      <c r="E286" s="384">
        <v>11070834</v>
      </c>
      <c r="F286" s="318" t="s">
        <v>592</v>
      </c>
      <c r="G286" s="55" t="s">
        <v>31</v>
      </c>
      <c r="H286" s="385" t="s">
        <v>784</v>
      </c>
      <c r="I286" s="96" t="s">
        <v>590</v>
      </c>
      <c r="J286" s="401" t="s">
        <v>613</v>
      </c>
      <c r="K286" s="96">
        <v>1</v>
      </c>
      <c r="L286" s="180" t="s">
        <v>321</v>
      </c>
      <c r="M286" s="519" t="s">
        <v>7863</v>
      </c>
      <c r="N286" s="322"/>
      <c r="O286" s="96" t="s">
        <v>646</v>
      </c>
      <c r="P286" s="387" t="str">
        <f>Requisitions_Tracker[[#This Row],[ConOps Contact]]</f>
        <v>Jeremy Rempert</v>
      </c>
      <c r="Q286" s="385">
        <v>7174</v>
      </c>
      <c r="R286" s="168">
        <v>45189</v>
      </c>
      <c r="S286" s="398">
        <v>45219</v>
      </c>
      <c r="T286" s="385"/>
      <c r="U286" s="388"/>
      <c r="V286" s="388"/>
      <c r="W286" s="385"/>
      <c r="X286" s="389"/>
      <c r="Y286" s="390">
        <f>Requisitions_Tracker[[#This Row],[Unit Price]]*Requisitions_Tracker[[#This Row],[Quantity]]</f>
        <v>0</v>
      </c>
    </row>
    <row r="287" spans="1:25" ht="30" x14ac:dyDescent="0.25">
      <c r="A287" s="382" t="s">
        <v>7902</v>
      </c>
      <c r="B287" s="91" t="s">
        <v>591</v>
      </c>
      <c r="C287" s="55" t="s">
        <v>3</v>
      </c>
      <c r="D287" s="400">
        <v>1612624</v>
      </c>
      <c r="E287" s="384">
        <v>11070834</v>
      </c>
      <c r="F287" s="318" t="s">
        <v>592</v>
      </c>
      <c r="G287" s="55" t="s">
        <v>31</v>
      </c>
      <c r="H287" s="385" t="s">
        <v>784</v>
      </c>
      <c r="I287" s="96" t="s">
        <v>590</v>
      </c>
      <c r="J287" s="401" t="s">
        <v>614</v>
      </c>
      <c r="K287" s="96">
        <v>4</v>
      </c>
      <c r="L287" s="180" t="s">
        <v>321</v>
      </c>
      <c r="M287" s="519" t="s">
        <v>7863</v>
      </c>
      <c r="N287" s="327"/>
      <c r="O287" s="96" t="s">
        <v>646</v>
      </c>
      <c r="P287" s="387" t="str">
        <f>Requisitions_Tracker[[#This Row],[ConOps Contact]]</f>
        <v>Jeremy Rempert</v>
      </c>
      <c r="Q287" s="385">
        <v>7174</v>
      </c>
      <c r="R287" s="168">
        <v>45189</v>
      </c>
      <c r="S287" s="398">
        <v>45219</v>
      </c>
      <c r="T287" s="385"/>
      <c r="U287" s="388"/>
      <c r="V287" s="388"/>
      <c r="W287" s="385"/>
      <c r="X287" s="389"/>
      <c r="Y287" s="390">
        <f>Requisitions_Tracker[[#This Row],[Unit Price]]*Requisitions_Tracker[[#This Row],[Quantity]]</f>
        <v>0</v>
      </c>
    </row>
    <row r="288" spans="1:25" x14ac:dyDescent="0.25">
      <c r="A288" s="382" t="s">
        <v>7902</v>
      </c>
      <c r="B288" s="91" t="s">
        <v>591</v>
      </c>
      <c r="C288" s="55" t="s">
        <v>3</v>
      </c>
      <c r="D288" s="400">
        <v>1612624</v>
      </c>
      <c r="E288" s="384">
        <v>11070834</v>
      </c>
      <c r="F288" s="318" t="s">
        <v>592</v>
      </c>
      <c r="G288" s="55" t="s">
        <v>31</v>
      </c>
      <c r="H288" s="385" t="s">
        <v>784</v>
      </c>
      <c r="I288" s="96" t="s">
        <v>590</v>
      </c>
      <c r="J288" s="167" t="s">
        <v>555</v>
      </c>
      <c r="K288" s="96">
        <v>1</v>
      </c>
      <c r="L288" s="233" t="s">
        <v>321</v>
      </c>
      <c r="M288" s="519" t="s">
        <v>7863</v>
      </c>
      <c r="N288" s="322"/>
      <c r="O288" s="96" t="s">
        <v>646</v>
      </c>
      <c r="P288" s="387" t="str">
        <f>Requisitions_Tracker[[#This Row],[ConOps Contact]]</f>
        <v>Jeremy Rempert</v>
      </c>
      <c r="Q288" s="385">
        <v>7174</v>
      </c>
      <c r="R288" s="168">
        <v>45189</v>
      </c>
      <c r="S288" s="398">
        <v>45219</v>
      </c>
      <c r="T288" s="385"/>
      <c r="U288" s="388"/>
      <c r="V288" s="388"/>
      <c r="W288" s="385"/>
      <c r="X288" s="389"/>
      <c r="Y288" s="390">
        <f>Requisitions_Tracker[[#This Row],[Unit Price]]*Requisitions_Tracker[[#This Row],[Quantity]]</f>
        <v>0</v>
      </c>
    </row>
    <row r="289" spans="1:25" x14ac:dyDescent="0.25">
      <c r="A289" s="382" t="s">
        <v>7902</v>
      </c>
      <c r="B289" s="91" t="s">
        <v>591</v>
      </c>
      <c r="C289" s="55" t="s">
        <v>3</v>
      </c>
      <c r="D289" s="400">
        <v>1612624</v>
      </c>
      <c r="E289" s="384">
        <v>11070834</v>
      </c>
      <c r="F289" s="318" t="s">
        <v>592</v>
      </c>
      <c r="G289" s="55" t="s">
        <v>31</v>
      </c>
      <c r="H289" s="385" t="s">
        <v>784</v>
      </c>
      <c r="I289" s="96" t="s">
        <v>590</v>
      </c>
      <c r="J289" s="167" t="s">
        <v>556</v>
      </c>
      <c r="K289" s="166">
        <v>1</v>
      </c>
      <c r="L289" s="284" t="s">
        <v>321</v>
      </c>
      <c r="M289" s="519" t="s">
        <v>7863</v>
      </c>
      <c r="N289" s="327"/>
      <c r="O289" s="96" t="s">
        <v>646</v>
      </c>
      <c r="P289" s="387" t="str">
        <f>Requisitions_Tracker[[#This Row],[ConOps Contact]]</f>
        <v>Jeremy Rempert</v>
      </c>
      <c r="Q289" s="385">
        <v>7174</v>
      </c>
      <c r="R289" s="168">
        <v>45189</v>
      </c>
      <c r="S289" s="398">
        <v>45219</v>
      </c>
      <c r="T289" s="385"/>
      <c r="U289" s="388"/>
      <c r="V289" s="388"/>
      <c r="W289" s="385"/>
      <c r="X289" s="389"/>
      <c r="Y289" s="390">
        <f>Requisitions_Tracker[[#This Row],[Unit Price]]*Requisitions_Tracker[[#This Row],[Quantity]]</f>
        <v>0</v>
      </c>
    </row>
    <row r="290" spans="1:25" x14ac:dyDescent="0.25">
      <c r="A290" s="382" t="s">
        <v>7902</v>
      </c>
      <c r="B290" s="91" t="s">
        <v>591</v>
      </c>
      <c r="C290" s="55" t="s">
        <v>3</v>
      </c>
      <c r="D290" s="400">
        <v>1612624</v>
      </c>
      <c r="E290" s="384">
        <v>11070834</v>
      </c>
      <c r="F290" s="318" t="s">
        <v>592</v>
      </c>
      <c r="G290" s="55" t="s">
        <v>31</v>
      </c>
      <c r="H290" s="385" t="s">
        <v>784</v>
      </c>
      <c r="I290" s="96" t="s">
        <v>590</v>
      </c>
      <c r="J290" s="96" t="s">
        <v>648</v>
      </c>
      <c r="K290" s="96">
        <v>1</v>
      </c>
      <c r="L290" s="95" t="s">
        <v>321</v>
      </c>
      <c r="M290" s="519" t="s">
        <v>7863</v>
      </c>
      <c r="N290" s="322"/>
      <c r="O290" s="96" t="s">
        <v>646</v>
      </c>
      <c r="P290" s="387" t="str">
        <f>Requisitions_Tracker[[#This Row],[ConOps Contact]]</f>
        <v>Jeremy Rempert</v>
      </c>
      <c r="Q290" s="385">
        <v>7174</v>
      </c>
      <c r="R290" s="168">
        <v>45189</v>
      </c>
      <c r="S290" s="398">
        <v>45219</v>
      </c>
      <c r="T290" s="385"/>
      <c r="U290" s="388"/>
      <c r="V290" s="388"/>
      <c r="W290" s="385"/>
      <c r="X290" s="389"/>
      <c r="Y290" s="390">
        <f>Requisitions_Tracker[[#This Row],[Unit Price]]*Requisitions_Tracker[[#This Row],[Quantity]]</f>
        <v>0</v>
      </c>
    </row>
    <row r="291" spans="1:25" x14ac:dyDescent="0.25">
      <c r="A291" s="382" t="s">
        <v>7902</v>
      </c>
      <c r="B291" s="91" t="s">
        <v>591</v>
      </c>
      <c r="C291" s="55" t="s">
        <v>3</v>
      </c>
      <c r="D291" s="400">
        <v>1612624</v>
      </c>
      <c r="E291" s="384">
        <v>11070834</v>
      </c>
      <c r="F291" s="318" t="s">
        <v>592</v>
      </c>
      <c r="G291" s="55" t="s">
        <v>31</v>
      </c>
      <c r="H291" s="385" t="s">
        <v>784</v>
      </c>
      <c r="I291" s="96" t="s">
        <v>590</v>
      </c>
      <c r="J291" s="96" t="s">
        <v>649</v>
      </c>
      <c r="K291" s="96">
        <v>1</v>
      </c>
      <c r="L291" s="95" t="s">
        <v>321</v>
      </c>
      <c r="M291" s="519" t="s">
        <v>7863</v>
      </c>
      <c r="N291" s="322"/>
      <c r="O291" s="96" t="s">
        <v>646</v>
      </c>
      <c r="P291" s="387" t="str">
        <f>Requisitions_Tracker[[#This Row],[ConOps Contact]]</f>
        <v>Jeremy Rempert</v>
      </c>
      <c r="Q291" s="385">
        <v>7174</v>
      </c>
      <c r="R291" s="168">
        <v>45189</v>
      </c>
      <c r="S291" s="398">
        <v>45219</v>
      </c>
      <c r="T291" s="385"/>
      <c r="U291" s="388"/>
      <c r="V291" s="388"/>
      <c r="W291" s="385"/>
      <c r="X291" s="389"/>
      <c r="Y291" s="390">
        <f>Requisitions_Tracker[[#This Row],[Unit Price]]*Requisitions_Tracker[[#This Row],[Quantity]]</f>
        <v>0</v>
      </c>
    </row>
    <row r="292" spans="1:25" x14ac:dyDescent="0.25">
      <c r="A292" s="382" t="s">
        <v>7902</v>
      </c>
      <c r="B292" s="91" t="s">
        <v>591</v>
      </c>
      <c r="C292" s="55" t="s">
        <v>3</v>
      </c>
      <c r="D292" s="400">
        <v>1612624</v>
      </c>
      <c r="E292" s="384">
        <v>11070834</v>
      </c>
      <c r="F292" s="318" t="s">
        <v>592</v>
      </c>
      <c r="G292" s="55" t="s">
        <v>31</v>
      </c>
      <c r="H292" s="385" t="s">
        <v>784</v>
      </c>
      <c r="I292" s="96" t="s">
        <v>590</v>
      </c>
      <c r="J292" s="96" t="s">
        <v>650</v>
      </c>
      <c r="K292" s="96">
        <v>1</v>
      </c>
      <c r="L292" s="95" t="s">
        <v>321</v>
      </c>
      <c r="M292" s="519" t="s">
        <v>7863</v>
      </c>
      <c r="N292" s="322"/>
      <c r="O292" s="96" t="s">
        <v>646</v>
      </c>
      <c r="P292" s="387" t="str">
        <f>Requisitions_Tracker[[#This Row],[ConOps Contact]]</f>
        <v>Jeremy Rempert</v>
      </c>
      <c r="Q292" s="385">
        <v>7174</v>
      </c>
      <c r="R292" s="168">
        <v>45189</v>
      </c>
      <c r="S292" s="398">
        <v>45219</v>
      </c>
      <c r="T292" s="385"/>
      <c r="U292" s="388"/>
      <c r="V292" s="388"/>
      <c r="W292" s="385"/>
      <c r="X292" s="389"/>
      <c r="Y292" s="390">
        <f>Requisitions_Tracker[[#This Row],[Unit Price]]*Requisitions_Tracker[[#This Row],[Quantity]]</f>
        <v>0</v>
      </c>
    </row>
    <row r="293" spans="1:25" x14ac:dyDescent="0.25">
      <c r="A293" s="382" t="s">
        <v>7902</v>
      </c>
      <c r="B293" s="91" t="s">
        <v>591</v>
      </c>
      <c r="C293" s="55" t="s">
        <v>3</v>
      </c>
      <c r="D293" s="400">
        <v>1612624</v>
      </c>
      <c r="E293" s="384">
        <v>11070834</v>
      </c>
      <c r="F293" s="318" t="s">
        <v>592</v>
      </c>
      <c r="G293" s="55" t="s">
        <v>31</v>
      </c>
      <c r="H293" s="385" t="s">
        <v>784</v>
      </c>
      <c r="I293" s="96" t="s">
        <v>590</v>
      </c>
      <c r="J293" s="96" t="s">
        <v>651</v>
      </c>
      <c r="K293" s="96">
        <v>1</v>
      </c>
      <c r="L293" s="95" t="s">
        <v>321</v>
      </c>
      <c r="M293" s="519" t="s">
        <v>7863</v>
      </c>
      <c r="N293" s="322"/>
      <c r="O293" s="96" t="s">
        <v>646</v>
      </c>
      <c r="P293" s="387" t="str">
        <f>Requisitions_Tracker[[#This Row],[ConOps Contact]]</f>
        <v>Jeremy Rempert</v>
      </c>
      <c r="Q293" s="385">
        <v>7174</v>
      </c>
      <c r="R293" s="168">
        <v>45189</v>
      </c>
      <c r="S293" s="398">
        <v>45219</v>
      </c>
      <c r="T293" s="385"/>
      <c r="U293" s="388"/>
      <c r="V293" s="388"/>
      <c r="W293" s="385"/>
      <c r="X293" s="389"/>
      <c r="Y293" s="390">
        <f>Requisitions_Tracker[[#This Row],[Unit Price]]*Requisitions_Tracker[[#This Row],[Quantity]]</f>
        <v>0</v>
      </c>
    </row>
    <row r="294" spans="1:25" x14ac:dyDescent="0.25">
      <c r="A294" s="382" t="s">
        <v>7902</v>
      </c>
      <c r="B294" s="91" t="s">
        <v>591</v>
      </c>
      <c r="C294" s="55" t="s">
        <v>3</v>
      </c>
      <c r="D294" s="400">
        <v>1612624</v>
      </c>
      <c r="E294" s="384">
        <v>11070834</v>
      </c>
      <c r="F294" s="318" t="s">
        <v>592</v>
      </c>
      <c r="G294" s="55" t="s">
        <v>31</v>
      </c>
      <c r="H294" s="385" t="s">
        <v>784</v>
      </c>
      <c r="I294" s="96" t="s">
        <v>590</v>
      </c>
      <c r="J294" s="96" t="s">
        <v>559</v>
      </c>
      <c r="K294" s="96">
        <v>20</v>
      </c>
      <c r="L294" s="95" t="s">
        <v>374</v>
      </c>
      <c r="M294" s="519" t="s">
        <v>7863</v>
      </c>
      <c r="N294" s="322"/>
      <c r="O294" s="96" t="s">
        <v>646</v>
      </c>
      <c r="P294" s="387" t="str">
        <f>Requisitions_Tracker[[#This Row],[ConOps Contact]]</f>
        <v>Jeremy Rempert</v>
      </c>
      <c r="Q294" s="385">
        <v>7174</v>
      </c>
      <c r="R294" s="168">
        <v>45189</v>
      </c>
      <c r="S294" s="398">
        <v>45219</v>
      </c>
      <c r="T294" s="385"/>
      <c r="U294" s="388"/>
      <c r="V294" s="388"/>
      <c r="W294" s="385"/>
      <c r="X294" s="389"/>
      <c r="Y294" s="390">
        <f>Requisitions_Tracker[[#This Row],[Unit Price]]*Requisitions_Tracker[[#This Row],[Quantity]]</f>
        <v>0</v>
      </c>
    </row>
    <row r="295" spans="1:25" x14ac:dyDescent="0.25">
      <c r="A295" s="382" t="s">
        <v>7902</v>
      </c>
      <c r="B295" s="90" t="s">
        <v>591</v>
      </c>
      <c r="C295" s="57" t="s">
        <v>3</v>
      </c>
      <c r="D295" s="400">
        <v>1612624</v>
      </c>
      <c r="E295" s="384">
        <v>11070834</v>
      </c>
      <c r="F295" s="318" t="s">
        <v>592</v>
      </c>
      <c r="G295" s="55" t="s">
        <v>31</v>
      </c>
      <c r="H295" s="385" t="s">
        <v>784</v>
      </c>
      <c r="I295" s="96" t="s">
        <v>590</v>
      </c>
      <c r="J295" s="96" t="s">
        <v>652</v>
      </c>
      <c r="K295" s="96">
        <v>1</v>
      </c>
      <c r="L295" s="95" t="s">
        <v>321</v>
      </c>
      <c r="M295" s="519" t="s">
        <v>7863</v>
      </c>
      <c r="N295" s="322"/>
      <c r="O295" s="96" t="s">
        <v>646</v>
      </c>
      <c r="P295" s="387" t="str">
        <f>Requisitions_Tracker[[#This Row],[ConOps Contact]]</f>
        <v>Jeremy Rempert</v>
      </c>
      <c r="Q295" s="397">
        <v>7174</v>
      </c>
      <c r="R295" s="168">
        <v>45189</v>
      </c>
      <c r="S295" s="398">
        <v>45219</v>
      </c>
      <c r="T295" s="397"/>
      <c r="U295" s="398"/>
      <c r="V295" s="398"/>
      <c r="W295" s="397"/>
      <c r="X295" s="399"/>
      <c r="Y295" s="390">
        <f>Requisitions_Tracker[[#This Row],[Unit Price]]*Requisitions_Tracker[[#This Row],[Quantity]]</f>
        <v>0</v>
      </c>
    </row>
    <row r="296" spans="1:25" x14ac:dyDescent="0.25">
      <c r="A296" s="382" t="s">
        <v>7968</v>
      </c>
      <c r="B296" s="433" t="s">
        <v>1642</v>
      </c>
      <c r="C296" s="55" t="s">
        <v>3</v>
      </c>
      <c r="D296" s="434">
        <v>1212413</v>
      </c>
      <c r="E296" s="428">
        <v>11065457</v>
      </c>
      <c r="F296" s="397" t="s">
        <v>7969</v>
      </c>
      <c r="G296" s="397" t="s">
        <v>32</v>
      </c>
      <c r="H296" s="397" t="s">
        <v>747</v>
      </c>
      <c r="I296" s="397" t="s">
        <v>222</v>
      </c>
      <c r="J296" s="429" t="s">
        <v>358</v>
      </c>
      <c r="K296" s="428">
        <v>8480</v>
      </c>
      <c r="L296" s="397" t="s">
        <v>63</v>
      </c>
      <c r="M296" s="519" t="s">
        <v>7863</v>
      </c>
      <c r="N296" s="397" t="s">
        <v>7970</v>
      </c>
      <c r="O296" s="430"/>
      <c r="P296" s="431" t="str">
        <f>Requisitions_Tracker[[#This Row],[ConOps Contact]]</f>
        <v>Bill McDonald</v>
      </c>
      <c r="Q296" s="397"/>
      <c r="R296" s="398"/>
      <c r="S296" s="398"/>
      <c r="T296" s="397"/>
      <c r="U296" s="398"/>
      <c r="V296" s="398"/>
      <c r="W296" s="397"/>
      <c r="X296" s="399"/>
      <c r="Y296" s="432">
        <f>Requisitions_Tracker[[#This Row],[Unit Price]]*Requisitions_Tracker[[#This Row],[Quantity]]</f>
        <v>0</v>
      </c>
    </row>
    <row r="297" spans="1:25" x14ac:dyDescent="0.25">
      <c r="A297" s="382" t="s">
        <v>7968</v>
      </c>
      <c r="B297" s="433" t="s">
        <v>1642</v>
      </c>
      <c r="C297" s="55" t="s">
        <v>3</v>
      </c>
      <c r="D297" s="434">
        <v>1212413</v>
      </c>
      <c r="E297" s="428">
        <v>11065457</v>
      </c>
      <c r="F297" s="397" t="s">
        <v>7969</v>
      </c>
      <c r="G297" s="397" t="s">
        <v>32</v>
      </c>
      <c r="H297" s="397" t="s">
        <v>747</v>
      </c>
      <c r="I297" s="397" t="s">
        <v>222</v>
      </c>
      <c r="J297" s="427" t="s">
        <v>7971</v>
      </c>
      <c r="K297" s="384">
        <v>440</v>
      </c>
      <c r="L297" s="385" t="s">
        <v>63</v>
      </c>
      <c r="M297" s="519" t="s">
        <v>7863</v>
      </c>
      <c r="N297" s="397" t="s">
        <v>7970</v>
      </c>
      <c r="O297" s="386"/>
      <c r="P297" s="387" t="str">
        <f>Requisitions_Tracker[[#This Row],[ConOps Contact]]</f>
        <v>Bill McDonald</v>
      </c>
      <c r="Q297" s="385"/>
      <c r="R297" s="388"/>
      <c r="S297" s="388"/>
      <c r="T297" s="385"/>
      <c r="U297" s="388"/>
      <c r="V297" s="388"/>
      <c r="W297" s="385"/>
      <c r="X297" s="389"/>
      <c r="Y297" s="390">
        <f>Requisitions_Tracker[[#This Row],[Unit Price]]*Requisitions_Tracker[[#This Row],[Quantity]]</f>
        <v>0</v>
      </c>
    </row>
    <row r="298" spans="1:25" x14ac:dyDescent="0.25">
      <c r="A298" s="382" t="s">
        <v>7968</v>
      </c>
      <c r="B298" s="433" t="s">
        <v>1642</v>
      </c>
      <c r="C298" s="55" t="s">
        <v>3</v>
      </c>
      <c r="D298" s="434">
        <v>1212413</v>
      </c>
      <c r="E298" s="428">
        <v>11065457</v>
      </c>
      <c r="F298" s="397" t="s">
        <v>7969</v>
      </c>
      <c r="G298" s="397" t="s">
        <v>32</v>
      </c>
      <c r="H298" s="397" t="s">
        <v>747</v>
      </c>
      <c r="I298" s="397" t="s">
        <v>222</v>
      </c>
      <c r="J298" s="427" t="s">
        <v>7972</v>
      </c>
      <c r="K298" s="384">
        <v>1160</v>
      </c>
      <c r="L298" s="385" t="s">
        <v>63</v>
      </c>
      <c r="M298" s="519" t="s">
        <v>7863</v>
      </c>
      <c r="N298" s="397" t="s">
        <v>7970</v>
      </c>
      <c r="O298" s="386"/>
      <c r="P298" s="387" t="str">
        <f>Requisitions_Tracker[[#This Row],[ConOps Contact]]</f>
        <v>Bill McDonald</v>
      </c>
      <c r="Q298" s="385"/>
      <c r="R298" s="388"/>
      <c r="S298" s="388"/>
      <c r="T298" s="385"/>
      <c r="U298" s="388"/>
      <c r="V298" s="388"/>
      <c r="W298" s="385"/>
      <c r="X298" s="389"/>
      <c r="Y298" s="390">
        <f>Requisitions_Tracker[[#This Row],[Unit Price]]*Requisitions_Tracker[[#This Row],[Quantity]]</f>
        <v>0</v>
      </c>
    </row>
    <row r="299" spans="1:25" x14ac:dyDescent="0.25">
      <c r="A299" s="382" t="s">
        <v>7968</v>
      </c>
      <c r="B299" s="433" t="s">
        <v>1642</v>
      </c>
      <c r="C299" s="55" t="s">
        <v>3</v>
      </c>
      <c r="D299" s="434">
        <v>1212413</v>
      </c>
      <c r="E299" s="428">
        <v>11065457</v>
      </c>
      <c r="F299" s="397" t="s">
        <v>7969</v>
      </c>
      <c r="G299" s="397" t="s">
        <v>32</v>
      </c>
      <c r="H299" s="397" t="s">
        <v>747</v>
      </c>
      <c r="I299" s="397" t="s">
        <v>222</v>
      </c>
      <c r="J299" s="427" t="s">
        <v>7973</v>
      </c>
      <c r="K299" s="384">
        <v>280</v>
      </c>
      <c r="L299" s="385" t="s">
        <v>63</v>
      </c>
      <c r="M299" s="519" t="s">
        <v>7863</v>
      </c>
      <c r="N299" s="397" t="s">
        <v>7970</v>
      </c>
      <c r="O299" s="386"/>
      <c r="P299" s="387" t="str">
        <f>Requisitions_Tracker[[#This Row],[ConOps Contact]]</f>
        <v>Bill McDonald</v>
      </c>
      <c r="Q299" s="385"/>
      <c r="R299" s="388"/>
      <c r="S299" s="388"/>
      <c r="T299" s="385"/>
      <c r="U299" s="388"/>
      <c r="V299" s="388"/>
      <c r="W299" s="385"/>
      <c r="X299" s="389"/>
      <c r="Y299" s="390">
        <f>Requisitions_Tracker[[#This Row],[Unit Price]]*Requisitions_Tracker[[#This Row],[Quantity]]</f>
        <v>0</v>
      </c>
    </row>
    <row r="300" spans="1:25" x14ac:dyDescent="0.25">
      <c r="A300" s="382" t="s">
        <v>7968</v>
      </c>
      <c r="B300" s="433" t="s">
        <v>1642</v>
      </c>
      <c r="C300" s="55" t="s">
        <v>3</v>
      </c>
      <c r="D300" s="434">
        <v>1212413</v>
      </c>
      <c r="E300" s="428">
        <v>11065457</v>
      </c>
      <c r="F300" s="397" t="s">
        <v>7969</v>
      </c>
      <c r="G300" s="397" t="s">
        <v>32</v>
      </c>
      <c r="H300" s="397" t="s">
        <v>747</v>
      </c>
      <c r="I300" s="397" t="s">
        <v>222</v>
      </c>
      <c r="J300" s="427" t="s">
        <v>7974</v>
      </c>
      <c r="K300" s="384">
        <v>500</v>
      </c>
      <c r="L300" s="385" t="s">
        <v>63</v>
      </c>
      <c r="M300" s="519" t="s">
        <v>7863</v>
      </c>
      <c r="N300" s="397" t="s">
        <v>7970</v>
      </c>
      <c r="O300" s="386"/>
      <c r="P300" s="387" t="str">
        <f>Requisitions_Tracker[[#This Row],[ConOps Contact]]</f>
        <v>Bill McDonald</v>
      </c>
      <c r="Q300" s="385"/>
      <c r="R300" s="388"/>
      <c r="S300" s="388"/>
      <c r="T300" s="385"/>
      <c r="U300" s="388"/>
      <c r="V300" s="388"/>
      <c r="W300" s="385"/>
      <c r="X300" s="389"/>
      <c r="Y300" s="390">
        <f>Requisitions_Tracker[[#This Row],[Unit Price]]*Requisitions_Tracker[[#This Row],[Quantity]]</f>
        <v>0</v>
      </c>
    </row>
    <row r="301" spans="1:25" x14ac:dyDescent="0.25">
      <c r="A301" s="382" t="s">
        <v>7968</v>
      </c>
      <c r="B301" s="433" t="s">
        <v>1642</v>
      </c>
      <c r="C301" s="55" t="s">
        <v>3</v>
      </c>
      <c r="D301" s="434">
        <v>1212413</v>
      </c>
      <c r="E301" s="428">
        <v>11065457</v>
      </c>
      <c r="F301" s="397" t="s">
        <v>7969</v>
      </c>
      <c r="G301" s="397" t="s">
        <v>32</v>
      </c>
      <c r="H301" s="397" t="s">
        <v>747</v>
      </c>
      <c r="I301" s="397" t="s">
        <v>222</v>
      </c>
      <c r="J301" s="427" t="s">
        <v>395</v>
      </c>
      <c r="K301" s="384">
        <v>3</v>
      </c>
      <c r="L301" s="385" t="s">
        <v>321</v>
      </c>
      <c r="M301" s="519" t="s">
        <v>7863</v>
      </c>
      <c r="N301" s="397" t="s">
        <v>7970</v>
      </c>
      <c r="O301" s="386"/>
      <c r="P301" s="387" t="str">
        <f>Requisitions_Tracker[[#This Row],[ConOps Contact]]</f>
        <v>Bill McDonald</v>
      </c>
      <c r="Q301" s="385"/>
      <c r="R301" s="388"/>
      <c r="S301" s="388"/>
      <c r="T301" s="385"/>
      <c r="U301" s="388"/>
      <c r="V301" s="388"/>
      <c r="W301" s="385"/>
      <c r="X301" s="389"/>
      <c r="Y301" s="390">
        <f>Requisitions_Tracker[[#This Row],[Unit Price]]*Requisitions_Tracker[[#This Row],[Quantity]]</f>
        <v>0</v>
      </c>
    </row>
    <row r="302" spans="1:25" x14ac:dyDescent="0.25">
      <c r="A302" s="382" t="s">
        <v>7968</v>
      </c>
      <c r="B302" s="433" t="s">
        <v>1642</v>
      </c>
      <c r="C302" s="55" t="s">
        <v>3</v>
      </c>
      <c r="D302" s="434">
        <v>1212413</v>
      </c>
      <c r="E302" s="428">
        <v>11065457</v>
      </c>
      <c r="F302" s="397" t="s">
        <v>7969</v>
      </c>
      <c r="G302" s="397" t="s">
        <v>32</v>
      </c>
      <c r="H302" s="397" t="s">
        <v>747</v>
      </c>
      <c r="I302" s="397" t="s">
        <v>222</v>
      </c>
      <c r="J302" s="427" t="s">
        <v>7975</v>
      </c>
      <c r="K302" s="384">
        <v>2</v>
      </c>
      <c r="L302" s="385" t="s">
        <v>321</v>
      </c>
      <c r="M302" s="519" t="s">
        <v>7863</v>
      </c>
      <c r="N302" s="397" t="s">
        <v>7970</v>
      </c>
      <c r="O302" s="386"/>
      <c r="P302" s="387" t="str">
        <f>Requisitions_Tracker[[#This Row],[ConOps Contact]]</f>
        <v>Bill McDonald</v>
      </c>
      <c r="Q302" s="385"/>
      <c r="R302" s="388"/>
      <c r="S302" s="388"/>
      <c r="T302" s="385"/>
      <c r="U302" s="388"/>
      <c r="V302" s="388"/>
      <c r="W302" s="385"/>
      <c r="X302" s="389"/>
      <c r="Y302" s="390">
        <f>Requisitions_Tracker[[#This Row],[Unit Price]]*Requisitions_Tracker[[#This Row],[Quantity]]</f>
        <v>0</v>
      </c>
    </row>
    <row r="303" spans="1:25" x14ac:dyDescent="0.25">
      <c r="A303" s="382" t="s">
        <v>7968</v>
      </c>
      <c r="B303" s="433" t="s">
        <v>1642</v>
      </c>
      <c r="C303" s="55" t="s">
        <v>3</v>
      </c>
      <c r="D303" s="434">
        <v>1212413</v>
      </c>
      <c r="E303" s="428">
        <v>11065457</v>
      </c>
      <c r="F303" s="397" t="s">
        <v>7969</v>
      </c>
      <c r="G303" s="397" t="s">
        <v>32</v>
      </c>
      <c r="H303" s="397" t="s">
        <v>747</v>
      </c>
      <c r="I303" s="397" t="s">
        <v>222</v>
      </c>
      <c r="J303" s="427" t="s">
        <v>362</v>
      </c>
      <c r="K303" s="384">
        <v>6</v>
      </c>
      <c r="L303" s="385" t="s">
        <v>321</v>
      </c>
      <c r="M303" s="519" t="s">
        <v>7863</v>
      </c>
      <c r="N303" s="397" t="s">
        <v>7970</v>
      </c>
      <c r="O303" s="386"/>
      <c r="P303" s="387" t="str">
        <f>Requisitions_Tracker[[#This Row],[ConOps Contact]]</f>
        <v>Bill McDonald</v>
      </c>
      <c r="Q303" s="385"/>
      <c r="R303" s="388"/>
      <c r="S303" s="388"/>
      <c r="T303" s="385"/>
      <c r="U303" s="388"/>
      <c r="V303" s="388"/>
      <c r="W303" s="385"/>
      <c r="X303" s="389"/>
      <c r="Y303" s="390">
        <f>Requisitions_Tracker[[#This Row],[Unit Price]]*Requisitions_Tracker[[#This Row],[Quantity]]</f>
        <v>0</v>
      </c>
    </row>
    <row r="304" spans="1:25" x14ac:dyDescent="0.25">
      <c r="A304" s="382" t="s">
        <v>7968</v>
      </c>
      <c r="B304" s="433" t="s">
        <v>1642</v>
      </c>
      <c r="C304" s="55" t="s">
        <v>3</v>
      </c>
      <c r="D304" s="434">
        <v>1212413</v>
      </c>
      <c r="E304" s="428">
        <v>11065457</v>
      </c>
      <c r="F304" s="397" t="s">
        <v>7969</v>
      </c>
      <c r="G304" s="397" t="s">
        <v>32</v>
      </c>
      <c r="H304" s="397" t="s">
        <v>747</v>
      </c>
      <c r="I304" s="397" t="s">
        <v>222</v>
      </c>
      <c r="J304" s="427" t="s">
        <v>616</v>
      </c>
      <c r="K304" s="384">
        <v>1</v>
      </c>
      <c r="L304" s="385" t="s">
        <v>321</v>
      </c>
      <c r="M304" s="519" t="s">
        <v>7863</v>
      </c>
      <c r="N304" s="397" t="s">
        <v>7970</v>
      </c>
      <c r="O304" s="386"/>
      <c r="P304" s="387" t="str">
        <f>Requisitions_Tracker[[#This Row],[ConOps Contact]]</f>
        <v>Bill McDonald</v>
      </c>
      <c r="Q304" s="385"/>
      <c r="R304" s="388"/>
      <c r="S304" s="388"/>
      <c r="T304" s="385"/>
      <c r="U304" s="388"/>
      <c r="V304" s="388"/>
      <c r="W304" s="385"/>
      <c r="X304" s="389"/>
      <c r="Y304" s="390">
        <f>Requisitions_Tracker[[#This Row],[Unit Price]]*Requisitions_Tracker[[#This Row],[Quantity]]</f>
        <v>0</v>
      </c>
    </row>
    <row r="305" spans="1:25" x14ac:dyDescent="0.25">
      <c r="A305" s="382" t="s">
        <v>7968</v>
      </c>
      <c r="B305" s="433" t="s">
        <v>1642</v>
      </c>
      <c r="C305" s="55" t="s">
        <v>3</v>
      </c>
      <c r="D305" s="434">
        <v>1212413</v>
      </c>
      <c r="E305" s="428">
        <v>11065457</v>
      </c>
      <c r="F305" s="397" t="s">
        <v>7969</v>
      </c>
      <c r="G305" s="397" t="s">
        <v>32</v>
      </c>
      <c r="H305" s="397" t="s">
        <v>747</v>
      </c>
      <c r="I305" s="397" t="s">
        <v>222</v>
      </c>
      <c r="J305" s="427" t="s">
        <v>7976</v>
      </c>
      <c r="K305" s="384">
        <v>1</v>
      </c>
      <c r="L305" s="385" t="s">
        <v>321</v>
      </c>
      <c r="M305" s="519" t="s">
        <v>7863</v>
      </c>
      <c r="N305" s="397" t="s">
        <v>7970</v>
      </c>
      <c r="O305" s="386"/>
      <c r="P305" s="387" t="str">
        <f>Requisitions_Tracker[[#This Row],[ConOps Contact]]</f>
        <v>Bill McDonald</v>
      </c>
      <c r="Q305" s="385"/>
      <c r="R305" s="388"/>
      <c r="S305" s="388"/>
      <c r="T305" s="385"/>
      <c r="U305" s="388"/>
      <c r="V305" s="388"/>
      <c r="W305" s="385"/>
      <c r="X305" s="389"/>
      <c r="Y305" s="390">
        <f>Requisitions_Tracker[[#This Row],[Unit Price]]*Requisitions_Tracker[[#This Row],[Quantity]]</f>
        <v>0</v>
      </c>
    </row>
    <row r="306" spans="1:25" x14ac:dyDescent="0.25">
      <c r="A306" s="501" t="s">
        <v>7902</v>
      </c>
      <c r="B306" s="397" t="s">
        <v>5466</v>
      </c>
      <c r="C306" s="50" t="s">
        <v>2</v>
      </c>
      <c r="D306" s="428">
        <v>1011912</v>
      </c>
      <c r="E306" s="428">
        <v>11050934</v>
      </c>
      <c r="F306" s="397" t="s">
        <v>7977</v>
      </c>
      <c r="G306" s="397" t="s">
        <v>34</v>
      </c>
      <c r="H306" s="397" t="s">
        <v>752</v>
      </c>
      <c r="I306" s="397" t="s">
        <v>7917</v>
      </c>
      <c r="J306" s="429"/>
      <c r="K306" s="428">
        <v>2</v>
      </c>
      <c r="L306" s="397" t="s">
        <v>321</v>
      </c>
      <c r="M306" s="519" t="s">
        <v>7863</v>
      </c>
      <c r="N306" s="397"/>
      <c r="O306" s="430" t="s">
        <v>7978</v>
      </c>
      <c r="P306" s="431" t="str">
        <f>Requisitions_Tracker[[#This Row],[ConOps Contact]]</f>
        <v>Frank Tanzillo</v>
      </c>
      <c r="Q306" s="397">
        <v>9152</v>
      </c>
      <c r="R306" s="398">
        <v>45335</v>
      </c>
      <c r="S306" s="398">
        <v>45380</v>
      </c>
      <c r="T306" s="397"/>
      <c r="U306" s="398"/>
      <c r="V306" s="398"/>
      <c r="W306" s="397"/>
      <c r="X306" s="399"/>
      <c r="Y306" s="432">
        <f>Requisitions_Tracker[[#This Row],[Unit Price]]*Requisitions_Tracker[[#This Row],[Quantity]]</f>
        <v>0</v>
      </c>
    </row>
    <row r="307" spans="1:25" x14ac:dyDescent="0.25">
      <c r="A307" s="382" t="s">
        <v>59</v>
      </c>
      <c r="B307" s="385" t="s">
        <v>988</v>
      </c>
      <c r="C307" s="396" t="s">
        <v>4</v>
      </c>
      <c r="D307" s="396">
        <v>1213597</v>
      </c>
      <c r="E307" s="428">
        <v>11080859</v>
      </c>
      <c r="F307" s="397" t="s">
        <v>354</v>
      </c>
      <c r="G307" s="397" t="s">
        <v>35</v>
      </c>
      <c r="H307" s="397" t="s">
        <v>784</v>
      </c>
      <c r="I307" s="397" t="s">
        <v>7917</v>
      </c>
      <c r="J307" s="429" t="s">
        <v>395</v>
      </c>
      <c r="K307" s="384">
        <v>1</v>
      </c>
      <c r="L307" s="385" t="s">
        <v>321</v>
      </c>
      <c r="M307" s="519" t="s">
        <v>7881</v>
      </c>
      <c r="N307" s="760"/>
      <c r="O307" s="522" t="s">
        <v>7979</v>
      </c>
      <c r="P307" s="387" t="str">
        <f>Requisitions_Tracker[[#This Row],[ConOps Contact]]</f>
        <v>Frank Tanzillo</v>
      </c>
      <c r="Q307" s="385"/>
      <c r="R307" s="388"/>
      <c r="S307" s="388"/>
      <c r="T307" s="385"/>
      <c r="U307" s="388"/>
      <c r="V307" s="388"/>
      <c r="W307" s="385"/>
      <c r="X307" s="389"/>
      <c r="Y307" s="390">
        <f>Requisitions_Tracker[[#This Row],[Unit Price]]*Requisitions_Tracker[[#This Row],[Quantity]]</f>
        <v>0</v>
      </c>
    </row>
    <row r="308" spans="1:25" x14ac:dyDescent="0.25">
      <c r="A308" s="382" t="s">
        <v>59</v>
      </c>
      <c r="B308" s="385" t="s">
        <v>988</v>
      </c>
      <c r="C308" s="396" t="s">
        <v>4</v>
      </c>
      <c r="D308" s="396">
        <v>1213597</v>
      </c>
      <c r="E308" s="428">
        <v>11080859</v>
      </c>
      <c r="F308" s="397" t="s">
        <v>354</v>
      </c>
      <c r="G308" s="397" t="s">
        <v>35</v>
      </c>
      <c r="H308" s="397" t="s">
        <v>784</v>
      </c>
      <c r="I308" s="397" t="s">
        <v>7917</v>
      </c>
      <c r="J308" s="429" t="s">
        <v>7980</v>
      </c>
      <c r="K308" s="384">
        <v>1</v>
      </c>
      <c r="L308" s="385" t="s">
        <v>321</v>
      </c>
      <c r="M308" s="519" t="s">
        <v>7881</v>
      </c>
      <c r="N308" s="760"/>
      <c r="O308" s="522" t="s">
        <v>7979</v>
      </c>
      <c r="P308" s="387" t="str">
        <f>Requisitions_Tracker[[#This Row],[ConOps Contact]]</f>
        <v>Frank Tanzillo</v>
      </c>
      <c r="Q308" s="385"/>
      <c r="R308" s="388"/>
      <c r="S308" s="388"/>
      <c r="T308" s="385"/>
      <c r="U308" s="388"/>
      <c r="V308" s="388"/>
      <c r="W308" s="385"/>
      <c r="X308" s="389"/>
      <c r="Y308" s="390">
        <f>Requisitions_Tracker[[#This Row],[Unit Price]]*Requisitions_Tracker[[#This Row],[Quantity]]</f>
        <v>0</v>
      </c>
    </row>
    <row r="309" spans="1:25" x14ac:dyDescent="0.25">
      <c r="A309" s="501" t="s">
        <v>59</v>
      </c>
      <c r="B309" s="433" t="s">
        <v>1115</v>
      </c>
      <c r="C309" s="55" t="s">
        <v>4</v>
      </c>
      <c r="D309" s="810">
        <v>1213596</v>
      </c>
      <c r="E309" s="810">
        <v>11085908</v>
      </c>
      <c r="F309" s="515" t="s">
        <v>5832</v>
      </c>
      <c r="G309" s="515" t="s">
        <v>35</v>
      </c>
      <c r="H309" s="515" t="s">
        <v>784</v>
      </c>
      <c r="I309" s="515" t="s">
        <v>7917</v>
      </c>
      <c r="J309" s="811" t="s">
        <v>395</v>
      </c>
      <c r="K309" s="434">
        <v>1</v>
      </c>
      <c r="L309" s="397" t="s">
        <v>321</v>
      </c>
      <c r="M309" s="812" t="s">
        <v>7881</v>
      </c>
      <c r="N309" s="761"/>
      <c r="O309" s="524" t="s">
        <v>7981</v>
      </c>
      <c r="P309" s="431" t="str">
        <f>Requisitions_Tracker[[#This Row],[ConOps Contact]]</f>
        <v>Frank Tanzillo</v>
      </c>
      <c r="Q309" s="397"/>
      <c r="R309" s="398"/>
      <c r="S309" s="398"/>
      <c r="T309" s="397"/>
      <c r="U309" s="398"/>
      <c r="V309" s="398"/>
      <c r="W309" s="397"/>
      <c r="X309" s="399"/>
      <c r="Y309" s="432">
        <f>Requisitions_Tracker[[#This Row],[Unit Price]]*Requisitions_Tracker[[#This Row],[Quantity]]</f>
        <v>0</v>
      </c>
    </row>
    <row r="310" spans="1:25" x14ac:dyDescent="0.25">
      <c r="A310" s="382" t="s">
        <v>7912</v>
      </c>
      <c r="B310" s="385" t="s">
        <v>1843</v>
      </c>
      <c r="C310" s="50" t="s">
        <v>4</v>
      </c>
      <c r="D310" s="384">
        <v>1213810</v>
      </c>
      <c r="E310" s="384" t="s">
        <v>376</v>
      </c>
      <c r="F310" s="385" t="s">
        <v>1847</v>
      </c>
      <c r="G310" s="385" t="s">
        <v>27</v>
      </c>
      <c r="H310" s="385" t="s">
        <v>1757</v>
      </c>
      <c r="I310" s="385" t="s">
        <v>247</v>
      </c>
      <c r="J310" s="427" t="s">
        <v>7982</v>
      </c>
      <c r="K310" s="384">
        <v>1</v>
      </c>
      <c r="L310" s="385" t="s">
        <v>321</v>
      </c>
      <c r="M310" s="519" t="s">
        <v>279</v>
      </c>
      <c r="N310" s="760"/>
      <c r="O310" s="522" t="s">
        <v>267</v>
      </c>
      <c r="P310" s="387" t="str">
        <f>Requisitions_Tracker[[#This Row],[ConOps Contact]]</f>
        <v>Joe Gaca</v>
      </c>
      <c r="Q310" s="385"/>
      <c r="R310" s="388"/>
      <c r="S310" s="388"/>
      <c r="T310" s="385"/>
      <c r="U310" s="388"/>
      <c r="V310" s="388"/>
      <c r="W310" s="385"/>
      <c r="X310" s="389"/>
      <c r="Y310" s="390">
        <f>Requisitions_Tracker[[#This Row],[Unit Price]]*Requisitions_Tracker[[#This Row],[Quantity]]</f>
        <v>0</v>
      </c>
    </row>
    <row r="311" spans="1:25" x14ac:dyDescent="0.25">
      <c r="A311" s="382" t="s">
        <v>7912</v>
      </c>
      <c r="B311" s="385" t="s">
        <v>1843</v>
      </c>
      <c r="C311" s="50" t="s">
        <v>4</v>
      </c>
      <c r="D311" s="384">
        <v>1213810</v>
      </c>
      <c r="E311" s="384" t="s">
        <v>376</v>
      </c>
      <c r="F311" s="385" t="s">
        <v>1847</v>
      </c>
      <c r="G311" s="385" t="s">
        <v>27</v>
      </c>
      <c r="H311" s="385" t="s">
        <v>1757</v>
      </c>
      <c r="I311" s="385" t="s">
        <v>247</v>
      </c>
      <c r="J311" s="427" t="s">
        <v>7947</v>
      </c>
      <c r="K311" s="384">
        <v>400</v>
      </c>
      <c r="L311" s="385" t="s">
        <v>63</v>
      </c>
      <c r="M311" s="385" t="s">
        <v>279</v>
      </c>
      <c r="N311" s="382"/>
      <c r="O311" s="522" t="s">
        <v>267</v>
      </c>
      <c r="P311" s="387" t="str">
        <f>Requisitions_Tracker[[#This Row],[ConOps Contact]]</f>
        <v>Joe Gaca</v>
      </c>
      <c r="Q311" s="385"/>
      <c r="R311" s="388"/>
      <c r="S311" s="388"/>
      <c r="T311" s="385"/>
      <c r="U311" s="388"/>
      <c r="V311" s="388"/>
      <c r="W311" s="385"/>
      <c r="X311" s="389"/>
      <c r="Y311" s="390">
        <f>Requisitions_Tracker[[#This Row],[Unit Price]]*Requisitions_Tracker[[#This Row],[Quantity]]</f>
        <v>0</v>
      </c>
    </row>
    <row r="312" spans="1:25" x14ac:dyDescent="0.25">
      <c r="A312" s="382" t="s">
        <v>7912</v>
      </c>
      <c r="B312" s="385" t="s">
        <v>1134</v>
      </c>
      <c r="C312" s="55" t="s">
        <v>4</v>
      </c>
      <c r="D312" s="384">
        <v>1213707</v>
      </c>
      <c r="E312" s="384" t="s">
        <v>376</v>
      </c>
      <c r="F312" s="385" t="s">
        <v>7983</v>
      </c>
      <c r="G312" s="385" t="s">
        <v>26</v>
      </c>
      <c r="H312" s="515" t="s">
        <v>784</v>
      </c>
      <c r="I312" s="91" t="s">
        <v>247</v>
      </c>
      <c r="J312" s="513" t="s">
        <v>113</v>
      </c>
      <c r="K312" s="384">
        <v>380</v>
      </c>
      <c r="L312" s="385" t="s">
        <v>63</v>
      </c>
      <c r="M312" s="519" t="s">
        <v>389</v>
      </c>
      <c r="N312" s="760"/>
      <c r="O312" s="522"/>
      <c r="P312" s="387" t="str">
        <f>Requisitions_Tracker[[#This Row],[ConOps Contact]]</f>
        <v>Joe Gaca</v>
      </c>
      <c r="Q312" s="385"/>
      <c r="R312" s="388"/>
      <c r="S312" s="388"/>
      <c r="T312" s="385"/>
      <c r="U312" s="388"/>
      <c r="V312" s="388"/>
      <c r="W312" s="385"/>
      <c r="X312" s="389"/>
      <c r="Y312" s="390">
        <f>Requisitions_Tracker[[#This Row],[Unit Price]]*Requisitions_Tracker[[#This Row],[Quantity]]</f>
        <v>0</v>
      </c>
    </row>
    <row r="313" spans="1:25" x14ac:dyDescent="0.25">
      <c r="A313" s="382" t="s">
        <v>7902</v>
      </c>
      <c r="B313" s="385" t="s">
        <v>6567</v>
      </c>
      <c r="C313" s="55" t="s">
        <v>4</v>
      </c>
      <c r="D313" s="384">
        <v>1413864</v>
      </c>
      <c r="E313" s="384">
        <v>11093826</v>
      </c>
      <c r="F313" s="385" t="s">
        <v>1210</v>
      </c>
      <c r="G313" s="385" t="s">
        <v>28</v>
      </c>
      <c r="H313" s="385" t="s">
        <v>1757</v>
      </c>
      <c r="I313" s="91" t="s">
        <v>247</v>
      </c>
      <c r="J313" s="513" t="s">
        <v>188</v>
      </c>
      <c r="K313" s="384">
        <v>240</v>
      </c>
      <c r="L313" s="385" t="s">
        <v>63</v>
      </c>
      <c r="M313" s="519" t="s">
        <v>7863</v>
      </c>
      <c r="N313" s="385" t="s">
        <v>7984</v>
      </c>
      <c r="O313" s="427" t="s">
        <v>7985</v>
      </c>
      <c r="P313" s="387" t="str">
        <f>Requisitions_Tracker[[#This Row],[ConOps Contact]]</f>
        <v>Joe Gaca</v>
      </c>
      <c r="Q313" s="385">
        <v>13766</v>
      </c>
      <c r="R313" s="388">
        <v>45611</v>
      </c>
      <c r="S313" s="388">
        <v>45646</v>
      </c>
      <c r="T313" s="385"/>
      <c r="U313" s="388"/>
      <c r="V313" s="388"/>
      <c r="W313" s="385"/>
      <c r="X313" s="389"/>
      <c r="Y313" s="390">
        <f>Requisitions_Tracker[[#This Row],[Unit Price]]*Requisitions_Tracker[[#This Row],[Quantity]]</f>
        <v>0</v>
      </c>
    </row>
    <row r="314" spans="1:25" x14ac:dyDescent="0.25">
      <c r="A314" s="382" t="s">
        <v>7902</v>
      </c>
      <c r="B314" s="385" t="s">
        <v>6567</v>
      </c>
      <c r="C314" s="55" t="s">
        <v>4</v>
      </c>
      <c r="D314" s="384">
        <v>1413864</v>
      </c>
      <c r="E314" s="384">
        <v>11093826</v>
      </c>
      <c r="F314" s="385" t="s">
        <v>1210</v>
      </c>
      <c r="G314" s="385" t="s">
        <v>28</v>
      </c>
      <c r="H314" s="385" t="s">
        <v>1757</v>
      </c>
      <c r="I314" s="91" t="s">
        <v>247</v>
      </c>
      <c r="J314" s="727" t="s">
        <v>7986</v>
      </c>
      <c r="K314" s="384">
        <v>7</v>
      </c>
      <c r="L314" s="385" t="s">
        <v>321</v>
      </c>
      <c r="M314" s="519" t="s">
        <v>7863</v>
      </c>
      <c r="N314" s="385" t="s">
        <v>7984</v>
      </c>
      <c r="O314" s="427" t="s">
        <v>7985</v>
      </c>
      <c r="P314" s="387" t="str">
        <f>Requisitions_Tracker[[#This Row],[ConOps Contact]]</f>
        <v>Joe Gaca</v>
      </c>
      <c r="Q314" s="385">
        <v>13766</v>
      </c>
      <c r="R314" s="388">
        <v>45611</v>
      </c>
      <c r="S314" s="388">
        <v>45646</v>
      </c>
      <c r="T314" s="385"/>
      <c r="U314" s="388"/>
      <c r="V314" s="388"/>
      <c r="W314" s="385"/>
      <c r="X314" s="389"/>
      <c r="Y314" s="390">
        <f>Requisitions_Tracker[[#This Row],[Unit Price]]*Requisitions_Tracker[[#This Row],[Quantity]]</f>
        <v>0</v>
      </c>
    </row>
    <row r="315" spans="1:25" x14ac:dyDescent="0.25">
      <c r="A315" s="382" t="s">
        <v>7902</v>
      </c>
      <c r="B315" s="385" t="s">
        <v>6567</v>
      </c>
      <c r="C315" s="55" t="s">
        <v>4</v>
      </c>
      <c r="D315" s="384">
        <v>1413864</v>
      </c>
      <c r="E315" s="384">
        <v>11093826</v>
      </c>
      <c r="F315" s="385" t="s">
        <v>1210</v>
      </c>
      <c r="G315" s="385" t="s">
        <v>28</v>
      </c>
      <c r="H315" s="385" t="s">
        <v>1757</v>
      </c>
      <c r="I315" s="91" t="s">
        <v>247</v>
      </c>
      <c r="J315" s="513" t="s">
        <v>7987</v>
      </c>
      <c r="K315" s="384">
        <v>280</v>
      </c>
      <c r="L315" s="385" t="s">
        <v>63</v>
      </c>
      <c r="M315" s="519" t="s">
        <v>7863</v>
      </c>
      <c r="N315" s="385" t="s">
        <v>7984</v>
      </c>
      <c r="O315" s="427" t="s">
        <v>7985</v>
      </c>
      <c r="P315" s="387" t="str">
        <f>Requisitions_Tracker[[#This Row],[ConOps Contact]]</f>
        <v>Joe Gaca</v>
      </c>
      <c r="Q315" s="385">
        <v>13766</v>
      </c>
      <c r="R315" s="388">
        <v>45611</v>
      </c>
      <c r="S315" s="388">
        <v>45646</v>
      </c>
      <c r="T315" s="385"/>
      <c r="U315" s="388"/>
      <c r="V315" s="388"/>
      <c r="W315" s="385"/>
      <c r="X315" s="389"/>
      <c r="Y315" s="390">
        <f>Requisitions_Tracker[[#This Row],[Unit Price]]*Requisitions_Tracker[[#This Row],[Quantity]]</f>
        <v>0</v>
      </c>
    </row>
    <row r="316" spans="1:25" x14ac:dyDescent="0.25">
      <c r="A316" s="382" t="s">
        <v>7902</v>
      </c>
      <c r="B316" s="385" t="s">
        <v>6567</v>
      </c>
      <c r="C316" s="55" t="s">
        <v>4</v>
      </c>
      <c r="D316" s="384">
        <v>1413864</v>
      </c>
      <c r="E316" s="384">
        <v>11093826</v>
      </c>
      <c r="F316" s="385" t="s">
        <v>1210</v>
      </c>
      <c r="G316" s="385" t="s">
        <v>28</v>
      </c>
      <c r="H316" s="385" t="s">
        <v>1757</v>
      </c>
      <c r="I316" s="91" t="s">
        <v>247</v>
      </c>
      <c r="J316" s="727" t="s">
        <v>7988</v>
      </c>
      <c r="K316" s="384">
        <v>4</v>
      </c>
      <c r="L316" s="385" t="s">
        <v>321</v>
      </c>
      <c r="M316" s="519" t="s">
        <v>7863</v>
      </c>
      <c r="N316" s="385" t="s">
        <v>7984</v>
      </c>
      <c r="O316" s="427" t="s">
        <v>7985</v>
      </c>
      <c r="P316" s="387" t="str">
        <f>Requisitions_Tracker[[#This Row],[ConOps Contact]]</f>
        <v>Joe Gaca</v>
      </c>
      <c r="Q316" s="385">
        <v>13766</v>
      </c>
      <c r="R316" s="388">
        <v>45611</v>
      </c>
      <c r="S316" s="388">
        <v>45646</v>
      </c>
      <c r="T316" s="385"/>
      <c r="U316" s="388"/>
      <c r="V316" s="388"/>
      <c r="W316" s="385"/>
      <c r="X316" s="389"/>
      <c r="Y316" s="390">
        <f>Requisitions_Tracker[[#This Row],[Unit Price]]*Requisitions_Tracker[[#This Row],[Quantity]]</f>
        <v>0</v>
      </c>
    </row>
    <row r="317" spans="1:25" x14ac:dyDescent="0.25">
      <c r="A317" s="382" t="s">
        <v>529</v>
      </c>
      <c r="B317" s="385" t="s">
        <v>6792</v>
      </c>
      <c r="C317" s="91" t="s">
        <v>4</v>
      </c>
      <c r="D317" s="384">
        <v>1214002</v>
      </c>
      <c r="E317" s="1208" t="s">
        <v>376</v>
      </c>
      <c r="F317" s="385" t="s">
        <v>6406</v>
      </c>
      <c r="G317" s="385" t="s">
        <v>25</v>
      </c>
      <c r="H317" s="385" t="s">
        <v>784</v>
      </c>
      <c r="I317" s="91" t="s">
        <v>7917</v>
      </c>
      <c r="J317" s="727" t="s">
        <v>7989</v>
      </c>
      <c r="K317" s="384">
        <v>40</v>
      </c>
      <c r="L317" s="385" t="s">
        <v>63</v>
      </c>
      <c r="M317" s="519" t="s">
        <v>529</v>
      </c>
      <c r="N317" s="760" t="s">
        <v>29</v>
      </c>
      <c r="O317" s="386"/>
      <c r="P317" s="387" t="str">
        <f>Requisitions_Tracker[[#This Row],[ConOps Contact]]</f>
        <v>Frank Tanzillo</v>
      </c>
      <c r="Q317" s="385"/>
      <c r="R317" s="388"/>
      <c r="S317" s="388"/>
      <c r="T317" s="385"/>
      <c r="U317" s="388"/>
      <c r="V317" s="388"/>
      <c r="W317" s="385"/>
      <c r="X317" s="389"/>
      <c r="Y317" s="390">
        <f>Requisitions_Tracker[[#This Row],[Unit Price]]*Requisitions_Tracker[[#This Row],[Quantity]]</f>
        <v>0</v>
      </c>
    </row>
    <row r="318" spans="1:25" x14ac:dyDescent="0.25">
      <c r="A318" s="382" t="s">
        <v>529</v>
      </c>
      <c r="B318" s="385" t="s">
        <v>6792</v>
      </c>
      <c r="C318" s="50" t="s">
        <v>4</v>
      </c>
      <c r="D318" s="384">
        <v>1214002</v>
      </c>
      <c r="E318" s="1208" t="s">
        <v>376</v>
      </c>
      <c r="F318" s="385" t="s">
        <v>6406</v>
      </c>
      <c r="G318" s="385" t="s">
        <v>25</v>
      </c>
      <c r="H318" s="385" t="s">
        <v>784</v>
      </c>
      <c r="I318" s="91" t="s">
        <v>7917</v>
      </c>
      <c r="J318" s="727" t="s">
        <v>7990</v>
      </c>
      <c r="K318" s="384">
        <v>80</v>
      </c>
      <c r="L318" s="385" t="s">
        <v>63</v>
      </c>
      <c r="M318" s="519" t="s">
        <v>529</v>
      </c>
      <c r="N318" s="760" t="s">
        <v>29</v>
      </c>
      <c r="O318" s="386"/>
      <c r="P318" s="387" t="str">
        <f>Requisitions_Tracker[[#This Row],[ConOps Contact]]</f>
        <v>Frank Tanzillo</v>
      </c>
      <c r="Q318" s="385"/>
      <c r="R318" s="388"/>
      <c r="S318" s="388"/>
      <c r="T318" s="385"/>
      <c r="U318" s="388"/>
      <c r="V318" s="388"/>
      <c r="W318" s="385"/>
      <c r="X318" s="389"/>
      <c r="Y318" s="390">
        <f>Requisitions_Tracker[[#This Row],[Unit Price]]*Requisitions_Tracker[[#This Row],[Quantity]]</f>
        <v>0</v>
      </c>
    </row>
    <row r="319" spans="1:25" x14ac:dyDescent="0.25">
      <c r="A319" s="501" t="s">
        <v>7902</v>
      </c>
      <c r="B319" s="397" t="s">
        <v>1802</v>
      </c>
      <c r="C319" s="50" t="s">
        <v>4</v>
      </c>
      <c r="D319" s="516">
        <v>1213529</v>
      </c>
      <c r="E319" s="516">
        <v>11090345</v>
      </c>
      <c r="F319" s="517" t="s">
        <v>1807</v>
      </c>
      <c r="G319" s="517" t="s">
        <v>28</v>
      </c>
      <c r="H319" s="517" t="s">
        <v>851</v>
      </c>
      <c r="I319" s="517" t="s">
        <v>7917</v>
      </c>
      <c r="J319" s="503" t="s">
        <v>632</v>
      </c>
      <c r="K319" s="428">
        <v>6840</v>
      </c>
      <c r="L319" s="397" t="s">
        <v>63</v>
      </c>
      <c r="M319" s="397" t="s">
        <v>252</v>
      </c>
      <c r="N319" s="501"/>
      <c r="O319" s="524" t="s">
        <v>585</v>
      </c>
      <c r="P319" s="431" t="s">
        <v>465</v>
      </c>
      <c r="Q319" s="397">
        <v>10965</v>
      </c>
      <c r="R319" s="398">
        <v>45540</v>
      </c>
      <c r="S319" s="398">
        <v>45579</v>
      </c>
      <c r="T319" s="397"/>
      <c r="U319" s="398"/>
      <c r="V319" s="398"/>
      <c r="W319" s="397"/>
      <c r="X319" s="399"/>
      <c r="Y319" s="432">
        <f>Requisitions_Tracker[[#This Row],[Unit Price]]*Requisitions_Tracker[[#This Row],[Quantity]]</f>
        <v>0</v>
      </c>
    </row>
    <row r="320" spans="1:25" x14ac:dyDescent="0.25">
      <c r="A320" s="382" t="s">
        <v>7902</v>
      </c>
      <c r="B320" s="385" t="s">
        <v>6454</v>
      </c>
      <c r="C320" s="55" t="s">
        <v>3</v>
      </c>
      <c r="D320" s="384">
        <v>1013420</v>
      </c>
      <c r="E320" s="384">
        <v>11078652</v>
      </c>
      <c r="F320" s="385" t="s">
        <v>1028</v>
      </c>
      <c r="G320" s="385" t="s">
        <v>34</v>
      </c>
      <c r="H320" s="385" t="s">
        <v>784</v>
      </c>
      <c r="I320" s="385" t="s">
        <v>7917</v>
      </c>
      <c r="J320" s="513" t="s">
        <v>7991</v>
      </c>
      <c r="K320" s="384">
        <v>40</v>
      </c>
      <c r="L320" s="385" t="s">
        <v>63</v>
      </c>
      <c r="M320" s="397" t="s">
        <v>7863</v>
      </c>
      <c r="N320" s="385"/>
      <c r="O320" s="386" t="s">
        <v>7978</v>
      </c>
      <c r="P320" s="387" t="str">
        <f>Requisitions_Tracker[[#This Row],[ConOps Contact]]</f>
        <v>Frank Tanzillo</v>
      </c>
      <c r="Q320" s="385">
        <v>13340</v>
      </c>
      <c r="R320" s="388"/>
      <c r="S320" s="388"/>
      <c r="T320" s="385"/>
      <c r="U320" s="388"/>
      <c r="V320" s="388"/>
      <c r="W320" s="385"/>
      <c r="X320" s="389"/>
      <c r="Y320" s="390">
        <f>Requisitions_Tracker[[#This Row],[Unit Price]]*Requisitions_Tracker[[#This Row],[Quantity]]</f>
        <v>0</v>
      </c>
    </row>
    <row r="321" spans="1:25" x14ac:dyDescent="0.25">
      <c r="A321" s="382" t="s">
        <v>7902</v>
      </c>
      <c r="B321" s="385" t="s">
        <v>6454</v>
      </c>
      <c r="C321" s="55" t="s">
        <v>3</v>
      </c>
      <c r="D321" s="384">
        <v>1013420</v>
      </c>
      <c r="E321" s="384">
        <v>11078652</v>
      </c>
      <c r="F321" s="385" t="s">
        <v>1028</v>
      </c>
      <c r="G321" s="385" t="s">
        <v>34</v>
      </c>
      <c r="H321" s="385" t="s">
        <v>784</v>
      </c>
      <c r="I321" s="385" t="s">
        <v>7917</v>
      </c>
      <c r="J321" s="513" t="s">
        <v>7992</v>
      </c>
      <c r="K321" s="384">
        <v>40</v>
      </c>
      <c r="L321" s="385" t="s">
        <v>63</v>
      </c>
      <c r="M321" s="397" t="s">
        <v>7863</v>
      </c>
      <c r="N321" s="385"/>
      <c r="O321" s="386" t="s">
        <v>7978</v>
      </c>
      <c r="P321" s="387" t="str">
        <f>Requisitions_Tracker[[#This Row],[ConOps Contact]]</f>
        <v>Frank Tanzillo</v>
      </c>
      <c r="Q321" s="385">
        <v>13340</v>
      </c>
      <c r="R321" s="388"/>
      <c r="S321" s="388"/>
      <c r="T321" s="385"/>
      <c r="U321" s="388"/>
      <c r="V321" s="388"/>
      <c r="W321" s="385"/>
      <c r="X321" s="389"/>
      <c r="Y321" s="390">
        <f>Requisitions_Tracker[[#This Row],[Unit Price]]*Requisitions_Tracker[[#This Row],[Quantity]]</f>
        <v>0</v>
      </c>
    </row>
    <row r="322" spans="1:25" x14ac:dyDescent="0.25">
      <c r="A322" s="382" t="s">
        <v>7902</v>
      </c>
      <c r="B322" s="385" t="s">
        <v>6454</v>
      </c>
      <c r="C322" s="55" t="s">
        <v>3</v>
      </c>
      <c r="D322" s="384">
        <v>1013420</v>
      </c>
      <c r="E322" s="384">
        <v>11078652</v>
      </c>
      <c r="F322" s="385" t="s">
        <v>1028</v>
      </c>
      <c r="G322" s="385" t="s">
        <v>34</v>
      </c>
      <c r="H322" s="385" t="s">
        <v>784</v>
      </c>
      <c r="I322" s="385" t="s">
        <v>7917</v>
      </c>
      <c r="J322" s="427" t="s">
        <v>7993</v>
      </c>
      <c r="K322" s="384">
        <v>40</v>
      </c>
      <c r="L322" s="385" t="s">
        <v>63</v>
      </c>
      <c r="M322" s="397" t="s">
        <v>7863</v>
      </c>
      <c r="N322" s="385"/>
      <c r="O322" s="386" t="s">
        <v>7978</v>
      </c>
      <c r="P322" s="387" t="str">
        <f>Requisitions_Tracker[[#This Row],[ConOps Contact]]</f>
        <v>Frank Tanzillo</v>
      </c>
      <c r="Q322" s="385">
        <v>13340</v>
      </c>
      <c r="R322" s="388"/>
      <c r="S322" s="388"/>
      <c r="T322" s="385"/>
      <c r="U322" s="388"/>
      <c r="V322" s="388"/>
      <c r="W322" s="385"/>
      <c r="X322" s="389"/>
      <c r="Y322" s="390">
        <f>Requisitions_Tracker[[#This Row],[Unit Price]]*Requisitions_Tracker[[#This Row],[Quantity]]</f>
        <v>0</v>
      </c>
    </row>
    <row r="323" spans="1:25" ht="30" x14ac:dyDescent="0.25">
      <c r="A323" s="382" t="s">
        <v>7902</v>
      </c>
      <c r="B323" s="385" t="s">
        <v>6454</v>
      </c>
      <c r="C323" s="55" t="s">
        <v>3</v>
      </c>
      <c r="D323" s="384">
        <v>1013420</v>
      </c>
      <c r="E323" s="384">
        <v>11078652</v>
      </c>
      <c r="F323" s="385" t="s">
        <v>1028</v>
      </c>
      <c r="G323" s="385" t="s">
        <v>34</v>
      </c>
      <c r="H323" s="385" t="s">
        <v>784</v>
      </c>
      <c r="I323" s="385" t="s">
        <v>7917</v>
      </c>
      <c r="J323" s="386" t="s">
        <v>7994</v>
      </c>
      <c r="K323" s="384">
        <v>1</v>
      </c>
      <c r="L323" s="385" t="s">
        <v>321</v>
      </c>
      <c r="M323" s="397" t="s">
        <v>7863</v>
      </c>
      <c r="N323" s="385"/>
      <c r="O323" s="386" t="s">
        <v>7978</v>
      </c>
      <c r="P323" s="387" t="str">
        <f>Requisitions_Tracker[[#This Row],[ConOps Contact]]</f>
        <v>Frank Tanzillo</v>
      </c>
      <c r="Q323" s="385">
        <v>13340</v>
      </c>
      <c r="R323" s="388"/>
      <c r="S323" s="388"/>
      <c r="T323" s="385"/>
      <c r="U323" s="388"/>
      <c r="V323" s="388"/>
      <c r="W323" s="385"/>
      <c r="X323" s="389"/>
      <c r="Y323" s="390">
        <f>Requisitions_Tracker[[#This Row],[Unit Price]]*Requisitions_Tracker[[#This Row],[Quantity]]</f>
        <v>0</v>
      </c>
    </row>
    <row r="324" spans="1:25" ht="30" x14ac:dyDescent="0.25">
      <c r="A324" s="382" t="s">
        <v>7902</v>
      </c>
      <c r="B324" s="385" t="s">
        <v>6454</v>
      </c>
      <c r="C324" s="55" t="s">
        <v>3</v>
      </c>
      <c r="D324" s="384">
        <v>1013420</v>
      </c>
      <c r="E324" s="384">
        <v>11078652</v>
      </c>
      <c r="F324" s="385" t="s">
        <v>1028</v>
      </c>
      <c r="G324" s="385" t="s">
        <v>34</v>
      </c>
      <c r="H324" s="385" t="s">
        <v>784</v>
      </c>
      <c r="I324" s="385" t="s">
        <v>7917</v>
      </c>
      <c r="J324" s="386" t="s">
        <v>484</v>
      </c>
      <c r="K324" s="384">
        <v>1</v>
      </c>
      <c r="L324" s="385" t="s">
        <v>321</v>
      </c>
      <c r="M324" s="397" t="s">
        <v>7863</v>
      </c>
      <c r="N324" s="385"/>
      <c r="O324" s="386" t="s">
        <v>7978</v>
      </c>
      <c r="P324" s="387" t="str">
        <f>Requisitions_Tracker[[#This Row],[ConOps Contact]]</f>
        <v>Frank Tanzillo</v>
      </c>
      <c r="Q324" s="385">
        <v>13340</v>
      </c>
      <c r="R324" s="388"/>
      <c r="S324" s="388"/>
      <c r="T324" s="385"/>
      <c r="U324" s="388"/>
      <c r="V324" s="388"/>
      <c r="W324" s="385"/>
      <c r="X324" s="389"/>
      <c r="Y324" s="390">
        <f>Requisitions_Tracker[[#This Row],[Unit Price]]*Requisitions_Tracker[[#This Row],[Quantity]]</f>
        <v>0</v>
      </c>
    </row>
    <row r="325" spans="1:25" ht="30" x14ac:dyDescent="0.25">
      <c r="A325" s="382" t="s">
        <v>7902</v>
      </c>
      <c r="B325" s="385" t="s">
        <v>6454</v>
      </c>
      <c r="C325" s="55" t="s">
        <v>3</v>
      </c>
      <c r="D325" s="384">
        <v>1013420</v>
      </c>
      <c r="E325" s="384">
        <v>11078652</v>
      </c>
      <c r="F325" s="385" t="s">
        <v>1028</v>
      </c>
      <c r="G325" s="385" t="s">
        <v>34</v>
      </c>
      <c r="H325" s="385" t="s">
        <v>784</v>
      </c>
      <c r="I325" s="385" t="s">
        <v>7917</v>
      </c>
      <c r="J325" s="386" t="s">
        <v>7995</v>
      </c>
      <c r="K325" s="384">
        <v>1</v>
      </c>
      <c r="L325" s="385" t="s">
        <v>321</v>
      </c>
      <c r="M325" s="397" t="s">
        <v>7863</v>
      </c>
      <c r="N325" s="385"/>
      <c r="O325" s="386" t="s">
        <v>7978</v>
      </c>
      <c r="P325" s="387" t="str">
        <f>Requisitions_Tracker[[#This Row],[ConOps Contact]]</f>
        <v>Frank Tanzillo</v>
      </c>
      <c r="Q325" s="385">
        <v>13340</v>
      </c>
      <c r="R325" s="388"/>
      <c r="S325" s="388"/>
      <c r="T325" s="385"/>
      <c r="U325" s="388"/>
      <c r="V325" s="388"/>
      <c r="W325" s="385"/>
      <c r="X325" s="389"/>
      <c r="Y325" s="390">
        <f>Requisitions_Tracker[[#This Row],[Unit Price]]*Requisitions_Tracker[[#This Row],[Quantity]]</f>
        <v>0</v>
      </c>
    </row>
    <row r="326" spans="1:25" x14ac:dyDescent="0.25">
      <c r="A326" s="382" t="s">
        <v>7902</v>
      </c>
      <c r="B326" s="385" t="s">
        <v>6454</v>
      </c>
      <c r="C326" s="55" t="s">
        <v>3</v>
      </c>
      <c r="D326" s="384">
        <v>1013420</v>
      </c>
      <c r="E326" s="384">
        <v>11078652</v>
      </c>
      <c r="F326" s="385" t="s">
        <v>1028</v>
      </c>
      <c r="G326" s="385" t="s">
        <v>34</v>
      </c>
      <c r="H326" s="385" t="s">
        <v>784</v>
      </c>
      <c r="I326" s="385" t="s">
        <v>7917</v>
      </c>
      <c r="J326" s="427" t="s">
        <v>7996</v>
      </c>
      <c r="K326" s="384">
        <v>1</v>
      </c>
      <c r="L326" s="385" t="s">
        <v>321</v>
      </c>
      <c r="M326" s="397" t="s">
        <v>7863</v>
      </c>
      <c r="N326" s="385"/>
      <c r="O326" s="386" t="s">
        <v>7978</v>
      </c>
      <c r="P326" s="387" t="str">
        <f>Requisitions_Tracker[[#This Row],[ConOps Contact]]</f>
        <v>Frank Tanzillo</v>
      </c>
      <c r="Q326" s="385">
        <v>13340</v>
      </c>
      <c r="R326" s="388"/>
      <c r="S326" s="388"/>
      <c r="T326" s="385"/>
      <c r="U326" s="388"/>
      <c r="V326" s="388"/>
      <c r="W326" s="385"/>
      <c r="X326" s="389"/>
      <c r="Y326" s="390">
        <f>Requisitions_Tracker[[#This Row],[Unit Price]]*Requisitions_Tracker[[#This Row],[Quantity]]</f>
        <v>0</v>
      </c>
    </row>
    <row r="327" spans="1:25" x14ac:dyDescent="0.25">
      <c r="A327" s="382" t="s">
        <v>7902</v>
      </c>
      <c r="B327" s="385" t="s">
        <v>6454</v>
      </c>
      <c r="C327" s="55" t="s">
        <v>3</v>
      </c>
      <c r="D327" s="384">
        <v>1013420</v>
      </c>
      <c r="E327" s="384">
        <v>11078652</v>
      </c>
      <c r="F327" s="385" t="s">
        <v>1028</v>
      </c>
      <c r="G327" s="385" t="s">
        <v>34</v>
      </c>
      <c r="H327" s="385" t="s">
        <v>784</v>
      </c>
      <c r="I327" s="385" t="s">
        <v>7917</v>
      </c>
      <c r="J327" s="427" t="s">
        <v>7997</v>
      </c>
      <c r="K327" s="384">
        <v>1</v>
      </c>
      <c r="L327" s="385" t="s">
        <v>321</v>
      </c>
      <c r="M327" s="397" t="s">
        <v>7863</v>
      </c>
      <c r="N327" s="385"/>
      <c r="O327" s="386" t="s">
        <v>7978</v>
      </c>
      <c r="P327" s="387" t="str">
        <f>Requisitions_Tracker[[#This Row],[ConOps Contact]]</f>
        <v>Frank Tanzillo</v>
      </c>
      <c r="Q327" s="385">
        <v>13340</v>
      </c>
      <c r="R327" s="388"/>
      <c r="S327" s="388"/>
      <c r="T327" s="385"/>
      <c r="U327" s="388"/>
      <c r="V327" s="388"/>
      <c r="W327" s="385"/>
      <c r="X327" s="389"/>
      <c r="Y327" s="390">
        <f>Requisitions_Tracker[[#This Row],[Unit Price]]*Requisitions_Tracker[[#This Row],[Quantity]]</f>
        <v>0</v>
      </c>
    </row>
    <row r="328" spans="1:25" x14ac:dyDescent="0.25">
      <c r="A328" s="382" t="s">
        <v>7902</v>
      </c>
      <c r="B328" s="385" t="s">
        <v>6454</v>
      </c>
      <c r="C328" s="55" t="s">
        <v>3</v>
      </c>
      <c r="D328" s="384">
        <v>1013420</v>
      </c>
      <c r="E328" s="384">
        <v>11078652</v>
      </c>
      <c r="F328" s="385" t="s">
        <v>1028</v>
      </c>
      <c r="G328" s="385" t="s">
        <v>34</v>
      </c>
      <c r="H328" s="385" t="s">
        <v>784</v>
      </c>
      <c r="I328" s="385" t="s">
        <v>7917</v>
      </c>
      <c r="J328" s="427" t="s">
        <v>7998</v>
      </c>
      <c r="K328" s="384">
        <v>1</v>
      </c>
      <c r="L328" s="385" t="s">
        <v>321</v>
      </c>
      <c r="M328" s="397" t="s">
        <v>7863</v>
      </c>
      <c r="N328" s="385"/>
      <c r="O328" s="386" t="s">
        <v>7978</v>
      </c>
      <c r="P328" s="387" t="str">
        <f>Requisitions_Tracker[[#This Row],[ConOps Contact]]</f>
        <v>Frank Tanzillo</v>
      </c>
      <c r="Q328" s="385">
        <v>13340</v>
      </c>
      <c r="R328" s="388"/>
      <c r="S328" s="388"/>
      <c r="T328" s="385"/>
      <c r="U328" s="388"/>
      <c r="V328" s="388"/>
      <c r="W328" s="385"/>
      <c r="X328" s="389"/>
      <c r="Y328" s="390">
        <f>Requisitions_Tracker[[#This Row],[Unit Price]]*Requisitions_Tracker[[#This Row],[Quantity]]</f>
        <v>0</v>
      </c>
    </row>
    <row r="329" spans="1:25" x14ac:dyDescent="0.25">
      <c r="A329" s="382" t="s">
        <v>7902</v>
      </c>
      <c r="B329" s="385" t="s">
        <v>6454</v>
      </c>
      <c r="C329" s="55" t="s">
        <v>3</v>
      </c>
      <c r="D329" s="384">
        <v>1013420</v>
      </c>
      <c r="E329" s="384">
        <v>11078652</v>
      </c>
      <c r="F329" s="385" t="s">
        <v>1028</v>
      </c>
      <c r="G329" s="385" t="s">
        <v>34</v>
      </c>
      <c r="H329" s="385" t="s">
        <v>784</v>
      </c>
      <c r="I329" s="385" t="s">
        <v>7917</v>
      </c>
      <c r="J329" s="427" t="s">
        <v>7999</v>
      </c>
      <c r="K329" s="384">
        <v>1</v>
      </c>
      <c r="L329" s="385" t="s">
        <v>321</v>
      </c>
      <c r="M329" s="397" t="s">
        <v>7863</v>
      </c>
      <c r="N329" s="385"/>
      <c r="O329" s="386" t="s">
        <v>7978</v>
      </c>
      <c r="P329" s="387" t="str">
        <f>Requisitions_Tracker[[#This Row],[ConOps Contact]]</f>
        <v>Frank Tanzillo</v>
      </c>
      <c r="Q329" s="385">
        <v>13340</v>
      </c>
      <c r="R329" s="388"/>
      <c r="S329" s="388"/>
      <c r="T329" s="385"/>
      <c r="U329" s="388"/>
      <c r="V329" s="388"/>
      <c r="W329" s="385"/>
      <c r="X329" s="389"/>
      <c r="Y329" s="390">
        <f>Requisitions_Tracker[[#This Row],[Unit Price]]*Requisitions_Tracker[[#This Row],[Quantity]]</f>
        <v>0</v>
      </c>
    </row>
    <row r="330" spans="1:25" x14ac:dyDescent="0.25">
      <c r="A330" s="382" t="s">
        <v>7902</v>
      </c>
      <c r="B330" s="433" t="s">
        <v>6454</v>
      </c>
      <c r="C330" s="57" t="s">
        <v>3</v>
      </c>
      <c r="D330" s="753">
        <v>1013420</v>
      </c>
      <c r="E330" s="384">
        <v>11078652</v>
      </c>
      <c r="F330" s="385" t="s">
        <v>1028</v>
      </c>
      <c r="G330" s="385" t="s">
        <v>34</v>
      </c>
      <c r="H330" s="385" t="s">
        <v>784</v>
      </c>
      <c r="I330" s="385" t="s">
        <v>7917</v>
      </c>
      <c r="J330" s="427" t="s">
        <v>8000</v>
      </c>
      <c r="K330" s="384">
        <v>1</v>
      </c>
      <c r="L330" s="385" t="s">
        <v>321</v>
      </c>
      <c r="M330" s="397" t="s">
        <v>7863</v>
      </c>
      <c r="N330" s="385"/>
      <c r="O330" s="386" t="s">
        <v>7978</v>
      </c>
      <c r="P330" s="431" t="str">
        <f>Requisitions_Tracker[[#This Row],[ConOps Contact]]</f>
        <v>Frank Tanzillo</v>
      </c>
      <c r="Q330" s="385">
        <v>13340</v>
      </c>
      <c r="R330" s="398"/>
      <c r="S330" s="398"/>
      <c r="T330" s="397"/>
      <c r="U330" s="398"/>
      <c r="V330" s="398"/>
      <c r="W330" s="397"/>
      <c r="X330" s="399"/>
      <c r="Y330" s="432">
        <f>Requisitions_Tracker[[#This Row],[Unit Price]]*Requisitions_Tracker[[#This Row],[Quantity]]</f>
        <v>0</v>
      </c>
    </row>
    <row r="331" spans="1:25" ht="75" x14ac:dyDescent="0.25">
      <c r="A331" s="760" t="s">
        <v>7902</v>
      </c>
      <c r="B331" s="515" t="s">
        <v>6828</v>
      </c>
      <c r="C331" s="55" t="s">
        <v>3</v>
      </c>
      <c r="D331" s="753">
        <v>1614148</v>
      </c>
      <c r="E331" s="384">
        <v>11090755</v>
      </c>
      <c r="F331" s="385" t="s">
        <v>8001</v>
      </c>
      <c r="G331" s="385" t="s">
        <v>34</v>
      </c>
      <c r="H331" s="385" t="s">
        <v>851</v>
      </c>
      <c r="I331" s="385" t="s">
        <v>590</v>
      </c>
      <c r="J331" s="386" t="s">
        <v>8002</v>
      </c>
      <c r="K331" s="384">
        <v>2</v>
      </c>
      <c r="L331" s="385" t="s">
        <v>321</v>
      </c>
      <c r="M331" s="397" t="s">
        <v>7915</v>
      </c>
      <c r="N331" s="385"/>
      <c r="O331" s="386" t="s">
        <v>8003</v>
      </c>
      <c r="P331" s="387" t="str">
        <f>Requisitions_Tracker[[#This Row],[ConOps Contact]]</f>
        <v>Jeremy Rempert</v>
      </c>
      <c r="Q331" s="385">
        <v>13444</v>
      </c>
      <c r="R331" s="388">
        <v>45587</v>
      </c>
      <c r="S331" s="388">
        <v>45595</v>
      </c>
      <c r="T331" s="385"/>
      <c r="U331" s="388"/>
      <c r="V331" s="388"/>
      <c r="W331" s="385"/>
      <c r="X331" s="389"/>
      <c r="Y331" s="390">
        <f>Requisitions_Tracker[[#This Row],[Unit Price]]*Requisitions_Tracker[[#This Row],[Quantity]]</f>
        <v>0</v>
      </c>
    </row>
    <row r="332" spans="1:25" ht="75" x14ac:dyDescent="0.25">
      <c r="A332" s="761" t="s">
        <v>7902</v>
      </c>
      <c r="B332" s="515" t="s">
        <v>6828</v>
      </c>
      <c r="C332" s="57" t="s">
        <v>3</v>
      </c>
      <c r="D332" s="434">
        <v>1614148</v>
      </c>
      <c r="E332" s="428">
        <v>11090755</v>
      </c>
      <c r="F332" s="397" t="s">
        <v>8001</v>
      </c>
      <c r="G332" s="397" t="s">
        <v>34</v>
      </c>
      <c r="H332" s="397" t="s">
        <v>851</v>
      </c>
      <c r="I332" s="397" t="s">
        <v>590</v>
      </c>
      <c r="J332" s="430" t="s">
        <v>8004</v>
      </c>
      <c r="K332" s="428">
        <v>2</v>
      </c>
      <c r="L332" s="397" t="s">
        <v>321</v>
      </c>
      <c r="M332" s="397" t="s">
        <v>7915</v>
      </c>
      <c r="N332" s="397"/>
      <c r="O332" s="430" t="s">
        <v>8003</v>
      </c>
      <c r="P332" s="431" t="str">
        <f>Requisitions_Tracker[[#This Row],[ConOps Contact]]</f>
        <v>Jeremy Rempert</v>
      </c>
      <c r="Q332" s="397">
        <v>13444</v>
      </c>
      <c r="R332" s="398">
        <v>45587</v>
      </c>
      <c r="S332" s="398">
        <v>45595</v>
      </c>
      <c r="T332" s="397"/>
      <c r="U332" s="398"/>
      <c r="V332" s="398"/>
      <c r="W332" s="397"/>
      <c r="X332" s="399"/>
      <c r="Y332" s="432">
        <f>Requisitions_Tracker[[#This Row],[Unit Price]]*Requisitions_Tracker[[#This Row],[Quantity]]</f>
        <v>0</v>
      </c>
    </row>
    <row r="333" spans="1:25" x14ac:dyDescent="0.25">
      <c r="A333" s="382" t="s">
        <v>7902</v>
      </c>
      <c r="B333" s="764" t="s">
        <v>6641</v>
      </c>
      <c r="C333" s="55" t="s">
        <v>2</v>
      </c>
      <c r="D333" s="753">
        <v>1014093</v>
      </c>
      <c r="E333" s="384">
        <v>11090425</v>
      </c>
      <c r="F333" s="385" t="s">
        <v>5171</v>
      </c>
      <c r="G333" s="385" t="s">
        <v>34</v>
      </c>
      <c r="H333" s="385" t="s">
        <v>8005</v>
      </c>
      <c r="I333" s="385" t="s">
        <v>8006</v>
      </c>
      <c r="J333" s="427" t="s">
        <v>8007</v>
      </c>
      <c r="K333" s="384">
        <v>1</v>
      </c>
      <c r="L333" s="385" t="s">
        <v>321</v>
      </c>
      <c r="M333" s="397" t="s">
        <v>7863</v>
      </c>
      <c r="N333" s="385"/>
      <c r="O333" s="386" t="s">
        <v>585</v>
      </c>
      <c r="P333" s="387" t="str">
        <f>Requisitions_Tracker[[#This Row],[ConOps Contact]]</f>
        <v>Kyle Phillips</v>
      </c>
      <c r="Q333" s="385">
        <v>13615</v>
      </c>
      <c r="R333" s="388">
        <v>45604</v>
      </c>
      <c r="S333" s="388">
        <v>45352</v>
      </c>
      <c r="T333" s="385"/>
      <c r="U333" s="388"/>
      <c r="V333" s="388"/>
      <c r="W333" s="385"/>
      <c r="X333" s="389"/>
      <c r="Y333" s="390">
        <f>Requisitions_Tracker[[#This Row],[Unit Price]]*Requisitions_Tracker[[#This Row],[Quantity]]</f>
        <v>0</v>
      </c>
    </row>
    <row r="334" spans="1:25" x14ac:dyDescent="0.25">
      <c r="A334" s="382" t="s">
        <v>7902</v>
      </c>
      <c r="B334" s="764" t="s">
        <v>6682</v>
      </c>
      <c r="C334" s="55" t="s">
        <v>2</v>
      </c>
      <c r="D334" s="753">
        <v>1014094</v>
      </c>
      <c r="E334" s="384">
        <v>11090427</v>
      </c>
      <c r="F334" s="385" t="s">
        <v>1028</v>
      </c>
      <c r="G334" s="385" t="s">
        <v>34</v>
      </c>
      <c r="H334" s="385" t="s">
        <v>8005</v>
      </c>
      <c r="I334" s="385" t="s">
        <v>8006</v>
      </c>
      <c r="J334" s="427" t="s">
        <v>8008</v>
      </c>
      <c r="K334" s="384">
        <v>1</v>
      </c>
      <c r="L334" s="385" t="s">
        <v>321</v>
      </c>
      <c r="M334" s="397" t="s">
        <v>7863</v>
      </c>
      <c r="N334" s="385"/>
      <c r="O334" s="386" t="s">
        <v>585</v>
      </c>
      <c r="P334" s="387" t="str">
        <f>Requisitions_Tracker[[#This Row],[ConOps Contact]]</f>
        <v>Kyle Phillips</v>
      </c>
      <c r="Q334" s="385">
        <v>13617</v>
      </c>
      <c r="R334" s="388">
        <v>45604</v>
      </c>
      <c r="S334" s="388">
        <v>45352</v>
      </c>
      <c r="T334" s="385"/>
      <c r="U334" s="388"/>
      <c r="V334" s="388"/>
      <c r="W334" s="385"/>
      <c r="X334" s="389"/>
      <c r="Y334" s="390">
        <f>Requisitions_Tracker[[#This Row],[Unit Price]]*Requisitions_Tracker[[#This Row],[Quantity]]</f>
        <v>0</v>
      </c>
    </row>
    <row r="335" spans="1:25" x14ac:dyDescent="0.25">
      <c r="A335" s="501" t="s">
        <v>8009</v>
      </c>
      <c r="B335" s="433" t="s">
        <v>6691</v>
      </c>
      <c r="C335" s="55" t="s">
        <v>2</v>
      </c>
      <c r="D335" s="434">
        <v>1014110</v>
      </c>
      <c r="E335" s="428">
        <v>11091946</v>
      </c>
      <c r="F335" s="397" t="s">
        <v>8010</v>
      </c>
      <c r="G335" s="397" t="s">
        <v>34</v>
      </c>
      <c r="H335" s="397" t="s">
        <v>8005</v>
      </c>
      <c r="I335" s="397" t="s">
        <v>8006</v>
      </c>
      <c r="J335" s="427" t="s">
        <v>8011</v>
      </c>
      <c r="K335" s="428">
        <v>1</v>
      </c>
      <c r="L335" s="397" t="s">
        <v>321</v>
      </c>
      <c r="M335" s="397"/>
      <c r="N335" s="397"/>
      <c r="O335" s="430"/>
      <c r="P335" s="431" t="str">
        <f>Requisitions_Tracker[[#This Row],[ConOps Contact]]</f>
        <v>Kyle Phillips</v>
      </c>
      <c r="Q335" s="397"/>
      <c r="R335" s="398"/>
      <c r="S335" s="398"/>
      <c r="T335" s="397"/>
      <c r="U335" s="398"/>
      <c r="V335" s="398"/>
      <c r="W335" s="397"/>
      <c r="X335" s="399"/>
      <c r="Y335" s="432">
        <f>Requisitions_Tracker[[#This Row],[Unit Price]]*Requisitions_Tracker[[#This Row],[Quantity]]</f>
        <v>0</v>
      </c>
    </row>
    <row r="336" spans="1:25" x14ac:dyDescent="0.25">
      <c r="A336" s="501" t="s">
        <v>59</v>
      </c>
      <c r="B336" s="397" t="s">
        <v>6735</v>
      </c>
      <c r="C336" s="433" t="s">
        <v>3</v>
      </c>
      <c r="D336" s="428">
        <v>1913958</v>
      </c>
      <c r="E336" s="428">
        <v>11093737</v>
      </c>
      <c r="F336" s="397" t="s">
        <v>595</v>
      </c>
      <c r="G336" s="397" t="s">
        <v>32</v>
      </c>
      <c r="H336" s="397" t="s">
        <v>851</v>
      </c>
      <c r="I336" s="397" t="s">
        <v>8012</v>
      </c>
      <c r="J336" s="429" t="s">
        <v>8013</v>
      </c>
      <c r="K336" s="428">
        <v>1</v>
      </c>
      <c r="L336" s="397" t="s">
        <v>321</v>
      </c>
      <c r="M336" s="519" t="s">
        <v>7915</v>
      </c>
      <c r="N336" s="397"/>
      <c r="O336" s="430" t="s">
        <v>8014</v>
      </c>
      <c r="P336" s="431" t="str">
        <f>Requisitions_Tracker[[#This Row],[ConOps Contact]]</f>
        <v>Dan Bock</v>
      </c>
      <c r="Q336" s="397">
        <v>13731</v>
      </c>
      <c r="R336" s="398">
        <v>45608</v>
      </c>
      <c r="S336" s="398">
        <v>45639</v>
      </c>
      <c r="T336" s="397" t="s">
        <v>8015</v>
      </c>
      <c r="U336" s="398">
        <v>45630</v>
      </c>
      <c r="V336" s="398">
        <v>45657</v>
      </c>
      <c r="W336" s="397" t="s">
        <v>7894</v>
      </c>
      <c r="X336" s="399">
        <v>196.5</v>
      </c>
      <c r="Y336" s="432">
        <f>Requisitions_Tracker[[#This Row],[Unit Price]]*Requisitions_Tracker[[#This Row],[Quantity]]</f>
        <v>196.5</v>
      </c>
    </row>
    <row r="337" spans="1:25" x14ac:dyDescent="0.25">
      <c r="A337" s="501" t="s">
        <v>59</v>
      </c>
      <c r="B337" s="397" t="s">
        <v>6735</v>
      </c>
      <c r="C337" s="433" t="s">
        <v>3</v>
      </c>
      <c r="D337" s="428">
        <v>1913958</v>
      </c>
      <c r="E337" s="428">
        <v>11093737</v>
      </c>
      <c r="F337" s="397" t="s">
        <v>595</v>
      </c>
      <c r="G337" s="397" t="s">
        <v>32</v>
      </c>
      <c r="H337" s="397" t="s">
        <v>851</v>
      </c>
      <c r="I337" s="397" t="s">
        <v>8012</v>
      </c>
      <c r="J337" s="429" t="s">
        <v>593</v>
      </c>
      <c r="K337" s="428">
        <v>5</v>
      </c>
      <c r="L337" s="397" t="s">
        <v>321</v>
      </c>
      <c r="M337" s="519" t="s">
        <v>7915</v>
      </c>
      <c r="N337" s="397"/>
      <c r="O337" s="430" t="s">
        <v>8014</v>
      </c>
      <c r="P337" s="431" t="str">
        <f>Requisitions_Tracker[[#This Row],[ConOps Contact]]</f>
        <v>Dan Bock</v>
      </c>
      <c r="Q337" s="397">
        <v>13731</v>
      </c>
      <c r="R337" s="398">
        <v>45608</v>
      </c>
      <c r="S337" s="398">
        <v>45639</v>
      </c>
      <c r="T337" s="397" t="s">
        <v>8015</v>
      </c>
      <c r="U337" s="398">
        <v>45630</v>
      </c>
      <c r="V337" s="398">
        <v>45657</v>
      </c>
      <c r="W337" s="397" t="s">
        <v>7894</v>
      </c>
      <c r="X337" s="399">
        <v>206.25</v>
      </c>
      <c r="Y337" s="432">
        <f>Requisitions_Tracker[[#This Row],[Unit Price]]*Requisitions_Tracker[[#This Row],[Quantity]]</f>
        <v>1031.25</v>
      </c>
    </row>
    <row r="338" spans="1:25" x14ac:dyDescent="0.25">
      <c r="A338" s="501" t="s">
        <v>7902</v>
      </c>
      <c r="B338" s="385" t="s">
        <v>6752</v>
      </c>
      <c r="C338" s="433" t="s">
        <v>3</v>
      </c>
      <c r="D338" s="384">
        <v>1414140</v>
      </c>
      <c r="E338" s="384">
        <v>11091945</v>
      </c>
      <c r="F338" s="385" t="s">
        <v>5564</v>
      </c>
      <c r="G338" s="385" t="s">
        <v>31</v>
      </c>
      <c r="H338" s="385" t="s">
        <v>1757</v>
      </c>
      <c r="I338" s="385" t="s">
        <v>8016</v>
      </c>
      <c r="J338" s="427" t="s">
        <v>7868</v>
      </c>
      <c r="K338" s="384">
        <v>1320</v>
      </c>
      <c r="L338" s="385" t="s">
        <v>374</v>
      </c>
      <c r="M338" s="519" t="s">
        <v>7915</v>
      </c>
      <c r="N338" s="385"/>
      <c r="O338" s="386" t="s">
        <v>8017</v>
      </c>
      <c r="P338" s="387" t="s">
        <v>8018</v>
      </c>
      <c r="Q338" s="385">
        <v>14190</v>
      </c>
      <c r="R338" s="388">
        <v>45637</v>
      </c>
      <c r="S338" s="388">
        <v>45318</v>
      </c>
      <c r="T338" s="385"/>
      <c r="U338" s="388"/>
      <c r="V338" s="388"/>
      <c r="W338" s="385"/>
      <c r="X338" s="389"/>
      <c r="Y338" s="390">
        <f>Requisitions_Tracker[[#This Row],[Unit Price]]*Requisitions_Tracker[[#This Row],[Quantity]]</f>
        <v>0</v>
      </c>
    </row>
    <row r="339" spans="1:25" x14ac:dyDescent="0.25">
      <c r="A339" s="501" t="s">
        <v>7902</v>
      </c>
      <c r="B339" s="385" t="s">
        <v>6752</v>
      </c>
      <c r="C339" s="433" t="s">
        <v>3</v>
      </c>
      <c r="D339" s="384">
        <v>1414140</v>
      </c>
      <c r="E339" s="384">
        <v>11091945</v>
      </c>
      <c r="F339" s="385" t="s">
        <v>5564</v>
      </c>
      <c r="G339" s="385" t="s">
        <v>31</v>
      </c>
      <c r="H339" s="385" t="s">
        <v>1757</v>
      </c>
      <c r="I339" s="385" t="s">
        <v>8016</v>
      </c>
      <c r="J339" s="427" t="s">
        <v>362</v>
      </c>
      <c r="K339" s="384">
        <v>3</v>
      </c>
      <c r="L339" s="385" t="s">
        <v>321</v>
      </c>
      <c r="M339" s="519" t="s">
        <v>7915</v>
      </c>
      <c r="N339" s="385"/>
      <c r="O339" s="386" t="s">
        <v>8017</v>
      </c>
      <c r="P339" s="387" t="s">
        <v>8018</v>
      </c>
      <c r="Q339" s="385">
        <v>14190</v>
      </c>
      <c r="R339" s="388">
        <v>45637</v>
      </c>
      <c r="S339" s="388">
        <v>45318</v>
      </c>
      <c r="T339" s="385"/>
      <c r="U339" s="388"/>
      <c r="V339" s="388"/>
      <c r="W339" s="385"/>
      <c r="X339" s="389"/>
      <c r="Y339" s="390">
        <f>Requisitions_Tracker[[#This Row],[Unit Price]]*Requisitions_Tracker[[#This Row],[Quantity]]</f>
        <v>0</v>
      </c>
    </row>
    <row r="340" spans="1:25" x14ac:dyDescent="0.25">
      <c r="A340" s="501" t="s">
        <v>7902</v>
      </c>
      <c r="B340" s="385" t="s">
        <v>6752</v>
      </c>
      <c r="C340" s="433" t="s">
        <v>3</v>
      </c>
      <c r="D340" s="384">
        <v>1414140</v>
      </c>
      <c r="E340" s="384">
        <v>11091945</v>
      </c>
      <c r="F340" s="385" t="s">
        <v>5564</v>
      </c>
      <c r="G340" s="385" t="s">
        <v>31</v>
      </c>
      <c r="H340" s="385" t="s">
        <v>1757</v>
      </c>
      <c r="I340" s="385" t="s">
        <v>8016</v>
      </c>
      <c r="J340" s="427" t="s">
        <v>616</v>
      </c>
      <c r="K340" s="384">
        <v>1</v>
      </c>
      <c r="L340" s="385" t="s">
        <v>321</v>
      </c>
      <c r="M340" s="519" t="s">
        <v>7915</v>
      </c>
      <c r="N340" s="385"/>
      <c r="O340" s="386" t="s">
        <v>8017</v>
      </c>
      <c r="P340" s="387" t="s">
        <v>8018</v>
      </c>
      <c r="Q340" s="385">
        <v>14190</v>
      </c>
      <c r="R340" s="388">
        <v>45637</v>
      </c>
      <c r="S340" s="388">
        <v>45318</v>
      </c>
      <c r="T340" s="385"/>
      <c r="U340" s="388"/>
      <c r="V340" s="388"/>
      <c r="W340" s="385"/>
      <c r="X340" s="389"/>
      <c r="Y340" s="390">
        <f>Requisitions_Tracker[[#This Row],[Unit Price]]*Requisitions_Tracker[[#This Row],[Quantity]]</f>
        <v>0</v>
      </c>
    </row>
    <row r="341" spans="1:25" x14ac:dyDescent="0.25">
      <c r="A341" s="501" t="s">
        <v>7902</v>
      </c>
      <c r="B341" s="385" t="s">
        <v>6752</v>
      </c>
      <c r="C341" s="433" t="s">
        <v>3</v>
      </c>
      <c r="D341" s="384">
        <v>1414140</v>
      </c>
      <c r="E341" s="384">
        <v>11091945</v>
      </c>
      <c r="F341" s="385" t="s">
        <v>5564</v>
      </c>
      <c r="G341" s="385" t="s">
        <v>31</v>
      </c>
      <c r="H341" s="385" t="s">
        <v>1757</v>
      </c>
      <c r="I341" s="385" t="s">
        <v>8016</v>
      </c>
      <c r="J341" s="427" t="s">
        <v>8019</v>
      </c>
      <c r="K341" s="384">
        <v>1</v>
      </c>
      <c r="L341" s="385" t="s">
        <v>321</v>
      </c>
      <c r="M341" s="519" t="s">
        <v>7915</v>
      </c>
      <c r="N341" s="385"/>
      <c r="O341" s="386" t="s">
        <v>8017</v>
      </c>
      <c r="P341" s="387" t="s">
        <v>8018</v>
      </c>
      <c r="Q341" s="385">
        <v>14190</v>
      </c>
      <c r="R341" s="388">
        <v>45637</v>
      </c>
      <c r="S341" s="388">
        <v>45318</v>
      </c>
      <c r="T341" s="385"/>
      <c r="U341" s="388"/>
      <c r="V341" s="388"/>
      <c r="W341" s="385"/>
      <c r="X341" s="389"/>
      <c r="Y341" s="390">
        <f>Requisitions_Tracker[[#This Row],[Unit Price]]*Requisitions_Tracker[[#This Row],[Quantity]]</f>
        <v>0</v>
      </c>
    </row>
    <row r="342" spans="1:25" x14ac:dyDescent="0.25">
      <c r="A342" s="501" t="s">
        <v>7902</v>
      </c>
      <c r="B342" s="385" t="s">
        <v>6752</v>
      </c>
      <c r="C342" s="433" t="s">
        <v>3</v>
      </c>
      <c r="D342" s="384">
        <v>1414140</v>
      </c>
      <c r="E342" s="384">
        <v>11091945</v>
      </c>
      <c r="F342" s="385" t="s">
        <v>5564</v>
      </c>
      <c r="G342" s="385" t="s">
        <v>31</v>
      </c>
      <c r="H342" s="385" t="s">
        <v>1757</v>
      </c>
      <c r="I342" s="385" t="s">
        <v>8016</v>
      </c>
      <c r="J342" s="427" t="s">
        <v>8020</v>
      </c>
      <c r="K342" s="384">
        <v>1</v>
      </c>
      <c r="L342" s="385" t="s">
        <v>321</v>
      </c>
      <c r="M342" s="519" t="s">
        <v>7915</v>
      </c>
      <c r="N342" s="385"/>
      <c r="O342" s="386" t="s">
        <v>8017</v>
      </c>
      <c r="P342" s="387" t="s">
        <v>8018</v>
      </c>
      <c r="Q342" s="385">
        <v>14190</v>
      </c>
      <c r="R342" s="388">
        <v>45637</v>
      </c>
      <c r="S342" s="388">
        <v>45318</v>
      </c>
      <c r="T342" s="385"/>
      <c r="U342" s="388"/>
      <c r="V342" s="388"/>
      <c r="W342" s="385"/>
      <c r="X342" s="389"/>
      <c r="Y342" s="390">
        <f>Requisitions_Tracker[[#This Row],[Unit Price]]*Requisitions_Tracker[[#This Row],[Quantity]]</f>
        <v>0</v>
      </c>
    </row>
    <row r="343" spans="1:25" x14ac:dyDescent="0.25">
      <c r="A343" s="501" t="s">
        <v>7912</v>
      </c>
      <c r="B343" s="764" t="s">
        <v>8021</v>
      </c>
      <c r="C343" s="55" t="s">
        <v>4</v>
      </c>
      <c r="D343" s="753">
        <v>1213270</v>
      </c>
      <c r="E343" s="384"/>
      <c r="F343" s="385" t="s">
        <v>3205</v>
      </c>
      <c r="G343" s="385" t="s">
        <v>31</v>
      </c>
      <c r="H343" s="385" t="s">
        <v>784</v>
      </c>
      <c r="I343" s="385" t="s">
        <v>7917</v>
      </c>
      <c r="J343" s="427" t="s">
        <v>287</v>
      </c>
      <c r="K343" s="384">
        <v>320</v>
      </c>
      <c r="L343" s="385" t="s">
        <v>374</v>
      </c>
      <c r="M343" s="385" t="s">
        <v>389</v>
      </c>
      <c r="N343" s="385"/>
      <c r="O343" s="386" t="s">
        <v>376</v>
      </c>
      <c r="P343" s="387" t="str">
        <f>Requisitions_Tracker[[#This Row],[ConOps Contact]]</f>
        <v>Frank Tanzillo</v>
      </c>
      <c r="Q343" s="385"/>
      <c r="R343" s="388"/>
      <c r="S343" s="388"/>
      <c r="T343" s="385"/>
      <c r="U343" s="388"/>
      <c r="V343" s="388"/>
      <c r="W343" s="385"/>
      <c r="X343" s="389"/>
      <c r="Y343" s="390">
        <f>Requisitions_Tracker[[#This Row],[Unit Price]]*Requisitions_Tracker[[#This Row],[Quantity]]</f>
        <v>0</v>
      </c>
    </row>
    <row r="344" spans="1:25" x14ac:dyDescent="0.25">
      <c r="A344" s="501" t="s">
        <v>7912</v>
      </c>
      <c r="B344" s="764" t="s">
        <v>8021</v>
      </c>
      <c r="C344" s="55" t="s">
        <v>4</v>
      </c>
      <c r="D344" s="753">
        <v>1213270</v>
      </c>
      <c r="E344" s="384"/>
      <c r="F344" s="385" t="s">
        <v>3205</v>
      </c>
      <c r="G344" s="385" t="s">
        <v>31</v>
      </c>
      <c r="H344" s="385" t="s">
        <v>784</v>
      </c>
      <c r="I344" s="385" t="s">
        <v>7917</v>
      </c>
      <c r="J344" s="427" t="s">
        <v>7947</v>
      </c>
      <c r="K344" s="384">
        <v>3240</v>
      </c>
      <c r="L344" s="385" t="s">
        <v>374</v>
      </c>
      <c r="M344" s="385" t="s">
        <v>389</v>
      </c>
      <c r="N344" s="385"/>
      <c r="O344" s="386" t="s">
        <v>376</v>
      </c>
      <c r="P344" s="387" t="str">
        <f>Requisitions_Tracker[[#This Row],[ConOps Contact]]</f>
        <v>Frank Tanzillo</v>
      </c>
      <c r="Q344" s="385"/>
      <c r="R344" s="388"/>
      <c r="S344" s="388"/>
      <c r="T344" s="385"/>
      <c r="U344" s="388"/>
      <c r="V344" s="388"/>
      <c r="W344" s="385"/>
      <c r="X344" s="389"/>
      <c r="Y344" s="390">
        <f>Requisitions_Tracker[[#This Row],[Unit Price]]*Requisitions_Tracker[[#This Row],[Quantity]]</f>
        <v>0</v>
      </c>
    </row>
    <row r="345" spans="1:25" x14ac:dyDescent="0.25">
      <c r="A345" s="501" t="s">
        <v>7912</v>
      </c>
      <c r="B345" s="764" t="s">
        <v>8021</v>
      </c>
      <c r="C345" s="55" t="s">
        <v>4</v>
      </c>
      <c r="D345" s="753">
        <v>1213270</v>
      </c>
      <c r="E345" s="384"/>
      <c r="F345" s="385" t="s">
        <v>3205</v>
      </c>
      <c r="G345" s="385" t="s">
        <v>31</v>
      </c>
      <c r="H345" s="385" t="s">
        <v>784</v>
      </c>
      <c r="I345" s="385" t="s">
        <v>7917</v>
      </c>
      <c r="J345" s="427" t="s">
        <v>8022</v>
      </c>
      <c r="K345" s="384">
        <v>2040</v>
      </c>
      <c r="L345" s="385" t="s">
        <v>374</v>
      </c>
      <c r="M345" s="385" t="s">
        <v>389</v>
      </c>
      <c r="N345" s="385"/>
      <c r="O345" s="386" t="s">
        <v>376</v>
      </c>
      <c r="P345" s="387" t="str">
        <f>Requisitions_Tracker[[#This Row],[ConOps Contact]]</f>
        <v>Frank Tanzillo</v>
      </c>
      <c r="Q345" s="385"/>
      <c r="R345" s="388"/>
      <c r="S345" s="388"/>
      <c r="T345" s="385"/>
      <c r="U345" s="388"/>
      <c r="V345" s="388"/>
      <c r="W345" s="385"/>
      <c r="X345" s="389"/>
      <c r="Y345" s="390">
        <f>Requisitions_Tracker[[#This Row],[Unit Price]]*Requisitions_Tracker[[#This Row],[Quantity]]</f>
        <v>0</v>
      </c>
    </row>
    <row r="346" spans="1:25" x14ac:dyDescent="0.25">
      <c r="A346" s="501" t="s">
        <v>7912</v>
      </c>
      <c r="B346" s="764" t="s">
        <v>8021</v>
      </c>
      <c r="C346" s="55" t="s">
        <v>4</v>
      </c>
      <c r="D346" s="753">
        <v>1213270</v>
      </c>
      <c r="E346" s="384"/>
      <c r="F346" s="385" t="s">
        <v>3205</v>
      </c>
      <c r="G346" s="385" t="s">
        <v>31</v>
      </c>
      <c r="H346" s="385" t="s">
        <v>784</v>
      </c>
      <c r="I346" s="385" t="s">
        <v>7917</v>
      </c>
      <c r="J346" s="427" t="s">
        <v>8023</v>
      </c>
      <c r="K346" s="384">
        <v>480</v>
      </c>
      <c r="L346" s="385" t="s">
        <v>374</v>
      </c>
      <c r="M346" s="385" t="s">
        <v>389</v>
      </c>
      <c r="N346" s="385"/>
      <c r="O346" s="386" t="s">
        <v>376</v>
      </c>
      <c r="P346" s="387" t="str">
        <f>Requisitions_Tracker[[#This Row],[ConOps Contact]]</f>
        <v>Frank Tanzillo</v>
      </c>
      <c r="Q346" s="385"/>
      <c r="R346" s="388"/>
      <c r="S346" s="388"/>
      <c r="T346" s="385"/>
      <c r="U346" s="388"/>
      <c r="V346" s="388"/>
      <c r="W346" s="385"/>
      <c r="X346" s="389"/>
      <c r="Y346" s="390">
        <f>Requisitions_Tracker[[#This Row],[Unit Price]]*Requisitions_Tracker[[#This Row],[Quantity]]</f>
        <v>0</v>
      </c>
    </row>
    <row r="347" spans="1:25" x14ac:dyDescent="0.25">
      <c r="A347" s="501" t="s">
        <v>7912</v>
      </c>
      <c r="B347" s="764" t="s">
        <v>8021</v>
      </c>
      <c r="C347" s="55" t="s">
        <v>4</v>
      </c>
      <c r="D347" s="753">
        <v>1213270</v>
      </c>
      <c r="E347" s="384"/>
      <c r="F347" s="385" t="s">
        <v>3205</v>
      </c>
      <c r="G347" s="385" t="s">
        <v>31</v>
      </c>
      <c r="H347" s="385" t="s">
        <v>784</v>
      </c>
      <c r="I347" s="385" t="s">
        <v>7917</v>
      </c>
      <c r="J347" s="427" t="s">
        <v>269</v>
      </c>
      <c r="K347" s="384">
        <v>3</v>
      </c>
      <c r="L347" s="385" t="s">
        <v>321</v>
      </c>
      <c r="M347" s="385" t="s">
        <v>389</v>
      </c>
      <c r="N347" s="385"/>
      <c r="O347" s="386" t="s">
        <v>376</v>
      </c>
      <c r="P347" s="387" t="str">
        <f>Requisitions_Tracker[[#This Row],[ConOps Contact]]</f>
        <v>Frank Tanzillo</v>
      </c>
      <c r="Q347" s="385"/>
      <c r="R347" s="388"/>
      <c r="S347" s="388"/>
      <c r="T347" s="385"/>
      <c r="U347" s="388"/>
      <c r="V347" s="388"/>
      <c r="W347" s="385"/>
      <c r="X347" s="389"/>
      <c r="Y347" s="390">
        <f>Requisitions_Tracker[[#This Row],[Unit Price]]*Requisitions_Tracker[[#This Row],[Quantity]]</f>
        <v>0</v>
      </c>
    </row>
    <row r="348" spans="1:25" x14ac:dyDescent="0.25">
      <c r="A348" s="501" t="s">
        <v>7912</v>
      </c>
      <c r="B348" s="764" t="s">
        <v>8021</v>
      </c>
      <c r="C348" s="55" t="s">
        <v>4</v>
      </c>
      <c r="D348" s="753">
        <v>1213270</v>
      </c>
      <c r="E348" s="384"/>
      <c r="F348" s="385" t="s">
        <v>3205</v>
      </c>
      <c r="G348" s="385" t="s">
        <v>31</v>
      </c>
      <c r="H348" s="385" t="s">
        <v>784</v>
      </c>
      <c r="I348" s="385" t="s">
        <v>7917</v>
      </c>
      <c r="J348" s="427" t="s">
        <v>395</v>
      </c>
      <c r="K348" s="384">
        <v>1</v>
      </c>
      <c r="L348" s="385" t="s">
        <v>321</v>
      </c>
      <c r="M348" s="385" t="s">
        <v>389</v>
      </c>
      <c r="N348" s="385"/>
      <c r="O348" s="386" t="s">
        <v>376</v>
      </c>
      <c r="P348" s="387" t="str">
        <f>Requisitions_Tracker[[#This Row],[ConOps Contact]]</f>
        <v>Frank Tanzillo</v>
      </c>
      <c r="Q348" s="385"/>
      <c r="R348" s="388"/>
      <c r="S348" s="388"/>
      <c r="T348" s="385"/>
      <c r="U348" s="388"/>
      <c r="V348" s="388"/>
      <c r="W348" s="385"/>
      <c r="X348" s="389"/>
      <c r="Y348" s="390">
        <f>Requisitions_Tracker[[#This Row],[Unit Price]]*Requisitions_Tracker[[#This Row],[Quantity]]</f>
        <v>0</v>
      </c>
    </row>
    <row r="349" spans="1:25" x14ac:dyDescent="0.25">
      <c r="A349" s="501" t="s">
        <v>7912</v>
      </c>
      <c r="B349" s="764" t="s">
        <v>8021</v>
      </c>
      <c r="C349" s="55" t="s">
        <v>4</v>
      </c>
      <c r="D349" s="753">
        <v>1213270</v>
      </c>
      <c r="E349" s="384"/>
      <c r="F349" s="385" t="s">
        <v>3205</v>
      </c>
      <c r="G349" s="385" t="s">
        <v>31</v>
      </c>
      <c r="H349" s="385" t="s">
        <v>784</v>
      </c>
      <c r="I349" s="385" t="s">
        <v>7917</v>
      </c>
      <c r="J349" s="427" t="s">
        <v>8024</v>
      </c>
      <c r="K349" s="384">
        <v>3</v>
      </c>
      <c r="L349" s="385" t="s">
        <v>321</v>
      </c>
      <c r="M349" s="385" t="s">
        <v>389</v>
      </c>
      <c r="N349" s="385"/>
      <c r="O349" s="386" t="s">
        <v>376</v>
      </c>
      <c r="P349" s="387" t="str">
        <f>Requisitions_Tracker[[#This Row],[ConOps Contact]]</f>
        <v>Frank Tanzillo</v>
      </c>
      <c r="Q349" s="385"/>
      <c r="R349" s="388"/>
      <c r="S349" s="388"/>
      <c r="T349" s="385"/>
      <c r="U349" s="388"/>
      <c r="V349" s="388"/>
      <c r="W349" s="385"/>
      <c r="X349" s="389"/>
      <c r="Y349" s="390">
        <f>Requisitions_Tracker[[#This Row],[Unit Price]]*Requisitions_Tracker[[#This Row],[Quantity]]</f>
        <v>0</v>
      </c>
    </row>
    <row r="350" spans="1:25" x14ac:dyDescent="0.25">
      <c r="A350" s="501" t="s">
        <v>7912</v>
      </c>
      <c r="B350" s="764" t="s">
        <v>8021</v>
      </c>
      <c r="C350" s="55" t="s">
        <v>4</v>
      </c>
      <c r="D350" s="753">
        <v>1213270</v>
      </c>
      <c r="E350" s="384"/>
      <c r="F350" s="385" t="s">
        <v>3205</v>
      </c>
      <c r="G350" s="385" t="s">
        <v>31</v>
      </c>
      <c r="H350" s="385" t="s">
        <v>784</v>
      </c>
      <c r="I350" s="385" t="s">
        <v>7917</v>
      </c>
      <c r="J350" s="427" t="s">
        <v>362</v>
      </c>
      <c r="K350" s="384">
        <v>5</v>
      </c>
      <c r="L350" s="385" t="s">
        <v>321</v>
      </c>
      <c r="M350" s="385" t="s">
        <v>389</v>
      </c>
      <c r="N350" s="385"/>
      <c r="O350" s="386" t="s">
        <v>376</v>
      </c>
      <c r="P350" s="387" t="str">
        <f>Requisitions_Tracker[[#This Row],[ConOps Contact]]</f>
        <v>Frank Tanzillo</v>
      </c>
      <c r="Q350" s="385"/>
      <c r="R350" s="388"/>
      <c r="S350" s="388"/>
      <c r="T350" s="385"/>
      <c r="U350" s="388"/>
      <c r="V350" s="388"/>
      <c r="W350" s="385"/>
      <c r="X350" s="389"/>
      <c r="Y350" s="390">
        <f>Requisitions_Tracker[[#This Row],[Unit Price]]*Requisitions_Tracker[[#This Row],[Quantity]]</f>
        <v>0</v>
      </c>
    </row>
    <row r="351" spans="1:25" x14ac:dyDescent="0.25">
      <c r="A351" s="501" t="s">
        <v>7912</v>
      </c>
      <c r="B351" s="764" t="s">
        <v>8021</v>
      </c>
      <c r="C351" s="55" t="s">
        <v>4</v>
      </c>
      <c r="D351" s="753">
        <v>1213270</v>
      </c>
      <c r="E351" s="384"/>
      <c r="F351" s="385" t="s">
        <v>3205</v>
      </c>
      <c r="G351" s="385" t="s">
        <v>31</v>
      </c>
      <c r="H351" s="385" t="s">
        <v>784</v>
      </c>
      <c r="I351" s="385" t="s">
        <v>7917</v>
      </c>
      <c r="J351" s="427" t="s">
        <v>616</v>
      </c>
      <c r="K351" s="384">
        <v>2</v>
      </c>
      <c r="L351" s="385" t="s">
        <v>321</v>
      </c>
      <c r="M351" s="385" t="s">
        <v>389</v>
      </c>
      <c r="N351" s="385"/>
      <c r="O351" s="386" t="s">
        <v>376</v>
      </c>
      <c r="P351" s="387" t="str">
        <f>Requisitions_Tracker[[#This Row],[ConOps Contact]]</f>
        <v>Frank Tanzillo</v>
      </c>
      <c r="Q351" s="385"/>
      <c r="R351" s="388"/>
      <c r="S351" s="388"/>
      <c r="T351" s="385"/>
      <c r="U351" s="388"/>
      <c r="V351" s="388"/>
      <c r="W351" s="385"/>
      <c r="X351" s="389"/>
      <c r="Y351" s="390">
        <f>Requisitions_Tracker[[#This Row],[Unit Price]]*Requisitions_Tracker[[#This Row],[Quantity]]</f>
        <v>0</v>
      </c>
    </row>
    <row r="352" spans="1:25" x14ac:dyDescent="0.25">
      <c r="A352" s="501" t="s">
        <v>8009</v>
      </c>
      <c r="B352" s="397" t="s">
        <v>392</v>
      </c>
      <c r="C352" s="50"/>
      <c r="D352" s="428"/>
      <c r="E352" s="428"/>
      <c r="F352" s="397"/>
      <c r="G352" s="397"/>
      <c r="H352" s="397"/>
      <c r="I352" s="397"/>
      <c r="J352" s="429"/>
      <c r="K352" s="428"/>
      <c r="L352" s="397"/>
      <c r="M352" s="397"/>
      <c r="N352" s="397"/>
      <c r="O352" s="430"/>
      <c r="P352" s="431">
        <f>Requisitions_Tracker[[#This Row],[ConOps Contact]]</f>
        <v>0</v>
      </c>
      <c r="Q352" s="397"/>
      <c r="R352" s="398"/>
      <c r="S352" s="398"/>
      <c r="T352" s="397"/>
      <c r="U352" s="398"/>
      <c r="V352" s="398"/>
      <c r="W352" s="397"/>
      <c r="X352" s="399"/>
      <c r="Y352" s="432">
        <f>Requisitions_Tracker[[#This Row],[Unit Price]]*Requisitions_Tracker[[#This Row],[Quantity]]</f>
        <v>0</v>
      </c>
    </row>
    <row r="353" spans="1:25" ht="45" x14ac:dyDescent="0.25">
      <c r="A353" s="382" t="s">
        <v>7902</v>
      </c>
      <c r="B353" s="385" t="s">
        <v>6828</v>
      </c>
      <c r="C353" s="55" t="s">
        <v>3</v>
      </c>
      <c r="D353" s="384">
        <v>1614148</v>
      </c>
      <c r="E353" s="384">
        <v>11090755</v>
      </c>
      <c r="F353" s="385" t="s">
        <v>8001</v>
      </c>
      <c r="G353" s="385" t="s">
        <v>34</v>
      </c>
      <c r="H353" s="385" t="s">
        <v>851</v>
      </c>
      <c r="I353" s="385" t="s">
        <v>590</v>
      </c>
      <c r="J353" s="386" t="s">
        <v>8025</v>
      </c>
      <c r="K353" s="384">
        <v>2</v>
      </c>
      <c r="L353" s="385" t="s">
        <v>321</v>
      </c>
      <c r="M353" s="385" t="s">
        <v>7863</v>
      </c>
      <c r="N353" s="385"/>
      <c r="O353" s="386" t="s">
        <v>8026</v>
      </c>
      <c r="P353" s="387" t="str">
        <f>Requisitions_Tracker[[#This Row],[ConOps Contact]]</f>
        <v>Jeremy Rempert</v>
      </c>
      <c r="Q353" s="385">
        <v>14200</v>
      </c>
      <c r="R353" s="388"/>
      <c r="S353" s="388"/>
      <c r="T353" s="385"/>
      <c r="U353" s="388"/>
      <c r="V353" s="388"/>
      <c r="W353" s="385"/>
      <c r="X353" s="389"/>
      <c r="Y353" s="390">
        <f>Requisitions_Tracker[[#This Row],[Unit Price]]*Requisitions_Tracker[[#This Row],[Quantity]]</f>
        <v>0</v>
      </c>
    </row>
    <row r="354" spans="1:25" ht="45" x14ac:dyDescent="0.25">
      <c r="A354" s="382" t="s">
        <v>7902</v>
      </c>
      <c r="B354" s="385" t="s">
        <v>6828</v>
      </c>
      <c r="C354" s="55" t="s">
        <v>3</v>
      </c>
      <c r="D354" s="384">
        <v>1614148</v>
      </c>
      <c r="E354" s="384">
        <v>11090755</v>
      </c>
      <c r="F354" s="385" t="s">
        <v>8001</v>
      </c>
      <c r="G354" s="385" t="s">
        <v>34</v>
      </c>
      <c r="H354" s="385" t="s">
        <v>851</v>
      </c>
      <c r="I354" s="385" t="s">
        <v>590</v>
      </c>
      <c r="J354" s="386" t="s">
        <v>8027</v>
      </c>
      <c r="K354" s="384">
        <v>3</v>
      </c>
      <c r="L354" s="385" t="s">
        <v>321</v>
      </c>
      <c r="M354" s="385" t="s">
        <v>7863</v>
      </c>
      <c r="N354" s="385"/>
      <c r="O354" s="386" t="s">
        <v>8026</v>
      </c>
      <c r="P354" s="387" t="str">
        <f>Requisitions_Tracker[[#This Row],[ConOps Contact]]</f>
        <v>Jeremy Rempert</v>
      </c>
      <c r="Q354" s="385">
        <v>14200</v>
      </c>
      <c r="R354" s="388"/>
      <c r="S354" s="388"/>
      <c r="T354" s="385"/>
      <c r="U354" s="388"/>
      <c r="V354" s="388"/>
      <c r="W354" s="385"/>
      <c r="X354" s="389"/>
      <c r="Y354" s="390">
        <f>Requisitions_Tracker[[#This Row],[Unit Price]]*Requisitions_Tracker[[#This Row],[Quantity]]</f>
        <v>0</v>
      </c>
    </row>
    <row r="355" spans="1:25" ht="45" x14ac:dyDescent="0.25">
      <c r="A355" s="501" t="s">
        <v>7902</v>
      </c>
      <c r="B355" s="397" t="s">
        <v>6828</v>
      </c>
      <c r="C355" s="57" t="s">
        <v>3</v>
      </c>
      <c r="D355" s="428">
        <v>1614148</v>
      </c>
      <c r="E355" s="428">
        <v>11090755</v>
      </c>
      <c r="F355" s="397" t="s">
        <v>8001</v>
      </c>
      <c r="G355" s="397" t="s">
        <v>34</v>
      </c>
      <c r="H355" s="397" t="s">
        <v>851</v>
      </c>
      <c r="I355" s="397" t="s">
        <v>590</v>
      </c>
      <c r="J355" s="430" t="s">
        <v>8028</v>
      </c>
      <c r="K355" s="428">
        <v>7</v>
      </c>
      <c r="L355" s="397" t="s">
        <v>321</v>
      </c>
      <c r="M355" s="397" t="s">
        <v>7863</v>
      </c>
      <c r="N355" s="397"/>
      <c r="O355" s="386" t="s">
        <v>8026</v>
      </c>
      <c r="P355" s="431" t="str">
        <f>Requisitions_Tracker[[#This Row],[ConOps Contact]]</f>
        <v>Jeremy Rempert</v>
      </c>
      <c r="Q355" s="397">
        <v>14200</v>
      </c>
      <c r="R355" s="398"/>
      <c r="S355" s="398"/>
      <c r="T355" s="397"/>
      <c r="U355" s="398"/>
      <c r="V355" s="398"/>
      <c r="W355" s="397"/>
      <c r="X355" s="399"/>
      <c r="Y355" s="432">
        <f>Requisitions_Tracker[[#This Row],[Unit Price]]*Requisitions_Tracker[[#This Row],[Quantity]]</f>
        <v>0</v>
      </c>
    </row>
    <row r="356" spans="1:25" ht="75" x14ac:dyDescent="0.25">
      <c r="A356" s="501" t="s">
        <v>7902</v>
      </c>
      <c r="B356" s="433" t="s">
        <v>8029</v>
      </c>
      <c r="C356" s="55" t="s">
        <v>3</v>
      </c>
      <c r="D356" s="434">
        <v>1914036</v>
      </c>
      <c r="E356" s="428">
        <v>11093739</v>
      </c>
      <c r="F356" s="397" t="s">
        <v>8030</v>
      </c>
      <c r="G356" s="385" t="s">
        <v>34</v>
      </c>
      <c r="H356" s="385" t="s">
        <v>851</v>
      </c>
      <c r="I356" s="397" t="s">
        <v>8031</v>
      </c>
      <c r="J356" s="430" t="s">
        <v>8032</v>
      </c>
      <c r="K356" s="428">
        <v>2</v>
      </c>
      <c r="L356" s="385" t="s">
        <v>321</v>
      </c>
      <c r="M356" s="397" t="s">
        <v>7915</v>
      </c>
      <c r="N356" s="397"/>
      <c r="O356" s="430" t="s">
        <v>8033</v>
      </c>
      <c r="P356" s="431" t="str">
        <f>Requisitions_Tracker[[#This Row],[ConOps Contact]]</f>
        <v>Kurt Fogleman</v>
      </c>
      <c r="Q356" s="397">
        <v>14214</v>
      </c>
      <c r="R356" s="398"/>
      <c r="S356" s="398"/>
      <c r="T356" s="397"/>
      <c r="U356" s="398"/>
      <c r="V356" s="398"/>
      <c r="W356" s="397"/>
      <c r="X356" s="399"/>
      <c r="Y356" s="432">
        <f>Requisitions_Tracker[[#This Row],[Unit Price]]*Requisitions_Tracker[[#This Row],[Quantity]]</f>
        <v>0</v>
      </c>
    </row>
    <row r="357" spans="1:25" ht="60" x14ac:dyDescent="0.25">
      <c r="A357" s="501" t="s">
        <v>7902</v>
      </c>
      <c r="B357" s="433" t="s">
        <v>8029</v>
      </c>
      <c r="C357" s="55" t="s">
        <v>3</v>
      </c>
      <c r="D357" s="434">
        <v>1914036</v>
      </c>
      <c r="E357" s="428">
        <v>11093739</v>
      </c>
      <c r="F357" s="397" t="s">
        <v>8030</v>
      </c>
      <c r="G357" s="385" t="s">
        <v>34</v>
      </c>
      <c r="H357" s="385" t="s">
        <v>851</v>
      </c>
      <c r="I357" s="397" t="s">
        <v>8031</v>
      </c>
      <c r="J357" s="430" t="s">
        <v>8034</v>
      </c>
      <c r="K357" s="428">
        <v>2</v>
      </c>
      <c r="L357" s="385" t="s">
        <v>321</v>
      </c>
      <c r="M357" s="397" t="s">
        <v>7915</v>
      </c>
      <c r="N357" s="397"/>
      <c r="O357" s="430" t="s">
        <v>8035</v>
      </c>
      <c r="P357" s="431" t="str">
        <f>Requisitions_Tracker[[#This Row],[ConOps Contact]]</f>
        <v>Kurt Fogleman</v>
      </c>
      <c r="Q357" s="397">
        <v>14214</v>
      </c>
      <c r="R357" s="398"/>
      <c r="S357" s="398"/>
      <c r="T357" s="397"/>
      <c r="U357" s="398"/>
      <c r="V357" s="398"/>
      <c r="W357" s="397"/>
      <c r="X357" s="399"/>
      <c r="Y357" s="432">
        <f>Requisitions_Tracker[[#This Row],[Unit Price]]*Requisitions_Tracker[[#This Row],[Quantity]]</f>
        <v>0</v>
      </c>
    </row>
    <row r="358" spans="1:25" ht="60" x14ac:dyDescent="0.25">
      <c r="A358" s="501" t="s">
        <v>7902</v>
      </c>
      <c r="B358" s="433" t="s">
        <v>8029</v>
      </c>
      <c r="C358" s="55" t="s">
        <v>3</v>
      </c>
      <c r="D358" s="434">
        <v>1914036</v>
      </c>
      <c r="E358" s="428">
        <v>11093739</v>
      </c>
      <c r="F358" s="397" t="s">
        <v>8030</v>
      </c>
      <c r="G358" s="397" t="s">
        <v>34</v>
      </c>
      <c r="H358" s="397" t="s">
        <v>851</v>
      </c>
      <c r="I358" s="397" t="s">
        <v>8031</v>
      </c>
      <c r="J358" s="430" t="s">
        <v>8036</v>
      </c>
      <c r="K358" s="428">
        <v>3</v>
      </c>
      <c r="L358" s="397" t="s">
        <v>321</v>
      </c>
      <c r="M358" s="397" t="s">
        <v>7915</v>
      </c>
      <c r="N358" s="397"/>
      <c r="O358" s="430" t="s">
        <v>8033</v>
      </c>
      <c r="P358" s="431" t="str">
        <f>Requisitions_Tracker[[#This Row],[ConOps Contact]]</f>
        <v>Kurt Fogleman</v>
      </c>
      <c r="Q358" s="397">
        <v>14214</v>
      </c>
      <c r="R358" s="398"/>
      <c r="S358" s="398"/>
      <c r="T358" s="397"/>
      <c r="U358" s="398"/>
      <c r="V358" s="398"/>
      <c r="W358" s="397"/>
      <c r="X358" s="399"/>
      <c r="Y358" s="432">
        <f>Requisitions_Tracker[[#This Row],[Unit Price]]*Requisitions_Tracker[[#This Row],[Quantity]]</f>
        <v>0</v>
      </c>
    </row>
    <row r="359" spans="1:25" ht="60" x14ac:dyDescent="0.25">
      <c r="A359" s="501" t="s">
        <v>7902</v>
      </c>
      <c r="B359" s="433" t="s">
        <v>8029</v>
      </c>
      <c r="C359" s="55" t="s">
        <v>3</v>
      </c>
      <c r="D359" s="434">
        <v>1914036</v>
      </c>
      <c r="E359" s="384">
        <v>11093739</v>
      </c>
      <c r="F359" s="385" t="s">
        <v>8030</v>
      </c>
      <c r="G359" s="385" t="s">
        <v>34</v>
      </c>
      <c r="H359" s="385" t="s">
        <v>851</v>
      </c>
      <c r="I359" s="397" t="s">
        <v>8031</v>
      </c>
      <c r="J359" s="386" t="s">
        <v>8037</v>
      </c>
      <c r="K359" s="384">
        <v>3</v>
      </c>
      <c r="L359" s="385" t="s">
        <v>321</v>
      </c>
      <c r="M359" s="397" t="s">
        <v>7915</v>
      </c>
      <c r="N359" s="385"/>
      <c r="O359" s="430" t="s">
        <v>8033</v>
      </c>
      <c r="P359" s="387" t="str">
        <f>Requisitions_Tracker[[#This Row],[ConOps Contact]]</f>
        <v>Kurt Fogleman</v>
      </c>
      <c r="Q359" s="397">
        <v>14214</v>
      </c>
      <c r="R359" s="388"/>
      <c r="S359" s="388"/>
      <c r="T359" s="385"/>
      <c r="U359" s="388"/>
      <c r="V359" s="388"/>
      <c r="W359" s="385"/>
      <c r="X359" s="389"/>
      <c r="Y359" s="390">
        <f>Requisitions_Tracker[[#This Row],[Unit Price]]*Requisitions_Tracker[[#This Row],[Quantity]]</f>
        <v>0</v>
      </c>
    </row>
    <row r="360" spans="1:25" ht="45" x14ac:dyDescent="0.25">
      <c r="A360" s="501" t="s">
        <v>7902</v>
      </c>
      <c r="B360" s="433" t="s">
        <v>8029</v>
      </c>
      <c r="C360" s="55" t="s">
        <v>3</v>
      </c>
      <c r="D360" s="434">
        <v>1914036</v>
      </c>
      <c r="E360" s="384">
        <v>11093739</v>
      </c>
      <c r="F360" s="385" t="s">
        <v>8030</v>
      </c>
      <c r="G360" s="385" t="s">
        <v>34</v>
      </c>
      <c r="H360" s="385" t="s">
        <v>851</v>
      </c>
      <c r="I360" s="397" t="s">
        <v>8031</v>
      </c>
      <c r="J360" s="386" t="s">
        <v>8038</v>
      </c>
      <c r="K360" s="384">
        <v>7</v>
      </c>
      <c r="L360" s="385" t="s">
        <v>321</v>
      </c>
      <c r="M360" s="397" t="s">
        <v>7915</v>
      </c>
      <c r="N360" s="385"/>
      <c r="O360" s="430" t="s">
        <v>8035</v>
      </c>
      <c r="P360" s="387" t="str">
        <f>Requisitions_Tracker[[#This Row],[ConOps Contact]]</f>
        <v>Kurt Fogleman</v>
      </c>
      <c r="Q360" s="397">
        <v>14214</v>
      </c>
      <c r="R360" s="388"/>
      <c r="S360" s="388"/>
      <c r="T360" s="385"/>
      <c r="U360" s="388"/>
      <c r="V360" s="388"/>
      <c r="W360" s="385"/>
      <c r="X360" s="389"/>
      <c r="Y360" s="390">
        <f>Requisitions_Tracker[[#This Row],[Unit Price]]*Requisitions_Tracker[[#This Row],[Quantity]]</f>
        <v>0</v>
      </c>
    </row>
    <row r="361" spans="1:25" ht="45" x14ac:dyDescent="0.25">
      <c r="A361" s="501" t="s">
        <v>7902</v>
      </c>
      <c r="B361" s="433" t="s">
        <v>8029</v>
      </c>
      <c r="C361" s="55" t="s">
        <v>3</v>
      </c>
      <c r="D361" s="434">
        <v>1914036</v>
      </c>
      <c r="E361" s="384">
        <v>11093739</v>
      </c>
      <c r="F361" s="385" t="s">
        <v>8030</v>
      </c>
      <c r="G361" s="397" t="s">
        <v>34</v>
      </c>
      <c r="H361" s="397" t="s">
        <v>851</v>
      </c>
      <c r="I361" s="397" t="s">
        <v>8031</v>
      </c>
      <c r="J361" s="386" t="s">
        <v>8025</v>
      </c>
      <c r="K361" s="384">
        <v>3</v>
      </c>
      <c r="L361" s="397" t="s">
        <v>321</v>
      </c>
      <c r="M361" s="397" t="s">
        <v>7915</v>
      </c>
      <c r="N361" s="385"/>
      <c r="O361" s="430" t="s">
        <v>8033</v>
      </c>
      <c r="P361" s="387" t="str">
        <f>Requisitions_Tracker[[#This Row],[ConOps Contact]]</f>
        <v>Kurt Fogleman</v>
      </c>
      <c r="Q361" s="397">
        <v>14214</v>
      </c>
      <c r="R361" s="388"/>
      <c r="S361" s="388"/>
      <c r="T361" s="385"/>
      <c r="U361" s="388"/>
      <c r="V361" s="388"/>
      <c r="W361" s="385"/>
      <c r="X361" s="389"/>
      <c r="Y361" s="390">
        <f>Requisitions_Tracker[[#This Row],[Unit Price]]*Requisitions_Tracker[[#This Row],[Quantity]]</f>
        <v>0</v>
      </c>
    </row>
    <row r="362" spans="1:25" ht="45" x14ac:dyDescent="0.25">
      <c r="A362" s="501" t="s">
        <v>7902</v>
      </c>
      <c r="B362" s="433" t="s">
        <v>8029</v>
      </c>
      <c r="C362" s="57" t="s">
        <v>3</v>
      </c>
      <c r="D362" s="434">
        <v>1914036</v>
      </c>
      <c r="E362" s="384">
        <v>11093739</v>
      </c>
      <c r="F362" s="385" t="s">
        <v>8030</v>
      </c>
      <c r="G362" s="385" t="s">
        <v>34</v>
      </c>
      <c r="H362" s="385" t="s">
        <v>851</v>
      </c>
      <c r="I362" s="397" t="s">
        <v>8031</v>
      </c>
      <c r="J362" s="386" t="s">
        <v>8039</v>
      </c>
      <c r="K362" s="384">
        <v>8</v>
      </c>
      <c r="L362" s="385" t="s">
        <v>321</v>
      </c>
      <c r="M362" s="397" t="s">
        <v>7915</v>
      </c>
      <c r="N362" s="385"/>
      <c r="O362" s="430" t="s">
        <v>8033</v>
      </c>
      <c r="P362" s="387" t="str">
        <f>Requisitions_Tracker[[#This Row],[ConOps Contact]]</f>
        <v>Kurt Fogleman</v>
      </c>
      <c r="Q362" s="397">
        <v>14214</v>
      </c>
      <c r="R362" s="388"/>
      <c r="S362" s="388"/>
      <c r="T362" s="385"/>
      <c r="U362" s="388"/>
      <c r="V362" s="388"/>
      <c r="W362" s="385"/>
      <c r="X362" s="389"/>
      <c r="Y362" s="390">
        <f>Requisitions_Tracker[[#This Row],[Unit Price]]*Requisitions_Tracker[[#This Row],[Quantity]]</f>
        <v>0</v>
      </c>
    </row>
    <row r="363" spans="1:25" ht="45" x14ac:dyDescent="0.25">
      <c r="A363" s="501" t="s">
        <v>7902</v>
      </c>
      <c r="B363" s="433" t="s">
        <v>8029</v>
      </c>
      <c r="C363" s="55" t="s">
        <v>3</v>
      </c>
      <c r="D363" s="434">
        <v>1914036</v>
      </c>
      <c r="E363" s="384">
        <v>11093739</v>
      </c>
      <c r="F363" s="385" t="s">
        <v>8030</v>
      </c>
      <c r="G363" s="385" t="s">
        <v>34</v>
      </c>
      <c r="H363" s="385" t="s">
        <v>851</v>
      </c>
      <c r="I363" s="397" t="s">
        <v>8031</v>
      </c>
      <c r="J363" s="386" t="s">
        <v>8027</v>
      </c>
      <c r="K363" s="384">
        <v>3</v>
      </c>
      <c r="L363" s="385" t="s">
        <v>321</v>
      </c>
      <c r="M363" s="385" t="s">
        <v>7915</v>
      </c>
      <c r="N363" s="385"/>
      <c r="O363" s="430" t="s">
        <v>8035</v>
      </c>
      <c r="P363" s="387" t="str">
        <f>Requisitions_Tracker[[#This Row],[ConOps Contact]]</f>
        <v>Kurt Fogleman</v>
      </c>
      <c r="Q363" s="397">
        <v>14214</v>
      </c>
      <c r="R363" s="388"/>
      <c r="S363" s="388"/>
      <c r="T363" s="385"/>
      <c r="U363" s="388"/>
      <c r="V363" s="388"/>
      <c r="W363" s="385"/>
      <c r="X363" s="389"/>
      <c r="Y363" s="390">
        <f>Requisitions_Tracker[[#This Row],[Unit Price]]*Requisitions_Tracker[[#This Row],[Quantity]]</f>
        <v>0</v>
      </c>
    </row>
    <row r="364" spans="1:25" ht="30" x14ac:dyDescent="0.25">
      <c r="A364" s="501" t="s">
        <v>7902</v>
      </c>
      <c r="B364" s="433" t="s">
        <v>8029</v>
      </c>
      <c r="C364" s="55" t="s">
        <v>3</v>
      </c>
      <c r="D364" s="434">
        <v>1914036</v>
      </c>
      <c r="E364" s="384">
        <v>11093739</v>
      </c>
      <c r="F364" s="385" t="s">
        <v>8030</v>
      </c>
      <c r="G364" s="397" t="s">
        <v>34</v>
      </c>
      <c r="H364" s="397" t="s">
        <v>851</v>
      </c>
      <c r="I364" s="397" t="s">
        <v>8031</v>
      </c>
      <c r="J364" s="386" t="s">
        <v>8040</v>
      </c>
      <c r="K364" s="384">
        <v>4</v>
      </c>
      <c r="L364" s="385" t="s">
        <v>321</v>
      </c>
      <c r="M364" s="385" t="s">
        <v>7915</v>
      </c>
      <c r="N364" s="385"/>
      <c r="O364" s="430" t="s">
        <v>8033</v>
      </c>
      <c r="P364" s="387" t="str">
        <f>Requisitions_Tracker[[#This Row],[ConOps Contact]]</f>
        <v>Kurt Fogleman</v>
      </c>
      <c r="Q364" s="397">
        <v>14214</v>
      </c>
      <c r="R364" s="388"/>
      <c r="S364" s="388"/>
      <c r="T364" s="385"/>
      <c r="U364" s="388"/>
      <c r="V364" s="388"/>
      <c r="W364" s="385"/>
      <c r="X364" s="389"/>
      <c r="Y364" s="390">
        <f>Requisitions_Tracker[[#This Row],[Unit Price]]*Requisitions_Tracker[[#This Row],[Quantity]]</f>
        <v>0</v>
      </c>
    </row>
    <row r="365" spans="1:25" x14ac:dyDescent="0.25">
      <c r="A365" s="1207" t="s">
        <v>7913</v>
      </c>
      <c r="B365" s="385" t="s">
        <v>1800</v>
      </c>
      <c r="C365" s="55" t="s">
        <v>4</v>
      </c>
      <c r="D365" s="384">
        <v>1413964</v>
      </c>
      <c r="E365" s="384"/>
      <c r="F365" s="385" t="s">
        <v>1841</v>
      </c>
      <c r="G365" s="385" t="s">
        <v>31</v>
      </c>
      <c r="H365" s="385" t="s">
        <v>6874</v>
      </c>
      <c r="I365" s="385" t="s">
        <v>247</v>
      </c>
      <c r="J365" s="838"/>
      <c r="K365" s="384"/>
      <c r="L365" s="385"/>
      <c r="M365" s="385" t="s">
        <v>8041</v>
      </c>
      <c r="N365" s="385"/>
      <c r="O365" s="386"/>
      <c r="P365" s="387" t="str">
        <f>Requisitions_Tracker[[#This Row],[ConOps Contact]]</f>
        <v>Joe Gaca</v>
      </c>
      <c r="Q365" s="385"/>
      <c r="R365" s="388"/>
      <c r="S365" s="388"/>
      <c r="T365" s="385"/>
      <c r="U365" s="388"/>
      <c r="V365" s="388"/>
      <c r="W365" s="385"/>
      <c r="X365" s="389"/>
      <c r="Y365" s="390">
        <f>Requisitions_Tracker[[#This Row],[Unit Price]]*Requisitions_Tracker[[#This Row],[Quantity]]</f>
        <v>0</v>
      </c>
    </row>
    <row r="366" spans="1:25" x14ac:dyDescent="0.25">
      <c r="A366" s="1207" t="s">
        <v>7913</v>
      </c>
      <c r="B366" s="385" t="s">
        <v>1800</v>
      </c>
      <c r="C366" s="55" t="s">
        <v>4</v>
      </c>
      <c r="D366" s="384">
        <v>1413964</v>
      </c>
      <c r="E366" s="384"/>
      <c r="F366" s="385" t="s">
        <v>1841</v>
      </c>
      <c r="G366" s="385" t="s">
        <v>31</v>
      </c>
      <c r="H366" s="385" t="s">
        <v>6874</v>
      </c>
      <c r="I366" s="385" t="s">
        <v>247</v>
      </c>
      <c r="J366" s="838"/>
      <c r="K366" s="384"/>
      <c r="L366" s="385"/>
      <c r="M366" s="385" t="s">
        <v>8041</v>
      </c>
      <c r="N366" s="385"/>
      <c r="O366" s="386"/>
      <c r="P366" s="387" t="str">
        <f>Requisitions_Tracker[[#This Row],[ConOps Contact]]</f>
        <v>Joe Gaca</v>
      </c>
      <c r="Q366" s="385"/>
      <c r="R366" s="388"/>
      <c r="S366" s="388"/>
      <c r="T366" s="385"/>
      <c r="U366" s="388"/>
      <c r="V366" s="388"/>
      <c r="W366" s="385"/>
      <c r="X366" s="389"/>
      <c r="Y366" s="390">
        <f>Requisitions_Tracker[[#This Row],[Unit Price]]*Requisitions_Tracker[[#This Row],[Quantity]]</f>
        <v>0</v>
      </c>
    </row>
    <row r="367" spans="1:25" ht="30" x14ac:dyDescent="0.25">
      <c r="A367" s="382" t="s">
        <v>7902</v>
      </c>
      <c r="B367" s="385" t="s">
        <v>6878</v>
      </c>
      <c r="C367" s="55" t="s">
        <v>2</v>
      </c>
      <c r="D367" s="384">
        <v>1014227</v>
      </c>
      <c r="E367" s="384">
        <v>11092915</v>
      </c>
      <c r="F367" s="385" t="s">
        <v>8042</v>
      </c>
      <c r="G367" s="385" t="s">
        <v>37</v>
      </c>
      <c r="H367" s="385" t="s">
        <v>8005</v>
      </c>
      <c r="I367" s="385" t="s">
        <v>8006</v>
      </c>
      <c r="J367" s="386" t="s">
        <v>8043</v>
      </c>
      <c r="K367" s="384">
        <v>1</v>
      </c>
      <c r="L367" s="385" t="s">
        <v>321</v>
      </c>
      <c r="M367" s="385" t="s">
        <v>7863</v>
      </c>
      <c r="N367" s="385"/>
      <c r="O367" s="386" t="s">
        <v>8044</v>
      </c>
      <c r="P367" s="387" t="s">
        <v>8045</v>
      </c>
      <c r="Q367" s="385">
        <v>14800</v>
      </c>
      <c r="R367" s="388">
        <v>45684</v>
      </c>
      <c r="S367" s="388"/>
      <c r="T367" s="385" t="s">
        <v>8046</v>
      </c>
      <c r="U367" s="388"/>
      <c r="V367" s="388"/>
      <c r="W367" s="385"/>
      <c r="X367" s="389"/>
      <c r="Y367" s="390">
        <f>Requisitions_Tracker[[#This Row],[Unit Price]]*Requisitions_Tracker[[#This Row],[Quantity]]</f>
        <v>0</v>
      </c>
    </row>
    <row r="368" spans="1:25" ht="30" x14ac:dyDescent="0.25">
      <c r="A368" s="501" t="s">
        <v>7902</v>
      </c>
      <c r="B368" s="433" t="s">
        <v>8047</v>
      </c>
      <c r="C368" s="55" t="s">
        <v>2</v>
      </c>
      <c r="D368" s="434">
        <v>1014237</v>
      </c>
      <c r="E368" s="384">
        <v>11092916</v>
      </c>
      <c r="F368" s="385" t="s">
        <v>1232</v>
      </c>
      <c r="G368" s="397" t="s">
        <v>37</v>
      </c>
      <c r="H368" s="397" t="s">
        <v>8005</v>
      </c>
      <c r="I368" s="397" t="s">
        <v>8006</v>
      </c>
      <c r="J368" s="386" t="s">
        <v>8043</v>
      </c>
      <c r="K368" s="384">
        <v>1</v>
      </c>
      <c r="L368" s="385" t="s">
        <v>321</v>
      </c>
      <c r="M368" s="385" t="s">
        <v>7881</v>
      </c>
      <c r="N368" s="385"/>
      <c r="O368" s="430" t="s">
        <v>8048</v>
      </c>
      <c r="P368" s="387" t="s">
        <v>8049</v>
      </c>
      <c r="Q368" s="397">
        <v>14925</v>
      </c>
      <c r="R368" s="388">
        <v>45686</v>
      </c>
      <c r="S368" s="388">
        <v>45717</v>
      </c>
      <c r="T368" s="385"/>
      <c r="U368" s="388"/>
      <c r="V368" s="388"/>
      <c r="W368" s="385"/>
      <c r="X368" s="389"/>
      <c r="Y368" s="390">
        <f>Requisitions_Tracker[[#This Row],[Unit Price]]*Requisitions_Tracker[[#This Row],[Quantity]]</f>
        <v>0</v>
      </c>
    </row>
    <row r="369" spans="1:25" x14ac:dyDescent="0.25">
      <c r="A369" s="501" t="s">
        <v>7902</v>
      </c>
      <c r="B369" s="397" t="s">
        <v>8050</v>
      </c>
      <c r="C369" s="55" t="s">
        <v>3</v>
      </c>
      <c r="D369" s="428">
        <v>1214525</v>
      </c>
      <c r="E369" s="428">
        <v>11096170</v>
      </c>
      <c r="F369" s="397" t="s">
        <v>8051</v>
      </c>
      <c r="G369" s="397" t="s">
        <v>32</v>
      </c>
      <c r="H369" s="397" t="s">
        <v>784</v>
      </c>
      <c r="I369" s="397" t="s">
        <v>7951</v>
      </c>
      <c r="J369" s="430" t="s">
        <v>632</v>
      </c>
      <c r="K369" s="428">
        <v>1040</v>
      </c>
      <c r="L369" s="397" t="s">
        <v>63</v>
      </c>
      <c r="M369" s="397" t="s">
        <v>157</v>
      </c>
      <c r="N369" s="397" t="s">
        <v>8052</v>
      </c>
      <c r="O369" s="430" t="s">
        <v>8053</v>
      </c>
      <c r="P369" s="431" t="str">
        <f>Requisitions_Tracker[[#This Row],[ConOps Contact]]</f>
        <v>Frank Young</v>
      </c>
      <c r="Q369" s="397">
        <v>15278</v>
      </c>
      <c r="R369" s="398">
        <v>45708</v>
      </c>
      <c r="S369" s="398">
        <v>45758</v>
      </c>
      <c r="T369" s="397"/>
      <c r="U369" s="398"/>
      <c r="V369" s="398"/>
      <c r="W369" s="397"/>
      <c r="X369" s="399"/>
      <c r="Y369" s="432">
        <f>Requisitions_Tracker[[#This Row],[Unit Price]]*Requisitions_Tracker[[#This Row],[Quantity]]</f>
        <v>0</v>
      </c>
    </row>
    <row r="370" spans="1:25" x14ac:dyDescent="0.25">
      <c r="A370" s="501" t="s">
        <v>7902</v>
      </c>
      <c r="B370" s="397" t="s">
        <v>8050</v>
      </c>
      <c r="C370" s="57" t="s">
        <v>3</v>
      </c>
      <c r="D370" s="428">
        <v>1214525</v>
      </c>
      <c r="E370" s="428">
        <v>11096170</v>
      </c>
      <c r="F370" s="397" t="s">
        <v>8051</v>
      </c>
      <c r="G370" s="397" t="s">
        <v>32</v>
      </c>
      <c r="H370" s="397" t="s">
        <v>784</v>
      </c>
      <c r="I370" s="397" t="s">
        <v>7951</v>
      </c>
      <c r="J370" s="430" t="s">
        <v>8024</v>
      </c>
      <c r="K370" s="428">
        <v>1</v>
      </c>
      <c r="L370" s="397" t="s">
        <v>321</v>
      </c>
      <c r="M370" s="397" t="s">
        <v>157</v>
      </c>
      <c r="N370" s="397" t="s">
        <v>8052</v>
      </c>
      <c r="O370" s="430" t="s">
        <v>8053</v>
      </c>
      <c r="P370" s="431" t="str">
        <f>Requisitions_Tracker[[#This Row],[ConOps Contact]]</f>
        <v>Frank Young</v>
      </c>
      <c r="Q370" s="397">
        <v>15278</v>
      </c>
      <c r="R370" s="398">
        <v>45708</v>
      </c>
      <c r="S370" s="398">
        <v>45758</v>
      </c>
      <c r="T370" s="397"/>
      <c r="U370" s="398"/>
      <c r="V370" s="398"/>
      <c r="W370" s="397"/>
      <c r="X370" s="399"/>
      <c r="Y370" s="432">
        <f>Requisitions_Tracker[[#This Row],[Unit Price]]*Requisitions_Tracker[[#This Row],[Quantity]]</f>
        <v>0</v>
      </c>
    </row>
    <row r="371" spans="1:25" x14ac:dyDescent="0.25">
      <c r="A371" s="501" t="s">
        <v>7902</v>
      </c>
      <c r="B371" s="397" t="s">
        <v>8050</v>
      </c>
      <c r="C371" s="91" t="s">
        <v>3</v>
      </c>
      <c r="D371" s="428">
        <v>1214525</v>
      </c>
      <c r="E371" s="428">
        <v>11096170</v>
      </c>
      <c r="F371" s="397" t="s">
        <v>8051</v>
      </c>
      <c r="G371" s="397" t="s">
        <v>32</v>
      </c>
      <c r="H371" s="397" t="s">
        <v>784</v>
      </c>
      <c r="I371" s="397" t="s">
        <v>7951</v>
      </c>
      <c r="J371" s="430" t="s">
        <v>8054</v>
      </c>
      <c r="K371" s="428">
        <v>1</v>
      </c>
      <c r="L371" s="397" t="s">
        <v>321</v>
      </c>
      <c r="M371" s="397" t="s">
        <v>157</v>
      </c>
      <c r="N371" s="397" t="s">
        <v>8052</v>
      </c>
      <c r="O371" s="430" t="s">
        <v>8053</v>
      </c>
      <c r="P371" s="431" t="str">
        <f>Requisitions_Tracker[[#This Row],[ConOps Contact]]</f>
        <v>Frank Young</v>
      </c>
      <c r="Q371" s="397">
        <v>15278</v>
      </c>
      <c r="R371" s="398">
        <v>45708</v>
      </c>
      <c r="S371" s="398">
        <v>45758</v>
      </c>
      <c r="T371" s="397"/>
      <c r="U371" s="398"/>
      <c r="V371" s="398"/>
      <c r="W371" s="397"/>
      <c r="X371" s="399"/>
      <c r="Y371" s="432">
        <f>Requisitions_Tracker[[#This Row],[Unit Price]]*Requisitions_Tracker[[#This Row],[Quantity]]</f>
        <v>0</v>
      </c>
    </row>
    <row r="372" spans="1:25" x14ac:dyDescent="0.25">
      <c r="A372" s="501" t="s">
        <v>7902</v>
      </c>
      <c r="B372" s="397" t="s">
        <v>6817</v>
      </c>
      <c r="C372" s="91" t="s">
        <v>1073</v>
      </c>
      <c r="D372" s="428">
        <v>1614145</v>
      </c>
      <c r="E372" s="428">
        <v>11090754</v>
      </c>
      <c r="F372" s="397" t="s">
        <v>3259</v>
      </c>
      <c r="G372" s="397" t="s">
        <v>31</v>
      </c>
      <c r="H372" s="397" t="s">
        <v>851</v>
      </c>
      <c r="I372" s="397" t="s">
        <v>590</v>
      </c>
      <c r="J372" s="429" t="s">
        <v>8055</v>
      </c>
      <c r="K372" s="428">
        <v>3040</v>
      </c>
      <c r="L372" s="397" t="s">
        <v>374</v>
      </c>
      <c r="M372" s="397" t="s">
        <v>7863</v>
      </c>
      <c r="N372" s="397"/>
      <c r="O372" s="430" t="s">
        <v>8003</v>
      </c>
      <c r="P372" s="431" t="str">
        <f>Requisitions_Tracker[[#This Row],[ConOps Contact]]</f>
        <v>Jeremy Rempert</v>
      </c>
      <c r="Q372" s="397"/>
      <c r="R372" s="398">
        <v>45691</v>
      </c>
      <c r="S372" s="398"/>
      <c r="T372" s="397"/>
      <c r="U372" s="398"/>
      <c r="V372" s="398"/>
      <c r="W372" s="397"/>
      <c r="X372" s="399"/>
      <c r="Y372" s="432">
        <f>Requisitions_Tracker[[#This Row],[Unit Price]]*Requisitions_Tracker[[#This Row],[Quantity]]</f>
        <v>0</v>
      </c>
    </row>
    <row r="373" spans="1:25" x14ac:dyDescent="0.25">
      <c r="A373" s="501" t="s">
        <v>7902</v>
      </c>
      <c r="B373" s="397" t="s">
        <v>6817</v>
      </c>
      <c r="C373" s="91" t="s">
        <v>1073</v>
      </c>
      <c r="D373" s="428">
        <v>1614145</v>
      </c>
      <c r="E373" s="428">
        <v>11090754</v>
      </c>
      <c r="F373" s="397" t="s">
        <v>3259</v>
      </c>
      <c r="G373" s="397" t="s">
        <v>31</v>
      </c>
      <c r="H373" s="397" t="s">
        <v>851</v>
      </c>
      <c r="I373" s="397" t="s">
        <v>590</v>
      </c>
      <c r="J373" s="429" t="s">
        <v>8056</v>
      </c>
      <c r="K373" s="428">
        <v>240</v>
      </c>
      <c r="L373" s="397" t="s">
        <v>374</v>
      </c>
      <c r="M373" s="397" t="s">
        <v>7863</v>
      </c>
      <c r="N373" s="397"/>
      <c r="O373" s="430" t="s">
        <v>8003</v>
      </c>
      <c r="P373" s="431" t="str">
        <f>Requisitions_Tracker[[#This Row],[ConOps Contact]]</f>
        <v>Jeremy Rempert</v>
      </c>
      <c r="Q373" s="397"/>
      <c r="R373" s="398">
        <v>45691</v>
      </c>
      <c r="S373" s="398"/>
      <c r="T373" s="397"/>
      <c r="U373" s="398"/>
      <c r="V373" s="398"/>
      <c r="W373" s="397"/>
      <c r="X373" s="399"/>
      <c r="Y373" s="432">
        <f>Requisitions_Tracker[[#This Row],[Unit Price]]*Requisitions_Tracker[[#This Row],[Quantity]]</f>
        <v>0</v>
      </c>
    </row>
    <row r="374" spans="1:25" x14ac:dyDescent="0.25">
      <c r="A374" s="501" t="s">
        <v>7902</v>
      </c>
      <c r="B374" s="397" t="s">
        <v>6817</v>
      </c>
      <c r="C374" s="91" t="s">
        <v>1073</v>
      </c>
      <c r="D374" s="428">
        <v>1614145</v>
      </c>
      <c r="E374" s="428">
        <v>11090754</v>
      </c>
      <c r="F374" s="397" t="s">
        <v>3259</v>
      </c>
      <c r="G374" s="397" t="s">
        <v>31</v>
      </c>
      <c r="H374" s="397" t="s">
        <v>851</v>
      </c>
      <c r="I374" s="397" t="s">
        <v>590</v>
      </c>
      <c r="J374" s="429" t="s">
        <v>8057</v>
      </c>
      <c r="K374" s="428">
        <v>480</v>
      </c>
      <c r="L374" s="397" t="s">
        <v>374</v>
      </c>
      <c r="M374" s="397" t="s">
        <v>7863</v>
      </c>
      <c r="N374" s="397"/>
      <c r="O374" s="430" t="s">
        <v>8003</v>
      </c>
      <c r="P374" s="431" t="str">
        <f>Requisitions_Tracker[[#This Row],[ConOps Contact]]</f>
        <v>Jeremy Rempert</v>
      </c>
      <c r="Q374" s="397"/>
      <c r="R374" s="398">
        <v>45691</v>
      </c>
      <c r="S374" s="398"/>
      <c r="T374" s="397"/>
      <c r="U374" s="398"/>
      <c r="V374" s="398"/>
      <c r="W374" s="397"/>
      <c r="X374" s="399"/>
      <c r="Y374" s="432">
        <f>Requisitions_Tracker[[#This Row],[Unit Price]]*Requisitions_Tracker[[#This Row],[Quantity]]</f>
        <v>0</v>
      </c>
    </row>
    <row r="375" spans="1:25" x14ac:dyDescent="0.25">
      <c r="A375" s="501" t="s">
        <v>7902</v>
      </c>
      <c r="B375" s="397" t="s">
        <v>6817</v>
      </c>
      <c r="C375" s="91" t="s">
        <v>1073</v>
      </c>
      <c r="D375" s="428">
        <v>1614145</v>
      </c>
      <c r="E375" s="428">
        <v>11090754</v>
      </c>
      <c r="F375" s="397" t="s">
        <v>3259</v>
      </c>
      <c r="G375" s="397" t="s">
        <v>31</v>
      </c>
      <c r="H375" s="397" t="s">
        <v>851</v>
      </c>
      <c r="I375" s="397" t="s">
        <v>590</v>
      </c>
      <c r="J375" s="429" t="s">
        <v>362</v>
      </c>
      <c r="K375" s="428">
        <v>10</v>
      </c>
      <c r="L375" s="397" t="s">
        <v>321</v>
      </c>
      <c r="M375" s="397" t="s">
        <v>7863</v>
      </c>
      <c r="N375" s="397"/>
      <c r="O375" s="430" t="s">
        <v>8003</v>
      </c>
      <c r="P375" s="431" t="str">
        <f>Requisitions_Tracker[[#This Row],[ConOps Contact]]</f>
        <v>Jeremy Rempert</v>
      </c>
      <c r="Q375" s="397"/>
      <c r="R375" s="398">
        <v>45691</v>
      </c>
      <c r="S375" s="398"/>
      <c r="T375" s="397"/>
      <c r="U375" s="398"/>
      <c r="V375" s="398"/>
      <c r="W375" s="397"/>
      <c r="X375" s="399"/>
      <c r="Y375" s="432">
        <f>Requisitions_Tracker[[#This Row],[Unit Price]]*Requisitions_Tracker[[#This Row],[Quantity]]</f>
        <v>0</v>
      </c>
    </row>
    <row r="376" spans="1:25" x14ac:dyDescent="0.25">
      <c r="A376" s="501" t="s">
        <v>7902</v>
      </c>
      <c r="B376" s="397" t="s">
        <v>6817</v>
      </c>
      <c r="C376" s="91" t="s">
        <v>1073</v>
      </c>
      <c r="D376" s="428">
        <v>1614145</v>
      </c>
      <c r="E376" s="428">
        <v>11090754</v>
      </c>
      <c r="F376" s="397" t="s">
        <v>3259</v>
      </c>
      <c r="G376" s="397" t="s">
        <v>31</v>
      </c>
      <c r="H376" s="397" t="s">
        <v>851</v>
      </c>
      <c r="I376" s="397" t="s">
        <v>590</v>
      </c>
      <c r="J376" s="429" t="s">
        <v>7926</v>
      </c>
      <c r="K376" s="428">
        <v>6</v>
      </c>
      <c r="L376" s="397" t="s">
        <v>321</v>
      </c>
      <c r="M376" s="397" t="s">
        <v>7863</v>
      </c>
      <c r="N376" s="397"/>
      <c r="O376" s="430" t="s">
        <v>8003</v>
      </c>
      <c r="P376" s="431" t="str">
        <f>Requisitions_Tracker[[#This Row],[ConOps Contact]]</f>
        <v>Jeremy Rempert</v>
      </c>
      <c r="Q376" s="397"/>
      <c r="R376" s="398">
        <v>45691</v>
      </c>
      <c r="S376" s="398"/>
      <c r="T376" s="397"/>
      <c r="U376" s="398"/>
      <c r="V376" s="398"/>
      <c r="W376" s="397"/>
      <c r="X376" s="399"/>
      <c r="Y376" s="432">
        <f>Requisitions_Tracker[[#This Row],[Unit Price]]*Requisitions_Tracker[[#This Row],[Quantity]]</f>
        <v>0</v>
      </c>
    </row>
    <row r="377" spans="1:25" x14ac:dyDescent="0.25">
      <c r="A377" s="501" t="s">
        <v>7902</v>
      </c>
      <c r="B377" s="397" t="s">
        <v>6817</v>
      </c>
      <c r="C377" s="91" t="s">
        <v>1073</v>
      </c>
      <c r="D377" s="428">
        <v>1614145</v>
      </c>
      <c r="E377" s="428">
        <v>11090754</v>
      </c>
      <c r="F377" s="397" t="s">
        <v>3259</v>
      </c>
      <c r="G377" s="397" t="s">
        <v>31</v>
      </c>
      <c r="H377" s="397" t="s">
        <v>851</v>
      </c>
      <c r="I377" s="397" t="s">
        <v>590</v>
      </c>
      <c r="J377" s="429" t="s">
        <v>8058</v>
      </c>
      <c r="K377" s="428">
        <v>1</v>
      </c>
      <c r="L377" s="397" t="s">
        <v>321</v>
      </c>
      <c r="M377" s="397" t="s">
        <v>7863</v>
      </c>
      <c r="N377" s="397"/>
      <c r="O377" s="430" t="s">
        <v>8003</v>
      </c>
      <c r="P377" s="431" t="str">
        <f>Requisitions_Tracker[[#This Row],[ConOps Contact]]</f>
        <v>Jeremy Rempert</v>
      </c>
      <c r="Q377" s="397"/>
      <c r="R377" s="398">
        <v>45691</v>
      </c>
      <c r="S377" s="398"/>
      <c r="T377" s="397"/>
      <c r="U377" s="398"/>
      <c r="V377" s="398"/>
      <c r="W377" s="397"/>
      <c r="X377" s="399"/>
      <c r="Y377" s="432">
        <f>Requisitions_Tracker[[#This Row],[Unit Price]]*Requisitions_Tracker[[#This Row],[Quantity]]</f>
        <v>0</v>
      </c>
    </row>
    <row r="378" spans="1:25" x14ac:dyDescent="0.25">
      <c r="A378" s="501" t="s">
        <v>7902</v>
      </c>
      <c r="B378" s="397" t="s">
        <v>6817</v>
      </c>
      <c r="C378" s="90" t="s">
        <v>1073</v>
      </c>
      <c r="D378" s="428">
        <v>1614145</v>
      </c>
      <c r="E378" s="428">
        <v>11090754</v>
      </c>
      <c r="F378" s="397" t="s">
        <v>3259</v>
      </c>
      <c r="G378" s="397" t="s">
        <v>31</v>
      </c>
      <c r="H378" s="397" t="s">
        <v>851</v>
      </c>
      <c r="I378" s="397" t="s">
        <v>590</v>
      </c>
      <c r="J378" s="429" t="s">
        <v>8059</v>
      </c>
      <c r="K378" s="428">
        <v>1</v>
      </c>
      <c r="L378" s="397" t="s">
        <v>321</v>
      </c>
      <c r="M378" s="397" t="s">
        <v>7863</v>
      </c>
      <c r="N378" s="397"/>
      <c r="O378" s="430" t="s">
        <v>8003</v>
      </c>
      <c r="P378" s="431" t="str">
        <f>Requisitions_Tracker[[#This Row],[ConOps Contact]]</f>
        <v>Jeremy Rempert</v>
      </c>
      <c r="Q378" s="397"/>
      <c r="R378" s="398">
        <v>45691</v>
      </c>
      <c r="S378" s="398"/>
      <c r="T378" s="397"/>
      <c r="U378" s="398"/>
      <c r="V378" s="398"/>
      <c r="W378" s="397"/>
      <c r="X378" s="399"/>
      <c r="Y378" s="432">
        <f>Requisitions_Tracker[[#This Row],[Unit Price]]*Requisitions_Tracker[[#This Row],[Quantity]]</f>
        <v>0</v>
      </c>
    </row>
    <row r="379" spans="1:25" x14ac:dyDescent="0.25">
      <c r="A379" s="501" t="s">
        <v>7902</v>
      </c>
      <c r="B379" s="433" t="s">
        <v>8060</v>
      </c>
      <c r="C379" s="91" t="s">
        <v>1205</v>
      </c>
      <c r="D379" s="434">
        <v>1414506</v>
      </c>
      <c r="E379" s="428">
        <v>11096172</v>
      </c>
      <c r="F379" s="397" t="s">
        <v>309</v>
      </c>
      <c r="G379" s="397" t="s">
        <v>31</v>
      </c>
      <c r="H379" s="397" t="s">
        <v>6874</v>
      </c>
      <c r="I379" s="397" t="s">
        <v>364</v>
      </c>
      <c r="J379" s="429" t="s">
        <v>8061</v>
      </c>
      <c r="K379" s="428">
        <v>1</v>
      </c>
      <c r="L379" s="397" t="s">
        <v>8062</v>
      </c>
      <c r="M379" s="397" t="s">
        <v>7863</v>
      </c>
      <c r="N379" s="397"/>
      <c r="O379" s="430" t="s">
        <v>8063</v>
      </c>
      <c r="P379" s="431" t="str">
        <f>Requisitions_Tracker[[#This Row],[ConOps Contact]]</f>
        <v>Mike Steiskal</v>
      </c>
      <c r="Q379" s="397">
        <v>14964</v>
      </c>
      <c r="R379" s="398">
        <v>45691</v>
      </c>
      <c r="S379" s="398"/>
      <c r="T379" s="397"/>
      <c r="U379" s="398"/>
      <c r="V379" s="398"/>
      <c r="W379" s="397"/>
      <c r="X379" s="399"/>
      <c r="Y379" s="432">
        <f>Requisitions_Tracker[[#This Row],[Unit Price]]*Requisitions_Tracker[[#This Row],[Quantity]]</f>
        <v>0</v>
      </c>
    </row>
    <row r="380" spans="1:25" x14ac:dyDescent="0.25">
      <c r="A380" s="501" t="s">
        <v>7902</v>
      </c>
      <c r="B380" s="433" t="s">
        <v>8060</v>
      </c>
      <c r="C380" s="91" t="s">
        <v>1205</v>
      </c>
      <c r="D380" s="434">
        <v>1414506</v>
      </c>
      <c r="E380" s="428">
        <v>11096172</v>
      </c>
      <c r="F380" s="397" t="s">
        <v>309</v>
      </c>
      <c r="G380" s="397" t="s">
        <v>31</v>
      </c>
      <c r="H380" s="397" t="s">
        <v>6874</v>
      </c>
      <c r="I380" s="397" t="s">
        <v>364</v>
      </c>
      <c r="J380" s="429" t="s">
        <v>616</v>
      </c>
      <c r="K380" s="428">
        <v>1</v>
      </c>
      <c r="L380" s="397" t="s">
        <v>8062</v>
      </c>
      <c r="M380" s="397" t="s">
        <v>7863</v>
      </c>
      <c r="N380" s="397"/>
      <c r="O380" s="430" t="s">
        <v>8063</v>
      </c>
      <c r="P380" s="431" t="str">
        <f>Requisitions_Tracker[[#This Row],[ConOps Contact]]</f>
        <v>Mike Steiskal</v>
      </c>
      <c r="Q380" s="397">
        <v>14964</v>
      </c>
      <c r="R380" s="398">
        <v>45691</v>
      </c>
      <c r="S380" s="398"/>
      <c r="T380" s="397"/>
      <c r="U380" s="398"/>
      <c r="V380" s="398"/>
      <c r="W380" s="397"/>
      <c r="X380" s="808"/>
      <c r="Y380" s="809">
        <f>Requisitions_Tracker[[#This Row],[Unit Price]]*Requisitions_Tracker[[#This Row],[Quantity]]</f>
        <v>0</v>
      </c>
    </row>
    <row r="381" spans="1:25" ht="30" x14ac:dyDescent="0.25">
      <c r="A381" s="501" t="s">
        <v>7902</v>
      </c>
      <c r="B381" s="433" t="s">
        <v>8064</v>
      </c>
      <c r="C381" s="91" t="s">
        <v>1073</v>
      </c>
      <c r="D381" s="428">
        <v>1914022</v>
      </c>
      <c r="E381" s="428">
        <v>11094537</v>
      </c>
      <c r="F381" s="397" t="s">
        <v>8030</v>
      </c>
      <c r="G381" s="397" t="s">
        <v>36</v>
      </c>
      <c r="H381" s="397" t="s">
        <v>851</v>
      </c>
      <c r="I381" s="397" t="s">
        <v>8031</v>
      </c>
      <c r="J381" s="429" t="s">
        <v>7948</v>
      </c>
      <c r="K381" s="428">
        <v>1920</v>
      </c>
      <c r="L381" s="397" t="s">
        <v>63</v>
      </c>
      <c r="M381" s="397" t="s">
        <v>7915</v>
      </c>
      <c r="N381" s="397"/>
      <c r="O381" s="430" t="s">
        <v>8065</v>
      </c>
      <c r="P381" s="431" t="str">
        <f>Requisitions_Tracker[[#This Row],[ConOps Contact]]</f>
        <v>Kurt Fogleman</v>
      </c>
      <c r="Q381" s="397">
        <v>15052</v>
      </c>
      <c r="R381" s="398">
        <v>45694</v>
      </c>
      <c r="S381" s="398"/>
      <c r="T381" s="397"/>
      <c r="U381" s="398"/>
      <c r="V381" s="398"/>
      <c r="W381" s="397"/>
      <c r="X381" s="399"/>
      <c r="Y381" s="432">
        <f>Requisitions_Tracker[[#This Row],[Unit Price]]*Requisitions_Tracker[[#This Row],[Quantity]]</f>
        <v>0</v>
      </c>
    </row>
    <row r="382" spans="1:25" ht="30" x14ac:dyDescent="0.25">
      <c r="A382" s="501" t="s">
        <v>7902</v>
      </c>
      <c r="B382" s="433" t="s">
        <v>8064</v>
      </c>
      <c r="C382" s="91" t="s">
        <v>1073</v>
      </c>
      <c r="D382" s="428">
        <v>1914022</v>
      </c>
      <c r="E382" s="384">
        <v>11094537</v>
      </c>
      <c r="F382" s="397" t="s">
        <v>8030</v>
      </c>
      <c r="G382" s="397" t="s">
        <v>36</v>
      </c>
      <c r="H382" s="397" t="s">
        <v>851</v>
      </c>
      <c r="I382" s="397" t="s">
        <v>8031</v>
      </c>
      <c r="J382" s="429" t="s">
        <v>8066</v>
      </c>
      <c r="K382" s="384">
        <v>4</v>
      </c>
      <c r="L382" s="385" t="s">
        <v>8062</v>
      </c>
      <c r="M382" s="397" t="s">
        <v>7915</v>
      </c>
      <c r="N382" s="385"/>
      <c r="O382" s="430" t="s">
        <v>8065</v>
      </c>
      <c r="P382" s="387" t="str">
        <f>Requisitions_Tracker[[#This Row],[ConOps Contact]]</f>
        <v>Kurt Fogleman</v>
      </c>
      <c r="Q382" s="397">
        <v>15052</v>
      </c>
      <c r="R382" s="398">
        <v>45694</v>
      </c>
      <c r="S382" s="388"/>
      <c r="T382" s="385"/>
      <c r="U382" s="388"/>
      <c r="V382" s="388"/>
      <c r="W382" s="385"/>
      <c r="X382" s="389"/>
      <c r="Y382" s="390">
        <f>Requisitions_Tracker[[#This Row],[Unit Price]]*Requisitions_Tracker[[#This Row],[Quantity]]</f>
        <v>0</v>
      </c>
    </row>
    <row r="383" spans="1:25" ht="30" x14ac:dyDescent="0.25">
      <c r="A383" s="501" t="s">
        <v>7902</v>
      </c>
      <c r="B383" s="433" t="s">
        <v>8064</v>
      </c>
      <c r="C383" s="91" t="s">
        <v>1073</v>
      </c>
      <c r="D383" s="428">
        <v>1914022</v>
      </c>
      <c r="E383" s="384">
        <v>11094537</v>
      </c>
      <c r="F383" s="397" t="s">
        <v>8030</v>
      </c>
      <c r="G383" s="397" t="s">
        <v>36</v>
      </c>
      <c r="H383" s="397" t="s">
        <v>851</v>
      </c>
      <c r="I383" s="397" t="s">
        <v>8031</v>
      </c>
      <c r="J383" s="429" t="s">
        <v>8024</v>
      </c>
      <c r="K383" s="384">
        <v>6</v>
      </c>
      <c r="L383" s="385" t="s">
        <v>8062</v>
      </c>
      <c r="M383" s="397" t="s">
        <v>7915</v>
      </c>
      <c r="N383" s="385"/>
      <c r="O383" s="430" t="s">
        <v>8065</v>
      </c>
      <c r="P383" s="387" t="str">
        <f>Requisitions_Tracker[[#This Row],[ConOps Contact]]</f>
        <v>Kurt Fogleman</v>
      </c>
      <c r="Q383" s="397">
        <v>15052</v>
      </c>
      <c r="R383" s="398">
        <v>45694</v>
      </c>
      <c r="S383" s="388"/>
      <c r="T383" s="385"/>
      <c r="U383" s="388"/>
      <c r="V383" s="388"/>
      <c r="W383" s="385"/>
      <c r="X383" s="389"/>
      <c r="Y383" s="390">
        <f>Requisitions_Tracker[[#This Row],[Unit Price]]*Requisitions_Tracker[[#This Row],[Quantity]]</f>
        <v>0</v>
      </c>
    </row>
    <row r="384" spans="1:25" ht="30" x14ac:dyDescent="0.25">
      <c r="A384" s="501" t="s">
        <v>7902</v>
      </c>
      <c r="B384" s="433" t="s">
        <v>8064</v>
      </c>
      <c r="C384" s="91" t="s">
        <v>1073</v>
      </c>
      <c r="D384" s="428">
        <v>1914022</v>
      </c>
      <c r="E384" s="384">
        <v>11094537</v>
      </c>
      <c r="F384" s="397" t="s">
        <v>8030</v>
      </c>
      <c r="G384" s="397" t="s">
        <v>36</v>
      </c>
      <c r="H384" s="397" t="s">
        <v>851</v>
      </c>
      <c r="I384" s="397" t="s">
        <v>8031</v>
      </c>
      <c r="J384" s="427" t="s">
        <v>8067</v>
      </c>
      <c r="K384" s="384">
        <v>1</v>
      </c>
      <c r="L384" s="385" t="s">
        <v>8062</v>
      </c>
      <c r="M384" s="397" t="s">
        <v>7915</v>
      </c>
      <c r="N384" s="385"/>
      <c r="O384" s="430" t="s">
        <v>8065</v>
      </c>
      <c r="P384" s="387" t="str">
        <f>Requisitions_Tracker[[#This Row],[ConOps Contact]]</f>
        <v>Kurt Fogleman</v>
      </c>
      <c r="Q384" s="397">
        <v>15052</v>
      </c>
      <c r="R384" s="398">
        <v>45694</v>
      </c>
      <c r="S384" s="388"/>
      <c r="T384" s="385"/>
      <c r="U384" s="388"/>
      <c r="V384" s="388"/>
      <c r="W384" s="385"/>
      <c r="X384" s="389"/>
      <c r="Y384" s="390">
        <f>Requisitions_Tracker[[#This Row],[Unit Price]]*Requisitions_Tracker[[#This Row],[Quantity]]</f>
        <v>0</v>
      </c>
    </row>
    <row r="385" spans="1:25" ht="30" x14ac:dyDescent="0.25">
      <c r="A385" s="501" t="s">
        <v>7902</v>
      </c>
      <c r="B385" s="433" t="s">
        <v>8064</v>
      </c>
      <c r="C385" s="91" t="s">
        <v>1073</v>
      </c>
      <c r="D385" s="428">
        <v>1914022</v>
      </c>
      <c r="E385" s="384">
        <v>11094537</v>
      </c>
      <c r="F385" s="397" t="s">
        <v>8030</v>
      </c>
      <c r="G385" s="397" t="s">
        <v>36</v>
      </c>
      <c r="H385" s="397" t="s">
        <v>851</v>
      </c>
      <c r="I385" s="397" t="s">
        <v>8031</v>
      </c>
      <c r="J385" s="427" t="s">
        <v>8068</v>
      </c>
      <c r="K385" s="384">
        <v>4</v>
      </c>
      <c r="L385" s="385" t="s">
        <v>8062</v>
      </c>
      <c r="M385" s="397" t="s">
        <v>7915</v>
      </c>
      <c r="N385" s="385"/>
      <c r="O385" s="430" t="s">
        <v>8065</v>
      </c>
      <c r="P385" s="387" t="str">
        <f>Requisitions_Tracker[[#This Row],[ConOps Contact]]</f>
        <v>Kurt Fogleman</v>
      </c>
      <c r="Q385" s="397">
        <v>15052</v>
      </c>
      <c r="R385" s="398">
        <v>45694</v>
      </c>
      <c r="S385" s="388"/>
      <c r="T385" s="385"/>
      <c r="U385" s="388"/>
      <c r="V385" s="388"/>
      <c r="W385" s="385"/>
      <c r="X385" s="389"/>
      <c r="Y385" s="390">
        <f>Requisitions_Tracker[[#This Row],[Unit Price]]*Requisitions_Tracker[[#This Row],[Quantity]]</f>
        <v>0</v>
      </c>
    </row>
    <row r="386" spans="1:25" ht="30" x14ac:dyDescent="0.25">
      <c r="A386" s="501" t="s">
        <v>529</v>
      </c>
      <c r="B386" s="433" t="s">
        <v>8069</v>
      </c>
      <c r="C386" s="91" t="s">
        <v>1073</v>
      </c>
      <c r="D386" s="384">
        <v>1914035</v>
      </c>
      <c r="E386" s="384"/>
      <c r="F386" s="397" t="s">
        <v>8030</v>
      </c>
      <c r="G386" s="397" t="s">
        <v>36</v>
      </c>
      <c r="H386" s="397" t="s">
        <v>851</v>
      </c>
      <c r="I386" s="397" t="s">
        <v>8031</v>
      </c>
      <c r="J386" s="427" t="s">
        <v>8066</v>
      </c>
      <c r="K386" s="384">
        <v>2</v>
      </c>
      <c r="L386" s="385" t="s">
        <v>8062</v>
      </c>
      <c r="M386" s="397" t="s">
        <v>7915</v>
      </c>
      <c r="N386" s="385"/>
      <c r="O386" s="430" t="s">
        <v>8065</v>
      </c>
      <c r="P386" s="387" t="str">
        <f>Requisitions_Tracker[[#This Row],[ConOps Contact]]</f>
        <v>Kurt Fogleman</v>
      </c>
      <c r="Q386" s="385">
        <v>15055</v>
      </c>
      <c r="R386" s="398">
        <v>45694</v>
      </c>
      <c r="S386" s="388"/>
      <c r="T386" s="385"/>
      <c r="U386" s="388"/>
      <c r="V386" s="388"/>
      <c r="W386" s="385"/>
      <c r="X386" s="389"/>
      <c r="Y386" s="390">
        <f>Requisitions_Tracker[[#This Row],[Unit Price]]*Requisitions_Tracker[[#This Row],[Quantity]]</f>
        <v>0</v>
      </c>
    </row>
    <row r="387" spans="1:25" ht="30" x14ac:dyDescent="0.25">
      <c r="A387" s="501" t="s">
        <v>529</v>
      </c>
      <c r="B387" s="433" t="s">
        <v>8069</v>
      </c>
      <c r="C387" s="91" t="s">
        <v>1073</v>
      </c>
      <c r="D387" s="384">
        <v>1914035</v>
      </c>
      <c r="E387" s="384"/>
      <c r="F387" s="397" t="s">
        <v>8030</v>
      </c>
      <c r="G387" s="397" t="s">
        <v>36</v>
      </c>
      <c r="H387" s="397" t="s">
        <v>851</v>
      </c>
      <c r="I387" s="397" t="s">
        <v>8031</v>
      </c>
      <c r="J387" s="427" t="s">
        <v>8068</v>
      </c>
      <c r="K387" s="384">
        <v>1</v>
      </c>
      <c r="L387" s="385" t="s">
        <v>8062</v>
      </c>
      <c r="M387" s="397" t="s">
        <v>7915</v>
      </c>
      <c r="N387" s="385"/>
      <c r="O387" s="430" t="s">
        <v>8065</v>
      </c>
      <c r="P387" s="387" t="str">
        <f>Requisitions_Tracker[[#This Row],[ConOps Contact]]</f>
        <v>Kurt Fogleman</v>
      </c>
      <c r="Q387" s="385">
        <v>15055</v>
      </c>
      <c r="R387" s="398">
        <v>45694</v>
      </c>
      <c r="S387" s="388"/>
      <c r="T387" s="385"/>
      <c r="U387" s="388"/>
      <c r="V387" s="388"/>
      <c r="W387" s="385"/>
      <c r="X387" s="389"/>
      <c r="Y387" s="390">
        <f>Requisitions_Tracker[[#This Row],[Unit Price]]*Requisitions_Tracker[[#This Row],[Quantity]]</f>
        <v>0</v>
      </c>
    </row>
    <row r="388" spans="1:25" x14ac:dyDescent="0.25">
      <c r="A388" s="501" t="s">
        <v>7912</v>
      </c>
      <c r="B388" s="397" t="s">
        <v>8070</v>
      </c>
      <c r="C388" s="91" t="s">
        <v>4</v>
      </c>
      <c r="D388" s="428">
        <v>1214649</v>
      </c>
      <c r="E388" s="428"/>
      <c r="F388" s="397" t="s">
        <v>8071</v>
      </c>
      <c r="G388" s="397" t="s">
        <v>27</v>
      </c>
      <c r="H388" s="397" t="s">
        <v>784</v>
      </c>
      <c r="I388" s="397" t="s">
        <v>7917</v>
      </c>
      <c r="J388" s="429" t="s">
        <v>7948</v>
      </c>
      <c r="K388" s="428">
        <v>280</v>
      </c>
      <c r="L388" s="397" t="s">
        <v>374</v>
      </c>
      <c r="M388" s="397" t="s">
        <v>279</v>
      </c>
      <c r="N388" s="397"/>
      <c r="O388" s="430"/>
      <c r="P388" s="431" t="str">
        <f>Requisitions_Tracker[[#This Row],[ConOps Contact]]</f>
        <v>Frank Tanzillo</v>
      </c>
      <c r="Q388" s="397"/>
      <c r="R388" s="398"/>
      <c r="S388" s="398"/>
      <c r="T388" s="397"/>
      <c r="U388" s="398"/>
      <c r="V388" s="398"/>
      <c r="W388" s="397"/>
      <c r="X388" s="399"/>
      <c r="Y388" s="432">
        <f>Requisitions_Tracker[[#This Row],[Unit Price]]*Requisitions_Tracker[[#This Row],[Quantity]]</f>
        <v>0</v>
      </c>
    </row>
    <row r="389" spans="1:25" ht="30" x14ac:dyDescent="0.25">
      <c r="A389" s="501" t="s">
        <v>7902</v>
      </c>
      <c r="B389" s="397" t="s">
        <v>8072</v>
      </c>
      <c r="C389" s="91" t="s">
        <v>1205</v>
      </c>
      <c r="D389" s="428">
        <v>1414512</v>
      </c>
      <c r="E389" s="428">
        <v>11096171</v>
      </c>
      <c r="F389" s="397" t="s">
        <v>757</v>
      </c>
      <c r="G389" s="397" t="s">
        <v>8073</v>
      </c>
      <c r="H389" s="397" t="s">
        <v>6874</v>
      </c>
      <c r="I389" s="397" t="s">
        <v>7896</v>
      </c>
      <c r="J389" s="429" t="s">
        <v>8074</v>
      </c>
      <c r="K389" s="428">
        <v>440</v>
      </c>
      <c r="L389" s="397" t="s">
        <v>63</v>
      </c>
      <c r="M389" s="397" t="s">
        <v>7863</v>
      </c>
      <c r="N389" s="397"/>
      <c r="O389" s="430" t="s">
        <v>8065</v>
      </c>
      <c r="P389" s="431" t="str">
        <f>Requisitions_Tracker[[#This Row],[ConOps Contact]]</f>
        <v>Virginia (Gena) Easley</v>
      </c>
      <c r="Q389" s="397">
        <v>15078</v>
      </c>
      <c r="R389" s="398">
        <v>45698</v>
      </c>
      <c r="S389" s="398"/>
      <c r="T389" s="397"/>
      <c r="U389" s="398"/>
      <c r="V389" s="398"/>
      <c r="W389" s="397"/>
      <c r="X389" s="399"/>
      <c r="Y389" s="432">
        <f>Requisitions_Tracker[[#This Row],[Unit Price]]*Requisitions_Tracker[[#This Row],[Quantity]]</f>
        <v>0</v>
      </c>
    </row>
    <row r="390" spans="1:25" ht="30" x14ac:dyDescent="0.25">
      <c r="A390" s="382"/>
      <c r="B390" s="397" t="s">
        <v>8075</v>
      </c>
      <c r="C390" s="91" t="s">
        <v>1205</v>
      </c>
      <c r="D390" s="428">
        <v>1414512</v>
      </c>
      <c r="E390" s="428">
        <v>11096171</v>
      </c>
      <c r="F390" s="397" t="s">
        <v>757</v>
      </c>
      <c r="G390" s="397" t="s">
        <v>8073</v>
      </c>
      <c r="H390" s="397" t="s">
        <v>6874</v>
      </c>
      <c r="I390" s="397" t="s">
        <v>7896</v>
      </c>
      <c r="J390" s="429" t="s">
        <v>8066</v>
      </c>
      <c r="K390" s="384">
        <v>2</v>
      </c>
      <c r="L390" s="385" t="s">
        <v>321</v>
      </c>
      <c r="M390" s="397" t="s">
        <v>7863</v>
      </c>
      <c r="N390" s="385"/>
      <c r="O390" s="386" t="s">
        <v>8076</v>
      </c>
      <c r="P390" s="387" t="str">
        <f>Requisitions_Tracker[[#This Row],[ConOps Contact]]</f>
        <v>Virginia (Gena) Easley</v>
      </c>
      <c r="Q390" s="385">
        <v>15079</v>
      </c>
      <c r="R390" s="398">
        <v>45698</v>
      </c>
      <c r="S390" s="388"/>
      <c r="T390" s="385"/>
      <c r="U390" s="388"/>
      <c r="V390" s="388"/>
      <c r="W390" s="385"/>
      <c r="X390" s="389"/>
      <c r="Y390" s="390">
        <f>Requisitions_Tracker[[#This Row],[Unit Price]]*Requisitions_Tracker[[#This Row],[Quantity]]</f>
        <v>0</v>
      </c>
    </row>
    <row r="391" spans="1:25" ht="30" x14ac:dyDescent="0.25">
      <c r="A391" s="382"/>
      <c r="B391" s="397" t="s">
        <v>8077</v>
      </c>
      <c r="C391" s="91" t="s">
        <v>1205</v>
      </c>
      <c r="D391" s="428">
        <v>1414512</v>
      </c>
      <c r="E391" s="428">
        <v>11096171</v>
      </c>
      <c r="F391" s="397" t="s">
        <v>757</v>
      </c>
      <c r="G391" s="397" t="s">
        <v>8073</v>
      </c>
      <c r="H391" s="397" t="s">
        <v>6874</v>
      </c>
      <c r="I391" s="397" t="s">
        <v>7896</v>
      </c>
      <c r="J391" s="427" t="s">
        <v>8068</v>
      </c>
      <c r="K391" s="384">
        <v>2</v>
      </c>
      <c r="L391" s="385" t="s">
        <v>321</v>
      </c>
      <c r="M391" s="397" t="s">
        <v>7863</v>
      </c>
      <c r="N391" s="385"/>
      <c r="O391" s="386" t="s">
        <v>8076</v>
      </c>
      <c r="P391" s="387" t="str">
        <f>Requisitions_Tracker[[#This Row],[ConOps Contact]]</f>
        <v>Virginia (Gena) Easley</v>
      </c>
      <c r="Q391" s="385">
        <v>15079</v>
      </c>
      <c r="R391" s="398">
        <v>45698</v>
      </c>
      <c r="S391" s="388"/>
      <c r="T391" s="385"/>
      <c r="U391" s="388"/>
      <c r="V391" s="388"/>
      <c r="W391" s="385"/>
      <c r="X391" s="389"/>
      <c r="Y391" s="390">
        <f>Requisitions_Tracker[[#This Row],[Unit Price]]*Requisitions_Tracker[[#This Row],[Quantity]]</f>
        <v>0</v>
      </c>
    </row>
    <row r="392" spans="1:25" x14ac:dyDescent="0.25">
      <c r="A392" s="501" t="s">
        <v>7912</v>
      </c>
      <c r="B392" s="397" t="s">
        <v>8078</v>
      </c>
      <c r="C392" s="91" t="s">
        <v>4</v>
      </c>
      <c r="D392" s="428">
        <v>1214787</v>
      </c>
      <c r="E392" s="428"/>
      <c r="F392" s="397" t="s">
        <v>3262</v>
      </c>
      <c r="G392" s="397" t="s">
        <v>26</v>
      </c>
      <c r="H392" s="397" t="s">
        <v>784</v>
      </c>
      <c r="I392" s="397" t="s">
        <v>7917</v>
      </c>
      <c r="J392" s="430" t="s">
        <v>632</v>
      </c>
      <c r="K392" s="428">
        <v>400</v>
      </c>
      <c r="L392" s="397" t="s">
        <v>374</v>
      </c>
      <c r="M392" s="397" t="s">
        <v>7863</v>
      </c>
      <c r="N392" s="397"/>
      <c r="O392" s="430"/>
      <c r="P392" s="431" t="str">
        <f>Requisitions_Tracker[[#This Row],[ConOps Contact]]</f>
        <v>Frank Tanzillo</v>
      </c>
      <c r="Q392" s="397"/>
      <c r="R392" s="398"/>
      <c r="S392" s="398"/>
      <c r="T392" s="397"/>
      <c r="U392" s="398"/>
      <c r="V392" s="398"/>
      <c r="W392" s="397"/>
      <c r="X392" s="399"/>
      <c r="Y392" s="432">
        <f>Requisitions_Tracker[[#This Row],[Unit Price]]*Requisitions_Tracker[[#This Row],[Quantity]]</f>
        <v>0</v>
      </c>
    </row>
    <row r="393" spans="1:25" x14ac:dyDescent="0.25">
      <c r="A393" s="501" t="s">
        <v>529</v>
      </c>
      <c r="B393" s="397" t="s">
        <v>8078</v>
      </c>
      <c r="C393" s="91" t="s">
        <v>4</v>
      </c>
      <c r="D393" s="428">
        <v>1214787</v>
      </c>
      <c r="E393" s="428">
        <v>11107494</v>
      </c>
      <c r="F393" s="397" t="s">
        <v>3262</v>
      </c>
      <c r="G393" s="397" t="s">
        <v>26</v>
      </c>
      <c r="H393" s="397" t="s">
        <v>784</v>
      </c>
      <c r="I393" s="397" t="s">
        <v>7917</v>
      </c>
      <c r="J393" s="386" t="s">
        <v>8079</v>
      </c>
      <c r="K393" s="384">
        <v>1</v>
      </c>
      <c r="L393" s="385" t="s">
        <v>321</v>
      </c>
      <c r="M393" s="397" t="s">
        <v>7863</v>
      </c>
      <c r="N393" s="385"/>
      <c r="O393" s="386"/>
      <c r="P393" s="387" t="str">
        <f>Requisitions_Tracker[[#This Row],[ConOps Contact]]</f>
        <v>Frank Tanzillo</v>
      </c>
      <c r="Q393" s="385" t="s">
        <v>8080</v>
      </c>
      <c r="R393" s="388">
        <v>45856</v>
      </c>
      <c r="S393" s="388"/>
      <c r="T393" s="385"/>
      <c r="U393" s="388"/>
      <c r="V393" s="388"/>
      <c r="W393" s="385"/>
      <c r="X393" s="389"/>
      <c r="Y393" s="390">
        <f>Requisitions_Tracker[[#This Row],[Unit Price]]*Requisitions_Tracker[[#This Row],[Quantity]]</f>
        <v>0</v>
      </c>
    </row>
    <row r="394" spans="1:25" x14ac:dyDescent="0.25">
      <c r="A394" s="501" t="s">
        <v>7902</v>
      </c>
      <c r="B394" s="397" t="s">
        <v>8081</v>
      </c>
      <c r="C394" s="90" t="s">
        <v>4</v>
      </c>
      <c r="D394" s="428">
        <v>1314544</v>
      </c>
      <c r="E394" s="428">
        <v>11099141</v>
      </c>
      <c r="F394" s="397" t="s">
        <v>526</v>
      </c>
      <c r="G394" s="397" t="s">
        <v>31</v>
      </c>
      <c r="H394" s="397" t="s">
        <v>6874</v>
      </c>
      <c r="I394" s="397" t="s">
        <v>247</v>
      </c>
      <c r="J394" s="429" t="s">
        <v>269</v>
      </c>
      <c r="K394" s="428">
        <v>2</v>
      </c>
      <c r="L394" s="397" t="s">
        <v>533</v>
      </c>
      <c r="M394" s="397" t="s">
        <v>7863</v>
      </c>
      <c r="N394" s="397"/>
      <c r="O394" s="430"/>
      <c r="P394" s="431" t="str">
        <f>Requisitions_Tracker[[#This Row],[ConOps Contact]]</f>
        <v>Joe Gaca</v>
      </c>
      <c r="Q394" s="397">
        <v>15736</v>
      </c>
      <c r="R394" s="398">
        <v>45734</v>
      </c>
      <c r="S394" s="398"/>
      <c r="T394" s="397"/>
      <c r="U394" s="398"/>
      <c r="V394" s="398"/>
      <c r="W394" s="397"/>
      <c r="X394" s="399"/>
      <c r="Y394" s="432">
        <f>Requisitions_Tracker[[#This Row],[Unit Price]]*Requisitions_Tracker[[#This Row],[Quantity]]</f>
        <v>0</v>
      </c>
    </row>
    <row r="395" spans="1:25" ht="30" x14ac:dyDescent="0.25">
      <c r="A395" s="501" t="s">
        <v>7902</v>
      </c>
      <c r="B395" s="433" t="s">
        <v>8082</v>
      </c>
      <c r="C395" s="1323" t="s">
        <v>2</v>
      </c>
      <c r="D395" s="434">
        <v>1014641</v>
      </c>
      <c r="E395" s="428">
        <v>11097252</v>
      </c>
      <c r="F395" s="397" t="s">
        <v>8083</v>
      </c>
      <c r="G395" s="397" t="s">
        <v>34</v>
      </c>
      <c r="H395" s="397" t="s">
        <v>8005</v>
      </c>
      <c r="I395" s="397" t="s">
        <v>8006</v>
      </c>
      <c r="J395" s="430" t="s">
        <v>8084</v>
      </c>
      <c r="K395" s="428">
        <v>1</v>
      </c>
      <c r="L395" s="397" t="s">
        <v>321</v>
      </c>
      <c r="M395" s="397" t="s">
        <v>7863</v>
      </c>
      <c r="N395" s="397"/>
      <c r="O395" s="430" t="s">
        <v>8003</v>
      </c>
      <c r="P395" s="431" t="s">
        <v>8016</v>
      </c>
      <c r="Q395" s="397">
        <v>16133</v>
      </c>
      <c r="R395" s="398">
        <v>45755</v>
      </c>
      <c r="S395" s="398"/>
      <c r="T395" s="397"/>
      <c r="U395" s="398"/>
      <c r="V395" s="398"/>
      <c r="W395" s="397"/>
      <c r="X395" s="399"/>
      <c r="Y395" s="432">
        <f>Requisitions_Tracker[[#This Row],[Unit Price]]*Requisitions_Tracker[[#This Row],[Quantity]]</f>
        <v>0</v>
      </c>
    </row>
    <row r="396" spans="1:25" ht="30" x14ac:dyDescent="0.25">
      <c r="A396" s="501" t="s">
        <v>7902</v>
      </c>
      <c r="B396" s="433" t="s">
        <v>8085</v>
      </c>
      <c r="C396" s="55" t="s">
        <v>1205</v>
      </c>
      <c r="D396" s="434">
        <v>1214785</v>
      </c>
      <c r="E396" s="428">
        <v>11098888</v>
      </c>
      <c r="F396" s="397" t="s">
        <v>8086</v>
      </c>
      <c r="G396" s="397" t="s">
        <v>32</v>
      </c>
      <c r="H396" s="397" t="s">
        <v>784</v>
      </c>
      <c r="I396" s="397" t="s">
        <v>7951</v>
      </c>
      <c r="J396" s="429" t="s">
        <v>8087</v>
      </c>
      <c r="K396" s="428">
        <v>1</v>
      </c>
      <c r="L396" s="397" t="s">
        <v>321</v>
      </c>
      <c r="M396" s="397" t="s">
        <v>7863</v>
      </c>
      <c r="N396" s="397"/>
      <c r="O396" s="386" t="s">
        <v>8088</v>
      </c>
      <c r="P396" s="431" t="str">
        <f>Requisitions_Tracker[[#This Row],[ConOps Contact]]</f>
        <v>Frank Young</v>
      </c>
      <c r="Q396" s="397">
        <v>16315</v>
      </c>
      <c r="R396" s="398">
        <v>45768</v>
      </c>
      <c r="S396" s="398"/>
      <c r="T396" s="397"/>
      <c r="U396" s="398"/>
      <c r="V396" s="398"/>
      <c r="W396" s="397"/>
      <c r="X396" s="399"/>
      <c r="Y396" s="432">
        <f>Requisitions_Tracker[[#This Row],[Unit Price]]*Requisitions_Tracker[[#This Row],[Quantity]]</f>
        <v>0</v>
      </c>
    </row>
    <row r="397" spans="1:25" x14ac:dyDescent="0.25">
      <c r="A397" s="382" t="s">
        <v>7913</v>
      </c>
      <c r="B397" s="764" t="s">
        <v>4031</v>
      </c>
      <c r="C397" s="55" t="s">
        <v>4</v>
      </c>
      <c r="D397" s="753">
        <v>128466</v>
      </c>
      <c r="E397" s="384"/>
      <c r="F397" s="385" t="s">
        <v>8089</v>
      </c>
      <c r="G397" s="385" t="s">
        <v>27</v>
      </c>
      <c r="H397" s="385" t="s">
        <v>784</v>
      </c>
      <c r="I397" s="385" t="s">
        <v>7917</v>
      </c>
      <c r="J397" s="1211"/>
      <c r="K397" s="384"/>
      <c r="L397" s="385"/>
      <c r="M397" s="385" t="s">
        <v>7915</v>
      </c>
      <c r="N397" s="385"/>
      <c r="O397" s="386"/>
      <c r="P397" s="387" t="str">
        <f>Requisitions_Tracker[[#This Row],[ConOps Contact]]</f>
        <v>Frank Tanzillo</v>
      </c>
      <c r="Q397" s="385"/>
      <c r="R397" s="388"/>
      <c r="S397" s="388"/>
      <c r="T397" s="385"/>
      <c r="U397" s="388"/>
      <c r="V397" s="388"/>
      <c r="W397" s="385"/>
      <c r="X397" s="389"/>
      <c r="Y397" s="390">
        <f>Requisitions_Tracker[[#This Row],[Unit Price]]*Requisitions_Tracker[[#This Row],[Quantity]]</f>
        <v>0</v>
      </c>
    </row>
    <row r="398" spans="1:25" x14ac:dyDescent="0.25">
      <c r="A398" s="382" t="s">
        <v>7913</v>
      </c>
      <c r="B398" s="764" t="s">
        <v>8090</v>
      </c>
      <c r="C398" s="55" t="s">
        <v>4</v>
      </c>
      <c r="D398" s="753">
        <v>1214571</v>
      </c>
      <c r="E398" s="384"/>
      <c r="F398" s="385" t="s">
        <v>1114</v>
      </c>
      <c r="G398" s="385" t="s">
        <v>27</v>
      </c>
      <c r="H398" s="385" t="s">
        <v>8091</v>
      </c>
      <c r="I398" s="385" t="s">
        <v>7917</v>
      </c>
      <c r="J398" s="1211"/>
      <c r="K398" s="384"/>
      <c r="L398" s="385"/>
      <c r="M398" s="385" t="s">
        <v>7915</v>
      </c>
      <c r="N398" s="385"/>
      <c r="O398" s="386"/>
      <c r="P398" s="387" t="str">
        <f>Requisitions_Tracker[[#This Row],[ConOps Contact]]</f>
        <v>Frank Tanzillo</v>
      </c>
      <c r="Q398" s="385"/>
      <c r="R398" s="388"/>
      <c r="S398" s="388"/>
      <c r="T398" s="385"/>
      <c r="U398" s="388"/>
      <c r="V398" s="388"/>
      <c r="W398" s="385"/>
      <c r="X398" s="389"/>
      <c r="Y398" s="390">
        <f>Requisitions_Tracker[[#This Row],[Unit Price]]*Requisitions_Tracker[[#This Row],[Quantity]]</f>
        <v>0</v>
      </c>
    </row>
    <row r="399" spans="1:25" x14ac:dyDescent="0.25">
      <c r="A399" s="1207" t="s">
        <v>7913</v>
      </c>
      <c r="B399" s="764" t="s">
        <v>8092</v>
      </c>
      <c r="C399" s="55" t="s">
        <v>4</v>
      </c>
      <c r="D399" s="753">
        <v>1415311</v>
      </c>
      <c r="E399" s="384"/>
      <c r="F399" s="385" t="s">
        <v>3496</v>
      </c>
      <c r="G399" s="385" t="s">
        <v>25</v>
      </c>
      <c r="H399" s="385" t="s">
        <v>6874</v>
      </c>
      <c r="I399" s="385" t="s">
        <v>247</v>
      </c>
      <c r="J399" s="427" t="s">
        <v>7948</v>
      </c>
      <c r="K399" s="384">
        <v>1480</v>
      </c>
      <c r="L399" s="385" t="s">
        <v>63</v>
      </c>
      <c r="M399" s="1210" t="s">
        <v>7915</v>
      </c>
      <c r="N399" s="385"/>
      <c r="O399" s="386"/>
      <c r="P399" s="387" t="str">
        <f>Requisitions_Tracker[[#This Row],[ConOps Contact]]</f>
        <v>Joe Gaca</v>
      </c>
      <c r="Q399" s="385"/>
      <c r="R399" s="388"/>
      <c r="S399" s="388"/>
      <c r="T399" s="385"/>
      <c r="U399" s="388"/>
      <c r="V399" s="388"/>
      <c r="W399" s="385"/>
      <c r="X399" s="389"/>
      <c r="Y399" s="390">
        <f>Requisitions_Tracker[[#This Row],[Unit Price]]*Requisitions_Tracker[[#This Row],[Quantity]]</f>
        <v>0</v>
      </c>
    </row>
    <row r="400" spans="1:25" x14ac:dyDescent="0.25">
      <c r="A400" s="382" t="s">
        <v>7913</v>
      </c>
      <c r="B400" s="764" t="s">
        <v>7412</v>
      </c>
      <c r="C400" s="55" t="s">
        <v>4</v>
      </c>
      <c r="D400" s="753">
        <v>1315531</v>
      </c>
      <c r="E400" s="384"/>
      <c r="F400" s="385" t="s">
        <v>3268</v>
      </c>
      <c r="G400" s="385" t="s">
        <v>7382</v>
      </c>
      <c r="H400" s="385" t="s">
        <v>851</v>
      </c>
      <c r="I400" s="1210"/>
      <c r="J400" s="1211"/>
      <c r="K400" s="384"/>
      <c r="L400" s="385"/>
      <c r="M400" s="385" t="s">
        <v>7915</v>
      </c>
      <c r="N400" s="385"/>
      <c r="O400" s="386"/>
      <c r="P400" s="387">
        <f>Requisitions_Tracker[[#This Row],[ConOps Contact]]</f>
        <v>0</v>
      </c>
      <c r="Q400" s="385"/>
      <c r="R400" s="388"/>
      <c r="S400" s="388"/>
      <c r="T400" s="385"/>
      <c r="U400" s="388"/>
      <c r="V400" s="388"/>
      <c r="W400" s="385"/>
      <c r="X400" s="389"/>
      <c r="Y400" s="390">
        <f>Requisitions_Tracker[[#This Row],[Unit Price]]*Requisitions_Tracker[[#This Row],[Quantity]]</f>
        <v>0</v>
      </c>
    </row>
    <row r="401" spans="1:25" x14ac:dyDescent="0.25">
      <c r="A401" s="382" t="s">
        <v>7913</v>
      </c>
      <c r="B401" s="764" t="s">
        <v>7698</v>
      </c>
      <c r="C401" s="55" t="s">
        <v>4</v>
      </c>
      <c r="D401" s="753">
        <v>1215592</v>
      </c>
      <c r="E401" s="1209"/>
      <c r="F401" s="385" t="s">
        <v>1232</v>
      </c>
      <c r="G401" s="385" t="s">
        <v>25</v>
      </c>
      <c r="H401" s="385" t="s">
        <v>851</v>
      </c>
      <c r="I401" s="1210"/>
      <c r="J401" s="1211"/>
      <c r="K401" s="384"/>
      <c r="L401" s="385"/>
      <c r="M401" s="385" t="s">
        <v>7915</v>
      </c>
      <c r="N401" s="385"/>
      <c r="O401" s="386"/>
      <c r="P401" s="387">
        <f>Requisitions_Tracker[[#This Row],[ConOps Contact]]</f>
        <v>0</v>
      </c>
      <c r="Q401" s="385"/>
      <c r="R401" s="388"/>
      <c r="S401" s="388"/>
      <c r="T401" s="385"/>
      <c r="U401" s="388"/>
      <c r="V401" s="388"/>
      <c r="W401" s="385"/>
      <c r="X401" s="389"/>
      <c r="Y401" s="390">
        <f>Requisitions_Tracker[[#This Row],[Unit Price]]*Requisitions_Tracker[[#This Row],[Quantity]]</f>
        <v>0</v>
      </c>
    </row>
    <row r="402" spans="1:25" ht="15.75" x14ac:dyDescent="0.25">
      <c r="A402" s="1207" t="s">
        <v>7913</v>
      </c>
      <c r="B402" s="764" t="s">
        <v>8093</v>
      </c>
      <c r="C402" s="55" t="s">
        <v>4</v>
      </c>
      <c r="D402" s="753">
        <v>1415389</v>
      </c>
      <c r="E402" s="1209"/>
      <c r="F402" s="385" t="s">
        <v>467</v>
      </c>
      <c r="G402" s="385" t="s">
        <v>7382</v>
      </c>
      <c r="H402" s="385" t="s">
        <v>6874</v>
      </c>
      <c r="I402" s="385" t="s">
        <v>247</v>
      </c>
      <c r="J402" s="427" t="s">
        <v>8094</v>
      </c>
      <c r="K402" s="384">
        <v>3</v>
      </c>
      <c r="L402" s="385" t="s">
        <v>321</v>
      </c>
      <c r="M402" s="1210" t="s">
        <v>7001</v>
      </c>
      <c r="N402" s="385"/>
      <c r="O402" s="864"/>
      <c r="P402" s="387" t="str">
        <f>Requisitions_Tracker[[#This Row],[ConOps Contact]]</f>
        <v>Joe Gaca</v>
      </c>
      <c r="Q402" s="385"/>
      <c r="R402" s="388"/>
      <c r="S402" s="388"/>
      <c r="T402" s="385"/>
      <c r="U402" s="388"/>
      <c r="V402" s="388"/>
      <c r="W402" s="385"/>
      <c r="X402" s="389"/>
      <c r="Y402" s="390">
        <f>Requisitions_Tracker[[#This Row],[Unit Price]]*Requisitions_Tracker[[#This Row],[Quantity]]</f>
        <v>0</v>
      </c>
    </row>
    <row r="403" spans="1:25" ht="63" x14ac:dyDescent="0.25">
      <c r="A403" s="382" t="s">
        <v>7913</v>
      </c>
      <c r="B403" s="764" t="s">
        <v>8095</v>
      </c>
      <c r="C403" s="55" t="s">
        <v>3</v>
      </c>
      <c r="D403" s="753">
        <v>1314926</v>
      </c>
      <c r="E403" s="384">
        <v>11106223</v>
      </c>
      <c r="F403" s="385" t="s">
        <v>4242</v>
      </c>
      <c r="G403" s="385" t="s">
        <v>31</v>
      </c>
      <c r="H403" s="385" t="s">
        <v>851</v>
      </c>
      <c r="I403" s="385" t="s">
        <v>247</v>
      </c>
      <c r="J403" s="427" t="s">
        <v>8055</v>
      </c>
      <c r="K403" s="384">
        <v>3600</v>
      </c>
      <c r="L403" s="385" t="s">
        <v>374</v>
      </c>
      <c r="M403" s="385" t="s">
        <v>8096</v>
      </c>
      <c r="N403" s="387" t="s">
        <v>8097</v>
      </c>
      <c r="O403" s="864" t="s">
        <v>8098</v>
      </c>
      <c r="P403" s="387" t="str">
        <f>Requisitions_Tracker[[#This Row],[ConOps Contact]]</f>
        <v>Joe Gaca</v>
      </c>
      <c r="Q403" s="385">
        <v>17825</v>
      </c>
      <c r="R403" s="388">
        <v>45856</v>
      </c>
      <c r="S403" s="388"/>
      <c r="T403" s="385"/>
      <c r="U403" s="388"/>
      <c r="V403" s="388"/>
      <c r="W403" s="385"/>
      <c r="X403" s="389"/>
      <c r="Y403" s="390">
        <f>Requisitions_Tracker[[#This Row],[Unit Price]]*Requisitions_Tracker[[#This Row],[Quantity]]</f>
        <v>0</v>
      </c>
    </row>
    <row r="404" spans="1:25" ht="75" x14ac:dyDescent="0.25">
      <c r="A404" s="382" t="s">
        <v>7913</v>
      </c>
      <c r="B404" s="764" t="s">
        <v>8095</v>
      </c>
      <c r="C404" s="55" t="s">
        <v>3</v>
      </c>
      <c r="D404" s="753">
        <v>1314926</v>
      </c>
      <c r="E404" s="384">
        <v>11106223</v>
      </c>
      <c r="F404" s="385" t="s">
        <v>4242</v>
      </c>
      <c r="G404" s="385" t="s">
        <v>31</v>
      </c>
      <c r="H404" s="385" t="s">
        <v>851</v>
      </c>
      <c r="I404" s="385" t="s">
        <v>247</v>
      </c>
      <c r="J404" s="386" t="s">
        <v>8002</v>
      </c>
      <c r="K404" s="384">
        <v>1</v>
      </c>
      <c r="L404" s="385" t="s">
        <v>321</v>
      </c>
      <c r="M404" s="385" t="s">
        <v>8096</v>
      </c>
      <c r="N404" s="385"/>
      <c r="O404" s="238" t="s">
        <v>8099</v>
      </c>
      <c r="P404" s="387" t="str">
        <f>Requisitions_Tracker[[#This Row],[ConOps Contact]]</f>
        <v>Joe Gaca</v>
      </c>
      <c r="Q404" s="385">
        <v>17824</v>
      </c>
      <c r="R404" s="388">
        <v>45856</v>
      </c>
      <c r="S404" s="388"/>
      <c r="T404" s="385"/>
      <c r="U404" s="388"/>
      <c r="V404" s="388"/>
      <c r="W404" s="385"/>
      <c r="X404" s="389"/>
      <c r="Y404" s="390">
        <f>Requisitions_Tracker[[#This Row],[Unit Price]]*Requisitions_Tracker[[#This Row],[Quantity]]</f>
        <v>0</v>
      </c>
    </row>
    <row r="405" spans="1:25" ht="75" x14ac:dyDescent="0.25">
      <c r="A405" s="382" t="s">
        <v>7913</v>
      </c>
      <c r="B405" s="764" t="s">
        <v>8095</v>
      </c>
      <c r="C405" s="55" t="s">
        <v>3</v>
      </c>
      <c r="D405" s="753">
        <v>1314926</v>
      </c>
      <c r="E405" s="384">
        <v>11106223</v>
      </c>
      <c r="F405" s="385" t="s">
        <v>4242</v>
      </c>
      <c r="G405" s="385" t="s">
        <v>31</v>
      </c>
      <c r="H405" s="385" t="s">
        <v>851</v>
      </c>
      <c r="I405" s="385" t="s">
        <v>247</v>
      </c>
      <c r="J405" s="386" t="s">
        <v>8004</v>
      </c>
      <c r="K405" s="384">
        <v>1</v>
      </c>
      <c r="L405" s="385" t="s">
        <v>321</v>
      </c>
      <c r="M405" s="385" t="s">
        <v>8096</v>
      </c>
      <c r="N405" s="385"/>
      <c r="O405" s="238" t="s">
        <v>8100</v>
      </c>
      <c r="P405" s="387" t="str">
        <f>Requisitions_Tracker[[#This Row],[ConOps Contact]]</f>
        <v>Joe Gaca</v>
      </c>
      <c r="Q405" s="385">
        <v>17824</v>
      </c>
      <c r="R405" s="388">
        <v>45856</v>
      </c>
      <c r="S405" s="388"/>
      <c r="T405" s="385"/>
      <c r="U405" s="388"/>
      <c r="V405" s="388"/>
      <c r="W405" s="385"/>
      <c r="X405" s="389"/>
      <c r="Y405" s="390">
        <f>Requisitions_Tracker[[#This Row],[Unit Price]]*Requisitions_Tracker[[#This Row],[Quantity]]</f>
        <v>0</v>
      </c>
    </row>
    <row r="406" spans="1:25" x14ac:dyDescent="0.25">
      <c r="A406" s="382" t="s">
        <v>7913</v>
      </c>
      <c r="B406" s="764" t="s">
        <v>8095</v>
      </c>
      <c r="C406" s="55" t="s">
        <v>3</v>
      </c>
      <c r="D406" s="753">
        <v>1314926</v>
      </c>
      <c r="E406" s="384">
        <v>11106223</v>
      </c>
      <c r="F406" s="385" t="s">
        <v>4242</v>
      </c>
      <c r="G406" s="385" t="s">
        <v>31</v>
      </c>
      <c r="H406" s="385" t="s">
        <v>851</v>
      </c>
      <c r="I406" s="385" t="s">
        <v>247</v>
      </c>
      <c r="J406" s="386" t="s">
        <v>8101</v>
      </c>
      <c r="K406" s="384">
        <v>1</v>
      </c>
      <c r="L406" s="385" t="s">
        <v>321</v>
      </c>
      <c r="M406" s="385" t="s">
        <v>8096</v>
      </c>
      <c r="N406" s="764"/>
      <c r="O406" s="238" t="s">
        <v>7909</v>
      </c>
      <c r="P406" s="1324" t="str">
        <f>Requisitions_Tracker[[#This Row],[ConOps Contact]]</f>
        <v>Joe Gaca</v>
      </c>
      <c r="Q406" s="385">
        <v>17824</v>
      </c>
      <c r="R406" s="388">
        <v>45856</v>
      </c>
      <c r="S406" s="388"/>
      <c r="T406" s="385"/>
      <c r="U406" s="388"/>
      <c r="V406" s="388"/>
      <c r="W406" s="385"/>
      <c r="X406" s="389"/>
      <c r="Y406" s="390">
        <f>Requisitions_Tracker[[#This Row],[Unit Price]]*Requisitions_Tracker[[#This Row],[Quantity]]</f>
        <v>0</v>
      </c>
    </row>
    <row r="407" spans="1:25" x14ac:dyDescent="0.25">
      <c r="A407" s="382" t="s">
        <v>7913</v>
      </c>
      <c r="B407" s="764" t="s">
        <v>8095</v>
      </c>
      <c r="C407" s="55" t="s">
        <v>3</v>
      </c>
      <c r="D407" s="753">
        <v>1314926</v>
      </c>
      <c r="E407" s="384">
        <v>11106223</v>
      </c>
      <c r="F407" s="385" t="s">
        <v>4242</v>
      </c>
      <c r="G407" s="385" t="s">
        <v>31</v>
      </c>
      <c r="H407" s="385" t="s">
        <v>851</v>
      </c>
      <c r="I407" s="385" t="s">
        <v>247</v>
      </c>
      <c r="J407" s="427" t="s">
        <v>616</v>
      </c>
      <c r="K407" s="384">
        <v>1</v>
      </c>
      <c r="L407" s="385" t="s">
        <v>321</v>
      </c>
      <c r="M407" s="385" t="s">
        <v>8096</v>
      </c>
      <c r="N407" s="764"/>
      <c r="O407" s="238" t="s">
        <v>8102</v>
      </c>
      <c r="P407" s="1324" t="str">
        <f>Requisitions_Tracker[[#This Row],[ConOps Contact]]</f>
        <v>Joe Gaca</v>
      </c>
      <c r="Q407" s="385">
        <v>17824</v>
      </c>
      <c r="R407" s="388">
        <v>45856</v>
      </c>
      <c r="S407" s="388"/>
      <c r="T407" s="385"/>
      <c r="U407" s="388"/>
      <c r="V407" s="388"/>
      <c r="W407" s="385"/>
      <c r="X407" s="389"/>
      <c r="Y407" s="390">
        <f>Requisitions_Tracker[[#This Row],[Unit Price]]*Requisitions_Tracker[[#This Row],[Quantity]]</f>
        <v>0</v>
      </c>
    </row>
    <row r="408" spans="1:25" ht="30" x14ac:dyDescent="0.25">
      <c r="A408" s="501" t="s">
        <v>7902</v>
      </c>
      <c r="B408" s="397" t="s">
        <v>8103</v>
      </c>
      <c r="C408" s="55" t="s">
        <v>1205</v>
      </c>
      <c r="D408" s="428">
        <v>1214925</v>
      </c>
      <c r="E408" s="428">
        <v>11100775</v>
      </c>
      <c r="F408" s="397" t="s">
        <v>8104</v>
      </c>
      <c r="G408" s="397" t="s">
        <v>7152</v>
      </c>
      <c r="H408" s="397" t="s">
        <v>6874</v>
      </c>
      <c r="I408" s="397" t="s">
        <v>5661</v>
      </c>
      <c r="J408" s="427" t="s">
        <v>8024</v>
      </c>
      <c r="K408" s="428">
        <v>5</v>
      </c>
      <c r="L408" s="397" t="s">
        <v>321</v>
      </c>
      <c r="M408" s="397" t="s">
        <v>7863</v>
      </c>
      <c r="N408" s="397" t="s">
        <v>29</v>
      </c>
      <c r="O408" s="1325" t="s">
        <v>8065</v>
      </c>
      <c r="P408" s="431" t="str">
        <f>Requisitions_Tracker[[#This Row],[ConOps Contact]]</f>
        <v>David Kaliniec</v>
      </c>
      <c r="Q408" s="397">
        <v>17490</v>
      </c>
      <c r="R408" s="398">
        <v>45833</v>
      </c>
      <c r="S408" s="398"/>
      <c r="T408" s="397"/>
      <c r="U408" s="398"/>
      <c r="V408" s="398"/>
      <c r="W408" s="397"/>
      <c r="X408" s="399"/>
      <c r="Y408" s="432">
        <f>Requisitions_Tracker[[#This Row],[Unit Price]]*Requisitions_Tracker[[#This Row],[Quantity]]</f>
        <v>0</v>
      </c>
    </row>
    <row r="409" spans="1:25" ht="30" x14ac:dyDescent="0.25">
      <c r="A409" s="501" t="s">
        <v>7912</v>
      </c>
      <c r="B409" s="397" t="s">
        <v>8105</v>
      </c>
      <c r="C409" s="55" t="s">
        <v>2</v>
      </c>
      <c r="D409" s="428">
        <v>1215296</v>
      </c>
      <c r="E409" s="428">
        <v>11103826</v>
      </c>
      <c r="F409" s="397" t="s">
        <v>8106</v>
      </c>
      <c r="G409" s="397" t="s">
        <v>7152</v>
      </c>
      <c r="H409" s="397" t="s">
        <v>7735</v>
      </c>
      <c r="I409" s="397" t="s">
        <v>7896</v>
      </c>
      <c r="J409" s="429" t="s">
        <v>632</v>
      </c>
      <c r="K409" s="428">
        <v>520</v>
      </c>
      <c r="L409" s="397" t="s">
        <v>374</v>
      </c>
      <c r="M409" s="397" t="s">
        <v>7863</v>
      </c>
      <c r="N409" s="397"/>
      <c r="O409" s="430"/>
      <c r="P409" s="431" t="str">
        <f>Requisitions_Tracker[[#This Row],[ConOps Contact]]</f>
        <v>Virginia (Gena) Easley</v>
      </c>
      <c r="Q409" s="397"/>
      <c r="R409" s="398"/>
      <c r="S409" s="398"/>
      <c r="T409" s="397"/>
      <c r="U409" s="398"/>
      <c r="V409" s="398"/>
      <c r="W409" s="397"/>
      <c r="X409" s="399"/>
      <c r="Y409" s="432">
        <f>Requisitions_Tracker[[#This Row],[Unit Price]]*Requisitions_Tracker[[#This Row],[Quantity]]</f>
        <v>0</v>
      </c>
    </row>
    <row r="410" spans="1:25" ht="30" x14ac:dyDescent="0.25">
      <c r="A410" s="501" t="s">
        <v>7902</v>
      </c>
      <c r="B410" s="397" t="s">
        <v>8107</v>
      </c>
      <c r="C410" s="55" t="s">
        <v>2</v>
      </c>
      <c r="D410" s="428">
        <v>1014643</v>
      </c>
      <c r="E410" s="428">
        <v>11098892</v>
      </c>
      <c r="F410" s="397" t="s">
        <v>8108</v>
      </c>
      <c r="G410" s="397" t="s">
        <v>37</v>
      </c>
      <c r="H410" s="397" t="s">
        <v>8005</v>
      </c>
      <c r="I410" s="397" t="s">
        <v>8006</v>
      </c>
      <c r="J410" s="429" t="s">
        <v>632</v>
      </c>
      <c r="K410" s="428">
        <v>560</v>
      </c>
      <c r="L410" s="397" t="s">
        <v>374</v>
      </c>
      <c r="M410" s="397" t="s">
        <v>7863</v>
      </c>
      <c r="N410" s="397"/>
      <c r="O410" s="430" t="s">
        <v>8048</v>
      </c>
      <c r="P410" s="387" t="s">
        <v>8049</v>
      </c>
      <c r="Q410" s="397">
        <v>18951</v>
      </c>
      <c r="R410" s="398">
        <v>45910</v>
      </c>
      <c r="S410" s="398">
        <v>45938</v>
      </c>
      <c r="T410" s="397"/>
      <c r="U410" s="398"/>
      <c r="V410" s="398"/>
      <c r="W410" s="397"/>
      <c r="X410" s="399"/>
      <c r="Y410" s="432">
        <f>Requisitions_Tracker[[#This Row],[Unit Price]]*Requisitions_Tracker[[#This Row],[Quantity]]</f>
        <v>0</v>
      </c>
    </row>
    <row r="411" spans="1:25" ht="30" x14ac:dyDescent="0.25">
      <c r="A411" s="501" t="s">
        <v>7902</v>
      </c>
      <c r="B411" s="397" t="s">
        <v>8107</v>
      </c>
      <c r="C411" s="55" t="s">
        <v>2</v>
      </c>
      <c r="D411" s="428">
        <v>1014643</v>
      </c>
      <c r="E411" s="428">
        <v>11098892</v>
      </c>
      <c r="F411" s="397" t="s">
        <v>8108</v>
      </c>
      <c r="G411" s="397" t="s">
        <v>37</v>
      </c>
      <c r="H411" s="397" t="s">
        <v>8005</v>
      </c>
      <c r="I411" s="397" t="s">
        <v>8006</v>
      </c>
      <c r="J411" s="429" t="s">
        <v>8109</v>
      </c>
      <c r="K411" s="428">
        <v>280</v>
      </c>
      <c r="L411" s="397" t="s">
        <v>374</v>
      </c>
      <c r="M411" s="397" t="s">
        <v>7863</v>
      </c>
      <c r="N411" s="397"/>
      <c r="O411" s="430" t="s">
        <v>8048</v>
      </c>
      <c r="P411" s="387" t="s">
        <v>8049</v>
      </c>
      <c r="Q411" s="397">
        <v>18951</v>
      </c>
      <c r="R411" s="398">
        <v>45910</v>
      </c>
      <c r="S411" s="398">
        <v>45938</v>
      </c>
      <c r="T411" s="397"/>
      <c r="U411" s="398"/>
      <c r="V411" s="398"/>
      <c r="W411" s="397"/>
      <c r="X411" s="399"/>
      <c r="Y411" s="432">
        <f>Requisitions_Tracker[[#This Row],[Unit Price]]*Requisitions_Tracker[[#This Row],[Quantity]]</f>
        <v>0</v>
      </c>
    </row>
    <row r="412" spans="1:25" ht="30" x14ac:dyDescent="0.25">
      <c r="A412" s="501" t="s">
        <v>7902</v>
      </c>
      <c r="B412" s="397" t="s">
        <v>8107</v>
      </c>
      <c r="C412" s="55" t="s">
        <v>2</v>
      </c>
      <c r="D412" s="428">
        <v>1014643</v>
      </c>
      <c r="E412" s="428">
        <v>11098892</v>
      </c>
      <c r="F412" s="397" t="s">
        <v>8108</v>
      </c>
      <c r="G412" s="397" t="s">
        <v>37</v>
      </c>
      <c r="H412" s="397" t="s">
        <v>8005</v>
      </c>
      <c r="I412" s="397" t="s">
        <v>8006</v>
      </c>
      <c r="J412" s="429" t="s">
        <v>8055</v>
      </c>
      <c r="K412" s="428">
        <v>1080</v>
      </c>
      <c r="L412" s="397" t="s">
        <v>374</v>
      </c>
      <c r="M412" s="397" t="s">
        <v>7863</v>
      </c>
      <c r="N412" s="397"/>
      <c r="O412" s="430" t="s">
        <v>8048</v>
      </c>
      <c r="P412" s="387" t="s">
        <v>8049</v>
      </c>
      <c r="Q412" s="397">
        <v>18951</v>
      </c>
      <c r="R412" s="398">
        <v>45910</v>
      </c>
      <c r="S412" s="398">
        <v>45938</v>
      </c>
      <c r="T412" s="397"/>
      <c r="U412" s="398"/>
      <c r="V412" s="398"/>
      <c r="W412" s="397"/>
      <c r="X412" s="399"/>
      <c r="Y412" s="432">
        <f>Requisitions_Tracker[[#This Row],[Unit Price]]*Requisitions_Tracker[[#This Row],[Quantity]]</f>
        <v>0</v>
      </c>
    </row>
    <row r="413" spans="1:25" ht="30" x14ac:dyDescent="0.25">
      <c r="A413" s="501" t="s">
        <v>7902</v>
      </c>
      <c r="B413" s="397" t="s">
        <v>8107</v>
      </c>
      <c r="C413" s="55" t="s">
        <v>2</v>
      </c>
      <c r="D413" s="428">
        <v>1014643</v>
      </c>
      <c r="E413" s="428">
        <v>11098892</v>
      </c>
      <c r="F413" s="397" t="s">
        <v>8108</v>
      </c>
      <c r="G413" s="397" t="s">
        <v>37</v>
      </c>
      <c r="H413" s="397" t="s">
        <v>8005</v>
      </c>
      <c r="I413" s="397" t="s">
        <v>8006</v>
      </c>
      <c r="J413" s="427" t="s">
        <v>8024</v>
      </c>
      <c r="K413" s="428">
        <v>1</v>
      </c>
      <c r="L413" s="397" t="s">
        <v>533</v>
      </c>
      <c r="M413" s="397" t="s">
        <v>7863</v>
      </c>
      <c r="N413" s="397"/>
      <c r="O413" s="430" t="s">
        <v>8048</v>
      </c>
      <c r="P413" s="387" t="s">
        <v>8049</v>
      </c>
      <c r="Q413" s="397">
        <v>18951</v>
      </c>
      <c r="R413" s="398">
        <v>45910</v>
      </c>
      <c r="S413" s="398">
        <v>45938</v>
      </c>
      <c r="T413" s="397"/>
      <c r="U413" s="398"/>
      <c r="V413" s="398"/>
      <c r="W413" s="397"/>
      <c r="X413" s="399"/>
      <c r="Y413" s="432">
        <f>Requisitions_Tracker[[#This Row],[Unit Price]]*Requisitions_Tracker[[#This Row],[Quantity]]</f>
        <v>0</v>
      </c>
    </row>
    <row r="415" spans="1:25" x14ac:dyDescent="0.25">
      <c r="D415" s="1608"/>
    </row>
  </sheetData>
  <phoneticPr fontId="19" type="noConversion"/>
  <dataValidations count="3">
    <dataValidation type="list" allowBlank="1" showInputMessage="1" showErrorMessage="1" sqref="M69:M351" xr:uid="{B54F3871-2C6F-4A3B-945C-6EC4AFA12D6B}">
      <formula1>"Released To Nicor, Permits Approved, Pending PID, ConOps Ordering, Project in Production, Region Review, Completed"</formula1>
    </dataValidation>
    <dataValidation type="list" allowBlank="1" showInputMessage="1" showErrorMessage="1" sqref="M2:M68" xr:uid="{B09B06DB-9902-4E71-8FAD-81CF0D331EBB}">
      <formula1>"Phase 1/2, Region Review, Released to Nicor"</formula1>
    </dataValidation>
    <dataValidation type="list" allowBlank="1" showInputMessage="1" showErrorMessage="1" sqref="A2:A413" xr:uid="{E5FFC8C5-E69C-47E0-A512-60698C835771}">
      <formula1>"Project Not Released, Pending PID, PR Submitted, PO in Progress, ConOps To Order, Completed, PR/PO Cancelled by Nicor, On Hold"</formula1>
    </dataValidation>
  </dataValidations>
  <pageMargins left="0.7" right="0.7" top="0.75" bottom="0.75" header="0.3" footer="0.3"/>
  <legacyDrawing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6C0EF-F897-42BE-A240-06BC4452645F}">
  <sheetPr codeName="Sheet8"/>
  <dimension ref="A1:XEX1545"/>
  <sheetViews>
    <sheetView zoomScale="85" zoomScaleNormal="70" workbookViewId="0">
      <pane xSplit="5" topLeftCell="F1" activePane="topRight" state="frozen"/>
      <selection activeCell="A1529" sqref="A1529"/>
      <selection pane="topRight" activeCell="U1528" sqref="U1528"/>
    </sheetView>
  </sheetViews>
  <sheetFormatPr defaultColWidth="9.140625" defaultRowHeight="15" customHeight="1" outlineLevelCol="1" x14ac:dyDescent="0.25"/>
  <cols>
    <col min="1" max="1" width="7.28515625" style="879" customWidth="1"/>
    <col min="2" max="2" width="11" style="879" customWidth="1"/>
    <col min="3" max="3" width="19.7109375" style="879" customWidth="1"/>
    <col min="4" max="4" width="16.28515625" style="1286" customWidth="1"/>
    <col min="5" max="5" width="18.7109375" style="879" customWidth="1"/>
    <col min="6" max="6" width="16.7109375" style="879" customWidth="1"/>
    <col min="7" max="7" width="15.7109375" style="879" customWidth="1"/>
    <col min="8" max="8" width="19.7109375" style="879" customWidth="1"/>
    <col min="9" max="9" width="13.28515625" style="879" customWidth="1"/>
    <col min="10" max="10" width="13.28515625" style="963" customWidth="1"/>
    <col min="11" max="11" width="13.28515625" style="879" customWidth="1"/>
    <col min="12" max="12" width="13.28515625" style="919" customWidth="1"/>
    <col min="13" max="13" width="48.7109375" style="879" customWidth="1"/>
    <col min="14" max="14" width="9.28515625" style="908" customWidth="1"/>
    <col min="15" max="15" width="9.140625" style="879" customWidth="1"/>
    <col min="16" max="16" width="13.42578125" style="879" customWidth="1"/>
    <col min="17" max="17" width="16.28515625" style="896" customWidth="1"/>
    <col min="18" max="18" width="14.42578125" style="1287" customWidth="1"/>
    <col min="19" max="21" width="14.7109375" style="888" customWidth="1"/>
    <col min="22" max="22" width="14.7109375" style="890" customWidth="1"/>
    <col min="23" max="23" width="9.140625" style="890" customWidth="1"/>
    <col min="24" max="24" width="14.85546875" style="879" customWidth="1"/>
    <col min="25" max="25" width="0.28515625" style="1488" customWidth="1"/>
    <col min="26" max="26" width="14.7109375" style="1288" customWidth="1"/>
    <col min="27" max="27" width="20.140625" style="1289" customWidth="1"/>
    <col min="28" max="32" width="12.7109375" style="1019" customWidth="1"/>
    <col min="33" max="37" width="12.7109375" style="1289" customWidth="1"/>
    <col min="38" max="38" width="12.7109375" style="896" customWidth="1"/>
    <col min="39" max="39" width="12.7109375" style="882" customWidth="1"/>
    <col min="40" max="40" width="12.7109375" style="908" customWidth="1"/>
    <col min="41" max="42" width="12.7109375" style="946" customWidth="1"/>
    <col min="43" max="43" width="2.85546875" style="946" customWidth="1"/>
    <col min="44" max="46" width="12.7109375" style="946" customWidth="1"/>
    <col min="47" max="48" width="12.7109375" style="1020" customWidth="1"/>
    <col min="49" max="49" width="12.7109375" style="882" customWidth="1"/>
    <col min="50" max="50" width="12.7109375" style="908" customWidth="1"/>
    <col min="51" max="51" width="9.140625" style="919" customWidth="1"/>
    <col min="52" max="52" width="12.7109375" style="1290" customWidth="1"/>
    <col min="53" max="53" width="45.7109375" style="1290" customWidth="1"/>
    <col min="54" max="54" width="13.85546875" style="914" customWidth="1"/>
    <col min="55" max="57" width="9.140625" style="914" customWidth="1"/>
    <col min="58" max="58" width="9.140625" style="1291" customWidth="1"/>
    <col min="59" max="59" width="17" style="1291" customWidth="1"/>
    <col min="60" max="60" width="28.85546875" style="916" customWidth="1"/>
    <col min="61" max="77" width="9.140625" style="916" customWidth="1"/>
    <col min="78" max="78" width="9.140625" style="1291" customWidth="1"/>
    <col min="79" max="79" width="9.42578125" style="879" customWidth="1"/>
    <col min="80" max="80" width="9.140625" style="879"/>
    <col min="81" max="81" width="9.140625" style="879" hidden="1" customWidth="1" outlineLevel="1"/>
    <col min="82" max="82" width="48.5703125" style="879" hidden="1" customWidth="1" outlineLevel="1"/>
    <col min="83" max="86" width="9.140625" style="879" hidden="1" customWidth="1" outlineLevel="1"/>
    <col min="87" max="87" width="9.140625" style="879" collapsed="1"/>
    <col min="88" max="16384" width="9.140625" style="879"/>
  </cols>
  <sheetData>
    <row r="1" spans="1:82" customFormat="1" ht="15" customHeight="1" x14ac:dyDescent="0.3">
      <c r="A1" s="81" t="s">
        <v>8110</v>
      </c>
      <c r="D1" s="447"/>
      <c r="E1" t="s">
        <v>41</v>
      </c>
      <c r="J1" s="11"/>
      <c r="L1" s="16"/>
      <c r="N1" s="555"/>
      <c r="O1" s="1"/>
      <c r="P1" s="1"/>
      <c r="Q1" s="1149"/>
      <c r="R1" s="340"/>
      <c r="S1" s="1786" t="s">
        <v>6809</v>
      </c>
      <c r="T1" s="1787"/>
      <c r="U1" s="1788"/>
      <c r="V1" s="437"/>
      <c r="W1" s="872"/>
      <c r="Y1" s="14"/>
      <c r="Z1" s="869"/>
      <c r="AA1" s="474"/>
      <c r="AB1" s="574"/>
      <c r="AC1" s="1156"/>
      <c r="AD1" s="574"/>
      <c r="AE1" s="574"/>
      <c r="AF1" s="574"/>
      <c r="AG1" s="566"/>
      <c r="AH1" s="566"/>
      <c r="AI1" s="566"/>
      <c r="AJ1" s="566"/>
      <c r="AK1" s="351"/>
      <c r="AL1" s="14" t="s">
        <v>654</v>
      </c>
      <c r="AM1" s="14"/>
      <c r="AN1" s="14"/>
      <c r="AO1" s="14"/>
      <c r="AP1" s="14"/>
      <c r="AQ1" s="14"/>
      <c r="AR1" s="14"/>
      <c r="AS1" s="14"/>
      <c r="AT1" s="14"/>
      <c r="AU1" s="14"/>
      <c r="AV1" s="14"/>
      <c r="AW1" s="538"/>
      <c r="AX1" s="555"/>
      <c r="AY1" s="1527"/>
      <c r="AZ1" s="866"/>
      <c r="BA1" s="527"/>
      <c r="BB1" s="548" t="s">
        <v>655</v>
      </c>
      <c r="BC1" s="548"/>
      <c r="BD1" s="548"/>
      <c r="BE1" s="548"/>
      <c r="BF1" s="868"/>
      <c r="BG1" s="747"/>
      <c r="BH1" s="1784" t="s">
        <v>656</v>
      </c>
      <c r="BI1" s="1785"/>
      <c r="BJ1" s="1785"/>
      <c r="BK1" s="1785"/>
      <c r="BL1" s="1785" t="s">
        <v>657</v>
      </c>
      <c r="BM1" s="1785"/>
      <c r="BN1" s="1785"/>
      <c r="BO1" s="1785"/>
      <c r="BP1" s="1785"/>
      <c r="BQ1" s="1785"/>
      <c r="BR1" s="1785"/>
      <c r="BS1" s="1785" t="s">
        <v>658</v>
      </c>
      <c r="BT1" s="1785"/>
      <c r="BU1" s="1785"/>
      <c r="BV1" s="1785"/>
      <c r="BW1" s="1785"/>
      <c r="BX1" s="1785"/>
      <c r="BY1" s="547"/>
      <c r="BZ1" s="482"/>
    </row>
    <row r="2" spans="1:82" customFormat="1" ht="27.95" customHeight="1" x14ac:dyDescent="0.25">
      <c r="A2" s="470" t="s">
        <v>659</v>
      </c>
      <c r="B2" s="470" t="s">
        <v>660</v>
      </c>
      <c r="C2" s="470" t="s">
        <v>661</v>
      </c>
      <c r="D2" s="470" t="s">
        <v>662</v>
      </c>
      <c r="E2" s="470" t="s">
        <v>44</v>
      </c>
      <c r="F2" s="470" t="s">
        <v>663</v>
      </c>
      <c r="G2" s="470" t="s">
        <v>664</v>
      </c>
      <c r="H2" s="470" t="s">
        <v>665</v>
      </c>
      <c r="I2" s="470" t="s">
        <v>666</v>
      </c>
      <c r="J2" s="2" t="s">
        <v>667</v>
      </c>
      <c r="K2" s="2" t="s">
        <v>668</v>
      </c>
      <c r="L2" s="448" t="s">
        <v>669</v>
      </c>
      <c r="M2" s="453" t="s">
        <v>21</v>
      </c>
      <c r="N2" s="2" t="s">
        <v>670</v>
      </c>
      <c r="O2" s="720" t="s">
        <v>671</v>
      </c>
      <c r="P2" s="446" t="s">
        <v>1876</v>
      </c>
      <c r="Q2" s="335" t="s">
        <v>673</v>
      </c>
      <c r="R2" s="871" t="s">
        <v>674</v>
      </c>
      <c r="S2" s="560" t="s">
        <v>675</v>
      </c>
      <c r="T2" s="560" t="s">
        <v>676</v>
      </c>
      <c r="U2" s="560" t="s">
        <v>677</v>
      </c>
      <c r="V2" s="439" t="s">
        <v>678</v>
      </c>
      <c r="W2" s="873" t="s">
        <v>679</v>
      </c>
      <c r="X2" s="564" t="s">
        <v>680</v>
      </c>
      <c r="Y2" s="564" t="s">
        <v>681</v>
      </c>
      <c r="Z2" s="564" t="s">
        <v>682</v>
      </c>
      <c r="AA2" s="564" t="s">
        <v>683</v>
      </c>
      <c r="AB2" s="870" t="s">
        <v>684</v>
      </c>
      <c r="AC2" s="564" t="s">
        <v>685</v>
      </c>
      <c r="AD2" s="335" t="s">
        <v>686</v>
      </c>
      <c r="AE2" s="578" t="s">
        <v>687</v>
      </c>
      <c r="AF2" s="578" t="s">
        <v>688</v>
      </c>
      <c r="AG2" s="578" t="s">
        <v>689</v>
      </c>
      <c r="AH2" s="567" t="s">
        <v>690</v>
      </c>
      <c r="AI2" s="875" t="s">
        <v>691</v>
      </c>
      <c r="AJ2" s="876" t="s">
        <v>692</v>
      </c>
      <c r="AK2" s="876" t="s">
        <v>693</v>
      </c>
      <c r="AL2" s="877" t="s">
        <v>694</v>
      </c>
      <c r="AM2" s="2" t="s">
        <v>695</v>
      </c>
      <c r="AN2" s="597" t="s">
        <v>696</v>
      </c>
      <c r="AO2" s="598" t="s">
        <v>697</v>
      </c>
      <c r="AP2" s="564" t="s">
        <v>698</v>
      </c>
      <c r="AQ2" s="564" t="s">
        <v>699</v>
      </c>
      <c r="AR2" s="564" t="s">
        <v>700</v>
      </c>
      <c r="AS2" s="564" t="s">
        <v>701</v>
      </c>
      <c r="AT2" s="564" t="s">
        <v>702</v>
      </c>
      <c r="AU2" s="564" t="s">
        <v>703</v>
      </c>
      <c r="AV2" s="564" t="s">
        <v>704</v>
      </c>
      <c r="AW2" s="599" t="s">
        <v>705</v>
      </c>
      <c r="AX2" s="599" t="s">
        <v>706</v>
      </c>
      <c r="AY2" s="635" t="s">
        <v>707</v>
      </c>
      <c r="AZ2" s="1529" t="s">
        <v>708</v>
      </c>
      <c r="BA2" s="867" t="s">
        <v>710</v>
      </c>
      <c r="BB2" s="610" t="s">
        <v>711</v>
      </c>
      <c r="BC2" s="587" t="s">
        <v>712</v>
      </c>
      <c r="BD2" s="587" t="s">
        <v>713</v>
      </c>
      <c r="BE2" s="587" t="s">
        <v>714</v>
      </c>
      <c r="BF2" s="587" t="s">
        <v>715</v>
      </c>
      <c r="BG2" s="587" t="s">
        <v>716</v>
      </c>
      <c r="BH2" s="748" t="s">
        <v>717</v>
      </c>
      <c r="BI2" s="617" t="s">
        <v>718</v>
      </c>
      <c r="BJ2" s="617" t="s">
        <v>719</v>
      </c>
      <c r="BK2" s="617" t="s">
        <v>720</v>
      </c>
      <c r="BL2" s="617" t="s">
        <v>721</v>
      </c>
      <c r="BM2" s="617" t="s">
        <v>722</v>
      </c>
      <c r="BN2" s="617" t="s">
        <v>723</v>
      </c>
      <c r="BO2" s="617" t="s">
        <v>724</v>
      </c>
      <c r="BP2" s="617" t="s">
        <v>725</v>
      </c>
      <c r="BQ2" s="617" t="s">
        <v>726</v>
      </c>
      <c r="BR2" s="617" t="s">
        <v>727</v>
      </c>
      <c r="BS2" s="617" t="s">
        <v>728</v>
      </c>
      <c r="BT2" s="617" t="s">
        <v>729</v>
      </c>
      <c r="BU2" s="617" t="s">
        <v>730</v>
      </c>
      <c r="BV2" s="617" t="s">
        <v>731</v>
      </c>
      <c r="BW2" s="617" t="s">
        <v>732</v>
      </c>
      <c r="BX2" s="617" t="s">
        <v>733</v>
      </c>
      <c r="BY2" s="617" t="s">
        <v>734</v>
      </c>
      <c r="BZ2" s="617" t="s">
        <v>1877</v>
      </c>
      <c r="CA2" s="471" t="s">
        <v>735</v>
      </c>
      <c r="CB2" t="s">
        <v>1878</v>
      </c>
      <c r="CC2" t="s">
        <v>1879</v>
      </c>
      <c r="CD2" t="s">
        <v>1880</v>
      </c>
    </row>
    <row r="3" spans="1:82" customFormat="1" ht="15" customHeight="1" x14ac:dyDescent="0.25">
      <c r="A3">
        <v>2018</v>
      </c>
      <c r="B3" s="8" t="s">
        <v>771</v>
      </c>
      <c r="C3" s="8" t="s">
        <v>1884</v>
      </c>
      <c r="D3" s="8" t="s">
        <v>1885</v>
      </c>
      <c r="E3" s="8" t="s">
        <v>272</v>
      </c>
      <c r="F3" s="8" t="s">
        <v>1886</v>
      </c>
      <c r="G3" s="8" t="s">
        <v>1887</v>
      </c>
      <c r="H3" s="8" t="s">
        <v>59</v>
      </c>
      <c r="I3" s="642">
        <v>42808</v>
      </c>
      <c r="J3" s="18">
        <v>42916</v>
      </c>
      <c r="K3" s="18">
        <v>42916</v>
      </c>
      <c r="L3" s="16">
        <f>IF(ISTEXT(Table15[[#This Row],[Engineering Approved Design Date]]),Table15[[#This Row],[Date Completed]]-Table15[[#This Row],[Date Assigned to Designer]],Table15[[#This Row],[Engineering Approved Design Date]]-Table15[[#This Row],[Date Completed]])</f>
        <v>0</v>
      </c>
      <c r="M3" s="642"/>
      <c r="N3" s="642" t="s">
        <v>120</v>
      </c>
      <c r="O3" s="1025">
        <v>43466</v>
      </c>
      <c r="P3" s="21" t="s">
        <v>120</v>
      </c>
      <c r="Q3" s="340" t="s">
        <v>115</v>
      </c>
      <c r="R3" s="1026" t="s">
        <v>115</v>
      </c>
      <c r="S3" s="538"/>
      <c r="T3" s="538"/>
      <c r="U3" s="1027"/>
      <c r="V3" s="1183">
        <f>5503+2076</f>
        <v>7579</v>
      </c>
      <c r="W3" s="1185"/>
      <c r="X3" s="538" t="s">
        <v>115</v>
      </c>
      <c r="Y3" s="551" t="s">
        <v>115</v>
      </c>
      <c r="Z3" s="538" t="s">
        <v>115</v>
      </c>
      <c r="AA3" s="538" t="s">
        <v>115</v>
      </c>
      <c r="AB3" s="21"/>
      <c r="AC3" s="569"/>
      <c r="AD3" s="1149"/>
      <c r="AE3" s="569"/>
      <c r="AF3" s="569"/>
      <c r="AG3" s="569"/>
      <c r="AH3" s="536"/>
      <c r="AI3" s="1028"/>
      <c r="AJ3" s="1029"/>
      <c r="AK3" s="1029"/>
      <c r="AL3" s="1030"/>
      <c r="AM3" s="542" t="s">
        <v>709</v>
      </c>
      <c r="AN3" s="924"/>
      <c r="AO3" s="925"/>
      <c r="AP3" s="926"/>
      <c r="AQ3" s="926"/>
      <c r="AR3" s="926"/>
      <c r="AS3" s="926"/>
      <c r="AT3" s="926"/>
      <c r="AU3" s="926"/>
      <c r="AV3" s="926"/>
      <c r="AW3" s="927"/>
      <c r="AX3" s="926"/>
      <c r="AY3" s="1528" t="s">
        <v>29</v>
      </c>
      <c r="AZ3" s="1530"/>
      <c r="BA3" s="1031"/>
      <c r="BB3" s="527"/>
      <c r="BC3" s="548"/>
      <c r="BD3" s="548"/>
      <c r="BE3" s="548"/>
      <c r="BF3" s="548"/>
      <c r="BG3" s="548"/>
      <c r="BH3" s="749"/>
      <c r="BI3" s="547"/>
      <c r="BJ3" s="547"/>
      <c r="BK3" s="547"/>
      <c r="BL3" s="547"/>
      <c r="BM3" s="547"/>
      <c r="BN3" s="547"/>
      <c r="BO3" s="547"/>
      <c r="BP3" s="547"/>
      <c r="BQ3" s="547"/>
      <c r="BR3" s="547"/>
      <c r="BS3" s="547"/>
      <c r="BT3" s="547"/>
      <c r="BU3" s="547"/>
      <c r="BV3" s="547"/>
      <c r="BW3" s="547"/>
      <c r="BX3" s="547"/>
      <c r="BY3" s="547"/>
      <c r="BZ3" s="547"/>
      <c r="CA3" s="483" t="s">
        <v>1053</v>
      </c>
      <c r="CB3" s="547">
        <v>1</v>
      </c>
      <c r="CC3" s="1481" t="b">
        <v>1</v>
      </c>
      <c r="CD3" t="str">
        <f>Table15[[#This Row],[Engineering Number]]&amp;Table15[[#This Row],[WO Number]]&amp;Table15[[#This Row],[Date Assigned to Designer]]&amp;Table15[[#This Row],[Date Completed]]</f>
        <v>BS4061199854280842916</v>
      </c>
    </row>
    <row r="4" spans="1:82" customFormat="1" ht="15" customHeight="1" x14ac:dyDescent="0.25">
      <c r="A4">
        <v>2019</v>
      </c>
      <c r="B4" s="8" t="s">
        <v>771</v>
      </c>
      <c r="C4" s="8" t="s">
        <v>1889</v>
      </c>
      <c r="D4" s="8" t="s">
        <v>1890</v>
      </c>
      <c r="E4" s="8" t="s">
        <v>141</v>
      </c>
      <c r="F4" s="8" t="s">
        <v>1891</v>
      </c>
      <c r="G4" s="8" t="s">
        <v>1887</v>
      </c>
      <c r="H4" s="8" t="s">
        <v>59</v>
      </c>
      <c r="I4" s="642">
        <v>42852</v>
      </c>
      <c r="J4" s="18">
        <v>42947</v>
      </c>
      <c r="K4" s="18">
        <v>42947</v>
      </c>
      <c r="L4" s="16">
        <f>IF(ISTEXT(Table15[[#This Row],[Engineering Approved Design Date]]),Table15[[#This Row],[Date Completed]]-Table15[[#This Row],[Date Assigned to Designer]],Table15[[#This Row],[Engineering Approved Design Date]]-Table15[[#This Row],[Date Completed]])</f>
        <v>0</v>
      </c>
      <c r="M4" s="642"/>
      <c r="N4" s="642" t="s">
        <v>120</v>
      </c>
      <c r="O4" s="1025">
        <v>43466</v>
      </c>
      <c r="P4" s="21" t="s">
        <v>120</v>
      </c>
      <c r="Q4" s="340" t="s">
        <v>115</v>
      </c>
      <c r="R4" s="1026" t="s">
        <v>115</v>
      </c>
      <c r="S4" s="538"/>
      <c r="T4" s="538"/>
      <c r="U4" s="1027"/>
      <c r="V4" s="1183">
        <v>7310</v>
      </c>
      <c r="W4" s="1185"/>
      <c r="X4" s="538" t="s">
        <v>115</v>
      </c>
      <c r="Y4" s="551" t="s">
        <v>115</v>
      </c>
      <c r="Z4" s="538" t="s">
        <v>115</v>
      </c>
      <c r="AA4" s="538" t="s">
        <v>115</v>
      </c>
      <c r="AB4" s="21"/>
      <c r="AC4" s="569"/>
      <c r="AD4" s="1149"/>
      <c r="AE4" s="569"/>
      <c r="AF4" s="569"/>
      <c r="AG4" s="569"/>
      <c r="AH4" s="536"/>
      <c r="AI4" s="1028"/>
      <c r="AJ4" s="1029"/>
      <c r="AK4" s="1029"/>
      <c r="AL4" s="1030"/>
      <c r="AM4" s="542" t="s">
        <v>709</v>
      </c>
      <c r="AN4" s="924"/>
      <c r="AO4" s="925"/>
      <c r="AP4" s="926"/>
      <c r="AQ4" s="926"/>
      <c r="AR4" s="926"/>
      <c r="AS4" s="926"/>
      <c r="AT4" s="926"/>
      <c r="AU4" s="926"/>
      <c r="AV4" s="926"/>
      <c r="AW4" s="927"/>
      <c r="AX4" s="926"/>
      <c r="AY4" s="1528" t="s">
        <v>29</v>
      </c>
      <c r="AZ4" s="1530"/>
      <c r="BA4" s="1031"/>
      <c r="BB4" s="527"/>
      <c r="BC4" s="548"/>
      <c r="BD4" s="548"/>
      <c r="BE4" s="548"/>
      <c r="BF4" s="548"/>
      <c r="BG4" s="548"/>
      <c r="BH4" s="749"/>
      <c r="BI4" s="547"/>
      <c r="BJ4" s="547"/>
      <c r="BK4" s="547"/>
      <c r="BL4" s="547"/>
      <c r="BM4" s="547"/>
      <c r="BN4" s="547"/>
      <c r="BO4" s="547"/>
      <c r="BP4" s="547"/>
      <c r="BQ4" s="547"/>
      <c r="BR4" s="547"/>
      <c r="BS4" s="547"/>
      <c r="BT4" s="547"/>
      <c r="BU4" s="547"/>
      <c r="BV4" s="547"/>
      <c r="BW4" s="547"/>
      <c r="BX4" s="547"/>
      <c r="BY4" s="547"/>
      <c r="BZ4" s="547"/>
      <c r="CA4" s="483" t="s">
        <v>1053</v>
      </c>
      <c r="CB4" s="547">
        <v>2</v>
      </c>
      <c r="CC4" s="1481" t="b">
        <v>1</v>
      </c>
      <c r="CD4" t="str">
        <f>Table15[[#This Row],[Engineering Number]]&amp;Table15[[#This Row],[WO Number]]&amp;Table15[[#This Row],[Date Assigned to Designer]]&amp;Table15[[#This Row],[Date Completed]]</f>
        <v>BS4541405374285242947</v>
      </c>
    </row>
    <row r="5" spans="1:82" customFormat="1" ht="15" customHeight="1" x14ac:dyDescent="0.25">
      <c r="A5">
        <v>2019</v>
      </c>
      <c r="B5" s="8" t="s">
        <v>4</v>
      </c>
      <c r="C5" s="8" t="s">
        <v>1893</v>
      </c>
      <c r="D5" s="8" t="s">
        <v>1894</v>
      </c>
      <c r="E5" s="8" t="s">
        <v>225</v>
      </c>
      <c r="F5" s="8" t="s">
        <v>1895</v>
      </c>
      <c r="G5" s="8" t="s">
        <v>1896</v>
      </c>
      <c r="H5" s="8" t="s">
        <v>59</v>
      </c>
      <c r="I5" s="642">
        <v>43468</v>
      </c>
      <c r="J5" s="18">
        <v>43556</v>
      </c>
      <c r="K5" s="642">
        <v>43556</v>
      </c>
      <c r="L5" s="16">
        <f>IF(ISTEXT(Table15[[#This Row],[Engineering Approved Design Date]]),Table15[[#This Row],[Date Completed]]-Table15[[#This Row],[Date Assigned to Designer]],Table15[[#This Row],[Engineering Approved Design Date]]-Table15[[#This Row],[Date Completed]])</f>
        <v>0</v>
      </c>
      <c r="M5" s="642" t="s">
        <v>1897</v>
      </c>
      <c r="N5" s="642" t="s">
        <v>120</v>
      </c>
      <c r="O5" s="1025">
        <v>43556</v>
      </c>
      <c r="P5" s="21" t="s">
        <v>739</v>
      </c>
      <c r="Q5" s="340">
        <f>AA5*R5</f>
        <v>2418.5637000000002</v>
      </c>
      <c r="R5" s="1026">
        <v>7.0000000000000007E-2</v>
      </c>
      <c r="S5" s="538"/>
      <c r="T5" s="538"/>
      <c r="U5" s="1027"/>
      <c r="V5" s="1183">
        <v>485</v>
      </c>
      <c r="W5" s="1185"/>
      <c r="X5" s="538">
        <v>33730.28</v>
      </c>
      <c r="Y5" s="551">
        <v>7299.25</v>
      </c>
      <c r="Z5" s="538">
        <v>8119.88</v>
      </c>
      <c r="AA5" s="538">
        <f>X5-Y5+Z5</f>
        <v>34550.909999999996</v>
      </c>
      <c r="AB5" s="21"/>
      <c r="AC5" s="569"/>
      <c r="AD5" s="1149"/>
      <c r="AE5" s="580"/>
      <c r="AF5" s="580"/>
      <c r="AG5" s="580"/>
      <c r="AH5" s="542"/>
      <c r="AI5" s="1028"/>
      <c r="AJ5" s="1029"/>
      <c r="AK5" s="1029"/>
      <c r="AL5" s="1030"/>
      <c r="AM5" s="1522" t="s">
        <v>116</v>
      </c>
      <c r="AN5" s="1523">
        <v>43750</v>
      </c>
      <c r="AO5" s="1524" t="s">
        <v>115</v>
      </c>
      <c r="AP5" s="1525">
        <v>41185.46</v>
      </c>
      <c r="AQ5" s="1525">
        <v>0</v>
      </c>
      <c r="AR5" s="1525">
        <v>7478.36</v>
      </c>
      <c r="AS5" s="1525">
        <f>IF(Table15[[#This Row],[PCTS Approved]]="N",0,Table15[[#This Row],[Investment Amount (1'#'#'#'#'#)]]+Table15[[#This Row],[Retirement Amount (3'#'#'#'#'#)]])</f>
        <v>48663.82</v>
      </c>
      <c r="AT5" s="1525">
        <f>IF(Table15[[#This Row],[Approved Construction Cost]]=0,0,Table15[[#This Row],[Approved Construction Cost]]-Table15[[#This Row],[Construction Cost to Bill From]])</f>
        <v>14112.910000000003</v>
      </c>
      <c r="AU5" s="1525">
        <f>Table15[[#This Row],[Difference in Construction Cost]]*Table15[[#This Row],[Rate]]</f>
        <v>987.9037000000003</v>
      </c>
      <c r="AV5" s="1525">
        <v>0</v>
      </c>
      <c r="AW5" s="1526" t="s">
        <v>1898</v>
      </c>
      <c r="AX5" s="1525"/>
      <c r="AY5" s="1518">
        <v>43983</v>
      </c>
      <c r="AZ5" s="333"/>
      <c r="BA5" s="1031" t="s">
        <v>1899</v>
      </c>
      <c r="BB5" s="644" t="s">
        <v>1900</v>
      </c>
      <c r="BC5" s="544"/>
      <c r="BD5" s="544"/>
      <c r="BE5" s="544"/>
      <c r="BF5" s="544"/>
      <c r="BG5" s="544"/>
      <c r="BH5" s="741"/>
      <c r="BI5" s="547" t="s">
        <v>709</v>
      </c>
      <c r="BJ5" s="547" t="s">
        <v>709</v>
      </c>
      <c r="BK5" s="547" t="s">
        <v>709</v>
      </c>
      <c r="BL5" s="547" t="s">
        <v>116</v>
      </c>
      <c r="BM5" s="547" t="s">
        <v>709</v>
      </c>
      <c r="BN5" s="547" t="s">
        <v>709</v>
      </c>
      <c r="BO5" s="547" t="s">
        <v>709</v>
      </c>
      <c r="BP5" s="547" t="s">
        <v>709</v>
      </c>
      <c r="BQ5" s="547" t="s">
        <v>709</v>
      </c>
      <c r="BR5" s="547" t="s">
        <v>709</v>
      </c>
      <c r="BS5" s="547">
        <v>485</v>
      </c>
      <c r="BT5" s="547" t="s">
        <v>709</v>
      </c>
      <c r="BU5" s="547" t="s">
        <v>709</v>
      </c>
      <c r="BV5" s="547" t="s">
        <v>709</v>
      </c>
      <c r="BW5" s="547" t="s">
        <v>709</v>
      </c>
      <c r="BX5" s="547" t="s">
        <v>709</v>
      </c>
      <c r="BY5" s="547" t="s">
        <v>709</v>
      </c>
      <c r="BZ5" s="547" t="s">
        <v>709</v>
      </c>
      <c r="CA5" s="483"/>
      <c r="CB5" s="547">
        <v>3</v>
      </c>
      <c r="CC5" s="1481" t="b">
        <v>1</v>
      </c>
      <c r="CD5" t="str">
        <f>Table15[[#This Row],[Engineering Number]]&amp;Table15[[#This Row],[WO Number]]&amp;Table15[[#This Row],[Date Assigned to Designer]]&amp;Table15[[#This Row],[Date Completed]]</f>
        <v>N114931290474346843556</v>
      </c>
    </row>
    <row r="6" spans="1:82" customFormat="1" ht="15" customHeight="1" x14ac:dyDescent="0.25">
      <c r="A6">
        <v>2019</v>
      </c>
      <c r="B6" s="8" t="s">
        <v>4</v>
      </c>
      <c r="C6" s="8" t="s">
        <v>1902</v>
      </c>
      <c r="D6" s="8" t="s">
        <v>115</v>
      </c>
      <c r="E6" s="8" t="s">
        <v>1117</v>
      </c>
      <c r="F6" s="8" t="s">
        <v>1895</v>
      </c>
      <c r="G6" s="8" t="s">
        <v>1896</v>
      </c>
      <c r="H6" s="8" t="s">
        <v>1903</v>
      </c>
      <c r="I6" s="642">
        <v>43516</v>
      </c>
      <c r="J6" s="18">
        <v>43598</v>
      </c>
      <c r="K6" s="642">
        <v>43557</v>
      </c>
      <c r="L6" s="16">
        <f>IF(ISTEXT(Table15[[#This Row],[Engineering Approved Design Date]]),Table15[[#This Row],[Date Completed]]-Table15[[#This Row],[Date Assigned to Designer]],Table15[[#This Row],[Engineering Approved Design Date]]-Table15[[#This Row],[Date Completed]])</f>
        <v>41</v>
      </c>
      <c r="M6" s="642" t="s">
        <v>1904</v>
      </c>
      <c r="N6" s="642" t="s">
        <v>120</v>
      </c>
      <c r="O6" s="1025">
        <v>43557</v>
      </c>
      <c r="P6" s="21" t="s">
        <v>739</v>
      </c>
      <c r="Q6" s="340" t="s">
        <v>115</v>
      </c>
      <c r="R6" s="1026" t="s">
        <v>115</v>
      </c>
      <c r="S6" s="538"/>
      <c r="T6" s="538"/>
      <c r="U6" s="1027"/>
      <c r="V6" s="1183"/>
      <c r="W6" s="1185"/>
      <c r="X6" s="538" t="s">
        <v>115</v>
      </c>
      <c r="Y6" s="551" t="s">
        <v>115</v>
      </c>
      <c r="Z6" s="538" t="s">
        <v>115</v>
      </c>
      <c r="AA6" s="538">
        <v>0</v>
      </c>
      <c r="AB6" s="21"/>
      <c r="AC6" s="569"/>
      <c r="AD6" s="1149"/>
      <c r="AE6" s="580"/>
      <c r="AF6" s="580"/>
      <c r="AG6" s="580"/>
      <c r="AH6" s="542"/>
      <c r="AI6" s="1028"/>
      <c r="AJ6" s="1029"/>
      <c r="AK6" s="1029"/>
      <c r="AL6" s="1030"/>
      <c r="AM6" s="542" t="s">
        <v>709</v>
      </c>
      <c r="AN6" s="924"/>
      <c r="AO6" s="925"/>
      <c r="AP6" s="926"/>
      <c r="AQ6" s="926"/>
      <c r="AR6" s="926"/>
      <c r="AS6" s="926"/>
      <c r="AT6" s="926"/>
      <c r="AU6" s="926"/>
      <c r="AV6" s="926"/>
      <c r="AW6" s="927"/>
      <c r="AX6" s="926"/>
      <c r="AY6" s="1538" t="s">
        <v>29</v>
      </c>
      <c r="AZ6" s="1530"/>
      <c r="BA6" s="1031" t="s">
        <v>1905</v>
      </c>
      <c r="BB6" s="644" t="s">
        <v>1900</v>
      </c>
      <c r="BC6" s="544"/>
      <c r="BD6" s="544"/>
      <c r="BE6" s="544"/>
      <c r="BF6" s="544"/>
      <c r="BG6" s="544"/>
      <c r="BH6" s="741"/>
      <c r="BI6" s="1032"/>
      <c r="BJ6" s="1032"/>
      <c r="BK6" s="1032"/>
      <c r="BL6" s="1032"/>
      <c r="BM6" s="1032"/>
      <c r="BN6" s="1032"/>
      <c r="BO6" s="1032"/>
      <c r="BP6" s="1032"/>
      <c r="BQ6" s="1032"/>
      <c r="BR6" s="1032"/>
      <c r="BS6" s="1032"/>
      <c r="BT6" s="1032"/>
      <c r="BU6" s="1032"/>
      <c r="BV6" s="1032"/>
      <c r="BW6" s="1032"/>
      <c r="BX6" s="1032"/>
      <c r="BY6" s="1032"/>
      <c r="BZ6" s="1032"/>
      <c r="CA6" s="485"/>
      <c r="CB6" s="547">
        <v>4</v>
      </c>
      <c r="CC6" s="1481" t="b">
        <v>1</v>
      </c>
      <c r="CD6" t="str">
        <f>Table15[[#This Row],[Engineering Number]]&amp;Table15[[#This Row],[WO Number]]&amp;Table15[[#This Row],[Date Assigned to Designer]]&amp;Table15[[#This Row],[Date Completed]]</f>
        <v>N11306-4351643557</v>
      </c>
    </row>
    <row r="7" spans="1:82" customFormat="1" ht="15" customHeight="1" x14ac:dyDescent="0.25">
      <c r="A7">
        <v>2019</v>
      </c>
      <c r="B7" s="8" t="s">
        <v>4</v>
      </c>
      <c r="C7" s="8" t="s">
        <v>1907</v>
      </c>
      <c r="D7" s="8" t="s">
        <v>115</v>
      </c>
      <c r="E7" s="8" t="s">
        <v>1908</v>
      </c>
      <c r="F7" s="8" t="s">
        <v>1895</v>
      </c>
      <c r="G7" s="8" t="s">
        <v>1887</v>
      </c>
      <c r="H7" s="8" t="s">
        <v>1681</v>
      </c>
      <c r="I7" s="642">
        <v>43544</v>
      </c>
      <c r="J7" s="18">
        <v>43586</v>
      </c>
      <c r="K7" s="642">
        <v>43566</v>
      </c>
      <c r="L7" s="16">
        <f>IF(ISTEXT(Table15[[#This Row],[Engineering Approved Design Date]]),Table15[[#This Row],[Date Completed]]-Table15[[#This Row],[Date Assigned to Designer]],Table15[[#This Row],[Engineering Approved Design Date]]-Table15[[#This Row],[Date Completed]])</f>
        <v>20</v>
      </c>
      <c r="M7" s="642" t="s">
        <v>1909</v>
      </c>
      <c r="N7" s="642" t="s">
        <v>120</v>
      </c>
      <c r="O7" s="1025">
        <v>43566</v>
      </c>
      <c r="P7" s="21" t="s">
        <v>739</v>
      </c>
      <c r="Q7" s="340" t="s">
        <v>115</v>
      </c>
      <c r="R7" s="1026" t="s">
        <v>115</v>
      </c>
      <c r="S7" s="538"/>
      <c r="T7" s="538"/>
      <c r="U7" s="1027"/>
      <c r="V7" s="1183"/>
      <c r="W7" s="1185"/>
      <c r="X7" s="538" t="s">
        <v>115</v>
      </c>
      <c r="Y7" s="551" t="s">
        <v>115</v>
      </c>
      <c r="Z7" s="538" t="s">
        <v>115</v>
      </c>
      <c r="AA7" s="538">
        <v>0</v>
      </c>
      <c r="AB7" s="21"/>
      <c r="AC7" s="569"/>
      <c r="AD7" s="1149"/>
      <c r="AE7" s="580"/>
      <c r="AF7" s="580"/>
      <c r="AG7" s="580"/>
      <c r="AH7" s="542"/>
      <c r="AI7" s="1028"/>
      <c r="AJ7" s="1029"/>
      <c r="AK7" s="1029"/>
      <c r="AL7" s="1030"/>
      <c r="AM7" s="542" t="s">
        <v>709</v>
      </c>
      <c r="AN7" s="924"/>
      <c r="AO7" s="925"/>
      <c r="AP7" s="926"/>
      <c r="AQ7" s="926"/>
      <c r="AR7" s="926"/>
      <c r="AS7" s="926"/>
      <c r="AT7" s="926"/>
      <c r="AU7" s="926"/>
      <c r="AV7" s="926"/>
      <c r="AW7" s="927"/>
      <c r="AX7" s="926"/>
      <c r="AY7" s="1538" t="s">
        <v>29</v>
      </c>
      <c r="AZ7" s="1530"/>
      <c r="BA7" s="1031" t="s">
        <v>1910</v>
      </c>
      <c r="BB7" s="644" t="s">
        <v>1911</v>
      </c>
      <c r="BC7" s="544"/>
      <c r="BD7" s="544"/>
      <c r="BE7" s="544"/>
      <c r="BF7" s="544"/>
      <c r="BG7" s="544"/>
      <c r="BH7" s="741"/>
      <c r="BI7" s="1032"/>
      <c r="BJ7" s="1032"/>
      <c r="BK7" s="1032"/>
      <c r="BL7" s="1032"/>
      <c r="BM7" s="1032"/>
      <c r="BN7" s="1032"/>
      <c r="BO7" s="1032"/>
      <c r="BP7" s="1032"/>
      <c r="BQ7" s="1032"/>
      <c r="BR7" s="1032"/>
      <c r="BS7" s="1032"/>
      <c r="BT7" s="1032"/>
      <c r="BU7" s="1032"/>
      <c r="BV7" s="1032"/>
      <c r="BW7" s="1032"/>
      <c r="BX7" s="1032"/>
      <c r="BY7" s="1032"/>
      <c r="BZ7" s="1032"/>
      <c r="CA7" s="483"/>
      <c r="CB7" s="547">
        <v>5</v>
      </c>
      <c r="CC7" s="1481" t="b">
        <v>1</v>
      </c>
      <c r="CD7" t="str">
        <f>Table15[[#This Row],[Engineering Number]]&amp;Table15[[#This Row],[WO Number]]&amp;Table15[[#This Row],[Date Assigned to Designer]]&amp;Table15[[#This Row],[Date Completed]]</f>
        <v>SC16297-4354443566</v>
      </c>
    </row>
    <row r="8" spans="1:82" customFormat="1" ht="15" customHeight="1" x14ac:dyDescent="0.25">
      <c r="A8">
        <v>2019</v>
      </c>
      <c r="B8" s="8" t="s">
        <v>4</v>
      </c>
      <c r="C8" s="8" t="s">
        <v>1913</v>
      </c>
      <c r="D8" s="8" t="s">
        <v>1914</v>
      </c>
      <c r="E8" s="8" t="s">
        <v>1915</v>
      </c>
      <c r="F8" s="8" t="s">
        <v>1895</v>
      </c>
      <c r="G8" s="8" t="s">
        <v>1896</v>
      </c>
      <c r="H8" s="8" t="s">
        <v>59</v>
      </c>
      <c r="I8" s="642">
        <v>43523</v>
      </c>
      <c r="J8" s="18">
        <v>43605</v>
      </c>
      <c r="K8" s="642">
        <v>43570</v>
      </c>
      <c r="L8" s="16">
        <f>IF(ISTEXT(Table15[[#This Row],[Engineering Approved Design Date]]),Table15[[#This Row],[Date Completed]]-Table15[[#This Row],[Date Assigned to Designer]],Table15[[#This Row],[Engineering Approved Design Date]]-Table15[[#This Row],[Date Completed]])</f>
        <v>35</v>
      </c>
      <c r="M8" s="642" t="s">
        <v>1916</v>
      </c>
      <c r="N8" s="642" t="s">
        <v>120</v>
      </c>
      <c r="O8" s="1025">
        <v>43570</v>
      </c>
      <c r="P8" s="21" t="s">
        <v>739</v>
      </c>
      <c r="Q8" s="340">
        <f>AA8*R8</f>
        <v>8014.2467999999999</v>
      </c>
      <c r="R8" s="1026">
        <v>7.0000000000000007E-2</v>
      </c>
      <c r="S8" s="538"/>
      <c r="T8" s="538"/>
      <c r="U8" s="1027"/>
      <c r="V8" s="1183">
        <v>2322</v>
      </c>
      <c r="W8" s="1185"/>
      <c r="X8" s="538">
        <v>99170.64</v>
      </c>
      <c r="Y8" s="551">
        <v>7525</v>
      </c>
      <c r="Z8" s="538">
        <v>22843.599999999999</v>
      </c>
      <c r="AA8" s="538">
        <f>X8-Y8+Z8</f>
        <v>114489.23999999999</v>
      </c>
      <c r="AB8" s="21"/>
      <c r="AC8" s="569"/>
      <c r="AD8" s="1149"/>
      <c r="AE8" s="580"/>
      <c r="AF8" s="580"/>
      <c r="AG8" s="580"/>
      <c r="AH8" s="542"/>
      <c r="AI8" s="1028"/>
      <c r="AJ8" s="1029"/>
      <c r="AK8" s="1029"/>
      <c r="AL8" s="1030"/>
      <c r="AM8" s="1522" t="s">
        <v>116</v>
      </c>
      <c r="AN8" s="1523">
        <v>43616</v>
      </c>
      <c r="AO8" s="1524">
        <v>176928</v>
      </c>
      <c r="AP8" s="1525">
        <v>112999.18</v>
      </c>
      <c r="AQ8" s="1525">
        <v>7976.5</v>
      </c>
      <c r="AR8" s="1525">
        <v>22844.06</v>
      </c>
      <c r="AS8" s="1525">
        <f>IF(Table15[[#This Row],[PCTS Approved]]="N",0,Table15[[#This Row],[Investment Amount (1'#'#'#'#'#)]]+Table15[[#This Row],[Retirement Amount (3'#'#'#'#'#)]])</f>
        <v>135843.24</v>
      </c>
      <c r="AT8" s="1525">
        <f>IF(Table15[[#This Row],[Approved Construction Cost]]=0,0,Table15[[#This Row],[Approved Construction Cost]]-Table15[[#This Row],[Construction Cost to Bill From]])</f>
        <v>21354</v>
      </c>
      <c r="AU8" s="1525">
        <f>Table15[[#This Row],[Difference in Construction Cost]]*Table15[[#This Row],[Rate]]</f>
        <v>1494.7800000000002</v>
      </c>
      <c r="AV8" s="1525">
        <v>0</v>
      </c>
      <c r="AW8" s="1526" t="s">
        <v>1898</v>
      </c>
      <c r="AX8" s="1525"/>
      <c r="AY8" s="1518">
        <v>43983</v>
      </c>
      <c r="AZ8" s="333"/>
      <c r="BA8" s="1031" t="s">
        <v>1917</v>
      </c>
      <c r="BB8" s="644" t="s">
        <v>1900</v>
      </c>
      <c r="BC8" s="544"/>
      <c r="BD8" s="544"/>
      <c r="BE8" s="544"/>
      <c r="BF8" s="544"/>
      <c r="BG8" s="544"/>
      <c r="BH8" s="741"/>
      <c r="BI8" s="547" t="s">
        <v>709</v>
      </c>
      <c r="BJ8" s="547" t="s">
        <v>709</v>
      </c>
      <c r="BK8" s="547" t="s">
        <v>709</v>
      </c>
      <c r="BL8" s="547" t="s">
        <v>116</v>
      </c>
      <c r="BM8" s="547" t="s">
        <v>709</v>
      </c>
      <c r="BN8" s="547" t="s">
        <v>709</v>
      </c>
      <c r="BO8" s="547" t="s">
        <v>709</v>
      </c>
      <c r="BP8" s="547" t="s">
        <v>709</v>
      </c>
      <c r="BQ8" s="547" t="s">
        <v>709</v>
      </c>
      <c r="BR8" s="547">
        <v>455</v>
      </c>
      <c r="BS8" s="547">
        <v>75</v>
      </c>
      <c r="BT8" s="547" t="s">
        <v>709</v>
      </c>
      <c r="BU8" s="547" t="s">
        <v>709</v>
      </c>
      <c r="BV8" s="547" t="s">
        <v>709</v>
      </c>
      <c r="BW8" s="547" t="s">
        <v>709</v>
      </c>
      <c r="BX8" s="547" t="s">
        <v>709</v>
      </c>
      <c r="BY8" s="547" t="s">
        <v>709</v>
      </c>
      <c r="BZ8" s="547" t="s">
        <v>709</v>
      </c>
      <c r="CA8" s="483"/>
      <c r="CB8" s="547">
        <v>6</v>
      </c>
      <c r="CC8" s="1481" t="b">
        <v>1</v>
      </c>
      <c r="CD8" t="str">
        <f>Table15[[#This Row],[Engineering Number]]&amp;Table15[[#This Row],[WO Number]]&amp;Table15[[#This Row],[Date Assigned to Designer]]&amp;Table15[[#This Row],[Date Completed]]</f>
        <v>SC162941407044352343570</v>
      </c>
    </row>
    <row r="9" spans="1:82" customFormat="1" ht="15" customHeight="1" x14ac:dyDescent="0.25">
      <c r="A9">
        <v>2019</v>
      </c>
      <c r="B9" s="8" t="s">
        <v>1073</v>
      </c>
      <c r="C9" s="8" t="s">
        <v>1919</v>
      </c>
      <c r="D9" s="8" t="s">
        <v>115</v>
      </c>
      <c r="E9" s="8" t="s">
        <v>1920</v>
      </c>
      <c r="F9" s="8" t="s">
        <v>1895</v>
      </c>
      <c r="G9" s="8" t="s">
        <v>1896</v>
      </c>
      <c r="H9" s="8" t="s">
        <v>59</v>
      </c>
      <c r="I9" s="642">
        <v>43559</v>
      </c>
      <c r="J9" s="18">
        <v>43591</v>
      </c>
      <c r="K9" s="642">
        <v>43591</v>
      </c>
      <c r="L9" s="16">
        <f>IF(ISTEXT(Table15[[#This Row],[Engineering Approved Design Date]]),Table15[[#This Row],[Date Completed]]-Table15[[#This Row],[Date Assigned to Designer]],Table15[[#This Row],[Engineering Approved Design Date]]-Table15[[#This Row],[Date Completed]])</f>
        <v>0</v>
      </c>
      <c r="M9" s="642" t="s">
        <v>1921</v>
      </c>
      <c r="N9" s="642" t="s">
        <v>120</v>
      </c>
      <c r="O9" s="1025">
        <v>43591</v>
      </c>
      <c r="P9" s="21" t="s">
        <v>739</v>
      </c>
      <c r="Q9" s="340" t="s">
        <v>1922</v>
      </c>
      <c r="R9" s="1026" t="s">
        <v>1922</v>
      </c>
      <c r="S9" s="538"/>
      <c r="T9" s="538"/>
      <c r="U9" s="28"/>
      <c r="V9" s="858" t="s">
        <v>115</v>
      </c>
      <c r="W9" s="437"/>
      <c r="X9" s="538" t="s">
        <v>115</v>
      </c>
      <c r="Y9" s="551" t="s">
        <v>115</v>
      </c>
      <c r="Z9" s="538" t="s">
        <v>115</v>
      </c>
      <c r="AA9" s="538" t="s">
        <v>115</v>
      </c>
      <c r="AB9" s="21"/>
      <c r="AC9" s="569"/>
      <c r="AD9" s="1149"/>
      <c r="AE9" s="569"/>
      <c r="AF9" s="569"/>
      <c r="AG9" s="569"/>
      <c r="AH9" s="536"/>
      <c r="AI9" s="1028"/>
      <c r="AJ9" s="1029"/>
      <c r="AK9" s="1029"/>
      <c r="AL9" s="1030"/>
      <c r="AM9" s="542" t="s">
        <v>709</v>
      </c>
      <c r="AN9" s="924"/>
      <c r="AO9" s="925"/>
      <c r="AP9" s="926"/>
      <c r="AQ9" s="926"/>
      <c r="AR9" s="926"/>
      <c r="AS9" s="926"/>
      <c r="AT9" s="926"/>
      <c r="AU9" s="926"/>
      <c r="AV9" s="926"/>
      <c r="AW9" s="927"/>
      <c r="AX9" s="926"/>
      <c r="AY9" s="1538" t="s">
        <v>29</v>
      </c>
      <c r="AZ9" s="1530"/>
      <c r="BA9" s="1031" t="s">
        <v>1923</v>
      </c>
      <c r="BB9" s="644" t="s">
        <v>1924</v>
      </c>
      <c r="BC9" s="544"/>
      <c r="BD9" s="544"/>
      <c r="BE9" s="544"/>
      <c r="BF9" s="544"/>
      <c r="BG9" s="544"/>
      <c r="BH9" s="741"/>
      <c r="BI9" s="547"/>
      <c r="BJ9" s="547"/>
      <c r="BK9" s="547"/>
      <c r="BL9" s="547"/>
      <c r="BM9" s="547"/>
      <c r="BN9" s="547"/>
      <c r="BO9" s="547"/>
      <c r="BP9" s="547"/>
      <c r="BQ9" s="547"/>
      <c r="BR9" s="547"/>
      <c r="BS9" s="547"/>
      <c r="BT9" s="547"/>
      <c r="BU9" s="547"/>
      <c r="BV9" s="547"/>
      <c r="BW9" s="547"/>
      <c r="BX9" s="547"/>
      <c r="BY9" s="547"/>
      <c r="BZ9" s="547" t="s">
        <v>709</v>
      </c>
      <c r="CA9" s="483" t="s">
        <v>915</v>
      </c>
      <c r="CB9" s="547">
        <v>7</v>
      </c>
      <c r="CC9" s="1481" t="b">
        <v>1</v>
      </c>
      <c r="CD9" t="str">
        <f>Table15[[#This Row],[Engineering Number]]&amp;Table15[[#This Row],[WO Number]]&amp;Table15[[#This Row],[Date Assigned to Designer]]&amp;Table15[[#This Row],[Date Completed]]</f>
        <v>NBA1689345-4355943591</v>
      </c>
    </row>
    <row r="10" spans="1:82" customFormat="1" ht="15" customHeight="1" x14ac:dyDescent="0.25">
      <c r="A10">
        <v>2019</v>
      </c>
      <c r="B10" s="8" t="s">
        <v>1073</v>
      </c>
      <c r="C10" s="8" t="s">
        <v>1926</v>
      </c>
      <c r="D10" s="8" t="s">
        <v>115</v>
      </c>
      <c r="E10" s="8" t="s">
        <v>1920</v>
      </c>
      <c r="F10" s="8" t="s">
        <v>1895</v>
      </c>
      <c r="G10" s="8" t="s">
        <v>1887</v>
      </c>
      <c r="H10" s="8" t="s">
        <v>59</v>
      </c>
      <c r="I10" s="642">
        <v>43560</v>
      </c>
      <c r="J10" s="18">
        <v>43609</v>
      </c>
      <c r="K10" s="642">
        <v>43598</v>
      </c>
      <c r="L10" s="16">
        <f>IF(ISTEXT(Table15[[#This Row],[Engineering Approved Design Date]]),Table15[[#This Row],[Date Completed]]-Table15[[#This Row],[Date Assigned to Designer]],Table15[[#This Row],[Engineering Approved Design Date]]-Table15[[#This Row],[Date Completed]])</f>
        <v>11</v>
      </c>
      <c r="M10" s="642" t="s">
        <v>1927</v>
      </c>
      <c r="N10" s="642" t="s">
        <v>120</v>
      </c>
      <c r="O10" s="1025">
        <v>43598</v>
      </c>
      <c r="P10" s="21" t="s">
        <v>739</v>
      </c>
      <c r="Q10" s="340" t="s">
        <v>1922</v>
      </c>
      <c r="R10" s="1026" t="s">
        <v>1922</v>
      </c>
      <c r="S10" s="538"/>
      <c r="T10" s="538"/>
      <c r="U10" s="28"/>
      <c r="V10" s="858" t="s">
        <v>115</v>
      </c>
      <c r="W10" s="437"/>
      <c r="X10" s="538" t="s">
        <v>115</v>
      </c>
      <c r="Y10" s="1484" t="e">
        <f>Z10+7</f>
        <v>#VALUE!</v>
      </c>
      <c r="Z10" s="538" t="s">
        <v>115</v>
      </c>
      <c r="AA10" s="538" t="s">
        <v>115</v>
      </c>
      <c r="AB10" s="21"/>
      <c r="AC10" s="569"/>
      <c r="AD10" s="1149"/>
      <c r="AE10" s="569"/>
      <c r="AF10" s="569"/>
      <c r="AG10" s="569"/>
      <c r="AH10" s="536"/>
      <c r="AI10" s="1028"/>
      <c r="AJ10" s="1029"/>
      <c r="AK10" s="1029"/>
      <c r="AL10" s="1030"/>
      <c r="AM10" s="542" t="s">
        <v>709</v>
      </c>
      <c r="AN10" s="924"/>
      <c r="AO10" s="925"/>
      <c r="AP10" s="926"/>
      <c r="AQ10" s="926"/>
      <c r="AR10" s="926"/>
      <c r="AS10" s="926"/>
      <c r="AT10" s="926"/>
      <c r="AU10" s="926"/>
      <c r="AV10" s="926"/>
      <c r="AW10" s="927"/>
      <c r="AX10" s="926"/>
      <c r="AY10" s="1538" t="s">
        <v>29</v>
      </c>
      <c r="AZ10" s="1530"/>
      <c r="BA10" s="1031" t="s">
        <v>1928</v>
      </c>
      <c r="BB10" s="644" t="s">
        <v>1929</v>
      </c>
      <c r="BC10" s="544"/>
      <c r="BD10" s="544"/>
      <c r="BE10" s="544"/>
      <c r="BF10" s="544"/>
      <c r="BG10" s="544"/>
      <c r="BH10" s="741"/>
      <c r="BI10" s="547"/>
      <c r="BJ10" s="547"/>
      <c r="BK10" s="547"/>
      <c r="BL10" s="547"/>
      <c r="BM10" s="547"/>
      <c r="BN10" s="547"/>
      <c r="BO10" s="547"/>
      <c r="BP10" s="547"/>
      <c r="BQ10" s="547"/>
      <c r="BR10" s="547"/>
      <c r="BS10" s="547"/>
      <c r="BT10" s="547"/>
      <c r="BU10" s="547"/>
      <c r="BV10" s="547"/>
      <c r="BW10" s="547"/>
      <c r="BX10" s="547"/>
      <c r="BY10" s="547"/>
      <c r="BZ10" s="547" t="s">
        <v>709</v>
      </c>
      <c r="CA10" s="483" t="s">
        <v>915</v>
      </c>
      <c r="CB10" s="547">
        <v>8</v>
      </c>
      <c r="CC10" s="1481" t="b">
        <v>1</v>
      </c>
      <c r="CD10" t="str">
        <f>Table15[[#This Row],[Engineering Number]]&amp;Table15[[#This Row],[WO Number]]&amp;Table15[[#This Row],[Date Assigned to Designer]]&amp;Table15[[#This Row],[Date Completed]]</f>
        <v>NBA1697617-4356043598</v>
      </c>
    </row>
    <row r="11" spans="1:82" customFormat="1" ht="15" customHeight="1" x14ac:dyDescent="0.25">
      <c r="A11">
        <v>2019</v>
      </c>
      <c r="B11" s="8" t="s">
        <v>4</v>
      </c>
      <c r="C11" s="8" t="s">
        <v>1931</v>
      </c>
      <c r="D11" s="8" t="s">
        <v>1932</v>
      </c>
      <c r="E11" s="8" t="s">
        <v>183</v>
      </c>
      <c r="F11" s="8" t="s">
        <v>1895</v>
      </c>
      <c r="G11" s="8" t="s">
        <v>1896</v>
      </c>
      <c r="H11" s="8" t="s">
        <v>59</v>
      </c>
      <c r="I11" s="642">
        <v>43516</v>
      </c>
      <c r="J11" s="18">
        <v>43586</v>
      </c>
      <c r="K11" s="642">
        <v>43614</v>
      </c>
      <c r="L11" s="16">
        <f>IF(ISTEXT(Table15[[#This Row],[Engineering Approved Design Date]]),Table15[[#This Row],[Date Completed]]-Table15[[#This Row],[Date Assigned to Designer]],Table15[[#This Row],[Engineering Approved Design Date]]-Table15[[#This Row],[Date Completed]])</f>
        <v>-28</v>
      </c>
      <c r="M11" s="642" t="s">
        <v>1933</v>
      </c>
      <c r="N11" s="642" t="s">
        <v>120</v>
      </c>
      <c r="O11" s="1025">
        <v>43614</v>
      </c>
      <c r="P11" s="21" t="s">
        <v>739</v>
      </c>
      <c r="Q11" s="340">
        <f>AA11*R11</f>
        <v>2474.0226000000002</v>
      </c>
      <c r="R11" s="1026">
        <v>7.0000000000000007E-2</v>
      </c>
      <c r="S11" s="538"/>
      <c r="T11" s="538"/>
      <c r="U11" s="28"/>
      <c r="V11" s="858">
        <v>150</v>
      </c>
      <c r="W11" s="437"/>
      <c r="X11" s="1542">
        <v>29480.32</v>
      </c>
      <c r="Y11" s="551">
        <v>2257.5</v>
      </c>
      <c r="Z11" s="538">
        <v>8120.36</v>
      </c>
      <c r="AA11" s="538">
        <f>X11-Y11+Z11</f>
        <v>35343.18</v>
      </c>
      <c r="AB11" s="21"/>
      <c r="AC11" s="569"/>
      <c r="AD11" s="1149"/>
      <c r="AE11" s="580"/>
      <c r="AF11" s="580"/>
      <c r="AG11" s="580"/>
      <c r="AH11" s="542"/>
      <c r="AI11" s="1028"/>
      <c r="AJ11" s="1029"/>
      <c r="AK11" s="1029"/>
      <c r="AL11" s="1030"/>
      <c r="AM11" s="542" t="s">
        <v>116</v>
      </c>
      <c r="AN11" s="1508">
        <v>43957</v>
      </c>
      <c r="AO11" s="925" t="s">
        <v>115</v>
      </c>
      <c r="AP11" s="926">
        <v>31233.5</v>
      </c>
      <c r="AQ11" s="926">
        <v>2407.5</v>
      </c>
      <c r="AR11" s="926">
        <v>8561.7800000000007</v>
      </c>
      <c r="AS11" s="926">
        <f>IF(Table15[[#This Row],[PCTS Approved]]="N",0,Table15[[#This Row],[Investment Amount (1'#'#'#'#'#)]]+Table15[[#This Row],[Retirement Amount (3'#'#'#'#'#)]])</f>
        <v>39795.279999999999</v>
      </c>
      <c r="AT11" s="926">
        <f>IF(Table15[[#This Row],[Approved Construction Cost]]=0,0,Table15[[#This Row],[Approved Construction Cost]]-Table15[[#This Row],[Construction Cost to Bill From]])</f>
        <v>4452.0999999999985</v>
      </c>
      <c r="AU11" s="926">
        <f>Table15[[#This Row],[Difference in Construction Cost]]*Table15[[#This Row],[Rate]]</f>
        <v>311.64699999999993</v>
      </c>
      <c r="AV11" s="926" t="s">
        <v>709</v>
      </c>
      <c r="AW11" s="927" t="s">
        <v>1934</v>
      </c>
      <c r="AX11" s="926"/>
      <c r="AY11" s="636" t="s">
        <v>1935</v>
      </c>
      <c r="AZ11" s="1531"/>
      <c r="BA11" s="1031" t="s">
        <v>1936</v>
      </c>
      <c r="BB11" s="644" t="s">
        <v>1937</v>
      </c>
      <c r="BC11" s="544"/>
      <c r="BD11" s="544"/>
      <c r="BE11" s="544"/>
      <c r="BF11" s="544"/>
      <c r="BG11" s="544"/>
      <c r="BH11" s="741"/>
      <c r="BI11" s="547" t="s">
        <v>709</v>
      </c>
      <c r="BJ11" s="547" t="s">
        <v>709</v>
      </c>
      <c r="BK11" s="547" t="s">
        <v>709</v>
      </c>
      <c r="BL11" s="547" t="s">
        <v>116</v>
      </c>
      <c r="BM11" s="547" t="s">
        <v>709</v>
      </c>
      <c r="BN11" s="547" t="s">
        <v>709</v>
      </c>
      <c r="BO11" s="547" t="s">
        <v>709</v>
      </c>
      <c r="BP11" s="547" t="s">
        <v>709</v>
      </c>
      <c r="BQ11" s="547" t="s">
        <v>709</v>
      </c>
      <c r="BR11" s="547" t="s">
        <v>709</v>
      </c>
      <c r="BS11" s="547">
        <v>150</v>
      </c>
      <c r="BT11" s="547" t="s">
        <v>709</v>
      </c>
      <c r="BU11" s="547" t="s">
        <v>709</v>
      </c>
      <c r="BV11" s="547" t="s">
        <v>709</v>
      </c>
      <c r="BW11" s="547" t="s">
        <v>709</v>
      </c>
      <c r="BX11" s="547" t="s">
        <v>709</v>
      </c>
      <c r="BY11" s="547" t="s">
        <v>709</v>
      </c>
      <c r="BZ11" s="547" t="s">
        <v>709</v>
      </c>
      <c r="CA11" s="483"/>
      <c r="CB11" s="547">
        <v>9</v>
      </c>
      <c r="CC11" s="1481" t="b">
        <v>1</v>
      </c>
      <c r="CD11" t="str">
        <f>Table15[[#This Row],[Engineering Number]]&amp;Table15[[#This Row],[WO Number]]&amp;Table15[[#This Row],[Date Assigned to Designer]]&amp;Table15[[#This Row],[Date Completed]]</f>
        <v>M107251202974351643614</v>
      </c>
    </row>
    <row r="12" spans="1:82" customFormat="1" ht="15" customHeight="1" x14ac:dyDescent="0.25">
      <c r="A12">
        <v>2019</v>
      </c>
      <c r="B12" s="8" t="s">
        <v>4</v>
      </c>
      <c r="C12" s="8" t="s">
        <v>1939</v>
      </c>
      <c r="D12" s="8" t="s">
        <v>115</v>
      </c>
      <c r="E12" s="8" t="s">
        <v>966</v>
      </c>
      <c r="F12" s="8" t="s">
        <v>325</v>
      </c>
      <c r="G12" s="8" t="s">
        <v>1896</v>
      </c>
      <c r="H12" s="8" t="s">
        <v>1681</v>
      </c>
      <c r="I12" s="642">
        <v>43592</v>
      </c>
      <c r="J12" s="18">
        <v>43634</v>
      </c>
      <c r="K12" s="642">
        <v>43616</v>
      </c>
      <c r="L12" s="16">
        <f>IF(ISTEXT(Table15[[#This Row],[Engineering Approved Design Date]]),Table15[[#This Row],[Date Completed]]-Table15[[#This Row],[Date Assigned to Designer]],Table15[[#This Row],[Engineering Approved Design Date]]-Table15[[#This Row],[Date Completed]])</f>
        <v>18</v>
      </c>
      <c r="M12" s="642" t="s">
        <v>1909</v>
      </c>
      <c r="N12" s="642" t="s">
        <v>120</v>
      </c>
      <c r="O12" s="1025">
        <v>43616</v>
      </c>
      <c r="P12" s="21" t="s">
        <v>739</v>
      </c>
      <c r="Q12" s="340" t="s">
        <v>115</v>
      </c>
      <c r="R12" s="1026" t="s">
        <v>115</v>
      </c>
      <c r="S12" s="538"/>
      <c r="T12" s="538"/>
      <c r="U12" s="28"/>
      <c r="V12" s="858"/>
      <c r="W12" s="437"/>
      <c r="X12" s="538" t="s">
        <v>115</v>
      </c>
      <c r="Y12" s="551" t="s">
        <v>115</v>
      </c>
      <c r="Z12" s="538" t="s">
        <v>115</v>
      </c>
      <c r="AA12" s="538">
        <v>0</v>
      </c>
      <c r="AB12" s="21"/>
      <c r="AC12" s="569"/>
      <c r="AD12" s="1149"/>
      <c r="AE12" s="580"/>
      <c r="AF12" s="580"/>
      <c r="AG12" s="580"/>
      <c r="AH12" s="542"/>
      <c r="AI12" s="1028"/>
      <c r="AJ12" s="1029"/>
      <c r="AK12" s="1029"/>
      <c r="AL12" s="1030"/>
      <c r="AM12" s="542" t="s">
        <v>709</v>
      </c>
      <c r="AN12" s="924"/>
      <c r="AO12" s="925"/>
      <c r="AP12" s="926"/>
      <c r="AQ12" s="926"/>
      <c r="AR12" s="926"/>
      <c r="AS12" s="926"/>
      <c r="AT12" s="926"/>
      <c r="AU12" s="926"/>
      <c r="AV12" s="926"/>
      <c r="AW12" s="927"/>
      <c r="AX12" s="926"/>
      <c r="AY12" s="1538" t="s">
        <v>29</v>
      </c>
      <c r="AZ12" s="1530"/>
      <c r="BA12" s="1031" t="s">
        <v>1940</v>
      </c>
      <c r="BB12" s="644" t="s">
        <v>1941</v>
      </c>
      <c r="BC12" s="544"/>
      <c r="BD12" s="544"/>
      <c r="BE12" s="544"/>
      <c r="BF12" s="544"/>
      <c r="BG12" s="544"/>
      <c r="BH12" s="741"/>
      <c r="BI12" s="1032"/>
      <c r="BJ12" s="1032"/>
      <c r="BK12" s="1032"/>
      <c r="BL12" s="1032"/>
      <c r="BM12" s="1032"/>
      <c r="BN12" s="1032"/>
      <c r="BO12" s="1032"/>
      <c r="BP12" s="1032"/>
      <c r="BQ12" s="1032"/>
      <c r="BR12" s="1032"/>
      <c r="BS12" s="1032"/>
      <c r="BT12" s="1032"/>
      <c r="BU12" s="1032"/>
      <c r="BV12" s="1032"/>
      <c r="BW12" s="1032"/>
      <c r="BX12" s="1032"/>
      <c r="BY12" s="1032"/>
      <c r="BZ12" s="1032"/>
      <c r="CA12" s="485"/>
      <c r="CB12" s="547">
        <v>10</v>
      </c>
      <c r="CC12" s="1481" t="b">
        <v>1</v>
      </c>
      <c r="CD12" t="str">
        <f>Table15[[#This Row],[Engineering Number]]&amp;Table15[[#This Row],[WO Number]]&amp;Table15[[#This Row],[Date Assigned to Designer]]&amp;Table15[[#This Row],[Date Completed]]</f>
        <v>SC16112-4359243616</v>
      </c>
    </row>
    <row r="13" spans="1:82" customFormat="1" ht="15" customHeight="1" x14ac:dyDescent="0.25">
      <c r="A13">
        <v>2019</v>
      </c>
      <c r="B13" s="8" t="s">
        <v>1205</v>
      </c>
      <c r="C13" s="8" t="s">
        <v>1943</v>
      </c>
      <c r="D13" s="8" t="s">
        <v>1944</v>
      </c>
      <c r="E13" s="8" t="s">
        <v>1945</v>
      </c>
      <c r="F13" s="8" t="s">
        <v>1895</v>
      </c>
      <c r="G13" s="8" t="s">
        <v>1896</v>
      </c>
      <c r="H13" s="8" t="s">
        <v>59</v>
      </c>
      <c r="I13" s="642">
        <v>43523</v>
      </c>
      <c r="J13" s="18">
        <v>43623</v>
      </c>
      <c r="K13" s="642">
        <v>43622</v>
      </c>
      <c r="L13" s="16">
        <f>IF(ISTEXT(Table15[[#This Row],[Engineering Approved Design Date]]),Table15[[#This Row],[Date Completed]]-Table15[[#This Row],[Date Assigned to Designer]],Table15[[#This Row],[Engineering Approved Design Date]]-Table15[[#This Row],[Date Completed]])</f>
        <v>1</v>
      </c>
      <c r="M13" s="642" t="s">
        <v>1946</v>
      </c>
      <c r="N13" s="642" t="s">
        <v>120</v>
      </c>
      <c r="O13" s="1025">
        <v>43622</v>
      </c>
      <c r="P13" s="21" t="s">
        <v>739</v>
      </c>
      <c r="Q13" s="340">
        <f>AA13*R13</f>
        <v>7542.7640999999985</v>
      </c>
      <c r="R13" s="1026">
        <v>0.09</v>
      </c>
      <c r="S13" s="538"/>
      <c r="T13" s="538"/>
      <c r="U13" s="28"/>
      <c r="V13" s="858">
        <v>940</v>
      </c>
      <c r="W13" s="437"/>
      <c r="X13" s="538">
        <v>89599.19</v>
      </c>
      <c r="Y13" s="551">
        <v>14607.6</v>
      </c>
      <c r="Z13" s="538">
        <v>8816.9</v>
      </c>
      <c r="AA13" s="538">
        <f>X13-Y13+Z13</f>
        <v>83808.489999999991</v>
      </c>
      <c r="AB13" s="21"/>
      <c r="AC13" s="569"/>
      <c r="AD13" s="1149"/>
      <c r="AE13" s="569"/>
      <c r="AF13" s="569"/>
      <c r="AG13" s="569"/>
      <c r="AH13" s="536"/>
      <c r="AI13" s="1028"/>
      <c r="AJ13" s="1029"/>
      <c r="AK13" s="1029"/>
      <c r="AL13" s="1030"/>
      <c r="AM13" s="1522" t="s">
        <v>116</v>
      </c>
      <c r="AN13" s="1523">
        <v>43657</v>
      </c>
      <c r="AO13" s="1524">
        <v>174954</v>
      </c>
      <c r="AP13" s="1525">
        <v>92447.14</v>
      </c>
      <c r="AQ13" s="1525">
        <v>14607.6</v>
      </c>
      <c r="AR13" s="1525">
        <v>8816.9</v>
      </c>
      <c r="AS13" s="1525">
        <f>IF(Table15[[#This Row],[PCTS Approved]]="N",0,Table15[[#This Row],[Investment Amount (1'#'#'#'#'#)]]+Table15[[#This Row],[Retirement Amount (3'#'#'#'#'#)]])</f>
        <v>101264.04</v>
      </c>
      <c r="AT13" s="1525">
        <f>IF(Table15[[#This Row],[Approved Construction Cost]]=0,0,Table15[[#This Row],[Approved Construction Cost]]-Table15[[#This Row],[Construction Cost to Bill From]])</f>
        <v>17455.550000000003</v>
      </c>
      <c r="AU13" s="1525">
        <f>Table15[[#This Row],[Difference in Construction Cost]]*Table15[[#This Row],[Rate]]</f>
        <v>1570.9995000000001</v>
      </c>
      <c r="AV13" s="1525">
        <v>0</v>
      </c>
      <c r="AW13" s="1526" t="s">
        <v>1947</v>
      </c>
      <c r="AX13" s="1525"/>
      <c r="AY13" s="1518">
        <v>43983</v>
      </c>
      <c r="AZ13" s="333"/>
      <c r="BA13" s="1031" t="s">
        <v>1948</v>
      </c>
      <c r="BB13" s="644" t="s">
        <v>1949</v>
      </c>
      <c r="BC13" s="544"/>
      <c r="BD13" s="544"/>
      <c r="BE13" s="544"/>
      <c r="BF13" s="544"/>
      <c r="BG13" s="544"/>
      <c r="BH13" s="741"/>
      <c r="BI13" s="547" t="s">
        <v>709</v>
      </c>
      <c r="BJ13" s="547" t="s">
        <v>709</v>
      </c>
      <c r="BK13" s="547" t="s">
        <v>709</v>
      </c>
      <c r="BL13" s="547" t="s">
        <v>116</v>
      </c>
      <c r="BM13" s="547" t="s">
        <v>709</v>
      </c>
      <c r="BN13" s="547" t="s">
        <v>709</v>
      </c>
      <c r="BO13" s="547" t="s">
        <v>709</v>
      </c>
      <c r="BP13" s="547" t="s">
        <v>709</v>
      </c>
      <c r="BQ13" s="547" t="s">
        <v>709</v>
      </c>
      <c r="BR13" s="547" t="s">
        <v>709</v>
      </c>
      <c r="BS13" s="547">
        <v>940</v>
      </c>
      <c r="BT13" s="547" t="s">
        <v>709</v>
      </c>
      <c r="BU13" s="547" t="s">
        <v>709</v>
      </c>
      <c r="BV13" s="547" t="s">
        <v>709</v>
      </c>
      <c r="BW13" s="547" t="s">
        <v>709</v>
      </c>
      <c r="BX13" s="547" t="s">
        <v>709</v>
      </c>
      <c r="BY13" s="547" t="s">
        <v>709</v>
      </c>
      <c r="BZ13" s="547" t="s">
        <v>709</v>
      </c>
      <c r="CA13" s="483"/>
      <c r="CB13" s="547">
        <v>11</v>
      </c>
      <c r="CC13" s="1481" t="b">
        <v>1</v>
      </c>
      <c r="CD13" t="str">
        <f>Table15[[#This Row],[Engineering Number]]&amp;Table15[[#This Row],[WO Number]]&amp;Table15[[#This Row],[Date Assigned to Designer]]&amp;Table15[[#This Row],[Date Completed]]</f>
        <v>MR12211406994352343622</v>
      </c>
    </row>
    <row r="14" spans="1:82" customFormat="1" ht="15" customHeight="1" x14ac:dyDescent="0.25">
      <c r="A14">
        <v>2019</v>
      </c>
      <c r="B14" s="8" t="s">
        <v>4</v>
      </c>
      <c r="C14" s="8" t="s">
        <v>1951</v>
      </c>
      <c r="D14" s="8" t="s">
        <v>1952</v>
      </c>
      <c r="E14" s="8" t="s">
        <v>1154</v>
      </c>
      <c r="F14" s="8" t="s">
        <v>1895</v>
      </c>
      <c r="G14" s="8" t="s">
        <v>1896</v>
      </c>
      <c r="H14" s="8" t="s">
        <v>59</v>
      </c>
      <c r="I14" s="642">
        <v>43557</v>
      </c>
      <c r="J14" s="18">
        <v>43623</v>
      </c>
      <c r="K14" s="642">
        <v>43622</v>
      </c>
      <c r="L14" s="16">
        <f>IF(ISTEXT(Table15[[#This Row],[Engineering Approved Design Date]]),Table15[[#This Row],[Date Completed]]-Table15[[#This Row],[Date Assigned to Designer]],Table15[[#This Row],[Engineering Approved Design Date]]-Table15[[#This Row],[Date Completed]])</f>
        <v>1</v>
      </c>
      <c r="M14" s="642"/>
      <c r="N14" s="642" t="s">
        <v>120</v>
      </c>
      <c r="O14" s="1025">
        <v>43622</v>
      </c>
      <c r="P14" s="21" t="s">
        <v>739</v>
      </c>
      <c r="Q14" s="340">
        <f>AA14*R14</f>
        <v>580.72910000000002</v>
      </c>
      <c r="R14" s="1026">
        <v>7.0000000000000007E-2</v>
      </c>
      <c r="S14" s="538"/>
      <c r="T14" s="538"/>
      <c r="U14" s="28"/>
      <c r="V14" s="858" t="s">
        <v>115</v>
      </c>
      <c r="W14" s="437"/>
      <c r="X14" s="538">
        <v>0</v>
      </c>
      <c r="Y14" s="551">
        <v>0</v>
      </c>
      <c r="Z14" s="538">
        <v>8296.1299999999992</v>
      </c>
      <c r="AA14" s="538">
        <f>X14-Y14+Z14</f>
        <v>8296.1299999999992</v>
      </c>
      <c r="AB14" s="21"/>
      <c r="AC14" s="569"/>
      <c r="AD14" s="1149"/>
      <c r="AE14" s="580"/>
      <c r="AF14" s="580"/>
      <c r="AG14" s="580"/>
      <c r="AH14" s="542"/>
      <c r="AI14" s="1028"/>
      <c r="AJ14" s="1029"/>
      <c r="AK14" s="1029"/>
      <c r="AL14" s="1030"/>
      <c r="AM14" s="1522" t="s">
        <v>116</v>
      </c>
      <c r="AN14" s="1523">
        <v>43630</v>
      </c>
      <c r="AO14" s="1524">
        <v>177412</v>
      </c>
      <c r="AP14" s="1525">
        <v>0</v>
      </c>
      <c r="AQ14" s="1525">
        <v>0</v>
      </c>
      <c r="AR14" s="1525">
        <v>8296.1299999999992</v>
      </c>
      <c r="AS14" s="1525">
        <f>IF(Table15[[#This Row],[PCTS Approved]]="N",0,Table15[[#This Row],[Investment Amount (1'#'#'#'#'#)]]+Table15[[#This Row],[Retirement Amount (3'#'#'#'#'#)]])</f>
        <v>8296.1299999999992</v>
      </c>
      <c r="AT14" s="1525">
        <f>IF(Table15[[#This Row],[Approved Construction Cost]]=0,0,Table15[[#This Row],[Approved Construction Cost]]-Table15[[#This Row],[Construction Cost to Bill From]])</f>
        <v>0</v>
      </c>
      <c r="AU14" s="1525">
        <f>Table15[[#This Row],[Difference in Construction Cost]]*Table15[[#This Row],[Rate]]</f>
        <v>0</v>
      </c>
      <c r="AV14" s="1525">
        <v>0</v>
      </c>
      <c r="AW14" s="1526" t="s">
        <v>29</v>
      </c>
      <c r="AX14" s="1525"/>
      <c r="AY14" s="1518">
        <v>43983</v>
      </c>
      <c r="AZ14" s="333"/>
      <c r="BA14" s="1031" t="s">
        <v>1953</v>
      </c>
      <c r="BB14" s="644" t="s">
        <v>1954</v>
      </c>
      <c r="BC14" s="544"/>
      <c r="BD14" s="544"/>
      <c r="BE14" s="544"/>
      <c r="BF14" s="544"/>
      <c r="BG14" s="544"/>
      <c r="BH14" s="741"/>
      <c r="BI14" s="547" t="s">
        <v>709</v>
      </c>
      <c r="BJ14" s="547" t="s">
        <v>709</v>
      </c>
      <c r="BK14" s="547" t="s">
        <v>709</v>
      </c>
      <c r="BL14" s="547" t="s">
        <v>709</v>
      </c>
      <c r="BM14" s="547" t="s">
        <v>709</v>
      </c>
      <c r="BN14" s="547" t="s">
        <v>709</v>
      </c>
      <c r="BO14" s="547" t="s">
        <v>709</v>
      </c>
      <c r="BP14" s="547" t="s">
        <v>709</v>
      </c>
      <c r="BQ14" s="547" t="s">
        <v>709</v>
      </c>
      <c r="BR14" s="547" t="s">
        <v>709</v>
      </c>
      <c r="BS14" s="547" t="s">
        <v>709</v>
      </c>
      <c r="BT14" s="547" t="s">
        <v>709</v>
      </c>
      <c r="BU14" s="547" t="s">
        <v>709</v>
      </c>
      <c r="BV14" s="547" t="s">
        <v>709</v>
      </c>
      <c r="BW14" s="547" t="s">
        <v>709</v>
      </c>
      <c r="BX14" s="547" t="s">
        <v>709</v>
      </c>
      <c r="BY14" s="547" t="s">
        <v>709</v>
      </c>
      <c r="BZ14" s="547" t="s">
        <v>709</v>
      </c>
      <c r="CA14" s="483" t="s">
        <v>1146</v>
      </c>
      <c r="CB14" s="547">
        <v>12</v>
      </c>
      <c r="CC14" s="1481" t="b">
        <v>1</v>
      </c>
      <c r="CD14" t="str">
        <f>Table15[[#This Row],[Engineering Number]]&amp;Table15[[#This Row],[WO Number]]&amp;Table15[[#This Row],[Date Assigned to Designer]]&amp;Table15[[#This Row],[Date Completed]]</f>
        <v>SC164373407224355743622</v>
      </c>
    </row>
    <row r="15" spans="1:82" customFormat="1" ht="15" customHeight="1" x14ac:dyDescent="0.25">
      <c r="A15">
        <v>2019</v>
      </c>
      <c r="B15" s="8" t="s">
        <v>4</v>
      </c>
      <c r="C15" s="8" t="s">
        <v>1956</v>
      </c>
      <c r="D15" s="8" t="s">
        <v>115</v>
      </c>
      <c r="E15" s="8" t="s">
        <v>1957</v>
      </c>
      <c r="F15" s="8" t="s">
        <v>325</v>
      </c>
      <c r="G15" s="8" t="s">
        <v>1896</v>
      </c>
      <c r="H15" s="8" t="s">
        <v>1681</v>
      </c>
      <c r="I15" s="642">
        <v>43560</v>
      </c>
      <c r="J15" s="18">
        <v>43649</v>
      </c>
      <c r="K15" s="642">
        <v>43623</v>
      </c>
      <c r="L15" s="16">
        <f>IF(ISTEXT(Table15[[#This Row],[Engineering Approved Design Date]]),Table15[[#This Row],[Date Completed]]-Table15[[#This Row],[Date Assigned to Designer]],Table15[[#This Row],[Engineering Approved Design Date]]-Table15[[#This Row],[Date Completed]])</f>
        <v>26</v>
      </c>
      <c r="M15" s="642" t="s">
        <v>1909</v>
      </c>
      <c r="N15" s="642" t="s">
        <v>120</v>
      </c>
      <c r="O15" s="1025">
        <v>43623</v>
      </c>
      <c r="P15" s="21" t="s">
        <v>739</v>
      </c>
      <c r="Q15" s="340" t="s">
        <v>115</v>
      </c>
      <c r="R15" s="1026" t="s">
        <v>115</v>
      </c>
      <c r="S15" s="538"/>
      <c r="T15" s="538"/>
      <c r="U15" s="28"/>
      <c r="V15" s="858"/>
      <c r="W15" s="437"/>
      <c r="X15" s="538" t="s">
        <v>115</v>
      </c>
      <c r="Y15" s="551" t="s">
        <v>115</v>
      </c>
      <c r="Z15" s="538" t="s">
        <v>115</v>
      </c>
      <c r="AA15" s="538">
        <v>0</v>
      </c>
      <c r="AB15" s="21"/>
      <c r="AC15" s="569"/>
      <c r="AD15" s="1149"/>
      <c r="AE15" s="580"/>
      <c r="AF15" s="580"/>
      <c r="AG15" s="580"/>
      <c r="AH15" s="542"/>
      <c r="AI15" s="1028"/>
      <c r="AJ15" s="1029"/>
      <c r="AK15" s="1029"/>
      <c r="AL15" s="1030"/>
      <c r="AM15" s="542" t="s">
        <v>709</v>
      </c>
      <c r="AN15" s="924"/>
      <c r="AO15" s="925"/>
      <c r="AP15" s="926"/>
      <c r="AQ15" s="926"/>
      <c r="AR15" s="926"/>
      <c r="AS15" s="926"/>
      <c r="AT15" s="926"/>
      <c r="AU15" s="926"/>
      <c r="AV15" s="926"/>
      <c r="AW15" s="927"/>
      <c r="AX15" s="926"/>
      <c r="AY15" s="1538" t="s">
        <v>29</v>
      </c>
      <c r="AZ15" s="1530"/>
      <c r="BA15" s="1031" t="s">
        <v>1958</v>
      </c>
      <c r="BB15" s="644" t="s">
        <v>1900</v>
      </c>
      <c r="BC15" s="544"/>
      <c r="BD15" s="544"/>
      <c r="BE15" s="544"/>
      <c r="BF15" s="544"/>
      <c r="BG15" s="544"/>
      <c r="BH15" s="741"/>
      <c r="BI15" s="1032"/>
      <c r="BJ15" s="1032"/>
      <c r="BK15" s="1032"/>
      <c r="BL15" s="1032"/>
      <c r="BM15" s="1032"/>
      <c r="BN15" s="1032"/>
      <c r="BO15" s="1032"/>
      <c r="BP15" s="1032"/>
      <c r="BQ15" s="1032"/>
      <c r="BR15" s="1032"/>
      <c r="BS15" s="1032"/>
      <c r="BT15" s="1032"/>
      <c r="BU15" s="1032"/>
      <c r="BV15" s="1032"/>
      <c r="BW15" s="1032"/>
      <c r="BX15" s="1032"/>
      <c r="BY15" s="1032"/>
      <c r="BZ15" s="1032" t="s">
        <v>709</v>
      </c>
      <c r="CA15" s="485"/>
      <c r="CB15" s="547">
        <v>13</v>
      </c>
      <c r="CC15" s="1481" t="b">
        <v>1</v>
      </c>
      <c r="CD15" t="str">
        <f>Table15[[#This Row],[Engineering Number]]&amp;Table15[[#This Row],[WO Number]]&amp;Table15[[#This Row],[Date Assigned to Designer]]&amp;Table15[[#This Row],[Date Completed]]</f>
        <v>SC16425-4356043623</v>
      </c>
    </row>
    <row r="16" spans="1:82" customFormat="1" ht="15" customHeight="1" x14ac:dyDescent="0.25">
      <c r="A16">
        <v>2019</v>
      </c>
      <c r="B16" s="8" t="s">
        <v>4</v>
      </c>
      <c r="C16" s="8" t="s">
        <v>1960</v>
      </c>
      <c r="D16" s="8" t="s">
        <v>1961</v>
      </c>
      <c r="E16" s="8" t="s">
        <v>245</v>
      </c>
      <c r="F16" s="8" t="s">
        <v>325</v>
      </c>
      <c r="G16" s="8" t="s">
        <v>1896</v>
      </c>
      <c r="H16" s="8" t="s">
        <v>59</v>
      </c>
      <c r="I16" s="642">
        <v>43539</v>
      </c>
      <c r="J16" s="18">
        <v>43627</v>
      </c>
      <c r="K16" s="642">
        <v>43626</v>
      </c>
      <c r="L16" s="16">
        <f>IF(ISTEXT(Table15[[#This Row],[Engineering Approved Design Date]]),Table15[[#This Row],[Date Completed]]-Table15[[#This Row],[Date Assigned to Designer]],Table15[[#This Row],[Engineering Approved Design Date]]-Table15[[#This Row],[Date Completed]])</f>
        <v>1</v>
      </c>
      <c r="M16" s="642" t="s">
        <v>1962</v>
      </c>
      <c r="N16" s="642" t="s">
        <v>120</v>
      </c>
      <c r="O16" s="1025">
        <v>43626</v>
      </c>
      <c r="P16" s="21" t="s">
        <v>739</v>
      </c>
      <c r="Q16" s="340">
        <f>AA16*R16</f>
        <v>3192.7700000000004</v>
      </c>
      <c r="R16" s="1026">
        <v>7.0000000000000007E-2</v>
      </c>
      <c r="S16" s="538"/>
      <c r="T16" s="538"/>
      <c r="U16" s="28"/>
      <c r="V16" s="858">
        <v>480</v>
      </c>
      <c r="W16" s="437"/>
      <c r="X16" s="538">
        <v>37088.61</v>
      </c>
      <c r="Y16" s="551">
        <v>0</v>
      </c>
      <c r="Z16" s="538">
        <v>8522.39</v>
      </c>
      <c r="AA16" s="538">
        <f>X16-Y16+Z16</f>
        <v>45611</v>
      </c>
      <c r="AB16" s="21"/>
      <c r="AC16" s="569"/>
      <c r="AD16" s="1149"/>
      <c r="AE16" s="580"/>
      <c r="AF16" s="580"/>
      <c r="AG16" s="580"/>
      <c r="AH16" s="542"/>
      <c r="AI16" s="1028"/>
      <c r="AJ16" s="1029"/>
      <c r="AK16" s="1029"/>
      <c r="AL16" s="1030"/>
      <c r="AM16" s="1522" t="s">
        <v>116</v>
      </c>
      <c r="AN16" s="1523">
        <v>43678</v>
      </c>
      <c r="AO16" s="1524">
        <v>178257</v>
      </c>
      <c r="AP16" s="1525">
        <v>47652.92</v>
      </c>
      <c r="AQ16" s="1525">
        <v>0</v>
      </c>
      <c r="AR16" s="1525">
        <v>10090.370000000001</v>
      </c>
      <c r="AS16" s="1525">
        <f>IF(Table15[[#This Row],[PCTS Approved]]="N",0,Table15[[#This Row],[Investment Amount (1'#'#'#'#'#)]]+Table15[[#This Row],[Retirement Amount (3'#'#'#'#'#)]])</f>
        <v>57743.29</v>
      </c>
      <c r="AT16" s="1525">
        <f>IF(Table15[[#This Row],[Approved Construction Cost]]=0,0,Table15[[#This Row],[Approved Construction Cost]]-Table15[[#This Row],[Construction Cost to Bill From]])</f>
        <v>12132.29</v>
      </c>
      <c r="AU16" s="1525">
        <f>Table15[[#This Row],[Difference in Construction Cost]]*Table15[[#This Row],[Rate]]</f>
        <v>849.26030000000014</v>
      </c>
      <c r="AV16" s="1525">
        <v>0</v>
      </c>
      <c r="AW16" s="1526" t="s">
        <v>1963</v>
      </c>
      <c r="AX16" s="1525"/>
      <c r="AY16" s="1518">
        <v>43983</v>
      </c>
      <c r="AZ16" s="333"/>
      <c r="BA16" s="1031" t="s">
        <v>1964</v>
      </c>
      <c r="BB16" s="644" t="s">
        <v>1965</v>
      </c>
      <c r="BC16" s="544"/>
      <c r="BD16" s="544"/>
      <c r="BE16" s="544"/>
      <c r="BF16" s="544"/>
      <c r="BG16" s="544"/>
      <c r="BH16" s="741"/>
      <c r="BI16" s="547" t="s">
        <v>709</v>
      </c>
      <c r="BJ16" s="547" t="s">
        <v>709</v>
      </c>
      <c r="BK16" s="547" t="s">
        <v>709</v>
      </c>
      <c r="BL16" s="547" t="s">
        <v>116</v>
      </c>
      <c r="BM16" s="547" t="s">
        <v>709</v>
      </c>
      <c r="BN16" s="547" t="s">
        <v>709</v>
      </c>
      <c r="BO16" s="547" t="s">
        <v>709</v>
      </c>
      <c r="BP16" s="547" t="s">
        <v>709</v>
      </c>
      <c r="BQ16" s="547" t="s">
        <v>709</v>
      </c>
      <c r="BR16" s="547">
        <v>480</v>
      </c>
      <c r="BS16" s="547" t="s">
        <v>709</v>
      </c>
      <c r="BT16" s="547" t="s">
        <v>709</v>
      </c>
      <c r="BU16" s="547" t="s">
        <v>709</v>
      </c>
      <c r="BV16" s="547" t="s">
        <v>709</v>
      </c>
      <c r="BW16" s="547" t="s">
        <v>709</v>
      </c>
      <c r="BX16" s="547" t="s">
        <v>709</v>
      </c>
      <c r="BY16" s="547" t="s">
        <v>709</v>
      </c>
      <c r="BZ16" s="547" t="s">
        <v>709</v>
      </c>
      <c r="CA16" s="483"/>
      <c r="CB16" s="547">
        <v>14</v>
      </c>
      <c r="CC16" s="1481" t="b">
        <v>1</v>
      </c>
      <c r="CD16" t="str">
        <f>Table15[[#This Row],[Engineering Number]]&amp;Table15[[#This Row],[WO Number]]&amp;Table15[[#This Row],[Date Assigned to Designer]]&amp;Table15[[#This Row],[Date Completed]]</f>
        <v>N123801290634353943626</v>
      </c>
    </row>
    <row r="17" spans="1:86" customFormat="1" ht="15" customHeight="1" x14ac:dyDescent="0.25">
      <c r="A17">
        <v>2019</v>
      </c>
      <c r="B17" s="8" t="s">
        <v>4</v>
      </c>
      <c r="C17" s="8" t="s">
        <v>1967</v>
      </c>
      <c r="D17" s="8" t="s">
        <v>1968</v>
      </c>
      <c r="E17" s="8" t="s">
        <v>1969</v>
      </c>
      <c r="F17" s="8" t="s">
        <v>325</v>
      </c>
      <c r="G17" s="8" t="s">
        <v>1896</v>
      </c>
      <c r="H17" s="8" t="s">
        <v>59</v>
      </c>
      <c r="I17" s="642">
        <v>43584</v>
      </c>
      <c r="J17" s="18">
        <v>43630</v>
      </c>
      <c r="K17" s="642">
        <v>43629</v>
      </c>
      <c r="L17" s="16">
        <f>IF(ISTEXT(Table15[[#This Row],[Engineering Approved Design Date]]),Table15[[#This Row],[Date Completed]]-Table15[[#This Row],[Date Assigned to Designer]],Table15[[#This Row],[Engineering Approved Design Date]]-Table15[[#This Row],[Date Completed]])</f>
        <v>1</v>
      </c>
      <c r="M17" s="642" t="s">
        <v>1970</v>
      </c>
      <c r="N17" s="642" t="s">
        <v>120</v>
      </c>
      <c r="O17" s="1025">
        <v>43629</v>
      </c>
      <c r="P17" s="21" t="s">
        <v>739</v>
      </c>
      <c r="Q17" s="340">
        <f>AA17*R17</f>
        <v>2591.7269000000001</v>
      </c>
      <c r="R17" s="1026">
        <v>7.0000000000000007E-2</v>
      </c>
      <c r="S17" s="538"/>
      <c r="T17" s="538"/>
      <c r="U17" s="28"/>
      <c r="V17" s="858">
        <v>150</v>
      </c>
      <c r="W17" s="437"/>
      <c r="X17" s="538">
        <v>32056.57</v>
      </c>
      <c r="Y17" s="551">
        <v>2257.5</v>
      </c>
      <c r="Z17" s="538">
        <v>7225.6</v>
      </c>
      <c r="AA17" s="538">
        <f>X17-Y17+Z17</f>
        <v>37024.67</v>
      </c>
      <c r="AB17" s="21"/>
      <c r="AC17" s="569"/>
      <c r="AD17" s="1149"/>
      <c r="AE17" s="580"/>
      <c r="AF17" s="580"/>
      <c r="AG17" s="580"/>
      <c r="AH17" s="542"/>
      <c r="AI17" s="1028"/>
      <c r="AJ17" s="1029"/>
      <c r="AK17" s="1029"/>
      <c r="AL17" s="1030"/>
      <c r="AM17" s="1522" t="s">
        <v>116</v>
      </c>
      <c r="AN17" s="1523">
        <v>43679</v>
      </c>
      <c r="AO17" s="1524">
        <v>178078</v>
      </c>
      <c r="AP17" s="1525">
        <v>35731.160000000003</v>
      </c>
      <c r="AQ17" s="1525">
        <v>2331</v>
      </c>
      <c r="AR17" s="1525">
        <v>7443.38</v>
      </c>
      <c r="AS17" s="1525">
        <f>IF(Table15[[#This Row],[PCTS Approved]]="N",0,Table15[[#This Row],[Investment Amount (1'#'#'#'#'#)]]+Table15[[#This Row],[Retirement Amount (3'#'#'#'#'#)]])</f>
        <v>43174.54</v>
      </c>
      <c r="AT17" s="1525">
        <f>IF(Table15[[#This Row],[Approved Construction Cost]]=0,0,Table15[[#This Row],[Approved Construction Cost]]-Table15[[#This Row],[Construction Cost to Bill From]])</f>
        <v>6149.8700000000026</v>
      </c>
      <c r="AU17" s="1525">
        <f>Table15[[#This Row],[Difference in Construction Cost]]*Table15[[#This Row],[Rate]]</f>
        <v>430.49090000000024</v>
      </c>
      <c r="AV17" s="1525">
        <v>0</v>
      </c>
      <c r="AW17" s="1526" t="s">
        <v>1971</v>
      </c>
      <c r="AX17" s="1525"/>
      <c r="AY17" s="1518">
        <v>43983</v>
      </c>
      <c r="AZ17" s="333"/>
      <c r="BA17" s="1031" t="s">
        <v>1972</v>
      </c>
      <c r="BB17" s="644" t="s">
        <v>1973</v>
      </c>
      <c r="BC17" s="544"/>
      <c r="BD17" s="544"/>
      <c r="BE17" s="544"/>
      <c r="BF17" s="544"/>
      <c r="BG17" s="544"/>
      <c r="BH17" s="741"/>
      <c r="BI17" s="547" t="s">
        <v>709</v>
      </c>
      <c r="BJ17" s="547" t="s">
        <v>709</v>
      </c>
      <c r="BK17" s="547" t="s">
        <v>709</v>
      </c>
      <c r="BL17" s="547" t="s">
        <v>116</v>
      </c>
      <c r="BM17" s="547" t="s">
        <v>709</v>
      </c>
      <c r="BN17" s="547" t="s">
        <v>709</v>
      </c>
      <c r="BO17" s="547" t="s">
        <v>709</v>
      </c>
      <c r="BP17" s="547" t="s">
        <v>709</v>
      </c>
      <c r="BQ17" s="547" t="s">
        <v>709</v>
      </c>
      <c r="BR17" s="547" t="s">
        <v>709</v>
      </c>
      <c r="BS17" s="547">
        <v>150</v>
      </c>
      <c r="BT17" s="547" t="s">
        <v>709</v>
      </c>
      <c r="BU17" s="547" t="s">
        <v>709</v>
      </c>
      <c r="BV17" s="547" t="s">
        <v>709</v>
      </c>
      <c r="BW17" s="547" t="s">
        <v>709</v>
      </c>
      <c r="BX17" s="547" t="s">
        <v>709</v>
      </c>
      <c r="BY17" s="547" t="s">
        <v>709</v>
      </c>
      <c r="BZ17" s="547" t="s">
        <v>709</v>
      </c>
      <c r="CA17" s="483"/>
      <c r="CB17" s="547">
        <v>15</v>
      </c>
      <c r="CC17" s="1481" t="b">
        <v>1</v>
      </c>
      <c r="CD17" t="str">
        <f>Table15[[#This Row],[Engineering Number]]&amp;Table15[[#This Row],[WO Number]]&amp;Table15[[#This Row],[Date Assigned to Designer]]&amp;Table15[[#This Row],[Date Completed]]</f>
        <v>SC165721407284358443629</v>
      </c>
    </row>
    <row r="18" spans="1:86" customFormat="1" ht="15" customHeight="1" x14ac:dyDescent="0.25">
      <c r="A18">
        <v>2019</v>
      </c>
      <c r="B18" s="8" t="s">
        <v>1981</v>
      </c>
      <c r="C18" s="8" t="s">
        <v>1982</v>
      </c>
      <c r="D18" s="8" t="s">
        <v>115</v>
      </c>
      <c r="E18" s="8" t="s">
        <v>141</v>
      </c>
      <c r="F18" s="8" t="s">
        <v>1983</v>
      </c>
      <c r="G18" s="8" t="s">
        <v>1896</v>
      </c>
      <c r="H18" s="8" t="s">
        <v>59</v>
      </c>
      <c r="I18" s="642">
        <v>43584</v>
      </c>
      <c r="J18" s="18">
        <v>43637</v>
      </c>
      <c r="K18" s="642">
        <v>43637</v>
      </c>
      <c r="L18" s="16">
        <f>IF(ISTEXT(Table15[[#This Row],[Engineering Approved Design Date]]),Table15[[#This Row],[Date Completed]]-Table15[[#This Row],[Date Assigned to Designer]],Table15[[#This Row],[Engineering Approved Design Date]]-Table15[[#This Row],[Date Completed]])</f>
        <v>0</v>
      </c>
      <c r="M18" s="642" t="s">
        <v>1984</v>
      </c>
      <c r="N18" s="642" t="s">
        <v>120</v>
      </c>
      <c r="O18" s="1025">
        <v>43637</v>
      </c>
      <c r="P18" s="21" t="s">
        <v>739</v>
      </c>
      <c r="Q18" s="340" t="s">
        <v>1922</v>
      </c>
      <c r="R18" s="1026" t="s">
        <v>1922</v>
      </c>
      <c r="S18" s="538"/>
      <c r="T18" s="538"/>
      <c r="U18" s="28"/>
      <c r="V18" s="858"/>
      <c r="W18" s="437"/>
      <c r="X18" s="538" t="s">
        <v>115</v>
      </c>
      <c r="Y18" s="551" t="s">
        <v>115</v>
      </c>
      <c r="Z18" s="538" t="s">
        <v>115</v>
      </c>
      <c r="AA18" s="538" t="s">
        <v>115</v>
      </c>
      <c r="AB18" s="21"/>
      <c r="AC18" s="569"/>
      <c r="AD18" s="1149"/>
      <c r="AE18" s="580"/>
      <c r="AF18" s="580"/>
      <c r="AG18" s="580"/>
      <c r="AH18" s="542"/>
      <c r="AI18" s="1028"/>
      <c r="AJ18" s="1029"/>
      <c r="AK18" s="1029"/>
      <c r="AL18" s="1030"/>
      <c r="AM18" s="542" t="s">
        <v>709</v>
      </c>
      <c r="AN18" s="924"/>
      <c r="AO18" s="925"/>
      <c r="AP18" s="926"/>
      <c r="AQ18" s="926"/>
      <c r="AR18" s="926"/>
      <c r="AS18" s="926"/>
      <c r="AT18" s="926"/>
      <c r="AU18" s="926"/>
      <c r="AV18" s="926"/>
      <c r="AW18" s="927"/>
      <c r="AX18" s="926"/>
      <c r="AY18" s="1538" t="s">
        <v>29</v>
      </c>
      <c r="AZ18" s="1530"/>
      <c r="BA18" s="1031" t="s">
        <v>1985</v>
      </c>
      <c r="BB18" s="644" t="s">
        <v>1986</v>
      </c>
      <c r="BC18" s="544"/>
      <c r="BD18" s="544"/>
      <c r="BE18" s="544"/>
      <c r="BF18" s="544"/>
      <c r="BG18" s="544"/>
      <c r="BH18" s="741"/>
      <c r="BI18" s="547"/>
      <c r="BJ18" s="547"/>
      <c r="BK18" s="547"/>
      <c r="BL18" s="547"/>
      <c r="BM18" s="547"/>
      <c r="BN18" s="547"/>
      <c r="BO18" s="547"/>
      <c r="BP18" s="547"/>
      <c r="BQ18" s="547"/>
      <c r="BR18" s="547"/>
      <c r="BS18" s="547"/>
      <c r="BT18" s="547"/>
      <c r="BU18" s="547"/>
      <c r="BV18" s="547"/>
      <c r="BW18" s="547"/>
      <c r="BX18" s="547"/>
      <c r="BY18" s="547"/>
      <c r="BZ18" s="547" t="s">
        <v>709</v>
      </c>
      <c r="CA18" s="483" t="s">
        <v>915</v>
      </c>
      <c r="CB18" s="547">
        <v>17</v>
      </c>
      <c r="CC18" s="1481" t="b">
        <v>1</v>
      </c>
      <c r="CD18" t="str">
        <f>Table15[[#This Row],[Engineering Number]]&amp;Table15[[#This Row],[WO Number]]&amp;Table15[[#This Row],[Date Assigned to Designer]]&amp;Table15[[#This Row],[Date Completed]]</f>
        <v>COR420-4358443637</v>
      </c>
    </row>
    <row r="19" spans="1:86" s="646" customFormat="1" ht="15" customHeight="1" x14ac:dyDescent="0.25">
      <c r="A19">
        <v>2019</v>
      </c>
      <c r="B19" s="8" t="s">
        <v>4</v>
      </c>
      <c r="C19" s="8" t="s">
        <v>1975</v>
      </c>
      <c r="D19" s="8" t="s">
        <v>1976</v>
      </c>
      <c r="E19" s="8" t="s">
        <v>111</v>
      </c>
      <c r="F19" s="8" t="s">
        <v>325</v>
      </c>
      <c r="G19" s="8" t="s">
        <v>1896</v>
      </c>
      <c r="H19" s="8" t="s">
        <v>59</v>
      </c>
      <c r="I19" s="642">
        <v>43468</v>
      </c>
      <c r="J19" s="18">
        <v>43630</v>
      </c>
      <c r="K19" s="642">
        <v>43637</v>
      </c>
      <c r="L19" s="16">
        <v>0</v>
      </c>
      <c r="M19" s="642" t="s">
        <v>1977</v>
      </c>
      <c r="N19" s="642" t="s">
        <v>120</v>
      </c>
      <c r="O19" s="1025">
        <v>43637</v>
      </c>
      <c r="P19" s="21" t="s">
        <v>739</v>
      </c>
      <c r="Q19" s="340">
        <f>AA19*R19</f>
        <v>5516.5613999999996</v>
      </c>
      <c r="R19" s="1026">
        <v>7.0000000000000007E-2</v>
      </c>
      <c r="S19" s="538"/>
      <c r="T19" s="538"/>
      <c r="U19" s="28"/>
      <c r="V19" s="858">
        <v>830</v>
      </c>
      <c r="W19" s="437"/>
      <c r="X19" s="538">
        <v>80008.899999999994</v>
      </c>
      <c r="Y19" s="551">
        <v>12491.5</v>
      </c>
      <c r="Z19" s="538">
        <v>11290.62</v>
      </c>
      <c r="AA19" s="538">
        <f>X19-Y19+Z19</f>
        <v>78808.01999999999</v>
      </c>
      <c r="AB19" s="21"/>
      <c r="AC19" s="569"/>
      <c r="AD19" s="1149"/>
      <c r="AE19" s="580"/>
      <c r="AF19" s="580"/>
      <c r="AG19" s="580"/>
      <c r="AH19" s="542"/>
      <c r="AI19" s="1028"/>
      <c r="AJ19" s="1029"/>
      <c r="AK19" s="1029"/>
      <c r="AL19" s="1030"/>
      <c r="AM19" s="1522" t="s">
        <v>116</v>
      </c>
      <c r="AN19" s="1523">
        <v>43682</v>
      </c>
      <c r="AO19" s="1524">
        <v>178191</v>
      </c>
      <c r="AP19" s="1525">
        <v>79410.7</v>
      </c>
      <c r="AQ19" s="1525">
        <v>12898.2</v>
      </c>
      <c r="AR19" s="1525">
        <v>11607.42</v>
      </c>
      <c r="AS19" s="1525">
        <f>IF(Table15[[#This Row],[PCTS Approved]]="N",0,Table15[[#This Row],[Investment Amount (1'#'#'#'#'#)]]+Table15[[#This Row],[Retirement Amount (3'#'#'#'#'#)]])</f>
        <v>91018.12</v>
      </c>
      <c r="AT19" s="1525">
        <f>IF(Table15[[#This Row],[Approved Construction Cost]]=0,0,Table15[[#This Row],[Approved Construction Cost]]-Table15[[#This Row],[Construction Cost to Bill From]])</f>
        <v>12210.100000000006</v>
      </c>
      <c r="AU19" s="1525">
        <f>Table15[[#This Row],[Difference in Construction Cost]]*Table15[[#This Row],[Rate]]</f>
        <v>854.70700000000045</v>
      </c>
      <c r="AV19" s="1525">
        <v>0</v>
      </c>
      <c r="AW19" s="1526" t="s">
        <v>1978</v>
      </c>
      <c r="AX19" s="1525"/>
      <c r="AY19" s="1518">
        <v>43983</v>
      </c>
      <c r="AZ19" s="333"/>
      <c r="BA19" s="1031" t="s">
        <v>1979</v>
      </c>
      <c r="BB19" s="644" t="s">
        <v>1900</v>
      </c>
      <c r="BC19" s="544"/>
      <c r="BD19" s="544"/>
      <c r="BE19" s="544"/>
      <c r="BF19" s="544"/>
      <c r="BG19" s="544"/>
      <c r="BH19" s="741"/>
      <c r="BI19" s="547" t="s">
        <v>709</v>
      </c>
      <c r="BJ19" s="547" t="s">
        <v>709</v>
      </c>
      <c r="BK19" s="547" t="s">
        <v>709</v>
      </c>
      <c r="BL19" s="547" t="s">
        <v>116</v>
      </c>
      <c r="BM19" s="547" t="s">
        <v>709</v>
      </c>
      <c r="BN19" s="547" t="s">
        <v>709</v>
      </c>
      <c r="BO19" s="547" t="s">
        <v>709</v>
      </c>
      <c r="BP19" s="547" t="s">
        <v>709</v>
      </c>
      <c r="BQ19" s="547" t="s">
        <v>709</v>
      </c>
      <c r="BR19" s="547" t="s">
        <v>709</v>
      </c>
      <c r="BS19" s="547">
        <v>830</v>
      </c>
      <c r="BT19" s="547" t="s">
        <v>709</v>
      </c>
      <c r="BU19" s="547" t="s">
        <v>709</v>
      </c>
      <c r="BV19" s="547" t="s">
        <v>709</v>
      </c>
      <c r="BW19" s="547" t="s">
        <v>709</v>
      </c>
      <c r="BX19" s="547" t="s">
        <v>709</v>
      </c>
      <c r="BY19" s="547" t="s">
        <v>709</v>
      </c>
      <c r="BZ19" s="547" t="s">
        <v>709</v>
      </c>
      <c r="CA19" s="483"/>
      <c r="CB19" s="547">
        <v>16</v>
      </c>
      <c r="CC19" s="1481" t="b">
        <v>1</v>
      </c>
      <c r="CD19" t="str">
        <f>Table15[[#This Row],[Engineering Number]]&amp;Table15[[#This Row],[WO Number]]&amp;Table15[[#This Row],[Date Assigned to Designer]]&amp;Table15[[#This Row],[Date Completed]]</f>
        <v>N121811290774346843637</v>
      </c>
      <c r="CF19" s="1794" t="s">
        <v>1988</v>
      </c>
      <c r="CG19" s="1794"/>
      <c r="CH19" s="1794"/>
    </row>
    <row r="20" spans="1:86" customFormat="1" ht="15" customHeight="1" x14ac:dyDescent="0.25">
      <c r="A20">
        <v>2019</v>
      </c>
      <c r="B20" s="8" t="s">
        <v>4</v>
      </c>
      <c r="C20" s="8" t="s">
        <v>1989</v>
      </c>
      <c r="D20" s="8" t="s">
        <v>1990</v>
      </c>
      <c r="E20" s="8" t="s">
        <v>1136</v>
      </c>
      <c r="F20" s="8" t="s">
        <v>325</v>
      </c>
      <c r="G20" s="8" t="s">
        <v>1896</v>
      </c>
      <c r="H20" s="8" t="s">
        <v>59</v>
      </c>
      <c r="I20" s="642">
        <v>43559</v>
      </c>
      <c r="J20" s="18">
        <v>43630</v>
      </c>
      <c r="K20" s="642">
        <v>43641</v>
      </c>
      <c r="L20" s="16">
        <v>0</v>
      </c>
      <c r="M20" s="642" t="s">
        <v>1991</v>
      </c>
      <c r="N20" s="642" t="s">
        <v>120</v>
      </c>
      <c r="O20" s="1025">
        <v>43641</v>
      </c>
      <c r="P20" s="21" t="s">
        <v>739</v>
      </c>
      <c r="Q20" s="340">
        <f>AA20*R20</f>
        <v>4658.3712000000005</v>
      </c>
      <c r="R20" s="1026">
        <v>7.0000000000000007E-2</v>
      </c>
      <c r="S20" s="538"/>
      <c r="T20" s="538"/>
      <c r="U20" s="28"/>
      <c r="V20" s="858">
        <v>785</v>
      </c>
      <c r="W20" s="437"/>
      <c r="X20" s="538">
        <v>70264.28</v>
      </c>
      <c r="Y20" s="551">
        <v>11814.25</v>
      </c>
      <c r="Z20" s="538">
        <v>8098.13</v>
      </c>
      <c r="AA20" s="538">
        <f>X20-Y20+Z20</f>
        <v>66548.160000000003</v>
      </c>
      <c r="AB20" s="21"/>
      <c r="AC20" s="569"/>
      <c r="AD20" s="1149"/>
      <c r="AE20" s="580"/>
      <c r="AF20" s="580"/>
      <c r="AG20" s="580"/>
      <c r="AH20" s="542"/>
      <c r="AI20" s="1028"/>
      <c r="AJ20" s="1029"/>
      <c r="AK20" s="1029"/>
      <c r="AL20" s="1030"/>
      <c r="AM20" s="1522" t="s">
        <v>116</v>
      </c>
      <c r="AN20" s="1523">
        <v>43714</v>
      </c>
      <c r="AO20" s="1524">
        <v>178743</v>
      </c>
      <c r="AP20" s="1525">
        <v>77820.22</v>
      </c>
      <c r="AQ20" s="1525">
        <v>12198.9</v>
      </c>
      <c r="AR20" s="1525">
        <v>14851.31</v>
      </c>
      <c r="AS20" s="1525">
        <f>IF(Table15[[#This Row],[PCTS Approved]]="N",0,Table15[[#This Row],[Investment Amount (1'#'#'#'#'#)]]+Table15[[#This Row],[Retirement Amount (3'#'#'#'#'#)]])</f>
        <v>92671.53</v>
      </c>
      <c r="AT20" s="1525">
        <f>IF(Table15[[#This Row],[Approved Construction Cost]]=0,0,Table15[[#This Row],[Approved Construction Cost]]-Table15[[#This Row],[Construction Cost to Bill From]])</f>
        <v>26123.369999999995</v>
      </c>
      <c r="AU20" s="1525">
        <f>Table15[[#This Row],[Difference in Construction Cost]]*Table15[[#This Row],[Rate]]</f>
        <v>1828.6358999999998</v>
      </c>
      <c r="AV20" s="1525">
        <v>0</v>
      </c>
      <c r="AW20" s="1526" t="s">
        <v>1992</v>
      </c>
      <c r="AX20" s="1525"/>
      <c r="AY20" s="1518">
        <v>43983</v>
      </c>
      <c r="AZ20" s="333"/>
      <c r="BA20" s="1031" t="s">
        <v>1993</v>
      </c>
      <c r="BB20" s="644" t="s">
        <v>1900</v>
      </c>
      <c r="BC20" s="544"/>
      <c r="BD20" s="544"/>
      <c r="BE20" s="544"/>
      <c r="BF20" s="544"/>
      <c r="BG20" s="544"/>
      <c r="BH20" s="741"/>
      <c r="BI20" s="547" t="s">
        <v>709</v>
      </c>
      <c r="BJ20" s="547" t="s">
        <v>709</v>
      </c>
      <c r="BK20" s="547" t="s">
        <v>709</v>
      </c>
      <c r="BL20" s="547" t="s">
        <v>116</v>
      </c>
      <c r="BM20" s="547" t="s">
        <v>709</v>
      </c>
      <c r="BN20" s="547" t="s">
        <v>709</v>
      </c>
      <c r="BO20" s="547" t="s">
        <v>709</v>
      </c>
      <c r="BP20" s="547" t="s">
        <v>709</v>
      </c>
      <c r="BQ20" s="547" t="s">
        <v>709</v>
      </c>
      <c r="BR20" s="547" t="s">
        <v>709</v>
      </c>
      <c r="BS20" s="547">
        <v>785</v>
      </c>
      <c r="BT20" s="547" t="s">
        <v>709</v>
      </c>
      <c r="BU20" s="547" t="s">
        <v>709</v>
      </c>
      <c r="BV20" s="547" t="s">
        <v>709</v>
      </c>
      <c r="BW20" s="547" t="s">
        <v>709</v>
      </c>
      <c r="BX20" s="547" t="s">
        <v>709</v>
      </c>
      <c r="BY20" s="547" t="s">
        <v>709</v>
      </c>
      <c r="BZ20" s="547" t="s">
        <v>709</v>
      </c>
      <c r="CA20" s="483"/>
      <c r="CB20" s="547">
        <v>18</v>
      </c>
      <c r="CC20" s="1481" t="b">
        <v>1</v>
      </c>
      <c r="CD20" t="str">
        <f>Table15[[#This Row],[Engineering Number]]&amp;Table15[[#This Row],[WO Number]]&amp;Table15[[#This Row],[Date Assigned to Designer]]&amp;Table15[[#This Row],[Date Completed]]</f>
        <v>N123991290824355943641</v>
      </c>
      <c r="CF20" s="1794"/>
      <c r="CG20" s="1794"/>
      <c r="CH20" s="1794"/>
    </row>
    <row r="21" spans="1:86" customFormat="1" ht="15" customHeight="1" x14ac:dyDescent="0.25">
      <c r="A21">
        <v>2019</v>
      </c>
      <c r="B21" s="8" t="s">
        <v>1981</v>
      </c>
      <c r="C21" s="8" t="s">
        <v>1995</v>
      </c>
      <c r="D21" s="8" t="s">
        <v>115</v>
      </c>
      <c r="E21" s="8" t="s">
        <v>232</v>
      </c>
      <c r="F21" s="8" t="s">
        <v>1983</v>
      </c>
      <c r="G21" s="8" t="s">
        <v>1896</v>
      </c>
      <c r="H21" s="8" t="s">
        <v>59</v>
      </c>
      <c r="I21" s="642">
        <v>43584</v>
      </c>
      <c r="J21" s="18">
        <v>43644</v>
      </c>
      <c r="K21" s="642">
        <v>43644</v>
      </c>
      <c r="L21" s="16">
        <f>IF(ISTEXT(Table15[[#This Row],[Engineering Approved Design Date]]),Table15[[#This Row],[Date Completed]]-Table15[[#This Row],[Date Assigned to Designer]],Table15[[#This Row],[Engineering Approved Design Date]]-Table15[[#This Row],[Date Completed]])</f>
        <v>0</v>
      </c>
      <c r="M21" s="642" t="s">
        <v>1984</v>
      </c>
      <c r="N21" s="642" t="s">
        <v>120</v>
      </c>
      <c r="O21" s="1025">
        <v>43644</v>
      </c>
      <c r="P21" s="21" t="s">
        <v>739</v>
      </c>
      <c r="Q21" s="340" t="s">
        <v>1922</v>
      </c>
      <c r="R21" s="1026" t="s">
        <v>1922</v>
      </c>
      <c r="S21" s="538"/>
      <c r="T21" s="538"/>
      <c r="U21" s="28"/>
      <c r="V21" s="858"/>
      <c r="W21" s="437"/>
      <c r="X21" s="538"/>
      <c r="Y21" s="551"/>
      <c r="Z21" s="538"/>
      <c r="AA21" s="538"/>
      <c r="AB21" s="21"/>
      <c r="AC21" s="569"/>
      <c r="AD21" s="1149"/>
      <c r="AE21" s="580"/>
      <c r="AF21" s="580"/>
      <c r="AG21" s="580"/>
      <c r="AH21" s="542"/>
      <c r="AI21" s="1028"/>
      <c r="AJ21" s="1029"/>
      <c r="AK21" s="1029"/>
      <c r="AL21" s="1030"/>
      <c r="AM21" s="542" t="s">
        <v>709</v>
      </c>
      <c r="AN21" s="924"/>
      <c r="AO21" s="925"/>
      <c r="AP21" s="926"/>
      <c r="AQ21" s="926"/>
      <c r="AR21" s="926"/>
      <c r="AS21" s="926"/>
      <c r="AT21" s="926"/>
      <c r="AU21" s="926"/>
      <c r="AV21" s="926"/>
      <c r="AW21" s="927"/>
      <c r="AX21" s="926"/>
      <c r="AY21" s="1538" t="s">
        <v>29</v>
      </c>
      <c r="AZ21" s="1530"/>
      <c r="BA21" s="1031" t="s">
        <v>1996</v>
      </c>
      <c r="BB21" s="644" t="s">
        <v>1986</v>
      </c>
      <c r="BC21" s="544"/>
      <c r="BD21" s="544"/>
      <c r="BE21" s="544"/>
      <c r="BF21" s="544"/>
      <c r="BG21" s="544"/>
      <c r="BH21" s="741"/>
      <c r="BI21" s="547"/>
      <c r="BJ21" s="547"/>
      <c r="BK21" s="547"/>
      <c r="BL21" s="547"/>
      <c r="BM21" s="547"/>
      <c r="BN21" s="547"/>
      <c r="BO21" s="547"/>
      <c r="BP21" s="547"/>
      <c r="BQ21" s="547"/>
      <c r="BR21" s="547"/>
      <c r="BS21" s="547"/>
      <c r="BT21" s="547"/>
      <c r="BU21" s="547"/>
      <c r="BV21" s="547"/>
      <c r="BW21" s="547"/>
      <c r="BX21" s="547"/>
      <c r="BY21" s="547"/>
      <c r="BZ21" s="547" t="s">
        <v>709</v>
      </c>
      <c r="CA21" s="483" t="s">
        <v>915</v>
      </c>
      <c r="CB21" s="547">
        <v>19</v>
      </c>
      <c r="CC21" s="1481" t="b">
        <v>1</v>
      </c>
      <c r="CD21" t="str">
        <f>Table15[[#This Row],[Engineering Number]]&amp;Table15[[#This Row],[WO Number]]&amp;Table15[[#This Row],[Date Assigned to Designer]]&amp;Table15[[#This Row],[Date Completed]]</f>
        <v>COR419-4358443644</v>
      </c>
      <c r="CF21" s="1794"/>
      <c r="CG21" s="1794"/>
      <c r="CH21" s="1794"/>
    </row>
    <row r="22" spans="1:86" customFormat="1" ht="15" customHeight="1" x14ac:dyDescent="0.25">
      <c r="A22">
        <v>2020</v>
      </c>
      <c r="B22" s="8" t="s">
        <v>771</v>
      </c>
      <c r="C22" s="8" t="s">
        <v>1998</v>
      </c>
      <c r="D22" s="8" t="s">
        <v>1999</v>
      </c>
      <c r="E22" s="8" t="s">
        <v>2000</v>
      </c>
      <c r="F22" s="8" t="s">
        <v>325</v>
      </c>
      <c r="G22" s="8" t="s">
        <v>1896</v>
      </c>
      <c r="H22" s="8" t="s">
        <v>59</v>
      </c>
      <c r="I22" s="642">
        <v>43584</v>
      </c>
      <c r="J22" s="18">
        <v>43630</v>
      </c>
      <c r="K22" s="642">
        <v>43647</v>
      </c>
      <c r="L22" s="16">
        <v>0</v>
      </c>
      <c r="M22" s="642" t="s">
        <v>2001</v>
      </c>
      <c r="N22" s="642" t="s">
        <v>120</v>
      </c>
      <c r="O22" s="1025">
        <v>43647</v>
      </c>
      <c r="P22" s="21" t="s">
        <v>120</v>
      </c>
      <c r="Q22" s="340">
        <f>AA22*R22</f>
        <v>19101.733199999999</v>
      </c>
      <c r="R22" s="1026">
        <v>0.09</v>
      </c>
      <c r="S22" s="538"/>
      <c r="T22" s="538"/>
      <c r="U22" s="1027"/>
      <c r="V22" s="1183">
        <v>2340</v>
      </c>
      <c r="W22" s="1185"/>
      <c r="X22" s="538">
        <v>219482.03</v>
      </c>
      <c r="Y22" s="551">
        <v>35217</v>
      </c>
      <c r="Z22" s="538">
        <v>27976.45</v>
      </c>
      <c r="AA22" s="538">
        <f>X22-Y22+Z22</f>
        <v>212241.48</v>
      </c>
      <c r="AB22" s="21"/>
      <c r="AC22" s="569"/>
      <c r="AD22" s="1149"/>
      <c r="AE22" s="569"/>
      <c r="AF22" s="569"/>
      <c r="AG22" s="569"/>
      <c r="AH22" s="536"/>
      <c r="AI22" s="1028"/>
      <c r="AJ22" s="1029"/>
      <c r="AK22" s="1029"/>
      <c r="AL22" s="1030"/>
      <c r="AM22" s="1522" t="s">
        <v>116</v>
      </c>
      <c r="AN22" s="1523">
        <v>43865</v>
      </c>
      <c r="AO22" s="1524">
        <v>181336</v>
      </c>
      <c r="AP22" s="1525">
        <v>438970.79</v>
      </c>
      <c r="AQ22" s="1525">
        <v>36363.599999999999</v>
      </c>
      <c r="AR22" s="1525">
        <v>28844.75</v>
      </c>
      <c r="AS22" s="1525">
        <f>IF(Table15[[#This Row],[PCTS Approved]]="N",0,Table15[[#This Row],[Investment Amount (1'#'#'#'#'#)]]+Table15[[#This Row],[Retirement Amount (3'#'#'#'#'#)]])</f>
        <v>467815.54</v>
      </c>
      <c r="AT22" s="1525">
        <f>IF(Table15[[#This Row],[Approved Construction Cost]]=0,0,Table15[[#This Row],[Approved Construction Cost]]-Table15[[#This Row],[Construction Cost to Bill From]])</f>
        <v>255574.05999999997</v>
      </c>
      <c r="AU22" s="1525">
        <f>Table15[[#This Row],[Difference in Construction Cost]]*Table15[[#This Row],[Rate]]</f>
        <v>23001.665399999998</v>
      </c>
      <c r="AV22" s="1525">
        <v>1540</v>
      </c>
      <c r="AW22" s="1526" t="s">
        <v>2002</v>
      </c>
      <c r="AX22" s="1525"/>
      <c r="AY22" s="1518">
        <v>43983</v>
      </c>
      <c r="AZ22" s="333"/>
      <c r="BA22" s="1031" t="s">
        <v>2003</v>
      </c>
      <c r="BB22" s="644" t="s">
        <v>2004</v>
      </c>
      <c r="BC22" s="544"/>
      <c r="BD22" s="544"/>
      <c r="BE22" s="544"/>
      <c r="BF22" s="544"/>
      <c r="BG22" s="544"/>
      <c r="BH22" s="741"/>
      <c r="BI22" s="547" t="s">
        <v>709</v>
      </c>
      <c r="BJ22" s="547" t="s">
        <v>709</v>
      </c>
      <c r="BK22" s="547" t="s">
        <v>709</v>
      </c>
      <c r="BL22" s="547" t="s">
        <v>116</v>
      </c>
      <c r="BM22" s="547" t="s">
        <v>709</v>
      </c>
      <c r="BN22" s="547" t="s">
        <v>709</v>
      </c>
      <c r="BO22" s="547" t="s">
        <v>709</v>
      </c>
      <c r="BP22" s="547" t="s">
        <v>709</v>
      </c>
      <c r="BQ22" s="547" t="s">
        <v>709</v>
      </c>
      <c r="BR22" s="547" t="s">
        <v>709</v>
      </c>
      <c r="BS22" s="547">
        <v>2340</v>
      </c>
      <c r="BT22" s="547" t="s">
        <v>709</v>
      </c>
      <c r="BU22" s="547" t="s">
        <v>709</v>
      </c>
      <c r="BV22" s="547" t="s">
        <v>709</v>
      </c>
      <c r="BW22" s="547" t="s">
        <v>709</v>
      </c>
      <c r="BX22" s="547" t="s">
        <v>709</v>
      </c>
      <c r="BY22" s="547" t="s">
        <v>709</v>
      </c>
      <c r="BZ22" s="547" t="s">
        <v>709</v>
      </c>
      <c r="CA22" s="483"/>
      <c r="CB22" s="547">
        <v>20</v>
      </c>
      <c r="CC22" s="1481" t="b">
        <v>1</v>
      </c>
      <c r="CD22" t="str">
        <f>Table15[[#This Row],[Engineering Number]]&amp;Table15[[#This Row],[WO Number]]&amp;Table15[[#This Row],[Date Assigned to Designer]]&amp;Table15[[#This Row],[Date Completed]]</f>
        <v>BS6001290504358443647</v>
      </c>
    </row>
    <row r="23" spans="1:86" customFormat="1" ht="15" customHeight="1" x14ac:dyDescent="0.25">
      <c r="A23">
        <v>2019</v>
      </c>
      <c r="B23" s="8" t="s">
        <v>1073</v>
      </c>
      <c r="C23" s="8" t="s">
        <v>2006</v>
      </c>
      <c r="D23" s="8" t="s">
        <v>2007</v>
      </c>
      <c r="E23" s="8" t="s">
        <v>2008</v>
      </c>
      <c r="F23" s="8" t="s">
        <v>325</v>
      </c>
      <c r="G23" s="8" t="s">
        <v>1896</v>
      </c>
      <c r="H23" s="8" t="s">
        <v>59</v>
      </c>
      <c r="I23" s="642">
        <v>43619</v>
      </c>
      <c r="J23" s="18">
        <v>43668</v>
      </c>
      <c r="K23" s="642">
        <v>43668</v>
      </c>
      <c r="L23" s="16">
        <f>IF(ISTEXT(Table15[[#This Row],[Engineering Approved Design Date]]),Table15[[#This Row],[Date Completed]]-Table15[[#This Row],[Date Assigned to Designer]],Table15[[#This Row],[Engineering Approved Design Date]]-Table15[[#This Row],[Date Completed]])</f>
        <v>0</v>
      </c>
      <c r="M23" s="642" t="s">
        <v>2009</v>
      </c>
      <c r="N23" s="642" t="s">
        <v>120</v>
      </c>
      <c r="O23" s="1025">
        <v>43668</v>
      </c>
      <c r="P23" s="21" t="s">
        <v>739</v>
      </c>
      <c r="Q23" s="340" t="s">
        <v>1922</v>
      </c>
      <c r="R23" s="1026" t="s">
        <v>1922</v>
      </c>
      <c r="S23" s="538"/>
      <c r="T23" s="538"/>
      <c r="U23" s="28"/>
      <c r="V23" s="858">
        <v>1130</v>
      </c>
      <c r="W23" s="437"/>
      <c r="X23" s="538">
        <v>75427.839999999997</v>
      </c>
      <c r="Y23" s="551">
        <v>17560.2</v>
      </c>
      <c r="Z23" s="538">
        <v>0</v>
      </c>
      <c r="AA23" s="538">
        <f>X23-Y23+Z23</f>
        <v>57867.64</v>
      </c>
      <c r="AB23" s="21"/>
      <c r="AC23" s="569"/>
      <c r="AD23" s="1149"/>
      <c r="AE23" s="569"/>
      <c r="AF23" s="569"/>
      <c r="AG23" s="569"/>
      <c r="AH23" s="536"/>
      <c r="AI23" s="1028"/>
      <c r="AJ23" s="1029"/>
      <c r="AK23" s="1029"/>
      <c r="AL23" s="1030"/>
      <c r="AM23" s="542" t="s">
        <v>709</v>
      </c>
      <c r="AN23" s="924"/>
      <c r="AO23" s="925"/>
      <c r="AP23" s="926"/>
      <c r="AQ23" s="926"/>
      <c r="AR23" s="926"/>
      <c r="AS23" s="926"/>
      <c r="AT23" s="926"/>
      <c r="AU23" s="926"/>
      <c r="AV23" s="926"/>
      <c r="AW23" s="927"/>
      <c r="AX23" s="926"/>
      <c r="AY23" s="1538" t="s">
        <v>29</v>
      </c>
      <c r="AZ23" s="1530"/>
      <c r="BA23" s="1031" t="s">
        <v>2010</v>
      </c>
      <c r="BB23" s="644"/>
      <c r="BC23" s="544"/>
      <c r="BD23" s="544"/>
      <c r="BE23" s="544"/>
      <c r="BF23" s="544"/>
      <c r="BG23" s="544"/>
      <c r="BH23" s="741"/>
      <c r="BI23" s="547" t="s">
        <v>709</v>
      </c>
      <c r="BJ23" s="547" t="s">
        <v>709</v>
      </c>
      <c r="BK23" s="547" t="s">
        <v>709</v>
      </c>
      <c r="BL23" s="547" t="s">
        <v>116</v>
      </c>
      <c r="BM23" s="547" t="s">
        <v>709</v>
      </c>
      <c r="BN23" s="547" t="s">
        <v>709</v>
      </c>
      <c r="BO23" s="547" t="s">
        <v>709</v>
      </c>
      <c r="BP23" s="547" t="s">
        <v>709</v>
      </c>
      <c r="BQ23" s="547" t="s">
        <v>709</v>
      </c>
      <c r="BR23" s="547">
        <v>1130</v>
      </c>
      <c r="BS23" s="547" t="s">
        <v>709</v>
      </c>
      <c r="BT23" s="547" t="s">
        <v>709</v>
      </c>
      <c r="BU23" s="547" t="s">
        <v>709</v>
      </c>
      <c r="BV23" s="547" t="s">
        <v>709</v>
      </c>
      <c r="BW23" s="547" t="s">
        <v>709</v>
      </c>
      <c r="BX23" s="547" t="s">
        <v>709</v>
      </c>
      <c r="BY23" s="547" t="s">
        <v>709</v>
      </c>
      <c r="BZ23" s="547" t="s">
        <v>709</v>
      </c>
      <c r="CA23" s="483"/>
      <c r="CB23" s="547">
        <v>21</v>
      </c>
      <c r="CC23" s="1481" t="b">
        <v>1</v>
      </c>
      <c r="CD23" t="str">
        <f>Table15[[#This Row],[Engineering Number]]&amp;Table15[[#This Row],[WO Number]]&amp;Table15[[#This Row],[Date Assigned to Designer]]&amp;Table15[[#This Row],[Date Completed]]</f>
        <v>NBA16614091684944361943668</v>
      </c>
    </row>
    <row r="24" spans="1:86" customFormat="1" ht="15" customHeight="1" x14ac:dyDescent="0.25">
      <c r="A24">
        <v>2019</v>
      </c>
      <c r="B24" s="8" t="s">
        <v>1981</v>
      </c>
      <c r="C24" s="8" t="s">
        <v>2012</v>
      </c>
      <c r="D24" s="8" t="s">
        <v>115</v>
      </c>
      <c r="E24" s="8" t="s">
        <v>2013</v>
      </c>
      <c r="F24" s="8" t="s">
        <v>1983</v>
      </c>
      <c r="G24" s="8" t="s">
        <v>1896</v>
      </c>
      <c r="H24" s="8" t="s">
        <v>59</v>
      </c>
      <c r="I24" s="642">
        <v>43577</v>
      </c>
      <c r="J24" s="18">
        <v>43665</v>
      </c>
      <c r="K24" s="642">
        <v>43671</v>
      </c>
      <c r="L24" s="16">
        <v>0</v>
      </c>
      <c r="M24" s="642" t="s">
        <v>2014</v>
      </c>
      <c r="N24" s="642" t="s">
        <v>120</v>
      </c>
      <c r="O24" s="1025">
        <v>43671</v>
      </c>
      <c r="P24" s="21" t="s">
        <v>739</v>
      </c>
      <c r="Q24" s="340" t="s">
        <v>1922</v>
      </c>
      <c r="R24" s="1026" t="s">
        <v>1922</v>
      </c>
      <c r="S24" s="538"/>
      <c r="T24" s="538"/>
      <c r="U24" s="28"/>
      <c r="V24" s="858"/>
      <c r="W24" s="437"/>
      <c r="X24" s="538"/>
      <c r="Y24" s="551"/>
      <c r="Z24" s="538"/>
      <c r="AA24" s="538"/>
      <c r="AB24" s="21"/>
      <c r="AC24" s="569"/>
      <c r="AD24" s="1149"/>
      <c r="AE24" s="580"/>
      <c r="AF24" s="580"/>
      <c r="AG24" s="580"/>
      <c r="AH24" s="542"/>
      <c r="AI24" s="1028"/>
      <c r="AJ24" s="1029"/>
      <c r="AK24" s="1029"/>
      <c r="AL24" s="1030"/>
      <c r="AM24" s="542" t="s">
        <v>709</v>
      </c>
      <c r="AN24" s="924"/>
      <c r="AO24" s="925"/>
      <c r="AP24" s="926"/>
      <c r="AQ24" s="926"/>
      <c r="AR24" s="926"/>
      <c r="AS24" s="926"/>
      <c r="AT24" s="926"/>
      <c r="AU24" s="926"/>
      <c r="AV24" s="926"/>
      <c r="AW24" s="927"/>
      <c r="AX24" s="926"/>
      <c r="AY24" s="1538" t="s">
        <v>29</v>
      </c>
      <c r="AZ24" s="1530"/>
      <c r="BA24" s="1031" t="s">
        <v>2015</v>
      </c>
      <c r="BB24" s="644" t="s">
        <v>1986</v>
      </c>
      <c r="BC24" s="544"/>
      <c r="BD24" s="544"/>
      <c r="BE24" s="544"/>
      <c r="BF24" s="544"/>
      <c r="BG24" s="544"/>
      <c r="BH24" s="741"/>
      <c r="BI24" s="547"/>
      <c r="BJ24" s="547"/>
      <c r="BK24" s="547"/>
      <c r="BL24" s="547"/>
      <c r="BM24" s="547"/>
      <c r="BN24" s="547"/>
      <c r="BO24" s="547"/>
      <c r="BP24" s="547"/>
      <c r="BQ24" s="547"/>
      <c r="BR24" s="547"/>
      <c r="BS24" s="547"/>
      <c r="BT24" s="547"/>
      <c r="BU24" s="547"/>
      <c r="BV24" s="547"/>
      <c r="BW24" s="547"/>
      <c r="BX24" s="547"/>
      <c r="BY24" s="547"/>
      <c r="BZ24" s="547" t="s">
        <v>709</v>
      </c>
      <c r="CA24" s="483" t="s">
        <v>1053</v>
      </c>
      <c r="CB24" s="547">
        <v>23</v>
      </c>
      <c r="CC24" s="1481" t="b">
        <v>1</v>
      </c>
      <c r="CD24" t="str">
        <f>Table15[[#This Row],[Engineering Number]]&amp;Table15[[#This Row],[WO Number]]&amp;Table15[[#This Row],[Date Assigned to Designer]]&amp;Table15[[#This Row],[Date Completed]]</f>
        <v>COR416-4357743671</v>
      </c>
    </row>
    <row r="25" spans="1:86" customFormat="1" ht="15" customHeight="1" x14ac:dyDescent="0.25">
      <c r="A25">
        <v>2019</v>
      </c>
      <c r="B25" s="8" t="s">
        <v>1981</v>
      </c>
      <c r="C25" s="8" t="s">
        <v>2017</v>
      </c>
      <c r="D25" s="8" t="s">
        <v>115</v>
      </c>
      <c r="E25" s="8" t="s">
        <v>1159</v>
      </c>
      <c r="F25" s="8" t="s">
        <v>1983</v>
      </c>
      <c r="G25" s="8" t="s">
        <v>1896</v>
      </c>
      <c r="H25" s="8" t="s">
        <v>59</v>
      </c>
      <c r="I25" s="642">
        <v>43584</v>
      </c>
      <c r="J25" s="18">
        <v>43665</v>
      </c>
      <c r="K25" s="642">
        <v>43671</v>
      </c>
      <c r="L25" s="16">
        <v>0</v>
      </c>
      <c r="M25" s="642" t="s">
        <v>2014</v>
      </c>
      <c r="N25" s="642" t="s">
        <v>120</v>
      </c>
      <c r="O25" s="1025">
        <v>43671</v>
      </c>
      <c r="P25" s="21" t="s">
        <v>739</v>
      </c>
      <c r="Q25" s="340" t="s">
        <v>1922</v>
      </c>
      <c r="R25" s="1026" t="s">
        <v>1922</v>
      </c>
      <c r="S25" s="538"/>
      <c r="T25" s="538"/>
      <c r="U25" s="28"/>
      <c r="V25" s="858"/>
      <c r="W25" s="437"/>
      <c r="X25" s="538"/>
      <c r="Y25" s="551"/>
      <c r="Z25" s="538"/>
      <c r="AA25" s="538"/>
      <c r="AB25" s="21"/>
      <c r="AC25" s="569"/>
      <c r="AD25" s="1149"/>
      <c r="AE25" s="580"/>
      <c r="AF25" s="580"/>
      <c r="AG25" s="580"/>
      <c r="AH25" s="542"/>
      <c r="AI25" s="1028"/>
      <c r="AJ25" s="1029"/>
      <c r="AK25" s="1029"/>
      <c r="AL25" s="1030"/>
      <c r="AM25" s="542" t="s">
        <v>709</v>
      </c>
      <c r="AN25" s="924"/>
      <c r="AO25" s="925"/>
      <c r="AP25" s="926"/>
      <c r="AQ25" s="926"/>
      <c r="AR25" s="926"/>
      <c r="AS25" s="926"/>
      <c r="AT25" s="926"/>
      <c r="AU25" s="926"/>
      <c r="AV25" s="926"/>
      <c r="AW25" s="927"/>
      <c r="AX25" s="926"/>
      <c r="AY25" s="1538" t="s">
        <v>29</v>
      </c>
      <c r="AZ25" s="1530"/>
      <c r="BA25" s="1031" t="s">
        <v>2018</v>
      </c>
      <c r="BB25" s="644" t="s">
        <v>1986</v>
      </c>
      <c r="BC25" s="544"/>
      <c r="BD25" s="544"/>
      <c r="BE25" s="544"/>
      <c r="BF25" s="544"/>
      <c r="BG25" s="544"/>
      <c r="BH25" s="741"/>
      <c r="BI25" s="547"/>
      <c r="BJ25" s="547"/>
      <c r="BK25" s="547"/>
      <c r="BL25" s="547"/>
      <c r="BM25" s="547"/>
      <c r="BN25" s="547"/>
      <c r="BO25" s="547"/>
      <c r="BP25" s="547"/>
      <c r="BQ25" s="547"/>
      <c r="BR25" s="547"/>
      <c r="BS25" s="547"/>
      <c r="BT25" s="547"/>
      <c r="BU25" s="547"/>
      <c r="BV25" s="547"/>
      <c r="BW25" s="547"/>
      <c r="BX25" s="547"/>
      <c r="BY25" s="547"/>
      <c r="BZ25" s="547" t="s">
        <v>709</v>
      </c>
      <c r="CA25" s="483" t="s">
        <v>915</v>
      </c>
      <c r="CB25" s="547">
        <v>22</v>
      </c>
      <c r="CC25" s="1481" t="b">
        <v>1</v>
      </c>
      <c r="CD25" t="str">
        <f>Table15[[#This Row],[Engineering Number]]&amp;Table15[[#This Row],[WO Number]]&amp;Table15[[#This Row],[Date Assigned to Designer]]&amp;Table15[[#This Row],[Date Completed]]</f>
        <v>COR418-4358443671</v>
      </c>
    </row>
    <row r="26" spans="1:86" customFormat="1" ht="15" customHeight="1" x14ac:dyDescent="0.25">
      <c r="A26">
        <v>2019</v>
      </c>
      <c r="B26" s="8" t="s">
        <v>4</v>
      </c>
      <c r="C26" s="8" t="s">
        <v>2020</v>
      </c>
      <c r="D26" s="8" t="s">
        <v>2021</v>
      </c>
      <c r="E26" s="8" t="s">
        <v>1136</v>
      </c>
      <c r="F26" s="8" t="s">
        <v>325</v>
      </c>
      <c r="G26" s="8" t="s">
        <v>1896</v>
      </c>
      <c r="H26" s="8" t="s">
        <v>59</v>
      </c>
      <c r="I26" s="642">
        <v>43557</v>
      </c>
      <c r="J26" s="18">
        <v>43662</v>
      </c>
      <c r="K26" s="642">
        <v>43676</v>
      </c>
      <c r="L26" s="16">
        <v>0</v>
      </c>
      <c r="M26" s="642" t="s">
        <v>2022</v>
      </c>
      <c r="N26" s="642" t="s">
        <v>120</v>
      </c>
      <c r="O26" s="1025">
        <v>43676</v>
      </c>
      <c r="P26" s="21" t="s">
        <v>739</v>
      </c>
      <c r="Q26" s="340">
        <f>AA26*R26</f>
        <v>5133.3646000000008</v>
      </c>
      <c r="R26" s="1026">
        <v>7.0000000000000007E-2</v>
      </c>
      <c r="S26" s="538"/>
      <c r="T26" s="538"/>
      <c r="U26" s="1027"/>
      <c r="V26" s="1183">
        <v>1105</v>
      </c>
      <c r="W26" s="1185"/>
      <c r="X26" s="538">
        <v>87675.62</v>
      </c>
      <c r="Y26" s="551">
        <v>17171.7</v>
      </c>
      <c r="Z26" s="538">
        <v>2829.86</v>
      </c>
      <c r="AA26" s="538">
        <f>X26-Y26+Z26</f>
        <v>73333.78</v>
      </c>
      <c r="AB26" s="21"/>
      <c r="AC26" s="569"/>
      <c r="AD26" s="1149"/>
      <c r="AE26" s="580"/>
      <c r="AF26" s="580"/>
      <c r="AG26" s="580"/>
      <c r="AH26" s="542"/>
      <c r="AI26" s="1028"/>
      <c r="AJ26" s="1029"/>
      <c r="AK26" s="1029"/>
      <c r="AL26" s="1030"/>
      <c r="AM26" s="1522" t="s">
        <v>116</v>
      </c>
      <c r="AN26" s="1523">
        <v>43714</v>
      </c>
      <c r="AO26" s="1524" t="s">
        <v>115</v>
      </c>
      <c r="AP26" s="1525">
        <v>87915.96</v>
      </c>
      <c r="AQ26" s="1525">
        <v>17171.7</v>
      </c>
      <c r="AR26" s="1525">
        <v>13103.29</v>
      </c>
      <c r="AS26" s="1525">
        <f>IF(Table15[[#This Row],[PCTS Approved]]="N",0,Table15[[#This Row],[Investment Amount (1'#'#'#'#'#)]]+Table15[[#This Row],[Retirement Amount (3'#'#'#'#'#)]])</f>
        <v>101019.25</v>
      </c>
      <c r="AT26" s="1525">
        <f>IF(Table15[[#This Row],[Approved Construction Cost]]=0,0,Table15[[#This Row],[Approved Construction Cost]]-Table15[[#This Row],[Construction Cost to Bill From]])</f>
        <v>27685.47</v>
      </c>
      <c r="AU26" s="1525">
        <f>Table15[[#This Row],[Difference in Construction Cost]]*Table15[[#This Row],[Rate]]</f>
        <v>1937.9829000000002</v>
      </c>
      <c r="AV26" s="1525">
        <v>0</v>
      </c>
      <c r="AW26" s="1526" t="s">
        <v>2023</v>
      </c>
      <c r="AX26" s="1525"/>
      <c r="AY26" s="1518">
        <v>43983</v>
      </c>
      <c r="AZ26" s="333"/>
      <c r="BA26" s="1031" t="s">
        <v>2024</v>
      </c>
      <c r="BB26" s="644" t="s">
        <v>1900</v>
      </c>
      <c r="BC26" s="544"/>
      <c r="BD26" s="544"/>
      <c r="BE26" s="544"/>
      <c r="BF26" s="544"/>
      <c r="BG26" s="544"/>
      <c r="BH26" s="741"/>
      <c r="BI26" s="547" t="s">
        <v>709</v>
      </c>
      <c r="BJ26" s="547" t="s">
        <v>709</v>
      </c>
      <c r="BK26" s="547" t="s">
        <v>709</v>
      </c>
      <c r="BL26" s="547" t="s">
        <v>116</v>
      </c>
      <c r="BM26" s="547" t="s">
        <v>709</v>
      </c>
      <c r="BN26" s="547" t="s">
        <v>709</v>
      </c>
      <c r="BO26" s="547" t="s">
        <v>709</v>
      </c>
      <c r="BP26" s="547" t="s">
        <v>709</v>
      </c>
      <c r="BQ26" s="547" t="s">
        <v>709</v>
      </c>
      <c r="BR26" s="547" t="s">
        <v>709</v>
      </c>
      <c r="BS26" s="547">
        <v>1105</v>
      </c>
      <c r="BT26" s="547" t="s">
        <v>709</v>
      </c>
      <c r="BU26" s="547" t="s">
        <v>709</v>
      </c>
      <c r="BV26" s="547" t="s">
        <v>709</v>
      </c>
      <c r="BW26" s="547" t="s">
        <v>709</v>
      </c>
      <c r="BX26" s="547" t="s">
        <v>709</v>
      </c>
      <c r="BY26" s="547" t="s">
        <v>709</v>
      </c>
      <c r="BZ26" s="547" t="s">
        <v>709</v>
      </c>
      <c r="CA26" s="483"/>
      <c r="CB26" s="547">
        <v>24</v>
      </c>
      <c r="CC26" s="1481" t="b">
        <v>1</v>
      </c>
      <c r="CD26" t="str">
        <f>Table15[[#This Row],[Engineering Number]]&amp;Table15[[#This Row],[WO Number]]&amp;Table15[[#This Row],[Date Assigned to Designer]]&amp;Table15[[#This Row],[Date Completed]]</f>
        <v>N123861290894355743676</v>
      </c>
    </row>
    <row r="27" spans="1:86" customFormat="1" ht="15" customHeight="1" x14ac:dyDescent="0.25">
      <c r="A27">
        <v>2019</v>
      </c>
      <c r="B27" s="8" t="s">
        <v>4</v>
      </c>
      <c r="C27" s="8" t="s">
        <v>2026</v>
      </c>
      <c r="D27" s="8" t="s">
        <v>115</v>
      </c>
      <c r="E27" s="8" t="s">
        <v>391</v>
      </c>
      <c r="F27" s="8" t="s">
        <v>325</v>
      </c>
      <c r="G27" s="8" t="s">
        <v>1896</v>
      </c>
      <c r="H27" s="8" t="s">
        <v>1903</v>
      </c>
      <c r="I27" s="642">
        <v>43665</v>
      </c>
      <c r="J27" s="18">
        <v>43686</v>
      </c>
      <c r="K27" s="642">
        <v>43678</v>
      </c>
      <c r="L27" s="16">
        <f>IF(ISTEXT(Table15[[#This Row],[Engineering Approved Design Date]]),Table15[[#This Row],[Date Completed]]-Table15[[#This Row],[Date Assigned to Designer]],Table15[[#This Row],[Engineering Approved Design Date]]-Table15[[#This Row],[Date Completed]])</f>
        <v>8</v>
      </c>
      <c r="M27" s="642" t="s">
        <v>2027</v>
      </c>
      <c r="N27" s="642" t="s">
        <v>120</v>
      </c>
      <c r="O27" s="1025">
        <v>43678</v>
      </c>
      <c r="P27" s="21" t="s">
        <v>739</v>
      </c>
      <c r="Q27" s="340" t="s">
        <v>115</v>
      </c>
      <c r="R27" s="1026" t="s">
        <v>115</v>
      </c>
      <c r="S27" s="538"/>
      <c r="T27" s="538"/>
      <c r="U27" s="28"/>
      <c r="V27" s="858"/>
      <c r="W27" s="437"/>
      <c r="X27" s="538"/>
      <c r="Y27" s="551"/>
      <c r="Z27" s="538"/>
      <c r="AA27" s="538">
        <v>0</v>
      </c>
      <c r="AB27" s="21"/>
      <c r="AC27" s="569"/>
      <c r="AD27" s="1149"/>
      <c r="AE27" s="580"/>
      <c r="AF27" s="580"/>
      <c r="AG27" s="580"/>
      <c r="AH27" s="542"/>
      <c r="AI27" s="1028"/>
      <c r="AJ27" s="1029"/>
      <c r="AK27" s="1029"/>
      <c r="AL27" s="1030"/>
      <c r="AM27" s="542" t="s">
        <v>709</v>
      </c>
      <c r="AN27" s="924"/>
      <c r="AO27" s="925"/>
      <c r="AP27" s="926"/>
      <c r="AQ27" s="926"/>
      <c r="AR27" s="926"/>
      <c r="AS27" s="926"/>
      <c r="AT27" s="926"/>
      <c r="AU27" s="926"/>
      <c r="AV27" s="926"/>
      <c r="AW27" s="927"/>
      <c r="AX27" s="926"/>
      <c r="AY27" s="1538" t="s">
        <v>29</v>
      </c>
      <c r="AZ27" s="1530"/>
      <c r="BA27" s="1031" t="s">
        <v>2028</v>
      </c>
      <c r="BB27" s="644"/>
      <c r="BC27" s="544"/>
      <c r="BD27" s="544"/>
      <c r="BE27" s="544"/>
      <c r="BF27" s="544"/>
      <c r="BG27" s="544"/>
      <c r="BH27" s="741"/>
      <c r="BI27" s="1032"/>
      <c r="BJ27" s="1032"/>
      <c r="BK27" s="1032"/>
      <c r="BL27" s="1032"/>
      <c r="BM27" s="1032"/>
      <c r="BN27" s="1032"/>
      <c r="BO27" s="1032"/>
      <c r="BP27" s="1032"/>
      <c r="BQ27" s="1032"/>
      <c r="BR27" s="1032"/>
      <c r="BS27" s="1032"/>
      <c r="BT27" s="1032"/>
      <c r="BU27" s="1032"/>
      <c r="BV27" s="1032"/>
      <c r="BW27" s="1032"/>
      <c r="BX27" s="1032"/>
      <c r="BY27" s="1032"/>
      <c r="BZ27" s="1032"/>
      <c r="CA27" s="485"/>
      <c r="CB27" s="547">
        <v>25</v>
      </c>
      <c r="CC27" s="1481" t="b">
        <v>1</v>
      </c>
      <c r="CD27" t="str">
        <f>Table15[[#This Row],[Engineering Number]]&amp;Table15[[#This Row],[WO Number]]&amp;Table15[[#This Row],[Date Assigned to Designer]]&amp;Table15[[#This Row],[Date Completed]]</f>
        <v>M11105-4366543678</v>
      </c>
    </row>
    <row r="28" spans="1:86" customFormat="1" ht="15" customHeight="1" x14ac:dyDescent="0.25">
      <c r="A28">
        <v>2019</v>
      </c>
      <c r="B28" s="8" t="s">
        <v>1073</v>
      </c>
      <c r="C28" s="8" t="s">
        <v>2030</v>
      </c>
      <c r="D28" s="8" t="s">
        <v>2031</v>
      </c>
      <c r="E28" s="8" t="s">
        <v>2032</v>
      </c>
      <c r="F28" s="8" t="s">
        <v>325</v>
      </c>
      <c r="G28" s="8" t="s">
        <v>1896</v>
      </c>
      <c r="H28" s="8" t="s">
        <v>59</v>
      </c>
      <c r="I28" s="642">
        <v>43619</v>
      </c>
      <c r="J28" s="18">
        <v>43675</v>
      </c>
      <c r="K28" s="642">
        <v>43678</v>
      </c>
      <c r="L28" s="16">
        <f>IF(ISTEXT(Table15[[#This Row],[Engineering Approved Design Date]]),Table15[[#This Row],[Date Completed]]-Table15[[#This Row],[Date Assigned to Designer]],Table15[[#This Row],[Engineering Approved Design Date]]-Table15[[#This Row],[Date Completed]])</f>
        <v>-3</v>
      </c>
      <c r="M28" s="642" t="s">
        <v>2033</v>
      </c>
      <c r="N28" s="642" t="s">
        <v>120</v>
      </c>
      <c r="O28" s="1025">
        <v>43678</v>
      </c>
      <c r="P28" s="21" t="s">
        <v>739</v>
      </c>
      <c r="Q28" s="340" t="s">
        <v>1922</v>
      </c>
      <c r="R28" s="1026" t="s">
        <v>1922</v>
      </c>
      <c r="S28" s="538"/>
      <c r="T28" s="538"/>
      <c r="U28" s="28"/>
      <c r="V28" s="858">
        <v>2330</v>
      </c>
      <c r="W28" s="437"/>
      <c r="X28" s="538"/>
      <c r="Y28" s="551"/>
      <c r="Z28" s="538"/>
      <c r="AA28" s="538"/>
      <c r="AB28" s="21"/>
      <c r="AC28" s="569"/>
      <c r="AD28" s="1149"/>
      <c r="AE28" s="569"/>
      <c r="AF28" s="569"/>
      <c r="AG28" s="569"/>
      <c r="AH28" s="536"/>
      <c r="AI28" s="1028"/>
      <c r="AJ28" s="1029"/>
      <c r="AK28" s="1029"/>
      <c r="AL28" s="1030"/>
      <c r="AM28" s="542" t="s">
        <v>709</v>
      </c>
      <c r="AN28" s="924"/>
      <c r="AO28" s="925"/>
      <c r="AP28" s="926"/>
      <c r="AQ28" s="926"/>
      <c r="AR28" s="926"/>
      <c r="AS28" s="926"/>
      <c r="AT28" s="926"/>
      <c r="AU28" s="926"/>
      <c r="AV28" s="926"/>
      <c r="AW28" s="927"/>
      <c r="AX28" s="926"/>
      <c r="AY28" s="1538" t="s">
        <v>29</v>
      </c>
      <c r="AZ28" s="1530"/>
      <c r="BA28" s="1031" t="s">
        <v>2034</v>
      </c>
      <c r="BB28" s="644"/>
      <c r="BC28" s="544"/>
      <c r="BD28" s="544"/>
      <c r="BE28" s="544"/>
      <c r="BF28" s="544"/>
      <c r="BG28" s="544"/>
      <c r="BH28" s="741"/>
      <c r="BI28" s="547" t="s">
        <v>709</v>
      </c>
      <c r="BJ28" s="547" t="s">
        <v>709</v>
      </c>
      <c r="BK28" s="547" t="s">
        <v>709</v>
      </c>
      <c r="BL28" s="547" t="s">
        <v>116</v>
      </c>
      <c r="BM28" s="547" t="s">
        <v>709</v>
      </c>
      <c r="BN28" s="547" t="s">
        <v>709</v>
      </c>
      <c r="BO28" s="547" t="s">
        <v>709</v>
      </c>
      <c r="BP28" s="547" t="s">
        <v>709</v>
      </c>
      <c r="BQ28" s="547" t="s">
        <v>709</v>
      </c>
      <c r="BR28" s="547">
        <v>2330</v>
      </c>
      <c r="BS28" s="547" t="s">
        <v>709</v>
      </c>
      <c r="BT28" s="547" t="s">
        <v>709</v>
      </c>
      <c r="BU28" s="547" t="s">
        <v>709</v>
      </c>
      <c r="BV28" s="547" t="s">
        <v>709</v>
      </c>
      <c r="BW28" s="547" t="s">
        <v>709</v>
      </c>
      <c r="BX28" s="547" t="s">
        <v>709</v>
      </c>
      <c r="BY28" s="547" t="s">
        <v>709</v>
      </c>
      <c r="BZ28" s="547" t="s">
        <v>709</v>
      </c>
      <c r="CA28" s="483"/>
      <c r="CB28" s="547">
        <v>26</v>
      </c>
      <c r="CC28" s="1481" t="b">
        <v>1</v>
      </c>
      <c r="CD28" t="str">
        <f>Table15[[#This Row],[Engineering Number]]&amp;Table15[[#This Row],[WO Number]]&amp;Table15[[#This Row],[Date Assigned to Designer]]&amp;Table15[[#This Row],[Date Completed]]</f>
        <v>NBA17035051505654361943678</v>
      </c>
    </row>
    <row r="29" spans="1:86" customFormat="1" ht="15" customHeight="1" x14ac:dyDescent="0.25">
      <c r="A29">
        <v>2019</v>
      </c>
      <c r="B29" s="8" t="s">
        <v>4</v>
      </c>
      <c r="C29" s="8" t="s">
        <v>2036</v>
      </c>
      <c r="D29" s="8" t="s">
        <v>2037</v>
      </c>
      <c r="E29" s="8" t="s">
        <v>2038</v>
      </c>
      <c r="F29" s="8" t="s">
        <v>325</v>
      </c>
      <c r="G29" s="8" t="s">
        <v>1896</v>
      </c>
      <c r="H29" s="8" t="s">
        <v>59</v>
      </c>
      <c r="I29" s="642">
        <v>43592</v>
      </c>
      <c r="J29" s="18">
        <v>43669</v>
      </c>
      <c r="K29" s="642">
        <v>43682</v>
      </c>
      <c r="L29" s="16">
        <v>0</v>
      </c>
      <c r="M29" s="642" t="s">
        <v>2039</v>
      </c>
      <c r="N29" s="642" t="s">
        <v>120</v>
      </c>
      <c r="O29" s="1025">
        <v>43682</v>
      </c>
      <c r="P29" s="21" t="s">
        <v>739</v>
      </c>
      <c r="Q29" s="340">
        <f>AA29*R29</f>
        <v>5384.4154000000008</v>
      </c>
      <c r="R29" s="1026">
        <v>7.0000000000000007E-2</v>
      </c>
      <c r="S29" s="538"/>
      <c r="T29" s="538"/>
      <c r="U29" s="1027"/>
      <c r="V29" s="1183">
        <v>250</v>
      </c>
      <c r="W29" s="1185"/>
      <c r="X29" s="538">
        <v>67548.399999999994</v>
      </c>
      <c r="Y29" s="551">
        <v>3080</v>
      </c>
      <c r="Z29" s="538">
        <v>12451.82</v>
      </c>
      <c r="AA29" s="538">
        <f>X29-Y29+Z29</f>
        <v>76920.22</v>
      </c>
      <c r="AB29" s="21"/>
      <c r="AC29" s="569"/>
      <c r="AD29" s="1149"/>
      <c r="AE29" s="580"/>
      <c r="AF29" s="580"/>
      <c r="AG29" s="580"/>
      <c r="AH29" s="542"/>
      <c r="AI29" s="1028"/>
      <c r="AJ29" s="1029"/>
      <c r="AK29" s="1029"/>
      <c r="AL29" s="1030"/>
      <c r="AM29" s="1522" t="s">
        <v>116</v>
      </c>
      <c r="AN29" s="1523">
        <v>43698</v>
      </c>
      <c r="AO29" s="1524">
        <v>178507</v>
      </c>
      <c r="AP29" s="1525">
        <v>68660.36</v>
      </c>
      <c r="AQ29" s="1525">
        <v>3080</v>
      </c>
      <c r="AR29" s="1525">
        <v>12453.84</v>
      </c>
      <c r="AS29" s="1525">
        <f>IF(Table15[[#This Row],[PCTS Approved]]="N",0,Table15[[#This Row],[Investment Amount (1'#'#'#'#'#)]]+Table15[[#This Row],[Retirement Amount (3'#'#'#'#'#)]])</f>
        <v>81114.2</v>
      </c>
      <c r="AT29" s="1525">
        <f>IF(Table15[[#This Row],[Approved Construction Cost]]=0,0,Table15[[#This Row],[Approved Construction Cost]]-Table15[[#This Row],[Construction Cost to Bill From]])</f>
        <v>4193.9799999999959</v>
      </c>
      <c r="AU29" s="1525">
        <f>Table15[[#This Row],[Difference in Construction Cost]]*Table15[[#This Row],[Rate]]</f>
        <v>293.57859999999977</v>
      </c>
      <c r="AV29" s="1525">
        <v>0</v>
      </c>
      <c r="AW29" s="1526" t="s">
        <v>2040</v>
      </c>
      <c r="AX29" s="1525"/>
      <c r="AY29" s="1518">
        <v>43983</v>
      </c>
      <c r="AZ29" s="333"/>
      <c r="BA29" s="1031" t="s">
        <v>2041</v>
      </c>
      <c r="BB29" s="644" t="s">
        <v>1900</v>
      </c>
      <c r="BC29" s="544"/>
      <c r="BD29" s="544"/>
      <c r="BE29" s="544"/>
      <c r="BF29" s="544"/>
      <c r="BG29" s="544"/>
      <c r="BH29" s="741"/>
      <c r="BI29" s="547" t="s">
        <v>709</v>
      </c>
      <c r="BJ29" s="547" t="s">
        <v>709</v>
      </c>
      <c r="BK29" s="547" t="s">
        <v>709</v>
      </c>
      <c r="BL29" s="547" t="s">
        <v>116</v>
      </c>
      <c r="BM29" s="547" t="s">
        <v>709</v>
      </c>
      <c r="BN29" s="547" t="s">
        <v>709</v>
      </c>
      <c r="BO29" s="547" t="s">
        <v>709</v>
      </c>
      <c r="BP29" s="547" t="s">
        <v>709</v>
      </c>
      <c r="BQ29" s="547" t="s">
        <v>709</v>
      </c>
      <c r="BR29" s="547">
        <v>250</v>
      </c>
      <c r="BS29" s="547" t="s">
        <v>709</v>
      </c>
      <c r="BT29" s="547" t="s">
        <v>709</v>
      </c>
      <c r="BU29" s="547" t="s">
        <v>709</v>
      </c>
      <c r="BV29" s="547" t="s">
        <v>709</v>
      </c>
      <c r="BW29" s="547" t="s">
        <v>709</v>
      </c>
      <c r="BX29" s="547" t="s">
        <v>709</v>
      </c>
      <c r="BY29" s="547" t="s">
        <v>709</v>
      </c>
      <c r="BZ29" s="547" t="s">
        <v>709</v>
      </c>
      <c r="CA29" s="483"/>
      <c r="CB29" s="547">
        <v>27</v>
      </c>
      <c r="CC29" s="1481" t="b">
        <v>1</v>
      </c>
      <c r="CD29" t="str">
        <f>Table15[[#This Row],[Engineering Number]]&amp;Table15[[#This Row],[WO Number]]&amp;Table15[[#This Row],[Date Assigned to Designer]]&amp;Table15[[#This Row],[Date Completed]]</f>
        <v>SC165131356164359243682</v>
      </c>
    </row>
    <row r="30" spans="1:86" customFormat="1" ht="15" customHeight="1" x14ac:dyDescent="0.25">
      <c r="A30">
        <v>2019</v>
      </c>
      <c r="B30" s="8" t="s">
        <v>1073</v>
      </c>
      <c r="C30" s="8" t="s">
        <v>2043</v>
      </c>
      <c r="D30" s="8" t="s">
        <v>29</v>
      </c>
      <c r="E30" s="8" t="s">
        <v>2032</v>
      </c>
      <c r="F30" s="8" t="s">
        <v>325</v>
      </c>
      <c r="G30" s="8" t="s">
        <v>1896</v>
      </c>
      <c r="H30" s="8" t="s">
        <v>59</v>
      </c>
      <c r="I30" s="642">
        <v>43619</v>
      </c>
      <c r="J30" s="18">
        <v>43682</v>
      </c>
      <c r="K30" s="642">
        <v>43684</v>
      </c>
      <c r="L30" s="16">
        <v>0</v>
      </c>
      <c r="M30" s="642" t="s">
        <v>2044</v>
      </c>
      <c r="N30" s="642" t="s">
        <v>120</v>
      </c>
      <c r="O30" s="1025">
        <v>43684</v>
      </c>
      <c r="P30" s="21" t="s">
        <v>115</v>
      </c>
      <c r="Q30" s="340" t="s">
        <v>115</v>
      </c>
      <c r="R30" s="1026" t="s">
        <v>115</v>
      </c>
      <c r="S30" s="538"/>
      <c r="T30" s="538"/>
      <c r="U30" s="28"/>
      <c r="V30" s="858" t="s">
        <v>2045</v>
      </c>
      <c r="W30" s="437"/>
      <c r="X30" s="538"/>
      <c r="Y30" s="551"/>
      <c r="Z30" s="538"/>
      <c r="AA30" s="538"/>
      <c r="AB30" s="21"/>
      <c r="AC30" s="569"/>
      <c r="AD30" s="1149"/>
      <c r="AE30" s="569"/>
      <c r="AF30" s="569"/>
      <c r="AG30" s="569"/>
      <c r="AH30" s="536"/>
      <c r="AI30" s="1028"/>
      <c r="AJ30" s="1029"/>
      <c r="AK30" s="1029"/>
      <c r="AL30" s="1030"/>
      <c r="AM30" s="542" t="s">
        <v>709</v>
      </c>
      <c r="AN30" s="924"/>
      <c r="AO30" s="925"/>
      <c r="AP30" s="926"/>
      <c r="AQ30" s="926"/>
      <c r="AR30" s="926"/>
      <c r="AS30" s="926"/>
      <c r="AT30" s="926"/>
      <c r="AU30" s="926"/>
      <c r="AV30" s="926"/>
      <c r="AW30" s="927"/>
      <c r="AX30" s="926"/>
      <c r="AY30" s="1538" t="s">
        <v>29</v>
      </c>
      <c r="AZ30" s="1530"/>
      <c r="BA30" s="1031" t="s">
        <v>2046</v>
      </c>
      <c r="BB30" s="644" t="s">
        <v>787</v>
      </c>
      <c r="BC30" s="544"/>
      <c r="BD30" s="544"/>
      <c r="BE30" s="544"/>
      <c r="BF30" s="544"/>
      <c r="BG30" s="544"/>
      <c r="BH30" s="741"/>
      <c r="BI30" s="547" t="s">
        <v>709</v>
      </c>
      <c r="BJ30" s="547" t="s">
        <v>709</v>
      </c>
      <c r="BK30" s="547" t="s">
        <v>709</v>
      </c>
      <c r="BL30" s="547" t="s">
        <v>116</v>
      </c>
      <c r="BM30" s="547" t="s">
        <v>709</v>
      </c>
      <c r="BN30" s="547" t="s">
        <v>709</v>
      </c>
      <c r="BO30" s="547" t="s">
        <v>709</v>
      </c>
      <c r="BP30" s="547" t="s">
        <v>709</v>
      </c>
      <c r="BQ30" s="547">
        <v>365</v>
      </c>
      <c r="BR30" s="547">
        <v>1115</v>
      </c>
      <c r="BS30" s="547" t="s">
        <v>709</v>
      </c>
      <c r="BT30" s="547" t="s">
        <v>709</v>
      </c>
      <c r="BU30" s="547" t="s">
        <v>709</v>
      </c>
      <c r="BV30" s="547" t="s">
        <v>709</v>
      </c>
      <c r="BW30" s="547" t="s">
        <v>709</v>
      </c>
      <c r="BX30" s="547" t="s">
        <v>709</v>
      </c>
      <c r="BY30" s="547" t="s">
        <v>709</v>
      </c>
      <c r="BZ30" s="547" t="s">
        <v>709</v>
      </c>
      <c r="CA30" s="483"/>
      <c r="CB30" s="547">
        <v>29</v>
      </c>
      <c r="CC30" s="1481" t="b">
        <v>1</v>
      </c>
      <c r="CD30" t="str">
        <f>Table15[[#This Row],[Engineering Number]]&amp;Table15[[#This Row],[WO Number]]&amp;Table15[[#This Row],[Date Assigned to Designer]]&amp;Table15[[#This Row],[Date Completed]]</f>
        <v>NBA1694721N/A4361943684</v>
      </c>
    </row>
    <row r="31" spans="1:86" customFormat="1" ht="15" customHeight="1" x14ac:dyDescent="0.25">
      <c r="A31">
        <v>2019</v>
      </c>
      <c r="B31" s="8" t="s">
        <v>1073</v>
      </c>
      <c r="C31" s="8" t="s">
        <v>2043</v>
      </c>
      <c r="D31" s="8" t="s">
        <v>2048</v>
      </c>
      <c r="E31" s="8" t="s">
        <v>2032</v>
      </c>
      <c r="F31" s="8" t="s">
        <v>325</v>
      </c>
      <c r="G31" s="8" t="s">
        <v>1896</v>
      </c>
      <c r="H31" s="8" t="s">
        <v>59</v>
      </c>
      <c r="I31" s="642">
        <v>43619</v>
      </c>
      <c r="J31" s="18">
        <v>43682</v>
      </c>
      <c r="K31" s="642">
        <v>43684</v>
      </c>
      <c r="L31" s="16">
        <v>0</v>
      </c>
      <c r="M31" s="642" t="s">
        <v>2044</v>
      </c>
      <c r="N31" s="642" t="s">
        <v>120</v>
      </c>
      <c r="O31" s="1025">
        <v>43684</v>
      </c>
      <c r="P31" s="21" t="s">
        <v>739</v>
      </c>
      <c r="Q31" s="340" t="s">
        <v>1922</v>
      </c>
      <c r="R31" s="1026" t="s">
        <v>1922</v>
      </c>
      <c r="S31" s="538"/>
      <c r="T31" s="538"/>
      <c r="U31" s="28"/>
      <c r="V31" s="858">
        <f>1115+365</f>
        <v>1480</v>
      </c>
      <c r="W31" s="437"/>
      <c r="X31" s="538">
        <v>132658.07999999999</v>
      </c>
      <c r="Y31" s="551"/>
      <c r="Z31" s="538">
        <v>8938.9500000000007</v>
      </c>
      <c r="AA31" s="538"/>
      <c r="AB31" s="21"/>
      <c r="AC31" s="569"/>
      <c r="AD31" s="1149"/>
      <c r="AE31" s="569"/>
      <c r="AF31" s="569"/>
      <c r="AG31" s="569"/>
      <c r="AH31" s="536"/>
      <c r="AI31" s="1102"/>
      <c r="AJ31" s="1103"/>
      <c r="AK31" s="1103"/>
      <c r="AL31" s="1104"/>
      <c r="AM31" s="542" t="s">
        <v>709</v>
      </c>
      <c r="AN31" s="924"/>
      <c r="AO31" s="925"/>
      <c r="AP31" s="926"/>
      <c r="AQ31" s="926"/>
      <c r="AR31" s="926"/>
      <c r="AS31" s="926"/>
      <c r="AT31" s="926"/>
      <c r="AU31" s="926"/>
      <c r="AV31" s="926"/>
      <c r="AW31" s="927"/>
      <c r="AX31" s="926"/>
      <c r="AY31" s="1538" t="s">
        <v>29</v>
      </c>
      <c r="AZ31" s="333"/>
      <c r="BA31" s="1031" t="s">
        <v>2049</v>
      </c>
      <c r="BB31" s="644" t="s">
        <v>969</v>
      </c>
      <c r="BC31" s="544"/>
      <c r="BD31" s="544"/>
      <c r="BE31" s="544"/>
      <c r="BF31" s="544"/>
      <c r="BG31" s="544"/>
      <c r="BH31" s="741"/>
      <c r="BI31" s="547" t="s">
        <v>709</v>
      </c>
      <c r="BJ31" s="547" t="s">
        <v>709</v>
      </c>
      <c r="BK31" s="547" t="s">
        <v>709</v>
      </c>
      <c r="BL31" s="547" t="s">
        <v>116</v>
      </c>
      <c r="BM31" s="547" t="s">
        <v>709</v>
      </c>
      <c r="BN31" s="547" t="s">
        <v>709</v>
      </c>
      <c r="BO31" s="547" t="s">
        <v>709</v>
      </c>
      <c r="BP31" s="547" t="s">
        <v>709</v>
      </c>
      <c r="BQ31" s="547">
        <v>365</v>
      </c>
      <c r="BR31" s="547">
        <v>1115</v>
      </c>
      <c r="BS31" s="547" t="s">
        <v>709</v>
      </c>
      <c r="BT31" s="547" t="s">
        <v>709</v>
      </c>
      <c r="BU31" s="547" t="s">
        <v>709</v>
      </c>
      <c r="BV31" s="547" t="s">
        <v>709</v>
      </c>
      <c r="BW31" s="547" t="s">
        <v>709</v>
      </c>
      <c r="BX31" s="547" t="s">
        <v>709</v>
      </c>
      <c r="BY31" s="547" t="s">
        <v>709</v>
      </c>
      <c r="BZ31" s="547" t="s">
        <v>709</v>
      </c>
      <c r="CA31" s="483"/>
      <c r="CB31" s="547">
        <v>28</v>
      </c>
      <c r="CC31" s="1481" t="b">
        <v>1</v>
      </c>
      <c r="CD31" t="str">
        <f>Table15[[#This Row],[Engineering Number]]&amp;Table15[[#This Row],[WO Number]]&amp;Table15[[#This Row],[Date Assigned to Designer]]&amp;Table15[[#This Row],[Date Completed]]</f>
        <v>NBA16947211505894361943684</v>
      </c>
    </row>
    <row r="32" spans="1:86" customFormat="1" ht="15" customHeight="1" x14ac:dyDescent="0.25">
      <c r="A32">
        <v>2019</v>
      </c>
      <c r="B32" s="8" t="s">
        <v>1073</v>
      </c>
      <c r="C32" s="8" t="s">
        <v>2030</v>
      </c>
      <c r="D32" s="8" t="s">
        <v>2031</v>
      </c>
      <c r="E32" s="8" t="s">
        <v>2032</v>
      </c>
      <c r="F32" s="8" t="s">
        <v>325</v>
      </c>
      <c r="G32" s="8" t="s">
        <v>1896</v>
      </c>
      <c r="H32" s="8" t="s">
        <v>2051</v>
      </c>
      <c r="I32" s="1033">
        <v>43619</v>
      </c>
      <c r="J32" s="18" t="s">
        <v>2052</v>
      </c>
      <c r="K32" s="642">
        <v>43698</v>
      </c>
      <c r="L32" s="16">
        <f>IF(ISTEXT(Table15[[#This Row],[Engineering Approved Design Date]]),Table15[[#This Row],[Date Completed]]-Table15[[#This Row],[Date Assigned to Designer]],Table15[[#This Row],[Engineering Approved Design Date]]-Table15[[#This Row],[Date Completed]])</f>
        <v>79</v>
      </c>
      <c r="M32" s="642" t="s">
        <v>2053</v>
      </c>
      <c r="N32" s="642" t="s">
        <v>120</v>
      </c>
      <c r="O32" s="1025">
        <v>43709</v>
      </c>
      <c r="P32" s="21" t="s">
        <v>739</v>
      </c>
      <c r="Q32" s="340">
        <v>420</v>
      </c>
      <c r="R32" s="1026" t="s">
        <v>1922</v>
      </c>
      <c r="S32" s="538"/>
      <c r="T32" s="538"/>
      <c r="U32" s="28"/>
      <c r="V32" s="858">
        <v>2330</v>
      </c>
      <c r="W32" s="437"/>
      <c r="X32" s="538"/>
      <c r="Y32" s="551"/>
      <c r="Z32" s="538"/>
      <c r="AA32" s="538"/>
      <c r="AB32" s="21"/>
      <c r="AC32" s="569"/>
      <c r="AD32" s="1149"/>
      <c r="AE32" s="569"/>
      <c r="AF32" s="569"/>
      <c r="AG32" s="569"/>
      <c r="AH32" s="536"/>
      <c r="AI32" s="1028"/>
      <c r="AJ32" s="1029"/>
      <c r="AK32" s="1029"/>
      <c r="AL32" s="1030"/>
      <c r="AM32" s="542" t="s">
        <v>709</v>
      </c>
      <c r="AN32" s="924"/>
      <c r="AO32" s="925"/>
      <c r="AP32" s="926"/>
      <c r="AQ32" s="926"/>
      <c r="AR32" s="926"/>
      <c r="AS32" s="926"/>
      <c r="AT32" s="926"/>
      <c r="AU32" s="926"/>
      <c r="AV32" s="926"/>
      <c r="AW32" s="927"/>
      <c r="AX32" s="926"/>
      <c r="AY32" s="1538" t="s">
        <v>29</v>
      </c>
      <c r="AZ32" s="1530"/>
      <c r="BA32" s="1031">
        <v>4</v>
      </c>
      <c r="BB32" s="644"/>
      <c r="BC32" s="544"/>
      <c r="BD32" s="544"/>
      <c r="BE32" s="544"/>
      <c r="BF32" s="544"/>
      <c r="BG32" s="544"/>
      <c r="BH32" s="741"/>
      <c r="BI32" s="547" t="s">
        <v>709</v>
      </c>
      <c r="BJ32" s="547" t="s">
        <v>709</v>
      </c>
      <c r="BK32" s="547" t="s">
        <v>709</v>
      </c>
      <c r="BL32" s="547" t="s">
        <v>116</v>
      </c>
      <c r="BM32" s="547" t="s">
        <v>709</v>
      </c>
      <c r="BN32" s="547" t="s">
        <v>709</v>
      </c>
      <c r="BO32" s="547" t="s">
        <v>709</v>
      </c>
      <c r="BP32" s="547" t="s">
        <v>709</v>
      </c>
      <c r="BQ32" s="547" t="s">
        <v>709</v>
      </c>
      <c r="BR32" s="547">
        <v>2330</v>
      </c>
      <c r="BS32" s="547" t="s">
        <v>709</v>
      </c>
      <c r="BT32" s="547" t="s">
        <v>709</v>
      </c>
      <c r="BU32" s="547" t="s">
        <v>709</v>
      </c>
      <c r="BV32" s="547" t="s">
        <v>709</v>
      </c>
      <c r="BW32" s="547" t="s">
        <v>709</v>
      </c>
      <c r="BX32" s="547" t="s">
        <v>709</v>
      </c>
      <c r="BY32" s="547" t="s">
        <v>709</v>
      </c>
      <c r="BZ32" s="547" t="s">
        <v>709</v>
      </c>
      <c r="CA32" s="483"/>
      <c r="CB32" s="547">
        <v>30</v>
      </c>
      <c r="CC32" s="1481" t="b">
        <v>1</v>
      </c>
      <c r="CD32" t="str">
        <f>Table15[[#This Row],[Engineering Number]]&amp;Table15[[#This Row],[WO Number]]&amp;Table15[[#This Row],[Date Assigned to Designer]]&amp;Table15[[#This Row],[Date Completed]]</f>
        <v>NBA17035051505654361943698</v>
      </c>
    </row>
    <row r="33" spans="1:82" customFormat="1" ht="15" customHeight="1" x14ac:dyDescent="0.25">
      <c r="A33">
        <v>2020</v>
      </c>
      <c r="B33" s="8" t="s">
        <v>771</v>
      </c>
      <c r="C33" s="8" t="s">
        <v>1998</v>
      </c>
      <c r="D33" s="8" t="s">
        <v>1999</v>
      </c>
      <c r="E33" s="8" t="s">
        <v>2000</v>
      </c>
      <c r="F33" s="8" t="s">
        <v>325</v>
      </c>
      <c r="G33" s="8" t="s">
        <v>1896</v>
      </c>
      <c r="H33" s="8" t="s">
        <v>2051</v>
      </c>
      <c r="I33" s="1033">
        <v>43480</v>
      </c>
      <c r="J33" s="18" t="s">
        <v>2052</v>
      </c>
      <c r="K33" s="642">
        <v>43700</v>
      </c>
      <c r="L33" s="16">
        <f>IF(ISTEXT(Table15[[#This Row],[Engineering Approved Design Date]]),Table15[[#This Row],[Date Completed]]-Table15[[#This Row],[Date Assigned to Designer]],Table15[[#This Row],[Engineering Approved Design Date]]-Table15[[#This Row],[Date Completed]])</f>
        <v>220</v>
      </c>
      <c r="M33" s="642" t="s">
        <v>2055</v>
      </c>
      <c r="N33" s="642" t="s">
        <v>120</v>
      </c>
      <c r="O33" s="1025">
        <v>43709</v>
      </c>
      <c r="P33" s="21" t="s">
        <v>120</v>
      </c>
      <c r="Q33" s="340">
        <v>1540</v>
      </c>
      <c r="R33" s="1026" t="s">
        <v>1922</v>
      </c>
      <c r="S33" s="538"/>
      <c r="T33" s="538"/>
      <c r="U33" s="28"/>
      <c r="V33" s="858"/>
      <c r="W33" s="437"/>
      <c r="X33" s="538"/>
      <c r="Y33" s="551"/>
      <c r="Z33" s="538"/>
      <c r="AA33" s="538"/>
      <c r="AB33" s="21"/>
      <c r="AC33" s="569"/>
      <c r="AD33" s="1149"/>
      <c r="AE33" s="569"/>
      <c r="AF33" s="569"/>
      <c r="AG33" s="569"/>
      <c r="AH33" s="536"/>
      <c r="AI33" s="1028"/>
      <c r="AJ33" s="1029"/>
      <c r="AK33" s="1029"/>
      <c r="AL33" s="1030"/>
      <c r="AM33" s="542" t="s">
        <v>709</v>
      </c>
      <c r="AN33" s="924"/>
      <c r="AO33" s="925"/>
      <c r="AP33" s="926"/>
      <c r="AQ33" s="926"/>
      <c r="AR33" s="926"/>
      <c r="AS33" s="926"/>
      <c r="AT33" s="926"/>
      <c r="AU33" s="926"/>
      <c r="AV33" s="926"/>
      <c r="AW33" s="927"/>
      <c r="AX33" s="926"/>
      <c r="AY33" s="1538" t="s">
        <v>29</v>
      </c>
      <c r="AZ33" s="1530"/>
      <c r="BA33" s="1031">
        <v>10</v>
      </c>
      <c r="BB33" s="644"/>
      <c r="BC33" s="544"/>
      <c r="BD33" s="544"/>
      <c r="BE33" s="544"/>
      <c r="BF33" s="544"/>
      <c r="BG33" s="544"/>
      <c r="BH33" s="741"/>
      <c r="BI33" s="547" t="s">
        <v>709</v>
      </c>
      <c r="BJ33" s="547" t="s">
        <v>709</v>
      </c>
      <c r="BK33" s="547" t="s">
        <v>709</v>
      </c>
      <c r="BL33" s="547" t="s">
        <v>116</v>
      </c>
      <c r="BM33" s="547" t="s">
        <v>709</v>
      </c>
      <c r="BN33" s="547" t="s">
        <v>709</v>
      </c>
      <c r="BO33" s="547" t="s">
        <v>709</v>
      </c>
      <c r="BP33" s="547" t="s">
        <v>709</v>
      </c>
      <c r="BQ33" s="547" t="s">
        <v>709</v>
      </c>
      <c r="BR33" s="547" t="s">
        <v>709</v>
      </c>
      <c r="BS33" s="547">
        <v>2340</v>
      </c>
      <c r="BT33" s="547" t="s">
        <v>709</v>
      </c>
      <c r="BU33" s="547" t="s">
        <v>709</v>
      </c>
      <c r="BV33" s="547" t="s">
        <v>709</v>
      </c>
      <c r="BW33" s="547" t="s">
        <v>709</v>
      </c>
      <c r="BX33" s="547" t="s">
        <v>709</v>
      </c>
      <c r="BY33" s="547" t="s">
        <v>709</v>
      </c>
      <c r="BZ33" s="547" t="s">
        <v>709</v>
      </c>
      <c r="CA33" s="483"/>
      <c r="CB33" s="547">
        <v>31</v>
      </c>
      <c r="CC33" s="1481" t="b">
        <v>1</v>
      </c>
      <c r="CD33" t="str">
        <f>Table15[[#This Row],[Engineering Number]]&amp;Table15[[#This Row],[WO Number]]&amp;Table15[[#This Row],[Date Assigned to Designer]]&amp;Table15[[#This Row],[Date Completed]]</f>
        <v>BS6001290504348043700</v>
      </c>
    </row>
    <row r="34" spans="1:82" customFormat="1" ht="15" customHeight="1" x14ac:dyDescent="0.25">
      <c r="A34">
        <v>2019</v>
      </c>
      <c r="B34" s="8" t="s">
        <v>771</v>
      </c>
      <c r="C34" s="8" t="s">
        <v>1889</v>
      </c>
      <c r="D34" s="8" t="s">
        <v>1890</v>
      </c>
      <c r="E34" s="8" t="s">
        <v>141</v>
      </c>
      <c r="F34" s="8" t="s">
        <v>1891</v>
      </c>
      <c r="G34" s="8" t="s">
        <v>1887</v>
      </c>
      <c r="H34" s="8" t="s">
        <v>2051</v>
      </c>
      <c r="I34" s="1033">
        <v>42852</v>
      </c>
      <c r="J34" s="18" t="s">
        <v>2052</v>
      </c>
      <c r="K34" s="642">
        <v>43703</v>
      </c>
      <c r="L34" s="16">
        <f>IF(ISTEXT(Table15[[#This Row],[Engineering Approved Design Date]]),Table15[[#This Row],[Date Completed]]-Table15[[#This Row],[Date Assigned to Designer]],Table15[[#This Row],[Engineering Approved Design Date]]-Table15[[#This Row],[Date Completed]])</f>
        <v>851</v>
      </c>
      <c r="M34" s="642" t="s">
        <v>2057</v>
      </c>
      <c r="N34" s="642" t="s">
        <v>120</v>
      </c>
      <c r="O34" s="1025">
        <v>43709</v>
      </c>
      <c r="P34" s="21" t="s">
        <v>739</v>
      </c>
      <c r="Q34" s="340">
        <v>5027.5</v>
      </c>
      <c r="R34" s="1026" t="s">
        <v>1922</v>
      </c>
      <c r="S34" s="538"/>
      <c r="T34" s="538"/>
      <c r="U34" s="28"/>
      <c r="V34" s="858"/>
      <c r="W34" s="437"/>
      <c r="X34" s="538"/>
      <c r="Y34" s="551"/>
      <c r="Z34" s="538"/>
      <c r="AA34" s="538"/>
      <c r="AB34" s="21"/>
      <c r="AC34" s="569"/>
      <c r="AD34" s="1149"/>
      <c r="AE34" s="569"/>
      <c r="AF34" s="569"/>
      <c r="AG34" s="569"/>
      <c r="AH34" s="536"/>
      <c r="AI34" s="1028"/>
      <c r="AJ34" s="1029"/>
      <c r="AK34" s="1029"/>
      <c r="AL34" s="1030"/>
      <c r="AM34" s="542" t="s">
        <v>709</v>
      </c>
      <c r="AN34" s="924"/>
      <c r="AO34" s="925"/>
      <c r="AP34" s="926"/>
      <c r="AQ34" s="926"/>
      <c r="AR34" s="926"/>
      <c r="AS34" s="926"/>
      <c r="AT34" s="926"/>
      <c r="AU34" s="926"/>
      <c r="AV34" s="926"/>
      <c r="AW34" s="927"/>
      <c r="AX34" s="926"/>
      <c r="AY34" s="1538" t="s">
        <v>29</v>
      </c>
      <c r="AZ34" s="1530"/>
      <c r="BA34" s="1031">
        <v>6</v>
      </c>
      <c r="BB34" s="644"/>
      <c r="BC34" s="544"/>
      <c r="BD34" s="544"/>
      <c r="BE34" s="544"/>
      <c r="BF34" s="544"/>
      <c r="BG34" s="544"/>
      <c r="BH34" s="741"/>
      <c r="BI34" s="547"/>
      <c r="BJ34" s="547"/>
      <c r="BK34" s="547"/>
      <c r="BL34" s="547"/>
      <c r="BM34" s="547"/>
      <c r="BN34" s="547"/>
      <c r="BO34" s="547"/>
      <c r="BP34" s="547"/>
      <c r="BQ34" s="547"/>
      <c r="BR34" s="547"/>
      <c r="BS34" s="547"/>
      <c r="BT34" s="547"/>
      <c r="BU34" s="547"/>
      <c r="BV34" s="547"/>
      <c r="BW34" s="547"/>
      <c r="BX34" s="547"/>
      <c r="BY34" s="547"/>
      <c r="BZ34" s="547" t="s">
        <v>709</v>
      </c>
      <c r="CA34" s="483" t="s">
        <v>1053</v>
      </c>
      <c r="CB34" s="547">
        <v>32</v>
      </c>
      <c r="CC34" s="1481" t="b">
        <v>1</v>
      </c>
      <c r="CD34" t="str">
        <f>Table15[[#This Row],[Engineering Number]]&amp;Table15[[#This Row],[WO Number]]&amp;Table15[[#This Row],[Date Assigned to Designer]]&amp;Table15[[#This Row],[Date Completed]]</f>
        <v>BS4541405374285243703</v>
      </c>
    </row>
    <row r="35" spans="1:82" customFormat="1" ht="15" customHeight="1" x14ac:dyDescent="0.25">
      <c r="A35">
        <v>2020</v>
      </c>
      <c r="B35" s="8" t="s">
        <v>4</v>
      </c>
      <c r="C35" s="8" t="s">
        <v>2068</v>
      </c>
      <c r="D35" s="8" t="s">
        <v>115</v>
      </c>
      <c r="E35" s="8" t="s">
        <v>1159</v>
      </c>
      <c r="F35" s="8" t="s">
        <v>919</v>
      </c>
      <c r="G35" s="8" t="s">
        <v>1896</v>
      </c>
      <c r="H35" s="8" t="s">
        <v>1903</v>
      </c>
      <c r="I35" s="642">
        <v>43661</v>
      </c>
      <c r="J35" s="18">
        <v>43756</v>
      </c>
      <c r="K35" s="642">
        <v>43704</v>
      </c>
      <c r="L35" s="16">
        <f>IF(ISTEXT(Table15[[#This Row],[Engineering Approved Design Date]]),Table15[[#This Row],[Date Completed]]-Table15[[#This Row],[Date Assigned to Designer]],Table15[[#This Row],[Engineering Approved Design Date]]-Table15[[#This Row],[Date Completed]])</f>
        <v>52</v>
      </c>
      <c r="M35" s="642" t="s">
        <v>2069</v>
      </c>
      <c r="N35" s="642" t="s">
        <v>120</v>
      </c>
      <c r="O35" s="1025">
        <v>43709</v>
      </c>
      <c r="P35" s="21" t="s">
        <v>739</v>
      </c>
      <c r="Q35" s="340" t="s">
        <v>115</v>
      </c>
      <c r="R35" s="1026" t="s">
        <v>115</v>
      </c>
      <c r="S35" s="538"/>
      <c r="T35" s="538"/>
      <c r="U35" s="28"/>
      <c r="V35" s="858"/>
      <c r="W35" s="437"/>
      <c r="X35" s="538"/>
      <c r="Y35" s="551"/>
      <c r="Z35" s="538"/>
      <c r="AA35" s="538">
        <v>0</v>
      </c>
      <c r="AB35" s="21"/>
      <c r="AC35" s="569"/>
      <c r="AD35" s="1149"/>
      <c r="AE35" s="580"/>
      <c r="AF35" s="580"/>
      <c r="AG35" s="580"/>
      <c r="AH35" s="542"/>
      <c r="AI35" s="1028"/>
      <c r="AJ35" s="1029"/>
      <c r="AK35" s="1029"/>
      <c r="AL35" s="1030"/>
      <c r="AM35" s="542" t="s">
        <v>709</v>
      </c>
      <c r="AN35" s="924"/>
      <c r="AO35" s="925"/>
      <c r="AP35" s="926"/>
      <c r="AQ35" s="926"/>
      <c r="AR35" s="926"/>
      <c r="AS35" s="926"/>
      <c r="AT35" s="926"/>
      <c r="AU35" s="926"/>
      <c r="AV35" s="926"/>
      <c r="AW35" s="927"/>
      <c r="AX35" s="926"/>
      <c r="AY35" s="1538" t="s">
        <v>29</v>
      </c>
      <c r="AZ35" s="1530"/>
      <c r="BA35" s="1031" t="s">
        <v>2070</v>
      </c>
      <c r="BB35" s="644"/>
      <c r="BC35" s="544"/>
      <c r="BD35" s="544"/>
      <c r="BE35" s="544"/>
      <c r="BF35" s="544"/>
      <c r="BG35" s="544"/>
      <c r="BH35" s="741"/>
      <c r="BI35" s="1032"/>
      <c r="BJ35" s="1032"/>
      <c r="BK35" s="1032"/>
      <c r="BL35" s="1032"/>
      <c r="BM35" s="1032"/>
      <c r="BN35" s="1032"/>
      <c r="BO35" s="1032"/>
      <c r="BP35" s="1032"/>
      <c r="BQ35" s="1032"/>
      <c r="BR35" s="1032"/>
      <c r="BS35" s="1032"/>
      <c r="BT35" s="1032"/>
      <c r="BU35" s="1032"/>
      <c r="BV35" s="1032"/>
      <c r="BW35" s="1032"/>
      <c r="BX35" s="1032"/>
      <c r="BY35" s="1032"/>
      <c r="BZ35" s="1032"/>
      <c r="CA35" s="485"/>
      <c r="CB35" s="547">
        <v>34</v>
      </c>
      <c r="CC35" s="1481" t="b">
        <v>1</v>
      </c>
      <c r="CD35" t="str">
        <f>Table15[[#This Row],[Engineering Number]]&amp;Table15[[#This Row],[WO Number]]&amp;Table15[[#This Row],[Date Assigned to Designer]]&amp;Table15[[#This Row],[Date Completed]]</f>
        <v>SC15792-4366143704</v>
      </c>
    </row>
    <row r="36" spans="1:82" customFormat="1" ht="15" customHeight="1" x14ac:dyDescent="0.25">
      <c r="A36">
        <v>2019</v>
      </c>
      <c r="B36" s="8" t="s">
        <v>1073</v>
      </c>
      <c r="C36" s="8" t="s">
        <v>2059</v>
      </c>
      <c r="D36" s="8" t="s">
        <v>2065</v>
      </c>
      <c r="E36" s="8" t="s">
        <v>2061</v>
      </c>
      <c r="F36" s="8" t="s">
        <v>919</v>
      </c>
      <c r="G36" s="8" t="s">
        <v>1896</v>
      </c>
      <c r="H36" s="8" t="s">
        <v>59</v>
      </c>
      <c r="I36" s="642">
        <v>43635</v>
      </c>
      <c r="J36" s="18">
        <v>43696</v>
      </c>
      <c r="K36" s="642">
        <v>43704</v>
      </c>
      <c r="L36" s="16">
        <v>0</v>
      </c>
      <c r="M36" s="642" t="s">
        <v>2062</v>
      </c>
      <c r="N36" s="642" t="s">
        <v>120</v>
      </c>
      <c r="O36" s="1025">
        <v>43704</v>
      </c>
      <c r="P36" s="21" t="s">
        <v>739</v>
      </c>
      <c r="Q36" s="340" t="s">
        <v>1922</v>
      </c>
      <c r="R36" s="1026" t="s">
        <v>1922</v>
      </c>
      <c r="S36" s="538"/>
      <c r="T36" s="538"/>
      <c r="U36" s="28"/>
      <c r="V36" s="858">
        <f>95+3140</f>
        <v>3235</v>
      </c>
      <c r="W36" s="437"/>
      <c r="X36" s="538"/>
      <c r="Y36" s="551"/>
      <c r="Z36" s="538"/>
      <c r="AA36" s="538"/>
      <c r="AB36" s="21"/>
      <c r="AC36" s="569"/>
      <c r="AD36" s="1149"/>
      <c r="AE36" s="569"/>
      <c r="AF36" s="569"/>
      <c r="AG36" s="569"/>
      <c r="AH36" s="536"/>
      <c r="AI36" s="1028"/>
      <c r="AJ36" s="1029"/>
      <c r="AK36" s="1029"/>
      <c r="AL36" s="1030"/>
      <c r="AM36" s="542" t="s">
        <v>709</v>
      </c>
      <c r="AN36" s="924"/>
      <c r="AO36" s="925"/>
      <c r="AP36" s="926"/>
      <c r="AQ36" s="926"/>
      <c r="AR36" s="926"/>
      <c r="AS36" s="926"/>
      <c r="AT36" s="926"/>
      <c r="AU36" s="926"/>
      <c r="AV36" s="926"/>
      <c r="AW36" s="927"/>
      <c r="AX36" s="926"/>
      <c r="AY36" s="1538" t="s">
        <v>29</v>
      </c>
      <c r="AZ36" s="1530"/>
      <c r="BA36" s="1031" t="s">
        <v>2066</v>
      </c>
      <c r="BB36" s="644"/>
      <c r="BC36" s="544"/>
      <c r="BD36" s="544"/>
      <c r="BE36" s="544"/>
      <c r="BF36" s="544"/>
      <c r="BG36" s="544"/>
      <c r="BH36" s="741"/>
      <c r="BI36" s="547" t="s">
        <v>709</v>
      </c>
      <c r="BJ36" s="547" t="s">
        <v>709</v>
      </c>
      <c r="BK36" s="547" t="s">
        <v>709</v>
      </c>
      <c r="BL36" s="547" t="s">
        <v>116</v>
      </c>
      <c r="BM36" s="547" t="s">
        <v>709</v>
      </c>
      <c r="BN36" s="547" t="s">
        <v>709</v>
      </c>
      <c r="BO36" s="547" t="s">
        <v>709</v>
      </c>
      <c r="BP36" s="547" t="s">
        <v>709</v>
      </c>
      <c r="BQ36" s="547" t="s">
        <v>709</v>
      </c>
      <c r="BR36" s="547">
        <v>3140</v>
      </c>
      <c r="BS36" s="547">
        <v>95</v>
      </c>
      <c r="BT36" s="547" t="s">
        <v>709</v>
      </c>
      <c r="BU36" s="547" t="s">
        <v>709</v>
      </c>
      <c r="BV36" s="547" t="s">
        <v>709</v>
      </c>
      <c r="BW36" s="547" t="s">
        <v>709</v>
      </c>
      <c r="BX36" s="547" t="s">
        <v>709</v>
      </c>
      <c r="BY36" s="547" t="s">
        <v>709</v>
      </c>
      <c r="BZ36" s="547" t="s">
        <v>709</v>
      </c>
      <c r="CA36" s="483"/>
      <c r="CB36" s="547">
        <v>33</v>
      </c>
      <c r="CC36" s="1481" t="b">
        <v>1</v>
      </c>
      <c r="CD36" t="str">
        <f>Table15[[#This Row],[Engineering Number]]&amp;Table15[[#This Row],[WO Number]]&amp;Table15[[#This Row],[Date Assigned to Designer]]&amp;Table15[[#This Row],[Date Completed]]</f>
        <v>NBA17163691505914363543704</v>
      </c>
    </row>
    <row r="37" spans="1:82" customFormat="1" ht="15" customHeight="1" x14ac:dyDescent="0.25">
      <c r="A37">
        <v>2019</v>
      </c>
      <c r="B37" s="8" t="s">
        <v>1073</v>
      </c>
      <c r="C37" s="8" t="s">
        <v>2059</v>
      </c>
      <c r="D37" s="8" t="s">
        <v>2060</v>
      </c>
      <c r="E37" s="8" t="s">
        <v>2061</v>
      </c>
      <c r="F37" s="8" t="s">
        <v>919</v>
      </c>
      <c r="G37" s="8" t="s">
        <v>1896</v>
      </c>
      <c r="H37" s="8" t="s">
        <v>59</v>
      </c>
      <c r="I37" s="642">
        <v>43635</v>
      </c>
      <c r="J37" s="18">
        <v>43696</v>
      </c>
      <c r="K37" s="642">
        <v>43704</v>
      </c>
      <c r="L37" s="16">
        <v>0</v>
      </c>
      <c r="M37" s="642" t="s">
        <v>2062</v>
      </c>
      <c r="N37" s="642" t="s">
        <v>120</v>
      </c>
      <c r="O37" s="1025">
        <v>43709</v>
      </c>
      <c r="P37" s="21" t="s">
        <v>739</v>
      </c>
      <c r="Q37" s="340" t="s">
        <v>115</v>
      </c>
      <c r="R37" s="1026" t="s">
        <v>115</v>
      </c>
      <c r="S37" s="538"/>
      <c r="T37" s="538"/>
      <c r="U37" s="28"/>
      <c r="V37" s="858" t="s">
        <v>2045</v>
      </c>
      <c r="W37" s="437"/>
      <c r="X37" s="538"/>
      <c r="Y37" s="551"/>
      <c r="Z37" s="538"/>
      <c r="AA37" s="538"/>
      <c r="AB37" s="21"/>
      <c r="AC37" s="569"/>
      <c r="AD37" s="1149"/>
      <c r="AE37" s="569"/>
      <c r="AF37" s="569"/>
      <c r="AG37" s="569"/>
      <c r="AH37" s="536"/>
      <c r="AI37" s="1028"/>
      <c r="AJ37" s="1029"/>
      <c r="AK37" s="1029"/>
      <c r="AL37" s="1030"/>
      <c r="AM37" s="542" t="s">
        <v>709</v>
      </c>
      <c r="AN37" s="924"/>
      <c r="AO37" s="925"/>
      <c r="AP37" s="926"/>
      <c r="AQ37" s="926"/>
      <c r="AR37" s="926"/>
      <c r="AS37" s="926"/>
      <c r="AT37" s="926"/>
      <c r="AU37" s="926"/>
      <c r="AV37" s="926"/>
      <c r="AW37" s="927"/>
      <c r="AX37" s="926"/>
      <c r="AY37" s="1538" t="s">
        <v>29</v>
      </c>
      <c r="AZ37" s="1530"/>
      <c r="BA37" s="1031" t="s">
        <v>2063</v>
      </c>
      <c r="BB37" s="644"/>
      <c r="BC37" s="544"/>
      <c r="BD37" s="544"/>
      <c r="BE37" s="544"/>
      <c r="BF37" s="544"/>
      <c r="BG37" s="544"/>
      <c r="BH37" s="741"/>
      <c r="BI37" s="547" t="s">
        <v>709</v>
      </c>
      <c r="BJ37" s="547" t="s">
        <v>709</v>
      </c>
      <c r="BK37" s="547" t="s">
        <v>709</v>
      </c>
      <c r="BL37" s="547" t="s">
        <v>116</v>
      </c>
      <c r="BM37" s="547" t="s">
        <v>709</v>
      </c>
      <c r="BN37" s="547" t="s">
        <v>709</v>
      </c>
      <c r="BO37" s="547" t="s">
        <v>709</v>
      </c>
      <c r="BP37" s="547" t="s">
        <v>709</v>
      </c>
      <c r="BQ37" s="547" t="s">
        <v>709</v>
      </c>
      <c r="BR37" s="547">
        <v>3140</v>
      </c>
      <c r="BS37" s="547">
        <v>95</v>
      </c>
      <c r="BT37" s="547" t="s">
        <v>709</v>
      </c>
      <c r="BU37" s="547" t="s">
        <v>709</v>
      </c>
      <c r="BV37" s="547" t="s">
        <v>709</v>
      </c>
      <c r="BW37" s="547" t="s">
        <v>709</v>
      </c>
      <c r="BX37" s="547" t="s">
        <v>709</v>
      </c>
      <c r="BY37" s="547" t="s">
        <v>709</v>
      </c>
      <c r="BZ37" s="547" t="s">
        <v>709</v>
      </c>
      <c r="CA37" s="483"/>
      <c r="CB37" s="547">
        <v>35</v>
      </c>
      <c r="CC37" s="1481" t="b">
        <v>1</v>
      </c>
      <c r="CD37" t="str">
        <f>Table15[[#This Row],[Engineering Number]]&amp;Table15[[#This Row],[WO Number]]&amp;Table15[[#This Row],[Date Assigned to Designer]]&amp;Table15[[#This Row],[Date Completed]]</f>
        <v>NBA17163691505884363543704</v>
      </c>
    </row>
    <row r="38" spans="1:82" customFormat="1" ht="15" customHeight="1" x14ac:dyDescent="0.25">
      <c r="A38">
        <v>2019</v>
      </c>
      <c r="B38" s="8" t="s">
        <v>4</v>
      </c>
      <c r="C38" s="8" t="s">
        <v>2078</v>
      </c>
      <c r="D38" s="8" t="s">
        <v>2079</v>
      </c>
      <c r="E38" s="8" t="s">
        <v>245</v>
      </c>
      <c r="F38" s="8" t="s">
        <v>325</v>
      </c>
      <c r="G38" s="8" t="s">
        <v>1896</v>
      </c>
      <c r="H38" s="8" t="s">
        <v>59</v>
      </c>
      <c r="I38" s="642">
        <v>43523</v>
      </c>
      <c r="J38" s="18">
        <v>43710</v>
      </c>
      <c r="K38" s="642">
        <v>43712</v>
      </c>
      <c r="L38" s="16">
        <v>0</v>
      </c>
      <c r="M38" s="642" t="s">
        <v>2080</v>
      </c>
      <c r="N38" s="642" t="s">
        <v>120</v>
      </c>
      <c r="O38" s="1025">
        <v>43712</v>
      </c>
      <c r="P38" s="21" t="s">
        <v>739</v>
      </c>
      <c r="Q38" s="340">
        <f>AA38*R38</f>
        <v>13429.945900000001</v>
      </c>
      <c r="R38" s="1026">
        <v>7.0000000000000007E-2</v>
      </c>
      <c r="S38" s="538"/>
      <c r="T38" s="538"/>
      <c r="U38" s="28"/>
      <c r="V38" s="858">
        <v>960</v>
      </c>
      <c r="W38" s="437"/>
      <c r="X38" s="538">
        <f>131751.56+53224.18</f>
        <v>184975.74</v>
      </c>
      <c r="Y38" s="551">
        <f>10722.6+4428.9</f>
        <v>15151.5</v>
      </c>
      <c r="Z38" s="538">
        <f>11823.57+10208.56</f>
        <v>22032.129999999997</v>
      </c>
      <c r="AA38" s="538">
        <f>X38-Y38+Z38</f>
        <v>191856.37</v>
      </c>
      <c r="AB38" s="21"/>
      <c r="AC38" s="569"/>
      <c r="AD38" s="1149"/>
      <c r="AE38" s="580"/>
      <c r="AF38" s="580"/>
      <c r="AG38" s="580"/>
      <c r="AH38" s="542"/>
      <c r="AI38" s="1028"/>
      <c r="AJ38" s="1029"/>
      <c r="AK38" s="1029"/>
      <c r="AL38" s="1030"/>
      <c r="AM38" s="542" t="s">
        <v>116</v>
      </c>
      <c r="AN38" s="1508">
        <v>43874</v>
      </c>
      <c r="AO38" s="925">
        <v>182014</v>
      </c>
      <c r="AP38" s="926">
        <v>182124.16</v>
      </c>
      <c r="AQ38" s="926">
        <v>14918.4</v>
      </c>
      <c r="AR38" s="926">
        <v>24047.9</v>
      </c>
      <c r="AS38" s="926">
        <f>IF(Table15[[#This Row],[PCTS Approved]]="N",0,Table15[[#This Row],[Investment Amount (1'#'#'#'#'#)]]+Table15[[#This Row],[Retirement Amount (3'#'#'#'#'#)]])</f>
        <v>206172.06</v>
      </c>
      <c r="AT38" s="926">
        <f>IF(Table15[[#This Row],[Approved Construction Cost]]=0,0,Table15[[#This Row],[Approved Construction Cost]]-Table15[[#This Row],[Construction Cost to Bill From]])</f>
        <v>14315.690000000002</v>
      </c>
      <c r="AU38" s="926">
        <f>Table15[[#This Row],[Difference in Construction Cost]]*Table15[[#This Row],[Rate]]</f>
        <v>1002.0983000000002</v>
      </c>
      <c r="AV38" s="926">
        <v>3617.5</v>
      </c>
      <c r="AW38" s="927" t="s">
        <v>2081</v>
      </c>
      <c r="AX38" s="926"/>
      <c r="AY38" s="636" t="s">
        <v>1935</v>
      </c>
      <c r="AZ38" s="1531"/>
      <c r="BA38" s="1031" t="s">
        <v>2082</v>
      </c>
      <c r="BB38" s="644" t="s">
        <v>2083</v>
      </c>
      <c r="BC38" s="544"/>
      <c r="BD38" s="544"/>
      <c r="BE38" s="544"/>
      <c r="BF38" s="544"/>
      <c r="BG38" s="544"/>
      <c r="BH38" s="741"/>
      <c r="BI38" s="547" t="s">
        <v>709</v>
      </c>
      <c r="BJ38" s="547" t="s">
        <v>709</v>
      </c>
      <c r="BK38" s="547" t="s">
        <v>709</v>
      </c>
      <c r="BL38" s="547" t="s">
        <v>116</v>
      </c>
      <c r="BM38" s="547" t="s">
        <v>709</v>
      </c>
      <c r="BN38" s="547" t="s">
        <v>709</v>
      </c>
      <c r="BO38" s="547" t="s">
        <v>709</v>
      </c>
      <c r="BP38" s="547" t="s">
        <v>709</v>
      </c>
      <c r="BQ38" s="547">
        <v>285</v>
      </c>
      <c r="BR38" s="547" t="s">
        <v>709</v>
      </c>
      <c r="BS38" s="547" t="s">
        <v>709</v>
      </c>
      <c r="BT38" s="547" t="s">
        <v>709</v>
      </c>
      <c r="BU38" s="547" t="s">
        <v>709</v>
      </c>
      <c r="BV38" s="547" t="s">
        <v>709</v>
      </c>
      <c r="BW38" s="547" t="s">
        <v>709</v>
      </c>
      <c r="BX38" s="547" t="s">
        <v>709</v>
      </c>
      <c r="BY38" s="547" t="s">
        <v>709</v>
      </c>
      <c r="BZ38" s="547" t="s">
        <v>709</v>
      </c>
      <c r="CA38" s="483"/>
      <c r="CB38" s="547">
        <v>37</v>
      </c>
      <c r="CC38" s="1481" t="b">
        <v>1</v>
      </c>
      <c r="CD38" t="str">
        <f>Table15[[#This Row],[Engineering Number]]&amp;Table15[[#This Row],[WO Number]]&amp;Table15[[#This Row],[Date Assigned to Designer]]&amp;Table15[[#This Row],[Date Completed]]</f>
        <v>N122621290924352343712</v>
      </c>
    </row>
    <row r="39" spans="1:82" customFormat="1" ht="15" customHeight="1" x14ac:dyDescent="0.25">
      <c r="A39">
        <v>2019</v>
      </c>
      <c r="B39" s="8" t="s">
        <v>4</v>
      </c>
      <c r="C39" s="8" t="s">
        <v>2072</v>
      </c>
      <c r="D39" s="8" t="s">
        <v>2073</v>
      </c>
      <c r="E39" s="8" t="s">
        <v>2074</v>
      </c>
      <c r="F39" s="8" t="s">
        <v>919</v>
      </c>
      <c r="G39" s="8" t="s">
        <v>1896</v>
      </c>
      <c r="H39" s="8" t="s">
        <v>59</v>
      </c>
      <c r="I39" s="642">
        <v>43643</v>
      </c>
      <c r="J39" s="18">
        <v>43699</v>
      </c>
      <c r="K39" s="642">
        <v>43712</v>
      </c>
      <c r="L39" s="16">
        <v>0</v>
      </c>
      <c r="M39" s="642" t="s">
        <v>2039</v>
      </c>
      <c r="N39" s="642" t="s">
        <v>120</v>
      </c>
      <c r="O39" s="1025">
        <v>43712</v>
      </c>
      <c r="P39" s="21" t="s">
        <v>739</v>
      </c>
      <c r="Q39" s="340">
        <f>AA39*R39</f>
        <v>9819.2311000000009</v>
      </c>
      <c r="R39" s="1026">
        <v>7.0000000000000007E-2</v>
      </c>
      <c r="S39" s="538"/>
      <c r="T39" s="538"/>
      <c r="U39" s="28"/>
      <c r="V39" s="858">
        <f>505+315</f>
        <v>820</v>
      </c>
      <c r="W39" s="437"/>
      <c r="X39" s="538">
        <v>140563.48000000001</v>
      </c>
      <c r="Y39" s="551">
        <v>12742.8</v>
      </c>
      <c r="Z39" s="538">
        <v>12454.05</v>
      </c>
      <c r="AA39" s="538">
        <f>X39-Y39+Z39</f>
        <v>140274.73000000001</v>
      </c>
      <c r="AB39" s="21"/>
      <c r="AC39" s="569"/>
      <c r="AD39" s="1149"/>
      <c r="AE39" s="580"/>
      <c r="AF39" s="580"/>
      <c r="AG39" s="580"/>
      <c r="AH39" s="542"/>
      <c r="AI39" s="1028"/>
      <c r="AJ39" s="1029"/>
      <c r="AK39" s="1029"/>
      <c r="AL39" s="1030"/>
      <c r="AM39" s="1522" t="s">
        <v>116</v>
      </c>
      <c r="AN39" s="1523">
        <v>43770</v>
      </c>
      <c r="AO39" s="1524">
        <v>181376</v>
      </c>
      <c r="AP39" s="1525">
        <v>158799.18</v>
      </c>
      <c r="AQ39" s="1525">
        <v>12742.8</v>
      </c>
      <c r="AR39" s="1525">
        <v>12454.05</v>
      </c>
      <c r="AS39" s="1525">
        <f>IF(Table15[[#This Row],[PCTS Approved]]="N",0,Table15[[#This Row],[Investment Amount (1'#'#'#'#'#)]]+Table15[[#This Row],[Retirement Amount (3'#'#'#'#'#)]])</f>
        <v>171253.22999999998</v>
      </c>
      <c r="AT39" s="1525">
        <f>IF(Table15[[#This Row],[Approved Construction Cost]]=0,0,Table15[[#This Row],[Approved Construction Cost]]-Table15[[#This Row],[Construction Cost to Bill From]])</f>
        <v>30978.499999999971</v>
      </c>
      <c r="AU39" s="1525">
        <f>Table15[[#This Row],[Difference in Construction Cost]]*Table15[[#This Row],[Rate]]</f>
        <v>2168.4949999999981</v>
      </c>
      <c r="AV39" s="1525">
        <v>6120</v>
      </c>
      <c r="AW39" s="1526" t="s">
        <v>2075</v>
      </c>
      <c r="AX39" s="1525"/>
      <c r="AY39" s="1518">
        <v>43983</v>
      </c>
      <c r="AZ39" s="333"/>
      <c r="BA39" s="1031" t="s">
        <v>2076</v>
      </c>
      <c r="BB39" s="644" t="s">
        <v>1900</v>
      </c>
      <c r="BC39" s="544"/>
      <c r="BD39" s="544"/>
      <c r="BE39" s="544"/>
      <c r="BF39" s="544"/>
      <c r="BG39" s="544"/>
      <c r="BH39" s="741"/>
      <c r="BI39" s="547" t="s">
        <v>709</v>
      </c>
      <c r="BJ39" s="547" t="s">
        <v>709</v>
      </c>
      <c r="BK39" s="547" t="s">
        <v>116</v>
      </c>
      <c r="BL39" s="547" t="s">
        <v>709</v>
      </c>
      <c r="BM39" s="547" t="s">
        <v>709</v>
      </c>
      <c r="BN39" s="547" t="s">
        <v>709</v>
      </c>
      <c r="BO39" s="547" t="s">
        <v>709</v>
      </c>
      <c r="BP39" s="547" t="s">
        <v>709</v>
      </c>
      <c r="BQ39" s="547" t="s">
        <v>709</v>
      </c>
      <c r="BR39" s="547">
        <v>820</v>
      </c>
      <c r="BS39" s="547" t="s">
        <v>709</v>
      </c>
      <c r="BT39" s="547" t="s">
        <v>709</v>
      </c>
      <c r="BU39" s="547" t="s">
        <v>709</v>
      </c>
      <c r="BV39" s="547" t="s">
        <v>709</v>
      </c>
      <c r="BW39" s="547" t="s">
        <v>709</v>
      </c>
      <c r="BX39" s="547" t="s">
        <v>709</v>
      </c>
      <c r="BY39" s="547" t="s">
        <v>709</v>
      </c>
      <c r="BZ39" s="547" t="s">
        <v>709</v>
      </c>
      <c r="CA39" s="483"/>
      <c r="CB39" s="547">
        <v>36</v>
      </c>
      <c r="CC39" s="1481" t="b">
        <v>1</v>
      </c>
      <c r="CD39" t="str">
        <f>Table15[[#This Row],[Engineering Number]]&amp;Table15[[#This Row],[WO Number]]&amp;Table15[[#This Row],[Date Assigned to Designer]]&amp;Table15[[#This Row],[Date Completed]]</f>
        <v>SC164411407374364343712</v>
      </c>
    </row>
    <row r="40" spans="1:82" customFormat="1" ht="15" customHeight="1" x14ac:dyDescent="0.25">
      <c r="A40">
        <v>2020</v>
      </c>
      <c r="B40" s="8" t="s">
        <v>771</v>
      </c>
      <c r="C40" s="8" t="s">
        <v>2085</v>
      </c>
      <c r="D40" s="8" t="s">
        <v>2086</v>
      </c>
      <c r="E40" s="8" t="s">
        <v>104</v>
      </c>
      <c r="F40" s="8" t="s">
        <v>325</v>
      </c>
      <c r="G40" s="8" t="s">
        <v>1896</v>
      </c>
      <c r="H40" s="8" t="s">
        <v>59</v>
      </c>
      <c r="I40" s="642">
        <v>43621</v>
      </c>
      <c r="J40" s="18">
        <v>43713</v>
      </c>
      <c r="K40" s="642">
        <v>43713</v>
      </c>
      <c r="L40" s="16">
        <f>IF(ISTEXT(Table15[[#This Row],[Engineering Approved Design Date]]),Table15[[#This Row],[Date Completed]]-Table15[[#This Row],[Date Assigned to Designer]],Table15[[#This Row],[Engineering Approved Design Date]]-Table15[[#This Row],[Date Completed]])</f>
        <v>0</v>
      </c>
      <c r="M40" s="642" t="s">
        <v>115</v>
      </c>
      <c r="N40" s="642" t="s">
        <v>120</v>
      </c>
      <c r="O40" s="1025">
        <v>43713</v>
      </c>
      <c r="P40" s="21" t="s">
        <v>120</v>
      </c>
      <c r="Q40" s="340">
        <f>1.55*5640</f>
        <v>8742</v>
      </c>
      <c r="R40" s="1026" t="s">
        <v>2087</v>
      </c>
      <c r="S40" s="538"/>
      <c r="T40" s="538"/>
      <c r="U40" s="28"/>
      <c r="V40" s="858">
        <v>5640</v>
      </c>
      <c r="W40" s="437"/>
      <c r="X40" s="538">
        <v>676237.73</v>
      </c>
      <c r="Y40" s="551">
        <v>87645.6</v>
      </c>
      <c r="Z40" s="538">
        <v>32194.99</v>
      </c>
      <c r="AA40" s="538">
        <f>X40-Y40+Z40</f>
        <v>620787.12</v>
      </c>
      <c r="AB40" s="21"/>
      <c r="AC40" s="569"/>
      <c r="AD40" s="1149"/>
      <c r="AE40" s="569"/>
      <c r="AF40" s="569"/>
      <c r="AG40" s="569"/>
      <c r="AH40" s="536"/>
      <c r="AI40" s="1028"/>
      <c r="AJ40" s="1029"/>
      <c r="AK40" s="1029"/>
      <c r="AL40" s="1030"/>
      <c r="AM40" s="542" t="s">
        <v>709</v>
      </c>
      <c r="AN40" s="924"/>
      <c r="AO40" s="925"/>
      <c r="AP40" s="926"/>
      <c r="AQ40" s="926"/>
      <c r="AR40" s="926"/>
      <c r="AS40" s="926"/>
      <c r="AT40" s="926"/>
      <c r="AU40" s="926"/>
      <c r="AV40" s="926"/>
      <c r="AW40" s="927"/>
      <c r="AX40" s="926"/>
      <c r="AY40" s="1538" t="s">
        <v>29</v>
      </c>
      <c r="AZ40" s="1530"/>
      <c r="BA40" s="1031" t="s">
        <v>2088</v>
      </c>
      <c r="BB40" s="644"/>
      <c r="BC40" s="544"/>
      <c r="BD40" s="544"/>
      <c r="BE40" s="544"/>
      <c r="BF40" s="544"/>
      <c r="BG40" s="544"/>
      <c r="BH40" s="741"/>
      <c r="BI40" s="547" t="s">
        <v>709</v>
      </c>
      <c r="BJ40" s="547" t="s">
        <v>709</v>
      </c>
      <c r="BK40" s="547" t="s">
        <v>709</v>
      </c>
      <c r="BL40" s="547" t="s">
        <v>116</v>
      </c>
      <c r="BM40" s="547" t="s">
        <v>709</v>
      </c>
      <c r="BN40" s="547" t="s">
        <v>709</v>
      </c>
      <c r="BO40" s="547" t="s">
        <v>709</v>
      </c>
      <c r="BP40" s="547" t="s">
        <v>709</v>
      </c>
      <c r="BQ40" s="547" t="s">
        <v>709</v>
      </c>
      <c r="BR40" s="547" t="s">
        <v>709</v>
      </c>
      <c r="BS40" s="547">
        <v>5640</v>
      </c>
      <c r="BT40" s="547" t="s">
        <v>709</v>
      </c>
      <c r="BU40" s="547" t="s">
        <v>709</v>
      </c>
      <c r="BV40" s="547" t="s">
        <v>709</v>
      </c>
      <c r="BW40" s="547" t="s">
        <v>709</v>
      </c>
      <c r="BX40" s="547" t="s">
        <v>709</v>
      </c>
      <c r="BY40" s="547" t="s">
        <v>709</v>
      </c>
      <c r="BZ40" s="547" t="s">
        <v>709</v>
      </c>
      <c r="CA40" s="483"/>
      <c r="CB40" s="547">
        <v>38</v>
      </c>
      <c r="CC40" s="1481" t="b">
        <v>1</v>
      </c>
      <c r="CD40" t="str">
        <f>Table15[[#This Row],[Engineering Number]]&amp;Table15[[#This Row],[WO Number]]&amp;Table15[[#This Row],[Date Assigned to Designer]]&amp;Table15[[#This Row],[Date Completed]]</f>
        <v>BS5491290904362143713</v>
      </c>
    </row>
    <row r="41" spans="1:82" customFormat="1" ht="15" customHeight="1" x14ac:dyDescent="0.25">
      <c r="A41">
        <v>2019</v>
      </c>
      <c r="B41" s="8" t="s">
        <v>4</v>
      </c>
      <c r="C41" s="8" t="s">
        <v>2090</v>
      </c>
      <c r="D41" s="8" t="s">
        <v>2091</v>
      </c>
      <c r="E41" s="8" t="s">
        <v>2092</v>
      </c>
      <c r="F41" s="8" t="s">
        <v>919</v>
      </c>
      <c r="G41" s="8" t="s">
        <v>1896</v>
      </c>
      <c r="H41" s="8" t="s">
        <v>59</v>
      </c>
      <c r="I41" s="642">
        <v>43655</v>
      </c>
      <c r="J41" s="18">
        <v>43718</v>
      </c>
      <c r="K41" s="642">
        <v>43718</v>
      </c>
      <c r="L41" s="16">
        <f>IF(ISTEXT(Table15[[#This Row],[Engineering Approved Design Date]]),Table15[[#This Row],[Date Completed]]-Table15[[#This Row],[Date Assigned to Designer]],Table15[[#This Row],[Engineering Approved Design Date]]-Table15[[#This Row],[Date Completed]])</f>
        <v>0</v>
      </c>
      <c r="M41" s="642" t="s">
        <v>115</v>
      </c>
      <c r="N41" s="642" t="s">
        <v>120</v>
      </c>
      <c r="O41" s="1025">
        <v>43718</v>
      </c>
      <c r="P41" s="21" t="s">
        <v>739</v>
      </c>
      <c r="Q41" s="340">
        <f>AA41*R41</f>
        <v>15941.7377</v>
      </c>
      <c r="R41" s="1026">
        <v>7.0000000000000007E-2</v>
      </c>
      <c r="S41" s="538"/>
      <c r="T41" s="538"/>
      <c r="U41" s="28"/>
      <c r="V41" s="858">
        <v>705</v>
      </c>
      <c r="W41" s="437"/>
      <c r="X41" s="538">
        <v>234992.78</v>
      </c>
      <c r="Y41" s="551">
        <v>10955.7</v>
      </c>
      <c r="Z41" s="538">
        <v>3702.03</v>
      </c>
      <c r="AA41" s="538">
        <f>X41-Y41+Z41</f>
        <v>227739.11</v>
      </c>
      <c r="AB41" s="21"/>
      <c r="AC41" s="569"/>
      <c r="AD41" s="1149"/>
      <c r="AE41" s="580"/>
      <c r="AF41" s="580"/>
      <c r="AG41" s="580"/>
      <c r="AH41" s="542"/>
      <c r="AI41" s="1028"/>
      <c r="AJ41" s="1029"/>
      <c r="AK41" s="1029"/>
      <c r="AL41" s="1030"/>
      <c r="AM41" s="1522" t="s">
        <v>116</v>
      </c>
      <c r="AN41" s="1523">
        <v>43767</v>
      </c>
      <c r="AO41" s="1524">
        <v>179789</v>
      </c>
      <c r="AP41" s="1525">
        <v>205952.33</v>
      </c>
      <c r="AQ41" s="1525">
        <v>10955.7</v>
      </c>
      <c r="AR41" s="1525">
        <v>8225.7800000000007</v>
      </c>
      <c r="AS41" s="1525">
        <f>IF(Table15[[#This Row],[PCTS Approved]]="N",0,Table15[[#This Row],[Investment Amount (1'#'#'#'#'#)]]+Table15[[#This Row],[Retirement Amount (3'#'#'#'#'#)]])</f>
        <v>214178.11</v>
      </c>
      <c r="AT41" s="1525">
        <f>IF(Table15[[#This Row],[Approved Construction Cost]]=0,0,Table15[[#This Row],[Approved Construction Cost]]-Table15[[#This Row],[Construction Cost to Bill From]])</f>
        <v>-13561</v>
      </c>
      <c r="AU41" s="1525">
        <f>Table15[[#This Row],[Difference in Construction Cost]]*Table15[[#This Row],[Rate]]</f>
        <v>-949.2700000000001</v>
      </c>
      <c r="AV41" s="1525">
        <v>0</v>
      </c>
      <c r="AW41" s="1526" t="s">
        <v>2093</v>
      </c>
      <c r="AX41" s="1525"/>
      <c r="AY41" s="1518">
        <v>43983</v>
      </c>
      <c r="AZ41" s="333"/>
      <c r="BA41" s="1031" t="s">
        <v>2094</v>
      </c>
      <c r="BB41" s="644" t="s">
        <v>2083</v>
      </c>
      <c r="BC41" s="544"/>
      <c r="BD41" s="544"/>
      <c r="BE41" s="544"/>
      <c r="BF41" s="544"/>
      <c r="BG41" s="544"/>
      <c r="BH41" s="741"/>
      <c r="BI41" s="547" t="s">
        <v>709</v>
      </c>
      <c r="BJ41" s="547" t="s">
        <v>709</v>
      </c>
      <c r="BK41" s="547" t="s">
        <v>709</v>
      </c>
      <c r="BL41" s="547" t="s">
        <v>116</v>
      </c>
      <c r="BM41" s="547" t="s">
        <v>709</v>
      </c>
      <c r="BN41" s="547" t="s">
        <v>709</v>
      </c>
      <c r="BO41" s="547" t="s">
        <v>709</v>
      </c>
      <c r="BP41" s="547" t="s">
        <v>709</v>
      </c>
      <c r="BQ41" s="547" t="s">
        <v>709</v>
      </c>
      <c r="BR41" s="547" t="s">
        <v>709</v>
      </c>
      <c r="BS41" s="547">
        <v>705</v>
      </c>
      <c r="BT41" s="547" t="s">
        <v>709</v>
      </c>
      <c r="BU41" s="547" t="s">
        <v>709</v>
      </c>
      <c r="BV41" s="547" t="s">
        <v>709</v>
      </c>
      <c r="BW41" s="547" t="s">
        <v>709</v>
      </c>
      <c r="BX41" s="547" t="s">
        <v>709</v>
      </c>
      <c r="BY41" s="547" t="s">
        <v>709</v>
      </c>
      <c r="BZ41" s="547" t="s">
        <v>709</v>
      </c>
      <c r="CA41" s="483"/>
      <c r="CB41" s="547">
        <v>39</v>
      </c>
      <c r="CC41" s="1481" t="b">
        <v>1</v>
      </c>
      <c r="CD41" t="str">
        <f>Table15[[#This Row],[Engineering Number]]&amp;Table15[[#This Row],[WO Number]]&amp;Table15[[#This Row],[Date Assigned to Designer]]&amp;Table15[[#This Row],[Date Completed]]</f>
        <v>SC167561356304365543718</v>
      </c>
    </row>
    <row r="42" spans="1:82" customFormat="1" ht="15" customHeight="1" x14ac:dyDescent="0.25">
      <c r="A42">
        <v>2020</v>
      </c>
      <c r="B42" s="8" t="s">
        <v>771</v>
      </c>
      <c r="C42" s="8" t="s">
        <v>2096</v>
      </c>
      <c r="D42" s="8" t="s">
        <v>2097</v>
      </c>
      <c r="E42" s="8" t="s">
        <v>249</v>
      </c>
      <c r="F42" s="8" t="s">
        <v>325</v>
      </c>
      <c r="G42" s="8" t="s">
        <v>1896</v>
      </c>
      <c r="H42" s="8" t="s">
        <v>59</v>
      </c>
      <c r="I42" s="642">
        <v>43626</v>
      </c>
      <c r="J42" s="18">
        <v>43720</v>
      </c>
      <c r="K42" s="642">
        <v>43720</v>
      </c>
      <c r="L42" s="16">
        <f>IF(ISTEXT(Table15[[#This Row],[Engineering Approved Design Date]]),Table15[[#This Row],[Date Completed]]-Table15[[#This Row],[Date Assigned to Designer]],Table15[[#This Row],[Engineering Approved Design Date]]-Table15[[#This Row],[Date Completed]])</f>
        <v>0</v>
      </c>
      <c r="M42" s="642" t="s">
        <v>115</v>
      </c>
      <c r="N42" s="642" t="s">
        <v>120</v>
      </c>
      <c r="O42" s="1025">
        <v>43720</v>
      </c>
      <c r="P42" s="21" t="s">
        <v>120</v>
      </c>
      <c r="Q42" s="340">
        <v>13520</v>
      </c>
      <c r="R42" s="1026" t="s">
        <v>1922</v>
      </c>
      <c r="S42" s="538"/>
      <c r="T42" s="538"/>
      <c r="U42" s="28"/>
      <c r="V42" s="858">
        <v>155</v>
      </c>
      <c r="W42" s="437"/>
      <c r="X42" s="538">
        <v>41212.97</v>
      </c>
      <c r="Y42" s="551">
        <v>0</v>
      </c>
      <c r="Z42" s="538">
        <v>26941.99</v>
      </c>
      <c r="AA42" s="538">
        <f>X42-Y42+Z42</f>
        <v>68154.960000000006</v>
      </c>
      <c r="AB42" s="21"/>
      <c r="AC42" s="569"/>
      <c r="AD42" s="1149"/>
      <c r="AE42" s="569"/>
      <c r="AF42" s="569"/>
      <c r="AG42" s="569"/>
      <c r="AH42" s="536"/>
      <c r="AI42" s="1028"/>
      <c r="AJ42" s="1029"/>
      <c r="AK42" s="1029"/>
      <c r="AL42" s="1030"/>
      <c r="AM42" s="542" t="s">
        <v>709</v>
      </c>
      <c r="AN42" s="924"/>
      <c r="AO42" s="925"/>
      <c r="AP42" s="926"/>
      <c r="AQ42" s="926"/>
      <c r="AR42" s="926"/>
      <c r="AS42" s="926"/>
      <c r="AT42" s="926"/>
      <c r="AU42" s="926"/>
      <c r="AV42" s="926"/>
      <c r="AW42" s="927"/>
      <c r="AX42" s="926"/>
      <c r="AY42" s="1538" t="s">
        <v>29</v>
      </c>
      <c r="AZ42" s="1530"/>
      <c r="BA42" s="1031" t="s">
        <v>2098</v>
      </c>
      <c r="BB42" s="644"/>
      <c r="BC42" s="544"/>
      <c r="BD42" s="544"/>
      <c r="BE42" s="544"/>
      <c r="BF42" s="544"/>
      <c r="BG42" s="544"/>
      <c r="BH42" s="741"/>
      <c r="BI42" s="547" t="s">
        <v>709</v>
      </c>
      <c r="BJ42" s="547" t="s">
        <v>709</v>
      </c>
      <c r="BK42" s="547" t="s">
        <v>709</v>
      </c>
      <c r="BL42" s="547" t="s">
        <v>116</v>
      </c>
      <c r="BM42" s="547" t="s">
        <v>709</v>
      </c>
      <c r="BN42" s="547" t="s">
        <v>709</v>
      </c>
      <c r="BO42" s="547" t="s">
        <v>709</v>
      </c>
      <c r="BP42" s="547" t="s">
        <v>709</v>
      </c>
      <c r="BQ42" s="547" t="s">
        <v>709</v>
      </c>
      <c r="BR42" s="547" t="s">
        <v>709</v>
      </c>
      <c r="BS42" s="547">
        <v>155</v>
      </c>
      <c r="BT42" s="547" t="s">
        <v>745</v>
      </c>
      <c r="BU42" s="547" t="s">
        <v>709</v>
      </c>
      <c r="BV42" s="547" t="s">
        <v>709</v>
      </c>
      <c r="BW42" s="547" t="s">
        <v>709</v>
      </c>
      <c r="BX42" s="547" t="s">
        <v>745</v>
      </c>
      <c r="BY42" s="547" t="s">
        <v>709</v>
      </c>
      <c r="BZ42" s="547" t="s">
        <v>709</v>
      </c>
      <c r="CA42" s="483"/>
      <c r="CB42" s="547">
        <v>40</v>
      </c>
      <c r="CC42" s="1481" t="b">
        <v>1</v>
      </c>
      <c r="CD42" t="str">
        <f>Table15[[#This Row],[Engineering Number]]&amp;Table15[[#This Row],[WO Number]]&amp;Table15[[#This Row],[Date Assigned to Designer]]&amp;Table15[[#This Row],[Date Completed]]</f>
        <v>MLP221203304362643720</v>
      </c>
    </row>
    <row r="43" spans="1:82" customFormat="1" ht="15" customHeight="1" x14ac:dyDescent="0.25">
      <c r="A43">
        <v>2019</v>
      </c>
      <c r="B43" s="8" t="s">
        <v>1073</v>
      </c>
      <c r="C43" s="8" t="s">
        <v>2100</v>
      </c>
      <c r="D43" s="8" t="s">
        <v>2101</v>
      </c>
      <c r="E43" s="8" t="s">
        <v>2102</v>
      </c>
      <c r="F43" s="8" t="s">
        <v>919</v>
      </c>
      <c r="G43" s="8" t="s">
        <v>1896</v>
      </c>
      <c r="H43" s="8" t="s">
        <v>59</v>
      </c>
      <c r="I43" s="642">
        <v>43676</v>
      </c>
      <c r="J43" s="18">
        <v>43727</v>
      </c>
      <c r="K43" s="642">
        <v>43724</v>
      </c>
      <c r="L43" s="16">
        <f>IF(ISTEXT(Table15[[#This Row],[Engineering Approved Design Date]]),Table15[[#This Row],[Date Completed]]-Table15[[#This Row],[Date Assigned to Designer]],Table15[[#This Row],[Engineering Approved Design Date]]-Table15[[#This Row],[Date Completed]])</f>
        <v>3</v>
      </c>
      <c r="M43" s="642" t="s">
        <v>115</v>
      </c>
      <c r="N43" s="642" t="s">
        <v>120</v>
      </c>
      <c r="O43" s="1025">
        <v>43724</v>
      </c>
      <c r="P43" s="21" t="s">
        <v>739</v>
      </c>
      <c r="Q43" s="340">
        <v>14302.5</v>
      </c>
      <c r="R43" s="1026" t="s">
        <v>1922</v>
      </c>
      <c r="S43" s="538"/>
      <c r="T43" s="538"/>
      <c r="U43" s="28"/>
      <c r="V43" s="858">
        <v>2280</v>
      </c>
      <c r="W43" s="437"/>
      <c r="X43" s="538"/>
      <c r="Y43" s="551"/>
      <c r="Z43" s="538"/>
      <c r="AA43" s="538"/>
      <c r="AB43" s="21"/>
      <c r="AC43" s="569"/>
      <c r="AD43" s="1149"/>
      <c r="AE43" s="569"/>
      <c r="AF43" s="569"/>
      <c r="AG43" s="569"/>
      <c r="AH43" s="536"/>
      <c r="AI43" s="1028"/>
      <c r="AJ43" s="1029"/>
      <c r="AK43" s="1029"/>
      <c r="AL43" s="1030"/>
      <c r="AM43" s="542" t="s">
        <v>709</v>
      </c>
      <c r="AN43" s="924"/>
      <c r="AO43" s="925"/>
      <c r="AP43" s="926"/>
      <c r="AQ43" s="926"/>
      <c r="AR43" s="926"/>
      <c r="AS43" s="926"/>
      <c r="AT43" s="926"/>
      <c r="AU43" s="926"/>
      <c r="AV43" s="926"/>
      <c r="AW43" s="927"/>
      <c r="AX43" s="926"/>
      <c r="AY43" s="1538" t="s">
        <v>29</v>
      </c>
      <c r="AZ43" s="1530"/>
      <c r="BA43" s="1031" t="s">
        <v>2103</v>
      </c>
      <c r="BB43" s="644"/>
      <c r="BC43" s="544"/>
      <c r="BD43" s="544"/>
      <c r="BE43" s="544"/>
      <c r="BF43" s="544"/>
      <c r="BG43" s="544"/>
      <c r="BH43" s="741"/>
      <c r="BI43" s="547" t="s">
        <v>709</v>
      </c>
      <c r="BJ43" s="547" t="s">
        <v>709</v>
      </c>
      <c r="BK43" s="547" t="s">
        <v>709</v>
      </c>
      <c r="BL43" s="547" t="s">
        <v>116</v>
      </c>
      <c r="BM43" s="547" t="s">
        <v>709</v>
      </c>
      <c r="BN43" s="547" t="s">
        <v>709</v>
      </c>
      <c r="BO43" s="547" t="s">
        <v>709</v>
      </c>
      <c r="BP43" s="547" t="s">
        <v>709</v>
      </c>
      <c r="BQ43" s="547" t="s">
        <v>709</v>
      </c>
      <c r="BR43" s="547" t="s">
        <v>709</v>
      </c>
      <c r="BS43" s="547">
        <v>2280</v>
      </c>
      <c r="BT43" s="547" t="s">
        <v>709</v>
      </c>
      <c r="BU43" s="547" t="s">
        <v>709</v>
      </c>
      <c r="BV43" s="547" t="s">
        <v>709</v>
      </c>
      <c r="BW43" s="547" t="s">
        <v>709</v>
      </c>
      <c r="BX43" s="547" t="s">
        <v>709</v>
      </c>
      <c r="BY43" s="547" t="s">
        <v>709</v>
      </c>
      <c r="BZ43" s="547" t="s">
        <v>709</v>
      </c>
      <c r="CA43" s="483"/>
      <c r="CB43" s="547">
        <v>41</v>
      </c>
      <c r="CC43" s="1481" t="b">
        <v>1</v>
      </c>
      <c r="CD43" t="str">
        <f>Table15[[#This Row],[Engineering Number]]&amp;Table15[[#This Row],[WO Number]]&amp;Table15[[#This Row],[Date Assigned to Designer]]&amp;Table15[[#This Row],[Date Completed]]</f>
        <v>NBA16425771505994367643724</v>
      </c>
    </row>
    <row r="44" spans="1:82" customFormat="1" ht="15" customHeight="1" x14ac:dyDescent="0.25">
      <c r="A44">
        <v>2020</v>
      </c>
      <c r="B44" s="8" t="s">
        <v>4</v>
      </c>
      <c r="C44" s="8" t="s">
        <v>2113</v>
      </c>
      <c r="D44" s="8" t="s">
        <v>115</v>
      </c>
      <c r="E44" s="8" t="s">
        <v>2114</v>
      </c>
      <c r="F44" s="8" t="s">
        <v>325</v>
      </c>
      <c r="G44" s="8" t="s">
        <v>1887</v>
      </c>
      <c r="H44" s="8" t="s">
        <v>1903</v>
      </c>
      <c r="I44" s="642">
        <v>43705</v>
      </c>
      <c r="J44" s="18">
        <v>43797</v>
      </c>
      <c r="K44" s="642">
        <v>43735</v>
      </c>
      <c r="L44" s="16">
        <f>IF(ISTEXT(Table15[[#This Row],[Engineering Approved Design Date]]),Table15[[#This Row],[Date Completed]]-Table15[[#This Row],[Date Assigned to Designer]],Table15[[#This Row],[Engineering Approved Design Date]]-Table15[[#This Row],[Date Completed]])</f>
        <v>62</v>
      </c>
      <c r="M44" s="642" t="s">
        <v>2115</v>
      </c>
      <c r="N44" s="642" t="s">
        <v>120</v>
      </c>
      <c r="O44" s="1025">
        <v>43735</v>
      </c>
      <c r="P44" s="21" t="s">
        <v>739</v>
      </c>
      <c r="Q44" s="340" t="s">
        <v>115</v>
      </c>
      <c r="R44" s="1026" t="s">
        <v>115</v>
      </c>
      <c r="S44" s="538"/>
      <c r="T44" s="538"/>
      <c r="U44" s="28"/>
      <c r="V44" s="858"/>
      <c r="W44" s="437"/>
      <c r="X44" s="538"/>
      <c r="Y44" s="551"/>
      <c r="Z44" s="538"/>
      <c r="AA44" s="538">
        <v>0</v>
      </c>
      <c r="AB44" s="21"/>
      <c r="AC44" s="569"/>
      <c r="AD44" s="1149"/>
      <c r="AE44" s="580"/>
      <c r="AF44" s="580"/>
      <c r="AG44" s="580"/>
      <c r="AH44" s="542"/>
      <c r="AI44" s="1028"/>
      <c r="AJ44" s="1029"/>
      <c r="AK44" s="1029"/>
      <c r="AL44" s="1030"/>
      <c r="AM44" s="542" t="s">
        <v>709</v>
      </c>
      <c r="AN44" s="924"/>
      <c r="AO44" s="925"/>
      <c r="AP44" s="926"/>
      <c r="AQ44" s="926"/>
      <c r="AR44" s="926"/>
      <c r="AS44" s="926"/>
      <c r="AT44" s="926"/>
      <c r="AU44" s="926"/>
      <c r="AV44" s="926"/>
      <c r="AW44" s="927"/>
      <c r="AX44" s="926"/>
      <c r="AY44" s="1538" t="s">
        <v>29</v>
      </c>
      <c r="AZ44" s="1530"/>
      <c r="BA44" s="1031" t="s">
        <v>2116</v>
      </c>
      <c r="BB44" s="644" t="s">
        <v>739</v>
      </c>
      <c r="BC44" s="544"/>
      <c r="BD44" s="544"/>
      <c r="BE44" s="544"/>
      <c r="BF44" s="544"/>
      <c r="BG44" s="544"/>
      <c r="BH44" s="741"/>
      <c r="BI44" s="1032"/>
      <c r="BJ44" s="1032"/>
      <c r="BK44" s="1032"/>
      <c r="BL44" s="1032"/>
      <c r="BM44" s="1032"/>
      <c r="BN44" s="1032"/>
      <c r="BO44" s="1032"/>
      <c r="BP44" s="1032"/>
      <c r="BQ44" s="1032"/>
      <c r="BR44" s="1032"/>
      <c r="BS44" s="1032"/>
      <c r="BT44" s="1032"/>
      <c r="BU44" s="1032"/>
      <c r="BV44" s="1032"/>
      <c r="BW44" s="1032"/>
      <c r="BX44" s="1032"/>
      <c r="BY44" s="1032"/>
      <c r="BZ44" s="1032"/>
      <c r="CA44" s="485"/>
      <c r="CB44" s="547">
        <v>42</v>
      </c>
      <c r="CC44" s="1481" t="b">
        <v>1</v>
      </c>
      <c r="CD44" t="str">
        <f>Table15[[#This Row],[Engineering Number]]&amp;Table15[[#This Row],[WO Number]]&amp;Table15[[#This Row],[Date Assigned to Designer]]&amp;Table15[[#This Row],[Date Completed]]</f>
        <v>M10205-4370543735</v>
      </c>
    </row>
    <row r="45" spans="1:82" customFormat="1" ht="15" customHeight="1" x14ac:dyDescent="0.25">
      <c r="A45">
        <v>2019</v>
      </c>
      <c r="B45" s="8" t="s">
        <v>4</v>
      </c>
      <c r="C45" s="8" t="s">
        <v>2072</v>
      </c>
      <c r="D45" s="8" t="s">
        <v>2073</v>
      </c>
      <c r="E45" s="8" t="s">
        <v>2074</v>
      </c>
      <c r="F45" s="8" t="s">
        <v>919</v>
      </c>
      <c r="G45" s="8" t="s">
        <v>1896</v>
      </c>
      <c r="H45" s="8" t="s">
        <v>2051</v>
      </c>
      <c r="I45" s="1033">
        <v>43643</v>
      </c>
      <c r="J45" s="18" t="s">
        <v>2052</v>
      </c>
      <c r="K45" s="642">
        <v>43735</v>
      </c>
      <c r="L45" s="16">
        <f>IF(ISTEXT(Table15[[#This Row],[Engineering Approved Design Date]]),Table15[[#This Row],[Date Completed]]-Table15[[#This Row],[Date Assigned to Designer]],Table15[[#This Row],[Engineering Approved Design Date]]-Table15[[#This Row],[Date Completed]])</f>
        <v>92</v>
      </c>
      <c r="M45" s="642" t="s">
        <v>2111</v>
      </c>
      <c r="N45" s="642" t="s">
        <v>120</v>
      </c>
      <c r="O45" s="1025">
        <v>43735</v>
      </c>
      <c r="P45" s="21" t="s">
        <v>739</v>
      </c>
      <c r="Q45" s="340">
        <v>2330</v>
      </c>
      <c r="R45" s="1026" t="s">
        <v>1922</v>
      </c>
      <c r="S45" s="538"/>
      <c r="T45" s="538"/>
      <c r="U45" s="28"/>
      <c r="V45" s="858"/>
      <c r="W45" s="437"/>
      <c r="X45" s="538"/>
      <c r="Y45" s="551"/>
      <c r="Z45" s="538"/>
      <c r="AA45" s="538"/>
      <c r="AB45" s="21"/>
      <c r="AC45" s="569"/>
      <c r="AD45" s="1149"/>
      <c r="AE45" s="580"/>
      <c r="AF45" s="580"/>
      <c r="AG45" s="580"/>
      <c r="AH45" s="542"/>
      <c r="AI45" s="1028"/>
      <c r="AJ45" s="1029"/>
      <c r="AK45" s="1029"/>
      <c r="AL45" s="1030"/>
      <c r="AM45" s="542" t="s">
        <v>709</v>
      </c>
      <c r="AN45" s="924"/>
      <c r="AO45" s="925"/>
      <c r="AP45" s="926"/>
      <c r="AQ45" s="926"/>
      <c r="AR45" s="926"/>
      <c r="AS45" s="926"/>
      <c r="AT45" s="926"/>
      <c r="AU45" s="926"/>
      <c r="AV45" s="926"/>
      <c r="AW45" s="927"/>
      <c r="AX45" s="926"/>
      <c r="AY45" s="1538" t="s">
        <v>29</v>
      </c>
      <c r="AZ45" s="1530"/>
      <c r="BA45" s="1031">
        <v>12</v>
      </c>
      <c r="BB45" s="644"/>
      <c r="BC45" s="544"/>
      <c r="BD45" s="544"/>
      <c r="BE45" s="544"/>
      <c r="BF45" s="544"/>
      <c r="BG45" s="544"/>
      <c r="BH45" s="741"/>
      <c r="BI45" s="547" t="s">
        <v>709</v>
      </c>
      <c r="BJ45" s="547" t="s">
        <v>709</v>
      </c>
      <c r="BK45" s="547" t="s">
        <v>116</v>
      </c>
      <c r="BL45" s="547" t="s">
        <v>709</v>
      </c>
      <c r="BM45" s="547" t="s">
        <v>709</v>
      </c>
      <c r="BN45" s="547" t="s">
        <v>709</v>
      </c>
      <c r="BO45" s="547" t="s">
        <v>709</v>
      </c>
      <c r="BP45" s="547" t="s">
        <v>709</v>
      </c>
      <c r="BQ45" s="547" t="s">
        <v>709</v>
      </c>
      <c r="BR45" s="547">
        <v>820</v>
      </c>
      <c r="BS45" s="547" t="s">
        <v>709</v>
      </c>
      <c r="BT45" s="547" t="s">
        <v>709</v>
      </c>
      <c r="BU45" s="547" t="s">
        <v>709</v>
      </c>
      <c r="BV45" s="547" t="s">
        <v>709</v>
      </c>
      <c r="BW45" s="547" t="s">
        <v>709</v>
      </c>
      <c r="BX45" s="547" t="s">
        <v>709</v>
      </c>
      <c r="BY45" s="547" t="s">
        <v>709</v>
      </c>
      <c r="BZ45" s="547" t="s">
        <v>709</v>
      </c>
      <c r="CA45" s="483"/>
      <c r="CB45" s="547">
        <v>43</v>
      </c>
      <c r="CC45" s="1481" t="b">
        <v>1</v>
      </c>
      <c r="CD45" t="str">
        <f>Table15[[#This Row],[Engineering Number]]&amp;Table15[[#This Row],[WO Number]]&amp;Table15[[#This Row],[Date Assigned to Designer]]&amp;Table15[[#This Row],[Date Completed]]</f>
        <v>SC164411407374364343735</v>
      </c>
    </row>
    <row r="46" spans="1:82" customFormat="1" ht="15" customHeight="1" x14ac:dyDescent="0.25">
      <c r="A46">
        <v>2019</v>
      </c>
      <c r="B46" s="8" t="s">
        <v>1981</v>
      </c>
      <c r="C46" s="8" t="s">
        <v>2105</v>
      </c>
      <c r="D46" s="8" t="s">
        <v>115</v>
      </c>
      <c r="E46" s="8" t="s">
        <v>2106</v>
      </c>
      <c r="F46" s="8" t="s">
        <v>919</v>
      </c>
      <c r="G46" s="8" t="s">
        <v>2107</v>
      </c>
      <c r="H46" s="8" t="s">
        <v>59</v>
      </c>
      <c r="I46" s="642">
        <v>43703</v>
      </c>
      <c r="J46" s="18">
        <v>43738</v>
      </c>
      <c r="K46" s="642">
        <v>43735</v>
      </c>
      <c r="L46" s="16">
        <f>IF(ISTEXT(Table15[[#This Row],[Engineering Approved Design Date]]),Table15[[#This Row],[Date Completed]]-Table15[[#This Row],[Date Assigned to Designer]],Table15[[#This Row],[Engineering Approved Design Date]]-Table15[[#This Row],[Date Completed]])</f>
        <v>3</v>
      </c>
      <c r="M46" s="642" t="s">
        <v>115</v>
      </c>
      <c r="N46" s="642" t="s">
        <v>120</v>
      </c>
      <c r="O46" s="1025">
        <v>43739</v>
      </c>
      <c r="P46" s="21" t="s">
        <v>739</v>
      </c>
      <c r="Q46" s="340">
        <v>8175</v>
      </c>
      <c r="R46" s="1026" t="s">
        <v>1922</v>
      </c>
      <c r="S46" s="538"/>
      <c r="T46" s="538"/>
      <c r="U46" s="28"/>
      <c r="V46" s="858"/>
      <c r="W46" s="437"/>
      <c r="X46" s="538"/>
      <c r="Y46" s="551"/>
      <c r="Z46" s="538"/>
      <c r="AA46" s="538"/>
      <c r="AB46" s="21"/>
      <c r="AC46" s="569"/>
      <c r="AD46" s="1149"/>
      <c r="AE46" s="580"/>
      <c r="AF46" s="580"/>
      <c r="AG46" s="580"/>
      <c r="AH46" s="542"/>
      <c r="AI46" s="1028"/>
      <c r="AJ46" s="1029"/>
      <c r="AK46" s="1029"/>
      <c r="AL46" s="1030"/>
      <c r="AM46" s="542" t="s">
        <v>709</v>
      </c>
      <c r="AN46" s="924"/>
      <c r="AO46" s="925"/>
      <c r="AP46" s="926"/>
      <c r="AQ46" s="926"/>
      <c r="AR46" s="926"/>
      <c r="AS46" s="926"/>
      <c r="AT46" s="926"/>
      <c r="AU46" s="926"/>
      <c r="AV46" s="926"/>
      <c r="AW46" s="927"/>
      <c r="AX46" s="926"/>
      <c r="AY46" s="1538" t="s">
        <v>29</v>
      </c>
      <c r="AZ46" s="1530"/>
      <c r="BA46" s="1031" t="s">
        <v>2108</v>
      </c>
      <c r="BB46" s="644" t="s">
        <v>2109</v>
      </c>
      <c r="BC46" s="544"/>
      <c r="BD46" s="544"/>
      <c r="BE46" s="544"/>
      <c r="BF46" s="544"/>
      <c r="BG46" s="544"/>
      <c r="BH46" s="741"/>
      <c r="BI46" s="547"/>
      <c r="BJ46" s="547"/>
      <c r="BK46" s="547"/>
      <c r="BL46" s="547"/>
      <c r="BM46" s="547"/>
      <c r="BN46" s="547"/>
      <c r="BO46" s="547"/>
      <c r="BP46" s="547"/>
      <c r="BQ46" s="547"/>
      <c r="BR46" s="547"/>
      <c r="BS46" s="547"/>
      <c r="BT46" s="547"/>
      <c r="BU46" s="547"/>
      <c r="BV46" s="547"/>
      <c r="BW46" s="547"/>
      <c r="BX46" s="547"/>
      <c r="BY46" s="547"/>
      <c r="BZ46" s="547" t="s">
        <v>709</v>
      </c>
      <c r="CA46" s="483" t="s">
        <v>915</v>
      </c>
      <c r="CB46" s="547">
        <v>44</v>
      </c>
      <c r="CC46" s="1481" t="b">
        <v>1</v>
      </c>
      <c r="CD46" t="str">
        <f>Table15[[#This Row],[Engineering Number]]&amp;Table15[[#This Row],[WO Number]]&amp;Table15[[#This Row],[Date Assigned to Designer]]&amp;Table15[[#This Row],[Date Completed]]</f>
        <v>COR429-4370343735</v>
      </c>
    </row>
    <row r="47" spans="1:82" customFormat="1" ht="15" customHeight="1" x14ac:dyDescent="0.25">
      <c r="A47">
        <v>2019</v>
      </c>
      <c r="B47" s="8" t="s">
        <v>1981</v>
      </c>
      <c r="C47" s="8" t="s">
        <v>2118</v>
      </c>
      <c r="D47" s="8" t="s">
        <v>115</v>
      </c>
      <c r="E47" s="8" t="s">
        <v>2119</v>
      </c>
      <c r="F47" s="8" t="s">
        <v>919</v>
      </c>
      <c r="G47" s="8" t="s">
        <v>1887</v>
      </c>
      <c r="H47" s="8" t="s">
        <v>59</v>
      </c>
      <c r="I47" s="642">
        <v>43703</v>
      </c>
      <c r="J47" s="18">
        <v>43738</v>
      </c>
      <c r="K47" s="642">
        <v>43739</v>
      </c>
      <c r="L47" s="16">
        <v>0</v>
      </c>
      <c r="M47" s="642" t="s">
        <v>2120</v>
      </c>
      <c r="N47" s="642" t="s">
        <v>120</v>
      </c>
      <c r="O47" s="1025">
        <v>43739</v>
      </c>
      <c r="P47" s="21" t="s">
        <v>739</v>
      </c>
      <c r="Q47" s="340">
        <v>10860</v>
      </c>
      <c r="R47" s="1026" t="s">
        <v>1922</v>
      </c>
      <c r="S47" s="538"/>
      <c r="T47" s="538"/>
      <c r="U47" s="28"/>
      <c r="V47" s="858"/>
      <c r="W47" s="437"/>
      <c r="X47" s="538"/>
      <c r="Y47" s="551"/>
      <c r="Z47" s="538"/>
      <c r="AA47" s="538"/>
      <c r="AB47" s="21"/>
      <c r="AC47" s="569"/>
      <c r="AD47" s="1149"/>
      <c r="AE47" s="580"/>
      <c r="AF47" s="580"/>
      <c r="AG47" s="580"/>
      <c r="AH47" s="542"/>
      <c r="AI47" s="1028"/>
      <c r="AJ47" s="1029"/>
      <c r="AK47" s="1029"/>
      <c r="AL47" s="1030"/>
      <c r="AM47" s="542" t="s">
        <v>709</v>
      </c>
      <c r="AN47" s="924"/>
      <c r="AO47" s="925"/>
      <c r="AP47" s="926"/>
      <c r="AQ47" s="926"/>
      <c r="AR47" s="926"/>
      <c r="AS47" s="926"/>
      <c r="AT47" s="926"/>
      <c r="AU47" s="926"/>
      <c r="AV47" s="926"/>
      <c r="AW47" s="927"/>
      <c r="AX47" s="926"/>
      <c r="AY47" s="1538" t="s">
        <v>29</v>
      </c>
      <c r="AZ47" s="1530"/>
      <c r="BA47" s="1031" t="s">
        <v>2121</v>
      </c>
      <c r="BB47" s="644" t="s">
        <v>2122</v>
      </c>
      <c r="BC47" s="544"/>
      <c r="BD47" s="544"/>
      <c r="BE47" s="544"/>
      <c r="BF47" s="544"/>
      <c r="BG47" s="544"/>
      <c r="BH47" s="741"/>
      <c r="BI47" s="547"/>
      <c r="BJ47" s="547"/>
      <c r="BK47" s="547"/>
      <c r="BL47" s="547"/>
      <c r="BM47" s="547"/>
      <c r="BN47" s="547"/>
      <c r="BO47" s="547"/>
      <c r="BP47" s="547"/>
      <c r="BQ47" s="547"/>
      <c r="BR47" s="547"/>
      <c r="BS47" s="547"/>
      <c r="BT47" s="547"/>
      <c r="BU47" s="547"/>
      <c r="BV47" s="547"/>
      <c r="BW47" s="547"/>
      <c r="BX47" s="547"/>
      <c r="BY47" s="547"/>
      <c r="BZ47" s="547" t="s">
        <v>709</v>
      </c>
      <c r="CA47" s="483" t="s">
        <v>915</v>
      </c>
      <c r="CB47" s="547">
        <v>45</v>
      </c>
      <c r="CC47" s="1481" t="b">
        <v>1</v>
      </c>
      <c r="CD47" t="str">
        <f>Table15[[#This Row],[Engineering Number]]&amp;Table15[[#This Row],[WO Number]]&amp;Table15[[#This Row],[Date Assigned to Designer]]&amp;Table15[[#This Row],[Date Completed]]</f>
        <v>COR430-4370343739</v>
      </c>
    </row>
    <row r="48" spans="1:82" customFormat="1" ht="15" customHeight="1" x14ac:dyDescent="0.25">
      <c r="A48">
        <v>2019</v>
      </c>
      <c r="B48" s="8" t="s">
        <v>1162</v>
      </c>
      <c r="C48" s="8" t="s">
        <v>2124</v>
      </c>
      <c r="D48" s="8" t="s">
        <v>2125</v>
      </c>
      <c r="E48" s="8" t="s">
        <v>2126</v>
      </c>
      <c r="F48" s="8" t="s">
        <v>1895</v>
      </c>
      <c r="G48" s="8" t="s">
        <v>1896</v>
      </c>
      <c r="H48" s="8" t="s">
        <v>2127</v>
      </c>
      <c r="I48" s="642">
        <v>43474</v>
      </c>
      <c r="J48" s="18">
        <v>43739</v>
      </c>
      <c r="K48" s="642">
        <v>43739</v>
      </c>
      <c r="L48" s="16">
        <f>IF(ISTEXT(Table15[[#This Row],[Engineering Approved Design Date]]),Table15[[#This Row],[Date Completed]]-Table15[[#This Row],[Date Assigned to Designer]],Table15[[#This Row],[Engineering Approved Design Date]]-Table15[[#This Row],[Date Completed]])</f>
        <v>0</v>
      </c>
      <c r="M48" s="642" t="s">
        <v>2128</v>
      </c>
      <c r="N48" s="642" t="s">
        <v>120</v>
      </c>
      <c r="O48" s="1025">
        <v>43739</v>
      </c>
      <c r="P48" s="21" t="s">
        <v>739</v>
      </c>
      <c r="Q48" s="340" t="s">
        <v>115</v>
      </c>
      <c r="R48" s="1026" t="s">
        <v>115</v>
      </c>
      <c r="S48" s="538"/>
      <c r="T48" s="538"/>
      <c r="U48" s="28"/>
      <c r="V48" s="858"/>
      <c r="W48" s="437"/>
      <c r="X48" s="538"/>
      <c r="Y48" s="551"/>
      <c r="Z48" s="538"/>
      <c r="AA48" s="538"/>
      <c r="AB48" s="21"/>
      <c r="AC48" s="569"/>
      <c r="AD48" s="1149"/>
      <c r="AE48" s="569" t="s">
        <v>29</v>
      </c>
      <c r="AF48" s="569" t="s">
        <v>29</v>
      </c>
      <c r="AG48" s="569" t="s">
        <v>29</v>
      </c>
      <c r="AH48" s="536" t="s">
        <v>29</v>
      </c>
      <c r="AI48" s="1028"/>
      <c r="AJ48" s="1029"/>
      <c r="AK48" s="1029"/>
      <c r="AL48" s="1030"/>
      <c r="AM48" s="542" t="s">
        <v>709</v>
      </c>
      <c r="AN48" s="924"/>
      <c r="AO48" s="925"/>
      <c r="AP48" s="926"/>
      <c r="AQ48" s="926"/>
      <c r="AR48" s="926"/>
      <c r="AS48" s="926"/>
      <c r="AT48" s="926"/>
      <c r="AU48" s="926"/>
      <c r="AV48" s="926"/>
      <c r="AW48" s="927"/>
      <c r="AX48" s="926"/>
      <c r="AY48" s="1538" t="s">
        <v>29</v>
      </c>
      <c r="AZ48" s="1530"/>
      <c r="BA48" s="1031" t="s">
        <v>2129</v>
      </c>
      <c r="BB48" s="644" t="s">
        <v>2130</v>
      </c>
      <c r="BC48" s="544"/>
      <c r="BD48" s="544"/>
      <c r="BE48" s="544"/>
      <c r="BF48" s="544"/>
      <c r="BG48" s="544"/>
      <c r="BH48" s="741"/>
      <c r="BI48" s="547"/>
      <c r="BJ48" s="547"/>
      <c r="BK48" s="547"/>
      <c r="BL48" s="547"/>
      <c r="BM48" s="547"/>
      <c r="BN48" s="547"/>
      <c r="BO48" s="547"/>
      <c r="BP48" s="547"/>
      <c r="BQ48" s="547"/>
      <c r="BR48" s="547"/>
      <c r="BS48" s="547"/>
      <c r="BT48" s="547"/>
      <c r="BU48" s="547"/>
      <c r="BV48" s="547"/>
      <c r="BW48" s="547"/>
      <c r="BX48" s="547"/>
      <c r="BY48" s="547"/>
      <c r="BZ48" s="547" t="s">
        <v>709</v>
      </c>
      <c r="CA48" s="483" t="s">
        <v>915</v>
      </c>
      <c r="CB48" s="547">
        <v>46</v>
      </c>
      <c r="CC48" s="1481" t="b">
        <v>1</v>
      </c>
      <c r="CD48" t="str">
        <f>Table15[[#This Row],[Engineering Number]]&amp;Table15[[#This Row],[WO Number]]&amp;Table15[[#This Row],[Date Assigned to Designer]]&amp;Table15[[#This Row],[Date Completed]]</f>
        <v>PRIM4541290604347443739</v>
      </c>
    </row>
    <row r="49" spans="1:82" customFormat="1" ht="15" customHeight="1" x14ac:dyDescent="0.25">
      <c r="A49">
        <v>2020</v>
      </c>
      <c r="B49" s="8" t="s">
        <v>771</v>
      </c>
      <c r="C49" s="8" t="s">
        <v>2132</v>
      </c>
      <c r="D49" s="8" t="s">
        <v>2133</v>
      </c>
      <c r="E49" s="8" t="s">
        <v>1529</v>
      </c>
      <c r="F49" s="8" t="s">
        <v>325</v>
      </c>
      <c r="G49" s="8" t="s">
        <v>1896</v>
      </c>
      <c r="H49" s="8" t="s">
        <v>59</v>
      </c>
      <c r="I49" s="642">
        <v>43655</v>
      </c>
      <c r="J49" s="18">
        <v>43747</v>
      </c>
      <c r="K49" s="642">
        <v>43741</v>
      </c>
      <c r="L49" s="16">
        <f>IF(ISTEXT(Table15[[#This Row],[Engineering Approved Design Date]]),Table15[[#This Row],[Date Completed]]-Table15[[#This Row],[Date Assigned to Designer]],Table15[[#This Row],[Engineering Approved Design Date]]-Table15[[#This Row],[Date Completed]])</f>
        <v>6</v>
      </c>
      <c r="M49" s="642" t="s">
        <v>115</v>
      </c>
      <c r="N49" s="642" t="s">
        <v>120</v>
      </c>
      <c r="O49" s="1025">
        <v>43741</v>
      </c>
      <c r="P49" s="21" t="s">
        <v>120</v>
      </c>
      <c r="Q49" s="340">
        <f>AA49*R49</f>
        <v>8959.7546999999995</v>
      </c>
      <c r="R49" s="1026">
        <v>0.09</v>
      </c>
      <c r="S49" s="538"/>
      <c r="T49" s="538"/>
      <c r="U49" s="28"/>
      <c r="V49" s="858">
        <v>820</v>
      </c>
      <c r="W49" s="437"/>
      <c r="X49" s="538">
        <v>109557.64</v>
      </c>
      <c r="Y49" s="551">
        <v>37785</v>
      </c>
      <c r="Z49" s="538">
        <v>27780.19</v>
      </c>
      <c r="AA49" s="538">
        <f>X49-Y49+Z49</f>
        <v>99552.83</v>
      </c>
      <c r="AB49" s="21"/>
      <c r="AC49" s="569"/>
      <c r="AD49" s="1149"/>
      <c r="AE49" s="569"/>
      <c r="AF49" s="569"/>
      <c r="AG49" s="569"/>
      <c r="AH49" s="536"/>
      <c r="AI49" s="1028"/>
      <c r="AJ49" s="1029"/>
      <c r="AK49" s="1029"/>
      <c r="AL49" s="1030"/>
      <c r="AM49" s="1522" t="s">
        <v>116</v>
      </c>
      <c r="AN49" s="1523">
        <v>43878</v>
      </c>
      <c r="AO49" s="1524">
        <v>181756</v>
      </c>
      <c r="AP49" s="1525">
        <v>153165.16</v>
      </c>
      <c r="AQ49" s="1525">
        <v>0</v>
      </c>
      <c r="AR49" s="1525">
        <v>27780.19</v>
      </c>
      <c r="AS49" s="1525">
        <f>IF(Table15[[#This Row],[PCTS Approved]]="N",0,Table15[[#This Row],[Investment Amount (1'#'#'#'#'#)]]+Table15[[#This Row],[Retirement Amount (3'#'#'#'#'#)]])</f>
        <v>180945.35</v>
      </c>
      <c r="AT49" s="1525">
        <f>IF(Table15[[#This Row],[Approved Construction Cost]]=0,0,Table15[[#This Row],[Approved Construction Cost]]-Table15[[#This Row],[Construction Cost to Bill From]])</f>
        <v>81392.52</v>
      </c>
      <c r="AU49" s="1525">
        <f>Table15[[#This Row],[Difference in Construction Cost]]*Table15[[#This Row],[Rate]]</f>
        <v>7325.3267999999998</v>
      </c>
      <c r="AV49" s="1525">
        <v>0</v>
      </c>
      <c r="AW49" s="1526" t="s">
        <v>2134</v>
      </c>
      <c r="AX49" s="1525"/>
      <c r="AY49" s="1518">
        <v>43983</v>
      </c>
      <c r="AZ49" s="333"/>
      <c r="BA49" s="1031" t="s">
        <v>2135</v>
      </c>
      <c r="BB49" s="644"/>
      <c r="BC49" s="544"/>
      <c r="BD49" s="544"/>
      <c r="BE49" s="544"/>
      <c r="BF49" s="544"/>
      <c r="BG49" s="544"/>
      <c r="BH49" s="741"/>
      <c r="BI49" s="547" t="s">
        <v>709</v>
      </c>
      <c r="BJ49" s="547" t="s">
        <v>709</v>
      </c>
      <c r="BK49" s="547" t="s">
        <v>709</v>
      </c>
      <c r="BL49" s="547" t="s">
        <v>116</v>
      </c>
      <c r="BM49" s="547" t="s">
        <v>709</v>
      </c>
      <c r="BN49" s="547" t="s">
        <v>709</v>
      </c>
      <c r="BO49" s="547" t="s">
        <v>709</v>
      </c>
      <c r="BP49" s="547" t="s">
        <v>709</v>
      </c>
      <c r="BQ49" s="547" t="s">
        <v>709</v>
      </c>
      <c r="BR49" s="547" t="s">
        <v>709</v>
      </c>
      <c r="BS49" s="547">
        <v>820</v>
      </c>
      <c r="BT49" s="547" t="s">
        <v>745</v>
      </c>
      <c r="BU49" s="547" t="s">
        <v>709</v>
      </c>
      <c r="BV49" s="547" t="s">
        <v>709</v>
      </c>
      <c r="BW49" s="547" t="s">
        <v>709</v>
      </c>
      <c r="BX49" s="547" t="s">
        <v>745</v>
      </c>
      <c r="BY49" s="547" t="s">
        <v>709</v>
      </c>
      <c r="BZ49" s="547" t="s">
        <v>709</v>
      </c>
      <c r="CA49" s="483"/>
      <c r="CB49" s="547">
        <v>47</v>
      </c>
      <c r="CC49" s="1481" t="b">
        <v>1</v>
      </c>
      <c r="CD49" t="str">
        <f>Table15[[#This Row],[Engineering Number]]&amp;Table15[[#This Row],[WO Number]]&amp;Table15[[#This Row],[Date Assigned to Designer]]&amp;Table15[[#This Row],[Date Completed]]</f>
        <v>MLP141203404365543741</v>
      </c>
    </row>
    <row r="50" spans="1:82" customFormat="1" ht="15" customHeight="1" x14ac:dyDescent="0.25">
      <c r="A50">
        <v>2019</v>
      </c>
      <c r="B50" s="8" t="s">
        <v>1981</v>
      </c>
      <c r="C50" s="8" t="s">
        <v>2137</v>
      </c>
      <c r="D50" s="8" t="s">
        <v>115</v>
      </c>
      <c r="E50" s="8" t="s">
        <v>354</v>
      </c>
      <c r="F50" s="8" t="s">
        <v>919</v>
      </c>
      <c r="G50" s="8" t="s">
        <v>1887</v>
      </c>
      <c r="H50" s="8" t="s">
        <v>59</v>
      </c>
      <c r="I50" s="642">
        <v>43703</v>
      </c>
      <c r="J50" s="18">
        <v>43738</v>
      </c>
      <c r="K50" s="642">
        <v>43742</v>
      </c>
      <c r="L50" s="16">
        <v>0</v>
      </c>
      <c r="M50" s="642" t="s">
        <v>2138</v>
      </c>
      <c r="N50" s="642" t="s">
        <v>120</v>
      </c>
      <c r="O50" s="1025">
        <v>43742</v>
      </c>
      <c r="P50" s="21" t="s">
        <v>739</v>
      </c>
      <c r="Q50" s="340">
        <v>10810</v>
      </c>
      <c r="R50" s="1026" t="s">
        <v>1922</v>
      </c>
      <c r="S50" s="538"/>
      <c r="T50" s="538"/>
      <c r="U50" s="28"/>
      <c r="V50" s="858"/>
      <c r="W50" s="437"/>
      <c r="X50" s="538"/>
      <c r="Y50" s="551"/>
      <c r="Z50" s="538"/>
      <c r="AA50" s="538"/>
      <c r="AB50" s="21"/>
      <c r="AC50" s="569"/>
      <c r="AD50" s="1149"/>
      <c r="AE50" s="580"/>
      <c r="AF50" s="580"/>
      <c r="AG50" s="580"/>
      <c r="AH50" s="542"/>
      <c r="AI50" s="1028"/>
      <c r="AJ50" s="1029"/>
      <c r="AK50" s="1029"/>
      <c r="AL50" s="1030"/>
      <c r="AM50" s="542" t="s">
        <v>709</v>
      </c>
      <c r="AN50" s="924"/>
      <c r="AO50" s="925"/>
      <c r="AP50" s="926"/>
      <c r="AQ50" s="926"/>
      <c r="AR50" s="926"/>
      <c r="AS50" s="926"/>
      <c r="AT50" s="926"/>
      <c r="AU50" s="926"/>
      <c r="AV50" s="926"/>
      <c r="AW50" s="927"/>
      <c r="AX50" s="926"/>
      <c r="AY50" s="1538" t="s">
        <v>29</v>
      </c>
      <c r="AZ50" s="1532"/>
      <c r="BA50" s="1031" t="s">
        <v>2139</v>
      </c>
      <c r="BB50" s="644" t="s">
        <v>2140</v>
      </c>
      <c r="BC50" s="544"/>
      <c r="BD50" s="544"/>
      <c r="BE50" s="544"/>
      <c r="BF50" s="544"/>
      <c r="BG50" s="544"/>
      <c r="BH50" s="741"/>
      <c r="BI50" s="547"/>
      <c r="BJ50" s="547"/>
      <c r="BK50" s="547"/>
      <c r="BL50" s="547"/>
      <c r="BM50" s="547"/>
      <c r="BN50" s="547"/>
      <c r="BO50" s="547"/>
      <c r="BP50" s="547"/>
      <c r="BQ50" s="547"/>
      <c r="BR50" s="547"/>
      <c r="BS50" s="547"/>
      <c r="BT50" s="547"/>
      <c r="BU50" s="547"/>
      <c r="BV50" s="547"/>
      <c r="BW50" s="547"/>
      <c r="BX50" s="547"/>
      <c r="BY50" s="547"/>
      <c r="BZ50" s="547" t="s">
        <v>709</v>
      </c>
      <c r="CA50" s="483" t="s">
        <v>915</v>
      </c>
      <c r="CB50" s="547">
        <v>48</v>
      </c>
      <c r="CC50" s="1481" t="b">
        <v>1</v>
      </c>
      <c r="CD50" t="str">
        <f>Table15[[#This Row],[Engineering Number]]&amp;Table15[[#This Row],[WO Number]]&amp;Table15[[#This Row],[Date Assigned to Designer]]&amp;Table15[[#This Row],[Date Completed]]</f>
        <v>COR432-4370343742</v>
      </c>
    </row>
    <row r="51" spans="1:82" customFormat="1" ht="15" customHeight="1" x14ac:dyDescent="0.25">
      <c r="A51">
        <v>2019</v>
      </c>
      <c r="B51" s="8" t="s">
        <v>1981</v>
      </c>
      <c r="C51" s="8" t="s">
        <v>2142</v>
      </c>
      <c r="D51" s="8" t="s">
        <v>2143</v>
      </c>
      <c r="E51" s="8" t="s">
        <v>2144</v>
      </c>
      <c r="F51" s="8" t="s">
        <v>919</v>
      </c>
      <c r="G51" s="8" t="s">
        <v>1887</v>
      </c>
      <c r="H51" s="8" t="s">
        <v>59</v>
      </c>
      <c r="I51" s="642">
        <v>43703</v>
      </c>
      <c r="J51" s="18">
        <v>43738</v>
      </c>
      <c r="K51" s="642">
        <v>43745</v>
      </c>
      <c r="L51" s="16">
        <v>0</v>
      </c>
      <c r="M51" s="642" t="s">
        <v>2145</v>
      </c>
      <c r="N51" s="642" t="s">
        <v>120</v>
      </c>
      <c r="O51" s="1025">
        <v>43745</v>
      </c>
      <c r="P51" s="21" t="s">
        <v>739</v>
      </c>
      <c r="Q51" s="340">
        <v>15490</v>
      </c>
      <c r="R51" s="1026" t="s">
        <v>1922</v>
      </c>
      <c r="S51" s="538"/>
      <c r="T51" s="538"/>
      <c r="U51" s="28"/>
      <c r="V51" s="858"/>
      <c r="W51" s="437"/>
      <c r="X51" s="538">
        <v>68303.14</v>
      </c>
      <c r="Y51" s="551">
        <v>8857.7999999999993</v>
      </c>
      <c r="Z51" s="538">
        <v>10401.5</v>
      </c>
      <c r="AA51" s="538">
        <f>X51-Y51+Z51</f>
        <v>69846.84</v>
      </c>
      <c r="AB51" s="21"/>
      <c r="AC51" s="569"/>
      <c r="AD51" s="1149"/>
      <c r="AE51" s="580"/>
      <c r="AF51" s="580"/>
      <c r="AG51" s="580"/>
      <c r="AH51" s="542"/>
      <c r="AI51" s="1028"/>
      <c r="AJ51" s="1029"/>
      <c r="AK51" s="1029"/>
      <c r="AL51" s="1030"/>
      <c r="AM51" s="542" t="s">
        <v>709</v>
      </c>
      <c r="AN51" s="924"/>
      <c r="AO51" s="925"/>
      <c r="AP51" s="926"/>
      <c r="AQ51" s="926"/>
      <c r="AR51" s="926"/>
      <c r="AS51" s="926"/>
      <c r="AT51" s="926"/>
      <c r="AU51" s="926"/>
      <c r="AV51" s="926"/>
      <c r="AW51" s="927"/>
      <c r="AX51" s="926"/>
      <c r="AY51" s="1538" t="s">
        <v>29</v>
      </c>
      <c r="AZ51" s="1530"/>
      <c r="BA51" s="1031" t="s">
        <v>2146</v>
      </c>
      <c r="BB51" s="644"/>
      <c r="BC51" s="544"/>
      <c r="BD51" s="544"/>
      <c r="BE51" s="544"/>
      <c r="BF51" s="544"/>
      <c r="BG51" s="544"/>
      <c r="BH51" s="741"/>
      <c r="BI51" s="547" t="s">
        <v>709</v>
      </c>
      <c r="BJ51" s="547" t="s">
        <v>709</v>
      </c>
      <c r="BK51" s="547" t="s">
        <v>709</v>
      </c>
      <c r="BL51" s="547" t="s">
        <v>116</v>
      </c>
      <c r="BM51" s="547" t="s">
        <v>709</v>
      </c>
      <c r="BN51" s="547" t="s">
        <v>709</v>
      </c>
      <c r="BO51" s="547" t="s">
        <v>709</v>
      </c>
      <c r="BP51" s="547" t="s">
        <v>709</v>
      </c>
      <c r="BQ51" s="547" t="s">
        <v>709</v>
      </c>
      <c r="BR51" s="547" t="s">
        <v>709</v>
      </c>
      <c r="BS51" s="547">
        <v>565</v>
      </c>
      <c r="BT51" s="547" t="s">
        <v>709</v>
      </c>
      <c r="BU51" s="547" t="s">
        <v>709</v>
      </c>
      <c r="BV51" s="547" t="s">
        <v>709</v>
      </c>
      <c r="BW51" s="547" t="s">
        <v>709</v>
      </c>
      <c r="BX51" s="547" t="s">
        <v>709</v>
      </c>
      <c r="BY51" s="547" t="s">
        <v>709</v>
      </c>
      <c r="BZ51" s="547" t="s">
        <v>709</v>
      </c>
      <c r="CA51" s="483"/>
      <c r="CB51" s="547">
        <v>49</v>
      </c>
      <c r="CC51" s="1481" t="b">
        <v>1</v>
      </c>
      <c r="CD51" t="str">
        <f>Table15[[#This Row],[Engineering Number]]&amp;Table15[[#This Row],[WO Number]]&amp;Table15[[#This Row],[Date Assigned to Designer]]&amp;Table15[[#This Row],[Date Completed]]</f>
        <v>COR4311203734370343745</v>
      </c>
    </row>
    <row r="52" spans="1:82" customFormat="1" ht="15" customHeight="1" x14ac:dyDescent="0.25">
      <c r="A52">
        <v>2020</v>
      </c>
      <c r="B52" s="8" t="s">
        <v>771</v>
      </c>
      <c r="C52" s="8" t="s">
        <v>2148</v>
      </c>
      <c r="D52" s="8" t="s">
        <v>2149</v>
      </c>
      <c r="E52" s="8" t="s">
        <v>1529</v>
      </c>
      <c r="F52" s="8" t="s">
        <v>325</v>
      </c>
      <c r="G52" s="8" t="s">
        <v>1896</v>
      </c>
      <c r="H52" s="8" t="s">
        <v>59</v>
      </c>
      <c r="I52" s="642">
        <v>43658</v>
      </c>
      <c r="J52" s="18">
        <v>43752</v>
      </c>
      <c r="K52" s="642">
        <v>43747</v>
      </c>
      <c r="L52" s="16">
        <f>IF(ISTEXT(Table15[[#This Row],[Engineering Approved Design Date]]),Table15[[#This Row],[Date Completed]]-Table15[[#This Row],[Date Assigned to Designer]],Table15[[#This Row],[Engineering Approved Design Date]]-Table15[[#This Row],[Date Completed]])</f>
        <v>5</v>
      </c>
      <c r="M52" s="642" t="s">
        <v>115</v>
      </c>
      <c r="N52" s="642" t="s">
        <v>120</v>
      </c>
      <c r="O52" s="1025">
        <v>43747</v>
      </c>
      <c r="P52" s="21" t="s">
        <v>120</v>
      </c>
      <c r="Q52" s="340">
        <f>AA52*R52</f>
        <v>5961.1778999999997</v>
      </c>
      <c r="R52" s="1026">
        <v>0.09</v>
      </c>
      <c r="S52" s="538"/>
      <c r="T52" s="538"/>
      <c r="U52" s="28"/>
      <c r="V52" s="858">
        <v>90</v>
      </c>
      <c r="W52" s="437"/>
      <c r="X52" s="538">
        <v>49607.5</v>
      </c>
      <c r="Y52" s="551">
        <v>0</v>
      </c>
      <c r="Z52" s="538">
        <v>16627.810000000001</v>
      </c>
      <c r="AA52" s="538">
        <f>X52-Y52+Z52</f>
        <v>66235.31</v>
      </c>
      <c r="AB52" s="21"/>
      <c r="AC52" s="569"/>
      <c r="AD52" s="1149"/>
      <c r="AE52" s="569"/>
      <c r="AF52" s="569"/>
      <c r="AG52" s="569"/>
      <c r="AH52" s="536"/>
      <c r="AI52" s="1028"/>
      <c r="AJ52" s="1029"/>
      <c r="AK52" s="1029"/>
      <c r="AL52" s="1030"/>
      <c r="AM52" s="1522" t="s">
        <v>116</v>
      </c>
      <c r="AN52" s="1523">
        <v>43878</v>
      </c>
      <c r="AO52" s="1524">
        <v>182407</v>
      </c>
      <c r="AP52" s="1525">
        <v>69182.399999999994</v>
      </c>
      <c r="AQ52" s="1525">
        <v>0</v>
      </c>
      <c r="AR52" s="1525">
        <v>16627.810000000001</v>
      </c>
      <c r="AS52" s="1525">
        <f>IF(Table15[[#This Row],[PCTS Approved]]="N",0,Table15[[#This Row],[Investment Amount (1'#'#'#'#'#)]]+Table15[[#This Row],[Retirement Amount (3'#'#'#'#'#)]])</f>
        <v>85810.209999999992</v>
      </c>
      <c r="AT52" s="1525">
        <f>IF(Table15[[#This Row],[Approved Construction Cost]]=0,0,Table15[[#This Row],[Approved Construction Cost]]-Table15[[#This Row],[Construction Cost to Bill From]])</f>
        <v>19574.899999999994</v>
      </c>
      <c r="AU52" s="1525">
        <f>Table15[[#This Row],[Difference in Construction Cost]]*Table15[[#This Row],[Rate]]</f>
        <v>1761.7409999999993</v>
      </c>
      <c r="AV52" s="1525">
        <v>0</v>
      </c>
      <c r="AW52" s="1526" t="s">
        <v>1971</v>
      </c>
      <c r="AX52" s="1525"/>
      <c r="AY52" s="1518">
        <v>43983</v>
      </c>
      <c r="AZ52" s="333"/>
      <c r="BA52" s="1031" t="s">
        <v>2150</v>
      </c>
      <c r="BB52" s="644"/>
      <c r="BC52" s="544"/>
      <c r="BD52" s="544"/>
      <c r="BE52" s="544"/>
      <c r="BF52" s="544"/>
      <c r="BG52" s="544"/>
      <c r="BH52" s="741"/>
      <c r="BI52" s="547" t="s">
        <v>709</v>
      </c>
      <c r="BJ52" s="547" t="s">
        <v>709</v>
      </c>
      <c r="BK52" s="547" t="s">
        <v>709</v>
      </c>
      <c r="BL52" s="547" t="s">
        <v>116</v>
      </c>
      <c r="BM52" s="547" t="s">
        <v>709</v>
      </c>
      <c r="BN52" s="547" t="s">
        <v>709</v>
      </c>
      <c r="BO52" s="547" t="s">
        <v>709</v>
      </c>
      <c r="BP52" s="547" t="s">
        <v>709</v>
      </c>
      <c r="BQ52" s="547" t="s">
        <v>709</v>
      </c>
      <c r="BR52" s="547" t="s">
        <v>709</v>
      </c>
      <c r="BS52" s="547">
        <v>90</v>
      </c>
      <c r="BT52" s="547" t="s">
        <v>745</v>
      </c>
      <c r="BU52" s="547" t="s">
        <v>709</v>
      </c>
      <c r="BV52" s="547" t="s">
        <v>709</v>
      </c>
      <c r="BW52" s="547" t="s">
        <v>709</v>
      </c>
      <c r="BX52" s="547" t="s">
        <v>709</v>
      </c>
      <c r="BY52" s="547" t="s">
        <v>709</v>
      </c>
      <c r="BZ52" s="547" t="s">
        <v>709</v>
      </c>
      <c r="CA52" s="483"/>
      <c r="CB52" s="547">
        <v>50</v>
      </c>
      <c r="CC52" s="1481" t="b">
        <v>1</v>
      </c>
      <c r="CD52" t="str">
        <f>Table15[[#This Row],[Engineering Number]]&amp;Table15[[#This Row],[WO Number]]&amp;Table15[[#This Row],[Date Assigned to Designer]]&amp;Table15[[#This Row],[Date Completed]]</f>
        <v>MLP261203434365843747</v>
      </c>
    </row>
    <row r="53" spans="1:82" customFormat="1" ht="15" customHeight="1" x14ac:dyDescent="0.25">
      <c r="A53">
        <v>2019</v>
      </c>
      <c r="B53" s="8" t="s">
        <v>4</v>
      </c>
      <c r="C53" s="8" t="s">
        <v>2152</v>
      </c>
      <c r="D53" s="8" t="s">
        <v>2153</v>
      </c>
      <c r="E53" s="8" t="s">
        <v>1957</v>
      </c>
      <c r="F53" s="8" t="s">
        <v>325</v>
      </c>
      <c r="G53" s="8" t="s">
        <v>1896</v>
      </c>
      <c r="H53" s="8" t="s">
        <v>1681</v>
      </c>
      <c r="I53" s="642">
        <v>43614</v>
      </c>
      <c r="J53" s="18">
        <v>43672</v>
      </c>
      <c r="K53" s="642">
        <v>43748</v>
      </c>
      <c r="L53" s="16">
        <v>0</v>
      </c>
      <c r="M53" s="642" t="s">
        <v>2154</v>
      </c>
      <c r="N53" s="642" t="s">
        <v>120</v>
      </c>
      <c r="O53" s="1025">
        <v>43748</v>
      </c>
      <c r="P53" s="21" t="s">
        <v>739</v>
      </c>
      <c r="Q53" s="340" t="s">
        <v>115</v>
      </c>
      <c r="R53" s="1026" t="s">
        <v>115</v>
      </c>
      <c r="S53" s="538"/>
      <c r="T53" s="538"/>
      <c r="U53" s="28"/>
      <c r="V53" s="858"/>
      <c r="W53" s="437"/>
      <c r="X53" s="538"/>
      <c r="Y53" s="551"/>
      <c r="Z53" s="538"/>
      <c r="AA53" s="538">
        <v>0</v>
      </c>
      <c r="AB53" s="21"/>
      <c r="AC53" s="569"/>
      <c r="AD53" s="1149"/>
      <c r="AE53" s="580"/>
      <c r="AF53" s="580"/>
      <c r="AG53" s="580"/>
      <c r="AH53" s="542"/>
      <c r="AI53" s="1028"/>
      <c r="AJ53" s="1029"/>
      <c r="AK53" s="1029"/>
      <c r="AL53" s="1030"/>
      <c r="AM53" s="542" t="s">
        <v>709</v>
      </c>
      <c r="AN53" s="924"/>
      <c r="AO53" s="925"/>
      <c r="AP53" s="926"/>
      <c r="AQ53" s="926"/>
      <c r="AR53" s="926"/>
      <c r="AS53" s="926"/>
      <c r="AT53" s="926"/>
      <c r="AU53" s="926"/>
      <c r="AV53" s="926"/>
      <c r="AW53" s="927"/>
      <c r="AX53" s="926"/>
      <c r="AY53" s="1538" t="s">
        <v>29</v>
      </c>
      <c r="AZ53" s="1530"/>
      <c r="BA53" s="1031" t="s">
        <v>2155</v>
      </c>
      <c r="BB53" s="644" t="s">
        <v>1900</v>
      </c>
      <c r="BC53" s="544"/>
      <c r="BD53" s="544"/>
      <c r="BE53" s="544"/>
      <c r="BF53" s="544"/>
      <c r="BG53" s="544"/>
      <c r="BH53" s="741"/>
      <c r="BI53" s="1032"/>
      <c r="BJ53" s="1032"/>
      <c r="BK53" s="1032"/>
      <c r="BL53" s="1032"/>
      <c r="BM53" s="1032"/>
      <c r="BN53" s="1032"/>
      <c r="BO53" s="1032"/>
      <c r="BP53" s="1032"/>
      <c r="BQ53" s="1032"/>
      <c r="BR53" s="1032"/>
      <c r="BS53" s="1032"/>
      <c r="BT53" s="1032"/>
      <c r="BU53" s="1032"/>
      <c r="BV53" s="1032"/>
      <c r="BW53" s="1032"/>
      <c r="BX53" s="1032"/>
      <c r="BY53" s="1032"/>
      <c r="BZ53" s="1032"/>
      <c r="CA53" s="485"/>
      <c r="CB53" s="547">
        <v>51</v>
      </c>
      <c r="CC53" s="1481" t="b">
        <v>1</v>
      </c>
      <c r="CD53" t="str">
        <f>Table15[[#This Row],[Engineering Number]]&amp;Table15[[#This Row],[WO Number]]&amp;Table15[[#This Row],[Date Assigned to Designer]]&amp;Table15[[#This Row],[Date Completed]]</f>
        <v>SC166591356134361443748</v>
      </c>
    </row>
    <row r="54" spans="1:82" customFormat="1" ht="15" customHeight="1" x14ac:dyDescent="0.25">
      <c r="A54">
        <v>2019</v>
      </c>
      <c r="B54" s="8" t="s">
        <v>1981</v>
      </c>
      <c r="C54" s="8" t="s">
        <v>2157</v>
      </c>
      <c r="D54" s="8" t="s">
        <v>115</v>
      </c>
      <c r="E54" s="8" t="s">
        <v>354</v>
      </c>
      <c r="F54" s="8" t="s">
        <v>325</v>
      </c>
      <c r="G54" s="8" t="s">
        <v>1887</v>
      </c>
      <c r="H54" s="8" t="s">
        <v>59</v>
      </c>
      <c r="I54" s="642">
        <v>43725</v>
      </c>
      <c r="J54" s="18">
        <v>43755</v>
      </c>
      <c r="K54" s="642">
        <v>43749</v>
      </c>
      <c r="L54" s="16">
        <f>IF(ISTEXT(Table15[[#This Row],[Engineering Approved Design Date]]),Table15[[#This Row],[Date Completed]]-Table15[[#This Row],[Date Assigned to Designer]],Table15[[#This Row],[Engineering Approved Design Date]]-Table15[[#This Row],[Date Completed]])</f>
        <v>6</v>
      </c>
      <c r="M54" s="642" t="s">
        <v>115</v>
      </c>
      <c r="N54" s="642" t="s">
        <v>120</v>
      </c>
      <c r="O54" s="1025">
        <v>43749</v>
      </c>
      <c r="P54" s="21" t="s">
        <v>739</v>
      </c>
      <c r="Q54" s="340">
        <v>6207.5</v>
      </c>
      <c r="R54" s="1026" t="s">
        <v>1922</v>
      </c>
      <c r="S54" s="538"/>
      <c r="T54" s="538"/>
      <c r="U54" s="28"/>
      <c r="V54" s="858"/>
      <c r="W54" s="437"/>
      <c r="X54" s="538"/>
      <c r="Y54" s="551"/>
      <c r="Z54" s="538"/>
      <c r="AA54" s="538"/>
      <c r="AB54" s="21"/>
      <c r="AC54" s="569"/>
      <c r="AD54" s="1149"/>
      <c r="AE54" s="580"/>
      <c r="AF54" s="580"/>
      <c r="AG54" s="580"/>
      <c r="AH54" s="542"/>
      <c r="AI54" s="1028"/>
      <c r="AJ54" s="1029"/>
      <c r="AK54" s="1029"/>
      <c r="AL54" s="1030"/>
      <c r="AM54" s="542" t="s">
        <v>709</v>
      </c>
      <c r="AN54" s="924"/>
      <c r="AO54" s="925"/>
      <c r="AP54" s="926"/>
      <c r="AQ54" s="926"/>
      <c r="AR54" s="926"/>
      <c r="AS54" s="926"/>
      <c r="AT54" s="926"/>
      <c r="AU54" s="926"/>
      <c r="AV54" s="926"/>
      <c r="AW54" s="927"/>
      <c r="AX54" s="926"/>
      <c r="AY54" s="1538" t="s">
        <v>29</v>
      </c>
      <c r="AZ54" s="1530"/>
      <c r="BA54" s="1031" t="s">
        <v>2158</v>
      </c>
      <c r="BB54" s="644" t="s">
        <v>2159</v>
      </c>
      <c r="BC54" s="544"/>
      <c r="BD54" s="544"/>
      <c r="BE54" s="544"/>
      <c r="BF54" s="544"/>
      <c r="BG54" s="544"/>
      <c r="BH54" s="741"/>
      <c r="BI54" s="547"/>
      <c r="BJ54" s="547"/>
      <c r="BK54" s="547"/>
      <c r="BL54" s="547"/>
      <c r="BM54" s="547"/>
      <c r="BN54" s="547"/>
      <c r="BO54" s="547"/>
      <c r="BP54" s="547"/>
      <c r="BQ54" s="547"/>
      <c r="BR54" s="547"/>
      <c r="BS54" s="547"/>
      <c r="BT54" s="547"/>
      <c r="BU54" s="547"/>
      <c r="BV54" s="547"/>
      <c r="BW54" s="547"/>
      <c r="BX54" s="547"/>
      <c r="BY54" s="547"/>
      <c r="BZ54" s="547" t="s">
        <v>709</v>
      </c>
      <c r="CA54" s="483" t="s">
        <v>915</v>
      </c>
      <c r="CB54" s="547">
        <v>52</v>
      </c>
      <c r="CC54" s="1481" t="b">
        <v>1</v>
      </c>
      <c r="CD54" t="str">
        <f>Table15[[#This Row],[Engineering Number]]&amp;Table15[[#This Row],[WO Number]]&amp;Table15[[#This Row],[Date Assigned to Designer]]&amp;Table15[[#This Row],[Date Completed]]</f>
        <v>COR2019452-4372543749</v>
      </c>
    </row>
    <row r="55" spans="1:82" customFormat="1" ht="15" customHeight="1" x14ac:dyDescent="0.25">
      <c r="A55">
        <v>2020</v>
      </c>
      <c r="B55" s="8" t="s">
        <v>771</v>
      </c>
      <c r="C55" s="8" t="s">
        <v>2161</v>
      </c>
      <c r="D55" s="8" t="s">
        <v>2162</v>
      </c>
      <c r="E55" s="8" t="s">
        <v>1529</v>
      </c>
      <c r="F55" s="8" t="s">
        <v>325</v>
      </c>
      <c r="G55" s="8" t="s">
        <v>1896</v>
      </c>
      <c r="H55" s="8" t="s">
        <v>59</v>
      </c>
      <c r="I55" s="642">
        <v>43658</v>
      </c>
      <c r="J55" s="18">
        <v>43752</v>
      </c>
      <c r="K55" s="642">
        <v>43752</v>
      </c>
      <c r="L55" s="16">
        <f>IF(ISTEXT(Table15[[#This Row],[Engineering Approved Design Date]]),Table15[[#This Row],[Date Completed]]-Table15[[#This Row],[Date Assigned to Designer]],Table15[[#This Row],[Engineering Approved Design Date]]-Table15[[#This Row],[Date Completed]])</f>
        <v>0</v>
      </c>
      <c r="M55" s="642" t="s">
        <v>115</v>
      </c>
      <c r="N55" s="642" t="s">
        <v>120</v>
      </c>
      <c r="O55" s="1025">
        <v>43752</v>
      </c>
      <c r="P55" s="21" t="s">
        <v>120</v>
      </c>
      <c r="Q55" s="340">
        <f>AA55*R55</f>
        <v>18618.135300000002</v>
      </c>
      <c r="R55" s="1026">
        <v>0.09</v>
      </c>
      <c r="S55" s="538"/>
      <c r="T55" s="538"/>
      <c r="U55" s="28"/>
      <c r="V55" s="858">
        <v>1108</v>
      </c>
      <c r="W55" s="437"/>
      <c r="X55" s="538">
        <v>166521.70000000001</v>
      </c>
      <c r="Y55" s="551">
        <v>13597.5</v>
      </c>
      <c r="Z55" s="538">
        <v>53943.97</v>
      </c>
      <c r="AA55" s="538">
        <f>X55-Y55+Z55</f>
        <v>206868.17</v>
      </c>
      <c r="AB55" s="21"/>
      <c r="AC55" s="569"/>
      <c r="AD55" s="1149"/>
      <c r="AE55" s="569"/>
      <c r="AF55" s="569"/>
      <c r="AG55" s="569"/>
      <c r="AH55" s="536"/>
      <c r="AI55" s="1028"/>
      <c r="AJ55" s="1029"/>
      <c r="AK55" s="1029"/>
      <c r="AL55" s="1030"/>
      <c r="AM55" s="1522" t="s">
        <v>116</v>
      </c>
      <c r="AN55" s="1523">
        <v>43881</v>
      </c>
      <c r="AO55" s="1524">
        <v>182397</v>
      </c>
      <c r="AP55" s="1525">
        <v>356118.81</v>
      </c>
      <c r="AQ55" s="1525">
        <v>17218.32</v>
      </c>
      <c r="AR55" s="1525">
        <v>54615.95</v>
      </c>
      <c r="AS55" s="1525">
        <f>IF(Table15[[#This Row],[PCTS Approved]]="N",0,Table15[[#This Row],[Investment Amount (1'#'#'#'#'#)]]+Table15[[#This Row],[Retirement Amount (3'#'#'#'#'#)]])</f>
        <v>410734.76</v>
      </c>
      <c r="AT55" s="1525">
        <f>IF(Table15[[#This Row],[Approved Construction Cost]]=0,0,Table15[[#This Row],[Approved Construction Cost]]-Table15[[#This Row],[Construction Cost to Bill From]])</f>
        <v>203866.59</v>
      </c>
      <c r="AU55" s="1525">
        <f>Table15[[#This Row],[Difference in Construction Cost]]*Table15[[#This Row],[Rate]]</f>
        <v>18347.9931</v>
      </c>
      <c r="AV55" s="1525">
        <v>7596</v>
      </c>
      <c r="AW55" s="1526" t="s">
        <v>2163</v>
      </c>
      <c r="AX55" s="1525"/>
      <c r="AY55" s="1518">
        <v>43983</v>
      </c>
      <c r="AZ55" s="333"/>
      <c r="BA55" s="1031" t="s">
        <v>2164</v>
      </c>
      <c r="BB55" s="644"/>
      <c r="BC55" s="544"/>
      <c r="BD55" s="544"/>
      <c r="BE55" s="544"/>
      <c r="BF55" s="544"/>
      <c r="BG55" s="544"/>
      <c r="BH55" s="741"/>
      <c r="BI55" s="547" t="s">
        <v>709</v>
      </c>
      <c r="BJ55" s="547" t="s">
        <v>709</v>
      </c>
      <c r="BK55" s="547" t="s">
        <v>709</v>
      </c>
      <c r="BL55" s="547" t="s">
        <v>116</v>
      </c>
      <c r="BM55" s="547" t="s">
        <v>709</v>
      </c>
      <c r="BN55" s="547" t="s">
        <v>709</v>
      </c>
      <c r="BO55" s="547" t="s">
        <v>709</v>
      </c>
      <c r="BP55" s="547" t="s">
        <v>709</v>
      </c>
      <c r="BQ55" s="547" t="s">
        <v>709</v>
      </c>
      <c r="BR55" s="547" t="s">
        <v>709</v>
      </c>
      <c r="BS55" s="547">
        <v>875</v>
      </c>
      <c r="BT55" s="547" t="s">
        <v>745</v>
      </c>
      <c r="BU55" s="547" t="s">
        <v>709</v>
      </c>
      <c r="BV55" s="547" t="s">
        <v>709</v>
      </c>
      <c r="BW55" s="547" t="s">
        <v>709</v>
      </c>
      <c r="BX55" s="547" t="s">
        <v>745</v>
      </c>
      <c r="BY55" s="547" t="s">
        <v>709</v>
      </c>
      <c r="BZ55" s="547" t="s">
        <v>709</v>
      </c>
      <c r="CA55" s="483"/>
      <c r="CB55" s="547">
        <v>53</v>
      </c>
      <c r="CC55" s="1481" t="b">
        <v>1</v>
      </c>
      <c r="CD55" t="str">
        <f>Table15[[#This Row],[Engineering Number]]&amp;Table15[[#This Row],[WO Number]]&amp;Table15[[#This Row],[Date Assigned to Designer]]&amp;Table15[[#This Row],[Date Completed]]</f>
        <v>MLP251203424365843752</v>
      </c>
    </row>
    <row r="56" spans="1:82" customFormat="1" ht="15" customHeight="1" x14ac:dyDescent="0.25">
      <c r="A56">
        <v>2019</v>
      </c>
      <c r="B56" s="8" t="s">
        <v>1981</v>
      </c>
      <c r="C56" s="8" t="s">
        <v>2166</v>
      </c>
      <c r="D56" s="8" t="s">
        <v>115</v>
      </c>
      <c r="E56" s="8" t="s">
        <v>93</v>
      </c>
      <c r="F56" s="8" t="s">
        <v>919</v>
      </c>
      <c r="G56" s="8" t="s">
        <v>1887</v>
      </c>
      <c r="H56" s="8" t="s">
        <v>59</v>
      </c>
      <c r="I56" s="642">
        <v>43725</v>
      </c>
      <c r="J56" s="18">
        <v>43755</v>
      </c>
      <c r="K56" s="642">
        <v>43753</v>
      </c>
      <c r="L56" s="16">
        <f>IF(ISTEXT(Table15[[#This Row],[Engineering Approved Design Date]]),Table15[[#This Row],[Date Completed]]-Table15[[#This Row],[Date Assigned to Designer]],Table15[[#This Row],[Engineering Approved Design Date]]-Table15[[#This Row],[Date Completed]])</f>
        <v>2</v>
      </c>
      <c r="M56" s="642" t="s">
        <v>115</v>
      </c>
      <c r="N56" s="642" t="s">
        <v>120</v>
      </c>
      <c r="O56" s="1025">
        <v>43753</v>
      </c>
      <c r="P56" s="21" t="s">
        <v>739</v>
      </c>
      <c r="Q56" s="340">
        <v>6500</v>
      </c>
      <c r="R56" s="1026" t="s">
        <v>1922</v>
      </c>
      <c r="S56" s="538"/>
      <c r="T56" s="538"/>
      <c r="U56" s="28"/>
      <c r="V56" s="858"/>
      <c r="W56" s="437"/>
      <c r="X56" s="538"/>
      <c r="Y56" s="551"/>
      <c r="Z56" s="538"/>
      <c r="AA56" s="538"/>
      <c r="AB56" s="21"/>
      <c r="AC56" s="569"/>
      <c r="AD56" s="1149"/>
      <c r="AE56" s="580"/>
      <c r="AF56" s="580"/>
      <c r="AG56" s="580"/>
      <c r="AH56" s="542"/>
      <c r="AI56" s="1028"/>
      <c r="AJ56" s="1029"/>
      <c r="AK56" s="1029"/>
      <c r="AL56" s="1030"/>
      <c r="AM56" s="542" t="s">
        <v>709</v>
      </c>
      <c r="AN56" s="924"/>
      <c r="AO56" s="925"/>
      <c r="AP56" s="926"/>
      <c r="AQ56" s="926"/>
      <c r="AR56" s="926"/>
      <c r="AS56" s="926"/>
      <c r="AT56" s="926"/>
      <c r="AU56" s="926"/>
      <c r="AV56" s="926"/>
      <c r="AW56" s="927"/>
      <c r="AX56" s="926"/>
      <c r="AY56" s="1538" t="s">
        <v>29</v>
      </c>
      <c r="AZ56" s="1530"/>
      <c r="BA56" s="1031" t="s">
        <v>2158</v>
      </c>
      <c r="BB56" s="644" t="s">
        <v>2159</v>
      </c>
      <c r="BC56" s="544"/>
      <c r="BD56" s="544"/>
      <c r="BE56" s="544"/>
      <c r="BF56" s="544"/>
      <c r="BG56" s="544"/>
      <c r="BH56" s="741"/>
      <c r="BI56" s="547"/>
      <c r="BJ56" s="547"/>
      <c r="BK56" s="547"/>
      <c r="BL56" s="547"/>
      <c r="BM56" s="547"/>
      <c r="BN56" s="547"/>
      <c r="BO56" s="547"/>
      <c r="BP56" s="547"/>
      <c r="BQ56" s="547"/>
      <c r="BR56" s="547"/>
      <c r="BS56" s="547"/>
      <c r="BT56" s="547"/>
      <c r="BU56" s="547"/>
      <c r="BV56" s="547"/>
      <c r="BW56" s="547"/>
      <c r="BX56" s="547"/>
      <c r="BY56" s="547"/>
      <c r="BZ56" s="547" t="s">
        <v>709</v>
      </c>
      <c r="CA56" s="483" t="s">
        <v>915</v>
      </c>
      <c r="CB56" s="547">
        <v>55</v>
      </c>
      <c r="CC56" s="1481" t="b">
        <v>1</v>
      </c>
      <c r="CD56" t="str">
        <f>Table15[[#This Row],[Engineering Number]]&amp;Table15[[#This Row],[WO Number]]&amp;Table15[[#This Row],[Date Assigned to Designer]]&amp;Table15[[#This Row],[Date Completed]]</f>
        <v>COR2019248-4372543753</v>
      </c>
    </row>
    <row r="57" spans="1:82" customFormat="1" ht="15" customHeight="1" x14ac:dyDescent="0.25">
      <c r="A57">
        <v>2019</v>
      </c>
      <c r="B57" s="8" t="s">
        <v>4</v>
      </c>
      <c r="C57" s="8" t="s">
        <v>2072</v>
      </c>
      <c r="D57" s="8" t="s">
        <v>2073</v>
      </c>
      <c r="E57" s="8" t="s">
        <v>2074</v>
      </c>
      <c r="F57" s="8" t="s">
        <v>919</v>
      </c>
      <c r="G57" s="8" t="s">
        <v>1896</v>
      </c>
      <c r="H57" s="8" t="s">
        <v>2051</v>
      </c>
      <c r="I57" s="1033">
        <v>43643</v>
      </c>
      <c r="J57" s="18" t="s">
        <v>2052</v>
      </c>
      <c r="K57" s="642">
        <v>43753</v>
      </c>
      <c r="L57" s="16">
        <f>IF(ISTEXT(Table15[[#This Row],[Engineering Approved Design Date]]),Table15[[#This Row],[Date Completed]]-Table15[[#This Row],[Date Assigned to Designer]],Table15[[#This Row],[Engineering Approved Design Date]]-Table15[[#This Row],[Date Completed]])</f>
        <v>110</v>
      </c>
      <c r="M57" s="642" t="s">
        <v>2168</v>
      </c>
      <c r="N57" s="642" t="s">
        <v>120</v>
      </c>
      <c r="O57" s="1025">
        <v>43753</v>
      </c>
      <c r="P57" s="21" t="s">
        <v>739</v>
      </c>
      <c r="Q57" s="340">
        <f>3790-2330</f>
        <v>1460</v>
      </c>
      <c r="R57" s="1026" t="s">
        <v>1922</v>
      </c>
      <c r="S57" s="538"/>
      <c r="T57" s="538"/>
      <c r="U57" s="28"/>
      <c r="V57" s="858"/>
      <c r="W57" s="437"/>
      <c r="X57" s="538"/>
      <c r="Y57" s="551"/>
      <c r="Z57" s="538"/>
      <c r="AA57" s="538"/>
      <c r="AB57" s="21"/>
      <c r="AC57" s="569"/>
      <c r="AD57" s="1149"/>
      <c r="AE57" s="580"/>
      <c r="AF57" s="580"/>
      <c r="AG57" s="580"/>
      <c r="AH57" s="542"/>
      <c r="AI57" s="1028"/>
      <c r="AJ57" s="1029"/>
      <c r="AK57" s="1029"/>
      <c r="AL57" s="1030"/>
      <c r="AM57" s="542" t="s">
        <v>709</v>
      </c>
      <c r="AN57" s="924"/>
      <c r="AO57" s="925"/>
      <c r="AP57" s="926"/>
      <c r="AQ57" s="926"/>
      <c r="AR57" s="926"/>
      <c r="AS57" s="926"/>
      <c r="AT57" s="926"/>
      <c r="AU57" s="926"/>
      <c r="AV57" s="926"/>
      <c r="AW57" s="927"/>
      <c r="AX57" s="926"/>
      <c r="AY57" s="1538" t="s">
        <v>29</v>
      </c>
      <c r="AZ57" s="1530"/>
      <c r="BA57" s="1031">
        <v>1</v>
      </c>
      <c r="BB57" s="644"/>
      <c r="BC57" s="544"/>
      <c r="BD57" s="544"/>
      <c r="BE57" s="544"/>
      <c r="BF57" s="544"/>
      <c r="BG57" s="544"/>
      <c r="BH57" s="741"/>
      <c r="BI57" s="547" t="s">
        <v>709</v>
      </c>
      <c r="BJ57" s="547" t="s">
        <v>709</v>
      </c>
      <c r="BK57" s="547" t="s">
        <v>116</v>
      </c>
      <c r="BL57" s="547" t="s">
        <v>709</v>
      </c>
      <c r="BM57" s="547" t="s">
        <v>709</v>
      </c>
      <c r="BN57" s="547" t="s">
        <v>709</v>
      </c>
      <c r="BO57" s="547" t="s">
        <v>709</v>
      </c>
      <c r="BP57" s="547" t="s">
        <v>709</v>
      </c>
      <c r="BQ57" s="547" t="s">
        <v>709</v>
      </c>
      <c r="BR57" s="547">
        <v>820</v>
      </c>
      <c r="BS57" s="547" t="s">
        <v>709</v>
      </c>
      <c r="BT57" s="547" t="s">
        <v>709</v>
      </c>
      <c r="BU57" s="547" t="s">
        <v>709</v>
      </c>
      <c r="BV57" s="547" t="s">
        <v>709</v>
      </c>
      <c r="BW57" s="547" t="s">
        <v>709</v>
      </c>
      <c r="BX57" s="547" t="s">
        <v>709</v>
      </c>
      <c r="BY57" s="547" t="s">
        <v>709</v>
      </c>
      <c r="BZ57" s="547" t="s">
        <v>709</v>
      </c>
      <c r="CA57" s="483"/>
      <c r="CB57" s="547">
        <v>54</v>
      </c>
      <c r="CC57" s="1481" t="b">
        <v>1</v>
      </c>
      <c r="CD57" t="str">
        <f>Table15[[#This Row],[Engineering Number]]&amp;Table15[[#This Row],[WO Number]]&amp;Table15[[#This Row],[Date Assigned to Designer]]&amp;Table15[[#This Row],[Date Completed]]</f>
        <v>SC164411407374364343753</v>
      </c>
    </row>
    <row r="58" spans="1:82" customFormat="1" ht="15" customHeight="1" x14ac:dyDescent="0.25">
      <c r="A58">
        <v>2019</v>
      </c>
      <c r="B58" s="8" t="s">
        <v>1981</v>
      </c>
      <c r="C58" s="8" t="s">
        <v>2170</v>
      </c>
      <c r="D58" s="8" t="s">
        <v>115</v>
      </c>
      <c r="E58" s="8" t="s">
        <v>1957</v>
      </c>
      <c r="F58" s="8" t="s">
        <v>325</v>
      </c>
      <c r="G58" s="8" t="s">
        <v>1887</v>
      </c>
      <c r="H58" s="8" t="s">
        <v>2127</v>
      </c>
      <c r="I58" s="642">
        <v>43725</v>
      </c>
      <c r="J58" s="18">
        <v>43755</v>
      </c>
      <c r="K58" s="642">
        <v>43754</v>
      </c>
      <c r="L58" s="16">
        <f>IF(ISTEXT(Table15[[#This Row],[Engineering Approved Design Date]]),Table15[[#This Row],[Date Completed]]-Table15[[#This Row],[Date Assigned to Designer]],Table15[[#This Row],[Engineering Approved Design Date]]-Table15[[#This Row],[Date Completed]])</f>
        <v>1</v>
      </c>
      <c r="M58" s="642" t="s">
        <v>2171</v>
      </c>
      <c r="N58" s="642" t="s">
        <v>120</v>
      </c>
      <c r="O58" s="1025">
        <v>43754</v>
      </c>
      <c r="P58" s="21" t="s">
        <v>739</v>
      </c>
      <c r="Q58" s="340">
        <v>6432.5</v>
      </c>
      <c r="R58" s="1026" t="s">
        <v>1922</v>
      </c>
      <c r="S58" s="538"/>
      <c r="T58" s="538"/>
      <c r="U58" s="28"/>
      <c r="V58" s="858"/>
      <c r="W58" s="437"/>
      <c r="X58" s="538"/>
      <c r="Y58" s="551"/>
      <c r="Z58" s="538"/>
      <c r="AA58" s="538"/>
      <c r="AB58" s="21"/>
      <c r="AC58" s="569"/>
      <c r="AD58" s="1149"/>
      <c r="AE58" s="580"/>
      <c r="AF58" s="580"/>
      <c r="AG58" s="580"/>
      <c r="AH58" s="542"/>
      <c r="AI58" s="1028"/>
      <c r="AJ58" s="1029"/>
      <c r="AK58" s="1029"/>
      <c r="AL58" s="1030"/>
      <c r="AM58" s="542" t="s">
        <v>709</v>
      </c>
      <c r="AN58" s="924"/>
      <c r="AO58" s="925"/>
      <c r="AP58" s="926"/>
      <c r="AQ58" s="926"/>
      <c r="AR58" s="926"/>
      <c r="AS58" s="926"/>
      <c r="AT58" s="926"/>
      <c r="AU58" s="926"/>
      <c r="AV58" s="926"/>
      <c r="AW58" s="927"/>
      <c r="AX58" s="926"/>
      <c r="AY58" s="1538" t="s">
        <v>29</v>
      </c>
      <c r="AZ58" s="1530"/>
      <c r="BA58" s="1031" t="s">
        <v>2158</v>
      </c>
      <c r="BB58" s="644" t="s">
        <v>2159</v>
      </c>
      <c r="BC58" s="544"/>
      <c r="BD58" s="544"/>
      <c r="BE58" s="544"/>
      <c r="BF58" s="544"/>
      <c r="BG58" s="544"/>
      <c r="BH58" s="741"/>
      <c r="BI58" s="547"/>
      <c r="BJ58" s="547"/>
      <c r="BK58" s="547"/>
      <c r="BL58" s="547"/>
      <c r="BM58" s="547"/>
      <c r="BN58" s="547"/>
      <c r="BO58" s="547"/>
      <c r="BP58" s="547"/>
      <c r="BQ58" s="547"/>
      <c r="BR58" s="547"/>
      <c r="BS58" s="547"/>
      <c r="BT58" s="547"/>
      <c r="BU58" s="547"/>
      <c r="BV58" s="547"/>
      <c r="BW58" s="547"/>
      <c r="BX58" s="547"/>
      <c r="BY58" s="547"/>
      <c r="BZ58" s="547"/>
      <c r="CA58" s="483" t="s">
        <v>915</v>
      </c>
      <c r="CB58" s="547">
        <v>56</v>
      </c>
      <c r="CC58" s="1481" t="b">
        <v>1</v>
      </c>
      <c r="CD58" t="str">
        <f>Table15[[#This Row],[Engineering Number]]&amp;Table15[[#This Row],[WO Number]]&amp;Table15[[#This Row],[Date Assigned to Designer]]&amp;Table15[[#This Row],[Date Completed]]</f>
        <v>COR2019246-4372543754</v>
      </c>
    </row>
    <row r="59" spans="1:82" customFormat="1" ht="15" customHeight="1" x14ac:dyDescent="0.25">
      <c r="A59">
        <v>2020</v>
      </c>
      <c r="B59" s="8" t="s">
        <v>771</v>
      </c>
      <c r="C59" s="8" t="s">
        <v>2173</v>
      </c>
      <c r="D59" s="8" t="s">
        <v>2174</v>
      </c>
      <c r="E59" s="8" t="s">
        <v>1529</v>
      </c>
      <c r="F59" s="8" t="s">
        <v>325</v>
      </c>
      <c r="G59" s="8" t="s">
        <v>1896</v>
      </c>
      <c r="H59" s="8" t="s">
        <v>59</v>
      </c>
      <c r="I59" s="642">
        <v>43664</v>
      </c>
      <c r="J59" s="18">
        <v>43760</v>
      </c>
      <c r="K59" s="642">
        <v>43759</v>
      </c>
      <c r="L59" s="16">
        <f>IF(ISTEXT(Table15[[#This Row],[Engineering Approved Design Date]]),Table15[[#This Row],[Date Completed]]-Table15[[#This Row],[Date Assigned to Designer]],Table15[[#This Row],[Engineering Approved Design Date]]-Table15[[#This Row],[Date Completed]])</f>
        <v>1</v>
      </c>
      <c r="M59" s="642" t="s">
        <v>115</v>
      </c>
      <c r="N59" s="642" t="s">
        <v>120</v>
      </c>
      <c r="O59" s="1025">
        <v>43759</v>
      </c>
      <c r="P59" s="21" t="s">
        <v>120</v>
      </c>
      <c r="Q59" s="340">
        <f>AA59*R59</f>
        <v>57142.688399999999</v>
      </c>
      <c r="R59" s="1026">
        <v>0.09</v>
      </c>
      <c r="S59" s="538"/>
      <c r="T59" s="538"/>
      <c r="U59" s="28"/>
      <c r="V59" s="858">
        <v>2065</v>
      </c>
      <c r="W59" s="437"/>
      <c r="X59" s="538">
        <v>393012.24</v>
      </c>
      <c r="Y59" s="551">
        <v>32090.1</v>
      </c>
      <c r="Z59" s="538">
        <v>273996.62</v>
      </c>
      <c r="AA59" s="538">
        <f>X59-Y59+Z59</f>
        <v>634918.76</v>
      </c>
      <c r="AB59" s="21"/>
      <c r="AC59" s="569"/>
      <c r="AD59" s="1149"/>
      <c r="AE59" s="569"/>
      <c r="AF59" s="569"/>
      <c r="AG59" s="569"/>
      <c r="AH59" s="536"/>
      <c r="AI59" s="1028"/>
      <c r="AJ59" s="1029"/>
      <c r="AK59" s="1029"/>
      <c r="AL59" s="1030"/>
      <c r="AM59" s="1522" t="s">
        <v>116</v>
      </c>
      <c r="AN59" s="1523">
        <v>43882</v>
      </c>
      <c r="AO59" s="1524" t="s">
        <v>115</v>
      </c>
      <c r="AP59" s="1525">
        <v>747851.17</v>
      </c>
      <c r="AQ59" s="1525">
        <v>32090.1</v>
      </c>
      <c r="AR59" s="1525">
        <v>253238.76</v>
      </c>
      <c r="AS59" s="1525">
        <f>IF(Table15[[#This Row],[PCTS Approved]]="N",0,Table15[[#This Row],[Investment Amount (1'#'#'#'#'#)]]+Table15[[#This Row],[Retirement Amount (3'#'#'#'#'#)]])</f>
        <v>1001089.93</v>
      </c>
      <c r="AT59" s="1525">
        <f>IF(Table15[[#This Row],[Approved Construction Cost]]=0,0,Table15[[#This Row],[Approved Construction Cost]]-Table15[[#This Row],[Construction Cost to Bill From]])</f>
        <v>366171.17000000004</v>
      </c>
      <c r="AU59" s="1525">
        <f>Table15[[#This Row],[Difference in Construction Cost]]*Table15[[#This Row],[Rate]]</f>
        <v>32955.405300000006</v>
      </c>
      <c r="AV59" s="1525">
        <v>0</v>
      </c>
      <c r="AW59" s="1526" t="s">
        <v>2175</v>
      </c>
      <c r="AX59" s="1525"/>
      <c r="AY59" s="1518">
        <v>43983</v>
      </c>
      <c r="AZ59" s="333"/>
      <c r="BA59" s="1031" t="s">
        <v>2176</v>
      </c>
      <c r="BB59" s="644"/>
      <c r="BC59" s="544"/>
      <c r="BD59" s="544"/>
      <c r="BE59" s="544"/>
      <c r="BF59" s="544"/>
      <c r="BG59" s="544"/>
      <c r="BH59" s="741"/>
      <c r="BI59" s="547" t="s">
        <v>709</v>
      </c>
      <c r="BJ59" s="547" t="s">
        <v>709</v>
      </c>
      <c r="BK59" s="547" t="s">
        <v>709</v>
      </c>
      <c r="BL59" s="547" t="s">
        <v>116</v>
      </c>
      <c r="BM59" s="547" t="s">
        <v>709</v>
      </c>
      <c r="BN59" s="547" t="s">
        <v>709</v>
      </c>
      <c r="BO59" s="547" t="s">
        <v>709</v>
      </c>
      <c r="BP59" s="547" t="s">
        <v>709</v>
      </c>
      <c r="BQ59" s="547" t="s">
        <v>709</v>
      </c>
      <c r="BR59" s="547" t="s">
        <v>709</v>
      </c>
      <c r="BS59" s="547">
        <v>2065</v>
      </c>
      <c r="BT59" s="547" t="s">
        <v>709</v>
      </c>
      <c r="BU59" s="547" t="s">
        <v>709</v>
      </c>
      <c r="BV59" s="547" t="s">
        <v>745</v>
      </c>
      <c r="BW59" s="547" t="s">
        <v>709</v>
      </c>
      <c r="BX59" s="547" t="s">
        <v>745</v>
      </c>
      <c r="BY59" s="547" t="s">
        <v>745</v>
      </c>
      <c r="BZ59" s="547" t="s">
        <v>709</v>
      </c>
      <c r="CA59" s="483"/>
      <c r="CB59" s="547">
        <v>57</v>
      </c>
      <c r="CC59" s="1481" t="b">
        <v>1</v>
      </c>
      <c r="CD59" t="str">
        <f>Table15[[#This Row],[Engineering Number]]&amp;Table15[[#This Row],[WO Number]]&amp;Table15[[#This Row],[Date Assigned to Designer]]&amp;Table15[[#This Row],[Date Completed]]</f>
        <v>MLP281203444366443759</v>
      </c>
    </row>
    <row r="60" spans="1:82" customFormat="1" ht="15" customHeight="1" x14ac:dyDescent="0.25">
      <c r="A60">
        <v>2020</v>
      </c>
      <c r="B60" s="8" t="s">
        <v>771</v>
      </c>
      <c r="C60" s="8" t="s">
        <v>2178</v>
      </c>
      <c r="D60" s="8" t="s">
        <v>2179</v>
      </c>
      <c r="E60" s="8" t="s">
        <v>1529</v>
      </c>
      <c r="F60" s="8" t="s">
        <v>325</v>
      </c>
      <c r="G60" s="8" t="s">
        <v>1896</v>
      </c>
      <c r="H60" s="8" t="s">
        <v>59</v>
      </c>
      <c r="I60" s="642">
        <v>43664</v>
      </c>
      <c r="J60" s="18">
        <v>43762</v>
      </c>
      <c r="K60" s="642">
        <v>43760</v>
      </c>
      <c r="L60" s="16">
        <f>IF(ISTEXT(Table15[[#This Row],[Engineering Approved Design Date]]),Table15[[#This Row],[Date Completed]]-Table15[[#This Row],[Date Assigned to Designer]],Table15[[#This Row],[Engineering Approved Design Date]]-Table15[[#This Row],[Date Completed]])</f>
        <v>2</v>
      </c>
      <c r="M60" s="642" t="s">
        <v>115</v>
      </c>
      <c r="N60" s="642" t="s">
        <v>120</v>
      </c>
      <c r="O60" s="1025">
        <v>43760</v>
      </c>
      <c r="P60" s="21" t="s">
        <v>120</v>
      </c>
      <c r="Q60" s="340">
        <f>AA60*R60</f>
        <v>18183.329999999998</v>
      </c>
      <c r="R60" s="1026">
        <v>0.09</v>
      </c>
      <c r="S60" s="538"/>
      <c r="T60" s="538"/>
      <c r="U60" s="28"/>
      <c r="V60" s="858">
        <v>658</v>
      </c>
      <c r="W60" s="437"/>
      <c r="X60" s="538">
        <v>149356.17000000001</v>
      </c>
      <c r="Y60" s="551">
        <v>10225.32</v>
      </c>
      <c r="Z60" s="538">
        <v>62906.15</v>
      </c>
      <c r="AA60" s="538">
        <f>X60-Y60+Z60</f>
        <v>202037</v>
      </c>
      <c r="AB60" s="21"/>
      <c r="AC60" s="569"/>
      <c r="AD60" s="1149"/>
      <c r="AE60" s="569"/>
      <c r="AF60" s="569"/>
      <c r="AG60" s="569"/>
      <c r="AH60" s="536"/>
      <c r="AI60" s="1028"/>
      <c r="AJ60" s="1029"/>
      <c r="AK60" s="1029"/>
      <c r="AL60" s="1030"/>
      <c r="AM60" s="542" t="s">
        <v>116</v>
      </c>
      <c r="AN60" s="1508">
        <v>43896</v>
      </c>
      <c r="AO60" s="925">
        <v>183867</v>
      </c>
      <c r="AP60" s="926">
        <v>132022.42000000001</v>
      </c>
      <c r="AQ60" s="926">
        <v>10225.32</v>
      </c>
      <c r="AR60" s="926">
        <v>74651.17</v>
      </c>
      <c r="AS60" s="926">
        <f>IF(Table15[[#This Row],[PCTS Approved]]="N",0,Table15[[#This Row],[Investment Amount (1'#'#'#'#'#)]]+Table15[[#This Row],[Retirement Amount (3'#'#'#'#'#)]])</f>
        <v>206673.59000000003</v>
      </c>
      <c r="AT60" s="926">
        <f>IF(Table15[[#This Row],[Approved Construction Cost]]=0,0,Table15[[#This Row],[Approved Construction Cost]]-Table15[[#This Row],[Construction Cost to Bill From]])</f>
        <v>4636.5900000000256</v>
      </c>
      <c r="AU60" s="926">
        <f>Table15[[#This Row],[Difference in Construction Cost]]*Table15[[#This Row],[Rate]]</f>
        <v>417.29310000000231</v>
      </c>
      <c r="AV60" s="926">
        <v>3905</v>
      </c>
      <c r="AW60" s="927" t="s">
        <v>2180</v>
      </c>
      <c r="AX60" s="926"/>
      <c r="AY60" s="636" t="s">
        <v>1935</v>
      </c>
      <c r="AZ60" s="1531"/>
      <c r="BA60" s="1031" t="s">
        <v>2181</v>
      </c>
      <c r="BB60" s="644"/>
      <c r="BC60" s="544"/>
      <c r="BD60" s="544"/>
      <c r="BE60" s="544"/>
      <c r="BF60" s="544"/>
      <c r="BG60" s="544"/>
      <c r="BH60" s="741"/>
      <c r="BI60" s="547" t="s">
        <v>709</v>
      </c>
      <c r="BJ60" s="547" t="s">
        <v>709</v>
      </c>
      <c r="BK60" s="547" t="s">
        <v>709</v>
      </c>
      <c r="BL60" s="547" t="s">
        <v>116</v>
      </c>
      <c r="BM60" s="547" t="s">
        <v>709</v>
      </c>
      <c r="BN60" s="547" t="s">
        <v>709</v>
      </c>
      <c r="BO60" s="547" t="s">
        <v>709</v>
      </c>
      <c r="BP60" s="547" t="s">
        <v>709</v>
      </c>
      <c r="BQ60" s="547" t="s">
        <v>709</v>
      </c>
      <c r="BR60" s="547" t="s">
        <v>709</v>
      </c>
      <c r="BS60" s="547">
        <v>658</v>
      </c>
      <c r="BT60" s="547" t="s">
        <v>745</v>
      </c>
      <c r="BU60" s="547" t="s">
        <v>709</v>
      </c>
      <c r="BV60" s="547" t="s">
        <v>709</v>
      </c>
      <c r="BW60" s="547" t="s">
        <v>709</v>
      </c>
      <c r="BX60" s="547" t="s">
        <v>745</v>
      </c>
      <c r="BY60" s="547" t="s">
        <v>709</v>
      </c>
      <c r="BZ60" s="547" t="s">
        <v>709</v>
      </c>
      <c r="CA60" s="483"/>
      <c r="CB60" s="547">
        <v>58</v>
      </c>
      <c r="CC60" s="1481" t="b">
        <v>1</v>
      </c>
      <c r="CD60" t="str">
        <f>Table15[[#This Row],[Engineering Number]]&amp;Table15[[#This Row],[WO Number]]&amp;Table15[[#This Row],[Date Assigned to Designer]]&amp;Table15[[#This Row],[Date Completed]]</f>
        <v>MLP291203454366443760</v>
      </c>
    </row>
    <row r="61" spans="1:82" customFormat="1" ht="15" customHeight="1" x14ac:dyDescent="0.25">
      <c r="A61">
        <v>2020</v>
      </c>
      <c r="B61" s="8" t="s">
        <v>771</v>
      </c>
      <c r="C61" s="8" t="s">
        <v>2193</v>
      </c>
      <c r="D61" s="8" t="s">
        <v>2194</v>
      </c>
      <c r="E61" s="8" t="s">
        <v>249</v>
      </c>
      <c r="F61" s="8" t="s">
        <v>325</v>
      </c>
      <c r="G61" s="8" t="s">
        <v>1896</v>
      </c>
      <c r="H61" s="8" t="s">
        <v>59</v>
      </c>
      <c r="I61" s="642">
        <v>43664</v>
      </c>
      <c r="J61" s="18">
        <v>43766</v>
      </c>
      <c r="K61" s="642">
        <v>43761</v>
      </c>
      <c r="L61" s="16">
        <f>IF(ISTEXT(Table15[[#This Row],[Engineering Approved Design Date]]),Table15[[#This Row],[Date Completed]]-Table15[[#This Row],[Date Assigned to Designer]],Table15[[#This Row],[Engineering Approved Design Date]]-Table15[[#This Row],[Date Completed]])</f>
        <v>5</v>
      </c>
      <c r="M61" s="642" t="s">
        <v>115</v>
      </c>
      <c r="N61" s="642" t="s">
        <v>120</v>
      </c>
      <c r="O61" s="1025">
        <v>43761</v>
      </c>
      <c r="P61" s="21" t="s">
        <v>120</v>
      </c>
      <c r="Q61" s="340">
        <f>AA61*R61</f>
        <v>13739.691599999998</v>
      </c>
      <c r="R61" s="1026">
        <v>0.09</v>
      </c>
      <c r="S61" s="538"/>
      <c r="T61" s="538"/>
      <c r="U61" s="28"/>
      <c r="V61" s="858">
        <v>435</v>
      </c>
      <c r="W61" s="437"/>
      <c r="X61" s="538">
        <v>89757.09</v>
      </c>
      <c r="Y61" s="551">
        <v>0</v>
      </c>
      <c r="Z61" s="538">
        <v>62906.15</v>
      </c>
      <c r="AA61" s="538">
        <f>X61-Y61+Z61</f>
        <v>152663.24</v>
      </c>
      <c r="AB61" s="21"/>
      <c r="AC61" s="569"/>
      <c r="AD61" s="1149"/>
      <c r="AE61" s="569"/>
      <c r="AF61" s="569"/>
      <c r="AG61" s="569"/>
      <c r="AH61" s="536"/>
      <c r="AI61" s="1028"/>
      <c r="AJ61" s="1029"/>
      <c r="AK61" s="1029"/>
      <c r="AL61" s="1030"/>
      <c r="AM61" s="1522" t="s">
        <v>116</v>
      </c>
      <c r="AN61" s="1523">
        <v>43859</v>
      </c>
      <c r="AO61" s="1524">
        <v>181875</v>
      </c>
      <c r="AP61" s="1525">
        <v>147014.92000000001</v>
      </c>
      <c r="AQ61" s="1525">
        <v>0</v>
      </c>
      <c r="AR61" s="1525">
        <v>34434.120000000003</v>
      </c>
      <c r="AS61" s="1525">
        <f>IF(Table15[[#This Row],[PCTS Approved]]="N",0,Table15[[#This Row],[Investment Amount (1'#'#'#'#'#)]]+Table15[[#This Row],[Retirement Amount (3'#'#'#'#'#)]])</f>
        <v>181449.04</v>
      </c>
      <c r="AT61" s="1525">
        <f>IF(Table15[[#This Row],[Approved Construction Cost]]=0,0,Table15[[#This Row],[Approved Construction Cost]]-Table15[[#This Row],[Construction Cost to Bill From]])</f>
        <v>28785.800000000017</v>
      </c>
      <c r="AU61" s="1525">
        <f>Table15[[#This Row],[Difference in Construction Cost]]*Table15[[#This Row],[Rate]]</f>
        <v>2590.7220000000016</v>
      </c>
      <c r="AV61" s="1525">
        <v>0</v>
      </c>
      <c r="AW61" s="1526" t="s">
        <v>2195</v>
      </c>
      <c r="AX61" s="1525"/>
      <c r="AY61" s="1518">
        <v>43983</v>
      </c>
      <c r="AZ61" s="333"/>
      <c r="BA61" s="1031" t="s">
        <v>2196</v>
      </c>
      <c r="BB61" s="644"/>
      <c r="BC61" s="544"/>
      <c r="BD61" s="544"/>
      <c r="BE61" s="544"/>
      <c r="BF61" s="544"/>
      <c r="BG61" s="544"/>
      <c r="BH61" s="741"/>
      <c r="BI61" s="547" t="s">
        <v>709</v>
      </c>
      <c r="BJ61" s="547" t="s">
        <v>709</v>
      </c>
      <c r="BK61" s="547" t="s">
        <v>709</v>
      </c>
      <c r="BL61" s="547" t="s">
        <v>116</v>
      </c>
      <c r="BM61" s="547" t="s">
        <v>709</v>
      </c>
      <c r="BN61" s="547" t="s">
        <v>709</v>
      </c>
      <c r="BO61" s="547" t="s">
        <v>709</v>
      </c>
      <c r="BP61" s="547" t="s">
        <v>709</v>
      </c>
      <c r="BQ61" s="547" t="s">
        <v>709</v>
      </c>
      <c r="BR61" s="547" t="s">
        <v>709</v>
      </c>
      <c r="BS61" s="547">
        <v>435</v>
      </c>
      <c r="BT61" s="547" t="s">
        <v>745</v>
      </c>
      <c r="BU61" s="547" t="s">
        <v>709</v>
      </c>
      <c r="BV61" s="547" t="s">
        <v>709</v>
      </c>
      <c r="BW61" s="547" t="s">
        <v>709</v>
      </c>
      <c r="BX61" s="547" t="s">
        <v>745</v>
      </c>
      <c r="BY61" s="547" t="s">
        <v>709</v>
      </c>
      <c r="BZ61" s="547" t="s">
        <v>709</v>
      </c>
      <c r="CA61" s="483"/>
      <c r="CB61" s="547">
        <v>60</v>
      </c>
      <c r="CC61" s="1481" t="b">
        <v>1</v>
      </c>
      <c r="CD61" t="str">
        <f>Table15[[#This Row],[Engineering Number]]&amp;Table15[[#This Row],[WO Number]]&amp;Table15[[#This Row],[Date Assigned to Designer]]&amp;Table15[[#This Row],[Date Completed]]</f>
        <v>MLP231203314366443761</v>
      </c>
    </row>
    <row r="62" spans="1:82" customFormat="1" ht="15" customHeight="1" x14ac:dyDescent="0.25">
      <c r="A62">
        <v>2019</v>
      </c>
      <c r="B62" s="8" t="s">
        <v>4</v>
      </c>
      <c r="C62" s="8" t="s">
        <v>2078</v>
      </c>
      <c r="D62" s="8" t="s">
        <v>2079</v>
      </c>
      <c r="E62" s="8" t="s">
        <v>245</v>
      </c>
      <c r="F62" s="8" t="s">
        <v>325</v>
      </c>
      <c r="G62" s="8" t="s">
        <v>1896</v>
      </c>
      <c r="H62" s="8" t="s">
        <v>2051</v>
      </c>
      <c r="I62" s="1033">
        <v>43523</v>
      </c>
      <c r="J62" s="18" t="s">
        <v>2052</v>
      </c>
      <c r="K62" s="642">
        <v>43761</v>
      </c>
      <c r="L62" s="16">
        <f>IF(ISTEXT(Table15[[#This Row],[Engineering Approved Design Date]]),Table15[[#This Row],[Date Completed]]-Table15[[#This Row],[Date Assigned to Designer]],Table15[[#This Row],[Engineering Approved Design Date]]-Table15[[#This Row],[Date Completed]])</f>
        <v>238</v>
      </c>
      <c r="M62" s="642" t="s">
        <v>2183</v>
      </c>
      <c r="N62" s="642" t="s">
        <v>120</v>
      </c>
      <c r="O62" s="1025">
        <v>43761</v>
      </c>
      <c r="P62" s="21" t="s">
        <v>739</v>
      </c>
      <c r="Q62" s="340">
        <v>3617.5</v>
      </c>
      <c r="R62" s="1026" t="s">
        <v>1922</v>
      </c>
      <c r="S62" s="538"/>
      <c r="T62" s="538"/>
      <c r="U62" s="28"/>
      <c r="V62" s="858"/>
      <c r="W62" s="437"/>
      <c r="X62" s="538"/>
      <c r="Y62" s="551"/>
      <c r="Z62" s="538"/>
      <c r="AA62" s="538"/>
      <c r="AB62" s="21"/>
      <c r="AC62" s="569"/>
      <c r="AD62" s="1149"/>
      <c r="AE62" s="580"/>
      <c r="AF62" s="580"/>
      <c r="AG62" s="580"/>
      <c r="AH62" s="542"/>
      <c r="AI62" s="1028"/>
      <c r="AJ62" s="1029"/>
      <c r="AK62" s="1029"/>
      <c r="AL62" s="1030"/>
      <c r="AM62" s="542" t="s">
        <v>709</v>
      </c>
      <c r="AN62" s="924"/>
      <c r="AO62" s="925"/>
      <c r="AP62" s="926"/>
      <c r="AQ62" s="926"/>
      <c r="AR62" s="926"/>
      <c r="AS62" s="926"/>
      <c r="AT62" s="926"/>
      <c r="AU62" s="926"/>
      <c r="AV62" s="926"/>
      <c r="AW62" s="927"/>
      <c r="AX62" s="926"/>
      <c r="AY62" s="1538" t="s">
        <v>29</v>
      </c>
      <c r="AZ62" s="1530"/>
      <c r="BA62" s="1031">
        <v>12</v>
      </c>
      <c r="BB62" s="644"/>
      <c r="BC62" s="544"/>
      <c r="BD62" s="544"/>
      <c r="BE62" s="544"/>
      <c r="BF62" s="544"/>
      <c r="BG62" s="544"/>
      <c r="BH62" s="741"/>
      <c r="BI62" s="547" t="s">
        <v>709</v>
      </c>
      <c r="BJ62" s="547" t="s">
        <v>709</v>
      </c>
      <c r="BK62" s="547" t="s">
        <v>709</v>
      </c>
      <c r="BL62" s="547" t="s">
        <v>116</v>
      </c>
      <c r="BM62" s="547" t="s">
        <v>709</v>
      </c>
      <c r="BN62" s="547" t="s">
        <v>709</v>
      </c>
      <c r="BO62" s="547" t="s">
        <v>709</v>
      </c>
      <c r="BP62" s="547" t="s">
        <v>709</v>
      </c>
      <c r="BQ62" s="547">
        <v>960</v>
      </c>
      <c r="BR62" s="547" t="s">
        <v>709</v>
      </c>
      <c r="BS62" s="547" t="s">
        <v>709</v>
      </c>
      <c r="BT62" s="547" t="s">
        <v>709</v>
      </c>
      <c r="BU62" s="547" t="s">
        <v>709</v>
      </c>
      <c r="BV62" s="547" t="s">
        <v>709</v>
      </c>
      <c r="BW62" s="547" t="s">
        <v>709</v>
      </c>
      <c r="BX62" s="547" t="s">
        <v>709</v>
      </c>
      <c r="BY62" s="547" t="s">
        <v>709</v>
      </c>
      <c r="BZ62" s="547" t="s">
        <v>709</v>
      </c>
      <c r="CA62" s="483"/>
      <c r="CB62" s="547">
        <v>61</v>
      </c>
      <c r="CC62" s="1481" t="b">
        <v>1</v>
      </c>
      <c r="CD62" t="str">
        <f>Table15[[#This Row],[Engineering Number]]&amp;Table15[[#This Row],[WO Number]]&amp;Table15[[#This Row],[Date Assigned to Designer]]&amp;Table15[[#This Row],[Date Completed]]</f>
        <v>N122621290924352343761</v>
      </c>
    </row>
    <row r="63" spans="1:82" customFormat="1" ht="15" customHeight="1" x14ac:dyDescent="0.25">
      <c r="A63">
        <v>2019</v>
      </c>
      <c r="B63" s="8" t="s">
        <v>4</v>
      </c>
      <c r="C63" s="8" t="s">
        <v>2185</v>
      </c>
      <c r="D63" s="8" t="s">
        <v>2186</v>
      </c>
      <c r="E63" s="8" t="s">
        <v>2187</v>
      </c>
      <c r="F63" s="8" t="s">
        <v>919</v>
      </c>
      <c r="G63" s="8" t="s">
        <v>1896</v>
      </c>
      <c r="H63" s="8" t="s">
        <v>59</v>
      </c>
      <c r="I63" s="642">
        <v>43472</v>
      </c>
      <c r="J63" s="18">
        <v>43678</v>
      </c>
      <c r="K63" s="642">
        <v>43761</v>
      </c>
      <c r="L63" s="16">
        <v>0</v>
      </c>
      <c r="M63" s="642" t="s">
        <v>2188</v>
      </c>
      <c r="N63" s="642" t="s">
        <v>120</v>
      </c>
      <c r="O63" s="1025">
        <v>43761</v>
      </c>
      <c r="P63" s="21" t="s">
        <v>739</v>
      </c>
      <c r="Q63" s="340">
        <f>AA63*R63</f>
        <v>50067.360700000005</v>
      </c>
      <c r="R63" s="1026">
        <v>7.0000000000000007E-2</v>
      </c>
      <c r="S63" s="538"/>
      <c r="T63" s="538"/>
      <c r="U63" s="28"/>
      <c r="V63" s="858">
        <f>14+181+1553+651+119</f>
        <v>2518</v>
      </c>
      <c r="W63" s="437"/>
      <c r="X63" s="538">
        <v>658150.05000000005</v>
      </c>
      <c r="Y63" s="551">
        <v>39129.72</v>
      </c>
      <c r="Z63" s="538">
        <v>96227.68</v>
      </c>
      <c r="AA63" s="538">
        <f>X63-Y63+Z63</f>
        <v>715248.01</v>
      </c>
      <c r="AB63" s="21"/>
      <c r="AC63" s="569"/>
      <c r="AD63" s="1149"/>
      <c r="AE63" s="580"/>
      <c r="AF63" s="580"/>
      <c r="AG63" s="580"/>
      <c r="AH63" s="542"/>
      <c r="AI63" s="1028"/>
      <c r="AJ63" s="1029"/>
      <c r="AK63" s="1029"/>
      <c r="AL63" s="1030"/>
      <c r="AM63" s="542" t="s">
        <v>116</v>
      </c>
      <c r="AN63" s="1508">
        <v>43922</v>
      </c>
      <c r="AO63" s="925">
        <v>182441</v>
      </c>
      <c r="AP63" s="926">
        <v>649966.29</v>
      </c>
      <c r="AQ63" s="926">
        <v>39129.72</v>
      </c>
      <c r="AR63" s="926">
        <v>42149.03</v>
      </c>
      <c r="AS63" s="926">
        <f>IF(Table15[[#This Row],[PCTS Approved]]="N",0,Table15[[#This Row],[Investment Amount (1'#'#'#'#'#)]]+Table15[[#This Row],[Retirement Amount (3'#'#'#'#'#)]])</f>
        <v>692115.32000000007</v>
      </c>
      <c r="AT63" s="926">
        <f>IF(Table15[[#This Row],[Approved Construction Cost]]=0,0,Table15[[#This Row],[Approved Construction Cost]]-Table15[[#This Row],[Construction Cost to Bill From]])</f>
        <v>-23132.689999999944</v>
      </c>
      <c r="AU63" s="926">
        <f>Table15[[#This Row],[Difference in Construction Cost]]*Table15[[#This Row],[Rate]]</f>
        <v>-1619.2882999999963</v>
      </c>
      <c r="AV63" s="926">
        <v>8070</v>
      </c>
      <c r="AW63" s="927" t="s">
        <v>2189</v>
      </c>
      <c r="AX63" s="926"/>
      <c r="AY63" s="636" t="s">
        <v>1935</v>
      </c>
      <c r="AZ63" s="1531"/>
      <c r="BA63" s="1031" t="s">
        <v>2190</v>
      </c>
      <c r="BB63" s="644" t="s">
        <v>2191</v>
      </c>
      <c r="BC63" s="544"/>
      <c r="BD63" s="544"/>
      <c r="BE63" s="544"/>
      <c r="BF63" s="544"/>
      <c r="BG63" s="544"/>
      <c r="BH63" s="741"/>
      <c r="BI63" s="547" t="s">
        <v>709</v>
      </c>
      <c r="BJ63" s="547" t="s">
        <v>709</v>
      </c>
      <c r="BK63" s="547" t="s">
        <v>709</v>
      </c>
      <c r="BL63" s="547" t="s">
        <v>116</v>
      </c>
      <c r="BM63" s="547" t="s">
        <v>709</v>
      </c>
      <c r="BN63" s="547" t="s">
        <v>709</v>
      </c>
      <c r="BO63" s="547" t="s">
        <v>709</v>
      </c>
      <c r="BP63" s="547" t="s">
        <v>709</v>
      </c>
      <c r="BQ63" s="547">
        <v>2323</v>
      </c>
      <c r="BR63" s="547">
        <v>181</v>
      </c>
      <c r="BS63" s="547">
        <v>14</v>
      </c>
      <c r="BT63" s="547" t="s">
        <v>709</v>
      </c>
      <c r="BU63" s="547" t="s">
        <v>709</v>
      </c>
      <c r="BV63" s="547" t="s">
        <v>709</v>
      </c>
      <c r="BW63" s="547" t="s">
        <v>709</v>
      </c>
      <c r="BX63" s="547" t="s">
        <v>709</v>
      </c>
      <c r="BY63" s="547" t="s">
        <v>709</v>
      </c>
      <c r="BZ63" s="547" t="s">
        <v>709</v>
      </c>
      <c r="CA63" s="483"/>
      <c r="CB63" s="547">
        <v>59</v>
      </c>
      <c r="CC63" s="1481" t="b">
        <v>1</v>
      </c>
      <c r="CD63" t="str">
        <f>Table15[[#This Row],[Engineering Number]]&amp;Table15[[#This Row],[WO Number]]&amp;Table15[[#This Row],[Date Assigned to Designer]]&amp;Table15[[#This Row],[Date Completed]]</f>
        <v>SC157291407304347243761</v>
      </c>
    </row>
    <row r="64" spans="1:82" customFormat="1" ht="15" customHeight="1" x14ac:dyDescent="0.25">
      <c r="A64">
        <v>2020</v>
      </c>
      <c r="B64" s="8" t="s">
        <v>771</v>
      </c>
      <c r="C64" s="8" t="s">
        <v>2204</v>
      </c>
      <c r="D64" s="8" t="s">
        <v>2205</v>
      </c>
      <c r="E64" s="8" t="s">
        <v>1529</v>
      </c>
      <c r="F64" s="8" t="s">
        <v>325</v>
      </c>
      <c r="G64" s="8" t="s">
        <v>1896</v>
      </c>
      <c r="H64" s="8" t="s">
        <v>59</v>
      </c>
      <c r="I64" s="642">
        <v>43664</v>
      </c>
      <c r="J64" s="18">
        <v>43770</v>
      </c>
      <c r="K64" s="642">
        <v>43767</v>
      </c>
      <c r="L64" s="16">
        <f>IF(ISTEXT(Table15[[#This Row],[Engineering Approved Design Date]]),Table15[[#This Row],[Date Completed]]-Table15[[#This Row],[Date Assigned to Designer]],Table15[[#This Row],[Engineering Approved Design Date]]-Table15[[#This Row],[Date Completed]])</f>
        <v>3</v>
      </c>
      <c r="M64" s="642" t="s">
        <v>2200</v>
      </c>
      <c r="N64" s="642" t="s">
        <v>120</v>
      </c>
      <c r="O64" s="1025">
        <v>43770</v>
      </c>
      <c r="P64" s="21" t="s">
        <v>120</v>
      </c>
      <c r="Q64" s="1061">
        <f>AA64*R64</f>
        <v>50078.332800000004</v>
      </c>
      <c r="R64" s="1026">
        <v>0.09</v>
      </c>
      <c r="S64" s="538"/>
      <c r="T64" s="538"/>
      <c r="U64" s="28"/>
      <c r="V64" s="858">
        <v>2106</v>
      </c>
      <c r="W64" s="437"/>
      <c r="X64" s="538">
        <v>473160.03</v>
      </c>
      <c r="Y64" s="551">
        <v>33053.58</v>
      </c>
      <c r="Z64" s="538">
        <v>116319.47</v>
      </c>
      <c r="AA64" s="538">
        <f>X64-Y64+Z64</f>
        <v>556425.92000000004</v>
      </c>
      <c r="AB64" s="21"/>
      <c r="AC64" s="569"/>
      <c r="AD64" s="1149"/>
      <c r="AE64" s="569"/>
      <c r="AF64" s="569"/>
      <c r="AG64" s="569"/>
      <c r="AH64" s="536"/>
      <c r="AI64" s="1028"/>
      <c r="AJ64" s="1029"/>
      <c r="AK64" s="1029"/>
      <c r="AL64" s="1030"/>
      <c r="AM64" s="1522" t="s">
        <v>116</v>
      </c>
      <c r="AN64" s="1523">
        <v>43878</v>
      </c>
      <c r="AO64" s="1524" t="s">
        <v>115</v>
      </c>
      <c r="AP64" s="1525">
        <v>547764.02</v>
      </c>
      <c r="AQ64" s="1525">
        <v>32727.24</v>
      </c>
      <c r="AR64" s="1525">
        <v>62686.58</v>
      </c>
      <c r="AS64" s="1525">
        <f>IF(Table15[[#This Row],[PCTS Approved]]="N",0,Table15[[#This Row],[Investment Amount (1'#'#'#'#'#)]]+Table15[[#This Row],[Retirement Amount (3'#'#'#'#'#)]])</f>
        <v>610450.6</v>
      </c>
      <c r="AT64" s="1525">
        <f>IF(Table15[[#This Row],[Approved Construction Cost]]=0,0,Table15[[#This Row],[Approved Construction Cost]]-Table15[[#This Row],[Construction Cost to Bill From]])</f>
        <v>54024.679999999935</v>
      </c>
      <c r="AU64" s="1525">
        <f>Table15[[#This Row],[Difference in Construction Cost]]*Table15[[#This Row],[Rate]]</f>
        <v>4862.2211999999936</v>
      </c>
      <c r="AV64" s="1525">
        <v>4410</v>
      </c>
      <c r="AW64" s="1526" t="s">
        <v>2206</v>
      </c>
      <c r="AX64" s="1525"/>
      <c r="AY64" s="1518">
        <v>43983</v>
      </c>
      <c r="AZ64" s="333"/>
      <c r="BA64" s="1031" t="s">
        <v>2207</v>
      </c>
      <c r="BB64" s="644"/>
      <c r="BC64" s="544"/>
      <c r="BD64" s="544"/>
      <c r="BE64" s="544"/>
      <c r="BF64" s="544"/>
      <c r="BG64" s="544"/>
      <c r="BH64" s="741"/>
      <c r="BI64" s="547" t="s">
        <v>709</v>
      </c>
      <c r="BJ64" s="547" t="s">
        <v>709</v>
      </c>
      <c r="BK64" s="547" t="s">
        <v>709</v>
      </c>
      <c r="BL64" s="547" t="s">
        <v>116</v>
      </c>
      <c r="BM64" s="547" t="s">
        <v>709</v>
      </c>
      <c r="BN64" s="547" t="s">
        <v>709</v>
      </c>
      <c r="BO64" s="547" t="s">
        <v>709</v>
      </c>
      <c r="BP64" s="547" t="s">
        <v>709</v>
      </c>
      <c r="BQ64" s="547" t="s">
        <v>709</v>
      </c>
      <c r="BR64" s="547" t="s">
        <v>709</v>
      </c>
      <c r="BS64" s="547">
        <v>2127</v>
      </c>
      <c r="BT64" s="547" t="s">
        <v>745</v>
      </c>
      <c r="BU64" s="547" t="s">
        <v>709</v>
      </c>
      <c r="BV64" s="547" t="s">
        <v>709</v>
      </c>
      <c r="BW64" s="547" t="s">
        <v>709</v>
      </c>
      <c r="BX64" s="547" t="s">
        <v>709</v>
      </c>
      <c r="BY64" s="547" t="s">
        <v>709</v>
      </c>
      <c r="BZ64" s="547" t="s">
        <v>709</v>
      </c>
      <c r="CA64" s="483"/>
      <c r="CB64" s="547">
        <v>63</v>
      </c>
      <c r="CC64" s="1481" t="b">
        <v>1</v>
      </c>
      <c r="CD64" t="str">
        <f>Table15[[#This Row],[Engineering Number]]&amp;Table15[[#This Row],[WO Number]]&amp;Table15[[#This Row],[Date Assigned to Designer]]&amp;Table15[[#This Row],[Date Completed]]</f>
        <v>MLP151203414366443767</v>
      </c>
    </row>
    <row r="65" spans="1:82" customFormat="1" ht="15" customHeight="1" x14ac:dyDescent="0.25">
      <c r="A65">
        <v>2019</v>
      </c>
      <c r="B65" s="8" t="s">
        <v>4</v>
      </c>
      <c r="C65" s="8" t="s">
        <v>2198</v>
      </c>
      <c r="D65" s="8" t="s">
        <v>2199</v>
      </c>
      <c r="E65" s="8" t="s">
        <v>1969</v>
      </c>
      <c r="F65" s="8" t="s">
        <v>919</v>
      </c>
      <c r="G65" s="8" t="s">
        <v>1896</v>
      </c>
      <c r="H65" s="8" t="s">
        <v>59</v>
      </c>
      <c r="I65" s="642">
        <v>43698</v>
      </c>
      <c r="J65" s="18">
        <v>43770</v>
      </c>
      <c r="K65" s="642">
        <v>43767</v>
      </c>
      <c r="L65" s="16">
        <f>IF(ISTEXT(Table15[[#This Row],[Engineering Approved Design Date]]),Table15[[#This Row],[Date Completed]]-Table15[[#This Row],[Date Assigned to Designer]],Table15[[#This Row],[Engineering Approved Design Date]]-Table15[[#This Row],[Date Completed]])</f>
        <v>3</v>
      </c>
      <c r="M65" s="642" t="s">
        <v>2200</v>
      </c>
      <c r="N65" s="642" t="s">
        <v>120</v>
      </c>
      <c r="O65" s="1025">
        <v>43770</v>
      </c>
      <c r="P65" s="21" t="s">
        <v>739</v>
      </c>
      <c r="Q65" s="1061">
        <f>AA65*R65</f>
        <v>12418.396900000002</v>
      </c>
      <c r="R65" s="1026">
        <v>7.0000000000000007E-2</v>
      </c>
      <c r="S65" s="538"/>
      <c r="T65" s="538"/>
      <c r="U65" s="28"/>
      <c r="V65" s="858">
        <v>2186</v>
      </c>
      <c r="W65" s="437"/>
      <c r="X65" s="538">
        <v>174353.22</v>
      </c>
      <c r="Y65" s="551">
        <v>24118.080000000002</v>
      </c>
      <c r="Z65" s="538">
        <v>27170.53</v>
      </c>
      <c r="AA65" s="538">
        <f>X65-Y65+Z65</f>
        <v>177405.67</v>
      </c>
      <c r="AB65" s="21"/>
      <c r="AC65" s="569"/>
      <c r="AD65" s="1149"/>
      <c r="AE65" s="580"/>
      <c r="AF65" s="580"/>
      <c r="AG65" s="580"/>
      <c r="AH65" s="542"/>
      <c r="AI65" s="1028"/>
      <c r="AJ65" s="1029"/>
      <c r="AK65" s="1029"/>
      <c r="AL65" s="1030"/>
      <c r="AM65" s="542" t="s">
        <v>116</v>
      </c>
      <c r="AN65" s="1508">
        <v>43886</v>
      </c>
      <c r="AO65" s="925">
        <v>182001</v>
      </c>
      <c r="AP65" s="926">
        <v>230727.15</v>
      </c>
      <c r="AQ65" s="926">
        <v>33970.44</v>
      </c>
      <c r="AR65" s="926">
        <v>35432.07</v>
      </c>
      <c r="AS65" s="926">
        <f>IF(Table15[[#This Row],[PCTS Approved]]="N",0,Table15[[#This Row],[Investment Amount (1'#'#'#'#'#)]]+Table15[[#This Row],[Retirement Amount (3'#'#'#'#'#)]])</f>
        <v>266159.21999999997</v>
      </c>
      <c r="AT65" s="926">
        <f>IF(Table15[[#This Row],[Approved Construction Cost]]=0,0,Table15[[#This Row],[Approved Construction Cost]]-Table15[[#This Row],[Construction Cost to Bill From]])</f>
        <v>88753.549999999959</v>
      </c>
      <c r="AU65" s="926">
        <f>Table15[[#This Row],[Difference in Construction Cost]]*Table15[[#This Row],[Rate]]</f>
        <v>6212.7484999999979</v>
      </c>
      <c r="AV65" s="926">
        <v>9949.5</v>
      </c>
      <c r="AW65" s="927" t="s">
        <v>2201</v>
      </c>
      <c r="AX65" s="926"/>
      <c r="AY65" s="636" t="s">
        <v>1935</v>
      </c>
      <c r="AZ65" s="1531"/>
      <c r="BA65" s="1031" t="s">
        <v>2202</v>
      </c>
      <c r="BB65" s="644" t="s">
        <v>1911</v>
      </c>
      <c r="BC65" s="544"/>
      <c r="BD65" s="544"/>
      <c r="BE65" s="544"/>
      <c r="BF65" s="544"/>
      <c r="BG65" s="544"/>
      <c r="BH65" s="741"/>
      <c r="BI65" s="547" t="s">
        <v>709</v>
      </c>
      <c r="BJ65" s="547" t="s">
        <v>709</v>
      </c>
      <c r="BK65" s="547" t="s">
        <v>709</v>
      </c>
      <c r="BL65" s="547" t="s">
        <v>116</v>
      </c>
      <c r="BM65" s="547" t="s">
        <v>709</v>
      </c>
      <c r="BN65" s="547" t="s">
        <v>709</v>
      </c>
      <c r="BO65" s="547" t="s">
        <v>709</v>
      </c>
      <c r="BP65" s="547" t="s">
        <v>709</v>
      </c>
      <c r="BQ65" s="547" t="s">
        <v>709</v>
      </c>
      <c r="BR65" s="547" t="s">
        <v>709</v>
      </c>
      <c r="BS65" s="547">
        <v>1552</v>
      </c>
      <c r="BT65" s="547" t="s">
        <v>709</v>
      </c>
      <c r="BU65" s="547" t="s">
        <v>709</v>
      </c>
      <c r="BV65" s="547" t="s">
        <v>709</v>
      </c>
      <c r="BW65" s="547" t="s">
        <v>709</v>
      </c>
      <c r="BX65" s="547" t="s">
        <v>709</v>
      </c>
      <c r="BY65" s="547" t="s">
        <v>709</v>
      </c>
      <c r="BZ65" s="547" t="s">
        <v>709</v>
      </c>
      <c r="CA65" s="483"/>
      <c r="CB65" s="547">
        <v>62</v>
      </c>
      <c r="CC65" s="1481" t="b">
        <v>1</v>
      </c>
      <c r="CD65" t="str">
        <f>Table15[[#This Row],[Engineering Number]]&amp;Table15[[#This Row],[WO Number]]&amp;Table15[[#This Row],[Date Assigned to Designer]]&amp;Table15[[#This Row],[Date Completed]]</f>
        <v>SC169491407474369843767</v>
      </c>
    </row>
    <row r="66" spans="1:82" customFormat="1" ht="15" customHeight="1" x14ac:dyDescent="0.25">
      <c r="A66">
        <v>2019</v>
      </c>
      <c r="B66" s="8" t="s">
        <v>1073</v>
      </c>
      <c r="C66" s="8" t="s">
        <v>2209</v>
      </c>
      <c r="D66" s="8" t="s">
        <v>2210</v>
      </c>
      <c r="E66" s="8" t="s">
        <v>2074</v>
      </c>
      <c r="F66" s="8" t="s">
        <v>919</v>
      </c>
      <c r="G66" s="8" t="s">
        <v>1896</v>
      </c>
      <c r="H66" s="8" t="s">
        <v>59</v>
      </c>
      <c r="I66" s="642">
        <v>43605</v>
      </c>
      <c r="J66" s="18">
        <v>43649</v>
      </c>
      <c r="K66" s="642">
        <v>43774</v>
      </c>
      <c r="L66" s="16">
        <f>IF(ISTEXT(Table15[[#This Row],[Engineering Approved Design Date]]),Table15[[#This Row],[Date Completed]]-Table15[[#This Row],[Date Assigned to Designer]],Table15[[#This Row],[Engineering Approved Design Date]]-Table15[[#This Row],[Date Completed]])</f>
        <v>-125</v>
      </c>
      <c r="M66" s="642" t="s">
        <v>2211</v>
      </c>
      <c r="N66" s="642" t="s">
        <v>120</v>
      </c>
      <c r="O66" s="1025">
        <v>43774</v>
      </c>
      <c r="P66" s="21" t="s">
        <v>739</v>
      </c>
      <c r="Q66" s="1061">
        <f>(AA66*R66)+7750</f>
        <v>60382.417600000001</v>
      </c>
      <c r="R66" s="1026">
        <v>7.0000000000000007E-2</v>
      </c>
      <c r="S66" s="561"/>
      <c r="T66" s="561"/>
      <c r="U66" s="28"/>
      <c r="V66" s="858">
        <f>4104+90+5+40+108+230+575+40</f>
        <v>5192</v>
      </c>
      <c r="W66" s="437"/>
      <c r="X66" s="538">
        <v>741258.39</v>
      </c>
      <c r="Y66" s="551">
        <v>80683.679999999993</v>
      </c>
      <c r="Z66" s="538">
        <v>91316.97</v>
      </c>
      <c r="AA66" s="538">
        <f>X66-Y66+Z66</f>
        <v>751891.67999999993</v>
      </c>
      <c r="AB66" s="21"/>
      <c r="AC66" s="569"/>
      <c r="AD66" s="1149"/>
      <c r="AE66" s="569"/>
      <c r="AF66" s="569"/>
      <c r="AG66" s="569"/>
      <c r="AH66" s="536"/>
      <c r="AI66" s="1028"/>
      <c r="AJ66" s="1029"/>
      <c r="AK66" s="1029"/>
      <c r="AL66" s="1030"/>
      <c r="AM66" s="1522" t="s">
        <v>116</v>
      </c>
      <c r="AN66" s="1523">
        <v>43879</v>
      </c>
      <c r="AO66" s="1524">
        <v>181499</v>
      </c>
      <c r="AP66" s="1525">
        <v>777665.7</v>
      </c>
      <c r="AQ66" s="1525">
        <v>80683.679999999993</v>
      </c>
      <c r="AR66" s="1525">
        <v>91307.04</v>
      </c>
      <c r="AS66" s="1525">
        <f>IF(Table15[[#This Row],[PCTS Approved]]="N",0,Table15[[#This Row],[Investment Amount (1'#'#'#'#'#)]]+Table15[[#This Row],[Retirement Amount (3'#'#'#'#'#)]])</f>
        <v>868972.74</v>
      </c>
      <c r="AT66" s="1525">
        <f>IF(Table15[[#This Row],[Approved Construction Cost]]=0,0,Table15[[#This Row],[Approved Construction Cost]]-Table15[[#This Row],[Construction Cost to Bill From]])</f>
        <v>117081.06000000006</v>
      </c>
      <c r="AU66" s="1525">
        <f>Table15[[#This Row],[Difference in Construction Cost]]*Table15[[#This Row],[Rate]]</f>
        <v>8195.6742000000049</v>
      </c>
      <c r="AV66" s="1525">
        <v>0</v>
      </c>
      <c r="AW66" s="1526" t="s">
        <v>2212</v>
      </c>
      <c r="AX66" s="1525"/>
      <c r="AY66" s="1518">
        <v>43983</v>
      </c>
      <c r="AZ66" s="333"/>
      <c r="BA66" s="1031" t="s">
        <v>2213</v>
      </c>
      <c r="BB66" s="644"/>
      <c r="BC66" s="544"/>
      <c r="BD66" s="544"/>
      <c r="BE66" s="544"/>
      <c r="BF66" s="544"/>
      <c r="BG66" s="544"/>
      <c r="BH66" s="741"/>
      <c r="BI66" s="547" t="s">
        <v>709</v>
      </c>
      <c r="BJ66" s="547" t="s">
        <v>709</v>
      </c>
      <c r="BK66" s="547" t="s">
        <v>116</v>
      </c>
      <c r="BL66" s="547" t="s">
        <v>709</v>
      </c>
      <c r="BM66" s="547" t="s">
        <v>709</v>
      </c>
      <c r="BN66" s="547">
        <v>40</v>
      </c>
      <c r="BO66" s="547" t="s">
        <v>709</v>
      </c>
      <c r="BP66" s="547">
        <v>805</v>
      </c>
      <c r="BQ66" s="547">
        <v>4212</v>
      </c>
      <c r="BR66" s="547">
        <v>40</v>
      </c>
      <c r="BS66" s="547">
        <v>5</v>
      </c>
      <c r="BT66" s="547">
        <v>1</v>
      </c>
      <c r="BU66" s="547" t="s">
        <v>709</v>
      </c>
      <c r="BV66" s="547" t="s">
        <v>709</v>
      </c>
      <c r="BW66" s="547" t="s">
        <v>709</v>
      </c>
      <c r="BX66" s="547">
        <v>1</v>
      </c>
      <c r="BY66" s="547" t="s">
        <v>709</v>
      </c>
      <c r="BZ66" s="547" t="s">
        <v>709</v>
      </c>
      <c r="CA66" s="483"/>
      <c r="CB66" s="547">
        <v>64</v>
      </c>
      <c r="CC66" s="1481" t="b">
        <v>1</v>
      </c>
      <c r="CD66" t="str">
        <f>Table15[[#This Row],[Engineering Number]]&amp;Table15[[#This Row],[WO Number]]&amp;Table15[[#This Row],[Date Assigned to Designer]]&amp;Table15[[#This Row],[Date Completed]]</f>
        <v>NBA16919211928994360543774</v>
      </c>
    </row>
    <row r="67" spans="1:82" customFormat="1" ht="15" customHeight="1" x14ac:dyDescent="0.25">
      <c r="A67">
        <v>2019</v>
      </c>
      <c r="B67" s="8" t="s">
        <v>1205</v>
      </c>
      <c r="C67" s="8" t="s">
        <v>2215</v>
      </c>
      <c r="D67" s="656" t="s">
        <v>2216</v>
      </c>
      <c r="E67" s="8" t="s">
        <v>2217</v>
      </c>
      <c r="F67" s="8" t="s">
        <v>919</v>
      </c>
      <c r="G67" s="8" t="s">
        <v>1896</v>
      </c>
      <c r="H67" s="8" t="s">
        <v>59</v>
      </c>
      <c r="I67" s="642">
        <v>43497</v>
      </c>
      <c r="J67" s="18">
        <v>43784</v>
      </c>
      <c r="K67" s="642">
        <v>43780</v>
      </c>
      <c r="L67" s="16">
        <f>IF(ISTEXT(Table15[[#This Row],[Engineering Approved Design Date]]),Table15[[#This Row],[Date Completed]]-Table15[[#This Row],[Date Assigned to Designer]],Table15[[#This Row],[Engineering Approved Design Date]]-Table15[[#This Row],[Date Completed]])</f>
        <v>4</v>
      </c>
      <c r="M67" s="642" t="s">
        <v>2218</v>
      </c>
      <c r="N67" s="642" t="s">
        <v>120</v>
      </c>
      <c r="O67" s="1025">
        <v>43780</v>
      </c>
      <c r="P67" s="21" t="s">
        <v>739</v>
      </c>
      <c r="Q67" s="1061">
        <f>AA67*R67</f>
        <v>21782.4012</v>
      </c>
      <c r="R67" s="1026">
        <v>0.09</v>
      </c>
      <c r="S67" s="538"/>
      <c r="T67" s="538"/>
      <c r="U67" s="28"/>
      <c r="V67" s="858">
        <v>651</v>
      </c>
      <c r="W67" s="437"/>
      <c r="X67" s="538">
        <v>233987.04</v>
      </c>
      <c r="Y67" s="551">
        <v>10116.540000000001</v>
      </c>
      <c r="Z67" s="538">
        <v>18156.18</v>
      </c>
      <c r="AA67" s="538">
        <f>X67-Y67+Z67</f>
        <v>242026.68</v>
      </c>
      <c r="AB67" s="21"/>
      <c r="AC67" s="569"/>
      <c r="AD67" s="1149"/>
      <c r="AE67" s="569"/>
      <c r="AF67" s="569"/>
      <c r="AG67" s="569"/>
      <c r="AH67" s="536"/>
      <c r="AI67" s="1028"/>
      <c r="AJ67" s="1029"/>
      <c r="AK67" s="1029"/>
      <c r="AL67" s="1030"/>
      <c r="AM67" s="1522" t="s">
        <v>116</v>
      </c>
      <c r="AN67" s="1523">
        <v>44754</v>
      </c>
      <c r="AO67" s="1524">
        <v>11017224</v>
      </c>
      <c r="AP67" s="1525">
        <v>251195.73</v>
      </c>
      <c r="AQ67" s="1525"/>
      <c r="AR67" s="1525">
        <v>18123.560000000001</v>
      </c>
      <c r="AS67" s="1525">
        <f>IF(Table15[[#This Row],[PCTS Approved]]="N",0,Table15[[#This Row],[Investment Amount (1'#'#'#'#'#)]]+Table15[[#This Row],[Retirement Amount (3'#'#'#'#'#)]])</f>
        <v>269319.29000000004</v>
      </c>
      <c r="AT67" s="1525">
        <f>IF(Table15[[#This Row],[Approved Construction Cost]]=0,0,Table15[[#This Row],[Approved Construction Cost]]-Table15[[#This Row],[Construction Cost to Bill From]])</f>
        <v>27292.610000000044</v>
      </c>
      <c r="AU67" s="1525">
        <f>IFERROR(Table15[[#This Row],[Difference in Construction Cost]]*Table15[[#This Row],[Rate]],Table15[[#This Row],[Difference in Construction Cost]]*0.085)</f>
        <v>2456.3349000000039</v>
      </c>
      <c r="AV67" s="1525" t="s">
        <v>709</v>
      </c>
      <c r="AW67" s="1526" t="s">
        <v>2219</v>
      </c>
      <c r="AX67" s="1525">
        <f>Table15[[#This Row],[Reconcile Amount]]</f>
        <v>2456.3349000000039</v>
      </c>
      <c r="AY67" s="1518">
        <v>45008</v>
      </c>
      <c r="AZ67" s="333"/>
      <c r="BA67" s="1031" t="s">
        <v>2220</v>
      </c>
      <c r="BB67" s="644" t="s">
        <v>2221</v>
      </c>
      <c r="BC67" s="544"/>
      <c r="BD67" s="544"/>
      <c r="BE67" s="544"/>
      <c r="BF67" s="544"/>
      <c r="BG67" s="544"/>
      <c r="BH67" s="741"/>
      <c r="BI67" s="547" t="s">
        <v>709</v>
      </c>
      <c r="BJ67" s="547" t="s">
        <v>709</v>
      </c>
      <c r="BK67" s="547" t="s">
        <v>709</v>
      </c>
      <c r="BL67" s="547" t="s">
        <v>116</v>
      </c>
      <c r="BM67" s="547" t="s">
        <v>709</v>
      </c>
      <c r="BN67" s="547" t="s">
        <v>709</v>
      </c>
      <c r="BO67" s="547" t="s">
        <v>709</v>
      </c>
      <c r="BP67" s="547" t="s">
        <v>709</v>
      </c>
      <c r="BQ67" s="547" t="s">
        <v>709</v>
      </c>
      <c r="BR67" s="547">
        <v>651</v>
      </c>
      <c r="BS67" s="547" t="s">
        <v>709</v>
      </c>
      <c r="BT67" s="547" t="s">
        <v>709</v>
      </c>
      <c r="BU67" s="547" t="s">
        <v>709</v>
      </c>
      <c r="BV67" s="547" t="s">
        <v>709</v>
      </c>
      <c r="BW67" s="547" t="s">
        <v>709</v>
      </c>
      <c r="BX67" s="547" t="s">
        <v>709</v>
      </c>
      <c r="BY67" s="547" t="s">
        <v>709</v>
      </c>
      <c r="BZ67" s="547" t="s">
        <v>709</v>
      </c>
      <c r="CA67" s="483"/>
      <c r="CB67" s="547">
        <v>65</v>
      </c>
      <c r="CC67" s="1481" t="b">
        <v>1</v>
      </c>
      <c r="CD67" t="str">
        <f>Table15[[#This Row],[Engineering Number]]&amp;Table15[[#This Row],[WO Number]]&amp;Table15[[#This Row],[Date Assigned to Designer]]&amp;Table15[[#This Row],[Date Completed]]</f>
        <v>MR11911407034349743780</v>
      </c>
    </row>
    <row r="68" spans="1:82" customFormat="1" ht="15" customHeight="1" x14ac:dyDescent="0.25">
      <c r="A68">
        <v>2019</v>
      </c>
      <c r="B68" s="8" t="s">
        <v>1073</v>
      </c>
      <c r="C68" s="8" t="s">
        <v>2030</v>
      </c>
      <c r="D68" s="8" t="s">
        <v>2031</v>
      </c>
      <c r="E68" s="8" t="s">
        <v>2032</v>
      </c>
      <c r="F68" s="8" t="s">
        <v>325</v>
      </c>
      <c r="G68" s="8" t="s">
        <v>1896</v>
      </c>
      <c r="H68" s="8" t="s">
        <v>2051</v>
      </c>
      <c r="I68" s="1033">
        <v>43619</v>
      </c>
      <c r="J68" s="18" t="s">
        <v>2052</v>
      </c>
      <c r="K68" s="642">
        <v>43780</v>
      </c>
      <c r="L68" s="16">
        <f>IF(ISTEXT(Table15[[#This Row],[Engineering Approved Design Date]]),Table15[[#This Row],[Date Completed]]-Table15[[#This Row],[Date Assigned to Designer]],Table15[[#This Row],[Engineering Approved Design Date]]-Table15[[#This Row],[Date Completed]])</f>
        <v>161</v>
      </c>
      <c r="M68" s="642" t="s">
        <v>2223</v>
      </c>
      <c r="N68" s="642" t="s">
        <v>120</v>
      </c>
      <c r="O68" s="1025">
        <v>43780</v>
      </c>
      <c r="P68" s="21" t="s">
        <v>739</v>
      </c>
      <c r="Q68" s="1061">
        <v>3305</v>
      </c>
      <c r="R68" s="1026" t="s">
        <v>1922</v>
      </c>
      <c r="S68" s="538"/>
      <c r="T68" s="538"/>
      <c r="U68" s="28"/>
      <c r="V68" s="858"/>
      <c r="W68" s="437"/>
      <c r="X68" s="538"/>
      <c r="Y68" s="551"/>
      <c r="Z68" s="538"/>
      <c r="AA68" s="538"/>
      <c r="AB68" s="21"/>
      <c r="AC68" s="569"/>
      <c r="AD68" s="1149"/>
      <c r="AE68" s="569"/>
      <c r="AF68" s="569"/>
      <c r="AG68" s="569"/>
      <c r="AH68" s="536"/>
      <c r="AI68" s="1028"/>
      <c r="AJ68" s="1029"/>
      <c r="AK68" s="1029"/>
      <c r="AL68" s="1030"/>
      <c r="AM68" s="542" t="s">
        <v>709</v>
      </c>
      <c r="AN68" s="924"/>
      <c r="AO68" s="925"/>
      <c r="AP68" s="926"/>
      <c r="AQ68" s="926"/>
      <c r="AR68" s="926"/>
      <c r="AS68" s="926"/>
      <c r="AT68" s="926"/>
      <c r="AU68" s="926"/>
      <c r="AV68" s="926"/>
      <c r="AW68" s="927"/>
      <c r="AX68" s="926"/>
      <c r="AY68" s="1538" t="s">
        <v>29</v>
      </c>
      <c r="AZ68" s="1530"/>
      <c r="BA68" s="1031">
        <v>4</v>
      </c>
      <c r="BB68" s="644"/>
      <c r="BC68" s="544"/>
      <c r="BD68" s="544"/>
      <c r="BE68" s="544"/>
      <c r="BF68" s="544"/>
      <c r="BG68" s="544"/>
      <c r="BH68" s="741"/>
      <c r="BI68" s="547" t="s">
        <v>709</v>
      </c>
      <c r="BJ68" s="547" t="s">
        <v>709</v>
      </c>
      <c r="BK68" s="547" t="s">
        <v>709</v>
      </c>
      <c r="BL68" s="547" t="s">
        <v>116</v>
      </c>
      <c r="BM68" s="547" t="s">
        <v>709</v>
      </c>
      <c r="BN68" s="547" t="s">
        <v>709</v>
      </c>
      <c r="BO68" s="547" t="s">
        <v>709</v>
      </c>
      <c r="BP68" s="547" t="s">
        <v>709</v>
      </c>
      <c r="BQ68" s="547" t="s">
        <v>709</v>
      </c>
      <c r="BR68" s="547">
        <v>2330</v>
      </c>
      <c r="BS68" s="547" t="s">
        <v>709</v>
      </c>
      <c r="BT68" s="547" t="s">
        <v>709</v>
      </c>
      <c r="BU68" s="547" t="s">
        <v>709</v>
      </c>
      <c r="BV68" s="547" t="s">
        <v>709</v>
      </c>
      <c r="BW68" s="547" t="s">
        <v>709</v>
      </c>
      <c r="BX68" s="547" t="s">
        <v>709</v>
      </c>
      <c r="BY68" s="547" t="s">
        <v>709</v>
      </c>
      <c r="BZ68" s="547" t="s">
        <v>709</v>
      </c>
      <c r="CA68" s="483"/>
      <c r="CB68" s="547">
        <v>66</v>
      </c>
      <c r="CC68" s="1481" t="b">
        <v>1</v>
      </c>
      <c r="CD68" t="str">
        <f>Table15[[#This Row],[Engineering Number]]&amp;Table15[[#This Row],[WO Number]]&amp;Table15[[#This Row],[Date Assigned to Designer]]&amp;Table15[[#This Row],[Date Completed]]</f>
        <v>NBA17035051505654361943780</v>
      </c>
    </row>
    <row r="69" spans="1:82" customFormat="1" ht="15" customHeight="1" x14ac:dyDescent="0.25">
      <c r="A69">
        <v>2019</v>
      </c>
      <c r="B69" s="8" t="s">
        <v>1205</v>
      </c>
      <c r="C69" s="8" t="s">
        <v>2225</v>
      </c>
      <c r="D69" s="8" t="s">
        <v>2226</v>
      </c>
      <c r="E69" s="8" t="s">
        <v>104</v>
      </c>
      <c r="F69" s="8" t="s">
        <v>325</v>
      </c>
      <c r="G69" s="8" t="s">
        <v>1887</v>
      </c>
      <c r="H69" s="8" t="s">
        <v>59</v>
      </c>
      <c r="I69" s="642">
        <v>43755</v>
      </c>
      <c r="J69" s="18">
        <v>43790</v>
      </c>
      <c r="K69" s="642">
        <v>43783</v>
      </c>
      <c r="L69" s="16">
        <f>IF(ISTEXT(Table15[[#This Row],[Engineering Approved Design Date]]),Table15[[#This Row],[Date Completed]]-Table15[[#This Row],[Date Assigned to Designer]],Table15[[#This Row],[Engineering Approved Design Date]]-Table15[[#This Row],[Date Completed]])</f>
        <v>7</v>
      </c>
      <c r="M69" s="642"/>
      <c r="N69" s="642" t="s">
        <v>120</v>
      </c>
      <c r="O69" s="1025">
        <v>43783</v>
      </c>
      <c r="P69" s="21" t="s">
        <v>739</v>
      </c>
      <c r="Q69" s="1061">
        <f>AA69*R69</f>
        <v>9058.0589999999993</v>
      </c>
      <c r="R69" s="1026">
        <v>0.09</v>
      </c>
      <c r="S69" s="538"/>
      <c r="T69" s="538"/>
      <c r="U69" s="28"/>
      <c r="V69" s="858">
        <v>136</v>
      </c>
      <c r="W69" s="437"/>
      <c r="X69" s="538">
        <v>86303.73</v>
      </c>
      <c r="Y69" s="551">
        <v>2113.44</v>
      </c>
      <c r="Z69" s="538">
        <v>16454.810000000001</v>
      </c>
      <c r="AA69" s="538">
        <f>X69-Y69+Z69</f>
        <v>100645.09999999999</v>
      </c>
      <c r="AB69" s="21"/>
      <c r="AC69" s="569"/>
      <c r="AD69" s="1149"/>
      <c r="AE69" s="569"/>
      <c r="AF69" s="569"/>
      <c r="AG69" s="569"/>
      <c r="AH69" s="536"/>
      <c r="AI69" s="1028"/>
      <c r="AJ69" s="1029"/>
      <c r="AK69" s="1029"/>
      <c r="AL69" s="1030"/>
      <c r="AM69" s="1522" t="s">
        <v>116</v>
      </c>
      <c r="AN69" s="1523">
        <v>43854</v>
      </c>
      <c r="AO69" s="1524">
        <v>181299</v>
      </c>
      <c r="AP69" s="1525">
        <v>87163.71</v>
      </c>
      <c r="AQ69" s="1525">
        <v>2113.44</v>
      </c>
      <c r="AR69" s="1525">
        <v>22422.36</v>
      </c>
      <c r="AS69" s="1525">
        <f>IF(Table15[[#This Row],[PCTS Approved]]="N",0,Table15[[#This Row],[Investment Amount (1'#'#'#'#'#)]]+Table15[[#This Row],[Retirement Amount (3'#'#'#'#'#)]])</f>
        <v>109586.07</v>
      </c>
      <c r="AT69" s="1525">
        <f>IF(Table15[[#This Row],[Approved Construction Cost]]=0,0,Table15[[#This Row],[Approved Construction Cost]]-Table15[[#This Row],[Construction Cost to Bill From]])</f>
        <v>8940.9700000000157</v>
      </c>
      <c r="AU69" s="1525">
        <f>Table15[[#This Row],[Difference in Construction Cost]]*Table15[[#This Row],[Rate]]</f>
        <v>804.68730000000141</v>
      </c>
      <c r="AV69" s="1525">
        <v>0</v>
      </c>
      <c r="AW69" s="1526" t="s">
        <v>2227</v>
      </c>
      <c r="AX69" s="1525"/>
      <c r="AY69" s="1518">
        <v>43983</v>
      </c>
      <c r="AZ69" s="333"/>
      <c r="BA69" s="1031" t="s">
        <v>2228</v>
      </c>
      <c r="BB69" s="644"/>
      <c r="BC69" s="544"/>
      <c r="BD69" s="544"/>
      <c r="BE69" s="544"/>
      <c r="BF69" s="544"/>
      <c r="BG69" s="544"/>
      <c r="BH69" s="741"/>
      <c r="BI69" s="547" t="s">
        <v>709</v>
      </c>
      <c r="BJ69" s="547" t="s">
        <v>709</v>
      </c>
      <c r="BK69" s="547" t="s">
        <v>709</v>
      </c>
      <c r="BL69" s="547" t="s">
        <v>116</v>
      </c>
      <c r="BM69" s="547" t="s">
        <v>709</v>
      </c>
      <c r="BN69" s="547" t="s">
        <v>709</v>
      </c>
      <c r="BO69" s="547" t="s">
        <v>709</v>
      </c>
      <c r="BP69" s="547" t="s">
        <v>709</v>
      </c>
      <c r="BQ69" s="547" t="s">
        <v>709</v>
      </c>
      <c r="BR69" s="547">
        <v>136</v>
      </c>
      <c r="BS69" s="547" t="s">
        <v>709</v>
      </c>
      <c r="BT69" s="547" t="s">
        <v>709</v>
      </c>
      <c r="BU69" s="547" t="s">
        <v>709</v>
      </c>
      <c r="BV69" s="547" t="s">
        <v>709</v>
      </c>
      <c r="BW69" s="547" t="s">
        <v>709</v>
      </c>
      <c r="BX69" s="547" t="s">
        <v>709</v>
      </c>
      <c r="BY69" s="547" t="s">
        <v>709</v>
      </c>
      <c r="BZ69" s="547" t="s">
        <v>709</v>
      </c>
      <c r="CA69" s="483"/>
      <c r="CB69" s="547">
        <v>67</v>
      </c>
      <c r="CC69" s="1481" t="b">
        <v>1</v>
      </c>
      <c r="CD69" t="str">
        <f>Table15[[#This Row],[Engineering Number]]&amp;Table15[[#This Row],[WO Number]]&amp;Table15[[#This Row],[Date Assigned to Designer]]&amp;Table15[[#This Row],[Date Completed]]</f>
        <v>MR12731291514375543783</v>
      </c>
    </row>
    <row r="70" spans="1:82" customFormat="1" ht="15" customHeight="1" x14ac:dyDescent="0.25">
      <c r="A70">
        <v>2020</v>
      </c>
      <c r="B70" s="8" t="s">
        <v>4</v>
      </c>
      <c r="C70" s="8" t="s">
        <v>2236</v>
      </c>
      <c r="D70" s="656" t="s">
        <v>2237</v>
      </c>
      <c r="E70" s="8" t="s">
        <v>1016</v>
      </c>
      <c r="F70" s="8" t="s">
        <v>919</v>
      </c>
      <c r="G70" s="8" t="s">
        <v>1896</v>
      </c>
      <c r="H70" s="8" t="s">
        <v>59</v>
      </c>
      <c r="I70" s="642">
        <v>43679</v>
      </c>
      <c r="J70" s="18">
        <v>43791</v>
      </c>
      <c r="K70" s="642">
        <v>43788</v>
      </c>
      <c r="L70" s="16">
        <f>IF(ISTEXT(Table15[[#This Row],[Engineering Approved Design Date]]),Table15[[#This Row],[Date Completed]]-Table15[[#This Row],[Date Assigned to Designer]],Table15[[#This Row],[Engineering Approved Design Date]]-Table15[[#This Row],[Date Completed]])</f>
        <v>3</v>
      </c>
      <c r="M70" s="642"/>
      <c r="N70" s="642" t="s">
        <v>120</v>
      </c>
      <c r="O70" s="1025">
        <v>43788</v>
      </c>
      <c r="P70" s="21" t="s">
        <v>739</v>
      </c>
      <c r="Q70" s="1061">
        <f>AA70*R70</f>
        <v>5602.558500000001</v>
      </c>
      <c r="R70" s="1026">
        <v>7.0000000000000007E-2</v>
      </c>
      <c r="S70" s="538"/>
      <c r="T70" s="538"/>
      <c r="U70" s="28"/>
      <c r="V70" s="858">
        <v>722</v>
      </c>
      <c r="W70" s="437"/>
      <c r="X70" s="538">
        <v>77319.13</v>
      </c>
      <c r="Y70" s="551">
        <v>7303.8</v>
      </c>
      <c r="Z70" s="538">
        <v>10021.219999999999</v>
      </c>
      <c r="AA70" s="538">
        <f>X70-Y70+Z70</f>
        <v>80036.55</v>
      </c>
      <c r="AB70" s="21"/>
      <c r="AC70" s="569"/>
      <c r="AD70" s="1149"/>
      <c r="AE70" s="580"/>
      <c r="AF70" s="580"/>
      <c r="AG70" s="580"/>
      <c r="AH70" s="542"/>
      <c r="AI70" s="1028"/>
      <c r="AJ70" s="1029"/>
      <c r="AK70" s="1029"/>
      <c r="AL70" s="1030"/>
      <c r="AM70" s="542" t="s">
        <v>116</v>
      </c>
      <c r="AN70" s="1508">
        <v>44076</v>
      </c>
      <c r="AO70" s="925">
        <v>185063</v>
      </c>
      <c r="AP70" s="926">
        <v>206027.82</v>
      </c>
      <c r="AQ70" s="926"/>
      <c r="AR70" s="926">
        <v>4945.8999999999996</v>
      </c>
      <c r="AS70" s="926">
        <f>IF(Table15[[#This Row],[PCTS Approved]]="N",0,Table15[[#This Row],[Investment Amount (1'#'#'#'#'#)]]+Table15[[#This Row],[Retirement Amount (3'#'#'#'#'#)]])</f>
        <v>210973.72</v>
      </c>
      <c r="AT70" s="926">
        <f>IF(Table15[[#This Row],[Approved Construction Cost]]=0,0,Table15[[#This Row],[Approved Construction Cost]]-Table15[[#This Row],[Construction Cost to Bill From]])</f>
        <v>130937.17</v>
      </c>
      <c r="AU70" s="926">
        <f>Table15[[#This Row],[Difference in Construction Cost]]*Table15[[#This Row],[Rate]]</f>
        <v>9165.6019000000015</v>
      </c>
      <c r="AV70" s="926">
        <v>14487.75</v>
      </c>
      <c r="AW70" s="927" t="s">
        <v>2238</v>
      </c>
      <c r="AX70" s="926"/>
      <c r="AY70" s="636" t="s">
        <v>1935</v>
      </c>
      <c r="AZ70" s="1531"/>
      <c r="BA70" s="1031" t="s">
        <v>2239</v>
      </c>
      <c r="BB70" s="644" t="s">
        <v>2240</v>
      </c>
      <c r="BC70" s="544"/>
      <c r="BD70" s="544"/>
      <c r="BE70" s="544"/>
      <c r="BF70" s="544"/>
      <c r="BG70" s="544"/>
      <c r="BH70" s="741"/>
      <c r="BI70" s="547" t="s">
        <v>709</v>
      </c>
      <c r="BJ70" s="547" t="s">
        <v>709</v>
      </c>
      <c r="BK70" s="547" t="s">
        <v>709</v>
      </c>
      <c r="BL70" s="547" t="s">
        <v>116</v>
      </c>
      <c r="BM70" s="547" t="s">
        <v>709</v>
      </c>
      <c r="BN70" s="547" t="s">
        <v>709</v>
      </c>
      <c r="BO70" s="547" t="s">
        <v>709</v>
      </c>
      <c r="BP70" s="547" t="s">
        <v>709</v>
      </c>
      <c r="BQ70" s="547" t="s">
        <v>709</v>
      </c>
      <c r="BR70" s="547">
        <v>470</v>
      </c>
      <c r="BS70" s="547" t="s">
        <v>709</v>
      </c>
      <c r="BT70" s="547" t="s">
        <v>709</v>
      </c>
      <c r="BU70" s="547" t="s">
        <v>709</v>
      </c>
      <c r="BV70" s="547" t="s">
        <v>709</v>
      </c>
      <c r="BW70" s="547" t="s">
        <v>709</v>
      </c>
      <c r="BX70" s="547" t="s">
        <v>709</v>
      </c>
      <c r="BY70" s="547" t="s">
        <v>709</v>
      </c>
      <c r="BZ70" s="547" t="s">
        <v>709</v>
      </c>
      <c r="CA70" s="483"/>
      <c r="CB70" s="547">
        <v>69</v>
      </c>
      <c r="CC70" s="1481" t="b">
        <v>1</v>
      </c>
      <c r="CD70" t="str">
        <f>Table15[[#This Row],[Engineering Number]]&amp;Table15[[#This Row],[WO Number]]&amp;Table15[[#This Row],[Date Assigned to Designer]]&amp;Table15[[#This Row],[Date Completed]]</f>
        <v>SC167781356484367943788</v>
      </c>
    </row>
    <row r="71" spans="1:82" customFormat="1" ht="15" customHeight="1" x14ac:dyDescent="0.25">
      <c r="A71">
        <v>2019</v>
      </c>
      <c r="B71" s="8" t="s">
        <v>1073</v>
      </c>
      <c r="C71" s="8" t="s">
        <v>2230</v>
      </c>
      <c r="D71" s="8" t="s">
        <v>2231</v>
      </c>
      <c r="E71" s="8" t="s">
        <v>2126</v>
      </c>
      <c r="F71" s="8" t="s">
        <v>325</v>
      </c>
      <c r="G71" s="8" t="s">
        <v>2232</v>
      </c>
      <c r="H71" s="8" t="s">
        <v>59</v>
      </c>
      <c r="I71" s="642">
        <v>43665</v>
      </c>
      <c r="J71" s="18">
        <v>43791</v>
      </c>
      <c r="K71" s="642">
        <v>43788</v>
      </c>
      <c r="L71" s="16">
        <f>IF(ISTEXT(Table15[[#This Row],[Engineering Approved Design Date]]),Table15[[#This Row],[Date Completed]]-Table15[[#This Row],[Date Assigned to Designer]],Table15[[#This Row],[Engineering Approved Design Date]]-Table15[[#This Row],[Date Completed]])</f>
        <v>3</v>
      </c>
      <c r="M71" s="642" t="s">
        <v>2233</v>
      </c>
      <c r="N71" s="642" t="s">
        <v>120</v>
      </c>
      <c r="O71" s="1025">
        <v>43788</v>
      </c>
      <c r="P71" s="21" t="s">
        <v>739</v>
      </c>
      <c r="Q71" s="1061">
        <f>22927.5+2000</f>
        <v>24927.5</v>
      </c>
      <c r="R71" s="1026" t="s">
        <v>1922</v>
      </c>
      <c r="S71" s="538"/>
      <c r="T71" s="538"/>
      <c r="U71" s="28"/>
      <c r="V71" s="858">
        <v>1687</v>
      </c>
      <c r="W71" s="437"/>
      <c r="X71" s="538">
        <v>76073.23</v>
      </c>
      <c r="Y71" s="551">
        <v>20783.84</v>
      </c>
      <c r="Z71" s="538">
        <v>0</v>
      </c>
      <c r="AA71" s="538">
        <f>X71-Y71+Z71</f>
        <v>55289.39</v>
      </c>
      <c r="AB71" s="21"/>
      <c r="AC71" s="569"/>
      <c r="AD71" s="1149"/>
      <c r="AE71" s="569"/>
      <c r="AF71" s="569"/>
      <c r="AG71" s="569"/>
      <c r="AH71" s="536"/>
      <c r="AI71" s="1028"/>
      <c r="AJ71" s="1029"/>
      <c r="AK71" s="1029"/>
      <c r="AL71" s="1030"/>
      <c r="AM71" s="542" t="s">
        <v>709</v>
      </c>
      <c r="AN71" s="924"/>
      <c r="AO71" s="925"/>
      <c r="AP71" s="926"/>
      <c r="AQ71" s="926"/>
      <c r="AR71" s="926"/>
      <c r="AS71" s="926"/>
      <c r="AT71" s="926"/>
      <c r="AU71" s="926"/>
      <c r="AV71" s="926"/>
      <c r="AW71" s="927"/>
      <c r="AX71" s="926"/>
      <c r="AY71" s="1538" t="s">
        <v>29</v>
      </c>
      <c r="AZ71" s="1530"/>
      <c r="BA71" s="1031" t="s">
        <v>2234</v>
      </c>
      <c r="BB71" s="644"/>
      <c r="BC71" s="544"/>
      <c r="BD71" s="544"/>
      <c r="BE71" s="544"/>
      <c r="BF71" s="544"/>
      <c r="BG71" s="544"/>
      <c r="BH71" s="741"/>
      <c r="BI71" s="547" t="s">
        <v>709</v>
      </c>
      <c r="BJ71" s="547" t="s">
        <v>709</v>
      </c>
      <c r="BK71" s="547" t="s">
        <v>709</v>
      </c>
      <c r="BL71" s="547" t="s">
        <v>116</v>
      </c>
      <c r="BM71" s="547" t="s">
        <v>709</v>
      </c>
      <c r="BN71" s="547" t="s">
        <v>709</v>
      </c>
      <c r="BO71" s="547" t="s">
        <v>709</v>
      </c>
      <c r="BP71" s="547" t="s">
        <v>709</v>
      </c>
      <c r="BQ71" s="547" t="s">
        <v>709</v>
      </c>
      <c r="BR71" s="547" t="s">
        <v>709</v>
      </c>
      <c r="BS71" s="547">
        <v>1687</v>
      </c>
      <c r="BT71" s="547" t="s">
        <v>709</v>
      </c>
      <c r="BU71" s="547" t="s">
        <v>709</v>
      </c>
      <c r="BV71" s="547" t="s">
        <v>709</v>
      </c>
      <c r="BW71" s="547" t="s">
        <v>709</v>
      </c>
      <c r="BX71" s="547" t="s">
        <v>709</v>
      </c>
      <c r="BY71" s="547" t="s">
        <v>709</v>
      </c>
      <c r="BZ71" s="547" t="s">
        <v>709</v>
      </c>
      <c r="CA71" s="483"/>
      <c r="CB71" s="547">
        <v>68</v>
      </c>
      <c r="CC71" s="1481" t="b">
        <v>1</v>
      </c>
      <c r="CD71" t="str">
        <f>Table15[[#This Row],[Engineering Number]]&amp;Table15[[#This Row],[WO Number]]&amp;Table15[[#This Row],[Date Assigned to Designer]]&amp;Table15[[#This Row],[Date Completed]]</f>
        <v>NBA1608497-11685334366543788</v>
      </c>
    </row>
    <row r="72" spans="1:82" customFormat="1" ht="15" customHeight="1" x14ac:dyDescent="0.25">
      <c r="A72">
        <v>2020</v>
      </c>
      <c r="B72" s="8" t="s">
        <v>771</v>
      </c>
      <c r="C72" s="8" t="s">
        <v>2244</v>
      </c>
      <c r="D72" s="8" t="s">
        <v>2245</v>
      </c>
      <c r="E72" s="8" t="s">
        <v>2246</v>
      </c>
      <c r="F72" s="8" t="s">
        <v>919</v>
      </c>
      <c r="G72" s="8" t="s">
        <v>1896</v>
      </c>
      <c r="H72" s="8" t="s">
        <v>59</v>
      </c>
      <c r="I72" s="642">
        <v>43699</v>
      </c>
      <c r="J72" s="18">
        <v>43791</v>
      </c>
      <c r="K72" s="642">
        <v>43790</v>
      </c>
      <c r="L72" s="16">
        <f>IF(ISTEXT(Table15[[#This Row],[Engineering Approved Design Date]]),Table15[[#This Row],[Date Completed]]-Table15[[#This Row],[Date Assigned to Designer]],Table15[[#This Row],[Engineering Approved Design Date]]-Table15[[#This Row],[Date Completed]])</f>
        <v>1</v>
      </c>
      <c r="M72" s="642"/>
      <c r="N72" s="642" t="s">
        <v>120</v>
      </c>
      <c r="O72" s="1025">
        <v>43790</v>
      </c>
      <c r="P72" s="21" t="s">
        <v>120</v>
      </c>
      <c r="Q72" s="1061">
        <f>12349*1.55</f>
        <v>19140.95</v>
      </c>
      <c r="R72" s="1026" t="s">
        <v>2087</v>
      </c>
      <c r="S72" s="561"/>
      <c r="T72" s="561"/>
      <c r="U72" s="28"/>
      <c r="V72" s="858">
        <f>10168+1479+702</f>
        <v>12349</v>
      </c>
      <c r="W72" s="437"/>
      <c r="X72" s="538">
        <v>1327571.5</v>
      </c>
      <c r="Y72" s="551">
        <v>191903.46</v>
      </c>
      <c r="Z72" s="538">
        <v>159512.91</v>
      </c>
      <c r="AA72" s="538">
        <f>X72-Y72+Z72</f>
        <v>1295180.95</v>
      </c>
      <c r="AB72" s="21"/>
      <c r="AC72" s="569"/>
      <c r="AD72" s="1149"/>
      <c r="AE72" s="569"/>
      <c r="AF72" s="569"/>
      <c r="AG72" s="569"/>
      <c r="AH72" s="536"/>
      <c r="AI72" s="1028"/>
      <c r="AJ72" s="1029"/>
      <c r="AK72" s="1029"/>
      <c r="AL72" s="1030"/>
      <c r="AM72" s="542" t="s">
        <v>709</v>
      </c>
      <c r="AN72" s="924"/>
      <c r="AO72" s="925"/>
      <c r="AP72" s="926"/>
      <c r="AQ72" s="926"/>
      <c r="AR72" s="926"/>
      <c r="AS72" s="926"/>
      <c r="AT72" s="926"/>
      <c r="AU72" s="926"/>
      <c r="AV72" s="926"/>
      <c r="AW72" s="927"/>
      <c r="AX72" s="926"/>
      <c r="AY72" s="1538" t="s">
        <v>29</v>
      </c>
      <c r="AZ72" s="1530"/>
      <c r="BA72" s="1031" t="s">
        <v>2247</v>
      </c>
      <c r="BB72" s="644" t="s">
        <v>2248</v>
      </c>
      <c r="BC72" s="544"/>
      <c r="BD72" s="544"/>
      <c r="BE72" s="544"/>
      <c r="BF72" s="544"/>
      <c r="BG72" s="544"/>
      <c r="BH72" s="741"/>
      <c r="BI72" s="547" t="s">
        <v>709</v>
      </c>
      <c r="BJ72" s="547" t="s">
        <v>709</v>
      </c>
      <c r="BK72" s="547" t="s">
        <v>709</v>
      </c>
      <c r="BL72" s="547" t="s">
        <v>116</v>
      </c>
      <c r="BM72" s="547" t="s">
        <v>709</v>
      </c>
      <c r="BN72" s="547" t="s">
        <v>709</v>
      </c>
      <c r="BO72" s="547" t="s">
        <v>709</v>
      </c>
      <c r="BP72" s="547" t="s">
        <v>709</v>
      </c>
      <c r="BQ72" s="547" t="s">
        <v>709</v>
      </c>
      <c r="BR72" s="547" t="s">
        <v>709</v>
      </c>
      <c r="BS72" s="547">
        <v>10090</v>
      </c>
      <c r="BT72" s="547" t="s">
        <v>745</v>
      </c>
      <c r="BU72" s="547" t="s">
        <v>709</v>
      </c>
      <c r="BV72" s="547" t="s">
        <v>745</v>
      </c>
      <c r="BW72" s="547" t="s">
        <v>709</v>
      </c>
      <c r="BX72" s="547" t="s">
        <v>745</v>
      </c>
      <c r="BY72" s="547" t="s">
        <v>745</v>
      </c>
      <c r="BZ72" s="547" t="s">
        <v>709</v>
      </c>
      <c r="CA72" s="483"/>
      <c r="CB72" s="547">
        <v>71</v>
      </c>
      <c r="CC72" s="1481" t="b">
        <v>1</v>
      </c>
      <c r="CD72" t="str">
        <f>Table15[[#This Row],[Engineering Number]]&amp;Table15[[#This Row],[WO Number]]&amp;Table15[[#This Row],[Date Assigned to Designer]]&amp;Table15[[#This Row],[Date Completed]]</f>
        <v>VW2651203714369943790</v>
      </c>
    </row>
    <row r="73" spans="1:82" customFormat="1" ht="15" customHeight="1" x14ac:dyDescent="0.25">
      <c r="A73">
        <v>2019</v>
      </c>
      <c r="B73" s="8" t="s">
        <v>1981</v>
      </c>
      <c r="C73" s="8" t="s">
        <v>2142</v>
      </c>
      <c r="D73" s="8" t="s">
        <v>2143</v>
      </c>
      <c r="E73" s="8" t="s">
        <v>2144</v>
      </c>
      <c r="F73" s="8" t="s">
        <v>919</v>
      </c>
      <c r="G73" s="8" t="s">
        <v>1887</v>
      </c>
      <c r="H73" s="8" t="s">
        <v>2051</v>
      </c>
      <c r="I73" s="1033">
        <v>43703</v>
      </c>
      <c r="J73" s="18" t="s">
        <v>2052</v>
      </c>
      <c r="K73" s="642">
        <v>43790</v>
      </c>
      <c r="L73" s="16">
        <f>IF(ISTEXT(Table15[[#This Row],[Engineering Approved Design Date]]),Table15[[#This Row],[Date Completed]]-Table15[[#This Row],[Date Assigned to Designer]],Table15[[#This Row],[Engineering Approved Design Date]]-Table15[[#This Row],[Date Completed]])</f>
        <v>87</v>
      </c>
      <c r="M73" s="642" t="s">
        <v>2242</v>
      </c>
      <c r="N73" s="642" t="s">
        <v>120</v>
      </c>
      <c r="O73" s="1025">
        <v>43790</v>
      </c>
      <c r="P73" s="21" t="s">
        <v>739</v>
      </c>
      <c r="Q73" s="1061">
        <f>1940+1000</f>
        <v>2940</v>
      </c>
      <c r="R73" s="1026" t="s">
        <v>1922</v>
      </c>
      <c r="S73" s="538"/>
      <c r="T73" s="538"/>
      <c r="U73" s="28"/>
      <c r="V73" s="858"/>
      <c r="W73" s="437"/>
      <c r="X73" s="538"/>
      <c r="Y73" s="551"/>
      <c r="Z73" s="538"/>
      <c r="AA73" s="538"/>
      <c r="AB73" s="21"/>
      <c r="AC73" s="569"/>
      <c r="AD73" s="1149"/>
      <c r="AE73" s="580"/>
      <c r="AF73" s="580"/>
      <c r="AG73" s="580"/>
      <c r="AH73" s="542"/>
      <c r="AI73" s="1028"/>
      <c r="AJ73" s="1029"/>
      <c r="AK73" s="1029"/>
      <c r="AL73" s="1030"/>
      <c r="AM73" s="542" t="s">
        <v>709</v>
      </c>
      <c r="AN73" s="924"/>
      <c r="AO73" s="925"/>
      <c r="AP73" s="926"/>
      <c r="AQ73" s="926"/>
      <c r="AR73" s="926"/>
      <c r="AS73" s="926"/>
      <c r="AT73" s="926"/>
      <c r="AU73" s="926"/>
      <c r="AV73" s="926"/>
      <c r="AW73" s="927"/>
      <c r="AX73" s="926"/>
      <c r="AY73" s="1538" t="s">
        <v>29</v>
      </c>
      <c r="AZ73" s="1530"/>
      <c r="BA73" s="1031">
        <v>4</v>
      </c>
      <c r="BB73" s="644"/>
      <c r="BC73" s="544"/>
      <c r="BD73" s="544"/>
      <c r="BE73" s="544"/>
      <c r="BF73" s="544"/>
      <c r="BG73" s="544"/>
      <c r="BH73" s="741"/>
      <c r="BI73" s="547" t="s">
        <v>709</v>
      </c>
      <c r="BJ73" s="547" t="s">
        <v>709</v>
      </c>
      <c r="BK73" s="547" t="s">
        <v>709</v>
      </c>
      <c r="BL73" s="547" t="s">
        <v>116</v>
      </c>
      <c r="BM73" s="547" t="s">
        <v>709</v>
      </c>
      <c r="BN73" s="547" t="s">
        <v>709</v>
      </c>
      <c r="BO73" s="547" t="s">
        <v>709</v>
      </c>
      <c r="BP73" s="547" t="s">
        <v>709</v>
      </c>
      <c r="BQ73" s="547" t="s">
        <v>709</v>
      </c>
      <c r="BR73" s="547" t="s">
        <v>709</v>
      </c>
      <c r="BS73" s="547">
        <v>570</v>
      </c>
      <c r="BT73" s="547" t="s">
        <v>709</v>
      </c>
      <c r="BU73" s="547" t="s">
        <v>709</v>
      </c>
      <c r="BV73" s="547" t="s">
        <v>709</v>
      </c>
      <c r="BW73" s="547" t="s">
        <v>709</v>
      </c>
      <c r="BX73" s="547" t="s">
        <v>709</v>
      </c>
      <c r="BY73" s="547" t="s">
        <v>709</v>
      </c>
      <c r="BZ73" s="547" t="s">
        <v>709</v>
      </c>
      <c r="CA73" s="483"/>
      <c r="CB73" s="547">
        <v>70</v>
      </c>
      <c r="CC73" s="1481" t="b">
        <v>1</v>
      </c>
      <c r="CD73" t="str">
        <f>Table15[[#This Row],[Engineering Number]]&amp;Table15[[#This Row],[WO Number]]&amp;Table15[[#This Row],[Date Assigned to Designer]]&amp;Table15[[#This Row],[Date Completed]]</f>
        <v>COR4311203734370343790</v>
      </c>
    </row>
    <row r="74" spans="1:82" customFormat="1" ht="15" customHeight="1" x14ac:dyDescent="0.25">
      <c r="A74">
        <v>2020</v>
      </c>
      <c r="B74" s="8" t="s">
        <v>4</v>
      </c>
      <c r="C74" s="8" t="s">
        <v>2250</v>
      </c>
      <c r="D74" s="8" t="s">
        <v>2251</v>
      </c>
      <c r="E74" s="8" t="s">
        <v>391</v>
      </c>
      <c r="F74" s="8" t="s">
        <v>325</v>
      </c>
      <c r="G74" s="8" t="s">
        <v>1896</v>
      </c>
      <c r="H74" s="8" t="s">
        <v>59</v>
      </c>
      <c r="I74" s="642">
        <v>43690</v>
      </c>
      <c r="J74" s="18">
        <v>43782</v>
      </c>
      <c r="K74" s="642">
        <v>43794</v>
      </c>
      <c r="L74" s="16">
        <v>0</v>
      </c>
      <c r="M74" s="642" t="s">
        <v>2252</v>
      </c>
      <c r="N74" s="642" t="s">
        <v>120</v>
      </c>
      <c r="O74" s="1025">
        <v>43794</v>
      </c>
      <c r="P74" s="21" t="s">
        <v>739</v>
      </c>
      <c r="Q74" s="1061">
        <f>AA74*R74</f>
        <v>38727.312400000003</v>
      </c>
      <c r="R74" s="1026">
        <v>7.0000000000000007E-2</v>
      </c>
      <c r="S74" s="538"/>
      <c r="T74" s="538"/>
      <c r="U74" s="28"/>
      <c r="V74" s="858">
        <v>2370</v>
      </c>
      <c r="W74" s="437"/>
      <c r="X74" s="538">
        <v>548857.56999999995</v>
      </c>
      <c r="Y74" s="551">
        <v>36829.800000000003</v>
      </c>
      <c r="Z74" s="538">
        <v>41219.550000000003</v>
      </c>
      <c r="AA74" s="538">
        <f>X74-Y74+Z74</f>
        <v>553247.31999999995</v>
      </c>
      <c r="AB74" s="21"/>
      <c r="AC74" s="569"/>
      <c r="AD74" s="1149"/>
      <c r="AE74" s="580"/>
      <c r="AF74" s="580"/>
      <c r="AG74" s="580"/>
      <c r="AH74" s="542"/>
      <c r="AI74" s="1028"/>
      <c r="AJ74" s="1029"/>
      <c r="AK74" s="1029"/>
      <c r="AL74" s="1030"/>
      <c r="AM74" s="1522" t="s">
        <v>116</v>
      </c>
      <c r="AN74" s="1523">
        <v>43924</v>
      </c>
      <c r="AO74" s="1524">
        <v>182436</v>
      </c>
      <c r="AP74" s="1525">
        <v>445452.33</v>
      </c>
      <c r="AQ74" s="1525">
        <v>36829.800000000003</v>
      </c>
      <c r="AR74" s="1525">
        <v>52755.72</v>
      </c>
      <c r="AS74" s="1525">
        <f>IF(Table15[[#This Row],[PCTS Approved]]="N",0,Table15[[#This Row],[Investment Amount (1'#'#'#'#'#)]]+Table15[[#This Row],[Retirement Amount (3'#'#'#'#'#)]])</f>
        <v>498208.05000000005</v>
      </c>
      <c r="AT74" s="1525">
        <f>IF(Table15[[#This Row],[Approved Construction Cost]]=0,0,Table15[[#This Row],[Approved Construction Cost]]-Table15[[#This Row],[Construction Cost to Bill From]])</f>
        <v>-55039.269999999902</v>
      </c>
      <c r="AU74" s="1525">
        <f>Table15[[#This Row],[Difference in Construction Cost]]*Table15[[#This Row],[Rate]]</f>
        <v>-3852.7488999999937</v>
      </c>
      <c r="AV74" s="1525">
        <v>0</v>
      </c>
      <c r="AW74" s="1526" t="s">
        <v>2253</v>
      </c>
      <c r="AX74" s="1525"/>
      <c r="AY74" s="1518">
        <v>43983</v>
      </c>
      <c r="AZ74" s="333"/>
      <c r="BA74" s="1031" t="s">
        <v>2254</v>
      </c>
      <c r="BB74" s="644" t="s">
        <v>2255</v>
      </c>
      <c r="BC74" s="544"/>
      <c r="BD74" s="544"/>
      <c r="BE74" s="544"/>
      <c r="BF74" s="544"/>
      <c r="BG74" s="544"/>
      <c r="BH74" s="741"/>
      <c r="BI74" s="547" t="s">
        <v>709</v>
      </c>
      <c r="BJ74" s="547" t="s">
        <v>709</v>
      </c>
      <c r="BK74" s="547" t="s">
        <v>709</v>
      </c>
      <c r="BL74" s="547" t="s">
        <v>116</v>
      </c>
      <c r="BM74" s="547" t="s">
        <v>709</v>
      </c>
      <c r="BN74" s="547" t="s">
        <v>709</v>
      </c>
      <c r="BO74" s="547" t="s">
        <v>709</v>
      </c>
      <c r="BP74" s="547">
        <v>1851</v>
      </c>
      <c r="BQ74" s="547" t="s">
        <v>709</v>
      </c>
      <c r="BR74" s="547" t="s">
        <v>709</v>
      </c>
      <c r="BS74" s="547">
        <v>519</v>
      </c>
      <c r="BT74" s="547" t="s">
        <v>745</v>
      </c>
      <c r="BU74" s="547" t="s">
        <v>709</v>
      </c>
      <c r="BV74" s="547" t="s">
        <v>709</v>
      </c>
      <c r="BW74" s="547" t="s">
        <v>709</v>
      </c>
      <c r="BX74" s="547" t="s">
        <v>745</v>
      </c>
      <c r="BY74" s="547" t="s">
        <v>709</v>
      </c>
      <c r="BZ74" s="547" t="s">
        <v>709</v>
      </c>
      <c r="CA74" s="483"/>
      <c r="CB74" s="547">
        <v>72</v>
      </c>
      <c r="CC74" s="1481" t="b">
        <v>1</v>
      </c>
      <c r="CD74" t="str">
        <f>Table15[[#This Row],[Engineering Number]]&amp;Table15[[#This Row],[WO Number]]&amp;Table15[[#This Row],[Date Assigned to Designer]]&amp;Table15[[#This Row],[Date Completed]]</f>
        <v>M109801203804369043794</v>
      </c>
    </row>
    <row r="75" spans="1:82" customFormat="1" ht="15" customHeight="1" x14ac:dyDescent="0.25">
      <c r="A75">
        <v>2020</v>
      </c>
      <c r="B75" s="8" t="s">
        <v>4</v>
      </c>
      <c r="C75" s="8" t="s">
        <v>2257</v>
      </c>
      <c r="D75" s="8" t="s">
        <v>115</v>
      </c>
      <c r="E75" s="8" t="s">
        <v>2258</v>
      </c>
      <c r="F75" s="8" t="s">
        <v>325</v>
      </c>
      <c r="G75" s="8" t="s">
        <v>1896</v>
      </c>
      <c r="H75" s="8" t="s">
        <v>2127</v>
      </c>
      <c r="I75" s="642">
        <v>43763</v>
      </c>
      <c r="J75" s="18">
        <v>43854</v>
      </c>
      <c r="K75" s="642">
        <v>43803</v>
      </c>
      <c r="L75" s="16">
        <f>IF(ISTEXT(Table15[[#This Row],[Engineering Approved Design Date]]),Table15[[#This Row],[Date Completed]]-Table15[[#This Row],[Date Assigned to Designer]],Table15[[#This Row],[Engineering Approved Design Date]]-Table15[[#This Row],[Date Completed]])</f>
        <v>51</v>
      </c>
      <c r="M75" s="642" t="s">
        <v>2259</v>
      </c>
      <c r="N75" s="642" t="s">
        <v>120</v>
      </c>
      <c r="O75" s="1025">
        <v>43803</v>
      </c>
      <c r="P75" s="21" t="s">
        <v>739</v>
      </c>
      <c r="Q75" s="1301" t="s">
        <v>115</v>
      </c>
      <c r="R75" s="1026" t="s">
        <v>115</v>
      </c>
      <c r="S75" s="538"/>
      <c r="T75" s="538"/>
      <c r="U75" s="28"/>
      <c r="V75" s="858"/>
      <c r="W75" s="437"/>
      <c r="X75" s="538"/>
      <c r="Y75" s="551"/>
      <c r="Z75" s="538"/>
      <c r="AA75" s="538">
        <v>0</v>
      </c>
      <c r="AB75" s="21"/>
      <c r="AC75" s="569"/>
      <c r="AD75" s="1149"/>
      <c r="AE75" s="580"/>
      <c r="AF75" s="580"/>
      <c r="AG75" s="580"/>
      <c r="AH75" s="542"/>
      <c r="AI75" s="1028"/>
      <c r="AJ75" s="1029"/>
      <c r="AK75" s="1029"/>
      <c r="AL75" s="1030"/>
      <c r="AM75" s="542" t="s">
        <v>709</v>
      </c>
      <c r="AN75" s="924"/>
      <c r="AO75" s="925"/>
      <c r="AP75" s="926"/>
      <c r="AQ75" s="926"/>
      <c r="AR75" s="926"/>
      <c r="AS75" s="926"/>
      <c r="AT75" s="926"/>
      <c r="AU75" s="926"/>
      <c r="AV75" s="926"/>
      <c r="AW75" s="927"/>
      <c r="AX75" s="926"/>
      <c r="AY75" s="1538" t="s">
        <v>29</v>
      </c>
      <c r="AZ75" s="1530"/>
      <c r="BA75" s="1031" t="s">
        <v>2260</v>
      </c>
      <c r="BB75" s="644" t="s">
        <v>2261</v>
      </c>
      <c r="BC75" s="544"/>
      <c r="BD75" s="544"/>
      <c r="BE75" s="544"/>
      <c r="BF75" s="544"/>
      <c r="BG75" s="544"/>
      <c r="BH75" s="741"/>
      <c r="BI75" s="547"/>
      <c r="BJ75" s="547"/>
      <c r="BK75" s="547"/>
      <c r="BL75" s="547"/>
      <c r="BM75" s="547"/>
      <c r="BN75" s="547"/>
      <c r="BO75" s="547"/>
      <c r="BP75" s="547"/>
      <c r="BQ75" s="547"/>
      <c r="BR75" s="547"/>
      <c r="BS75" s="547"/>
      <c r="BT75" s="547"/>
      <c r="BU75" s="547"/>
      <c r="BV75" s="547"/>
      <c r="BW75" s="547"/>
      <c r="BX75" s="547"/>
      <c r="BY75" s="547"/>
      <c r="BZ75" s="547" t="s">
        <v>709</v>
      </c>
      <c r="CA75" s="483" t="s">
        <v>915</v>
      </c>
      <c r="CB75" s="547">
        <v>73</v>
      </c>
      <c r="CC75" s="1481" t="b">
        <v>1</v>
      </c>
      <c r="CD75" t="str">
        <f>Table15[[#This Row],[Engineering Number]]&amp;Table15[[#This Row],[WO Number]]&amp;Table15[[#This Row],[Date Assigned to Designer]]&amp;Table15[[#This Row],[Date Completed]]</f>
        <v>N12831-4376343803</v>
      </c>
    </row>
    <row r="76" spans="1:82" customFormat="1" ht="15" customHeight="1" x14ac:dyDescent="0.25">
      <c r="A76">
        <v>2020</v>
      </c>
      <c r="B76" s="8" t="s">
        <v>4</v>
      </c>
      <c r="C76" s="8" t="s">
        <v>2265</v>
      </c>
      <c r="D76" s="8" t="s">
        <v>2266</v>
      </c>
      <c r="E76" s="8" t="s">
        <v>2267</v>
      </c>
      <c r="F76" s="8" t="s">
        <v>919</v>
      </c>
      <c r="G76" s="8" t="s">
        <v>36</v>
      </c>
      <c r="H76" s="8" t="s">
        <v>59</v>
      </c>
      <c r="I76" s="642">
        <v>43720</v>
      </c>
      <c r="J76" s="18">
        <v>43811</v>
      </c>
      <c r="K76" s="642">
        <v>43811</v>
      </c>
      <c r="L76" s="16">
        <f>IF(ISTEXT(Table15[[#This Row],[Engineering Approved Design Date]]),Table15[[#This Row],[Date Completed]]-Table15[[#This Row],[Date Assigned to Designer]],Table15[[#This Row],[Engineering Approved Design Date]]-Table15[[#This Row],[Date Completed]])</f>
        <v>0</v>
      </c>
      <c r="M76" s="642"/>
      <c r="N76" s="642" t="s">
        <v>120</v>
      </c>
      <c r="O76" s="1025">
        <v>43811</v>
      </c>
      <c r="P76" s="21" t="s">
        <v>739</v>
      </c>
      <c r="Q76" s="340">
        <f>AA76*R76</f>
        <v>7689.5910000000013</v>
      </c>
      <c r="R76" s="1026">
        <v>7.0000000000000007E-2</v>
      </c>
      <c r="S76" s="538"/>
      <c r="T76" s="538"/>
      <c r="U76" s="28"/>
      <c r="V76" s="858">
        <v>1628</v>
      </c>
      <c r="W76" s="437"/>
      <c r="X76" s="538">
        <v>119698.14</v>
      </c>
      <c r="Y76" s="551">
        <v>25609.919999999998</v>
      </c>
      <c r="Z76" s="538">
        <v>15763.08</v>
      </c>
      <c r="AA76" s="538">
        <f>X76-Y76+Z76</f>
        <v>109851.3</v>
      </c>
      <c r="AB76" s="21"/>
      <c r="AC76" s="569"/>
      <c r="AD76" s="1149"/>
      <c r="AE76" s="580"/>
      <c r="AF76" s="580"/>
      <c r="AG76" s="580"/>
      <c r="AH76" s="542"/>
      <c r="AI76" s="1028"/>
      <c r="AJ76" s="1029"/>
      <c r="AK76" s="1029"/>
      <c r="AL76" s="1030"/>
      <c r="AM76" s="542" t="s">
        <v>116</v>
      </c>
      <c r="AN76" s="1508">
        <v>43892</v>
      </c>
      <c r="AO76" s="925">
        <v>182620</v>
      </c>
      <c r="AP76" s="926">
        <v>103620.65</v>
      </c>
      <c r="AQ76" s="926">
        <v>0</v>
      </c>
      <c r="AR76" s="926">
        <v>16077.3</v>
      </c>
      <c r="AS76" s="926">
        <f>IF(Table15[[#This Row],[PCTS Approved]]="N",0,Table15[[#This Row],[Investment Amount (1'#'#'#'#'#)]]+Table15[[#This Row],[Retirement Amount (3'#'#'#'#'#)]])</f>
        <v>119697.95</v>
      </c>
      <c r="AT76" s="926">
        <f>IF(Table15[[#This Row],[Approved Construction Cost]]=0,0,Table15[[#This Row],[Approved Construction Cost]]-Table15[[#This Row],[Construction Cost to Bill From]])</f>
        <v>9846.6499999999942</v>
      </c>
      <c r="AU76" s="926">
        <f>Table15[[#This Row],[Difference in Construction Cost]]*Table15[[#This Row],[Rate]]</f>
        <v>689.26549999999963</v>
      </c>
      <c r="AV76" s="926">
        <v>9731</v>
      </c>
      <c r="AW76" s="927" t="s">
        <v>2268</v>
      </c>
      <c r="AX76" s="926"/>
      <c r="AY76" s="636" t="s">
        <v>1935</v>
      </c>
      <c r="AZ76" s="1531"/>
      <c r="BA76" s="1031" t="s">
        <v>2269</v>
      </c>
      <c r="BB76" s="644" t="s">
        <v>2270</v>
      </c>
      <c r="BC76" s="544"/>
      <c r="BD76" s="544"/>
      <c r="BE76" s="544"/>
      <c r="BF76" s="544"/>
      <c r="BG76" s="544"/>
      <c r="BH76" s="741"/>
      <c r="BI76" s="547" t="s">
        <v>709</v>
      </c>
      <c r="BJ76" s="547" t="s">
        <v>709</v>
      </c>
      <c r="BK76" s="547" t="s">
        <v>709</v>
      </c>
      <c r="BL76" s="547" t="s">
        <v>116</v>
      </c>
      <c r="BM76" s="547" t="s">
        <v>709</v>
      </c>
      <c r="BN76" s="547" t="s">
        <v>709</v>
      </c>
      <c r="BO76" s="547" t="s">
        <v>709</v>
      </c>
      <c r="BP76" s="547" t="s">
        <v>709</v>
      </c>
      <c r="BQ76" s="547" t="s">
        <v>709</v>
      </c>
      <c r="BR76" s="547">
        <v>1648</v>
      </c>
      <c r="BS76" s="547" t="s">
        <v>709</v>
      </c>
      <c r="BT76" s="547" t="s">
        <v>709</v>
      </c>
      <c r="BU76" s="547" t="s">
        <v>709</v>
      </c>
      <c r="BV76" s="547" t="s">
        <v>709</v>
      </c>
      <c r="BW76" s="547" t="s">
        <v>709</v>
      </c>
      <c r="BX76" s="547" t="s">
        <v>709</v>
      </c>
      <c r="BY76" s="547" t="s">
        <v>709</v>
      </c>
      <c r="BZ76" s="547" t="s">
        <v>709</v>
      </c>
      <c r="CA76" s="483"/>
      <c r="CB76" s="547">
        <v>74</v>
      </c>
      <c r="CC76" s="1481" t="b">
        <v>1</v>
      </c>
      <c r="CD76" t="str">
        <f>Table15[[#This Row],[Engineering Number]]&amp;Table15[[#This Row],[WO Number]]&amp;Table15[[#This Row],[Date Assigned to Designer]]&amp;Table15[[#This Row],[Date Completed]]</f>
        <v>SC116681407544372043811</v>
      </c>
    </row>
    <row r="77" spans="1:82" customFormat="1" ht="15" customHeight="1" x14ac:dyDescent="0.25">
      <c r="A77">
        <v>2019</v>
      </c>
      <c r="B77" s="8" t="s">
        <v>1981</v>
      </c>
      <c r="C77" s="8" t="s">
        <v>2142</v>
      </c>
      <c r="D77" s="8" t="s">
        <v>2143</v>
      </c>
      <c r="E77" s="8" t="s">
        <v>2144</v>
      </c>
      <c r="F77" s="8" t="s">
        <v>919</v>
      </c>
      <c r="G77" s="8" t="s">
        <v>1887</v>
      </c>
      <c r="H77" s="8" t="s">
        <v>2051</v>
      </c>
      <c r="I77" s="1033">
        <v>43703</v>
      </c>
      <c r="J77" s="18" t="s">
        <v>2052</v>
      </c>
      <c r="K77" s="642">
        <v>43811</v>
      </c>
      <c r="L77" s="16">
        <f>IF(ISTEXT(Table15[[#This Row],[Engineering Approved Design Date]]),Table15[[#This Row],[Date Completed]]-Table15[[#This Row],[Date Assigned to Designer]],Table15[[#This Row],[Engineering Approved Design Date]]-Table15[[#This Row],[Date Completed]])</f>
        <v>108</v>
      </c>
      <c r="M77" s="642" t="s">
        <v>2263</v>
      </c>
      <c r="N77" s="642" t="s">
        <v>120</v>
      </c>
      <c r="O77" s="1025">
        <v>43811</v>
      </c>
      <c r="P77" s="21" t="s">
        <v>739</v>
      </c>
      <c r="Q77" s="1061">
        <f>1660+800</f>
        <v>2460</v>
      </c>
      <c r="R77" s="1026" t="s">
        <v>1922</v>
      </c>
      <c r="S77" s="538"/>
      <c r="T77" s="538"/>
      <c r="U77" s="28"/>
      <c r="V77" s="858"/>
      <c r="W77" s="437"/>
      <c r="X77" s="538"/>
      <c r="Y77" s="551"/>
      <c r="Z77" s="538"/>
      <c r="AA77" s="538"/>
      <c r="AB77" s="21"/>
      <c r="AC77" s="569"/>
      <c r="AD77" s="1149"/>
      <c r="AE77" s="580"/>
      <c r="AF77" s="580"/>
      <c r="AG77" s="580"/>
      <c r="AH77" s="542"/>
      <c r="AI77" s="1028"/>
      <c r="AJ77" s="1029"/>
      <c r="AK77" s="1029"/>
      <c r="AL77" s="1030"/>
      <c r="AM77" s="542" t="s">
        <v>709</v>
      </c>
      <c r="AN77" s="924"/>
      <c r="AO77" s="925"/>
      <c r="AP77" s="926"/>
      <c r="AQ77" s="926"/>
      <c r="AR77" s="926"/>
      <c r="AS77" s="926"/>
      <c r="AT77" s="926"/>
      <c r="AU77" s="926"/>
      <c r="AV77" s="926"/>
      <c r="AW77" s="927"/>
      <c r="AX77" s="926"/>
      <c r="AY77" s="1538" t="s">
        <v>29</v>
      </c>
      <c r="AZ77" s="1530"/>
      <c r="BA77" s="1031">
        <v>4</v>
      </c>
      <c r="BB77" s="644"/>
      <c r="BC77" s="544"/>
      <c r="BD77" s="544"/>
      <c r="BE77" s="544"/>
      <c r="BF77" s="544"/>
      <c r="BG77" s="544"/>
      <c r="BH77" s="741"/>
      <c r="BI77" s="547" t="s">
        <v>709</v>
      </c>
      <c r="BJ77" s="547" t="s">
        <v>709</v>
      </c>
      <c r="BK77" s="547" t="s">
        <v>709</v>
      </c>
      <c r="BL77" s="547" t="s">
        <v>116</v>
      </c>
      <c r="BM77" s="547" t="s">
        <v>709</v>
      </c>
      <c r="BN77" s="547" t="s">
        <v>709</v>
      </c>
      <c r="BO77" s="547" t="s">
        <v>709</v>
      </c>
      <c r="BP77" s="547" t="s">
        <v>709</v>
      </c>
      <c r="BQ77" s="547" t="s">
        <v>709</v>
      </c>
      <c r="BR77" s="547" t="s">
        <v>709</v>
      </c>
      <c r="BS77" s="547">
        <v>592</v>
      </c>
      <c r="BT77" s="547" t="s">
        <v>709</v>
      </c>
      <c r="BU77" s="547" t="s">
        <v>709</v>
      </c>
      <c r="BV77" s="547" t="s">
        <v>709</v>
      </c>
      <c r="BW77" s="547" t="s">
        <v>709</v>
      </c>
      <c r="BX77" s="547" t="s">
        <v>709</v>
      </c>
      <c r="BY77" s="547" t="s">
        <v>709</v>
      </c>
      <c r="BZ77" s="547" t="s">
        <v>709</v>
      </c>
      <c r="CA77" s="483"/>
      <c r="CB77" s="547">
        <v>75</v>
      </c>
      <c r="CC77" s="1481" t="b">
        <v>1</v>
      </c>
      <c r="CD77" t="str">
        <f>Table15[[#This Row],[Engineering Number]]&amp;Table15[[#This Row],[WO Number]]&amp;Table15[[#This Row],[Date Assigned to Designer]]&amp;Table15[[#This Row],[Date Completed]]</f>
        <v>COR4311203734370343811</v>
      </c>
    </row>
    <row r="78" spans="1:82" customFormat="1" ht="15" customHeight="1" x14ac:dyDescent="0.25">
      <c r="A78">
        <v>2020</v>
      </c>
      <c r="B78" s="8" t="s">
        <v>4</v>
      </c>
      <c r="C78" s="8" t="s">
        <v>2272</v>
      </c>
      <c r="D78" s="8" t="s">
        <v>2273</v>
      </c>
      <c r="E78" s="8" t="s">
        <v>2274</v>
      </c>
      <c r="F78" s="8" t="s">
        <v>919</v>
      </c>
      <c r="G78" s="8" t="s">
        <v>36</v>
      </c>
      <c r="H78" s="8" t="s">
        <v>59</v>
      </c>
      <c r="I78" s="642">
        <v>43700</v>
      </c>
      <c r="J78" s="18">
        <v>43817</v>
      </c>
      <c r="K78" s="642">
        <v>43816</v>
      </c>
      <c r="L78" s="16">
        <f>IF(ISTEXT(Table15[[#This Row],[Engineering Approved Design Date]]),Table15[[#This Row],[Date Completed]]-Table15[[#This Row],[Date Assigned to Designer]],Table15[[#This Row],[Engineering Approved Design Date]]-Table15[[#This Row],[Date Completed]])</f>
        <v>1</v>
      </c>
      <c r="M78" s="642"/>
      <c r="N78" s="642" t="s">
        <v>120</v>
      </c>
      <c r="O78" s="1025">
        <v>43816</v>
      </c>
      <c r="P78" s="21" t="s">
        <v>739</v>
      </c>
      <c r="Q78" s="340">
        <f>AA78*R78</f>
        <v>12401.613000000001</v>
      </c>
      <c r="R78" s="1026">
        <v>7.0000000000000007E-2</v>
      </c>
      <c r="S78" s="538"/>
      <c r="T78" s="538"/>
      <c r="U78" s="28"/>
      <c r="V78" s="858">
        <f>836+1247</f>
        <v>2083</v>
      </c>
      <c r="W78" s="437"/>
      <c r="X78" s="538">
        <v>187204.62</v>
      </c>
      <c r="Y78" s="551">
        <v>32369.82</v>
      </c>
      <c r="Z78" s="538">
        <v>22331.1</v>
      </c>
      <c r="AA78" s="538">
        <f>X78-Y78+Z78</f>
        <v>177165.9</v>
      </c>
      <c r="AB78" s="21"/>
      <c r="AC78" s="569"/>
      <c r="AD78" s="1149"/>
      <c r="AE78" s="580"/>
      <c r="AF78" s="580"/>
      <c r="AG78" s="580"/>
      <c r="AH78" s="542"/>
      <c r="AI78" s="1028"/>
      <c r="AJ78" s="1029"/>
      <c r="AK78" s="1029"/>
      <c r="AL78" s="1030"/>
      <c r="AM78" s="1522" t="s">
        <v>116</v>
      </c>
      <c r="AN78" s="1523">
        <v>43906</v>
      </c>
      <c r="AO78" s="1524">
        <v>182207</v>
      </c>
      <c r="AP78" s="1525">
        <v>187192.16</v>
      </c>
      <c r="AQ78" s="1525">
        <v>32369.82</v>
      </c>
      <c r="AR78" s="1525">
        <v>22331.1</v>
      </c>
      <c r="AS78" s="1525">
        <f>IF(Table15[[#This Row],[PCTS Approved]]="N",0,Table15[[#This Row],[Investment Amount (1'#'#'#'#'#)]]+Table15[[#This Row],[Retirement Amount (3'#'#'#'#'#)]])</f>
        <v>209523.26</v>
      </c>
      <c r="AT78" s="1525">
        <f>IF(Table15[[#This Row],[Approved Construction Cost]]=0,0,Table15[[#This Row],[Approved Construction Cost]]-Table15[[#This Row],[Construction Cost to Bill From]])</f>
        <v>32357.360000000015</v>
      </c>
      <c r="AU78" s="1525">
        <f>Table15[[#This Row],[Difference in Construction Cost]]*Table15[[#This Row],[Rate]]</f>
        <v>2265.0152000000012</v>
      </c>
      <c r="AV78" s="1525">
        <v>0</v>
      </c>
      <c r="AW78" s="1526" t="s">
        <v>2275</v>
      </c>
      <c r="AX78" s="1525"/>
      <c r="AY78" s="1518">
        <v>43983</v>
      </c>
      <c r="AZ78" s="333"/>
      <c r="BA78" s="1031" t="s">
        <v>2276</v>
      </c>
      <c r="BB78" s="644" t="s">
        <v>2270</v>
      </c>
      <c r="BC78" s="544"/>
      <c r="BD78" s="544"/>
      <c r="BE78" s="544"/>
      <c r="BF78" s="544"/>
      <c r="BG78" s="544"/>
      <c r="BH78" s="741"/>
      <c r="BI78" s="547" t="s">
        <v>709</v>
      </c>
      <c r="BJ78" s="547" t="s">
        <v>709</v>
      </c>
      <c r="BK78" s="547" t="s">
        <v>709</v>
      </c>
      <c r="BL78" s="547" t="s">
        <v>116</v>
      </c>
      <c r="BM78" s="547" t="s">
        <v>709</v>
      </c>
      <c r="BN78" s="547" t="s">
        <v>709</v>
      </c>
      <c r="BO78" s="547" t="s">
        <v>709</v>
      </c>
      <c r="BP78" s="547" t="s">
        <v>709</v>
      </c>
      <c r="BQ78" s="547" t="s">
        <v>709</v>
      </c>
      <c r="BR78" s="547">
        <v>1247</v>
      </c>
      <c r="BS78" s="547">
        <v>836</v>
      </c>
      <c r="BT78" s="547" t="s">
        <v>709</v>
      </c>
      <c r="BU78" s="547" t="s">
        <v>709</v>
      </c>
      <c r="BV78" s="547" t="s">
        <v>709</v>
      </c>
      <c r="BW78" s="547" t="s">
        <v>709</v>
      </c>
      <c r="BX78" s="547" t="s">
        <v>709</v>
      </c>
      <c r="BY78" s="547" t="s">
        <v>709</v>
      </c>
      <c r="BZ78" s="547" t="s">
        <v>709</v>
      </c>
      <c r="CA78" s="483"/>
      <c r="CB78" s="547">
        <v>76</v>
      </c>
      <c r="CC78" s="1481" t="b">
        <v>1</v>
      </c>
      <c r="CD78" t="str">
        <f>Table15[[#This Row],[Engineering Number]]&amp;Table15[[#This Row],[WO Number]]&amp;Table15[[#This Row],[Date Assigned to Designer]]&amp;Table15[[#This Row],[Date Completed]]</f>
        <v>SC160241407564370043816</v>
      </c>
    </row>
    <row r="79" spans="1:82" customFormat="1" ht="15" customHeight="1" x14ac:dyDescent="0.25">
      <c r="A79">
        <v>2020</v>
      </c>
      <c r="B79" s="8" t="s">
        <v>771</v>
      </c>
      <c r="C79" s="8" t="s">
        <v>2278</v>
      </c>
      <c r="D79" s="8" t="s">
        <v>2279</v>
      </c>
      <c r="E79" s="8" t="s">
        <v>2280</v>
      </c>
      <c r="F79" s="8" t="s">
        <v>919</v>
      </c>
      <c r="G79" s="8" t="s">
        <v>1882</v>
      </c>
      <c r="H79" s="8" t="s">
        <v>59</v>
      </c>
      <c r="I79" s="642">
        <v>43699</v>
      </c>
      <c r="J79" s="18">
        <v>43822</v>
      </c>
      <c r="K79" s="642">
        <v>43819</v>
      </c>
      <c r="L79" s="16">
        <f>IF(ISTEXT(Table15[[#This Row],[Engineering Approved Design Date]]),Table15[[#This Row],[Date Completed]]-Table15[[#This Row],[Date Assigned to Designer]],Table15[[#This Row],[Engineering Approved Design Date]]-Table15[[#This Row],[Date Completed]])</f>
        <v>3</v>
      </c>
      <c r="M79" s="642"/>
      <c r="N79" s="642" t="s">
        <v>120</v>
      </c>
      <c r="O79" s="1025">
        <v>43831</v>
      </c>
      <c r="P79" s="21" t="s">
        <v>120</v>
      </c>
      <c r="Q79" s="1151">
        <f>(4433+1234)*1.55</f>
        <v>8783.85</v>
      </c>
      <c r="R79" s="1026" t="s">
        <v>2087</v>
      </c>
      <c r="S79" s="538"/>
      <c r="T79" s="538"/>
      <c r="U79" s="28"/>
      <c r="V79" s="858">
        <f>5617 + 721</f>
        <v>6338</v>
      </c>
      <c r="W79" s="437"/>
      <c r="X79" s="538">
        <v>642772.78</v>
      </c>
      <c r="Y79" s="551">
        <v>87288.18</v>
      </c>
      <c r="Z79" s="538">
        <v>57346.879999999997</v>
      </c>
      <c r="AA79" s="538">
        <f>X79-Y79+Z79</f>
        <v>612831.4800000001</v>
      </c>
      <c r="AB79" s="21"/>
      <c r="AC79" s="569"/>
      <c r="AD79" s="1149"/>
      <c r="AE79" s="569"/>
      <c r="AF79" s="569"/>
      <c r="AG79" s="569"/>
      <c r="AH79" s="536"/>
      <c r="AI79" s="1028"/>
      <c r="AJ79" s="1029"/>
      <c r="AK79" s="1029"/>
      <c r="AL79" s="1030"/>
      <c r="AM79" s="542" t="s">
        <v>709</v>
      </c>
      <c r="AN79" s="924"/>
      <c r="AO79" s="925"/>
      <c r="AP79" s="926"/>
      <c r="AQ79" s="926"/>
      <c r="AR79" s="926"/>
      <c r="AS79" s="926"/>
      <c r="AT79" s="926"/>
      <c r="AU79" s="926"/>
      <c r="AV79" s="926"/>
      <c r="AW79" s="927"/>
      <c r="AX79" s="926"/>
      <c r="AY79" s="1538" t="s">
        <v>29</v>
      </c>
      <c r="AZ79" s="1530"/>
      <c r="BA79" s="1031" t="s">
        <v>2281</v>
      </c>
      <c r="BB79" s="644" t="s">
        <v>2282</v>
      </c>
      <c r="BC79" s="544"/>
      <c r="BD79" s="544"/>
      <c r="BE79" s="544"/>
      <c r="BF79" s="544"/>
      <c r="BG79" s="544"/>
      <c r="BH79" s="741"/>
      <c r="BI79" s="547" t="s">
        <v>709</v>
      </c>
      <c r="BJ79" s="547" t="s">
        <v>709</v>
      </c>
      <c r="BK79" s="547" t="s">
        <v>709</v>
      </c>
      <c r="BL79" s="547" t="s">
        <v>116</v>
      </c>
      <c r="BM79" s="547" t="s">
        <v>709</v>
      </c>
      <c r="BN79" s="547" t="s">
        <v>709</v>
      </c>
      <c r="BO79" s="547" t="s">
        <v>709</v>
      </c>
      <c r="BP79" s="547">
        <v>1234</v>
      </c>
      <c r="BQ79" s="547" t="s">
        <v>709</v>
      </c>
      <c r="BR79" s="547" t="s">
        <v>709</v>
      </c>
      <c r="BS79" s="547">
        <v>4433</v>
      </c>
      <c r="BT79" s="547" t="s">
        <v>709</v>
      </c>
      <c r="BU79" s="547" t="s">
        <v>709</v>
      </c>
      <c r="BV79" s="547" t="s">
        <v>709</v>
      </c>
      <c r="BW79" s="547" t="s">
        <v>709</v>
      </c>
      <c r="BX79" s="547" t="s">
        <v>709</v>
      </c>
      <c r="BY79" s="547" t="s">
        <v>709</v>
      </c>
      <c r="BZ79" s="547" t="s">
        <v>709</v>
      </c>
      <c r="CA79" s="483"/>
      <c r="CB79" s="547">
        <v>77</v>
      </c>
      <c r="CC79" s="1481" t="b">
        <v>1</v>
      </c>
      <c r="CD79" t="str">
        <f>Table15[[#This Row],[Engineering Number]]&amp;Table15[[#This Row],[WO Number]]&amp;Table15[[#This Row],[Date Assigned to Designer]]&amp;Table15[[#This Row],[Date Completed]]</f>
        <v>BS5841407484369943819</v>
      </c>
    </row>
    <row r="80" spans="1:82" customFormat="1" ht="15" customHeight="1" x14ac:dyDescent="0.25">
      <c r="A80">
        <v>2020</v>
      </c>
      <c r="B80" s="8" t="s">
        <v>4</v>
      </c>
      <c r="C80" s="8" t="s">
        <v>2290</v>
      </c>
      <c r="D80" s="8" t="s">
        <v>2291</v>
      </c>
      <c r="E80" s="8" t="s">
        <v>1492</v>
      </c>
      <c r="F80" s="8" t="s">
        <v>325</v>
      </c>
      <c r="G80" s="8" t="s">
        <v>1896</v>
      </c>
      <c r="H80" s="8" t="s">
        <v>2127</v>
      </c>
      <c r="I80" s="642">
        <v>43783</v>
      </c>
      <c r="J80" s="18">
        <v>43839</v>
      </c>
      <c r="K80" s="642">
        <v>43819</v>
      </c>
      <c r="L80" s="16">
        <f>IF(ISTEXT(Table15[[#This Row],[Engineering Approved Design Date]]),Table15[[#This Row],[Date Completed]]-Table15[[#This Row],[Date Assigned to Designer]],Table15[[#This Row],[Engineering Approved Design Date]]-Table15[[#This Row],[Date Completed]])</f>
        <v>20</v>
      </c>
      <c r="M80" s="642" t="s">
        <v>2292</v>
      </c>
      <c r="N80" s="642" t="s">
        <v>120</v>
      </c>
      <c r="O80" s="1025">
        <v>43831</v>
      </c>
      <c r="P80" s="21" t="s">
        <v>739</v>
      </c>
      <c r="Q80" s="340" t="s">
        <v>115</v>
      </c>
      <c r="R80" s="1026" t="s">
        <v>115</v>
      </c>
      <c r="S80" s="538"/>
      <c r="T80" s="538"/>
      <c r="U80" s="28"/>
      <c r="V80" s="858"/>
      <c r="W80" s="437"/>
      <c r="X80" s="538"/>
      <c r="Y80" s="551"/>
      <c r="Z80" s="538"/>
      <c r="AA80" s="538"/>
      <c r="AB80" s="21"/>
      <c r="AC80" s="569"/>
      <c r="AD80" s="1149"/>
      <c r="AE80" s="580"/>
      <c r="AF80" s="580"/>
      <c r="AG80" s="580"/>
      <c r="AH80" s="542"/>
      <c r="AI80" s="1028"/>
      <c r="AJ80" s="1029"/>
      <c r="AK80" s="1029"/>
      <c r="AL80" s="1030"/>
      <c r="AM80" s="542" t="s">
        <v>709</v>
      </c>
      <c r="AN80" s="924"/>
      <c r="AO80" s="925"/>
      <c r="AP80" s="926"/>
      <c r="AQ80" s="926"/>
      <c r="AR80" s="926"/>
      <c r="AS80" s="926"/>
      <c r="AT80" s="926"/>
      <c r="AU80" s="926"/>
      <c r="AV80" s="926"/>
      <c r="AW80" s="927"/>
      <c r="AX80" s="926"/>
      <c r="AY80" s="1538" t="s">
        <v>29</v>
      </c>
      <c r="AZ80" s="1530"/>
      <c r="BA80" s="1031" t="s">
        <v>2293</v>
      </c>
      <c r="BB80" s="644" t="s">
        <v>2294</v>
      </c>
      <c r="BC80" s="544"/>
      <c r="BD80" s="544"/>
      <c r="BE80" s="544"/>
      <c r="BF80" s="544"/>
      <c r="BG80" s="544"/>
      <c r="BH80" s="741"/>
      <c r="BI80" s="547"/>
      <c r="BJ80" s="547"/>
      <c r="BK80" s="547"/>
      <c r="BL80" s="547"/>
      <c r="BM80" s="547"/>
      <c r="BN80" s="547"/>
      <c r="BO80" s="547"/>
      <c r="BP80" s="547"/>
      <c r="BQ80" s="547"/>
      <c r="BR80" s="547"/>
      <c r="BS80" s="547"/>
      <c r="BT80" s="547"/>
      <c r="BU80" s="547"/>
      <c r="BV80" s="547"/>
      <c r="BW80" s="547"/>
      <c r="BX80" s="547"/>
      <c r="BY80" s="547"/>
      <c r="BZ80" s="547" t="s">
        <v>709</v>
      </c>
      <c r="CA80" s="483" t="s">
        <v>915</v>
      </c>
      <c r="CB80" s="547">
        <v>78</v>
      </c>
      <c r="CC80" s="1481" t="b">
        <v>1</v>
      </c>
      <c r="CD80" t="str">
        <f>Table15[[#This Row],[Engineering Number]]&amp;Table15[[#This Row],[WO Number]]&amp;Table15[[#This Row],[Date Assigned to Designer]]&amp;Table15[[#This Row],[Date Completed]]</f>
        <v>N129521291604378343819</v>
      </c>
    </row>
    <row r="81" spans="1:82" customFormat="1" ht="15" customHeight="1" x14ac:dyDescent="0.25">
      <c r="A81">
        <v>2020</v>
      </c>
      <c r="B81" s="8" t="s">
        <v>4</v>
      </c>
      <c r="C81" s="8" t="s">
        <v>2284</v>
      </c>
      <c r="D81" s="8" t="s">
        <v>2285</v>
      </c>
      <c r="E81" s="8" t="s">
        <v>1016</v>
      </c>
      <c r="F81" s="8" t="s">
        <v>919</v>
      </c>
      <c r="G81" s="8" t="s">
        <v>2232</v>
      </c>
      <c r="H81" s="8" t="s">
        <v>59</v>
      </c>
      <c r="I81" s="642">
        <v>43679</v>
      </c>
      <c r="J81" s="18">
        <v>43819</v>
      </c>
      <c r="K81" s="642">
        <v>43819</v>
      </c>
      <c r="L81" s="16">
        <f>IF(ISTEXT(Table15[[#This Row],[Engineering Approved Design Date]]),Table15[[#This Row],[Date Completed]]-Table15[[#This Row],[Date Assigned to Designer]],Table15[[#This Row],[Engineering Approved Design Date]]-Table15[[#This Row],[Date Completed]])</f>
        <v>0</v>
      </c>
      <c r="M81" s="642"/>
      <c r="N81" s="642" t="s">
        <v>120</v>
      </c>
      <c r="O81" s="1025">
        <v>43831</v>
      </c>
      <c r="P81" s="21" t="s">
        <v>739</v>
      </c>
      <c r="Q81" s="1151">
        <f>AA81*R81</f>
        <v>8222.25</v>
      </c>
      <c r="R81" s="1034">
        <v>0.1</v>
      </c>
      <c r="S81" s="538"/>
      <c r="T81" s="538"/>
      <c r="U81" s="28"/>
      <c r="V81" s="858" t="s">
        <v>115</v>
      </c>
      <c r="W81" s="437"/>
      <c r="X81" s="538">
        <v>0</v>
      </c>
      <c r="Y81" s="551">
        <v>0</v>
      </c>
      <c r="Z81" s="538">
        <v>82222.5</v>
      </c>
      <c r="AA81" s="538">
        <f>X81-Y81+Z81</f>
        <v>82222.5</v>
      </c>
      <c r="AB81" s="21"/>
      <c r="AC81" s="569"/>
      <c r="AD81" s="1149"/>
      <c r="AE81" s="580"/>
      <c r="AF81" s="580"/>
      <c r="AG81" s="569"/>
      <c r="AH81" s="542"/>
      <c r="AI81" s="1028"/>
      <c r="AJ81" s="1029"/>
      <c r="AK81" s="1029"/>
      <c r="AL81" s="1030"/>
      <c r="AM81" s="1522" t="s">
        <v>116</v>
      </c>
      <c r="AN81" s="1523">
        <v>43969</v>
      </c>
      <c r="AO81" s="1524">
        <v>183338</v>
      </c>
      <c r="AP81" s="1525">
        <v>0</v>
      </c>
      <c r="AQ81" s="1525">
        <v>0</v>
      </c>
      <c r="AR81" s="1525">
        <v>108633.15</v>
      </c>
      <c r="AS81" s="1525">
        <f>IF(Table15[[#This Row],[PCTS Approved]]="N",0,Table15[[#This Row],[Investment Amount (1'#'#'#'#'#)]]+Table15[[#This Row],[Retirement Amount (3'#'#'#'#'#)]])</f>
        <v>108633.15</v>
      </c>
      <c r="AT81" s="1525">
        <f>IF(Table15[[#This Row],[Approved Construction Cost]]=0,0,Table15[[#This Row],[Approved Construction Cost]]-Table15[[#This Row],[Construction Cost to Bill From]])</f>
        <v>26410.649999999994</v>
      </c>
      <c r="AU81" s="1525">
        <f>Table15[[#This Row],[Difference in Construction Cost]]*Table15[[#This Row],[Rate]]</f>
        <v>2641.0649999999996</v>
      </c>
      <c r="AV81" s="1525" t="s">
        <v>709</v>
      </c>
      <c r="AW81" s="1526" t="s">
        <v>2286</v>
      </c>
      <c r="AX81" s="1525">
        <v>2641.0649999999996</v>
      </c>
      <c r="AY81" s="1518">
        <v>44501</v>
      </c>
      <c r="AZ81" s="333"/>
      <c r="BA81" s="1031" t="s">
        <v>2287</v>
      </c>
      <c r="BB81" s="644" t="s">
        <v>2288</v>
      </c>
      <c r="BC81" s="544"/>
      <c r="BD81" s="544"/>
      <c r="BE81" s="544"/>
      <c r="BF81" s="544"/>
      <c r="BG81" s="544"/>
      <c r="BH81" s="741"/>
      <c r="BI81" s="547" t="s">
        <v>709</v>
      </c>
      <c r="BJ81" s="547" t="s">
        <v>709</v>
      </c>
      <c r="BK81" s="547" t="s">
        <v>709</v>
      </c>
      <c r="BL81" s="547" t="s">
        <v>709</v>
      </c>
      <c r="BM81" s="547" t="s">
        <v>709</v>
      </c>
      <c r="BN81" s="547" t="s">
        <v>709</v>
      </c>
      <c r="BO81" s="547" t="s">
        <v>709</v>
      </c>
      <c r="BP81" s="547" t="s">
        <v>709</v>
      </c>
      <c r="BQ81" s="547" t="s">
        <v>709</v>
      </c>
      <c r="BR81" s="547" t="s">
        <v>709</v>
      </c>
      <c r="BS81" s="547" t="s">
        <v>709</v>
      </c>
      <c r="BT81" s="547" t="s">
        <v>709</v>
      </c>
      <c r="BU81" s="547" t="s">
        <v>709</v>
      </c>
      <c r="BV81" s="547"/>
      <c r="BW81" s="547" t="s">
        <v>709</v>
      </c>
      <c r="BX81" s="547" t="s">
        <v>709</v>
      </c>
      <c r="BY81" s="547" t="s">
        <v>709</v>
      </c>
      <c r="BZ81" s="547" t="s">
        <v>709</v>
      </c>
      <c r="CA81" s="483" t="s">
        <v>1146</v>
      </c>
      <c r="CB81" s="547">
        <v>79</v>
      </c>
      <c r="CC81" s="1481" t="b">
        <v>1</v>
      </c>
      <c r="CD81" t="str">
        <f>Table15[[#This Row],[Engineering Number]]&amp;Table15[[#This Row],[WO Number]]&amp;Table15[[#This Row],[Date Assigned to Designer]]&amp;Table15[[#This Row],[Date Completed]]</f>
        <v>SC166103356524367943819</v>
      </c>
    </row>
    <row r="82" spans="1:82" customFormat="1" ht="15" customHeight="1" x14ac:dyDescent="0.25">
      <c r="A82">
        <v>2020</v>
      </c>
      <c r="B82" s="8" t="s">
        <v>771</v>
      </c>
      <c r="C82" s="8" t="s">
        <v>2296</v>
      </c>
      <c r="D82" s="8" t="s">
        <v>2297</v>
      </c>
      <c r="E82" s="8" t="s">
        <v>2298</v>
      </c>
      <c r="F82" s="8" t="s">
        <v>919</v>
      </c>
      <c r="G82" s="8" t="s">
        <v>1882</v>
      </c>
      <c r="H82" s="8" t="s">
        <v>59</v>
      </c>
      <c r="I82" s="642">
        <v>43700</v>
      </c>
      <c r="J82" s="18">
        <v>43822</v>
      </c>
      <c r="K82" s="642">
        <v>43822</v>
      </c>
      <c r="L82" s="16">
        <f>IF(ISTEXT(Table15[[#This Row],[Engineering Approved Design Date]]),Table15[[#This Row],[Date Completed]]-Table15[[#This Row],[Date Assigned to Designer]],Table15[[#This Row],[Engineering Approved Design Date]]-Table15[[#This Row],[Date Completed]])</f>
        <v>0</v>
      </c>
      <c r="M82" s="642"/>
      <c r="N82" s="642" t="s">
        <v>120</v>
      </c>
      <c r="O82" s="1025">
        <v>43831</v>
      </c>
      <c r="P82" s="21" t="s">
        <v>120</v>
      </c>
      <c r="Q82" s="1151">
        <f>(6544+3286)*1.55</f>
        <v>15236.5</v>
      </c>
      <c r="R82" s="1026" t="s">
        <v>2087</v>
      </c>
      <c r="S82" s="538"/>
      <c r="T82" s="538"/>
      <c r="U82" s="28"/>
      <c r="V82" s="858">
        <f>6544+3286</f>
        <v>9830</v>
      </c>
      <c r="W82" s="437"/>
      <c r="X82" s="538">
        <v>828283.28</v>
      </c>
      <c r="Y82" s="551">
        <v>152758.20000000001</v>
      </c>
      <c r="Z82" s="538">
        <v>136908.51999999999</v>
      </c>
      <c r="AA82" s="538">
        <f>X82-Y82+Z82</f>
        <v>812433.60000000009</v>
      </c>
      <c r="AB82" s="21"/>
      <c r="AC82" s="569"/>
      <c r="AD82" s="1149"/>
      <c r="AE82" s="569"/>
      <c r="AF82" s="569"/>
      <c r="AG82" s="569"/>
      <c r="AH82" s="536"/>
      <c r="AI82" s="1028"/>
      <c r="AJ82" s="1029"/>
      <c r="AK82" s="1029"/>
      <c r="AL82" s="1030"/>
      <c r="AM82" s="542" t="s">
        <v>709</v>
      </c>
      <c r="AN82" s="924"/>
      <c r="AO82" s="925"/>
      <c r="AP82" s="926"/>
      <c r="AQ82" s="926"/>
      <c r="AR82" s="926"/>
      <c r="AS82" s="926"/>
      <c r="AT82" s="926"/>
      <c r="AU82" s="926"/>
      <c r="AV82" s="926"/>
      <c r="AW82" s="927"/>
      <c r="AX82" s="926"/>
      <c r="AY82" s="1538" t="s">
        <v>29</v>
      </c>
      <c r="AZ82" s="1530"/>
      <c r="BA82" s="1031" t="s">
        <v>2299</v>
      </c>
      <c r="BB82" s="644" t="s">
        <v>2300</v>
      </c>
      <c r="BC82" s="544"/>
      <c r="BD82" s="544"/>
      <c r="BE82" s="544"/>
      <c r="BF82" s="544"/>
      <c r="BG82" s="544"/>
      <c r="BH82" s="741"/>
      <c r="BI82" s="547" t="s">
        <v>709</v>
      </c>
      <c r="BJ82" s="547" t="s">
        <v>709</v>
      </c>
      <c r="BK82" s="547" t="s">
        <v>709</v>
      </c>
      <c r="BL82" s="547" t="s">
        <v>116</v>
      </c>
      <c r="BM82" s="547" t="s">
        <v>709</v>
      </c>
      <c r="BN82" s="547" t="s">
        <v>709</v>
      </c>
      <c r="BO82" s="547" t="s">
        <v>709</v>
      </c>
      <c r="BP82" s="547" t="s">
        <v>709</v>
      </c>
      <c r="BQ82" s="547" t="s">
        <v>709</v>
      </c>
      <c r="BR82" s="547">
        <v>3286</v>
      </c>
      <c r="BS82" s="547">
        <v>6544</v>
      </c>
      <c r="BT82" s="547" t="s">
        <v>709</v>
      </c>
      <c r="BU82" s="547" t="s">
        <v>709</v>
      </c>
      <c r="BV82" s="547" t="s">
        <v>709</v>
      </c>
      <c r="BW82" s="547" t="s">
        <v>709</v>
      </c>
      <c r="BX82" s="547" t="s">
        <v>709</v>
      </c>
      <c r="BY82" s="547" t="s">
        <v>709</v>
      </c>
      <c r="BZ82" s="547" t="s">
        <v>709</v>
      </c>
      <c r="CA82" s="483"/>
      <c r="CB82" s="547">
        <v>82</v>
      </c>
      <c r="CC82" s="1481" t="b">
        <v>1</v>
      </c>
      <c r="CD82" t="str">
        <f>Table15[[#This Row],[Engineering Number]]&amp;Table15[[#This Row],[WO Number]]&amp;Table15[[#This Row],[Date Assigned to Designer]]&amp;Table15[[#This Row],[Date Completed]]</f>
        <v>BS2971203724370043822</v>
      </c>
    </row>
    <row r="83" spans="1:82" customFormat="1" ht="15" customHeight="1" x14ac:dyDescent="0.25">
      <c r="A83">
        <v>2020</v>
      </c>
      <c r="B83" s="8" t="s">
        <v>771</v>
      </c>
      <c r="C83" s="8" t="s">
        <v>2302</v>
      </c>
      <c r="D83" s="8" t="s">
        <v>2303</v>
      </c>
      <c r="E83" s="8" t="s">
        <v>2304</v>
      </c>
      <c r="F83" s="8" t="s">
        <v>919</v>
      </c>
      <c r="G83" s="8" t="s">
        <v>1896</v>
      </c>
      <c r="H83" s="8" t="s">
        <v>59</v>
      </c>
      <c r="I83" s="642">
        <v>43613</v>
      </c>
      <c r="J83" s="18">
        <v>43697</v>
      </c>
      <c r="K83" s="642">
        <v>43822</v>
      </c>
      <c r="L83" s="16">
        <f>IF(ISTEXT(Table15[[#This Row],[Engineering Approved Design Date]]),Table15[[#This Row],[Date Completed]]-Table15[[#This Row],[Date Assigned to Designer]],Table15[[#This Row],[Engineering Approved Design Date]]-Table15[[#This Row],[Date Completed]])</f>
        <v>-125</v>
      </c>
      <c r="M83" s="642" t="s">
        <v>2211</v>
      </c>
      <c r="N83" s="642" t="s">
        <v>120</v>
      </c>
      <c r="O83" s="1025">
        <v>43831</v>
      </c>
      <c r="P83" s="21" t="s">
        <v>120</v>
      </c>
      <c r="Q83" s="1151">
        <f>21724*1.55</f>
        <v>33672.200000000004</v>
      </c>
      <c r="R83" s="1026" t="s">
        <v>2087</v>
      </c>
      <c r="S83" s="538"/>
      <c r="T83" s="538"/>
      <c r="U83" s="28"/>
      <c r="V83" s="858">
        <f>15367+1768+22+4592</f>
        <v>21749</v>
      </c>
      <c r="W83" s="437"/>
      <c r="X83" s="538">
        <v>2780932.14</v>
      </c>
      <c r="Y83" s="551">
        <v>337590.96</v>
      </c>
      <c r="Z83" s="538">
        <v>274986.5</v>
      </c>
      <c r="AA83" s="538">
        <f>X83-Y83+Z83</f>
        <v>2718327.68</v>
      </c>
      <c r="AB83" s="21"/>
      <c r="AC83" s="569"/>
      <c r="AD83" s="1149"/>
      <c r="AE83" s="569"/>
      <c r="AF83" s="569"/>
      <c r="AG83" s="569"/>
      <c r="AH83" s="536"/>
      <c r="AI83" s="1028"/>
      <c r="AJ83" s="1029"/>
      <c r="AK83" s="1029"/>
      <c r="AL83" s="1030"/>
      <c r="AM83" s="542" t="s">
        <v>709</v>
      </c>
      <c r="AN83" s="924"/>
      <c r="AO83" s="925"/>
      <c r="AP83" s="926"/>
      <c r="AQ83" s="926"/>
      <c r="AR83" s="926"/>
      <c r="AS83" s="926"/>
      <c r="AT83" s="926"/>
      <c r="AU83" s="926"/>
      <c r="AV83" s="926"/>
      <c r="AW83" s="927"/>
      <c r="AX83" s="926"/>
      <c r="AY83" s="1538" t="s">
        <v>29</v>
      </c>
      <c r="AZ83" s="1530"/>
      <c r="BA83" s="1031" t="s">
        <v>2305</v>
      </c>
      <c r="BB83" s="644" t="s">
        <v>2306</v>
      </c>
      <c r="BC83" s="544"/>
      <c r="BD83" s="544"/>
      <c r="BE83" s="544"/>
      <c r="BF83" s="544"/>
      <c r="BG83" s="544"/>
      <c r="BH83" s="741"/>
      <c r="BI83" s="547" t="s">
        <v>709</v>
      </c>
      <c r="BJ83" s="547" t="s">
        <v>709</v>
      </c>
      <c r="BK83" s="547" t="s">
        <v>709</v>
      </c>
      <c r="BL83" s="547" t="s">
        <v>116</v>
      </c>
      <c r="BM83" s="547" t="s">
        <v>709</v>
      </c>
      <c r="BN83" s="547" t="s">
        <v>709</v>
      </c>
      <c r="BO83" s="547" t="s">
        <v>709</v>
      </c>
      <c r="BP83" s="547">
        <v>4592</v>
      </c>
      <c r="BQ83" s="547">
        <v>1768</v>
      </c>
      <c r="BR83" s="547">
        <v>22</v>
      </c>
      <c r="BS83" s="547">
        <v>15342</v>
      </c>
      <c r="BT83" s="547" t="s">
        <v>709</v>
      </c>
      <c r="BU83" s="547" t="s">
        <v>709</v>
      </c>
      <c r="BV83" s="547" t="s">
        <v>745</v>
      </c>
      <c r="BW83" s="547" t="s">
        <v>709</v>
      </c>
      <c r="BX83" s="547" t="s">
        <v>745</v>
      </c>
      <c r="BY83" s="547" t="s">
        <v>745</v>
      </c>
      <c r="BZ83" s="547" t="s">
        <v>709</v>
      </c>
      <c r="CA83" s="483"/>
      <c r="CB83" s="547">
        <v>80</v>
      </c>
      <c r="CC83" s="1481" t="b">
        <v>1</v>
      </c>
      <c r="CD83" t="str">
        <f>Table15[[#This Row],[Engineering Number]]&amp;Table15[[#This Row],[WO Number]]&amp;Table15[[#This Row],[Date Assigned to Designer]]&amp;Table15[[#This Row],[Date Completed]]</f>
        <v>BS4031203024361343822</v>
      </c>
    </row>
    <row r="84" spans="1:82" customFormat="1" ht="15" customHeight="1" x14ac:dyDescent="0.25">
      <c r="A84">
        <v>2020</v>
      </c>
      <c r="B84" s="8" t="s">
        <v>4</v>
      </c>
      <c r="C84" s="8" t="s">
        <v>995</v>
      </c>
      <c r="D84" s="656" t="s">
        <v>996</v>
      </c>
      <c r="E84" s="8" t="s">
        <v>997</v>
      </c>
      <c r="F84" s="8" t="s">
        <v>325</v>
      </c>
      <c r="G84" s="8" t="s">
        <v>2232</v>
      </c>
      <c r="H84" s="8" t="s">
        <v>59</v>
      </c>
      <c r="I84" s="642">
        <v>43700</v>
      </c>
      <c r="J84" s="18">
        <v>43819</v>
      </c>
      <c r="K84" s="642">
        <v>43822</v>
      </c>
      <c r="L84" s="16">
        <f>IF(ISTEXT(Table15[[#This Row],[Engineering Approved Design Date]]),Table15[[#This Row],[Date Completed]]-Table15[[#This Row],[Date Assigned to Designer]],Table15[[#This Row],[Engineering Approved Design Date]]-Table15[[#This Row],[Date Completed]])</f>
        <v>-3</v>
      </c>
      <c r="M84" s="642" t="s">
        <v>998</v>
      </c>
      <c r="N84" s="642" t="s">
        <v>120</v>
      </c>
      <c r="O84" s="1025">
        <v>43831</v>
      </c>
      <c r="P84" s="21" t="s">
        <v>739</v>
      </c>
      <c r="Q84" s="1151">
        <f>AA84*R84</f>
        <v>16393.544000000002</v>
      </c>
      <c r="R84" s="1034">
        <v>0.1</v>
      </c>
      <c r="S84" s="538"/>
      <c r="T84" s="538"/>
      <c r="U84" s="28"/>
      <c r="V84" s="858">
        <v>252</v>
      </c>
      <c r="W84" s="437"/>
      <c r="X84" s="538">
        <v>118214.29</v>
      </c>
      <c r="Y84" s="551">
        <v>0</v>
      </c>
      <c r="Z84" s="538">
        <v>45721.15</v>
      </c>
      <c r="AA84" s="538">
        <f>X84-Y84+Z84</f>
        <v>163935.44</v>
      </c>
      <c r="AB84" s="21"/>
      <c r="AC84" s="569"/>
      <c r="AD84" s="1149"/>
      <c r="AE84" s="580"/>
      <c r="AF84" s="580"/>
      <c r="AG84" s="580"/>
      <c r="AH84" s="542"/>
      <c r="AI84" s="1028"/>
      <c r="AJ84" s="1029"/>
      <c r="AK84" s="1029"/>
      <c r="AL84" s="1030"/>
      <c r="AM84" s="1522" t="s">
        <v>116</v>
      </c>
      <c r="AN84" s="1523">
        <v>45428</v>
      </c>
      <c r="AO84" s="1524">
        <v>11082704</v>
      </c>
      <c r="AP84" s="1525">
        <v>128004.43</v>
      </c>
      <c r="AQ84" s="1525"/>
      <c r="AR84" s="1525">
        <v>59714.71</v>
      </c>
      <c r="AS84" s="1525">
        <v>187719.13999999998</v>
      </c>
      <c r="AT84" s="1525">
        <v>23783.699999999983</v>
      </c>
      <c r="AU84" s="1525">
        <v>1664.858999999999</v>
      </c>
      <c r="AV84" s="1525">
        <v>0</v>
      </c>
      <c r="AW84" s="1526" t="s">
        <v>999</v>
      </c>
      <c r="AX84" s="1525">
        <v>1664.86</v>
      </c>
      <c r="AY84" s="1518">
        <v>45566</v>
      </c>
      <c r="AZ84" s="333">
        <v>53</v>
      </c>
      <c r="BA84" s="859" t="s">
        <v>1000</v>
      </c>
      <c r="BB84" s="644" t="s">
        <v>1001</v>
      </c>
      <c r="BC84" s="544"/>
      <c r="BD84" s="544"/>
      <c r="BE84" s="544"/>
      <c r="BF84" s="544"/>
      <c r="BG84" s="544"/>
      <c r="BH84" s="741"/>
      <c r="BI84" s="547" t="s">
        <v>709</v>
      </c>
      <c r="BJ84" s="547" t="s">
        <v>709</v>
      </c>
      <c r="BK84" s="547" t="s">
        <v>709</v>
      </c>
      <c r="BL84" s="547" t="s">
        <v>116</v>
      </c>
      <c r="BM84" s="547" t="s">
        <v>709</v>
      </c>
      <c r="BN84" s="547" t="s">
        <v>709</v>
      </c>
      <c r="BO84" s="547" t="s">
        <v>709</v>
      </c>
      <c r="BP84" s="547" t="s">
        <v>709</v>
      </c>
      <c r="BQ84" s="547" t="s">
        <v>709</v>
      </c>
      <c r="BR84" s="547">
        <v>252</v>
      </c>
      <c r="BS84" s="547" t="s">
        <v>709</v>
      </c>
      <c r="BT84" s="547" t="s">
        <v>709</v>
      </c>
      <c r="BU84" s="547" t="s">
        <v>709</v>
      </c>
      <c r="BV84" s="547" t="s">
        <v>709</v>
      </c>
      <c r="BW84" s="547" t="s">
        <v>709</v>
      </c>
      <c r="BX84" s="547" t="s">
        <v>709</v>
      </c>
      <c r="BY84" s="547" t="s">
        <v>709</v>
      </c>
      <c r="BZ84" s="547" t="s">
        <v>709</v>
      </c>
      <c r="CA84" s="483"/>
      <c r="CB84" s="547">
        <v>81</v>
      </c>
      <c r="CC84" s="1481" t="b">
        <v>1</v>
      </c>
      <c r="CD84" t="str">
        <f>Table15[[#This Row],[Engineering Number]]&amp;Table15[[#This Row],[WO Number]]&amp;Table15[[#This Row],[Date Assigned to Designer]]&amp;Table15[[#This Row],[Date Completed]]</f>
        <v>N126771291484370043822</v>
      </c>
    </row>
    <row r="85" spans="1:82" customFormat="1" ht="15" customHeight="1" x14ac:dyDescent="0.25">
      <c r="A85">
        <v>2020</v>
      </c>
      <c r="B85" s="8" t="s">
        <v>4</v>
      </c>
      <c r="C85" s="8" t="s">
        <v>2309</v>
      </c>
      <c r="D85" s="8" t="s">
        <v>2310</v>
      </c>
      <c r="E85" s="8" t="s">
        <v>2311</v>
      </c>
      <c r="F85" s="8" t="s">
        <v>919</v>
      </c>
      <c r="G85" s="8" t="s">
        <v>1896</v>
      </c>
      <c r="H85" s="8" t="s">
        <v>59</v>
      </c>
      <c r="I85" s="642">
        <v>43700</v>
      </c>
      <c r="J85" s="18">
        <v>43840</v>
      </c>
      <c r="K85" s="642">
        <v>43836</v>
      </c>
      <c r="L85" s="16">
        <f>IF(ISTEXT(Table15[[#This Row],[Engineering Approved Design Date]]),Table15[[#This Row],[Date Completed]]-Table15[[#This Row],[Date Assigned to Designer]],Table15[[#This Row],[Engineering Approved Design Date]]-Table15[[#This Row],[Date Completed]])</f>
        <v>4</v>
      </c>
      <c r="M85" s="642"/>
      <c r="N85" s="642" t="s">
        <v>120</v>
      </c>
      <c r="O85" s="1025">
        <v>43836</v>
      </c>
      <c r="P85" s="21" t="s">
        <v>739</v>
      </c>
      <c r="Q85" s="1061">
        <f>AA85*R85</f>
        <v>17624.138000000003</v>
      </c>
      <c r="R85" s="1034">
        <v>0.1</v>
      </c>
      <c r="S85" s="538"/>
      <c r="T85" s="538"/>
      <c r="U85" s="28"/>
      <c r="V85" s="858">
        <v>3246</v>
      </c>
      <c r="W85" s="437"/>
      <c r="X85" s="538">
        <v>157819.72</v>
      </c>
      <c r="Y85" s="551">
        <v>30862.44</v>
      </c>
      <c r="Z85" s="538">
        <v>18421.66</v>
      </c>
      <c r="AA85" s="538">
        <f>X85+Z85</f>
        <v>176241.38</v>
      </c>
      <c r="AB85" s="21"/>
      <c r="AC85" s="569"/>
      <c r="AD85" s="1149"/>
      <c r="AE85" s="580"/>
      <c r="AF85" s="580"/>
      <c r="AG85" s="580"/>
      <c r="AH85" s="542"/>
      <c r="AI85" s="1028"/>
      <c r="AJ85" s="1029"/>
      <c r="AK85" s="1029"/>
      <c r="AL85" s="1030"/>
      <c r="AM85" s="1522" t="s">
        <v>116</v>
      </c>
      <c r="AN85" s="1523">
        <v>43949</v>
      </c>
      <c r="AO85" s="1524">
        <v>182948</v>
      </c>
      <c r="AP85" s="1525">
        <v>264237.67</v>
      </c>
      <c r="AQ85" s="1525">
        <v>50442.84</v>
      </c>
      <c r="AR85" s="1525">
        <v>29534.76</v>
      </c>
      <c r="AS85" s="1525">
        <f>IF(Table15[[#This Row],[PCTS Approved]]="N",0,Table15[[#This Row],[Investment Amount (1'#'#'#'#'#)]]+Table15[[#This Row],[Retirement Amount (3'#'#'#'#'#)]])</f>
        <v>293772.43</v>
      </c>
      <c r="AT85" s="1525" t="s">
        <v>2312</v>
      </c>
      <c r="AU85" s="1525">
        <f>(Table15[[#This Row],[Approved Construction Cost]]*0.1)-Table15[[#This Row],[Amount Invoiced]]</f>
        <v>11753.105</v>
      </c>
      <c r="AV85" s="1525">
        <v>5070</v>
      </c>
      <c r="AW85" s="1526" t="s">
        <v>2313</v>
      </c>
      <c r="AX85" s="1525"/>
      <c r="AY85" s="1518">
        <v>43983</v>
      </c>
      <c r="AZ85" s="333"/>
      <c r="BA85" s="1031" t="s">
        <v>2314</v>
      </c>
      <c r="BB85" s="644" t="s">
        <v>2315</v>
      </c>
      <c r="BC85" s="544"/>
      <c r="BD85" s="544"/>
      <c r="BE85" s="544"/>
      <c r="BF85" s="544"/>
      <c r="BG85" s="544"/>
      <c r="BH85" s="741"/>
      <c r="BI85" s="547" t="s">
        <v>709</v>
      </c>
      <c r="BJ85" s="547" t="s">
        <v>709</v>
      </c>
      <c r="BK85" s="547" t="s">
        <v>709</v>
      </c>
      <c r="BL85" s="547" t="s">
        <v>116</v>
      </c>
      <c r="BM85" s="547" t="s">
        <v>709</v>
      </c>
      <c r="BN85" s="547" t="s">
        <v>709</v>
      </c>
      <c r="BO85" s="547" t="s">
        <v>709</v>
      </c>
      <c r="BP85" s="547" t="s">
        <v>709</v>
      </c>
      <c r="BQ85" s="547" t="s">
        <v>709</v>
      </c>
      <c r="BR85" s="547" t="s">
        <v>709</v>
      </c>
      <c r="BS85" s="547">
        <v>1986</v>
      </c>
      <c r="BT85" s="547" t="s">
        <v>709</v>
      </c>
      <c r="BU85" s="547" t="s">
        <v>709</v>
      </c>
      <c r="BV85" s="547" t="s">
        <v>709</v>
      </c>
      <c r="BW85" s="547" t="s">
        <v>709</v>
      </c>
      <c r="BX85" s="547" t="s">
        <v>709</v>
      </c>
      <c r="BY85" s="547" t="s">
        <v>709</v>
      </c>
      <c r="BZ85" s="547" t="s">
        <v>709</v>
      </c>
      <c r="CA85" s="483"/>
      <c r="CB85" s="547">
        <v>83</v>
      </c>
      <c r="CC85" s="1481" t="b">
        <v>1</v>
      </c>
      <c r="CD85" t="str">
        <f>Table15[[#This Row],[Engineering Number]]&amp;Table15[[#This Row],[WO Number]]&amp;Table15[[#This Row],[Date Assigned to Designer]]&amp;Table15[[#This Row],[Date Completed]]</f>
        <v>SC162071407604370043836</v>
      </c>
    </row>
    <row r="86" spans="1:82" customFormat="1" ht="15" customHeight="1" x14ac:dyDescent="0.25">
      <c r="A86">
        <v>2020</v>
      </c>
      <c r="B86" s="8" t="s">
        <v>769</v>
      </c>
      <c r="C86" s="8" t="s">
        <v>128</v>
      </c>
      <c r="D86" s="656" t="s">
        <v>2317</v>
      </c>
      <c r="E86" s="8" t="s">
        <v>129</v>
      </c>
      <c r="F86" s="8" t="s">
        <v>325</v>
      </c>
      <c r="G86" s="8" t="s">
        <v>1882</v>
      </c>
      <c r="H86" s="8" t="s">
        <v>59</v>
      </c>
      <c r="I86" s="642">
        <v>43697</v>
      </c>
      <c r="J86" s="18">
        <v>43787</v>
      </c>
      <c r="K86" s="642">
        <v>43845</v>
      </c>
      <c r="L86" s="16">
        <f>IF(ISTEXT(Table15[[#This Row],[Engineering Approved Design Date]]),Table15[[#This Row],[Date Completed]]-Table15[[#This Row],[Date Assigned to Designer]],Table15[[#This Row],[Engineering Approved Design Date]]-Table15[[#This Row],[Date Completed]])</f>
        <v>-58</v>
      </c>
      <c r="M86" s="642" t="s">
        <v>2318</v>
      </c>
      <c r="N86" s="642" t="s">
        <v>120</v>
      </c>
      <c r="O86" s="1025">
        <v>43845</v>
      </c>
      <c r="P86" s="21" t="s">
        <v>120</v>
      </c>
      <c r="Q86" s="1151">
        <f>(AA86*0.085)+7750</f>
        <v>38588.527849999999</v>
      </c>
      <c r="R86" s="1034" t="s">
        <v>1055</v>
      </c>
      <c r="S86" s="538"/>
      <c r="T86" s="538">
        <v>24150</v>
      </c>
      <c r="U86" s="28"/>
      <c r="V86" s="858">
        <f>90+66+40+285+378</f>
        <v>859</v>
      </c>
      <c r="W86" s="437"/>
      <c r="X86" s="551">
        <v>314457.46999999997</v>
      </c>
      <c r="Y86" s="551">
        <v>13348.86</v>
      </c>
      <c r="Z86" s="538">
        <v>61697.599999999999</v>
      </c>
      <c r="AA86" s="538">
        <f>X86-Y86+Z86</f>
        <v>362806.20999999996</v>
      </c>
      <c r="AB86" s="21"/>
      <c r="AC86" s="569"/>
      <c r="AD86" s="1149"/>
      <c r="AE86" s="580"/>
      <c r="AF86" s="580"/>
      <c r="AG86" s="580"/>
      <c r="AH86" s="542"/>
      <c r="AI86" s="1028"/>
      <c r="AJ86" s="1029"/>
      <c r="AK86" s="1029"/>
      <c r="AL86" s="1030"/>
      <c r="AM86" s="1522" t="s">
        <v>116</v>
      </c>
      <c r="AN86" s="1523">
        <v>44305</v>
      </c>
      <c r="AO86" s="1524">
        <v>182225</v>
      </c>
      <c r="AP86" s="1525">
        <v>556187.34</v>
      </c>
      <c r="AQ86" s="1525"/>
      <c r="AR86" s="1525">
        <v>52502.3</v>
      </c>
      <c r="AS86" s="1525">
        <f>IF(Table15[[#This Row],[PCTS Approved]]="N",0,Table15[[#This Row],[Investment Amount (1'#'#'#'#'#)]]+Table15[[#This Row],[Retirement Amount (3'#'#'#'#'#)]])</f>
        <v>608689.64</v>
      </c>
      <c r="AT86" s="1525">
        <f>IF(Table15[[#This Row],[Approved Construction Cost]]=0,0,Table15[[#This Row],[Approved Construction Cost]]-Table15[[#This Row],[Construction Cost to Bill From]])</f>
        <v>245883.43000000005</v>
      </c>
      <c r="AU86" s="1525">
        <f>(AT86*0.085)</f>
        <v>20900.091550000005</v>
      </c>
      <c r="AV86" s="1525" t="s">
        <v>709</v>
      </c>
      <c r="AW86" s="1526" t="s">
        <v>2319</v>
      </c>
      <c r="AX86" s="1525">
        <v>20900.091550000005</v>
      </c>
      <c r="AY86" s="1518">
        <v>44501</v>
      </c>
      <c r="AZ86" s="1532"/>
      <c r="BA86" s="1031" t="s">
        <v>2320</v>
      </c>
      <c r="BB86" s="644" t="s">
        <v>2321</v>
      </c>
      <c r="BC86" s="544"/>
      <c r="BD86" s="544"/>
      <c r="BE86" s="544"/>
      <c r="BF86" s="544"/>
      <c r="BG86" s="544"/>
      <c r="BH86" s="741"/>
      <c r="BI86" s="547" t="s">
        <v>709</v>
      </c>
      <c r="BJ86" s="547" t="s">
        <v>709</v>
      </c>
      <c r="BK86" s="547" t="s">
        <v>116</v>
      </c>
      <c r="BL86" s="547" t="s">
        <v>116</v>
      </c>
      <c r="BM86" s="547" t="s">
        <v>709</v>
      </c>
      <c r="BN86" s="547" t="s">
        <v>709</v>
      </c>
      <c r="BO86" s="547" t="s">
        <v>709</v>
      </c>
      <c r="BP86" s="547">
        <v>378</v>
      </c>
      <c r="BQ86" s="547">
        <v>285</v>
      </c>
      <c r="BR86" s="547">
        <v>40</v>
      </c>
      <c r="BS86" s="547">
        <v>66</v>
      </c>
      <c r="BT86" s="547">
        <v>1</v>
      </c>
      <c r="BU86" s="547" t="s">
        <v>709</v>
      </c>
      <c r="BV86" s="547" t="s">
        <v>745</v>
      </c>
      <c r="BW86" s="547" t="s">
        <v>709</v>
      </c>
      <c r="BX86" s="547">
        <v>1</v>
      </c>
      <c r="BY86" s="547" t="s">
        <v>745</v>
      </c>
      <c r="BZ86" s="547" t="s">
        <v>709</v>
      </c>
      <c r="CA86" s="483" t="s">
        <v>769</v>
      </c>
      <c r="CB86" s="547">
        <v>84</v>
      </c>
      <c r="CC86" s="1481" t="b">
        <v>1</v>
      </c>
      <c r="CD86" t="str">
        <f>Table15[[#This Row],[Engineering Number]]&amp;Table15[[#This Row],[WO Number]]&amp;Table15[[#This Row],[Date Assigned to Designer]]&amp;Table15[[#This Row],[Date Completed]]</f>
        <v>RS6111091574369743845</v>
      </c>
    </row>
    <row r="87" spans="1:82" customFormat="1" ht="15" customHeight="1" x14ac:dyDescent="0.25">
      <c r="A87">
        <v>2020</v>
      </c>
      <c r="B87" s="8" t="s">
        <v>771</v>
      </c>
      <c r="C87" s="8" t="s">
        <v>384</v>
      </c>
      <c r="D87" s="8" t="s">
        <v>2323</v>
      </c>
      <c r="E87" s="8" t="s">
        <v>104</v>
      </c>
      <c r="F87" s="8" t="s">
        <v>325</v>
      </c>
      <c r="G87" s="8" t="s">
        <v>1882</v>
      </c>
      <c r="H87" s="8" t="s">
        <v>59</v>
      </c>
      <c r="I87" s="642">
        <v>43760</v>
      </c>
      <c r="J87" s="18">
        <v>43852</v>
      </c>
      <c r="K87" s="642">
        <v>43851</v>
      </c>
      <c r="L87" s="16">
        <f>IF(ISTEXT(Table15[[#This Row],[Engineering Approved Design Date]]),Table15[[#This Row],[Date Completed]]-Table15[[#This Row],[Date Assigned to Designer]],Table15[[#This Row],[Engineering Approved Design Date]]-Table15[[#This Row],[Date Completed]])</f>
        <v>1</v>
      </c>
      <c r="M87" s="642"/>
      <c r="N87" s="642" t="s">
        <v>120</v>
      </c>
      <c r="O87" s="1025">
        <v>43851</v>
      </c>
      <c r="P87" s="21" t="s">
        <v>120</v>
      </c>
      <c r="Q87" s="1151">
        <f>AA87*R87</f>
        <v>14829.211799999999</v>
      </c>
      <c r="R87" s="1034">
        <v>0.09</v>
      </c>
      <c r="S87" s="538"/>
      <c r="T87" s="538"/>
      <c r="U87" s="28"/>
      <c r="V87" s="858">
        <f>67+677</f>
        <v>744</v>
      </c>
      <c r="W87" s="437"/>
      <c r="X87" s="538">
        <v>159186.51999999999</v>
      </c>
      <c r="Y87" s="551">
        <v>11561.76</v>
      </c>
      <c r="Z87" s="538">
        <v>17144.259999999998</v>
      </c>
      <c r="AA87" s="538">
        <f>X87-Y87+Z87</f>
        <v>164769.01999999999</v>
      </c>
      <c r="AB87" s="21"/>
      <c r="AC87" s="569"/>
      <c r="AD87" s="1149"/>
      <c r="AE87" s="569"/>
      <c r="AF87" s="569"/>
      <c r="AG87" s="569"/>
      <c r="AH87" s="536"/>
      <c r="AI87" s="1028"/>
      <c r="AJ87" s="1029"/>
      <c r="AK87" s="1029"/>
      <c r="AL87" s="1030"/>
      <c r="AM87" s="1522" t="s">
        <v>116</v>
      </c>
      <c r="AN87" s="1523">
        <v>43878</v>
      </c>
      <c r="AO87" s="1524">
        <v>181722</v>
      </c>
      <c r="AP87" s="1525">
        <v>155921.64000000001</v>
      </c>
      <c r="AQ87" s="1525">
        <v>11561.76</v>
      </c>
      <c r="AR87" s="1525">
        <v>17454.82</v>
      </c>
      <c r="AS87" s="1525">
        <f>IF(Table15[[#This Row],[PCTS Approved]]="N",0,Table15[[#This Row],[Investment Amount (1'#'#'#'#'#)]]+Table15[[#This Row],[Retirement Amount (3'#'#'#'#'#)]])</f>
        <v>173376.46000000002</v>
      </c>
      <c r="AT87" s="1525">
        <f>IF(Table15[[#This Row],[Approved Construction Cost]]=0,0,Table15[[#This Row],[Approved Construction Cost]]-Table15[[#This Row],[Construction Cost to Bill From]])</f>
        <v>8607.4400000000314</v>
      </c>
      <c r="AU87" s="1525">
        <f>Table15[[#This Row],[Difference in Construction Cost]]*Table15[[#This Row],[Rate]]</f>
        <v>774.66960000000279</v>
      </c>
      <c r="AV87" s="1525">
        <v>0</v>
      </c>
      <c r="AW87" s="1526" t="s">
        <v>2324</v>
      </c>
      <c r="AX87" s="1525">
        <v>22951.253699999994</v>
      </c>
      <c r="AY87" s="1518">
        <v>43983</v>
      </c>
      <c r="AZ87" s="333"/>
      <c r="BA87" s="1031" t="s">
        <v>2325</v>
      </c>
      <c r="BB87" s="644" t="s">
        <v>2326</v>
      </c>
      <c r="BC87" s="544"/>
      <c r="BD87" s="544"/>
      <c r="BE87" s="544"/>
      <c r="BF87" s="544"/>
      <c r="BG87" s="544"/>
      <c r="BH87" s="741"/>
      <c r="BI87" s="547" t="s">
        <v>709</v>
      </c>
      <c r="BJ87" s="547" t="s">
        <v>709</v>
      </c>
      <c r="BK87" s="547" t="s">
        <v>709</v>
      </c>
      <c r="BL87" s="547" t="s">
        <v>116</v>
      </c>
      <c r="BM87" s="547" t="s">
        <v>709</v>
      </c>
      <c r="BN87" s="547" t="s">
        <v>709</v>
      </c>
      <c r="BO87" s="547" t="s">
        <v>709</v>
      </c>
      <c r="BP87" s="547" t="s">
        <v>709</v>
      </c>
      <c r="BQ87" s="547">
        <v>677</v>
      </c>
      <c r="BR87" s="547" t="s">
        <v>709</v>
      </c>
      <c r="BS87" s="547">
        <v>67</v>
      </c>
      <c r="BT87" s="547" t="s">
        <v>709</v>
      </c>
      <c r="BU87" s="547" t="s">
        <v>709</v>
      </c>
      <c r="BV87" s="547" t="s">
        <v>745</v>
      </c>
      <c r="BW87" s="547" t="s">
        <v>709</v>
      </c>
      <c r="BX87" s="547" t="s">
        <v>745</v>
      </c>
      <c r="BY87" s="547" t="s">
        <v>745</v>
      </c>
      <c r="BZ87" s="547" t="s">
        <v>709</v>
      </c>
      <c r="CA87" s="483"/>
      <c r="CB87" s="547">
        <v>86</v>
      </c>
      <c r="CC87" s="1481" t="b">
        <v>1</v>
      </c>
      <c r="CD87" t="str">
        <f>Table15[[#This Row],[Engineering Number]]&amp;Table15[[#This Row],[WO Number]]&amp;Table15[[#This Row],[Date Assigned to Designer]]&amp;Table15[[#This Row],[Date Completed]]</f>
        <v>BS5511291544376043851</v>
      </c>
    </row>
    <row r="88" spans="1:82" customFormat="1" ht="15" customHeight="1" x14ac:dyDescent="0.25">
      <c r="A88">
        <v>2020</v>
      </c>
      <c r="B88" s="8" t="s">
        <v>769</v>
      </c>
      <c r="C88" s="8" t="s">
        <v>2328</v>
      </c>
      <c r="D88" s="656" t="s">
        <v>2329</v>
      </c>
      <c r="E88" s="8" t="s">
        <v>393</v>
      </c>
      <c r="F88" s="8" t="s">
        <v>325</v>
      </c>
      <c r="G88" s="8" t="s">
        <v>1882</v>
      </c>
      <c r="H88" s="8" t="s">
        <v>59</v>
      </c>
      <c r="I88" s="642">
        <v>43761</v>
      </c>
      <c r="J88" s="18">
        <v>43853</v>
      </c>
      <c r="K88" s="642">
        <v>43851</v>
      </c>
      <c r="L88" s="16">
        <f>IF(ISTEXT(Table15[[#This Row],[Engineering Approved Design Date]]),Table15[[#This Row],[Date Completed]]-Table15[[#This Row],[Date Assigned to Designer]],Table15[[#This Row],[Engineering Approved Design Date]]-Table15[[#This Row],[Date Completed]])</f>
        <v>2</v>
      </c>
      <c r="M88" s="642"/>
      <c r="N88" s="642" t="s">
        <v>120</v>
      </c>
      <c r="O88" s="1025">
        <v>43851</v>
      </c>
      <c r="P88" s="21" t="s">
        <v>120</v>
      </c>
      <c r="Q88" s="1151">
        <f>(AA88*0.085)+7750</f>
        <v>16905.7886</v>
      </c>
      <c r="R88" s="1034" t="s">
        <v>1055</v>
      </c>
      <c r="S88" s="538"/>
      <c r="T88" s="538"/>
      <c r="U88" s="28"/>
      <c r="V88" s="858" t="s">
        <v>115</v>
      </c>
      <c r="W88" s="437"/>
      <c r="X88" s="538">
        <v>0</v>
      </c>
      <c r="Y88" s="551">
        <v>0</v>
      </c>
      <c r="Z88" s="538">
        <v>107715.16</v>
      </c>
      <c r="AA88" s="538">
        <f>X88-Y88+Z88</f>
        <v>107715.16</v>
      </c>
      <c r="AB88" s="21"/>
      <c r="AC88" s="569"/>
      <c r="AD88" s="1149"/>
      <c r="AE88" s="580"/>
      <c r="AF88" s="580"/>
      <c r="AG88" s="580"/>
      <c r="AH88" s="542"/>
      <c r="AI88" s="1028"/>
      <c r="AJ88" s="1029"/>
      <c r="AK88" s="1029"/>
      <c r="AL88" s="1030"/>
      <c r="AM88" s="542" t="s">
        <v>116</v>
      </c>
      <c r="AN88" s="1508">
        <v>44002</v>
      </c>
      <c r="AO88" s="925" t="s">
        <v>115</v>
      </c>
      <c r="AP88" s="926">
        <v>0</v>
      </c>
      <c r="AQ88" s="926"/>
      <c r="AR88" s="926">
        <v>270119.06</v>
      </c>
      <c r="AS88" s="926">
        <f>IF(Table15[[#This Row],[PCTS Approved]]="N",0,Table15[[#This Row],[Investment Amount (1'#'#'#'#'#)]]+Table15[[#This Row],[Retirement Amount (3'#'#'#'#'#)]])</f>
        <v>270119.06</v>
      </c>
      <c r="AT88" s="926">
        <f>IF(Table15[[#This Row],[Approved Construction Cost]]=0,0,Table15[[#This Row],[Approved Construction Cost]]-Table15[[#This Row],[Construction Cost to Bill From]])</f>
        <v>162403.9</v>
      </c>
      <c r="AU88" s="926">
        <f>(AT88*0.085)</f>
        <v>13804.3315</v>
      </c>
      <c r="AV88" s="926">
        <v>30876.75</v>
      </c>
      <c r="AW88" s="927" t="s">
        <v>2330</v>
      </c>
      <c r="AX88" s="926"/>
      <c r="AY88" s="636" t="s">
        <v>1935</v>
      </c>
      <c r="AZ88" s="1531"/>
      <c r="BA88" s="1031" t="s">
        <v>2331</v>
      </c>
      <c r="BB88" s="644" t="s">
        <v>2332</v>
      </c>
      <c r="BC88" s="544"/>
      <c r="BD88" s="544"/>
      <c r="BE88" s="544"/>
      <c r="BF88" s="544"/>
      <c r="BG88" s="544"/>
      <c r="BH88" s="741"/>
      <c r="BI88" s="547" t="s">
        <v>709</v>
      </c>
      <c r="BJ88" s="547" t="s">
        <v>709</v>
      </c>
      <c r="BK88" s="547" t="s">
        <v>709</v>
      </c>
      <c r="BL88" s="547" t="s">
        <v>709</v>
      </c>
      <c r="BM88" s="547" t="s">
        <v>709</v>
      </c>
      <c r="BN88" s="547" t="s">
        <v>709</v>
      </c>
      <c r="BO88" s="547" t="s">
        <v>709</v>
      </c>
      <c r="BP88" s="547" t="s">
        <v>709</v>
      </c>
      <c r="BQ88" s="547" t="s">
        <v>709</v>
      </c>
      <c r="BR88" s="547" t="s">
        <v>709</v>
      </c>
      <c r="BS88" s="547" t="s">
        <v>709</v>
      </c>
      <c r="BT88" s="547" t="s">
        <v>709</v>
      </c>
      <c r="BU88" s="547" t="s">
        <v>709</v>
      </c>
      <c r="BV88" s="547" t="s">
        <v>709</v>
      </c>
      <c r="BW88" s="547" t="s">
        <v>709</v>
      </c>
      <c r="BX88" s="547" t="s">
        <v>709</v>
      </c>
      <c r="BY88" s="547" t="s">
        <v>709</v>
      </c>
      <c r="BZ88" s="547" t="s">
        <v>709</v>
      </c>
      <c r="CA88" s="483" t="s">
        <v>2333</v>
      </c>
      <c r="CB88" s="547">
        <v>85</v>
      </c>
      <c r="CC88" s="1481" t="b">
        <v>1</v>
      </c>
      <c r="CD88" t="str">
        <f>Table15[[#This Row],[Engineering Number]]&amp;Table15[[#This Row],[WO Number]]&amp;Table15[[#This Row],[Date Assigned to Designer]]&amp;Table15[[#This Row],[Date Completed]]</f>
        <v>RS6183021054376143851</v>
      </c>
    </row>
    <row r="89" spans="1:82" customFormat="1" ht="15" customHeight="1" x14ac:dyDescent="0.25">
      <c r="A89">
        <v>2020</v>
      </c>
      <c r="B89" s="8" t="s">
        <v>1162</v>
      </c>
      <c r="C89" s="8" t="s">
        <v>2335</v>
      </c>
      <c r="D89" s="8" t="s">
        <v>2336</v>
      </c>
      <c r="E89" s="8" t="s">
        <v>2337</v>
      </c>
      <c r="F89" s="8" t="s">
        <v>919</v>
      </c>
      <c r="G89" s="8" t="s">
        <v>1882</v>
      </c>
      <c r="H89" s="8" t="s">
        <v>59</v>
      </c>
      <c r="I89" s="642">
        <v>43761</v>
      </c>
      <c r="J89" s="18">
        <v>43853</v>
      </c>
      <c r="K89" s="642">
        <v>43852</v>
      </c>
      <c r="L89" s="16">
        <f>IF(ISTEXT(Table15[[#This Row],[Engineering Approved Design Date]]),Table15[[#This Row],[Date Completed]]-Table15[[#This Row],[Date Assigned to Designer]],Table15[[#This Row],[Engineering Approved Design Date]]-Table15[[#This Row],[Date Completed]])</f>
        <v>1</v>
      </c>
      <c r="M89" s="642"/>
      <c r="N89" s="642" t="s">
        <v>120</v>
      </c>
      <c r="O89" s="1025">
        <v>43852</v>
      </c>
      <c r="P89" s="21" t="s">
        <v>739</v>
      </c>
      <c r="Q89" s="1151">
        <f>AA89*R89</f>
        <v>38347.236900000004</v>
      </c>
      <c r="R89" s="1034">
        <v>7.0000000000000007E-2</v>
      </c>
      <c r="S89" s="538"/>
      <c r="T89" s="538"/>
      <c r="U89" s="28"/>
      <c r="V89" s="858">
        <f>78+2929+2368</f>
        <v>5375</v>
      </c>
      <c r="W89" s="437"/>
      <c r="X89" s="538">
        <v>572441.63</v>
      </c>
      <c r="Y89" s="551">
        <v>83527.5</v>
      </c>
      <c r="Z89" s="538">
        <v>58903.54</v>
      </c>
      <c r="AA89" s="538">
        <f>X89-Y89+Z89</f>
        <v>547817.67000000004</v>
      </c>
      <c r="AB89" s="21"/>
      <c r="AC89" s="569"/>
      <c r="AD89" s="1149"/>
      <c r="AE89" s="569"/>
      <c r="AF89" s="569"/>
      <c r="AG89" s="569"/>
      <c r="AH89" s="536"/>
      <c r="AI89" s="1028"/>
      <c r="AJ89" s="1029"/>
      <c r="AK89" s="1029"/>
      <c r="AL89" s="1030"/>
      <c r="AM89" s="1522" t="s">
        <v>116</v>
      </c>
      <c r="AN89" s="1523">
        <v>43957</v>
      </c>
      <c r="AO89" s="1524" t="s">
        <v>115</v>
      </c>
      <c r="AP89" s="1525">
        <v>566154.80000000005</v>
      </c>
      <c r="AQ89" s="1525">
        <v>83527.5</v>
      </c>
      <c r="AR89" s="1525">
        <v>54307.88</v>
      </c>
      <c r="AS89" s="1525">
        <f>IF(Table15[[#This Row],[PCTS Approved]]="N",0,Table15[[#This Row],[Investment Amount (1'#'#'#'#'#)]]+Table15[[#This Row],[Retirement Amount (3'#'#'#'#'#)]])</f>
        <v>620462.68000000005</v>
      </c>
      <c r="AT89" s="1525">
        <f>IF(Table15[[#This Row],[Approved Construction Cost]]=0,0,Table15[[#This Row],[Approved Construction Cost]]-Table15[[#This Row],[Construction Cost to Bill From]])</f>
        <v>72645.010000000009</v>
      </c>
      <c r="AU89" s="1525">
        <f>Table15[[#This Row],[Difference in Construction Cost]]*Table15[[#This Row],[Rate]]</f>
        <v>5085.1507000000011</v>
      </c>
      <c r="AV89" s="1525">
        <v>0</v>
      </c>
      <c r="AW89" s="1526" t="s">
        <v>2338</v>
      </c>
      <c r="AX89" s="1525"/>
      <c r="AY89" s="1518">
        <v>43983</v>
      </c>
      <c r="AZ89" s="333"/>
      <c r="BA89" s="1031" t="s">
        <v>2339</v>
      </c>
      <c r="BB89" s="644" t="s">
        <v>2340</v>
      </c>
      <c r="BC89" s="544"/>
      <c r="BD89" s="544"/>
      <c r="BE89" s="544"/>
      <c r="BF89" s="544"/>
      <c r="BG89" s="544"/>
      <c r="BH89" s="741"/>
      <c r="BI89" s="547" t="s">
        <v>709</v>
      </c>
      <c r="BJ89" s="547" t="s">
        <v>709</v>
      </c>
      <c r="BK89" s="547" t="s">
        <v>709</v>
      </c>
      <c r="BL89" s="547" t="s">
        <v>116</v>
      </c>
      <c r="BM89" s="547" t="s">
        <v>709</v>
      </c>
      <c r="BN89" s="547" t="s">
        <v>709</v>
      </c>
      <c r="BO89" s="547" t="s">
        <v>709</v>
      </c>
      <c r="BP89" s="547" t="s">
        <v>709</v>
      </c>
      <c r="BQ89" s="547">
        <v>2368</v>
      </c>
      <c r="BR89" s="547">
        <v>2929</v>
      </c>
      <c r="BS89" s="547">
        <v>78</v>
      </c>
      <c r="BT89" s="547" t="s">
        <v>709</v>
      </c>
      <c r="BU89" s="547" t="s">
        <v>709</v>
      </c>
      <c r="BV89" s="547" t="s">
        <v>709</v>
      </c>
      <c r="BW89" s="547" t="s">
        <v>709</v>
      </c>
      <c r="BX89" s="547" t="s">
        <v>709</v>
      </c>
      <c r="BY89" s="547" t="s">
        <v>709</v>
      </c>
      <c r="BZ89" s="547" t="s">
        <v>709</v>
      </c>
      <c r="CA89" s="483"/>
      <c r="CB89" s="547">
        <v>87</v>
      </c>
      <c r="CC89" s="1481" t="b">
        <v>1</v>
      </c>
      <c r="CD89" t="str">
        <f>Table15[[#This Row],[Engineering Number]]&amp;Table15[[#This Row],[WO Number]]&amp;Table15[[#This Row],[Date Assigned to Designer]]&amp;Table15[[#This Row],[Date Completed]]</f>
        <v>PRIM4721203894376143852</v>
      </c>
    </row>
    <row r="90" spans="1:82" customFormat="1" ht="15" customHeight="1" x14ac:dyDescent="0.25">
      <c r="A90">
        <v>2020</v>
      </c>
      <c r="B90" s="8" t="s">
        <v>771</v>
      </c>
      <c r="C90" s="8" t="s">
        <v>2204</v>
      </c>
      <c r="D90" s="8" t="s">
        <v>2205</v>
      </c>
      <c r="E90" s="8" t="s">
        <v>1529</v>
      </c>
      <c r="F90" s="8" t="s">
        <v>325</v>
      </c>
      <c r="G90" s="8" t="s">
        <v>1896</v>
      </c>
      <c r="H90" s="8" t="s">
        <v>2051</v>
      </c>
      <c r="I90" s="642">
        <v>43845</v>
      </c>
      <c r="J90" s="18" t="s">
        <v>2052</v>
      </c>
      <c r="K90" s="642">
        <v>43858</v>
      </c>
      <c r="L90" s="16">
        <f>IF(ISTEXT(Table15[[#This Row],[Engineering Approved Design Date]]),Table15[[#This Row],[Date Completed]]-Table15[[#This Row],[Date Assigned to Designer]],Table15[[#This Row],[Engineering Approved Design Date]]-Table15[[#This Row],[Date Completed]])</f>
        <v>13</v>
      </c>
      <c r="M90" s="642" t="s">
        <v>2342</v>
      </c>
      <c r="N90" s="642" t="s">
        <v>120</v>
      </c>
      <c r="O90" s="1025">
        <v>43862</v>
      </c>
      <c r="P90" s="21" t="s">
        <v>120</v>
      </c>
      <c r="Q90" s="1151">
        <f>U90</f>
        <v>4410</v>
      </c>
      <c r="R90" s="1034" t="s">
        <v>1922</v>
      </c>
      <c r="S90" s="538" t="s">
        <v>709</v>
      </c>
      <c r="T90" s="538" t="s">
        <v>709</v>
      </c>
      <c r="U90" s="28">
        <v>4410</v>
      </c>
      <c r="V90" s="858"/>
      <c r="W90" s="437"/>
      <c r="X90" s="538">
        <v>471536.74</v>
      </c>
      <c r="Y90" s="551">
        <v>32727.24</v>
      </c>
      <c r="Z90" s="538">
        <v>116319.47</v>
      </c>
      <c r="AA90" s="538">
        <f>X90-Y90+Z90</f>
        <v>555128.97</v>
      </c>
      <c r="AB90" s="21"/>
      <c r="AC90" s="569"/>
      <c r="AD90" s="1149"/>
      <c r="AE90" s="569"/>
      <c r="AF90" s="569"/>
      <c r="AG90" s="569"/>
      <c r="AH90" s="536"/>
      <c r="AI90" s="1028"/>
      <c r="AJ90" s="1029"/>
      <c r="AK90" s="1029"/>
      <c r="AL90" s="1030"/>
      <c r="AM90" s="542" t="s">
        <v>709</v>
      </c>
      <c r="AN90" s="924"/>
      <c r="AO90" s="925"/>
      <c r="AP90" s="926"/>
      <c r="AQ90" s="926"/>
      <c r="AR90" s="926"/>
      <c r="AS90" s="926"/>
      <c r="AT90" s="926"/>
      <c r="AU90" s="926"/>
      <c r="AV90" s="926"/>
      <c r="AW90" s="927"/>
      <c r="AX90" s="926"/>
      <c r="AY90" s="1538" t="s">
        <v>29</v>
      </c>
      <c r="AZ90" s="1530"/>
      <c r="BA90" s="1031">
        <v>4</v>
      </c>
      <c r="BB90" s="644"/>
      <c r="BC90" s="544"/>
      <c r="BD90" s="544"/>
      <c r="BE90" s="544"/>
      <c r="BF90" s="544"/>
      <c r="BG90" s="544"/>
      <c r="BH90" s="741"/>
      <c r="BI90" s="547" t="s">
        <v>709</v>
      </c>
      <c r="BJ90" s="547" t="s">
        <v>709</v>
      </c>
      <c r="BK90" s="547" t="s">
        <v>709</v>
      </c>
      <c r="BL90" s="547" t="s">
        <v>116</v>
      </c>
      <c r="BM90" s="547" t="s">
        <v>709</v>
      </c>
      <c r="BN90" s="547" t="s">
        <v>709</v>
      </c>
      <c r="BO90" s="547" t="s">
        <v>709</v>
      </c>
      <c r="BP90" s="547" t="s">
        <v>709</v>
      </c>
      <c r="BQ90" s="547" t="s">
        <v>709</v>
      </c>
      <c r="BR90" s="547" t="s">
        <v>709</v>
      </c>
      <c r="BS90" s="547">
        <v>2106</v>
      </c>
      <c r="BT90" s="547" t="s">
        <v>709</v>
      </c>
      <c r="BU90" s="547" t="s">
        <v>709</v>
      </c>
      <c r="BV90" s="547" t="s">
        <v>709</v>
      </c>
      <c r="BW90" s="547" t="s">
        <v>709</v>
      </c>
      <c r="BX90" s="547" t="s">
        <v>709</v>
      </c>
      <c r="BY90" s="547" t="s">
        <v>709</v>
      </c>
      <c r="BZ90" s="547" t="s">
        <v>709</v>
      </c>
      <c r="CA90" s="483"/>
      <c r="CB90" s="547">
        <v>88</v>
      </c>
      <c r="CC90" s="1481" t="b">
        <v>1</v>
      </c>
      <c r="CD90" t="str">
        <f>Table15[[#This Row],[Engineering Number]]&amp;Table15[[#This Row],[WO Number]]&amp;Table15[[#This Row],[Date Assigned to Designer]]&amp;Table15[[#This Row],[Date Completed]]</f>
        <v>MLP151203414384543858</v>
      </c>
    </row>
    <row r="91" spans="1:82" customFormat="1" ht="15" customHeight="1" x14ac:dyDescent="0.25">
      <c r="A91">
        <v>2020</v>
      </c>
      <c r="B91" s="8" t="s">
        <v>1073</v>
      </c>
      <c r="C91" s="8" t="s">
        <v>2344</v>
      </c>
      <c r="D91" s="8" t="s">
        <v>2345</v>
      </c>
      <c r="E91" s="8" t="s">
        <v>218</v>
      </c>
      <c r="F91" s="8" t="s">
        <v>919</v>
      </c>
      <c r="G91" s="8" t="s">
        <v>2232</v>
      </c>
      <c r="H91" s="8" t="s">
        <v>59</v>
      </c>
      <c r="I91" s="642">
        <v>43817</v>
      </c>
      <c r="J91" s="18">
        <v>43868</v>
      </c>
      <c r="K91" s="642">
        <v>43859</v>
      </c>
      <c r="L91" s="16">
        <f>IF(ISTEXT(Table15[[#This Row],[Engineering Approved Design Date]]),Table15[[#This Row],[Date Completed]]-Table15[[#This Row],[Date Assigned to Designer]],Table15[[#This Row],[Engineering Approved Design Date]]-Table15[[#This Row],[Date Completed]])</f>
        <v>9</v>
      </c>
      <c r="M91" s="642"/>
      <c r="N91" s="642" t="s">
        <v>120</v>
      </c>
      <c r="O91" s="1025">
        <v>43862</v>
      </c>
      <c r="P91" s="21" t="s">
        <v>739</v>
      </c>
      <c r="Q91" s="1151">
        <f>S91+U91</f>
        <v>12266.5</v>
      </c>
      <c r="R91" s="1034" t="s">
        <v>1922</v>
      </c>
      <c r="S91" s="538">
        <v>271.5</v>
      </c>
      <c r="T91" s="538" t="s">
        <v>709</v>
      </c>
      <c r="U91" s="28">
        <v>11995</v>
      </c>
      <c r="V91" s="858">
        <v>460</v>
      </c>
      <c r="W91" s="437"/>
      <c r="X91" s="538"/>
      <c r="Y91" s="551"/>
      <c r="Z91" s="538"/>
      <c r="AA91" s="538">
        <f>23365+0</f>
        <v>23365</v>
      </c>
      <c r="AB91" s="21"/>
      <c r="AC91" s="569"/>
      <c r="AD91" s="1149"/>
      <c r="AE91" s="569"/>
      <c r="AF91" s="569"/>
      <c r="AG91" s="569"/>
      <c r="AH91" s="536"/>
      <c r="AI91" s="1028"/>
      <c r="AJ91" s="1029"/>
      <c r="AK91" s="1029"/>
      <c r="AL91" s="1030"/>
      <c r="AM91" s="542" t="s">
        <v>709</v>
      </c>
      <c r="AN91" s="924"/>
      <c r="AO91" s="925"/>
      <c r="AP91" s="926"/>
      <c r="AQ91" s="926"/>
      <c r="AR91" s="926"/>
      <c r="AS91" s="926"/>
      <c r="AT91" s="926"/>
      <c r="AU91" s="926"/>
      <c r="AV91" s="926"/>
      <c r="AW91" s="927"/>
      <c r="AX91" s="926"/>
      <c r="AY91" s="1538" t="s">
        <v>29</v>
      </c>
      <c r="AZ91" s="1530"/>
      <c r="BA91" s="1031" t="s">
        <v>2346</v>
      </c>
      <c r="BB91" s="644"/>
      <c r="BC91" s="544"/>
      <c r="BD91" s="544"/>
      <c r="BE91" s="544"/>
      <c r="BF91" s="544"/>
      <c r="BG91" s="544"/>
      <c r="BH91" s="741"/>
      <c r="BI91" s="547" t="s">
        <v>709</v>
      </c>
      <c r="BJ91" s="547" t="s">
        <v>709</v>
      </c>
      <c r="BK91" s="547" t="s">
        <v>709</v>
      </c>
      <c r="BL91" s="547" t="s">
        <v>116</v>
      </c>
      <c r="BM91" s="547" t="s">
        <v>709</v>
      </c>
      <c r="BN91" s="547" t="s">
        <v>709</v>
      </c>
      <c r="BO91" s="547" t="s">
        <v>709</v>
      </c>
      <c r="BP91" s="547" t="s">
        <v>709</v>
      </c>
      <c r="BQ91" s="547" t="s">
        <v>709</v>
      </c>
      <c r="BR91" s="547" t="s">
        <v>709</v>
      </c>
      <c r="BS91" s="547">
        <v>460</v>
      </c>
      <c r="BT91" s="547" t="s">
        <v>709</v>
      </c>
      <c r="BU91" s="547" t="s">
        <v>709</v>
      </c>
      <c r="BV91" s="547" t="s">
        <v>709</v>
      </c>
      <c r="BW91" s="547" t="s">
        <v>709</v>
      </c>
      <c r="BX91" s="547" t="s">
        <v>709</v>
      </c>
      <c r="BY91" s="547" t="s">
        <v>709</v>
      </c>
      <c r="BZ91" s="547" t="s">
        <v>709</v>
      </c>
      <c r="CA91" s="483"/>
      <c r="CB91" s="547">
        <v>89</v>
      </c>
      <c r="CC91" s="1481" t="b">
        <v>1</v>
      </c>
      <c r="CD91" t="str">
        <f>Table15[[#This Row],[Engineering Number]]&amp;Table15[[#This Row],[WO Number]]&amp;Table15[[#This Row],[Date Assigned to Designer]]&amp;Table15[[#This Row],[Date Completed]]</f>
        <v>NBA17730091929944381743859</v>
      </c>
    </row>
    <row r="92" spans="1:82" customFormat="1" ht="15" customHeight="1" x14ac:dyDescent="0.25">
      <c r="A92">
        <v>2020</v>
      </c>
      <c r="B92" s="8" t="s">
        <v>771</v>
      </c>
      <c r="C92" s="8" t="s">
        <v>2359</v>
      </c>
      <c r="D92" s="8" t="s">
        <v>2360</v>
      </c>
      <c r="E92" s="8" t="s">
        <v>2361</v>
      </c>
      <c r="F92" s="8" t="s">
        <v>919</v>
      </c>
      <c r="G92" s="8" t="s">
        <v>1882</v>
      </c>
      <c r="H92" s="8" t="s">
        <v>59</v>
      </c>
      <c r="I92" s="642">
        <v>43783</v>
      </c>
      <c r="J92" s="18">
        <v>43875</v>
      </c>
      <c r="K92" s="642">
        <v>43874</v>
      </c>
      <c r="L92" s="16">
        <f>IF(ISTEXT(Table15[[#This Row],[Engineering Approved Design Date]]),Table15[[#This Row],[Date Completed]]-Table15[[#This Row],[Date Assigned to Designer]],Table15[[#This Row],[Engineering Approved Design Date]]-Table15[[#This Row],[Date Completed]])</f>
        <v>1</v>
      </c>
      <c r="M92" s="642"/>
      <c r="N92" s="642" t="s">
        <v>120</v>
      </c>
      <c r="O92" s="1025">
        <v>43874</v>
      </c>
      <c r="P92" s="21" t="s">
        <v>120</v>
      </c>
      <c r="Q92" s="1151">
        <f>22383*1.55</f>
        <v>34693.65</v>
      </c>
      <c r="R92" s="1034" t="s">
        <v>2087</v>
      </c>
      <c r="S92" s="538" t="s">
        <v>709</v>
      </c>
      <c r="T92" s="538" t="s">
        <v>709</v>
      </c>
      <c r="U92" s="28" t="s">
        <v>115</v>
      </c>
      <c r="V92" s="858">
        <f>22383</f>
        <v>22383</v>
      </c>
      <c r="W92" s="437"/>
      <c r="X92" s="538">
        <v>2444997.73</v>
      </c>
      <c r="Y92" s="551">
        <v>347831.82</v>
      </c>
      <c r="Z92" s="538">
        <v>254842.56</v>
      </c>
      <c r="AA92" s="538">
        <f>X92-Y92+Z92</f>
        <v>2352008.4700000002</v>
      </c>
      <c r="AB92" s="21"/>
      <c r="AC92" s="569"/>
      <c r="AD92" s="1149"/>
      <c r="AE92" s="569"/>
      <c r="AF92" s="569"/>
      <c r="AG92" s="569"/>
      <c r="AH92" s="536"/>
      <c r="AI92" s="1028"/>
      <c r="AJ92" s="1029"/>
      <c r="AK92" s="1029"/>
      <c r="AL92" s="1030"/>
      <c r="AM92" s="542" t="s">
        <v>709</v>
      </c>
      <c r="AN92" s="924"/>
      <c r="AO92" s="925"/>
      <c r="AP92" s="926"/>
      <c r="AQ92" s="926"/>
      <c r="AR92" s="926"/>
      <c r="AS92" s="926"/>
      <c r="AT92" s="926"/>
      <c r="AU92" s="926"/>
      <c r="AV92" s="926"/>
      <c r="AW92" s="927"/>
      <c r="AX92" s="926"/>
      <c r="AY92" s="1538" t="s">
        <v>29</v>
      </c>
      <c r="AZ92" s="1530"/>
      <c r="BA92" s="1031" t="s">
        <v>2362</v>
      </c>
      <c r="BB92" s="644" t="s">
        <v>2363</v>
      </c>
      <c r="BC92" s="544"/>
      <c r="BD92" s="544"/>
      <c r="BE92" s="544"/>
      <c r="BF92" s="544"/>
      <c r="BG92" s="544"/>
      <c r="BH92" s="741"/>
      <c r="BI92" s="547" t="s">
        <v>709</v>
      </c>
      <c r="BJ92" s="547" t="s">
        <v>709</v>
      </c>
      <c r="BK92" s="547" t="s">
        <v>709</v>
      </c>
      <c r="BL92" s="547" t="s">
        <v>116</v>
      </c>
      <c r="BM92" s="547" t="s">
        <v>709</v>
      </c>
      <c r="BN92" s="547" t="s">
        <v>709</v>
      </c>
      <c r="BO92" s="547" t="s">
        <v>709</v>
      </c>
      <c r="BP92" s="547" t="s">
        <v>709</v>
      </c>
      <c r="BQ92" s="547" t="s">
        <v>709</v>
      </c>
      <c r="BR92" s="547" t="s">
        <v>709</v>
      </c>
      <c r="BS92" s="547">
        <v>22383</v>
      </c>
      <c r="BT92" s="547" t="s">
        <v>709</v>
      </c>
      <c r="BU92" s="547" t="s">
        <v>709</v>
      </c>
      <c r="BV92" s="547" t="s">
        <v>709</v>
      </c>
      <c r="BW92" s="547" t="s">
        <v>709</v>
      </c>
      <c r="BX92" s="547" t="s">
        <v>709</v>
      </c>
      <c r="BY92" s="547" t="s">
        <v>709</v>
      </c>
      <c r="BZ92" s="547" t="s">
        <v>709</v>
      </c>
      <c r="CA92" s="483"/>
      <c r="CB92" s="547">
        <v>90</v>
      </c>
      <c r="CC92" s="1481" t="b">
        <v>1</v>
      </c>
      <c r="CD92" t="str">
        <f>Table15[[#This Row],[Engineering Number]]&amp;Table15[[#This Row],[WO Number]]&amp;Table15[[#This Row],[Date Assigned to Designer]]&amp;Table15[[#This Row],[Date Completed]]</f>
        <v>BS1151204064378343874</v>
      </c>
    </row>
    <row r="93" spans="1:82" customFormat="1" ht="15" customHeight="1" x14ac:dyDescent="0.25">
      <c r="A93">
        <v>2020</v>
      </c>
      <c r="B93" s="8" t="s">
        <v>771</v>
      </c>
      <c r="C93" s="8" t="s">
        <v>2348</v>
      </c>
      <c r="D93" s="8" t="s">
        <v>2349</v>
      </c>
      <c r="E93" s="8" t="s">
        <v>2350</v>
      </c>
      <c r="F93" s="8" t="s">
        <v>325</v>
      </c>
      <c r="G93" s="8" t="s">
        <v>36</v>
      </c>
      <c r="H93" s="8" t="s">
        <v>59</v>
      </c>
      <c r="I93" s="642">
        <v>43784</v>
      </c>
      <c r="J93" s="18">
        <v>43875</v>
      </c>
      <c r="K93" s="642">
        <v>43874</v>
      </c>
      <c r="L93" s="16">
        <f>IF(ISTEXT(Table15[[#This Row],[Engineering Approved Design Date]]),Table15[[#This Row],[Date Completed]]-Table15[[#This Row],[Date Assigned to Designer]],Table15[[#This Row],[Engineering Approved Design Date]]-Table15[[#This Row],[Date Completed]])</f>
        <v>1</v>
      </c>
      <c r="M93" s="642"/>
      <c r="N93" s="642" t="s">
        <v>120</v>
      </c>
      <c r="O93" s="1025">
        <v>43874</v>
      </c>
      <c r="P93" s="21" t="s">
        <v>120</v>
      </c>
      <c r="Q93" s="1151">
        <f>8811*1.55</f>
        <v>13657.050000000001</v>
      </c>
      <c r="R93" s="1034" t="s">
        <v>2087</v>
      </c>
      <c r="S93" s="538" t="s">
        <v>709</v>
      </c>
      <c r="T93" s="538" t="s">
        <v>709</v>
      </c>
      <c r="U93" s="28" t="s">
        <v>115</v>
      </c>
      <c r="V93" s="858">
        <f>8811</f>
        <v>8811</v>
      </c>
      <c r="W93" s="437"/>
      <c r="X93" s="538">
        <v>854319.25</v>
      </c>
      <c r="Y93" s="551">
        <v>136922.94</v>
      </c>
      <c r="Z93" s="538">
        <v>82301.86</v>
      </c>
      <c r="AA93" s="538">
        <f>X93-Y93+Z93</f>
        <v>799698.17</v>
      </c>
      <c r="AB93" s="21"/>
      <c r="AC93" s="569"/>
      <c r="AD93" s="1149"/>
      <c r="AE93" s="569"/>
      <c r="AF93" s="569"/>
      <c r="AG93" s="569"/>
      <c r="AH93" s="536"/>
      <c r="AI93" s="1028"/>
      <c r="AJ93" s="1029"/>
      <c r="AK93" s="1029"/>
      <c r="AL93" s="1030"/>
      <c r="AM93" s="542" t="s">
        <v>709</v>
      </c>
      <c r="AN93" s="924"/>
      <c r="AO93" s="925"/>
      <c r="AP93" s="926"/>
      <c r="AQ93" s="926"/>
      <c r="AR93" s="926"/>
      <c r="AS93" s="926"/>
      <c r="AT93" s="926"/>
      <c r="AU93" s="926"/>
      <c r="AV93" s="926"/>
      <c r="AW93" s="927"/>
      <c r="AX93" s="926"/>
      <c r="AY93" s="1538" t="s">
        <v>29</v>
      </c>
      <c r="AZ93" s="1530"/>
      <c r="BA93" s="1031" t="s">
        <v>2351</v>
      </c>
      <c r="BB93" s="644" t="s">
        <v>2352</v>
      </c>
      <c r="BC93" s="544"/>
      <c r="BD93" s="544"/>
      <c r="BE93" s="544"/>
      <c r="BF93" s="544"/>
      <c r="BG93" s="544"/>
      <c r="BH93" s="741"/>
      <c r="BI93" s="547" t="s">
        <v>709</v>
      </c>
      <c r="BJ93" s="547" t="s">
        <v>709</v>
      </c>
      <c r="BK93" s="547" t="s">
        <v>709</v>
      </c>
      <c r="BL93" s="547" t="s">
        <v>116</v>
      </c>
      <c r="BM93" s="547" t="s">
        <v>709</v>
      </c>
      <c r="BN93" s="547" t="s">
        <v>709</v>
      </c>
      <c r="BO93" s="547" t="s">
        <v>709</v>
      </c>
      <c r="BP93" s="547" t="s">
        <v>709</v>
      </c>
      <c r="BQ93" s="547" t="s">
        <v>709</v>
      </c>
      <c r="BR93" s="547" t="s">
        <v>709</v>
      </c>
      <c r="BS93" s="547">
        <v>8811</v>
      </c>
      <c r="BT93" s="547" t="s">
        <v>709</v>
      </c>
      <c r="BU93" s="547" t="s">
        <v>709</v>
      </c>
      <c r="BV93" s="547" t="s">
        <v>709</v>
      </c>
      <c r="BW93" s="547" t="s">
        <v>709</v>
      </c>
      <c r="BX93" s="547" t="s">
        <v>709</v>
      </c>
      <c r="BY93" s="547" t="s">
        <v>709</v>
      </c>
      <c r="BZ93" s="547" t="s">
        <v>709</v>
      </c>
      <c r="CA93" s="483"/>
      <c r="CB93" s="547">
        <v>91</v>
      </c>
      <c r="CC93" s="1481" t="b">
        <v>1</v>
      </c>
      <c r="CD93" t="str">
        <f>Table15[[#This Row],[Engineering Number]]&amp;Table15[[#This Row],[WO Number]]&amp;Table15[[#This Row],[Date Assigned to Designer]]&amp;Table15[[#This Row],[Date Completed]]</f>
        <v>BS2451291674378443874</v>
      </c>
    </row>
    <row r="94" spans="1:82" customFormat="1" ht="15" customHeight="1" x14ac:dyDescent="0.25">
      <c r="A94">
        <v>2020</v>
      </c>
      <c r="B94" s="8" t="s">
        <v>771</v>
      </c>
      <c r="C94" s="8" t="s">
        <v>2354</v>
      </c>
      <c r="D94" s="8" t="s">
        <v>2355</v>
      </c>
      <c r="E94" s="8" t="s">
        <v>149</v>
      </c>
      <c r="F94" s="8" t="s">
        <v>325</v>
      </c>
      <c r="G94" s="8" t="s">
        <v>1882</v>
      </c>
      <c r="H94" s="8" t="s">
        <v>59</v>
      </c>
      <c r="I94" s="642">
        <v>43787</v>
      </c>
      <c r="J94" s="18">
        <v>43879</v>
      </c>
      <c r="K94" s="642">
        <v>43874</v>
      </c>
      <c r="L94" s="16">
        <f>IF(ISTEXT(Table15[[#This Row],[Engineering Approved Design Date]]),Table15[[#This Row],[Date Completed]]-Table15[[#This Row],[Date Assigned to Designer]],Table15[[#This Row],[Engineering Approved Design Date]]-Table15[[#This Row],[Date Completed]])</f>
        <v>5</v>
      </c>
      <c r="M94" s="642"/>
      <c r="N94" s="642" t="s">
        <v>120</v>
      </c>
      <c r="O94" s="1025">
        <v>43874</v>
      </c>
      <c r="P94" s="21" t="s">
        <v>120</v>
      </c>
      <c r="Q94" s="1151">
        <f>(6447+2609+1128+115)*1.55</f>
        <v>15963.45</v>
      </c>
      <c r="R94" s="1034" t="s">
        <v>2087</v>
      </c>
      <c r="S94" s="538" t="s">
        <v>709</v>
      </c>
      <c r="T94" s="538" t="s">
        <v>709</v>
      </c>
      <c r="U94" s="28" t="s">
        <v>115</v>
      </c>
      <c r="V94" s="858">
        <f>(6447+2609+1128+115)</f>
        <v>10299</v>
      </c>
      <c r="W94" s="437"/>
      <c r="X94" s="538">
        <v>1134813.52</v>
      </c>
      <c r="Y94" s="551">
        <v>160046.46</v>
      </c>
      <c r="Z94" s="538">
        <v>124937.06</v>
      </c>
      <c r="AA94" s="538">
        <f>X94-Y94+Z94</f>
        <v>1099704.1200000001</v>
      </c>
      <c r="AB94" s="21"/>
      <c r="AC94" s="569"/>
      <c r="AD94" s="1149"/>
      <c r="AE94" s="569"/>
      <c r="AF94" s="569"/>
      <c r="AG94" s="569"/>
      <c r="AH94" s="536"/>
      <c r="AI94" s="1028"/>
      <c r="AJ94" s="1029"/>
      <c r="AK94" s="1029"/>
      <c r="AL94" s="1030"/>
      <c r="AM94" s="542" t="s">
        <v>709</v>
      </c>
      <c r="AN94" s="924"/>
      <c r="AO94" s="925"/>
      <c r="AP94" s="926"/>
      <c r="AQ94" s="926"/>
      <c r="AR94" s="926"/>
      <c r="AS94" s="926"/>
      <c r="AT94" s="926"/>
      <c r="AU94" s="926"/>
      <c r="AV94" s="926"/>
      <c r="AW94" s="927"/>
      <c r="AX94" s="926"/>
      <c r="AY94" s="1538" t="s">
        <v>29</v>
      </c>
      <c r="AZ94" s="1530"/>
      <c r="BA94" s="1031" t="s">
        <v>2356</v>
      </c>
      <c r="BB94" s="644" t="s">
        <v>2357</v>
      </c>
      <c r="BC94" s="544"/>
      <c r="BD94" s="544"/>
      <c r="BE94" s="544"/>
      <c r="BF94" s="544"/>
      <c r="BG94" s="544"/>
      <c r="BH94" s="741"/>
      <c r="BI94" s="547" t="s">
        <v>709</v>
      </c>
      <c r="BJ94" s="547" t="s">
        <v>709</v>
      </c>
      <c r="BK94" s="547" t="s">
        <v>709</v>
      </c>
      <c r="BL94" s="547" t="s">
        <v>116</v>
      </c>
      <c r="BM94" s="547" t="s">
        <v>709</v>
      </c>
      <c r="BN94" s="547" t="s">
        <v>709</v>
      </c>
      <c r="BO94" s="547" t="s">
        <v>709</v>
      </c>
      <c r="BP94" s="547">
        <v>115</v>
      </c>
      <c r="BQ94" s="547">
        <v>1128</v>
      </c>
      <c r="BR94" s="547">
        <v>2609</v>
      </c>
      <c r="BS94" s="547">
        <v>6447</v>
      </c>
      <c r="BT94" s="547" t="s">
        <v>709</v>
      </c>
      <c r="BU94" s="547" t="s">
        <v>709</v>
      </c>
      <c r="BV94" s="547" t="s">
        <v>709</v>
      </c>
      <c r="BW94" s="547" t="s">
        <v>709</v>
      </c>
      <c r="BX94" s="547" t="s">
        <v>709</v>
      </c>
      <c r="BY94" s="547" t="s">
        <v>709</v>
      </c>
      <c r="BZ94" s="547" t="s">
        <v>709</v>
      </c>
      <c r="CA94" s="483"/>
      <c r="CB94" s="547">
        <v>92</v>
      </c>
      <c r="CC94" s="1481" t="b">
        <v>1</v>
      </c>
      <c r="CD94" t="str">
        <f>Table15[[#This Row],[Engineering Number]]&amp;Table15[[#This Row],[WO Number]]&amp;Table15[[#This Row],[Date Assigned to Designer]]&amp;Table15[[#This Row],[Date Completed]]</f>
        <v>VW1801204074378743874</v>
      </c>
    </row>
    <row r="95" spans="1:82" customFormat="1" ht="15" customHeight="1" x14ac:dyDescent="0.25">
      <c r="A95">
        <v>2020</v>
      </c>
      <c r="B95" s="8" t="s">
        <v>771</v>
      </c>
      <c r="C95" s="8" t="s">
        <v>2161</v>
      </c>
      <c r="D95" s="8" t="s">
        <v>2162</v>
      </c>
      <c r="E95" s="8" t="s">
        <v>1529</v>
      </c>
      <c r="F95" s="8" t="s">
        <v>325</v>
      </c>
      <c r="G95" s="8" t="s">
        <v>1896</v>
      </c>
      <c r="H95" s="8" t="s">
        <v>2051</v>
      </c>
      <c r="I95" s="642">
        <v>43658</v>
      </c>
      <c r="J95" s="18" t="s">
        <v>2052</v>
      </c>
      <c r="K95" s="642">
        <v>43875</v>
      </c>
      <c r="L95" s="16">
        <f>IF(ISTEXT(Table15[[#This Row],[Engineering Approved Design Date]]),Table15[[#This Row],[Date Completed]]-Table15[[#This Row],[Date Assigned to Designer]],Table15[[#This Row],[Engineering Approved Design Date]]-Table15[[#This Row],[Date Completed]])</f>
        <v>217</v>
      </c>
      <c r="M95" s="642" t="s">
        <v>2367</v>
      </c>
      <c r="N95" s="642" t="s">
        <v>120</v>
      </c>
      <c r="O95" s="1025">
        <v>43875</v>
      </c>
      <c r="P95" s="21" t="s">
        <v>120</v>
      </c>
      <c r="Q95" s="340">
        <f>S95+U95</f>
        <v>7596</v>
      </c>
      <c r="R95" s="1034" t="s">
        <v>1922</v>
      </c>
      <c r="S95" s="538">
        <v>203.5</v>
      </c>
      <c r="T95" s="538" t="s">
        <v>709</v>
      </c>
      <c r="U95" s="28">
        <v>7392.5</v>
      </c>
      <c r="V95" s="858"/>
      <c r="W95" s="437"/>
      <c r="X95" s="538">
        <v>166521.70000000001</v>
      </c>
      <c r="Y95" s="551">
        <v>13597.5</v>
      </c>
      <c r="Z95" s="538">
        <v>53943.97</v>
      </c>
      <c r="AA95" s="538">
        <f>X95-Y95+Z95</f>
        <v>206868.17</v>
      </c>
      <c r="AB95" s="21"/>
      <c r="AC95" s="569"/>
      <c r="AD95" s="1149"/>
      <c r="AE95" s="569"/>
      <c r="AF95" s="569"/>
      <c r="AG95" s="569"/>
      <c r="AH95" s="536"/>
      <c r="AI95" s="1028"/>
      <c r="AJ95" s="1029"/>
      <c r="AK95" s="1029"/>
      <c r="AL95" s="1030"/>
      <c r="AM95" s="542" t="s">
        <v>709</v>
      </c>
      <c r="AN95" s="924"/>
      <c r="AO95" s="925"/>
      <c r="AP95" s="926"/>
      <c r="AQ95" s="926"/>
      <c r="AR95" s="926"/>
      <c r="AS95" s="926"/>
      <c r="AT95" s="926"/>
      <c r="AU95" s="926"/>
      <c r="AV95" s="926"/>
      <c r="AW95" s="927"/>
      <c r="AX95" s="926"/>
      <c r="AY95" s="1538" t="s">
        <v>29</v>
      </c>
      <c r="AZ95" s="1530"/>
      <c r="BA95" s="1031">
        <v>4</v>
      </c>
      <c r="BB95" s="644"/>
      <c r="BC95" s="544"/>
      <c r="BD95" s="544"/>
      <c r="BE95" s="544"/>
      <c r="BF95" s="544"/>
      <c r="BG95" s="544"/>
      <c r="BH95" s="741"/>
      <c r="BI95" s="547" t="s">
        <v>709</v>
      </c>
      <c r="BJ95" s="547" t="s">
        <v>709</v>
      </c>
      <c r="BK95" s="547" t="s">
        <v>709</v>
      </c>
      <c r="BL95" s="547" t="s">
        <v>116</v>
      </c>
      <c r="BM95" s="547" t="s">
        <v>709</v>
      </c>
      <c r="BN95" s="547" t="s">
        <v>709</v>
      </c>
      <c r="BO95" s="547" t="s">
        <v>709</v>
      </c>
      <c r="BP95" s="547" t="s">
        <v>709</v>
      </c>
      <c r="BQ95" s="547" t="s">
        <v>709</v>
      </c>
      <c r="BR95" s="547" t="s">
        <v>709</v>
      </c>
      <c r="BS95" s="547">
        <v>1108</v>
      </c>
      <c r="BT95" s="547" t="s">
        <v>709</v>
      </c>
      <c r="BU95" s="547" t="s">
        <v>709</v>
      </c>
      <c r="BV95" s="547" t="s">
        <v>709</v>
      </c>
      <c r="BW95" s="547" t="s">
        <v>709</v>
      </c>
      <c r="BX95" s="547" t="s">
        <v>709</v>
      </c>
      <c r="BY95" s="547" t="s">
        <v>709</v>
      </c>
      <c r="BZ95" s="547" t="s">
        <v>709</v>
      </c>
      <c r="CA95" s="483"/>
      <c r="CB95" s="547">
        <v>94</v>
      </c>
      <c r="CC95" s="1481" t="b">
        <v>1</v>
      </c>
      <c r="CD95" t="str">
        <f>Table15[[#This Row],[Engineering Number]]&amp;Table15[[#This Row],[WO Number]]&amp;Table15[[#This Row],[Date Assigned to Designer]]&amp;Table15[[#This Row],[Date Completed]]</f>
        <v>MLP251203424365843875</v>
      </c>
    </row>
    <row r="96" spans="1:82" customFormat="1" ht="15" customHeight="1" x14ac:dyDescent="0.25">
      <c r="A96">
        <v>2020</v>
      </c>
      <c r="B96" s="8" t="s">
        <v>4</v>
      </c>
      <c r="C96" s="8" t="s">
        <v>2369</v>
      </c>
      <c r="D96" s="8" t="s">
        <v>2370</v>
      </c>
      <c r="E96" s="8" t="s">
        <v>245</v>
      </c>
      <c r="F96" s="8" t="s">
        <v>325</v>
      </c>
      <c r="G96" s="8" t="s">
        <v>1896</v>
      </c>
      <c r="H96" s="8" t="s">
        <v>59</v>
      </c>
      <c r="I96" s="642">
        <v>43784</v>
      </c>
      <c r="J96" s="18">
        <v>43875</v>
      </c>
      <c r="K96" s="642">
        <v>43875</v>
      </c>
      <c r="L96" s="16">
        <f>IF(ISTEXT(Table15[[#This Row],[Engineering Approved Design Date]]),Table15[[#This Row],[Date Completed]]-Table15[[#This Row],[Date Assigned to Designer]],Table15[[#This Row],[Engineering Approved Design Date]]-Table15[[#This Row],[Date Completed]])</f>
        <v>0</v>
      </c>
      <c r="M96" s="642"/>
      <c r="N96" s="642" t="s">
        <v>120</v>
      </c>
      <c r="O96" s="1025">
        <v>43875</v>
      </c>
      <c r="P96" s="21" t="s">
        <v>739</v>
      </c>
      <c r="Q96" s="1151">
        <f>AA96*R96</f>
        <v>41888.093999999997</v>
      </c>
      <c r="R96" s="1034">
        <v>0.1</v>
      </c>
      <c r="S96" s="538" t="s">
        <v>709</v>
      </c>
      <c r="T96" s="538" t="s">
        <v>709</v>
      </c>
      <c r="U96" s="28" t="s">
        <v>115</v>
      </c>
      <c r="V96" s="858">
        <v>3566</v>
      </c>
      <c r="W96" s="437"/>
      <c r="X96" s="538">
        <v>378091.66</v>
      </c>
      <c r="Y96" s="551">
        <v>55415.64</v>
      </c>
      <c r="Z96" s="538">
        <v>40789.279999999999</v>
      </c>
      <c r="AA96" s="538">
        <f>X96+Z96</f>
        <v>418880.93999999994</v>
      </c>
      <c r="AB96" s="21"/>
      <c r="AC96" s="569"/>
      <c r="AD96" s="1149"/>
      <c r="AE96" s="580"/>
      <c r="AF96" s="580"/>
      <c r="AG96" s="580"/>
      <c r="AH96" s="542"/>
      <c r="AI96" s="1028"/>
      <c r="AJ96" s="1029"/>
      <c r="AK96" s="1029"/>
      <c r="AL96" s="1030"/>
      <c r="AM96" s="542" t="s">
        <v>116</v>
      </c>
      <c r="AN96" s="1508">
        <v>43980</v>
      </c>
      <c r="AO96" s="925">
        <v>186675</v>
      </c>
      <c r="AP96" s="926">
        <v>378091.66</v>
      </c>
      <c r="AQ96" s="926">
        <v>55415.64</v>
      </c>
      <c r="AR96" s="926">
        <v>40789.279999999999</v>
      </c>
      <c r="AS96" s="926">
        <f>IF(Table15[[#This Row],[PCTS Approved]]="N",0,Table15[[#This Row],[Investment Amount (1'#'#'#'#'#)]]+Table15[[#This Row],[Retirement Amount (3'#'#'#'#'#)]])</f>
        <v>418880.93999999994</v>
      </c>
      <c r="AT96" s="926">
        <f>IF(Table15[[#This Row],[Approved Construction Cost]]=0,0,Table15[[#This Row],[Approved Construction Cost]]-Table15[[#This Row],[Construction Cost to Bill From]])</f>
        <v>0</v>
      </c>
      <c r="AU96" s="926">
        <f>Table15[[#This Row],[Difference in Construction Cost]]*Table15[[#This Row],[Rate]]</f>
        <v>0</v>
      </c>
      <c r="AV96" s="926" t="s">
        <v>709</v>
      </c>
      <c r="AW96" s="927" t="s">
        <v>115</v>
      </c>
      <c r="AX96" s="926"/>
      <c r="AY96" s="636" t="s">
        <v>1935</v>
      </c>
      <c r="AZ96" s="1531"/>
      <c r="BA96" s="1031" t="s">
        <v>2371</v>
      </c>
      <c r="BB96" s="644" t="s">
        <v>2372</v>
      </c>
      <c r="BC96" s="544"/>
      <c r="BD96" s="544"/>
      <c r="BE96" s="544"/>
      <c r="BF96" s="544"/>
      <c r="BG96" s="544"/>
      <c r="BH96" s="741"/>
      <c r="BI96" s="547" t="s">
        <v>709</v>
      </c>
      <c r="BJ96" s="547" t="s">
        <v>709</v>
      </c>
      <c r="BK96" s="547" t="s">
        <v>709</v>
      </c>
      <c r="BL96" s="547" t="s">
        <v>116</v>
      </c>
      <c r="BM96" s="547" t="s">
        <v>709</v>
      </c>
      <c r="BN96" s="547" t="s">
        <v>709</v>
      </c>
      <c r="BO96" s="547" t="s">
        <v>709</v>
      </c>
      <c r="BP96" s="547" t="s">
        <v>709</v>
      </c>
      <c r="BQ96" s="547" t="s">
        <v>709</v>
      </c>
      <c r="BR96" s="547" t="s">
        <v>709</v>
      </c>
      <c r="BS96" s="547">
        <v>3556</v>
      </c>
      <c r="BT96" s="547" t="s">
        <v>709</v>
      </c>
      <c r="BU96" s="547" t="s">
        <v>709</v>
      </c>
      <c r="BV96" s="547" t="s">
        <v>709</v>
      </c>
      <c r="BW96" s="547" t="s">
        <v>709</v>
      </c>
      <c r="BX96" s="547" t="s">
        <v>709</v>
      </c>
      <c r="BY96" s="547" t="s">
        <v>709</v>
      </c>
      <c r="BZ96" s="547" t="s">
        <v>709</v>
      </c>
      <c r="CA96" s="483" t="s">
        <v>915</v>
      </c>
      <c r="CB96" s="547">
        <v>95</v>
      </c>
      <c r="CC96" s="1481" t="b">
        <v>1</v>
      </c>
      <c r="CD96" t="str">
        <f>Table15[[#This Row],[Engineering Number]]&amp;Table15[[#This Row],[WO Number]]&amp;Table15[[#This Row],[Date Assigned to Designer]]&amp;Table15[[#This Row],[Date Completed]]</f>
        <v>N125511291744378443875</v>
      </c>
    </row>
    <row r="97" spans="1:82" customFormat="1" ht="15" customHeight="1" x14ac:dyDescent="0.25">
      <c r="A97">
        <v>2019</v>
      </c>
      <c r="B97" s="8" t="s">
        <v>4</v>
      </c>
      <c r="C97" s="8" t="s">
        <v>2198</v>
      </c>
      <c r="D97" s="8" t="s">
        <v>2199</v>
      </c>
      <c r="E97" s="8" t="s">
        <v>1969</v>
      </c>
      <c r="F97" s="8" t="s">
        <v>919</v>
      </c>
      <c r="G97" s="8" t="s">
        <v>1896</v>
      </c>
      <c r="H97" s="8" t="s">
        <v>2051</v>
      </c>
      <c r="I97" s="642">
        <v>43698</v>
      </c>
      <c r="J97" s="18" t="s">
        <v>2052</v>
      </c>
      <c r="K97" s="642">
        <v>43875</v>
      </c>
      <c r="L97" s="16">
        <f>IF(ISTEXT(Table15[[#This Row],[Engineering Approved Design Date]]),Table15[[#This Row],[Date Completed]]-Table15[[#This Row],[Date Assigned to Designer]],Table15[[#This Row],[Engineering Approved Design Date]]-Table15[[#This Row],[Date Completed]])</f>
        <v>177</v>
      </c>
      <c r="M97" s="642" t="s">
        <v>2365</v>
      </c>
      <c r="N97" s="642" t="s">
        <v>120</v>
      </c>
      <c r="O97" s="1025">
        <v>43875</v>
      </c>
      <c r="P97" s="21" t="s">
        <v>739</v>
      </c>
      <c r="Q97" s="340">
        <f>S97+U97</f>
        <v>9949.5</v>
      </c>
      <c r="R97" s="1034" t="s">
        <v>1922</v>
      </c>
      <c r="S97" s="538">
        <v>232</v>
      </c>
      <c r="T97" s="538" t="s">
        <v>709</v>
      </c>
      <c r="U97" s="28">
        <v>9717.5</v>
      </c>
      <c r="V97" s="858"/>
      <c r="W97" s="437"/>
      <c r="X97" s="538"/>
      <c r="Y97" s="551"/>
      <c r="Z97" s="538"/>
      <c r="AA97" s="538"/>
      <c r="AB97" s="21"/>
      <c r="AC97" s="569"/>
      <c r="AD97" s="1149"/>
      <c r="AE97" s="580"/>
      <c r="AF97" s="580"/>
      <c r="AG97" s="580"/>
      <c r="AH97" s="542"/>
      <c r="AI97" s="1028"/>
      <c r="AJ97" s="1029"/>
      <c r="AK97" s="1029"/>
      <c r="AL97" s="1030"/>
      <c r="AM97" s="542" t="s">
        <v>709</v>
      </c>
      <c r="AN97" s="924"/>
      <c r="AO97" s="925"/>
      <c r="AP97" s="926"/>
      <c r="AQ97" s="926"/>
      <c r="AR97" s="926"/>
      <c r="AS97" s="926"/>
      <c r="AT97" s="926"/>
      <c r="AU97" s="926"/>
      <c r="AV97" s="926"/>
      <c r="AW97" s="927"/>
      <c r="AX97" s="926"/>
      <c r="AY97" s="1538" t="s">
        <v>29</v>
      </c>
      <c r="AZ97" s="1530"/>
      <c r="BA97" s="1031">
        <v>12</v>
      </c>
      <c r="BB97" s="644"/>
      <c r="BC97" s="544"/>
      <c r="BD97" s="544"/>
      <c r="BE97" s="544"/>
      <c r="BF97" s="544"/>
      <c r="BG97" s="544"/>
      <c r="BH97" s="741"/>
      <c r="BI97" s="547" t="s">
        <v>709</v>
      </c>
      <c r="BJ97" s="547" t="s">
        <v>709</v>
      </c>
      <c r="BK97" s="547" t="s">
        <v>709</v>
      </c>
      <c r="BL97" s="547" t="s">
        <v>116</v>
      </c>
      <c r="BM97" s="547" t="s">
        <v>709</v>
      </c>
      <c r="BN97" s="547" t="s">
        <v>709</v>
      </c>
      <c r="BO97" s="547" t="s">
        <v>709</v>
      </c>
      <c r="BP97" s="547" t="s">
        <v>709</v>
      </c>
      <c r="BQ97" s="547" t="s">
        <v>709</v>
      </c>
      <c r="BR97" s="547" t="s">
        <v>709</v>
      </c>
      <c r="BS97" s="547">
        <v>2186</v>
      </c>
      <c r="BT97" s="547" t="s">
        <v>709</v>
      </c>
      <c r="BU97" s="547" t="s">
        <v>709</v>
      </c>
      <c r="BV97" s="547" t="s">
        <v>709</v>
      </c>
      <c r="BW97" s="547" t="s">
        <v>709</v>
      </c>
      <c r="BX97" s="547" t="s">
        <v>709</v>
      </c>
      <c r="BY97" s="547" t="s">
        <v>709</v>
      </c>
      <c r="BZ97" s="547" t="s">
        <v>709</v>
      </c>
      <c r="CA97" s="483"/>
      <c r="CB97" s="547">
        <v>93</v>
      </c>
      <c r="CC97" s="1481" t="b">
        <v>1</v>
      </c>
      <c r="CD97" t="str">
        <f>Table15[[#This Row],[Engineering Number]]&amp;Table15[[#This Row],[WO Number]]&amp;Table15[[#This Row],[Date Assigned to Designer]]&amp;Table15[[#This Row],[Date Completed]]</f>
        <v>SC169491407474369843875</v>
      </c>
    </row>
    <row r="98" spans="1:82" customFormat="1" ht="15" customHeight="1" x14ac:dyDescent="0.25">
      <c r="A98">
        <v>2020</v>
      </c>
      <c r="B98" s="8" t="s">
        <v>1073</v>
      </c>
      <c r="C98" s="8" t="s">
        <v>2374</v>
      </c>
      <c r="D98" s="8" t="s">
        <v>115</v>
      </c>
      <c r="E98" s="8" t="s">
        <v>2375</v>
      </c>
      <c r="F98" s="8" t="s">
        <v>325</v>
      </c>
      <c r="G98" s="8" t="s">
        <v>36</v>
      </c>
      <c r="H98" s="8" t="s">
        <v>2127</v>
      </c>
      <c r="I98" s="642">
        <v>43857</v>
      </c>
      <c r="J98" s="18">
        <v>43945</v>
      </c>
      <c r="K98" s="642">
        <v>43876</v>
      </c>
      <c r="L98" s="16">
        <f>IF(ISTEXT(Table15[[#This Row],[Engineering Approved Design Date]]),Table15[[#This Row],[Date Completed]]-Table15[[#This Row],[Date Assigned to Designer]],Table15[[#This Row],[Engineering Approved Design Date]]-Table15[[#This Row],[Date Completed]])</f>
        <v>69</v>
      </c>
      <c r="M98" s="642"/>
      <c r="N98" s="642" t="s">
        <v>120</v>
      </c>
      <c r="O98" s="1025">
        <v>43876</v>
      </c>
      <c r="P98" s="21" t="s">
        <v>739</v>
      </c>
      <c r="Q98" s="1151">
        <f>U98</f>
        <v>7390</v>
      </c>
      <c r="R98" s="1034" t="s">
        <v>1922</v>
      </c>
      <c r="S98" s="538" t="s">
        <v>709</v>
      </c>
      <c r="T98" s="538" t="s">
        <v>709</v>
      </c>
      <c r="U98" s="28">
        <v>7390</v>
      </c>
      <c r="V98" s="858"/>
      <c r="W98" s="437"/>
      <c r="X98" s="538"/>
      <c r="Y98" s="551"/>
      <c r="Z98" s="538"/>
      <c r="AA98" s="538">
        <f>23365+0</f>
        <v>23365</v>
      </c>
      <c r="AB98" s="21"/>
      <c r="AC98" s="569"/>
      <c r="AD98" s="1149"/>
      <c r="AE98" s="569"/>
      <c r="AF98" s="569"/>
      <c r="AG98" s="569"/>
      <c r="AH98" s="536"/>
      <c r="AI98" s="1028"/>
      <c r="AJ98" s="1029"/>
      <c r="AK98" s="1029"/>
      <c r="AL98" s="1030"/>
      <c r="AM98" s="542" t="s">
        <v>709</v>
      </c>
      <c r="AN98" s="924"/>
      <c r="AO98" s="925"/>
      <c r="AP98" s="926"/>
      <c r="AQ98" s="926"/>
      <c r="AR98" s="926"/>
      <c r="AS98" s="926"/>
      <c r="AT98" s="926"/>
      <c r="AU98" s="926"/>
      <c r="AV98" s="926"/>
      <c r="AW98" s="927"/>
      <c r="AX98" s="926"/>
      <c r="AY98" s="1538" t="s">
        <v>29</v>
      </c>
      <c r="AZ98" s="1530"/>
      <c r="BA98" s="1031"/>
      <c r="BB98" s="644"/>
      <c r="BC98" s="544"/>
      <c r="BD98" s="544"/>
      <c r="BE98" s="544"/>
      <c r="BF98" s="544"/>
      <c r="BG98" s="544"/>
      <c r="BH98" s="741"/>
      <c r="BI98" s="547"/>
      <c r="BJ98" s="547"/>
      <c r="BK98" s="547"/>
      <c r="BL98" s="547"/>
      <c r="BM98" s="547"/>
      <c r="BN98" s="547"/>
      <c r="BO98" s="547"/>
      <c r="BP98" s="547"/>
      <c r="BQ98" s="547"/>
      <c r="BR98" s="547"/>
      <c r="BS98" s="547"/>
      <c r="BT98" s="547"/>
      <c r="BU98" s="547"/>
      <c r="BV98" s="547"/>
      <c r="BW98" s="547"/>
      <c r="BX98" s="547"/>
      <c r="BY98" s="547"/>
      <c r="BZ98" s="547" t="s">
        <v>709</v>
      </c>
      <c r="CA98" s="483" t="s">
        <v>915</v>
      </c>
      <c r="CB98" s="547">
        <v>96</v>
      </c>
      <c r="CC98" s="1481" t="b">
        <v>1</v>
      </c>
      <c r="CD98" t="str">
        <f>Table15[[#This Row],[Engineering Number]]&amp;Table15[[#This Row],[WO Number]]&amp;Table15[[#This Row],[Date Assigned to Designer]]&amp;Table15[[#This Row],[Date Completed]]</f>
        <v>NBA1695921-4385743876</v>
      </c>
    </row>
    <row r="99" spans="1:82" customFormat="1" ht="15" customHeight="1" x14ac:dyDescent="0.25">
      <c r="A99">
        <v>2020</v>
      </c>
      <c r="B99" s="8" t="s">
        <v>771</v>
      </c>
      <c r="C99" s="8" t="s">
        <v>2377</v>
      </c>
      <c r="D99" s="8" t="s">
        <v>2378</v>
      </c>
      <c r="E99" s="8" t="s">
        <v>149</v>
      </c>
      <c r="F99" s="8" t="s">
        <v>325</v>
      </c>
      <c r="G99" s="8" t="s">
        <v>1882</v>
      </c>
      <c r="H99" s="8" t="s">
        <v>59</v>
      </c>
      <c r="I99" s="642">
        <v>43787</v>
      </c>
      <c r="J99" s="18">
        <v>43879</v>
      </c>
      <c r="K99" s="642">
        <v>43877</v>
      </c>
      <c r="L99" s="16">
        <f>IF(ISTEXT(Table15[[#This Row],[Engineering Approved Design Date]]),Table15[[#This Row],[Date Completed]]-Table15[[#This Row],[Date Assigned to Designer]],Table15[[#This Row],[Engineering Approved Design Date]]-Table15[[#This Row],[Date Completed]])</f>
        <v>2</v>
      </c>
      <c r="M99" s="642"/>
      <c r="N99" s="642" t="s">
        <v>120</v>
      </c>
      <c r="O99" s="1025">
        <v>44613</v>
      </c>
      <c r="P99" s="21" t="s">
        <v>120</v>
      </c>
      <c r="Q99" s="1151">
        <f>(8750+600+1676)*1.55</f>
        <v>17090.3</v>
      </c>
      <c r="R99" s="1026" t="s">
        <v>2087</v>
      </c>
      <c r="S99" s="538" t="s">
        <v>709</v>
      </c>
      <c r="T99" s="538" t="s">
        <v>709</v>
      </c>
      <c r="U99" s="28" t="s">
        <v>115</v>
      </c>
      <c r="V99" s="858">
        <f>(8750+600+1676)</f>
        <v>11026</v>
      </c>
      <c r="W99" s="437"/>
      <c r="X99" s="538">
        <v>1169179.32</v>
      </c>
      <c r="Y99" s="551">
        <v>171344.04</v>
      </c>
      <c r="Z99" s="538">
        <v>138216.54</v>
      </c>
      <c r="AA99" s="538">
        <f>X99-Y99+Z99</f>
        <v>1136051.82</v>
      </c>
      <c r="AB99" s="21"/>
      <c r="AC99" s="569"/>
      <c r="AD99" s="1149"/>
      <c r="AE99" s="569"/>
      <c r="AF99" s="569"/>
      <c r="AG99" s="569"/>
      <c r="AH99" s="536"/>
      <c r="AI99" s="1028"/>
      <c r="AJ99" s="1029"/>
      <c r="AK99" s="1029"/>
      <c r="AL99" s="1030"/>
      <c r="AM99" s="542" t="s">
        <v>709</v>
      </c>
      <c r="AN99" s="924"/>
      <c r="AO99" s="925"/>
      <c r="AP99" s="926"/>
      <c r="AQ99" s="926"/>
      <c r="AR99" s="926"/>
      <c r="AS99" s="926"/>
      <c r="AT99" s="926"/>
      <c r="AU99" s="926"/>
      <c r="AV99" s="926"/>
      <c r="AW99" s="927"/>
      <c r="AX99" s="926"/>
      <c r="AY99" s="1538" t="s">
        <v>29</v>
      </c>
      <c r="AZ99" s="1530"/>
      <c r="BA99" s="1031" t="s">
        <v>2379</v>
      </c>
      <c r="BB99" s="644" t="s">
        <v>2380</v>
      </c>
      <c r="BC99" s="544"/>
      <c r="BD99" s="544"/>
      <c r="BE99" s="544"/>
      <c r="BF99" s="544"/>
      <c r="BG99" s="544"/>
      <c r="BH99" s="741"/>
      <c r="BI99" s="547" t="s">
        <v>709</v>
      </c>
      <c r="BJ99" s="547" t="s">
        <v>709</v>
      </c>
      <c r="BK99" s="547" t="s">
        <v>709</v>
      </c>
      <c r="BL99" s="547" t="s">
        <v>116</v>
      </c>
      <c r="BM99" s="547" t="s">
        <v>709</v>
      </c>
      <c r="BN99" s="547" t="s">
        <v>709</v>
      </c>
      <c r="BO99" s="547" t="s">
        <v>709</v>
      </c>
      <c r="BP99" s="547" t="s">
        <v>709</v>
      </c>
      <c r="BQ99" s="547">
        <v>1676</v>
      </c>
      <c r="BR99" s="547">
        <v>600</v>
      </c>
      <c r="BS99" s="547">
        <v>8750</v>
      </c>
      <c r="BT99" s="547" t="s">
        <v>745</v>
      </c>
      <c r="BU99" s="547" t="s">
        <v>709</v>
      </c>
      <c r="BV99" s="547" t="s">
        <v>745</v>
      </c>
      <c r="BW99" s="547" t="s">
        <v>709</v>
      </c>
      <c r="BX99" s="547" t="s">
        <v>745</v>
      </c>
      <c r="BY99" s="547" t="s">
        <v>745</v>
      </c>
      <c r="BZ99" s="547" t="s">
        <v>709</v>
      </c>
      <c r="CA99" s="483"/>
      <c r="CB99" s="547">
        <v>97</v>
      </c>
      <c r="CC99" s="1481" t="b">
        <v>1</v>
      </c>
      <c r="CD99" t="str">
        <f>Table15[[#This Row],[Engineering Number]]&amp;Table15[[#This Row],[WO Number]]&amp;Table15[[#This Row],[Date Assigned to Designer]]&amp;Table15[[#This Row],[Date Completed]]</f>
        <v>VW1811204084378743877</v>
      </c>
    </row>
    <row r="100" spans="1:82" customFormat="1" ht="15" customHeight="1" x14ac:dyDescent="0.25">
      <c r="A100">
        <v>2020</v>
      </c>
      <c r="B100" s="8" t="s">
        <v>4</v>
      </c>
      <c r="C100" s="8" t="s">
        <v>1142</v>
      </c>
      <c r="D100" s="656" t="s">
        <v>1143</v>
      </c>
      <c r="E100" s="8" t="s">
        <v>859</v>
      </c>
      <c r="F100" s="8" t="s">
        <v>919</v>
      </c>
      <c r="G100" s="8" t="s">
        <v>1896</v>
      </c>
      <c r="H100" s="8" t="s">
        <v>59</v>
      </c>
      <c r="I100" s="642">
        <v>43784</v>
      </c>
      <c r="J100" s="18">
        <v>43889</v>
      </c>
      <c r="K100" s="642">
        <v>43879</v>
      </c>
      <c r="L100" s="16">
        <f>IF(ISTEXT(Table15[[#This Row],[Engineering Approved Design Date]]),Table15[[#This Row],[Date Completed]]-Table15[[#This Row],[Date Assigned to Designer]],Table15[[#This Row],[Engineering Approved Design Date]]-Table15[[#This Row],[Date Completed]])</f>
        <v>10</v>
      </c>
      <c r="M100" s="642"/>
      <c r="N100" s="642" t="s">
        <v>120</v>
      </c>
      <c r="O100" s="1025">
        <v>43879</v>
      </c>
      <c r="P100" s="21" t="s">
        <v>739</v>
      </c>
      <c r="Q100" s="1151">
        <f>AA100*R100</f>
        <v>935.61400000000003</v>
      </c>
      <c r="R100" s="1034">
        <v>0.1</v>
      </c>
      <c r="S100" s="538" t="s">
        <v>709</v>
      </c>
      <c r="T100" s="538" t="s">
        <v>709</v>
      </c>
      <c r="U100" s="28" t="s">
        <v>115</v>
      </c>
      <c r="V100" s="858" t="s">
        <v>115</v>
      </c>
      <c r="W100" s="437"/>
      <c r="X100" s="538">
        <v>0</v>
      </c>
      <c r="Y100" s="551">
        <v>0</v>
      </c>
      <c r="Z100" s="538">
        <v>9356.14</v>
      </c>
      <c r="AA100" s="538">
        <f>X100-Y100+Z100</f>
        <v>9356.14</v>
      </c>
      <c r="AB100" s="21"/>
      <c r="AC100" s="569"/>
      <c r="AD100" s="1149"/>
      <c r="AE100" s="580"/>
      <c r="AF100" s="580"/>
      <c r="AG100" s="580"/>
      <c r="AH100" s="542"/>
      <c r="AI100" s="1028"/>
      <c r="AJ100" s="1029"/>
      <c r="AK100" s="1029"/>
      <c r="AL100" s="1030"/>
      <c r="AM100" s="536" t="s">
        <v>116</v>
      </c>
      <c r="AN100" s="903" t="s">
        <v>709</v>
      </c>
      <c r="AO100" s="1536" t="s">
        <v>115</v>
      </c>
      <c r="AP100" s="1537"/>
      <c r="AQ100" s="1537"/>
      <c r="AR100" s="1537"/>
      <c r="AS100" s="888">
        <f>IF(Table15[[#This Row],[PCTS Approved]]="N",0,Table15[[#This Row],[Investment Amount (1'#'#'#'#'#)]]+Table15[[#This Row],[Retirement Amount (3'#'#'#'#'#)]])</f>
        <v>0</v>
      </c>
      <c r="AT100" s="888">
        <f>IF(Table15[[#This Row],[Approved Construction Cost]]=0,0,Table15[[#This Row],[Approved Construction Cost]]-Table15[[#This Row],[Construction Cost to Bill From]])</f>
        <v>0</v>
      </c>
      <c r="AU100" s="888">
        <f>IFERROR(Table15[[#This Row],[Difference in Construction Cost]]*Table15[[#This Row],[Rate]],Table15[[#This Row],[Difference in Construction Cost]]*0.085)</f>
        <v>0</v>
      </c>
      <c r="AV100" s="905"/>
      <c r="AW100" s="1509"/>
      <c r="AX100" s="888"/>
      <c r="AY100" s="636" t="s">
        <v>709</v>
      </c>
      <c r="AZ100" s="333">
        <v>54</v>
      </c>
      <c r="BA100" s="859" t="s">
        <v>1144</v>
      </c>
      <c r="BB100" s="644" t="s">
        <v>1145</v>
      </c>
      <c r="BC100" s="544"/>
      <c r="BD100" s="544"/>
      <c r="BE100" s="544"/>
      <c r="BF100" s="544"/>
      <c r="BG100" s="544"/>
      <c r="BH100" s="741"/>
      <c r="BI100" s="547" t="s">
        <v>709</v>
      </c>
      <c r="BJ100" s="547" t="s">
        <v>709</v>
      </c>
      <c r="BK100" s="547" t="s">
        <v>709</v>
      </c>
      <c r="BL100" s="547" t="s">
        <v>709</v>
      </c>
      <c r="BM100" s="547" t="s">
        <v>709</v>
      </c>
      <c r="BN100" s="547" t="s">
        <v>709</v>
      </c>
      <c r="BO100" s="547" t="s">
        <v>709</v>
      </c>
      <c r="BP100" s="547" t="s">
        <v>709</v>
      </c>
      <c r="BQ100" s="547" t="s">
        <v>709</v>
      </c>
      <c r="BR100" s="547" t="s">
        <v>709</v>
      </c>
      <c r="BS100" s="547" t="s">
        <v>709</v>
      </c>
      <c r="BT100" s="547" t="s">
        <v>709</v>
      </c>
      <c r="BU100" s="547" t="s">
        <v>709</v>
      </c>
      <c r="BV100" s="547" t="s">
        <v>709</v>
      </c>
      <c r="BW100" s="547" t="s">
        <v>709</v>
      </c>
      <c r="BX100" s="547" t="s">
        <v>709</v>
      </c>
      <c r="BY100" s="547" t="s">
        <v>709</v>
      </c>
      <c r="BZ100" s="547" t="s">
        <v>709</v>
      </c>
      <c r="CA100" s="483" t="s">
        <v>1146</v>
      </c>
      <c r="CB100" s="547">
        <v>98</v>
      </c>
      <c r="CC100" s="1481" t="b">
        <v>1</v>
      </c>
      <c r="CD100" t="str">
        <f>Table15[[#This Row],[Engineering Number]]&amp;Table15[[#This Row],[WO Number]]&amp;Table15[[#This Row],[Date Assigned to Designer]]&amp;Table15[[#This Row],[Date Completed]]</f>
        <v>SC171743356574378443879</v>
      </c>
    </row>
    <row r="101" spans="1:82" customFormat="1" ht="15" customHeight="1" x14ac:dyDescent="0.25">
      <c r="A101">
        <v>2020</v>
      </c>
      <c r="B101" s="8" t="s">
        <v>4</v>
      </c>
      <c r="C101" s="8" t="s">
        <v>2265</v>
      </c>
      <c r="D101" s="8" t="s">
        <v>2266</v>
      </c>
      <c r="E101" s="8" t="s">
        <v>2267</v>
      </c>
      <c r="F101" s="8" t="s">
        <v>919</v>
      </c>
      <c r="G101" s="8" t="s">
        <v>36</v>
      </c>
      <c r="H101" s="8" t="s">
        <v>2051</v>
      </c>
      <c r="I101" s="642">
        <v>43720</v>
      </c>
      <c r="J101" s="18" t="s">
        <v>2052</v>
      </c>
      <c r="K101" s="642">
        <v>43879</v>
      </c>
      <c r="L101" s="16">
        <f>IF(ISTEXT(Table15[[#This Row],[Engineering Approved Design Date]]),Table15[[#This Row],[Date Completed]]-Table15[[#This Row],[Date Assigned to Designer]],Table15[[#This Row],[Engineering Approved Design Date]]-Table15[[#This Row],[Date Completed]])</f>
        <v>159</v>
      </c>
      <c r="M101" s="642" t="s">
        <v>2382</v>
      </c>
      <c r="N101" s="642" t="s">
        <v>120</v>
      </c>
      <c r="O101" s="1025">
        <v>43891</v>
      </c>
      <c r="P101" s="21" t="s">
        <v>739</v>
      </c>
      <c r="Q101" s="1151">
        <f>IF(Table15[[#This Row],[Shactee Effort]]="N",0,Table15[[#This Row],[Shactee Effort]])+IF(Table15[[#This Row],[3rd Party Effort]]="N",0,Table15[[#This Row],[3rd Party Effort]])+Table15[[#This Row],[KH Hourly Effort]]</f>
        <v>9731</v>
      </c>
      <c r="R101" s="1034" t="s">
        <v>1922</v>
      </c>
      <c r="S101" s="538">
        <v>581</v>
      </c>
      <c r="T101" s="538" t="s">
        <v>709</v>
      </c>
      <c r="U101" s="28">
        <v>9150</v>
      </c>
      <c r="V101" s="858"/>
      <c r="W101" s="437"/>
      <c r="X101" s="538"/>
      <c r="Y101" s="551"/>
      <c r="Z101" s="538"/>
      <c r="AA101" s="538"/>
      <c r="AB101" s="21"/>
      <c r="AC101" s="569"/>
      <c r="AD101" s="1149"/>
      <c r="AE101" s="580"/>
      <c r="AF101" s="580"/>
      <c r="AG101" s="580"/>
      <c r="AH101" s="542"/>
      <c r="AI101" s="1028"/>
      <c r="AJ101" s="1029"/>
      <c r="AK101" s="1029"/>
      <c r="AL101" s="1030"/>
      <c r="AM101" s="542" t="s">
        <v>709</v>
      </c>
      <c r="AN101" s="924"/>
      <c r="AO101" s="925"/>
      <c r="AP101" s="926"/>
      <c r="AQ101" s="926"/>
      <c r="AR101" s="926"/>
      <c r="AS101" s="926"/>
      <c r="AT101" s="926"/>
      <c r="AU101" s="926"/>
      <c r="AV101" s="926"/>
      <c r="AW101" s="927"/>
      <c r="AX101" s="926"/>
      <c r="AY101" s="1538" t="s">
        <v>29</v>
      </c>
      <c r="AZ101" s="1530"/>
      <c r="BA101" s="1031">
        <v>11</v>
      </c>
      <c r="BB101" s="644"/>
      <c r="BC101" s="544"/>
      <c r="BD101" s="544"/>
      <c r="BE101" s="544"/>
      <c r="BF101" s="544"/>
      <c r="BG101" s="544"/>
      <c r="BH101" s="741"/>
      <c r="BI101" s="547" t="s">
        <v>709</v>
      </c>
      <c r="BJ101" s="547" t="s">
        <v>709</v>
      </c>
      <c r="BK101" s="547" t="s">
        <v>709</v>
      </c>
      <c r="BL101" s="547" t="s">
        <v>116</v>
      </c>
      <c r="BM101" s="547" t="s">
        <v>709</v>
      </c>
      <c r="BN101" s="547" t="s">
        <v>709</v>
      </c>
      <c r="BO101" s="547" t="s">
        <v>709</v>
      </c>
      <c r="BP101" s="547" t="s">
        <v>709</v>
      </c>
      <c r="BQ101" s="547" t="s">
        <v>709</v>
      </c>
      <c r="BR101" s="547">
        <v>1628</v>
      </c>
      <c r="BS101" s="547" t="s">
        <v>709</v>
      </c>
      <c r="BT101" s="547" t="s">
        <v>709</v>
      </c>
      <c r="BU101" s="547" t="s">
        <v>709</v>
      </c>
      <c r="BV101" s="547" t="s">
        <v>709</v>
      </c>
      <c r="BW101" s="547" t="s">
        <v>709</v>
      </c>
      <c r="BX101" s="547" t="s">
        <v>709</v>
      </c>
      <c r="BY101" s="547" t="s">
        <v>709</v>
      </c>
      <c r="BZ101" s="547" t="s">
        <v>709</v>
      </c>
      <c r="CA101" s="483"/>
      <c r="CB101" s="547">
        <v>99</v>
      </c>
      <c r="CC101" s="1481" t="b">
        <v>1</v>
      </c>
      <c r="CD101" t="str">
        <f>Table15[[#This Row],[Engineering Number]]&amp;Table15[[#This Row],[WO Number]]&amp;Table15[[#This Row],[Date Assigned to Designer]]&amp;Table15[[#This Row],[Date Completed]]</f>
        <v>SC116681407544372043879</v>
      </c>
    </row>
    <row r="102" spans="1:82" customFormat="1" ht="15" customHeight="1" x14ac:dyDescent="0.25">
      <c r="A102">
        <v>2020</v>
      </c>
      <c r="B102" s="8" t="s">
        <v>4</v>
      </c>
      <c r="C102" s="8" t="s">
        <v>2385</v>
      </c>
      <c r="D102" s="8" t="s">
        <v>115</v>
      </c>
      <c r="E102" s="8" t="s">
        <v>2386</v>
      </c>
      <c r="F102" s="8" t="s">
        <v>919</v>
      </c>
      <c r="G102" s="8" t="s">
        <v>1887</v>
      </c>
      <c r="H102" s="8" t="s">
        <v>59</v>
      </c>
      <c r="I102" s="642">
        <v>43852</v>
      </c>
      <c r="J102" s="18">
        <v>43885</v>
      </c>
      <c r="K102" s="642">
        <v>43880</v>
      </c>
      <c r="L102" s="16">
        <f>IF(ISTEXT(Table15[[#This Row],[Engineering Approved Design Date]]),Table15[[#This Row],[Date Completed]]-Table15[[#This Row],[Date Assigned to Designer]],Table15[[#This Row],[Engineering Approved Design Date]]-Table15[[#This Row],[Date Completed]])</f>
        <v>5</v>
      </c>
      <c r="M102" s="642" t="s">
        <v>2387</v>
      </c>
      <c r="N102" s="642" t="s">
        <v>120</v>
      </c>
      <c r="O102" s="1025">
        <v>43891</v>
      </c>
      <c r="P102" s="21" t="s">
        <v>739</v>
      </c>
      <c r="Q102" s="1151">
        <f>IF(Table15[[#This Row],[Shactee Effort]]="N",0,Table15[[#This Row],[Shactee Effort]])+IF(Table15[[#This Row],[3rd Party Effort]]="N",0,Table15[[#This Row],[3rd Party Effort]])+Table15[[#This Row],[KH Hourly Effort]]</f>
        <v>4891.25</v>
      </c>
      <c r="R102" s="1034" t="s">
        <v>1922</v>
      </c>
      <c r="S102" s="538">
        <v>1066.25</v>
      </c>
      <c r="T102" s="538" t="s">
        <v>709</v>
      </c>
      <c r="U102" s="28">
        <v>3825</v>
      </c>
      <c r="V102" s="858" t="s">
        <v>115</v>
      </c>
      <c r="W102" s="437"/>
      <c r="X102" s="538"/>
      <c r="Y102" s="551"/>
      <c r="Z102" s="538"/>
      <c r="AA102" s="538">
        <v>0</v>
      </c>
      <c r="AB102" s="21"/>
      <c r="AC102" s="569"/>
      <c r="AD102" s="1149"/>
      <c r="AE102" s="580"/>
      <c r="AF102" s="580"/>
      <c r="AG102" s="580"/>
      <c r="AH102" s="542"/>
      <c r="AI102" s="1028"/>
      <c r="AJ102" s="1029"/>
      <c r="AK102" s="1029"/>
      <c r="AL102" s="1030"/>
      <c r="AM102" s="542" t="s">
        <v>709</v>
      </c>
      <c r="AN102" s="924"/>
      <c r="AO102" s="925"/>
      <c r="AP102" s="926"/>
      <c r="AQ102" s="926"/>
      <c r="AR102" s="926"/>
      <c r="AS102" s="926"/>
      <c r="AT102" s="926"/>
      <c r="AU102" s="926"/>
      <c r="AV102" s="926"/>
      <c r="AW102" s="927"/>
      <c r="AX102" s="926"/>
      <c r="AY102" s="1538" t="s">
        <v>29</v>
      </c>
      <c r="AZ102" s="1530"/>
      <c r="BA102" s="1031" t="s">
        <v>2388</v>
      </c>
      <c r="BB102" s="644"/>
      <c r="BC102" s="544"/>
      <c r="BD102" s="544"/>
      <c r="BE102" s="544"/>
      <c r="BF102" s="544"/>
      <c r="BG102" s="544"/>
      <c r="BH102" s="741"/>
      <c r="BI102" s="547"/>
      <c r="BJ102" s="547"/>
      <c r="BK102" s="547"/>
      <c r="BL102" s="547"/>
      <c r="BM102" s="547"/>
      <c r="BN102" s="547"/>
      <c r="BO102" s="547"/>
      <c r="BP102" s="547"/>
      <c r="BQ102" s="547"/>
      <c r="BR102" s="547"/>
      <c r="BS102" s="547"/>
      <c r="BT102" s="547"/>
      <c r="BU102" s="547"/>
      <c r="BV102" s="547"/>
      <c r="BW102" s="547"/>
      <c r="BX102" s="547"/>
      <c r="BY102" s="547"/>
      <c r="BZ102" s="547" t="s">
        <v>709</v>
      </c>
      <c r="CA102" s="483" t="s">
        <v>915</v>
      </c>
      <c r="CB102" s="547">
        <v>100</v>
      </c>
      <c r="CC102" s="1481" t="b">
        <v>1</v>
      </c>
      <c r="CD102" t="str">
        <f>Table15[[#This Row],[Engineering Number]]&amp;Table15[[#This Row],[WO Number]]&amp;Table15[[#This Row],[Date Assigned to Designer]]&amp;Table15[[#This Row],[Date Completed]]</f>
        <v>SC16776-4385243880</v>
      </c>
    </row>
    <row r="103" spans="1:82" customFormat="1" ht="15" customHeight="1" x14ac:dyDescent="0.25">
      <c r="A103">
        <v>2020</v>
      </c>
      <c r="B103" s="8" t="s">
        <v>4</v>
      </c>
      <c r="C103" s="8" t="s">
        <v>2272</v>
      </c>
      <c r="D103" s="8" t="s">
        <v>2273</v>
      </c>
      <c r="E103" s="8" t="s">
        <v>2274</v>
      </c>
      <c r="F103" s="8" t="s">
        <v>919</v>
      </c>
      <c r="G103" s="8" t="s">
        <v>36</v>
      </c>
      <c r="H103" s="8" t="s">
        <v>2051</v>
      </c>
      <c r="I103" s="642">
        <v>43700</v>
      </c>
      <c r="J103" s="18" t="s">
        <v>2052</v>
      </c>
      <c r="K103" s="642">
        <v>43882</v>
      </c>
      <c r="L103" s="16">
        <f>IF(ISTEXT(Table15[[#This Row],[Engineering Approved Design Date]]),Table15[[#This Row],[Date Completed]]-Table15[[#This Row],[Date Assigned to Designer]],Table15[[#This Row],[Engineering Approved Design Date]]-Table15[[#This Row],[Date Completed]])</f>
        <v>182</v>
      </c>
      <c r="M103" s="642" t="s">
        <v>2390</v>
      </c>
      <c r="N103" s="642" t="s">
        <v>120</v>
      </c>
      <c r="O103" s="1025">
        <v>43891</v>
      </c>
      <c r="P103" s="21" t="s">
        <v>739</v>
      </c>
      <c r="Q103" s="1151">
        <f>IF(Table15[[#This Row],[Shactee Effort]]="N",0,Table15[[#This Row],[Shactee Effort]])+IF(Table15[[#This Row],[3rd Party Effort]]="N",0,Table15[[#This Row],[3rd Party Effort]])+Table15[[#This Row],[KH Hourly Effort]]</f>
        <v>970</v>
      </c>
      <c r="R103" s="1034" t="s">
        <v>1922</v>
      </c>
      <c r="S103" s="538" t="s">
        <v>709</v>
      </c>
      <c r="T103" s="538" t="s">
        <v>709</v>
      </c>
      <c r="U103" s="28">
        <v>970</v>
      </c>
      <c r="V103" s="858"/>
      <c r="W103" s="437"/>
      <c r="X103" s="538"/>
      <c r="Y103" s="551"/>
      <c r="Z103" s="538"/>
      <c r="AA103" s="538"/>
      <c r="AB103" s="21"/>
      <c r="AC103" s="569"/>
      <c r="AD103" s="1149"/>
      <c r="AE103" s="580"/>
      <c r="AF103" s="580"/>
      <c r="AG103" s="580"/>
      <c r="AH103" s="542"/>
      <c r="AI103" s="1028"/>
      <c r="AJ103" s="1029"/>
      <c r="AK103" s="1029"/>
      <c r="AL103" s="1030"/>
      <c r="AM103" s="542" t="s">
        <v>709</v>
      </c>
      <c r="AN103" s="924"/>
      <c r="AO103" s="925"/>
      <c r="AP103" s="926"/>
      <c r="AQ103" s="926"/>
      <c r="AR103" s="926"/>
      <c r="AS103" s="926"/>
      <c r="AT103" s="926"/>
      <c r="AU103" s="926"/>
      <c r="AV103" s="926"/>
      <c r="AW103" s="927"/>
      <c r="AX103" s="926"/>
      <c r="AY103" s="1538" t="s">
        <v>29</v>
      </c>
      <c r="AZ103" s="1530"/>
      <c r="BA103" s="1031">
        <v>4</v>
      </c>
      <c r="BB103" s="644"/>
      <c r="BC103" s="544"/>
      <c r="BD103" s="544"/>
      <c r="BE103" s="544"/>
      <c r="BF103" s="544"/>
      <c r="BG103" s="544"/>
      <c r="BH103" s="741"/>
      <c r="BI103" s="547" t="s">
        <v>709</v>
      </c>
      <c r="BJ103" s="547" t="s">
        <v>709</v>
      </c>
      <c r="BK103" s="547" t="s">
        <v>709</v>
      </c>
      <c r="BL103" s="547" t="s">
        <v>116</v>
      </c>
      <c r="BM103" s="547" t="s">
        <v>709</v>
      </c>
      <c r="BN103" s="547" t="s">
        <v>709</v>
      </c>
      <c r="BO103" s="547" t="s">
        <v>709</v>
      </c>
      <c r="BP103" s="547" t="s">
        <v>709</v>
      </c>
      <c r="BQ103" s="547" t="s">
        <v>709</v>
      </c>
      <c r="BR103" s="547">
        <v>1247</v>
      </c>
      <c r="BS103" s="547">
        <v>836</v>
      </c>
      <c r="BT103" s="547" t="s">
        <v>709</v>
      </c>
      <c r="BU103" s="547" t="s">
        <v>709</v>
      </c>
      <c r="BV103" s="547" t="s">
        <v>709</v>
      </c>
      <c r="BW103" s="547" t="s">
        <v>709</v>
      </c>
      <c r="BX103" s="547" t="s">
        <v>709</v>
      </c>
      <c r="BY103" s="547" t="s">
        <v>709</v>
      </c>
      <c r="BZ103" s="547" t="s">
        <v>709</v>
      </c>
      <c r="CA103" s="483"/>
      <c r="CB103" s="547">
        <v>101</v>
      </c>
      <c r="CC103" s="1481" t="b">
        <v>1</v>
      </c>
      <c r="CD103" t="str">
        <f>Table15[[#This Row],[Engineering Number]]&amp;Table15[[#This Row],[WO Number]]&amp;Table15[[#This Row],[Date Assigned to Designer]]&amp;Table15[[#This Row],[Date Completed]]</f>
        <v>SC160241407564370043882</v>
      </c>
    </row>
    <row r="104" spans="1:82" customFormat="1" ht="15" customHeight="1" x14ac:dyDescent="0.25">
      <c r="A104">
        <v>2020</v>
      </c>
      <c r="B104" s="8" t="s">
        <v>771</v>
      </c>
      <c r="C104" s="8" t="s">
        <v>2178</v>
      </c>
      <c r="D104" s="8" t="s">
        <v>2179</v>
      </c>
      <c r="E104" s="8" t="s">
        <v>1529</v>
      </c>
      <c r="F104" s="8" t="s">
        <v>325</v>
      </c>
      <c r="G104" s="8" t="s">
        <v>1896</v>
      </c>
      <c r="H104" s="8" t="s">
        <v>2051</v>
      </c>
      <c r="I104" s="642">
        <v>43664</v>
      </c>
      <c r="J104" s="18" t="s">
        <v>2052</v>
      </c>
      <c r="K104" s="642">
        <v>43886</v>
      </c>
      <c r="L104" s="16">
        <f>IF(ISTEXT(Table15[[#This Row],[Engineering Approved Design Date]]),Table15[[#This Row],[Date Completed]]-Table15[[#This Row],[Date Assigned to Designer]],Table15[[#This Row],[Engineering Approved Design Date]]-Table15[[#This Row],[Date Completed]])</f>
        <v>222</v>
      </c>
      <c r="M104" s="642" t="s">
        <v>2394</v>
      </c>
      <c r="N104" s="642" t="s">
        <v>120</v>
      </c>
      <c r="O104" s="1025">
        <v>43891</v>
      </c>
      <c r="P104" s="21" t="s">
        <v>120</v>
      </c>
      <c r="Q104" s="1151">
        <f>IF(Table15[[#This Row],[Shactee Effort]]="N",0,Table15[[#This Row],[Shactee Effort]])+IF(Table15[[#This Row],[3rd Party Effort]]="N",0,Table15[[#This Row],[3rd Party Effort]])+Table15[[#This Row],[KH Hourly Effort]]</f>
        <v>1150</v>
      </c>
      <c r="R104" s="1034" t="s">
        <v>1922</v>
      </c>
      <c r="S104" s="538" t="s">
        <v>709</v>
      </c>
      <c r="T104" s="538" t="s">
        <v>709</v>
      </c>
      <c r="U104" s="28">
        <v>1150</v>
      </c>
      <c r="V104" s="858"/>
      <c r="W104" s="437"/>
      <c r="X104" s="538">
        <v>149356.17000000001</v>
      </c>
      <c r="Y104" s="551">
        <v>10225.32</v>
      </c>
      <c r="Z104" s="538">
        <v>62906.15</v>
      </c>
      <c r="AA104" s="538">
        <f>X104-Y104+Z104</f>
        <v>202037</v>
      </c>
      <c r="AB104" s="21"/>
      <c r="AC104" s="569"/>
      <c r="AD104" s="1149"/>
      <c r="AE104" s="569"/>
      <c r="AF104" s="569"/>
      <c r="AG104" s="569"/>
      <c r="AH104" s="536"/>
      <c r="AI104" s="1028"/>
      <c r="AJ104" s="1029"/>
      <c r="AK104" s="1029"/>
      <c r="AL104" s="1030"/>
      <c r="AM104" s="542" t="s">
        <v>709</v>
      </c>
      <c r="AN104" s="924"/>
      <c r="AO104" s="925"/>
      <c r="AP104" s="926"/>
      <c r="AQ104" s="926"/>
      <c r="AR104" s="926"/>
      <c r="AS104" s="926"/>
      <c r="AT104" s="926"/>
      <c r="AU104" s="926"/>
      <c r="AV104" s="926"/>
      <c r="AW104" s="927"/>
      <c r="AX104" s="926"/>
      <c r="AY104" s="1538" t="s">
        <v>29</v>
      </c>
      <c r="AZ104" s="1530"/>
      <c r="BA104" s="1031">
        <v>2</v>
      </c>
      <c r="BB104" s="644"/>
      <c r="BC104" s="544"/>
      <c r="BD104" s="544"/>
      <c r="BE104" s="544"/>
      <c r="BF104" s="544"/>
      <c r="BG104" s="544"/>
      <c r="BH104" s="741"/>
      <c r="BI104" s="547" t="s">
        <v>709</v>
      </c>
      <c r="BJ104" s="547" t="s">
        <v>709</v>
      </c>
      <c r="BK104" s="547" t="s">
        <v>709</v>
      </c>
      <c r="BL104" s="547" t="s">
        <v>116</v>
      </c>
      <c r="BM104" s="547" t="s">
        <v>709</v>
      </c>
      <c r="BN104" s="547" t="s">
        <v>709</v>
      </c>
      <c r="BO104" s="547" t="s">
        <v>709</v>
      </c>
      <c r="BP104" s="547" t="s">
        <v>709</v>
      </c>
      <c r="BQ104" s="547" t="s">
        <v>709</v>
      </c>
      <c r="BR104" s="547" t="s">
        <v>709</v>
      </c>
      <c r="BS104" s="547">
        <v>658</v>
      </c>
      <c r="BT104" s="547" t="s">
        <v>709</v>
      </c>
      <c r="BU104" s="547" t="s">
        <v>709</v>
      </c>
      <c r="BV104" s="547" t="s">
        <v>709</v>
      </c>
      <c r="BW104" s="547" t="s">
        <v>709</v>
      </c>
      <c r="BX104" s="547" t="s">
        <v>709</v>
      </c>
      <c r="BY104" s="547" t="s">
        <v>709</v>
      </c>
      <c r="BZ104" s="547" t="s">
        <v>709</v>
      </c>
      <c r="CA104" s="483"/>
      <c r="CB104" s="547">
        <v>103</v>
      </c>
      <c r="CC104" s="1481" t="b">
        <v>1</v>
      </c>
      <c r="CD104" t="str">
        <f>Table15[[#This Row],[Engineering Number]]&amp;Table15[[#This Row],[WO Number]]&amp;Table15[[#This Row],[Date Assigned to Designer]]&amp;Table15[[#This Row],[Date Completed]]</f>
        <v>MLP291203454366443886</v>
      </c>
    </row>
    <row r="105" spans="1:82" customFormat="1" ht="15" customHeight="1" x14ac:dyDescent="0.25">
      <c r="A105">
        <v>2019</v>
      </c>
      <c r="B105" s="8" t="s">
        <v>4</v>
      </c>
      <c r="C105" s="8" t="s">
        <v>2185</v>
      </c>
      <c r="D105" s="8" t="s">
        <v>2186</v>
      </c>
      <c r="E105" s="8" t="s">
        <v>2187</v>
      </c>
      <c r="F105" s="8" t="s">
        <v>919</v>
      </c>
      <c r="G105" s="8" t="s">
        <v>1896</v>
      </c>
      <c r="H105" s="8" t="s">
        <v>2051</v>
      </c>
      <c r="I105" s="642">
        <v>43472</v>
      </c>
      <c r="J105" s="18" t="s">
        <v>2052</v>
      </c>
      <c r="K105" s="642">
        <v>43886</v>
      </c>
      <c r="L105" s="16">
        <f>IF(ISTEXT(Table15[[#This Row],[Engineering Approved Design Date]]),Table15[[#This Row],[Date Completed]]-Table15[[#This Row],[Date Assigned to Designer]],Table15[[#This Row],[Engineering Approved Design Date]]-Table15[[#This Row],[Date Completed]])</f>
        <v>414</v>
      </c>
      <c r="M105" s="642" t="s">
        <v>2392</v>
      </c>
      <c r="N105" s="642" t="s">
        <v>120</v>
      </c>
      <c r="O105" s="1025">
        <v>43891</v>
      </c>
      <c r="P105" s="21" t="s">
        <v>739</v>
      </c>
      <c r="Q105" s="1151">
        <f>IF(Table15[[#This Row],[Shactee Effort]]="N",0,Table15[[#This Row],[Shactee Effort]])+IF(Table15[[#This Row],[3rd Party Effort]]="N",0,Table15[[#This Row],[3rd Party Effort]])+Table15[[#This Row],[KH Hourly Effort]]</f>
        <v>8070</v>
      </c>
      <c r="R105" s="1034" t="s">
        <v>1922</v>
      </c>
      <c r="S105" s="538" t="s">
        <v>709</v>
      </c>
      <c r="T105" s="538" t="s">
        <v>709</v>
      </c>
      <c r="U105" s="28">
        <v>8070</v>
      </c>
      <c r="V105" s="858"/>
      <c r="W105" s="437"/>
      <c r="X105" s="538">
        <v>658150.05000000005</v>
      </c>
      <c r="Y105" s="551">
        <v>39129.72</v>
      </c>
      <c r="Z105" s="538">
        <v>96227.68</v>
      </c>
      <c r="AA105" s="538">
        <f>X105-Y105+Z105</f>
        <v>715248.01</v>
      </c>
      <c r="AB105" s="21"/>
      <c r="AC105" s="569"/>
      <c r="AD105" s="1149"/>
      <c r="AE105" s="580"/>
      <c r="AF105" s="580"/>
      <c r="AG105" s="580"/>
      <c r="AH105" s="542"/>
      <c r="AI105" s="1028"/>
      <c r="AJ105" s="1029"/>
      <c r="AK105" s="1029"/>
      <c r="AL105" s="1030"/>
      <c r="AM105" s="542" t="s">
        <v>709</v>
      </c>
      <c r="AN105" s="924"/>
      <c r="AO105" s="925"/>
      <c r="AP105" s="926"/>
      <c r="AQ105" s="926"/>
      <c r="AR105" s="926"/>
      <c r="AS105" s="926"/>
      <c r="AT105" s="926"/>
      <c r="AU105" s="926"/>
      <c r="AV105" s="926"/>
      <c r="AW105" s="927"/>
      <c r="AX105" s="926"/>
      <c r="AY105" s="1538" t="s">
        <v>29</v>
      </c>
      <c r="AZ105" s="1530"/>
      <c r="BA105" s="1031">
        <v>3</v>
      </c>
      <c r="BB105" s="644"/>
      <c r="BC105" s="544"/>
      <c r="BD105" s="544"/>
      <c r="BE105" s="544"/>
      <c r="BF105" s="544"/>
      <c r="BG105" s="544"/>
      <c r="BH105" s="741"/>
      <c r="BI105" s="547" t="s">
        <v>709</v>
      </c>
      <c r="BJ105" s="547" t="s">
        <v>709</v>
      </c>
      <c r="BK105" s="547" t="s">
        <v>709</v>
      </c>
      <c r="BL105" s="547" t="s">
        <v>116</v>
      </c>
      <c r="BM105" s="547" t="s">
        <v>709</v>
      </c>
      <c r="BN105" s="547" t="s">
        <v>709</v>
      </c>
      <c r="BO105" s="547" t="s">
        <v>709</v>
      </c>
      <c r="BP105" s="547" t="s">
        <v>709</v>
      </c>
      <c r="BQ105" s="547">
        <v>2323</v>
      </c>
      <c r="BR105" s="547">
        <v>181</v>
      </c>
      <c r="BS105" s="547">
        <v>14</v>
      </c>
      <c r="BT105" s="547" t="s">
        <v>709</v>
      </c>
      <c r="BU105" s="547" t="s">
        <v>709</v>
      </c>
      <c r="BV105" s="547" t="s">
        <v>709</v>
      </c>
      <c r="BW105" s="547" t="s">
        <v>709</v>
      </c>
      <c r="BX105" s="547" t="s">
        <v>709</v>
      </c>
      <c r="BY105" s="547" t="s">
        <v>709</v>
      </c>
      <c r="BZ105" s="547" t="s">
        <v>709</v>
      </c>
      <c r="CA105" s="483"/>
      <c r="CB105" s="547">
        <v>102</v>
      </c>
      <c r="CC105" s="1481" t="b">
        <v>1</v>
      </c>
      <c r="CD105" t="str">
        <f>Table15[[#This Row],[Engineering Number]]&amp;Table15[[#This Row],[WO Number]]&amp;Table15[[#This Row],[Date Assigned to Designer]]&amp;Table15[[#This Row],[Date Completed]]</f>
        <v>SC157291407304347243886</v>
      </c>
    </row>
    <row r="106" spans="1:82" customFormat="1" ht="15" customHeight="1" x14ac:dyDescent="0.25">
      <c r="A106">
        <v>2020</v>
      </c>
      <c r="B106" s="8" t="s">
        <v>771</v>
      </c>
      <c r="C106" s="8" t="s">
        <v>2278</v>
      </c>
      <c r="D106" s="8" t="s">
        <v>2279</v>
      </c>
      <c r="E106" s="8" t="s">
        <v>2280</v>
      </c>
      <c r="F106" s="8" t="s">
        <v>919</v>
      </c>
      <c r="G106" s="8" t="s">
        <v>1882</v>
      </c>
      <c r="H106" s="8" t="s">
        <v>2396</v>
      </c>
      <c r="I106" s="642">
        <v>43699</v>
      </c>
      <c r="J106" s="18" t="s">
        <v>2397</v>
      </c>
      <c r="K106" s="642">
        <v>43892</v>
      </c>
      <c r="L106" s="16">
        <f>IF(ISTEXT(Table15[[#This Row],[Engineering Approved Design Date]]),Table15[[#This Row],[Date Completed]]-Table15[[#This Row],[Date Assigned to Designer]],Table15[[#This Row],[Engineering Approved Design Date]]-Table15[[#This Row],[Date Completed]])</f>
        <v>193</v>
      </c>
      <c r="M106" s="642"/>
      <c r="N106" s="642" t="s">
        <v>120</v>
      </c>
      <c r="O106" s="1025">
        <v>43892</v>
      </c>
      <c r="P106" s="21" t="s">
        <v>120</v>
      </c>
      <c r="Q106" s="1151">
        <f>IF(Table15[[#This Row],[Shactee Effort]]="N",0,Table15[[#This Row],[Shactee Effort]])+IF(Table15[[#This Row],[3rd Party Effort]]="N",0,Table15[[#This Row],[3rd Party Effort]])+Table15[[#This Row],[KH Hourly Effort]]</f>
        <v>2693.75</v>
      </c>
      <c r="R106" s="1034" t="s">
        <v>1922</v>
      </c>
      <c r="S106" s="538">
        <v>276.25</v>
      </c>
      <c r="T106" s="538" t="s">
        <v>709</v>
      </c>
      <c r="U106" s="28">
        <v>2417.5</v>
      </c>
      <c r="V106" s="858"/>
      <c r="W106" s="437"/>
      <c r="X106" s="538"/>
      <c r="Y106" s="551"/>
      <c r="Z106" s="538"/>
      <c r="AA106" s="538"/>
      <c r="AB106" s="21"/>
      <c r="AC106" s="569"/>
      <c r="AD106" s="1149"/>
      <c r="AE106" s="569"/>
      <c r="AF106" s="569"/>
      <c r="AG106" s="569"/>
      <c r="AH106" s="536"/>
      <c r="AI106" s="1028"/>
      <c r="AJ106" s="1029"/>
      <c r="AK106" s="1029"/>
      <c r="AL106" s="1030"/>
      <c r="AM106" s="542" t="s">
        <v>709</v>
      </c>
      <c r="AN106" s="924"/>
      <c r="AO106" s="925"/>
      <c r="AP106" s="926"/>
      <c r="AQ106" s="926"/>
      <c r="AR106" s="926"/>
      <c r="AS106" s="926"/>
      <c r="AT106" s="926"/>
      <c r="AU106" s="926"/>
      <c r="AV106" s="926"/>
      <c r="AW106" s="927"/>
      <c r="AX106" s="926"/>
      <c r="AY106" s="1538" t="s">
        <v>29</v>
      </c>
      <c r="AZ106" s="1530"/>
      <c r="BA106" s="1031" t="s">
        <v>2281</v>
      </c>
      <c r="BB106" s="644" t="s">
        <v>2282</v>
      </c>
      <c r="BC106" s="544"/>
      <c r="BD106" s="544"/>
      <c r="BE106" s="544"/>
      <c r="BF106" s="544"/>
      <c r="BG106" s="544"/>
      <c r="BH106" s="741"/>
      <c r="BI106" s="547" t="s">
        <v>709</v>
      </c>
      <c r="BJ106" s="547" t="s">
        <v>709</v>
      </c>
      <c r="BK106" s="547" t="s">
        <v>709</v>
      </c>
      <c r="BL106" s="547" t="s">
        <v>116</v>
      </c>
      <c r="BM106" s="547" t="s">
        <v>709</v>
      </c>
      <c r="BN106" s="547" t="s">
        <v>709</v>
      </c>
      <c r="BO106" s="547" t="s">
        <v>709</v>
      </c>
      <c r="BP106" s="547" t="s">
        <v>709</v>
      </c>
      <c r="BQ106" s="547" t="s">
        <v>709</v>
      </c>
      <c r="BR106" s="547" t="s">
        <v>709</v>
      </c>
      <c r="BS106" s="547">
        <v>721</v>
      </c>
      <c r="BT106" s="547" t="s">
        <v>709</v>
      </c>
      <c r="BU106" s="547" t="s">
        <v>709</v>
      </c>
      <c r="BV106" s="547" t="s">
        <v>709</v>
      </c>
      <c r="BW106" s="547" t="s">
        <v>709</v>
      </c>
      <c r="BX106" s="547" t="s">
        <v>709</v>
      </c>
      <c r="BY106" s="547" t="s">
        <v>709</v>
      </c>
      <c r="BZ106" s="547" t="s">
        <v>709</v>
      </c>
      <c r="CA106" s="483"/>
      <c r="CB106" s="547">
        <v>104</v>
      </c>
      <c r="CC106" s="1481" t="b">
        <v>1</v>
      </c>
      <c r="CD106" t="str">
        <f>Table15[[#This Row],[Engineering Number]]&amp;Table15[[#This Row],[WO Number]]&amp;Table15[[#This Row],[Date Assigned to Designer]]&amp;Table15[[#This Row],[Date Completed]]</f>
        <v>BS5841407484369943892</v>
      </c>
    </row>
    <row r="107" spans="1:82" customFormat="1" ht="15" customHeight="1" x14ac:dyDescent="0.25">
      <c r="A107">
        <v>2020</v>
      </c>
      <c r="B107" s="8" t="s">
        <v>771</v>
      </c>
      <c r="C107" s="8" t="s">
        <v>68</v>
      </c>
      <c r="D107" s="8" t="s">
        <v>69</v>
      </c>
      <c r="E107" s="8" t="s">
        <v>70</v>
      </c>
      <c r="F107" s="8" t="s">
        <v>919</v>
      </c>
      <c r="G107" s="8" t="s">
        <v>2232</v>
      </c>
      <c r="H107" s="8" t="s">
        <v>59</v>
      </c>
      <c r="I107" s="642">
        <v>43789</v>
      </c>
      <c r="J107" s="18">
        <v>43881</v>
      </c>
      <c r="K107" s="642">
        <v>43896</v>
      </c>
      <c r="L107" s="16">
        <v>0</v>
      </c>
      <c r="M107" s="642" t="s">
        <v>2399</v>
      </c>
      <c r="N107" s="642" t="s">
        <v>120</v>
      </c>
      <c r="O107" s="1025">
        <v>43896</v>
      </c>
      <c r="P107" s="21" t="s">
        <v>120</v>
      </c>
      <c r="Q107" s="1151">
        <f>1.55*V107</f>
        <v>21163.7</v>
      </c>
      <c r="R107" s="1034" t="s">
        <v>2087</v>
      </c>
      <c r="S107" s="538" t="s">
        <v>709</v>
      </c>
      <c r="T107" s="538" t="s">
        <v>709</v>
      </c>
      <c r="U107" s="28" t="s">
        <v>709</v>
      </c>
      <c r="V107" s="858">
        <f>9778+19+2587+18+694+558</f>
        <v>13654</v>
      </c>
      <c r="W107" s="437"/>
      <c r="X107" s="538"/>
      <c r="Y107" s="551"/>
      <c r="Z107" s="538"/>
      <c r="AA107" s="538"/>
      <c r="AB107" s="21"/>
      <c r="AC107" s="569"/>
      <c r="AD107" s="1149"/>
      <c r="AE107" s="569"/>
      <c r="AF107" s="569"/>
      <c r="AG107" s="569"/>
      <c r="AH107" s="536"/>
      <c r="AI107" s="1028"/>
      <c r="AJ107" s="1029"/>
      <c r="AK107" s="1029"/>
      <c r="AL107" s="1030"/>
      <c r="AM107" s="542" t="s">
        <v>709</v>
      </c>
      <c r="AN107" s="924"/>
      <c r="AO107" s="925"/>
      <c r="AP107" s="926"/>
      <c r="AQ107" s="926"/>
      <c r="AR107" s="926"/>
      <c r="AS107" s="926"/>
      <c r="AT107" s="926"/>
      <c r="AU107" s="926"/>
      <c r="AV107" s="926"/>
      <c r="AW107" s="927"/>
      <c r="AX107" s="926"/>
      <c r="AY107" s="1538" t="s">
        <v>29</v>
      </c>
      <c r="AZ107" s="1530"/>
      <c r="BA107" s="1031" t="s">
        <v>2400</v>
      </c>
      <c r="BB107" s="644" t="s">
        <v>2401</v>
      </c>
      <c r="BC107" s="544"/>
      <c r="BD107" s="544"/>
      <c r="BE107" s="544"/>
      <c r="BF107" s="544"/>
      <c r="BG107" s="544"/>
      <c r="BH107" s="741"/>
      <c r="BI107" s="547" t="s">
        <v>709</v>
      </c>
      <c r="BJ107" s="547" t="s">
        <v>709</v>
      </c>
      <c r="BK107" s="547" t="s">
        <v>709</v>
      </c>
      <c r="BL107" s="547" t="s">
        <v>116</v>
      </c>
      <c r="BM107" s="547" t="s">
        <v>709</v>
      </c>
      <c r="BN107" s="547" t="s">
        <v>709</v>
      </c>
      <c r="BO107" s="547" t="s">
        <v>709</v>
      </c>
      <c r="BP107" s="547">
        <v>1252</v>
      </c>
      <c r="BQ107" s="547">
        <v>2605</v>
      </c>
      <c r="BR107" s="547">
        <v>19</v>
      </c>
      <c r="BS107" s="547">
        <v>9778</v>
      </c>
      <c r="BT107" s="547" t="s">
        <v>709</v>
      </c>
      <c r="BU107" s="547" t="s">
        <v>709</v>
      </c>
      <c r="BV107" s="547" t="s">
        <v>745</v>
      </c>
      <c r="BW107" s="547" t="s">
        <v>709</v>
      </c>
      <c r="BX107" s="547" t="s">
        <v>745</v>
      </c>
      <c r="BY107" s="547" t="s">
        <v>745</v>
      </c>
      <c r="BZ107" s="547" t="s">
        <v>709</v>
      </c>
      <c r="CA107" s="483"/>
      <c r="CB107" s="547">
        <v>105</v>
      </c>
      <c r="CC107" s="1481" t="b">
        <v>1</v>
      </c>
      <c r="CD107" t="str">
        <f>Table15[[#This Row],[Engineering Number]]&amp;Table15[[#This Row],[WO Number]]&amp;Table15[[#This Row],[Date Assigned to Designer]]&amp;Table15[[#This Row],[Date Completed]]</f>
        <v>BS2291204054378943896</v>
      </c>
    </row>
    <row r="108" spans="1:82" customFormat="1" ht="15" customHeight="1" x14ac:dyDescent="0.25">
      <c r="A108">
        <v>2020</v>
      </c>
      <c r="B108" s="8" t="s">
        <v>771</v>
      </c>
      <c r="C108" s="8" t="s">
        <v>2403</v>
      </c>
      <c r="D108" s="8" t="s">
        <v>2404</v>
      </c>
      <c r="E108" s="8" t="s">
        <v>361</v>
      </c>
      <c r="F108" s="8" t="s">
        <v>325</v>
      </c>
      <c r="G108" s="8" t="s">
        <v>2232</v>
      </c>
      <c r="H108" s="8" t="s">
        <v>59</v>
      </c>
      <c r="I108" s="642">
        <v>43809</v>
      </c>
      <c r="J108" s="18">
        <v>43921</v>
      </c>
      <c r="K108" s="642">
        <v>43901</v>
      </c>
      <c r="L108" s="16">
        <f>IF(ISTEXT(Table15[[#This Row],[Engineering Approved Design Date]]),Table15[[#This Row],[Date Completed]]-Table15[[#This Row],[Date Assigned to Designer]],Table15[[#This Row],[Engineering Approved Design Date]]-Table15[[#This Row],[Date Completed]])</f>
        <v>20</v>
      </c>
      <c r="M108" s="642"/>
      <c r="N108" s="642" t="s">
        <v>120</v>
      </c>
      <c r="O108" s="1025">
        <v>43901</v>
      </c>
      <c r="P108" s="21" t="s">
        <v>120</v>
      </c>
      <c r="Q108" s="1151">
        <f>1.55*V108</f>
        <v>19578.05</v>
      </c>
      <c r="R108" s="1034" t="s">
        <v>2087</v>
      </c>
      <c r="S108" s="538" t="s">
        <v>709</v>
      </c>
      <c r="T108" s="538" t="s">
        <v>709</v>
      </c>
      <c r="U108" s="28" t="s">
        <v>709</v>
      </c>
      <c r="V108" s="858">
        <f>10776+1855</f>
        <v>12631</v>
      </c>
      <c r="W108" s="437"/>
      <c r="X108" s="538"/>
      <c r="Y108" s="551"/>
      <c r="Z108" s="538"/>
      <c r="AA108" s="538"/>
      <c r="AB108" s="21"/>
      <c r="AC108" s="569"/>
      <c r="AD108" s="1149"/>
      <c r="AE108" s="569"/>
      <c r="AF108" s="569"/>
      <c r="AG108" s="569"/>
      <c r="AH108" s="536"/>
      <c r="AI108" s="1028"/>
      <c r="AJ108" s="1029"/>
      <c r="AK108" s="1029"/>
      <c r="AL108" s="1030"/>
      <c r="AM108" s="542" t="s">
        <v>709</v>
      </c>
      <c r="AN108" s="924"/>
      <c r="AO108" s="925"/>
      <c r="AP108" s="926"/>
      <c r="AQ108" s="926"/>
      <c r="AR108" s="926"/>
      <c r="AS108" s="926"/>
      <c r="AT108" s="926"/>
      <c r="AU108" s="926"/>
      <c r="AV108" s="926"/>
      <c r="AW108" s="927"/>
      <c r="AX108" s="926"/>
      <c r="AY108" s="1538" t="s">
        <v>29</v>
      </c>
      <c r="AZ108" s="1530"/>
      <c r="BA108" s="1031" t="s">
        <v>2405</v>
      </c>
      <c r="BB108" s="644" t="s">
        <v>2406</v>
      </c>
      <c r="BC108" s="544"/>
      <c r="BD108" s="544"/>
      <c r="BE108" s="544"/>
      <c r="BF108" s="544"/>
      <c r="BG108" s="544"/>
      <c r="BH108" s="741"/>
      <c r="BI108" s="547" t="s">
        <v>709</v>
      </c>
      <c r="BJ108" s="547" t="s">
        <v>709</v>
      </c>
      <c r="BK108" s="547" t="s">
        <v>709</v>
      </c>
      <c r="BL108" s="547" t="s">
        <v>116</v>
      </c>
      <c r="BM108" s="547" t="s">
        <v>709</v>
      </c>
      <c r="BN108" s="547" t="s">
        <v>709</v>
      </c>
      <c r="BO108" s="547" t="s">
        <v>709</v>
      </c>
      <c r="BP108" s="547">
        <v>5313</v>
      </c>
      <c r="BQ108" s="547">
        <v>1429</v>
      </c>
      <c r="BR108" s="547">
        <v>1406</v>
      </c>
      <c r="BS108" s="547">
        <v>15154</v>
      </c>
      <c r="BT108" s="547" t="s">
        <v>709</v>
      </c>
      <c r="BU108" s="547" t="s">
        <v>709</v>
      </c>
      <c r="BV108" s="547" t="s">
        <v>709</v>
      </c>
      <c r="BW108" s="547" t="s">
        <v>709</v>
      </c>
      <c r="BX108" s="547" t="s">
        <v>709</v>
      </c>
      <c r="BY108" s="547" t="s">
        <v>709</v>
      </c>
      <c r="BZ108" s="547" t="s">
        <v>709</v>
      </c>
      <c r="CA108" s="483"/>
      <c r="CB108" s="547">
        <v>106</v>
      </c>
      <c r="CC108" s="1481" t="b">
        <v>1</v>
      </c>
      <c r="CD108" t="str">
        <f>Table15[[#This Row],[Engineering Number]]&amp;Table15[[#This Row],[WO Number]]&amp;Table15[[#This Row],[Date Assigned to Designer]]&amp;Table15[[#This Row],[Date Completed]]</f>
        <v>BS1861291724380943901</v>
      </c>
    </row>
    <row r="109" spans="1:82" customFormat="1" ht="15" customHeight="1" x14ac:dyDescent="0.25">
      <c r="A109">
        <v>2020</v>
      </c>
      <c r="B109" s="8" t="s">
        <v>4</v>
      </c>
      <c r="C109" s="8" t="s">
        <v>2236</v>
      </c>
      <c r="D109" s="8" t="s">
        <v>2237</v>
      </c>
      <c r="E109" s="8" t="s">
        <v>1016</v>
      </c>
      <c r="F109" s="8" t="s">
        <v>919</v>
      </c>
      <c r="G109" s="8" t="s">
        <v>1896</v>
      </c>
      <c r="H109" s="8" t="s">
        <v>2051</v>
      </c>
      <c r="I109" s="642">
        <v>43679</v>
      </c>
      <c r="J109" s="18" t="s">
        <v>2052</v>
      </c>
      <c r="K109" s="642">
        <v>43903</v>
      </c>
      <c r="L109" s="16">
        <f>IF(ISTEXT(Table15[[#This Row],[Engineering Approved Design Date]]),Table15[[#This Row],[Date Completed]]-Table15[[#This Row],[Date Assigned to Designer]],Table15[[#This Row],[Engineering Approved Design Date]]-Table15[[#This Row],[Date Completed]])</f>
        <v>224</v>
      </c>
      <c r="M109" s="642" t="s">
        <v>2408</v>
      </c>
      <c r="N109" s="642" t="s">
        <v>120</v>
      </c>
      <c r="O109" s="1025">
        <v>43903</v>
      </c>
      <c r="P109" s="21" t="s">
        <v>739</v>
      </c>
      <c r="Q109" s="1151">
        <f>IF(Table15[[#This Row],[Shactee Effort]]="N",0,Table15[[#This Row],[Shactee Effort]])+IF(Table15[[#This Row],[3rd Party Effort]]="N",0,Table15[[#This Row],[3rd Party Effort]])+Table15[[#This Row],[KH Hourly Effort]]</f>
        <v>14487.75</v>
      </c>
      <c r="R109" s="1034" t="s">
        <v>1922</v>
      </c>
      <c r="S109" s="538">
        <v>512.75</v>
      </c>
      <c r="T109" s="538" t="s">
        <v>709</v>
      </c>
      <c r="U109" s="28">
        <v>13975</v>
      </c>
      <c r="V109" s="858"/>
      <c r="W109" s="437"/>
      <c r="X109" s="538"/>
      <c r="Y109" s="551"/>
      <c r="Z109" s="538"/>
      <c r="AA109" s="538"/>
      <c r="AB109" s="21"/>
      <c r="AC109" s="569"/>
      <c r="AD109" s="1149"/>
      <c r="AE109" s="580"/>
      <c r="AF109" s="580"/>
      <c r="AG109" s="580"/>
      <c r="AH109" s="542"/>
      <c r="AI109" s="1028"/>
      <c r="AJ109" s="1029"/>
      <c r="AK109" s="1029"/>
      <c r="AL109" s="1030"/>
      <c r="AM109" s="542" t="s">
        <v>709</v>
      </c>
      <c r="AN109" s="924"/>
      <c r="AO109" s="925"/>
      <c r="AP109" s="926"/>
      <c r="AQ109" s="926"/>
      <c r="AR109" s="926"/>
      <c r="AS109" s="926"/>
      <c r="AT109" s="926"/>
      <c r="AU109" s="926"/>
      <c r="AV109" s="926"/>
      <c r="AW109" s="927"/>
      <c r="AX109" s="926"/>
      <c r="AY109" s="1538" t="s">
        <v>29</v>
      </c>
      <c r="AZ109" s="1530"/>
      <c r="BA109" s="1031">
        <v>12</v>
      </c>
      <c r="BB109" s="644"/>
      <c r="BC109" s="544"/>
      <c r="BD109" s="544"/>
      <c r="BE109" s="544"/>
      <c r="BF109" s="544"/>
      <c r="BG109" s="544"/>
      <c r="BH109" s="741"/>
      <c r="BI109" s="547" t="s">
        <v>709</v>
      </c>
      <c r="BJ109" s="547" t="s">
        <v>709</v>
      </c>
      <c r="BK109" s="547" t="s">
        <v>709</v>
      </c>
      <c r="BL109" s="547" t="s">
        <v>116</v>
      </c>
      <c r="BM109" s="547" t="s">
        <v>709</v>
      </c>
      <c r="BN109" s="547" t="s">
        <v>709</v>
      </c>
      <c r="BO109" s="547" t="s">
        <v>709</v>
      </c>
      <c r="BP109" s="547" t="s">
        <v>709</v>
      </c>
      <c r="BQ109" s="547" t="s">
        <v>709</v>
      </c>
      <c r="BR109" s="547">
        <v>722</v>
      </c>
      <c r="BS109" s="547" t="s">
        <v>709</v>
      </c>
      <c r="BT109" s="547" t="s">
        <v>709</v>
      </c>
      <c r="BU109" s="547" t="s">
        <v>709</v>
      </c>
      <c r="BV109" s="547" t="s">
        <v>709</v>
      </c>
      <c r="BW109" s="547" t="s">
        <v>709</v>
      </c>
      <c r="BX109" s="547" t="s">
        <v>709</v>
      </c>
      <c r="BY109" s="547" t="s">
        <v>709</v>
      </c>
      <c r="BZ109" s="547" t="s">
        <v>709</v>
      </c>
      <c r="CA109" s="483"/>
      <c r="CB109" s="547">
        <v>107</v>
      </c>
      <c r="CC109" s="1481" t="b">
        <v>1</v>
      </c>
      <c r="CD109" t="str">
        <f>Table15[[#This Row],[Engineering Number]]&amp;Table15[[#This Row],[WO Number]]&amp;Table15[[#This Row],[Date Assigned to Designer]]&amp;Table15[[#This Row],[Date Completed]]</f>
        <v>SC167781356484367943903</v>
      </c>
    </row>
    <row r="110" spans="1:82" customFormat="1" ht="15" customHeight="1" x14ac:dyDescent="0.25">
      <c r="A110">
        <v>2020</v>
      </c>
      <c r="B110" s="8" t="s">
        <v>1205</v>
      </c>
      <c r="C110" s="8" t="s">
        <v>60</v>
      </c>
      <c r="D110" s="656" t="s">
        <v>2410</v>
      </c>
      <c r="E110" s="8" t="s">
        <v>61</v>
      </c>
      <c r="F110" s="8" t="s">
        <v>325</v>
      </c>
      <c r="G110" s="8" t="s">
        <v>36</v>
      </c>
      <c r="H110" s="8" t="s">
        <v>59</v>
      </c>
      <c r="I110" s="642">
        <v>43755</v>
      </c>
      <c r="J110" s="18">
        <v>43907</v>
      </c>
      <c r="K110" s="642">
        <v>43906</v>
      </c>
      <c r="L110" s="16">
        <f>IF(ISTEXT(Table15[[#This Row],[Engineering Approved Design Date]]),Table15[[#This Row],[Date Completed]]-Table15[[#This Row],[Date Assigned to Designer]],Table15[[#This Row],[Engineering Approved Design Date]]-Table15[[#This Row],[Date Completed]])</f>
        <v>1</v>
      </c>
      <c r="M110" s="642"/>
      <c r="N110" s="642" t="s">
        <v>120</v>
      </c>
      <c r="O110" s="1025">
        <v>43906</v>
      </c>
      <c r="P110" s="21" t="s">
        <v>739</v>
      </c>
      <c r="Q110" s="340">
        <f>R110*AA110</f>
        <v>30543.625799999998</v>
      </c>
      <c r="R110" s="1034">
        <v>0.09</v>
      </c>
      <c r="S110" s="538" t="s">
        <v>709</v>
      </c>
      <c r="T110" s="538">
        <v>42504</v>
      </c>
      <c r="U110" s="28" t="s">
        <v>709</v>
      </c>
      <c r="V110" s="858">
        <f>223+464</f>
        <v>687</v>
      </c>
      <c r="W110" s="437"/>
      <c r="X110" s="538">
        <v>329230.81</v>
      </c>
      <c r="Y110" s="551">
        <v>10675.98</v>
      </c>
      <c r="Z110" s="538">
        <v>10142.81</v>
      </c>
      <c r="AA110" s="538">
        <f>X110+Z110</f>
        <v>339373.62</v>
      </c>
      <c r="AB110" s="21"/>
      <c r="AC110" s="569"/>
      <c r="AD110" s="1149"/>
      <c r="AE110" s="569"/>
      <c r="AF110" s="569"/>
      <c r="AG110" s="569"/>
      <c r="AH110" s="536"/>
      <c r="AI110" s="1028"/>
      <c r="AJ110" s="1029"/>
      <c r="AK110" s="1029"/>
      <c r="AL110" s="1030"/>
      <c r="AM110" s="1522" t="s">
        <v>116</v>
      </c>
      <c r="AN110" s="1523">
        <v>44063</v>
      </c>
      <c r="AO110" s="1524">
        <v>189214</v>
      </c>
      <c r="AP110" s="1525">
        <v>332285.09999999998</v>
      </c>
      <c r="AQ110" s="1525"/>
      <c r="AR110" s="1525">
        <v>7557</v>
      </c>
      <c r="AS110" s="1525">
        <f>IF(Table15[[#This Row],[PCTS Approved]]="N",0,Table15[[#This Row],[Investment Amount (1'#'#'#'#'#)]]+Table15[[#This Row],[Retirement Amount (3'#'#'#'#'#)]])</f>
        <v>339842.1</v>
      </c>
      <c r="AT110" s="1525">
        <f>IF(Table15[[#This Row],[Approved Construction Cost]]=0,0,Table15[[#This Row],[Approved Construction Cost]]-Table15[[#This Row],[Construction Cost to Bill From]])</f>
        <v>468.47999999998137</v>
      </c>
      <c r="AU110" s="1525">
        <f>Table15[[#This Row],[Difference in Construction Cost]]*Table15[[#This Row],[Rate]]</f>
        <v>42.163199999998319</v>
      </c>
      <c r="AV110" s="1525">
        <v>1605</v>
      </c>
      <c r="AW110" s="1526" t="s">
        <v>2411</v>
      </c>
      <c r="AX110" s="1525">
        <v>42.163199999998319</v>
      </c>
      <c r="AY110" s="1518">
        <v>44501</v>
      </c>
      <c r="AZ110" s="333"/>
      <c r="BA110" s="1031" t="s">
        <v>2412</v>
      </c>
      <c r="BB110" s="644" t="s">
        <v>2413</v>
      </c>
      <c r="BC110" s="544"/>
      <c r="BD110" s="544"/>
      <c r="BE110" s="544"/>
      <c r="BF110" s="544"/>
      <c r="BG110" s="544"/>
      <c r="BH110" s="741"/>
      <c r="BI110" s="547" t="s">
        <v>709</v>
      </c>
      <c r="BJ110" s="547" t="s">
        <v>709</v>
      </c>
      <c r="BK110" s="547" t="s">
        <v>709</v>
      </c>
      <c r="BL110" s="547" t="s">
        <v>116</v>
      </c>
      <c r="BM110" s="547" t="s">
        <v>709</v>
      </c>
      <c r="BN110" s="547" t="s">
        <v>709</v>
      </c>
      <c r="BO110" s="547" t="s">
        <v>709</v>
      </c>
      <c r="BP110" s="547" t="s">
        <v>709</v>
      </c>
      <c r="BQ110" s="547">
        <v>464</v>
      </c>
      <c r="BR110" s="547" t="s">
        <v>709</v>
      </c>
      <c r="BS110" s="547">
        <v>223</v>
      </c>
      <c r="BT110" s="547" t="s">
        <v>745</v>
      </c>
      <c r="BU110" s="547" t="s">
        <v>709</v>
      </c>
      <c r="BV110" s="547" t="s">
        <v>745</v>
      </c>
      <c r="BW110" s="547" t="s">
        <v>709</v>
      </c>
      <c r="BX110" s="547" t="s">
        <v>745</v>
      </c>
      <c r="BY110" s="547" t="s">
        <v>745</v>
      </c>
      <c r="BZ110" s="547" t="s">
        <v>709</v>
      </c>
      <c r="CA110" s="483"/>
      <c r="CB110" s="547">
        <v>108</v>
      </c>
      <c r="CC110" s="1481" t="b">
        <v>1</v>
      </c>
      <c r="CD110" t="str">
        <f>Table15[[#This Row],[Engineering Number]]&amp;Table15[[#This Row],[WO Number]]&amp;Table15[[#This Row],[Date Assigned to Designer]]&amp;Table15[[#This Row],[Date Completed]]</f>
        <v>MR12641291534375543906</v>
      </c>
    </row>
    <row r="111" spans="1:82" customFormat="1" ht="15" customHeight="1" x14ac:dyDescent="0.25">
      <c r="A111">
        <v>2020</v>
      </c>
      <c r="B111" s="8" t="s">
        <v>4</v>
      </c>
      <c r="C111" s="8" t="s">
        <v>124</v>
      </c>
      <c r="D111" s="8" t="s">
        <v>2415</v>
      </c>
      <c r="E111" s="8" t="s">
        <v>125</v>
      </c>
      <c r="F111" s="8" t="s">
        <v>325</v>
      </c>
      <c r="G111" s="8" t="s">
        <v>40</v>
      </c>
      <c r="H111" s="8" t="s">
        <v>59</v>
      </c>
      <c r="I111" s="642">
        <v>43784</v>
      </c>
      <c r="J111" s="18">
        <v>43914</v>
      </c>
      <c r="K111" s="642">
        <v>43906</v>
      </c>
      <c r="L111" s="16">
        <f>IF(ISTEXT(Table15[[#This Row],[Engineering Approved Design Date]]),Table15[[#This Row],[Date Completed]]-Table15[[#This Row],[Date Assigned to Designer]],Table15[[#This Row],[Engineering Approved Design Date]]-Table15[[#This Row],[Date Completed]])</f>
        <v>8</v>
      </c>
      <c r="M111" s="642"/>
      <c r="N111" s="642" t="s">
        <v>120</v>
      </c>
      <c r="O111" s="1025">
        <v>43906</v>
      </c>
      <c r="P111" s="21" t="s">
        <v>739</v>
      </c>
      <c r="Q111" s="340">
        <f>R111*AA111</f>
        <v>8294.5810000000001</v>
      </c>
      <c r="R111" s="1026">
        <v>0.1</v>
      </c>
      <c r="S111" s="538" t="s">
        <v>709</v>
      </c>
      <c r="T111" s="538" t="s">
        <v>709</v>
      </c>
      <c r="U111" s="28" t="s">
        <v>709</v>
      </c>
      <c r="V111" s="858">
        <v>773</v>
      </c>
      <c r="W111" s="437"/>
      <c r="X111" s="538">
        <v>74549.88</v>
      </c>
      <c r="Y111" s="551">
        <v>12012.42</v>
      </c>
      <c r="Z111" s="538">
        <v>8395.93</v>
      </c>
      <c r="AA111" s="538">
        <f>X111+Z111</f>
        <v>82945.81</v>
      </c>
      <c r="AB111" s="21"/>
      <c r="AC111" s="569"/>
      <c r="AD111" s="1149"/>
      <c r="AE111" s="580"/>
      <c r="AF111" s="580"/>
      <c r="AG111" s="569"/>
      <c r="AH111" s="542"/>
      <c r="AI111" s="1028"/>
      <c r="AJ111" s="1029"/>
      <c r="AK111" s="1029"/>
      <c r="AL111" s="1030"/>
      <c r="AM111" s="1522" t="s">
        <v>116</v>
      </c>
      <c r="AN111" s="1523">
        <v>43957</v>
      </c>
      <c r="AO111" s="1524">
        <v>189317</v>
      </c>
      <c r="AP111" s="1525">
        <v>73589.05</v>
      </c>
      <c r="AQ111" s="1525">
        <v>12012.42</v>
      </c>
      <c r="AR111" s="1525">
        <v>8879.66</v>
      </c>
      <c r="AS111" s="1525">
        <f>IF(Table15[[#This Row],[PCTS Approved]]="N",0,Table15[[#This Row],[Investment Amount (1'#'#'#'#'#)]]+Table15[[#This Row],[Retirement Amount (3'#'#'#'#'#)]])</f>
        <v>82468.710000000006</v>
      </c>
      <c r="AT111" s="1525">
        <f>IF(Table15[[#This Row],[Approved Construction Cost]]=0,0,Table15[[#This Row],[Approved Construction Cost]]-Table15[[#This Row],[Construction Cost to Bill From]])</f>
        <v>-477.09999999999127</v>
      </c>
      <c r="AU111" s="1525">
        <f>Table15[[#This Row],[Difference in Construction Cost]]*Table15[[#This Row],[Rate]]</f>
        <v>-47.709999999999127</v>
      </c>
      <c r="AV111" s="1525" t="s">
        <v>709</v>
      </c>
      <c r="AW111" s="1526" t="s">
        <v>2416</v>
      </c>
      <c r="AX111" s="1525">
        <v>-47.709999999999127</v>
      </c>
      <c r="AY111" s="1518">
        <v>44501</v>
      </c>
      <c r="AZ111" s="333"/>
      <c r="BA111" s="1031" t="s">
        <v>2417</v>
      </c>
      <c r="BB111" s="644" t="s">
        <v>2418</v>
      </c>
      <c r="BC111" s="544"/>
      <c r="BD111" s="544"/>
      <c r="BE111" s="544"/>
      <c r="BF111" s="544"/>
      <c r="BG111" s="544"/>
      <c r="BH111" s="741"/>
      <c r="BI111" s="547" t="s">
        <v>709</v>
      </c>
      <c r="BJ111" s="547" t="s">
        <v>709</v>
      </c>
      <c r="BK111" s="547" t="s">
        <v>709</v>
      </c>
      <c r="BL111" s="547" t="s">
        <v>116</v>
      </c>
      <c r="BM111" s="547" t="s">
        <v>709</v>
      </c>
      <c r="BN111" s="547" t="s">
        <v>709</v>
      </c>
      <c r="BO111" s="547" t="s">
        <v>709</v>
      </c>
      <c r="BP111" s="547" t="s">
        <v>709</v>
      </c>
      <c r="BQ111" s="547" t="s">
        <v>709</v>
      </c>
      <c r="BR111" s="547" t="s">
        <v>709</v>
      </c>
      <c r="BS111" s="547">
        <v>773</v>
      </c>
      <c r="BT111" s="547" t="s">
        <v>709</v>
      </c>
      <c r="BU111" s="547" t="s">
        <v>709</v>
      </c>
      <c r="BV111" s="547" t="s">
        <v>709</v>
      </c>
      <c r="BW111" s="547" t="s">
        <v>709</v>
      </c>
      <c r="BX111" s="547" t="s">
        <v>709</v>
      </c>
      <c r="BY111" s="547" t="s">
        <v>709</v>
      </c>
      <c r="BZ111" s="547" t="s">
        <v>709</v>
      </c>
      <c r="CA111" s="483"/>
      <c r="CB111" s="547">
        <v>109</v>
      </c>
      <c r="CC111" s="1481" t="b">
        <v>1</v>
      </c>
      <c r="CD111" t="str">
        <f>Table15[[#This Row],[Engineering Number]]&amp;Table15[[#This Row],[WO Number]]&amp;Table15[[#This Row],[Date Assigned to Designer]]&amp;Table15[[#This Row],[Date Completed]]</f>
        <v>N130371291684378443906</v>
      </c>
    </row>
    <row r="112" spans="1:82" customFormat="1" ht="15" customHeight="1" x14ac:dyDescent="0.25">
      <c r="A112">
        <v>2020</v>
      </c>
      <c r="B112" s="8" t="s">
        <v>771</v>
      </c>
      <c r="C112" s="8" t="s">
        <v>2302</v>
      </c>
      <c r="D112" s="8" t="s">
        <v>2303</v>
      </c>
      <c r="E112" s="8" t="s">
        <v>2304</v>
      </c>
      <c r="F112" s="8" t="s">
        <v>919</v>
      </c>
      <c r="G112" s="8" t="s">
        <v>1896</v>
      </c>
      <c r="H112" s="8" t="s">
        <v>2051</v>
      </c>
      <c r="I112" s="642">
        <v>43613</v>
      </c>
      <c r="J112" s="18" t="s">
        <v>2052</v>
      </c>
      <c r="K112" s="642">
        <v>43909</v>
      </c>
      <c r="L112" s="16">
        <f>IF(ISTEXT(Table15[[#This Row],[Engineering Approved Design Date]]),Table15[[#This Row],[Date Completed]]-Table15[[#This Row],[Date Assigned to Designer]],Table15[[#This Row],[Engineering Approved Design Date]]-Table15[[#This Row],[Date Completed]])</f>
        <v>296</v>
      </c>
      <c r="M112" s="642" t="s">
        <v>2420</v>
      </c>
      <c r="N112" s="642" t="s">
        <v>120</v>
      </c>
      <c r="O112" s="1025">
        <v>43909</v>
      </c>
      <c r="P112" s="21" t="s">
        <v>120</v>
      </c>
      <c r="Q112" s="1151">
        <f>IF(Table15[[#This Row],[Shactee Effort]]="N",0,Table15[[#This Row],[Shactee Effort]])+IF(Table15[[#This Row],[3rd Party Effort]]="N",0,Table15[[#This Row],[3rd Party Effort]])+Table15[[#This Row],[KH Hourly Effort]]</f>
        <v>1920</v>
      </c>
      <c r="R112" s="1026" t="s">
        <v>1922</v>
      </c>
      <c r="S112" s="538" t="s">
        <v>709</v>
      </c>
      <c r="T112" s="538" t="s">
        <v>709</v>
      </c>
      <c r="U112" s="28">
        <v>1920</v>
      </c>
      <c r="V112" s="858"/>
      <c r="W112" s="437"/>
      <c r="X112" s="538"/>
      <c r="Y112" s="551"/>
      <c r="Z112" s="538"/>
      <c r="AA112" s="538"/>
      <c r="AB112" s="21"/>
      <c r="AC112" s="569"/>
      <c r="AD112" s="1149"/>
      <c r="AE112" s="569"/>
      <c r="AF112" s="569"/>
      <c r="AG112" s="569"/>
      <c r="AH112" s="536"/>
      <c r="AI112" s="1028"/>
      <c r="AJ112" s="1029"/>
      <c r="AK112" s="1029"/>
      <c r="AL112" s="1030"/>
      <c r="AM112" s="542" t="s">
        <v>709</v>
      </c>
      <c r="AN112" s="924"/>
      <c r="AO112" s="925"/>
      <c r="AP112" s="926"/>
      <c r="AQ112" s="926"/>
      <c r="AR112" s="926"/>
      <c r="AS112" s="926"/>
      <c r="AT112" s="926"/>
      <c r="AU112" s="926"/>
      <c r="AV112" s="926"/>
      <c r="AW112" s="927"/>
      <c r="AX112" s="926"/>
      <c r="AY112" s="1538" t="s">
        <v>29</v>
      </c>
      <c r="AZ112" s="1530"/>
      <c r="BA112" s="1031">
        <v>1</v>
      </c>
      <c r="BB112" s="644"/>
      <c r="BC112" s="544"/>
      <c r="BD112" s="544"/>
      <c r="BE112" s="544"/>
      <c r="BF112" s="544"/>
      <c r="BG112" s="544"/>
      <c r="BH112" s="741"/>
      <c r="BI112" s="547" t="s">
        <v>709</v>
      </c>
      <c r="BJ112" s="547" t="s">
        <v>709</v>
      </c>
      <c r="BK112" s="547" t="s">
        <v>709</v>
      </c>
      <c r="BL112" s="547" t="s">
        <v>116</v>
      </c>
      <c r="BM112" s="547" t="s">
        <v>709</v>
      </c>
      <c r="BN112" s="547" t="s">
        <v>709</v>
      </c>
      <c r="BO112" s="547" t="s">
        <v>709</v>
      </c>
      <c r="BP112" s="547">
        <v>4592</v>
      </c>
      <c r="BQ112" s="547">
        <v>1768</v>
      </c>
      <c r="BR112" s="547">
        <v>22</v>
      </c>
      <c r="BS112" s="547">
        <v>15367</v>
      </c>
      <c r="BT112" s="547" t="s">
        <v>709</v>
      </c>
      <c r="BU112" s="547" t="s">
        <v>709</v>
      </c>
      <c r="BV112" s="547" t="s">
        <v>745</v>
      </c>
      <c r="BW112" s="547" t="s">
        <v>709</v>
      </c>
      <c r="BX112" s="547" t="s">
        <v>745</v>
      </c>
      <c r="BY112" s="547" t="s">
        <v>745</v>
      </c>
      <c r="BZ112" s="547" t="s">
        <v>709</v>
      </c>
      <c r="CA112" s="483"/>
      <c r="CB112" s="547">
        <v>110</v>
      </c>
      <c r="CC112" s="1481" t="b">
        <v>1</v>
      </c>
      <c r="CD112" t="str">
        <f>Table15[[#This Row],[Engineering Number]]&amp;Table15[[#This Row],[WO Number]]&amp;Table15[[#This Row],[Date Assigned to Designer]]&amp;Table15[[#This Row],[Date Completed]]</f>
        <v>BS4031203024361343909</v>
      </c>
    </row>
    <row r="113" spans="1:82" customFormat="1" ht="15" customHeight="1" x14ac:dyDescent="0.25">
      <c r="A113">
        <v>2020</v>
      </c>
      <c r="B113" s="8" t="s">
        <v>4</v>
      </c>
      <c r="C113" s="8" t="s">
        <v>2428</v>
      </c>
      <c r="D113" s="8" t="s">
        <v>2429</v>
      </c>
      <c r="E113" s="8" t="s">
        <v>2430</v>
      </c>
      <c r="F113" s="8" t="s">
        <v>919</v>
      </c>
      <c r="G113" s="8" t="s">
        <v>40</v>
      </c>
      <c r="H113" s="8" t="s">
        <v>59</v>
      </c>
      <c r="I113" s="642">
        <v>43858</v>
      </c>
      <c r="J113" s="18">
        <v>43910</v>
      </c>
      <c r="K113" s="642">
        <v>43910</v>
      </c>
      <c r="L113" s="16">
        <f>IF(ISTEXT(Table15[[#This Row],[Engineering Approved Design Date]]),Table15[[#This Row],[Date Completed]]-Table15[[#This Row],[Date Assigned to Designer]],Table15[[#This Row],[Engineering Approved Design Date]]-Table15[[#This Row],[Date Completed]])</f>
        <v>0</v>
      </c>
      <c r="M113" s="642"/>
      <c r="N113" s="642" t="s">
        <v>120</v>
      </c>
      <c r="O113" s="1025">
        <v>43910</v>
      </c>
      <c r="P113" s="21" t="s">
        <v>739</v>
      </c>
      <c r="Q113" s="1151">
        <f>R113*AA113</f>
        <v>8013.9989999999998</v>
      </c>
      <c r="R113" s="1026">
        <v>0.1</v>
      </c>
      <c r="S113" s="538" t="s">
        <v>709</v>
      </c>
      <c r="T113" s="538" t="s">
        <v>709</v>
      </c>
      <c r="U113" s="28" t="s">
        <v>709</v>
      </c>
      <c r="V113" s="858">
        <v>466</v>
      </c>
      <c r="W113" s="437"/>
      <c r="X113" s="538">
        <v>70884.479999999996</v>
      </c>
      <c r="Y113" s="551">
        <v>0</v>
      </c>
      <c r="Z113" s="538">
        <v>9255.51</v>
      </c>
      <c r="AA113" s="538">
        <f>X113+Z113</f>
        <v>80139.989999999991</v>
      </c>
      <c r="AB113" s="21"/>
      <c r="AC113" s="569"/>
      <c r="AD113" s="1149"/>
      <c r="AE113" s="580"/>
      <c r="AF113" s="580"/>
      <c r="AG113" s="569"/>
      <c r="AH113" s="542"/>
      <c r="AI113" s="1028"/>
      <c r="AJ113" s="1029"/>
      <c r="AK113" s="1029"/>
      <c r="AL113" s="1030"/>
      <c r="AM113" s="1522" t="s">
        <v>116</v>
      </c>
      <c r="AN113" s="1523">
        <v>44027</v>
      </c>
      <c r="AO113" s="1524">
        <v>189244</v>
      </c>
      <c r="AP113" s="1525">
        <v>80852.39</v>
      </c>
      <c r="AQ113" s="1525"/>
      <c r="AR113" s="1525">
        <v>11753.43</v>
      </c>
      <c r="AS113" s="1525">
        <f>IF(Table15[[#This Row],[PCTS Approved]]="N",0,Table15[[#This Row],[Investment Amount (1'#'#'#'#'#)]]+Table15[[#This Row],[Retirement Amount (3'#'#'#'#'#)]])</f>
        <v>92605.82</v>
      </c>
      <c r="AT113" s="1525">
        <f>IF(Table15[[#This Row],[Approved Construction Cost]]=0,0,Table15[[#This Row],[Approved Construction Cost]]-Table15[[#This Row],[Construction Cost to Bill From]])</f>
        <v>12465.830000000016</v>
      </c>
      <c r="AU113" s="1525">
        <f>Table15[[#This Row],[Difference in Construction Cost]]*Table15[[#This Row],[Rate]]</f>
        <v>1246.5830000000017</v>
      </c>
      <c r="AV113" s="1525" t="s">
        <v>709</v>
      </c>
      <c r="AW113" s="1526" t="s">
        <v>2431</v>
      </c>
      <c r="AX113" s="1525">
        <v>1246.5830000000017</v>
      </c>
      <c r="AY113" s="1518">
        <v>44501</v>
      </c>
      <c r="AZ113" s="333"/>
      <c r="BA113" s="1031" t="s">
        <v>2432</v>
      </c>
      <c r="BB113" s="644" t="s">
        <v>2288</v>
      </c>
      <c r="BC113" s="544"/>
      <c r="BD113" s="544"/>
      <c r="BE113" s="544"/>
      <c r="BF113" s="544"/>
      <c r="BG113" s="544"/>
      <c r="BH113" s="741"/>
      <c r="BI113" s="547" t="s">
        <v>709</v>
      </c>
      <c r="BJ113" s="547" t="s">
        <v>709</v>
      </c>
      <c r="BK113" s="547" t="s">
        <v>709</v>
      </c>
      <c r="BL113" s="547" t="s">
        <v>116</v>
      </c>
      <c r="BM113" s="547" t="s">
        <v>709</v>
      </c>
      <c r="BN113" s="547" t="s">
        <v>709</v>
      </c>
      <c r="BO113" s="547" t="s">
        <v>709</v>
      </c>
      <c r="BP113" s="547" t="s">
        <v>709</v>
      </c>
      <c r="BQ113" s="547">
        <v>466</v>
      </c>
      <c r="BR113" s="547" t="s">
        <v>709</v>
      </c>
      <c r="BS113" s="547" t="s">
        <v>709</v>
      </c>
      <c r="BT113" s="547" t="s">
        <v>709</v>
      </c>
      <c r="BU113" s="547" t="s">
        <v>709</v>
      </c>
      <c r="BV113" s="547" t="s">
        <v>709</v>
      </c>
      <c r="BW113" s="547" t="s">
        <v>709</v>
      </c>
      <c r="BX113" s="547" t="s">
        <v>709</v>
      </c>
      <c r="BY113" s="547" t="s">
        <v>709</v>
      </c>
      <c r="BZ113" s="547" t="s">
        <v>709</v>
      </c>
      <c r="CA113" s="483"/>
      <c r="CB113" s="547">
        <v>112</v>
      </c>
      <c r="CC113" s="1481" t="b">
        <v>1</v>
      </c>
      <c r="CD113" t="str">
        <f>Table15[[#This Row],[Engineering Number]]&amp;Table15[[#This Row],[WO Number]]&amp;Table15[[#This Row],[Date Assigned to Designer]]&amp;Table15[[#This Row],[Date Completed]]</f>
        <v>SC174341204564385843910</v>
      </c>
    </row>
    <row r="114" spans="1:82" customFormat="1" ht="15" customHeight="1" x14ac:dyDescent="0.25">
      <c r="A114">
        <v>2020</v>
      </c>
      <c r="B114" s="8" t="s">
        <v>771</v>
      </c>
      <c r="C114" s="8" t="s">
        <v>2422</v>
      </c>
      <c r="D114" s="8" t="s">
        <v>2423</v>
      </c>
      <c r="E114" s="8" t="s">
        <v>149</v>
      </c>
      <c r="F114" s="8" t="s">
        <v>325</v>
      </c>
      <c r="G114" s="8" t="s">
        <v>1882</v>
      </c>
      <c r="H114" s="8" t="s">
        <v>59</v>
      </c>
      <c r="I114" s="642">
        <v>43787</v>
      </c>
      <c r="J114" s="18">
        <v>43893</v>
      </c>
      <c r="K114" s="642">
        <v>43910</v>
      </c>
      <c r="L114" s="16">
        <v>0</v>
      </c>
      <c r="M114" s="642" t="s">
        <v>2424</v>
      </c>
      <c r="N114" s="642" t="s">
        <v>120</v>
      </c>
      <c r="O114" s="1025">
        <v>43910</v>
      </c>
      <c r="P114" s="21" t="s">
        <v>120</v>
      </c>
      <c r="Q114" s="1151">
        <f>1.55*V114</f>
        <v>22901.25</v>
      </c>
      <c r="R114" s="1026" t="s">
        <v>2087</v>
      </c>
      <c r="S114" s="538" t="s">
        <v>709</v>
      </c>
      <c r="T114" s="538" t="s">
        <v>709</v>
      </c>
      <c r="U114" s="28" t="s">
        <v>709</v>
      </c>
      <c r="V114" s="858">
        <f>10206+4569</f>
        <v>14775</v>
      </c>
      <c r="W114" s="437"/>
      <c r="X114" s="538"/>
      <c r="Y114" s="551" t="s">
        <v>115</v>
      </c>
      <c r="Z114" s="538"/>
      <c r="AA114" s="538"/>
      <c r="AB114" s="21"/>
      <c r="AC114" s="569"/>
      <c r="AD114" s="1149"/>
      <c r="AE114" s="569"/>
      <c r="AF114" s="569"/>
      <c r="AG114" s="569"/>
      <c r="AH114" s="536"/>
      <c r="AI114" s="1028"/>
      <c r="AJ114" s="1029"/>
      <c r="AK114" s="1029"/>
      <c r="AL114" s="1030"/>
      <c r="AM114" s="542" t="s">
        <v>709</v>
      </c>
      <c r="AN114" s="924"/>
      <c r="AO114" s="925"/>
      <c r="AP114" s="926"/>
      <c r="AQ114" s="926"/>
      <c r="AR114" s="926"/>
      <c r="AS114" s="926"/>
      <c r="AT114" s="926"/>
      <c r="AU114" s="926"/>
      <c r="AV114" s="926"/>
      <c r="AW114" s="927"/>
      <c r="AX114" s="926"/>
      <c r="AY114" s="1538" t="s">
        <v>29</v>
      </c>
      <c r="AZ114" s="1530"/>
      <c r="BA114" s="1031" t="s">
        <v>2425</v>
      </c>
      <c r="BB114" s="644" t="s">
        <v>2426</v>
      </c>
      <c r="BC114" s="544"/>
      <c r="BD114" s="544"/>
      <c r="BE114" s="544"/>
      <c r="BF114" s="544"/>
      <c r="BG114" s="544"/>
      <c r="BH114" s="741"/>
      <c r="BI114" s="547" t="s">
        <v>709</v>
      </c>
      <c r="BJ114" s="547" t="s">
        <v>709</v>
      </c>
      <c r="BK114" s="547" t="s">
        <v>709</v>
      </c>
      <c r="BL114" s="547" t="s">
        <v>116</v>
      </c>
      <c r="BM114" s="547" t="s">
        <v>709</v>
      </c>
      <c r="BN114" s="547" t="s">
        <v>709</v>
      </c>
      <c r="BO114" s="547" t="s">
        <v>709</v>
      </c>
      <c r="BP114" s="547" t="s">
        <v>709</v>
      </c>
      <c r="BQ114" s="547" t="s">
        <v>709</v>
      </c>
      <c r="BR114" s="547">
        <v>4569</v>
      </c>
      <c r="BS114" s="547">
        <v>10206</v>
      </c>
      <c r="BT114" s="547" t="s">
        <v>709</v>
      </c>
      <c r="BU114" s="547" t="s">
        <v>709</v>
      </c>
      <c r="BV114" s="547" t="s">
        <v>709</v>
      </c>
      <c r="BW114" s="547" t="s">
        <v>709</v>
      </c>
      <c r="BX114" s="547" t="s">
        <v>709</v>
      </c>
      <c r="BY114" s="547" t="s">
        <v>709</v>
      </c>
      <c r="BZ114" s="547" t="s">
        <v>709</v>
      </c>
      <c r="CA114" s="483"/>
      <c r="CB114" s="547">
        <v>111</v>
      </c>
      <c r="CC114" s="1481" t="b">
        <v>1</v>
      </c>
      <c r="CD114" t="str">
        <f>Table15[[#This Row],[Engineering Number]]&amp;Table15[[#This Row],[WO Number]]&amp;Table15[[#This Row],[Date Assigned to Designer]]&amp;Table15[[#This Row],[Date Completed]]</f>
        <v>VW1821204094378743910</v>
      </c>
    </row>
    <row r="115" spans="1:82" customFormat="1" ht="15" customHeight="1" x14ac:dyDescent="0.25">
      <c r="A115">
        <v>2020</v>
      </c>
      <c r="B115" s="8" t="s">
        <v>771</v>
      </c>
      <c r="C115" s="8" t="s">
        <v>2354</v>
      </c>
      <c r="D115" s="8" t="s">
        <v>2355</v>
      </c>
      <c r="E115" s="8" t="s">
        <v>149</v>
      </c>
      <c r="F115" s="8" t="s">
        <v>325</v>
      </c>
      <c r="G115" s="8" t="s">
        <v>1882</v>
      </c>
      <c r="H115" s="8" t="s">
        <v>2051</v>
      </c>
      <c r="I115" s="642">
        <v>43787</v>
      </c>
      <c r="J115" s="18" t="s">
        <v>2052</v>
      </c>
      <c r="K115" s="642">
        <v>43914</v>
      </c>
      <c r="L115" s="16">
        <f>IF(ISTEXT(Table15[[#This Row],[Engineering Approved Design Date]]),Table15[[#This Row],[Date Completed]]-Table15[[#This Row],[Date Assigned to Designer]],Table15[[#This Row],[Engineering Approved Design Date]]-Table15[[#This Row],[Date Completed]])</f>
        <v>127</v>
      </c>
      <c r="M115" s="642" t="s">
        <v>2434</v>
      </c>
      <c r="N115" s="642" t="s">
        <v>120</v>
      </c>
      <c r="O115" s="1025">
        <v>43922</v>
      </c>
      <c r="P115" s="21" t="s">
        <v>120</v>
      </c>
      <c r="Q115" s="1151">
        <f>IF(Table15[[#This Row],[Shactee Effort]]="N",0,Table15[[#This Row],[Shactee Effort]])+IF(Table15[[#This Row],[3rd Party Effort]]="N",0,Table15[[#This Row],[3rd Party Effort]])+Table15[[#This Row],[KH Hourly Effort]]</f>
        <v>4430</v>
      </c>
      <c r="R115" s="1026" t="s">
        <v>1922</v>
      </c>
      <c r="S115" s="538" t="s">
        <v>709</v>
      </c>
      <c r="T115" s="538" t="s">
        <v>709</v>
      </c>
      <c r="U115" s="28">
        <v>4430</v>
      </c>
      <c r="V115" s="858"/>
      <c r="W115" s="437"/>
      <c r="X115" s="538"/>
      <c r="Y115" s="551"/>
      <c r="Z115" s="538"/>
      <c r="AA115" s="538"/>
      <c r="AB115" s="21"/>
      <c r="AC115" s="569"/>
      <c r="AD115" s="1149"/>
      <c r="AE115" s="569"/>
      <c r="AF115" s="569"/>
      <c r="AG115" s="569"/>
      <c r="AH115" s="536"/>
      <c r="AI115" s="1028"/>
      <c r="AJ115" s="1029"/>
      <c r="AK115" s="1029"/>
      <c r="AL115" s="1030"/>
      <c r="AM115" s="542" t="s">
        <v>709</v>
      </c>
      <c r="AN115" s="924"/>
      <c r="AO115" s="925"/>
      <c r="AP115" s="926"/>
      <c r="AQ115" s="926"/>
      <c r="AR115" s="926"/>
      <c r="AS115" s="926"/>
      <c r="AT115" s="926"/>
      <c r="AU115" s="926"/>
      <c r="AV115" s="926"/>
      <c r="AW115" s="927"/>
      <c r="AX115" s="926"/>
      <c r="AY115" s="1538" t="s">
        <v>29</v>
      </c>
      <c r="AZ115" s="1530"/>
      <c r="BA115" s="1031">
        <v>1</v>
      </c>
      <c r="BB115" s="644"/>
      <c r="BC115" s="544"/>
      <c r="BD115" s="544"/>
      <c r="BE115" s="544"/>
      <c r="BF115" s="544"/>
      <c r="BG115" s="544"/>
      <c r="BH115" s="741"/>
      <c r="BI115" s="547" t="s">
        <v>709</v>
      </c>
      <c r="BJ115" s="547" t="s">
        <v>709</v>
      </c>
      <c r="BK115" s="547" t="s">
        <v>709</v>
      </c>
      <c r="BL115" s="547" t="s">
        <v>116</v>
      </c>
      <c r="BM115" s="547" t="s">
        <v>709</v>
      </c>
      <c r="BN115" s="547" t="s">
        <v>709</v>
      </c>
      <c r="BO115" s="547" t="s">
        <v>709</v>
      </c>
      <c r="BP115" s="547">
        <v>115</v>
      </c>
      <c r="BQ115" s="547">
        <v>1131</v>
      </c>
      <c r="BR115" s="547">
        <v>2606</v>
      </c>
      <c r="BS115" s="547">
        <v>6447</v>
      </c>
      <c r="BT115" s="547" t="s">
        <v>709</v>
      </c>
      <c r="BU115" s="547" t="s">
        <v>709</v>
      </c>
      <c r="BV115" s="547" t="s">
        <v>709</v>
      </c>
      <c r="BW115" s="547" t="s">
        <v>709</v>
      </c>
      <c r="BX115" s="547" t="s">
        <v>709</v>
      </c>
      <c r="BY115" s="547" t="s">
        <v>709</v>
      </c>
      <c r="BZ115" s="547" t="s">
        <v>709</v>
      </c>
      <c r="CA115" s="483"/>
      <c r="CB115" s="547">
        <v>113</v>
      </c>
      <c r="CC115" s="1481" t="b">
        <v>1</v>
      </c>
      <c r="CD115" t="str">
        <f>Table15[[#This Row],[Engineering Number]]&amp;Table15[[#This Row],[WO Number]]&amp;Table15[[#This Row],[Date Assigned to Designer]]&amp;Table15[[#This Row],[Date Completed]]</f>
        <v>VW1801204074378743914</v>
      </c>
    </row>
    <row r="116" spans="1:82" customFormat="1" ht="15" customHeight="1" x14ac:dyDescent="0.25">
      <c r="A116">
        <v>2020</v>
      </c>
      <c r="B116" s="8" t="s">
        <v>771</v>
      </c>
      <c r="C116" s="8" t="s">
        <v>2377</v>
      </c>
      <c r="D116" s="8" t="s">
        <v>2378</v>
      </c>
      <c r="E116" s="8" t="s">
        <v>149</v>
      </c>
      <c r="F116" s="8" t="s">
        <v>325</v>
      </c>
      <c r="G116" s="8" t="s">
        <v>1882</v>
      </c>
      <c r="H116" s="8" t="s">
        <v>2051</v>
      </c>
      <c r="I116" s="642">
        <v>43787</v>
      </c>
      <c r="J116" s="18" t="s">
        <v>2052</v>
      </c>
      <c r="K116" s="642">
        <v>43914</v>
      </c>
      <c r="L116" s="16">
        <f>IF(ISTEXT(Table15[[#This Row],[Engineering Approved Design Date]]),Table15[[#This Row],[Date Completed]]-Table15[[#This Row],[Date Assigned to Designer]],Table15[[#This Row],[Engineering Approved Design Date]]-Table15[[#This Row],[Date Completed]])</f>
        <v>127</v>
      </c>
      <c r="M116" s="642" t="s">
        <v>2434</v>
      </c>
      <c r="N116" s="642" t="s">
        <v>120</v>
      </c>
      <c r="O116" s="1025">
        <v>43922</v>
      </c>
      <c r="P116" s="21" t="s">
        <v>120</v>
      </c>
      <c r="Q116" s="1151">
        <f>IF(Table15[[#This Row],[Shactee Effort]]="N",0,Table15[[#This Row],[Shactee Effort]])+IF(Table15[[#This Row],[3rd Party Effort]]="N",0,Table15[[#This Row],[3rd Party Effort]])+Table15[[#This Row],[KH Hourly Effort]]</f>
        <v>3077.5</v>
      </c>
      <c r="R116" s="1026" t="s">
        <v>1922</v>
      </c>
      <c r="S116" s="538" t="s">
        <v>709</v>
      </c>
      <c r="T116" s="538" t="s">
        <v>709</v>
      </c>
      <c r="U116" s="28">
        <v>3077.5</v>
      </c>
      <c r="V116" s="858"/>
      <c r="W116" s="437"/>
      <c r="X116" s="538"/>
      <c r="Y116" s="551"/>
      <c r="Z116" s="538"/>
      <c r="AA116" s="538"/>
      <c r="AB116" s="21"/>
      <c r="AC116" s="569"/>
      <c r="AD116" s="1149"/>
      <c r="AE116" s="569"/>
      <c r="AF116" s="569"/>
      <c r="AG116" s="569"/>
      <c r="AH116" s="536"/>
      <c r="AI116" s="1028"/>
      <c r="AJ116" s="1029"/>
      <c r="AK116" s="1029"/>
      <c r="AL116" s="1030"/>
      <c r="AM116" s="542" t="s">
        <v>709</v>
      </c>
      <c r="AN116" s="924"/>
      <c r="AO116" s="925"/>
      <c r="AP116" s="926"/>
      <c r="AQ116" s="926"/>
      <c r="AR116" s="926"/>
      <c r="AS116" s="926"/>
      <c r="AT116" s="926"/>
      <c r="AU116" s="926"/>
      <c r="AV116" s="926"/>
      <c r="AW116" s="927"/>
      <c r="AX116" s="926"/>
      <c r="AY116" s="1538" t="s">
        <v>29</v>
      </c>
      <c r="AZ116" s="1530"/>
      <c r="BA116" s="1031">
        <v>1</v>
      </c>
      <c r="BB116" s="644"/>
      <c r="BC116" s="544"/>
      <c r="BD116" s="544"/>
      <c r="BE116" s="544"/>
      <c r="BF116" s="544"/>
      <c r="BG116" s="544"/>
      <c r="BH116" s="741"/>
      <c r="BI116" s="547" t="s">
        <v>709</v>
      </c>
      <c r="BJ116" s="547" t="s">
        <v>709</v>
      </c>
      <c r="BK116" s="547" t="s">
        <v>709</v>
      </c>
      <c r="BL116" s="547" t="s">
        <v>116</v>
      </c>
      <c r="BM116" s="547" t="s">
        <v>709</v>
      </c>
      <c r="BN116" s="547" t="s">
        <v>709</v>
      </c>
      <c r="BO116" s="547" t="s">
        <v>709</v>
      </c>
      <c r="BP116" s="547" t="s">
        <v>709</v>
      </c>
      <c r="BQ116" s="547">
        <v>1676</v>
      </c>
      <c r="BR116" s="547">
        <v>600</v>
      </c>
      <c r="BS116" s="547">
        <v>8750</v>
      </c>
      <c r="BT116" s="547" t="s">
        <v>709</v>
      </c>
      <c r="BU116" s="547" t="s">
        <v>709</v>
      </c>
      <c r="BV116" s="547" t="s">
        <v>709</v>
      </c>
      <c r="BW116" s="547" t="s">
        <v>709</v>
      </c>
      <c r="BX116" s="547" t="s">
        <v>709</v>
      </c>
      <c r="BY116" s="547" t="s">
        <v>709</v>
      </c>
      <c r="BZ116" s="547" t="s">
        <v>709</v>
      </c>
      <c r="CA116" s="483"/>
      <c r="CB116" s="547">
        <v>114</v>
      </c>
      <c r="CC116" s="1481" t="b">
        <v>1</v>
      </c>
      <c r="CD116" t="str">
        <f>Table15[[#This Row],[Engineering Number]]&amp;Table15[[#This Row],[WO Number]]&amp;Table15[[#This Row],[Date Assigned to Designer]]&amp;Table15[[#This Row],[Date Completed]]</f>
        <v>VW1811204084378743914</v>
      </c>
    </row>
    <row r="117" spans="1:82" customFormat="1" ht="15" customHeight="1" x14ac:dyDescent="0.25">
      <c r="A117">
        <v>2020</v>
      </c>
      <c r="B117" s="8" t="s">
        <v>4</v>
      </c>
      <c r="C117" s="8" t="s">
        <v>2437</v>
      </c>
      <c r="D117" s="8" t="s">
        <v>2438</v>
      </c>
      <c r="E117" s="8" t="s">
        <v>232</v>
      </c>
      <c r="F117" s="8" t="s">
        <v>919</v>
      </c>
      <c r="G117" s="8" t="s">
        <v>1882</v>
      </c>
      <c r="H117" s="8" t="s">
        <v>59</v>
      </c>
      <c r="I117" s="642">
        <v>43838</v>
      </c>
      <c r="J117" s="18">
        <v>43929</v>
      </c>
      <c r="K117" s="642">
        <v>43917</v>
      </c>
      <c r="L117" s="16">
        <f>IF(ISTEXT(Table15[[#This Row],[Engineering Approved Design Date]]),Table15[[#This Row],[Date Completed]]-Table15[[#This Row],[Date Assigned to Designer]],Table15[[#This Row],[Engineering Approved Design Date]]-Table15[[#This Row],[Date Completed]])</f>
        <v>12</v>
      </c>
      <c r="M117" s="642"/>
      <c r="N117" s="642" t="s">
        <v>120</v>
      </c>
      <c r="O117" s="1025">
        <v>43922</v>
      </c>
      <c r="P117" s="21" t="s">
        <v>739</v>
      </c>
      <c r="Q117" s="1151">
        <f>R117*AA117</f>
        <v>8549.2880000000005</v>
      </c>
      <c r="R117" s="1026">
        <v>0.1</v>
      </c>
      <c r="S117" s="538" t="s">
        <v>709</v>
      </c>
      <c r="T117" s="538" t="s">
        <v>709</v>
      </c>
      <c r="U117" s="28" t="s">
        <v>709</v>
      </c>
      <c r="V117" s="858">
        <v>578</v>
      </c>
      <c r="W117" s="437"/>
      <c r="X117" s="538">
        <v>75579.17</v>
      </c>
      <c r="Y117" s="551">
        <v>10675.98</v>
      </c>
      <c r="Z117" s="538">
        <v>9913.7099999999991</v>
      </c>
      <c r="AA117" s="538">
        <f>X117+Z117</f>
        <v>85492.88</v>
      </c>
      <c r="AB117" s="21"/>
      <c r="AC117" s="569"/>
      <c r="AD117" s="1149"/>
      <c r="AE117" s="580"/>
      <c r="AF117" s="580"/>
      <c r="AG117" s="569"/>
      <c r="AH117" s="542"/>
      <c r="AI117" s="1028"/>
      <c r="AJ117" s="1029"/>
      <c r="AK117" s="1029"/>
      <c r="AL117" s="1030"/>
      <c r="AM117" s="1522" t="s">
        <v>116</v>
      </c>
      <c r="AN117" s="1523">
        <v>43969</v>
      </c>
      <c r="AO117" s="1524">
        <v>183337</v>
      </c>
      <c r="AP117" s="1525">
        <v>77898.44</v>
      </c>
      <c r="AQ117" s="1525">
        <v>0</v>
      </c>
      <c r="AR117" s="1525">
        <v>9913.77</v>
      </c>
      <c r="AS117" s="1525">
        <f>IF(Table15[[#This Row],[PCTS Approved]]="N",0,Table15[[#This Row],[Investment Amount (1'#'#'#'#'#)]]+Table15[[#This Row],[Retirement Amount (3'#'#'#'#'#)]])</f>
        <v>87812.21</v>
      </c>
      <c r="AT117" s="1525">
        <f>IF(Table15[[#This Row],[Approved Construction Cost]]=0,0,Table15[[#This Row],[Approved Construction Cost]]-Table15[[#This Row],[Construction Cost to Bill From]])</f>
        <v>2319.3300000000017</v>
      </c>
      <c r="AU117" s="1525">
        <f>Table15[[#This Row],[Difference in Construction Cost]]*Table15[[#This Row],[Rate]]</f>
        <v>231.93300000000019</v>
      </c>
      <c r="AV117" s="1525" t="s">
        <v>709</v>
      </c>
      <c r="AW117" s="1526" t="s">
        <v>2439</v>
      </c>
      <c r="AX117" s="1525">
        <v>231.93300000000019</v>
      </c>
      <c r="AY117" s="1518">
        <v>44501</v>
      </c>
      <c r="AZ117" s="333"/>
      <c r="BA117" s="1031" t="s">
        <v>2440</v>
      </c>
      <c r="BB117" s="644" t="s">
        <v>2441</v>
      </c>
      <c r="BC117" s="544"/>
      <c r="BD117" s="544"/>
      <c r="BE117" s="544"/>
      <c r="BF117" s="544"/>
      <c r="BG117" s="544"/>
      <c r="BH117" s="741"/>
      <c r="BI117" s="547" t="s">
        <v>709</v>
      </c>
      <c r="BJ117" s="547" t="s">
        <v>709</v>
      </c>
      <c r="BK117" s="547" t="s">
        <v>709</v>
      </c>
      <c r="BL117" s="547" t="s">
        <v>116</v>
      </c>
      <c r="BM117" s="547" t="s">
        <v>709</v>
      </c>
      <c r="BN117" s="547" t="s">
        <v>709</v>
      </c>
      <c r="BO117" s="547" t="s">
        <v>709</v>
      </c>
      <c r="BP117" s="547" t="s">
        <v>709</v>
      </c>
      <c r="BQ117" s="547" t="s">
        <v>709</v>
      </c>
      <c r="BR117" s="547">
        <v>578</v>
      </c>
      <c r="BS117" s="547" t="s">
        <v>709</v>
      </c>
      <c r="BT117" s="547" t="s">
        <v>709</v>
      </c>
      <c r="BU117" s="547" t="s">
        <v>709</v>
      </c>
      <c r="BV117" s="547" t="s">
        <v>709</v>
      </c>
      <c r="BW117" s="547" t="s">
        <v>709</v>
      </c>
      <c r="BX117" s="547" t="s">
        <v>709</v>
      </c>
      <c r="BY117" s="547" t="s">
        <v>709</v>
      </c>
      <c r="BZ117" s="547" t="s">
        <v>709</v>
      </c>
      <c r="CA117" s="483"/>
      <c r="CB117" s="547">
        <v>115</v>
      </c>
      <c r="CC117" s="1481" t="b">
        <v>1</v>
      </c>
      <c r="CD117" t="str">
        <f>Table15[[#This Row],[Engineering Number]]&amp;Table15[[#This Row],[WO Number]]&amp;Table15[[#This Row],[Date Assigned to Designer]]&amp;Table15[[#This Row],[Date Completed]]</f>
        <v>SC172331407734383843917</v>
      </c>
    </row>
    <row r="118" spans="1:82" customFormat="1" ht="15" customHeight="1" x14ac:dyDescent="0.25">
      <c r="A118">
        <v>2020</v>
      </c>
      <c r="B118" s="8" t="s">
        <v>1073</v>
      </c>
      <c r="C118" s="8" t="s">
        <v>2443</v>
      </c>
      <c r="D118" s="8" t="s">
        <v>2444</v>
      </c>
      <c r="E118" s="8" t="s">
        <v>1522</v>
      </c>
      <c r="F118" s="8" t="s">
        <v>919</v>
      </c>
      <c r="G118" s="8" t="s">
        <v>1882</v>
      </c>
      <c r="H118" s="8" t="s">
        <v>59</v>
      </c>
      <c r="I118" s="642">
        <v>43852</v>
      </c>
      <c r="J118" s="18">
        <v>43892</v>
      </c>
      <c r="K118" s="642">
        <v>43923</v>
      </c>
      <c r="L118" s="16">
        <v>0</v>
      </c>
      <c r="M118" s="642" t="s">
        <v>2445</v>
      </c>
      <c r="N118" s="642" t="s">
        <v>120</v>
      </c>
      <c r="O118" s="1025">
        <v>43923</v>
      </c>
      <c r="P118" s="21" t="s">
        <v>739</v>
      </c>
      <c r="Q118" s="1151">
        <f>IF(Table15[[#This Row],[Shactee Effort]]="N",0,Table15[[#This Row],[Shactee Effort]])+IF(Table15[[#This Row],[3rd Party Effort]]="N",0,Table15[[#This Row],[3rd Party Effort]])+Table15[[#This Row],[KH Hourly Effort]]</f>
        <v>17506.5</v>
      </c>
      <c r="R118" s="1026" t="s">
        <v>1922</v>
      </c>
      <c r="S118" s="552">
        <f>377+242</f>
        <v>619</v>
      </c>
      <c r="T118" s="538" t="s">
        <v>709</v>
      </c>
      <c r="U118" s="28">
        <v>16887.5</v>
      </c>
      <c r="V118" s="858">
        <v>1461</v>
      </c>
      <c r="W118" s="437"/>
      <c r="X118" s="538"/>
      <c r="Y118" s="551"/>
      <c r="Z118" s="538"/>
      <c r="AA118" s="538"/>
      <c r="AB118" s="21"/>
      <c r="AC118" s="569"/>
      <c r="AD118" s="1149"/>
      <c r="AE118" s="569"/>
      <c r="AF118" s="569"/>
      <c r="AG118" s="569"/>
      <c r="AH118" s="536"/>
      <c r="AI118" s="1028"/>
      <c r="AJ118" s="1029"/>
      <c r="AK118" s="1029"/>
      <c r="AL118" s="1030"/>
      <c r="AM118" s="542" t="s">
        <v>709</v>
      </c>
      <c r="AN118" s="924"/>
      <c r="AO118" s="925"/>
      <c r="AP118" s="926"/>
      <c r="AQ118" s="926"/>
      <c r="AR118" s="926"/>
      <c r="AS118" s="926"/>
      <c r="AT118" s="926"/>
      <c r="AU118" s="926"/>
      <c r="AV118" s="926"/>
      <c r="AW118" s="927"/>
      <c r="AX118" s="926"/>
      <c r="AY118" s="1538" t="s">
        <v>29</v>
      </c>
      <c r="AZ118" s="1530"/>
      <c r="BA118" s="1031" t="s">
        <v>2446</v>
      </c>
      <c r="BB118" s="644" t="s">
        <v>2447</v>
      </c>
      <c r="BC118" s="544"/>
      <c r="BD118" s="544"/>
      <c r="BE118" s="544"/>
      <c r="BF118" s="544"/>
      <c r="BG118" s="544"/>
      <c r="BH118" s="741"/>
      <c r="BI118" s="547" t="s">
        <v>709</v>
      </c>
      <c r="BJ118" s="547" t="s">
        <v>709</v>
      </c>
      <c r="BK118" s="547" t="s">
        <v>709</v>
      </c>
      <c r="BL118" s="547" t="s">
        <v>116</v>
      </c>
      <c r="BM118" s="547" t="s">
        <v>709</v>
      </c>
      <c r="BN118" s="547" t="s">
        <v>709</v>
      </c>
      <c r="BO118" s="547" t="s">
        <v>709</v>
      </c>
      <c r="BP118" s="547" t="s">
        <v>709</v>
      </c>
      <c r="BQ118" s="547" t="s">
        <v>709</v>
      </c>
      <c r="BR118" s="547">
        <v>1461</v>
      </c>
      <c r="BS118" s="547" t="s">
        <v>709</v>
      </c>
      <c r="BT118" s="547" t="s">
        <v>745</v>
      </c>
      <c r="BU118" s="547" t="s">
        <v>709</v>
      </c>
      <c r="BV118" s="547" t="s">
        <v>745</v>
      </c>
      <c r="BW118" s="547" t="s">
        <v>709</v>
      </c>
      <c r="BX118" s="547" t="s">
        <v>745</v>
      </c>
      <c r="BY118" s="547" t="s">
        <v>745</v>
      </c>
      <c r="BZ118" s="547" t="s">
        <v>709</v>
      </c>
      <c r="CA118" s="483"/>
      <c r="CB118" s="547">
        <v>116</v>
      </c>
      <c r="CC118" s="1481" t="b">
        <v>1</v>
      </c>
      <c r="CD118" t="str">
        <f>Table15[[#This Row],[Engineering Number]]&amp;Table15[[#This Row],[WO Number]]&amp;Table15[[#This Row],[Date Assigned to Designer]]&amp;Table15[[#This Row],[Date Completed]]</f>
        <v>NBA17904491506374385243923</v>
      </c>
    </row>
    <row r="119" spans="1:82" customFormat="1" ht="15" customHeight="1" x14ac:dyDescent="0.25">
      <c r="A119">
        <v>2020</v>
      </c>
      <c r="B119" s="8" t="s">
        <v>771</v>
      </c>
      <c r="C119" s="8" t="s">
        <v>2359</v>
      </c>
      <c r="D119" s="8" t="s">
        <v>2360</v>
      </c>
      <c r="E119" s="8" t="s">
        <v>2361</v>
      </c>
      <c r="F119" s="8" t="s">
        <v>919</v>
      </c>
      <c r="G119" s="8" t="s">
        <v>1882</v>
      </c>
      <c r="H119" s="8" t="s">
        <v>2051</v>
      </c>
      <c r="I119" s="642">
        <v>43783</v>
      </c>
      <c r="J119" s="18" t="s">
        <v>2052</v>
      </c>
      <c r="K119" s="642">
        <v>43927</v>
      </c>
      <c r="L119" s="16">
        <f>IF(ISTEXT(Table15[[#This Row],[Engineering Approved Design Date]]),Table15[[#This Row],[Date Completed]]-Table15[[#This Row],[Date Assigned to Designer]],Table15[[#This Row],[Engineering Approved Design Date]]-Table15[[#This Row],[Date Completed]])</f>
        <v>144</v>
      </c>
      <c r="M119" s="642" t="s">
        <v>2449</v>
      </c>
      <c r="N119" s="642" t="s">
        <v>120</v>
      </c>
      <c r="O119" s="1025">
        <v>43927</v>
      </c>
      <c r="P119" s="21" t="s">
        <v>120</v>
      </c>
      <c r="Q119" s="1151">
        <f>IF(Table15[[#This Row],[Shactee Effort]]="N",0,Table15[[#This Row],[Shactee Effort]])+IF(Table15[[#This Row],[3rd Party Effort]]="N",0,Table15[[#This Row],[3rd Party Effort]])+Table15[[#This Row],[KH Hourly Effort]]</f>
        <v>3057.5</v>
      </c>
      <c r="R119" s="1026" t="s">
        <v>1922</v>
      </c>
      <c r="S119" s="538" t="s">
        <v>709</v>
      </c>
      <c r="T119" s="538" t="s">
        <v>709</v>
      </c>
      <c r="U119" s="28">
        <v>3057.5</v>
      </c>
      <c r="V119" s="858"/>
      <c r="W119" s="437"/>
      <c r="X119" s="538">
        <v>2444997.73</v>
      </c>
      <c r="Y119" s="551">
        <v>347831.82</v>
      </c>
      <c r="Z119" s="538">
        <v>254842.56</v>
      </c>
      <c r="AA119" s="538">
        <f>X119-Y119+Z119</f>
        <v>2352008.4700000002</v>
      </c>
      <c r="AB119" s="21"/>
      <c r="AC119" s="569"/>
      <c r="AD119" s="1149"/>
      <c r="AE119" s="569"/>
      <c r="AF119" s="569"/>
      <c r="AG119" s="569"/>
      <c r="AH119" s="536"/>
      <c r="AI119" s="1028"/>
      <c r="AJ119" s="1029"/>
      <c r="AK119" s="1029"/>
      <c r="AL119" s="1030"/>
      <c r="AM119" s="542" t="s">
        <v>709</v>
      </c>
      <c r="AN119" s="924"/>
      <c r="AO119" s="925"/>
      <c r="AP119" s="926"/>
      <c r="AQ119" s="926"/>
      <c r="AR119" s="926"/>
      <c r="AS119" s="926"/>
      <c r="AT119" s="926"/>
      <c r="AU119" s="926"/>
      <c r="AV119" s="926"/>
      <c r="AW119" s="927"/>
      <c r="AX119" s="926"/>
      <c r="AY119" s="1538" t="s">
        <v>29</v>
      </c>
      <c r="AZ119" s="1530"/>
      <c r="BA119" s="1031">
        <v>1</v>
      </c>
      <c r="BB119" s="644"/>
      <c r="BC119" s="544"/>
      <c r="BD119" s="544"/>
      <c r="BE119" s="544"/>
      <c r="BF119" s="544"/>
      <c r="BG119" s="544"/>
      <c r="BH119" s="741"/>
      <c r="BI119" s="547" t="s">
        <v>709</v>
      </c>
      <c r="BJ119" s="547" t="s">
        <v>709</v>
      </c>
      <c r="BK119" s="547" t="s">
        <v>709</v>
      </c>
      <c r="BL119" s="547" t="s">
        <v>116</v>
      </c>
      <c r="BM119" s="547" t="s">
        <v>709</v>
      </c>
      <c r="BN119" s="547" t="s">
        <v>709</v>
      </c>
      <c r="BO119" s="547" t="s">
        <v>709</v>
      </c>
      <c r="BP119" s="547" t="s">
        <v>709</v>
      </c>
      <c r="BQ119" s="547" t="s">
        <v>709</v>
      </c>
      <c r="BR119" s="547" t="s">
        <v>709</v>
      </c>
      <c r="BS119" s="547">
        <v>22573</v>
      </c>
      <c r="BT119" s="547" t="s">
        <v>709</v>
      </c>
      <c r="BU119" s="547" t="s">
        <v>709</v>
      </c>
      <c r="BV119" s="547" t="s">
        <v>709</v>
      </c>
      <c r="BW119" s="547" t="s">
        <v>709</v>
      </c>
      <c r="BX119" s="547" t="s">
        <v>709</v>
      </c>
      <c r="BY119" s="547" t="s">
        <v>709</v>
      </c>
      <c r="BZ119" s="547" t="s">
        <v>709</v>
      </c>
      <c r="CA119" s="483"/>
      <c r="CB119" s="547">
        <v>117</v>
      </c>
      <c r="CC119" s="1481" t="b">
        <v>1</v>
      </c>
      <c r="CD119" t="str">
        <f>Table15[[#This Row],[Engineering Number]]&amp;Table15[[#This Row],[WO Number]]&amp;Table15[[#This Row],[Date Assigned to Designer]]&amp;Table15[[#This Row],[Date Completed]]</f>
        <v>BS1151204064378343927</v>
      </c>
    </row>
    <row r="120" spans="1:82" customFormat="1" ht="15" customHeight="1" x14ac:dyDescent="0.25">
      <c r="A120">
        <v>2020</v>
      </c>
      <c r="B120" s="8" t="s">
        <v>771</v>
      </c>
      <c r="C120" s="8" t="s">
        <v>2403</v>
      </c>
      <c r="D120" s="8" t="s">
        <v>2451</v>
      </c>
      <c r="E120" s="8" t="s">
        <v>361</v>
      </c>
      <c r="F120" s="8" t="s">
        <v>325</v>
      </c>
      <c r="G120" s="8" t="s">
        <v>1896</v>
      </c>
      <c r="H120" s="8" t="s">
        <v>59</v>
      </c>
      <c r="I120" s="642">
        <v>43809</v>
      </c>
      <c r="J120" s="18">
        <v>43921</v>
      </c>
      <c r="K120" s="642">
        <v>43928</v>
      </c>
      <c r="L120" s="16">
        <v>0</v>
      </c>
      <c r="M120" s="642" t="s">
        <v>2452</v>
      </c>
      <c r="N120" s="642" t="s">
        <v>120</v>
      </c>
      <c r="O120" s="1025">
        <v>43928</v>
      </c>
      <c r="P120" s="21" t="s">
        <v>120</v>
      </c>
      <c r="Q120" s="1151">
        <f>1.55*V120</f>
        <v>36118.1</v>
      </c>
      <c r="R120" s="1026" t="s">
        <v>2087</v>
      </c>
      <c r="S120" s="538" t="s">
        <v>709</v>
      </c>
      <c r="T120" s="538" t="s">
        <v>709</v>
      </c>
      <c r="U120" s="28" t="s">
        <v>709</v>
      </c>
      <c r="V120" s="858">
        <v>23302</v>
      </c>
      <c r="W120" s="437"/>
      <c r="X120" s="538"/>
      <c r="Y120" s="551"/>
      <c r="Z120" s="538"/>
      <c r="AA120" s="538"/>
      <c r="AB120" s="21"/>
      <c r="AC120" s="569"/>
      <c r="AD120" s="1149"/>
      <c r="AE120" s="569"/>
      <c r="AF120" s="569"/>
      <c r="AG120" s="569"/>
      <c r="AH120" s="536"/>
      <c r="AI120" s="1028"/>
      <c r="AJ120" s="1029"/>
      <c r="AK120" s="1029"/>
      <c r="AL120" s="1030"/>
      <c r="AM120" s="542" t="s">
        <v>709</v>
      </c>
      <c r="AN120" s="924"/>
      <c r="AO120" s="925"/>
      <c r="AP120" s="926"/>
      <c r="AQ120" s="926"/>
      <c r="AR120" s="926"/>
      <c r="AS120" s="926"/>
      <c r="AT120" s="926"/>
      <c r="AU120" s="926"/>
      <c r="AV120" s="926"/>
      <c r="AW120" s="927"/>
      <c r="AX120" s="926"/>
      <c r="AY120" s="1538" t="s">
        <v>29</v>
      </c>
      <c r="AZ120" s="1530"/>
      <c r="BA120" s="1031" t="s">
        <v>2405</v>
      </c>
      <c r="BB120" s="644" t="s">
        <v>2453</v>
      </c>
      <c r="BC120" s="544"/>
      <c r="BD120" s="544"/>
      <c r="BE120" s="544"/>
      <c r="BF120" s="544"/>
      <c r="BG120" s="544"/>
      <c r="BH120" s="741"/>
      <c r="BI120" s="547" t="s">
        <v>709</v>
      </c>
      <c r="BJ120" s="547" t="s">
        <v>709</v>
      </c>
      <c r="BK120" s="547" t="s">
        <v>709</v>
      </c>
      <c r="BL120" s="547" t="s">
        <v>116</v>
      </c>
      <c r="BM120" s="547" t="s">
        <v>709</v>
      </c>
      <c r="BN120" s="547" t="s">
        <v>709</v>
      </c>
      <c r="BO120" s="547" t="s">
        <v>709</v>
      </c>
      <c r="BP120" s="547" t="s">
        <v>709</v>
      </c>
      <c r="BQ120" s="547" t="s">
        <v>709</v>
      </c>
      <c r="BR120" s="547">
        <v>1855</v>
      </c>
      <c r="BS120" s="547">
        <v>10776</v>
      </c>
      <c r="BT120" s="547" t="s">
        <v>709</v>
      </c>
      <c r="BU120" s="547" t="s">
        <v>709</v>
      </c>
      <c r="BV120" s="547" t="s">
        <v>709</v>
      </c>
      <c r="BW120" s="547" t="s">
        <v>709</v>
      </c>
      <c r="BX120" s="547" t="s">
        <v>709</v>
      </c>
      <c r="BY120" s="547" t="s">
        <v>709</v>
      </c>
      <c r="BZ120" s="547" t="s">
        <v>709</v>
      </c>
      <c r="CA120" s="483"/>
      <c r="CB120" s="547">
        <v>118</v>
      </c>
      <c r="CC120" s="1481" t="b">
        <v>1</v>
      </c>
      <c r="CD120" t="str">
        <f>Table15[[#This Row],[Engineering Number]]&amp;Table15[[#This Row],[WO Number]]&amp;Table15[[#This Row],[Date Assigned to Designer]]&amp;Table15[[#This Row],[Date Completed]]</f>
        <v>BS1861291864380943928</v>
      </c>
    </row>
    <row r="121" spans="1:82" customFormat="1" ht="15" customHeight="1" x14ac:dyDescent="0.25">
      <c r="A121">
        <v>2020</v>
      </c>
      <c r="B121" s="8" t="s">
        <v>4</v>
      </c>
      <c r="C121" s="8" t="s">
        <v>2455</v>
      </c>
      <c r="D121" s="656" t="s">
        <v>2456</v>
      </c>
      <c r="E121" s="8" t="s">
        <v>2457</v>
      </c>
      <c r="F121" s="8" t="s">
        <v>919</v>
      </c>
      <c r="G121" s="8" t="s">
        <v>40</v>
      </c>
      <c r="H121" s="8" t="s">
        <v>59</v>
      </c>
      <c r="I121" s="642">
        <v>43761</v>
      </c>
      <c r="J121" s="18">
        <v>43931</v>
      </c>
      <c r="K121" s="642">
        <v>43931</v>
      </c>
      <c r="L121" s="16">
        <f>IF(ISTEXT(Table15[[#This Row],[Engineering Approved Design Date]]),Table15[[#This Row],[Date Completed]]-Table15[[#This Row],[Date Assigned to Designer]],Table15[[#This Row],[Engineering Approved Design Date]]-Table15[[#This Row],[Date Completed]])</f>
        <v>0</v>
      </c>
      <c r="M121" s="642"/>
      <c r="N121" s="642" t="s">
        <v>120</v>
      </c>
      <c r="O121" s="1025">
        <v>43931</v>
      </c>
      <c r="P121" s="21" t="s">
        <v>739</v>
      </c>
      <c r="Q121" s="1151">
        <f>R121*AA121</f>
        <v>79478.375</v>
      </c>
      <c r="R121" s="1026">
        <v>0.1</v>
      </c>
      <c r="S121" s="538" t="s">
        <v>709</v>
      </c>
      <c r="T121" s="538" t="s">
        <v>709</v>
      </c>
      <c r="U121" s="28" t="s">
        <v>709</v>
      </c>
      <c r="V121" s="858">
        <v>3932</v>
      </c>
      <c r="W121" s="437"/>
      <c r="X121" s="538">
        <v>591591.87</v>
      </c>
      <c r="Y121" s="551">
        <v>61103.28</v>
      </c>
      <c r="Z121" s="538">
        <v>203191.88</v>
      </c>
      <c r="AA121" s="538">
        <f>X121+Z121</f>
        <v>794783.75</v>
      </c>
      <c r="AB121" s="21"/>
      <c r="AC121" s="569"/>
      <c r="AD121" s="1149"/>
      <c r="AE121" s="580"/>
      <c r="AF121" s="580"/>
      <c r="AG121" s="580"/>
      <c r="AH121" s="542"/>
      <c r="AI121" s="1028"/>
      <c r="AJ121" s="1029"/>
      <c r="AK121" s="1029"/>
      <c r="AL121" s="1030"/>
      <c r="AM121" s="1522" t="s">
        <v>116</v>
      </c>
      <c r="AN121" s="1523">
        <v>44518</v>
      </c>
      <c r="AO121" s="1524">
        <v>11038016</v>
      </c>
      <c r="AP121" s="1525">
        <v>1013556.15</v>
      </c>
      <c r="AQ121" s="1525"/>
      <c r="AR121" s="1525">
        <v>176930.11</v>
      </c>
      <c r="AS121" s="1525">
        <f>IF(Table15[[#This Row],[PCTS Approved]]="N",0,Table15[[#This Row],[Investment Amount (1'#'#'#'#'#)]]+Table15[[#This Row],[Retirement Amount (3'#'#'#'#'#)]])</f>
        <v>1190486.26</v>
      </c>
      <c r="AT121" s="1525">
        <f>IF(Table15[[#This Row],[Approved Construction Cost]]=0,0,Table15[[#This Row],[Approved Construction Cost]]-Table15[[#This Row],[Construction Cost to Bill From]])</f>
        <v>395702.51</v>
      </c>
      <c r="AU121" s="1525">
        <f>IFERROR(Table15[[#This Row],[Difference in Construction Cost]]*Table15[[#This Row],[Rate]],Table15[[#This Row],[Difference in Construction Cost]]*0.085)</f>
        <v>39570.251000000004</v>
      </c>
      <c r="AV121" s="1525">
        <v>21770</v>
      </c>
      <c r="AW121" s="1526" t="s">
        <v>2458</v>
      </c>
      <c r="AX121" s="1525">
        <v>0</v>
      </c>
      <c r="AY121" s="1518">
        <v>45008</v>
      </c>
      <c r="AZ121" s="333"/>
      <c r="BA121" s="1031" t="s">
        <v>2459</v>
      </c>
      <c r="BB121" s="644" t="s">
        <v>2288</v>
      </c>
      <c r="BC121" s="544"/>
      <c r="BD121" s="544"/>
      <c r="BE121" s="544"/>
      <c r="BF121" s="544"/>
      <c r="BG121" s="544"/>
      <c r="BH121" s="741"/>
      <c r="BI121" s="547" t="s">
        <v>709</v>
      </c>
      <c r="BJ121" s="547" t="s">
        <v>709</v>
      </c>
      <c r="BK121" s="547" t="s">
        <v>709</v>
      </c>
      <c r="BL121" s="547" t="s">
        <v>116</v>
      </c>
      <c r="BM121" s="547" t="s">
        <v>709</v>
      </c>
      <c r="BN121" s="547" t="s">
        <v>709</v>
      </c>
      <c r="BO121" s="547" t="s">
        <v>709</v>
      </c>
      <c r="BP121" s="547" t="s">
        <v>709</v>
      </c>
      <c r="BQ121" s="547">
        <v>3800</v>
      </c>
      <c r="BR121" s="547" t="s">
        <v>709</v>
      </c>
      <c r="BS121" s="547">
        <v>132</v>
      </c>
      <c r="BT121" s="547" t="s">
        <v>745</v>
      </c>
      <c r="BU121" s="547" t="s">
        <v>709</v>
      </c>
      <c r="BV121" s="547" t="s">
        <v>745</v>
      </c>
      <c r="BW121" s="547" t="s">
        <v>709</v>
      </c>
      <c r="BX121" s="547" t="s">
        <v>745</v>
      </c>
      <c r="BY121" s="547" t="s">
        <v>745</v>
      </c>
      <c r="BZ121" s="547" t="s">
        <v>709</v>
      </c>
      <c r="CA121" s="483"/>
      <c r="CB121" s="547">
        <v>119</v>
      </c>
      <c r="CC121" s="1481" t="b">
        <v>1</v>
      </c>
      <c r="CD121" t="str">
        <f>Table15[[#This Row],[Engineering Number]]&amp;Table15[[#This Row],[WO Number]]&amp;Table15[[#This Row],[Date Assigned to Designer]]&amp;Table15[[#This Row],[Date Completed]]</f>
        <v>SC170701204594376143931</v>
      </c>
    </row>
    <row r="122" spans="1:82" customFormat="1" ht="15" customHeight="1" x14ac:dyDescent="0.25">
      <c r="A122">
        <v>2020</v>
      </c>
      <c r="B122" s="8" t="s">
        <v>4</v>
      </c>
      <c r="C122" s="8" t="s">
        <v>2461</v>
      </c>
      <c r="D122" s="8" t="s">
        <v>115</v>
      </c>
      <c r="E122" s="8" t="s">
        <v>2126</v>
      </c>
      <c r="F122" s="8" t="s">
        <v>325</v>
      </c>
      <c r="G122" s="8" t="s">
        <v>1896</v>
      </c>
      <c r="H122" s="8" t="s">
        <v>1681</v>
      </c>
      <c r="I122" s="642">
        <v>43871</v>
      </c>
      <c r="J122" s="18">
        <v>43941</v>
      </c>
      <c r="K122" s="642">
        <v>43935</v>
      </c>
      <c r="L122" s="16">
        <f>IF(ISTEXT(Table15[[#This Row],[Engineering Approved Design Date]]),Table15[[#This Row],[Date Completed]]-Table15[[#This Row],[Date Assigned to Designer]],Table15[[#This Row],[Engineering Approved Design Date]]-Table15[[#This Row],[Date Completed]])</f>
        <v>6</v>
      </c>
      <c r="M122" s="642" t="s">
        <v>2462</v>
      </c>
      <c r="N122" s="642" t="s">
        <v>120</v>
      </c>
      <c r="O122" s="1025">
        <v>43935</v>
      </c>
      <c r="P122" s="21" t="s">
        <v>739</v>
      </c>
      <c r="Q122" s="1151" t="s">
        <v>115</v>
      </c>
      <c r="R122" s="1026" t="s">
        <v>115</v>
      </c>
      <c r="S122" s="538"/>
      <c r="T122" s="538"/>
      <c r="U122" s="28"/>
      <c r="V122" s="858"/>
      <c r="W122" s="437"/>
      <c r="X122" s="538"/>
      <c r="Y122" s="551"/>
      <c r="Z122" s="538"/>
      <c r="AA122" s="538">
        <v>0</v>
      </c>
      <c r="AB122" s="21"/>
      <c r="AC122" s="569"/>
      <c r="AD122" s="1149"/>
      <c r="AE122" s="580"/>
      <c r="AF122" s="580"/>
      <c r="AG122" s="580"/>
      <c r="AH122" s="542"/>
      <c r="AI122" s="1028"/>
      <c r="AJ122" s="1029"/>
      <c r="AK122" s="1029"/>
      <c r="AL122" s="1030"/>
      <c r="AM122" s="542" t="s">
        <v>709</v>
      </c>
      <c r="AN122" s="924"/>
      <c r="AO122" s="925"/>
      <c r="AP122" s="926"/>
      <c r="AQ122" s="926"/>
      <c r="AR122" s="926"/>
      <c r="AS122" s="926"/>
      <c r="AT122" s="926"/>
      <c r="AU122" s="926"/>
      <c r="AV122" s="926"/>
      <c r="AW122" s="927"/>
      <c r="AX122" s="926"/>
      <c r="AY122" s="1538" t="s">
        <v>29</v>
      </c>
      <c r="AZ122" s="1532"/>
      <c r="BA122" s="1031" t="s">
        <v>2463</v>
      </c>
      <c r="BB122" s="644" t="s">
        <v>2464</v>
      </c>
      <c r="BC122" s="544"/>
      <c r="BD122" s="544"/>
      <c r="BE122" s="544"/>
      <c r="BF122" s="544"/>
      <c r="BG122" s="544"/>
      <c r="BH122" s="741"/>
      <c r="BI122" s="1032"/>
      <c r="BJ122" s="1032"/>
      <c r="BK122" s="1032"/>
      <c r="BL122" s="1032"/>
      <c r="BM122" s="1032"/>
      <c r="BN122" s="1032"/>
      <c r="BO122" s="1032"/>
      <c r="BP122" s="1032"/>
      <c r="BQ122" s="1032"/>
      <c r="BR122" s="1032"/>
      <c r="BS122" s="1032"/>
      <c r="BT122" s="1032"/>
      <c r="BU122" s="1032"/>
      <c r="BV122" s="1032"/>
      <c r="BW122" s="1032"/>
      <c r="BX122" s="1032"/>
      <c r="BY122" s="1032"/>
      <c r="BZ122" s="1032"/>
      <c r="CA122" s="485"/>
      <c r="CB122" s="547">
        <v>120</v>
      </c>
      <c r="CC122" s="1481" t="b">
        <v>1</v>
      </c>
      <c r="CD122" t="str">
        <f>Table15[[#This Row],[Engineering Number]]&amp;Table15[[#This Row],[WO Number]]&amp;Table15[[#This Row],[Date Assigned to Designer]]&amp;Table15[[#This Row],[Date Completed]]</f>
        <v>N12946-4387143935</v>
      </c>
    </row>
    <row r="123" spans="1:82" customFormat="1" ht="15" customHeight="1" x14ac:dyDescent="0.25">
      <c r="A123">
        <v>2020</v>
      </c>
      <c r="B123" s="8" t="s">
        <v>4</v>
      </c>
      <c r="C123" s="8" t="s">
        <v>117</v>
      </c>
      <c r="D123" s="8" t="s">
        <v>2466</v>
      </c>
      <c r="E123" s="8" t="s">
        <v>118</v>
      </c>
      <c r="F123" s="8" t="s">
        <v>325</v>
      </c>
      <c r="G123" s="8" t="s">
        <v>36</v>
      </c>
      <c r="H123" s="8" t="s">
        <v>59</v>
      </c>
      <c r="I123" s="642">
        <v>43490</v>
      </c>
      <c r="J123" s="18">
        <v>43945</v>
      </c>
      <c r="K123" s="642">
        <v>43936</v>
      </c>
      <c r="L123" s="16">
        <f>IF(ISTEXT(Table15[[#This Row],[Engineering Approved Design Date]]),Table15[[#This Row],[Date Completed]]-Table15[[#This Row],[Date Assigned to Designer]],Table15[[#This Row],[Engineering Approved Design Date]]-Table15[[#This Row],[Date Completed]])</f>
        <v>9</v>
      </c>
      <c r="M123" s="642"/>
      <c r="N123" s="642" t="s">
        <v>120</v>
      </c>
      <c r="O123" s="1025">
        <v>43936</v>
      </c>
      <c r="P123" s="21" t="s">
        <v>739</v>
      </c>
      <c r="Q123" s="1151">
        <f>R123*AA123</f>
        <v>20731.494000000002</v>
      </c>
      <c r="R123" s="1026">
        <v>0.1</v>
      </c>
      <c r="S123" s="538" t="s">
        <v>709</v>
      </c>
      <c r="T123" s="538" t="s">
        <v>709</v>
      </c>
      <c r="U123" s="28" t="s">
        <v>709</v>
      </c>
      <c r="V123" s="858">
        <v>392</v>
      </c>
      <c r="W123" s="437"/>
      <c r="X123" s="538">
        <v>164066.76999999999</v>
      </c>
      <c r="Y123" s="551">
        <v>0</v>
      </c>
      <c r="Z123" s="538">
        <v>43248.17</v>
      </c>
      <c r="AA123" s="538">
        <f>X123+Z123</f>
        <v>207314.94</v>
      </c>
      <c r="AB123" s="21"/>
      <c r="AC123" s="569"/>
      <c r="AD123" s="1149"/>
      <c r="AE123" s="580"/>
      <c r="AF123" s="580"/>
      <c r="AG123" s="580"/>
      <c r="AH123" s="542"/>
      <c r="AI123" s="1028"/>
      <c r="AJ123" s="1029"/>
      <c r="AK123" s="1029"/>
      <c r="AL123" s="1030"/>
      <c r="AM123" s="1522" t="s">
        <v>116</v>
      </c>
      <c r="AN123" s="1523">
        <v>43985</v>
      </c>
      <c r="AO123" s="1524">
        <v>181064</v>
      </c>
      <c r="AP123" s="1525">
        <v>166795.03</v>
      </c>
      <c r="AQ123" s="1525"/>
      <c r="AR123" s="1525">
        <v>41259.019999999997</v>
      </c>
      <c r="AS123" s="1525">
        <f>IF(Table15[[#This Row],[PCTS Approved]]="N",0,Table15[[#This Row],[Investment Amount (1'#'#'#'#'#)]]+Table15[[#This Row],[Retirement Amount (3'#'#'#'#'#)]])</f>
        <v>208054.05</v>
      </c>
      <c r="AT123" s="1525">
        <f>IF(Table15[[#This Row],[Approved Construction Cost]]=0,0,Table15[[#This Row],[Approved Construction Cost]]-Table15[[#This Row],[Construction Cost to Bill From]])</f>
        <v>739.10999999998603</v>
      </c>
      <c r="AU123" s="1525">
        <f>Table15[[#This Row],[Difference in Construction Cost]]*Table15[[#This Row],[Rate]]</f>
        <v>73.910999999998609</v>
      </c>
      <c r="AV123" s="1525" t="s">
        <v>709</v>
      </c>
      <c r="AW123" s="1526" t="s">
        <v>2467</v>
      </c>
      <c r="AX123" s="1525">
        <v>73.910999999998609</v>
      </c>
      <c r="AY123" s="1518">
        <v>44501</v>
      </c>
      <c r="AZ123" s="333"/>
      <c r="BA123" s="1031" t="s">
        <v>2468</v>
      </c>
      <c r="BB123" s="644" t="s">
        <v>2469</v>
      </c>
      <c r="BC123" s="544"/>
      <c r="BD123" s="544"/>
      <c r="BE123" s="544"/>
      <c r="BF123" s="544"/>
      <c r="BG123" s="544"/>
      <c r="BH123" s="741"/>
      <c r="BI123" s="547" t="s">
        <v>709</v>
      </c>
      <c r="BJ123" s="547" t="s">
        <v>709</v>
      </c>
      <c r="BK123" s="547" t="s">
        <v>116</v>
      </c>
      <c r="BL123" s="547" t="s">
        <v>709</v>
      </c>
      <c r="BM123" s="547" t="s">
        <v>709</v>
      </c>
      <c r="BN123" s="547" t="s">
        <v>709</v>
      </c>
      <c r="BO123" s="547" t="s">
        <v>709</v>
      </c>
      <c r="BP123" s="547">
        <v>392</v>
      </c>
      <c r="BQ123" s="547" t="s">
        <v>709</v>
      </c>
      <c r="BR123" s="547" t="s">
        <v>709</v>
      </c>
      <c r="BS123" s="547" t="s">
        <v>709</v>
      </c>
      <c r="BT123" s="547" t="s">
        <v>709</v>
      </c>
      <c r="BU123" s="547" t="s">
        <v>709</v>
      </c>
      <c r="BV123" s="547" t="s">
        <v>709</v>
      </c>
      <c r="BW123" s="547" t="s">
        <v>709</v>
      </c>
      <c r="BX123" s="547" t="s">
        <v>709</v>
      </c>
      <c r="BY123" s="547" t="s">
        <v>709</v>
      </c>
      <c r="BZ123" s="547" t="s">
        <v>709</v>
      </c>
      <c r="CA123" s="483"/>
      <c r="CB123" s="547">
        <v>121</v>
      </c>
      <c r="CC123" s="1481" t="b">
        <v>1</v>
      </c>
      <c r="CD123" t="str">
        <f>Table15[[#This Row],[Engineering Number]]&amp;Table15[[#This Row],[WO Number]]&amp;Table15[[#This Row],[Date Assigned to Designer]]&amp;Table15[[#This Row],[Date Completed]]</f>
        <v>N114491290794349043936</v>
      </c>
    </row>
    <row r="124" spans="1:82" customFormat="1" ht="15" customHeight="1" x14ac:dyDescent="0.25">
      <c r="A124">
        <v>2020</v>
      </c>
      <c r="B124" s="8" t="s">
        <v>4</v>
      </c>
      <c r="C124" s="8" t="s">
        <v>2471</v>
      </c>
      <c r="D124" s="8" t="s">
        <v>2472</v>
      </c>
      <c r="E124" s="8" t="s">
        <v>1149</v>
      </c>
      <c r="F124" s="8" t="s">
        <v>919</v>
      </c>
      <c r="G124" s="8" t="s">
        <v>2473</v>
      </c>
      <c r="H124" s="8" t="s">
        <v>59</v>
      </c>
      <c r="I124" s="642">
        <v>43661</v>
      </c>
      <c r="J124" s="18">
        <v>43959</v>
      </c>
      <c r="K124" s="642">
        <v>43938</v>
      </c>
      <c r="L124" s="16">
        <f>IF(ISTEXT(Table15[[#This Row],[Engineering Approved Design Date]]),Table15[[#This Row],[Date Completed]]-Table15[[#This Row],[Date Assigned to Designer]],Table15[[#This Row],[Engineering Approved Design Date]]-Table15[[#This Row],[Date Completed]])</f>
        <v>21</v>
      </c>
      <c r="M124" s="642"/>
      <c r="N124" s="642" t="s">
        <v>120</v>
      </c>
      <c r="O124" s="1025">
        <v>43938</v>
      </c>
      <c r="P124" s="21" t="s">
        <v>739</v>
      </c>
      <c r="Q124" s="1151">
        <f>R124*AA124</f>
        <v>67152.463000000003</v>
      </c>
      <c r="R124" s="1026">
        <v>0.1</v>
      </c>
      <c r="S124" s="538" t="s">
        <v>709</v>
      </c>
      <c r="T124" s="538" t="s">
        <v>709</v>
      </c>
      <c r="U124" s="28" t="s">
        <v>709</v>
      </c>
      <c r="V124" s="858">
        <v>1746</v>
      </c>
      <c r="W124" s="437"/>
      <c r="X124" s="538">
        <v>526344.12</v>
      </c>
      <c r="Y124" s="551">
        <v>27132.84</v>
      </c>
      <c r="Z124" s="538">
        <v>145180.51</v>
      </c>
      <c r="AA124" s="538">
        <f>X124+Z124</f>
        <v>671524.63</v>
      </c>
      <c r="AB124" s="21"/>
      <c r="AC124" s="569"/>
      <c r="AD124" s="1149"/>
      <c r="AE124" s="580"/>
      <c r="AF124" s="580"/>
      <c r="AG124" s="580"/>
      <c r="AH124" s="542"/>
      <c r="AI124" s="1028"/>
      <c r="AJ124" s="1029"/>
      <c r="AK124" s="1029"/>
      <c r="AL124" s="1030"/>
      <c r="AM124" s="1522" t="s">
        <v>116</v>
      </c>
      <c r="AN124" s="1523">
        <v>43985</v>
      </c>
      <c r="AO124" s="1524">
        <v>183200</v>
      </c>
      <c r="AP124" s="1525">
        <v>506688.09</v>
      </c>
      <c r="AQ124" s="1525">
        <v>27132.84</v>
      </c>
      <c r="AR124" s="1525">
        <v>145180.51</v>
      </c>
      <c r="AS124" s="1525">
        <f>IF(Table15[[#This Row],[PCTS Approved]]="N",0,Table15[[#This Row],[Investment Amount (1'#'#'#'#'#)]]+Table15[[#This Row],[Retirement Amount (3'#'#'#'#'#)]])</f>
        <v>651868.60000000009</v>
      </c>
      <c r="AT124" s="1525">
        <f>IF(Table15[[#This Row],[Approved Construction Cost]]=0,0,Table15[[#This Row],[Approved Construction Cost]]-Table15[[#This Row],[Construction Cost to Bill From]])</f>
        <v>-19656.029999999912</v>
      </c>
      <c r="AU124" s="1525">
        <f>Table15[[#This Row],[Difference in Construction Cost]]*Table15[[#This Row],[Rate]]</f>
        <v>-1965.6029999999912</v>
      </c>
      <c r="AV124" s="1525" t="s">
        <v>709</v>
      </c>
      <c r="AW124" s="1526" t="s">
        <v>2474</v>
      </c>
      <c r="AX124" s="1525">
        <v>-1965.6029999999912</v>
      </c>
      <c r="AY124" s="1518">
        <v>44501</v>
      </c>
      <c r="AZ124" s="1532"/>
      <c r="BA124" s="1031" t="s">
        <v>2475</v>
      </c>
      <c r="BB124" s="644" t="s">
        <v>2240</v>
      </c>
      <c r="BC124" s="544"/>
      <c r="BD124" s="544"/>
      <c r="BE124" s="544"/>
      <c r="BF124" s="544"/>
      <c r="BG124" s="544"/>
      <c r="BH124" s="741"/>
      <c r="BI124" s="547" t="s">
        <v>709</v>
      </c>
      <c r="BJ124" s="547" t="s">
        <v>709</v>
      </c>
      <c r="BK124" s="547" t="s">
        <v>709</v>
      </c>
      <c r="BL124" s="547" t="s">
        <v>116</v>
      </c>
      <c r="BM124" s="547" t="s">
        <v>709</v>
      </c>
      <c r="BN124" s="547" t="s">
        <v>709</v>
      </c>
      <c r="BO124" s="547" t="s">
        <v>709</v>
      </c>
      <c r="BP124" s="547">
        <v>1394</v>
      </c>
      <c r="BQ124" s="547">
        <v>291</v>
      </c>
      <c r="BR124" s="547">
        <v>35</v>
      </c>
      <c r="BS124" s="547">
        <v>26</v>
      </c>
      <c r="BT124" s="547" t="s">
        <v>709</v>
      </c>
      <c r="BU124" s="547" t="s">
        <v>709</v>
      </c>
      <c r="BV124" s="547" t="s">
        <v>709</v>
      </c>
      <c r="BW124" s="547" t="s">
        <v>709</v>
      </c>
      <c r="BX124" s="547" t="s">
        <v>709</v>
      </c>
      <c r="BY124" s="547" t="s">
        <v>709</v>
      </c>
      <c r="BZ124" s="547" t="s">
        <v>709</v>
      </c>
      <c r="CA124" s="483"/>
      <c r="CB124" s="547">
        <v>123</v>
      </c>
      <c r="CC124" s="1481" t="b">
        <v>1</v>
      </c>
      <c r="CD124" t="str">
        <f>Table15[[#This Row],[Engineering Number]]&amp;Table15[[#This Row],[WO Number]]&amp;Table15[[#This Row],[Date Assigned to Designer]]&amp;Table15[[#This Row],[Date Completed]]</f>
        <v>SC157051356564366143938</v>
      </c>
    </row>
    <row r="125" spans="1:82" customFormat="1" ht="15" customHeight="1" x14ac:dyDescent="0.25">
      <c r="A125">
        <v>2020</v>
      </c>
      <c r="B125" s="8" t="s">
        <v>4</v>
      </c>
      <c r="C125" s="8" t="s">
        <v>2309</v>
      </c>
      <c r="D125" s="8" t="s">
        <v>2310</v>
      </c>
      <c r="E125" s="8" t="s">
        <v>2311</v>
      </c>
      <c r="F125" s="8" t="s">
        <v>919</v>
      </c>
      <c r="G125" s="8" t="s">
        <v>1896</v>
      </c>
      <c r="H125" s="8" t="s">
        <v>2051</v>
      </c>
      <c r="I125" s="642">
        <v>43700</v>
      </c>
      <c r="J125" s="18" t="s">
        <v>2052</v>
      </c>
      <c r="K125" s="642">
        <v>43938</v>
      </c>
      <c r="L125" s="16">
        <f>IF(ISTEXT(Table15[[#This Row],[Engineering Approved Design Date]]),Table15[[#This Row],[Date Completed]]-Table15[[#This Row],[Date Assigned to Designer]],Table15[[#This Row],[Engineering Approved Design Date]]-Table15[[#This Row],[Date Completed]])</f>
        <v>238</v>
      </c>
      <c r="M125" s="642" t="s">
        <v>2477</v>
      </c>
      <c r="N125" s="642" t="s">
        <v>120</v>
      </c>
      <c r="O125" s="1025">
        <v>43938</v>
      </c>
      <c r="P125" s="21" t="s">
        <v>739</v>
      </c>
      <c r="Q125" s="1151">
        <f>IF(Table15[[#This Row],[Shactee Effort]]="N",0,Table15[[#This Row],[Shactee Effort]])+IF(Table15[[#This Row],[3rd Party Effort]]="N",0,Table15[[#This Row],[3rd Party Effort]])+Table15[[#This Row],[KH Hourly Effort]]</f>
        <v>5520</v>
      </c>
      <c r="R125" s="1026" t="s">
        <v>1922</v>
      </c>
      <c r="S125" s="538" t="s">
        <v>709</v>
      </c>
      <c r="T125" s="538" t="s">
        <v>709</v>
      </c>
      <c r="U125" s="300">
        <v>5520</v>
      </c>
      <c r="V125" s="858" t="s">
        <v>115</v>
      </c>
      <c r="W125" s="437"/>
      <c r="X125" s="538"/>
      <c r="Y125" s="551"/>
      <c r="Z125" s="538"/>
      <c r="AA125" s="538"/>
      <c r="AB125" s="21"/>
      <c r="AC125" s="569"/>
      <c r="AD125" s="1149"/>
      <c r="AE125" s="580"/>
      <c r="AF125" s="580"/>
      <c r="AG125" s="580"/>
      <c r="AH125" s="542"/>
      <c r="AI125" s="1028"/>
      <c r="AJ125" s="1029"/>
      <c r="AK125" s="1029"/>
      <c r="AL125" s="1030"/>
      <c r="AM125" s="542" t="s">
        <v>709</v>
      </c>
      <c r="AN125" s="924"/>
      <c r="AO125" s="925"/>
      <c r="AP125" s="926"/>
      <c r="AQ125" s="926"/>
      <c r="AR125" s="926"/>
      <c r="AS125" s="926"/>
      <c r="AT125" s="926"/>
      <c r="AU125" s="926"/>
      <c r="AV125" s="926"/>
      <c r="AW125" s="927"/>
      <c r="AX125" s="926"/>
      <c r="AY125" s="1538" t="s">
        <v>29</v>
      </c>
      <c r="AZ125" s="1530"/>
      <c r="BA125" s="1031">
        <v>6</v>
      </c>
      <c r="BB125" s="644"/>
      <c r="BC125" s="544"/>
      <c r="BD125" s="544"/>
      <c r="BE125" s="544"/>
      <c r="BF125" s="544"/>
      <c r="BG125" s="544"/>
      <c r="BH125" s="741"/>
      <c r="BI125" s="547" t="s">
        <v>709</v>
      </c>
      <c r="BJ125" s="547" t="s">
        <v>709</v>
      </c>
      <c r="BK125" s="547" t="s">
        <v>709</v>
      </c>
      <c r="BL125" s="547" t="s">
        <v>116</v>
      </c>
      <c r="BM125" s="547" t="s">
        <v>709</v>
      </c>
      <c r="BN125" s="547" t="s">
        <v>709</v>
      </c>
      <c r="BO125" s="547" t="s">
        <v>709</v>
      </c>
      <c r="BP125" s="547" t="s">
        <v>709</v>
      </c>
      <c r="BQ125" s="547" t="s">
        <v>709</v>
      </c>
      <c r="BR125" s="547" t="s">
        <v>709</v>
      </c>
      <c r="BS125" s="547">
        <v>3246</v>
      </c>
      <c r="BT125" s="547" t="s">
        <v>709</v>
      </c>
      <c r="BU125" s="547" t="s">
        <v>709</v>
      </c>
      <c r="BV125" s="547" t="s">
        <v>709</v>
      </c>
      <c r="BW125" s="547" t="s">
        <v>709</v>
      </c>
      <c r="BX125" s="547" t="s">
        <v>709</v>
      </c>
      <c r="BY125" s="547" t="s">
        <v>709</v>
      </c>
      <c r="BZ125" s="547" t="s">
        <v>709</v>
      </c>
      <c r="CA125" s="483"/>
      <c r="CB125" s="547">
        <v>122</v>
      </c>
      <c r="CC125" s="1481" t="b">
        <v>1</v>
      </c>
      <c r="CD125" t="str">
        <f>Table15[[#This Row],[Engineering Number]]&amp;Table15[[#This Row],[WO Number]]&amp;Table15[[#This Row],[Date Assigned to Designer]]&amp;Table15[[#This Row],[Date Completed]]</f>
        <v>SC162071407604370043938</v>
      </c>
    </row>
    <row r="126" spans="1:82" customFormat="1" ht="15" customHeight="1" x14ac:dyDescent="0.25">
      <c r="A126">
        <v>2021</v>
      </c>
      <c r="B126" s="8" t="s">
        <v>771</v>
      </c>
      <c r="C126" s="8" t="s">
        <v>136</v>
      </c>
      <c r="D126" s="8" t="s">
        <v>2481</v>
      </c>
      <c r="E126" s="8" t="s">
        <v>137</v>
      </c>
      <c r="F126" s="8" t="s">
        <v>325</v>
      </c>
      <c r="G126" s="8" t="s">
        <v>1882</v>
      </c>
      <c r="H126" s="8" t="s">
        <v>59</v>
      </c>
      <c r="I126" s="642">
        <v>43852</v>
      </c>
      <c r="J126" s="18">
        <v>43943</v>
      </c>
      <c r="K126" s="642">
        <v>43943</v>
      </c>
      <c r="L126" s="16">
        <f>IF(ISTEXT(Table15[[#This Row],[Engineering Approved Design Date]]),Table15[[#This Row],[Date Completed]]-Table15[[#This Row],[Date Assigned to Designer]],Table15[[#This Row],[Engineering Approved Design Date]]-Table15[[#This Row],[Date Completed]])</f>
        <v>0</v>
      </c>
      <c r="M126" s="642"/>
      <c r="N126" s="642" t="s">
        <v>120</v>
      </c>
      <c r="O126" s="1025">
        <v>43943</v>
      </c>
      <c r="P126" s="21" t="s">
        <v>120</v>
      </c>
      <c r="Q126" s="1151">
        <f>1.55*V126</f>
        <v>27540.400000000001</v>
      </c>
      <c r="R126" s="1026" t="s">
        <v>2087</v>
      </c>
      <c r="S126" s="538" t="s">
        <v>709</v>
      </c>
      <c r="T126" s="538" t="s">
        <v>709</v>
      </c>
      <c r="U126" s="28" t="s">
        <v>709</v>
      </c>
      <c r="V126" s="858">
        <f>12086+5148+27+68+439</f>
        <v>17768</v>
      </c>
      <c r="W126" s="437"/>
      <c r="X126" s="538"/>
      <c r="Y126" s="551"/>
      <c r="Z126" s="538"/>
      <c r="AA126" s="538"/>
      <c r="AB126" s="21"/>
      <c r="AC126" s="569"/>
      <c r="AD126" s="1149"/>
      <c r="AE126" s="569"/>
      <c r="AF126" s="569"/>
      <c r="AG126" s="569"/>
      <c r="AH126" s="536"/>
      <c r="AI126" s="1028"/>
      <c r="AJ126" s="1029"/>
      <c r="AK126" s="1029"/>
      <c r="AL126" s="1030"/>
      <c r="AM126" s="542" t="s">
        <v>709</v>
      </c>
      <c r="AN126" s="924"/>
      <c r="AO126" s="925"/>
      <c r="AP126" s="926"/>
      <c r="AQ126" s="926"/>
      <c r="AR126" s="926"/>
      <c r="AS126" s="926"/>
      <c r="AT126" s="926"/>
      <c r="AU126" s="926"/>
      <c r="AV126" s="926"/>
      <c r="AW126" s="927"/>
      <c r="AX126" s="926"/>
      <c r="AY126" s="1538" t="s">
        <v>29</v>
      </c>
      <c r="AZ126" s="1530"/>
      <c r="BA126" s="1031" t="s">
        <v>2482</v>
      </c>
      <c r="BB126" s="644" t="s">
        <v>2483</v>
      </c>
      <c r="BC126" s="544" t="s">
        <v>116</v>
      </c>
      <c r="BD126" s="544" t="s">
        <v>709</v>
      </c>
      <c r="BE126" s="544" t="s">
        <v>2484</v>
      </c>
      <c r="BF126" s="544" t="s">
        <v>709</v>
      </c>
      <c r="BG126" s="544" t="s">
        <v>2485</v>
      </c>
      <c r="BH126" s="741"/>
      <c r="BI126" s="547" t="s">
        <v>709</v>
      </c>
      <c r="BJ126" s="547" t="s">
        <v>709</v>
      </c>
      <c r="BK126" s="547" t="s">
        <v>709</v>
      </c>
      <c r="BL126" s="547" t="s">
        <v>116</v>
      </c>
      <c r="BM126" s="547" t="s">
        <v>709</v>
      </c>
      <c r="BN126" s="547" t="s">
        <v>709</v>
      </c>
      <c r="BO126" s="547" t="s">
        <v>709</v>
      </c>
      <c r="BP126" s="547" t="s">
        <v>709</v>
      </c>
      <c r="BQ126" s="547" t="s">
        <v>709</v>
      </c>
      <c r="BR126" s="547">
        <v>5655</v>
      </c>
      <c r="BS126" s="547">
        <v>12113</v>
      </c>
      <c r="BT126" s="547" t="s">
        <v>709</v>
      </c>
      <c r="BU126" s="547" t="s">
        <v>709</v>
      </c>
      <c r="BV126" s="547" t="s">
        <v>709</v>
      </c>
      <c r="BW126" s="547" t="s">
        <v>709</v>
      </c>
      <c r="BX126" s="547" t="s">
        <v>709</v>
      </c>
      <c r="BY126" s="547" t="s">
        <v>709</v>
      </c>
      <c r="BZ126" s="547" t="s">
        <v>709</v>
      </c>
      <c r="CA126" s="483"/>
      <c r="CB126" s="547">
        <v>124</v>
      </c>
      <c r="CC126" s="1481" t="b">
        <v>1</v>
      </c>
      <c r="CD126" t="str">
        <f>Table15[[#This Row],[Engineering Number]]&amp;Table15[[#This Row],[WO Number]]&amp;Table15[[#This Row],[Date Assigned to Designer]]&amp;Table15[[#This Row],[Date Completed]]</f>
        <v>VW651204374385243943</v>
      </c>
    </row>
    <row r="127" spans="1:82" customFormat="1" ht="15" customHeight="1" x14ac:dyDescent="0.25">
      <c r="A127">
        <v>2020</v>
      </c>
      <c r="B127" s="8" t="s">
        <v>771</v>
      </c>
      <c r="C127" s="8" t="s">
        <v>2403</v>
      </c>
      <c r="D127" s="8" t="s">
        <v>2404</v>
      </c>
      <c r="E127" s="8" t="s">
        <v>361</v>
      </c>
      <c r="F127" s="8" t="s">
        <v>325</v>
      </c>
      <c r="G127" s="8" t="s">
        <v>2232</v>
      </c>
      <c r="H127" s="8" t="s">
        <v>2051</v>
      </c>
      <c r="I127" s="642">
        <v>43809</v>
      </c>
      <c r="J127" s="18" t="s">
        <v>2052</v>
      </c>
      <c r="K127" s="642">
        <v>43943</v>
      </c>
      <c r="L127" s="16">
        <f>IF(ISTEXT(Table15[[#This Row],[Engineering Approved Design Date]]),Table15[[#This Row],[Date Completed]]-Table15[[#This Row],[Date Assigned to Designer]],Table15[[#This Row],[Engineering Approved Design Date]]-Table15[[#This Row],[Date Completed]])</f>
        <v>134</v>
      </c>
      <c r="M127" s="642" t="s">
        <v>2479</v>
      </c>
      <c r="N127" s="642" t="s">
        <v>120</v>
      </c>
      <c r="O127" s="1025">
        <v>43952</v>
      </c>
      <c r="P127" s="21" t="s">
        <v>120</v>
      </c>
      <c r="Q127" s="1151">
        <f>IF(Table15[[#This Row],[Shactee Effort]]="N",0,Table15[[#This Row],[Shactee Effort]])+IF(Table15[[#This Row],[3rd Party Effort]]="N",0,Table15[[#This Row],[3rd Party Effort]])+Table15[[#This Row],[KH Hourly Effort]]</f>
        <v>1397.5</v>
      </c>
      <c r="R127" s="1026" t="s">
        <v>1922</v>
      </c>
      <c r="S127" s="538" t="s">
        <v>709</v>
      </c>
      <c r="T127" s="538" t="s">
        <v>709</v>
      </c>
      <c r="U127" s="28">
        <v>1397.5</v>
      </c>
      <c r="V127" s="858"/>
      <c r="W127" s="437"/>
      <c r="X127" s="538"/>
      <c r="Y127" s="551"/>
      <c r="Z127" s="538"/>
      <c r="AA127" s="538"/>
      <c r="AB127" s="21"/>
      <c r="AC127" s="569"/>
      <c r="AD127" s="1149"/>
      <c r="AE127" s="569"/>
      <c r="AF127" s="569"/>
      <c r="AG127" s="569"/>
      <c r="AH127" s="536"/>
      <c r="AI127" s="1028"/>
      <c r="AJ127" s="1029"/>
      <c r="AK127" s="1029"/>
      <c r="AL127" s="1030"/>
      <c r="AM127" s="542" t="s">
        <v>709</v>
      </c>
      <c r="AN127" s="924"/>
      <c r="AO127" s="925"/>
      <c r="AP127" s="926"/>
      <c r="AQ127" s="926"/>
      <c r="AR127" s="926"/>
      <c r="AS127" s="926"/>
      <c r="AT127" s="926"/>
      <c r="AU127" s="926"/>
      <c r="AV127" s="926"/>
      <c r="AW127" s="927"/>
      <c r="AX127" s="926"/>
      <c r="AY127" s="1538" t="s">
        <v>29</v>
      </c>
      <c r="AZ127" s="1530"/>
      <c r="BA127" s="1031">
        <v>1</v>
      </c>
      <c r="BB127" s="644"/>
      <c r="BC127" s="544"/>
      <c r="BD127" s="544"/>
      <c r="BE127" s="544"/>
      <c r="BF127" s="544"/>
      <c r="BG127" s="544"/>
      <c r="BH127" s="741"/>
      <c r="BI127" s="547" t="s">
        <v>709</v>
      </c>
      <c r="BJ127" s="547" t="s">
        <v>709</v>
      </c>
      <c r="BK127" s="547" t="s">
        <v>709</v>
      </c>
      <c r="BL127" s="547" t="s">
        <v>116</v>
      </c>
      <c r="BM127" s="547" t="s">
        <v>709</v>
      </c>
      <c r="BN127" s="547" t="s">
        <v>709</v>
      </c>
      <c r="BO127" s="547" t="s">
        <v>709</v>
      </c>
      <c r="BP127" s="547" t="s">
        <v>709</v>
      </c>
      <c r="BQ127" s="547" t="s">
        <v>709</v>
      </c>
      <c r="BR127" s="547">
        <v>1855</v>
      </c>
      <c r="BS127" s="547">
        <v>10776</v>
      </c>
      <c r="BT127" s="547" t="s">
        <v>709</v>
      </c>
      <c r="BU127" s="547" t="s">
        <v>709</v>
      </c>
      <c r="BV127" s="547" t="s">
        <v>709</v>
      </c>
      <c r="BW127" s="547" t="s">
        <v>709</v>
      </c>
      <c r="BX127" s="547" t="s">
        <v>709</v>
      </c>
      <c r="BY127" s="547" t="s">
        <v>709</v>
      </c>
      <c r="BZ127" s="547" t="s">
        <v>709</v>
      </c>
      <c r="CA127" s="483"/>
      <c r="CB127" s="547">
        <v>125</v>
      </c>
      <c r="CC127" s="1481" t="b">
        <v>1</v>
      </c>
      <c r="CD127" t="str">
        <f>Table15[[#This Row],[Engineering Number]]&amp;Table15[[#This Row],[WO Number]]&amp;Table15[[#This Row],[Date Assigned to Designer]]&amp;Table15[[#This Row],[Date Completed]]</f>
        <v>BS1861291724380943943</v>
      </c>
    </row>
    <row r="128" spans="1:82" customFormat="1" ht="15" customHeight="1" x14ac:dyDescent="0.25">
      <c r="A128">
        <v>2020</v>
      </c>
      <c r="B128" s="8" t="s">
        <v>771</v>
      </c>
      <c r="C128" s="8" t="s">
        <v>2178</v>
      </c>
      <c r="D128" s="8" t="s">
        <v>2179</v>
      </c>
      <c r="E128" s="8" t="s">
        <v>1529</v>
      </c>
      <c r="F128" s="8" t="s">
        <v>325</v>
      </c>
      <c r="G128" s="8" t="s">
        <v>1896</v>
      </c>
      <c r="H128" s="8" t="s">
        <v>2051</v>
      </c>
      <c r="I128" s="642">
        <v>43664</v>
      </c>
      <c r="J128" s="18" t="s">
        <v>2052</v>
      </c>
      <c r="K128" s="642">
        <v>43948</v>
      </c>
      <c r="L128" s="16">
        <f>IF(ISTEXT(Table15[[#This Row],[Engineering Approved Design Date]]),Table15[[#This Row],[Date Completed]]-Table15[[#This Row],[Date Assigned to Designer]],Table15[[#This Row],[Engineering Approved Design Date]]-Table15[[#This Row],[Date Completed]])</f>
        <v>284</v>
      </c>
      <c r="M128" s="642" t="s">
        <v>2487</v>
      </c>
      <c r="N128" s="642" t="s">
        <v>120</v>
      </c>
      <c r="O128" s="1025">
        <v>43952</v>
      </c>
      <c r="P128" s="21" t="s">
        <v>120</v>
      </c>
      <c r="Q128" s="1151">
        <f>IF(Table15[[#This Row],[Shactee Effort]]="N",0,Table15[[#This Row],[Shactee Effort]])+IF(Table15[[#This Row],[3rd Party Effort]]="N",0,Table15[[#This Row],[3rd Party Effort]])+Table15[[#This Row],[KH Hourly Effort]]</f>
        <v>2755</v>
      </c>
      <c r="R128" s="1026" t="s">
        <v>1922</v>
      </c>
      <c r="S128" s="538" t="s">
        <v>709</v>
      </c>
      <c r="T128" s="538" t="s">
        <v>709</v>
      </c>
      <c r="U128" s="28">
        <v>2755</v>
      </c>
      <c r="V128" s="858"/>
      <c r="W128" s="437"/>
      <c r="X128" s="538"/>
      <c r="Y128" s="551"/>
      <c r="Z128" s="538"/>
      <c r="AA128" s="538"/>
      <c r="AB128" s="21"/>
      <c r="AC128" s="569"/>
      <c r="AD128" s="1149"/>
      <c r="AE128" s="569"/>
      <c r="AF128" s="569"/>
      <c r="AG128" s="569"/>
      <c r="AH128" s="536"/>
      <c r="AI128" s="1028"/>
      <c r="AJ128" s="1029"/>
      <c r="AK128" s="1029"/>
      <c r="AL128" s="1030"/>
      <c r="AM128" s="542" t="s">
        <v>709</v>
      </c>
      <c r="AN128" s="924"/>
      <c r="AO128" s="925"/>
      <c r="AP128" s="926"/>
      <c r="AQ128" s="926"/>
      <c r="AR128" s="926"/>
      <c r="AS128" s="926"/>
      <c r="AT128" s="926"/>
      <c r="AU128" s="926"/>
      <c r="AV128" s="926"/>
      <c r="AW128" s="927"/>
      <c r="AX128" s="926"/>
      <c r="AY128" s="1538" t="s">
        <v>29</v>
      </c>
      <c r="AZ128" s="1530"/>
      <c r="BA128" s="1031">
        <v>4</v>
      </c>
      <c r="BB128" s="644"/>
      <c r="BC128" s="544"/>
      <c r="BD128" s="544"/>
      <c r="BE128" s="544"/>
      <c r="BF128" s="544"/>
      <c r="BG128" s="544"/>
      <c r="BH128" s="741"/>
      <c r="BI128" s="547" t="s">
        <v>709</v>
      </c>
      <c r="BJ128" s="547" t="s">
        <v>709</v>
      </c>
      <c r="BK128" s="547" t="s">
        <v>709</v>
      </c>
      <c r="BL128" s="547" t="s">
        <v>116</v>
      </c>
      <c r="BM128" s="547" t="s">
        <v>709</v>
      </c>
      <c r="BN128" s="547" t="s">
        <v>709</v>
      </c>
      <c r="BO128" s="547" t="s">
        <v>709</v>
      </c>
      <c r="BP128" s="547" t="s">
        <v>709</v>
      </c>
      <c r="BQ128" s="547" t="s">
        <v>709</v>
      </c>
      <c r="BR128" s="547" t="s">
        <v>709</v>
      </c>
      <c r="BS128" s="547">
        <v>658</v>
      </c>
      <c r="BT128" s="547" t="s">
        <v>709</v>
      </c>
      <c r="BU128" s="547" t="s">
        <v>709</v>
      </c>
      <c r="BV128" s="547" t="s">
        <v>709</v>
      </c>
      <c r="BW128" s="547" t="s">
        <v>709</v>
      </c>
      <c r="BX128" s="547" t="s">
        <v>709</v>
      </c>
      <c r="BY128" s="547" t="s">
        <v>709</v>
      </c>
      <c r="BZ128" s="547" t="s">
        <v>709</v>
      </c>
      <c r="CA128" s="483"/>
      <c r="CB128" s="547">
        <v>126</v>
      </c>
      <c r="CC128" s="1481" t="b">
        <v>1</v>
      </c>
      <c r="CD128" t="str">
        <f>Table15[[#This Row],[Engineering Number]]&amp;Table15[[#This Row],[WO Number]]&amp;Table15[[#This Row],[Date Assigned to Designer]]&amp;Table15[[#This Row],[Date Completed]]</f>
        <v>MLP291203454366443948</v>
      </c>
    </row>
    <row r="129" spans="1:82" customFormat="1" ht="15" customHeight="1" x14ac:dyDescent="0.25">
      <c r="A129">
        <v>2020</v>
      </c>
      <c r="B129" s="8" t="s">
        <v>771</v>
      </c>
      <c r="C129" s="8" t="s">
        <v>2173</v>
      </c>
      <c r="D129" s="8" t="s">
        <v>2174</v>
      </c>
      <c r="E129" s="8" t="s">
        <v>1529</v>
      </c>
      <c r="F129" s="8" t="s">
        <v>325</v>
      </c>
      <c r="G129" s="8" t="s">
        <v>1896</v>
      </c>
      <c r="H129" s="8" t="s">
        <v>2051</v>
      </c>
      <c r="I129" s="642">
        <v>43664</v>
      </c>
      <c r="J129" s="18" t="s">
        <v>2052</v>
      </c>
      <c r="K129" s="642">
        <v>43951</v>
      </c>
      <c r="L129" s="16">
        <f>IF(ISTEXT(Table15[[#This Row],[Engineering Approved Design Date]]),Table15[[#This Row],[Date Completed]]-Table15[[#This Row],[Date Assigned to Designer]],Table15[[#This Row],[Engineering Approved Design Date]]-Table15[[#This Row],[Date Completed]])</f>
        <v>287</v>
      </c>
      <c r="M129" s="642" t="s">
        <v>2489</v>
      </c>
      <c r="N129" s="642" t="s">
        <v>120</v>
      </c>
      <c r="O129" s="1025">
        <v>43952</v>
      </c>
      <c r="P129" s="21" t="s">
        <v>120</v>
      </c>
      <c r="Q129" s="1151">
        <f>IF(Table15[[#This Row],[Shactee Effort]]="N",0,Table15[[#This Row],[Shactee Effort]])+IF(Table15[[#This Row],[3rd Party Effort]]="N",0,Table15[[#This Row],[3rd Party Effort]])+Table15[[#This Row],[KH Hourly Effort]]</f>
        <v>3830</v>
      </c>
      <c r="R129" s="1026" t="s">
        <v>1922</v>
      </c>
      <c r="S129" s="538" t="s">
        <v>709</v>
      </c>
      <c r="T129" s="538" t="s">
        <v>709</v>
      </c>
      <c r="U129" s="28">
        <v>3830</v>
      </c>
      <c r="V129" s="858"/>
      <c r="W129" s="437"/>
      <c r="X129" s="538"/>
      <c r="Y129" s="551"/>
      <c r="Z129" s="538"/>
      <c r="AA129" s="538"/>
      <c r="AB129" s="21"/>
      <c r="AC129" s="569"/>
      <c r="AD129" s="1149"/>
      <c r="AE129" s="569"/>
      <c r="AF129" s="569"/>
      <c r="AG129" s="569"/>
      <c r="AH129" s="536"/>
      <c r="AI129" s="1028"/>
      <c r="AJ129" s="1029"/>
      <c r="AK129" s="1029"/>
      <c r="AL129" s="1030"/>
      <c r="AM129" s="542" t="s">
        <v>709</v>
      </c>
      <c r="AN129" s="924"/>
      <c r="AO129" s="925"/>
      <c r="AP129" s="926"/>
      <c r="AQ129" s="926"/>
      <c r="AR129" s="926"/>
      <c r="AS129" s="926"/>
      <c r="AT129" s="926"/>
      <c r="AU129" s="926"/>
      <c r="AV129" s="926"/>
      <c r="AW129" s="927"/>
      <c r="AX129" s="926"/>
      <c r="AY129" s="1538" t="s">
        <v>29</v>
      </c>
      <c r="AZ129" s="1530"/>
      <c r="BA129" s="1031">
        <v>4</v>
      </c>
      <c r="BB129" s="644"/>
      <c r="BC129" s="544"/>
      <c r="BD129" s="544"/>
      <c r="BE129" s="544"/>
      <c r="BF129" s="544"/>
      <c r="BG129" s="544"/>
      <c r="BH129" s="741"/>
      <c r="BI129" s="547" t="s">
        <v>709</v>
      </c>
      <c r="BJ129" s="547" t="s">
        <v>709</v>
      </c>
      <c r="BK129" s="547" t="s">
        <v>709</v>
      </c>
      <c r="BL129" s="547" t="s">
        <v>116</v>
      </c>
      <c r="BM129" s="547" t="s">
        <v>709</v>
      </c>
      <c r="BN129" s="547" t="s">
        <v>709</v>
      </c>
      <c r="BO129" s="547" t="s">
        <v>709</v>
      </c>
      <c r="BP129" s="547" t="s">
        <v>709</v>
      </c>
      <c r="BQ129" s="547" t="s">
        <v>709</v>
      </c>
      <c r="BR129" s="547" t="s">
        <v>709</v>
      </c>
      <c r="BS129" s="547">
        <v>2092</v>
      </c>
      <c r="BT129" s="547" t="s">
        <v>709</v>
      </c>
      <c r="BU129" s="547" t="s">
        <v>709</v>
      </c>
      <c r="BV129" s="547" t="s">
        <v>745</v>
      </c>
      <c r="BW129" s="547" t="s">
        <v>709</v>
      </c>
      <c r="BX129" s="547" t="s">
        <v>745</v>
      </c>
      <c r="BY129" s="547" t="s">
        <v>745</v>
      </c>
      <c r="BZ129" s="547" t="s">
        <v>709</v>
      </c>
      <c r="CA129" s="483"/>
      <c r="CB129" s="547">
        <v>127</v>
      </c>
      <c r="CC129" s="1481" t="b">
        <v>1</v>
      </c>
      <c r="CD129" t="str">
        <f>Table15[[#This Row],[Engineering Number]]&amp;Table15[[#This Row],[WO Number]]&amp;Table15[[#This Row],[Date Assigned to Designer]]&amp;Table15[[#This Row],[Date Completed]]</f>
        <v>MLP281203444366443951</v>
      </c>
    </row>
    <row r="130" spans="1:82" customFormat="1" ht="15" customHeight="1" x14ac:dyDescent="0.25">
      <c r="A130">
        <v>2020</v>
      </c>
      <c r="B130" s="8" t="s">
        <v>771</v>
      </c>
      <c r="C130" s="8" t="s">
        <v>2491</v>
      </c>
      <c r="D130" s="8" t="s">
        <v>2492</v>
      </c>
      <c r="E130" s="8" t="s">
        <v>272</v>
      </c>
      <c r="F130" s="8" t="s">
        <v>919</v>
      </c>
      <c r="G130" s="8" t="s">
        <v>36</v>
      </c>
      <c r="H130" s="8" t="s">
        <v>59</v>
      </c>
      <c r="I130" s="642">
        <v>43832</v>
      </c>
      <c r="J130" s="18">
        <v>43923</v>
      </c>
      <c r="K130" s="642">
        <v>43964</v>
      </c>
      <c r="L130" s="16">
        <f>IF(ISTEXT(Table15[[#This Row],[Engineering Approved Design Date]]),Table15[[#This Row],[Date Completed]]-Table15[[#This Row],[Date Assigned to Designer]],Table15[[#This Row],[Engineering Approved Design Date]]-Table15[[#This Row],[Date Completed]])</f>
        <v>-41</v>
      </c>
      <c r="M130" s="642" t="s">
        <v>2493</v>
      </c>
      <c r="N130" s="642" t="s">
        <v>120</v>
      </c>
      <c r="O130" s="1025">
        <v>43964</v>
      </c>
      <c r="P130" s="21" t="s">
        <v>120</v>
      </c>
      <c r="Q130" s="340">
        <f>1.55*V130</f>
        <v>25040.25</v>
      </c>
      <c r="R130" s="1026" t="s">
        <v>2087</v>
      </c>
      <c r="S130" s="538" t="s">
        <v>709</v>
      </c>
      <c r="T130" s="538" t="s">
        <v>709</v>
      </c>
      <c r="U130" s="28" t="s">
        <v>709</v>
      </c>
      <c r="V130" s="858">
        <v>16155</v>
      </c>
      <c r="W130" s="437"/>
      <c r="X130" s="538">
        <v>2558234.6</v>
      </c>
      <c r="Y130" s="551"/>
      <c r="Z130" s="538">
        <v>204109.81</v>
      </c>
      <c r="AA130" s="538"/>
      <c r="AB130" s="21"/>
      <c r="AC130" s="569"/>
      <c r="AD130" s="1149"/>
      <c r="AE130" s="569"/>
      <c r="AF130" s="569"/>
      <c r="AG130" s="569"/>
      <c r="AH130" s="536"/>
      <c r="AI130" s="1028"/>
      <c r="AJ130" s="1029"/>
      <c r="AK130" s="1029"/>
      <c r="AL130" s="1030"/>
      <c r="AM130" s="542" t="s">
        <v>709</v>
      </c>
      <c r="AN130" s="924"/>
      <c r="AO130" s="925"/>
      <c r="AP130" s="926"/>
      <c r="AQ130" s="926"/>
      <c r="AR130" s="926"/>
      <c r="AS130" s="926"/>
      <c r="AT130" s="926"/>
      <c r="AU130" s="926"/>
      <c r="AV130" s="926"/>
      <c r="AW130" s="927"/>
      <c r="AX130" s="926"/>
      <c r="AY130" s="1538" t="s">
        <v>29</v>
      </c>
      <c r="AZ130" s="1530"/>
      <c r="BA130" s="1031" t="s">
        <v>2494</v>
      </c>
      <c r="BB130" s="644" t="s">
        <v>2495</v>
      </c>
      <c r="BC130" s="544"/>
      <c r="BD130" s="544"/>
      <c r="BE130" s="544"/>
      <c r="BF130" s="544"/>
      <c r="BG130" s="544"/>
      <c r="BH130" s="741"/>
      <c r="BI130" s="547" t="s">
        <v>709</v>
      </c>
      <c r="BJ130" s="547" t="s">
        <v>709</v>
      </c>
      <c r="BK130" s="547" t="s">
        <v>709</v>
      </c>
      <c r="BL130" s="547" t="s">
        <v>116</v>
      </c>
      <c r="BM130" s="547" t="s">
        <v>709</v>
      </c>
      <c r="BN130" s="547" t="s">
        <v>709</v>
      </c>
      <c r="BO130" s="547" t="s">
        <v>709</v>
      </c>
      <c r="BP130" s="547">
        <v>4363</v>
      </c>
      <c r="BQ130" s="547" t="s">
        <v>709</v>
      </c>
      <c r="BR130" s="547">
        <v>1215</v>
      </c>
      <c r="BS130" s="547">
        <v>10577</v>
      </c>
      <c r="BT130" s="547" t="s">
        <v>745</v>
      </c>
      <c r="BU130" s="547" t="s">
        <v>709</v>
      </c>
      <c r="BV130" s="547" t="s">
        <v>745</v>
      </c>
      <c r="BW130" s="547" t="s">
        <v>709</v>
      </c>
      <c r="BX130" s="547" t="s">
        <v>745</v>
      </c>
      <c r="BY130" s="547" t="s">
        <v>745</v>
      </c>
      <c r="BZ130" s="547" t="s">
        <v>709</v>
      </c>
      <c r="CA130" s="483"/>
      <c r="CB130" s="547">
        <v>128</v>
      </c>
      <c r="CC130" s="1481" t="b">
        <v>1</v>
      </c>
      <c r="CD130" t="str">
        <f>Table15[[#This Row],[Engineering Number]]&amp;Table15[[#This Row],[WO Number]]&amp;Table15[[#This Row],[Date Assigned to Designer]]&amp;Table15[[#This Row],[Date Completed]]</f>
        <v>BS194C1204274383243964</v>
      </c>
    </row>
    <row r="131" spans="1:82" customFormat="1" ht="15" customHeight="1" x14ac:dyDescent="0.25">
      <c r="A131">
        <v>2020</v>
      </c>
      <c r="B131" s="8" t="s">
        <v>4</v>
      </c>
      <c r="C131" s="8" t="s">
        <v>2497</v>
      </c>
      <c r="D131" s="656" t="s">
        <v>2498</v>
      </c>
      <c r="E131" s="8" t="s">
        <v>1554</v>
      </c>
      <c r="F131" s="8" t="s">
        <v>325</v>
      </c>
      <c r="G131" s="8" t="s">
        <v>40</v>
      </c>
      <c r="H131" s="8" t="s">
        <v>59</v>
      </c>
      <c r="I131" s="642">
        <v>43809</v>
      </c>
      <c r="J131" s="18">
        <v>43966</v>
      </c>
      <c r="K131" s="642">
        <v>43964</v>
      </c>
      <c r="L131" s="16">
        <f>IF(ISTEXT(Table15[[#This Row],[Engineering Approved Design Date]]),Table15[[#This Row],[Date Completed]]-Table15[[#This Row],[Date Assigned to Designer]],Table15[[#This Row],[Engineering Approved Design Date]]-Table15[[#This Row],[Date Completed]])</f>
        <v>2</v>
      </c>
      <c r="M131" s="642"/>
      <c r="N131" s="642" t="s">
        <v>120</v>
      </c>
      <c r="O131" s="1025">
        <v>43964</v>
      </c>
      <c r="P131" s="21" t="s">
        <v>739</v>
      </c>
      <c r="Q131" s="340">
        <f>R131*AA131</f>
        <v>44051.293000000005</v>
      </c>
      <c r="R131" s="1026">
        <v>0.1</v>
      </c>
      <c r="S131" s="538" t="s">
        <v>709</v>
      </c>
      <c r="T131" s="538" t="s">
        <v>709</v>
      </c>
      <c r="U131" s="28" t="s">
        <v>709</v>
      </c>
      <c r="V131" s="858">
        <v>1735</v>
      </c>
      <c r="W131" s="437"/>
      <c r="X131" s="556">
        <v>353229.13</v>
      </c>
      <c r="Y131" s="551" t="s">
        <v>115</v>
      </c>
      <c r="Z131" s="556">
        <v>87283.8</v>
      </c>
      <c r="AA131" s="538">
        <f>X131+Z131</f>
        <v>440512.93</v>
      </c>
      <c r="AB131" s="21"/>
      <c r="AC131" s="569"/>
      <c r="AD131" s="1149"/>
      <c r="AE131" s="580"/>
      <c r="AF131" s="580"/>
      <c r="AG131" s="580"/>
      <c r="AH131" s="542"/>
      <c r="AI131" s="1028"/>
      <c r="AJ131" s="1029"/>
      <c r="AK131" s="1029"/>
      <c r="AL131" s="1030"/>
      <c r="AM131" s="1522" t="s">
        <v>116</v>
      </c>
      <c r="AN131" s="1523">
        <v>44186</v>
      </c>
      <c r="AO131" s="1524">
        <v>188082</v>
      </c>
      <c r="AP131" s="1525">
        <v>359551.56</v>
      </c>
      <c r="AQ131" s="1525"/>
      <c r="AR131" s="1525">
        <v>68487.509999999995</v>
      </c>
      <c r="AS131" s="1525">
        <f>IF(Table15[[#This Row],[PCTS Approved]]="N",0,Table15[[#This Row],[Investment Amount (1'#'#'#'#'#)]]+Table15[[#This Row],[Retirement Amount (3'#'#'#'#'#)]])</f>
        <v>428039.07</v>
      </c>
      <c r="AT131" s="1525">
        <f>IF(Table15[[#This Row],[Approved Construction Cost]]=0,0,Table15[[#This Row],[Approved Construction Cost]]-Table15[[#This Row],[Construction Cost to Bill From]])</f>
        <v>-12473.859999999986</v>
      </c>
      <c r="AU131" s="1525">
        <f>Table15[[#This Row],[Difference in Construction Cost]]*Table15[[#This Row],[Rate]]</f>
        <v>-1247.3859999999986</v>
      </c>
      <c r="AV131" s="1525">
        <v>2090</v>
      </c>
      <c r="AW131" s="1526" t="s">
        <v>2499</v>
      </c>
      <c r="AX131" s="1525">
        <v>-1247.3859999999986</v>
      </c>
      <c r="AY131" s="1518">
        <v>44501</v>
      </c>
      <c r="AZ131" s="333"/>
      <c r="BA131" s="1031" t="s">
        <v>2500</v>
      </c>
      <c r="BB131" s="644" t="s">
        <v>2270</v>
      </c>
      <c r="BC131" s="544"/>
      <c r="BD131" s="544"/>
      <c r="BE131" s="544"/>
      <c r="BF131" s="544"/>
      <c r="BG131" s="544"/>
      <c r="BH131" s="741"/>
      <c r="BI131" s="547" t="s">
        <v>709</v>
      </c>
      <c r="BJ131" s="547" t="s">
        <v>709</v>
      </c>
      <c r="BK131" s="547" t="s">
        <v>709</v>
      </c>
      <c r="BL131" s="547" t="s">
        <v>116</v>
      </c>
      <c r="BM131" s="547" t="s">
        <v>709</v>
      </c>
      <c r="BN131" s="547" t="s">
        <v>709</v>
      </c>
      <c r="BO131" s="547" t="s">
        <v>709</v>
      </c>
      <c r="BP131" s="547" t="s">
        <v>709</v>
      </c>
      <c r="BQ131" s="547" t="s">
        <v>709</v>
      </c>
      <c r="BR131" s="547" t="s">
        <v>709</v>
      </c>
      <c r="BS131" s="547">
        <v>1735</v>
      </c>
      <c r="BT131" s="547" t="s">
        <v>709</v>
      </c>
      <c r="BU131" s="547" t="s">
        <v>709</v>
      </c>
      <c r="BV131" s="547" t="s">
        <v>709</v>
      </c>
      <c r="BW131" s="547" t="s">
        <v>709</v>
      </c>
      <c r="BX131" s="547" t="s">
        <v>709</v>
      </c>
      <c r="BY131" s="547" t="s">
        <v>709</v>
      </c>
      <c r="BZ131" s="547" t="s">
        <v>709</v>
      </c>
      <c r="CA131" s="483"/>
      <c r="CB131" s="547">
        <v>129</v>
      </c>
      <c r="CC131" s="1481" t="b">
        <v>1</v>
      </c>
      <c r="CD131" t="str">
        <f>Table15[[#This Row],[Engineering Number]]&amp;Table15[[#This Row],[WO Number]]&amp;Table15[[#This Row],[Date Assigned to Designer]]&amp;Table15[[#This Row],[Date Completed]]</f>
        <v>M112601204604380943964</v>
      </c>
    </row>
    <row r="132" spans="1:82" customFormat="1" ht="15" customHeight="1" x14ac:dyDescent="0.25">
      <c r="A132">
        <v>2020</v>
      </c>
      <c r="B132" s="8" t="s">
        <v>4</v>
      </c>
      <c r="C132" s="8" t="s">
        <v>2502</v>
      </c>
      <c r="D132" s="656" t="s">
        <v>2503</v>
      </c>
      <c r="E132" s="8" t="s">
        <v>2504</v>
      </c>
      <c r="F132" s="8" t="s">
        <v>325</v>
      </c>
      <c r="G132" s="8" t="s">
        <v>36</v>
      </c>
      <c r="H132" s="8" t="s">
        <v>59</v>
      </c>
      <c r="I132" s="642">
        <v>43920</v>
      </c>
      <c r="J132" s="18">
        <v>43966</v>
      </c>
      <c r="K132" s="642">
        <v>43964</v>
      </c>
      <c r="L132" s="16">
        <f>IF(ISTEXT(Table15[[#This Row],[Engineering Approved Design Date]]),Table15[[#This Row],[Date Completed]]-Table15[[#This Row],[Date Assigned to Designer]],Table15[[#This Row],[Engineering Approved Design Date]]-Table15[[#This Row],[Date Completed]])</f>
        <v>2</v>
      </c>
      <c r="M132" s="642"/>
      <c r="N132" s="642" t="s">
        <v>120</v>
      </c>
      <c r="O132" s="1025">
        <v>43964</v>
      </c>
      <c r="P132" s="21" t="s">
        <v>739</v>
      </c>
      <c r="Q132" s="340">
        <f>R132*AA132</f>
        <v>7990.3060000000005</v>
      </c>
      <c r="R132" s="1026">
        <v>0.1</v>
      </c>
      <c r="S132" s="538" t="s">
        <v>709</v>
      </c>
      <c r="T132" s="538" t="s">
        <v>709</v>
      </c>
      <c r="U132" s="28" t="s">
        <v>709</v>
      </c>
      <c r="V132" s="858">
        <v>500</v>
      </c>
      <c r="W132" s="437"/>
      <c r="X132" s="556">
        <v>73186.92</v>
      </c>
      <c r="Y132" s="551" t="s">
        <v>115</v>
      </c>
      <c r="Z132" s="556">
        <v>6716.14</v>
      </c>
      <c r="AA132" s="538">
        <f>X132+Z132</f>
        <v>79903.06</v>
      </c>
      <c r="AB132" s="21"/>
      <c r="AC132" s="569"/>
      <c r="AD132" s="1149"/>
      <c r="AE132" s="580"/>
      <c r="AF132" s="580"/>
      <c r="AG132" s="569"/>
      <c r="AH132" s="542"/>
      <c r="AI132" s="1028"/>
      <c r="AJ132" s="1029"/>
      <c r="AK132" s="1029"/>
      <c r="AL132" s="1030"/>
      <c r="AM132" s="1522" t="s">
        <v>116</v>
      </c>
      <c r="AN132" s="1523">
        <v>44154</v>
      </c>
      <c r="AO132" s="1524">
        <v>189331</v>
      </c>
      <c r="AP132" s="1525">
        <v>74138.740000000005</v>
      </c>
      <c r="AQ132" s="1525"/>
      <c r="AR132" s="1525">
        <v>1247.3399999999999</v>
      </c>
      <c r="AS132" s="1525">
        <f>IF(Table15[[#This Row],[PCTS Approved]]="N",0,Table15[[#This Row],[Investment Amount (1'#'#'#'#'#)]]+Table15[[#This Row],[Retirement Amount (3'#'#'#'#'#)]])</f>
        <v>75386.080000000002</v>
      </c>
      <c r="AT132" s="1525">
        <f>IF(Table15[[#This Row],[Approved Construction Cost]]=0,0,Table15[[#This Row],[Approved Construction Cost]]-Table15[[#This Row],[Construction Cost to Bill From]])</f>
        <v>-4516.9799999999959</v>
      </c>
      <c r="AU132" s="1525">
        <f>Table15[[#This Row],[Difference in Construction Cost]]*Table15[[#This Row],[Rate]]</f>
        <v>-451.69799999999964</v>
      </c>
      <c r="AV132" s="1525" t="s">
        <v>709</v>
      </c>
      <c r="AW132" s="1526" t="s">
        <v>2505</v>
      </c>
      <c r="AX132" s="1525">
        <v>-451.69799999999964</v>
      </c>
      <c r="AY132" s="1518">
        <v>44501</v>
      </c>
      <c r="AZ132" s="333"/>
      <c r="BA132" s="1031" t="s">
        <v>2506</v>
      </c>
      <c r="BB132" s="644" t="s">
        <v>2507</v>
      </c>
      <c r="BC132" s="544"/>
      <c r="BD132" s="544"/>
      <c r="BE132" s="544"/>
      <c r="BF132" s="544"/>
      <c r="BG132" s="544"/>
      <c r="BH132" s="741"/>
      <c r="BI132" s="547" t="s">
        <v>709</v>
      </c>
      <c r="BJ132" s="547" t="s">
        <v>709</v>
      </c>
      <c r="BK132" s="547" t="s">
        <v>709</v>
      </c>
      <c r="BL132" s="547" t="s">
        <v>116</v>
      </c>
      <c r="BM132" s="547" t="s">
        <v>709</v>
      </c>
      <c r="BN132" s="547" t="s">
        <v>709</v>
      </c>
      <c r="BO132" s="547" t="s">
        <v>709</v>
      </c>
      <c r="BP132" s="547" t="s">
        <v>709</v>
      </c>
      <c r="BQ132" s="547" t="s">
        <v>709</v>
      </c>
      <c r="BR132" s="547" t="s">
        <v>709</v>
      </c>
      <c r="BS132" s="547">
        <v>500</v>
      </c>
      <c r="BT132" s="547" t="s">
        <v>745</v>
      </c>
      <c r="BU132" s="547" t="s">
        <v>709</v>
      </c>
      <c r="BV132" s="547" t="s">
        <v>745</v>
      </c>
      <c r="BW132" s="547" t="s">
        <v>709</v>
      </c>
      <c r="BX132" s="547" t="s">
        <v>745</v>
      </c>
      <c r="BY132" s="547" t="s">
        <v>745</v>
      </c>
      <c r="BZ132" s="547" t="s">
        <v>709</v>
      </c>
      <c r="CA132" s="483"/>
      <c r="CB132" s="547">
        <v>130</v>
      </c>
      <c r="CC132" s="1481" t="b">
        <v>1</v>
      </c>
      <c r="CD132" t="str">
        <f>Table15[[#This Row],[Engineering Number]]&amp;Table15[[#This Row],[WO Number]]&amp;Table15[[#This Row],[Date Assigned to Designer]]&amp;Table15[[#This Row],[Date Completed]]</f>
        <v>N131581292094392043964</v>
      </c>
    </row>
    <row r="133" spans="1:82" customFormat="1" ht="15" customHeight="1" x14ac:dyDescent="0.25">
      <c r="A133">
        <v>2020</v>
      </c>
      <c r="B133" s="8" t="s">
        <v>4</v>
      </c>
      <c r="C133" s="8" t="s">
        <v>106</v>
      </c>
      <c r="D133" s="656" t="s">
        <v>2521</v>
      </c>
      <c r="E133" s="8" t="s">
        <v>108</v>
      </c>
      <c r="F133" s="8" t="s">
        <v>325</v>
      </c>
      <c r="G133" s="8" t="s">
        <v>36</v>
      </c>
      <c r="H133" s="8" t="s">
        <v>59</v>
      </c>
      <c r="I133" s="642">
        <v>43705</v>
      </c>
      <c r="J133" s="18">
        <v>43966</v>
      </c>
      <c r="K133" s="642">
        <v>43965</v>
      </c>
      <c r="L133" s="16">
        <f>IF(ISTEXT(Table15[[#This Row],[Engineering Approved Design Date]]),Table15[[#This Row],[Date Completed]]-Table15[[#This Row],[Date Assigned to Designer]],Table15[[#This Row],[Engineering Approved Design Date]]-Table15[[#This Row],[Date Completed]])</f>
        <v>1</v>
      </c>
      <c r="M133" s="642"/>
      <c r="N133" s="642" t="s">
        <v>120</v>
      </c>
      <c r="O133" s="1025">
        <v>43965</v>
      </c>
      <c r="P133" s="21" t="s">
        <v>739</v>
      </c>
      <c r="Q133" s="340">
        <f>R133*AA133</f>
        <v>399146.60200000007</v>
      </c>
      <c r="R133" s="1026">
        <v>0.1</v>
      </c>
      <c r="S133" s="538" t="s">
        <v>709</v>
      </c>
      <c r="T133" s="538" t="s">
        <v>709</v>
      </c>
      <c r="U133" s="28" t="s">
        <v>709</v>
      </c>
      <c r="V133" s="858">
        <f>1800+3964</f>
        <v>5764</v>
      </c>
      <c r="W133" s="437"/>
      <c r="X133" s="556">
        <f>342364.14+2036965.1</f>
        <v>2379329.2400000002</v>
      </c>
      <c r="Y133" s="551" t="s">
        <v>115</v>
      </c>
      <c r="Z133" s="556">
        <f>35860.78+1576276</f>
        <v>1612136.78</v>
      </c>
      <c r="AA133" s="538">
        <f>X133+Z133</f>
        <v>3991466.0200000005</v>
      </c>
      <c r="AB133" s="21"/>
      <c r="AC133" s="569"/>
      <c r="AD133" s="1149"/>
      <c r="AE133" s="580"/>
      <c r="AF133" s="580"/>
      <c r="AG133" s="580"/>
      <c r="AH133" s="542"/>
      <c r="AI133" s="1028"/>
      <c r="AJ133" s="1029"/>
      <c r="AK133" s="1029"/>
      <c r="AL133" s="1030"/>
      <c r="AM133" s="542" t="s">
        <v>116</v>
      </c>
      <c r="AN133" s="1508">
        <v>44090</v>
      </c>
      <c r="AO133" s="925" t="s">
        <v>2522</v>
      </c>
      <c r="AP133" s="926">
        <f>349626.83+2075336.37</f>
        <v>2424963.2000000002</v>
      </c>
      <c r="AQ133" s="926"/>
      <c r="AR133" s="926">
        <f>16302.29+1537953.23</f>
        <v>1554255.52</v>
      </c>
      <c r="AS133" s="926">
        <f>IF(Table15[[#This Row],[PCTS Approved]]="N",0,Table15[[#This Row],[Investment Amount (1'#'#'#'#'#)]]+Table15[[#This Row],[Retirement Amount (3'#'#'#'#'#)]])</f>
        <v>3979218.72</v>
      </c>
      <c r="AT133" s="926">
        <f>IF(Table15[[#This Row],[Approved Construction Cost]]=0,0,Table15[[#This Row],[Approved Construction Cost]]-Table15[[#This Row],[Construction Cost to Bill From]])</f>
        <v>-12247.300000000279</v>
      </c>
      <c r="AU133" s="926">
        <f>Table15[[#This Row],[Difference in Construction Cost]]*Table15[[#This Row],[Rate]]</f>
        <v>-1224.730000000028</v>
      </c>
      <c r="AV133" s="926">
        <v>8235</v>
      </c>
      <c r="AW133" s="927" t="s">
        <v>2523</v>
      </c>
      <c r="AX133" s="926"/>
      <c r="AY133" s="636" t="s">
        <v>1935</v>
      </c>
      <c r="AZ133" s="1531"/>
      <c r="BA133" s="1031" t="s">
        <v>2524</v>
      </c>
      <c r="BB133" s="644" t="s">
        <v>2525</v>
      </c>
      <c r="BC133" s="544"/>
      <c r="BD133" s="544"/>
      <c r="BE133" s="544"/>
      <c r="BF133" s="544"/>
      <c r="BG133" s="544"/>
      <c r="BH133" s="741"/>
      <c r="BI133" s="547" t="s">
        <v>709</v>
      </c>
      <c r="BJ133" s="547" t="s">
        <v>709</v>
      </c>
      <c r="BK133" s="547" t="s">
        <v>709</v>
      </c>
      <c r="BL133" s="547" t="s">
        <v>116</v>
      </c>
      <c r="BM133" s="547" t="s">
        <v>709</v>
      </c>
      <c r="BN133" s="547">
        <v>959</v>
      </c>
      <c r="BO133" s="547" t="s">
        <v>709</v>
      </c>
      <c r="BP133" s="547">
        <v>2838</v>
      </c>
      <c r="BQ133" s="547" t="s">
        <v>709</v>
      </c>
      <c r="BR133" s="547">
        <v>116</v>
      </c>
      <c r="BS133" s="547">
        <v>51</v>
      </c>
      <c r="BT133" s="547" t="s">
        <v>709</v>
      </c>
      <c r="BU133" s="547" t="s">
        <v>709</v>
      </c>
      <c r="BV133" s="547" t="s">
        <v>709</v>
      </c>
      <c r="BW133" s="547" t="s">
        <v>709</v>
      </c>
      <c r="BX133" s="547" t="s">
        <v>709</v>
      </c>
      <c r="BY133" s="547" t="s">
        <v>709</v>
      </c>
      <c r="BZ133" s="547" t="s">
        <v>709</v>
      </c>
      <c r="CA133" s="483"/>
      <c r="CB133" s="547">
        <v>133</v>
      </c>
      <c r="CC133" s="1481" t="b">
        <v>1</v>
      </c>
      <c r="CD133" t="str">
        <f>Table15[[#This Row],[Engineering Number]]&amp;Table15[[#This Row],[WO Number]]&amp;Table15[[#This Row],[Date Assigned to Designer]]&amp;Table15[[#This Row],[Date Completed]]</f>
        <v>N12688129152/1291794370543965</v>
      </c>
    </row>
    <row r="134" spans="1:82" customFormat="1" ht="15" customHeight="1" x14ac:dyDescent="0.25">
      <c r="A134">
        <v>2020</v>
      </c>
      <c r="B134" s="8" t="s">
        <v>4</v>
      </c>
      <c r="C134" s="8" t="s">
        <v>2516</v>
      </c>
      <c r="D134" s="656" t="s">
        <v>2517</v>
      </c>
      <c r="E134" s="8" t="s">
        <v>361</v>
      </c>
      <c r="F134" s="8" t="s">
        <v>325</v>
      </c>
      <c r="G134" s="8" t="s">
        <v>40</v>
      </c>
      <c r="H134" s="8" t="s">
        <v>59</v>
      </c>
      <c r="I134" s="642">
        <v>43887</v>
      </c>
      <c r="J134" s="18">
        <v>43966</v>
      </c>
      <c r="K134" s="642">
        <v>43965</v>
      </c>
      <c r="L134" s="16">
        <f>IF(ISTEXT(Table15[[#This Row],[Engineering Approved Design Date]]),Table15[[#This Row],[Date Completed]]-Table15[[#This Row],[Date Assigned to Designer]],Table15[[#This Row],[Engineering Approved Design Date]]-Table15[[#This Row],[Date Completed]])</f>
        <v>1</v>
      </c>
      <c r="M134" s="642"/>
      <c r="N134" s="642" t="s">
        <v>120</v>
      </c>
      <c r="O134" s="1025">
        <v>43965</v>
      </c>
      <c r="P134" s="21" t="s">
        <v>739</v>
      </c>
      <c r="Q134" s="340">
        <f>R134*AA134</f>
        <v>67076.472000000009</v>
      </c>
      <c r="R134" s="1026">
        <v>0.1</v>
      </c>
      <c r="S134" s="538" t="s">
        <v>709</v>
      </c>
      <c r="T134" s="538" t="s">
        <v>709</v>
      </c>
      <c r="U134" s="28" t="s">
        <v>709</v>
      </c>
      <c r="V134" s="858">
        <v>4661</v>
      </c>
      <c r="W134" s="437"/>
      <c r="X134" s="556">
        <v>625264.04</v>
      </c>
      <c r="Y134" s="551"/>
      <c r="Z134" s="556">
        <v>45500.68</v>
      </c>
      <c r="AA134" s="538">
        <f>X134+Z134</f>
        <v>670764.72000000009</v>
      </c>
      <c r="AB134" s="21"/>
      <c r="AC134" s="569"/>
      <c r="AD134" s="1149"/>
      <c r="AE134" s="580"/>
      <c r="AF134" s="580"/>
      <c r="AG134" s="580"/>
      <c r="AH134" s="542"/>
      <c r="AI134" s="1028"/>
      <c r="AJ134" s="1029"/>
      <c r="AK134" s="1029"/>
      <c r="AL134" s="1030"/>
      <c r="AM134" s="1522" t="s">
        <v>116</v>
      </c>
      <c r="AN134" s="1523">
        <v>44165</v>
      </c>
      <c r="AO134" s="1524">
        <v>186697</v>
      </c>
      <c r="AP134" s="1525">
        <v>681311.72</v>
      </c>
      <c r="AQ134" s="1525"/>
      <c r="AR134" s="1525">
        <v>33455.550000000003</v>
      </c>
      <c r="AS134" s="1525">
        <f>IF(Table15[[#This Row],[PCTS Approved]]="N",0,Table15[[#This Row],[Investment Amount (1'#'#'#'#'#)]]+Table15[[#This Row],[Retirement Amount (3'#'#'#'#'#)]])</f>
        <v>714767.27</v>
      </c>
      <c r="AT134" s="1525">
        <f>IF(Table15[[#This Row],[Approved Construction Cost]]=0,0,Table15[[#This Row],[Approved Construction Cost]]-Table15[[#This Row],[Construction Cost to Bill From]])</f>
        <v>44002.54999999993</v>
      </c>
      <c r="AU134" s="1525">
        <f>Table15[[#This Row],[Difference in Construction Cost]]*Table15[[#This Row],[Rate]]</f>
        <v>4400.2549999999928</v>
      </c>
      <c r="AV134" s="1525" t="s">
        <v>709</v>
      </c>
      <c r="AW134" s="1526" t="s">
        <v>2518</v>
      </c>
      <c r="AX134" s="1525">
        <v>4400.2549999999928</v>
      </c>
      <c r="AY134" s="1518">
        <v>44501</v>
      </c>
      <c r="AZ134" s="333"/>
      <c r="BA134" s="1031" t="s">
        <v>2519</v>
      </c>
      <c r="BB134" s="644" t="s">
        <v>1156</v>
      </c>
      <c r="BC134" s="544"/>
      <c r="BD134" s="544"/>
      <c r="BE134" s="544"/>
      <c r="BF134" s="544"/>
      <c r="BG134" s="544"/>
      <c r="BH134" s="741"/>
      <c r="BI134" s="547" t="s">
        <v>709</v>
      </c>
      <c r="BJ134" s="547" t="s">
        <v>709</v>
      </c>
      <c r="BK134" s="547" t="s">
        <v>709</v>
      </c>
      <c r="BL134" s="547" t="s">
        <v>116</v>
      </c>
      <c r="BM134" s="547" t="s">
        <v>709</v>
      </c>
      <c r="BN134" s="547" t="s">
        <v>709</v>
      </c>
      <c r="BO134" s="547" t="s">
        <v>709</v>
      </c>
      <c r="BP134" s="547" t="s">
        <v>709</v>
      </c>
      <c r="BQ134" s="547" t="s">
        <v>709</v>
      </c>
      <c r="BR134" s="547">
        <v>1727</v>
      </c>
      <c r="BS134" s="547">
        <v>2934</v>
      </c>
      <c r="BT134" s="547" t="s">
        <v>709</v>
      </c>
      <c r="BU134" s="547" t="s">
        <v>709</v>
      </c>
      <c r="BV134" s="547" t="s">
        <v>745</v>
      </c>
      <c r="BW134" s="547" t="s">
        <v>709</v>
      </c>
      <c r="BX134" s="547" t="s">
        <v>709</v>
      </c>
      <c r="BY134" s="547" t="s">
        <v>745</v>
      </c>
      <c r="BZ134" s="547" t="s">
        <v>709</v>
      </c>
      <c r="CA134" s="483"/>
      <c r="CB134" s="547">
        <v>131</v>
      </c>
      <c r="CC134" s="1481" t="b">
        <v>1</v>
      </c>
      <c r="CD134" t="str">
        <f>Table15[[#This Row],[Engineering Number]]&amp;Table15[[#This Row],[WO Number]]&amp;Table15[[#This Row],[Date Assigned to Designer]]&amp;Table15[[#This Row],[Date Completed]]</f>
        <v>N133101292024388743965</v>
      </c>
    </row>
    <row r="135" spans="1:82" customFormat="1" ht="15" customHeight="1" x14ac:dyDescent="0.25">
      <c r="A135">
        <v>2019</v>
      </c>
      <c r="B135" s="8" t="s">
        <v>4</v>
      </c>
      <c r="C135" s="8" t="s">
        <v>2509</v>
      </c>
      <c r="D135" s="656" t="s">
        <v>2510</v>
      </c>
      <c r="E135" s="8" t="s">
        <v>2511</v>
      </c>
      <c r="F135" s="8" t="s">
        <v>325</v>
      </c>
      <c r="G135" s="8" t="s">
        <v>40</v>
      </c>
      <c r="H135" s="8" t="s">
        <v>59</v>
      </c>
      <c r="I135" s="642">
        <v>43468</v>
      </c>
      <c r="J135" s="18">
        <v>43977</v>
      </c>
      <c r="K135" s="642">
        <v>43965</v>
      </c>
      <c r="L135" s="16">
        <f>IF(ISTEXT(Table15[[#This Row],[Engineering Approved Design Date]]),Table15[[#This Row],[Date Completed]]-Table15[[#This Row],[Date Assigned to Designer]],Table15[[#This Row],[Engineering Approved Design Date]]-Table15[[#This Row],[Date Completed]])</f>
        <v>12</v>
      </c>
      <c r="M135" s="642"/>
      <c r="N135" s="642" t="s">
        <v>120</v>
      </c>
      <c r="O135" s="1025">
        <v>43965</v>
      </c>
      <c r="P135" s="21" t="s">
        <v>739</v>
      </c>
      <c r="Q135" s="340">
        <f>R135*AA135</f>
        <v>54452.627000000008</v>
      </c>
      <c r="R135" s="1026">
        <v>0.1</v>
      </c>
      <c r="S135" s="538" t="s">
        <v>709</v>
      </c>
      <c r="T135" s="538" t="s">
        <v>709</v>
      </c>
      <c r="U135" s="28" t="s">
        <v>709</v>
      </c>
      <c r="V135" s="858">
        <v>1760</v>
      </c>
      <c r="W135" s="437"/>
      <c r="X135" s="556">
        <v>416788.86</v>
      </c>
      <c r="Y135" s="551" t="s">
        <v>115</v>
      </c>
      <c r="Z135" s="556">
        <v>127737.41</v>
      </c>
      <c r="AA135" s="538">
        <f>X135+Z135</f>
        <v>544526.27</v>
      </c>
      <c r="AB135" s="21"/>
      <c r="AC135" s="569"/>
      <c r="AD135" s="1149"/>
      <c r="AE135" s="580"/>
      <c r="AF135" s="580"/>
      <c r="AG135" s="580"/>
      <c r="AH135" s="542"/>
      <c r="AI135" s="1028"/>
      <c r="AJ135" s="1029"/>
      <c r="AK135" s="1029"/>
      <c r="AL135" s="1030"/>
      <c r="AM135" s="1522" t="s">
        <v>116</v>
      </c>
      <c r="AN135" s="1523">
        <v>44169</v>
      </c>
      <c r="AO135" s="1524">
        <v>11033475</v>
      </c>
      <c r="AP135" s="1525">
        <v>425142.38</v>
      </c>
      <c r="AQ135" s="1525"/>
      <c r="AR135" s="1525">
        <v>112712.29</v>
      </c>
      <c r="AS135" s="1525">
        <f>IF(Table15[[#This Row],[PCTS Approved]]="N",0,Table15[[#This Row],[Investment Amount (1'#'#'#'#'#)]]+Table15[[#This Row],[Retirement Amount (3'#'#'#'#'#)]])</f>
        <v>537854.67000000004</v>
      </c>
      <c r="AT135" s="1525">
        <f>IF(Table15[[#This Row],[Approved Construction Cost]]=0,0,Table15[[#This Row],[Approved Construction Cost]]-Table15[[#This Row],[Construction Cost to Bill From]])</f>
        <v>-6671.5999999999767</v>
      </c>
      <c r="AU135" s="1525">
        <f>IFERROR(Table15[[#This Row],[Difference in Construction Cost]]*Table15[[#This Row],[Rate]],Table15[[#This Row],[Difference in Construction Cost]]*0.085)</f>
        <v>-667.15999999999769</v>
      </c>
      <c r="AV135" s="1525">
        <v>8150</v>
      </c>
      <c r="AW135" s="1526" t="s">
        <v>2512</v>
      </c>
      <c r="AX135" s="1525">
        <v>0</v>
      </c>
      <c r="AY135" s="1518">
        <v>45008</v>
      </c>
      <c r="AZ135" s="333"/>
      <c r="BA135" s="1031" t="s">
        <v>2513</v>
      </c>
      <c r="BB135" s="644" t="s">
        <v>2514</v>
      </c>
      <c r="BC135" s="544"/>
      <c r="BD135" s="544"/>
      <c r="BE135" s="544"/>
      <c r="BF135" s="544"/>
      <c r="BG135" s="544"/>
      <c r="BH135" s="741"/>
      <c r="BI135" s="547" t="s">
        <v>709</v>
      </c>
      <c r="BJ135" s="547" t="s">
        <v>709</v>
      </c>
      <c r="BK135" s="547" t="s">
        <v>709</v>
      </c>
      <c r="BL135" s="547" t="s">
        <v>116</v>
      </c>
      <c r="BM135" s="547" t="s">
        <v>709</v>
      </c>
      <c r="BN135" s="547" t="s">
        <v>709</v>
      </c>
      <c r="BO135" s="547" t="s">
        <v>709</v>
      </c>
      <c r="BP135" s="547" t="s">
        <v>709</v>
      </c>
      <c r="BQ135" s="547" t="s">
        <v>709</v>
      </c>
      <c r="BR135" s="547">
        <v>1760</v>
      </c>
      <c r="BS135" s="547" t="s">
        <v>709</v>
      </c>
      <c r="BT135" s="547" t="s">
        <v>745</v>
      </c>
      <c r="BU135" s="547" t="s">
        <v>709</v>
      </c>
      <c r="BV135" s="547" t="s">
        <v>745</v>
      </c>
      <c r="BW135" s="547" t="s">
        <v>709</v>
      </c>
      <c r="BX135" s="547" t="s">
        <v>745</v>
      </c>
      <c r="BY135" s="547" t="s">
        <v>745</v>
      </c>
      <c r="BZ135" s="547" t="s">
        <v>709</v>
      </c>
      <c r="CA135" s="483"/>
      <c r="CB135" s="547">
        <v>132</v>
      </c>
      <c r="CC135" s="1481" t="b">
        <v>1</v>
      </c>
      <c r="CD135" t="str">
        <f>Table15[[#This Row],[Engineering Number]]&amp;Table15[[#This Row],[WO Number]]&amp;Table15[[#This Row],[Date Assigned to Designer]]&amp;Table15[[#This Row],[Date Completed]]</f>
        <v>N121801292004346843965</v>
      </c>
    </row>
    <row r="136" spans="1:82" customFormat="1" ht="15" customHeight="1" x14ac:dyDescent="0.25">
      <c r="A136">
        <v>2020</v>
      </c>
      <c r="B136" s="8" t="s">
        <v>1981</v>
      </c>
      <c r="C136" s="8" t="s">
        <v>2527</v>
      </c>
      <c r="D136" s="8" t="s">
        <v>115</v>
      </c>
      <c r="E136" s="8" t="s">
        <v>122</v>
      </c>
      <c r="F136" s="8" t="s">
        <v>919</v>
      </c>
      <c r="G136" s="8" t="s">
        <v>2528</v>
      </c>
      <c r="H136" s="8" t="s">
        <v>59</v>
      </c>
      <c r="I136" s="642">
        <v>43871</v>
      </c>
      <c r="J136" s="18">
        <v>43966</v>
      </c>
      <c r="K136" s="642">
        <v>43966</v>
      </c>
      <c r="L136" s="16">
        <f>IF(ISTEXT(Table15[[#This Row],[Engineering Approved Design Date]]),Table15[[#This Row],[Date Completed]]-Table15[[#This Row],[Date Assigned to Designer]],Table15[[#This Row],[Engineering Approved Design Date]]-Table15[[#This Row],[Date Completed]])</f>
        <v>0</v>
      </c>
      <c r="M136" s="642" t="s">
        <v>2529</v>
      </c>
      <c r="N136" s="642" t="s">
        <v>120</v>
      </c>
      <c r="O136" s="1025">
        <v>43966</v>
      </c>
      <c r="P136" s="21" t="s">
        <v>739</v>
      </c>
      <c r="Q136" s="1151">
        <f>IF(Table15[[#This Row],[Shactee Effort]]="N",0,Table15[[#This Row],[Shactee Effort]])+IF(Table15[[#This Row],[3rd Party Effort]]="N",0,Table15[[#This Row],[3rd Party Effort]])+Table15[[#This Row],[KH Hourly Effort]]</f>
        <v>70519</v>
      </c>
      <c r="R136" s="1026" t="s">
        <v>1922</v>
      </c>
      <c r="S136" s="551">
        <f>256.75+211.75+256.75+256.75+256.75+256.75+256.75+256.75</f>
        <v>2009</v>
      </c>
      <c r="T136" s="538" t="s">
        <v>709</v>
      </c>
      <c r="U136" s="28">
        <f>7885+7110+9472.5+7557.5+8152.5+8485+10237.5+9610</f>
        <v>68510</v>
      </c>
      <c r="V136" s="858" t="s">
        <v>115</v>
      </c>
      <c r="W136" s="437"/>
      <c r="X136" s="538" t="s">
        <v>115</v>
      </c>
      <c r="Y136" s="551" t="s">
        <v>115</v>
      </c>
      <c r="Z136" s="538" t="s">
        <v>115</v>
      </c>
      <c r="AA136" s="538" t="s">
        <v>115</v>
      </c>
      <c r="AB136" s="21"/>
      <c r="AC136" s="569" t="s">
        <v>709</v>
      </c>
      <c r="AD136" s="1149"/>
      <c r="AE136" s="580"/>
      <c r="AF136" s="580"/>
      <c r="AG136" s="580"/>
      <c r="AH136" s="542"/>
      <c r="AI136" s="1028"/>
      <c r="AJ136" s="1029"/>
      <c r="AK136" s="1029"/>
      <c r="AL136" s="1030"/>
      <c r="AM136" s="542" t="s">
        <v>709</v>
      </c>
      <c r="AN136" s="924"/>
      <c r="AO136" s="925"/>
      <c r="AP136" s="926"/>
      <c r="AQ136" s="926"/>
      <c r="AR136" s="926"/>
      <c r="AS136" s="926"/>
      <c r="AT136" s="926"/>
      <c r="AU136" s="926"/>
      <c r="AV136" s="926"/>
      <c r="AW136" s="927"/>
      <c r="AX136" s="926"/>
      <c r="AY136" s="1538" t="s">
        <v>29</v>
      </c>
      <c r="AZ136" s="1532"/>
      <c r="BA136" s="1031" t="s">
        <v>2530</v>
      </c>
      <c r="BB136" s="644"/>
      <c r="BC136" s="544"/>
      <c r="BD136" s="544"/>
      <c r="BE136" s="544"/>
      <c r="BF136" s="544"/>
      <c r="BG136" s="544"/>
      <c r="BH136" s="741"/>
      <c r="BI136" s="547" t="s">
        <v>709</v>
      </c>
      <c r="BJ136" s="547" t="s">
        <v>709</v>
      </c>
      <c r="BK136" s="547" t="s">
        <v>709</v>
      </c>
      <c r="BL136" s="547" t="s">
        <v>709</v>
      </c>
      <c r="BM136" s="547" t="s">
        <v>709</v>
      </c>
      <c r="BN136" s="547" t="s">
        <v>709</v>
      </c>
      <c r="BO136" s="547" t="s">
        <v>709</v>
      </c>
      <c r="BP136" s="547" t="s">
        <v>709</v>
      </c>
      <c r="BQ136" s="547" t="s">
        <v>709</v>
      </c>
      <c r="BR136" s="547" t="s">
        <v>709</v>
      </c>
      <c r="BS136" s="547" t="s">
        <v>709</v>
      </c>
      <c r="BT136" s="547" t="s">
        <v>745</v>
      </c>
      <c r="BU136" s="547" t="s">
        <v>709</v>
      </c>
      <c r="BV136" s="547" t="s">
        <v>745</v>
      </c>
      <c r="BW136" s="547" t="s">
        <v>709</v>
      </c>
      <c r="BX136" s="547" t="s">
        <v>745</v>
      </c>
      <c r="BY136" s="547" t="s">
        <v>745</v>
      </c>
      <c r="BZ136" s="547" t="s">
        <v>709</v>
      </c>
      <c r="CA136" s="483" t="s">
        <v>2531</v>
      </c>
      <c r="CB136" s="547">
        <v>134</v>
      </c>
      <c r="CC136" s="1481" t="b">
        <v>1</v>
      </c>
      <c r="CD136" t="str">
        <f>Table15[[#This Row],[Engineering Number]]&amp;Table15[[#This Row],[WO Number]]&amp;Table15[[#This Row],[Date Assigned to Designer]]&amp;Table15[[#This Row],[Date Completed]]</f>
        <v>COR435-4387143966</v>
      </c>
    </row>
    <row r="137" spans="1:82" customFormat="1" ht="15" customHeight="1" x14ac:dyDescent="0.25">
      <c r="A137">
        <v>2020</v>
      </c>
      <c r="B137" s="8" t="s">
        <v>4</v>
      </c>
      <c r="C137" s="8" t="s">
        <v>2533</v>
      </c>
      <c r="D137" s="8" t="s">
        <v>2534</v>
      </c>
      <c r="E137" s="8" t="s">
        <v>2535</v>
      </c>
      <c r="F137" s="8" t="s">
        <v>325</v>
      </c>
      <c r="G137" s="8" t="s">
        <v>1882</v>
      </c>
      <c r="H137" s="8" t="s">
        <v>59</v>
      </c>
      <c r="I137" s="642">
        <v>43934</v>
      </c>
      <c r="J137" s="18">
        <v>43976</v>
      </c>
      <c r="K137" s="642">
        <v>43972</v>
      </c>
      <c r="L137" s="16">
        <f>IF(ISTEXT(Table15[[#This Row],[Engineering Approved Design Date]]),Table15[[#This Row],[Date Completed]]-Table15[[#This Row],[Date Assigned to Designer]],Table15[[#This Row],[Engineering Approved Design Date]]-Table15[[#This Row],[Date Completed]])</f>
        <v>4</v>
      </c>
      <c r="M137" s="642"/>
      <c r="N137" s="642" t="s">
        <v>120</v>
      </c>
      <c r="O137" s="1025">
        <v>43972</v>
      </c>
      <c r="P137" s="21" t="s">
        <v>739</v>
      </c>
      <c r="Q137" s="340">
        <f>R137*AA137</f>
        <v>30536.673999999999</v>
      </c>
      <c r="R137" s="1026">
        <v>0.1</v>
      </c>
      <c r="S137" s="551" t="s">
        <v>709</v>
      </c>
      <c r="T137" s="538" t="s">
        <v>709</v>
      </c>
      <c r="U137" s="28" t="s">
        <v>709</v>
      </c>
      <c r="V137" s="858">
        <v>1261</v>
      </c>
      <c r="W137" s="437"/>
      <c r="X137" s="556">
        <v>155983.97</v>
      </c>
      <c r="Y137" s="551" t="s">
        <v>115</v>
      </c>
      <c r="Z137" s="556">
        <v>149382.76999999999</v>
      </c>
      <c r="AA137" s="538">
        <f>X137+Z137</f>
        <v>305366.74</v>
      </c>
      <c r="AB137" s="21"/>
      <c r="AC137" s="569"/>
      <c r="AD137" s="1149"/>
      <c r="AE137" s="580"/>
      <c r="AF137" s="580"/>
      <c r="AG137" s="580"/>
      <c r="AH137" s="542"/>
      <c r="AI137" s="1028"/>
      <c r="AJ137" s="1029"/>
      <c r="AK137" s="1029"/>
      <c r="AL137" s="1030"/>
      <c r="AM137" s="542" t="s">
        <v>116</v>
      </c>
      <c r="AN137" s="1508">
        <v>43980</v>
      </c>
      <c r="AO137" s="925">
        <v>183705</v>
      </c>
      <c r="AP137" s="926">
        <v>158020.44</v>
      </c>
      <c r="AQ137" s="926"/>
      <c r="AR137" s="926">
        <v>144740</v>
      </c>
      <c r="AS137" s="926">
        <f>IF(Table15[[#This Row],[PCTS Approved]]="N",0,Table15[[#This Row],[Investment Amount (1'#'#'#'#'#)]]+Table15[[#This Row],[Retirement Amount (3'#'#'#'#'#)]])</f>
        <v>302760.44</v>
      </c>
      <c r="AT137" s="926">
        <f>IF(Table15[[#This Row],[Approved Construction Cost]]=0,0,Table15[[#This Row],[Approved Construction Cost]]-Table15[[#This Row],[Construction Cost to Bill From]])</f>
        <v>-2606.2999999999884</v>
      </c>
      <c r="AU137" s="926">
        <f>Table15[[#This Row],[Difference in Construction Cost]]*Table15[[#This Row],[Rate]]</f>
        <v>-260.62999999999886</v>
      </c>
      <c r="AV137" s="926">
        <v>920</v>
      </c>
      <c r="AW137" s="927" t="s">
        <v>2536</v>
      </c>
      <c r="AX137" s="926"/>
      <c r="AY137" s="636" t="s">
        <v>1935</v>
      </c>
      <c r="AZ137" s="1531"/>
      <c r="BA137" s="1031" t="s">
        <v>2537</v>
      </c>
      <c r="BB137" s="644" t="s">
        <v>2538</v>
      </c>
      <c r="BC137" s="544"/>
      <c r="BD137" s="544"/>
      <c r="BE137" s="544"/>
      <c r="BF137" s="544"/>
      <c r="BG137" s="544"/>
      <c r="BH137" s="741"/>
      <c r="BI137" s="547" t="s">
        <v>709</v>
      </c>
      <c r="BJ137" s="547" t="s">
        <v>709</v>
      </c>
      <c r="BK137" s="547" t="s">
        <v>709</v>
      </c>
      <c r="BL137" s="547" t="s">
        <v>116</v>
      </c>
      <c r="BM137" s="547" t="s">
        <v>709</v>
      </c>
      <c r="BN137" s="547" t="s">
        <v>709</v>
      </c>
      <c r="BO137" s="547" t="s">
        <v>709</v>
      </c>
      <c r="BP137" s="547" t="s">
        <v>709</v>
      </c>
      <c r="BQ137" s="547" t="s">
        <v>709</v>
      </c>
      <c r="BR137" s="547" t="s">
        <v>709</v>
      </c>
      <c r="BS137" s="547">
        <v>1261</v>
      </c>
      <c r="BT137" s="547" t="s">
        <v>745</v>
      </c>
      <c r="BU137" s="547" t="s">
        <v>709</v>
      </c>
      <c r="BV137" s="547" t="s">
        <v>745</v>
      </c>
      <c r="BW137" s="547" t="s">
        <v>709</v>
      </c>
      <c r="BX137" s="547" t="s">
        <v>745</v>
      </c>
      <c r="BY137" s="547" t="s">
        <v>745</v>
      </c>
      <c r="BZ137" s="547" t="s">
        <v>709</v>
      </c>
      <c r="CA137" s="483"/>
      <c r="CB137" s="547">
        <v>136</v>
      </c>
      <c r="CC137" s="1481" t="b">
        <v>1</v>
      </c>
      <c r="CD137" t="str">
        <f>Table15[[#This Row],[Engineering Number]]&amp;Table15[[#This Row],[WO Number]]&amp;Table15[[#This Row],[Date Assigned to Designer]]&amp;Table15[[#This Row],[Date Completed]]</f>
        <v>M113981204684393443972</v>
      </c>
    </row>
    <row r="138" spans="1:82" customFormat="1" ht="15" customHeight="1" x14ac:dyDescent="0.25">
      <c r="A138">
        <v>2020</v>
      </c>
      <c r="B138" s="8" t="s">
        <v>4</v>
      </c>
      <c r="C138" s="8" t="s">
        <v>2540</v>
      </c>
      <c r="D138" s="8" t="s">
        <v>2541</v>
      </c>
      <c r="E138" s="8" t="s">
        <v>1957</v>
      </c>
      <c r="F138" s="8" t="s">
        <v>325</v>
      </c>
      <c r="G138" s="8" t="s">
        <v>2528</v>
      </c>
      <c r="H138" s="8" t="s">
        <v>59</v>
      </c>
      <c r="I138" s="642">
        <v>43920</v>
      </c>
      <c r="J138" s="18">
        <v>43983</v>
      </c>
      <c r="K138" s="642">
        <v>43972</v>
      </c>
      <c r="L138" s="16">
        <f>IF(ISTEXT(Table15[[#This Row],[Engineering Approved Design Date]]),Table15[[#This Row],[Date Completed]]-Table15[[#This Row],[Date Assigned to Designer]],Table15[[#This Row],[Engineering Approved Design Date]]-Table15[[#This Row],[Date Completed]])</f>
        <v>11</v>
      </c>
      <c r="M138" s="642"/>
      <c r="N138" s="642" t="s">
        <v>120</v>
      </c>
      <c r="O138" s="1025">
        <v>43972</v>
      </c>
      <c r="P138" s="21" t="s">
        <v>739</v>
      </c>
      <c r="Q138" s="340">
        <f>R138*AA138</f>
        <v>10441.084000000001</v>
      </c>
      <c r="R138" s="1026">
        <v>0.1</v>
      </c>
      <c r="S138" s="551" t="s">
        <v>709</v>
      </c>
      <c r="T138" s="538" t="s">
        <v>709</v>
      </c>
      <c r="U138" s="28" t="s">
        <v>709</v>
      </c>
      <c r="V138" s="858">
        <v>223</v>
      </c>
      <c r="W138" s="437"/>
      <c r="X138" s="556">
        <v>95173.5</v>
      </c>
      <c r="Y138" s="551" t="s">
        <v>115</v>
      </c>
      <c r="Z138" s="556">
        <v>9237.34</v>
      </c>
      <c r="AA138" s="538">
        <f>X138+Z138</f>
        <v>104410.84</v>
      </c>
      <c r="AB138" s="21"/>
      <c r="AC138" s="569"/>
      <c r="AD138" s="1149"/>
      <c r="AE138" s="580"/>
      <c r="AF138" s="580"/>
      <c r="AG138" s="569"/>
      <c r="AH138" s="542"/>
      <c r="AI138" s="1028"/>
      <c r="AJ138" s="1029"/>
      <c r="AK138" s="1029"/>
      <c r="AL138" s="1030"/>
      <c r="AM138" s="1522" t="s">
        <v>116</v>
      </c>
      <c r="AN138" s="1523">
        <v>44002</v>
      </c>
      <c r="AO138" s="1524">
        <v>184062</v>
      </c>
      <c r="AP138" s="1525">
        <v>96925.1</v>
      </c>
      <c r="AQ138" s="1525"/>
      <c r="AR138" s="1525">
        <v>6396.02</v>
      </c>
      <c r="AS138" s="1525">
        <f>IF(Table15[[#This Row],[PCTS Approved]]="N",0,Table15[[#This Row],[Investment Amount (1'#'#'#'#'#)]]+Table15[[#This Row],[Retirement Amount (3'#'#'#'#'#)]])</f>
        <v>103321.12000000001</v>
      </c>
      <c r="AT138" s="1525">
        <f>IF(Table15[[#This Row],[Approved Construction Cost]]=0,0,Table15[[#This Row],[Approved Construction Cost]]-Table15[[#This Row],[Construction Cost to Bill From]])</f>
        <v>-1089.7199999999866</v>
      </c>
      <c r="AU138" s="1525">
        <f>Table15[[#This Row],[Difference in Construction Cost]]*Table15[[#This Row],[Rate]]</f>
        <v>-108.97199999999867</v>
      </c>
      <c r="AV138" s="1525" t="s">
        <v>709</v>
      </c>
      <c r="AW138" s="1526" t="s">
        <v>2542</v>
      </c>
      <c r="AX138" s="1525">
        <v>-108.97199999999867</v>
      </c>
      <c r="AY138" s="1518">
        <v>44501</v>
      </c>
      <c r="AZ138" s="1532"/>
      <c r="BA138" s="1031" t="s">
        <v>2543</v>
      </c>
      <c r="BB138" s="644" t="s">
        <v>2544</v>
      </c>
      <c r="BC138" s="544"/>
      <c r="BD138" s="544"/>
      <c r="BE138" s="544"/>
      <c r="BF138" s="544"/>
      <c r="BG138" s="544"/>
      <c r="BH138" s="741"/>
      <c r="BI138" s="547" t="s">
        <v>709</v>
      </c>
      <c r="BJ138" s="547" t="s">
        <v>709</v>
      </c>
      <c r="BK138" s="547" t="s">
        <v>709</v>
      </c>
      <c r="BL138" s="547" t="s">
        <v>116</v>
      </c>
      <c r="BM138" s="547" t="s">
        <v>709</v>
      </c>
      <c r="BN138" s="547" t="s">
        <v>709</v>
      </c>
      <c r="BO138" s="547" t="s">
        <v>709</v>
      </c>
      <c r="BP138" s="547" t="s">
        <v>709</v>
      </c>
      <c r="BQ138" s="547" t="s">
        <v>709</v>
      </c>
      <c r="BR138" s="547">
        <v>117</v>
      </c>
      <c r="BS138" s="547">
        <v>106</v>
      </c>
      <c r="BT138" s="547" t="s">
        <v>745</v>
      </c>
      <c r="BU138" s="547" t="s">
        <v>709</v>
      </c>
      <c r="BV138" s="547" t="s">
        <v>745</v>
      </c>
      <c r="BW138" s="547" t="s">
        <v>709</v>
      </c>
      <c r="BX138" s="547" t="s">
        <v>745</v>
      </c>
      <c r="BY138" s="547" t="s">
        <v>745</v>
      </c>
      <c r="BZ138" s="547" t="s">
        <v>709</v>
      </c>
      <c r="CA138" s="483"/>
      <c r="CB138" s="547">
        <v>135</v>
      </c>
      <c r="CC138" s="1481" t="b">
        <v>1</v>
      </c>
      <c r="CD138" t="str">
        <f>Table15[[#This Row],[Engineering Number]]&amp;Table15[[#This Row],[WO Number]]&amp;Table15[[#This Row],[Date Assigned to Designer]]&amp;Table15[[#This Row],[Date Completed]]</f>
        <v>SC139081356724392043972</v>
      </c>
    </row>
    <row r="139" spans="1:82" customFormat="1" ht="15" customHeight="1" x14ac:dyDescent="0.25">
      <c r="A139">
        <v>2020</v>
      </c>
      <c r="B139" s="8" t="s">
        <v>771</v>
      </c>
      <c r="C139" s="8" t="s">
        <v>2244</v>
      </c>
      <c r="D139" s="8" t="s">
        <v>2245</v>
      </c>
      <c r="E139" s="8" t="s">
        <v>2246</v>
      </c>
      <c r="F139" s="8" t="s">
        <v>919</v>
      </c>
      <c r="G139" s="8" t="s">
        <v>1896</v>
      </c>
      <c r="H139" s="8" t="s">
        <v>2051</v>
      </c>
      <c r="I139" s="642">
        <v>43699</v>
      </c>
      <c r="J139" s="18" t="s">
        <v>2052</v>
      </c>
      <c r="K139" s="642">
        <v>43972</v>
      </c>
      <c r="L139" s="16">
        <f>IF(ISTEXT(Table15[[#This Row],[Engineering Approved Design Date]]),Table15[[#This Row],[Date Completed]]-Table15[[#This Row],[Date Assigned to Designer]],Table15[[#This Row],[Engineering Approved Design Date]]-Table15[[#This Row],[Date Completed]])</f>
        <v>273</v>
      </c>
      <c r="M139" s="642" t="s">
        <v>2546</v>
      </c>
      <c r="N139" s="642" t="s">
        <v>120</v>
      </c>
      <c r="O139" s="1025">
        <v>43983</v>
      </c>
      <c r="P139" s="21" t="s">
        <v>120</v>
      </c>
      <c r="Q139" s="340">
        <f>IF(Table15[[#This Row],[Shactee Effort]]="N",0,Table15[[#This Row],[Shactee Effort]])+IF(Table15[[#This Row],[3rd Party Effort]]="N",0,Table15[[#This Row],[3rd Party Effort]])+Table15[[#This Row],[KH Hourly Effort]]</f>
        <v>5442.5</v>
      </c>
      <c r="R139" s="1034" t="s">
        <v>1922</v>
      </c>
      <c r="S139" s="551" t="s">
        <v>709</v>
      </c>
      <c r="T139" s="551" t="s">
        <v>709</v>
      </c>
      <c r="U139" s="87">
        <v>5442.5</v>
      </c>
      <c r="V139" s="857" t="s">
        <v>115</v>
      </c>
      <c r="W139" s="440"/>
      <c r="X139" s="551" t="s">
        <v>115</v>
      </c>
      <c r="Y139" s="551" t="s">
        <v>115</v>
      </c>
      <c r="Z139" s="551" t="s">
        <v>115</v>
      </c>
      <c r="AA139" s="551" t="s">
        <v>115</v>
      </c>
      <c r="AB139" s="341"/>
      <c r="AC139" s="568"/>
      <c r="AD139" s="1157"/>
      <c r="AE139" s="568"/>
      <c r="AF139" s="568"/>
      <c r="AG139" s="568"/>
      <c r="AH139" s="183"/>
      <c r="AI139" s="1036"/>
      <c r="AJ139" s="1037"/>
      <c r="AK139" s="1037"/>
      <c r="AL139" s="1038"/>
      <c r="AM139" s="542" t="s">
        <v>709</v>
      </c>
      <c r="AN139" s="924"/>
      <c r="AO139" s="925"/>
      <c r="AP139" s="926"/>
      <c r="AQ139" s="926"/>
      <c r="AR139" s="926"/>
      <c r="AS139" s="926"/>
      <c r="AT139" s="926"/>
      <c r="AU139" s="926"/>
      <c r="AV139" s="926"/>
      <c r="AW139" s="927"/>
      <c r="AX139" s="926"/>
      <c r="AY139" s="1538" t="s">
        <v>29</v>
      </c>
      <c r="AZ139" s="1530"/>
      <c r="BA139" s="1031">
        <v>11</v>
      </c>
      <c r="BB139" s="644"/>
      <c r="BC139" s="544"/>
      <c r="BD139" s="544"/>
      <c r="BE139" s="544"/>
      <c r="BF139" s="544"/>
      <c r="BG139" s="544"/>
      <c r="BH139" s="741"/>
      <c r="BI139" s="547" t="s">
        <v>709</v>
      </c>
      <c r="BJ139" s="547" t="s">
        <v>709</v>
      </c>
      <c r="BK139" s="547" t="s">
        <v>709</v>
      </c>
      <c r="BL139" s="547" t="s">
        <v>116</v>
      </c>
      <c r="BM139" s="547" t="s">
        <v>709</v>
      </c>
      <c r="BN139" s="547" t="s">
        <v>709</v>
      </c>
      <c r="BO139" s="547" t="s">
        <v>709</v>
      </c>
      <c r="BP139" s="547" t="s">
        <v>709</v>
      </c>
      <c r="BQ139" s="547" t="s">
        <v>709</v>
      </c>
      <c r="BR139" s="547" t="s">
        <v>709</v>
      </c>
      <c r="BS139" s="547">
        <v>10105</v>
      </c>
      <c r="BT139" s="547" t="s">
        <v>745</v>
      </c>
      <c r="BU139" s="547" t="s">
        <v>709</v>
      </c>
      <c r="BV139" s="547" t="s">
        <v>745</v>
      </c>
      <c r="BW139" s="547" t="s">
        <v>709</v>
      </c>
      <c r="BX139" s="547" t="s">
        <v>745</v>
      </c>
      <c r="BY139" s="547" t="s">
        <v>745</v>
      </c>
      <c r="BZ139" s="547" t="s">
        <v>709</v>
      </c>
      <c r="CA139" s="483"/>
      <c r="CB139" s="547">
        <v>137</v>
      </c>
      <c r="CC139" s="1481" t="b">
        <v>1</v>
      </c>
      <c r="CD139" t="str">
        <f>Table15[[#This Row],[Engineering Number]]&amp;Table15[[#This Row],[WO Number]]&amp;Table15[[#This Row],[Date Assigned to Designer]]&amp;Table15[[#This Row],[Date Completed]]</f>
        <v>VW2651203714369943972</v>
      </c>
    </row>
    <row r="140" spans="1:82" customFormat="1" ht="15" customHeight="1" x14ac:dyDescent="0.25">
      <c r="A140">
        <v>2020</v>
      </c>
      <c r="B140" s="8" t="s">
        <v>4</v>
      </c>
      <c r="C140" s="8" t="s">
        <v>2548</v>
      </c>
      <c r="D140" s="656" t="s">
        <v>2549</v>
      </c>
      <c r="E140" s="8" t="s">
        <v>910</v>
      </c>
      <c r="F140" s="8" t="s">
        <v>738</v>
      </c>
      <c r="G140" s="8" t="s">
        <v>40</v>
      </c>
      <c r="H140" s="8" t="s">
        <v>59</v>
      </c>
      <c r="I140" s="642">
        <v>43909</v>
      </c>
      <c r="J140" s="18">
        <v>43980</v>
      </c>
      <c r="K140" s="642">
        <v>43978</v>
      </c>
      <c r="L140" s="16">
        <f>IF(ISTEXT(Table15[[#This Row],[Engineering Approved Design Date]]),Table15[[#This Row],[Date Completed]]-Table15[[#This Row],[Date Assigned to Designer]],Table15[[#This Row],[Engineering Approved Design Date]]-Table15[[#This Row],[Date Completed]])</f>
        <v>2</v>
      </c>
      <c r="M140" s="642"/>
      <c r="N140" s="642" t="s">
        <v>120</v>
      </c>
      <c r="O140" s="1025">
        <v>43983</v>
      </c>
      <c r="P140" s="21" t="s">
        <v>739</v>
      </c>
      <c r="Q140" s="340">
        <f>R140*AA140</f>
        <v>3883.6860000000001</v>
      </c>
      <c r="R140" s="1026">
        <v>0.1</v>
      </c>
      <c r="S140" s="551" t="s">
        <v>709</v>
      </c>
      <c r="T140" s="538" t="s">
        <v>709</v>
      </c>
      <c r="U140" s="28" t="s">
        <v>709</v>
      </c>
      <c r="V140" s="857">
        <v>90</v>
      </c>
      <c r="W140" s="440"/>
      <c r="X140" s="551">
        <v>34288.6</v>
      </c>
      <c r="Y140" s="551" t="s">
        <v>115</v>
      </c>
      <c r="Z140" s="551">
        <v>4548.26</v>
      </c>
      <c r="AA140" s="538">
        <f>X140+Z140</f>
        <v>38836.86</v>
      </c>
      <c r="AB140" s="21"/>
      <c r="AC140" s="569"/>
      <c r="AD140" s="1149"/>
      <c r="AE140" s="580"/>
      <c r="AF140" s="580"/>
      <c r="AG140" s="569"/>
      <c r="AH140" s="542"/>
      <c r="AI140" s="1028"/>
      <c r="AJ140" s="1029"/>
      <c r="AK140" s="1029"/>
      <c r="AL140" s="1030"/>
      <c r="AM140" s="1522" t="s">
        <v>116</v>
      </c>
      <c r="AN140" s="1523">
        <v>44032</v>
      </c>
      <c r="AO140" s="1524">
        <v>189276</v>
      </c>
      <c r="AP140" s="1525">
        <v>34334.35</v>
      </c>
      <c r="AQ140" s="1525"/>
      <c r="AR140" s="1525">
        <v>8959.7800000000007</v>
      </c>
      <c r="AS140" s="1525">
        <f>IF(Table15[[#This Row],[PCTS Approved]]="N",0,Table15[[#This Row],[Investment Amount (1'#'#'#'#'#)]]+Table15[[#This Row],[Retirement Amount (3'#'#'#'#'#)]])</f>
        <v>43294.13</v>
      </c>
      <c r="AT140" s="1525">
        <f>IF(Table15[[#This Row],[Approved Construction Cost]]=0,0,Table15[[#This Row],[Approved Construction Cost]]-Table15[[#This Row],[Construction Cost to Bill From]])</f>
        <v>4457.2699999999968</v>
      </c>
      <c r="AU140" s="1525">
        <f>Table15[[#This Row],[Difference in Construction Cost]]*Table15[[#This Row],[Rate]]</f>
        <v>445.72699999999969</v>
      </c>
      <c r="AV140" s="1525" t="s">
        <v>709</v>
      </c>
      <c r="AW140" s="1526" t="s">
        <v>2550</v>
      </c>
      <c r="AX140" s="1525">
        <v>445.72699999999969</v>
      </c>
      <c r="AY140" s="1518">
        <v>44501</v>
      </c>
      <c r="AZ140" s="333"/>
      <c r="BA140" s="1031" t="s">
        <v>2551</v>
      </c>
      <c r="BB140" s="644" t="s">
        <v>2372</v>
      </c>
      <c r="BC140" s="544"/>
      <c r="BD140" s="544"/>
      <c r="BE140" s="544"/>
      <c r="BF140" s="544"/>
      <c r="BG140" s="544"/>
      <c r="BH140" s="741"/>
      <c r="BI140" s="547" t="s">
        <v>709</v>
      </c>
      <c r="BJ140" s="547" t="s">
        <v>709</v>
      </c>
      <c r="BK140" s="547" t="s">
        <v>709</v>
      </c>
      <c r="BL140" s="547" t="s">
        <v>116</v>
      </c>
      <c r="BM140" s="547" t="s">
        <v>709</v>
      </c>
      <c r="BN140" s="547" t="s">
        <v>709</v>
      </c>
      <c r="BO140" s="547" t="s">
        <v>709</v>
      </c>
      <c r="BP140" s="547" t="s">
        <v>709</v>
      </c>
      <c r="BQ140" s="547" t="s">
        <v>709</v>
      </c>
      <c r="BR140" s="547" t="s">
        <v>709</v>
      </c>
      <c r="BS140" s="547">
        <v>90</v>
      </c>
      <c r="BT140" s="547" t="s">
        <v>745</v>
      </c>
      <c r="BU140" s="547" t="s">
        <v>709</v>
      </c>
      <c r="BV140" s="547" t="s">
        <v>745</v>
      </c>
      <c r="BW140" s="547" t="s">
        <v>709</v>
      </c>
      <c r="BX140" s="547" t="s">
        <v>745</v>
      </c>
      <c r="BY140" s="547" t="s">
        <v>745</v>
      </c>
      <c r="BZ140" s="547" t="s">
        <v>709</v>
      </c>
      <c r="CA140" s="483"/>
      <c r="CB140" s="547">
        <v>138</v>
      </c>
      <c r="CC140" s="1481" t="b">
        <v>1</v>
      </c>
      <c r="CD140" t="str">
        <f>Table15[[#This Row],[Engineering Number]]&amp;Table15[[#This Row],[WO Number]]&amp;Table15[[#This Row],[Date Assigned to Designer]]&amp;Table15[[#This Row],[Date Completed]]</f>
        <v>N131741292074390943978</v>
      </c>
    </row>
    <row r="141" spans="1:82" customFormat="1" ht="15" customHeight="1" x14ac:dyDescent="0.25">
      <c r="A141">
        <v>2020</v>
      </c>
      <c r="B141" s="8" t="s">
        <v>1981</v>
      </c>
      <c r="C141" s="8" t="s">
        <v>2553</v>
      </c>
      <c r="D141" s="8" t="s">
        <v>115</v>
      </c>
      <c r="E141" s="8" t="s">
        <v>2554</v>
      </c>
      <c r="F141" s="8" t="s">
        <v>919</v>
      </c>
      <c r="G141" s="8" t="s">
        <v>2528</v>
      </c>
      <c r="H141" s="8" t="s">
        <v>59</v>
      </c>
      <c r="I141" s="642">
        <v>43871</v>
      </c>
      <c r="J141" s="18">
        <v>43980</v>
      </c>
      <c r="K141" s="642">
        <v>43979</v>
      </c>
      <c r="L141" s="16">
        <f>IF(ISTEXT(Table15[[#This Row],[Engineering Approved Design Date]]),Table15[[#This Row],[Date Completed]]-Table15[[#This Row],[Date Assigned to Designer]],Table15[[#This Row],[Engineering Approved Design Date]]-Table15[[#This Row],[Date Completed]])</f>
        <v>1</v>
      </c>
      <c r="M141" s="642"/>
      <c r="N141" s="642" t="s">
        <v>120</v>
      </c>
      <c r="O141" s="1025">
        <v>43983</v>
      </c>
      <c r="P141" s="21" t="s">
        <v>739</v>
      </c>
      <c r="Q141" s="340">
        <f>IF(Table15[[#This Row],[Shactee Effort]]="N",0,Table15[[#This Row],[Shactee Effort]])+IF(Table15[[#This Row],[3rd Party Effort]]="N",0,Table15[[#This Row],[3rd Party Effort]])+Table15[[#This Row],[KH Hourly Effort]]</f>
        <v>137536.5</v>
      </c>
      <c r="R141" s="1026" t="s">
        <v>1922</v>
      </c>
      <c r="S141" s="551">
        <v>2904</v>
      </c>
      <c r="T141" s="538" t="s">
        <v>709</v>
      </c>
      <c r="U141" s="28">
        <v>134632.5</v>
      </c>
      <c r="V141" s="857" t="s">
        <v>115</v>
      </c>
      <c r="W141" s="440"/>
      <c r="X141" s="551" t="s">
        <v>115</v>
      </c>
      <c r="Y141" s="551" t="s">
        <v>115</v>
      </c>
      <c r="Z141" s="551" t="s">
        <v>115</v>
      </c>
      <c r="AA141" s="538" t="s">
        <v>115</v>
      </c>
      <c r="AB141" s="21"/>
      <c r="AC141" s="569"/>
      <c r="AD141" s="1149"/>
      <c r="AE141" s="580"/>
      <c r="AF141" s="580"/>
      <c r="AG141" s="580"/>
      <c r="AH141" s="542"/>
      <c r="AI141" s="1028"/>
      <c r="AJ141" s="1029"/>
      <c r="AK141" s="1029"/>
      <c r="AL141" s="1030"/>
      <c r="AM141" s="542" t="s">
        <v>709</v>
      </c>
      <c r="AN141" s="924"/>
      <c r="AO141" s="925"/>
      <c r="AP141" s="926"/>
      <c r="AQ141" s="926"/>
      <c r="AR141" s="926"/>
      <c r="AS141" s="926"/>
      <c r="AT141" s="926"/>
      <c r="AU141" s="926"/>
      <c r="AV141" s="926"/>
      <c r="AW141" s="927"/>
      <c r="AX141" s="926"/>
      <c r="AY141" s="1538" t="s">
        <v>29</v>
      </c>
      <c r="AZ141" s="1532"/>
      <c r="BA141" s="1031" t="s">
        <v>2530</v>
      </c>
      <c r="BB141" s="644"/>
      <c r="BC141" s="544"/>
      <c r="BD141" s="544"/>
      <c r="BE141" s="544"/>
      <c r="BF141" s="544"/>
      <c r="BG141" s="544"/>
      <c r="BH141" s="741"/>
      <c r="BI141" s="547" t="s">
        <v>709</v>
      </c>
      <c r="BJ141" s="547" t="s">
        <v>709</v>
      </c>
      <c r="BK141" s="547" t="s">
        <v>709</v>
      </c>
      <c r="BL141" s="547" t="s">
        <v>709</v>
      </c>
      <c r="BM141" s="547" t="s">
        <v>709</v>
      </c>
      <c r="BN141" s="547" t="s">
        <v>709</v>
      </c>
      <c r="BO141" s="547" t="s">
        <v>709</v>
      </c>
      <c r="BP141" s="547" t="s">
        <v>709</v>
      </c>
      <c r="BQ141" s="547" t="s">
        <v>709</v>
      </c>
      <c r="BR141" s="547" t="s">
        <v>709</v>
      </c>
      <c r="BS141" s="547" t="s">
        <v>709</v>
      </c>
      <c r="BT141" s="547" t="s">
        <v>745</v>
      </c>
      <c r="BU141" s="547" t="s">
        <v>709</v>
      </c>
      <c r="BV141" s="547" t="s">
        <v>745</v>
      </c>
      <c r="BW141" s="547" t="s">
        <v>709</v>
      </c>
      <c r="BX141" s="547" t="s">
        <v>745</v>
      </c>
      <c r="BY141" s="547" t="s">
        <v>745</v>
      </c>
      <c r="BZ141" s="547" t="s">
        <v>709</v>
      </c>
      <c r="CA141" s="483" t="s">
        <v>2531</v>
      </c>
      <c r="CB141" s="547">
        <v>139</v>
      </c>
      <c r="CC141" s="1481" t="b">
        <v>1</v>
      </c>
      <c r="CD141" t="str">
        <f>Table15[[#This Row],[Engineering Number]]&amp;Table15[[#This Row],[WO Number]]&amp;Table15[[#This Row],[Date Assigned to Designer]]&amp;Table15[[#This Row],[Date Completed]]</f>
        <v>COR437-4387143979</v>
      </c>
    </row>
    <row r="142" spans="1:82" customFormat="1" ht="15" customHeight="1" x14ac:dyDescent="0.25">
      <c r="A142">
        <v>2020</v>
      </c>
      <c r="B142" s="8" t="s">
        <v>1073</v>
      </c>
      <c r="C142" s="8" t="s">
        <v>2443</v>
      </c>
      <c r="D142" s="8" t="s">
        <v>2444</v>
      </c>
      <c r="E142" s="8" t="s">
        <v>1522</v>
      </c>
      <c r="F142" s="8" t="s">
        <v>919</v>
      </c>
      <c r="G142" s="8" t="s">
        <v>1882</v>
      </c>
      <c r="H142" s="8" t="s">
        <v>2051</v>
      </c>
      <c r="I142" s="642">
        <v>43852</v>
      </c>
      <c r="J142" s="18" t="s">
        <v>2052</v>
      </c>
      <c r="K142" s="642">
        <v>43986</v>
      </c>
      <c r="L142" s="16">
        <f>IF(ISTEXT(Table15[[#This Row],[Engineering Approved Design Date]]),Table15[[#This Row],[Date Completed]]-Table15[[#This Row],[Date Assigned to Designer]],Table15[[#This Row],[Engineering Approved Design Date]]-Table15[[#This Row],[Date Completed]])</f>
        <v>134</v>
      </c>
      <c r="M142" s="642" t="s">
        <v>2561</v>
      </c>
      <c r="N142" s="642" t="s">
        <v>120</v>
      </c>
      <c r="O142" s="1025">
        <v>43986</v>
      </c>
      <c r="P142" s="21" t="s">
        <v>739</v>
      </c>
      <c r="Q142" s="340">
        <f>IF(Table15[[#This Row],[Shactee Effort]]="N",0,Table15[[#This Row],[Shactee Effort]])+IF(Table15[[#This Row],[3rd Party Effort]]="N",0,Table15[[#This Row],[3rd Party Effort]])+Table15[[#This Row],[KH Hourly Effort]]</f>
        <v>1317.5</v>
      </c>
      <c r="R142" s="1026" t="s">
        <v>1922</v>
      </c>
      <c r="S142" s="551" t="s">
        <v>709</v>
      </c>
      <c r="T142" s="538" t="s">
        <v>709</v>
      </c>
      <c r="U142" s="28">
        <v>1317.5</v>
      </c>
      <c r="V142" s="857" t="s">
        <v>115</v>
      </c>
      <c r="W142" s="440"/>
      <c r="X142" s="551"/>
      <c r="Y142" s="551"/>
      <c r="Z142" s="551"/>
      <c r="AA142" s="538"/>
      <c r="AB142" s="21"/>
      <c r="AC142" s="569"/>
      <c r="AD142" s="1149"/>
      <c r="AE142" s="569"/>
      <c r="AF142" s="569"/>
      <c r="AG142" s="569"/>
      <c r="AH142" s="536"/>
      <c r="AI142" s="1028"/>
      <c r="AJ142" s="1029"/>
      <c r="AK142" s="1029"/>
      <c r="AL142" s="1030"/>
      <c r="AM142" s="542" t="s">
        <v>709</v>
      </c>
      <c r="AN142" s="924"/>
      <c r="AO142" s="925"/>
      <c r="AP142" s="926"/>
      <c r="AQ142" s="926"/>
      <c r="AR142" s="926"/>
      <c r="AS142" s="926"/>
      <c r="AT142" s="926"/>
      <c r="AU142" s="926"/>
      <c r="AV142" s="926"/>
      <c r="AW142" s="927"/>
      <c r="AX142" s="926"/>
      <c r="AY142" s="1538" t="s">
        <v>29</v>
      </c>
      <c r="AZ142" s="1530"/>
      <c r="BA142" s="1031">
        <v>4</v>
      </c>
      <c r="BB142" s="644"/>
      <c r="BC142" s="544"/>
      <c r="BD142" s="544"/>
      <c r="BE142" s="544"/>
      <c r="BF142" s="544"/>
      <c r="BG142" s="544"/>
      <c r="BH142" s="741"/>
      <c r="BI142" s="547" t="s">
        <v>709</v>
      </c>
      <c r="BJ142" s="547" t="s">
        <v>709</v>
      </c>
      <c r="BK142" s="547" t="s">
        <v>709</v>
      </c>
      <c r="BL142" s="547" t="s">
        <v>116</v>
      </c>
      <c r="BM142" s="547" t="s">
        <v>709</v>
      </c>
      <c r="BN142" s="547" t="s">
        <v>709</v>
      </c>
      <c r="BO142" s="547" t="s">
        <v>709</v>
      </c>
      <c r="BP142" s="547" t="s">
        <v>709</v>
      </c>
      <c r="BQ142" s="547" t="s">
        <v>709</v>
      </c>
      <c r="BR142" s="547">
        <v>1461</v>
      </c>
      <c r="BS142" s="547" t="s">
        <v>709</v>
      </c>
      <c r="BT142" s="547" t="s">
        <v>745</v>
      </c>
      <c r="BU142" s="547" t="s">
        <v>709</v>
      </c>
      <c r="BV142" s="547" t="s">
        <v>745</v>
      </c>
      <c r="BW142" s="547" t="s">
        <v>709</v>
      </c>
      <c r="BX142" s="547" t="s">
        <v>745</v>
      </c>
      <c r="BY142" s="547" t="s">
        <v>745</v>
      </c>
      <c r="BZ142" s="547" t="s">
        <v>709</v>
      </c>
      <c r="CA142" s="483"/>
      <c r="CB142" s="547">
        <v>141</v>
      </c>
      <c r="CC142" s="1481" t="b">
        <v>1</v>
      </c>
      <c r="CD142" t="str">
        <f>Table15[[#This Row],[Engineering Number]]&amp;Table15[[#This Row],[WO Number]]&amp;Table15[[#This Row],[Date Assigned to Designer]]&amp;Table15[[#This Row],[Date Completed]]</f>
        <v>NBA17904491506374385243986</v>
      </c>
    </row>
    <row r="143" spans="1:82" customFormat="1" ht="15" customHeight="1" x14ac:dyDescent="0.25">
      <c r="A143">
        <v>2020</v>
      </c>
      <c r="B143" s="8" t="s">
        <v>1073</v>
      </c>
      <c r="C143" s="8" t="s">
        <v>2563</v>
      </c>
      <c r="D143" s="8" t="s">
        <v>2564</v>
      </c>
      <c r="E143" s="8" t="s">
        <v>1633</v>
      </c>
      <c r="F143" s="8" t="s">
        <v>325</v>
      </c>
      <c r="G143" s="8" t="s">
        <v>2528</v>
      </c>
      <c r="H143" s="8" t="s">
        <v>59</v>
      </c>
      <c r="I143" s="642">
        <v>43943</v>
      </c>
      <c r="J143" s="18">
        <v>43985</v>
      </c>
      <c r="K143" s="642">
        <v>43986</v>
      </c>
      <c r="L143" s="16">
        <v>0</v>
      </c>
      <c r="M143" s="642" t="s">
        <v>2565</v>
      </c>
      <c r="N143" s="642" t="s">
        <v>120</v>
      </c>
      <c r="O143" s="1025">
        <v>43986</v>
      </c>
      <c r="P143" s="21" t="s">
        <v>739</v>
      </c>
      <c r="Q143" s="340">
        <f>IF(Table15[[#This Row],[Shactee Effort]]="N",0,Table15[[#This Row],[Shactee Effort]])+IF(Table15[[#This Row],[3rd Party Effort]]="N",0,Table15[[#This Row],[3rd Party Effort]])+Table15[[#This Row],[KH Hourly Effort]]</f>
        <v>7458</v>
      </c>
      <c r="R143" s="1026" t="s">
        <v>1922</v>
      </c>
      <c r="S143" s="551">
        <v>453</v>
      </c>
      <c r="T143" s="538" t="s">
        <v>709</v>
      </c>
      <c r="U143" s="28">
        <v>7005</v>
      </c>
      <c r="V143" s="857">
        <v>261</v>
      </c>
      <c r="W143" s="440"/>
      <c r="X143" s="551"/>
      <c r="Y143" s="551"/>
      <c r="Z143" s="551"/>
      <c r="AA143" s="538"/>
      <c r="AB143" s="21"/>
      <c r="AC143" s="569"/>
      <c r="AD143" s="1149"/>
      <c r="AE143" s="569"/>
      <c r="AF143" s="569"/>
      <c r="AG143" s="569"/>
      <c r="AH143" s="536"/>
      <c r="AI143" s="1028"/>
      <c r="AJ143" s="1029"/>
      <c r="AK143" s="1029"/>
      <c r="AL143" s="1030"/>
      <c r="AM143" s="542" t="s">
        <v>709</v>
      </c>
      <c r="AN143" s="924"/>
      <c r="AO143" s="925"/>
      <c r="AP143" s="926"/>
      <c r="AQ143" s="926"/>
      <c r="AR143" s="926"/>
      <c r="AS143" s="926"/>
      <c r="AT143" s="926"/>
      <c r="AU143" s="926"/>
      <c r="AV143" s="926"/>
      <c r="AW143" s="927"/>
      <c r="AX143" s="926"/>
      <c r="AY143" s="1538" t="s">
        <v>29</v>
      </c>
      <c r="AZ143" s="1530"/>
      <c r="BA143" s="1031" t="s">
        <v>2566</v>
      </c>
      <c r="BB143" s="644"/>
      <c r="BC143" s="544"/>
      <c r="BD143" s="544"/>
      <c r="BE143" s="544"/>
      <c r="BF143" s="544"/>
      <c r="BG143" s="544"/>
      <c r="BH143" s="741"/>
      <c r="BI143" s="547" t="s">
        <v>709</v>
      </c>
      <c r="BJ143" s="547" t="s">
        <v>709</v>
      </c>
      <c r="BK143" s="547" t="s">
        <v>709</v>
      </c>
      <c r="BL143" s="547" t="s">
        <v>116</v>
      </c>
      <c r="BM143" s="547" t="s">
        <v>709</v>
      </c>
      <c r="BN143" s="547" t="s">
        <v>709</v>
      </c>
      <c r="BO143" s="547" t="s">
        <v>709</v>
      </c>
      <c r="BP143" s="547" t="s">
        <v>709</v>
      </c>
      <c r="BQ143" s="547" t="s">
        <v>709</v>
      </c>
      <c r="BR143" s="547" t="s">
        <v>709</v>
      </c>
      <c r="BS143" s="547">
        <v>261</v>
      </c>
      <c r="BT143" s="547" t="s">
        <v>745</v>
      </c>
      <c r="BU143" s="547" t="s">
        <v>709</v>
      </c>
      <c r="BV143" s="547" t="s">
        <v>745</v>
      </c>
      <c r="BW143" s="547" t="s">
        <v>709</v>
      </c>
      <c r="BX143" s="547" t="s">
        <v>745</v>
      </c>
      <c r="BY143" s="547" t="s">
        <v>745</v>
      </c>
      <c r="BZ143" s="547" t="s">
        <v>709</v>
      </c>
      <c r="CA143" s="483"/>
      <c r="CB143" s="547">
        <v>142</v>
      </c>
      <c r="CC143" s="1481" t="b">
        <v>1</v>
      </c>
      <c r="CD143" t="str">
        <f>Table15[[#This Row],[Engineering Number]]&amp;Table15[[#This Row],[WO Number]]&amp;Table15[[#This Row],[Date Assigned to Designer]]&amp;Table15[[#This Row],[Date Completed]]</f>
        <v>NBA18241451506804394343986</v>
      </c>
    </row>
    <row r="144" spans="1:82" customFormat="1" ht="15" customHeight="1" x14ac:dyDescent="0.25">
      <c r="A144">
        <v>2019</v>
      </c>
      <c r="B144" s="8" t="s">
        <v>4</v>
      </c>
      <c r="C144" s="8" t="s">
        <v>121</v>
      </c>
      <c r="D144" s="656" t="s">
        <v>2556</v>
      </c>
      <c r="E144" s="8" t="s">
        <v>122</v>
      </c>
      <c r="F144" s="8" t="s">
        <v>919</v>
      </c>
      <c r="G144" s="8" t="s">
        <v>36</v>
      </c>
      <c r="H144" s="8" t="s">
        <v>59</v>
      </c>
      <c r="I144" s="642">
        <v>43497</v>
      </c>
      <c r="J144" s="18">
        <v>43847</v>
      </c>
      <c r="K144" s="642">
        <v>43986</v>
      </c>
      <c r="L144" s="16">
        <v>0</v>
      </c>
      <c r="M144" s="642" t="s">
        <v>2557</v>
      </c>
      <c r="N144" s="642" t="s">
        <v>120</v>
      </c>
      <c r="O144" s="1025">
        <v>43986</v>
      </c>
      <c r="P144" s="21" t="s">
        <v>739</v>
      </c>
      <c r="Q144" s="340">
        <f>R144*AA144</f>
        <v>148949.85200000001</v>
      </c>
      <c r="R144" s="1026">
        <v>0.1</v>
      </c>
      <c r="S144" s="551" t="s">
        <v>709</v>
      </c>
      <c r="T144" s="538" t="s">
        <v>709</v>
      </c>
      <c r="U144" s="28" t="s">
        <v>709</v>
      </c>
      <c r="V144" s="857">
        <v>6726</v>
      </c>
      <c r="W144" s="440"/>
      <c r="X144" s="551">
        <v>1303254.77</v>
      </c>
      <c r="Y144" s="551" t="s">
        <v>115</v>
      </c>
      <c r="Z144" s="551">
        <v>186243.75</v>
      </c>
      <c r="AA144" s="538">
        <f>X144+Z144</f>
        <v>1489498.52</v>
      </c>
      <c r="AB144" s="21"/>
      <c r="AC144" s="569"/>
      <c r="AD144" s="1149"/>
      <c r="AE144" s="580"/>
      <c r="AF144" s="580"/>
      <c r="AG144" s="580"/>
      <c r="AH144" s="542"/>
      <c r="AI144" s="1028"/>
      <c r="AJ144" s="1029"/>
      <c r="AK144" s="1029"/>
      <c r="AL144" s="1030"/>
      <c r="AM144" s="1522" t="s">
        <v>116</v>
      </c>
      <c r="AN144" s="1523">
        <v>44692</v>
      </c>
      <c r="AO144" s="1524">
        <v>11038066</v>
      </c>
      <c r="AP144" s="1525">
        <v>1639431.66</v>
      </c>
      <c r="AQ144" s="1525"/>
      <c r="AR144" s="1525">
        <v>189109.22</v>
      </c>
      <c r="AS144" s="1525">
        <f>IF(Table15[[#This Row],[PCTS Approved]]="N",0,Table15[[#This Row],[Investment Amount (1'#'#'#'#'#)]]+Table15[[#This Row],[Retirement Amount (3'#'#'#'#'#)]])</f>
        <v>1828540.88</v>
      </c>
      <c r="AT144" s="1525">
        <f>IF(Table15[[#This Row],[Approved Construction Cost]]=0,0,Table15[[#This Row],[Approved Construction Cost]]-Table15[[#This Row],[Construction Cost to Bill From]])</f>
        <v>339042.35999999987</v>
      </c>
      <c r="AU144" s="1525">
        <f>IFERROR(Table15[[#This Row],[Difference in Construction Cost]]*Table15[[#This Row],[Rate]],Table15[[#This Row],[Difference in Construction Cost]]*0.085)</f>
        <v>33904.23599999999</v>
      </c>
      <c r="AV144" s="1525">
        <v>10215</v>
      </c>
      <c r="AW144" s="1526" t="s">
        <v>2558</v>
      </c>
      <c r="AX144" s="1525">
        <v>0</v>
      </c>
      <c r="AY144" s="1518">
        <v>45008</v>
      </c>
      <c r="AZ144" s="333"/>
      <c r="BA144" s="1031" t="s">
        <v>2559</v>
      </c>
      <c r="BB144" s="644" t="s">
        <v>2270</v>
      </c>
      <c r="BC144" s="544"/>
      <c r="BD144" s="544"/>
      <c r="BE144" s="544"/>
      <c r="BF144" s="544"/>
      <c r="BG144" s="544"/>
      <c r="BH144" s="741"/>
      <c r="BI144" s="547" t="s">
        <v>709</v>
      </c>
      <c r="BJ144" s="547" t="s">
        <v>709</v>
      </c>
      <c r="BK144" s="547" t="s">
        <v>709</v>
      </c>
      <c r="BL144" s="547" t="s">
        <v>116</v>
      </c>
      <c r="BM144" s="547" t="s">
        <v>709</v>
      </c>
      <c r="BN144" s="547" t="s">
        <v>709</v>
      </c>
      <c r="BO144" s="547" t="s">
        <v>709</v>
      </c>
      <c r="BP144" s="547">
        <v>3618</v>
      </c>
      <c r="BQ144" s="547">
        <v>2805</v>
      </c>
      <c r="BR144" s="547">
        <v>12</v>
      </c>
      <c r="BS144" s="547">
        <v>291</v>
      </c>
      <c r="BT144" s="547" t="s">
        <v>745</v>
      </c>
      <c r="BU144" s="547" t="s">
        <v>709</v>
      </c>
      <c r="BV144" s="547" t="s">
        <v>745</v>
      </c>
      <c r="BW144" s="547" t="s">
        <v>709</v>
      </c>
      <c r="BX144" s="547" t="s">
        <v>745</v>
      </c>
      <c r="BY144" s="547" t="s">
        <v>745</v>
      </c>
      <c r="BZ144" s="547" t="s">
        <v>709</v>
      </c>
      <c r="CA144" s="483"/>
      <c r="CB144" s="547">
        <v>140</v>
      </c>
      <c r="CC144" s="1481" t="b">
        <v>1</v>
      </c>
      <c r="CD144" t="str">
        <f>Table15[[#This Row],[Engineering Number]]&amp;Table15[[#This Row],[WO Number]]&amp;Table15[[#This Row],[Date Assigned to Designer]]&amp;Table15[[#This Row],[Date Completed]]</f>
        <v>M106931203914349743986</v>
      </c>
    </row>
    <row r="145" spans="1:82" customFormat="1" ht="15" customHeight="1" x14ac:dyDescent="0.25">
      <c r="A145">
        <v>2020</v>
      </c>
      <c r="B145" s="8" t="s">
        <v>4</v>
      </c>
      <c r="C145" s="8" t="s">
        <v>2533</v>
      </c>
      <c r="D145" s="8" t="s">
        <v>2534</v>
      </c>
      <c r="E145" s="8" t="s">
        <v>2535</v>
      </c>
      <c r="F145" s="8" t="s">
        <v>325</v>
      </c>
      <c r="G145" s="8" t="s">
        <v>1882</v>
      </c>
      <c r="H145" s="8" t="s">
        <v>2051</v>
      </c>
      <c r="I145" s="642">
        <v>43934</v>
      </c>
      <c r="J145" s="18" t="s">
        <v>2052</v>
      </c>
      <c r="K145" s="642">
        <v>43990</v>
      </c>
      <c r="L145" s="16">
        <f>IF(ISTEXT(Table15[[#This Row],[Engineering Approved Design Date]]),Table15[[#This Row],[Date Completed]]-Table15[[#This Row],[Date Assigned to Designer]],Table15[[#This Row],[Engineering Approved Design Date]]-Table15[[#This Row],[Date Completed]])</f>
        <v>56</v>
      </c>
      <c r="M145" s="642" t="s">
        <v>2568</v>
      </c>
      <c r="N145" s="642" t="s">
        <v>120</v>
      </c>
      <c r="O145" s="1025">
        <v>43990</v>
      </c>
      <c r="P145" s="21" t="s">
        <v>739</v>
      </c>
      <c r="Q145" s="340">
        <f>IF(Table15[[#This Row],[Shactee Effort]]="N",0,Table15[[#This Row],[Shactee Effort]])+IF(Table15[[#This Row],[3rd Party Effort]]="N",0,Table15[[#This Row],[3rd Party Effort]])+Table15[[#This Row],[KH Hourly Effort]]</f>
        <v>920</v>
      </c>
      <c r="R145" s="1026" t="s">
        <v>1922</v>
      </c>
      <c r="S145" s="551" t="s">
        <v>709</v>
      </c>
      <c r="T145" s="538" t="s">
        <v>709</v>
      </c>
      <c r="U145" s="28">
        <v>920</v>
      </c>
      <c r="V145" s="857" t="s">
        <v>115</v>
      </c>
      <c r="W145" s="440"/>
      <c r="X145" s="551"/>
      <c r="Y145" s="551"/>
      <c r="Z145" s="551"/>
      <c r="AA145" s="538"/>
      <c r="AB145" s="21"/>
      <c r="AC145" s="569"/>
      <c r="AD145" s="1149"/>
      <c r="AE145" s="580"/>
      <c r="AF145" s="580"/>
      <c r="AG145" s="580"/>
      <c r="AH145" s="542"/>
      <c r="AI145" s="1028"/>
      <c r="AJ145" s="1029"/>
      <c r="AK145" s="1029"/>
      <c r="AL145" s="1030"/>
      <c r="AM145" s="542" t="s">
        <v>709</v>
      </c>
      <c r="AN145" s="924"/>
      <c r="AO145" s="925"/>
      <c r="AP145" s="926"/>
      <c r="AQ145" s="926"/>
      <c r="AR145" s="926"/>
      <c r="AS145" s="926"/>
      <c r="AT145" s="926"/>
      <c r="AU145" s="926"/>
      <c r="AV145" s="926"/>
      <c r="AW145" s="927"/>
      <c r="AX145" s="926"/>
      <c r="AY145" s="1538" t="s">
        <v>29</v>
      </c>
      <c r="AZ145" s="1530"/>
      <c r="BA145" s="1031">
        <v>4</v>
      </c>
      <c r="BB145" s="644"/>
      <c r="BC145" s="544"/>
      <c r="BD145" s="544"/>
      <c r="BE145" s="544"/>
      <c r="BF145" s="544"/>
      <c r="BG145" s="544"/>
      <c r="BH145" s="741"/>
      <c r="BI145" s="547" t="s">
        <v>709</v>
      </c>
      <c r="BJ145" s="547" t="s">
        <v>709</v>
      </c>
      <c r="BK145" s="547" t="s">
        <v>709</v>
      </c>
      <c r="BL145" s="547" t="s">
        <v>116</v>
      </c>
      <c r="BM145" s="547" t="s">
        <v>709</v>
      </c>
      <c r="BN145" s="547" t="s">
        <v>709</v>
      </c>
      <c r="BO145" s="547" t="s">
        <v>709</v>
      </c>
      <c r="BP145" s="547" t="s">
        <v>709</v>
      </c>
      <c r="BQ145" s="547" t="s">
        <v>709</v>
      </c>
      <c r="BR145" s="547" t="s">
        <v>709</v>
      </c>
      <c r="BS145" s="547">
        <v>1261</v>
      </c>
      <c r="BT145" s="547" t="s">
        <v>745</v>
      </c>
      <c r="BU145" s="547" t="s">
        <v>709</v>
      </c>
      <c r="BV145" s="547" t="s">
        <v>745</v>
      </c>
      <c r="BW145" s="547" t="s">
        <v>709</v>
      </c>
      <c r="BX145" s="547" t="s">
        <v>745</v>
      </c>
      <c r="BY145" s="547" t="s">
        <v>745</v>
      </c>
      <c r="BZ145" s="547" t="s">
        <v>709</v>
      </c>
      <c r="CA145" s="483"/>
      <c r="CB145" s="547">
        <v>143</v>
      </c>
      <c r="CC145" s="1481" t="b">
        <v>1</v>
      </c>
      <c r="CD145" t="str">
        <f>Table15[[#This Row],[Engineering Number]]&amp;Table15[[#This Row],[WO Number]]&amp;Table15[[#This Row],[Date Assigned to Designer]]&amp;Table15[[#This Row],[Date Completed]]</f>
        <v>M113981204684393443990</v>
      </c>
    </row>
    <row r="146" spans="1:82" customFormat="1" ht="15" customHeight="1" x14ac:dyDescent="0.25">
      <c r="A146">
        <v>2020</v>
      </c>
      <c r="B146" s="8" t="s">
        <v>769</v>
      </c>
      <c r="C146" s="8" t="s">
        <v>2328</v>
      </c>
      <c r="D146" s="8" t="s">
        <v>2329</v>
      </c>
      <c r="E146" s="8" t="s">
        <v>393</v>
      </c>
      <c r="F146" s="8" t="s">
        <v>325</v>
      </c>
      <c r="G146" s="8" t="s">
        <v>1882</v>
      </c>
      <c r="H146" s="8" t="s">
        <v>2051</v>
      </c>
      <c r="I146" s="642">
        <v>43761</v>
      </c>
      <c r="J146" s="18" t="s">
        <v>2052</v>
      </c>
      <c r="K146" s="642">
        <v>43992</v>
      </c>
      <c r="L146" s="16">
        <f>IF(ISTEXT(Table15[[#This Row],[Engineering Approved Design Date]]),Table15[[#This Row],[Date Completed]]-Table15[[#This Row],[Date Assigned to Designer]],Table15[[#This Row],[Engineering Approved Design Date]]-Table15[[#This Row],[Date Completed]])</f>
        <v>231</v>
      </c>
      <c r="M146" s="642" t="s">
        <v>2570</v>
      </c>
      <c r="N146" s="642" t="s">
        <v>120</v>
      </c>
      <c r="O146" s="1025">
        <v>43992</v>
      </c>
      <c r="P146" s="21" t="s">
        <v>739</v>
      </c>
      <c r="Q146" s="340">
        <f>IF(Table15[[#This Row],[Shactee Effort]]="N",0,Table15[[#This Row],[Shactee Effort]])+IF(Table15[[#This Row],[3rd Party Effort]]="N",0,Table15[[#This Row],[3rd Party Effort]])+Table15[[#This Row],[KH Hourly Effort]]</f>
        <v>30876.75</v>
      </c>
      <c r="R146" s="1039" t="s">
        <v>1922</v>
      </c>
      <c r="S146" s="551">
        <f>953.25+513.5</f>
        <v>1466.75</v>
      </c>
      <c r="T146" s="538" t="s">
        <v>709</v>
      </c>
      <c r="U146" s="28">
        <v>29410</v>
      </c>
      <c r="V146" s="858">
        <v>0</v>
      </c>
      <c r="W146" s="437"/>
      <c r="X146" s="551"/>
      <c r="Y146" s="551"/>
      <c r="Z146" s="551"/>
      <c r="AA146" s="538"/>
      <c r="AB146" s="21"/>
      <c r="AC146" s="569"/>
      <c r="AD146" s="1149"/>
      <c r="AE146" s="580"/>
      <c r="AF146" s="580"/>
      <c r="AG146" s="580"/>
      <c r="AH146" s="542"/>
      <c r="AI146" s="1028"/>
      <c r="AJ146" s="1029"/>
      <c r="AK146" s="1029"/>
      <c r="AL146" s="1030"/>
      <c r="AM146" s="542" t="s">
        <v>709</v>
      </c>
      <c r="AN146" s="924"/>
      <c r="AO146" s="925"/>
      <c r="AP146" s="926"/>
      <c r="AQ146" s="926"/>
      <c r="AR146" s="926"/>
      <c r="AS146" s="926"/>
      <c r="AT146" s="926"/>
      <c r="AU146" s="926"/>
      <c r="AV146" s="926"/>
      <c r="AW146" s="927"/>
      <c r="AX146" s="926"/>
      <c r="AY146" s="1538" t="s">
        <v>29</v>
      </c>
      <c r="AZ146" s="1530"/>
      <c r="BA146" s="1031">
        <v>5</v>
      </c>
      <c r="BB146" s="644"/>
      <c r="BC146" s="544"/>
      <c r="BD146" s="544"/>
      <c r="BE146" s="544"/>
      <c r="BF146" s="544"/>
      <c r="BG146" s="544"/>
      <c r="BH146" s="741"/>
      <c r="BI146" s="547" t="s">
        <v>709</v>
      </c>
      <c r="BJ146" s="547" t="s">
        <v>709</v>
      </c>
      <c r="BK146" s="547" t="s">
        <v>709</v>
      </c>
      <c r="BL146" s="547" t="s">
        <v>709</v>
      </c>
      <c r="BM146" s="547" t="s">
        <v>709</v>
      </c>
      <c r="BN146" s="547" t="s">
        <v>709</v>
      </c>
      <c r="BO146" s="547" t="s">
        <v>709</v>
      </c>
      <c r="BP146" s="547" t="s">
        <v>709</v>
      </c>
      <c r="BQ146" s="547" t="s">
        <v>709</v>
      </c>
      <c r="BR146" s="547" t="s">
        <v>709</v>
      </c>
      <c r="BS146" s="547" t="s">
        <v>709</v>
      </c>
      <c r="BT146" s="547" t="s">
        <v>709</v>
      </c>
      <c r="BU146" s="547" t="s">
        <v>709</v>
      </c>
      <c r="BV146" s="547" t="s">
        <v>709</v>
      </c>
      <c r="BW146" s="547" t="s">
        <v>709</v>
      </c>
      <c r="BX146" s="547" t="s">
        <v>709</v>
      </c>
      <c r="BY146" s="547" t="s">
        <v>709</v>
      </c>
      <c r="BZ146" s="547" t="s">
        <v>709</v>
      </c>
      <c r="CA146" s="483" t="s">
        <v>2333</v>
      </c>
      <c r="CB146" s="547">
        <v>144</v>
      </c>
      <c r="CC146" s="1481" t="b">
        <v>1</v>
      </c>
      <c r="CD146" t="str">
        <f>Table15[[#This Row],[Engineering Number]]&amp;Table15[[#This Row],[WO Number]]&amp;Table15[[#This Row],[Date Assigned to Designer]]&amp;Table15[[#This Row],[Date Completed]]</f>
        <v>RS6183021054376143992</v>
      </c>
    </row>
    <row r="147" spans="1:82" customFormat="1" ht="15" customHeight="1" x14ac:dyDescent="0.25">
      <c r="A147">
        <v>2020</v>
      </c>
      <c r="B147" s="8" t="s">
        <v>1981</v>
      </c>
      <c r="C147" s="8" t="s">
        <v>2572</v>
      </c>
      <c r="D147" s="8" t="s">
        <v>115</v>
      </c>
      <c r="E147" s="8" t="s">
        <v>2573</v>
      </c>
      <c r="F147" s="8" t="s">
        <v>919</v>
      </c>
      <c r="G147" s="8" t="s">
        <v>2528</v>
      </c>
      <c r="H147" s="8" t="s">
        <v>59</v>
      </c>
      <c r="I147" s="642">
        <v>43913</v>
      </c>
      <c r="J147" s="18">
        <v>44005</v>
      </c>
      <c r="K147" s="642">
        <v>43999</v>
      </c>
      <c r="L147" s="16">
        <f>IF(ISTEXT(Table15[[#This Row],[Engineering Approved Design Date]]),Table15[[#This Row],[Date Completed]]-Table15[[#This Row],[Date Assigned to Designer]],Table15[[#This Row],[Engineering Approved Design Date]]-Table15[[#This Row],[Date Completed]])</f>
        <v>6</v>
      </c>
      <c r="M147" s="642"/>
      <c r="N147" s="642" t="s">
        <v>120</v>
      </c>
      <c r="O147" s="1025">
        <v>43999</v>
      </c>
      <c r="P147" s="21" t="s">
        <v>739</v>
      </c>
      <c r="Q147" s="340">
        <f>IF(Table15[[#This Row],[Shactee Effort]]="N",0,Table15[[#This Row],[Shactee Effort]])+IF(Table15[[#This Row],[3rd Party Effort]]="N",0,Table15[[#This Row],[3rd Party Effort]])+Table15[[#This Row],[KH Hourly Effort]]</f>
        <v>60432.25</v>
      </c>
      <c r="R147" s="1026" t="s">
        <v>1922</v>
      </c>
      <c r="S147" s="551">
        <v>2087.25</v>
      </c>
      <c r="T147" s="538" t="s">
        <v>709</v>
      </c>
      <c r="U147" s="28">
        <v>58345</v>
      </c>
      <c r="V147" s="857">
        <v>0</v>
      </c>
      <c r="W147" s="440"/>
      <c r="X147" s="551"/>
      <c r="Y147" s="551"/>
      <c r="Z147" s="551"/>
      <c r="AA147" s="538"/>
      <c r="AB147" s="21"/>
      <c r="AC147" s="569"/>
      <c r="AD147" s="1149"/>
      <c r="AE147" s="580"/>
      <c r="AF147" s="580"/>
      <c r="AG147" s="580"/>
      <c r="AH147" s="542"/>
      <c r="AI147" s="1028"/>
      <c r="AJ147" s="1029"/>
      <c r="AK147" s="1029"/>
      <c r="AL147" s="1030"/>
      <c r="AM147" s="542" t="s">
        <v>709</v>
      </c>
      <c r="AN147" s="924"/>
      <c r="AO147" s="925"/>
      <c r="AP147" s="926"/>
      <c r="AQ147" s="926"/>
      <c r="AR147" s="926"/>
      <c r="AS147" s="926"/>
      <c r="AT147" s="926"/>
      <c r="AU147" s="926"/>
      <c r="AV147" s="926"/>
      <c r="AW147" s="927"/>
      <c r="AX147" s="926"/>
      <c r="AY147" s="1538" t="s">
        <v>29</v>
      </c>
      <c r="AZ147" s="1532"/>
      <c r="BA147" s="1031" t="s">
        <v>2530</v>
      </c>
      <c r="BB147" s="644" t="s">
        <v>2574</v>
      </c>
      <c r="BC147" s="544"/>
      <c r="BD147" s="544"/>
      <c r="BE147" s="544"/>
      <c r="BF147" s="544"/>
      <c r="BG147" s="544"/>
      <c r="BH147" s="741"/>
      <c r="BI147" s="547" t="s">
        <v>709</v>
      </c>
      <c r="BJ147" s="547" t="s">
        <v>709</v>
      </c>
      <c r="BK147" s="547" t="s">
        <v>709</v>
      </c>
      <c r="BL147" s="547" t="s">
        <v>709</v>
      </c>
      <c r="BM147" s="547" t="s">
        <v>709</v>
      </c>
      <c r="BN147" s="547" t="s">
        <v>709</v>
      </c>
      <c r="BO147" s="547" t="s">
        <v>709</v>
      </c>
      <c r="BP147" s="547" t="s">
        <v>709</v>
      </c>
      <c r="BQ147" s="547" t="s">
        <v>709</v>
      </c>
      <c r="BR147" s="547" t="s">
        <v>709</v>
      </c>
      <c r="BS147" s="547" t="s">
        <v>709</v>
      </c>
      <c r="BT147" s="547" t="s">
        <v>745</v>
      </c>
      <c r="BU147" s="547" t="s">
        <v>709</v>
      </c>
      <c r="BV147" s="547" t="s">
        <v>745</v>
      </c>
      <c r="BW147" s="547" t="s">
        <v>709</v>
      </c>
      <c r="BX147" s="547" t="s">
        <v>745</v>
      </c>
      <c r="BY147" s="547" t="s">
        <v>745</v>
      </c>
      <c r="BZ147" s="547" t="s">
        <v>709</v>
      </c>
      <c r="CA147" s="483" t="s">
        <v>2531</v>
      </c>
      <c r="CB147" s="547">
        <v>145</v>
      </c>
      <c r="CC147" s="1481" t="b">
        <v>1</v>
      </c>
      <c r="CD147" t="str">
        <f>Table15[[#This Row],[Engineering Number]]&amp;Table15[[#This Row],[WO Number]]&amp;Table15[[#This Row],[Date Assigned to Designer]]&amp;Table15[[#This Row],[Date Completed]]</f>
        <v>COR446-4391343999</v>
      </c>
    </row>
    <row r="148" spans="1:82" customFormat="1" ht="15" customHeight="1" x14ac:dyDescent="0.25">
      <c r="A148">
        <v>2020</v>
      </c>
      <c r="B148" s="8" t="s">
        <v>1205</v>
      </c>
      <c r="C148" s="8" t="s">
        <v>2582</v>
      </c>
      <c r="D148" s="8" t="s">
        <v>2583</v>
      </c>
      <c r="E148" s="8" t="s">
        <v>164</v>
      </c>
      <c r="F148" s="8" t="s">
        <v>738</v>
      </c>
      <c r="G148" s="8" t="s">
        <v>36</v>
      </c>
      <c r="H148" s="8" t="s">
        <v>59</v>
      </c>
      <c r="I148" s="642">
        <v>43963</v>
      </c>
      <c r="J148" s="18">
        <v>44005</v>
      </c>
      <c r="K148" s="642">
        <v>43999</v>
      </c>
      <c r="L148" s="16">
        <f>IF(ISTEXT(Table15[[#This Row],[Engineering Approved Design Date]]),Table15[[#This Row],[Date Completed]]-Table15[[#This Row],[Date Assigned to Designer]],Table15[[#This Row],[Engineering Approved Design Date]]-Table15[[#This Row],[Date Completed]])</f>
        <v>6</v>
      </c>
      <c r="M148" s="642"/>
      <c r="N148" s="642" t="s">
        <v>120</v>
      </c>
      <c r="O148" s="1025">
        <v>43999</v>
      </c>
      <c r="P148" s="21" t="s">
        <v>739</v>
      </c>
      <c r="Q148" s="340">
        <f>IF(Table15[[#This Row],[Shactee Effort]]="N",0,Table15[[#This Row],[Shactee Effort]])+IF(Table15[[#This Row],[3rd Party Effort]]="N",0,Table15[[#This Row],[3rd Party Effort]])+Table15[[#This Row],[KH Hourly Effort]]</f>
        <v>7504.25</v>
      </c>
      <c r="R148" s="1026" t="s">
        <v>1922</v>
      </c>
      <c r="S148" s="551">
        <f>400+211.75</f>
        <v>611.75</v>
      </c>
      <c r="T148" s="538" t="s">
        <v>709</v>
      </c>
      <c r="U148" s="28">
        <v>6892.5</v>
      </c>
      <c r="V148" s="857">
        <v>0</v>
      </c>
      <c r="W148" s="440"/>
      <c r="X148" s="551">
        <v>0</v>
      </c>
      <c r="Y148" s="551">
        <v>0</v>
      </c>
      <c r="Z148" s="551">
        <v>37512.980000000003</v>
      </c>
      <c r="AA148" s="538">
        <f t="shared" ref="AA148:AA157" si="0">X148+Z148</f>
        <v>37512.980000000003</v>
      </c>
      <c r="AB148" s="21"/>
      <c r="AC148" s="569"/>
      <c r="AD148" s="1149"/>
      <c r="AE148" s="569"/>
      <c r="AF148" s="569"/>
      <c r="AG148" s="569"/>
      <c r="AH148" s="536"/>
      <c r="AI148" s="1028"/>
      <c r="AJ148" s="1029"/>
      <c r="AK148" s="1029"/>
      <c r="AL148" s="1030"/>
      <c r="AM148" s="542" t="s">
        <v>709</v>
      </c>
      <c r="AN148" s="924"/>
      <c r="AO148" s="925"/>
      <c r="AP148" s="926"/>
      <c r="AQ148" s="926"/>
      <c r="AR148" s="926"/>
      <c r="AS148" s="926"/>
      <c r="AT148" s="926"/>
      <c r="AU148" s="926"/>
      <c r="AV148" s="926"/>
      <c r="AW148" s="927"/>
      <c r="AX148" s="926"/>
      <c r="AY148" s="1538" t="s">
        <v>29</v>
      </c>
      <c r="AZ148" s="1530"/>
      <c r="BA148" s="1031" t="s">
        <v>2584</v>
      </c>
      <c r="BB148" s="644" t="s">
        <v>2585</v>
      </c>
      <c r="BC148" s="544"/>
      <c r="BD148" s="544"/>
      <c r="BE148" s="544"/>
      <c r="BF148" s="544"/>
      <c r="BG148" s="544"/>
      <c r="BH148" s="741"/>
      <c r="BI148" s="547" t="s">
        <v>709</v>
      </c>
      <c r="BJ148" s="547" t="s">
        <v>709</v>
      </c>
      <c r="BK148" s="547" t="s">
        <v>709</v>
      </c>
      <c r="BL148" s="547" t="s">
        <v>709</v>
      </c>
      <c r="BM148" s="547" t="s">
        <v>709</v>
      </c>
      <c r="BN148" s="547" t="s">
        <v>709</v>
      </c>
      <c r="BO148" s="547" t="s">
        <v>709</v>
      </c>
      <c r="BP148" s="547" t="s">
        <v>709</v>
      </c>
      <c r="BQ148" s="547" t="s">
        <v>709</v>
      </c>
      <c r="BR148" s="547" t="s">
        <v>709</v>
      </c>
      <c r="BS148" s="547" t="s">
        <v>709</v>
      </c>
      <c r="BT148" s="547" t="s">
        <v>745</v>
      </c>
      <c r="BU148" s="547" t="s">
        <v>709</v>
      </c>
      <c r="BV148" s="547" t="s">
        <v>745</v>
      </c>
      <c r="BW148" s="547" t="s">
        <v>709</v>
      </c>
      <c r="BX148" s="547" t="s">
        <v>745</v>
      </c>
      <c r="BY148" s="547" t="s">
        <v>745</v>
      </c>
      <c r="BZ148" s="547" t="s">
        <v>709</v>
      </c>
      <c r="CA148" s="483" t="s">
        <v>1146</v>
      </c>
      <c r="CB148" s="547">
        <v>148</v>
      </c>
      <c r="CC148" s="1481" t="b">
        <v>1</v>
      </c>
      <c r="CD148" t="str">
        <f>Table15[[#This Row],[Engineering Number]]&amp;Table15[[#This Row],[WO Number]]&amp;Table15[[#This Row],[Date Assigned to Designer]]&amp;Table15[[#This Row],[Date Completed]]</f>
        <v>MR14203204774396343999</v>
      </c>
    </row>
    <row r="149" spans="1:82" customFormat="1" ht="15" customHeight="1" x14ac:dyDescent="0.25">
      <c r="A149">
        <v>2020</v>
      </c>
      <c r="B149" s="8" t="s">
        <v>1205</v>
      </c>
      <c r="C149" s="8" t="s">
        <v>2587</v>
      </c>
      <c r="D149" s="8" t="s">
        <v>2588</v>
      </c>
      <c r="E149" s="8" t="s">
        <v>164</v>
      </c>
      <c r="F149" s="8" t="s">
        <v>738</v>
      </c>
      <c r="G149" s="8" t="s">
        <v>36</v>
      </c>
      <c r="H149" s="8" t="s">
        <v>59</v>
      </c>
      <c r="I149" s="642">
        <v>43963</v>
      </c>
      <c r="J149" s="18">
        <v>44005</v>
      </c>
      <c r="K149" s="642">
        <v>43999</v>
      </c>
      <c r="L149" s="16">
        <f>IF(ISTEXT(Table15[[#This Row],[Engineering Approved Design Date]]),Table15[[#This Row],[Date Completed]]-Table15[[#This Row],[Date Assigned to Designer]],Table15[[#This Row],[Engineering Approved Design Date]]-Table15[[#This Row],[Date Completed]])</f>
        <v>6</v>
      </c>
      <c r="M149" s="642"/>
      <c r="N149" s="642" t="s">
        <v>120</v>
      </c>
      <c r="O149" s="1025">
        <v>43999</v>
      </c>
      <c r="P149" s="21" t="s">
        <v>739</v>
      </c>
      <c r="Q149" s="340">
        <f>IF(Table15[[#This Row],[Shactee Effort]]="N",0,Table15[[#This Row],[Shactee Effort]])+IF(Table15[[#This Row],[3rd Party Effort]]="N",0,Table15[[#This Row],[3rd Party Effort]])+Table15[[#This Row],[KH Hourly Effort]]</f>
        <v>9316.75</v>
      </c>
      <c r="R149" s="1026" t="s">
        <v>1922</v>
      </c>
      <c r="S149" s="551">
        <f>400+256.75</f>
        <v>656.75</v>
      </c>
      <c r="T149" s="538" t="s">
        <v>709</v>
      </c>
      <c r="U149" s="28">
        <v>8660</v>
      </c>
      <c r="V149" s="857">
        <v>0</v>
      </c>
      <c r="W149" s="440"/>
      <c r="X149" s="551">
        <v>0</v>
      </c>
      <c r="Y149" s="551">
        <v>0</v>
      </c>
      <c r="Z149" s="551">
        <v>36991.82</v>
      </c>
      <c r="AA149" s="538">
        <f t="shared" si="0"/>
        <v>36991.82</v>
      </c>
      <c r="AB149" s="21"/>
      <c r="AC149" s="569"/>
      <c r="AD149" s="1149"/>
      <c r="AE149" s="569"/>
      <c r="AF149" s="569"/>
      <c r="AG149" s="569"/>
      <c r="AH149" s="536"/>
      <c r="AI149" s="1028"/>
      <c r="AJ149" s="1029"/>
      <c r="AK149" s="1029"/>
      <c r="AL149" s="1030"/>
      <c r="AM149" s="542" t="s">
        <v>709</v>
      </c>
      <c r="AN149" s="924"/>
      <c r="AO149" s="925"/>
      <c r="AP149" s="926"/>
      <c r="AQ149" s="926"/>
      <c r="AR149" s="926"/>
      <c r="AS149" s="926"/>
      <c r="AT149" s="926"/>
      <c r="AU149" s="926"/>
      <c r="AV149" s="926"/>
      <c r="AW149" s="927"/>
      <c r="AX149" s="926"/>
      <c r="AY149" s="1538" t="s">
        <v>29</v>
      </c>
      <c r="AZ149" s="1530"/>
      <c r="BA149" s="1031" t="s">
        <v>2589</v>
      </c>
      <c r="BB149" s="644" t="s">
        <v>2590</v>
      </c>
      <c r="BC149" s="544"/>
      <c r="BD149" s="544"/>
      <c r="BE149" s="544"/>
      <c r="BF149" s="544"/>
      <c r="BG149" s="544"/>
      <c r="BH149" s="741"/>
      <c r="BI149" s="547" t="s">
        <v>709</v>
      </c>
      <c r="BJ149" s="547" t="s">
        <v>709</v>
      </c>
      <c r="BK149" s="547" t="s">
        <v>709</v>
      </c>
      <c r="BL149" s="547" t="s">
        <v>709</v>
      </c>
      <c r="BM149" s="547" t="s">
        <v>709</v>
      </c>
      <c r="BN149" s="547" t="s">
        <v>709</v>
      </c>
      <c r="BO149" s="547" t="s">
        <v>709</v>
      </c>
      <c r="BP149" s="547" t="s">
        <v>709</v>
      </c>
      <c r="BQ149" s="547" t="s">
        <v>709</v>
      </c>
      <c r="BR149" s="547" t="s">
        <v>709</v>
      </c>
      <c r="BS149" s="547" t="s">
        <v>709</v>
      </c>
      <c r="BT149" s="547" t="s">
        <v>745</v>
      </c>
      <c r="BU149" s="547" t="s">
        <v>709</v>
      </c>
      <c r="BV149" s="547" t="s">
        <v>745</v>
      </c>
      <c r="BW149" s="547" t="s">
        <v>709</v>
      </c>
      <c r="BX149" s="547" t="s">
        <v>745</v>
      </c>
      <c r="BY149" s="547" t="s">
        <v>745</v>
      </c>
      <c r="BZ149" s="547" t="s">
        <v>709</v>
      </c>
      <c r="CA149" s="483" t="s">
        <v>1146</v>
      </c>
      <c r="CB149" s="547">
        <v>147</v>
      </c>
      <c r="CC149" s="1481" t="b">
        <v>1</v>
      </c>
      <c r="CD149" t="str">
        <f>Table15[[#This Row],[Engineering Number]]&amp;Table15[[#This Row],[WO Number]]&amp;Table15[[#This Row],[Date Assigned to Designer]]&amp;Table15[[#This Row],[Date Completed]]</f>
        <v>MR14213204784396343999</v>
      </c>
    </row>
    <row r="150" spans="1:82" customFormat="1" ht="15" customHeight="1" x14ac:dyDescent="0.25">
      <c r="A150">
        <v>2020</v>
      </c>
      <c r="B150" s="8" t="s">
        <v>4</v>
      </c>
      <c r="C150" s="8" t="s">
        <v>2576</v>
      </c>
      <c r="D150" s="656" t="s">
        <v>2577</v>
      </c>
      <c r="E150" s="8" t="s">
        <v>1920</v>
      </c>
      <c r="F150" s="8" t="s">
        <v>919</v>
      </c>
      <c r="G150" s="8" t="s">
        <v>1882</v>
      </c>
      <c r="H150" s="8" t="s">
        <v>59</v>
      </c>
      <c r="I150" s="642">
        <v>43937</v>
      </c>
      <c r="J150" s="18">
        <v>44004</v>
      </c>
      <c r="K150" s="642">
        <v>43999</v>
      </c>
      <c r="L150" s="16">
        <f>IF(ISTEXT(Table15[[#This Row],[Engineering Approved Design Date]]),Table15[[#This Row],[Date Completed]]-Table15[[#This Row],[Date Assigned to Designer]],Table15[[#This Row],[Engineering Approved Design Date]]-Table15[[#This Row],[Date Completed]])</f>
        <v>5</v>
      </c>
      <c r="M150" s="642"/>
      <c r="N150" s="642" t="s">
        <v>120</v>
      </c>
      <c r="O150" s="1025">
        <v>43999</v>
      </c>
      <c r="P150" s="21" t="s">
        <v>739</v>
      </c>
      <c r="Q150" s="340">
        <f>R150*AA150</f>
        <v>22508.446</v>
      </c>
      <c r="R150" s="1026">
        <v>0.1</v>
      </c>
      <c r="S150" s="551" t="s">
        <v>709</v>
      </c>
      <c r="T150" s="538" t="s">
        <v>709</v>
      </c>
      <c r="U150" s="28" t="s">
        <v>709</v>
      </c>
      <c r="V150" s="857">
        <v>954</v>
      </c>
      <c r="W150" s="440"/>
      <c r="X150" s="551">
        <v>131870.01999999999</v>
      </c>
      <c r="Y150" s="551" t="s">
        <v>115</v>
      </c>
      <c r="Z150" s="551">
        <v>93214.44</v>
      </c>
      <c r="AA150" s="538">
        <f t="shared" si="0"/>
        <v>225084.46</v>
      </c>
      <c r="AB150" s="21"/>
      <c r="AC150" s="569"/>
      <c r="AD150" s="1149"/>
      <c r="AE150" s="580"/>
      <c r="AF150" s="580"/>
      <c r="AG150" s="580"/>
      <c r="AH150" s="542"/>
      <c r="AI150" s="1028"/>
      <c r="AJ150" s="1029"/>
      <c r="AK150" s="1029"/>
      <c r="AL150" s="1030"/>
      <c r="AM150" s="1522" t="s">
        <v>116</v>
      </c>
      <c r="AN150" s="1523">
        <v>44497</v>
      </c>
      <c r="AO150" s="1524">
        <v>11042148</v>
      </c>
      <c r="AP150" s="1525">
        <v>142454.41</v>
      </c>
      <c r="AQ150" s="1525"/>
      <c r="AR150" s="1525">
        <v>34313.279999999999</v>
      </c>
      <c r="AS150" s="1525">
        <f>IF(Table15[[#This Row],[PCTS Approved]]="N",0,Table15[[#This Row],[Investment Amount (1'#'#'#'#'#)]]+Table15[[#This Row],[Retirement Amount (3'#'#'#'#'#)]])</f>
        <v>176767.69</v>
      </c>
      <c r="AT150" s="1525">
        <f>IF(Table15[[#This Row],[Approved Construction Cost]]=0,0,Table15[[#This Row],[Approved Construction Cost]]-Table15[[#This Row],[Construction Cost to Bill From]])</f>
        <v>-48316.76999999999</v>
      </c>
      <c r="AU150" s="1525">
        <f>IFERROR(Table15[[#This Row],[Difference in Construction Cost]]*Table15[[#This Row],[Rate]],Table15[[#This Row],[Difference in Construction Cost]]*0.085)</f>
        <v>-4831.6769999999988</v>
      </c>
      <c r="AV150" s="1525">
        <v>9688.7999999999993</v>
      </c>
      <c r="AW150" s="1526" t="s">
        <v>2578</v>
      </c>
      <c r="AX150" s="1525">
        <v>0</v>
      </c>
      <c r="AY150" s="1518">
        <v>45008</v>
      </c>
      <c r="AZ150" s="333"/>
      <c r="BA150" s="1031" t="s">
        <v>2579</v>
      </c>
      <c r="BB150" s="644" t="s">
        <v>2580</v>
      </c>
      <c r="BC150" s="544"/>
      <c r="BD150" s="544"/>
      <c r="BE150" s="544"/>
      <c r="BF150" s="544"/>
      <c r="BG150" s="544"/>
      <c r="BH150" s="741"/>
      <c r="BI150" s="547" t="s">
        <v>709</v>
      </c>
      <c r="BJ150" s="547" t="s">
        <v>709</v>
      </c>
      <c r="BK150" s="547" t="s">
        <v>709</v>
      </c>
      <c r="BL150" s="547" t="s">
        <v>116</v>
      </c>
      <c r="BM150" s="547" t="s">
        <v>709</v>
      </c>
      <c r="BN150" s="547" t="s">
        <v>709</v>
      </c>
      <c r="BO150" s="547" t="s">
        <v>709</v>
      </c>
      <c r="BP150" s="547" t="s">
        <v>709</v>
      </c>
      <c r="BQ150" s="547" t="s">
        <v>709</v>
      </c>
      <c r="BR150" s="547">
        <v>918</v>
      </c>
      <c r="BS150" s="547">
        <v>36</v>
      </c>
      <c r="BT150" s="547" t="s">
        <v>745</v>
      </c>
      <c r="BU150" s="547" t="s">
        <v>709</v>
      </c>
      <c r="BV150" s="547" t="s">
        <v>745</v>
      </c>
      <c r="BW150" s="547" t="s">
        <v>709</v>
      </c>
      <c r="BX150" s="547" t="s">
        <v>745</v>
      </c>
      <c r="BY150" s="547" t="s">
        <v>745</v>
      </c>
      <c r="BZ150" s="547" t="s">
        <v>709</v>
      </c>
      <c r="CA150" s="483"/>
      <c r="CB150" s="547">
        <v>146</v>
      </c>
      <c r="CC150" s="1481" t="b">
        <v>1</v>
      </c>
      <c r="CD150" t="str">
        <f>Table15[[#This Row],[Engineering Number]]&amp;Table15[[#This Row],[WO Number]]&amp;Table15[[#This Row],[Date Assigned to Designer]]&amp;Table15[[#This Row],[Date Completed]]</f>
        <v>SC174591407894393743999</v>
      </c>
    </row>
    <row r="151" spans="1:82" customFormat="1" ht="15" customHeight="1" x14ac:dyDescent="0.25">
      <c r="A151">
        <v>2020</v>
      </c>
      <c r="B151" s="8" t="s">
        <v>1205</v>
      </c>
      <c r="C151" s="8" t="s">
        <v>2592</v>
      </c>
      <c r="D151" s="8" t="s">
        <v>2593</v>
      </c>
      <c r="E151" s="8" t="s">
        <v>164</v>
      </c>
      <c r="F151" s="8" t="s">
        <v>738</v>
      </c>
      <c r="G151" s="8" t="s">
        <v>36</v>
      </c>
      <c r="H151" s="8" t="s">
        <v>59</v>
      </c>
      <c r="I151" s="642">
        <v>43963</v>
      </c>
      <c r="J151" s="18">
        <v>44005</v>
      </c>
      <c r="K151" s="642">
        <v>44000</v>
      </c>
      <c r="L151" s="16">
        <f>IF(ISTEXT(Table15[[#This Row],[Engineering Approved Design Date]]),Table15[[#This Row],[Date Completed]]-Table15[[#This Row],[Date Assigned to Designer]],Table15[[#This Row],[Engineering Approved Design Date]]-Table15[[#This Row],[Date Completed]])</f>
        <v>5</v>
      </c>
      <c r="M151" s="642"/>
      <c r="N151" s="642" t="s">
        <v>120</v>
      </c>
      <c r="O151" s="1025">
        <v>44000</v>
      </c>
      <c r="P151" s="21" t="s">
        <v>739</v>
      </c>
      <c r="Q151" s="340">
        <f>IF(Table15[[#This Row],[Shactee Effort]]="N",0,Table15[[#This Row],[Shactee Effort]])+IF(Table15[[#This Row],[3rd Party Effort]]="N",0,Table15[[#This Row],[3rd Party Effort]])+Table15[[#This Row],[KH Hourly Effort]]</f>
        <v>7852.5</v>
      </c>
      <c r="R151" s="1026" t="s">
        <v>1922</v>
      </c>
      <c r="S151" s="538">
        <f>400+302.5</f>
        <v>702.5</v>
      </c>
      <c r="T151" s="538" t="s">
        <v>709</v>
      </c>
      <c r="U151" s="28">
        <v>7150</v>
      </c>
      <c r="V151" s="858">
        <v>0</v>
      </c>
      <c r="W151" s="437"/>
      <c r="X151" s="538">
        <v>0</v>
      </c>
      <c r="Y151" s="551">
        <v>0</v>
      </c>
      <c r="Z151" s="538">
        <v>35126.97</v>
      </c>
      <c r="AA151" s="538">
        <f t="shared" si="0"/>
        <v>35126.97</v>
      </c>
      <c r="AB151" s="21"/>
      <c r="AC151" s="569"/>
      <c r="AD151" s="1149"/>
      <c r="AE151" s="569"/>
      <c r="AF151" s="569"/>
      <c r="AG151" s="569"/>
      <c r="AH151" s="536"/>
      <c r="AI151" s="1028"/>
      <c r="AJ151" s="1029"/>
      <c r="AK151" s="1029"/>
      <c r="AL151" s="1030"/>
      <c r="AM151" s="542" t="s">
        <v>709</v>
      </c>
      <c r="AN151" s="924"/>
      <c r="AO151" s="925"/>
      <c r="AP151" s="926"/>
      <c r="AQ151" s="926"/>
      <c r="AR151" s="926"/>
      <c r="AS151" s="926"/>
      <c r="AT151" s="926"/>
      <c r="AU151" s="926"/>
      <c r="AV151" s="926"/>
      <c r="AW151" s="927"/>
      <c r="AX151" s="926"/>
      <c r="AY151" s="1538" t="s">
        <v>29</v>
      </c>
      <c r="AZ151" s="1530"/>
      <c r="BA151" s="1031" t="s">
        <v>2594</v>
      </c>
      <c r="BB151" s="644" t="s">
        <v>2595</v>
      </c>
      <c r="BC151" s="544"/>
      <c r="BD151" s="544"/>
      <c r="BE151" s="544"/>
      <c r="BF151" s="544"/>
      <c r="BG151" s="544"/>
      <c r="BH151" s="741"/>
      <c r="BI151" s="547" t="s">
        <v>709</v>
      </c>
      <c r="BJ151" s="547" t="s">
        <v>709</v>
      </c>
      <c r="BK151" s="547" t="s">
        <v>709</v>
      </c>
      <c r="BL151" s="547" t="s">
        <v>709</v>
      </c>
      <c r="BM151" s="547" t="s">
        <v>709</v>
      </c>
      <c r="BN151" s="547" t="s">
        <v>709</v>
      </c>
      <c r="BO151" s="547" t="s">
        <v>709</v>
      </c>
      <c r="BP151" s="547" t="s">
        <v>709</v>
      </c>
      <c r="BQ151" s="547" t="s">
        <v>709</v>
      </c>
      <c r="BR151" s="547" t="s">
        <v>709</v>
      </c>
      <c r="BS151" s="547" t="s">
        <v>709</v>
      </c>
      <c r="BT151" s="547" t="s">
        <v>745</v>
      </c>
      <c r="BU151" s="547" t="s">
        <v>709</v>
      </c>
      <c r="BV151" s="547" t="s">
        <v>745</v>
      </c>
      <c r="BW151" s="547" t="s">
        <v>709</v>
      </c>
      <c r="BX151" s="547" t="s">
        <v>745</v>
      </c>
      <c r="BY151" s="547" t="s">
        <v>745</v>
      </c>
      <c r="BZ151" s="547" t="s">
        <v>709</v>
      </c>
      <c r="CA151" s="483" t="s">
        <v>1146</v>
      </c>
      <c r="CB151" s="547">
        <v>149</v>
      </c>
      <c r="CC151" s="1481" t="b">
        <v>1</v>
      </c>
      <c r="CD151" t="str">
        <f>Table15[[#This Row],[Engineering Number]]&amp;Table15[[#This Row],[WO Number]]&amp;Table15[[#This Row],[Date Assigned to Designer]]&amp;Table15[[#This Row],[Date Completed]]</f>
        <v>MR14193204764396344000</v>
      </c>
    </row>
    <row r="152" spans="1:82" customFormat="1" ht="15" customHeight="1" x14ac:dyDescent="0.25">
      <c r="A152">
        <v>2020</v>
      </c>
      <c r="B152" s="8" t="s">
        <v>4</v>
      </c>
      <c r="C152" s="8" t="s">
        <v>2597</v>
      </c>
      <c r="D152" s="8" t="s">
        <v>2598</v>
      </c>
      <c r="E152" s="8" t="s">
        <v>1763</v>
      </c>
      <c r="F152" s="8" t="s">
        <v>919</v>
      </c>
      <c r="G152" s="8" t="s">
        <v>36</v>
      </c>
      <c r="H152" s="8" t="s">
        <v>59</v>
      </c>
      <c r="I152" s="642">
        <v>43958</v>
      </c>
      <c r="J152" s="18">
        <v>44012</v>
      </c>
      <c r="K152" s="642">
        <v>44006</v>
      </c>
      <c r="L152" s="16">
        <f>IF(ISTEXT(Table15[[#This Row],[Engineering Approved Design Date]]),Table15[[#This Row],[Date Completed]]-Table15[[#This Row],[Date Assigned to Designer]],Table15[[#This Row],[Engineering Approved Design Date]]-Table15[[#This Row],[Date Completed]])</f>
        <v>6</v>
      </c>
      <c r="M152" s="642"/>
      <c r="N152" s="642" t="s">
        <v>120</v>
      </c>
      <c r="O152" s="1025">
        <v>44013</v>
      </c>
      <c r="P152" s="21" t="s">
        <v>739</v>
      </c>
      <c r="Q152" s="340">
        <f>R152*AA152</f>
        <v>20482.671000000002</v>
      </c>
      <c r="R152" s="1026">
        <v>0.1</v>
      </c>
      <c r="S152" s="551" t="s">
        <v>709</v>
      </c>
      <c r="T152" s="538" t="s">
        <v>709</v>
      </c>
      <c r="U152" s="28" t="s">
        <v>709</v>
      </c>
      <c r="V152" s="857">
        <v>1377</v>
      </c>
      <c r="W152" s="440"/>
      <c r="X152" s="551">
        <v>183630.45</v>
      </c>
      <c r="Y152" s="551">
        <v>0</v>
      </c>
      <c r="Z152" s="551">
        <v>21196.26</v>
      </c>
      <c r="AA152" s="538">
        <f t="shared" si="0"/>
        <v>204826.71000000002</v>
      </c>
      <c r="AB152" s="21"/>
      <c r="AC152" s="569"/>
      <c r="AD152" s="1149"/>
      <c r="AE152" s="580"/>
      <c r="AF152" s="580"/>
      <c r="AG152" s="580"/>
      <c r="AH152" s="542"/>
      <c r="AI152" s="1028"/>
      <c r="AJ152" s="1029"/>
      <c r="AK152" s="1029"/>
      <c r="AL152" s="1030"/>
      <c r="AM152" s="1522" t="s">
        <v>116</v>
      </c>
      <c r="AN152" s="1523">
        <v>44042</v>
      </c>
      <c r="AO152" s="1524">
        <v>189343</v>
      </c>
      <c r="AP152" s="1525">
        <v>187755.95</v>
      </c>
      <c r="AQ152" s="1525"/>
      <c r="AR152" s="1525">
        <v>23463.09</v>
      </c>
      <c r="AS152" s="1525">
        <f>IF(Table15[[#This Row],[PCTS Approved]]="N",0,Table15[[#This Row],[Investment Amount (1'#'#'#'#'#)]]+Table15[[#This Row],[Retirement Amount (3'#'#'#'#'#)]])</f>
        <v>211219.04</v>
      </c>
      <c r="AT152" s="1525">
        <f>IF(Table15[[#This Row],[Approved Construction Cost]]=0,0,Table15[[#This Row],[Approved Construction Cost]]-Table15[[#This Row],[Construction Cost to Bill From]])</f>
        <v>6392.3299999999872</v>
      </c>
      <c r="AU152" s="1525">
        <f>Table15[[#This Row],[Difference in Construction Cost]]*Table15[[#This Row],[Rate]]</f>
        <v>639.23299999999881</v>
      </c>
      <c r="AV152" s="1525" t="s">
        <v>709</v>
      </c>
      <c r="AW152" s="1526" t="s">
        <v>2599</v>
      </c>
      <c r="AX152" s="1525">
        <v>639.23299999999881</v>
      </c>
      <c r="AY152" s="1518">
        <v>44501</v>
      </c>
      <c r="AZ152" s="333"/>
      <c r="BA152" s="1031" t="s">
        <v>2600</v>
      </c>
      <c r="BB152" s="644" t="s">
        <v>2083</v>
      </c>
      <c r="BC152" s="544"/>
      <c r="BD152" s="544"/>
      <c r="BE152" s="544"/>
      <c r="BF152" s="544"/>
      <c r="BG152" s="544"/>
      <c r="BH152" s="741"/>
      <c r="BI152" s="547" t="s">
        <v>709</v>
      </c>
      <c r="BJ152" s="547" t="s">
        <v>709</v>
      </c>
      <c r="BK152" s="547" t="s">
        <v>709</v>
      </c>
      <c r="BL152" s="547" t="s">
        <v>116</v>
      </c>
      <c r="BM152" s="547" t="s">
        <v>709</v>
      </c>
      <c r="BN152" s="547" t="s">
        <v>709</v>
      </c>
      <c r="BO152" s="547" t="s">
        <v>709</v>
      </c>
      <c r="BP152" s="547" t="s">
        <v>709</v>
      </c>
      <c r="BQ152" s="547" t="s">
        <v>709</v>
      </c>
      <c r="BR152" s="547" t="s">
        <v>709</v>
      </c>
      <c r="BS152" s="547">
        <v>1377</v>
      </c>
      <c r="BT152" s="547" t="s">
        <v>709</v>
      </c>
      <c r="BU152" s="547" t="s">
        <v>709</v>
      </c>
      <c r="BV152" s="547" t="s">
        <v>709</v>
      </c>
      <c r="BW152" s="547" t="s">
        <v>709</v>
      </c>
      <c r="BX152" s="547" t="s">
        <v>709</v>
      </c>
      <c r="BY152" s="547" t="s">
        <v>709</v>
      </c>
      <c r="BZ152" s="547" t="s">
        <v>709</v>
      </c>
      <c r="CA152" s="483"/>
      <c r="CB152" s="547">
        <v>151</v>
      </c>
      <c r="CC152" s="1481" t="b">
        <v>1</v>
      </c>
      <c r="CD152" t="str">
        <f>Table15[[#This Row],[Engineering Number]]&amp;Table15[[#This Row],[WO Number]]&amp;Table15[[#This Row],[Date Assigned to Designer]]&amp;Table15[[#This Row],[Date Completed]]</f>
        <v>M112981204884395844006</v>
      </c>
    </row>
    <row r="153" spans="1:82" customFormat="1" ht="15" customHeight="1" x14ac:dyDescent="0.25">
      <c r="A153">
        <v>2020</v>
      </c>
      <c r="B153" s="8" t="s">
        <v>1205</v>
      </c>
      <c r="C153" s="8" t="s">
        <v>2605</v>
      </c>
      <c r="D153" s="8" t="s">
        <v>2606</v>
      </c>
      <c r="E153" s="8" t="s">
        <v>2607</v>
      </c>
      <c r="F153" s="8" t="s">
        <v>919</v>
      </c>
      <c r="G153" s="8" t="s">
        <v>36</v>
      </c>
      <c r="H153" s="8" t="s">
        <v>59</v>
      </c>
      <c r="I153" s="642">
        <v>43963</v>
      </c>
      <c r="J153" s="18">
        <v>44012</v>
      </c>
      <c r="K153" s="642">
        <v>44006</v>
      </c>
      <c r="L153" s="16">
        <f>IF(ISTEXT(Table15[[#This Row],[Engineering Approved Design Date]]),Table15[[#This Row],[Date Completed]]-Table15[[#This Row],[Date Assigned to Designer]],Table15[[#This Row],[Engineering Approved Design Date]]-Table15[[#This Row],[Date Completed]])</f>
        <v>6</v>
      </c>
      <c r="M153" s="642"/>
      <c r="N153" s="642" t="s">
        <v>120</v>
      </c>
      <c r="O153" s="1025">
        <v>44013</v>
      </c>
      <c r="P153" s="21" t="s">
        <v>739</v>
      </c>
      <c r="Q153" s="340">
        <f>Table15[[#This Row],[Shactee Effort]]+Table15[[#This Row],[KH Hourly Effort]]</f>
        <v>9014.5</v>
      </c>
      <c r="R153" s="1026" t="s">
        <v>1922</v>
      </c>
      <c r="S153" s="551">
        <f>400+242</f>
        <v>642</v>
      </c>
      <c r="T153" s="538" t="s">
        <v>709</v>
      </c>
      <c r="U153" s="28">
        <v>8372.5</v>
      </c>
      <c r="V153" s="857">
        <v>0</v>
      </c>
      <c r="W153" s="440"/>
      <c r="X153" s="551">
        <v>0</v>
      </c>
      <c r="Y153" s="551">
        <v>0</v>
      </c>
      <c r="Z153" s="551">
        <v>29376.99</v>
      </c>
      <c r="AA153" s="538">
        <f t="shared" si="0"/>
        <v>29376.99</v>
      </c>
      <c r="AB153" s="21"/>
      <c r="AC153" s="569"/>
      <c r="AD153" s="1149"/>
      <c r="AE153" s="569"/>
      <c r="AF153" s="569"/>
      <c r="AG153" s="569"/>
      <c r="AH153" s="536"/>
      <c r="AI153" s="1028"/>
      <c r="AJ153" s="1029"/>
      <c r="AK153" s="1029"/>
      <c r="AL153" s="1030"/>
      <c r="AM153" s="542" t="s">
        <v>709</v>
      </c>
      <c r="AN153" s="924"/>
      <c r="AO153" s="925"/>
      <c r="AP153" s="926"/>
      <c r="AQ153" s="926"/>
      <c r="AR153" s="926"/>
      <c r="AS153" s="926"/>
      <c r="AT153" s="926"/>
      <c r="AU153" s="926"/>
      <c r="AV153" s="926"/>
      <c r="AW153" s="927"/>
      <c r="AX153" s="926"/>
      <c r="AY153" s="1538" t="s">
        <v>29</v>
      </c>
      <c r="AZ153" s="1530"/>
      <c r="BA153" s="1031" t="s">
        <v>2608</v>
      </c>
      <c r="BB153" s="644" t="s">
        <v>2609</v>
      </c>
      <c r="BC153" s="544"/>
      <c r="BD153" s="544"/>
      <c r="BE153" s="544"/>
      <c r="BF153" s="544"/>
      <c r="BG153" s="544"/>
      <c r="BH153" s="741"/>
      <c r="BI153" s="547" t="s">
        <v>709</v>
      </c>
      <c r="BJ153" s="547" t="s">
        <v>709</v>
      </c>
      <c r="BK153" s="547" t="s">
        <v>709</v>
      </c>
      <c r="BL153" s="547" t="s">
        <v>709</v>
      </c>
      <c r="BM153" s="547" t="s">
        <v>709</v>
      </c>
      <c r="BN153" s="547" t="s">
        <v>709</v>
      </c>
      <c r="BO153" s="547" t="s">
        <v>709</v>
      </c>
      <c r="BP153" s="547" t="s">
        <v>709</v>
      </c>
      <c r="BQ153" s="547" t="s">
        <v>709</v>
      </c>
      <c r="BR153" s="547" t="s">
        <v>709</v>
      </c>
      <c r="BS153" s="547" t="s">
        <v>709</v>
      </c>
      <c r="BT153" s="547" t="s">
        <v>745</v>
      </c>
      <c r="BU153" s="547" t="s">
        <v>709</v>
      </c>
      <c r="BV153" s="547" t="s">
        <v>745</v>
      </c>
      <c r="BW153" s="547" t="s">
        <v>709</v>
      </c>
      <c r="BX153" s="547" t="s">
        <v>745</v>
      </c>
      <c r="BY153" s="547" t="s">
        <v>745</v>
      </c>
      <c r="BZ153" s="547" t="s">
        <v>709</v>
      </c>
      <c r="CA153" s="483" t="s">
        <v>1146</v>
      </c>
      <c r="CB153" s="547">
        <v>152</v>
      </c>
      <c r="CC153" s="1481" t="b">
        <v>1</v>
      </c>
      <c r="CD153" t="str">
        <f>Table15[[#This Row],[Engineering Number]]&amp;Table15[[#This Row],[WO Number]]&amp;Table15[[#This Row],[Date Assigned to Designer]]&amp;Table15[[#This Row],[Date Completed]]</f>
        <v>MR14183204814396344006</v>
      </c>
    </row>
    <row r="154" spans="1:82" customFormat="1" ht="15" customHeight="1" x14ac:dyDescent="0.25">
      <c r="A154">
        <v>2020</v>
      </c>
      <c r="B154" s="8" t="s">
        <v>4</v>
      </c>
      <c r="C154" s="8" t="s">
        <v>2602</v>
      </c>
      <c r="D154" s="656" t="s">
        <v>2603</v>
      </c>
      <c r="E154" s="8" t="s">
        <v>910</v>
      </c>
      <c r="F154" s="8" t="s">
        <v>738</v>
      </c>
      <c r="G154" s="8" t="s">
        <v>40</v>
      </c>
      <c r="H154" s="8" t="s">
        <v>59</v>
      </c>
      <c r="I154" s="642">
        <v>43909</v>
      </c>
      <c r="J154" s="18">
        <v>44008</v>
      </c>
      <c r="K154" s="642">
        <v>44006</v>
      </c>
      <c r="L154" s="16">
        <f>IF(ISTEXT(Table15[[#This Row],[Engineering Approved Design Date]]),Table15[[#This Row],[Date Completed]]-Table15[[#This Row],[Date Assigned to Designer]],Table15[[#This Row],[Engineering Approved Design Date]]-Table15[[#This Row],[Date Completed]])</f>
        <v>2</v>
      </c>
      <c r="M154" s="642"/>
      <c r="N154" s="642" t="s">
        <v>120</v>
      </c>
      <c r="O154" s="1025">
        <v>44013</v>
      </c>
      <c r="P154" s="21" t="s">
        <v>739</v>
      </c>
      <c r="Q154" s="340">
        <f>R154*AA154</f>
        <v>8621.0490000000009</v>
      </c>
      <c r="R154" s="1034">
        <v>0.1</v>
      </c>
      <c r="S154" s="551" t="s">
        <v>709</v>
      </c>
      <c r="T154" s="551" t="s">
        <v>709</v>
      </c>
      <c r="U154" s="87" t="s">
        <v>709</v>
      </c>
      <c r="V154" s="857">
        <v>556</v>
      </c>
      <c r="W154" s="440"/>
      <c r="X154" s="551">
        <v>80809.740000000005</v>
      </c>
      <c r="Y154" s="551">
        <v>0</v>
      </c>
      <c r="Z154" s="551">
        <v>5400.75</v>
      </c>
      <c r="AA154" s="551">
        <f t="shared" si="0"/>
        <v>86210.49</v>
      </c>
      <c r="AB154" s="341"/>
      <c r="AC154" s="568"/>
      <c r="AD154" s="1157"/>
      <c r="AE154" s="579"/>
      <c r="AF154" s="579"/>
      <c r="AG154" s="569"/>
      <c r="AH154" s="553"/>
      <c r="AI154" s="1036"/>
      <c r="AJ154" s="1037"/>
      <c r="AK154" s="1037"/>
      <c r="AL154" s="1038"/>
      <c r="AM154" s="542" t="s">
        <v>116</v>
      </c>
      <c r="AN154" s="1508">
        <v>44186</v>
      </c>
      <c r="AO154" s="925">
        <v>188192</v>
      </c>
      <c r="AP154" s="926">
        <v>80809.740000000005</v>
      </c>
      <c r="AQ154" s="926"/>
      <c r="AR154" s="926">
        <v>5400.6</v>
      </c>
      <c r="AS154" s="926">
        <f>IF(Table15[[#This Row],[PCTS Approved]]="N",0,Table15[[#This Row],[Investment Amount (1'#'#'#'#'#)]]+Table15[[#This Row],[Retirement Amount (3'#'#'#'#'#)]])</f>
        <v>86210.340000000011</v>
      </c>
      <c r="AT154" s="926">
        <f>IF(Table15[[#This Row],[Approved Construction Cost]]=0,0,Table15[[#This Row],[Approved Construction Cost]]-Table15[[#This Row],[Construction Cost to Bill From]])</f>
        <v>-0.14999999999417923</v>
      </c>
      <c r="AU154" s="926">
        <f>Table15[[#This Row],[Difference in Construction Cost]]*Table15[[#This Row],[Rate]]</f>
        <v>-1.4999999999417923E-2</v>
      </c>
      <c r="AV154" s="926" t="s">
        <v>709</v>
      </c>
      <c r="AW154" s="927" t="s">
        <v>115</v>
      </c>
      <c r="AX154" s="926"/>
      <c r="AY154" s="636" t="s">
        <v>1935</v>
      </c>
      <c r="AZ154" s="1531"/>
      <c r="BA154" s="1031" t="s">
        <v>2551</v>
      </c>
      <c r="BB154" s="644" t="s">
        <v>2372</v>
      </c>
      <c r="BC154" s="544"/>
      <c r="BD154" s="544"/>
      <c r="BE154" s="544"/>
      <c r="BF154" s="544"/>
      <c r="BG154" s="544"/>
      <c r="BH154" s="741"/>
      <c r="BI154" s="547" t="s">
        <v>709</v>
      </c>
      <c r="BJ154" s="547" t="s">
        <v>709</v>
      </c>
      <c r="BK154" s="547" t="s">
        <v>709</v>
      </c>
      <c r="BL154" s="547" t="s">
        <v>116</v>
      </c>
      <c r="BM154" s="547" t="s">
        <v>709</v>
      </c>
      <c r="BN154" s="547" t="s">
        <v>709</v>
      </c>
      <c r="BO154" s="547" t="s">
        <v>709</v>
      </c>
      <c r="BP154" s="547" t="s">
        <v>709</v>
      </c>
      <c r="BQ154" s="547" t="s">
        <v>709</v>
      </c>
      <c r="BR154" s="547" t="s">
        <v>709</v>
      </c>
      <c r="BS154" s="547">
        <v>556</v>
      </c>
      <c r="BT154" s="547" t="s">
        <v>709</v>
      </c>
      <c r="BU154" s="547" t="s">
        <v>709</v>
      </c>
      <c r="BV154" s="547" t="s">
        <v>709</v>
      </c>
      <c r="BW154" s="547" t="s">
        <v>709</v>
      </c>
      <c r="BX154" s="547" t="s">
        <v>709</v>
      </c>
      <c r="BY154" s="547" t="s">
        <v>709</v>
      </c>
      <c r="BZ154" s="547" t="s">
        <v>709</v>
      </c>
      <c r="CA154" s="483"/>
      <c r="CB154" s="547">
        <v>150</v>
      </c>
      <c r="CC154" s="1481" t="b">
        <v>1</v>
      </c>
      <c r="CD154" t="str">
        <f>Table15[[#This Row],[Engineering Number]]&amp;Table15[[#This Row],[WO Number]]&amp;Table15[[#This Row],[Date Assigned to Designer]]&amp;Table15[[#This Row],[Date Completed]]</f>
        <v>N13174-11292304390944006</v>
      </c>
    </row>
    <row r="155" spans="1:82" customFormat="1" ht="15" customHeight="1" x14ac:dyDescent="0.25">
      <c r="A155">
        <v>2020</v>
      </c>
      <c r="B155" s="8" t="s">
        <v>769</v>
      </c>
      <c r="C155" s="8" t="s">
        <v>75</v>
      </c>
      <c r="D155" s="656" t="s">
        <v>2615</v>
      </c>
      <c r="E155" s="8" t="s">
        <v>76</v>
      </c>
      <c r="F155" s="8" t="s">
        <v>738</v>
      </c>
      <c r="G155" s="8" t="s">
        <v>40</v>
      </c>
      <c r="H155" s="8" t="s">
        <v>59</v>
      </c>
      <c r="I155" s="642">
        <v>43955</v>
      </c>
      <c r="J155" s="18">
        <v>43997</v>
      </c>
      <c r="K155" s="642">
        <v>44007</v>
      </c>
      <c r="L155" s="16">
        <f>IF(ISTEXT(Table15[[#This Row],[Engineering Approved Design Date]]),Table15[[#This Row],[Date Completed]]-Table15[[#This Row],[Date Assigned to Designer]],Table15[[#This Row],[Engineering Approved Design Date]]-Table15[[#This Row],[Date Completed]])</f>
        <v>-10</v>
      </c>
      <c r="M155" s="642" t="s">
        <v>2616</v>
      </c>
      <c r="N155" s="642" t="s">
        <v>120</v>
      </c>
      <c r="O155" s="1025">
        <v>44013</v>
      </c>
      <c r="P155" s="21" t="s">
        <v>739</v>
      </c>
      <c r="Q155" s="340">
        <f>(Table15[[#This Row],[Construction Cost to Bill From]]*0.085)+7750</f>
        <v>23766.087599999999</v>
      </c>
      <c r="R155" s="1026" t="s">
        <v>1055</v>
      </c>
      <c r="S155" s="551" t="s">
        <v>709</v>
      </c>
      <c r="T155" s="538" t="s">
        <v>709</v>
      </c>
      <c r="U155" s="28">
        <v>22630</v>
      </c>
      <c r="V155" s="857">
        <v>37</v>
      </c>
      <c r="W155" s="440"/>
      <c r="X155" s="551">
        <v>173211.45</v>
      </c>
      <c r="Y155" s="551">
        <v>0</v>
      </c>
      <c r="Z155" s="551">
        <v>15213.11</v>
      </c>
      <c r="AA155" s="538">
        <f t="shared" si="0"/>
        <v>188424.56</v>
      </c>
      <c r="AB155" s="21"/>
      <c r="AC155" s="569"/>
      <c r="AD155" s="1149"/>
      <c r="AE155" s="580"/>
      <c r="AF155" s="580"/>
      <c r="AG155" s="580"/>
      <c r="AH155" s="542"/>
      <c r="AI155" s="1028"/>
      <c r="AJ155" s="1029"/>
      <c r="AK155" s="1029"/>
      <c r="AL155" s="1030"/>
      <c r="AM155" s="1522" t="s">
        <v>116</v>
      </c>
      <c r="AN155" s="1523">
        <v>44389</v>
      </c>
      <c r="AO155" s="1524">
        <v>185390</v>
      </c>
      <c r="AP155" s="1525">
        <v>281398.71000000002</v>
      </c>
      <c r="AQ155" s="1525"/>
      <c r="AR155" s="1525">
        <v>54707.06</v>
      </c>
      <c r="AS155" s="1525">
        <f>IF(Table15[[#This Row],[PCTS Approved]]="N",0,Table15[[#This Row],[Investment Amount (1'#'#'#'#'#)]]+Table15[[#This Row],[Retirement Amount (3'#'#'#'#'#)]])</f>
        <v>336105.77</v>
      </c>
      <c r="AT155" s="1525">
        <f>IF(Table15[[#This Row],[Approved Construction Cost]]=0,0,Table15[[#This Row],[Approved Construction Cost]]-Table15[[#This Row],[Construction Cost to Bill From]])</f>
        <v>147681.21000000002</v>
      </c>
      <c r="AU155" s="1525">
        <f>(Table15[[#This Row],[Difference in Construction Cost]]*0.085)</f>
        <v>12552.902850000002</v>
      </c>
      <c r="AV155" s="1525">
        <v>10765</v>
      </c>
      <c r="AW155" s="1526" t="s">
        <v>2617</v>
      </c>
      <c r="AX155" s="1525">
        <v>1787.9028500000022</v>
      </c>
      <c r="AY155" s="1518">
        <v>44501</v>
      </c>
      <c r="AZ155" s="1532"/>
      <c r="BA155" s="1031" t="s">
        <v>2618</v>
      </c>
      <c r="BB155" s="644" t="s">
        <v>2619</v>
      </c>
      <c r="BC155" s="544"/>
      <c r="BD155" s="544"/>
      <c r="BE155" s="544"/>
      <c r="BF155" s="544"/>
      <c r="BG155" s="544"/>
      <c r="BH155" s="741"/>
      <c r="BI155" s="547" t="s">
        <v>709</v>
      </c>
      <c r="BJ155" s="547" t="s">
        <v>709</v>
      </c>
      <c r="BK155" s="547" t="s">
        <v>116</v>
      </c>
      <c r="BL155" s="547" t="s">
        <v>116</v>
      </c>
      <c r="BM155" s="547" t="s">
        <v>709</v>
      </c>
      <c r="BN155" s="547" t="s">
        <v>709</v>
      </c>
      <c r="BO155" s="547" t="s">
        <v>709</v>
      </c>
      <c r="BP155" s="547" t="s">
        <v>709</v>
      </c>
      <c r="BQ155" s="547">
        <v>9</v>
      </c>
      <c r="BR155" s="547" t="s">
        <v>709</v>
      </c>
      <c r="BS155" s="547">
        <v>28</v>
      </c>
      <c r="BT155" s="547" t="s">
        <v>709</v>
      </c>
      <c r="BU155" s="547">
        <v>1</v>
      </c>
      <c r="BV155" s="547" t="s">
        <v>709</v>
      </c>
      <c r="BW155" s="547" t="s">
        <v>709</v>
      </c>
      <c r="BX155" s="547" t="s">
        <v>709</v>
      </c>
      <c r="BY155" s="547" t="s">
        <v>709</v>
      </c>
      <c r="BZ155" s="547" t="s">
        <v>709</v>
      </c>
      <c r="CA155" s="483" t="s">
        <v>769</v>
      </c>
      <c r="CB155" s="547">
        <v>153</v>
      </c>
      <c r="CC155" s="1481" t="b">
        <v>1</v>
      </c>
      <c r="CD155" t="str">
        <f>Table15[[#This Row],[Engineering Number]]&amp;Table15[[#This Row],[WO Number]]&amp;Table15[[#This Row],[Date Assigned to Designer]]&amp;Table15[[#This Row],[Date Completed]]</f>
        <v>RS6341011534395544007</v>
      </c>
    </row>
    <row r="156" spans="1:82" customFormat="1" ht="15" customHeight="1" x14ac:dyDescent="0.25">
      <c r="A156">
        <v>2020</v>
      </c>
      <c r="B156" s="8" t="s">
        <v>769</v>
      </c>
      <c r="C156" s="8" t="s">
        <v>92</v>
      </c>
      <c r="D156" s="656" t="s">
        <v>2621</v>
      </c>
      <c r="E156" s="8" t="s">
        <v>93</v>
      </c>
      <c r="F156" s="8" t="s">
        <v>738</v>
      </c>
      <c r="G156" s="8" t="s">
        <v>40</v>
      </c>
      <c r="H156" s="8" t="s">
        <v>59</v>
      </c>
      <c r="I156" s="642">
        <v>43955</v>
      </c>
      <c r="J156" s="18">
        <v>44008</v>
      </c>
      <c r="K156" s="642">
        <v>44007</v>
      </c>
      <c r="L156" s="16">
        <f>IF(ISTEXT(Table15[[#This Row],[Engineering Approved Design Date]]),Table15[[#This Row],[Date Completed]]-Table15[[#This Row],[Date Assigned to Designer]],Table15[[#This Row],[Engineering Approved Design Date]]-Table15[[#This Row],[Date Completed]])</f>
        <v>1</v>
      </c>
      <c r="M156" s="642"/>
      <c r="N156" s="642" t="s">
        <v>120</v>
      </c>
      <c r="O156" s="1025">
        <v>44013</v>
      </c>
      <c r="P156" s="21" t="s">
        <v>739</v>
      </c>
      <c r="Q156" s="340">
        <f>(Table15[[#This Row],[Construction Cost to Bill From]]*0.085)+7750</f>
        <v>20762.56925</v>
      </c>
      <c r="R156" s="1026" t="s">
        <v>1055</v>
      </c>
      <c r="S156" s="551" t="s">
        <v>709</v>
      </c>
      <c r="T156" s="538" t="s">
        <v>709</v>
      </c>
      <c r="U156" s="28">
        <v>21187.5</v>
      </c>
      <c r="V156" s="857">
        <v>70</v>
      </c>
      <c r="W156" s="440"/>
      <c r="X156" s="551">
        <v>133529.4</v>
      </c>
      <c r="Y156" s="551">
        <v>0</v>
      </c>
      <c r="Z156" s="551">
        <v>19559.650000000001</v>
      </c>
      <c r="AA156" s="538">
        <f t="shared" si="0"/>
        <v>153089.04999999999</v>
      </c>
      <c r="AB156" s="21"/>
      <c r="AC156" s="569"/>
      <c r="AD156" s="1149"/>
      <c r="AE156" s="580"/>
      <c r="AF156" s="580"/>
      <c r="AG156" s="580"/>
      <c r="AH156" s="542"/>
      <c r="AI156" s="1028"/>
      <c r="AJ156" s="1029"/>
      <c r="AK156" s="1029"/>
      <c r="AL156" s="1030"/>
      <c r="AM156" s="542" t="s">
        <v>116</v>
      </c>
      <c r="AN156" s="1508">
        <v>44105</v>
      </c>
      <c r="AO156" s="925">
        <v>188607</v>
      </c>
      <c r="AP156" s="926">
        <v>133529.4</v>
      </c>
      <c r="AQ156" s="926"/>
      <c r="AR156" s="926">
        <v>19559.650000000001</v>
      </c>
      <c r="AS156" s="926">
        <f>IF(Table15[[#This Row],[PCTS Approved]]="N",0,Table15[[#This Row],[Investment Amount (1'#'#'#'#'#)]]+Table15[[#This Row],[Retirement Amount (3'#'#'#'#'#)]])</f>
        <v>153089.04999999999</v>
      </c>
      <c r="AT156" s="926">
        <f>IF(Table15[[#This Row],[Approved Construction Cost]]=0,0,Table15[[#This Row],[Approved Construction Cost]]-Table15[[#This Row],[Construction Cost to Bill From]])</f>
        <v>0</v>
      </c>
      <c r="AU156" s="926">
        <f>(Table15[[#This Row],[Difference in Construction Cost]]*0.085)</f>
        <v>0</v>
      </c>
      <c r="AV156" s="926" t="s">
        <v>709</v>
      </c>
      <c r="AW156" s="927" t="s">
        <v>2622</v>
      </c>
      <c r="AX156" s="926"/>
      <c r="AY156" s="636" t="s">
        <v>1935</v>
      </c>
      <c r="AZ156" s="1531"/>
      <c r="BA156" s="1031" t="s">
        <v>2623</v>
      </c>
      <c r="BB156" s="644" t="s">
        <v>2624</v>
      </c>
      <c r="BC156" s="544"/>
      <c r="BD156" s="544"/>
      <c r="BE156" s="544"/>
      <c r="BF156" s="544"/>
      <c r="BG156" s="544"/>
      <c r="BH156" s="741"/>
      <c r="BI156" s="547" t="s">
        <v>709</v>
      </c>
      <c r="BJ156" s="547" t="s">
        <v>116</v>
      </c>
      <c r="BK156" s="547" t="s">
        <v>709</v>
      </c>
      <c r="BL156" s="547" t="s">
        <v>709</v>
      </c>
      <c r="BM156" s="547" t="s">
        <v>709</v>
      </c>
      <c r="BN156" s="547" t="s">
        <v>709</v>
      </c>
      <c r="BO156" s="547" t="s">
        <v>709</v>
      </c>
      <c r="BP156" s="547" t="s">
        <v>709</v>
      </c>
      <c r="BQ156" s="547" t="s">
        <v>709</v>
      </c>
      <c r="BR156" s="547" t="s">
        <v>709</v>
      </c>
      <c r="BS156" s="547" t="s">
        <v>116</v>
      </c>
      <c r="BT156" s="547" t="s">
        <v>709</v>
      </c>
      <c r="BU156" s="547">
        <v>1</v>
      </c>
      <c r="BV156" s="547" t="s">
        <v>709</v>
      </c>
      <c r="BW156" s="547" t="s">
        <v>709</v>
      </c>
      <c r="BX156" s="547" t="s">
        <v>116</v>
      </c>
      <c r="BY156" s="547" t="s">
        <v>709</v>
      </c>
      <c r="BZ156" s="547" t="s">
        <v>709</v>
      </c>
      <c r="CA156" s="483" t="s">
        <v>769</v>
      </c>
      <c r="CB156" s="547">
        <v>155</v>
      </c>
      <c r="CC156" s="1481" t="b">
        <v>1</v>
      </c>
      <c r="CD156" t="str">
        <f>Table15[[#This Row],[Engineering Number]]&amp;Table15[[#This Row],[WO Number]]&amp;Table15[[#This Row],[Date Assigned to Designer]]&amp;Table15[[#This Row],[Date Completed]]</f>
        <v>RS6411021174395544007</v>
      </c>
    </row>
    <row r="157" spans="1:82" customFormat="1" ht="15" customHeight="1" x14ac:dyDescent="0.25">
      <c r="A157">
        <v>2020</v>
      </c>
      <c r="B157" s="8" t="s">
        <v>769</v>
      </c>
      <c r="C157" s="8" t="s">
        <v>103</v>
      </c>
      <c r="D157" s="656" t="s">
        <v>2626</v>
      </c>
      <c r="E157" s="8" t="s">
        <v>104</v>
      </c>
      <c r="F157" s="8" t="s">
        <v>738</v>
      </c>
      <c r="G157" s="8" t="s">
        <v>40</v>
      </c>
      <c r="H157" s="8" t="s">
        <v>59</v>
      </c>
      <c r="I157" s="642">
        <v>43955</v>
      </c>
      <c r="J157" s="18">
        <v>43997</v>
      </c>
      <c r="K157" s="642">
        <v>44007</v>
      </c>
      <c r="L157" s="16">
        <f>IF(ISTEXT(Table15[[#This Row],[Engineering Approved Design Date]]),Table15[[#This Row],[Date Completed]]-Table15[[#This Row],[Date Assigned to Designer]],Table15[[#This Row],[Engineering Approved Design Date]]-Table15[[#This Row],[Date Completed]])</f>
        <v>-10</v>
      </c>
      <c r="M157" s="642" t="s">
        <v>2616</v>
      </c>
      <c r="N157" s="642" t="s">
        <v>120</v>
      </c>
      <c r="O157" s="1025">
        <v>44013</v>
      </c>
      <c r="P157" s="21" t="s">
        <v>739</v>
      </c>
      <c r="Q157" s="340">
        <f>(Table15[[#This Row],[Construction Cost to Bill From]]*0.085)+7750</f>
        <v>20524.221600000001</v>
      </c>
      <c r="R157" s="1026" t="s">
        <v>1055</v>
      </c>
      <c r="S157" s="551" t="s">
        <v>709</v>
      </c>
      <c r="T157" s="538" t="s">
        <v>709</v>
      </c>
      <c r="U157" s="28">
        <v>19247.5</v>
      </c>
      <c r="V157" s="857">
        <v>27</v>
      </c>
      <c r="W157" s="440"/>
      <c r="X157" s="551">
        <v>144552.60999999999</v>
      </c>
      <c r="Y157" s="551">
        <v>0</v>
      </c>
      <c r="Z157" s="551">
        <v>5732.35</v>
      </c>
      <c r="AA157" s="538">
        <f t="shared" si="0"/>
        <v>150284.96</v>
      </c>
      <c r="AB157" s="21"/>
      <c r="AC157" s="569"/>
      <c r="AD157" s="1149"/>
      <c r="AE157" s="580"/>
      <c r="AF157" s="580"/>
      <c r="AG157" s="580"/>
      <c r="AH157" s="542"/>
      <c r="AI157" s="1028"/>
      <c r="AJ157" s="1029"/>
      <c r="AK157" s="1029"/>
      <c r="AL157" s="1030"/>
      <c r="AM157" s="542" t="s">
        <v>116</v>
      </c>
      <c r="AN157" s="1508">
        <v>44103</v>
      </c>
      <c r="AO157" s="925">
        <v>185389</v>
      </c>
      <c r="AP157" s="926">
        <v>144552.60999999999</v>
      </c>
      <c r="AQ157" s="926"/>
      <c r="AR157" s="926">
        <v>5732.35</v>
      </c>
      <c r="AS157" s="926">
        <f>IF(Table15[[#This Row],[PCTS Approved]]="N",0,Table15[[#This Row],[Investment Amount (1'#'#'#'#'#)]]+Table15[[#This Row],[Retirement Amount (3'#'#'#'#'#)]])</f>
        <v>150284.96</v>
      </c>
      <c r="AT157" s="926">
        <f>IF(Table15[[#This Row],[Approved Construction Cost]]=0,0,Table15[[#This Row],[Approved Construction Cost]]-Table15[[#This Row],[Construction Cost to Bill From]])</f>
        <v>0</v>
      </c>
      <c r="AU157" s="926">
        <f>(Table15[[#This Row],[Difference in Construction Cost]]*0.085)</f>
        <v>0</v>
      </c>
      <c r="AV157" s="926" t="s">
        <v>709</v>
      </c>
      <c r="AW157" s="927"/>
      <c r="AX157" s="926"/>
      <c r="AY157" s="636" t="s">
        <v>1935</v>
      </c>
      <c r="AZ157" s="1531"/>
      <c r="BA157" s="1031" t="s">
        <v>2627</v>
      </c>
      <c r="BB157" s="644" t="s">
        <v>2628</v>
      </c>
      <c r="BC157" s="544"/>
      <c r="BD157" s="544"/>
      <c r="BE157" s="544"/>
      <c r="BF157" s="544"/>
      <c r="BG157" s="544"/>
      <c r="BH157" s="741"/>
      <c r="BI157" s="547" t="s">
        <v>709</v>
      </c>
      <c r="BJ157" s="547" t="s">
        <v>709</v>
      </c>
      <c r="BK157" s="547" t="s">
        <v>116</v>
      </c>
      <c r="BL157" s="547" t="s">
        <v>709</v>
      </c>
      <c r="BM157" s="547" t="s">
        <v>709</v>
      </c>
      <c r="BN157" s="547" t="s">
        <v>709</v>
      </c>
      <c r="BO157" s="547" t="s">
        <v>709</v>
      </c>
      <c r="BP157" s="547" t="s">
        <v>709</v>
      </c>
      <c r="BQ157" s="547" t="s">
        <v>709</v>
      </c>
      <c r="BR157" s="547">
        <v>27</v>
      </c>
      <c r="BS157" s="547" t="s">
        <v>709</v>
      </c>
      <c r="BT157" s="547" t="s">
        <v>709</v>
      </c>
      <c r="BU157" s="547" t="s">
        <v>709</v>
      </c>
      <c r="BV157" s="547" t="s">
        <v>709</v>
      </c>
      <c r="BW157" s="547" t="s">
        <v>709</v>
      </c>
      <c r="BX157" s="547">
        <v>1</v>
      </c>
      <c r="BY157" s="547" t="s">
        <v>709</v>
      </c>
      <c r="BZ157" s="547" t="s">
        <v>709</v>
      </c>
      <c r="CA157" s="483" t="s">
        <v>769</v>
      </c>
      <c r="CB157" s="547">
        <v>154</v>
      </c>
      <c r="CC157" s="1481" t="b">
        <v>1</v>
      </c>
      <c r="CD157" t="str">
        <f>Table15[[#This Row],[Engineering Number]]&amp;Table15[[#This Row],[WO Number]]&amp;Table15[[#This Row],[Date Assigned to Designer]]&amp;Table15[[#This Row],[Date Completed]]</f>
        <v>RS6461011544395544007</v>
      </c>
    </row>
    <row r="158" spans="1:82" customFormat="1" ht="15" customHeight="1" x14ac:dyDescent="0.25">
      <c r="A158">
        <v>2019</v>
      </c>
      <c r="B158" s="8" t="s">
        <v>4</v>
      </c>
      <c r="C158" s="8" t="s">
        <v>121</v>
      </c>
      <c r="D158" s="8" t="s">
        <v>2556</v>
      </c>
      <c r="E158" s="8" t="s">
        <v>122</v>
      </c>
      <c r="F158" s="8" t="s">
        <v>919</v>
      </c>
      <c r="G158" s="8" t="s">
        <v>36</v>
      </c>
      <c r="H158" s="8" t="s">
        <v>2611</v>
      </c>
      <c r="I158" s="642">
        <v>43497</v>
      </c>
      <c r="J158" s="18" t="s">
        <v>2612</v>
      </c>
      <c r="K158" s="642">
        <v>44007</v>
      </c>
      <c r="L158" s="16">
        <f>IF(ISTEXT(Table15[[#This Row],[Engineering Approved Design Date]]),Table15[[#This Row],[Date Completed]]-Table15[[#This Row],[Date Assigned to Designer]],Table15[[#This Row],[Engineering Approved Design Date]]-Table15[[#This Row],[Date Completed]])</f>
        <v>510</v>
      </c>
      <c r="M158" s="642" t="s">
        <v>2613</v>
      </c>
      <c r="N158" s="642" t="s">
        <v>120</v>
      </c>
      <c r="O158" s="1025">
        <v>44013</v>
      </c>
      <c r="P158" s="21" t="s">
        <v>739</v>
      </c>
      <c r="Q158" s="340">
        <f>Table15[[#This Row],[KH Hourly Effort]]</f>
        <v>1590</v>
      </c>
      <c r="R158" s="1026" t="s">
        <v>1922</v>
      </c>
      <c r="S158" s="551" t="s">
        <v>709</v>
      </c>
      <c r="T158" s="538" t="s">
        <v>709</v>
      </c>
      <c r="U158" s="28">
        <v>1590</v>
      </c>
      <c r="V158" s="857" t="s">
        <v>115</v>
      </c>
      <c r="W158" s="440"/>
      <c r="X158" s="551"/>
      <c r="Y158" s="551"/>
      <c r="Z158" s="551"/>
      <c r="AA158" s="538"/>
      <c r="AB158" s="21"/>
      <c r="AC158" s="569"/>
      <c r="AD158" s="1149"/>
      <c r="AE158" s="580"/>
      <c r="AF158" s="580"/>
      <c r="AG158" s="580"/>
      <c r="AH158" s="542"/>
      <c r="AI158" s="1028"/>
      <c r="AJ158" s="1029"/>
      <c r="AK158" s="1029"/>
      <c r="AL158" s="1030"/>
      <c r="AM158" s="542" t="s">
        <v>709</v>
      </c>
      <c r="AN158" s="924"/>
      <c r="AO158" s="925"/>
      <c r="AP158" s="926"/>
      <c r="AQ158" s="926"/>
      <c r="AR158" s="926"/>
      <c r="AS158" s="926"/>
      <c r="AT158" s="926"/>
      <c r="AU158" s="926"/>
      <c r="AV158" s="926"/>
      <c r="AW158" s="927"/>
      <c r="AX158" s="926"/>
      <c r="AY158" s="1538" t="s">
        <v>29</v>
      </c>
      <c r="AZ158" s="1530"/>
      <c r="BA158" s="1031"/>
      <c r="BB158" s="644"/>
      <c r="BC158" s="544"/>
      <c r="BD158" s="544"/>
      <c r="BE158" s="544"/>
      <c r="BF158" s="544"/>
      <c r="BG158" s="544"/>
      <c r="BH158" s="741"/>
      <c r="BI158" s="547" t="s">
        <v>709</v>
      </c>
      <c r="BJ158" s="547" t="s">
        <v>709</v>
      </c>
      <c r="BK158" s="547" t="s">
        <v>709</v>
      </c>
      <c r="BL158" s="547" t="s">
        <v>116</v>
      </c>
      <c r="BM158" s="547" t="s">
        <v>709</v>
      </c>
      <c r="BN158" s="547" t="s">
        <v>709</v>
      </c>
      <c r="BO158" s="547" t="s">
        <v>709</v>
      </c>
      <c r="BP158" s="547">
        <v>3618</v>
      </c>
      <c r="BQ158" s="547">
        <v>2805</v>
      </c>
      <c r="BR158" s="547">
        <v>12</v>
      </c>
      <c r="BS158" s="547">
        <v>291</v>
      </c>
      <c r="BT158" s="547" t="s">
        <v>745</v>
      </c>
      <c r="BU158" s="547" t="s">
        <v>709</v>
      </c>
      <c r="BV158" s="547" t="s">
        <v>745</v>
      </c>
      <c r="BW158" s="547" t="s">
        <v>709</v>
      </c>
      <c r="BX158" s="547" t="s">
        <v>745</v>
      </c>
      <c r="BY158" s="547" t="s">
        <v>745</v>
      </c>
      <c r="BZ158" s="547" t="s">
        <v>709</v>
      </c>
      <c r="CA158" s="483"/>
      <c r="CB158" s="547">
        <v>156</v>
      </c>
      <c r="CC158" s="1481" t="b">
        <v>1</v>
      </c>
      <c r="CD158" t="str">
        <f>Table15[[#This Row],[Engineering Number]]&amp;Table15[[#This Row],[WO Number]]&amp;Table15[[#This Row],[Date Assigned to Designer]]&amp;Table15[[#This Row],[Date Completed]]</f>
        <v>M106931203914349744007</v>
      </c>
    </row>
    <row r="159" spans="1:82" customFormat="1" ht="15" customHeight="1" x14ac:dyDescent="0.25">
      <c r="A159">
        <v>2020</v>
      </c>
      <c r="B159" s="8" t="s">
        <v>1205</v>
      </c>
      <c r="C159" s="8" t="s">
        <v>148</v>
      </c>
      <c r="D159" s="8" t="s">
        <v>2630</v>
      </c>
      <c r="E159" s="8" t="s">
        <v>149</v>
      </c>
      <c r="F159" s="8" t="s">
        <v>738</v>
      </c>
      <c r="G159" s="8" t="s">
        <v>36</v>
      </c>
      <c r="H159" s="8" t="s">
        <v>59</v>
      </c>
      <c r="I159" s="642">
        <v>43970</v>
      </c>
      <c r="J159" s="18">
        <v>44012</v>
      </c>
      <c r="K159" s="642">
        <v>44011</v>
      </c>
      <c r="L159" s="16">
        <f>IF(ISTEXT(Table15[[#This Row],[Engineering Approved Design Date]]),Table15[[#This Row],[Date Completed]]-Table15[[#This Row],[Date Assigned to Designer]],Table15[[#This Row],[Engineering Approved Design Date]]-Table15[[#This Row],[Date Completed]])</f>
        <v>1</v>
      </c>
      <c r="M159" s="642"/>
      <c r="N159" s="642" t="s">
        <v>120</v>
      </c>
      <c r="O159" s="1025">
        <v>44013</v>
      </c>
      <c r="P159" s="21" t="s">
        <v>739</v>
      </c>
      <c r="Q159" s="340">
        <f>Table15[[#This Row],[Shactee Effort]]+Table15[[#This Row],[KH Hourly Effort]]</f>
        <v>8422.25</v>
      </c>
      <c r="R159" s="1026" t="s">
        <v>1922</v>
      </c>
      <c r="S159" s="551">
        <f>400+272.25</f>
        <v>672.25</v>
      </c>
      <c r="T159" s="538" t="s">
        <v>709</v>
      </c>
      <c r="U159" s="28">
        <v>7750</v>
      </c>
      <c r="V159" s="857">
        <v>0</v>
      </c>
      <c r="W159" s="440"/>
      <c r="X159" s="551">
        <v>0</v>
      </c>
      <c r="Y159" s="551">
        <v>0</v>
      </c>
      <c r="Z159" s="551">
        <v>37218.79</v>
      </c>
      <c r="AA159" s="538">
        <f>X159+Z159</f>
        <v>37218.79</v>
      </c>
      <c r="AB159" s="21"/>
      <c r="AC159" s="569"/>
      <c r="AD159" s="1149"/>
      <c r="AE159" s="569"/>
      <c r="AF159" s="569"/>
      <c r="AG159" s="569"/>
      <c r="AH159" s="536"/>
      <c r="AI159" s="1028"/>
      <c r="AJ159" s="1029"/>
      <c r="AK159" s="1029"/>
      <c r="AL159" s="1030"/>
      <c r="AM159" s="542" t="s">
        <v>709</v>
      </c>
      <c r="AN159" s="924"/>
      <c r="AO159" s="925"/>
      <c r="AP159" s="926"/>
      <c r="AQ159" s="926"/>
      <c r="AR159" s="926"/>
      <c r="AS159" s="926"/>
      <c r="AT159" s="926"/>
      <c r="AU159" s="926"/>
      <c r="AV159" s="926"/>
      <c r="AW159" s="927"/>
      <c r="AX159" s="926"/>
      <c r="AY159" s="1538" t="s">
        <v>29</v>
      </c>
      <c r="AZ159" s="1530"/>
      <c r="BA159" s="1031" t="s">
        <v>2631</v>
      </c>
      <c r="BB159" s="644" t="s">
        <v>2632</v>
      </c>
      <c r="BC159" s="544"/>
      <c r="BD159" s="544"/>
      <c r="BE159" s="544"/>
      <c r="BF159" s="544"/>
      <c r="BG159" s="544"/>
      <c r="BH159" s="741"/>
      <c r="BI159" s="547" t="s">
        <v>709</v>
      </c>
      <c r="BJ159" s="547" t="s">
        <v>709</v>
      </c>
      <c r="BK159" s="547" t="s">
        <v>116</v>
      </c>
      <c r="BL159" s="547" t="s">
        <v>709</v>
      </c>
      <c r="BM159" s="547" t="s">
        <v>709</v>
      </c>
      <c r="BN159" s="547" t="s">
        <v>709</v>
      </c>
      <c r="BO159" s="547" t="s">
        <v>709</v>
      </c>
      <c r="BP159" s="547" t="s">
        <v>709</v>
      </c>
      <c r="BQ159" s="547" t="s">
        <v>709</v>
      </c>
      <c r="BR159" s="547" t="s">
        <v>116</v>
      </c>
      <c r="BS159" s="547" t="s">
        <v>709</v>
      </c>
      <c r="BT159" s="547" t="s">
        <v>709</v>
      </c>
      <c r="BU159" s="547" t="s">
        <v>709</v>
      </c>
      <c r="BV159" s="547" t="s">
        <v>709</v>
      </c>
      <c r="BW159" s="547" t="s">
        <v>709</v>
      </c>
      <c r="BX159" s="547" t="s">
        <v>709</v>
      </c>
      <c r="BY159" s="547" t="s">
        <v>709</v>
      </c>
      <c r="BZ159" s="547" t="s">
        <v>709</v>
      </c>
      <c r="CA159" s="483" t="s">
        <v>1146</v>
      </c>
      <c r="CB159" s="547">
        <v>158</v>
      </c>
      <c r="CC159" s="1481" t="b">
        <v>1</v>
      </c>
      <c r="CD159" t="str">
        <f>Table15[[#This Row],[Engineering Number]]&amp;Table15[[#This Row],[WO Number]]&amp;Table15[[#This Row],[Date Assigned to Designer]]&amp;Table15[[#This Row],[Date Completed]]</f>
        <v>MR14223204794397044011</v>
      </c>
    </row>
    <row r="160" spans="1:82" customFormat="1" ht="15" customHeight="1" x14ac:dyDescent="0.25">
      <c r="A160">
        <v>2020</v>
      </c>
      <c r="B160" s="8" t="s">
        <v>1205</v>
      </c>
      <c r="C160" s="8" t="s">
        <v>2634</v>
      </c>
      <c r="D160" s="8" t="s">
        <v>2635</v>
      </c>
      <c r="E160" s="8" t="s">
        <v>2636</v>
      </c>
      <c r="F160" s="8" t="s">
        <v>738</v>
      </c>
      <c r="G160" s="8" t="s">
        <v>36</v>
      </c>
      <c r="H160" s="8" t="s">
        <v>59</v>
      </c>
      <c r="I160" s="642">
        <v>43970</v>
      </c>
      <c r="J160" s="18">
        <v>44012</v>
      </c>
      <c r="K160" s="642">
        <v>44011</v>
      </c>
      <c r="L160" s="16">
        <f>IF(ISTEXT(Table15[[#This Row],[Engineering Approved Design Date]]),Table15[[#This Row],[Date Completed]]-Table15[[#This Row],[Date Assigned to Designer]],Table15[[#This Row],[Engineering Approved Design Date]]-Table15[[#This Row],[Date Completed]])</f>
        <v>1</v>
      </c>
      <c r="M160" s="642"/>
      <c r="N160" s="642" t="s">
        <v>120</v>
      </c>
      <c r="O160" s="1025">
        <v>44013</v>
      </c>
      <c r="P160" s="21" t="s">
        <v>739</v>
      </c>
      <c r="Q160" s="340">
        <f>Table15[[#This Row],[Shactee Effort]]+Table15[[#This Row],[KH Hourly Effort]]</f>
        <v>10062.25</v>
      </c>
      <c r="R160" s="1026" t="s">
        <v>1922</v>
      </c>
      <c r="S160" s="551">
        <f>400+272.25</f>
        <v>672.25</v>
      </c>
      <c r="T160" s="538" t="s">
        <v>709</v>
      </c>
      <c r="U160" s="28">
        <v>9390</v>
      </c>
      <c r="V160" s="857">
        <v>0</v>
      </c>
      <c r="W160" s="440"/>
      <c r="X160" s="551">
        <v>0</v>
      </c>
      <c r="Y160" s="551">
        <v>0</v>
      </c>
      <c r="Z160" s="551">
        <v>58185.04</v>
      </c>
      <c r="AA160" s="538">
        <f>X160+Z160</f>
        <v>58185.04</v>
      </c>
      <c r="AB160" s="21"/>
      <c r="AC160" s="569"/>
      <c r="AD160" s="1149"/>
      <c r="AE160" s="569"/>
      <c r="AF160" s="569"/>
      <c r="AG160" s="569"/>
      <c r="AH160" s="536"/>
      <c r="AI160" s="1028"/>
      <c r="AJ160" s="1029"/>
      <c r="AK160" s="1029"/>
      <c r="AL160" s="1030"/>
      <c r="AM160" s="542" t="s">
        <v>709</v>
      </c>
      <c r="AN160" s="924"/>
      <c r="AO160" s="925"/>
      <c r="AP160" s="926"/>
      <c r="AQ160" s="926"/>
      <c r="AR160" s="926"/>
      <c r="AS160" s="926"/>
      <c r="AT160" s="926"/>
      <c r="AU160" s="926"/>
      <c r="AV160" s="926"/>
      <c r="AW160" s="927"/>
      <c r="AX160" s="926"/>
      <c r="AY160" s="1538" t="s">
        <v>29</v>
      </c>
      <c r="AZ160" s="1530"/>
      <c r="BA160" s="1031" t="s">
        <v>2637</v>
      </c>
      <c r="BB160" s="644" t="s">
        <v>2638</v>
      </c>
      <c r="BC160" s="544"/>
      <c r="BD160" s="544"/>
      <c r="BE160" s="544"/>
      <c r="BF160" s="544"/>
      <c r="BG160" s="544"/>
      <c r="BH160" s="741"/>
      <c r="BI160" s="547" t="s">
        <v>709</v>
      </c>
      <c r="BJ160" s="547" t="s">
        <v>709</v>
      </c>
      <c r="BK160" s="547" t="s">
        <v>709</v>
      </c>
      <c r="BL160" s="547" t="s">
        <v>709</v>
      </c>
      <c r="BM160" s="547" t="s">
        <v>709</v>
      </c>
      <c r="BN160" s="547" t="s">
        <v>709</v>
      </c>
      <c r="BO160" s="547" t="s">
        <v>709</v>
      </c>
      <c r="BP160" s="547" t="s">
        <v>709</v>
      </c>
      <c r="BQ160" s="547" t="s">
        <v>709</v>
      </c>
      <c r="BR160" s="547" t="s">
        <v>709</v>
      </c>
      <c r="BS160" s="547" t="s">
        <v>709</v>
      </c>
      <c r="BT160" s="547" t="s">
        <v>745</v>
      </c>
      <c r="BU160" s="547" t="s">
        <v>709</v>
      </c>
      <c r="BV160" s="547" t="s">
        <v>745</v>
      </c>
      <c r="BW160" s="547" t="s">
        <v>709</v>
      </c>
      <c r="BX160" s="547" t="s">
        <v>745</v>
      </c>
      <c r="BY160" s="547" t="s">
        <v>745</v>
      </c>
      <c r="BZ160" s="547" t="s">
        <v>709</v>
      </c>
      <c r="CA160" s="483" t="s">
        <v>1146</v>
      </c>
      <c r="CB160" s="547">
        <v>157</v>
      </c>
      <c r="CC160" s="1481" t="b">
        <v>1</v>
      </c>
      <c r="CD160" t="str">
        <f>Table15[[#This Row],[Engineering Number]]&amp;Table15[[#This Row],[WO Number]]&amp;Table15[[#This Row],[Date Assigned to Designer]]&amp;Table15[[#This Row],[Date Completed]]</f>
        <v>MR14233204804397044011</v>
      </c>
    </row>
    <row r="161" spans="1:82" customFormat="1" ht="15" customHeight="1" x14ac:dyDescent="0.25">
      <c r="A161">
        <v>2020</v>
      </c>
      <c r="B161" s="8" t="s">
        <v>771</v>
      </c>
      <c r="C161" s="8" t="s">
        <v>2173</v>
      </c>
      <c r="D161" s="8" t="s">
        <v>2174</v>
      </c>
      <c r="E161" s="8" t="s">
        <v>1529</v>
      </c>
      <c r="F161" s="8" t="s">
        <v>325</v>
      </c>
      <c r="G161" s="8" t="s">
        <v>1896</v>
      </c>
      <c r="H161" s="8" t="s">
        <v>2051</v>
      </c>
      <c r="I161" s="642">
        <v>43664</v>
      </c>
      <c r="J161" s="18" t="s">
        <v>2052</v>
      </c>
      <c r="K161" s="642">
        <v>44012</v>
      </c>
      <c r="L161" s="16">
        <f>IF(ISTEXT(Table15[[#This Row],[Engineering Approved Design Date]]),Table15[[#This Row],[Date Completed]]-Table15[[#This Row],[Date Assigned to Designer]],Table15[[#This Row],[Engineering Approved Design Date]]-Table15[[#This Row],[Date Completed]])</f>
        <v>348</v>
      </c>
      <c r="M161" s="642" t="s">
        <v>2640</v>
      </c>
      <c r="N161" s="642" t="s">
        <v>120</v>
      </c>
      <c r="O161" s="1025">
        <v>44013</v>
      </c>
      <c r="P161" s="21" t="s">
        <v>120</v>
      </c>
      <c r="Q161" s="340">
        <f>Table15[[#This Row],[KH Hourly Effort]]</f>
        <v>790</v>
      </c>
      <c r="R161" s="1026" t="s">
        <v>1922</v>
      </c>
      <c r="S161" s="551" t="s">
        <v>709</v>
      </c>
      <c r="T161" s="538" t="s">
        <v>709</v>
      </c>
      <c r="U161" s="28">
        <v>790</v>
      </c>
      <c r="V161" s="857" t="s">
        <v>115</v>
      </c>
      <c r="W161" s="440"/>
      <c r="X161" s="551"/>
      <c r="Y161" s="551"/>
      <c r="Z161" s="551"/>
      <c r="AA161" s="538"/>
      <c r="AB161" s="21"/>
      <c r="AC161" s="569"/>
      <c r="AD161" s="1149"/>
      <c r="AE161" s="569"/>
      <c r="AF161" s="569"/>
      <c r="AG161" s="569"/>
      <c r="AH161" s="536"/>
      <c r="AI161" s="1028"/>
      <c r="AJ161" s="1029"/>
      <c r="AK161" s="1029"/>
      <c r="AL161" s="1030"/>
      <c r="AM161" s="542" t="s">
        <v>709</v>
      </c>
      <c r="AN161" s="924"/>
      <c r="AO161" s="925"/>
      <c r="AP161" s="926"/>
      <c r="AQ161" s="926"/>
      <c r="AR161" s="926"/>
      <c r="AS161" s="926"/>
      <c r="AT161" s="926"/>
      <c r="AU161" s="926"/>
      <c r="AV161" s="926"/>
      <c r="AW161" s="927"/>
      <c r="AX161" s="926"/>
      <c r="AY161" s="1538" t="s">
        <v>29</v>
      </c>
      <c r="AZ161" s="1530"/>
      <c r="BA161" s="1031">
        <v>4</v>
      </c>
      <c r="BB161" s="644"/>
      <c r="BC161" s="544"/>
      <c r="BD161" s="544"/>
      <c r="BE161" s="544"/>
      <c r="BF161" s="544"/>
      <c r="BG161" s="544"/>
      <c r="BH161" s="741"/>
      <c r="BI161" s="547" t="s">
        <v>709</v>
      </c>
      <c r="BJ161" s="547" t="s">
        <v>709</v>
      </c>
      <c r="BK161" s="547" t="s">
        <v>709</v>
      </c>
      <c r="BL161" s="547" t="s">
        <v>116</v>
      </c>
      <c r="BM161" s="547" t="s">
        <v>709</v>
      </c>
      <c r="BN161" s="547" t="s">
        <v>709</v>
      </c>
      <c r="BO161" s="547" t="s">
        <v>709</v>
      </c>
      <c r="BP161" s="547" t="s">
        <v>709</v>
      </c>
      <c r="BQ161" s="547" t="s">
        <v>709</v>
      </c>
      <c r="BR161" s="547" t="s">
        <v>709</v>
      </c>
      <c r="BS161" s="547">
        <v>2092</v>
      </c>
      <c r="BT161" s="547" t="s">
        <v>709</v>
      </c>
      <c r="BU161" s="547" t="s">
        <v>709</v>
      </c>
      <c r="BV161" s="547" t="s">
        <v>745</v>
      </c>
      <c r="BW161" s="547" t="s">
        <v>709</v>
      </c>
      <c r="BX161" s="547" t="s">
        <v>745</v>
      </c>
      <c r="BY161" s="547" t="s">
        <v>745</v>
      </c>
      <c r="BZ161" s="547" t="s">
        <v>709</v>
      </c>
      <c r="CA161" s="483"/>
      <c r="CB161" s="547">
        <v>159</v>
      </c>
      <c r="CC161" s="1481" t="b">
        <v>1</v>
      </c>
      <c r="CD161" t="str">
        <f>Table15[[#This Row],[Engineering Number]]&amp;Table15[[#This Row],[WO Number]]&amp;Table15[[#This Row],[Date Assigned to Designer]]&amp;Table15[[#This Row],[Date Completed]]</f>
        <v>MLP281203444366444012</v>
      </c>
    </row>
    <row r="162" spans="1:82" customFormat="1" ht="15" customHeight="1" x14ac:dyDescent="0.25">
      <c r="A162">
        <v>2020</v>
      </c>
      <c r="B162" s="8" t="s">
        <v>4</v>
      </c>
      <c r="C162" s="8" t="s">
        <v>117</v>
      </c>
      <c r="D162" s="8" t="s">
        <v>2466</v>
      </c>
      <c r="E162" s="8" t="s">
        <v>118</v>
      </c>
      <c r="F162" s="8" t="s">
        <v>325</v>
      </c>
      <c r="G162" s="8" t="s">
        <v>36</v>
      </c>
      <c r="H162" s="8" t="s">
        <v>2611</v>
      </c>
      <c r="I162" s="642">
        <v>43490</v>
      </c>
      <c r="J162" s="18" t="s">
        <v>2612</v>
      </c>
      <c r="K162" s="642">
        <v>44020</v>
      </c>
      <c r="L162" s="16">
        <f>IF(ISTEXT(Table15[[#This Row],[Engineering Approved Design Date]]),Table15[[#This Row],[Date Completed]]-Table15[[#This Row],[Date Assigned to Designer]],Table15[[#This Row],[Engineering Approved Design Date]]-Table15[[#This Row],[Date Completed]])</f>
        <v>530</v>
      </c>
      <c r="M162" s="642" t="s">
        <v>2613</v>
      </c>
      <c r="N162" s="642" t="s">
        <v>120</v>
      </c>
      <c r="O162" s="1025">
        <v>44020</v>
      </c>
      <c r="P162" s="21" t="s">
        <v>739</v>
      </c>
      <c r="Q162" s="340">
        <f>Table15[[#This Row],[KH Hourly Effort]]</f>
        <v>1040</v>
      </c>
      <c r="R162" s="1026" t="s">
        <v>1922</v>
      </c>
      <c r="S162" s="551" t="s">
        <v>709</v>
      </c>
      <c r="T162" s="538" t="s">
        <v>709</v>
      </c>
      <c r="U162" s="28">
        <v>1040</v>
      </c>
      <c r="V162" s="857" t="s">
        <v>115</v>
      </c>
      <c r="W162" s="440"/>
      <c r="X162" s="551"/>
      <c r="Y162" s="551"/>
      <c r="Z162" s="551"/>
      <c r="AA162" s="538"/>
      <c r="AB162" s="21"/>
      <c r="AC162" s="569"/>
      <c r="AD162" s="1149"/>
      <c r="AE162" s="580"/>
      <c r="AF162" s="580"/>
      <c r="AG162" s="580"/>
      <c r="AH162" s="542"/>
      <c r="AI162" s="1028"/>
      <c r="AJ162" s="1029"/>
      <c r="AK162" s="1029"/>
      <c r="AL162" s="1030"/>
      <c r="AM162" s="542" t="s">
        <v>709</v>
      </c>
      <c r="AN162" s="924"/>
      <c r="AO162" s="925"/>
      <c r="AP162" s="926"/>
      <c r="AQ162" s="926"/>
      <c r="AR162" s="926"/>
      <c r="AS162" s="926"/>
      <c r="AT162" s="926"/>
      <c r="AU162" s="926"/>
      <c r="AV162" s="926"/>
      <c r="AW162" s="927"/>
      <c r="AX162" s="926"/>
      <c r="AY162" s="1538" t="s">
        <v>29</v>
      </c>
      <c r="AZ162" s="1530"/>
      <c r="BA162" s="1031"/>
      <c r="BB162" s="644"/>
      <c r="BC162" s="544"/>
      <c r="BD162" s="544"/>
      <c r="BE162" s="544"/>
      <c r="BF162" s="544"/>
      <c r="BG162" s="544"/>
      <c r="BH162" s="741"/>
      <c r="BI162" s="547" t="s">
        <v>709</v>
      </c>
      <c r="BJ162" s="547" t="s">
        <v>709</v>
      </c>
      <c r="BK162" s="547" t="s">
        <v>116</v>
      </c>
      <c r="BL162" s="547" t="s">
        <v>709</v>
      </c>
      <c r="BM162" s="547" t="s">
        <v>709</v>
      </c>
      <c r="BN162" s="547" t="s">
        <v>709</v>
      </c>
      <c r="BO162" s="547" t="s">
        <v>709</v>
      </c>
      <c r="BP162" s="547" t="s">
        <v>116</v>
      </c>
      <c r="BQ162" s="547" t="s">
        <v>709</v>
      </c>
      <c r="BR162" s="547" t="s">
        <v>709</v>
      </c>
      <c r="BS162" s="547" t="s">
        <v>709</v>
      </c>
      <c r="BT162" s="547" t="s">
        <v>709</v>
      </c>
      <c r="BU162" s="547" t="s">
        <v>709</v>
      </c>
      <c r="BV162" s="547" t="s">
        <v>709</v>
      </c>
      <c r="BW162" s="547" t="s">
        <v>709</v>
      </c>
      <c r="BX162" s="547" t="s">
        <v>709</v>
      </c>
      <c r="BY162" s="547" t="s">
        <v>709</v>
      </c>
      <c r="BZ162" s="547" t="s">
        <v>709</v>
      </c>
      <c r="CA162" s="483"/>
      <c r="CB162" s="547">
        <v>160</v>
      </c>
      <c r="CC162" s="1481" t="b">
        <v>1</v>
      </c>
      <c r="CD162" t="str">
        <f>Table15[[#This Row],[Engineering Number]]&amp;Table15[[#This Row],[WO Number]]&amp;Table15[[#This Row],[Date Assigned to Designer]]&amp;Table15[[#This Row],[Date Completed]]</f>
        <v>N114491290794349044020</v>
      </c>
    </row>
    <row r="163" spans="1:82" customFormat="1" ht="15" customHeight="1" x14ac:dyDescent="0.25">
      <c r="A163">
        <v>2021</v>
      </c>
      <c r="B163" s="8" t="s">
        <v>771</v>
      </c>
      <c r="C163" s="8" t="s">
        <v>2654</v>
      </c>
      <c r="D163" s="8" t="s">
        <v>2655</v>
      </c>
      <c r="E163" s="8" t="s">
        <v>2656</v>
      </c>
      <c r="F163" s="8" t="s">
        <v>919</v>
      </c>
      <c r="G163" s="8" t="s">
        <v>1882</v>
      </c>
      <c r="H163" s="8" t="s">
        <v>59</v>
      </c>
      <c r="I163" s="642">
        <v>43937</v>
      </c>
      <c r="J163" s="18">
        <v>44028</v>
      </c>
      <c r="K163" s="642">
        <v>44027</v>
      </c>
      <c r="L163" s="16">
        <f>IF(ISTEXT(Table15[[#This Row],[Engineering Approved Design Date]]),Table15[[#This Row],[Date Completed]]-Table15[[#This Row],[Date Assigned to Designer]],Table15[[#This Row],[Engineering Approved Design Date]]-Table15[[#This Row],[Date Completed]])</f>
        <v>1</v>
      </c>
      <c r="M163" s="642"/>
      <c r="N163" s="642" t="s">
        <v>120</v>
      </c>
      <c r="O163" s="1025">
        <v>44027</v>
      </c>
      <c r="P163" s="21" t="s">
        <v>120</v>
      </c>
      <c r="Q163" s="340">
        <f>1.55*V163</f>
        <v>17561.5</v>
      </c>
      <c r="R163" s="1026" t="s">
        <v>2087</v>
      </c>
      <c r="S163" s="551" t="s">
        <v>709</v>
      </c>
      <c r="T163" s="538" t="s">
        <v>709</v>
      </c>
      <c r="U163" s="28" t="s">
        <v>709</v>
      </c>
      <c r="V163" s="857">
        <v>11330</v>
      </c>
      <c r="W163" s="440"/>
      <c r="X163" s="551">
        <v>1068820.6000000001</v>
      </c>
      <c r="Y163" s="551">
        <v>0</v>
      </c>
      <c r="Z163" s="551">
        <v>137462.82999999999</v>
      </c>
      <c r="AA163" s="538">
        <f t="shared" ref="AA163:AA169" si="1">X163+Z163</f>
        <v>1206283.4300000002</v>
      </c>
      <c r="AB163" s="21"/>
      <c r="AC163" s="569"/>
      <c r="AD163" s="1149"/>
      <c r="AE163" s="569"/>
      <c r="AF163" s="569"/>
      <c r="AG163" s="569"/>
      <c r="AH163" s="536"/>
      <c r="AI163" s="1028"/>
      <c r="AJ163" s="1029"/>
      <c r="AK163" s="1029"/>
      <c r="AL163" s="1030"/>
      <c r="AM163" s="542" t="s">
        <v>709</v>
      </c>
      <c r="AN163" s="924"/>
      <c r="AO163" s="925"/>
      <c r="AP163" s="926"/>
      <c r="AQ163" s="926"/>
      <c r="AR163" s="926"/>
      <c r="AS163" s="926"/>
      <c r="AT163" s="926"/>
      <c r="AU163" s="926"/>
      <c r="AV163" s="926"/>
      <c r="AW163" s="927"/>
      <c r="AX163" s="926"/>
      <c r="AY163" s="1538" t="s">
        <v>29</v>
      </c>
      <c r="AZ163" s="1530"/>
      <c r="BA163" s="1031" t="s">
        <v>2657</v>
      </c>
      <c r="BB163" s="644" t="s">
        <v>2658</v>
      </c>
      <c r="BC163" s="544" t="s">
        <v>709</v>
      </c>
      <c r="BD163" s="544" t="s">
        <v>882</v>
      </c>
      <c r="BE163" s="544" t="s">
        <v>2659</v>
      </c>
      <c r="BF163" s="544" t="s">
        <v>709</v>
      </c>
      <c r="BG163" s="544" t="s">
        <v>2660</v>
      </c>
      <c r="BH163" s="741"/>
      <c r="BI163" s="547" t="s">
        <v>709</v>
      </c>
      <c r="BJ163" s="547" t="s">
        <v>709</v>
      </c>
      <c r="BK163" s="547" t="s">
        <v>709</v>
      </c>
      <c r="BL163" s="547" t="s">
        <v>116</v>
      </c>
      <c r="BM163" s="547" t="s">
        <v>709</v>
      </c>
      <c r="BN163" s="547" t="s">
        <v>709</v>
      </c>
      <c r="BO163" s="547" t="s">
        <v>709</v>
      </c>
      <c r="BP163" s="547" t="s">
        <v>709</v>
      </c>
      <c r="BQ163" s="547" t="s">
        <v>709</v>
      </c>
      <c r="BR163" s="547">
        <v>3142</v>
      </c>
      <c r="BS163" s="547">
        <v>8188</v>
      </c>
      <c r="BT163" s="547" t="s">
        <v>709</v>
      </c>
      <c r="BU163" s="547" t="s">
        <v>709</v>
      </c>
      <c r="BV163" s="547" t="s">
        <v>709</v>
      </c>
      <c r="BW163" s="547" t="s">
        <v>709</v>
      </c>
      <c r="BX163" s="547" t="s">
        <v>709</v>
      </c>
      <c r="BY163" s="547" t="s">
        <v>709</v>
      </c>
      <c r="BZ163" s="547" t="s">
        <v>709</v>
      </c>
      <c r="CA163" s="483"/>
      <c r="CB163" s="547">
        <v>163</v>
      </c>
      <c r="CC163" s="1481" t="b">
        <v>1</v>
      </c>
      <c r="CD163" t="str">
        <f>Table15[[#This Row],[Engineering Number]]&amp;Table15[[#This Row],[WO Number]]&amp;Table15[[#This Row],[Date Assigned to Designer]]&amp;Table15[[#This Row],[Date Completed]]</f>
        <v>VW1601204734393744027</v>
      </c>
    </row>
    <row r="164" spans="1:82" customFormat="1" ht="15" customHeight="1" x14ac:dyDescent="0.25">
      <c r="A164">
        <v>2020</v>
      </c>
      <c r="B164" s="8" t="s">
        <v>4</v>
      </c>
      <c r="C164" s="8" t="s">
        <v>2643</v>
      </c>
      <c r="D164" s="656" t="s">
        <v>2644</v>
      </c>
      <c r="E164" s="8" t="s">
        <v>1136</v>
      </c>
      <c r="F164" s="8" t="s">
        <v>738</v>
      </c>
      <c r="G164" s="8" t="s">
        <v>36</v>
      </c>
      <c r="H164" s="8" t="s">
        <v>59</v>
      </c>
      <c r="I164" s="642">
        <v>43979</v>
      </c>
      <c r="J164" s="18">
        <v>44033</v>
      </c>
      <c r="K164" s="642">
        <v>44027</v>
      </c>
      <c r="L164" s="16">
        <f>IF(ISTEXT(Table15[[#This Row],[Engineering Approved Design Date]]),Table15[[#This Row],[Date Completed]]-Table15[[#This Row],[Date Assigned to Designer]],Table15[[#This Row],[Engineering Approved Design Date]]-Table15[[#This Row],[Date Completed]])</f>
        <v>6</v>
      </c>
      <c r="M164" s="642"/>
      <c r="N164" s="642" t="s">
        <v>120</v>
      </c>
      <c r="O164" s="1025">
        <v>44027</v>
      </c>
      <c r="P164" s="21" t="s">
        <v>739</v>
      </c>
      <c r="Q164" s="340">
        <f>R164*AA164</f>
        <v>25889.314000000002</v>
      </c>
      <c r="R164" s="1026">
        <v>0.1</v>
      </c>
      <c r="S164" s="551" t="s">
        <v>709</v>
      </c>
      <c r="T164" s="538" t="s">
        <v>709</v>
      </c>
      <c r="U164" s="28" t="s">
        <v>709</v>
      </c>
      <c r="V164" s="857">
        <v>1187</v>
      </c>
      <c r="W164" s="440"/>
      <c r="X164" s="551">
        <v>236752.19</v>
      </c>
      <c r="Y164" s="551">
        <v>0</v>
      </c>
      <c r="Z164" s="551">
        <v>22140.95</v>
      </c>
      <c r="AA164" s="538">
        <f t="shared" si="1"/>
        <v>258893.14</v>
      </c>
      <c r="AB164" s="21"/>
      <c r="AC164" s="569"/>
      <c r="AD164" s="1149"/>
      <c r="AE164" s="580"/>
      <c r="AF164" s="580"/>
      <c r="AG164" s="580"/>
      <c r="AH164" s="542"/>
      <c r="AI164" s="1028"/>
      <c r="AJ164" s="1029"/>
      <c r="AK164" s="1029"/>
      <c r="AL164" s="1030"/>
      <c r="AM164" s="1522" t="s">
        <v>116</v>
      </c>
      <c r="AN164" s="1523">
        <v>44343</v>
      </c>
      <c r="AO164" s="1524">
        <v>189119</v>
      </c>
      <c r="AP164" s="1525">
        <v>286738.06</v>
      </c>
      <c r="AQ164" s="1525"/>
      <c r="AR164" s="1525">
        <v>11692.14</v>
      </c>
      <c r="AS164" s="1525">
        <f>IF(Table15[[#This Row],[PCTS Approved]]="N",0,Table15[[#This Row],[Investment Amount (1'#'#'#'#'#)]]+Table15[[#This Row],[Retirement Amount (3'#'#'#'#'#)]])</f>
        <v>298430.2</v>
      </c>
      <c r="AT164" s="1525">
        <f>IF(Table15[[#This Row],[Approved Construction Cost]]=0,0,Table15[[#This Row],[Approved Construction Cost]]-Table15[[#This Row],[Construction Cost to Bill From]])</f>
        <v>39537.06</v>
      </c>
      <c r="AU164" s="1525">
        <f>Table15[[#This Row],[Difference in Construction Cost]]*Table15[[#This Row],[Rate]]</f>
        <v>3953.7060000000001</v>
      </c>
      <c r="AV164" s="1525" t="s">
        <v>709</v>
      </c>
      <c r="AW164" s="1526" t="s">
        <v>2645</v>
      </c>
      <c r="AX164" s="1525">
        <v>3953.7060000000001</v>
      </c>
      <c r="AY164" s="1518">
        <v>44501</v>
      </c>
      <c r="AZ164" s="333"/>
      <c r="BA164" s="1031" t="s">
        <v>2646</v>
      </c>
      <c r="BB164" s="644" t="s">
        <v>2647</v>
      </c>
      <c r="BC164" s="544"/>
      <c r="BD164" s="544"/>
      <c r="BE164" s="544"/>
      <c r="BF164" s="544"/>
      <c r="BG164" s="544"/>
      <c r="BH164" s="741"/>
      <c r="BI164" s="547" t="s">
        <v>709</v>
      </c>
      <c r="BJ164" s="547" t="s">
        <v>709</v>
      </c>
      <c r="BK164" s="547" t="s">
        <v>709</v>
      </c>
      <c r="BL164" s="547" t="s">
        <v>116</v>
      </c>
      <c r="BM164" s="547" t="s">
        <v>709</v>
      </c>
      <c r="BN164" s="547" t="s">
        <v>709</v>
      </c>
      <c r="BO164" s="547" t="s">
        <v>709</v>
      </c>
      <c r="BP164" s="547" t="s">
        <v>709</v>
      </c>
      <c r="BQ164" s="547">
        <v>231</v>
      </c>
      <c r="BR164" s="547" t="s">
        <v>709</v>
      </c>
      <c r="BS164" s="547">
        <v>956</v>
      </c>
      <c r="BT164" s="547" t="s">
        <v>709</v>
      </c>
      <c r="BU164" s="547" t="s">
        <v>709</v>
      </c>
      <c r="BV164" s="547" t="s">
        <v>709</v>
      </c>
      <c r="BW164" s="547" t="s">
        <v>709</v>
      </c>
      <c r="BX164" s="547" t="s">
        <v>709</v>
      </c>
      <c r="BY164" s="547" t="s">
        <v>709</v>
      </c>
      <c r="BZ164" s="547" t="s">
        <v>709</v>
      </c>
      <c r="CA164" s="483"/>
      <c r="CB164" s="547">
        <v>161</v>
      </c>
      <c r="CC164" s="1481" t="b">
        <v>1</v>
      </c>
      <c r="CD164" t="str">
        <f>Table15[[#This Row],[Engineering Number]]&amp;Table15[[#This Row],[WO Number]]&amp;Table15[[#This Row],[Date Assigned to Designer]]&amp;Table15[[#This Row],[Date Completed]]</f>
        <v>N124041292374397944027</v>
      </c>
    </row>
    <row r="165" spans="1:82" customFormat="1" ht="15" customHeight="1" x14ac:dyDescent="0.25">
      <c r="A165">
        <v>2020</v>
      </c>
      <c r="B165" s="8" t="s">
        <v>4</v>
      </c>
      <c r="C165" s="8" t="s">
        <v>2649</v>
      </c>
      <c r="D165" s="656" t="s">
        <v>2650</v>
      </c>
      <c r="E165" s="8" t="s">
        <v>87</v>
      </c>
      <c r="F165" s="8" t="s">
        <v>738</v>
      </c>
      <c r="G165" s="8" t="s">
        <v>2528</v>
      </c>
      <c r="H165" s="8" t="s">
        <v>59</v>
      </c>
      <c r="I165" s="642">
        <v>44001</v>
      </c>
      <c r="J165" s="18">
        <v>44032</v>
      </c>
      <c r="K165" s="642">
        <v>44027</v>
      </c>
      <c r="L165" s="16">
        <f>IF(ISTEXT(Table15[[#This Row],[Engineering Approved Design Date]]),Table15[[#This Row],[Date Completed]]-Table15[[#This Row],[Date Assigned to Designer]],Table15[[#This Row],[Engineering Approved Design Date]]-Table15[[#This Row],[Date Completed]])</f>
        <v>5</v>
      </c>
      <c r="M165" s="642"/>
      <c r="N165" s="642" t="s">
        <v>120</v>
      </c>
      <c r="O165" s="1025">
        <v>44027</v>
      </c>
      <c r="P165" s="21" t="s">
        <v>739</v>
      </c>
      <c r="Q165" s="340">
        <f>R165*AA165</f>
        <v>5265.5519999999997</v>
      </c>
      <c r="R165" s="1026">
        <v>0.1</v>
      </c>
      <c r="S165" s="551" t="s">
        <v>709</v>
      </c>
      <c r="T165" s="538" t="s">
        <v>709</v>
      </c>
      <c r="U165" s="28" t="s">
        <v>709</v>
      </c>
      <c r="V165" s="857">
        <v>362</v>
      </c>
      <c r="W165" s="440"/>
      <c r="X165" s="551">
        <v>48457.09</v>
      </c>
      <c r="Y165" s="551">
        <v>0</v>
      </c>
      <c r="Z165" s="551">
        <v>4198.43</v>
      </c>
      <c r="AA165" s="538">
        <f t="shared" si="1"/>
        <v>52655.519999999997</v>
      </c>
      <c r="AB165" s="21"/>
      <c r="AC165" s="569"/>
      <c r="AD165" s="1149"/>
      <c r="AE165" s="580"/>
      <c r="AF165" s="580"/>
      <c r="AG165" s="569"/>
      <c r="AH165" s="542"/>
      <c r="AI165" s="1028"/>
      <c r="AJ165" s="1029"/>
      <c r="AK165" s="1029"/>
      <c r="AL165" s="1030"/>
      <c r="AM165" s="1522" t="s">
        <v>116</v>
      </c>
      <c r="AN165" s="1523">
        <v>45524</v>
      </c>
      <c r="AO165" s="1524">
        <v>11088378</v>
      </c>
      <c r="AP165" s="1525">
        <v>4555170.26</v>
      </c>
      <c r="AQ165" s="1525"/>
      <c r="AR165" s="1525">
        <v>1402767.51</v>
      </c>
      <c r="AS165" s="1525">
        <f>IF(Table15[[#This Row],[PCTS Approved]]="N",0,Table15[[#This Row],[Investment Amount (1'#'#'#'#'#)]]+Table15[[#This Row],[Retirement Amount (3'#'#'#'#'#)]])</f>
        <v>5957937.7699999996</v>
      </c>
      <c r="AT165" s="1525">
        <f>IF(Table15[[#This Row],[Approved Construction Cost]]=0,0,Table15[[#This Row],[Approved Construction Cost]]-Table15[[#This Row],[Construction Cost to Bill From]])</f>
        <v>5905282.25</v>
      </c>
      <c r="AU165" s="1525">
        <f>Table15[[#This Row],[Difference in Construction Cost]]*Table15[[#This Row],[Rate]]</f>
        <v>590528.22499999998</v>
      </c>
      <c r="AV165" s="1525" t="s">
        <v>709</v>
      </c>
      <c r="AW165" s="1526" t="s">
        <v>2651</v>
      </c>
      <c r="AX165" s="1525">
        <v>396.43200000000002</v>
      </c>
      <c r="AY165" s="1518">
        <v>44501</v>
      </c>
      <c r="AZ165" s="333"/>
      <c r="BA165" s="1031" t="s">
        <v>2652</v>
      </c>
      <c r="BB165" s="644"/>
      <c r="BC165" s="544"/>
      <c r="BD165" s="544"/>
      <c r="BE165" s="544"/>
      <c r="BF165" s="544"/>
      <c r="BG165" s="544"/>
      <c r="BH165" s="741"/>
      <c r="BI165" s="547" t="s">
        <v>709</v>
      </c>
      <c r="BJ165" s="547" t="s">
        <v>709</v>
      </c>
      <c r="BK165" s="547" t="s">
        <v>709</v>
      </c>
      <c r="BL165" s="547" t="s">
        <v>116</v>
      </c>
      <c r="BM165" s="547" t="s">
        <v>709</v>
      </c>
      <c r="BN165" s="547" t="s">
        <v>709</v>
      </c>
      <c r="BO165" s="547" t="s">
        <v>709</v>
      </c>
      <c r="BP165" s="547" t="s">
        <v>709</v>
      </c>
      <c r="BQ165" s="547" t="s">
        <v>709</v>
      </c>
      <c r="BR165" s="547" t="s">
        <v>709</v>
      </c>
      <c r="BS165" s="547">
        <v>362</v>
      </c>
      <c r="BT165" s="547" t="s">
        <v>709</v>
      </c>
      <c r="BU165" s="547" t="s">
        <v>709</v>
      </c>
      <c r="BV165" s="547" t="s">
        <v>709</v>
      </c>
      <c r="BW165" s="547" t="s">
        <v>709</v>
      </c>
      <c r="BX165" s="547" t="s">
        <v>709</v>
      </c>
      <c r="BY165" s="547" t="s">
        <v>709</v>
      </c>
      <c r="BZ165" s="547" t="s">
        <v>709</v>
      </c>
      <c r="CA165" s="483"/>
      <c r="CB165" s="547">
        <v>162</v>
      </c>
      <c r="CC165" s="1481" t="b">
        <v>1</v>
      </c>
      <c r="CD165" t="str">
        <f>Table15[[#This Row],[Engineering Number]]&amp;Table15[[#This Row],[WO Number]]&amp;Table15[[#This Row],[Date Assigned to Designer]]&amp;Table15[[#This Row],[Date Completed]]</f>
        <v>N136641292384400144027</v>
      </c>
    </row>
    <row r="166" spans="1:82" customFormat="1" ht="15" customHeight="1" x14ac:dyDescent="0.25">
      <c r="A166">
        <v>2020</v>
      </c>
      <c r="B166" s="8" t="s">
        <v>4</v>
      </c>
      <c r="C166" s="8" t="s">
        <v>2662</v>
      </c>
      <c r="D166" s="656" t="s">
        <v>2663</v>
      </c>
      <c r="E166" s="8" t="s">
        <v>2664</v>
      </c>
      <c r="F166" s="8" t="s">
        <v>738</v>
      </c>
      <c r="G166" s="8" t="s">
        <v>36</v>
      </c>
      <c r="H166" s="8" t="s">
        <v>59</v>
      </c>
      <c r="I166" s="642">
        <v>43930</v>
      </c>
      <c r="J166" s="18">
        <v>44029</v>
      </c>
      <c r="K166" s="642">
        <v>44028</v>
      </c>
      <c r="L166" s="16">
        <f>IF(ISTEXT(Table15[[#This Row],[Engineering Approved Design Date]]),Table15[[#This Row],[Date Completed]]-Table15[[#This Row],[Date Assigned to Designer]],Table15[[#This Row],[Engineering Approved Design Date]]-Table15[[#This Row],[Date Completed]])</f>
        <v>1</v>
      </c>
      <c r="M166" s="642"/>
      <c r="N166" s="642" t="s">
        <v>120</v>
      </c>
      <c r="O166" s="1025">
        <v>44028</v>
      </c>
      <c r="P166" s="21" t="s">
        <v>739</v>
      </c>
      <c r="Q166" s="340">
        <f>R166*AA166</f>
        <v>94640.945000000007</v>
      </c>
      <c r="R166" s="1026">
        <v>0.1</v>
      </c>
      <c r="S166" s="551" t="s">
        <v>709</v>
      </c>
      <c r="T166" s="538" t="s">
        <v>709</v>
      </c>
      <c r="U166" s="28" t="s">
        <v>709</v>
      </c>
      <c r="V166" s="857">
        <v>4432</v>
      </c>
      <c r="W166" s="440"/>
      <c r="X166" s="551">
        <v>888637.96</v>
      </c>
      <c r="Y166" s="551">
        <v>0</v>
      </c>
      <c r="Z166" s="551">
        <v>57771.49</v>
      </c>
      <c r="AA166" s="538">
        <f t="shared" si="1"/>
        <v>946409.45</v>
      </c>
      <c r="AB166" s="21"/>
      <c r="AC166" s="569"/>
      <c r="AD166" s="1149"/>
      <c r="AE166" s="580"/>
      <c r="AF166" s="580"/>
      <c r="AG166" s="580"/>
      <c r="AH166" s="542"/>
      <c r="AI166" s="1028"/>
      <c r="AJ166" s="1029"/>
      <c r="AK166" s="1029"/>
      <c r="AL166" s="1030"/>
      <c r="AM166" s="542" t="s">
        <v>116</v>
      </c>
      <c r="AN166" s="1508">
        <v>44127</v>
      </c>
      <c r="AO166" s="925">
        <v>185792</v>
      </c>
      <c r="AP166" s="926">
        <v>888637.96</v>
      </c>
      <c r="AQ166" s="926"/>
      <c r="AR166" s="926">
        <v>57771.49</v>
      </c>
      <c r="AS166" s="926">
        <f>IF(Table15[[#This Row],[PCTS Approved]]="N",0,Table15[[#This Row],[Investment Amount (1'#'#'#'#'#)]]+Table15[[#This Row],[Retirement Amount (3'#'#'#'#'#)]])</f>
        <v>946409.45</v>
      </c>
      <c r="AT166" s="926">
        <f>IF(Table15[[#This Row],[Approved Construction Cost]]=0,0,Table15[[#This Row],[Approved Construction Cost]]-Table15[[#This Row],[Construction Cost to Bill From]])</f>
        <v>0</v>
      </c>
      <c r="AU166" s="926">
        <f>Table15[[#This Row],[Difference in Construction Cost]]*Table15[[#This Row],[Rate]]</f>
        <v>0</v>
      </c>
      <c r="AV166" s="926" t="s">
        <v>709</v>
      </c>
      <c r="AW166" s="927"/>
      <c r="AX166" s="926"/>
      <c r="AY166" s="636" t="s">
        <v>1935</v>
      </c>
      <c r="AZ166" s="1531"/>
      <c r="BA166" s="1031" t="s">
        <v>2665</v>
      </c>
      <c r="BB166" s="644" t="s">
        <v>2666</v>
      </c>
      <c r="BC166" s="544"/>
      <c r="BD166" s="544"/>
      <c r="BE166" s="544"/>
      <c r="BF166" s="544"/>
      <c r="BG166" s="544"/>
      <c r="BH166" s="741"/>
      <c r="BI166" s="547" t="s">
        <v>709</v>
      </c>
      <c r="BJ166" s="547" t="s">
        <v>709</v>
      </c>
      <c r="BK166" s="547" t="s">
        <v>709</v>
      </c>
      <c r="BL166" s="547" t="s">
        <v>116</v>
      </c>
      <c r="BM166" s="547" t="s">
        <v>709</v>
      </c>
      <c r="BN166" s="547" t="s">
        <v>709</v>
      </c>
      <c r="BO166" s="547" t="s">
        <v>709</v>
      </c>
      <c r="BP166" s="547" t="s">
        <v>709</v>
      </c>
      <c r="BQ166" s="547" t="s">
        <v>709</v>
      </c>
      <c r="BR166" s="547">
        <v>2089</v>
      </c>
      <c r="BS166" s="547">
        <v>2343</v>
      </c>
      <c r="BT166" s="547" t="s">
        <v>709</v>
      </c>
      <c r="BU166" s="547" t="s">
        <v>709</v>
      </c>
      <c r="BV166" s="547" t="s">
        <v>709</v>
      </c>
      <c r="BW166" s="547" t="s">
        <v>709</v>
      </c>
      <c r="BX166" s="547" t="s">
        <v>709</v>
      </c>
      <c r="BY166" s="547" t="s">
        <v>709</v>
      </c>
      <c r="BZ166" s="547" t="s">
        <v>709</v>
      </c>
      <c r="CA166" s="483"/>
      <c r="CB166" s="547">
        <v>164</v>
      </c>
      <c r="CC166" s="1481" t="b">
        <v>1</v>
      </c>
      <c r="CD166" t="str">
        <f>Table15[[#This Row],[Engineering Number]]&amp;Table15[[#This Row],[WO Number]]&amp;Table15[[#This Row],[Date Assigned to Designer]]&amp;Table15[[#This Row],[Date Completed]]</f>
        <v>N129831292184393044028</v>
      </c>
    </row>
    <row r="167" spans="1:82" customFormat="1" ht="15" customHeight="1" x14ac:dyDescent="0.25">
      <c r="A167">
        <v>2020</v>
      </c>
      <c r="B167" s="8" t="s">
        <v>4</v>
      </c>
      <c r="C167" s="8" t="s">
        <v>2668</v>
      </c>
      <c r="D167" s="656" t="s">
        <v>2669</v>
      </c>
      <c r="E167" s="8" t="s">
        <v>910</v>
      </c>
      <c r="F167" s="8" t="s">
        <v>738</v>
      </c>
      <c r="G167" s="8" t="s">
        <v>40</v>
      </c>
      <c r="H167" s="8" t="s">
        <v>59</v>
      </c>
      <c r="I167" s="642">
        <v>43909</v>
      </c>
      <c r="J167" s="18">
        <v>44078</v>
      </c>
      <c r="K167" s="642">
        <v>44029</v>
      </c>
      <c r="L167" s="16">
        <f>IF(ISTEXT(Table15[[#This Row],[Engineering Approved Design Date]]),Table15[[#This Row],[Date Completed]]-Table15[[#This Row],[Date Assigned to Designer]],Table15[[#This Row],[Engineering Approved Design Date]]-Table15[[#This Row],[Date Completed]])</f>
        <v>49</v>
      </c>
      <c r="M167" s="642"/>
      <c r="N167" s="642" t="s">
        <v>120</v>
      </c>
      <c r="O167" s="1025">
        <v>44029</v>
      </c>
      <c r="P167" s="21" t="s">
        <v>739</v>
      </c>
      <c r="Q167" s="340">
        <f>R167*AA167</f>
        <v>7178.8029999999999</v>
      </c>
      <c r="R167" s="1026">
        <v>0.1</v>
      </c>
      <c r="S167" s="551" t="s">
        <v>709</v>
      </c>
      <c r="T167" s="538" t="s">
        <v>709</v>
      </c>
      <c r="U167" s="28" t="s">
        <v>709</v>
      </c>
      <c r="V167" s="857">
        <v>405</v>
      </c>
      <c r="W167" s="440"/>
      <c r="X167" s="551">
        <v>63365.15</v>
      </c>
      <c r="Y167" s="551">
        <v>0</v>
      </c>
      <c r="Z167" s="551">
        <v>8422.8799999999992</v>
      </c>
      <c r="AA167" s="538">
        <f t="shared" si="1"/>
        <v>71788.03</v>
      </c>
      <c r="AB167" s="21"/>
      <c r="AC167" s="569"/>
      <c r="AD167" s="1149"/>
      <c r="AE167" s="580"/>
      <c r="AF167" s="580"/>
      <c r="AG167" s="569"/>
      <c r="AH167" s="542"/>
      <c r="AI167" s="1028"/>
      <c r="AJ167" s="1029"/>
      <c r="AK167" s="1029"/>
      <c r="AL167" s="1030"/>
      <c r="AM167" s="542" t="s">
        <v>116</v>
      </c>
      <c r="AN167" s="1508">
        <v>44216</v>
      </c>
      <c r="AO167" s="925">
        <v>188165</v>
      </c>
      <c r="AP167" s="926">
        <v>63382.55</v>
      </c>
      <c r="AQ167" s="926"/>
      <c r="AR167" s="926">
        <v>8422.8799999999992</v>
      </c>
      <c r="AS167" s="926">
        <f>IF(Table15[[#This Row],[PCTS Approved]]="N",0,Table15[[#This Row],[Investment Amount (1'#'#'#'#'#)]]+Table15[[#This Row],[Retirement Amount (3'#'#'#'#'#)]])</f>
        <v>71805.430000000008</v>
      </c>
      <c r="AT167" s="926">
        <f>IF(Table15[[#This Row],[Approved Construction Cost]]=0,0,Table15[[#This Row],[Approved Construction Cost]]-Table15[[#This Row],[Construction Cost to Bill From]])</f>
        <v>17.400000000008731</v>
      </c>
      <c r="AU167" s="926">
        <f>Table15[[#This Row],[Difference in Construction Cost]]*Table15[[#This Row],[Rate]]</f>
        <v>1.7400000000008733</v>
      </c>
      <c r="AV167" s="926" t="s">
        <v>709</v>
      </c>
      <c r="AW167" s="927" t="s">
        <v>115</v>
      </c>
      <c r="AX167" s="926"/>
      <c r="AY167" s="636" t="s">
        <v>1935</v>
      </c>
      <c r="AZ167" s="1531"/>
      <c r="BA167" s="1031" t="s">
        <v>2551</v>
      </c>
      <c r="BB167" s="644" t="s">
        <v>2372</v>
      </c>
      <c r="BC167" s="544"/>
      <c r="BD167" s="544"/>
      <c r="BE167" s="544"/>
      <c r="BF167" s="544"/>
      <c r="BG167" s="544"/>
      <c r="BH167" s="741"/>
      <c r="BI167" s="547" t="s">
        <v>709</v>
      </c>
      <c r="BJ167" s="547" t="s">
        <v>709</v>
      </c>
      <c r="BK167" s="547" t="s">
        <v>709</v>
      </c>
      <c r="BL167" s="547" t="s">
        <v>116</v>
      </c>
      <c r="BM167" s="547" t="s">
        <v>709</v>
      </c>
      <c r="BN167" s="547" t="s">
        <v>709</v>
      </c>
      <c r="BO167" s="547" t="s">
        <v>709</v>
      </c>
      <c r="BP167" s="547" t="s">
        <v>709</v>
      </c>
      <c r="BQ167" s="547" t="s">
        <v>709</v>
      </c>
      <c r="BR167" s="547" t="s">
        <v>709</v>
      </c>
      <c r="BS167" s="547">
        <v>405</v>
      </c>
      <c r="BT167" s="547" t="s">
        <v>709</v>
      </c>
      <c r="BU167" s="547" t="s">
        <v>709</v>
      </c>
      <c r="BV167" s="547" t="s">
        <v>709</v>
      </c>
      <c r="BW167" s="547" t="s">
        <v>709</v>
      </c>
      <c r="BX167" s="547" t="s">
        <v>709</v>
      </c>
      <c r="BY167" s="547" t="s">
        <v>709</v>
      </c>
      <c r="BZ167" s="547" t="s">
        <v>709</v>
      </c>
      <c r="CA167" s="483"/>
      <c r="CB167" s="547">
        <v>165</v>
      </c>
      <c r="CC167" s="1481" t="b">
        <v>1</v>
      </c>
      <c r="CD167" t="str">
        <f>Table15[[#This Row],[Engineering Number]]&amp;Table15[[#This Row],[WO Number]]&amp;Table15[[#This Row],[Date Assigned to Designer]]&amp;Table15[[#This Row],[Date Completed]]</f>
        <v>N13174-21292364390944029</v>
      </c>
    </row>
    <row r="168" spans="1:82" customFormat="1" ht="15" customHeight="1" x14ac:dyDescent="0.25">
      <c r="A168">
        <v>2021</v>
      </c>
      <c r="B168" s="8" t="s">
        <v>771</v>
      </c>
      <c r="C168" s="8" t="s">
        <v>2671</v>
      </c>
      <c r="D168" s="656" t="s">
        <v>2672</v>
      </c>
      <c r="E168" s="8" t="s">
        <v>818</v>
      </c>
      <c r="F168" s="8" t="s">
        <v>919</v>
      </c>
      <c r="G168" s="8" t="s">
        <v>1882</v>
      </c>
      <c r="H168" s="8" t="s">
        <v>59</v>
      </c>
      <c r="I168" s="642">
        <v>43963</v>
      </c>
      <c r="J168" s="18">
        <v>44055</v>
      </c>
      <c r="K168" s="642">
        <v>44039</v>
      </c>
      <c r="L168" s="16">
        <f>IF(ISTEXT(Table15[[#This Row],[Engineering Approved Design Date]]),Table15[[#This Row],[Date Completed]]-Table15[[#This Row],[Date Assigned to Designer]],Table15[[#This Row],[Engineering Approved Design Date]]-Table15[[#This Row],[Date Completed]])</f>
        <v>16</v>
      </c>
      <c r="M168" s="642"/>
      <c r="N168" s="642" t="s">
        <v>120</v>
      </c>
      <c r="O168" s="1025">
        <v>44039</v>
      </c>
      <c r="P168" s="21" t="s">
        <v>120</v>
      </c>
      <c r="Q168" s="340">
        <f>R168*AA168</f>
        <v>52160.808600000004</v>
      </c>
      <c r="R168" s="1026">
        <v>0.09</v>
      </c>
      <c r="S168" s="538" t="s">
        <v>709</v>
      </c>
      <c r="T168" s="538" t="s">
        <v>709</v>
      </c>
      <c r="U168" s="28" t="s">
        <v>709</v>
      </c>
      <c r="V168" s="858">
        <v>3534</v>
      </c>
      <c r="W168" s="437"/>
      <c r="X168" s="538">
        <v>529338.85</v>
      </c>
      <c r="Y168" s="551">
        <v>0</v>
      </c>
      <c r="Z168" s="538">
        <v>50225.69</v>
      </c>
      <c r="AA168" s="538">
        <f t="shared" si="1"/>
        <v>579564.54</v>
      </c>
      <c r="AB168" s="21"/>
      <c r="AC168" s="569"/>
      <c r="AD168" s="1149"/>
      <c r="AE168" s="569"/>
      <c r="AF168" s="569"/>
      <c r="AG168" s="569"/>
      <c r="AH168" s="536"/>
      <c r="AI168" s="1028"/>
      <c r="AJ168" s="1029"/>
      <c r="AK168" s="1029"/>
      <c r="AL168" s="1030"/>
      <c r="AM168" s="1522" t="s">
        <v>116</v>
      </c>
      <c r="AN168" s="1523">
        <v>44222</v>
      </c>
      <c r="AO168" s="1524">
        <v>187020</v>
      </c>
      <c r="AP168" s="1525">
        <v>784270.66</v>
      </c>
      <c r="AQ168" s="1525"/>
      <c r="AR168" s="1525">
        <v>50307.81</v>
      </c>
      <c r="AS168" s="1525">
        <f>IF(Table15[[#This Row],[PCTS Approved]]="N",0,Table15[[#This Row],[Investment Amount (1'#'#'#'#'#)]]+Table15[[#This Row],[Retirement Amount (3'#'#'#'#'#)]])</f>
        <v>834578.47</v>
      </c>
      <c r="AT168" s="1525">
        <f>IF(Table15[[#This Row],[Approved Construction Cost]]=0,0,Table15[[#This Row],[Approved Construction Cost]]-Table15[[#This Row],[Construction Cost to Bill From]])</f>
        <v>255013.92999999993</v>
      </c>
      <c r="AU168" s="1525">
        <f>Table15[[#This Row],[Difference in Construction Cost]]*Table15[[#This Row],[Rate]]</f>
        <v>22951.253699999994</v>
      </c>
      <c r="AV168" s="1525">
        <v>2352.5</v>
      </c>
      <c r="AW168" s="1526" t="s">
        <v>2673</v>
      </c>
      <c r="AX168" s="1525">
        <v>22951.253699999994</v>
      </c>
      <c r="AY168" s="1518">
        <v>44501</v>
      </c>
      <c r="AZ168" s="333"/>
      <c r="BA168" s="1031"/>
      <c r="BB168" s="644" t="s">
        <v>2674</v>
      </c>
      <c r="BC168" s="544" t="s">
        <v>709</v>
      </c>
      <c r="BD168" s="544" t="s">
        <v>709</v>
      </c>
      <c r="BE168" s="544" t="s">
        <v>822</v>
      </c>
      <c r="BF168" s="544" t="s">
        <v>709</v>
      </c>
      <c r="BG168" s="544" t="s">
        <v>709</v>
      </c>
      <c r="BH168" s="741"/>
      <c r="BI168" s="547" t="s">
        <v>709</v>
      </c>
      <c r="BJ168" s="547" t="s">
        <v>709</v>
      </c>
      <c r="BK168" s="547" t="s">
        <v>709</v>
      </c>
      <c r="BL168" s="547" t="s">
        <v>116</v>
      </c>
      <c r="BM168" s="547" t="s">
        <v>709</v>
      </c>
      <c r="BN168" s="547" t="s">
        <v>709</v>
      </c>
      <c r="BO168" s="547" t="s">
        <v>709</v>
      </c>
      <c r="BP168" s="547" t="s">
        <v>709</v>
      </c>
      <c r="BQ168" s="547" t="s">
        <v>709</v>
      </c>
      <c r="BR168" s="547">
        <v>2174</v>
      </c>
      <c r="BS168" s="547">
        <v>1360</v>
      </c>
      <c r="BT168" s="547" t="s">
        <v>745</v>
      </c>
      <c r="BU168" s="547" t="s">
        <v>709</v>
      </c>
      <c r="BV168" s="547" t="s">
        <v>745</v>
      </c>
      <c r="BW168" s="547" t="s">
        <v>709</v>
      </c>
      <c r="BX168" s="547" t="s">
        <v>745</v>
      </c>
      <c r="BY168" s="547" t="s">
        <v>745</v>
      </c>
      <c r="BZ168" s="547" t="s">
        <v>709</v>
      </c>
      <c r="CA168" s="483"/>
      <c r="CB168" s="547">
        <v>166</v>
      </c>
      <c r="CC168" s="1481" t="b">
        <v>1</v>
      </c>
      <c r="CD168" t="str">
        <f>Table15[[#This Row],[Engineering Number]]&amp;Table15[[#This Row],[WO Number]]&amp;Table15[[#This Row],[Date Assigned to Designer]]&amp;Table15[[#This Row],[Date Completed]]</f>
        <v>BS1991356744396344039</v>
      </c>
    </row>
    <row r="169" spans="1:82" customFormat="1" ht="15" customHeight="1" x14ac:dyDescent="0.25">
      <c r="A169">
        <v>2020</v>
      </c>
      <c r="B169" s="8" t="s">
        <v>769</v>
      </c>
      <c r="C169" s="8" t="s">
        <v>96</v>
      </c>
      <c r="D169" s="656" t="s">
        <v>2676</v>
      </c>
      <c r="E169" s="8" t="s">
        <v>97</v>
      </c>
      <c r="F169" s="8" t="s">
        <v>738</v>
      </c>
      <c r="G169" s="8" t="s">
        <v>40</v>
      </c>
      <c r="H169" s="8" t="s">
        <v>59</v>
      </c>
      <c r="I169" s="642">
        <v>43955</v>
      </c>
      <c r="J169" s="18">
        <v>44041</v>
      </c>
      <c r="K169" s="642">
        <v>44040</v>
      </c>
      <c r="L169" s="16">
        <f>IF(ISTEXT(Table15[[#This Row],[Engineering Approved Design Date]]),Table15[[#This Row],[Date Completed]]-Table15[[#This Row],[Date Assigned to Designer]],Table15[[#This Row],[Engineering Approved Design Date]]-Table15[[#This Row],[Date Completed]])</f>
        <v>1</v>
      </c>
      <c r="M169" s="642"/>
      <c r="N169" s="642" t="s">
        <v>120</v>
      </c>
      <c r="O169" s="1025">
        <v>44044</v>
      </c>
      <c r="P169" s="21" t="s">
        <v>739</v>
      </c>
      <c r="Q169" s="340">
        <f>(Table15[[#This Row],[Construction Cost to Bill From]]*0.085)+7750</f>
        <v>20415.091800000002</v>
      </c>
      <c r="R169" s="1026" t="s">
        <v>1055</v>
      </c>
      <c r="S169" s="551" t="s">
        <v>709</v>
      </c>
      <c r="T169" s="551" t="s">
        <v>709</v>
      </c>
      <c r="U169" s="87" t="s">
        <v>709</v>
      </c>
      <c r="V169" s="857">
        <v>175</v>
      </c>
      <c r="W169" s="440"/>
      <c r="X169" s="551">
        <v>126517.92</v>
      </c>
      <c r="Y169" s="551">
        <v>0</v>
      </c>
      <c r="Z169" s="551">
        <v>22483.16</v>
      </c>
      <c r="AA169" s="551">
        <f t="shared" si="1"/>
        <v>149001.07999999999</v>
      </c>
      <c r="AB169" s="341"/>
      <c r="AC169" s="568"/>
      <c r="AD169" s="1157"/>
      <c r="AE169" s="579"/>
      <c r="AF169" s="579"/>
      <c r="AG169" s="579"/>
      <c r="AH169" s="553"/>
      <c r="AI169" s="1036"/>
      <c r="AJ169" s="1037"/>
      <c r="AK169" s="1037"/>
      <c r="AL169" s="1038"/>
      <c r="AM169" s="1522" t="s">
        <v>116</v>
      </c>
      <c r="AN169" s="1523">
        <v>44104</v>
      </c>
      <c r="AO169" s="1524">
        <v>188609</v>
      </c>
      <c r="AP169" s="1525">
        <v>126517.92</v>
      </c>
      <c r="AQ169" s="1525"/>
      <c r="AR169" s="1525">
        <v>19729.240000000002</v>
      </c>
      <c r="AS169" s="1525">
        <f>IF(Table15[[#This Row],[PCTS Approved]]="N",0,Table15[[#This Row],[Investment Amount (1'#'#'#'#'#)]]+Table15[[#This Row],[Retirement Amount (3'#'#'#'#'#)]])</f>
        <v>146247.16</v>
      </c>
      <c r="AT169" s="1525">
        <f>IF(Table15[[#This Row],[Approved Construction Cost]]=0,0,Table15[[#This Row],[Approved Construction Cost]]-Table15[[#This Row],[Construction Cost to Bill From]])</f>
        <v>-2753.9199999999837</v>
      </c>
      <c r="AU169" s="1525">
        <f>(Table15[[#This Row],[Difference in Construction Cost]]*0.085)</f>
        <v>-234.08319999999864</v>
      </c>
      <c r="AV169" s="1525" t="s">
        <v>709</v>
      </c>
      <c r="AW169" s="1526" t="s">
        <v>2677</v>
      </c>
      <c r="AX169" s="1525">
        <v>-234.08319999999864</v>
      </c>
      <c r="AY169" s="1518">
        <v>44501</v>
      </c>
      <c r="AZ169" s="1532"/>
      <c r="BA169" s="1031" t="s">
        <v>2678</v>
      </c>
      <c r="BB169" s="644" t="s">
        <v>2679</v>
      </c>
      <c r="BC169" s="544"/>
      <c r="BD169" s="544"/>
      <c r="BE169" s="544"/>
      <c r="BF169" s="544"/>
      <c r="BG169" s="544"/>
      <c r="BH169" s="741"/>
      <c r="BI169" s="547" t="s">
        <v>709</v>
      </c>
      <c r="BJ169" s="547" t="s">
        <v>709</v>
      </c>
      <c r="BK169" s="547" t="s">
        <v>116</v>
      </c>
      <c r="BL169" s="547" t="s">
        <v>116</v>
      </c>
      <c r="BM169" s="547" t="s">
        <v>709</v>
      </c>
      <c r="BN169" s="547" t="s">
        <v>709</v>
      </c>
      <c r="BO169" s="547" t="s">
        <v>709</v>
      </c>
      <c r="BP169" s="547" t="s">
        <v>709</v>
      </c>
      <c r="BQ169" s="547" t="s">
        <v>709</v>
      </c>
      <c r="BR169" s="547" t="s">
        <v>709</v>
      </c>
      <c r="BS169" s="547">
        <v>170</v>
      </c>
      <c r="BT169" s="547" t="s">
        <v>709</v>
      </c>
      <c r="BU169" s="547">
        <v>1</v>
      </c>
      <c r="BV169" s="547" t="s">
        <v>709</v>
      </c>
      <c r="BW169" s="547" t="s">
        <v>709</v>
      </c>
      <c r="BX169" s="547" t="s">
        <v>709</v>
      </c>
      <c r="BY169" s="547" t="s">
        <v>709</v>
      </c>
      <c r="BZ169" s="547" t="s">
        <v>709</v>
      </c>
      <c r="CA169" s="483" t="s">
        <v>2680</v>
      </c>
      <c r="CB169" s="547">
        <v>167</v>
      </c>
      <c r="CC169" s="1481" t="b">
        <v>1</v>
      </c>
      <c r="CD169" t="str">
        <f>Table15[[#This Row],[Engineering Number]]&amp;Table15[[#This Row],[WO Number]]&amp;Table15[[#This Row],[Date Assigned to Designer]]&amp;Table15[[#This Row],[Date Completed]]</f>
        <v>RS6421021164395544040</v>
      </c>
    </row>
    <row r="170" spans="1:82" customFormat="1" ht="15" customHeight="1" x14ac:dyDescent="0.25">
      <c r="A170">
        <v>2020</v>
      </c>
      <c r="B170" s="8" t="s">
        <v>4</v>
      </c>
      <c r="C170" s="8" t="s">
        <v>2497</v>
      </c>
      <c r="D170" s="8" t="s">
        <v>2498</v>
      </c>
      <c r="E170" s="8" t="s">
        <v>1554</v>
      </c>
      <c r="F170" s="8" t="s">
        <v>325</v>
      </c>
      <c r="G170" s="8" t="s">
        <v>40</v>
      </c>
      <c r="H170" s="8" t="s">
        <v>2051</v>
      </c>
      <c r="I170" s="642">
        <v>43809</v>
      </c>
      <c r="J170" s="18" t="s">
        <v>2052</v>
      </c>
      <c r="K170" s="642">
        <v>44041</v>
      </c>
      <c r="L170" s="16">
        <f>IF(ISTEXT(Table15[[#This Row],[Engineering Approved Design Date]]),Table15[[#This Row],[Date Completed]]-Table15[[#This Row],[Date Assigned to Designer]],Table15[[#This Row],[Engineering Approved Design Date]]-Table15[[#This Row],[Date Completed]])</f>
        <v>232</v>
      </c>
      <c r="M170" s="642" t="s">
        <v>2682</v>
      </c>
      <c r="N170" s="642" t="s">
        <v>120</v>
      </c>
      <c r="O170" s="1025">
        <v>44044</v>
      </c>
      <c r="P170" s="21" t="s">
        <v>739</v>
      </c>
      <c r="Q170" s="340">
        <f>Table15[[#This Row],[KH Hourly Effort]]</f>
        <v>2090</v>
      </c>
      <c r="R170" s="1039" t="s">
        <v>1922</v>
      </c>
      <c r="S170" s="538" t="s">
        <v>709</v>
      </c>
      <c r="T170" s="538" t="s">
        <v>709</v>
      </c>
      <c r="U170" s="28">
        <v>2090</v>
      </c>
      <c r="V170" s="858"/>
      <c r="W170" s="437"/>
      <c r="X170" s="551"/>
      <c r="Y170" s="551"/>
      <c r="Z170" s="551"/>
      <c r="AA170" s="551"/>
      <c r="AB170" s="341"/>
      <c r="AC170" s="568"/>
      <c r="AD170" s="1157"/>
      <c r="AE170" s="579"/>
      <c r="AF170" s="579"/>
      <c r="AG170" s="579"/>
      <c r="AH170" s="553"/>
      <c r="AI170" s="1036"/>
      <c r="AJ170" s="1037"/>
      <c r="AK170" s="1037"/>
      <c r="AL170" s="1038"/>
      <c r="AM170" s="542" t="s">
        <v>709</v>
      </c>
      <c r="AN170" s="924"/>
      <c r="AO170" s="925"/>
      <c r="AP170" s="926"/>
      <c r="AQ170" s="926"/>
      <c r="AR170" s="926"/>
      <c r="AS170" s="926"/>
      <c r="AT170" s="926"/>
      <c r="AU170" s="926"/>
      <c r="AV170" s="926"/>
      <c r="AW170" s="927"/>
      <c r="AX170" s="926"/>
      <c r="AY170" s="1538" t="s">
        <v>29</v>
      </c>
      <c r="AZ170" s="1530"/>
      <c r="BA170" s="1031">
        <v>2</v>
      </c>
      <c r="BB170" s="644"/>
      <c r="BC170" s="544"/>
      <c r="BD170" s="544"/>
      <c r="BE170" s="544"/>
      <c r="BF170" s="544"/>
      <c r="BG170" s="544"/>
      <c r="BH170" s="741"/>
      <c r="BI170" s="547" t="s">
        <v>709</v>
      </c>
      <c r="BJ170" s="547" t="s">
        <v>709</v>
      </c>
      <c r="BK170" s="547" t="s">
        <v>709</v>
      </c>
      <c r="BL170" s="547" t="s">
        <v>116</v>
      </c>
      <c r="BM170" s="547" t="s">
        <v>709</v>
      </c>
      <c r="BN170" s="547" t="s">
        <v>709</v>
      </c>
      <c r="BO170" s="547" t="s">
        <v>709</v>
      </c>
      <c r="BP170" s="547" t="s">
        <v>709</v>
      </c>
      <c r="BQ170" s="547" t="s">
        <v>709</v>
      </c>
      <c r="BR170" s="547" t="s">
        <v>709</v>
      </c>
      <c r="BS170" s="547">
        <v>1735</v>
      </c>
      <c r="BT170" s="547" t="s">
        <v>709</v>
      </c>
      <c r="BU170" s="547" t="s">
        <v>709</v>
      </c>
      <c r="BV170" s="547" t="s">
        <v>709</v>
      </c>
      <c r="BW170" s="547" t="s">
        <v>709</v>
      </c>
      <c r="BX170" s="547" t="s">
        <v>709</v>
      </c>
      <c r="BY170" s="547" t="s">
        <v>709</v>
      </c>
      <c r="BZ170" s="547" t="s">
        <v>709</v>
      </c>
      <c r="CA170" s="483"/>
      <c r="CB170" s="547">
        <v>168</v>
      </c>
      <c r="CC170" s="1481" t="b">
        <v>1</v>
      </c>
      <c r="CD170" t="str">
        <f>Table15[[#This Row],[Engineering Number]]&amp;Table15[[#This Row],[WO Number]]&amp;Table15[[#This Row],[Date Assigned to Designer]]&amp;Table15[[#This Row],[Date Completed]]</f>
        <v>M112601204604380944041</v>
      </c>
    </row>
    <row r="171" spans="1:82" customFormat="1" ht="15" customHeight="1" x14ac:dyDescent="0.25">
      <c r="A171">
        <v>2020</v>
      </c>
      <c r="B171" s="8" t="s">
        <v>4</v>
      </c>
      <c r="C171" s="8" t="s">
        <v>106</v>
      </c>
      <c r="D171" s="8" t="s">
        <v>2684</v>
      </c>
      <c r="E171" s="8" t="s">
        <v>108</v>
      </c>
      <c r="F171" s="8" t="s">
        <v>325</v>
      </c>
      <c r="G171" s="8" t="s">
        <v>36</v>
      </c>
      <c r="H171" s="8" t="s">
        <v>2051</v>
      </c>
      <c r="I171" s="642">
        <v>43705</v>
      </c>
      <c r="J171" s="18" t="s">
        <v>2052</v>
      </c>
      <c r="K171" s="642">
        <v>44048</v>
      </c>
      <c r="L171" s="16">
        <f>IF(ISTEXT(Table15[[#This Row],[Engineering Approved Design Date]]),Table15[[#This Row],[Date Completed]]-Table15[[#This Row],[Date Assigned to Designer]],Table15[[#This Row],[Engineering Approved Design Date]]-Table15[[#This Row],[Date Completed]])</f>
        <v>343</v>
      </c>
      <c r="M171" s="642" t="s">
        <v>2685</v>
      </c>
      <c r="N171" s="642" t="s">
        <v>120</v>
      </c>
      <c r="O171" s="1025">
        <v>44048</v>
      </c>
      <c r="P171" s="21" t="s">
        <v>739</v>
      </c>
      <c r="Q171" s="340">
        <f>Table15[[#This Row],[KH Hourly Effort]]</f>
        <v>4930</v>
      </c>
      <c r="R171" s="1039" t="s">
        <v>1922</v>
      </c>
      <c r="S171" s="538" t="s">
        <v>709</v>
      </c>
      <c r="T171" s="538" t="s">
        <v>709</v>
      </c>
      <c r="U171" s="28">
        <v>4930</v>
      </c>
      <c r="V171" s="858"/>
      <c r="W171" s="437"/>
      <c r="X171" s="538"/>
      <c r="Y171" s="550"/>
      <c r="Z171" s="538"/>
      <c r="AA171" s="561"/>
      <c r="AB171" s="474"/>
      <c r="AC171" s="574"/>
      <c r="AD171" s="1156"/>
      <c r="AE171" s="1040"/>
      <c r="AF171" s="1040"/>
      <c r="AG171" s="1040"/>
      <c r="AH171" s="1041"/>
      <c r="AI171" s="1042"/>
      <c r="AJ171" s="1043"/>
      <c r="AK171" s="1043"/>
      <c r="AL171" s="1044"/>
      <c r="AM171" s="542" t="s">
        <v>709</v>
      </c>
      <c r="AN171" s="924"/>
      <c r="AO171" s="925"/>
      <c r="AP171" s="926"/>
      <c r="AQ171" s="926"/>
      <c r="AR171" s="926"/>
      <c r="AS171" s="926"/>
      <c r="AT171" s="926"/>
      <c r="AU171" s="926"/>
      <c r="AV171" s="926"/>
      <c r="AW171" s="927"/>
      <c r="AX171" s="926"/>
      <c r="AY171" s="1538" t="s">
        <v>29</v>
      </c>
      <c r="AZ171" s="1530"/>
      <c r="BA171" s="1031">
        <v>12</v>
      </c>
      <c r="BB171" s="543"/>
      <c r="BC171" s="588"/>
      <c r="BD171" s="588"/>
      <c r="BE171" s="588"/>
      <c r="BF171" s="588"/>
      <c r="BG171" s="588"/>
      <c r="BH171" s="615"/>
      <c r="BI171" s="547" t="s">
        <v>709</v>
      </c>
      <c r="BJ171" s="547" t="s">
        <v>709</v>
      </c>
      <c r="BK171" s="547" t="s">
        <v>709</v>
      </c>
      <c r="BL171" s="547" t="s">
        <v>116</v>
      </c>
      <c r="BM171" s="547" t="s">
        <v>709</v>
      </c>
      <c r="BN171" s="547">
        <v>959</v>
      </c>
      <c r="BO171" s="547" t="s">
        <v>709</v>
      </c>
      <c r="BP171" s="547">
        <v>2838</v>
      </c>
      <c r="BQ171" s="547" t="s">
        <v>709</v>
      </c>
      <c r="BR171" s="547">
        <v>116</v>
      </c>
      <c r="BS171" s="547">
        <v>51</v>
      </c>
      <c r="BT171" s="547" t="s">
        <v>709</v>
      </c>
      <c r="BU171" s="547" t="s">
        <v>709</v>
      </c>
      <c r="BV171" s="547" t="s">
        <v>709</v>
      </c>
      <c r="BW171" s="547" t="s">
        <v>709</v>
      </c>
      <c r="BX171" s="547" t="s">
        <v>709</v>
      </c>
      <c r="BY171" s="547" t="s">
        <v>709</v>
      </c>
      <c r="BZ171" s="547" t="s">
        <v>709</v>
      </c>
      <c r="CA171" s="483"/>
      <c r="CB171" s="547">
        <v>169</v>
      </c>
      <c r="CC171" s="1481" t="b">
        <v>1</v>
      </c>
      <c r="CD171" t="str">
        <f>Table15[[#This Row],[Engineering Number]]&amp;Table15[[#This Row],[WO Number]]&amp;Table15[[#This Row],[Date Assigned to Designer]]&amp;Table15[[#This Row],[Date Completed]]</f>
        <v>N12688129152/
1291794370544048</v>
      </c>
    </row>
    <row r="172" spans="1:82" customFormat="1" ht="15" customHeight="1" x14ac:dyDescent="0.25">
      <c r="A172">
        <v>2020</v>
      </c>
      <c r="B172" s="8" t="s">
        <v>1073</v>
      </c>
      <c r="C172" s="8" t="s">
        <v>2687</v>
      </c>
      <c r="D172" s="8" t="s">
        <v>115</v>
      </c>
      <c r="E172" s="8" t="s">
        <v>87</v>
      </c>
      <c r="F172" s="8" t="s">
        <v>738</v>
      </c>
      <c r="G172" s="8" t="s">
        <v>36</v>
      </c>
      <c r="H172" s="8" t="s">
        <v>2127</v>
      </c>
      <c r="I172" s="642">
        <v>44040</v>
      </c>
      <c r="J172" s="18">
        <v>44096</v>
      </c>
      <c r="K172" s="642">
        <v>44061</v>
      </c>
      <c r="L172" s="16">
        <f>IF(ISTEXT(Table15[[#This Row],[Engineering Approved Design Date]]),Table15[[#This Row],[Date Completed]]-Table15[[#This Row],[Date Assigned to Designer]],Table15[[#This Row],[Engineering Approved Design Date]]-Table15[[#This Row],[Date Completed]])</f>
        <v>35</v>
      </c>
      <c r="M172" s="642"/>
      <c r="N172" s="642" t="s">
        <v>120</v>
      </c>
      <c r="O172" s="1025">
        <v>44061</v>
      </c>
      <c r="P172" s="21" t="s">
        <v>739</v>
      </c>
      <c r="Q172" s="340">
        <f>Table15[[#This Row],[KH Hourly Effort]]</f>
        <v>2315</v>
      </c>
      <c r="R172" s="1039" t="s">
        <v>1922</v>
      </c>
      <c r="S172" s="538" t="s">
        <v>709</v>
      </c>
      <c r="T172" s="538" t="s">
        <v>709</v>
      </c>
      <c r="U172" s="28">
        <v>2315</v>
      </c>
      <c r="V172" s="858" t="s">
        <v>115</v>
      </c>
      <c r="W172" s="437"/>
      <c r="X172" s="538"/>
      <c r="Y172" s="550"/>
      <c r="Z172" s="538"/>
      <c r="AA172" s="561"/>
      <c r="AB172" s="474"/>
      <c r="AC172" s="574"/>
      <c r="AD172" s="1156"/>
      <c r="AE172" s="574"/>
      <c r="AF172" s="574"/>
      <c r="AG172" s="574"/>
      <c r="AH172" s="566"/>
      <c r="AI172" s="1042"/>
      <c r="AJ172" s="1043"/>
      <c r="AK172" s="1043"/>
      <c r="AL172" s="1044"/>
      <c r="AM172" s="542" t="s">
        <v>709</v>
      </c>
      <c r="AN172" s="924"/>
      <c r="AO172" s="925"/>
      <c r="AP172" s="926"/>
      <c r="AQ172" s="926"/>
      <c r="AR172" s="926"/>
      <c r="AS172" s="926"/>
      <c r="AT172" s="926"/>
      <c r="AU172" s="926"/>
      <c r="AV172" s="926"/>
      <c r="AW172" s="927"/>
      <c r="AX172" s="926"/>
      <c r="AY172" s="1538" t="s">
        <v>29</v>
      </c>
      <c r="AZ172" s="1530"/>
      <c r="BA172" s="1031" t="s">
        <v>2688</v>
      </c>
      <c r="BB172" s="543"/>
      <c r="BC172" s="588"/>
      <c r="BD172" s="588"/>
      <c r="BE172" s="588"/>
      <c r="BF172" s="588"/>
      <c r="BG172" s="588"/>
      <c r="BH172" s="615"/>
      <c r="BI172" s="547"/>
      <c r="BJ172" s="547"/>
      <c r="BK172" s="547"/>
      <c r="BL172" s="547"/>
      <c r="BM172" s="547"/>
      <c r="BN172" s="547"/>
      <c r="BO172" s="547"/>
      <c r="BP172" s="547"/>
      <c r="BQ172" s="547"/>
      <c r="BR172" s="547"/>
      <c r="BS172" s="547"/>
      <c r="BT172" s="547"/>
      <c r="BU172" s="547"/>
      <c r="BV172" s="547"/>
      <c r="BW172" s="547"/>
      <c r="BX172" s="547"/>
      <c r="BY172" s="547"/>
      <c r="BZ172" s="547" t="s">
        <v>709</v>
      </c>
      <c r="CA172" s="483" t="s">
        <v>915</v>
      </c>
      <c r="CB172" s="547">
        <v>170</v>
      </c>
      <c r="CC172" s="1481" t="b">
        <v>1</v>
      </c>
      <c r="CD172" t="str">
        <f>Table15[[#This Row],[Engineering Number]]&amp;Table15[[#This Row],[WO Number]]&amp;Table15[[#This Row],[Date Assigned to Designer]]&amp;Table15[[#This Row],[Date Completed]]</f>
        <v>NBA1711905-4404044061</v>
      </c>
    </row>
    <row r="173" spans="1:82" customFormat="1" ht="15" customHeight="1" x14ac:dyDescent="0.25">
      <c r="A173">
        <v>2020</v>
      </c>
      <c r="B173" s="8" t="s">
        <v>769</v>
      </c>
      <c r="C173" s="8" t="s">
        <v>86</v>
      </c>
      <c r="D173" s="656" t="s">
        <v>2696</v>
      </c>
      <c r="E173" s="8" t="s">
        <v>87</v>
      </c>
      <c r="F173" s="8" t="s">
        <v>738</v>
      </c>
      <c r="G173" s="8" t="s">
        <v>40</v>
      </c>
      <c r="H173" s="8" t="s">
        <v>59</v>
      </c>
      <c r="I173" s="642">
        <v>43955</v>
      </c>
      <c r="J173" s="18">
        <v>44064</v>
      </c>
      <c r="K173" s="642">
        <v>44063</v>
      </c>
      <c r="L173" s="16">
        <f>IF(ISTEXT(Table15[[#This Row],[Engineering Approved Design Date]]),Table15[[#This Row],[Date Completed]]-Table15[[#This Row],[Date Assigned to Designer]],Table15[[#This Row],[Engineering Approved Design Date]]-Table15[[#This Row],[Date Completed]])</f>
        <v>1</v>
      </c>
      <c r="M173" s="642" t="s">
        <v>2692</v>
      </c>
      <c r="N173" s="642" t="s">
        <v>120</v>
      </c>
      <c r="O173" s="1025">
        <v>44063</v>
      </c>
      <c r="P173" s="21" t="s">
        <v>739</v>
      </c>
      <c r="Q173" s="340">
        <f>(Table15[[#This Row],[Construction Cost to Bill From]]*0.085)+7750</f>
        <v>28078.318650000001</v>
      </c>
      <c r="R173" s="1026" t="s">
        <v>1055</v>
      </c>
      <c r="S173" s="538" t="s">
        <v>709</v>
      </c>
      <c r="T173" s="538" t="s">
        <v>709</v>
      </c>
      <c r="U173" s="28" t="s">
        <v>709</v>
      </c>
      <c r="V173" s="858">
        <v>132</v>
      </c>
      <c r="W173" s="437"/>
      <c r="X173" s="551">
        <v>202064.91</v>
      </c>
      <c r="Y173" s="551">
        <v>0</v>
      </c>
      <c r="Z173" s="551">
        <v>37091.78</v>
      </c>
      <c r="AA173" s="551">
        <f>X173+Z173</f>
        <v>239156.69</v>
      </c>
      <c r="AB173" s="341"/>
      <c r="AC173" s="568"/>
      <c r="AD173" s="1157"/>
      <c r="AE173" s="579"/>
      <c r="AF173" s="579"/>
      <c r="AG173" s="579"/>
      <c r="AH173" s="553"/>
      <c r="AI173" s="1036"/>
      <c r="AJ173" s="1037"/>
      <c r="AK173" s="1037"/>
      <c r="AL173" s="1038"/>
      <c r="AM173" s="1522" t="s">
        <v>116</v>
      </c>
      <c r="AN173" s="1523">
        <v>44299</v>
      </c>
      <c r="AO173" s="1524">
        <v>188608</v>
      </c>
      <c r="AP173" s="1525">
        <v>207866.08</v>
      </c>
      <c r="AQ173" s="1525"/>
      <c r="AR173" s="1525">
        <v>37091.78</v>
      </c>
      <c r="AS173" s="1525">
        <f>IF(Table15[[#This Row],[PCTS Approved]]="N",0,Table15[[#This Row],[Investment Amount (1'#'#'#'#'#)]]+Table15[[#This Row],[Retirement Amount (3'#'#'#'#'#)]])</f>
        <v>244957.86</v>
      </c>
      <c r="AT173" s="1525">
        <f>IF(Table15[[#This Row],[Approved Construction Cost]]=0,0,Table15[[#This Row],[Approved Construction Cost]]-Table15[[#This Row],[Construction Cost to Bill From]])</f>
        <v>5801.1699999999837</v>
      </c>
      <c r="AU173" s="1525">
        <f>(Table15[[#This Row],[Difference in Construction Cost]]*0.085)</f>
        <v>493.09944999999863</v>
      </c>
      <c r="AV173" s="1525" t="s">
        <v>709</v>
      </c>
      <c r="AW173" s="1526" t="s">
        <v>2275</v>
      </c>
      <c r="AX173" s="1525">
        <v>493.09944999999863</v>
      </c>
      <c r="AY173" s="1518">
        <v>44501</v>
      </c>
      <c r="AZ173" s="1532"/>
      <c r="BA173" s="1031" t="s">
        <v>2697</v>
      </c>
      <c r="BB173" s="543" t="s">
        <v>2694</v>
      </c>
      <c r="BC173" s="588"/>
      <c r="BD173" s="588"/>
      <c r="BE173" s="588"/>
      <c r="BF173" s="588"/>
      <c r="BG173" s="588"/>
      <c r="BH173" s="615"/>
      <c r="BI173" s="547" t="s">
        <v>709</v>
      </c>
      <c r="BJ173" s="547" t="s">
        <v>709</v>
      </c>
      <c r="BK173" s="547" t="s">
        <v>116</v>
      </c>
      <c r="BL173" s="547" t="s">
        <v>116</v>
      </c>
      <c r="BM173" s="547" t="s">
        <v>709</v>
      </c>
      <c r="BN173" s="547" t="s">
        <v>709</v>
      </c>
      <c r="BO173" s="547" t="s">
        <v>709</v>
      </c>
      <c r="BP173" s="547" t="s">
        <v>709</v>
      </c>
      <c r="BQ173" s="547">
        <v>3</v>
      </c>
      <c r="BR173" s="547">
        <v>16</v>
      </c>
      <c r="BS173" s="547">
        <v>113</v>
      </c>
      <c r="BT173" s="547" t="s">
        <v>709</v>
      </c>
      <c r="BU173" s="547">
        <v>1</v>
      </c>
      <c r="BV173" s="547" t="s">
        <v>709</v>
      </c>
      <c r="BW173" s="547" t="s">
        <v>709</v>
      </c>
      <c r="BX173" s="547">
        <v>1</v>
      </c>
      <c r="BY173" s="547" t="s">
        <v>709</v>
      </c>
      <c r="BZ173" s="547" t="s">
        <v>709</v>
      </c>
      <c r="CA173" s="483" t="s">
        <v>769</v>
      </c>
      <c r="CB173" s="547">
        <v>172</v>
      </c>
      <c r="CC173" s="1481" t="b">
        <v>1</v>
      </c>
      <c r="CD173" t="str">
        <f>Table15[[#This Row],[Engineering Number]]&amp;Table15[[#This Row],[WO Number]]&amp;Table15[[#This Row],[Date Assigned to Designer]]&amp;Table15[[#This Row],[Date Completed]]</f>
        <v>RS6371021144395544063</v>
      </c>
    </row>
    <row r="174" spans="1:82" customFormat="1" ht="15" customHeight="1" x14ac:dyDescent="0.25">
      <c r="A174">
        <v>2020</v>
      </c>
      <c r="B174" s="8" t="s">
        <v>769</v>
      </c>
      <c r="C174" s="8" t="s">
        <v>2690</v>
      </c>
      <c r="D174" s="8" t="s">
        <v>2691</v>
      </c>
      <c r="E174" s="8" t="s">
        <v>87</v>
      </c>
      <c r="F174" s="8" t="s">
        <v>738</v>
      </c>
      <c r="G174" s="8" t="s">
        <v>40</v>
      </c>
      <c r="H174" s="8" t="s">
        <v>59</v>
      </c>
      <c r="I174" s="642">
        <v>43955</v>
      </c>
      <c r="J174" s="18">
        <v>44004</v>
      </c>
      <c r="K174" s="642">
        <v>44063</v>
      </c>
      <c r="L174" s="16">
        <f>IF(ISTEXT(Table15[[#This Row],[Engineering Approved Design Date]]),Table15[[#This Row],[Date Completed]]-Table15[[#This Row],[Date Assigned to Designer]],Table15[[#This Row],[Engineering Approved Design Date]]-Table15[[#This Row],[Date Completed]])</f>
        <v>-59</v>
      </c>
      <c r="M174" s="642" t="s">
        <v>2692</v>
      </c>
      <c r="N174" s="642" t="s">
        <v>120</v>
      </c>
      <c r="O174" s="1025">
        <v>44063</v>
      </c>
      <c r="P174" s="21" t="s">
        <v>739</v>
      </c>
      <c r="Q174" s="340" t="s">
        <v>115</v>
      </c>
      <c r="R174" s="1026" t="s">
        <v>115</v>
      </c>
      <c r="S174" s="538" t="s">
        <v>709</v>
      </c>
      <c r="T174" s="538" t="s">
        <v>709</v>
      </c>
      <c r="U174" s="28" t="s">
        <v>709</v>
      </c>
      <c r="V174" s="858" t="s">
        <v>115</v>
      </c>
      <c r="W174" s="437"/>
      <c r="X174" s="538"/>
      <c r="Y174" s="550"/>
      <c r="Z174" s="538"/>
      <c r="AA174" s="561"/>
      <c r="AB174" s="474"/>
      <c r="AC174" s="574"/>
      <c r="AD174" s="1156"/>
      <c r="AE174" s="1040"/>
      <c r="AF174" s="1040"/>
      <c r="AG174" s="1040"/>
      <c r="AH174" s="1041"/>
      <c r="AI174" s="1042"/>
      <c r="AJ174" s="1043"/>
      <c r="AK174" s="1043"/>
      <c r="AL174" s="1044"/>
      <c r="AM174" s="542" t="s">
        <v>709</v>
      </c>
      <c r="AN174" s="924"/>
      <c r="AO174" s="925"/>
      <c r="AP174" s="926"/>
      <c r="AQ174" s="926"/>
      <c r="AR174" s="926"/>
      <c r="AS174" s="926"/>
      <c r="AT174" s="926"/>
      <c r="AU174" s="926"/>
      <c r="AV174" s="926"/>
      <c r="AW174" s="927"/>
      <c r="AX174" s="926"/>
      <c r="AY174" s="1538" t="s">
        <v>29</v>
      </c>
      <c r="AZ174" s="1530"/>
      <c r="BA174" s="1031" t="s">
        <v>2693</v>
      </c>
      <c r="BB174" s="543" t="s">
        <v>2694</v>
      </c>
      <c r="BC174" s="588"/>
      <c r="BD174" s="588"/>
      <c r="BE174" s="588"/>
      <c r="BF174" s="588"/>
      <c r="BG174" s="588"/>
      <c r="BH174" s="615"/>
      <c r="BI174" s="547" t="s">
        <v>709</v>
      </c>
      <c r="BJ174" s="547" t="s">
        <v>709</v>
      </c>
      <c r="BK174" s="547" t="s">
        <v>116</v>
      </c>
      <c r="BL174" s="547" t="s">
        <v>116</v>
      </c>
      <c r="BM174" s="547" t="s">
        <v>709</v>
      </c>
      <c r="BN174" s="547" t="s">
        <v>709</v>
      </c>
      <c r="BO174" s="547" t="s">
        <v>709</v>
      </c>
      <c r="BP174" s="547" t="s">
        <v>709</v>
      </c>
      <c r="BQ174" s="547">
        <v>3</v>
      </c>
      <c r="BR174" s="547">
        <v>2</v>
      </c>
      <c r="BS174" s="547" t="s">
        <v>709</v>
      </c>
      <c r="BT174" s="547" t="s">
        <v>709</v>
      </c>
      <c r="BU174" s="547" t="s">
        <v>709</v>
      </c>
      <c r="BV174" s="547" t="s">
        <v>709</v>
      </c>
      <c r="BW174" s="547" t="s">
        <v>709</v>
      </c>
      <c r="BX174" s="547" t="s">
        <v>709</v>
      </c>
      <c r="BY174" s="547" t="s">
        <v>709</v>
      </c>
      <c r="BZ174" s="547" t="s">
        <v>709</v>
      </c>
      <c r="CA174" s="483" t="s">
        <v>769</v>
      </c>
      <c r="CB174" s="547">
        <v>171</v>
      </c>
      <c r="CC174" s="1481" t="b">
        <v>1</v>
      </c>
      <c r="CD174" t="str">
        <f>Table15[[#This Row],[Engineering Number]]&amp;Table15[[#This Row],[WO Number]]&amp;Table15[[#This Row],[Date Assigned to Designer]]&amp;Table15[[#This Row],[Date Completed]]</f>
        <v>RS6431021154395544063</v>
      </c>
    </row>
    <row r="175" spans="1:82" customFormat="1" ht="15" customHeight="1" x14ac:dyDescent="0.25">
      <c r="A175">
        <v>2020</v>
      </c>
      <c r="B175" s="8" t="s">
        <v>4</v>
      </c>
      <c r="C175" s="8" t="s">
        <v>2699</v>
      </c>
      <c r="D175" s="656" t="s">
        <v>2700</v>
      </c>
      <c r="E175" s="8" t="s">
        <v>1149</v>
      </c>
      <c r="F175" s="8" t="s">
        <v>919</v>
      </c>
      <c r="G175" s="8" t="s">
        <v>2528</v>
      </c>
      <c r="H175" s="8" t="s">
        <v>59</v>
      </c>
      <c r="I175" s="642">
        <v>43838</v>
      </c>
      <c r="J175" s="18">
        <v>44075</v>
      </c>
      <c r="K175" s="642">
        <v>44064</v>
      </c>
      <c r="L175" s="16">
        <f>IF(ISTEXT(Table15[[#This Row],[Engineering Approved Design Date]]),Table15[[#This Row],[Date Completed]]-Table15[[#This Row],[Date Assigned to Designer]],Table15[[#This Row],[Engineering Approved Design Date]]-Table15[[#This Row],[Date Completed]])</f>
        <v>11</v>
      </c>
      <c r="M175" s="642"/>
      <c r="N175" s="642" t="s">
        <v>120</v>
      </c>
      <c r="O175" s="1025">
        <v>44064</v>
      </c>
      <c r="P175" s="21" t="s">
        <v>739</v>
      </c>
      <c r="Q175" s="340">
        <f>R175*AA175</f>
        <v>37139.682999999997</v>
      </c>
      <c r="R175" s="1026">
        <v>0.1</v>
      </c>
      <c r="S175" s="538" t="s">
        <v>709</v>
      </c>
      <c r="T175" s="538" t="s">
        <v>709</v>
      </c>
      <c r="U175" s="28" t="s">
        <v>709</v>
      </c>
      <c r="V175" s="858">
        <v>2696</v>
      </c>
      <c r="W175" s="437"/>
      <c r="X175" s="538">
        <v>324959.15999999997</v>
      </c>
      <c r="Y175" s="551">
        <v>0</v>
      </c>
      <c r="Z175" s="538">
        <v>46437.67</v>
      </c>
      <c r="AA175" s="538">
        <f>X175+Z175</f>
        <v>371396.82999999996</v>
      </c>
      <c r="AB175" s="21"/>
      <c r="AC175" s="569"/>
      <c r="AD175" s="1149"/>
      <c r="AE175" s="580"/>
      <c r="AF175" s="580"/>
      <c r="AG175" s="580"/>
      <c r="AH175" s="542"/>
      <c r="AI175" s="1028"/>
      <c r="AJ175" s="1029"/>
      <c r="AK175" s="1029"/>
      <c r="AL175" s="1030"/>
      <c r="AM175" s="1522" t="s">
        <v>116</v>
      </c>
      <c r="AN175" s="1523">
        <v>44300</v>
      </c>
      <c r="AO175" s="1524">
        <v>188399</v>
      </c>
      <c r="AP175" s="1525">
        <v>325917.03999999998</v>
      </c>
      <c r="AQ175" s="1525"/>
      <c r="AR175" s="1525">
        <v>46525.97</v>
      </c>
      <c r="AS175" s="1525">
        <f>IF(Table15[[#This Row],[PCTS Approved]]="N",0,Table15[[#This Row],[Investment Amount (1'#'#'#'#'#)]]+Table15[[#This Row],[Retirement Amount (3'#'#'#'#'#)]])</f>
        <v>372443.01</v>
      </c>
      <c r="AT175" s="1525">
        <f>IF(Table15[[#This Row],[Approved Construction Cost]]=0,0,Table15[[#This Row],[Approved Construction Cost]]-Table15[[#This Row],[Construction Cost to Bill From]])</f>
        <v>1046.1800000000512</v>
      </c>
      <c r="AU175" s="1525">
        <f>Table15[[#This Row],[Difference in Construction Cost]]*Table15[[#This Row],[Rate]]</f>
        <v>104.61800000000513</v>
      </c>
      <c r="AV175" s="1525" t="s">
        <v>709</v>
      </c>
      <c r="AW175" s="1526" t="s">
        <v>2701</v>
      </c>
      <c r="AX175" s="1525">
        <v>104.61800000000513</v>
      </c>
      <c r="AY175" s="1518">
        <v>44501</v>
      </c>
      <c r="AZ175" s="1532"/>
      <c r="BA175" s="1031" t="s">
        <v>2702</v>
      </c>
      <c r="BB175" s="644" t="s">
        <v>2703</v>
      </c>
      <c r="BC175" s="544"/>
      <c r="BD175" s="544"/>
      <c r="BE175" s="544"/>
      <c r="BF175" s="544"/>
      <c r="BG175" s="544"/>
      <c r="BH175" s="741"/>
      <c r="BI175" s="547" t="s">
        <v>709</v>
      </c>
      <c r="BJ175" s="547" t="s">
        <v>709</v>
      </c>
      <c r="BK175" s="547" t="s">
        <v>709</v>
      </c>
      <c r="BL175" s="547" t="s">
        <v>116</v>
      </c>
      <c r="BM175" s="547" t="s">
        <v>709</v>
      </c>
      <c r="BN175" s="547" t="s">
        <v>709</v>
      </c>
      <c r="BO175" s="547" t="s">
        <v>709</v>
      </c>
      <c r="BP175" s="547" t="s">
        <v>709</v>
      </c>
      <c r="BQ175" s="547" t="s">
        <v>709</v>
      </c>
      <c r="BR175" s="547" t="s">
        <v>709</v>
      </c>
      <c r="BS175" s="547">
        <v>2696</v>
      </c>
      <c r="BT175" s="547" t="s">
        <v>709</v>
      </c>
      <c r="BU175" s="547" t="s">
        <v>709</v>
      </c>
      <c r="BV175" s="547" t="s">
        <v>709</v>
      </c>
      <c r="BW175" s="547" t="s">
        <v>709</v>
      </c>
      <c r="BX175" s="547" t="s">
        <v>709</v>
      </c>
      <c r="BY175" s="547" t="s">
        <v>709</v>
      </c>
      <c r="BZ175" s="547" t="s">
        <v>709</v>
      </c>
      <c r="CA175" s="483"/>
      <c r="CB175" s="547">
        <v>173</v>
      </c>
      <c r="CC175" s="1481" t="b">
        <v>1</v>
      </c>
      <c r="CD175" t="str">
        <f>Table15[[#This Row],[Engineering Number]]&amp;Table15[[#This Row],[WO Number]]&amp;Table15[[#This Row],[Date Assigned to Designer]]&amp;Table15[[#This Row],[Date Completed]]</f>
        <v>SC164771356674383844064</v>
      </c>
    </row>
    <row r="176" spans="1:82" customFormat="1" ht="15" customHeight="1" x14ac:dyDescent="0.25">
      <c r="A176">
        <v>2021</v>
      </c>
      <c r="B176" s="8" t="s">
        <v>4</v>
      </c>
      <c r="C176" s="8" t="s">
        <v>2705</v>
      </c>
      <c r="D176" s="8" t="s">
        <v>115</v>
      </c>
      <c r="E176" s="8" t="s">
        <v>2656</v>
      </c>
      <c r="F176" s="8" t="s">
        <v>919</v>
      </c>
      <c r="G176" s="8" t="s">
        <v>1896</v>
      </c>
      <c r="H176" s="8" t="s">
        <v>2127</v>
      </c>
      <c r="I176" s="642">
        <v>44019</v>
      </c>
      <c r="J176" s="18">
        <v>44119</v>
      </c>
      <c r="K176" s="642">
        <v>44069</v>
      </c>
      <c r="L176" s="16">
        <f>IF(ISTEXT(Table15[[#This Row],[Engineering Approved Design Date]]),Table15[[#This Row],[Date Completed]]-Table15[[#This Row],[Date Assigned to Designer]],Table15[[#This Row],[Engineering Approved Design Date]]-Table15[[#This Row],[Date Completed]])</f>
        <v>50</v>
      </c>
      <c r="M176" s="642" t="s">
        <v>2706</v>
      </c>
      <c r="N176" s="642" t="s">
        <v>120</v>
      </c>
      <c r="O176" s="1025">
        <v>44075</v>
      </c>
      <c r="P176" s="21" t="s">
        <v>739</v>
      </c>
      <c r="Q176" s="340" t="s">
        <v>115</v>
      </c>
      <c r="R176" s="1026" t="s">
        <v>115</v>
      </c>
      <c r="S176" s="538" t="s">
        <v>709</v>
      </c>
      <c r="T176" s="538" t="s">
        <v>709</v>
      </c>
      <c r="U176" s="28" t="s">
        <v>709</v>
      </c>
      <c r="V176" s="858" t="s">
        <v>115</v>
      </c>
      <c r="W176" s="437"/>
      <c r="X176" s="538"/>
      <c r="Y176" s="550"/>
      <c r="Z176" s="538"/>
      <c r="AA176" s="561">
        <v>0</v>
      </c>
      <c r="AB176" s="474"/>
      <c r="AC176" s="574"/>
      <c r="AD176" s="1156"/>
      <c r="AE176" s="1040"/>
      <c r="AF176" s="1040"/>
      <c r="AG176" s="1040"/>
      <c r="AH176" s="1041"/>
      <c r="AI176" s="1042"/>
      <c r="AJ176" s="1043"/>
      <c r="AK176" s="1043"/>
      <c r="AL176" s="1044"/>
      <c r="AM176" s="542" t="s">
        <v>709</v>
      </c>
      <c r="AN176" s="924"/>
      <c r="AO176" s="925"/>
      <c r="AP176" s="926"/>
      <c r="AQ176" s="926"/>
      <c r="AR176" s="926"/>
      <c r="AS176" s="926"/>
      <c r="AT176" s="926"/>
      <c r="AU176" s="926"/>
      <c r="AV176" s="926"/>
      <c r="AW176" s="927"/>
      <c r="AX176" s="926"/>
      <c r="AY176" s="1538" t="s">
        <v>29</v>
      </c>
      <c r="AZ176" s="1530"/>
      <c r="BA176" s="1031" t="s">
        <v>2707</v>
      </c>
      <c r="BB176" s="543"/>
      <c r="BC176" s="588"/>
      <c r="BD176" s="588"/>
      <c r="BE176" s="588"/>
      <c r="BF176" s="588"/>
      <c r="BG176" s="588"/>
      <c r="BH176" s="615"/>
      <c r="BI176" s="547"/>
      <c r="BJ176" s="547"/>
      <c r="BK176" s="547"/>
      <c r="BL176" s="547"/>
      <c r="BM176" s="547"/>
      <c r="BN176" s="547"/>
      <c r="BO176" s="547"/>
      <c r="BP176" s="547"/>
      <c r="BQ176" s="547"/>
      <c r="BR176" s="547"/>
      <c r="BS176" s="547"/>
      <c r="BT176" s="547"/>
      <c r="BU176" s="547"/>
      <c r="BV176" s="547"/>
      <c r="BW176" s="547"/>
      <c r="BX176" s="547"/>
      <c r="BY176" s="547"/>
      <c r="BZ176" s="547" t="s">
        <v>709</v>
      </c>
      <c r="CA176" s="483" t="s">
        <v>915</v>
      </c>
      <c r="CB176" s="547">
        <v>174</v>
      </c>
      <c r="CC176" s="1481" t="b">
        <v>1</v>
      </c>
      <c r="CD176" t="str">
        <f>Table15[[#This Row],[Engineering Number]]&amp;Table15[[#This Row],[WO Number]]&amp;Table15[[#This Row],[Date Assigned to Designer]]&amp;Table15[[#This Row],[Date Completed]]</f>
        <v>M11783-4401944069</v>
      </c>
    </row>
    <row r="177" spans="1:82" customFormat="1" ht="15" customHeight="1" x14ac:dyDescent="0.25">
      <c r="A177">
        <v>2019</v>
      </c>
      <c r="B177" s="8" t="s">
        <v>4</v>
      </c>
      <c r="C177" s="8" t="s">
        <v>2509</v>
      </c>
      <c r="D177" s="8" t="s">
        <v>2510</v>
      </c>
      <c r="E177" s="8" t="s">
        <v>2511</v>
      </c>
      <c r="F177" s="8" t="s">
        <v>738</v>
      </c>
      <c r="G177" s="8" t="s">
        <v>40</v>
      </c>
      <c r="H177" s="8" t="s">
        <v>2051</v>
      </c>
      <c r="I177" s="642">
        <v>43468</v>
      </c>
      <c r="J177" s="18" t="s">
        <v>2052</v>
      </c>
      <c r="K177" s="642">
        <v>44070</v>
      </c>
      <c r="L177" s="16">
        <f>IF(ISTEXT(Table15[[#This Row],[Engineering Approved Design Date]]),Table15[[#This Row],[Date Completed]]-Table15[[#This Row],[Date Assigned to Designer]],Table15[[#This Row],[Engineering Approved Design Date]]-Table15[[#This Row],[Date Completed]])</f>
        <v>602</v>
      </c>
      <c r="M177" s="642" t="s">
        <v>2709</v>
      </c>
      <c r="N177" s="642" t="s">
        <v>120</v>
      </c>
      <c r="O177" s="1025">
        <v>44075</v>
      </c>
      <c r="P177" s="21" t="s">
        <v>739</v>
      </c>
      <c r="Q177" s="340">
        <f>IF(Table15[[#This Row],[Shactee Effort]]="N",0,Table15[[#This Row],[Shactee Effort]])+IF(Table15[[#This Row],[3rd Party Effort]]="N",0,Table15[[#This Row],[3rd Party Effort]])+Table15[[#This Row],[KH Hourly Effort]]</f>
        <v>5300</v>
      </c>
      <c r="R177" s="1026" t="s">
        <v>1922</v>
      </c>
      <c r="S177" s="538" t="s">
        <v>709</v>
      </c>
      <c r="T177" s="538" t="s">
        <v>709</v>
      </c>
      <c r="U177" s="28">
        <v>5300</v>
      </c>
      <c r="V177" s="858"/>
      <c r="W177" s="437"/>
      <c r="X177" s="556"/>
      <c r="Y177" s="551"/>
      <c r="Z177" s="556"/>
      <c r="AA177" s="538"/>
      <c r="AB177" s="21"/>
      <c r="AC177" s="569"/>
      <c r="AD177" s="1149"/>
      <c r="AE177" s="580"/>
      <c r="AF177" s="580"/>
      <c r="AG177" s="580"/>
      <c r="AH177" s="542"/>
      <c r="AI177" s="1028"/>
      <c r="AJ177" s="1029"/>
      <c r="AK177" s="1029"/>
      <c r="AL177" s="1030"/>
      <c r="AM177" s="542" t="s">
        <v>709</v>
      </c>
      <c r="AN177" s="924"/>
      <c r="AO177" s="925"/>
      <c r="AP177" s="926"/>
      <c r="AQ177" s="926"/>
      <c r="AR177" s="926"/>
      <c r="AS177" s="926"/>
      <c r="AT177" s="926"/>
      <c r="AU177" s="926"/>
      <c r="AV177" s="926"/>
      <c r="AW177" s="927"/>
      <c r="AX177" s="926"/>
      <c r="AY177" s="1538" t="s">
        <v>29</v>
      </c>
      <c r="AZ177" s="1530"/>
      <c r="BA177" s="1031">
        <v>12</v>
      </c>
      <c r="BB177" s="644"/>
      <c r="BC177" s="544"/>
      <c r="BD177" s="544"/>
      <c r="BE177" s="544"/>
      <c r="BF177" s="544"/>
      <c r="BG177" s="544"/>
      <c r="BH177" s="741"/>
      <c r="BI177" s="547" t="s">
        <v>709</v>
      </c>
      <c r="BJ177" s="547" t="s">
        <v>709</v>
      </c>
      <c r="BK177" s="547" t="s">
        <v>709</v>
      </c>
      <c r="BL177" s="547" t="s">
        <v>116</v>
      </c>
      <c r="BM177" s="547" t="s">
        <v>709</v>
      </c>
      <c r="BN177" s="547" t="s">
        <v>709</v>
      </c>
      <c r="BO177" s="547" t="s">
        <v>709</v>
      </c>
      <c r="BP177" s="547" t="s">
        <v>709</v>
      </c>
      <c r="BQ177" s="547" t="s">
        <v>709</v>
      </c>
      <c r="BR177" s="547">
        <v>1760</v>
      </c>
      <c r="BS177" s="547" t="s">
        <v>709</v>
      </c>
      <c r="BT177" s="547" t="s">
        <v>745</v>
      </c>
      <c r="BU177" s="547" t="s">
        <v>709</v>
      </c>
      <c r="BV177" s="547" t="s">
        <v>745</v>
      </c>
      <c r="BW177" s="547" t="s">
        <v>709</v>
      </c>
      <c r="BX177" s="547" t="s">
        <v>745</v>
      </c>
      <c r="BY177" s="547" t="s">
        <v>745</v>
      </c>
      <c r="BZ177" s="547" t="s">
        <v>709</v>
      </c>
      <c r="CA177" s="483"/>
      <c r="CB177" s="547">
        <v>175</v>
      </c>
      <c r="CC177" s="1481" t="b">
        <v>1</v>
      </c>
      <c r="CD177" t="str">
        <f>Table15[[#This Row],[Engineering Number]]&amp;Table15[[#This Row],[WO Number]]&amp;Table15[[#This Row],[Date Assigned to Designer]]&amp;Table15[[#This Row],[Date Completed]]</f>
        <v>N121801292004346844070</v>
      </c>
    </row>
    <row r="178" spans="1:82" customFormat="1" ht="15" customHeight="1" x14ac:dyDescent="0.25">
      <c r="A178">
        <v>2020</v>
      </c>
      <c r="B178" s="8" t="s">
        <v>1205</v>
      </c>
      <c r="C178" s="8" t="s">
        <v>2711</v>
      </c>
      <c r="D178" s="8">
        <v>135687</v>
      </c>
      <c r="E178" s="8" t="s">
        <v>818</v>
      </c>
      <c r="F178" s="8" t="s">
        <v>919</v>
      </c>
      <c r="G178" s="8" t="s">
        <v>1882</v>
      </c>
      <c r="H178" s="8" t="s">
        <v>2127</v>
      </c>
      <c r="I178" s="642">
        <v>44040</v>
      </c>
      <c r="J178" s="18">
        <v>44096</v>
      </c>
      <c r="K178" s="642">
        <v>44074</v>
      </c>
      <c r="L178" s="16">
        <f>IF(ISTEXT(Table15[[#This Row],[Engineering Approved Design Date]]),Table15[[#This Row],[Date Completed]]-Table15[[#This Row],[Date Assigned to Designer]],Table15[[#This Row],[Engineering Approved Design Date]]-Table15[[#This Row],[Date Completed]])</f>
        <v>22</v>
      </c>
      <c r="M178" s="642" t="s">
        <v>2712</v>
      </c>
      <c r="N178" s="642" t="s">
        <v>120</v>
      </c>
      <c r="O178" s="1025">
        <v>44075</v>
      </c>
      <c r="P178" s="21" t="s">
        <v>739</v>
      </c>
      <c r="Q178" s="340">
        <f>IF(Table15[[#This Row],[Shactee Effort]]="N",0,Table15[[#This Row],[Shactee Effort]])+IF(Table15[[#This Row],[3rd Party Effort]]="N",0,Table15[[#This Row],[3rd Party Effort]])+Table15[[#This Row],[KH Hourly Effort]]</f>
        <v>11589</v>
      </c>
      <c r="R178" s="1026" t="s">
        <v>1922</v>
      </c>
      <c r="S178" s="538">
        <v>181.5</v>
      </c>
      <c r="T178" s="538" t="s">
        <v>709</v>
      </c>
      <c r="U178" s="28">
        <v>11407.5</v>
      </c>
      <c r="V178" s="858"/>
      <c r="W178" s="437"/>
      <c r="X178" s="538"/>
      <c r="Y178" s="550"/>
      <c r="Z178" s="538"/>
      <c r="AA178" s="561"/>
      <c r="AB178" s="474"/>
      <c r="AC178" s="574"/>
      <c r="AD178" s="1156"/>
      <c r="AE178" s="574"/>
      <c r="AF178" s="574"/>
      <c r="AG178" s="574"/>
      <c r="AH178" s="566"/>
      <c r="AI178" s="1042"/>
      <c r="AJ178" s="1043"/>
      <c r="AK178" s="1043"/>
      <c r="AL178" s="1044"/>
      <c r="AM178" s="542" t="s">
        <v>709</v>
      </c>
      <c r="AN178" s="924"/>
      <c r="AO178" s="925"/>
      <c r="AP178" s="926"/>
      <c r="AQ178" s="926"/>
      <c r="AR178" s="926"/>
      <c r="AS178" s="926"/>
      <c r="AT178" s="926"/>
      <c r="AU178" s="926"/>
      <c r="AV178" s="926"/>
      <c r="AW178" s="927"/>
      <c r="AX178" s="926"/>
      <c r="AY178" s="1538" t="s">
        <v>29</v>
      </c>
      <c r="AZ178" s="1532"/>
      <c r="BA178" s="1031" t="s">
        <v>2713</v>
      </c>
      <c r="BB178" s="543"/>
      <c r="BC178" s="588"/>
      <c r="BD178" s="588"/>
      <c r="BE178" s="588"/>
      <c r="BF178" s="588"/>
      <c r="BG178" s="588"/>
      <c r="BH178" s="615"/>
      <c r="BI178" s="547" t="s">
        <v>709</v>
      </c>
      <c r="BJ178" s="547" t="s">
        <v>709</v>
      </c>
      <c r="BK178" s="547" t="s">
        <v>709</v>
      </c>
      <c r="BL178" s="547" t="s">
        <v>116</v>
      </c>
      <c r="BM178" s="547" t="s">
        <v>709</v>
      </c>
      <c r="BN178" s="547" t="s">
        <v>709</v>
      </c>
      <c r="BO178" s="547" t="s">
        <v>709</v>
      </c>
      <c r="BP178" s="547" t="s">
        <v>709</v>
      </c>
      <c r="BQ178" s="547" t="s">
        <v>709</v>
      </c>
      <c r="BR178" s="547" t="s">
        <v>709</v>
      </c>
      <c r="BS178" s="547" t="s">
        <v>116</v>
      </c>
      <c r="BT178" s="547" t="s">
        <v>709</v>
      </c>
      <c r="BU178" s="547" t="s">
        <v>709</v>
      </c>
      <c r="BV178" s="547" t="s">
        <v>709</v>
      </c>
      <c r="BW178" s="547" t="s">
        <v>709</v>
      </c>
      <c r="BX178" s="547" t="s">
        <v>709</v>
      </c>
      <c r="BY178" s="547" t="s">
        <v>709</v>
      </c>
      <c r="BZ178" s="547" t="s">
        <v>709</v>
      </c>
      <c r="CA178" s="483"/>
      <c r="CB178" s="547">
        <v>176</v>
      </c>
      <c r="CC178" s="1481" t="b">
        <v>1</v>
      </c>
      <c r="CD178" t="str">
        <f>Table15[[#This Row],[Engineering Number]]&amp;Table15[[#This Row],[WO Number]]&amp;Table15[[#This Row],[Date Assigned to Designer]]&amp;Table15[[#This Row],[Date Completed]]</f>
        <v>MR14741356874404044074</v>
      </c>
    </row>
    <row r="179" spans="1:82" customFormat="1" ht="15" customHeight="1" x14ac:dyDescent="0.25">
      <c r="A179">
        <v>2020</v>
      </c>
      <c r="B179" s="8" t="s">
        <v>4</v>
      </c>
      <c r="C179" s="8" t="s">
        <v>2715</v>
      </c>
      <c r="D179" s="656" t="s">
        <v>2716</v>
      </c>
      <c r="E179" s="8" t="s">
        <v>2717</v>
      </c>
      <c r="F179" s="8" t="s">
        <v>738</v>
      </c>
      <c r="G179" s="8" t="s">
        <v>40</v>
      </c>
      <c r="H179" s="8" t="s">
        <v>59</v>
      </c>
      <c r="I179" s="642">
        <v>43817</v>
      </c>
      <c r="J179" s="18">
        <v>44085</v>
      </c>
      <c r="K179" s="642">
        <v>44085</v>
      </c>
      <c r="L179" s="16">
        <f>IF(ISTEXT(Table15[[#This Row],[Engineering Approved Design Date]]),Table15[[#This Row],[Date Completed]]-Table15[[#This Row],[Date Assigned to Designer]],Table15[[#This Row],[Engineering Approved Design Date]]-Table15[[#This Row],[Date Completed]])</f>
        <v>0</v>
      </c>
      <c r="M179" s="642"/>
      <c r="N179" s="642" t="s">
        <v>120</v>
      </c>
      <c r="O179" s="1025">
        <v>44085</v>
      </c>
      <c r="P179" s="21" t="s">
        <v>739</v>
      </c>
      <c r="Q179" s="340">
        <f>R179*AA179</f>
        <v>37343.99</v>
      </c>
      <c r="R179" s="1026">
        <v>0.1</v>
      </c>
      <c r="S179" s="538" t="s">
        <v>709</v>
      </c>
      <c r="T179" s="538" t="s">
        <v>709</v>
      </c>
      <c r="U179" s="28" t="s">
        <v>709</v>
      </c>
      <c r="V179" s="858">
        <v>696</v>
      </c>
      <c r="W179" s="437"/>
      <c r="X179" s="538">
        <v>309770.11</v>
      </c>
      <c r="Y179" s="550" t="s">
        <v>115</v>
      </c>
      <c r="Z179" s="551">
        <v>63669.79</v>
      </c>
      <c r="AA179" s="551">
        <f>X179+Z179</f>
        <v>373439.89999999997</v>
      </c>
      <c r="AB179" s="341"/>
      <c r="AC179" s="568"/>
      <c r="AD179" s="1157"/>
      <c r="AE179" s="579"/>
      <c r="AF179" s="579"/>
      <c r="AG179" s="579"/>
      <c r="AH179" s="553"/>
      <c r="AI179" s="1036"/>
      <c r="AJ179" s="1037"/>
      <c r="AK179" s="1037"/>
      <c r="AL179" s="1038"/>
      <c r="AM179" s="1522" t="s">
        <v>116</v>
      </c>
      <c r="AN179" s="1523">
        <v>44127</v>
      </c>
      <c r="AO179" s="1524">
        <v>182870</v>
      </c>
      <c r="AP179" s="1525">
        <v>309893.15000000002</v>
      </c>
      <c r="AQ179" s="1525"/>
      <c r="AR179" s="1525">
        <v>65233.8</v>
      </c>
      <c r="AS179" s="1525">
        <f>IF(Table15[[#This Row],[PCTS Approved]]="N",0,Table15[[#This Row],[Investment Amount (1'#'#'#'#'#)]]+Table15[[#This Row],[Retirement Amount (3'#'#'#'#'#)]])</f>
        <v>375126.95</v>
      </c>
      <c r="AT179" s="1525">
        <f>IF(Table15[[#This Row],[Approved Construction Cost]]=0,0,Table15[[#This Row],[Approved Construction Cost]]-Table15[[#This Row],[Construction Cost to Bill From]])</f>
        <v>1687.0500000000466</v>
      </c>
      <c r="AU179" s="1525">
        <f>Table15[[#This Row],[Difference in Construction Cost]]*Table15[[#This Row],[Rate]]</f>
        <v>168.70500000000467</v>
      </c>
      <c r="AV179" s="1525" t="s">
        <v>709</v>
      </c>
      <c r="AW179" s="1526" t="s">
        <v>2718</v>
      </c>
      <c r="AX179" s="1525">
        <v>168.70500000000467</v>
      </c>
      <c r="AY179" s="1518">
        <v>44501</v>
      </c>
      <c r="AZ179" s="333"/>
      <c r="BA179" s="1031" t="s">
        <v>2719</v>
      </c>
      <c r="BB179" s="543" t="s">
        <v>2720</v>
      </c>
      <c r="BC179" s="588"/>
      <c r="BD179" s="588"/>
      <c r="BE179" s="588"/>
      <c r="BF179" s="588"/>
      <c r="BG179" s="588"/>
      <c r="BH179" s="615"/>
      <c r="BI179" s="547" t="s">
        <v>709</v>
      </c>
      <c r="BJ179" s="547" t="s">
        <v>709</v>
      </c>
      <c r="BK179" s="547" t="s">
        <v>709</v>
      </c>
      <c r="BL179" s="547" t="s">
        <v>116</v>
      </c>
      <c r="BM179" s="547" t="s">
        <v>709</v>
      </c>
      <c r="BN179" s="547" t="s">
        <v>709</v>
      </c>
      <c r="BO179" s="547" t="s">
        <v>709</v>
      </c>
      <c r="BP179" s="547" t="s">
        <v>709</v>
      </c>
      <c r="BQ179" s="547" t="s">
        <v>709</v>
      </c>
      <c r="BR179" s="547">
        <v>550</v>
      </c>
      <c r="BS179" s="547">
        <v>146</v>
      </c>
      <c r="BT179" s="547" t="s">
        <v>709</v>
      </c>
      <c r="BU179" s="547" t="s">
        <v>709</v>
      </c>
      <c r="BV179" s="547" t="s">
        <v>709</v>
      </c>
      <c r="BW179" s="547" t="s">
        <v>709</v>
      </c>
      <c r="BX179" s="547" t="s">
        <v>709</v>
      </c>
      <c r="BY179" s="547" t="s">
        <v>709</v>
      </c>
      <c r="BZ179" s="547" t="s">
        <v>709</v>
      </c>
      <c r="CA179" s="483"/>
      <c r="CB179" s="547">
        <v>177</v>
      </c>
      <c r="CC179" s="1481" t="b">
        <v>1</v>
      </c>
      <c r="CD179" t="str">
        <f>Table15[[#This Row],[Engineering Number]]&amp;Table15[[#This Row],[WO Number]]&amp;Table15[[#This Row],[Date Assigned to Designer]]&amp;Table15[[#This Row],[Date Completed]]</f>
        <v>M113521204614381744085</v>
      </c>
    </row>
    <row r="180" spans="1:82" customFormat="1" ht="15" customHeight="1" x14ac:dyDescent="0.25">
      <c r="A180">
        <v>2020</v>
      </c>
      <c r="B180" s="8" t="s">
        <v>4</v>
      </c>
      <c r="C180" s="8" t="s">
        <v>106</v>
      </c>
      <c r="D180" s="8" t="s">
        <v>2722</v>
      </c>
      <c r="E180" s="8" t="s">
        <v>108</v>
      </c>
      <c r="F180" s="8" t="s">
        <v>325</v>
      </c>
      <c r="G180" s="8" t="s">
        <v>36</v>
      </c>
      <c r="H180" s="99" t="s">
        <v>2723</v>
      </c>
      <c r="I180" s="642">
        <v>43705</v>
      </c>
      <c r="J180" s="175" t="s">
        <v>2724</v>
      </c>
      <c r="K180" s="642">
        <v>44088</v>
      </c>
      <c r="L180" s="16">
        <f>IF(ISTEXT(Table15[[#This Row],[Engineering Approved Design Date]]),Table15[[#This Row],[Date Completed]]-Table15[[#This Row],[Date Assigned to Designer]],Table15[[#This Row],[Engineering Approved Design Date]]-Table15[[#This Row],[Date Completed]])</f>
        <v>383</v>
      </c>
      <c r="M180" s="642" t="s">
        <v>2725</v>
      </c>
      <c r="N180" s="642" t="s">
        <v>120</v>
      </c>
      <c r="O180" s="1025">
        <v>44105</v>
      </c>
      <c r="P180" s="21" t="s">
        <v>739</v>
      </c>
      <c r="Q180" s="340">
        <f>IF(Table15[[#This Row],[Shactee Effort]]="N",0,Table15[[#This Row],[Shactee Effort]])+IF(Table15[[#This Row],[3rd Party Effort]]="N",0,Table15[[#This Row],[3rd Party Effort]])+Table15[[#This Row],[KH Hourly Effort]]</f>
        <v>3305</v>
      </c>
      <c r="R180" s="1026" t="s">
        <v>1922</v>
      </c>
      <c r="S180" s="538" t="s">
        <v>709</v>
      </c>
      <c r="T180" s="538" t="s">
        <v>709</v>
      </c>
      <c r="U180" s="28">
        <v>3305</v>
      </c>
      <c r="V180" s="858"/>
      <c r="W180" s="437"/>
      <c r="X180" s="538"/>
      <c r="Y180" s="550"/>
      <c r="Z180" s="538"/>
      <c r="AA180" s="561"/>
      <c r="AB180" s="474"/>
      <c r="AC180" s="574"/>
      <c r="AD180" s="1156"/>
      <c r="AE180" s="1040"/>
      <c r="AF180" s="1040"/>
      <c r="AG180" s="1040"/>
      <c r="AH180" s="1041"/>
      <c r="AI180" s="1042"/>
      <c r="AJ180" s="1043"/>
      <c r="AK180" s="1043"/>
      <c r="AL180" s="1044"/>
      <c r="AM180" s="542" t="s">
        <v>709</v>
      </c>
      <c r="AN180" s="924"/>
      <c r="AO180" s="925"/>
      <c r="AP180" s="926"/>
      <c r="AQ180" s="926"/>
      <c r="AR180" s="926"/>
      <c r="AS180" s="926"/>
      <c r="AT180" s="926"/>
      <c r="AU180" s="926"/>
      <c r="AV180" s="926"/>
      <c r="AW180" s="927"/>
      <c r="AX180" s="926"/>
      <c r="AY180" s="1538" t="s">
        <v>29</v>
      </c>
      <c r="AZ180" s="1530"/>
      <c r="BA180" s="1031"/>
      <c r="BB180" s="543"/>
      <c r="BC180" s="588"/>
      <c r="BD180" s="588"/>
      <c r="BE180" s="588"/>
      <c r="BF180" s="588"/>
      <c r="BG180" s="588"/>
      <c r="BH180" s="615"/>
      <c r="BI180" s="547" t="s">
        <v>709</v>
      </c>
      <c r="BJ180" s="547" t="s">
        <v>709</v>
      </c>
      <c r="BK180" s="547" t="s">
        <v>709</v>
      </c>
      <c r="BL180" s="547" t="s">
        <v>116</v>
      </c>
      <c r="BM180" s="547" t="s">
        <v>709</v>
      </c>
      <c r="BN180" s="547">
        <v>959</v>
      </c>
      <c r="BO180" s="547" t="s">
        <v>709</v>
      </c>
      <c r="BP180" s="547">
        <v>2838</v>
      </c>
      <c r="BQ180" s="547" t="s">
        <v>709</v>
      </c>
      <c r="BR180" s="547">
        <v>116</v>
      </c>
      <c r="BS180" s="547">
        <v>51</v>
      </c>
      <c r="BT180" s="547" t="s">
        <v>709</v>
      </c>
      <c r="BU180" s="547" t="s">
        <v>709</v>
      </c>
      <c r="BV180" s="547" t="s">
        <v>709</v>
      </c>
      <c r="BW180" s="547" t="s">
        <v>709</v>
      </c>
      <c r="BX180" s="547" t="s">
        <v>709</v>
      </c>
      <c r="BY180" s="547" t="s">
        <v>709</v>
      </c>
      <c r="BZ180" s="547" t="s">
        <v>709</v>
      </c>
      <c r="CA180" s="483"/>
      <c r="CB180" s="547">
        <v>178</v>
      </c>
      <c r="CC180" s="1481" t="b">
        <v>1</v>
      </c>
      <c r="CD180" t="str">
        <f>Table15[[#This Row],[Engineering Number]]&amp;Table15[[#This Row],[WO Number]]&amp;Table15[[#This Row],[Date Assigned to Designer]]&amp;Table15[[#This Row],[Date Completed]]</f>
        <v>N126881291794370544088</v>
      </c>
    </row>
    <row r="181" spans="1:82" customFormat="1" ht="15" customHeight="1" x14ac:dyDescent="0.25">
      <c r="A181">
        <v>2021</v>
      </c>
      <c r="B181" s="8" t="s">
        <v>4</v>
      </c>
      <c r="C181" s="8" t="s">
        <v>2727</v>
      </c>
      <c r="D181" s="656" t="s">
        <v>2728</v>
      </c>
      <c r="E181" s="8" t="s">
        <v>2729</v>
      </c>
      <c r="F181" s="8" t="s">
        <v>919</v>
      </c>
      <c r="G181" s="8" t="s">
        <v>1882</v>
      </c>
      <c r="H181" s="8" t="s">
        <v>59</v>
      </c>
      <c r="I181" s="642">
        <v>44001</v>
      </c>
      <c r="J181" s="18">
        <v>44092</v>
      </c>
      <c r="K181" s="642">
        <v>44091</v>
      </c>
      <c r="L181" s="16">
        <f>IF(ISTEXT(Table15[[#This Row],[Engineering Approved Design Date]]),Table15[[#This Row],[Date Completed]]-Table15[[#This Row],[Date Assigned to Designer]],Table15[[#This Row],[Engineering Approved Design Date]]-Table15[[#This Row],[Date Completed]])</f>
        <v>1</v>
      </c>
      <c r="M181" s="642"/>
      <c r="N181" s="642" t="s">
        <v>120</v>
      </c>
      <c r="O181" s="1025">
        <v>44091</v>
      </c>
      <c r="P181" s="21" t="s">
        <v>739</v>
      </c>
      <c r="Q181" s="340">
        <f>R181*AA181</f>
        <v>12726.877</v>
      </c>
      <c r="R181" s="1026">
        <v>0.1</v>
      </c>
      <c r="S181" s="538" t="s">
        <v>709</v>
      </c>
      <c r="T181" s="538" t="s">
        <v>709</v>
      </c>
      <c r="U181" s="28" t="s">
        <v>709</v>
      </c>
      <c r="V181" s="858">
        <v>947</v>
      </c>
      <c r="W181" s="437"/>
      <c r="X181" s="538">
        <v>107037.06</v>
      </c>
      <c r="Y181" s="550"/>
      <c r="Z181" s="551">
        <v>20231.71</v>
      </c>
      <c r="AA181" s="551">
        <f>X181+Z181</f>
        <v>127268.76999999999</v>
      </c>
      <c r="AB181" s="341"/>
      <c r="AC181" s="568"/>
      <c r="AD181" s="1157"/>
      <c r="AE181" s="579"/>
      <c r="AF181" s="579"/>
      <c r="AG181" s="569"/>
      <c r="AH181" s="553"/>
      <c r="AI181" s="1036"/>
      <c r="AJ181" s="1037"/>
      <c r="AK181" s="1037"/>
      <c r="AL181" s="1038"/>
      <c r="AM181" s="1522" t="s">
        <v>116</v>
      </c>
      <c r="AN181" s="1523">
        <v>44272</v>
      </c>
      <c r="AO181" s="1524">
        <v>187742</v>
      </c>
      <c r="AP181" s="1525">
        <v>107352.6</v>
      </c>
      <c r="AQ181" s="1525"/>
      <c r="AR181" s="1525">
        <v>20313.62</v>
      </c>
      <c r="AS181" s="1525">
        <f>IF(Table15[[#This Row],[PCTS Approved]]="N",0,Table15[[#This Row],[Investment Amount (1'#'#'#'#'#)]]+Table15[[#This Row],[Retirement Amount (3'#'#'#'#'#)]])</f>
        <v>127666.22</v>
      </c>
      <c r="AT181" s="1525">
        <f>IF(Table15[[#This Row],[Approved Construction Cost]]=0,0,Table15[[#This Row],[Approved Construction Cost]]-Table15[[#This Row],[Construction Cost to Bill From]])</f>
        <v>397.45000000001164</v>
      </c>
      <c r="AU181" s="1525">
        <f>Table15[[#This Row],[Difference in Construction Cost]]*Table15[[#This Row],[Rate]]</f>
        <v>39.74500000000117</v>
      </c>
      <c r="AV181" s="1525" t="s">
        <v>709</v>
      </c>
      <c r="AW181" s="1526" t="s">
        <v>2730</v>
      </c>
      <c r="AX181" s="1525">
        <v>39.74500000000117</v>
      </c>
      <c r="AY181" s="1518">
        <v>44501</v>
      </c>
      <c r="AZ181" s="333"/>
      <c r="BA181" s="1031" t="s">
        <v>2731</v>
      </c>
      <c r="BB181" s="543" t="s">
        <v>2732</v>
      </c>
      <c r="BC181" s="588" t="s">
        <v>709</v>
      </c>
      <c r="BD181" s="588" t="s">
        <v>709</v>
      </c>
      <c r="BE181" s="588" t="s">
        <v>2733</v>
      </c>
      <c r="BF181" s="588" t="s">
        <v>709</v>
      </c>
      <c r="BG181" s="588" t="s">
        <v>709</v>
      </c>
      <c r="BH181" s="615"/>
      <c r="BI181" s="547" t="s">
        <v>709</v>
      </c>
      <c r="BJ181" s="547" t="s">
        <v>709</v>
      </c>
      <c r="BK181" s="547" t="s">
        <v>709</v>
      </c>
      <c r="BL181" s="547" t="s">
        <v>116</v>
      </c>
      <c r="BM181" s="547" t="s">
        <v>709</v>
      </c>
      <c r="BN181" s="547" t="s">
        <v>709</v>
      </c>
      <c r="BO181" s="547" t="s">
        <v>709</v>
      </c>
      <c r="BP181" s="547" t="s">
        <v>709</v>
      </c>
      <c r="BQ181" s="547" t="s">
        <v>709</v>
      </c>
      <c r="BR181" s="547">
        <v>335</v>
      </c>
      <c r="BS181" s="547">
        <v>612</v>
      </c>
      <c r="BT181" s="547" t="s">
        <v>709</v>
      </c>
      <c r="BU181" s="547" t="s">
        <v>709</v>
      </c>
      <c r="BV181" s="547" t="s">
        <v>709</v>
      </c>
      <c r="BW181" s="547" t="s">
        <v>709</v>
      </c>
      <c r="BX181" s="547" t="s">
        <v>709</v>
      </c>
      <c r="BY181" s="547" t="s">
        <v>709</v>
      </c>
      <c r="BZ181" s="547" t="s">
        <v>709</v>
      </c>
      <c r="CA181" s="483"/>
      <c r="CB181" s="547">
        <v>179</v>
      </c>
      <c r="CC181" s="1481" t="b">
        <v>1</v>
      </c>
      <c r="CD181" t="str">
        <f>Table15[[#This Row],[Engineering Number]]&amp;Table15[[#This Row],[WO Number]]&amp;Table15[[#This Row],[Date Assigned to Designer]]&amp;Table15[[#This Row],[Date Completed]]</f>
        <v>SC168071408134400144091</v>
      </c>
    </row>
    <row r="182" spans="1:82" customFormat="1" ht="15" customHeight="1" x14ac:dyDescent="0.25">
      <c r="A182">
        <v>2020</v>
      </c>
      <c r="B182" s="8" t="s">
        <v>771</v>
      </c>
      <c r="C182" s="8" t="s">
        <v>2302</v>
      </c>
      <c r="D182" s="8" t="s">
        <v>2303</v>
      </c>
      <c r="E182" s="8" t="s">
        <v>2304</v>
      </c>
      <c r="F182" s="8" t="s">
        <v>919</v>
      </c>
      <c r="G182" s="8" t="s">
        <v>36</v>
      </c>
      <c r="H182" s="8" t="s">
        <v>2051</v>
      </c>
      <c r="I182" s="642">
        <v>43613</v>
      </c>
      <c r="J182" s="18" t="s">
        <v>2052</v>
      </c>
      <c r="K182" s="642">
        <v>44092</v>
      </c>
      <c r="L182" s="16">
        <f>IF(ISTEXT(Table15[[#This Row],[Engineering Approved Design Date]]),Table15[[#This Row],[Date Completed]]-Table15[[#This Row],[Date Assigned to Designer]],Table15[[#This Row],[Engineering Approved Design Date]]-Table15[[#This Row],[Date Completed]])</f>
        <v>479</v>
      </c>
      <c r="M182" s="642" t="s">
        <v>2735</v>
      </c>
      <c r="N182" s="642" t="s">
        <v>120</v>
      </c>
      <c r="O182" s="1025">
        <v>44092</v>
      </c>
      <c r="P182" s="21" t="s">
        <v>120</v>
      </c>
      <c r="Q182" s="340">
        <f>IF(Table15[[#This Row],[Shactee Effort]]="N",0,Table15[[#This Row],[Shactee Effort]])+IF(Table15[[#This Row],[3rd Party Effort]]="N",0,Table15[[#This Row],[3rd Party Effort]])+Table15[[#This Row],[KH Hourly Effort]]</f>
        <v>9135</v>
      </c>
      <c r="R182" s="1026" t="s">
        <v>1922</v>
      </c>
      <c r="S182" s="538" t="s">
        <v>709</v>
      </c>
      <c r="T182" s="538" t="s">
        <v>709</v>
      </c>
      <c r="U182" s="28">
        <v>9135</v>
      </c>
      <c r="V182" s="858"/>
      <c r="W182" s="437"/>
      <c r="X182" s="538"/>
      <c r="Y182" s="551"/>
      <c r="Z182" s="538"/>
      <c r="AA182" s="538"/>
      <c r="AB182" s="21"/>
      <c r="AC182" s="569"/>
      <c r="AD182" s="1149"/>
      <c r="AE182" s="569"/>
      <c r="AF182" s="569"/>
      <c r="AG182" s="569"/>
      <c r="AH182" s="536"/>
      <c r="AI182" s="1028"/>
      <c r="AJ182" s="1029"/>
      <c r="AK182" s="1029"/>
      <c r="AL182" s="1030"/>
      <c r="AM182" s="542" t="s">
        <v>709</v>
      </c>
      <c r="AN182" s="924"/>
      <c r="AO182" s="925"/>
      <c r="AP182" s="926"/>
      <c r="AQ182" s="926"/>
      <c r="AR182" s="926"/>
      <c r="AS182" s="926"/>
      <c r="AT182" s="926"/>
      <c r="AU182" s="926"/>
      <c r="AV182" s="926"/>
      <c r="AW182" s="927"/>
      <c r="AX182" s="926"/>
      <c r="AY182" s="1538" t="s">
        <v>29</v>
      </c>
      <c r="AZ182" s="1530"/>
      <c r="BA182" s="1031">
        <v>3</v>
      </c>
      <c r="BB182" s="644"/>
      <c r="BC182" s="544"/>
      <c r="BD182" s="544"/>
      <c r="BE182" s="544"/>
      <c r="BF182" s="544"/>
      <c r="BG182" s="544"/>
      <c r="BH182" s="741"/>
      <c r="BI182" s="547" t="s">
        <v>709</v>
      </c>
      <c r="BJ182" s="547" t="s">
        <v>709</v>
      </c>
      <c r="BK182" s="547" t="s">
        <v>709</v>
      </c>
      <c r="BL182" s="547" t="s">
        <v>116</v>
      </c>
      <c r="BM182" s="547" t="s">
        <v>709</v>
      </c>
      <c r="BN182" s="547" t="s">
        <v>709</v>
      </c>
      <c r="BO182" s="547" t="s">
        <v>709</v>
      </c>
      <c r="BP182" s="547">
        <v>4592</v>
      </c>
      <c r="BQ182" s="547">
        <v>1768</v>
      </c>
      <c r="BR182" s="547">
        <v>22</v>
      </c>
      <c r="BS182" s="547">
        <v>15367</v>
      </c>
      <c r="BT182" s="547" t="s">
        <v>709</v>
      </c>
      <c r="BU182" s="547" t="s">
        <v>709</v>
      </c>
      <c r="BV182" s="547" t="s">
        <v>745</v>
      </c>
      <c r="BW182" s="547" t="s">
        <v>709</v>
      </c>
      <c r="BX182" s="547" t="s">
        <v>745</v>
      </c>
      <c r="BY182" s="547" t="s">
        <v>745</v>
      </c>
      <c r="BZ182" s="547" t="s">
        <v>709</v>
      </c>
      <c r="CA182" s="483"/>
      <c r="CB182" s="547">
        <v>180</v>
      </c>
      <c r="CC182" s="1481" t="b">
        <v>1</v>
      </c>
      <c r="CD182" t="str">
        <f>Table15[[#This Row],[Engineering Number]]&amp;Table15[[#This Row],[WO Number]]&amp;Table15[[#This Row],[Date Assigned to Designer]]&amp;Table15[[#This Row],[Date Completed]]</f>
        <v>BS4031203024361344092</v>
      </c>
    </row>
    <row r="183" spans="1:82" customFormat="1" ht="15" customHeight="1" x14ac:dyDescent="0.25">
      <c r="A183">
        <v>2020</v>
      </c>
      <c r="B183" s="8" t="s">
        <v>1073</v>
      </c>
      <c r="C183" s="8" t="s">
        <v>2737</v>
      </c>
      <c r="D183" s="8">
        <v>150706</v>
      </c>
      <c r="E183" s="8" t="s">
        <v>104</v>
      </c>
      <c r="F183" s="8" t="s">
        <v>738</v>
      </c>
      <c r="G183" s="8" t="s">
        <v>1882</v>
      </c>
      <c r="H183" s="8" t="s">
        <v>59</v>
      </c>
      <c r="I183" s="642">
        <v>44054</v>
      </c>
      <c r="J183" s="18">
        <v>44103</v>
      </c>
      <c r="K183" s="642">
        <v>44099</v>
      </c>
      <c r="L183" s="16">
        <f>IF(ISTEXT(Table15[[#This Row],[Engineering Approved Design Date]]),Table15[[#This Row],[Date Completed]]-Table15[[#This Row],[Date Assigned to Designer]],Table15[[#This Row],[Engineering Approved Design Date]]-Table15[[#This Row],[Date Completed]])</f>
        <v>4</v>
      </c>
      <c r="M183" s="642"/>
      <c r="N183" s="642" t="s">
        <v>120</v>
      </c>
      <c r="O183" s="1025">
        <v>44105</v>
      </c>
      <c r="P183" s="21" t="s">
        <v>739</v>
      </c>
      <c r="Q183" s="1151" t="s">
        <v>115</v>
      </c>
      <c r="R183" s="1026" t="s">
        <v>115</v>
      </c>
      <c r="S183" s="538" t="s">
        <v>115</v>
      </c>
      <c r="T183" s="538" t="s">
        <v>709</v>
      </c>
      <c r="U183" s="28" t="s">
        <v>115</v>
      </c>
      <c r="V183" s="858"/>
      <c r="W183" s="437"/>
      <c r="X183" s="538">
        <v>42466.03</v>
      </c>
      <c r="Y183" s="551"/>
      <c r="Z183" s="538"/>
      <c r="AA183" s="538"/>
      <c r="AB183" s="21"/>
      <c r="AC183" s="569"/>
      <c r="AD183" s="1149"/>
      <c r="AE183" s="569"/>
      <c r="AF183" s="569"/>
      <c r="AG183" s="569"/>
      <c r="AH183" s="536"/>
      <c r="AI183" s="1028"/>
      <c r="AJ183" s="1029"/>
      <c r="AK183" s="1029"/>
      <c r="AL183" s="1030"/>
      <c r="AM183" s="542" t="s">
        <v>709</v>
      </c>
      <c r="AN183" s="924"/>
      <c r="AO183" s="925"/>
      <c r="AP183" s="926"/>
      <c r="AQ183" s="926"/>
      <c r="AR183" s="926"/>
      <c r="AS183" s="926"/>
      <c r="AT183" s="926"/>
      <c r="AU183" s="926"/>
      <c r="AV183" s="926"/>
      <c r="AW183" s="927"/>
      <c r="AX183" s="926"/>
      <c r="AY183" s="1538" t="s">
        <v>29</v>
      </c>
      <c r="AZ183" s="1530"/>
      <c r="BA183" s="1031" t="s">
        <v>2738</v>
      </c>
      <c r="BB183" s="644"/>
      <c r="BC183" s="544"/>
      <c r="BD183" s="544"/>
      <c r="BE183" s="544"/>
      <c r="BF183" s="544"/>
      <c r="BG183" s="544"/>
      <c r="BH183" s="741"/>
      <c r="BI183" s="547" t="s">
        <v>709</v>
      </c>
      <c r="BJ183" s="547" t="s">
        <v>709</v>
      </c>
      <c r="BK183" s="547" t="s">
        <v>116</v>
      </c>
      <c r="BL183" s="547" t="s">
        <v>116</v>
      </c>
      <c r="BM183" s="547" t="s">
        <v>709</v>
      </c>
      <c r="BN183" s="547" t="s">
        <v>709</v>
      </c>
      <c r="BO183" s="547" t="s">
        <v>709</v>
      </c>
      <c r="BP183" s="547" t="s">
        <v>709</v>
      </c>
      <c r="BQ183" s="547" t="s">
        <v>709</v>
      </c>
      <c r="BR183" s="547">
        <v>107</v>
      </c>
      <c r="BS183" s="547" t="s">
        <v>709</v>
      </c>
      <c r="BT183" s="547" t="s">
        <v>709</v>
      </c>
      <c r="BU183" s="547" t="s">
        <v>709</v>
      </c>
      <c r="BV183" s="547" t="s">
        <v>709</v>
      </c>
      <c r="BW183" s="547" t="s">
        <v>709</v>
      </c>
      <c r="BX183" s="547" t="s">
        <v>709</v>
      </c>
      <c r="BY183" s="547" t="s">
        <v>1602</v>
      </c>
      <c r="BZ183" s="547" t="s">
        <v>709</v>
      </c>
      <c r="CA183" s="483" t="s">
        <v>2739</v>
      </c>
      <c r="CB183" s="547">
        <v>181</v>
      </c>
      <c r="CC183" s="1481" t="b">
        <v>1</v>
      </c>
      <c r="CD183" t="str">
        <f>Table15[[#This Row],[Engineering Number]]&amp;Table15[[#This Row],[WO Number]]&amp;Table15[[#This Row],[Date Assigned to Designer]]&amp;Table15[[#This Row],[Date Completed]]</f>
        <v>NBA18608171507064405444099</v>
      </c>
    </row>
    <row r="184" spans="1:82" customFormat="1" ht="15" customHeight="1" x14ac:dyDescent="0.25">
      <c r="A184">
        <v>2020</v>
      </c>
      <c r="B184" s="8" t="s">
        <v>1073</v>
      </c>
      <c r="C184" s="8" t="s">
        <v>2737</v>
      </c>
      <c r="D184" s="656" t="s">
        <v>2747</v>
      </c>
      <c r="E184" s="8" t="s">
        <v>104</v>
      </c>
      <c r="F184" s="8" t="s">
        <v>738</v>
      </c>
      <c r="G184" s="8" t="s">
        <v>1882</v>
      </c>
      <c r="H184" s="8" t="s">
        <v>59</v>
      </c>
      <c r="I184" s="642">
        <v>44054</v>
      </c>
      <c r="J184" s="18">
        <v>44103</v>
      </c>
      <c r="K184" s="642">
        <v>44099</v>
      </c>
      <c r="L184" s="16">
        <f>IF(ISTEXT(Table15[[#This Row],[Engineering Approved Design Date]]),Table15[[#This Row],[Date Completed]]-Table15[[#This Row],[Date Assigned to Designer]],Table15[[#This Row],[Engineering Approved Design Date]]-Table15[[#This Row],[Date Completed]])</f>
        <v>4</v>
      </c>
      <c r="M184" s="642" t="s">
        <v>2748</v>
      </c>
      <c r="N184" s="642" t="s">
        <v>120</v>
      </c>
      <c r="O184" s="1025">
        <v>44105</v>
      </c>
      <c r="P184" s="21" t="s">
        <v>739</v>
      </c>
      <c r="Q184" s="340">
        <f>R184*AA184</f>
        <v>8909.5636000000013</v>
      </c>
      <c r="R184" s="1026">
        <v>7.0000000000000007E-2</v>
      </c>
      <c r="S184" s="538">
        <v>498</v>
      </c>
      <c r="T184" s="538" t="s">
        <v>709</v>
      </c>
      <c r="U184" s="28">
        <v>18092.5</v>
      </c>
      <c r="V184" s="858">
        <v>107</v>
      </c>
      <c r="W184" s="437"/>
      <c r="X184" s="538">
        <f>75549.52+42466.03</f>
        <v>118015.55</v>
      </c>
      <c r="Y184" s="551"/>
      <c r="Z184" s="551">
        <v>9263.93</v>
      </c>
      <c r="AA184" s="551">
        <f>X184+Z184</f>
        <v>127279.48000000001</v>
      </c>
      <c r="AB184" s="341"/>
      <c r="AC184" s="568"/>
      <c r="AD184" s="1157"/>
      <c r="AE184" s="568"/>
      <c r="AF184" s="568"/>
      <c r="AG184" s="568"/>
      <c r="AH184" s="183"/>
      <c r="AI184" s="1036"/>
      <c r="AJ184" s="1037"/>
      <c r="AK184" s="1037"/>
      <c r="AL184" s="1038"/>
      <c r="AM184" s="542" t="s">
        <v>116</v>
      </c>
      <c r="AN184" s="1508">
        <v>44124</v>
      </c>
      <c r="AO184" s="925">
        <v>185847</v>
      </c>
      <c r="AP184" s="926">
        <v>75549.52</v>
      </c>
      <c r="AQ184" s="926"/>
      <c r="AR184" s="926">
        <v>9263.93</v>
      </c>
      <c r="AS184" s="926">
        <f>IF(Table15[[#This Row],[PCTS Approved]]="N",0,Table15[[#This Row],[Investment Amount (1'#'#'#'#'#)]]+Table15[[#This Row],[Retirement Amount (3'#'#'#'#'#)]])</f>
        <v>84813.450000000012</v>
      </c>
      <c r="AT184" s="926">
        <f>IF(Table15[[#This Row],[Approved Construction Cost]]=0,0,Table15[[#This Row],[Approved Construction Cost]]-Table15[[#This Row],[Construction Cost to Bill From]])</f>
        <v>-42466.03</v>
      </c>
      <c r="AU184" s="926">
        <f>Table15[[#This Row],[Difference in Construction Cost]]*Table15[[#This Row],[Rate]]</f>
        <v>-2972.6221</v>
      </c>
      <c r="AV184" s="926" t="s">
        <v>709</v>
      </c>
      <c r="AW184" s="927" t="s">
        <v>2749</v>
      </c>
      <c r="AX184" s="926"/>
      <c r="AY184" s="636" t="s">
        <v>1935</v>
      </c>
      <c r="AZ184" s="1531"/>
      <c r="BA184" s="1031" t="s">
        <v>2750</v>
      </c>
      <c r="BB184" s="543"/>
      <c r="BC184" s="588"/>
      <c r="BD184" s="588"/>
      <c r="BE184" s="588"/>
      <c r="BF184" s="588"/>
      <c r="BG184" s="588"/>
      <c r="BH184" s="615"/>
      <c r="BI184" s="547" t="s">
        <v>709</v>
      </c>
      <c r="BJ184" s="547" t="s">
        <v>709</v>
      </c>
      <c r="BK184" s="547" t="s">
        <v>116</v>
      </c>
      <c r="BL184" s="547" t="s">
        <v>116</v>
      </c>
      <c r="BM184" s="547" t="s">
        <v>709</v>
      </c>
      <c r="BN184" s="547" t="s">
        <v>709</v>
      </c>
      <c r="BO184" s="547" t="s">
        <v>709</v>
      </c>
      <c r="BP184" s="547" t="s">
        <v>709</v>
      </c>
      <c r="BQ184" s="547" t="s">
        <v>709</v>
      </c>
      <c r="BR184" s="547">
        <v>107</v>
      </c>
      <c r="BS184" s="547" t="s">
        <v>709</v>
      </c>
      <c r="BT184" s="547" t="s">
        <v>709</v>
      </c>
      <c r="BU184" s="547" t="s">
        <v>709</v>
      </c>
      <c r="BV184" s="547" t="s">
        <v>709</v>
      </c>
      <c r="BW184" s="547" t="s">
        <v>709</v>
      </c>
      <c r="BX184" s="547" t="s">
        <v>709</v>
      </c>
      <c r="BY184" s="547" t="s">
        <v>1602</v>
      </c>
      <c r="BZ184" s="547" t="s">
        <v>709</v>
      </c>
      <c r="CA184" s="483" t="s">
        <v>2739</v>
      </c>
      <c r="CB184" s="547">
        <v>182</v>
      </c>
      <c r="CC184" s="1481" t="b">
        <v>1</v>
      </c>
      <c r="CD184" t="str">
        <f>Table15[[#This Row],[Engineering Number]]&amp;Table15[[#This Row],[WO Number]]&amp;Table15[[#This Row],[Date Assigned to Designer]]&amp;Table15[[#This Row],[Date Completed]]</f>
        <v>NBA18608171507054405444099</v>
      </c>
    </row>
    <row r="185" spans="1:82" customFormat="1" ht="15" customHeight="1" x14ac:dyDescent="0.25">
      <c r="A185">
        <v>2020</v>
      </c>
      <c r="B185" s="8" t="s">
        <v>4</v>
      </c>
      <c r="C185" s="8" t="s">
        <v>2741</v>
      </c>
      <c r="D185" s="656" t="s">
        <v>2742</v>
      </c>
      <c r="E185" s="8" t="s">
        <v>1149</v>
      </c>
      <c r="F185" s="8" t="s">
        <v>919</v>
      </c>
      <c r="G185" s="8" t="s">
        <v>2743</v>
      </c>
      <c r="H185" s="8" t="s">
        <v>59</v>
      </c>
      <c r="I185" s="642">
        <v>44069</v>
      </c>
      <c r="J185" s="18">
        <v>44099</v>
      </c>
      <c r="K185" s="642">
        <v>44099</v>
      </c>
      <c r="L185" s="16">
        <f>IF(ISTEXT(Table15[[#This Row],[Engineering Approved Design Date]]),Table15[[#This Row],[Date Completed]]-Table15[[#This Row],[Date Assigned to Designer]],Table15[[#This Row],[Engineering Approved Design Date]]-Table15[[#This Row],[Date Completed]])</f>
        <v>0</v>
      </c>
      <c r="M185" s="642"/>
      <c r="N185" s="642" t="s">
        <v>120</v>
      </c>
      <c r="O185" s="1025">
        <v>44105</v>
      </c>
      <c r="P185" s="21" t="s">
        <v>739</v>
      </c>
      <c r="Q185" s="340">
        <f>R185*AA185</f>
        <v>20164.179</v>
      </c>
      <c r="R185" s="1026">
        <v>0.1</v>
      </c>
      <c r="S185" s="538" t="s">
        <v>709</v>
      </c>
      <c r="T185" s="538" t="s">
        <v>709</v>
      </c>
      <c r="U185" s="28" t="s">
        <v>709</v>
      </c>
      <c r="V185" s="858">
        <f>392+321</f>
        <v>713</v>
      </c>
      <c r="W185" s="437"/>
      <c r="X185" s="538">
        <v>173378.43</v>
      </c>
      <c r="Y185" s="550"/>
      <c r="Z185" s="538">
        <v>28263.360000000001</v>
      </c>
      <c r="AA185" s="551">
        <f>X185+Z185</f>
        <v>201641.78999999998</v>
      </c>
      <c r="AB185" s="341"/>
      <c r="AC185" s="568"/>
      <c r="AD185" s="1157"/>
      <c r="AE185" s="579"/>
      <c r="AF185" s="579"/>
      <c r="AG185" s="579"/>
      <c r="AH185" s="553"/>
      <c r="AI185" s="1036"/>
      <c r="AJ185" s="1037"/>
      <c r="AK185" s="1037"/>
      <c r="AL185" s="1038"/>
      <c r="AM185" s="1522" t="s">
        <v>116</v>
      </c>
      <c r="AN185" s="1523">
        <v>44106</v>
      </c>
      <c r="AO185" s="1524">
        <v>185334</v>
      </c>
      <c r="AP185" s="1525">
        <v>151720.49</v>
      </c>
      <c r="AQ185" s="1525"/>
      <c r="AR185" s="1525">
        <v>28262.799999999999</v>
      </c>
      <c r="AS185" s="1525">
        <f>IF(Table15[[#This Row],[PCTS Approved]]="N",0,Table15[[#This Row],[Investment Amount (1'#'#'#'#'#)]]+Table15[[#This Row],[Retirement Amount (3'#'#'#'#'#)]])</f>
        <v>179983.28999999998</v>
      </c>
      <c r="AT185" s="1525">
        <f>IF(Table15[[#This Row],[Approved Construction Cost]]=0,0,Table15[[#This Row],[Approved Construction Cost]]-Table15[[#This Row],[Construction Cost to Bill From]])</f>
        <v>-21658.5</v>
      </c>
      <c r="AU185" s="1525">
        <f>Table15[[#This Row],[Difference in Construction Cost]]*Table15[[#This Row],[Rate]]</f>
        <v>-2165.85</v>
      </c>
      <c r="AV185" s="1525" t="s">
        <v>709</v>
      </c>
      <c r="AW185" s="1526"/>
      <c r="AX185" s="1525">
        <v>-2165.85</v>
      </c>
      <c r="AY185" s="1518">
        <v>44501</v>
      </c>
      <c r="AZ185" s="333"/>
      <c r="BA185" s="1031" t="s">
        <v>2744</v>
      </c>
      <c r="BB185" s="644" t="s">
        <v>2745</v>
      </c>
      <c r="BC185" s="544"/>
      <c r="BD185" s="544"/>
      <c r="BE185" s="544"/>
      <c r="BF185" s="544"/>
      <c r="BG185" s="544"/>
      <c r="BH185" s="741"/>
      <c r="BI185" s="547" t="s">
        <v>709</v>
      </c>
      <c r="BJ185" s="547" t="s">
        <v>709</v>
      </c>
      <c r="BK185" s="547" t="s">
        <v>709</v>
      </c>
      <c r="BL185" s="547" t="s">
        <v>116</v>
      </c>
      <c r="BM185" s="547" t="s">
        <v>709</v>
      </c>
      <c r="BN185" s="547" t="s">
        <v>709</v>
      </c>
      <c r="BO185" s="547" t="s">
        <v>709</v>
      </c>
      <c r="BP185" s="547" t="s">
        <v>709</v>
      </c>
      <c r="BQ185" s="547" t="s">
        <v>709</v>
      </c>
      <c r="BR185" s="547">
        <v>321</v>
      </c>
      <c r="BS185" s="547">
        <v>392</v>
      </c>
      <c r="BT185" s="547" t="s">
        <v>709</v>
      </c>
      <c r="BU185" s="547" t="s">
        <v>709</v>
      </c>
      <c r="BV185" s="547" t="s">
        <v>709</v>
      </c>
      <c r="BW185" s="547" t="s">
        <v>709</v>
      </c>
      <c r="BX185" s="547" t="s">
        <v>709</v>
      </c>
      <c r="BY185" s="547" t="s">
        <v>709</v>
      </c>
      <c r="BZ185" s="547" t="s">
        <v>709</v>
      </c>
      <c r="CA185" s="483"/>
      <c r="CB185" s="547">
        <v>183</v>
      </c>
      <c r="CC185" s="1481" t="b">
        <v>1</v>
      </c>
      <c r="CD185" t="str">
        <f>Table15[[#This Row],[Engineering Number]]&amp;Table15[[#This Row],[WO Number]]&amp;Table15[[#This Row],[Date Assigned to Designer]]&amp;Table15[[#This Row],[Date Completed]]</f>
        <v>SC182861356924406944099</v>
      </c>
    </row>
    <row r="186" spans="1:82" customFormat="1" ht="15" customHeight="1" x14ac:dyDescent="0.25">
      <c r="A186">
        <v>2021</v>
      </c>
      <c r="B186" s="8" t="s">
        <v>771</v>
      </c>
      <c r="C186" s="8" t="s">
        <v>2752</v>
      </c>
      <c r="D186" s="8" t="s">
        <v>2753</v>
      </c>
      <c r="E186" s="8" t="s">
        <v>137</v>
      </c>
      <c r="F186" s="8" t="s">
        <v>738</v>
      </c>
      <c r="G186" s="8" t="s">
        <v>36</v>
      </c>
      <c r="H186" s="8" t="s">
        <v>59</v>
      </c>
      <c r="I186" s="642">
        <v>44019</v>
      </c>
      <c r="J186" s="18">
        <v>44111</v>
      </c>
      <c r="K186" s="642">
        <v>44110</v>
      </c>
      <c r="L186" s="16">
        <f>IF(ISTEXT(Table15[[#This Row],[Engineering Approved Design Date]]),Table15[[#This Row],[Date Completed]]-Table15[[#This Row],[Date Assigned to Designer]],Table15[[#This Row],[Engineering Approved Design Date]]-Table15[[#This Row],[Date Completed]])</f>
        <v>1</v>
      </c>
      <c r="M186" s="642"/>
      <c r="N186" s="642" t="s">
        <v>120</v>
      </c>
      <c r="O186" s="1025">
        <v>44110</v>
      </c>
      <c r="P186" s="21" t="s">
        <v>120</v>
      </c>
      <c r="Q186" s="340">
        <f>1.55*V186</f>
        <v>22637.75</v>
      </c>
      <c r="R186" s="1026" t="s">
        <v>2087</v>
      </c>
      <c r="S186" s="538" t="s">
        <v>709</v>
      </c>
      <c r="T186" s="538" t="s">
        <v>709</v>
      </c>
      <c r="U186" s="28" t="s">
        <v>709</v>
      </c>
      <c r="V186" s="858">
        <f>14413+192</f>
        <v>14605</v>
      </c>
      <c r="W186" s="437"/>
      <c r="X186" s="538">
        <v>1635668.3</v>
      </c>
      <c r="Y186" s="550"/>
      <c r="Z186" s="538">
        <v>63317.31</v>
      </c>
      <c r="AA186" s="551"/>
      <c r="AB186" s="341"/>
      <c r="AC186" s="568"/>
      <c r="AD186" s="1157"/>
      <c r="AE186" s="568"/>
      <c r="AF186" s="568"/>
      <c r="AG186" s="568"/>
      <c r="AH186" s="183"/>
      <c r="AI186" s="1036"/>
      <c r="AJ186" s="1037"/>
      <c r="AK186" s="1037"/>
      <c r="AL186" s="1038"/>
      <c r="AM186" s="542" t="s">
        <v>709</v>
      </c>
      <c r="AN186" s="924"/>
      <c r="AO186" s="925"/>
      <c r="AP186" s="926"/>
      <c r="AQ186" s="926"/>
      <c r="AR186" s="926"/>
      <c r="AS186" s="926"/>
      <c r="AT186" s="926"/>
      <c r="AU186" s="926"/>
      <c r="AV186" s="926"/>
      <c r="AW186" s="927"/>
      <c r="AX186" s="926"/>
      <c r="AY186" s="1538" t="s">
        <v>29</v>
      </c>
      <c r="AZ186" s="1530"/>
      <c r="BA186" s="1031" t="s">
        <v>2754</v>
      </c>
      <c r="BB186" s="644">
        <v>9</v>
      </c>
      <c r="BC186" s="544" t="s">
        <v>116</v>
      </c>
      <c r="BD186" s="544" t="s">
        <v>709</v>
      </c>
      <c r="BE186" s="544" t="s">
        <v>2484</v>
      </c>
      <c r="BF186" s="544" t="s">
        <v>709</v>
      </c>
      <c r="BG186" s="544" t="s">
        <v>709</v>
      </c>
      <c r="BH186" s="741"/>
      <c r="BI186" s="547" t="s">
        <v>709</v>
      </c>
      <c r="BJ186" s="547" t="s">
        <v>709</v>
      </c>
      <c r="BK186" s="547" t="s">
        <v>709</v>
      </c>
      <c r="BL186" s="547" t="s">
        <v>116</v>
      </c>
      <c r="BM186" s="547" t="s">
        <v>709</v>
      </c>
      <c r="BN186" s="547" t="s">
        <v>709</v>
      </c>
      <c r="BO186" s="547" t="s">
        <v>709</v>
      </c>
      <c r="BP186" s="547" t="s">
        <v>709</v>
      </c>
      <c r="BQ186" s="547" t="s">
        <v>709</v>
      </c>
      <c r="BR186" s="547">
        <v>192</v>
      </c>
      <c r="BS186" s="547">
        <v>14413</v>
      </c>
      <c r="BT186" s="547" t="s">
        <v>709</v>
      </c>
      <c r="BU186" s="547" t="s">
        <v>709</v>
      </c>
      <c r="BV186" s="547" t="s">
        <v>709</v>
      </c>
      <c r="BW186" s="547" t="s">
        <v>709</v>
      </c>
      <c r="BX186" s="547" t="s">
        <v>709</v>
      </c>
      <c r="BY186" s="547" t="s">
        <v>709</v>
      </c>
      <c r="BZ186" s="547" t="s">
        <v>709</v>
      </c>
      <c r="CA186" s="483"/>
      <c r="CB186" s="547">
        <v>184</v>
      </c>
      <c r="CC186" s="1481" t="b">
        <v>1</v>
      </c>
      <c r="CD186" t="str">
        <f>Table15[[#This Row],[Engineering Number]]&amp;Table15[[#This Row],[WO Number]]&amp;Table15[[#This Row],[Date Assigned to Designer]]&amp;Table15[[#This Row],[Date Completed]]</f>
        <v>VW2291205004401944110</v>
      </c>
    </row>
    <row r="187" spans="1:82" customFormat="1" ht="15" customHeight="1" x14ac:dyDescent="0.25">
      <c r="A187">
        <v>2020</v>
      </c>
      <c r="B187" s="8" t="s">
        <v>771</v>
      </c>
      <c r="C187" s="8" t="s">
        <v>2359</v>
      </c>
      <c r="D187" s="8" t="s">
        <v>2360</v>
      </c>
      <c r="E187" s="8" t="s">
        <v>2361</v>
      </c>
      <c r="F187" s="8" t="s">
        <v>919</v>
      </c>
      <c r="G187" s="8" t="s">
        <v>1882</v>
      </c>
      <c r="H187" s="8" t="s">
        <v>2051</v>
      </c>
      <c r="I187" s="642">
        <v>43783</v>
      </c>
      <c r="J187" s="18" t="s">
        <v>2052</v>
      </c>
      <c r="K187" s="642">
        <v>44111</v>
      </c>
      <c r="L187" s="16">
        <f>IF(ISTEXT(Table15[[#This Row],[Engineering Approved Design Date]]),Table15[[#This Row],[Date Completed]]-Table15[[#This Row],[Date Assigned to Designer]],Table15[[#This Row],[Engineering Approved Design Date]]-Table15[[#This Row],[Date Completed]])</f>
        <v>328</v>
      </c>
      <c r="M187" s="642" t="s">
        <v>2756</v>
      </c>
      <c r="N187" s="642" t="s">
        <v>120</v>
      </c>
      <c r="O187" s="1025">
        <v>44111</v>
      </c>
      <c r="P187" s="21" t="s">
        <v>120</v>
      </c>
      <c r="Q187" s="340">
        <f>IF(Table15[[#This Row],[Shactee Effort]]="N",0,Table15[[#This Row],[Shactee Effort]])+IF(Table15[[#This Row],[3rd Party Effort]]="N",0,Table15[[#This Row],[3rd Party Effort]])+Table15[[#This Row],[KH Hourly Effort]]</f>
        <v>19785</v>
      </c>
      <c r="R187" s="1026" t="s">
        <v>1922</v>
      </c>
      <c r="S187" s="538" t="s">
        <v>709</v>
      </c>
      <c r="T187" s="538" t="s">
        <v>709</v>
      </c>
      <c r="U187" s="28">
        <v>19785</v>
      </c>
      <c r="V187" s="858"/>
      <c r="W187" s="437"/>
      <c r="X187" s="556"/>
      <c r="Y187" s="550"/>
      <c r="Z187" s="556"/>
      <c r="AA187" s="538"/>
      <c r="AB187" s="21"/>
      <c r="AC187" s="569"/>
      <c r="AD187" s="1149"/>
      <c r="AE187" s="569"/>
      <c r="AF187" s="569"/>
      <c r="AG187" s="569"/>
      <c r="AH187" s="536"/>
      <c r="AI187" s="1028"/>
      <c r="AJ187" s="1029"/>
      <c r="AK187" s="1029"/>
      <c r="AL187" s="1030"/>
      <c r="AM187" s="542" t="s">
        <v>709</v>
      </c>
      <c r="AN187" s="924"/>
      <c r="AO187" s="925"/>
      <c r="AP187" s="926"/>
      <c r="AQ187" s="926"/>
      <c r="AR187" s="926"/>
      <c r="AS187" s="926"/>
      <c r="AT187" s="926"/>
      <c r="AU187" s="926"/>
      <c r="AV187" s="926"/>
      <c r="AW187" s="927"/>
      <c r="AX187" s="926"/>
      <c r="AY187" s="1538" t="s">
        <v>29</v>
      </c>
      <c r="AZ187" s="1530"/>
      <c r="BA187" s="1031">
        <v>3</v>
      </c>
      <c r="BB187" s="644"/>
      <c r="BC187" s="544"/>
      <c r="BD187" s="544"/>
      <c r="BE187" s="544"/>
      <c r="BF187" s="544"/>
      <c r="BG187" s="544"/>
      <c r="BH187" s="741"/>
      <c r="BI187" s="547" t="s">
        <v>709</v>
      </c>
      <c r="BJ187" s="547" t="s">
        <v>709</v>
      </c>
      <c r="BK187" s="547" t="s">
        <v>709</v>
      </c>
      <c r="BL187" s="547" t="s">
        <v>116</v>
      </c>
      <c r="BM187" s="547" t="s">
        <v>709</v>
      </c>
      <c r="BN187" s="547" t="s">
        <v>709</v>
      </c>
      <c r="BO187" s="547" t="s">
        <v>709</v>
      </c>
      <c r="BP187" s="547" t="s">
        <v>709</v>
      </c>
      <c r="BQ187" s="547" t="s">
        <v>709</v>
      </c>
      <c r="BR187" s="547" t="s">
        <v>709</v>
      </c>
      <c r="BS187" s="547">
        <v>22573</v>
      </c>
      <c r="BT187" s="547" t="s">
        <v>709</v>
      </c>
      <c r="BU187" s="547" t="s">
        <v>709</v>
      </c>
      <c r="BV187" s="547" t="s">
        <v>709</v>
      </c>
      <c r="BW187" s="547" t="s">
        <v>709</v>
      </c>
      <c r="BX187" s="547" t="s">
        <v>709</v>
      </c>
      <c r="BY187" s="547" t="s">
        <v>709</v>
      </c>
      <c r="BZ187" s="547" t="s">
        <v>709</v>
      </c>
      <c r="CA187" s="483"/>
      <c r="CB187" s="547">
        <v>185</v>
      </c>
      <c r="CC187" s="1481" t="b">
        <v>1</v>
      </c>
      <c r="CD187" t="str">
        <f>Table15[[#This Row],[Engineering Number]]&amp;Table15[[#This Row],[WO Number]]&amp;Table15[[#This Row],[Date Assigned to Designer]]&amp;Table15[[#This Row],[Date Completed]]</f>
        <v>BS1151204064378344111</v>
      </c>
    </row>
    <row r="188" spans="1:82" customFormat="1" ht="15" customHeight="1" x14ac:dyDescent="0.25">
      <c r="A188">
        <v>2021</v>
      </c>
      <c r="B188" s="8" t="s">
        <v>4</v>
      </c>
      <c r="C188" s="8" t="s">
        <v>2763</v>
      </c>
      <c r="D188" s="656" t="s">
        <v>2764</v>
      </c>
      <c r="E188" s="8" t="s">
        <v>76</v>
      </c>
      <c r="F188" s="8" t="s">
        <v>738</v>
      </c>
      <c r="G188" s="8" t="s">
        <v>2765</v>
      </c>
      <c r="H188" s="8" t="s">
        <v>59</v>
      </c>
      <c r="I188" s="642">
        <v>44034</v>
      </c>
      <c r="J188" s="18">
        <v>44113</v>
      </c>
      <c r="K188" s="642">
        <v>44112</v>
      </c>
      <c r="L188" s="16">
        <f>IF(ISTEXT(Table15[[#This Row],[Engineering Approved Design Date]]),Table15[[#This Row],[Date Completed]]-Table15[[#This Row],[Date Assigned to Designer]],Table15[[#This Row],[Engineering Approved Design Date]]-Table15[[#This Row],[Date Completed]])</f>
        <v>1</v>
      </c>
      <c r="M188" s="642"/>
      <c r="N188" s="642" t="s">
        <v>120</v>
      </c>
      <c r="O188" s="1025">
        <v>44112</v>
      </c>
      <c r="P188" s="21" t="s">
        <v>739</v>
      </c>
      <c r="Q188" s="340">
        <f>R188*AA188</f>
        <v>43633.222000000009</v>
      </c>
      <c r="R188" s="1026">
        <v>0.1</v>
      </c>
      <c r="S188" s="538" t="s">
        <v>709</v>
      </c>
      <c r="T188" s="538" t="s">
        <v>709</v>
      </c>
      <c r="U188" s="28" t="s">
        <v>709</v>
      </c>
      <c r="V188" s="858">
        <v>1232</v>
      </c>
      <c r="W188" s="437"/>
      <c r="X188" s="538">
        <v>378956.09</v>
      </c>
      <c r="Y188" s="550"/>
      <c r="Z188" s="538">
        <v>57376.13</v>
      </c>
      <c r="AA188" s="551">
        <f>X188+Z188</f>
        <v>436332.22000000003</v>
      </c>
      <c r="AB188" s="341"/>
      <c r="AC188" s="568"/>
      <c r="AD188" s="1157"/>
      <c r="AE188" s="579"/>
      <c r="AF188" s="579"/>
      <c r="AG188" s="579"/>
      <c r="AH188" s="553"/>
      <c r="AI188" s="1036"/>
      <c r="AJ188" s="1037"/>
      <c r="AK188" s="1037"/>
      <c r="AL188" s="1038"/>
      <c r="AM188" s="542" t="s">
        <v>116</v>
      </c>
      <c r="AN188" s="1508">
        <v>44165</v>
      </c>
      <c r="AO188" s="925">
        <v>188181</v>
      </c>
      <c r="AP188" s="926">
        <v>378956.09</v>
      </c>
      <c r="AQ188" s="926"/>
      <c r="AR188" s="926">
        <v>57376.13</v>
      </c>
      <c r="AS188" s="926">
        <f>IF(Table15[[#This Row],[PCTS Approved]]="N",0,Table15[[#This Row],[Investment Amount (1'#'#'#'#'#)]]+Table15[[#This Row],[Retirement Amount (3'#'#'#'#'#)]])</f>
        <v>436332.22000000003</v>
      </c>
      <c r="AT188" s="926">
        <f>IF(Table15[[#This Row],[Approved Construction Cost]]=0,0,Table15[[#This Row],[Approved Construction Cost]]-Table15[[#This Row],[Construction Cost to Bill From]])</f>
        <v>0</v>
      </c>
      <c r="AU188" s="926">
        <f>Table15[[#This Row],[Difference in Construction Cost]]*Table15[[#This Row],[Rate]]</f>
        <v>0</v>
      </c>
      <c r="AV188" s="926" t="s">
        <v>709</v>
      </c>
      <c r="AW188" s="927"/>
      <c r="AX188" s="926"/>
      <c r="AY188" s="636" t="s">
        <v>1935</v>
      </c>
      <c r="AZ188" s="1531"/>
      <c r="BA188" s="1031" t="s">
        <v>2766</v>
      </c>
      <c r="BB188" s="644" t="s">
        <v>2767</v>
      </c>
      <c r="BC188" s="544" t="s">
        <v>116</v>
      </c>
      <c r="BD188" s="544" t="s">
        <v>709</v>
      </c>
      <c r="BE188" s="544" t="s">
        <v>2768</v>
      </c>
      <c r="BF188" s="544" t="s">
        <v>709</v>
      </c>
      <c r="BG188" s="544" t="s">
        <v>709</v>
      </c>
      <c r="BH188" s="741"/>
      <c r="BI188" s="547" t="s">
        <v>709</v>
      </c>
      <c r="BJ188" s="547" t="s">
        <v>709</v>
      </c>
      <c r="BK188" s="547" t="s">
        <v>709</v>
      </c>
      <c r="BL188" s="547" t="s">
        <v>116</v>
      </c>
      <c r="BM188" s="547" t="s">
        <v>709</v>
      </c>
      <c r="BN188" s="547" t="s">
        <v>709</v>
      </c>
      <c r="BO188" s="547" t="s">
        <v>709</v>
      </c>
      <c r="BP188" s="547" t="s">
        <v>709</v>
      </c>
      <c r="BQ188" s="547">
        <v>202</v>
      </c>
      <c r="BR188" s="547">
        <v>230</v>
      </c>
      <c r="BS188" s="547">
        <v>800</v>
      </c>
      <c r="BT188" s="547" t="s">
        <v>709</v>
      </c>
      <c r="BU188" s="547" t="s">
        <v>709</v>
      </c>
      <c r="BV188" s="547" t="s">
        <v>709</v>
      </c>
      <c r="BW188" s="547" t="s">
        <v>709</v>
      </c>
      <c r="BX188" s="547" t="s">
        <v>709</v>
      </c>
      <c r="BY188" s="547" t="s">
        <v>709</v>
      </c>
      <c r="BZ188" s="547" t="s">
        <v>709</v>
      </c>
      <c r="CA188" s="483"/>
      <c r="CB188" s="547">
        <v>186</v>
      </c>
      <c r="CC188" s="1481" t="b">
        <v>1</v>
      </c>
      <c r="CD188" t="str">
        <f>Table15[[#This Row],[Engineering Number]]&amp;Table15[[#This Row],[WO Number]]&amp;Table15[[#This Row],[Date Assigned to Designer]]&amp;Table15[[#This Row],[Date Completed]]</f>
        <v>N132791292604403444112</v>
      </c>
    </row>
    <row r="189" spans="1:82" customFormat="1" ht="15" customHeight="1" x14ac:dyDescent="0.25">
      <c r="A189">
        <v>2020</v>
      </c>
      <c r="B189" s="8" t="s">
        <v>4</v>
      </c>
      <c r="C189" s="8" t="s">
        <v>2758</v>
      </c>
      <c r="D189" s="8" t="s">
        <v>115</v>
      </c>
      <c r="E189" s="8" t="s">
        <v>2759</v>
      </c>
      <c r="F189" s="8" t="s">
        <v>738</v>
      </c>
      <c r="G189" s="8" t="s">
        <v>1896</v>
      </c>
      <c r="H189" s="8" t="s">
        <v>1903</v>
      </c>
      <c r="I189" s="642">
        <v>44096</v>
      </c>
      <c r="J189" s="18">
        <v>44138</v>
      </c>
      <c r="K189" s="642">
        <v>44112</v>
      </c>
      <c r="L189" s="16">
        <f>IF(ISTEXT(Table15[[#This Row],[Engineering Approved Design Date]]),Table15[[#This Row],[Date Completed]]-Table15[[#This Row],[Date Assigned to Designer]],Table15[[#This Row],[Engineering Approved Design Date]]-Table15[[#This Row],[Date Completed]])</f>
        <v>26</v>
      </c>
      <c r="M189" s="642"/>
      <c r="N189" s="642" t="s">
        <v>120</v>
      </c>
      <c r="O189" s="1025">
        <v>44112</v>
      </c>
      <c r="P189" s="21" t="s">
        <v>739</v>
      </c>
      <c r="Q189" s="340" t="s">
        <v>115</v>
      </c>
      <c r="R189" s="1026" t="s">
        <v>115</v>
      </c>
      <c r="S189" s="538"/>
      <c r="T189" s="538"/>
      <c r="U189" s="28"/>
      <c r="V189" s="858"/>
      <c r="W189" s="437"/>
      <c r="X189" s="556"/>
      <c r="Y189" s="550"/>
      <c r="Z189" s="556"/>
      <c r="AA189" s="551">
        <v>0</v>
      </c>
      <c r="AB189" s="341"/>
      <c r="AC189" s="568"/>
      <c r="AD189" s="1157"/>
      <c r="AE189" s="579"/>
      <c r="AF189" s="579"/>
      <c r="AG189" s="579"/>
      <c r="AH189" s="553"/>
      <c r="AI189" s="1036"/>
      <c r="AJ189" s="1037"/>
      <c r="AK189" s="1037"/>
      <c r="AL189" s="1038"/>
      <c r="AM189" s="542" t="s">
        <v>709</v>
      </c>
      <c r="AN189" s="924"/>
      <c r="AO189" s="925"/>
      <c r="AP189" s="926"/>
      <c r="AQ189" s="926"/>
      <c r="AR189" s="926"/>
      <c r="AS189" s="926"/>
      <c r="AT189" s="926"/>
      <c r="AU189" s="926"/>
      <c r="AV189" s="926"/>
      <c r="AW189" s="927"/>
      <c r="AX189" s="926"/>
      <c r="AY189" s="1538" t="s">
        <v>29</v>
      </c>
      <c r="AZ189" s="1532"/>
      <c r="BA189" s="1031" t="s">
        <v>2760</v>
      </c>
      <c r="BB189" s="644" t="s">
        <v>2761</v>
      </c>
      <c r="BC189" s="544"/>
      <c r="BD189" s="544"/>
      <c r="BE189" s="544"/>
      <c r="BF189" s="544"/>
      <c r="BG189" s="544"/>
      <c r="BH189" s="741"/>
      <c r="BI189" s="1032"/>
      <c r="BJ189" s="1032"/>
      <c r="BK189" s="1032"/>
      <c r="BL189" s="1032"/>
      <c r="BM189" s="1032"/>
      <c r="BN189" s="1032"/>
      <c r="BO189" s="1032"/>
      <c r="BP189" s="1032"/>
      <c r="BQ189" s="1032"/>
      <c r="BR189" s="1032"/>
      <c r="BS189" s="1032"/>
      <c r="BT189" s="1032"/>
      <c r="BU189" s="1032"/>
      <c r="BV189" s="1032"/>
      <c r="BW189" s="1032"/>
      <c r="BX189" s="1032"/>
      <c r="BY189" s="1032"/>
      <c r="BZ189" s="1032"/>
      <c r="CA189" s="485"/>
      <c r="CB189" s="547">
        <v>187</v>
      </c>
      <c r="CC189" s="1481" t="b">
        <v>1</v>
      </c>
      <c r="CD189" t="str">
        <f>Table15[[#This Row],[Engineering Number]]&amp;Table15[[#This Row],[WO Number]]&amp;Table15[[#This Row],[Date Assigned to Designer]]&amp;Table15[[#This Row],[Date Completed]]</f>
        <v>N13054-4409644112</v>
      </c>
    </row>
    <row r="190" spans="1:82" customFormat="1" ht="15" customHeight="1" x14ac:dyDescent="0.25">
      <c r="A190">
        <v>2021</v>
      </c>
      <c r="B190" s="8" t="s">
        <v>1205</v>
      </c>
      <c r="C190" s="8" t="s">
        <v>2778</v>
      </c>
      <c r="D190" s="656" t="s">
        <v>2779</v>
      </c>
      <c r="E190" s="8" t="s">
        <v>2780</v>
      </c>
      <c r="F190" s="8" t="s">
        <v>919</v>
      </c>
      <c r="G190" s="8" t="s">
        <v>36</v>
      </c>
      <c r="H190" s="8" t="s">
        <v>59</v>
      </c>
      <c r="I190" s="642">
        <v>44034</v>
      </c>
      <c r="J190" s="18">
        <v>44119</v>
      </c>
      <c r="K190" s="642">
        <v>44119</v>
      </c>
      <c r="L190" s="16">
        <f>IF(ISTEXT(Table15[[#This Row],[Engineering Approved Design Date]]),Table15[[#This Row],[Date Completed]]-Table15[[#This Row],[Date Assigned to Designer]],Table15[[#This Row],[Engineering Approved Design Date]]-Table15[[#This Row],[Date Completed]])</f>
        <v>0</v>
      </c>
      <c r="M190" s="642"/>
      <c r="N190" s="642" t="s">
        <v>120</v>
      </c>
      <c r="O190" s="1025">
        <v>44119</v>
      </c>
      <c r="P190" s="21" t="s">
        <v>739</v>
      </c>
      <c r="Q190" s="340">
        <f>R190*AA190</f>
        <v>15824.000699999997</v>
      </c>
      <c r="R190" s="1026">
        <v>0.09</v>
      </c>
      <c r="S190" s="538"/>
      <c r="T190" s="538">
        <v>15620</v>
      </c>
      <c r="U190" s="28"/>
      <c r="V190" s="858">
        <v>261</v>
      </c>
      <c r="W190" s="437"/>
      <c r="X190" s="538">
        <v>137592.09</v>
      </c>
      <c r="Y190" s="550"/>
      <c r="Z190" s="538">
        <v>38230.14</v>
      </c>
      <c r="AA190" s="551">
        <f>X190+Z190</f>
        <v>175822.22999999998</v>
      </c>
      <c r="AB190" s="341"/>
      <c r="AC190" s="568" t="s">
        <v>709</v>
      </c>
      <c r="AD190" s="1157"/>
      <c r="AE190" s="568"/>
      <c r="AF190" s="568"/>
      <c r="AG190" s="568"/>
      <c r="AH190" s="183"/>
      <c r="AI190" s="1036"/>
      <c r="AJ190" s="1037"/>
      <c r="AK190" s="1037"/>
      <c r="AL190" s="1038"/>
      <c r="AM190" s="1522" t="s">
        <v>116</v>
      </c>
      <c r="AN190" s="1523">
        <v>44244</v>
      </c>
      <c r="AO190" s="1524">
        <v>187656</v>
      </c>
      <c r="AP190" s="1525">
        <v>137707.43</v>
      </c>
      <c r="AQ190" s="1525"/>
      <c r="AR190" s="1525">
        <v>38972.910000000003</v>
      </c>
      <c r="AS190" s="1525">
        <f>IF(Table15[[#This Row],[PCTS Approved]]="N",0,Table15[[#This Row],[Investment Amount (1'#'#'#'#'#)]]+Table15[[#This Row],[Retirement Amount (3'#'#'#'#'#)]])</f>
        <v>176680.34</v>
      </c>
      <c r="AT190" s="1525">
        <f>IF(Table15[[#This Row],[Approved Construction Cost]]=0,0,Table15[[#This Row],[Approved Construction Cost]]-Table15[[#This Row],[Construction Cost to Bill From]])</f>
        <v>858.11000000001513</v>
      </c>
      <c r="AU190" s="1525">
        <f>Table15[[#This Row],[Difference in Construction Cost]]*Table15[[#This Row],[Rate]]</f>
        <v>77.229900000001365</v>
      </c>
      <c r="AV190" s="1525" t="s">
        <v>709</v>
      </c>
      <c r="AW190" s="1526" t="s">
        <v>2781</v>
      </c>
      <c r="AX190" s="1525">
        <v>0</v>
      </c>
      <c r="AY190" s="1518">
        <v>44501</v>
      </c>
      <c r="AZ190" s="333"/>
      <c r="BA190" s="1031" t="s">
        <v>2782</v>
      </c>
      <c r="BB190" s="644"/>
      <c r="BC190" s="544" t="s">
        <v>709</v>
      </c>
      <c r="BD190" s="544" t="s">
        <v>757</v>
      </c>
      <c r="BE190" s="544" t="s">
        <v>709</v>
      </c>
      <c r="BF190" s="544" t="s">
        <v>709</v>
      </c>
      <c r="BG190" s="544" t="s">
        <v>709</v>
      </c>
      <c r="BH190" s="741"/>
      <c r="BI190" s="547" t="s">
        <v>709</v>
      </c>
      <c r="BJ190" s="547" t="s">
        <v>709</v>
      </c>
      <c r="BK190" s="547" t="s">
        <v>709</v>
      </c>
      <c r="BL190" s="547" t="s">
        <v>116</v>
      </c>
      <c r="BM190" s="547" t="s">
        <v>709</v>
      </c>
      <c r="BN190" s="547" t="s">
        <v>709</v>
      </c>
      <c r="BO190" s="547" t="s">
        <v>709</v>
      </c>
      <c r="BP190" s="547" t="s">
        <v>709</v>
      </c>
      <c r="BQ190" s="547" t="s">
        <v>709</v>
      </c>
      <c r="BR190" s="547">
        <v>261</v>
      </c>
      <c r="BS190" s="547" t="s">
        <v>709</v>
      </c>
      <c r="BT190" s="547" t="s">
        <v>745</v>
      </c>
      <c r="BU190" s="547" t="s">
        <v>709</v>
      </c>
      <c r="BV190" s="547" t="s">
        <v>745</v>
      </c>
      <c r="BW190" s="547" t="s">
        <v>709</v>
      </c>
      <c r="BX190" s="547" t="s">
        <v>745</v>
      </c>
      <c r="BY190" s="547" t="s">
        <v>745</v>
      </c>
      <c r="BZ190" s="547" t="s">
        <v>709</v>
      </c>
      <c r="CA190" s="483"/>
      <c r="CB190" s="547">
        <v>191</v>
      </c>
      <c r="CC190" s="1481" t="b">
        <v>1</v>
      </c>
      <c r="CD190" t="str">
        <f>Table15[[#This Row],[Engineering Number]]&amp;Table15[[#This Row],[WO Number]]&amp;Table15[[#This Row],[Date Assigned to Designer]]&amp;Table15[[#This Row],[Date Completed]]</f>
        <v>MR13441408054403444119</v>
      </c>
    </row>
    <row r="191" spans="1:82" customFormat="1" ht="15" customHeight="1" x14ac:dyDescent="0.25">
      <c r="A191">
        <v>2020</v>
      </c>
      <c r="B191" s="8" t="s">
        <v>4</v>
      </c>
      <c r="C191" s="8" t="s">
        <v>2773</v>
      </c>
      <c r="D191" s="8" t="s">
        <v>2774</v>
      </c>
      <c r="E191" s="8" t="s">
        <v>975</v>
      </c>
      <c r="F191" s="8" t="s">
        <v>919</v>
      </c>
      <c r="G191" s="8" t="s">
        <v>2743</v>
      </c>
      <c r="H191" s="8" t="s">
        <v>1903</v>
      </c>
      <c r="I191" s="642">
        <v>43592</v>
      </c>
      <c r="J191" s="18">
        <v>44134</v>
      </c>
      <c r="K191" s="642">
        <v>44119</v>
      </c>
      <c r="L191" s="16">
        <f>IF(ISTEXT(Table15[[#This Row],[Engineering Approved Design Date]]),Table15[[#This Row],[Date Completed]]-Table15[[#This Row],[Date Assigned to Designer]],Table15[[#This Row],[Engineering Approved Design Date]]-Table15[[#This Row],[Date Completed]])</f>
        <v>15</v>
      </c>
      <c r="M191" s="642"/>
      <c r="N191" s="642" t="s">
        <v>120</v>
      </c>
      <c r="O191" s="1025">
        <v>44119</v>
      </c>
      <c r="P191" s="21" t="s">
        <v>739</v>
      </c>
      <c r="Q191" s="340" t="s">
        <v>115</v>
      </c>
      <c r="R191" s="1026" t="s">
        <v>115</v>
      </c>
      <c r="S191" s="538"/>
      <c r="T191" s="538"/>
      <c r="U191" s="28"/>
      <c r="V191" s="858"/>
      <c r="W191" s="437"/>
      <c r="X191" s="556"/>
      <c r="Y191" s="550"/>
      <c r="Z191" s="556"/>
      <c r="AA191" s="551"/>
      <c r="AB191" s="341"/>
      <c r="AC191" s="568"/>
      <c r="AD191" s="1157"/>
      <c r="AE191" s="579"/>
      <c r="AF191" s="579"/>
      <c r="AG191" s="579"/>
      <c r="AH191" s="553"/>
      <c r="AI191" s="1036"/>
      <c r="AJ191" s="1037"/>
      <c r="AK191" s="1037"/>
      <c r="AL191" s="1038"/>
      <c r="AM191" s="542" t="s">
        <v>709</v>
      </c>
      <c r="AN191" s="924"/>
      <c r="AO191" s="925"/>
      <c r="AP191" s="926"/>
      <c r="AQ191" s="926"/>
      <c r="AR191" s="926"/>
      <c r="AS191" s="926"/>
      <c r="AT191" s="926"/>
      <c r="AU191" s="926"/>
      <c r="AV191" s="926"/>
      <c r="AW191" s="927"/>
      <c r="AX191" s="926"/>
      <c r="AY191" s="1538" t="s">
        <v>29</v>
      </c>
      <c r="AZ191" s="1530"/>
      <c r="BA191" s="1031" t="s">
        <v>2775</v>
      </c>
      <c r="BB191" s="644" t="s">
        <v>709</v>
      </c>
      <c r="BC191" s="544"/>
      <c r="BD191" s="544"/>
      <c r="BE191" s="544"/>
      <c r="BF191" s="544"/>
      <c r="BG191" s="544"/>
      <c r="BH191" s="741"/>
      <c r="BI191" s="1032"/>
      <c r="BJ191" s="1032"/>
      <c r="BK191" s="1032"/>
      <c r="BL191" s="1032"/>
      <c r="BM191" s="1032"/>
      <c r="BN191" s="1032"/>
      <c r="BO191" s="1032"/>
      <c r="BP191" s="1032"/>
      <c r="BQ191" s="1032"/>
      <c r="BR191" s="1032"/>
      <c r="BS191" s="1032"/>
      <c r="BT191" s="1032"/>
      <c r="BU191" s="1032"/>
      <c r="BV191" s="1032"/>
      <c r="BW191" s="1032"/>
      <c r="BX191" s="1032"/>
      <c r="BY191" s="1032"/>
      <c r="BZ191" s="1032"/>
      <c r="CA191" s="485"/>
      <c r="CB191" s="547">
        <v>190</v>
      </c>
      <c r="CC191" s="1481" t="b">
        <v>1</v>
      </c>
      <c r="CD191" t="str">
        <f>Table15[[#This Row],[Engineering Number]]&amp;Table15[[#This Row],[WO Number]]&amp;Table15[[#This Row],[Date Assigned to Designer]]&amp;Table15[[#This Row],[Date Completed]]</f>
        <v>M101601204224359244119</v>
      </c>
    </row>
    <row r="192" spans="1:82" customFormat="1" ht="15" customHeight="1" x14ac:dyDescent="0.25">
      <c r="A192">
        <v>2020</v>
      </c>
      <c r="B192" s="8" t="s">
        <v>4</v>
      </c>
      <c r="C192" s="8" t="s">
        <v>2770</v>
      </c>
      <c r="D192" s="8" t="s">
        <v>115</v>
      </c>
      <c r="E192" s="8" t="s">
        <v>1957</v>
      </c>
      <c r="F192" s="8" t="s">
        <v>738</v>
      </c>
      <c r="G192" s="8" t="s">
        <v>2765</v>
      </c>
      <c r="H192" s="8" t="s">
        <v>1681</v>
      </c>
      <c r="I192" s="642">
        <v>44034</v>
      </c>
      <c r="J192" s="18">
        <v>44134</v>
      </c>
      <c r="K192" s="642">
        <v>44119</v>
      </c>
      <c r="L192" s="16">
        <f>IF(ISTEXT(Table15[[#This Row],[Engineering Approved Design Date]]),Table15[[#This Row],[Date Completed]]-Table15[[#This Row],[Date Assigned to Designer]],Table15[[#This Row],[Engineering Approved Design Date]]-Table15[[#This Row],[Date Completed]])</f>
        <v>15</v>
      </c>
      <c r="M192" s="642"/>
      <c r="N192" s="642" t="s">
        <v>120</v>
      </c>
      <c r="O192" s="1025">
        <v>44119</v>
      </c>
      <c r="P192" s="21" t="s">
        <v>739</v>
      </c>
      <c r="Q192" s="340" t="s">
        <v>115</v>
      </c>
      <c r="R192" s="1026" t="s">
        <v>115</v>
      </c>
      <c r="S192" s="538"/>
      <c r="T192" s="538"/>
      <c r="U192" s="28"/>
      <c r="V192" s="858"/>
      <c r="W192" s="437"/>
      <c r="X192" s="556"/>
      <c r="Y192" s="550"/>
      <c r="Z192" s="556"/>
      <c r="AA192" s="551"/>
      <c r="AB192" s="341"/>
      <c r="AC192" s="568"/>
      <c r="AD192" s="1157"/>
      <c r="AE192" s="579"/>
      <c r="AF192" s="579"/>
      <c r="AG192" s="579"/>
      <c r="AH192" s="553"/>
      <c r="AI192" s="1036"/>
      <c r="AJ192" s="1037"/>
      <c r="AK192" s="1037"/>
      <c r="AL192" s="1038"/>
      <c r="AM192" s="542" t="s">
        <v>709</v>
      </c>
      <c r="AN192" s="924"/>
      <c r="AO192" s="925"/>
      <c r="AP192" s="926"/>
      <c r="AQ192" s="926"/>
      <c r="AR192" s="926"/>
      <c r="AS192" s="926"/>
      <c r="AT192" s="926"/>
      <c r="AU192" s="926"/>
      <c r="AV192" s="926"/>
      <c r="AW192" s="927"/>
      <c r="AX192" s="926"/>
      <c r="AY192" s="1538" t="s">
        <v>29</v>
      </c>
      <c r="AZ192" s="1530"/>
      <c r="BA192" s="1031" t="s">
        <v>2771</v>
      </c>
      <c r="BB192" s="644" t="s">
        <v>2288</v>
      </c>
      <c r="BC192" s="544"/>
      <c r="BD192" s="544"/>
      <c r="BE192" s="544"/>
      <c r="BF192" s="544"/>
      <c r="BG192" s="544"/>
      <c r="BH192" s="741"/>
      <c r="BI192" s="1032"/>
      <c r="BJ192" s="1032"/>
      <c r="BK192" s="1032"/>
      <c r="BL192" s="1032"/>
      <c r="BM192" s="1032"/>
      <c r="BN192" s="1032"/>
      <c r="BO192" s="1032"/>
      <c r="BP192" s="1032"/>
      <c r="BQ192" s="1032"/>
      <c r="BR192" s="1032"/>
      <c r="BS192" s="1032"/>
      <c r="BT192" s="1032"/>
      <c r="BU192" s="1032"/>
      <c r="BV192" s="1032"/>
      <c r="BW192" s="1032"/>
      <c r="BX192" s="1032"/>
      <c r="BY192" s="1032"/>
      <c r="BZ192" s="1032"/>
      <c r="CA192" s="485"/>
      <c r="CB192" s="547">
        <v>188</v>
      </c>
      <c r="CC192" s="1481" t="b">
        <v>1</v>
      </c>
      <c r="CD192" t="str">
        <f>Table15[[#This Row],[Engineering Number]]&amp;Table15[[#This Row],[WO Number]]&amp;Table15[[#This Row],[Date Assigned to Designer]]&amp;Table15[[#This Row],[Date Completed]]</f>
        <v>SC11593-4403444119</v>
      </c>
    </row>
    <row r="193" spans="1:82" customFormat="1" ht="15" customHeight="1" x14ac:dyDescent="0.25">
      <c r="A193">
        <v>2020</v>
      </c>
      <c r="B193" s="8" t="s">
        <v>4</v>
      </c>
      <c r="C193" s="8" t="s">
        <v>1147</v>
      </c>
      <c r="D193" s="656" t="s">
        <v>1148</v>
      </c>
      <c r="E193" s="8" t="s">
        <v>1149</v>
      </c>
      <c r="F193" s="8" t="s">
        <v>919</v>
      </c>
      <c r="G193" s="8" t="s">
        <v>2743</v>
      </c>
      <c r="H193" s="8" t="s">
        <v>59</v>
      </c>
      <c r="I193" s="642">
        <v>44069</v>
      </c>
      <c r="J193" s="18">
        <v>44113</v>
      </c>
      <c r="K193" s="642">
        <v>44119</v>
      </c>
      <c r="L193" s="16">
        <v>0</v>
      </c>
      <c r="M193" s="642" t="s">
        <v>1150</v>
      </c>
      <c r="N193" s="642" t="s">
        <v>120</v>
      </c>
      <c r="O193" s="1025">
        <v>44119</v>
      </c>
      <c r="P193" s="21" t="s">
        <v>739</v>
      </c>
      <c r="Q193" s="340">
        <f>R193*AA193</f>
        <v>32221.179</v>
      </c>
      <c r="R193" s="1026">
        <v>0.1</v>
      </c>
      <c r="S193" s="538"/>
      <c r="T193" s="538"/>
      <c r="U193" s="28"/>
      <c r="V193" s="858">
        <v>402</v>
      </c>
      <c r="W193" s="437"/>
      <c r="X193" s="538">
        <v>292732.42</v>
      </c>
      <c r="Y193" s="550"/>
      <c r="Z193" s="538">
        <v>29479.37</v>
      </c>
      <c r="AA193" s="551">
        <f>X193+Z193</f>
        <v>322211.78999999998</v>
      </c>
      <c r="AB193" s="341"/>
      <c r="AC193" s="568"/>
      <c r="AD193" s="1157"/>
      <c r="AE193" s="579"/>
      <c r="AF193" s="579"/>
      <c r="AG193" s="579"/>
      <c r="AH193" s="553"/>
      <c r="AI193" s="1036"/>
      <c r="AJ193" s="1037"/>
      <c r="AK193" s="1037"/>
      <c r="AL193" s="1038"/>
      <c r="AM193" s="536" t="s">
        <v>116</v>
      </c>
      <c r="AN193" s="903" t="s">
        <v>709</v>
      </c>
      <c r="AO193" s="1536" t="s">
        <v>115</v>
      </c>
      <c r="AP193" s="1537"/>
      <c r="AQ193" s="1537"/>
      <c r="AR193" s="1537"/>
      <c r="AS193" s="888">
        <f>IF(Table15[[#This Row],[PCTS Approved]]="N",0,Table15[[#This Row],[Investment Amount (1'#'#'#'#'#)]]+Table15[[#This Row],[Retirement Amount (3'#'#'#'#'#)]])</f>
        <v>0</v>
      </c>
      <c r="AT193" s="888">
        <f>IF(Table15[[#This Row],[Approved Construction Cost]]=0,0,Table15[[#This Row],[Approved Construction Cost]]-Table15[[#This Row],[Construction Cost to Bill From]])</f>
        <v>0</v>
      </c>
      <c r="AU193" s="888">
        <f>IFERROR(Table15[[#This Row],[Difference in Construction Cost]]*Table15[[#This Row],[Rate]],Table15[[#This Row],[Difference in Construction Cost]]*0.085)</f>
        <v>0</v>
      </c>
      <c r="AV193" s="905"/>
      <c r="AW193" s="1509"/>
      <c r="AX193" s="888"/>
      <c r="AY193" s="636" t="s">
        <v>709</v>
      </c>
      <c r="AZ193" s="333">
        <v>55</v>
      </c>
      <c r="BA193" s="859" t="s">
        <v>1151</v>
      </c>
      <c r="BB193" s="644"/>
      <c r="BC193" s="544"/>
      <c r="BD193" s="544"/>
      <c r="BE193" s="544"/>
      <c r="BF193" s="544"/>
      <c r="BG193" s="544"/>
      <c r="BH193" s="741"/>
      <c r="BI193" s="547" t="s">
        <v>709</v>
      </c>
      <c r="BJ193" s="547" t="s">
        <v>709</v>
      </c>
      <c r="BK193" s="547" t="s">
        <v>709</v>
      </c>
      <c r="BL193" s="547" t="s">
        <v>116</v>
      </c>
      <c r="BM193" s="547" t="s">
        <v>709</v>
      </c>
      <c r="BN193" s="547" t="s">
        <v>709</v>
      </c>
      <c r="BO193" s="547" t="s">
        <v>709</v>
      </c>
      <c r="BP193" s="547">
        <v>193</v>
      </c>
      <c r="BQ193" s="547" t="s">
        <v>709</v>
      </c>
      <c r="BR193" s="547">
        <v>48</v>
      </c>
      <c r="BS193" s="547">
        <v>161</v>
      </c>
      <c r="BT193" s="547" t="s">
        <v>745</v>
      </c>
      <c r="BU193" s="547" t="s">
        <v>709</v>
      </c>
      <c r="BV193" s="547" t="s">
        <v>745</v>
      </c>
      <c r="BW193" s="547" t="s">
        <v>709</v>
      </c>
      <c r="BX193" s="547" t="s">
        <v>745</v>
      </c>
      <c r="BY193" s="547" t="s">
        <v>745</v>
      </c>
      <c r="BZ193" s="547" t="s">
        <v>709</v>
      </c>
      <c r="CA193" s="483"/>
      <c r="CB193" s="547">
        <v>189</v>
      </c>
      <c r="CC193" s="1481" t="b">
        <v>1</v>
      </c>
      <c r="CD193" t="str">
        <f>Table15[[#This Row],[Engineering Number]]&amp;Table15[[#This Row],[WO Number]]&amp;Table15[[#This Row],[Date Assigned to Designer]]&amp;Table15[[#This Row],[Date Completed]]</f>
        <v>SC181331356964406944119</v>
      </c>
    </row>
    <row r="194" spans="1:82" customFormat="1" ht="15" customHeight="1" x14ac:dyDescent="0.25">
      <c r="A194">
        <v>2020</v>
      </c>
      <c r="B194" s="8" t="s">
        <v>1073</v>
      </c>
      <c r="C194" s="8" t="s">
        <v>2784</v>
      </c>
      <c r="D194" s="8" t="s">
        <v>2785</v>
      </c>
      <c r="E194" s="8" t="s">
        <v>2786</v>
      </c>
      <c r="F194" s="8" t="s">
        <v>919</v>
      </c>
      <c r="G194" s="8" t="s">
        <v>1882</v>
      </c>
      <c r="H194" s="8" t="s">
        <v>59</v>
      </c>
      <c r="I194" s="642">
        <v>44096</v>
      </c>
      <c r="J194" s="18">
        <v>44124</v>
      </c>
      <c r="K194" s="642">
        <v>44123</v>
      </c>
      <c r="L194" s="16">
        <f>IF(ISTEXT(Table15[[#This Row],[Engineering Approved Design Date]]),Table15[[#This Row],[Date Completed]]-Table15[[#This Row],[Date Assigned to Designer]],Table15[[#This Row],[Engineering Approved Design Date]]-Table15[[#This Row],[Date Completed]])</f>
        <v>1</v>
      </c>
      <c r="M194" s="642"/>
      <c r="N194" s="642" t="s">
        <v>120</v>
      </c>
      <c r="O194" s="1025">
        <v>44123</v>
      </c>
      <c r="P194" s="21" t="s">
        <v>739</v>
      </c>
      <c r="Q194" s="340" t="s">
        <v>115</v>
      </c>
      <c r="R194" s="1026" t="s">
        <v>115</v>
      </c>
      <c r="S194" s="538" t="s">
        <v>115</v>
      </c>
      <c r="T194" s="538" t="s">
        <v>115</v>
      </c>
      <c r="U194" s="28" t="s">
        <v>115</v>
      </c>
      <c r="V194" s="858"/>
      <c r="W194" s="437"/>
      <c r="X194" s="538" t="s">
        <v>115</v>
      </c>
      <c r="Y194" s="550"/>
      <c r="Z194" s="556"/>
      <c r="AA194" s="551"/>
      <c r="AB194" s="341"/>
      <c r="AC194" s="568"/>
      <c r="AD194" s="1157"/>
      <c r="AE194" s="568"/>
      <c r="AF194" s="568"/>
      <c r="AG194" s="568"/>
      <c r="AH194" s="183"/>
      <c r="AI194" s="1036"/>
      <c r="AJ194" s="1037"/>
      <c r="AK194" s="1037"/>
      <c r="AL194" s="1038"/>
      <c r="AM194" s="542" t="s">
        <v>709</v>
      </c>
      <c r="AN194" s="924"/>
      <c r="AO194" s="925"/>
      <c r="AP194" s="926"/>
      <c r="AQ194" s="926"/>
      <c r="AR194" s="926"/>
      <c r="AS194" s="926"/>
      <c r="AT194" s="926"/>
      <c r="AU194" s="926"/>
      <c r="AV194" s="926"/>
      <c r="AW194" s="927"/>
      <c r="AX194" s="926"/>
      <c r="AY194" s="1538" t="s">
        <v>29</v>
      </c>
      <c r="AZ194" s="1530"/>
      <c r="BA194" s="1031"/>
      <c r="BB194" s="644" t="s">
        <v>2787</v>
      </c>
      <c r="BC194" s="544"/>
      <c r="BD194" s="544"/>
      <c r="BE194" s="544"/>
      <c r="BF194" s="544"/>
      <c r="BG194" s="544"/>
      <c r="BH194" s="741"/>
      <c r="BI194" s="547" t="s">
        <v>709</v>
      </c>
      <c r="BJ194" s="547" t="s">
        <v>709</v>
      </c>
      <c r="BK194" s="547" t="s">
        <v>116</v>
      </c>
      <c r="BL194" s="547" t="s">
        <v>116</v>
      </c>
      <c r="BM194" s="547" t="s">
        <v>709</v>
      </c>
      <c r="BN194" s="547" t="s">
        <v>709</v>
      </c>
      <c r="BO194" s="547" t="s">
        <v>709</v>
      </c>
      <c r="BP194" s="547" t="s">
        <v>709</v>
      </c>
      <c r="BQ194" s="547" t="s">
        <v>709</v>
      </c>
      <c r="BR194" s="547">
        <v>309</v>
      </c>
      <c r="BS194" s="547" t="s">
        <v>709</v>
      </c>
      <c r="BT194" s="547" t="s">
        <v>709</v>
      </c>
      <c r="BU194" s="547" t="s">
        <v>709</v>
      </c>
      <c r="BV194" s="547" t="s">
        <v>745</v>
      </c>
      <c r="BW194" s="547" t="s">
        <v>709</v>
      </c>
      <c r="BX194" s="547" t="s">
        <v>745</v>
      </c>
      <c r="BY194" s="547" t="s">
        <v>2788</v>
      </c>
      <c r="BZ194" s="547" t="s">
        <v>709</v>
      </c>
      <c r="CA194" s="483" t="s">
        <v>2739</v>
      </c>
      <c r="CB194" s="547">
        <v>192</v>
      </c>
      <c r="CC194" s="1481" t="b">
        <v>1</v>
      </c>
      <c r="CD194" t="str">
        <f>Table15[[#This Row],[Engineering Number]]&amp;Table15[[#This Row],[WO Number]]&amp;Table15[[#This Row],[Date Assigned to Designer]]&amp;Table15[[#This Row],[Date Completed]]</f>
        <v>NBA18615211507194409644123</v>
      </c>
    </row>
    <row r="195" spans="1:82" customFormat="1" ht="15" customHeight="1" x14ac:dyDescent="0.25">
      <c r="A195">
        <v>2020</v>
      </c>
      <c r="B195" s="8" t="s">
        <v>1073</v>
      </c>
      <c r="C195" s="8" t="s">
        <v>2784</v>
      </c>
      <c r="D195" s="656" t="s">
        <v>2790</v>
      </c>
      <c r="E195" s="8" t="s">
        <v>2786</v>
      </c>
      <c r="F195" s="8" t="s">
        <v>919</v>
      </c>
      <c r="G195" s="8" t="s">
        <v>1882</v>
      </c>
      <c r="H195" s="8" t="s">
        <v>59</v>
      </c>
      <c r="I195" s="642">
        <v>44096</v>
      </c>
      <c r="J195" s="18">
        <v>44124</v>
      </c>
      <c r="K195" s="642">
        <v>44123</v>
      </c>
      <c r="L195" s="16">
        <f>IF(ISTEXT(Table15[[#This Row],[Engineering Approved Design Date]]),Table15[[#This Row],[Date Completed]]-Table15[[#This Row],[Date Assigned to Designer]],Table15[[#This Row],[Engineering Approved Design Date]]-Table15[[#This Row],[Date Completed]])</f>
        <v>1</v>
      </c>
      <c r="M195" s="642"/>
      <c r="N195" s="642" t="s">
        <v>120</v>
      </c>
      <c r="O195" s="1025">
        <v>44123</v>
      </c>
      <c r="P195" s="21" t="s">
        <v>739</v>
      </c>
      <c r="Q195" s="340">
        <f>R195*AA195</f>
        <v>11161.373300000001</v>
      </c>
      <c r="R195" s="1026">
        <v>7.0000000000000007E-2</v>
      </c>
      <c r="S195" s="538">
        <v>513.5</v>
      </c>
      <c r="T195" s="538" t="s">
        <v>709</v>
      </c>
      <c r="U195" s="28">
        <v>10312.5</v>
      </c>
      <c r="V195" s="858"/>
      <c r="W195" s="437"/>
      <c r="X195" s="538">
        <f>107718.23+42466.03</f>
        <v>150184.26</v>
      </c>
      <c r="Y195" s="550"/>
      <c r="Z195" s="538">
        <v>9263.93</v>
      </c>
      <c r="AA195" s="551">
        <f>X195+Z195</f>
        <v>159448.19</v>
      </c>
      <c r="AB195" s="341"/>
      <c r="AC195" s="568"/>
      <c r="AD195" s="1157"/>
      <c r="AE195" s="568"/>
      <c r="AF195" s="568"/>
      <c r="AG195" s="568"/>
      <c r="AH195" s="183"/>
      <c r="AI195" s="1036"/>
      <c r="AJ195" s="1037"/>
      <c r="AK195" s="1037"/>
      <c r="AL195" s="1038"/>
      <c r="AM195" s="1522" t="s">
        <v>116</v>
      </c>
      <c r="AN195" s="1523">
        <v>44154</v>
      </c>
      <c r="AO195" s="1524">
        <v>186196</v>
      </c>
      <c r="AP195" s="1525">
        <v>107673.45</v>
      </c>
      <c r="AQ195" s="1525"/>
      <c r="AR195" s="1525">
        <v>8708.19</v>
      </c>
      <c r="AS195" s="1525">
        <f>IF(Table15[[#This Row],[PCTS Approved]]="N",0,Table15[[#This Row],[Investment Amount (1'#'#'#'#'#)]]+Table15[[#This Row],[Retirement Amount (3'#'#'#'#'#)]])</f>
        <v>116381.64</v>
      </c>
      <c r="AT195" s="1525">
        <f>IF(Table15[[#This Row],[Approved Construction Cost]]=0,0,Table15[[#This Row],[Approved Construction Cost]]-Table15[[#This Row],[Construction Cost to Bill From]])</f>
        <v>-43066.55</v>
      </c>
      <c r="AU195" s="1525">
        <f>Table15[[#This Row],[Difference in Construction Cost]]*Table15[[#This Row],[Rate]]</f>
        <v>-3014.6585000000005</v>
      </c>
      <c r="AV195" s="1525" t="s">
        <v>709</v>
      </c>
      <c r="AW195" s="1526" t="s">
        <v>2791</v>
      </c>
      <c r="AX195" s="1525">
        <v>-3014.6585000000005</v>
      </c>
      <c r="AY195" s="1518">
        <v>44501</v>
      </c>
      <c r="AZ195" s="1532"/>
      <c r="BA195" s="1031"/>
      <c r="BB195" s="644" t="s">
        <v>2787</v>
      </c>
      <c r="BC195" s="544"/>
      <c r="BD195" s="544"/>
      <c r="BE195" s="544"/>
      <c r="BF195" s="544"/>
      <c r="BG195" s="544"/>
      <c r="BH195" s="741"/>
      <c r="BI195" s="547" t="s">
        <v>709</v>
      </c>
      <c r="BJ195" s="547" t="s">
        <v>709</v>
      </c>
      <c r="BK195" s="547" t="s">
        <v>116</v>
      </c>
      <c r="BL195" s="547" t="s">
        <v>116</v>
      </c>
      <c r="BM195" s="547" t="s">
        <v>709</v>
      </c>
      <c r="BN195" s="547" t="s">
        <v>709</v>
      </c>
      <c r="BO195" s="547" t="s">
        <v>709</v>
      </c>
      <c r="BP195" s="547" t="s">
        <v>709</v>
      </c>
      <c r="BQ195" s="547" t="s">
        <v>709</v>
      </c>
      <c r="BR195" s="547">
        <v>309</v>
      </c>
      <c r="BS195" s="547" t="s">
        <v>709</v>
      </c>
      <c r="BT195" s="547" t="s">
        <v>709</v>
      </c>
      <c r="BU195" s="547" t="s">
        <v>709</v>
      </c>
      <c r="BV195" s="547" t="s">
        <v>745</v>
      </c>
      <c r="BW195" s="547" t="s">
        <v>709</v>
      </c>
      <c r="BX195" s="547" t="s">
        <v>745</v>
      </c>
      <c r="BY195" s="547" t="s">
        <v>2788</v>
      </c>
      <c r="BZ195" s="547" t="s">
        <v>709</v>
      </c>
      <c r="CA195" s="483" t="s">
        <v>2739</v>
      </c>
      <c r="CB195" s="547">
        <v>193</v>
      </c>
      <c r="CC195" s="1481" t="b">
        <v>1</v>
      </c>
      <c r="CD195" t="str">
        <f>Table15[[#This Row],[Engineering Number]]&amp;Table15[[#This Row],[WO Number]]&amp;Table15[[#This Row],[Date Assigned to Designer]]&amp;Table15[[#This Row],[Date Completed]]</f>
        <v>NBA18615211507184409644123</v>
      </c>
    </row>
    <row r="196" spans="1:82" customFormat="1" ht="15" customHeight="1" x14ac:dyDescent="0.25">
      <c r="A196">
        <v>2021</v>
      </c>
      <c r="B196" s="8" t="s">
        <v>771</v>
      </c>
      <c r="C196" s="8" t="s">
        <v>136</v>
      </c>
      <c r="D196" s="8" t="s">
        <v>2481</v>
      </c>
      <c r="E196" s="8" t="s">
        <v>137</v>
      </c>
      <c r="F196" s="8" t="s">
        <v>325</v>
      </c>
      <c r="G196" s="8" t="s">
        <v>1882</v>
      </c>
      <c r="H196" s="8" t="s">
        <v>2051</v>
      </c>
      <c r="I196" s="642">
        <v>43852</v>
      </c>
      <c r="J196" s="18" t="s">
        <v>2052</v>
      </c>
      <c r="K196" s="642">
        <v>44124</v>
      </c>
      <c r="L196" s="16">
        <f>IF(ISTEXT(Table15[[#This Row],[Engineering Approved Design Date]]),Table15[[#This Row],[Date Completed]]-Table15[[#This Row],[Date Assigned to Designer]],Table15[[#This Row],[Engineering Approved Design Date]]-Table15[[#This Row],[Date Completed]])</f>
        <v>272</v>
      </c>
      <c r="M196" s="642" t="s">
        <v>2489</v>
      </c>
      <c r="N196" s="642" t="s">
        <v>120</v>
      </c>
      <c r="O196" s="1025">
        <v>44124</v>
      </c>
      <c r="P196" s="21" t="s">
        <v>120</v>
      </c>
      <c r="Q196" s="340">
        <f>IF(Table15[[#This Row],[Shactee Effort]]="N",0,Table15[[#This Row],[Shactee Effort]])+IF(Table15[[#This Row],[3rd Party Effort]]="N",0,Table15[[#This Row],[3rd Party Effort]])+Table15[[#This Row],[KH Hourly Effort]]</f>
        <v>11745</v>
      </c>
      <c r="R196" s="1026" t="s">
        <v>1922</v>
      </c>
      <c r="S196" s="538" t="s">
        <v>709</v>
      </c>
      <c r="T196" s="538" t="s">
        <v>709</v>
      </c>
      <c r="U196" s="28">
        <v>11745</v>
      </c>
      <c r="V196" s="858"/>
      <c r="W196" s="437"/>
      <c r="X196" s="556"/>
      <c r="Y196" s="550"/>
      <c r="Z196" s="556"/>
      <c r="AA196" s="551"/>
      <c r="AB196" s="341"/>
      <c r="AC196" s="568"/>
      <c r="AD196" s="1157"/>
      <c r="AE196" s="568"/>
      <c r="AF196" s="568"/>
      <c r="AG196" s="568"/>
      <c r="AH196" s="183"/>
      <c r="AI196" s="1036"/>
      <c r="AJ196" s="1037"/>
      <c r="AK196" s="1037"/>
      <c r="AL196" s="1038"/>
      <c r="AM196" s="542" t="s">
        <v>709</v>
      </c>
      <c r="AN196" s="924"/>
      <c r="AO196" s="925"/>
      <c r="AP196" s="926"/>
      <c r="AQ196" s="926"/>
      <c r="AR196" s="926"/>
      <c r="AS196" s="926"/>
      <c r="AT196" s="926"/>
      <c r="AU196" s="926"/>
      <c r="AV196" s="926"/>
      <c r="AW196" s="927"/>
      <c r="AX196" s="926"/>
      <c r="AY196" s="1538" t="s">
        <v>29</v>
      </c>
      <c r="AZ196" s="1530"/>
      <c r="BA196" s="1031">
        <v>4</v>
      </c>
      <c r="BB196" s="644"/>
      <c r="BC196" s="544"/>
      <c r="BD196" s="544"/>
      <c r="BE196" s="544"/>
      <c r="BF196" s="544"/>
      <c r="BG196" s="544"/>
      <c r="BH196" s="741"/>
      <c r="BI196" s="547" t="s">
        <v>709</v>
      </c>
      <c r="BJ196" s="547" t="s">
        <v>709</v>
      </c>
      <c r="BK196" s="547" t="s">
        <v>709</v>
      </c>
      <c r="BL196" s="547" t="s">
        <v>116</v>
      </c>
      <c r="BM196" s="547" t="s">
        <v>709</v>
      </c>
      <c r="BN196" s="547" t="s">
        <v>709</v>
      </c>
      <c r="BO196" s="547" t="s">
        <v>709</v>
      </c>
      <c r="BP196" s="547" t="s">
        <v>709</v>
      </c>
      <c r="BQ196" s="547" t="s">
        <v>709</v>
      </c>
      <c r="BR196" s="547">
        <v>5655</v>
      </c>
      <c r="BS196" s="547">
        <v>12111</v>
      </c>
      <c r="BT196" s="547" t="s">
        <v>709</v>
      </c>
      <c r="BU196" s="547" t="s">
        <v>709</v>
      </c>
      <c r="BV196" s="547" t="s">
        <v>709</v>
      </c>
      <c r="BW196" s="547" t="s">
        <v>709</v>
      </c>
      <c r="BX196" s="547" t="s">
        <v>709</v>
      </c>
      <c r="BY196" s="547" t="s">
        <v>709</v>
      </c>
      <c r="BZ196" s="547" t="s">
        <v>709</v>
      </c>
      <c r="CA196" s="483"/>
      <c r="CB196" s="547">
        <v>194</v>
      </c>
      <c r="CC196" s="1481" t="b">
        <v>1</v>
      </c>
      <c r="CD196" t="str">
        <f>Table15[[#This Row],[Engineering Number]]&amp;Table15[[#This Row],[WO Number]]&amp;Table15[[#This Row],[Date Assigned to Designer]]&amp;Table15[[#This Row],[Date Completed]]</f>
        <v>VW651204374385244124</v>
      </c>
    </row>
    <row r="197" spans="1:82" customFormat="1" ht="15" customHeight="1" x14ac:dyDescent="0.25">
      <c r="A197">
        <v>2020</v>
      </c>
      <c r="B197" s="8" t="s">
        <v>4</v>
      </c>
      <c r="C197" s="8" t="s">
        <v>2793</v>
      </c>
      <c r="D197" s="656" t="s">
        <v>2794</v>
      </c>
      <c r="E197" s="8" t="s">
        <v>108</v>
      </c>
      <c r="F197" s="8" t="s">
        <v>738</v>
      </c>
      <c r="G197" s="8" t="s">
        <v>2765</v>
      </c>
      <c r="H197" s="8" t="s">
        <v>59</v>
      </c>
      <c r="I197" s="642">
        <v>43809</v>
      </c>
      <c r="J197" s="18">
        <v>44139</v>
      </c>
      <c r="K197" s="642">
        <v>44124</v>
      </c>
      <c r="L197" s="16">
        <f>IF(ISTEXT(Table15[[#This Row],[Engineering Approved Design Date]]),Table15[[#This Row],[Date Completed]]-Table15[[#This Row],[Date Assigned to Designer]],Table15[[#This Row],[Engineering Approved Design Date]]-Table15[[#This Row],[Date Completed]])</f>
        <v>15</v>
      </c>
      <c r="M197" s="642"/>
      <c r="N197" s="642" t="s">
        <v>120</v>
      </c>
      <c r="O197" s="1025">
        <v>44124</v>
      </c>
      <c r="P197" s="21" t="s">
        <v>739</v>
      </c>
      <c r="Q197" s="340">
        <f>R197*AA197</f>
        <v>28972.334000000003</v>
      </c>
      <c r="R197" s="1026">
        <v>0.1</v>
      </c>
      <c r="S197" s="538" t="s">
        <v>709</v>
      </c>
      <c r="T197" s="538" t="s">
        <v>709</v>
      </c>
      <c r="U197" s="28" t="s">
        <v>709</v>
      </c>
      <c r="V197" s="858"/>
      <c r="W197" s="437"/>
      <c r="X197" s="538">
        <v>249730.42</v>
      </c>
      <c r="Y197" s="550"/>
      <c r="Z197" s="538">
        <v>39992.92</v>
      </c>
      <c r="AA197" s="551">
        <f>X197+Z197</f>
        <v>289723.34000000003</v>
      </c>
      <c r="AB197" s="341"/>
      <c r="AC197" s="568"/>
      <c r="AD197" s="1157"/>
      <c r="AE197" s="579"/>
      <c r="AF197" s="579"/>
      <c r="AG197" s="579"/>
      <c r="AH197" s="553"/>
      <c r="AI197" s="1036"/>
      <c r="AJ197" s="1037"/>
      <c r="AK197" s="1037"/>
      <c r="AL197" s="1038"/>
      <c r="AM197" s="1522" t="s">
        <v>116</v>
      </c>
      <c r="AN197" s="1523">
        <v>44168</v>
      </c>
      <c r="AO197" s="1524">
        <v>186640</v>
      </c>
      <c r="AP197" s="1525">
        <v>251241.81</v>
      </c>
      <c r="AQ197" s="1525"/>
      <c r="AR197" s="1525">
        <v>40740.699999999997</v>
      </c>
      <c r="AS197" s="1525">
        <f>IF(Table15[[#This Row],[PCTS Approved]]="N",0,Table15[[#This Row],[Investment Amount (1'#'#'#'#'#)]]+Table15[[#This Row],[Retirement Amount (3'#'#'#'#'#)]])</f>
        <v>291982.51</v>
      </c>
      <c r="AT197" s="1525">
        <f>IF(Table15[[#This Row],[Approved Construction Cost]]=0,0,Table15[[#This Row],[Approved Construction Cost]]-Table15[[#This Row],[Construction Cost to Bill From]])</f>
        <v>2259.1699999999837</v>
      </c>
      <c r="AU197" s="1525">
        <f>Table15[[#This Row],[Difference in Construction Cost]]*Table15[[#This Row],[Rate]]</f>
        <v>225.91699999999838</v>
      </c>
      <c r="AV197" s="1525" t="s">
        <v>709</v>
      </c>
      <c r="AW197" s="1526" t="s">
        <v>2795</v>
      </c>
      <c r="AX197" s="1525">
        <v>225.91699999999838</v>
      </c>
      <c r="AY197" s="1518">
        <v>44501</v>
      </c>
      <c r="AZ197" s="333"/>
      <c r="BA197" s="1031" t="s">
        <v>2796</v>
      </c>
      <c r="BB197" s="644" t="s">
        <v>1156</v>
      </c>
      <c r="BC197" s="544"/>
      <c r="BD197" s="544"/>
      <c r="BE197" s="544"/>
      <c r="BF197" s="544"/>
      <c r="BG197" s="544"/>
      <c r="BH197" s="741"/>
      <c r="BI197" s="547" t="s">
        <v>709</v>
      </c>
      <c r="BJ197" s="547" t="s">
        <v>709</v>
      </c>
      <c r="BK197" s="547" t="s">
        <v>709</v>
      </c>
      <c r="BL197" s="547" t="s">
        <v>116</v>
      </c>
      <c r="BM197" s="547" t="s">
        <v>709</v>
      </c>
      <c r="BN197" s="547" t="s">
        <v>709</v>
      </c>
      <c r="BO197" s="547" t="s">
        <v>709</v>
      </c>
      <c r="BP197" s="547" t="s">
        <v>709</v>
      </c>
      <c r="BQ197" s="547" t="s">
        <v>709</v>
      </c>
      <c r="BR197" s="547">
        <v>212</v>
      </c>
      <c r="BS197" s="547">
        <v>160</v>
      </c>
      <c r="BT197" s="547" t="s">
        <v>745</v>
      </c>
      <c r="BU197" s="547" t="s">
        <v>709</v>
      </c>
      <c r="BV197" s="547" t="s">
        <v>745</v>
      </c>
      <c r="BW197" s="547" t="s">
        <v>709</v>
      </c>
      <c r="BX197" s="547" t="s">
        <v>745</v>
      </c>
      <c r="BY197" s="547" t="s">
        <v>745</v>
      </c>
      <c r="BZ197" s="547" t="s">
        <v>709</v>
      </c>
      <c r="CA197" s="483"/>
      <c r="CB197" s="547">
        <v>195</v>
      </c>
      <c r="CC197" s="1481" t="b">
        <v>1</v>
      </c>
      <c r="CD197" t="str">
        <f>Table15[[#This Row],[Engineering Number]]&amp;Table15[[#This Row],[WO Number]]&amp;Table15[[#This Row],[Date Assigned to Designer]]&amp;Table15[[#This Row],[Date Completed]]</f>
        <v>N126071292654380944124</v>
      </c>
    </row>
    <row r="198" spans="1:82" customFormat="1" ht="15" customHeight="1" x14ac:dyDescent="0.25">
      <c r="A198">
        <v>2020</v>
      </c>
      <c r="B198" s="8" t="s">
        <v>4</v>
      </c>
      <c r="C198" s="8" t="s">
        <v>187</v>
      </c>
      <c r="D198" s="656" t="s">
        <v>2798</v>
      </c>
      <c r="E198" s="8" t="s">
        <v>1164</v>
      </c>
      <c r="F198" s="8" t="s">
        <v>738</v>
      </c>
      <c r="G198" s="8" t="s">
        <v>40</v>
      </c>
      <c r="H198" s="8" t="s">
        <v>59</v>
      </c>
      <c r="I198" s="642">
        <v>43742</v>
      </c>
      <c r="J198" s="18">
        <v>44134</v>
      </c>
      <c r="K198" s="642">
        <v>44124</v>
      </c>
      <c r="L198" s="16">
        <f>IF(ISTEXT(Table15[[#This Row],[Engineering Approved Design Date]]),Table15[[#This Row],[Date Completed]]-Table15[[#This Row],[Date Assigned to Designer]],Table15[[#This Row],[Engineering Approved Design Date]]-Table15[[#This Row],[Date Completed]])</f>
        <v>10</v>
      </c>
      <c r="M198" s="642"/>
      <c r="N198" s="1050" t="s">
        <v>120</v>
      </c>
      <c r="O198" s="1025">
        <v>44124</v>
      </c>
      <c r="P198" s="21" t="s">
        <v>120</v>
      </c>
      <c r="Q198" s="340">
        <f>R198*AA198</f>
        <v>102293.049</v>
      </c>
      <c r="R198" s="1026">
        <v>0.1</v>
      </c>
      <c r="S198" s="538" t="s">
        <v>709</v>
      </c>
      <c r="T198" s="538" t="s">
        <v>709</v>
      </c>
      <c r="U198" s="28" t="s">
        <v>709</v>
      </c>
      <c r="V198" s="858">
        <v>1626</v>
      </c>
      <c r="W198" s="437"/>
      <c r="X198" s="538">
        <v>969666.82</v>
      </c>
      <c r="Y198" s="550"/>
      <c r="Z198" s="538">
        <v>53263.67</v>
      </c>
      <c r="AA198" s="551">
        <f>X198+Z198</f>
        <v>1022930.49</v>
      </c>
      <c r="AB198" s="341"/>
      <c r="AC198" s="568"/>
      <c r="AD198" s="1157"/>
      <c r="AE198" s="579"/>
      <c r="AF198" s="579"/>
      <c r="AG198" s="579"/>
      <c r="AH198" s="553"/>
      <c r="AI198" s="1036"/>
      <c r="AJ198" s="1037"/>
      <c r="AK198" s="1037"/>
      <c r="AL198" s="1038"/>
      <c r="AM198" s="1522" t="s">
        <v>116</v>
      </c>
      <c r="AN198" s="1523">
        <v>44260</v>
      </c>
      <c r="AO198" s="1524">
        <v>188461</v>
      </c>
      <c r="AP198" s="1525">
        <v>1359703.64</v>
      </c>
      <c r="AQ198" s="1525"/>
      <c r="AR198" s="1525">
        <v>53303.1</v>
      </c>
      <c r="AS198" s="1525">
        <f>IF(Table15[[#This Row],[PCTS Approved]]="N",0,Table15[[#This Row],[Investment Amount (1'#'#'#'#'#)]]+Table15[[#This Row],[Retirement Amount (3'#'#'#'#'#)]])</f>
        <v>1413006.74</v>
      </c>
      <c r="AT198" s="1525">
        <f>IF(Table15[[#This Row],[Approved Construction Cost]]=0,0,Table15[[#This Row],[Approved Construction Cost]]-Table15[[#This Row],[Construction Cost to Bill From]])</f>
        <v>390076.25</v>
      </c>
      <c r="AU198" s="1525">
        <f>Table15[[#This Row],[Difference in Construction Cost]]*Table15[[#This Row],[Rate]]</f>
        <v>39007.625</v>
      </c>
      <c r="AV198" s="1525">
        <v>10217.5</v>
      </c>
      <c r="AW198" s="1526" t="s">
        <v>2799</v>
      </c>
      <c r="AX198" s="1525">
        <v>39007.625</v>
      </c>
      <c r="AY198" s="1518">
        <v>44501</v>
      </c>
      <c r="AZ198" s="333"/>
      <c r="BA198" s="1031" t="s">
        <v>2800</v>
      </c>
      <c r="BB198" s="644" t="s">
        <v>2801</v>
      </c>
      <c r="BC198" s="544"/>
      <c r="BD198" s="544"/>
      <c r="BE198" s="544"/>
      <c r="BF198" s="544"/>
      <c r="BG198" s="544"/>
      <c r="BH198" s="741"/>
      <c r="BI198" s="547" t="s">
        <v>709</v>
      </c>
      <c r="BJ198" s="547" t="s">
        <v>709</v>
      </c>
      <c r="BK198" s="547" t="s">
        <v>116</v>
      </c>
      <c r="BL198" s="547" t="s">
        <v>709</v>
      </c>
      <c r="BM198" s="547" t="s">
        <v>709</v>
      </c>
      <c r="BN198" s="547">
        <v>1626</v>
      </c>
      <c r="BO198" s="547" t="s">
        <v>709</v>
      </c>
      <c r="BP198" s="547" t="s">
        <v>709</v>
      </c>
      <c r="BQ198" s="547" t="s">
        <v>709</v>
      </c>
      <c r="BR198" s="547" t="s">
        <v>709</v>
      </c>
      <c r="BS198" s="547" t="s">
        <v>709</v>
      </c>
      <c r="BT198" s="547" t="s">
        <v>745</v>
      </c>
      <c r="BU198" s="547" t="s">
        <v>709</v>
      </c>
      <c r="BV198" s="547" t="s">
        <v>745</v>
      </c>
      <c r="BW198" s="547" t="s">
        <v>709</v>
      </c>
      <c r="BX198" s="547" t="s">
        <v>745</v>
      </c>
      <c r="BY198" s="547" t="s">
        <v>745</v>
      </c>
      <c r="BZ198" s="547" t="s">
        <v>709</v>
      </c>
      <c r="CA198" s="483"/>
      <c r="CB198" s="547">
        <v>196</v>
      </c>
      <c r="CC198" s="1481" t="b">
        <v>1</v>
      </c>
      <c r="CD198" t="str">
        <f>Table15[[#This Row],[Engineering Number]]&amp;Table15[[#This Row],[WO Number]]&amp;Table15[[#This Row],[Date Assigned to Designer]]&amp;Table15[[#This Row],[Date Completed]]</f>
        <v>SC167041356834374244124</v>
      </c>
    </row>
    <row r="199" spans="1:82" customFormat="1" ht="15" customHeight="1" x14ac:dyDescent="0.25">
      <c r="A199">
        <v>2021</v>
      </c>
      <c r="B199" s="8" t="s">
        <v>771</v>
      </c>
      <c r="C199" s="8" t="s">
        <v>140</v>
      </c>
      <c r="D199" s="8">
        <v>140811</v>
      </c>
      <c r="E199" s="8" t="s">
        <v>141</v>
      </c>
      <c r="F199" s="8" t="s">
        <v>919</v>
      </c>
      <c r="G199" s="8" t="s">
        <v>36</v>
      </c>
      <c r="H199" s="8" t="s">
        <v>59</v>
      </c>
      <c r="I199" s="642">
        <v>44034</v>
      </c>
      <c r="J199" s="18">
        <v>44126</v>
      </c>
      <c r="K199" s="642">
        <v>44126</v>
      </c>
      <c r="L199" s="16">
        <f>IF(ISTEXT(Table15[[#This Row],[Engineering Approved Design Date]]),Table15[[#This Row],[Date Completed]]-Table15[[#This Row],[Date Assigned to Designer]],Table15[[#This Row],[Engineering Approved Design Date]]-Table15[[#This Row],[Date Completed]])</f>
        <v>0</v>
      </c>
      <c r="M199" s="642"/>
      <c r="N199" s="642" t="s">
        <v>120</v>
      </c>
      <c r="O199" s="1025">
        <v>44126</v>
      </c>
      <c r="P199" s="21" t="s">
        <v>120</v>
      </c>
      <c r="Q199" s="340">
        <f>1.55*V199</f>
        <v>15625.550000000001</v>
      </c>
      <c r="R199" s="1026" t="s">
        <v>2087</v>
      </c>
      <c r="S199" s="538" t="s">
        <v>709</v>
      </c>
      <c r="T199" s="538" t="s">
        <v>709</v>
      </c>
      <c r="U199" s="28" t="s">
        <v>709</v>
      </c>
      <c r="V199" s="858">
        <v>10081</v>
      </c>
      <c r="W199" s="437"/>
      <c r="X199" s="538">
        <v>1501034.84</v>
      </c>
      <c r="Y199" s="551"/>
      <c r="Z199" s="538">
        <v>97275.44</v>
      </c>
      <c r="AA199" s="538">
        <f>X199+Z199</f>
        <v>1598310.28</v>
      </c>
      <c r="AB199" s="21"/>
      <c r="AC199" s="569"/>
      <c r="AD199" s="1149"/>
      <c r="AE199" s="569"/>
      <c r="AF199" s="569"/>
      <c r="AG199" s="569"/>
      <c r="AH199" s="536"/>
      <c r="AI199" s="1028"/>
      <c r="AJ199" s="1029"/>
      <c r="AK199" s="1029"/>
      <c r="AL199" s="1030"/>
      <c r="AM199" s="542" t="s">
        <v>709</v>
      </c>
      <c r="AN199" s="924"/>
      <c r="AO199" s="925"/>
      <c r="AP199" s="926"/>
      <c r="AQ199" s="926"/>
      <c r="AR199" s="926"/>
      <c r="AS199" s="926"/>
      <c r="AT199" s="926"/>
      <c r="AU199" s="926"/>
      <c r="AV199" s="926"/>
      <c r="AW199" s="927"/>
      <c r="AX199" s="926"/>
      <c r="AY199" s="1538" t="s">
        <v>29</v>
      </c>
      <c r="AZ199" s="1530"/>
      <c r="BA199" s="1031" t="s">
        <v>2804</v>
      </c>
      <c r="BB199" s="644"/>
      <c r="BC199" s="544" t="s">
        <v>116</v>
      </c>
      <c r="BD199" s="544" t="s">
        <v>709</v>
      </c>
      <c r="BE199" s="544" t="s">
        <v>757</v>
      </c>
      <c r="BF199" s="544" t="s">
        <v>709</v>
      </c>
      <c r="BG199" s="544" t="s">
        <v>709</v>
      </c>
      <c r="BH199" s="741"/>
      <c r="BI199" s="547" t="s">
        <v>709</v>
      </c>
      <c r="BJ199" s="547" t="s">
        <v>709</v>
      </c>
      <c r="BK199" s="547" t="s">
        <v>709</v>
      </c>
      <c r="BL199" s="547" t="s">
        <v>116</v>
      </c>
      <c r="BM199" s="547" t="s">
        <v>709</v>
      </c>
      <c r="BN199" s="547">
        <v>29</v>
      </c>
      <c r="BO199" s="547" t="s">
        <v>709</v>
      </c>
      <c r="BP199" s="547" t="s">
        <v>709</v>
      </c>
      <c r="BQ199" s="547">
        <v>3063</v>
      </c>
      <c r="BR199" s="547">
        <v>3525</v>
      </c>
      <c r="BS199" s="547">
        <v>3464</v>
      </c>
      <c r="BT199" s="547" t="s">
        <v>709</v>
      </c>
      <c r="BU199" s="547" t="s">
        <v>709</v>
      </c>
      <c r="BV199" s="547" t="s">
        <v>709</v>
      </c>
      <c r="BW199" s="547" t="s">
        <v>709</v>
      </c>
      <c r="BX199" s="547" t="s">
        <v>709</v>
      </c>
      <c r="BY199" s="547" t="s">
        <v>709</v>
      </c>
      <c r="BZ199" s="547" t="s">
        <v>709</v>
      </c>
      <c r="CA199" s="483"/>
      <c r="CB199" s="547">
        <v>197</v>
      </c>
      <c r="CC199" s="1481" t="b">
        <v>1</v>
      </c>
      <c r="CD199" t="str">
        <f>Table15[[#This Row],[Engineering Number]]&amp;Table15[[#This Row],[WO Number]]&amp;Table15[[#This Row],[Date Assigned to Designer]]&amp;Table15[[#This Row],[Date Completed]]</f>
        <v>VW841408114403444126</v>
      </c>
    </row>
    <row r="200" spans="1:82" customFormat="1" ht="15" customHeight="1" x14ac:dyDescent="0.25">
      <c r="A200">
        <v>2019</v>
      </c>
      <c r="B200" s="8" t="s">
        <v>4</v>
      </c>
      <c r="C200" s="8" t="s">
        <v>121</v>
      </c>
      <c r="D200" s="8" t="s">
        <v>2556</v>
      </c>
      <c r="E200" s="8" t="s">
        <v>122</v>
      </c>
      <c r="F200" s="8" t="s">
        <v>919</v>
      </c>
      <c r="G200" s="8" t="s">
        <v>36</v>
      </c>
      <c r="H200" s="8" t="s">
        <v>2611</v>
      </c>
      <c r="I200" s="642">
        <v>43497</v>
      </c>
      <c r="J200" s="18" t="s">
        <v>2612</v>
      </c>
      <c r="K200" s="642">
        <v>44131</v>
      </c>
      <c r="L200" s="16">
        <f>IF(ISTEXT(Table15[[#This Row],[Engineering Approved Design Date]]),Table15[[#This Row],[Date Completed]]-Table15[[#This Row],[Date Assigned to Designer]],Table15[[#This Row],[Engineering Approved Design Date]]-Table15[[#This Row],[Date Completed]])</f>
        <v>634</v>
      </c>
      <c r="M200" s="642" t="s">
        <v>2613</v>
      </c>
      <c r="N200" s="642" t="s">
        <v>120</v>
      </c>
      <c r="O200" s="1025">
        <v>44136</v>
      </c>
      <c r="P200" s="21" t="s">
        <v>739</v>
      </c>
      <c r="Q200" s="340">
        <f>IF(Table15[[#This Row],[Shactee Effort]]="N",0,Table15[[#This Row],[Shactee Effort]])+IF(Table15[[#This Row],[3rd Party Effort]]="N",0,Table15[[#This Row],[3rd Party Effort]])+Table15[[#This Row],[KH Hourly Effort]]</f>
        <v>810</v>
      </c>
      <c r="R200" s="1026" t="s">
        <v>1922</v>
      </c>
      <c r="S200" s="538" t="s">
        <v>709</v>
      </c>
      <c r="T200" s="538" t="s">
        <v>709</v>
      </c>
      <c r="U200" s="28">
        <v>810</v>
      </c>
      <c r="V200" s="858" t="s">
        <v>115</v>
      </c>
      <c r="W200" s="437"/>
      <c r="X200" s="538"/>
      <c r="Y200" s="550"/>
      <c r="Z200" s="538"/>
      <c r="AA200" s="561"/>
      <c r="AB200" s="474"/>
      <c r="AC200" s="574"/>
      <c r="AD200" s="1156"/>
      <c r="AE200" s="1040"/>
      <c r="AF200" s="1040"/>
      <c r="AG200" s="1040"/>
      <c r="AH200" s="1041"/>
      <c r="AI200" s="1042"/>
      <c r="AJ200" s="1043"/>
      <c r="AK200" s="1043"/>
      <c r="AL200" s="1044"/>
      <c r="AM200" s="542" t="s">
        <v>709</v>
      </c>
      <c r="AN200" s="924"/>
      <c r="AO200" s="925"/>
      <c r="AP200" s="926"/>
      <c r="AQ200" s="926"/>
      <c r="AR200" s="926"/>
      <c r="AS200" s="926"/>
      <c r="AT200" s="926"/>
      <c r="AU200" s="926"/>
      <c r="AV200" s="926"/>
      <c r="AW200" s="927"/>
      <c r="AX200" s="926"/>
      <c r="AY200" s="1538" t="s">
        <v>29</v>
      </c>
      <c r="AZ200" s="1530"/>
      <c r="BA200" s="1031"/>
      <c r="BB200" s="543"/>
      <c r="BC200" s="588"/>
      <c r="BD200" s="588"/>
      <c r="BE200" s="588"/>
      <c r="BF200" s="588"/>
      <c r="BG200" s="588"/>
      <c r="BH200" s="615"/>
      <c r="BI200" s="547" t="s">
        <v>709</v>
      </c>
      <c r="BJ200" s="547" t="s">
        <v>709</v>
      </c>
      <c r="BK200" s="547" t="s">
        <v>709</v>
      </c>
      <c r="BL200" s="547" t="s">
        <v>116</v>
      </c>
      <c r="BM200" s="547" t="s">
        <v>709</v>
      </c>
      <c r="BN200" s="547" t="s">
        <v>709</v>
      </c>
      <c r="BO200" s="547" t="s">
        <v>709</v>
      </c>
      <c r="BP200" s="547">
        <v>3618</v>
      </c>
      <c r="BQ200" s="547">
        <v>2805</v>
      </c>
      <c r="BR200" s="547">
        <v>12</v>
      </c>
      <c r="BS200" s="547">
        <v>291</v>
      </c>
      <c r="BT200" s="547" t="s">
        <v>745</v>
      </c>
      <c r="BU200" s="547" t="s">
        <v>709</v>
      </c>
      <c r="BV200" s="547" t="s">
        <v>745</v>
      </c>
      <c r="BW200" s="547" t="s">
        <v>709</v>
      </c>
      <c r="BX200" s="547" t="s">
        <v>745</v>
      </c>
      <c r="BY200" s="547" t="s">
        <v>745</v>
      </c>
      <c r="BZ200" s="547" t="s">
        <v>709</v>
      </c>
      <c r="CA200" s="483"/>
      <c r="CB200" s="547">
        <v>198</v>
      </c>
      <c r="CC200" s="1481" t="b">
        <v>1</v>
      </c>
      <c r="CD200" t="str">
        <f>Table15[[#This Row],[Engineering Number]]&amp;Table15[[#This Row],[WO Number]]&amp;Table15[[#This Row],[Date Assigned to Designer]]&amp;Table15[[#This Row],[Date Completed]]</f>
        <v>M106931203914349744131</v>
      </c>
    </row>
    <row r="201" spans="1:82" customFormat="1" ht="15" customHeight="1" x14ac:dyDescent="0.25">
      <c r="A201">
        <v>2021</v>
      </c>
      <c r="B201" s="8" t="s">
        <v>4</v>
      </c>
      <c r="C201" s="8" t="s">
        <v>2807</v>
      </c>
      <c r="D201" s="8" t="s">
        <v>115</v>
      </c>
      <c r="E201" s="8" t="s">
        <v>2074</v>
      </c>
      <c r="F201" s="8" t="s">
        <v>919</v>
      </c>
      <c r="G201" s="8" t="s">
        <v>2743</v>
      </c>
      <c r="H201" s="8" t="s">
        <v>1903</v>
      </c>
      <c r="I201" s="642">
        <v>44131</v>
      </c>
      <c r="J201" s="18">
        <v>44204</v>
      </c>
      <c r="K201" s="642">
        <v>44133</v>
      </c>
      <c r="L201" s="16">
        <f>IF(ISTEXT(Table15[[#This Row],[Engineering Approved Design Date]]),Table15[[#This Row],[Date Completed]]-Table15[[#This Row],[Date Assigned to Designer]],Table15[[#This Row],[Engineering Approved Design Date]]-Table15[[#This Row],[Date Completed]])</f>
        <v>71</v>
      </c>
      <c r="M201" s="642"/>
      <c r="N201" s="642" t="s">
        <v>120</v>
      </c>
      <c r="O201" s="1025">
        <v>44136</v>
      </c>
      <c r="P201" s="21" t="s">
        <v>739</v>
      </c>
      <c r="Q201" s="340" t="s">
        <v>115</v>
      </c>
      <c r="R201" s="1026" t="s">
        <v>115</v>
      </c>
      <c r="S201" s="538"/>
      <c r="T201" s="538"/>
      <c r="U201" s="28"/>
      <c r="V201" s="858"/>
      <c r="W201" s="437"/>
      <c r="X201" s="556"/>
      <c r="Y201" s="550"/>
      <c r="Z201" s="556"/>
      <c r="AA201" s="551">
        <v>0</v>
      </c>
      <c r="AB201" s="341"/>
      <c r="AC201" s="568"/>
      <c r="AD201" s="1157"/>
      <c r="AE201" s="579"/>
      <c r="AF201" s="579"/>
      <c r="AG201" s="579"/>
      <c r="AH201" s="553"/>
      <c r="AI201" s="1036"/>
      <c r="AJ201" s="1037"/>
      <c r="AK201" s="1037"/>
      <c r="AL201" s="1038"/>
      <c r="AM201" s="542" t="s">
        <v>709</v>
      </c>
      <c r="AN201" s="924"/>
      <c r="AO201" s="925"/>
      <c r="AP201" s="926"/>
      <c r="AQ201" s="926"/>
      <c r="AR201" s="926"/>
      <c r="AS201" s="926"/>
      <c r="AT201" s="926"/>
      <c r="AU201" s="926"/>
      <c r="AV201" s="926"/>
      <c r="AW201" s="927"/>
      <c r="AX201" s="926"/>
      <c r="AY201" s="1538" t="s">
        <v>29</v>
      </c>
      <c r="AZ201" s="1530"/>
      <c r="BA201" s="1031" t="s">
        <v>2808</v>
      </c>
      <c r="BB201" s="644" t="s">
        <v>2809</v>
      </c>
      <c r="BC201" s="544"/>
      <c r="BD201" s="544"/>
      <c r="BE201" s="544"/>
      <c r="BF201" s="544"/>
      <c r="BG201" s="544"/>
      <c r="BH201" s="741"/>
      <c r="BI201" s="1032"/>
      <c r="BJ201" s="1032"/>
      <c r="BK201" s="1032"/>
      <c r="BL201" s="1032"/>
      <c r="BM201" s="1032"/>
      <c r="BN201" s="1032"/>
      <c r="BO201" s="1032"/>
      <c r="BP201" s="1032"/>
      <c r="BQ201" s="1032"/>
      <c r="BR201" s="1032"/>
      <c r="BS201" s="1032"/>
      <c r="BT201" s="1032"/>
      <c r="BU201" s="1032"/>
      <c r="BV201" s="1032"/>
      <c r="BW201" s="1032"/>
      <c r="BX201" s="1032"/>
      <c r="BY201" s="1032"/>
      <c r="BZ201" s="1032"/>
      <c r="CA201" s="485"/>
      <c r="CB201" s="547">
        <v>199</v>
      </c>
      <c r="CC201" s="1481" t="b">
        <v>1</v>
      </c>
      <c r="CD201" t="str">
        <f>Table15[[#This Row],[Engineering Number]]&amp;Table15[[#This Row],[WO Number]]&amp;Table15[[#This Row],[Date Assigned to Designer]]&amp;Table15[[#This Row],[Date Completed]]</f>
        <v>SC18462-4413144133</v>
      </c>
    </row>
    <row r="202" spans="1:82" customFormat="1" ht="15" customHeight="1" x14ac:dyDescent="0.25">
      <c r="A202">
        <v>2021</v>
      </c>
      <c r="B202" s="8" t="s">
        <v>771</v>
      </c>
      <c r="C202" s="8" t="s">
        <v>136</v>
      </c>
      <c r="D202" s="8" t="s">
        <v>2481</v>
      </c>
      <c r="E202" s="8" t="s">
        <v>137</v>
      </c>
      <c r="F202" s="8" t="s">
        <v>325</v>
      </c>
      <c r="G202" s="8" t="s">
        <v>1882</v>
      </c>
      <c r="H202" s="8" t="s">
        <v>2051</v>
      </c>
      <c r="I202" s="642">
        <v>43852</v>
      </c>
      <c r="J202" s="18" t="s">
        <v>2052</v>
      </c>
      <c r="K202" s="642">
        <v>44133</v>
      </c>
      <c r="L202" s="16">
        <f>IF(ISTEXT(Table15[[#This Row],[Engineering Approved Design Date]]),Table15[[#This Row],[Date Completed]]-Table15[[#This Row],[Date Assigned to Designer]],Table15[[#This Row],[Engineering Approved Design Date]]-Table15[[#This Row],[Date Completed]])</f>
        <v>281</v>
      </c>
      <c r="M202" s="642" t="s">
        <v>2811</v>
      </c>
      <c r="N202" s="642" t="s">
        <v>120</v>
      </c>
      <c r="O202" s="1025">
        <v>44136</v>
      </c>
      <c r="P202" s="21" t="s">
        <v>120</v>
      </c>
      <c r="Q202" s="340">
        <f>IF(Table15[[#This Row],[Shactee Effort]]="N",0,Table15[[#This Row],[Shactee Effort]])+IF(Table15[[#This Row],[3rd Party Effort]]="N",0,Table15[[#This Row],[3rd Party Effort]])+Table15[[#This Row],[KH Hourly Effort]]</f>
        <v>5470</v>
      </c>
      <c r="R202" s="1026" t="s">
        <v>1922</v>
      </c>
      <c r="S202" s="538" t="s">
        <v>709</v>
      </c>
      <c r="T202" s="538" t="s">
        <v>709</v>
      </c>
      <c r="U202" s="28">
        <v>5470</v>
      </c>
      <c r="V202" s="858"/>
      <c r="W202" s="437"/>
      <c r="X202" s="556"/>
      <c r="Y202" s="550"/>
      <c r="Z202" s="556"/>
      <c r="AA202" s="551"/>
      <c r="AB202" s="341"/>
      <c r="AC202" s="568"/>
      <c r="AD202" s="1157"/>
      <c r="AE202" s="568"/>
      <c r="AF202" s="568"/>
      <c r="AG202" s="568"/>
      <c r="AH202" s="183"/>
      <c r="AI202" s="1036"/>
      <c r="AJ202" s="1037"/>
      <c r="AK202" s="1037"/>
      <c r="AL202" s="1038"/>
      <c r="AM202" s="542" t="s">
        <v>709</v>
      </c>
      <c r="AN202" s="924"/>
      <c r="AO202" s="925"/>
      <c r="AP202" s="926"/>
      <c r="AQ202" s="926"/>
      <c r="AR202" s="926"/>
      <c r="AS202" s="926"/>
      <c r="AT202" s="926"/>
      <c r="AU202" s="926"/>
      <c r="AV202" s="926"/>
      <c r="AW202" s="927"/>
      <c r="AX202" s="926"/>
      <c r="AY202" s="1538" t="s">
        <v>29</v>
      </c>
      <c r="AZ202" s="1530"/>
      <c r="BA202" s="1031">
        <v>1</v>
      </c>
      <c r="BB202" s="644"/>
      <c r="BC202" s="544"/>
      <c r="BD202" s="544"/>
      <c r="BE202" s="544"/>
      <c r="BF202" s="544"/>
      <c r="BG202" s="544"/>
      <c r="BH202" s="741"/>
      <c r="BI202" s="547" t="s">
        <v>709</v>
      </c>
      <c r="BJ202" s="547" t="s">
        <v>709</v>
      </c>
      <c r="BK202" s="547" t="s">
        <v>709</v>
      </c>
      <c r="BL202" s="547" t="s">
        <v>116</v>
      </c>
      <c r="BM202" s="547" t="s">
        <v>709</v>
      </c>
      <c r="BN202" s="547" t="s">
        <v>709</v>
      </c>
      <c r="BO202" s="547" t="s">
        <v>709</v>
      </c>
      <c r="BP202" s="547" t="s">
        <v>709</v>
      </c>
      <c r="BQ202" s="547" t="s">
        <v>709</v>
      </c>
      <c r="BR202" s="547">
        <v>5655</v>
      </c>
      <c r="BS202" s="547">
        <v>12811</v>
      </c>
      <c r="BT202" s="547" t="s">
        <v>709</v>
      </c>
      <c r="BU202" s="547" t="s">
        <v>709</v>
      </c>
      <c r="BV202" s="547" t="s">
        <v>709</v>
      </c>
      <c r="BW202" s="547" t="s">
        <v>709</v>
      </c>
      <c r="BX202" s="547" t="s">
        <v>709</v>
      </c>
      <c r="BY202" s="547" t="s">
        <v>709</v>
      </c>
      <c r="BZ202" s="547" t="s">
        <v>709</v>
      </c>
      <c r="CA202" s="483"/>
      <c r="CB202" s="547">
        <v>200</v>
      </c>
      <c r="CC202" s="1481" t="b">
        <v>1</v>
      </c>
      <c r="CD202" t="str">
        <f>Table15[[#This Row],[Engineering Number]]&amp;Table15[[#This Row],[WO Number]]&amp;Table15[[#This Row],[Date Assigned to Designer]]&amp;Table15[[#This Row],[Date Completed]]</f>
        <v>VW651204374385244133</v>
      </c>
    </row>
    <row r="203" spans="1:82" customFormat="1" ht="15" customHeight="1" x14ac:dyDescent="0.25">
      <c r="A203">
        <v>2021</v>
      </c>
      <c r="B203" s="8" t="s">
        <v>4</v>
      </c>
      <c r="C203" s="8" t="s">
        <v>2813</v>
      </c>
      <c r="D203" s="8" t="s">
        <v>115</v>
      </c>
      <c r="E203" s="8" t="s">
        <v>1159</v>
      </c>
      <c r="F203" s="8" t="s">
        <v>919</v>
      </c>
      <c r="G203" s="8" t="s">
        <v>2814</v>
      </c>
      <c r="H203" s="8" t="s">
        <v>1903</v>
      </c>
      <c r="I203" s="642">
        <v>44099</v>
      </c>
      <c r="J203" s="18">
        <v>44183</v>
      </c>
      <c r="K203" s="642">
        <v>44138</v>
      </c>
      <c r="L203" s="16">
        <f>IF(ISTEXT(Table15[[#This Row],[Engineering Approved Design Date]]),Table15[[#This Row],[Date Completed]]-Table15[[#This Row],[Date Assigned to Designer]],Table15[[#This Row],[Engineering Approved Design Date]]-Table15[[#This Row],[Date Completed]])</f>
        <v>45</v>
      </c>
      <c r="M203" s="642"/>
      <c r="N203" s="642" t="s">
        <v>120</v>
      </c>
      <c r="O203" s="1025">
        <v>44138</v>
      </c>
      <c r="P203" s="21" t="s">
        <v>739</v>
      </c>
      <c r="Q203" s="340" t="s">
        <v>115</v>
      </c>
      <c r="R203" s="1026" t="s">
        <v>115</v>
      </c>
      <c r="S203" s="538"/>
      <c r="T203" s="538"/>
      <c r="U203" s="28"/>
      <c r="V203" s="858"/>
      <c r="W203" s="437"/>
      <c r="X203" s="556"/>
      <c r="Y203" s="550"/>
      <c r="Z203" s="556"/>
      <c r="AA203" s="551">
        <v>0</v>
      </c>
      <c r="AB203" s="341"/>
      <c r="AC203" s="568"/>
      <c r="AD203" s="1157"/>
      <c r="AE203" s="579"/>
      <c r="AF203" s="579"/>
      <c r="AG203" s="579"/>
      <c r="AH203" s="553"/>
      <c r="AI203" s="1036"/>
      <c r="AJ203" s="1037"/>
      <c r="AK203" s="1037"/>
      <c r="AL203" s="1038"/>
      <c r="AM203" s="542" t="s">
        <v>709</v>
      </c>
      <c r="AN203" s="924"/>
      <c r="AO203" s="925"/>
      <c r="AP203" s="926"/>
      <c r="AQ203" s="926"/>
      <c r="AR203" s="926"/>
      <c r="AS203" s="926"/>
      <c r="AT203" s="926"/>
      <c r="AU203" s="926"/>
      <c r="AV203" s="926"/>
      <c r="AW203" s="927"/>
      <c r="AX203" s="926"/>
      <c r="AY203" s="1538" t="s">
        <v>29</v>
      </c>
      <c r="AZ203" s="1530"/>
      <c r="BA203" s="1031" t="s">
        <v>2815</v>
      </c>
      <c r="BB203" s="644"/>
      <c r="BC203" s="544"/>
      <c r="BD203" s="544"/>
      <c r="BE203" s="544"/>
      <c r="BF203" s="544"/>
      <c r="BG203" s="544"/>
      <c r="BH203" s="741"/>
      <c r="BI203" s="1032"/>
      <c r="BJ203" s="1032"/>
      <c r="BK203" s="1032"/>
      <c r="BL203" s="1032"/>
      <c r="BM203" s="1032"/>
      <c r="BN203" s="1032"/>
      <c r="BO203" s="1032"/>
      <c r="BP203" s="1032"/>
      <c r="BQ203" s="1032"/>
      <c r="BR203" s="1032"/>
      <c r="BS203" s="1032"/>
      <c r="BT203" s="1032"/>
      <c r="BU203" s="1032"/>
      <c r="BV203" s="1032"/>
      <c r="BW203" s="1032"/>
      <c r="BX203" s="1032"/>
      <c r="BY203" s="1032"/>
      <c r="BZ203" s="1032"/>
      <c r="CA203" s="485"/>
      <c r="CB203" s="547">
        <v>201</v>
      </c>
      <c r="CC203" s="1481" t="b">
        <v>1</v>
      </c>
      <c r="CD203" t="str">
        <f>Table15[[#This Row],[Engineering Number]]&amp;Table15[[#This Row],[WO Number]]&amp;Table15[[#This Row],[Date Assigned to Designer]]&amp;Table15[[#This Row],[Date Completed]]</f>
        <v>SC15413-4409944138</v>
      </c>
    </row>
    <row r="204" spans="1:82" customFormat="1" ht="15" customHeight="1" x14ac:dyDescent="0.25">
      <c r="A204">
        <v>2021</v>
      </c>
      <c r="B204" s="8" t="s">
        <v>1205</v>
      </c>
      <c r="C204" s="8" t="s">
        <v>134</v>
      </c>
      <c r="D204" s="656" t="s">
        <v>2817</v>
      </c>
      <c r="E204" s="8" t="s">
        <v>135</v>
      </c>
      <c r="F204" s="8" t="s">
        <v>919</v>
      </c>
      <c r="G204" s="8" t="s">
        <v>1882</v>
      </c>
      <c r="H204" s="8" t="s">
        <v>59</v>
      </c>
      <c r="I204" s="642">
        <v>44034</v>
      </c>
      <c r="J204" s="18">
        <v>44119</v>
      </c>
      <c r="K204" s="642">
        <v>44139</v>
      </c>
      <c r="L204" s="16">
        <f>IF(ISTEXT(Table15[[#This Row],[Engineering Approved Design Date]]),Table15[[#This Row],[Date Completed]]-Table15[[#This Row],[Date Assigned to Designer]],Table15[[#This Row],[Engineering Approved Design Date]]-Table15[[#This Row],[Date Completed]])</f>
        <v>-20</v>
      </c>
      <c r="M204" s="642" t="s">
        <v>2818</v>
      </c>
      <c r="N204" s="642" t="s">
        <v>120</v>
      </c>
      <c r="O204" s="1025">
        <v>44139</v>
      </c>
      <c r="P204" s="21" t="s">
        <v>739</v>
      </c>
      <c r="Q204" s="340">
        <f>R204*AA204</f>
        <v>22430.555099999998</v>
      </c>
      <c r="R204" s="1026">
        <v>0.09</v>
      </c>
      <c r="S204" s="538" t="s">
        <v>709</v>
      </c>
      <c r="T204" s="538">
        <v>18546</v>
      </c>
      <c r="U204" s="28" t="s">
        <v>709</v>
      </c>
      <c r="V204" s="858">
        <v>539</v>
      </c>
      <c r="W204" s="437"/>
      <c r="X204" s="538">
        <v>227152.93</v>
      </c>
      <c r="Y204" s="550"/>
      <c r="Z204" s="538">
        <v>22075.46</v>
      </c>
      <c r="AA204" s="551">
        <f>X204+Z204</f>
        <v>249228.38999999998</v>
      </c>
      <c r="AB204" s="341"/>
      <c r="AC204" s="568" t="s">
        <v>116</v>
      </c>
      <c r="AD204" s="1157"/>
      <c r="AE204" s="568"/>
      <c r="AF204" s="568"/>
      <c r="AG204" s="568"/>
      <c r="AH204" s="183"/>
      <c r="AI204" s="1036"/>
      <c r="AJ204" s="1037"/>
      <c r="AK204" s="1037"/>
      <c r="AL204" s="1038"/>
      <c r="AM204" s="1522" t="s">
        <v>116</v>
      </c>
      <c r="AN204" s="1523">
        <v>44753</v>
      </c>
      <c r="AO204" s="1524">
        <v>11042633</v>
      </c>
      <c r="AP204" s="1525">
        <v>227642.98</v>
      </c>
      <c r="AQ204" s="1525"/>
      <c r="AR204" s="1525">
        <v>22075.52</v>
      </c>
      <c r="AS204" s="1525">
        <f>IF(Table15[[#This Row],[PCTS Approved]]="N",0,Table15[[#This Row],[Investment Amount (1'#'#'#'#'#)]]+Table15[[#This Row],[Retirement Amount (3'#'#'#'#'#)]])</f>
        <v>249718.5</v>
      </c>
      <c r="AT204" s="1525">
        <f>IF(Table15[[#This Row],[Approved Construction Cost]]=0,0,Table15[[#This Row],[Approved Construction Cost]]-Table15[[#This Row],[Construction Cost to Bill From]])</f>
        <v>490.11000000001513</v>
      </c>
      <c r="AU204" s="1525">
        <f>IFERROR(Table15[[#This Row],[Difference in Construction Cost]]*Table15[[#This Row],[Rate]],Table15[[#This Row],[Difference in Construction Cost]]*0.085)</f>
        <v>44.10990000000136</v>
      </c>
      <c r="AV204" s="1525" t="s">
        <v>709</v>
      </c>
      <c r="AW204" s="1526"/>
      <c r="AX204" s="1525">
        <f>Table15[[#This Row],[Reconcile Amount]]</f>
        <v>44.10990000000136</v>
      </c>
      <c r="AY204" s="1518">
        <v>45008</v>
      </c>
      <c r="AZ204" s="333"/>
      <c r="BA204" s="1031" t="s">
        <v>2819</v>
      </c>
      <c r="BB204" s="644"/>
      <c r="BC204" s="544" t="s">
        <v>709</v>
      </c>
      <c r="BD204" s="544" t="s">
        <v>2820</v>
      </c>
      <c r="BE204" s="544" t="s">
        <v>709</v>
      </c>
      <c r="BF204" s="544" t="s">
        <v>709</v>
      </c>
      <c r="BG204" s="544" t="s">
        <v>709</v>
      </c>
      <c r="BH204" s="741"/>
      <c r="BI204" s="547" t="s">
        <v>116</v>
      </c>
      <c r="BJ204" s="547" t="s">
        <v>709</v>
      </c>
      <c r="BK204" s="547" t="s">
        <v>709</v>
      </c>
      <c r="BL204" s="547" t="s">
        <v>709</v>
      </c>
      <c r="BM204" s="547" t="s">
        <v>709</v>
      </c>
      <c r="BN204" s="547" t="s">
        <v>709</v>
      </c>
      <c r="BO204" s="547" t="s">
        <v>709</v>
      </c>
      <c r="BP204" s="547" t="s">
        <v>709</v>
      </c>
      <c r="BQ204" s="547" t="s">
        <v>709</v>
      </c>
      <c r="BR204" s="547" t="s">
        <v>709</v>
      </c>
      <c r="BS204" s="547">
        <v>539</v>
      </c>
      <c r="BT204" s="547" t="s">
        <v>745</v>
      </c>
      <c r="BU204" s="547" t="s">
        <v>709</v>
      </c>
      <c r="BV204" s="547" t="s">
        <v>745</v>
      </c>
      <c r="BW204" s="547" t="s">
        <v>709</v>
      </c>
      <c r="BX204" s="547">
        <v>1</v>
      </c>
      <c r="BY204" s="547" t="s">
        <v>745</v>
      </c>
      <c r="BZ204" s="547" t="s">
        <v>709</v>
      </c>
      <c r="CA204" s="483"/>
      <c r="CB204" s="547">
        <v>202</v>
      </c>
      <c r="CC204" s="1481" t="b">
        <v>1</v>
      </c>
      <c r="CD204" t="str">
        <f>Table15[[#This Row],[Engineering Number]]&amp;Table15[[#This Row],[WO Number]]&amp;Table15[[#This Row],[Date Assigned to Designer]]&amp;Table15[[#This Row],[Date Completed]]</f>
        <v>MR13411408044403444139</v>
      </c>
    </row>
    <row r="205" spans="1:82" customFormat="1" ht="15" customHeight="1" x14ac:dyDescent="0.25">
      <c r="A205">
        <v>2020</v>
      </c>
      <c r="B205" s="8" t="s">
        <v>1205</v>
      </c>
      <c r="C205" s="8" t="s">
        <v>2634</v>
      </c>
      <c r="D205" s="8" t="s">
        <v>2635</v>
      </c>
      <c r="E205" s="8" t="s">
        <v>2636</v>
      </c>
      <c r="F205" s="8" t="s">
        <v>738</v>
      </c>
      <c r="G205" s="8" t="s">
        <v>36</v>
      </c>
      <c r="H205" s="8" t="s">
        <v>2051</v>
      </c>
      <c r="I205" s="642">
        <v>43970</v>
      </c>
      <c r="J205" s="18" t="s">
        <v>2052</v>
      </c>
      <c r="K205" s="642">
        <v>44145</v>
      </c>
      <c r="L205" s="16">
        <f>IF(ISTEXT(Table15[[#This Row],[Engineering Approved Design Date]]),Table15[[#This Row],[Date Completed]]-Table15[[#This Row],[Date Assigned to Designer]],Table15[[#This Row],[Engineering Approved Design Date]]-Table15[[#This Row],[Date Completed]])</f>
        <v>175</v>
      </c>
      <c r="M205" s="642" t="s">
        <v>2822</v>
      </c>
      <c r="N205" s="642" t="s">
        <v>120</v>
      </c>
      <c r="O205" s="1025">
        <v>44145</v>
      </c>
      <c r="P205" s="21" t="s">
        <v>739</v>
      </c>
      <c r="Q205" s="340">
        <f>IF(Table15[[#This Row],[Shactee Effort]]="N",0,Table15[[#This Row],[Shactee Effort]])+IF(Table15[[#This Row],[3rd Party Effort]]="N",0,Table15[[#This Row],[3rd Party Effort]])+Table15[[#This Row],[KH Hourly Effort]]</f>
        <v>5037.5</v>
      </c>
      <c r="R205" s="1026" t="s">
        <v>1922</v>
      </c>
      <c r="S205" s="551" t="s">
        <v>709</v>
      </c>
      <c r="T205" s="538" t="s">
        <v>709</v>
      </c>
      <c r="U205" s="28">
        <v>5037.5</v>
      </c>
      <c r="V205" s="857">
        <v>0</v>
      </c>
      <c r="W205" s="440"/>
      <c r="X205" s="551">
        <v>0</v>
      </c>
      <c r="Y205" s="551">
        <v>0</v>
      </c>
      <c r="Z205" s="551">
        <v>58185.04</v>
      </c>
      <c r="AA205" s="538">
        <f>X205+Z205</f>
        <v>58185.04</v>
      </c>
      <c r="AB205" s="21"/>
      <c r="AC205" s="569"/>
      <c r="AD205" s="1149"/>
      <c r="AE205" s="569"/>
      <c r="AF205" s="569"/>
      <c r="AG205" s="569"/>
      <c r="AH205" s="536"/>
      <c r="AI205" s="1028"/>
      <c r="AJ205" s="1029"/>
      <c r="AK205" s="1029"/>
      <c r="AL205" s="1030"/>
      <c r="AM205" s="542" t="s">
        <v>709</v>
      </c>
      <c r="AN205" s="924"/>
      <c r="AO205" s="925"/>
      <c r="AP205" s="926"/>
      <c r="AQ205" s="926"/>
      <c r="AR205" s="926"/>
      <c r="AS205" s="926"/>
      <c r="AT205" s="926"/>
      <c r="AU205" s="926"/>
      <c r="AV205" s="926"/>
      <c r="AW205" s="927"/>
      <c r="AX205" s="926"/>
      <c r="AY205" s="1538" t="s">
        <v>29</v>
      </c>
      <c r="AZ205" s="1532"/>
      <c r="BA205" s="1031">
        <v>1</v>
      </c>
      <c r="BB205" s="644"/>
      <c r="BC205" s="544"/>
      <c r="BD205" s="544"/>
      <c r="BE205" s="544"/>
      <c r="BF205" s="544"/>
      <c r="BG205" s="544"/>
      <c r="BH205" s="741"/>
      <c r="BI205" s="547" t="s">
        <v>709</v>
      </c>
      <c r="BJ205" s="547" t="s">
        <v>709</v>
      </c>
      <c r="BK205" s="547" t="s">
        <v>709</v>
      </c>
      <c r="BL205" s="547" t="s">
        <v>709</v>
      </c>
      <c r="BM205" s="547" t="s">
        <v>709</v>
      </c>
      <c r="BN205" s="547" t="s">
        <v>709</v>
      </c>
      <c r="BO205" s="547" t="s">
        <v>709</v>
      </c>
      <c r="BP205" s="547" t="s">
        <v>709</v>
      </c>
      <c r="BQ205" s="547" t="s">
        <v>709</v>
      </c>
      <c r="BR205" s="547" t="s">
        <v>709</v>
      </c>
      <c r="BS205" s="547" t="s">
        <v>709</v>
      </c>
      <c r="BT205" s="547" t="s">
        <v>745</v>
      </c>
      <c r="BU205" s="547" t="s">
        <v>709</v>
      </c>
      <c r="BV205" s="547" t="s">
        <v>745</v>
      </c>
      <c r="BW205" s="547" t="s">
        <v>709</v>
      </c>
      <c r="BX205" s="547" t="s">
        <v>745</v>
      </c>
      <c r="BY205" s="547" t="s">
        <v>745</v>
      </c>
      <c r="BZ205" s="547" t="s">
        <v>709</v>
      </c>
      <c r="CA205" s="483" t="s">
        <v>1146</v>
      </c>
      <c r="CB205" s="547">
        <v>203</v>
      </c>
      <c r="CC205" s="1481" t="b">
        <v>1</v>
      </c>
      <c r="CD205" t="str">
        <f>Table15[[#This Row],[Engineering Number]]&amp;Table15[[#This Row],[WO Number]]&amp;Table15[[#This Row],[Date Assigned to Designer]]&amp;Table15[[#This Row],[Date Completed]]</f>
        <v>MR14233204804397044145</v>
      </c>
    </row>
    <row r="206" spans="1:82" customFormat="1" ht="15" customHeight="1" x14ac:dyDescent="0.25">
      <c r="A206">
        <v>2020</v>
      </c>
      <c r="B206" s="8" t="s">
        <v>4</v>
      </c>
      <c r="C206" s="8" t="s">
        <v>2824</v>
      </c>
      <c r="D206" s="8" t="s">
        <v>115</v>
      </c>
      <c r="E206" s="8" t="s">
        <v>818</v>
      </c>
      <c r="F206" s="8" t="s">
        <v>919</v>
      </c>
      <c r="G206" s="8" t="s">
        <v>2765</v>
      </c>
      <c r="H206" s="8" t="s">
        <v>1903</v>
      </c>
      <c r="I206" s="642">
        <v>44131</v>
      </c>
      <c r="J206" s="18">
        <v>44188</v>
      </c>
      <c r="K206" s="642">
        <v>44145</v>
      </c>
      <c r="L206" s="16">
        <f>IF(ISTEXT(Table15[[#This Row],[Engineering Approved Design Date]]),Table15[[#This Row],[Date Completed]]-Table15[[#This Row],[Date Assigned to Designer]],Table15[[#This Row],[Engineering Approved Design Date]]-Table15[[#This Row],[Date Completed]])</f>
        <v>43</v>
      </c>
      <c r="M206" s="642"/>
      <c r="N206" s="642" t="s">
        <v>120</v>
      </c>
      <c r="O206" s="1025">
        <v>44145</v>
      </c>
      <c r="P206" s="21" t="s">
        <v>739</v>
      </c>
      <c r="Q206" s="340" t="s">
        <v>115</v>
      </c>
      <c r="R206" s="1026" t="s">
        <v>115</v>
      </c>
      <c r="S206" s="538"/>
      <c r="T206" s="538"/>
      <c r="U206" s="28"/>
      <c r="V206" s="858"/>
      <c r="W206" s="437"/>
      <c r="X206" s="556"/>
      <c r="Y206" s="550"/>
      <c r="Z206" s="556"/>
      <c r="AA206" s="551">
        <v>0</v>
      </c>
      <c r="AB206" s="341"/>
      <c r="AC206" s="568"/>
      <c r="AD206" s="1157"/>
      <c r="AE206" s="579"/>
      <c r="AF206" s="579"/>
      <c r="AG206" s="579"/>
      <c r="AH206" s="553"/>
      <c r="AI206" s="1036"/>
      <c r="AJ206" s="1037"/>
      <c r="AK206" s="1037"/>
      <c r="AL206" s="1038"/>
      <c r="AM206" s="542" t="s">
        <v>709</v>
      </c>
      <c r="AN206" s="924"/>
      <c r="AO206" s="925"/>
      <c r="AP206" s="926"/>
      <c r="AQ206" s="926"/>
      <c r="AR206" s="926"/>
      <c r="AS206" s="926"/>
      <c r="AT206" s="926"/>
      <c r="AU206" s="926"/>
      <c r="AV206" s="926"/>
      <c r="AW206" s="927"/>
      <c r="AX206" s="926"/>
      <c r="AY206" s="1538" t="s">
        <v>29</v>
      </c>
      <c r="AZ206" s="1530"/>
      <c r="BA206" s="1031" t="s">
        <v>2825</v>
      </c>
      <c r="BB206" s="644"/>
      <c r="BC206" s="544"/>
      <c r="BD206" s="544"/>
      <c r="BE206" s="544"/>
      <c r="BF206" s="544"/>
      <c r="BG206" s="544"/>
      <c r="BH206" s="741"/>
      <c r="BI206" s="1032"/>
      <c r="BJ206" s="1032"/>
      <c r="BK206" s="1032"/>
      <c r="BL206" s="1032"/>
      <c r="BM206" s="1032"/>
      <c r="BN206" s="1032"/>
      <c r="BO206" s="1032"/>
      <c r="BP206" s="1032"/>
      <c r="BQ206" s="1032"/>
      <c r="BR206" s="1032"/>
      <c r="BS206" s="1032"/>
      <c r="BT206" s="1032"/>
      <c r="BU206" s="1032"/>
      <c r="BV206" s="1032"/>
      <c r="BW206" s="1032"/>
      <c r="BX206" s="1032"/>
      <c r="BY206" s="1032"/>
      <c r="BZ206" s="1032"/>
      <c r="CA206" s="485"/>
      <c r="CB206" s="547">
        <v>204</v>
      </c>
      <c r="CC206" s="1481" t="b">
        <v>1</v>
      </c>
      <c r="CD206" t="str">
        <f>Table15[[#This Row],[Engineering Number]]&amp;Table15[[#This Row],[WO Number]]&amp;Table15[[#This Row],[Date Assigned to Designer]]&amp;Table15[[#This Row],[Date Completed]]</f>
        <v>SC18270-4413144145</v>
      </c>
    </row>
    <row r="207" spans="1:82" customFormat="1" ht="15" customHeight="1" x14ac:dyDescent="0.25">
      <c r="A207">
        <v>2021</v>
      </c>
      <c r="B207" s="8" t="s">
        <v>4</v>
      </c>
      <c r="C207" s="8" t="s">
        <v>2833</v>
      </c>
      <c r="D207" s="8" t="s">
        <v>115</v>
      </c>
      <c r="E207" s="8" t="s">
        <v>2258</v>
      </c>
      <c r="F207" s="8" t="s">
        <v>738</v>
      </c>
      <c r="G207" s="8" t="s">
        <v>2765</v>
      </c>
      <c r="H207" s="8" t="s">
        <v>1681</v>
      </c>
      <c r="I207" s="642">
        <v>44131</v>
      </c>
      <c r="J207" s="18">
        <v>44176</v>
      </c>
      <c r="K207" s="642">
        <v>44147</v>
      </c>
      <c r="L207" s="16">
        <f>IF(ISTEXT(Table15[[#This Row],[Engineering Approved Design Date]]),Table15[[#This Row],[Date Completed]]-Table15[[#This Row],[Date Assigned to Designer]],Table15[[#This Row],[Engineering Approved Design Date]]-Table15[[#This Row],[Date Completed]])</f>
        <v>29</v>
      </c>
      <c r="M207" s="642"/>
      <c r="N207" s="642" t="s">
        <v>120</v>
      </c>
      <c r="O207" s="1025">
        <v>44147</v>
      </c>
      <c r="P207" s="21" t="s">
        <v>739</v>
      </c>
      <c r="Q207" s="340" t="s">
        <v>115</v>
      </c>
      <c r="R207" s="1026" t="s">
        <v>115</v>
      </c>
      <c r="S207" s="551"/>
      <c r="T207" s="538"/>
      <c r="U207" s="28"/>
      <c r="V207" s="857"/>
      <c r="W207" s="440"/>
      <c r="X207" s="550"/>
      <c r="Y207" s="550"/>
      <c r="Z207" s="550"/>
      <c r="AA207" s="538">
        <v>0</v>
      </c>
      <c r="AB207" s="21"/>
      <c r="AC207" s="569"/>
      <c r="AD207" s="1149"/>
      <c r="AE207" s="580"/>
      <c r="AF207" s="580"/>
      <c r="AG207" s="580"/>
      <c r="AH207" s="542"/>
      <c r="AI207" s="1028"/>
      <c r="AJ207" s="1029"/>
      <c r="AK207" s="1029"/>
      <c r="AL207" s="1030"/>
      <c r="AM207" s="542" t="s">
        <v>709</v>
      </c>
      <c r="AN207" s="924"/>
      <c r="AO207" s="925"/>
      <c r="AP207" s="926"/>
      <c r="AQ207" s="926"/>
      <c r="AR207" s="926"/>
      <c r="AS207" s="926"/>
      <c r="AT207" s="926"/>
      <c r="AU207" s="926"/>
      <c r="AV207" s="926"/>
      <c r="AW207" s="927"/>
      <c r="AX207" s="926"/>
      <c r="AY207" s="1538" t="s">
        <v>29</v>
      </c>
      <c r="AZ207" s="1530"/>
      <c r="BA207" s="1031" t="s">
        <v>2834</v>
      </c>
      <c r="BB207" s="644" t="s">
        <v>2083</v>
      </c>
      <c r="BC207" s="544"/>
      <c r="BD207" s="544"/>
      <c r="BE207" s="544"/>
      <c r="BF207" s="544"/>
      <c r="BG207" s="544"/>
      <c r="BH207" s="741"/>
      <c r="BI207" s="1032"/>
      <c r="BJ207" s="1032"/>
      <c r="BK207" s="1032"/>
      <c r="BL207" s="1032"/>
      <c r="BM207" s="1032"/>
      <c r="BN207" s="1032"/>
      <c r="BO207" s="1032"/>
      <c r="BP207" s="1032"/>
      <c r="BQ207" s="1032"/>
      <c r="BR207" s="1032"/>
      <c r="BS207" s="1032"/>
      <c r="BT207" s="1032"/>
      <c r="BU207" s="1032"/>
      <c r="BV207" s="1032"/>
      <c r="BW207" s="1032"/>
      <c r="BX207" s="1032"/>
      <c r="BY207" s="1032"/>
      <c r="BZ207" s="1032"/>
      <c r="CA207" s="485"/>
      <c r="CB207" s="547">
        <v>205</v>
      </c>
      <c r="CC207" s="1481" t="b">
        <v>1</v>
      </c>
      <c r="CD207" t="str">
        <f>Table15[[#This Row],[Engineering Number]]&amp;Table15[[#This Row],[WO Number]]&amp;Table15[[#This Row],[Date Assigned to Designer]]&amp;Table15[[#This Row],[Date Completed]]</f>
        <v>N14017-4413144147</v>
      </c>
    </row>
    <row r="208" spans="1:82" customFormat="1" ht="15" customHeight="1" x14ac:dyDescent="0.25">
      <c r="A208">
        <v>2020</v>
      </c>
      <c r="B208" s="8" t="s">
        <v>771</v>
      </c>
      <c r="C208" s="8" t="s">
        <v>2829</v>
      </c>
      <c r="D208" s="656" t="s">
        <v>2830</v>
      </c>
      <c r="E208" s="8" t="s">
        <v>2246</v>
      </c>
      <c r="F208" s="8" t="s">
        <v>919</v>
      </c>
      <c r="G208" s="8" t="s">
        <v>1882</v>
      </c>
      <c r="H208" s="8" t="s">
        <v>59</v>
      </c>
      <c r="I208" s="642">
        <v>44166</v>
      </c>
      <c r="J208" s="18">
        <v>44211</v>
      </c>
      <c r="K208" s="642">
        <v>44147</v>
      </c>
      <c r="L208" s="16">
        <f>IF(ISTEXT(Table15[[#This Row],[Engineering Approved Design Date]]),Table15[[#This Row],[Date Completed]]-Table15[[#This Row],[Date Assigned to Designer]],Table15[[#This Row],[Engineering Approved Design Date]]-Table15[[#This Row],[Date Completed]])</f>
        <v>64</v>
      </c>
      <c r="M208" s="642"/>
      <c r="N208" s="642" t="s">
        <v>120</v>
      </c>
      <c r="O208" s="1025">
        <v>44147</v>
      </c>
      <c r="P208" s="21" t="s">
        <v>120</v>
      </c>
      <c r="Q208" s="340">
        <f>R208*AA208</f>
        <v>40790.751299999996</v>
      </c>
      <c r="R208" s="1026">
        <v>0.09</v>
      </c>
      <c r="S208" s="551"/>
      <c r="T208" s="538"/>
      <c r="U208" s="28"/>
      <c r="V208" s="857">
        <v>1021</v>
      </c>
      <c r="W208" s="440"/>
      <c r="X208" s="551">
        <v>408696.29</v>
      </c>
      <c r="Y208" s="550"/>
      <c r="Z208" s="551">
        <v>44534.28</v>
      </c>
      <c r="AA208" s="538">
        <f>X208+Z208</f>
        <v>453230.56999999995</v>
      </c>
      <c r="AB208" s="21"/>
      <c r="AC208" s="569"/>
      <c r="AD208" s="1149"/>
      <c r="AE208" s="569"/>
      <c r="AF208" s="569"/>
      <c r="AG208" s="569"/>
      <c r="AH208" s="536"/>
      <c r="AI208" s="1028"/>
      <c r="AJ208" s="1029"/>
      <c r="AK208" s="1029"/>
      <c r="AL208" s="1030"/>
      <c r="AM208" s="1522" t="s">
        <v>116</v>
      </c>
      <c r="AN208" s="1523">
        <v>44691</v>
      </c>
      <c r="AO208" s="1524">
        <v>11037953</v>
      </c>
      <c r="AP208" s="1525">
        <v>692347.06</v>
      </c>
      <c r="AQ208" s="1525"/>
      <c r="AR208" s="1525">
        <v>67487.490000000005</v>
      </c>
      <c r="AS208" s="1525">
        <f>IF(Table15[[#This Row],[PCTS Approved]]="N",0,Table15[[#This Row],[Investment Amount (1'#'#'#'#'#)]]+Table15[[#This Row],[Retirement Amount (3'#'#'#'#'#)]])</f>
        <v>759834.55</v>
      </c>
      <c r="AT208" s="1525">
        <f>IF(Table15[[#This Row],[Approved Construction Cost]]=0,0,Table15[[#This Row],[Approved Construction Cost]]-Table15[[#This Row],[Construction Cost to Bill From]])</f>
        <v>306603.9800000001</v>
      </c>
      <c r="AU208" s="1525">
        <f>IFERROR(Table15[[#This Row],[Difference in Construction Cost]]*Table15[[#This Row],[Rate]],Table15[[#This Row],[Difference in Construction Cost]]*0.085)</f>
        <v>27594.358200000006</v>
      </c>
      <c r="AV208" s="1525">
        <v>4125</v>
      </c>
      <c r="AW208" s="1526" t="s">
        <v>2831</v>
      </c>
      <c r="AX208" s="1525">
        <v>0</v>
      </c>
      <c r="AY208" s="1518">
        <v>45008</v>
      </c>
      <c r="AZ208" s="333"/>
      <c r="BA208" s="1031" t="s">
        <v>2247</v>
      </c>
      <c r="BB208" s="644" t="s">
        <v>2248</v>
      </c>
      <c r="BC208" s="544"/>
      <c r="BD208" s="544"/>
      <c r="BE208" s="544"/>
      <c r="BF208" s="544"/>
      <c r="BG208" s="544"/>
      <c r="BH208" s="741"/>
      <c r="BI208" s="547" t="s">
        <v>709</v>
      </c>
      <c r="BJ208" s="547" t="s">
        <v>709</v>
      </c>
      <c r="BK208" s="547" t="s">
        <v>709</v>
      </c>
      <c r="BL208" s="547" t="s">
        <v>116</v>
      </c>
      <c r="BM208" s="547" t="s">
        <v>709</v>
      </c>
      <c r="BN208" s="547" t="s">
        <v>709</v>
      </c>
      <c r="BO208" s="547" t="s">
        <v>709</v>
      </c>
      <c r="BP208" s="547">
        <v>699</v>
      </c>
      <c r="BQ208" s="547" t="s">
        <v>709</v>
      </c>
      <c r="BR208" s="547">
        <v>68</v>
      </c>
      <c r="BS208" s="547">
        <v>254</v>
      </c>
      <c r="BT208" s="547" t="s">
        <v>745</v>
      </c>
      <c r="BU208" s="547" t="s">
        <v>709</v>
      </c>
      <c r="BV208" s="547" t="s">
        <v>745</v>
      </c>
      <c r="BW208" s="547" t="s">
        <v>709</v>
      </c>
      <c r="BX208" s="547" t="s">
        <v>745</v>
      </c>
      <c r="BY208" s="547" t="s">
        <v>745</v>
      </c>
      <c r="BZ208" s="547" t="s">
        <v>709</v>
      </c>
      <c r="CA208" s="483"/>
      <c r="CB208" s="547">
        <v>207</v>
      </c>
      <c r="CC208" s="1481" t="b">
        <v>1</v>
      </c>
      <c r="CD208" t="str">
        <f>Table15[[#This Row],[Engineering Number]]&amp;Table15[[#This Row],[WO Number]]&amp;Table15[[#This Row],[Date Assigned to Designer]]&amp;Table15[[#This Row],[Date Completed]]</f>
        <v>VW265-11204824416644147</v>
      </c>
    </row>
    <row r="209" spans="1:82" customFormat="1" ht="15" customHeight="1" x14ac:dyDescent="0.25">
      <c r="A209">
        <v>2019</v>
      </c>
      <c r="B209" s="8" t="s">
        <v>4</v>
      </c>
      <c r="C209" s="8" t="s">
        <v>2509</v>
      </c>
      <c r="D209" s="8" t="s">
        <v>2510</v>
      </c>
      <c r="E209" s="8" t="s">
        <v>2511</v>
      </c>
      <c r="F209" s="8" t="s">
        <v>738</v>
      </c>
      <c r="G209" s="8" t="s">
        <v>40</v>
      </c>
      <c r="H209" s="8" t="s">
        <v>2051</v>
      </c>
      <c r="I209" s="642">
        <v>43468</v>
      </c>
      <c r="J209" s="18" t="s">
        <v>2052</v>
      </c>
      <c r="K209" s="642">
        <v>44147</v>
      </c>
      <c r="L209" s="16">
        <f>IF(ISTEXT(Table15[[#This Row],[Engineering Approved Design Date]]),Table15[[#This Row],[Date Completed]]-Table15[[#This Row],[Date Assigned to Designer]],Table15[[#This Row],[Engineering Approved Design Date]]-Table15[[#This Row],[Date Completed]])</f>
        <v>679</v>
      </c>
      <c r="M209" s="642" t="s">
        <v>2827</v>
      </c>
      <c r="N209" s="642" t="s">
        <v>120</v>
      </c>
      <c r="O209" s="1025">
        <v>44147</v>
      </c>
      <c r="P209" s="21" t="s">
        <v>739</v>
      </c>
      <c r="Q209" s="340">
        <f>IF(Table15[[#This Row],[Shactee Effort]]="N",0,Table15[[#This Row],[Shactee Effort]])+IF(Table15[[#This Row],[3rd Party Effort]]="N",0,Table15[[#This Row],[3rd Party Effort]])+Table15[[#This Row],[KH Hourly Effort]]</f>
        <v>2140</v>
      </c>
      <c r="R209" s="1026" t="s">
        <v>1922</v>
      </c>
      <c r="S209" s="551" t="s">
        <v>709</v>
      </c>
      <c r="T209" s="538" t="s">
        <v>709</v>
      </c>
      <c r="U209" s="28">
        <v>2140</v>
      </c>
      <c r="V209" s="857"/>
      <c r="W209" s="440"/>
      <c r="X209" s="550"/>
      <c r="Y209" s="550"/>
      <c r="Z209" s="550"/>
      <c r="AA209" s="538"/>
      <c r="AB209" s="21"/>
      <c r="AC209" s="569"/>
      <c r="AD209" s="1149"/>
      <c r="AE209" s="580"/>
      <c r="AF209" s="580"/>
      <c r="AG209" s="580"/>
      <c r="AH209" s="542"/>
      <c r="AI209" s="1028"/>
      <c r="AJ209" s="1029"/>
      <c r="AK209" s="1029"/>
      <c r="AL209" s="1030"/>
      <c r="AM209" s="542" t="s">
        <v>709</v>
      </c>
      <c r="AN209" s="924"/>
      <c r="AO209" s="925"/>
      <c r="AP209" s="926"/>
      <c r="AQ209" s="926"/>
      <c r="AR209" s="926"/>
      <c r="AS209" s="926"/>
      <c r="AT209" s="926"/>
      <c r="AU209" s="926"/>
      <c r="AV209" s="926"/>
      <c r="AW209" s="927"/>
      <c r="AX209" s="926"/>
      <c r="AY209" s="1538" t="s">
        <v>29</v>
      </c>
      <c r="AZ209" s="1530"/>
      <c r="BA209" s="1031">
        <v>12</v>
      </c>
      <c r="BB209" s="644"/>
      <c r="BC209" s="544"/>
      <c r="BD209" s="544"/>
      <c r="BE209" s="544"/>
      <c r="BF209" s="544"/>
      <c r="BG209" s="544"/>
      <c r="BH209" s="741"/>
      <c r="BI209" s="547" t="s">
        <v>709</v>
      </c>
      <c r="BJ209" s="547" t="s">
        <v>709</v>
      </c>
      <c r="BK209" s="547" t="s">
        <v>709</v>
      </c>
      <c r="BL209" s="547" t="s">
        <v>116</v>
      </c>
      <c r="BM209" s="547" t="s">
        <v>709</v>
      </c>
      <c r="BN209" s="547" t="s">
        <v>709</v>
      </c>
      <c r="BO209" s="547" t="s">
        <v>709</v>
      </c>
      <c r="BP209" s="547" t="s">
        <v>709</v>
      </c>
      <c r="BQ209" s="547" t="s">
        <v>709</v>
      </c>
      <c r="BR209" s="547">
        <v>1626</v>
      </c>
      <c r="BS209" s="547" t="s">
        <v>709</v>
      </c>
      <c r="BT209" s="547" t="s">
        <v>745</v>
      </c>
      <c r="BU209" s="547" t="s">
        <v>709</v>
      </c>
      <c r="BV209" s="547" t="s">
        <v>745</v>
      </c>
      <c r="BW209" s="547" t="s">
        <v>709</v>
      </c>
      <c r="BX209" s="547" t="s">
        <v>745</v>
      </c>
      <c r="BY209" s="547" t="s">
        <v>745</v>
      </c>
      <c r="BZ209" s="547" t="s">
        <v>709</v>
      </c>
      <c r="CA209" s="483"/>
      <c r="CB209" s="547">
        <v>206</v>
      </c>
      <c r="CC209" s="1481" t="b">
        <v>1</v>
      </c>
      <c r="CD209" t="str">
        <f>Table15[[#This Row],[Engineering Number]]&amp;Table15[[#This Row],[WO Number]]&amp;Table15[[#This Row],[Date Assigned to Designer]]&amp;Table15[[#This Row],[Date Completed]]</f>
        <v>N121801292004346844147</v>
      </c>
    </row>
    <row r="210" spans="1:82" customFormat="1" ht="15" customHeight="1" x14ac:dyDescent="0.25">
      <c r="A210">
        <v>2021</v>
      </c>
      <c r="B210" s="8" t="s">
        <v>771</v>
      </c>
      <c r="C210" s="8" t="s">
        <v>2836</v>
      </c>
      <c r="D210" s="8">
        <v>140807</v>
      </c>
      <c r="E210" s="8" t="s">
        <v>141</v>
      </c>
      <c r="F210" s="8" t="s">
        <v>919</v>
      </c>
      <c r="G210" s="8" t="s">
        <v>36</v>
      </c>
      <c r="H210" s="8" t="s">
        <v>59</v>
      </c>
      <c r="I210" s="642">
        <v>44034</v>
      </c>
      <c r="J210" s="18">
        <v>44152</v>
      </c>
      <c r="K210" s="642">
        <v>44152</v>
      </c>
      <c r="L210" s="16">
        <f>IF(ISTEXT(Table15[[#This Row],[Engineering Approved Design Date]]),Table15[[#This Row],[Date Completed]]-Table15[[#This Row],[Date Assigned to Designer]],Table15[[#This Row],[Engineering Approved Design Date]]-Table15[[#This Row],[Date Completed]])</f>
        <v>0</v>
      </c>
      <c r="M210" s="642"/>
      <c r="N210" s="642" t="s">
        <v>120</v>
      </c>
      <c r="O210" s="1025">
        <v>44152</v>
      </c>
      <c r="P210" s="21" t="s">
        <v>120</v>
      </c>
      <c r="Q210" s="340">
        <f>1.55*Table15[[#This Row],[LF of Main]]</f>
        <v>8800.9</v>
      </c>
      <c r="R210" s="1026" t="s">
        <v>2087</v>
      </c>
      <c r="S210" s="551" t="s">
        <v>709</v>
      </c>
      <c r="T210" s="538">
        <v>34980</v>
      </c>
      <c r="U210" s="28" t="s">
        <v>709</v>
      </c>
      <c r="V210" s="857">
        <v>5678</v>
      </c>
      <c r="W210" s="440"/>
      <c r="X210" s="551">
        <v>1314667.8</v>
      </c>
      <c r="Y210" s="551"/>
      <c r="Z210" s="551">
        <v>41237.93</v>
      </c>
      <c r="AA210" s="538">
        <f>X210+Z210</f>
        <v>1355905.73</v>
      </c>
      <c r="AB210" s="21"/>
      <c r="AC210" s="569"/>
      <c r="AD210" s="1149"/>
      <c r="AE210" s="569"/>
      <c r="AF210" s="569"/>
      <c r="AG210" s="569"/>
      <c r="AH210" s="536"/>
      <c r="AI210" s="1028"/>
      <c r="AJ210" s="1029"/>
      <c r="AK210" s="1029"/>
      <c r="AL210" s="1030"/>
      <c r="AM210" s="542" t="s">
        <v>709</v>
      </c>
      <c r="AN210" s="924"/>
      <c r="AO210" s="925"/>
      <c r="AP210" s="926"/>
      <c r="AQ210" s="926"/>
      <c r="AR210" s="926"/>
      <c r="AS210" s="926"/>
      <c r="AT210" s="926"/>
      <c r="AU210" s="926"/>
      <c r="AV210" s="926"/>
      <c r="AW210" s="927"/>
      <c r="AX210" s="926"/>
      <c r="AY210" s="1538" t="s">
        <v>29</v>
      </c>
      <c r="AZ210" s="1530"/>
      <c r="BA210" s="1031" t="s">
        <v>2804</v>
      </c>
      <c r="BB210" s="644"/>
      <c r="BC210" s="544" t="s">
        <v>116</v>
      </c>
      <c r="BD210" s="544" t="s">
        <v>709</v>
      </c>
      <c r="BE210" s="544" t="s">
        <v>757</v>
      </c>
      <c r="BF210" s="544" t="s">
        <v>709</v>
      </c>
      <c r="BG210" s="544" t="s">
        <v>2837</v>
      </c>
      <c r="BH210" s="741"/>
      <c r="BI210" s="547" t="s">
        <v>709</v>
      </c>
      <c r="BJ210" s="547" t="s">
        <v>709</v>
      </c>
      <c r="BK210" s="547" t="s">
        <v>709</v>
      </c>
      <c r="BL210" s="547" t="s">
        <v>116</v>
      </c>
      <c r="BM210" s="547" t="s">
        <v>709</v>
      </c>
      <c r="BN210" s="547" t="s">
        <v>709</v>
      </c>
      <c r="BO210" s="547" t="s">
        <v>709</v>
      </c>
      <c r="BP210" s="547">
        <v>361</v>
      </c>
      <c r="BQ210" s="547">
        <v>3654</v>
      </c>
      <c r="BR210" s="547">
        <v>91</v>
      </c>
      <c r="BS210" s="547">
        <v>1572</v>
      </c>
      <c r="BT210" s="547" t="s">
        <v>745</v>
      </c>
      <c r="BU210" s="547" t="s">
        <v>709</v>
      </c>
      <c r="BV210" s="547" t="s">
        <v>745</v>
      </c>
      <c r="BW210" s="547" t="s">
        <v>709</v>
      </c>
      <c r="BX210" s="547" t="s">
        <v>745</v>
      </c>
      <c r="BY210" s="547" t="s">
        <v>745</v>
      </c>
      <c r="BZ210" s="547" t="s">
        <v>709</v>
      </c>
      <c r="CA210" s="483"/>
      <c r="CB210" s="547">
        <v>208</v>
      </c>
      <c r="CC210" s="1481" t="b">
        <v>1</v>
      </c>
      <c r="CD210" t="str">
        <f>Table15[[#This Row],[Engineering Number]]&amp;Table15[[#This Row],[WO Number]]&amp;Table15[[#This Row],[Date Assigned to Designer]]&amp;Table15[[#This Row],[Date Completed]]</f>
        <v>VW84-11408074403444152</v>
      </c>
    </row>
    <row r="211" spans="1:82" customFormat="1" ht="15" customHeight="1" x14ac:dyDescent="0.25">
      <c r="A211">
        <v>2020</v>
      </c>
      <c r="B211" s="8" t="s">
        <v>4</v>
      </c>
      <c r="C211" s="8" t="s">
        <v>2839</v>
      </c>
      <c r="D211" s="656" t="s">
        <v>2840</v>
      </c>
      <c r="E211" s="8" t="s">
        <v>183</v>
      </c>
      <c r="F211" s="8" t="s">
        <v>738</v>
      </c>
      <c r="G211" s="8" t="s">
        <v>2814</v>
      </c>
      <c r="H211" s="8" t="s">
        <v>59</v>
      </c>
      <c r="I211" s="642">
        <v>44110</v>
      </c>
      <c r="J211" s="18">
        <v>44166</v>
      </c>
      <c r="K211" s="642">
        <v>44155</v>
      </c>
      <c r="L211" s="16">
        <f>IF(ISTEXT(Table15[[#This Row],[Engineering Approved Design Date]]),Table15[[#This Row],[Date Completed]]-Table15[[#This Row],[Date Assigned to Designer]],Table15[[#This Row],[Engineering Approved Design Date]]-Table15[[#This Row],[Date Completed]])</f>
        <v>11</v>
      </c>
      <c r="M211" s="642"/>
      <c r="N211" s="642" t="s">
        <v>120</v>
      </c>
      <c r="O211" s="1025">
        <v>44166</v>
      </c>
      <c r="P211" s="21" t="s">
        <v>739</v>
      </c>
      <c r="Q211" s="340">
        <f>R211*AA211</f>
        <v>32440.563000000002</v>
      </c>
      <c r="R211" s="1026">
        <v>0.1</v>
      </c>
      <c r="S211" s="551" t="s">
        <v>709</v>
      </c>
      <c r="T211" s="538" t="s">
        <v>709</v>
      </c>
      <c r="U211" s="28" t="s">
        <v>709</v>
      </c>
      <c r="V211" s="857">
        <v>2258</v>
      </c>
      <c r="W211" s="440"/>
      <c r="X211" s="551">
        <v>309098.34000000003</v>
      </c>
      <c r="Y211" s="550"/>
      <c r="Z211" s="551">
        <v>15307.29</v>
      </c>
      <c r="AA211" s="538">
        <f>X211+Z211</f>
        <v>324405.63</v>
      </c>
      <c r="AB211" s="21"/>
      <c r="AC211" s="569"/>
      <c r="AD211" s="1149"/>
      <c r="AE211" s="580"/>
      <c r="AF211" s="580"/>
      <c r="AG211" s="580"/>
      <c r="AH211" s="542"/>
      <c r="AI211" s="1028"/>
      <c r="AJ211" s="1029"/>
      <c r="AK211" s="1029"/>
      <c r="AL211" s="1030"/>
      <c r="AM211" s="1522" t="s">
        <v>116</v>
      </c>
      <c r="AN211" s="1523">
        <v>44292</v>
      </c>
      <c r="AO211" s="1524">
        <v>187162</v>
      </c>
      <c r="AP211" s="1525">
        <v>606265.14</v>
      </c>
      <c r="AQ211" s="1525"/>
      <c r="AR211" s="1525">
        <v>36395.68</v>
      </c>
      <c r="AS211" s="1525">
        <f>IF(Table15[[#This Row],[PCTS Approved]]="N",0,Table15[[#This Row],[Investment Amount (1'#'#'#'#'#)]]+Table15[[#This Row],[Retirement Amount (3'#'#'#'#'#)]])</f>
        <v>642660.82000000007</v>
      </c>
      <c r="AT211" s="1525">
        <f>IF(Table15[[#This Row],[Approved Construction Cost]]=0,0,Table15[[#This Row],[Approved Construction Cost]]-Table15[[#This Row],[Construction Cost to Bill From]])</f>
        <v>318255.19000000006</v>
      </c>
      <c r="AU211" s="1525">
        <f>Table15[[#This Row],[Difference in Construction Cost]]*Table15[[#This Row],[Rate]]</f>
        <v>31825.519000000008</v>
      </c>
      <c r="AV211" s="1525">
        <v>17820</v>
      </c>
      <c r="AW211" s="1526" t="s">
        <v>2841</v>
      </c>
      <c r="AX211" s="1525">
        <v>14005.519000000008</v>
      </c>
      <c r="AY211" s="1518">
        <v>44501</v>
      </c>
      <c r="AZ211" s="333"/>
      <c r="BA211" s="1031" t="s">
        <v>2842</v>
      </c>
      <c r="BB211" s="644" t="s">
        <v>2843</v>
      </c>
      <c r="BC211" s="544"/>
      <c r="BD211" s="544"/>
      <c r="BE211" s="544"/>
      <c r="BF211" s="544"/>
      <c r="BG211" s="544"/>
      <c r="BH211" s="741"/>
      <c r="BI211" s="547" t="s">
        <v>709</v>
      </c>
      <c r="BJ211" s="547" t="s">
        <v>709</v>
      </c>
      <c r="BK211" s="547" t="s">
        <v>709</v>
      </c>
      <c r="BL211" s="547" t="s">
        <v>116</v>
      </c>
      <c r="BM211" s="547" t="s">
        <v>709</v>
      </c>
      <c r="BN211" s="547" t="s">
        <v>709</v>
      </c>
      <c r="BO211" s="547" t="s">
        <v>709</v>
      </c>
      <c r="BP211" s="547" t="s">
        <v>709</v>
      </c>
      <c r="BQ211" s="547" t="s">
        <v>709</v>
      </c>
      <c r="BR211" s="547" t="s">
        <v>709</v>
      </c>
      <c r="BS211" s="547">
        <v>2259</v>
      </c>
      <c r="BT211" s="547" t="s">
        <v>745</v>
      </c>
      <c r="BU211" s="547" t="s">
        <v>709</v>
      </c>
      <c r="BV211" s="547" t="s">
        <v>745</v>
      </c>
      <c r="BW211" s="547" t="s">
        <v>709</v>
      </c>
      <c r="BX211" s="547" t="s">
        <v>745</v>
      </c>
      <c r="BY211" s="547" t="s">
        <v>745</v>
      </c>
      <c r="BZ211" s="547" t="s">
        <v>709</v>
      </c>
      <c r="CA211" s="483"/>
      <c r="CB211" s="547">
        <v>209</v>
      </c>
      <c r="CC211" s="1481" t="b">
        <v>1</v>
      </c>
      <c r="CD211" t="str">
        <f>Table15[[#This Row],[Engineering Number]]&amp;Table15[[#This Row],[WO Number]]&amp;Table15[[#This Row],[Date Assigned to Designer]]&amp;Table15[[#This Row],[Date Completed]]</f>
        <v>M119261205304411044155</v>
      </c>
    </row>
    <row r="212" spans="1:82" customFormat="1" ht="15" customHeight="1" x14ac:dyDescent="0.25">
      <c r="A212">
        <v>2021</v>
      </c>
      <c r="B212" s="8" t="s">
        <v>771</v>
      </c>
      <c r="C212" s="8" t="s">
        <v>2845</v>
      </c>
      <c r="D212" s="8" t="s">
        <v>2846</v>
      </c>
      <c r="E212" s="8" t="s">
        <v>2847</v>
      </c>
      <c r="F212" s="8" t="s">
        <v>919</v>
      </c>
      <c r="G212" s="8" t="s">
        <v>1882</v>
      </c>
      <c r="H212" s="8" t="s">
        <v>59</v>
      </c>
      <c r="I212" s="642">
        <v>44034</v>
      </c>
      <c r="J212" s="18">
        <v>44160</v>
      </c>
      <c r="K212" s="642">
        <v>44159</v>
      </c>
      <c r="L212" s="16">
        <f>IF(ISTEXT(Table15[[#This Row],[Engineering Approved Design Date]]),Table15[[#This Row],[Date Completed]]-Table15[[#This Row],[Date Assigned to Designer]],Table15[[#This Row],[Engineering Approved Design Date]]-Table15[[#This Row],[Date Completed]])</f>
        <v>1</v>
      </c>
      <c r="M212" s="642"/>
      <c r="N212" s="642" t="s">
        <v>120</v>
      </c>
      <c r="O212" s="1025">
        <v>44159</v>
      </c>
      <c r="P212" s="21" t="s">
        <v>120</v>
      </c>
      <c r="Q212" s="340">
        <f>1.55*Table15[[#This Row],[LF of Main]]</f>
        <v>22789.65</v>
      </c>
      <c r="R212" s="1026" t="s">
        <v>2087</v>
      </c>
      <c r="S212" s="551" t="s">
        <v>709</v>
      </c>
      <c r="T212" s="538">
        <v>1485</v>
      </c>
      <c r="U212" s="28" t="s">
        <v>709</v>
      </c>
      <c r="V212" s="857">
        <f>6632+1718+223+313+5817</f>
        <v>14703</v>
      </c>
      <c r="W212" s="440"/>
      <c r="X212" s="550"/>
      <c r="Y212" s="550"/>
      <c r="Z212" s="550"/>
      <c r="AA212" s="538"/>
      <c r="AB212" s="21"/>
      <c r="AC212" s="569"/>
      <c r="AD212" s="1149"/>
      <c r="AE212" s="569"/>
      <c r="AF212" s="569"/>
      <c r="AG212" s="569"/>
      <c r="AH212" s="536"/>
      <c r="AI212" s="1028"/>
      <c r="AJ212" s="1029"/>
      <c r="AK212" s="1029"/>
      <c r="AL212" s="1030"/>
      <c r="AM212" s="542" t="s">
        <v>709</v>
      </c>
      <c r="AN212" s="924"/>
      <c r="AO212" s="925"/>
      <c r="AP212" s="926"/>
      <c r="AQ212" s="926"/>
      <c r="AR212" s="926"/>
      <c r="AS212" s="926"/>
      <c r="AT212" s="926"/>
      <c r="AU212" s="926"/>
      <c r="AV212" s="926"/>
      <c r="AW212" s="927"/>
      <c r="AX212" s="926"/>
      <c r="AY212" s="1538" t="s">
        <v>29</v>
      </c>
      <c r="AZ212" s="1530"/>
      <c r="BA212" s="1031"/>
      <c r="BB212" s="644" t="s">
        <v>2848</v>
      </c>
      <c r="BC212" s="544" t="s">
        <v>116</v>
      </c>
      <c r="BD212" s="544" t="s">
        <v>882</v>
      </c>
      <c r="BE212" s="544" t="s">
        <v>2849</v>
      </c>
      <c r="BF212" s="544" t="s">
        <v>709</v>
      </c>
      <c r="BG212" s="544" t="s">
        <v>1496</v>
      </c>
      <c r="BH212" s="741"/>
      <c r="BI212" s="547" t="s">
        <v>709</v>
      </c>
      <c r="BJ212" s="547" t="s">
        <v>709</v>
      </c>
      <c r="BK212" s="547" t="s">
        <v>709</v>
      </c>
      <c r="BL212" s="547" t="s">
        <v>116</v>
      </c>
      <c r="BM212" s="547" t="s">
        <v>709</v>
      </c>
      <c r="BN212" s="547" t="s">
        <v>709</v>
      </c>
      <c r="BO212" s="547" t="s">
        <v>709</v>
      </c>
      <c r="BP212" s="547" t="s">
        <v>709</v>
      </c>
      <c r="BQ212" s="547">
        <v>5817</v>
      </c>
      <c r="BR212" s="547">
        <v>2031</v>
      </c>
      <c r="BS212" s="547">
        <v>6855</v>
      </c>
      <c r="BT212" s="547" t="s">
        <v>709</v>
      </c>
      <c r="BU212" s="547" t="s">
        <v>709</v>
      </c>
      <c r="BV212" s="547" t="s">
        <v>709</v>
      </c>
      <c r="BW212" s="547" t="s">
        <v>709</v>
      </c>
      <c r="BX212" s="547" t="s">
        <v>709</v>
      </c>
      <c r="BY212" s="547" t="s">
        <v>709</v>
      </c>
      <c r="BZ212" s="547" t="s">
        <v>709</v>
      </c>
      <c r="CA212" s="483"/>
      <c r="CB212" s="547">
        <v>210</v>
      </c>
      <c r="CC212" s="1481" t="b">
        <v>1</v>
      </c>
      <c r="CD212" t="str">
        <f>Table15[[#This Row],[Engineering Number]]&amp;Table15[[#This Row],[WO Number]]&amp;Table15[[#This Row],[Date Assigned to Designer]]&amp;Table15[[#This Row],[Date Completed]]</f>
        <v>VW1241205144403444159</v>
      </c>
    </row>
    <row r="213" spans="1:82" customFormat="1" ht="15" customHeight="1" x14ac:dyDescent="0.25">
      <c r="A213">
        <v>2021</v>
      </c>
      <c r="B213" s="8" t="s">
        <v>4</v>
      </c>
      <c r="C213" s="8" t="s">
        <v>2851</v>
      </c>
      <c r="D213" s="656" t="s">
        <v>2852</v>
      </c>
      <c r="E213" s="8" t="s">
        <v>818</v>
      </c>
      <c r="F213" s="8" t="s">
        <v>919</v>
      </c>
      <c r="G213" s="8" t="s">
        <v>36</v>
      </c>
      <c r="H213" s="8" t="s">
        <v>59</v>
      </c>
      <c r="I213" s="642">
        <v>43958</v>
      </c>
      <c r="J213" s="18">
        <v>44160</v>
      </c>
      <c r="K213" s="642">
        <v>44159</v>
      </c>
      <c r="L213" s="16">
        <f>IF(ISTEXT(Table15[[#This Row],[Engineering Approved Design Date]]),Table15[[#This Row],[Date Completed]]-Table15[[#This Row],[Date Assigned to Designer]],Table15[[#This Row],[Engineering Approved Design Date]]-Table15[[#This Row],[Date Completed]])</f>
        <v>1</v>
      </c>
      <c r="M213" s="642"/>
      <c r="N213" s="642" t="s">
        <v>120</v>
      </c>
      <c r="O213" s="1025">
        <v>44166</v>
      </c>
      <c r="P213" s="21" t="s">
        <v>739</v>
      </c>
      <c r="Q213" s="340">
        <f>R213*AA213</f>
        <v>72855.618000000002</v>
      </c>
      <c r="R213" s="1026">
        <v>0.1</v>
      </c>
      <c r="S213" s="551" t="s">
        <v>709</v>
      </c>
      <c r="T213" s="538" t="s">
        <v>709</v>
      </c>
      <c r="U213" s="28" t="s">
        <v>709</v>
      </c>
      <c r="V213" s="857">
        <v>1096</v>
      </c>
      <c r="W213" s="440"/>
      <c r="X213" s="551">
        <v>708243.37</v>
      </c>
      <c r="Y213" s="550"/>
      <c r="Z213" s="551">
        <v>20312.810000000001</v>
      </c>
      <c r="AA213" s="538">
        <f>X213+Z213</f>
        <v>728556.18</v>
      </c>
      <c r="AB213" s="21"/>
      <c r="AC213" s="569"/>
      <c r="AD213" s="1149"/>
      <c r="AE213" s="580"/>
      <c r="AF213" s="580"/>
      <c r="AG213" s="580"/>
      <c r="AH213" s="542"/>
      <c r="AI213" s="1028"/>
      <c r="AJ213" s="1029"/>
      <c r="AK213" s="1029"/>
      <c r="AL213" s="1030"/>
      <c r="AM213" s="542" t="s">
        <v>116</v>
      </c>
      <c r="AN213" s="1508">
        <v>44384</v>
      </c>
      <c r="AO213" s="925">
        <v>189714</v>
      </c>
      <c r="AP213" s="926">
        <v>758332.49</v>
      </c>
      <c r="AQ213" s="926"/>
      <c r="AR213" s="926">
        <v>20395.53</v>
      </c>
      <c r="AS213" s="926">
        <f>IF(Table15[[#This Row],[PCTS Approved]]="N",0,Table15[[#This Row],[Investment Amount (1'#'#'#'#'#)]]+Table15[[#This Row],[Retirement Amount (3'#'#'#'#'#)]])</f>
        <v>778728.02</v>
      </c>
      <c r="AT213" s="926">
        <f>IF(Table15[[#This Row],[Approved Construction Cost]]=0,0,Table15[[#This Row],[Approved Construction Cost]]-Table15[[#This Row],[Construction Cost to Bill From]])</f>
        <v>50171.839999999967</v>
      </c>
      <c r="AU213" s="926">
        <f>Table15[[#This Row],[Difference in Construction Cost]]*Table15[[#This Row],[Rate]]</f>
        <v>5017.1839999999975</v>
      </c>
      <c r="AV213" s="926">
        <v>17615</v>
      </c>
      <c r="AW213" s="927" t="s">
        <v>2853</v>
      </c>
      <c r="AX213" s="926"/>
      <c r="AY213" s="636" t="s">
        <v>1935</v>
      </c>
      <c r="AZ213" s="1531"/>
      <c r="BA213" s="1031" t="s">
        <v>2854</v>
      </c>
      <c r="BB213" s="644" t="s">
        <v>1156</v>
      </c>
      <c r="BC213" s="544" t="s">
        <v>709</v>
      </c>
      <c r="BD213" s="544" t="s">
        <v>709</v>
      </c>
      <c r="BE213" s="544" t="s">
        <v>822</v>
      </c>
      <c r="BF213" s="544" t="s">
        <v>709</v>
      </c>
      <c r="BG213" s="544" t="s">
        <v>709</v>
      </c>
      <c r="BH213" s="741"/>
      <c r="BI213" s="547" t="s">
        <v>709</v>
      </c>
      <c r="BJ213" s="547" t="s">
        <v>709</v>
      </c>
      <c r="BK213" s="547" t="s">
        <v>709</v>
      </c>
      <c r="BL213" s="547" t="s">
        <v>116</v>
      </c>
      <c r="BM213" s="547" t="s">
        <v>709</v>
      </c>
      <c r="BN213" s="547" t="s">
        <v>709</v>
      </c>
      <c r="BO213" s="547" t="s">
        <v>709</v>
      </c>
      <c r="BP213" s="547">
        <v>442</v>
      </c>
      <c r="BQ213" s="547" t="s">
        <v>709</v>
      </c>
      <c r="BR213" s="547" t="s">
        <v>709</v>
      </c>
      <c r="BS213" s="547">
        <v>654</v>
      </c>
      <c r="BT213" s="547" t="s">
        <v>745</v>
      </c>
      <c r="BU213" s="547" t="s">
        <v>709</v>
      </c>
      <c r="BV213" s="547" t="s">
        <v>745</v>
      </c>
      <c r="BW213" s="547" t="s">
        <v>709</v>
      </c>
      <c r="BX213" s="547" t="s">
        <v>745</v>
      </c>
      <c r="BY213" s="547" t="s">
        <v>745</v>
      </c>
      <c r="BZ213" s="547" t="s">
        <v>709</v>
      </c>
      <c r="CA213" s="483"/>
      <c r="CB213" s="547">
        <v>211</v>
      </c>
      <c r="CC213" s="1481" t="b">
        <v>1</v>
      </c>
      <c r="CD213" t="str">
        <f>Table15[[#This Row],[Engineering Number]]&amp;Table15[[#This Row],[WO Number]]&amp;Table15[[#This Row],[Date Assigned to Designer]]&amp;Table15[[#This Row],[Date Completed]]</f>
        <v>SC177521356914395844159</v>
      </c>
    </row>
    <row r="214" spans="1:82" customFormat="1" ht="15" customHeight="1" x14ac:dyDescent="0.25">
      <c r="A214">
        <v>2020</v>
      </c>
      <c r="B214" s="8" t="s">
        <v>1205</v>
      </c>
      <c r="C214" s="8" t="s">
        <v>2856</v>
      </c>
      <c r="D214" s="8" t="s">
        <v>115</v>
      </c>
      <c r="E214" s="8" t="s">
        <v>1529</v>
      </c>
      <c r="F214" s="8" t="s">
        <v>738</v>
      </c>
      <c r="G214" s="8" t="s">
        <v>36</v>
      </c>
      <c r="H214" s="8" t="s">
        <v>2127</v>
      </c>
      <c r="I214" s="642">
        <v>44110</v>
      </c>
      <c r="J214" s="18">
        <v>44166</v>
      </c>
      <c r="K214" s="642">
        <v>44166</v>
      </c>
      <c r="L214" s="16">
        <f>IF(ISTEXT(Table15[[#This Row],[Engineering Approved Design Date]]),Table15[[#This Row],[Date Completed]]-Table15[[#This Row],[Date Assigned to Designer]],Table15[[#This Row],[Engineering Approved Design Date]]-Table15[[#This Row],[Date Completed]])</f>
        <v>0</v>
      </c>
      <c r="M214" s="642" t="s">
        <v>2857</v>
      </c>
      <c r="N214" s="642" t="s">
        <v>120</v>
      </c>
      <c r="O214" s="1025">
        <v>44166</v>
      </c>
      <c r="P214" s="21" t="s">
        <v>739</v>
      </c>
      <c r="Q214" s="340" t="s">
        <v>115</v>
      </c>
      <c r="R214" s="1026" t="s">
        <v>115</v>
      </c>
      <c r="S214" s="538"/>
      <c r="T214" s="538"/>
      <c r="U214" s="28"/>
      <c r="V214" s="857"/>
      <c r="W214" s="440"/>
      <c r="X214" s="550"/>
      <c r="Y214" s="550"/>
      <c r="Z214" s="550"/>
      <c r="AA214" s="551"/>
      <c r="AB214" s="341"/>
      <c r="AC214" s="568"/>
      <c r="AD214" s="1157"/>
      <c r="AE214" s="568"/>
      <c r="AF214" s="568"/>
      <c r="AG214" s="568"/>
      <c r="AH214" s="183"/>
      <c r="AI214" s="1036"/>
      <c r="AJ214" s="1037"/>
      <c r="AK214" s="1037"/>
      <c r="AL214" s="1038"/>
      <c r="AM214" s="542" t="s">
        <v>709</v>
      </c>
      <c r="AN214" s="924"/>
      <c r="AO214" s="925"/>
      <c r="AP214" s="926"/>
      <c r="AQ214" s="926"/>
      <c r="AR214" s="926"/>
      <c r="AS214" s="926"/>
      <c r="AT214" s="926"/>
      <c r="AU214" s="926"/>
      <c r="AV214" s="926"/>
      <c r="AW214" s="927"/>
      <c r="AX214" s="926"/>
      <c r="AY214" s="1538" t="s">
        <v>29</v>
      </c>
      <c r="AZ214" s="1530"/>
      <c r="BA214" s="1031" t="s">
        <v>2858</v>
      </c>
      <c r="BB214" s="644" t="s">
        <v>2859</v>
      </c>
      <c r="BC214" s="544"/>
      <c r="BD214" s="544"/>
      <c r="BE214" s="544"/>
      <c r="BF214" s="544"/>
      <c r="BG214" s="544"/>
      <c r="BH214" s="741"/>
      <c r="BI214" s="547"/>
      <c r="BJ214" s="547"/>
      <c r="BK214" s="547"/>
      <c r="BL214" s="547"/>
      <c r="BM214" s="547"/>
      <c r="BN214" s="547"/>
      <c r="BO214" s="547"/>
      <c r="BP214" s="547"/>
      <c r="BQ214" s="547"/>
      <c r="BR214" s="547"/>
      <c r="BS214" s="547"/>
      <c r="BT214" s="547"/>
      <c r="BU214" s="547"/>
      <c r="BV214" s="547"/>
      <c r="BW214" s="547"/>
      <c r="BX214" s="547"/>
      <c r="BY214" s="547"/>
      <c r="BZ214" s="547" t="s">
        <v>709</v>
      </c>
      <c r="CA214" s="483" t="s">
        <v>915</v>
      </c>
      <c r="CB214" s="547">
        <v>213</v>
      </c>
      <c r="CC214" s="1481" t="b">
        <v>1</v>
      </c>
      <c r="CD214" t="str">
        <f>Table15[[#This Row],[Engineering Number]]&amp;Table15[[#This Row],[WO Number]]&amp;Table15[[#This Row],[Date Assigned to Designer]]&amp;Table15[[#This Row],[Date Completed]]</f>
        <v>MR1492-4411044166</v>
      </c>
    </row>
    <row r="215" spans="1:82" customFormat="1" ht="15" customHeight="1" x14ac:dyDescent="0.25">
      <c r="A215">
        <v>2020</v>
      </c>
      <c r="B215" s="8" t="s">
        <v>4</v>
      </c>
      <c r="C215" s="8" t="s">
        <v>2861</v>
      </c>
      <c r="D215" s="656" t="s">
        <v>2862</v>
      </c>
      <c r="E215" s="8" t="s">
        <v>1154</v>
      </c>
      <c r="F215" s="8" t="s">
        <v>919</v>
      </c>
      <c r="G215" s="8" t="s">
        <v>2765</v>
      </c>
      <c r="H215" s="8" t="s">
        <v>59</v>
      </c>
      <c r="I215" s="642">
        <v>44001</v>
      </c>
      <c r="J215" s="18">
        <v>44160</v>
      </c>
      <c r="K215" s="642">
        <v>44166</v>
      </c>
      <c r="L215" s="16">
        <v>0</v>
      </c>
      <c r="M215" s="642" t="s">
        <v>2863</v>
      </c>
      <c r="N215" s="642" t="s">
        <v>120</v>
      </c>
      <c r="O215" s="1025">
        <v>44166</v>
      </c>
      <c r="P215" s="21" t="s">
        <v>739</v>
      </c>
      <c r="Q215" s="340">
        <f>R215*AA215</f>
        <v>194657.19200000001</v>
      </c>
      <c r="R215" s="1026">
        <v>0.1</v>
      </c>
      <c r="S215" s="551" t="s">
        <v>709</v>
      </c>
      <c r="T215" s="538" t="s">
        <v>709</v>
      </c>
      <c r="U215" s="28" t="s">
        <v>709</v>
      </c>
      <c r="V215" s="857">
        <v>6373</v>
      </c>
      <c r="W215" s="440"/>
      <c r="X215" s="551">
        <v>1898138.9</v>
      </c>
      <c r="Y215" s="550"/>
      <c r="Z215" s="551">
        <v>48433.02</v>
      </c>
      <c r="AA215" s="538">
        <f>X215+Z215</f>
        <v>1946571.92</v>
      </c>
      <c r="AB215" s="21"/>
      <c r="AC215" s="569"/>
      <c r="AD215" s="1149"/>
      <c r="AE215" s="580"/>
      <c r="AF215" s="580"/>
      <c r="AG215" s="580"/>
      <c r="AH215" s="542"/>
      <c r="AI215" s="1028"/>
      <c r="AJ215" s="1029"/>
      <c r="AK215" s="1029"/>
      <c r="AL215" s="1030"/>
      <c r="AM215" s="1522" t="s">
        <v>116</v>
      </c>
      <c r="AN215" s="1523">
        <v>44278</v>
      </c>
      <c r="AO215" s="1524">
        <v>187071</v>
      </c>
      <c r="AP215" s="1525">
        <v>1936489</v>
      </c>
      <c r="AQ215" s="1525"/>
      <c r="AR215" s="1525">
        <v>27358.22</v>
      </c>
      <c r="AS215" s="1525">
        <f>IF(Table15[[#This Row],[PCTS Approved]]="N",0,Table15[[#This Row],[Investment Amount (1'#'#'#'#'#)]]+Table15[[#This Row],[Retirement Amount (3'#'#'#'#'#)]])</f>
        <v>1963847.22</v>
      </c>
      <c r="AT215" s="1525">
        <f>IF(Table15[[#This Row],[Approved Construction Cost]]=0,0,Table15[[#This Row],[Approved Construction Cost]]-Table15[[#This Row],[Construction Cost to Bill From]])</f>
        <v>17275.300000000047</v>
      </c>
      <c r="AU215" s="1525">
        <f>Table15[[#This Row],[Difference in Construction Cost]]*Table15[[#This Row],[Rate]]</f>
        <v>1727.5300000000047</v>
      </c>
      <c r="AV215" s="1525">
        <v>2250</v>
      </c>
      <c r="AW215" s="1526" t="s">
        <v>2864</v>
      </c>
      <c r="AX215" s="1525">
        <v>1727.5300000000047</v>
      </c>
      <c r="AY215" s="1518">
        <v>44501</v>
      </c>
      <c r="AZ215" s="333"/>
      <c r="BA215" s="1031" t="s">
        <v>2865</v>
      </c>
      <c r="BB215" s="644" t="s">
        <v>2866</v>
      </c>
      <c r="BC215" s="544"/>
      <c r="BD215" s="544"/>
      <c r="BE215" s="544"/>
      <c r="BF215" s="544"/>
      <c r="BG215" s="544"/>
      <c r="BH215" s="741"/>
      <c r="BI215" s="547" t="s">
        <v>709</v>
      </c>
      <c r="BJ215" s="547" t="s">
        <v>709</v>
      </c>
      <c r="BK215" s="547" t="s">
        <v>709</v>
      </c>
      <c r="BL215" s="547" t="s">
        <v>116</v>
      </c>
      <c r="BM215" s="547" t="s">
        <v>709</v>
      </c>
      <c r="BN215" s="547" t="s">
        <v>709</v>
      </c>
      <c r="BO215" s="547" t="s">
        <v>709</v>
      </c>
      <c r="BP215" s="547" t="s">
        <v>709</v>
      </c>
      <c r="BQ215" s="547">
        <v>326</v>
      </c>
      <c r="BR215" s="547" t="s">
        <v>709</v>
      </c>
      <c r="BS215" s="547">
        <v>6047</v>
      </c>
      <c r="BT215" s="547" t="s">
        <v>745</v>
      </c>
      <c r="BU215" s="547" t="s">
        <v>709</v>
      </c>
      <c r="BV215" s="547" t="s">
        <v>745</v>
      </c>
      <c r="BW215" s="547" t="s">
        <v>709</v>
      </c>
      <c r="BX215" s="547" t="s">
        <v>745</v>
      </c>
      <c r="BY215" s="547" t="s">
        <v>745</v>
      </c>
      <c r="BZ215" s="547" t="s">
        <v>709</v>
      </c>
      <c r="CA215" s="483"/>
      <c r="CB215" s="547">
        <v>212</v>
      </c>
      <c r="CC215" s="1481" t="b">
        <v>1</v>
      </c>
      <c r="CD215" t="str">
        <f>Table15[[#This Row],[Engineering Number]]&amp;Table15[[#This Row],[WO Number]]&amp;Table15[[#This Row],[Date Assigned to Designer]]&amp;Table15[[#This Row],[Date Completed]]</f>
        <v>SC179191408234400144166</v>
      </c>
    </row>
    <row r="216" spans="1:82" customFormat="1" ht="15" customHeight="1" x14ac:dyDescent="0.25">
      <c r="A216">
        <v>2021</v>
      </c>
      <c r="B216" s="8" t="s">
        <v>4</v>
      </c>
      <c r="C216" s="8" t="s">
        <v>159</v>
      </c>
      <c r="D216" s="656" t="s">
        <v>2868</v>
      </c>
      <c r="E216" s="8" t="s">
        <v>2032</v>
      </c>
      <c r="F216" s="8" t="s">
        <v>738</v>
      </c>
      <c r="G216" s="8" t="s">
        <v>2814</v>
      </c>
      <c r="H216" s="8" t="s">
        <v>59</v>
      </c>
      <c r="I216" s="642">
        <v>44110</v>
      </c>
      <c r="J216" s="18">
        <v>44183</v>
      </c>
      <c r="K216" s="642">
        <v>44167</v>
      </c>
      <c r="L216" s="16">
        <f>IF(ISTEXT(Table15[[#This Row],[Engineering Approved Design Date]]),Table15[[#This Row],[Date Completed]]-Table15[[#This Row],[Date Assigned to Designer]],Table15[[#This Row],[Engineering Approved Design Date]]-Table15[[#This Row],[Date Completed]])</f>
        <v>16</v>
      </c>
      <c r="M216" s="642"/>
      <c r="N216" s="642" t="s">
        <v>120</v>
      </c>
      <c r="O216" s="1025">
        <v>44167</v>
      </c>
      <c r="P216" s="21" t="s">
        <v>739</v>
      </c>
      <c r="Q216" s="340">
        <f>R216*AA216</f>
        <v>49864.205000000009</v>
      </c>
      <c r="R216" s="1026">
        <v>0.1</v>
      </c>
      <c r="S216" s="551" t="s">
        <v>709</v>
      </c>
      <c r="T216" s="538" t="s">
        <v>709</v>
      </c>
      <c r="U216" s="28" t="s">
        <v>709</v>
      </c>
      <c r="V216" s="857">
        <v>2574</v>
      </c>
      <c r="W216" s="440"/>
      <c r="X216" s="551">
        <v>486973.03</v>
      </c>
      <c r="Y216" s="550"/>
      <c r="Z216" s="551">
        <v>11669.02</v>
      </c>
      <c r="AA216" s="538">
        <f>X216+Z216</f>
        <v>498642.05000000005</v>
      </c>
      <c r="AB216" s="21"/>
      <c r="AC216" s="569"/>
      <c r="AD216" s="1149"/>
      <c r="AE216" s="580"/>
      <c r="AF216" s="580"/>
      <c r="AG216" s="580"/>
      <c r="AH216" s="542"/>
      <c r="AI216" s="1028"/>
      <c r="AJ216" s="1029"/>
      <c r="AK216" s="1029"/>
      <c r="AL216" s="1030"/>
      <c r="AM216" s="1522" t="s">
        <v>116</v>
      </c>
      <c r="AN216" s="1523">
        <v>44231</v>
      </c>
      <c r="AO216" s="1524">
        <v>187624</v>
      </c>
      <c r="AP216" s="1525">
        <v>556885.4</v>
      </c>
      <c r="AQ216" s="1525"/>
      <c r="AR216" s="1525">
        <v>11705.8</v>
      </c>
      <c r="AS216" s="1525">
        <f>IF(Table15[[#This Row],[PCTS Approved]]="N",0,Table15[[#This Row],[Investment Amount (1'#'#'#'#'#)]]+Table15[[#This Row],[Retirement Amount (3'#'#'#'#'#)]])</f>
        <v>568591.20000000007</v>
      </c>
      <c r="AT216" s="1525">
        <f>IF(Table15[[#This Row],[Approved Construction Cost]]=0,0,Table15[[#This Row],[Approved Construction Cost]]-Table15[[#This Row],[Construction Cost to Bill From]])</f>
        <v>69949.150000000023</v>
      </c>
      <c r="AU216" s="1525">
        <f>Table15[[#This Row],[Difference in Construction Cost]]*Table15[[#This Row],[Rate]]</f>
        <v>6994.9150000000027</v>
      </c>
      <c r="AV216" s="1525">
        <v>11782.5</v>
      </c>
      <c r="AW216" s="1526" t="s">
        <v>2869</v>
      </c>
      <c r="AX216" s="1525">
        <v>0</v>
      </c>
      <c r="AY216" s="1518">
        <v>44501</v>
      </c>
      <c r="AZ216" s="333"/>
      <c r="BA216" s="1031" t="s">
        <v>2870</v>
      </c>
      <c r="BB216" s="644" t="s">
        <v>2240</v>
      </c>
      <c r="BC216" s="544" t="s">
        <v>709</v>
      </c>
      <c r="BD216" s="544" t="s">
        <v>862</v>
      </c>
      <c r="BE216" s="544" t="s">
        <v>709</v>
      </c>
      <c r="BF216" s="544" t="s">
        <v>709</v>
      </c>
      <c r="BG216" s="544" t="s">
        <v>709</v>
      </c>
      <c r="BH216" s="741"/>
      <c r="BI216" s="547" t="s">
        <v>709</v>
      </c>
      <c r="BJ216" s="547" t="s">
        <v>709</v>
      </c>
      <c r="BK216" s="547" t="s">
        <v>709</v>
      </c>
      <c r="BL216" s="547" t="s">
        <v>116</v>
      </c>
      <c r="BM216" s="547" t="s">
        <v>709</v>
      </c>
      <c r="BN216" s="547" t="s">
        <v>709</v>
      </c>
      <c r="BO216" s="547" t="s">
        <v>709</v>
      </c>
      <c r="BP216" s="547">
        <v>2574</v>
      </c>
      <c r="BQ216" s="547" t="s">
        <v>709</v>
      </c>
      <c r="BR216" s="547" t="s">
        <v>709</v>
      </c>
      <c r="BS216" s="547" t="s">
        <v>709</v>
      </c>
      <c r="BT216" s="547" t="s">
        <v>745</v>
      </c>
      <c r="BU216" s="547" t="s">
        <v>709</v>
      </c>
      <c r="BV216" s="547" t="s">
        <v>745</v>
      </c>
      <c r="BW216" s="547" t="s">
        <v>709</v>
      </c>
      <c r="BX216" s="547" t="s">
        <v>745</v>
      </c>
      <c r="BY216" s="547" t="s">
        <v>745</v>
      </c>
      <c r="BZ216" s="547" t="s">
        <v>709</v>
      </c>
      <c r="CA216" s="483"/>
      <c r="CB216" s="547">
        <v>214</v>
      </c>
      <c r="CC216" s="1481" t="b">
        <v>1</v>
      </c>
      <c r="CD216" t="str">
        <f>Table15[[#This Row],[Engineering Number]]&amp;Table15[[#This Row],[WO Number]]&amp;Table15[[#This Row],[Date Assigned to Designer]]&amp;Table15[[#This Row],[Date Completed]]</f>
        <v>SC177861357084411044167</v>
      </c>
    </row>
    <row r="217" spans="1:82" customFormat="1" ht="15" customHeight="1" x14ac:dyDescent="0.25">
      <c r="A217">
        <v>2021</v>
      </c>
      <c r="B217" s="8" t="s">
        <v>769</v>
      </c>
      <c r="C217" s="8" t="s">
        <v>2872</v>
      </c>
      <c r="D217" s="656" t="s">
        <v>2873</v>
      </c>
      <c r="E217" s="8" t="s">
        <v>1004</v>
      </c>
      <c r="F217" s="8" t="s">
        <v>919</v>
      </c>
      <c r="G217" s="8" t="s">
        <v>2765</v>
      </c>
      <c r="H217" s="8" t="s">
        <v>59</v>
      </c>
      <c r="I217" s="642">
        <v>44105</v>
      </c>
      <c r="J217" s="18">
        <v>44176</v>
      </c>
      <c r="K217" s="642">
        <v>44169</v>
      </c>
      <c r="L217" s="16">
        <f>IF(ISTEXT(Table15[[#This Row],[Engineering Approved Design Date]]),Table15[[#This Row],[Date Completed]]-Table15[[#This Row],[Date Assigned to Designer]],Table15[[#This Row],[Engineering Approved Design Date]]-Table15[[#This Row],[Date Completed]])</f>
        <v>7</v>
      </c>
      <c r="M217" s="642"/>
      <c r="N217" s="642" t="s">
        <v>120</v>
      </c>
      <c r="O217" s="1025">
        <v>44169</v>
      </c>
      <c r="P217" s="21" t="s">
        <v>739</v>
      </c>
      <c r="Q217" s="340">
        <f>(Table15[[#This Row],[Construction Cost to Bill From]]*0.085)+7750</f>
        <v>18549.11145</v>
      </c>
      <c r="R217" s="1026" t="s">
        <v>1055</v>
      </c>
      <c r="S217" s="538" t="s">
        <v>709</v>
      </c>
      <c r="T217" s="538" t="s">
        <v>709</v>
      </c>
      <c r="U217" s="28" t="s">
        <v>709</v>
      </c>
      <c r="V217" s="857">
        <v>12</v>
      </c>
      <c r="W217" s="440"/>
      <c r="X217" s="551">
        <v>117962.25</v>
      </c>
      <c r="Y217" s="550"/>
      <c r="Z217" s="551">
        <v>9086.1200000000008</v>
      </c>
      <c r="AA217" s="551">
        <f>X217+Z217</f>
        <v>127048.37</v>
      </c>
      <c r="AB217" s="341"/>
      <c r="AC217" s="568" t="s">
        <v>116</v>
      </c>
      <c r="AD217" s="1157"/>
      <c r="AE217" s="579"/>
      <c r="AF217" s="579"/>
      <c r="AG217" s="579"/>
      <c r="AH217" s="553"/>
      <c r="AI217" s="1036"/>
      <c r="AJ217" s="1037"/>
      <c r="AK217" s="1037"/>
      <c r="AL217" s="1038"/>
      <c r="AM217" s="1522" t="s">
        <v>116</v>
      </c>
      <c r="AN217" s="1523">
        <v>44379</v>
      </c>
      <c r="AO217" s="1524">
        <v>189935</v>
      </c>
      <c r="AP217" s="1525">
        <v>98752.24</v>
      </c>
      <c r="AQ217" s="1525"/>
      <c r="AR217" s="1525">
        <v>9086.1200000000008</v>
      </c>
      <c r="AS217" s="1525">
        <f>IF(Table15[[#This Row],[PCTS Approved]]="N",0,Table15[[#This Row],[Investment Amount (1'#'#'#'#'#)]]+Table15[[#This Row],[Retirement Amount (3'#'#'#'#'#)]])</f>
        <v>107838.36</v>
      </c>
      <c r="AT217" s="1525">
        <f>IF(Table15[[#This Row],[Approved Construction Cost]]=0,0,Table15[[#This Row],[Approved Construction Cost]]-Table15[[#This Row],[Construction Cost to Bill From]])</f>
        <v>-19210.009999999995</v>
      </c>
      <c r="AU217" s="1525">
        <f>(Table15[[#This Row],[Difference in Construction Cost]]*0.085)</f>
        <v>-1632.8508499999996</v>
      </c>
      <c r="AV217" s="1525" t="s">
        <v>709</v>
      </c>
      <c r="AW217" s="1526" t="s">
        <v>2874</v>
      </c>
      <c r="AX217" s="1525">
        <v>-1632.8508499999996</v>
      </c>
      <c r="AY217" s="1518">
        <v>44501</v>
      </c>
      <c r="AZ217" s="1532"/>
      <c r="BA217" s="1031" t="s">
        <v>2875</v>
      </c>
      <c r="BB217" s="644" t="s">
        <v>1113</v>
      </c>
      <c r="BC217" s="544" t="s">
        <v>709</v>
      </c>
      <c r="BD217" s="544" t="s">
        <v>862</v>
      </c>
      <c r="BE217" s="544" t="s">
        <v>709</v>
      </c>
      <c r="BF217" s="544" t="s">
        <v>709</v>
      </c>
      <c r="BG217" s="544" t="s">
        <v>709</v>
      </c>
      <c r="BH217" s="741"/>
      <c r="BI217" s="547" t="s">
        <v>709</v>
      </c>
      <c r="BJ217" s="547" t="s">
        <v>709</v>
      </c>
      <c r="BK217" s="547" t="s">
        <v>116</v>
      </c>
      <c r="BL217" s="547" t="s">
        <v>709</v>
      </c>
      <c r="BM217" s="547" t="s">
        <v>709</v>
      </c>
      <c r="BN217" s="547" t="s">
        <v>709</v>
      </c>
      <c r="BO217" s="547" t="s">
        <v>709</v>
      </c>
      <c r="BP217" s="547">
        <v>2</v>
      </c>
      <c r="BQ217" s="547">
        <v>12</v>
      </c>
      <c r="BR217" s="547" t="s">
        <v>709</v>
      </c>
      <c r="BS217" s="547" t="s">
        <v>709</v>
      </c>
      <c r="BT217" s="547" t="s">
        <v>709</v>
      </c>
      <c r="BU217" s="547" t="s">
        <v>709</v>
      </c>
      <c r="BV217" s="547" t="s">
        <v>709</v>
      </c>
      <c r="BW217" s="547" t="s">
        <v>709</v>
      </c>
      <c r="BX217" s="547">
        <v>1</v>
      </c>
      <c r="BY217" s="547" t="s">
        <v>709</v>
      </c>
      <c r="BZ217" s="547" t="s">
        <v>709</v>
      </c>
      <c r="CA217" s="483" t="s">
        <v>769</v>
      </c>
      <c r="CB217" s="547">
        <v>215</v>
      </c>
      <c r="CC217" s="1481" t="b">
        <v>1</v>
      </c>
      <c r="CD217" t="str">
        <f>Table15[[#This Row],[Engineering Number]]&amp;Table15[[#This Row],[WO Number]]&amp;Table15[[#This Row],[Date Assigned to Designer]]&amp;Table15[[#This Row],[Date Completed]]</f>
        <v>RS6661011604410544169</v>
      </c>
    </row>
    <row r="218" spans="1:82" customFormat="1" ht="15" customHeight="1" x14ac:dyDescent="0.25">
      <c r="A218">
        <v>2020</v>
      </c>
      <c r="B218" s="8" t="s">
        <v>1073</v>
      </c>
      <c r="C218" s="8" t="s">
        <v>2877</v>
      </c>
      <c r="D218" s="8" t="s">
        <v>2878</v>
      </c>
      <c r="E218" s="8" t="s">
        <v>2375</v>
      </c>
      <c r="F218" s="8" t="s">
        <v>738</v>
      </c>
      <c r="G218" s="8" t="s">
        <v>36</v>
      </c>
      <c r="H218" s="8" t="s">
        <v>59</v>
      </c>
      <c r="I218" s="642">
        <v>44147</v>
      </c>
      <c r="J218" s="18">
        <v>44188</v>
      </c>
      <c r="K218" s="642">
        <v>44174</v>
      </c>
      <c r="L218" s="16">
        <f>IF(ISTEXT(Table15[[#This Row],[Engineering Approved Design Date]]),Table15[[#This Row],[Date Completed]]-Table15[[#This Row],[Date Assigned to Designer]],Table15[[#This Row],[Engineering Approved Design Date]]-Table15[[#This Row],[Date Completed]])</f>
        <v>14</v>
      </c>
      <c r="M218" s="642"/>
      <c r="N218" s="642" t="s">
        <v>120</v>
      </c>
      <c r="O218" s="1025">
        <v>44174</v>
      </c>
      <c r="P218" s="21" t="s">
        <v>739</v>
      </c>
      <c r="Q218" s="340">
        <f>SUM(S218,U218)</f>
        <v>6239</v>
      </c>
      <c r="R218" s="1026" t="s">
        <v>1922</v>
      </c>
      <c r="S218" s="538">
        <v>284</v>
      </c>
      <c r="T218" s="538" t="s">
        <v>709</v>
      </c>
      <c r="U218" s="28">
        <v>5955</v>
      </c>
      <c r="V218" s="857">
        <v>0</v>
      </c>
      <c r="W218" s="440"/>
      <c r="X218" s="551">
        <v>0</v>
      </c>
      <c r="Y218" s="550"/>
      <c r="Z218" s="551">
        <v>25525.73</v>
      </c>
      <c r="AA218" s="551">
        <f>X218+Z218</f>
        <v>25525.73</v>
      </c>
      <c r="AB218" s="341"/>
      <c r="AC218" s="568"/>
      <c r="AD218" s="1157"/>
      <c r="AE218" s="568"/>
      <c r="AF218" s="568"/>
      <c r="AG218" s="568"/>
      <c r="AH218" s="183"/>
      <c r="AI218" s="1036"/>
      <c r="AJ218" s="1037"/>
      <c r="AK218" s="1037"/>
      <c r="AL218" s="1038"/>
      <c r="AM218" s="542" t="s">
        <v>709</v>
      </c>
      <c r="AN218" s="924"/>
      <c r="AO218" s="925"/>
      <c r="AP218" s="926"/>
      <c r="AQ218" s="926"/>
      <c r="AR218" s="926"/>
      <c r="AS218" s="926"/>
      <c r="AT218" s="926"/>
      <c r="AU218" s="926"/>
      <c r="AV218" s="926"/>
      <c r="AW218" s="927"/>
      <c r="AX218" s="926"/>
      <c r="AY218" s="1538" t="s">
        <v>29</v>
      </c>
      <c r="AZ218" s="1530"/>
      <c r="BA218" s="1031" t="s">
        <v>2879</v>
      </c>
      <c r="BB218" s="644"/>
      <c r="BC218" s="544"/>
      <c r="BD218" s="544"/>
      <c r="BE218" s="544"/>
      <c r="BF218" s="544"/>
      <c r="BG218" s="544"/>
      <c r="BH218" s="741"/>
      <c r="BI218" s="547" t="s">
        <v>709</v>
      </c>
      <c r="BJ218" s="547" t="s">
        <v>709</v>
      </c>
      <c r="BK218" s="547" t="s">
        <v>709</v>
      </c>
      <c r="BL218" s="547" t="s">
        <v>709</v>
      </c>
      <c r="BM218" s="547" t="s">
        <v>709</v>
      </c>
      <c r="BN218" s="547" t="s">
        <v>709</v>
      </c>
      <c r="BO218" s="547" t="s">
        <v>709</v>
      </c>
      <c r="BP218" s="547" t="s">
        <v>709</v>
      </c>
      <c r="BQ218" s="547" t="s">
        <v>709</v>
      </c>
      <c r="BR218" s="547" t="s">
        <v>709</v>
      </c>
      <c r="BS218" s="547" t="s">
        <v>709</v>
      </c>
      <c r="BT218" s="547" t="s">
        <v>745</v>
      </c>
      <c r="BU218" s="547" t="s">
        <v>709</v>
      </c>
      <c r="BV218" s="547" t="s">
        <v>745</v>
      </c>
      <c r="BW218" s="547" t="s">
        <v>709</v>
      </c>
      <c r="BX218" s="547" t="s">
        <v>745</v>
      </c>
      <c r="BY218" s="547" t="s">
        <v>709</v>
      </c>
      <c r="BZ218" s="547" t="s">
        <v>709</v>
      </c>
      <c r="CA218" s="483" t="s">
        <v>1146</v>
      </c>
      <c r="CB218" s="547">
        <v>216</v>
      </c>
      <c r="CC218" s="1481" t="b">
        <v>1</v>
      </c>
      <c r="CD218" t="str">
        <f>Table15[[#This Row],[Engineering Number]]&amp;Table15[[#This Row],[WO Number]]&amp;Table15[[#This Row],[Date Assigned to Designer]]&amp;Table15[[#This Row],[Date Completed]]</f>
        <v>NBA19417293293134414744174</v>
      </c>
    </row>
    <row r="219" spans="1:82" customFormat="1" ht="15" customHeight="1" x14ac:dyDescent="0.25">
      <c r="A219">
        <v>2021</v>
      </c>
      <c r="B219" s="8" t="s">
        <v>4</v>
      </c>
      <c r="C219" s="8" t="s">
        <v>2881</v>
      </c>
      <c r="D219" s="8" t="s">
        <v>115</v>
      </c>
      <c r="E219" s="8" t="s">
        <v>2882</v>
      </c>
      <c r="F219" s="8" t="s">
        <v>738</v>
      </c>
      <c r="G219" s="8" t="s">
        <v>2814</v>
      </c>
      <c r="H219" s="8" t="s">
        <v>1681</v>
      </c>
      <c r="I219" s="642">
        <v>44140</v>
      </c>
      <c r="J219" s="18">
        <v>44203</v>
      </c>
      <c r="K219" s="642">
        <v>44176</v>
      </c>
      <c r="L219" s="16">
        <f>IF(ISTEXT(Table15[[#This Row],[Engineering Approved Design Date]]),Table15[[#This Row],[Date Completed]]-Table15[[#This Row],[Date Assigned to Designer]],Table15[[#This Row],[Engineering Approved Design Date]]-Table15[[#This Row],[Date Completed]])</f>
        <v>27</v>
      </c>
      <c r="M219" s="642"/>
      <c r="N219" s="642" t="s">
        <v>120</v>
      </c>
      <c r="O219" s="1025">
        <v>44176</v>
      </c>
      <c r="P219" s="21" t="s">
        <v>739</v>
      </c>
      <c r="Q219" s="340" t="s">
        <v>115</v>
      </c>
      <c r="R219" s="1026" t="s">
        <v>115</v>
      </c>
      <c r="S219" s="538"/>
      <c r="T219" s="538"/>
      <c r="U219" s="28"/>
      <c r="V219" s="857"/>
      <c r="W219" s="440"/>
      <c r="X219" s="550"/>
      <c r="Y219" s="550"/>
      <c r="Z219" s="550"/>
      <c r="AA219" s="551">
        <v>0</v>
      </c>
      <c r="AB219" s="341"/>
      <c r="AC219" s="568"/>
      <c r="AD219" s="1157"/>
      <c r="AE219" s="579"/>
      <c r="AF219" s="579"/>
      <c r="AG219" s="579"/>
      <c r="AH219" s="553"/>
      <c r="AI219" s="1036"/>
      <c r="AJ219" s="1037"/>
      <c r="AK219" s="1037"/>
      <c r="AL219" s="1038"/>
      <c r="AM219" s="542" t="s">
        <v>709</v>
      </c>
      <c r="AN219" s="924"/>
      <c r="AO219" s="925"/>
      <c r="AP219" s="926"/>
      <c r="AQ219" s="926"/>
      <c r="AR219" s="926"/>
      <c r="AS219" s="926"/>
      <c r="AT219" s="926"/>
      <c r="AU219" s="926"/>
      <c r="AV219" s="926"/>
      <c r="AW219" s="927"/>
      <c r="AX219" s="926"/>
      <c r="AY219" s="1538" t="s">
        <v>29</v>
      </c>
      <c r="AZ219" s="1532"/>
      <c r="BA219" s="1031" t="s">
        <v>2883</v>
      </c>
      <c r="BB219" s="644" t="s">
        <v>1156</v>
      </c>
      <c r="BC219" s="544"/>
      <c r="BD219" s="544"/>
      <c r="BE219" s="544"/>
      <c r="BF219" s="544"/>
      <c r="BG219" s="544"/>
      <c r="BH219" s="741"/>
      <c r="BI219" s="1032"/>
      <c r="BJ219" s="1032"/>
      <c r="BK219" s="1032"/>
      <c r="BL219" s="1032"/>
      <c r="BM219" s="1032"/>
      <c r="BN219" s="1032"/>
      <c r="BO219" s="1032"/>
      <c r="BP219" s="1032"/>
      <c r="BQ219" s="1032"/>
      <c r="BR219" s="1032"/>
      <c r="BS219" s="1032"/>
      <c r="BT219" s="1032"/>
      <c r="BU219" s="1032"/>
      <c r="BV219" s="1032"/>
      <c r="BW219" s="1032"/>
      <c r="BX219" s="1032"/>
      <c r="BY219" s="1032"/>
      <c r="BZ219" s="1032"/>
      <c r="CA219" s="485"/>
      <c r="CB219" s="547">
        <v>217</v>
      </c>
      <c r="CC219" s="1481" t="b">
        <v>1</v>
      </c>
      <c r="CD219" t="str">
        <f>Table15[[#This Row],[Engineering Number]]&amp;Table15[[#This Row],[WO Number]]&amp;Table15[[#This Row],[Date Assigned to Designer]]&amp;Table15[[#This Row],[Date Completed]]</f>
        <v>N13191-4414044176</v>
      </c>
    </row>
    <row r="220" spans="1:82" customFormat="1" ht="15" customHeight="1" x14ac:dyDescent="0.25">
      <c r="A220">
        <v>2021</v>
      </c>
      <c r="B220" s="8" t="s">
        <v>1205</v>
      </c>
      <c r="C220" s="8" t="s">
        <v>2889</v>
      </c>
      <c r="D220" s="656" t="s">
        <v>2890</v>
      </c>
      <c r="E220" s="8" t="s">
        <v>386</v>
      </c>
      <c r="F220" s="8" t="s">
        <v>738</v>
      </c>
      <c r="G220" s="8" t="s">
        <v>2814</v>
      </c>
      <c r="H220" s="8" t="s">
        <v>59</v>
      </c>
      <c r="I220" s="642">
        <v>44126</v>
      </c>
      <c r="J220" s="18">
        <v>44204</v>
      </c>
      <c r="K220" s="642">
        <v>44179</v>
      </c>
      <c r="L220" s="16">
        <f>IF(ISTEXT(Table15[[#This Row],[Engineering Approved Design Date]]),Table15[[#This Row],[Date Completed]]-Table15[[#This Row],[Date Assigned to Designer]],Table15[[#This Row],[Engineering Approved Design Date]]-Table15[[#This Row],[Date Completed]])</f>
        <v>25</v>
      </c>
      <c r="M220" s="642" t="s">
        <v>739</v>
      </c>
      <c r="N220" s="642" t="s">
        <v>120</v>
      </c>
      <c r="O220" s="1025">
        <v>44179</v>
      </c>
      <c r="P220" s="21" t="s">
        <v>739</v>
      </c>
      <c r="Q220" s="340">
        <f>R220*AA220</f>
        <v>8134.0847999999996</v>
      </c>
      <c r="R220" s="1026">
        <v>0.09</v>
      </c>
      <c r="S220" s="538">
        <v>426</v>
      </c>
      <c r="T220" s="538"/>
      <c r="U220" s="28">
        <v>9130</v>
      </c>
      <c r="V220" s="857"/>
      <c r="W220" s="440"/>
      <c r="X220" s="551">
        <v>69794.69</v>
      </c>
      <c r="Y220" s="550"/>
      <c r="Z220" s="551">
        <v>20584.03</v>
      </c>
      <c r="AA220" s="551">
        <f>X220+Z220</f>
        <v>90378.72</v>
      </c>
      <c r="AB220" s="341"/>
      <c r="AC220" s="568" t="s">
        <v>116</v>
      </c>
      <c r="AD220" s="1157"/>
      <c r="AE220" s="568"/>
      <c r="AF220" s="568"/>
      <c r="AG220" s="568"/>
      <c r="AH220" s="183"/>
      <c r="AI220" s="1036"/>
      <c r="AJ220" s="1037"/>
      <c r="AK220" s="1037"/>
      <c r="AL220" s="1038"/>
      <c r="AM220" s="542" t="s">
        <v>116</v>
      </c>
      <c r="AN220" s="1508">
        <v>44434</v>
      </c>
      <c r="AO220" s="925">
        <v>190864</v>
      </c>
      <c r="AP220" s="926">
        <v>69794.69</v>
      </c>
      <c r="AQ220" s="926"/>
      <c r="AR220" s="926">
        <v>20584.03</v>
      </c>
      <c r="AS220" s="926">
        <f>IF(Table15[[#This Row],[PCTS Approved]]="N",0,Table15[[#This Row],[Investment Amount (1'#'#'#'#'#)]]+Table15[[#This Row],[Retirement Amount (3'#'#'#'#'#)]])</f>
        <v>90378.72</v>
      </c>
      <c r="AT220" s="926">
        <f>IF(Table15[[#This Row],[Approved Construction Cost]]=0,0,Table15[[#This Row],[Approved Construction Cost]]-Table15[[#This Row],[Construction Cost to Bill From]])</f>
        <v>0</v>
      </c>
      <c r="AU220" s="926">
        <f>Table15[[#This Row],[Difference in Construction Cost]]*Table15[[#This Row],[Rate]]</f>
        <v>0</v>
      </c>
      <c r="AV220" s="926" t="s">
        <v>709</v>
      </c>
      <c r="AW220" s="927"/>
      <c r="AX220" s="926"/>
      <c r="AY220" s="636" t="s">
        <v>1935</v>
      </c>
      <c r="AZ220" s="1533"/>
      <c r="BA220" s="1031"/>
      <c r="BB220" s="644" t="s">
        <v>2891</v>
      </c>
      <c r="BC220" s="544" t="s">
        <v>709</v>
      </c>
      <c r="BD220" s="544" t="s">
        <v>709</v>
      </c>
      <c r="BE220" s="544" t="s">
        <v>2892</v>
      </c>
      <c r="BF220" s="544" t="s">
        <v>709</v>
      </c>
      <c r="BG220" s="544" t="s">
        <v>709</v>
      </c>
      <c r="BH220" s="741"/>
      <c r="BI220" s="547" t="s">
        <v>709</v>
      </c>
      <c r="BJ220" s="547" t="s">
        <v>709</v>
      </c>
      <c r="BK220" s="547" t="s">
        <v>116</v>
      </c>
      <c r="BL220" s="547" t="s">
        <v>709</v>
      </c>
      <c r="BM220" s="547" t="s">
        <v>709</v>
      </c>
      <c r="BN220" s="547" t="s">
        <v>709</v>
      </c>
      <c r="BO220" s="547" t="s">
        <v>709</v>
      </c>
      <c r="BP220" s="547" t="s">
        <v>709</v>
      </c>
      <c r="BQ220" s="547">
        <v>34</v>
      </c>
      <c r="BR220" s="547" t="s">
        <v>709</v>
      </c>
      <c r="BS220" s="547" t="s">
        <v>709</v>
      </c>
      <c r="BT220" s="547" t="s">
        <v>745</v>
      </c>
      <c r="BU220" s="547" t="s">
        <v>709</v>
      </c>
      <c r="BV220" s="547" t="s">
        <v>709</v>
      </c>
      <c r="BW220" s="547" t="s">
        <v>709</v>
      </c>
      <c r="BX220" s="547" t="s">
        <v>745</v>
      </c>
      <c r="BY220" s="547" t="s">
        <v>745</v>
      </c>
      <c r="BZ220" s="547" t="s">
        <v>709</v>
      </c>
      <c r="CA220" s="483"/>
      <c r="CB220" s="547">
        <v>219</v>
      </c>
      <c r="CC220" s="1481" t="b">
        <v>1</v>
      </c>
      <c r="CD220" s="1024" t="str">
        <f>Table15[[#This Row],[Engineering Number]]&amp;Table15[[#This Row],[WO Number]]&amp;Table15[[#This Row],[Date Assigned to Designer]]&amp;Table15[[#This Row],[Date Completed]]</f>
        <v>MR15131357104412644179</v>
      </c>
    </row>
    <row r="221" spans="1:82" customFormat="1" ht="15" customHeight="1" x14ac:dyDescent="0.25">
      <c r="A221">
        <v>2021</v>
      </c>
      <c r="B221" s="8" t="s">
        <v>769</v>
      </c>
      <c r="C221" s="8" t="s">
        <v>154</v>
      </c>
      <c r="D221" s="656" t="s">
        <v>2885</v>
      </c>
      <c r="E221" s="8" t="s">
        <v>155</v>
      </c>
      <c r="F221" s="8" t="s">
        <v>738</v>
      </c>
      <c r="G221" s="8" t="s">
        <v>2765</v>
      </c>
      <c r="H221" s="8" t="s">
        <v>59</v>
      </c>
      <c r="I221" s="642">
        <v>44105</v>
      </c>
      <c r="J221" s="18">
        <v>44188</v>
      </c>
      <c r="K221" s="642">
        <v>44179</v>
      </c>
      <c r="L221" s="16">
        <f>IF(ISTEXT(Table15[[#This Row],[Engineering Approved Design Date]]),Table15[[#This Row],[Date Completed]]-Table15[[#This Row],[Date Assigned to Designer]],Table15[[#This Row],[Engineering Approved Design Date]]-Table15[[#This Row],[Date Completed]])</f>
        <v>9</v>
      </c>
      <c r="M221" s="642" t="s">
        <v>739</v>
      </c>
      <c r="N221" s="642" t="s">
        <v>120</v>
      </c>
      <c r="O221" s="1025">
        <v>44179</v>
      </c>
      <c r="P221" s="21" t="s">
        <v>739</v>
      </c>
      <c r="Q221" s="340">
        <f>(Table15[[#This Row],[Construction Cost to Bill From]]*0.085)+7750</f>
        <v>21126.897100000002</v>
      </c>
      <c r="R221" s="1026" t="s">
        <v>1055</v>
      </c>
      <c r="S221" s="538"/>
      <c r="T221" s="538"/>
      <c r="U221" s="28"/>
      <c r="V221" s="857">
        <v>11</v>
      </c>
      <c r="W221" s="440">
        <v>1</v>
      </c>
      <c r="X221" s="551">
        <v>139849.82999999999</v>
      </c>
      <c r="Y221" s="550"/>
      <c r="Z221" s="551">
        <v>17525.43</v>
      </c>
      <c r="AA221" s="551">
        <f>X221+Z221</f>
        <v>157375.25999999998</v>
      </c>
      <c r="AB221" s="341"/>
      <c r="AC221" s="568" t="s">
        <v>116</v>
      </c>
      <c r="AD221" s="1157"/>
      <c r="AE221" s="579"/>
      <c r="AF221" s="579"/>
      <c r="AG221" s="579"/>
      <c r="AH221" s="553"/>
      <c r="AI221" s="1036"/>
      <c r="AJ221" s="1037"/>
      <c r="AK221" s="1037"/>
      <c r="AL221" s="1038"/>
      <c r="AM221" s="1522" t="s">
        <v>116</v>
      </c>
      <c r="AN221" s="1523">
        <v>44384</v>
      </c>
      <c r="AO221" s="1524" t="s">
        <v>115</v>
      </c>
      <c r="AP221" s="1525">
        <v>142338.04</v>
      </c>
      <c r="AQ221" s="1525"/>
      <c r="AR221" s="1525">
        <v>19888.52</v>
      </c>
      <c r="AS221" s="1525">
        <f>IF(Table15[[#This Row],[PCTS Approved]]="N",0,Table15[[#This Row],[Investment Amount (1'#'#'#'#'#)]]+Table15[[#This Row],[Retirement Amount (3'#'#'#'#'#)]])</f>
        <v>162226.56</v>
      </c>
      <c r="AT221" s="1525">
        <f>IF(Table15[[#This Row],[Approved Construction Cost]]=0,0,Table15[[#This Row],[Approved Construction Cost]]-Table15[[#This Row],[Construction Cost to Bill From]])</f>
        <v>4851.3000000000175</v>
      </c>
      <c r="AU221" s="1525">
        <f>(Table15[[#This Row],[Difference in Construction Cost]]*0.085)</f>
        <v>412.36050000000154</v>
      </c>
      <c r="AV221" s="1525" t="s">
        <v>709</v>
      </c>
      <c r="AW221" s="1526" t="s">
        <v>2886</v>
      </c>
      <c r="AX221" s="1525">
        <v>412.36050000000154</v>
      </c>
      <c r="AY221" s="1518">
        <v>44501</v>
      </c>
      <c r="AZ221" s="1532"/>
      <c r="BA221" s="1031" t="s">
        <v>2887</v>
      </c>
      <c r="BB221" s="644" t="s">
        <v>1113</v>
      </c>
      <c r="BC221" s="544" t="s">
        <v>116</v>
      </c>
      <c r="BD221" s="544" t="s">
        <v>709</v>
      </c>
      <c r="BE221" s="544" t="s">
        <v>709</v>
      </c>
      <c r="BF221" s="544" t="s">
        <v>709</v>
      </c>
      <c r="BG221" s="544" t="s">
        <v>709</v>
      </c>
      <c r="BH221" s="741"/>
      <c r="BI221" s="547" t="s">
        <v>709</v>
      </c>
      <c r="BJ221" s="547" t="s">
        <v>709</v>
      </c>
      <c r="BK221" s="547" t="s">
        <v>709</v>
      </c>
      <c r="BL221" s="547" t="s">
        <v>116</v>
      </c>
      <c r="BM221" s="547" t="s">
        <v>709</v>
      </c>
      <c r="BN221" s="547" t="s">
        <v>709</v>
      </c>
      <c r="BO221" s="547" t="s">
        <v>709</v>
      </c>
      <c r="BP221" s="547" t="s">
        <v>709</v>
      </c>
      <c r="BQ221" s="547">
        <v>10</v>
      </c>
      <c r="BR221" s="547" t="s">
        <v>709</v>
      </c>
      <c r="BS221" s="547" t="s">
        <v>709</v>
      </c>
      <c r="BT221" s="547" t="s">
        <v>709</v>
      </c>
      <c r="BU221" s="547" t="s">
        <v>709</v>
      </c>
      <c r="BV221" s="547" t="s">
        <v>709</v>
      </c>
      <c r="BW221" s="547" t="s">
        <v>709</v>
      </c>
      <c r="BX221" s="547">
        <v>1</v>
      </c>
      <c r="BY221" s="547" t="s">
        <v>709</v>
      </c>
      <c r="BZ221" s="547" t="s">
        <v>709</v>
      </c>
      <c r="CA221" s="483" t="s">
        <v>769</v>
      </c>
      <c r="CB221" s="547">
        <v>218</v>
      </c>
      <c r="CC221" s="1481" t="b">
        <v>1</v>
      </c>
      <c r="CD221" t="str">
        <f>Table15[[#This Row],[Engineering Number]]&amp;Table15[[#This Row],[WO Number]]&amp;Table15[[#This Row],[Date Assigned to Designer]]&amp;Table15[[#This Row],[Date Completed]]</f>
        <v>RS6671021254410544179</v>
      </c>
    </row>
    <row r="222" spans="1:82" customFormat="1" ht="15" customHeight="1" x14ac:dyDescent="0.25">
      <c r="A222">
        <v>2021</v>
      </c>
      <c r="B222" s="8" t="s">
        <v>1205</v>
      </c>
      <c r="C222" s="8" t="s">
        <v>2900</v>
      </c>
      <c r="D222" s="656" t="s">
        <v>2901</v>
      </c>
      <c r="E222" s="8" t="s">
        <v>1159</v>
      </c>
      <c r="F222" s="8" t="s">
        <v>919</v>
      </c>
      <c r="G222" s="8" t="s">
        <v>2743</v>
      </c>
      <c r="H222" s="8" t="s">
        <v>59</v>
      </c>
      <c r="I222" s="642">
        <v>44099</v>
      </c>
      <c r="J222" s="18">
        <v>44195</v>
      </c>
      <c r="K222" s="642">
        <v>44182</v>
      </c>
      <c r="L222" s="16">
        <f>IF(ISTEXT(Table15[[#This Row],[Engineering Approved Design Date]]),Table15[[#This Row],[Date Completed]]-Table15[[#This Row],[Date Assigned to Designer]],Table15[[#This Row],[Engineering Approved Design Date]]-Table15[[#This Row],[Date Completed]])</f>
        <v>13</v>
      </c>
      <c r="M222" s="642"/>
      <c r="N222" s="642" t="s">
        <v>120</v>
      </c>
      <c r="O222" s="1025">
        <v>44182</v>
      </c>
      <c r="P222" s="21" t="s">
        <v>739</v>
      </c>
      <c r="Q222" s="340">
        <f>R222*AA222</f>
        <v>20029.8933</v>
      </c>
      <c r="R222" s="1026">
        <v>0.09</v>
      </c>
      <c r="S222" s="538"/>
      <c r="T222" s="538"/>
      <c r="U222" s="28"/>
      <c r="V222" s="857">
        <v>513</v>
      </c>
      <c r="W222" s="440"/>
      <c r="X222" s="551">
        <v>190770.46</v>
      </c>
      <c r="Y222" s="551"/>
      <c r="Z222" s="551">
        <v>31783.91</v>
      </c>
      <c r="AA222" s="551">
        <f>X222+Z222</f>
        <v>222554.37</v>
      </c>
      <c r="AB222" s="341"/>
      <c r="AC222" s="568" t="s">
        <v>116</v>
      </c>
      <c r="AD222" s="1157"/>
      <c r="AE222" s="568"/>
      <c r="AF222" s="568"/>
      <c r="AG222" s="568"/>
      <c r="AH222" s="183"/>
      <c r="AI222" s="1036"/>
      <c r="AJ222" s="1037"/>
      <c r="AK222" s="1037"/>
      <c r="AL222" s="1038"/>
      <c r="AM222" s="1522" t="s">
        <v>116</v>
      </c>
      <c r="AN222" s="1523">
        <v>44608</v>
      </c>
      <c r="AO222" s="1524">
        <v>11031541</v>
      </c>
      <c r="AP222" s="1525">
        <v>203924.93</v>
      </c>
      <c r="AQ222" s="1525"/>
      <c r="AR222" s="1525">
        <v>41405.300000000003</v>
      </c>
      <c r="AS222" s="1525">
        <f>IF(Table15[[#This Row],[PCTS Approved]]="N",0,Table15[[#This Row],[Investment Amount (1'#'#'#'#'#)]]+Table15[[#This Row],[Retirement Amount (3'#'#'#'#'#)]])</f>
        <v>245330.22999999998</v>
      </c>
      <c r="AT222" s="1525">
        <f>IF(Table15[[#This Row],[Approved Construction Cost]]=0,0,Table15[[#This Row],[Approved Construction Cost]]-Table15[[#This Row],[Construction Cost to Bill From]])</f>
        <v>22775.859999999986</v>
      </c>
      <c r="AU222" s="1525">
        <f>IFERROR(Table15[[#This Row],[Difference in Construction Cost]]*Table15[[#This Row],[Rate]],Table15[[#This Row],[Difference in Construction Cost]]*0.085)</f>
        <v>2049.8273999999988</v>
      </c>
      <c r="AV222" s="1525" t="s">
        <v>709</v>
      </c>
      <c r="AW222" s="1526" t="s">
        <v>2902</v>
      </c>
      <c r="AX222" s="1525">
        <f>Table15[[#This Row],[Reconcile Amount]]</f>
        <v>2049.8273999999988</v>
      </c>
      <c r="AY222" s="1518">
        <v>45008</v>
      </c>
      <c r="AZ222" s="333"/>
      <c r="BA222" s="1031" t="s">
        <v>2903</v>
      </c>
      <c r="BB222" s="644" t="s">
        <v>2904</v>
      </c>
      <c r="BC222" s="544" t="s">
        <v>709</v>
      </c>
      <c r="BD222" s="544" t="s">
        <v>2905</v>
      </c>
      <c r="BE222" s="544" t="s">
        <v>709</v>
      </c>
      <c r="BF222" s="544" t="s">
        <v>709</v>
      </c>
      <c r="BG222" s="544" t="s">
        <v>709</v>
      </c>
      <c r="BH222" s="741"/>
      <c r="BI222" s="547" t="s">
        <v>709</v>
      </c>
      <c r="BJ222" s="547" t="s">
        <v>709</v>
      </c>
      <c r="BK222" s="547" t="s">
        <v>116</v>
      </c>
      <c r="BL222" s="547" t="s">
        <v>709</v>
      </c>
      <c r="BM222" s="547" t="s">
        <v>709</v>
      </c>
      <c r="BN222" s="547" t="s">
        <v>709</v>
      </c>
      <c r="BO222" s="547" t="s">
        <v>709</v>
      </c>
      <c r="BP222" s="547" t="s">
        <v>709</v>
      </c>
      <c r="BQ222" s="547" t="s">
        <v>709</v>
      </c>
      <c r="BR222" s="547">
        <v>513</v>
      </c>
      <c r="BS222" s="547" t="s">
        <v>709</v>
      </c>
      <c r="BT222" s="547" t="s">
        <v>745</v>
      </c>
      <c r="BU222" s="547" t="s">
        <v>709</v>
      </c>
      <c r="BV222" s="547" t="s">
        <v>745</v>
      </c>
      <c r="BW222" s="547" t="s">
        <v>709</v>
      </c>
      <c r="BX222" s="547" t="s">
        <v>709</v>
      </c>
      <c r="BY222" s="547" t="s">
        <v>745</v>
      </c>
      <c r="BZ222" s="547" t="s">
        <v>709</v>
      </c>
      <c r="CA222" s="483"/>
      <c r="CB222" s="547">
        <v>220</v>
      </c>
      <c r="CC222" s="1481" t="b">
        <v>1</v>
      </c>
      <c r="CD222" t="str">
        <f>Table15[[#This Row],[Engineering Number]]&amp;Table15[[#This Row],[WO Number]]&amp;Table15[[#This Row],[Date Assigned to Designer]]&amp;Table15[[#This Row],[Date Completed]]</f>
        <v>MR13651408274409944182</v>
      </c>
    </row>
    <row r="223" spans="1:82" customFormat="1" ht="15" customHeight="1" x14ac:dyDescent="0.25">
      <c r="A223">
        <v>2021</v>
      </c>
      <c r="B223" s="8" t="s">
        <v>4</v>
      </c>
      <c r="C223" s="8" t="s">
        <v>2894</v>
      </c>
      <c r="D223" s="656" t="s">
        <v>2895</v>
      </c>
      <c r="E223" s="8" t="s">
        <v>118</v>
      </c>
      <c r="F223" s="8" t="s">
        <v>738</v>
      </c>
      <c r="G223" s="8" t="s">
        <v>36</v>
      </c>
      <c r="H223" s="8" t="s">
        <v>59</v>
      </c>
      <c r="I223" s="642">
        <v>43979</v>
      </c>
      <c r="J223" s="18">
        <v>44183</v>
      </c>
      <c r="K223" s="642">
        <v>44182</v>
      </c>
      <c r="L223" s="16">
        <f>IF(ISTEXT(Table15[[#This Row],[Engineering Approved Design Date]]),Table15[[#This Row],[Date Completed]]-Table15[[#This Row],[Date Assigned to Designer]],Table15[[#This Row],[Engineering Approved Design Date]]-Table15[[#This Row],[Date Completed]])</f>
        <v>1</v>
      </c>
      <c r="M223" s="642"/>
      <c r="N223" s="642" t="s">
        <v>120</v>
      </c>
      <c r="O223" s="1025">
        <v>44182</v>
      </c>
      <c r="P223" s="21" t="s">
        <v>739</v>
      </c>
      <c r="Q223" s="340">
        <f>R223*AA223</f>
        <v>82323.960000000021</v>
      </c>
      <c r="R223" s="1026">
        <v>0.1</v>
      </c>
      <c r="S223" s="538"/>
      <c r="T223" s="538"/>
      <c r="U223" s="28"/>
      <c r="V223" s="857">
        <v>3150</v>
      </c>
      <c r="W223" s="440"/>
      <c r="X223" s="551">
        <v>734769.05</v>
      </c>
      <c r="Y223" s="551"/>
      <c r="Z223" s="551">
        <v>88470.55</v>
      </c>
      <c r="AA223" s="551">
        <f>X223+Z223</f>
        <v>823239.60000000009</v>
      </c>
      <c r="AB223" s="341"/>
      <c r="AC223" s="568"/>
      <c r="AD223" s="1157"/>
      <c r="AE223" s="579"/>
      <c r="AF223" s="579"/>
      <c r="AG223" s="579"/>
      <c r="AH223" s="553"/>
      <c r="AI223" s="1036"/>
      <c r="AJ223" s="1037"/>
      <c r="AK223" s="1037"/>
      <c r="AL223" s="1038"/>
      <c r="AM223" s="1522" t="s">
        <v>116</v>
      </c>
      <c r="AN223" s="1523">
        <v>44321</v>
      </c>
      <c r="AO223" s="1524">
        <v>188665</v>
      </c>
      <c r="AP223" s="1525">
        <v>733016.55</v>
      </c>
      <c r="AQ223" s="1525"/>
      <c r="AR223" s="1525">
        <v>84916.33</v>
      </c>
      <c r="AS223" s="1525">
        <f>IF(Table15[[#This Row],[PCTS Approved]]="N",0,Table15[[#This Row],[Investment Amount (1'#'#'#'#'#)]]+Table15[[#This Row],[Retirement Amount (3'#'#'#'#'#)]])</f>
        <v>817932.88</v>
      </c>
      <c r="AT223" s="1525">
        <f>IF(Table15[[#This Row],[Approved Construction Cost]]=0,0,Table15[[#This Row],[Approved Construction Cost]]-Table15[[#This Row],[Construction Cost to Bill From]])</f>
        <v>-5306.7200000000885</v>
      </c>
      <c r="AU223" s="1525">
        <f>Table15[[#This Row],[Difference in Construction Cost]]*Table15[[#This Row],[Rate]]</f>
        <v>-530.67200000000889</v>
      </c>
      <c r="AV223" s="1525" t="s">
        <v>709</v>
      </c>
      <c r="AW223" s="1526" t="s">
        <v>2896</v>
      </c>
      <c r="AX223" s="1525">
        <v>-530.67200000000889</v>
      </c>
      <c r="AY223" s="1518">
        <v>44501</v>
      </c>
      <c r="AZ223" s="333"/>
      <c r="BA223" s="1031" t="s">
        <v>2897</v>
      </c>
      <c r="BB223" s="644" t="s">
        <v>2288</v>
      </c>
      <c r="BC223" s="544" t="s">
        <v>116</v>
      </c>
      <c r="BD223" s="544" t="s">
        <v>709</v>
      </c>
      <c r="BE223" s="544" t="s">
        <v>2898</v>
      </c>
      <c r="BF223" s="544" t="s">
        <v>709</v>
      </c>
      <c r="BG223" s="544" t="s">
        <v>709</v>
      </c>
      <c r="BH223" s="741"/>
      <c r="BI223" s="547" t="s">
        <v>709</v>
      </c>
      <c r="BJ223" s="547" t="s">
        <v>709</v>
      </c>
      <c r="BK223" s="547" t="s">
        <v>116</v>
      </c>
      <c r="BL223" s="547" t="s">
        <v>116</v>
      </c>
      <c r="BM223" s="547" t="s">
        <v>709</v>
      </c>
      <c r="BN223" s="547" t="s">
        <v>709</v>
      </c>
      <c r="BO223" s="547" t="s">
        <v>709</v>
      </c>
      <c r="BP223" s="547" t="s">
        <v>709</v>
      </c>
      <c r="BQ223" s="547" t="s">
        <v>709</v>
      </c>
      <c r="BR223" s="547">
        <v>1561</v>
      </c>
      <c r="BS223" s="547">
        <v>1589</v>
      </c>
      <c r="BT223" s="547" t="s">
        <v>745</v>
      </c>
      <c r="BU223" s="547" t="s">
        <v>709</v>
      </c>
      <c r="BV223" s="547" t="s">
        <v>745</v>
      </c>
      <c r="BW223" s="547" t="s">
        <v>709</v>
      </c>
      <c r="BX223" s="547" t="s">
        <v>745</v>
      </c>
      <c r="BY223" s="547" t="s">
        <v>745</v>
      </c>
      <c r="BZ223" s="547" t="s">
        <v>709</v>
      </c>
      <c r="CA223" s="483"/>
      <c r="CB223" s="547">
        <v>221</v>
      </c>
      <c r="CC223" s="1481" t="b">
        <v>1</v>
      </c>
      <c r="CD223" t="str">
        <f>Table15[[#This Row],[Engineering Number]]&amp;Table15[[#This Row],[WO Number]]&amp;Table15[[#This Row],[Date Assigned to Designer]]&amp;Table15[[#This Row],[Date Completed]]</f>
        <v>N135151292614397944182</v>
      </c>
    </row>
    <row r="224" spans="1:82" customFormat="1" ht="15" customHeight="1" x14ac:dyDescent="0.25">
      <c r="A224">
        <v>2021</v>
      </c>
      <c r="B224" s="8" t="s">
        <v>1162</v>
      </c>
      <c r="C224" s="8" t="s">
        <v>2907</v>
      </c>
      <c r="D224" s="656" t="s">
        <v>2908</v>
      </c>
      <c r="E224" s="8" t="s">
        <v>1373</v>
      </c>
      <c r="F224" s="8" t="s">
        <v>738</v>
      </c>
      <c r="G224" s="8" t="s">
        <v>1882</v>
      </c>
      <c r="H224" s="8" t="s">
        <v>59</v>
      </c>
      <c r="I224" s="642">
        <v>44166</v>
      </c>
      <c r="J224" s="18">
        <v>44242</v>
      </c>
      <c r="K224" s="642">
        <v>44188</v>
      </c>
      <c r="L224" s="16">
        <f>IF(ISTEXT(Table15[[#This Row],[Engineering Approved Design Date]]),Table15[[#This Row],[Date Completed]]-Table15[[#This Row],[Date Assigned to Designer]],Table15[[#This Row],[Engineering Approved Design Date]]-Table15[[#This Row],[Date Completed]])</f>
        <v>54</v>
      </c>
      <c r="M224" s="642"/>
      <c r="N224" s="642" t="s">
        <v>120</v>
      </c>
      <c r="O224" s="1025">
        <v>44188</v>
      </c>
      <c r="P224" s="21" t="s">
        <v>739</v>
      </c>
      <c r="Q224" s="340">
        <f>R224*AA224</f>
        <v>9207.0440000000017</v>
      </c>
      <c r="R224" s="1026">
        <v>7.0000000000000007E-2</v>
      </c>
      <c r="S224" s="538"/>
      <c r="T224" s="538"/>
      <c r="U224" s="28"/>
      <c r="V224" s="857">
        <v>893</v>
      </c>
      <c r="W224" s="440"/>
      <c r="X224" s="551">
        <v>105713.08</v>
      </c>
      <c r="Y224" s="551"/>
      <c r="Z224" s="551">
        <v>25816.12</v>
      </c>
      <c r="AA224" s="551">
        <f>X224+Z224</f>
        <v>131529.20000000001</v>
      </c>
      <c r="AB224" s="341"/>
      <c r="AC224" s="568"/>
      <c r="AD224" s="1157"/>
      <c r="AE224" s="568"/>
      <c r="AF224" s="568"/>
      <c r="AG224" s="568"/>
      <c r="AH224" s="183"/>
      <c r="AI224" s="1036"/>
      <c r="AJ224" s="1037"/>
      <c r="AK224" s="1037"/>
      <c r="AL224" s="1038"/>
      <c r="AM224" s="1522" t="s">
        <v>116</v>
      </c>
      <c r="AN224" s="1523">
        <v>44277</v>
      </c>
      <c r="AO224" s="1524">
        <v>187908</v>
      </c>
      <c r="AP224" s="1525">
        <v>106087.46</v>
      </c>
      <c r="AQ224" s="1525"/>
      <c r="AR224" s="1525">
        <v>26117.9</v>
      </c>
      <c r="AS224" s="1525">
        <f>IF(Table15[[#This Row],[PCTS Approved]]="N",0,Table15[[#This Row],[Investment Amount (1'#'#'#'#'#)]]+Table15[[#This Row],[Retirement Amount (3'#'#'#'#'#)]])</f>
        <v>132205.36000000002</v>
      </c>
      <c r="AT224" s="1525">
        <f>IF(Table15[[#This Row],[Approved Construction Cost]]=0,0,Table15[[#This Row],[Approved Construction Cost]]-Table15[[#This Row],[Construction Cost to Bill From]])</f>
        <v>676.16000000000349</v>
      </c>
      <c r="AU224" s="1525">
        <f>Table15[[#This Row],[Difference in Construction Cost]]*Table15[[#This Row],[Rate]]</f>
        <v>47.331200000000251</v>
      </c>
      <c r="AV224" s="1525" t="s">
        <v>709</v>
      </c>
      <c r="AW224" s="1526" t="s">
        <v>2909</v>
      </c>
      <c r="AX224" s="1525">
        <v>47.331200000000251</v>
      </c>
      <c r="AY224" s="1518">
        <v>44501</v>
      </c>
      <c r="AZ224" s="1532"/>
      <c r="BA224" s="1031" t="s">
        <v>2910</v>
      </c>
      <c r="BB224" s="644"/>
      <c r="BC224" s="544" t="s">
        <v>709</v>
      </c>
      <c r="BD224" s="544" t="s">
        <v>1626</v>
      </c>
      <c r="BE224" s="544" t="s">
        <v>1376</v>
      </c>
      <c r="BF224" s="544" t="s">
        <v>709</v>
      </c>
      <c r="BG224" s="544" t="s">
        <v>709</v>
      </c>
      <c r="BH224" s="741"/>
      <c r="BI224" s="547" t="s">
        <v>709</v>
      </c>
      <c r="BJ224" s="547" t="s">
        <v>709</v>
      </c>
      <c r="BK224" s="547" t="s">
        <v>709</v>
      </c>
      <c r="BL224" s="547" t="s">
        <v>116</v>
      </c>
      <c r="BM224" s="547" t="s">
        <v>709</v>
      </c>
      <c r="BN224" s="547" t="s">
        <v>709</v>
      </c>
      <c r="BO224" s="547" t="s">
        <v>709</v>
      </c>
      <c r="BP224" s="547" t="s">
        <v>709</v>
      </c>
      <c r="BQ224" s="547" t="s">
        <v>709</v>
      </c>
      <c r="BR224" s="547">
        <v>853</v>
      </c>
      <c r="BS224" s="547">
        <v>40</v>
      </c>
      <c r="BT224" s="547" t="s">
        <v>745</v>
      </c>
      <c r="BU224" s="547" t="s">
        <v>709</v>
      </c>
      <c r="BV224" s="547" t="s">
        <v>745</v>
      </c>
      <c r="BW224" s="547" t="s">
        <v>709</v>
      </c>
      <c r="BX224" s="547" t="s">
        <v>745</v>
      </c>
      <c r="BY224" s="547" t="s">
        <v>745</v>
      </c>
      <c r="BZ224" s="547" t="s">
        <v>709</v>
      </c>
      <c r="CA224" s="483"/>
      <c r="CB224" s="547">
        <v>222</v>
      </c>
      <c r="CC224" s="1481" t="b">
        <v>1</v>
      </c>
      <c r="CD224" t="str">
        <f>Table15[[#This Row],[Engineering Number]]&amp;Table15[[#This Row],[WO Number]]&amp;Table15[[#This Row],[Date Assigned to Designer]]&amp;Table15[[#This Row],[Date Completed]]</f>
        <v>PRIM4761293004416644188</v>
      </c>
    </row>
    <row r="225" spans="1:82" customFormat="1" ht="15" customHeight="1" x14ac:dyDescent="0.25">
      <c r="A225">
        <v>2021</v>
      </c>
      <c r="B225" s="8" t="s">
        <v>4</v>
      </c>
      <c r="C225" s="8" t="s">
        <v>2912</v>
      </c>
      <c r="D225" s="655" t="s">
        <v>2913</v>
      </c>
      <c r="E225" s="8" t="s">
        <v>1032</v>
      </c>
      <c r="F225" s="8" t="s">
        <v>919</v>
      </c>
      <c r="G225" s="8" t="s">
        <v>2814</v>
      </c>
      <c r="H225" s="8" t="s">
        <v>59</v>
      </c>
      <c r="I225" s="642">
        <v>44140</v>
      </c>
      <c r="J225" s="18">
        <v>44203</v>
      </c>
      <c r="K225" s="642">
        <v>44202</v>
      </c>
      <c r="L225" s="16">
        <f>IF(ISTEXT(Table15[[#This Row],[Engineering Approved Design Date]]),Table15[[#This Row],[Date Completed]]-Table15[[#This Row],[Date Assigned to Designer]],Table15[[#This Row],[Engineering Approved Design Date]]-Table15[[#This Row],[Date Completed]])</f>
        <v>1</v>
      </c>
      <c r="M225" s="642"/>
      <c r="N225" s="642" t="s">
        <v>120</v>
      </c>
      <c r="O225" s="1025">
        <v>44202</v>
      </c>
      <c r="P225" s="21" t="s">
        <v>739</v>
      </c>
      <c r="Q225" s="340" t="s">
        <v>2045</v>
      </c>
      <c r="R225" s="1026" t="s">
        <v>2045</v>
      </c>
      <c r="S225" s="538"/>
      <c r="T225" s="538"/>
      <c r="U225" s="28"/>
      <c r="V225" s="857"/>
      <c r="W225" s="440"/>
      <c r="X225" s="551"/>
      <c r="Y225" s="551"/>
      <c r="Z225" s="551"/>
      <c r="AA225" s="551"/>
      <c r="AB225" s="341"/>
      <c r="AC225" s="568" t="s">
        <v>709</v>
      </c>
      <c r="AD225" s="1157"/>
      <c r="AE225" s="579"/>
      <c r="AF225" s="579"/>
      <c r="AG225" s="579"/>
      <c r="AH225" s="553"/>
      <c r="AI225" s="1036"/>
      <c r="AJ225" s="1037"/>
      <c r="AK225" s="1037"/>
      <c r="AL225" s="1038"/>
      <c r="AM225" s="542" t="s">
        <v>709</v>
      </c>
      <c r="AN225" s="924"/>
      <c r="AO225" s="925"/>
      <c r="AP225" s="926"/>
      <c r="AQ225" s="926"/>
      <c r="AR225" s="926"/>
      <c r="AS225" s="926"/>
      <c r="AT225" s="926"/>
      <c r="AU225" s="926"/>
      <c r="AV225" s="926"/>
      <c r="AW225" s="927"/>
      <c r="AX225" s="926"/>
      <c r="AY225" s="1538" t="s">
        <v>29</v>
      </c>
      <c r="AZ225" s="1530"/>
      <c r="BA225" s="1031" t="s">
        <v>2914</v>
      </c>
      <c r="BB225" s="644" t="s">
        <v>2083</v>
      </c>
      <c r="BC225" s="544" t="s">
        <v>709</v>
      </c>
      <c r="BD225" s="544" t="s">
        <v>709</v>
      </c>
      <c r="BE225" s="544" t="s">
        <v>1841</v>
      </c>
      <c r="BF225" s="544" t="s">
        <v>709</v>
      </c>
      <c r="BG225" s="544" t="s">
        <v>709</v>
      </c>
      <c r="BH225" s="741"/>
      <c r="BI225" s="547" t="s">
        <v>709</v>
      </c>
      <c r="BJ225" s="547" t="s">
        <v>709</v>
      </c>
      <c r="BK225" s="547" t="s">
        <v>709</v>
      </c>
      <c r="BL225" s="547" t="s">
        <v>116</v>
      </c>
      <c r="BM225" s="547" t="s">
        <v>709</v>
      </c>
      <c r="BN225" s="547" t="s">
        <v>709</v>
      </c>
      <c r="BO225" s="547" t="s">
        <v>709</v>
      </c>
      <c r="BP225" s="547" t="s">
        <v>709</v>
      </c>
      <c r="BQ225" s="547" t="s">
        <v>709</v>
      </c>
      <c r="BR225" s="547" t="s">
        <v>709</v>
      </c>
      <c r="BS225" s="547">
        <v>772</v>
      </c>
      <c r="BT225" s="547" t="s">
        <v>745</v>
      </c>
      <c r="BU225" s="547" t="s">
        <v>709</v>
      </c>
      <c r="BV225" s="547" t="s">
        <v>745</v>
      </c>
      <c r="BW225" s="547" t="s">
        <v>709</v>
      </c>
      <c r="BX225" s="547" t="s">
        <v>745</v>
      </c>
      <c r="BY225" s="547" t="s">
        <v>745</v>
      </c>
      <c r="BZ225" s="547" t="s">
        <v>709</v>
      </c>
      <c r="CA225" s="483"/>
      <c r="CB225" s="547">
        <v>223</v>
      </c>
      <c r="CC225" s="1481" t="b">
        <v>1</v>
      </c>
      <c r="CD225" t="str">
        <f>Table15[[#This Row],[Engineering Number]]&amp;Table15[[#This Row],[WO Number]]&amp;Table15[[#This Row],[Date Assigned to Designer]]&amp;Table15[[#This Row],[Date Completed]]</f>
        <v>SC177531408474414044202</v>
      </c>
    </row>
    <row r="226" spans="1:82" customFormat="1" ht="15" customHeight="1" x14ac:dyDescent="0.25">
      <c r="A226">
        <v>2021</v>
      </c>
      <c r="B226" s="8" t="s">
        <v>4</v>
      </c>
      <c r="C226" s="8" t="s">
        <v>2912</v>
      </c>
      <c r="D226" s="655" t="s">
        <v>2916</v>
      </c>
      <c r="E226" s="8" t="s">
        <v>1032</v>
      </c>
      <c r="F226" s="8" t="s">
        <v>919</v>
      </c>
      <c r="G226" s="8" t="s">
        <v>2814</v>
      </c>
      <c r="H226" s="8" t="s">
        <v>59</v>
      </c>
      <c r="I226" s="642">
        <v>44140</v>
      </c>
      <c r="J226" s="18">
        <v>44203</v>
      </c>
      <c r="K226" s="642">
        <v>44202</v>
      </c>
      <c r="L226" s="16">
        <f>IF(ISTEXT(Table15[[#This Row],[Engineering Approved Design Date]]),Table15[[#This Row],[Date Completed]]-Table15[[#This Row],[Date Assigned to Designer]],Table15[[#This Row],[Engineering Approved Design Date]]-Table15[[#This Row],[Date Completed]])</f>
        <v>1</v>
      </c>
      <c r="M226" s="642"/>
      <c r="N226" s="642" t="s">
        <v>120</v>
      </c>
      <c r="O226" s="1025">
        <v>44202</v>
      </c>
      <c r="P226" s="21" t="s">
        <v>739</v>
      </c>
      <c r="Q226" s="340">
        <f>R226*AA226</f>
        <v>16896.385999999999</v>
      </c>
      <c r="R226" s="1026">
        <v>0.1</v>
      </c>
      <c r="S226" s="538"/>
      <c r="T226" s="538"/>
      <c r="U226" s="28"/>
      <c r="V226" s="857">
        <v>868</v>
      </c>
      <c r="W226" s="440"/>
      <c r="X226" s="551">
        <f>57699.53+94801.95</f>
        <v>152501.47999999998</v>
      </c>
      <c r="Y226" s="551"/>
      <c r="Z226" s="551">
        <f>8815.07+7647.31</f>
        <v>16462.38</v>
      </c>
      <c r="AA226" s="551">
        <f>X226+Z226</f>
        <v>168963.86</v>
      </c>
      <c r="AB226" s="341"/>
      <c r="AC226" s="568" t="s">
        <v>709</v>
      </c>
      <c r="AD226" s="1157"/>
      <c r="AE226" s="579"/>
      <c r="AF226" s="579"/>
      <c r="AG226" s="579"/>
      <c r="AH226" s="553"/>
      <c r="AI226" s="1036"/>
      <c r="AJ226" s="1037"/>
      <c r="AK226" s="1037"/>
      <c r="AL226" s="1038"/>
      <c r="AM226" s="542" t="s">
        <v>116</v>
      </c>
      <c r="AN226" s="1508">
        <v>44299</v>
      </c>
      <c r="AO226" s="925">
        <v>188220</v>
      </c>
      <c r="AP226" s="926">
        <v>135795.63</v>
      </c>
      <c r="AQ226" s="926"/>
      <c r="AR226" s="926">
        <v>8777.93</v>
      </c>
      <c r="AS226" s="926">
        <f>IF(Table15[[#This Row],[PCTS Approved]]="N",0,Table15[[#This Row],[Investment Amount (1'#'#'#'#'#)]]+Table15[[#This Row],[Retirement Amount (3'#'#'#'#'#)]])</f>
        <v>144573.56</v>
      </c>
      <c r="AT226" s="926">
        <f>IF(Table15[[#This Row],[Approved Construction Cost]]=0,0,Table15[[#This Row],[Approved Construction Cost]]-Table15[[#This Row],[Construction Cost to Bill From]])</f>
        <v>-24390.299999999988</v>
      </c>
      <c r="AU226" s="926">
        <f>Table15[[#This Row],[Difference in Construction Cost]]*Table15[[#This Row],[Rate]]</f>
        <v>-2439.0299999999988</v>
      </c>
      <c r="AV226" s="926">
        <v>3637.5</v>
      </c>
      <c r="AW226" s="927" t="s">
        <v>2917</v>
      </c>
      <c r="AX226" s="926"/>
      <c r="AY226" s="636" t="s">
        <v>1935</v>
      </c>
      <c r="AZ226" s="1531"/>
      <c r="BA226" s="1031" t="s">
        <v>2914</v>
      </c>
      <c r="BB226" s="644" t="s">
        <v>2083</v>
      </c>
      <c r="BC226" s="544" t="s">
        <v>709</v>
      </c>
      <c r="BD226" s="544" t="s">
        <v>709</v>
      </c>
      <c r="BE226" s="544" t="s">
        <v>1841</v>
      </c>
      <c r="BF226" s="544" t="s">
        <v>709</v>
      </c>
      <c r="BG226" s="544" t="s">
        <v>709</v>
      </c>
      <c r="BH226" s="741"/>
      <c r="BI226" s="547" t="s">
        <v>709</v>
      </c>
      <c r="BJ226" s="547" t="s">
        <v>709</v>
      </c>
      <c r="BK226" s="547" t="s">
        <v>709</v>
      </c>
      <c r="BL226" s="547" t="s">
        <v>116</v>
      </c>
      <c r="BM226" s="547" t="s">
        <v>709</v>
      </c>
      <c r="BN226" s="547" t="s">
        <v>709</v>
      </c>
      <c r="BO226" s="547" t="s">
        <v>709</v>
      </c>
      <c r="BP226" s="547" t="s">
        <v>709</v>
      </c>
      <c r="BQ226" s="547" t="s">
        <v>709</v>
      </c>
      <c r="BR226" s="547" t="s">
        <v>709</v>
      </c>
      <c r="BS226" s="547">
        <v>772</v>
      </c>
      <c r="BT226" s="547" t="s">
        <v>745</v>
      </c>
      <c r="BU226" s="547" t="s">
        <v>709</v>
      </c>
      <c r="BV226" s="547" t="s">
        <v>745</v>
      </c>
      <c r="BW226" s="547" t="s">
        <v>709</v>
      </c>
      <c r="BX226" s="547" t="s">
        <v>745</v>
      </c>
      <c r="BY226" s="547" t="s">
        <v>745</v>
      </c>
      <c r="BZ226" s="547" t="s">
        <v>709</v>
      </c>
      <c r="CA226" s="483"/>
      <c r="CB226" s="547">
        <v>224</v>
      </c>
      <c r="CC226" s="1481" t="b">
        <v>1</v>
      </c>
      <c r="CD226" t="str">
        <f>Table15[[#This Row],[Engineering Number]]&amp;Table15[[#This Row],[WO Number]]&amp;Table15[[#This Row],[Date Assigned to Designer]]&amp;Table15[[#This Row],[Date Completed]]</f>
        <v>SC177531408384414044202</v>
      </c>
    </row>
    <row r="227" spans="1:82" customFormat="1" ht="15" customHeight="1" x14ac:dyDescent="0.25">
      <c r="A227">
        <v>2021</v>
      </c>
      <c r="B227" s="8" t="s">
        <v>4</v>
      </c>
      <c r="C227" s="8" t="s">
        <v>163</v>
      </c>
      <c r="D227" s="656" t="s">
        <v>2923</v>
      </c>
      <c r="E227" s="8" t="s">
        <v>164</v>
      </c>
      <c r="F227" s="8" t="s">
        <v>738</v>
      </c>
      <c r="G227" s="8" t="s">
        <v>2814</v>
      </c>
      <c r="H227" s="8" t="s">
        <v>59</v>
      </c>
      <c r="I227" s="642">
        <v>44126</v>
      </c>
      <c r="J227" s="18">
        <v>44204</v>
      </c>
      <c r="K227" s="642">
        <v>44203</v>
      </c>
      <c r="L227" s="16">
        <f>IF(ISTEXT(Table15[[#This Row],[Engineering Approved Design Date]]),Table15[[#This Row],[Date Completed]]-Table15[[#This Row],[Date Assigned to Designer]],Table15[[#This Row],[Engineering Approved Design Date]]-Table15[[#This Row],[Date Completed]])</f>
        <v>1</v>
      </c>
      <c r="M227" s="642" t="s">
        <v>739</v>
      </c>
      <c r="N227" s="642" t="s">
        <v>120</v>
      </c>
      <c r="O227" s="1025">
        <v>44203</v>
      </c>
      <c r="P227" s="21" t="s">
        <v>739</v>
      </c>
      <c r="Q227" s="340">
        <f>R227*AA227</f>
        <v>58709.231</v>
      </c>
      <c r="R227" s="1026">
        <v>0.1</v>
      </c>
      <c r="S227" s="538"/>
      <c r="T227" s="538"/>
      <c r="U227" s="28"/>
      <c r="V227" s="857">
        <f>28+381</f>
        <v>409</v>
      </c>
      <c r="W227" s="440"/>
      <c r="X227" s="551">
        <v>541320.68999999994</v>
      </c>
      <c r="Y227" s="551"/>
      <c r="Z227" s="551">
        <v>45771.62</v>
      </c>
      <c r="AA227" s="551">
        <f>X227+Z227</f>
        <v>587092.30999999994</v>
      </c>
      <c r="AB227" s="341"/>
      <c r="AC227" s="568" t="s">
        <v>116</v>
      </c>
      <c r="AD227" s="1157"/>
      <c r="AE227" s="579"/>
      <c r="AF227" s="579"/>
      <c r="AG227" s="579"/>
      <c r="AH227" s="553"/>
      <c r="AI227" s="1036"/>
      <c r="AJ227" s="1037"/>
      <c r="AK227" s="1037"/>
      <c r="AL227" s="1038"/>
      <c r="AM227" s="1522" t="s">
        <v>116</v>
      </c>
      <c r="AN227" s="1523">
        <v>44299</v>
      </c>
      <c r="AO227" s="1524">
        <v>186860</v>
      </c>
      <c r="AP227" s="1525">
        <v>593100.06999999995</v>
      </c>
      <c r="AQ227" s="1525"/>
      <c r="AR227" s="1525">
        <v>45893.36</v>
      </c>
      <c r="AS227" s="1525">
        <f>IF(Table15[[#This Row],[PCTS Approved]]="N",0,Table15[[#This Row],[Investment Amount (1'#'#'#'#'#)]]+Table15[[#This Row],[Retirement Amount (3'#'#'#'#'#)]])</f>
        <v>638993.42999999993</v>
      </c>
      <c r="AT227" s="1525">
        <f>IF(Table15[[#This Row],[Approved Construction Cost]]=0,0,Table15[[#This Row],[Approved Construction Cost]]-Table15[[#This Row],[Construction Cost to Bill From]])</f>
        <v>51901.119999999995</v>
      </c>
      <c r="AU227" s="1525">
        <f>Table15[[#This Row],[Difference in Construction Cost]]*Table15[[#This Row],[Rate]]</f>
        <v>5190.1120000000001</v>
      </c>
      <c r="AV227" s="1525">
        <v>1962.5</v>
      </c>
      <c r="AW227" s="1526" t="s">
        <v>2924</v>
      </c>
      <c r="AX227" s="1525">
        <v>5190.1120000000001</v>
      </c>
      <c r="AY227" s="1518">
        <v>44501</v>
      </c>
      <c r="AZ227" s="333"/>
      <c r="BA227" s="1031" t="s">
        <v>2925</v>
      </c>
      <c r="BB227" s="644" t="s">
        <v>1156</v>
      </c>
      <c r="BC227" s="544" t="s">
        <v>116</v>
      </c>
      <c r="BD227" s="544" t="s">
        <v>709</v>
      </c>
      <c r="BE227" s="544" t="s">
        <v>709</v>
      </c>
      <c r="BF227" s="544" t="s">
        <v>709</v>
      </c>
      <c r="BG227" s="544" t="s">
        <v>709</v>
      </c>
      <c r="BH227" s="741"/>
      <c r="BI227" s="547" t="s">
        <v>709</v>
      </c>
      <c r="BJ227" s="547" t="s">
        <v>709</v>
      </c>
      <c r="BK227" s="547" t="s">
        <v>709</v>
      </c>
      <c r="BL227" s="547" t="s">
        <v>116</v>
      </c>
      <c r="BM227" s="547">
        <v>381</v>
      </c>
      <c r="BN227" s="547" t="s">
        <v>709</v>
      </c>
      <c r="BO227" s="547" t="s">
        <v>709</v>
      </c>
      <c r="BP227" s="547" t="s">
        <v>709</v>
      </c>
      <c r="BQ227" s="547" t="s">
        <v>709</v>
      </c>
      <c r="BR227" s="547" t="s">
        <v>709</v>
      </c>
      <c r="BS227" s="547">
        <v>28</v>
      </c>
      <c r="BT227" s="547" t="s">
        <v>745</v>
      </c>
      <c r="BU227" s="547" t="s">
        <v>709</v>
      </c>
      <c r="BV227" s="547" t="s">
        <v>745</v>
      </c>
      <c r="BW227" s="547" t="s">
        <v>709</v>
      </c>
      <c r="BX227" s="547" t="s">
        <v>745</v>
      </c>
      <c r="BY227" s="547" t="s">
        <v>745</v>
      </c>
      <c r="BZ227" s="547" t="s">
        <v>709</v>
      </c>
      <c r="CA227" s="483"/>
      <c r="CB227" s="547">
        <v>226</v>
      </c>
      <c r="CC227" s="1481" t="b">
        <v>1</v>
      </c>
      <c r="CD227" t="str">
        <f>Table15[[#This Row],[Engineering Number]]&amp;Table15[[#This Row],[WO Number]]&amp;Table15[[#This Row],[Date Assigned to Designer]]&amp;Table15[[#This Row],[Date Completed]]</f>
        <v>M119671205334412644203</v>
      </c>
    </row>
    <row r="228" spans="1:82" customFormat="1" ht="15" customHeight="1" x14ac:dyDescent="0.25">
      <c r="A228">
        <v>2020</v>
      </c>
      <c r="B228" s="8" t="s">
        <v>4</v>
      </c>
      <c r="C228" s="8" t="s">
        <v>2068</v>
      </c>
      <c r="D228" s="656" t="s">
        <v>2919</v>
      </c>
      <c r="E228" s="8" t="s">
        <v>1159</v>
      </c>
      <c r="F228" s="8" t="s">
        <v>919</v>
      </c>
      <c r="G228" s="8" t="s">
        <v>2814</v>
      </c>
      <c r="H228" s="8" t="s">
        <v>59</v>
      </c>
      <c r="I228" s="642">
        <v>43661</v>
      </c>
      <c r="J228" s="18">
        <v>44211</v>
      </c>
      <c r="K228" s="642">
        <v>44203</v>
      </c>
      <c r="L228" s="16">
        <f>IF(ISTEXT(Table15[[#This Row],[Engineering Approved Design Date]]),Table15[[#This Row],[Date Completed]]-Table15[[#This Row],[Date Assigned to Designer]],Table15[[#This Row],[Engineering Approved Design Date]]-Table15[[#This Row],[Date Completed]])</f>
        <v>8</v>
      </c>
      <c r="M228" s="642"/>
      <c r="N228" s="642" t="s">
        <v>120</v>
      </c>
      <c r="O228" s="1025">
        <v>44203</v>
      </c>
      <c r="P228" s="21" t="s">
        <v>739</v>
      </c>
      <c r="Q228" s="340">
        <f>R228*AA228</f>
        <v>54505.367000000006</v>
      </c>
      <c r="R228" s="1026">
        <v>0.1</v>
      </c>
      <c r="S228" s="538"/>
      <c r="T228" s="538"/>
      <c r="U228" s="28"/>
      <c r="V228" s="857">
        <v>969</v>
      </c>
      <c r="W228" s="440"/>
      <c r="X228" s="551">
        <v>506712.39</v>
      </c>
      <c r="Y228" s="551"/>
      <c r="Z228" s="551">
        <v>38341.279999999999</v>
      </c>
      <c r="AA228" s="551">
        <f>X228+Z228</f>
        <v>545053.67000000004</v>
      </c>
      <c r="AB228" s="341"/>
      <c r="AC228" s="568" t="s">
        <v>709</v>
      </c>
      <c r="AD228" s="1157"/>
      <c r="AE228" s="579"/>
      <c r="AF228" s="579"/>
      <c r="AG228" s="579"/>
      <c r="AH228" s="553"/>
      <c r="AI228" s="1036"/>
      <c r="AJ228" s="1037"/>
      <c r="AK228" s="1037"/>
      <c r="AL228" s="1038"/>
      <c r="AM228" s="1522" t="s">
        <v>116</v>
      </c>
      <c r="AN228" s="1523">
        <v>44327</v>
      </c>
      <c r="AO228" s="1524">
        <v>189014</v>
      </c>
      <c r="AP228" s="1525">
        <v>535414.76</v>
      </c>
      <c r="AQ228" s="1525"/>
      <c r="AR228" s="1525">
        <v>38507.050000000003</v>
      </c>
      <c r="AS228" s="1525">
        <f>IF(Table15[[#This Row],[PCTS Approved]]="N",0,Table15[[#This Row],[Investment Amount (1'#'#'#'#'#)]]+Table15[[#This Row],[Retirement Amount (3'#'#'#'#'#)]])</f>
        <v>573921.81000000006</v>
      </c>
      <c r="AT228" s="1525">
        <f>IF(Table15[[#This Row],[Approved Construction Cost]]=0,0,Table15[[#This Row],[Approved Construction Cost]]-Table15[[#This Row],[Construction Cost to Bill From]])</f>
        <v>28868.140000000014</v>
      </c>
      <c r="AU228" s="1525">
        <f>Table15[[#This Row],[Difference in Construction Cost]]*Table15[[#This Row],[Rate]]</f>
        <v>2886.8140000000017</v>
      </c>
      <c r="AV228" s="1525" t="s">
        <v>709</v>
      </c>
      <c r="AW228" s="1526" t="s">
        <v>2920</v>
      </c>
      <c r="AX228" s="1525">
        <v>2886.8140000000017</v>
      </c>
      <c r="AY228" s="1518">
        <v>44501</v>
      </c>
      <c r="AZ228" s="1532"/>
      <c r="BA228" s="1031" t="s">
        <v>2921</v>
      </c>
      <c r="BB228" s="644" t="s">
        <v>1156</v>
      </c>
      <c r="BC228" s="544"/>
      <c r="BD228" s="544"/>
      <c r="BE228" s="544"/>
      <c r="BF228" s="544"/>
      <c r="BG228" s="544"/>
      <c r="BH228" s="741"/>
      <c r="BI228" s="547" t="s">
        <v>709</v>
      </c>
      <c r="BJ228" s="547" t="s">
        <v>709</v>
      </c>
      <c r="BK228" s="547" t="s">
        <v>709</v>
      </c>
      <c r="BL228" s="547" t="s">
        <v>116</v>
      </c>
      <c r="BM228" s="547" t="s">
        <v>709</v>
      </c>
      <c r="BN228" s="547">
        <v>432</v>
      </c>
      <c r="BO228" s="547" t="s">
        <v>709</v>
      </c>
      <c r="BP228" s="547" t="s">
        <v>709</v>
      </c>
      <c r="BQ228" s="547" t="s">
        <v>709</v>
      </c>
      <c r="BR228" s="547" t="s">
        <v>709</v>
      </c>
      <c r="BS228" s="547">
        <v>537</v>
      </c>
      <c r="BT228" s="547" t="s">
        <v>745</v>
      </c>
      <c r="BU228" s="547" t="s">
        <v>709</v>
      </c>
      <c r="BV228" s="547" t="s">
        <v>745</v>
      </c>
      <c r="BW228" s="547" t="s">
        <v>709</v>
      </c>
      <c r="BX228" s="547" t="s">
        <v>745</v>
      </c>
      <c r="BY228" s="547" t="s">
        <v>745</v>
      </c>
      <c r="BZ228" s="547" t="s">
        <v>709</v>
      </c>
      <c r="CA228" s="483"/>
      <c r="CB228" s="547">
        <v>225</v>
      </c>
      <c r="CC228" s="1481" t="b">
        <v>1</v>
      </c>
      <c r="CD228" t="str">
        <f>Table15[[#This Row],[Engineering Number]]&amp;Table15[[#This Row],[WO Number]]&amp;Table15[[#This Row],[Date Assigned to Designer]]&amp;Table15[[#This Row],[Date Completed]]</f>
        <v>SC157921408444366144203</v>
      </c>
    </row>
    <row r="229" spans="1:82" customFormat="1" ht="15" customHeight="1" x14ac:dyDescent="0.25">
      <c r="A229">
        <v>2021</v>
      </c>
      <c r="B229" s="8" t="s">
        <v>1108</v>
      </c>
      <c r="C229" s="8" t="s">
        <v>2927</v>
      </c>
      <c r="D229" s="8" t="s">
        <v>2928</v>
      </c>
      <c r="E229" s="8" t="s">
        <v>61</v>
      </c>
      <c r="F229" s="8" t="s">
        <v>738</v>
      </c>
      <c r="G229" s="8" t="s">
        <v>36</v>
      </c>
      <c r="H229" s="8" t="s">
        <v>2127</v>
      </c>
      <c r="I229" s="642">
        <v>44166</v>
      </c>
      <c r="J229" s="18">
        <v>44229</v>
      </c>
      <c r="K229" s="642">
        <v>44207</v>
      </c>
      <c r="L229" s="16">
        <f>IF(ISTEXT(Table15[[#This Row],[Engineering Approved Design Date]]),Table15[[#This Row],[Date Completed]]-Table15[[#This Row],[Date Assigned to Designer]],Table15[[#This Row],[Engineering Approved Design Date]]-Table15[[#This Row],[Date Completed]])</f>
        <v>22</v>
      </c>
      <c r="M229" s="642" t="s">
        <v>2929</v>
      </c>
      <c r="N229" s="642" t="s">
        <v>120</v>
      </c>
      <c r="O229" s="1025">
        <v>44207</v>
      </c>
      <c r="P229" s="21" t="s">
        <v>739</v>
      </c>
      <c r="Q229" s="340" t="s">
        <v>115</v>
      </c>
      <c r="R229" s="1026" t="s">
        <v>115</v>
      </c>
      <c r="S229" s="538"/>
      <c r="T229" s="538"/>
      <c r="U229" s="28"/>
      <c r="V229" s="857"/>
      <c r="W229" s="440"/>
      <c r="X229" s="551"/>
      <c r="Y229" s="551"/>
      <c r="Z229" s="551"/>
      <c r="AA229" s="551"/>
      <c r="AB229" s="341"/>
      <c r="AC229" s="568" t="s">
        <v>709</v>
      </c>
      <c r="AD229" s="1157"/>
      <c r="AE229" s="579"/>
      <c r="AF229" s="579"/>
      <c r="AG229" s="579"/>
      <c r="AH229" s="553"/>
      <c r="AI229" s="1036"/>
      <c r="AJ229" s="1037"/>
      <c r="AK229" s="1037"/>
      <c r="AL229" s="1038"/>
      <c r="AM229" s="542" t="s">
        <v>709</v>
      </c>
      <c r="AN229" s="924"/>
      <c r="AO229" s="925"/>
      <c r="AP229" s="926"/>
      <c r="AQ229" s="926"/>
      <c r="AR229" s="926"/>
      <c r="AS229" s="926"/>
      <c r="AT229" s="926"/>
      <c r="AU229" s="926"/>
      <c r="AV229" s="926"/>
      <c r="AW229" s="927"/>
      <c r="AX229" s="926"/>
      <c r="AY229" s="1538" t="s">
        <v>29</v>
      </c>
      <c r="AZ229" s="1530"/>
      <c r="BA229" s="1031" t="s">
        <v>2930</v>
      </c>
      <c r="BB229" s="644" t="s">
        <v>2931</v>
      </c>
      <c r="BC229" s="544"/>
      <c r="BD229" s="544"/>
      <c r="BE229" s="544"/>
      <c r="BF229" s="544"/>
      <c r="BG229" s="544"/>
      <c r="BH229" s="741"/>
      <c r="BI229" s="547"/>
      <c r="BJ229" s="547"/>
      <c r="BK229" s="547"/>
      <c r="BL229" s="547"/>
      <c r="BM229" s="547"/>
      <c r="BN229" s="547"/>
      <c r="BO229" s="547"/>
      <c r="BP229" s="547"/>
      <c r="BQ229" s="547"/>
      <c r="BR229" s="547"/>
      <c r="BS229" s="547"/>
      <c r="BT229" s="547"/>
      <c r="BU229" s="547"/>
      <c r="BV229" s="547"/>
      <c r="BW229" s="547"/>
      <c r="BX229" s="547"/>
      <c r="BY229" s="547"/>
      <c r="BZ229" s="547" t="s">
        <v>709</v>
      </c>
      <c r="CA229" s="483" t="s">
        <v>2</v>
      </c>
      <c r="CB229" s="547">
        <v>227</v>
      </c>
      <c r="CC229" s="1481" t="b">
        <v>1</v>
      </c>
      <c r="CD229" t="str">
        <f>Table15[[#This Row],[Engineering Number]]&amp;Table15[[#This Row],[WO Number]]&amp;Table15[[#This Row],[Date Assigned to Designer]]&amp;Table15[[#This Row],[Date Completed]]</f>
        <v>RS6821021264416644207</v>
      </c>
    </row>
    <row r="230" spans="1:82" customFormat="1" ht="15" customHeight="1" x14ac:dyDescent="0.25">
      <c r="A230">
        <v>2021</v>
      </c>
      <c r="B230" s="8" t="s">
        <v>1108</v>
      </c>
      <c r="C230" s="8" t="s">
        <v>2933</v>
      </c>
      <c r="D230" s="8" t="s">
        <v>115</v>
      </c>
      <c r="E230" s="8" t="s">
        <v>393</v>
      </c>
      <c r="F230" s="8" t="s">
        <v>738</v>
      </c>
      <c r="G230" s="8" t="s">
        <v>40</v>
      </c>
      <c r="H230" s="8" t="s">
        <v>2127</v>
      </c>
      <c r="I230" s="642">
        <v>44176</v>
      </c>
      <c r="J230" s="18">
        <v>44245</v>
      </c>
      <c r="K230" s="642">
        <v>44208</v>
      </c>
      <c r="L230" s="16">
        <f>IF(ISTEXT(Table15[[#This Row],[Engineering Approved Design Date]]),Table15[[#This Row],[Date Completed]]-Table15[[#This Row],[Date Assigned to Designer]],Table15[[#This Row],[Engineering Approved Design Date]]-Table15[[#This Row],[Date Completed]])</f>
        <v>37</v>
      </c>
      <c r="M230" s="642"/>
      <c r="N230" s="642" t="s">
        <v>120</v>
      </c>
      <c r="O230" s="1025">
        <v>44208</v>
      </c>
      <c r="P230" s="21" t="s">
        <v>739</v>
      </c>
      <c r="Q230" s="340" t="s">
        <v>115</v>
      </c>
      <c r="R230" s="1026" t="s">
        <v>115</v>
      </c>
      <c r="S230" s="538"/>
      <c r="T230" s="538"/>
      <c r="U230" s="28"/>
      <c r="V230" s="857"/>
      <c r="W230" s="440"/>
      <c r="X230" s="551"/>
      <c r="Y230" s="551"/>
      <c r="Z230" s="551"/>
      <c r="AA230" s="551"/>
      <c r="AB230" s="341"/>
      <c r="AC230" s="568" t="s">
        <v>709</v>
      </c>
      <c r="AD230" s="1157"/>
      <c r="AE230" s="579"/>
      <c r="AF230" s="579"/>
      <c r="AG230" s="579"/>
      <c r="AH230" s="553"/>
      <c r="AI230" s="1036"/>
      <c r="AJ230" s="1037"/>
      <c r="AK230" s="1037"/>
      <c r="AL230" s="1038"/>
      <c r="AM230" s="542" t="s">
        <v>709</v>
      </c>
      <c r="AN230" s="924"/>
      <c r="AO230" s="925"/>
      <c r="AP230" s="926"/>
      <c r="AQ230" s="926"/>
      <c r="AR230" s="926"/>
      <c r="AS230" s="926"/>
      <c r="AT230" s="926"/>
      <c r="AU230" s="926"/>
      <c r="AV230" s="926"/>
      <c r="AW230" s="927"/>
      <c r="AX230" s="926"/>
      <c r="AY230" s="1538" t="s">
        <v>29</v>
      </c>
      <c r="AZ230" s="1530"/>
      <c r="BA230" s="1031" t="s">
        <v>2934</v>
      </c>
      <c r="BB230" s="644" t="s">
        <v>1174</v>
      </c>
      <c r="BC230" s="544"/>
      <c r="BD230" s="544"/>
      <c r="BE230" s="544"/>
      <c r="BF230" s="544"/>
      <c r="BG230" s="544"/>
      <c r="BH230" s="741"/>
      <c r="BI230" s="547"/>
      <c r="BJ230" s="547"/>
      <c r="BK230" s="547"/>
      <c r="BL230" s="547"/>
      <c r="BM230" s="547"/>
      <c r="BN230" s="547"/>
      <c r="BO230" s="547"/>
      <c r="BP230" s="547"/>
      <c r="BQ230" s="547"/>
      <c r="BR230" s="547"/>
      <c r="BS230" s="547"/>
      <c r="BT230" s="547"/>
      <c r="BU230" s="547"/>
      <c r="BV230" s="547"/>
      <c r="BW230" s="547"/>
      <c r="BX230" s="547"/>
      <c r="BY230" s="547"/>
      <c r="BZ230" s="547" t="s">
        <v>709</v>
      </c>
      <c r="CA230" s="483" t="s">
        <v>2</v>
      </c>
      <c r="CB230" s="547">
        <v>228</v>
      </c>
      <c r="CC230" s="1481" t="b">
        <v>1</v>
      </c>
      <c r="CD230" t="str">
        <f>Table15[[#This Row],[Engineering Number]]&amp;Table15[[#This Row],[WO Number]]&amp;Table15[[#This Row],[Date Assigned to Designer]]&amp;Table15[[#This Row],[Date Completed]]</f>
        <v>RS687-4417644208</v>
      </c>
    </row>
    <row r="231" spans="1:82" customFormat="1" ht="15" customHeight="1" x14ac:dyDescent="0.25">
      <c r="A231">
        <v>2021</v>
      </c>
      <c r="B231" s="8" t="s">
        <v>1108</v>
      </c>
      <c r="C231" s="8" t="s">
        <v>2936</v>
      </c>
      <c r="D231" s="8" t="s">
        <v>115</v>
      </c>
      <c r="E231" s="8" t="s">
        <v>2937</v>
      </c>
      <c r="F231" s="8" t="s">
        <v>738</v>
      </c>
      <c r="G231" s="8" t="s">
        <v>40</v>
      </c>
      <c r="H231" s="8" t="s">
        <v>2127</v>
      </c>
      <c r="I231" s="642">
        <v>44188</v>
      </c>
      <c r="J231" s="18">
        <v>44274</v>
      </c>
      <c r="K231" s="642">
        <v>44209</v>
      </c>
      <c r="L231" s="16">
        <f>IF(ISTEXT(Table15[[#This Row],[Engineering Approved Design Date]]),Table15[[#This Row],[Date Completed]]-Table15[[#This Row],[Date Assigned to Designer]],Table15[[#This Row],[Engineering Approved Design Date]]-Table15[[#This Row],[Date Completed]])</f>
        <v>65</v>
      </c>
      <c r="M231" s="642" t="s">
        <v>2938</v>
      </c>
      <c r="N231" s="642" t="s">
        <v>120</v>
      </c>
      <c r="O231" s="1025">
        <v>44209</v>
      </c>
      <c r="P231" s="21" t="s">
        <v>739</v>
      </c>
      <c r="Q231" s="340" t="s">
        <v>115</v>
      </c>
      <c r="R231" s="1026" t="s">
        <v>115</v>
      </c>
      <c r="S231" s="538"/>
      <c r="T231" s="538"/>
      <c r="U231" s="28"/>
      <c r="V231" s="857"/>
      <c r="W231" s="440"/>
      <c r="X231" s="551"/>
      <c r="Y231" s="551"/>
      <c r="Z231" s="551"/>
      <c r="AA231" s="551"/>
      <c r="AB231" s="341"/>
      <c r="AC231" s="568" t="s">
        <v>709</v>
      </c>
      <c r="AD231" s="1157"/>
      <c r="AE231" s="579"/>
      <c r="AF231" s="579"/>
      <c r="AG231" s="579"/>
      <c r="AH231" s="553"/>
      <c r="AI231" s="1036"/>
      <c r="AJ231" s="1037"/>
      <c r="AK231" s="1037"/>
      <c r="AL231" s="1038"/>
      <c r="AM231" s="542" t="s">
        <v>709</v>
      </c>
      <c r="AN231" s="924"/>
      <c r="AO231" s="925"/>
      <c r="AP231" s="926"/>
      <c r="AQ231" s="926"/>
      <c r="AR231" s="926"/>
      <c r="AS231" s="926"/>
      <c r="AT231" s="926"/>
      <c r="AU231" s="926"/>
      <c r="AV231" s="926"/>
      <c r="AW231" s="927"/>
      <c r="AX231" s="926"/>
      <c r="AY231" s="1538" t="s">
        <v>29</v>
      </c>
      <c r="AZ231" s="1530"/>
      <c r="BA231" s="1031" t="s">
        <v>2939</v>
      </c>
      <c r="BB231" s="644" t="s">
        <v>1174</v>
      </c>
      <c r="BC231" s="544"/>
      <c r="BD231" s="544"/>
      <c r="BE231" s="544"/>
      <c r="BF231" s="544"/>
      <c r="BG231" s="544"/>
      <c r="BH231" s="741"/>
      <c r="BI231" s="547"/>
      <c r="BJ231" s="547"/>
      <c r="BK231" s="547"/>
      <c r="BL231" s="547"/>
      <c r="BM231" s="547"/>
      <c r="BN231" s="547"/>
      <c r="BO231" s="547"/>
      <c r="BP231" s="547"/>
      <c r="BQ231" s="547"/>
      <c r="BR231" s="547"/>
      <c r="BS231" s="547"/>
      <c r="BT231" s="547"/>
      <c r="BU231" s="547"/>
      <c r="BV231" s="547"/>
      <c r="BW231" s="547"/>
      <c r="BX231" s="547"/>
      <c r="BY231" s="547"/>
      <c r="BZ231" s="547" t="s">
        <v>709</v>
      </c>
      <c r="CA231" s="483" t="s">
        <v>2</v>
      </c>
      <c r="CB231" s="547">
        <v>229</v>
      </c>
      <c r="CC231" s="1481" t="b">
        <v>1</v>
      </c>
      <c r="CD231" t="str">
        <f>Table15[[#This Row],[Engineering Number]]&amp;Table15[[#This Row],[WO Number]]&amp;Table15[[#This Row],[Date Assigned to Designer]]&amp;Table15[[#This Row],[Date Completed]]</f>
        <v>RS697-4418844209</v>
      </c>
    </row>
    <row r="232" spans="1:82" customFormat="1" ht="15" customHeight="1" x14ac:dyDescent="0.25">
      <c r="A232">
        <v>2019</v>
      </c>
      <c r="B232" s="8" t="s">
        <v>4</v>
      </c>
      <c r="C232" s="8" t="s">
        <v>2509</v>
      </c>
      <c r="D232" s="8" t="s">
        <v>2510</v>
      </c>
      <c r="E232" s="8" t="s">
        <v>2511</v>
      </c>
      <c r="F232" s="8" t="s">
        <v>738</v>
      </c>
      <c r="G232" s="8" t="s">
        <v>40</v>
      </c>
      <c r="H232" s="8" t="s">
        <v>2051</v>
      </c>
      <c r="I232" s="642">
        <v>43468</v>
      </c>
      <c r="J232" s="18" t="s">
        <v>2052</v>
      </c>
      <c r="K232" s="642">
        <v>44210</v>
      </c>
      <c r="L232" s="16">
        <f>IF(ISTEXT(Table15[[#This Row],[Engineering Approved Design Date]]),Table15[[#This Row],[Date Completed]]-Table15[[#This Row],[Date Assigned to Designer]],Table15[[#This Row],[Engineering Approved Design Date]]-Table15[[#This Row],[Date Completed]])</f>
        <v>742</v>
      </c>
      <c r="M232" s="642" t="s">
        <v>2941</v>
      </c>
      <c r="N232" s="642" t="s">
        <v>120</v>
      </c>
      <c r="O232" s="1025">
        <v>44210</v>
      </c>
      <c r="P232" s="21" t="s">
        <v>739</v>
      </c>
      <c r="Q232" s="340">
        <f>Table15[[#This Row],[KH Hourly Effort]]</f>
        <v>710</v>
      </c>
      <c r="R232" s="1026" t="s">
        <v>1922</v>
      </c>
      <c r="S232" s="551" t="s">
        <v>709</v>
      </c>
      <c r="T232" s="538" t="s">
        <v>709</v>
      </c>
      <c r="U232" s="28">
        <v>710</v>
      </c>
      <c r="V232" s="857"/>
      <c r="W232" s="440"/>
      <c r="X232" s="550"/>
      <c r="Y232" s="550"/>
      <c r="Z232" s="550"/>
      <c r="AA232" s="538"/>
      <c r="AB232" s="21"/>
      <c r="AC232" s="569"/>
      <c r="AD232" s="1149"/>
      <c r="AE232" s="580"/>
      <c r="AF232" s="580"/>
      <c r="AG232" s="580"/>
      <c r="AH232" s="542"/>
      <c r="AI232" s="1028"/>
      <c r="AJ232" s="1029"/>
      <c r="AK232" s="1029"/>
      <c r="AL232" s="1030"/>
      <c r="AM232" s="542" t="s">
        <v>709</v>
      </c>
      <c r="AN232" s="924"/>
      <c r="AO232" s="925"/>
      <c r="AP232" s="926"/>
      <c r="AQ232" s="926"/>
      <c r="AR232" s="926"/>
      <c r="AS232" s="926"/>
      <c r="AT232" s="926"/>
      <c r="AU232" s="926"/>
      <c r="AV232" s="926"/>
      <c r="AW232" s="927"/>
      <c r="AX232" s="926"/>
      <c r="AY232" s="1538" t="s">
        <v>29</v>
      </c>
      <c r="AZ232" s="1530"/>
      <c r="BA232" s="1031">
        <v>12</v>
      </c>
      <c r="BB232" s="644"/>
      <c r="BC232" s="544"/>
      <c r="BD232" s="544"/>
      <c r="BE232" s="544"/>
      <c r="BF232" s="544"/>
      <c r="BG232" s="544"/>
      <c r="BH232" s="741"/>
      <c r="BI232" s="547" t="s">
        <v>709</v>
      </c>
      <c r="BJ232" s="547" t="s">
        <v>709</v>
      </c>
      <c r="BK232" s="547" t="s">
        <v>709</v>
      </c>
      <c r="BL232" s="547" t="s">
        <v>116</v>
      </c>
      <c r="BM232" s="547" t="s">
        <v>709</v>
      </c>
      <c r="BN232" s="547" t="s">
        <v>709</v>
      </c>
      <c r="BO232" s="547" t="s">
        <v>709</v>
      </c>
      <c r="BP232" s="547" t="s">
        <v>709</v>
      </c>
      <c r="BQ232" s="547" t="s">
        <v>709</v>
      </c>
      <c r="BR232" s="547">
        <v>1626</v>
      </c>
      <c r="BS232" s="547" t="s">
        <v>709</v>
      </c>
      <c r="BT232" s="547" t="s">
        <v>745</v>
      </c>
      <c r="BU232" s="547" t="s">
        <v>709</v>
      </c>
      <c r="BV232" s="547" t="s">
        <v>745</v>
      </c>
      <c r="BW232" s="547" t="s">
        <v>709</v>
      </c>
      <c r="BX232" s="547" t="s">
        <v>745</v>
      </c>
      <c r="BY232" s="547" t="s">
        <v>745</v>
      </c>
      <c r="BZ232" s="547" t="s">
        <v>709</v>
      </c>
      <c r="CA232" s="483"/>
      <c r="CB232" s="547">
        <v>230</v>
      </c>
      <c r="CC232" s="1481" t="b">
        <v>1</v>
      </c>
      <c r="CD232" t="str">
        <f>Table15[[#This Row],[Engineering Number]]&amp;Table15[[#This Row],[WO Number]]&amp;Table15[[#This Row],[Date Assigned to Designer]]&amp;Table15[[#This Row],[Date Completed]]</f>
        <v>N121801292004346844210</v>
      </c>
    </row>
    <row r="233" spans="1:82" customFormat="1" ht="15" customHeight="1" x14ac:dyDescent="0.25">
      <c r="A233">
        <v>2021</v>
      </c>
      <c r="B233" s="8" t="s">
        <v>1108</v>
      </c>
      <c r="C233" s="8" t="s">
        <v>2943</v>
      </c>
      <c r="D233" s="8" t="s">
        <v>2944</v>
      </c>
      <c r="E233" s="8" t="s">
        <v>2945</v>
      </c>
      <c r="F233" s="8" t="s">
        <v>738</v>
      </c>
      <c r="G233" s="8" t="s">
        <v>40</v>
      </c>
      <c r="H233" s="8" t="s">
        <v>2127</v>
      </c>
      <c r="I233" s="642">
        <v>44188</v>
      </c>
      <c r="J233" s="18">
        <v>44274</v>
      </c>
      <c r="K233" s="642">
        <v>44211</v>
      </c>
      <c r="L233" s="16">
        <f>IF(ISTEXT(Table15[[#This Row],[Engineering Approved Design Date]]),Table15[[#This Row],[Date Completed]]-Table15[[#This Row],[Date Assigned to Designer]],Table15[[#This Row],[Engineering Approved Design Date]]-Table15[[#This Row],[Date Completed]])</f>
        <v>63</v>
      </c>
      <c r="M233" s="642"/>
      <c r="N233" s="642" t="s">
        <v>120</v>
      </c>
      <c r="O233" s="1025">
        <v>44211</v>
      </c>
      <c r="P233" s="21" t="s">
        <v>739</v>
      </c>
      <c r="Q233" s="340" t="s">
        <v>115</v>
      </c>
      <c r="R233" s="1026" t="s">
        <v>115</v>
      </c>
      <c r="S233" s="538"/>
      <c r="T233" s="538"/>
      <c r="U233" s="28"/>
      <c r="V233" s="857"/>
      <c r="W233" s="440"/>
      <c r="X233" s="551"/>
      <c r="Y233" s="551"/>
      <c r="Z233" s="551"/>
      <c r="AA233" s="551"/>
      <c r="AB233" s="341"/>
      <c r="AC233" s="568" t="s">
        <v>709</v>
      </c>
      <c r="AD233" s="1157"/>
      <c r="AE233" s="579"/>
      <c r="AF233" s="579"/>
      <c r="AG233" s="579"/>
      <c r="AH233" s="553"/>
      <c r="AI233" s="1036"/>
      <c r="AJ233" s="1037"/>
      <c r="AK233" s="1037"/>
      <c r="AL233" s="1038"/>
      <c r="AM233" s="542" t="s">
        <v>709</v>
      </c>
      <c r="AN233" s="924"/>
      <c r="AO233" s="925"/>
      <c r="AP233" s="926"/>
      <c r="AQ233" s="926"/>
      <c r="AR233" s="926"/>
      <c r="AS233" s="926"/>
      <c r="AT233" s="926"/>
      <c r="AU233" s="926"/>
      <c r="AV233" s="926"/>
      <c r="AW233" s="927"/>
      <c r="AX233" s="926"/>
      <c r="AY233" s="1538" t="s">
        <v>29</v>
      </c>
      <c r="AZ233" s="1530"/>
      <c r="BA233" s="1031" t="s">
        <v>2946</v>
      </c>
      <c r="BB233" s="644" t="s">
        <v>1174</v>
      </c>
      <c r="BC233" s="544"/>
      <c r="BD233" s="544"/>
      <c r="BE233" s="544"/>
      <c r="BF233" s="544"/>
      <c r="BG233" s="544"/>
      <c r="BH233" s="741"/>
      <c r="BI233" s="547"/>
      <c r="BJ233" s="547"/>
      <c r="BK233" s="547"/>
      <c r="BL233" s="547"/>
      <c r="BM233" s="547"/>
      <c r="BN233" s="547"/>
      <c r="BO233" s="547"/>
      <c r="BP233" s="547"/>
      <c r="BQ233" s="547"/>
      <c r="BR233" s="547"/>
      <c r="BS233" s="547"/>
      <c r="BT233" s="547"/>
      <c r="BU233" s="547"/>
      <c r="BV233" s="547"/>
      <c r="BW233" s="547"/>
      <c r="BX233" s="547"/>
      <c r="BY233" s="547"/>
      <c r="BZ233" s="547" t="s">
        <v>709</v>
      </c>
      <c r="CA233" s="483" t="s">
        <v>2</v>
      </c>
      <c r="CB233" s="547">
        <v>231</v>
      </c>
      <c r="CC233" s="1481" t="b">
        <v>1</v>
      </c>
      <c r="CD233" t="str">
        <f>Table15[[#This Row],[Engineering Number]]&amp;Table15[[#This Row],[WO Number]]&amp;Table15[[#This Row],[Date Assigned to Designer]]&amp;Table15[[#This Row],[Date Completed]]</f>
        <v>RS6981011634418844211</v>
      </c>
    </row>
    <row r="234" spans="1:82" customFormat="1" ht="15" customHeight="1" x14ac:dyDescent="0.25">
      <c r="A234">
        <v>2021</v>
      </c>
      <c r="B234" s="8" t="s">
        <v>4</v>
      </c>
      <c r="C234" s="8" t="s">
        <v>2948</v>
      </c>
      <c r="D234" s="656" t="s">
        <v>2949</v>
      </c>
      <c r="E234" s="8" t="s">
        <v>2786</v>
      </c>
      <c r="F234" s="8" t="s">
        <v>919</v>
      </c>
      <c r="G234" s="8" t="s">
        <v>40</v>
      </c>
      <c r="H234" s="8" t="s">
        <v>59</v>
      </c>
      <c r="I234" s="642">
        <v>44090</v>
      </c>
      <c r="J234" s="18">
        <v>44211</v>
      </c>
      <c r="K234" s="642">
        <v>44214</v>
      </c>
      <c r="L234" s="16">
        <v>0</v>
      </c>
      <c r="M234" s="642" t="s">
        <v>2950</v>
      </c>
      <c r="N234" s="642" t="s">
        <v>120</v>
      </c>
      <c r="O234" s="1025">
        <v>44214</v>
      </c>
      <c r="P234" s="21" t="s">
        <v>739</v>
      </c>
      <c r="Q234" s="340">
        <f>R234*AA234</f>
        <v>310670.80200000003</v>
      </c>
      <c r="R234" s="1026">
        <v>0.1</v>
      </c>
      <c r="S234" s="538"/>
      <c r="T234" s="538"/>
      <c r="U234" s="28"/>
      <c r="V234" s="857">
        <v>7313</v>
      </c>
      <c r="W234" s="440"/>
      <c r="X234" s="551">
        <v>3055025.4</v>
      </c>
      <c r="Y234" s="551"/>
      <c r="Z234" s="551">
        <v>51682.62</v>
      </c>
      <c r="AA234" s="551">
        <f>X234+Z234</f>
        <v>3106708.02</v>
      </c>
      <c r="AB234" s="341"/>
      <c r="AC234" s="568" t="s">
        <v>116</v>
      </c>
      <c r="AD234" s="1157"/>
      <c r="AE234" s="579"/>
      <c r="AF234" s="579"/>
      <c r="AG234" s="579"/>
      <c r="AH234" s="553"/>
      <c r="AI234" s="1036"/>
      <c r="AJ234" s="1037"/>
      <c r="AK234" s="1037"/>
      <c r="AL234" s="1038"/>
      <c r="AM234" s="1522" t="s">
        <v>116</v>
      </c>
      <c r="AN234" s="1523">
        <v>44314</v>
      </c>
      <c r="AO234" s="1524">
        <v>188613</v>
      </c>
      <c r="AP234" s="1525">
        <v>3100563.19</v>
      </c>
      <c r="AQ234" s="1525"/>
      <c r="AR234" s="1525">
        <v>47760.57</v>
      </c>
      <c r="AS234" s="1525">
        <f>IF(Table15[[#This Row],[PCTS Approved]]="N",0,Table15[[#This Row],[Investment Amount (1'#'#'#'#'#)]]+Table15[[#This Row],[Retirement Amount (3'#'#'#'#'#)]])</f>
        <v>3148323.76</v>
      </c>
      <c r="AT234" s="1525">
        <f>IF(Table15[[#This Row],[Approved Construction Cost]]=0,0,Table15[[#This Row],[Approved Construction Cost]]-Table15[[#This Row],[Construction Cost to Bill From]])</f>
        <v>41615.739999999758</v>
      </c>
      <c r="AU234" s="1525">
        <f>Table15[[#This Row],[Difference in Construction Cost]]*Table15[[#This Row],[Rate]]</f>
        <v>4161.573999999976</v>
      </c>
      <c r="AV234" s="1525">
        <v>2850</v>
      </c>
      <c r="AW234" s="1526" t="s">
        <v>2951</v>
      </c>
      <c r="AX234" s="1525">
        <v>4161.573999999976</v>
      </c>
      <c r="AY234" s="1518">
        <v>44501</v>
      </c>
      <c r="AZ234" s="333"/>
      <c r="BA234" s="1031" t="s">
        <v>2952</v>
      </c>
      <c r="BB234" s="644" t="s">
        <v>2953</v>
      </c>
      <c r="BC234" s="544" t="s">
        <v>116</v>
      </c>
      <c r="BD234" s="544" t="s">
        <v>709</v>
      </c>
      <c r="BE234" s="544" t="s">
        <v>2954</v>
      </c>
      <c r="BF234" s="544" t="s">
        <v>709</v>
      </c>
      <c r="BG234" s="544" t="s">
        <v>709</v>
      </c>
      <c r="BH234" s="741"/>
      <c r="BI234" s="547" t="s">
        <v>709</v>
      </c>
      <c r="BJ234" s="547" t="s">
        <v>709</v>
      </c>
      <c r="BK234" s="547" t="s">
        <v>709</v>
      </c>
      <c r="BL234" s="547" t="s">
        <v>116</v>
      </c>
      <c r="BM234" s="547" t="s">
        <v>709</v>
      </c>
      <c r="BN234" s="547" t="s">
        <v>709</v>
      </c>
      <c r="BO234" s="547" t="s">
        <v>709</v>
      </c>
      <c r="BP234" s="547">
        <v>328</v>
      </c>
      <c r="BQ234" s="547">
        <v>1665</v>
      </c>
      <c r="BR234" s="547">
        <v>3372</v>
      </c>
      <c r="BS234" s="547">
        <v>1858</v>
      </c>
      <c r="BT234" s="547">
        <v>1</v>
      </c>
      <c r="BU234" s="547" t="s">
        <v>709</v>
      </c>
      <c r="BV234" s="547" t="s">
        <v>709</v>
      </c>
      <c r="BW234" s="547" t="s">
        <v>709</v>
      </c>
      <c r="BX234" s="547">
        <v>1</v>
      </c>
      <c r="BY234" s="547" t="s">
        <v>709</v>
      </c>
      <c r="BZ234" s="547" t="s">
        <v>709</v>
      </c>
      <c r="CA234" s="483"/>
      <c r="CB234" s="547">
        <v>232</v>
      </c>
      <c r="CC234" s="1481" t="b">
        <v>1</v>
      </c>
      <c r="CD234" t="str">
        <f>Table15[[#This Row],[Engineering Number]]&amp;Table15[[#This Row],[WO Number]]&amp;Table15[[#This Row],[Date Assigned to Designer]]&amp;Table15[[#This Row],[Date Completed]]</f>
        <v>M116121205364409044214</v>
      </c>
    </row>
    <row r="235" spans="1:82" customFormat="1" ht="15" customHeight="1" x14ac:dyDescent="0.25">
      <c r="A235">
        <v>2021</v>
      </c>
      <c r="B235" s="8" t="s">
        <v>4</v>
      </c>
      <c r="C235" s="8" t="s">
        <v>159</v>
      </c>
      <c r="D235" s="8" t="s">
        <v>2868</v>
      </c>
      <c r="E235" s="8" t="s">
        <v>2032</v>
      </c>
      <c r="F235" s="8" t="s">
        <v>738</v>
      </c>
      <c r="G235" s="8" t="s">
        <v>2814</v>
      </c>
      <c r="H235" s="8" t="s">
        <v>2051</v>
      </c>
      <c r="I235" s="642">
        <v>44110</v>
      </c>
      <c r="J235" s="18" t="s">
        <v>2052</v>
      </c>
      <c r="K235" s="642">
        <v>44214</v>
      </c>
      <c r="L235" s="16">
        <f>IF(ISTEXT(Table15[[#This Row],[Engineering Approved Design Date]]),Table15[[#This Row],[Date Completed]]-Table15[[#This Row],[Date Assigned to Designer]],Table15[[#This Row],[Engineering Approved Design Date]]-Table15[[#This Row],[Date Completed]])</f>
        <v>104</v>
      </c>
      <c r="M235" s="642" t="s">
        <v>2956</v>
      </c>
      <c r="N235" s="642" t="s">
        <v>120</v>
      </c>
      <c r="O235" s="1025">
        <v>44228</v>
      </c>
      <c r="P235" s="21" t="s">
        <v>739</v>
      </c>
      <c r="Q235" s="340">
        <f>Table15[[#This Row],[KH Hourly Effort]]</f>
        <v>7292.5</v>
      </c>
      <c r="R235" s="1026" t="s">
        <v>1922</v>
      </c>
      <c r="S235" s="538" t="s">
        <v>709</v>
      </c>
      <c r="T235" s="538" t="s">
        <v>709</v>
      </c>
      <c r="U235" s="28">
        <v>7292.5</v>
      </c>
      <c r="V235" s="857">
        <v>2574</v>
      </c>
      <c r="W235" s="440"/>
      <c r="X235" s="551"/>
      <c r="Y235" s="551"/>
      <c r="Z235" s="551"/>
      <c r="AA235" s="551"/>
      <c r="AB235" s="341"/>
      <c r="AC235" s="568"/>
      <c r="AD235" s="1157"/>
      <c r="AE235" s="579"/>
      <c r="AF235" s="579"/>
      <c r="AG235" s="579"/>
      <c r="AH235" s="553"/>
      <c r="AI235" s="1036"/>
      <c r="AJ235" s="1037"/>
      <c r="AK235" s="1037"/>
      <c r="AL235" s="1038"/>
      <c r="AM235" s="542" t="s">
        <v>709</v>
      </c>
      <c r="AN235" s="924"/>
      <c r="AO235" s="925"/>
      <c r="AP235" s="926"/>
      <c r="AQ235" s="926"/>
      <c r="AR235" s="926"/>
      <c r="AS235" s="926"/>
      <c r="AT235" s="926"/>
      <c r="AU235" s="926"/>
      <c r="AV235" s="926"/>
      <c r="AW235" s="927"/>
      <c r="AX235" s="926"/>
      <c r="AY235" s="1538" t="s">
        <v>29</v>
      </c>
      <c r="AZ235" s="1530"/>
      <c r="BA235" s="1031">
        <v>4</v>
      </c>
      <c r="BB235" s="644"/>
      <c r="BC235" s="544"/>
      <c r="BD235" s="544"/>
      <c r="BE235" s="544"/>
      <c r="BF235" s="544"/>
      <c r="BG235" s="544"/>
      <c r="BH235" s="741"/>
      <c r="BI235" s="547" t="s">
        <v>709</v>
      </c>
      <c r="BJ235" s="547" t="s">
        <v>709</v>
      </c>
      <c r="BK235" s="547" t="s">
        <v>709</v>
      </c>
      <c r="BL235" s="547" t="s">
        <v>116</v>
      </c>
      <c r="BM235" s="547" t="s">
        <v>709</v>
      </c>
      <c r="BN235" s="547" t="s">
        <v>709</v>
      </c>
      <c r="BO235" s="547" t="s">
        <v>709</v>
      </c>
      <c r="BP235" s="547">
        <v>2574</v>
      </c>
      <c r="BQ235" s="547" t="s">
        <v>709</v>
      </c>
      <c r="BR235" s="547" t="s">
        <v>709</v>
      </c>
      <c r="BS235" s="547" t="s">
        <v>709</v>
      </c>
      <c r="BT235" s="547" t="s">
        <v>745</v>
      </c>
      <c r="BU235" s="547" t="s">
        <v>709</v>
      </c>
      <c r="BV235" s="547" t="s">
        <v>745</v>
      </c>
      <c r="BW235" s="547" t="s">
        <v>709</v>
      </c>
      <c r="BX235" s="547" t="s">
        <v>745</v>
      </c>
      <c r="BY235" s="547" t="s">
        <v>745</v>
      </c>
      <c r="BZ235" s="547" t="s">
        <v>709</v>
      </c>
      <c r="CA235" s="483"/>
      <c r="CB235" s="547">
        <v>233</v>
      </c>
      <c r="CC235" s="1481" t="b">
        <v>1</v>
      </c>
      <c r="CD235" t="str">
        <f>Table15[[#This Row],[Engineering Number]]&amp;Table15[[#This Row],[WO Number]]&amp;Table15[[#This Row],[Date Assigned to Designer]]&amp;Table15[[#This Row],[Date Completed]]</f>
        <v>SC177861357084411044214</v>
      </c>
    </row>
    <row r="236" spans="1:82" customFormat="1" ht="15" customHeight="1" x14ac:dyDescent="0.25">
      <c r="A236">
        <v>2021</v>
      </c>
      <c r="B236" s="8" t="s">
        <v>4</v>
      </c>
      <c r="C236" s="8" t="s">
        <v>1152</v>
      </c>
      <c r="D236" s="656" t="s">
        <v>1153</v>
      </c>
      <c r="E236" s="8" t="s">
        <v>1154</v>
      </c>
      <c r="F236" s="8" t="s">
        <v>919</v>
      </c>
      <c r="G236" s="8" t="s">
        <v>40</v>
      </c>
      <c r="H236" s="8" t="s">
        <v>59</v>
      </c>
      <c r="I236" s="642">
        <v>44166</v>
      </c>
      <c r="J236" s="18">
        <v>44217</v>
      </c>
      <c r="K236" s="642">
        <v>44217</v>
      </c>
      <c r="L236" s="16">
        <f>IF(ISTEXT(Table15[[#This Row],[Engineering Approved Design Date]]),Table15[[#This Row],[Date Completed]]-Table15[[#This Row],[Date Assigned to Designer]],Table15[[#This Row],[Engineering Approved Design Date]]-Table15[[#This Row],[Date Completed]])</f>
        <v>0</v>
      </c>
      <c r="M236" s="642"/>
      <c r="N236" s="642" t="s">
        <v>120</v>
      </c>
      <c r="O236" s="1025">
        <v>44214</v>
      </c>
      <c r="P236" s="21" t="s">
        <v>739</v>
      </c>
      <c r="Q236" s="340">
        <f>R236*AA236</f>
        <v>26108.262999999999</v>
      </c>
      <c r="R236" s="1026">
        <v>0.1</v>
      </c>
      <c r="S236" s="538"/>
      <c r="T236" s="538"/>
      <c r="U236" s="28"/>
      <c r="V236" s="857">
        <v>407</v>
      </c>
      <c r="W236" s="440"/>
      <c r="X236" s="551">
        <v>253431.11</v>
      </c>
      <c r="Y236" s="551"/>
      <c r="Z236" s="551">
        <v>7651.52</v>
      </c>
      <c r="AA236" s="551">
        <f>X236+Z236</f>
        <v>261082.62999999998</v>
      </c>
      <c r="AB236" s="341"/>
      <c r="AC236" s="568" t="s">
        <v>709</v>
      </c>
      <c r="AD236" s="1157"/>
      <c r="AE236" s="579"/>
      <c r="AF236" s="579"/>
      <c r="AG236" s="579"/>
      <c r="AH236" s="553"/>
      <c r="AI236" s="1036"/>
      <c r="AJ236" s="1037"/>
      <c r="AK236" s="1037"/>
      <c r="AL236" s="1038"/>
      <c r="AM236" s="536" t="s">
        <v>116</v>
      </c>
      <c r="AN236" s="903" t="s">
        <v>709</v>
      </c>
      <c r="AO236" s="1536" t="s">
        <v>115</v>
      </c>
      <c r="AP236" s="1537"/>
      <c r="AQ236" s="1537"/>
      <c r="AR236" s="1537"/>
      <c r="AS236" s="888">
        <f>IF(Table15[[#This Row],[PCTS Approved]]="N",0,Table15[[#This Row],[Investment Amount (1'#'#'#'#'#)]]+Table15[[#This Row],[Retirement Amount (3'#'#'#'#'#)]])</f>
        <v>0</v>
      </c>
      <c r="AT236" s="888">
        <f>IF(Table15[[#This Row],[Approved Construction Cost]]=0,0,Table15[[#This Row],[Approved Construction Cost]]-Table15[[#This Row],[Construction Cost to Bill From]])</f>
        <v>0</v>
      </c>
      <c r="AU236" s="888">
        <f>IFERROR(Table15[[#This Row],[Difference in Construction Cost]]*Table15[[#This Row],[Rate]],Table15[[#This Row],[Difference in Construction Cost]]*0.085)</f>
        <v>0</v>
      </c>
      <c r="AV236" s="905"/>
      <c r="AW236" s="1509"/>
      <c r="AX236" s="888"/>
      <c r="AY236" s="636" t="s">
        <v>709</v>
      </c>
      <c r="AZ236" s="333">
        <v>56</v>
      </c>
      <c r="BA236" s="859" t="s">
        <v>1155</v>
      </c>
      <c r="BB236" s="644" t="s">
        <v>1156</v>
      </c>
      <c r="BC236" s="544" t="s">
        <v>709</v>
      </c>
      <c r="BD236" s="544" t="s">
        <v>709</v>
      </c>
      <c r="BE236" s="544" t="s">
        <v>709</v>
      </c>
      <c r="BF236" s="544" t="s">
        <v>1157</v>
      </c>
      <c r="BG236" s="544" t="s">
        <v>709</v>
      </c>
      <c r="BH236" s="741"/>
      <c r="BI236" s="547" t="s">
        <v>709</v>
      </c>
      <c r="BJ236" s="547" t="s">
        <v>709</v>
      </c>
      <c r="BK236" s="547" t="s">
        <v>709</v>
      </c>
      <c r="BL236" s="547" t="s">
        <v>116</v>
      </c>
      <c r="BM236" s="547" t="s">
        <v>709</v>
      </c>
      <c r="BN236" s="547" t="s">
        <v>709</v>
      </c>
      <c r="BO236" s="547" t="s">
        <v>709</v>
      </c>
      <c r="BP236" s="547" t="s">
        <v>709</v>
      </c>
      <c r="BQ236" s="547" t="s">
        <v>709</v>
      </c>
      <c r="BR236" s="547" t="s">
        <v>709</v>
      </c>
      <c r="BS236" s="547">
        <v>407</v>
      </c>
      <c r="BT236" s="547" t="s">
        <v>745</v>
      </c>
      <c r="BU236" s="547" t="s">
        <v>709</v>
      </c>
      <c r="BV236" s="547" t="s">
        <v>745</v>
      </c>
      <c r="BW236" s="547" t="s">
        <v>709</v>
      </c>
      <c r="BX236" s="547" t="s">
        <v>745</v>
      </c>
      <c r="BY236" s="547" t="s">
        <v>745</v>
      </c>
      <c r="BZ236" s="547" t="s">
        <v>709</v>
      </c>
      <c r="CA236" s="483"/>
      <c r="CB236" s="547">
        <v>234</v>
      </c>
      <c r="CC236" s="1481" t="b">
        <v>1</v>
      </c>
      <c r="CD236" t="str">
        <f>Table15[[#This Row],[Engineering Number]]&amp;Table15[[#This Row],[WO Number]]&amp;Table15[[#This Row],[Date Assigned to Designer]]&amp;Table15[[#This Row],[Date Completed]]</f>
        <v>SC184631408524416644217</v>
      </c>
    </row>
    <row r="237" spans="1:82" customFormat="1" ht="15" customHeight="1" x14ac:dyDescent="0.25">
      <c r="A237">
        <v>2021</v>
      </c>
      <c r="B237" s="8" t="s">
        <v>769</v>
      </c>
      <c r="C237" s="8" t="s">
        <v>2962</v>
      </c>
      <c r="D237" s="656" t="s">
        <v>2928</v>
      </c>
      <c r="E237" s="8" t="s">
        <v>61</v>
      </c>
      <c r="F237" s="8" t="s">
        <v>738</v>
      </c>
      <c r="G237" s="8" t="s">
        <v>36</v>
      </c>
      <c r="H237" s="8" t="s">
        <v>59</v>
      </c>
      <c r="I237" s="642">
        <v>44068</v>
      </c>
      <c r="J237" s="18">
        <v>44229</v>
      </c>
      <c r="K237" s="642">
        <v>44217</v>
      </c>
      <c r="L237" s="16">
        <f>IF(ISTEXT(Table15[[#This Row],[Engineering Approved Design Date]]),Table15[[#This Row],[Date Completed]]-Table15[[#This Row],[Date Assigned to Designer]],Table15[[#This Row],[Engineering Approved Design Date]]-Table15[[#This Row],[Date Completed]])</f>
        <v>12</v>
      </c>
      <c r="M237" s="642"/>
      <c r="N237" s="642" t="s">
        <v>120</v>
      </c>
      <c r="O237" s="1025">
        <v>44228</v>
      </c>
      <c r="P237" s="21" t="s">
        <v>739</v>
      </c>
      <c r="Q237" s="340">
        <f>(Table15[[#This Row],[Construction Cost to Bill From]]*0.085)+5250</f>
        <v>33388.940600000002</v>
      </c>
      <c r="R237" s="1026" t="s">
        <v>794</v>
      </c>
      <c r="S237" s="538" t="s">
        <v>709</v>
      </c>
      <c r="T237" s="538" t="s">
        <v>709</v>
      </c>
      <c r="U237" s="28" t="s">
        <v>709</v>
      </c>
      <c r="V237" s="857">
        <v>1836</v>
      </c>
      <c r="W237" s="440"/>
      <c r="X237" s="551">
        <v>279121.21999999997</v>
      </c>
      <c r="Y237" s="551"/>
      <c r="Z237" s="551">
        <v>51925.14</v>
      </c>
      <c r="AA237" s="551">
        <f>X237+Z237</f>
        <v>331046.36</v>
      </c>
      <c r="AB237" s="341"/>
      <c r="AC237" s="568" t="s">
        <v>709</v>
      </c>
      <c r="AD237" s="1157"/>
      <c r="AE237" s="579"/>
      <c r="AF237" s="579"/>
      <c r="AG237" s="579"/>
      <c r="AH237" s="553"/>
      <c r="AI237" s="1036"/>
      <c r="AJ237" s="1037"/>
      <c r="AK237" s="1037"/>
      <c r="AL237" s="1038"/>
      <c r="AM237" s="1522" t="s">
        <v>116</v>
      </c>
      <c r="AN237" s="1523">
        <v>44277</v>
      </c>
      <c r="AO237" s="1524">
        <v>188801</v>
      </c>
      <c r="AP237" s="1525">
        <v>289535.33</v>
      </c>
      <c r="AQ237" s="1525"/>
      <c r="AR237" s="1525">
        <v>50691.18</v>
      </c>
      <c r="AS237" s="1525">
        <f>IF(Table15[[#This Row],[PCTS Approved]]="N",0,Table15[[#This Row],[Investment Amount (1'#'#'#'#'#)]]+Table15[[#This Row],[Retirement Amount (3'#'#'#'#'#)]])</f>
        <v>340226.51</v>
      </c>
      <c r="AT237" s="1525">
        <f>IF(Table15[[#This Row],[Approved Construction Cost]]=0,0,Table15[[#This Row],[Approved Construction Cost]]-Table15[[#This Row],[Construction Cost to Bill From]])</f>
        <v>9180.1500000000233</v>
      </c>
      <c r="AU237" s="1525">
        <f>(Table15[[#This Row],[Difference in Construction Cost]]*0.085)</f>
        <v>780.31275000000198</v>
      </c>
      <c r="AV237" s="1525" t="s">
        <v>709</v>
      </c>
      <c r="AW237" s="1526" t="s">
        <v>2909</v>
      </c>
      <c r="AX237" s="1525">
        <v>780.31275000000198</v>
      </c>
      <c r="AY237" s="1518">
        <v>44501</v>
      </c>
      <c r="AZ237" s="1532"/>
      <c r="BA237" s="1031" t="s">
        <v>2963</v>
      </c>
      <c r="BB237" s="644" t="s">
        <v>2964</v>
      </c>
      <c r="BC237" s="544" t="s">
        <v>709</v>
      </c>
      <c r="BD237" s="544" t="s">
        <v>709</v>
      </c>
      <c r="BE237" s="544" t="s">
        <v>2965</v>
      </c>
      <c r="BF237" s="544" t="s">
        <v>709</v>
      </c>
      <c r="BG237" s="544" t="s">
        <v>709</v>
      </c>
      <c r="BH237" s="741"/>
      <c r="BI237" s="547" t="s">
        <v>709</v>
      </c>
      <c r="BJ237" s="547" t="s">
        <v>709</v>
      </c>
      <c r="BK237" s="547" t="s">
        <v>709</v>
      </c>
      <c r="BL237" s="547" t="s">
        <v>116</v>
      </c>
      <c r="BM237" s="547" t="s">
        <v>709</v>
      </c>
      <c r="BN237" s="547" t="s">
        <v>709</v>
      </c>
      <c r="BO237" s="547" t="s">
        <v>709</v>
      </c>
      <c r="BP237" s="547" t="s">
        <v>709</v>
      </c>
      <c r="BQ237" s="547" t="s">
        <v>709</v>
      </c>
      <c r="BR237" s="547">
        <v>1701</v>
      </c>
      <c r="BS237" s="547">
        <v>135</v>
      </c>
      <c r="BT237" s="547" t="s">
        <v>709</v>
      </c>
      <c r="BU237" s="547" t="s">
        <v>709</v>
      </c>
      <c r="BV237" s="547" t="s">
        <v>709</v>
      </c>
      <c r="BW237" s="547" t="s">
        <v>709</v>
      </c>
      <c r="BX237" s="547" t="s">
        <v>709</v>
      </c>
      <c r="BY237" s="547" t="s">
        <v>709</v>
      </c>
      <c r="BZ237" s="547" t="s">
        <v>709</v>
      </c>
      <c r="CA237" s="483" t="s">
        <v>769</v>
      </c>
      <c r="CB237" s="547">
        <v>236</v>
      </c>
      <c r="CC237" s="1481" t="b">
        <v>1</v>
      </c>
      <c r="CD237" t="str">
        <f>Table15[[#This Row],[Engineering Number]]&amp;Table15[[#This Row],[WO Number]]&amp;Table15[[#This Row],[Date Assigned to Designer]]&amp;Table15[[#This Row],[Date Completed]]</f>
        <v>RS6571021264406844217</v>
      </c>
    </row>
    <row r="238" spans="1:82" customFormat="1" ht="15" customHeight="1" x14ac:dyDescent="0.25">
      <c r="A238">
        <v>2021</v>
      </c>
      <c r="B238" s="8" t="s">
        <v>4</v>
      </c>
      <c r="C238" s="8" t="s">
        <v>2912</v>
      </c>
      <c r="D238" s="8" t="s">
        <v>2967</v>
      </c>
      <c r="E238" s="8" t="s">
        <v>1032</v>
      </c>
      <c r="F238" s="8" t="s">
        <v>919</v>
      </c>
      <c r="G238" s="8" t="s">
        <v>2814</v>
      </c>
      <c r="H238" s="8" t="s">
        <v>2051</v>
      </c>
      <c r="I238" s="642">
        <v>44140</v>
      </c>
      <c r="J238" s="18" t="s">
        <v>2052</v>
      </c>
      <c r="K238" s="642">
        <v>44217</v>
      </c>
      <c r="L238" s="16">
        <f>IF(ISTEXT(Table15[[#This Row],[Engineering Approved Design Date]]),Table15[[#This Row],[Date Completed]]-Table15[[#This Row],[Date Assigned to Designer]],Table15[[#This Row],[Engineering Approved Design Date]]-Table15[[#This Row],[Date Completed]])</f>
        <v>77</v>
      </c>
      <c r="M238" s="642" t="s">
        <v>2968</v>
      </c>
      <c r="N238" s="642" t="s">
        <v>120</v>
      </c>
      <c r="O238" s="1025">
        <v>44228</v>
      </c>
      <c r="P238" s="21" t="s">
        <v>739</v>
      </c>
      <c r="Q238" s="340">
        <f>Table15[[#This Row],[KH Hourly Effort]]</f>
        <v>2590</v>
      </c>
      <c r="R238" s="1026" t="s">
        <v>1922</v>
      </c>
      <c r="S238" s="538" t="s">
        <v>709</v>
      </c>
      <c r="T238" s="538" t="s">
        <v>709</v>
      </c>
      <c r="U238" s="28">
        <v>2590</v>
      </c>
      <c r="V238" s="857"/>
      <c r="W238" s="440"/>
      <c r="X238" s="551"/>
      <c r="Y238" s="551"/>
      <c r="Z238" s="551"/>
      <c r="AA238" s="551"/>
      <c r="AB238" s="341"/>
      <c r="AC238" s="568"/>
      <c r="AD238" s="1157"/>
      <c r="AE238" s="579"/>
      <c r="AF238" s="579"/>
      <c r="AG238" s="579"/>
      <c r="AH238" s="553"/>
      <c r="AI238" s="1036"/>
      <c r="AJ238" s="1037"/>
      <c r="AK238" s="1037"/>
      <c r="AL238" s="1038"/>
      <c r="AM238" s="542" t="s">
        <v>709</v>
      </c>
      <c r="AN238" s="924"/>
      <c r="AO238" s="925"/>
      <c r="AP238" s="926"/>
      <c r="AQ238" s="926"/>
      <c r="AR238" s="926"/>
      <c r="AS238" s="926"/>
      <c r="AT238" s="926"/>
      <c r="AU238" s="926"/>
      <c r="AV238" s="926"/>
      <c r="AW238" s="927"/>
      <c r="AX238" s="926"/>
      <c r="AY238" s="1538" t="s">
        <v>29</v>
      </c>
      <c r="AZ238" s="1530"/>
      <c r="BA238" s="1031">
        <v>4</v>
      </c>
      <c r="BB238" s="644"/>
      <c r="BC238" s="544"/>
      <c r="BD238" s="544"/>
      <c r="BE238" s="544"/>
      <c r="BF238" s="544"/>
      <c r="BG238" s="544"/>
      <c r="BH238" s="741"/>
      <c r="BI238" s="547" t="s">
        <v>709</v>
      </c>
      <c r="BJ238" s="547" t="s">
        <v>709</v>
      </c>
      <c r="BK238" s="547" t="s">
        <v>709</v>
      </c>
      <c r="BL238" s="547" t="s">
        <v>116</v>
      </c>
      <c r="BM238" s="547" t="s">
        <v>709</v>
      </c>
      <c r="BN238" s="547" t="s">
        <v>709</v>
      </c>
      <c r="BO238" s="547" t="s">
        <v>709</v>
      </c>
      <c r="BP238" s="547" t="s">
        <v>709</v>
      </c>
      <c r="BQ238" s="547" t="s">
        <v>709</v>
      </c>
      <c r="BR238" s="547" t="s">
        <v>709</v>
      </c>
      <c r="BS238" s="547">
        <v>868</v>
      </c>
      <c r="BT238" s="547" t="s">
        <v>745</v>
      </c>
      <c r="BU238" s="547" t="s">
        <v>709</v>
      </c>
      <c r="BV238" s="547" t="s">
        <v>745</v>
      </c>
      <c r="BW238" s="547" t="s">
        <v>709</v>
      </c>
      <c r="BX238" s="547" t="s">
        <v>745</v>
      </c>
      <c r="BY238" s="547" t="s">
        <v>745</v>
      </c>
      <c r="BZ238" s="547" t="s">
        <v>709</v>
      </c>
      <c r="CA238" s="483"/>
      <c r="CB238" s="547">
        <v>235</v>
      </c>
      <c r="CC238" s="1481" t="b">
        <v>1</v>
      </c>
      <c r="CD238" t="str">
        <f>Table15[[#This Row],[Engineering Number]]&amp;Table15[[#This Row],[WO Number]]&amp;Table15[[#This Row],[Date Assigned to Designer]]&amp;Table15[[#This Row],[Date Completed]]</f>
        <v>SC17753140838 / 1408474414044217</v>
      </c>
    </row>
    <row r="239" spans="1:82" customFormat="1" ht="15" customHeight="1" x14ac:dyDescent="0.25">
      <c r="A239">
        <v>2020</v>
      </c>
      <c r="B239" s="8" t="s">
        <v>4</v>
      </c>
      <c r="C239" s="8" t="s">
        <v>2877</v>
      </c>
      <c r="D239" s="8" t="s">
        <v>2878</v>
      </c>
      <c r="E239" s="8" t="s">
        <v>2375</v>
      </c>
      <c r="F239" s="8" t="s">
        <v>738</v>
      </c>
      <c r="G239" s="8" t="s">
        <v>36</v>
      </c>
      <c r="H239" s="8" t="s">
        <v>2051</v>
      </c>
      <c r="I239" s="642">
        <v>44147</v>
      </c>
      <c r="J239" s="18" t="s">
        <v>2958</v>
      </c>
      <c r="K239" s="642">
        <v>44217</v>
      </c>
      <c r="L239" s="16">
        <f>IF(ISTEXT(Table15[[#This Row],[Engineering Approved Design Date]]),Table15[[#This Row],[Date Completed]]-Table15[[#This Row],[Date Assigned to Designer]],Table15[[#This Row],[Engineering Approved Design Date]]-Table15[[#This Row],[Date Completed]])</f>
        <v>70</v>
      </c>
      <c r="M239" s="642"/>
      <c r="N239" s="99" t="s">
        <v>120</v>
      </c>
      <c r="O239" s="1025">
        <v>44228</v>
      </c>
      <c r="P239" s="21" t="s">
        <v>739</v>
      </c>
      <c r="Q239" s="340">
        <f>R239*AA239</f>
        <v>2560.8890000000001</v>
      </c>
      <c r="R239" s="1026">
        <v>0.1</v>
      </c>
      <c r="S239" s="538">
        <v>284</v>
      </c>
      <c r="T239" s="538" t="s">
        <v>709</v>
      </c>
      <c r="U239" s="28">
        <v>5955</v>
      </c>
      <c r="V239" s="858">
        <v>0</v>
      </c>
      <c r="W239" s="437"/>
      <c r="X239" s="538">
        <v>0</v>
      </c>
      <c r="Y239" s="550"/>
      <c r="Z239" s="538">
        <v>25608.89</v>
      </c>
      <c r="AA239" s="551">
        <f>X239+Z239</f>
        <v>25608.89</v>
      </c>
      <c r="AB239" s="341"/>
      <c r="AC239" s="568" t="s">
        <v>709</v>
      </c>
      <c r="AD239" s="1157"/>
      <c r="AE239" s="579" t="s">
        <v>29</v>
      </c>
      <c r="AF239" s="579" t="s">
        <v>29</v>
      </c>
      <c r="AG239" s="579" t="s">
        <v>29</v>
      </c>
      <c r="AH239" s="553" t="s">
        <v>29</v>
      </c>
      <c r="AI239" s="1036"/>
      <c r="AJ239" s="1037"/>
      <c r="AK239" s="1037"/>
      <c r="AL239" s="1038"/>
      <c r="AM239" s="542" t="s">
        <v>709</v>
      </c>
      <c r="AN239" s="924"/>
      <c r="AO239" s="925"/>
      <c r="AP239" s="926"/>
      <c r="AQ239" s="926"/>
      <c r="AR239" s="926"/>
      <c r="AS239" s="926"/>
      <c r="AT239" s="926"/>
      <c r="AU239" s="926"/>
      <c r="AV239" s="926"/>
      <c r="AW239" s="927"/>
      <c r="AX239" s="926"/>
      <c r="AY239" s="1538" t="s">
        <v>29</v>
      </c>
      <c r="AZ239" s="1530"/>
      <c r="BA239" s="1031" t="s">
        <v>2879</v>
      </c>
      <c r="BB239" s="644"/>
      <c r="BC239" s="544"/>
      <c r="BD239" s="544"/>
      <c r="BE239" s="544"/>
      <c r="BF239" s="544"/>
      <c r="BG239" s="544"/>
      <c r="BH239" s="741"/>
      <c r="BI239" s="547" t="s">
        <v>709</v>
      </c>
      <c r="BJ239" s="547" t="s">
        <v>709</v>
      </c>
      <c r="BK239" s="547" t="s">
        <v>709</v>
      </c>
      <c r="BL239" s="547" t="s">
        <v>709</v>
      </c>
      <c r="BM239" s="547" t="s">
        <v>709</v>
      </c>
      <c r="BN239" s="547" t="s">
        <v>709</v>
      </c>
      <c r="BO239" s="547" t="s">
        <v>709</v>
      </c>
      <c r="BP239" s="547" t="s">
        <v>709</v>
      </c>
      <c r="BQ239" s="547" t="s">
        <v>709</v>
      </c>
      <c r="BR239" s="547" t="s">
        <v>709</v>
      </c>
      <c r="BS239" s="547" t="s">
        <v>709</v>
      </c>
      <c r="BT239" s="547" t="s">
        <v>745</v>
      </c>
      <c r="BU239" s="547" t="s">
        <v>709</v>
      </c>
      <c r="BV239" s="547" t="s">
        <v>745</v>
      </c>
      <c r="BW239" s="547" t="s">
        <v>709</v>
      </c>
      <c r="BX239" s="547" t="s">
        <v>745</v>
      </c>
      <c r="BY239" s="547" t="s">
        <v>709</v>
      </c>
      <c r="BZ239" s="547" t="s">
        <v>709</v>
      </c>
      <c r="CA239" s="483" t="s">
        <v>1146</v>
      </c>
      <c r="CB239" s="547">
        <v>238</v>
      </c>
      <c r="CC239" s="1481" t="b">
        <v>1</v>
      </c>
      <c r="CD239" t="str">
        <f>Table15[[#This Row],[Engineering Number]]&amp;Table15[[#This Row],[WO Number]]&amp;Table15[[#This Row],[Date Assigned to Designer]]&amp;Table15[[#This Row],[Date Completed]]</f>
        <v>NBA19417293293134414744217</v>
      </c>
    </row>
    <row r="240" spans="1:82" customFormat="1" ht="15" customHeight="1" x14ac:dyDescent="0.25">
      <c r="A240">
        <v>2020</v>
      </c>
      <c r="B240" s="8" t="s">
        <v>4</v>
      </c>
      <c r="C240" s="8" t="s">
        <v>187</v>
      </c>
      <c r="D240" s="8" t="s">
        <v>2798</v>
      </c>
      <c r="E240" s="8" t="s">
        <v>1164</v>
      </c>
      <c r="F240" s="8" t="s">
        <v>738</v>
      </c>
      <c r="G240" s="8" t="s">
        <v>40</v>
      </c>
      <c r="H240" s="8" t="s">
        <v>2051</v>
      </c>
      <c r="I240" s="642">
        <v>43742</v>
      </c>
      <c r="J240" s="18" t="s">
        <v>2052</v>
      </c>
      <c r="K240" s="642">
        <v>44217</v>
      </c>
      <c r="L240" s="16">
        <f>IF(ISTEXT(Table15[[#This Row],[Engineering Approved Design Date]]),Table15[[#This Row],[Date Completed]]-Table15[[#This Row],[Date Assigned to Designer]],Table15[[#This Row],[Engineering Approved Design Date]]-Table15[[#This Row],[Date Completed]])</f>
        <v>475</v>
      </c>
      <c r="M240" s="642" t="s">
        <v>2960</v>
      </c>
      <c r="N240" s="642" t="s">
        <v>120</v>
      </c>
      <c r="O240" s="1025">
        <v>44228</v>
      </c>
      <c r="P240" s="21" t="s">
        <v>120</v>
      </c>
      <c r="Q240" s="340">
        <f>Table15[[#This Row],[KH Hourly Effort]]</f>
        <v>4942.5</v>
      </c>
      <c r="R240" s="1026" t="s">
        <v>1922</v>
      </c>
      <c r="S240" s="538" t="s">
        <v>709</v>
      </c>
      <c r="T240" s="538" t="s">
        <v>709</v>
      </c>
      <c r="U240" s="28">
        <v>4942.5</v>
      </c>
      <c r="V240" s="858"/>
      <c r="W240" s="437"/>
      <c r="X240" s="538"/>
      <c r="Y240" s="550"/>
      <c r="Z240" s="538"/>
      <c r="AA240" s="551"/>
      <c r="AB240" s="341"/>
      <c r="AC240" s="568"/>
      <c r="AD240" s="1157"/>
      <c r="AE240" s="579"/>
      <c r="AF240" s="579"/>
      <c r="AG240" s="579"/>
      <c r="AH240" s="553"/>
      <c r="AI240" s="1036"/>
      <c r="AJ240" s="1037"/>
      <c r="AK240" s="1037"/>
      <c r="AL240" s="1038"/>
      <c r="AM240" s="542" t="s">
        <v>709</v>
      </c>
      <c r="AN240" s="924"/>
      <c r="AO240" s="925"/>
      <c r="AP240" s="926"/>
      <c r="AQ240" s="926"/>
      <c r="AR240" s="926"/>
      <c r="AS240" s="926"/>
      <c r="AT240" s="926"/>
      <c r="AU240" s="926"/>
      <c r="AV240" s="926"/>
      <c r="AW240" s="927"/>
      <c r="AX240" s="926"/>
      <c r="AY240" s="1538" t="s">
        <v>29</v>
      </c>
      <c r="AZ240" s="1530"/>
      <c r="BA240" s="1031">
        <v>3</v>
      </c>
      <c r="BB240" s="644"/>
      <c r="BC240" s="544"/>
      <c r="BD240" s="544"/>
      <c r="BE240" s="544"/>
      <c r="BF240" s="544"/>
      <c r="BG240" s="544"/>
      <c r="BH240" s="741"/>
      <c r="BI240" s="547" t="s">
        <v>709</v>
      </c>
      <c r="BJ240" s="547" t="s">
        <v>709</v>
      </c>
      <c r="BK240" s="547" t="s">
        <v>116</v>
      </c>
      <c r="BL240" s="547" t="s">
        <v>709</v>
      </c>
      <c r="BM240" s="547" t="s">
        <v>709</v>
      </c>
      <c r="BN240" s="547">
        <v>1644</v>
      </c>
      <c r="BO240" s="547" t="s">
        <v>709</v>
      </c>
      <c r="BP240" s="547" t="s">
        <v>709</v>
      </c>
      <c r="BQ240" s="547" t="s">
        <v>709</v>
      </c>
      <c r="BR240" s="547" t="s">
        <v>709</v>
      </c>
      <c r="BS240" s="547" t="s">
        <v>709</v>
      </c>
      <c r="BT240" s="547" t="s">
        <v>745</v>
      </c>
      <c r="BU240" s="547" t="s">
        <v>709</v>
      </c>
      <c r="BV240" s="547" t="s">
        <v>745</v>
      </c>
      <c r="BW240" s="547" t="s">
        <v>709</v>
      </c>
      <c r="BX240" s="547" t="s">
        <v>745</v>
      </c>
      <c r="BY240" s="547" t="s">
        <v>745</v>
      </c>
      <c r="BZ240" s="547" t="s">
        <v>709</v>
      </c>
      <c r="CA240" s="483"/>
      <c r="CB240" s="547">
        <v>237</v>
      </c>
      <c r="CC240" s="1481" t="b">
        <v>1</v>
      </c>
      <c r="CD240" t="str">
        <f>Table15[[#This Row],[Engineering Number]]&amp;Table15[[#This Row],[WO Number]]&amp;Table15[[#This Row],[Date Assigned to Designer]]&amp;Table15[[#This Row],[Date Completed]]</f>
        <v>SC167041356834374244217</v>
      </c>
    </row>
    <row r="241" spans="1:82" customFormat="1" ht="15" customHeight="1" x14ac:dyDescent="0.25">
      <c r="A241">
        <v>2021</v>
      </c>
      <c r="B241" s="8" t="s">
        <v>4</v>
      </c>
      <c r="C241" s="8" t="s">
        <v>2983</v>
      </c>
      <c r="D241" s="656" t="s">
        <v>2984</v>
      </c>
      <c r="E241" s="8" t="s">
        <v>232</v>
      </c>
      <c r="F241" s="8" t="s">
        <v>919</v>
      </c>
      <c r="G241" s="8" t="s">
        <v>1882</v>
      </c>
      <c r="H241" s="8" t="s">
        <v>59</v>
      </c>
      <c r="I241" s="642">
        <v>44176</v>
      </c>
      <c r="J241" s="18">
        <v>44225</v>
      </c>
      <c r="K241" s="642">
        <v>44222</v>
      </c>
      <c r="L241" s="16">
        <f>IF(ISTEXT(Table15[[#This Row],[Engineering Approved Design Date]]),Table15[[#This Row],[Date Completed]]-Table15[[#This Row],[Date Assigned to Designer]],Table15[[#This Row],[Engineering Approved Design Date]]-Table15[[#This Row],[Date Completed]])</f>
        <v>3</v>
      </c>
      <c r="M241" s="642"/>
      <c r="N241" s="642" t="s">
        <v>120</v>
      </c>
      <c r="O241" s="1025">
        <v>44228</v>
      </c>
      <c r="P241" s="21" t="s">
        <v>739</v>
      </c>
      <c r="Q241" s="340">
        <f>R241*AA241</f>
        <v>31823.214000000004</v>
      </c>
      <c r="R241" s="1026">
        <v>0.1</v>
      </c>
      <c r="S241" s="538" t="s">
        <v>709</v>
      </c>
      <c r="T241" s="538" t="s">
        <v>709</v>
      </c>
      <c r="U241" s="28" t="s">
        <v>709</v>
      </c>
      <c r="V241" s="857">
        <v>1467</v>
      </c>
      <c r="W241" s="440"/>
      <c r="X241" s="551">
        <v>294972.43</v>
      </c>
      <c r="Y241" s="551"/>
      <c r="Z241" s="551">
        <v>23259.71</v>
      </c>
      <c r="AA241" s="551">
        <f>X241+Z241</f>
        <v>318232.14</v>
      </c>
      <c r="AB241" s="341"/>
      <c r="AC241" s="568" t="s">
        <v>709</v>
      </c>
      <c r="AD241" s="1157"/>
      <c r="AE241" s="579"/>
      <c r="AF241" s="579"/>
      <c r="AG241" s="579"/>
      <c r="AH241" s="553"/>
      <c r="AI241" s="1036"/>
      <c r="AJ241" s="1037"/>
      <c r="AK241" s="1037"/>
      <c r="AL241" s="1038"/>
      <c r="AM241" s="542" t="s">
        <v>116</v>
      </c>
      <c r="AN241" s="1508">
        <v>44263</v>
      </c>
      <c r="AO241" s="925">
        <v>187631</v>
      </c>
      <c r="AP241" s="926">
        <v>295004.64</v>
      </c>
      <c r="AQ241" s="926"/>
      <c r="AR241" s="926">
        <v>23204.71</v>
      </c>
      <c r="AS241" s="926">
        <f>IF(Table15[[#This Row],[PCTS Approved]]="N",0,Table15[[#This Row],[Investment Amount (1'#'#'#'#'#)]]+Table15[[#This Row],[Retirement Amount (3'#'#'#'#'#)]])</f>
        <v>318209.35000000003</v>
      </c>
      <c r="AT241" s="926">
        <f>IF(Table15[[#This Row],[Approved Construction Cost]]=0,0,Table15[[#This Row],[Approved Construction Cost]]-Table15[[#This Row],[Construction Cost to Bill From]])</f>
        <v>-22.789999999979045</v>
      </c>
      <c r="AU241" s="926">
        <f>Table15[[#This Row],[Difference in Construction Cost]]*Table15[[#This Row],[Rate]]</f>
        <v>-2.2789999999979047</v>
      </c>
      <c r="AV241" s="926" t="s">
        <v>709</v>
      </c>
      <c r="AW241" s="927" t="s">
        <v>2985</v>
      </c>
      <c r="AX241" s="926"/>
      <c r="AY241" s="636" t="s">
        <v>1935</v>
      </c>
      <c r="AZ241" s="1531"/>
      <c r="BA241" s="1031" t="s">
        <v>2986</v>
      </c>
      <c r="BB241" s="644" t="s">
        <v>2372</v>
      </c>
      <c r="BC241" s="544" t="s">
        <v>116</v>
      </c>
      <c r="BD241" s="544" t="s">
        <v>709</v>
      </c>
      <c r="BE241" s="544" t="s">
        <v>595</v>
      </c>
      <c r="BF241" s="544" t="s">
        <v>709</v>
      </c>
      <c r="BG241" s="544" t="s">
        <v>709</v>
      </c>
      <c r="BH241" s="741"/>
      <c r="BI241" s="547" t="s">
        <v>709</v>
      </c>
      <c r="BJ241" s="547" t="s">
        <v>709</v>
      </c>
      <c r="BK241" s="547" t="s">
        <v>709</v>
      </c>
      <c r="BL241" s="547" t="s">
        <v>116</v>
      </c>
      <c r="BM241" s="547" t="s">
        <v>709</v>
      </c>
      <c r="BN241" s="547" t="s">
        <v>709</v>
      </c>
      <c r="BO241" s="547" t="s">
        <v>709</v>
      </c>
      <c r="BP241" s="547" t="s">
        <v>709</v>
      </c>
      <c r="BQ241" s="547" t="s">
        <v>709</v>
      </c>
      <c r="BR241" s="547" t="s">
        <v>709</v>
      </c>
      <c r="BS241" s="547">
        <v>1467</v>
      </c>
      <c r="BT241" s="547" t="s">
        <v>745</v>
      </c>
      <c r="BU241" s="547" t="s">
        <v>709</v>
      </c>
      <c r="BV241" s="547" t="s">
        <v>745</v>
      </c>
      <c r="BW241" s="547" t="s">
        <v>709</v>
      </c>
      <c r="BX241" s="547" t="s">
        <v>745</v>
      </c>
      <c r="BY241" s="547" t="s">
        <v>745</v>
      </c>
      <c r="BZ241" s="547" t="s">
        <v>709</v>
      </c>
      <c r="CA241" s="483"/>
      <c r="CB241" s="547">
        <v>239</v>
      </c>
      <c r="CC241" s="1481" t="b">
        <v>1</v>
      </c>
      <c r="CD241" t="str">
        <f>Table15[[#This Row],[Engineering Number]]&amp;Table15[[#This Row],[WO Number]]&amp;Table15[[#This Row],[Date Assigned to Designer]]&amp;Table15[[#This Row],[Date Completed]]</f>
        <v>SC177361408504417644222</v>
      </c>
    </row>
    <row r="242" spans="1:82" customFormat="1" ht="15" customHeight="1" x14ac:dyDescent="0.25">
      <c r="A242">
        <v>2021</v>
      </c>
      <c r="B242" s="8" t="s">
        <v>4</v>
      </c>
      <c r="C242" s="8" t="s">
        <v>159</v>
      </c>
      <c r="D242" s="8" t="s">
        <v>2868</v>
      </c>
      <c r="E242" s="8" t="s">
        <v>2032</v>
      </c>
      <c r="F242" s="8" t="s">
        <v>738</v>
      </c>
      <c r="G242" s="8" t="s">
        <v>2814</v>
      </c>
      <c r="H242" s="8" t="s">
        <v>2051</v>
      </c>
      <c r="I242" s="642">
        <v>44110</v>
      </c>
      <c r="J242" s="18" t="s">
        <v>2052</v>
      </c>
      <c r="K242" s="642">
        <v>44222</v>
      </c>
      <c r="L242" s="16">
        <f>IF(ISTEXT(Table15[[#This Row],[Engineering Approved Design Date]]),Table15[[#This Row],[Date Completed]]-Table15[[#This Row],[Date Assigned to Designer]],Table15[[#This Row],[Engineering Approved Design Date]]-Table15[[#This Row],[Date Completed]])</f>
        <v>112</v>
      </c>
      <c r="M242" s="642" t="s">
        <v>2960</v>
      </c>
      <c r="N242" s="642" t="s">
        <v>120</v>
      </c>
      <c r="O242" s="1025">
        <v>44228</v>
      </c>
      <c r="P242" s="21" t="s">
        <v>739</v>
      </c>
      <c r="Q242" s="340">
        <f>Table15[[#This Row],[KH Hourly Effort]]</f>
        <v>2082.5</v>
      </c>
      <c r="R242" s="1026" t="s">
        <v>1922</v>
      </c>
      <c r="S242" s="551" t="s">
        <v>709</v>
      </c>
      <c r="T242" s="538" t="s">
        <v>709</v>
      </c>
      <c r="U242" s="28">
        <v>2082.5</v>
      </c>
      <c r="V242" s="857">
        <v>2574</v>
      </c>
      <c r="W242" s="440"/>
      <c r="X242" s="551"/>
      <c r="Y242" s="550"/>
      <c r="Z242" s="551"/>
      <c r="AA242" s="538"/>
      <c r="AB242" s="21"/>
      <c r="AC242" s="569"/>
      <c r="AD242" s="1149"/>
      <c r="AE242" s="580"/>
      <c r="AF242" s="580"/>
      <c r="AG242" s="580"/>
      <c r="AH242" s="542"/>
      <c r="AI242" s="1028"/>
      <c r="AJ242" s="1029"/>
      <c r="AK242" s="1029"/>
      <c r="AL242" s="1030"/>
      <c r="AM242" s="542" t="s">
        <v>709</v>
      </c>
      <c r="AN242" s="924"/>
      <c r="AO242" s="925"/>
      <c r="AP242" s="926"/>
      <c r="AQ242" s="926"/>
      <c r="AR242" s="926"/>
      <c r="AS242" s="926"/>
      <c r="AT242" s="926"/>
      <c r="AU242" s="926"/>
      <c r="AV242" s="926"/>
      <c r="AW242" s="927"/>
      <c r="AX242" s="926"/>
      <c r="AY242" s="1538" t="s">
        <v>29</v>
      </c>
      <c r="AZ242" s="1530"/>
      <c r="BA242" s="1031">
        <v>3</v>
      </c>
      <c r="BB242" s="644"/>
      <c r="BC242" s="544"/>
      <c r="BD242" s="544"/>
      <c r="BE242" s="544"/>
      <c r="BF242" s="544"/>
      <c r="BG242" s="544"/>
      <c r="BH242" s="741"/>
      <c r="BI242" s="547" t="s">
        <v>709</v>
      </c>
      <c r="BJ242" s="547" t="s">
        <v>709</v>
      </c>
      <c r="BK242" s="547" t="s">
        <v>709</v>
      </c>
      <c r="BL242" s="547" t="s">
        <v>116</v>
      </c>
      <c r="BM242" s="547" t="s">
        <v>709</v>
      </c>
      <c r="BN242" s="547" t="s">
        <v>709</v>
      </c>
      <c r="BO242" s="547" t="s">
        <v>709</v>
      </c>
      <c r="BP242" s="547">
        <v>2574</v>
      </c>
      <c r="BQ242" s="547" t="s">
        <v>709</v>
      </c>
      <c r="BR242" s="547" t="s">
        <v>709</v>
      </c>
      <c r="BS242" s="547" t="s">
        <v>709</v>
      </c>
      <c r="BT242" s="547" t="s">
        <v>745</v>
      </c>
      <c r="BU242" s="547" t="s">
        <v>709</v>
      </c>
      <c r="BV242" s="547" t="s">
        <v>745</v>
      </c>
      <c r="BW242" s="547" t="s">
        <v>709</v>
      </c>
      <c r="BX242" s="547" t="s">
        <v>745</v>
      </c>
      <c r="BY242" s="547" t="s">
        <v>745</v>
      </c>
      <c r="BZ242" s="547" t="s">
        <v>709</v>
      </c>
      <c r="CA242" s="483"/>
      <c r="CB242" s="547">
        <v>241</v>
      </c>
      <c r="CC242" s="1481" t="b">
        <v>1</v>
      </c>
      <c r="CD242" t="str">
        <f>Table15[[#This Row],[Engineering Number]]&amp;Table15[[#This Row],[WO Number]]&amp;Table15[[#This Row],[Date Assigned to Designer]]&amp;Table15[[#This Row],[Date Completed]]</f>
        <v>SC177861357084411044222</v>
      </c>
    </row>
    <row r="243" spans="1:82" customFormat="1" ht="15" customHeight="1" x14ac:dyDescent="0.25">
      <c r="A243">
        <v>2020</v>
      </c>
      <c r="B243" s="8" t="s">
        <v>4</v>
      </c>
      <c r="C243" s="8" t="s">
        <v>2971</v>
      </c>
      <c r="D243" s="8" t="s">
        <v>2972</v>
      </c>
      <c r="E243" s="8" t="s">
        <v>1920</v>
      </c>
      <c r="F243" s="8" t="s">
        <v>919</v>
      </c>
      <c r="G243" s="8" t="s">
        <v>36</v>
      </c>
      <c r="H243" s="8" t="s">
        <v>2127</v>
      </c>
      <c r="I243" s="642">
        <v>43854</v>
      </c>
      <c r="J243" s="18">
        <v>44222</v>
      </c>
      <c r="K243" s="642">
        <v>44222</v>
      </c>
      <c r="L243" s="16">
        <f>IF(ISTEXT(Table15[[#This Row],[Engineering Approved Design Date]]),Table15[[#This Row],[Date Completed]]-Table15[[#This Row],[Date Assigned to Designer]],Table15[[#This Row],[Engineering Approved Design Date]]-Table15[[#This Row],[Date Completed]])</f>
        <v>0</v>
      </c>
      <c r="M243" s="642" t="s">
        <v>2973</v>
      </c>
      <c r="N243" s="642" t="s">
        <v>120</v>
      </c>
      <c r="O243" s="1025">
        <v>44228</v>
      </c>
      <c r="P243" s="21" t="s">
        <v>739</v>
      </c>
      <c r="Q243" s="340" t="s">
        <v>115</v>
      </c>
      <c r="R243" s="1026" t="s">
        <v>115</v>
      </c>
      <c r="S243" s="551"/>
      <c r="T243" s="538"/>
      <c r="U243" s="28"/>
      <c r="V243" s="857"/>
      <c r="W243" s="440"/>
      <c r="X243" s="551"/>
      <c r="Y243" s="550"/>
      <c r="Z243" s="551"/>
      <c r="AA243" s="538"/>
      <c r="AB243" s="21"/>
      <c r="AC243" s="569"/>
      <c r="AD243" s="1149"/>
      <c r="AE243" s="580"/>
      <c r="AF243" s="580"/>
      <c r="AG243" s="580"/>
      <c r="AH243" s="542"/>
      <c r="AI243" s="1028"/>
      <c r="AJ243" s="1029"/>
      <c r="AK243" s="1029"/>
      <c r="AL243" s="1030"/>
      <c r="AM243" s="542" t="s">
        <v>709</v>
      </c>
      <c r="AN243" s="924"/>
      <c r="AO243" s="925"/>
      <c r="AP243" s="926"/>
      <c r="AQ243" s="926"/>
      <c r="AR243" s="926"/>
      <c r="AS243" s="926"/>
      <c r="AT243" s="926"/>
      <c r="AU243" s="926"/>
      <c r="AV243" s="926"/>
      <c r="AW243" s="927"/>
      <c r="AX243" s="926"/>
      <c r="AY243" s="1538" t="s">
        <v>29</v>
      </c>
      <c r="AZ243" s="1530"/>
      <c r="BA243" s="1031" t="s">
        <v>2974</v>
      </c>
      <c r="BB243" s="644" t="s">
        <v>2975</v>
      </c>
      <c r="BC243" s="544"/>
      <c r="BD243" s="544"/>
      <c r="BE243" s="544"/>
      <c r="BF243" s="544"/>
      <c r="BG243" s="544"/>
      <c r="BH243" s="741"/>
      <c r="BI243" s="547"/>
      <c r="BJ243" s="547"/>
      <c r="BK243" s="547"/>
      <c r="BL243" s="547"/>
      <c r="BM243" s="547"/>
      <c r="BN243" s="547"/>
      <c r="BO243" s="547"/>
      <c r="BP243" s="547"/>
      <c r="BQ243" s="547"/>
      <c r="BR243" s="547"/>
      <c r="BS243" s="547"/>
      <c r="BT243" s="547"/>
      <c r="BU243" s="547"/>
      <c r="BV243" s="547"/>
      <c r="BW243" s="547"/>
      <c r="BX243" s="547"/>
      <c r="BY243" s="547"/>
      <c r="BZ243" s="547" t="s">
        <v>709</v>
      </c>
      <c r="CA243" s="483" t="s">
        <v>915</v>
      </c>
      <c r="CB243" s="547">
        <v>240</v>
      </c>
      <c r="CC243" s="1481" t="b">
        <v>1</v>
      </c>
      <c r="CD243" t="str">
        <f>Table15[[#This Row],[Engineering Number]]&amp;Table15[[#This Row],[WO Number]]&amp;Table15[[#This Row],[Date Assigned to Designer]]&amp;Table15[[#This Row],[Date Completed]]</f>
        <v>SC158251407724385444222</v>
      </c>
    </row>
    <row r="244" spans="1:82" customFormat="1" ht="15" customHeight="1" x14ac:dyDescent="0.25">
      <c r="A244">
        <v>2020</v>
      </c>
      <c r="B244" s="8" t="s">
        <v>4</v>
      </c>
      <c r="C244" s="8" t="s">
        <v>2977</v>
      </c>
      <c r="D244" s="8" t="s">
        <v>2978</v>
      </c>
      <c r="E244" s="8" t="s">
        <v>1004</v>
      </c>
      <c r="F244" s="8" t="s">
        <v>919</v>
      </c>
      <c r="G244" s="8" t="s">
        <v>36</v>
      </c>
      <c r="H244" s="8" t="s">
        <v>2127</v>
      </c>
      <c r="I244" s="642">
        <v>44071</v>
      </c>
      <c r="J244" s="18">
        <v>44256</v>
      </c>
      <c r="K244" s="642">
        <v>44222</v>
      </c>
      <c r="L244" s="16">
        <f>IF(ISTEXT(Table15[[#This Row],[Engineering Approved Design Date]]),Table15[[#This Row],[Date Completed]]-Table15[[#This Row],[Date Assigned to Designer]],Table15[[#This Row],[Engineering Approved Design Date]]-Table15[[#This Row],[Date Completed]])</f>
        <v>34</v>
      </c>
      <c r="M244" s="642" t="s">
        <v>2979</v>
      </c>
      <c r="N244" s="642" t="s">
        <v>120</v>
      </c>
      <c r="O244" s="1025">
        <v>44228</v>
      </c>
      <c r="P244" s="21" t="s">
        <v>739</v>
      </c>
      <c r="Q244" s="340" t="s">
        <v>115</v>
      </c>
      <c r="R244" s="1026" t="s">
        <v>115</v>
      </c>
      <c r="S244" s="551"/>
      <c r="T244" s="538"/>
      <c r="U244" s="28"/>
      <c r="V244" s="857"/>
      <c r="W244" s="440"/>
      <c r="X244" s="551"/>
      <c r="Y244" s="550"/>
      <c r="Z244" s="551"/>
      <c r="AA244" s="538"/>
      <c r="AB244" s="21"/>
      <c r="AC244" s="569"/>
      <c r="AD244" s="1149"/>
      <c r="AE244" s="580"/>
      <c r="AF244" s="580"/>
      <c r="AG244" s="580"/>
      <c r="AH244" s="542"/>
      <c r="AI244" s="1028"/>
      <c r="AJ244" s="1029"/>
      <c r="AK244" s="1029"/>
      <c r="AL244" s="1030"/>
      <c r="AM244" s="542" t="s">
        <v>709</v>
      </c>
      <c r="AN244" s="924"/>
      <c r="AO244" s="925"/>
      <c r="AP244" s="926"/>
      <c r="AQ244" s="926"/>
      <c r="AR244" s="926"/>
      <c r="AS244" s="926"/>
      <c r="AT244" s="926"/>
      <c r="AU244" s="926"/>
      <c r="AV244" s="926"/>
      <c r="AW244" s="927"/>
      <c r="AX244" s="926"/>
      <c r="AY244" s="1538" t="s">
        <v>29</v>
      </c>
      <c r="AZ244" s="1530"/>
      <c r="BA244" s="1031" t="s">
        <v>2980</v>
      </c>
      <c r="BB244" s="644" t="s">
        <v>2981</v>
      </c>
      <c r="BC244" s="544"/>
      <c r="BD244" s="544"/>
      <c r="BE244" s="544"/>
      <c r="BF244" s="544"/>
      <c r="BG244" s="544"/>
      <c r="BH244" s="741"/>
      <c r="BI244" s="547"/>
      <c r="BJ244" s="547"/>
      <c r="BK244" s="547"/>
      <c r="BL244" s="547"/>
      <c r="BM244" s="547"/>
      <c r="BN244" s="547"/>
      <c r="BO244" s="547"/>
      <c r="BP244" s="547"/>
      <c r="BQ244" s="547"/>
      <c r="BR244" s="547"/>
      <c r="BS244" s="547"/>
      <c r="BT244" s="547"/>
      <c r="BU244" s="547"/>
      <c r="BV244" s="547"/>
      <c r="BW244" s="547"/>
      <c r="BX244" s="547"/>
      <c r="BY244" s="547"/>
      <c r="BZ244" s="547" t="s">
        <v>709</v>
      </c>
      <c r="CA244" s="483" t="s">
        <v>915</v>
      </c>
      <c r="CB244" s="547">
        <v>242</v>
      </c>
      <c r="CC244" s="1481" t="b">
        <v>1</v>
      </c>
      <c r="CD244" t="str">
        <f>Table15[[#This Row],[Engineering Number]]&amp;Table15[[#This Row],[WO Number]]&amp;Table15[[#This Row],[Date Assigned to Designer]]&amp;Table15[[#This Row],[Date Completed]]</f>
        <v>SC17434-21356904407144222</v>
      </c>
    </row>
    <row r="245" spans="1:82" customFormat="1" ht="15" customHeight="1" x14ac:dyDescent="0.25">
      <c r="A245">
        <v>2021</v>
      </c>
      <c r="B245" s="8" t="s">
        <v>2989</v>
      </c>
      <c r="C245" s="8" t="s">
        <v>2990</v>
      </c>
      <c r="D245" s="656" t="s">
        <v>2991</v>
      </c>
      <c r="E245" s="8" t="s">
        <v>2992</v>
      </c>
      <c r="F245" s="8" t="s">
        <v>919</v>
      </c>
      <c r="G245" s="8" t="s">
        <v>36</v>
      </c>
      <c r="H245" s="8" t="s">
        <v>59</v>
      </c>
      <c r="I245" s="642">
        <v>44126</v>
      </c>
      <c r="J245" s="18">
        <v>44232</v>
      </c>
      <c r="K245" s="642">
        <v>44224</v>
      </c>
      <c r="L245" s="16">
        <f>IF(ISTEXT(Table15[[#This Row],[Engineering Approved Design Date]]),Table15[[#This Row],[Date Completed]]-Table15[[#This Row],[Date Assigned to Designer]],Table15[[#This Row],[Engineering Approved Design Date]]-Table15[[#This Row],[Date Completed]])</f>
        <v>8</v>
      </c>
      <c r="M245" s="642"/>
      <c r="N245" s="642" t="s">
        <v>120</v>
      </c>
      <c r="O245" s="1025">
        <v>44228</v>
      </c>
      <c r="P245" s="21" t="s">
        <v>739</v>
      </c>
      <c r="Q245" s="340">
        <f>R245*AA245</f>
        <v>18463.394699999997</v>
      </c>
      <c r="R245" s="1026">
        <v>0.09</v>
      </c>
      <c r="S245" s="538" t="s">
        <v>709</v>
      </c>
      <c r="T245" s="538" t="s">
        <v>709</v>
      </c>
      <c r="U245" s="28" t="s">
        <v>709</v>
      </c>
      <c r="V245" s="857">
        <v>297</v>
      </c>
      <c r="W245" s="440"/>
      <c r="X245" s="551">
        <v>192330.53</v>
      </c>
      <c r="Y245" s="551"/>
      <c r="Z245" s="551">
        <v>12818.3</v>
      </c>
      <c r="AA245" s="551">
        <f>X245+Z245</f>
        <v>205148.83</v>
      </c>
      <c r="AB245" s="341"/>
      <c r="AC245" s="568" t="s">
        <v>709</v>
      </c>
      <c r="AD245" s="1157"/>
      <c r="AE245" s="579"/>
      <c r="AF245" s="579"/>
      <c r="AG245" s="579"/>
      <c r="AH245" s="553"/>
      <c r="AI245" s="1036"/>
      <c r="AJ245" s="1037"/>
      <c r="AK245" s="1037"/>
      <c r="AL245" s="1038"/>
      <c r="AM245" s="542" t="s">
        <v>116</v>
      </c>
      <c r="AN245" s="1508">
        <v>44475</v>
      </c>
      <c r="AO245" s="925">
        <v>186866</v>
      </c>
      <c r="AP245" s="926">
        <v>192330.53</v>
      </c>
      <c r="AQ245" s="926"/>
      <c r="AR245" s="926">
        <v>12818.3</v>
      </c>
      <c r="AS245" s="926">
        <f>IF(Table15[[#This Row],[PCTS Approved]]="N",0,Table15[[#This Row],[Investment Amount (1'#'#'#'#'#)]]+Table15[[#This Row],[Retirement Amount (3'#'#'#'#'#)]])</f>
        <v>205148.83</v>
      </c>
      <c r="AT245" s="926">
        <f>IF(Table15[[#This Row],[Approved Construction Cost]]=0,0,Table15[[#This Row],[Approved Construction Cost]]-Table15[[#This Row],[Construction Cost to Bill From]])</f>
        <v>0</v>
      </c>
      <c r="AU245" s="926">
        <f>Table15[[#This Row],[Difference in Construction Cost]]*Table15[[#This Row],[Rate]]</f>
        <v>0</v>
      </c>
      <c r="AV245" s="926" t="s">
        <v>709</v>
      </c>
      <c r="AW245" s="927"/>
      <c r="AX245" s="926"/>
      <c r="AY245" s="636" t="s">
        <v>1935</v>
      </c>
      <c r="AZ245" s="1533"/>
      <c r="BA245" s="1031" t="s">
        <v>2993</v>
      </c>
      <c r="BB245" s="644" t="s">
        <v>2994</v>
      </c>
      <c r="BC245" s="544" t="s">
        <v>116</v>
      </c>
      <c r="BD245" s="544" t="s">
        <v>709</v>
      </c>
      <c r="BE245" s="544" t="s">
        <v>2995</v>
      </c>
      <c r="BF245" s="544" t="s">
        <v>709</v>
      </c>
      <c r="BG245" s="544" t="s">
        <v>2837</v>
      </c>
      <c r="BH245" s="741"/>
      <c r="BI245" s="547" t="s">
        <v>709</v>
      </c>
      <c r="BJ245" s="547" t="s">
        <v>709</v>
      </c>
      <c r="BK245" s="547" t="s">
        <v>116</v>
      </c>
      <c r="BL245" s="547" t="s">
        <v>709</v>
      </c>
      <c r="BM245" s="547" t="s">
        <v>709</v>
      </c>
      <c r="BN245" s="547" t="s">
        <v>709</v>
      </c>
      <c r="BO245" s="547" t="s">
        <v>709</v>
      </c>
      <c r="BP245" s="547" t="s">
        <v>709</v>
      </c>
      <c r="BQ245" s="547" t="s">
        <v>709</v>
      </c>
      <c r="BR245" s="547">
        <v>297</v>
      </c>
      <c r="BS245" s="547" t="s">
        <v>709</v>
      </c>
      <c r="BT245" s="547" t="s">
        <v>709</v>
      </c>
      <c r="BU245" s="547" t="s">
        <v>709</v>
      </c>
      <c r="BV245" s="547" t="s">
        <v>709</v>
      </c>
      <c r="BW245" s="547" t="s">
        <v>709</v>
      </c>
      <c r="BX245" s="547" t="s">
        <v>709</v>
      </c>
      <c r="BY245" s="547" t="s">
        <v>709</v>
      </c>
      <c r="BZ245" s="547" t="s">
        <v>709</v>
      </c>
      <c r="CA245" s="483" t="s">
        <v>2</v>
      </c>
      <c r="CB245" s="547">
        <v>243</v>
      </c>
      <c r="CC245" s="1481" t="b">
        <v>1</v>
      </c>
      <c r="CD245" t="str">
        <f>Table15[[#This Row],[Engineering Number]]&amp;Table15[[#This Row],[WO Number]]&amp;Table15[[#This Row],[Date Assigned to Designer]]&amp;Table15[[#This Row],[Date Completed]]</f>
        <v>MR14991408344412644224</v>
      </c>
    </row>
    <row r="246" spans="1:82" customFormat="1" ht="15" customHeight="1" x14ac:dyDescent="0.25">
      <c r="A246">
        <v>2021</v>
      </c>
      <c r="B246" s="8" t="s">
        <v>4</v>
      </c>
      <c r="C246" s="8" t="s">
        <v>201</v>
      </c>
      <c r="D246" s="656" t="s">
        <v>3004</v>
      </c>
      <c r="E246" s="8" t="s">
        <v>202</v>
      </c>
      <c r="F246" s="8" t="s">
        <v>919</v>
      </c>
      <c r="G246" s="8" t="s">
        <v>2743</v>
      </c>
      <c r="H246" s="8" t="s">
        <v>59</v>
      </c>
      <c r="I246" s="642">
        <v>44099</v>
      </c>
      <c r="J246" s="18">
        <v>44225</v>
      </c>
      <c r="K246" s="642">
        <v>44228</v>
      </c>
      <c r="L246" s="16">
        <v>0</v>
      </c>
      <c r="M246" s="642" t="s">
        <v>3005</v>
      </c>
      <c r="N246" s="642" t="s">
        <v>120</v>
      </c>
      <c r="O246" s="1025">
        <v>44228</v>
      </c>
      <c r="P246" s="21" t="s">
        <v>739</v>
      </c>
      <c r="Q246" s="340">
        <f>R246*AA246</f>
        <v>143325.239</v>
      </c>
      <c r="R246" s="1026">
        <v>0.1</v>
      </c>
      <c r="S246" s="538" t="s">
        <v>709</v>
      </c>
      <c r="T246" s="538"/>
      <c r="U246" s="28" t="s">
        <v>709</v>
      </c>
      <c r="V246" s="857">
        <v>2439</v>
      </c>
      <c r="W246" s="440"/>
      <c r="X246" s="551">
        <v>1336924.7</v>
      </c>
      <c r="Y246" s="551"/>
      <c r="Z246" s="551">
        <v>96327.69</v>
      </c>
      <c r="AA246" s="551">
        <f>X246+Z246</f>
        <v>1433252.39</v>
      </c>
      <c r="AB246" s="341"/>
      <c r="AC246" s="568" t="s">
        <v>116</v>
      </c>
      <c r="AD246" s="1157"/>
      <c r="AE246" s="579"/>
      <c r="AF246" s="579"/>
      <c r="AG246" s="579"/>
      <c r="AH246" s="553"/>
      <c r="AI246" s="1036"/>
      <c r="AJ246" s="1037"/>
      <c r="AK246" s="1037"/>
      <c r="AL246" s="1038"/>
      <c r="AM246" s="1522" t="s">
        <v>116</v>
      </c>
      <c r="AN246" s="1523">
        <v>44652</v>
      </c>
      <c r="AO246" s="1524">
        <v>11030688</v>
      </c>
      <c r="AP246" s="1525">
        <v>1513553.4700000002</v>
      </c>
      <c r="AQ246" s="1525"/>
      <c r="AR246" s="1525">
        <v>112482.08</v>
      </c>
      <c r="AS246" s="1525">
        <f>IF(Table15[[#This Row],[PCTS Approved]]="N",0,Table15[[#This Row],[Investment Amount (1'#'#'#'#'#)]]+Table15[[#This Row],[Retirement Amount (3'#'#'#'#'#)]])</f>
        <v>1626035.5500000003</v>
      </c>
      <c r="AT246" s="1525">
        <f>IF(Table15[[#This Row],[Approved Construction Cost]]=0,0,Table15[[#This Row],[Approved Construction Cost]]-Table15[[#This Row],[Construction Cost to Bill From]])</f>
        <v>192783.16000000038</v>
      </c>
      <c r="AU246" s="1525">
        <f>IFERROR(Table15[[#This Row],[Difference in Construction Cost]]*Table15[[#This Row],[Rate]],Table15[[#This Row],[Difference in Construction Cost]]*0.085)</f>
        <v>19278.316000000039</v>
      </c>
      <c r="AV246" s="1525" t="s">
        <v>709</v>
      </c>
      <c r="AW246" s="1526" t="s">
        <v>2219</v>
      </c>
      <c r="AX246" s="1525">
        <f>Table15[[#This Row],[Reconcile Amount]]</f>
        <v>19278.316000000039</v>
      </c>
      <c r="AY246" s="1518">
        <v>45008</v>
      </c>
      <c r="AZ246" s="333"/>
      <c r="BA246" s="1031" t="s">
        <v>3006</v>
      </c>
      <c r="BB246" s="644" t="s">
        <v>3007</v>
      </c>
      <c r="BC246" s="544" t="s">
        <v>116</v>
      </c>
      <c r="BD246" s="544" t="s">
        <v>709</v>
      </c>
      <c r="BE246" s="544" t="s">
        <v>3008</v>
      </c>
      <c r="BF246" s="544" t="s">
        <v>709</v>
      </c>
      <c r="BG246" s="544" t="s">
        <v>709</v>
      </c>
      <c r="BH246" s="741"/>
      <c r="BI246" s="547" t="s">
        <v>709</v>
      </c>
      <c r="BJ246" s="547" t="s">
        <v>709</v>
      </c>
      <c r="BK246" s="547" t="s">
        <v>116</v>
      </c>
      <c r="BL246" s="547" t="s">
        <v>116</v>
      </c>
      <c r="BM246" s="547" t="s">
        <v>709</v>
      </c>
      <c r="BN246" s="547">
        <v>1197</v>
      </c>
      <c r="BO246" s="547" t="s">
        <v>709</v>
      </c>
      <c r="BP246" s="547" t="s">
        <v>709</v>
      </c>
      <c r="BQ246" s="547">
        <v>519</v>
      </c>
      <c r="BR246" s="547">
        <v>33</v>
      </c>
      <c r="BS246" s="547">
        <v>690</v>
      </c>
      <c r="BT246" s="547" t="s">
        <v>745</v>
      </c>
      <c r="BU246" s="547" t="s">
        <v>709</v>
      </c>
      <c r="BV246" s="547" t="s">
        <v>745</v>
      </c>
      <c r="BW246" s="547" t="s">
        <v>709</v>
      </c>
      <c r="BX246" s="547">
        <v>1</v>
      </c>
      <c r="BY246" s="547" t="s">
        <v>745</v>
      </c>
      <c r="BZ246" s="547" t="s">
        <v>709</v>
      </c>
      <c r="CA246" s="483"/>
      <c r="CB246" s="547">
        <v>245</v>
      </c>
      <c r="CC246" s="1481" t="b">
        <v>1</v>
      </c>
      <c r="CD246" t="str">
        <f>Table15[[#This Row],[Engineering Number]]&amp;Table15[[#This Row],[WO Number]]&amp;Table15[[#This Row],[Date Assigned to Designer]]&amp;Table15[[#This Row],[Date Completed]]</f>
        <v>M10948120531/12111174409944228</v>
      </c>
    </row>
    <row r="247" spans="1:82" customFormat="1" ht="15" customHeight="1" x14ac:dyDescent="0.25">
      <c r="A247">
        <v>2021</v>
      </c>
      <c r="B247" s="8" t="s">
        <v>4</v>
      </c>
      <c r="C247" s="8" t="s">
        <v>2948</v>
      </c>
      <c r="D247" s="8" t="s">
        <v>2949</v>
      </c>
      <c r="E247" s="8" t="s">
        <v>2786</v>
      </c>
      <c r="F247" s="8" t="s">
        <v>919</v>
      </c>
      <c r="G247" s="8" t="s">
        <v>40</v>
      </c>
      <c r="H247" s="8" t="s">
        <v>2051</v>
      </c>
      <c r="I247" s="642">
        <v>44090</v>
      </c>
      <c r="J247" s="18" t="s">
        <v>2052</v>
      </c>
      <c r="K247" s="642">
        <v>44228</v>
      </c>
      <c r="L247" s="16">
        <f>IF(ISTEXT(Table15[[#This Row],[Engineering Approved Design Date]]),Table15[[#This Row],[Date Completed]]-Table15[[#This Row],[Date Assigned to Designer]],Table15[[#This Row],[Engineering Approved Design Date]]-Table15[[#This Row],[Date Completed]])</f>
        <v>138</v>
      </c>
      <c r="M247" s="642" t="s">
        <v>3002</v>
      </c>
      <c r="N247" s="642" t="s">
        <v>120</v>
      </c>
      <c r="O247" s="1025">
        <v>44228</v>
      </c>
      <c r="P247" s="21" t="s">
        <v>739</v>
      </c>
      <c r="Q247" s="340">
        <f>Table15[[#This Row],[KH Hourly Effort]]</f>
        <v>2850</v>
      </c>
      <c r="R247" s="1026" t="s">
        <v>1922</v>
      </c>
      <c r="S247" s="538" t="s">
        <v>709</v>
      </c>
      <c r="T247" s="538" t="s">
        <v>709</v>
      </c>
      <c r="U247" s="28">
        <v>2850</v>
      </c>
      <c r="V247" s="857">
        <v>7313</v>
      </c>
      <c r="W247" s="440"/>
      <c r="X247" s="551">
        <v>3055025.4</v>
      </c>
      <c r="Y247" s="551"/>
      <c r="Z247" s="551">
        <v>51682.62</v>
      </c>
      <c r="AA247" s="551">
        <f>X247+Z247</f>
        <v>3106708.02</v>
      </c>
      <c r="AB247" s="341"/>
      <c r="AC247" s="568"/>
      <c r="AD247" s="1157"/>
      <c r="AE247" s="579"/>
      <c r="AF247" s="579"/>
      <c r="AG247" s="579"/>
      <c r="AH247" s="553"/>
      <c r="AI247" s="1036"/>
      <c r="AJ247" s="1037"/>
      <c r="AK247" s="1037"/>
      <c r="AL247" s="1038"/>
      <c r="AM247" s="542" t="s">
        <v>709</v>
      </c>
      <c r="AN247" s="924"/>
      <c r="AO247" s="925"/>
      <c r="AP247" s="926"/>
      <c r="AQ247" s="926"/>
      <c r="AR247" s="926"/>
      <c r="AS247" s="926"/>
      <c r="AT247" s="926"/>
      <c r="AU247" s="926"/>
      <c r="AV247" s="926"/>
      <c r="AW247" s="927"/>
      <c r="AX247" s="926"/>
      <c r="AY247" s="1538" t="s">
        <v>29</v>
      </c>
      <c r="AZ247" s="1530"/>
      <c r="BA247" s="1031">
        <v>4</v>
      </c>
      <c r="BB247" s="644"/>
      <c r="BC247" s="544"/>
      <c r="BD247" s="544"/>
      <c r="BE247" s="544"/>
      <c r="BF247" s="544"/>
      <c r="BG247" s="544"/>
      <c r="BH247" s="741"/>
      <c r="BI247" s="547" t="s">
        <v>709</v>
      </c>
      <c r="BJ247" s="547" t="s">
        <v>709</v>
      </c>
      <c r="BK247" s="547" t="s">
        <v>709</v>
      </c>
      <c r="BL247" s="547" t="s">
        <v>116</v>
      </c>
      <c r="BM247" s="547" t="s">
        <v>709</v>
      </c>
      <c r="BN247" s="547" t="s">
        <v>709</v>
      </c>
      <c r="BO247" s="547" t="s">
        <v>709</v>
      </c>
      <c r="BP247" s="547">
        <v>328</v>
      </c>
      <c r="BQ247" s="547">
        <v>1665</v>
      </c>
      <c r="BR247" s="547">
        <v>3372</v>
      </c>
      <c r="BS247" s="547">
        <v>1858</v>
      </c>
      <c r="BT247" s="547">
        <v>1</v>
      </c>
      <c r="BU247" s="547" t="s">
        <v>709</v>
      </c>
      <c r="BV247" s="547" t="s">
        <v>709</v>
      </c>
      <c r="BW247" s="547" t="s">
        <v>709</v>
      </c>
      <c r="BX247" s="547">
        <v>1</v>
      </c>
      <c r="BY247" s="547" t="s">
        <v>709</v>
      </c>
      <c r="BZ247" s="547" t="s">
        <v>709</v>
      </c>
      <c r="CA247" s="483"/>
      <c r="CB247" s="547">
        <v>244</v>
      </c>
      <c r="CC247" s="1481" t="b">
        <v>1</v>
      </c>
      <c r="CD247" t="str">
        <f>Table15[[#This Row],[Engineering Number]]&amp;Table15[[#This Row],[WO Number]]&amp;Table15[[#This Row],[Date Assigned to Designer]]&amp;Table15[[#This Row],[Date Completed]]</f>
        <v>M116121205364409044228</v>
      </c>
    </row>
    <row r="248" spans="1:82" customFormat="1" ht="15" customHeight="1" x14ac:dyDescent="0.25">
      <c r="A248">
        <v>2020</v>
      </c>
      <c r="B248" s="8" t="s">
        <v>4</v>
      </c>
      <c r="C248" s="8" t="s">
        <v>2997</v>
      </c>
      <c r="D248" s="656" t="s">
        <v>2998</v>
      </c>
      <c r="E248" s="8" t="s">
        <v>249</v>
      </c>
      <c r="F248" s="8" t="s">
        <v>738</v>
      </c>
      <c r="G248" s="8" t="s">
        <v>40</v>
      </c>
      <c r="H248" s="8" t="s">
        <v>59</v>
      </c>
      <c r="I248" s="642">
        <v>43661</v>
      </c>
      <c r="J248" s="18">
        <v>44228</v>
      </c>
      <c r="K248" s="642">
        <v>44228</v>
      </c>
      <c r="L248" s="16">
        <f>IF(ISTEXT(Table15[[#This Row],[Engineering Approved Design Date]]),Table15[[#This Row],[Date Completed]]-Table15[[#This Row],[Date Assigned to Designer]],Table15[[#This Row],[Engineering Approved Design Date]]-Table15[[#This Row],[Date Completed]])</f>
        <v>0</v>
      </c>
      <c r="M248" s="642"/>
      <c r="N248" s="642" t="s">
        <v>120</v>
      </c>
      <c r="O248" s="1025">
        <v>44228</v>
      </c>
      <c r="P248" s="21" t="s">
        <v>739</v>
      </c>
      <c r="Q248" s="340">
        <f>R248*AA248</f>
        <v>3990.4269999999997</v>
      </c>
      <c r="R248" s="1026">
        <v>0.1</v>
      </c>
      <c r="S248" s="538" t="s">
        <v>709</v>
      </c>
      <c r="T248" s="538" t="s">
        <v>709</v>
      </c>
      <c r="U248" s="28" t="s">
        <v>709</v>
      </c>
      <c r="V248" s="857">
        <v>0</v>
      </c>
      <c r="W248" s="440"/>
      <c r="X248" s="551">
        <v>0</v>
      </c>
      <c r="Y248" s="551"/>
      <c r="Z248" s="551">
        <v>39904.269999999997</v>
      </c>
      <c r="AA248" s="551">
        <f>X248+Z248</f>
        <v>39904.269999999997</v>
      </c>
      <c r="AB248" s="341"/>
      <c r="AC248" s="568" t="s">
        <v>709</v>
      </c>
      <c r="AD248" s="1157"/>
      <c r="AE248" s="579"/>
      <c r="AF248" s="579"/>
      <c r="AG248" s="569"/>
      <c r="AH248" s="553"/>
      <c r="AI248" s="1036"/>
      <c r="AJ248" s="1037"/>
      <c r="AK248" s="1037"/>
      <c r="AL248" s="1038"/>
      <c r="AM248" s="1522" t="s">
        <v>116</v>
      </c>
      <c r="AN248" s="1523">
        <v>44299</v>
      </c>
      <c r="AO248" s="1524">
        <v>188891</v>
      </c>
      <c r="AP248" s="1525">
        <v>0</v>
      </c>
      <c r="AQ248" s="1525"/>
      <c r="AR248" s="1525">
        <v>49892.15</v>
      </c>
      <c r="AS248" s="1525">
        <f>IF(Table15[[#This Row],[PCTS Approved]]="N",0,Table15[[#This Row],[Investment Amount (1'#'#'#'#'#)]]+Table15[[#This Row],[Retirement Amount (3'#'#'#'#'#)]])</f>
        <v>49892.15</v>
      </c>
      <c r="AT248" s="1525">
        <f>IF(Table15[[#This Row],[Approved Construction Cost]]=0,0,Table15[[#This Row],[Approved Construction Cost]]-Table15[[#This Row],[Construction Cost to Bill From]])</f>
        <v>9987.8800000000047</v>
      </c>
      <c r="AU248" s="1525">
        <f>Table15[[#This Row],[Difference in Construction Cost]]*Table15[[#This Row],[Rate]]</f>
        <v>998.78800000000047</v>
      </c>
      <c r="AV248" s="1525" t="s">
        <v>709</v>
      </c>
      <c r="AW248" s="1526" t="s">
        <v>2550</v>
      </c>
      <c r="AX248" s="1525">
        <v>998.78800000000047</v>
      </c>
      <c r="AY248" s="1518">
        <v>44501</v>
      </c>
      <c r="AZ248" s="333"/>
      <c r="BA248" s="1031" t="s">
        <v>2999</v>
      </c>
      <c r="BB248" s="644" t="s">
        <v>3000</v>
      </c>
      <c r="BC248" s="544"/>
      <c r="BD248" s="544"/>
      <c r="BE248" s="544"/>
      <c r="BF248" s="544"/>
      <c r="BG248" s="544"/>
      <c r="BH248" s="741"/>
      <c r="BI248" s="547" t="s">
        <v>709</v>
      </c>
      <c r="BJ248" s="547" t="s">
        <v>709</v>
      </c>
      <c r="BK248" s="547" t="s">
        <v>709</v>
      </c>
      <c r="BL248" s="547" t="s">
        <v>709</v>
      </c>
      <c r="BM248" s="547" t="s">
        <v>709</v>
      </c>
      <c r="BN248" s="547" t="s">
        <v>709</v>
      </c>
      <c r="BO248" s="547" t="s">
        <v>709</v>
      </c>
      <c r="BP248" s="547" t="s">
        <v>709</v>
      </c>
      <c r="BQ248" s="547" t="s">
        <v>709</v>
      </c>
      <c r="BR248" s="547" t="s">
        <v>709</v>
      </c>
      <c r="BS248" s="547" t="s">
        <v>709</v>
      </c>
      <c r="BT248" s="547" t="s">
        <v>745</v>
      </c>
      <c r="BU248" s="547" t="s">
        <v>709</v>
      </c>
      <c r="BV248" s="547" t="s">
        <v>745</v>
      </c>
      <c r="BW248" s="547" t="s">
        <v>709</v>
      </c>
      <c r="BX248" s="547" t="s">
        <v>745</v>
      </c>
      <c r="BY248" s="547" t="s">
        <v>745</v>
      </c>
      <c r="BZ248" s="547" t="s">
        <v>709</v>
      </c>
      <c r="CA248" s="483" t="s">
        <v>1146</v>
      </c>
      <c r="CB248" s="547">
        <v>246</v>
      </c>
      <c r="CC248" s="1481" t="b">
        <v>1</v>
      </c>
      <c r="CD248" t="str">
        <f>Table15[[#This Row],[Engineering Number]]&amp;Table15[[#This Row],[WO Number]]&amp;Table15[[#This Row],[Date Assigned to Designer]]&amp;Table15[[#This Row],[Date Completed]]</f>
        <v>M108923205474366144228</v>
      </c>
    </row>
    <row r="249" spans="1:82" customFormat="1" ht="15" customHeight="1" x14ac:dyDescent="0.25">
      <c r="A249">
        <v>2021</v>
      </c>
      <c r="B249" s="8" t="s">
        <v>771</v>
      </c>
      <c r="C249" s="8" t="s">
        <v>3010</v>
      </c>
      <c r="D249" s="8" t="s">
        <v>3011</v>
      </c>
      <c r="E249" s="8" t="s">
        <v>3012</v>
      </c>
      <c r="F249" s="8" t="s">
        <v>919</v>
      </c>
      <c r="G249" s="8" t="s">
        <v>1882</v>
      </c>
      <c r="H249" s="8" t="s">
        <v>59</v>
      </c>
      <c r="I249" s="642">
        <v>44138</v>
      </c>
      <c r="J249" s="18">
        <v>44229</v>
      </c>
      <c r="K249" s="642">
        <v>44229</v>
      </c>
      <c r="L249" s="16">
        <f>IF(ISTEXT(Table15[[#This Row],[Engineering Approved Design Date]]),Table15[[#This Row],[Date Completed]]-Table15[[#This Row],[Date Assigned to Designer]],Table15[[#This Row],[Engineering Approved Design Date]]-Table15[[#This Row],[Date Completed]])</f>
        <v>0</v>
      </c>
      <c r="M249" s="642"/>
      <c r="N249" s="642" t="s">
        <v>120</v>
      </c>
      <c r="O249" s="1025">
        <v>44229</v>
      </c>
      <c r="P249" s="21" t="s">
        <v>120</v>
      </c>
      <c r="Q249" s="340">
        <f>1.55*Table15[[#This Row],[LF of Main]]</f>
        <v>31669.600000000002</v>
      </c>
      <c r="R249" s="1026" t="s">
        <v>2087</v>
      </c>
      <c r="S249" s="538" t="s">
        <v>709</v>
      </c>
      <c r="T249" s="538" t="s">
        <v>709</v>
      </c>
      <c r="U249" s="28" t="s">
        <v>709</v>
      </c>
      <c r="V249" s="857">
        <v>20432</v>
      </c>
      <c r="W249" s="440"/>
      <c r="X249" s="551">
        <v>2602182.5</v>
      </c>
      <c r="Y249" s="551"/>
      <c r="Z249" s="551">
        <v>45141.22</v>
      </c>
      <c r="AA249" s="551">
        <f>X249+Z249</f>
        <v>2647323.7200000002</v>
      </c>
      <c r="AB249" s="341"/>
      <c r="AC249" s="568" t="s">
        <v>709</v>
      </c>
      <c r="AD249" s="1157"/>
      <c r="AE249" s="568"/>
      <c r="AF249" s="568"/>
      <c r="AG249" s="568"/>
      <c r="AH249" s="183"/>
      <c r="AI249" s="1036"/>
      <c r="AJ249" s="1037"/>
      <c r="AK249" s="1037"/>
      <c r="AL249" s="1038"/>
      <c r="AM249" s="542" t="s">
        <v>709</v>
      </c>
      <c r="AN249" s="924"/>
      <c r="AO249" s="925"/>
      <c r="AP249" s="926"/>
      <c r="AQ249" s="926"/>
      <c r="AR249" s="926"/>
      <c r="AS249" s="926"/>
      <c r="AT249" s="926"/>
      <c r="AU249" s="926"/>
      <c r="AV249" s="926"/>
      <c r="AW249" s="927"/>
      <c r="AX249" s="926"/>
      <c r="AY249" s="1538" t="s">
        <v>29</v>
      </c>
      <c r="AZ249" s="1530"/>
      <c r="BA249" s="1031" t="s">
        <v>3013</v>
      </c>
      <c r="BB249" s="644" t="s">
        <v>3014</v>
      </c>
      <c r="BC249" s="544" t="s">
        <v>116</v>
      </c>
      <c r="BD249" s="544" t="s">
        <v>709</v>
      </c>
      <c r="BE249" s="544" t="s">
        <v>3015</v>
      </c>
      <c r="BF249" s="544" t="s">
        <v>709</v>
      </c>
      <c r="BG249" s="544" t="s">
        <v>3016</v>
      </c>
      <c r="BH249" s="741"/>
      <c r="BI249" s="547" t="s">
        <v>709</v>
      </c>
      <c r="BJ249" s="547" t="s">
        <v>709</v>
      </c>
      <c r="BK249" s="547" t="s">
        <v>709</v>
      </c>
      <c r="BL249" s="547" t="s">
        <v>116</v>
      </c>
      <c r="BM249" s="547" t="s">
        <v>709</v>
      </c>
      <c r="BN249" s="547" t="s">
        <v>709</v>
      </c>
      <c r="BO249" s="547" t="s">
        <v>709</v>
      </c>
      <c r="BP249" s="547" t="s">
        <v>709</v>
      </c>
      <c r="BQ249" s="547">
        <v>2204</v>
      </c>
      <c r="BR249" s="547">
        <v>2488</v>
      </c>
      <c r="BS249" s="547">
        <v>15740</v>
      </c>
      <c r="BT249" s="547" t="s">
        <v>745</v>
      </c>
      <c r="BU249" s="547" t="s">
        <v>709</v>
      </c>
      <c r="BV249" s="547" t="s">
        <v>745</v>
      </c>
      <c r="BW249" s="547" t="s">
        <v>709</v>
      </c>
      <c r="BX249" s="547" t="s">
        <v>745</v>
      </c>
      <c r="BY249" s="547" t="s">
        <v>745</v>
      </c>
      <c r="BZ249" s="547" t="s">
        <v>709</v>
      </c>
      <c r="CA249" s="483"/>
      <c r="CB249" s="547">
        <v>247</v>
      </c>
      <c r="CC249" s="1481" t="b">
        <v>1</v>
      </c>
      <c r="CD249" t="str">
        <f>Table15[[#This Row],[Engineering Number]]&amp;Table15[[#This Row],[WO Number]]&amp;Table15[[#This Row],[Date Assigned to Designer]]&amp;Table15[[#This Row],[Date Completed]]</f>
        <v>BS5781205374413844229</v>
      </c>
    </row>
    <row r="250" spans="1:82" customFormat="1" ht="15" customHeight="1" x14ac:dyDescent="0.25">
      <c r="A250">
        <v>2021</v>
      </c>
      <c r="B250" s="8" t="s">
        <v>4</v>
      </c>
      <c r="C250" s="8" t="s">
        <v>3018</v>
      </c>
      <c r="D250" s="8" t="s">
        <v>3019</v>
      </c>
      <c r="E250" s="8" t="s">
        <v>232</v>
      </c>
      <c r="F250" s="8" t="s">
        <v>919</v>
      </c>
      <c r="G250" s="8" t="s">
        <v>2814</v>
      </c>
      <c r="H250" s="8" t="s">
        <v>1681</v>
      </c>
      <c r="I250" s="642">
        <v>44176</v>
      </c>
      <c r="J250" s="18">
        <v>44239</v>
      </c>
      <c r="K250" s="642">
        <v>44230</v>
      </c>
      <c r="L250" s="16">
        <f>IF(ISTEXT(Table15[[#This Row],[Engineering Approved Design Date]]),Table15[[#This Row],[Date Completed]]-Table15[[#This Row],[Date Assigned to Designer]],Table15[[#This Row],[Engineering Approved Design Date]]-Table15[[#This Row],[Date Completed]])</f>
        <v>9</v>
      </c>
      <c r="M250" s="642"/>
      <c r="N250" s="642" t="s">
        <v>120</v>
      </c>
      <c r="O250" s="1025">
        <v>44230</v>
      </c>
      <c r="P250" s="21" t="s">
        <v>739</v>
      </c>
      <c r="Q250" s="340" t="s">
        <v>115</v>
      </c>
      <c r="R250" s="1026" t="s">
        <v>115</v>
      </c>
      <c r="S250" s="538"/>
      <c r="T250" s="538"/>
      <c r="U250" s="28"/>
      <c r="V250" s="857"/>
      <c r="W250" s="440"/>
      <c r="X250" s="551"/>
      <c r="Y250" s="551"/>
      <c r="Z250" s="551"/>
      <c r="AA250" s="551"/>
      <c r="AB250" s="341"/>
      <c r="AC250" s="568"/>
      <c r="AD250" s="1157"/>
      <c r="AE250" s="579"/>
      <c r="AF250" s="579"/>
      <c r="AG250" s="579"/>
      <c r="AH250" s="553"/>
      <c r="AI250" s="1036"/>
      <c r="AJ250" s="1037"/>
      <c r="AK250" s="1037"/>
      <c r="AL250" s="1038"/>
      <c r="AM250" s="542" t="s">
        <v>709</v>
      </c>
      <c r="AN250" s="924"/>
      <c r="AO250" s="925"/>
      <c r="AP250" s="926"/>
      <c r="AQ250" s="926"/>
      <c r="AR250" s="926"/>
      <c r="AS250" s="926"/>
      <c r="AT250" s="926"/>
      <c r="AU250" s="926"/>
      <c r="AV250" s="926"/>
      <c r="AW250" s="927"/>
      <c r="AX250" s="926"/>
      <c r="AY250" s="1538" t="s">
        <v>29</v>
      </c>
      <c r="AZ250" s="1530"/>
      <c r="BA250" s="1031" t="s">
        <v>3020</v>
      </c>
      <c r="BB250" s="644" t="s">
        <v>3021</v>
      </c>
      <c r="BC250" s="544"/>
      <c r="BD250" s="544"/>
      <c r="BE250" s="544"/>
      <c r="BF250" s="544"/>
      <c r="BG250" s="544"/>
      <c r="BH250" s="741"/>
      <c r="BI250" s="1032"/>
      <c r="BJ250" s="1032"/>
      <c r="BK250" s="1032"/>
      <c r="BL250" s="1032"/>
      <c r="BM250" s="1032"/>
      <c r="BN250" s="1032"/>
      <c r="BO250" s="1032"/>
      <c r="BP250" s="1032"/>
      <c r="BQ250" s="1032"/>
      <c r="BR250" s="1032"/>
      <c r="BS250" s="1032"/>
      <c r="BT250" s="1032"/>
      <c r="BU250" s="1032"/>
      <c r="BV250" s="1032"/>
      <c r="BW250" s="1032"/>
      <c r="BX250" s="1032"/>
      <c r="BY250" s="1032"/>
      <c r="BZ250" s="1032"/>
      <c r="CA250" s="485"/>
      <c r="CB250" s="547">
        <v>248</v>
      </c>
      <c r="CC250" s="1481" t="b">
        <v>1</v>
      </c>
      <c r="CD250" t="str">
        <f>Table15[[#This Row],[Engineering Number]]&amp;Table15[[#This Row],[WO Number]]&amp;Table15[[#This Row],[Date Assigned to Designer]]&amp;Table15[[#This Row],[Date Completed]]</f>
        <v>SC186591408544417644230</v>
      </c>
    </row>
    <row r="251" spans="1:82" customFormat="1" ht="15" customHeight="1" x14ac:dyDescent="0.25">
      <c r="A251">
        <v>2021</v>
      </c>
      <c r="B251" s="8" t="s">
        <v>2989</v>
      </c>
      <c r="C251" s="8" t="s">
        <v>170</v>
      </c>
      <c r="D251" s="656" t="s">
        <v>3023</v>
      </c>
      <c r="E251" s="8" t="s">
        <v>171</v>
      </c>
      <c r="F251" s="8" t="s">
        <v>738</v>
      </c>
      <c r="G251" s="8" t="s">
        <v>2814</v>
      </c>
      <c r="H251" s="8" t="s">
        <v>59</v>
      </c>
      <c r="I251" s="642">
        <v>44126</v>
      </c>
      <c r="J251" s="18">
        <v>44235</v>
      </c>
      <c r="K251" s="642">
        <v>44231</v>
      </c>
      <c r="L251" s="16">
        <f>IF(ISTEXT(Table15[[#This Row],[Engineering Approved Design Date]]),Table15[[#This Row],[Date Completed]]-Table15[[#This Row],[Date Assigned to Designer]],Table15[[#This Row],[Engineering Approved Design Date]]-Table15[[#This Row],[Date Completed]])</f>
        <v>4</v>
      </c>
      <c r="M251" s="642"/>
      <c r="N251" s="642" t="s">
        <v>120</v>
      </c>
      <c r="O251" s="1025">
        <v>44231</v>
      </c>
      <c r="P251" s="21" t="s">
        <v>739</v>
      </c>
      <c r="Q251" s="340">
        <f>R251*AA251</f>
        <v>11690.099099999999</v>
      </c>
      <c r="R251" s="1026">
        <v>0.09</v>
      </c>
      <c r="S251" s="538" t="s">
        <v>709</v>
      </c>
      <c r="T251" s="538" t="s">
        <v>709</v>
      </c>
      <c r="U251" s="28" t="s">
        <v>709</v>
      </c>
      <c r="V251" s="857">
        <v>72</v>
      </c>
      <c r="W251" s="440"/>
      <c r="X251" s="551">
        <v>106151.71</v>
      </c>
      <c r="Y251" s="551"/>
      <c r="Z251" s="551">
        <v>23738.28</v>
      </c>
      <c r="AA251" s="551">
        <f>X251+Z251</f>
        <v>129889.99</v>
      </c>
      <c r="AB251" s="341"/>
      <c r="AC251" s="568" t="s">
        <v>116</v>
      </c>
      <c r="AD251" s="1157"/>
      <c r="AE251" s="579"/>
      <c r="AF251" s="579"/>
      <c r="AG251" s="579"/>
      <c r="AH251" s="553"/>
      <c r="AI251" s="1036"/>
      <c r="AJ251" s="1037"/>
      <c r="AK251" s="1037"/>
      <c r="AL251" s="1038"/>
      <c r="AM251" s="1522" t="s">
        <v>116</v>
      </c>
      <c r="AN251" s="1523">
        <v>44354</v>
      </c>
      <c r="AO251" s="1524">
        <v>189166</v>
      </c>
      <c r="AP251" s="1525">
        <v>109631.49</v>
      </c>
      <c r="AQ251" s="1525"/>
      <c r="AR251" s="1525">
        <v>24062.58</v>
      </c>
      <c r="AS251" s="1525">
        <f>IF(Table15[[#This Row],[PCTS Approved]]="N",0,Table15[[#This Row],[Investment Amount (1'#'#'#'#'#)]]+Table15[[#This Row],[Retirement Amount (3'#'#'#'#'#)]])</f>
        <v>133694.07</v>
      </c>
      <c r="AT251" s="1525">
        <f>IF(Table15[[#This Row],[Approved Construction Cost]]=0,0,Table15[[#This Row],[Approved Construction Cost]]-Table15[[#This Row],[Construction Cost to Bill From]])</f>
        <v>3804.0800000000017</v>
      </c>
      <c r="AU251" s="1525">
        <f>Table15[[#This Row],[Difference in Construction Cost]]*Table15[[#This Row],[Rate]]</f>
        <v>342.36720000000014</v>
      </c>
      <c r="AV251" s="1525" t="s">
        <v>709</v>
      </c>
      <c r="AW251" s="1526" t="s">
        <v>3024</v>
      </c>
      <c r="AX251" s="1525">
        <v>342.36720000000014</v>
      </c>
      <c r="AY251" s="1518">
        <v>44501</v>
      </c>
      <c r="AZ251" s="333"/>
      <c r="BA251" s="1031" t="s">
        <v>3025</v>
      </c>
      <c r="BB251" s="644" t="s">
        <v>2994</v>
      </c>
      <c r="BC251" s="544" t="s">
        <v>709</v>
      </c>
      <c r="BD251" s="544" t="s">
        <v>3026</v>
      </c>
      <c r="BE251" s="544" t="s">
        <v>709</v>
      </c>
      <c r="BF251" s="544" t="s">
        <v>1495</v>
      </c>
      <c r="BG251" s="544" t="s">
        <v>709</v>
      </c>
      <c r="BH251" s="741"/>
      <c r="BI251" s="547" t="s">
        <v>116</v>
      </c>
      <c r="BJ251" s="547" t="s">
        <v>709</v>
      </c>
      <c r="BK251" s="547" t="s">
        <v>709</v>
      </c>
      <c r="BL251" s="547" t="s">
        <v>709</v>
      </c>
      <c r="BM251" s="547" t="s">
        <v>709</v>
      </c>
      <c r="BN251" s="547" t="s">
        <v>709</v>
      </c>
      <c r="BO251" s="547" t="s">
        <v>709</v>
      </c>
      <c r="BP251" s="547" t="s">
        <v>709</v>
      </c>
      <c r="BQ251" s="547">
        <v>72</v>
      </c>
      <c r="BR251" s="547" t="s">
        <v>709</v>
      </c>
      <c r="BS251" s="547" t="s">
        <v>709</v>
      </c>
      <c r="BT251" s="547" t="s">
        <v>709</v>
      </c>
      <c r="BU251" s="547" t="s">
        <v>709</v>
      </c>
      <c r="BV251" s="547" t="s">
        <v>709</v>
      </c>
      <c r="BW251" s="547" t="s">
        <v>709</v>
      </c>
      <c r="BX251" s="547" t="s">
        <v>709</v>
      </c>
      <c r="BY251" s="547" t="s">
        <v>709</v>
      </c>
      <c r="BZ251" s="547" t="s">
        <v>709</v>
      </c>
      <c r="CA251" s="483" t="s">
        <v>2</v>
      </c>
      <c r="CB251" s="547">
        <v>249</v>
      </c>
      <c r="CC251" s="1481" t="b">
        <v>1</v>
      </c>
      <c r="CD251" t="str">
        <f>Table15[[#This Row],[Engineering Number]]&amp;Table15[[#This Row],[WO Number]]&amp;Table15[[#This Row],[Date Assigned to Designer]]&amp;Table15[[#This Row],[Date Completed]]</f>
        <v>MR15081292994412644231</v>
      </c>
    </row>
    <row r="252" spans="1:82" customFormat="1" ht="15" customHeight="1" x14ac:dyDescent="0.25">
      <c r="A252">
        <v>2021</v>
      </c>
      <c r="B252" s="8" t="s">
        <v>771</v>
      </c>
      <c r="C252" s="8" t="s">
        <v>2671</v>
      </c>
      <c r="D252" s="8" t="s">
        <v>2672</v>
      </c>
      <c r="E252" s="8" t="s">
        <v>818</v>
      </c>
      <c r="F252" s="8" t="s">
        <v>919</v>
      </c>
      <c r="G252" s="8" t="s">
        <v>1882</v>
      </c>
      <c r="H252" s="8" t="s">
        <v>2051</v>
      </c>
      <c r="I252" s="642">
        <v>43963</v>
      </c>
      <c r="J252" s="18" t="s">
        <v>2052</v>
      </c>
      <c r="K252" s="642">
        <v>44232</v>
      </c>
      <c r="L252" s="16">
        <f>IF(ISTEXT(Table15[[#This Row],[Engineering Approved Design Date]]),Table15[[#This Row],[Date Completed]]-Table15[[#This Row],[Date Assigned to Designer]],Table15[[#This Row],[Engineering Approved Design Date]]-Table15[[#This Row],[Date Completed]])</f>
        <v>269</v>
      </c>
      <c r="M252" s="642" t="s">
        <v>3028</v>
      </c>
      <c r="N252" s="642" t="s">
        <v>120</v>
      </c>
      <c r="O252" s="1025">
        <v>44232</v>
      </c>
      <c r="P252" s="21" t="s">
        <v>120</v>
      </c>
      <c r="Q252" s="340">
        <f>Table15[[#This Row],[KH Hourly Effort]]</f>
        <v>2352.5</v>
      </c>
      <c r="R252" s="1026" t="s">
        <v>1922</v>
      </c>
      <c r="S252" s="538" t="s">
        <v>709</v>
      </c>
      <c r="T252" s="538" t="s">
        <v>709</v>
      </c>
      <c r="U252" s="28">
        <v>2352.5</v>
      </c>
      <c r="V252" s="857">
        <v>3534</v>
      </c>
      <c r="W252" s="440"/>
      <c r="X252" s="551">
        <v>529338.85</v>
      </c>
      <c r="Y252" s="551">
        <v>0</v>
      </c>
      <c r="Z252" s="551">
        <v>50225.69</v>
      </c>
      <c r="AA252" s="551">
        <f>X252+Z252</f>
        <v>579564.54</v>
      </c>
      <c r="AB252" s="341"/>
      <c r="AC252" s="568"/>
      <c r="AD252" s="1157"/>
      <c r="AE252" s="568"/>
      <c r="AF252" s="568"/>
      <c r="AG252" s="568"/>
      <c r="AH252" s="183"/>
      <c r="AI252" s="1036"/>
      <c r="AJ252" s="1037"/>
      <c r="AK252" s="1037"/>
      <c r="AL252" s="1038"/>
      <c r="AM252" s="542" t="s">
        <v>709</v>
      </c>
      <c r="AN252" s="924"/>
      <c r="AO252" s="925"/>
      <c r="AP252" s="926"/>
      <c r="AQ252" s="926"/>
      <c r="AR252" s="926"/>
      <c r="AS252" s="926"/>
      <c r="AT252" s="926"/>
      <c r="AU252" s="926"/>
      <c r="AV252" s="926"/>
      <c r="AW252" s="927"/>
      <c r="AX252" s="926"/>
      <c r="AY252" s="1538" t="s">
        <v>29</v>
      </c>
      <c r="AZ252" s="1530"/>
      <c r="BA252" s="1031">
        <v>4</v>
      </c>
      <c r="BB252" s="644"/>
      <c r="BC252" s="544"/>
      <c r="BD252" s="544"/>
      <c r="BE252" s="544"/>
      <c r="BF252" s="544"/>
      <c r="BG252" s="544"/>
      <c r="BH252" s="741"/>
      <c r="BI252" s="547" t="s">
        <v>709</v>
      </c>
      <c r="BJ252" s="547" t="s">
        <v>709</v>
      </c>
      <c r="BK252" s="547" t="s">
        <v>709</v>
      </c>
      <c r="BL252" s="547" t="s">
        <v>116</v>
      </c>
      <c r="BM252" s="547" t="s">
        <v>709</v>
      </c>
      <c r="BN252" s="547" t="s">
        <v>709</v>
      </c>
      <c r="BO252" s="547" t="s">
        <v>709</v>
      </c>
      <c r="BP252" s="547" t="s">
        <v>709</v>
      </c>
      <c r="BQ252" s="547" t="s">
        <v>709</v>
      </c>
      <c r="BR252" s="547">
        <v>2174</v>
      </c>
      <c r="BS252" s="547">
        <v>1360</v>
      </c>
      <c r="BT252" s="547" t="s">
        <v>745</v>
      </c>
      <c r="BU252" s="547" t="s">
        <v>709</v>
      </c>
      <c r="BV252" s="547" t="s">
        <v>745</v>
      </c>
      <c r="BW252" s="547" t="s">
        <v>709</v>
      </c>
      <c r="BX252" s="547" t="s">
        <v>745</v>
      </c>
      <c r="BY252" s="547" t="s">
        <v>745</v>
      </c>
      <c r="BZ252" s="547" t="s">
        <v>709</v>
      </c>
      <c r="CA252" s="483"/>
      <c r="CB252" s="547">
        <v>250</v>
      </c>
      <c r="CC252" s="1481" t="b">
        <v>1</v>
      </c>
      <c r="CD252" t="str">
        <f>Table15[[#This Row],[Engineering Number]]&amp;Table15[[#This Row],[WO Number]]&amp;Table15[[#This Row],[Date Assigned to Designer]]&amp;Table15[[#This Row],[Date Completed]]</f>
        <v>BS1991356744396344232</v>
      </c>
    </row>
    <row r="253" spans="1:82" customFormat="1" ht="15" customHeight="1" x14ac:dyDescent="0.25">
      <c r="A253">
        <v>2021</v>
      </c>
      <c r="B253" s="8" t="s">
        <v>4</v>
      </c>
      <c r="C253" s="8" t="s">
        <v>3030</v>
      </c>
      <c r="D253" s="8" t="s">
        <v>115</v>
      </c>
      <c r="E253" s="8" t="s">
        <v>232</v>
      </c>
      <c r="F253" s="8" t="s">
        <v>919</v>
      </c>
      <c r="G253" s="8" t="s">
        <v>2743</v>
      </c>
      <c r="H253" s="8" t="s">
        <v>1681</v>
      </c>
      <c r="I253" s="642">
        <v>44203</v>
      </c>
      <c r="J253" s="18">
        <v>44266</v>
      </c>
      <c r="K253" s="642">
        <v>44236</v>
      </c>
      <c r="L253" s="16">
        <f>IF(ISTEXT(Table15[[#This Row],[Engineering Approved Design Date]]),Table15[[#This Row],[Date Completed]]-Table15[[#This Row],[Date Assigned to Designer]],Table15[[#This Row],[Engineering Approved Design Date]]-Table15[[#This Row],[Date Completed]])</f>
        <v>30</v>
      </c>
      <c r="M253" s="642"/>
      <c r="N253" s="642" t="s">
        <v>120</v>
      </c>
      <c r="O253" s="1025">
        <v>44236</v>
      </c>
      <c r="P253" s="21" t="s">
        <v>739</v>
      </c>
      <c r="Q253" s="340" t="s">
        <v>115</v>
      </c>
      <c r="R253" s="1026" t="s">
        <v>115</v>
      </c>
      <c r="S253" s="538"/>
      <c r="T253" s="538"/>
      <c r="U253" s="28"/>
      <c r="V253" s="857"/>
      <c r="W253" s="440"/>
      <c r="X253" s="551"/>
      <c r="Y253" s="551"/>
      <c r="Z253" s="551"/>
      <c r="AA253" s="551"/>
      <c r="AB253" s="341"/>
      <c r="AC253" s="568"/>
      <c r="AD253" s="1157"/>
      <c r="AE253" s="579"/>
      <c r="AF253" s="579"/>
      <c r="AG253" s="579"/>
      <c r="AH253" s="553"/>
      <c r="AI253" s="1036"/>
      <c r="AJ253" s="1037"/>
      <c r="AK253" s="1037"/>
      <c r="AL253" s="1038"/>
      <c r="AM253" s="542" t="s">
        <v>709</v>
      </c>
      <c r="AN253" s="924"/>
      <c r="AO253" s="925"/>
      <c r="AP253" s="926"/>
      <c r="AQ253" s="926"/>
      <c r="AR253" s="926"/>
      <c r="AS253" s="926"/>
      <c r="AT253" s="926"/>
      <c r="AU253" s="926"/>
      <c r="AV253" s="926"/>
      <c r="AW253" s="927"/>
      <c r="AX253" s="926"/>
      <c r="AY253" s="1538" t="s">
        <v>29</v>
      </c>
      <c r="AZ253" s="1530"/>
      <c r="BA253" s="1031" t="s">
        <v>3031</v>
      </c>
      <c r="BB253" s="644" t="s">
        <v>3032</v>
      </c>
      <c r="BC253" s="544"/>
      <c r="BD253" s="544"/>
      <c r="BE253" s="544"/>
      <c r="BF253" s="544"/>
      <c r="BG253" s="544"/>
      <c r="BH253" s="741"/>
      <c r="BI253" s="1032"/>
      <c r="BJ253" s="1032"/>
      <c r="BK253" s="1032"/>
      <c r="BL253" s="1032"/>
      <c r="BM253" s="1032"/>
      <c r="BN253" s="1032"/>
      <c r="BO253" s="1032"/>
      <c r="BP253" s="1032"/>
      <c r="BQ253" s="1032"/>
      <c r="BR253" s="1032"/>
      <c r="BS253" s="1032"/>
      <c r="BT253" s="1032"/>
      <c r="BU253" s="1032"/>
      <c r="BV253" s="1032"/>
      <c r="BW253" s="1032"/>
      <c r="BX253" s="1032"/>
      <c r="BY253" s="1032"/>
      <c r="BZ253" s="1032"/>
      <c r="CA253" s="485"/>
      <c r="CB253" s="547">
        <v>251</v>
      </c>
      <c r="CC253" s="1481" t="b">
        <v>1</v>
      </c>
      <c r="CD253" t="str">
        <f>Table15[[#This Row],[Engineering Number]]&amp;Table15[[#This Row],[WO Number]]&amp;Table15[[#This Row],[Date Assigned to Designer]]&amp;Table15[[#This Row],[Date Completed]]</f>
        <v>SC18574-4420344236</v>
      </c>
    </row>
    <row r="254" spans="1:82" customFormat="1" ht="15" customHeight="1" x14ac:dyDescent="0.25">
      <c r="A254">
        <v>2021</v>
      </c>
      <c r="B254" s="8" t="s">
        <v>4</v>
      </c>
      <c r="C254" s="8" t="s">
        <v>175</v>
      </c>
      <c r="D254" s="656" t="s">
        <v>3035</v>
      </c>
      <c r="E254" s="8" t="s">
        <v>3036</v>
      </c>
      <c r="F254" s="8" t="s">
        <v>919</v>
      </c>
      <c r="G254" s="8" t="s">
        <v>2814</v>
      </c>
      <c r="H254" s="8" t="s">
        <v>59</v>
      </c>
      <c r="I254" s="642">
        <v>44172</v>
      </c>
      <c r="J254" s="18">
        <v>44243</v>
      </c>
      <c r="K254" s="642">
        <v>44237</v>
      </c>
      <c r="L254" s="16">
        <f>IF(ISTEXT(Table15[[#This Row],[Engineering Approved Design Date]]),Table15[[#This Row],[Date Completed]]-Table15[[#This Row],[Date Assigned to Designer]],Table15[[#This Row],[Engineering Approved Design Date]]-Table15[[#This Row],[Date Completed]])</f>
        <v>6</v>
      </c>
      <c r="M254" s="642"/>
      <c r="N254" s="642" t="s">
        <v>120</v>
      </c>
      <c r="O254" s="1025">
        <v>44237</v>
      </c>
      <c r="P254" s="21" t="s">
        <v>739</v>
      </c>
      <c r="Q254" s="340">
        <f>R254*AA254</f>
        <v>70373.892000000007</v>
      </c>
      <c r="R254" s="1026">
        <v>0.1</v>
      </c>
      <c r="S254" s="538" t="s">
        <v>709</v>
      </c>
      <c r="T254" s="538" t="s">
        <v>709</v>
      </c>
      <c r="U254" s="28" t="s">
        <v>709</v>
      </c>
      <c r="V254" s="857">
        <v>2370</v>
      </c>
      <c r="W254" s="440"/>
      <c r="X254" s="551">
        <v>492982.84</v>
      </c>
      <c r="Y254" s="551"/>
      <c r="Z254" s="551">
        <v>210756.08</v>
      </c>
      <c r="AA254" s="551">
        <f>X254+Z254</f>
        <v>703738.92</v>
      </c>
      <c r="AB254" s="341"/>
      <c r="AC254" s="568" t="s">
        <v>116</v>
      </c>
      <c r="AD254" s="1157"/>
      <c r="AE254" s="579"/>
      <c r="AF254" s="579"/>
      <c r="AG254" s="579"/>
      <c r="AH254" s="553"/>
      <c r="AI254" s="1036"/>
      <c r="AJ254" s="1037"/>
      <c r="AK254" s="1037"/>
      <c r="AL254" s="1038"/>
      <c r="AM254" s="1522" t="s">
        <v>116</v>
      </c>
      <c r="AN254" s="1523">
        <v>44307</v>
      </c>
      <c r="AO254" s="1524">
        <v>188308</v>
      </c>
      <c r="AP254" s="1525">
        <v>510642.72</v>
      </c>
      <c r="AQ254" s="1525"/>
      <c r="AR254" s="1525">
        <v>210756.08</v>
      </c>
      <c r="AS254" s="1525">
        <f>IF(Table15[[#This Row],[PCTS Approved]]="N",0,Table15[[#This Row],[Investment Amount (1'#'#'#'#'#)]]+Table15[[#This Row],[Retirement Amount (3'#'#'#'#'#)]])</f>
        <v>721398.79999999993</v>
      </c>
      <c r="AT254" s="1525">
        <f>IF(Table15[[#This Row],[Approved Construction Cost]]=0,0,Table15[[#This Row],[Approved Construction Cost]]-Table15[[#This Row],[Construction Cost to Bill From]])</f>
        <v>17659.879999999888</v>
      </c>
      <c r="AU254" s="1525">
        <f>Table15[[#This Row],[Difference in Construction Cost]]*Table15[[#This Row],[Rate]]</f>
        <v>1765.9879999999889</v>
      </c>
      <c r="AV254" s="1525" t="s">
        <v>709</v>
      </c>
      <c r="AW254" s="1526" t="s">
        <v>3037</v>
      </c>
      <c r="AX254" s="1525">
        <v>1765.9879999999889</v>
      </c>
      <c r="AY254" s="1518">
        <v>44501</v>
      </c>
      <c r="AZ254" s="333"/>
      <c r="BA254" s="1031" t="s">
        <v>3038</v>
      </c>
      <c r="BB254" s="644" t="s">
        <v>3039</v>
      </c>
      <c r="BC254" s="544" t="s">
        <v>709</v>
      </c>
      <c r="BD254" s="544" t="s">
        <v>709</v>
      </c>
      <c r="BE254" s="544" t="s">
        <v>176</v>
      </c>
      <c r="BF254" s="544" t="s">
        <v>709</v>
      </c>
      <c r="BG254" s="544" t="s">
        <v>709</v>
      </c>
      <c r="BH254" s="741"/>
      <c r="BI254" s="547" t="s">
        <v>709</v>
      </c>
      <c r="BJ254" s="547" t="s">
        <v>709</v>
      </c>
      <c r="BK254" s="547" t="s">
        <v>709</v>
      </c>
      <c r="BL254" s="547" t="s">
        <v>116</v>
      </c>
      <c r="BM254" s="547" t="s">
        <v>709</v>
      </c>
      <c r="BN254" s="547" t="s">
        <v>709</v>
      </c>
      <c r="BO254" s="547" t="s">
        <v>709</v>
      </c>
      <c r="BP254" s="547">
        <v>1695</v>
      </c>
      <c r="BQ254" s="547" t="s">
        <v>709</v>
      </c>
      <c r="BR254" s="547" t="s">
        <v>709</v>
      </c>
      <c r="BS254" s="547">
        <v>675</v>
      </c>
      <c r="BT254" s="547" t="s">
        <v>745</v>
      </c>
      <c r="BU254" s="547" t="s">
        <v>709</v>
      </c>
      <c r="BV254" s="547" t="s">
        <v>745</v>
      </c>
      <c r="BW254" s="547" t="s">
        <v>709</v>
      </c>
      <c r="BX254" s="547" t="s">
        <v>745</v>
      </c>
      <c r="BY254" s="547" t="s">
        <v>745</v>
      </c>
      <c r="BZ254" s="547" t="s">
        <v>709</v>
      </c>
      <c r="CA254" s="483"/>
      <c r="CB254" s="547">
        <v>253</v>
      </c>
      <c r="CC254" s="1481" t="b">
        <v>1</v>
      </c>
      <c r="CD254" t="str">
        <f>Table15[[#This Row],[Engineering Number]]&amp;Table15[[#This Row],[WO Number]]&amp;Table15[[#This Row],[Date Assigned to Designer]]&amp;Table15[[#This Row],[Date Completed]]</f>
        <v>M120631205574417244237</v>
      </c>
    </row>
    <row r="255" spans="1:82" customFormat="1" ht="15" customHeight="1" x14ac:dyDescent="0.25">
      <c r="A255">
        <v>2021</v>
      </c>
      <c r="B255" s="8" t="s">
        <v>1073</v>
      </c>
      <c r="C255" s="8" t="s">
        <v>3041</v>
      </c>
      <c r="D255" s="656" t="s">
        <v>3042</v>
      </c>
      <c r="E255" s="8" t="s">
        <v>354</v>
      </c>
      <c r="F255" s="8" t="s">
        <v>738</v>
      </c>
      <c r="G255" s="8" t="s">
        <v>36</v>
      </c>
      <c r="H255" s="8" t="s">
        <v>59</v>
      </c>
      <c r="I255" s="642">
        <v>44203</v>
      </c>
      <c r="J255" s="18">
        <v>44239</v>
      </c>
      <c r="K255" s="642">
        <v>44237</v>
      </c>
      <c r="L255" s="16">
        <f>IF(ISTEXT(Table15[[#This Row],[Engineering Approved Design Date]]),Table15[[#This Row],[Date Completed]]-Table15[[#This Row],[Date Assigned to Designer]],Table15[[#This Row],[Engineering Approved Design Date]]-Table15[[#This Row],[Date Completed]])</f>
        <v>2</v>
      </c>
      <c r="M255" s="642"/>
      <c r="N255" s="642" t="s">
        <v>120</v>
      </c>
      <c r="O255" s="1025">
        <v>44237</v>
      </c>
      <c r="P255" s="21" t="s">
        <v>739</v>
      </c>
      <c r="Q255" s="340">
        <f>R255*AA255</f>
        <v>6254.1038000000017</v>
      </c>
      <c r="R255" s="1026">
        <v>7.0000000000000007E-2</v>
      </c>
      <c r="S255" s="538" t="s">
        <v>709</v>
      </c>
      <c r="T255" s="538" t="s">
        <v>709</v>
      </c>
      <c r="U255" s="28" t="s">
        <v>709</v>
      </c>
      <c r="V255" s="857"/>
      <c r="W255" s="440"/>
      <c r="X255" s="551">
        <v>79241.570000000007</v>
      </c>
      <c r="Y255" s="1485"/>
      <c r="Z255" s="551">
        <v>10102.77</v>
      </c>
      <c r="AA255" s="551">
        <f>X255+Z255</f>
        <v>89344.340000000011</v>
      </c>
      <c r="AB255" s="341"/>
      <c r="AC255" s="568" t="s">
        <v>709</v>
      </c>
      <c r="AD255" s="1157"/>
      <c r="AE255" s="568"/>
      <c r="AF255" s="568"/>
      <c r="AG255" s="568"/>
      <c r="AH255" s="183"/>
      <c r="AI255" s="1036"/>
      <c r="AJ255" s="1037"/>
      <c r="AK255" s="1037"/>
      <c r="AL255" s="1038"/>
      <c r="AM255" s="1522" t="s">
        <v>116</v>
      </c>
      <c r="AN255" s="1523">
        <v>44249</v>
      </c>
      <c r="AO255" s="1524">
        <v>187478</v>
      </c>
      <c r="AP255" s="1525">
        <v>79241.570000000007</v>
      </c>
      <c r="AQ255" s="1525"/>
      <c r="AR255" s="1525">
        <v>0</v>
      </c>
      <c r="AS255" s="1525">
        <f>IF(Table15[[#This Row],[PCTS Approved]]="N",0,Table15[[#This Row],[Investment Amount (1'#'#'#'#'#)]]+Table15[[#This Row],[Retirement Amount (3'#'#'#'#'#)]])</f>
        <v>79241.570000000007</v>
      </c>
      <c r="AT255" s="1525">
        <f>IF(Table15[[#This Row],[Approved Construction Cost]]=0,0,Table15[[#This Row],[Approved Construction Cost]]-Table15[[#This Row],[Construction Cost to Bill From]])</f>
        <v>-10102.770000000004</v>
      </c>
      <c r="AU255" s="1525">
        <f>Table15[[#This Row],[Difference in Construction Cost]]*Table15[[#This Row],[Rate]]</f>
        <v>-707.19390000000033</v>
      </c>
      <c r="AV255" s="1525" t="s">
        <v>709</v>
      </c>
      <c r="AW255" s="1526"/>
      <c r="AX255" s="1525">
        <v>-707.19390000000033</v>
      </c>
      <c r="AY255" s="1518">
        <v>44501</v>
      </c>
      <c r="AZ255" s="1532"/>
      <c r="BA255" s="1031" t="s">
        <v>3043</v>
      </c>
      <c r="BB255" s="644"/>
      <c r="BC255" s="544" t="s">
        <v>709</v>
      </c>
      <c r="BD255" s="544" t="s">
        <v>743</v>
      </c>
      <c r="BE255" s="544" t="s">
        <v>588</v>
      </c>
      <c r="BF255" s="544" t="s">
        <v>709</v>
      </c>
      <c r="BG255" s="544" t="s">
        <v>709</v>
      </c>
      <c r="BH255" s="741"/>
      <c r="BI255" s="547" t="s">
        <v>709</v>
      </c>
      <c r="BJ255" s="547" t="s">
        <v>709</v>
      </c>
      <c r="BK255" s="547" t="s">
        <v>116</v>
      </c>
      <c r="BL255" s="547" t="s">
        <v>116</v>
      </c>
      <c r="BM255" s="547" t="s">
        <v>709</v>
      </c>
      <c r="BN255" s="547" t="s">
        <v>709</v>
      </c>
      <c r="BO255" s="547" t="s">
        <v>709</v>
      </c>
      <c r="BP255" s="547" t="s">
        <v>709</v>
      </c>
      <c r="BQ255" s="547" t="s">
        <v>709</v>
      </c>
      <c r="BR255" s="547">
        <v>636</v>
      </c>
      <c r="BS255" s="547" t="s">
        <v>709</v>
      </c>
      <c r="BT255" s="547" t="s">
        <v>745</v>
      </c>
      <c r="BU255" s="547" t="s">
        <v>709</v>
      </c>
      <c r="BV255" s="547" t="s">
        <v>745</v>
      </c>
      <c r="BW255" s="547" t="s">
        <v>709</v>
      </c>
      <c r="BX255" s="547" t="s">
        <v>745</v>
      </c>
      <c r="BY255" s="547" t="s">
        <v>2788</v>
      </c>
      <c r="BZ255" s="547" t="s">
        <v>709</v>
      </c>
      <c r="CA255" s="483" t="s">
        <v>2739</v>
      </c>
      <c r="CB255" s="547">
        <v>254</v>
      </c>
      <c r="CC255" s="1481" t="b">
        <v>1</v>
      </c>
      <c r="CD255" t="str">
        <f>Table15[[#This Row],[Engineering Number]]&amp;Table15[[#This Row],[WO Number]]&amp;Table15[[#This Row],[Date Assigned to Designer]]&amp;Table15[[#This Row],[Date Completed]]</f>
        <v>NBA19301131686734420344237</v>
      </c>
    </row>
    <row r="256" spans="1:82" customFormat="1" ht="15" customHeight="1" x14ac:dyDescent="0.25">
      <c r="A256">
        <v>2021</v>
      </c>
      <c r="B256" s="8" t="s">
        <v>1073</v>
      </c>
      <c r="C256" s="8" t="s">
        <v>3041</v>
      </c>
      <c r="D256" s="656" t="s">
        <v>3045</v>
      </c>
      <c r="E256" s="8" t="s">
        <v>354</v>
      </c>
      <c r="F256" s="8" t="s">
        <v>738</v>
      </c>
      <c r="G256" s="8" t="s">
        <v>36</v>
      </c>
      <c r="H256" s="8" t="s">
        <v>59</v>
      </c>
      <c r="I256" s="642">
        <v>44203</v>
      </c>
      <c r="J256" s="18">
        <v>44239</v>
      </c>
      <c r="K256" s="642">
        <v>44237</v>
      </c>
      <c r="L256" s="16">
        <f>IF(ISTEXT(Table15[[#This Row],[Engineering Approved Design Date]]),Table15[[#This Row],[Date Completed]]-Table15[[#This Row],[Date Assigned to Designer]],Table15[[#This Row],[Engineering Approved Design Date]]-Table15[[#This Row],[Date Completed]])</f>
        <v>2</v>
      </c>
      <c r="M256" s="642"/>
      <c r="N256" s="642" t="s">
        <v>120</v>
      </c>
      <c r="O256" s="1025">
        <v>44237</v>
      </c>
      <c r="P256" s="21" t="s">
        <v>739</v>
      </c>
      <c r="Q256" s="340">
        <f>R256*AA256</f>
        <v>3790.8360000000007</v>
      </c>
      <c r="R256" s="1026">
        <v>7.0000000000000007E-2</v>
      </c>
      <c r="S256" s="538" t="s">
        <v>709</v>
      </c>
      <c r="T256" s="538" t="s">
        <v>709</v>
      </c>
      <c r="U256" s="28" t="s">
        <v>709</v>
      </c>
      <c r="V256" s="858"/>
      <c r="W256" s="437"/>
      <c r="X256" s="551">
        <v>54154.8</v>
      </c>
      <c r="Y256" s="1485"/>
      <c r="Z256" s="551">
        <v>0</v>
      </c>
      <c r="AA256" s="551">
        <f>X256+Z256</f>
        <v>54154.8</v>
      </c>
      <c r="AB256" s="341"/>
      <c r="AC256" s="568" t="s">
        <v>709</v>
      </c>
      <c r="AD256" s="1157"/>
      <c r="AE256" s="568" t="s">
        <v>29</v>
      </c>
      <c r="AF256" s="568" t="s">
        <v>29</v>
      </c>
      <c r="AG256" s="568" t="s">
        <v>29</v>
      </c>
      <c r="AH256" s="183" t="s">
        <v>29</v>
      </c>
      <c r="AI256" s="1036"/>
      <c r="AJ256" s="1037"/>
      <c r="AK256" s="1037"/>
      <c r="AL256" s="1038"/>
      <c r="AM256" s="542" t="s">
        <v>116</v>
      </c>
      <c r="AN256" s="1508">
        <v>44249</v>
      </c>
      <c r="AO256" s="925">
        <v>187487</v>
      </c>
      <c r="AP256" s="926">
        <v>54154.8</v>
      </c>
      <c r="AQ256" s="926"/>
      <c r="AR256" s="926">
        <v>0</v>
      </c>
      <c r="AS256" s="926">
        <f>IF(Table15[[#This Row],[PCTS Approved]]="N",0,Table15[[#This Row],[Investment Amount (1'#'#'#'#'#)]]+Table15[[#This Row],[Retirement Amount (3'#'#'#'#'#)]])</f>
        <v>54154.8</v>
      </c>
      <c r="AT256" s="926">
        <f>IF(Table15[[#This Row],[Approved Construction Cost]]=0,0,Table15[[#This Row],[Approved Construction Cost]]-Table15[[#This Row],[Construction Cost to Bill From]])</f>
        <v>0</v>
      </c>
      <c r="AU256" s="926">
        <f>Table15[[#This Row],[Difference in Construction Cost]]*Table15[[#This Row],[Rate]]</f>
        <v>0</v>
      </c>
      <c r="AV256" s="926" t="s">
        <v>709</v>
      </c>
      <c r="AW256" s="927"/>
      <c r="AX256" s="926"/>
      <c r="AY256" s="636" t="s">
        <v>1935</v>
      </c>
      <c r="AZ256" s="1531"/>
      <c r="BA256" s="1031"/>
      <c r="BB256" s="644"/>
      <c r="BC256" s="544" t="s">
        <v>709</v>
      </c>
      <c r="BD256" s="544" t="s">
        <v>743</v>
      </c>
      <c r="BE256" s="544" t="s">
        <v>588</v>
      </c>
      <c r="BF256" s="544" t="s">
        <v>709</v>
      </c>
      <c r="BG256" s="544" t="s">
        <v>709</v>
      </c>
      <c r="BH256" s="741"/>
      <c r="BI256" s="547" t="s">
        <v>709</v>
      </c>
      <c r="BJ256" s="547" t="s">
        <v>709</v>
      </c>
      <c r="BK256" s="547" t="s">
        <v>116</v>
      </c>
      <c r="BL256" s="547" t="s">
        <v>116</v>
      </c>
      <c r="BM256" s="547" t="s">
        <v>709</v>
      </c>
      <c r="BN256" s="547" t="s">
        <v>709</v>
      </c>
      <c r="BO256" s="547" t="s">
        <v>709</v>
      </c>
      <c r="BP256" s="547" t="s">
        <v>709</v>
      </c>
      <c r="BQ256" s="547" t="s">
        <v>709</v>
      </c>
      <c r="BR256" s="547">
        <v>636</v>
      </c>
      <c r="BS256" s="547" t="s">
        <v>709</v>
      </c>
      <c r="BT256" s="547" t="s">
        <v>745</v>
      </c>
      <c r="BU256" s="547" t="s">
        <v>709</v>
      </c>
      <c r="BV256" s="547" t="s">
        <v>745</v>
      </c>
      <c r="BW256" s="547" t="s">
        <v>709</v>
      </c>
      <c r="BX256" s="547" t="s">
        <v>745</v>
      </c>
      <c r="BY256" s="547" t="s">
        <v>2788</v>
      </c>
      <c r="BZ256" s="547" t="s">
        <v>709</v>
      </c>
      <c r="CA256" s="483" t="s">
        <v>2739</v>
      </c>
      <c r="CB256" s="547">
        <v>255</v>
      </c>
      <c r="CC256" s="1481" t="b">
        <v>1</v>
      </c>
      <c r="CD256" t="str">
        <f>Table15[[#This Row],[Engineering Number]]&amp;Table15[[#This Row],[WO Number]]&amp;Table15[[#This Row],[Date Assigned to Designer]]&amp;Table15[[#This Row],[Date Completed]]</f>
        <v>NBA19301131686744420344237</v>
      </c>
    </row>
    <row r="257" spans="1:82" customFormat="1" ht="15" customHeight="1" x14ac:dyDescent="0.25">
      <c r="A257">
        <v>2021</v>
      </c>
      <c r="B257" s="8" t="s">
        <v>1073</v>
      </c>
      <c r="C257" s="8" t="s">
        <v>3041</v>
      </c>
      <c r="D257" s="656" t="s">
        <v>3047</v>
      </c>
      <c r="E257" s="8" t="s">
        <v>354</v>
      </c>
      <c r="F257" s="8" t="s">
        <v>738</v>
      </c>
      <c r="G257" s="8" t="s">
        <v>36</v>
      </c>
      <c r="H257" s="8" t="s">
        <v>59</v>
      </c>
      <c r="I257" s="642">
        <v>44203</v>
      </c>
      <c r="J257" s="18">
        <v>44239</v>
      </c>
      <c r="K257" s="642">
        <v>44237</v>
      </c>
      <c r="L257" s="16">
        <f>IF(ISTEXT(Table15[[#This Row],[Engineering Approved Design Date]]),Table15[[#This Row],[Date Completed]]-Table15[[#This Row],[Date Assigned to Designer]],Table15[[#This Row],[Engineering Approved Design Date]]-Table15[[#This Row],[Date Completed]])</f>
        <v>2</v>
      </c>
      <c r="M257" s="642"/>
      <c r="N257" s="642" t="s">
        <v>120</v>
      </c>
      <c r="O257" s="1025">
        <v>44237</v>
      </c>
      <c r="P257" s="21" t="s">
        <v>739</v>
      </c>
      <c r="Q257" s="340">
        <f>R257*AA257</f>
        <v>3068.6726000000003</v>
      </c>
      <c r="R257" s="1026">
        <v>7.0000000000000007E-2</v>
      </c>
      <c r="S257" s="538" t="s">
        <v>709</v>
      </c>
      <c r="T257" s="538" t="s">
        <v>709</v>
      </c>
      <c r="U257" s="28" t="s">
        <v>709</v>
      </c>
      <c r="V257" s="858"/>
      <c r="W257" s="437"/>
      <c r="X257" s="551">
        <v>43838.18</v>
      </c>
      <c r="Y257" s="1485"/>
      <c r="Z257" s="551">
        <v>0</v>
      </c>
      <c r="AA257" s="551">
        <f>X257+Z257</f>
        <v>43838.18</v>
      </c>
      <c r="AB257" s="341"/>
      <c r="AC257" s="568" t="s">
        <v>709</v>
      </c>
      <c r="AD257" s="1157"/>
      <c r="AE257" s="568" t="s">
        <v>29</v>
      </c>
      <c r="AF257" s="568" t="s">
        <v>29</v>
      </c>
      <c r="AG257" s="568" t="s">
        <v>29</v>
      </c>
      <c r="AH257" s="183" t="s">
        <v>29</v>
      </c>
      <c r="AI257" s="1036"/>
      <c r="AJ257" s="1037"/>
      <c r="AK257" s="1037"/>
      <c r="AL257" s="1038"/>
      <c r="AM257" s="542" t="s">
        <v>116</v>
      </c>
      <c r="AN257" s="1508">
        <v>44249</v>
      </c>
      <c r="AO257" s="925">
        <v>187488</v>
      </c>
      <c r="AP257" s="926">
        <v>43838.18</v>
      </c>
      <c r="AQ257" s="926"/>
      <c r="AR257" s="926">
        <v>0</v>
      </c>
      <c r="AS257" s="926">
        <f>IF(Table15[[#This Row],[PCTS Approved]]="N",0,Table15[[#This Row],[Investment Amount (1'#'#'#'#'#)]]+Table15[[#This Row],[Retirement Amount (3'#'#'#'#'#)]])</f>
        <v>43838.18</v>
      </c>
      <c r="AT257" s="926">
        <f>IF(Table15[[#This Row],[Approved Construction Cost]]=0,0,Table15[[#This Row],[Approved Construction Cost]]-Table15[[#This Row],[Construction Cost to Bill From]])</f>
        <v>0</v>
      </c>
      <c r="AU257" s="926">
        <f>Table15[[#This Row],[Difference in Construction Cost]]*Table15[[#This Row],[Rate]]</f>
        <v>0</v>
      </c>
      <c r="AV257" s="926" t="s">
        <v>709</v>
      </c>
      <c r="AW257" s="927"/>
      <c r="AX257" s="926"/>
      <c r="AY257" s="636" t="s">
        <v>1935</v>
      </c>
      <c r="AZ257" s="1531"/>
      <c r="BA257" s="1031"/>
      <c r="BB257" s="644"/>
      <c r="BC257" s="544" t="s">
        <v>709</v>
      </c>
      <c r="BD257" s="544" t="s">
        <v>743</v>
      </c>
      <c r="BE257" s="544" t="s">
        <v>588</v>
      </c>
      <c r="BF257" s="544" t="s">
        <v>709</v>
      </c>
      <c r="BG257" s="544" t="s">
        <v>709</v>
      </c>
      <c r="BH257" s="741"/>
      <c r="BI257" s="547" t="s">
        <v>709</v>
      </c>
      <c r="BJ257" s="547" t="s">
        <v>709</v>
      </c>
      <c r="BK257" s="547" t="s">
        <v>116</v>
      </c>
      <c r="BL257" s="547" t="s">
        <v>116</v>
      </c>
      <c r="BM257" s="547" t="s">
        <v>709</v>
      </c>
      <c r="BN257" s="547" t="s">
        <v>709</v>
      </c>
      <c r="BO257" s="547" t="s">
        <v>709</v>
      </c>
      <c r="BP257" s="547" t="s">
        <v>709</v>
      </c>
      <c r="BQ257" s="547" t="s">
        <v>709</v>
      </c>
      <c r="BR257" s="547">
        <v>636</v>
      </c>
      <c r="BS257" s="547" t="s">
        <v>709</v>
      </c>
      <c r="BT257" s="547" t="s">
        <v>745</v>
      </c>
      <c r="BU257" s="547" t="s">
        <v>709</v>
      </c>
      <c r="BV257" s="547" t="s">
        <v>745</v>
      </c>
      <c r="BW257" s="547" t="s">
        <v>709</v>
      </c>
      <c r="BX257" s="547" t="s">
        <v>745</v>
      </c>
      <c r="BY257" s="547" t="s">
        <v>2788</v>
      </c>
      <c r="BZ257" s="547" t="s">
        <v>709</v>
      </c>
      <c r="CA257" s="483" t="s">
        <v>2739</v>
      </c>
      <c r="CB257" s="547">
        <v>256</v>
      </c>
      <c r="CC257" s="1481" t="b">
        <v>1</v>
      </c>
      <c r="CD257" t="str">
        <f>Table15[[#This Row],[Engineering Number]]&amp;Table15[[#This Row],[WO Number]]&amp;Table15[[#This Row],[Date Assigned to Designer]]&amp;Table15[[#This Row],[Date Completed]]</f>
        <v>NBA19301131686754420344237</v>
      </c>
    </row>
    <row r="258" spans="1:82" customFormat="1" ht="15" customHeight="1" x14ac:dyDescent="0.25">
      <c r="A258">
        <v>2020</v>
      </c>
      <c r="B258" s="8" t="s">
        <v>4</v>
      </c>
      <c r="C258" s="8" t="s">
        <v>204</v>
      </c>
      <c r="D258" s="656" t="s">
        <v>1158</v>
      </c>
      <c r="E258" s="8" t="s">
        <v>1159</v>
      </c>
      <c r="F258" s="8" t="s">
        <v>919</v>
      </c>
      <c r="G258" s="8" t="s">
        <v>2743</v>
      </c>
      <c r="H258" s="8" t="s">
        <v>59</v>
      </c>
      <c r="I258" s="642">
        <v>43887</v>
      </c>
      <c r="J258" s="18">
        <v>44239</v>
      </c>
      <c r="K258" s="642">
        <v>44237</v>
      </c>
      <c r="L258" s="16">
        <f>IF(ISTEXT(Table15[[#This Row],[Engineering Approved Design Date]]),Table15[[#This Row],[Date Completed]]-Table15[[#This Row],[Date Assigned to Designer]],Table15[[#This Row],[Engineering Approved Design Date]]-Table15[[#This Row],[Date Completed]])</f>
        <v>2</v>
      </c>
      <c r="M258" s="642"/>
      <c r="N258" s="642" t="s">
        <v>120</v>
      </c>
      <c r="O258" s="1025">
        <v>44237</v>
      </c>
      <c r="P258" s="21" t="s">
        <v>739</v>
      </c>
      <c r="Q258" s="340">
        <f>R258*AA258</f>
        <v>72501.573000000004</v>
      </c>
      <c r="R258" s="1026">
        <v>0.1</v>
      </c>
      <c r="S258" s="538" t="s">
        <v>709</v>
      </c>
      <c r="T258" s="538" t="s">
        <v>709</v>
      </c>
      <c r="U258" s="28" t="s">
        <v>709</v>
      </c>
      <c r="V258" s="857">
        <v>2309</v>
      </c>
      <c r="W258" s="440"/>
      <c r="X258" s="551">
        <v>671732.85</v>
      </c>
      <c r="Y258" s="1485"/>
      <c r="Z258" s="551">
        <v>53282.879999999997</v>
      </c>
      <c r="AA258" s="551">
        <f>X258+Z258</f>
        <v>725015.73</v>
      </c>
      <c r="AB258" s="341"/>
      <c r="AC258" s="568" t="s">
        <v>116</v>
      </c>
      <c r="AD258" s="1157"/>
      <c r="AE258" s="579"/>
      <c r="AF258" s="579"/>
      <c r="AG258" s="579"/>
      <c r="AH258" s="553"/>
      <c r="AI258" s="1036"/>
      <c r="AJ258" s="1037"/>
      <c r="AK258" s="1037"/>
      <c r="AL258" s="1038"/>
      <c r="AM258" s="536" t="s">
        <v>116</v>
      </c>
      <c r="AN258" s="903" t="s">
        <v>709</v>
      </c>
      <c r="AO258" s="1536" t="s">
        <v>115</v>
      </c>
      <c r="AP258" s="1537"/>
      <c r="AQ258" s="1537"/>
      <c r="AR258" s="1537"/>
      <c r="AS258" s="888">
        <f>IF(Table15[[#This Row],[PCTS Approved]]="N",0,Table15[[#This Row],[Investment Amount (1'#'#'#'#'#)]]+Table15[[#This Row],[Retirement Amount (3'#'#'#'#'#)]])</f>
        <v>0</v>
      </c>
      <c r="AT258" s="888">
        <f>IF(Table15[[#This Row],[Approved Construction Cost]]=0,0,Table15[[#This Row],[Approved Construction Cost]]-Table15[[#This Row],[Construction Cost to Bill From]])</f>
        <v>0</v>
      </c>
      <c r="AU258" s="888">
        <f>IFERROR(Table15[[#This Row],[Difference in Construction Cost]]*Table15[[#This Row],[Rate]],Table15[[#This Row],[Difference in Construction Cost]]*0.085)</f>
        <v>0</v>
      </c>
      <c r="AV258" s="905"/>
      <c r="AW258" s="1509"/>
      <c r="AX258" s="888"/>
      <c r="AY258" s="636" t="s">
        <v>709</v>
      </c>
      <c r="AZ258" s="333">
        <v>57</v>
      </c>
      <c r="BA258" s="859" t="s">
        <v>1160</v>
      </c>
      <c r="BB258" s="644" t="s">
        <v>1161</v>
      </c>
      <c r="BC258" s="544"/>
      <c r="BD258" s="544"/>
      <c r="BE258" s="544"/>
      <c r="BF258" s="544"/>
      <c r="BG258" s="544"/>
      <c r="BH258" s="741"/>
      <c r="BI258" s="547" t="s">
        <v>709</v>
      </c>
      <c r="BJ258" s="547" t="s">
        <v>709</v>
      </c>
      <c r="BK258" s="547" t="s">
        <v>116</v>
      </c>
      <c r="BL258" s="547" t="s">
        <v>116</v>
      </c>
      <c r="BM258" s="547" t="s">
        <v>709</v>
      </c>
      <c r="BN258" s="547" t="s">
        <v>709</v>
      </c>
      <c r="BO258" s="547" t="s">
        <v>709</v>
      </c>
      <c r="BP258" s="547">
        <v>1485</v>
      </c>
      <c r="BQ258" s="547" t="s">
        <v>709</v>
      </c>
      <c r="BR258" s="547">
        <v>822</v>
      </c>
      <c r="BS258" s="547" t="s">
        <v>709</v>
      </c>
      <c r="BT258" s="547" t="s">
        <v>709</v>
      </c>
      <c r="BU258" s="547" t="s">
        <v>709</v>
      </c>
      <c r="BV258" s="547" t="s">
        <v>745</v>
      </c>
      <c r="BW258" s="547" t="s">
        <v>709</v>
      </c>
      <c r="BX258" s="547" t="s">
        <v>709</v>
      </c>
      <c r="BY258" s="547" t="s">
        <v>745</v>
      </c>
      <c r="BZ258" s="547" t="s">
        <v>709</v>
      </c>
      <c r="CA258" s="483"/>
      <c r="CB258" s="547">
        <v>252</v>
      </c>
      <c r="CC258" s="1481" t="b">
        <v>1</v>
      </c>
      <c r="CD258" t="str">
        <f>Table15[[#This Row],[Engineering Number]]&amp;Table15[[#This Row],[WO Number]]&amp;Table15[[#This Row],[Date Assigned to Designer]]&amp;Table15[[#This Row],[Date Completed]]</f>
        <v>SC175511408304388744237</v>
      </c>
    </row>
    <row r="259" spans="1:82" customFormat="1" ht="15" customHeight="1" x14ac:dyDescent="0.25">
      <c r="A259">
        <v>2020</v>
      </c>
      <c r="B259" s="8" t="s">
        <v>4</v>
      </c>
      <c r="C259" s="8" t="s">
        <v>2861</v>
      </c>
      <c r="D259" s="8" t="s">
        <v>2862</v>
      </c>
      <c r="E259" s="8" t="s">
        <v>1154</v>
      </c>
      <c r="F259" s="8" t="s">
        <v>919</v>
      </c>
      <c r="G259" s="8" t="s">
        <v>40</v>
      </c>
      <c r="H259" s="8" t="s">
        <v>2051</v>
      </c>
      <c r="I259" s="642">
        <v>44001</v>
      </c>
      <c r="J259" s="18" t="s">
        <v>2052</v>
      </c>
      <c r="K259" s="642">
        <v>44239</v>
      </c>
      <c r="L259" s="16">
        <f>IF(ISTEXT(Table15[[#This Row],[Engineering Approved Design Date]]),Table15[[#This Row],[Date Completed]]-Table15[[#This Row],[Date Assigned to Designer]],Table15[[#This Row],[Engineering Approved Design Date]]-Table15[[#This Row],[Date Completed]])</f>
        <v>238</v>
      </c>
      <c r="M259" s="642" t="s">
        <v>3049</v>
      </c>
      <c r="N259" s="642" t="s">
        <v>120</v>
      </c>
      <c r="O259" s="1025">
        <v>44239</v>
      </c>
      <c r="P259" s="21" t="s">
        <v>739</v>
      </c>
      <c r="Q259" s="340">
        <f>Table15[[#This Row],[KH Hourly Effort]]</f>
        <v>2250</v>
      </c>
      <c r="R259" s="1026" t="s">
        <v>1922</v>
      </c>
      <c r="S259" s="551" t="s">
        <v>709</v>
      </c>
      <c r="T259" s="538" t="s">
        <v>709</v>
      </c>
      <c r="U259" s="28">
        <v>2250</v>
      </c>
      <c r="V259" s="857"/>
      <c r="W259" s="440"/>
      <c r="X259" s="551"/>
      <c r="Y259" s="550"/>
      <c r="Z259" s="551"/>
      <c r="AA259" s="538"/>
      <c r="AB259" s="21"/>
      <c r="AC259" s="569"/>
      <c r="AD259" s="1149"/>
      <c r="AE259" s="580"/>
      <c r="AF259" s="580"/>
      <c r="AG259" s="580"/>
      <c r="AH259" s="542"/>
      <c r="AI259" s="1028"/>
      <c r="AJ259" s="1029"/>
      <c r="AK259" s="1029"/>
      <c r="AL259" s="1030"/>
      <c r="AM259" s="542" t="s">
        <v>709</v>
      </c>
      <c r="AN259" s="924"/>
      <c r="AO259" s="925"/>
      <c r="AP259" s="926"/>
      <c r="AQ259" s="926"/>
      <c r="AR259" s="926"/>
      <c r="AS259" s="926"/>
      <c r="AT259" s="926"/>
      <c r="AU259" s="926"/>
      <c r="AV259" s="926"/>
      <c r="AW259" s="927"/>
      <c r="AX259" s="926"/>
      <c r="AY259" s="1538" t="s">
        <v>29</v>
      </c>
      <c r="AZ259" s="1530"/>
      <c r="BA259" s="1031">
        <v>1</v>
      </c>
      <c r="BB259" s="644"/>
      <c r="BC259" s="544"/>
      <c r="BD259" s="544"/>
      <c r="BE259" s="544"/>
      <c r="BF259" s="544"/>
      <c r="BG259" s="544"/>
      <c r="BH259" s="741"/>
      <c r="BI259" s="547" t="s">
        <v>709</v>
      </c>
      <c r="BJ259" s="547" t="s">
        <v>709</v>
      </c>
      <c r="BK259" s="547" t="s">
        <v>709</v>
      </c>
      <c r="BL259" s="547" t="s">
        <v>116</v>
      </c>
      <c r="BM259" s="547" t="s">
        <v>709</v>
      </c>
      <c r="BN259" s="547" t="s">
        <v>709</v>
      </c>
      <c r="BO259" s="547" t="s">
        <v>709</v>
      </c>
      <c r="BP259" s="547" t="s">
        <v>709</v>
      </c>
      <c r="BQ259" s="547">
        <v>103</v>
      </c>
      <c r="BR259" s="547" t="s">
        <v>709</v>
      </c>
      <c r="BS259" s="547">
        <v>6249</v>
      </c>
      <c r="BT259" s="547" t="s">
        <v>745</v>
      </c>
      <c r="BU259" s="547" t="s">
        <v>709</v>
      </c>
      <c r="BV259" s="547" t="s">
        <v>745</v>
      </c>
      <c r="BW259" s="547" t="s">
        <v>709</v>
      </c>
      <c r="BX259" s="547" t="s">
        <v>745</v>
      </c>
      <c r="BY259" s="547" t="s">
        <v>745</v>
      </c>
      <c r="BZ259" s="547" t="s">
        <v>709</v>
      </c>
      <c r="CA259" s="483"/>
      <c r="CB259" s="547">
        <v>257</v>
      </c>
      <c r="CC259" s="1481" t="b">
        <v>1</v>
      </c>
      <c r="CD259" t="str">
        <f>Table15[[#This Row],[Engineering Number]]&amp;Table15[[#This Row],[WO Number]]&amp;Table15[[#This Row],[Date Assigned to Designer]]&amp;Table15[[#This Row],[Date Completed]]</f>
        <v>SC179191408234400144239</v>
      </c>
    </row>
    <row r="260" spans="1:82" customFormat="1" ht="15" customHeight="1" x14ac:dyDescent="0.25">
      <c r="A260">
        <v>2021</v>
      </c>
      <c r="B260" s="8" t="s">
        <v>1108</v>
      </c>
      <c r="C260" s="8" t="s">
        <v>3051</v>
      </c>
      <c r="D260" s="656" t="s">
        <v>3052</v>
      </c>
      <c r="E260" s="8" t="s">
        <v>3053</v>
      </c>
      <c r="F260" s="8" t="s">
        <v>1172</v>
      </c>
      <c r="G260" s="8" t="s">
        <v>40</v>
      </c>
      <c r="H260" s="8" t="s">
        <v>59</v>
      </c>
      <c r="I260" s="642">
        <v>44176</v>
      </c>
      <c r="J260" s="18">
        <v>44245</v>
      </c>
      <c r="K260" s="642">
        <v>44243</v>
      </c>
      <c r="L260" s="16">
        <f>IF(ISTEXT(Table15[[#This Row],[Engineering Approved Design Date]]),Table15[[#This Row],[Date Completed]]-Table15[[#This Row],[Date Assigned to Designer]],Table15[[#This Row],[Engineering Approved Design Date]]-Table15[[#This Row],[Date Completed]])</f>
        <v>2</v>
      </c>
      <c r="M260" s="642"/>
      <c r="N260" s="642" t="s">
        <v>120</v>
      </c>
      <c r="O260" s="1025">
        <v>44243</v>
      </c>
      <c r="P260" s="21" t="s">
        <v>739</v>
      </c>
      <c r="Q260" s="340">
        <f>(Table15[[#This Row],[Construction Cost to Bill From]]*0.085)+7750</f>
        <v>18821.46675</v>
      </c>
      <c r="R260" s="1026" t="s">
        <v>1055</v>
      </c>
      <c r="S260" s="538" t="s">
        <v>709</v>
      </c>
      <c r="T260" s="538" t="s">
        <v>709</v>
      </c>
      <c r="U260" s="28" t="s">
        <v>709</v>
      </c>
      <c r="V260" s="857">
        <v>4</v>
      </c>
      <c r="W260" s="440"/>
      <c r="X260" s="551">
        <v>122605.24</v>
      </c>
      <c r="Y260" s="551"/>
      <c r="Z260" s="551">
        <v>7647.31</v>
      </c>
      <c r="AA260" s="551">
        <f>X260+Z260</f>
        <v>130252.55</v>
      </c>
      <c r="AB260" s="341"/>
      <c r="AC260" s="568" t="s">
        <v>116</v>
      </c>
      <c r="AD260" s="1157"/>
      <c r="AE260" s="579"/>
      <c r="AF260" s="579"/>
      <c r="AG260" s="579"/>
      <c r="AH260" s="553"/>
      <c r="AI260" s="1036"/>
      <c r="AJ260" s="1037"/>
      <c r="AK260" s="1037"/>
      <c r="AL260" s="1038"/>
      <c r="AM260" s="1522" t="s">
        <v>116</v>
      </c>
      <c r="AN260" s="1523">
        <v>44377</v>
      </c>
      <c r="AO260" s="1524">
        <v>189781</v>
      </c>
      <c r="AP260" s="1525">
        <v>124894.26</v>
      </c>
      <c r="AQ260" s="1525"/>
      <c r="AR260" s="1525">
        <v>8804</v>
      </c>
      <c r="AS260" s="1525">
        <f>IF(Table15[[#This Row],[PCTS Approved]]="N",0,Table15[[#This Row],[Investment Amount (1'#'#'#'#'#)]]+Table15[[#This Row],[Retirement Amount (3'#'#'#'#'#)]])</f>
        <v>133698.26</v>
      </c>
      <c r="AT260" s="1525">
        <f>IF(Table15[[#This Row],[Approved Construction Cost]]=0,0,Table15[[#This Row],[Approved Construction Cost]]-Table15[[#This Row],[Construction Cost to Bill From]])</f>
        <v>3445.7100000000064</v>
      </c>
      <c r="AU260" s="1525">
        <f>(Table15[[#This Row],[Difference in Construction Cost]]*0.085)</f>
        <v>292.88535000000059</v>
      </c>
      <c r="AV260" s="1525" t="s">
        <v>709</v>
      </c>
      <c r="AW260" s="1526" t="s">
        <v>2275</v>
      </c>
      <c r="AX260" s="1525">
        <v>292.88535000000059</v>
      </c>
      <c r="AY260" s="1518">
        <v>44501</v>
      </c>
      <c r="AZ260" s="1532"/>
      <c r="BA260" s="1031" t="s">
        <v>3054</v>
      </c>
      <c r="BB260" s="644" t="s">
        <v>1174</v>
      </c>
      <c r="BC260" s="544" t="s">
        <v>709</v>
      </c>
      <c r="BD260" s="544" t="s">
        <v>709</v>
      </c>
      <c r="BE260" s="544" t="s">
        <v>3055</v>
      </c>
      <c r="BF260" s="544" t="s">
        <v>3056</v>
      </c>
      <c r="BG260" s="544" t="s">
        <v>709</v>
      </c>
      <c r="BH260" s="741"/>
      <c r="BI260" s="547" t="s">
        <v>709</v>
      </c>
      <c r="BJ260" s="547" t="s">
        <v>709</v>
      </c>
      <c r="BK260" s="547" t="s">
        <v>116</v>
      </c>
      <c r="BL260" s="547" t="s">
        <v>709</v>
      </c>
      <c r="BM260" s="547" t="s">
        <v>709</v>
      </c>
      <c r="BN260" s="547" t="s">
        <v>709</v>
      </c>
      <c r="BO260" s="547" t="s">
        <v>709</v>
      </c>
      <c r="BP260" s="547" t="s">
        <v>709</v>
      </c>
      <c r="BQ260" s="547" t="s">
        <v>709</v>
      </c>
      <c r="BR260" s="547">
        <v>4</v>
      </c>
      <c r="BS260" s="547" t="s">
        <v>709</v>
      </c>
      <c r="BT260" s="547" t="s">
        <v>709</v>
      </c>
      <c r="BU260" s="547" t="s">
        <v>709</v>
      </c>
      <c r="BV260" s="547" t="s">
        <v>709</v>
      </c>
      <c r="BW260" s="547">
        <v>1</v>
      </c>
      <c r="BX260" s="547" t="s">
        <v>709</v>
      </c>
      <c r="BY260" s="547" t="s">
        <v>709</v>
      </c>
      <c r="BZ260" s="547" t="s">
        <v>709</v>
      </c>
      <c r="CA260" s="483" t="s">
        <v>2</v>
      </c>
      <c r="CB260" s="547">
        <v>258</v>
      </c>
      <c r="CC260" s="1481" t="b">
        <v>1</v>
      </c>
      <c r="CD260" t="str">
        <f>Table15[[#This Row],[Engineering Number]]&amp;Table15[[#This Row],[WO Number]]&amp;Table15[[#This Row],[Date Assigned to Designer]]&amp;Table15[[#This Row],[Date Completed]]</f>
        <v>RS6891021324417644243</v>
      </c>
    </row>
    <row r="261" spans="1:82" customFormat="1" ht="15" customHeight="1" x14ac:dyDescent="0.25">
      <c r="A261">
        <v>2020</v>
      </c>
      <c r="B261" s="8" t="s">
        <v>4</v>
      </c>
      <c r="C261" s="8" t="s">
        <v>2839</v>
      </c>
      <c r="D261" s="8" t="s">
        <v>2840</v>
      </c>
      <c r="E261" s="8" t="s">
        <v>183</v>
      </c>
      <c r="F261" s="8" t="s">
        <v>738</v>
      </c>
      <c r="G261" s="8" t="s">
        <v>2814</v>
      </c>
      <c r="H261" s="8" t="s">
        <v>2051</v>
      </c>
      <c r="I261" s="642">
        <v>44110</v>
      </c>
      <c r="J261" s="18" t="s">
        <v>2052</v>
      </c>
      <c r="K261" s="642">
        <v>44244</v>
      </c>
      <c r="L261" s="16">
        <f>IF(ISTEXT(Table15[[#This Row],[Engineering Approved Design Date]]),Table15[[#This Row],[Date Completed]]-Table15[[#This Row],[Date Assigned to Designer]],Table15[[#This Row],[Engineering Approved Design Date]]-Table15[[#This Row],[Date Completed]])</f>
        <v>134</v>
      </c>
      <c r="M261" s="642" t="s">
        <v>3058</v>
      </c>
      <c r="N261" s="642" t="s">
        <v>120</v>
      </c>
      <c r="O261" s="1025">
        <v>44244</v>
      </c>
      <c r="P261" s="21" t="s">
        <v>739</v>
      </c>
      <c r="Q261" s="340">
        <f>Table15[[#This Row],[KH Hourly Effort]]</f>
        <v>1755</v>
      </c>
      <c r="R261" s="1026" t="s">
        <v>1922</v>
      </c>
      <c r="S261" s="538" t="s">
        <v>709</v>
      </c>
      <c r="T261" s="538" t="s">
        <v>709</v>
      </c>
      <c r="U261" s="28">
        <v>1755</v>
      </c>
      <c r="V261" s="857">
        <v>2258</v>
      </c>
      <c r="W261" s="440"/>
      <c r="X261" s="551"/>
      <c r="Y261" s="1485"/>
      <c r="Z261" s="551"/>
      <c r="AA261" s="551"/>
      <c r="AB261" s="341"/>
      <c r="AC261" s="568"/>
      <c r="AD261" s="1157"/>
      <c r="AE261" s="579"/>
      <c r="AF261" s="579"/>
      <c r="AG261" s="579"/>
      <c r="AH261" s="553"/>
      <c r="AI261" s="1036"/>
      <c r="AJ261" s="1037"/>
      <c r="AK261" s="1037"/>
      <c r="AL261" s="1038"/>
      <c r="AM261" s="542" t="s">
        <v>709</v>
      </c>
      <c r="AN261" s="924"/>
      <c r="AO261" s="925"/>
      <c r="AP261" s="926"/>
      <c r="AQ261" s="926"/>
      <c r="AR261" s="926"/>
      <c r="AS261" s="926"/>
      <c r="AT261" s="926"/>
      <c r="AU261" s="926"/>
      <c r="AV261" s="926"/>
      <c r="AW261" s="927"/>
      <c r="AX261" s="926"/>
      <c r="AY261" s="1538" t="s">
        <v>29</v>
      </c>
      <c r="AZ261" s="1530"/>
      <c r="BA261" s="1031">
        <v>4</v>
      </c>
      <c r="BB261" s="644"/>
      <c r="BC261" s="544"/>
      <c r="BD261" s="544"/>
      <c r="BE261" s="544"/>
      <c r="BF261" s="544"/>
      <c r="BG261" s="544"/>
      <c r="BH261" s="741"/>
      <c r="BI261" s="547" t="s">
        <v>709</v>
      </c>
      <c r="BJ261" s="547" t="s">
        <v>709</v>
      </c>
      <c r="BK261" s="547" t="s">
        <v>709</v>
      </c>
      <c r="BL261" s="547" t="s">
        <v>116</v>
      </c>
      <c r="BM261" s="547" t="s">
        <v>709</v>
      </c>
      <c r="BN261" s="547" t="s">
        <v>709</v>
      </c>
      <c r="BO261" s="547" t="s">
        <v>709</v>
      </c>
      <c r="BP261" s="547" t="s">
        <v>709</v>
      </c>
      <c r="BQ261" s="547" t="s">
        <v>709</v>
      </c>
      <c r="BR261" s="547" t="s">
        <v>709</v>
      </c>
      <c r="BS261" s="547">
        <v>2259</v>
      </c>
      <c r="BT261" s="547" t="s">
        <v>745</v>
      </c>
      <c r="BU261" s="547" t="s">
        <v>709</v>
      </c>
      <c r="BV261" s="547" t="s">
        <v>745</v>
      </c>
      <c r="BW261" s="547" t="s">
        <v>709</v>
      </c>
      <c r="BX261" s="547" t="s">
        <v>745</v>
      </c>
      <c r="BY261" s="547" t="s">
        <v>745</v>
      </c>
      <c r="BZ261" s="547" t="s">
        <v>709</v>
      </c>
      <c r="CA261" s="483"/>
      <c r="CB261" s="547">
        <v>259</v>
      </c>
      <c r="CC261" s="1481" t="b">
        <v>1</v>
      </c>
      <c r="CD261" t="str">
        <f>Table15[[#This Row],[Engineering Number]]&amp;Table15[[#This Row],[WO Number]]&amp;Table15[[#This Row],[Date Assigned to Designer]]&amp;Table15[[#This Row],[Date Completed]]</f>
        <v>M119261205304411044244</v>
      </c>
    </row>
    <row r="262" spans="1:82" customFormat="1" ht="15" customHeight="1" x14ac:dyDescent="0.25">
      <c r="A262">
        <v>2021</v>
      </c>
      <c r="B262" s="8" t="s">
        <v>4</v>
      </c>
      <c r="C262" s="8" t="s">
        <v>3060</v>
      </c>
      <c r="D262" s="656" t="s">
        <v>3061</v>
      </c>
      <c r="E262" s="8" t="s">
        <v>245</v>
      </c>
      <c r="F262" s="8" t="s">
        <v>738</v>
      </c>
      <c r="G262" s="8" t="s">
        <v>36</v>
      </c>
      <c r="H262" s="8" t="s">
        <v>59</v>
      </c>
      <c r="I262" s="642">
        <v>44166</v>
      </c>
      <c r="J262" s="18">
        <v>44245</v>
      </c>
      <c r="K262" s="642">
        <v>44245</v>
      </c>
      <c r="L262" s="16">
        <f>IF(ISTEXT(Table15[[#This Row],[Engineering Approved Design Date]]),Table15[[#This Row],[Date Completed]]-Table15[[#This Row],[Date Assigned to Designer]],Table15[[#This Row],[Engineering Approved Design Date]]-Table15[[#This Row],[Date Completed]])</f>
        <v>0</v>
      </c>
      <c r="M262" s="642"/>
      <c r="N262" s="642" t="s">
        <v>120</v>
      </c>
      <c r="O262" s="1025">
        <v>44245</v>
      </c>
      <c r="P262" s="21" t="s">
        <v>739</v>
      </c>
      <c r="Q262" s="340">
        <f>R262*AA262</f>
        <v>90250.42200000002</v>
      </c>
      <c r="R262" s="1026">
        <v>0.1</v>
      </c>
      <c r="S262" s="538" t="s">
        <v>709</v>
      </c>
      <c r="T262" s="538" t="s">
        <v>709</v>
      </c>
      <c r="U262" s="28" t="s">
        <v>709</v>
      </c>
      <c r="V262" s="857">
        <v>5356</v>
      </c>
      <c r="W262" s="440"/>
      <c r="X262" s="551">
        <v>858275.17</v>
      </c>
      <c r="Y262" s="551"/>
      <c r="Z262" s="551">
        <v>44229.05</v>
      </c>
      <c r="AA262" s="551">
        <f>X262+Z262</f>
        <v>902504.22000000009</v>
      </c>
      <c r="AB262" s="341"/>
      <c r="AC262" s="568" t="s">
        <v>709</v>
      </c>
      <c r="AD262" s="1157"/>
      <c r="AE262" s="579"/>
      <c r="AF262" s="579"/>
      <c r="AG262" s="579"/>
      <c r="AH262" s="553"/>
      <c r="AI262" s="1036"/>
      <c r="AJ262" s="1037"/>
      <c r="AK262" s="1037"/>
      <c r="AL262" s="1038"/>
      <c r="AM262" s="1522" t="s">
        <v>116</v>
      </c>
      <c r="AN262" s="1523">
        <v>45805</v>
      </c>
      <c r="AO262" s="1524">
        <v>11103544</v>
      </c>
      <c r="AP262" s="1525">
        <v>1385659.79</v>
      </c>
      <c r="AQ262" s="1525"/>
      <c r="AR262" s="1525">
        <v>298514.07</v>
      </c>
      <c r="AS262" s="1525">
        <f>IF(Table15[[#This Row],[PCTS Approved]]="N",0,Table15[[#This Row],[Investment Amount (1'#'#'#'#'#)]]+Table15[[#This Row],[Retirement Amount (3'#'#'#'#'#)]])</f>
        <v>1684173.86</v>
      </c>
      <c r="AT262" s="1525">
        <f>IF(Table15[[#This Row],[Approved Construction Cost]]=0,0,Table15[[#This Row],[Approved Construction Cost]]-Table15[[#This Row],[Construction Cost to Bill From]])</f>
        <v>781669.64</v>
      </c>
      <c r="AU262" s="1525">
        <f>Table15[[#This Row],[Difference in Construction Cost]]*Table15[[#This Row],[Rate]]</f>
        <v>78166.964000000007</v>
      </c>
      <c r="AV262" s="1525" t="s">
        <v>709</v>
      </c>
      <c r="AW262" s="1526" t="s">
        <v>3062</v>
      </c>
      <c r="AX262" s="1525">
        <v>12126.420999999997</v>
      </c>
      <c r="AY262" s="1518">
        <v>44501</v>
      </c>
      <c r="AZ262" s="333"/>
      <c r="BA262" s="1031" t="s">
        <v>3063</v>
      </c>
      <c r="BB262" s="644" t="s">
        <v>2372</v>
      </c>
      <c r="BC262" s="544" t="s">
        <v>709</v>
      </c>
      <c r="BD262" s="544" t="s">
        <v>709</v>
      </c>
      <c r="BE262" s="544" t="s">
        <v>1028</v>
      </c>
      <c r="BF262" s="544" t="s">
        <v>709</v>
      </c>
      <c r="BG262" s="544" t="s">
        <v>709</v>
      </c>
      <c r="BH262" s="741"/>
      <c r="BI262" s="547" t="s">
        <v>709</v>
      </c>
      <c r="BJ262" s="547" t="s">
        <v>709</v>
      </c>
      <c r="BK262" s="547" t="s">
        <v>709</v>
      </c>
      <c r="BL262" s="547" t="s">
        <v>116</v>
      </c>
      <c r="BM262" s="547" t="s">
        <v>709</v>
      </c>
      <c r="BN262" s="547" t="s">
        <v>709</v>
      </c>
      <c r="BO262" s="547" t="s">
        <v>709</v>
      </c>
      <c r="BP262" s="547">
        <v>128</v>
      </c>
      <c r="BQ262" s="547">
        <v>1708</v>
      </c>
      <c r="BR262" s="547" t="s">
        <v>709</v>
      </c>
      <c r="BS262" s="547">
        <v>3520</v>
      </c>
      <c r="BT262" s="547" t="s">
        <v>745</v>
      </c>
      <c r="BU262" s="547" t="s">
        <v>709</v>
      </c>
      <c r="BV262" s="547" t="s">
        <v>745</v>
      </c>
      <c r="BW262" s="547" t="s">
        <v>709</v>
      </c>
      <c r="BX262" s="547" t="s">
        <v>745</v>
      </c>
      <c r="BY262" s="547" t="s">
        <v>745</v>
      </c>
      <c r="BZ262" s="547" t="s">
        <v>709</v>
      </c>
      <c r="CA262" s="483"/>
      <c r="CB262" s="547">
        <v>260</v>
      </c>
      <c r="CC262" s="1481" t="b">
        <v>1</v>
      </c>
      <c r="CD262" t="str">
        <f>Table15[[#This Row],[Engineering Number]]&amp;Table15[[#This Row],[WO Number]]&amp;Table15[[#This Row],[Date Assigned to Designer]]&amp;Table15[[#This Row],[Date Completed]]</f>
        <v>N136471293124416644245</v>
      </c>
    </row>
    <row r="263" spans="1:82" customFormat="1" ht="15" customHeight="1" x14ac:dyDescent="0.25">
      <c r="A263">
        <v>2021</v>
      </c>
      <c r="B263" s="8" t="s">
        <v>1108</v>
      </c>
      <c r="C263" s="8" t="s">
        <v>182</v>
      </c>
      <c r="D263" s="656" t="s">
        <v>3065</v>
      </c>
      <c r="E263" s="8" t="s">
        <v>183</v>
      </c>
      <c r="F263" s="8" t="s">
        <v>1172</v>
      </c>
      <c r="G263" s="8" t="s">
        <v>40</v>
      </c>
      <c r="H263" s="8" t="s">
        <v>59</v>
      </c>
      <c r="I263" s="642">
        <v>44176</v>
      </c>
      <c r="J263" s="18">
        <v>44259</v>
      </c>
      <c r="K263" s="642">
        <v>44251</v>
      </c>
      <c r="L263" s="16">
        <f>IF(ISTEXT(Table15[[#This Row],[Engineering Approved Design Date]]),Table15[[#This Row],[Date Completed]]-Table15[[#This Row],[Date Assigned to Designer]],Table15[[#This Row],[Engineering Approved Design Date]]-Table15[[#This Row],[Date Completed]])</f>
        <v>8</v>
      </c>
      <c r="M263" s="642"/>
      <c r="N263" s="642" t="s">
        <v>120</v>
      </c>
      <c r="O263" s="1025">
        <v>44256</v>
      </c>
      <c r="P263" s="21" t="s">
        <v>739</v>
      </c>
      <c r="Q263" s="340">
        <f>(Table15[[#This Row],[Construction Cost to Bill From]]*0.085)+7750</f>
        <v>18904.200649999999</v>
      </c>
      <c r="R263" s="1026" t="s">
        <v>1055</v>
      </c>
      <c r="S263" s="538"/>
      <c r="T263" s="538"/>
      <c r="U263" s="28"/>
      <c r="V263" s="857"/>
      <c r="W263" s="440"/>
      <c r="X263" s="551">
        <v>123563.73</v>
      </c>
      <c r="Y263" s="551"/>
      <c r="Z263" s="551">
        <v>7662.16</v>
      </c>
      <c r="AA263" s="551">
        <f>X263+Z263</f>
        <v>131225.88999999998</v>
      </c>
      <c r="AB263" s="341"/>
      <c r="AC263" s="568" t="s">
        <v>1441</v>
      </c>
      <c r="AD263" s="1157"/>
      <c r="AE263" s="579"/>
      <c r="AF263" s="579"/>
      <c r="AG263" s="579"/>
      <c r="AH263" s="553"/>
      <c r="AI263" s="1036"/>
      <c r="AJ263" s="1037"/>
      <c r="AK263" s="1037"/>
      <c r="AL263" s="1038"/>
      <c r="AM263" s="1522" t="s">
        <v>116</v>
      </c>
      <c r="AN263" s="1523">
        <v>44434</v>
      </c>
      <c r="AO263" s="1524" t="s">
        <v>709</v>
      </c>
      <c r="AP263" s="1525">
        <v>67673.64</v>
      </c>
      <c r="AQ263" s="1525"/>
      <c r="AR263" s="1525">
        <v>7662.16</v>
      </c>
      <c r="AS263" s="1525">
        <f>IF(Table15[[#This Row],[PCTS Approved]]="N",0,Table15[[#This Row],[Investment Amount (1'#'#'#'#'#)]]+Table15[[#This Row],[Retirement Amount (3'#'#'#'#'#)]])</f>
        <v>75335.8</v>
      </c>
      <c r="AT263" s="1525">
        <f>IF(Table15[[#This Row],[Approved Construction Cost]]=0,0,Table15[[#This Row],[Approved Construction Cost]]-Table15[[#This Row],[Construction Cost to Bill From]])</f>
        <v>-55890.089999999982</v>
      </c>
      <c r="AU263" s="1525">
        <f>(Table15[[#This Row],[Difference in Construction Cost]]*0.085)</f>
        <v>-4750.6576499999992</v>
      </c>
      <c r="AV263" s="1525" t="s">
        <v>709</v>
      </c>
      <c r="AW263" s="1526" t="s">
        <v>2874</v>
      </c>
      <c r="AX263" s="1525">
        <v>-4750.6576499999992</v>
      </c>
      <c r="AY263" s="1518">
        <v>44501</v>
      </c>
      <c r="AZ263" s="1532"/>
      <c r="BA263" s="1031" t="s">
        <v>3066</v>
      </c>
      <c r="BB263" s="644" t="s">
        <v>1174</v>
      </c>
      <c r="BC263" s="544" t="s">
        <v>116</v>
      </c>
      <c r="BD263" s="544" t="s">
        <v>709</v>
      </c>
      <c r="BE263" s="544" t="s">
        <v>709</v>
      </c>
      <c r="BF263" s="544" t="s">
        <v>709</v>
      </c>
      <c r="BG263" s="544" t="s">
        <v>3067</v>
      </c>
      <c r="BH263" s="741"/>
      <c r="BI263" s="547" t="s">
        <v>709</v>
      </c>
      <c r="BJ263" s="547" t="s">
        <v>709</v>
      </c>
      <c r="BK263" s="547" t="s">
        <v>709</v>
      </c>
      <c r="BL263" s="547" t="s">
        <v>116</v>
      </c>
      <c r="BM263" s="547" t="s">
        <v>709</v>
      </c>
      <c r="BN263" s="547" t="s">
        <v>709</v>
      </c>
      <c r="BO263" s="547" t="s">
        <v>709</v>
      </c>
      <c r="BP263" s="547" t="s">
        <v>709</v>
      </c>
      <c r="BQ263" s="547">
        <v>4</v>
      </c>
      <c r="BR263" s="547" t="s">
        <v>709</v>
      </c>
      <c r="BS263" s="547" t="s">
        <v>709</v>
      </c>
      <c r="BT263" s="547" t="s">
        <v>709</v>
      </c>
      <c r="BU263" s="547" t="s">
        <v>709</v>
      </c>
      <c r="BV263" s="547" t="s">
        <v>709</v>
      </c>
      <c r="BW263" s="547">
        <v>1</v>
      </c>
      <c r="BX263" s="547" t="s">
        <v>709</v>
      </c>
      <c r="BY263" s="547" t="s">
        <v>709</v>
      </c>
      <c r="BZ263" s="547" t="s">
        <v>709</v>
      </c>
      <c r="CA263" s="483" t="s">
        <v>2</v>
      </c>
      <c r="CB263" s="547">
        <v>261</v>
      </c>
      <c r="CC263" s="1481" t="b">
        <v>1</v>
      </c>
      <c r="CD263" t="str">
        <f>Table15[[#This Row],[Engineering Number]]&amp;Table15[[#This Row],[WO Number]]&amp;Table15[[#This Row],[Date Assigned to Designer]]&amp;Table15[[#This Row],[Date Completed]]</f>
        <v>RS6941091664417644251</v>
      </c>
    </row>
    <row r="264" spans="1:82" customFormat="1" ht="15" customHeight="1" x14ac:dyDescent="0.25">
      <c r="A264">
        <v>2021</v>
      </c>
      <c r="B264" s="8" t="s">
        <v>4</v>
      </c>
      <c r="C264" s="8" t="s">
        <v>163</v>
      </c>
      <c r="D264" s="8" t="s">
        <v>2923</v>
      </c>
      <c r="E264" s="8" t="s">
        <v>164</v>
      </c>
      <c r="F264" s="8" t="s">
        <v>738</v>
      </c>
      <c r="G264" s="8" t="s">
        <v>2814</v>
      </c>
      <c r="H264" s="8" t="s">
        <v>2051</v>
      </c>
      <c r="I264" s="642">
        <v>44126</v>
      </c>
      <c r="J264" s="18" t="s">
        <v>2052</v>
      </c>
      <c r="K264" s="642">
        <v>44252</v>
      </c>
      <c r="L264" s="16">
        <f>IF(ISTEXT(Table15[[#This Row],[Engineering Approved Design Date]]),Table15[[#This Row],[Date Completed]]-Table15[[#This Row],[Date Assigned to Designer]],Table15[[#This Row],[Engineering Approved Design Date]]-Table15[[#This Row],[Date Completed]])</f>
        <v>126</v>
      </c>
      <c r="M264" s="642" t="s">
        <v>3069</v>
      </c>
      <c r="N264" s="642" t="s">
        <v>120</v>
      </c>
      <c r="O264" s="1025">
        <v>44256</v>
      </c>
      <c r="P264" s="21" t="s">
        <v>739</v>
      </c>
      <c r="Q264" s="340">
        <f>Table15[[#This Row],[KH Hourly Effort]]</f>
        <v>1962.5</v>
      </c>
      <c r="R264" s="1026" t="s">
        <v>1922</v>
      </c>
      <c r="S264" s="538" t="s">
        <v>709</v>
      </c>
      <c r="T264" s="538" t="s">
        <v>709</v>
      </c>
      <c r="U264" s="28">
        <v>1962.5</v>
      </c>
      <c r="V264" s="857">
        <f>28+381</f>
        <v>409</v>
      </c>
      <c r="W264" s="440"/>
      <c r="X264" s="551"/>
      <c r="Y264" s="551"/>
      <c r="Z264" s="551"/>
      <c r="AA264" s="551"/>
      <c r="AB264" s="341"/>
      <c r="AC264" s="568"/>
      <c r="AD264" s="1157"/>
      <c r="AE264" s="579"/>
      <c r="AF264" s="579"/>
      <c r="AG264" s="579"/>
      <c r="AH264" s="553"/>
      <c r="AI264" s="1036"/>
      <c r="AJ264" s="1037"/>
      <c r="AK264" s="1037"/>
      <c r="AL264" s="1038"/>
      <c r="AM264" s="542" t="s">
        <v>709</v>
      </c>
      <c r="AN264" s="924"/>
      <c r="AO264" s="925"/>
      <c r="AP264" s="926"/>
      <c r="AQ264" s="926"/>
      <c r="AR264" s="926"/>
      <c r="AS264" s="926"/>
      <c r="AT264" s="926"/>
      <c r="AU264" s="926"/>
      <c r="AV264" s="926"/>
      <c r="AW264" s="927"/>
      <c r="AX264" s="926"/>
      <c r="AY264" s="1538" t="s">
        <v>29</v>
      </c>
      <c r="AZ264" s="1530"/>
      <c r="BA264" s="1031">
        <v>2</v>
      </c>
      <c r="BB264" s="644"/>
      <c r="BC264" s="544"/>
      <c r="BD264" s="544"/>
      <c r="BE264" s="544"/>
      <c r="BF264" s="544"/>
      <c r="BG264" s="544"/>
      <c r="BH264" s="741"/>
      <c r="BI264" s="547" t="s">
        <v>709</v>
      </c>
      <c r="BJ264" s="547" t="s">
        <v>709</v>
      </c>
      <c r="BK264" s="547" t="s">
        <v>709</v>
      </c>
      <c r="BL264" s="547" t="s">
        <v>116</v>
      </c>
      <c r="BM264" s="547">
        <v>381</v>
      </c>
      <c r="BN264" s="547" t="s">
        <v>709</v>
      </c>
      <c r="BO264" s="547" t="s">
        <v>709</v>
      </c>
      <c r="BP264" s="547" t="s">
        <v>709</v>
      </c>
      <c r="BQ264" s="547" t="s">
        <v>709</v>
      </c>
      <c r="BR264" s="547" t="s">
        <v>709</v>
      </c>
      <c r="BS264" s="547">
        <v>28</v>
      </c>
      <c r="BT264" s="547" t="s">
        <v>745</v>
      </c>
      <c r="BU264" s="547" t="s">
        <v>709</v>
      </c>
      <c r="BV264" s="547" t="s">
        <v>745</v>
      </c>
      <c r="BW264" s="547" t="s">
        <v>709</v>
      </c>
      <c r="BX264" s="547" t="s">
        <v>745</v>
      </c>
      <c r="BY264" s="547" t="s">
        <v>745</v>
      </c>
      <c r="BZ264" s="547" t="s">
        <v>709</v>
      </c>
      <c r="CA264" s="483"/>
      <c r="CB264" s="547">
        <v>262</v>
      </c>
      <c r="CC264" s="1481" t="b">
        <v>1</v>
      </c>
      <c r="CD264" t="str">
        <f>Table15[[#This Row],[Engineering Number]]&amp;Table15[[#This Row],[WO Number]]&amp;Table15[[#This Row],[Date Assigned to Designer]]&amp;Table15[[#This Row],[Date Completed]]</f>
        <v>M119671205334412644252</v>
      </c>
    </row>
    <row r="265" spans="1:82" customFormat="1" ht="15" customHeight="1" x14ac:dyDescent="0.25">
      <c r="A265">
        <v>2021</v>
      </c>
      <c r="B265" s="8" t="s">
        <v>4</v>
      </c>
      <c r="C265" s="8" t="s">
        <v>159</v>
      </c>
      <c r="D265" s="8" t="s">
        <v>2868</v>
      </c>
      <c r="E265" s="8" t="s">
        <v>2032</v>
      </c>
      <c r="F265" s="8" t="s">
        <v>738</v>
      </c>
      <c r="G265" s="8" t="s">
        <v>2814</v>
      </c>
      <c r="H265" s="8" t="s">
        <v>2051</v>
      </c>
      <c r="I265" s="642">
        <v>44110</v>
      </c>
      <c r="J265" s="18" t="s">
        <v>2052</v>
      </c>
      <c r="K265" s="642">
        <v>44253</v>
      </c>
      <c r="L265" s="16">
        <f>IF(ISTEXT(Table15[[#This Row],[Engineering Approved Design Date]]),Table15[[#This Row],[Date Completed]]-Table15[[#This Row],[Date Assigned to Designer]],Table15[[#This Row],[Engineering Approved Design Date]]-Table15[[#This Row],[Date Completed]])</f>
        <v>143</v>
      </c>
      <c r="M265" s="642" t="s">
        <v>3071</v>
      </c>
      <c r="N265" s="642" t="s">
        <v>120</v>
      </c>
      <c r="O265" s="1025">
        <v>44256</v>
      </c>
      <c r="P265" s="21" t="s">
        <v>739</v>
      </c>
      <c r="Q265" s="340">
        <f>Table15[[#This Row],[KH Hourly Effort]]</f>
        <v>2407.5</v>
      </c>
      <c r="R265" s="1026" t="s">
        <v>1922</v>
      </c>
      <c r="S265" s="551" t="s">
        <v>709</v>
      </c>
      <c r="T265" s="538" t="s">
        <v>709</v>
      </c>
      <c r="U265" s="28">
        <v>2407.5</v>
      </c>
      <c r="V265" s="857">
        <v>2574</v>
      </c>
      <c r="W265" s="440"/>
      <c r="X265" s="551"/>
      <c r="Y265" s="550"/>
      <c r="Z265" s="551"/>
      <c r="AA265" s="538"/>
      <c r="AB265" s="21"/>
      <c r="AC265" s="569"/>
      <c r="AD265" s="1149"/>
      <c r="AE265" s="580"/>
      <c r="AF265" s="580"/>
      <c r="AG265" s="580"/>
      <c r="AH265" s="542"/>
      <c r="AI265" s="1028"/>
      <c r="AJ265" s="1029"/>
      <c r="AK265" s="1029"/>
      <c r="AL265" s="1030"/>
      <c r="AM265" s="542" t="s">
        <v>709</v>
      </c>
      <c r="AN265" s="924"/>
      <c r="AO265" s="925"/>
      <c r="AP265" s="926"/>
      <c r="AQ265" s="926"/>
      <c r="AR265" s="926"/>
      <c r="AS265" s="926"/>
      <c r="AT265" s="926"/>
      <c r="AU265" s="926"/>
      <c r="AV265" s="926"/>
      <c r="AW265" s="927"/>
      <c r="AX265" s="926"/>
      <c r="AY265" s="1538" t="s">
        <v>29</v>
      </c>
      <c r="AZ265" s="1530"/>
      <c r="BA265" s="1031">
        <v>10</v>
      </c>
      <c r="BB265" s="644"/>
      <c r="BC265" s="544"/>
      <c r="BD265" s="544"/>
      <c r="BE265" s="544"/>
      <c r="BF265" s="544"/>
      <c r="BG265" s="544"/>
      <c r="BH265" s="741"/>
      <c r="BI265" s="547" t="s">
        <v>709</v>
      </c>
      <c r="BJ265" s="547" t="s">
        <v>709</v>
      </c>
      <c r="BK265" s="547" t="s">
        <v>709</v>
      </c>
      <c r="BL265" s="547" t="s">
        <v>116</v>
      </c>
      <c r="BM265" s="547" t="s">
        <v>709</v>
      </c>
      <c r="BN265" s="547" t="s">
        <v>709</v>
      </c>
      <c r="BO265" s="547" t="s">
        <v>709</v>
      </c>
      <c r="BP265" s="547">
        <v>2574</v>
      </c>
      <c r="BQ265" s="547" t="s">
        <v>709</v>
      </c>
      <c r="BR265" s="547" t="s">
        <v>709</v>
      </c>
      <c r="BS265" s="547" t="s">
        <v>709</v>
      </c>
      <c r="BT265" s="547" t="s">
        <v>745</v>
      </c>
      <c r="BU265" s="547" t="s">
        <v>709</v>
      </c>
      <c r="BV265" s="547" t="s">
        <v>745</v>
      </c>
      <c r="BW265" s="547" t="s">
        <v>709</v>
      </c>
      <c r="BX265" s="547" t="s">
        <v>745</v>
      </c>
      <c r="BY265" s="547" t="s">
        <v>745</v>
      </c>
      <c r="BZ265" s="547" t="s">
        <v>709</v>
      </c>
      <c r="CA265" s="483"/>
      <c r="CB265" s="547">
        <v>263</v>
      </c>
      <c r="CC265" s="1481" t="b">
        <v>1</v>
      </c>
      <c r="CD265" t="str">
        <f>Table15[[#This Row],[Engineering Number]]&amp;Table15[[#This Row],[WO Number]]&amp;Table15[[#This Row],[Date Assigned to Designer]]&amp;Table15[[#This Row],[Date Completed]]</f>
        <v>SC177861357084411044253</v>
      </c>
    </row>
    <row r="266" spans="1:82" customFormat="1" ht="15" customHeight="1" x14ac:dyDescent="0.25">
      <c r="A266">
        <v>2021</v>
      </c>
      <c r="B266" s="8" t="s">
        <v>1162</v>
      </c>
      <c r="C266" s="8" t="s">
        <v>195</v>
      </c>
      <c r="D266" s="656" t="s">
        <v>1163</v>
      </c>
      <c r="E266" s="8" t="s">
        <v>1164</v>
      </c>
      <c r="F266" s="8" t="s">
        <v>738</v>
      </c>
      <c r="G266" s="8" t="s">
        <v>2743</v>
      </c>
      <c r="H266" s="8" t="s">
        <v>59</v>
      </c>
      <c r="I266" s="642">
        <v>44166</v>
      </c>
      <c r="J266" s="18">
        <v>44259</v>
      </c>
      <c r="K266" s="642">
        <v>44259</v>
      </c>
      <c r="L266" s="16">
        <f>IF(ISTEXT(Table15[[#This Row],[Engineering Approved Design Date]]),Table15[[#This Row],[Date Completed]]-Table15[[#This Row],[Date Assigned to Designer]],Table15[[#This Row],[Engineering Approved Design Date]]-Table15[[#This Row],[Date Completed]])</f>
        <v>0</v>
      </c>
      <c r="M266" s="642"/>
      <c r="N266" s="642" t="s">
        <v>120</v>
      </c>
      <c r="O266" s="1025">
        <v>44259</v>
      </c>
      <c r="P266" s="21" t="s">
        <v>739</v>
      </c>
      <c r="Q266" s="340">
        <f>R266*AA266</f>
        <v>34108.435900000004</v>
      </c>
      <c r="R266" s="1026">
        <v>7.0000000000000007E-2</v>
      </c>
      <c r="S266" s="551"/>
      <c r="T266" s="538"/>
      <c r="U266" s="441"/>
      <c r="V266" s="857">
        <v>2887</v>
      </c>
      <c r="W266" s="440"/>
      <c r="X266" s="551">
        <v>474251.77</v>
      </c>
      <c r="Y266" s="550"/>
      <c r="Z266" s="551">
        <v>13011.6</v>
      </c>
      <c r="AA266" s="538">
        <f>X266+Z266</f>
        <v>487263.37</v>
      </c>
      <c r="AB266" s="341"/>
      <c r="AC266" s="568" t="s">
        <v>116</v>
      </c>
      <c r="AD266" s="1157"/>
      <c r="AE266" s="568" t="s">
        <v>29</v>
      </c>
      <c r="AF266" s="568" t="s">
        <v>29</v>
      </c>
      <c r="AG266" s="568" t="s">
        <v>29</v>
      </c>
      <c r="AH266" s="183" t="s">
        <v>29</v>
      </c>
      <c r="AI266" s="1036"/>
      <c r="AJ266" s="1037"/>
      <c r="AK266" s="1037"/>
      <c r="AL266" s="1038"/>
      <c r="AM266" s="536" t="s">
        <v>116</v>
      </c>
      <c r="AN266" s="903" t="s">
        <v>709</v>
      </c>
      <c r="AO266" s="1536">
        <v>11033199</v>
      </c>
      <c r="AP266" s="1537"/>
      <c r="AQ266" s="1537"/>
      <c r="AR266" s="1537"/>
      <c r="AS266" s="888">
        <f>IF(Table15[[#This Row],[PCTS Approved]]="N",0,Table15[[#This Row],[Investment Amount (1'#'#'#'#'#)]]+Table15[[#This Row],[Retirement Amount (3'#'#'#'#'#)]])</f>
        <v>0</v>
      </c>
      <c r="AT266" s="888">
        <f>IF(Table15[[#This Row],[Approved Construction Cost]]=0,0,Table15[[#This Row],[Approved Construction Cost]]-Table15[[#This Row],[Construction Cost to Bill From]])</f>
        <v>0</v>
      </c>
      <c r="AU266" s="888">
        <f>IFERROR(Table15[[#This Row],[Difference in Construction Cost]]*Table15[[#This Row],[Rate]],Table15[[#This Row],[Difference in Construction Cost]]*0.085)</f>
        <v>0</v>
      </c>
      <c r="AV266" s="905"/>
      <c r="AW266" s="1509"/>
      <c r="AX266" s="888"/>
      <c r="AY266" s="636" t="s">
        <v>709</v>
      </c>
      <c r="AZ266" s="333">
        <v>9</v>
      </c>
      <c r="BA266" s="859" t="s">
        <v>1165</v>
      </c>
      <c r="BB266" s="644" t="s">
        <v>1166</v>
      </c>
      <c r="BC266" s="544" t="s">
        <v>709</v>
      </c>
      <c r="BD266" s="544" t="s">
        <v>1167</v>
      </c>
      <c r="BE266" s="544" t="s">
        <v>709</v>
      </c>
      <c r="BF266" s="544" t="s">
        <v>1168</v>
      </c>
      <c r="BG266" s="544" t="s">
        <v>709</v>
      </c>
      <c r="BH266" s="741"/>
      <c r="BI266" s="547" t="s">
        <v>709</v>
      </c>
      <c r="BJ266" s="547" t="s">
        <v>709</v>
      </c>
      <c r="BK266" s="547" t="s">
        <v>709</v>
      </c>
      <c r="BL266" s="547" t="s">
        <v>116</v>
      </c>
      <c r="BM266" s="547" t="s">
        <v>709</v>
      </c>
      <c r="BN266" s="547" t="s">
        <v>709</v>
      </c>
      <c r="BO266" s="547" t="s">
        <v>709</v>
      </c>
      <c r="BP266" s="547">
        <v>189</v>
      </c>
      <c r="BQ266" s="547">
        <v>1085</v>
      </c>
      <c r="BR266" s="547">
        <v>1755</v>
      </c>
      <c r="BS266" s="547">
        <v>93</v>
      </c>
      <c r="BT266" s="547" t="s">
        <v>745</v>
      </c>
      <c r="BU266" s="547" t="s">
        <v>709</v>
      </c>
      <c r="BV266" s="547" t="s">
        <v>745</v>
      </c>
      <c r="BW266" s="547" t="s">
        <v>709</v>
      </c>
      <c r="BX266" s="547" t="s">
        <v>745</v>
      </c>
      <c r="BY266" s="547" t="s">
        <v>745</v>
      </c>
      <c r="BZ266" s="547" t="s">
        <v>709</v>
      </c>
      <c r="CA266" s="483"/>
      <c r="CB266" s="547">
        <v>264</v>
      </c>
      <c r="CC266" s="1481" t="b">
        <v>1</v>
      </c>
      <c r="CD266" t="str">
        <f>Table15[[#This Row],[Engineering Number]]&amp;Table15[[#This Row],[WO Number]]&amp;Table15[[#This Row],[Date Assigned to Designer]]&amp;Table15[[#This Row],[Date Completed]]</f>
        <v>PRIM4801357114416644259</v>
      </c>
    </row>
    <row r="267" spans="1:82" customFormat="1" ht="15" customHeight="1" x14ac:dyDescent="0.25">
      <c r="A267">
        <v>2021</v>
      </c>
      <c r="B267" s="8" t="s">
        <v>771</v>
      </c>
      <c r="C267" s="8" t="s">
        <v>177</v>
      </c>
      <c r="D267" s="656" t="s">
        <v>3074</v>
      </c>
      <c r="E267" s="8" t="s">
        <v>1164</v>
      </c>
      <c r="F267" s="8" t="s">
        <v>738</v>
      </c>
      <c r="G267" s="8" t="s">
        <v>2814</v>
      </c>
      <c r="H267" s="8" t="s">
        <v>59</v>
      </c>
      <c r="I267" s="642">
        <v>44138</v>
      </c>
      <c r="J267" s="18">
        <v>44260</v>
      </c>
      <c r="K267" s="642">
        <v>44260</v>
      </c>
      <c r="L267" s="16">
        <f>IF(ISTEXT(Table15[[#This Row],[Engineering Approved Design Date]]),Table15[[#This Row],[Date Completed]]-Table15[[#This Row],[Date Assigned to Designer]],Table15[[#This Row],[Engineering Approved Design Date]]-Table15[[#This Row],[Date Completed]])</f>
        <v>0</v>
      </c>
      <c r="M267" s="642"/>
      <c r="N267" s="642" t="s">
        <v>120</v>
      </c>
      <c r="O267" s="1025">
        <v>44260</v>
      </c>
      <c r="P267" s="21" t="s">
        <v>120</v>
      </c>
      <c r="Q267" s="340">
        <f>R267*AA267</f>
        <v>141889.17689999999</v>
      </c>
      <c r="R267" s="1026">
        <v>0.09</v>
      </c>
      <c r="S267" s="551" t="s">
        <v>709</v>
      </c>
      <c r="T267" s="538" t="s">
        <v>709</v>
      </c>
      <c r="U267" s="441" t="s">
        <v>709</v>
      </c>
      <c r="V267" s="857">
        <v>3569</v>
      </c>
      <c r="W267" s="440"/>
      <c r="X267" s="551">
        <v>1519700</v>
      </c>
      <c r="Y267" s="550"/>
      <c r="Z267" s="551">
        <v>56846.41</v>
      </c>
      <c r="AA267" s="538">
        <f>X267+Z267</f>
        <v>1576546.41</v>
      </c>
      <c r="AB267" s="341"/>
      <c r="AC267" s="568" t="s">
        <v>116</v>
      </c>
      <c r="AD267" s="1157"/>
      <c r="AE267" s="568"/>
      <c r="AF267" s="568"/>
      <c r="AG267" s="568"/>
      <c r="AH267" s="183"/>
      <c r="AI267" s="1036"/>
      <c r="AJ267" s="1037"/>
      <c r="AK267" s="1037"/>
      <c r="AL267" s="1038"/>
      <c r="AM267" s="542" t="s">
        <v>116</v>
      </c>
      <c r="AN267" s="1508">
        <v>44314</v>
      </c>
      <c r="AO267" s="925">
        <v>186862</v>
      </c>
      <c r="AP267" s="926">
        <v>1520192.97</v>
      </c>
      <c r="AQ267" s="926"/>
      <c r="AR267" s="926">
        <v>56846.41</v>
      </c>
      <c r="AS267" s="926">
        <f>IF(Table15[[#This Row],[PCTS Approved]]="N",0,Table15[[#This Row],[Investment Amount (1'#'#'#'#'#)]]+Table15[[#This Row],[Retirement Amount (3'#'#'#'#'#)]])</f>
        <v>1577039.38</v>
      </c>
      <c r="AT267" s="926">
        <f>IF(Table15[[#This Row],[Approved Construction Cost]]=0,0,Table15[[#This Row],[Approved Construction Cost]]-Table15[[#This Row],[Construction Cost to Bill From]])</f>
        <v>492.96999999997206</v>
      </c>
      <c r="AU267" s="926">
        <f>Table15[[#This Row],[Difference in Construction Cost]]*Table15[[#This Row],[Rate]]</f>
        <v>44.367299999997485</v>
      </c>
      <c r="AV267" s="926" t="s">
        <v>709</v>
      </c>
      <c r="AW267" s="927" t="s">
        <v>3075</v>
      </c>
      <c r="AX267" s="926"/>
      <c r="AY267" s="636" t="s">
        <v>1935</v>
      </c>
      <c r="AZ267" s="1531"/>
      <c r="BA267" s="1031" t="s">
        <v>3076</v>
      </c>
      <c r="BB267" s="644" t="s">
        <v>3077</v>
      </c>
      <c r="BC267" s="544" t="s">
        <v>709</v>
      </c>
      <c r="BD267" s="544" t="s">
        <v>709</v>
      </c>
      <c r="BE267" s="544" t="s">
        <v>1168</v>
      </c>
      <c r="BF267" s="544" t="s">
        <v>709</v>
      </c>
      <c r="BG267" s="544" t="s">
        <v>709</v>
      </c>
      <c r="BH267" s="741"/>
      <c r="BI267" s="547" t="s">
        <v>709</v>
      </c>
      <c r="BJ267" s="547" t="s">
        <v>709</v>
      </c>
      <c r="BK267" s="547" t="s">
        <v>116</v>
      </c>
      <c r="BL267" s="547" t="s">
        <v>709</v>
      </c>
      <c r="BM267" s="547" t="s">
        <v>709</v>
      </c>
      <c r="BN267" s="547">
        <v>3542</v>
      </c>
      <c r="BO267" s="547" t="s">
        <v>709</v>
      </c>
      <c r="BP267" s="547" t="s">
        <v>709</v>
      </c>
      <c r="BQ267" s="547">
        <v>27</v>
      </c>
      <c r="BR267" s="547" t="s">
        <v>709</v>
      </c>
      <c r="BS267" s="547" t="s">
        <v>709</v>
      </c>
      <c r="BT267" s="547" t="s">
        <v>745</v>
      </c>
      <c r="BU267" s="547" t="s">
        <v>709</v>
      </c>
      <c r="BV267" s="547" t="s">
        <v>745</v>
      </c>
      <c r="BW267" s="547" t="s">
        <v>709</v>
      </c>
      <c r="BX267" s="547" t="s">
        <v>745</v>
      </c>
      <c r="BY267" s="547" t="s">
        <v>745</v>
      </c>
      <c r="BZ267" s="547" t="s">
        <v>709</v>
      </c>
      <c r="CA267" s="483"/>
      <c r="CB267" s="547">
        <v>265</v>
      </c>
      <c r="CC267" s="1481" t="b">
        <v>1</v>
      </c>
      <c r="CD267" t="str">
        <f>Table15[[#This Row],[Engineering Number]]&amp;Table15[[#This Row],[WO Number]]&amp;Table15[[#This Row],[Date Assigned to Designer]]&amp;Table15[[#This Row],[Date Completed]]</f>
        <v>VW3961357094413844260</v>
      </c>
    </row>
    <row r="268" spans="1:82" customFormat="1" ht="15" customHeight="1" x14ac:dyDescent="0.25">
      <c r="A268">
        <v>2020</v>
      </c>
      <c r="B268" s="8" t="s">
        <v>4</v>
      </c>
      <c r="C268" s="8" t="s">
        <v>187</v>
      </c>
      <c r="D268" s="8" t="s">
        <v>2798</v>
      </c>
      <c r="E268" s="8" t="s">
        <v>1164</v>
      </c>
      <c r="F268" s="8" t="s">
        <v>738</v>
      </c>
      <c r="G268" s="8" t="s">
        <v>40</v>
      </c>
      <c r="H268" s="8" t="s">
        <v>2051</v>
      </c>
      <c r="I268" s="642">
        <v>43742</v>
      </c>
      <c r="J268" s="18" t="s">
        <v>2052</v>
      </c>
      <c r="K268" s="642">
        <v>44264</v>
      </c>
      <c r="L268" s="16">
        <f>IF(ISTEXT(Table15[[#This Row],[Engineering Approved Design Date]]),Table15[[#This Row],[Date Completed]]-Table15[[#This Row],[Date Assigned to Designer]],Table15[[#This Row],[Engineering Approved Design Date]]-Table15[[#This Row],[Date Completed]])</f>
        <v>522</v>
      </c>
      <c r="M268" s="642" t="s">
        <v>3079</v>
      </c>
      <c r="N268" s="642" t="s">
        <v>120</v>
      </c>
      <c r="O268" s="1025">
        <v>44264</v>
      </c>
      <c r="P268" s="21" t="s">
        <v>120</v>
      </c>
      <c r="Q268" s="340">
        <f>Table15[[#This Row],[KH Hourly Effort]]</f>
        <v>2620</v>
      </c>
      <c r="R268" s="1026" t="s">
        <v>1922</v>
      </c>
      <c r="S268" s="538" t="s">
        <v>709</v>
      </c>
      <c r="T268" s="538" t="s">
        <v>709</v>
      </c>
      <c r="U268" s="28">
        <v>2620</v>
      </c>
      <c r="V268" s="858"/>
      <c r="W268" s="437"/>
      <c r="X268" s="538"/>
      <c r="Y268" s="550"/>
      <c r="Z268" s="538"/>
      <c r="AA268" s="551"/>
      <c r="AB268" s="341"/>
      <c r="AC268" s="568"/>
      <c r="AD268" s="1157"/>
      <c r="AE268" s="579"/>
      <c r="AF268" s="579"/>
      <c r="AG268" s="579"/>
      <c r="AH268" s="553"/>
      <c r="AI268" s="1036"/>
      <c r="AJ268" s="1037"/>
      <c r="AK268" s="1037"/>
      <c r="AL268" s="1038"/>
      <c r="AM268" s="542" t="s">
        <v>709</v>
      </c>
      <c r="AN268" s="924"/>
      <c r="AO268" s="925"/>
      <c r="AP268" s="926"/>
      <c r="AQ268" s="926"/>
      <c r="AR268" s="926"/>
      <c r="AS268" s="926"/>
      <c r="AT268" s="926"/>
      <c r="AU268" s="926"/>
      <c r="AV268" s="926"/>
      <c r="AW268" s="927"/>
      <c r="AX268" s="926"/>
      <c r="AY268" s="1538" t="s">
        <v>29</v>
      </c>
      <c r="AZ268" s="1530"/>
      <c r="BA268" s="1031">
        <v>1</v>
      </c>
      <c r="BB268" s="644"/>
      <c r="BC268" s="544"/>
      <c r="BD268" s="544"/>
      <c r="BE268" s="544"/>
      <c r="BF268" s="544"/>
      <c r="BG268" s="544"/>
      <c r="BH268" s="741"/>
      <c r="BI268" s="547" t="s">
        <v>709</v>
      </c>
      <c r="BJ268" s="547" t="s">
        <v>709</v>
      </c>
      <c r="BK268" s="547" t="s">
        <v>116</v>
      </c>
      <c r="BL268" s="547" t="s">
        <v>709</v>
      </c>
      <c r="BM268" s="547" t="s">
        <v>709</v>
      </c>
      <c r="BN268" s="547">
        <v>1644</v>
      </c>
      <c r="BO268" s="547" t="s">
        <v>709</v>
      </c>
      <c r="BP268" s="547" t="s">
        <v>709</v>
      </c>
      <c r="BQ268" s="547" t="s">
        <v>709</v>
      </c>
      <c r="BR268" s="547" t="s">
        <v>709</v>
      </c>
      <c r="BS268" s="547" t="s">
        <v>709</v>
      </c>
      <c r="BT268" s="547" t="s">
        <v>745</v>
      </c>
      <c r="BU268" s="547" t="s">
        <v>709</v>
      </c>
      <c r="BV268" s="547" t="s">
        <v>745</v>
      </c>
      <c r="BW268" s="547" t="s">
        <v>709</v>
      </c>
      <c r="BX268" s="547" t="s">
        <v>745</v>
      </c>
      <c r="BY268" s="547" t="s">
        <v>745</v>
      </c>
      <c r="BZ268" s="547" t="s">
        <v>709</v>
      </c>
      <c r="CA268" s="483"/>
      <c r="CB268" s="547">
        <v>266</v>
      </c>
      <c r="CC268" s="1481" t="b">
        <v>1</v>
      </c>
      <c r="CD268" t="str">
        <f>Table15[[#This Row],[Engineering Number]]&amp;Table15[[#This Row],[WO Number]]&amp;Table15[[#This Row],[Date Assigned to Designer]]&amp;Table15[[#This Row],[Date Completed]]</f>
        <v>SC167041356834374244264</v>
      </c>
    </row>
    <row r="269" spans="1:82" customFormat="1" ht="15" customHeight="1" x14ac:dyDescent="0.25">
      <c r="A269">
        <v>2021</v>
      </c>
      <c r="B269" s="8" t="s">
        <v>4</v>
      </c>
      <c r="C269" s="8" t="s">
        <v>3081</v>
      </c>
      <c r="D269" s="656" t="s">
        <v>3082</v>
      </c>
      <c r="E269" s="8" t="s">
        <v>783</v>
      </c>
      <c r="F269" s="8" t="s">
        <v>738</v>
      </c>
      <c r="G269" s="8" t="s">
        <v>2814</v>
      </c>
      <c r="H269" s="8" t="s">
        <v>59</v>
      </c>
      <c r="I269" s="642">
        <v>44235</v>
      </c>
      <c r="J269" s="18">
        <v>44284</v>
      </c>
      <c r="K269" s="642">
        <v>44266</v>
      </c>
      <c r="L269" s="16">
        <f>IF(ISTEXT(Table15[[#This Row],[Engineering Approved Design Date]]),Table15[[#This Row],[Date Completed]]-Table15[[#This Row],[Date Assigned to Designer]],Table15[[#This Row],[Engineering Approved Design Date]]-Table15[[#This Row],[Date Completed]])</f>
        <v>18</v>
      </c>
      <c r="M269" s="642"/>
      <c r="N269" s="642" t="s">
        <v>120</v>
      </c>
      <c r="O269" s="1025">
        <v>44266</v>
      </c>
      <c r="P269" s="21" t="s">
        <v>739</v>
      </c>
      <c r="Q269" s="340">
        <f>R269*AA269</f>
        <v>19874.983000000004</v>
      </c>
      <c r="R269" s="1026">
        <v>0.1</v>
      </c>
      <c r="S269" s="538" t="s">
        <v>709</v>
      </c>
      <c r="T269" s="538" t="s">
        <v>709</v>
      </c>
      <c r="U269" s="441" t="s">
        <v>709</v>
      </c>
      <c r="V269" s="858">
        <v>148</v>
      </c>
      <c r="W269" s="437"/>
      <c r="X269" s="538">
        <v>175774.97</v>
      </c>
      <c r="Y269" s="550"/>
      <c r="Z269" s="538">
        <v>22974.86</v>
      </c>
      <c r="AA269" s="538">
        <f>X269+Z269</f>
        <v>198749.83000000002</v>
      </c>
      <c r="AB269" s="341"/>
      <c r="AC269" s="568" t="s">
        <v>709</v>
      </c>
      <c r="AD269" s="1157"/>
      <c r="AE269" s="579"/>
      <c r="AF269" s="579"/>
      <c r="AG269" s="579"/>
      <c r="AH269" s="553"/>
      <c r="AI269" s="1036"/>
      <c r="AJ269" s="1037"/>
      <c r="AK269" s="1037"/>
      <c r="AL269" s="1038"/>
      <c r="AM269" s="1522" t="s">
        <v>116</v>
      </c>
      <c r="AN269" s="1523">
        <v>44307</v>
      </c>
      <c r="AO269" s="1524">
        <v>188345</v>
      </c>
      <c r="AP269" s="1525">
        <v>151791.78</v>
      </c>
      <c r="AQ269" s="1525"/>
      <c r="AR269" s="1525">
        <v>22974.86</v>
      </c>
      <c r="AS269" s="1525">
        <f>IF(Table15[[#This Row],[PCTS Approved]]="N",0,Table15[[#This Row],[Investment Amount (1'#'#'#'#'#)]]+Table15[[#This Row],[Retirement Amount (3'#'#'#'#'#)]])</f>
        <v>174766.64</v>
      </c>
      <c r="AT269" s="1525">
        <f>IF(Table15[[#This Row],[Approved Construction Cost]]=0,0,Table15[[#This Row],[Approved Construction Cost]]-Table15[[#This Row],[Construction Cost to Bill From]])</f>
        <v>-23983.190000000002</v>
      </c>
      <c r="AU269" s="1525">
        <f>Table15[[#This Row],[Difference in Construction Cost]]*Table15[[#This Row],[Rate]]</f>
        <v>-2398.3190000000004</v>
      </c>
      <c r="AV269" s="1525" t="s">
        <v>709</v>
      </c>
      <c r="AW269" s="1526" t="s">
        <v>3083</v>
      </c>
      <c r="AX269" s="1525">
        <v>-2398.3190000000004</v>
      </c>
      <c r="AY269" s="1518">
        <v>44501</v>
      </c>
      <c r="AZ269" s="1532"/>
      <c r="BA269" s="1031" t="s">
        <v>3084</v>
      </c>
      <c r="BB269" s="644" t="s">
        <v>1156</v>
      </c>
      <c r="BC269" s="544" t="s">
        <v>709</v>
      </c>
      <c r="BD269" s="544" t="s">
        <v>709</v>
      </c>
      <c r="BE269" s="544" t="s">
        <v>789</v>
      </c>
      <c r="BF269" s="544" t="s">
        <v>709</v>
      </c>
      <c r="BG269" s="544" t="s">
        <v>709</v>
      </c>
      <c r="BH269" s="741"/>
      <c r="BI269" s="547" t="s">
        <v>709</v>
      </c>
      <c r="BJ269" s="547" t="s">
        <v>709</v>
      </c>
      <c r="BK269" s="547" t="s">
        <v>709</v>
      </c>
      <c r="BL269" s="547" t="s">
        <v>116</v>
      </c>
      <c r="BM269" s="547" t="s">
        <v>709</v>
      </c>
      <c r="BN269" s="547" t="s">
        <v>709</v>
      </c>
      <c r="BO269" s="547" t="s">
        <v>709</v>
      </c>
      <c r="BP269" s="547" t="s">
        <v>709</v>
      </c>
      <c r="BQ269" s="547" t="s">
        <v>709</v>
      </c>
      <c r="BR269" s="547">
        <v>148</v>
      </c>
      <c r="BS269" s="547" t="s">
        <v>709</v>
      </c>
      <c r="BT269" s="547" t="s">
        <v>745</v>
      </c>
      <c r="BU269" s="547" t="s">
        <v>709</v>
      </c>
      <c r="BV269" s="547" t="s">
        <v>745</v>
      </c>
      <c r="BW269" s="547" t="s">
        <v>709</v>
      </c>
      <c r="BX269" s="547" t="s">
        <v>745</v>
      </c>
      <c r="BY269" s="547" t="s">
        <v>745</v>
      </c>
      <c r="BZ269" s="547" t="s">
        <v>709</v>
      </c>
      <c r="CA269" s="483"/>
      <c r="CB269" s="547">
        <v>267</v>
      </c>
      <c r="CC269" s="1481" t="b">
        <v>1</v>
      </c>
      <c r="CD269" t="str">
        <f>Table15[[#This Row],[Engineering Number]]&amp;Table15[[#This Row],[WO Number]]&amp;Table15[[#This Row],[Date Assigned to Designer]]&amp;Table15[[#This Row],[Date Completed]]</f>
        <v>SC160611357284423544266</v>
      </c>
    </row>
    <row r="270" spans="1:82" customFormat="1" ht="15" customHeight="1" x14ac:dyDescent="0.25">
      <c r="A270">
        <v>2020</v>
      </c>
      <c r="B270" s="8" t="s">
        <v>4</v>
      </c>
      <c r="C270" s="8" t="s">
        <v>2839</v>
      </c>
      <c r="D270" s="8" t="s">
        <v>2840</v>
      </c>
      <c r="E270" s="8" t="s">
        <v>183</v>
      </c>
      <c r="F270" s="8" t="s">
        <v>738</v>
      </c>
      <c r="G270" s="8" t="s">
        <v>2814</v>
      </c>
      <c r="H270" s="8" t="s">
        <v>2051</v>
      </c>
      <c r="I270" s="642">
        <v>44110</v>
      </c>
      <c r="J270" s="18" t="s">
        <v>2052</v>
      </c>
      <c r="K270" s="642">
        <v>44272</v>
      </c>
      <c r="L270" s="16">
        <f>IF(ISTEXT(Table15[[#This Row],[Engineering Approved Design Date]]),Table15[[#This Row],[Date Completed]]-Table15[[#This Row],[Date Assigned to Designer]],Table15[[#This Row],[Engineering Approved Design Date]]-Table15[[#This Row],[Date Completed]])</f>
        <v>162</v>
      </c>
      <c r="M270" s="642" t="s">
        <v>3086</v>
      </c>
      <c r="N270" s="642" t="s">
        <v>120</v>
      </c>
      <c r="O270" s="1025">
        <v>44272</v>
      </c>
      <c r="P270" s="21" t="s">
        <v>739</v>
      </c>
      <c r="Q270" s="340">
        <f>Table15[[#This Row],[KH Hourly Effort]]</f>
        <v>16065</v>
      </c>
      <c r="R270" s="1026" t="s">
        <v>1922</v>
      </c>
      <c r="S270" s="538" t="s">
        <v>709</v>
      </c>
      <c r="T270" s="538" t="s">
        <v>709</v>
      </c>
      <c r="U270" s="300">
        <v>16065</v>
      </c>
      <c r="V270" s="857">
        <v>2258</v>
      </c>
      <c r="W270" s="440"/>
      <c r="X270" s="551"/>
      <c r="Y270" s="1485"/>
      <c r="Z270" s="551"/>
      <c r="AA270" s="551"/>
      <c r="AB270" s="341"/>
      <c r="AC270" s="568"/>
      <c r="AD270" s="1157"/>
      <c r="AE270" s="579"/>
      <c r="AF270" s="579"/>
      <c r="AG270" s="579"/>
      <c r="AH270" s="553"/>
      <c r="AI270" s="1036"/>
      <c r="AJ270" s="1037"/>
      <c r="AK270" s="1037"/>
      <c r="AL270" s="1038"/>
      <c r="AM270" s="542" t="s">
        <v>709</v>
      </c>
      <c r="AN270" s="924"/>
      <c r="AO270" s="925"/>
      <c r="AP270" s="926"/>
      <c r="AQ270" s="926"/>
      <c r="AR270" s="926"/>
      <c r="AS270" s="926"/>
      <c r="AT270" s="926"/>
      <c r="AU270" s="926"/>
      <c r="AV270" s="926"/>
      <c r="AW270" s="927"/>
      <c r="AX270" s="926"/>
      <c r="AY270" s="1538" t="s">
        <v>29</v>
      </c>
      <c r="AZ270" s="1530"/>
      <c r="BA270" s="1031">
        <v>12</v>
      </c>
      <c r="BB270" s="644"/>
      <c r="BC270" s="544"/>
      <c r="BD270" s="544"/>
      <c r="BE270" s="544"/>
      <c r="BF270" s="544"/>
      <c r="BG270" s="544"/>
      <c r="BH270" s="741"/>
      <c r="BI270" s="547" t="s">
        <v>709</v>
      </c>
      <c r="BJ270" s="547" t="s">
        <v>709</v>
      </c>
      <c r="BK270" s="547" t="s">
        <v>709</v>
      </c>
      <c r="BL270" s="547" t="s">
        <v>116</v>
      </c>
      <c r="BM270" s="547" t="s">
        <v>709</v>
      </c>
      <c r="BN270" s="547" t="s">
        <v>709</v>
      </c>
      <c r="BO270" s="547" t="s">
        <v>709</v>
      </c>
      <c r="BP270" s="547" t="s">
        <v>709</v>
      </c>
      <c r="BQ270" s="547" t="s">
        <v>709</v>
      </c>
      <c r="BR270" s="547" t="s">
        <v>709</v>
      </c>
      <c r="BS270" s="547">
        <v>3616</v>
      </c>
      <c r="BT270" s="547" t="s">
        <v>745</v>
      </c>
      <c r="BU270" s="547" t="s">
        <v>709</v>
      </c>
      <c r="BV270" s="547" t="s">
        <v>745</v>
      </c>
      <c r="BW270" s="547" t="s">
        <v>709</v>
      </c>
      <c r="BX270" s="547" t="s">
        <v>745</v>
      </c>
      <c r="BY270" s="547" t="s">
        <v>745</v>
      </c>
      <c r="BZ270" s="547" t="s">
        <v>709</v>
      </c>
      <c r="CA270" s="483"/>
      <c r="CB270" s="547">
        <v>268</v>
      </c>
      <c r="CC270" s="1481" t="b">
        <v>1</v>
      </c>
      <c r="CD270" t="str">
        <f>Table15[[#This Row],[Engineering Number]]&amp;Table15[[#This Row],[WO Number]]&amp;Table15[[#This Row],[Date Assigned to Designer]]&amp;Table15[[#This Row],[Date Completed]]</f>
        <v>M119261205304411044272</v>
      </c>
    </row>
    <row r="271" spans="1:82" customFormat="1" ht="15" customHeight="1" x14ac:dyDescent="0.25">
      <c r="A271">
        <v>2021</v>
      </c>
      <c r="B271" s="8" t="s">
        <v>771</v>
      </c>
      <c r="C271" s="8" t="s">
        <v>3088</v>
      </c>
      <c r="D271" s="8" t="s">
        <v>3089</v>
      </c>
      <c r="E271" s="8" t="s">
        <v>3012</v>
      </c>
      <c r="F271" s="8" t="s">
        <v>919</v>
      </c>
      <c r="G271" s="8" t="s">
        <v>1882</v>
      </c>
      <c r="H271" s="8" t="s">
        <v>59</v>
      </c>
      <c r="I271" s="642">
        <v>44188</v>
      </c>
      <c r="J271" s="18">
        <v>44286</v>
      </c>
      <c r="K271" s="642">
        <v>44273</v>
      </c>
      <c r="L271" s="16">
        <f>IF(ISTEXT(Table15[[#This Row],[Engineering Approved Design Date]]),Table15[[#This Row],[Date Completed]]-Table15[[#This Row],[Date Assigned to Designer]],Table15[[#This Row],[Engineering Approved Design Date]]-Table15[[#This Row],[Date Completed]])</f>
        <v>13</v>
      </c>
      <c r="M271" s="642"/>
      <c r="N271" s="642" t="s">
        <v>120</v>
      </c>
      <c r="O271" s="1025">
        <v>44273</v>
      </c>
      <c r="P271" s="21" t="s">
        <v>120</v>
      </c>
      <c r="Q271" s="340">
        <f>1.55*Table15[[#This Row],[LF of Main]]</f>
        <v>8901.65</v>
      </c>
      <c r="R271" s="1026" t="s">
        <v>2087</v>
      </c>
      <c r="S271" s="538" t="s">
        <v>709</v>
      </c>
      <c r="T271" s="538" t="s">
        <v>709</v>
      </c>
      <c r="U271" s="441" t="s">
        <v>709</v>
      </c>
      <c r="V271" s="857">
        <v>5743</v>
      </c>
      <c r="W271" s="440"/>
      <c r="X271" s="551">
        <v>903511.32</v>
      </c>
      <c r="Y271" s="1486"/>
      <c r="Z271" s="551">
        <v>31031.01</v>
      </c>
      <c r="AA271" s="538">
        <f>X271+Z271</f>
        <v>934542.33</v>
      </c>
      <c r="AB271" s="341"/>
      <c r="AC271" s="568" t="s">
        <v>709</v>
      </c>
      <c r="AD271" s="1157"/>
      <c r="AE271" s="568"/>
      <c r="AF271" s="568"/>
      <c r="AG271" s="568"/>
      <c r="AH271" s="183"/>
      <c r="AI271" s="1036"/>
      <c r="AJ271" s="1037"/>
      <c r="AK271" s="1037"/>
      <c r="AL271" s="1038"/>
      <c r="AM271" s="542" t="s">
        <v>709</v>
      </c>
      <c r="AN271" s="924"/>
      <c r="AO271" s="925"/>
      <c r="AP271" s="926"/>
      <c r="AQ271" s="926"/>
      <c r="AR271" s="926"/>
      <c r="AS271" s="926"/>
      <c r="AT271" s="926"/>
      <c r="AU271" s="926"/>
      <c r="AV271" s="926"/>
      <c r="AW271" s="927"/>
      <c r="AX271" s="926"/>
      <c r="AY271" s="1538" t="s">
        <v>29</v>
      </c>
      <c r="AZ271" s="1530"/>
      <c r="BA271" s="1031" t="s">
        <v>3090</v>
      </c>
      <c r="BB271" s="644" t="s">
        <v>3091</v>
      </c>
      <c r="BC271" s="544" t="s">
        <v>116</v>
      </c>
      <c r="BD271" s="544" t="s">
        <v>709</v>
      </c>
      <c r="BE271" s="544" t="s">
        <v>3015</v>
      </c>
      <c r="BF271" s="544" t="s">
        <v>709</v>
      </c>
      <c r="BG271" s="544" t="s">
        <v>709</v>
      </c>
      <c r="BH271" s="741"/>
      <c r="BI271" s="547" t="s">
        <v>709</v>
      </c>
      <c r="BJ271" s="547" t="s">
        <v>709</v>
      </c>
      <c r="BK271" s="547" t="s">
        <v>709</v>
      </c>
      <c r="BL271" s="547" t="s">
        <v>116</v>
      </c>
      <c r="BM271" s="547" t="s">
        <v>709</v>
      </c>
      <c r="BN271" s="547" t="s">
        <v>709</v>
      </c>
      <c r="BO271" s="547" t="s">
        <v>709</v>
      </c>
      <c r="BP271" s="547" t="s">
        <v>709</v>
      </c>
      <c r="BQ271" s="547" t="s">
        <v>709</v>
      </c>
      <c r="BR271" s="547" t="s">
        <v>709</v>
      </c>
      <c r="BS271" s="547">
        <v>5743</v>
      </c>
      <c r="BT271" s="547" t="s">
        <v>745</v>
      </c>
      <c r="BU271" s="547" t="s">
        <v>709</v>
      </c>
      <c r="BV271" s="547" t="s">
        <v>745</v>
      </c>
      <c r="BW271" s="547" t="s">
        <v>709</v>
      </c>
      <c r="BX271" s="547" t="s">
        <v>745</v>
      </c>
      <c r="BY271" s="547" t="s">
        <v>745</v>
      </c>
      <c r="BZ271" s="547" t="s">
        <v>709</v>
      </c>
      <c r="CA271" s="483"/>
      <c r="CB271" s="547">
        <v>269</v>
      </c>
      <c r="CC271" s="1481" t="b">
        <v>1</v>
      </c>
      <c r="CD271" t="str">
        <f>Table15[[#This Row],[Engineering Number]]&amp;Table15[[#This Row],[WO Number]]&amp;Table15[[#This Row],[Date Assigned to Designer]]&amp;Table15[[#This Row],[Date Completed]]</f>
        <v>VW191205504418844273</v>
      </c>
    </row>
    <row r="272" spans="1:82" customFormat="1" ht="15" customHeight="1" x14ac:dyDescent="0.25">
      <c r="A272">
        <v>2021</v>
      </c>
      <c r="B272" s="8" t="s">
        <v>1108</v>
      </c>
      <c r="C272" s="8" t="s">
        <v>1169</v>
      </c>
      <c r="D272" s="656" t="s">
        <v>1170</v>
      </c>
      <c r="E272" s="8" t="s">
        <v>1171</v>
      </c>
      <c r="F272" s="8" t="s">
        <v>1172</v>
      </c>
      <c r="G272" s="8" t="s">
        <v>40</v>
      </c>
      <c r="H272" s="8" t="s">
        <v>59</v>
      </c>
      <c r="I272" s="642">
        <v>44188</v>
      </c>
      <c r="J272" s="18">
        <v>44274</v>
      </c>
      <c r="K272" s="642">
        <v>44274</v>
      </c>
      <c r="L272" s="16">
        <f>IF(ISTEXT(Table15[[#This Row],[Engineering Approved Design Date]]),Table15[[#This Row],[Date Completed]]-Table15[[#This Row],[Date Assigned to Designer]],Table15[[#This Row],[Engineering Approved Design Date]]-Table15[[#This Row],[Date Completed]])</f>
        <v>0</v>
      </c>
      <c r="M272" s="642"/>
      <c r="N272" s="642" t="s">
        <v>120</v>
      </c>
      <c r="O272" s="1025">
        <v>44274</v>
      </c>
      <c r="P272" s="21" t="s">
        <v>739</v>
      </c>
      <c r="Q272" s="340">
        <f>(Table15[[#This Row],[Construction Cost to Bill From]]*0.085)+7750</f>
        <v>22430.406950000004</v>
      </c>
      <c r="R272" s="1026" t="s">
        <v>1055</v>
      </c>
      <c r="S272" s="538" t="s">
        <v>709</v>
      </c>
      <c r="T272" s="538" t="s">
        <v>709</v>
      </c>
      <c r="U272" s="441" t="s">
        <v>709</v>
      </c>
      <c r="V272" s="857">
        <v>8</v>
      </c>
      <c r="W272" s="440"/>
      <c r="X272" s="551">
        <v>165048.51</v>
      </c>
      <c r="Y272" s="1486"/>
      <c r="Z272" s="551">
        <v>7662.16</v>
      </c>
      <c r="AA272" s="538">
        <f>X272+Z272</f>
        <v>172710.67</v>
      </c>
      <c r="AB272" s="341"/>
      <c r="AC272" s="568" t="s">
        <v>116</v>
      </c>
      <c r="AD272" s="1157"/>
      <c r="AE272" s="579"/>
      <c r="AF272" s="579"/>
      <c r="AG272" s="579"/>
      <c r="AH272" s="553"/>
      <c r="AI272" s="1036"/>
      <c r="AJ272" s="1037"/>
      <c r="AK272" s="1037"/>
      <c r="AL272" s="1038"/>
      <c r="AM272" s="536" t="s">
        <v>116</v>
      </c>
      <c r="AN272" s="903" t="s">
        <v>709</v>
      </c>
      <c r="AO272" s="1536" t="s">
        <v>115</v>
      </c>
      <c r="AP272" s="1537"/>
      <c r="AQ272" s="1537"/>
      <c r="AR272" s="1537"/>
      <c r="AS272" s="888">
        <f>IF(Table15[[#This Row],[PCTS Approved]]="N",0,Table15[[#This Row],[Investment Amount (1'#'#'#'#'#)]]+Table15[[#This Row],[Retirement Amount (3'#'#'#'#'#)]])</f>
        <v>0</v>
      </c>
      <c r="AT272" s="888">
        <f>IF(Table15[[#This Row],[Approved Construction Cost]]=0,0,Table15[[#This Row],[Approved Construction Cost]]-Table15[[#This Row],[Construction Cost to Bill From]])</f>
        <v>0</v>
      </c>
      <c r="AU272" s="888">
        <f>IFERROR(Table15[[#This Row],[Difference in Construction Cost]]*Table15[[#This Row],[Rate]],Table15[[#This Row],[Difference in Construction Cost]]*0.085)</f>
        <v>0</v>
      </c>
      <c r="AV272" s="905"/>
      <c r="AW272" s="1509"/>
      <c r="AX272" s="888"/>
      <c r="AY272" s="636" t="s">
        <v>709</v>
      </c>
      <c r="AZ272" s="333">
        <v>177</v>
      </c>
      <c r="BA272" s="859" t="s">
        <v>1173</v>
      </c>
      <c r="BB272" s="644" t="s">
        <v>1174</v>
      </c>
      <c r="BC272" s="544" t="s">
        <v>116</v>
      </c>
      <c r="BD272" s="544" t="s">
        <v>709</v>
      </c>
      <c r="BE272" s="544" t="s">
        <v>709</v>
      </c>
      <c r="BF272" s="544" t="s">
        <v>709</v>
      </c>
      <c r="BG272" s="544" t="s">
        <v>709</v>
      </c>
      <c r="BH272" s="741"/>
      <c r="BI272" s="547" t="s">
        <v>709</v>
      </c>
      <c r="BJ272" s="547" t="s">
        <v>709</v>
      </c>
      <c r="BK272" s="547" t="s">
        <v>116</v>
      </c>
      <c r="BL272" s="547" t="s">
        <v>709</v>
      </c>
      <c r="BM272" s="547" t="s">
        <v>709</v>
      </c>
      <c r="BN272" s="547" t="s">
        <v>709</v>
      </c>
      <c r="BO272" s="547" t="s">
        <v>709</v>
      </c>
      <c r="BP272" s="547">
        <v>4</v>
      </c>
      <c r="BQ272" s="547">
        <v>4</v>
      </c>
      <c r="BR272" s="547" t="s">
        <v>709</v>
      </c>
      <c r="BS272" s="547" t="s">
        <v>709</v>
      </c>
      <c r="BT272" s="547" t="s">
        <v>709</v>
      </c>
      <c r="BU272" s="547" t="s">
        <v>709</v>
      </c>
      <c r="BV272" s="547" t="s">
        <v>709</v>
      </c>
      <c r="BW272" s="547">
        <v>2</v>
      </c>
      <c r="BX272" s="547" t="s">
        <v>709</v>
      </c>
      <c r="BY272" s="547" t="s">
        <v>709</v>
      </c>
      <c r="BZ272" s="547" t="s">
        <v>709</v>
      </c>
      <c r="CA272" s="483" t="s">
        <v>2</v>
      </c>
      <c r="CB272" s="547">
        <v>270</v>
      </c>
      <c r="CC272" s="1481" t="b">
        <v>1</v>
      </c>
      <c r="CD272" t="str">
        <f>Table15[[#This Row],[Engineering Number]]&amp;Table15[[#This Row],[WO Number]]&amp;Table15[[#This Row],[Date Assigned to Designer]]&amp;Table15[[#This Row],[Date Completed]]</f>
        <v>RS6961011624418844274</v>
      </c>
    </row>
    <row r="273" spans="1:82" customFormat="1" ht="15" customHeight="1" x14ac:dyDescent="0.25">
      <c r="A273">
        <v>2020</v>
      </c>
      <c r="B273" s="8" t="s">
        <v>771</v>
      </c>
      <c r="C273" s="8" t="s">
        <v>2829</v>
      </c>
      <c r="D273" s="8" t="s">
        <v>2830</v>
      </c>
      <c r="E273" s="8" t="s">
        <v>2246</v>
      </c>
      <c r="F273" s="8" t="s">
        <v>919</v>
      </c>
      <c r="G273" s="8" t="s">
        <v>1882</v>
      </c>
      <c r="H273" s="8" t="s">
        <v>2051</v>
      </c>
      <c r="I273" s="642">
        <v>44166</v>
      </c>
      <c r="J273" s="18" t="s">
        <v>2052</v>
      </c>
      <c r="K273" s="642">
        <v>44274</v>
      </c>
      <c r="L273" s="16">
        <f>IF(ISTEXT(Table15[[#This Row],[Engineering Approved Design Date]]),Table15[[#This Row],[Date Completed]]-Table15[[#This Row],[Date Assigned to Designer]],Table15[[#This Row],[Engineering Approved Design Date]]-Table15[[#This Row],[Date Completed]])</f>
        <v>108</v>
      </c>
      <c r="M273" s="642" t="s">
        <v>3093</v>
      </c>
      <c r="N273" s="642" t="s">
        <v>120</v>
      </c>
      <c r="O273" s="1025">
        <v>44274</v>
      </c>
      <c r="P273" s="21" t="s">
        <v>120</v>
      </c>
      <c r="Q273" s="340">
        <f>Table15[[#This Row],[KH Hourly Effort]]</f>
        <v>4125</v>
      </c>
      <c r="R273" s="1026" t="s">
        <v>1922</v>
      </c>
      <c r="S273" s="551" t="s">
        <v>709</v>
      </c>
      <c r="T273" s="538" t="s">
        <v>709</v>
      </c>
      <c r="U273" s="300">
        <v>4125</v>
      </c>
      <c r="V273" s="857">
        <v>1021</v>
      </c>
      <c r="W273" s="440"/>
      <c r="X273" s="551">
        <v>408696.29</v>
      </c>
      <c r="Y273" s="550"/>
      <c r="Z273" s="551">
        <v>44534.28</v>
      </c>
      <c r="AA273" s="538">
        <f>X273+Z273</f>
        <v>453230.56999999995</v>
      </c>
      <c r="AB273" s="21"/>
      <c r="AC273" s="569"/>
      <c r="AD273" s="1149"/>
      <c r="AE273" s="569"/>
      <c r="AF273" s="569"/>
      <c r="AG273" s="569"/>
      <c r="AH273" s="536"/>
      <c r="AI273" s="1028"/>
      <c r="AJ273" s="1029"/>
      <c r="AK273" s="1029"/>
      <c r="AL273" s="1030"/>
      <c r="AM273" s="542" t="s">
        <v>709</v>
      </c>
      <c r="AN273" s="924"/>
      <c r="AO273" s="925"/>
      <c r="AP273" s="926"/>
      <c r="AQ273" s="926"/>
      <c r="AR273" s="926"/>
      <c r="AS273" s="926"/>
      <c r="AT273" s="926"/>
      <c r="AU273" s="926"/>
      <c r="AV273" s="926"/>
      <c r="AW273" s="927"/>
      <c r="AX273" s="926"/>
      <c r="AY273" s="1538" t="s">
        <v>29</v>
      </c>
      <c r="AZ273" s="1530"/>
      <c r="BA273" s="1031">
        <v>4</v>
      </c>
      <c r="BB273" s="644"/>
      <c r="BC273" s="544"/>
      <c r="BD273" s="544"/>
      <c r="BE273" s="544"/>
      <c r="BF273" s="544"/>
      <c r="BG273" s="544"/>
      <c r="BH273" s="741"/>
      <c r="BI273" s="547" t="s">
        <v>709</v>
      </c>
      <c r="BJ273" s="547" t="s">
        <v>709</v>
      </c>
      <c r="BK273" s="547" t="s">
        <v>709</v>
      </c>
      <c r="BL273" s="547" t="s">
        <v>116</v>
      </c>
      <c r="BM273" s="547" t="s">
        <v>709</v>
      </c>
      <c r="BN273" s="547" t="s">
        <v>709</v>
      </c>
      <c r="BO273" s="547" t="s">
        <v>709</v>
      </c>
      <c r="BP273" s="547">
        <v>699</v>
      </c>
      <c r="BQ273" s="547" t="s">
        <v>709</v>
      </c>
      <c r="BR273" s="547">
        <v>68</v>
      </c>
      <c r="BS273" s="547">
        <v>254</v>
      </c>
      <c r="BT273" s="547" t="s">
        <v>745</v>
      </c>
      <c r="BU273" s="547" t="s">
        <v>709</v>
      </c>
      <c r="BV273" s="547" t="s">
        <v>745</v>
      </c>
      <c r="BW273" s="547" t="s">
        <v>709</v>
      </c>
      <c r="BX273" s="547" t="s">
        <v>745</v>
      </c>
      <c r="BY273" s="547" t="s">
        <v>745</v>
      </c>
      <c r="BZ273" s="547" t="s">
        <v>709</v>
      </c>
      <c r="CA273" s="483"/>
      <c r="CB273" s="547">
        <v>271</v>
      </c>
      <c r="CC273" s="1481" t="b">
        <v>1</v>
      </c>
      <c r="CD273" t="str">
        <f>Table15[[#This Row],[Engineering Number]]&amp;Table15[[#This Row],[WO Number]]&amp;Table15[[#This Row],[Date Assigned to Designer]]&amp;Table15[[#This Row],[Date Completed]]</f>
        <v>VW265-11204824416644274</v>
      </c>
    </row>
    <row r="274" spans="1:82" customFormat="1" ht="15" customHeight="1" x14ac:dyDescent="0.25">
      <c r="A274">
        <v>2021</v>
      </c>
      <c r="B274" s="8" t="s">
        <v>4</v>
      </c>
      <c r="C274" s="8" t="s">
        <v>3096</v>
      </c>
      <c r="D274" s="8" t="s">
        <v>3097</v>
      </c>
      <c r="E274" s="8" t="s">
        <v>3098</v>
      </c>
      <c r="F274" s="8" t="s">
        <v>919</v>
      </c>
      <c r="G274" s="8" t="s">
        <v>39</v>
      </c>
      <c r="H274" s="8" t="s">
        <v>1903</v>
      </c>
      <c r="I274" s="642">
        <v>44251</v>
      </c>
      <c r="J274" s="18">
        <v>44309</v>
      </c>
      <c r="K274" s="642">
        <v>44277</v>
      </c>
      <c r="L274" s="16">
        <f>IF(ISTEXT(Table15[[#This Row],[Engineering Approved Design Date]]),Table15[[#This Row],[Date Completed]]-Table15[[#This Row],[Date Assigned to Designer]],Table15[[#This Row],[Engineering Approved Design Date]]-Table15[[#This Row],[Date Completed]])</f>
        <v>32</v>
      </c>
      <c r="M274" s="642"/>
      <c r="N274" s="642" t="s">
        <v>120</v>
      </c>
      <c r="O274" s="1025">
        <v>44277</v>
      </c>
      <c r="P274" s="21" t="s">
        <v>739</v>
      </c>
      <c r="Q274" s="340" t="s">
        <v>115</v>
      </c>
      <c r="R274" s="1026" t="s">
        <v>115</v>
      </c>
      <c r="S274" s="538" t="s">
        <v>709</v>
      </c>
      <c r="T274" s="538" t="s">
        <v>709</v>
      </c>
      <c r="U274" s="28" t="s">
        <v>709</v>
      </c>
      <c r="V274" s="858"/>
      <c r="W274" s="437"/>
      <c r="X274" s="538"/>
      <c r="Y274" s="551"/>
      <c r="Z274" s="538"/>
      <c r="AA274" s="551"/>
      <c r="AB274" s="341"/>
      <c r="AC274" s="568"/>
      <c r="AD274" s="1157"/>
      <c r="AE274" s="579"/>
      <c r="AF274" s="579"/>
      <c r="AG274" s="579"/>
      <c r="AH274" s="553"/>
      <c r="AI274" s="1036"/>
      <c r="AJ274" s="1037"/>
      <c r="AK274" s="1037"/>
      <c r="AL274" s="1038"/>
      <c r="AM274" s="542" t="s">
        <v>709</v>
      </c>
      <c r="AN274" s="924"/>
      <c r="AO274" s="925"/>
      <c r="AP274" s="926"/>
      <c r="AQ274" s="926"/>
      <c r="AR274" s="926"/>
      <c r="AS274" s="926"/>
      <c r="AT274" s="926"/>
      <c r="AU274" s="926"/>
      <c r="AV274" s="926"/>
      <c r="AW274" s="927"/>
      <c r="AX274" s="926"/>
      <c r="AY274" s="1538" t="s">
        <v>29</v>
      </c>
      <c r="AZ274" s="1530"/>
      <c r="BA274" s="1031" t="s">
        <v>3099</v>
      </c>
      <c r="BB274" s="1051" t="s">
        <v>1216</v>
      </c>
      <c r="BC274" s="868"/>
      <c r="BD274" s="868"/>
      <c r="BE274" s="868"/>
      <c r="BF274" s="868"/>
      <c r="BG274" s="868"/>
      <c r="BH274" s="747"/>
      <c r="BI274" s="1032"/>
      <c r="BJ274" s="1032"/>
      <c r="BK274" s="1032"/>
      <c r="BL274" s="1032"/>
      <c r="BM274" s="1032"/>
      <c r="BN274" s="1032"/>
      <c r="BO274" s="1032"/>
      <c r="BP274" s="1032"/>
      <c r="BQ274" s="1032"/>
      <c r="BR274" s="1032"/>
      <c r="BS274" s="1032"/>
      <c r="BT274" s="1032"/>
      <c r="BU274" s="1032"/>
      <c r="BV274" s="1032"/>
      <c r="BW274" s="1032"/>
      <c r="BX274" s="1032"/>
      <c r="BY274" s="1032"/>
      <c r="BZ274" s="1032"/>
      <c r="CA274" s="485"/>
      <c r="CB274" s="547">
        <v>272</v>
      </c>
      <c r="CC274" s="1481" t="b">
        <v>1</v>
      </c>
      <c r="CD274" t="str">
        <f>Table15[[#This Row],[Engineering Number]]&amp;Table15[[#This Row],[WO Number]]&amp;Table15[[#This Row],[Date Assigned to Designer]]&amp;Table15[[#This Row],[Date Completed]]</f>
        <v>SC184001408584425144277</v>
      </c>
    </row>
    <row r="275" spans="1:82" customFormat="1" ht="15" customHeight="1" x14ac:dyDescent="0.25">
      <c r="A275">
        <v>2021</v>
      </c>
      <c r="B275" s="8" t="s">
        <v>4</v>
      </c>
      <c r="C275" s="8" t="s">
        <v>2912</v>
      </c>
      <c r="D275" s="8" t="s">
        <v>2916</v>
      </c>
      <c r="E275" s="8" t="s">
        <v>1032</v>
      </c>
      <c r="F275" s="8" t="s">
        <v>919</v>
      </c>
      <c r="G275" s="8" t="s">
        <v>2814</v>
      </c>
      <c r="H275" s="8" t="s">
        <v>2051</v>
      </c>
      <c r="I275" s="642">
        <v>44140</v>
      </c>
      <c r="J275" s="18" t="s">
        <v>2052</v>
      </c>
      <c r="K275" s="642">
        <v>44278</v>
      </c>
      <c r="L275" s="16">
        <f>IF(ISTEXT(Table15[[#This Row],[Engineering Approved Design Date]]),Table15[[#This Row],[Date Completed]]-Table15[[#This Row],[Date Assigned to Designer]],Table15[[#This Row],[Engineering Approved Design Date]]-Table15[[#This Row],[Date Completed]])</f>
        <v>138</v>
      </c>
      <c r="M275" s="642" t="s">
        <v>3103</v>
      </c>
      <c r="N275" s="642" t="s">
        <v>120</v>
      </c>
      <c r="O275" s="1025">
        <v>44278</v>
      </c>
      <c r="P275" s="21" t="s">
        <v>739</v>
      </c>
      <c r="Q275" s="340">
        <f>Table15[[#This Row],[KH Hourly Effort]]</f>
        <v>1047.5</v>
      </c>
      <c r="R275" s="1026" t="s">
        <v>1922</v>
      </c>
      <c r="S275" s="538" t="s">
        <v>709</v>
      </c>
      <c r="T275" s="538" t="s">
        <v>709</v>
      </c>
      <c r="U275" s="300">
        <v>1047.5</v>
      </c>
      <c r="V275" s="857"/>
      <c r="W275" s="440"/>
      <c r="X275" s="551"/>
      <c r="Y275" s="551"/>
      <c r="Z275" s="551"/>
      <c r="AA275" s="551"/>
      <c r="AB275" s="341"/>
      <c r="AC275" s="568"/>
      <c r="AD275" s="1157"/>
      <c r="AE275" s="579"/>
      <c r="AF275" s="579"/>
      <c r="AG275" s="579"/>
      <c r="AH275" s="553"/>
      <c r="AI275" s="1036"/>
      <c r="AJ275" s="1037"/>
      <c r="AK275" s="1037"/>
      <c r="AL275" s="1038"/>
      <c r="AM275" s="542" t="s">
        <v>709</v>
      </c>
      <c r="AN275" s="924"/>
      <c r="AO275" s="925"/>
      <c r="AP275" s="926"/>
      <c r="AQ275" s="926"/>
      <c r="AR275" s="926"/>
      <c r="AS275" s="926"/>
      <c r="AT275" s="926"/>
      <c r="AU275" s="926"/>
      <c r="AV275" s="926"/>
      <c r="AW275" s="927"/>
      <c r="AX275" s="926"/>
      <c r="AY275" s="1538" t="s">
        <v>29</v>
      </c>
      <c r="AZ275" s="1530"/>
      <c r="BA275" s="1031">
        <v>1</v>
      </c>
      <c r="BB275" s="644"/>
      <c r="BC275" s="544"/>
      <c r="BD275" s="544"/>
      <c r="BE275" s="544"/>
      <c r="BF275" s="544"/>
      <c r="BG275" s="544"/>
      <c r="BH275" s="741"/>
      <c r="BI275" s="547" t="s">
        <v>709</v>
      </c>
      <c r="BJ275" s="547" t="s">
        <v>709</v>
      </c>
      <c r="BK275" s="547" t="s">
        <v>709</v>
      </c>
      <c r="BL275" s="547" t="s">
        <v>116</v>
      </c>
      <c r="BM275" s="547" t="s">
        <v>709</v>
      </c>
      <c r="BN275" s="547" t="s">
        <v>709</v>
      </c>
      <c r="BO275" s="547" t="s">
        <v>709</v>
      </c>
      <c r="BP275" s="547" t="s">
        <v>709</v>
      </c>
      <c r="BQ275" s="547" t="s">
        <v>709</v>
      </c>
      <c r="BR275" s="547" t="s">
        <v>709</v>
      </c>
      <c r="BS275" s="547">
        <v>868</v>
      </c>
      <c r="BT275" s="547" t="s">
        <v>745</v>
      </c>
      <c r="BU275" s="547" t="s">
        <v>709</v>
      </c>
      <c r="BV275" s="547" t="s">
        <v>745</v>
      </c>
      <c r="BW275" s="547" t="s">
        <v>709</v>
      </c>
      <c r="BX275" s="547" t="s">
        <v>745</v>
      </c>
      <c r="BY275" s="547" t="s">
        <v>745</v>
      </c>
      <c r="BZ275" s="547" t="s">
        <v>709</v>
      </c>
      <c r="CA275" s="483"/>
      <c r="CB275" s="547">
        <v>273</v>
      </c>
      <c r="CC275" s="1481" t="b">
        <v>1</v>
      </c>
      <c r="CD275" t="str">
        <f>Table15[[#This Row],[Engineering Number]]&amp;Table15[[#This Row],[WO Number]]&amp;Table15[[#This Row],[Date Assigned to Designer]]&amp;Table15[[#This Row],[Date Completed]]</f>
        <v>SC177531408384414044278</v>
      </c>
    </row>
    <row r="276" spans="1:82" customFormat="1" ht="15" customHeight="1" x14ac:dyDescent="0.25">
      <c r="A276">
        <v>2020</v>
      </c>
      <c r="B276" s="8" t="s">
        <v>4</v>
      </c>
      <c r="C276" s="8" t="s">
        <v>187</v>
      </c>
      <c r="D276" s="8" t="s">
        <v>2798</v>
      </c>
      <c r="E276" s="8" t="s">
        <v>1164</v>
      </c>
      <c r="F276" s="8" t="s">
        <v>738</v>
      </c>
      <c r="G276" s="8" t="s">
        <v>40</v>
      </c>
      <c r="H276" s="8" t="s">
        <v>2051</v>
      </c>
      <c r="I276" s="642">
        <v>43742</v>
      </c>
      <c r="J276" s="18" t="s">
        <v>2052</v>
      </c>
      <c r="K276" s="642">
        <v>44278</v>
      </c>
      <c r="L276" s="16">
        <f>IF(ISTEXT(Table15[[#This Row],[Engineering Approved Design Date]]),Table15[[#This Row],[Date Completed]]-Table15[[#This Row],[Date Assigned to Designer]],Table15[[#This Row],[Engineering Approved Design Date]]-Table15[[#This Row],[Date Completed]])</f>
        <v>536</v>
      </c>
      <c r="M276" s="642" t="s">
        <v>3101</v>
      </c>
      <c r="N276" s="642" t="s">
        <v>120</v>
      </c>
      <c r="O276" s="1025">
        <v>44278</v>
      </c>
      <c r="P276" s="21" t="s">
        <v>120</v>
      </c>
      <c r="Q276" s="340">
        <f>Table15[[#This Row],[KH Hourly Effort]]</f>
        <v>2655</v>
      </c>
      <c r="R276" s="1026" t="s">
        <v>1922</v>
      </c>
      <c r="S276" s="538" t="s">
        <v>709</v>
      </c>
      <c r="T276" s="538" t="s">
        <v>709</v>
      </c>
      <c r="U276" s="300">
        <v>2655</v>
      </c>
      <c r="V276" s="858"/>
      <c r="W276" s="437"/>
      <c r="X276" s="538"/>
      <c r="Y276" s="550"/>
      <c r="Z276" s="538"/>
      <c r="AA276" s="551"/>
      <c r="AB276" s="341"/>
      <c r="AC276" s="568"/>
      <c r="AD276" s="1157"/>
      <c r="AE276" s="579"/>
      <c r="AF276" s="579"/>
      <c r="AG276" s="579"/>
      <c r="AH276" s="553"/>
      <c r="AI276" s="1036"/>
      <c r="AJ276" s="1037"/>
      <c r="AK276" s="1037"/>
      <c r="AL276" s="1038"/>
      <c r="AM276" s="542" t="s">
        <v>709</v>
      </c>
      <c r="AN276" s="924"/>
      <c r="AO276" s="925"/>
      <c r="AP276" s="926"/>
      <c r="AQ276" s="926"/>
      <c r="AR276" s="926"/>
      <c r="AS276" s="926"/>
      <c r="AT276" s="926"/>
      <c r="AU276" s="926"/>
      <c r="AV276" s="926"/>
      <c r="AW276" s="927"/>
      <c r="AX276" s="926"/>
      <c r="AY276" s="1538" t="s">
        <v>29</v>
      </c>
      <c r="AZ276" s="1530"/>
      <c r="BA276" s="1031">
        <v>4</v>
      </c>
      <c r="BB276" s="644"/>
      <c r="BC276" s="544"/>
      <c r="BD276" s="544"/>
      <c r="BE276" s="544"/>
      <c r="BF276" s="544"/>
      <c r="BG276" s="544"/>
      <c r="BH276" s="741"/>
      <c r="BI276" s="547" t="s">
        <v>709</v>
      </c>
      <c r="BJ276" s="547" t="s">
        <v>709</v>
      </c>
      <c r="BK276" s="547" t="s">
        <v>116</v>
      </c>
      <c r="BL276" s="547" t="s">
        <v>709</v>
      </c>
      <c r="BM276" s="547" t="s">
        <v>709</v>
      </c>
      <c r="BN276" s="547">
        <v>1617</v>
      </c>
      <c r="BO276" s="547" t="s">
        <v>709</v>
      </c>
      <c r="BP276" s="547" t="s">
        <v>709</v>
      </c>
      <c r="BQ276" s="547" t="s">
        <v>709</v>
      </c>
      <c r="BR276" s="547" t="s">
        <v>709</v>
      </c>
      <c r="BS276" s="547" t="s">
        <v>709</v>
      </c>
      <c r="BT276" s="547" t="s">
        <v>745</v>
      </c>
      <c r="BU276" s="547" t="s">
        <v>709</v>
      </c>
      <c r="BV276" s="547" t="s">
        <v>745</v>
      </c>
      <c r="BW276" s="547" t="s">
        <v>709</v>
      </c>
      <c r="BX276" s="547" t="s">
        <v>745</v>
      </c>
      <c r="BY276" s="547" t="s">
        <v>745</v>
      </c>
      <c r="BZ276" s="547" t="s">
        <v>709</v>
      </c>
      <c r="CA276" s="483"/>
      <c r="CB276" s="547">
        <v>274</v>
      </c>
      <c r="CC276" s="1481" t="b">
        <v>1</v>
      </c>
      <c r="CD276" t="str">
        <f>Table15[[#This Row],[Engineering Number]]&amp;Table15[[#This Row],[WO Number]]&amp;Table15[[#This Row],[Date Assigned to Designer]]&amp;Table15[[#This Row],[Date Completed]]</f>
        <v>SC167041356834374244278</v>
      </c>
    </row>
    <row r="277" spans="1:82" customFormat="1" ht="15" customHeight="1" x14ac:dyDescent="0.25">
      <c r="A277">
        <v>2021</v>
      </c>
      <c r="B277" s="8" t="s">
        <v>4</v>
      </c>
      <c r="C277" s="8" t="s">
        <v>3105</v>
      </c>
      <c r="D277" s="656" t="s">
        <v>3106</v>
      </c>
      <c r="E277" s="8" t="s">
        <v>2126</v>
      </c>
      <c r="F277" s="8" t="s">
        <v>738</v>
      </c>
      <c r="G277" s="8" t="s">
        <v>2814</v>
      </c>
      <c r="H277" s="8" t="s">
        <v>59</v>
      </c>
      <c r="I277" s="642">
        <v>44215</v>
      </c>
      <c r="J277" s="18">
        <v>44285</v>
      </c>
      <c r="K277" s="642">
        <v>44279</v>
      </c>
      <c r="L277" s="16">
        <f>IF(ISTEXT(Table15[[#This Row],[Engineering Approved Design Date]]),Table15[[#This Row],[Date Completed]]-Table15[[#This Row],[Date Assigned to Designer]],Table15[[#This Row],[Engineering Approved Design Date]]-Table15[[#This Row],[Date Completed]])</f>
        <v>6</v>
      </c>
      <c r="M277" s="642"/>
      <c r="N277" s="642" t="s">
        <v>120</v>
      </c>
      <c r="O277" s="1025">
        <v>44279</v>
      </c>
      <c r="P277" s="21" t="s">
        <v>739</v>
      </c>
      <c r="Q277" s="340">
        <f>R277*AA277</f>
        <v>18521.802000000003</v>
      </c>
      <c r="R277" s="1026">
        <v>0.1</v>
      </c>
      <c r="S277" s="538" t="s">
        <v>709</v>
      </c>
      <c r="T277" s="538" t="s">
        <v>709</v>
      </c>
      <c r="U277" s="28" t="s">
        <v>709</v>
      </c>
      <c r="V277" s="858">
        <v>613</v>
      </c>
      <c r="W277" s="437"/>
      <c r="X277" s="538">
        <v>149296.41</v>
      </c>
      <c r="Y277" s="550"/>
      <c r="Z277" s="538">
        <v>35921.61</v>
      </c>
      <c r="AA277" s="538">
        <f>X277+Z277</f>
        <v>185218.02000000002</v>
      </c>
      <c r="AB277" s="341"/>
      <c r="AC277" s="568" t="s">
        <v>709</v>
      </c>
      <c r="AD277" s="1157"/>
      <c r="AE277" s="579"/>
      <c r="AF277" s="579"/>
      <c r="AG277" s="579"/>
      <c r="AH277" s="553"/>
      <c r="AI277" s="1036"/>
      <c r="AJ277" s="1037"/>
      <c r="AK277" s="1037"/>
      <c r="AL277" s="1038"/>
      <c r="AM277" s="1522" t="s">
        <v>116</v>
      </c>
      <c r="AN277" s="1523">
        <v>44377</v>
      </c>
      <c r="AO277" s="1524">
        <v>189872</v>
      </c>
      <c r="AP277" s="1525">
        <v>164866.96</v>
      </c>
      <c r="AQ277" s="1525"/>
      <c r="AR277" s="1525">
        <v>37055.01</v>
      </c>
      <c r="AS277" s="1525">
        <f>IF(Table15[[#This Row],[PCTS Approved]]="N",0,Table15[[#This Row],[Investment Amount (1'#'#'#'#'#)]]+Table15[[#This Row],[Retirement Amount (3'#'#'#'#'#)]])</f>
        <v>201921.97</v>
      </c>
      <c r="AT277" s="1525">
        <f>IF(Table15[[#This Row],[Approved Construction Cost]]=0,0,Table15[[#This Row],[Approved Construction Cost]]-Table15[[#This Row],[Construction Cost to Bill From]])</f>
        <v>16703.949999999983</v>
      </c>
      <c r="AU277" s="1525">
        <f>Table15[[#This Row],[Difference in Construction Cost]]*Table15[[#This Row],[Rate]]</f>
        <v>1670.3949999999984</v>
      </c>
      <c r="AV277" s="1525">
        <v>1702.5</v>
      </c>
      <c r="AW277" s="1526" t="s">
        <v>3107</v>
      </c>
      <c r="AX277" s="1525">
        <v>1670.3949999999984</v>
      </c>
      <c r="AY277" s="1518">
        <v>44501</v>
      </c>
      <c r="AZ277" s="1532"/>
      <c r="BA277" s="1031" t="s">
        <v>3108</v>
      </c>
      <c r="BB277" s="644" t="s">
        <v>1216</v>
      </c>
      <c r="BC277" s="544" t="s">
        <v>709</v>
      </c>
      <c r="BD277" s="544" t="s">
        <v>1066</v>
      </c>
      <c r="BE277" s="544" t="s">
        <v>709</v>
      </c>
      <c r="BF277" s="544" t="s">
        <v>709</v>
      </c>
      <c r="BG277" s="544" t="s">
        <v>709</v>
      </c>
      <c r="BH277" s="741"/>
      <c r="BI277" s="547" t="s">
        <v>709</v>
      </c>
      <c r="BJ277" s="547" t="s">
        <v>709</v>
      </c>
      <c r="BK277" s="547" t="s">
        <v>709</v>
      </c>
      <c r="BL277" s="547" t="s">
        <v>116</v>
      </c>
      <c r="BM277" s="547" t="s">
        <v>709</v>
      </c>
      <c r="BN277" s="547" t="s">
        <v>709</v>
      </c>
      <c r="BO277" s="547" t="s">
        <v>709</v>
      </c>
      <c r="BP277" s="547" t="s">
        <v>709</v>
      </c>
      <c r="BQ277" s="547" t="s">
        <v>709</v>
      </c>
      <c r="BR277" s="547">
        <v>328</v>
      </c>
      <c r="BS277" s="547">
        <v>279</v>
      </c>
      <c r="BT277" s="547" t="s">
        <v>745</v>
      </c>
      <c r="BU277" s="547" t="s">
        <v>709</v>
      </c>
      <c r="BV277" s="547" t="s">
        <v>745</v>
      </c>
      <c r="BW277" s="547" t="s">
        <v>709</v>
      </c>
      <c r="BX277" s="547" t="s">
        <v>745</v>
      </c>
      <c r="BY277" s="547" t="s">
        <v>745</v>
      </c>
      <c r="BZ277" s="547" t="s">
        <v>709</v>
      </c>
      <c r="CA277" s="483"/>
      <c r="CB277" s="547">
        <v>275</v>
      </c>
      <c r="CC277" s="1481" t="b">
        <v>1</v>
      </c>
      <c r="CD277" t="str">
        <f>Table15[[#This Row],[Engineering Number]]&amp;Table15[[#This Row],[WO Number]]&amp;Table15[[#This Row],[Date Assigned to Designer]]&amp;Table15[[#This Row],[Date Completed]]</f>
        <v>N141771293204421544279</v>
      </c>
    </row>
    <row r="278" spans="1:82" customFormat="1" ht="15" customHeight="1" x14ac:dyDescent="0.25">
      <c r="A278">
        <v>2021</v>
      </c>
      <c r="B278" s="8" t="s">
        <v>4</v>
      </c>
      <c r="C278" s="8" t="s">
        <v>3110</v>
      </c>
      <c r="D278" s="656" t="s">
        <v>3111</v>
      </c>
      <c r="E278" s="8" t="s">
        <v>1004</v>
      </c>
      <c r="F278" s="8" t="s">
        <v>919</v>
      </c>
      <c r="G278" s="8" t="s">
        <v>1882</v>
      </c>
      <c r="H278" s="8" t="s">
        <v>59</v>
      </c>
      <c r="I278" s="642">
        <v>44071</v>
      </c>
      <c r="J278" s="18">
        <v>44280</v>
      </c>
      <c r="K278" s="642">
        <v>44279</v>
      </c>
      <c r="L278" s="16">
        <f>IF(ISTEXT(Table15[[#This Row],[Engineering Approved Design Date]]),Table15[[#This Row],[Date Completed]]-Table15[[#This Row],[Date Assigned to Designer]],Table15[[#This Row],[Engineering Approved Design Date]]-Table15[[#This Row],[Date Completed]])</f>
        <v>1</v>
      </c>
      <c r="M278" s="642"/>
      <c r="N278" s="642" t="s">
        <v>120</v>
      </c>
      <c r="O278" s="1025">
        <v>44287</v>
      </c>
      <c r="P278" s="21" t="s">
        <v>120</v>
      </c>
      <c r="Q278" s="340">
        <f>R278*AA278</f>
        <v>198976.69400000002</v>
      </c>
      <c r="R278" s="1026">
        <v>0.1</v>
      </c>
      <c r="S278" s="538" t="s">
        <v>709</v>
      </c>
      <c r="T278" s="538" t="s">
        <v>709</v>
      </c>
      <c r="U278" s="28" t="s">
        <v>709</v>
      </c>
      <c r="V278" s="857">
        <v>4353</v>
      </c>
      <c r="W278" s="440"/>
      <c r="X278" s="551">
        <v>1916621.6</v>
      </c>
      <c r="Y278" s="551"/>
      <c r="Z278" s="551">
        <v>73145.34</v>
      </c>
      <c r="AA278" s="551">
        <f>X278+Z278</f>
        <v>1989766.9400000002</v>
      </c>
      <c r="AB278" s="341"/>
      <c r="AC278" s="568" t="s">
        <v>116</v>
      </c>
      <c r="AD278" s="1157"/>
      <c r="AE278" s="579"/>
      <c r="AF278" s="579"/>
      <c r="AG278" s="579"/>
      <c r="AH278" s="553"/>
      <c r="AI278" s="1036"/>
      <c r="AJ278" s="1037"/>
      <c r="AK278" s="1037"/>
      <c r="AL278" s="1038"/>
      <c r="AM278" s="542" t="s">
        <v>116</v>
      </c>
      <c r="AN278" s="1508">
        <v>44468</v>
      </c>
      <c r="AO278" s="925">
        <v>185966</v>
      </c>
      <c r="AP278" s="926">
        <v>1916621.67</v>
      </c>
      <c r="AQ278" s="926"/>
      <c r="AR278" s="926">
        <v>79271.570000000007</v>
      </c>
      <c r="AS278" s="926">
        <f>IF(Table15[[#This Row],[PCTS Approved]]="N",0,Table15[[#This Row],[Investment Amount (1'#'#'#'#'#)]]+Table15[[#This Row],[Retirement Amount (3'#'#'#'#'#)]])</f>
        <v>1995893.24</v>
      </c>
      <c r="AT278" s="926">
        <f>IF(Table15[[#This Row],[Approved Construction Cost]]=0,0,Table15[[#This Row],[Approved Construction Cost]]-Table15[[#This Row],[Construction Cost to Bill From]])</f>
        <v>6126.2999999998137</v>
      </c>
      <c r="AU278" s="926">
        <f>Table15[[#This Row],[Difference in Construction Cost]]*Table15[[#This Row],[Rate]]</f>
        <v>612.62999999998135</v>
      </c>
      <c r="AV278" s="926">
        <v>6275</v>
      </c>
      <c r="AW278" s="927" t="s">
        <v>3112</v>
      </c>
      <c r="AX278" s="926"/>
      <c r="AY278" s="636" t="s">
        <v>1935</v>
      </c>
      <c r="AZ278" s="1531"/>
      <c r="BA278" s="1031" t="s">
        <v>3113</v>
      </c>
      <c r="BB278" s="644" t="s">
        <v>2270</v>
      </c>
      <c r="BC278" s="544" t="s">
        <v>116</v>
      </c>
      <c r="BD278" s="544" t="s">
        <v>709</v>
      </c>
      <c r="BE278" s="544" t="s">
        <v>709</v>
      </c>
      <c r="BF278" s="544" t="s">
        <v>709</v>
      </c>
      <c r="BG278" s="544" t="s">
        <v>709</v>
      </c>
      <c r="BH278" s="741"/>
      <c r="BI278" s="547" t="s">
        <v>709</v>
      </c>
      <c r="BJ278" s="547" t="s">
        <v>709</v>
      </c>
      <c r="BK278" s="547" t="s">
        <v>116</v>
      </c>
      <c r="BL278" s="547" t="s">
        <v>709</v>
      </c>
      <c r="BM278" s="547" t="s">
        <v>709</v>
      </c>
      <c r="BN278" s="547">
        <v>4207</v>
      </c>
      <c r="BO278" s="547" t="s">
        <v>709</v>
      </c>
      <c r="BP278" s="547" t="s">
        <v>709</v>
      </c>
      <c r="BQ278" s="547" t="s">
        <v>709</v>
      </c>
      <c r="BR278" s="547">
        <v>20</v>
      </c>
      <c r="BS278" s="547">
        <v>126</v>
      </c>
      <c r="BT278" s="547" t="s">
        <v>709</v>
      </c>
      <c r="BU278" s="547" t="s">
        <v>709</v>
      </c>
      <c r="BV278" s="547" t="s">
        <v>745</v>
      </c>
      <c r="BW278" s="547" t="s">
        <v>709</v>
      </c>
      <c r="BX278" s="547">
        <v>1</v>
      </c>
      <c r="BY278" s="547" t="s">
        <v>745</v>
      </c>
      <c r="BZ278" s="547" t="s">
        <v>709</v>
      </c>
      <c r="CA278" s="483"/>
      <c r="CB278" s="547">
        <v>276</v>
      </c>
      <c r="CC278" s="1481" t="b">
        <v>1</v>
      </c>
      <c r="CD278" t="str">
        <f>Table15[[#This Row],[Engineering Number]]&amp;Table15[[#This Row],[WO Number]]&amp;Table15[[#This Row],[Date Assigned to Designer]]&amp;Table15[[#This Row],[Date Completed]]</f>
        <v>SC17434-11356934407144279</v>
      </c>
    </row>
    <row r="279" spans="1:82" customFormat="1" ht="15" customHeight="1" x14ac:dyDescent="0.25">
      <c r="A279">
        <v>2021</v>
      </c>
      <c r="B279" s="8" t="s">
        <v>771</v>
      </c>
      <c r="C279" s="8" t="s">
        <v>3115</v>
      </c>
      <c r="D279" s="656" t="s">
        <v>3116</v>
      </c>
      <c r="E279" s="8" t="s">
        <v>2298</v>
      </c>
      <c r="F279" s="8" t="s">
        <v>919</v>
      </c>
      <c r="G279" s="8" t="s">
        <v>1882</v>
      </c>
      <c r="H279" s="8" t="s">
        <v>59</v>
      </c>
      <c r="I279" s="642">
        <v>44228</v>
      </c>
      <c r="J279" s="18">
        <v>44286</v>
      </c>
      <c r="K279" s="642">
        <v>44280</v>
      </c>
      <c r="L279" s="16">
        <f>IF(ISTEXT(Table15[[#This Row],[Engineering Approved Design Date]]),Table15[[#This Row],[Date Completed]]-Table15[[#This Row],[Date Assigned to Designer]],Table15[[#This Row],[Engineering Approved Design Date]]-Table15[[#This Row],[Date Completed]])</f>
        <v>6</v>
      </c>
      <c r="M279" s="642"/>
      <c r="N279" s="642" t="s">
        <v>120</v>
      </c>
      <c r="O279" s="1025">
        <v>44280</v>
      </c>
      <c r="P279" s="21" t="s">
        <v>120</v>
      </c>
      <c r="Q279" s="340">
        <f>R279*AA279</f>
        <v>9833.669100000001</v>
      </c>
      <c r="R279" s="1026">
        <v>0.09</v>
      </c>
      <c r="S279" s="538" t="s">
        <v>709</v>
      </c>
      <c r="T279" s="538" t="s">
        <v>709</v>
      </c>
      <c r="U279" s="300" t="s">
        <v>709</v>
      </c>
      <c r="V279" s="858">
        <v>497</v>
      </c>
      <c r="W279" s="437"/>
      <c r="X279" s="538">
        <v>109262.99</v>
      </c>
      <c r="Y279" s="550"/>
      <c r="Z279" s="538"/>
      <c r="AA279" s="551">
        <f>X279+Z279</f>
        <v>109262.99</v>
      </c>
      <c r="AB279" s="341"/>
      <c r="AC279" s="568" t="s">
        <v>709</v>
      </c>
      <c r="AD279" s="1157"/>
      <c r="AE279" s="568"/>
      <c r="AF279" s="568"/>
      <c r="AG279" s="568"/>
      <c r="AH279" s="183"/>
      <c r="AI279" s="1036"/>
      <c r="AJ279" s="1037"/>
      <c r="AK279" s="1037"/>
      <c r="AL279" s="1038"/>
      <c r="AM279" s="1522" t="s">
        <v>116</v>
      </c>
      <c r="AN279" s="1523">
        <v>44452</v>
      </c>
      <c r="AO279" s="1524">
        <v>190756</v>
      </c>
      <c r="AP279" s="1525">
        <v>100386.44</v>
      </c>
      <c r="AQ279" s="1525"/>
      <c r="AR279" s="1525">
        <v>0</v>
      </c>
      <c r="AS279" s="1525">
        <f>IF(Table15[[#This Row],[PCTS Approved]]="N",0,Table15[[#This Row],[Investment Amount (1'#'#'#'#'#)]]+Table15[[#This Row],[Retirement Amount (3'#'#'#'#'#)]])</f>
        <v>100386.44</v>
      </c>
      <c r="AT279" s="1525">
        <f>IF(Table15[[#This Row],[Approved Construction Cost]]=0,0,Table15[[#This Row],[Approved Construction Cost]]-Table15[[#This Row],[Construction Cost to Bill From]])</f>
        <v>-8876.5500000000029</v>
      </c>
      <c r="AU279" s="1525">
        <f>Table15[[#This Row],[Difference in Construction Cost]]*Table15[[#This Row],[Rate]]</f>
        <v>-798.88950000000023</v>
      </c>
      <c r="AV279" s="1525" t="s">
        <v>709</v>
      </c>
      <c r="AW279" s="1526" t="s">
        <v>2677</v>
      </c>
      <c r="AX279" s="1525">
        <v>-798.88950000000023</v>
      </c>
      <c r="AY279" s="1518">
        <v>44501</v>
      </c>
      <c r="AZ279" s="333"/>
      <c r="BA279" s="1031" t="s">
        <v>3117</v>
      </c>
      <c r="BB279" s="644" t="s">
        <v>3118</v>
      </c>
      <c r="BC279" s="544" t="s">
        <v>709</v>
      </c>
      <c r="BD279" s="544" t="s">
        <v>709</v>
      </c>
      <c r="BE279" s="544" t="s">
        <v>3119</v>
      </c>
      <c r="BF279" s="544" t="s">
        <v>709</v>
      </c>
      <c r="BG279" s="544" t="s">
        <v>709</v>
      </c>
      <c r="BH279" s="741"/>
      <c r="BI279" s="547" t="s">
        <v>709</v>
      </c>
      <c r="BJ279" s="547" t="s">
        <v>709</v>
      </c>
      <c r="BK279" s="547" t="s">
        <v>709</v>
      </c>
      <c r="BL279" s="547" t="s">
        <v>116</v>
      </c>
      <c r="BM279" s="547" t="s">
        <v>709</v>
      </c>
      <c r="BN279" s="547" t="s">
        <v>709</v>
      </c>
      <c r="BO279" s="547" t="s">
        <v>709</v>
      </c>
      <c r="BP279" s="547" t="s">
        <v>709</v>
      </c>
      <c r="BQ279" s="547" t="s">
        <v>709</v>
      </c>
      <c r="BR279" s="547" t="s">
        <v>709</v>
      </c>
      <c r="BS279" s="547">
        <v>487</v>
      </c>
      <c r="BT279" s="547" t="s">
        <v>745</v>
      </c>
      <c r="BU279" s="547" t="s">
        <v>709</v>
      </c>
      <c r="BV279" s="547" t="s">
        <v>745</v>
      </c>
      <c r="BW279" s="547" t="s">
        <v>709</v>
      </c>
      <c r="BX279" s="547" t="s">
        <v>745</v>
      </c>
      <c r="BY279" s="547" t="s">
        <v>745</v>
      </c>
      <c r="BZ279" s="547" t="s">
        <v>709</v>
      </c>
      <c r="CA279" s="483"/>
      <c r="CB279" s="547">
        <v>277</v>
      </c>
      <c r="CC279" s="1481" t="b">
        <v>1</v>
      </c>
      <c r="CD279" t="str">
        <f>Table15[[#This Row],[Engineering Number]]&amp;Table15[[#This Row],[WO Number]]&amp;Table15[[#This Row],[Date Assigned to Designer]]&amp;Table15[[#This Row],[Date Completed]]</f>
        <v>BS297-11205744422844280</v>
      </c>
    </row>
    <row r="280" spans="1:82" customFormat="1" ht="15" customHeight="1" x14ac:dyDescent="0.25">
      <c r="A280">
        <v>2021</v>
      </c>
      <c r="B280" s="8" t="s">
        <v>4</v>
      </c>
      <c r="C280" s="8" t="s">
        <v>3121</v>
      </c>
      <c r="D280" s="656" t="s">
        <v>3122</v>
      </c>
      <c r="E280" s="8" t="s">
        <v>818</v>
      </c>
      <c r="F280" s="8" t="s">
        <v>919</v>
      </c>
      <c r="G280" s="8" t="s">
        <v>2743</v>
      </c>
      <c r="H280" s="8" t="s">
        <v>59</v>
      </c>
      <c r="I280" s="642">
        <v>44172</v>
      </c>
      <c r="J280" s="18">
        <v>44280</v>
      </c>
      <c r="K280" s="642">
        <v>44280</v>
      </c>
      <c r="L280" s="16">
        <f>IF(ISTEXT(Table15[[#This Row],[Engineering Approved Design Date]]),Table15[[#This Row],[Date Completed]]-Table15[[#This Row],[Date Assigned to Designer]],Table15[[#This Row],[Engineering Approved Design Date]]-Table15[[#This Row],[Date Completed]])</f>
        <v>0</v>
      </c>
      <c r="M280" s="642"/>
      <c r="N280" s="642" t="s">
        <v>120</v>
      </c>
      <c r="O280" s="1025">
        <v>44280</v>
      </c>
      <c r="P280" s="21" t="s">
        <v>739</v>
      </c>
      <c r="Q280" s="340">
        <f>R280*AA280</f>
        <v>94864.114000000001</v>
      </c>
      <c r="R280" s="1026">
        <v>0.1</v>
      </c>
      <c r="S280" s="538" t="s">
        <v>709</v>
      </c>
      <c r="T280" s="538" t="s">
        <v>709</v>
      </c>
      <c r="U280" s="28" t="s">
        <v>709</v>
      </c>
      <c r="V280" s="857">
        <v>4590</v>
      </c>
      <c r="W280" s="440"/>
      <c r="X280" s="551">
        <v>709232.28</v>
      </c>
      <c r="Y280" s="551"/>
      <c r="Z280" s="551">
        <v>239408.86</v>
      </c>
      <c r="AA280" s="551">
        <f>X280+Z280</f>
        <v>948641.14</v>
      </c>
      <c r="AB280" s="341"/>
      <c r="AC280" s="568" t="s">
        <v>709</v>
      </c>
      <c r="AD280" s="1157"/>
      <c r="AE280" s="579"/>
      <c r="AF280" s="579"/>
      <c r="AG280" s="579"/>
      <c r="AH280" s="553"/>
      <c r="AI280" s="1036"/>
      <c r="AJ280" s="1037"/>
      <c r="AK280" s="1037"/>
      <c r="AL280" s="1038"/>
      <c r="AM280" s="1522" t="s">
        <v>116</v>
      </c>
      <c r="AN280" s="1523">
        <v>44343</v>
      </c>
      <c r="AO280" s="1524">
        <v>189077</v>
      </c>
      <c r="AP280" s="1525">
        <v>797927.12</v>
      </c>
      <c r="AQ280" s="1525"/>
      <c r="AR280" s="1525">
        <v>242665.3</v>
      </c>
      <c r="AS280" s="1525">
        <f>IF(Table15[[#This Row],[PCTS Approved]]="N",0,Table15[[#This Row],[Investment Amount (1'#'#'#'#'#)]]+Table15[[#This Row],[Retirement Amount (3'#'#'#'#'#)]])</f>
        <v>1040592.4199999999</v>
      </c>
      <c r="AT280" s="1525">
        <f>IF(Table15[[#This Row],[Approved Construction Cost]]=0,0,Table15[[#This Row],[Approved Construction Cost]]-Table15[[#This Row],[Construction Cost to Bill From]])</f>
        <v>91951.279999999912</v>
      </c>
      <c r="AU280" s="1525">
        <f>Table15[[#This Row],[Difference in Construction Cost]]*Table15[[#This Row],[Rate]]</f>
        <v>9195.1279999999915</v>
      </c>
      <c r="AV280" s="1525">
        <v>2075</v>
      </c>
      <c r="AW280" s="1526"/>
      <c r="AX280" s="1525">
        <v>9195.1279999999915</v>
      </c>
      <c r="AY280" s="1518">
        <v>44501</v>
      </c>
      <c r="AZ280" s="333"/>
      <c r="BA280" s="1031" t="s">
        <v>3123</v>
      </c>
      <c r="BB280" s="644" t="s">
        <v>1156</v>
      </c>
      <c r="BC280" s="544" t="s">
        <v>709</v>
      </c>
      <c r="BD280" s="544" t="s">
        <v>709</v>
      </c>
      <c r="BE280" s="544" t="s">
        <v>822</v>
      </c>
      <c r="BF280" s="544" t="s">
        <v>3124</v>
      </c>
      <c r="BG280" s="544" t="s">
        <v>709</v>
      </c>
      <c r="BH280" s="741"/>
      <c r="BI280" s="547" t="s">
        <v>709</v>
      </c>
      <c r="BJ280" s="547" t="s">
        <v>709</v>
      </c>
      <c r="BK280" s="547" t="s">
        <v>709</v>
      </c>
      <c r="BL280" s="547" t="s">
        <v>116</v>
      </c>
      <c r="BM280" s="547" t="s">
        <v>709</v>
      </c>
      <c r="BN280" s="547" t="s">
        <v>709</v>
      </c>
      <c r="BO280" s="547" t="s">
        <v>709</v>
      </c>
      <c r="BP280" s="547" t="s">
        <v>709</v>
      </c>
      <c r="BQ280" s="547" t="s">
        <v>709</v>
      </c>
      <c r="BR280" s="547">
        <v>1777</v>
      </c>
      <c r="BS280" s="547">
        <v>2813</v>
      </c>
      <c r="BT280" s="547" t="s">
        <v>745</v>
      </c>
      <c r="BU280" s="547" t="s">
        <v>709</v>
      </c>
      <c r="BV280" s="547">
        <v>1</v>
      </c>
      <c r="BW280" s="547" t="s">
        <v>709</v>
      </c>
      <c r="BX280" s="547" t="s">
        <v>745</v>
      </c>
      <c r="BY280" s="547" t="s">
        <v>745</v>
      </c>
      <c r="BZ280" s="547" t="s">
        <v>709</v>
      </c>
      <c r="CA280" s="483"/>
      <c r="CB280" s="547">
        <v>278</v>
      </c>
      <c r="CC280" s="1481" t="b">
        <v>1</v>
      </c>
      <c r="CD280" t="str">
        <f>Table15[[#This Row],[Engineering Number]]&amp;Table15[[#This Row],[WO Number]]&amp;Table15[[#This Row],[Date Assigned to Designer]]&amp;Table15[[#This Row],[Date Completed]]</f>
        <v>SC172901357204417244280</v>
      </c>
    </row>
    <row r="281" spans="1:82" customFormat="1" ht="15" customHeight="1" x14ac:dyDescent="0.25">
      <c r="A281">
        <v>2021</v>
      </c>
      <c r="B281" s="8" t="s">
        <v>771</v>
      </c>
      <c r="C281" s="8" t="s">
        <v>3126</v>
      </c>
      <c r="D281" s="8" t="s">
        <v>3127</v>
      </c>
      <c r="E281" s="8" t="s">
        <v>2786</v>
      </c>
      <c r="F281" s="8" t="s">
        <v>919</v>
      </c>
      <c r="G281" s="8" t="s">
        <v>1882</v>
      </c>
      <c r="H281" s="8" t="s">
        <v>59</v>
      </c>
      <c r="I281" s="642">
        <v>44204</v>
      </c>
      <c r="J281" s="18">
        <v>44288</v>
      </c>
      <c r="K281" s="642">
        <v>44287</v>
      </c>
      <c r="L281" s="16">
        <f>IF(ISTEXT(Table15[[#This Row],[Engineering Approved Design Date]]),Table15[[#This Row],[Date Completed]]-Table15[[#This Row],[Date Assigned to Designer]],Table15[[#This Row],[Engineering Approved Design Date]]-Table15[[#This Row],[Date Completed]])</f>
        <v>1</v>
      </c>
      <c r="M281" s="642"/>
      <c r="N281" s="642" t="s">
        <v>120</v>
      </c>
      <c r="O281" s="1025">
        <v>44287</v>
      </c>
      <c r="P281" s="21" t="s">
        <v>120</v>
      </c>
      <c r="Q281" s="340">
        <f>1.55*Table15[[#This Row],[LF of Main]]</f>
        <v>11463.800000000001</v>
      </c>
      <c r="R281" s="1026" t="s">
        <v>2087</v>
      </c>
      <c r="S281" s="538" t="s">
        <v>709</v>
      </c>
      <c r="T281" s="538" t="s">
        <v>709</v>
      </c>
      <c r="U281" s="28" t="s">
        <v>709</v>
      </c>
      <c r="V281" s="858">
        <v>7396</v>
      </c>
      <c r="W281" s="437"/>
      <c r="X281" s="538">
        <v>1332070.2</v>
      </c>
      <c r="Y281" s="550"/>
      <c r="Z281" s="538">
        <v>94358.03</v>
      </c>
      <c r="AA281" s="538">
        <f>X281+Z281</f>
        <v>1426428.23</v>
      </c>
      <c r="AB281" s="341"/>
      <c r="AC281" s="568" t="s">
        <v>709</v>
      </c>
      <c r="AD281" s="1157"/>
      <c r="AE281" s="568"/>
      <c r="AF281" s="568"/>
      <c r="AG281" s="568"/>
      <c r="AH281" s="183"/>
      <c r="AI281" s="1036"/>
      <c r="AJ281" s="1037"/>
      <c r="AK281" s="1037"/>
      <c r="AL281" s="1038"/>
      <c r="AM281" s="542" t="s">
        <v>709</v>
      </c>
      <c r="AN281" s="924"/>
      <c r="AO281" s="925"/>
      <c r="AP281" s="926"/>
      <c r="AQ281" s="926"/>
      <c r="AR281" s="926"/>
      <c r="AS281" s="926"/>
      <c r="AT281" s="926"/>
      <c r="AU281" s="926"/>
      <c r="AV281" s="926"/>
      <c r="AW281" s="927"/>
      <c r="AX281" s="926"/>
      <c r="AY281" s="1538" t="s">
        <v>29</v>
      </c>
      <c r="AZ281" s="1530"/>
      <c r="BA281" s="1031" t="s">
        <v>3128</v>
      </c>
      <c r="BB281" s="644" t="s">
        <v>3129</v>
      </c>
      <c r="BC281" s="544" t="s">
        <v>116</v>
      </c>
      <c r="BD281" s="544" t="s">
        <v>709</v>
      </c>
      <c r="BE281" s="544" t="s">
        <v>2954</v>
      </c>
      <c r="BF281" s="544" t="s">
        <v>709</v>
      </c>
      <c r="BG281" s="544" t="s">
        <v>709</v>
      </c>
      <c r="BH281" s="741"/>
      <c r="BI281" s="547" t="s">
        <v>709</v>
      </c>
      <c r="BJ281" s="547" t="s">
        <v>709</v>
      </c>
      <c r="BK281" s="547" t="s">
        <v>709</v>
      </c>
      <c r="BL281" s="547" t="s">
        <v>116</v>
      </c>
      <c r="BM281" s="547" t="s">
        <v>709</v>
      </c>
      <c r="BN281" s="547" t="s">
        <v>709</v>
      </c>
      <c r="BO281" s="547" t="s">
        <v>709</v>
      </c>
      <c r="BP281" s="547" t="s">
        <v>709</v>
      </c>
      <c r="BQ281" s="547" t="s">
        <v>709</v>
      </c>
      <c r="BR281" s="547" t="s">
        <v>709</v>
      </c>
      <c r="BS281" s="547">
        <v>7395</v>
      </c>
      <c r="BT281" s="547" t="s">
        <v>745</v>
      </c>
      <c r="BU281" s="547" t="s">
        <v>709</v>
      </c>
      <c r="BV281" s="547" t="s">
        <v>709</v>
      </c>
      <c r="BW281" s="547" t="s">
        <v>709</v>
      </c>
      <c r="BX281" s="547" t="s">
        <v>709</v>
      </c>
      <c r="BY281" s="547" t="s">
        <v>745</v>
      </c>
      <c r="BZ281" s="547" t="s">
        <v>709</v>
      </c>
      <c r="CA281" s="483"/>
      <c r="CB281" s="547">
        <v>279</v>
      </c>
      <c r="CC281" s="1481" t="b">
        <v>1</v>
      </c>
      <c r="CD281" t="str">
        <f>Table15[[#This Row],[Engineering Number]]&amp;Table15[[#This Row],[WO Number]]&amp;Table15[[#This Row],[Date Assigned to Designer]]&amp;Table15[[#This Row],[Date Completed]]</f>
        <v>VW1031205424420444287</v>
      </c>
    </row>
    <row r="282" spans="1:82" customFormat="1" ht="15" customHeight="1" x14ac:dyDescent="0.25">
      <c r="A282">
        <v>2021</v>
      </c>
      <c r="B282" s="8" t="s">
        <v>4</v>
      </c>
      <c r="C282" s="8" t="s">
        <v>3131</v>
      </c>
      <c r="D282" s="8" t="s">
        <v>115</v>
      </c>
      <c r="E282" s="8" t="s">
        <v>327</v>
      </c>
      <c r="F282" s="8" t="s">
        <v>919</v>
      </c>
      <c r="G282" s="8" t="s">
        <v>1896</v>
      </c>
      <c r="H282" s="8" t="s">
        <v>3132</v>
      </c>
      <c r="I282" s="642">
        <v>44286</v>
      </c>
      <c r="J282" s="18">
        <v>44330</v>
      </c>
      <c r="K282" s="642">
        <v>44291</v>
      </c>
      <c r="L282" s="16">
        <f>IF(ISTEXT(Table15[[#This Row],[Engineering Approved Design Date]]),Table15[[#This Row],[Date Completed]]-Table15[[#This Row],[Date Assigned to Designer]],Table15[[#This Row],[Engineering Approved Design Date]]-Table15[[#This Row],[Date Completed]])</f>
        <v>39</v>
      </c>
      <c r="M282" s="642"/>
      <c r="N282" s="642" t="s">
        <v>120</v>
      </c>
      <c r="O282" s="1025">
        <v>44291</v>
      </c>
      <c r="P282" s="21" t="s">
        <v>739</v>
      </c>
      <c r="Q282" s="340" t="s">
        <v>115</v>
      </c>
      <c r="R282" s="1026" t="s">
        <v>115</v>
      </c>
      <c r="S282" s="538" t="s">
        <v>709</v>
      </c>
      <c r="T282" s="538" t="s">
        <v>709</v>
      </c>
      <c r="U282" s="28" t="s">
        <v>709</v>
      </c>
      <c r="V282" s="858"/>
      <c r="W282" s="437"/>
      <c r="X282" s="538"/>
      <c r="Y282" s="550"/>
      <c r="Z282" s="538"/>
      <c r="AA282" s="538"/>
      <c r="AB282" s="21"/>
      <c r="AC282" s="569"/>
      <c r="AD282" s="1149"/>
      <c r="AE282" s="580"/>
      <c r="AF282" s="580"/>
      <c r="AG282" s="580"/>
      <c r="AH282" s="542"/>
      <c r="AI282" s="1028"/>
      <c r="AJ282" s="1029"/>
      <c r="AK282" s="1029"/>
      <c r="AL282" s="1030"/>
      <c r="AM282" s="542" t="s">
        <v>709</v>
      </c>
      <c r="AN282" s="924"/>
      <c r="AO282" s="925"/>
      <c r="AP282" s="926"/>
      <c r="AQ282" s="926"/>
      <c r="AR282" s="926"/>
      <c r="AS282" s="926"/>
      <c r="AT282" s="926"/>
      <c r="AU282" s="926"/>
      <c r="AV282" s="926"/>
      <c r="AW282" s="927"/>
      <c r="AX282" s="926"/>
      <c r="AY282" s="1538" t="s">
        <v>29</v>
      </c>
      <c r="AZ282" s="1530"/>
      <c r="BA282" s="1031" t="s">
        <v>3133</v>
      </c>
      <c r="BB282" s="644" t="s">
        <v>3134</v>
      </c>
      <c r="BC282" s="544"/>
      <c r="BD282" s="544"/>
      <c r="BE282" s="544"/>
      <c r="BF282" s="544"/>
      <c r="BG282" s="544"/>
      <c r="BH282" s="741"/>
      <c r="BI282" s="1032"/>
      <c r="BJ282" s="1032"/>
      <c r="BK282" s="1032"/>
      <c r="BL282" s="1032"/>
      <c r="BM282" s="1032"/>
      <c r="BN282" s="1032"/>
      <c r="BO282" s="1032"/>
      <c r="BP282" s="1032"/>
      <c r="BQ282" s="1032"/>
      <c r="BR282" s="1032"/>
      <c r="BS282" s="1032"/>
      <c r="BT282" s="1032"/>
      <c r="BU282" s="1032"/>
      <c r="BV282" s="1032"/>
      <c r="BW282" s="1032"/>
      <c r="BX282" s="1032"/>
      <c r="BY282" s="1032"/>
      <c r="BZ282" s="1032"/>
      <c r="CA282" s="485"/>
      <c r="CB282" s="547">
        <v>280</v>
      </c>
      <c r="CC282" s="1481" t="b">
        <v>1</v>
      </c>
      <c r="CD282" t="str">
        <f>Table15[[#This Row],[Engineering Number]]&amp;Table15[[#This Row],[WO Number]]&amp;Table15[[#This Row],[Date Assigned to Designer]]&amp;Table15[[#This Row],[Date Completed]]</f>
        <v>M11941-4428644291</v>
      </c>
    </row>
    <row r="283" spans="1:82" customFormat="1" ht="15" customHeight="1" x14ac:dyDescent="0.25">
      <c r="A283">
        <v>2021</v>
      </c>
      <c r="B283" s="8" t="s">
        <v>1108</v>
      </c>
      <c r="C283" s="8" t="s">
        <v>1180</v>
      </c>
      <c r="D283" s="656" t="s">
        <v>1181</v>
      </c>
      <c r="E283" s="8" t="s">
        <v>1182</v>
      </c>
      <c r="F283" s="8" t="s">
        <v>1111</v>
      </c>
      <c r="G283" s="8" t="s">
        <v>40</v>
      </c>
      <c r="H283" s="8" t="s">
        <v>59</v>
      </c>
      <c r="I283" s="642">
        <v>44105</v>
      </c>
      <c r="J283" s="18">
        <v>44302</v>
      </c>
      <c r="K283" s="642">
        <v>44293</v>
      </c>
      <c r="L283" s="16">
        <f>IF(ISTEXT(Table15[[#This Row],[Engineering Approved Design Date]]),Table15[[#This Row],[Date Completed]]-Table15[[#This Row],[Date Assigned to Designer]],Table15[[#This Row],[Engineering Approved Design Date]]-Table15[[#This Row],[Date Completed]])</f>
        <v>9</v>
      </c>
      <c r="M283" s="642"/>
      <c r="N283" s="642" t="s">
        <v>120</v>
      </c>
      <c r="O283" s="1025">
        <v>44293</v>
      </c>
      <c r="P283" s="21" t="s">
        <v>739</v>
      </c>
      <c r="Q283" s="340">
        <f>(Table15[[#This Row],[Construction Cost to Bill From]]*0.085)+7750</f>
        <v>25162.796549999999</v>
      </c>
      <c r="R283" s="1026" t="s">
        <v>1055</v>
      </c>
      <c r="S283" s="538" t="s">
        <v>709</v>
      </c>
      <c r="T283" s="538" t="s">
        <v>709</v>
      </c>
      <c r="U283" s="28" t="s">
        <v>709</v>
      </c>
      <c r="V283" s="858"/>
      <c r="W283" s="437"/>
      <c r="X283" s="538">
        <v>177808.07</v>
      </c>
      <c r="Y283" s="550"/>
      <c r="Z283" s="538">
        <v>27048.36</v>
      </c>
      <c r="AA283" s="538">
        <f>X283+Z283</f>
        <v>204856.43</v>
      </c>
      <c r="AB283" s="341"/>
      <c r="AC283" s="568" t="s">
        <v>116</v>
      </c>
      <c r="AD283" s="1157"/>
      <c r="AE283" s="579"/>
      <c r="AF283" s="579"/>
      <c r="AG283" s="579"/>
      <c r="AH283" s="553"/>
      <c r="AI283" s="1036"/>
      <c r="AJ283" s="1037"/>
      <c r="AK283" s="1037"/>
      <c r="AL283" s="1038"/>
      <c r="AM283" s="536" t="s">
        <v>116</v>
      </c>
      <c r="AN283" s="903" t="s">
        <v>709</v>
      </c>
      <c r="AO283" s="1536" t="s">
        <v>115</v>
      </c>
      <c r="AP283" s="1537"/>
      <c r="AQ283" s="1537"/>
      <c r="AR283" s="1537"/>
      <c r="AS283" s="888">
        <f>IF(Table15[[#This Row],[PCTS Approved]]="N",0,Table15[[#This Row],[Investment Amount (1'#'#'#'#'#)]]+Table15[[#This Row],[Retirement Amount (3'#'#'#'#'#)]])</f>
        <v>0</v>
      </c>
      <c r="AT283" s="888">
        <f>IF(Table15[[#This Row],[Approved Construction Cost]]=0,0,Table15[[#This Row],[Approved Construction Cost]]-Table15[[#This Row],[Construction Cost to Bill From]])</f>
        <v>0</v>
      </c>
      <c r="AU283" s="888">
        <f>IFERROR(Table15[[#This Row],[Difference in Construction Cost]]*Table15[[#This Row],[Rate]],Table15[[#This Row],[Difference in Construction Cost]]*0.085)</f>
        <v>0</v>
      </c>
      <c r="AV283" s="905"/>
      <c r="AW283" s="1509"/>
      <c r="AX283" s="888"/>
      <c r="AY283" s="636" t="s">
        <v>709</v>
      </c>
      <c r="AZ283" s="333">
        <v>179</v>
      </c>
      <c r="BA283" s="859" t="s">
        <v>1183</v>
      </c>
      <c r="BB283" s="644" t="s">
        <v>1184</v>
      </c>
      <c r="BC283" s="544" t="s">
        <v>709</v>
      </c>
      <c r="BD283" s="544" t="s">
        <v>709</v>
      </c>
      <c r="BE283" s="544" t="s">
        <v>1185</v>
      </c>
      <c r="BF283" s="544" t="s">
        <v>709</v>
      </c>
      <c r="BG283" s="544" t="s">
        <v>709</v>
      </c>
      <c r="BH283" s="741"/>
      <c r="BI283" s="547" t="s">
        <v>709</v>
      </c>
      <c r="BJ283" s="547" t="s">
        <v>709</v>
      </c>
      <c r="BK283" s="547" t="s">
        <v>116</v>
      </c>
      <c r="BL283" s="547" t="s">
        <v>116</v>
      </c>
      <c r="BM283" s="547" t="s">
        <v>709</v>
      </c>
      <c r="BN283" s="547" t="s">
        <v>709</v>
      </c>
      <c r="BO283" s="547" t="s">
        <v>709</v>
      </c>
      <c r="BP283" s="547" t="s">
        <v>709</v>
      </c>
      <c r="BQ283" s="547" t="s">
        <v>709</v>
      </c>
      <c r="BR283" s="547">
        <v>11</v>
      </c>
      <c r="BS283" s="547">
        <v>33</v>
      </c>
      <c r="BT283" s="547" t="s">
        <v>709</v>
      </c>
      <c r="BU283" s="547">
        <v>1</v>
      </c>
      <c r="BV283" s="547" t="s">
        <v>709</v>
      </c>
      <c r="BW283" s="547">
        <v>1</v>
      </c>
      <c r="BX283" s="547">
        <v>1</v>
      </c>
      <c r="BY283" s="547" t="s">
        <v>709</v>
      </c>
      <c r="BZ283" s="547" t="s">
        <v>709</v>
      </c>
      <c r="CA283" s="483" t="s">
        <v>2</v>
      </c>
      <c r="CB283" s="547">
        <v>282</v>
      </c>
      <c r="CC283" s="1481" t="b">
        <v>1</v>
      </c>
      <c r="CD283" t="str">
        <f>Table15[[#This Row],[Engineering Number]]&amp;Table15[[#This Row],[WO Number]]&amp;Table15[[#This Row],[Date Assigned to Designer]]&amp;Table15[[#This Row],[Date Completed]]</f>
        <v>RS6651030734410544293</v>
      </c>
    </row>
    <row r="284" spans="1:82" customFormat="1" ht="15" customHeight="1" x14ac:dyDescent="0.25">
      <c r="A284">
        <v>2021</v>
      </c>
      <c r="B284" s="8" t="s">
        <v>1108</v>
      </c>
      <c r="C284" s="8" t="s">
        <v>1175</v>
      </c>
      <c r="D284" s="656" t="s">
        <v>1176</v>
      </c>
      <c r="E284" s="8" t="s">
        <v>111</v>
      </c>
      <c r="F284" s="8" t="s">
        <v>1111</v>
      </c>
      <c r="G284" s="8" t="s">
        <v>40</v>
      </c>
      <c r="H284" s="8" t="s">
        <v>59</v>
      </c>
      <c r="I284" s="642">
        <v>44176</v>
      </c>
      <c r="J284" s="18">
        <v>44295</v>
      </c>
      <c r="K284" s="642">
        <v>44293</v>
      </c>
      <c r="L284" s="16">
        <f>IF(ISTEXT(Table15[[#This Row],[Engineering Approved Design Date]]),Table15[[#This Row],[Date Completed]]-Table15[[#This Row],[Date Assigned to Designer]],Table15[[#This Row],[Engineering Approved Design Date]]-Table15[[#This Row],[Date Completed]])</f>
        <v>2</v>
      </c>
      <c r="M284" s="642"/>
      <c r="N284" s="642" t="s">
        <v>120</v>
      </c>
      <c r="O284" s="1025">
        <v>44293</v>
      </c>
      <c r="P284" s="21" t="s">
        <v>739</v>
      </c>
      <c r="Q284" s="340">
        <f>(Table15[[#This Row],[Construction Cost to Bill From]]*0.085)+7750</f>
        <v>24899.581300000002</v>
      </c>
      <c r="R284" s="1026" t="s">
        <v>1055</v>
      </c>
      <c r="S284" s="538" t="s">
        <v>709</v>
      </c>
      <c r="T284" s="538" t="s">
        <v>709</v>
      </c>
      <c r="U284" s="28" t="s">
        <v>709</v>
      </c>
      <c r="V284" s="858"/>
      <c r="W284" s="437"/>
      <c r="X284" s="538">
        <v>173111.31</v>
      </c>
      <c r="Y284" s="550"/>
      <c r="Z284" s="538">
        <v>28648.47</v>
      </c>
      <c r="AA284" s="538">
        <f>X284+Z284</f>
        <v>201759.78</v>
      </c>
      <c r="AB284" s="341"/>
      <c r="AC284" s="568" t="s">
        <v>1177</v>
      </c>
      <c r="AD284" s="1157"/>
      <c r="AE284" s="579"/>
      <c r="AF284" s="579"/>
      <c r="AG284" s="579"/>
      <c r="AH284" s="553"/>
      <c r="AI284" s="1036"/>
      <c r="AJ284" s="1037"/>
      <c r="AK284" s="1037"/>
      <c r="AL284" s="1038"/>
      <c r="AM284" s="536" t="s">
        <v>116</v>
      </c>
      <c r="AN284" s="903" t="s">
        <v>709</v>
      </c>
      <c r="AO284" s="1536" t="s">
        <v>115</v>
      </c>
      <c r="AP284" s="1537"/>
      <c r="AQ284" s="1537"/>
      <c r="AR284" s="1537"/>
      <c r="AS284" s="888">
        <f>IF(Table15[[#This Row],[PCTS Approved]]="N",0,Table15[[#This Row],[Investment Amount (1'#'#'#'#'#)]]+Table15[[#This Row],[Retirement Amount (3'#'#'#'#'#)]])</f>
        <v>0</v>
      </c>
      <c r="AT284" s="888">
        <f>IF(Table15[[#This Row],[Approved Construction Cost]]=0,0,Table15[[#This Row],[Approved Construction Cost]]-Table15[[#This Row],[Construction Cost to Bill From]])</f>
        <v>0</v>
      </c>
      <c r="AU284" s="888">
        <f>IFERROR(Table15[[#This Row],[Difference in Construction Cost]]*Table15[[#This Row],[Rate]],Table15[[#This Row],[Difference in Construction Cost]]*0.085)</f>
        <v>0</v>
      </c>
      <c r="AV284" s="905"/>
      <c r="AW284" s="1509"/>
      <c r="AX284" s="888"/>
      <c r="AY284" s="636" t="s">
        <v>709</v>
      </c>
      <c r="AZ284" s="333">
        <v>178</v>
      </c>
      <c r="BA284" s="859" t="s">
        <v>1178</v>
      </c>
      <c r="BB284" s="644" t="s">
        <v>1179</v>
      </c>
      <c r="BC284" s="544" t="s">
        <v>116</v>
      </c>
      <c r="BD284" s="544" t="s">
        <v>709</v>
      </c>
      <c r="BE284" s="544" t="s">
        <v>1114</v>
      </c>
      <c r="BF284" s="544" t="s">
        <v>709</v>
      </c>
      <c r="BG284" s="544" t="s">
        <v>709</v>
      </c>
      <c r="BH284" s="741"/>
      <c r="BI284" s="547" t="s">
        <v>709</v>
      </c>
      <c r="BJ284" s="547" t="s">
        <v>709</v>
      </c>
      <c r="BK284" s="547" t="s">
        <v>116</v>
      </c>
      <c r="BL284" s="547" t="s">
        <v>116</v>
      </c>
      <c r="BM284" s="547" t="s">
        <v>709</v>
      </c>
      <c r="BN284" s="547" t="s">
        <v>709</v>
      </c>
      <c r="BO284" s="547" t="s">
        <v>709</v>
      </c>
      <c r="BP284" s="547" t="s">
        <v>709</v>
      </c>
      <c r="BQ284" s="547" t="s">
        <v>709</v>
      </c>
      <c r="BR284" s="547">
        <v>5</v>
      </c>
      <c r="BS284" s="547">
        <v>64</v>
      </c>
      <c r="BT284" s="547" t="s">
        <v>709</v>
      </c>
      <c r="BU284" s="547">
        <v>1</v>
      </c>
      <c r="BV284" s="547" t="s">
        <v>709</v>
      </c>
      <c r="BW284" s="547">
        <v>1</v>
      </c>
      <c r="BX284" s="547" t="s">
        <v>709</v>
      </c>
      <c r="BY284" s="547" t="s">
        <v>709</v>
      </c>
      <c r="BZ284" s="547" t="s">
        <v>709</v>
      </c>
      <c r="CA284" s="483" t="s">
        <v>2</v>
      </c>
      <c r="CB284" s="547">
        <v>281</v>
      </c>
      <c r="CC284" s="1481" t="b">
        <v>1</v>
      </c>
      <c r="CD284" t="str">
        <f>Table15[[#This Row],[Engineering Number]]&amp;Table15[[#This Row],[WO Number]]&amp;Table15[[#This Row],[Date Assigned to Designer]]&amp;Table15[[#This Row],[Date Completed]]</f>
        <v>RS6881021334417644293</v>
      </c>
    </row>
    <row r="285" spans="1:82" customFormat="1" ht="15" customHeight="1" x14ac:dyDescent="0.25">
      <c r="A285">
        <v>2021</v>
      </c>
      <c r="B285" s="8" t="s">
        <v>4</v>
      </c>
      <c r="C285" s="8" t="s">
        <v>206</v>
      </c>
      <c r="D285" s="647" t="s">
        <v>3138</v>
      </c>
      <c r="E285" s="8" t="s">
        <v>207</v>
      </c>
      <c r="F285" s="8" t="s">
        <v>919</v>
      </c>
      <c r="G285" s="8" t="s">
        <v>2814</v>
      </c>
      <c r="H285" s="8" t="s">
        <v>59</v>
      </c>
      <c r="I285" s="642">
        <v>44238</v>
      </c>
      <c r="J285" s="18">
        <v>44302</v>
      </c>
      <c r="K285" s="642">
        <v>44295</v>
      </c>
      <c r="L285" s="16">
        <f>IF(ISTEXT(Table15[[#This Row],[Engineering Approved Design Date]]),Table15[[#This Row],[Date Completed]]-Table15[[#This Row],[Date Assigned to Designer]],Table15[[#This Row],[Engineering Approved Design Date]]-Table15[[#This Row],[Date Completed]])</f>
        <v>7</v>
      </c>
      <c r="M285" s="642"/>
      <c r="N285" s="642" t="s">
        <v>120</v>
      </c>
      <c r="O285" s="1025">
        <v>44295</v>
      </c>
      <c r="P285" s="21" t="s">
        <v>739</v>
      </c>
      <c r="Q285" s="340" t="s">
        <v>2045</v>
      </c>
      <c r="R285" s="1026" t="s">
        <v>2045</v>
      </c>
      <c r="S285" s="538" t="s">
        <v>709</v>
      </c>
      <c r="T285" s="538" t="s">
        <v>709</v>
      </c>
      <c r="U285" s="28" t="s">
        <v>709</v>
      </c>
      <c r="V285" s="858"/>
      <c r="W285" s="437"/>
      <c r="X285" s="538"/>
      <c r="Y285" s="550"/>
      <c r="Z285" s="538"/>
      <c r="AA285" s="538"/>
      <c r="AB285" s="21"/>
      <c r="AC285" s="569"/>
      <c r="AD285" s="1149"/>
      <c r="AE285" s="580"/>
      <c r="AF285" s="580"/>
      <c r="AG285" s="580"/>
      <c r="AH285" s="542"/>
      <c r="AI285" s="1028"/>
      <c r="AJ285" s="1029"/>
      <c r="AK285" s="1029"/>
      <c r="AL285" s="1030"/>
      <c r="AM285" s="542" t="s">
        <v>709</v>
      </c>
      <c r="AN285" s="924"/>
      <c r="AO285" s="925"/>
      <c r="AP285" s="926"/>
      <c r="AQ285" s="926"/>
      <c r="AR285" s="926"/>
      <c r="AS285" s="926"/>
      <c r="AT285" s="926"/>
      <c r="AU285" s="926"/>
      <c r="AV285" s="926"/>
      <c r="AW285" s="927"/>
      <c r="AX285" s="926"/>
      <c r="AY285" s="1538" t="s">
        <v>29</v>
      </c>
      <c r="AZ285" s="1530"/>
      <c r="BA285" s="1031" t="s">
        <v>3139</v>
      </c>
      <c r="BB285" s="644" t="s">
        <v>1216</v>
      </c>
      <c r="BC285" s="544" t="s">
        <v>709</v>
      </c>
      <c r="BD285" s="544" t="s">
        <v>3140</v>
      </c>
      <c r="BE285" s="544" t="s">
        <v>3141</v>
      </c>
      <c r="BF285" s="544" t="s">
        <v>709</v>
      </c>
      <c r="BG285" s="544" t="s">
        <v>709</v>
      </c>
      <c r="BH285" s="741"/>
      <c r="BI285" s="547" t="s">
        <v>709</v>
      </c>
      <c r="BJ285" s="547" t="s">
        <v>709</v>
      </c>
      <c r="BK285" s="547" t="s">
        <v>709</v>
      </c>
      <c r="BL285" s="547" t="s">
        <v>116</v>
      </c>
      <c r="BM285" s="547" t="s">
        <v>709</v>
      </c>
      <c r="BN285" s="547" t="s">
        <v>709</v>
      </c>
      <c r="BO285" s="547" t="s">
        <v>709</v>
      </c>
      <c r="BP285" s="547" t="s">
        <v>709</v>
      </c>
      <c r="BQ285" s="547" t="s">
        <v>709</v>
      </c>
      <c r="BR285" s="547">
        <v>2473</v>
      </c>
      <c r="BS285" s="547">
        <v>204</v>
      </c>
      <c r="BT285" s="547" t="s">
        <v>745</v>
      </c>
      <c r="BU285" s="547" t="s">
        <v>709</v>
      </c>
      <c r="BV285" s="547" t="s">
        <v>745</v>
      </c>
      <c r="BW285" s="547" t="s">
        <v>709</v>
      </c>
      <c r="BX285" s="547" t="s">
        <v>745</v>
      </c>
      <c r="BY285" s="547" t="s">
        <v>745</v>
      </c>
      <c r="BZ285" s="547" t="s">
        <v>709</v>
      </c>
      <c r="CA285" s="483"/>
      <c r="CB285" s="547">
        <v>283</v>
      </c>
      <c r="CC285" s="1481" t="b">
        <v>1</v>
      </c>
      <c r="CD285" t="str">
        <f>Table15[[#This Row],[Engineering Number]]&amp;Table15[[#This Row],[WO Number]]&amp;Table15[[#This Row],[Date Assigned to Designer]]&amp;Table15[[#This Row],[Date Completed]]</f>
        <v>SC188141408674423844295</v>
      </c>
    </row>
    <row r="286" spans="1:82" customFormat="1" ht="15" customHeight="1" x14ac:dyDescent="0.25">
      <c r="A286">
        <v>2021</v>
      </c>
      <c r="B286" s="8" t="s">
        <v>4</v>
      </c>
      <c r="C286" s="8" t="s">
        <v>206</v>
      </c>
      <c r="D286" s="647" t="s">
        <v>3143</v>
      </c>
      <c r="E286" s="8" t="s">
        <v>207</v>
      </c>
      <c r="F286" s="8" t="s">
        <v>919</v>
      </c>
      <c r="G286" s="8" t="s">
        <v>2814</v>
      </c>
      <c r="H286" s="8" t="s">
        <v>59</v>
      </c>
      <c r="I286" s="642">
        <v>44238</v>
      </c>
      <c r="J286" s="18">
        <v>44302</v>
      </c>
      <c r="K286" s="642">
        <v>44295</v>
      </c>
      <c r="L286" s="16">
        <f>IF(ISTEXT(Table15[[#This Row],[Engineering Approved Design Date]]),Table15[[#This Row],[Date Completed]]-Table15[[#This Row],[Date Assigned to Designer]],Table15[[#This Row],[Engineering Approved Design Date]]-Table15[[#This Row],[Date Completed]])</f>
        <v>7</v>
      </c>
      <c r="M286" s="642"/>
      <c r="N286" s="642" t="s">
        <v>120</v>
      </c>
      <c r="O286" s="1025">
        <v>44295</v>
      </c>
      <c r="P286" s="21" t="s">
        <v>739</v>
      </c>
      <c r="Q286" s="340">
        <f>R286*AA286</f>
        <v>55318.144999999997</v>
      </c>
      <c r="R286" s="1026">
        <v>0.1</v>
      </c>
      <c r="S286" s="538" t="s">
        <v>709</v>
      </c>
      <c r="T286" s="538" t="s">
        <v>709</v>
      </c>
      <c r="U286" s="28" t="s">
        <v>709</v>
      </c>
      <c r="V286" s="858"/>
      <c r="W286" s="437"/>
      <c r="X286" s="538">
        <f>441936.13+70205.75</f>
        <v>512141.88</v>
      </c>
      <c r="Y286" s="550"/>
      <c r="Z286" s="538">
        <f>25715.25+15324.32</f>
        <v>41039.57</v>
      </c>
      <c r="AA286" s="538">
        <f t="shared" ref="AA286:AA310" si="2">X286+Z286</f>
        <v>553181.44999999995</v>
      </c>
      <c r="AB286" s="341"/>
      <c r="AC286" s="568" t="s">
        <v>116</v>
      </c>
      <c r="AD286" s="1157"/>
      <c r="AE286" s="579"/>
      <c r="AF286" s="579"/>
      <c r="AG286" s="579"/>
      <c r="AH286" s="553"/>
      <c r="AI286" s="1036"/>
      <c r="AJ286" s="1037"/>
      <c r="AK286" s="1037"/>
      <c r="AL286" s="1038"/>
      <c r="AM286" s="542" t="s">
        <v>116</v>
      </c>
      <c r="AN286" s="1508">
        <v>44466</v>
      </c>
      <c r="AO286" s="925">
        <v>190966</v>
      </c>
      <c r="AP286" s="926">
        <f>326258.93+55662.55</f>
        <v>381921.48</v>
      </c>
      <c r="AQ286" s="926"/>
      <c r="AR286" s="926">
        <f>18184.78+8510.11</f>
        <v>26694.89</v>
      </c>
      <c r="AS286" s="926">
        <f>IF(Table15[[#This Row],[PCTS Approved]]="N",0,Table15[[#This Row],[Investment Amount (1'#'#'#'#'#)]]+Table15[[#This Row],[Retirement Amount (3'#'#'#'#'#)]])</f>
        <v>408616.37</v>
      </c>
      <c r="AT286" s="926">
        <f>IF(Table15[[#This Row],[Approved Construction Cost]]=0,0,Table15[[#This Row],[Approved Construction Cost]]-Table15[[#This Row],[Construction Cost to Bill From]])</f>
        <v>-144565.07999999996</v>
      </c>
      <c r="AU286" s="926">
        <f>Table15[[#This Row],[Difference in Construction Cost]]*Table15[[#This Row],[Rate]]</f>
        <v>-14456.507999999996</v>
      </c>
      <c r="AV286" s="926">
        <v>3277.5</v>
      </c>
      <c r="AW286" s="927" t="s">
        <v>3144</v>
      </c>
      <c r="AX286" s="926"/>
      <c r="AY286" s="636" t="s">
        <v>1935</v>
      </c>
      <c r="AZ286" s="1531"/>
      <c r="BA286" s="1031" t="s">
        <v>3139</v>
      </c>
      <c r="BB286" s="644" t="s">
        <v>1216</v>
      </c>
      <c r="BC286" s="544" t="s">
        <v>709</v>
      </c>
      <c r="BD286" s="544" t="s">
        <v>3140</v>
      </c>
      <c r="BE286" s="544" t="s">
        <v>3141</v>
      </c>
      <c r="BF286" s="544" t="s">
        <v>709</v>
      </c>
      <c r="BG286" s="544" t="s">
        <v>709</v>
      </c>
      <c r="BH286" s="741"/>
      <c r="BI286" s="547" t="s">
        <v>709</v>
      </c>
      <c r="BJ286" s="547" t="s">
        <v>709</v>
      </c>
      <c r="BK286" s="547" t="s">
        <v>709</v>
      </c>
      <c r="BL286" s="547" t="s">
        <v>116</v>
      </c>
      <c r="BM286" s="547" t="s">
        <v>709</v>
      </c>
      <c r="BN286" s="547" t="s">
        <v>709</v>
      </c>
      <c r="BO286" s="547" t="s">
        <v>709</v>
      </c>
      <c r="BP286" s="547" t="s">
        <v>709</v>
      </c>
      <c r="BQ286" s="547" t="s">
        <v>709</v>
      </c>
      <c r="BR286" s="547">
        <v>2473</v>
      </c>
      <c r="BS286" s="547">
        <v>204</v>
      </c>
      <c r="BT286" s="547" t="s">
        <v>745</v>
      </c>
      <c r="BU286" s="547" t="s">
        <v>709</v>
      </c>
      <c r="BV286" s="547" t="s">
        <v>745</v>
      </c>
      <c r="BW286" s="547" t="s">
        <v>709</v>
      </c>
      <c r="BX286" s="547" t="s">
        <v>745</v>
      </c>
      <c r="BY286" s="547" t="s">
        <v>745</v>
      </c>
      <c r="BZ286" s="547" t="s">
        <v>709</v>
      </c>
      <c r="CA286" s="483"/>
      <c r="CB286" s="547">
        <v>284</v>
      </c>
      <c r="CC286" s="1481" t="b">
        <v>1</v>
      </c>
      <c r="CD286" t="str">
        <f>Table15[[#This Row],[Engineering Number]]&amp;Table15[[#This Row],[WO Number]]&amp;Table15[[#This Row],[Date Assigned to Designer]]&amp;Table15[[#This Row],[Date Completed]]</f>
        <v>SC188141408614423844295</v>
      </c>
    </row>
    <row r="287" spans="1:82" customFormat="1" ht="15" customHeight="1" x14ac:dyDescent="0.25">
      <c r="A287">
        <v>2021</v>
      </c>
      <c r="B287" s="8" t="s">
        <v>771</v>
      </c>
      <c r="C287" s="8" t="s">
        <v>3153</v>
      </c>
      <c r="D287" s="8" t="s">
        <v>3154</v>
      </c>
      <c r="E287" s="8" t="s">
        <v>272</v>
      </c>
      <c r="F287" s="8" t="s">
        <v>919</v>
      </c>
      <c r="G287" s="8" t="s">
        <v>36</v>
      </c>
      <c r="H287" s="8" t="s">
        <v>59</v>
      </c>
      <c r="I287" s="642">
        <v>44188</v>
      </c>
      <c r="J287" s="18">
        <v>44302</v>
      </c>
      <c r="K287" s="642">
        <v>44298</v>
      </c>
      <c r="L287" s="16">
        <f>IF(ISTEXT(Table15[[#This Row],[Engineering Approved Design Date]]),Table15[[#This Row],[Date Completed]]-Table15[[#This Row],[Date Assigned to Designer]],Table15[[#This Row],[Engineering Approved Design Date]]-Table15[[#This Row],[Date Completed]])</f>
        <v>4</v>
      </c>
      <c r="M287" s="642"/>
      <c r="N287" s="642" t="s">
        <v>120</v>
      </c>
      <c r="O287" s="1025">
        <v>44298</v>
      </c>
      <c r="P287" s="21" t="s">
        <v>120</v>
      </c>
      <c r="Q287" s="340">
        <f>1.55*Table15[[#This Row],[LF of Main]]</f>
        <v>22482.75</v>
      </c>
      <c r="R287" s="1026" t="s">
        <v>2087</v>
      </c>
      <c r="S287" s="538" t="s">
        <v>709</v>
      </c>
      <c r="T287" s="538" t="s">
        <v>709</v>
      </c>
      <c r="U287" s="441" t="s">
        <v>709</v>
      </c>
      <c r="V287" s="857">
        <v>14505</v>
      </c>
      <c r="W287" s="440"/>
      <c r="X287" s="538">
        <v>2276686.5</v>
      </c>
      <c r="Y287" s="550"/>
      <c r="Z287" s="538">
        <v>47200.24</v>
      </c>
      <c r="AA287" s="538">
        <f t="shared" si="2"/>
        <v>2323886.7400000002</v>
      </c>
      <c r="AB287" s="341"/>
      <c r="AC287" s="568" t="s">
        <v>116</v>
      </c>
      <c r="AD287" s="1157"/>
      <c r="AE287" s="568"/>
      <c r="AF287" s="568"/>
      <c r="AG287" s="568"/>
      <c r="AH287" s="183"/>
      <c r="AI287" s="1036"/>
      <c r="AJ287" s="1037"/>
      <c r="AK287" s="1037"/>
      <c r="AL287" s="1038"/>
      <c r="AM287" s="542" t="s">
        <v>709</v>
      </c>
      <c r="AN287" s="924"/>
      <c r="AO287" s="925"/>
      <c r="AP287" s="926"/>
      <c r="AQ287" s="926"/>
      <c r="AR287" s="926"/>
      <c r="AS287" s="926"/>
      <c r="AT287" s="926"/>
      <c r="AU287" s="926"/>
      <c r="AV287" s="926"/>
      <c r="AW287" s="927"/>
      <c r="AX287" s="926"/>
      <c r="AY287" s="1538" t="s">
        <v>29</v>
      </c>
      <c r="AZ287" s="1530"/>
      <c r="BA287" s="1031" t="s">
        <v>3155</v>
      </c>
      <c r="BB287" s="644" t="s">
        <v>3156</v>
      </c>
      <c r="BC287" s="544" t="s">
        <v>116</v>
      </c>
      <c r="BD287" s="544" t="s">
        <v>709</v>
      </c>
      <c r="BE287" s="544" t="s">
        <v>1242</v>
      </c>
      <c r="BF287" s="544" t="s">
        <v>709</v>
      </c>
      <c r="BG287" s="544" t="s">
        <v>709</v>
      </c>
      <c r="BH287" s="741"/>
      <c r="BI287" s="547" t="s">
        <v>709</v>
      </c>
      <c r="BJ287" s="547" t="s">
        <v>709</v>
      </c>
      <c r="BK287" s="547" t="s">
        <v>709</v>
      </c>
      <c r="BL287" s="547" t="s">
        <v>116</v>
      </c>
      <c r="BM287" s="547" t="s">
        <v>709</v>
      </c>
      <c r="BN287" s="547" t="s">
        <v>709</v>
      </c>
      <c r="BO287" s="547" t="s">
        <v>709</v>
      </c>
      <c r="BP287" s="547">
        <v>2168</v>
      </c>
      <c r="BQ287" s="547">
        <v>759</v>
      </c>
      <c r="BR287" s="547" t="s">
        <v>709</v>
      </c>
      <c r="BS287" s="547">
        <v>11578</v>
      </c>
      <c r="BT287" s="547" t="s">
        <v>745</v>
      </c>
      <c r="BU287" s="547" t="s">
        <v>709</v>
      </c>
      <c r="BV287" s="547" t="s">
        <v>745</v>
      </c>
      <c r="BW287" s="547" t="s">
        <v>709</v>
      </c>
      <c r="BX287" s="547" t="s">
        <v>745</v>
      </c>
      <c r="BY287" s="547" t="s">
        <v>745</v>
      </c>
      <c r="BZ287" s="547" t="s">
        <v>709</v>
      </c>
      <c r="CA287" s="483"/>
      <c r="CB287" s="547">
        <v>285</v>
      </c>
      <c r="CC287" s="1481" t="b">
        <v>1</v>
      </c>
      <c r="CD287" t="str">
        <f>Table15[[#This Row],[Engineering Number]]&amp;Table15[[#This Row],[WO Number]]&amp;Table15[[#This Row],[Date Assigned to Designer]]&amp;Table15[[#This Row],[Date Completed]]</f>
        <v>BS194B1205514418844298</v>
      </c>
    </row>
    <row r="288" spans="1:82" customFormat="1" ht="15" customHeight="1" x14ac:dyDescent="0.25">
      <c r="A288">
        <v>2021</v>
      </c>
      <c r="B288" s="8" t="s">
        <v>771</v>
      </c>
      <c r="C288" s="8" t="s">
        <v>3146</v>
      </c>
      <c r="D288" s="8" t="s">
        <v>3147</v>
      </c>
      <c r="E288" s="8" t="s">
        <v>3148</v>
      </c>
      <c r="F288" s="8" t="s">
        <v>919</v>
      </c>
      <c r="G288" s="8" t="s">
        <v>1882</v>
      </c>
      <c r="H288" s="8" t="s">
        <v>59</v>
      </c>
      <c r="I288" s="642">
        <v>44215</v>
      </c>
      <c r="J288" s="18">
        <v>44306</v>
      </c>
      <c r="K288" s="642">
        <v>44298</v>
      </c>
      <c r="L288" s="16">
        <f>IF(ISTEXT(Table15[[#This Row],[Engineering Approved Design Date]]),Table15[[#This Row],[Date Completed]]-Table15[[#This Row],[Date Assigned to Designer]],Table15[[#This Row],[Engineering Approved Design Date]]-Table15[[#This Row],[Date Completed]])</f>
        <v>8</v>
      </c>
      <c r="M288" s="642"/>
      <c r="N288" s="642" t="s">
        <v>120</v>
      </c>
      <c r="O288" s="1025">
        <v>44298</v>
      </c>
      <c r="P288" s="21" t="s">
        <v>120</v>
      </c>
      <c r="Q288" s="340">
        <f>1.55*Table15[[#This Row],[LF of Main]]</f>
        <v>22829.95</v>
      </c>
      <c r="R288" s="1026" t="s">
        <v>2087</v>
      </c>
      <c r="S288" s="538" t="s">
        <v>709</v>
      </c>
      <c r="T288" s="538" t="s">
        <v>709</v>
      </c>
      <c r="U288" s="441" t="s">
        <v>709</v>
      </c>
      <c r="V288" s="857">
        <f>12437+2292</f>
        <v>14729</v>
      </c>
      <c r="W288" s="440"/>
      <c r="X288" s="538">
        <v>2420252.2999999998</v>
      </c>
      <c r="Y288" s="550"/>
      <c r="Z288" s="538">
        <v>104754.86</v>
      </c>
      <c r="AA288" s="538">
        <f t="shared" si="2"/>
        <v>2525007.1599999997</v>
      </c>
      <c r="AB288" s="341"/>
      <c r="AC288" s="568" t="s">
        <v>709</v>
      </c>
      <c r="AD288" s="1157"/>
      <c r="AE288" s="568"/>
      <c r="AF288" s="568"/>
      <c r="AG288" s="568"/>
      <c r="AH288" s="183"/>
      <c r="AI288" s="1036"/>
      <c r="AJ288" s="1037"/>
      <c r="AK288" s="1037"/>
      <c r="AL288" s="1038"/>
      <c r="AM288" s="542" t="s">
        <v>709</v>
      </c>
      <c r="AN288" s="924"/>
      <c r="AO288" s="925"/>
      <c r="AP288" s="926"/>
      <c r="AQ288" s="926"/>
      <c r="AR288" s="926"/>
      <c r="AS288" s="926"/>
      <c r="AT288" s="926"/>
      <c r="AU288" s="926"/>
      <c r="AV288" s="926"/>
      <c r="AW288" s="927"/>
      <c r="AX288" s="926"/>
      <c r="AY288" s="1538" t="s">
        <v>29</v>
      </c>
      <c r="AZ288" s="1530"/>
      <c r="BA288" s="1031" t="s">
        <v>3149</v>
      </c>
      <c r="BB288" s="644" t="s">
        <v>3150</v>
      </c>
      <c r="BC288" s="544" t="s">
        <v>116</v>
      </c>
      <c r="BD288" s="544" t="s">
        <v>709</v>
      </c>
      <c r="BE288" s="544" t="s">
        <v>3151</v>
      </c>
      <c r="BF288" s="544" t="s">
        <v>709</v>
      </c>
      <c r="BG288" s="544" t="s">
        <v>709</v>
      </c>
      <c r="BH288" s="741"/>
      <c r="BI288" s="547" t="s">
        <v>709</v>
      </c>
      <c r="BJ288" s="547" t="s">
        <v>709</v>
      </c>
      <c r="BK288" s="547" t="s">
        <v>709</v>
      </c>
      <c r="BL288" s="547" t="s">
        <v>116</v>
      </c>
      <c r="BM288" s="547" t="s">
        <v>709</v>
      </c>
      <c r="BN288" s="547" t="s">
        <v>709</v>
      </c>
      <c r="BO288" s="547" t="s">
        <v>709</v>
      </c>
      <c r="BP288" s="547" t="s">
        <v>709</v>
      </c>
      <c r="BQ288" s="547" t="s">
        <v>709</v>
      </c>
      <c r="BR288" s="547">
        <v>2292</v>
      </c>
      <c r="BS288" s="547">
        <v>12437</v>
      </c>
      <c r="BT288" s="547" t="s">
        <v>745</v>
      </c>
      <c r="BU288" s="547" t="s">
        <v>709</v>
      </c>
      <c r="BV288" s="547" t="s">
        <v>745</v>
      </c>
      <c r="BW288" s="547" t="s">
        <v>709</v>
      </c>
      <c r="BX288" s="547" t="s">
        <v>745</v>
      </c>
      <c r="BY288" s="547" t="s">
        <v>745</v>
      </c>
      <c r="BZ288" s="547" t="s">
        <v>709</v>
      </c>
      <c r="CA288" s="483"/>
      <c r="CB288" s="547">
        <v>286</v>
      </c>
      <c r="CC288" s="1481" t="b">
        <v>1</v>
      </c>
      <c r="CD288" t="str">
        <f>Table15[[#This Row],[Engineering Number]]&amp;Table15[[#This Row],[WO Number]]&amp;Table15[[#This Row],[Date Assigned to Designer]]&amp;Table15[[#This Row],[Date Completed]]</f>
        <v>VW221205704421544298</v>
      </c>
    </row>
    <row r="289" spans="1:82" customFormat="1" ht="15" customHeight="1" x14ac:dyDescent="0.25">
      <c r="A289">
        <v>2021</v>
      </c>
      <c r="B289" s="8" t="s">
        <v>771</v>
      </c>
      <c r="C289" s="8" t="s">
        <v>2752</v>
      </c>
      <c r="D289" s="8" t="s">
        <v>2753</v>
      </c>
      <c r="E289" s="8" t="s">
        <v>137</v>
      </c>
      <c r="F289" s="8" t="s">
        <v>738</v>
      </c>
      <c r="G289" s="8" t="s">
        <v>36</v>
      </c>
      <c r="H289" s="8" t="s">
        <v>2051</v>
      </c>
      <c r="I289" s="642">
        <v>44019</v>
      </c>
      <c r="J289" s="18" t="s">
        <v>2052</v>
      </c>
      <c r="K289" s="642">
        <v>44299</v>
      </c>
      <c r="L289" s="16">
        <f>IF(ISTEXT(Table15[[#This Row],[Engineering Approved Design Date]]),Table15[[#This Row],[Date Completed]]-Table15[[#This Row],[Date Assigned to Designer]],Table15[[#This Row],[Engineering Approved Design Date]]-Table15[[#This Row],[Date Completed]])</f>
        <v>280</v>
      </c>
      <c r="M289" s="642" t="s">
        <v>3058</v>
      </c>
      <c r="N289" s="642" t="s">
        <v>120</v>
      </c>
      <c r="O289" s="1025">
        <v>44299</v>
      </c>
      <c r="P289" s="21" t="s">
        <v>120</v>
      </c>
      <c r="Q289" s="340">
        <f>Table15[[#This Row],[KH Hourly Effort]]</f>
        <v>13180</v>
      </c>
      <c r="R289" s="1026" t="s">
        <v>1922</v>
      </c>
      <c r="S289" s="538" t="s">
        <v>709</v>
      </c>
      <c r="T289" s="538" t="s">
        <v>709</v>
      </c>
      <c r="U289" s="28">
        <v>13180</v>
      </c>
      <c r="V289" s="858">
        <f>14413+192</f>
        <v>14605</v>
      </c>
      <c r="W289" s="437"/>
      <c r="X289" s="538">
        <v>1635668.3</v>
      </c>
      <c r="Y289" s="550"/>
      <c r="Z289" s="538">
        <v>63317.31</v>
      </c>
      <c r="AA289" s="538">
        <f t="shared" si="2"/>
        <v>1698985.61</v>
      </c>
      <c r="AB289" s="21"/>
      <c r="AC289" s="569"/>
      <c r="AD289" s="1149"/>
      <c r="AE289" s="569"/>
      <c r="AF289" s="569"/>
      <c r="AG289" s="569"/>
      <c r="AH289" s="536"/>
      <c r="AI289" s="1028"/>
      <c r="AJ289" s="1029"/>
      <c r="AK289" s="1029"/>
      <c r="AL289" s="1030"/>
      <c r="AM289" s="542" t="s">
        <v>709</v>
      </c>
      <c r="AN289" s="924"/>
      <c r="AO289" s="925"/>
      <c r="AP289" s="926"/>
      <c r="AQ289" s="926"/>
      <c r="AR289" s="926"/>
      <c r="AS289" s="926"/>
      <c r="AT289" s="926"/>
      <c r="AU289" s="926"/>
      <c r="AV289" s="926"/>
      <c r="AW289" s="927"/>
      <c r="AX289" s="926"/>
      <c r="AY289" s="1538" t="s">
        <v>29</v>
      </c>
      <c r="AZ289" s="1530"/>
      <c r="BA289" s="1031">
        <v>4</v>
      </c>
      <c r="BB289" s="644"/>
      <c r="BC289" s="544"/>
      <c r="BD289" s="544"/>
      <c r="BE289" s="544"/>
      <c r="BF289" s="544"/>
      <c r="BG289" s="544"/>
      <c r="BH289" s="741"/>
      <c r="BI289" s="547" t="s">
        <v>709</v>
      </c>
      <c r="BJ289" s="547" t="s">
        <v>709</v>
      </c>
      <c r="BK289" s="547" t="s">
        <v>709</v>
      </c>
      <c r="BL289" s="547" t="s">
        <v>116</v>
      </c>
      <c r="BM289" s="547" t="s">
        <v>709</v>
      </c>
      <c r="BN289" s="547" t="s">
        <v>709</v>
      </c>
      <c r="BO289" s="547" t="s">
        <v>709</v>
      </c>
      <c r="BP289" s="547" t="s">
        <v>709</v>
      </c>
      <c r="BQ289" s="547" t="s">
        <v>709</v>
      </c>
      <c r="BR289" s="547">
        <v>192</v>
      </c>
      <c r="BS289" s="547">
        <v>14417</v>
      </c>
      <c r="BT289" s="547" t="s">
        <v>709</v>
      </c>
      <c r="BU289" s="547" t="s">
        <v>709</v>
      </c>
      <c r="BV289" s="547" t="s">
        <v>709</v>
      </c>
      <c r="BW289" s="547" t="s">
        <v>709</v>
      </c>
      <c r="BX289" s="547" t="s">
        <v>709</v>
      </c>
      <c r="BY289" s="547" t="s">
        <v>709</v>
      </c>
      <c r="BZ289" s="547" t="s">
        <v>709</v>
      </c>
      <c r="CA289" s="483"/>
      <c r="CB289" s="547">
        <v>287</v>
      </c>
      <c r="CC289" s="1481" t="b">
        <v>1</v>
      </c>
      <c r="CD289" t="str">
        <f>Table15[[#This Row],[Engineering Number]]&amp;Table15[[#This Row],[WO Number]]&amp;Table15[[#This Row],[Date Assigned to Designer]]&amp;Table15[[#This Row],[Date Completed]]</f>
        <v>VW2291205004401944299</v>
      </c>
    </row>
    <row r="290" spans="1:82" customFormat="1" ht="15" customHeight="1" x14ac:dyDescent="0.25">
      <c r="A290">
        <v>2021</v>
      </c>
      <c r="B290" s="8" t="s">
        <v>4</v>
      </c>
      <c r="C290" s="8" t="s">
        <v>3159</v>
      </c>
      <c r="D290" s="656" t="s">
        <v>3160</v>
      </c>
      <c r="E290" s="8" t="s">
        <v>393</v>
      </c>
      <c r="F290" s="8" t="s">
        <v>738</v>
      </c>
      <c r="G290" s="8" t="s">
        <v>1882</v>
      </c>
      <c r="H290" s="8" t="s">
        <v>59</v>
      </c>
      <c r="I290" s="642">
        <v>43962</v>
      </c>
      <c r="J290" s="18">
        <v>44309</v>
      </c>
      <c r="K290" s="642">
        <v>44307</v>
      </c>
      <c r="L290" s="16">
        <f>IF(ISTEXT(Table15[[#This Row],[Engineering Approved Design Date]]),Table15[[#This Row],[Date Completed]]-Table15[[#This Row],[Date Assigned to Designer]],Table15[[#This Row],[Engineering Approved Design Date]]-Table15[[#This Row],[Date Completed]])</f>
        <v>2</v>
      </c>
      <c r="M290" s="642"/>
      <c r="N290" s="642" t="s">
        <v>120</v>
      </c>
      <c r="O290" s="1025">
        <v>44307</v>
      </c>
      <c r="P290" s="21" t="s">
        <v>120</v>
      </c>
      <c r="Q290" s="340">
        <f>R290*AA290</f>
        <v>244883.35200000001</v>
      </c>
      <c r="R290" s="1026">
        <v>0.1</v>
      </c>
      <c r="S290" s="538" t="s">
        <v>709</v>
      </c>
      <c r="T290" s="538" t="s">
        <v>709</v>
      </c>
      <c r="U290" s="28" t="s">
        <v>709</v>
      </c>
      <c r="V290" s="858">
        <v>4975</v>
      </c>
      <c r="W290" s="437"/>
      <c r="X290" s="538">
        <v>2229662.62</v>
      </c>
      <c r="Y290" s="550"/>
      <c r="Z290" s="538">
        <v>219170.9</v>
      </c>
      <c r="AA290" s="538">
        <f t="shared" si="2"/>
        <v>2448833.52</v>
      </c>
      <c r="AB290" s="341"/>
      <c r="AC290" s="568" t="s">
        <v>116</v>
      </c>
      <c r="AD290" s="1157"/>
      <c r="AE290" s="579"/>
      <c r="AF290" s="579"/>
      <c r="AG290" s="579"/>
      <c r="AH290" s="553"/>
      <c r="AI290" s="1036"/>
      <c r="AJ290" s="1037"/>
      <c r="AK290" s="1037"/>
      <c r="AL290" s="1038"/>
      <c r="AM290" s="1522" t="s">
        <v>116</v>
      </c>
      <c r="AN290" s="1523">
        <v>45072</v>
      </c>
      <c r="AO290" s="1524">
        <v>11033677</v>
      </c>
      <c r="AP290" s="1525">
        <v>2355382.46</v>
      </c>
      <c r="AQ290" s="1525"/>
      <c r="AR290" s="1525">
        <v>227605.88</v>
      </c>
      <c r="AS290" s="1525">
        <f>IF(Table15[[#This Row],[PCTS Approved]]="N",0,Table15[[#This Row],[Investment Amount (1'#'#'#'#'#)]]+Table15[[#This Row],[Retirement Amount (3'#'#'#'#'#)]])</f>
        <v>2582988.34</v>
      </c>
      <c r="AT290" s="1525">
        <f>IF(Table15[[#This Row],[Approved Construction Cost]]=0,0,Table15[[#This Row],[Approved Construction Cost]]-Table15[[#This Row],[Construction Cost to Bill From]])</f>
        <v>134154.81999999983</v>
      </c>
      <c r="AU290" s="1525">
        <f>IFERROR(Table15[[#This Row],[Difference in Construction Cost]]*Table15[[#This Row],[Rate]],Table15[[#This Row],[Difference in Construction Cost]]*0.085)</f>
        <v>13415.481999999984</v>
      </c>
      <c r="AV290" s="1525">
        <v>29220</v>
      </c>
      <c r="AW290" s="1526" t="s">
        <v>3161</v>
      </c>
      <c r="AX290" s="1525">
        <v>0</v>
      </c>
      <c r="AY290" s="1518">
        <v>45200</v>
      </c>
      <c r="AZ290" s="333"/>
      <c r="BA290" s="859" t="s">
        <v>3162</v>
      </c>
      <c r="BB290" s="644" t="s">
        <v>1221</v>
      </c>
      <c r="BC290" s="544" t="s">
        <v>116</v>
      </c>
      <c r="BD290" s="544" t="s">
        <v>1066</v>
      </c>
      <c r="BE290" s="544" t="s">
        <v>709</v>
      </c>
      <c r="BF290" s="544" t="s">
        <v>709</v>
      </c>
      <c r="BG290" s="544" t="s">
        <v>709</v>
      </c>
      <c r="BH290" s="741" t="s">
        <v>3163</v>
      </c>
      <c r="BI290" s="547" t="s">
        <v>709</v>
      </c>
      <c r="BJ290" s="547" t="s">
        <v>709</v>
      </c>
      <c r="BK290" s="547" t="s">
        <v>709</v>
      </c>
      <c r="BL290" s="547" t="s">
        <v>116</v>
      </c>
      <c r="BM290" s="547">
        <v>55</v>
      </c>
      <c r="BN290" s="547">
        <v>4125</v>
      </c>
      <c r="BO290" s="547" t="s">
        <v>709</v>
      </c>
      <c r="BP290" s="547" t="s">
        <v>709</v>
      </c>
      <c r="BQ290" s="547">
        <v>93</v>
      </c>
      <c r="BR290" s="547">
        <v>367</v>
      </c>
      <c r="BS290" s="547">
        <v>630</v>
      </c>
      <c r="BT290" s="547" t="s">
        <v>709</v>
      </c>
      <c r="BU290" s="547" t="s">
        <v>709</v>
      </c>
      <c r="BV290" s="547" t="s">
        <v>709</v>
      </c>
      <c r="BW290" s="547" t="s">
        <v>709</v>
      </c>
      <c r="BX290" s="547" t="s">
        <v>745</v>
      </c>
      <c r="BY290" s="547" t="s">
        <v>709</v>
      </c>
      <c r="BZ290" s="547" t="s">
        <v>709</v>
      </c>
      <c r="CA290" s="483"/>
      <c r="CB290" s="547">
        <v>288</v>
      </c>
      <c r="CC290" s="1481" t="b">
        <v>1</v>
      </c>
      <c r="CD290" t="str">
        <f>Table15[[#This Row],[Engineering Number]]&amp;Table15[[#This Row],[WO Number]]&amp;Table15[[#This Row],[Date Assigned to Designer]]&amp;Table15[[#This Row],[Date Completed]]</f>
        <v>N133361292784396244307</v>
      </c>
    </row>
    <row r="291" spans="1:82" customFormat="1" ht="15" customHeight="1" x14ac:dyDescent="0.25">
      <c r="A291">
        <v>2021</v>
      </c>
      <c r="B291" s="8" t="s">
        <v>769</v>
      </c>
      <c r="C291" s="8" t="s">
        <v>1186</v>
      </c>
      <c r="D291" s="656" t="s">
        <v>1187</v>
      </c>
      <c r="E291" s="8" t="s">
        <v>393</v>
      </c>
      <c r="F291" s="8" t="s">
        <v>738</v>
      </c>
      <c r="G291" s="8" t="s">
        <v>1882</v>
      </c>
      <c r="H291" s="8" t="s">
        <v>59</v>
      </c>
      <c r="I291" s="642">
        <v>44105</v>
      </c>
      <c r="J291" s="18">
        <v>44309</v>
      </c>
      <c r="K291" s="642">
        <v>44307</v>
      </c>
      <c r="L291" s="16">
        <f>IF(ISTEXT(Table15[[#This Row],[Engineering Approved Design Date]]),Table15[[#This Row],[Date Completed]]-Table15[[#This Row],[Date Assigned to Designer]],Table15[[#This Row],[Engineering Approved Design Date]]-Table15[[#This Row],[Date Completed]])</f>
        <v>2</v>
      </c>
      <c r="M291" s="642"/>
      <c r="N291" s="642" t="s">
        <v>120</v>
      </c>
      <c r="O291" s="1025">
        <v>44307</v>
      </c>
      <c r="P291" s="21" t="s">
        <v>739</v>
      </c>
      <c r="Q291" s="340">
        <f>(Table15[[#This Row],[Construction Cost to Bill From]]*0.085)+(3*5250)</f>
        <v>101557.56375</v>
      </c>
      <c r="R291" s="1026" t="s">
        <v>794</v>
      </c>
      <c r="S291" s="538" t="s">
        <v>709</v>
      </c>
      <c r="T291" s="538" t="s">
        <v>709</v>
      </c>
      <c r="U291" s="300" t="s">
        <v>709</v>
      </c>
      <c r="V291" s="858">
        <f>11108+1550+80+546</f>
        <v>13284</v>
      </c>
      <c r="W291" s="437"/>
      <c r="X291" s="538">
        <v>763186.12</v>
      </c>
      <c r="Y291" s="550"/>
      <c r="Z291" s="538">
        <v>246314.63</v>
      </c>
      <c r="AA291" s="551">
        <f t="shared" si="2"/>
        <v>1009500.75</v>
      </c>
      <c r="AB291" s="341"/>
      <c r="AC291" s="568" t="s">
        <v>709</v>
      </c>
      <c r="AD291" s="1157"/>
      <c r="AE291" s="579"/>
      <c r="AF291" s="579"/>
      <c r="AG291" s="579"/>
      <c r="AH291" s="553"/>
      <c r="AI291" s="1036"/>
      <c r="AJ291" s="1037"/>
      <c r="AK291" s="1037"/>
      <c r="AL291" s="1038"/>
      <c r="AM291" s="536" t="s">
        <v>116</v>
      </c>
      <c r="AN291" s="903" t="s">
        <v>709</v>
      </c>
      <c r="AO291" s="1536">
        <v>11039270</v>
      </c>
      <c r="AP291" s="1537"/>
      <c r="AQ291" s="1537"/>
      <c r="AR291" s="1537"/>
      <c r="AS291" s="888">
        <f>IF(Table15[[#This Row],[PCTS Approved]]="N",0,Table15[[#This Row],[Investment Amount (1'#'#'#'#'#)]]+Table15[[#This Row],[Retirement Amount (3'#'#'#'#'#)]])</f>
        <v>0</v>
      </c>
      <c r="AT291" s="888">
        <f>IF(Table15[[#This Row],[Approved Construction Cost]]=0,0,Table15[[#This Row],[Approved Construction Cost]]-Table15[[#This Row],[Construction Cost to Bill From]])</f>
        <v>0</v>
      </c>
      <c r="AU291" s="888">
        <f>IFERROR(Table15[[#This Row],[Difference in Construction Cost]]*Table15[[#This Row],[Rate]],Table15[[#This Row],[Difference in Construction Cost]]*0.085)</f>
        <v>0</v>
      </c>
      <c r="AV291" s="905"/>
      <c r="AW291" s="1509"/>
      <c r="AX291" s="888"/>
      <c r="AY291" s="636" t="s">
        <v>709</v>
      </c>
      <c r="AZ291" s="333">
        <v>164</v>
      </c>
      <c r="BA291" s="859" t="s">
        <v>1188</v>
      </c>
      <c r="BB291" s="644" t="s">
        <v>1189</v>
      </c>
      <c r="BC291" s="544" t="s">
        <v>116</v>
      </c>
      <c r="BD291" s="544" t="s">
        <v>1066</v>
      </c>
      <c r="BE291" s="544" t="s">
        <v>1190</v>
      </c>
      <c r="BF291" s="544" t="s">
        <v>709</v>
      </c>
      <c r="BG291" s="544" t="s">
        <v>709</v>
      </c>
      <c r="BH291" s="741" t="s">
        <v>1191</v>
      </c>
      <c r="BI291" s="547" t="s">
        <v>709</v>
      </c>
      <c r="BJ291" s="547" t="s">
        <v>709</v>
      </c>
      <c r="BK291" s="547" t="s">
        <v>709</v>
      </c>
      <c r="BL291" s="547" t="s">
        <v>116</v>
      </c>
      <c r="BM291" s="547" t="s">
        <v>709</v>
      </c>
      <c r="BN291" s="547" t="s">
        <v>709</v>
      </c>
      <c r="BO291" s="547" t="s">
        <v>709</v>
      </c>
      <c r="BP291" s="547" t="s">
        <v>709</v>
      </c>
      <c r="BQ291" s="547">
        <v>546</v>
      </c>
      <c r="BR291" s="547">
        <v>507</v>
      </c>
      <c r="BS291" s="547">
        <v>1553</v>
      </c>
      <c r="BT291" s="547" t="s">
        <v>709</v>
      </c>
      <c r="BU291" s="547" t="s">
        <v>709</v>
      </c>
      <c r="BV291" s="547" t="s">
        <v>709</v>
      </c>
      <c r="BW291" s="547" t="s">
        <v>709</v>
      </c>
      <c r="BX291" s="547" t="s">
        <v>709</v>
      </c>
      <c r="BY291" s="547" t="s">
        <v>709</v>
      </c>
      <c r="BZ291" s="547" t="s">
        <v>709</v>
      </c>
      <c r="CA291" s="483" t="s">
        <v>769</v>
      </c>
      <c r="CB291" s="547">
        <v>289</v>
      </c>
      <c r="CC291" s="1481" t="b">
        <v>1</v>
      </c>
      <c r="CD291" t="str">
        <f>Table15[[#This Row],[Engineering Number]]&amp;Table15[[#This Row],[WO Number]]&amp;Table15[[#This Row],[Date Assigned to Designer]]&amp;Table15[[#This Row],[Date Completed]]</f>
        <v>RS6621021314410544307</v>
      </c>
    </row>
    <row r="292" spans="1:82" customFormat="1" ht="15" customHeight="1" x14ac:dyDescent="0.25">
      <c r="A292">
        <v>2021</v>
      </c>
      <c r="B292" s="8" t="s">
        <v>1108</v>
      </c>
      <c r="C292" s="8" t="s">
        <v>1192</v>
      </c>
      <c r="D292" s="656" t="s">
        <v>1193</v>
      </c>
      <c r="E292" s="8" t="s">
        <v>249</v>
      </c>
      <c r="F292" s="8" t="s">
        <v>1111</v>
      </c>
      <c r="G292" s="8" t="s">
        <v>40</v>
      </c>
      <c r="H292" s="8" t="s">
        <v>59</v>
      </c>
      <c r="I292" s="642">
        <v>44176</v>
      </c>
      <c r="J292" s="18">
        <v>44309</v>
      </c>
      <c r="K292" s="642">
        <v>44309</v>
      </c>
      <c r="L292" s="16">
        <f>IF(ISTEXT(Table15[[#This Row],[Engineering Approved Design Date]]),Table15[[#This Row],[Date Completed]]-Table15[[#This Row],[Date Assigned to Designer]],Table15[[#This Row],[Engineering Approved Design Date]]-Table15[[#This Row],[Date Completed]])</f>
        <v>0</v>
      </c>
      <c r="M292" s="642"/>
      <c r="N292" s="642" t="s">
        <v>120</v>
      </c>
      <c r="O292" s="1025">
        <v>44317</v>
      </c>
      <c r="P292" s="21" t="s">
        <v>739</v>
      </c>
      <c r="Q292" s="340">
        <f>(Table15[[#This Row],[Construction Cost to Bill From]]*0.085)+7750</f>
        <v>30205.770050000003</v>
      </c>
      <c r="R292" s="1026" t="s">
        <v>1055</v>
      </c>
      <c r="S292" s="538" t="s">
        <v>709</v>
      </c>
      <c r="T292" s="538" t="s">
        <v>709</v>
      </c>
      <c r="U292" s="28" t="s">
        <v>709</v>
      </c>
      <c r="V292" s="857"/>
      <c r="W292" s="440"/>
      <c r="X292" s="551">
        <v>237292.7</v>
      </c>
      <c r="Y292" s="550"/>
      <c r="Z292" s="551">
        <v>26892.83</v>
      </c>
      <c r="AA292" s="551">
        <f t="shared" si="2"/>
        <v>264185.53000000003</v>
      </c>
      <c r="AB292" s="341"/>
      <c r="AC292" s="568" t="s">
        <v>116</v>
      </c>
      <c r="AD292" s="1157"/>
      <c r="AE292" s="579"/>
      <c r="AF292" s="579"/>
      <c r="AG292" s="579"/>
      <c r="AH292" s="553"/>
      <c r="AI292" s="1036"/>
      <c r="AJ292" s="1037"/>
      <c r="AK292" s="1037"/>
      <c r="AL292" s="1038"/>
      <c r="AM292" s="536" t="s">
        <v>116</v>
      </c>
      <c r="AN292" s="903" t="s">
        <v>709</v>
      </c>
      <c r="AO292" s="1536" t="s">
        <v>115</v>
      </c>
      <c r="AP292" s="1537"/>
      <c r="AQ292" s="1537"/>
      <c r="AR292" s="1537"/>
      <c r="AS292" s="888">
        <f>IF(Table15[[#This Row],[PCTS Approved]]="N",0,Table15[[#This Row],[Investment Amount (1'#'#'#'#'#)]]+Table15[[#This Row],[Retirement Amount (3'#'#'#'#'#)]])</f>
        <v>0</v>
      </c>
      <c r="AT292" s="888">
        <f>IF(Table15[[#This Row],[Approved Construction Cost]]=0,0,Table15[[#This Row],[Approved Construction Cost]]-Table15[[#This Row],[Construction Cost to Bill From]])</f>
        <v>0</v>
      </c>
      <c r="AU292" s="888">
        <f>IFERROR(Table15[[#This Row],[Difference in Construction Cost]]*Table15[[#This Row],[Rate]],Table15[[#This Row],[Difference in Construction Cost]]*0.085)</f>
        <v>0</v>
      </c>
      <c r="AV292" s="905"/>
      <c r="AW292" s="1509"/>
      <c r="AX292" s="888"/>
      <c r="AY292" s="636" t="s">
        <v>709</v>
      </c>
      <c r="AZ292" s="333">
        <v>180</v>
      </c>
      <c r="BA292" s="859" t="s">
        <v>1194</v>
      </c>
      <c r="BB292" s="644" t="s">
        <v>1174</v>
      </c>
      <c r="BC292" s="544" t="s">
        <v>116</v>
      </c>
      <c r="BD292" s="544" t="s">
        <v>709</v>
      </c>
      <c r="BE292" s="544" t="s">
        <v>709</v>
      </c>
      <c r="BF292" s="544" t="s">
        <v>709</v>
      </c>
      <c r="BG292" s="544" t="s">
        <v>709</v>
      </c>
      <c r="BH292" s="741"/>
      <c r="BI292" s="547" t="s">
        <v>709</v>
      </c>
      <c r="BJ292" s="547" t="s">
        <v>709</v>
      </c>
      <c r="BK292" s="547" t="s">
        <v>709</v>
      </c>
      <c r="BL292" s="547" t="s">
        <v>116</v>
      </c>
      <c r="BM292" s="547" t="s">
        <v>709</v>
      </c>
      <c r="BN292" s="547" t="s">
        <v>709</v>
      </c>
      <c r="BO292" s="547" t="s">
        <v>709</v>
      </c>
      <c r="BP292" s="547">
        <v>3</v>
      </c>
      <c r="BQ292" s="547">
        <v>23</v>
      </c>
      <c r="BR292" s="547">
        <v>5</v>
      </c>
      <c r="BS292" s="547" t="s">
        <v>709</v>
      </c>
      <c r="BT292" s="547" t="s">
        <v>709</v>
      </c>
      <c r="BU292" s="547" t="s">
        <v>709</v>
      </c>
      <c r="BV292" s="547" t="s">
        <v>709</v>
      </c>
      <c r="BW292" s="547">
        <v>1</v>
      </c>
      <c r="BX292" s="547" t="s">
        <v>709</v>
      </c>
      <c r="BY292" s="547" t="s">
        <v>709</v>
      </c>
      <c r="BZ292" s="547" t="s">
        <v>709</v>
      </c>
      <c r="CA292" s="483" t="s">
        <v>2</v>
      </c>
      <c r="CB292" s="547">
        <v>290</v>
      </c>
      <c r="CC292" s="1481" t="b">
        <v>1</v>
      </c>
      <c r="CD292" t="str">
        <f>Table15[[#This Row],[Engineering Number]]&amp;Table15[[#This Row],[WO Number]]&amp;Table15[[#This Row],[Date Assigned to Designer]]&amp;Table15[[#This Row],[Date Completed]]</f>
        <v>RS6931091654417644309</v>
      </c>
    </row>
    <row r="293" spans="1:82" customFormat="1" ht="15" customHeight="1" x14ac:dyDescent="0.25">
      <c r="A293">
        <v>2021</v>
      </c>
      <c r="B293" s="8" t="s">
        <v>1162</v>
      </c>
      <c r="C293" s="8" t="s">
        <v>3172</v>
      </c>
      <c r="D293" s="656" t="s">
        <v>3173</v>
      </c>
      <c r="E293" s="8" t="s">
        <v>2375</v>
      </c>
      <c r="F293" s="8" t="s">
        <v>738</v>
      </c>
      <c r="G293" s="8" t="s">
        <v>36</v>
      </c>
      <c r="H293" s="8" t="s">
        <v>59</v>
      </c>
      <c r="I293" s="642">
        <v>44166</v>
      </c>
      <c r="J293" s="18">
        <v>44316</v>
      </c>
      <c r="K293" s="642">
        <v>44313</v>
      </c>
      <c r="L293" s="16">
        <f>IF(ISTEXT(Table15[[#This Row],[Engineering Approved Design Date]]),Table15[[#This Row],[Date Completed]]-Table15[[#This Row],[Date Assigned to Designer]],Table15[[#This Row],[Engineering Approved Design Date]]-Table15[[#This Row],[Date Completed]])</f>
        <v>3</v>
      </c>
      <c r="M293" s="642"/>
      <c r="N293" s="642" t="s">
        <v>120</v>
      </c>
      <c r="O293" s="1025">
        <v>44317</v>
      </c>
      <c r="P293" s="21" t="s">
        <v>739</v>
      </c>
      <c r="Q293" s="340">
        <f>R293*AA293</f>
        <v>52375.771000000008</v>
      </c>
      <c r="R293" s="1026">
        <v>7.0000000000000007E-2</v>
      </c>
      <c r="S293" s="538" t="s">
        <v>709</v>
      </c>
      <c r="T293" s="538" t="s">
        <v>709</v>
      </c>
      <c r="U293" s="28" t="s">
        <v>709</v>
      </c>
      <c r="V293" s="858">
        <v>6647</v>
      </c>
      <c r="W293" s="437"/>
      <c r="X293" s="538">
        <v>715985.12</v>
      </c>
      <c r="Y293" s="550"/>
      <c r="Z293" s="538">
        <v>32240.18</v>
      </c>
      <c r="AA293" s="538">
        <f t="shared" si="2"/>
        <v>748225.3</v>
      </c>
      <c r="AB293" s="341"/>
      <c r="AC293" s="568" t="s">
        <v>709</v>
      </c>
      <c r="AD293" s="1157"/>
      <c r="AE293" s="568"/>
      <c r="AF293" s="568"/>
      <c r="AG293" s="568"/>
      <c r="AH293" s="183"/>
      <c r="AI293" s="1036"/>
      <c r="AJ293" s="1037"/>
      <c r="AK293" s="1037"/>
      <c r="AL293" s="1038"/>
      <c r="AM293" s="1522" t="s">
        <v>116</v>
      </c>
      <c r="AN293" s="1523">
        <v>44691</v>
      </c>
      <c r="AO293" s="1524">
        <v>11033768</v>
      </c>
      <c r="AP293" s="1525">
        <v>796415.98</v>
      </c>
      <c r="AQ293" s="1525"/>
      <c r="AR293" s="1525">
        <v>22406.59</v>
      </c>
      <c r="AS293" s="1525">
        <f>IF(Table15[[#This Row],[PCTS Approved]]="N",0,Table15[[#This Row],[Investment Amount (1'#'#'#'#'#)]]+Table15[[#This Row],[Retirement Amount (3'#'#'#'#'#)]])</f>
        <v>818822.57</v>
      </c>
      <c r="AT293" s="1525">
        <f>IF(Table15[[#This Row],[Approved Construction Cost]]=0,0,Table15[[#This Row],[Approved Construction Cost]]-Table15[[#This Row],[Construction Cost to Bill From]])</f>
        <v>70597.269999999902</v>
      </c>
      <c r="AU293" s="1525">
        <f>IFERROR(Table15[[#This Row],[Difference in Construction Cost]]*Table15[[#This Row],[Rate]],Table15[[#This Row],[Difference in Construction Cost]]*0.085)</f>
        <v>4941.8088999999936</v>
      </c>
      <c r="AV293" s="1525" t="s">
        <v>709</v>
      </c>
      <c r="AW293" s="1526" t="s">
        <v>3174</v>
      </c>
      <c r="AX293" s="1525">
        <f>Table15[[#This Row],[Reconcile Amount]]</f>
        <v>4941.8088999999936</v>
      </c>
      <c r="AY293" s="1518">
        <v>45008</v>
      </c>
      <c r="AZ293" s="333"/>
      <c r="BA293" s="1031" t="s">
        <v>3175</v>
      </c>
      <c r="BB293" s="644"/>
      <c r="BC293" s="544" t="s">
        <v>116</v>
      </c>
      <c r="BD293" s="544" t="s">
        <v>709</v>
      </c>
      <c r="BE293" s="544" t="s">
        <v>709</v>
      </c>
      <c r="BF293" s="544" t="s">
        <v>3176</v>
      </c>
      <c r="BG293" s="544" t="s">
        <v>709</v>
      </c>
      <c r="BH293" s="741"/>
      <c r="BI293" s="547" t="s">
        <v>709</v>
      </c>
      <c r="BJ293" s="547" t="s">
        <v>709</v>
      </c>
      <c r="BK293" s="547" t="s">
        <v>709</v>
      </c>
      <c r="BL293" s="547" t="s">
        <v>116</v>
      </c>
      <c r="BM293" s="547" t="s">
        <v>709</v>
      </c>
      <c r="BN293" s="547" t="s">
        <v>709</v>
      </c>
      <c r="BO293" s="547" t="s">
        <v>709</v>
      </c>
      <c r="BP293" s="547" t="s">
        <v>709</v>
      </c>
      <c r="BQ293" s="547" t="s">
        <v>709</v>
      </c>
      <c r="BR293" s="547">
        <v>6647</v>
      </c>
      <c r="BS293" s="547" t="s">
        <v>709</v>
      </c>
      <c r="BT293" s="547" t="s">
        <v>745</v>
      </c>
      <c r="BU293" s="547" t="s">
        <v>709</v>
      </c>
      <c r="BV293" s="547" t="s">
        <v>745</v>
      </c>
      <c r="BW293" s="547" t="s">
        <v>709</v>
      </c>
      <c r="BX293" s="547" t="s">
        <v>745</v>
      </c>
      <c r="BY293" s="547" t="s">
        <v>745</v>
      </c>
      <c r="BZ293" s="547" t="s">
        <v>709</v>
      </c>
      <c r="CA293" s="483"/>
      <c r="CB293" s="547">
        <v>292</v>
      </c>
      <c r="CC293" s="1481" t="b">
        <v>1</v>
      </c>
      <c r="CD293" t="str">
        <f>Table15[[#This Row],[Engineering Number]]&amp;Table15[[#This Row],[WO Number]]&amp;Table15[[#This Row],[Date Assigned to Designer]]&amp;Table15[[#This Row],[Date Completed]]</f>
        <v>PRIM4731293014416644313</v>
      </c>
    </row>
    <row r="294" spans="1:82" customFormat="1" ht="15" customHeight="1" x14ac:dyDescent="0.25">
      <c r="A294">
        <v>2021</v>
      </c>
      <c r="B294" s="8" t="s">
        <v>1108</v>
      </c>
      <c r="C294" s="8" t="s">
        <v>3167</v>
      </c>
      <c r="D294" s="656" t="s">
        <v>3168</v>
      </c>
      <c r="E294" s="8" t="s">
        <v>361</v>
      </c>
      <c r="F294" s="8" t="s">
        <v>1111</v>
      </c>
      <c r="G294" s="8" t="s">
        <v>40</v>
      </c>
      <c r="H294" s="8" t="s">
        <v>59</v>
      </c>
      <c r="I294" s="642">
        <v>44229</v>
      </c>
      <c r="J294" s="18">
        <v>44313</v>
      </c>
      <c r="K294" s="642">
        <v>44313</v>
      </c>
      <c r="L294" s="16">
        <f>IF(ISTEXT(Table15[[#This Row],[Engineering Approved Design Date]]),Table15[[#This Row],[Date Completed]]-Table15[[#This Row],[Date Assigned to Designer]],Table15[[#This Row],[Engineering Approved Design Date]]-Table15[[#This Row],[Date Completed]])</f>
        <v>0</v>
      </c>
      <c r="M294" s="642"/>
      <c r="N294" s="642" t="s">
        <v>120</v>
      </c>
      <c r="O294" s="1025">
        <v>44317</v>
      </c>
      <c r="P294" s="21" t="s">
        <v>739</v>
      </c>
      <c r="Q294" s="340">
        <f>(Table15[[#This Row],[Construction Cost to Bill From]]*0.085)+7750</f>
        <v>26336.4876</v>
      </c>
      <c r="R294" s="1026" t="s">
        <v>1055</v>
      </c>
      <c r="S294" s="538" t="s">
        <v>709</v>
      </c>
      <c r="T294" s="538" t="s">
        <v>709</v>
      </c>
      <c r="U294" s="28" t="s">
        <v>709</v>
      </c>
      <c r="V294" s="858"/>
      <c r="W294" s="437"/>
      <c r="X294" s="538">
        <v>161247.20000000001</v>
      </c>
      <c r="Y294" s="550"/>
      <c r="Z294" s="538">
        <v>57417.36</v>
      </c>
      <c r="AA294" s="538">
        <f t="shared" si="2"/>
        <v>218664.56</v>
      </c>
      <c r="AB294" s="341"/>
      <c r="AC294" s="568" t="s">
        <v>116</v>
      </c>
      <c r="AD294" s="1157"/>
      <c r="AE294" s="579"/>
      <c r="AF294" s="579"/>
      <c r="AG294" s="579"/>
      <c r="AH294" s="553"/>
      <c r="AI294" s="1036"/>
      <c r="AJ294" s="1037"/>
      <c r="AK294" s="1037"/>
      <c r="AL294" s="1038"/>
      <c r="AM294" s="1522" t="s">
        <v>116</v>
      </c>
      <c r="AN294" s="1523">
        <v>44384</v>
      </c>
      <c r="AO294" s="1524" t="s">
        <v>115</v>
      </c>
      <c r="AP294" s="1525">
        <v>101931.89</v>
      </c>
      <c r="AQ294" s="1525"/>
      <c r="AR294" s="1525">
        <v>21034.65</v>
      </c>
      <c r="AS294" s="1525">
        <f>IF(Table15[[#This Row],[PCTS Approved]]="N",0,Table15[[#This Row],[Investment Amount (1'#'#'#'#'#)]]+Table15[[#This Row],[Retirement Amount (3'#'#'#'#'#)]])</f>
        <v>122966.54000000001</v>
      </c>
      <c r="AT294" s="1525">
        <f>IF(Table15[[#This Row],[Approved Construction Cost]]=0,0,Table15[[#This Row],[Approved Construction Cost]]-Table15[[#This Row],[Construction Cost to Bill From]])</f>
        <v>-95698.01999999999</v>
      </c>
      <c r="AU294" s="1525">
        <f>(Table15[[#This Row],[Difference in Construction Cost]]*0.085)</f>
        <v>-8134.3316999999997</v>
      </c>
      <c r="AV294" s="1525" t="s">
        <v>709</v>
      </c>
      <c r="AW294" s="1526" t="s">
        <v>2874</v>
      </c>
      <c r="AX294" s="1525">
        <v>-8134.3316999999997</v>
      </c>
      <c r="AY294" s="1518">
        <v>44501</v>
      </c>
      <c r="AZ294" s="1532"/>
      <c r="BA294" s="1031" t="s">
        <v>3169</v>
      </c>
      <c r="BB294" s="644" t="s">
        <v>3170</v>
      </c>
      <c r="BC294" s="544"/>
      <c r="BD294" s="544"/>
      <c r="BE294" s="544"/>
      <c r="BF294" s="544"/>
      <c r="BG294" s="544"/>
      <c r="BH294" s="741"/>
      <c r="BI294" s="547" t="s">
        <v>709</v>
      </c>
      <c r="BJ294" s="547" t="s">
        <v>709</v>
      </c>
      <c r="BK294" s="547" t="s">
        <v>709</v>
      </c>
      <c r="BL294" s="547" t="s">
        <v>116</v>
      </c>
      <c r="BM294" s="547" t="s">
        <v>709</v>
      </c>
      <c r="BN294" s="547" t="s">
        <v>709</v>
      </c>
      <c r="BO294" s="547" t="s">
        <v>709</v>
      </c>
      <c r="BP294" s="547">
        <v>2</v>
      </c>
      <c r="BQ294" s="547">
        <v>5</v>
      </c>
      <c r="BR294" s="547" t="s">
        <v>709</v>
      </c>
      <c r="BS294" s="547" t="s">
        <v>709</v>
      </c>
      <c r="BT294" s="547" t="s">
        <v>745</v>
      </c>
      <c r="BU294" s="547" t="s">
        <v>709</v>
      </c>
      <c r="BV294" s="547">
        <v>1</v>
      </c>
      <c r="BW294" s="547">
        <v>1</v>
      </c>
      <c r="BX294" s="547" t="s">
        <v>745</v>
      </c>
      <c r="BY294" s="547" t="s">
        <v>745</v>
      </c>
      <c r="BZ294" s="547" t="s">
        <v>709</v>
      </c>
      <c r="CA294" s="483" t="s">
        <v>769</v>
      </c>
      <c r="CB294" s="547">
        <v>291</v>
      </c>
      <c r="CC294" s="1481" t="b">
        <v>1</v>
      </c>
      <c r="CD294" t="str">
        <f>Table15[[#This Row],[Engineering Number]]&amp;Table15[[#This Row],[WO Number]]&amp;Table15[[#This Row],[Date Assigned to Designer]]&amp;Table15[[#This Row],[Date Completed]]</f>
        <v>RS8081021344422944313</v>
      </c>
    </row>
    <row r="295" spans="1:82" customFormat="1" ht="15" customHeight="1" x14ac:dyDescent="0.25">
      <c r="A295">
        <v>2021</v>
      </c>
      <c r="B295" s="8" t="s">
        <v>4</v>
      </c>
      <c r="C295" s="8" t="s">
        <v>2851</v>
      </c>
      <c r="D295" s="8" t="s">
        <v>2852</v>
      </c>
      <c r="E295" s="8" t="s">
        <v>818</v>
      </c>
      <c r="F295" s="8" t="s">
        <v>919</v>
      </c>
      <c r="G295" s="8" t="s">
        <v>36</v>
      </c>
      <c r="H295" s="8" t="s">
        <v>3178</v>
      </c>
      <c r="I295" s="642">
        <v>43958</v>
      </c>
      <c r="J295" s="18" t="s">
        <v>2052</v>
      </c>
      <c r="K295" s="642">
        <v>44316</v>
      </c>
      <c r="L295" s="16">
        <f>IF(ISTEXT(Table15[[#This Row],[Engineering Approved Design Date]]),Table15[[#This Row],[Date Completed]]-Table15[[#This Row],[Date Assigned to Designer]],Table15[[#This Row],[Engineering Approved Design Date]]-Table15[[#This Row],[Date Completed]])</f>
        <v>358</v>
      </c>
      <c r="M295" s="642" t="s">
        <v>3179</v>
      </c>
      <c r="N295" s="642" t="s">
        <v>120</v>
      </c>
      <c r="O295" s="1025">
        <v>44317</v>
      </c>
      <c r="P295" s="21" t="s">
        <v>739</v>
      </c>
      <c r="Q295" s="340">
        <v>17615</v>
      </c>
      <c r="R295" s="1026" t="s">
        <v>1922</v>
      </c>
      <c r="S295" s="551" t="s">
        <v>709</v>
      </c>
      <c r="T295" s="538" t="s">
        <v>709</v>
      </c>
      <c r="U295" s="28">
        <v>17615</v>
      </c>
      <c r="V295" s="857">
        <v>1096</v>
      </c>
      <c r="W295" s="440"/>
      <c r="X295" s="551">
        <v>708243.37</v>
      </c>
      <c r="Y295" s="551"/>
      <c r="Z295" s="551">
        <v>20312.810000000001</v>
      </c>
      <c r="AA295" s="538">
        <f t="shared" si="2"/>
        <v>728556.18</v>
      </c>
      <c r="AB295" s="21"/>
      <c r="AC295" s="569"/>
      <c r="AD295" s="1149"/>
      <c r="AE295" s="580"/>
      <c r="AF295" s="580"/>
      <c r="AG295" s="580"/>
      <c r="AH295" s="542"/>
      <c r="AI295" s="1028"/>
      <c r="AJ295" s="1029"/>
      <c r="AK295" s="1029"/>
      <c r="AL295" s="1030"/>
      <c r="AM295" s="542" t="s">
        <v>709</v>
      </c>
      <c r="AN295" s="924"/>
      <c r="AO295" s="925"/>
      <c r="AP295" s="926"/>
      <c r="AQ295" s="926"/>
      <c r="AR295" s="926"/>
      <c r="AS295" s="926"/>
      <c r="AT295" s="926"/>
      <c r="AU295" s="926"/>
      <c r="AV295" s="926"/>
      <c r="AW295" s="927"/>
      <c r="AX295" s="926"/>
      <c r="AY295" s="1538" t="s">
        <v>29</v>
      </c>
      <c r="AZ295" s="1530"/>
      <c r="BA295" s="1031">
        <v>12</v>
      </c>
      <c r="BB295" s="644"/>
      <c r="BC295" s="544"/>
      <c r="BD295" s="544"/>
      <c r="BE295" s="544"/>
      <c r="BF295" s="544"/>
      <c r="BG295" s="544"/>
      <c r="BH295" s="741"/>
      <c r="BI295" s="547" t="s">
        <v>709</v>
      </c>
      <c r="BJ295" s="547" t="s">
        <v>709</v>
      </c>
      <c r="BK295" s="547" t="s">
        <v>709</v>
      </c>
      <c r="BL295" s="547" t="s">
        <v>116</v>
      </c>
      <c r="BM295" s="547" t="s">
        <v>709</v>
      </c>
      <c r="BN295" s="547" t="s">
        <v>709</v>
      </c>
      <c r="BO295" s="547" t="s">
        <v>709</v>
      </c>
      <c r="BP295" s="547">
        <v>446</v>
      </c>
      <c r="BQ295" s="547" t="s">
        <v>709</v>
      </c>
      <c r="BR295" s="547" t="s">
        <v>709</v>
      </c>
      <c r="BS295" s="547">
        <v>671</v>
      </c>
      <c r="BT295" s="547" t="s">
        <v>745</v>
      </c>
      <c r="BU295" s="547" t="s">
        <v>709</v>
      </c>
      <c r="BV295" s="547" t="s">
        <v>745</v>
      </c>
      <c r="BW295" s="547" t="s">
        <v>709</v>
      </c>
      <c r="BX295" s="547" t="s">
        <v>745</v>
      </c>
      <c r="BY295" s="547" t="s">
        <v>745</v>
      </c>
      <c r="BZ295" s="547" t="s">
        <v>709</v>
      </c>
      <c r="CA295" s="483"/>
      <c r="CB295" s="547">
        <v>293</v>
      </c>
      <c r="CC295" s="1481" t="b">
        <v>1</v>
      </c>
      <c r="CD295" t="str">
        <f>Table15[[#This Row],[Engineering Number]]&amp;Table15[[#This Row],[WO Number]]&amp;Table15[[#This Row],[Date Assigned to Designer]]&amp;Table15[[#This Row],[Date Completed]]</f>
        <v>SC177521356914395844316</v>
      </c>
    </row>
    <row r="296" spans="1:82" customFormat="1" ht="15" customHeight="1" x14ac:dyDescent="0.25">
      <c r="A296">
        <v>2020</v>
      </c>
      <c r="B296" s="8" t="s">
        <v>4</v>
      </c>
      <c r="C296" s="8" t="s">
        <v>2455</v>
      </c>
      <c r="D296" s="8" t="s">
        <v>2456</v>
      </c>
      <c r="E296" s="8" t="s">
        <v>2457</v>
      </c>
      <c r="F296" s="8" t="s">
        <v>919</v>
      </c>
      <c r="G296" s="8" t="s">
        <v>40</v>
      </c>
      <c r="H296" s="8" t="s">
        <v>2051</v>
      </c>
      <c r="I296" s="642">
        <v>43761</v>
      </c>
      <c r="J296" s="18" t="s">
        <v>2052</v>
      </c>
      <c r="K296" s="642">
        <v>44320</v>
      </c>
      <c r="L296" s="16">
        <f>IF(ISTEXT(Table15[[#This Row],[Engineering Approved Design Date]]),Table15[[#This Row],[Date Completed]]-Table15[[#This Row],[Date Assigned to Designer]],Table15[[#This Row],[Engineering Approved Design Date]]-Table15[[#This Row],[Date Completed]])</f>
        <v>559</v>
      </c>
      <c r="M296" s="642" t="s">
        <v>3181</v>
      </c>
      <c r="N296" s="642" t="s">
        <v>120</v>
      </c>
      <c r="O296" s="1025">
        <v>44320</v>
      </c>
      <c r="P296" s="21" t="s">
        <v>739</v>
      </c>
      <c r="Q296" s="340">
        <v>11002.5</v>
      </c>
      <c r="R296" s="1026" t="s">
        <v>1922</v>
      </c>
      <c r="S296" s="538" t="s">
        <v>709</v>
      </c>
      <c r="T296" s="538" t="s">
        <v>709</v>
      </c>
      <c r="U296" s="28">
        <v>11002.5</v>
      </c>
      <c r="V296" s="858">
        <v>3932</v>
      </c>
      <c r="W296" s="437"/>
      <c r="X296" s="538">
        <v>982324.76</v>
      </c>
      <c r="Y296" s="551"/>
      <c r="Z296" s="538">
        <v>93317.98</v>
      </c>
      <c r="AA296" s="538">
        <f t="shared" si="2"/>
        <v>1075642.74</v>
      </c>
      <c r="AB296" s="21"/>
      <c r="AC296" s="569"/>
      <c r="AD296" s="1149"/>
      <c r="AE296" s="580"/>
      <c r="AF296" s="580"/>
      <c r="AG296" s="580"/>
      <c r="AH296" s="542"/>
      <c r="AI296" s="1028"/>
      <c r="AJ296" s="1029"/>
      <c r="AK296" s="1029"/>
      <c r="AL296" s="1030"/>
      <c r="AM296" s="542" t="s">
        <v>709</v>
      </c>
      <c r="AN296" s="924"/>
      <c r="AO296" s="925"/>
      <c r="AP296" s="926"/>
      <c r="AQ296" s="926"/>
      <c r="AR296" s="926"/>
      <c r="AS296" s="926"/>
      <c r="AT296" s="926"/>
      <c r="AU296" s="926"/>
      <c r="AV296" s="926"/>
      <c r="AW296" s="927"/>
      <c r="AX296" s="926"/>
      <c r="AY296" s="1538" t="s">
        <v>29</v>
      </c>
      <c r="AZ296" s="1530"/>
      <c r="BA296" s="1031">
        <v>12</v>
      </c>
      <c r="BB296" s="644"/>
      <c r="BC296" s="544"/>
      <c r="BD296" s="544"/>
      <c r="BE296" s="544"/>
      <c r="BF296" s="544"/>
      <c r="BG296" s="544"/>
      <c r="BH296" s="741"/>
      <c r="BI296" s="547" t="s">
        <v>709</v>
      </c>
      <c r="BJ296" s="547" t="s">
        <v>709</v>
      </c>
      <c r="BK296" s="547" t="s">
        <v>709</v>
      </c>
      <c r="BL296" s="547" t="s">
        <v>116</v>
      </c>
      <c r="BM296" s="547" t="s">
        <v>709</v>
      </c>
      <c r="BN296" s="547" t="s">
        <v>709</v>
      </c>
      <c r="BO296" s="547" t="s">
        <v>709</v>
      </c>
      <c r="BP296" s="547" t="s">
        <v>709</v>
      </c>
      <c r="BQ296" s="547">
        <v>4279</v>
      </c>
      <c r="BR296" s="547" t="s">
        <v>709</v>
      </c>
      <c r="BS296" s="547">
        <v>316</v>
      </c>
      <c r="BT296" s="547" t="s">
        <v>745</v>
      </c>
      <c r="BU296" s="547" t="s">
        <v>709</v>
      </c>
      <c r="BV296" s="547" t="s">
        <v>745</v>
      </c>
      <c r="BW296" s="547" t="s">
        <v>709</v>
      </c>
      <c r="BX296" s="547" t="s">
        <v>745</v>
      </c>
      <c r="BY296" s="547" t="s">
        <v>745</v>
      </c>
      <c r="BZ296" s="547" t="s">
        <v>709</v>
      </c>
      <c r="CA296" s="483"/>
      <c r="CB296" s="547">
        <v>294</v>
      </c>
      <c r="CC296" s="1481" t="b">
        <v>1</v>
      </c>
      <c r="CD296" t="str">
        <f>Table15[[#This Row],[Engineering Number]]&amp;Table15[[#This Row],[WO Number]]&amp;Table15[[#This Row],[Date Assigned to Designer]]&amp;Table15[[#This Row],[Date Completed]]</f>
        <v>SC170701204594376144320</v>
      </c>
    </row>
    <row r="297" spans="1:82" customFormat="1" ht="15" customHeight="1" x14ac:dyDescent="0.25">
      <c r="A297">
        <v>2021</v>
      </c>
      <c r="B297" s="8" t="s">
        <v>4</v>
      </c>
      <c r="C297" s="8" t="s">
        <v>3183</v>
      </c>
      <c r="D297" s="656" t="s">
        <v>3184</v>
      </c>
      <c r="E297" s="8" t="s">
        <v>3185</v>
      </c>
      <c r="F297" s="8" t="s">
        <v>738</v>
      </c>
      <c r="G297" s="8" t="s">
        <v>2814</v>
      </c>
      <c r="H297" s="8" t="s">
        <v>59</v>
      </c>
      <c r="I297" s="642">
        <v>44286</v>
      </c>
      <c r="J297" s="18">
        <v>44321</v>
      </c>
      <c r="K297" s="642">
        <v>44321</v>
      </c>
      <c r="L297" s="16">
        <f>IF(ISTEXT(Table15[[#This Row],[Engineering Approved Design Date]]),Table15[[#This Row],[Date Completed]]-Table15[[#This Row],[Date Assigned to Designer]],Table15[[#This Row],[Engineering Approved Design Date]]-Table15[[#This Row],[Date Completed]])</f>
        <v>0</v>
      </c>
      <c r="M297" s="673"/>
      <c r="N297" s="642" t="s">
        <v>120</v>
      </c>
      <c r="O297" s="1025">
        <v>44321</v>
      </c>
      <c r="P297" s="21" t="s">
        <v>739</v>
      </c>
      <c r="Q297" s="340">
        <f>R297*AA297</f>
        <v>95059.812999999995</v>
      </c>
      <c r="R297" s="1026">
        <v>0.1</v>
      </c>
      <c r="S297" s="538" t="s">
        <v>709</v>
      </c>
      <c r="T297" s="538" t="s">
        <v>709</v>
      </c>
      <c r="U297" s="28" t="s">
        <v>709</v>
      </c>
      <c r="V297" s="858">
        <v>7146</v>
      </c>
      <c r="W297" s="437"/>
      <c r="X297" s="538">
        <v>919917.94</v>
      </c>
      <c r="Y297" s="550"/>
      <c r="Z297" s="538">
        <v>30680.19</v>
      </c>
      <c r="AA297" s="538">
        <f t="shared" si="2"/>
        <v>950598.12999999989</v>
      </c>
      <c r="AB297" s="341"/>
      <c r="AC297" s="568" t="s">
        <v>709</v>
      </c>
      <c r="AD297" s="1157"/>
      <c r="AE297" s="579"/>
      <c r="AF297" s="579"/>
      <c r="AG297" s="579"/>
      <c r="AH297" s="553"/>
      <c r="AI297" s="1036"/>
      <c r="AJ297" s="1037"/>
      <c r="AK297" s="1037"/>
      <c r="AL297" s="1038"/>
      <c r="AM297" s="542" t="s">
        <v>116</v>
      </c>
      <c r="AN297" s="1508">
        <v>44370</v>
      </c>
      <c r="AO297" s="925" t="s">
        <v>115</v>
      </c>
      <c r="AP297" s="926">
        <v>919917.94</v>
      </c>
      <c r="AQ297" s="926"/>
      <c r="AR297" s="926">
        <v>30680.19</v>
      </c>
      <c r="AS297" s="926">
        <f>IF(Table15[[#This Row],[PCTS Approved]]="N",0,Table15[[#This Row],[Investment Amount (1'#'#'#'#'#)]]+Table15[[#This Row],[Retirement Amount (3'#'#'#'#'#)]])</f>
        <v>950598.12999999989</v>
      </c>
      <c r="AT297" s="926">
        <f>IF(Table15[[#This Row],[Approved Construction Cost]]=0,0,Table15[[#This Row],[Approved Construction Cost]]-Table15[[#This Row],[Construction Cost to Bill From]])</f>
        <v>0</v>
      </c>
      <c r="AU297" s="926">
        <f>Table15[[#This Row],[Difference in Construction Cost]]*Table15[[#This Row],[Rate]]</f>
        <v>0</v>
      </c>
      <c r="AV297" s="926" t="s">
        <v>709</v>
      </c>
      <c r="AW297" s="927"/>
      <c r="AX297" s="926"/>
      <c r="AY297" s="636" t="s">
        <v>1935</v>
      </c>
      <c r="AZ297" s="1531"/>
      <c r="BA297" s="1031" t="s">
        <v>3186</v>
      </c>
      <c r="BB297" s="644" t="s">
        <v>3187</v>
      </c>
      <c r="BC297" s="544" t="s">
        <v>709</v>
      </c>
      <c r="BD297" s="544" t="s">
        <v>709</v>
      </c>
      <c r="BE297" s="544" t="s">
        <v>709</v>
      </c>
      <c r="BF297" s="544" t="s">
        <v>1626</v>
      </c>
      <c r="BG297" s="544" t="s">
        <v>709</v>
      </c>
      <c r="BH297" s="741"/>
      <c r="BI297" s="547" t="s">
        <v>709</v>
      </c>
      <c r="BJ297" s="547" t="s">
        <v>709</v>
      </c>
      <c r="BK297" s="547" t="s">
        <v>709</v>
      </c>
      <c r="BL297" s="547" t="s">
        <v>116</v>
      </c>
      <c r="BM297" s="547" t="s">
        <v>709</v>
      </c>
      <c r="BN297" s="547" t="s">
        <v>709</v>
      </c>
      <c r="BO297" s="547" t="s">
        <v>709</v>
      </c>
      <c r="BP297" s="547" t="s">
        <v>709</v>
      </c>
      <c r="BQ297" s="547" t="s">
        <v>709</v>
      </c>
      <c r="BR297" s="547" t="s">
        <v>709</v>
      </c>
      <c r="BS297" s="547">
        <v>7146</v>
      </c>
      <c r="BT297" s="547" t="s">
        <v>745</v>
      </c>
      <c r="BU297" s="547" t="s">
        <v>709</v>
      </c>
      <c r="BV297" s="547" t="s">
        <v>745</v>
      </c>
      <c r="BW297" s="547" t="s">
        <v>709</v>
      </c>
      <c r="BX297" s="547" t="s">
        <v>745</v>
      </c>
      <c r="BY297" s="547" t="s">
        <v>745</v>
      </c>
      <c r="BZ297" s="547" t="s">
        <v>709</v>
      </c>
      <c r="CA297" s="483"/>
      <c r="CB297" s="547">
        <v>295</v>
      </c>
      <c r="CC297" s="1481" t="b">
        <v>1</v>
      </c>
      <c r="CD297" t="str">
        <f>Table15[[#This Row],[Engineering Number]]&amp;Table15[[#This Row],[WO Number]]&amp;Table15[[#This Row],[Date Assigned to Designer]]&amp;Table15[[#This Row],[Date Completed]]</f>
        <v>N142811293364428644321</v>
      </c>
    </row>
    <row r="298" spans="1:82" customFormat="1" ht="15" customHeight="1" x14ac:dyDescent="0.25">
      <c r="A298">
        <v>2021</v>
      </c>
      <c r="B298" s="8" t="s">
        <v>1108</v>
      </c>
      <c r="C298" s="8" t="s">
        <v>1195</v>
      </c>
      <c r="D298" s="656" t="s">
        <v>1196</v>
      </c>
      <c r="E298" s="8" t="s">
        <v>155</v>
      </c>
      <c r="F298" s="8" t="s">
        <v>1111</v>
      </c>
      <c r="G298" s="8" t="s">
        <v>40</v>
      </c>
      <c r="H298" s="8" t="s">
        <v>59</v>
      </c>
      <c r="I298" s="642">
        <v>44229</v>
      </c>
      <c r="J298" s="18">
        <v>44326</v>
      </c>
      <c r="K298" s="642">
        <v>44323</v>
      </c>
      <c r="L298" s="16">
        <f>IF(ISTEXT(Table15[[#This Row],[Engineering Approved Design Date]]),Table15[[#This Row],[Date Completed]]-Table15[[#This Row],[Date Assigned to Designer]],Table15[[#This Row],[Engineering Approved Design Date]]-Table15[[#This Row],[Date Completed]])</f>
        <v>3</v>
      </c>
      <c r="M298" s="642"/>
      <c r="N298" s="642" t="s">
        <v>120</v>
      </c>
      <c r="O298" s="1025">
        <v>44323</v>
      </c>
      <c r="P298" s="21" t="s">
        <v>739</v>
      </c>
      <c r="Q298" s="340">
        <f>(Table15[[#This Row],[Construction Cost to Bill From]]*0.085)+7750</f>
        <v>27091.844349999999</v>
      </c>
      <c r="R298" s="1026" t="s">
        <v>1055</v>
      </c>
      <c r="S298" s="538" t="s">
        <v>709</v>
      </c>
      <c r="T298" s="538" t="s">
        <v>709</v>
      </c>
      <c r="U298" s="28" t="s">
        <v>709</v>
      </c>
      <c r="V298" s="857">
        <v>48</v>
      </c>
      <c r="W298" s="440"/>
      <c r="X298" s="538">
        <v>180757.62</v>
      </c>
      <c r="Y298" s="550"/>
      <c r="Z298" s="538">
        <v>46793.49</v>
      </c>
      <c r="AA298" s="538">
        <f t="shared" si="2"/>
        <v>227551.11</v>
      </c>
      <c r="AB298" s="341"/>
      <c r="AC298" s="568" t="s">
        <v>709</v>
      </c>
      <c r="AD298" s="1157"/>
      <c r="AE298" s="579"/>
      <c r="AF298" s="579"/>
      <c r="AG298" s="579"/>
      <c r="AH298" s="553"/>
      <c r="AI298" s="1036"/>
      <c r="AJ298" s="1037"/>
      <c r="AK298" s="1037"/>
      <c r="AL298" s="1038"/>
      <c r="AM298" s="536" t="s">
        <v>116</v>
      </c>
      <c r="AN298" s="903" t="s">
        <v>709</v>
      </c>
      <c r="AO298" s="1536" t="s">
        <v>115</v>
      </c>
      <c r="AP298" s="1537"/>
      <c r="AQ298" s="1537"/>
      <c r="AR298" s="1537"/>
      <c r="AS298" s="888">
        <f>IF(Table15[[#This Row],[PCTS Approved]]="N",0,Table15[[#This Row],[Investment Amount (1'#'#'#'#'#)]]+Table15[[#This Row],[Retirement Amount (3'#'#'#'#'#)]])</f>
        <v>0</v>
      </c>
      <c r="AT298" s="888">
        <f>IF(Table15[[#This Row],[Approved Construction Cost]]=0,0,Table15[[#This Row],[Approved Construction Cost]]-Table15[[#This Row],[Construction Cost to Bill From]])</f>
        <v>0</v>
      </c>
      <c r="AU298" s="888">
        <f>IFERROR(Table15[[#This Row],[Difference in Construction Cost]]*Table15[[#This Row],[Rate]],Table15[[#This Row],[Difference in Construction Cost]]*0.085)</f>
        <v>0</v>
      </c>
      <c r="AV298" s="905"/>
      <c r="AW298" s="1509"/>
      <c r="AX298" s="888"/>
      <c r="AY298" s="636" t="s">
        <v>709</v>
      </c>
      <c r="AZ298" s="333">
        <v>181</v>
      </c>
      <c r="BA298" s="859" t="s">
        <v>1197</v>
      </c>
      <c r="BB298" s="644" t="s">
        <v>1174</v>
      </c>
      <c r="BC298" s="544" t="s">
        <v>116</v>
      </c>
      <c r="BD298" s="544" t="s">
        <v>709</v>
      </c>
      <c r="BE298" s="544" t="s">
        <v>709</v>
      </c>
      <c r="BF298" s="544" t="s">
        <v>709</v>
      </c>
      <c r="BG298" s="544" t="s">
        <v>709</v>
      </c>
      <c r="BH298" s="741"/>
      <c r="BI298" s="547" t="s">
        <v>709</v>
      </c>
      <c r="BJ298" s="547" t="s">
        <v>709</v>
      </c>
      <c r="BK298" s="547" t="s">
        <v>116</v>
      </c>
      <c r="BL298" s="547" t="s">
        <v>709</v>
      </c>
      <c r="BM298" s="547" t="s">
        <v>709</v>
      </c>
      <c r="BN298" s="547" t="s">
        <v>709</v>
      </c>
      <c r="BO298" s="547" t="s">
        <v>709</v>
      </c>
      <c r="BP298" s="547" t="s">
        <v>709</v>
      </c>
      <c r="BQ298" s="547" t="s">
        <v>709</v>
      </c>
      <c r="BR298" s="547">
        <v>48</v>
      </c>
      <c r="BS298" s="547" t="s">
        <v>709</v>
      </c>
      <c r="BT298" s="547" t="s">
        <v>709</v>
      </c>
      <c r="BU298" s="547" t="s">
        <v>709</v>
      </c>
      <c r="BV298" s="547" t="s">
        <v>709</v>
      </c>
      <c r="BW298" s="547">
        <v>1</v>
      </c>
      <c r="BX298" s="547">
        <v>1</v>
      </c>
      <c r="BY298" s="547" t="s">
        <v>709</v>
      </c>
      <c r="BZ298" s="547" t="s">
        <v>709</v>
      </c>
      <c r="CA298" s="483" t="s">
        <v>2</v>
      </c>
      <c r="CB298" s="547">
        <v>297</v>
      </c>
      <c r="CC298" s="1481" t="b">
        <v>1</v>
      </c>
      <c r="CD298" t="str">
        <f>Table15[[#This Row],[Engineering Number]]&amp;Table15[[#This Row],[WO Number]]&amp;Table15[[#This Row],[Date Assigned to Designer]]&amp;Table15[[#This Row],[Date Completed]]</f>
        <v>RS8121021364422944323</v>
      </c>
    </row>
    <row r="299" spans="1:82" customFormat="1" ht="15" customHeight="1" x14ac:dyDescent="0.25">
      <c r="A299">
        <v>2021</v>
      </c>
      <c r="B299" s="8" t="s">
        <v>1108</v>
      </c>
      <c r="C299" s="8" t="s">
        <v>3202</v>
      </c>
      <c r="D299" s="656" t="s">
        <v>3203</v>
      </c>
      <c r="E299" s="8" t="s">
        <v>2375</v>
      </c>
      <c r="F299" s="8" t="s">
        <v>1111</v>
      </c>
      <c r="G299" s="8" t="s">
        <v>40</v>
      </c>
      <c r="H299" s="8" t="s">
        <v>59</v>
      </c>
      <c r="I299" s="642">
        <v>44238</v>
      </c>
      <c r="J299" s="18">
        <v>44326</v>
      </c>
      <c r="K299" s="642">
        <v>44323</v>
      </c>
      <c r="L299" s="16">
        <f>IF(ISTEXT(Table15[[#This Row],[Engineering Approved Design Date]]),Table15[[#This Row],[Date Completed]]-Table15[[#This Row],[Date Assigned to Designer]],Table15[[#This Row],[Engineering Approved Design Date]]-Table15[[#This Row],[Date Completed]])</f>
        <v>3</v>
      </c>
      <c r="M299" s="642"/>
      <c r="N299" s="642" t="s">
        <v>120</v>
      </c>
      <c r="O299" s="1025">
        <v>44323</v>
      </c>
      <c r="P299" s="21" t="s">
        <v>739</v>
      </c>
      <c r="Q299" s="340">
        <f>(Table15[[#This Row],[Construction Cost to Bill From]]*0.085)+7750</f>
        <v>19410.874600000003</v>
      </c>
      <c r="R299" s="1026" t="s">
        <v>1055</v>
      </c>
      <c r="S299" s="538" t="s">
        <v>709</v>
      </c>
      <c r="T299" s="538" t="s">
        <v>709</v>
      </c>
      <c r="U299" s="28" t="s">
        <v>709</v>
      </c>
      <c r="V299" s="857">
        <v>14</v>
      </c>
      <c r="W299" s="440"/>
      <c r="X299" s="538">
        <v>105469.98</v>
      </c>
      <c r="Y299" s="550"/>
      <c r="Z299" s="538">
        <v>31716.78</v>
      </c>
      <c r="AA299" s="538">
        <f t="shared" si="2"/>
        <v>137186.76</v>
      </c>
      <c r="AB299" s="341"/>
      <c r="AC299" s="568" t="s">
        <v>709</v>
      </c>
      <c r="AD299" s="1157"/>
      <c r="AE299" s="579"/>
      <c r="AF299" s="579"/>
      <c r="AG299" s="579"/>
      <c r="AH299" s="553"/>
      <c r="AI299" s="1036"/>
      <c r="AJ299" s="1037"/>
      <c r="AK299" s="1037"/>
      <c r="AL299" s="1038"/>
      <c r="AM299" s="542" t="s">
        <v>116</v>
      </c>
      <c r="AN299" s="1508">
        <v>44448</v>
      </c>
      <c r="AO299" s="925">
        <v>190778</v>
      </c>
      <c r="AP299" s="926">
        <v>105469.98</v>
      </c>
      <c r="AQ299" s="926"/>
      <c r="AR299" s="926">
        <v>31716.78</v>
      </c>
      <c r="AS299" s="926">
        <f>IF(Table15[[#This Row],[PCTS Approved]]="N",0,Table15[[#This Row],[Investment Amount (1'#'#'#'#'#)]]+Table15[[#This Row],[Retirement Amount (3'#'#'#'#'#)]])</f>
        <v>137186.76</v>
      </c>
      <c r="AT299" s="926">
        <f>IF(Table15[[#This Row],[Approved Construction Cost]]=0,0,Table15[[#This Row],[Approved Construction Cost]]-Table15[[#This Row],[Construction Cost to Bill From]])</f>
        <v>0</v>
      </c>
      <c r="AU299" s="926">
        <f>(Table15[[#This Row],[Difference in Construction Cost]]*0.085)</f>
        <v>0</v>
      </c>
      <c r="AV299" s="926" t="s">
        <v>709</v>
      </c>
      <c r="AW299" s="927"/>
      <c r="AX299" s="926"/>
      <c r="AY299" s="636" t="s">
        <v>1935</v>
      </c>
      <c r="AZ299" s="1531"/>
      <c r="BA299" s="1031" t="s">
        <v>3204</v>
      </c>
      <c r="BB299" s="644" t="s">
        <v>2931</v>
      </c>
      <c r="BC299" s="544" t="s">
        <v>709</v>
      </c>
      <c r="BD299" s="544" t="s">
        <v>709</v>
      </c>
      <c r="BE299" s="544" t="s">
        <v>3205</v>
      </c>
      <c r="BF299" s="544" t="s">
        <v>709</v>
      </c>
      <c r="BG299" s="544" t="s">
        <v>709</v>
      </c>
      <c r="BH299" s="741"/>
      <c r="BI299" s="547" t="s">
        <v>709</v>
      </c>
      <c r="BJ299" s="547" t="s">
        <v>709</v>
      </c>
      <c r="BK299" s="547" t="s">
        <v>116</v>
      </c>
      <c r="BL299" s="547" t="s">
        <v>709</v>
      </c>
      <c r="BM299" s="547" t="s">
        <v>709</v>
      </c>
      <c r="BN299" s="547" t="s">
        <v>709</v>
      </c>
      <c r="BO299" s="547" t="s">
        <v>709</v>
      </c>
      <c r="BP299" s="547" t="s">
        <v>709</v>
      </c>
      <c r="BQ299" s="547" t="s">
        <v>709</v>
      </c>
      <c r="BR299" s="547">
        <v>14</v>
      </c>
      <c r="BS299" s="547" t="s">
        <v>709</v>
      </c>
      <c r="BT299" s="547" t="s">
        <v>709</v>
      </c>
      <c r="BU299" s="547" t="s">
        <v>709</v>
      </c>
      <c r="BV299" s="547" t="s">
        <v>709</v>
      </c>
      <c r="BW299" s="547" t="s">
        <v>709</v>
      </c>
      <c r="BX299" s="547">
        <v>1</v>
      </c>
      <c r="BY299" s="547" t="s">
        <v>709</v>
      </c>
      <c r="BZ299" s="547" t="s">
        <v>709</v>
      </c>
      <c r="CA299" s="483" t="s">
        <v>2</v>
      </c>
      <c r="CB299" s="547">
        <v>300</v>
      </c>
      <c r="CC299" s="1481" t="b">
        <v>1</v>
      </c>
      <c r="CD299" t="str">
        <f>Table15[[#This Row],[Engineering Number]]&amp;Table15[[#This Row],[WO Number]]&amp;Table15[[#This Row],[Date Assigned to Designer]]&amp;Table15[[#This Row],[Date Completed]]</f>
        <v>RS8321021504423844323</v>
      </c>
    </row>
    <row r="300" spans="1:82" customFormat="1" ht="15" customHeight="1" x14ac:dyDescent="0.25">
      <c r="A300">
        <v>2021</v>
      </c>
      <c r="B300" s="8" t="s">
        <v>1108</v>
      </c>
      <c r="C300" s="8" t="s">
        <v>3207</v>
      </c>
      <c r="D300" s="656" t="s">
        <v>3208</v>
      </c>
      <c r="E300" s="8" t="s">
        <v>2375</v>
      </c>
      <c r="F300" s="8" t="s">
        <v>1111</v>
      </c>
      <c r="G300" s="8" t="s">
        <v>40</v>
      </c>
      <c r="H300" s="8" t="s">
        <v>59</v>
      </c>
      <c r="I300" s="642">
        <v>44238</v>
      </c>
      <c r="J300" s="18">
        <v>44326</v>
      </c>
      <c r="K300" s="642">
        <v>44323</v>
      </c>
      <c r="L300" s="16">
        <f>IF(ISTEXT(Table15[[#This Row],[Engineering Approved Design Date]]),Table15[[#This Row],[Date Completed]]-Table15[[#This Row],[Date Assigned to Designer]],Table15[[#This Row],[Engineering Approved Design Date]]-Table15[[#This Row],[Date Completed]])</f>
        <v>3</v>
      </c>
      <c r="M300" s="642"/>
      <c r="N300" s="642" t="s">
        <v>120</v>
      </c>
      <c r="O300" s="1025">
        <v>44323</v>
      </c>
      <c r="P300" s="21" t="s">
        <v>739</v>
      </c>
      <c r="Q300" s="340">
        <f>(Table15[[#This Row],[Construction Cost to Bill From]]*0.085)+7750</f>
        <v>21317.732300000003</v>
      </c>
      <c r="R300" s="1026" t="s">
        <v>1055</v>
      </c>
      <c r="S300" s="538" t="s">
        <v>709</v>
      </c>
      <c r="T300" s="538" t="s">
        <v>709</v>
      </c>
      <c r="U300" s="28" t="s">
        <v>709</v>
      </c>
      <c r="V300" s="857">
        <v>59</v>
      </c>
      <c r="W300" s="440"/>
      <c r="X300" s="538">
        <v>129796.44</v>
      </c>
      <c r="Y300" s="550"/>
      <c r="Z300" s="538">
        <v>29823.94</v>
      </c>
      <c r="AA300" s="538">
        <f t="shared" si="2"/>
        <v>159620.38</v>
      </c>
      <c r="AB300" s="341"/>
      <c r="AC300" s="568" t="s">
        <v>709</v>
      </c>
      <c r="AD300" s="1157"/>
      <c r="AE300" s="579"/>
      <c r="AF300" s="579"/>
      <c r="AG300" s="579"/>
      <c r="AH300" s="553"/>
      <c r="AI300" s="1036"/>
      <c r="AJ300" s="1037"/>
      <c r="AK300" s="1037"/>
      <c r="AL300" s="1038"/>
      <c r="AM300" s="542" t="s">
        <v>116</v>
      </c>
      <c r="AN300" s="1508">
        <v>44448</v>
      </c>
      <c r="AO300" s="925">
        <v>190780</v>
      </c>
      <c r="AP300" s="926">
        <v>129796.44</v>
      </c>
      <c r="AQ300" s="926"/>
      <c r="AR300" s="926">
        <v>29823.94</v>
      </c>
      <c r="AS300" s="926">
        <f>IF(Table15[[#This Row],[PCTS Approved]]="N",0,Table15[[#This Row],[Investment Amount (1'#'#'#'#'#)]]+Table15[[#This Row],[Retirement Amount (3'#'#'#'#'#)]])</f>
        <v>159620.38</v>
      </c>
      <c r="AT300" s="926">
        <f>IF(Table15[[#This Row],[Approved Construction Cost]]=0,0,Table15[[#This Row],[Approved Construction Cost]]-Table15[[#This Row],[Construction Cost to Bill From]])</f>
        <v>0</v>
      </c>
      <c r="AU300" s="926">
        <f>(Table15[[#This Row],[Difference in Construction Cost]]*0.085)</f>
        <v>0</v>
      </c>
      <c r="AV300" s="926" t="s">
        <v>709</v>
      </c>
      <c r="AW300" s="927"/>
      <c r="AX300" s="926"/>
      <c r="AY300" s="636" t="s">
        <v>1935</v>
      </c>
      <c r="AZ300" s="1531"/>
      <c r="BA300" s="1031" t="s">
        <v>3209</v>
      </c>
      <c r="BB300" s="644" t="s">
        <v>2931</v>
      </c>
      <c r="BC300" s="544" t="s">
        <v>709</v>
      </c>
      <c r="BD300" s="544" t="s">
        <v>709</v>
      </c>
      <c r="BE300" s="544" t="s">
        <v>3205</v>
      </c>
      <c r="BF300" s="544" t="s">
        <v>709</v>
      </c>
      <c r="BG300" s="544" t="s">
        <v>709</v>
      </c>
      <c r="BH300" s="741"/>
      <c r="BI300" s="547" t="s">
        <v>709</v>
      </c>
      <c r="BJ300" s="547" t="s">
        <v>709</v>
      </c>
      <c r="BK300" s="547" t="s">
        <v>116</v>
      </c>
      <c r="BL300" s="547" t="s">
        <v>709</v>
      </c>
      <c r="BM300" s="547" t="s">
        <v>709</v>
      </c>
      <c r="BN300" s="547" t="s">
        <v>709</v>
      </c>
      <c r="BO300" s="547" t="s">
        <v>709</v>
      </c>
      <c r="BP300" s="547" t="s">
        <v>709</v>
      </c>
      <c r="BQ300" s="547" t="s">
        <v>709</v>
      </c>
      <c r="BR300" s="547">
        <v>59</v>
      </c>
      <c r="BS300" s="547" t="s">
        <v>709</v>
      </c>
      <c r="BT300" s="547" t="s">
        <v>709</v>
      </c>
      <c r="BU300" s="547" t="s">
        <v>709</v>
      </c>
      <c r="BV300" s="547" t="s">
        <v>709</v>
      </c>
      <c r="BW300" s="547" t="s">
        <v>709</v>
      </c>
      <c r="BX300" s="547">
        <v>1</v>
      </c>
      <c r="BY300" s="547" t="s">
        <v>709</v>
      </c>
      <c r="BZ300" s="547" t="s">
        <v>709</v>
      </c>
      <c r="CA300" s="483" t="s">
        <v>2</v>
      </c>
      <c r="CB300" s="547">
        <v>299</v>
      </c>
      <c r="CC300" s="1481" t="b">
        <v>1</v>
      </c>
      <c r="CD300" t="str">
        <f>Table15[[#This Row],[Engineering Number]]&amp;Table15[[#This Row],[WO Number]]&amp;Table15[[#This Row],[Date Assigned to Designer]]&amp;Table15[[#This Row],[Date Completed]]</f>
        <v>RS8331021514423844323</v>
      </c>
    </row>
    <row r="301" spans="1:82" customFormat="1" ht="15" customHeight="1" x14ac:dyDescent="0.25">
      <c r="A301">
        <v>2021</v>
      </c>
      <c r="B301" s="8" t="s">
        <v>1108</v>
      </c>
      <c r="C301" s="8" t="s">
        <v>3198</v>
      </c>
      <c r="D301" s="656" t="s">
        <v>3199</v>
      </c>
      <c r="E301" s="8" t="s">
        <v>155</v>
      </c>
      <c r="F301" s="8" t="s">
        <v>1111</v>
      </c>
      <c r="G301" s="8" t="s">
        <v>40</v>
      </c>
      <c r="H301" s="8" t="s">
        <v>59</v>
      </c>
      <c r="I301" s="642">
        <v>44238</v>
      </c>
      <c r="J301" s="18">
        <v>44334</v>
      </c>
      <c r="K301" s="642">
        <v>44323</v>
      </c>
      <c r="L301" s="16">
        <f>IF(ISTEXT(Table15[[#This Row],[Engineering Approved Design Date]]),Table15[[#This Row],[Date Completed]]-Table15[[#This Row],[Date Assigned to Designer]],Table15[[#This Row],[Engineering Approved Design Date]]-Table15[[#This Row],[Date Completed]])</f>
        <v>11</v>
      </c>
      <c r="M301" s="642"/>
      <c r="N301" s="642" t="s">
        <v>120</v>
      </c>
      <c r="O301" s="1025">
        <v>44323</v>
      </c>
      <c r="P301" s="21" t="s">
        <v>739</v>
      </c>
      <c r="Q301" s="340">
        <f>(Table15[[#This Row],[Construction Cost to Bill From]]*0.085)+7750</f>
        <v>18081.222999999998</v>
      </c>
      <c r="R301" s="1026" t="s">
        <v>1055</v>
      </c>
      <c r="S301" s="538" t="s">
        <v>709</v>
      </c>
      <c r="T301" s="538" t="s">
        <v>709</v>
      </c>
      <c r="U301" s="28" t="s">
        <v>709</v>
      </c>
      <c r="V301" s="857">
        <v>12</v>
      </c>
      <c r="W301" s="440"/>
      <c r="X301" s="538">
        <v>90445.18</v>
      </c>
      <c r="Y301" s="550"/>
      <c r="Z301" s="538">
        <v>31098.62</v>
      </c>
      <c r="AA301" s="538">
        <f t="shared" si="2"/>
        <v>121543.79999999999</v>
      </c>
      <c r="AB301" s="341"/>
      <c r="AC301" s="568" t="s">
        <v>709</v>
      </c>
      <c r="AD301" s="1157"/>
      <c r="AE301" s="579"/>
      <c r="AF301" s="579"/>
      <c r="AG301" s="579"/>
      <c r="AH301" s="553"/>
      <c r="AI301" s="1036"/>
      <c r="AJ301" s="1037"/>
      <c r="AK301" s="1037"/>
      <c r="AL301" s="1038"/>
      <c r="AM301" s="1522" t="s">
        <v>116</v>
      </c>
      <c r="AN301" s="1523">
        <v>44741</v>
      </c>
      <c r="AO301" s="1524">
        <v>11042143</v>
      </c>
      <c r="AP301" s="1525">
        <v>91062.52</v>
      </c>
      <c r="AQ301" s="1525"/>
      <c r="AR301" s="1525">
        <v>31141.72</v>
      </c>
      <c r="AS301" s="1525">
        <f>IF(Table15[[#This Row],[PCTS Approved]]="N",0,Table15[[#This Row],[Investment Amount (1'#'#'#'#'#)]]+Table15[[#This Row],[Retirement Amount (3'#'#'#'#'#)]])</f>
        <v>122204.24</v>
      </c>
      <c r="AT301" s="1525">
        <f>IF(Table15[[#This Row],[Approved Construction Cost]]=0,0,Table15[[#This Row],[Approved Construction Cost]]-Table15[[#This Row],[Construction Cost to Bill From]])</f>
        <v>660.44000000001688</v>
      </c>
      <c r="AU301" s="1525">
        <f>IFERROR(Table15[[#This Row],[Difference in Construction Cost]]*Table15[[#This Row],[Rate]],Table15[[#This Row],[Difference in Construction Cost]]*0.085)</f>
        <v>56.137400000001442</v>
      </c>
      <c r="AV301" s="1525" t="s">
        <v>709</v>
      </c>
      <c r="AW301" s="1526"/>
      <c r="AX301" s="1525">
        <f>Table15[[#This Row],[Reconcile Amount]]</f>
        <v>56.137400000001442</v>
      </c>
      <c r="AY301" s="1518">
        <v>45008</v>
      </c>
      <c r="AZ301" s="333"/>
      <c r="BA301" s="1031" t="s">
        <v>3200</v>
      </c>
      <c r="BB301" s="644" t="s">
        <v>2931</v>
      </c>
      <c r="BC301" s="544" t="s">
        <v>709</v>
      </c>
      <c r="BD301" s="544" t="s">
        <v>709</v>
      </c>
      <c r="BE301" s="544" t="s">
        <v>1085</v>
      </c>
      <c r="BF301" s="544" t="s">
        <v>709</v>
      </c>
      <c r="BG301" s="544" t="s">
        <v>709</v>
      </c>
      <c r="BH301" s="741"/>
      <c r="BI301" s="547" t="s">
        <v>709</v>
      </c>
      <c r="BJ301" s="547" t="s">
        <v>709</v>
      </c>
      <c r="BK301" s="547" t="s">
        <v>116</v>
      </c>
      <c r="BL301" s="547" t="s">
        <v>709</v>
      </c>
      <c r="BM301" s="547" t="s">
        <v>709</v>
      </c>
      <c r="BN301" s="547" t="s">
        <v>709</v>
      </c>
      <c r="BO301" s="547" t="s">
        <v>709</v>
      </c>
      <c r="BP301" s="547" t="s">
        <v>709</v>
      </c>
      <c r="BQ301" s="547">
        <v>12</v>
      </c>
      <c r="BR301" s="547" t="s">
        <v>709</v>
      </c>
      <c r="BS301" s="547" t="s">
        <v>709</v>
      </c>
      <c r="BT301" s="547" t="s">
        <v>745</v>
      </c>
      <c r="BU301" s="547" t="s">
        <v>709</v>
      </c>
      <c r="BV301" s="547" t="s">
        <v>745</v>
      </c>
      <c r="BW301" s="547" t="s">
        <v>709</v>
      </c>
      <c r="BX301" s="547">
        <v>1</v>
      </c>
      <c r="BY301" s="547" t="s">
        <v>745</v>
      </c>
      <c r="BZ301" s="547" t="s">
        <v>709</v>
      </c>
      <c r="CA301" s="483" t="s">
        <v>769</v>
      </c>
      <c r="CB301" s="547">
        <v>298</v>
      </c>
      <c r="CC301" s="1481" t="b">
        <v>1</v>
      </c>
      <c r="CD301" t="str">
        <f>Table15[[#This Row],[Engineering Number]]&amp;Table15[[#This Row],[WO Number]]&amp;Table15[[#This Row],[Date Assigned to Designer]]&amp;Table15[[#This Row],[Date Completed]]</f>
        <v>RS8371021534423844323</v>
      </c>
    </row>
    <row r="302" spans="1:82" customFormat="1" ht="15" customHeight="1" x14ac:dyDescent="0.25">
      <c r="A302">
        <v>2021</v>
      </c>
      <c r="B302" s="8" t="s">
        <v>771</v>
      </c>
      <c r="C302" s="8" t="s">
        <v>3190</v>
      </c>
      <c r="D302" s="8" t="s">
        <v>3191</v>
      </c>
      <c r="E302" s="8" t="s">
        <v>3192</v>
      </c>
      <c r="F302" s="8" t="s">
        <v>919</v>
      </c>
      <c r="G302" s="8" t="s">
        <v>36</v>
      </c>
      <c r="H302" s="8" t="s">
        <v>59</v>
      </c>
      <c r="I302" s="642">
        <v>44232</v>
      </c>
      <c r="J302" s="18">
        <v>44316</v>
      </c>
      <c r="K302" s="642">
        <v>44323</v>
      </c>
      <c r="L302" s="16">
        <v>0</v>
      </c>
      <c r="M302" s="642" t="s">
        <v>3193</v>
      </c>
      <c r="N302" s="642" t="s">
        <v>120</v>
      </c>
      <c r="O302" s="1025">
        <v>44323</v>
      </c>
      <c r="P302" s="21" t="s">
        <v>120</v>
      </c>
      <c r="Q302" s="340">
        <f>1.55*Table15[[#This Row],[LF of Main]]</f>
        <v>41057.950000000004</v>
      </c>
      <c r="R302" s="1026" t="s">
        <v>2087</v>
      </c>
      <c r="S302" s="538" t="s">
        <v>709</v>
      </c>
      <c r="T302" s="538" t="s">
        <v>709</v>
      </c>
      <c r="U302" s="441" t="s">
        <v>709</v>
      </c>
      <c r="V302" s="857">
        <v>26489</v>
      </c>
      <c r="W302" s="440"/>
      <c r="X302" s="556">
        <v>4054164.3</v>
      </c>
      <c r="Y302" s="550"/>
      <c r="Z302" s="556">
        <v>130058.63</v>
      </c>
      <c r="AA302" s="538">
        <f t="shared" si="2"/>
        <v>4184222.9299999997</v>
      </c>
      <c r="AB302" s="341"/>
      <c r="AC302" s="568" t="s">
        <v>709</v>
      </c>
      <c r="AD302" s="1157"/>
      <c r="AE302" s="568"/>
      <c r="AF302" s="568"/>
      <c r="AG302" s="568"/>
      <c r="AH302" s="183"/>
      <c r="AI302" s="1036"/>
      <c r="AJ302" s="1037"/>
      <c r="AK302" s="1037"/>
      <c r="AL302" s="1038"/>
      <c r="AM302" s="542" t="s">
        <v>709</v>
      </c>
      <c r="AN302" s="924"/>
      <c r="AO302" s="925"/>
      <c r="AP302" s="926"/>
      <c r="AQ302" s="926"/>
      <c r="AR302" s="926"/>
      <c r="AS302" s="926"/>
      <c r="AT302" s="926"/>
      <c r="AU302" s="926"/>
      <c r="AV302" s="926"/>
      <c r="AW302" s="927"/>
      <c r="AX302" s="926"/>
      <c r="AY302" s="1538" t="s">
        <v>29</v>
      </c>
      <c r="AZ302" s="1530"/>
      <c r="BA302" s="1031" t="s">
        <v>3194</v>
      </c>
      <c r="BB302" s="644" t="s">
        <v>3195</v>
      </c>
      <c r="BC302" s="544" t="s">
        <v>116</v>
      </c>
      <c r="BD302" s="544" t="s">
        <v>709</v>
      </c>
      <c r="BE302" s="544" t="s">
        <v>3196</v>
      </c>
      <c r="BF302" s="544" t="s">
        <v>709</v>
      </c>
      <c r="BG302" s="544" t="s">
        <v>709</v>
      </c>
      <c r="BH302" s="741"/>
      <c r="BI302" s="547" t="s">
        <v>709</v>
      </c>
      <c r="BJ302" s="547" t="s">
        <v>709</v>
      </c>
      <c r="BK302" s="547" t="s">
        <v>709</v>
      </c>
      <c r="BL302" s="547" t="s">
        <v>116</v>
      </c>
      <c r="BM302" s="547" t="s">
        <v>709</v>
      </c>
      <c r="BN302" s="547" t="s">
        <v>709</v>
      </c>
      <c r="BO302" s="547" t="s">
        <v>709</v>
      </c>
      <c r="BP302" s="547" t="s">
        <v>709</v>
      </c>
      <c r="BQ302" s="547" t="s">
        <v>709</v>
      </c>
      <c r="BR302" s="547">
        <v>4931</v>
      </c>
      <c r="BS302" s="547">
        <v>21580</v>
      </c>
      <c r="BT302" s="547" t="s">
        <v>709</v>
      </c>
      <c r="BU302" s="547" t="s">
        <v>709</v>
      </c>
      <c r="BV302" s="547" t="s">
        <v>709</v>
      </c>
      <c r="BW302" s="547" t="s">
        <v>709</v>
      </c>
      <c r="BX302" s="547" t="s">
        <v>709</v>
      </c>
      <c r="BY302" s="547" t="s">
        <v>709</v>
      </c>
      <c r="BZ302" s="547" t="s">
        <v>709</v>
      </c>
      <c r="CA302" s="483"/>
      <c r="CB302" s="547">
        <v>296</v>
      </c>
      <c r="CC302" s="1481" t="b">
        <v>1</v>
      </c>
      <c r="CD302" t="str">
        <f>Table15[[#This Row],[Engineering Number]]&amp;Table15[[#This Row],[WO Number]]&amp;Table15[[#This Row],[Date Assigned to Designer]]&amp;Table15[[#This Row],[Date Completed]]</f>
        <v>VW971205874423244323</v>
      </c>
    </row>
    <row r="303" spans="1:82" customFormat="1" ht="15" customHeight="1" x14ac:dyDescent="0.25">
      <c r="A303">
        <v>2021</v>
      </c>
      <c r="B303" s="8" t="s">
        <v>4</v>
      </c>
      <c r="C303" s="8" t="s">
        <v>1198</v>
      </c>
      <c r="D303" s="655" t="s">
        <v>1199</v>
      </c>
      <c r="E303" s="8" t="s">
        <v>1200</v>
      </c>
      <c r="F303" s="8" t="s">
        <v>738</v>
      </c>
      <c r="G303" s="8" t="s">
        <v>39</v>
      </c>
      <c r="H303" s="8" t="s">
        <v>59</v>
      </c>
      <c r="I303" s="642">
        <v>44264</v>
      </c>
      <c r="J303" s="18">
        <v>44327</v>
      </c>
      <c r="K303" s="642">
        <v>44326</v>
      </c>
      <c r="L303" s="16">
        <f>IF(ISTEXT(Table15[[#This Row],[Engineering Approved Design Date]]),Table15[[#This Row],[Date Completed]]-Table15[[#This Row],[Date Assigned to Designer]],Table15[[#This Row],[Engineering Approved Design Date]]-Table15[[#This Row],[Date Completed]])</f>
        <v>1</v>
      </c>
      <c r="M303" s="642"/>
      <c r="N303" s="642" t="s">
        <v>120</v>
      </c>
      <c r="O303" s="1025">
        <v>44326</v>
      </c>
      <c r="P303" s="21" t="s">
        <v>739</v>
      </c>
      <c r="Q303" s="340">
        <f>R303*AA303</f>
        <v>51302.567000000003</v>
      </c>
      <c r="R303" s="1026">
        <v>0.1</v>
      </c>
      <c r="S303" s="538" t="s">
        <v>709</v>
      </c>
      <c r="T303" s="538" t="s">
        <v>709</v>
      </c>
      <c r="U303" s="28" t="s">
        <v>709</v>
      </c>
      <c r="V303" s="857">
        <v>2622</v>
      </c>
      <c r="W303" s="440"/>
      <c r="X303" s="551">
        <f>484057.24</f>
        <v>484057.24</v>
      </c>
      <c r="Y303" s="550"/>
      <c r="Z303" s="538">
        <f>28968.43</f>
        <v>28968.43</v>
      </c>
      <c r="AA303" s="538">
        <f t="shared" si="2"/>
        <v>513025.67</v>
      </c>
      <c r="AB303" s="341"/>
      <c r="AC303" s="568" t="s">
        <v>709</v>
      </c>
      <c r="AD303" s="1157"/>
      <c r="AE303" s="579"/>
      <c r="AF303" s="579"/>
      <c r="AG303" s="579"/>
      <c r="AH303" s="553"/>
      <c r="AI303" s="1036"/>
      <c r="AJ303" s="1037"/>
      <c r="AK303" s="1037"/>
      <c r="AL303" s="1038"/>
      <c r="AM303" s="536" t="s">
        <v>116</v>
      </c>
      <c r="AN303" s="903" t="s">
        <v>709</v>
      </c>
      <c r="AO303" s="1536" t="s">
        <v>115</v>
      </c>
      <c r="AP303" s="1537"/>
      <c r="AQ303" s="1537"/>
      <c r="AR303" s="1537"/>
      <c r="AS303" s="888">
        <f>IF(Table15[[#This Row],[PCTS Approved]]="N",0,Table15[[#This Row],[Investment Amount (1'#'#'#'#'#)]]+Table15[[#This Row],[Retirement Amount (3'#'#'#'#'#)]])</f>
        <v>0</v>
      </c>
      <c r="AT303" s="888">
        <f>IF(Table15[[#This Row],[Approved Construction Cost]]=0,0,Table15[[#This Row],[Approved Construction Cost]]-Table15[[#This Row],[Construction Cost to Bill From]])</f>
        <v>0</v>
      </c>
      <c r="AU303" s="888">
        <f>IFERROR(Table15[[#This Row],[Difference in Construction Cost]]*Table15[[#This Row],[Rate]],Table15[[#This Row],[Difference in Construction Cost]]*0.085)</f>
        <v>0</v>
      </c>
      <c r="AV303" s="905"/>
      <c r="AW303" s="1509"/>
      <c r="AX303" s="888"/>
      <c r="AY303" s="636" t="s">
        <v>709</v>
      </c>
      <c r="AZ303" s="333">
        <v>58</v>
      </c>
      <c r="BA303" s="859" t="s">
        <v>1201</v>
      </c>
      <c r="BB303" s="644" t="s">
        <v>1202</v>
      </c>
      <c r="BC303" s="544" t="s">
        <v>116</v>
      </c>
      <c r="BD303" s="544" t="s">
        <v>709</v>
      </c>
      <c r="BE303" s="544" t="s">
        <v>1203</v>
      </c>
      <c r="BF303" s="544" t="s">
        <v>709</v>
      </c>
      <c r="BG303" s="544" t="s">
        <v>709</v>
      </c>
      <c r="BH303" s="741"/>
      <c r="BI303" s="547" t="s">
        <v>709</v>
      </c>
      <c r="BJ303" s="547" t="s">
        <v>709</v>
      </c>
      <c r="BK303" s="547" t="s">
        <v>709</v>
      </c>
      <c r="BL303" s="547" t="s">
        <v>116</v>
      </c>
      <c r="BM303" s="547" t="s">
        <v>709</v>
      </c>
      <c r="BN303" s="547" t="s">
        <v>709</v>
      </c>
      <c r="BO303" s="547" t="s">
        <v>709</v>
      </c>
      <c r="BP303" s="547" t="s">
        <v>709</v>
      </c>
      <c r="BQ303" s="547" t="s">
        <v>709</v>
      </c>
      <c r="BR303" s="547">
        <v>1439</v>
      </c>
      <c r="BS303" s="547">
        <v>1183</v>
      </c>
      <c r="BT303" s="547" t="s">
        <v>745</v>
      </c>
      <c r="BU303" s="547" t="s">
        <v>709</v>
      </c>
      <c r="BV303" s="547" t="s">
        <v>745</v>
      </c>
      <c r="BW303" s="547" t="s">
        <v>709</v>
      </c>
      <c r="BX303" s="547" t="s">
        <v>745</v>
      </c>
      <c r="BY303" s="547" t="s">
        <v>745</v>
      </c>
      <c r="BZ303" s="547" t="s">
        <v>709</v>
      </c>
      <c r="CA303" s="483"/>
      <c r="CB303" s="547">
        <v>302</v>
      </c>
      <c r="CC303" s="1481" t="b">
        <v>1</v>
      </c>
      <c r="CD303" t="str">
        <f>Table15[[#This Row],[Engineering Number]]&amp;Table15[[#This Row],[WO Number]]&amp;Table15[[#This Row],[Date Assigned to Designer]]&amp;Table15[[#This Row],[Date Completed]]</f>
        <v>M123231205984426444326</v>
      </c>
    </row>
    <row r="304" spans="1:82" customFormat="1" ht="15" customHeight="1" x14ac:dyDescent="0.25">
      <c r="A304">
        <v>2021</v>
      </c>
      <c r="B304" s="8" t="s">
        <v>4</v>
      </c>
      <c r="C304" s="8" t="s">
        <v>1198</v>
      </c>
      <c r="D304" s="655" t="s">
        <v>1204</v>
      </c>
      <c r="E304" s="8" t="s">
        <v>1200</v>
      </c>
      <c r="F304" s="8" t="s">
        <v>738</v>
      </c>
      <c r="G304" s="8" t="s">
        <v>39</v>
      </c>
      <c r="H304" s="8" t="s">
        <v>59</v>
      </c>
      <c r="I304" s="642">
        <v>44264</v>
      </c>
      <c r="J304" s="18">
        <v>44327</v>
      </c>
      <c r="K304" s="642">
        <v>44326</v>
      </c>
      <c r="L304" s="16">
        <f>IF(ISTEXT(Table15[[#This Row],[Engineering Approved Design Date]]),Table15[[#This Row],[Date Completed]]-Table15[[#This Row],[Date Assigned to Designer]],Table15[[#This Row],[Engineering Approved Design Date]]-Table15[[#This Row],[Date Completed]])</f>
        <v>1</v>
      </c>
      <c r="M304" s="642"/>
      <c r="N304" s="642" t="s">
        <v>120</v>
      </c>
      <c r="O304" s="1025">
        <v>44326</v>
      </c>
      <c r="P304" s="21" t="s">
        <v>739</v>
      </c>
      <c r="Q304" s="340">
        <f>R304*AA304</f>
        <v>19836.063000000002</v>
      </c>
      <c r="R304" s="1026">
        <v>0.1</v>
      </c>
      <c r="S304" s="538" t="s">
        <v>709</v>
      </c>
      <c r="T304" s="538" t="s">
        <v>709</v>
      </c>
      <c r="U304" s="28" t="s">
        <v>709</v>
      </c>
      <c r="V304" s="857">
        <v>834</v>
      </c>
      <c r="W304" s="440"/>
      <c r="X304" s="551">
        <f>169446.82</f>
        <v>169446.82</v>
      </c>
      <c r="Y304" s="550"/>
      <c r="Z304" s="538">
        <f>28913.81</f>
        <v>28913.81</v>
      </c>
      <c r="AA304" s="538">
        <f t="shared" si="2"/>
        <v>198360.63</v>
      </c>
      <c r="AB304" s="341"/>
      <c r="AC304" s="568" t="s">
        <v>709</v>
      </c>
      <c r="AD304" s="1157"/>
      <c r="AE304" s="579"/>
      <c r="AF304" s="579"/>
      <c r="AG304" s="579"/>
      <c r="AH304" s="553"/>
      <c r="AI304" s="1036"/>
      <c r="AJ304" s="1037"/>
      <c r="AK304" s="1037"/>
      <c r="AL304" s="1038"/>
      <c r="AM304" s="536" t="s">
        <v>116</v>
      </c>
      <c r="AN304" s="903" t="s">
        <v>709</v>
      </c>
      <c r="AO304" s="1536" t="s">
        <v>115</v>
      </c>
      <c r="AP304" s="1537"/>
      <c r="AQ304" s="1537"/>
      <c r="AR304" s="1537"/>
      <c r="AS304" s="888">
        <f>IF(Table15[[#This Row],[PCTS Approved]]="N",0,Table15[[#This Row],[Investment Amount (1'#'#'#'#'#)]]+Table15[[#This Row],[Retirement Amount (3'#'#'#'#'#)]])</f>
        <v>0</v>
      </c>
      <c r="AT304" s="888">
        <f>IF(Table15[[#This Row],[Approved Construction Cost]]=0,0,Table15[[#This Row],[Approved Construction Cost]]-Table15[[#This Row],[Construction Cost to Bill From]])</f>
        <v>0</v>
      </c>
      <c r="AU304" s="888">
        <f>IFERROR(Table15[[#This Row],[Difference in Construction Cost]]*Table15[[#This Row],[Rate]],Table15[[#This Row],[Difference in Construction Cost]]*0.085)</f>
        <v>0</v>
      </c>
      <c r="AV304" s="905"/>
      <c r="AW304" s="1509"/>
      <c r="AX304" s="888"/>
      <c r="AY304" s="636" t="s">
        <v>709</v>
      </c>
      <c r="AZ304" s="333">
        <v>59</v>
      </c>
      <c r="BA304" s="859" t="s">
        <v>1201</v>
      </c>
      <c r="BB304" s="644" t="s">
        <v>1202</v>
      </c>
      <c r="BC304" s="544" t="s">
        <v>116</v>
      </c>
      <c r="BD304" s="544" t="s">
        <v>709</v>
      </c>
      <c r="BE304" s="544" t="s">
        <v>1203</v>
      </c>
      <c r="BF304" s="544" t="s">
        <v>709</v>
      </c>
      <c r="BG304" s="544" t="s">
        <v>709</v>
      </c>
      <c r="BH304" s="741"/>
      <c r="BI304" s="547" t="s">
        <v>709</v>
      </c>
      <c r="BJ304" s="547" t="s">
        <v>709</v>
      </c>
      <c r="BK304" s="547" t="s">
        <v>709</v>
      </c>
      <c r="BL304" s="547" t="s">
        <v>116</v>
      </c>
      <c r="BM304" s="547" t="s">
        <v>709</v>
      </c>
      <c r="BN304" s="547" t="s">
        <v>709</v>
      </c>
      <c r="BO304" s="547" t="s">
        <v>709</v>
      </c>
      <c r="BP304" s="547" t="s">
        <v>709</v>
      </c>
      <c r="BQ304" s="547" t="s">
        <v>709</v>
      </c>
      <c r="BR304" s="547">
        <v>1439</v>
      </c>
      <c r="BS304" s="547">
        <v>1183</v>
      </c>
      <c r="BT304" s="547" t="s">
        <v>745</v>
      </c>
      <c r="BU304" s="547" t="s">
        <v>709</v>
      </c>
      <c r="BV304" s="547" t="s">
        <v>745</v>
      </c>
      <c r="BW304" s="547" t="s">
        <v>709</v>
      </c>
      <c r="BX304" s="547" t="s">
        <v>745</v>
      </c>
      <c r="BY304" s="547" t="s">
        <v>745</v>
      </c>
      <c r="BZ304" s="547" t="s">
        <v>709</v>
      </c>
      <c r="CA304" s="483"/>
      <c r="CB304" s="547">
        <v>303</v>
      </c>
      <c r="CC304" s="1481" t="b">
        <v>1</v>
      </c>
      <c r="CD304" t="str">
        <f>Table15[[#This Row],[Engineering Number]]&amp;Table15[[#This Row],[WO Number]]&amp;Table15[[#This Row],[Date Assigned to Designer]]&amp;Table15[[#This Row],[Date Completed]]</f>
        <v>M123231205914426444326</v>
      </c>
    </row>
    <row r="305" spans="1:82" customFormat="1" ht="15" customHeight="1" x14ac:dyDescent="0.25">
      <c r="A305">
        <v>2021</v>
      </c>
      <c r="B305" s="8" t="s">
        <v>4</v>
      </c>
      <c r="C305" s="8" t="s">
        <v>3105</v>
      </c>
      <c r="D305" s="8" t="s">
        <v>3106</v>
      </c>
      <c r="E305" s="8" t="s">
        <v>2126</v>
      </c>
      <c r="F305" s="8" t="s">
        <v>738</v>
      </c>
      <c r="G305" s="8" t="s">
        <v>2814</v>
      </c>
      <c r="H305" s="8" t="s">
        <v>2051</v>
      </c>
      <c r="I305" s="642">
        <v>44215</v>
      </c>
      <c r="J305" s="18" t="s">
        <v>2052</v>
      </c>
      <c r="K305" s="642">
        <v>44326</v>
      </c>
      <c r="L305" s="16">
        <f>IF(ISTEXT(Table15[[#This Row],[Engineering Approved Design Date]]),Table15[[#This Row],[Date Completed]]-Table15[[#This Row],[Date Assigned to Designer]],Table15[[#This Row],[Engineering Approved Design Date]]-Table15[[#This Row],[Date Completed]])</f>
        <v>111</v>
      </c>
      <c r="M305" s="642" t="s">
        <v>3213</v>
      </c>
      <c r="N305" s="642" t="s">
        <v>120</v>
      </c>
      <c r="O305" s="1025">
        <v>44326</v>
      </c>
      <c r="P305" s="21" t="s">
        <v>739</v>
      </c>
      <c r="Q305" s="340">
        <v>1702.5</v>
      </c>
      <c r="R305" s="1026" t="s">
        <v>1922</v>
      </c>
      <c r="S305" s="538" t="s">
        <v>709</v>
      </c>
      <c r="T305" s="538" t="s">
        <v>709</v>
      </c>
      <c r="U305" s="28">
        <v>1702.5</v>
      </c>
      <c r="V305" s="858">
        <v>613</v>
      </c>
      <c r="W305" s="437"/>
      <c r="X305" s="556">
        <v>149296.41</v>
      </c>
      <c r="Y305" s="550"/>
      <c r="Z305" s="556">
        <v>35921.61</v>
      </c>
      <c r="AA305" s="538">
        <f t="shared" si="2"/>
        <v>185218.02000000002</v>
      </c>
      <c r="AB305" s="21"/>
      <c r="AC305" s="569"/>
      <c r="AD305" s="1149"/>
      <c r="AE305" s="580"/>
      <c r="AF305" s="580"/>
      <c r="AG305" s="580"/>
      <c r="AH305" s="542"/>
      <c r="AI305" s="1028"/>
      <c r="AJ305" s="1029"/>
      <c r="AK305" s="1029"/>
      <c r="AL305" s="1030"/>
      <c r="AM305" s="542" t="s">
        <v>709</v>
      </c>
      <c r="AN305" s="924"/>
      <c r="AO305" s="925"/>
      <c r="AP305" s="926"/>
      <c r="AQ305" s="926"/>
      <c r="AR305" s="926"/>
      <c r="AS305" s="926"/>
      <c r="AT305" s="926"/>
      <c r="AU305" s="926"/>
      <c r="AV305" s="926"/>
      <c r="AW305" s="927"/>
      <c r="AX305" s="926"/>
      <c r="AY305" s="1538" t="s">
        <v>29</v>
      </c>
      <c r="AZ305" s="1530"/>
      <c r="BA305" s="1031">
        <v>10</v>
      </c>
      <c r="BB305" s="644"/>
      <c r="BC305" s="544"/>
      <c r="BD305" s="544"/>
      <c r="BE305" s="544"/>
      <c r="BF305" s="544"/>
      <c r="BG305" s="544"/>
      <c r="BH305" s="741"/>
      <c r="BI305" s="547" t="s">
        <v>709</v>
      </c>
      <c r="BJ305" s="547" t="s">
        <v>709</v>
      </c>
      <c r="BK305" s="547" t="s">
        <v>709</v>
      </c>
      <c r="BL305" s="547" t="s">
        <v>116</v>
      </c>
      <c r="BM305" s="547" t="s">
        <v>709</v>
      </c>
      <c r="BN305" s="547" t="s">
        <v>709</v>
      </c>
      <c r="BO305" s="547" t="s">
        <v>709</v>
      </c>
      <c r="BP305" s="547" t="s">
        <v>709</v>
      </c>
      <c r="BQ305" s="547" t="s">
        <v>709</v>
      </c>
      <c r="BR305" s="547">
        <v>328</v>
      </c>
      <c r="BS305" s="547">
        <v>279</v>
      </c>
      <c r="BT305" s="547" t="s">
        <v>745</v>
      </c>
      <c r="BU305" s="547" t="s">
        <v>709</v>
      </c>
      <c r="BV305" s="547" t="s">
        <v>745</v>
      </c>
      <c r="BW305" s="547" t="s">
        <v>709</v>
      </c>
      <c r="BX305" s="547" t="s">
        <v>745</v>
      </c>
      <c r="BY305" s="547" t="s">
        <v>745</v>
      </c>
      <c r="BZ305" s="547" t="s">
        <v>709</v>
      </c>
      <c r="CA305" s="483"/>
      <c r="CB305" s="547">
        <v>301</v>
      </c>
      <c r="CC305" s="1481" t="b">
        <v>1</v>
      </c>
      <c r="CD305" t="str">
        <f>Table15[[#This Row],[Engineering Number]]&amp;Table15[[#This Row],[WO Number]]&amp;Table15[[#This Row],[Date Assigned to Designer]]&amp;Table15[[#This Row],[Date Completed]]</f>
        <v>N141771293204421544326</v>
      </c>
    </row>
    <row r="306" spans="1:82" customFormat="1" ht="15" customHeight="1" x14ac:dyDescent="0.25">
      <c r="A306">
        <v>2022</v>
      </c>
      <c r="B306" s="8" t="s">
        <v>4</v>
      </c>
      <c r="C306" s="8" t="s">
        <v>3215</v>
      </c>
      <c r="D306" s="656" t="s">
        <v>3216</v>
      </c>
      <c r="E306" s="8" t="s">
        <v>783</v>
      </c>
      <c r="F306" s="8" t="s">
        <v>738</v>
      </c>
      <c r="G306" s="8" t="s">
        <v>2814</v>
      </c>
      <c r="H306" s="8" t="s">
        <v>59</v>
      </c>
      <c r="I306" s="642">
        <v>44235</v>
      </c>
      <c r="J306" s="18">
        <v>44344</v>
      </c>
      <c r="K306" s="642">
        <v>44327</v>
      </c>
      <c r="L306" s="16">
        <f>IF(ISTEXT(Table15[[#This Row],[Engineering Approved Design Date]]),Table15[[#This Row],[Date Completed]]-Table15[[#This Row],[Date Assigned to Designer]],Table15[[#This Row],[Engineering Approved Design Date]]-Table15[[#This Row],[Date Completed]])</f>
        <v>17</v>
      </c>
      <c r="M306" s="642"/>
      <c r="N306" s="642" t="s">
        <v>120</v>
      </c>
      <c r="O306" s="1025">
        <v>44327</v>
      </c>
      <c r="P306" s="21" t="s">
        <v>739</v>
      </c>
      <c r="Q306" s="340">
        <f>R306*AA306</f>
        <v>57345.474000000002</v>
      </c>
      <c r="R306" s="1026">
        <v>0.1</v>
      </c>
      <c r="S306" s="538" t="s">
        <v>709</v>
      </c>
      <c r="T306" s="538" t="s">
        <v>709</v>
      </c>
      <c r="U306" s="28" t="s">
        <v>709</v>
      </c>
      <c r="V306" s="858">
        <v>2146</v>
      </c>
      <c r="W306" s="437"/>
      <c r="X306" s="538">
        <v>541875.5</v>
      </c>
      <c r="Y306" s="550"/>
      <c r="Z306" s="538">
        <v>31579.24</v>
      </c>
      <c r="AA306" s="538">
        <f t="shared" si="2"/>
        <v>573454.74</v>
      </c>
      <c r="AB306" s="341"/>
      <c r="AC306" s="568" t="s">
        <v>709</v>
      </c>
      <c r="AD306" s="1157"/>
      <c r="AE306" s="579"/>
      <c r="AF306" s="579"/>
      <c r="AG306" s="579"/>
      <c r="AH306" s="553"/>
      <c r="AI306" s="1036"/>
      <c r="AJ306" s="1037"/>
      <c r="AK306" s="1037"/>
      <c r="AL306" s="1038"/>
      <c r="AM306" s="542" t="s">
        <v>116</v>
      </c>
      <c r="AN306" s="1508">
        <v>44558</v>
      </c>
      <c r="AO306" s="925">
        <v>11038993</v>
      </c>
      <c r="AP306" s="926">
        <v>541875.5</v>
      </c>
      <c r="AQ306" s="926"/>
      <c r="AR306" s="926">
        <v>31579.24</v>
      </c>
      <c r="AS306" s="926">
        <f>IF(Table15[[#This Row],[PCTS Approved]]="N",0,Table15[[#This Row],[Investment Amount (1'#'#'#'#'#)]]+Table15[[#This Row],[Retirement Amount (3'#'#'#'#'#)]])</f>
        <v>573454.74</v>
      </c>
      <c r="AT306" s="926">
        <f>IF(Table15[[#This Row],[Approved Construction Cost]]=0,0,Table15[[#This Row],[Approved Construction Cost]]-Table15[[#This Row],[Construction Cost to Bill From]])</f>
        <v>0</v>
      </c>
      <c r="AU306" s="926">
        <f>IFERROR(Table15[[#This Row],[Difference in Construction Cost]]*Table15[[#This Row],[Rate]],Table15[[#This Row],[Difference in Construction Cost]]*0.085)</f>
        <v>0</v>
      </c>
      <c r="AV306" s="926">
        <v>7680</v>
      </c>
      <c r="AW306" s="927" t="s">
        <v>3217</v>
      </c>
      <c r="AX306" s="926"/>
      <c r="AY306" s="636" t="s">
        <v>1935</v>
      </c>
      <c r="AZ306" s="1531"/>
      <c r="BA306" s="859" t="s">
        <v>3218</v>
      </c>
      <c r="BB306" s="644" t="s">
        <v>3219</v>
      </c>
      <c r="BC306" s="544" t="s">
        <v>709</v>
      </c>
      <c r="BD306" s="544" t="s">
        <v>709</v>
      </c>
      <c r="BE306" s="544" t="s">
        <v>789</v>
      </c>
      <c r="BF306" s="544" t="s">
        <v>709</v>
      </c>
      <c r="BG306" s="544" t="s">
        <v>709</v>
      </c>
      <c r="BH306" s="741"/>
      <c r="BI306" s="547" t="s">
        <v>709</v>
      </c>
      <c r="BJ306" s="547" t="s">
        <v>709</v>
      </c>
      <c r="BK306" s="547" t="s">
        <v>709</v>
      </c>
      <c r="BL306" s="547" t="s">
        <v>116</v>
      </c>
      <c r="BM306" s="547" t="s">
        <v>709</v>
      </c>
      <c r="BN306" s="547" t="s">
        <v>709</v>
      </c>
      <c r="BO306" s="547" t="s">
        <v>709</v>
      </c>
      <c r="BP306" s="547" t="s">
        <v>709</v>
      </c>
      <c r="BQ306" s="547" t="s">
        <v>709</v>
      </c>
      <c r="BR306" s="547" t="s">
        <v>709</v>
      </c>
      <c r="BS306" s="547">
        <v>2146</v>
      </c>
      <c r="BT306" s="547" t="s">
        <v>745</v>
      </c>
      <c r="BU306" s="547" t="s">
        <v>709</v>
      </c>
      <c r="BV306" s="547" t="s">
        <v>745</v>
      </c>
      <c r="BW306" s="547" t="s">
        <v>709</v>
      </c>
      <c r="BX306" s="547" t="s">
        <v>745</v>
      </c>
      <c r="BY306" s="547" t="s">
        <v>745</v>
      </c>
      <c r="BZ306" s="547" t="s">
        <v>709</v>
      </c>
      <c r="CA306" s="483"/>
      <c r="CB306" s="547">
        <v>304</v>
      </c>
      <c r="CC306" s="1481" t="b">
        <v>1</v>
      </c>
      <c r="CD306" t="str">
        <f>Table15[[#This Row],[Engineering Number]]&amp;Table15[[#This Row],[WO Number]]&amp;Table15[[#This Row],[Date Assigned to Designer]]&amp;Table15[[#This Row],[Date Completed]]</f>
        <v>SC188171357294423544327</v>
      </c>
    </row>
    <row r="307" spans="1:82" customFormat="1" ht="15" customHeight="1" x14ac:dyDescent="0.25">
      <c r="A307">
        <v>2021</v>
      </c>
      <c r="B307" s="8" t="s">
        <v>4</v>
      </c>
      <c r="C307" s="8" t="s">
        <v>3221</v>
      </c>
      <c r="D307" s="656" t="s">
        <v>3222</v>
      </c>
      <c r="E307" s="8" t="s">
        <v>3223</v>
      </c>
      <c r="F307" s="8" t="s">
        <v>738</v>
      </c>
      <c r="G307" s="8" t="s">
        <v>39</v>
      </c>
      <c r="H307" s="8" t="s">
        <v>59</v>
      </c>
      <c r="I307" s="642">
        <v>44286</v>
      </c>
      <c r="J307" s="18">
        <v>44342</v>
      </c>
      <c r="K307" s="642">
        <v>44328</v>
      </c>
      <c r="L307" s="16">
        <f>IF(ISTEXT(Table15[[#This Row],[Engineering Approved Design Date]]),Table15[[#This Row],[Date Completed]]-Table15[[#This Row],[Date Assigned to Designer]],Table15[[#This Row],[Engineering Approved Design Date]]-Table15[[#This Row],[Date Completed]])</f>
        <v>14</v>
      </c>
      <c r="M307" s="642"/>
      <c r="N307" s="642" t="s">
        <v>120</v>
      </c>
      <c r="O307" s="1025">
        <v>44328</v>
      </c>
      <c r="P307" s="21" t="s">
        <v>739</v>
      </c>
      <c r="Q307" s="340">
        <f>R307*AA307</f>
        <v>4777.2950000000001</v>
      </c>
      <c r="R307" s="1026">
        <v>0.1</v>
      </c>
      <c r="S307" s="538" t="s">
        <v>709</v>
      </c>
      <c r="T307" s="538" t="s">
        <v>709</v>
      </c>
      <c r="U307" s="28" t="s">
        <v>709</v>
      </c>
      <c r="V307" s="858">
        <v>186</v>
      </c>
      <c r="W307" s="437"/>
      <c r="X307" s="538">
        <v>39785.81</v>
      </c>
      <c r="Y307" s="550"/>
      <c r="Z307" s="538">
        <v>7987.14</v>
      </c>
      <c r="AA307" s="538">
        <f t="shared" si="2"/>
        <v>47772.95</v>
      </c>
      <c r="AB307" s="341"/>
      <c r="AC307" s="568" t="s">
        <v>709</v>
      </c>
      <c r="AD307" s="1157"/>
      <c r="AE307" s="579"/>
      <c r="AF307" s="579"/>
      <c r="AG307" s="569"/>
      <c r="AH307" s="553"/>
      <c r="AI307" s="1036"/>
      <c r="AJ307" s="1037"/>
      <c r="AK307" s="1037"/>
      <c r="AL307" s="1038"/>
      <c r="AM307" s="1522" t="s">
        <v>116</v>
      </c>
      <c r="AN307" s="1523">
        <v>44354</v>
      </c>
      <c r="AO307" s="1524">
        <v>189268</v>
      </c>
      <c r="AP307" s="1525">
        <v>37174.720000000001</v>
      </c>
      <c r="AQ307" s="1525"/>
      <c r="AR307" s="1525">
        <v>7987.14</v>
      </c>
      <c r="AS307" s="1525">
        <f>IF(Table15[[#This Row],[PCTS Approved]]="N",0,Table15[[#This Row],[Investment Amount (1'#'#'#'#'#)]]+Table15[[#This Row],[Retirement Amount (3'#'#'#'#'#)]])</f>
        <v>45161.86</v>
      </c>
      <c r="AT307" s="1525">
        <f>IF(Table15[[#This Row],[Approved Construction Cost]]=0,0,Table15[[#This Row],[Approved Construction Cost]]-Table15[[#This Row],[Construction Cost to Bill From]])</f>
        <v>-2611.0899999999965</v>
      </c>
      <c r="AU307" s="1525">
        <f>Table15[[#This Row],[Difference in Construction Cost]]*Table15[[#This Row],[Rate]]</f>
        <v>-261.10899999999964</v>
      </c>
      <c r="AV307" s="1525" t="s">
        <v>709</v>
      </c>
      <c r="AW307" s="1526" t="s">
        <v>3224</v>
      </c>
      <c r="AX307" s="1525">
        <v>-261.10899999999964</v>
      </c>
      <c r="AY307" s="1518">
        <v>44501</v>
      </c>
      <c r="AZ307" s="333"/>
      <c r="BA307" s="1031" t="s">
        <v>3225</v>
      </c>
      <c r="BB307" s="644" t="s">
        <v>3226</v>
      </c>
      <c r="BC307" s="544" t="s">
        <v>709</v>
      </c>
      <c r="BD307" s="544" t="s">
        <v>709</v>
      </c>
      <c r="BE307" s="544" t="s">
        <v>709</v>
      </c>
      <c r="BF307" s="544" t="s">
        <v>709</v>
      </c>
      <c r="BG307" s="544" t="s">
        <v>709</v>
      </c>
      <c r="BH307" s="741"/>
      <c r="BI307" s="547" t="s">
        <v>709</v>
      </c>
      <c r="BJ307" s="547" t="s">
        <v>709</v>
      </c>
      <c r="BK307" s="547" t="s">
        <v>709</v>
      </c>
      <c r="BL307" s="547" t="s">
        <v>116</v>
      </c>
      <c r="BM307" s="547" t="s">
        <v>709</v>
      </c>
      <c r="BN307" s="547" t="s">
        <v>709</v>
      </c>
      <c r="BO307" s="547" t="s">
        <v>709</v>
      </c>
      <c r="BP307" s="547" t="s">
        <v>709</v>
      </c>
      <c r="BQ307" s="547" t="s">
        <v>709</v>
      </c>
      <c r="BR307" s="547" t="s">
        <v>709</v>
      </c>
      <c r="BS307" s="547">
        <v>186</v>
      </c>
      <c r="BT307" s="547" t="s">
        <v>745</v>
      </c>
      <c r="BU307" s="547" t="s">
        <v>709</v>
      </c>
      <c r="BV307" s="547" t="s">
        <v>745</v>
      </c>
      <c r="BW307" s="547" t="s">
        <v>709</v>
      </c>
      <c r="BX307" s="547" t="s">
        <v>745</v>
      </c>
      <c r="BY307" s="547" t="s">
        <v>745</v>
      </c>
      <c r="BZ307" s="547" t="s">
        <v>709</v>
      </c>
      <c r="CA307" s="483"/>
      <c r="CB307" s="547">
        <v>305</v>
      </c>
      <c r="CC307" s="1481" t="b">
        <v>1</v>
      </c>
      <c r="CD307" t="str">
        <f>Table15[[#This Row],[Engineering Number]]&amp;Table15[[#This Row],[WO Number]]&amp;Table15[[#This Row],[Date Assigned to Designer]]&amp;Table15[[#This Row],[Date Completed]]</f>
        <v>SC188801357354428644328</v>
      </c>
    </row>
    <row r="308" spans="1:82" customFormat="1" ht="15" customHeight="1" x14ac:dyDescent="0.25">
      <c r="A308">
        <v>2021</v>
      </c>
      <c r="B308" s="8" t="s">
        <v>1108</v>
      </c>
      <c r="C308" s="8" t="s">
        <v>3232</v>
      </c>
      <c r="D308" s="656" t="s">
        <v>3233</v>
      </c>
      <c r="E308" s="8" t="s">
        <v>111</v>
      </c>
      <c r="F308" s="8" t="s">
        <v>1111</v>
      </c>
      <c r="G308" s="8" t="s">
        <v>40</v>
      </c>
      <c r="H308" s="8" t="s">
        <v>59</v>
      </c>
      <c r="I308" s="642">
        <v>44238</v>
      </c>
      <c r="J308" s="18">
        <v>44334</v>
      </c>
      <c r="K308" s="642">
        <v>44329</v>
      </c>
      <c r="L308" s="16">
        <f>IF(ISTEXT(Table15[[#This Row],[Engineering Approved Design Date]]),Table15[[#This Row],[Date Completed]]-Table15[[#This Row],[Date Assigned to Designer]],Table15[[#This Row],[Engineering Approved Design Date]]-Table15[[#This Row],[Date Completed]])</f>
        <v>5</v>
      </c>
      <c r="M308" s="642"/>
      <c r="N308" s="642" t="s">
        <v>120</v>
      </c>
      <c r="O308" s="1025">
        <v>44329</v>
      </c>
      <c r="P308" s="21" t="s">
        <v>739</v>
      </c>
      <c r="Q308" s="340">
        <f>(Table15[[#This Row],[Construction Cost to Bill From]]*0.085)+7750</f>
        <v>19119.7088</v>
      </c>
      <c r="R308" s="1026" t="s">
        <v>1055</v>
      </c>
      <c r="S308" s="538" t="s">
        <v>709</v>
      </c>
      <c r="T308" s="538" t="s">
        <v>709</v>
      </c>
      <c r="U308" s="28" t="s">
        <v>709</v>
      </c>
      <c r="V308" s="858">
        <v>9</v>
      </c>
      <c r="W308" s="437"/>
      <c r="X308" s="538">
        <v>104256.34</v>
      </c>
      <c r="Y308" s="550"/>
      <c r="Z308" s="538">
        <v>29504.94</v>
      </c>
      <c r="AA308" s="538">
        <f t="shared" si="2"/>
        <v>133761.28</v>
      </c>
      <c r="AB308" s="341"/>
      <c r="AC308" s="568" t="s">
        <v>709</v>
      </c>
      <c r="AD308" s="1157"/>
      <c r="AE308" s="579"/>
      <c r="AF308" s="579"/>
      <c r="AG308" s="579"/>
      <c r="AH308" s="553"/>
      <c r="AI308" s="1036"/>
      <c r="AJ308" s="1037"/>
      <c r="AK308" s="1037"/>
      <c r="AL308" s="1038"/>
      <c r="AM308" s="542" t="s">
        <v>116</v>
      </c>
      <c r="AN308" s="1508">
        <v>44434</v>
      </c>
      <c r="AO308" s="925">
        <v>190779</v>
      </c>
      <c r="AP308" s="926">
        <v>104256.34</v>
      </c>
      <c r="AQ308" s="926"/>
      <c r="AR308" s="926">
        <v>29504.94</v>
      </c>
      <c r="AS308" s="926">
        <f>IF(Table15[[#This Row],[PCTS Approved]]="N",0,Table15[[#This Row],[Investment Amount (1'#'#'#'#'#)]]+Table15[[#This Row],[Retirement Amount (3'#'#'#'#'#)]])</f>
        <v>133761.28</v>
      </c>
      <c r="AT308" s="926">
        <f>IF(Table15[[#This Row],[Approved Construction Cost]]=0,0,Table15[[#This Row],[Approved Construction Cost]]-Table15[[#This Row],[Construction Cost to Bill From]])</f>
        <v>0</v>
      </c>
      <c r="AU308" s="926">
        <f>(Table15[[#This Row],[Difference in Construction Cost]]*0.085)</f>
        <v>0</v>
      </c>
      <c r="AV308" s="926" t="s">
        <v>709</v>
      </c>
      <c r="AW308" s="927"/>
      <c r="AX308" s="926"/>
      <c r="AY308" s="636" t="s">
        <v>1935</v>
      </c>
      <c r="AZ308" s="1531"/>
      <c r="BA308" s="1031" t="s">
        <v>3234</v>
      </c>
      <c r="BB308" s="644" t="s">
        <v>3235</v>
      </c>
      <c r="BC308" s="544" t="s">
        <v>709</v>
      </c>
      <c r="BD308" s="544" t="s">
        <v>709</v>
      </c>
      <c r="BE308" s="544" t="s">
        <v>1114</v>
      </c>
      <c r="BF308" s="544" t="s">
        <v>709</v>
      </c>
      <c r="BG308" s="544" t="s">
        <v>709</v>
      </c>
      <c r="BH308" s="741"/>
      <c r="BI308" s="547" t="s">
        <v>709</v>
      </c>
      <c r="BJ308" s="547" t="s">
        <v>709</v>
      </c>
      <c r="BK308" s="547" t="s">
        <v>116</v>
      </c>
      <c r="BL308" s="547" t="s">
        <v>709</v>
      </c>
      <c r="BM308" s="547" t="s">
        <v>709</v>
      </c>
      <c r="BN308" s="547" t="s">
        <v>709</v>
      </c>
      <c r="BO308" s="547" t="s">
        <v>709</v>
      </c>
      <c r="BP308" s="547" t="s">
        <v>709</v>
      </c>
      <c r="BQ308" s="547" t="s">
        <v>709</v>
      </c>
      <c r="BR308" s="547">
        <v>9</v>
      </c>
      <c r="BS308" s="547" t="s">
        <v>709</v>
      </c>
      <c r="BT308" s="547" t="s">
        <v>709</v>
      </c>
      <c r="BU308" s="547" t="s">
        <v>709</v>
      </c>
      <c r="BV308" s="547" t="s">
        <v>709</v>
      </c>
      <c r="BW308" s="547" t="s">
        <v>709</v>
      </c>
      <c r="BX308" s="547">
        <v>1</v>
      </c>
      <c r="BY308" s="547" t="s">
        <v>709</v>
      </c>
      <c r="BZ308" s="547" t="s">
        <v>709</v>
      </c>
      <c r="CA308" s="483" t="s">
        <v>2</v>
      </c>
      <c r="CB308" s="547">
        <v>306</v>
      </c>
      <c r="CC308" s="1481" t="b">
        <v>1</v>
      </c>
      <c r="CD308" t="str">
        <f>Table15[[#This Row],[Engineering Number]]&amp;Table15[[#This Row],[WO Number]]&amp;Table15[[#This Row],[Date Assigned to Designer]]&amp;Table15[[#This Row],[Date Completed]]</f>
        <v>RS8341021524423844329</v>
      </c>
    </row>
    <row r="309" spans="1:82" customFormat="1" ht="15" customHeight="1" x14ac:dyDescent="0.25">
      <c r="A309">
        <v>2021</v>
      </c>
      <c r="B309" s="8" t="s">
        <v>4</v>
      </c>
      <c r="C309" s="8" t="s">
        <v>3228</v>
      </c>
      <c r="D309" s="656" t="s">
        <v>3229</v>
      </c>
      <c r="E309" s="8" t="s">
        <v>783</v>
      </c>
      <c r="F309" s="8" t="s">
        <v>738</v>
      </c>
      <c r="G309" s="8" t="s">
        <v>2814</v>
      </c>
      <c r="H309" s="8" t="s">
        <v>59</v>
      </c>
      <c r="I309" s="642">
        <v>44301</v>
      </c>
      <c r="J309" s="18">
        <v>44343</v>
      </c>
      <c r="K309" s="642">
        <v>44329</v>
      </c>
      <c r="L309" s="16">
        <f>IF(ISTEXT(Table15[[#This Row],[Engineering Approved Design Date]]),Table15[[#This Row],[Date Completed]]-Table15[[#This Row],[Date Assigned to Designer]],Table15[[#This Row],[Engineering Approved Design Date]]-Table15[[#This Row],[Date Completed]])</f>
        <v>14</v>
      </c>
      <c r="M309" s="642"/>
      <c r="N309" s="642" t="s">
        <v>120</v>
      </c>
      <c r="O309" s="1025">
        <v>44329</v>
      </c>
      <c r="P309" s="21" t="s">
        <v>739</v>
      </c>
      <c r="Q309" s="340">
        <f>R309*AA309</f>
        <v>23255.33</v>
      </c>
      <c r="R309" s="1026">
        <v>0.1</v>
      </c>
      <c r="S309" s="538" t="s">
        <v>709</v>
      </c>
      <c r="T309" s="538" t="s">
        <v>709</v>
      </c>
      <c r="U309" s="28" t="s">
        <v>709</v>
      </c>
      <c r="V309" s="858">
        <v>729</v>
      </c>
      <c r="W309" s="437"/>
      <c r="X309" s="538">
        <v>201904.32</v>
      </c>
      <c r="Y309" s="550"/>
      <c r="Z309" s="538">
        <v>30648.98</v>
      </c>
      <c r="AA309" s="538">
        <f t="shared" si="2"/>
        <v>232553.30000000002</v>
      </c>
      <c r="AB309" s="341"/>
      <c r="AC309" s="568" t="s">
        <v>709</v>
      </c>
      <c r="AD309" s="1157"/>
      <c r="AE309" s="579"/>
      <c r="AF309" s="579"/>
      <c r="AG309" s="579"/>
      <c r="AH309" s="553"/>
      <c r="AI309" s="1036"/>
      <c r="AJ309" s="1037"/>
      <c r="AK309" s="1037"/>
      <c r="AL309" s="1038"/>
      <c r="AM309" s="1522" t="s">
        <v>116</v>
      </c>
      <c r="AN309" s="1523">
        <v>44368</v>
      </c>
      <c r="AO309" s="1524">
        <v>189454</v>
      </c>
      <c r="AP309" s="1525">
        <v>204942.43</v>
      </c>
      <c r="AQ309" s="1525"/>
      <c r="AR309" s="1525">
        <v>31611.439999999999</v>
      </c>
      <c r="AS309" s="1525">
        <f>IF(Table15[[#This Row],[PCTS Approved]]="N",0,Table15[[#This Row],[Investment Amount (1'#'#'#'#'#)]]+Table15[[#This Row],[Retirement Amount (3'#'#'#'#'#)]])</f>
        <v>236553.87</v>
      </c>
      <c r="AT309" s="1525">
        <f>IF(Table15[[#This Row],[Approved Construction Cost]]=0,0,Table15[[#This Row],[Approved Construction Cost]]-Table15[[#This Row],[Construction Cost to Bill From]])</f>
        <v>4000.5699999999779</v>
      </c>
      <c r="AU309" s="1525">
        <f>Table15[[#This Row],[Difference in Construction Cost]]*Table15[[#This Row],[Rate]]</f>
        <v>400.0569999999978</v>
      </c>
      <c r="AV309" s="1525" t="s">
        <v>709</v>
      </c>
      <c r="AW309" s="1526" t="s">
        <v>2338</v>
      </c>
      <c r="AX309" s="1525">
        <v>400.0569999999978</v>
      </c>
      <c r="AY309" s="1518">
        <v>44501</v>
      </c>
      <c r="AZ309" s="333"/>
      <c r="BA309" s="1031" t="s">
        <v>3230</v>
      </c>
      <c r="BB309" s="644" t="s">
        <v>1900</v>
      </c>
      <c r="BC309" s="544" t="s">
        <v>709</v>
      </c>
      <c r="BD309" s="544" t="s">
        <v>709</v>
      </c>
      <c r="BE309" s="544" t="s">
        <v>789</v>
      </c>
      <c r="BF309" s="544" t="s">
        <v>709</v>
      </c>
      <c r="BG309" s="544" t="s">
        <v>709</v>
      </c>
      <c r="BH309" s="741"/>
      <c r="BI309" s="547" t="s">
        <v>709</v>
      </c>
      <c r="BJ309" s="547" t="s">
        <v>709</v>
      </c>
      <c r="BK309" s="547" t="s">
        <v>709</v>
      </c>
      <c r="BL309" s="547" t="s">
        <v>116</v>
      </c>
      <c r="BM309" s="547" t="s">
        <v>709</v>
      </c>
      <c r="BN309" s="547" t="s">
        <v>709</v>
      </c>
      <c r="BO309" s="547" t="s">
        <v>709</v>
      </c>
      <c r="BP309" s="547" t="s">
        <v>709</v>
      </c>
      <c r="BQ309" s="547" t="s">
        <v>709</v>
      </c>
      <c r="BR309" s="547" t="s">
        <v>709</v>
      </c>
      <c r="BS309" s="547">
        <v>729</v>
      </c>
      <c r="BT309" s="547" t="s">
        <v>745</v>
      </c>
      <c r="BU309" s="547" t="s">
        <v>709</v>
      </c>
      <c r="BV309" s="547" t="s">
        <v>745</v>
      </c>
      <c r="BW309" s="547" t="s">
        <v>709</v>
      </c>
      <c r="BX309" s="547" t="s">
        <v>745</v>
      </c>
      <c r="BY309" s="547" t="s">
        <v>745</v>
      </c>
      <c r="BZ309" s="547" t="s">
        <v>709</v>
      </c>
      <c r="CA309" s="483"/>
      <c r="CB309" s="547">
        <v>307</v>
      </c>
      <c r="CC309" s="1481" t="b">
        <v>1</v>
      </c>
      <c r="CD309" t="str">
        <f>Table15[[#This Row],[Engineering Number]]&amp;Table15[[#This Row],[WO Number]]&amp;Table15[[#This Row],[Date Assigned to Designer]]&amp;Table15[[#This Row],[Date Completed]]</f>
        <v>SC176061357384430144329</v>
      </c>
    </row>
    <row r="310" spans="1:82" customFormat="1" ht="15" customHeight="1" x14ac:dyDescent="0.25">
      <c r="A310">
        <v>2021</v>
      </c>
      <c r="B310" s="8" t="s">
        <v>4</v>
      </c>
      <c r="C310" s="8" t="s">
        <v>3237</v>
      </c>
      <c r="D310" s="656" t="s">
        <v>3238</v>
      </c>
      <c r="E310" s="8" t="s">
        <v>2375</v>
      </c>
      <c r="F310" s="8" t="s">
        <v>738</v>
      </c>
      <c r="G310" s="8" t="s">
        <v>36</v>
      </c>
      <c r="H310" s="8" t="s">
        <v>59</v>
      </c>
      <c r="I310" s="642">
        <v>44301</v>
      </c>
      <c r="J310" s="18">
        <v>44336</v>
      </c>
      <c r="K310" s="642">
        <v>44333</v>
      </c>
      <c r="L310" s="16">
        <f>IF(ISTEXT(Table15[[#This Row],[Engineering Approved Design Date]]),Table15[[#This Row],[Date Completed]]-Table15[[#This Row],[Date Assigned to Designer]],Table15[[#This Row],[Engineering Approved Design Date]]-Table15[[#This Row],[Date Completed]])</f>
        <v>3</v>
      </c>
      <c r="M310" s="642"/>
      <c r="N310" s="642" t="s">
        <v>120</v>
      </c>
      <c r="O310" s="1025">
        <v>44333</v>
      </c>
      <c r="P310" s="21" t="s">
        <v>739</v>
      </c>
      <c r="Q310" s="340">
        <f>R310*AA310</f>
        <v>21752.207000000002</v>
      </c>
      <c r="R310" s="1026">
        <v>0.1</v>
      </c>
      <c r="S310" s="538" t="s">
        <v>709</v>
      </c>
      <c r="T310" s="538" t="s">
        <v>709</v>
      </c>
      <c r="U310" s="28" t="s">
        <v>709</v>
      </c>
      <c r="V310" s="858">
        <v>1345</v>
      </c>
      <c r="W310" s="437"/>
      <c r="X310" s="538">
        <v>201473.29</v>
      </c>
      <c r="Y310" s="550"/>
      <c r="Z310" s="538">
        <v>16048.78</v>
      </c>
      <c r="AA310" s="538">
        <f t="shared" si="2"/>
        <v>217522.07</v>
      </c>
      <c r="AB310" s="341"/>
      <c r="AC310" s="568" t="s">
        <v>709</v>
      </c>
      <c r="AD310" s="1157"/>
      <c r="AE310" s="579"/>
      <c r="AF310" s="579"/>
      <c r="AG310" s="579"/>
      <c r="AH310" s="553"/>
      <c r="AI310" s="1036"/>
      <c r="AJ310" s="1037"/>
      <c r="AK310" s="1037"/>
      <c r="AL310" s="1038"/>
      <c r="AM310" s="1522" t="s">
        <v>116</v>
      </c>
      <c r="AN310" s="1523">
        <v>45805</v>
      </c>
      <c r="AO310" s="1524">
        <v>11103544</v>
      </c>
      <c r="AP310" s="1525">
        <v>1385659.79</v>
      </c>
      <c r="AQ310" s="1525"/>
      <c r="AR310" s="1525">
        <v>298514.07</v>
      </c>
      <c r="AS310" s="1525">
        <f>IF(Table15[[#This Row],[PCTS Approved]]="N",0,Table15[[#This Row],[Investment Amount (1'#'#'#'#'#)]]+Table15[[#This Row],[Retirement Amount (3'#'#'#'#'#)]])</f>
        <v>1684173.86</v>
      </c>
      <c r="AT310" s="1525">
        <f>IF(Table15[[#This Row],[Approved Construction Cost]]=0,0,Table15[[#This Row],[Approved Construction Cost]]-Table15[[#This Row],[Construction Cost to Bill From]])</f>
        <v>1466651.79</v>
      </c>
      <c r="AU310" s="1525">
        <f>Table15[[#This Row],[Difference in Construction Cost]]*Table15[[#This Row],[Rate]]</f>
        <v>146665.179</v>
      </c>
      <c r="AV310" s="1525" t="s">
        <v>709</v>
      </c>
      <c r="AW310" s="1526" t="s">
        <v>3239</v>
      </c>
      <c r="AX310" s="1525">
        <v>3173.851999999999</v>
      </c>
      <c r="AY310" s="1518">
        <v>44501</v>
      </c>
      <c r="AZ310" s="333"/>
      <c r="BA310" s="1031" t="s">
        <v>3240</v>
      </c>
      <c r="BB310" s="644" t="s">
        <v>1900</v>
      </c>
      <c r="BC310" s="544" t="s">
        <v>116</v>
      </c>
      <c r="BD310" s="544" t="s">
        <v>709</v>
      </c>
      <c r="BE310" s="544" t="s">
        <v>3205</v>
      </c>
      <c r="BF310" s="544" t="s">
        <v>709</v>
      </c>
      <c r="BG310" s="544" t="s">
        <v>709</v>
      </c>
      <c r="BH310" s="741"/>
      <c r="BI310" s="547" t="s">
        <v>709</v>
      </c>
      <c r="BJ310" s="547" t="s">
        <v>709</v>
      </c>
      <c r="BK310" s="547" t="s">
        <v>709</v>
      </c>
      <c r="BL310" s="547" t="s">
        <v>116</v>
      </c>
      <c r="BM310" s="547" t="s">
        <v>709</v>
      </c>
      <c r="BN310" s="547" t="s">
        <v>709</v>
      </c>
      <c r="BO310" s="547" t="s">
        <v>709</v>
      </c>
      <c r="BP310" s="547" t="s">
        <v>709</v>
      </c>
      <c r="BQ310" s="547" t="s">
        <v>709</v>
      </c>
      <c r="BR310" s="547" t="s">
        <v>709</v>
      </c>
      <c r="BS310" s="547">
        <v>1345</v>
      </c>
      <c r="BT310" s="547" t="s">
        <v>745</v>
      </c>
      <c r="BU310" s="547" t="s">
        <v>709</v>
      </c>
      <c r="BV310" s="547" t="s">
        <v>745</v>
      </c>
      <c r="BW310" s="547" t="s">
        <v>709</v>
      </c>
      <c r="BX310" s="547" t="s">
        <v>745</v>
      </c>
      <c r="BY310" s="547" t="s">
        <v>745</v>
      </c>
      <c r="BZ310" s="547" t="s">
        <v>709</v>
      </c>
      <c r="CA310" s="483"/>
      <c r="CB310" s="547">
        <v>308</v>
      </c>
      <c r="CC310" s="1481" t="b">
        <v>1</v>
      </c>
      <c r="CD310" t="str">
        <f>Table15[[#This Row],[Engineering Number]]&amp;Table15[[#This Row],[WO Number]]&amp;Table15[[#This Row],[Date Assigned to Designer]]&amp;Table15[[#This Row],[Date Completed]]</f>
        <v>N136721293474430144333</v>
      </c>
    </row>
    <row r="311" spans="1:82" customFormat="1" ht="15" customHeight="1" x14ac:dyDescent="0.25">
      <c r="A311">
        <v>2022</v>
      </c>
      <c r="B311" s="8" t="s">
        <v>4</v>
      </c>
      <c r="C311" s="8" t="s">
        <v>3242</v>
      </c>
      <c r="D311" s="8" t="s">
        <v>3243</v>
      </c>
      <c r="E311" s="8" t="s">
        <v>141</v>
      </c>
      <c r="F311" s="8" t="s">
        <v>919</v>
      </c>
      <c r="G311" s="8" t="s">
        <v>39</v>
      </c>
      <c r="H311" s="8" t="s">
        <v>2127</v>
      </c>
      <c r="I311" s="642">
        <v>44272</v>
      </c>
      <c r="J311" s="18">
        <v>44351</v>
      </c>
      <c r="K311" s="642">
        <v>44334</v>
      </c>
      <c r="L311" s="16">
        <f>IF(ISTEXT(Table15[[#This Row],[Engineering Approved Design Date]]),Table15[[#This Row],[Date Completed]]-Table15[[#This Row],[Date Assigned to Designer]],Table15[[#This Row],[Engineering Approved Design Date]]-Table15[[#This Row],[Date Completed]])</f>
        <v>17</v>
      </c>
      <c r="M311" s="642" t="s">
        <v>3244</v>
      </c>
      <c r="N311" s="642" t="s">
        <v>120</v>
      </c>
      <c r="O311" s="1025">
        <v>44348</v>
      </c>
      <c r="P311" s="21" t="s">
        <v>739</v>
      </c>
      <c r="Q311" s="1151">
        <f>IF(Table15[[#This Row],[Shactee Effort]]="N",0,Table15[[#This Row],[Shactee Effort]])+IF(Table15[[#This Row],[3rd Party Effort]]="N",0,Table15[[#This Row],[3rd Party Effort]])+Table15[[#This Row],[KH Hourly Effort]]</f>
        <v>8839.2000000000007</v>
      </c>
      <c r="R311" s="1026" t="s">
        <v>1922</v>
      </c>
      <c r="S311" s="538">
        <v>879.2</v>
      </c>
      <c r="T311" s="538" t="s">
        <v>709</v>
      </c>
      <c r="U311" s="28">
        <v>7960</v>
      </c>
      <c r="V311" s="858" t="s">
        <v>115</v>
      </c>
      <c r="W311" s="437"/>
      <c r="X311" s="538"/>
      <c r="Y311" s="550"/>
      <c r="Z311" s="538"/>
      <c r="AA311" s="538"/>
      <c r="AB311" s="21"/>
      <c r="AC311" s="569"/>
      <c r="AD311" s="1149"/>
      <c r="AE311" s="580"/>
      <c r="AF311" s="580"/>
      <c r="AG311" s="580"/>
      <c r="AH311" s="542"/>
      <c r="AI311" s="1028"/>
      <c r="AJ311" s="1029"/>
      <c r="AK311" s="1029"/>
      <c r="AL311" s="1030"/>
      <c r="AM311" s="542" t="s">
        <v>709</v>
      </c>
      <c r="AN311" s="924"/>
      <c r="AO311" s="925"/>
      <c r="AP311" s="926"/>
      <c r="AQ311" s="926"/>
      <c r="AR311" s="926"/>
      <c r="AS311" s="926"/>
      <c r="AT311" s="926"/>
      <c r="AU311" s="926"/>
      <c r="AV311" s="926"/>
      <c r="AW311" s="927"/>
      <c r="AX311" s="926"/>
      <c r="AY311" s="1538" t="s">
        <v>29</v>
      </c>
      <c r="AZ311" s="1530"/>
      <c r="BA311" s="1031" t="s">
        <v>3245</v>
      </c>
      <c r="BB311" s="644" t="s">
        <v>2288</v>
      </c>
      <c r="BC311" s="544"/>
      <c r="BD311" s="544"/>
      <c r="BE311" s="544"/>
      <c r="BF311" s="544"/>
      <c r="BG311" s="544"/>
      <c r="BH311" s="741"/>
      <c r="BI311" s="547"/>
      <c r="BJ311" s="547"/>
      <c r="BK311" s="547"/>
      <c r="BL311" s="547"/>
      <c r="BM311" s="547"/>
      <c r="BN311" s="547"/>
      <c r="BO311" s="547"/>
      <c r="BP311" s="547"/>
      <c r="BQ311" s="547"/>
      <c r="BR311" s="547"/>
      <c r="BS311" s="547"/>
      <c r="BT311" s="547"/>
      <c r="BU311" s="547"/>
      <c r="BV311" s="547"/>
      <c r="BW311" s="547"/>
      <c r="BX311" s="547"/>
      <c r="BY311" s="547"/>
      <c r="BZ311" s="547" t="s">
        <v>709</v>
      </c>
      <c r="CA311" s="483" t="s">
        <v>915</v>
      </c>
      <c r="CB311" s="547">
        <v>309</v>
      </c>
      <c r="CC311" s="1481" t="b">
        <v>1</v>
      </c>
      <c r="CD311" t="str">
        <f>Table15[[#This Row],[Engineering Number]]&amp;Table15[[#This Row],[WO Number]]&amp;Table15[[#This Row],[Date Assigned to Designer]]&amp;Table15[[#This Row],[Date Completed]]</f>
        <v>SC188221408654427244334</v>
      </c>
    </row>
    <row r="312" spans="1:82" customFormat="1" ht="15" customHeight="1" x14ac:dyDescent="0.25">
      <c r="A312">
        <v>2022</v>
      </c>
      <c r="B312" s="8" t="s">
        <v>4</v>
      </c>
      <c r="C312" s="8" t="s">
        <v>3257</v>
      </c>
      <c r="D312" s="656" t="s">
        <v>3258</v>
      </c>
      <c r="E312" s="8" t="s">
        <v>3259</v>
      </c>
      <c r="F312" s="8" t="s">
        <v>738</v>
      </c>
      <c r="G312" s="8" t="s">
        <v>2743</v>
      </c>
      <c r="H312" s="8" t="s">
        <v>59</v>
      </c>
      <c r="I312" s="642">
        <v>44215</v>
      </c>
      <c r="J312" s="18">
        <v>44349</v>
      </c>
      <c r="K312" s="642">
        <v>44335</v>
      </c>
      <c r="L312" s="16">
        <f>IF(ISTEXT(Table15[[#This Row],[Engineering Approved Design Date]]),Table15[[#This Row],[Date Completed]]-Table15[[#This Row],[Date Assigned to Designer]],Table15[[#This Row],[Engineering Approved Design Date]]-Table15[[#This Row],[Date Completed]])</f>
        <v>14</v>
      </c>
      <c r="M312" s="642"/>
      <c r="N312" s="642" t="s">
        <v>120</v>
      </c>
      <c r="O312" s="1025">
        <v>44335</v>
      </c>
      <c r="P312" s="21" t="s">
        <v>739</v>
      </c>
      <c r="Q312" s="340">
        <f>R312*AA312</f>
        <v>25384.340000000004</v>
      </c>
      <c r="R312" s="1026">
        <v>0.1</v>
      </c>
      <c r="S312" s="538" t="s">
        <v>709</v>
      </c>
      <c r="T312" s="538" t="s">
        <v>709</v>
      </c>
      <c r="U312" s="28" t="s">
        <v>709</v>
      </c>
      <c r="V312" s="858">
        <v>622</v>
      </c>
      <c r="W312" s="437"/>
      <c r="X312" s="538">
        <v>214224.85</v>
      </c>
      <c r="Y312" s="550"/>
      <c r="Z312" s="538">
        <v>39618.550000000003</v>
      </c>
      <c r="AA312" s="538">
        <f>X312+Z312</f>
        <v>253843.40000000002</v>
      </c>
      <c r="AB312" s="341"/>
      <c r="AC312" s="568" t="s">
        <v>709</v>
      </c>
      <c r="AD312" s="1157"/>
      <c r="AE312" s="579"/>
      <c r="AF312" s="579"/>
      <c r="AG312" s="579"/>
      <c r="AH312" s="553"/>
      <c r="AI312" s="1036"/>
      <c r="AJ312" s="1037"/>
      <c r="AK312" s="1037"/>
      <c r="AL312" s="1038"/>
      <c r="AM312" s="1522" t="s">
        <v>116</v>
      </c>
      <c r="AN312" s="1523">
        <v>44424</v>
      </c>
      <c r="AO312" s="1524">
        <v>190312</v>
      </c>
      <c r="AP312" s="1525">
        <v>296621.27</v>
      </c>
      <c r="AQ312" s="1525"/>
      <c r="AR312" s="1525">
        <v>40821.82</v>
      </c>
      <c r="AS312" s="1525">
        <f>IF(Table15[[#This Row],[PCTS Approved]]="N",0,Table15[[#This Row],[Investment Amount (1'#'#'#'#'#)]]+Table15[[#This Row],[Retirement Amount (3'#'#'#'#'#)]])</f>
        <v>337443.09</v>
      </c>
      <c r="AT312" s="1525">
        <f>IF(Table15[[#This Row],[Approved Construction Cost]]=0,0,Table15[[#This Row],[Approved Construction Cost]]-Table15[[#This Row],[Construction Cost to Bill From]])</f>
        <v>83599.69</v>
      </c>
      <c r="AU312" s="1525">
        <f>Table15[[#This Row],[Difference in Construction Cost]]*Table15[[#This Row],[Rate]]</f>
        <v>8359.969000000001</v>
      </c>
      <c r="AV312" s="1525" t="s">
        <v>709</v>
      </c>
      <c r="AW312" s="1526" t="s">
        <v>3260</v>
      </c>
      <c r="AX312" s="1525">
        <v>8359.969000000001</v>
      </c>
      <c r="AY312" s="1518">
        <v>44501</v>
      </c>
      <c r="AZ312" s="333"/>
      <c r="BA312" s="1031" t="s">
        <v>3261</v>
      </c>
      <c r="BB312" s="644" t="s">
        <v>1156</v>
      </c>
      <c r="BC312" s="544" t="s">
        <v>709</v>
      </c>
      <c r="BD312" s="544" t="s">
        <v>882</v>
      </c>
      <c r="BE312" s="544" t="s">
        <v>3262</v>
      </c>
      <c r="BF312" s="544" t="s">
        <v>709</v>
      </c>
      <c r="BG312" s="544" t="s">
        <v>709</v>
      </c>
      <c r="BH312" s="741"/>
      <c r="BI312" s="547" t="s">
        <v>709</v>
      </c>
      <c r="BJ312" s="547" t="s">
        <v>709</v>
      </c>
      <c r="BK312" s="547" t="s">
        <v>709</v>
      </c>
      <c r="BL312" s="547" t="s">
        <v>116</v>
      </c>
      <c r="BM312" s="547" t="s">
        <v>709</v>
      </c>
      <c r="BN312" s="547" t="s">
        <v>709</v>
      </c>
      <c r="BO312" s="547" t="s">
        <v>709</v>
      </c>
      <c r="BP312" s="547" t="s">
        <v>709</v>
      </c>
      <c r="BQ312" s="547">
        <v>597</v>
      </c>
      <c r="BR312" s="547" t="s">
        <v>709</v>
      </c>
      <c r="BS312" s="547">
        <v>25</v>
      </c>
      <c r="BT312" s="547" t="s">
        <v>745</v>
      </c>
      <c r="BU312" s="547" t="s">
        <v>709</v>
      </c>
      <c r="BV312" s="547" t="s">
        <v>745</v>
      </c>
      <c r="BW312" s="547" t="s">
        <v>709</v>
      </c>
      <c r="BX312" s="547" t="s">
        <v>745</v>
      </c>
      <c r="BY312" s="547" t="s">
        <v>745</v>
      </c>
      <c r="BZ312" s="547" t="s">
        <v>709</v>
      </c>
      <c r="CA312" s="483"/>
      <c r="CB312" s="547">
        <v>311</v>
      </c>
      <c r="CC312" s="1481" t="b">
        <v>1</v>
      </c>
      <c r="CD312" t="str">
        <f>Table15[[#This Row],[Engineering Number]]&amp;Table15[[#This Row],[WO Number]]&amp;Table15[[#This Row],[Date Assigned to Designer]]&amp;Table15[[#This Row],[Date Completed]]</f>
        <v>N136331293354421544335</v>
      </c>
    </row>
    <row r="313" spans="1:82" customFormat="1" ht="15" customHeight="1" x14ac:dyDescent="0.25">
      <c r="A313">
        <v>2022</v>
      </c>
      <c r="B313" s="8" t="s">
        <v>4</v>
      </c>
      <c r="C313" s="8" t="s">
        <v>3251</v>
      </c>
      <c r="D313" s="656" t="s">
        <v>3252</v>
      </c>
      <c r="E313" s="8" t="s">
        <v>910</v>
      </c>
      <c r="F313" s="8" t="s">
        <v>738</v>
      </c>
      <c r="G313" s="8" t="s">
        <v>2743</v>
      </c>
      <c r="H313" s="8" t="s">
        <v>59</v>
      </c>
      <c r="I313" s="642">
        <v>44272</v>
      </c>
      <c r="J313" s="18">
        <v>44337</v>
      </c>
      <c r="K313" s="642">
        <v>44335</v>
      </c>
      <c r="L313" s="16">
        <f>IF(ISTEXT(Table15[[#This Row],[Engineering Approved Design Date]]),Table15[[#This Row],[Date Completed]]-Table15[[#This Row],[Date Assigned to Designer]],Table15[[#This Row],[Engineering Approved Design Date]]-Table15[[#This Row],[Date Completed]])</f>
        <v>2</v>
      </c>
      <c r="M313" s="642"/>
      <c r="N313" s="642" t="s">
        <v>120</v>
      </c>
      <c r="O313" s="1025">
        <v>44335</v>
      </c>
      <c r="P313" s="21" t="s">
        <v>739</v>
      </c>
      <c r="Q313" s="340">
        <f>R313*AA313</f>
        <v>19877.171000000002</v>
      </c>
      <c r="R313" s="1026">
        <v>0.1</v>
      </c>
      <c r="S313" s="538" t="s">
        <v>709</v>
      </c>
      <c r="T313" s="538" t="s">
        <v>709</v>
      </c>
      <c r="U313" s="28" t="s">
        <v>709</v>
      </c>
      <c r="V313" s="858">
        <v>353</v>
      </c>
      <c r="W313" s="437"/>
      <c r="X313" s="538">
        <v>169969.64</v>
      </c>
      <c r="Y313" s="550"/>
      <c r="Z313" s="538">
        <v>28802.07</v>
      </c>
      <c r="AA313" s="538">
        <f>X313+Z313</f>
        <v>198771.71000000002</v>
      </c>
      <c r="AB313" s="341"/>
      <c r="AC313" s="568" t="s">
        <v>116</v>
      </c>
      <c r="AD313" s="1157"/>
      <c r="AE313" s="579"/>
      <c r="AF313" s="579"/>
      <c r="AG313" s="579"/>
      <c r="AH313" s="553"/>
      <c r="AI313" s="1036"/>
      <c r="AJ313" s="1037"/>
      <c r="AK313" s="1037"/>
      <c r="AL313" s="1038"/>
      <c r="AM313" s="1522" t="s">
        <v>116</v>
      </c>
      <c r="AN313" s="1523">
        <v>44357</v>
      </c>
      <c r="AO313" s="1524">
        <v>189267</v>
      </c>
      <c r="AP313" s="1525">
        <v>170569.14</v>
      </c>
      <c r="AQ313" s="1525"/>
      <c r="AR313" s="1525">
        <v>28843.919999999998</v>
      </c>
      <c r="AS313" s="1525">
        <f>IF(Table15[[#This Row],[PCTS Approved]]="N",0,Table15[[#This Row],[Investment Amount (1'#'#'#'#'#)]]+Table15[[#This Row],[Retirement Amount (3'#'#'#'#'#)]])</f>
        <v>199413.06</v>
      </c>
      <c r="AT313" s="1525">
        <f>IF(Table15[[#This Row],[Approved Construction Cost]]=0,0,Table15[[#This Row],[Approved Construction Cost]]-Table15[[#This Row],[Construction Cost to Bill From]])</f>
        <v>641.34999999997672</v>
      </c>
      <c r="AU313" s="1525">
        <f>Table15[[#This Row],[Difference in Construction Cost]]*Table15[[#This Row],[Rate]]</f>
        <v>64.134999999997675</v>
      </c>
      <c r="AV313" s="1525" t="s">
        <v>709</v>
      </c>
      <c r="AW313" s="1526" t="s">
        <v>3253</v>
      </c>
      <c r="AX313" s="1525">
        <v>64.134999999997675</v>
      </c>
      <c r="AY313" s="1518">
        <v>44501</v>
      </c>
      <c r="AZ313" s="1532"/>
      <c r="BA313" s="1031" t="s">
        <v>3254</v>
      </c>
      <c r="BB313" s="644" t="s">
        <v>3255</v>
      </c>
      <c r="BC313" s="544" t="s">
        <v>709</v>
      </c>
      <c r="BD313" s="544" t="s">
        <v>709</v>
      </c>
      <c r="BE313" s="544" t="s">
        <v>913</v>
      </c>
      <c r="BF313" s="544" t="s">
        <v>709</v>
      </c>
      <c r="BG313" s="544" t="s">
        <v>709</v>
      </c>
      <c r="BH313" s="741"/>
      <c r="BI313" s="547" t="s">
        <v>709</v>
      </c>
      <c r="BJ313" s="547" t="s">
        <v>709</v>
      </c>
      <c r="BK313" s="547" t="s">
        <v>709</v>
      </c>
      <c r="BL313" s="547" t="s">
        <v>116</v>
      </c>
      <c r="BM313" s="547" t="s">
        <v>709</v>
      </c>
      <c r="BN313" s="547" t="s">
        <v>709</v>
      </c>
      <c r="BO313" s="547" t="s">
        <v>709</v>
      </c>
      <c r="BP313" s="547" t="s">
        <v>709</v>
      </c>
      <c r="BQ313" s="547" t="s">
        <v>709</v>
      </c>
      <c r="BR313" s="547">
        <v>190</v>
      </c>
      <c r="BS313" s="547">
        <v>121</v>
      </c>
      <c r="BT313" s="547" t="s">
        <v>745</v>
      </c>
      <c r="BU313" s="547" t="s">
        <v>709</v>
      </c>
      <c r="BV313" s="547" t="s">
        <v>745</v>
      </c>
      <c r="BW313" s="547" t="s">
        <v>709</v>
      </c>
      <c r="BX313" s="547" t="s">
        <v>745</v>
      </c>
      <c r="BY313" s="547" t="s">
        <v>709</v>
      </c>
      <c r="BZ313" s="547" t="s">
        <v>709</v>
      </c>
      <c r="CA313" s="483"/>
      <c r="CB313" s="547">
        <v>312</v>
      </c>
      <c r="CC313" s="1481" t="b">
        <v>1</v>
      </c>
      <c r="CD313" t="str">
        <f>Table15[[#This Row],[Engineering Number]]&amp;Table15[[#This Row],[WO Number]]&amp;Table15[[#This Row],[Date Assigned to Designer]]&amp;Table15[[#This Row],[Date Completed]]</f>
        <v>N141741293454427244335</v>
      </c>
    </row>
    <row r="314" spans="1:82" customFormat="1" ht="15" customHeight="1" x14ac:dyDescent="0.25">
      <c r="A314">
        <v>2021</v>
      </c>
      <c r="B314" s="8" t="s">
        <v>4</v>
      </c>
      <c r="C314" s="8" t="s">
        <v>3247</v>
      </c>
      <c r="D314" s="656" t="s">
        <v>3248</v>
      </c>
      <c r="E314" s="8" t="s">
        <v>2945</v>
      </c>
      <c r="F314" s="8" t="s">
        <v>738</v>
      </c>
      <c r="G314" s="8" t="s">
        <v>39</v>
      </c>
      <c r="H314" s="8" t="s">
        <v>59</v>
      </c>
      <c r="I314" s="642">
        <v>44286</v>
      </c>
      <c r="J314" s="18">
        <v>44347</v>
      </c>
      <c r="K314" s="642">
        <v>44335</v>
      </c>
      <c r="L314" s="16">
        <f>IF(ISTEXT(Table15[[#This Row],[Engineering Approved Design Date]]),Table15[[#This Row],[Date Completed]]-Table15[[#This Row],[Date Assigned to Designer]],Table15[[#This Row],[Engineering Approved Design Date]]-Table15[[#This Row],[Date Completed]])</f>
        <v>12</v>
      </c>
      <c r="M314" s="642"/>
      <c r="N314" s="642" t="s">
        <v>120</v>
      </c>
      <c r="O314" s="1025">
        <v>44335</v>
      </c>
      <c r="P314" s="21" t="s">
        <v>739</v>
      </c>
      <c r="Q314" s="340">
        <f>R314*AA314</f>
        <v>2394.7040000000002</v>
      </c>
      <c r="R314" s="1026">
        <v>0.1</v>
      </c>
      <c r="S314" s="538" t="s">
        <v>709</v>
      </c>
      <c r="T314" s="538" t="s">
        <v>709</v>
      </c>
      <c r="U314" s="28" t="s">
        <v>709</v>
      </c>
      <c r="V314" s="858"/>
      <c r="W314" s="437"/>
      <c r="X314" s="538">
        <v>0</v>
      </c>
      <c r="Y314" s="550"/>
      <c r="Z314" s="538">
        <v>23947.040000000001</v>
      </c>
      <c r="AA314" s="538">
        <f>X314+Z314</f>
        <v>23947.040000000001</v>
      </c>
      <c r="AB314" s="341"/>
      <c r="AC314" s="568" t="s">
        <v>709</v>
      </c>
      <c r="AD314" s="1157"/>
      <c r="AE314" s="579"/>
      <c r="AF314" s="579"/>
      <c r="AG314" s="569"/>
      <c r="AH314" s="553"/>
      <c r="AI314" s="1036"/>
      <c r="AJ314" s="1037"/>
      <c r="AK314" s="1037"/>
      <c r="AL314" s="1038"/>
      <c r="AM314" s="542" t="s">
        <v>116</v>
      </c>
      <c r="AN314" s="1508">
        <v>44354</v>
      </c>
      <c r="AO314" s="925">
        <v>189499</v>
      </c>
      <c r="AP314" s="926">
        <v>0</v>
      </c>
      <c r="AQ314" s="926"/>
      <c r="AR314" s="926">
        <v>23947.040000000001</v>
      </c>
      <c r="AS314" s="926">
        <f>IF(Table15[[#This Row],[PCTS Approved]]="N",0,Table15[[#This Row],[Investment Amount (1'#'#'#'#'#)]]+Table15[[#This Row],[Retirement Amount (3'#'#'#'#'#)]])</f>
        <v>23947.040000000001</v>
      </c>
      <c r="AT314" s="926">
        <f>IF(Table15[[#This Row],[Approved Construction Cost]]=0,0,Table15[[#This Row],[Approved Construction Cost]]-Table15[[#This Row],[Construction Cost to Bill From]])</f>
        <v>0</v>
      </c>
      <c r="AU314" s="926">
        <f>Table15[[#This Row],[Difference in Construction Cost]]*Table15[[#This Row],[Rate]]</f>
        <v>0</v>
      </c>
      <c r="AV314" s="926" t="s">
        <v>709</v>
      </c>
      <c r="AW314" s="927"/>
      <c r="AX314" s="926"/>
      <c r="AY314" s="636" t="s">
        <v>1935</v>
      </c>
      <c r="AZ314" s="1531"/>
      <c r="BA314" s="1031" t="s">
        <v>3249</v>
      </c>
      <c r="BB314" s="644" t="s">
        <v>3226</v>
      </c>
      <c r="BC314" s="544" t="s">
        <v>709</v>
      </c>
      <c r="BD314" s="544" t="s">
        <v>862</v>
      </c>
      <c r="BE314" s="544" t="s">
        <v>709</v>
      </c>
      <c r="BF314" s="544" t="s">
        <v>709</v>
      </c>
      <c r="BG314" s="544" t="s">
        <v>709</v>
      </c>
      <c r="BH314" s="741"/>
      <c r="BI314" s="547" t="s">
        <v>709</v>
      </c>
      <c r="BJ314" s="547" t="s">
        <v>709</v>
      </c>
      <c r="BK314" s="547" t="s">
        <v>709</v>
      </c>
      <c r="BL314" s="547" t="s">
        <v>709</v>
      </c>
      <c r="BM314" s="547" t="s">
        <v>709</v>
      </c>
      <c r="BN314" s="547" t="s">
        <v>709</v>
      </c>
      <c r="BO314" s="547" t="s">
        <v>709</v>
      </c>
      <c r="BP314" s="547" t="s">
        <v>709</v>
      </c>
      <c r="BQ314" s="547" t="s">
        <v>709</v>
      </c>
      <c r="BR314" s="547" t="s">
        <v>709</v>
      </c>
      <c r="BS314" s="547" t="s">
        <v>709</v>
      </c>
      <c r="BT314" s="547" t="s">
        <v>709</v>
      </c>
      <c r="BU314" s="547" t="s">
        <v>709</v>
      </c>
      <c r="BV314" s="547" t="s">
        <v>709</v>
      </c>
      <c r="BW314" s="547" t="s">
        <v>709</v>
      </c>
      <c r="BX314" s="547" t="s">
        <v>709</v>
      </c>
      <c r="BY314" s="547" t="s">
        <v>709</v>
      </c>
      <c r="BZ314" s="547" t="s">
        <v>709</v>
      </c>
      <c r="CA314" s="483" t="s">
        <v>1146</v>
      </c>
      <c r="CB314" s="547">
        <v>310</v>
      </c>
      <c r="CC314" s="1481" t="b">
        <v>1</v>
      </c>
      <c r="CD314" t="str">
        <f>Table15[[#This Row],[Engineering Number]]&amp;Table15[[#This Row],[WO Number]]&amp;Table15[[#This Row],[Date Assigned to Designer]]&amp;Table15[[#This Row],[Date Completed]]</f>
        <v>SC190443357364428644335</v>
      </c>
    </row>
    <row r="315" spans="1:82" customFormat="1" ht="15" customHeight="1" x14ac:dyDescent="0.25">
      <c r="A315">
        <v>2020</v>
      </c>
      <c r="B315" s="8" t="s">
        <v>769</v>
      </c>
      <c r="C315" s="8" t="s">
        <v>75</v>
      </c>
      <c r="D315" s="8" t="s">
        <v>2615</v>
      </c>
      <c r="E315" s="8" t="s">
        <v>76</v>
      </c>
      <c r="F315" s="8" t="s">
        <v>738</v>
      </c>
      <c r="G315" s="8" t="s">
        <v>40</v>
      </c>
      <c r="H315" s="8" t="s">
        <v>2051</v>
      </c>
      <c r="I315" s="642">
        <v>43955</v>
      </c>
      <c r="J315" s="18" t="s">
        <v>2052</v>
      </c>
      <c r="K315" s="642">
        <v>44336</v>
      </c>
      <c r="L315" s="16">
        <f>IF(ISTEXT(Table15[[#This Row],[Engineering Approved Design Date]]),Table15[[#This Row],[Date Completed]]-Table15[[#This Row],[Date Assigned to Designer]],Table15[[#This Row],[Engineering Approved Design Date]]-Table15[[#This Row],[Date Completed]])</f>
        <v>381</v>
      </c>
      <c r="M315" s="642" t="s">
        <v>3264</v>
      </c>
      <c r="N315" s="642" t="s">
        <v>120</v>
      </c>
      <c r="O315" s="1025">
        <v>44348</v>
      </c>
      <c r="P315" s="21" t="s">
        <v>739</v>
      </c>
      <c r="Q315" s="1151">
        <f>IF(Table15[[#This Row],[Shactee Effort]]="N",0,Table15[[#This Row],[Shactee Effort]])+IF(Table15[[#This Row],[3rd Party Effort]]="N",0,Table15[[#This Row],[3rd Party Effort]])+Table15[[#This Row],[KH Hourly Effort]]</f>
        <v>10765</v>
      </c>
      <c r="R315" s="1026" t="s">
        <v>1922</v>
      </c>
      <c r="S315" s="538" t="s">
        <v>709</v>
      </c>
      <c r="T315" s="538" t="s">
        <v>709</v>
      </c>
      <c r="U315" s="87">
        <v>10765</v>
      </c>
      <c r="V315" s="857">
        <v>37</v>
      </c>
      <c r="W315" s="440"/>
      <c r="X315" s="550"/>
      <c r="Y315" s="550"/>
      <c r="Z315" s="550"/>
      <c r="AA315" s="538"/>
      <c r="AB315" s="21"/>
      <c r="AC315" s="569" t="s">
        <v>1441</v>
      </c>
      <c r="AD315" s="1149"/>
      <c r="AE315" s="580"/>
      <c r="AF315" s="580"/>
      <c r="AG315" s="580"/>
      <c r="AH315" s="542"/>
      <c r="AI315" s="1028"/>
      <c r="AJ315" s="1029"/>
      <c r="AK315" s="1029"/>
      <c r="AL315" s="1030"/>
      <c r="AM315" s="542" t="s">
        <v>709</v>
      </c>
      <c r="AN315" s="924"/>
      <c r="AO315" s="925"/>
      <c r="AP315" s="926"/>
      <c r="AQ315" s="926"/>
      <c r="AR315" s="926"/>
      <c r="AS315" s="926"/>
      <c r="AT315" s="926"/>
      <c r="AU315" s="926"/>
      <c r="AV315" s="926"/>
      <c r="AW315" s="927"/>
      <c r="AX315" s="926"/>
      <c r="AY315" s="1538" t="s">
        <v>29</v>
      </c>
      <c r="AZ315" s="1530"/>
      <c r="BA315" s="1031">
        <v>11</v>
      </c>
      <c r="BB315" s="644"/>
      <c r="BC315" s="544"/>
      <c r="BD315" s="544"/>
      <c r="BE315" s="544"/>
      <c r="BF315" s="544"/>
      <c r="BG315" s="544"/>
      <c r="BH315" s="741"/>
      <c r="BI315" s="547" t="s">
        <v>709</v>
      </c>
      <c r="BJ315" s="547" t="s">
        <v>709</v>
      </c>
      <c r="BK315" s="547" t="s">
        <v>116</v>
      </c>
      <c r="BL315" s="547" t="s">
        <v>116</v>
      </c>
      <c r="BM315" s="547" t="s">
        <v>709</v>
      </c>
      <c r="BN315" s="547" t="s">
        <v>709</v>
      </c>
      <c r="BO315" s="547" t="s">
        <v>709</v>
      </c>
      <c r="BP315" s="547" t="s">
        <v>709</v>
      </c>
      <c r="BQ315" s="547">
        <v>96</v>
      </c>
      <c r="BR315" s="547" t="s">
        <v>709</v>
      </c>
      <c r="BS315" s="547">
        <v>95</v>
      </c>
      <c r="BT315" s="547" t="s">
        <v>709</v>
      </c>
      <c r="BU315" s="547" t="s">
        <v>709</v>
      </c>
      <c r="BV315" s="547" t="s">
        <v>709</v>
      </c>
      <c r="BW315" s="547">
        <v>2</v>
      </c>
      <c r="BX315" s="547">
        <v>2</v>
      </c>
      <c r="BY315" s="547" t="s">
        <v>709</v>
      </c>
      <c r="BZ315" s="547" t="s">
        <v>709</v>
      </c>
      <c r="CA315" s="483" t="s">
        <v>769</v>
      </c>
      <c r="CB315" s="547">
        <v>313</v>
      </c>
      <c r="CC315" s="1481" t="b">
        <v>1</v>
      </c>
      <c r="CD315" t="str">
        <f>Table15[[#This Row],[Engineering Number]]&amp;Table15[[#This Row],[WO Number]]&amp;Table15[[#This Row],[Date Assigned to Designer]]&amp;Table15[[#This Row],[Date Completed]]</f>
        <v>RS6341011534395544336</v>
      </c>
    </row>
    <row r="316" spans="1:82" customFormat="1" ht="15" customHeight="1" x14ac:dyDescent="0.25">
      <c r="A316">
        <v>2021</v>
      </c>
      <c r="B316" s="8" t="s">
        <v>4</v>
      </c>
      <c r="C316" s="8" t="s">
        <v>3266</v>
      </c>
      <c r="D316" s="656" t="s">
        <v>3267</v>
      </c>
      <c r="E316" s="8" t="s">
        <v>3268</v>
      </c>
      <c r="F316" s="8" t="s">
        <v>738</v>
      </c>
      <c r="G316" s="8" t="s">
        <v>39</v>
      </c>
      <c r="H316" s="8" t="s">
        <v>59</v>
      </c>
      <c r="I316" s="642">
        <v>44264</v>
      </c>
      <c r="J316" s="18">
        <v>44351</v>
      </c>
      <c r="K316" s="642">
        <v>44337</v>
      </c>
      <c r="L316" s="16">
        <f>IF(ISTEXT(Table15[[#This Row],[Engineering Approved Design Date]]),Table15[[#This Row],[Date Completed]]-Table15[[#This Row],[Date Assigned to Designer]],Table15[[#This Row],[Engineering Approved Design Date]]-Table15[[#This Row],[Date Completed]])</f>
        <v>14</v>
      </c>
      <c r="M316" s="642"/>
      <c r="N316" s="642" t="s">
        <v>120</v>
      </c>
      <c r="O316" s="1025">
        <v>44337</v>
      </c>
      <c r="P316" s="21" t="s">
        <v>739</v>
      </c>
      <c r="Q316" s="340">
        <f>R316*AA316</f>
        <v>37323.184000000001</v>
      </c>
      <c r="R316" s="1026">
        <v>0.1</v>
      </c>
      <c r="S316" s="538" t="s">
        <v>709</v>
      </c>
      <c r="T316" s="538" t="s">
        <v>709</v>
      </c>
      <c r="U316" s="28" t="s">
        <v>709</v>
      </c>
      <c r="V316" s="858"/>
      <c r="W316" s="437"/>
      <c r="X316" s="538">
        <v>330757.69</v>
      </c>
      <c r="Y316" s="550"/>
      <c r="Z316" s="538">
        <v>42474.15</v>
      </c>
      <c r="AA316" s="538">
        <f>X316+Z316</f>
        <v>373231.84</v>
      </c>
      <c r="AB316" s="341"/>
      <c r="AC316" s="568" t="s">
        <v>116</v>
      </c>
      <c r="AD316" s="1157"/>
      <c r="AE316" s="579"/>
      <c r="AF316" s="579"/>
      <c r="AG316" s="579"/>
      <c r="AH316" s="553"/>
      <c r="AI316" s="1036"/>
      <c r="AJ316" s="1037"/>
      <c r="AK316" s="1037"/>
      <c r="AL316" s="1038"/>
      <c r="AM316" s="1522" t="s">
        <v>116</v>
      </c>
      <c r="AN316" s="1523">
        <v>44468</v>
      </c>
      <c r="AO316" s="1524">
        <v>191108</v>
      </c>
      <c r="AP316" s="1525">
        <v>331699.73</v>
      </c>
      <c r="AQ316" s="1525"/>
      <c r="AR316" s="1525">
        <v>42474.15</v>
      </c>
      <c r="AS316" s="1525">
        <f>IF(Table15[[#This Row],[PCTS Approved]]="N",0,Table15[[#This Row],[Investment Amount (1'#'#'#'#'#)]]+Table15[[#This Row],[Retirement Amount (3'#'#'#'#'#)]])</f>
        <v>374173.88</v>
      </c>
      <c r="AT316" s="1525">
        <f>IF(Table15[[#This Row],[Approved Construction Cost]]=0,0,Table15[[#This Row],[Approved Construction Cost]]-Table15[[#This Row],[Construction Cost to Bill From]])</f>
        <v>942.03999999997905</v>
      </c>
      <c r="AU316" s="1525">
        <f>Table15[[#This Row],[Difference in Construction Cost]]*Table15[[#This Row],[Rate]]</f>
        <v>94.203999999997905</v>
      </c>
      <c r="AV316" s="1525" t="s">
        <v>709</v>
      </c>
      <c r="AW316" s="1526" t="s">
        <v>3269</v>
      </c>
      <c r="AX316" s="1525">
        <v>94.203999999997905</v>
      </c>
      <c r="AY316" s="1518">
        <v>44501</v>
      </c>
      <c r="AZ316" s="1532"/>
      <c r="BA316" s="1031" t="s">
        <v>3270</v>
      </c>
      <c r="BB316" s="644" t="s">
        <v>2288</v>
      </c>
      <c r="BC316" s="544" t="s">
        <v>116</v>
      </c>
      <c r="BD316" s="544" t="s">
        <v>709</v>
      </c>
      <c r="BE316" s="544" t="s">
        <v>709</v>
      </c>
      <c r="BF316" s="544" t="s">
        <v>709</v>
      </c>
      <c r="BG316" s="544" t="s">
        <v>709</v>
      </c>
      <c r="BH316" s="741"/>
      <c r="BI316" s="547" t="s">
        <v>709</v>
      </c>
      <c r="BJ316" s="547" t="s">
        <v>709</v>
      </c>
      <c r="BK316" s="547" t="s">
        <v>709</v>
      </c>
      <c r="BL316" s="547" t="s">
        <v>116</v>
      </c>
      <c r="BM316" s="547" t="s">
        <v>709</v>
      </c>
      <c r="BN316" s="547" t="s">
        <v>709</v>
      </c>
      <c r="BO316" s="547" t="s">
        <v>709</v>
      </c>
      <c r="BP316" s="547">
        <v>532</v>
      </c>
      <c r="BQ316" s="547" t="s">
        <v>709</v>
      </c>
      <c r="BR316" s="547" t="s">
        <v>709</v>
      </c>
      <c r="BS316" s="547" t="s">
        <v>709</v>
      </c>
      <c r="BT316" s="547" t="s">
        <v>709</v>
      </c>
      <c r="BU316" s="547" t="s">
        <v>709</v>
      </c>
      <c r="BV316" s="547" t="s">
        <v>745</v>
      </c>
      <c r="BW316" s="547" t="s">
        <v>709</v>
      </c>
      <c r="BX316" s="547" t="s">
        <v>709</v>
      </c>
      <c r="BY316" s="547" t="s">
        <v>745</v>
      </c>
      <c r="BZ316" s="547" t="s">
        <v>709</v>
      </c>
      <c r="CA316" s="483"/>
      <c r="CB316" s="547">
        <v>314</v>
      </c>
      <c r="CC316" s="1481" t="b">
        <v>1</v>
      </c>
      <c r="CD316" t="str">
        <f>Table15[[#This Row],[Engineering Number]]&amp;Table15[[#This Row],[WO Number]]&amp;Table15[[#This Row],[Date Assigned to Designer]]&amp;Table15[[#This Row],[Date Completed]]</f>
        <v>N140161293394426444337</v>
      </c>
    </row>
    <row r="317" spans="1:82" customFormat="1" ht="15" customHeight="1" x14ac:dyDescent="0.25">
      <c r="A317">
        <v>2021</v>
      </c>
      <c r="B317" s="8" t="s">
        <v>4</v>
      </c>
      <c r="C317" s="8" t="s">
        <v>3121</v>
      </c>
      <c r="D317" s="8" t="s">
        <v>3122</v>
      </c>
      <c r="E317" s="8" t="s">
        <v>818</v>
      </c>
      <c r="F317" s="8" t="s">
        <v>919</v>
      </c>
      <c r="G317" s="8" t="s">
        <v>2743</v>
      </c>
      <c r="H317" s="8" t="s">
        <v>2051</v>
      </c>
      <c r="I317" s="642">
        <v>44172</v>
      </c>
      <c r="J317" s="18" t="s">
        <v>2052</v>
      </c>
      <c r="K317" s="642">
        <v>44337</v>
      </c>
      <c r="L317" s="16">
        <f>IF(ISTEXT(Table15[[#This Row],[Engineering Approved Design Date]]),Table15[[#This Row],[Date Completed]]-Table15[[#This Row],[Date Assigned to Designer]],Table15[[#This Row],[Engineering Approved Design Date]]-Table15[[#This Row],[Date Completed]])</f>
        <v>165</v>
      </c>
      <c r="M317" s="642" t="s">
        <v>3179</v>
      </c>
      <c r="N317" s="642" t="s">
        <v>120</v>
      </c>
      <c r="O317" s="1025">
        <v>44348</v>
      </c>
      <c r="P317" s="21" t="s">
        <v>739</v>
      </c>
      <c r="Q317" s="1151">
        <f>IF(Table15[[#This Row],[Shactee Effort]]="N",0,Table15[[#This Row],[Shactee Effort]])+IF(Table15[[#This Row],[3rd Party Effort]]="N",0,Table15[[#This Row],[3rd Party Effort]])+Table15[[#This Row],[KH Hourly Effort]]</f>
        <v>2075</v>
      </c>
      <c r="R317" s="1026" t="s">
        <v>1922</v>
      </c>
      <c r="S317" s="538" t="s">
        <v>709</v>
      </c>
      <c r="T317" s="538" t="s">
        <v>709</v>
      </c>
      <c r="U317" s="28">
        <v>2075</v>
      </c>
      <c r="V317" s="857">
        <v>4590</v>
      </c>
      <c r="W317" s="440"/>
      <c r="X317" s="550"/>
      <c r="Y317" s="550"/>
      <c r="Z317" s="550"/>
      <c r="AA317" s="551"/>
      <c r="AB317" s="341"/>
      <c r="AC317" s="568"/>
      <c r="AD317" s="1157"/>
      <c r="AE317" s="579"/>
      <c r="AF317" s="579"/>
      <c r="AG317" s="579"/>
      <c r="AH317" s="553"/>
      <c r="AI317" s="1036"/>
      <c r="AJ317" s="1037"/>
      <c r="AK317" s="1037"/>
      <c r="AL317" s="1038"/>
      <c r="AM317" s="542" t="s">
        <v>709</v>
      </c>
      <c r="AN317" s="924"/>
      <c r="AO317" s="925"/>
      <c r="AP317" s="926"/>
      <c r="AQ317" s="926"/>
      <c r="AR317" s="926"/>
      <c r="AS317" s="926"/>
      <c r="AT317" s="926"/>
      <c r="AU317" s="926"/>
      <c r="AV317" s="926"/>
      <c r="AW317" s="927"/>
      <c r="AX317" s="926"/>
      <c r="AY317" s="1538" t="s">
        <v>29</v>
      </c>
      <c r="AZ317" s="1530"/>
      <c r="BA317" s="1031">
        <v>12</v>
      </c>
      <c r="BB317" s="644"/>
      <c r="BC317" s="544"/>
      <c r="BD317" s="544"/>
      <c r="BE317" s="544"/>
      <c r="BF317" s="544"/>
      <c r="BG317" s="544"/>
      <c r="BH317" s="741"/>
      <c r="BI317" s="547" t="s">
        <v>709</v>
      </c>
      <c r="BJ317" s="547" t="s">
        <v>709</v>
      </c>
      <c r="BK317" s="547" t="s">
        <v>709</v>
      </c>
      <c r="BL317" s="547" t="s">
        <v>116</v>
      </c>
      <c r="BM317" s="547" t="s">
        <v>709</v>
      </c>
      <c r="BN317" s="547" t="s">
        <v>709</v>
      </c>
      <c r="BO317" s="547" t="s">
        <v>709</v>
      </c>
      <c r="BP317" s="547" t="s">
        <v>709</v>
      </c>
      <c r="BQ317" s="547" t="s">
        <v>709</v>
      </c>
      <c r="BR317" s="547">
        <v>1777</v>
      </c>
      <c r="BS317" s="547">
        <v>2813</v>
      </c>
      <c r="BT317" s="547" t="s">
        <v>745</v>
      </c>
      <c r="BU317" s="547" t="s">
        <v>709</v>
      </c>
      <c r="BV317" s="547">
        <v>1</v>
      </c>
      <c r="BW317" s="547" t="s">
        <v>709</v>
      </c>
      <c r="BX317" s="547" t="s">
        <v>745</v>
      </c>
      <c r="BY317" s="547" t="s">
        <v>745</v>
      </c>
      <c r="BZ317" s="547" t="s">
        <v>709</v>
      </c>
      <c r="CA317" s="483"/>
      <c r="CB317" s="547">
        <v>315</v>
      </c>
      <c r="CC317" s="1481" t="b">
        <v>1</v>
      </c>
      <c r="CD317" t="str">
        <f>Table15[[#This Row],[Engineering Number]]&amp;Table15[[#This Row],[WO Number]]&amp;Table15[[#This Row],[Date Assigned to Designer]]&amp;Table15[[#This Row],[Date Completed]]</f>
        <v>SC172901357204417244337</v>
      </c>
    </row>
    <row r="318" spans="1:82" customFormat="1" ht="15" customHeight="1" x14ac:dyDescent="0.25">
      <c r="A318">
        <v>2021</v>
      </c>
      <c r="B318" s="8" t="s">
        <v>1108</v>
      </c>
      <c r="C318" s="662" t="s">
        <v>1109</v>
      </c>
      <c r="D318" s="656" t="s">
        <v>761</v>
      </c>
      <c r="E318" s="8" t="s">
        <v>1110</v>
      </c>
      <c r="F318" s="8" t="s">
        <v>1111</v>
      </c>
      <c r="G318" s="8" t="s">
        <v>40</v>
      </c>
      <c r="H318" s="8" t="s">
        <v>59</v>
      </c>
      <c r="I318" s="642">
        <v>44105</v>
      </c>
      <c r="J318" s="18">
        <v>44342</v>
      </c>
      <c r="K318" s="642">
        <v>44340</v>
      </c>
      <c r="L318" s="16">
        <f>IF(ISTEXT(Table15[[#This Row],[Engineering Approved Design Date]]),Table15[[#This Row],[Date Completed]]-Table15[[#This Row],[Date Assigned to Designer]],Table15[[#This Row],[Engineering Approved Design Date]]-Table15[[#This Row],[Date Completed]])</f>
        <v>2</v>
      </c>
      <c r="M318" s="642"/>
      <c r="N318" s="642" t="s">
        <v>120</v>
      </c>
      <c r="O318" s="1025">
        <v>44340</v>
      </c>
      <c r="P318" s="21" t="s">
        <v>739</v>
      </c>
      <c r="Q318" s="340">
        <f>(Table15[[#This Row],[Construction Cost to Bill From]]*0.085)+7750</f>
        <v>56111.2379</v>
      </c>
      <c r="R318" s="1026" t="s">
        <v>1055</v>
      </c>
      <c r="S318" s="538" t="s">
        <v>709</v>
      </c>
      <c r="T318" s="538" t="s">
        <v>709</v>
      </c>
      <c r="U318" s="28" t="s">
        <v>709</v>
      </c>
      <c r="V318" s="858"/>
      <c r="W318" s="437"/>
      <c r="X318" s="538">
        <v>485306.62</v>
      </c>
      <c r="Y318" s="550"/>
      <c r="Z318" s="538">
        <v>83649.119999999995</v>
      </c>
      <c r="AA318" s="538">
        <f>X318+Z318</f>
        <v>568955.74</v>
      </c>
      <c r="AB318" s="341"/>
      <c r="AC318" s="568" t="s">
        <v>116</v>
      </c>
      <c r="AD318" s="1157"/>
      <c r="AE318" s="579"/>
      <c r="AF318" s="579"/>
      <c r="AG318" s="579"/>
      <c r="AH318" s="553"/>
      <c r="AI318" s="1036"/>
      <c r="AJ318" s="1037"/>
      <c r="AK318" s="1037"/>
      <c r="AL318" s="1038"/>
      <c r="AM318" s="542" t="s">
        <v>709</v>
      </c>
      <c r="AN318" s="924"/>
      <c r="AO318" s="925"/>
      <c r="AP318" s="926"/>
      <c r="AQ318" s="926"/>
      <c r="AR318" s="926"/>
      <c r="AS318" s="926"/>
      <c r="AT318" s="926"/>
      <c r="AU318" s="926"/>
      <c r="AV318" s="926"/>
      <c r="AW318" s="927"/>
      <c r="AX318" s="926"/>
      <c r="AY318" s="1538" t="s">
        <v>29</v>
      </c>
      <c r="AZ318" s="1530"/>
      <c r="BA318" s="859" t="s">
        <v>1112</v>
      </c>
      <c r="BB318" s="644" t="s">
        <v>1113</v>
      </c>
      <c r="BC318" s="544" t="s">
        <v>116</v>
      </c>
      <c r="BD318" s="544" t="s">
        <v>709</v>
      </c>
      <c r="BE318" s="544" t="s">
        <v>1114</v>
      </c>
      <c r="BF318" s="544" t="s">
        <v>709</v>
      </c>
      <c r="BG318" s="544" t="s">
        <v>709</v>
      </c>
      <c r="BH318" s="741"/>
      <c r="BI318" s="547"/>
      <c r="BJ318" s="547"/>
      <c r="BK318" s="547"/>
      <c r="BL318" s="547"/>
      <c r="BM318" s="547"/>
      <c r="BN318" s="547"/>
      <c r="BO318" s="547"/>
      <c r="BP318" s="547"/>
      <c r="BQ318" s="547"/>
      <c r="BR318" s="547"/>
      <c r="BS318" s="547"/>
      <c r="BT318" s="547"/>
      <c r="BU318" s="547"/>
      <c r="BV318" s="547"/>
      <c r="BW318" s="547"/>
      <c r="BX318" s="547"/>
      <c r="BY318" s="547"/>
      <c r="BZ318" s="547" t="s">
        <v>709</v>
      </c>
      <c r="CA318" s="483" t="s">
        <v>1053</v>
      </c>
      <c r="CB318" s="547">
        <v>316</v>
      </c>
      <c r="CC318" s="1481" t="b">
        <v>1</v>
      </c>
      <c r="CD318" t="str">
        <f>Table15[[#This Row],[Engineering Number]]&amp;Table15[[#This Row],[WO Number]]&amp;Table15[[#This Row],[Date Assigned to Designer]]&amp;Table15[[#This Row],[Date Completed]]</f>
        <v>RS6681030744410544340</v>
      </c>
    </row>
    <row r="319" spans="1:82" customFormat="1" ht="15" customHeight="1" x14ac:dyDescent="0.25">
      <c r="A319">
        <v>2020</v>
      </c>
      <c r="B319" s="8" t="s">
        <v>1981</v>
      </c>
      <c r="C319" s="8" t="s">
        <v>2572</v>
      </c>
      <c r="D319" s="8" t="s">
        <v>3273</v>
      </c>
      <c r="E319" s="8" t="s">
        <v>2573</v>
      </c>
      <c r="F319" s="8" t="s">
        <v>919</v>
      </c>
      <c r="G319" s="8" t="s">
        <v>1896</v>
      </c>
      <c r="H319" s="8" t="s">
        <v>2051</v>
      </c>
      <c r="I319" s="642">
        <v>43913</v>
      </c>
      <c r="J319" s="18" t="s">
        <v>2052</v>
      </c>
      <c r="K319" s="642">
        <v>44340</v>
      </c>
      <c r="L319" s="16">
        <f>IF(ISTEXT(Table15[[#This Row],[Engineering Approved Design Date]]),Table15[[#This Row],[Date Completed]]-Table15[[#This Row],[Date Assigned to Designer]],Table15[[#This Row],[Engineering Approved Design Date]]-Table15[[#This Row],[Date Completed]])</f>
        <v>427</v>
      </c>
      <c r="M319" s="642" t="s">
        <v>3274</v>
      </c>
      <c r="N319" s="642" t="s">
        <v>120</v>
      </c>
      <c r="O319" s="1025">
        <v>44348</v>
      </c>
      <c r="P319" s="21" t="s">
        <v>739</v>
      </c>
      <c r="Q319" s="1151">
        <f>IF(Table15[[#This Row],[Shactee Effort]]="N",0,Table15[[#This Row],[Shactee Effort]])+IF(Table15[[#This Row],[3rd Party Effort]]="N",0,Table15[[#This Row],[3rd Party Effort]])+Table15[[#This Row],[KH Hourly Effort]]</f>
        <v>2080</v>
      </c>
      <c r="R319" s="1026" t="s">
        <v>1922</v>
      </c>
      <c r="S319" s="538" t="s">
        <v>709</v>
      </c>
      <c r="T319" s="538" t="s">
        <v>709</v>
      </c>
      <c r="U319" s="28">
        <v>2080</v>
      </c>
      <c r="V319" s="857">
        <v>0</v>
      </c>
      <c r="W319" s="440"/>
      <c r="X319" s="550"/>
      <c r="Y319" s="550"/>
      <c r="Z319" s="550"/>
      <c r="AA319" s="551"/>
      <c r="AB319" s="341"/>
      <c r="AC319" s="568"/>
      <c r="AD319" s="1157"/>
      <c r="AE319" s="579"/>
      <c r="AF319" s="579"/>
      <c r="AG319" s="579"/>
      <c r="AH319" s="553"/>
      <c r="AI319" s="1036"/>
      <c r="AJ319" s="1037"/>
      <c r="AK319" s="1037"/>
      <c r="AL319" s="1038"/>
      <c r="AM319" s="542" t="s">
        <v>709</v>
      </c>
      <c r="AN319" s="924"/>
      <c r="AO319" s="925"/>
      <c r="AP319" s="926"/>
      <c r="AQ319" s="926"/>
      <c r="AR319" s="926"/>
      <c r="AS319" s="926"/>
      <c r="AT319" s="926"/>
      <c r="AU319" s="926"/>
      <c r="AV319" s="926"/>
      <c r="AW319" s="927"/>
      <c r="AX319" s="926"/>
      <c r="AY319" s="1538" t="s">
        <v>29</v>
      </c>
      <c r="AZ319" s="1530"/>
      <c r="BA319" s="1031">
        <v>2</v>
      </c>
      <c r="BB319" s="644"/>
      <c r="BC319" s="544"/>
      <c r="BD319" s="544"/>
      <c r="BE319" s="544"/>
      <c r="BF319" s="544"/>
      <c r="BG319" s="544"/>
      <c r="BH319" s="741"/>
      <c r="BI319" s="547" t="s">
        <v>709</v>
      </c>
      <c r="BJ319" s="547" t="s">
        <v>709</v>
      </c>
      <c r="BK319" s="547" t="s">
        <v>709</v>
      </c>
      <c r="BL319" s="547" t="s">
        <v>709</v>
      </c>
      <c r="BM319" s="547" t="s">
        <v>709</v>
      </c>
      <c r="BN319" s="547" t="s">
        <v>709</v>
      </c>
      <c r="BO319" s="547" t="s">
        <v>709</v>
      </c>
      <c r="BP319" s="547" t="s">
        <v>709</v>
      </c>
      <c r="BQ319" s="547" t="s">
        <v>709</v>
      </c>
      <c r="BR319" s="547" t="s">
        <v>709</v>
      </c>
      <c r="BS319" s="547" t="s">
        <v>709</v>
      </c>
      <c r="BT319" s="547" t="s">
        <v>745</v>
      </c>
      <c r="BU319" s="547" t="s">
        <v>709</v>
      </c>
      <c r="BV319" s="547" t="s">
        <v>745</v>
      </c>
      <c r="BW319" s="547" t="s">
        <v>709</v>
      </c>
      <c r="BX319" s="547" t="s">
        <v>745</v>
      </c>
      <c r="BY319" s="547" t="s">
        <v>745</v>
      </c>
      <c r="BZ319" s="547" t="s">
        <v>709</v>
      </c>
      <c r="CA319" s="483" t="s">
        <v>2531</v>
      </c>
      <c r="CB319" s="547">
        <v>317</v>
      </c>
      <c r="CC319" s="1481" t="b">
        <v>1</v>
      </c>
      <c r="CD319" t="str">
        <f>Table15[[#This Row],[Engineering Number]]&amp;Table15[[#This Row],[WO Number]]&amp;Table15[[#This Row],[Date Assigned to Designer]]&amp;Table15[[#This Row],[Date Completed]]</f>
        <v>COR44610133000800074391344340</v>
      </c>
    </row>
    <row r="320" spans="1:82" customFormat="1" ht="15" customHeight="1" x14ac:dyDescent="0.25">
      <c r="A320">
        <v>2021</v>
      </c>
      <c r="B320" s="8" t="s">
        <v>4</v>
      </c>
      <c r="C320" s="8" t="s">
        <v>3277</v>
      </c>
      <c r="D320" s="656" t="s">
        <v>3278</v>
      </c>
      <c r="E320" s="8" t="s">
        <v>1716</v>
      </c>
      <c r="F320" s="8" t="s">
        <v>738</v>
      </c>
      <c r="G320" s="8" t="s">
        <v>39</v>
      </c>
      <c r="H320" s="8" t="s">
        <v>59</v>
      </c>
      <c r="I320" s="642">
        <v>44306</v>
      </c>
      <c r="J320" s="18">
        <v>44344</v>
      </c>
      <c r="K320" s="642">
        <v>44341</v>
      </c>
      <c r="L320" s="16">
        <f>IF(ISTEXT(Table15[[#This Row],[Engineering Approved Design Date]]),Table15[[#This Row],[Date Completed]]-Table15[[#This Row],[Date Assigned to Designer]],Table15[[#This Row],[Engineering Approved Design Date]]-Table15[[#This Row],[Date Completed]])</f>
        <v>3</v>
      </c>
      <c r="M320" s="642"/>
      <c r="N320" s="642" t="s">
        <v>120</v>
      </c>
      <c r="O320" s="1025">
        <v>44341</v>
      </c>
      <c r="P320" s="21" t="s">
        <v>739</v>
      </c>
      <c r="Q320" s="340">
        <f>R320*AA320</f>
        <v>93973.82</v>
      </c>
      <c r="R320" s="1026">
        <v>0.1</v>
      </c>
      <c r="S320" s="538" t="s">
        <v>709</v>
      </c>
      <c r="T320" s="538" t="s">
        <v>709</v>
      </c>
      <c r="U320" s="28" t="s">
        <v>709</v>
      </c>
      <c r="V320" s="858">
        <v>3630</v>
      </c>
      <c r="W320" s="437"/>
      <c r="X320" s="538">
        <v>918739.95</v>
      </c>
      <c r="Y320" s="550"/>
      <c r="Z320" s="538">
        <v>20998.25</v>
      </c>
      <c r="AA320" s="538">
        <f>X320+Z320</f>
        <v>939738.2</v>
      </c>
      <c r="AB320" s="341"/>
      <c r="AC320" s="568" t="s">
        <v>709</v>
      </c>
      <c r="AD320" s="1157"/>
      <c r="AE320" s="579"/>
      <c r="AF320" s="579"/>
      <c r="AG320" s="579"/>
      <c r="AH320" s="553"/>
      <c r="AI320" s="1036"/>
      <c r="AJ320" s="1037"/>
      <c r="AK320" s="1037"/>
      <c r="AL320" s="1038"/>
      <c r="AM320" s="542" t="s">
        <v>116</v>
      </c>
      <c r="AN320" s="1508">
        <v>44371</v>
      </c>
      <c r="AO320" s="925">
        <v>189421</v>
      </c>
      <c r="AP320" s="926">
        <v>918739.95</v>
      </c>
      <c r="AQ320" s="926"/>
      <c r="AR320" s="926">
        <v>20998.25</v>
      </c>
      <c r="AS320" s="926">
        <f>IF(Table15[[#This Row],[PCTS Approved]]="N",0,Table15[[#This Row],[Investment Amount (1'#'#'#'#'#)]]+Table15[[#This Row],[Retirement Amount (3'#'#'#'#'#)]])</f>
        <v>939738.2</v>
      </c>
      <c r="AT320" s="926">
        <f>IF(Table15[[#This Row],[Approved Construction Cost]]=0,0,Table15[[#This Row],[Approved Construction Cost]]-Table15[[#This Row],[Construction Cost to Bill From]])</f>
        <v>0</v>
      </c>
      <c r="AU320" s="926">
        <f>Table15[[#This Row],[Difference in Construction Cost]]*Table15[[#This Row],[Rate]]</f>
        <v>0</v>
      </c>
      <c r="AV320" s="926" t="s">
        <v>709</v>
      </c>
      <c r="AW320" s="927"/>
      <c r="AX320" s="926"/>
      <c r="AY320" s="636" t="s">
        <v>1935</v>
      </c>
      <c r="AZ320" s="1531"/>
      <c r="BA320" s="1031" t="s">
        <v>3279</v>
      </c>
      <c r="BB320" s="644" t="s">
        <v>1156</v>
      </c>
      <c r="BC320" s="544" t="s">
        <v>709</v>
      </c>
      <c r="BD320" s="544" t="s">
        <v>709</v>
      </c>
      <c r="BE320" s="544" t="s">
        <v>1719</v>
      </c>
      <c r="BF320" s="544" t="s">
        <v>709</v>
      </c>
      <c r="BG320" s="544" t="s">
        <v>709</v>
      </c>
      <c r="BH320" s="741"/>
      <c r="BI320" s="547" t="s">
        <v>709</v>
      </c>
      <c r="BJ320" s="547" t="s">
        <v>709</v>
      </c>
      <c r="BK320" s="547" t="s">
        <v>709</v>
      </c>
      <c r="BL320" s="547" t="s">
        <v>116</v>
      </c>
      <c r="BM320" s="547" t="s">
        <v>709</v>
      </c>
      <c r="BN320" s="547" t="s">
        <v>709</v>
      </c>
      <c r="BO320" s="547" t="s">
        <v>709</v>
      </c>
      <c r="BP320" s="547" t="s">
        <v>709</v>
      </c>
      <c r="BQ320" s="547" t="s">
        <v>709</v>
      </c>
      <c r="BR320" s="547">
        <v>654</v>
      </c>
      <c r="BS320" s="547">
        <v>2976</v>
      </c>
      <c r="BT320" s="547" t="s">
        <v>745</v>
      </c>
      <c r="BU320" s="547" t="s">
        <v>709</v>
      </c>
      <c r="BV320" s="547" t="s">
        <v>745</v>
      </c>
      <c r="BW320" s="547" t="s">
        <v>709</v>
      </c>
      <c r="BX320" s="547" t="s">
        <v>745</v>
      </c>
      <c r="BY320" s="547" t="s">
        <v>745</v>
      </c>
      <c r="BZ320" s="547" t="s">
        <v>709</v>
      </c>
      <c r="CA320" s="483"/>
      <c r="CB320" s="547">
        <v>318</v>
      </c>
      <c r="CC320" s="1481" t="b">
        <v>1</v>
      </c>
      <c r="CD320" t="str">
        <f>Table15[[#This Row],[Engineering Number]]&amp;Table15[[#This Row],[WO Number]]&amp;Table15[[#This Row],[Date Assigned to Designer]]&amp;Table15[[#This Row],[Date Completed]]</f>
        <v>N139031293484430644341</v>
      </c>
    </row>
    <row r="321" spans="1:82" customFormat="1" ht="15" customHeight="1" x14ac:dyDescent="0.25">
      <c r="A321">
        <v>2021</v>
      </c>
      <c r="B321" s="8" t="s">
        <v>4</v>
      </c>
      <c r="C321" s="8" t="s">
        <v>3281</v>
      </c>
      <c r="D321" s="8" t="s">
        <v>3282</v>
      </c>
      <c r="E321" s="8" t="s">
        <v>1633</v>
      </c>
      <c r="F321" s="8" t="s">
        <v>738</v>
      </c>
      <c r="G321" s="8" t="s">
        <v>2814</v>
      </c>
      <c r="H321" s="8" t="s">
        <v>59</v>
      </c>
      <c r="I321" s="642">
        <v>44235</v>
      </c>
      <c r="J321" s="18">
        <v>44351</v>
      </c>
      <c r="K321" s="642">
        <v>44348</v>
      </c>
      <c r="L321" s="16">
        <f>IF(ISTEXT(Table15[[#This Row],[Engineering Approved Design Date]]),Table15[[#This Row],[Date Completed]]-Table15[[#This Row],[Date Assigned to Designer]],Table15[[#This Row],[Engineering Approved Design Date]]-Table15[[#This Row],[Date Completed]])</f>
        <v>3</v>
      </c>
      <c r="M321" s="642"/>
      <c r="N321" s="642" t="s">
        <v>120</v>
      </c>
      <c r="O321" s="1025">
        <v>44348</v>
      </c>
      <c r="P321" s="21" t="s">
        <v>739</v>
      </c>
      <c r="Q321" s="1151">
        <f>R321*AA321</f>
        <v>93116.707999999999</v>
      </c>
      <c r="R321" s="1026">
        <v>0.1</v>
      </c>
      <c r="S321" s="538" t="s">
        <v>709</v>
      </c>
      <c r="T321" s="538" t="s">
        <v>709</v>
      </c>
      <c r="U321" s="28" t="s">
        <v>709</v>
      </c>
      <c r="V321" s="857"/>
      <c r="W321" s="440"/>
      <c r="X321" s="551">
        <v>887594.32</v>
      </c>
      <c r="Y321" s="550"/>
      <c r="Z321" s="551">
        <v>43572.76</v>
      </c>
      <c r="AA321" s="551">
        <f>X321+Z321</f>
        <v>931167.08</v>
      </c>
      <c r="AB321" s="341"/>
      <c r="AC321" s="568" t="s">
        <v>709</v>
      </c>
      <c r="AD321" s="1157"/>
      <c r="AE321" s="579"/>
      <c r="AF321" s="579"/>
      <c r="AG321" s="579"/>
      <c r="AH321" s="553"/>
      <c r="AI321" s="1036"/>
      <c r="AJ321" s="1037"/>
      <c r="AK321" s="1037"/>
      <c r="AL321" s="1038"/>
      <c r="AM321" s="542" t="s">
        <v>116</v>
      </c>
      <c r="AN321" s="1508">
        <v>44406</v>
      </c>
      <c r="AO321" s="925" t="s">
        <v>115</v>
      </c>
      <c r="AP321" s="926">
        <v>887594.32</v>
      </c>
      <c r="AQ321" s="926"/>
      <c r="AR321" s="926">
        <v>43572.76</v>
      </c>
      <c r="AS321" s="926">
        <f>IF(Table15[[#This Row],[PCTS Approved]]="N",0,Table15[[#This Row],[Investment Amount (1'#'#'#'#'#)]]+Table15[[#This Row],[Retirement Amount (3'#'#'#'#'#)]])</f>
        <v>931167.08</v>
      </c>
      <c r="AT321" s="926">
        <f>IF(Table15[[#This Row],[Approved Construction Cost]]=0,0,Table15[[#This Row],[Approved Construction Cost]]-Table15[[#This Row],[Construction Cost to Bill From]])</f>
        <v>0</v>
      </c>
      <c r="AU321" s="926">
        <f>Table15[[#This Row],[Difference in Construction Cost]]*Table15[[#This Row],[Rate]]</f>
        <v>0</v>
      </c>
      <c r="AV321" s="926" t="s">
        <v>709</v>
      </c>
      <c r="AW321" s="927"/>
      <c r="AX321" s="926"/>
      <c r="AY321" s="636" t="s">
        <v>1935</v>
      </c>
      <c r="AZ321" s="1531"/>
      <c r="BA321" s="1031" t="s">
        <v>3283</v>
      </c>
      <c r="BB321" s="644" t="s">
        <v>1156</v>
      </c>
      <c r="BC321" s="544" t="s">
        <v>709</v>
      </c>
      <c r="BD321" s="544" t="s">
        <v>709</v>
      </c>
      <c r="BE321" s="544" t="s">
        <v>1636</v>
      </c>
      <c r="BF321" s="544" t="s">
        <v>709</v>
      </c>
      <c r="BG321" s="544" t="s">
        <v>709</v>
      </c>
      <c r="BH321" s="741"/>
      <c r="BI321" s="547" t="s">
        <v>709</v>
      </c>
      <c r="BJ321" s="547" t="s">
        <v>709</v>
      </c>
      <c r="BK321" s="547" t="s">
        <v>709</v>
      </c>
      <c r="BL321" s="547" t="s">
        <v>116</v>
      </c>
      <c r="BM321" s="547" t="s">
        <v>709</v>
      </c>
      <c r="BN321" s="547" t="s">
        <v>709</v>
      </c>
      <c r="BO321" s="547" t="s">
        <v>709</v>
      </c>
      <c r="BP321" s="547" t="s">
        <v>709</v>
      </c>
      <c r="BQ321" s="547" t="s">
        <v>709</v>
      </c>
      <c r="BR321" s="547">
        <v>1364</v>
      </c>
      <c r="BS321" s="547">
        <v>4012</v>
      </c>
      <c r="BT321" s="547" t="s">
        <v>745</v>
      </c>
      <c r="BU321" s="547" t="s">
        <v>709</v>
      </c>
      <c r="BV321" s="547" t="s">
        <v>745</v>
      </c>
      <c r="BW321" s="547" t="s">
        <v>709</v>
      </c>
      <c r="BX321" s="547" t="s">
        <v>745</v>
      </c>
      <c r="BY321" s="547" t="s">
        <v>745</v>
      </c>
      <c r="BZ321" s="547" t="s">
        <v>709</v>
      </c>
      <c r="CA321" s="483"/>
      <c r="CB321" s="547">
        <v>319</v>
      </c>
      <c r="CC321" s="1481" t="b">
        <v>1</v>
      </c>
      <c r="CD321" t="str">
        <f>Table15[[#This Row],[Engineering Number]]&amp;Table15[[#This Row],[WO Number]]&amp;Table15[[#This Row],[Date Assigned to Designer]]&amp;Table15[[#This Row],[Date Completed]]</f>
        <v>SC159831357324423544348</v>
      </c>
    </row>
    <row r="322" spans="1:82" customFormat="1" ht="15" customHeight="1" x14ac:dyDescent="0.25">
      <c r="A322">
        <v>2021</v>
      </c>
      <c r="B322" s="8" t="s">
        <v>4</v>
      </c>
      <c r="C322" s="8" t="s">
        <v>3285</v>
      </c>
      <c r="D322" s="8" t="s">
        <v>3286</v>
      </c>
      <c r="E322" s="8" t="s">
        <v>3287</v>
      </c>
      <c r="F322" s="8" t="s">
        <v>919</v>
      </c>
      <c r="G322" s="8" t="s">
        <v>39</v>
      </c>
      <c r="H322" s="8" t="s">
        <v>59</v>
      </c>
      <c r="I322" s="642">
        <v>44301</v>
      </c>
      <c r="J322" s="18">
        <v>44351</v>
      </c>
      <c r="K322" s="642">
        <v>44350</v>
      </c>
      <c r="L322" s="16">
        <f>IF(ISTEXT(Table15[[#This Row],[Engineering Approved Design Date]]),Table15[[#This Row],[Date Completed]]-Table15[[#This Row],[Date Assigned to Designer]],Table15[[#This Row],[Engineering Approved Design Date]]-Table15[[#This Row],[Date Completed]])</f>
        <v>1</v>
      </c>
      <c r="M322" s="642"/>
      <c r="N322" s="642" t="s">
        <v>120</v>
      </c>
      <c r="O322" s="1025">
        <v>44350</v>
      </c>
      <c r="P322" s="21" t="s">
        <v>739</v>
      </c>
      <c r="Q322" s="1151">
        <f>R322*AA322</f>
        <v>18626.240000000002</v>
      </c>
      <c r="R322" s="1026">
        <v>0.1</v>
      </c>
      <c r="S322" s="538" t="s">
        <v>709</v>
      </c>
      <c r="T322" s="538" t="s">
        <v>709</v>
      </c>
      <c r="U322" s="28" t="s">
        <v>709</v>
      </c>
      <c r="V322" s="857">
        <v>1243</v>
      </c>
      <c r="W322" s="440"/>
      <c r="X322" s="551">
        <v>167106.76</v>
      </c>
      <c r="Y322" s="550"/>
      <c r="Z322" s="551">
        <v>19155.64</v>
      </c>
      <c r="AA322" s="551">
        <f>X322+Z322</f>
        <v>186262.40000000002</v>
      </c>
      <c r="AB322" s="341"/>
      <c r="AC322" s="568" t="s">
        <v>709</v>
      </c>
      <c r="AD322" s="1157"/>
      <c r="AE322" s="579"/>
      <c r="AF322" s="579"/>
      <c r="AG322" s="579"/>
      <c r="AH322" s="553"/>
      <c r="AI322" s="1036"/>
      <c r="AJ322" s="1037"/>
      <c r="AK322" s="1037"/>
      <c r="AL322" s="1038"/>
      <c r="AM322" s="542" t="s">
        <v>116</v>
      </c>
      <c r="AN322" s="1508">
        <v>44368</v>
      </c>
      <c r="AO322" s="925">
        <v>189433</v>
      </c>
      <c r="AP322" s="926">
        <v>167106.76</v>
      </c>
      <c r="AQ322" s="926"/>
      <c r="AR322" s="926">
        <v>19155.64</v>
      </c>
      <c r="AS322" s="926">
        <f>IF(Table15[[#This Row],[PCTS Approved]]="N",0,Table15[[#This Row],[Investment Amount (1'#'#'#'#'#)]]+Table15[[#This Row],[Retirement Amount (3'#'#'#'#'#)]])</f>
        <v>186262.40000000002</v>
      </c>
      <c r="AT322" s="926">
        <f>IF(Table15[[#This Row],[Approved Construction Cost]]=0,0,Table15[[#This Row],[Approved Construction Cost]]-Table15[[#This Row],[Construction Cost to Bill From]])</f>
        <v>0</v>
      </c>
      <c r="AU322" s="926">
        <f>Table15[[#This Row],[Difference in Construction Cost]]*Table15[[#This Row],[Rate]]</f>
        <v>0</v>
      </c>
      <c r="AV322" s="926">
        <v>2857.5</v>
      </c>
      <c r="AW322" s="927"/>
      <c r="AX322" s="926"/>
      <c r="AY322" s="636" t="s">
        <v>1935</v>
      </c>
      <c r="AZ322" s="1531"/>
      <c r="BA322" s="1031" t="s">
        <v>3288</v>
      </c>
      <c r="BB322" s="644" t="s">
        <v>1156</v>
      </c>
      <c r="BC322" s="544" t="s">
        <v>709</v>
      </c>
      <c r="BD322" s="544" t="s">
        <v>709</v>
      </c>
      <c r="BE322" s="544" t="s">
        <v>3289</v>
      </c>
      <c r="BF322" s="544" t="s">
        <v>709</v>
      </c>
      <c r="BG322" s="544" t="s">
        <v>709</v>
      </c>
      <c r="BH322" s="741"/>
      <c r="BI322" s="547" t="s">
        <v>709</v>
      </c>
      <c r="BJ322" s="547" t="s">
        <v>709</v>
      </c>
      <c r="BK322" s="547" t="s">
        <v>709</v>
      </c>
      <c r="BL322" s="547" t="s">
        <v>116</v>
      </c>
      <c r="BM322" s="547" t="s">
        <v>709</v>
      </c>
      <c r="BN322" s="547" t="s">
        <v>709</v>
      </c>
      <c r="BO322" s="547" t="s">
        <v>709</v>
      </c>
      <c r="BP322" s="547" t="s">
        <v>709</v>
      </c>
      <c r="BQ322" s="547" t="s">
        <v>709</v>
      </c>
      <c r="BR322" s="547" t="s">
        <v>709</v>
      </c>
      <c r="BS322" s="547">
        <v>1243</v>
      </c>
      <c r="BT322" s="547" t="s">
        <v>745</v>
      </c>
      <c r="BU322" s="547" t="s">
        <v>709</v>
      </c>
      <c r="BV322" s="547" t="s">
        <v>745</v>
      </c>
      <c r="BW322" s="547" t="s">
        <v>709</v>
      </c>
      <c r="BX322" s="547" t="s">
        <v>745</v>
      </c>
      <c r="BY322" s="547" t="s">
        <v>745</v>
      </c>
      <c r="BZ322" s="547" t="s">
        <v>709</v>
      </c>
      <c r="CA322" s="483"/>
      <c r="CB322" s="547">
        <v>320</v>
      </c>
      <c r="CC322" s="1481" t="b">
        <v>1</v>
      </c>
      <c r="CD322" t="str">
        <f>Table15[[#This Row],[Engineering Number]]&amp;Table15[[#This Row],[WO Number]]&amp;Table15[[#This Row],[Date Assigned to Designer]]&amp;Table15[[#This Row],[Date Completed]]</f>
        <v>SC185911293494430144350</v>
      </c>
    </row>
    <row r="323" spans="1:82" customFormat="1" ht="15" customHeight="1" x14ac:dyDescent="0.25">
      <c r="A323">
        <v>2021</v>
      </c>
      <c r="B323" s="8" t="s">
        <v>4</v>
      </c>
      <c r="C323" s="8" t="s">
        <v>3291</v>
      </c>
      <c r="D323" s="8" t="s">
        <v>115</v>
      </c>
      <c r="E323" s="8" t="s">
        <v>232</v>
      </c>
      <c r="F323" s="8" t="s">
        <v>919</v>
      </c>
      <c r="G323" s="8" t="s">
        <v>2814</v>
      </c>
      <c r="H323" s="8" t="s">
        <v>1681</v>
      </c>
      <c r="I323" s="642">
        <v>44341</v>
      </c>
      <c r="J323" s="18">
        <v>44379</v>
      </c>
      <c r="K323" s="642">
        <v>44351</v>
      </c>
      <c r="L323" s="16">
        <f>IF(ISTEXT(Table15[[#This Row],[Engineering Approved Design Date]]),Table15[[#This Row],[Date Completed]]-Table15[[#This Row],[Date Assigned to Designer]],Table15[[#This Row],[Engineering Approved Design Date]]-Table15[[#This Row],[Date Completed]])</f>
        <v>28</v>
      </c>
      <c r="M323" s="642"/>
      <c r="N323" s="642" t="s">
        <v>120</v>
      </c>
      <c r="O323" s="1025">
        <v>44351</v>
      </c>
      <c r="P323" s="21" t="s">
        <v>739</v>
      </c>
      <c r="Q323" s="1151" t="s">
        <v>115</v>
      </c>
      <c r="R323" s="1026" t="s">
        <v>115</v>
      </c>
      <c r="S323" s="538" t="s">
        <v>709</v>
      </c>
      <c r="T323" s="538" t="s">
        <v>709</v>
      </c>
      <c r="U323" s="28" t="s">
        <v>709</v>
      </c>
      <c r="V323" s="857"/>
      <c r="W323" s="440"/>
      <c r="X323" s="550"/>
      <c r="Y323" s="550"/>
      <c r="Z323" s="550"/>
      <c r="AA323" s="551"/>
      <c r="AB323" s="341"/>
      <c r="AC323" s="568"/>
      <c r="AD323" s="1157"/>
      <c r="AE323" s="579"/>
      <c r="AF323" s="579"/>
      <c r="AG323" s="579"/>
      <c r="AH323" s="553"/>
      <c r="AI323" s="1036"/>
      <c r="AJ323" s="1037"/>
      <c r="AK323" s="1037"/>
      <c r="AL323" s="1038"/>
      <c r="AM323" s="542" t="s">
        <v>709</v>
      </c>
      <c r="AN323" s="924"/>
      <c r="AO323" s="925"/>
      <c r="AP323" s="926"/>
      <c r="AQ323" s="926"/>
      <c r="AR323" s="926"/>
      <c r="AS323" s="926"/>
      <c r="AT323" s="926"/>
      <c r="AU323" s="926"/>
      <c r="AV323" s="926"/>
      <c r="AW323" s="927"/>
      <c r="AX323" s="926"/>
      <c r="AY323" s="1538" t="s">
        <v>29</v>
      </c>
      <c r="AZ323" s="1530"/>
      <c r="BA323" s="1031"/>
      <c r="BB323" s="644"/>
      <c r="BC323" s="544"/>
      <c r="BD323" s="544"/>
      <c r="BE323" s="544"/>
      <c r="BF323" s="544"/>
      <c r="BG323" s="544"/>
      <c r="BH323" s="741"/>
      <c r="BI323" s="1032"/>
      <c r="BJ323" s="1032"/>
      <c r="BK323" s="1032"/>
      <c r="BL323" s="1032"/>
      <c r="BM323" s="1032"/>
      <c r="BN323" s="1032"/>
      <c r="BO323" s="1032"/>
      <c r="BP323" s="1032"/>
      <c r="BQ323" s="1032"/>
      <c r="BR323" s="1032"/>
      <c r="BS323" s="1032"/>
      <c r="BT323" s="1032"/>
      <c r="BU323" s="1032"/>
      <c r="BV323" s="1032"/>
      <c r="BW323" s="1032"/>
      <c r="BX323" s="1032"/>
      <c r="BY323" s="1032"/>
      <c r="BZ323" s="1032"/>
      <c r="CA323" s="485"/>
      <c r="CB323" s="547">
        <v>321</v>
      </c>
      <c r="CC323" s="1481" t="b">
        <v>1</v>
      </c>
      <c r="CD323" t="str">
        <f>Table15[[#This Row],[Engineering Number]]&amp;Table15[[#This Row],[WO Number]]&amp;Table15[[#This Row],[Date Assigned to Designer]]&amp;Table15[[#This Row],[Date Completed]]</f>
        <v>SC19028-4434144351</v>
      </c>
    </row>
    <row r="324" spans="1:82" customFormat="1" ht="15" customHeight="1" x14ac:dyDescent="0.25">
      <c r="A324">
        <v>2021</v>
      </c>
      <c r="B324" s="8" t="s">
        <v>1162</v>
      </c>
      <c r="C324" s="8" t="s">
        <v>195</v>
      </c>
      <c r="D324" s="8" t="s">
        <v>1163</v>
      </c>
      <c r="E324" s="8" t="s">
        <v>1164</v>
      </c>
      <c r="F324" s="8" t="s">
        <v>738</v>
      </c>
      <c r="G324" s="8" t="s">
        <v>2743</v>
      </c>
      <c r="H324" s="8" t="s">
        <v>2051</v>
      </c>
      <c r="I324" s="642">
        <v>44166</v>
      </c>
      <c r="J324" s="18" t="s">
        <v>2052</v>
      </c>
      <c r="K324" s="642">
        <v>44355</v>
      </c>
      <c r="L324" s="16">
        <f>IF(ISTEXT(Table15[[#This Row],[Engineering Approved Design Date]]),Table15[[#This Row],[Date Completed]]-Table15[[#This Row],[Date Assigned to Designer]],Table15[[#This Row],[Engineering Approved Design Date]]-Table15[[#This Row],[Date Completed]])</f>
        <v>189</v>
      </c>
      <c r="M324" s="642" t="s">
        <v>2960</v>
      </c>
      <c r="N324" s="642" t="s">
        <v>120</v>
      </c>
      <c r="O324" s="1025">
        <v>44355</v>
      </c>
      <c r="P324" s="21" t="s">
        <v>739</v>
      </c>
      <c r="Q324" s="1151">
        <f>IF(Table15[[#This Row],[Shactee Effort]]="N",0,Table15[[#This Row],[Shactee Effort]])+IF(Table15[[#This Row],[3rd Party Effort]]="N",0,Table15[[#This Row],[3rd Party Effort]])+Table15[[#This Row],[KH Hourly Effort]]</f>
        <v>3332.5</v>
      </c>
      <c r="R324" s="1026" t="s">
        <v>1922</v>
      </c>
      <c r="S324" s="538" t="s">
        <v>709</v>
      </c>
      <c r="T324" s="538" t="s">
        <v>709</v>
      </c>
      <c r="U324" s="28">
        <v>3332.5</v>
      </c>
      <c r="V324" s="857">
        <v>2887</v>
      </c>
      <c r="W324" s="440"/>
      <c r="X324" s="550"/>
      <c r="Y324" s="550"/>
      <c r="Z324" s="550"/>
      <c r="AA324" s="551"/>
      <c r="AB324" s="341"/>
      <c r="AC324" s="568"/>
      <c r="AD324" s="1157"/>
      <c r="AE324" s="568" t="s">
        <v>29</v>
      </c>
      <c r="AF324" s="568" t="s">
        <v>29</v>
      </c>
      <c r="AG324" s="568" t="s">
        <v>29</v>
      </c>
      <c r="AH324" s="183" t="s">
        <v>29</v>
      </c>
      <c r="AI324" s="1036"/>
      <c r="AJ324" s="1037"/>
      <c r="AK324" s="1037"/>
      <c r="AL324" s="1038"/>
      <c r="AM324" s="542" t="s">
        <v>709</v>
      </c>
      <c r="AN324" s="924"/>
      <c r="AO324" s="925"/>
      <c r="AP324" s="926"/>
      <c r="AQ324" s="926"/>
      <c r="AR324" s="926"/>
      <c r="AS324" s="926"/>
      <c r="AT324" s="926"/>
      <c r="AU324" s="926"/>
      <c r="AV324" s="926"/>
      <c r="AW324" s="927"/>
      <c r="AX324" s="926"/>
      <c r="AY324" s="1538" t="s">
        <v>29</v>
      </c>
      <c r="AZ324" s="1530"/>
      <c r="BA324" s="1031">
        <v>3</v>
      </c>
      <c r="BB324" s="644"/>
      <c r="BC324" s="544"/>
      <c r="BD324" s="544"/>
      <c r="BE324" s="544"/>
      <c r="BF324" s="544"/>
      <c r="BG324" s="544"/>
      <c r="BH324" s="741"/>
      <c r="BI324" s="547" t="s">
        <v>709</v>
      </c>
      <c r="BJ324" s="547" t="s">
        <v>709</v>
      </c>
      <c r="BK324" s="547" t="s">
        <v>709</v>
      </c>
      <c r="BL324" s="547" t="s">
        <v>116</v>
      </c>
      <c r="BM324" s="547" t="s">
        <v>709</v>
      </c>
      <c r="BN324" s="547" t="s">
        <v>709</v>
      </c>
      <c r="BO324" s="547">
        <v>8</v>
      </c>
      <c r="BP324" s="547">
        <v>189</v>
      </c>
      <c r="BQ324" s="547">
        <v>1185</v>
      </c>
      <c r="BR324" s="547">
        <v>1755</v>
      </c>
      <c r="BS324" s="547">
        <v>93</v>
      </c>
      <c r="BT324" s="547" t="s">
        <v>745</v>
      </c>
      <c r="BU324" s="547" t="s">
        <v>709</v>
      </c>
      <c r="BV324" s="547" t="s">
        <v>745</v>
      </c>
      <c r="BW324" s="547" t="s">
        <v>709</v>
      </c>
      <c r="BX324" s="547" t="s">
        <v>745</v>
      </c>
      <c r="BY324" s="547" t="s">
        <v>745</v>
      </c>
      <c r="BZ324" s="547" t="s">
        <v>709</v>
      </c>
      <c r="CA324" s="483"/>
      <c r="CB324" s="547">
        <v>322</v>
      </c>
      <c r="CC324" s="1481" t="b">
        <v>1</v>
      </c>
      <c r="CD324" t="str">
        <f>Table15[[#This Row],[Engineering Number]]&amp;Table15[[#This Row],[WO Number]]&amp;Table15[[#This Row],[Date Assigned to Designer]]&amp;Table15[[#This Row],[Date Completed]]</f>
        <v>PRIM4801357114416644355</v>
      </c>
    </row>
    <row r="325" spans="1:82" customFormat="1" ht="15" customHeight="1" x14ac:dyDescent="0.25">
      <c r="A325">
        <v>2021</v>
      </c>
      <c r="B325" s="8" t="s">
        <v>1205</v>
      </c>
      <c r="C325" s="8" t="s">
        <v>3294</v>
      </c>
      <c r="D325" s="8" t="s">
        <v>3295</v>
      </c>
      <c r="E325" s="8" t="s">
        <v>2430</v>
      </c>
      <c r="F325" s="8" t="s">
        <v>919</v>
      </c>
      <c r="G325" s="8" t="s">
        <v>2814</v>
      </c>
      <c r="H325" s="8" t="s">
        <v>59</v>
      </c>
      <c r="I325" s="642">
        <v>44327</v>
      </c>
      <c r="J325" s="18">
        <v>44358</v>
      </c>
      <c r="K325" s="642">
        <v>44356</v>
      </c>
      <c r="L325" s="16">
        <f>IF(ISTEXT(Table15[[#This Row],[Engineering Approved Design Date]]),Table15[[#This Row],[Date Completed]]-Table15[[#This Row],[Date Assigned to Designer]],Table15[[#This Row],[Engineering Approved Design Date]]-Table15[[#This Row],[Date Completed]])</f>
        <v>2</v>
      </c>
      <c r="M325" s="642"/>
      <c r="N325" s="642" t="s">
        <v>120</v>
      </c>
      <c r="O325" s="1025">
        <v>44356</v>
      </c>
      <c r="P325" s="21" t="s">
        <v>739</v>
      </c>
      <c r="Q325" s="1151">
        <f>R325*AA325</f>
        <v>10499.5674</v>
      </c>
      <c r="R325" s="1026">
        <v>0.09</v>
      </c>
      <c r="S325" s="538" t="s">
        <v>709</v>
      </c>
      <c r="T325" s="538" t="s">
        <v>709</v>
      </c>
      <c r="U325" s="28" t="s">
        <v>709</v>
      </c>
      <c r="V325" s="857">
        <v>171</v>
      </c>
      <c r="W325" s="440"/>
      <c r="X325" s="551">
        <v>95854.67</v>
      </c>
      <c r="Y325" s="550"/>
      <c r="Z325" s="551">
        <v>20807.189999999999</v>
      </c>
      <c r="AA325" s="551">
        <f>X325+Z325</f>
        <v>116661.86</v>
      </c>
      <c r="AB325" s="341"/>
      <c r="AC325" s="568" t="s">
        <v>116</v>
      </c>
      <c r="AD325" s="1157"/>
      <c r="AE325" s="568"/>
      <c r="AF325" s="568"/>
      <c r="AG325" s="568"/>
      <c r="AH325" s="183"/>
      <c r="AI325" s="1036"/>
      <c r="AJ325" s="1037"/>
      <c r="AK325" s="1037"/>
      <c r="AL325" s="1038"/>
      <c r="AM325" s="1522" t="s">
        <v>116</v>
      </c>
      <c r="AN325" s="1523">
        <v>44384</v>
      </c>
      <c r="AO325" s="1524">
        <v>189715</v>
      </c>
      <c r="AP325" s="1525">
        <v>91466.95</v>
      </c>
      <c r="AQ325" s="1525"/>
      <c r="AR325" s="1525">
        <v>20807.189999999999</v>
      </c>
      <c r="AS325" s="1525">
        <f>IF(Table15[[#This Row],[PCTS Approved]]="N",0,Table15[[#This Row],[Investment Amount (1'#'#'#'#'#)]]+Table15[[#This Row],[Retirement Amount (3'#'#'#'#'#)]])</f>
        <v>112274.14</v>
      </c>
      <c r="AT325" s="1525">
        <f>IF(Table15[[#This Row],[Approved Construction Cost]]=0,0,Table15[[#This Row],[Approved Construction Cost]]-Table15[[#This Row],[Construction Cost to Bill From]])</f>
        <v>-4387.7200000000012</v>
      </c>
      <c r="AU325" s="1525">
        <f>Table15[[#This Row],[Difference in Construction Cost]]*Table15[[#This Row],[Rate]]</f>
        <v>-394.89480000000009</v>
      </c>
      <c r="AV325" s="1525" t="s">
        <v>709</v>
      </c>
      <c r="AW325" s="1526" t="s">
        <v>2195</v>
      </c>
      <c r="AX325" s="1525">
        <v>-394.89480000000009</v>
      </c>
      <c r="AY325" s="1518">
        <v>44501</v>
      </c>
      <c r="AZ325" s="333"/>
      <c r="BA325" s="1031" t="s">
        <v>3296</v>
      </c>
      <c r="BB325" s="644" t="s">
        <v>3297</v>
      </c>
      <c r="BC325" s="544" t="s">
        <v>709</v>
      </c>
      <c r="BD325" s="544" t="s">
        <v>882</v>
      </c>
      <c r="BE325" s="544" t="s">
        <v>3298</v>
      </c>
      <c r="BF325" s="544" t="s">
        <v>709</v>
      </c>
      <c r="BG325" s="544" t="s">
        <v>709</v>
      </c>
      <c r="BH325" s="741"/>
      <c r="BI325" s="547" t="s">
        <v>709</v>
      </c>
      <c r="BJ325" s="547" t="s">
        <v>709</v>
      </c>
      <c r="BK325" s="547" t="s">
        <v>709</v>
      </c>
      <c r="BL325" s="547" t="s">
        <v>116</v>
      </c>
      <c r="BM325" s="547" t="s">
        <v>709</v>
      </c>
      <c r="BN325" s="547" t="s">
        <v>709</v>
      </c>
      <c r="BO325" s="547" t="s">
        <v>709</v>
      </c>
      <c r="BP325" s="547" t="s">
        <v>709</v>
      </c>
      <c r="BQ325" s="547" t="s">
        <v>709</v>
      </c>
      <c r="BR325" s="547">
        <v>171</v>
      </c>
      <c r="BS325" s="547" t="s">
        <v>709</v>
      </c>
      <c r="BT325" s="547" t="s">
        <v>745</v>
      </c>
      <c r="BU325" s="547" t="s">
        <v>709</v>
      </c>
      <c r="BV325" s="547" t="s">
        <v>745</v>
      </c>
      <c r="BW325" s="547" t="s">
        <v>709</v>
      </c>
      <c r="BX325" s="547" t="s">
        <v>745</v>
      </c>
      <c r="BY325" s="547" t="s">
        <v>745</v>
      </c>
      <c r="BZ325" s="547" t="s">
        <v>709</v>
      </c>
      <c r="CA325" s="483"/>
      <c r="CB325" s="547">
        <v>323</v>
      </c>
      <c r="CC325" s="1481" t="b">
        <v>1</v>
      </c>
      <c r="CD325" t="str">
        <f>Table15[[#This Row],[Engineering Number]]&amp;Table15[[#This Row],[WO Number]]&amp;Table15[[#This Row],[Date Assigned to Designer]]&amp;Table15[[#This Row],[Date Completed]]</f>
        <v>MR17331206064432744356</v>
      </c>
    </row>
    <row r="326" spans="1:82" customFormat="1" ht="15" customHeight="1" x14ac:dyDescent="0.25">
      <c r="A326">
        <v>2021</v>
      </c>
      <c r="B326" s="8" t="s">
        <v>1073</v>
      </c>
      <c r="C326" s="8" t="s">
        <v>3300</v>
      </c>
      <c r="D326" s="8" t="s">
        <v>3301</v>
      </c>
      <c r="E326" s="8" t="s">
        <v>61</v>
      </c>
      <c r="F326" s="8" t="s">
        <v>738</v>
      </c>
      <c r="G326" s="8" t="s">
        <v>2743</v>
      </c>
      <c r="H326" s="8" t="s">
        <v>59</v>
      </c>
      <c r="I326" s="642">
        <v>44301</v>
      </c>
      <c r="J326" s="18">
        <v>44362</v>
      </c>
      <c r="K326" s="642">
        <v>44357</v>
      </c>
      <c r="L326" s="16">
        <f>IF(ISTEXT(Table15[[#This Row],[Engineering Approved Design Date]]),Table15[[#This Row],[Date Completed]]-Table15[[#This Row],[Date Assigned to Designer]],Table15[[#This Row],[Engineering Approved Design Date]]-Table15[[#This Row],[Date Completed]])</f>
        <v>5</v>
      </c>
      <c r="M326" s="642"/>
      <c r="N326" s="642" t="s">
        <v>120</v>
      </c>
      <c r="O326" s="1025">
        <v>44378</v>
      </c>
      <c r="P326" s="21" t="s">
        <v>739</v>
      </c>
      <c r="Q326" s="1151">
        <f>R326*AA326</f>
        <v>132744.02120000002</v>
      </c>
      <c r="R326" s="1026">
        <v>7.0000000000000007E-2</v>
      </c>
      <c r="S326" s="538" t="s">
        <v>709</v>
      </c>
      <c r="T326" s="538" t="s">
        <v>709</v>
      </c>
      <c r="U326" s="28" t="s">
        <v>709</v>
      </c>
      <c r="V326" s="858"/>
      <c r="W326" s="437"/>
      <c r="X326" s="538">
        <v>1896343.16</v>
      </c>
      <c r="Y326" s="551"/>
      <c r="Z326" s="538">
        <v>0</v>
      </c>
      <c r="AA326" s="538">
        <f>X326+Z326</f>
        <v>1896343.16</v>
      </c>
      <c r="AB326" s="341"/>
      <c r="AC326" s="568" t="s">
        <v>116</v>
      </c>
      <c r="AD326" s="1157"/>
      <c r="AE326" s="568"/>
      <c r="AF326" s="568"/>
      <c r="AG326" s="568"/>
      <c r="AH326" s="183"/>
      <c r="AI326" s="1036"/>
      <c r="AJ326" s="1037"/>
      <c r="AK326" s="1037"/>
      <c r="AL326" s="1038"/>
      <c r="AM326" s="542" t="s">
        <v>116</v>
      </c>
      <c r="AN326" s="1508">
        <v>44406</v>
      </c>
      <c r="AO326" s="925">
        <v>189066</v>
      </c>
      <c r="AP326" s="926">
        <v>1896343.16</v>
      </c>
      <c r="AQ326" s="926"/>
      <c r="AR326" s="926">
        <v>0</v>
      </c>
      <c r="AS326" s="926">
        <f>IF(Table15[[#This Row],[PCTS Approved]]="N",0,Table15[[#This Row],[Investment Amount (1'#'#'#'#'#)]]+Table15[[#This Row],[Retirement Amount (3'#'#'#'#'#)]])</f>
        <v>1896343.16</v>
      </c>
      <c r="AT326" s="926">
        <f>IF(Table15[[#This Row],[Approved Construction Cost]]=0,0,Table15[[#This Row],[Approved Construction Cost]]-Table15[[#This Row],[Construction Cost to Bill From]])</f>
        <v>0</v>
      </c>
      <c r="AU326" s="926">
        <f>Table15[[#This Row],[Difference in Construction Cost]]*Table15[[#This Row],[Rate]]</f>
        <v>0</v>
      </c>
      <c r="AV326" s="926" t="s">
        <v>709</v>
      </c>
      <c r="AW326" s="927"/>
      <c r="AX326" s="926"/>
      <c r="AY326" s="636" t="s">
        <v>1935</v>
      </c>
      <c r="AZ326" s="1531"/>
      <c r="BA326" s="1031" t="s">
        <v>3302</v>
      </c>
      <c r="BB326" s="644" t="s">
        <v>3303</v>
      </c>
      <c r="BC326" s="544" t="s">
        <v>709</v>
      </c>
      <c r="BD326" s="544" t="s">
        <v>709</v>
      </c>
      <c r="BE326" s="544" t="s">
        <v>2965</v>
      </c>
      <c r="BF326" s="544" t="s">
        <v>2965</v>
      </c>
      <c r="BG326" s="544" t="s">
        <v>709</v>
      </c>
      <c r="BH326" s="741"/>
      <c r="BI326" s="547" t="s">
        <v>709</v>
      </c>
      <c r="BJ326" s="547" t="s">
        <v>709</v>
      </c>
      <c r="BK326" s="547" t="s">
        <v>116</v>
      </c>
      <c r="BL326" s="547" t="s">
        <v>709</v>
      </c>
      <c r="BM326" s="547" t="s">
        <v>709</v>
      </c>
      <c r="BN326" s="547" t="s">
        <v>709</v>
      </c>
      <c r="BO326" s="547" t="s">
        <v>709</v>
      </c>
      <c r="BP326" s="547">
        <v>10896</v>
      </c>
      <c r="BQ326" s="547">
        <v>62</v>
      </c>
      <c r="BR326" s="547">
        <v>40</v>
      </c>
      <c r="BS326" s="547">
        <v>10</v>
      </c>
      <c r="BT326" s="547">
        <v>1</v>
      </c>
      <c r="BU326" s="547" t="s">
        <v>709</v>
      </c>
      <c r="BV326" s="547" t="s">
        <v>745</v>
      </c>
      <c r="BW326" s="547" t="s">
        <v>709</v>
      </c>
      <c r="BX326" s="547">
        <v>1</v>
      </c>
      <c r="BY326" s="547" t="s">
        <v>745</v>
      </c>
      <c r="BZ326" s="547" t="s">
        <v>709</v>
      </c>
      <c r="CA326" s="483" t="s">
        <v>1237</v>
      </c>
      <c r="CB326" s="547">
        <v>324</v>
      </c>
      <c r="CC326" s="1481" t="b">
        <v>1</v>
      </c>
      <c r="CD326" t="str">
        <f>Table15[[#This Row],[Engineering Number]]&amp;Table15[[#This Row],[WO Number]]&amp;Table15[[#This Row],[Date Assigned to Designer]]&amp;Table15[[#This Row],[Date Completed]]</f>
        <v>NBA18229931686794430144357</v>
      </c>
    </row>
    <row r="327" spans="1:82" customFormat="1" ht="15" customHeight="1" x14ac:dyDescent="0.25">
      <c r="A327">
        <v>2021</v>
      </c>
      <c r="B327" s="8" t="s">
        <v>771</v>
      </c>
      <c r="C327" s="8" t="s">
        <v>2845</v>
      </c>
      <c r="D327" s="8" t="s">
        <v>2846</v>
      </c>
      <c r="E327" s="8" t="s">
        <v>2847</v>
      </c>
      <c r="F327" s="8" t="s">
        <v>919</v>
      </c>
      <c r="G327" s="8" t="s">
        <v>1882</v>
      </c>
      <c r="H327" s="8" t="s">
        <v>2051</v>
      </c>
      <c r="I327" s="642">
        <v>44034</v>
      </c>
      <c r="J327" s="18" t="s">
        <v>2052</v>
      </c>
      <c r="K327" s="642">
        <v>44361</v>
      </c>
      <c r="L327" s="16">
        <f>IF(ISTEXT(Table15[[#This Row],[Engineering Approved Design Date]]),Table15[[#This Row],[Date Completed]]-Table15[[#This Row],[Date Assigned to Designer]],Table15[[#This Row],[Engineering Approved Design Date]]-Table15[[#This Row],[Date Completed]])</f>
        <v>327</v>
      </c>
      <c r="M327" s="642" t="s">
        <v>3305</v>
      </c>
      <c r="N327" s="642" t="s">
        <v>120</v>
      </c>
      <c r="O327" s="1025">
        <v>44361</v>
      </c>
      <c r="P327" s="21" t="s">
        <v>120</v>
      </c>
      <c r="Q327" s="1151">
        <f>IF(Table15[[#This Row],[Shactee Effort]]="N",0,Table15[[#This Row],[Shactee Effort]])+IF(Table15[[#This Row],[3rd Party Effort]]="N",0,Table15[[#This Row],[3rd Party Effort]])+Table15[[#This Row],[KH Hourly Effort]]</f>
        <v>1010</v>
      </c>
      <c r="R327" s="1026" t="s">
        <v>1922</v>
      </c>
      <c r="S327" s="538" t="s">
        <v>709</v>
      </c>
      <c r="T327" s="538" t="s">
        <v>709</v>
      </c>
      <c r="U327" s="28">
        <v>1010</v>
      </c>
      <c r="V327" s="857">
        <v>14703</v>
      </c>
      <c r="W327" s="440"/>
      <c r="X327" s="550"/>
      <c r="Y327" s="550"/>
      <c r="Z327" s="550"/>
      <c r="AA327" s="551"/>
      <c r="AB327" s="341"/>
      <c r="AC327" s="568"/>
      <c r="AD327" s="1157"/>
      <c r="AE327" s="568"/>
      <c r="AF327" s="568"/>
      <c r="AG327" s="568"/>
      <c r="AH327" s="183"/>
      <c r="AI327" s="1036"/>
      <c r="AJ327" s="1037"/>
      <c r="AK327" s="1037"/>
      <c r="AL327" s="1038"/>
      <c r="AM327" s="542" t="s">
        <v>709</v>
      </c>
      <c r="AN327" s="924"/>
      <c r="AO327" s="925"/>
      <c r="AP327" s="926"/>
      <c r="AQ327" s="926"/>
      <c r="AR327" s="926"/>
      <c r="AS327" s="926"/>
      <c r="AT327" s="926"/>
      <c r="AU327" s="926"/>
      <c r="AV327" s="926"/>
      <c r="AW327" s="927"/>
      <c r="AX327" s="926"/>
      <c r="AY327" s="1538" t="s">
        <v>29</v>
      </c>
      <c r="AZ327" s="1530"/>
      <c r="BA327" s="1031">
        <v>8</v>
      </c>
      <c r="BB327" s="644"/>
      <c r="BC327" s="544"/>
      <c r="BD327" s="544"/>
      <c r="BE327" s="544"/>
      <c r="BF327" s="544"/>
      <c r="BG327" s="544"/>
      <c r="BH327" s="741"/>
      <c r="BI327" s="547" t="s">
        <v>709</v>
      </c>
      <c r="BJ327" s="547" t="s">
        <v>709</v>
      </c>
      <c r="BK327" s="547" t="s">
        <v>709</v>
      </c>
      <c r="BL327" s="547" t="s">
        <v>116</v>
      </c>
      <c r="BM327" s="547" t="s">
        <v>709</v>
      </c>
      <c r="BN327" s="547" t="s">
        <v>709</v>
      </c>
      <c r="BO327" s="547" t="s">
        <v>709</v>
      </c>
      <c r="BP327" s="547" t="s">
        <v>709</v>
      </c>
      <c r="BQ327" s="547">
        <v>5817</v>
      </c>
      <c r="BR327" s="547">
        <v>2031</v>
      </c>
      <c r="BS327" s="547">
        <v>6855</v>
      </c>
      <c r="BT327" s="547" t="s">
        <v>709</v>
      </c>
      <c r="BU327" s="547" t="s">
        <v>709</v>
      </c>
      <c r="BV327" s="547" t="s">
        <v>709</v>
      </c>
      <c r="BW327" s="547" t="s">
        <v>709</v>
      </c>
      <c r="BX327" s="547" t="s">
        <v>709</v>
      </c>
      <c r="BY327" s="547" t="s">
        <v>709</v>
      </c>
      <c r="BZ327" s="547" t="s">
        <v>709</v>
      </c>
      <c r="CA327" s="483"/>
      <c r="CB327" s="547">
        <v>325</v>
      </c>
      <c r="CC327" s="1481" t="b">
        <v>1</v>
      </c>
      <c r="CD327" t="str">
        <f>Table15[[#This Row],[Engineering Number]]&amp;Table15[[#This Row],[WO Number]]&amp;Table15[[#This Row],[Date Assigned to Designer]]&amp;Table15[[#This Row],[Date Completed]]</f>
        <v>VW1241205144403444361</v>
      </c>
    </row>
    <row r="328" spans="1:82" customFormat="1" ht="15" customHeight="1" x14ac:dyDescent="0.25">
      <c r="A328">
        <v>2021</v>
      </c>
      <c r="B328" s="8" t="s">
        <v>4</v>
      </c>
      <c r="C328" s="8" t="s">
        <v>3307</v>
      </c>
      <c r="D328" s="8" t="s">
        <v>3308</v>
      </c>
      <c r="E328" s="8" t="s">
        <v>1573</v>
      </c>
      <c r="F328" s="8" t="s">
        <v>919</v>
      </c>
      <c r="G328" s="8" t="s">
        <v>1882</v>
      </c>
      <c r="H328" s="8" t="s">
        <v>59</v>
      </c>
      <c r="I328" s="642">
        <v>43909</v>
      </c>
      <c r="J328" s="1052">
        <v>44372</v>
      </c>
      <c r="K328" s="642">
        <v>44362</v>
      </c>
      <c r="L328" s="16">
        <f>IF(ISTEXT(Table15[[#This Row],[Engineering Approved Design Date]]),Table15[[#This Row],[Date Completed]]-Table15[[#This Row],[Date Assigned to Designer]],Table15[[#This Row],[Engineering Approved Design Date]]-Table15[[#This Row],[Date Completed]])</f>
        <v>10</v>
      </c>
      <c r="M328" s="642"/>
      <c r="N328" s="642" t="s">
        <v>120</v>
      </c>
      <c r="O328" s="1025">
        <v>44362</v>
      </c>
      <c r="P328" s="21" t="s">
        <v>739</v>
      </c>
      <c r="Q328" s="1151">
        <f>R328*AA328</f>
        <v>46633.564000000006</v>
      </c>
      <c r="R328" s="1026">
        <v>0.1</v>
      </c>
      <c r="S328" s="538" t="s">
        <v>709</v>
      </c>
      <c r="T328" s="538" t="s">
        <v>709</v>
      </c>
      <c r="U328" s="28" t="s">
        <v>709</v>
      </c>
      <c r="V328" s="857">
        <v>2043</v>
      </c>
      <c r="W328" s="440"/>
      <c r="X328" s="551">
        <v>355254.3</v>
      </c>
      <c r="Y328" s="550"/>
      <c r="Z328" s="551">
        <v>111081.34</v>
      </c>
      <c r="AA328" s="551">
        <f t="shared" ref="AA328:AA333" si="3">X328+Z328</f>
        <v>466335.64</v>
      </c>
      <c r="AB328" s="341"/>
      <c r="AC328" s="568" t="s">
        <v>116</v>
      </c>
      <c r="AD328" s="1157"/>
      <c r="AE328" s="579"/>
      <c r="AF328" s="579"/>
      <c r="AG328" s="579"/>
      <c r="AH328" s="553"/>
      <c r="AI328" s="1036"/>
      <c r="AJ328" s="1037"/>
      <c r="AK328" s="1037"/>
      <c r="AL328" s="1038"/>
      <c r="AM328" s="1522" t="s">
        <v>116</v>
      </c>
      <c r="AN328" s="1523">
        <v>44495</v>
      </c>
      <c r="AO328" s="1524">
        <v>11032690</v>
      </c>
      <c r="AP328" s="1525">
        <v>433722.32</v>
      </c>
      <c r="AQ328" s="1525"/>
      <c r="AR328" s="1525">
        <v>109287.08</v>
      </c>
      <c r="AS328" s="1525">
        <f>IF(Table15[[#This Row],[PCTS Approved]]="N",0,Table15[[#This Row],[Investment Amount (1'#'#'#'#'#)]]+Table15[[#This Row],[Retirement Amount (3'#'#'#'#'#)]])</f>
        <v>543009.4</v>
      </c>
      <c r="AT328" s="1525">
        <f>IF(Table15[[#This Row],[Approved Construction Cost]]=0,0,Table15[[#This Row],[Approved Construction Cost]]-Table15[[#This Row],[Construction Cost to Bill From]])</f>
        <v>76673.760000000009</v>
      </c>
      <c r="AU328" s="1525">
        <f>IFERROR(Table15[[#This Row],[Difference in Construction Cost]]*Table15[[#This Row],[Rate]],Table15[[#This Row],[Difference in Construction Cost]]*0.085)</f>
        <v>7667.3760000000011</v>
      </c>
      <c r="AV328" s="1525">
        <v>9317.5</v>
      </c>
      <c r="AW328" s="1526" t="s">
        <v>3309</v>
      </c>
      <c r="AX328" s="1525">
        <v>0</v>
      </c>
      <c r="AY328" s="1518">
        <v>45008</v>
      </c>
      <c r="AZ328" s="333"/>
      <c r="BA328" s="1031" t="s">
        <v>3310</v>
      </c>
      <c r="BB328" s="644" t="s">
        <v>2288</v>
      </c>
      <c r="BC328" s="544" t="s">
        <v>116</v>
      </c>
      <c r="BD328" s="544" t="s">
        <v>709</v>
      </c>
      <c r="BE328" s="544" t="s">
        <v>1575</v>
      </c>
      <c r="BF328" s="544" t="s">
        <v>838</v>
      </c>
      <c r="BG328" s="544" t="s">
        <v>709</v>
      </c>
      <c r="BH328" s="741"/>
      <c r="BI328" s="547" t="s">
        <v>709</v>
      </c>
      <c r="BJ328" s="547" t="s">
        <v>709</v>
      </c>
      <c r="BK328" s="547" t="s">
        <v>709</v>
      </c>
      <c r="BL328" s="547" t="s">
        <v>116</v>
      </c>
      <c r="BM328" s="547" t="s">
        <v>709</v>
      </c>
      <c r="BN328" s="547" t="s">
        <v>709</v>
      </c>
      <c r="BO328" s="547" t="s">
        <v>709</v>
      </c>
      <c r="BP328" s="547">
        <v>183</v>
      </c>
      <c r="BQ328" s="547">
        <v>913</v>
      </c>
      <c r="BR328" s="547" t="s">
        <v>709</v>
      </c>
      <c r="BS328" s="547">
        <v>947</v>
      </c>
      <c r="BT328" s="547" t="s">
        <v>745</v>
      </c>
      <c r="BU328" s="547" t="s">
        <v>709</v>
      </c>
      <c r="BV328" s="547" t="s">
        <v>745</v>
      </c>
      <c r="BW328" s="547" t="s">
        <v>709</v>
      </c>
      <c r="BX328" s="547" t="s">
        <v>745</v>
      </c>
      <c r="BY328" s="547" t="s">
        <v>745</v>
      </c>
      <c r="BZ328" s="547" t="s">
        <v>709</v>
      </c>
      <c r="CA328" s="483"/>
      <c r="CB328" s="547">
        <v>326</v>
      </c>
      <c r="CC328" s="1481" t="b">
        <v>1</v>
      </c>
      <c r="CD328" t="str">
        <f>Table15[[#This Row],[Engineering Number]]&amp;Table15[[#This Row],[WO Number]]&amp;Table15[[#This Row],[Date Assigned to Designer]]&amp;Table15[[#This Row],[Date Completed]]</f>
        <v>SC176701408314390944362</v>
      </c>
    </row>
    <row r="329" spans="1:82" customFormat="1" ht="15" customHeight="1" x14ac:dyDescent="0.25">
      <c r="A329">
        <v>2021</v>
      </c>
      <c r="B329" s="8" t="s">
        <v>1205</v>
      </c>
      <c r="C329" s="8" t="s">
        <v>1206</v>
      </c>
      <c r="D329" s="8" t="s">
        <v>1207</v>
      </c>
      <c r="E329" s="8" t="s">
        <v>1159</v>
      </c>
      <c r="F329" s="8" t="s">
        <v>919</v>
      </c>
      <c r="G329" s="8" t="s">
        <v>2743</v>
      </c>
      <c r="H329" s="8" t="s">
        <v>59</v>
      </c>
      <c r="I329" s="642">
        <v>44179</v>
      </c>
      <c r="J329" s="18">
        <v>44372</v>
      </c>
      <c r="K329" s="642">
        <v>44365</v>
      </c>
      <c r="L329" s="16">
        <f>IF(ISTEXT(Table15[[#This Row],[Engineering Approved Design Date]]),Table15[[#This Row],[Date Completed]]-Table15[[#This Row],[Date Assigned to Designer]],Table15[[#This Row],[Engineering Approved Design Date]]-Table15[[#This Row],[Date Completed]])</f>
        <v>7</v>
      </c>
      <c r="M329" s="642"/>
      <c r="N329" s="642" t="s">
        <v>120</v>
      </c>
      <c r="O329" s="1025">
        <v>44365</v>
      </c>
      <c r="P329" s="21" t="s">
        <v>739</v>
      </c>
      <c r="Q329" s="1151">
        <f>R329*AA329</f>
        <v>31711.634099999999</v>
      </c>
      <c r="R329" s="1026">
        <v>0.09</v>
      </c>
      <c r="S329" s="538" t="s">
        <v>709</v>
      </c>
      <c r="T329" s="538" t="s">
        <v>709</v>
      </c>
      <c r="U329" s="28" t="s">
        <v>709</v>
      </c>
      <c r="V329" s="857">
        <v>1362</v>
      </c>
      <c r="W329" s="440"/>
      <c r="X329" s="551">
        <v>320730.27</v>
      </c>
      <c r="Y329" s="550"/>
      <c r="Z329" s="551">
        <v>31621.22</v>
      </c>
      <c r="AA329" s="551">
        <f t="shared" si="3"/>
        <v>352351.49</v>
      </c>
      <c r="AB329" s="341"/>
      <c r="AC329" s="568" t="s">
        <v>116</v>
      </c>
      <c r="AD329" s="1157"/>
      <c r="AE329" s="568"/>
      <c r="AF329" s="568"/>
      <c r="AG329" s="568"/>
      <c r="AH329" s="183"/>
      <c r="AI329" s="1036"/>
      <c r="AJ329" s="1037"/>
      <c r="AK329" s="1037"/>
      <c r="AL329" s="1038"/>
      <c r="AM329" s="536" t="s">
        <v>116</v>
      </c>
      <c r="AN329" s="903" t="s">
        <v>709</v>
      </c>
      <c r="AO329" s="1536" t="s">
        <v>115</v>
      </c>
      <c r="AP329" s="1537"/>
      <c r="AQ329" s="1537"/>
      <c r="AR329" s="1537"/>
      <c r="AS329" s="888">
        <f>IF(Table15[[#This Row],[PCTS Approved]]="N",0,Table15[[#This Row],[Investment Amount (1'#'#'#'#'#)]]+Table15[[#This Row],[Retirement Amount (3'#'#'#'#'#)]])</f>
        <v>0</v>
      </c>
      <c r="AT329" s="888">
        <f>IF(Table15[[#This Row],[Approved Construction Cost]]=0,0,Table15[[#This Row],[Approved Construction Cost]]-Table15[[#This Row],[Construction Cost to Bill From]])</f>
        <v>0</v>
      </c>
      <c r="AU329" s="888">
        <f>IFERROR(Table15[[#This Row],[Difference in Construction Cost]]*Table15[[#This Row],[Rate]],Table15[[#This Row],[Difference in Construction Cost]]*0.085)</f>
        <v>0</v>
      </c>
      <c r="AV329" s="905"/>
      <c r="AW329" s="1509"/>
      <c r="AX329" s="888"/>
      <c r="AY329" s="636" t="s">
        <v>709</v>
      </c>
      <c r="AZ329" s="1532">
        <v>21</v>
      </c>
      <c r="BA329" s="859" t="s">
        <v>1208</v>
      </c>
      <c r="BB329" s="644" t="s">
        <v>1209</v>
      </c>
      <c r="BC329" s="544" t="s">
        <v>116</v>
      </c>
      <c r="BD329" s="544" t="s">
        <v>709</v>
      </c>
      <c r="BE329" s="544" t="s">
        <v>1210</v>
      </c>
      <c r="BF329" s="544" t="s">
        <v>709</v>
      </c>
      <c r="BG329" s="544" t="s">
        <v>1211</v>
      </c>
      <c r="BH329" s="741"/>
      <c r="BI329" s="547" t="s">
        <v>709</v>
      </c>
      <c r="BJ329" s="547" t="s">
        <v>709</v>
      </c>
      <c r="BK329" s="547" t="s">
        <v>116</v>
      </c>
      <c r="BL329" s="547" t="s">
        <v>709</v>
      </c>
      <c r="BM329" s="547" t="s">
        <v>709</v>
      </c>
      <c r="BN329" s="547" t="s">
        <v>709</v>
      </c>
      <c r="BO329" s="547" t="s">
        <v>709</v>
      </c>
      <c r="BP329" s="547">
        <v>1362</v>
      </c>
      <c r="BQ329" s="547" t="s">
        <v>709</v>
      </c>
      <c r="BR329" s="547" t="s">
        <v>709</v>
      </c>
      <c r="BS329" s="547" t="s">
        <v>709</v>
      </c>
      <c r="BT329" s="547" t="s">
        <v>745</v>
      </c>
      <c r="BU329" s="547" t="s">
        <v>709</v>
      </c>
      <c r="BV329" s="547" t="s">
        <v>745</v>
      </c>
      <c r="BW329" s="547" t="s">
        <v>709</v>
      </c>
      <c r="BX329" s="547" t="s">
        <v>745</v>
      </c>
      <c r="BY329" s="547" t="s">
        <v>745</v>
      </c>
      <c r="BZ329" s="547" t="s">
        <v>709</v>
      </c>
      <c r="CA329" s="483"/>
      <c r="CB329" s="547">
        <v>327</v>
      </c>
      <c r="CC329" s="1481" t="b">
        <v>1</v>
      </c>
      <c r="CD329" t="str">
        <f>Table15[[#This Row],[Engineering Number]]&amp;Table15[[#This Row],[WO Number]]&amp;Table15[[#This Row],[Date Assigned to Designer]]&amp;Table15[[#This Row],[Date Completed]]</f>
        <v>MR15211408534417944365</v>
      </c>
    </row>
    <row r="330" spans="1:82" customFormat="1" ht="15" customHeight="1" x14ac:dyDescent="0.25">
      <c r="A330">
        <v>2021</v>
      </c>
      <c r="B330" s="8" t="s">
        <v>4</v>
      </c>
      <c r="C330" s="8" t="s">
        <v>3321</v>
      </c>
      <c r="D330" s="8" t="s">
        <v>3322</v>
      </c>
      <c r="E330" s="8" t="s">
        <v>910</v>
      </c>
      <c r="F330" s="8" t="s">
        <v>738</v>
      </c>
      <c r="G330" s="8" t="s">
        <v>2814</v>
      </c>
      <c r="H330" s="8" t="s">
        <v>59</v>
      </c>
      <c r="I330" s="642">
        <v>44348</v>
      </c>
      <c r="J330" s="18">
        <v>44379</v>
      </c>
      <c r="K330" s="642">
        <v>44370</v>
      </c>
      <c r="L330" s="16">
        <f>IF(ISTEXT(Table15[[#This Row],[Engineering Approved Design Date]]),Table15[[#This Row],[Date Completed]]-Table15[[#This Row],[Date Assigned to Designer]],Table15[[#This Row],[Engineering Approved Design Date]]-Table15[[#This Row],[Date Completed]])</f>
        <v>9</v>
      </c>
      <c r="M330" s="642"/>
      <c r="N330" s="642" t="s">
        <v>120</v>
      </c>
      <c r="O330" s="1025">
        <v>44370</v>
      </c>
      <c r="P330" s="21" t="s">
        <v>739</v>
      </c>
      <c r="Q330" s="1151">
        <f>R330*AA330</f>
        <v>6899.0459999999994</v>
      </c>
      <c r="R330" s="1026">
        <v>0.1</v>
      </c>
      <c r="S330" s="538" t="s">
        <v>709</v>
      </c>
      <c r="T330" s="538" t="s">
        <v>709</v>
      </c>
      <c r="U330" s="28" t="s">
        <v>709</v>
      </c>
      <c r="V330" s="857">
        <v>112</v>
      </c>
      <c r="W330" s="440"/>
      <c r="X330" s="551">
        <v>52291.25</v>
      </c>
      <c r="Y330" s="550"/>
      <c r="Z330" s="551">
        <v>16699.21</v>
      </c>
      <c r="AA330" s="551">
        <f t="shared" si="3"/>
        <v>68990.459999999992</v>
      </c>
      <c r="AB330" s="341"/>
      <c r="AC330" s="568" t="s">
        <v>709</v>
      </c>
      <c r="AD330" s="1157"/>
      <c r="AE330" s="579"/>
      <c r="AF330" s="579"/>
      <c r="AG330" s="569"/>
      <c r="AH330" s="553"/>
      <c r="AI330" s="1036"/>
      <c r="AJ330" s="1037"/>
      <c r="AK330" s="1037"/>
      <c r="AL330" s="1038"/>
      <c r="AM330" s="1522" t="s">
        <v>116</v>
      </c>
      <c r="AN330" s="1523">
        <v>44391</v>
      </c>
      <c r="AO330" s="1524">
        <v>189877</v>
      </c>
      <c r="AP330" s="1525">
        <f>20787.65+38047.81</f>
        <v>58835.46</v>
      </c>
      <c r="AQ330" s="1525"/>
      <c r="AR330" s="1525">
        <v>9436.0300000000007</v>
      </c>
      <c r="AS330" s="1525">
        <f>IF(Table15[[#This Row],[PCTS Approved]]="N",0,Table15[[#This Row],[Investment Amount (1'#'#'#'#'#)]]+Table15[[#This Row],[Retirement Amount (3'#'#'#'#'#)]])</f>
        <v>68271.490000000005</v>
      </c>
      <c r="AT330" s="1525">
        <f>IF(Table15[[#This Row],[Approved Construction Cost]]=0,0,Table15[[#This Row],[Approved Construction Cost]]-Table15[[#This Row],[Construction Cost to Bill From]])</f>
        <v>-718.96999999998661</v>
      </c>
      <c r="AU330" s="1525">
        <f>Table15[[#This Row],[Difference in Construction Cost]]*Table15[[#This Row],[Rate]]</f>
        <v>-71.89699999999867</v>
      </c>
      <c r="AV330" s="1525" t="s">
        <v>709</v>
      </c>
      <c r="AW330" s="1526" t="s">
        <v>3323</v>
      </c>
      <c r="AX330" s="1525">
        <v>-71.89699999999867</v>
      </c>
      <c r="AY330" s="1518">
        <v>44501</v>
      </c>
      <c r="AZ330" s="1532"/>
      <c r="BA330" s="1031" t="s">
        <v>3324</v>
      </c>
      <c r="BB330" s="644" t="s">
        <v>3325</v>
      </c>
      <c r="BC330" s="544" t="s">
        <v>709</v>
      </c>
      <c r="BD330" s="544" t="s">
        <v>709</v>
      </c>
      <c r="BE330" s="544" t="s">
        <v>913</v>
      </c>
      <c r="BF330" s="544" t="s">
        <v>709</v>
      </c>
      <c r="BG330" s="544" t="s">
        <v>709</v>
      </c>
      <c r="BH330" s="741"/>
      <c r="BI330" s="547" t="s">
        <v>709</v>
      </c>
      <c r="BJ330" s="547" t="s">
        <v>709</v>
      </c>
      <c r="BK330" s="547" t="s">
        <v>709</v>
      </c>
      <c r="BL330" s="547" t="s">
        <v>116</v>
      </c>
      <c r="BM330" s="547" t="s">
        <v>709</v>
      </c>
      <c r="BN330" s="547" t="s">
        <v>709</v>
      </c>
      <c r="BO330" s="547" t="s">
        <v>709</v>
      </c>
      <c r="BP330" s="547" t="s">
        <v>709</v>
      </c>
      <c r="BQ330" s="547" t="s">
        <v>709</v>
      </c>
      <c r="BR330" s="547">
        <v>112</v>
      </c>
      <c r="BS330" s="547" t="s">
        <v>709</v>
      </c>
      <c r="BT330" s="547" t="s">
        <v>745</v>
      </c>
      <c r="BU330" s="547" t="s">
        <v>709</v>
      </c>
      <c r="BV330" s="547" t="s">
        <v>745</v>
      </c>
      <c r="BW330" s="547" t="s">
        <v>709</v>
      </c>
      <c r="BX330" s="547" t="s">
        <v>745</v>
      </c>
      <c r="BY330" s="547" t="s">
        <v>745</v>
      </c>
      <c r="BZ330" s="547" t="s">
        <v>709</v>
      </c>
      <c r="CA330" s="483"/>
      <c r="CB330" s="547">
        <v>328</v>
      </c>
      <c r="CC330" s="1481" t="b">
        <v>1</v>
      </c>
      <c r="CD330" t="str">
        <f>Table15[[#This Row],[Engineering Number]]&amp;Table15[[#This Row],[WO Number]]&amp;Table15[[#This Row],[Date Assigned to Designer]]&amp;Table15[[#This Row],[Date Completed]]</f>
        <v>N1463412101524434844370</v>
      </c>
    </row>
    <row r="331" spans="1:82" customFormat="1" ht="15" customHeight="1" x14ac:dyDescent="0.25">
      <c r="A331">
        <v>2021</v>
      </c>
      <c r="B331" s="8" t="s">
        <v>1108</v>
      </c>
      <c r="C331" s="656" t="s">
        <v>3313</v>
      </c>
      <c r="D331" s="656" t="s">
        <v>3314</v>
      </c>
      <c r="E331" s="8" t="s">
        <v>3315</v>
      </c>
      <c r="F331" s="8" t="s">
        <v>1111</v>
      </c>
      <c r="G331" s="8" t="s">
        <v>40</v>
      </c>
      <c r="H331" s="8" t="s">
        <v>59</v>
      </c>
      <c r="I331" s="642">
        <v>44229</v>
      </c>
      <c r="J331" s="18">
        <v>44372</v>
      </c>
      <c r="K331" s="642">
        <v>44370</v>
      </c>
      <c r="L331" s="16">
        <f>IF(ISTEXT(Table15[[#This Row],[Engineering Approved Design Date]]),Table15[[#This Row],[Date Completed]]-Table15[[#This Row],[Date Assigned to Designer]],Table15[[#This Row],[Engineering Approved Design Date]]-Table15[[#This Row],[Date Completed]])</f>
        <v>2</v>
      </c>
      <c r="M331" s="642"/>
      <c r="N331" s="642" t="s">
        <v>120</v>
      </c>
      <c r="O331" s="1025">
        <v>44370</v>
      </c>
      <c r="P331" s="21" t="s">
        <v>739</v>
      </c>
      <c r="Q331" s="1151">
        <f>(Table15[[#This Row],[Construction Cost to Bill From]]*0.085)+7750</f>
        <v>34096.7258</v>
      </c>
      <c r="R331" s="1026" t="s">
        <v>1055</v>
      </c>
      <c r="S331" s="538" t="s">
        <v>709</v>
      </c>
      <c r="T331" s="538" t="s">
        <v>709</v>
      </c>
      <c r="U331" s="28" t="s">
        <v>709</v>
      </c>
      <c r="V331" s="857">
        <f>86+18</f>
        <v>104</v>
      </c>
      <c r="W331" s="440"/>
      <c r="X331" s="551">
        <v>222805.29</v>
      </c>
      <c r="Y331" s="551"/>
      <c r="Z331" s="551">
        <v>87156.19</v>
      </c>
      <c r="AA331" s="551">
        <f t="shared" si="3"/>
        <v>309961.48</v>
      </c>
      <c r="AB331" s="341"/>
      <c r="AC331" s="568" t="s">
        <v>116</v>
      </c>
      <c r="AD331" s="1157"/>
      <c r="AE331" s="579"/>
      <c r="AF331" s="579"/>
      <c r="AG331" s="579"/>
      <c r="AH331" s="553"/>
      <c r="AI331" s="1036"/>
      <c r="AJ331" s="1037"/>
      <c r="AK331" s="1037"/>
      <c r="AL331" s="1038"/>
      <c r="AM331" s="1522" t="s">
        <v>116</v>
      </c>
      <c r="AN331" s="1523">
        <v>44642</v>
      </c>
      <c r="AO331" s="1524">
        <v>11040192</v>
      </c>
      <c r="AP331" s="1525">
        <v>0</v>
      </c>
      <c r="AQ331" s="1525"/>
      <c r="AR331" s="1525">
        <v>133138.79</v>
      </c>
      <c r="AS331" s="1525">
        <f>IF(Table15[[#This Row],[PCTS Approved]]="N",0,Table15[[#This Row],[Investment Amount (1'#'#'#'#'#)]]+Table15[[#This Row],[Retirement Amount (3'#'#'#'#'#)]])</f>
        <v>133138.79</v>
      </c>
      <c r="AT331" s="1525">
        <f>IF(Table15[[#This Row],[Approved Construction Cost]]=0,0,Table15[[#This Row],[Approved Construction Cost]]-Table15[[#This Row],[Construction Cost to Bill From]])</f>
        <v>-176822.68999999997</v>
      </c>
      <c r="AU331" s="1525">
        <f>IFERROR(Table15[[#This Row],[Difference in Construction Cost]]*Table15[[#This Row],[Rate]],Table15[[#This Row],[Difference in Construction Cost]]*0.085)</f>
        <v>-15029.928649999998</v>
      </c>
      <c r="AV331" s="1525">
        <v>2662.5</v>
      </c>
      <c r="AW331" s="1526" t="s">
        <v>3316</v>
      </c>
      <c r="AX331" s="1525">
        <v>0</v>
      </c>
      <c r="AY331" s="1518">
        <v>45008</v>
      </c>
      <c r="AZ331" s="333"/>
      <c r="BA331" s="1031" t="s">
        <v>3317</v>
      </c>
      <c r="BB331" s="644" t="s">
        <v>3318</v>
      </c>
      <c r="BC331" s="544" t="s">
        <v>709</v>
      </c>
      <c r="BD331" s="544" t="s">
        <v>709</v>
      </c>
      <c r="BE331" s="544" t="s">
        <v>3319</v>
      </c>
      <c r="BF331" s="544" t="s">
        <v>709</v>
      </c>
      <c r="BG331" s="544" t="s">
        <v>709</v>
      </c>
      <c r="BH331" s="741"/>
      <c r="BI331" s="547" t="s">
        <v>709</v>
      </c>
      <c r="BJ331" s="547" t="s">
        <v>709</v>
      </c>
      <c r="BK331" s="547" t="s">
        <v>709</v>
      </c>
      <c r="BL331" s="547" t="s">
        <v>709</v>
      </c>
      <c r="BM331" s="547" t="s">
        <v>709</v>
      </c>
      <c r="BN331" s="547" t="s">
        <v>709</v>
      </c>
      <c r="BO331" s="547" t="s">
        <v>709</v>
      </c>
      <c r="BP331" s="547">
        <v>18</v>
      </c>
      <c r="BQ331" s="547">
        <v>86</v>
      </c>
      <c r="BR331" s="547" t="s">
        <v>709</v>
      </c>
      <c r="BS331" s="547" t="s">
        <v>709</v>
      </c>
      <c r="BT331" s="547" t="s">
        <v>745</v>
      </c>
      <c r="BU331" s="547" t="s">
        <v>709</v>
      </c>
      <c r="BV331" s="547">
        <v>2</v>
      </c>
      <c r="BW331" s="547">
        <v>2</v>
      </c>
      <c r="BX331" s="547">
        <v>1</v>
      </c>
      <c r="BY331" s="547" t="s">
        <v>745</v>
      </c>
      <c r="BZ331" s="547" t="s">
        <v>709</v>
      </c>
      <c r="CA331" s="483" t="s">
        <v>769</v>
      </c>
      <c r="CB331" s="547">
        <v>329</v>
      </c>
      <c r="CC331" s="1481" t="b">
        <v>1</v>
      </c>
      <c r="CD331" t="str">
        <f>Table15[[#This Row],[Engineering Number]]&amp;Table15[[#This Row],[WO Number]]&amp;Table15[[#This Row],[Date Assigned to Designer]]&amp;Table15[[#This Row],[Date Completed]]</f>
        <v>RS8091021354422944370</v>
      </c>
    </row>
    <row r="332" spans="1:82" customFormat="1" ht="15" customHeight="1" x14ac:dyDescent="0.25">
      <c r="A332">
        <v>2021</v>
      </c>
      <c r="B332" s="8" t="s">
        <v>4</v>
      </c>
      <c r="C332" s="8" t="s">
        <v>3336</v>
      </c>
      <c r="D332" s="8" t="s">
        <v>3337</v>
      </c>
      <c r="E332" s="8" t="s">
        <v>2535</v>
      </c>
      <c r="F332" s="8" t="s">
        <v>738</v>
      </c>
      <c r="G332" s="8" t="s">
        <v>39</v>
      </c>
      <c r="H332" s="8" t="s">
        <v>59</v>
      </c>
      <c r="I332" s="642">
        <v>44348</v>
      </c>
      <c r="J332" s="18">
        <v>44377</v>
      </c>
      <c r="K332" s="642">
        <v>44372</v>
      </c>
      <c r="L332" s="16">
        <f>IF(ISTEXT(Table15[[#This Row],[Engineering Approved Design Date]]),Table15[[#This Row],[Date Completed]]-Table15[[#This Row],[Date Assigned to Designer]],Table15[[#This Row],[Engineering Approved Design Date]]-Table15[[#This Row],[Date Completed]])</f>
        <v>5</v>
      </c>
      <c r="M332" s="642"/>
      <c r="N332" s="642" t="s">
        <v>120</v>
      </c>
      <c r="O332" s="1025">
        <v>44372</v>
      </c>
      <c r="P332" s="21" t="s">
        <v>739</v>
      </c>
      <c r="Q332" s="340">
        <f>R332*AA332</f>
        <v>2075.1120000000001</v>
      </c>
      <c r="R332" s="1026">
        <v>0.1</v>
      </c>
      <c r="S332" s="538" t="s">
        <v>709</v>
      </c>
      <c r="T332" s="538" t="s">
        <v>709</v>
      </c>
      <c r="U332" s="28" t="s">
        <v>709</v>
      </c>
      <c r="V332" s="858"/>
      <c r="W332" s="437"/>
      <c r="X332" s="556"/>
      <c r="Y332" s="550"/>
      <c r="Z332" s="538">
        <v>20751.12</v>
      </c>
      <c r="AA332" s="538">
        <f t="shared" si="3"/>
        <v>20751.12</v>
      </c>
      <c r="AB332" s="341"/>
      <c r="AC332" s="568" t="s">
        <v>709</v>
      </c>
      <c r="AD332" s="1157"/>
      <c r="AE332" s="579"/>
      <c r="AF332" s="579"/>
      <c r="AG332" s="579"/>
      <c r="AH332" s="553"/>
      <c r="AI332" s="1036"/>
      <c r="AJ332" s="1037"/>
      <c r="AK332" s="1037"/>
      <c r="AL332" s="1038"/>
      <c r="AM332" s="542" t="s">
        <v>116</v>
      </c>
      <c r="AN332" s="1508">
        <v>44397</v>
      </c>
      <c r="AO332" s="925" t="s">
        <v>115</v>
      </c>
      <c r="AP332" s="926">
        <v>0</v>
      </c>
      <c r="AQ332" s="926"/>
      <c r="AR332" s="926">
        <v>20754.66</v>
      </c>
      <c r="AS332" s="926">
        <f>IF(Table15[[#This Row],[PCTS Approved]]="N",0,Table15[[#This Row],[Investment Amount (1'#'#'#'#'#)]]+Table15[[#This Row],[Retirement Amount (3'#'#'#'#'#)]])</f>
        <v>20754.66</v>
      </c>
      <c r="AT332" s="926">
        <f>IF(Table15[[#This Row],[Approved Construction Cost]]=0,0,Table15[[#This Row],[Approved Construction Cost]]-Table15[[#This Row],[Construction Cost to Bill From]])</f>
        <v>3.5400000000008731</v>
      </c>
      <c r="AU332" s="926">
        <f>Table15[[#This Row],[Difference in Construction Cost]]*Table15[[#This Row],[Rate]]</f>
        <v>0.35400000000008736</v>
      </c>
      <c r="AV332" s="926" t="s">
        <v>709</v>
      </c>
      <c r="AW332" s="927" t="s">
        <v>3338</v>
      </c>
      <c r="AX332" s="926"/>
      <c r="AY332" s="636" t="s">
        <v>1935</v>
      </c>
      <c r="AZ332" s="1531"/>
      <c r="BA332" s="1031" t="s">
        <v>3339</v>
      </c>
      <c r="BB332" s="644" t="s">
        <v>3325</v>
      </c>
      <c r="BC332" s="544" t="s">
        <v>709</v>
      </c>
      <c r="BD332" s="544" t="s">
        <v>709</v>
      </c>
      <c r="BE332" s="544" t="s">
        <v>3340</v>
      </c>
      <c r="BF332" s="544" t="s">
        <v>709</v>
      </c>
      <c r="BG332" s="544" t="s">
        <v>709</v>
      </c>
      <c r="BH332" s="741"/>
      <c r="BI332" s="547" t="s">
        <v>709</v>
      </c>
      <c r="BJ332" s="547" t="s">
        <v>709</v>
      </c>
      <c r="BK332" s="547" t="s">
        <v>709</v>
      </c>
      <c r="BL332" s="547" t="s">
        <v>709</v>
      </c>
      <c r="BM332" s="547" t="s">
        <v>709</v>
      </c>
      <c r="BN332" s="547" t="s">
        <v>709</v>
      </c>
      <c r="BO332" s="547" t="s">
        <v>709</v>
      </c>
      <c r="BP332" s="547" t="s">
        <v>709</v>
      </c>
      <c r="BQ332" s="547" t="s">
        <v>709</v>
      </c>
      <c r="BR332" s="547" t="s">
        <v>709</v>
      </c>
      <c r="BS332" s="547" t="s">
        <v>709</v>
      </c>
      <c r="BT332" s="547" t="s">
        <v>709</v>
      </c>
      <c r="BU332" s="547" t="s">
        <v>709</v>
      </c>
      <c r="BV332" s="547" t="s">
        <v>709</v>
      </c>
      <c r="BW332" s="547" t="s">
        <v>709</v>
      </c>
      <c r="BX332" s="547" t="s">
        <v>709</v>
      </c>
      <c r="BY332" s="547" t="s">
        <v>709</v>
      </c>
      <c r="BZ332" s="547" t="s">
        <v>709</v>
      </c>
      <c r="CA332" s="483" t="s">
        <v>1146</v>
      </c>
      <c r="CB332" s="547">
        <v>330</v>
      </c>
      <c r="CC332" s="1481" t="b">
        <v>1</v>
      </c>
      <c r="CD332" t="str">
        <f>Table15[[#This Row],[Engineering Number]]&amp;Table15[[#This Row],[WO Number]]&amp;Table15[[#This Row],[Date Assigned to Designer]]&amp;Table15[[#This Row],[Date Completed]]</f>
        <v>M1259932101674434844372</v>
      </c>
    </row>
    <row r="333" spans="1:82" customFormat="1" ht="15" customHeight="1" x14ac:dyDescent="0.25">
      <c r="A333">
        <v>2021</v>
      </c>
      <c r="B333" s="8" t="s">
        <v>1073</v>
      </c>
      <c r="C333" s="8" t="s">
        <v>3327</v>
      </c>
      <c r="D333" s="8" t="s">
        <v>3328</v>
      </c>
      <c r="E333" s="8" t="s">
        <v>1915</v>
      </c>
      <c r="F333" s="8" t="s">
        <v>919</v>
      </c>
      <c r="G333" s="8" t="s">
        <v>36</v>
      </c>
      <c r="H333" s="8" t="s">
        <v>59</v>
      </c>
      <c r="I333" s="642">
        <v>44308</v>
      </c>
      <c r="J333" s="18">
        <v>44378</v>
      </c>
      <c r="K333" s="642">
        <v>44372</v>
      </c>
      <c r="L333" s="16">
        <f>IF(ISTEXT(Table15[[#This Row],[Engineering Approved Design Date]]),Table15[[#This Row],[Date Completed]]-Table15[[#This Row],[Date Assigned to Designer]],Table15[[#This Row],[Engineering Approved Design Date]]-Table15[[#This Row],[Date Completed]])</f>
        <v>6</v>
      </c>
      <c r="M333" s="642"/>
      <c r="N333" s="642" t="s">
        <v>120</v>
      </c>
      <c r="O333" s="1025">
        <v>44378</v>
      </c>
      <c r="P333" s="21" t="s">
        <v>739</v>
      </c>
      <c r="Q333" s="340">
        <f>R333*AA333</f>
        <v>158539.29490000001</v>
      </c>
      <c r="R333" s="1026">
        <v>7.0000000000000007E-2</v>
      </c>
      <c r="S333" s="538" t="s">
        <v>709</v>
      </c>
      <c r="T333" s="538" t="s">
        <v>709</v>
      </c>
      <c r="U333" s="28" t="s">
        <v>709</v>
      </c>
      <c r="V333" s="857">
        <v>10766</v>
      </c>
      <c r="W333" s="440"/>
      <c r="X333" s="551">
        <v>2251432.2799999998</v>
      </c>
      <c r="Y333" s="550"/>
      <c r="Z333" s="551">
        <v>13414.79</v>
      </c>
      <c r="AA333" s="551">
        <f t="shared" si="3"/>
        <v>2264847.0699999998</v>
      </c>
      <c r="AB333" s="341"/>
      <c r="AC333" s="568" t="s">
        <v>116</v>
      </c>
      <c r="AD333" s="1157"/>
      <c r="AE333" s="568"/>
      <c r="AF333" s="568"/>
      <c r="AG333" s="568"/>
      <c r="AH333" s="183"/>
      <c r="AI333" s="1036"/>
      <c r="AJ333" s="1037"/>
      <c r="AK333" s="1037"/>
      <c r="AL333" s="1038"/>
      <c r="AM333" s="1522" t="s">
        <v>116</v>
      </c>
      <c r="AN333" s="1523">
        <v>44509</v>
      </c>
      <c r="AO333" s="1524">
        <v>11033572</v>
      </c>
      <c r="AP333" s="1525">
        <v>2273505.11</v>
      </c>
      <c r="AQ333" s="1525"/>
      <c r="AR333" s="1525">
        <v>13413.25</v>
      </c>
      <c r="AS333" s="1525">
        <f>IF(Table15[[#This Row],[PCTS Approved]]="N",0,Table15[[#This Row],[Investment Amount (1'#'#'#'#'#)]]+Table15[[#This Row],[Retirement Amount (3'#'#'#'#'#)]])</f>
        <v>2286918.36</v>
      </c>
      <c r="AT333" s="1525">
        <f>IF(Table15[[#This Row],[Approved Construction Cost]]=0,0,Table15[[#This Row],[Approved Construction Cost]]-Table15[[#This Row],[Construction Cost to Bill From]])</f>
        <v>22071.290000000037</v>
      </c>
      <c r="AU333" s="1525">
        <f>IFERROR(Table15[[#This Row],[Difference in Construction Cost]]*Table15[[#This Row],[Rate]],Table15[[#This Row],[Difference in Construction Cost]]*0.085)</f>
        <v>1544.9903000000027</v>
      </c>
      <c r="AV333" s="1525">
        <v>5670</v>
      </c>
      <c r="AW333" s="1526" t="s">
        <v>3329</v>
      </c>
      <c r="AX333" s="1525">
        <v>0</v>
      </c>
      <c r="AY333" s="1518">
        <v>45008</v>
      </c>
      <c r="AZ333" s="333"/>
      <c r="BA333" s="1031" t="s">
        <v>3330</v>
      </c>
      <c r="BB333" s="644" t="s">
        <v>3331</v>
      </c>
      <c r="BC333" s="544" t="s">
        <v>116</v>
      </c>
      <c r="BD333" s="544" t="s">
        <v>709</v>
      </c>
      <c r="BE333" s="544" t="s">
        <v>3332</v>
      </c>
      <c r="BF333" s="544" t="s">
        <v>3333</v>
      </c>
      <c r="BG333" s="544" t="s">
        <v>3334</v>
      </c>
      <c r="BH333" s="741"/>
      <c r="BI333" s="547" t="s">
        <v>709</v>
      </c>
      <c r="BJ333" s="547" t="s">
        <v>116</v>
      </c>
      <c r="BK333" s="547" t="s">
        <v>709</v>
      </c>
      <c r="BL333" s="547" t="s">
        <v>709</v>
      </c>
      <c r="BM333" s="547" t="s">
        <v>709</v>
      </c>
      <c r="BN333" s="547" t="s">
        <v>709</v>
      </c>
      <c r="BO333" s="547" t="s">
        <v>709</v>
      </c>
      <c r="BP333" s="547" t="s">
        <v>709</v>
      </c>
      <c r="BQ333" s="547">
        <v>10776</v>
      </c>
      <c r="BR333" s="547" t="s">
        <v>709</v>
      </c>
      <c r="BS333" s="547" t="s">
        <v>709</v>
      </c>
      <c r="BT333" s="547" t="s">
        <v>709</v>
      </c>
      <c r="BU333" s="547" t="s">
        <v>709</v>
      </c>
      <c r="BV333" s="547" t="s">
        <v>745</v>
      </c>
      <c r="BW333" s="547" t="s">
        <v>709</v>
      </c>
      <c r="BX333" s="547" t="s">
        <v>709</v>
      </c>
      <c r="BY333" s="547" t="s">
        <v>745</v>
      </c>
      <c r="BZ333" s="547" t="s">
        <v>709</v>
      </c>
      <c r="CA333" s="483"/>
      <c r="CB333" s="547">
        <v>331</v>
      </c>
      <c r="CC333" s="1481" t="b">
        <v>1</v>
      </c>
      <c r="CD333" t="str">
        <f>Table15[[#This Row],[Engineering Number]]&amp;Table15[[#This Row],[WO Number]]&amp;Table15[[#This Row],[Date Assigned to Designer]]&amp;Table15[[#This Row],[Date Completed]]</f>
        <v>NBA18725931931194430844372</v>
      </c>
    </row>
    <row r="334" spans="1:82" customFormat="1" ht="15" customHeight="1" x14ac:dyDescent="0.25">
      <c r="A334">
        <v>2021</v>
      </c>
      <c r="B334" s="8" t="s">
        <v>771</v>
      </c>
      <c r="C334" s="8" t="s">
        <v>3010</v>
      </c>
      <c r="D334" s="8" t="s">
        <v>3011</v>
      </c>
      <c r="E334" s="8" t="s">
        <v>3012</v>
      </c>
      <c r="F334" s="8" t="s">
        <v>919</v>
      </c>
      <c r="G334" s="8" t="s">
        <v>1882</v>
      </c>
      <c r="H334" s="8" t="s">
        <v>2396</v>
      </c>
      <c r="I334" s="642">
        <v>44138</v>
      </c>
      <c r="J334" s="18" t="s">
        <v>2397</v>
      </c>
      <c r="K334" s="642">
        <v>44376</v>
      </c>
      <c r="L334" s="16">
        <f>IF(ISTEXT(Table15[[#This Row],[Engineering Approved Design Date]]),Table15[[#This Row],[Date Completed]]-Table15[[#This Row],[Date Assigned to Designer]],Table15[[#This Row],[Engineering Approved Design Date]]-Table15[[#This Row],[Date Completed]])</f>
        <v>238</v>
      </c>
      <c r="M334" s="642"/>
      <c r="N334" s="642" t="s">
        <v>120</v>
      </c>
      <c r="O334" s="1025">
        <v>44378</v>
      </c>
      <c r="P334" s="21" t="s">
        <v>120</v>
      </c>
      <c r="Q334" s="340">
        <f>Table15[[#This Row],[KH Hourly Effort]]</f>
        <v>8282.5</v>
      </c>
      <c r="R334" s="1026" t="s">
        <v>1922</v>
      </c>
      <c r="S334" s="538" t="s">
        <v>709</v>
      </c>
      <c r="T334" s="538" t="s">
        <v>709</v>
      </c>
      <c r="U334" s="28">
        <v>8282.5</v>
      </c>
      <c r="V334" s="857">
        <v>20432</v>
      </c>
      <c r="W334" s="440"/>
      <c r="X334" s="551"/>
      <c r="Y334" s="551"/>
      <c r="Z334" s="551"/>
      <c r="AA334" s="551"/>
      <c r="AB334" s="341"/>
      <c r="AC334" s="568"/>
      <c r="AD334" s="1157"/>
      <c r="AE334" s="568"/>
      <c r="AF334" s="568"/>
      <c r="AG334" s="568"/>
      <c r="AH334" s="183"/>
      <c r="AI334" s="1036"/>
      <c r="AJ334" s="1037"/>
      <c r="AK334" s="1037"/>
      <c r="AL334" s="1038"/>
      <c r="AM334" s="542" t="s">
        <v>709</v>
      </c>
      <c r="AN334" s="924"/>
      <c r="AO334" s="925"/>
      <c r="AP334" s="926"/>
      <c r="AQ334" s="926"/>
      <c r="AR334" s="926"/>
      <c r="AS334" s="926"/>
      <c r="AT334" s="926"/>
      <c r="AU334" s="926"/>
      <c r="AV334" s="926"/>
      <c r="AW334" s="927"/>
      <c r="AX334" s="926"/>
      <c r="AY334" s="1538" t="s">
        <v>29</v>
      </c>
      <c r="AZ334" s="1530"/>
      <c r="BA334" s="1031" t="s">
        <v>3013</v>
      </c>
      <c r="BB334" s="644" t="s">
        <v>3014</v>
      </c>
      <c r="BC334" s="544" t="s">
        <v>116</v>
      </c>
      <c r="BD334" s="544" t="s">
        <v>709</v>
      </c>
      <c r="BE334" s="544" t="s">
        <v>3015</v>
      </c>
      <c r="BF334" s="544" t="s">
        <v>709</v>
      </c>
      <c r="BG334" s="544" t="s">
        <v>709</v>
      </c>
      <c r="BH334" s="741"/>
      <c r="BI334" s="547" t="s">
        <v>709</v>
      </c>
      <c r="BJ334" s="547" t="s">
        <v>709</v>
      </c>
      <c r="BK334" s="547" t="s">
        <v>709</v>
      </c>
      <c r="BL334" s="547" t="s">
        <v>116</v>
      </c>
      <c r="BM334" s="547" t="s">
        <v>709</v>
      </c>
      <c r="BN334" s="547" t="s">
        <v>709</v>
      </c>
      <c r="BO334" s="547" t="s">
        <v>709</v>
      </c>
      <c r="BP334" s="547" t="s">
        <v>709</v>
      </c>
      <c r="BQ334" s="547">
        <v>490</v>
      </c>
      <c r="BR334" s="547" t="s">
        <v>709</v>
      </c>
      <c r="BS334" s="547">
        <v>158</v>
      </c>
      <c r="BT334" s="547" t="s">
        <v>709</v>
      </c>
      <c r="BU334" s="547" t="s">
        <v>709</v>
      </c>
      <c r="BV334" s="547" t="s">
        <v>709</v>
      </c>
      <c r="BW334" s="547" t="s">
        <v>709</v>
      </c>
      <c r="BX334" s="547" t="s">
        <v>709</v>
      </c>
      <c r="BY334" s="547" t="s">
        <v>709</v>
      </c>
      <c r="BZ334" s="547" t="s">
        <v>709</v>
      </c>
      <c r="CA334" s="483"/>
      <c r="CB334" s="547">
        <v>332</v>
      </c>
      <c r="CC334" s="1481" t="b">
        <v>1</v>
      </c>
      <c r="CD334" t="str">
        <f>Table15[[#This Row],[Engineering Number]]&amp;Table15[[#This Row],[WO Number]]&amp;Table15[[#This Row],[Date Assigned to Designer]]&amp;Table15[[#This Row],[Date Completed]]</f>
        <v>BS5781205374413844376</v>
      </c>
    </row>
    <row r="335" spans="1:82" customFormat="1" ht="15" customHeight="1" x14ac:dyDescent="0.25">
      <c r="A335">
        <v>2021</v>
      </c>
      <c r="B335" s="8" t="s">
        <v>4</v>
      </c>
      <c r="C335" s="8" t="s">
        <v>3343</v>
      </c>
      <c r="D335" s="8" t="s">
        <v>3344</v>
      </c>
      <c r="E335" s="8" t="s">
        <v>1101</v>
      </c>
      <c r="F335" s="8" t="s">
        <v>919</v>
      </c>
      <c r="G335" s="8" t="s">
        <v>2814</v>
      </c>
      <c r="H335" s="8" t="s">
        <v>59</v>
      </c>
      <c r="I335" s="642">
        <v>44188</v>
      </c>
      <c r="J335" s="18">
        <v>44393</v>
      </c>
      <c r="K335" s="642">
        <v>44377</v>
      </c>
      <c r="L335" s="16">
        <f>IF(ISTEXT(Table15[[#This Row],[Engineering Approved Design Date]]),Table15[[#This Row],[Date Completed]]-Table15[[#This Row],[Date Assigned to Designer]],Table15[[#This Row],[Engineering Approved Design Date]]-Table15[[#This Row],[Date Completed]])</f>
        <v>16</v>
      </c>
      <c r="M335" s="642"/>
      <c r="N335" s="642" t="s">
        <v>120</v>
      </c>
      <c r="O335" s="1025">
        <v>44378</v>
      </c>
      <c r="P335" s="21" t="s">
        <v>739</v>
      </c>
      <c r="Q335" s="340">
        <f>R335*AA335</f>
        <v>15646.597000000002</v>
      </c>
      <c r="R335" s="1026">
        <v>0.1</v>
      </c>
      <c r="S335" s="538" t="s">
        <v>709</v>
      </c>
      <c r="T335" s="538" t="s">
        <v>709</v>
      </c>
      <c r="U335" s="28" t="s">
        <v>709</v>
      </c>
      <c r="V335" s="857">
        <v>725</v>
      </c>
      <c r="W335" s="440"/>
      <c r="X335" s="551">
        <v>131856.18</v>
      </c>
      <c r="Y335" s="551"/>
      <c r="Z335" s="551">
        <v>24609.79</v>
      </c>
      <c r="AA335" s="551">
        <f t="shared" ref="AA335:AA346" si="4">X335+Z335</f>
        <v>156465.97</v>
      </c>
      <c r="AB335" s="341"/>
      <c r="AC335" s="568" t="s">
        <v>709</v>
      </c>
      <c r="AD335" s="1157"/>
      <c r="AE335" s="579"/>
      <c r="AF335" s="579"/>
      <c r="AG335" s="569"/>
      <c r="AH335" s="553"/>
      <c r="AI335" s="1036"/>
      <c r="AJ335" s="1037"/>
      <c r="AK335" s="1037"/>
      <c r="AL335" s="1038"/>
      <c r="AM335" s="1522" t="s">
        <v>116</v>
      </c>
      <c r="AN335" s="1523">
        <v>44642</v>
      </c>
      <c r="AO335" s="1524">
        <v>11040115</v>
      </c>
      <c r="AP335" s="1525">
        <v>156443.17000000001</v>
      </c>
      <c r="AQ335" s="1525"/>
      <c r="AR335" s="1525">
        <v>117912.96000000001</v>
      </c>
      <c r="AS335" s="1525">
        <f>IF(Table15[[#This Row],[PCTS Approved]]="N",0,Table15[[#This Row],[Investment Amount (1'#'#'#'#'#)]]+Table15[[#This Row],[Retirement Amount (3'#'#'#'#'#)]])</f>
        <v>274356.13</v>
      </c>
      <c r="AT335" s="1525">
        <f>IF(Table15[[#This Row],[Approved Construction Cost]]=0,0,Table15[[#This Row],[Approved Construction Cost]]-Table15[[#This Row],[Construction Cost to Bill From]])</f>
        <v>117890.16</v>
      </c>
      <c r="AU335" s="1525">
        <f>IFERROR(Table15[[#This Row],[Difference in Construction Cost]]*Table15[[#This Row],[Rate]],Table15[[#This Row],[Difference in Construction Cost]]*0.085)</f>
        <v>11789.016000000001</v>
      </c>
      <c r="AV335" s="1525">
        <v>15672.5</v>
      </c>
      <c r="AW335" s="1526" t="s">
        <v>3345</v>
      </c>
      <c r="AX335" s="1525">
        <v>0</v>
      </c>
      <c r="AY335" s="1518">
        <v>45008</v>
      </c>
      <c r="AZ335" s="333"/>
      <c r="BA335" s="1031" t="s">
        <v>3346</v>
      </c>
      <c r="BB335" s="644" t="s">
        <v>3347</v>
      </c>
      <c r="BC335" s="544" t="s">
        <v>709</v>
      </c>
      <c r="BD335" s="544" t="s">
        <v>882</v>
      </c>
      <c r="BE335" s="544" t="s">
        <v>1106</v>
      </c>
      <c r="BF335" s="544" t="s">
        <v>709</v>
      </c>
      <c r="BG335" s="544" t="s">
        <v>709</v>
      </c>
      <c r="BH335" s="741"/>
      <c r="BI335" s="547" t="s">
        <v>709</v>
      </c>
      <c r="BJ335" s="547" t="s">
        <v>709</v>
      </c>
      <c r="BK335" s="547" t="s">
        <v>709</v>
      </c>
      <c r="BL335" s="547" t="s">
        <v>116</v>
      </c>
      <c r="BM335" s="547" t="s">
        <v>709</v>
      </c>
      <c r="BN335" s="547" t="s">
        <v>709</v>
      </c>
      <c r="BO335" s="547" t="s">
        <v>709</v>
      </c>
      <c r="BP335" s="547" t="s">
        <v>709</v>
      </c>
      <c r="BQ335" s="547" t="s">
        <v>709</v>
      </c>
      <c r="BR335" s="547" t="s">
        <v>709</v>
      </c>
      <c r="BS335" s="547">
        <v>725</v>
      </c>
      <c r="BT335" s="547" t="s">
        <v>709</v>
      </c>
      <c r="BU335" s="547" t="s">
        <v>709</v>
      </c>
      <c r="BV335" s="547" t="s">
        <v>745</v>
      </c>
      <c r="BW335" s="547" t="s">
        <v>709</v>
      </c>
      <c r="BX335" s="547" t="s">
        <v>709</v>
      </c>
      <c r="BY335" s="547" t="s">
        <v>745</v>
      </c>
      <c r="BZ335" s="547" t="s">
        <v>709</v>
      </c>
      <c r="CA335" s="483" t="s">
        <v>1237</v>
      </c>
      <c r="CB335" s="547">
        <v>334</v>
      </c>
      <c r="CC335" s="1481" t="b">
        <v>1</v>
      </c>
      <c r="CD335" t="str">
        <f>Table15[[#This Row],[Engineering Number]]&amp;Table15[[#This Row],[WO Number]]&amp;Table15[[#This Row],[Date Assigned to Designer]]&amp;Table15[[#This Row],[Date Completed]]</f>
        <v>M10905-11205584418844377</v>
      </c>
    </row>
    <row r="336" spans="1:82" customFormat="1" ht="15" customHeight="1" x14ac:dyDescent="0.25">
      <c r="A336">
        <v>2022</v>
      </c>
      <c r="B336" s="8" t="s">
        <v>771</v>
      </c>
      <c r="C336" s="8" t="s">
        <v>3349</v>
      </c>
      <c r="D336" s="8" t="s">
        <v>3350</v>
      </c>
      <c r="E336" s="8" t="s">
        <v>3351</v>
      </c>
      <c r="F336" s="8" t="s">
        <v>919</v>
      </c>
      <c r="G336" s="8" t="s">
        <v>36</v>
      </c>
      <c r="H336" s="8" t="s">
        <v>59</v>
      </c>
      <c r="I336" s="642">
        <v>44286</v>
      </c>
      <c r="J336" s="18">
        <v>44386</v>
      </c>
      <c r="K336" s="642">
        <v>44377</v>
      </c>
      <c r="L336" s="16">
        <f>IF(ISTEXT(Table15[[#This Row],[Engineering Approved Design Date]]),Table15[[#This Row],[Date Completed]]-Table15[[#This Row],[Date Assigned to Designer]],Table15[[#This Row],[Engineering Approved Design Date]]-Table15[[#This Row],[Date Completed]])</f>
        <v>9</v>
      </c>
      <c r="M336" s="642"/>
      <c r="N336" s="642" t="s">
        <v>120</v>
      </c>
      <c r="O336" s="1025">
        <v>44378</v>
      </c>
      <c r="P336" s="21" t="s">
        <v>120</v>
      </c>
      <c r="Q336" s="340">
        <f>1.55*Table15[[#This Row],[LF of Main]]</f>
        <v>17338.3</v>
      </c>
      <c r="R336" s="1026" t="s">
        <v>2087</v>
      </c>
      <c r="S336" s="538" t="s">
        <v>709</v>
      </c>
      <c r="T336" s="538" t="s">
        <v>709</v>
      </c>
      <c r="U336" s="28" t="s">
        <v>709</v>
      </c>
      <c r="V336" s="857">
        <v>11186</v>
      </c>
      <c r="W336" s="440"/>
      <c r="X336" s="551">
        <v>1545702.16</v>
      </c>
      <c r="Y336" s="551"/>
      <c r="Z336" s="551">
        <v>49461.8</v>
      </c>
      <c r="AA336" s="551">
        <f t="shared" si="4"/>
        <v>1595163.96</v>
      </c>
      <c r="AB336" s="341"/>
      <c r="AC336" s="568" t="s">
        <v>709</v>
      </c>
      <c r="AD336" s="1157"/>
      <c r="AE336" s="568"/>
      <c r="AF336" s="568"/>
      <c r="AG336" s="568"/>
      <c r="AH336" s="183"/>
      <c r="AI336" s="1036"/>
      <c r="AJ336" s="1037"/>
      <c r="AK336" s="1037"/>
      <c r="AL336" s="1038"/>
      <c r="AM336" s="542" t="s">
        <v>709</v>
      </c>
      <c r="AN336" s="924"/>
      <c r="AO336" s="925"/>
      <c r="AP336" s="926"/>
      <c r="AQ336" s="926"/>
      <c r="AR336" s="926"/>
      <c r="AS336" s="926"/>
      <c r="AT336" s="926"/>
      <c r="AU336" s="926"/>
      <c r="AV336" s="926"/>
      <c r="AW336" s="927"/>
      <c r="AX336" s="926"/>
      <c r="AY336" s="1538" t="s">
        <v>29</v>
      </c>
      <c r="AZ336" s="1530"/>
      <c r="BA336" s="1031" t="s">
        <v>3352</v>
      </c>
      <c r="BB336" s="644" t="s">
        <v>3353</v>
      </c>
      <c r="BC336" s="544" t="s">
        <v>709</v>
      </c>
      <c r="BD336" s="544" t="s">
        <v>709</v>
      </c>
      <c r="BE336" s="544" t="s">
        <v>3354</v>
      </c>
      <c r="BF336" s="544" t="s">
        <v>709</v>
      </c>
      <c r="BG336" s="544" t="s">
        <v>709</v>
      </c>
      <c r="BH336" s="741"/>
      <c r="BI336" s="547" t="s">
        <v>709</v>
      </c>
      <c r="BJ336" s="547" t="s">
        <v>709</v>
      </c>
      <c r="BK336" s="547" t="s">
        <v>709</v>
      </c>
      <c r="BL336" s="547" t="s">
        <v>116</v>
      </c>
      <c r="BM336" s="547" t="s">
        <v>709</v>
      </c>
      <c r="BN336" s="547" t="s">
        <v>709</v>
      </c>
      <c r="BO336" s="547" t="s">
        <v>709</v>
      </c>
      <c r="BP336" s="547" t="s">
        <v>709</v>
      </c>
      <c r="BQ336" s="547">
        <v>918</v>
      </c>
      <c r="BR336" s="547">
        <v>4274</v>
      </c>
      <c r="BS336" s="547">
        <v>5994</v>
      </c>
      <c r="BT336" s="547" t="s">
        <v>709</v>
      </c>
      <c r="BU336" s="547" t="s">
        <v>709</v>
      </c>
      <c r="BV336" s="547" t="s">
        <v>709</v>
      </c>
      <c r="BW336" s="547" t="s">
        <v>709</v>
      </c>
      <c r="BX336" s="547" t="s">
        <v>709</v>
      </c>
      <c r="BY336" s="547" t="s">
        <v>709</v>
      </c>
      <c r="BZ336" s="547" t="s">
        <v>709</v>
      </c>
      <c r="CA336" s="483"/>
      <c r="CB336" s="547">
        <v>333</v>
      </c>
      <c r="CC336" s="1481" t="b">
        <v>1</v>
      </c>
      <c r="CD336" t="str">
        <f>Table15[[#This Row],[Engineering Number]]&amp;Table15[[#This Row],[WO Number]]&amp;Table15[[#This Row],[Date Assigned to Designer]]&amp;Table15[[#This Row],[Date Completed]]</f>
        <v>VW1421205954428644377</v>
      </c>
    </row>
    <row r="337" spans="1:82" customFormat="1" ht="15" customHeight="1" x14ac:dyDescent="0.25">
      <c r="A337">
        <v>2021</v>
      </c>
      <c r="B337" s="8" t="s">
        <v>1073</v>
      </c>
      <c r="C337" s="8" t="s">
        <v>3356</v>
      </c>
      <c r="D337" s="647" t="s">
        <v>3357</v>
      </c>
      <c r="E337" s="8" t="s">
        <v>61</v>
      </c>
      <c r="F337" s="8" t="s">
        <v>738</v>
      </c>
      <c r="G337" s="8" t="s">
        <v>2743</v>
      </c>
      <c r="H337" s="8" t="s">
        <v>59</v>
      </c>
      <c r="I337" s="642">
        <v>44348</v>
      </c>
      <c r="J337" s="18">
        <v>44379</v>
      </c>
      <c r="K337" s="642">
        <v>44378</v>
      </c>
      <c r="L337" s="16">
        <f>IF(ISTEXT(Table15[[#This Row],[Engineering Approved Design Date]]),Table15[[#This Row],[Date Completed]]-Table15[[#This Row],[Date Assigned to Designer]],Table15[[#This Row],[Engineering Approved Design Date]]-Table15[[#This Row],[Date Completed]])</f>
        <v>1</v>
      </c>
      <c r="M337" s="642"/>
      <c r="N337" s="642" t="s">
        <v>120</v>
      </c>
      <c r="O337" s="1025">
        <v>44378</v>
      </c>
      <c r="P337" s="21" t="s">
        <v>739</v>
      </c>
      <c r="Q337" s="340">
        <f t="shared" ref="Q337:Q346" si="5">R337*AA337</f>
        <v>9617.4561000000012</v>
      </c>
      <c r="R337" s="1026">
        <v>7.0000000000000007E-2</v>
      </c>
      <c r="S337" s="538" t="s">
        <v>709</v>
      </c>
      <c r="T337" s="538" t="s">
        <v>709</v>
      </c>
      <c r="U337" s="28" t="s">
        <v>709</v>
      </c>
      <c r="V337" s="857"/>
      <c r="W337" s="440"/>
      <c r="X337" s="551">
        <f>137392.23</f>
        <v>137392.23000000001</v>
      </c>
      <c r="Y337" s="550"/>
      <c r="Z337" s="550"/>
      <c r="AA337" s="551">
        <f t="shared" si="4"/>
        <v>137392.23000000001</v>
      </c>
      <c r="AB337" s="341"/>
      <c r="AC337" s="568" t="s">
        <v>709</v>
      </c>
      <c r="AD337" s="1157"/>
      <c r="AE337" s="568"/>
      <c r="AF337" s="568"/>
      <c r="AG337" s="568"/>
      <c r="AH337" s="183"/>
      <c r="AI337" s="1036"/>
      <c r="AJ337" s="1037"/>
      <c r="AK337" s="1037"/>
      <c r="AL337" s="1038"/>
      <c r="AM337" s="1522" t="s">
        <v>116</v>
      </c>
      <c r="AN337" s="1523">
        <v>44431</v>
      </c>
      <c r="AO337" s="1524">
        <v>189320</v>
      </c>
      <c r="AP337" s="1525">
        <f>145289.13</f>
        <v>145289.13</v>
      </c>
      <c r="AQ337" s="1525"/>
      <c r="AR337" s="1525"/>
      <c r="AS337" s="1525">
        <f>IF(Table15[[#This Row],[PCTS Approved]]="N",0,Table15[[#This Row],[Investment Amount (1'#'#'#'#'#)]]+Table15[[#This Row],[Retirement Amount (3'#'#'#'#'#)]])</f>
        <v>145289.13</v>
      </c>
      <c r="AT337" s="1525">
        <f>IF(Table15[[#This Row],[Approved Construction Cost]]=0,0,Table15[[#This Row],[Approved Construction Cost]]-Table15[[#This Row],[Construction Cost to Bill From]])</f>
        <v>7896.8999999999942</v>
      </c>
      <c r="AU337" s="1525">
        <f>Table15[[#This Row],[Difference in Construction Cost]]*Table15[[#This Row],[Rate]]</f>
        <v>552.78299999999967</v>
      </c>
      <c r="AV337" s="1525" t="s">
        <v>709</v>
      </c>
      <c r="AW337" s="1526" t="s">
        <v>3358</v>
      </c>
      <c r="AX337" s="1525">
        <f>Table15[[#This Row],[Reconcile Amount]]</f>
        <v>552.78299999999967</v>
      </c>
      <c r="AY337" s="1518">
        <v>44501</v>
      </c>
      <c r="AZ337" s="1532"/>
      <c r="BA337" s="1031" t="s">
        <v>3359</v>
      </c>
      <c r="BB337" s="644" t="s">
        <v>3360</v>
      </c>
      <c r="BC337" s="544" t="s">
        <v>709</v>
      </c>
      <c r="BD337" s="544" t="s">
        <v>709</v>
      </c>
      <c r="BE337" s="544" t="s">
        <v>2965</v>
      </c>
      <c r="BF337" s="544" t="s">
        <v>2965</v>
      </c>
      <c r="BG337" s="544" t="s">
        <v>709</v>
      </c>
      <c r="BH337" s="741"/>
      <c r="BI337" s="547" t="s">
        <v>709</v>
      </c>
      <c r="BJ337" s="547" t="s">
        <v>709</v>
      </c>
      <c r="BK337" s="547" t="s">
        <v>116</v>
      </c>
      <c r="BL337" s="547" t="s">
        <v>709</v>
      </c>
      <c r="BM337" s="547" t="s">
        <v>709</v>
      </c>
      <c r="BN337" s="547" t="s">
        <v>709</v>
      </c>
      <c r="BO337" s="547" t="s">
        <v>709</v>
      </c>
      <c r="BP337" s="547">
        <v>0</v>
      </c>
      <c r="BQ337" s="547">
        <v>24</v>
      </c>
      <c r="BR337" s="547" t="s">
        <v>709</v>
      </c>
      <c r="BS337" s="547" t="s">
        <v>709</v>
      </c>
      <c r="BT337" s="547" t="s">
        <v>709</v>
      </c>
      <c r="BU337" s="547" t="s">
        <v>709</v>
      </c>
      <c r="BV337" s="547" t="s">
        <v>709</v>
      </c>
      <c r="BW337" s="547" t="s">
        <v>709</v>
      </c>
      <c r="BX337" s="547" t="s">
        <v>709</v>
      </c>
      <c r="BY337" s="547" t="s">
        <v>3361</v>
      </c>
      <c r="BZ337" s="547" t="s">
        <v>709</v>
      </c>
      <c r="CA337" s="483" t="s">
        <v>1237</v>
      </c>
      <c r="CB337" s="547">
        <v>336</v>
      </c>
      <c r="CC337" s="1481" t="b">
        <v>1</v>
      </c>
      <c r="CD337" t="str">
        <f>Table15[[#This Row],[Engineering Number]]&amp;Table15[[#This Row],[WO Number]]&amp;Table15[[#This Row],[Date Assigned to Designer]]&amp;Table15[[#This Row],[Date Completed]]</f>
        <v>NBA1822993-116101644434844378</v>
      </c>
    </row>
    <row r="338" spans="1:82" customFormat="1" ht="15" customHeight="1" x14ac:dyDescent="0.25">
      <c r="A338">
        <v>2021</v>
      </c>
      <c r="B338" s="8" t="s">
        <v>1073</v>
      </c>
      <c r="C338" s="8" t="s">
        <v>3356</v>
      </c>
      <c r="D338" s="647" t="s">
        <v>3363</v>
      </c>
      <c r="E338" s="8" t="s">
        <v>61</v>
      </c>
      <c r="F338" s="8" t="s">
        <v>738</v>
      </c>
      <c r="G338" s="8" t="s">
        <v>2743</v>
      </c>
      <c r="H338" s="8" t="s">
        <v>59</v>
      </c>
      <c r="I338" s="642">
        <v>44348</v>
      </c>
      <c r="J338" s="18">
        <v>44379</v>
      </c>
      <c r="K338" s="642">
        <v>44378</v>
      </c>
      <c r="L338" s="16">
        <f>IF(ISTEXT(Table15[[#This Row],[Engineering Approved Design Date]]),Table15[[#This Row],[Date Completed]]-Table15[[#This Row],[Date Assigned to Designer]],Table15[[#This Row],[Engineering Approved Design Date]]-Table15[[#This Row],[Date Completed]])</f>
        <v>1</v>
      </c>
      <c r="M338" s="642"/>
      <c r="N338" s="642" t="s">
        <v>120</v>
      </c>
      <c r="O338" s="1025">
        <v>44378</v>
      </c>
      <c r="P338" s="21" t="s">
        <v>739</v>
      </c>
      <c r="Q338" s="340">
        <f t="shared" si="5"/>
        <v>8404.8111000000008</v>
      </c>
      <c r="R338" s="1026">
        <v>7.0000000000000007E-2</v>
      </c>
      <c r="S338" s="538" t="s">
        <v>709</v>
      </c>
      <c r="T338" s="538" t="s">
        <v>709</v>
      </c>
      <c r="U338" s="28" t="s">
        <v>709</v>
      </c>
      <c r="V338" s="857"/>
      <c r="W338" s="440"/>
      <c r="X338" s="551">
        <f>120068.73</f>
        <v>120068.73</v>
      </c>
      <c r="Y338" s="550"/>
      <c r="Z338" s="550"/>
      <c r="AA338" s="551">
        <f t="shared" si="4"/>
        <v>120068.73</v>
      </c>
      <c r="AB338" s="341"/>
      <c r="AC338" s="568" t="s">
        <v>709</v>
      </c>
      <c r="AD338" s="1157"/>
      <c r="AE338" s="568"/>
      <c r="AF338" s="568"/>
      <c r="AG338" s="568"/>
      <c r="AH338" s="183"/>
      <c r="AI338" s="1036"/>
      <c r="AJ338" s="1037"/>
      <c r="AK338" s="1037"/>
      <c r="AL338" s="1038"/>
      <c r="AM338" s="1522" t="s">
        <v>116</v>
      </c>
      <c r="AN338" s="1523">
        <v>44431</v>
      </c>
      <c r="AO338" s="1524">
        <v>189319</v>
      </c>
      <c r="AP338" s="1525">
        <f>135343.99</f>
        <v>135343.99</v>
      </c>
      <c r="AQ338" s="1525"/>
      <c r="AR338" s="1525"/>
      <c r="AS338" s="1525">
        <f>IF(Table15[[#This Row],[PCTS Approved]]="N",0,Table15[[#This Row],[Investment Amount (1'#'#'#'#'#)]]+Table15[[#This Row],[Retirement Amount (3'#'#'#'#'#)]])</f>
        <v>135343.99</v>
      </c>
      <c r="AT338" s="1525">
        <f>IF(Table15[[#This Row],[Approved Construction Cost]]=0,0,Table15[[#This Row],[Approved Construction Cost]]-Table15[[#This Row],[Construction Cost to Bill From]])</f>
        <v>15275.259999999995</v>
      </c>
      <c r="AU338" s="1525">
        <f>Table15[[#This Row],[Difference in Construction Cost]]*Table15[[#This Row],[Rate]]</f>
        <v>1069.2681999999998</v>
      </c>
      <c r="AV338" s="1525" t="s">
        <v>709</v>
      </c>
      <c r="AW338" s="1526" t="s">
        <v>3358</v>
      </c>
      <c r="AX338" s="1525">
        <f>Table15[[#This Row],[Reconcile Amount]]</f>
        <v>1069.2681999999998</v>
      </c>
      <c r="AY338" s="1518">
        <v>44501</v>
      </c>
      <c r="AZ338" s="1532"/>
      <c r="BA338" s="1031" t="s">
        <v>3359</v>
      </c>
      <c r="BB338" s="644" t="s">
        <v>3360</v>
      </c>
      <c r="BC338" s="544" t="s">
        <v>709</v>
      </c>
      <c r="BD338" s="544" t="s">
        <v>709</v>
      </c>
      <c r="BE338" s="544" t="s">
        <v>2965</v>
      </c>
      <c r="BF338" s="544" t="s">
        <v>2965</v>
      </c>
      <c r="BG338" s="544" t="s">
        <v>709</v>
      </c>
      <c r="BH338" s="741"/>
      <c r="BI338" s="547" t="s">
        <v>709</v>
      </c>
      <c r="BJ338" s="547" t="s">
        <v>709</v>
      </c>
      <c r="BK338" s="547" t="s">
        <v>116</v>
      </c>
      <c r="BL338" s="547" t="s">
        <v>709</v>
      </c>
      <c r="BM338" s="547" t="s">
        <v>709</v>
      </c>
      <c r="BN338" s="547" t="s">
        <v>709</v>
      </c>
      <c r="BO338" s="547" t="s">
        <v>709</v>
      </c>
      <c r="BP338" s="547">
        <v>0</v>
      </c>
      <c r="BQ338" s="547">
        <v>24</v>
      </c>
      <c r="BR338" s="547" t="s">
        <v>709</v>
      </c>
      <c r="BS338" s="547" t="s">
        <v>709</v>
      </c>
      <c r="BT338" s="547" t="s">
        <v>709</v>
      </c>
      <c r="BU338" s="547" t="s">
        <v>709</v>
      </c>
      <c r="BV338" s="547" t="s">
        <v>709</v>
      </c>
      <c r="BW338" s="547" t="s">
        <v>709</v>
      </c>
      <c r="BX338" s="547" t="s">
        <v>709</v>
      </c>
      <c r="BY338" s="547" t="s">
        <v>3364</v>
      </c>
      <c r="BZ338" s="547" t="s">
        <v>709</v>
      </c>
      <c r="CA338" s="483" t="s">
        <v>1237</v>
      </c>
      <c r="CB338" s="547">
        <v>337</v>
      </c>
      <c r="CC338" s="1481" t="b">
        <v>1</v>
      </c>
      <c r="CD338" t="str">
        <f>Table15[[#This Row],[Engineering Number]]&amp;Table15[[#This Row],[WO Number]]&amp;Table15[[#This Row],[Date Assigned to Designer]]&amp;Table15[[#This Row],[Date Completed]]</f>
        <v>NBA1822993-116101634434844378</v>
      </c>
    </row>
    <row r="339" spans="1:82" customFormat="1" ht="15" customHeight="1" x14ac:dyDescent="0.25">
      <c r="A339">
        <v>2021</v>
      </c>
      <c r="B339" s="8" t="s">
        <v>1073</v>
      </c>
      <c r="C339" s="8" t="s">
        <v>3356</v>
      </c>
      <c r="D339" s="647" t="s">
        <v>3366</v>
      </c>
      <c r="E339" s="8" t="s">
        <v>61</v>
      </c>
      <c r="F339" s="8" t="s">
        <v>738</v>
      </c>
      <c r="G339" s="8" t="s">
        <v>2743</v>
      </c>
      <c r="H339" s="8" t="s">
        <v>59</v>
      </c>
      <c r="I339" s="642">
        <v>44348</v>
      </c>
      <c r="J339" s="18">
        <v>44379</v>
      </c>
      <c r="K339" s="642">
        <v>44378</v>
      </c>
      <c r="L339" s="16">
        <f>IF(ISTEXT(Table15[[#This Row],[Engineering Approved Design Date]]),Table15[[#This Row],[Date Completed]]-Table15[[#This Row],[Date Assigned to Designer]],Table15[[#This Row],[Engineering Approved Design Date]]-Table15[[#This Row],[Date Completed]])</f>
        <v>1</v>
      </c>
      <c r="M339" s="642"/>
      <c r="N339" s="642" t="s">
        <v>120</v>
      </c>
      <c r="O339" s="1025">
        <v>44378</v>
      </c>
      <c r="P339" s="21" t="s">
        <v>739</v>
      </c>
      <c r="Q339" s="340">
        <f t="shared" si="5"/>
        <v>1929.1349000000002</v>
      </c>
      <c r="R339" s="1026">
        <v>7.0000000000000007E-2</v>
      </c>
      <c r="S339" s="538" t="s">
        <v>709</v>
      </c>
      <c r="T339" s="538" t="s">
        <v>709</v>
      </c>
      <c r="U339" s="28" t="s">
        <v>709</v>
      </c>
      <c r="V339" s="857"/>
      <c r="W339" s="440"/>
      <c r="X339" s="551">
        <f>27559.07</f>
        <v>27559.07</v>
      </c>
      <c r="Y339" s="550"/>
      <c r="Z339" s="550"/>
      <c r="AA339" s="551">
        <f t="shared" si="4"/>
        <v>27559.07</v>
      </c>
      <c r="AB339" s="341"/>
      <c r="AC339" s="568" t="s">
        <v>709</v>
      </c>
      <c r="AD339" s="1157"/>
      <c r="AE339" s="568"/>
      <c r="AF339" s="568"/>
      <c r="AG339" s="568"/>
      <c r="AH339" s="183"/>
      <c r="AI339" s="1036"/>
      <c r="AJ339" s="1037"/>
      <c r="AK339" s="1037"/>
      <c r="AL339" s="1038"/>
      <c r="AM339" s="1522" t="s">
        <v>116</v>
      </c>
      <c r="AN339" s="1523">
        <v>44431</v>
      </c>
      <c r="AO339" s="1524">
        <v>190386</v>
      </c>
      <c r="AP339" s="1525">
        <f>24709.21</f>
        <v>24709.21</v>
      </c>
      <c r="AQ339" s="1525"/>
      <c r="AR339" s="1525"/>
      <c r="AS339" s="1525">
        <f>IF(Table15[[#This Row],[PCTS Approved]]="N",0,Table15[[#This Row],[Investment Amount (1'#'#'#'#'#)]]+Table15[[#This Row],[Retirement Amount (3'#'#'#'#'#)]])</f>
        <v>24709.21</v>
      </c>
      <c r="AT339" s="1525">
        <f>IF(Table15[[#This Row],[Approved Construction Cost]]=0,0,Table15[[#This Row],[Approved Construction Cost]]-Table15[[#This Row],[Construction Cost to Bill From]])</f>
        <v>-2849.8600000000006</v>
      </c>
      <c r="AU339" s="1525">
        <f>Table15[[#This Row],[Difference in Construction Cost]]*Table15[[#This Row],[Rate]]</f>
        <v>-199.49020000000007</v>
      </c>
      <c r="AV339" s="1525" t="s">
        <v>709</v>
      </c>
      <c r="AW339" s="1526" t="s">
        <v>3358</v>
      </c>
      <c r="AX339" s="1525">
        <f>Table15[[#This Row],[Reconcile Amount]]</f>
        <v>-199.49020000000007</v>
      </c>
      <c r="AY339" s="1518">
        <v>44501</v>
      </c>
      <c r="AZ339" s="1532"/>
      <c r="BA339" s="1031" t="s">
        <v>3359</v>
      </c>
      <c r="BB339" s="644" t="s">
        <v>3360</v>
      </c>
      <c r="BC339" s="544" t="s">
        <v>709</v>
      </c>
      <c r="BD339" s="544" t="s">
        <v>709</v>
      </c>
      <c r="BE339" s="544" t="s">
        <v>2965</v>
      </c>
      <c r="BF339" s="544" t="s">
        <v>2965</v>
      </c>
      <c r="BG339" s="544" t="s">
        <v>709</v>
      </c>
      <c r="BH339" s="741"/>
      <c r="BI339" s="547" t="s">
        <v>709</v>
      </c>
      <c r="BJ339" s="547" t="s">
        <v>709</v>
      </c>
      <c r="BK339" s="547" t="s">
        <v>116</v>
      </c>
      <c r="BL339" s="547" t="s">
        <v>709</v>
      </c>
      <c r="BM339" s="547" t="s">
        <v>709</v>
      </c>
      <c r="BN339" s="547" t="s">
        <v>709</v>
      </c>
      <c r="BO339" s="547" t="s">
        <v>709</v>
      </c>
      <c r="BP339" s="547">
        <v>0</v>
      </c>
      <c r="BQ339" s="547">
        <v>24</v>
      </c>
      <c r="BR339" s="547" t="s">
        <v>709</v>
      </c>
      <c r="BS339" s="547" t="s">
        <v>709</v>
      </c>
      <c r="BT339" s="547" t="s">
        <v>709</v>
      </c>
      <c r="BU339" s="547" t="s">
        <v>709</v>
      </c>
      <c r="BV339" s="547" t="s">
        <v>709</v>
      </c>
      <c r="BW339" s="547" t="s">
        <v>709</v>
      </c>
      <c r="BX339" s="547" t="s">
        <v>709</v>
      </c>
      <c r="BY339" s="547" t="s">
        <v>709</v>
      </c>
      <c r="BZ339" s="547" t="s">
        <v>709</v>
      </c>
      <c r="CA339" s="483" t="s">
        <v>1237</v>
      </c>
      <c r="CB339" s="547">
        <v>338</v>
      </c>
      <c r="CC339" s="1481" t="b">
        <v>1</v>
      </c>
      <c r="CD339" t="str">
        <f>Table15[[#This Row],[Engineering Number]]&amp;Table15[[#This Row],[WO Number]]&amp;Table15[[#This Row],[Date Assigned to Designer]]&amp;Table15[[#This Row],[Date Completed]]</f>
        <v>NBA1822993-116101594434844378</v>
      </c>
    </row>
    <row r="340" spans="1:82" customFormat="1" ht="15" customHeight="1" x14ac:dyDescent="0.25">
      <c r="A340">
        <v>2021</v>
      </c>
      <c r="B340" s="8" t="s">
        <v>1073</v>
      </c>
      <c r="C340" s="8" t="s">
        <v>3356</v>
      </c>
      <c r="D340" s="647" t="s">
        <v>3368</v>
      </c>
      <c r="E340" s="8" t="s">
        <v>61</v>
      </c>
      <c r="F340" s="8" t="s">
        <v>738</v>
      </c>
      <c r="G340" s="8" t="s">
        <v>2743</v>
      </c>
      <c r="H340" s="8" t="s">
        <v>59</v>
      </c>
      <c r="I340" s="642">
        <v>44348</v>
      </c>
      <c r="J340" s="18">
        <v>44379</v>
      </c>
      <c r="K340" s="642">
        <v>44378</v>
      </c>
      <c r="L340" s="16">
        <f>IF(ISTEXT(Table15[[#This Row],[Engineering Approved Design Date]]),Table15[[#This Row],[Date Completed]]-Table15[[#This Row],[Date Assigned to Designer]],Table15[[#This Row],[Engineering Approved Design Date]]-Table15[[#This Row],[Date Completed]])</f>
        <v>1</v>
      </c>
      <c r="M340" s="642"/>
      <c r="N340" s="642" t="s">
        <v>120</v>
      </c>
      <c r="O340" s="1025">
        <v>44378</v>
      </c>
      <c r="P340" s="21" t="s">
        <v>739</v>
      </c>
      <c r="Q340" s="340">
        <f t="shared" si="5"/>
        <v>1929.1349000000002</v>
      </c>
      <c r="R340" s="1026">
        <v>7.0000000000000007E-2</v>
      </c>
      <c r="S340" s="538" t="s">
        <v>709</v>
      </c>
      <c r="T340" s="538" t="s">
        <v>709</v>
      </c>
      <c r="U340" s="28" t="s">
        <v>709</v>
      </c>
      <c r="V340" s="857"/>
      <c r="W340" s="440"/>
      <c r="X340" s="551">
        <f>27559.07</f>
        <v>27559.07</v>
      </c>
      <c r="Y340" s="550"/>
      <c r="Z340" s="550"/>
      <c r="AA340" s="551">
        <f t="shared" si="4"/>
        <v>27559.07</v>
      </c>
      <c r="AB340" s="341"/>
      <c r="AC340" s="568" t="s">
        <v>709</v>
      </c>
      <c r="AD340" s="1157"/>
      <c r="AE340" s="568"/>
      <c r="AF340" s="568"/>
      <c r="AG340" s="568"/>
      <c r="AH340" s="183"/>
      <c r="AI340" s="1036"/>
      <c r="AJ340" s="1037"/>
      <c r="AK340" s="1037"/>
      <c r="AL340" s="1038"/>
      <c r="AM340" s="1522" t="s">
        <v>116</v>
      </c>
      <c r="AN340" s="1523">
        <v>44431</v>
      </c>
      <c r="AO340" s="1524">
        <v>190387</v>
      </c>
      <c r="AP340" s="1525">
        <f>27435.77</f>
        <v>27435.77</v>
      </c>
      <c r="AQ340" s="1525"/>
      <c r="AR340" s="1525"/>
      <c r="AS340" s="1525">
        <f>IF(Table15[[#This Row],[PCTS Approved]]="N",0,Table15[[#This Row],[Investment Amount (1'#'#'#'#'#)]]+Table15[[#This Row],[Retirement Amount (3'#'#'#'#'#)]])</f>
        <v>27435.77</v>
      </c>
      <c r="AT340" s="1525">
        <f>IF(Table15[[#This Row],[Approved Construction Cost]]=0,0,Table15[[#This Row],[Approved Construction Cost]]-Table15[[#This Row],[Construction Cost to Bill From]])</f>
        <v>-123.29999999999927</v>
      </c>
      <c r="AU340" s="1525">
        <f>Table15[[#This Row],[Difference in Construction Cost]]*Table15[[#This Row],[Rate]]</f>
        <v>-8.6309999999999505</v>
      </c>
      <c r="AV340" s="1525" t="s">
        <v>709</v>
      </c>
      <c r="AW340" s="1526" t="s">
        <v>3358</v>
      </c>
      <c r="AX340" s="1525">
        <f>Table15[[#This Row],[Reconcile Amount]]</f>
        <v>-8.6309999999999505</v>
      </c>
      <c r="AY340" s="1518">
        <v>44501</v>
      </c>
      <c r="AZ340" s="1532"/>
      <c r="BA340" s="1031" t="s">
        <v>3359</v>
      </c>
      <c r="BB340" s="644" t="s">
        <v>3360</v>
      </c>
      <c r="BC340" s="544" t="s">
        <v>709</v>
      </c>
      <c r="BD340" s="544" t="s">
        <v>709</v>
      </c>
      <c r="BE340" s="544" t="s">
        <v>2965</v>
      </c>
      <c r="BF340" s="544" t="s">
        <v>2965</v>
      </c>
      <c r="BG340" s="544" t="s">
        <v>709</v>
      </c>
      <c r="BH340" s="741"/>
      <c r="BI340" s="547" t="s">
        <v>709</v>
      </c>
      <c r="BJ340" s="547" t="s">
        <v>709</v>
      </c>
      <c r="BK340" s="547" t="s">
        <v>116</v>
      </c>
      <c r="BL340" s="547" t="s">
        <v>709</v>
      </c>
      <c r="BM340" s="547" t="s">
        <v>709</v>
      </c>
      <c r="BN340" s="547" t="s">
        <v>709</v>
      </c>
      <c r="BO340" s="547" t="s">
        <v>709</v>
      </c>
      <c r="BP340" s="547">
        <v>0</v>
      </c>
      <c r="BQ340" s="547">
        <v>24</v>
      </c>
      <c r="BR340" s="547" t="s">
        <v>709</v>
      </c>
      <c r="BS340" s="547" t="s">
        <v>709</v>
      </c>
      <c r="BT340" s="547" t="s">
        <v>709</v>
      </c>
      <c r="BU340" s="547" t="s">
        <v>709</v>
      </c>
      <c r="BV340" s="547" t="s">
        <v>709</v>
      </c>
      <c r="BW340" s="547" t="s">
        <v>709</v>
      </c>
      <c r="BX340" s="547" t="s">
        <v>709</v>
      </c>
      <c r="BY340" s="547" t="s">
        <v>709</v>
      </c>
      <c r="BZ340" s="547" t="s">
        <v>709</v>
      </c>
      <c r="CA340" s="483" t="s">
        <v>1237</v>
      </c>
      <c r="CB340" s="547">
        <v>339</v>
      </c>
      <c r="CC340" s="1481" t="b">
        <v>1</v>
      </c>
      <c r="CD340" t="str">
        <f>Table15[[#This Row],[Engineering Number]]&amp;Table15[[#This Row],[WO Number]]&amp;Table15[[#This Row],[Date Assigned to Designer]]&amp;Table15[[#This Row],[Date Completed]]</f>
        <v>NBA1822993-116101624434844378</v>
      </c>
    </row>
    <row r="341" spans="1:82" customFormat="1" ht="15" customHeight="1" x14ac:dyDescent="0.25">
      <c r="A341">
        <v>2021</v>
      </c>
      <c r="B341" s="8" t="s">
        <v>1073</v>
      </c>
      <c r="C341" s="8" t="s">
        <v>3371</v>
      </c>
      <c r="D341" s="8" t="s">
        <v>3372</v>
      </c>
      <c r="E341" s="8" t="s">
        <v>263</v>
      </c>
      <c r="F341" s="8" t="s">
        <v>919</v>
      </c>
      <c r="G341" s="8" t="s">
        <v>1882</v>
      </c>
      <c r="H341" s="8" t="s">
        <v>59</v>
      </c>
      <c r="I341" s="642">
        <v>44315</v>
      </c>
      <c r="J341" s="18">
        <v>44379</v>
      </c>
      <c r="K341" s="642">
        <v>44378</v>
      </c>
      <c r="L341" s="16">
        <f>IF(ISTEXT(Table15[[#This Row],[Engineering Approved Design Date]]),Table15[[#This Row],[Date Completed]]-Table15[[#This Row],[Date Assigned to Designer]],Table15[[#This Row],[Engineering Approved Design Date]]-Table15[[#This Row],[Date Completed]])</f>
        <v>1</v>
      </c>
      <c r="M341" s="642"/>
      <c r="N341" s="642" t="s">
        <v>120</v>
      </c>
      <c r="O341" s="1025">
        <v>44378</v>
      </c>
      <c r="P341" s="21" t="s">
        <v>739</v>
      </c>
      <c r="Q341" s="340">
        <f t="shared" si="5"/>
        <v>17258.024700000002</v>
      </c>
      <c r="R341" s="1026">
        <v>7.0000000000000007E-2</v>
      </c>
      <c r="S341" s="538" t="s">
        <v>709</v>
      </c>
      <c r="T341" s="538" t="s">
        <v>709</v>
      </c>
      <c r="U341" s="28" t="s">
        <v>709</v>
      </c>
      <c r="V341" s="857">
        <v>1271</v>
      </c>
      <c r="W341" s="440"/>
      <c r="X341" s="551">
        <v>246543.21</v>
      </c>
      <c r="Y341" s="550"/>
      <c r="Z341" s="551">
        <v>0</v>
      </c>
      <c r="AA341" s="551">
        <f t="shared" si="4"/>
        <v>246543.21</v>
      </c>
      <c r="AB341" s="341"/>
      <c r="AC341" s="568" t="s">
        <v>116</v>
      </c>
      <c r="AD341" s="1157"/>
      <c r="AE341" s="568"/>
      <c r="AF341" s="568"/>
      <c r="AG341" s="568"/>
      <c r="AH341" s="183"/>
      <c r="AI341" s="1036"/>
      <c r="AJ341" s="1037"/>
      <c r="AK341" s="1037"/>
      <c r="AL341" s="1038"/>
      <c r="AM341" s="1522" t="s">
        <v>116</v>
      </c>
      <c r="AN341" s="1523">
        <v>44476</v>
      </c>
      <c r="AO341" s="1524">
        <v>190991</v>
      </c>
      <c r="AP341" s="1525">
        <v>250374.74</v>
      </c>
      <c r="AQ341" s="1525"/>
      <c r="AR341" s="1525"/>
      <c r="AS341" s="1525">
        <f>IF(Table15[[#This Row],[PCTS Approved]]="N",0,Table15[[#This Row],[Investment Amount (1'#'#'#'#'#)]]+Table15[[#This Row],[Retirement Amount (3'#'#'#'#'#)]])</f>
        <v>250374.74</v>
      </c>
      <c r="AT341" s="1525">
        <f>IF(Table15[[#This Row],[Approved Construction Cost]]=0,0,Table15[[#This Row],[Approved Construction Cost]]-Table15[[#This Row],[Construction Cost to Bill From]])</f>
        <v>3831.5299999999988</v>
      </c>
      <c r="AU341" s="1525">
        <f>Table15[[#This Row],[Difference in Construction Cost]]*Table15[[#This Row],[Rate]]</f>
        <v>268.20709999999997</v>
      </c>
      <c r="AV341" s="1525" t="s">
        <v>709</v>
      </c>
      <c r="AW341" s="1526" t="s">
        <v>3373</v>
      </c>
      <c r="AX341" s="1525">
        <v>268.20709999999997</v>
      </c>
      <c r="AY341" s="1518">
        <v>44501</v>
      </c>
      <c r="AZ341" s="1532"/>
      <c r="BA341" s="1031" t="s">
        <v>3374</v>
      </c>
      <c r="BB341" s="644" t="s">
        <v>3375</v>
      </c>
      <c r="BC341" s="544" t="s">
        <v>709</v>
      </c>
      <c r="BD341" s="544" t="s">
        <v>709</v>
      </c>
      <c r="BE341" s="544" t="s">
        <v>709</v>
      </c>
      <c r="BF341" s="544" t="s">
        <v>709</v>
      </c>
      <c r="BG341" s="544" t="s">
        <v>709</v>
      </c>
      <c r="BH341" s="741"/>
      <c r="BI341" s="547" t="s">
        <v>709</v>
      </c>
      <c r="BJ341" s="547" t="s">
        <v>709</v>
      </c>
      <c r="BK341" s="547" t="s">
        <v>116</v>
      </c>
      <c r="BL341" s="547" t="s">
        <v>116</v>
      </c>
      <c r="BM341" s="547" t="s">
        <v>709</v>
      </c>
      <c r="BN341" s="547" t="s">
        <v>709</v>
      </c>
      <c r="BO341" s="547" t="s">
        <v>709</v>
      </c>
      <c r="BP341" s="547" t="s">
        <v>709</v>
      </c>
      <c r="BQ341" s="547" t="s">
        <v>709</v>
      </c>
      <c r="BR341" s="547">
        <v>1019</v>
      </c>
      <c r="BS341" s="547">
        <v>252</v>
      </c>
      <c r="BT341" s="547" t="s">
        <v>745</v>
      </c>
      <c r="BU341" s="547">
        <v>1</v>
      </c>
      <c r="BV341" s="547" t="s">
        <v>745</v>
      </c>
      <c r="BW341" s="547" t="s">
        <v>709</v>
      </c>
      <c r="BX341" s="547">
        <v>1</v>
      </c>
      <c r="BY341" s="547" t="s">
        <v>2788</v>
      </c>
      <c r="BZ341" s="547" t="s">
        <v>709</v>
      </c>
      <c r="CA341" s="483"/>
      <c r="CB341" s="547">
        <v>335</v>
      </c>
      <c r="CC341" s="1481" t="b">
        <v>1</v>
      </c>
      <c r="CD341" t="str">
        <f>Table15[[#This Row],[Engineering Number]]&amp;Table15[[#This Row],[WO Number]]&amp;Table15[[#This Row],[Date Assigned to Designer]]&amp;Table15[[#This Row],[Date Completed]]</f>
        <v>NBA19784491507524431544378</v>
      </c>
    </row>
    <row r="342" spans="1:82" customFormat="1" ht="15" customHeight="1" x14ac:dyDescent="0.25">
      <c r="A342">
        <v>2021</v>
      </c>
      <c r="B342" s="8" t="s">
        <v>4</v>
      </c>
      <c r="C342" s="8" t="s">
        <v>1212</v>
      </c>
      <c r="D342" s="8" t="s">
        <v>1213</v>
      </c>
      <c r="E342" s="8" t="s">
        <v>1214</v>
      </c>
      <c r="F342" s="8" t="s">
        <v>919</v>
      </c>
      <c r="G342" s="8" t="s">
        <v>2814</v>
      </c>
      <c r="H342" s="8" t="s">
        <v>59</v>
      </c>
      <c r="I342" s="642">
        <v>44308</v>
      </c>
      <c r="J342" s="18">
        <v>44379</v>
      </c>
      <c r="K342" s="642">
        <v>44378</v>
      </c>
      <c r="L342" s="16">
        <f>IF(ISTEXT(Table15[[#This Row],[Engineering Approved Design Date]]),Table15[[#This Row],[Date Completed]]-Table15[[#This Row],[Date Assigned to Designer]],Table15[[#This Row],[Engineering Approved Design Date]]-Table15[[#This Row],[Date Completed]])</f>
        <v>1</v>
      </c>
      <c r="M342" s="642"/>
      <c r="N342" s="642" t="s">
        <v>120</v>
      </c>
      <c r="O342" s="1025">
        <v>44378</v>
      </c>
      <c r="P342" s="21" t="s">
        <v>739</v>
      </c>
      <c r="Q342" s="340">
        <f t="shared" si="5"/>
        <v>47608.161</v>
      </c>
      <c r="R342" s="1026">
        <v>0.1</v>
      </c>
      <c r="S342" s="538" t="s">
        <v>709</v>
      </c>
      <c r="T342" s="538" t="s">
        <v>709</v>
      </c>
      <c r="U342" s="28" t="s">
        <v>709</v>
      </c>
      <c r="V342" s="857">
        <v>1888</v>
      </c>
      <c r="W342" s="440"/>
      <c r="X342" s="551">
        <v>446359.68</v>
      </c>
      <c r="Y342" s="551"/>
      <c r="Z342" s="551">
        <v>29721.93</v>
      </c>
      <c r="AA342" s="551">
        <f t="shared" si="4"/>
        <v>476081.61</v>
      </c>
      <c r="AB342" s="341"/>
      <c r="AC342" s="568" t="s">
        <v>709</v>
      </c>
      <c r="AD342" s="1157"/>
      <c r="AE342" s="579"/>
      <c r="AF342" s="579"/>
      <c r="AG342" s="579"/>
      <c r="AH342" s="553"/>
      <c r="AI342" s="1036"/>
      <c r="AJ342" s="1037"/>
      <c r="AK342" s="1037"/>
      <c r="AL342" s="1038"/>
      <c r="AM342" s="536" t="s">
        <v>116</v>
      </c>
      <c r="AN342" s="903" t="s">
        <v>709</v>
      </c>
      <c r="AO342" s="1536" t="s">
        <v>115</v>
      </c>
      <c r="AP342" s="1537"/>
      <c r="AQ342" s="1537"/>
      <c r="AR342" s="1537"/>
      <c r="AS342" s="888">
        <f>IF(Table15[[#This Row],[PCTS Approved]]="N",0,Table15[[#This Row],[Investment Amount (1'#'#'#'#'#)]]+Table15[[#This Row],[Retirement Amount (3'#'#'#'#'#)]])</f>
        <v>0</v>
      </c>
      <c r="AT342" s="888">
        <f>IF(Table15[[#This Row],[Approved Construction Cost]]=0,0,Table15[[#This Row],[Approved Construction Cost]]-Table15[[#This Row],[Construction Cost to Bill From]])</f>
        <v>0</v>
      </c>
      <c r="AU342" s="888">
        <f>IFERROR(Table15[[#This Row],[Difference in Construction Cost]]*Table15[[#This Row],[Rate]],Table15[[#This Row],[Difference in Construction Cost]]*0.085)</f>
        <v>0</v>
      </c>
      <c r="AV342" s="905"/>
      <c r="AW342" s="1509"/>
      <c r="AX342" s="888"/>
      <c r="AY342" s="636" t="s">
        <v>709</v>
      </c>
      <c r="AZ342" s="333">
        <v>60</v>
      </c>
      <c r="BA342" s="859" t="s">
        <v>1215</v>
      </c>
      <c r="BB342" s="644" t="s">
        <v>1216</v>
      </c>
      <c r="BC342" s="544" t="s">
        <v>116</v>
      </c>
      <c r="BD342" s="544" t="s">
        <v>709</v>
      </c>
      <c r="BE342" s="544" t="s">
        <v>1217</v>
      </c>
      <c r="BF342" s="544" t="s">
        <v>709</v>
      </c>
      <c r="BG342" s="544" t="s">
        <v>709</v>
      </c>
      <c r="BH342" s="741"/>
      <c r="BI342" s="547" t="s">
        <v>709</v>
      </c>
      <c r="BJ342" s="547" t="s">
        <v>709</v>
      </c>
      <c r="BK342" s="547" t="s">
        <v>709</v>
      </c>
      <c r="BL342" s="547" t="s">
        <v>116</v>
      </c>
      <c r="BM342" s="547" t="s">
        <v>709</v>
      </c>
      <c r="BN342" s="547" t="s">
        <v>709</v>
      </c>
      <c r="BO342" s="547" t="s">
        <v>709</v>
      </c>
      <c r="BP342" s="547" t="s">
        <v>709</v>
      </c>
      <c r="BQ342" s="547">
        <v>1762</v>
      </c>
      <c r="BR342" s="547" t="s">
        <v>709</v>
      </c>
      <c r="BS342" s="547">
        <v>126</v>
      </c>
      <c r="BT342" s="547" t="s">
        <v>745</v>
      </c>
      <c r="BU342" s="547" t="s">
        <v>709</v>
      </c>
      <c r="BV342" s="547" t="s">
        <v>745</v>
      </c>
      <c r="BW342" s="547" t="s">
        <v>709</v>
      </c>
      <c r="BX342" s="547" t="s">
        <v>745</v>
      </c>
      <c r="BY342" s="547" t="s">
        <v>745</v>
      </c>
      <c r="BZ342" s="547" t="s">
        <v>709</v>
      </c>
      <c r="CA342" s="483"/>
      <c r="CB342" s="547">
        <v>341</v>
      </c>
      <c r="CC342" s="1481" t="b">
        <v>1</v>
      </c>
      <c r="CD342" t="str">
        <f>Table15[[#This Row],[Engineering Number]]&amp;Table15[[#This Row],[WO Number]]&amp;Table15[[#This Row],[Date Assigned to Designer]]&amp;Table15[[#This Row],[Date Completed]]</f>
        <v>SC1609413103304430844378</v>
      </c>
    </row>
    <row r="343" spans="1:82" customFormat="1" ht="15" customHeight="1" x14ac:dyDescent="0.25">
      <c r="A343">
        <v>2021</v>
      </c>
      <c r="B343" s="8" t="s">
        <v>4</v>
      </c>
      <c r="C343" s="8" t="s">
        <v>3377</v>
      </c>
      <c r="D343" s="8" t="s">
        <v>3378</v>
      </c>
      <c r="E343" s="8" t="s">
        <v>3379</v>
      </c>
      <c r="F343" s="8" t="s">
        <v>919</v>
      </c>
      <c r="G343" s="8" t="s">
        <v>36</v>
      </c>
      <c r="H343" s="8" t="s">
        <v>59</v>
      </c>
      <c r="I343" s="642">
        <v>44327</v>
      </c>
      <c r="J343" s="18">
        <v>44390</v>
      </c>
      <c r="K343" s="642">
        <v>44378</v>
      </c>
      <c r="L343" s="16">
        <f>IF(ISTEXT(Table15[[#This Row],[Engineering Approved Design Date]]),Table15[[#This Row],[Date Completed]]-Table15[[#This Row],[Date Assigned to Designer]],Table15[[#This Row],[Engineering Approved Design Date]]-Table15[[#This Row],[Date Completed]])</f>
        <v>12</v>
      </c>
      <c r="M343" s="642"/>
      <c r="N343" s="642" t="s">
        <v>120</v>
      </c>
      <c r="O343" s="1025">
        <v>44378</v>
      </c>
      <c r="P343" s="21" t="s">
        <v>739</v>
      </c>
      <c r="Q343" s="340">
        <f t="shared" si="5"/>
        <v>7565.429000000001</v>
      </c>
      <c r="R343" s="1026">
        <v>0.1</v>
      </c>
      <c r="S343" s="538" t="s">
        <v>709</v>
      </c>
      <c r="T343" s="538" t="s">
        <v>709</v>
      </c>
      <c r="U343" s="28" t="s">
        <v>709</v>
      </c>
      <c r="V343" s="857">
        <v>460</v>
      </c>
      <c r="W343" s="440"/>
      <c r="X343" s="551">
        <v>67633.58</v>
      </c>
      <c r="Y343" s="550"/>
      <c r="Z343" s="551">
        <v>8020.71</v>
      </c>
      <c r="AA343" s="551">
        <f t="shared" si="4"/>
        <v>75654.290000000008</v>
      </c>
      <c r="AB343" s="341"/>
      <c r="AC343" s="568" t="s">
        <v>709</v>
      </c>
      <c r="AD343" s="1157"/>
      <c r="AE343" s="579"/>
      <c r="AF343" s="579"/>
      <c r="AG343" s="569"/>
      <c r="AH343" s="553"/>
      <c r="AI343" s="1036"/>
      <c r="AJ343" s="1037"/>
      <c r="AK343" s="1037"/>
      <c r="AL343" s="1038"/>
      <c r="AM343" s="1522" t="s">
        <v>116</v>
      </c>
      <c r="AN343" s="1523">
        <v>44446</v>
      </c>
      <c r="AO343" s="1524">
        <v>190808</v>
      </c>
      <c r="AP343" s="1525">
        <v>59592.79</v>
      </c>
      <c r="AQ343" s="1525"/>
      <c r="AR343" s="1525">
        <v>7910.54</v>
      </c>
      <c r="AS343" s="1525">
        <f>IF(Table15[[#This Row],[PCTS Approved]]="N",0,Table15[[#This Row],[Investment Amount (1'#'#'#'#'#)]]+Table15[[#This Row],[Retirement Amount (3'#'#'#'#'#)]])</f>
        <v>67503.33</v>
      </c>
      <c r="AT343" s="1525">
        <f>IF(Table15[[#This Row],[Approved Construction Cost]]=0,0,Table15[[#This Row],[Approved Construction Cost]]-Table15[[#This Row],[Construction Cost to Bill From]])</f>
        <v>-8150.9600000000064</v>
      </c>
      <c r="AU343" s="1525">
        <f>Table15[[#This Row],[Difference in Construction Cost]]*Table15[[#This Row],[Rate]]</f>
        <v>-815.09600000000069</v>
      </c>
      <c r="AV343" s="1525" t="s">
        <v>709</v>
      </c>
      <c r="AW343" s="1526" t="s">
        <v>3380</v>
      </c>
      <c r="AX343" s="1525">
        <v>-815.09600000000069</v>
      </c>
      <c r="AY343" s="1518">
        <v>44501</v>
      </c>
      <c r="AZ343" s="333"/>
      <c r="BA343" s="1031" t="s">
        <v>3381</v>
      </c>
      <c r="BB343" s="644" t="s">
        <v>3382</v>
      </c>
      <c r="BC343" s="544" t="s">
        <v>709</v>
      </c>
      <c r="BD343" s="544" t="s">
        <v>709</v>
      </c>
      <c r="BE343" s="544" t="s">
        <v>3383</v>
      </c>
      <c r="BF343" s="544" t="s">
        <v>709</v>
      </c>
      <c r="BG343" s="544" t="s">
        <v>709</v>
      </c>
      <c r="BH343" s="741"/>
      <c r="BI343" s="547" t="s">
        <v>709</v>
      </c>
      <c r="BJ343" s="547" t="s">
        <v>709</v>
      </c>
      <c r="BK343" s="547" t="s">
        <v>709</v>
      </c>
      <c r="BL343" s="547" t="s">
        <v>116</v>
      </c>
      <c r="BM343" s="547" t="s">
        <v>709</v>
      </c>
      <c r="BN343" s="547" t="s">
        <v>709</v>
      </c>
      <c r="BO343" s="547" t="s">
        <v>709</v>
      </c>
      <c r="BP343" s="547" t="s">
        <v>709</v>
      </c>
      <c r="BQ343" s="547" t="s">
        <v>709</v>
      </c>
      <c r="BR343" s="547" t="s">
        <v>709</v>
      </c>
      <c r="BS343" s="547">
        <v>460</v>
      </c>
      <c r="BT343" s="547" t="s">
        <v>745</v>
      </c>
      <c r="BU343" s="547" t="s">
        <v>709</v>
      </c>
      <c r="BV343" s="547" t="s">
        <v>745</v>
      </c>
      <c r="BW343" s="547" t="s">
        <v>709</v>
      </c>
      <c r="BX343" s="547" t="s">
        <v>745</v>
      </c>
      <c r="BY343" s="547" t="s">
        <v>745</v>
      </c>
      <c r="BZ343" s="547" t="s">
        <v>709</v>
      </c>
      <c r="CA343" s="483"/>
      <c r="CB343" s="547">
        <v>340</v>
      </c>
      <c r="CC343" s="1481" t="b">
        <v>1</v>
      </c>
      <c r="CD343" t="str">
        <f>Table15[[#This Row],[Engineering Number]]&amp;Table15[[#This Row],[WO Number]]&amp;Table15[[#This Row],[Date Assigned to Designer]]&amp;Table15[[#This Row],[Date Completed]]</f>
        <v>SC1927712101654432744378</v>
      </c>
    </row>
    <row r="344" spans="1:82" customFormat="1" ht="15" customHeight="1" x14ac:dyDescent="0.25">
      <c r="A344">
        <v>2021</v>
      </c>
      <c r="B344" s="8" t="s">
        <v>1073</v>
      </c>
      <c r="C344" s="8" t="s">
        <v>3385</v>
      </c>
      <c r="D344" s="647" t="s">
        <v>3386</v>
      </c>
      <c r="E344" s="8" t="s">
        <v>327</v>
      </c>
      <c r="F344" s="8" t="s">
        <v>738</v>
      </c>
      <c r="G344" s="8" t="s">
        <v>39</v>
      </c>
      <c r="H344" s="8" t="s">
        <v>59</v>
      </c>
      <c r="I344" s="642">
        <v>44337</v>
      </c>
      <c r="J344" s="18">
        <v>44398</v>
      </c>
      <c r="K344" s="642">
        <v>44383</v>
      </c>
      <c r="L344" s="16">
        <f>IF(ISTEXT(Table15[[#This Row],[Engineering Approved Design Date]]),Table15[[#This Row],[Date Completed]]-Table15[[#This Row],[Date Assigned to Designer]],Table15[[#This Row],[Engineering Approved Design Date]]-Table15[[#This Row],[Date Completed]])</f>
        <v>15</v>
      </c>
      <c r="M344" s="642"/>
      <c r="N344" s="642" t="s">
        <v>120</v>
      </c>
      <c r="O344" s="1025">
        <v>44383</v>
      </c>
      <c r="P344" s="21" t="s">
        <v>739</v>
      </c>
      <c r="Q344" s="340">
        <f t="shared" si="5"/>
        <v>9531.2791000000016</v>
      </c>
      <c r="R344" s="1026">
        <v>7.0000000000000007E-2</v>
      </c>
      <c r="S344" s="538" t="s">
        <v>709</v>
      </c>
      <c r="T344" s="538" t="s">
        <v>709</v>
      </c>
      <c r="U344" s="28" t="s">
        <v>709</v>
      </c>
      <c r="V344" s="857">
        <v>500</v>
      </c>
      <c r="W344" s="440"/>
      <c r="X344" s="551">
        <f>121219.28</f>
        <v>121219.28</v>
      </c>
      <c r="Y344" s="550"/>
      <c r="Z344" s="551">
        <f>14941.85</f>
        <v>14941.85</v>
      </c>
      <c r="AA344" s="551">
        <f t="shared" si="4"/>
        <v>136161.13</v>
      </c>
      <c r="AB344" s="341"/>
      <c r="AC344" s="568" t="s">
        <v>709</v>
      </c>
      <c r="AD344" s="1157"/>
      <c r="AE344" s="568" t="s">
        <v>29</v>
      </c>
      <c r="AF344" s="568" t="s">
        <v>29</v>
      </c>
      <c r="AG344" s="568" t="s">
        <v>29</v>
      </c>
      <c r="AH344" s="183" t="s">
        <v>29</v>
      </c>
      <c r="AI344" s="1036"/>
      <c r="AJ344" s="1037"/>
      <c r="AK344" s="1037"/>
      <c r="AL344" s="1038"/>
      <c r="AM344" s="542" t="s">
        <v>116</v>
      </c>
      <c r="AN344" s="1508">
        <v>44404</v>
      </c>
      <c r="AO344" s="925">
        <v>190151</v>
      </c>
      <c r="AP344" s="926">
        <f>121219.28</f>
        <v>121219.28</v>
      </c>
      <c r="AQ344" s="926"/>
      <c r="AR344" s="926">
        <f>14941.85</f>
        <v>14941.85</v>
      </c>
      <c r="AS344" s="926">
        <f>IF(Table15[[#This Row],[PCTS Approved]]="N",0,Table15[[#This Row],[Investment Amount (1'#'#'#'#'#)]]+Table15[[#This Row],[Retirement Amount (3'#'#'#'#'#)]])</f>
        <v>136161.13</v>
      </c>
      <c r="AT344" s="926">
        <f>IF(Table15[[#This Row],[Approved Construction Cost]]=0,0,Table15[[#This Row],[Approved Construction Cost]]-Table15[[#This Row],[Construction Cost to Bill From]])</f>
        <v>0</v>
      </c>
      <c r="AU344" s="926">
        <f>Table15[[#This Row],[Difference in Construction Cost]]*Table15[[#This Row],[Rate]]</f>
        <v>0</v>
      </c>
      <c r="AV344" s="926" t="s">
        <v>709</v>
      </c>
      <c r="AW344" s="927"/>
      <c r="AX344" s="926"/>
      <c r="AY344" s="636" t="s">
        <v>1935</v>
      </c>
      <c r="AZ344" s="1531"/>
      <c r="BA344" s="1031" t="s">
        <v>3387</v>
      </c>
      <c r="BB344" s="644" t="s">
        <v>3388</v>
      </c>
      <c r="BC344" s="544" t="s">
        <v>709</v>
      </c>
      <c r="BD344" s="544" t="s">
        <v>709</v>
      </c>
      <c r="BE344" s="544" t="s">
        <v>448</v>
      </c>
      <c r="BF344" s="544" t="s">
        <v>709</v>
      </c>
      <c r="BG344" s="544" t="s">
        <v>709</v>
      </c>
      <c r="BH344" s="741"/>
      <c r="BI344" s="547" t="s">
        <v>709</v>
      </c>
      <c r="BJ344" s="547" t="s">
        <v>709</v>
      </c>
      <c r="BK344" s="547" t="s">
        <v>116</v>
      </c>
      <c r="BL344" s="547" t="s">
        <v>116</v>
      </c>
      <c r="BM344" s="547" t="s">
        <v>709</v>
      </c>
      <c r="BN344" s="547" t="s">
        <v>709</v>
      </c>
      <c r="BO344" s="547" t="s">
        <v>709</v>
      </c>
      <c r="BP344" s="547" t="s">
        <v>709</v>
      </c>
      <c r="BQ344" s="547" t="s">
        <v>709</v>
      </c>
      <c r="BR344" s="547">
        <v>403</v>
      </c>
      <c r="BS344" s="547" t="s">
        <v>709</v>
      </c>
      <c r="BT344" s="547" t="s">
        <v>745</v>
      </c>
      <c r="BU344" s="547" t="s">
        <v>709</v>
      </c>
      <c r="BV344" s="547" t="s">
        <v>745</v>
      </c>
      <c r="BW344" s="547" t="s">
        <v>709</v>
      </c>
      <c r="BX344" s="547" t="s">
        <v>745</v>
      </c>
      <c r="BY344" s="547" t="s">
        <v>1602</v>
      </c>
      <c r="BZ344" s="547" t="s">
        <v>709</v>
      </c>
      <c r="CA344" s="483"/>
      <c r="CB344" s="547">
        <v>342</v>
      </c>
      <c r="CC344" s="1481" t="b">
        <v>1</v>
      </c>
      <c r="CD344" t="str">
        <f>Table15[[#This Row],[Engineering Number]]&amp;Table15[[#This Row],[WO Number]]&amp;Table15[[#This Row],[Date Assigned to Designer]]&amp;Table15[[#This Row],[Date Completed]]</f>
        <v>NBA199995316102634433744383</v>
      </c>
    </row>
    <row r="345" spans="1:82" customFormat="1" ht="15" customHeight="1" x14ac:dyDescent="0.25">
      <c r="A345">
        <v>2021</v>
      </c>
      <c r="B345" s="8" t="s">
        <v>1073</v>
      </c>
      <c r="C345" s="8" t="s">
        <v>3385</v>
      </c>
      <c r="D345" s="647" t="s">
        <v>3390</v>
      </c>
      <c r="E345" s="8" t="s">
        <v>327</v>
      </c>
      <c r="F345" s="8" t="s">
        <v>738</v>
      </c>
      <c r="G345" s="8" t="s">
        <v>39</v>
      </c>
      <c r="H345" s="8" t="s">
        <v>59</v>
      </c>
      <c r="I345" s="642">
        <v>44337</v>
      </c>
      <c r="J345" s="18">
        <v>44398</v>
      </c>
      <c r="K345" s="642">
        <v>44383</v>
      </c>
      <c r="L345" s="16">
        <f>IF(ISTEXT(Table15[[#This Row],[Engineering Approved Design Date]]),Table15[[#This Row],[Date Completed]]-Table15[[#This Row],[Date Assigned to Designer]],Table15[[#This Row],[Engineering Approved Design Date]]-Table15[[#This Row],[Date Completed]])</f>
        <v>15</v>
      </c>
      <c r="M345" s="642"/>
      <c r="N345" s="642" t="s">
        <v>120</v>
      </c>
      <c r="O345" s="1025">
        <v>44383</v>
      </c>
      <c r="P345" s="21" t="s">
        <v>739</v>
      </c>
      <c r="Q345" s="340">
        <f t="shared" si="5"/>
        <v>4962.3406000000004</v>
      </c>
      <c r="R345" s="1026">
        <v>7.0000000000000007E-2</v>
      </c>
      <c r="S345" s="538" t="s">
        <v>709</v>
      </c>
      <c r="T345" s="538" t="s">
        <v>709</v>
      </c>
      <c r="U345" s="28" t="s">
        <v>709</v>
      </c>
      <c r="V345" s="857">
        <v>500</v>
      </c>
      <c r="W345" s="440"/>
      <c r="X345" s="551">
        <f>53836.18</f>
        <v>53836.18</v>
      </c>
      <c r="Y345" s="550"/>
      <c r="Z345" s="551">
        <f>17054.4</f>
        <v>17054.400000000001</v>
      </c>
      <c r="AA345" s="551">
        <f t="shared" si="4"/>
        <v>70890.58</v>
      </c>
      <c r="AB345" s="341"/>
      <c r="AC345" s="568" t="s">
        <v>116</v>
      </c>
      <c r="AD345" s="1157"/>
      <c r="AE345" s="568" t="s">
        <v>29</v>
      </c>
      <c r="AF345" s="568" t="s">
        <v>29</v>
      </c>
      <c r="AG345" s="568" t="s">
        <v>29</v>
      </c>
      <c r="AH345" s="183" t="s">
        <v>29</v>
      </c>
      <c r="AI345" s="1036"/>
      <c r="AJ345" s="1037"/>
      <c r="AK345" s="1037"/>
      <c r="AL345" s="1038"/>
      <c r="AM345" s="542" t="s">
        <v>116</v>
      </c>
      <c r="AN345" s="1508">
        <v>44404</v>
      </c>
      <c r="AO345" s="925">
        <v>190146</v>
      </c>
      <c r="AP345" s="926">
        <f>53836.18</f>
        <v>53836.18</v>
      </c>
      <c r="AQ345" s="926"/>
      <c r="AR345" s="926">
        <f>17054.4</f>
        <v>17054.400000000001</v>
      </c>
      <c r="AS345" s="926">
        <f>IF(Table15[[#This Row],[PCTS Approved]]="N",0,Table15[[#This Row],[Investment Amount (1'#'#'#'#'#)]]+Table15[[#This Row],[Retirement Amount (3'#'#'#'#'#)]])</f>
        <v>70890.58</v>
      </c>
      <c r="AT345" s="926">
        <f>IF(Table15[[#This Row],[Approved Construction Cost]]=0,0,Table15[[#This Row],[Approved Construction Cost]]-Table15[[#This Row],[Construction Cost to Bill From]])</f>
        <v>0</v>
      </c>
      <c r="AU345" s="926">
        <f>Table15[[#This Row],[Difference in Construction Cost]]*Table15[[#This Row],[Rate]]</f>
        <v>0</v>
      </c>
      <c r="AV345" s="926" t="s">
        <v>709</v>
      </c>
      <c r="AW345" s="927"/>
      <c r="AX345" s="926"/>
      <c r="AY345" s="636" t="s">
        <v>1935</v>
      </c>
      <c r="AZ345" s="1531"/>
      <c r="BA345" s="1031" t="s">
        <v>3387</v>
      </c>
      <c r="BB345" s="644" t="s">
        <v>3388</v>
      </c>
      <c r="BC345" s="544" t="s">
        <v>709</v>
      </c>
      <c r="BD345" s="544" t="s">
        <v>709</v>
      </c>
      <c r="BE345" s="544" t="s">
        <v>448</v>
      </c>
      <c r="BF345" s="544" t="s">
        <v>709</v>
      </c>
      <c r="BG345" s="544" t="s">
        <v>709</v>
      </c>
      <c r="BH345" s="741"/>
      <c r="BI345" s="547" t="s">
        <v>709</v>
      </c>
      <c r="BJ345" s="547" t="s">
        <v>709</v>
      </c>
      <c r="BK345" s="547" t="s">
        <v>116</v>
      </c>
      <c r="BL345" s="547" t="s">
        <v>116</v>
      </c>
      <c r="BM345" s="547" t="s">
        <v>709</v>
      </c>
      <c r="BN345" s="547" t="s">
        <v>709</v>
      </c>
      <c r="BO345" s="547" t="s">
        <v>709</v>
      </c>
      <c r="BP345" s="547" t="s">
        <v>709</v>
      </c>
      <c r="BQ345" s="547" t="s">
        <v>709</v>
      </c>
      <c r="BR345" s="547">
        <v>403</v>
      </c>
      <c r="BS345" s="547" t="s">
        <v>709</v>
      </c>
      <c r="BT345" s="547" t="s">
        <v>745</v>
      </c>
      <c r="BU345" s="547" t="s">
        <v>709</v>
      </c>
      <c r="BV345" s="547" t="s">
        <v>745</v>
      </c>
      <c r="BW345" s="547" t="s">
        <v>709</v>
      </c>
      <c r="BX345" s="547" t="s">
        <v>745</v>
      </c>
      <c r="BY345" s="547" t="s">
        <v>1602</v>
      </c>
      <c r="BZ345" s="547" t="s">
        <v>709</v>
      </c>
      <c r="CA345" s="483"/>
      <c r="CB345" s="547">
        <v>343</v>
      </c>
      <c r="CC345" s="1481" t="b">
        <v>1</v>
      </c>
      <c r="CD345" t="str">
        <f>Table15[[#This Row],[Engineering Number]]&amp;Table15[[#This Row],[WO Number]]&amp;Table15[[#This Row],[Date Assigned to Designer]]&amp;Table15[[#This Row],[Date Completed]]</f>
        <v>NBA199995316102044433744383</v>
      </c>
    </row>
    <row r="346" spans="1:82" customFormat="1" ht="15" customHeight="1" x14ac:dyDescent="0.25">
      <c r="A346">
        <v>2021</v>
      </c>
      <c r="B346" s="8" t="s">
        <v>4</v>
      </c>
      <c r="C346" s="8" t="s">
        <v>1218</v>
      </c>
      <c r="D346" s="8" t="s">
        <v>1219</v>
      </c>
      <c r="E346" s="8" t="s">
        <v>1129</v>
      </c>
      <c r="F346" s="8" t="s">
        <v>738</v>
      </c>
      <c r="G346" s="8" t="s">
        <v>39</v>
      </c>
      <c r="H346" s="8" t="s">
        <v>59</v>
      </c>
      <c r="I346" s="642">
        <v>44355</v>
      </c>
      <c r="J346" s="18">
        <v>44386</v>
      </c>
      <c r="K346" s="642">
        <v>44384</v>
      </c>
      <c r="L346" s="16">
        <f>IF(ISTEXT(Table15[[#This Row],[Engineering Approved Design Date]]),Table15[[#This Row],[Date Completed]]-Table15[[#This Row],[Date Assigned to Designer]],Table15[[#This Row],[Engineering Approved Design Date]]-Table15[[#This Row],[Date Completed]])</f>
        <v>2</v>
      </c>
      <c r="M346" s="642"/>
      <c r="N346" s="642" t="s">
        <v>120</v>
      </c>
      <c r="O346" s="1025">
        <v>44384</v>
      </c>
      <c r="P346" s="21" t="s">
        <v>739</v>
      </c>
      <c r="Q346" s="340">
        <f t="shared" si="5"/>
        <v>7728.6</v>
      </c>
      <c r="R346" s="1026">
        <v>0.1</v>
      </c>
      <c r="S346" s="538" t="s">
        <v>709</v>
      </c>
      <c r="T346" s="538" t="s">
        <v>709</v>
      </c>
      <c r="U346" s="441" t="s">
        <v>709</v>
      </c>
      <c r="V346" s="857"/>
      <c r="W346" s="440"/>
      <c r="X346" s="538">
        <v>55579.41</v>
      </c>
      <c r="Y346" s="550"/>
      <c r="Z346" s="538">
        <v>21706.59</v>
      </c>
      <c r="AA346" s="551">
        <f t="shared" si="4"/>
        <v>77286</v>
      </c>
      <c r="AB346" s="341"/>
      <c r="AC346" s="568" t="s">
        <v>709</v>
      </c>
      <c r="AD346" s="1157"/>
      <c r="AE346" s="579"/>
      <c r="AF346" s="579"/>
      <c r="AG346" s="569"/>
      <c r="AH346" s="553"/>
      <c r="AI346" s="1036"/>
      <c r="AJ346" s="1037"/>
      <c r="AK346" s="1037"/>
      <c r="AL346" s="1038"/>
      <c r="AM346" s="536" t="s">
        <v>116</v>
      </c>
      <c r="AN346" s="903" t="s">
        <v>709</v>
      </c>
      <c r="AO346" s="1536" t="s">
        <v>115</v>
      </c>
      <c r="AP346" s="1537"/>
      <c r="AQ346" s="1537"/>
      <c r="AR346" s="1537"/>
      <c r="AS346" s="888">
        <f>IF(Table15[[#This Row],[PCTS Approved]]="N",0,Table15[[#This Row],[Investment Amount (1'#'#'#'#'#)]]+Table15[[#This Row],[Retirement Amount (3'#'#'#'#'#)]])</f>
        <v>0</v>
      </c>
      <c r="AT346" s="888">
        <f>IF(Table15[[#This Row],[Approved Construction Cost]]=0,0,Table15[[#This Row],[Approved Construction Cost]]-Table15[[#This Row],[Construction Cost to Bill From]])</f>
        <v>0</v>
      </c>
      <c r="AU346" s="888">
        <f>IFERROR(Table15[[#This Row],[Difference in Construction Cost]]*Table15[[#This Row],[Rate]],Table15[[#This Row],[Difference in Construction Cost]]*0.085)</f>
        <v>0</v>
      </c>
      <c r="AV346" s="905"/>
      <c r="AW346" s="1509"/>
      <c r="AX346" s="888"/>
      <c r="AY346" s="636" t="s">
        <v>709</v>
      </c>
      <c r="AZ346" s="333">
        <v>61</v>
      </c>
      <c r="BA346" s="859" t="s">
        <v>1220</v>
      </c>
      <c r="BB346" s="644" t="s">
        <v>1221</v>
      </c>
      <c r="BC346" s="544" t="s">
        <v>709</v>
      </c>
      <c r="BD346" s="544" t="s">
        <v>1066</v>
      </c>
      <c r="BE346" s="544" t="s">
        <v>709</v>
      </c>
      <c r="BF346" s="544" t="s">
        <v>709</v>
      </c>
      <c r="BG346" s="544" t="s">
        <v>709</v>
      </c>
      <c r="BH346" s="741"/>
      <c r="BI346" s="547" t="s">
        <v>709</v>
      </c>
      <c r="BJ346" s="547" t="s">
        <v>709</v>
      </c>
      <c r="BK346" s="547" t="s">
        <v>709</v>
      </c>
      <c r="BL346" s="547" t="s">
        <v>116</v>
      </c>
      <c r="BM346" s="547" t="s">
        <v>709</v>
      </c>
      <c r="BN346" s="547" t="s">
        <v>709</v>
      </c>
      <c r="BO346" s="547" t="s">
        <v>709</v>
      </c>
      <c r="BP346" s="547" t="s">
        <v>709</v>
      </c>
      <c r="BQ346" s="547" t="s">
        <v>709</v>
      </c>
      <c r="BR346" s="547" t="s">
        <v>709</v>
      </c>
      <c r="BS346" s="547">
        <v>55</v>
      </c>
      <c r="BT346" s="547" t="s">
        <v>745</v>
      </c>
      <c r="BU346" s="547" t="s">
        <v>709</v>
      </c>
      <c r="BV346" s="547" t="s">
        <v>745</v>
      </c>
      <c r="BW346" s="547" t="s">
        <v>709</v>
      </c>
      <c r="BX346" s="547" t="s">
        <v>745</v>
      </c>
      <c r="BY346" s="547" t="s">
        <v>745</v>
      </c>
      <c r="BZ346" s="547" t="s">
        <v>709</v>
      </c>
      <c r="CA346" s="483"/>
      <c r="CB346" s="547">
        <v>344</v>
      </c>
      <c r="CC346" s="1481" t="b">
        <v>1</v>
      </c>
      <c r="CD346" t="str">
        <f>Table15[[#This Row],[Engineering Number]]&amp;Table15[[#This Row],[WO Number]]&amp;Table15[[#This Row],[Date Assigned to Designer]]&amp;Table15[[#This Row],[Date Completed]]</f>
        <v>N1463912103264435544384</v>
      </c>
    </row>
    <row r="347" spans="1:82" customFormat="1" ht="15" customHeight="1" x14ac:dyDescent="0.25">
      <c r="A347">
        <v>2021</v>
      </c>
      <c r="B347" s="8" t="s">
        <v>4</v>
      </c>
      <c r="C347" s="8" t="s">
        <v>3121</v>
      </c>
      <c r="D347" s="8" t="s">
        <v>3122</v>
      </c>
      <c r="E347" s="8" t="s">
        <v>818</v>
      </c>
      <c r="F347" s="8" t="s">
        <v>919</v>
      </c>
      <c r="G347" s="8" t="s">
        <v>2743</v>
      </c>
      <c r="H347" s="8" t="s">
        <v>2396</v>
      </c>
      <c r="I347" s="642">
        <v>44172</v>
      </c>
      <c r="J347" s="18" t="s">
        <v>2397</v>
      </c>
      <c r="K347" s="642">
        <v>44384</v>
      </c>
      <c r="L347" s="16">
        <f>IF(ISTEXT(Table15[[#This Row],[Engineering Approved Design Date]]),Table15[[#This Row],[Date Completed]]-Table15[[#This Row],[Date Assigned to Designer]],Table15[[#This Row],[Engineering Approved Design Date]]-Table15[[#This Row],[Date Completed]])</f>
        <v>212</v>
      </c>
      <c r="M347" s="642"/>
      <c r="N347" s="642" t="s">
        <v>120</v>
      </c>
      <c r="O347" s="1025">
        <v>44384</v>
      </c>
      <c r="P347" s="21" t="s">
        <v>739</v>
      </c>
      <c r="Q347" s="340">
        <f>Table15[[#This Row],[KH Hourly Effort]]</f>
        <v>3125</v>
      </c>
      <c r="R347" s="1026" t="s">
        <v>1922</v>
      </c>
      <c r="S347" s="538" t="s">
        <v>709</v>
      </c>
      <c r="T347" s="538" t="s">
        <v>709</v>
      </c>
      <c r="U347" s="28">
        <v>3125</v>
      </c>
      <c r="V347" s="857">
        <v>4590</v>
      </c>
      <c r="W347" s="440"/>
      <c r="X347" s="551"/>
      <c r="Y347" s="551"/>
      <c r="Z347" s="551"/>
      <c r="AA347" s="551"/>
      <c r="AB347" s="341"/>
      <c r="AC347" s="568"/>
      <c r="AD347" s="1157"/>
      <c r="AE347" s="579"/>
      <c r="AF347" s="579"/>
      <c r="AG347" s="579"/>
      <c r="AH347" s="553"/>
      <c r="AI347" s="1036"/>
      <c r="AJ347" s="1037"/>
      <c r="AK347" s="1037"/>
      <c r="AL347" s="1038"/>
      <c r="AM347" s="542" t="s">
        <v>709</v>
      </c>
      <c r="AN347" s="924"/>
      <c r="AO347" s="925"/>
      <c r="AP347" s="926"/>
      <c r="AQ347" s="926"/>
      <c r="AR347" s="926"/>
      <c r="AS347" s="926"/>
      <c r="AT347" s="926"/>
      <c r="AU347" s="926"/>
      <c r="AV347" s="926"/>
      <c r="AW347" s="927"/>
      <c r="AX347" s="926"/>
      <c r="AY347" s="1538" t="s">
        <v>29</v>
      </c>
      <c r="AZ347" s="1530"/>
      <c r="BA347" s="1031" t="s">
        <v>3123</v>
      </c>
      <c r="BB347" s="644" t="s">
        <v>1156</v>
      </c>
      <c r="BC347" s="544" t="s">
        <v>709</v>
      </c>
      <c r="BD347" s="544" t="s">
        <v>709</v>
      </c>
      <c r="BE347" s="544" t="s">
        <v>822</v>
      </c>
      <c r="BF347" s="544" t="s">
        <v>3124</v>
      </c>
      <c r="BG347" s="544" t="s">
        <v>709</v>
      </c>
      <c r="BH347" s="741"/>
      <c r="BI347" s="547" t="s">
        <v>709</v>
      </c>
      <c r="BJ347" s="547" t="s">
        <v>709</v>
      </c>
      <c r="BK347" s="547" t="s">
        <v>709</v>
      </c>
      <c r="BL347" s="547" t="s">
        <v>116</v>
      </c>
      <c r="BM347" s="547" t="s">
        <v>709</v>
      </c>
      <c r="BN347" s="547" t="s">
        <v>709</v>
      </c>
      <c r="BO347" s="547" t="s">
        <v>709</v>
      </c>
      <c r="BP347" s="547" t="s">
        <v>709</v>
      </c>
      <c r="BQ347" s="547" t="s">
        <v>709</v>
      </c>
      <c r="BR347" s="547">
        <v>1777</v>
      </c>
      <c r="BS347" s="547">
        <v>2813</v>
      </c>
      <c r="BT347" s="547" t="s">
        <v>745</v>
      </c>
      <c r="BU347" s="547" t="s">
        <v>709</v>
      </c>
      <c r="BV347" s="547">
        <v>1</v>
      </c>
      <c r="BW347" s="547" t="s">
        <v>709</v>
      </c>
      <c r="BX347" s="547" t="s">
        <v>745</v>
      </c>
      <c r="BY347" s="547" t="s">
        <v>745</v>
      </c>
      <c r="BZ347" s="547" t="s">
        <v>709</v>
      </c>
      <c r="CA347" s="483"/>
      <c r="CB347" s="547">
        <v>346</v>
      </c>
      <c r="CC347" s="1481" t="b">
        <v>1</v>
      </c>
      <c r="CD347" t="str">
        <f>Table15[[#This Row],[Engineering Number]]&amp;Table15[[#This Row],[WO Number]]&amp;Table15[[#This Row],[Date Assigned to Designer]]&amp;Table15[[#This Row],[Date Completed]]</f>
        <v>SC172901357204417244384</v>
      </c>
    </row>
    <row r="348" spans="1:82" customFormat="1" ht="15" customHeight="1" x14ac:dyDescent="0.25">
      <c r="A348">
        <v>2021</v>
      </c>
      <c r="B348" s="8" t="s">
        <v>771</v>
      </c>
      <c r="C348" s="8" t="s">
        <v>3190</v>
      </c>
      <c r="D348" s="8" t="s">
        <v>3191</v>
      </c>
      <c r="E348" s="8" t="s">
        <v>3192</v>
      </c>
      <c r="F348" s="8" t="s">
        <v>919</v>
      </c>
      <c r="G348" s="8" t="s">
        <v>36</v>
      </c>
      <c r="H348" s="8" t="s">
        <v>2051</v>
      </c>
      <c r="I348" s="642">
        <v>44232</v>
      </c>
      <c r="J348" s="18" t="s">
        <v>2052</v>
      </c>
      <c r="K348" s="642">
        <v>44384</v>
      </c>
      <c r="L348" s="16">
        <f>IF(ISTEXT(Table15[[#This Row],[Engineering Approved Design Date]]),Table15[[#This Row],[Date Completed]]-Table15[[#This Row],[Date Assigned to Designer]],Table15[[#This Row],[Engineering Approved Design Date]]-Table15[[#This Row],[Date Completed]])</f>
        <v>152</v>
      </c>
      <c r="M348" s="642" t="s">
        <v>3394</v>
      </c>
      <c r="N348" s="642" t="s">
        <v>120</v>
      </c>
      <c r="O348" s="1025">
        <v>44384</v>
      </c>
      <c r="P348" s="21" t="s">
        <v>120</v>
      </c>
      <c r="Q348" s="340">
        <f>Table15[[#This Row],[KH Hourly Effort]]</f>
        <v>5995</v>
      </c>
      <c r="R348" s="1026" t="s">
        <v>1922</v>
      </c>
      <c r="S348" s="538" t="s">
        <v>709</v>
      </c>
      <c r="T348" s="538" t="s">
        <v>709</v>
      </c>
      <c r="U348" s="28">
        <v>5995</v>
      </c>
      <c r="V348" s="857">
        <v>26489</v>
      </c>
      <c r="W348" s="440"/>
      <c r="X348" s="556"/>
      <c r="Y348" s="550"/>
      <c r="Z348" s="556"/>
      <c r="AA348" s="538"/>
      <c r="AB348" s="21"/>
      <c r="AC348" s="569"/>
      <c r="AD348" s="1149"/>
      <c r="AE348" s="569"/>
      <c r="AF348" s="569"/>
      <c r="AG348" s="569"/>
      <c r="AH348" s="536"/>
      <c r="AI348" s="1028"/>
      <c r="AJ348" s="1029"/>
      <c r="AK348" s="1029"/>
      <c r="AL348" s="1030"/>
      <c r="AM348" s="542" t="s">
        <v>709</v>
      </c>
      <c r="AN348" s="924"/>
      <c r="AO348" s="925"/>
      <c r="AP348" s="926"/>
      <c r="AQ348" s="926"/>
      <c r="AR348" s="926"/>
      <c r="AS348" s="926"/>
      <c r="AT348" s="926"/>
      <c r="AU348" s="926"/>
      <c r="AV348" s="926"/>
      <c r="AW348" s="927"/>
      <c r="AX348" s="926"/>
      <c r="AY348" s="1538" t="s">
        <v>29</v>
      </c>
      <c r="AZ348" s="1530"/>
      <c r="BA348" s="1031">
        <v>1</v>
      </c>
      <c r="BB348" s="644"/>
      <c r="BC348" s="544"/>
      <c r="BD348" s="544"/>
      <c r="BE348" s="544"/>
      <c r="BF348" s="544"/>
      <c r="BG348" s="544"/>
      <c r="BH348" s="741"/>
      <c r="BI348" s="547" t="s">
        <v>709</v>
      </c>
      <c r="BJ348" s="547" t="s">
        <v>709</v>
      </c>
      <c r="BK348" s="547" t="s">
        <v>709</v>
      </c>
      <c r="BL348" s="547" t="s">
        <v>116</v>
      </c>
      <c r="BM348" s="547" t="s">
        <v>709</v>
      </c>
      <c r="BN348" s="547" t="s">
        <v>709</v>
      </c>
      <c r="BO348" s="547" t="s">
        <v>709</v>
      </c>
      <c r="BP348" s="547" t="s">
        <v>709</v>
      </c>
      <c r="BQ348" s="547" t="s">
        <v>709</v>
      </c>
      <c r="BR348" s="547">
        <v>3591</v>
      </c>
      <c r="BS348" s="547">
        <v>21404</v>
      </c>
      <c r="BT348" s="547" t="s">
        <v>709</v>
      </c>
      <c r="BU348" s="547" t="s">
        <v>709</v>
      </c>
      <c r="BV348" s="547" t="s">
        <v>709</v>
      </c>
      <c r="BW348" s="547" t="s">
        <v>709</v>
      </c>
      <c r="BX348" s="547" t="s">
        <v>709</v>
      </c>
      <c r="BY348" s="547" t="s">
        <v>709</v>
      </c>
      <c r="BZ348" s="547" t="s">
        <v>709</v>
      </c>
      <c r="CA348" s="483"/>
      <c r="CB348" s="547">
        <v>345</v>
      </c>
      <c r="CC348" s="1481" t="b">
        <v>1</v>
      </c>
      <c r="CD348" t="str">
        <f>Table15[[#This Row],[Engineering Number]]&amp;Table15[[#This Row],[WO Number]]&amp;Table15[[#This Row],[Date Assigned to Designer]]&amp;Table15[[#This Row],[Date Completed]]</f>
        <v>VW971205874423244384</v>
      </c>
    </row>
    <row r="349" spans="1:82" customFormat="1" ht="15" customHeight="1" x14ac:dyDescent="0.25">
      <c r="A349">
        <v>2021</v>
      </c>
      <c r="B349" s="8" t="s">
        <v>4</v>
      </c>
      <c r="C349" s="8" t="s">
        <v>3396</v>
      </c>
      <c r="D349" s="8" t="s">
        <v>115</v>
      </c>
      <c r="E349" s="8" t="s">
        <v>232</v>
      </c>
      <c r="F349" s="8" t="s">
        <v>919</v>
      </c>
      <c r="G349" s="8" t="s">
        <v>39</v>
      </c>
      <c r="H349" s="8" t="s">
        <v>1681</v>
      </c>
      <c r="I349" s="642">
        <v>44327</v>
      </c>
      <c r="J349" s="18">
        <v>44386</v>
      </c>
      <c r="K349" s="642">
        <v>44385</v>
      </c>
      <c r="L349" s="16">
        <f>IF(ISTEXT(Table15[[#This Row],[Engineering Approved Design Date]]),Table15[[#This Row],[Date Completed]]-Table15[[#This Row],[Date Assigned to Designer]],Table15[[#This Row],[Engineering Approved Design Date]]-Table15[[#This Row],[Date Completed]])</f>
        <v>1</v>
      </c>
      <c r="M349" s="642"/>
      <c r="N349" s="642" t="s">
        <v>120</v>
      </c>
      <c r="O349" s="1025">
        <v>44385</v>
      </c>
      <c r="P349" s="21" t="s">
        <v>739</v>
      </c>
      <c r="Q349" s="340" t="s">
        <v>115</v>
      </c>
      <c r="R349" s="1026" t="s">
        <v>115</v>
      </c>
      <c r="S349" s="538" t="s">
        <v>709</v>
      </c>
      <c r="T349" s="538" t="s">
        <v>709</v>
      </c>
      <c r="U349" s="28" t="s">
        <v>709</v>
      </c>
      <c r="V349" s="857"/>
      <c r="W349" s="440"/>
      <c r="X349" s="550"/>
      <c r="Y349" s="550"/>
      <c r="Z349" s="550"/>
      <c r="AA349" s="551"/>
      <c r="AB349" s="341"/>
      <c r="AC349" s="568"/>
      <c r="AD349" s="1157"/>
      <c r="AE349" s="579"/>
      <c r="AF349" s="579"/>
      <c r="AG349" s="579"/>
      <c r="AH349" s="553"/>
      <c r="AI349" s="1036"/>
      <c r="AJ349" s="1037"/>
      <c r="AK349" s="1037"/>
      <c r="AL349" s="1038"/>
      <c r="AM349" s="542" t="s">
        <v>709</v>
      </c>
      <c r="AN349" s="924"/>
      <c r="AO349" s="925"/>
      <c r="AP349" s="926"/>
      <c r="AQ349" s="926"/>
      <c r="AR349" s="926"/>
      <c r="AS349" s="926"/>
      <c r="AT349" s="926"/>
      <c r="AU349" s="926"/>
      <c r="AV349" s="926"/>
      <c r="AW349" s="927"/>
      <c r="AX349" s="926"/>
      <c r="AY349" s="1538" t="s">
        <v>29</v>
      </c>
      <c r="AZ349" s="1530"/>
      <c r="BA349" s="1031" t="s">
        <v>3397</v>
      </c>
      <c r="BB349" s="644" t="s">
        <v>3398</v>
      </c>
      <c r="BC349" s="544"/>
      <c r="BD349" s="544"/>
      <c r="BE349" s="544"/>
      <c r="BF349" s="544"/>
      <c r="BG349" s="544"/>
      <c r="BH349" s="741"/>
      <c r="BI349" s="1032"/>
      <c r="BJ349" s="1032"/>
      <c r="BK349" s="1032"/>
      <c r="BL349" s="1032"/>
      <c r="BM349" s="1032"/>
      <c r="BN349" s="1032"/>
      <c r="BO349" s="1032"/>
      <c r="BP349" s="1032"/>
      <c r="BQ349" s="1032"/>
      <c r="BR349" s="1032"/>
      <c r="BS349" s="1032"/>
      <c r="BT349" s="1032"/>
      <c r="BU349" s="1032"/>
      <c r="BV349" s="1032"/>
      <c r="BW349" s="1032"/>
      <c r="BX349" s="1032"/>
      <c r="BY349" s="1032"/>
      <c r="BZ349" s="1032"/>
      <c r="CA349" s="485"/>
      <c r="CB349" s="547">
        <v>347</v>
      </c>
      <c r="CC349" s="1481" t="b">
        <v>1</v>
      </c>
      <c r="CD349" t="str">
        <f>Table15[[#This Row],[Engineering Number]]&amp;Table15[[#This Row],[WO Number]]&amp;Table15[[#This Row],[Date Assigned to Designer]]&amp;Table15[[#This Row],[Date Completed]]</f>
        <v>SC19117-4432744385</v>
      </c>
    </row>
    <row r="350" spans="1:82" customFormat="1" ht="15" customHeight="1" x14ac:dyDescent="0.25">
      <c r="A350">
        <v>2022</v>
      </c>
      <c r="B350" s="8" t="s">
        <v>4</v>
      </c>
      <c r="C350" s="8" t="s">
        <v>973</v>
      </c>
      <c r="D350" s="8" t="s">
        <v>2774</v>
      </c>
      <c r="E350" s="8" t="s">
        <v>975</v>
      </c>
      <c r="F350" s="8" t="s">
        <v>919</v>
      </c>
      <c r="G350" s="8" t="s">
        <v>2743</v>
      </c>
      <c r="H350" s="8" t="s">
        <v>2127</v>
      </c>
      <c r="I350" s="642">
        <v>43592</v>
      </c>
      <c r="J350" s="18">
        <v>44469</v>
      </c>
      <c r="K350" s="642">
        <v>44391</v>
      </c>
      <c r="L350" s="16">
        <f>IF(ISTEXT(Table15[[#This Row],[Engineering Approved Design Date]]),Table15[[#This Row],[Date Completed]]-Table15[[#This Row],[Date Assigned to Designer]],Table15[[#This Row],[Engineering Approved Design Date]]-Table15[[#This Row],[Date Completed]])</f>
        <v>78</v>
      </c>
      <c r="M350" s="642"/>
      <c r="N350" s="642" t="s">
        <v>120</v>
      </c>
      <c r="O350" s="1025">
        <f>K350</f>
        <v>44391</v>
      </c>
      <c r="P350" s="21" t="s">
        <v>739</v>
      </c>
      <c r="Q350" s="340" t="s">
        <v>115</v>
      </c>
      <c r="R350" s="1026" t="s">
        <v>115</v>
      </c>
      <c r="S350" s="538" t="s">
        <v>709</v>
      </c>
      <c r="T350" s="538" t="s">
        <v>709</v>
      </c>
      <c r="U350" s="28" t="s">
        <v>709</v>
      </c>
      <c r="V350" s="857"/>
      <c r="W350" s="440"/>
      <c r="X350" s="550"/>
      <c r="Y350" s="550"/>
      <c r="Z350" s="550"/>
      <c r="AA350" s="551"/>
      <c r="AB350" s="341"/>
      <c r="AC350" s="568"/>
      <c r="AD350" s="1157"/>
      <c r="AE350" s="579"/>
      <c r="AF350" s="579"/>
      <c r="AG350" s="579"/>
      <c r="AH350" s="553"/>
      <c r="AI350" s="1036"/>
      <c r="AJ350" s="1037"/>
      <c r="AK350" s="1037"/>
      <c r="AL350" s="1038"/>
      <c r="AM350" s="542" t="s">
        <v>709</v>
      </c>
      <c r="AN350" s="924"/>
      <c r="AO350" s="925"/>
      <c r="AP350" s="926"/>
      <c r="AQ350" s="926"/>
      <c r="AR350" s="926"/>
      <c r="AS350" s="926"/>
      <c r="AT350" s="926"/>
      <c r="AU350" s="926"/>
      <c r="AV350" s="926"/>
      <c r="AW350" s="927"/>
      <c r="AX350" s="926"/>
      <c r="AY350" s="1538" t="s">
        <v>29</v>
      </c>
      <c r="AZ350" s="1530"/>
      <c r="BA350" s="1031" t="s">
        <v>3408</v>
      </c>
      <c r="BB350" s="644" t="s">
        <v>3409</v>
      </c>
      <c r="BC350" s="544"/>
      <c r="BD350" s="544"/>
      <c r="BE350" s="544"/>
      <c r="BF350" s="544"/>
      <c r="BG350" s="544"/>
      <c r="BH350" s="741"/>
      <c r="BI350" s="547" t="s">
        <v>709</v>
      </c>
      <c r="BJ350" s="547" t="s">
        <v>709</v>
      </c>
      <c r="BK350" s="547" t="s">
        <v>709</v>
      </c>
      <c r="BL350" s="547" t="s">
        <v>116</v>
      </c>
      <c r="BM350" s="547" t="s">
        <v>709</v>
      </c>
      <c r="BN350" s="547" t="s">
        <v>709</v>
      </c>
      <c r="BO350" s="547" t="s">
        <v>709</v>
      </c>
      <c r="BP350" s="547" t="s">
        <v>709</v>
      </c>
      <c r="BQ350" s="547" t="s">
        <v>709</v>
      </c>
      <c r="BR350" s="547" t="s">
        <v>709</v>
      </c>
      <c r="BS350" s="547">
        <v>240</v>
      </c>
      <c r="BT350" s="547" t="s">
        <v>709</v>
      </c>
      <c r="BU350" s="547" t="s">
        <v>709</v>
      </c>
      <c r="BV350" s="547" t="s">
        <v>709</v>
      </c>
      <c r="BW350" s="547" t="s">
        <v>709</v>
      </c>
      <c r="BX350" s="547" t="s">
        <v>709</v>
      </c>
      <c r="BY350" s="547" t="s">
        <v>709</v>
      </c>
      <c r="BZ350" s="547" t="s">
        <v>709</v>
      </c>
      <c r="CA350" s="483"/>
      <c r="CB350" s="547">
        <v>349</v>
      </c>
      <c r="CC350" s="1481" t="b">
        <v>1</v>
      </c>
      <c r="CD350" t="str">
        <f>Table15[[#This Row],[Engineering Number]]&amp;Table15[[#This Row],[WO Number]]&amp;Table15[[#This Row],[Date Assigned to Designer]]&amp;Table15[[#This Row],[Date Completed]]</f>
        <v>M10160-11204224359244391</v>
      </c>
    </row>
    <row r="351" spans="1:82" customFormat="1" ht="15" customHeight="1" x14ac:dyDescent="0.25">
      <c r="A351">
        <v>2022</v>
      </c>
      <c r="B351" s="8" t="s">
        <v>730</v>
      </c>
      <c r="C351" s="8" t="s">
        <v>3400</v>
      </c>
      <c r="D351" s="647" t="s">
        <v>3401</v>
      </c>
      <c r="E351" s="8" t="s">
        <v>3402</v>
      </c>
      <c r="F351" s="8" t="s">
        <v>747</v>
      </c>
      <c r="G351" s="8" t="s">
        <v>347</v>
      </c>
      <c r="H351" s="8" t="s">
        <v>59</v>
      </c>
      <c r="I351" s="642">
        <v>44263</v>
      </c>
      <c r="J351" s="449">
        <v>44391</v>
      </c>
      <c r="K351" s="642">
        <v>44391</v>
      </c>
      <c r="L351" s="16">
        <f>IF(ISTEXT(Table15[[#This Row],[Engineering Approved Design Date]]),Table15[[#This Row],[Date Completed]]-Table15[[#This Row],[Date Assigned to Designer]],Table15[[#This Row],[Engineering Approved Design Date]]-Table15[[#This Row],[Date Completed]])</f>
        <v>0</v>
      </c>
      <c r="M351" s="642"/>
      <c r="N351" s="642" t="s">
        <v>120</v>
      </c>
      <c r="O351" s="1025">
        <v>44391</v>
      </c>
      <c r="P351" s="21" t="s">
        <v>120</v>
      </c>
      <c r="Q351" s="1151">
        <f>(Table15[[#This Row],[Construction Cost to Bill From]]*0.085)+5250</f>
        <v>14908.79565</v>
      </c>
      <c r="R351" s="1026" t="s">
        <v>794</v>
      </c>
      <c r="S351" s="538" t="s">
        <v>709</v>
      </c>
      <c r="T351" s="538" t="s">
        <v>709</v>
      </c>
      <c r="U351" s="28" t="s">
        <v>709</v>
      </c>
      <c r="V351" s="857">
        <v>74</v>
      </c>
      <c r="W351" s="440"/>
      <c r="X351" s="551">
        <v>76160.7</v>
      </c>
      <c r="Y351" s="550"/>
      <c r="Z351" s="551">
        <v>37472.19</v>
      </c>
      <c r="AA351" s="551">
        <f t="shared" ref="AA351:AA356" si="6">X351+Z351</f>
        <v>113632.89</v>
      </c>
      <c r="AB351" s="341"/>
      <c r="AC351" s="568" t="s">
        <v>1177</v>
      </c>
      <c r="AD351" s="1157"/>
      <c r="AE351" s="579"/>
      <c r="AF351" s="579"/>
      <c r="AG351" s="579"/>
      <c r="AH351" s="553"/>
      <c r="AI351" s="1036"/>
      <c r="AJ351" s="1037"/>
      <c r="AK351" s="1037"/>
      <c r="AL351" s="1038"/>
      <c r="AM351" s="1522" t="s">
        <v>116</v>
      </c>
      <c r="AN351" s="1523">
        <v>44853</v>
      </c>
      <c r="AO351" s="1524">
        <v>11033308</v>
      </c>
      <c r="AP351" s="1525">
        <v>102078.08</v>
      </c>
      <c r="AQ351" s="1525"/>
      <c r="AR351" s="1525">
        <v>37474.239999999998</v>
      </c>
      <c r="AS351" s="1525">
        <f>IF(Table15[[#This Row],[PCTS Approved]]="N",0,Table15[[#This Row],[Investment Amount (1'#'#'#'#'#)]]+Table15[[#This Row],[Retirement Amount (3'#'#'#'#'#)]])</f>
        <v>139552.32000000001</v>
      </c>
      <c r="AT351" s="1525">
        <f>IF(Table15[[#This Row],[Approved Construction Cost]]=0,0,Table15[[#This Row],[Approved Construction Cost]]-Table15[[#This Row],[Construction Cost to Bill From]])</f>
        <v>25919.430000000008</v>
      </c>
      <c r="AU351" s="1525">
        <f>IFERROR(Table15[[#This Row],[Difference in Construction Cost]]*Table15[[#This Row],[Rate]],Table15[[#This Row],[Difference in Construction Cost]]*0.085)</f>
        <v>2203.151550000001</v>
      </c>
      <c r="AV351" s="1525" t="s">
        <v>709</v>
      </c>
      <c r="AW351" s="1526" t="s">
        <v>3403</v>
      </c>
      <c r="AX351" s="1525">
        <f>Table15[[#This Row],[Reconcile Amount]]</f>
        <v>2203.151550000001</v>
      </c>
      <c r="AY351" s="1518">
        <v>45008</v>
      </c>
      <c r="AZ351" s="333"/>
      <c r="BA351" s="1031" t="s">
        <v>3404</v>
      </c>
      <c r="BB351" s="644" t="s">
        <v>797</v>
      </c>
      <c r="BC351" s="544" t="s">
        <v>709</v>
      </c>
      <c r="BD351" s="544" t="s">
        <v>3405</v>
      </c>
      <c r="BE351" s="544" t="s">
        <v>3406</v>
      </c>
      <c r="BF351" s="544" t="s">
        <v>709</v>
      </c>
      <c r="BG351" s="544" t="s">
        <v>1211</v>
      </c>
      <c r="BH351" s="741"/>
      <c r="BI351" s="547" t="s">
        <v>709</v>
      </c>
      <c r="BJ351" s="547" t="s">
        <v>116</v>
      </c>
      <c r="BK351" s="547" t="s">
        <v>709</v>
      </c>
      <c r="BL351" s="547" t="s">
        <v>116</v>
      </c>
      <c r="BM351" s="547" t="s">
        <v>709</v>
      </c>
      <c r="BN351" s="547" t="s">
        <v>709</v>
      </c>
      <c r="BO351" s="547" t="s">
        <v>709</v>
      </c>
      <c r="BP351" s="547" t="s">
        <v>709</v>
      </c>
      <c r="BQ351" s="547" t="s">
        <v>709</v>
      </c>
      <c r="BR351" s="547" t="s">
        <v>709</v>
      </c>
      <c r="BS351" s="547">
        <v>74</v>
      </c>
      <c r="BT351" s="547" t="s">
        <v>709</v>
      </c>
      <c r="BU351" s="547">
        <v>1</v>
      </c>
      <c r="BV351" s="547" t="s">
        <v>709</v>
      </c>
      <c r="BW351" s="547" t="s">
        <v>709</v>
      </c>
      <c r="BX351" s="547">
        <v>1</v>
      </c>
      <c r="BY351" s="547" t="s">
        <v>709</v>
      </c>
      <c r="BZ351" s="547" t="s">
        <v>709</v>
      </c>
      <c r="CA351" s="483" t="s">
        <v>730</v>
      </c>
      <c r="CB351" s="547">
        <v>348</v>
      </c>
      <c r="CC351" s="1481" t="b">
        <v>1</v>
      </c>
      <c r="CD351" t="str">
        <f>Table15[[#This Row],[Engineering Number]]&amp;Table15[[#This Row],[WO Number]]&amp;Table15[[#This Row],[Date Assigned to Designer]]&amp;Table15[[#This Row],[Date Completed]]</f>
        <v>RS8181030864426344391</v>
      </c>
    </row>
    <row r="352" spans="1:82" customFormat="1" ht="15" customHeight="1" x14ac:dyDescent="0.25">
      <c r="A352">
        <v>2022</v>
      </c>
      <c r="B352" s="8" t="s">
        <v>730</v>
      </c>
      <c r="C352" s="8" t="s">
        <v>3411</v>
      </c>
      <c r="D352" s="647" t="s">
        <v>3412</v>
      </c>
      <c r="E352" s="8" t="s">
        <v>2013</v>
      </c>
      <c r="F352" s="8" t="s">
        <v>747</v>
      </c>
      <c r="G352" s="8" t="s">
        <v>347</v>
      </c>
      <c r="H352" s="8" t="s">
        <v>59</v>
      </c>
      <c r="I352" s="642">
        <v>44263</v>
      </c>
      <c r="J352" s="449">
        <v>44392</v>
      </c>
      <c r="K352" s="642">
        <v>44392</v>
      </c>
      <c r="L352" s="16">
        <f>IF(ISTEXT(Table15[[#This Row],[Engineering Approved Design Date]]),Table15[[#This Row],[Date Completed]]-Table15[[#This Row],[Date Assigned to Designer]],Table15[[#This Row],[Engineering Approved Design Date]]-Table15[[#This Row],[Date Completed]])</f>
        <v>0</v>
      </c>
      <c r="M352" s="642"/>
      <c r="N352" s="642" t="s">
        <v>120</v>
      </c>
      <c r="O352" s="1025">
        <v>44392</v>
      </c>
      <c r="P352" s="21" t="s">
        <v>120</v>
      </c>
      <c r="Q352" s="1151">
        <f>(Table15[[#This Row],[Construction Cost to Bill From]]*0.085)+5250</f>
        <v>19156.563549999999</v>
      </c>
      <c r="R352" s="1026" t="s">
        <v>794</v>
      </c>
      <c r="S352" s="538" t="s">
        <v>709</v>
      </c>
      <c r="T352" s="538" t="s">
        <v>709</v>
      </c>
      <c r="U352" s="28" t="s">
        <v>709</v>
      </c>
      <c r="V352" s="857">
        <v>104</v>
      </c>
      <c r="W352" s="440"/>
      <c r="X352" s="551">
        <v>122061.18</v>
      </c>
      <c r="Y352" s="551"/>
      <c r="Z352" s="551">
        <v>41545.449999999997</v>
      </c>
      <c r="AA352" s="551">
        <f t="shared" si="6"/>
        <v>163606.63</v>
      </c>
      <c r="AB352" s="341"/>
      <c r="AC352" s="568" t="s">
        <v>1177</v>
      </c>
      <c r="AD352" s="1157"/>
      <c r="AE352" s="579"/>
      <c r="AF352" s="579"/>
      <c r="AG352" s="579"/>
      <c r="AH352" s="553"/>
      <c r="AI352" s="1036"/>
      <c r="AJ352" s="1037"/>
      <c r="AK352" s="1037"/>
      <c r="AL352" s="1038"/>
      <c r="AM352" s="1522" t="s">
        <v>116</v>
      </c>
      <c r="AN352" s="1523">
        <v>44741</v>
      </c>
      <c r="AO352" s="1524">
        <v>11033915</v>
      </c>
      <c r="AP352" s="1525">
        <v>127902.3</v>
      </c>
      <c r="AQ352" s="1525"/>
      <c r="AR352" s="1525">
        <v>41547.21</v>
      </c>
      <c r="AS352" s="1525">
        <f>IF(Table15[[#This Row],[PCTS Approved]]="N",0,Table15[[#This Row],[Investment Amount (1'#'#'#'#'#)]]+Table15[[#This Row],[Retirement Amount (3'#'#'#'#'#)]])</f>
        <v>169449.51</v>
      </c>
      <c r="AT352" s="1525">
        <f>IF(Table15[[#This Row],[Approved Construction Cost]]=0,0,Table15[[#This Row],[Approved Construction Cost]]-Table15[[#This Row],[Construction Cost to Bill From]])</f>
        <v>5842.8800000000047</v>
      </c>
      <c r="AU352" s="1525">
        <f>IFERROR(Table15[[#This Row],[Difference in Construction Cost]]*Table15[[#This Row],[Rate]],Table15[[#This Row],[Difference in Construction Cost]]*0.085)</f>
        <v>496.64480000000043</v>
      </c>
      <c r="AV352" s="1525" t="s">
        <v>709</v>
      </c>
      <c r="AW352" s="1526"/>
      <c r="AX352" s="1525">
        <f>Table15[[#This Row],[Reconcile Amount]]</f>
        <v>496.64480000000043</v>
      </c>
      <c r="AY352" s="1518">
        <v>45008</v>
      </c>
      <c r="AZ352" s="333"/>
      <c r="BA352" s="1031" t="s">
        <v>3413</v>
      </c>
      <c r="BB352" s="644" t="s">
        <v>797</v>
      </c>
      <c r="BC352" s="544" t="s">
        <v>709</v>
      </c>
      <c r="BD352" s="544" t="s">
        <v>709</v>
      </c>
      <c r="BE352" s="544" t="s">
        <v>709</v>
      </c>
      <c r="BF352" s="544" t="s">
        <v>3414</v>
      </c>
      <c r="BG352" s="544" t="s">
        <v>799</v>
      </c>
      <c r="BH352" s="741"/>
      <c r="BI352" s="547" t="s">
        <v>709</v>
      </c>
      <c r="BJ352" s="547" t="s">
        <v>709</v>
      </c>
      <c r="BK352" s="547" t="s">
        <v>116</v>
      </c>
      <c r="BL352" s="547" t="s">
        <v>116</v>
      </c>
      <c r="BM352" s="547" t="s">
        <v>709</v>
      </c>
      <c r="BN352" s="547" t="s">
        <v>709</v>
      </c>
      <c r="BO352" s="547" t="s">
        <v>709</v>
      </c>
      <c r="BP352" s="547" t="s">
        <v>709</v>
      </c>
      <c r="BQ352" s="547" t="s">
        <v>709</v>
      </c>
      <c r="BR352" s="547" t="s">
        <v>709</v>
      </c>
      <c r="BS352" s="547">
        <v>80</v>
      </c>
      <c r="BT352" s="547" t="s">
        <v>709</v>
      </c>
      <c r="BU352" s="547">
        <v>1</v>
      </c>
      <c r="BV352" s="547" t="s">
        <v>709</v>
      </c>
      <c r="BW352" s="547" t="s">
        <v>709</v>
      </c>
      <c r="BX352" s="547">
        <v>1</v>
      </c>
      <c r="BY352" s="547" t="s">
        <v>709</v>
      </c>
      <c r="BZ352" s="547" t="s">
        <v>709</v>
      </c>
      <c r="CA352" s="483" t="s">
        <v>730</v>
      </c>
      <c r="CB352" s="547">
        <v>351</v>
      </c>
      <c r="CC352" s="1481" t="b">
        <v>1</v>
      </c>
      <c r="CD352" t="str">
        <f>Table15[[#This Row],[Engineering Number]]&amp;Table15[[#This Row],[WO Number]]&amp;Table15[[#This Row],[Date Assigned to Designer]]&amp;Table15[[#This Row],[Date Completed]]</f>
        <v>RS8201030884426344392</v>
      </c>
    </row>
    <row r="353" spans="1:82" customFormat="1" ht="15" customHeight="1" x14ac:dyDescent="0.25">
      <c r="A353">
        <v>2022</v>
      </c>
      <c r="B353" s="8" t="s">
        <v>730</v>
      </c>
      <c r="C353" s="8" t="s">
        <v>791</v>
      </c>
      <c r="D353" s="647" t="s">
        <v>792</v>
      </c>
      <c r="E353" s="8" t="s">
        <v>793</v>
      </c>
      <c r="F353" s="8" t="s">
        <v>747</v>
      </c>
      <c r="G353" s="8" t="s">
        <v>347</v>
      </c>
      <c r="H353" s="8" t="s">
        <v>59</v>
      </c>
      <c r="I353" s="642">
        <v>44263</v>
      </c>
      <c r="J353" s="449">
        <v>44392</v>
      </c>
      <c r="K353" s="642">
        <v>44392</v>
      </c>
      <c r="L353" s="16">
        <f>IF(ISTEXT(Table15[[#This Row],[Engineering Approved Design Date]]),Table15[[#This Row],[Date Completed]]-Table15[[#This Row],[Date Assigned to Designer]],Table15[[#This Row],[Engineering Approved Design Date]]-Table15[[#This Row],[Date Completed]])</f>
        <v>0</v>
      </c>
      <c r="M353" s="642"/>
      <c r="N353" s="642" t="s">
        <v>120</v>
      </c>
      <c r="O353" s="1025">
        <v>44392</v>
      </c>
      <c r="P353" s="21" t="s">
        <v>120</v>
      </c>
      <c r="Q353" s="1151">
        <f>(Table15[[#This Row],[Construction Cost to Bill From]]*0.085)+5250</f>
        <v>17937.723900000001</v>
      </c>
      <c r="R353" s="1026" t="s">
        <v>794</v>
      </c>
      <c r="S353" s="538" t="s">
        <v>709</v>
      </c>
      <c r="T353" s="538" t="s">
        <v>709</v>
      </c>
      <c r="U353" s="28" t="s">
        <v>709</v>
      </c>
      <c r="V353" s="857"/>
      <c r="W353" s="440"/>
      <c r="X353" s="551">
        <v>113697.78</v>
      </c>
      <c r="Y353" s="551"/>
      <c r="Z353" s="551">
        <v>35569.56</v>
      </c>
      <c r="AA353" s="551">
        <f t="shared" si="6"/>
        <v>149267.34</v>
      </c>
      <c r="AB353" s="341"/>
      <c r="AC353" s="568" t="s">
        <v>709</v>
      </c>
      <c r="AD353" s="1157"/>
      <c r="AE353" s="579"/>
      <c r="AF353" s="579"/>
      <c r="AG353" s="579"/>
      <c r="AH353" s="553"/>
      <c r="AI353" s="1036"/>
      <c r="AJ353" s="1037"/>
      <c r="AK353" s="1037"/>
      <c r="AL353" s="1038"/>
      <c r="AM353" s="1522" t="s">
        <v>116</v>
      </c>
      <c r="AN353" s="1523">
        <v>45315</v>
      </c>
      <c r="AO353" s="1524">
        <v>11033709</v>
      </c>
      <c r="AP353" s="1525">
        <v>141620.94</v>
      </c>
      <c r="AQ353" s="1525"/>
      <c r="AR353" s="1525">
        <v>37610.74</v>
      </c>
      <c r="AS353" s="1525">
        <v>179231.68</v>
      </c>
      <c r="AT353" s="1525">
        <v>29964.339999999997</v>
      </c>
      <c r="AU353" s="1525">
        <v>2546.9688999999998</v>
      </c>
      <c r="AV353" s="1525">
        <v>0</v>
      </c>
      <c r="AW353" s="1526" t="s">
        <v>3416</v>
      </c>
      <c r="AX353" s="1525">
        <v>2546.9699999999998</v>
      </c>
      <c r="AY353" s="1518">
        <v>45566</v>
      </c>
      <c r="AZ353" s="333">
        <v>165</v>
      </c>
      <c r="BA353" s="859" t="s">
        <v>796</v>
      </c>
      <c r="BB353" s="644" t="s">
        <v>797</v>
      </c>
      <c r="BC353" s="544" t="s">
        <v>116</v>
      </c>
      <c r="BD353" s="544" t="s">
        <v>709</v>
      </c>
      <c r="BE353" s="544" t="s">
        <v>709</v>
      </c>
      <c r="BF353" s="544" t="s">
        <v>798</v>
      </c>
      <c r="BG353" s="544" t="s">
        <v>799</v>
      </c>
      <c r="BH353" s="741"/>
      <c r="BI353" s="547" t="s">
        <v>709</v>
      </c>
      <c r="BJ353" s="547" t="s">
        <v>709</v>
      </c>
      <c r="BK353" s="547" t="s">
        <v>116</v>
      </c>
      <c r="BL353" s="547" t="s">
        <v>709</v>
      </c>
      <c r="BM353" s="547" t="s">
        <v>709</v>
      </c>
      <c r="BN353" s="547" t="s">
        <v>709</v>
      </c>
      <c r="BO353" s="547" t="s">
        <v>709</v>
      </c>
      <c r="BP353" s="547" t="s">
        <v>709</v>
      </c>
      <c r="BQ353" s="547" t="s">
        <v>709</v>
      </c>
      <c r="BR353" s="547" t="s">
        <v>709</v>
      </c>
      <c r="BS353" s="547">
        <v>455</v>
      </c>
      <c r="BT353" s="547" t="s">
        <v>709</v>
      </c>
      <c r="BU353" s="547" t="s">
        <v>709</v>
      </c>
      <c r="BV353" s="547" t="s">
        <v>709</v>
      </c>
      <c r="BW353" s="547" t="s">
        <v>709</v>
      </c>
      <c r="BX353" s="547" t="s">
        <v>709</v>
      </c>
      <c r="BY353" s="547" t="s">
        <v>709</v>
      </c>
      <c r="BZ353" s="547" t="s">
        <v>709</v>
      </c>
      <c r="CA353" s="483" t="s">
        <v>730</v>
      </c>
      <c r="CB353" s="547">
        <v>350</v>
      </c>
      <c r="CC353" s="1481" t="b">
        <v>1</v>
      </c>
      <c r="CD353" t="str">
        <f>Table15[[#This Row],[Engineering Number]]&amp;Table15[[#This Row],[WO Number]]&amp;Table15[[#This Row],[Date Assigned to Designer]]&amp;Table15[[#This Row],[Date Completed]]</f>
        <v>RS8241030894426344392</v>
      </c>
    </row>
    <row r="354" spans="1:82" customFormat="1" ht="15" customHeight="1" x14ac:dyDescent="0.25">
      <c r="A354">
        <v>2022</v>
      </c>
      <c r="B354" s="8" t="s">
        <v>730</v>
      </c>
      <c r="C354" s="8" t="s">
        <v>3418</v>
      </c>
      <c r="D354" s="8" t="s">
        <v>3419</v>
      </c>
      <c r="E354" s="8" t="s">
        <v>3420</v>
      </c>
      <c r="F354" s="8" t="s">
        <v>747</v>
      </c>
      <c r="G354" s="8" t="s">
        <v>347</v>
      </c>
      <c r="H354" s="8" t="s">
        <v>59</v>
      </c>
      <c r="I354" s="642">
        <v>44263</v>
      </c>
      <c r="J354" s="449">
        <v>44396</v>
      </c>
      <c r="K354" s="642">
        <v>44396</v>
      </c>
      <c r="L354" s="16">
        <f>IF(ISTEXT(Table15[[#This Row],[Engineering Approved Design Date]]),Table15[[#This Row],[Date Completed]]-Table15[[#This Row],[Date Assigned to Designer]],Table15[[#This Row],[Engineering Approved Design Date]]-Table15[[#This Row],[Date Completed]])</f>
        <v>0</v>
      </c>
      <c r="M354" s="642"/>
      <c r="N354" s="642" t="s">
        <v>120</v>
      </c>
      <c r="O354" s="1025">
        <v>44396</v>
      </c>
      <c r="P354" s="21" t="s">
        <v>120</v>
      </c>
      <c r="Q354" s="340">
        <f>(Table15[[#This Row],[Construction Cost to Bill From]]*0.085)+5250</f>
        <v>17246.136700000003</v>
      </c>
      <c r="R354" s="1026" t="s">
        <v>794</v>
      </c>
      <c r="S354" s="538" t="s">
        <v>709</v>
      </c>
      <c r="T354" s="538" t="s">
        <v>709</v>
      </c>
      <c r="U354" s="28" t="s">
        <v>709</v>
      </c>
      <c r="V354" s="858"/>
      <c r="W354" s="437"/>
      <c r="X354" s="538">
        <v>106309.36</v>
      </c>
      <c r="Y354" s="550"/>
      <c r="Z354" s="538">
        <v>34821.660000000003</v>
      </c>
      <c r="AA354" s="538">
        <f t="shared" si="6"/>
        <v>141131.02000000002</v>
      </c>
      <c r="AB354" s="341"/>
      <c r="AC354" s="568" t="s">
        <v>1177</v>
      </c>
      <c r="AD354" s="1157"/>
      <c r="AE354" s="579"/>
      <c r="AF354" s="579"/>
      <c r="AG354" s="579"/>
      <c r="AH354" s="553"/>
      <c r="AI354" s="1036"/>
      <c r="AJ354" s="1037"/>
      <c r="AK354" s="1037"/>
      <c r="AL354" s="1038"/>
      <c r="AM354" s="1522" t="s">
        <v>116</v>
      </c>
      <c r="AN354" s="1523">
        <v>44860</v>
      </c>
      <c r="AO354" s="1524">
        <v>11032899</v>
      </c>
      <c r="AP354" s="1525">
        <v>107294.3</v>
      </c>
      <c r="AQ354" s="1525"/>
      <c r="AR354" s="1525">
        <v>34808.9</v>
      </c>
      <c r="AS354" s="1525">
        <f>IF(Table15[[#This Row],[PCTS Approved]]="N",0,Table15[[#This Row],[Investment Amount (1'#'#'#'#'#)]]+Table15[[#This Row],[Retirement Amount (3'#'#'#'#'#)]])</f>
        <v>142103.20000000001</v>
      </c>
      <c r="AT354" s="1525">
        <f>IF(Table15[[#This Row],[Approved Construction Cost]]=0,0,Table15[[#This Row],[Approved Construction Cost]]-Table15[[#This Row],[Construction Cost to Bill From]])</f>
        <v>972.17999999999302</v>
      </c>
      <c r="AU354" s="1525">
        <f>IFERROR(Table15[[#This Row],[Difference in Construction Cost]]*Table15[[#This Row],[Rate]],Table15[[#This Row],[Difference in Construction Cost]]*0.085)</f>
        <v>82.635299999999418</v>
      </c>
      <c r="AV354" s="1525" t="s">
        <v>709</v>
      </c>
      <c r="AW354" s="1526"/>
      <c r="AX354" s="1525">
        <f>Table15[[#This Row],[Reconcile Amount]]</f>
        <v>82.635299999999418</v>
      </c>
      <c r="AY354" s="1518">
        <v>45008</v>
      </c>
      <c r="AZ354" s="333"/>
      <c r="BA354" s="1031" t="s">
        <v>3421</v>
      </c>
      <c r="BB354" s="644" t="s">
        <v>797</v>
      </c>
      <c r="BC354" s="544" t="s">
        <v>709</v>
      </c>
      <c r="BD354" s="544" t="s">
        <v>3422</v>
      </c>
      <c r="BE354" s="544" t="s">
        <v>709</v>
      </c>
      <c r="BF354" s="544" t="s">
        <v>709</v>
      </c>
      <c r="BG354" s="544" t="s">
        <v>709</v>
      </c>
      <c r="BH354" s="741"/>
      <c r="BI354" s="547" t="s">
        <v>709</v>
      </c>
      <c r="BJ354" s="547" t="s">
        <v>116</v>
      </c>
      <c r="BK354" s="547" t="s">
        <v>709</v>
      </c>
      <c r="BL354" s="547" t="s">
        <v>116</v>
      </c>
      <c r="BM354" s="547" t="s">
        <v>709</v>
      </c>
      <c r="BN354" s="547" t="s">
        <v>709</v>
      </c>
      <c r="BO354" s="547" t="s">
        <v>709</v>
      </c>
      <c r="BP354" s="547" t="s">
        <v>709</v>
      </c>
      <c r="BQ354" s="547" t="s">
        <v>709</v>
      </c>
      <c r="BR354" s="547" t="s">
        <v>709</v>
      </c>
      <c r="BS354" s="547">
        <v>47</v>
      </c>
      <c r="BT354" s="547" t="s">
        <v>709</v>
      </c>
      <c r="BU354" s="547">
        <v>1</v>
      </c>
      <c r="BV354" s="547" t="s">
        <v>709</v>
      </c>
      <c r="BW354" s="547" t="s">
        <v>709</v>
      </c>
      <c r="BX354" s="547">
        <v>1</v>
      </c>
      <c r="BY354" s="547" t="s">
        <v>709</v>
      </c>
      <c r="BZ354" s="547" t="s">
        <v>709</v>
      </c>
      <c r="CA354" s="483" t="s">
        <v>730</v>
      </c>
      <c r="CB354" s="547">
        <v>352</v>
      </c>
      <c r="CC354" s="1481" t="b">
        <v>1</v>
      </c>
      <c r="CD354" t="str">
        <f>Table15[[#This Row],[Engineering Number]]&amp;Table15[[#This Row],[WO Number]]&amp;Table15[[#This Row],[Date Assigned to Designer]]&amp;Table15[[#This Row],[Date Completed]]</f>
        <v>RS8191030874426344396</v>
      </c>
    </row>
    <row r="355" spans="1:82" customFormat="1" ht="15" customHeight="1" x14ac:dyDescent="0.25">
      <c r="A355">
        <v>2022</v>
      </c>
      <c r="B355" s="8" t="s">
        <v>730</v>
      </c>
      <c r="C355" s="8" t="s">
        <v>3424</v>
      </c>
      <c r="D355" s="654" t="s">
        <v>3425</v>
      </c>
      <c r="E355" s="8" t="s">
        <v>1049</v>
      </c>
      <c r="F355" s="8" t="s">
        <v>747</v>
      </c>
      <c r="G355" s="8" t="s">
        <v>347</v>
      </c>
      <c r="H355" s="8" t="s">
        <v>59</v>
      </c>
      <c r="I355" s="642">
        <v>44292</v>
      </c>
      <c r="J355" s="449">
        <v>44396</v>
      </c>
      <c r="K355" s="642">
        <v>44396</v>
      </c>
      <c r="L355" s="16">
        <f>IF(ISTEXT(Table15[[#This Row],[Engineering Approved Design Date]]),Table15[[#This Row],[Date Completed]]-Table15[[#This Row],[Date Assigned to Designer]],Table15[[#This Row],[Engineering Approved Design Date]]-Table15[[#This Row],[Date Completed]])</f>
        <v>0</v>
      </c>
      <c r="M355" s="642"/>
      <c r="N355" s="642" t="s">
        <v>120</v>
      </c>
      <c r="O355" s="1025">
        <v>44409</v>
      </c>
      <c r="P355" s="21" t="s">
        <v>120</v>
      </c>
      <c r="Q355" s="1151">
        <f>(Table15[[#This Row],[Construction Cost to Bill From]]*0.085)+5250</f>
        <v>18298.480049999998</v>
      </c>
      <c r="R355" s="1026" t="s">
        <v>794</v>
      </c>
      <c r="S355" s="538" t="s">
        <v>709</v>
      </c>
      <c r="T355" s="538" t="s">
        <v>709</v>
      </c>
      <c r="U355" s="28" t="s">
        <v>709</v>
      </c>
      <c r="V355" s="858"/>
      <c r="W355" s="437"/>
      <c r="X355" s="538">
        <v>114012.43</v>
      </c>
      <c r="Y355" s="551"/>
      <c r="Z355" s="538">
        <v>39499.1</v>
      </c>
      <c r="AA355" s="538">
        <f t="shared" si="6"/>
        <v>153511.53</v>
      </c>
      <c r="AB355" s="341"/>
      <c r="AC355" s="568" t="s">
        <v>1177</v>
      </c>
      <c r="AD355" s="1157"/>
      <c r="AE355" s="579"/>
      <c r="AF355" s="579"/>
      <c r="AG355" s="579"/>
      <c r="AH355" s="553"/>
      <c r="AI355" s="1036"/>
      <c r="AJ355" s="1037"/>
      <c r="AK355" s="1037"/>
      <c r="AL355" s="1038"/>
      <c r="AM355" s="542" t="s">
        <v>116</v>
      </c>
      <c r="AN355" s="1508">
        <v>44684</v>
      </c>
      <c r="AO355" s="925">
        <v>11033564</v>
      </c>
      <c r="AP355" s="926">
        <v>114012.43</v>
      </c>
      <c r="AQ355" s="926"/>
      <c r="AR355" s="926">
        <v>39499.1</v>
      </c>
      <c r="AS355" s="926">
        <f>IF(Table15[[#This Row],[PCTS Approved]]="N",0,Table15[[#This Row],[Investment Amount (1'#'#'#'#'#)]]+Table15[[#This Row],[Retirement Amount (3'#'#'#'#'#)]])</f>
        <v>153511.53</v>
      </c>
      <c r="AT355" s="926">
        <f>IF(Table15[[#This Row],[Approved Construction Cost]]=0,0,Table15[[#This Row],[Approved Construction Cost]]-Table15[[#This Row],[Construction Cost to Bill From]])</f>
        <v>0</v>
      </c>
      <c r="AU355" s="926">
        <f>IFERROR(Table15[[#This Row],[Difference in Construction Cost]]*Table15[[#This Row],[Rate]],Table15[[#This Row],[Difference in Construction Cost]]*0.085)</f>
        <v>0</v>
      </c>
      <c r="AV355" s="926" t="s">
        <v>709</v>
      </c>
      <c r="AW355" s="927"/>
      <c r="AX355" s="926"/>
      <c r="AY355" s="636" t="s">
        <v>1935</v>
      </c>
      <c r="AZ355" s="1531"/>
      <c r="BA355" s="859" t="s">
        <v>3426</v>
      </c>
      <c r="BB355" s="644" t="s">
        <v>3427</v>
      </c>
      <c r="BC355" s="544" t="s">
        <v>116</v>
      </c>
      <c r="BD355" s="544" t="s">
        <v>709</v>
      </c>
      <c r="BE355" s="544" t="s">
        <v>709</v>
      </c>
      <c r="BF355" s="544" t="s">
        <v>3428</v>
      </c>
      <c r="BG355" s="544" t="s">
        <v>709</v>
      </c>
      <c r="BH355" s="741"/>
      <c r="BI355" s="547" t="s">
        <v>709</v>
      </c>
      <c r="BJ355" s="547" t="s">
        <v>116</v>
      </c>
      <c r="BK355" s="547" t="s">
        <v>709</v>
      </c>
      <c r="BL355" s="547" t="s">
        <v>116</v>
      </c>
      <c r="BM355" s="547" t="s">
        <v>709</v>
      </c>
      <c r="BN355" s="547" t="s">
        <v>709</v>
      </c>
      <c r="BO355" s="547" t="s">
        <v>709</v>
      </c>
      <c r="BP355" s="547" t="s">
        <v>709</v>
      </c>
      <c r="BQ355" s="547" t="s">
        <v>709</v>
      </c>
      <c r="BR355" s="547" t="s">
        <v>709</v>
      </c>
      <c r="BS355" s="547">
        <v>78</v>
      </c>
      <c r="BT355" s="547" t="s">
        <v>709</v>
      </c>
      <c r="BU355" s="547">
        <v>1</v>
      </c>
      <c r="BV355" s="547" t="s">
        <v>709</v>
      </c>
      <c r="BW355" s="547" t="s">
        <v>709</v>
      </c>
      <c r="BX355" s="547">
        <v>1</v>
      </c>
      <c r="BY355" s="547" t="s">
        <v>709</v>
      </c>
      <c r="BZ355" s="547" t="s">
        <v>709</v>
      </c>
      <c r="CA355" s="483" t="s">
        <v>730</v>
      </c>
      <c r="CB355" s="547">
        <v>353</v>
      </c>
      <c r="CC355" s="1481" t="b">
        <v>1</v>
      </c>
      <c r="CD355" t="str">
        <f>Table15[[#This Row],[Engineering Number]]&amp;Table15[[#This Row],[WO Number]]&amp;Table15[[#This Row],[Date Assigned to Designer]]&amp;Table15[[#This Row],[Date Completed]]</f>
        <v>RS8221021454429244396</v>
      </c>
    </row>
    <row r="356" spans="1:82" customFormat="1" ht="15" customHeight="1" x14ac:dyDescent="0.25">
      <c r="A356">
        <v>2022</v>
      </c>
      <c r="B356" s="8" t="s">
        <v>730</v>
      </c>
      <c r="C356" s="8" t="s">
        <v>3434</v>
      </c>
      <c r="D356" s="654" t="s">
        <v>3435</v>
      </c>
      <c r="E356" s="8" t="s">
        <v>3436</v>
      </c>
      <c r="F356" s="8" t="s">
        <v>747</v>
      </c>
      <c r="G356" s="8" t="s">
        <v>347</v>
      </c>
      <c r="H356" s="8" t="s">
        <v>59</v>
      </c>
      <c r="I356" s="642">
        <v>44292</v>
      </c>
      <c r="J356" s="449">
        <v>44397</v>
      </c>
      <c r="K356" s="642">
        <v>44397</v>
      </c>
      <c r="L356" s="16">
        <f>IF(ISTEXT(Table15[[#This Row],[Engineering Approved Design Date]]),Table15[[#This Row],[Date Completed]]-Table15[[#This Row],[Date Assigned to Designer]],Table15[[#This Row],[Engineering Approved Design Date]]-Table15[[#This Row],[Date Completed]])</f>
        <v>0</v>
      </c>
      <c r="M356" s="642"/>
      <c r="N356" s="642" t="s">
        <v>120</v>
      </c>
      <c r="O356" s="1025">
        <v>44409</v>
      </c>
      <c r="P356" s="21" t="s">
        <v>120</v>
      </c>
      <c r="Q356" s="1151">
        <f>(Table15[[#This Row],[Construction Cost to Bill From]]*0.085)+5250</f>
        <v>22609.286500000002</v>
      </c>
      <c r="R356" s="1026" t="s">
        <v>794</v>
      </c>
      <c r="S356" s="538" t="s">
        <v>709</v>
      </c>
      <c r="T356" s="538" t="s">
        <v>709</v>
      </c>
      <c r="U356" s="28" t="s">
        <v>709</v>
      </c>
      <c r="V356" s="857"/>
      <c r="W356" s="440"/>
      <c r="X356" s="551">
        <v>152298.37</v>
      </c>
      <c r="Y356" s="551"/>
      <c r="Z356" s="551">
        <v>51928.53</v>
      </c>
      <c r="AA356" s="551">
        <f t="shared" si="6"/>
        <v>204226.9</v>
      </c>
      <c r="AB356" s="341"/>
      <c r="AC356" s="568" t="s">
        <v>1177</v>
      </c>
      <c r="AD356" s="1157"/>
      <c r="AE356" s="579"/>
      <c r="AF356" s="579"/>
      <c r="AG356" s="579"/>
      <c r="AH356" s="553"/>
      <c r="AI356" s="1036"/>
      <c r="AJ356" s="1037"/>
      <c r="AK356" s="1037"/>
      <c r="AL356" s="1038"/>
      <c r="AM356" s="1522" t="s">
        <v>116</v>
      </c>
      <c r="AN356" s="1523">
        <v>44752</v>
      </c>
      <c r="AO356" s="1524">
        <v>11033226</v>
      </c>
      <c r="AP356" s="1525">
        <v>169244.25</v>
      </c>
      <c r="AQ356" s="1525"/>
      <c r="AR356" s="1525">
        <v>71847.649999999994</v>
      </c>
      <c r="AS356" s="1525">
        <f>IF(Table15[[#This Row],[PCTS Approved]]="N",0,Table15[[#This Row],[Investment Amount (1'#'#'#'#'#)]]+Table15[[#This Row],[Retirement Amount (3'#'#'#'#'#)]])</f>
        <v>241091.9</v>
      </c>
      <c r="AT356" s="1525">
        <f>IF(Table15[[#This Row],[Approved Construction Cost]]=0,0,Table15[[#This Row],[Approved Construction Cost]]-Table15[[#This Row],[Construction Cost to Bill From]])</f>
        <v>36865</v>
      </c>
      <c r="AU356" s="1525">
        <f>IFERROR(Table15[[#This Row],[Difference in Construction Cost]]*Table15[[#This Row],[Rate]],Table15[[#This Row],[Difference in Construction Cost]]*0.085)</f>
        <v>3133.5250000000001</v>
      </c>
      <c r="AV356" s="1525">
        <v>2972.5</v>
      </c>
      <c r="AW356" s="1526" t="s">
        <v>3437</v>
      </c>
      <c r="AX356" s="1525">
        <v>0</v>
      </c>
      <c r="AY356" s="1518">
        <v>45008</v>
      </c>
      <c r="AZ356" s="333"/>
      <c r="BA356" s="1031" t="s">
        <v>3438</v>
      </c>
      <c r="BB356" s="644" t="s">
        <v>3439</v>
      </c>
      <c r="BC356" s="544" t="s">
        <v>709</v>
      </c>
      <c r="BD356" s="544" t="s">
        <v>1167</v>
      </c>
      <c r="BE356" s="544" t="s">
        <v>709</v>
      </c>
      <c r="BF356" s="544" t="s">
        <v>3440</v>
      </c>
      <c r="BG356" s="544" t="s">
        <v>709</v>
      </c>
      <c r="BH356" s="741"/>
      <c r="BI356" s="547" t="s">
        <v>709</v>
      </c>
      <c r="BJ356" s="547" t="s">
        <v>709</v>
      </c>
      <c r="BK356" s="547" t="s">
        <v>116</v>
      </c>
      <c r="BL356" s="547" t="s">
        <v>116</v>
      </c>
      <c r="BM356" s="547" t="s">
        <v>709</v>
      </c>
      <c r="BN356" s="547" t="s">
        <v>709</v>
      </c>
      <c r="BO356" s="547" t="s">
        <v>709</v>
      </c>
      <c r="BP356" s="547" t="s">
        <v>709</v>
      </c>
      <c r="BQ356" s="547" t="s">
        <v>709</v>
      </c>
      <c r="BR356" s="547">
        <v>43</v>
      </c>
      <c r="BS356" s="547">
        <v>115</v>
      </c>
      <c r="BT356" s="547" t="s">
        <v>709</v>
      </c>
      <c r="BU356" s="547">
        <v>1</v>
      </c>
      <c r="BV356" s="547" t="s">
        <v>709</v>
      </c>
      <c r="BW356" s="547" t="s">
        <v>709</v>
      </c>
      <c r="BX356" s="547">
        <v>1</v>
      </c>
      <c r="BY356" s="547" t="s">
        <v>709</v>
      </c>
      <c r="BZ356" s="547" t="s">
        <v>709</v>
      </c>
      <c r="CA356" s="483" t="s">
        <v>769</v>
      </c>
      <c r="CB356" s="547">
        <v>356</v>
      </c>
      <c r="CC356" s="1481" t="b">
        <v>1</v>
      </c>
      <c r="CD356" t="str">
        <f>Table15[[#This Row],[Engineering Number]]&amp;Table15[[#This Row],[WO Number]]&amp;Table15[[#This Row],[Date Assigned to Designer]]&amp;Table15[[#This Row],[Date Completed]]</f>
        <v>RS8261021464429244397</v>
      </c>
    </row>
    <row r="357" spans="1:82" customFormat="1" ht="15" customHeight="1" x14ac:dyDescent="0.25">
      <c r="A357">
        <v>2021</v>
      </c>
      <c r="B357" s="8" t="s">
        <v>4</v>
      </c>
      <c r="C357" s="8" t="s">
        <v>3159</v>
      </c>
      <c r="D357" s="654" t="s">
        <v>3160</v>
      </c>
      <c r="E357" s="8" t="s">
        <v>393</v>
      </c>
      <c r="F357" s="8" t="s">
        <v>738</v>
      </c>
      <c r="G357" s="8" t="s">
        <v>1882</v>
      </c>
      <c r="H357" s="8" t="s">
        <v>3178</v>
      </c>
      <c r="I357" s="642">
        <v>43962</v>
      </c>
      <c r="J357" s="18" t="s">
        <v>2052</v>
      </c>
      <c r="K357" s="642">
        <v>44397</v>
      </c>
      <c r="L357" s="16">
        <f>IF(ISTEXT(Table15[[#This Row],[Engineering Approved Design Date]]),Table15[[#This Row],[Date Completed]]-Table15[[#This Row],[Date Assigned to Designer]],Table15[[#This Row],[Engineering Approved Design Date]]-Table15[[#This Row],[Date Completed]])</f>
        <v>435</v>
      </c>
      <c r="M357" s="642" t="s">
        <v>3430</v>
      </c>
      <c r="N357" s="642" t="s">
        <v>120</v>
      </c>
      <c r="O357" s="1025">
        <v>44409</v>
      </c>
      <c r="P357" s="21" t="s">
        <v>120</v>
      </c>
      <c r="Q357" s="340">
        <f>Table15[[#This Row],[KH Hourly Effort]]</f>
        <v>1600</v>
      </c>
      <c r="R357" s="1026" t="s">
        <v>1922</v>
      </c>
      <c r="S357" s="538" t="s">
        <v>709</v>
      </c>
      <c r="T357" s="538" t="s">
        <v>709</v>
      </c>
      <c r="U357" s="28">
        <v>1600</v>
      </c>
      <c r="V357" s="858">
        <v>4975</v>
      </c>
      <c r="W357" s="437"/>
      <c r="X357" s="538"/>
      <c r="Y357" s="550"/>
      <c r="Z357" s="538"/>
      <c r="AA357" s="538"/>
      <c r="AB357" s="21"/>
      <c r="AC357" s="569"/>
      <c r="AD357" s="1149"/>
      <c r="AE357" s="580"/>
      <c r="AF357" s="580"/>
      <c r="AG357" s="580"/>
      <c r="AH357" s="542"/>
      <c r="AI357" s="1028"/>
      <c r="AJ357" s="1029"/>
      <c r="AK357" s="1029"/>
      <c r="AL357" s="1030"/>
      <c r="AM357" s="542" t="s">
        <v>709</v>
      </c>
      <c r="AN357" s="924"/>
      <c r="AO357" s="925"/>
      <c r="AP357" s="926"/>
      <c r="AQ357" s="926"/>
      <c r="AR357" s="926"/>
      <c r="AS357" s="926"/>
      <c r="AT357" s="926"/>
      <c r="AU357" s="926"/>
      <c r="AV357" s="926"/>
      <c r="AW357" s="927"/>
      <c r="AX357" s="926"/>
      <c r="AY357" s="1538" t="s">
        <v>29</v>
      </c>
      <c r="AZ357" s="1530"/>
      <c r="BA357" s="1031">
        <v>10</v>
      </c>
      <c r="BB357" s="644"/>
      <c r="BC357" s="544"/>
      <c r="BD357" s="544"/>
      <c r="BE357" s="544"/>
      <c r="BF357" s="544"/>
      <c r="BG357" s="544"/>
      <c r="BH357" s="741"/>
      <c r="BI357" s="547" t="s">
        <v>709</v>
      </c>
      <c r="BJ357" s="547" t="s">
        <v>709</v>
      </c>
      <c r="BK357" s="547" t="s">
        <v>709</v>
      </c>
      <c r="BL357" s="547" t="s">
        <v>116</v>
      </c>
      <c r="BM357" s="547">
        <v>55</v>
      </c>
      <c r="BN357" s="547">
        <v>4125</v>
      </c>
      <c r="BO357" s="547" t="s">
        <v>709</v>
      </c>
      <c r="BP357" s="547" t="s">
        <v>709</v>
      </c>
      <c r="BQ357" s="547">
        <v>93</v>
      </c>
      <c r="BR357" s="547">
        <v>367</v>
      </c>
      <c r="BS357" s="547">
        <v>630</v>
      </c>
      <c r="BT357" s="547" t="s">
        <v>709</v>
      </c>
      <c r="BU357" s="547" t="s">
        <v>709</v>
      </c>
      <c r="BV357" s="547" t="s">
        <v>709</v>
      </c>
      <c r="BW357" s="547" t="s">
        <v>709</v>
      </c>
      <c r="BX357" s="547" t="s">
        <v>745</v>
      </c>
      <c r="BY357" s="547" t="s">
        <v>709</v>
      </c>
      <c r="BZ357" s="547" t="s">
        <v>709</v>
      </c>
      <c r="CA357" s="483"/>
      <c r="CB357" s="547">
        <v>355</v>
      </c>
      <c r="CC357" s="1481" t="b">
        <v>1</v>
      </c>
      <c r="CD357" t="str">
        <f>Table15[[#This Row],[Engineering Number]]&amp;Table15[[#This Row],[WO Number]]&amp;Table15[[#This Row],[Date Assigned to Designer]]&amp;Table15[[#This Row],[Date Completed]]</f>
        <v>N133361292784396244397</v>
      </c>
    </row>
    <row r="358" spans="1:82" customFormat="1" ht="15" customHeight="1" x14ac:dyDescent="0.25">
      <c r="A358">
        <v>2021</v>
      </c>
      <c r="B358" s="8" t="s">
        <v>769</v>
      </c>
      <c r="C358" s="8" t="s">
        <v>1186</v>
      </c>
      <c r="D358" s="654" t="s">
        <v>1187</v>
      </c>
      <c r="E358" s="8" t="s">
        <v>393</v>
      </c>
      <c r="F358" s="8" t="s">
        <v>738</v>
      </c>
      <c r="G358" s="8" t="s">
        <v>1882</v>
      </c>
      <c r="H358" s="8" t="s">
        <v>3178</v>
      </c>
      <c r="I358" s="642">
        <v>44105</v>
      </c>
      <c r="J358" s="18" t="s">
        <v>2052</v>
      </c>
      <c r="K358" s="642">
        <v>44397</v>
      </c>
      <c r="L358" s="16">
        <f>IF(ISTEXT(Table15[[#This Row],[Engineering Approved Design Date]]),Table15[[#This Row],[Date Completed]]-Table15[[#This Row],[Date Assigned to Designer]],Table15[[#This Row],[Engineering Approved Design Date]]-Table15[[#This Row],[Date Completed]])</f>
        <v>292</v>
      </c>
      <c r="M358" s="642" t="s">
        <v>3432</v>
      </c>
      <c r="N358" s="642" t="s">
        <v>120</v>
      </c>
      <c r="O358" s="1025">
        <v>44409</v>
      </c>
      <c r="P358" s="21" t="s">
        <v>739</v>
      </c>
      <c r="Q358" s="340">
        <f>Table15[[#This Row],[KH Hourly Effort]]</f>
        <v>2952.5</v>
      </c>
      <c r="R358" s="1026" t="s">
        <v>1922</v>
      </c>
      <c r="S358" s="538" t="s">
        <v>709</v>
      </c>
      <c r="T358" s="538" t="s">
        <v>709</v>
      </c>
      <c r="U358" s="28">
        <v>2952.5</v>
      </c>
      <c r="V358" s="858">
        <f>11108+1550+80+546</f>
        <v>13284</v>
      </c>
      <c r="W358" s="437"/>
      <c r="X358" s="538"/>
      <c r="Y358" s="550"/>
      <c r="Z358" s="538"/>
      <c r="AA358" s="538"/>
      <c r="AB358" s="21"/>
      <c r="AC358" s="569" t="s">
        <v>709</v>
      </c>
      <c r="AD358" s="1149"/>
      <c r="AE358" s="580"/>
      <c r="AF358" s="580"/>
      <c r="AG358" s="580"/>
      <c r="AH358" s="542"/>
      <c r="AI358" s="1028"/>
      <c r="AJ358" s="1029"/>
      <c r="AK358" s="1029"/>
      <c r="AL358" s="1030"/>
      <c r="AM358" s="542" t="s">
        <v>709</v>
      </c>
      <c r="AN358" s="924"/>
      <c r="AO358" s="925"/>
      <c r="AP358" s="926"/>
      <c r="AQ358" s="926"/>
      <c r="AR358" s="926"/>
      <c r="AS358" s="926"/>
      <c r="AT358" s="926"/>
      <c r="AU358" s="926"/>
      <c r="AV358" s="926"/>
      <c r="AW358" s="927"/>
      <c r="AX358" s="926"/>
      <c r="AY358" s="1538" t="s">
        <v>29</v>
      </c>
      <c r="AZ358" s="1530"/>
      <c r="BA358" s="1031">
        <v>10</v>
      </c>
      <c r="BB358" s="644"/>
      <c r="BC358" s="544"/>
      <c r="BD358" s="544"/>
      <c r="BE358" s="544"/>
      <c r="BF358" s="544"/>
      <c r="BG358" s="544"/>
      <c r="BH358" s="741"/>
      <c r="BI358" s="547" t="s">
        <v>709</v>
      </c>
      <c r="BJ358" s="547" t="s">
        <v>709</v>
      </c>
      <c r="BK358" s="547" t="s">
        <v>709</v>
      </c>
      <c r="BL358" s="547" t="s">
        <v>116</v>
      </c>
      <c r="BM358" s="547" t="s">
        <v>709</v>
      </c>
      <c r="BN358" s="547" t="s">
        <v>709</v>
      </c>
      <c r="BO358" s="547" t="s">
        <v>709</v>
      </c>
      <c r="BP358" s="547" t="s">
        <v>709</v>
      </c>
      <c r="BQ358" s="547">
        <v>546</v>
      </c>
      <c r="BR358" s="547">
        <v>507</v>
      </c>
      <c r="BS358" s="547">
        <v>1553</v>
      </c>
      <c r="BT358" s="547" t="s">
        <v>709</v>
      </c>
      <c r="BU358" s="547" t="s">
        <v>709</v>
      </c>
      <c r="BV358" s="547" t="s">
        <v>709</v>
      </c>
      <c r="BW358" s="547" t="s">
        <v>709</v>
      </c>
      <c r="BX358" s="547" t="s">
        <v>709</v>
      </c>
      <c r="BY358" s="547" t="s">
        <v>709</v>
      </c>
      <c r="BZ358" s="547" t="s">
        <v>709</v>
      </c>
      <c r="CA358" s="483" t="s">
        <v>769</v>
      </c>
      <c r="CB358" s="547">
        <v>354</v>
      </c>
      <c r="CC358" s="1481" t="b">
        <v>1</v>
      </c>
      <c r="CD358" t="str">
        <f>Table15[[#This Row],[Engineering Number]]&amp;Table15[[#This Row],[WO Number]]&amp;Table15[[#This Row],[Date Assigned to Designer]]&amp;Table15[[#This Row],[Date Completed]]</f>
        <v>RS6621021314410544397</v>
      </c>
    </row>
    <row r="359" spans="1:82" customFormat="1" ht="15" customHeight="1" x14ac:dyDescent="0.25">
      <c r="A359">
        <v>2021</v>
      </c>
      <c r="B359" s="8" t="s">
        <v>771</v>
      </c>
      <c r="C359" s="8" t="s">
        <v>2752</v>
      </c>
      <c r="D359" s="654">
        <v>120500</v>
      </c>
      <c r="E359" s="8" t="s">
        <v>137</v>
      </c>
      <c r="F359" s="8" t="s">
        <v>738</v>
      </c>
      <c r="G359" s="8" t="s">
        <v>36</v>
      </c>
      <c r="H359" s="8" t="s">
        <v>2396</v>
      </c>
      <c r="I359" s="642">
        <v>44396</v>
      </c>
      <c r="J359" s="18" t="s">
        <v>2397</v>
      </c>
      <c r="K359" s="642">
        <v>44399</v>
      </c>
      <c r="L359" s="16">
        <f>IF(ISTEXT(Table15[[#This Row],[Engineering Approved Design Date]]),Table15[[#This Row],[Date Completed]]-Table15[[#This Row],[Date Assigned to Designer]],Table15[[#This Row],[Engineering Approved Design Date]]-Table15[[#This Row],[Date Completed]])</f>
        <v>3</v>
      </c>
      <c r="M359" s="642" t="s">
        <v>3444</v>
      </c>
      <c r="N359" s="642" t="s">
        <v>120</v>
      </c>
      <c r="O359" s="1025">
        <v>44409</v>
      </c>
      <c r="P359" s="21" t="s">
        <v>120</v>
      </c>
      <c r="Q359" s="340">
        <f>Table15[[#This Row],[KH Hourly Effort]]</f>
        <v>1555</v>
      </c>
      <c r="R359" s="1026" t="s">
        <v>1922</v>
      </c>
      <c r="S359" s="538" t="s">
        <v>709</v>
      </c>
      <c r="T359" s="538" t="s">
        <v>709</v>
      </c>
      <c r="U359" s="28">
        <v>1555</v>
      </c>
      <c r="V359" s="858"/>
      <c r="W359" s="437"/>
      <c r="X359" s="538"/>
      <c r="Y359" s="550"/>
      <c r="Z359" s="538"/>
      <c r="AA359" s="538"/>
      <c r="AB359" s="21"/>
      <c r="AC359" s="569"/>
      <c r="AD359" s="1149"/>
      <c r="AE359" s="569"/>
      <c r="AF359" s="569"/>
      <c r="AG359" s="569"/>
      <c r="AH359" s="536"/>
      <c r="AI359" s="1028"/>
      <c r="AJ359" s="1029"/>
      <c r="AK359" s="1029"/>
      <c r="AL359" s="1030"/>
      <c r="AM359" s="542" t="s">
        <v>709</v>
      </c>
      <c r="AN359" s="924"/>
      <c r="AO359" s="925"/>
      <c r="AP359" s="926"/>
      <c r="AQ359" s="926"/>
      <c r="AR359" s="926"/>
      <c r="AS359" s="926"/>
      <c r="AT359" s="926"/>
      <c r="AU359" s="926"/>
      <c r="AV359" s="926"/>
      <c r="AW359" s="927"/>
      <c r="AX359" s="926"/>
      <c r="AY359" s="1538" t="s">
        <v>29</v>
      </c>
      <c r="AZ359" s="1530"/>
      <c r="BA359" s="1031"/>
      <c r="BB359" s="644"/>
      <c r="BC359" s="544" t="s">
        <v>709</v>
      </c>
      <c r="BD359" s="544" t="s">
        <v>709</v>
      </c>
      <c r="BE359" s="544" t="s">
        <v>2484</v>
      </c>
      <c r="BF359" s="544" t="s">
        <v>709</v>
      </c>
      <c r="BG359" s="544" t="s">
        <v>709</v>
      </c>
      <c r="BH359" s="741"/>
      <c r="BI359" s="547" t="s">
        <v>709</v>
      </c>
      <c r="BJ359" s="547" t="s">
        <v>709</v>
      </c>
      <c r="BK359" s="547" t="s">
        <v>709</v>
      </c>
      <c r="BL359" s="547" t="s">
        <v>116</v>
      </c>
      <c r="BM359" s="547" t="s">
        <v>709</v>
      </c>
      <c r="BN359" s="547" t="s">
        <v>709</v>
      </c>
      <c r="BO359" s="547" t="s">
        <v>709</v>
      </c>
      <c r="BP359" s="547" t="s">
        <v>709</v>
      </c>
      <c r="BQ359" s="547" t="s">
        <v>709</v>
      </c>
      <c r="BR359" s="547" t="s">
        <v>709</v>
      </c>
      <c r="BS359" s="547">
        <v>572</v>
      </c>
      <c r="BT359" s="547" t="s">
        <v>709</v>
      </c>
      <c r="BU359" s="547" t="s">
        <v>709</v>
      </c>
      <c r="BV359" s="547" t="s">
        <v>709</v>
      </c>
      <c r="BW359" s="547" t="s">
        <v>709</v>
      </c>
      <c r="BX359" s="547" t="s">
        <v>709</v>
      </c>
      <c r="BY359" s="547" t="s">
        <v>709</v>
      </c>
      <c r="BZ359" s="547" t="s">
        <v>709</v>
      </c>
      <c r="CA359" s="483"/>
      <c r="CB359" s="547">
        <v>358</v>
      </c>
      <c r="CC359" s="1481" t="b">
        <v>1</v>
      </c>
      <c r="CD359" t="str">
        <f>Table15[[#This Row],[Engineering Number]]&amp;Table15[[#This Row],[WO Number]]&amp;Table15[[#This Row],[Date Assigned to Designer]]&amp;Table15[[#This Row],[Date Completed]]</f>
        <v>VW2291205004439644399</v>
      </c>
    </row>
    <row r="360" spans="1:82" customFormat="1" ht="15" customHeight="1" x14ac:dyDescent="0.25">
      <c r="A360">
        <v>2019</v>
      </c>
      <c r="B360" s="8" t="s">
        <v>771</v>
      </c>
      <c r="C360" s="8" t="s">
        <v>2359</v>
      </c>
      <c r="D360" s="654">
        <v>120406</v>
      </c>
      <c r="E360" s="8" t="s">
        <v>2361</v>
      </c>
      <c r="F360" s="8" t="s">
        <v>919</v>
      </c>
      <c r="G360" s="8" t="s">
        <v>1882</v>
      </c>
      <c r="H360" s="8" t="s">
        <v>2051</v>
      </c>
      <c r="I360" s="642">
        <v>44378</v>
      </c>
      <c r="J360" s="18" t="s">
        <v>2052</v>
      </c>
      <c r="K360" s="642">
        <v>44399</v>
      </c>
      <c r="L360" s="16">
        <f>IF(ISTEXT(Table15[[#This Row],[Engineering Approved Design Date]]),Table15[[#This Row],[Date Completed]]-Table15[[#This Row],[Date Assigned to Designer]],Table15[[#This Row],[Engineering Approved Design Date]]-Table15[[#This Row],[Date Completed]])</f>
        <v>21</v>
      </c>
      <c r="M360" s="642" t="s">
        <v>3442</v>
      </c>
      <c r="N360" s="642" t="s">
        <v>120</v>
      </c>
      <c r="O360" s="1025">
        <v>44409</v>
      </c>
      <c r="P360" s="21" t="s">
        <v>120</v>
      </c>
      <c r="Q360" s="340">
        <f>Table15[[#This Row],[KH Hourly Effort]]</f>
        <v>2230</v>
      </c>
      <c r="R360" s="1026" t="s">
        <v>1922</v>
      </c>
      <c r="S360" s="538" t="s">
        <v>709</v>
      </c>
      <c r="T360" s="538" t="s">
        <v>709</v>
      </c>
      <c r="U360" s="28">
        <v>2230</v>
      </c>
      <c r="V360" s="858"/>
      <c r="W360" s="437"/>
      <c r="X360" s="538"/>
      <c r="Y360" s="550"/>
      <c r="Z360" s="538"/>
      <c r="AA360" s="538"/>
      <c r="AB360" s="21"/>
      <c r="AC360" s="569"/>
      <c r="AD360" s="1149"/>
      <c r="AE360" s="569"/>
      <c r="AF360" s="569"/>
      <c r="AG360" s="569"/>
      <c r="AH360" s="536"/>
      <c r="AI360" s="1028"/>
      <c r="AJ360" s="1029"/>
      <c r="AK360" s="1029"/>
      <c r="AL360" s="1030"/>
      <c r="AM360" s="542" t="s">
        <v>709</v>
      </c>
      <c r="AN360" s="924"/>
      <c r="AO360" s="925"/>
      <c r="AP360" s="926"/>
      <c r="AQ360" s="926"/>
      <c r="AR360" s="926"/>
      <c r="AS360" s="926"/>
      <c r="AT360" s="926"/>
      <c r="AU360" s="926"/>
      <c r="AV360" s="926"/>
      <c r="AW360" s="927"/>
      <c r="AX360" s="926"/>
      <c r="AY360" s="1538" t="s">
        <v>29</v>
      </c>
      <c r="AZ360" s="1530"/>
      <c r="BA360" s="1031">
        <v>2</v>
      </c>
      <c r="BB360" s="644"/>
      <c r="BC360" s="544"/>
      <c r="BD360" s="544"/>
      <c r="BE360" s="544"/>
      <c r="BF360" s="544"/>
      <c r="BG360" s="544"/>
      <c r="BH360" s="741"/>
      <c r="BI360" s="547" t="s">
        <v>709</v>
      </c>
      <c r="BJ360" s="547" t="s">
        <v>709</v>
      </c>
      <c r="BK360" s="547" t="s">
        <v>709</v>
      </c>
      <c r="BL360" s="547" t="s">
        <v>116</v>
      </c>
      <c r="BM360" s="547" t="s">
        <v>709</v>
      </c>
      <c r="BN360" s="547" t="s">
        <v>709</v>
      </c>
      <c r="BO360" s="547" t="s">
        <v>709</v>
      </c>
      <c r="BP360" s="547" t="s">
        <v>709</v>
      </c>
      <c r="BQ360" s="547" t="s">
        <v>709</v>
      </c>
      <c r="BR360" s="547" t="s">
        <v>709</v>
      </c>
      <c r="BS360" s="547">
        <v>22573</v>
      </c>
      <c r="BT360" s="547" t="s">
        <v>709</v>
      </c>
      <c r="BU360" s="547" t="s">
        <v>709</v>
      </c>
      <c r="BV360" s="547" t="s">
        <v>709</v>
      </c>
      <c r="BW360" s="547" t="s">
        <v>709</v>
      </c>
      <c r="BX360" s="547" t="s">
        <v>709</v>
      </c>
      <c r="BY360" s="547" t="s">
        <v>709</v>
      </c>
      <c r="BZ360" s="547" t="s">
        <v>709</v>
      </c>
      <c r="CA360" s="483"/>
      <c r="CB360" s="547">
        <v>357</v>
      </c>
      <c r="CC360" s="1481" t="b">
        <v>1</v>
      </c>
      <c r="CD360" t="str">
        <f>Table15[[#This Row],[Engineering Number]]&amp;Table15[[#This Row],[WO Number]]&amp;Table15[[#This Row],[Date Assigned to Designer]]&amp;Table15[[#This Row],[Date Completed]]</f>
        <v>BS1151204064437844399</v>
      </c>
    </row>
    <row r="361" spans="1:82" customFormat="1" ht="15" customHeight="1" x14ac:dyDescent="0.25">
      <c r="A361">
        <v>2022</v>
      </c>
      <c r="B361" s="8" t="s">
        <v>771</v>
      </c>
      <c r="C361" s="8" t="s">
        <v>3453</v>
      </c>
      <c r="D361" s="654" t="s">
        <v>3454</v>
      </c>
      <c r="E361" s="8" t="s">
        <v>3448</v>
      </c>
      <c r="F361" s="8" t="s">
        <v>919</v>
      </c>
      <c r="G361" s="8" t="s">
        <v>1882</v>
      </c>
      <c r="H361" s="8" t="s">
        <v>59</v>
      </c>
      <c r="I361" s="642">
        <v>44232</v>
      </c>
      <c r="J361" s="18">
        <v>44405</v>
      </c>
      <c r="K361" s="642">
        <v>44403</v>
      </c>
      <c r="L361" s="16">
        <f>IF(ISTEXT(Table15[[#This Row],[Engineering Approved Design Date]]),Table15[[#This Row],[Date Completed]]-Table15[[#This Row],[Date Assigned to Designer]],Table15[[#This Row],[Engineering Approved Design Date]]-Table15[[#This Row],[Date Completed]])</f>
        <v>2</v>
      </c>
      <c r="M361" s="642"/>
      <c r="N361" s="642" t="s">
        <v>120</v>
      </c>
      <c r="O361" s="1025">
        <v>44409</v>
      </c>
      <c r="P361" s="21" t="s">
        <v>120</v>
      </c>
      <c r="Q361" s="340">
        <f>1.55*Table15[[#This Row],[LF of Main]]</f>
        <v>19299.05</v>
      </c>
      <c r="R361" s="1026" t="s">
        <v>2087</v>
      </c>
      <c r="S361" s="538" t="s">
        <v>709</v>
      </c>
      <c r="T361" s="538" t="s">
        <v>709</v>
      </c>
      <c r="U361" s="28" t="s">
        <v>709</v>
      </c>
      <c r="V361" s="857">
        <f>9718+2733</f>
        <v>12451</v>
      </c>
      <c r="W361" s="440"/>
      <c r="X361" s="551">
        <v>2016555.9</v>
      </c>
      <c r="Y361" s="550"/>
      <c r="Z361" s="551">
        <v>144762.94</v>
      </c>
      <c r="AA361" s="551">
        <f>X361+Z361</f>
        <v>2161318.84</v>
      </c>
      <c r="AB361" s="341"/>
      <c r="AC361" s="568" t="s">
        <v>709</v>
      </c>
      <c r="AD361" s="1157"/>
      <c r="AE361" s="568"/>
      <c r="AF361" s="568"/>
      <c r="AG361" s="568"/>
      <c r="AH361" s="183"/>
      <c r="AI361" s="1036"/>
      <c r="AJ361" s="1037"/>
      <c r="AK361" s="1037"/>
      <c r="AL361" s="1038"/>
      <c r="AM361" s="542" t="s">
        <v>709</v>
      </c>
      <c r="AN361" s="924"/>
      <c r="AO361" s="925"/>
      <c r="AP361" s="926"/>
      <c r="AQ361" s="926"/>
      <c r="AR361" s="926"/>
      <c r="AS361" s="926"/>
      <c r="AT361" s="926"/>
      <c r="AU361" s="926"/>
      <c r="AV361" s="926"/>
      <c r="AW361" s="927"/>
      <c r="AX361" s="926"/>
      <c r="AY361" s="1538" t="s">
        <v>29</v>
      </c>
      <c r="AZ361" s="1530"/>
      <c r="BA361" s="1031" t="s">
        <v>3455</v>
      </c>
      <c r="BB361" s="644" t="s">
        <v>3456</v>
      </c>
      <c r="BC361" s="544" t="s">
        <v>709</v>
      </c>
      <c r="BD361" s="544" t="s">
        <v>709</v>
      </c>
      <c r="BE361" s="544" t="s">
        <v>3457</v>
      </c>
      <c r="BF361" s="544" t="s">
        <v>709</v>
      </c>
      <c r="BG361" s="544" t="s">
        <v>709</v>
      </c>
      <c r="BH361" s="741"/>
      <c r="BI361" s="547" t="s">
        <v>709</v>
      </c>
      <c r="BJ361" s="547" t="s">
        <v>709</v>
      </c>
      <c r="BK361" s="547" t="s">
        <v>709</v>
      </c>
      <c r="BL361" s="547" t="s">
        <v>116</v>
      </c>
      <c r="BM361" s="547" t="s">
        <v>709</v>
      </c>
      <c r="BN361" s="547" t="s">
        <v>709</v>
      </c>
      <c r="BO361" s="547" t="s">
        <v>709</v>
      </c>
      <c r="BP361" s="547" t="s">
        <v>709</v>
      </c>
      <c r="BQ361" s="547" t="s">
        <v>709</v>
      </c>
      <c r="BR361" s="547">
        <v>2733</v>
      </c>
      <c r="BS361" s="547">
        <v>9718</v>
      </c>
      <c r="BT361" s="547" t="s">
        <v>709</v>
      </c>
      <c r="BU361" s="547" t="s">
        <v>709</v>
      </c>
      <c r="BV361" s="547" t="s">
        <v>709</v>
      </c>
      <c r="BW361" s="547" t="s">
        <v>709</v>
      </c>
      <c r="BX361" s="547" t="s">
        <v>709</v>
      </c>
      <c r="BY361" s="547" t="s">
        <v>709</v>
      </c>
      <c r="BZ361" s="547" t="s">
        <v>709</v>
      </c>
      <c r="CA361" s="483"/>
      <c r="CB361" s="547">
        <v>360</v>
      </c>
      <c r="CC361" s="1481" t="b">
        <v>1</v>
      </c>
      <c r="CD361" t="str">
        <f>Table15[[#This Row],[Engineering Number]]&amp;Table15[[#This Row],[WO Number]]&amp;Table15[[#This Row],[Date Assigned to Designer]]&amp;Table15[[#This Row],[Date Completed]]</f>
        <v>VW2211205724423244403</v>
      </c>
    </row>
    <row r="362" spans="1:82" customFormat="1" ht="15" customHeight="1" x14ac:dyDescent="0.25">
      <c r="A362">
        <v>2021</v>
      </c>
      <c r="B362" s="8" t="s">
        <v>771</v>
      </c>
      <c r="C362" s="8" t="s">
        <v>3446</v>
      </c>
      <c r="D362" s="654" t="s">
        <v>3447</v>
      </c>
      <c r="E362" s="8" t="s">
        <v>3448</v>
      </c>
      <c r="F362" s="8" t="s">
        <v>919</v>
      </c>
      <c r="G362" s="8" t="s">
        <v>1882</v>
      </c>
      <c r="H362" s="8" t="s">
        <v>59</v>
      </c>
      <c r="I362" s="642">
        <v>44232</v>
      </c>
      <c r="J362" s="18">
        <v>44405</v>
      </c>
      <c r="K362" s="642">
        <v>44403</v>
      </c>
      <c r="L362" s="16">
        <f>IF(ISTEXT(Table15[[#This Row],[Engineering Approved Design Date]]),Table15[[#This Row],[Date Completed]]-Table15[[#This Row],[Date Assigned to Designer]],Table15[[#This Row],[Engineering Approved Design Date]]-Table15[[#This Row],[Date Completed]])</f>
        <v>2</v>
      </c>
      <c r="M362" s="642"/>
      <c r="N362" s="642" t="s">
        <v>120</v>
      </c>
      <c r="O362" s="1025">
        <v>44409</v>
      </c>
      <c r="P362" s="21" t="s">
        <v>120</v>
      </c>
      <c r="Q362" s="340">
        <f>1.55*Table15[[#This Row],[LF of Main]]</f>
        <v>30376.9</v>
      </c>
      <c r="R362" s="1026" t="s">
        <v>2087</v>
      </c>
      <c r="S362" s="538" t="s">
        <v>709</v>
      </c>
      <c r="T362" s="538" t="s">
        <v>709</v>
      </c>
      <c r="U362" s="28" t="s">
        <v>709</v>
      </c>
      <c r="V362" s="857">
        <f>13529+6069</f>
        <v>19598</v>
      </c>
      <c r="W362" s="440"/>
      <c r="X362" s="551">
        <v>3183302.06</v>
      </c>
      <c r="Y362" s="550"/>
      <c r="Z362" s="551">
        <v>238187.67</v>
      </c>
      <c r="AA362" s="551">
        <f>X362+Z362</f>
        <v>3421489.73</v>
      </c>
      <c r="AB362" s="341"/>
      <c r="AC362" s="568" t="s">
        <v>709</v>
      </c>
      <c r="AD362" s="1157"/>
      <c r="AE362" s="568"/>
      <c r="AF362" s="568"/>
      <c r="AG362" s="568"/>
      <c r="AH362" s="183"/>
      <c r="AI362" s="1036"/>
      <c r="AJ362" s="1037"/>
      <c r="AK362" s="1037"/>
      <c r="AL362" s="1038"/>
      <c r="AM362" s="542" t="s">
        <v>709</v>
      </c>
      <c r="AN362" s="924"/>
      <c r="AO362" s="925"/>
      <c r="AP362" s="926"/>
      <c r="AQ362" s="926"/>
      <c r="AR362" s="926"/>
      <c r="AS362" s="926"/>
      <c r="AT362" s="926"/>
      <c r="AU362" s="926"/>
      <c r="AV362" s="926"/>
      <c r="AW362" s="927"/>
      <c r="AX362" s="926"/>
      <c r="AY362" s="1538" t="s">
        <v>29</v>
      </c>
      <c r="AZ362" s="1530"/>
      <c r="BA362" s="1031" t="s">
        <v>3449</v>
      </c>
      <c r="BB362" s="644" t="s">
        <v>3450</v>
      </c>
      <c r="BC362" s="544" t="s">
        <v>116</v>
      </c>
      <c r="BD362" s="544" t="s">
        <v>709</v>
      </c>
      <c r="BE362" s="544" t="s">
        <v>3451</v>
      </c>
      <c r="BF362" s="544" t="s">
        <v>709</v>
      </c>
      <c r="BG362" s="544" t="s">
        <v>709</v>
      </c>
      <c r="BH362" s="741"/>
      <c r="BI362" s="547" t="s">
        <v>709</v>
      </c>
      <c r="BJ362" s="547" t="s">
        <v>709</v>
      </c>
      <c r="BK362" s="547" t="s">
        <v>709</v>
      </c>
      <c r="BL362" s="547" t="s">
        <v>116</v>
      </c>
      <c r="BM362" s="547" t="s">
        <v>709</v>
      </c>
      <c r="BN362" s="547" t="s">
        <v>709</v>
      </c>
      <c r="BO362" s="547" t="s">
        <v>709</v>
      </c>
      <c r="BP362" s="547" t="s">
        <v>709</v>
      </c>
      <c r="BQ362" s="547" t="s">
        <v>709</v>
      </c>
      <c r="BR362" s="547">
        <v>6069</v>
      </c>
      <c r="BS362" s="547">
        <v>13529</v>
      </c>
      <c r="BT362" s="547" t="s">
        <v>709</v>
      </c>
      <c r="BU362" s="547" t="s">
        <v>709</v>
      </c>
      <c r="BV362" s="547" t="s">
        <v>709</v>
      </c>
      <c r="BW362" s="547" t="s">
        <v>709</v>
      </c>
      <c r="BX362" s="547" t="s">
        <v>709</v>
      </c>
      <c r="BY362" s="547" t="s">
        <v>709</v>
      </c>
      <c r="BZ362" s="547" t="s">
        <v>709</v>
      </c>
      <c r="CA362" s="483"/>
      <c r="CB362" s="547">
        <v>359</v>
      </c>
      <c r="CC362" s="1481" t="b">
        <v>1</v>
      </c>
      <c r="CD362" t="str">
        <f>Table15[[#This Row],[Engineering Number]]&amp;Table15[[#This Row],[WO Number]]&amp;Table15[[#This Row],[Date Assigned to Designer]]&amp;Table15[[#This Row],[Date Completed]]</f>
        <v>VPE241205734423244403</v>
      </c>
    </row>
    <row r="363" spans="1:82" customFormat="1" ht="15" customHeight="1" x14ac:dyDescent="0.25">
      <c r="A363">
        <v>2022</v>
      </c>
      <c r="B363" s="8" t="s">
        <v>730</v>
      </c>
      <c r="C363" s="8" t="s">
        <v>3459</v>
      </c>
      <c r="D363" s="654" t="s">
        <v>3460</v>
      </c>
      <c r="E363" s="8" t="s">
        <v>1306</v>
      </c>
      <c r="F363" s="8" t="s">
        <v>747</v>
      </c>
      <c r="G363" s="8" t="s">
        <v>347</v>
      </c>
      <c r="H363" s="8" t="s">
        <v>59</v>
      </c>
      <c r="I363" s="642">
        <v>44292</v>
      </c>
      <c r="J363" s="449">
        <v>44435</v>
      </c>
      <c r="K363" s="642">
        <v>44404</v>
      </c>
      <c r="L363" s="16">
        <f>IF(ISTEXT(Table15[[#This Row],[Engineering Approved Design Date]]),Table15[[#This Row],[Date Completed]]-Table15[[#This Row],[Date Assigned to Designer]],Table15[[#This Row],[Engineering Approved Design Date]]-Table15[[#This Row],[Date Completed]])</f>
        <v>31</v>
      </c>
      <c r="M363" s="642"/>
      <c r="N363" s="642" t="s">
        <v>120</v>
      </c>
      <c r="O363" s="1025">
        <v>44409</v>
      </c>
      <c r="P363" s="21" t="s">
        <v>120</v>
      </c>
      <c r="Q363" s="1151">
        <f>(Table15[[#This Row],[Construction Cost to Bill From]]*0.085)+5250</f>
        <v>21900.303199999998</v>
      </c>
      <c r="R363" s="1026" t="s">
        <v>794</v>
      </c>
      <c r="S363" s="538" t="s">
        <v>709</v>
      </c>
      <c r="T363" s="538" t="s">
        <v>709</v>
      </c>
      <c r="U363" s="28" t="s">
        <v>709</v>
      </c>
      <c r="V363" s="857">
        <v>305</v>
      </c>
      <c r="W363" s="440"/>
      <c r="X363" s="551">
        <v>158132.15</v>
      </c>
      <c r="Y363" s="551"/>
      <c r="Z363" s="551">
        <v>37753.769999999997</v>
      </c>
      <c r="AA363" s="551">
        <f>X363+Z363</f>
        <v>195885.91999999998</v>
      </c>
      <c r="AB363" s="341"/>
      <c r="AC363" s="568" t="s">
        <v>1177</v>
      </c>
      <c r="AD363" s="1157"/>
      <c r="AE363" s="579"/>
      <c r="AF363" s="579"/>
      <c r="AG363" s="579"/>
      <c r="AH363" s="553"/>
      <c r="AI363" s="1036"/>
      <c r="AJ363" s="1037"/>
      <c r="AK363" s="1037"/>
      <c r="AL363" s="1038"/>
      <c r="AM363" s="1522" t="s">
        <v>116</v>
      </c>
      <c r="AN363" s="1523">
        <v>44752</v>
      </c>
      <c r="AO363" s="1524">
        <v>11032843</v>
      </c>
      <c r="AP363" s="1525">
        <v>186585.04</v>
      </c>
      <c r="AQ363" s="1525"/>
      <c r="AR363" s="1525">
        <v>38595.32</v>
      </c>
      <c r="AS363" s="1525">
        <f>IF(Table15[[#This Row],[PCTS Approved]]="N",0,Table15[[#This Row],[Investment Amount (1'#'#'#'#'#)]]+Table15[[#This Row],[Retirement Amount (3'#'#'#'#'#)]])</f>
        <v>225180.36000000002</v>
      </c>
      <c r="AT363" s="1525">
        <f>IF(Table15[[#This Row],[Approved Construction Cost]]=0,0,Table15[[#This Row],[Approved Construction Cost]]-Table15[[#This Row],[Construction Cost to Bill From]])</f>
        <v>29294.440000000031</v>
      </c>
      <c r="AU363" s="1525">
        <f>IFERROR(Table15[[#This Row],[Difference in Construction Cost]]*Table15[[#This Row],[Rate]],Table15[[#This Row],[Difference in Construction Cost]]*0.085)</f>
        <v>2490.0274000000027</v>
      </c>
      <c r="AV363" s="1525">
        <v>3107.5</v>
      </c>
      <c r="AW363" s="1526" t="s">
        <v>3461</v>
      </c>
      <c r="AX363" s="1525">
        <v>0</v>
      </c>
      <c r="AY363" s="1518">
        <v>45008</v>
      </c>
      <c r="AZ363" s="333"/>
      <c r="BA363" s="1031" t="s">
        <v>3462</v>
      </c>
      <c r="BB363" s="644" t="s">
        <v>3427</v>
      </c>
      <c r="BC363" s="544" t="s">
        <v>709</v>
      </c>
      <c r="BD363" s="544" t="s">
        <v>1626</v>
      </c>
      <c r="BE363" s="544" t="s">
        <v>709</v>
      </c>
      <c r="BF363" s="544" t="s">
        <v>3463</v>
      </c>
      <c r="BG363" s="544" t="s">
        <v>709</v>
      </c>
      <c r="BH363" s="741"/>
      <c r="BI363" s="547" t="s">
        <v>709</v>
      </c>
      <c r="BJ363" s="547" t="s">
        <v>709</v>
      </c>
      <c r="BK363" s="547" t="s">
        <v>116</v>
      </c>
      <c r="BL363" s="547" t="s">
        <v>116</v>
      </c>
      <c r="BM363" s="547" t="s">
        <v>709</v>
      </c>
      <c r="BN363" s="547" t="s">
        <v>709</v>
      </c>
      <c r="BO363" s="547" t="s">
        <v>709</v>
      </c>
      <c r="BP363" s="547" t="s">
        <v>709</v>
      </c>
      <c r="BQ363" s="547" t="s">
        <v>709</v>
      </c>
      <c r="BR363" s="547" t="s">
        <v>709</v>
      </c>
      <c r="BS363" s="547">
        <v>305</v>
      </c>
      <c r="BT363" s="547" t="s">
        <v>745</v>
      </c>
      <c r="BU363" s="547">
        <v>1</v>
      </c>
      <c r="BV363" s="547" t="s">
        <v>745</v>
      </c>
      <c r="BW363" s="547" t="s">
        <v>709</v>
      </c>
      <c r="BX363" s="547">
        <v>1</v>
      </c>
      <c r="BY363" s="547" t="s">
        <v>745</v>
      </c>
      <c r="BZ363" s="547" t="s">
        <v>709</v>
      </c>
      <c r="CA363" s="483" t="s">
        <v>769</v>
      </c>
      <c r="CB363" s="547">
        <v>361</v>
      </c>
      <c r="CC363" s="1481" t="b">
        <v>1</v>
      </c>
      <c r="CD363" t="str">
        <f>Table15[[#This Row],[Engineering Number]]&amp;Table15[[#This Row],[WO Number]]&amp;Table15[[#This Row],[Date Assigned to Designer]]&amp;Table15[[#This Row],[Date Completed]]</f>
        <v>RS8211021444429244404</v>
      </c>
    </row>
    <row r="364" spans="1:82" customFormat="1" ht="15" customHeight="1" x14ac:dyDescent="0.25">
      <c r="A364">
        <v>2021</v>
      </c>
      <c r="B364" s="8" t="s">
        <v>1205</v>
      </c>
      <c r="C364" s="8" t="s">
        <v>3470</v>
      </c>
      <c r="D364" s="647" t="s">
        <v>3471</v>
      </c>
      <c r="E364" s="8" t="s">
        <v>3472</v>
      </c>
      <c r="F364" s="8" t="s">
        <v>919</v>
      </c>
      <c r="G364" s="8" t="s">
        <v>2743</v>
      </c>
      <c r="H364" s="8" t="s">
        <v>59</v>
      </c>
      <c r="I364" s="642">
        <v>44355</v>
      </c>
      <c r="J364" s="18">
        <v>44418</v>
      </c>
      <c r="K364" s="642">
        <v>44405</v>
      </c>
      <c r="L364" s="16">
        <f>IF(ISTEXT(Table15[[#This Row],[Engineering Approved Design Date]]),Table15[[#This Row],[Date Completed]]-Table15[[#This Row],[Date Assigned to Designer]],Table15[[#This Row],[Engineering Approved Design Date]]-Table15[[#This Row],[Date Completed]])</f>
        <v>13</v>
      </c>
      <c r="M364" s="642"/>
      <c r="N364" s="642" t="s">
        <v>120</v>
      </c>
      <c r="O364" s="1025">
        <v>44409</v>
      </c>
      <c r="P364" s="21" t="s">
        <v>739</v>
      </c>
      <c r="Q364" s="340">
        <f>R364*AA364</f>
        <v>7320.9131999999991</v>
      </c>
      <c r="R364" s="1026">
        <v>0.09</v>
      </c>
      <c r="S364" s="538" t="s">
        <v>709</v>
      </c>
      <c r="T364" s="538" t="s">
        <v>709</v>
      </c>
      <c r="U364" s="28" t="s">
        <v>709</v>
      </c>
      <c r="V364" s="857">
        <v>352</v>
      </c>
      <c r="W364" s="440"/>
      <c r="X364" s="551">
        <v>81343.48</v>
      </c>
      <c r="Y364" s="551"/>
      <c r="Z364" s="550"/>
      <c r="AA364" s="538">
        <f>X364+Z364</f>
        <v>81343.48</v>
      </c>
      <c r="AB364" s="341"/>
      <c r="AC364" s="568" t="s">
        <v>709</v>
      </c>
      <c r="AD364" s="1157"/>
      <c r="AE364" s="568"/>
      <c r="AF364" s="568"/>
      <c r="AG364" s="568"/>
      <c r="AH364" s="183"/>
      <c r="AI364" s="1036"/>
      <c r="AJ364" s="1037"/>
      <c r="AK364" s="1037"/>
      <c r="AL364" s="1038"/>
      <c r="AM364" s="542" t="s">
        <v>116</v>
      </c>
      <c r="AN364" s="1508">
        <v>44477</v>
      </c>
      <c r="AO364" s="925">
        <v>191155</v>
      </c>
      <c r="AP364" s="926">
        <v>81343.48</v>
      </c>
      <c r="AQ364" s="926"/>
      <c r="AR364" s="926">
        <v>0</v>
      </c>
      <c r="AS364" s="926">
        <f>IF(Table15[[#This Row],[PCTS Approved]]="N",0,Table15[[#This Row],[Investment Amount (1'#'#'#'#'#)]]+Table15[[#This Row],[Retirement Amount (3'#'#'#'#'#)]])</f>
        <v>81343.48</v>
      </c>
      <c r="AT364" s="926">
        <f>IF(Table15[[#This Row],[Approved Construction Cost]]=0,0,Table15[[#This Row],[Approved Construction Cost]]-Table15[[#This Row],[Construction Cost to Bill From]])</f>
        <v>0</v>
      </c>
      <c r="AU364" s="926">
        <f>Table15[[#This Row],[Difference in Construction Cost]]*Table15[[#This Row],[Rate]]</f>
        <v>0</v>
      </c>
      <c r="AV364" s="926" t="s">
        <v>709</v>
      </c>
      <c r="AW364" s="927"/>
      <c r="AX364" s="926"/>
      <c r="AY364" s="636" t="s">
        <v>1935</v>
      </c>
      <c r="AZ364" s="1533"/>
      <c r="BA364" s="1031" t="s">
        <v>3473</v>
      </c>
      <c r="BB364" s="644" t="s">
        <v>3474</v>
      </c>
      <c r="BC364" s="544" t="s">
        <v>709</v>
      </c>
      <c r="BD364" s="544" t="s">
        <v>709</v>
      </c>
      <c r="BE364" s="544" t="s">
        <v>3475</v>
      </c>
      <c r="BF364" s="544" t="s">
        <v>709</v>
      </c>
      <c r="BG364" s="544" t="s">
        <v>709</v>
      </c>
      <c r="BH364" s="741"/>
      <c r="BI364" s="547" t="s">
        <v>709</v>
      </c>
      <c r="BJ364" s="547" t="s">
        <v>709</v>
      </c>
      <c r="BK364" s="547" t="s">
        <v>709</v>
      </c>
      <c r="BL364" s="547" t="s">
        <v>116</v>
      </c>
      <c r="BM364" s="547" t="s">
        <v>709</v>
      </c>
      <c r="BN364" s="547" t="s">
        <v>709</v>
      </c>
      <c r="BO364" s="547" t="s">
        <v>709</v>
      </c>
      <c r="BP364" s="547" t="s">
        <v>709</v>
      </c>
      <c r="BQ364" s="547" t="s">
        <v>709</v>
      </c>
      <c r="BR364" s="547" t="s">
        <v>709</v>
      </c>
      <c r="BS364" s="547">
        <v>358</v>
      </c>
      <c r="BT364" s="547" t="s">
        <v>745</v>
      </c>
      <c r="BU364" s="547" t="s">
        <v>709</v>
      </c>
      <c r="BV364" s="547" t="s">
        <v>745</v>
      </c>
      <c r="BW364" s="547" t="s">
        <v>709</v>
      </c>
      <c r="BX364" s="547" t="s">
        <v>745</v>
      </c>
      <c r="BY364" s="547" t="s">
        <v>745</v>
      </c>
      <c r="BZ364" s="547" t="s">
        <v>709</v>
      </c>
      <c r="CA364" s="483"/>
      <c r="CB364" s="547">
        <v>363</v>
      </c>
      <c r="CC364" s="1481" t="b">
        <v>1</v>
      </c>
      <c r="CD364" t="str">
        <f>Table15[[#This Row],[Engineering Number]]&amp;Table15[[#This Row],[WO Number]]&amp;Table15[[#This Row],[Date Assigned to Designer]]&amp;Table15[[#This Row],[Date Completed]]</f>
        <v>MR174112103864435544405</v>
      </c>
    </row>
    <row r="365" spans="1:82" customFormat="1" ht="15" customHeight="1" x14ac:dyDescent="0.25">
      <c r="A365">
        <v>2021</v>
      </c>
      <c r="B365" s="8" t="s">
        <v>1073</v>
      </c>
      <c r="C365" s="8" t="s">
        <v>3465</v>
      </c>
      <c r="D365" s="647" t="s">
        <v>3466</v>
      </c>
      <c r="E365" s="8" t="s">
        <v>2759</v>
      </c>
      <c r="F365" s="8" t="s">
        <v>738</v>
      </c>
      <c r="G365" s="8" t="s">
        <v>2814</v>
      </c>
      <c r="H365" s="8" t="s">
        <v>59</v>
      </c>
      <c r="I365" s="642">
        <v>44374</v>
      </c>
      <c r="J365" s="18">
        <v>44414</v>
      </c>
      <c r="K365" s="642">
        <v>44405</v>
      </c>
      <c r="L365" s="16">
        <f>IF(ISTEXT(Table15[[#This Row],[Engineering Approved Design Date]]),Table15[[#This Row],[Date Completed]]-Table15[[#This Row],[Date Assigned to Designer]],Table15[[#This Row],[Engineering Approved Design Date]]-Table15[[#This Row],[Date Completed]])</f>
        <v>9</v>
      </c>
      <c r="M365" s="642"/>
      <c r="N365" s="642" t="s">
        <v>120</v>
      </c>
      <c r="O365" s="1025">
        <v>44409</v>
      </c>
      <c r="P365" s="21" t="s">
        <v>739</v>
      </c>
      <c r="Q365" s="340">
        <f>R365*AA365</f>
        <v>11965.709000000003</v>
      </c>
      <c r="R365" s="1026">
        <v>7.0000000000000007E-2</v>
      </c>
      <c r="S365" s="538" t="s">
        <v>709</v>
      </c>
      <c r="T365" s="538" t="s">
        <v>709</v>
      </c>
      <c r="U365" s="28" t="s">
        <v>709</v>
      </c>
      <c r="V365" s="857">
        <v>730</v>
      </c>
      <c r="W365" s="440"/>
      <c r="X365" s="551">
        <v>139659.64000000001</v>
      </c>
      <c r="Y365" s="551"/>
      <c r="Z365" s="551">
        <v>31279.06</v>
      </c>
      <c r="AA365" s="538">
        <f>X365+Z365</f>
        <v>170938.7</v>
      </c>
      <c r="AB365" s="341"/>
      <c r="AC365" s="568" t="s">
        <v>709</v>
      </c>
      <c r="AD365" s="1157"/>
      <c r="AE365" s="568"/>
      <c r="AF365" s="568"/>
      <c r="AG365" s="568"/>
      <c r="AH365" s="183"/>
      <c r="AI365" s="1036"/>
      <c r="AJ365" s="1037"/>
      <c r="AK365" s="1037"/>
      <c r="AL365" s="1038"/>
      <c r="AM365" s="1522" t="s">
        <v>116</v>
      </c>
      <c r="AN365" s="1523">
        <v>44491</v>
      </c>
      <c r="AO365" s="1524">
        <v>190667</v>
      </c>
      <c r="AP365" s="1525">
        <v>209431.88</v>
      </c>
      <c r="AQ365" s="1525"/>
      <c r="AR365" s="1525">
        <v>31279.06</v>
      </c>
      <c r="AS365" s="1525">
        <f>IF(Table15[[#This Row],[PCTS Approved]]="N",0,Table15[[#This Row],[Investment Amount (1'#'#'#'#'#)]]+Table15[[#This Row],[Retirement Amount (3'#'#'#'#'#)]])</f>
        <v>240710.94</v>
      </c>
      <c r="AT365" s="1525">
        <f>IF(Table15[[#This Row],[Approved Construction Cost]]=0,0,Table15[[#This Row],[Approved Construction Cost]]-Table15[[#This Row],[Construction Cost to Bill From]])</f>
        <v>69772.239999999991</v>
      </c>
      <c r="AU365" s="1525">
        <f>Table15[[#This Row],[Difference in Construction Cost]]*Table15[[#This Row],[Rate]]</f>
        <v>4884.0567999999994</v>
      </c>
      <c r="AV365" s="1525">
        <v>10777.5</v>
      </c>
      <c r="AW365" s="1526" t="s">
        <v>3467</v>
      </c>
      <c r="AX365" s="1525">
        <v>0</v>
      </c>
      <c r="AY365" s="1518">
        <v>44501</v>
      </c>
      <c r="AZ365" s="1532"/>
      <c r="BA365" s="1031" t="s">
        <v>3468</v>
      </c>
      <c r="BB365" s="644" t="s">
        <v>739</v>
      </c>
      <c r="BC365" s="544" t="s">
        <v>709</v>
      </c>
      <c r="BD365" s="544" t="s">
        <v>709</v>
      </c>
      <c r="BE365" s="544" t="s">
        <v>709</v>
      </c>
      <c r="BF365" s="544" t="s">
        <v>1012</v>
      </c>
      <c r="BG365" s="544" t="s">
        <v>709</v>
      </c>
      <c r="BH365" s="741"/>
      <c r="BI365" s="547" t="s">
        <v>709</v>
      </c>
      <c r="BJ365" s="547" t="s">
        <v>709</v>
      </c>
      <c r="BK365" s="547" t="s">
        <v>709</v>
      </c>
      <c r="BL365" s="547" t="s">
        <v>116</v>
      </c>
      <c r="BM365" s="547" t="s">
        <v>709</v>
      </c>
      <c r="BN365" s="547" t="s">
        <v>709</v>
      </c>
      <c r="BO365" s="547" t="s">
        <v>709</v>
      </c>
      <c r="BP365" s="547" t="s">
        <v>709</v>
      </c>
      <c r="BQ365" s="547" t="s">
        <v>709</v>
      </c>
      <c r="BR365" s="547">
        <v>712</v>
      </c>
      <c r="BS365" s="547">
        <v>18</v>
      </c>
      <c r="BT365" s="547" t="s">
        <v>745</v>
      </c>
      <c r="BU365" s="547" t="s">
        <v>709</v>
      </c>
      <c r="BV365" s="547" t="s">
        <v>745</v>
      </c>
      <c r="BW365" s="547" t="s">
        <v>709</v>
      </c>
      <c r="BX365" s="547" t="s">
        <v>745</v>
      </c>
      <c r="BY365" s="547" t="s">
        <v>745</v>
      </c>
      <c r="BZ365" s="547" t="s">
        <v>709</v>
      </c>
      <c r="CA365" s="483"/>
      <c r="CB365" s="547">
        <v>362</v>
      </c>
      <c r="CC365" s="1481" t="b">
        <v>1</v>
      </c>
      <c r="CD365" t="str">
        <f>Table15[[#This Row],[Engineering Number]]&amp;Table15[[#This Row],[WO Number]]&amp;Table15[[#This Row],[Date Assigned to Designer]]&amp;Table15[[#This Row],[Date Completed]]</f>
        <v>NBA19993451687004437444405</v>
      </c>
    </row>
    <row r="366" spans="1:82" customFormat="1" ht="15" customHeight="1" x14ac:dyDescent="0.25">
      <c r="A366">
        <v>2021</v>
      </c>
      <c r="B366" s="8" t="s">
        <v>4</v>
      </c>
      <c r="C366" s="8" t="s">
        <v>3285</v>
      </c>
      <c r="D366" s="8">
        <v>129349</v>
      </c>
      <c r="E366" s="8" t="s">
        <v>3287</v>
      </c>
      <c r="F366" s="8" t="s">
        <v>919</v>
      </c>
      <c r="G366" s="8" t="s">
        <v>39</v>
      </c>
      <c r="H366" s="8" t="s">
        <v>2051</v>
      </c>
      <c r="I366" s="642">
        <v>44396</v>
      </c>
      <c r="J366" s="18" t="s">
        <v>2052</v>
      </c>
      <c r="K366" s="642">
        <v>44405</v>
      </c>
      <c r="L366" s="16">
        <f>IF(ISTEXT(Table15[[#This Row],[Engineering Approved Design Date]]),Table15[[#This Row],[Date Completed]]-Table15[[#This Row],[Date Assigned to Designer]],Table15[[#This Row],[Engineering Approved Design Date]]-Table15[[#This Row],[Date Completed]])</f>
        <v>9</v>
      </c>
      <c r="M366" s="642" t="s">
        <v>3179</v>
      </c>
      <c r="N366" s="642" t="s">
        <v>120</v>
      </c>
      <c r="O366" s="1025">
        <v>44409</v>
      </c>
      <c r="P366" s="21" t="s">
        <v>739</v>
      </c>
      <c r="Q366" s="340">
        <f>Table15[[#This Row],[KH Hourly Effort]]</f>
        <v>2857.5</v>
      </c>
      <c r="R366" s="1026" t="s">
        <v>1922</v>
      </c>
      <c r="S366" s="538" t="s">
        <v>709</v>
      </c>
      <c r="T366" s="538" t="s">
        <v>709</v>
      </c>
      <c r="U366" s="28">
        <v>2857.5</v>
      </c>
      <c r="V366" s="858"/>
      <c r="W366" s="437"/>
      <c r="X366" s="538"/>
      <c r="Y366" s="550"/>
      <c r="Z366" s="538"/>
      <c r="AA366" s="538"/>
      <c r="AB366" s="21"/>
      <c r="AC366" s="569"/>
      <c r="AD366" s="1149"/>
      <c r="AE366" s="580"/>
      <c r="AF366" s="580"/>
      <c r="AG366" s="580"/>
      <c r="AH366" s="542"/>
      <c r="AI366" s="1028"/>
      <c r="AJ366" s="1029"/>
      <c r="AK366" s="1029"/>
      <c r="AL366" s="1030"/>
      <c r="AM366" s="542" t="s">
        <v>709</v>
      </c>
      <c r="AN366" s="924"/>
      <c r="AO366" s="925"/>
      <c r="AP366" s="926"/>
      <c r="AQ366" s="926"/>
      <c r="AR366" s="926"/>
      <c r="AS366" s="926"/>
      <c r="AT366" s="926"/>
      <c r="AU366" s="926"/>
      <c r="AV366" s="926"/>
      <c r="AW366" s="927"/>
      <c r="AX366" s="926"/>
      <c r="AY366" s="1538" t="s">
        <v>29</v>
      </c>
      <c r="AZ366" s="1530"/>
      <c r="BA366" s="1031">
        <v>12</v>
      </c>
      <c r="BB366" s="644"/>
      <c r="BC366" s="544"/>
      <c r="BD366" s="544"/>
      <c r="BE366" s="544"/>
      <c r="BF366" s="544"/>
      <c r="BG366" s="544"/>
      <c r="BH366" s="741"/>
      <c r="BI366" s="547" t="s">
        <v>709</v>
      </c>
      <c r="BJ366" s="547" t="s">
        <v>709</v>
      </c>
      <c r="BK366" s="547" t="s">
        <v>709</v>
      </c>
      <c r="BL366" s="547" t="s">
        <v>116</v>
      </c>
      <c r="BM366" s="547" t="s">
        <v>709</v>
      </c>
      <c r="BN366" s="547" t="s">
        <v>709</v>
      </c>
      <c r="BO366" s="547" t="s">
        <v>709</v>
      </c>
      <c r="BP366" s="547" t="s">
        <v>709</v>
      </c>
      <c r="BQ366" s="547" t="s">
        <v>709</v>
      </c>
      <c r="BR366" s="547" t="s">
        <v>709</v>
      </c>
      <c r="BS366" s="547">
        <v>1243</v>
      </c>
      <c r="BT366" s="547" t="s">
        <v>745</v>
      </c>
      <c r="BU366" s="547" t="s">
        <v>709</v>
      </c>
      <c r="BV366" s="547" t="s">
        <v>745</v>
      </c>
      <c r="BW366" s="547" t="s">
        <v>709</v>
      </c>
      <c r="BX366" s="547" t="s">
        <v>745</v>
      </c>
      <c r="BY366" s="547" t="s">
        <v>745</v>
      </c>
      <c r="BZ366" s="547" t="s">
        <v>709</v>
      </c>
      <c r="CA366" s="483"/>
      <c r="CB366" s="547">
        <v>364</v>
      </c>
      <c r="CC366" s="1481" t="b">
        <v>1</v>
      </c>
      <c r="CD366" t="str">
        <f>Table15[[#This Row],[Engineering Number]]&amp;Table15[[#This Row],[WO Number]]&amp;Table15[[#This Row],[Date Assigned to Designer]]&amp;Table15[[#This Row],[Date Completed]]</f>
        <v>SC185911293494439644405</v>
      </c>
    </row>
    <row r="367" spans="1:82" customFormat="1" ht="15" customHeight="1" x14ac:dyDescent="0.25">
      <c r="A367">
        <v>2021</v>
      </c>
      <c r="B367" s="8" t="s">
        <v>771</v>
      </c>
      <c r="C367" s="8" t="s">
        <v>3478</v>
      </c>
      <c r="D367" s="647" t="s">
        <v>3479</v>
      </c>
      <c r="E367" s="8" t="s">
        <v>3448</v>
      </c>
      <c r="F367" s="8" t="s">
        <v>919</v>
      </c>
      <c r="G367" s="8" t="s">
        <v>1882</v>
      </c>
      <c r="H367" s="8" t="s">
        <v>59</v>
      </c>
      <c r="I367" s="642">
        <v>44232</v>
      </c>
      <c r="J367" s="18">
        <v>44407</v>
      </c>
      <c r="K367" s="642">
        <v>44406</v>
      </c>
      <c r="L367" s="16">
        <f>IF(ISTEXT(Table15[[#This Row],[Engineering Approved Design Date]]),Table15[[#This Row],[Date Completed]]-Table15[[#This Row],[Date Assigned to Designer]],Table15[[#This Row],[Engineering Approved Design Date]]-Table15[[#This Row],[Date Completed]])</f>
        <v>1</v>
      </c>
      <c r="M367" s="642"/>
      <c r="N367" s="642" t="s">
        <v>120</v>
      </c>
      <c r="O367" s="1025">
        <v>44409</v>
      </c>
      <c r="P367" s="21" t="s">
        <v>120</v>
      </c>
      <c r="Q367" s="340">
        <f>1.55*Table15[[#This Row],[LF of Main]]</f>
        <v>23978.5</v>
      </c>
      <c r="R367" s="1026" t="s">
        <v>2087</v>
      </c>
      <c r="S367" s="538" t="s">
        <v>709</v>
      </c>
      <c r="T367" s="538" t="s">
        <v>709</v>
      </c>
      <c r="U367" s="28" t="s">
        <v>709</v>
      </c>
      <c r="V367" s="857">
        <f>11038+4070+362</f>
        <v>15470</v>
      </c>
      <c r="W367" s="440"/>
      <c r="X367" s="551">
        <v>2903439.3599999999</v>
      </c>
      <c r="Y367" s="551"/>
      <c r="Z367" s="551">
        <v>166449.13</v>
      </c>
      <c r="AA367" s="551">
        <f>X367+Z367</f>
        <v>3069888.4899999998</v>
      </c>
      <c r="AB367" s="341"/>
      <c r="AC367" s="568" t="s">
        <v>116</v>
      </c>
      <c r="AD367" s="1157"/>
      <c r="AE367" s="568"/>
      <c r="AF367" s="568"/>
      <c r="AG367" s="568"/>
      <c r="AH367" s="183"/>
      <c r="AI367" s="1036"/>
      <c r="AJ367" s="1037"/>
      <c r="AK367" s="1037"/>
      <c r="AL367" s="1038"/>
      <c r="AM367" s="542" t="s">
        <v>709</v>
      </c>
      <c r="AN367" s="924"/>
      <c r="AO367" s="925"/>
      <c r="AP367" s="926"/>
      <c r="AQ367" s="926"/>
      <c r="AR367" s="926"/>
      <c r="AS367" s="926"/>
      <c r="AT367" s="926"/>
      <c r="AU367" s="926"/>
      <c r="AV367" s="926"/>
      <c r="AW367" s="927"/>
      <c r="AX367" s="926"/>
      <c r="AY367" s="1538" t="s">
        <v>29</v>
      </c>
      <c r="AZ367" s="1530"/>
      <c r="BA367" s="1031" t="s">
        <v>3480</v>
      </c>
      <c r="BB367" s="644" t="s">
        <v>3481</v>
      </c>
      <c r="BC367" s="544" t="s">
        <v>116</v>
      </c>
      <c r="BD367" s="544" t="s">
        <v>709</v>
      </c>
      <c r="BE367" s="544" t="s">
        <v>3451</v>
      </c>
      <c r="BF367" s="544" t="s">
        <v>709</v>
      </c>
      <c r="BG367" s="544" t="s">
        <v>709</v>
      </c>
      <c r="BH367" s="741"/>
      <c r="BI367" s="547" t="s">
        <v>709</v>
      </c>
      <c r="BJ367" s="547" t="s">
        <v>709</v>
      </c>
      <c r="BK367" s="547" t="s">
        <v>709</v>
      </c>
      <c r="BL367" s="547" t="s">
        <v>116</v>
      </c>
      <c r="BM367" s="547" t="s">
        <v>709</v>
      </c>
      <c r="BN367" s="547" t="s">
        <v>709</v>
      </c>
      <c r="BO367" s="547" t="s">
        <v>709</v>
      </c>
      <c r="BP367" s="547" t="s">
        <v>709</v>
      </c>
      <c r="BQ367" s="547">
        <v>362</v>
      </c>
      <c r="BR367" s="547">
        <v>4070</v>
      </c>
      <c r="BS367" s="547">
        <v>11038</v>
      </c>
      <c r="BT367" s="547" t="s">
        <v>709</v>
      </c>
      <c r="BU367" s="547" t="s">
        <v>709</v>
      </c>
      <c r="BV367" s="547" t="s">
        <v>709</v>
      </c>
      <c r="BW367" s="547" t="s">
        <v>709</v>
      </c>
      <c r="BX367" s="547" t="s">
        <v>709</v>
      </c>
      <c r="BY367" s="547" t="s">
        <v>709</v>
      </c>
      <c r="BZ367" s="547" t="s">
        <v>709</v>
      </c>
      <c r="CA367" s="483"/>
      <c r="CB367" s="547">
        <v>365</v>
      </c>
      <c r="CC367" s="1481" t="b">
        <v>1</v>
      </c>
      <c r="CD367" t="str">
        <f>Table15[[#This Row],[Engineering Number]]&amp;Table15[[#This Row],[WO Number]]&amp;Table15[[#This Row],[Date Assigned to Designer]]&amp;Table15[[#This Row],[Date Completed]]</f>
        <v>VW2221205714423244406</v>
      </c>
    </row>
    <row r="368" spans="1:82" customFormat="1" ht="15" customHeight="1" x14ac:dyDescent="0.25">
      <c r="A368">
        <v>2021</v>
      </c>
      <c r="B368" s="8" t="s">
        <v>3483</v>
      </c>
      <c r="C368" s="8" t="s">
        <v>3484</v>
      </c>
      <c r="D368" s="647" t="s">
        <v>3485</v>
      </c>
      <c r="E368" s="8" t="s">
        <v>3486</v>
      </c>
      <c r="F368" s="8" t="s">
        <v>3487</v>
      </c>
      <c r="G368" s="8" t="s">
        <v>3488</v>
      </c>
      <c r="H368" s="8" t="s">
        <v>59</v>
      </c>
      <c r="I368" s="642">
        <v>43916</v>
      </c>
      <c r="J368" s="449">
        <v>44407</v>
      </c>
      <c r="K368" s="642">
        <v>44406</v>
      </c>
      <c r="L368" s="16">
        <f>IF(ISTEXT(Table15[[#This Row],[Engineering Approved Design Date]]),Table15[[#This Row],[Date Completed]]-Table15[[#This Row],[Date Assigned to Designer]],Table15[[#This Row],[Engineering Approved Design Date]]-Table15[[#This Row],[Date Completed]])</f>
        <v>1</v>
      </c>
      <c r="M368" s="642"/>
      <c r="N368" s="642" t="s">
        <v>120</v>
      </c>
      <c r="O368" s="1025">
        <v>44440</v>
      </c>
      <c r="P368" s="21" t="s">
        <v>739</v>
      </c>
      <c r="Q368" s="1151">
        <f>IF(Table15[[#This Row],[Shactee Effort]]="N",0,Table15[[#This Row],[Shactee Effort]])+IF(Table15[[#This Row],[3rd Party Effort]]="N",0,Table15[[#This Row],[3rd Party Effort]])+Table15[[#This Row],[KH Hourly Effort]]</f>
        <v>33527.5</v>
      </c>
      <c r="R368" s="1026" t="s">
        <v>1922</v>
      </c>
      <c r="S368" s="538" t="s">
        <v>709</v>
      </c>
      <c r="T368" s="538" t="s">
        <v>709</v>
      </c>
      <c r="U368" s="28">
        <v>33527.5</v>
      </c>
      <c r="V368" s="857"/>
      <c r="W368" s="440"/>
      <c r="X368" s="551"/>
      <c r="Y368" s="551"/>
      <c r="Z368" s="551">
        <v>161449.10999999999</v>
      </c>
      <c r="AA368" s="538">
        <f>X368+Z368</f>
        <v>161449.10999999999</v>
      </c>
      <c r="AB368" s="21"/>
      <c r="AC368" s="569" t="s">
        <v>709</v>
      </c>
      <c r="AD368" s="1149"/>
      <c r="AE368" s="580"/>
      <c r="AF368" s="580"/>
      <c r="AG368" s="580"/>
      <c r="AH368" s="542"/>
      <c r="AI368" s="1028"/>
      <c r="AJ368" s="1029"/>
      <c r="AK368" s="1029"/>
      <c r="AL368" s="1030"/>
      <c r="AM368" s="542" t="s">
        <v>709</v>
      </c>
      <c r="AN368" s="924"/>
      <c r="AO368" s="925"/>
      <c r="AP368" s="926"/>
      <c r="AQ368" s="926"/>
      <c r="AR368" s="926"/>
      <c r="AS368" s="926"/>
      <c r="AT368" s="926"/>
      <c r="AU368" s="926"/>
      <c r="AV368" s="926"/>
      <c r="AW368" s="927"/>
      <c r="AX368" s="926"/>
      <c r="AY368" s="1538" t="s">
        <v>29</v>
      </c>
      <c r="AZ368" s="1530"/>
      <c r="BA368" s="1031" t="s">
        <v>3489</v>
      </c>
      <c r="BB368" s="644"/>
      <c r="BC368" s="544"/>
      <c r="BD368" s="544"/>
      <c r="BE368" s="544"/>
      <c r="BF368" s="544"/>
      <c r="BG368" s="544"/>
      <c r="BH368" s="741"/>
      <c r="BI368" s="547"/>
      <c r="BJ368" s="547"/>
      <c r="BK368" s="547"/>
      <c r="BL368" s="547"/>
      <c r="BM368" s="547"/>
      <c r="BN368" s="547"/>
      <c r="BO368" s="547"/>
      <c r="BP368" s="547"/>
      <c r="BQ368" s="547"/>
      <c r="BR368" s="547"/>
      <c r="BS368" s="547"/>
      <c r="BT368" s="547"/>
      <c r="BU368" s="547"/>
      <c r="BV368" s="547"/>
      <c r="BW368" s="547"/>
      <c r="BX368" s="547"/>
      <c r="BY368" s="547"/>
      <c r="BZ368" s="547" t="s">
        <v>709</v>
      </c>
      <c r="CA368" s="483" t="s">
        <v>915</v>
      </c>
      <c r="CB368" s="547">
        <v>366</v>
      </c>
      <c r="CC368" s="1481" t="b">
        <v>1</v>
      </c>
      <c r="CD368" t="str">
        <f>Table15[[#This Row],[Engineering Number]]&amp;Table15[[#This Row],[WO Number]]&amp;Table15[[#This Row],[Date Assigned to Designer]]&amp;Table15[[#This Row],[Date Completed]]</f>
        <v>TC3573292014391644406</v>
      </c>
    </row>
    <row r="369" spans="1:82" customFormat="1" ht="15" customHeight="1" x14ac:dyDescent="0.25">
      <c r="A369">
        <v>2022</v>
      </c>
      <c r="B369" s="8" t="s">
        <v>771</v>
      </c>
      <c r="C369" s="8" t="s">
        <v>3491</v>
      </c>
      <c r="D369" s="647" t="s">
        <v>3492</v>
      </c>
      <c r="E369" s="8" t="s">
        <v>3493</v>
      </c>
      <c r="F369" s="8" t="s">
        <v>919</v>
      </c>
      <c r="G369" s="8" t="s">
        <v>1882</v>
      </c>
      <c r="H369" s="8" t="s">
        <v>59</v>
      </c>
      <c r="I369" s="642">
        <v>44333</v>
      </c>
      <c r="J369" s="449">
        <v>44414</v>
      </c>
      <c r="K369" s="642">
        <v>44410</v>
      </c>
      <c r="L369" s="16">
        <f>IF(ISTEXT(Table15[[#This Row],[Engineering Approved Design Date]]),Table15[[#This Row],[Date Completed]]-Table15[[#This Row],[Date Assigned to Designer]],Table15[[#This Row],[Engineering Approved Design Date]]-Table15[[#This Row],[Date Completed]])</f>
        <v>4</v>
      </c>
      <c r="M369" s="642"/>
      <c r="N369" s="642" t="s">
        <v>120</v>
      </c>
      <c r="O369" s="1025">
        <v>44410</v>
      </c>
      <c r="P369" s="21" t="s">
        <v>120</v>
      </c>
      <c r="Q369" s="340">
        <f>1.55*Table15[[#This Row],[LF of Main]]</f>
        <v>21500.05</v>
      </c>
      <c r="R369" s="1026" t="s">
        <v>2087</v>
      </c>
      <c r="S369" s="538" t="s">
        <v>709</v>
      </c>
      <c r="T369" s="538" t="s">
        <v>709</v>
      </c>
      <c r="U369" s="28" t="s">
        <v>709</v>
      </c>
      <c r="V369" s="857">
        <f>11348+178+2345</f>
        <v>13871</v>
      </c>
      <c r="W369" s="440"/>
      <c r="X369" s="551">
        <v>1810889.58</v>
      </c>
      <c r="Y369" s="551"/>
      <c r="Z369" s="551">
        <v>62063.18</v>
      </c>
      <c r="AA369" s="551">
        <f>X369+Z369</f>
        <v>1872952.76</v>
      </c>
      <c r="AB369" s="341"/>
      <c r="AC369" s="568" t="s">
        <v>709</v>
      </c>
      <c r="AD369" s="1157"/>
      <c r="AE369" s="568"/>
      <c r="AF369" s="568"/>
      <c r="AG369" s="568"/>
      <c r="AH369" s="183"/>
      <c r="AI369" s="1036"/>
      <c r="AJ369" s="1037"/>
      <c r="AK369" s="1037"/>
      <c r="AL369" s="1038"/>
      <c r="AM369" s="542" t="s">
        <v>709</v>
      </c>
      <c r="AN369" s="924"/>
      <c r="AO369" s="925"/>
      <c r="AP369" s="926"/>
      <c r="AQ369" s="926"/>
      <c r="AR369" s="926"/>
      <c r="AS369" s="926"/>
      <c r="AT369" s="926"/>
      <c r="AU369" s="926"/>
      <c r="AV369" s="926"/>
      <c r="AW369" s="927"/>
      <c r="AX369" s="926"/>
      <c r="AY369" s="1538" t="s">
        <v>29</v>
      </c>
      <c r="AZ369" s="1530"/>
      <c r="BA369" s="1031" t="s">
        <v>3494</v>
      </c>
      <c r="BB369" s="644" t="s">
        <v>3495</v>
      </c>
      <c r="BC369" s="544" t="s">
        <v>116</v>
      </c>
      <c r="BD369" s="544" t="s">
        <v>709</v>
      </c>
      <c r="BE369" s="544" t="s">
        <v>3496</v>
      </c>
      <c r="BF369" s="544" t="s">
        <v>709</v>
      </c>
      <c r="BG369" s="544" t="s">
        <v>709</v>
      </c>
      <c r="BH369" s="741"/>
      <c r="BI369" s="547" t="s">
        <v>709</v>
      </c>
      <c r="BJ369" s="547" t="s">
        <v>709</v>
      </c>
      <c r="BK369" s="547" t="s">
        <v>709</v>
      </c>
      <c r="BL369" s="547" t="s">
        <v>116</v>
      </c>
      <c r="BM369" s="547" t="s">
        <v>709</v>
      </c>
      <c r="BN369" s="547" t="s">
        <v>709</v>
      </c>
      <c r="BO369" s="547" t="s">
        <v>709</v>
      </c>
      <c r="BP369" s="547" t="s">
        <v>709</v>
      </c>
      <c r="BQ369" s="547">
        <v>2345</v>
      </c>
      <c r="BR369" s="547">
        <v>178</v>
      </c>
      <c r="BS369" s="547">
        <v>11348</v>
      </c>
      <c r="BT369" s="547" t="s">
        <v>745</v>
      </c>
      <c r="BU369" s="547" t="s">
        <v>709</v>
      </c>
      <c r="BV369" s="547" t="s">
        <v>745</v>
      </c>
      <c r="BW369" s="547" t="s">
        <v>709</v>
      </c>
      <c r="BX369" s="547" t="s">
        <v>745</v>
      </c>
      <c r="BY369" s="547" t="s">
        <v>745</v>
      </c>
      <c r="BZ369" s="547" t="s">
        <v>709</v>
      </c>
      <c r="CA369" s="483"/>
      <c r="CB369" s="547">
        <v>367</v>
      </c>
      <c r="CC369" s="1481" t="b">
        <v>1</v>
      </c>
      <c r="CD369" t="str">
        <f>Table15[[#This Row],[Engineering Number]]&amp;Table15[[#This Row],[WO Number]]&amp;Table15[[#This Row],[Date Assigned to Designer]]&amp;Table15[[#This Row],[Date Completed]]</f>
        <v>BS6131408794433344410</v>
      </c>
    </row>
    <row r="370" spans="1:82" customFormat="1" ht="15" customHeight="1" x14ac:dyDescent="0.25">
      <c r="A370">
        <v>2021</v>
      </c>
      <c r="B370" s="8" t="s">
        <v>1205</v>
      </c>
      <c r="C370" s="8" t="s">
        <v>3498</v>
      </c>
      <c r="D370" s="8" t="s">
        <v>115</v>
      </c>
      <c r="E370" s="8" t="s">
        <v>104</v>
      </c>
      <c r="F370" s="8"/>
      <c r="G370" s="8" t="s">
        <v>1896</v>
      </c>
      <c r="H370" s="8" t="s">
        <v>2127</v>
      </c>
      <c r="I370" s="642">
        <v>44393</v>
      </c>
      <c r="J370" s="449">
        <v>44435</v>
      </c>
      <c r="K370" s="642">
        <v>44411</v>
      </c>
      <c r="L370" s="16">
        <f>IF(ISTEXT(Table15[[#This Row],[Engineering Approved Design Date]]),Table15[[#This Row],[Date Completed]]-Table15[[#This Row],[Date Assigned to Designer]],Table15[[#This Row],[Engineering Approved Design Date]]-Table15[[#This Row],[Date Completed]])</f>
        <v>24</v>
      </c>
      <c r="M370" s="642" t="s">
        <v>3499</v>
      </c>
      <c r="N370" s="642" t="s">
        <v>120</v>
      </c>
      <c r="O370" s="1025">
        <v>44410</v>
      </c>
      <c r="P370" s="21" t="s">
        <v>739</v>
      </c>
      <c r="Q370" s="340" t="s">
        <v>115</v>
      </c>
      <c r="R370" s="1026" t="s">
        <v>115</v>
      </c>
      <c r="S370" s="538" t="s">
        <v>709</v>
      </c>
      <c r="T370" s="538" t="s">
        <v>709</v>
      </c>
      <c r="U370" s="28" t="s">
        <v>709</v>
      </c>
      <c r="V370" s="857"/>
      <c r="W370" s="440"/>
      <c r="X370" s="551"/>
      <c r="Y370" s="551"/>
      <c r="Z370" s="551"/>
      <c r="AA370" s="538"/>
      <c r="AB370" s="21"/>
      <c r="AC370" s="569"/>
      <c r="AD370" s="1149"/>
      <c r="AE370" s="569"/>
      <c r="AF370" s="569"/>
      <c r="AG370" s="569"/>
      <c r="AH370" s="536"/>
      <c r="AI370" s="1028"/>
      <c r="AJ370" s="1029"/>
      <c r="AK370" s="1029"/>
      <c r="AL370" s="1030"/>
      <c r="AM370" s="542" t="s">
        <v>709</v>
      </c>
      <c r="AN370" s="924"/>
      <c r="AO370" s="925"/>
      <c r="AP370" s="926"/>
      <c r="AQ370" s="926"/>
      <c r="AR370" s="926"/>
      <c r="AS370" s="926"/>
      <c r="AT370" s="926"/>
      <c r="AU370" s="926"/>
      <c r="AV370" s="926"/>
      <c r="AW370" s="927"/>
      <c r="AX370" s="926"/>
      <c r="AY370" s="1538" t="s">
        <v>29</v>
      </c>
      <c r="AZ370" s="1530"/>
      <c r="BA370" s="1031" t="s">
        <v>3500</v>
      </c>
      <c r="BB370" s="644" t="s">
        <v>2994</v>
      </c>
      <c r="BC370" s="544"/>
      <c r="BD370" s="544"/>
      <c r="BE370" s="544"/>
      <c r="BF370" s="544"/>
      <c r="BG370" s="544"/>
      <c r="BH370" s="741"/>
      <c r="BI370" s="547"/>
      <c r="BJ370" s="547"/>
      <c r="BK370" s="547"/>
      <c r="BL370" s="547"/>
      <c r="BM370" s="547"/>
      <c r="BN370" s="547"/>
      <c r="BO370" s="547"/>
      <c r="BP370" s="547"/>
      <c r="BQ370" s="547"/>
      <c r="BR370" s="547"/>
      <c r="BS370" s="547"/>
      <c r="BT370" s="547"/>
      <c r="BU370" s="547"/>
      <c r="BV370" s="547"/>
      <c r="BW370" s="547"/>
      <c r="BX370" s="547"/>
      <c r="BY370" s="547"/>
      <c r="BZ370" s="547" t="s">
        <v>709</v>
      </c>
      <c r="CA370" s="483" t="s">
        <v>915</v>
      </c>
      <c r="CB370" s="547">
        <v>368</v>
      </c>
      <c r="CC370" s="1481" t="b">
        <v>1</v>
      </c>
      <c r="CD370" t="str">
        <f>Table15[[#This Row],[Engineering Number]]&amp;Table15[[#This Row],[WO Number]]&amp;Table15[[#This Row],[Date Assigned to Designer]]&amp;Table15[[#This Row],[Date Completed]]</f>
        <v>MR1753-4439344411</v>
      </c>
    </row>
    <row r="371" spans="1:82" customFormat="1" ht="15" customHeight="1" x14ac:dyDescent="0.25">
      <c r="A371">
        <v>2021</v>
      </c>
      <c r="B371" s="8" t="s">
        <v>4</v>
      </c>
      <c r="C371" s="8" t="s">
        <v>206</v>
      </c>
      <c r="D371" s="8" t="s">
        <v>3502</v>
      </c>
      <c r="E371" s="8" t="s">
        <v>207</v>
      </c>
      <c r="F371" s="8" t="s">
        <v>919</v>
      </c>
      <c r="G371" s="8" t="s">
        <v>2814</v>
      </c>
      <c r="H371" s="8" t="s">
        <v>2051</v>
      </c>
      <c r="I371" s="642">
        <v>44238</v>
      </c>
      <c r="J371" s="18" t="s">
        <v>2052</v>
      </c>
      <c r="K371" s="642">
        <v>44411</v>
      </c>
      <c r="L371" s="16">
        <f>IF(ISTEXT(Table15[[#This Row],[Engineering Approved Design Date]]),Table15[[#This Row],[Date Completed]]-Table15[[#This Row],[Date Assigned to Designer]],Table15[[#This Row],[Engineering Approved Design Date]]-Table15[[#This Row],[Date Completed]])</f>
        <v>173</v>
      </c>
      <c r="M371" s="642" t="s">
        <v>3179</v>
      </c>
      <c r="N371" s="642" t="s">
        <v>120</v>
      </c>
      <c r="O371" s="1025">
        <v>44411</v>
      </c>
      <c r="P371" s="21" t="s">
        <v>739</v>
      </c>
      <c r="Q371" s="340">
        <f>Table15[[#This Row],[KH Hourly Effort]]</f>
        <v>3277.5</v>
      </c>
      <c r="R371" s="1026" t="s">
        <v>1922</v>
      </c>
      <c r="S371" s="538" t="s">
        <v>709</v>
      </c>
      <c r="T371" s="538" t="s">
        <v>709</v>
      </c>
      <c r="U371" s="28">
        <v>3277.5</v>
      </c>
      <c r="V371" s="858"/>
      <c r="W371" s="437"/>
      <c r="X371" s="538"/>
      <c r="Y371" s="550"/>
      <c r="Z371" s="538"/>
      <c r="AA371" s="538"/>
      <c r="AB371" s="21"/>
      <c r="AC371" s="569"/>
      <c r="AD371" s="1149"/>
      <c r="AE371" s="580"/>
      <c r="AF371" s="580"/>
      <c r="AG371" s="580"/>
      <c r="AH371" s="542"/>
      <c r="AI371" s="1028"/>
      <c r="AJ371" s="1029"/>
      <c r="AK371" s="1029"/>
      <c r="AL371" s="1030"/>
      <c r="AM371" s="542" t="s">
        <v>709</v>
      </c>
      <c r="AN371" s="924"/>
      <c r="AO371" s="925"/>
      <c r="AP371" s="926"/>
      <c r="AQ371" s="926"/>
      <c r="AR371" s="926"/>
      <c r="AS371" s="926"/>
      <c r="AT371" s="926"/>
      <c r="AU371" s="926"/>
      <c r="AV371" s="926"/>
      <c r="AW371" s="927"/>
      <c r="AX371" s="926"/>
      <c r="AY371" s="1538" t="s">
        <v>29</v>
      </c>
      <c r="AZ371" s="1530"/>
      <c r="BA371" s="1031">
        <v>12</v>
      </c>
      <c r="BB371" s="644"/>
      <c r="BC371" s="544"/>
      <c r="BD371" s="544"/>
      <c r="BE371" s="544"/>
      <c r="BF371" s="544"/>
      <c r="BG371" s="544"/>
      <c r="BH371" s="741"/>
      <c r="BI371" s="547" t="s">
        <v>709</v>
      </c>
      <c r="BJ371" s="547" t="s">
        <v>709</v>
      </c>
      <c r="BK371" s="547" t="s">
        <v>709</v>
      </c>
      <c r="BL371" s="547" t="s">
        <v>116</v>
      </c>
      <c r="BM371" s="547" t="s">
        <v>709</v>
      </c>
      <c r="BN371" s="547" t="s">
        <v>709</v>
      </c>
      <c r="BO371" s="547" t="s">
        <v>709</v>
      </c>
      <c r="BP371" s="547" t="s">
        <v>709</v>
      </c>
      <c r="BQ371" s="547" t="s">
        <v>709</v>
      </c>
      <c r="BR371" s="547">
        <v>1256</v>
      </c>
      <c r="BS371" s="547">
        <v>204</v>
      </c>
      <c r="BT371" s="547" t="s">
        <v>745</v>
      </c>
      <c r="BU371" s="547" t="s">
        <v>709</v>
      </c>
      <c r="BV371" s="547" t="s">
        <v>745</v>
      </c>
      <c r="BW371" s="547" t="s">
        <v>709</v>
      </c>
      <c r="BX371" s="547" t="s">
        <v>745</v>
      </c>
      <c r="BY371" s="547" t="s">
        <v>745</v>
      </c>
      <c r="BZ371" s="547" t="s">
        <v>709</v>
      </c>
      <c r="CA371" s="483"/>
      <c r="CB371" s="547">
        <v>369</v>
      </c>
      <c r="CC371" s="1481" t="b">
        <v>1</v>
      </c>
      <c r="CD371" t="str">
        <f>Table15[[#This Row],[Engineering Number]]&amp;Table15[[#This Row],[WO Number]]&amp;Table15[[#This Row],[Date Assigned to Designer]]&amp;Table15[[#This Row],[Date Completed]]</f>
        <v>SC18814140861/1408674423844411</v>
      </c>
    </row>
    <row r="372" spans="1:82" s="1024" customFormat="1" ht="15" customHeight="1" x14ac:dyDescent="0.25">
      <c r="A372">
        <v>2022</v>
      </c>
      <c r="B372" s="8" t="s">
        <v>4</v>
      </c>
      <c r="C372" s="8" t="s">
        <v>3504</v>
      </c>
      <c r="D372" s="8" t="s">
        <v>3505</v>
      </c>
      <c r="E372" s="8" t="s">
        <v>1159</v>
      </c>
      <c r="F372" s="8" t="s">
        <v>919</v>
      </c>
      <c r="G372" s="8" t="s">
        <v>2814</v>
      </c>
      <c r="H372" s="8" t="s">
        <v>1681</v>
      </c>
      <c r="I372" s="642">
        <v>44238</v>
      </c>
      <c r="J372" s="18">
        <v>44493</v>
      </c>
      <c r="K372" s="642">
        <v>44412</v>
      </c>
      <c r="L372" s="16">
        <f>IF(ISTEXT(Table15[[#This Row],[Engineering Approved Design Date]]),Table15[[#This Row],[Date Completed]]-Table15[[#This Row],[Date Assigned to Designer]],Table15[[#This Row],[Engineering Approved Design Date]]-Table15[[#This Row],[Date Completed]])</f>
        <v>81</v>
      </c>
      <c r="M372" s="642"/>
      <c r="N372" s="642" t="s">
        <v>120</v>
      </c>
      <c r="O372" s="1025">
        <v>44412</v>
      </c>
      <c r="P372" s="21" t="s">
        <v>739</v>
      </c>
      <c r="Q372" s="340" t="s">
        <v>115</v>
      </c>
      <c r="R372" s="1026" t="s">
        <v>115</v>
      </c>
      <c r="S372" s="538" t="s">
        <v>709</v>
      </c>
      <c r="T372" s="538" t="s">
        <v>709</v>
      </c>
      <c r="U372" s="28" t="s">
        <v>709</v>
      </c>
      <c r="V372" s="858"/>
      <c r="W372" s="437"/>
      <c r="X372" s="538"/>
      <c r="Y372" s="550"/>
      <c r="Z372" s="538"/>
      <c r="AA372" s="538"/>
      <c r="AB372" s="21"/>
      <c r="AC372" s="569"/>
      <c r="AD372" s="1149"/>
      <c r="AE372" s="580"/>
      <c r="AF372" s="580"/>
      <c r="AG372" s="580"/>
      <c r="AH372" s="542"/>
      <c r="AI372" s="1028"/>
      <c r="AJ372" s="1029"/>
      <c r="AK372" s="1029"/>
      <c r="AL372" s="1030"/>
      <c r="AM372" s="542" t="s">
        <v>709</v>
      </c>
      <c r="AN372" s="924"/>
      <c r="AO372" s="925"/>
      <c r="AP372" s="926"/>
      <c r="AQ372" s="926"/>
      <c r="AR372" s="926"/>
      <c r="AS372" s="926"/>
      <c r="AT372" s="926"/>
      <c r="AU372" s="926"/>
      <c r="AV372" s="926"/>
      <c r="AW372" s="927"/>
      <c r="AX372" s="926"/>
      <c r="AY372" s="1538" t="s">
        <v>29</v>
      </c>
      <c r="AZ372" s="1530"/>
      <c r="BA372" s="1031" t="s">
        <v>3506</v>
      </c>
      <c r="BB372" s="644" t="s">
        <v>3507</v>
      </c>
      <c r="BC372" s="544"/>
      <c r="BD372" s="544"/>
      <c r="BE372" s="544"/>
      <c r="BF372" s="544"/>
      <c r="BG372" s="544"/>
      <c r="BH372" s="741"/>
      <c r="BI372" s="1032"/>
      <c r="BJ372" s="1032"/>
      <c r="BK372" s="1032"/>
      <c r="BL372" s="1032"/>
      <c r="BM372" s="1032"/>
      <c r="BN372" s="1032"/>
      <c r="BO372" s="1032"/>
      <c r="BP372" s="1032"/>
      <c r="BQ372" s="1032"/>
      <c r="BR372" s="1032"/>
      <c r="BS372" s="1032"/>
      <c r="BT372" s="1032"/>
      <c r="BU372" s="1032"/>
      <c r="BV372" s="1032"/>
      <c r="BW372" s="1032"/>
      <c r="BX372" s="1032"/>
      <c r="BY372" s="1032"/>
      <c r="BZ372" s="1032"/>
      <c r="CA372" s="485"/>
      <c r="CB372" s="547">
        <v>370</v>
      </c>
      <c r="CC372" s="1481" t="b">
        <v>1</v>
      </c>
      <c r="CD372" t="str">
        <f>Table15[[#This Row],[Engineering Number]]&amp;Table15[[#This Row],[WO Number]]&amp;Table15[[#This Row],[Date Assigned to Designer]]&amp;Table15[[#This Row],[Date Completed]]</f>
        <v>SC1789614103234423844412</v>
      </c>
    </row>
    <row r="373" spans="1:82" customFormat="1" ht="15" customHeight="1" x14ac:dyDescent="0.25">
      <c r="A373">
        <v>2021</v>
      </c>
      <c r="B373" s="8" t="s">
        <v>4</v>
      </c>
      <c r="C373" s="8" t="s">
        <v>3110</v>
      </c>
      <c r="D373" s="8">
        <v>135693</v>
      </c>
      <c r="E373" s="8" t="s">
        <v>1004</v>
      </c>
      <c r="F373" s="8" t="s">
        <v>919</v>
      </c>
      <c r="G373" s="8" t="s">
        <v>1882</v>
      </c>
      <c r="H373" s="8" t="s">
        <v>2051</v>
      </c>
      <c r="I373" s="642">
        <v>44362</v>
      </c>
      <c r="J373" s="18" t="s">
        <v>2052</v>
      </c>
      <c r="K373" s="642">
        <v>44413</v>
      </c>
      <c r="L373" s="16">
        <f>IF(ISTEXT(Table15[[#This Row],[Engineering Approved Design Date]]),Table15[[#This Row],[Date Completed]]-Table15[[#This Row],[Date Assigned to Designer]],Table15[[#This Row],[Engineering Approved Design Date]]-Table15[[#This Row],[Date Completed]])</f>
        <v>51</v>
      </c>
      <c r="M373" s="642" t="s">
        <v>3432</v>
      </c>
      <c r="N373" s="642" t="s">
        <v>120</v>
      </c>
      <c r="O373" s="1025">
        <v>44413</v>
      </c>
      <c r="P373" s="21" t="s">
        <v>739</v>
      </c>
      <c r="Q373" s="340">
        <f>Table15[[#This Row],[KH Hourly Effort]]</f>
        <v>3317.5</v>
      </c>
      <c r="R373" s="1026" t="s">
        <v>1922</v>
      </c>
      <c r="S373" s="538" t="s">
        <v>709</v>
      </c>
      <c r="T373" s="538" t="s">
        <v>709</v>
      </c>
      <c r="U373" s="28">
        <v>3317.5</v>
      </c>
      <c r="V373" s="858"/>
      <c r="W373" s="437"/>
      <c r="X373" s="538"/>
      <c r="Y373" s="550"/>
      <c r="Z373" s="538"/>
      <c r="AA373" s="538"/>
      <c r="AB373" s="21"/>
      <c r="AC373" s="569"/>
      <c r="AD373" s="1149"/>
      <c r="AE373" s="580"/>
      <c r="AF373" s="580"/>
      <c r="AG373" s="580"/>
      <c r="AH373" s="542"/>
      <c r="AI373" s="1028"/>
      <c r="AJ373" s="1029"/>
      <c r="AK373" s="1029"/>
      <c r="AL373" s="1030"/>
      <c r="AM373" s="542" t="s">
        <v>709</v>
      </c>
      <c r="AN373" s="924"/>
      <c r="AO373" s="925"/>
      <c r="AP373" s="926"/>
      <c r="AQ373" s="926"/>
      <c r="AR373" s="926"/>
      <c r="AS373" s="926"/>
      <c r="AT373" s="926"/>
      <c r="AU373" s="926"/>
      <c r="AV373" s="926"/>
      <c r="AW373" s="927"/>
      <c r="AX373" s="926"/>
      <c r="AY373" s="1538" t="s">
        <v>29</v>
      </c>
      <c r="AZ373" s="1530"/>
      <c r="BA373" s="1031">
        <v>10</v>
      </c>
      <c r="BB373" s="644"/>
      <c r="BC373" s="544"/>
      <c r="BD373" s="544"/>
      <c r="BE373" s="544"/>
      <c r="BF373" s="544"/>
      <c r="BG373" s="544"/>
      <c r="BH373" s="741"/>
      <c r="BI373" s="547" t="s">
        <v>709</v>
      </c>
      <c r="BJ373" s="547" t="s">
        <v>709</v>
      </c>
      <c r="BK373" s="547" t="s">
        <v>116</v>
      </c>
      <c r="BL373" s="547" t="s">
        <v>709</v>
      </c>
      <c r="BM373" s="547" t="s">
        <v>709</v>
      </c>
      <c r="BN373" s="547">
        <v>4207</v>
      </c>
      <c r="BO373" s="547" t="s">
        <v>709</v>
      </c>
      <c r="BP373" s="547" t="s">
        <v>709</v>
      </c>
      <c r="BQ373" s="547" t="s">
        <v>709</v>
      </c>
      <c r="BR373" s="547">
        <v>20</v>
      </c>
      <c r="BS373" s="547">
        <v>126</v>
      </c>
      <c r="BT373" s="547" t="s">
        <v>709</v>
      </c>
      <c r="BU373" s="547" t="s">
        <v>709</v>
      </c>
      <c r="BV373" s="547" t="s">
        <v>745</v>
      </c>
      <c r="BW373" s="547" t="s">
        <v>709</v>
      </c>
      <c r="BX373" s="547">
        <v>1</v>
      </c>
      <c r="BY373" s="547" t="s">
        <v>745</v>
      </c>
      <c r="BZ373" s="547" t="s">
        <v>709</v>
      </c>
      <c r="CA373" s="483"/>
      <c r="CB373" s="547">
        <v>371</v>
      </c>
      <c r="CC373" s="1481" t="b">
        <v>1</v>
      </c>
      <c r="CD373" t="str">
        <f>Table15[[#This Row],[Engineering Number]]&amp;Table15[[#This Row],[WO Number]]&amp;Table15[[#This Row],[Date Assigned to Designer]]&amp;Table15[[#This Row],[Date Completed]]</f>
        <v>SC17434-11356934436244413</v>
      </c>
    </row>
    <row r="374" spans="1:82" customFormat="1" ht="15" customHeight="1" x14ac:dyDescent="0.25">
      <c r="A374">
        <v>2021</v>
      </c>
      <c r="B374" s="8" t="s">
        <v>4</v>
      </c>
      <c r="C374" s="8" t="s">
        <v>3515</v>
      </c>
      <c r="D374" s="8" t="s">
        <v>3516</v>
      </c>
      <c r="E374" s="8" t="s">
        <v>1920</v>
      </c>
      <c r="F374" s="8" t="s">
        <v>919</v>
      </c>
      <c r="G374" s="8" t="s">
        <v>2814</v>
      </c>
      <c r="H374" s="8" t="s">
        <v>1681</v>
      </c>
      <c r="I374" s="642">
        <v>44398</v>
      </c>
      <c r="J374" s="18">
        <v>44428</v>
      </c>
      <c r="K374" s="642">
        <v>44417</v>
      </c>
      <c r="L374" s="16">
        <f>IF(ISTEXT(Table15[[#This Row],[Engineering Approved Design Date]]),Table15[[#This Row],[Date Completed]]-Table15[[#This Row],[Date Assigned to Designer]],Table15[[#This Row],[Engineering Approved Design Date]]-Table15[[#This Row],[Date Completed]])</f>
        <v>11</v>
      </c>
      <c r="M374" s="642"/>
      <c r="N374" s="642" t="s">
        <v>120</v>
      </c>
      <c r="O374" s="1025">
        <v>44417</v>
      </c>
      <c r="P374" s="21" t="s">
        <v>739</v>
      </c>
      <c r="Q374" s="340" t="s">
        <v>115</v>
      </c>
      <c r="R374" s="1026" t="s">
        <v>115</v>
      </c>
      <c r="S374" s="538" t="s">
        <v>709</v>
      </c>
      <c r="T374" s="538" t="s">
        <v>709</v>
      </c>
      <c r="U374" s="28" t="s">
        <v>709</v>
      </c>
      <c r="V374" s="858"/>
      <c r="W374" s="437"/>
      <c r="X374" s="538"/>
      <c r="Y374" s="550"/>
      <c r="Z374" s="538"/>
      <c r="AA374" s="538"/>
      <c r="AB374" s="21"/>
      <c r="AC374" s="569"/>
      <c r="AD374" s="1149"/>
      <c r="AE374" s="580"/>
      <c r="AF374" s="580"/>
      <c r="AG374" s="580"/>
      <c r="AH374" s="542"/>
      <c r="AI374" s="1028"/>
      <c r="AJ374" s="1029"/>
      <c r="AK374" s="1029"/>
      <c r="AL374" s="1030"/>
      <c r="AM374" s="542" t="s">
        <v>709</v>
      </c>
      <c r="AN374" s="924"/>
      <c r="AO374" s="925"/>
      <c r="AP374" s="926"/>
      <c r="AQ374" s="926"/>
      <c r="AR374" s="926"/>
      <c r="AS374" s="926"/>
      <c r="AT374" s="926"/>
      <c r="AU374" s="926"/>
      <c r="AV374" s="926"/>
      <c r="AW374" s="927"/>
      <c r="AX374" s="926"/>
      <c r="AY374" s="1538" t="s">
        <v>29</v>
      </c>
      <c r="AZ374" s="1530"/>
      <c r="BA374" s="1031" t="s">
        <v>3517</v>
      </c>
      <c r="BB374" s="644" t="s">
        <v>3518</v>
      </c>
      <c r="BC374" s="544"/>
      <c r="BD374" s="544"/>
      <c r="BE374" s="544"/>
      <c r="BF374" s="544"/>
      <c r="BG374" s="544"/>
      <c r="BH374" s="741"/>
      <c r="BI374" s="1032"/>
      <c r="BJ374" s="1032"/>
      <c r="BK374" s="1032"/>
      <c r="BL374" s="1032"/>
      <c r="BM374" s="1032"/>
      <c r="BN374" s="1032"/>
      <c r="BO374" s="1032"/>
      <c r="BP374" s="1032"/>
      <c r="BQ374" s="1032"/>
      <c r="BR374" s="1032"/>
      <c r="BS374" s="1032"/>
      <c r="BT374" s="1032"/>
      <c r="BU374" s="1032"/>
      <c r="BV374" s="1032"/>
      <c r="BW374" s="1032"/>
      <c r="BX374" s="1032"/>
      <c r="BY374" s="1032"/>
      <c r="BZ374" s="1032"/>
      <c r="CA374" s="485"/>
      <c r="CB374" s="547">
        <v>373</v>
      </c>
      <c r="CC374" s="1481" t="b">
        <v>1</v>
      </c>
      <c r="CD374" t="str">
        <f>Table15[[#This Row],[Engineering Number]]&amp;Table15[[#This Row],[WO Number]]&amp;Table15[[#This Row],[Date Assigned to Designer]]&amp;Table15[[#This Row],[Date Completed]]</f>
        <v>SC1919812104414439844417</v>
      </c>
    </row>
    <row r="375" spans="1:82" customFormat="1" ht="15" customHeight="1" x14ac:dyDescent="0.25">
      <c r="A375">
        <v>2021</v>
      </c>
      <c r="B375" s="8" t="s">
        <v>4</v>
      </c>
      <c r="C375" s="8" t="s">
        <v>3510</v>
      </c>
      <c r="D375" s="8" t="s">
        <v>3511</v>
      </c>
      <c r="E375" s="8" t="s">
        <v>232</v>
      </c>
      <c r="F375" s="8" t="s">
        <v>919</v>
      </c>
      <c r="G375" s="8" t="s">
        <v>2814</v>
      </c>
      <c r="H375" s="8" t="s">
        <v>59</v>
      </c>
      <c r="I375" s="642">
        <v>44374</v>
      </c>
      <c r="J375" s="18">
        <v>44421</v>
      </c>
      <c r="K375" s="642">
        <v>44417</v>
      </c>
      <c r="L375" s="16">
        <f>IF(ISTEXT(Table15[[#This Row],[Engineering Approved Design Date]]),Table15[[#This Row],[Date Completed]]-Table15[[#This Row],[Date Assigned to Designer]],Table15[[#This Row],[Engineering Approved Design Date]]-Table15[[#This Row],[Date Completed]])</f>
        <v>4</v>
      </c>
      <c r="M375" s="642"/>
      <c r="N375" s="642" t="s">
        <v>120</v>
      </c>
      <c r="O375" s="1025">
        <v>44417</v>
      </c>
      <c r="P375" s="21" t="s">
        <v>739</v>
      </c>
      <c r="Q375" s="340">
        <f>R375*AA375</f>
        <v>15638.039000000002</v>
      </c>
      <c r="R375" s="1026">
        <v>0.1</v>
      </c>
      <c r="S375" s="538" t="s">
        <v>709</v>
      </c>
      <c r="T375" s="538" t="s">
        <v>709</v>
      </c>
      <c r="U375" s="28" t="s">
        <v>709</v>
      </c>
      <c r="V375" s="858">
        <v>248</v>
      </c>
      <c r="W375" s="437"/>
      <c r="X375" s="556">
        <v>144431.64000000001</v>
      </c>
      <c r="Y375" s="550"/>
      <c r="Z375" s="556">
        <v>11948.75</v>
      </c>
      <c r="AA375" s="538">
        <f t="shared" ref="AA375:AA406" si="7">X375+Z375</f>
        <v>156380.39000000001</v>
      </c>
      <c r="AB375" s="341"/>
      <c r="AC375" s="568" t="s">
        <v>709</v>
      </c>
      <c r="AD375" s="1157"/>
      <c r="AE375" s="579"/>
      <c r="AF375" s="579"/>
      <c r="AG375" s="569"/>
      <c r="AH375" s="553"/>
      <c r="AI375" s="1036"/>
      <c r="AJ375" s="1037"/>
      <c r="AK375" s="1037"/>
      <c r="AL375" s="1038"/>
      <c r="AM375" s="1522" t="s">
        <v>116</v>
      </c>
      <c r="AN375" s="1523">
        <v>44438</v>
      </c>
      <c r="AO375" s="1524">
        <v>190500</v>
      </c>
      <c r="AP375" s="1525">
        <v>136979.18</v>
      </c>
      <c r="AQ375" s="1525"/>
      <c r="AR375" s="1525">
        <v>11952.93</v>
      </c>
      <c r="AS375" s="1525">
        <f>IF(Table15[[#This Row],[PCTS Approved]]="N",0,Table15[[#This Row],[Investment Amount (1'#'#'#'#'#)]]+Table15[[#This Row],[Retirement Amount (3'#'#'#'#'#)]])</f>
        <v>148932.10999999999</v>
      </c>
      <c r="AT375" s="1525">
        <f>IF(Table15[[#This Row],[Approved Construction Cost]]=0,0,Table15[[#This Row],[Approved Construction Cost]]-Table15[[#This Row],[Construction Cost to Bill From]])</f>
        <v>-7448.2800000000279</v>
      </c>
      <c r="AU375" s="1525">
        <f>Table15[[#This Row],[Difference in Construction Cost]]*Table15[[#This Row],[Rate]]</f>
        <v>-744.82800000000282</v>
      </c>
      <c r="AV375" s="1525" t="s">
        <v>709</v>
      </c>
      <c r="AW375" s="1526" t="s">
        <v>3512</v>
      </c>
      <c r="AX375" s="1525">
        <v>-744.82800000000282</v>
      </c>
      <c r="AY375" s="1518">
        <v>44501</v>
      </c>
      <c r="AZ375" s="333"/>
      <c r="BA375" s="1031" t="s">
        <v>3513</v>
      </c>
      <c r="BB375" s="644" t="s">
        <v>3507</v>
      </c>
      <c r="BC375" s="544" t="s">
        <v>709</v>
      </c>
      <c r="BD375" s="544" t="s">
        <v>709</v>
      </c>
      <c r="BE375" s="544" t="s">
        <v>595</v>
      </c>
      <c r="BF375" s="544" t="s">
        <v>709</v>
      </c>
      <c r="BG375" s="544" t="s">
        <v>709</v>
      </c>
      <c r="BH375" s="741"/>
      <c r="BI375" s="547" t="s">
        <v>709</v>
      </c>
      <c r="BJ375" s="547" t="s">
        <v>709</v>
      </c>
      <c r="BK375" s="547" t="s">
        <v>709</v>
      </c>
      <c r="BL375" s="547" t="s">
        <v>116</v>
      </c>
      <c r="BM375" s="547" t="s">
        <v>709</v>
      </c>
      <c r="BN375" s="547" t="s">
        <v>709</v>
      </c>
      <c r="BO375" s="547" t="s">
        <v>709</v>
      </c>
      <c r="BP375" s="547" t="s">
        <v>709</v>
      </c>
      <c r="BQ375" s="547" t="s">
        <v>709</v>
      </c>
      <c r="BR375" s="547" t="s">
        <v>709</v>
      </c>
      <c r="BS375" s="547">
        <v>248</v>
      </c>
      <c r="BT375" s="547" t="s">
        <v>745</v>
      </c>
      <c r="BU375" s="547" t="s">
        <v>709</v>
      </c>
      <c r="BV375" s="547" t="s">
        <v>745</v>
      </c>
      <c r="BW375" s="547" t="s">
        <v>709</v>
      </c>
      <c r="BX375" s="547" t="s">
        <v>745</v>
      </c>
      <c r="BY375" s="547" t="s">
        <v>745</v>
      </c>
      <c r="BZ375" s="547" t="s">
        <v>709</v>
      </c>
      <c r="CA375" s="483"/>
      <c r="CB375" s="547">
        <v>372</v>
      </c>
      <c r="CC375" s="1481" t="b">
        <v>1</v>
      </c>
      <c r="CD375" t="str">
        <f>Table15[[#This Row],[Engineering Number]]&amp;Table15[[#This Row],[WO Number]]&amp;Table15[[#This Row],[Date Assigned to Designer]]&amp;Table15[[#This Row],[Date Completed]]</f>
        <v>SC1952714103664437444417</v>
      </c>
    </row>
    <row r="376" spans="1:82" customFormat="1" ht="15" customHeight="1" x14ac:dyDescent="0.25">
      <c r="A376">
        <v>2021</v>
      </c>
      <c r="B376" s="8" t="s">
        <v>4</v>
      </c>
      <c r="C376" s="8" t="s">
        <v>2576</v>
      </c>
      <c r="D376" s="8" t="s">
        <v>2577</v>
      </c>
      <c r="E376" s="8" t="s">
        <v>1920</v>
      </c>
      <c r="F376" s="8" t="s">
        <v>919</v>
      </c>
      <c r="G376" s="8" t="s">
        <v>2814</v>
      </c>
      <c r="H376" s="8" t="s">
        <v>2051</v>
      </c>
      <c r="I376" s="642">
        <v>44412</v>
      </c>
      <c r="J376" s="18" t="s">
        <v>2052</v>
      </c>
      <c r="K376" s="642">
        <v>44418</v>
      </c>
      <c r="L376" s="16">
        <f>IF(ISTEXT(Table15[[#This Row],[Engineering Approved Design Date]]),Table15[[#This Row],[Date Completed]]-Table15[[#This Row],[Date Assigned to Designer]],Table15[[#This Row],[Engineering Approved Design Date]]-Table15[[#This Row],[Date Completed]])</f>
        <v>6</v>
      </c>
      <c r="M376" s="642" t="s">
        <v>3179</v>
      </c>
      <c r="N376" s="642" t="s">
        <v>120</v>
      </c>
      <c r="O376" s="1025">
        <v>44440</v>
      </c>
      <c r="P376" s="21" t="s">
        <v>739</v>
      </c>
      <c r="Q376" s="1151">
        <f>IF(Table15[[#This Row],[Shactee Effort]]="N",0,Table15[[#This Row],[Shactee Effort]])+IF(Table15[[#This Row],[3rd Party Effort]]="N",0,Table15[[#This Row],[3rd Party Effort]])+Table15[[#This Row],[KH Hourly Effort]]</f>
        <v>9688.7999999999993</v>
      </c>
      <c r="R376" s="1026" t="s">
        <v>1922</v>
      </c>
      <c r="S376" s="538" t="s">
        <v>709</v>
      </c>
      <c r="T376" s="538">
        <v>1528.8</v>
      </c>
      <c r="U376" s="28">
        <v>8160</v>
      </c>
      <c r="V376" s="858"/>
      <c r="W376" s="437"/>
      <c r="X376" s="538"/>
      <c r="Y376" s="550"/>
      <c r="Z376" s="538"/>
      <c r="AA376" s="538">
        <f t="shared" si="7"/>
        <v>0</v>
      </c>
      <c r="AB376" s="21"/>
      <c r="AC376" s="569"/>
      <c r="AD376" s="1149"/>
      <c r="AE376" s="580"/>
      <c r="AF376" s="580"/>
      <c r="AG376" s="580"/>
      <c r="AH376" s="542"/>
      <c r="AI376" s="1028"/>
      <c r="AJ376" s="1029"/>
      <c r="AK376" s="1029"/>
      <c r="AL376" s="1030"/>
      <c r="AM376" s="542" t="s">
        <v>709</v>
      </c>
      <c r="AN376" s="924"/>
      <c r="AO376" s="925"/>
      <c r="AP376" s="926"/>
      <c r="AQ376" s="926"/>
      <c r="AR376" s="926"/>
      <c r="AS376" s="926"/>
      <c r="AT376" s="926"/>
      <c r="AU376" s="926"/>
      <c r="AV376" s="926"/>
      <c r="AW376" s="927"/>
      <c r="AX376" s="926"/>
      <c r="AY376" s="1538" t="s">
        <v>29</v>
      </c>
      <c r="AZ376" s="1530"/>
      <c r="BA376" s="1031">
        <v>12</v>
      </c>
      <c r="BB376" s="644"/>
      <c r="BC376" s="544"/>
      <c r="BD376" s="544"/>
      <c r="BE376" s="544"/>
      <c r="BF376" s="544"/>
      <c r="BG376" s="544"/>
      <c r="BH376" s="741"/>
      <c r="BI376" s="547" t="s">
        <v>709</v>
      </c>
      <c r="BJ376" s="547" t="s">
        <v>709</v>
      </c>
      <c r="BK376" s="547" t="s">
        <v>709</v>
      </c>
      <c r="BL376" s="547" t="s">
        <v>116</v>
      </c>
      <c r="BM376" s="547" t="s">
        <v>709</v>
      </c>
      <c r="BN376" s="547" t="s">
        <v>709</v>
      </c>
      <c r="BO376" s="547" t="s">
        <v>709</v>
      </c>
      <c r="BP376" s="547" t="s">
        <v>709</v>
      </c>
      <c r="BQ376" s="547" t="s">
        <v>709</v>
      </c>
      <c r="BR376" s="547">
        <v>918</v>
      </c>
      <c r="BS376" s="547">
        <v>36</v>
      </c>
      <c r="BT376" s="547" t="s">
        <v>745</v>
      </c>
      <c r="BU376" s="547" t="s">
        <v>709</v>
      </c>
      <c r="BV376" s="547" t="s">
        <v>745</v>
      </c>
      <c r="BW376" s="547" t="s">
        <v>709</v>
      </c>
      <c r="BX376" s="547" t="s">
        <v>745</v>
      </c>
      <c r="BY376" s="547" t="s">
        <v>745</v>
      </c>
      <c r="BZ376" s="547" t="s">
        <v>709</v>
      </c>
      <c r="CA376" s="483"/>
      <c r="CB376" s="547">
        <v>374</v>
      </c>
      <c r="CC376" s="1481" t="b">
        <v>1</v>
      </c>
      <c r="CD376" t="str">
        <f>Table15[[#This Row],[Engineering Number]]&amp;Table15[[#This Row],[WO Number]]&amp;Table15[[#This Row],[Date Assigned to Designer]]&amp;Table15[[#This Row],[Date Completed]]</f>
        <v>SC174591407894441244418</v>
      </c>
    </row>
    <row r="377" spans="1:82" customFormat="1" ht="15" customHeight="1" x14ac:dyDescent="0.25">
      <c r="A377">
        <v>2022</v>
      </c>
      <c r="B377" s="8" t="s">
        <v>4</v>
      </c>
      <c r="C377" s="8" t="s">
        <v>3521</v>
      </c>
      <c r="D377" s="8" t="s">
        <v>3522</v>
      </c>
      <c r="E377" s="8" t="s">
        <v>232</v>
      </c>
      <c r="F377" s="8" t="s">
        <v>919</v>
      </c>
      <c r="G377" s="8" t="s">
        <v>1882</v>
      </c>
      <c r="H377" s="8" t="s">
        <v>59</v>
      </c>
      <c r="I377" s="642">
        <v>43809</v>
      </c>
      <c r="J377" s="18">
        <v>44419</v>
      </c>
      <c r="K377" s="642">
        <v>44419</v>
      </c>
      <c r="L377" s="16">
        <f>IF(ISTEXT(Table15[[#This Row],[Engineering Approved Design Date]]),Table15[[#This Row],[Date Completed]]-Table15[[#This Row],[Date Assigned to Designer]],Table15[[#This Row],[Engineering Approved Design Date]]-Table15[[#This Row],[Date Completed]])</f>
        <v>0</v>
      </c>
      <c r="M377" s="642"/>
      <c r="N377" s="642" t="s">
        <v>120</v>
      </c>
      <c r="O377" s="1025">
        <v>44419</v>
      </c>
      <c r="P377" s="21" t="s">
        <v>739</v>
      </c>
      <c r="Q377" s="340">
        <f>R377*AA377</f>
        <v>249517.38900000002</v>
      </c>
      <c r="R377" s="1026">
        <v>0.1</v>
      </c>
      <c r="S377" s="538" t="s">
        <v>709</v>
      </c>
      <c r="T377" s="538" t="s">
        <v>709</v>
      </c>
      <c r="U377" s="28" t="s">
        <v>709</v>
      </c>
      <c r="V377" s="858">
        <v>3563</v>
      </c>
      <c r="W377" s="437"/>
      <c r="X377" s="538">
        <v>2272819.6</v>
      </c>
      <c r="Y377" s="550"/>
      <c r="Z377" s="538">
        <v>222354.29</v>
      </c>
      <c r="AA377" s="538">
        <f t="shared" si="7"/>
        <v>2495173.89</v>
      </c>
      <c r="AB377" s="341"/>
      <c r="AC377" s="568" t="s">
        <v>116</v>
      </c>
      <c r="AD377" s="1157"/>
      <c r="AE377" s="579"/>
      <c r="AF377" s="579"/>
      <c r="AG377" s="579"/>
      <c r="AH377" s="553"/>
      <c r="AI377" s="1036"/>
      <c r="AJ377" s="1037"/>
      <c r="AK377" s="1037"/>
      <c r="AL377" s="1038"/>
      <c r="AM377" s="1522" t="s">
        <v>116</v>
      </c>
      <c r="AN377" s="1523">
        <v>44622</v>
      </c>
      <c r="AO377" s="1524">
        <v>11034024</v>
      </c>
      <c r="AP377" s="1525">
        <v>2277078.38</v>
      </c>
      <c r="AQ377" s="1525"/>
      <c r="AR377" s="1525">
        <v>222356.37</v>
      </c>
      <c r="AS377" s="1525">
        <f>IF(Table15[[#This Row],[PCTS Approved]]="N",0,Table15[[#This Row],[Investment Amount (1'#'#'#'#'#)]]+Table15[[#This Row],[Retirement Amount (3'#'#'#'#'#)]])</f>
        <v>2499434.75</v>
      </c>
      <c r="AT377" s="1525">
        <f>IF(Table15[[#This Row],[Approved Construction Cost]]=0,0,Table15[[#This Row],[Approved Construction Cost]]-Table15[[#This Row],[Construction Cost to Bill From]])</f>
        <v>4260.8599999998696</v>
      </c>
      <c r="AU377" s="1525">
        <f>IFERROR(Table15[[#This Row],[Difference in Construction Cost]]*Table15[[#This Row],[Rate]],Table15[[#This Row],[Difference in Construction Cost]]*0.085)</f>
        <v>426.085999999987</v>
      </c>
      <c r="AV377" s="1525" t="s">
        <v>709</v>
      </c>
      <c r="AW377" s="1526"/>
      <c r="AX377" s="1525">
        <f>Table15[[#This Row],[Reconcile Amount]]</f>
        <v>426.085999999987</v>
      </c>
      <c r="AY377" s="1518">
        <v>45008</v>
      </c>
      <c r="AZ377" s="333"/>
      <c r="BA377" s="1031" t="s">
        <v>3523</v>
      </c>
      <c r="BB377" s="644" t="s">
        <v>3524</v>
      </c>
      <c r="BC377" s="544" t="s">
        <v>116</v>
      </c>
      <c r="BD377" s="544" t="s">
        <v>709</v>
      </c>
      <c r="BE377" s="544" t="s">
        <v>595</v>
      </c>
      <c r="BF377" s="544" t="s">
        <v>709</v>
      </c>
      <c r="BG377" s="544" t="s">
        <v>709</v>
      </c>
      <c r="BH377" s="741"/>
      <c r="BI377" s="547" t="s">
        <v>709</v>
      </c>
      <c r="BJ377" s="547" t="s">
        <v>709</v>
      </c>
      <c r="BK377" s="547" t="s">
        <v>709</v>
      </c>
      <c r="BL377" s="547" t="s">
        <v>116</v>
      </c>
      <c r="BM377" s="547" t="s">
        <v>709</v>
      </c>
      <c r="BN377" s="547" t="s">
        <v>116</v>
      </c>
      <c r="BO377" s="547" t="s">
        <v>709</v>
      </c>
      <c r="BP377" s="547">
        <v>2805</v>
      </c>
      <c r="BQ377" s="547" t="s">
        <v>709</v>
      </c>
      <c r="BR377" s="547" t="s">
        <v>709</v>
      </c>
      <c r="BS377" s="547">
        <v>758</v>
      </c>
      <c r="BT377" s="547" t="s">
        <v>745</v>
      </c>
      <c r="BU377" s="547" t="s">
        <v>709</v>
      </c>
      <c r="BV377" s="547" t="s">
        <v>745</v>
      </c>
      <c r="BW377" s="547" t="s">
        <v>709</v>
      </c>
      <c r="BX377" s="547" t="s">
        <v>745</v>
      </c>
      <c r="BY377" s="547" t="s">
        <v>745</v>
      </c>
      <c r="BZ377" s="547" t="s">
        <v>709</v>
      </c>
      <c r="CA377" s="483"/>
      <c r="CB377" s="547">
        <v>375</v>
      </c>
      <c r="CC377" s="1481" t="b">
        <v>1</v>
      </c>
      <c r="CD377" t="str">
        <f>Table15[[#This Row],[Engineering Number]]&amp;Table15[[#This Row],[WO Number]]&amp;Table15[[#This Row],[Date Assigned to Designer]]&amp;Table15[[#This Row],[Date Completed]]</f>
        <v>SC97201407804380944419</v>
      </c>
    </row>
    <row r="378" spans="1:82" customFormat="1" ht="15" customHeight="1" x14ac:dyDescent="0.25">
      <c r="A378">
        <v>2021</v>
      </c>
      <c r="B378" s="8" t="s">
        <v>771</v>
      </c>
      <c r="C378" s="8" t="s">
        <v>3533</v>
      </c>
      <c r="D378" s="8" t="s">
        <v>3534</v>
      </c>
      <c r="E378" s="8" t="s">
        <v>272</v>
      </c>
      <c r="F378" s="8" t="s">
        <v>919</v>
      </c>
      <c r="G378" s="8" t="s">
        <v>1882</v>
      </c>
      <c r="H378" s="8" t="s">
        <v>59</v>
      </c>
      <c r="I378" s="642">
        <v>44068</v>
      </c>
      <c r="J378" s="18">
        <v>44435</v>
      </c>
      <c r="K378" s="642">
        <v>44425</v>
      </c>
      <c r="L378" s="16">
        <f>IF(ISTEXT(Table15[[#This Row],[Engineering Approved Design Date]]),Table15[[#This Row],[Date Completed]]-Table15[[#This Row],[Date Assigned to Designer]],Table15[[#This Row],[Engineering Approved Design Date]]-Table15[[#This Row],[Date Completed]])</f>
        <v>10</v>
      </c>
      <c r="M378" s="642"/>
      <c r="N378" s="642" t="s">
        <v>120</v>
      </c>
      <c r="O378" s="1025">
        <f>Table15[[#This Row],[Date Completed]]</f>
        <v>44425</v>
      </c>
      <c r="P378" s="21" t="s">
        <v>120</v>
      </c>
      <c r="Q378" s="340">
        <f>R378*AA378</f>
        <v>83984.526899999997</v>
      </c>
      <c r="R378" s="1026">
        <v>0.09</v>
      </c>
      <c r="S378" s="538" t="s">
        <v>709</v>
      </c>
      <c r="T378" s="538" t="s">
        <v>709</v>
      </c>
      <c r="U378" s="28" t="s">
        <v>709</v>
      </c>
      <c r="V378" s="858">
        <v>4838</v>
      </c>
      <c r="W378" s="437"/>
      <c r="X378" s="538">
        <v>869493.87</v>
      </c>
      <c r="Y378" s="550"/>
      <c r="Z378" s="538">
        <v>63667.54</v>
      </c>
      <c r="AA378" s="551">
        <f t="shared" si="7"/>
        <v>933161.41</v>
      </c>
      <c r="AB378" s="341"/>
      <c r="AC378" s="568" t="s">
        <v>709</v>
      </c>
      <c r="AD378" s="1157"/>
      <c r="AE378" s="568"/>
      <c r="AF378" s="568"/>
      <c r="AG378" s="568"/>
      <c r="AH378" s="183"/>
      <c r="AI378" s="1036"/>
      <c r="AJ378" s="1037"/>
      <c r="AK378" s="1037"/>
      <c r="AL378" s="1038"/>
      <c r="AM378" s="1522" t="s">
        <v>116</v>
      </c>
      <c r="AN378" s="1523">
        <v>44468</v>
      </c>
      <c r="AO378" s="1524">
        <v>191032</v>
      </c>
      <c r="AP378" s="1525">
        <v>956443.26</v>
      </c>
      <c r="AQ378" s="1525"/>
      <c r="AR378" s="1525">
        <v>63667.54</v>
      </c>
      <c r="AS378" s="1525">
        <f>IF(Table15[[#This Row],[PCTS Approved]]="N",0,Table15[[#This Row],[Investment Amount (1'#'#'#'#'#)]]+Table15[[#This Row],[Retirement Amount (3'#'#'#'#'#)]])</f>
        <v>1020110.8</v>
      </c>
      <c r="AT378" s="1525">
        <f>IF(Table15[[#This Row],[Approved Construction Cost]]=0,0,Table15[[#This Row],[Approved Construction Cost]]-Table15[[#This Row],[Construction Cost to Bill From]])</f>
        <v>86949.390000000014</v>
      </c>
      <c r="AU378" s="1525">
        <f>Table15[[#This Row],[Difference in Construction Cost]]*Table15[[#This Row],[Rate]]</f>
        <v>7825.4451000000008</v>
      </c>
      <c r="AV378" s="1525" t="s">
        <v>709</v>
      </c>
      <c r="AW378" s="1526" t="s">
        <v>2275</v>
      </c>
      <c r="AX378" s="1525">
        <v>7825.4451000000008</v>
      </c>
      <c r="AY378" s="1518">
        <v>44501</v>
      </c>
      <c r="AZ378" s="333"/>
      <c r="BA378" s="1031" t="s">
        <v>3535</v>
      </c>
      <c r="BB378" s="644" t="s">
        <v>3507</v>
      </c>
      <c r="BC378" s="544" t="s">
        <v>709</v>
      </c>
      <c r="BD378" s="544" t="s">
        <v>709</v>
      </c>
      <c r="BE378" s="544" t="s">
        <v>1242</v>
      </c>
      <c r="BF378" s="544" t="s">
        <v>709</v>
      </c>
      <c r="BG378" s="544" t="s">
        <v>709</v>
      </c>
      <c r="BH378" s="741"/>
      <c r="BI378" s="547" t="s">
        <v>709</v>
      </c>
      <c r="BJ378" s="547" t="s">
        <v>709</v>
      </c>
      <c r="BK378" s="547" t="s">
        <v>709</v>
      </c>
      <c r="BL378" s="547" t="s">
        <v>116</v>
      </c>
      <c r="BM378" s="547" t="s">
        <v>709</v>
      </c>
      <c r="BN378" s="547" t="s">
        <v>709</v>
      </c>
      <c r="BO378" s="547" t="s">
        <v>709</v>
      </c>
      <c r="BP378" s="547" t="s">
        <v>709</v>
      </c>
      <c r="BQ378" s="547">
        <v>2179</v>
      </c>
      <c r="BR378" s="547">
        <v>1496</v>
      </c>
      <c r="BS378" s="547">
        <v>1163</v>
      </c>
      <c r="BT378" s="547" t="s">
        <v>745</v>
      </c>
      <c r="BU378" s="547" t="s">
        <v>709</v>
      </c>
      <c r="BV378" s="547" t="s">
        <v>745</v>
      </c>
      <c r="BW378" s="547" t="s">
        <v>709</v>
      </c>
      <c r="BX378" s="547" t="s">
        <v>745</v>
      </c>
      <c r="BY378" s="547" t="s">
        <v>745</v>
      </c>
      <c r="BZ378" s="547" t="s">
        <v>709</v>
      </c>
      <c r="CA378" s="483"/>
      <c r="CB378" s="547">
        <v>376</v>
      </c>
      <c r="CC378" s="1481" t="b">
        <v>1</v>
      </c>
      <c r="CD378" t="str">
        <f>Table15[[#This Row],[Engineering Number]]&amp;Table15[[#This Row],[WO Number]]&amp;Table15[[#This Row],[Date Assigned to Designer]]&amp;Table15[[#This Row],[Date Completed]]</f>
        <v>BS194D1205294406844425</v>
      </c>
    </row>
    <row r="379" spans="1:82" customFormat="1" ht="15" customHeight="1" x14ac:dyDescent="0.25">
      <c r="A379">
        <v>2021</v>
      </c>
      <c r="B379" s="8" t="s">
        <v>1073</v>
      </c>
      <c r="C379" s="8" t="s">
        <v>3526</v>
      </c>
      <c r="D379" s="8" t="s">
        <v>3527</v>
      </c>
      <c r="E379" s="8" t="s">
        <v>3528</v>
      </c>
      <c r="F379" s="8" t="s">
        <v>738</v>
      </c>
      <c r="G379" s="8" t="s">
        <v>36</v>
      </c>
      <c r="H379" s="8" t="s">
        <v>59</v>
      </c>
      <c r="I379" s="642">
        <v>44385</v>
      </c>
      <c r="J379" s="18">
        <v>44441</v>
      </c>
      <c r="K379" s="642">
        <v>44425</v>
      </c>
      <c r="L379" s="16">
        <f>IF(ISTEXT(Table15[[#This Row],[Engineering Approved Design Date]]),Table15[[#This Row],[Date Completed]]-Table15[[#This Row],[Date Assigned to Designer]],Table15[[#This Row],[Engineering Approved Design Date]]-Table15[[#This Row],[Date Completed]])</f>
        <v>16</v>
      </c>
      <c r="M379" s="642"/>
      <c r="N379" s="642" t="s">
        <v>120</v>
      </c>
      <c r="O379" s="1025">
        <f>Table15[[#This Row],[Date Completed]]</f>
        <v>44425</v>
      </c>
      <c r="P379" s="21" t="s">
        <v>739</v>
      </c>
      <c r="Q379" s="340">
        <f>R379*AA379</f>
        <v>7474.8954000000012</v>
      </c>
      <c r="R379" s="1026">
        <v>7.0000000000000007E-2</v>
      </c>
      <c r="S379" s="538" t="s">
        <v>709</v>
      </c>
      <c r="T379" s="538" t="s">
        <v>709</v>
      </c>
      <c r="U379" s="28" t="s">
        <v>709</v>
      </c>
      <c r="V379" s="858">
        <v>381</v>
      </c>
      <c r="W379" s="437"/>
      <c r="X379" s="538">
        <v>96390.47</v>
      </c>
      <c r="Y379" s="550"/>
      <c r="Z379" s="538">
        <v>10393.75</v>
      </c>
      <c r="AA379" s="538">
        <f t="shared" si="7"/>
        <v>106784.22</v>
      </c>
      <c r="AB379" s="341"/>
      <c r="AC379" s="568" t="s">
        <v>709</v>
      </c>
      <c r="AD379" s="1157"/>
      <c r="AE379" s="568"/>
      <c r="AF379" s="568"/>
      <c r="AG379" s="568"/>
      <c r="AH379" s="183"/>
      <c r="AI379" s="1036"/>
      <c r="AJ379" s="1037"/>
      <c r="AK379" s="1037"/>
      <c r="AL379" s="1038"/>
      <c r="AM379" s="1522" t="s">
        <v>116</v>
      </c>
      <c r="AN379" s="1523">
        <v>44467</v>
      </c>
      <c r="AO379" s="1524">
        <v>191079</v>
      </c>
      <c r="AP379" s="1525">
        <v>84057.14</v>
      </c>
      <c r="AQ379" s="1525"/>
      <c r="AR379" s="1525">
        <v>10393.75</v>
      </c>
      <c r="AS379" s="1525">
        <f>IF(Table15[[#This Row],[PCTS Approved]]="N",0,Table15[[#This Row],[Investment Amount (1'#'#'#'#'#)]]+Table15[[#This Row],[Retirement Amount (3'#'#'#'#'#)]])</f>
        <v>94450.89</v>
      </c>
      <c r="AT379" s="1525">
        <f>IF(Table15[[#This Row],[Approved Construction Cost]]=0,0,Table15[[#This Row],[Approved Construction Cost]]-Table15[[#This Row],[Construction Cost to Bill From]])</f>
        <v>-12333.330000000002</v>
      </c>
      <c r="AU379" s="1525">
        <f>Table15[[#This Row],[Difference in Construction Cost]]*Table15[[#This Row],[Rate]]</f>
        <v>-863.33310000000017</v>
      </c>
      <c r="AV379" s="1525" t="s">
        <v>709</v>
      </c>
      <c r="AW379" s="1526" t="s">
        <v>3529</v>
      </c>
      <c r="AX379" s="1525">
        <v>-863.33310000000017</v>
      </c>
      <c r="AY379" s="1518">
        <v>44501</v>
      </c>
      <c r="AZ379" s="1532"/>
      <c r="BA379" s="1031" t="s">
        <v>3530</v>
      </c>
      <c r="BB379" s="644" t="s">
        <v>3531</v>
      </c>
      <c r="BC379" s="544" t="s">
        <v>709</v>
      </c>
      <c r="BD379" s="544" t="s">
        <v>709</v>
      </c>
      <c r="BE379" s="544" t="s">
        <v>709</v>
      </c>
      <c r="BF379" s="544" t="s">
        <v>709</v>
      </c>
      <c r="BG379" s="544" t="s">
        <v>709</v>
      </c>
      <c r="BH379" s="741"/>
      <c r="BI379" s="547" t="s">
        <v>709</v>
      </c>
      <c r="BJ379" s="547" t="s">
        <v>709</v>
      </c>
      <c r="BK379" s="547" t="s">
        <v>709</v>
      </c>
      <c r="BL379" s="547" t="s">
        <v>116</v>
      </c>
      <c r="BM379" s="547" t="s">
        <v>709</v>
      </c>
      <c r="BN379" s="547" t="s">
        <v>709</v>
      </c>
      <c r="BO379" s="547" t="s">
        <v>709</v>
      </c>
      <c r="BP379" s="547" t="s">
        <v>709</v>
      </c>
      <c r="BQ379" s="547" t="s">
        <v>709</v>
      </c>
      <c r="BR379" s="547">
        <v>381</v>
      </c>
      <c r="BS379" s="547" t="s">
        <v>709</v>
      </c>
      <c r="BT379" s="547" t="s">
        <v>745</v>
      </c>
      <c r="BU379" s="547" t="s">
        <v>709</v>
      </c>
      <c r="BV379" s="547" t="s">
        <v>745</v>
      </c>
      <c r="BW379" s="547" t="s">
        <v>709</v>
      </c>
      <c r="BX379" s="547" t="s">
        <v>745</v>
      </c>
      <c r="BY379" s="547" t="s">
        <v>745</v>
      </c>
      <c r="BZ379" s="547" t="s">
        <v>709</v>
      </c>
      <c r="CA379" s="483"/>
      <c r="CB379" s="547">
        <v>377</v>
      </c>
      <c r="CC379" s="1481" t="b">
        <v>1</v>
      </c>
      <c r="CD379" t="str">
        <f>Table15[[#This Row],[Engineering Number]]&amp;Table15[[#This Row],[WO Number]]&amp;Table15[[#This Row],[Date Assigned to Designer]]&amp;Table15[[#This Row],[Date Completed]]</f>
        <v>NBA1000126116103794438544425</v>
      </c>
    </row>
    <row r="380" spans="1:82" customFormat="1" ht="15" customHeight="1" x14ac:dyDescent="0.25">
      <c r="A380">
        <v>2022</v>
      </c>
      <c r="B380" s="8" t="s">
        <v>730</v>
      </c>
      <c r="C380" s="8" t="s">
        <v>1222</v>
      </c>
      <c r="D380" s="8" t="s">
        <v>1223</v>
      </c>
      <c r="E380" s="8" t="s">
        <v>1224</v>
      </c>
      <c r="F380" s="8" t="s">
        <v>747</v>
      </c>
      <c r="G380" s="8" t="s">
        <v>347</v>
      </c>
      <c r="H380" s="8" t="s">
        <v>59</v>
      </c>
      <c r="I380" s="642">
        <v>44320</v>
      </c>
      <c r="J380" s="18">
        <v>44435</v>
      </c>
      <c r="K380" s="642">
        <v>44427</v>
      </c>
      <c r="L380" s="16">
        <f>IF(ISTEXT(Table15[[#This Row],[Engineering Approved Design Date]]),Table15[[#This Row],[Date Completed]]-Table15[[#This Row],[Date Assigned to Designer]],Table15[[#This Row],[Engineering Approved Design Date]]-Table15[[#This Row],[Date Completed]])</f>
        <v>8</v>
      </c>
      <c r="M380" s="642"/>
      <c r="N380" s="642" t="s">
        <v>120</v>
      </c>
      <c r="O380" s="1025">
        <f>Table15[[#This Row],[Date Completed]]</f>
        <v>44427</v>
      </c>
      <c r="P380" s="21" t="s">
        <v>120</v>
      </c>
      <c r="Q380" s="1151">
        <f>(Table15[[#This Row],[Construction Cost to Bill From]]*0.085)+5250</f>
        <v>27388.629950000002</v>
      </c>
      <c r="R380" s="1026" t="s">
        <v>794</v>
      </c>
      <c r="S380" s="538" t="s">
        <v>709</v>
      </c>
      <c r="T380" s="538" t="s">
        <v>709</v>
      </c>
      <c r="U380" s="28" t="s">
        <v>709</v>
      </c>
      <c r="V380" s="858">
        <v>189</v>
      </c>
      <c r="W380" s="437"/>
      <c r="X380" s="538">
        <v>219773.31</v>
      </c>
      <c r="Y380" s="550"/>
      <c r="Z380" s="538">
        <v>40681.160000000003</v>
      </c>
      <c r="AA380" s="551">
        <f t="shared" si="7"/>
        <v>260454.47</v>
      </c>
      <c r="AB380" s="341"/>
      <c r="AC380" s="568" t="s">
        <v>1177</v>
      </c>
      <c r="AD380" s="1157"/>
      <c r="AE380" s="579"/>
      <c r="AF380" s="579"/>
      <c r="AG380" s="579"/>
      <c r="AH380" s="553"/>
      <c r="AI380" s="1036"/>
      <c r="AJ380" s="1037"/>
      <c r="AK380" s="1037"/>
      <c r="AL380" s="1038"/>
      <c r="AM380" s="536" t="s">
        <v>116</v>
      </c>
      <c r="AN380" s="903" t="s">
        <v>709</v>
      </c>
      <c r="AO380" s="1536">
        <v>11038370</v>
      </c>
      <c r="AP380" s="1537"/>
      <c r="AQ380" s="1537"/>
      <c r="AR380" s="1537"/>
      <c r="AS380" s="888">
        <f>IF(Table15[[#This Row],[PCTS Approved]]="N",0,Table15[[#This Row],[Investment Amount (1'#'#'#'#'#)]]+Table15[[#This Row],[Retirement Amount (3'#'#'#'#'#)]])</f>
        <v>0</v>
      </c>
      <c r="AT380" s="888">
        <f>IF(Table15[[#This Row],[Approved Construction Cost]]=0,0,Table15[[#This Row],[Approved Construction Cost]]-Table15[[#This Row],[Construction Cost to Bill From]])</f>
        <v>0</v>
      </c>
      <c r="AU380" s="888">
        <f>IFERROR(Table15[[#This Row],[Difference in Construction Cost]]*Table15[[#This Row],[Rate]],Table15[[#This Row],[Difference in Construction Cost]]*0.085)</f>
        <v>0</v>
      </c>
      <c r="AV380" s="905"/>
      <c r="AW380" s="1509"/>
      <c r="AX380" s="888"/>
      <c r="AY380" s="636" t="s">
        <v>709</v>
      </c>
      <c r="AZ380" s="333">
        <v>166</v>
      </c>
      <c r="BA380" s="859" t="s">
        <v>1225</v>
      </c>
      <c r="BB380" s="644" t="s">
        <v>1226</v>
      </c>
      <c r="BC380" s="544" t="s">
        <v>709</v>
      </c>
      <c r="BD380" s="544" t="s">
        <v>1227</v>
      </c>
      <c r="BE380" s="544" t="s">
        <v>709</v>
      </c>
      <c r="BF380" s="544" t="s">
        <v>709</v>
      </c>
      <c r="BG380" s="544" t="s">
        <v>709</v>
      </c>
      <c r="BH380" s="741"/>
      <c r="BI380" s="547" t="s">
        <v>709</v>
      </c>
      <c r="BJ380" s="547" t="s">
        <v>116</v>
      </c>
      <c r="BK380" s="547" t="s">
        <v>709</v>
      </c>
      <c r="BL380" s="547" t="s">
        <v>116</v>
      </c>
      <c r="BM380" s="547" t="s">
        <v>709</v>
      </c>
      <c r="BN380" s="547" t="s">
        <v>709</v>
      </c>
      <c r="BO380" s="547" t="s">
        <v>709</v>
      </c>
      <c r="BP380" s="547" t="s">
        <v>709</v>
      </c>
      <c r="BQ380" s="547" t="s">
        <v>709</v>
      </c>
      <c r="BR380" s="547" t="s">
        <v>709</v>
      </c>
      <c r="BS380" s="547">
        <v>189</v>
      </c>
      <c r="BT380" s="547" t="s">
        <v>709</v>
      </c>
      <c r="BU380" s="547">
        <v>1</v>
      </c>
      <c r="BV380" s="547" t="s">
        <v>709</v>
      </c>
      <c r="BW380" s="547" t="s">
        <v>709</v>
      </c>
      <c r="BX380" s="547">
        <v>1</v>
      </c>
      <c r="BY380" s="547" t="s">
        <v>709</v>
      </c>
      <c r="BZ380" s="547" t="s">
        <v>709</v>
      </c>
      <c r="CA380" s="483" t="s">
        <v>730</v>
      </c>
      <c r="CB380" s="547">
        <v>378</v>
      </c>
      <c r="CC380" s="1481" t="b">
        <v>1</v>
      </c>
      <c r="CD380" t="str">
        <f>Table15[[#This Row],[Engineering Number]]&amp;Table15[[#This Row],[WO Number]]&amp;Table15[[#This Row],[Date Assigned to Designer]]&amp;Table15[[#This Row],[Date Completed]]</f>
        <v>RS8461021544432044427</v>
      </c>
    </row>
    <row r="381" spans="1:82" customFormat="1" ht="15" customHeight="1" x14ac:dyDescent="0.25">
      <c r="A381">
        <v>2021</v>
      </c>
      <c r="B381" s="8" t="s">
        <v>769</v>
      </c>
      <c r="C381" s="8" t="s">
        <v>3537</v>
      </c>
      <c r="D381" s="8" t="s">
        <v>3538</v>
      </c>
      <c r="E381" s="8" t="s">
        <v>1827</v>
      </c>
      <c r="F381" s="8" t="s">
        <v>919</v>
      </c>
      <c r="G381" s="8" t="s">
        <v>2814</v>
      </c>
      <c r="H381" s="8" t="s">
        <v>59</v>
      </c>
      <c r="I381" s="642">
        <v>44286</v>
      </c>
      <c r="J381" s="18">
        <v>44427</v>
      </c>
      <c r="K381" s="642">
        <v>44427</v>
      </c>
      <c r="L381" s="16">
        <f>IF(ISTEXT(Table15[[#This Row],[Engineering Approved Design Date]]),Table15[[#This Row],[Date Completed]]-Table15[[#This Row],[Date Assigned to Designer]],Table15[[#This Row],[Engineering Approved Design Date]]-Table15[[#This Row],[Date Completed]])</f>
        <v>0</v>
      </c>
      <c r="M381" s="642" t="s">
        <v>3539</v>
      </c>
      <c r="N381" s="642" t="s">
        <v>120</v>
      </c>
      <c r="O381" s="1025">
        <v>44440</v>
      </c>
      <c r="P381" s="21" t="s">
        <v>739</v>
      </c>
      <c r="Q381" s="1151">
        <f>IF(Table15[[#This Row],[Shactee Effort]]="N",0,Table15[[#This Row],[Shactee Effort]])+IF(Table15[[#This Row],[3rd Party Effort]]="N",0,Table15[[#This Row],[3rd Party Effort]])+Table15[[#This Row],[KH Hourly Effort]]</f>
        <v>14785</v>
      </c>
      <c r="R381" s="1026" t="s">
        <v>1922</v>
      </c>
      <c r="S381" s="538" t="s">
        <v>709</v>
      </c>
      <c r="T381" s="538" t="s">
        <v>709</v>
      </c>
      <c r="U381" s="28">
        <v>14785</v>
      </c>
      <c r="V381" s="858"/>
      <c r="W381" s="437"/>
      <c r="X381" s="538">
        <v>106578.23</v>
      </c>
      <c r="Y381" s="550"/>
      <c r="Z381" s="538"/>
      <c r="AA381" s="538">
        <f t="shared" si="7"/>
        <v>106578.23</v>
      </c>
      <c r="AB381" s="21"/>
      <c r="AC381" s="569" t="s">
        <v>709</v>
      </c>
      <c r="AD381" s="1149"/>
      <c r="AE381" s="580"/>
      <c r="AF381" s="580"/>
      <c r="AG381" s="580"/>
      <c r="AH381" s="542"/>
      <c r="AI381" s="1028"/>
      <c r="AJ381" s="1029"/>
      <c r="AK381" s="1029"/>
      <c r="AL381" s="1030"/>
      <c r="AM381" s="542" t="s">
        <v>709</v>
      </c>
      <c r="AN381" s="924"/>
      <c r="AO381" s="925"/>
      <c r="AP381" s="926"/>
      <c r="AQ381" s="926"/>
      <c r="AR381" s="926"/>
      <c r="AS381" s="926"/>
      <c r="AT381" s="926"/>
      <c r="AU381" s="926"/>
      <c r="AV381" s="926"/>
      <c r="AW381" s="927"/>
      <c r="AX381" s="926"/>
      <c r="AY381" s="1538" t="s">
        <v>29</v>
      </c>
      <c r="AZ381" s="1530"/>
      <c r="BA381" s="1031" t="s">
        <v>3540</v>
      </c>
      <c r="BB381" s="644" t="s">
        <v>1496</v>
      </c>
      <c r="BC381" s="544" t="s">
        <v>709</v>
      </c>
      <c r="BD381" s="544" t="s">
        <v>757</v>
      </c>
      <c r="BE381" s="544" t="s">
        <v>1830</v>
      </c>
      <c r="BF381" s="544" t="s">
        <v>709</v>
      </c>
      <c r="BG381" s="544" t="s">
        <v>709</v>
      </c>
      <c r="BH381" s="741"/>
      <c r="BI381" s="547" t="s">
        <v>709</v>
      </c>
      <c r="BJ381" s="547" t="s">
        <v>709</v>
      </c>
      <c r="BK381" s="547" t="s">
        <v>709</v>
      </c>
      <c r="BL381" s="547" t="s">
        <v>709</v>
      </c>
      <c r="BM381" s="547" t="s">
        <v>709</v>
      </c>
      <c r="BN381" s="547" t="s">
        <v>709</v>
      </c>
      <c r="BO381" s="547" t="s">
        <v>709</v>
      </c>
      <c r="BP381" s="547" t="s">
        <v>709</v>
      </c>
      <c r="BQ381" s="547" t="s">
        <v>709</v>
      </c>
      <c r="BR381" s="547" t="s">
        <v>709</v>
      </c>
      <c r="BS381" s="547" t="s">
        <v>709</v>
      </c>
      <c r="BT381" s="547" t="s">
        <v>709</v>
      </c>
      <c r="BU381" s="547" t="s">
        <v>709</v>
      </c>
      <c r="BV381" s="547" t="s">
        <v>709</v>
      </c>
      <c r="BW381" s="547" t="s">
        <v>709</v>
      </c>
      <c r="BX381" s="547" t="s">
        <v>709</v>
      </c>
      <c r="BY381" s="547" t="s">
        <v>709</v>
      </c>
      <c r="BZ381" s="547" t="s">
        <v>709</v>
      </c>
      <c r="CA381" s="483" t="s">
        <v>3541</v>
      </c>
      <c r="CB381" s="547">
        <v>379</v>
      </c>
      <c r="CC381" s="1481" t="b">
        <v>1</v>
      </c>
      <c r="CD381" t="str">
        <f>Table15[[#This Row],[Engineering Number]]&amp;Table15[[#This Row],[WO Number]]&amp;Table15[[#This Row],[Date Assigned to Designer]]&amp;Table15[[#This Row],[Date Completed]]</f>
        <v>RS86714100244428644427</v>
      </c>
    </row>
    <row r="382" spans="1:82" customFormat="1" ht="15" customHeight="1" x14ac:dyDescent="0.25">
      <c r="A382">
        <v>2022</v>
      </c>
      <c r="B382" s="8" t="s">
        <v>4</v>
      </c>
      <c r="C382" s="8" t="s">
        <v>3544</v>
      </c>
      <c r="D382" s="8" t="s">
        <v>3545</v>
      </c>
      <c r="E382" s="8" t="s">
        <v>108</v>
      </c>
      <c r="F382" s="8" t="s">
        <v>738</v>
      </c>
      <c r="G382" s="8" t="s">
        <v>23</v>
      </c>
      <c r="H382" s="8" t="s">
        <v>59</v>
      </c>
      <c r="I382" s="642">
        <v>44134</v>
      </c>
      <c r="J382" s="18">
        <v>44431</v>
      </c>
      <c r="K382" s="642">
        <v>44428</v>
      </c>
      <c r="L382" s="16">
        <f>IF(ISTEXT(Table15[[#This Row],[Engineering Approved Design Date]]),Table15[[#This Row],[Date Completed]]-Table15[[#This Row],[Date Assigned to Designer]],Table15[[#This Row],[Engineering Approved Design Date]]-Table15[[#This Row],[Date Completed]])</f>
        <v>3</v>
      </c>
      <c r="M382" s="642"/>
      <c r="N382" s="642" t="s">
        <v>120</v>
      </c>
      <c r="O382" s="1025">
        <f>Table15[[#This Row],[Date Completed]]</f>
        <v>44428</v>
      </c>
      <c r="P382" s="21" t="s">
        <v>739</v>
      </c>
      <c r="Q382" s="340">
        <f t="shared" ref="Q382:Q389" si="8">R382*AA382</f>
        <v>26419.793000000001</v>
      </c>
      <c r="R382" s="1026">
        <v>0.1</v>
      </c>
      <c r="S382" s="538" t="s">
        <v>709</v>
      </c>
      <c r="T382" s="538" t="s">
        <v>709</v>
      </c>
      <c r="U382" s="28" t="s">
        <v>709</v>
      </c>
      <c r="V382" s="858">
        <v>1361</v>
      </c>
      <c r="W382" s="437"/>
      <c r="X382" s="538">
        <v>240185.06</v>
      </c>
      <c r="Y382" s="550"/>
      <c r="Z382" s="538">
        <v>24012.87</v>
      </c>
      <c r="AA382" s="538">
        <f t="shared" si="7"/>
        <v>264197.93</v>
      </c>
      <c r="AB382" s="341"/>
      <c r="AC382" s="568" t="s">
        <v>709</v>
      </c>
      <c r="AD382" s="1157"/>
      <c r="AE382" s="579"/>
      <c r="AF382" s="579"/>
      <c r="AG382" s="579"/>
      <c r="AH382" s="553"/>
      <c r="AI382" s="1036"/>
      <c r="AJ382" s="1037"/>
      <c r="AK382" s="1037"/>
      <c r="AL382" s="1038"/>
      <c r="AM382" s="1522" t="s">
        <v>116</v>
      </c>
      <c r="AN382" s="1523">
        <v>44595</v>
      </c>
      <c r="AO382" s="1524">
        <v>11040355</v>
      </c>
      <c r="AP382" s="1525">
        <v>273949.28999999998</v>
      </c>
      <c r="AQ382" s="1525"/>
      <c r="AR382" s="1525">
        <v>25077.03</v>
      </c>
      <c r="AS382" s="1525">
        <f>IF(Table15[[#This Row],[PCTS Approved]]="N",0,Table15[[#This Row],[Investment Amount (1'#'#'#'#'#)]]+Table15[[#This Row],[Retirement Amount (3'#'#'#'#'#)]])</f>
        <v>299026.31999999995</v>
      </c>
      <c r="AT382" s="1525">
        <f>IF(Table15[[#This Row],[Approved Construction Cost]]=0,0,Table15[[#This Row],[Approved Construction Cost]]-Table15[[#This Row],[Construction Cost to Bill From]])</f>
        <v>34828.389999999956</v>
      </c>
      <c r="AU382" s="1525">
        <f>IFERROR(Table15[[#This Row],[Difference in Construction Cost]]*Table15[[#This Row],[Rate]],Table15[[#This Row],[Difference in Construction Cost]]*0.085)</f>
        <v>3482.8389999999958</v>
      </c>
      <c r="AV382" s="1525">
        <v>11592.5</v>
      </c>
      <c r="AW382" s="1526" t="s">
        <v>3546</v>
      </c>
      <c r="AX382" s="1525">
        <v>0</v>
      </c>
      <c r="AY382" s="1518">
        <v>45008</v>
      </c>
      <c r="AZ382" s="333"/>
      <c r="BA382" s="1031" t="s">
        <v>3547</v>
      </c>
      <c r="BB382" s="644" t="s">
        <v>3548</v>
      </c>
      <c r="BC382" s="544" t="s">
        <v>116</v>
      </c>
      <c r="BD382" s="544" t="s">
        <v>709</v>
      </c>
      <c r="BE382" s="544" t="s">
        <v>1569</v>
      </c>
      <c r="BF382" s="544" t="s">
        <v>709</v>
      </c>
      <c r="BG382" s="544" t="s">
        <v>709</v>
      </c>
      <c r="BH382" s="741"/>
      <c r="BI382" s="547" t="s">
        <v>709</v>
      </c>
      <c r="BJ382" s="547" t="s">
        <v>709</v>
      </c>
      <c r="BK382" s="547" t="s">
        <v>709</v>
      </c>
      <c r="BL382" s="547" t="s">
        <v>116</v>
      </c>
      <c r="BM382" s="547" t="s">
        <v>709</v>
      </c>
      <c r="BN382" s="547" t="s">
        <v>709</v>
      </c>
      <c r="BO382" s="547" t="s">
        <v>709</v>
      </c>
      <c r="BP382" s="547" t="s">
        <v>709</v>
      </c>
      <c r="BQ382" s="547" t="s">
        <v>709</v>
      </c>
      <c r="BR382" s="547" t="s">
        <v>709</v>
      </c>
      <c r="BS382" s="547">
        <v>1361</v>
      </c>
      <c r="BT382" s="547" t="s">
        <v>745</v>
      </c>
      <c r="BU382" s="547" t="s">
        <v>709</v>
      </c>
      <c r="BV382" s="547" t="s">
        <v>745</v>
      </c>
      <c r="BW382" s="547" t="s">
        <v>709</v>
      </c>
      <c r="BX382" s="547" t="s">
        <v>745</v>
      </c>
      <c r="BY382" s="547" t="s">
        <v>745</v>
      </c>
      <c r="BZ382" s="547" t="s">
        <v>709</v>
      </c>
      <c r="CA382" s="483"/>
      <c r="CB382" s="547">
        <v>380</v>
      </c>
      <c r="CC382" s="1481" t="b">
        <v>1</v>
      </c>
      <c r="CD382" t="str">
        <f>Table15[[#This Row],[Engineering Number]]&amp;Table15[[#This Row],[WO Number]]&amp;Table15[[#This Row],[Date Assigned to Designer]]&amp;Table15[[#This Row],[Date Completed]]</f>
        <v>N12607-112103334413444428</v>
      </c>
    </row>
    <row r="383" spans="1:82" customFormat="1" ht="15" customHeight="1" x14ac:dyDescent="0.25">
      <c r="A383">
        <v>2022</v>
      </c>
      <c r="B383" s="8" t="s">
        <v>4</v>
      </c>
      <c r="C383" s="8" t="s">
        <v>916</v>
      </c>
      <c r="D383" s="8" t="s">
        <v>917</v>
      </c>
      <c r="E383" s="8" t="s">
        <v>918</v>
      </c>
      <c r="F383" s="8" t="s">
        <v>919</v>
      </c>
      <c r="G383" s="8" t="s">
        <v>39</v>
      </c>
      <c r="H383" s="8" t="s">
        <v>59</v>
      </c>
      <c r="I383" s="642">
        <v>44356</v>
      </c>
      <c r="J383" s="18">
        <v>44439</v>
      </c>
      <c r="K383" s="642">
        <v>44431</v>
      </c>
      <c r="L383" s="16">
        <f>IF(ISTEXT(Table15[[#This Row],[Engineering Approved Design Date]]),Table15[[#This Row],[Date Completed]]-Table15[[#This Row],[Date Assigned to Designer]],Table15[[#This Row],[Engineering Approved Design Date]]-Table15[[#This Row],[Date Completed]])</f>
        <v>8</v>
      </c>
      <c r="M383" s="642"/>
      <c r="N383" s="642" t="s">
        <v>120</v>
      </c>
      <c r="O383" s="1025">
        <f>Table15[[#This Row],[Date Completed]]</f>
        <v>44431</v>
      </c>
      <c r="P383" s="21" t="s">
        <v>739</v>
      </c>
      <c r="Q383" s="1151">
        <f t="shared" si="8"/>
        <v>41324.991999999998</v>
      </c>
      <c r="R383" s="1026">
        <v>0.1</v>
      </c>
      <c r="S383" s="538" t="s">
        <v>709</v>
      </c>
      <c r="T383" s="538" t="s">
        <v>709</v>
      </c>
      <c r="U383" s="28" t="s">
        <v>709</v>
      </c>
      <c r="V383" s="858">
        <f>1152+44</f>
        <v>1196</v>
      </c>
      <c r="W383" s="437"/>
      <c r="X383" s="538">
        <v>377669.11</v>
      </c>
      <c r="Y383" s="550"/>
      <c r="Z383" s="538">
        <v>35580.81</v>
      </c>
      <c r="AA383" s="538">
        <f t="shared" si="7"/>
        <v>413249.92</v>
      </c>
      <c r="AB383" s="341"/>
      <c r="AC383" s="568" t="s">
        <v>709</v>
      </c>
      <c r="AD383" s="1157"/>
      <c r="AE383" s="579"/>
      <c r="AF383" s="579"/>
      <c r="AG383" s="579"/>
      <c r="AH383" s="553"/>
      <c r="AI383" s="1036"/>
      <c r="AJ383" s="1037"/>
      <c r="AK383" s="1037"/>
      <c r="AL383" s="1038"/>
      <c r="AM383" s="1522" t="s">
        <v>116</v>
      </c>
      <c r="AN383" s="1523">
        <v>45371</v>
      </c>
      <c r="AO383" s="1524">
        <v>11080190</v>
      </c>
      <c r="AP383" s="1525">
        <v>443358.64</v>
      </c>
      <c r="AQ383" s="1525"/>
      <c r="AR383" s="1525">
        <v>39643.230000000003</v>
      </c>
      <c r="AS383" s="1525">
        <v>483001.87</v>
      </c>
      <c r="AT383" s="1525">
        <v>69751.950000000012</v>
      </c>
      <c r="AU383" s="1525">
        <v>6975.1950000000015</v>
      </c>
      <c r="AV383" s="1525">
        <v>0</v>
      </c>
      <c r="AW383" s="1526" t="s">
        <v>920</v>
      </c>
      <c r="AX383" s="1525">
        <v>6975.2</v>
      </c>
      <c r="AY383" s="1518">
        <v>45566</v>
      </c>
      <c r="AZ383" s="333">
        <v>62</v>
      </c>
      <c r="BA383" s="859" t="s">
        <v>921</v>
      </c>
      <c r="BB383" s="644" t="s">
        <v>922</v>
      </c>
      <c r="BC383" s="544" t="s">
        <v>709</v>
      </c>
      <c r="BD383" s="544" t="s">
        <v>709</v>
      </c>
      <c r="BE383" s="544" t="s">
        <v>923</v>
      </c>
      <c r="BF383" s="544" t="s">
        <v>923</v>
      </c>
      <c r="BG383" s="544" t="s">
        <v>709</v>
      </c>
      <c r="BH383" s="741"/>
      <c r="BI383" s="547" t="s">
        <v>709</v>
      </c>
      <c r="BJ383" s="547" t="s">
        <v>709</v>
      </c>
      <c r="BK383" s="547" t="s">
        <v>709</v>
      </c>
      <c r="BL383" s="547" t="s">
        <v>116</v>
      </c>
      <c r="BM383" s="547" t="s">
        <v>709</v>
      </c>
      <c r="BN383" s="547" t="s">
        <v>709</v>
      </c>
      <c r="BO383" s="547" t="s">
        <v>709</v>
      </c>
      <c r="BP383" s="547" t="s">
        <v>709</v>
      </c>
      <c r="BQ383" s="547" t="s">
        <v>709</v>
      </c>
      <c r="BR383" s="547">
        <v>1152</v>
      </c>
      <c r="BS383" s="547">
        <v>44</v>
      </c>
      <c r="BT383" s="547" t="s">
        <v>745</v>
      </c>
      <c r="BU383" s="547" t="s">
        <v>709</v>
      </c>
      <c r="BV383" s="547" t="s">
        <v>745</v>
      </c>
      <c r="BW383" s="547" t="s">
        <v>709</v>
      </c>
      <c r="BX383" s="547" t="s">
        <v>745</v>
      </c>
      <c r="BY383" s="547" t="s">
        <v>745</v>
      </c>
      <c r="BZ383" s="547" t="s">
        <v>709</v>
      </c>
      <c r="CA383" s="483"/>
      <c r="CB383" s="547">
        <v>381</v>
      </c>
      <c r="CC383" s="1481" t="b">
        <v>1</v>
      </c>
      <c r="CD383" t="str">
        <f>Table15[[#This Row],[Engineering Number]]&amp;Table15[[#This Row],[WO Number]]&amp;Table15[[#This Row],[Date Assigned to Designer]]&amp;Table15[[#This Row],[Date Completed]]</f>
        <v>SC1481914103604435644431</v>
      </c>
    </row>
    <row r="384" spans="1:82" customFormat="1" ht="15" customHeight="1" x14ac:dyDescent="0.25">
      <c r="A384">
        <v>2021</v>
      </c>
      <c r="B384" s="8" t="s">
        <v>2989</v>
      </c>
      <c r="C384" s="8" t="s">
        <v>3577</v>
      </c>
      <c r="D384" s="8" t="s">
        <v>3578</v>
      </c>
      <c r="E384" s="8" t="s">
        <v>3579</v>
      </c>
      <c r="F384" s="8" t="s">
        <v>3553</v>
      </c>
      <c r="G384" s="8" t="s">
        <v>2814</v>
      </c>
      <c r="H384" s="8" t="s">
        <v>59</v>
      </c>
      <c r="I384" s="642">
        <v>44393</v>
      </c>
      <c r="J384" s="18">
        <v>44435</v>
      </c>
      <c r="K384" s="642">
        <v>44432</v>
      </c>
      <c r="L384" s="16">
        <f>IF(ISTEXT(Table15[[#This Row],[Engineering Approved Design Date]]),Table15[[#This Row],[Date Completed]]-Table15[[#This Row],[Date Assigned to Designer]],Table15[[#This Row],[Engineering Approved Design Date]]-Table15[[#This Row],[Date Completed]])</f>
        <v>3</v>
      </c>
      <c r="M384" s="642"/>
      <c r="N384" s="642" t="s">
        <v>120</v>
      </c>
      <c r="O384" s="1025">
        <v>44441</v>
      </c>
      <c r="P384" s="21" t="s">
        <v>739</v>
      </c>
      <c r="Q384" s="340">
        <f t="shared" si="8"/>
        <v>5761.7289000000001</v>
      </c>
      <c r="R384" s="1026">
        <v>0.09</v>
      </c>
      <c r="S384" s="538" t="s">
        <v>709</v>
      </c>
      <c r="T384" s="538" t="s">
        <v>709</v>
      </c>
      <c r="U384" s="28" t="s">
        <v>709</v>
      </c>
      <c r="V384" s="858">
        <v>63</v>
      </c>
      <c r="W384" s="437"/>
      <c r="X384" s="538"/>
      <c r="Y384" s="550"/>
      <c r="Z384" s="538">
        <v>64019.21</v>
      </c>
      <c r="AA384" s="538">
        <f t="shared" si="7"/>
        <v>64019.21</v>
      </c>
      <c r="AB384" s="341"/>
      <c r="AC384" s="568" t="s">
        <v>709</v>
      </c>
      <c r="AD384" s="1157"/>
      <c r="AE384" s="579"/>
      <c r="AF384" s="579"/>
      <c r="AG384" s="579"/>
      <c r="AH384" s="553"/>
      <c r="AI384" s="1036"/>
      <c r="AJ384" s="1037"/>
      <c r="AK384" s="1037"/>
      <c r="AL384" s="1038"/>
      <c r="AM384" s="1522" t="s">
        <v>116</v>
      </c>
      <c r="AN384" s="1523">
        <v>44502</v>
      </c>
      <c r="AO384" s="1524">
        <v>11038679</v>
      </c>
      <c r="AP384" s="1525">
        <v>0</v>
      </c>
      <c r="AQ384" s="1525"/>
      <c r="AR384" s="1525">
        <v>64128.71</v>
      </c>
      <c r="AS384" s="1525">
        <f>IF(Table15[[#This Row],[PCTS Approved]]="N",0,Table15[[#This Row],[Investment Amount (1'#'#'#'#'#)]]+Table15[[#This Row],[Retirement Amount (3'#'#'#'#'#)]])</f>
        <v>64128.71</v>
      </c>
      <c r="AT384" s="1525">
        <f>IF(Table15[[#This Row],[Approved Construction Cost]]=0,0,Table15[[#This Row],[Approved Construction Cost]]-Table15[[#This Row],[Construction Cost to Bill From]])</f>
        <v>109.5</v>
      </c>
      <c r="AU384" s="1525">
        <f>IFERROR(Table15[[#This Row],[Difference in Construction Cost]]*Table15[[#This Row],[Rate]],Table15[[#This Row],[Difference in Construction Cost]]*0.085)</f>
        <v>9.8550000000000004</v>
      </c>
      <c r="AV384" s="1525" t="s">
        <v>709</v>
      </c>
      <c r="AW384" s="1526"/>
      <c r="AX384" s="1525">
        <f>Table15[[#This Row],[Reconcile Amount]]</f>
        <v>9.8550000000000004</v>
      </c>
      <c r="AY384" s="1518">
        <v>45008</v>
      </c>
      <c r="AZ384" s="333"/>
      <c r="BA384" s="1031" t="s">
        <v>3580</v>
      </c>
      <c r="BB384" s="644" t="s">
        <v>3566</v>
      </c>
      <c r="BC384" s="544" t="s">
        <v>709</v>
      </c>
      <c r="BD384" s="544" t="s">
        <v>709</v>
      </c>
      <c r="BE384" s="544" t="s">
        <v>3581</v>
      </c>
      <c r="BF384" s="544" t="s">
        <v>709</v>
      </c>
      <c r="BG384" s="544" t="s">
        <v>709</v>
      </c>
      <c r="BH384" s="741"/>
      <c r="BI384" s="547" t="s">
        <v>709</v>
      </c>
      <c r="BJ384" s="547" t="s">
        <v>709</v>
      </c>
      <c r="BK384" s="547" t="s">
        <v>709</v>
      </c>
      <c r="BL384" s="547" t="s">
        <v>709</v>
      </c>
      <c r="BM384" s="547" t="s">
        <v>709</v>
      </c>
      <c r="BN384" s="547" t="s">
        <v>709</v>
      </c>
      <c r="BO384" s="547" t="s">
        <v>709</v>
      </c>
      <c r="BP384" s="547" t="s">
        <v>709</v>
      </c>
      <c r="BQ384" s="547" t="s">
        <v>709</v>
      </c>
      <c r="BR384" s="547" t="s">
        <v>709</v>
      </c>
      <c r="BS384" s="547" t="s">
        <v>709</v>
      </c>
      <c r="BT384" s="547" t="s">
        <v>709</v>
      </c>
      <c r="BU384" s="547" t="s">
        <v>709</v>
      </c>
      <c r="BV384" s="547">
        <v>1</v>
      </c>
      <c r="BW384" s="547" t="s">
        <v>709</v>
      </c>
      <c r="BX384" s="547" t="s">
        <v>709</v>
      </c>
      <c r="BY384" s="547" t="s">
        <v>709</v>
      </c>
      <c r="BZ384" s="547" t="s">
        <v>709</v>
      </c>
      <c r="CA384" s="483" t="s">
        <v>2</v>
      </c>
      <c r="CB384" s="547">
        <v>384</v>
      </c>
      <c r="CC384" s="1481" t="b">
        <v>1</v>
      </c>
      <c r="CD384" t="str">
        <f>Table15[[#This Row],[Engineering Number]]&amp;Table15[[#This Row],[WO Number]]&amp;Table15[[#This Row],[Date Assigned to Designer]]&amp;Table15[[#This Row],[Date Completed]]</f>
        <v>MR175232104284439344432</v>
      </c>
    </row>
    <row r="385" spans="1:82" customFormat="1" ht="15" customHeight="1" x14ac:dyDescent="0.25">
      <c r="A385">
        <v>2021</v>
      </c>
      <c r="B385" s="8" t="s">
        <v>2989</v>
      </c>
      <c r="C385" s="8" t="s">
        <v>3551</v>
      </c>
      <c r="D385" s="8" t="s">
        <v>3552</v>
      </c>
      <c r="E385" s="8" t="s">
        <v>108</v>
      </c>
      <c r="F385" s="8" t="s">
        <v>3553</v>
      </c>
      <c r="G385" s="8" t="s">
        <v>36</v>
      </c>
      <c r="H385" s="8" t="s">
        <v>59</v>
      </c>
      <c r="I385" s="642">
        <v>44393</v>
      </c>
      <c r="J385" s="18">
        <v>44435</v>
      </c>
      <c r="K385" s="642">
        <v>44432</v>
      </c>
      <c r="L385" s="16">
        <f>IF(ISTEXT(Table15[[#This Row],[Engineering Approved Design Date]]),Table15[[#This Row],[Date Completed]]-Table15[[#This Row],[Date Assigned to Designer]],Table15[[#This Row],[Engineering Approved Design Date]]-Table15[[#This Row],[Date Completed]])</f>
        <v>3</v>
      </c>
      <c r="N385" s="642" t="s">
        <v>120</v>
      </c>
      <c r="O385" s="1025">
        <v>44441</v>
      </c>
      <c r="P385" s="21" t="s">
        <v>739</v>
      </c>
      <c r="Q385" s="340">
        <f t="shared" si="8"/>
        <v>4372.7795999999998</v>
      </c>
      <c r="R385" s="1026">
        <v>0.09</v>
      </c>
      <c r="S385" s="538" t="s">
        <v>709</v>
      </c>
      <c r="T385" s="538" t="s">
        <v>709</v>
      </c>
      <c r="U385" s="28" t="s">
        <v>709</v>
      </c>
      <c r="V385" s="858">
        <v>291</v>
      </c>
      <c r="W385" s="437"/>
      <c r="X385" s="538"/>
      <c r="Y385" s="550"/>
      <c r="Z385" s="538">
        <v>48586.44</v>
      </c>
      <c r="AA385" s="538">
        <f t="shared" si="7"/>
        <v>48586.44</v>
      </c>
      <c r="AB385" s="341"/>
      <c r="AC385" s="568" t="s">
        <v>709</v>
      </c>
      <c r="AD385" s="1157"/>
      <c r="AE385" s="579"/>
      <c r="AF385" s="579"/>
      <c r="AG385" s="579"/>
      <c r="AH385" s="553"/>
      <c r="AI385" s="1036"/>
      <c r="AJ385" s="1037"/>
      <c r="AK385" s="1037"/>
      <c r="AL385" s="1038"/>
      <c r="AM385" s="542" t="s">
        <v>116</v>
      </c>
      <c r="AN385" s="1508">
        <v>44487</v>
      </c>
      <c r="AO385" s="925">
        <v>191215</v>
      </c>
      <c r="AP385" s="926">
        <v>0</v>
      </c>
      <c r="AQ385" s="926"/>
      <c r="AR385" s="926">
        <v>48586.44</v>
      </c>
      <c r="AS385" s="926">
        <f>IF(Table15[[#This Row],[PCTS Approved]]="N",0,Table15[[#This Row],[Investment Amount (1'#'#'#'#'#)]]+Table15[[#This Row],[Retirement Amount (3'#'#'#'#'#)]])</f>
        <v>48586.44</v>
      </c>
      <c r="AT385" s="926">
        <f>IF(Table15[[#This Row],[Approved Construction Cost]]=0,0,Table15[[#This Row],[Approved Construction Cost]]-Table15[[#This Row],[Construction Cost to Bill From]])</f>
        <v>0</v>
      </c>
      <c r="AU385" s="926">
        <f>Table15[[#This Row],[Difference in Construction Cost]]*Table15[[#This Row],[Rate]]</f>
        <v>0</v>
      </c>
      <c r="AV385" s="926" t="s">
        <v>709</v>
      </c>
      <c r="AW385" s="927"/>
      <c r="AX385" s="926"/>
      <c r="AY385" s="636" t="s">
        <v>1935</v>
      </c>
      <c r="AZ385" s="1533"/>
      <c r="BA385" s="1031" t="s">
        <v>3554</v>
      </c>
      <c r="BB385" s="644" t="s">
        <v>3555</v>
      </c>
      <c r="BC385" s="544" t="s">
        <v>709</v>
      </c>
      <c r="BD385" s="544" t="s">
        <v>882</v>
      </c>
      <c r="BE385" s="544" t="s">
        <v>709</v>
      </c>
      <c r="BF385" s="544" t="s">
        <v>709</v>
      </c>
      <c r="BG385" s="544" t="s">
        <v>709</v>
      </c>
      <c r="BH385" s="741"/>
      <c r="BI385" s="547" t="s">
        <v>709</v>
      </c>
      <c r="BJ385" s="547" t="s">
        <v>709</v>
      </c>
      <c r="BK385" s="547" t="s">
        <v>709</v>
      </c>
      <c r="BL385" s="547" t="s">
        <v>709</v>
      </c>
      <c r="BM385" s="547" t="s">
        <v>709</v>
      </c>
      <c r="BN385" s="547" t="s">
        <v>709</v>
      </c>
      <c r="BO385" s="547" t="s">
        <v>709</v>
      </c>
      <c r="BP385" s="547" t="s">
        <v>709</v>
      </c>
      <c r="BQ385" s="547" t="s">
        <v>709</v>
      </c>
      <c r="BR385" s="547" t="s">
        <v>709</v>
      </c>
      <c r="BS385" s="547" t="s">
        <v>709</v>
      </c>
      <c r="BT385" s="547" t="s">
        <v>709</v>
      </c>
      <c r="BU385" s="547" t="s">
        <v>709</v>
      </c>
      <c r="BV385" s="547">
        <v>1</v>
      </c>
      <c r="BW385" s="547" t="s">
        <v>709</v>
      </c>
      <c r="BX385" s="547" t="s">
        <v>709</v>
      </c>
      <c r="BY385" s="547" t="s">
        <v>709</v>
      </c>
      <c r="BZ385" s="547" t="s">
        <v>709</v>
      </c>
      <c r="CA385" s="483" t="s">
        <v>2</v>
      </c>
      <c r="CB385" s="547">
        <v>388</v>
      </c>
      <c r="CC385" s="1481" t="b">
        <v>1</v>
      </c>
      <c r="CD385" t="str">
        <f>Table15[[#This Row],[Engineering Number]]&amp;Table15[[#This Row],[WO Number]]&amp;Table15[[#This Row],[Date Assigned to Designer]]&amp;Table15[[#This Row],[Date Completed]]</f>
        <v>MR175432104364439344432</v>
      </c>
    </row>
    <row r="386" spans="1:82" customFormat="1" ht="15" customHeight="1" x14ac:dyDescent="0.25">
      <c r="A386">
        <v>2021</v>
      </c>
      <c r="B386" s="8" t="s">
        <v>2989</v>
      </c>
      <c r="C386" s="8" t="s">
        <v>3557</v>
      </c>
      <c r="D386" s="8" t="s">
        <v>3558</v>
      </c>
      <c r="E386" s="8" t="s">
        <v>3223</v>
      </c>
      <c r="F386" s="8" t="s">
        <v>3553</v>
      </c>
      <c r="G386" s="8" t="s">
        <v>347</v>
      </c>
      <c r="H386" s="8" t="s">
        <v>59</v>
      </c>
      <c r="I386" s="642">
        <v>44393</v>
      </c>
      <c r="J386" s="18">
        <v>44435</v>
      </c>
      <c r="K386" s="642">
        <v>44432</v>
      </c>
      <c r="L386" s="16">
        <f>IF(ISTEXT(Table15[[#This Row],[Engineering Approved Design Date]]),Table15[[#This Row],[Date Completed]]-Table15[[#This Row],[Date Assigned to Designer]],Table15[[#This Row],[Engineering Approved Design Date]]-Table15[[#This Row],[Date Completed]])</f>
        <v>3</v>
      </c>
      <c r="M386" s="642"/>
      <c r="N386" s="642" t="s">
        <v>120</v>
      </c>
      <c r="O386" s="1025">
        <v>44441</v>
      </c>
      <c r="P386" s="21" t="s">
        <v>739</v>
      </c>
      <c r="Q386" s="340">
        <f t="shared" si="8"/>
        <v>5340.9501</v>
      </c>
      <c r="R386" s="1026">
        <v>0.09</v>
      </c>
      <c r="S386" s="538" t="s">
        <v>709</v>
      </c>
      <c r="T386" s="538" t="s">
        <v>709</v>
      </c>
      <c r="U386" s="28" t="s">
        <v>709</v>
      </c>
      <c r="V386" s="858">
        <v>132</v>
      </c>
      <c r="W386" s="437"/>
      <c r="X386" s="538"/>
      <c r="Y386" s="550"/>
      <c r="Z386" s="538">
        <v>59343.89</v>
      </c>
      <c r="AA386" s="538">
        <f t="shared" si="7"/>
        <v>59343.89</v>
      </c>
      <c r="AB386" s="341"/>
      <c r="AC386" s="568" t="s">
        <v>709</v>
      </c>
      <c r="AD386" s="1157"/>
      <c r="AE386" s="579"/>
      <c r="AF386" s="579"/>
      <c r="AG386" s="579"/>
      <c r="AH386" s="553"/>
      <c r="AI386" s="1036"/>
      <c r="AJ386" s="1037"/>
      <c r="AK386" s="1037"/>
      <c r="AL386" s="1038"/>
      <c r="AM386" s="542" t="s">
        <v>116</v>
      </c>
      <c r="AN386" s="1508">
        <v>44461</v>
      </c>
      <c r="AO386" s="925">
        <v>190979</v>
      </c>
      <c r="AP386" s="926">
        <v>0</v>
      </c>
      <c r="AQ386" s="926"/>
      <c r="AR386" s="926">
        <v>59343.89</v>
      </c>
      <c r="AS386" s="926">
        <f>IF(Table15[[#This Row],[PCTS Approved]]="N",0,Table15[[#This Row],[Investment Amount (1'#'#'#'#'#)]]+Table15[[#This Row],[Retirement Amount (3'#'#'#'#'#)]])</f>
        <v>59343.89</v>
      </c>
      <c r="AT386" s="926">
        <f>IF(Table15[[#This Row],[Approved Construction Cost]]=0,0,Table15[[#This Row],[Approved Construction Cost]]-Table15[[#This Row],[Construction Cost to Bill From]])</f>
        <v>0</v>
      </c>
      <c r="AU386" s="926">
        <f>Table15[[#This Row],[Difference in Construction Cost]]*Table15[[#This Row],[Rate]]</f>
        <v>0</v>
      </c>
      <c r="AV386" s="926" t="s">
        <v>709</v>
      </c>
      <c r="AW386" s="927"/>
      <c r="AX386" s="926"/>
      <c r="AY386" s="636" t="s">
        <v>1935</v>
      </c>
      <c r="AZ386" s="1533"/>
      <c r="BA386" s="1031" t="s">
        <v>3559</v>
      </c>
      <c r="BB386" s="644" t="s">
        <v>3560</v>
      </c>
      <c r="BC386" s="544" t="s">
        <v>709</v>
      </c>
      <c r="BD386" s="544" t="s">
        <v>709</v>
      </c>
      <c r="BE386" s="544" t="s">
        <v>3561</v>
      </c>
      <c r="BF386" s="544" t="s">
        <v>709</v>
      </c>
      <c r="BG386" s="544" t="s">
        <v>709</v>
      </c>
      <c r="BH386" s="741"/>
      <c r="BI386" s="547" t="s">
        <v>709</v>
      </c>
      <c r="BJ386" s="547" t="s">
        <v>709</v>
      </c>
      <c r="BK386" s="547" t="s">
        <v>709</v>
      </c>
      <c r="BL386" s="547" t="s">
        <v>709</v>
      </c>
      <c r="BM386" s="547" t="s">
        <v>709</v>
      </c>
      <c r="BN386" s="547" t="s">
        <v>709</v>
      </c>
      <c r="BO386" s="547" t="s">
        <v>709</v>
      </c>
      <c r="BP386" s="547" t="s">
        <v>709</v>
      </c>
      <c r="BQ386" s="547" t="s">
        <v>709</v>
      </c>
      <c r="BR386" s="547" t="s">
        <v>709</v>
      </c>
      <c r="BS386" s="547" t="s">
        <v>709</v>
      </c>
      <c r="BT386" s="547" t="s">
        <v>709</v>
      </c>
      <c r="BU386" s="547" t="s">
        <v>709</v>
      </c>
      <c r="BV386" s="547">
        <v>1</v>
      </c>
      <c r="BW386" s="547" t="s">
        <v>709</v>
      </c>
      <c r="BX386" s="547" t="s">
        <v>709</v>
      </c>
      <c r="BY386" s="547" t="s">
        <v>709</v>
      </c>
      <c r="BZ386" s="547" t="s">
        <v>709</v>
      </c>
      <c r="CA386" s="483" t="s">
        <v>2</v>
      </c>
      <c r="CB386" s="547">
        <v>382</v>
      </c>
      <c r="CC386" s="1481" t="b">
        <v>1</v>
      </c>
      <c r="CD386" t="str">
        <f>Table15[[#This Row],[Engineering Number]]&amp;Table15[[#This Row],[WO Number]]&amp;Table15[[#This Row],[Date Assigned to Designer]]&amp;Table15[[#This Row],[Date Completed]]</f>
        <v>MR175533104764439344432</v>
      </c>
    </row>
    <row r="387" spans="1:82" customFormat="1" ht="15" customHeight="1" x14ac:dyDescent="0.25">
      <c r="A387">
        <v>2021</v>
      </c>
      <c r="B387" s="8" t="s">
        <v>2989</v>
      </c>
      <c r="C387" s="8" t="s">
        <v>3563</v>
      </c>
      <c r="D387" s="8" t="s">
        <v>3564</v>
      </c>
      <c r="E387" s="8" t="s">
        <v>155</v>
      </c>
      <c r="F387" s="8" t="s">
        <v>3553</v>
      </c>
      <c r="G387" s="8" t="s">
        <v>2814</v>
      </c>
      <c r="H387" s="8" t="s">
        <v>59</v>
      </c>
      <c r="I387" s="642">
        <v>44399</v>
      </c>
      <c r="J387" s="18">
        <v>44435</v>
      </c>
      <c r="K387" s="642">
        <v>44432</v>
      </c>
      <c r="L387" s="16">
        <f>IF(ISTEXT(Table15[[#This Row],[Engineering Approved Design Date]]),Table15[[#This Row],[Date Completed]]-Table15[[#This Row],[Date Assigned to Designer]],Table15[[#This Row],[Engineering Approved Design Date]]-Table15[[#This Row],[Date Completed]])</f>
        <v>3</v>
      </c>
      <c r="M387" s="642"/>
      <c r="N387" s="642" t="s">
        <v>120</v>
      </c>
      <c r="O387" s="1025">
        <v>44441</v>
      </c>
      <c r="P387" s="21" t="s">
        <v>739</v>
      </c>
      <c r="Q387" s="340">
        <f t="shared" si="8"/>
        <v>15498.1134</v>
      </c>
      <c r="R387" s="1026">
        <v>0.09</v>
      </c>
      <c r="S387" s="538" t="s">
        <v>709</v>
      </c>
      <c r="T387" s="538" t="s">
        <v>709</v>
      </c>
      <c r="U387" s="28" t="s">
        <v>709</v>
      </c>
      <c r="V387" s="858">
        <v>25</v>
      </c>
      <c r="W387" s="437"/>
      <c r="X387" s="538">
        <v>143088.12</v>
      </c>
      <c r="Y387" s="550"/>
      <c r="Z387" s="538">
        <v>29113.14</v>
      </c>
      <c r="AA387" s="538">
        <f t="shared" si="7"/>
        <v>172201.26</v>
      </c>
      <c r="AB387" s="341"/>
      <c r="AC387" s="568" t="s">
        <v>709</v>
      </c>
      <c r="AD387" s="1157"/>
      <c r="AE387" s="579"/>
      <c r="AF387" s="579"/>
      <c r="AG387" s="579"/>
      <c r="AH387" s="553"/>
      <c r="AI387" s="1036"/>
      <c r="AJ387" s="1037"/>
      <c r="AK387" s="1037"/>
      <c r="AL387" s="1038"/>
      <c r="AM387" s="542" t="s">
        <v>116</v>
      </c>
      <c r="AN387" s="1508">
        <v>44467</v>
      </c>
      <c r="AO387" s="925">
        <v>190951</v>
      </c>
      <c r="AP387" s="926">
        <v>143088.12</v>
      </c>
      <c r="AQ387" s="926"/>
      <c r="AR387" s="926">
        <v>29113.14</v>
      </c>
      <c r="AS387" s="926">
        <f>IF(Table15[[#This Row],[PCTS Approved]]="N",0,Table15[[#This Row],[Investment Amount (1'#'#'#'#'#)]]+Table15[[#This Row],[Retirement Amount (3'#'#'#'#'#)]])</f>
        <v>172201.26</v>
      </c>
      <c r="AT387" s="926">
        <f>IF(Table15[[#This Row],[Approved Construction Cost]]=0,0,Table15[[#This Row],[Approved Construction Cost]]-Table15[[#This Row],[Construction Cost to Bill From]])</f>
        <v>0</v>
      </c>
      <c r="AU387" s="926">
        <f>Table15[[#This Row],[Difference in Construction Cost]]*Table15[[#This Row],[Rate]]</f>
        <v>0</v>
      </c>
      <c r="AV387" s="926" t="s">
        <v>709</v>
      </c>
      <c r="AW387" s="927"/>
      <c r="AX387" s="926"/>
      <c r="AY387" s="636" t="s">
        <v>1935</v>
      </c>
      <c r="AZ387" s="1533"/>
      <c r="BA387" s="1031" t="s">
        <v>3565</v>
      </c>
      <c r="BB387" s="644" t="s">
        <v>3566</v>
      </c>
      <c r="BC387" s="544" t="s">
        <v>709</v>
      </c>
      <c r="BD387" s="544" t="s">
        <v>709</v>
      </c>
      <c r="BE387" s="544" t="s">
        <v>3319</v>
      </c>
      <c r="BF387" s="544" t="s">
        <v>709</v>
      </c>
      <c r="BG387" s="544" t="s">
        <v>709</v>
      </c>
      <c r="BH387" s="741"/>
      <c r="BI387" s="547" t="s">
        <v>709</v>
      </c>
      <c r="BJ387" s="547" t="s">
        <v>709</v>
      </c>
      <c r="BK387" s="547" t="s">
        <v>709</v>
      </c>
      <c r="BL387" s="547" t="s">
        <v>116</v>
      </c>
      <c r="BM387" s="547" t="s">
        <v>709</v>
      </c>
      <c r="BN387" s="547" t="s">
        <v>709</v>
      </c>
      <c r="BO387" s="547" t="s">
        <v>709</v>
      </c>
      <c r="BP387" s="547">
        <v>25</v>
      </c>
      <c r="BQ387" s="547" t="s">
        <v>709</v>
      </c>
      <c r="BR387" s="547" t="s">
        <v>709</v>
      </c>
      <c r="BS387" s="547" t="s">
        <v>709</v>
      </c>
      <c r="BT387" s="547" t="s">
        <v>709</v>
      </c>
      <c r="BU387" s="547" t="s">
        <v>709</v>
      </c>
      <c r="BV387" s="547">
        <v>1</v>
      </c>
      <c r="BW387" s="547" t="s">
        <v>709</v>
      </c>
      <c r="BX387" s="547" t="s">
        <v>709</v>
      </c>
      <c r="BY387" s="547" t="s">
        <v>709</v>
      </c>
      <c r="BZ387" s="547" t="s">
        <v>709</v>
      </c>
      <c r="CA387" s="483" t="s">
        <v>2</v>
      </c>
      <c r="CB387" s="547">
        <v>385</v>
      </c>
      <c r="CC387" s="1481" t="b">
        <v>1</v>
      </c>
      <c r="CD387" t="str">
        <f>Table15[[#This Row],[Engineering Number]]&amp;Table15[[#This Row],[WO Number]]&amp;Table15[[#This Row],[Date Assigned to Designer]]&amp;Table15[[#This Row],[Date Completed]]</f>
        <v>MR176212104514439944432</v>
      </c>
    </row>
    <row r="388" spans="1:82" customFormat="1" ht="15" customHeight="1" x14ac:dyDescent="0.25">
      <c r="A388">
        <v>2021</v>
      </c>
      <c r="B388" s="8" t="s">
        <v>2989</v>
      </c>
      <c r="C388" s="8" t="s">
        <v>3568</v>
      </c>
      <c r="D388" s="8" t="s">
        <v>3569</v>
      </c>
      <c r="E388" s="8" t="s">
        <v>155</v>
      </c>
      <c r="F388" s="8" t="s">
        <v>3553</v>
      </c>
      <c r="G388" s="8" t="s">
        <v>39</v>
      </c>
      <c r="H388" s="8" t="s">
        <v>59</v>
      </c>
      <c r="I388" s="642">
        <v>44399</v>
      </c>
      <c r="J388" s="18">
        <v>44435</v>
      </c>
      <c r="K388" s="642">
        <v>44432</v>
      </c>
      <c r="L388" s="16">
        <f>IF(ISTEXT(Table15[[#This Row],[Engineering Approved Design Date]]),Table15[[#This Row],[Date Completed]]-Table15[[#This Row],[Date Assigned to Designer]],Table15[[#This Row],[Engineering Approved Design Date]]-Table15[[#This Row],[Date Completed]])</f>
        <v>3</v>
      </c>
      <c r="M388" s="642"/>
      <c r="N388" s="642" t="s">
        <v>120</v>
      </c>
      <c r="O388" s="1025">
        <v>44441</v>
      </c>
      <c r="P388" s="21" t="s">
        <v>739</v>
      </c>
      <c r="Q388" s="340">
        <f t="shared" si="8"/>
        <v>6088.8869999999997</v>
      </c>
      <c r="R388" s="1026">
        <v>0.09</v>
      </c>
      <c r="S388" s="538" t="s">
        <v>709</v>
      </c>
      <c r="T388" s="538" t="s">
        <v>709</v>
      </c>
      <c r="U388" s="28" t="s">
        <v>709</v>
      </c>
      <c r="V388" s="858">
        <v>102</v>
      </c>
      <c r="W388" s="437"/>
      <c r="X388" s="538"/>
      <c r="Y388" s="550"/>
      <c r="Z388" s="538">
        <v>67654.3</v>
      </c>
      <c r="AA388" s="538">
        <f t="shared" si="7"/>
        <v>67654.3</v>
      </c>
      <c r="AB388" s="341"/>
      <c r="AC388" s="568" t="s">
        <v>709</v>
      </c>
      <c r="AD388" s="1157"/>
      <c r="AE388" s="579"/>
      <c r="AF388" s="579"/>
      <c r="AG388" s="579"/>
      <c r="AH388" s="553"/>
      <c r="AI388" s="1036"/>
      <c r="AJ388" s="1037"/>
      <c r="AK388" s="1037"/>
      <c r="AL388" s="1038"/>
      <c r="AM388" s="542" t="s">
        <v>116</v>
      </c>
      <c r="AN388" s="1508">
        <v>44585</v>
      </c>
      <c r="AO388" s="925">
        <v>11039461</v>
      </c>
      <c r="AP388" s="926">
        <v>0</v>
      </c>
      <c r="AQ388" s="926"/>
      <c r="AR388" s="926">
        <v>67654.3</v>
      </c>
      <c r="AS388" s="926">
        <f>IF(Table15[[#This Row],[PCTS Approved]]="N",0,Table15[[#This Row],[Investment Amount (1'#'#'#'#'#)]]+Table15[[#This Row],[Retirement Amount (3'#'#'#'#'#)]])</f>
        <v>67654.3</v>
      </c>
      <c r="AT388" s="926">
        <f>IF(Table15[[#This Row],[Approved Construction Cost]]=0,0,Table15[[#This Row],[Approved Construction Cost]]-Table15[[#This Row],[Construction Cost to Bill From]])</f>
        <v>0</v>
      </c>
      <c r="AU388" s="926">
        <f>IFERROR(Table15[[#This Row],[Difference in Construction Cost]]*Table15[[#This Row],[Rate]],Table15[[#This Row],[Difference in Construction Cost]]*0.085)</f>
        <v>0</v>
      </c>
      <c r="AV388" s="926" t="s">
        <v>709</v>
      </c>
      <c r="AW388" s="927"/>
      <c r="AX388" s="926"/>
      <c r="AY388" s="636" t="s">
        <v>1935</v>
      </c>
      <c r="AZ388" s="1533"/>
      <c r="BA388" s="859" t="s">
        <v>3570</v>
      </c>
      <c r="BB388" s="644" t="s">
        <v>3571</v>
      </c>
      <c r="BC388" s="544" t="s">
        <v>709</v>
      </c>
      <c r="BD388" s="544" t="s">
        <v>882</v>
      </c>
      <c r="BE388" s="544" t="s">
        <v>709</v>
      </c>
      <c r="BF388" s="544" t="s">
        <v>709</v>
      </c>
      <c r="BG388" s="544" t="s">
        <v>709</v>
      </c>
      <c r="BH388" s="741"/>
      <c r="BI388" s="547" t="s">
        <v>709</v>
      </c>
      <c r="BJ388" s="547" t="s">
        <v>709</v>
      </c>
      <c r="BK388" s="547" t="s">
        <v>709</v>
      </c>
      <c r="BL388" s="547" t="s">
        <v>709</v>
      </c>
      <c r="BM388" s="547" t="s">
        <v>709</v>
      </c>
      <c r="BN388" s="547" t="s">
        <v>709</v>
      </c>
      <c r="BO388" s="547" t="s">
        <v>709</v>
      </c>
      <c r="BP388" s="547" t="s">
        <v>709</v>
      </c>
      <c r="BQ388" s="547" t="s">
        <v>709</v>
      </c>
      <c r="BR388" s="547" t="s">
        <v>709</v>
      </c>
      <c r="BS388" s="547" t="s">
        <v>709</v>
      </c>
      <c r="BT388" s="547" t="s">
        <v>709</v>
      </c>
      <c r="BU388" s="547" t="s">
        <v>709</v>
      </c>
      <c r="BV388" s="547">
        <v>1</v>
      </c>
      <c r="BW388" s="547" t="s">
        <v>709</v>
      </c>
      <c r="BX388" s="547" t="s">
        <v>709</v>
      </c>
      <c r="BY388" s="547" t="s">
        <v>709</v>
      </c>
      <c r="BZ388" s="547" t="s">
        <v>709</v>
      </c>
      <c r="CA388" s="483" t="s">
        <v>2</v>
      </c>
      <c r="CB388" s="547">
        <v>386</v>
      </c>
      <c r="CC388" s="1481" t="b">
        <v>1</v>
      </c>
      <c r="CD388" t="str">
        <f>Table15[[#This Row],[Engineering Number]]&amp;Table15[[#This Row],[WO Number]]&amp;Table15[[#This Row],[Date Assigned to Designer]]&amp;Table15[[#This Row],[Date Completed]]</f>
        <v>MR176432104534439944432</v>
      </c>
    </row>
    <row r="389" spans="1:82" customFormat="1" ht="15" customHeight="1" x14ac:dyDescent="0.25">
      <c r="A389">
        <v>2021</v>
      </c>
      <c r="B389" s="8" t="s">
        <v>2989</v>
      </c>
      <c r="C389" s="8" t="s">
        <v>3573</v>
      </c>
      <c r="D389" s="8" t="s">
        <v>3574</v>
      </c>
      <c r="E389" s="8" t="s">
        <v>155</v>
      </c>
      <c r="F389" s="8" t="s">
        <v>3553</v>
      </c>
      <c r="G389" s="8" t="s">
        <v>39</v>
      </c>
      <c r="H389" s="8" t="s">
        <v>59</v>
      </c>
      <c r="I389" s="642">
        <v>44399</v>
      </c>
      <c r="J389" s="18">
        <v>44435</v>
      </c>
      <c r="K389" s="642">
        <v>44432</v>
      </c>
      <c r="L389" s="16">
        <f>IF(ISTEXT(Table15[[#This Row],[Engineering Approved Design Date]]),Table15[[#This Row],[Date Completed]]-Table15[[#This Row],[Date Assigned to Designer]],Table15[[#This Row],[Engineering Approved Design Date]]-Table15[[#This Row],[Date Completed]])</f>
        <v>3</v>
      </c>
      <c r="M389" s="642"/>
      <c r="N389" s="642" t="s">
        <v>120</v>
      </c>
      <c r="O389" s="1025">
        <v>44441</v>
      </c>
      <c r="P389" s="21" t="s">
        <v>739</v>
      </c>
      <c r="Q389" s="340">
        <f t="shared" si="8"/>
        <v>5618.1185999999998</v>
      </c>
      <c r="R389" s="1026">
        <v>0.09</v>
      </c>
      <c r="S389" s="538" t="s">
        <v>709</v>
      </c>
      <c r="T389" s="538" t="s">
        <v>709</v>
      </c>
      <c r="U389" s="28" t="s">
        <v>709</v>
      </c>
      <c r="V389" s="858">
        <v>63</v>
      </c>
      <c r="W389" s="437"/>
      <c r="X389" s="538"/>
      <c r="Y389" s="550"/>
      <c r="Z389" s="538">
        <v>62423.54</v>
      </c>
      <c r="AA389" s="538">
        <f t="shared" si="7"/>
        <v>62423.54</v>
      </c>
      <c r="AB389" s="341"/>
      <c r="AC389" s="568" t="s">
        <v>709</v>
      </c>
      <c r="AD389" s="1157"/>
      <c r="AE389" s="579"/>
      <c r="AF389" s="579"/>
      <c r="AG389" s="579"/>
      <c r="AH389" s="553"/>
      <c r="AI389" s="1036"/>
      <c r="AJ389" s="1037"/>
      <c r="AK389" s="1037"/>
      <c r="AL389" s="1038"/>
      <c r="AM389" s="542" t="s">
        <v>116</v>
      </c>
      <c r="AN389" s="1508">
        <v>44585</v>
      </c>
      <c r="AO389" s="925">
        <v>11039562</v>
      </c>
      <c r="AP389" s="926">
        <v>0</v>
      </c>
      <c r="AQ389" s="926"/>
      <c r="AR389" s="926">
        <v>62423.54</v>
      </c>
      <c r="AS389" s="926">
        <f>IF(Table15[[#This Row],[PCTS Approved]]="N",0,Table15[[#This Row],[Investment Amount (1'#'#'#'#'#)]]+Table15[[#This Row],[Retirement Amount (3'#'#'#'#'#)]])</f>
        <v>62423.54</v>
      </c>
      <c r="AT389" s="926">
        <f>IF(Table15[[#This Row],[Approved Construction Cost]]=0,0,Table15[[#This Row],[Approved Construction Cost]]-Table15[[#This Row],[Construction Cost to Bill From]])</f>
        <v>0</v>
      </c>
      <c r="AU389" s="926">
        <f>IFERROR(Table15[[#This Row],[Difference in Construction Cost]]*Table15[[#This Row],[Rate]],Table15[[#This Row],[Difference in Construction Cost]]*0.085)</f>
        <v>0</v>
      </c>
      <c r="AV389" s="926" t="s">
        <v>709</v>
      </c>
      <c r="AW389" s="927"/>
      <c r="AX389" s="926"/>
      <c r="AY389" s="636" t="s">
        <v>1935</v>
      </c>
      <c r="AZ389" s="1533"/>
      <c r="BA389" s="859" t="s">
        <v>3575</v>
      </c>
      <c r="BB389" s="644" t="s">
        <v>3571</v>
      </c>
      <c r="BC389" s="544" t="s">
        <v>709</v>
      </c>
      <c r="BD389" s="544" t="s">
        <v>882</v>
      </c>
      <c r="BE389" s="544" t="s">
        <v>1085</v>
      </c>
      <c r="BF389" s="544" t="s">
        <v>709</v>
      </c>
      <c r="BG389" s="544" t="s">
        <v>709</v>
      </c>
      <c r="BH389" s="741"/>
      <c r="BI389" s="547" t="s">
        <v>709</v>
      </c>
      <c r="BJ389" s="547" t="s">
        <v>709</v>
      </c>
      <c r="BK389" s="547" t="s">
        <v>709</v>
      </c>
      <c r="BL389" s="547" t="s">
        <v>709</v>
      </c>
      <c r="BM389" s="547" t="s">
        <v>709</v>
      </c>
      <c r="BN389" s="547" t="s">
        <v>709</v>
      </c>
      <c r="BO389" s="547" t="s">
        <v>709</v>
      </c>
      <c r="BP389" s="547" t="s">
        <v>709</v>
      </c>
      <c r="BQ389" s="547" t="s">
        <v>709</v>
      </c>
      <c r="BR389" s="547" t="s">
        <v>709</v>
      </c>
      <c r="BS389" s="547" t="s">
        <v>709</v>
      </c>
      <c r="BT389" s="547" t="s">
        <v>709</v>
      </c>
      <c r="BU389" s="547" t="s">
        <v>709</v>
      </c>
      <c r="BV389" s="547">
        <v>1</v>
      </c>
      <c r="BW389" s="547" t="s">
        <v>709</v>
      </c>
      <c r="BX389" s="547" t="s">
        <v>709</v>
      </c>
      <c r="BY389" s="547" t="s">
        <v>709</v>
      </c>
      <c r="BZ389" s="547" t="s">
        <v>709</v>
      </c>
      <c r="CA389" s="483" t="s">
        <v>2</v>
      </c>
      <c r="CB389" s="547">
        <v>387</v>
      </c>
      <c r="CC389" s="1481" t="b">
        <v>1</v>
      </c>
      <c r="CD389" t="str">
        <f>Table15[[#This Row],[Engineering Number]]&amp;Table15[[#This Row],[WO Number]]&amp;Table15[[#This Row],[Date Assigned to Designer]]&amp;Table15[[#This Row],[Date Completed]]</f>
        <v>MR176532104544439944432</v>
      </c>
    </row>
    <row r="390" spans="1:82" customFormat="1" ht="15" customHeight="1" x14ac:dyDescent="0.25">
      <c r="A390">
        <v>2021</v>
      </c>
      <c r="B390" s="8" t="s">
        <v>4</v>
      </c>
      <c r="C390" s="8" t="s">
        <v>3266</v>
      </c>
      <c r="D390" s="8" t="s">
        <v>3267</v>
      </c>
      <c r="E390" s="8" t="s">
        <v>3268</v>
      </c>
      <c r="F390" s="8" t="s">
        <v>738</v>
      </c>
      <c r="G390" s="8" t="s">
        <v>39</v>
      </c>
      <c r="H390" s="8" t="s">
        <v>3178</v>
      </c>
      <c r="I390" s="642">
        <v>44264</v>
      </c>
      <c r="J390" s="18" t="s">
        <v>2052</v>
      </c>
      <c r="K390" s="642">
        <v>44432</v>
      </c>
      <c r="L390" s="16">
        <f>IF(ISTEXT(Table15[[#This Row],[Engineering Approved Design Date]]),Table15[[#This Row],[Date Completed]]-Table15[[#This Row],[Date Assigned to Designer]],Table15[[#This Row],[Engineering Approved Design Date]]-Table15[[#This Row],[Date Completed]])</f>
        <v>168</v>
      </c>
      <c r="M390" s="642" t="s">
        <v>3583</v>
      </c>
      <c r="N390" s="642" t="s">
        <v>120</v>
      </c>
      <c r="O390" s="1025">
        <v>44441</v>
      </c>
      <c r="P390" s="21" t="s">
        <v>739</v>
      </c>
      <c r="Q390" s="1151">
        <f>IF(Table15[[#This Row],[Shactee Effort]]="N",0,Table15[[#This Row],[Shactee Effort]])+IF(Table15[[#This Row],[3rd Party Effort]]="N",0,Table15[[#This Row],[3rd Party Effort]])+Table15[[#This Row],[KH Hourly Effort]]</f>
        <v>5837.5</v>
      </c>
      <c r="R390" s="1026" t="s">
        <v>1922</v>
      </c>
      <c r="S390" s="538" t="s">
        <v>709</v>
      </c>
      <c r="T390" s="538" t="s">
        <v>709</v>
      </c>
      <c r="U390" s="28">
        <v>5837.5</v>
      </c>
      <c r="V390" s="858"/>
      <c r="W390" s="437"/>
      <c r="X390" s="538"/>
      <c r="Y390" s="550"/>
      <c r="Z390" s="538"/>
      <c r="AA390" s="538">
        <f t="shared" si="7"/>
        <v>0</v>
      </c>
      <c r="AB390" s="21"/>
      <c r="AC390" s="569"/>
      <c r="AD390" s="1149"/>
      <c r="AE390" s="580"/>
      <c r="AF390" s="580"/>
      <c r="AG390" s="580"/>
      <c r="AH390" s="542"/>
      <c r="AI390" s="1028"/>
      <c r="AJ390" s="1029"/>
      <c r="AK390" s="1029"/>
      <c r="AL390" s="1030"/>
      <c r="AM390" s="542" t="s">
        <v>709</v>
      </c>
      <c r="AN390" s="924"/>
      <c r="AO390" s="925"/>
      <c r="AP390" s="926"/>
      <c r="AQ390" s="926"/>
      <c r="AR390" s="926"/>
      <c r="AS390" s="926"/>
      <c r="AT390" s="926"/>
      <c r="AU390" s="926"/>
      <c r="AV390" s="926"/>
      <c r="AW390" s="927"/>
      <c r="AX390" s="926"/>
      <c r="AY390" s="1538" t="s">
        <v>29</v>
      </c>
      <c r="AZ390" s="1530"/>
      <c r="BA390" s="1031">
        <v>12</v>
      </c>
      <c r="BB390" s="644"/>
      <c r="BC390" s="544"/>
      <c r="BD390" s="544"/>
      <c r="BE390" s="544"/>
      <c r="BF390" s="544"/>
      <c r="BG390" s="544"/>
      <c r="BH390" s="741"/>
      <c r="BI390" s="547" t="s">
        <v>709</v>
      </c>
      <c r="BJ390" s="547" t="s">
        <v>709</v>
      </c>
      <c r="BK390" s="547" t="s">
        <v>709</v>
      </c>
      <c r="BL390" s="547" t="s">
        <v>116</v>
      </c>
      <c r="BM390" s="547" t="s">
        <v>709</v>
      </c>
      <c r="BN390" s="547" t="s">
        <v>709</v>
      </c>
      <c r="BO390" s="547" t="s">
        <v>709</v>
      </c>
      <c r="BP390" s="547">
        <v>532</v>
      </c>
      <c r="BQ390" s="547" t="s">
        <v>709</v>
      </c>
      <c r="BR390" s="547" t="s">
        <v>709</v>
      </c>
      <c r="BS390" s="547" t="s">
        <v>709</v>
      </c>
      <c r="BT390" s="547" t="s">
        <v>709</v>
      </c>
      <c r="BU390" s="547" t="s">
        <v>709</v>
      </c>
      <c r="BV390" s="547" t="s">
        <v>745</v>
      </c>
      <c r="BW390" s="547" t="s">
        <v>709</v>
      </c>
      <c r="BX390" s="547" t="s">
        <v>709</v>
      </c>
      <c r="BY390" s="547" t="s">
        <v>745</v>
      </c>
      <c r="BZ390" s="547" t="s">
        <v>709</v>
      </c>
      <c r="CA390" s="483"/>
      <c r="CB390" s="547">
        <v>383</v>
      </c>
      <c r="CC390" s="1481" t="b">
        <v>1</v>
      </c>
      <c r="CD390" t="str">
        <f>Table15[[#This Row],[Engineering Number]]&amp;Table15[[#This Row],[WO Number]]&amp;Table15[[#This Row],[Date Assigned to Designer]]&amp;Table15[[#This Row],[Date Completed]]</f>
        <v>N140161293394426444432</v>
      </c>
    </row>
    <row r="391" spans="1:82" customFormat="1" ht="15" customHeight="1" x14ac:dyDescent="0.25">
      <c r="A391">
        <v>2021</v>
      </c>
      <c r="B391" s="8" t="s">
        <v>1205</v>
      </c>
      <c r="C391" s="8" t="s">
        <v>3585</v>
      </c>
      <c r="D391" s="8" t="s">
        <v>3586</v>
      </c>
      <c r="E391" s="8" t="s">
        <v>3587</v>
      </c>
      <c r="F391" s="8" t="s">
        <v>738</v>
      </c>
      <c r="G391" s="8" t="s">
        <v>39</v>
      </c>
      <c r="H391" s="8" t="s">
        <v>59</v>
      </c>
      <c r="I391" s="642">
        <v>44408</v>
      </c>
      <c r="J391" s="18">
        <v>44439</v>
      </c>
      <c r="K391" s="642">
        <v>44434</v>
      </c>
      <c r="L391" s="16">
        <f>IF(ISTEXT(Table15[[#This Row],[Engineering Approved Design Date]]),Table15[[#This Row],[Date Completed]]-Table15[[#This Row],[Date Assigned to Designer]],Table15[[#This Row],[Engineering Approved Design Date]]-Table15[[#This Row],[Date Completed]])</f>
        <v>5</v>
      </c>
      <c r="M391" s="642"/>
      <c r="N391" s="642" t="s">
        <v>120</v>
      </c>
      <c r="O391" s="1025">
        <v>44442</v>
      </c>
      <c r="P391" s="21" t="s">
        <v>739</v>
      </c>
      <c r="Q391" s="340">
        <f>R391*AA391</f>
        <v>16277.975999999999</v>
      </c>
      <c r="R391" s="1026">
        <v>0.09</v>
      </c>
      <c r="S391" s="538" t="s">
        <v>709</v>
      </c>
      <c r="T391" s="538" t="s">
        <v>709</v>
      </c>
      <c r="U391" s="28" t="s">
        <v>709</v>
      </c>
      <c r="V391" s="858">
        <v>89</v>
      </c>
      <c r="W391" s="437"/>
      <c r="X391" s="538">
        <v>159960.72</v>
      </c>
      <c r="Y391" s="550"/>
      <c r="Z391" s="538">
        <v>20905.68</v>
      </c>
      <c r="AA391" s="538">
        <f t="shared" si="7"/>
        <v>180866.4</v>
      </c>
      <c r="AB391" s="341"/>
      <c r="AC391" s="568" t="s">
        <v>709</v>
      </c>
      <c r="AD391" s="1157"/>
      <c r="AE391" s="568"/>
      <c r="AF391" s="568"/>
      <c r="AG391" s="568"/>
      <c r="AH391" s="183"/>
      <c r="AI391" s="1036"/>
      <c r="AJ391" s="1037"/>
      <c r="AK391" s="1037"/>
      <c r="AL391" s="1038"/>
      <c r="AM391" s="1522" t="s">
        <v>116</v>
      </c>
      <c r="AN391" s="1523">
        <v>44487</v>
      </c>
      <c r="AO391" s="1524">
        <v>191183</v>
      </c>
      <c r="AP391" s="1525">
        <v>160389.56</v>
      </c>
      <c r="AQ391" s="1525"/>
      <c r="AR391" s="1525">
        <v>20905.68</v>
      </c>
      <c r="AS391" s="1525">
        <f>IF(Table15[[#This Row],[PCTS Approved]]="N",0,Table15[[#This Row],[Investment Amount (1'#'#'#'#'#)]]+Table15[[#This Row],[Retirement Amount (3'#'#'#'#'#)]])</f>
        <v>181295.24</v>
      </c>
      <c r="AT391" s="1525">
        <f>IF(Table15[[#This Row],[Approved Construction Cost]]=0,0,Table15[[#This Row],[Approved Construction Cost]]-Table15[[#This Row],[Construction Cost to Bill From]])</f>
        <v>428.83999999999651</v>
      </c>
      <c r="AU391" s="1525">
        <f>Table15[[#This Row],[Difference in Construction Cost]]*Table15[[#This Row],[Rate]]</f>
        <v>38.595599999999685</v>
      </c>
      <c r="AV391" s="1525" t="s">
        <v>709</v>
      </c>
      <c r="AW391" s="1526" t="s">
        <v>3588</v>
      </c>
      <c r="AX391" s="1525">
        <v>38.595599999999685</v>
      </c>
      <c r="AY391" s="1518">
        <v>44501</v>
      </c>
      <c r="AZ391" s="333"/>
      <c r="BA391" s="1031"/>
      <c r="BB391" s="644"/>
      <c r="BC391" s="544"/>
      <c r="BD391" s="544"/>
      <c r="BE391" s="544"/>
      <c r="BF391" s="544"/>
      <c r="BG391" s="544"/>
      <c r="BH391" s="741"/>
      <c r="BI391" s="547" t="s">
        <v>709</v>
      </c>
      <c r="BJ391" s="547" t="s">
        <v>709</v>
      </c>
      <c r="BK391" s="547" t="s">
        <v>709</v>
      </c>
      <c r="BL391" s="547" t="s">
        <v>116</v>
      </c>
      <c r="BM391" s="547" t="s">
        <v>709</v>
      </c>
      <c r="BN391" s="547" t="s">
        <v>709</v>
      </c>
      <c r="BO391" s="547" t="s">
        <v>709</v>
      </c>
      <c r="BP391" s="547" t="s">
        <v>709</v>
      </c>
      <c r="BQ391" s="547" t="s">
        <v>709</v>
      </c>
      <c r="BR391" s="547">
        <v>68</v>
      </c>
      <c r="BS391" s="547">
        <v>21</v>
      </c>
      <c r="BT391" s="547" t="s">
        <v>745</v>
      </c>
      <c r="BU391" s="547" t="s">
        <v>709</v>
      </c>
      <c r="BV391" s="547" t="s">
        <v>745</v>
      </c>
      <c r="BW391" s="547" t="s">
        <v>709</v>
      </c>
      <c r="BX391" s="547" t="s">
        <v>745</v>
      </c>
      <c r="BY391" s="547" t="s">
        <v>745</v>
      </c>
      <c r="BZ391" s="547" t="s">
        <v>709</v>
      </c>
      <c r="CA391" s="483"/>
      <c r="CB391" s="547">
        <v>389</v>
      </c>
      <c r="CC391" s="1481" t="b">
        <v>1</v>
      </c>
      <c r="CD391" t="str">
        <f>Table15[[#This Row],[Engineering Number]]&amp;Table15[[#This Row],[WO Number]]&amp;Table15[[#This Row],[Date Assigned to Designer]]&amp;Table15[[#This Row],[Date Completed]]</f>
        <v>MR176912104874440844434</v>
      </c>
    </row>
    <row r="392" spans="1:82" customFormat="1" ht="15" customHeight="1" x14ac:dyDescent="0.25">
      <c r="A392">
        <v>2022</v>
      </c>
      <c r="B392" s="8" t="s">
        <v>1205</v>
      </c>
      <c r="C392" s="8" t="s">
        <v>3594</v>
      </c>
      <c r="D392" s="8" t="s">
        <v>115</v>
      </c>
      <c r="E392" s="8" t="s">
        <v>3595</v>
      </c>
      <c r="F392" s="8" t="s">
        <v>3553</v>
      </c>
      <c r="G392" s="8" t="s">
        <v>40</v>
      </c>
      <c r="H392" s="8" t="s">
        <v>2127</v>
      </c>
      <c r="I392" s="642">
        <v>44431</v>
      </c>
      <c r="J392" s="18">
        <v>44477</v>
      </c>
      <c r="K392" s="642">
        <v>44438</v>
      </c>
      <c r="L392" s="16">
        <f>IF(ISTEXT(Table15[[#This Row],[Engineering Approved Design Date]]),Table15[[#This Row],[Date Completed]]-Table15[[#This Row],[Date Assigned to Designer]],Table15[[#This Row],[Engineering Approved Design Date]]-Table15[[#This Row],[Date Completed]])</f>
        <v>39</v>
      </c>
      <c r="M392" s="642" t="s">
        <v>3596</v>
      </c>
      <c r="N392" s="642" t="s">
        <v>120</v>
      </c>
      <c r="O392" s="1025">
        <v>44442</v>
      </c>
      <c r="P392" s="21" t="s">
        <v>739</v>
      </c>
      <c r="Q392" s="340" t="s">
        <v>115</v>
      </c>
      <c r="R392" s="1026" t="s">
        <v>115</v>
      </c>
      <c r="S392" s="538" t="s">
        <v>709</v>
      </c>
      <c r="T392" s="538" t="s">
        <v>709</v>
      </c>
      <c r="U392" s="28" t="s">
        <v>709</v>
      </c>
      <c r="V392" s="858"/>
      <c r="W392" s="437"/>
      <c r="X392" s="538"/>
      <c r="Y392" s="550"/>
      <c r="Z392" s="538"/>
      <c r="AA392" s="538">
        <f t="shared" si="7"/>
        <v>0</v>
      </c>
      <c r="AB392" s="21"/>
      <c r="AC392" s="569"/>
      <c r="AD392" s="1149"/>
      <c r="AE392" s="569"/>
      <c r="AF392" s="569"/>
      <c r="AG392" s="569"/>
      <c r="AH392" s="536"/>
      <c r="AI392" s="1028"/>
      <c r="AJ392" s="1029"/>
      <c r="AK392" s="1029"/>
      <c r="AL392" s="1030"/>
      <c r="AM392" s="542" t="s">
        <v>709</v>
      </c>
      <c r="AN392" s="924"/>
      <c r="AO392" s="925"/>
      <c r="AP392" s="926"/>
      <c r="AQ392" s="926"/>
      <c r="AR392" s="926"/>
      <c r="AS392" s="926"/>
      <c r="AT392" s="926"/>
      <c r="AU392" s="926"/>
      <c r="AV392" s="926"/>
      <c r="AW392" s="927"/>
      <c r="AX392" s="926"/>
      <c r="AY392" s="1538" t="s">
        <v>29</v>
      </c>
      <c r="AZ392" s="1530"/>
      <c r="BA392" s="1031" t="s">
        <v>3597</v>
      </c>
      <c r="BB392" s="644"/>
      <c r="BC392" s="544"/>
      <c r="BD392" s="544"/>
      <c r="BE392" s="544"/>
      <c r="BF392" s="544"/>
      <c r="BG392" s="544"/>
      <c r="BH392" s="741"/>
      <c r="BI392" s="547"/>
      <c r="BJ392" s="547"/>
      <c r="BK392" s="547"/>
      <c r="BL392" s="547"/>
      <c r="BM392" s="547"/>
      <c r="BN392" s="547"/>
      <c r="BO392" s="547"/>
      <c r="BP392" s="547"/>
      <c r="BQ392" s="547"/>
      <c r="BR392" s="547"/>
      <c r="BS392" s="547"/>
      <c r="BT392" s="547"/>
      <c r="BU392" s="547"/>
      <c r="BV392" s="547"/>
      <c r="BW392" s="547"/>
      <c r="BX392" s="547"/>
      <c r="BY392" s="547"/>
      <c r="BZ392" s="547" t="s">
        <v>709</v>
      </c>
      <c r="CA392" s="483" t="s">
        <v>915</v>
      </c>
      <c r="CB392" s="547">
        <v>391</v>
      </c>
      <c r="CC392" s="1481" t="b">
        <v>1</v>
      </c>
      <c r="CD392" t="str">
        <f>Table15[[#This Row],[Engineering Number]]&amp;Table15[[#This Row],[WO Number]]&amp;Table15[[#This Row],[Date Assigned to Designer]]&amp;Table15[[#This Row],[Date Completed]]</f>
        <v>MR1776-4443144438</v>
      </c>
    </row>
    <row r="393" spans="1:82" customFormat="1" ht="15" customHeight="1" x14ac:dyDescent="0.25">
      <c r="A393">
        <v>2022</v>
      </c>
      <c r="B393" s="8" t="s">
        <v>1205</v>
      </c>
      <c r="C393" s="8" t="s">
        <v>3599</v>
      </c>
      <c r="D393" s="8" t="s">
        <v>115</v>
      </c>
      <c r="E393" s="8" t="s">
        <v>1428</v>
      </c>
      <c r="F393" s="8" t="s">
        <v>3553</v>
      </c>
      <c r="G393" s="8" t="s">
        <v>22</v>
      </c>
      <c r="H393" s="8" t="s">
        <v>2127</v>
      </c>
      <c r="I393" s="642">
        <v>44431</v>
      </c>
      <c r="J393" s="18">
        <v>44477</v>
      </c>
      <c r="K393" s="642">
        <v>44438</v>
      </c>
      <c r="L393" s="16">
        <f>IF(ISTEXT(Table15[[#This Row],[Engineering Approved Design Date]]),Table15[[#This Row],[Date Completed]]-Table15[[#This Row],[Date Assigned to Designer]],Table15[[#This Row],[Engineering Approved Design Date]]-Table15[[#This Row],[Date Completed]])</f>
        <v>39</v>
      </c>
      <c r="M393" s="642" t="s">
        <v>3600</v>
      </c>
      <c r="N393" s="642" t="s">
        <v>120</v>
      </c>
      <c r="O393" s="1025">
        <v>44442</v>
      </c>
      <c r="P393" s="21" t="s">
        <v>739</v>
      </c>
      <c r="Q393" s="340" t="s">
        <v>115</v>
      </c>
      <c r="R393" s="1026" t="s">
        <v>115</v>
      </c>
      <c r="S393" s="538" t="s">
        <v>709</v>
      </c>
      <c r="T393" s="538" t="s">
        <v>709</v>
      </c>
      <c r="U393" s="28" t="s">
        <v>709</v>
      </c>
      <c r="V393" s="858"/>
      <c r="W393" s="437"/>
      <c r="X393" s="538"/>
      <c r="Y393" s="550"/>
      <c r="Z393" s="538"/>
      <c r="AA393" s="538">
        <f t="shared" si="7"/>
        <v>0</v>
      </c>
      <c r="AB393" s="21"/>
      <c r="AC393" s="569" t="s">
        <v>709</v>
      </c>
      <c r="AD393" s="1149"/>
      <c r="AE393" s="569"/>
      <c r="AF393" s="569"/>
      <c r="AG393" s="569"/>
      <c r="AH393" s="536"/>
      <c r="AI393" s="1028"/>
      <c r="AJ393" s="1029"/>
      <c r="AK393" s="1029"/>
      <c r="AL393" s="1030"/>
      <c r="AM393" s="542" t="s">
        <v>709</v>
      </c>
      <c r="AN393" s="924"/>
      <c r="AO393" s="925"/>
      <c r="AP393" s="926"/>
      <c r="AQ393" s="926"/>
      <c r="AR393" s="926"/>
      <c r="AS393" s="926"/>
      <c r="AT393" s="926"/>
      <c r="AU393" s="926"/>
      <c r="AV393" s="926"/>
      <c r="AW393" s="927"/>
      <c r="AX393" s="926"/>
      <c r="AY393" s="1538" t="s">
        <v>29</v>
      </c>
      <c r="AZ393" s="1530"/>
      <c r="BA393" s="1031" t="s">
        <v>3601</v>
      </c>
      <c r="BB393" s="644" t="s">
        <v>3602</v>
      </c>
      <c r="BC393" s="544"/>
      <c r="BD393" s="544"/>
      <c r="BE393" s="544"/>
      <c r="BF393" s="544"/>
      <c r="BG393" s="544"/>
      <c r="BH393" s="741"/>
      <c r="BI393" s="547"/>
      <c r="BJ393" s="547"/>
      <c r="BK393" s="547"/>
      <c r="BL393" s="547"/>
      <c r="BM393" s="547"/>
      <c r="BN393" s="547"/>
      <c r="BO393" s="547"/>
      <c r="BP393" s="547"/>
      <c r="BQ393" s="547"/>
      <c r="BR393" s="547"/>
      <c r="BS393" s="547"/>
      <c r="BT393" s="547"/>
      <c r="BU393" s="547"/>
      <c r="BV393" s="547"/>
      <c r="BW393" s="547"/>
      <c r="BX393" s="547"/>
      <c r="BY393" s="547"/>
      <c r="BZ393" s="547" t="s">
        <v>709</v>
      </c>
      <c r="CA393" s="483" t="s">
        <v>915</v>
      </c>
      <c r="CB393" s="547">
        <v>392</v>
      </c>
      <c r="CC393" s="1481" t="b">
        <v>1</v>
      </c>
      <c r="CD393" t="str">
        <f>Table15[[#This Row],[Engineering Number]]&amp;Table15[[#This Row],[WO Number]]&amp;Table15[[#This Row],[Date Assigned to Designer]]&amp;Table15[[#This Row],[Date Completed]]</f>
        <v>MR1782-4443144438</v>
      </c>
    </row>
    <row r="394" spans="1:82" customFormat="1" ht="15" customHeight="1" x14ac:dyDescent="0.25">
      <c r="A394">
        <v>2021</v>
      </c>
      <c r="B394" s="8" t="s">
        <v>4</v>
      </c>
      <c r="C394" s="8" t="s">
        <v>3590</v>
      </c>
      <c r="D394" s="8" t="s">
        <v>3591</v>
      </c>
      <c r="E394" s="8" t="s">
        <v>1428</v>
      </c>
      <c r="F394" s="8" t="s">
        <v>738</v>
      </c>
      <c r="G394" s="8" t="s">
        <v>2814</v>
      </c>
      <c r="H394" s="8" t="s">
        <v>1903</v>
      </c>
      <c r="I394" s="642">
        <v>44418</v>
      </c>
      <c r="J394" s="18">
        <v>44449</v>
      </c>
      <c r="K394" s="642">
        <v>44438</v>
      </c>
      <c r="L394" s="16">
        <f>IF(ISTEXT(Table15[[#This Row],[Engineering Approved Design Date]]),Table15[[#This Row],[Date Completed]]-Table15[[#This Row],[Date Assigned to Designer]],Table15[[#This Row],[Engineering Approved Design Date]]-Table15[[#This Row],[Date Completed]])</f>
        <v>11</v>
      </c>
      <c r="M394" s="642"/>
      <c r="N394" s="642" t="s">
        <v>120</v>
      </c>
      <c r="O394" s="1025">
        <v>44442</v>
      </c>
      <c r="P394" s="21" t="s">
        <v>739</v>
      </c>
      <c r="Q394" s="340" t="s">
        <v>115</v>
      </c>
      <c r="R394" s="1026" t="s">
        <v>115</v>
      </c>
      <c r="S394" s="538" t="s">
        <v>709</v>
      </c>
      <c r="T394" s="538" t="s">
        <v>709</v>
      </c>
      <c r="U394" s="28" t="s">
        <v>709</v>
      </c>
      <c r="V394" s="858"/>
      <c r="W394" s="437"/>
      <c r="X394" s="538"/>
      <c r="Y394" s="550"/>
      <c r="Z394" s="538"/>
      <c r="AA394" s="538">
        <f t="shared" si="7"/>
        <v>0</v>
      </c>
      <c r="AB394" s="21"/>
      <c r="AC394" s="569"/>
      <c r="AD394" s="1149"/>
      <c r="AE394" s="580"/>
      <c r="AF394" s="580"/>
      <c r="AG394" s="580"/>
      <c r="AH394" s="542"/>
      <c r="AI394" s="1028"/>
      <c r="AJ394" s="1029"/>
      <c r="AK394" s="1029"/>
      <c r="AL394" s="1030"/>
      <c r="AM394" s="542" t="s">
        <v>709</v>
      </c>
      <c r="AN394" s="924"/>
      <c r="AO394" s="925"/>
      <c r="AP394" s="926"/>
      <c r="AQ394" s="926"/>
      <c r="AR394" s="926"/>
      <c r="AS394" s="926"/>
      <c r="AT394" s="926"/>
      <c r="AU394" s="926"/>
      <c r="AV394" s="926"/>
      <c r="AW394" s="927"/>
      <c r="AX394" s="926"/>
      <c r="AY394" s="1538" t="s">
        <v>29</v>
      </c>
      <c r="AZ394" s="1530"/>
      <c r="BA394" s="1031" t="s">
        <v>3592</v>
      </c>
      <c r="BB394" s="644" t="s">
        <v>877</v>
      </c>
      <c r="BC394" s="544"/>
      <c r="BD394" s="544"/>
      <c r="BE394" s="544"/>
      <c r="BF394" s="544"/>
      <c r="BG394" s="544"/>
      <c r="BH394" s="741"/>
      <c r="BI394" s="547" t="s">
        <v>709</v>
      </c>
      <c r="BJ394" s="547" t="s">
        <v>709</v>
      </c>
      <c r="BK394" s="547" t="s">
        <v>709</v>
      </c>
      <c r="BL394" s="547" t="s">
        <v>116</v>
      </c>
      <c r="BM394" s="547" t="s">
        <v>709</v>
      </c>
      <c r="BN394" s="547" t="s">
        <v>709</v>
      </c>
      <c r="BO394" s="547" t="s">
        <v>709</v>
      </c>
      <c r="BP394" s="547" t="s">
        <v>709</v>
      </c>
      <c r="BQ394" s="547" t="s">
        <v>709</v>
      </c>
      <c r="BR394" s="547">
        <v>793</v>
      </c>
      <c r="BS394" s="547" t="s">
        <v>709</v>
      </c>
      <c r="BT394" s="547" t="s">
        <v>709</v>
      </c>
      <c r="BU394" s="547" t="s">
        <v>709</v>
      </c>
      <c r="BV394" s="547" t="s">
        <v>745</v>
      </c>
      <c r="BW394" s="547" t="s">
        <v>709</v>
      </c>
      <c r="BX394" s="547" t="s">
        <v>745</v>
      </c>
      <c r="BY394" s="547" t="s">
        <v>745</v>
      </c>
      <c r="BZ394" s="547" t="s">
        <v>709</v>
      </c>
      <c r="CA394" s="483"/>
      <c r="CB394" s="547">
        <v>390</v>
      </c>
      <c r="CC394" s="1481" t="b">
        <v>1</v>
      </c>
      <c r="CD394" t="str">
        <f>Table15[[#This Row],[Engineering Number]]&amp;Table15[[#This Row],[WO Number]]&amp;Table15[[#This Row],[Date Assigned to Designer]]&amp;Table15[[#This Row],[Date Completed]]</f>
        <v>N1467612105114441844438</v>
      </c>
    </row>
    <row r="395" spans="1:82" customFormat="1" ht="15" customHeight="1" x14ac:dyDescent="0.25">
      <c r="A395">
        <v>2021</v>
      </c>
      <c r="B395" s="8" t="s">
        <v>1205</v>
      </c>
      <c r="C395" s="8" t="s">
        <v>3604</v>
      </c>
      <c r="D395" s="8" t="s">
        <v>3605</v>
      </c>
      <c r="E395" s="8" t="s">
        <v>1650</v>
      </c>
      <c r="F395" s="8" t="s">
        <v>738</v>
      </c>
      <c r="G395" s="8" t="s">
        <v>39</v>
      </c>
      <c r="H395" s="8" t="s">
        <v>59</v>
      </c>
      <c r="I395" s="642">
        <v>44392</v>
      </c>
      <c r="J395" s="18">
        <v>44449</v>
      </c>
      <c r="K395" s="642">
        <v>44439</v>
      </c>
      <c r="L395" s="16">
        <f>IF(ISTEXT(Table15[[#This Row],[Engineering Approved Design Date]]),Table15[[#This Row],[Date Completed]]-Table15[[#This Row],[Date Assigned to Designer]],Table15[[#This Row],[Engineering Approved Design Date]]-Table15[[#This Row],[Date Completed]])</f>
        <v>10</v>
      </c>
      <c r="M395" s="642"/>
      <c r="N395" s="642" t="s">
        <v>120</v>
      </c>
      <c r="O395" s="1025">
        <v>44441</v>
      </c>
      <c r="P395" s="21" t="s">
        <v>739</v>
      </c>
      <c r="Q395" s="1151">
        <f>R395*AA395</f>
        <v>22087.1106</v>
      </c>
      <c r="R395" s="1026">
        <v>0.09</v>
      </c>
      <c r="S395" s="538" t="s">
        <v>709</v>
      </c>
      <c r="T395" s="538" t="s">
        <v>709</v>
      </c>
      <c r="U395" s="28" t="s">
        <v>709</v>
      </c>
      <c r="V395" s="858">
        <v>230</v>
      </c>
      <c r="W395" s="437"/>
      <c r="X395" s="538">
        <v>217690.72</v>
      </c>
      <c r="Y395" s="550"/>
      <c r="Z395" s="538">
        <v>27721.62</v>
      </c>
      <c r="AA395" s="538">
        <f t="shared" si="7"/>
        <v>245412.34</v>
      </c>
      <c r="AB395" s="341"/>
      <c r="AC395" s="568" t="s">
        <v>116</v>
      </c>
      <c r="AD395" s="1157"/>
      <c r="AE395" s="568"/>
      <c r="AF395" s="568"/>
      <c r="AG395" s="568"/>
      <c r="AH395" s="183"/>
      <c r="AI395" s="1036"/>
      <c r="AJ395" s="1037"/>
      <c r="AK395" s="1037"/>
      <c r="AL395" s="1038"/>
      <c r="AM395" s="1522" t="s">
        <v>116</v>
      </c>
      <c r="AN395" s="1523">
        <v>44469</v>
      </c>
      <c r="AO395" s="1524">
        <v>191207</v>
      </c>
      <c r="AP395" s="1525">
        <v>217690.72</v>
      </c>
      <c r="AQ395" s="1525"/>
      <c r="AR395" s="1525">
        <v>27491.29</v>
      </c>
      <c r="AS395" s="1525">
        <f>IF(Table15[[#This Row],[PCTS Approved]]="N",0,Table15[[#This Row],[Investment Amount (1'#'#'#'#'#)]]+Table15[[#This Row],[Retirement Amount (3'#'#'#'#'#)]])</f>
        <v>245182.01</v>
      </c>
      <c r="AT395" s="1525">
        <f>IF(Table15[[#This Row],[Approved Construction Cost]]=0,0,Table15[[#This Row],[Approved Construction Cost]]-Table15[[#This Row],[Construction Cost to Bill From]])</f>
        <v>-230.32999999998719</v>
      </c>
      <c r="AU395" s="1525">
        <f>Table15[[#This Row],[Difference in Construction Cost]]*Table15[[#This Row],[Rate]]</f>
        <v>-20.729699999998846</v>
      </c>
      <c r="AV395" s="1525" t="s">
        <v>709</v>
      </c>
      <c r="AW395" s="1526" t="s">
        <v>3606</v>
      </c>
      <c r="AX395" s="1525">
        <v>-20.729699999998846</v>
      </c>
      <c r="AY395" s="1518">
        <v>44501</v>
      </c>
      <c r="AZ395" s="333"/>
      <c r="BA395" s="1031" t="s">
        <v>3607</v>
      </c>
      <c r="BB395" s="644" t="s">
        <v>3608</v>
      </c>
      <c r="BC395" s="544" t="s">
        <v>709</v>
      </c>
      <c r="BD395" s="544" t="s">
        <v>709</v>
      </c>
      <c r="BE395" s="544" t="s">
        <v>3609</v>
      </c>
      <c r="BF395" s="544" t="s">
        <v>709</v>
      </c>
      <c r="BG395" s="544" t="s">
        <v>3067</v>
      </c>
      <c r="BH395" s="741"/>
      <c r="BI395" s="547" t="s">
        <v>709</v>
      </c>
      <c r="BJ395" s="547" t="s">
        <v>709</v>
      </c>
      <c r="BK395" s="547" t="s">
        <v>709</v>
      </c>
      <c r="BL395" s="547" t="s">
        <v>116</v>
      </c>
      <c r="BM395" s="547" t="s">
        <v>709</v>
      </c>
      <c r="BN395" s="547" t="s">
        <v>709</v>
      </c>
      <c r="BO395" s="547" t="s">
        <v>709</v>
      </c>
      <c r="BP395" s="547" t="s">
        <v>709</v>
      </c>
      <c r="BQ395" s="547" t="s">
        <v>709</v>
      </c>
      <c r="BR395" s="547">
        <v>230</v>
      </c>
      <c r="BS395" s="547" t="s">
        <v>709</v>
      </c>
      <c r="BT395" s="547" t="s">
        <v>745</v>
      </c>
      <c r="BU395" s="547" t="s">
        <v>709</v>
      </c>
      <c r="BV395" s="547" t="s">
        <v>745</v>
      </c>
      <c r="BW395" s="547" t="s">
        <v>709</v>
      </c>
      <c r="BX395" s="547" t="s">
        <v>745</v>
      </c>
      <c r="BY395" s="547" t="s">
        <v>745</v>
      </c>
      <c r="BZ395" s="547" t="s">
        <v>709</v>
      </c>
      <c r="CA395" s="483" t="s">
        <v>3610</v>
      </c>
      <c r="CB395" s="547">
        <v>393</v>
      </c>
      <c r="CC395" s="1481" t="b">
        <v>1</v>
      </c>
      <c r="CD395" t="str">
        <f>Table15[[#This Row],[Engineering Number]]&amp;Table15[[#This Row],[WO Number]]&amp;Table15[[#This Row],[Date Assigned to Designer]]&amp;Table15[[#This Row],[Date Completed]]</f>
        <v>MR175613104294439244439</v>
      </c>
    </row>
    <row r="396" spans="1:82" customFormat="1" ht="15" customHeight="1" x14ac:dyDescent="0.25">
      <c r="A396">
        <v>2022</v>
      </c>
      <c r="B396" s="8" t="s">
        <v>771</v>
      </c>
      <c r="C396" s="8" t="s">
        <v>3617</v>
      </c>
      <c r="D396" s="8" t="s">
        <v>3618</v>
      </c>
      <c r="E396" s="8" t="s">
        <v>183</v>
      </c>
      <c r="F396" s="8" t="s">
        <v>738</v>
      </c>
      <c r="G396" s="8" t="s">
        <v>23</v>
      </c>
      <c r="H396" s="8" t="s">
        <v>59</v>
      </c>
      <c r="I396" s="642">
        <v>44365</v>
      </c>
      <c r="J396" s="18">
        <v>44442</v>
      </c>
      <c r="K396" s="642">
        <v>44440</v>
      </c>
      <c r="L396" s="16">
        <f>IF(ISTEXT(Table15[[#This Row],[Engineering Approved Design Date]]),Table15[[#This Row],[Date Completed]]-Table15[[#This Row],[Date Assigned to Designer]],Table15[[#This Row],[Engineering Approved Design Date]]-Table15[[#This Row],[Date Completed]])</f>
        <v>2</v>
      </c>
      <c r="M396" s="642"/>
      <c r="N396" s="642" t="s">
        <v>120</v>
      </c>
      <c r="O396" s="1025">
        <v>44442</v>
      </c>
      <c r="P396" s="21" t="s">
        <v>120</v>
      </c>
      <c r="Q396" s="340">
        <f>1.55*Table15[[#This Row],[LF of Main]]</f>
        <v>18485.3</v>
      </c>
      <c r="R396" s="1026" t="s">
        <v>2087</v>
      </c>
      <c r="S396" s="538" t="s">
        <v>709</v>
      </c>
      <c r="T396" s="538" t="s">
        <v>709</v>
      </c>
      <c r="U396" s="28" t="s">
        <v>709</v>
      </c>
      <c r="V396" s="858">
        <v>11926</v>
      </c>
      <c r="W396" s="437"/>
      <c r="X396" s="538">
        <v>1928767.57</v>
      </c>
      <c r="Y396" s="550"/>
      <c r="Z396" s="538">
        <v>53799.59</v>
      </c>
      <c r="AA396" s="538">
        <f t="shared" si="7"/>
        <v>1982567.1600000001</v>
      </c>
      <c r="AB396" s="341"/>
      <c r="AC396" s="568" t="s">
        <v>709</v>
      </c>
      <c r="AD396" s="1157"/>
      <c r="AE396" s="568"/>
      <c r="AF396" s="568"/>
      <c r="AG396" s="568"/>
      <c r="AH396" s="183"/>
      <c r="AI396" s="1036"/>
      <c r="AJ396" s="1037"/>
      <c r="AK396" s="1037"/>
      <c r="AL396" s="1038"/>
      <c r="AM396" s="542" t="s">
        <v>709</v>
      </c>
      <c r="AN396" s="924"/>
      <c r="AO396" s="925"/>
      <c r="AP396" s="926"/>
      <c r="AQ396" s="926"/>
      <c r="AR396" s="926"/>
      <c r="AS396" s="926"/>
      <c r="AT396" s="926"/>
      <c r="AU396" s="926"/>
      <c r="AV396" s="926"/>
      <c r="AW396" s="927"/>
      <c r="AX396" s="926"/>
      <c r="AY396" s="1538" t="s">
        <v>29</v>
      </c>
      <c r="AZ396" s="1530"/>
      <c r="BA396" s="1031" t="s">
        <v>3619</v>
      </c>
      <c r="BB396" s="644" t="s">
        <v>3620</v>
      </c>
      <c r="BC396" s="544" t="s">
        <v>116</v>
      </c>
      <c r="BD396" s="544" t="s">
        <v>709</v>
      </c>
      <c r="BE396" s="544" t="s">
        <v>1314</v>
      </c>
      <c r="BF396" s="544" t="s">
        <v>3621</v>
      </c>
      <c r="BG396" s="544" t="s">
        <v>709</v>
      </c>
      <c r="BH396" s="741"/>
      <c r="BI396" s="547" t="s">
        <v>709</v>
      </c>
      <c r="BJ396" s="547" t="s">
        <v>709</v>
      </c>
      <c r="BK396" s="547" t="s">
        <v>709</v>
      </c>
      <c r="BL396" s="547" t="s">
        <v>116</v>
      </c>
      <c r="BM396" s="547" t="s">
        <v>709</v>
      </c>
      <c r="BN396" s="547" t="s">
        <v>709</v>
      </c>
      <c r="BO396" s="547" t="s">
        <v>709</v>
      </c>
      <c r="BP396" s="547">
        <v>1030</v>
      </c>
      <c r="BQ396" s="547">
        <v>1891</v>
      </c>
      <c r="BR396" s="547">
        <v>2615</v>
      </c>
      <c r="BS396" s="547">
        <v>6390</v>
      </c>
      <c r="BT396" s="547" t="s">
        <v>709</v>
      </c>
      <c r="BU396" s="547" t="s">
        <v>709</v>
      </c>
      <c r="BV396" s="547" t="s">
        <v>745</v>
      </c>
      <c r="BW396" s="547" t="s">
        <v>709</v>
      </c>
      <c r="BX396" s="547" t="s">
        <v>745</v>
      </c>
      <c r="BY396" s="547" t="s">
        <v>745</v>
      </c>
      <c r="BZ396" s="547" t="s">
        <v>709</v>
      </c>
      <c r="CA396" s="483"/>
      <c r="CB396" s="547">
        <v>395</v>
      </c>
      <c r="CC396" s="1481" t="b">
        <v>1</v>
      </c>
      <c r="CD396" t="str">
        <f>Table15[[#This Row],[Engineering Number]]&amp;Table15[[#This Row],[WO Number]]&amp;Table15[[#This Row],[Date Assigned to Designer]]&amp;Table15[[#This Row],[Date Completed]]</f>
        <v>VW7112103714436544440</v>
      </c>
    </row>
    <row r="397" spans="1:82" customFormat="1" ht="15" customHeight="1" x14ac:dyDescent="0.25">
      <c r="A397">
        <v>2021</v>
      </c>
      <c r="B397" s="8" t="s">
        <v>1205</v>
      </c>
      <c r="C397" s="8" t="s">
        <v>3612</v>
      </c>
      <c r="D397" s="8" t="s">
        <v>115</v>
      </c>
      <c r="E397" s="8" t="s">
        <v>3613</v>
      </c>
      <c r="F397" s="8" t="s">
        <v>919</v>
      </c>
      <c r="G397" s="8" t="s">
        <v>1882</v>
      </c>
      <c r="H397" s="8" t="s">
        <v>2127</v>
      </c>
      <c r="I397" s="642">
        <v>44438</v>
      </c>
      <c r="J397" s="18">
        <v>44459</v>
      </c>
      <c r="K397" s="642">
        <v>44440</v>
      </c>
      <c r="L397" s="16">
        <f>IF(ISTEXT(Table15[[#This Row],[Engineering Approved Design Date]]),Table15[[#This Row],[Date Completed]]-Table15[[#This Row],[Date Assigned to Designer]],Table15[[#This Row],[Engineering Approved Design Date]]-Table15[[#This Row],[Date Completed]])</f>
        <v>19</v>
      </c>
      <c r="M397" s="642" t="s">
        <v>3614</v>
      </c>
      <c r="N397" s="642" t="s">
        <v>120</v>
      </c>
      <c r="O397" s="1025">
        <v>44441</v>
      </c>
      <c r="P397" s="21" t="s">
        <v>739</v>
      </c>
      <c r="Q397" s="1151">
        <f>IF(Table15[[#This Row],[Shactee Effort]]="N",0,Table15[[#This Row],[Shactee Effort]])+IF(Table15[[#This Row],[3rd Party Effort]]="N",0,Table15[[#This Row],[3rd Party Effort]])+Table15[[#This Row],[KH Hourly Effort]]</f>
        <v>1515</v>
      </c>
      <c r="R397" s="1026" t="s">
        <v>1922</v>
      </c>
      <c r="S397" s="538" t="s">
        <v>709</v>
      </c>
      <c r="T397" s="538" t="s">
        <v>709</v>
      </c>
      <c r="U397" s="28">
        <v>1515</v>
      </c>
      <c r="V397" s="858"/>
      <c r="W397" s="437"/>
      <c r="X397" s="538"/>
      <c r="Y397" s="550"/>
      <c r="Z397" s="538"/>
      <c r="AA397" s="538">
        <f t="shared" si="7"/>
        <v>0</v>
      </c>
      <c r="AB397" s="21"/>
      <c r="AC397" s="569"/>
      <c r="AD397" s="1149"/>
      <c r="AE397" s="569"/>
      <c r="AF397" s="569"/>
      <c r="AG397" s="569"/>
      <c r="AH397" s="536"/>
      <c r="AI397" s="1028"/>
      <c r="AJ397" s="1029"/>
      <c r="AK397" s="1029"/>
      <c r="AL397" s="1030"/>
      <c r="AM397" s="542" t="s">
        <v>709</v>
      </c>
      <c r="AN397" s="924"/>
      <c r="AO397" s="925"/>
      <c r="AP397" s="926"/>
      <c r="AQ397" s="926"/>
      <c r="AR397" s="926"/>
      <c r="AS397" s="926"/>
      <c r="AT397" s="926"/>
      <c r="AU397" s="926"/>
      <c r="AV397" s="926"/>
      <c r="AW397" s="927"/>
      <c r="AX397" s="926"/>
      <c r="AY397" s="1538" t="s">
        <v>29</v>
      </c>
      <c r="AZ397" s="1530"/>
      <c r="BA397" s="1031" t="s">
        <v>3615</v>
      </c>
      <c r="BB397" s="644"/>
      <c r="BC397" s="544"/>
      <c r="BD397" s="544"/>
      <c r="BE397" s="544"/>
      <c r="BF397" s="544"/>
      <c r="BG397" s="544"/>
      <c r="BH397" s="741"/>
      <c r="BI397" s="547"/>
      <c r="BJ397" s="547"/>
      <c r="BK397" s="547"/>
      <c r="BL397" s="547"/>
      <c r="BM397" s="547"/>
      <c r="BN397" s="547"/>
      <c r="BO397" s="547"/>
      <c r="BP397" s="547"/>
      <c r="BQ397" s="547"/>
      <c r="BR397" s="547"/>
      <c r="BS397" s="547"/>
      <c r="BT397" s="547"/>
      <c r="BU397" s="547"/>
      <c r="BV397" s="547"/>
      <c r="BW397" s="547"/>
      <c r="BX397" s="547"/>
      <c r="BY397" s="547"/>
      <c r="BZ397" s="547" t="s">
        <v>709</v>
      </c>
      <c r="CA397" s="483" t="s">
        <v>915</v>
      </c>
      <c r="CB397" s="547">
        <v>394</v>
      </c>
      <c r="CC397" s="1481" t="b">
        <v>1</v>
      </c>
      <c r="CD397" t="str">
        <f>Table15[[#This Row],[Engineering Number]]&amp;Table15[[#This Row],[WO Number]]&amp;Table15[[#This Row],[Date Assigned to Designer]]&amp;Table15[[#This Row],[Date Completed]]</f>
        <v>MR1771-4443844440</v>
      </c>
    </row>
    <row r="398" spans="1:82" customFormat="1" ht="15" customHeight="1" x14ac:dyDescent="0.25">
      <c r="A398">
        <v>2021</v>
      </c>
      <c r="B398" s="8" t="s">
        <v>4</v>
      </c>
      <c r="C398" s="8" t="s">
        <v>3623</v>
      </c>
      <c r="D398" s="8" t="s">
        <v>3624</v>
      </c>
      <c r="E398" s="8" t="s">
        <v>1214</v>
      </c>
      <c r="F398" s="8" t="s">
        <v>919</v>
      </c>
      <c r="G398" s="8" t="s">
        <v>2814</v>
      </c>
      <c r="H398" s="8" t="s">
        <v>59</v>
      </c>
      <c r="I398" s="642">
        <v>44393</v>
      </c>
      <c r="J398" s="18">
        <v>44449</v>
      </c>
      <c r="K398" s="642">
        <v>44441</v>
      </c>
      <c r="L398" s="16">
        <f>IF(ISTEXT(Table15[[#This Row],[Engineering Approved Design Date]]),Table15[[#This Row],[Date Completed]]-Table15[[#This Row],[Date Assigned to Designer]],Table15[[#This Row],[Engineering Approved Design Date]]-Table15[[#This Row],[Date Completed]])</f>
        <v>8</v>
      </c>
      <c r="M398" s="642"/>
      <c r="N398" s="642" t="s">
        <v>120</v>
      </c>
      <c r="O398" s="1025">
        <f>Table15[[#This Row],[Date Completed]]</f>
        <v>44441</v>
      </c>
      <c r="P398" s="21" t="s">
        <v>739</v>
      </c>
      <c r="Q398" s="340">
        <f>R398*AA398</f>
        <v>45601.913</v>
      </c>
      <c r="R398" s="1026">
        <v>0.1</v>
      </c>
      <c r="S398" s="538" t="s">
        <v>709</v>
      </c>
      <c r="T398" s="538" t="s">
        <v>709</v>
      </c>
      <c r="U398" s="28" t="s">
        <v>709</v>
      </c>
      <c r="V398" s="858">
        <v>3389</v>
      </c>
      <c r="W398" s="437"/>
      <c r="X398" s="538">
        <v>409027.17</v>
      </c>
      <c r="Y398" s="550"/>
      <c r="Z398" s="538">
        <v>46991.96</v>
      </c>
      <c r="AA398" s="538">
        <f t="shared" si="7"/>
        <v>456019.13</v>
      </c>
      <c r="AB398" s="341"/>
      <c r="AC398" s="568" t="s">
        <v>709</v>
      </c>
      <c r="AD398" s="1157"/>
      <c r="AE398" s="579"/>
      <c r="AF398" s="579"/>
      <c r="AG398" s="579"/>
      <c r="AH398" s="553"/>
      <c r="AI398" s="1036"/>
      <c r="AJ398" s="1037"/>
      <c r="AK398" s="1037"/>
      <c r="AL398" s="1038"/>
      <c r="AM398" s="542" t="s">
        <v>116</v>
      </c>
      <c r="AN398" s="1508">
        <v>44468</v>
      </c>
      <c r="AO398" s="925">
        <v>191031</v>
      </c>
      <c r="AP398" s="926">
        <v>409027.17</v>
      </c>
      <c r="AQ398" s="926"/>
      <c r="AR398" s="926">
        <v>46991.96</v>
      </c>
      <c r="AS398" s="926">
        <f>IF(Table15[[#This Row],[PCTS Approved]]="N",0,Table15[[#This Row],[Investment Amount (1'#'#'#'#'#)]]+Table15[[#This Row],[Retirement Amount (3'#'#'#'#'#)]])</f>
        <v>456019.13</v>
      </c>
      <c r="AT398" s="926">
        <f>IF(Table15[[#This Row],[Approved Construction Cost]]=0,0,Table15[[#This Row],[Approved Construction Cost]]-Table15[[#This Row],[Construction Cost to Bill From]])</f>
        <v>0</v>
      </c>
      <c r="AU398" s="926">
        <f>Table15[[#This Row],[Difference in Construction Cost]]*Table15[[#This Row],[Rate]]</f>
        <v>0</v>
      </c>
      <c r="AV398" s="926" t="s">
        <v>709</v>
      </c>
      <c r="AW398" s="927"/>
      <c r="AX398" s="926"/>
      <c r="AY398" s="636" t="s">
        <v>1935</v>
      </c>
      <c r="AZ398" s="1531"/>
      <c r="BA398" s="1031" t="s">
        <v>3625</v>
      </c>
      <c r="BB398" s="644" t="s">
        <v>3507</v>
      </c>
      <c r="BC398" s="544" t="s">
        <v>709</v>
      </c>
      <c r="BD398" s="544" t="s">
        <v>709</v>
      </c>
      <c r="BE398" s="544" t="s">
        <v>1217</v>
      </c>
      <c r="BF398" s="544" t="s">
        <v>709</v>
      </c>
      <c r="BG398" s="544" t="s">
        <v>709</v>
      </c>
      <c r="BH398" s="741"/>
      <c r="BI398" s="547" t="s">
        <v>709</v>
      </c>
      <c r="BJ398" s="547" t="s">
        <v>709</v>
      </c>
      <c r="BK398" s="547" t="s">
        <v>709</v>
      </c>
      <c r="BL398" s="547" t="s">
        <v>116</v>
      </c>
      <c r="BM398" s="547" t="s">
        <v>709</v>
      </c>
      <c r="BN398" s="547" t="s">
        <v>709</v>
      </c>
      <c r="BO398" s="547" t="s">
        <v>709</v>
      </c>
      <c r="BP398" s="547" t="s">
        <v>709</v>
      </c>
      <c r="BQ398" s="547" t="s">
        <v>709</v>
      </c>
      <c r="BR398" s="547">
        <v>3287</v>
      </c>
      <c r="BS398" s="547">
        <v>102</v>
      </c>
      <c r="BT398" s="547" t="s">
        <v>745</v>
      </c>
      <c r="BU398" s="547" t="s">
        <v>709</v>
      </c>
      <c r="BV398" s="547" t="s">
        <v>745</v>
      </c>
      <c r="BW398" s="547" t="s">
        <v>709</v>
      </c>
      <c r="BX398" s="547" t="s">
        <v>745</v>
      </c>
      <c r="BY398" s="547" t="s">
        <v>745</v>
      </c>
      <c r="BZ398" s="547" t="s">
        <v>709</v>
      </c>
      <c r="CA398" s="483"/>
      <c r="CB398" s="547">
        <v>396</v>
      </c>
      <c r="CC398" s="1481" t="b">
        <v>1</v>
      </c>
      <c r="CD398" t="str">
        <f>Table15[[#This Row],[Engineering Number]]&amp;Table15[[#This Row],[WO Number]]&amp;Table15[[#This Row],[Date Assigned to Designer]]&amp;Table15[[#This Row],[Date Completed]]</f>
        <v>SC1552513104274439344441</v>
      </c>
    </row>
    <row r="399" spans="1:82" customFormat="1" ht="15" customHeight="1" x14ac:dyDescent="0.25">
      <c r="A399">
        <v>2021</v>
      </c>
      <c r="B399" s="8" t="s">
        <v>769</v>
      </c>
      <c r="C399" s="647" t="s">
        <v>3627</v>
      </c>
      <c r="D399" s="8" t="s">
        <v>3628</v>
      </c>
      <c r="E399" s="8" t="s">
        <v>426</v>
      </c>
      <c r="F399" s="8" t="s">
        <v>738</v>
      </c>
      <c r="G399" s="8" t="s">
        <v>40</v>
      </c>
      <c r="H399" s="8" t="s">
        <v>59</v>
      </c>
      <c r="I399" s="642">
        <v>44315</v>
      </c>
      <c r="J399" s="18">
        <v>44442</v>
      </c>
      <c r="K399" s="642">
        <v>44442</v>
      </c>
      <c r="L399" s="16">
        <f>IF(ISTEXT(Table15[[#This Row],[Engineering Approved Design Date]]),Table15[[#This Row],[Date Completed]]-Table15[[#This Row],[Date Assigned to Designer]],Table15[[#This Row],[Engineering Approved Design Date]]-Table15[[#This Row],[Date Completed]])</f>
        <v>0</v>
      </c>
      <c r="M399" s="642"/>
      <c r="N399" s="642" t="s">
        <v>120</v>
      </c>
      <c r="O399" s="1025">
        <f>Table15[[#This Row],[Date Completed]]</f>
        <v>44442</v>
      </c>
      <c r="P399" s="21" t="s">
        <v>120</v>
      </c>
      <c r="Q399" s="1151">
        <f>(Table15[[#This Row],[Construction Cost to Bill From]]*0.085)+7750</f>
        <v>36654.635900000001</v>
      </c>
      <c r="R399" s="1026" t="s">
        <v>1055</v>
      </c>
      <c r="S399" s="538" t="s">
        <v>709</v>
      </c>
      <c r="T399" s="538" t="s">
        <v>709</v>
      </c>
      <c r="U399" s="28" t="s">
        <v>709</v>
      </c>
      <c r="V399" s="858">
        <v>304</v>
      </c>
      <c r="W399" s="437"/>
      <c r="X399" s="538">
        <v>285112.5</v>
      </c>
      <c r="Y399" s="550"/>
      <c r="Z399" s="538">
        <v>54942.04</v>
      </c>
      <c r="AA399" s="538">
        <f t="shared" si="7"/>
        <v>340054.54</v>
      </c>
      <c r="AB399" s="341"/>
      <c r="AC399" s="568" t="s">
        <v>1056</v>
      </c>
      <c r="AD399" s="1157"/>
      <c r="AE399" s="579"/>
      <c r="AF399" s="579"/>
      <c r="AG399" s="579"/>
      <c r="AH399" s="553"/>
      <c r="AI399" s="1036"/>
      <c r="AJ399" s="1037"/>
      <c r="AK399" s="1037"/>
      <c r="AL399" s="1038"/>
      <c r="AM399" s="1522" t="s">
        <v>116</v>
      </c>
      <c r="AN399" s="1523">
        <v>44703</v>
      </c>
      <c r="AO399" s="1524">
        <v>11036736</v>
      </c>
      <c r="AP399" s="1525">
        <v>306571.58</v>
      </c>
      <c r="AQ399" s="1525"/>
      <c r="AR399" s="1525">
        <v>55331.7</v>
      </c>
      <c r="AS399" s="1525">
        <f>IF(Table15[[#This Row],[PCTS Approved]]="N",0,Table15[[#This Row],[Investment Amount (1'#'#'#'#'#)]]+Table15[[#This Row],[Retirement Amount (3'#'#'#'#'#)]])</f>
        <v>361903.28</v>
      </c>
      <c r="AT399" s="1525">
        <f>IF(Table15[[#This Row],[Approved Construction Cost]]=0,0,Table15[[#This Row],[Approved Construction Cost]]-Table15[[#This Row],[Construction Cost to Bill From]])</f>
        <v>21848.740000000049</v>
      </c>
      <c r="AU399" s="1525">
        <f>IFERROR(Table15[[#This Row],[Difference in Construction Cost]]*Table15[[#This Row],[Rate]],Table15[[#This Row],[Difference in Construction Cost]]*0.085)</f>
        <v>1857.1429000000044</v>
      </c>
      <c r="AV399" s="1525" t="s">
        <v>709</v>
      </c>
      <c r="AW399" s="1526" t="s">
        <v>3629</v>
      </c>
      <c r="AX399" s="1525">
        <f>Table15[[#This Row],[Reconcile Amount]]</f>
        <v>1857.1429000000044</v>
      </c>
      <c r="AY399" s="1518">
        <v>45008</v>
      </c>
      <c r="AZ399" s="333"/>
      <c r="BA399" s="1031" t="s">
        <v>3630</v>
      </c>
      <c r="BB399" s="644" t="s">
        <v>3631</v>
      </c>
      <c r="BC399" s="544" t="s">
        <v>116</v>
      </c>
      <c r="BD399" s="544" t="s">
        <v>709</v>
      </c>
      <c r="BE399" s="544" t="s">
        <v>1396</v>
      </c>
      <c r="BF399" s="544" t="s">
        <v>709</v>
      </c>
      <c r="BG399" s="544" t="s">
        <v>709</v>
      </c>
      <c r="BH399" s="741"/>
      <c r="BI399" s="547" t="s">
        <v>709</v>
      </c>
      <c r="BJ399" s="547" t="s">
        <v>709</v>
      </c>
      <c r="BK399" s="547" t="s">
        <v>116</v>
      </c>
      <c r="BL399" s="547" t="s">
        <v>116</v>
      </c>
      <c r="BM399" s="547" t="s">
        <v>709</v>
      </c>
      <c r="BN399" s="547" t="s">
        <v>709</v>
      </c>
      <c r="BO399" s="547" t="s">
        <v>709</v>
      </c>
      <c r="BP399" s="547">
        <v>101</v>
      </c>
      <c r="BQ399" s="547">
        <v>52</v>
      </c>
      <c r="BR399" s="547">
        <v>50</v>
      </c>
      <c r="BS399" s="547">
        <v>10</v>
      </c>
      <c r="BT399" s="547">
        <v>1</v>
      </c>
      <c r="BU399" s="547" t="s">
        <v>709</v>
      </c>
      <c r="BV399" s="547" t="s">
        <v>709</v>
      </c>
      <c r="BW399" s="547" t="s">
        <v>709</v>
      </c>
      <c r="BX399" s="547">
        <v>1</v>
      </c>
      <c r="BY399" s="547" t="s">
        <v>709</v>
      </c>
      <c r="BZ399" s="547" t="s">
        <v>709</v>
      </c>
      <c r="CA399" s="483" t="s">
        <v>769</v>
      </c>
      <c r="CB399" s="547">
        <v>397</v>
      </c>
      <c r="CC399" s="1481" t="b">
        <v>1</v>
      </c>
      <c r="CD399" t="str">
        <f>Table15[[#This Row],[Engineering Number]]&amp;Table15[[#This Row],[WO Number]]&amp;Table15[[#This Row],[Date Assigned to Designer]]&amp;Table15[[#This Row],[Date Completed]]</f>
        <v>RS8861021554431544442</v>
      </c>
    </row>
    <row r="400" spans="1:82" customFormat="1" ht="15" customHeight="1" x14ac:dyDescent="0.25">
      <c r="A400">
        <v>2022</v>
      </c>
      <c r="B400" s="8" t="s">
        <v>771</v>
      </c>
      <c r="C400" s="8" t="s">
        <v>3633</v>
      </c>
      <c r="D400" s="8" t="s">
        <v>3634</v>
      </c>
      <c r="E400" s="8" t="s">
        <v>3635</v>
      </c>
      <c r="F400" s="8" t="s">
        <v>738</v>
      </c>
      <c r="G400" s="8" t="s">
        <v>1882</v>
      </c>
      <c r="H400" s="8" t="s">
        <v>59</v>
      </c>
      <c r="I400" s="642">
        <v>44383</v>
      </c>
      <c r="J400" s="18">
        <v>44454</v>
      </c>
      <c r="K400" s="642">
        <v>44447</v>
      </c>
      <c r="L400" s="16">
        <f>IF(ISTEXT(Table15[[#This Row],[Engineering Approved Design Date]]),Table15[[#This Row],[Date Completed]]-Table15[[#This Row],[Date Assigned to Designer]],Table15[[#This Row],[Engineering Approved Design Date]]-Table15[[#This Row],[Date Completed]])</f>
        <v>7</v>
      </c>
      <c r="M400" s="642"/>
      <c r="N400" s="642" t="s">
        <v>120</v>
      </c>
      <c r="O400" s="1025">
        <f>Table15[[#This Row],[Date Completed]]</f>
        <v>44447</v>
      </c>
      <c r="P400" s="21" t="s">
        <v>120</v>
      </c>
      <c r="Q400" s="340">
        <f>1.55*Table15[[#This Row],[LF of Main]]</f>
        <v>10848.45</v>
      </c>
      <c r="R400" s="1026" t="s">
        <v>2087</v>
      </c>
      <c r="S400" s="538" t="s">
        <v>709</v>
      </c>
      <c r="T400" s="538" t="s">
        <v>709</v>
      </c>
      <c r="U400" s="28" t="s">
        <v>709</v>
      </c>
      <c r="V400" s="858">
        <v>6999</v>
      </c>
      <c r="W400" s="437"/>
      <c r="X400" s="538">
        <v>712254.77</v>
      </c>
      <c r="Y400" s="550"/>
      <c r="Z400" s="538">
        <v>35941.33</v>
      </c>
      <c r="AA400" s="538">
        <f t="shared" si="7"/>
        <v>748196.1</v>
      </c>
      <c r="AB400" s="341"/>
      <c r="AC400" s="568" t="s">
        <v>709</v>
      </c>
      <c r="AD400" s="1157"/>
      <c r="AE400" s="568"/>
      <c r="AF400" s="568"/>
      <c r="AG400" s="568"/>
      <c r="AH400" s="183"/>
      <c r="AI400" s="1036"/>
      <c r="AJ400" s="1037"/>
      <c r="AK400" s="1037"/>
      <c r="AL400" s="1038"/>
      <c r="AM400" s="542" t="s">
        <v>709</v>
      </c>
      <c r="AN400" s="924"/>
      <c r="AO400" s="925"/>
      <c r="AP400" s="926"/>
      <c r="AQ400" s="926"/>
      <c r="AR400" s="926"/>
      <c r="AS400" s="926"/>
      <c r="AT400" s="926"/>
      <c r="AU400" s="926"/>
      <c r="AV400" s="926"/>
      <c r="AW400" s="927"/>
      <c r="AX400" s="926"/>
      <c r="AY400" s="1538" t="s">
        <v>29</v>
      </c>
      <c r="AZ400" s="1530"/>
      <c r="BA400" s="1031" t="s">
        <v>3636</v>
      </c>
      <c r="BB400" s="644" t="s">
        <v>3637</v>
      </c>
      <c r="BC400" s="544" t="s">
        <v>116</v>
      </c>
      <c r="BD400" s="544" t="s">
        <v>709</v>
      </c>
      <c r="BE400" s="544" t="s">
        <v>3638</v>
      </c>
      <c r="BF400" s="544" t="s">
        <v>3639</v>
      </c>
      <c r="BG400" s="544" t="s">
        <v>709</v>
      </c>
      <c r="BH400" s="741"/>
      <c r="BI400" s="547" t="s">
        <v>709</v>
      </c>
      <c r="BJ400" s="547" t="s">
        <v>709</v>
      </c>
      <c r="BK400" s="547" t="s">
        <v>709</v>
      </c>
      <c r="BL400" s="547" t="s">
        <v>116</v>
      </c>
      <c r="BM400" s="547" t="s">
        <v>709</v>
      </c>
      <c r="BN400" s="547" t="s">
        <v>709</v>
      </c>
      <c r="BO400" s="547" t="s">
        <v>709</v>
      </c>
      <c r="BP400" s="547" t="s">
        <v>709</v>
      </c>
      <c r="BQ400" s="547" t="s">
        <v>709</v>
      </c>
      <c r="BR400" s="547" t="s">
        <v>709</v>
      </c>
      <c r="BS400" s="547">
        <v>6999</v>
      </c>
      <c r="BT400" s="547" t="s">
        <v>745</v>
      </c>
      <c r="BU400" s="547" t="s">
        <v>709</v>
      </c>
      <c r="BV400" s="547" t="s">
        <v>745</v>
      </c>
      <c r="BW400" s="547" t="s">
        <v>709</v>
      </c>
      <c r="BX400" s="547" t="s">
        <v>745</v>
      </c>
      <c r="BY400" s="547" t="s">
        <v>745</v>
      </c>
      <c r="BZ400" s="547" t="s">
        <v>709</v>
      </c>
      <c r="CA400" s="483"/>
      <c r="CB400" s="547">
        <v>398</v>
      </c>
      <c r="CC400" s="1481" t="b">
        <v>1</v>
      </c>
      <c r="CD400" t="str">
        <f>Table15[[#This Row],[Engineering Number]]&amp;Table15[[#This Row],[WO Number]]&amp;Table15[[#This Row],[Date Assigned to Designer]]&amp;Table15[[#This Row],[Date Completed]]</f>
        <v>BS47013103914438344447</v>
      </c>
    </row>
    <row r="401" spans="1:82" customFormat="1" ht="15" customHeight="1" x14ac:dyDescent="0.25">
      <c r="A401">
        <v>2022</v>
      </c>
      <c r="B401" s="8" t="s">
        <v>771</v>
      </c>
      <c r="C401" s="8" t="s">
        <v>3641</v>
      </c>
      <c r="D401" s="8" t="s">
        <v>3642</v>
      </c>
      <c r="E401" s="8" t="s">
        <v>3643</v>
      </c>
      <c r="F401" s="8" t="s">
        <v>919</v>
      </c>
      <c r="G401" s="8" t="s">
        <v>36</v>
      </c>
      <c r="H401" s="8" t="s">
        <v>59</v>
      </c>
      <c r="I401" s="642">
        <v>44383</v>
      </c>
      <c r="J401" s="18">
        <v>44454</v>
      </c>
      <c r="K401" s="642">
        <v>44447</v>
      </c>
      <c r="L401" s="16">
        <f>IF(ISTEXT(Table15[[#This Row],[Engineering Approved Design Date]]),Table15[[#This Row],[Date Completed]]-Table15[[#This Row],[Date Assigned to Designer]],Table15[[#This Row],[Engineering Approved Design Date]]-Table15[[#This Row],[Date Completed]])</f>
        <v>7</v>
      </c>
      <c r="M401" s="642"/>
      <c r="N401" s="642" t="s">
        <v>120</v>
      </c>
      <c r="O401" s="1025">
        <f>Table15[[#This Row],[Date Completed]]</f>
        <v>44447</v>
      </c>
      <c r="P401" s="21" t="s">
        <v>120</v>
      </c>
      <c r="Q401" s="340">
        <f>1.55*Table15[[#This Row],[LF of Main]]</f>
        <v>11910.2</v>
      </c>
      <c r="R401" s="1026" t="s">
        <v>2087</v>
      </c>
      <c r="S401" s="538" t="s">
        <v>709</v>
      </c>
      <c r="T401" s="538" t="s">
        <v>709</v>
      </c>
      <c r="U401" s="28" t="s">
        <v>709</v>
      </c>
      <c r="V401" s="858">
        <v>7684</v>
      </c>
      <c r="W401" s="437"/>
      <c r="X401" s="538">
        <v>1076705.24</v>
      </c>
      <c r="Y401" s="550"/>
      <c r="Z401" s="538">
        <v>30092.18</v>
      </c>
      <c r="AA401" s="538">
        <f t="shared" si="7"/>
        <v>1106797.42</v>
      </c>
      <c r="AB401" s="341"/>
      <c r="AC401" s="568" t="s">
        <v>709</v>
      </c>
      <c r="AD401" s="1157"/>
      <c r="AE401" s="568"/>
      <c r="AF401" s="568"/>
      <c r="AG401" s="568"/>
      <c r="AH401" s="183"/>
      <c r="AI401" s="1036"/>
      <c r="AJ401" s="1037"/>
      <c r="AK401" s="1037"/>
      <c r="AL401" s="1038"/>
      <c r="AM401" s="542" t="s">
        <v>709</v>
      </c>
      <c r="AN401" s="924"/>
      <c r="AO401" s="925"/>
      <c r="AP401" s="926"/>
      <c r="AQ401" s="926"/>
      <c r="AR401" s="926"/>
      <c r="AS401" s="926"/>
      <c r="AT401" s="926"/>
      <c r="AU401" s="926"/>
      <c r="AV401" s="926"/>
      <c r="AW401" s="927"/>
      <c r="AX401" s="926"/>
      <c r="AY401" s="1538" t="s">
        <v>29</v>
      </c>
      <c r="AZ401" s="1530"/>
      <c r="BA401" s="1031" t="s">
        <v>3644</v>
      </c>
      <c r="BB401" s="644" t="s">
        <v>3645</v>
      </c>
      <c r="BC401" s="544" t="s">
        <v>116</v>
      </c>
      <c r="BD401" s="544" t="s">
        <v>709</v>
      </c>
      <c r="BE401" s="544" t="s">
        <v>3646</v>
      </c>
      <c r="BF401" s="544" t="s">
        <v>709</v>
      </c>
      <c r="BG401" s="544" t="s">
        <v>1496</v>
      </c>
      <c r="BH401" s="741"/>
      <c r="BI401" s="547" t="s">
        <v>709</v>
      </c>
      <c r="BJ401" s="547" t="s">
        <v>709</v>
      </c>
      <c r="BK401" s="547" t="s">
        <v>709</v>
      </c>
      <c r="BL401" s="547" t="s">
        <v>116</v>
      </c>
      <c r="BM401" s="547" t="s">
        <v>709</v>
      </c>
      <c r="BN401" s="547" t="s">
        <v>709</v>
      </c>
      <c r="BO401" s="547" t="s">
        <v>709</v>
      </c>
      <c r="BP401" s="547" t="s">
        <v>709</v>
      </c>
      <c r="BQ401" s="547">
        <v>26</v>
      </c>
      <c r="BR401" s="547">
        <v>1820</v>
      </c>
      <c r="BS401" s="547">
        <v>5838</v>
      </c>
      <c r="BT401" s="547" t="s">
        <v>745</v>
      </c>
      <c r="BU401" s="547" t="s">
        <v>709</v>
      </c>
      <c r="BV401" s="547" t="s">
        <v>745</v>
      </c>
      <c r="BW401" s="547" t="s">
        <v>709</v>
      </c>
      <c r="BX401" s="547" t="s">
        <v>745</v>
      </c>
      <c r="BY401" s="547" t="s">
        <v>745</v>
      </c>
      <c r="BZ401" s="547" t="s">
        <v>709</v>
      </c>
      <c r="CA401" s="483"/>
      <c r="CB401" s="547">
        <v>399</v>
      </c>
      <c r="CC401" s="1481" t="b">
        <v>1</v>
      </c>
      <c r="CD401" t="str">
        <f>Table15[[#This Row],[Engineering Number]]&amp;Table15[[#This Row],[WO Number]]&amp;Table15[[#This Row],[Date Assigned to Designer]]&amp;Table15[[#This Row],[Date Completed]]</f>
        <v>VW123-112104794438344447</v>
      </c>
    </row>
    <row r="402" spans="1:82" customFormat="1" ht="15" customHeight="1" x14ac:dyDescent="0.25">
      <c r="A402">
        <v>2021</v>
      </c>
      <c r="B402" s="8" t="s">
        <v>4</v>
      </c>
      <c r="C402" s="8" t="s">
        <v>2948</v>
      </c>
      <c r="D402" s="8" t="s">
        <v>2949</v>
      </c>
      <c r="E402" s="8" t="s">
        <v>2786</v>
      </c>
      <c r="F402" s="8" t="s">
        <v>919</v>
      </c>
      <c r="G402" s="8" t="s">
        <v>40</v>
      </c>
      <c r="H402" s="8" t="s">
        <v>2611</v>
      </c>
      <c r="I402" s="642">
        <v>44090</v>
      </c>
      <c r="J402" s="18" t="s">
        <v>2612</v>
      </c>
      <c r="K402" s="642">
        <v>44448</v>
      </c>
      <c r="L402" s="16">
        <f>IF(ISTEXT(Table15[[#This Row],[Engineering Approved Design Date]]),Table15[[#This Row],[Date Completed]]-Table15[[#This Row],[Date Assigned to Designer]],Table15[[#This Row],[Engineering Approved Design Date]]-Table15[[#This Row],[Date Completed]])</f>
        <v>358</v>
      </c>
      <c r="M402" s="642" t="s">
        <v>3652</v>
      </c>
      <c r="N402" s="642" t="s">
        <v>120</v>
      </c>
      <c r="O402" s="1025">
        <f>Table15[[#This Row],[Date Completed]]</f>
        <v>44448</v>
      </c>
      <c r="P402" s="21" t="s">
        <v>739</v>
      </c>
      <c r="Q402" s="340">
        <f>Table15[[#This Row],[KH Hourly Effort]]</f>
        <v>522.5</v>
      </c>
      <c r="R402" s="1026" t="s">
        <v>1922</v>
      </c>
      <c r="S402" s="538" t="s">
        <v>709</v>
      </c>
      <c r="T402" s="538" t="s">
        <v>709</v>
      </c>
      <c r="U402" s="28">
        <v>522.5</v>
      </c>
      <c r="V402" s="857">
        <v>7313</v>
      </c>
      <c r="W402" s="440"/>
      <c r="X402" s="551">
        <v>3055025.4</v>
      </c>
      <c r="Y402" s="551"/>
      <c r="Z402" s="551">
        <v>51682.62</v>
      </c>
      <c r="AA402" s="551">
        <f t="shared" si="7"/>
        <v>3106708.02</v>
      </c>
      <c r="AB402" s="341"/>
      <c r="AC402" s="568"/>
      <c r="AD402" s="1157"/>
      <c r="AE402" s="579"/>
      <c r="AF402" s="579"/>
      <c r="AG402" s="579"/>
      <c r="AH402" s="553"/>
      <c r="AI402" s="1036"/>
      <c r="AJ402" s="1037"/>
      <c r="AK402" s="1037"/>
      <c r="AL402" s="1038"/>
      <c r="AM402" s="542" t="s">
        <v>709</v>
      </c>
      <c r="AN402" s="924"/>
      <c r="AO402" s="925"/>
      <c r="AP402" s="926"/>
      <c r="AQ402" s="926"/>
      <c r="AR402" s="926"/>
      <c r="AS402" s="926"/>
      <c r="AT402" s="926"/>
      <c r="AU402" s="926"/>
      <c r="AV402" s="926"/>
      <c r="AW402" s="927"/>
      <c r="AX402" s="926"/>
      <c r="AY402" s="1538" t="s">
        <v>29</v>
      </c>
      <c r="AZ402" s="1530"/>
      <c r="BA402" s="1031" t="s">
        <v>2952</v>
      </c>
      <c r="BB402" s="644" t="s">
        <v>2953</v>
      </c>
      <c r="BC402" s="544" t="s">
        <v>116</v>
      </c>
      <c r="BD402" s="544" t="s">
        <v>709</v>
      </c>
      <c r="BE402" s="544" t="s">
        <v>2954</v>
      </c>
      <c r="BF402" s="544" t="s">
        <v>709</v>
      </c>
      <c r="BG402" s="544" t="s">
        <v>709</v>
      </c>
      <c r="BH402" s="741"/>
      <c r="BI402" s="547" t="s">
        <v>709</v>
      </c>
      <c r="BJ402" s="547" t="s">
        <v>709</v>
      </c>
      <c r="BK402" s="547" t="s">
        <v>709</v>
      </c>
      <c r="BL402" s="547" t="s">
        <v>116</v>
      </c>
      <c r="BM402" s="547" t="s">
        <v>709</v>
      </c>
      <c r="BN402" s="547" t="s">
        <v>709</v>
      </c>
      <c r="BO402" s="547" t="s">
        <v>709</v>
      </c>
      <c r="BP402" s="547">
        <v>435</v>
      </c>
      <c r="BQ402" s="547">
        <v>1885</v>
      </c>
      <c r="BR402" s="547">
        <v>3372</v>
      </c>
      <c r="BS402" s="547">
        <v>1853</v>
      </c>
      <c r="BT402" s="547">
        <v>1</v>
      </c>
      <c r="BU402" s="547" t="s">
        <v>709</v>
      </c>
      <c r="BV402" s="547">
        <v>2</v>
      </c>
      <c r="BW402" s="547" t="s">
        <v>709</v>
      </c>
      <c r="BX402" s="547" t="s">
        <v>709</v>
      </c>
      <c r="BY402" s="547" t="s">
        <v>709</v>
      </c>
      <c r="BZ402" s="547" t="s">
        <v>709</v>
      </c>
      <c r="CA402" s="483"/>
      <c r="CB402" s="547">
        <v>400</v>
      </c>
      <c r="CC402" s="1481" t="b">
        <v>1</v>
      </c>
      <c r="CD402" t="str">
        <f>Table15[[#This Row],[Engineering Number]]&amp;Table15[[#This Row],[WO Number]]&amp;Table15[[#This Row],[Date Assigned to Designer]]&amp;Table15[[#This Row],[Date Completed]]</f>
        <v>M116121205364409044448</v>
      </c>
    </row>
    <row r="403" spans="1:82" customFormat="1" ht="15" customHeight="1" x14ac:dyDescent="0.25">
      <c r="A403">
        <v>2020</v>
      </c>
      <c r="B403" s="8" t="s">
        <v>1205</v>
      </c>
      <c r="C403" s="8" t="s">
        <v>60</v>
      </c>
      <c r="D403" s="656" t="s">
        <v>2410</v>
      </c>
      <c r="E403" s="8" t="s">
        <v>61</v>
      </c>
      <c r="F403" s="8" t="s">
        <v>325</v>
      </c>
      <c r="G403" s="8" t="s">
        <v>36</v>
      </c>
      <c r="H403" s="8" t="s">
        <v>2051</v>
      </c>
      <c r="I403" s="642">
        <v>43755</v>
      </c>
      <c r="J403" s="18" t="s">
        <v>2052</v>
      </c>
      <c r="K403" s="642">
        <v>44448</v>
      </c>
      <c r="L403" s="16">
        <f>IF(ISTEXT(Table15[[#This Row],[Engineering Approved Design Date]]),Table15[[#This Row],[Date Completed]]-Table15[[#This Row],[Date Assigned to Designer]],Table15[[#This Row],[Engineering Approved Design Date]]-Table15[[#This Row],[Date Completed]])</f>
        <v>693</v>
      </c>
      <c r="M403" s="642" t="s">
        <v>3648</v>
      </c>
      <c r="N403" s="642" t="s">
        <v>120</v>
      </c>
      <c r="O403" s="1025">
        <f>Table15[[#This Row],[Date Completed]]</f>
        <v>44448</v>
      </c>
      <c r="P403" s="21" t="s">
        <v>739</v>
      </c>
      <c r="Q403" s="340">
        <f>Table15[[#This Row],[KH Hourly Effort]]</f>
        <v>1605</v>
      </c>
      <c r="R403" s="1026" t="s">
        <v>1922</v>
      </c>
      <c r="S403" s="538" t="s">
        <v>709</v>
      </c>
      <c r="T403" s="538" t="s">
        <v>709</v>
      </c>
      <c r="U403" s="28">
        <v>1605</v>
      </c>
      <c r="V403" s="858">
        <f>223+464</f>
        <v>687</v>
      </c>
      <c r="W403" s="437"/>
      <c r="X403" s="538">
        <v>329230.81</v>
      </c>
      <c r="Y403" s="551">
        <v>10675.98</v>
      </c>
      <c r="Z403" s="538">
        <v>10142.81</v>
      </c>
      <c r="AA403" s="538">
        <f t="shared" si="7"/>
        <v>339373.62</v>
      </c>
      <c r="AB403" s="21"/>
      <c r="AC403" s="569"/>
      <c r="AD403" s="1149"/>
      <c r="AE403" s="569"/>
      <c r="AF403" s="569"/>
      <c r="AG403" s="569"/>
      <c r="AH403" s="536"/>
      <c r="AI403" s="1028"/>
      <c r="AJ403" s="1029"/>
      <c r="AK403" s="1029"/>
      <c r="AL403" s="1030"/>
      <c r="AM403" s="542" t="s">
        <v>709</v>
      </c>
      <c r="AN403" s="924"/>
      <c r="AO403" s="925"/>
      <c r="AP403" s="926"/>
      <c r="AQ403" s="926"/>
      <c r="AR403" s="926"/>
      <c r="AS403" s="926"/>
      <c r="AT403" s="926"/>
      <c r="AU403" s="926"/>
      <c r="AV403" s="926"/>
      <c r="AW403" s="927"/>
      <c r="AX403" s="926"/>
      <c r="AY403" s="1538" t="s">
        <v>29</v>
      </c>
      <c r="AZ403" s="1532"/>
      <c r="BA403" s="1031">
        <v>2</v>
      </c>
      <c r="BB403" s="644"/>
      <c r="BC403" s="544"/>
      <c r="BD403" s="544"/>
      <c r="BE403" s="544"/>
      <c r="BF403" s="544"/>
      <c r="BG403" s="544"/>
      <c r="BH403" s="741"/>
      <c r="BI403" s="547" t="s">
        <v>709</v>
      </c>
      <c r="BJ403" s="547" t="s">
        <v>709</v>
      </c>
      <c r="BK403" s="547" t="s">
        <v>709</v>
      </c>
      <c r="BL403" s="547" t="s">
        <v>116</v>
      </c>
      <c r="BM403" s="547" t="s">
        <v>709</v>
      </c>
      <c r="BN403" s="547" t="s">
        <v>709</v>
      </c>
      <c r="BO403" s="547" t="s">
        <v>709</v>
      </c>
      <c r="BP403" s="547" t="s">
        <v>709</v>
      </c>
      <c r="BQ403" s="547">
        <v>464</v>
      </c>
      <c r="BR403" s="547" t="s">
        <v>709</v>
      </c>
      <c r="BS403" s="547">
        <v>223</v>
      </c>
      <c r="BT403" s="547" t="s">
        <v>745</v>
      </c>
      <c r="BU403" s="547" t="s">
        <v>709</v>
      </c>
      <c r="BV403" s="547" t="s">
        <v>745</v>
      </c>
      <c r="BW403" s="547" t="s">
        <v>709</v>
      </c>
      <c r="BX403" s="547" t="s">
        <v>745</v>
      </c>
      <c r="BY403" s="547" t="s">
        <v>745</v>
      </c>
      <c r="BZ403" s="547" t="s">
        <v>709</v>
      </c>
      <c r="CA403" s="483"/>
      <c r="CB403" s="547">
        <v>401</v>
      </c>
      <c r="CC403" s="1481" t="b">
        <v>1</v>
      </c>
      <c r="CD403" t="str">
        <f>Table15[[#This Row],[Engineering Number]]&amp;Table15[[#This Row],[WO Number]]&amp;Table15[[#This Row],[Date Assigned to Designer]]&amp;Table15[[#This Row],[Date Completed]]</f>
        <v>MR12641291534375544448</v>
      </c>
    </row>
    <row r="404" spans="1:82" customFormat="1" ht="15" customHeight="1" x14ac:dyDescent="0.25">
      <c r="A404">
        <v>2020</v>
      </c>
      <c r="B404" s="8" t="s">
        <v>1205</v>
      </c>
      <c r="C404" s="8" t="s">
        <v>2605</v>
      </c>
      <c r="D404" s="8" t="s">
        <v>2606</v>
      </c>
      <c r="E404" s="8" t="s">
        <v>2607</v>
      </c>
      <c r="F404" s="8" t="s">
        <v>919</v>
      </c>
      <c r="G404" s="8" t="s">
        <v>36</v>
      </c>
      <c r="H404" s="8" t="s">
        <v>2051</v>
      </c>
      <c r="I404" s="642">
        <v>43963</v>
      </c>
      <c r="J404" s="18" t="s">
        <v>2052</v>
      </c>
      <c r="K404" s="642">
        <v>44448</v>
      </c>
      <c r="L404" s="16">
        <f>IF(ISTEXT(Table15[[#This Row],[Engineering Approved Design Date]]),Table15[[#This Row],[Date Completed]]-Table15[[#This Row],[Date Assigned to Designer]],Table15[[#This Row],[Engineering Approved Design Date]]-Table15[[#This Row],[Date Completed]])</f>
        <v>485</v>
      </c>
      <c r="M404" s="642" t="s">
        <v>3650</v>
      </c>
      <c r="N404" s="642" t="s">
        <v>120</v>
      </c>
      <c r="O404" s="1025">
        <f>Table15[[#This Row],[Date Completed]]</f>
        <v>44448</v>
      </c>
      <c r="P404" s="21" t="s">
        <v>739</v>
      </c>
      <c r="Q404" s="340">
        <f>Table15[[#This Row],[KH Hourly Effort]]</f>
        <v>1450</v>
      </c>
      <c r="R404" s="1026" t="s">
        <v>1922</v>
      </c>
      <c r="S404" s="538" t="s">
        <v>709</v>
      </c>
      <c r="T404" s="538" t="s">
        <v>709</v>
      </c>
      <c r="U404" s="28">
        <v>1450</v>
      </c>
      <c r="V404" s="857">
        <v>0</v>
      </c>
      <c r="W404" s="440"/>
      <c r="X404" s="551">
        <v>0</v>
      </c>
      <c r="Y404" s="551">
        <v>0</v>
      </c>
      <c r="Z404" s="551">
        <v>29376.99</v>
      </c>
      <c r="AA404" s="538">
        <f t="shared" si="7"/>
        <v>29376.99</v>
      </c>
      <c r="AB404" s="21"/>
      <c r="AC404" s="569"/>
      <c r="AD404" s="1149"/>
      <c r="AE404" s="569"/>
      <c r="AF404" s="569"/>
      <c r="AG404" s="569"/>
      <c r="AH404" s="536"/>
      <c r="AI404" s="1028"/>
      <c r="AJ404" s="1029"/>
      <c r="AK404" s="1029"/>
      <c r="AL404" s="1030"/>
      <c r="AM404" s="542" t="s">
        <v>709</v>
      </c>
      <c r="AN404" s="924"/>
      <c r="AO404" s="925"/>
      <c r="AP404" s="926"/>
      <c r="AQ404" s="926"/>
      <c r="AR404" s="926"/>
      <c r="AS404" s="926"/>
      <c r="AT404" s="926"/>
      <c r="AU404" s="926"/>
      <c r="AV404" s="926"/>
      <c r="AW404" s="927"/>
      <c r="AX404" s="926"/>
      <c r="AY404" s="1538" t="s">
        <v>29</v>
      </c>
      <c r="AZ404" s="1532"/>
      <c r="BA404" s="1031">
        <v>3</v>
      </c>
      <c r="BB404" s="644"/>
      <c r="BC404" s="544"/>
      <c r="BD404" s="544"/>
      <c r="BE404" s="544"/>
      <c r="BF404" s="544"/>
      <c r="BG404" s="544"/>
      <c r="BH404" s="741"/>
      <c r="BI404" s="547"/>
      <c r="BJ404" s="547"/>
      <c r="BK404" s="547"/>
      <c r="BL404" s="547"/>
      <c r="BM404" s="547"/>
      <c r="BN404" s="547"/>
      <c r="BO404" s="547"/>
      <c r="BP404" s="547"/>
      <c r="BQ404" s="547"/>
      <c r="BR404" s="547"/>
      <c r="BS404" s="547"/>
      <c r="BT404" s="547"/>
      <c r="BU404" s="547"/>
      <c r="BV404" s="547"/>
      <c r="BW404" s="547"/>
      <c r="BX404" s="547"/>
      <c r="BY404" s="547"/>
      <c r="BZ404" s="547" t="s">
        <v>709</v>
      </c>
      <c r="CA404" s="483" t="s">
        <v>1146</v>
      </c>
      <c r="CB404" s="547">
        <v>402</v>
      </c>
      <c r="CC404" s="1481" t="b">
        <v>1</v>
      </c>
      <c r="CD404" t="str">
        <f>Table15[[#This Row],[Engineering Number]]&amp;Table15[[#This Row],[WO Number]]&amp;Table15[[#This Row],[Date Assigned to Designer]]&amp;Table15[[#This Row],[Date Completed]]</f>
        <v>MR14183204814396344448</v>
      </c>
    </row>
    <row r="405" spans="1:82" customFormat="1" ht="15" customHeight="1" x14ac:dyDescent="0.25">
      <c r="A405">
        <v>2021</v>
      </c>
      <c r="B405" s="8" t="s">
        <v>1073</v>
      </c>
      <c r="C405" s="8" t="s">
        <v>3371</v>
      </c>
      <c r="D405" s="8" t="s">
        <v>3372</v>
      </c>
      <c r="E405" s="8" t="s">
        <v>263</v>
      </c>
      <c r="F405" s="8" t="s">
        <v>919</v>
      </c>
      <c r="G405" s="8" t="s">
        <v>1882</v>
      </c>
      <c r="H405" s="8" t="s">
        <v>2611</v>
      </c>
      <c r="I405" s="642">
        <v>44315</v>
      </c>
      <c r="J405" s="18" t="s">
        <v>2612</v>
      </c>
      <c r="K405" s="642">
        <v>44449</v>
      </c>
      <c r="L405" s="16">
        <f>IF(ISTEXT(Table15[[#This Row],[Engineering Approved Design Date]]),Table15[[#This Row],[Date Completed]]-Table15[[#This Row],[Date Assigned to Designer]],Table15[[#This Row],[Engineering Approved Design Date]]-Table15[[#This Row],[Date Completed]])</f>
        <v>134</v>
      </c>
      <c r="M405" s="642" t="s">
        <v>3652</v>
      </c>
      <c r="N405" s="642" t="s">
        <v>120</v>
      </c>
      <c r="O405" s="1025">
        <f>Table15[[#This Row],[Date Completed]]</f>
        <v>44449</v>
      </c>
      <c r="P405" s="21" t="s">
        <v>739</v>
      </c>
      <c r="Q405" s="340">
        <f>Table15[[#This Row],[KH Hourly Effort]]</f>
        <v>4710</v>
      </c>
      <c r="R405" s="1026" t="s">
        <v>1922</v>
      </c>
      <c r="S405" s="538" t="s">
        <v>709</v>
      </c>
      <c r="T405" s="538" t="s">
        <v>709</v>
      </c>
      <c r="U405" s="28">
        <f>1270+3440</f>
        <v>4710</v>
      </c>
      <c r="V405" s="857">
        <v>1271</v>
      </c>
      <c r="W405" s="440"/>
      <c r="X405" s="551">
        <v>246543.21</v>
      </c>
      <c r="Y405" s="550"/>
      <c r="Z405" s="551">
        <v>0</v>
      </c>
      <c r="AA405" s="551">
        <f t="shared" si="7"/>
        <v>246543.21</v>
      </c>
      <c r="AB405" s="341"/>
      <c r="AC405" s="568"/>
      <c r="AD405" s="1157"/>
      <c r="AE405" s="568" t="s">
        <v>29</v>
      </c>
      <c r="AF405" s="568" t="s">
        <v>29</v>
      </c>
      <c r="AG405" s="568" t="s">
        <v>29</v>
      </c>
      <c r="AH405" s="183" t="s">
        <v>29</v>
      </c>
      <c r="AI405" s="1036"/>
      <c r="AJ405" s="1037"/>
      <c r="AK405" s="1037"/>
      <c r="AL405" s="1038"/>
      <c r="AM405" s="542" t="s">
        <v>709</v>
      </c>
      <c r="AN405" s="924"/>
      <c r="AO405" s="925"/>
      <c r="AP405" s="926"/>
      <c r="AQ405" s="926"/>
      <c r="AR405" s="926"/>
      <c r="AS405" s="926"/>
      <c r="AT405" s="926"/>
      <c r="AU405" s="926"/>
      <c r="AV405" s="926"/>
      <c r="AW405" s="927"/>
      <c r="AX405" s="926"/>
      <c r="AY405" s="1538" t="s">
        <v>29</v>
      </c>
      <c r="AZ405" s="1530"/>
      <c r="BA405" s="1031" t="s">
        <v>3374</v>
      </c>
      <c r="BB405" s="644" t="s">
        <v>3375</v>
      </c>
      <c r="BC405" s="544" t="s">
        <v>709</v>
      </c>
      <c r="BD405" s="544" t="s">
        <v>709</v>
      </c>
      <c r="BE405" s="544" t="s">
        <v>709</v>
      </c>
      <c r="BF405" s="544" t="s">
        <v>709</v>
      </c>
      <c r="BG405" s="544" t="s">
        <v>709</v>
      </c>
      <c r="BH405" s="741"/>
      <c r="BI405" s="547" t="s">
        <v>709</v>
      </c>
      <c r="BJ405" s="547" t="s">
        <v>709</v>
      </c>
      <c r="BK405" s="547" t="s">
        <v>116</v>
      </c>
      <c r="BL405" s="547" t="s">
        <v>116</v>
      </c>
      <c r="BM405" s="547" t="s">
        <v>709</v>
      </c>
      <c r="BN405" s="547" t="s">
        <v>709</v>
      </c>
      <c r="BO405" s="547" t="s">
        <v>709</v>
      </c>
      <c r="BP405" s="547" t="s">
        <v>709</v>
      </c>
      <c r="BQ405" s="547" t="s">
        <v>709</v>
      </c>
      <c r="BR405" s="547" t="s">
        <v>116</v>
      </c>
      <c r="BS405" s="547" t="s">
        <v>116</v>
      </c>
      <c r="BT405" s="547" t="s">
        <v>745</v>
      </c>
      <c r="BU405" s="547" t="s">
        <v>116</v>
      </c>
      <c r="BV405" s="547" t="s">
        <v>745</v>
      </c>
      <c r="BW405" s="547" t="s">
        <v>709</v>
      </c>
      <c r="BX405" s="547" t="s">
        <v>116</v>
      </c>
      <c r="BY405" s="547" t="s">
        <v>116</v>
      </c>
      <c r="BZ405" s="547" t="s">
        <v>709</v>
      </c>
      <c r="CA405" s="483"/>
      <c r="CB405" s="547">
        <v>403</v>
      </c>
      <c r="CC405" s="1481" t="b">
        <v>1</v>
      </c>
      <c r="CD405" t="str">
        <f>Table15[[#This Row],[Engineering Number]]&amp;Table15[[#This Row],[WO Number]]&amp;Table15[[#This Row],[Date Assigned to Designer]]&amp;Table15[[#This Row],[Date Completed]]</f>
        <v>NBA19784491507524431544449</v>
      </c>
    </row>
    <row r="406" spans="1:82" customFormat="1" ht="15" customHeight="1" x14ac:dyDescent="0.25">
      <c r="A406">
        <v>2022</v>
      </c>
      <c r="B406" s="8" t="s">
        <v>771</v>
      </c>
      <c r="C406" s="8" t="s">
        <v>3655</v>
      </c>
      <c r="D406" s="8" t="s">
        <v>3656</v>
      </c>
      <c r="E406" s="8" t="s">
        <v>3643</v>
      </c>
      <c r="F406" s="8" t="s">
        <v>919</v>
      </c>
      <c r="G406" s="8" t="s">
        <v>36</v>
      </c>
      <c r="H406" s="8" t="s">
        <v>59</v>
      </c>
      <c r="I406" s="642">
        <v>44383</v>
      </c>
      <c r="J406" s="18">
        <v>44454</v>
      </c>
      <c r="K406" s="642">
        <v>44454</v>
      </c>
      <c r="L406" s="16">
        <f>IF(ISTEXT(Table15[[#This Row],[Engineering Approved Design Date]]),Table15[[#This Row],[Date Completed]]-Table15[[#This Row],[Date Assigned to Designer]],Table15[[#This Row],[Engineering Approved Design Date]]-Table15[[#This Row],[Date Completed]])</f>
        <v>0</v>
      </c>
      <c r="M406" s="642"/>
      <c r="N406" s="642" t="s">
        <v>120</v>
      </c>
      <c r="O406" s="1025">
        <f>Table15[[#This Row],[Date Completed]]</f>
        <v>44454</v>
      </c>
      <c r="P406" s="21" t="s">
        <v>120</v>
      </c>
      <c r="Q406" s="340">
        <f>1.55*Table15[[#This Row],[LF of Main]]</f>
        <v>8870.65</v>
      </c>
      <c r="R406" s="1026" t="s">
        <v>2087</v>
      </c>
      <c r="S406" s="538" t="s">
        <v>709</v>
      </c>
      <c r="T406" s="538" t="s">
        <v>709</v>
      </c>
      <c r="U406" s="28" t="s">
        <v>709</v>
      </c>
      <c r="V406" s="858">
        <v>5723</v>
      </c>
      <c r="W406" s="437"/>
      <c r="X406" s="538">
        <v>915271.6</v>
      </c>
      <c r="Y406" s="550"/>
      <c r="Z406" s="538">
        <v>27408.080000000002</v>
      </c>
      <c r="AA406" s="538">
        <f t="shared" si="7"/>
        <v>942679.67999999993</v>
      </c>
      <c r="AB406" s="341"/>
      <c r="AC406" s="568" t="s">
        <v>709</v>
      </c>
      <c r="AD406" s="1157"/>
      <c r="AE406" s="568"/>
      <c r="AF406" s="568"/>
      <c r="AG406" s="568"/>
      <c r="AH406" s="183"/>
      <c r="AI406" s="1036"/>
      <c r="AJ406" s="1037"/>
      <c r="AK406" s="1037"/>
      <c r="AL406" s="1038"/>
      <c r="AM406" s="542" t="s">
        <v>709</v>
      </c>
      <c r="AN406" s="924"/>
      <c r="AO406" s="925"/>
      <c r="AP406" s="926"/>
      <c r="AQ406" s="926"/>
      <c r="AR406" s="926"/>
      <c r="AS406" s="926"/>
      <c r="AT406" s="926"/>
      <c r="AU406" s="926"/>
      <c r="AV406" s="926"/>
      <c r="AW406" s="927"/>
      <c r="AX406" s="926"/>
      <c r="AY406" s="1538" t="s">
        <v>29</v>
      </c>
      <c r="AZ406" s="1530"/>
      <c r="BA406" s="1031" t="s">
        <v>3657</v>
      </c>
      <c r="BB406" s="644" t="s">
        <v>3658</v>
      </c>
      <c r="BC406" s="544" t="s">
        <v>709</v>
      </c>
      <c r="BD406" s="544" t="s">
        <v>3659</v>
      </c>
      <c r="BE406" s="544" t="s">
        <v>3646</v>
      </c>
      <c r="BF406" s="544" t="s">
        <v>709</v>
      </c>
      <c r="BG406" s="544" t="s">
        <v>709</v>
      </c>
      <c r="BH406" s="741"/>
      <c r="BI406" s="547" t="s">
        <v>709</v>
      </c>
      <c r="BJ406" s="547" t="s">
        <v>709</v>
      </c>
      <c r="BK406" s="547" t="s">
        <v>709</v>
      </c>
      <c r="BL406" s="547" t="s">
        <v>116</v>
      </c>
      <c r="BM406" s="547" t="s">
        <v>709</v>
      </c>
      <c r="BN406" s="547" t="s">
        <v>709</v>
      </c>
      <c r="BO406" s="547" t="s">
        <v>709</v>
      </c>
      <c r="BP406" s="547" t="s">
        <v>709</v>
      </c>
      <c r="BQ406" s="547" t="s">
        <v>709</v>
      </c>
      <c r="BR406" s="547">
        <v>1904</v>
      </c>
      <c r="BS406" s="547">
        <v>3819</v>
      </c>
      <c r="BT406" s="547" t="s">
        <v>745</v>
      </c>
      <c r="BU406" s="547" t="s">
        <v>709</v>
      </c>
      <c r="BV406" s="547" t="s">
        <v>745</v>
      </c>
      <c r="BW406" s="547" t="s">
        <v>709</v>
      </c>
      <c r="BX406" s="547" t="s">
        <v>745</v>
      </c>
      <c r="BY406" s="547" t="s">
        <v>745</v>
      </c>
      <c r="BZ406" s="547" t="s">
        <v>709</v>
      </c>
      <c r="CA406" s="483"/>
      <c r="CB406" s="547">
        <v>404</v>
      </c>
      <c r="CC406" s="1481" t="b">
        <v>1</v>
      </c>
      <c r="CD406" t="str">
        <f>Table15[[#This Row],[Engineering Number]]&amp;Table15[[#This Row],[WO Number]]&amp;Table15[[#This Row],[Date Assigned to Designer]]&amp;Table15[[#This Row],[Date Completed]]</f>
        <v>VW12312103904438344454</v>
      </c>
    </row>
    <row r="407" spans="1:82" customFormat="1" ht="15" customHeight="1" x14ac:dyDescent="0.25">
      <c r="A407">
        <v>2022</v>
      </c>
      <c r="B407" s="8" t="s">
        <v>771</v>
      </c>
      <c r="C407" s="8" t="s">
        <v>3655</v>
      </c>
      <c r="D407" s="8" t="s">
        <v>3656</v>
      </c>
      <c r="E407" s="8" t="s">
        <v>3643</v>
      </c>
      <c r="F407" s="8" t="s">
        <v>919</v>
      </c>
      <c r="G407" s="8" t="s">
        <v>36</v>
      </c>
      <c r="H407" s="8" t="s">
        <v>3661</v>
      </c>
      <c r="I407" s="642">
        <v>44383</v>
      </c>
      <c r="J407" s="18" t="s">
        <v>3662</v>
      </c>
      <c r="K407" s="642">
        <v>44454</v>
      </c>
      <c r="L407" s="16">
        <f>IF(ISTEXT(Table15[[#This Row],[Engineering Approved Design Date]]),Table15[[#This Row],[Date Completed]]-Table15[[#This Row],[Date Assigned to Designer]],Table15[[#This Row],[Engineering Approved Design Date]]-Table15[[#This Row],[Date Completed]])</f>
        <v>71</v>
      </c>
      <c r="M407" s="642" t="s">
        <v>3663</v>
      </c>
      <c r="N407" s="642" t="s">
        <v>120</v>
      </c>
      <c r="O407" s="1025">
        <v>44554</v>
      </c>
      <c r="P407" s="21" t="s">
        <v>120</v>
      </c>
      <c r="Q407" s="1151">
        <f>U407</f>
        <v>4437.5</v>
      </c>
      <c r="R407" s="1026" t="s">
        <v>1922</v>
      </c>
      <c r="S407" s="538" t="s">
        <v>709</v>
      </c>
      <c r="T407" s="538" t="s">
        <v>709</v>
      </c>
      <c r="U407" s="87">
        <v>4437.5</v>
      </c>
      <c r="V407" s="1184"/>
      <c r="W407" s="1186"/>
      <c r="X407" s="538"/>
      <c r="Y407" s="550"/>
      <c r="Z407" s="538"/>
      <c r="AA407" s="538"/>
      <c r="AB407" s="341" t="s">
        <v>29</v>
      </c>
      <c r="AC407" s="569" t="s">
        <v>29</v>
      </c>
      <c r="AD407" s="1149" t="s">
        <v>29</v>
      </c>
      <c r="AE407" s="569"/>
      <c r="AF407" s="569"/>
      <c r="AG407" s="569"/>
      <c r="AH407" s="536"/>
      <c r="AI407" s="1028"/>
      <c r="AJ407" s="1029"/>
      <c r="AK407" s="1029"/>
      <c r="AL407" s="1030"/>
      <c r="AM407" s="542" t="s">
        <v>709</v>
      </c>
      <c r="AN407" s="924"/>
      <c r="AO407" s="925"/>
      <c r="AP407" s="926"/>
      <c r="AQ407" s="926"/>
      <c r="AR407" s="926"/>
      <c r="AS407" s="926"/>
      <c r="AT407" s="926"/>
      <c r="AU407" s="926"/>
      <c r="AV407" s="926"/>
      <c r="AW407" s="927"/>
      <c r="AX407" s="926"/>
      <c r="AY407" s="1538" t="s">
        <v>29</v>
      </c>
      <c r="AZ407" s="1530"/>
      <c r="BA407" s="1031"/>
      <c r="BB407" s="644"/>
      <c r="BC407" s="544" t="s">
        <v>709</v>
      </c>
      <c r="BD407" s="544" t="s">
        <v>3659</v>
      </c>
      <c r="BE407" s="544" t="s">
        <v>3646</v>
      </c>
      <c r="BF407" s="544" t="s">
        <v>709</v>
      </c>
      <c r="BG407" s="544" t="s">
        <v>709</v>
      </c>
      <c r="BH407" s="741"/>
      <c r="BI407" s="547" t="s">
        <v>709</v>
      </c>
      <c r="BJ407" s="547" t="s">
        <v>709</v>
      </c>
      <c r="BK407" s="547" t="s">
        <v>709</v>
      </c>
      <c r="BL407" s="547" t="s">
        <v>116</v>
      </c>
      <c r="BM407" s="547" t="s">
        <v>709</v>
      </c>
      <c r="BN407" s="547" t="s">
        <v>709</v>
      </c>
      <c r="BO407" s="547" t="s">
        <v>709</v>
      </c>
      <c r="BP407" s="547" t="s">
        <v>709</v>
      </c>
      <c r="BQ407" s="547" t="s">
        <v>709</v>
      </c>
      <c r="BR407" s="547">
        <v>1904</v>
      </c>
      <c r="BS407" s="547">
        <v>3819</v>
      </c>
      <c r="BT407" s="547" t="s">
        <v>745</v>
      </c>
      <c r="BU407" s="547" t="s">
        <v>709</v>
      </c>
      <c r="BV407" s="547" t="s">
        <v>745</v>
      </c>
      <c r="BW407" s="547" t="s">
        <v>709</v>
      </c>
      <c r="BX407" s="547" t="s">
        <v>745</v>
      </c>
      <c r="BY407" s="547" t="s">
        <v>745</v>
      </c>
      <c r="BZ407" s="547" t="s">
        <v>709</v>
      </c>
      <c r="CA407" s="483"/>
      <c r="CB407" s="547">
        <v>405</v>
      </c>
      <c r="CC407" s="1481" t="b">
        <v>1</v>
      </c>
      <c r="CD407" t="str">
        <f>Table15[[#This Row],[Engineering Number]]&amp;Table15[[#This Row],[WO Number]]&amp;Table15[[#This Row],[Date Assigned to Designer]]&amp;Table15[[#This Row],[Date Completed]]</f>
        <v>VW12312103904438344454</v>
      </c>
    </row>
    <row r="408" spans="1:82" customFormat="1" ht="15" customHeight="1" x14ac:dyDescent="0.25">
      <c r="A408">
        <v>2021</v>
      </c>
      <c r="B408" s="8" t="s">
        <v>4</v>
      </c>
      <c r="C408" s="8" t="s">
        <v>3110</v>
      </c>
      <c r="D408" s="8">
        <v>135693</v>
      </c>
      <c r="E408" s="8" t="s">
        <v>1004</v>
      </c>
      <c r="F408" s="8" t="s">
        <v>919</v>
      </c>
      <c r="G408" s="8" t="s">
        <v>1882</v>
      </c>
      <c r="H408" s="8" t="s">
        <v>2051</v>
      </c>
      <c r="I408" s="642">
        <v>44362</v>
      </c>
      <c r="J408" s="18" t="s">
        <v>2052</v>
      </c>
      <c r="K408" s="642">
        <v>44455</v>
      </c>
      <c r="L408" s="16">
        <f>IF(ISTEXT(Table15[[#This Row],[Engineering Approved Design Date]]),Table15[[#This Row],[Date Completed]]-Table15[[#This Row],[Date Assigned to Designer]],Table15[[#This Row],[Engineering Approved Design Date]]-Table15[[#This Row],[Date Completed]])</f>
        <v>93</v>
      </c>
      <c r="M408" s="642" t="s">
        <v>3664</v>
      </c>
      <c r="N408" s="642" t="s">
        <v>120</v>
      </c>
      <c r="O408" s="1025">
        <f>Table15[[#This Row],[Date Completed]]</f>
        <v>44455</v>
      </c>
      <c r="P408" s="21" t="s">
        <v>120</v>
      </c>
      <c r="Q408" s="340">
        <f>Table15[[#This Row],[KH Hourly Effort]]</f>
        <v>2957.5</v>
      </c>
      <c r="R408" s="1026" t="s">
        <v>1922</v>
      </c>
      <c r="S408" s="538" t="s">
        <v>709</v>
      </c>
      <c r="T408" s="538" t="s">
        <v>709</v>
      </c>
      <c r="U408" s="28">
        <v>2957.5</v>
      </c>
      <c r="V408" s="858"/>
      <c r="W408" s="437"/>
      <c r="X408" s="538"/>
      <c r="Y408" s="550"/>
      <c r="Z408" s="538"/>
      <c r="AA408" s="538"/>
      <c r="AB408" s="21"/>
      <c r="AC408" s="569"/>
      <c r="AD408" s="1149"/>
      <c r="AE408" s="580"/>
      <c r="AF408" s="580"/>
      <c r="AG408" s="580"/>
      <c r="AH408" s="542"/>
      <c r="AI408" s="1028"/>
      <c r="AJ408" s="1029"/>
      <c r="AK408" s="1029"/>
      <c r="AL408" s="1030"/>
      <c r="AM408" s="542" t="s">
        <v>709</v>
      </c>
      <c r="AN408" s="924"/>
      <c r="AO408" s="925"/>
      <c r="AP408" s="926"/>
      <c r="AQ408" s="926"/>
      <c r="AR408" s="926"/>
      <c r="AS408" s="926"/>
      <c r="AT408" s="926"/>
      <c r="AU408" s="926"/>
      <c r="AV408" s="926"/>
      <c r="AW408" s="927"/>
      <c r="AX408" s="926"/>
      <c r="AY408" s="1538" t="s">
        <v>29</v>
      </c>
      <c r="AZ408" s="1530"/>
      <c r="BA408" s="1031">
        <v>1</v>
      </c>
      <c r="BB408" s="644"/>
      <c r="BC408" s="544"/>
      <c r="BD408" s="544"/>
      <c r="BE408" s="544"/>
      <c r="BF408" s="544"/>
      <c r="BG408" s="544"/>
      <c r="BH408" s="741"/>
      <c r="BI408" s="547" t="s">
        <v>709</v>
      </c>
      <c r="BJ408" s="547" t="s">
        <v>709</v>
      </c>
      <c r="BK408" s="547" t="s">
        <v>116</v>
      </c>
      <c r="BL408" s="547" t="s">
        <v>709</v>
      </c>
      <c r="BM408" s="547" t="s">
        <v>709</v>
      </c>
      <c r="BN408" s="547">
        <v>4207</v>
      </c>
      <c r="BO408" s="547" t="s">
        <v>709</v>
      </c>
      <c r="BP408" s="547" t="s">
        <v>709</v>
      </c>
      <c r="BQ408" s="547" t="s">
        <v>709</v>
      </c>
      <c r="BR408" s="547">
        <v>20</v>
      </c>
      <c r="BS408" s="547">
        <v>126</v>
      </c>
      <c r="BT408" s="547" t="s">
        <v>709</v>
      </c>
      <c r="BU408" s="547" t="s">
        <v>709</v>
      </c>
      <c r="BV408" s="547" t="s">
        <v>745</v>
      </c>
      <c r="BW408" s="547" t="s">
        <v>709</v>
      </c>
      <c r="BX408" s="547">
        <v>1</v>
      </c>
      <c r="BY408" s="547" t="s">
        <v>745</v>
      </c>
      <c r="BZ408" s="547" t="s">
        <v>709</v>
      </c>
      <c r="CA408" s="483"/>
      <c r="CB408" s="547">
        <v>406</v>
      </c>
      <c r="CC408" s="1481" t="b">
        <v>1</v>
      </c>
      <c r="CD408" t="str">
        <f>Table15[[#This Row],[Engineering Number]]&amp;Table15[[#This Row],[WO Number]]&amp;Table15[[#This Row],[Date Assigned to Designer]]&amp;Table15[[#This Row],[Date Completed]]</f>
        <v>SC17434-11356934436244455</v>
      </c>
    </row>
    <row r="409" spans="1:82" customFormat="1" ht="15" customHeight="1" x14ac:dyDescent="0.25">
      <c r="A409">
        <v>2021</v>
      </c>
      <c r="B409" s="8" t="s">
        <v>2989</v>
      </c>
      <c r="C409" s="8" t="s">
        <v>3666</v>
      </c>
      <c r="D409" s="8" t="s">
        <v>3667</v>
      </c>
      <c r="E409" s="8" t="s">
        <v>361</v>
      </c>
      <c r="F409" s="8" t="s">
        <v>752</v>
      </c>
      <c r="G409" s="8" t="s">
        <v>36</v>
      </c>
      <c r="H409" s="8" t="s">
        <v>59</v>
      </c>
      <c r="I409" s="642">
        <v>44399</v>
      </c>
      <c r="J409" s="18">
        <v>44463</v>
      </c>
      <c r="K409" s="642">
        <v>44456</v>
      </c>
      <c r="L409" s="16">
        <f>IF(ISTEXT(Table15[[#This Row],[Engineering Approved Design Date]]),Table15[[#This Row],[Date Completed]]-Table15[[#This Row],[Date Assigned to Designer]],Table15[[#This Row],[Engineering Approved Design Date]]-Table15[[#This Row],[Date Completed]])</f>
        <v>7</v>
      </c>
      <c r="M409" s="642"/>
      <c r="N409" s="642" t="s">
        <v>120</v>
      </c>
      <c r="O409" s="1025">
        <f>Table15[[#This Row],[Date Completed]]</f>
        <v>44456</v>
      </c>
      <c r="P409" s="21" t="s">
        <v>739</v>
      </c>
      <c r="Q409" s="340">
        <f>R409*AA409</f>
        <v>8240.3577000000005</v>
      </c>
      <c r="R409" s="1026">
        <v>0.09</v>
      </c>
      <c r="S409" s="538" t="s">
        <v>709</v>
      </c>
      <c r="T409" s="538" t="s">
        <v>709</v>
      </c>
      <c r="U409" s="28" t="s">
        <v>709</v>
      </c>
      <c r="V409" s="858">
        <v>220</v>
      </c>
      <c r="W409" s="437"/>
      <c r="X409" s="538"/>
      <c r="Y409" s="550"/>
      <c r="Z409" s="538">
        <v>91559.53</v>
      </c>
      <c r="AA409" s="538">
        <f>X409+Z409</f>
        <v>91559.53</v>
      </c>
      <c r="AB409" s="341"/>
      <c r="AC409" s="568" t="s">
        <v>709</v>
      </c>
      <c r="AD409" s="1157"/>
      <c r="AE409" s="579"/>
      <c r="AF409" s="579"/>
      <c r="AG409" s="579"/>
      <c r="AH409" s="553"/>
      <c r="AI409" s="1036"/>
      <c r="AJ409" s="1037"/>
      <c r="AK409" s="1037"/>
      <c r="AL409" s="1038"/>
      <c r="AM409" s="542" t="s">
        <v>116</v>
      </c>
      <c r="AN409" s="1508">
        <v>44585</v>
      </c>
      <c r="AO409" s="925">
        <v>11039445</v>
      </c>
      <c r="AP409" s="926">
        <v>0</v>
      </c>
      <c r="AQ409" s="926"/>
      <c r="AR409" s="926">
        <v>91559.53</v>
      </c>
      <c r="AS409" s="926">
        <f>IF(Table15[[#This Row],[PCTS Approved]]="N",0,Table15[[#This Row],[Investment Amount (1'#'#'#'#'#)]]+Table15[[#This Row],[Retirement Amount (3'#'#'#'#'#)]])</f>
        <v>91559.53</v>
      </c>
      <c r="AT409" s="926">
        <f>IF(Table15[[#This Row],[Approved Construction Cost]]=0,0,Table15[[#This Row],[Approved Construction Cost]]-Table15[[#This Row],[Construction Cost to Bill From]])</f>
        <v>0</v>
      </c>
      <c r="AU409" s="926">
        <f>IFERROR(Table15[[#This Row],[Difference in Construction Cost]]*Table15[[#This Row],[Rate]],Table15[[#This Row],[Difference in Construction Cost]]*0.085)</f>
        <v>0</v>
      </c>
      <c r="AV409" s="926" t="s">
        <v>709</v>
      </c>
      <c r="AW409" s="927"/>
      <c r="AX409" s="926"/>
      <c r="AY409" s="636" t="s">
        <v>1935</v>
      </c>
      <c r="AZ409" s="1533"/>
      <c r="BA409" s="859" t="s">
        <v>3668</v>
      </c>
      <c r="BB409" s="644" t="s">
        <v>3669</v>
      </c>
      <c r="BC409" s="544" t="s">
        <v>709</v>
      </c>
      <c r="BD409" s="544" t="s">
        <v>1066</v>
      </c>
      <c r="BE409" s="544" t="s">
        <v>1415</v>
      </c>
      <c r="BF409" s="544"/>
      <c r="BG409" s="544" t="s">
        <v>709</v>
      </c>
      <c r="BH409" s="741"/>
      <c r="BI409" s="547" t="s">
        <v>709</v>
      </c>
      <c r="BJ409" s="547" t="s">
        <v>709</v>
      </c>
      <c r="BK409" s="547" t="s">
        <v>709</v>
      </c>
      <c r="BL409" s="547" t="s">
        <v>709</v>
      </c>
      <c r="BM409" s="547" t="s">
        <v>709</v>
      </c>
      <c r="BN409" s="547" t="s">
        <v>709</v>
      </c>
      <c r="BO409" s="547" t="s">
        <v>709</v>
      </c>
      <c r="BP409" s="547" t="s">
        <v>709</v>
      </c>
      <c r="BQ409" s="547" t="s">
        <v>709</v>
      </c>
      <c r="BR409" s="547" t="s">
        <v>709</v>
      </c>
      <c r="BS409" s="547" t="s">
        <v>709</v>
      </c>
      <c r="BT409" s="547" t="s">
        <v>709</v>
      </c>
      <c r="BU409" s="547" t="s">
        <v>709</v>
      </c>
      <c r="BV409" s="547">
        <v>2</v>
      </c>
      <c r="BW409" s="547" t="s">
        <v>709</v>
      </c>
      <c r="BX409" s="547" t="s">
        <v>709</v>
      </c>
      <c r="BY409" s="547" t="s">
        <v>709</v>
      </c>
      <c r="BZ409" s="547" t="s">
        <v>709</v>
      </c>
      <c r="CA409" s="483" t="s">
        <v>2</v>
      </c>
      <c r="CB409" s="547">
        <v>407</v>
      </c>
      <c r="CC409" s="1481" t="b">
        <v>1</v>
      </c>
      <c r="CD409" t="str">
        <f>Table15[[#This Row],[Engineering Number]]&amp;Table15[[#This Row],[WO Number]]&amp;Table15[[#This Row],[Date Assigned to Designer]]&amp;Table15[[#This Row],[Date Completed]]</f>
        <v>MR176332104664439944456</v>
      </c>
    </row>
    <row r="410" spans="1:82" customFormat="1" ht="15" customHeight="1" x14ac:dyDescent="0.25">
      <c r="A410">
        <v>2021</v>
      </c>
      <c r="B410" s="8" t="s">
        <v>1073</v>
      </c>
      <c r="C410" s="8" t="s">
        <v>3671</v>
      </c>
      <c r="D410" s="8" t="s">
        <v>3672</v>
      </c>
      <c r="E410" s="8" t="s">
        <v>3673</v>
      </c>
      <c r="F410" s="8" t="s">
        <v>919</v>
      </c>
      <c r="G410" s="8" t="s">
        <v>347</v>
      </c>
      <c r="H410" s="8" t="s">
        <v>59</v>
      </c>
      <c r="I410" s="642">
        <v>44408</v>
      </c>
      <c r="J410" s="18">
        <v>44469</v>
      </c>
      <c r="K410" s="642">
        <v>44456</v>
      </c>
      <c r="L410" s="16">
        <f>IF(ISTEXT(Table15[[#This Row],[Engineering Approved Design Date]]),Table15[[#This Row],[Date Completed]]-Table15[[#This Row],[Date Assigned to Designer]],Table15[[#This Row],[Engineering Approved Design Date]]-Table15[[#This Row],[Date Completed]])</f>
        <v>13</v>
      </c>
      <c r="M410" s="642"/>
      <c r="N410" s="642" t="s">
        <v>120</v>
      </c>
      <c r="O410" s="1025">
        <f>Table15[[#This Row],[Date Completed]]</f>
        <v>44456</v>
      </c>
      <c r="P410" s="21" t="s">
        <v>739</v>
      </c>
      <c r="Q410" s="340">
        <f>R410*AA410</f>
        <v>8740.7523000000001</v>
      </c>
      <c r="R410" s="1026">
        <v>7.0000000000000007E-2</v>
      </c>
      <c r="S410" s="538" t="s">
        <v>709</v>
      </c>
      <c r="T410" s="538" t="s">
        <v>709</v>
      </c>
      <c r="U410" s="28" t="s">
        <v>709</v>
      </c>
      <c r="V410" s="858">
        <v>1474</v>
      </c>
      <c r="W410" s="437"/>
      <c r="X410" s="538">
        <v>124867.89</v>
      </c>
      <c r="Y410" s="550"/>
      <c r="Z410" s="538"/>
      <c r="AA410" s="538">
        <f>X410+Z410</f>
        <v>124867.89</v>
      </c>
      <c r="AB410" s="341"/>
      <c r="AC410" s="568" t="s">
        <v>709</v>
      </c>
      <c r="AD410" s="1157"/>
      <c r="AE410" s="568" t="s">
        <v>29</v>
      </c>
      <c r="AF410" s="568" t="s">
        <v>29</v>
      </c>
      <c r="AG410" s="568" t="s">
        <v>29</v>
      </c>
      <c r="AH410" s="183" t="s">
        <v>29</v>
      </c>
      <c r="AI410" s="1036"/>
      <c r="AJ410" s="1037"/>
      <c r="AK410" s="1037"/>
      <c r="AL410" s="1038"/>
      <c r="AM410" s="542" t="s">
        <v>116</v>
      </c>
      <c r="AN410" s="1508">
        <v>44491</v>
      </c>
      <c r="AO410" s="925" t="s">
        <v>709</v>
      </c>
      <c r="AP410" s="926">
        <v>124867.89</v>
      </c>
      <c r="AQ410" s="926"/>
      <c r="AR410" s="926">
        <v>0</v>
      </c>
      <c r="AS410" s="926">
        <f>IF(Table15[[#This Row],[PCTS Approved]]="N",0,Table15[[#This Row],[Investment Amount (1'#'#'#'#'#)]]+Table15[[#This Row],[Retirement Amount (3'#'#'#'#'#)]])</f>
        <v>124867.89</v>
      </c>
      <c r="AT410" s="926">
        <f>IF(Table15[[#This Row],[Approved Construction Cost]]=0,0,Table15[[#This Row],[Approved Construction Cost]]-Table15[[#This Row],[Construction Cost to Bill From]])</f>
        <v>0</v>
      </c>
      <c r="AU410" s="926">
        <f>Table15[[#This Row],[Difference in Construction Cost]]*Table15[[#This Row],[Rate]]</f>
        <v>0</v>
      </c>
      <c r="AV410" s="926" t="s">
        <v>709</v>
      </c>
      <c r="AW410" s="927"/>
      <c r="AX410" s="926"/>
      <c r="AY410" s="636" t="s">
        <v>1935</v>
      </c>
      <c r="AZ410" s="1531"/>
      <c r="BA410" s="1031" t="s">
        <v>3674</v>
      </c>
      <c r="BB410" s="644" t="s">
        <v>3675</v>
      </c>
      <c r="BC410" s="544" t="s">
        <v>709</v>
      </c>
      <c r="BD410" s="544" t="s">
        <v>2820</v>
      </c>
      <c r="BE410" s="544" t="s">
        <v>709</v>
      </c>
      <c r="BF410" s="544" t="s">
        <v>709</v>
      </c>
      <c r="BG410" s="544" t="s">
        <v>709</v>
      </c>
      <c r="BH410" s="741"/>
      <c r="BI410" s="547" t="s">
        <v>709</v>
      </c>
      <c r="BJ410" s="547" t="s">
        <v>709</v>
      </c>
      <c r="BK410" s="547" t="s">
        <v>709</v>
      </c>
      <c r="BL410" s="547" t="s">
        <v>116</v>
      </c>
      <c r="BM410" s="547" t="s">
        <v>709</v>
      </c>
      <c r="BN410" s="547" t="s">
        <v>709</v>
      </c>
      <c r="BO410" s="547" t="s">
        <v>709</v>
      </c>
      <c r="BP410" s="547" t="s">
        <v>709</v>
      </c>
      <c r="BQ410" s="547" t="s">
        <v>709</v>
      </c>
      <c r="BR410" s="547" t="s">
        <v>709</v>
      </c>
      <c r="BS410" s="547">
        <v>1474</v>
      </c>
      <c r="BT410" s="547" t="s">
        <v>745</v>
      </c>
      <c r="BU410" s="547" t="s">
        <v>709</v>
      </c>
      <c r="BV410" s="547" t="s">
        <v>745</v>
      </c>
      <c r="BW410" s="547" t="s">
        <v>709</v>
      </c>
      <c r="BX410" s="547" t="s">
        <v>745</v>
      </c>
      <c r="BY410" s="547" t="s">
        <v>745</v>
      </c>
      <c r="BZ410" s="547" t="s">
        <v>709</v>
      </c>
      <c r="CA410" s="483"/>
      <c r="CB410" s="547">
        <v>408</v>
      </c>
      <c r="CC410" s="1481" t="b">
        <v>1</v>
      </c>
      <c r="CD410" t="str">
        <f>Table15[[#This Row],[Engineering Number]]&amp;Table15[[#This Row],[WO Number]]&amp;Table15[[#This Row],[Date Assigned to Designer]]&amp;Table15[[#This Row],[Date Completed]]</f>
        <v>NBA197073719105744440844456</v>
      </c>
    </row>
    <row r="411" spans="1:82" customFormat="1" ht="15" customHeight="1" x14ac:dyDescent="0.25">
      <c r="A411">
        <v>2020</v>
      </c>
      <c r="B411" s="8" t="s">
        <v>771</v>
      </c>
      <c r="C411" s="8" t="s">
        <v>384</v>
      </c>
      <c r="D411" s="8" t="s">
        <v>2323</v>
      </c>
      <c r="E411" s="8" t="s">
        <v>104</v>
      </c>
      <c r="F411" s="8" t="s">
        <v>325</v>
      </c>
      <c r="G411" s="8" t="s">
        <v>1882</v>
      </c>
      <c r="H411" s="8" t="s">
        <v>3677</v>
      </c>
      <c r="I411" s="642">
        <v>43760</v>
      </c>
      <c r="J411" s="18" t="s">
        <v>2612</v>
      </c>
      <c r="K411" s="642">
        <v>44459</v>
      </c>
      <c r="L411" s="16">
        <f>IF(ISTEXT(Table15[[#This Row],[Engineering Approved Design Date]]),Table15[[#This Row],[Date Completed]]-Table15[[#This Row],[Date Assigned to Designer]],Table15[[#This Row],[Engineering Approved Design Date]]-Table15[[#This Row],[Date Completed]])</f>
        <v>699</v>
      </c>
      <c r="M411" s="642"/>
      <c r="N411" s="642" t="s">
        <v>120</v>
      </c>
      <c r="O411" s="1025">
        <f>Table15[[#This Row],[Date Completed]]</f>
        <v>44459</v>
      </c>
      <c r="P411" s="21" t="s">
        <v>120</v>
      </c>
      <c r="Q411" s="340">
        <f>Table15[[#This Row],[KH Hourly Effort]]</f>
        <v>1342.5</v>
      </c>
      <c r="R411" s="1026" t="s">
        <v>1922</v>
      </c>
      <c r="S411" s="538" t="s">
        <v>709</v>
      </c>
      <c r="T411" s="538" t="s">
        <v>709</v>
      </c>
      <c r="U411" s="28">
        <v>1342.5</v>
      </c>
      <c r="V411" s="858">
        <f>67+677</f>
        <v>744</v>
      </c>
      <c r="W411" s="437"/>
      <c r="X411" s="538">
        <v>159186.51999999999</v>
      </c>
      <c r="Y411" s="551">
        <v>11561.76</v>
      </c>
      <c r="Z411" s="538">
        <v>17144.259999999998</v>
      </c>
      <c r="AA411" s="538">
        <f>X411-Y411+Z411</f>
        <v>164769.01999999999</v>
      </c>
      <c r="AB411" s="21"/>
      <c r="AC411" s="569"/>
      <c r="AD411" s="1149"/>
      <c r="AE411" s="569"/>
      <c r="AF411" s="569"/>
      <c r="AG411" s="569"/>
      <c r="AH411" s="536"/>
      <c r="AI411" s="1028"/>
      <c r="AJ411" s="1029"/>
      <c r="AK411" s="1029"/>
      <c r="AL411" s="1030"/>
      <c r="AM411" s="542" t="s">
        <v>709</v>
      </c>
      <c r="AN411" s="924"/>
      <c r="AO411" s="925"/>
      <c r="AP411" s="926"/>
      <c r="AQ411" s="926"/>
      <c r="AR411" s="926"/>
      <c r="AS411" s="926"/>
      <c r="AT411" s="926"/>
      <c r="AU411" s="926"/>
      <c r="AV411" s="926"/>
      <c r="AW411" s="927"/>
      <c r="AX411" s="926"/>
      <c r="AY411" s="1538" t="s">
        <v>29</v>
      </c>
      <c r="AZ411" s="1530"/>
      <c r="BA411" s="1031" t="s">
        <v>2325</v>
      </c>
      <c r="BB411" s="644" t="s">
        <v>2326</v>
      </c>
      <c r="BC411" s="544"/>
      <c r="BD411" s="544"/>
      <c r="BE411" s="544"/>
      <c r="BF411" s="544"/>
      <c r="BG411" s="544"/>
      <c r="BH411" s="741"/>
      <c r="BI411" s="547" t="s">
        <v>709</v>
      </c>
      <c r="BJ411" s="547" t="s">
        <v>709</v>
      </c>
      <c r="BK411" s="547" t="s">
        <v>709</v>
      </c>
      <c r="BL411" s="547" t="s">
        <v>116</v>
      </c>
      <c r="BM411" s="547" t="s">
        <v>709</v>
      </c>
      <c r="BN411" s="547" t="s">
        <v>709</v>
      </c>
      <c r="BO411" s="547" t="s">
        <v>709</v>
      </c>
      <c r="BP411" s="547" t="s">
        <v>709</v>
      </c>
      <c r="BQ411" s="547" t="s">
        <v>116</v>
      </c>
      <c r="BR411" s="547" t="s">
        <v>709</v>
      </c>
      <c r="BS411" s="547" t="s">
        <v>116</v>
      </c>
      <c r="BT411" s="547" t="s">
        <v>116</v>
      </c>
      <c r="BU411" s="547" t="s">
        <v>709</v>
      </c>
      <c r="BV411" s="547" t="s">
        <v>745</v>
      </c>
      <c r="BW411" s="547" t="s">
        <v>709</v>
      </c>
      <c r="BX411" s="547" t="s">
        <v>745</v>
      </c>
      <c r="BY411" s="547" t="s">
        <v>745</v>
      </c>
      <c r="BZ411" s="547" t="s">
        <v>709</v>
      </c>
      <c r="CA411" s="483"/>
      <c r="CB411" s="547">
        <v>409</v>
      </c>
      <c r="CC411" s="1481" t="b">
        <v>1</v>
      </c>
      <c r="CD411" t="str">
        <f>Table15[[#This Row],[Engineering Number]]&amp;Table15[[#This Row],[WO Number]]&amp;Table15[[#This Row],[Date Assigned to Designer]]&amp;Table15[[#This Row],[Date Completed]]</f>
        <v>BS5511291544376044459</v>
      </c>
    </row>
    <row r="412" spans="1:82" customFormat="1" ht="15" customHeight="1" x14ac:dyDescent="0.25">
      <c r="A412">
        <v>2022</v>
      </c>
      <c r="B412" s="8" t="s">
        <v>2989</v>
      </c>
      <c r="C412" s="8" t="s">
        <v>3681</v>
      </c>
      <c r="D412" s="8" t="s">
        <v>3682</v>
      </c>
      <c r="E412" s="8" t="s">
        <v>2000</v>
      </c>
      <c r="F412" s="8" t="s">
        <v>752</v>
      </c>
      <c r="G412" s="8" t="s">
        <v>23</v>
      </c>
      <c r="H412" s="8" t="s">
        <v>59</v>
      </c>
      <c r="I412" s="642">
        <v>44431</v>
      </c>
      <c r="J412" s="18">
        <v>44477</v>
      </c>
      <c r="K412" s="642">
        <v>44460</v>
      </c>
      <c r="L412" s="16">
        <f>IF(ISTEXT(Table15[[#This Row],[Engineering Approved Design Date]]),Table15[[#This Row],[Date Completed]]-Table15[[#This Row],[Date Assigned to Designer]],Table15[[#This Row],[Engineering Approved Design Date]]-Table15[[#This Row],[Date Completed]])</f>
        <v>17</v>
      </c>
      <c r="M412" s="642"/>
      <c r="N412" s="642" t="s">
        <v>120</v>
      </c>
      <c r="O412" s="1025">
        <f>Table15[[#This Row],[Date Completed]]</f>
        <v>44460</v>
      </c>
      <c r="P412" s="21" t="s">
        <v>739</v>
      </c>
      <c r="Q412" s="340">
        <f>R412*AA412</f>
        <v>3643.1982000000003</v>
      </c>
      <c r="R412" s="1026">
        <v>0.09</v>
      </c>
      <c r="S412" s="538" t="s">
        <v>709</v>
      </c>
      <c r="T412" s="538" t="s">
        <v>709</v>
      </c>
      <c r="U412" s="28" t="s">
        <v>709</v>
      </c>
      <c r="V412" s="858">
        <v>96</v>
      </c>
      <c r="W412" s="437"/>
      <c r="X412" s="538"/>
      <c r="Y412" s="550"/>
      <c r="Z412" s="538">
        <v>40479.980000000003</v>
      </c>
      <c r="AA412" s="538">
        <f>X412+Z412</f>
        <v>40479.980000000003</v>
      </c>
      <c r="AB412" s="341"/>
      <c r="AC412" s="568" t="s">
        <v>709</v>
      </c>
      <c r="AD412" s="1157"/>
      <c r="AE412" s="579"/>
      <c r="AF412" s="579"/>
      <c r="AG412" s="579"/>
      <c r="AH412" s="553"/>
      <c r="AI412" s="1036"/>
      <c r="AJ412" s="1037"/>
      <c r="AK412" s="1037"/>
      <c r="AL412" s="1038"/>
      <c r="AM412" s="542" t="s">
        <v>116</v>
      </c>
      <c r="AN412" s="1508">
        <v>44594</v>
      </c>
      <c r="AO412" s="925">
        <v>11039366</v>
      </c>
      <c r="AP412" s="926">
        <v>0</v>
      </c>
      <c r="AQ412" s="926"/>
      <c r="AR412" s="926">
        <v>40479.980000000003</v>
      </c>
      <c r="AS412" s="926">
        <f>IF(Table15[[#This Row],[PCTS Approved]]="N",0,Table15[[#This Row],[Investment Amount (1'#'#'#'#'#)]]+Table15[[#This Row],[Retirement Amount (3'#'#'#'#'#)]])</f>
        <v>40479.980000000003</v>
      </c>
      <c r="AT412" s="926">
        <f>IF(Table15[[#This Row],[Approved Construction Cost]]=0,0,Table15[[#This Row],[Approved Construction Cost]]-Table15[[#This Row],[Construction Cost to Bill From]])</f>
        <v>0</v>
      </c>
      <c r="AU412" s="926">
        <f>IFERROR(Table15[[#This Row],[Difference in Construction Cost]]*Table15[[#This Row],[Rate]],Table15[[#This Row],[Difference in Construction Cost]]*0.085)</f>
        <v>0</v>
      </c>
      <c r="AV412" s="926" t="s">
        <v>709</v>
      </c>
      <c r="AW412" s="927"/>
      <c r="AX412" s="926"/>
      <c r="AY412" s="636" t="s">
        <v>1935</v>
      </c>
      <c r="AZ412" s="1533"/>
      <c r="BA412" s="859" t="s">
        <v>3683</v>
      </c>
      <c r="BB412" s="644" t="s">
        <v>3684</v>
      </c>
      <c r="BC412" s="544" t="s">
        <v>709</v>
      </c>
      <c r="BD412" s="544" t="s">
        <v>882</v>
      </c>
      <c r="BE412" s="544" t="s">
        <v>709</v>
      </c>
      <c r="BF412" s="544" t="s">
        <v>3685</v>
      </c>
      <c r="BG412" s="544" t="s">
        <v>709</v>
      </c>
      <c r="BH412" s="741"/>
      <c r="BI412" s="547" t="s">
        <v>709</v>
      </c>
      <c r="BJ412" s="547" t="s">
        <v>709</v>
      </c>
      <c r="BK412" s="547" t="s">
        <v>709</v>
      </c>
      <c r="BL412" s="547" t="s">
        <v>709</v>
      </c>
      <c r="BM412" s="547" t="s">
        <v>709</v>
      </c>
      <c r="BN412" s="547" t="s">
        <v>709</v>
      </c>
      <c r="BO412" s="547" t="s">
        <v>709</v>
      </c>
      <c r="BP412" s="547" t="s">
        <v>709</v>
      </c>
      <c r="BQ412" s="547" t="s">
        <v>709</v>
      </c>
      <c r="BR412" s="547" t="s">
        <v>709</v>
      </c>
      <c r="BS412" s="547" t="s">
        <v>709</v>
      </c>
      <c r="BT412" s="547" t="s">
        <v>709</v>
      </c>
      <c r="BU412" s="547" t="s">
        <v>709</v>
      </c>
      <c r="BV412" s="547">
        <v>1</v>
      </c>
      <c r="BW412" s="547" t="s">
        <v>709</v>
      </c>
      <c r="BX412" s="547" t="s">
        <v>709</v>
      </c>
      <c r="BY412" s="547" t="s">
        <v>709</v>
      </c>
      <c r="BZ412" s="547" t="s">
        <v>709</v>
      </c>
      <c r="CA412" s="483" t="s">
        <v>2</v>
      </c>
      <c r="CB412" s="547">
        <v>410</v>
      </c>
      <c r="CC412" s="1481" t="b">
        <v>1</v>
      </c>
      <c r="CD412" t="str">
        <f>Table15[[#This Row],[Engineering Number]]&amp;Table15[[#This Row],[WO Number]]&amp;Table15[[#This Row],[Date Assigned to Designer]]&amp;Table15[[#This Row],[Date Completed]]</f>
        <v>MR177532105564443144460</v>
      </c>
    </row>
    <row r="413" spans="1:82" customFormat="1" ht="15" customHeight="1" x14ac:dyDescent="0.25">
      <c r="A413">
        <v>2020</v>
      </c>
      <c r="B413" s="8" t="s">
        <v>4</v>
      </c>
      <c r="C413" s="8" t="s">
        <v>2455</v>
      </c>
      <c r="D413" s="8" t="s">
        <v>2456</v>
      </c>
      <c r="E413" s="8" t="s">
        <v>2457</v>
      </c>
      <c r="F413" s="8" t="s">
        <v>919</v>
      </c>
      <c r="G413" s="8" t="s">
        <v>40</v>
      </c>
      <c r="H413" s="8" t="s">
        <v>2051</v>
      </c>
      <c r="I413" s="642">
        <v>43761</v>
      </c>
      <c r="J413" s="18" t="s">
        <v>2052</v>
      </c>
      <c r="K413" s="642">
        <v>44460</v>
      </c>
      <c r="L413" s="16">
        <f>IF(ISTEXT(Table15[[#This Row],[Engineering Approved Design Date]]),Table15[[#This Row],[Date Completed]]-Table15[[#This Row],[Date Assigned to Designer]],Table15[[#This Row],[Engineering Approved Design Date]]-Table15[[#This Row],[Date Completed]])</f>
        <v>699</v>
      </c>
      <c r="M413" s="642" t="s">
        <v>3679</v>
      </c>
      <c r="N413" s="642" t="s">
        <v>120</v>
      </c>
      <c r="O413" s="1025">
        <v>44470</v>
      </c>
      <c r="P413" s="21" t="s">
        <v>739</v>
      </c>
      <c r="Q413" s="340">
        <f>U413</f>
        <v>6625</v>
      </c>
      <c r="R413" s="1026" t="s">
        <v>1922</v>
      </c>
      <c r="S413" s="538" t="s">
        <v>709</v>
      </c>
      <c r="T413" s="538" t="s">
        <v>709</v>
      </c>
      <c r="U413" s="28">
        <v>6625</v>
      </c>
      <c r="V413" s="858">
        <v>3932</v>
      </c>
      <c r="W413" s="437"/>
      <c r="X413" s="538">
        <v>982324.76</v>
      </c>
      <c r="Y413" s="551"/>
      <c r="Z413" s="538">
        <v>93317.98</v>
      </c>
      <c r="AA413" s="538">
        <f>X413+Z413</f>
        <v>1075642.74</v>
      </c>
      <c r="AB413" s="21"/>
      <c r="AC413" s="569"/>
      <c r="AD413" s="1149"/>
      <c r="AE413" s="580"/>
      <c r="AF413" s="580"/>
      <c r="AG413" s="580"/>
      <c r="AH413" s="542"/>
      <c r="AI413" s="1028"/>
      <c r="AJ413" s="1029"/>
      <c r="AK413" s="1029"/>
      <c r="AL413" s="1030"/>
      <c r="AM413" s="542" t="s">
        <v>709</v>
      </c>
      <c r="AN413" s="924"/>
      <c r="AO413" s="925"/>
      <c r="AP413" s="926"/>
      <c r="AQ413" s="926"/>
      <c r="AR413" s="926"/>
      <c r="AS413" s="926"/>
      <c r="AT413" s="926"/>
      <c r="AU413" s="926"/>
      <c r="AV413" s="926"/>
      <c r="AW413" s="927"/>
      <c r="AX413" s="926"/>
      <c r="AY413" s="1538" t="s">
        <v>29</v>
      </c>
      <c r="AZ413" s="1530"/>
      <c r="BA413" s="1031">
        <v>1</v>
      </c>
      <c r="BB413" s="644"/>
      <c r="BC413" s="544"/>
      <c r="BD413" s="544"/>
      <c r="BE413" s="544"/>
      <c r="BF413" s="544"/>
      <c r="BG413" s="544"/>
      <c r="BH413" s="741"/>
      <c r="BI413" s="547" t="s">
        <v>709</v>
      </c>
      <c r="BJ413" s="547" t="s">
        <v>709</v>
      </c>
      <c r="BK413" s="547" t="s">
        <v>709</v>
      </c>
      <c r="BL413" s="547" t="s">
        <v>116</v>
      </c>
      <c r="BM413" s="547" t="s">
        <v>709</v>
      </c>
      <c r="BN413" s="547" t="s">
        <v>709</v>
      </c>
      <c r="BO413" s="547" t="s">
        <v>709</v>
      </c>
      <c r="BP413" s="547" t="s">
        <v>709</v>
      </c>
      <c r="BQ413" s="547">
        <v>4809</v>
      </c>
      <c r="BR413" s="547" t="s">
        <v>709</v>
      </c>
      <c r="BS413" s="547">
        <v>347</v>
      </c>
      <c r="BT413" s="547" t="s">
        <v>745</v>
      </c>
      <c r="BU413" s="547" t="s">
        <v>709</v>
      </c>
      <c r="BV413" s="547" t="s">
        <v>745</v>
      </c>
      <c r="BW413" s="547" t="s">
        <v>709</v>
      </c>
      <c r="BX413" s="547" t="s">
        <v>745</v>
      </c>
      <c r="BY413" s="547" t="s">
        <v>745</v>
      </c>
      <c r="BZ413" s="547" t="s">
        <v>709</v>
      </c>
      <c r="CA413" s="483"/>
      <c r="CB413" s="547">
        <v>411</v>
      </c>
      <c r="CC413" s="1481" t="b">
        <v>1</v>
      </c>
      <c r="CD413" t="str">
        <f>Table15[[#This Row],[Engineering Number]]&amp;Table15[[#This Row],[WO Number]]&amp;Table15[[#This Row],[Date Assigned to Designer]]&amp;Table15[[#This Row],[Date Completed]]</f>
        <v>SC170701204594376144460</v>
      </c>
    </row>
    <row r="414" spans="1:82" customFormat="1" ht="15" customHeight="1" x14ac:dyDescent="0.25">
      <c r="A414">
        <v>2023</v>
      </c>
      <c r="B414" s="8" t="s">
        <v>4</v>
      </c>
      <c r="C414" s="8" t="s">
        <v>3343</v>
      </c>
      <c r="D414" s="8" t="s">
        <v>3344</v>
      </c>
      <c r="E414" s="8" t="s">
        <v>1101</v>
      </c>
      <c r="F414" s="8" t="s">
        <v>919</v>
      </c>
      <c r="G414" s="8" t="s">
        <v>2814</v>
      </c>
      <c r="H414" s="8" t="s">
        <v>3178</v>
      </c>
      <c r="I414" s="642">
        <v>44425</v>
      </c>
      <c r="J414" s="18" t="s">
        <v>2052</v>
      </c>
      <c r="K414" s="642">
        <v>44467</v>
      </c>
      <c r="L414" s="16">
        <f>IF(ISTEXT(Table15[[#This Row],[Engineering Approved Design Date]]),Table15[[#This Row],[Date Completed]]-Table15[[#This Row],[Date Assigned to Designer]],Table15[[#This Row],[Engineering Approved Design Date]]-Table15[[#This Row],[Date Completed]])</f>
        <v>42</v>
      </c>
      <c r="M414" s="642" t="s">
        <v>3689</v>
      </c>
      <c r="N414" s="642" t="s">
        <v>120</v>
      </c>
      <c r="O414" s="1025">
        <v>44470</v>
      </c>
      <c r="P414" s="21" t="s">
        <v>739</v>
      </c>
      <c r="Q414" s="340">
        <f>U414</f>
        <v>11717.5</v>
      </c>
      <c r="R414" s="1026" t="s">
        <v>1922</v>
      </c>
      <c r="S414" s="538" t="s">
        <v>709</v>
      </c>
      <c r="T414" s="538" t="s">
        <v>709</v>
      </c>
      <c r="U414" s="28">
        <v>11717.5</v>
      </c>
      <c r="V414" s="858"/>
      <c r="W414" s="437"/>
      <c r="X414" s="538"/>
      <c r="Y414" s="551"/>
      <c r="Z414" s="538"/>
      <c r="AA414" s="538"/>
      <c r="AB414" s="21"/>
      <c r="AC414" s="569"/>
      <c r="AD414" s="1149"/>
      <c r="AE414" s="580"/>
      <c r="AF414" s="580"/>
      <c r="AG414" s="580"/>
      <c r="AH414" s="542"/>
      <c r="AI414" s="1028"/>
      <c r="AJ414" s="1029"/>
      <c r="AK414" s="1029"/>
      <c r="AL414" s="1030"/>
      <c r="AM414" s="542" t="s">
        <v>709</v>
      </c>
      <c r="AN414" s="924"/>
      <c r="AO414" s="925"/>
      <c r="AP414" s="926"/>
      <c r="AQ414" s="926"/>
      <c r="AR414" s="926"/>
      <c r="AS414" s="926"/>
      <c r="AT414" s="926"/>
      <c r="AU414" s="926"/>
      <c r="AV414" s="926"/>
      <c r="AW414" s="927"/>
      <c r="AX414" s="926"/>
      <c r="AY414" s="1538" t="s">
        <v>29</v>
      </c>
      <c r="AZ414" s="1530"/>
      <c r="BA414" s="1031">
        <v>3</v>
      </c>
      <c r="BB414" s="644"/>
      <c r="BC414" s="544" t="s">
        <v>709</v>
      </c>
      <c r="BD414" s="544" t="s">
        <v>882</v>
      </c>
      <c r="BE414" s="544" t="s">
        <v>1106</v>
      </c>
      <c r="BF414" s="544" t="s">
        <v>709</v>
      </c>
      <c r="BG414" s="544" t="s">
        <v>709</v>
      </c>
      <c r="BH414" s="741"/>
      <c r="BI414" s="547" t="s">
        <v>709</v>
      </c>
      <c r="BJ414" s="547" t="s">
        <v>709</v>
      </c>
      <c r="BK414" s="547" t="s">
        <v>709</v>
      </c>
      <c r="BL414" s="547" t="s">
        <v>116</v>
      </c>
      <c r="BM414" s="547" t="s">
        <v>709</v>
      </c>
      <c r="BN414" s="547" t="s">
        <v>709</v>
      </c>
      <c r="BO414" s="547" t="s">
        <v>709</v>
      </c>
      <c r="BP414" s="547" t="s">
        <v>709</v>
      </c>
      <c r="BQ414" s="547" t="s">
        <v>709</v>
      </c>
      <c r="BR414" s="547" t="s">
        <v>709</v>
      </c>
      <c r="BS414" s="547">
        <v>725</v>
      </c>
      <c r="BT414" s="547" t="s">
        <v>709</v>
      </c>
      <c r="BU414" s="547" t="s">
        <v>709</v>
      </c>
      <c r="BV414" s="547" t="s">
        <v>745</v>
      </c>
      <c r="BW414" s="547" t="s">
        <v>709</v>
      </c>
      <c r="BX414" s="547" t="s">
        <v>709</v>
      </c>
      <c r="BY414" s="547" t="s">
        <v>745</v>
      </c>
      <c r="BZ414" s="547" t="s">
        <v>709</v>
      </c>
      <c r="CA414" s="483" t="s">
        <v>1237</v>
      </c>
      <c r="CB414" s="547">
        <v>413</v>
      </c>
      <c r="CC414" s="1481" t="b">
        <v>1</v>
      </c>
      <c r="CD414" t="str">
        <f>Table15[[#This Row],[Engineering Number]]&amp;Table15[[#This Row],[WO Number]]&amp;Table15[[#This Row],[Date Assigned to Designer]]&amp;Table15[[#This Row],[Date Completed]]</f>
        <v>M10905-11205584442544467</v>
      </c>
    </row>
    <row r="415" spans="1:82" customFormat="1" ht="15" customHeight="1" x14ac:dyDescent="0.25">
      <c r="A415">
        <v>2021</v>
      </c>
      <c r="B415" s="8" t="s">
        <v>1073</v>
      </c>
      <c r="C415" s="8" t="s">
        <v>3465</v>
      </c>
      <c r="D415" s="8" t="s">
        <v>3466</v>
      </c>
      <c r="E415" s="8" t="s">
        <v>2759</v>
      </c>
      <c r="F415" s="8" t="s">
        <v>738</v>
      </c>
      <c r="G415" s="8" t="s">
        <v>2814</v>
      </c>
      <c r="H415" s="8" t="s">
        <v>2051</v>
      </c>
      <c r="I415" s="642">
        <v>44414</v>
      </c>
      <c r="J415" s="18" t="s">
        <v>2052</v>
      </c>
      <c r="K415" s="642">
        <v>44467</v>
      </c>
      <c r="L415" s="16">
        <f>IF(ISTEXT(Table15[[#This Row],[Engineering Approved Design Date]]),Table15[[#This Row],[Date Completed]]-Table15[[#This Row],[Date Assigned to Designer]],Table15[[#This Row],[Engineering Approved Design Date]]-Table15[[#This Row],[Date Completed]])</f>
        <v>53</v>
      </c>
      <c r="M415" s="642" t="s">
        <v>3687</v>
      </c>
      <c r="N415" s="642" t="s">
        <v>120</v>
      </c>
      <c r="O415" s="1025">
        <v>44470</v>
      </c>
      <c r="P415" s="21" t="s">
        <v>739</v>
      </c>
      <c r="Q415" s="340">
        <f>U415</f>
        <v>10777.5</v>
      </c>
      <c r="R415" s="1026" t="s">
        <v>1922</v>
      </c>
      <c r="S415" s="538" t="s">
        <v>709</v>
      </c>
      <c r="T415" s="538" t="s">
        <v>709</v>
      </c>
      <c r="U415" s="28">
        <v>10777.5</v>
      </c>
      <c r="V415" s="858"/>
      <c r="W415" s="437"/>
      <c r="X415" s="538"/>
      <c r="Y415" s="551"/>
      <c r="Z415" s="538"/>
      <c r="AA415" s="538"/>
      <c r="AB415" s="21"/>
      <c r="AC415" s="569"/>
      <c r="AD415" s="1149"/>
      <c r="AE415" s="569" t="s">
        <v>29</v>
      </c>
      <c r="AF415" s="569" t="s">
        <v>29</v>
      </c>
      <c r="AG415" s="569" t="s">
        <v>29</v>
      </c>
      <c r="AH415" s="536" t="s">
        <v>29</v>
      </c>
      <c r="AI415" s="1028"/>
      <c r="AJ415" s="1029"/>
      <c r="AK415" s="1029"/>
      <c r="AL415" s="1030"/>
      <c r="AM415" s="542" t="s">
        <v>709</v>
      </c>
      <c r="AN415" s="924"/>
      <c r="AO415" s="925"/>
      <c r="AP415" s="926"/>
      <c r="AQ415" s="926"/>
      <c r="AR415" s="926"/>
      <c r="AS415" s="926"/>
      <c r="AT415" s="926"/>
      <c r="AU415" s="926"/>
      <c r="AV415" s="926"/>
      <c r="AW415" s="927"/>
      <c r="AX415" s="926"/>
      <c r="AY415" s="1538" t="s">
        <v>29</v>
      </c>
      <c r="AZ415" s="1530"/>
      <c r="BA415" s="1031">
        <v>6</v>
      </c>
      <c r="BB415" s="644"/>
      <c r="BC415" s="544"/>
      <c r="BD415" s="544"/>
      <c r="BE415" s="544"/>
      <c r="BF415" s="544"/>
      <c r="BG415" s="544"/>
      <c r="BH415" s="741"/>
      <c r="BI415" s="547" t="s">
        <v>709</v>
      </c>
      <c r="BJ415" s="547" t="s">
        <v>709</v>
      </c>
      <c r="BK415" s="547" t="s">
        <v>709</v>
      </c>
      <c r="BL415" s="547" t="s">
        <v>116</v>
      </c>
      <c r="BM415" s="547" t="s">
        <v>709</v>
      </c>
      <c r="BN415" s="547" t="s">
        <v>709</v>
      </c>
      <c r="BO415" s="547" t="s">
        <v>709</v>
      </c>
      <c r="BP415" s="547" t="s">
        <v>709</v>
      </c>
      <c r="BQ415" s="547" t="s">
        <v>709</v>
      </c>
      <c r="BR415" s="547">
        <v>687</v>
      </c>
      <c r="BS415" s="547">
        <v>18</v>
      </c>
      <c r="BT415" s="547" t="s">
        <v>745</v>
      </c>
      <c r="BU415" s="547" t="s">
        <v>709</v>
      </c>
      <c r="BV415" s="547" t="s">
        <v>745</v>
      </c>
      <c r="BW415" s="547" t="s">
        <v>709</v>
      </c>
      <c r="BX415" s="547" t="s">
        <v>745</v>
      </c>
      <c r="BY415" s="547" t="s">
        <v>745</v>
      </c>
      <c r="BZ415" s="547" t="s">
        <v>709</v>
      </c>
      <c r="CA415" s="483"/>
      <c r="CB415" s="547">
        <v>412</v>
      </c>
      <c r="CC415" s="1481" t="b">
        <v>1</v>
      </c>
      <c r="CD415" t="str">
        <f>Table15[[#This Row],[Engineering Number]]&amp;Table15[[#This Row],[WO Number]]&amp;Table15[[#This Row],[Date Assigned to Designer]]&amp;Table15[[#This Row],[Date Completed]]</f>
        <v>NBA19993451687004441444467</v>
      </c>
    </row>
    <row r="416" spans="1:82" customFormat="1" ht="15" customHeight="1" x14ac:dyDescent="0.25">
      <c r="A416">
        <v>2022</v>
      </c>
      <c r="B416" s="8" t="s">
        <v>4</v>
      </c>
      <c r="C416" s="8" t="s">
        <v>3697</v>
      </c>
      <c r="D416" s="8" t="s">
        <v>3698</v>
      </c>
      <c r="E416" s="8" t="s">
        <v>118</v>
      </c>
      <c r="F416" s="8" t="s">
        <v>738</v>
      </c>
      <c r="G416" s="8" t="s">
        <v>22</v>
      </c>
      <c r="H416" s="8" t="s">
        <v>1681</v>
      </c>
      <c r="I416" s="642">
        <v>44432</v>
      </c>
      <c r="J416" s="18">
        <v>44519</v>
      </c>
      <c r="K416" s="642">
        <v>44468</v>
      </c>
      <c r="L416" s="16">
        <f>IF(ISTEXT(Table15[[#This Row],[Engineering Approved Design Date]]),Table15[[#This Row],[Date Completed]]-Table15[[#This Row],[Date Assigned to Designer]],Table15[[#This Row],[Engineering Approved Design Date]]-Table15[[#This Row],[Date Completed]])</f>
        <v>51</v>
      </c>
      <c r="M416" s="642"/>
      <c r="N416" s="642" t="s">
        <v>120</v>
      </c>
      <c r="O416" s="1025">
        <v>44470</v>
      </c>
      <c r="P416" s="21" t="s">
        <v>739</v>
      </c>
      <c r="Q416" s="1061" t="s">
        <v>115</v>
      </c>
      <c r="R416" s="1034" t="s">
        <v>115</v>
      </c>
      <c r="S416" s="551" t="s">
        <v>709</v>
      </c>
      <c r="T416" s="551" t="s">
        <v>709</v>
      </c>
      <c r="U416" s="87" t="s">
        <v>709</v>
      </c>
      <c r="V416" s="858"/>
      <c r="W416" s="437"/>
      <c r="X416" s="538"/>
      <c r="Y416" s="550"/>
      <c r="Z416" s="538"/>
      <c r="AA416" s="538"/>
      <c r="AB416" s="21"/>
      <c r="AC416" s="569" t="s">
        <v>709</v>
      </c>
      <c r="AD416" s="1149"/>
      <c r="AE416" s="580"/>
      <c r="AF416" s="580"/>
      <c r="AG416" s="580"/>
      <c r="AH416" s="542"/>
      <c r="AI416" s="1028"/>
      <c r="AJ416" s="1029"/>
      <c r="AK416" s="1029"/>
      <c r="AL416" s="1030"/>
      <c r="AM416" s="542" t="s">
        <v>709</v>
      </c>
      <c r="AN416" s="924"/>
      <c r="AO416" s="925"/>
      <c r="AP416" s="926"/>
      <c r="AQ416" s="926"/>
      <c r="AR416" s="926"/>
      <c r="AS416" s="926"/>
      <c r="AT416" s="926"/>
      <c r="AU416" s="926"/>
      <c r="AV416" s="926"/>
      <c r="AW416" s="927"/>
      <c r="AX416" s="926"/>
      <c r="AY416" s="1538" t="s">
        <v>29</v>
      </c>
      <c r="AZ416" s="1530"/>
      <c r="BA416" s="1031" t="s">
        <v>3699</v>
      </c>
      <c r="BB416" s="644" t="s">
        <v>3700</v>
      </c>
      <c r="BC416" s="544"/>
      <c r="BD416" s="544"/>
      <c r="BE416" s="544"/>
      <c r="BF416" s="544"/>
      <c r="BG416" s="544"/>
      <c r="BH416" s="741"/>
      <c r="BI416" s="1032"/>
      <c r="BJ416" s="1032"/>
      <c r="BK416" s="1032"/>
      <c r="BL416" s="1032"/>
      <c r="BM416" s="1032"/>
      <c r="BN416" s="1032"/>
      <c r="BO416" s="1032"/>
      <c r="BP416" s="1032"/>
      <c r="BQ416" s="1032"/>
      <c r="BR416" s="1032"/>
      <c r="BS416" s="1032"/>
      <c r="BT416" s="1032"/>
      <c r="BU416" s="1032"/>
      <c r="BV416" s="1032"/>
      <c r="BW416" s="1032"/>
      <c r="BX416" s="1032"/>
      <c r="BY416" s="1032"/>
      <c r="BZ416" s="1032"/>
      <c r="CA416" s="485"/>
      <c r="CB416" s="547">
        <v>415</v>
      </c>
      <c r="CC416" s="1481" t="b">
        <v>1</v>
      </c>
      <c r="CD416" t="str">
        <f>Table15[[#This Row],[Engineering Number]]&amp;Table15[[#This Row],[WO Number]]&amp;Table15[[#This Row],[Date Assigned to Designer]]&amp;Table15[[#This Row],[Date Completed]]</f>
        <v>N1448912105544443244468</v>
      </c>
    </row>
    <row r="417" spans="1:82" customFormat="1" ht="15" customHeight="1" x14ac:dyDescent="0.25">
      <c r="A417">
        <v>2021</v>
      </c>
      <c r="B417" s="8" t="s">
        <v>4</v>
      </c>
      <c r="C417" s="8" t="s">
        <v>3691</v>
      </c>
      <c r="D417" s="8" t="s">
        <v>3692</v>
      </c>
      <c r="E417" s="8" t="s">
        <v>2304</v>
      </c>
      <c r="F417" s="8" t="s">
        <v>919</v>
      </c>
      <c r="G417" s="8" t="s">
        <v>39</v>
      </c>
      <c r="H417" s="8" t="s">
        <v>59</v>
      </c>
      <c r="I417" s="642">
        <v>44398</v>
      </c>
      <c r="J417" s="18">
        <v>44477</v>
      </c>
      <c r="K417" s="642">
        <v>44468</v>
      </c>
      <c r="L417" s="16">
        <f>IF(ISTEXT(Table15[[#This Row],[Engineering Approved Design Date]]),Table15[[#This Row],[Date Completed]]-Table15[[#This Row],[Date Assigned to Designer]],Table15[[#This Row],[Engineering Approved Design Date]]-Table15[[#This Row],[Date Completed]])</f>
        <v>9</v>
      </c>
      <c r="M417" s="642"/>
      <c r="N417" s="642" t="s">
        <v>120</v>
      </c>
      <c r="O417" s="1025">
        <v>44470</v>
      </c>
      <c r="P417" s="21" t="s">
        <v>739</v>
      </c>
      <c r="Q417" s="340">
        <f>R417*AA417</f>
        <v>65314.41</v>
      </c>
      <c r="R417" s="1026">
        <v>0.1</v>
      </c>
      <c r="S417" s="538" t="s">
        <v>709</v>
      </c>
      <c r="T417" s="538" t="s">
        <v>709</v>
      </c>
      <c r="U417" s="28" t="s">
        <v>709</v>
      </c>
      <c r="V417" s="858">
        <v>3004</v>
      </c>
      <c r="W417" s="437"/>
      <c r="X417" s="538">
        <v>613529.56999999995</v>
      </c>
      <c r="Y417" s="551"/>
      <c r="Z417" s="538">
        <v>39614.53</v>
      </c>
      <c r="AA417" s="538">
        <f>X417-Y417+Z417</f>
        <v>653144.1</v>
      </c>
      <c r="AB417" s="341"/>
      <c r="AC417" s="568" t="s">
        <v>709</v>
      </c>
      <c r="AD417" s="1157"/>
      <c r="AE417" s="579"/>
      <c r="AF417" s="579"/>
      <c r="AG417" s="579"/>
      <c r="AH417" s="553"/>
      <c r="AI417" s="1036"/>
      <c r="AJ417" s="1037"/>
      <c r="AK417" s="1037"/>
      <c r="AL417" s="1038"/>
      <c r="AM417" s="1522" t="s">
        <v>116</v>
      </c>
      <c r="AN417" s="1523">
        <v>44665</v>
      </c>
      <c r="AO417" s="1524">
        <v>11040604</v>
      </c>
      <c r="AP417" s="1525">
        <v>617273.82999999996</v>
      </c>
      <c r="AQ417" s="1525"/>
      <c r="AR417" s="1525">
        <v>39705.11</v>
      </c>
      <c r="AS417" s="1525">
        <f>IF(Table15[[#This Row],[PCTS Approved]]="N",0,Table15[[#This Row],[Investment Amount (1'#'#'#'#'#)]]+Table15[[#This Row],[Retirement Amount (3'#'#'#'#'#)]])</f>
        <v>656978.93999999994</v>
      </c>
      <c r="AT417" s="1525">
        <f>IF(Table15[[#This Row],[Approved Construction Cost]]=0,0,Table15[[#This Row],[Approved Construction Cost]]-Table15[[#This Row],[Construction Cost to Bill From]])</f>
        <v>3834.8399999999674</v>
      </c>
      <c r="AU417" s="1525">
        <f>IFERROR(Table15[[#This Row],[Difference in Construction Cost]]*Table15[[#This Row],[Rate]],Table15[[#This Row],[Difference in Construction Cost]]*0.085)</f>
        <v>383.48399999999674</v>
      </c>
      <c r="AV417" s="1525" t="s">
        <v>709</v>
      </c>
      <c r="AW417" s="1526"/>
      <c r="AX417" s="1525">
        <f>Table15[[#This Row],[Reconcile Amount]]</f>
        <v>383.48399999999674</v>
      </c>
      <c r="AY417" s="1518">
        <v>45008</v>
      </c>
      <c r="AZ417" s="333"/>
      <c r="BA417" s="1031" t="s">
        <v>3693</v>
      </c>
      <c r="BB417" s="644" t="s">
        <v>3694</v>
      </c>
      <c r="BC417" s="544" t="s">
        <v>709</v>
      </c>
      <c r="BD417" s="544" t="s">
        <v>709</v>
      </c>
      <c r="BE417" s="544" t="s">
        <v>3695</v>
      </c>
      <c r="BF417" s="544" t="s">
        <v>709</v>
      </c>
      <c r="BG417" s="544" t="s">
        <v>709</v>
      </c>
      <c r="BH417" s="741"/>
      <c r="BI417" s="547" t="s">
        <v>709</v>
      </c>
      <c r="BJ417" s="547" t="s">
        <v>709</v>
      </c>
      <c r="BK417" s="547" t="s">
        <v>709</v>
      </c>
      <c r="BL417" s="547" t="s">
        <v>116</v>
      </c>
      <c r="BM417" s="547" t="s">
        <v>709</v>
      </c>
      <c r="BN417" s="547" t="s">
        <v>709</v>
      </c>
      <c r="BO417" s="547" t="s">
        <v>709</v>
      </c>
      <c r="BP417" s="547" t="s">
        <v>709</v>
      </c>
      <c r="BQ417" s="547" t="s">
        <v>709</v>
      </c>
      <c r="BR417" s="547" t="s">
        <v>709</v>
      </c>
      <c r="BS417" s="547">
        <v>3004</v>
      </c>
      <c r="BT417" s="547" t="s">
        <v>745</v>
      </c>
      <c r="BU417" s="547" t="s">
        <v>709</v>
      </c>
      <c r="BV417" s="547" t="s">
        <v>745</v>
      </c>
      <c r="BW417" s="547" t="s">
        <v>709</v>
      </c>
      <c r="BX417" s="547" t="s">
        <v>745</v>
      </c>
      <c r="BY417" s="547" t="s">
        <v>745</v>
      </c>
      <c r="BZ417" s="547" t="s">
        <v>709</v>
      </c>
      <c r="CA417" s="483"/>
      <c r="CB417" s="547">
        <v>414</v>
      </c>
      <c r="CC417" s="1481" t="b">
        <v>1</v>
      </c>
      <c r="CD417" t="str">
        <f>Table15[[#This Row],[Engineering Number]]&amp;Table15[[#This Row],[WO Number]]&amp;Table15[[#This Row],[Date Assigned to Designer]]&amp;Table15[[#This Row],[Date Completed]]</f>
        <v>SC1863612104404439844468</v>
      </c>
    </row>
    <row r="418" spans="1:82" customFormat="1" ht="15" customHeight="1" x14ac:dyDescent="0.25">
      <c r="A418">
        <v>2022</v>
      </c>
      <c r="B418" s="8" t="s">
        <v>771</v>
      </c>
      <c r="C418" s="8" t="s">
        <v>3702</v>
      </c>
      <c r="D418" s="8" t="s">
        <v>3703</v>
      </c>
      <c r="E418" s="8" t="s">
        <v>141</v>
      </c>
      <c r="F418" s="8" t="s">
        <v>919</v>
      </c>
      <c r="G418" s="8" t="s">
        <v>1882</v>
      </c>
      <c r="H418" s="8" t="s">
        <v>59</v>
      </c>
      <c r="I418" s="642">
        <v>44385</v>
      </c>
      <c r="J418" s="18">
        <v>44470</v>
      </c>
      <c r="K418" s="642">
        <v>44470</v>
      </c>
      <c r="L418" s="16">
        <f>IF(ISTEXT(Table15[[#This Row],[Engineering Approved Design Date]]),Table15[[#This Row],[Date Completed]]-Table15[[#This Row],[Date Assigned to Designer]],Table15[[#This Row],[Engineering Approved Design Date]]-Table15[[#This Row],[Date Completed]])</f>
        <v>0</v>
      </c>
      <c r="M418" s="642"/>
      <c r="N418" s="642" t="s">
        <v>120</v>
      </c>
      <c r="O418" s="1025">
        <v>44470</v>
      </c>
      <c r="P418" s="21" t="s">
        <v>120</v>
      </c>
      <c r="Q418" s="340">
        <f>1.55*Table15[[#This Row],[LF of Main]]</f>
        <v>44863.200000000004</v>
      </c>
      <c r="R418" s="1026" t="s">
        <v>2087</v>
      </c>
      <c r="S418" s="538" t="s">
        <v>709</v>
      </c>
      <c r="T418" s="538" t="s">
        <v>709</v>
      </c>
      <c r="U418" s="28" t="s">
        <v>709</v>
      </c>
      <c r="V418" s="1184">
        <v>28944</v>
      </c>
      <c r="W418" s="1186"/>
      <c r="X418" s="538">
        <v>4016932.8</v>
      </c>
      <c r="Y418" s="550"/>
      <c r="Z418" s="538">
        <v>57854.05</v>
      </c>
      <c r="AA418" s="538">
        <f>X418+Z418</f>
        <v>4074786.8499999996</v>
      </c>
      <c r="AB418" s="341"/>
      <c r="AC418" s="568" t="s">
        <v>709</v>
      </c>
      <c r="AD418" s="1157"/>
      <c r="AE418" s="568"/>
      <c r="AF418" s="568"/>
      <c r="AG418" s="568"/>
      <c r="AH418" s="183"/>
      <c r="AI418" s="1036"/>
      <c r="AJ418" s="1037"/>
      <c r="AK418" s="1037"/>
      <c r="AL418" s="1038"/>
      <c r="AM418" s="542" t="s">
        <v>709</v>
      </c>
      <c r="AN418" s="924"/>
      <c r="AO418" s="925"/>
      <c r="AP418" s="926"/>
      <c r="AQ418" s="926"/>
      <c r="AR418" s="926"/>
      <c r="AS418" s="926"/>
      <c r="AT418" s="926"/>
      <c r="AU418" s="926"/>
      <c r="AV418" s="926"/>
      <c r="AW418" s="927"/>
      <c r="AX418" s="926"/>
      <c r="AY418" s="1538" t="s">
        <v>29</v>
      </c>
      <c r="AZ418" s="1530"/>
      <c r="BA418" s="1031" t="s">
        <v>3704</v>
      </c>
      <c r="BB418" s="644" t="s">
        <v>3705</v>
      </c>
      <c r="BC418" s="544" t="s">
        <v>116</v>
      </c>
      <c r="BD418" s="544" t="s">
        <v>709</v>
      </c>
      <c r="BE418" s="544" t="s">
        <v>757</v>
      </c>
      <c r="BF418" s="544" t="s">
        <v>709</v>
      </c>
      <c r="BG418" s="544" t="s">
        <v>3706</v>
      </c>
      <c r="BH418" s="741"/>
      <c r="BI418" s="547" t="s">
        <v>709</v>
      </c>
      <c r="BJ418" s="547" t="s">
        <v>709</v>
      </c>
      <c r="BK418" s="547" t="s">
        <v>709</v>
      </c>
      <c r="BL418" s="547" t="s">
        <v>116</v>
      </c>
      <c r="BM418" s="547" t="s">
        <v>709</v>
      </c>
      <c r="BN418" s="547" t="s">
        <v>709</v>
      </c>
      <c r="BO418" s="547" t="s">
        <v>709</v>
      </c>
      <c r="BP418" s="547" t="s">
        <v>709</v>
      </c>
      <c r="BQ418" s="547" t="s">
        <v>709</v>
      </c>
      <c r="BR418" s="547">
        <v>6208</v>
      </c>
      <c r="BS418" s="547">
        <v>22736</v>
      </c>
      <c r="BT418" s="547" t="s">
        <v>709</v>
      </c>
      <c r="BU418" s="547" t="s">
        <v>709</v>
      </c>
      <c r="BV418" s="547" t="s">
        <v>745</v>
      </c>
      <c r="BW418" s="547" t="s">
        <v>709</v>
      </c>
      <c r="BX418" s="547" t="s">
        <v>709</v>
      </c>
      <c r="BY418" s="547" t="s">
        <v>745</v>
      </c>
      <c r="BZ418" s="547" t="s">
        <v>709</v>
      </c>
      <c r="CA418" s="483"/>
      <c r="CB418" s="547">
        <v>416</v>
      </c>
      <c r="CC418" s="1481" t="b">
        <v>1</v>
      </c>
      <c r="CD418" t="str">
        <f>Table15[[#This Row],[Engineering Number]]&amp;Table15[[#This Row],[WO Number]]&amp;Table15[[#This Row],[Date Assigned to Designer]]&amp;Table15[[#This Row],[Date Completed]]</f>
        <v>BS10714103984438544470</v>
      </c>
    </row>
    <row r="419" spans="1:82" customFormat="1" ht="15" customHeight="1" x14ac:dyDescent="0.25">
      <c r="A419">
        <v>2022</v>
      </c>
      <c r="B419" s="8" t="s">
        <v>771</v>
      </c>
      <c r="C419" s="8" t="s">
        <v>3708</v>
      </c>
      <c r="D419" s="8" t="s">
        <v>3709</v>
      </c>
      <c r="E419" s="8" t="s">
        <v>3710</v>
      </c>
      <c r="F419" s="8" t="s">
        <v>738</v>
      </c>
      <c r="G419" s="8" t="s">
        <v>1882</v>
      </c>
      <c r="H419" s="8" t="s">
        <v>59</v>
      </c>
      <c r="I419" s="642">
        <v>44448</v>
      </c>
      <c r="J419" s="18">
        <v>44500</v>
      </c>
      <c r="K419" s="642">
        <v>44473</v>
      </c>
      <c r="L419" s="16">
        <f>IF(ISTEXT(Table15[[#This Row],[Engineering Approved Design Date]]),Table15[[#This Row],[Date Completed]]-Table15[[#This Row],[Date Assigned to Designer]],Table15[[#This Row],[Engineering Approved Design Date]]-Table15[[#This Row],[Date Completed]])</f>
        <v>27</v>
      </c>
      <c r="M419" s="642"/>
      <c r="N419" s="642" t="s">
        <v>120</v>
      </c>
      <c r="O419" s="1025">
        <f t="shared" ref="O419:O428" si="9">K419</f>
        <v>44473</v>
      </c>
      <c r="P419" s="21" t="s">
        <v>120</v>
      </c>
      <c r="Q419" s="340">
        <f>R419*AA419</f>
        <v>22833.166499999999</v>
      </c>
      <c r="R419" s="1026">
        <v>0.09</v>
      </c>
      <c r="S419" s="538" t="s">
        <v>709</v>
      </c>
      <c r="T419" s="538" t="s">
        <v>709</v>
      </c>
      <c r="U419" s="28" t="s">
        <v>709</v>
      </c>
      <c r="V419" s="858">
        <v>1457</v>
      </c>
      <c r="W419" s="437"/>
      <c r="X419" s="538">
        <v>234802.1</v>
      </c>
      <c r="Y419" s="550"/>
      <c r="Z419" s="538">
        <v>18899.75</v>
      </c>
      <c r="AA419" s="538">
        <f>X419+Z419</f>
        <v>253701.85</v>
      </c>
      <c r="AB419" s="341"/>
      <c r="AC419" s="568" t="s">
        <v>709</v>
      </c>
      <c r="AD419" s="1157"/>
      <c r="AE419" s="568"/>
      <c r="AF419" s="568"/>
      <c r="AG419" s="568"/>
      <c r="AH419" s="183"/>
      <c r="AI419" s="1036"/>
      <c r="AJ419" s="1037"/>
      <c r="AK419" s="1037"/>
      <c r="AL419" s="1038"/>
      <c r="AM419" s="542" t="s">
        <v>116</v>
      </c>
      <c r="AN419" s="1508">
        <v>44483</v>
      </c>
      <c r="AO419" s="925">
        <v>191191</v>
      </c>
      <c r="AP419" s="926">
        <v>234802.1</v>
      </c>
      <c r="AQ419" s="926"/>
      <c r="AR419" s="926">
        <v>18899.75</v>
      </c>
      <c r="AS419" s="926">
        <f>IF(Table15[[#This Row],[PCTS Approved]]="N",0,Table15[[#This Row],[Investment Amount (1'#'#'#'#'#)]]+Table15[[#This Row],[Retirement Amount (3'#'#'#'#'#)]])</f>
        <v>253701.85</v>
      </c>
      <c r="AT419" s="926">
        <f>IF(Table15[[#This Row],[Approved Construction Cost]]=0,0,Table15[[#This Row],[Approved Construction Cost]]-Table15[[#This Row],[Construction Cost to Bill From]])</f>
        <v>0</v>
      </c>
      <c r="AU419" s="926">
        <f>Table15[[#This Row],[Difference in Construction Cost]]*Table15[[#This Row],[Rate]]</f>
        <v>0</v>
      </c>
      <c r="AV419" s="926" t="s">
        <v>709</v>
      </c>
      <c r="AW419" s="927"/>
      <c r="AX419" s="926"/>
      <c r="AY419" s="636" t="s">
        <v>1935</v>
      </c>
      <c r="AZ419" s="1531"/>
      <c r="BA419" s="1031" t="s">
        <v>3711</v>
      </c>
      <c r="BB419" s="644" t="s">
        <v>3507</v>
      </c>
      <c r="BC419" s="544" t="s">
        <v>709</v>
      </c>
      <c r="BD419" s="544" t="s">
        <v>709</v>
      </c>
      <c r="BE419" s="544" t="s">
        <v>3712</v>
      </c>
      <c r="BF419" s="544" t="s">
        <v>709</v>
      </c>
      <c r="BG419" s="544" t="s">
        <v>709</v>
      </c>
      <c r="BH419" s="741"/>
      <c r="BI419" s="547" t="s">
        <v>709</v>
      </c>
      <c r="BJ419" s="547" t="s">
        <v>709</v>
      </c>
      <c r="BK419" s="547" t="s">
        <v>709</v>
      </c>
      <c r="BL419" s="547" t="s">
        <v>116</v>
      </c>
      <c r="BM419" s="547" t="s">
        <v>709</v>
      </c>
      <c r="BN419" s="547" t="s">
        <v>709</v>
      </c>
      <c r="BO419" s="547" t="s">
        <v>709</v>
      </c>
      <c r="BP419" s="547" t="s">
        <v>709</v>
      </c>
      <c r="BQ419" s="547" t="s">
        <v>709</v>
      </c>
      <c r="BR419" s="547" t="s">
        <v>709</v>
      </c>
      <c r="BS419" s="547">
        <v>1457</v>
      </c>
      <c r="BT419" s="547" t="s">
        <v>745</v>
      </c>
      <c r="BU419" s="547" t="s">
        <v>709</v>
      </c>
      <c r="BV419" s="547" t="s">
        <v>745</v>
      </c>
      <c r="BW419" s="547" t="s">
        <v>709</v>
      </c>
      <c r="BX419" s="547" t="s">
        <v>745</v>
      </c>
      <c r="BY419" s="547" t="s">
        <v>745</v>
      </c>
      <c r="BZ419" s="547" t="s">
        <v>709</v>
      </c>
      <c r="CA419" s="483"/>
      <c r="CB419" s="547">
        <v>417</v>
      </c>
      <c r="CC419" s="1481" t="b">
        <v>1</v>
      </c>
      <c r="CD419" t="str">
        <f>Table15[[#This Row],[Engineering Number]]&amp;Table15[[#This Row],[WO Number]]&amp;Table15[[#This Row],[Date Assigned to Designer]]&amp;Table15[[#This Row],[Date Completed]]</f>
        <v>BS363-112104934444844473</v>
      </c>
    </row>
    <row r="420" spans="1:82" customFormat="1" ht="15" customHeight="1" x14ac:dyDescent="0.25">
      <c r="A420">
        <v>2022</v>
      </c>
      <c r="B420" s="8" t="s">
        <v>4</v>
      </c>
      <c r="C420" s="8" t="s">
        <v>3714</v>
      </c>
      <c r="D420" s="8" t="s">
        <v>115</v>
      </c>
      <c r="E420" s="8" t="s">
        <v>1763</v>
      </c>
      <c r="F420" s="8" t="s">
        <v>919</v>
      </c>
      <c r="G420" s="8" t="s">
        <v>39</v>
      </c>
      <c r="H420" s="8" t="s">
        <v>1903</v>
      </c>
      <c r="I420" s="642">
        <v>44433</v>
      </c>
      <c r="J420" s="18">
        <v>44505</v>
      </c>
      <c r="K420" s="642">
        <v>44474</v>
      </c>
      <c r="L420" s="16">
        <f>IF(ISTEXT(Table15[[#This Row],[Engineering Approved Design Date]]),Table15[[#This Row],[Date Completed]]-Table15[[#This Row],[Date Assigned to Designer]],Table15[[#This Row],[Engineering Approved Design Date]]-Table15[[#This Row],[Date Completed]])</f>
        <v>31</v>
      </c>
      <c r="M420" s="642"/>
      <c r="N420" s="642" t="s">
        <v>120</v>
      </c>
      <c r="O420" s="1025">
        <f t="shared" si="9"/>
        <v>44474</v>
      </c>
      <c r="P420" s="21" t="s">
        <v>739</v>
      </c>
      <c r="Q420" s="340" t="s">
        <v>115</v>
      </c>
      <c r="R420" s="1039" t="s">
        <v>115</v>
      </c>
      <c r="S420" s="538" t="s">
        <v>709</v>
      </c>
      <c r="T420" s="538" t="s">
        <v>709</v>
      </c>
      <c r="U420" s="87" t="s">
        <v>709</v>
      </c>
      <c r="V420" s="858"/>
      <c r="W420" s="437"/>
      <c r="X420" s="538"/>
      <c r="Y420" s="550"/>
      <c r="Z420" s="538"/>
      <c r="AA420" s="561"/>
      <c r="AB420" s="474"/>
      <c r="AC420" s="574"/>
      <c r="AD420" s="1156"/>
      <c r="AE420" s="1040"/>
      <c r="AF420" s="1040"/>
      <c r="AG420" s="1040"/>
      <c r="AH420" s="1041"/>
      <c r="AI420" s="1042"/>
      <c r="AJ420" s="1043"/>
      <c r="AK420" s="1043"/>
      <c r="AL420" s="1044"/>
      <c r="AM420" s="542" t="s">
        <v>709</v>
      </c>
      <c r="AN420" s="924"/>
      <c r="AO420" s="925"/>
      <c r="AP420" s="926"/>
      <c r="AQ420" s="926"/>
      <c r="AR420" s="926"/>
      <c r="AS420" s="926"/>
      <c r="AT420" s="926"/>
      <c r="AU420" s="926"/>
      <c r="AV420" s="926"/>
      <c r="AW420" s="927"/>
      <c r="AX420" s="926"/>
      <c r="AY420" s="1538" t="s">
        <v>29</v>
      </c>
      <c r="AZ420" s="1530"/>
      <c r="BA420" s="1031" t="s">
        <v>3715</v>
      </c>
      <c r="BB420" s="644" t="s">
        <v>3716</v>
      </c>
      <c r="BC420" s="544"/>
      <c r="BD420" s="544"/>
      <c r="BE420" s="544"/>
      <c r="BF420" s="544"/>
      <c r="BG420" s="544"/>
      <c r="BH420" s="741"/>
      <c r="BI420" s="1032"/>
      <c r="BJ420" s="1032"/>
      <c r="BK420" s="1032"/>
      <c r="BL420" s="1032"/>
      <c r="BM420" s="1032"/>
      <c r="BN420" s="1032"/>
      <c r="BO420" s="1032"/>
      <c r="BP420" s="1032"/>
      <c r="BQ420" s="1032"/>
      <c r="BR420" s="1032"/>
      <c r="BS420" s="1032"/>
      <c r="BT420" s="1032"/>
      <c r="BU420" s="1032"/>
      <c r="BV420" s="1032"/>
      <c r="BW420" s="1032"/>
      <c r="BX420" s="1032"/>
      <c r="BY420" s="1032"/>
      <c r="BZ420" s="1032"/>
      <c r="CA420" s="485"/>
      <c r="CB420" s="547">
        <v>420</v>
      </c>
      <c r="CC420" s="1481" t="b">
        <v>1</v>
      </c>
      <c r="CD420" t="str">
        <f>Table15[[#This Row],[Engineering Number]]&amp;Table15[[#This Row],[WO Number]]&amp;Table15[[#This Row],[Date Assigned to Designer]]&amp;Table15[[#This Row],[Date Completed]]</f>
        <v>M11130-4443344474</v>
      </c>
    </row>
    <row r="421" spans="1:82" customFormat="1" ht="15" customHeight="1" x14ac:dyDescent="0.25">
      <c r="A421">
        <v>2022</v>
      </c>
      <c r="B421" s="8" t="s">
        <v>1073</v>
      </c>
      <c r="C421" s="8" t="s">
        <v>210</v>
      </c>
      <c r="D421" s="8" t="s">
        <v>3718</v>
      </c>
      <c r="E421" s="8" t="s">
        <v>966</v>
      </c>
      <c r="F421" s="8" t="s">
        <v>738</v>
      </c>
      <c r="G421" s="8" t="s">
        <v>2814</v>
      </c>
      <c r="H421" s="8" t="s">
        <v>59</v>
      </c>
      <c r="I421" s="642">
        <v>44439</v>
      </c>
      <c r="J421" s="18">
        <v>44481</v>
      </c>
      <c r="K421" s="642">
        <v>44474</v>
      </c>
      <c r="L421" s="16">
        <f>IF(ISTEXT(Table15[[#This Row],[Engineering Approved Design Date]]),Table15[[#This Row],[Date Completed]]-Table15[[#This Row],[Date Assigned to Designer]],Table15[[#This Row],[Engineering Approved Design Date]]-Table15[[#This Row],[Date Completed]])</f>
        <v>7</v>
      </c>
      <c r="M421" s="642"/>
      <c r="N421" s="642" t="s">
        <v>120</v>
      </c>
      <c r="O421" s="1025">
        <f t="shared" si="9"/>
        <v>44474</v>
      </c>
      <c r="P421" s="21" t="s">
        <v>739</v>
      </c>
      <c r="Q421" s="340">
        <f>R421*AA421</f>
        <v>24543.761200000001</v>
      </c>
      <c r="R421" s="1039">
        <v>7.0000000000000007E-2</v>
      </c>
      <c r="S421" s="538" t="s">
        <v>709</v>
      </c>
      <c r="T421" s="538" t="s">
        <v>709</v>
      </c>
      <c r="U421" s="87" t="s">
        <v>709</v>
      </c>
      <c r="V421" s="858">
        <v>393</v>
      </c>
      <c r="W421" s="437"/>
      <c r="X421" s="538">
        <v>319211.23</v>
      </c>
      <c r="Y421" s="550"/>
      <c r="Z421" s="538">
        <v>31413.93</v>
      </c>
      <c r="AA421" s="551">
        <f>X421+Z421</f>
        <v>350625.16</v>
      </c>
      <c r="AB421" s="341"/>
      <c r="AC421" s="568" t="s">
        <v>116</v>
      </c>
      <c r="AD421" s="1157"/>
      <c r="AE421" s="568"/>
      <c r="AF421" s="568"/>
      <c r="AG421" s="568"/>
      <c r="AH421" s="183"/>
      <c r="AI421" s="1036"/>
      <c r="AJ421" s="1037"/>
      <c r="AK421" s="1037"/>
      <c r="AL421" s="1038"/>
      <c r="AM421" s="542" t="s">
        <v>116</v>
      </c>
      <c r="AN421" s="1508">
        <v>44497</v>
      </c>
      <c r="AO421" s="925">
        <v>11038208</v>
      </c>
      <c r="AP421" s="926">
        <v>319211.23</v>
      </c>
      <c r="AQ421" s="926"/>
      <c r="AR421" s="926">
        <v>31413.93</v>
      </c>
      <c r="AS421" s="926">
        <f>IF(Table15[[#This Row],[PCTS Approved]]="N",0,Table15[[#This Row],[Investment Amount (1'#'#'#'#'#)]]+Table15[[#This Row],[Retirement Amount (3'#'#'#'#'#)]])</f>
        <v>350625.16</v>
      </c>
      <c r="AT421" s="926">
        <f>IF(Table15[[#This Row],[Approved Construction Cost]]=0,0,Table15[[#This Row],[Approved Construction Cost]]-Table15[[#This Row],[Construction Cost to Bill From]])</f>
        <v>0</v>
      </c>
      <c r="AU421" s="926">
        <f>IFERROR(Table15[[#This Row],[Difference in Construction Cost]]*Table15[[#This Row],[Rate]],Table15[[#This Row],[Difference in Construction Cost]]*0.085)</f>
        <v>0</v>
      </c>
      <c r="AV421" s="926">
        <v>3175</v>
      </c>
      <c r="AW421" s="927" t="s">
        <v>3719</v>
      </c>
      <c r="AX421" s="926"/>
      <c r="AY421" s="636" t="s">
        <v>1935</v>
      </c>
      <c r="AZ421" s="1531"/>
      <c r="BA421" s="859" t="s">
        <v>3720</v>
      </c>
      <c r="BB421" s="644" t="s">
        <v>3721</v>
      </c>
      <c r="BC421" s="544" t="s">
        <v>709</v>
      </c>
      <c r="BD421" s="544" t="s">
        <v>709</v>
      </c>
      <c r="BE421" s="544" t="s">
        <v>3722</v>
      </c>
      <c r="BF421" s="544" t="s">
        <v>709</v>
      </c>
      <c r="BG421" s="544" t="s">
        <v>709</v>
      </c>
      <c r="BH421" s="741"/>
      <c r="BI421" s="547" t="s">
        <v>709</v>
      </c>
      <c r="BJ421" s="547" t="s">
        <v>709</v>
      </c>
      <c r="BK421" s="547" t="s">
        <v>709</v>
      </c>
      <c r="BL421" s="547" t="s">
        <v>116</v>
      </c>
      <c r="BM421" s="547" t="s">
        <v>709</v>
      </c>
      <c r="BN421" s="547" t="s">
        <v>709</v>
      </c>
      <c r="BO421" s="547" t="s">
        <v>709</v>
      </c>
      <c r="BP421" s="547">
        <v>393</v>
      </c>
      <c r="BQ421" s="547" t="s">
        <v>709</v>
      </c>
      <c r="BR421" s="547" t="s">
        <v>709</v>
      </c>
      <c r="BS421" s="547" t="s">
        <v>709</v>
      </c>
      <c r="BT421" s="547" t="s">
        <v>745</v>
      </c>
      <c r="BU421" s="547" t="s">
        <v>709</v>
      </c>
      <c r="BV421" s="547" t="s">
        <v>745</v>
      </c>
      <c r="BW421" s="547" t="s">
        <v>709</v>
      </c>
      <c r="BX421" s="547" t="s">
        <v>745</v>
      </c>
      <c r="BY421" s="547" t="s">
        <v>745</v>
      </c>
      <c r="BZ421" s="547" t="s">
        <v>709</v>
      </c>
      <c r="CA421" s="483"/>
      <c r="CB421" s="547">
        <v>419</v>
      </c>
      <c r="CC421" s="1481" t="b">
        <v>1</v>
      </c>
      <c r="CD421" t="str">
        <f>Table15[[#This Row],[Engineering Number]]&amp;Table15[[#This Row],[WO Number]]&amp;Table15[[#This Row],[Date Assigned to Designer]]&amp;Table15[[#This Row],[Date Completed]]</f>
        <v>NBA1000125415105804443944474</v>
      </c>
    </row>
    <row r="422" spans="1:82" customFormat="1" ht="15" customHeight="1" x14ac:dyDescent="0.25">
      <c r="A422">
        <v>2022</v>
      </c>
      <c r="B422" s="8" t="s">
        <v>4</v>
      </c>
      <c r="C422" s="8" t="s">
        <v>213</v>
      </c>
      <c r="D422" s="8" t="s">
        <v>3724</v>
      </c>
      <c r="E422" s="8" t="s">
        <v>141</v>
      </c>
      <c r="F422" s="8" t="s">
        <v>919</v>
      </c>
      <c r="G422" s="8" t="s">
        <v>2814</v>
      </c>
      <c r="H422" s="8" t="s">
        <v>59</v>
      </c>
      <c r="I422" s="642">
        <v>44203</v>
      </c>
      <c r="J422" s="18">
        <v>44484</v>
      </c>
      <c r="K422" s="642">
        <v>44474</v>
      </c>
      <c r="L422" s="16">
        <f>IF(ISTEXT(Table15[[#This Row],[Engineering Approved Design Date]]),Table15[[#This Row],[Date Completed]]-Table15[[#This Row],[Date Assigned to Designer]],Table15[[#This Row],[Engineering Approved Design Date]]-Table15[[#This Row],[Date Completed]])</f>
        <v>10</v>
      </c>
      <c r="M422" s="642"/>
      <c r="N422" s="642" t="s">
        <v>120</v>
      </c>
      <c r="O422" s="1025">
        <f t="shared" si="9"/>
        <v>44474</v>
      </c>
      <c r="P422" s="21" t="s">
        <v>120</v>
      </c>
      <c r="Q422" s="340">
        <f>R422*AA422</f>
        <v>92610.570999999996</v>
      </c>
      <c r="R422" s="1039">
        <v>0.1</v>
      </c>
      <c r="S422" s="538" t="s">
        <v>709</v>
      </c>
      <c r="T422" s="538" t="s">
        <v>709</v>
      </c>
      <c r="U422" s="87" t="s">
        <v>709</v>
      </c>
      <c r="V422" s="858">
        <v>3673</v>
      </c>
      <c r="W422" s="437"/>
      <c r="X422" s="538">
        <v>804733.27</v>
      </c>
      <c r="Y422" s="550"/>
      <c r="Z422" s="538">
        <v>121372.44</v>
      </c>
      <c r="AA422" s="551">
        <f>X422+Z422</f>
        <v>926105.71</v>
      </c>
      <c r="AB422" s="341"/>
      <c r="AC422" s="568" t="s">
        <v>116</v>
      </c>
      <c r="AD422" s="1157"/>
      <c r="AE422" s="579"/>
      <c r="AF422" s="579"/>
      <c r="AG422" s="579"/>
      <c r="AH422" s="553"/>
      <c r="AI422" s="1036"/>
      <c r="AJ422" s="1037"/>
      <c r="AK422" s="1037"/>
      <c r="AL422" s="1038"/>
      <c r="AM422" s="1522" t="s">
        <v>116</v>
      </c>
      <c r="AN422" s="1523">
        <v>44753</v>
      </c>
      <c r="AO422" s="1524">
        <v>11042547</v>
      </c>
      <c r="AP422" s="1525">
        <v>817570.24</v>
      </c>
      <c r="AQ422" s="1525"/>
      <c r="AR422" s="1525">
        <v>120211.4</v>
      </c>
      <c r="AS422" s="1525">
        <f>IF(Table15[[#This Row],[PCTS Approved]]="N",0,Table15[[#This Row],[Investment Amount (1'#'#'#'#'#)]]+Table15[[#This Row],[Retirement Amount (3'#'#'#'#'#)]])</f>
        <v>937781.64</v>
      </c>
      <c r="AT422" s="1525">
        <f>IF(Table15[[#This Row],[Approved Construction Cost]]=0,0,Table15[[#This Row],[Approved Construction Cost]]-Table15[[#This Row],[Construction Cost to Bill From]])</f>
        <v>11675.930000000051</v>
      </c>
      <c r="AU422" s="1525">
        <f>IFERROR(Table15[[#This Row],[Difference in Construction Cost]]*Table15[[#This Row],[Rate]],Table15[[#This Row],[Difference in Construction Cost]]*0.085)</f>
        <v>1167.5930000000051</v>
      </c>
      <c r="AV422" s="1525">
        <v>10915</v>
      </c>
      <c r="AW422" s="1526" t="s">
        <v>3725</v>
      </c>
      <c r="AX422" s="1525">
        <v>0</v>
      </c>
      <c r="AY422" s="1518">
        <v>45008</v>
      </c>
      <c r="AZ422" s="333"/>
      <c r="BA422" s="1031" t="s">
        <v>3726</v>
      </c>
      <c r="BB422" s="644" t="s">
        <v>3727</v>
      </c>
      <c r="BC422" s="544" t="s">
        <v>116</v>
      </c>
      <c r="BD422" s="544" t="s">
        <v>709</v>
      </c>
      <c r="BE422" s="544" t="s">
        <v>757</v>
      </c>
      <c r="BF422" s="544" t="s">
        <v>709</v>
      </c>
      <c r="BG422" s="544" t="s">
        <v>709</v>
      </c>
      <c r="BH422" s="741"/>
      <c r="BI422" s="547" t="s">
        <v>709</v>
      </c>
      <c r="BJ422" s="547" t="s">
        <v>709</v>
      </c>
      <c r="BK422" s="547" t="s">
        <v>709</v>
      </c>
      <c r="BL422" s="547" t="s">
        <v>116</v>
      </c>
      <c r="BM422" s="547" t="s">
        <v>709</v>
      </c>
      <c r="BN422" s="547" t="s">
        <v>709</v>
      </c>
      <c r="BO422" s="547" t="s">
        <v>709</v>
      </c>
      <c r="BP422" s="547">
        <v>2695</v>
      </c>
      <c r="BQ422" s="547">
        <v>173</v>
      </c>
      <c r="BR422" s="547">
        <v>5</v>
      </c>
      <c r="BS422" s="547">
        <v>800</v>
      </c>
      <c r="BT422" s="547" t="s">
        <v>745</v>
      </c>
      <c r="BU422" s="547" t="s">
        <v>709</v>
      </c>
      <c r="BV422" s="547" t="s">
        <v>745</v>
      </c>
      <c r="BW422" s="547" t="s">
        <v>709</v>
      </c>
      <c r="BX422" s="547" t="s">
        <v>745</v>
      </c>
      <c r="BY422" s="547" t="s">
        <v>745</v>
      </c>
      <c r="BZ422" s="547" t="s">
        <v>709</v>
      </c>
      <c r="CA422" s="483"/>
      <c r="CB422" s="547">
        <v>418</v>
      </c>
      <c r="CC422" s="1481" t="b">
        <v>1</v>
      </c>
      <c r="CD422" t="str">
        <f>Table15[[#This Row],[Engineering Number]]&amp;Table15[[#This Row],[WO Number]]&amp;Table15[[#This Row],[Date Assigned to Designer]]&amp;Table15[[#This Row],[Date Completed]]</f>
        <v>SC170611408624420344474</v>
      </c>
    </row>
    <row r="423" spans="1:82" customFormat="1" ht="15" customHeight="1" x14ac:dyDescent="0.25">
      <c r="A423">
        <v>2022</v>
      </c>
      <c r="B423" s="8" t="s">
        <v>2989</v>
      </c>
      <c r="C423" s="8" t="s">
        <v>3736</v>
      </c>
      <c r="D423" s="8" t="s">
        <v>3737</v>
      </c>
      <c r="E423" s="8" t="s">
        <v>1428</v>
      </c>
      <c r="F423" s="8" t="s">
        <v>752</v>
      </c>
      <c r="G423" s="8" t="s">
        <v>22</v>
      </c>
      <c r="H423" s="8" t="s">
        <v>59</v>
      </c>
      <c r="I423" s="642">
        <v>44431</v>
      </c>
      <c r="J423" s="18">
        <v>44477</v>
      </c>
      <c r="K423" s="642">
        <v>44475</v>
      </c>
      <c r="L423" s="16">
        <f>IF(ISTEXT(Table15[[#This Row],[Engineering Approved Design Date]]),Table15[[#This Row],[Date Completed]]-Table15[[#This Row],[Date Assigned to Designer]],Table15[[#This Row],[Engineering Approved Design Date]]-Table15[[#This Row],[Date Completed]])</f>
        <v>2</v>
      </c>
      <c r="M423" s="642"/>
      <c r="N423" s="642" t="s">
        <v>120</v>
      </c>
      <c r="O423" s="1025">
        <f t="shared" si="9"/>
        <v>44475</v>
      </c>
      <c r="P423" s="21" t="s">
        <v>739</v>
      </c>
      <c r="Q423" s="340">
        <f>R423*AA423</f>
        <v>7683.5096999999996</v>
      </c>
      <c r="R423" s="1039">
        <v>0.09</v>
      </c>
      <c r="S423" s="538" t="s">
        <v>709</v>
      </c>
      <c r="T423" s="538" t="s">
        <v>709</v>
      </c>
      <c r="U423" s="87" t="s">
        <v>709</v>
      </c>
      <c r="V423" s="858">
        <v>380</v>
      </c>
      <c r="W423" s="437"/>
      <c r="X423" s="538"/>
      <c r="Y423" s="550"/>
      <c r="Z423" s="538">
        <v>85372.33</v>
      </c>
      <c r="AA423" s="551">
        <f>X423+Z423</f>
        <v>85372.33</v>
      </c>
      <c r="AB423" s="341"/>
      <c r="AC423" s="568" t="s">
        <v>709</v>
      </c>
      <c r="AD423" s="1157"/>
      <c r="AE423" s="579"/>
      <c r="AF423" s="579"/>
      <c r="AG423" s="579"/>
      <c r="AH423" s="553"/>
      <c r="AI423" s="1036"/>
      <c r="AJ423" s="1037"/>
      <c r="AK423" s="1037"/>
      <c r="AL423" s="1038"/>
      <c r="AM423" s="542" t="s">
        <v>116</v>
      </c>
      <c r="AN423" s="1508">
        <v>44585</v>
      </c>
      <c r="AO423" s="925">
        <v>11039617</v>
      </c>
      <c r="AP423" s="926">
        <v>0</v>
      </c>
      <c r="AQ423" s="926"/>
      <c r="AR423" s="926">
        <v>85372.33</v>
      </c>
      <c r="AS423" s="926">
        <f>IF(Table15[[#This Row],[PCTS Approved]]="N",0,Table15[[#This Row],[Investment Amount (1'#'#'#'#'#)]]+Table15[[#This Row],[Retirement Amount (3'#'#'#'#'#)]])</f>
        <v>85372.33</v>
      </c>
      <c r="AT423" s="926">
        <f>IF(Table15[[#This Row],[Approved Construction Cost]]=0,0,Table15[[#This Row],[Approved Construction Cost]]-Table15[[#This Row],[Construction Cost to Bill From]])</f>
        <v>0</v>
      </c>
      <c r="AU423" s="926">
        <f>IFERROR(Table15[[#This Row],[Difference in Construction Cost]]*Table15[[#This Row],[Rate]],Table15[[#This Row],[Difference in Construction Cost]]*0.085)</f>
        <v>0</v>
      </c>
      <c r="AV423" s="926" t="s">
        <v>709</v>
      </c>
      <c r="AW423" s="927"/>
      <c r="AX423" s="926"/>
      <c r="AY423" s="636" t="s">
        <v>1935</v>
      </c>
      <c r="AZ423" s="1533"/>
      <c r="BA423" s="859" t="s">
        <v>3738</v>
      </c>
      <c r="BB423" s="644" t="s">
        <v>3739</v>
      </c>
      <c r="BC423" s="544" t="s">
        <v>116</v>
      </c>
      <c r="BD423" s="544" t="s">
        <v>709</v>
      </c>
      <c r="BE423" s="544" t="s">
        <v>709</v>
      </c>
      <c r="BF423" s="544" t="s">
        <v>1431</v>
      </c>
      <c r="BG423" s="544" t="s">
        <v>709</v>
      </c>
      <c r="BH423" s="741"/>
      <c r="BI423" s="547" t="s">
        <v>709</v>
      </c>
      <c r="BJ423" s="547" t="s">
        <v>709</v>
      </c>
      <c r="BK423" s="547" t="s">
        <v>709</v>
      </c>
      <c r="BL423" s="547" t="s">
        <v>709</v>
      </c>
      <c r="BM423" s="547" t="s">
        <v>709</v>
      </c>
      <c r="BN423" s="547" t="s">
        <v>709</v>
      </c>
      <c r="BO423" s="547" t="s">
        <v>709</v>
      </c>
      <c r="BP423" s="547" t="s">
        <v>709</v>
      </c>
      <c r="BQ423" s="547" t="s">
        <v>709</v>
      </c>
      <c r="BR423" s="547" t="s">
        <v>709</v>
      </c>
      <c r="BS423" s="547" t="s">
        <v>709</v>
      </c>
      <c r="BT423" s="547" t="s">
        <v>709</v>
      </c>
      <c r="BU423" s="547" t="s">
        <v>709</v>
      </c>
      <c r="BV423" s="547">
        <v>2</v>
      </c>
      <c r="BW423" s="547" t="s">
        <v>709</v>
      </c>
      <c r="BX423" s="547" t="s">
        <v>709</v>
      </c>
      <c r="BY423" s="547" t="s">
        <v>709</v>
      </c>
      <c r="BZ423" s="547" t="s">
        <v>709</v>
      </c>
      <c r="CA423" s="483" t="s">
        <v>2</v>
      </c>
      <c r="CB423" s="547">
        <v>423</v>
      </c>
      <c r="CC423" s="1481" t="b">
        <v>1</v>
      </c>
      <c r="CD423" t="str">
        <f>Table15[[#This Row],[Engineering Number]]&amp;Table15[[#This Row],[WO Number]]&amp;Table15[[#This Row],[Date Assigned to Designer]]&amp;Table15[[#This Row],[Date Completed]]</f>
        <v>MR178132105524443144475</v>
      </c>
    </row>
    <row r="424" spans="1:82" customFormat="1" ht="15" customHeight="1" x14ac:dyDescent="0.25">
      <c r="A424">
        <v>2022</v>
      </c>
      <c r="B424" s="8" t="s">
        <v>730</v>
      </c>
      <c r="C424" s="8" t="s">
        <v>3729</v>
      </c>
      <c r="D424" s="8" t="s">
        <v>3730</v>
      </c>
      <c r="E424" s="8" t="s">
        <v>3731</v>
      </c>
      <c r="F424" s="8" t="s">
        <v>747</v>
      </c>
      <c r="G424" s="8" t="s">
        <v>347</v>
      </c>
      <c r="H424" s="8" t="s">
        <v>59</v>
      </c>
      <c r="I424" s="642">
        <v>44350</v>
      </c>
      <c r="J424" s="18">
        <v>44512</v>
      </c>
      <c r="K424" s="642">
        <v>44475</v>
      </c>
      <c r="L424" s="16">
        <f>IF(ISTEXT(Table15[[#This Row],[Engineering Approved Design Date]]),Table15[[#This Row],[Date Completed]]-Table15[[#This Row],[Date Assigned to Designer]],Table15[[#This Row],[Engineering Approved Design Date]]-Table15[[#This Row],[Date Completed]])</f>
        <v>37</v>
      </c>
      <c r="M424" s="642"/>
      <c r="N424" s="642" t="s">
        <v>120</v>
      </c>
      <c r="O424" s="1025">
        <f t="shared" si="9"/>
        <v>44475</v>
      </c>
      <c r="P424" s="21" t="s">
        <v>120</v>
      </c>
      <c r="Q424" s="1151">
        <f>(Table15[[#This Row],[Construction Cost to Bill From]]*0.085)+5250</f>
        <v>23334.999500000002</v>
      </c>
      <c r="R424" s="1026" t="s">
        <v>794</v>
      </c>
      <c r="S424" s="538" t="s">
        <v>709</v>
      </c>
      <c r="T424" s="538" t="s">
        <v>709</v>
      </c>
      <c r="U424" s="28" t="s">
        <v>709</v>
      </c>
      <c r="V424" s="858">
        <v>217</v>
      </c>
      <c r="W424" s="437"/>
      <c r="X424" s="538">
        <v>168627.45</v>
      </c>
      <c r="Y424" s="550"/>
      <c r="Z424" s="538">
        <v>44137.25</v>
      </c>
      <c r="AA424" s="551">
        <f>X424+Z424</f>
        <v>212764.7</v>
      </c>
      <c r="AB424" s="341"/>
      <c r="AC424" s="568" t="s">
        <v>1177</v>
      </c>
      <c r="AD424" s="1157"/>
      <c r="AE424" s="579"/>
      <c r="AF424" s="579"/>
      <c r="AG424" s="579"/>
      <c r="AH424" s="553"/>
      <c r="AI424" s="1036"/>
      <c r="AJ424" s="1037"/>
      <c r="AK424" s="1037"/>
      <c r="AL424" s="1038"/>
      <c r="AM424" s="1522" t="s">
        <v>116</v>
      </c>
      <c r="AN424" s="1523">
        <v>44697</v>
      </c>
      <c r="AO424" s="1524">
        <v>11038819</v>
      </c>
      <c r="AP424" s="1525">
        <v>156738.82999999999</v>
      </c>
      <c r="AQ424" s="1525"/>
      <c r="AR424" s="1525">
        <v>32235.599999999999</v>
      </c>
      <c r="AS424" s="1525">
        <f>IF(Table15[[#This Row],[PCTS Approved]]="N",0,Table15[[#This Row],[Investment Amount (1'#'#'#'#'#)]]+Table15[[#This Row],[Retirement Amount (3'#'#'#'#'#)]])</f>
        <v>188974.43</v>
      </c>
      <c r="AT424" s="1525">
        <f>IF(Table15[[#This Row],[Approved Construction Cost]]=0,0,Table15[[#This Row],[Approved Construction Cost]]-Table15[[#This Row],[Construction Cost to Bill From]])</f>
        <v>-23790.270000000019</v>
      </c>
      <c r="AU424" s="1525">
        <f>IFERROR(Table15[[#This Row],[Difference in Construction Cost]]*Table15[[#This Row],[Rate]],Table15[[#This Row],[Difference in Construction Cost]]*0.085)</f>
        <v>-2022.1729500000017</v>
      </c>
      <c r="AV424" s="1525" t="s">
        <v>709</v>
      </c>
      <c r="AW424" s="1526" t="s">
        <v>3732</v>
      </c>
      <c r="AX424" s="1525">
        <f>Table15[[#This Row],[Reconcile Amount]]</f>
        <v>-2022.1729500000017</v>
      </c>
      <c r="AY424" s="1518">
        <v>45008</v>
      </c>
      <c r="AZ424" s="333"/>
      <c r="BA424" s="1031" t="s">
        <v>3733</v>
      </c>
      <c r="BB424" s="644" t="s">
        <v>814</v>
      </c>
      <c r="BC424" s="544" t="s">
        <v>709</v>
      </c>
      <c r="BD424" s="544" t="s">
        <v>709</v>
      </c>
      <c r="BE424" s="544" t="s">
        <v>709</v>
      </c>
      <c r="BF424" s="544" t="s">
        <v>3734</v>
      </c>
      <c r="BG424" s="544" t="s">
        <v>709</v>
      </c>
      <c r="BH424" s="741"/>
      <c r="BI424" s="547" t="s">
        <v>709</v>
      </c>
      <c r="BJ424" s="547" t="s">
        <v>709</v>
      </c>
      <c r="BK424" s="547" t="s">
        <v>116</v>
      </c>
      <c r="BL424" s="547" t="s">
        <v>116</v>
      </c>
      <c r="BM424" s="547" t="s">
        <v>709</v>
      </c>
      <c r="BN424" s="547" t="s">
        <v>709</v>
      </c>
      <c r="BO424" s="547" t="s">
        <v>709</v>
      </c>
      <c r="BP424" s="547" t="s">
        <v>709</v>
      </c>
      <c r="BQ424" s="547" t="s">
        <v>709</v>
      </c>
      <c r="BR424" s="547">
        <v>176</v>
      </c>
      <c r="BS424" s="547">
        <v>40</v>
      </c>
      <c r="BT424" s="547" t="s">
        <v>709</v>
      </c>
      <c r="BU424" s="547">
        <v>1</v>
      </c>
      <c r="BV424" s="547" t="s">
        <v>709</v>
      </c>
      <c r="BW424" s="547" t="s">
        <v>709</v>
      </c>
      <c r="BX424" s="547">
        <v>1</v>
      </c>
      <c r="BY424" s="547" t="s">
        <v>709</v>
      </c>
      <c r="BZ424" s="547" t="s">
        <v>709</v>
      </c>
      <c r="CA424" s="483" t="s">
        <v>730</v>
      </c>
      <c r="CB424" s="547">
        <v>422</v>
      </c>
      <c r="CC424" s="1481" t="b">
        <v>1</v>
      </c>
      <c r="CD424" t="str">
        <f>Table15[[#This Row],[Engineering Number]]&amp;Table15[[#This Row],[WO Number]]&amp;Table15[[#This Row],[Date Assigned to Designer]]&amp;Table15[[#This Row],[Date Completed]]</f>
        <v>RS86910102194435044475</v>
      </c>
    </row>
    <row r="425" spans="1:82" customFormat="1" ht="15" customHeight="1" x14ac:dyDescent="0.25">
      <c r="A425">
        <v>2022</v>
      </c>
      <c r="B425" s="8" t="s">
        <v>4</v>
      </c>
      <c r="C425" s="8" t="s">
        <v>3215</v>
      </c>
      <c r="D425" s="8" t="s">
        <v>3216</v>
      </c>
      <c r="E425" s="8" t="s">
        <v>783</v>
      </c>
      <c r="F425" s="8" t="s">
        <v>738</v>
      </c>
      <c r="G425" s="8" t="s">
        <v>2814</v>
      </c>
      <c r="H425" s="8" t="s">
        <v>2051</v>
      </c>
      <c r="I425" s="642">
        <v>44446</v>
      </c>
      <c r="J425" s="18" t="s">
        <v>2052</v>
      </c>
      <c r="K425" s="97">
        <v>44475</v>
      </c>
      <c r="L425" s="16">
        <f>IF(ISTEXT(Table15[[#This Row],[Engineering Approved Design Date]]),Table15[[#This Row],[Date Completed]]-Table15[[#This Row],[Date Assigned to Designer]],Table15[[#This Row],[Engineering Approved Design Date]]-Table15[[#This Row],[Date Completed]])</f>
        <v>29</v>
      </c>
      <c r="M425" s="642" t="s">
        <v>2685</v>
      </c>
      <c r="N425" s="642" t="s">
        <v>120</v>
      </c>
      <c r="O425" s="1025">
        <f t="shared" si="9"/>
        <v>44475</v>
      </c>
      <c r="P425" s="21" t="s">
        <v>739</v>
      </c>
      <c r="Q425" s="340">
        <f>U425</f>
        <v>7680</v>
      </c>
      <c r="R425" s="1026" t="s">
        <v>1922</v>
      </c>
      <c r="S425" s="538" t="s">
        <v>709</v>
      </c>
      <c r="T425" s="538" t="s">
        <v>709</v>
      </c>
      <c r="U425" s="28">
        <v>7680</v>
      </c>
      <c r="V425" s="858"/>
      <c r="W425" s="437"/>
      <c r="X425" s="538"/>
      <c r="Y425" s="550"/>
      <c r="Z425" s="538"/>
      <c r="AA425" s="538"/>
      <c r="AB425" s="21"/>
      <c r="AC425" s="569"/>
      <c r="AD425" s="1149"/>
      <c r="AE425" s="580"/>
      <c r="AF425" s="580"/>
      <c r="AG425" s="580"/>
      <c r="AH425" s="542"/>
      <c r="AI425" s="1028"/>
      <c r="AJ425" s="1029"/>
      <c r="AK425" s="1029"/>
      <c r="AL425" s="1030"/>
      <c r="AM425" s="542" t="s">
        <v>709</v>
      </c>
      <c r="AN425" s="924"/>
      <c r="AO425" s="925"/>
      <c r="AP425" s="926"/>
      <c r="AQ425" s="926"/>
      <c r="AR425" s="926"/>
      <c r="AS425" s="926"/>
      <c r="AT425" s="926"/>
      <c r="AU425" s="926"/>
      <c r="AV425" s="926"/>
      <c r="AW425" s="927"/>
      <c r="AX425" s="926"/>
      <c r="AY425" s="1538" t="s">
        <v>29</v>
      </c>
      <c r="AZ425" s="1530"/>
      <c r="BA425" s="1031">
        <v>12</v>
      </c>
      <c r="BB425" s="644"/>
      <c r="BC425" s="544"/>
      <c r="BD425" s="544"/>
      <c r="BE425" s="544"/>
      <c r="BF425" s="544"/>
      <c r="BG425" s="544"/>
      <c r="BH425" s="741"/>
      <c r="BI425" s="547" t="s">
        <v>709</v>
      </c>
      <c r="BJ425" s="547" t="s">
        <v>709</v>
      </c>
      <c r="BK425" s="547" t="s">
        <v>709</v>
      </c>
      <c r="BL425" s="547" t="s">
        <v>116</v>
      </c>
      <c r="BM425" s="547" t="s">
        <v>709</v>
      </c>
      <c r="BN425" s="547" t="s">
        <v>709</v>
      </c>
      <c r="BO425" s="547" t="s">
        <v>709</v>
      </c>
      <c r="BP425" s="547" t="s">
        <v>709</v>
      </c>
      <c r="BQ425" s="547" t="s">
        <v>709</v>
      </c>
      <c r="BR425" s="547" t="s">
        <v>709</v>
      </c>
      <c r="BS425" s="547">
        <v>2146</v>
      </c>
      <c r="BT425" s="547" t="s">
        <v>745</v>
      </c>
      <c r="BU425" s="547" t="s">
        <v>709</v>
      </c>
      <c r="BV425" s="547" t="s">
        <v>745</v>
      </c>
      <c r="BW425" s="547" t="s">
        <v>709</v>
      </c>
      <c r="BX425" s="547" t="s">
        <v>745</v>
      </c>
      <c r="BY425" s="547" t="s">
        <v>745</v>
      </c>
      <c r="BZ425" s="547" t="s">
        <v>709</v>
      </c>
      <c r="CA425" s="483"/>
      <c r="CB425" s="547">
        <v>421</v>
      </c>
      <c r="CC425" s="1481" t="b">
        <v>1</v>
      </c>
      <c r="CD425" t="str">
        <f>Table15[[#This Row],[Engineering Number]]&amp;Table15[[#This Row],[WO Number]]&amp;Table15[[#This Row],[Date Assigned to Designer]]&amp;Table15[[#This Row],[Date Completed]]</f>
        <v>SC188171357294444644475</v>
      </c>
    </row>
    <row r="426" spans="1:82" customFormat="1" ht="15" customHeight="1" x14ac:dyDescent="0.25">
      <c r="A426">
        <v>2021</v>
      </c>
      <c r="B426" s="8" t="s">
        <v>1073</v>
      </c>
      <c r="C426" s="8" t="s">
        <v>3742</v>
      </c>
      <c r="D426" s="8" t="s">
        <v>3743</v>
      </c>
      <c r="E426" s="8" t="s">
        <v>118</v>
      </c>
      <c r="F426" s="8" t="s">
        <v>738</v>
      </c>
      <c r="G426" s="8" t="s">
        <v>22</v>
      </c>
      <c r="H426" s="8" t="s">
        <v>59</v>
      </c>
      <c r="I426" s="642">
        <v>44405</v>
      </c>
      <c r="J426" s="18">
        <v>44481</v>
      </c>
      <c r="K426" s="97">
        <v>44476</v>
      </c>
      <c r="L426" s="16">
        <f>IF(ISTEXT(Table15[[#This Row],[Engineering Approved Design Date]]),Table15[[#This Row],[Date Completed]]-Table15[[#This Row],[Date Assigned to Designer]],Table15[[#This Row],[Engineering Approved Design Date]]-Table15[[#This Row],[Date Completed]])</f>
        <v>5</v>
      </c>
      <c r="M426" s="642"/>
      <c r="N426" s="642" t="s">
        <v>120</v>
      </c>
      <c r="O426" s="1025">
        <f t="shared" si="9"/>
        <v>44476</v>
      </c>
      <c r="P426" s="21" t="s">
        <v>739</v>
      </c>
      <c r="Q426" s="340">
        <f>R426*AA426</f>
        <v>91956.515000000014</v>
      </c>
      <c r="R426" s="1026">
        <v>7.0000000000000007E-2</v>
      </c>
      <c r="S426" s="538" t="s">
        <v>709</v>
      </c>
      <c r="T426" s="538" t="s">
        <v>709</v>
      </c>
      <c r="U426" s="87" t="s">
        <v>709</v>
      </c>
      <c r="V426" s="858"/>
      <c r="W426" s="437"/>
      <c r="X426" s="538">
        <v>1270349.24</v>
      </c>
      <c r="Y426" s="550"/>
      <c r="Z426" s="538">
        <v>43315.26</v>
      </c>
      <c r="AA426" s="551">
        <f>X426+Z426</f>
        <v>1313664.5</v>
      </c>
      <c r="AB426" s="341"/>
      <c r="AC426" s="568" t="s">
        <v>709</v>
      </c>
      <c r="AD426" s="1157"/>
      <c r="AE426" s="568"/>
      <c r="AF426" s="568"/>
      <c r="AG426" s="568"/>
      <c r="AH426" s="183"/>
      <c r="AI426" s="1036"/>
      <c r="AJ426" s="1037"/>
      <c r="AK426" s="1037"/>
      <c r="AL426" s="1038"/>
      <c r="AM426" s="1522" t="s">
        <v>116</v>
      </c>
      <c r="AN426" s="1523">
        <v>44593</v>
      </c>
      <c r="AO426" s="1524">
        <v>11039414</v>
      </c>
      <c r="AP426" s="1525">
        <v>1293438.2</v>
      </c>
      <c r="AQ426" s="1525"/>
      <c r="AR426" s="1525">
        <v>55193.21</v>
      </c>
      <c r="AS426" s="1525">
        <f>IF(Table15[[#This Row],[PCTS Approved]]="N",0,Table15[[#This Row],[Investment Amount (1'#'#'#'#'#)]]+Table15[[#This Row],[Retirement Amount (3'#'#'#'#'#)]])</f>
        <v>1348631.41</v>
      </c>
      <c r="AT426" s="1525">
        <f>IF(Table15[[#This Row],[Approved Construction Cost]]=0,0,Table15[[#This Row],[Approved Construction Cost]]-Table15[[#This Row],[Construction Cost to Bill From]])</f>
        <v>34966.909999999916</v>
      </c>
      <c r="AU426" s="1525">
        <f>IFERROR(Table15[[#This Row],[Difference in Construction Cost]]*Table15[[#This Row],[Rate]],Table15[[#This Row],[Difference in Construction Cost]]*0.085)</f>
        <v>2447.6836999999946</v>
      </c>
      <c r="AV426" s="1525">
        <v>7752.5</v>
      </c>
      <c r="AW426" s="1526" t="s">
        <v>3744</v>
      </c>
      <c r="AX426" s="1525">
        <v>0</v>
      </c>
      <c r="AY426" s="1518">
        <v>45008</v>
      </c>
      <c r="AZ426" s="333"/>
      <c r="BA426" s="1031" t="s">
        <v>3745</v>
      </c>
      <c r="BB426" s="644" t="s">
        <v>3746</v>
      </c>
      <c r="BC426" s="544" t="s">
        <v>709</v>
      </c>
      <c r="BD426" s="544" t="s">
        <v>1167</v>
      </c>
      <c r="BE426" s="544" t="s">
        <v>2898</v>
      </c>
      <c r="BF426" s="544" t="s">
        <v>2898</v>
      </c>
      <c r="BG426" s="544" t="s">
        <v>709</v>
      </c>
      <c r="BH426" s="741"/>
      <c r="BI426" s="547" t="s">
        <v>709</v>
      </c>
      <c r="BJ426" s="547" t="s">
        <v>709</v>
      </c>
      <c r="BK426" s="547" t="s">
        <v>709</v>
      </c>
      <c r="BL426" s="547" t="s">
        <v>116</v>
      </c>
      <c r="BM426" s="547" t="s">
        <v>709</v>
      </c>
      <c r="BN426" s="547" t="s">
        <v>709</v>
      </c>
      <c r="BO426" s="547" t="s">
        <v>709</v>
      </c>
      <c r="BP426" s="547" t="s">
        <v>709</v>
      </c>
      <c r="BQ426" s="547">
        <v>1469</v>
      </c>
      <c r="BR426" s="547">
        <v>2351</v>
      </c>
      <c r="BS426" s="547">
        <v>7386</v>
      </c>
      <c r="BT426" s="547" t="s">
        <v>745</v>
      </c>
      <c r="BU426" s="547" t="s">
        <v>709</v>
      </c>
      <c r="BV426" s="547" t="s">
        <v>745</v>
      </c>
      <c r="BW426" s="547" t="s">
        <v>709</v>
      </c>
      <c r="BX426" s="547" t="s">
        <v>709</v>
      </c>
      <c r="BY426" s="547" t="s">
        <v>745</v>
      </c>
      <c r="BZ426" s="547" t="s">
        <v>709</v>
      </c>
      <c r="CA426" s="483"/>
      <c r="CB426" s="547">
        <v>424</v>
      </c>
      <c r="CC426" s="1481" t="b">
        <v>1</v>
      </c>
      <c r="CD426" t="str">
        <f>Table15[[#This Row],[Engineering Number]]&amp;Table15[[#This Row],[WO Number]]&amp;Table15[[#This Row],[Date Assigned to Designer]]&amp;Table15[[#This Row],[Date Completed]]</f>
        <v>NBA1000171216104424440544476</v>
      </c>
    </row>
    <row r="427" spans="1:82" customFormat="1" ht="15" customHeight="1" x14ac:dyDescent="0.25">
      <c r="A427">
        <v>2021</v>
      </c>
      <c r="B427" s="8" t="s">
        <v>1073</v>
      </c>
      <c r="C427" s="8" t="s">
        <v>3300</v>
      </c>
      <c r="D427" s="8">
        <v>168679</v>
      </c>
      <c r="E427" s="8" t="s">
        <v>61</v>
      </c>
      <c r="F427" s="8" t="s">
        <v>738</v>
      </c>
      <c r="G427" s="8" t="s">
        <v>40</v>
      </c>
      <c r="H427" s="8" t="s">
        <v>2051</v>
      </c>
      <c r="I427" s="642">
        <v>44413</v>
      </c>
      <c r="J427" s="18" t="s">
        <v>2052</v>
      </c>
      <c r="K427" s="97">
        <v>44480</v>
      </c>
      <c r="L427" s="16">
        <f>IF(ISTEXT(Table15[[#This Row],[Engineering Approved Design Date]]),Table15[[#This Row],[Date Completed]]-Table15[[#This Row],[Date Assigned to Designer]],Table15[[#This Row],[Engineering Approved Design Date]]-Table15[[#This Row],[Date Completed]])</f>
        <v>67</v>
      </c>
      <c r="M427" s="642" t="s">
        <v>3748</v>
      </c>
      <c r="N427" s="642" t="s">
        <v>120</v>
      </c>
      <c r="O427" s="1025">
        <f t="shared" si="9"/>
        <v>44480</v>
      </c>
      <c r="P427" s="21" t="s">
        <v>739</v>
      </c>
      <c r="Q427" s="1061">
        <f>U427</f>
        <v>4410</v>
      </c>
      <c r="R427" s="1026" t="s">
        <v>1922</v>
      </c>
      <c r="S427" s="538" t="s">
        <v>709</v>
      </c>
      <c r="T427" s="538" t="s">
        <v>709</v>
      </c>
      <c r="U427" s="340">
        <v>4410</v>
      </c>
      <c r="V427" s="858"/>
      <c r="W427" s="437"/>
      <c r="X427" s="538"/>
      <c r="Y427" s="550"/>
      <c r="Z427" s="538"/>
      <c r="AA427" s="538">
        <f>X427+Z427</f>
        <v>0</v>
      </c>
      <c r="AB427" s="21"/>
      <c r="AC427" s="569"/>
      <c r="AD427" s="1149"/>
      <c r="AE427" s="569"/>
      <c r="AF427" s="569"/>
      <c r="AG427" s="569"/>
      <c r="AH427" s="536"/>
      <c r="AI427" s="1028"/>
      <c r="AJ427" s="1029"/>
      <c r="AK427" s="1029"/>
      <c r="AL427" s="1030"/>
      <c r="AM427" s="542" t="s">
        <v>709</v>
      </c>
      <c r="AN427" s="924"/>
      <c r="AO427" s="925"/>
      <c r="AP427" s="926"/>
      <c r="AQ427" s="926"/>
      <c r="AR427" s="926"/>
      <c r="AS427" s="926"/>
      <c r="AT427" s="926"/>
      <c r="AU427" s="926"/>
      <c r="AV427" s="926"/>
      <c r="AW427" s="927"/>
      <c r="AX427" s="926"/>
      <c r="AY427" s="1538" t="s">
        <v>29</v>
      </c>
      <c r="AZ427" s="1530"/>
      <c r="BA427" s="1031">
        <v>11</v>
      </c>
      <c r="BB427" s="644"/>
      <c r="BC427" s="544"/>
      <c r="BD427" s="544"/>
      <c r="BE427" s="544"/>
      <c r="BF427" s="544"/>
      <c r="BG427" s="544"/>
      <c r="BH427" s="741"/>
      <c r="BI427" s="547" t="s">
        <v>709</v>
      </c>
      <c r="BJ427" s="547" t="s">
        <v>709</v>
      </c>
      <c r="BK427" s="547" t="s">
        <v>116</v>
      </c>
      <c r="BL427" s="547" t="s">
        <v>709</v>
      </c>
      <c r="BM427" s="547" t="s">
        <v>709</v>
      </c>
      <c r="BN427" s="547" t="s">
        <v>709</v>
      </c>
      <c r="BO427" s="547" t="s">
        <v>709</v>
      </c>
      <c r="BP427" s="547">
        <v>10893</v>
      </c>
      <c r="BQ427" s="547">
        <v>65</v>
      </c>
      <c r="BR427" s="547">
        <v>40</v>
      </c>
      <c r="BS427" s="547">
        <v>10</v>
      </c>
      <c r="BT427" s="547">
        <v>1</v>
      </c>
      <c r="BU427" s="547" t="s">
        <v>709</v>
      </c>
      <c r="BV427" s="547" t="s">
        <v>745</v>
      </c>
      <c r="BW427" s="547" t="s">
        <v>709</v>
      </c>
      <c r="BX427" s="547">
        <v>1</v>
      </c>
      <c r="BY427" s="547" t="s">
        <v>745</v>
      </c>
      <c r="BZ427" s="547" t="s">
        <v>709</v>
      </c>
      <c r="CA427" s="483" t="s">
        <v>1237</v>
      </c>
      <c r="CB427" s="547">
        <v>426</v>
      </c>
      <c r="CC427" s="1481" t="b">
        <v>1</v>
      </c>
      <c r="CD427" t="str">
        <f>Table15[[#This Row],[Engineering Number]]&amp;Table15[[#This Row],[WO Number]]&amp;Table15[[#This Row],[Date Assigned to Designer]]&amp;Table15[[#This Row],[Date Completed]]</f>
        <v>NBA18229931686794441344480</v>
      </c>
    </row>
    <row r="428" spans="1:82" customFormat="1" ht="15" customHeight="1" x14ac:dyDescent="0.25">
      <c r="A428">
        <v>2021</v>
      </c>
      <c r="B428" s="8" t="s">
        <v>4</v>
      </c>
      <c r="C428" s="8" t="s">
        <v>3753</v>
      </c>
      <c r="D428" s="8" t="s">
        <v>3754</v>
      </c>
      <c r="E428" s="8" t="s">
        <v>2106</v>
      </c>
      <c r="F428" s="8" t="s">
        <v>919</v>
      </c>
      <c r="G428" s="8" t="s">
        <v>39</v>
      </c>
      <c r="H428" s="8" t="s">
        <v>59</v>
      </c>
      <c r="I428" s="642">
        <v>44426</v>
      </c>
      <c r="J428" s="18">
        <v>44484</v>
      </c>
      <c r="K428" s="97">
        <v>44480</v>
      </c>
      <c r="L428" s="16">
        <f>IF(ISTEXT(Table15[[#This Row],[Engineering Approved Design Date]]),Table15[[#This Row],[Date Completed]]-Table15[[#This Row],[Date Assigned to Designer]],Table15[[#This Row],[Engineering Approved Design Date]]-Table15[[#This Row],[Date Completed]])</f>
        <v>4</v>
      </c>
      <c r="M428" s="642"/>
      <c r="N428" s="642" t="s">
        <v>120</v>
      </c>
      <c r="O428" s="1025">
        <f t="shared" si="9"/>
        <v>44480</v>
      </c>
      <c r="P428" s="21" t="s">
        <v>739</v>
      </c>
      <c r="Q428" s="340">
        <f>R428*AA428</f>
        <v>11209.36</v>
      </c>
      <c r="R428" s="1026">
        <v>0.1</v>
      </c>
      <c r="S428" s="538" t="s">
        <v>709</v>
      </c>
      <c r="T428" s="538" t="s">
        <v>709</v>
      </c>
      <c r="U428" s="87" t="s">
        <v>709</v>
      </c>
      <c r="V428" s="858"/>
      <c r="W428" s="437"/>
      <c r="X428" s="556">
        <v>104176.82</v>
      </c>
      <c r="Y428" s="550"/>
      <c r="Z428" s="538">
        <v>7916.78</v>
      </c>
      <c r="AA428" s="551">
        <f>X428+Z428</f>
        <v>112093.6</v>
      </c>
      <c r="AB428" s="341"/>
      <c r="AC428" s="568" t="s">
        <v>709</v>
      </c>
      <c r="AD428" s="1157"/>
      <c r="AE428" s="579"/>
      <c r="AF428" s="579"/>
      <c r="AG428" s="569"/>
      <c r="AH428" s="553"/>
      <c r="AI428" s="1036"/>
      <c r="AJ428" s="1037"/>
      <c r="AK428" s="1037"/>
      <c r="AL428" s="1038"/>
      <c r="AM428" s="1522" t="s">
        <v>116</v>
      </c>
      <c r="AN428" s="1523">
        <v>44690</v>
      </c>
      <c r="AO428" s="1524">
        <v>11040726</v>
      </c>
      <c r="AP428" s="1525">
        <v>0</v>
      </c>
      <c r="AQ428" s="1525"/>
      <c r="AR428" s="1525">
        <v>19233.79</v>
      </c>
      <c r="AS428" s="1525">
        <f>IF(Table15[[#This Row],[PCTS Approved]]="N",0,Table15[[#This Row],[Investment Amount (1'#'#'#'#'#)]]+Table15[[#This Row],[Retirement Amount (3'#'#'#'#'#)]])</f>
        <v>19233.79</v>
      </c>
      <c r="AT428" s="1525">
        <f>IF(Table15[[#This Row],[Approved Construction Cost]]=0,0,Table15[[#This Row],[Approved Construction Cost]]-Table15[[#This Row],[Construction Cost to Bill From]])</f>
        <v>-92859.81</v>
      </c>
      <c r="AU428" s="1525">
        <f>IFERROR(Table15[[#This Row],[Difference in Construction Cost]]*Table15[[#This Row],[Rate]],Table15[[#This Row],[Difference in Construction Cost]]*0.085)</f>
        <v>-9285.9809999999998</v>
      </c>
      <c r="AV428" s="1525">
        <v>2055</v>
      </c>
      <c r="AW428" s="1526" t="s">
        <v>3755</v>
      </c>
      <c r="AX428" s="1525">
        <v>0</v>
      </c>
      <c r="AY428" s="1518">
        <v>45008</v>
      </c>
      <c r="AZ428" s="333"/>
      <c r="BA428" s="1031" t="s">
        <v>3756</v>
      </c>
      <c r="BB428" s="644" t="s">
        <v>3757</v>
      </c>
      <c r="BC428" s="544" t="s">
        <v>116</v>
      </c>
      <c r="BD428" s="544" t="s">
        <v>709</v>
      </c>
      <c r="BE428" s="544" t="s">
        <v>709</v>
      </c>
      <c r="BF428" s="544" t="s">
        <v>709</v>
      </c>
      <c r="BG428" s="544" t="s">
        <v>709</v>
      </c>
      <c r="BH428" s="741"/>
      <c r="BI428" s="547" t="s">
        <v>709</v>
      </c>
      <c r="BJ428" s="547" t="s">
        <v>709</v>
      </c>
      <c r="BK428" s="547" t="s">
        <v>709</v>
      </c>
      <c r="BL428" s="547" t="s">
        <v>709</v>
      </c>
      <c r="BM428" s="547" t="s">
        <v>709</v>
      </c>
      <c r="BN428" s="547" t="s">
        <v>709</v>
      </c>
      <c r="BO428" s="547" t="s">
        <v>709</v>
      </c>
      <c r="BP428" s="547" t="s">
        <v>709</v>
      </c>
      <c r="BQ428" s="547" t="s">
        <v>709</v>
      </c>
      <c r="BR428" s="547" t="s">
        <v>709</v>
      </c>
      <c r="BS428" s="547">
        <v>637</v>
      </c>
      <c r="BT428" s="547" t="s">
        <v>709</v>
      </c>
      <c r="BU428" s="547" t="s">
        <v>709</v>
      </c>
      <c r="BV428" s="547" t="s">
        <v>709</v>
      </c>
      <c r="BW428" s="547" t="s">
        <v>709</v>
      </c>
      <c r="BX428" s="547" t="s">
        <v>709</v>
      </c>
      <c r="BY428" s="547" t="s">
        <v>709</v>
      </c>
      <c r="BZ428" s="547" t="s">
        <v>709</v>
      </c>
      <c r="CA428" s="483" t="s">
        <v>1146</v>
      </c>
      <c r="CB428" s="547">
        <v>425</v>
      </c>
      <c r="CC428" s="1481" t="b">
        <v>1</v>
      </c>
      <c r="CD428" t="str">
        <f>Table15[[#This Row],[Engineering Number]]&amp;Table15[[#This Row],[WO Number]]&amp;Table15[[#This Row],[Date Assigned to Designer]]&amp;Table15[[#This Row],[Date Completed]]</f>
        <v>SC1815232105394442644480</v>
      </c>
    </row>
    <row r="429" spans="1:82" customFormat="1" ht="15" customHeight="1" x14ac:dyDescent="0.25">
      <c r="A429">
        <v>2021</v>
      </c>
      <c r="B429" s="8" t="s">
        <v>1073</v>
      </c>
      <c r="C429" s="8" t="s">
        <v>3300</v>
      </c>
      <c r="D429" s="8">
        <v>168679</v>
      </c>
      <c r="E429" s="8" t="s">
        <v>61</v>
      </c>
      <c r="F429" s="8" t="s">
        <v>738</v>
      </c>
      <c r="G429" s="8" t="s">
        <v>40</v>
      </c>
      <c r="H429" s="8" t="s">
        <v>3750</v>
      </c>
      <c r="I429" s="642">
        <v>44413</v>
      </c>
      <c r="J429" s="175" t="s">
        <v>2052</v>
      </c>
      <c r="K429" s="97">
        <v>44480</v>
      </c>
      <c r="L429" s="16">
        <f>IF(ISTEXT(Table15[[#This Row],[Engineering Approved Design Date]]),Table15[[#This Row],[Date Completed]]-Table15[[#This Row],[Date Assigned to Designer]],Table15[[#This Row],[Engineering Approved Design Date]]-Table15[[#This Row],[Date Completed]])</f>
        <v>67</v>
      </c>
      <c r="M429" s="642" t="s">
        <v>3751</v>
      </c>
      <c r="N429" s="642" t="s">
        <v>120</v>
      </c>
      <c r="O429" s="1025">
        <v>44554</v>
      </c>
      <c r="P429" s="21" t="s">
        <v>739</v>
      </c>
      <c r="Q429" s="340">
        <f>U429</f>
        <v>14250</v>
      </c>
      <c r="R429" s="1026" t="s">
        <v>1922</v>
      </c>
      <c r="S429" s="538" t="s">
        <v>709</v>
      </c>
      <c r="T429" s="538" t="s">
        <v>709</v>
      </c>
      <c r="U429" s="87">
        <v>14250</v>
      </c>
      <c r="V429" s="858"/>
      <c r="W429" s="437"/>
      <c r="X429" s="538"/>
      <c r="Y429" s="550"/>
      <c r="Z429" s="538"/>
      <c r="AA429" s="538">
        <f>X429+Z429</f>
        <v>0</v>
      </c>
      <c r="AB429" s="21"/>
      <c r="AC429" s="569"/>
      <c r="AD429" s="1149"/>
      <c r="AE429" s="569"/>
      <c r="AF429" s="569"/>
      <c r="AG429" s="569"/>
      <c r="AH429" s="536"/>
      <c r="AI429" s="1028"/>
      <c r="AJ429" s="1029"/>
      <c r="AK429" s="1029"/>
      <c r="AL429" s="1030"/>
      <c r="AM429" s="542" t="s">
        <v>709</v>
      </c>
      <c r="AN429" s="924"/>
      <c r="AO429" s="925"/>
      <c r="AP429" s="926"/>
      <c r="AQ429" s="926"/>
      <c r="AR429" s="926"/>
      <c r="AS429" s="926"/>
      <c r="AT429" s="926"/>
      <c r="AU429" s="926"/>
      <c r="AV429" s="926"/>
      <c r="AW429" s="927"/>
      <c r="AX429" s="926"/>
      <c r="AY429" s="1538" t="s">
        <v>29</v>
      </c>
      <c r="AZ429" s="1530"/>
      <c r="BA429" s="1031" t="s">
        <v>3752</v>
      </c>
      <c r="BB429" s="644" t="s">
        <v>709</v>
      </c>
      <c r="BC429" s="544"/>
      <c r="BD429" s="544"/>
      <c r="BE429" s="544"/>
      <c r="BF429" s="544"/>
      <c r="BG429" s="544"/>
      <c r="BH429" s="741"/>
      <c r="BI429" s="547" t="s">
        <v>709</v>
      </c>
      <c r="BJ429" s="547" t="s">
        <v>709</v>
      </c>
      <c r="BK429" s="547" t="s">
        <v>116</v>
      </c>
      <c r="BL429" s="547" t="s">
        <v>709</v>
      </c>
      <c r="BM429" s="547" t="s">
        <v>709</v>
      </c>
      <c r="BN429" s="547" t="s">
        <v>709</v>
      </c>
      <c r="BO429" s="547" t="s">
        <v>709</v>
      </c>
      <c r="BP429" s="547">
        <v>10893</v>
      </c>
      <c r="BQ429" s="547">
        <v>65</v>
      </c>
      <c r="BR429" s="547">
        <v>40</v>
      </c>
      <c r="BS429" s="547">
        <v>10</v>
      </c>
      <c r="BT429" s="547">
        <v>1</v>
      </c>
      <c r="BU429" s="547" t="s">
        <v>709</v>
      </c>
      <c r="BV429" s="547" t="s">
        <v>745</v>
      </c>
      <c r="BW429" s="547" t="s">
        <v>709</v>
      </c>
      <c r="BX429" s="547">
        <v>1</v>
      </c>
      <c r="BY429" s="547" t="s">
        <v>745</v>
      </c>
      <c r="BZ429" s="547" t="s">
        <v>709</v>
      </c>
      <c r="CA429" s="483" t="s">
        <v>1237</v>
      </c>
      <c r="CB429" s="547">
        <v>427</v>
      </c>
      <c r="CC429" s="1481" t="b">
        <v>1</v>
      </c>
      <c r="CD429" t="str">
        <f>Table15[[#This Row],[Engineering Number]]&amp;Table15[[#This Row],[WO Number]]&amp;Table15[[#This Row],[Date Assigned to Designer]]&amp;Table15[[#This Row],[Date Completed]]</f>
        <v>NBA18229931686794441344480</v>
      </c>
    </row>
    <row r="430" spans="1:82" customFormat="1" ht="15" customHeight="1" x14ac:dyDescent="0.25">
      <c r="A430">
        <v>2019</v>
      </c>
      <c r="B430" s="8" t="s">
        <v>4</v>
      </c>
      <c r="C430" s="8" t="s">
        <v>2509</v>
      </c>
      <c r="D430" s="8" t="s">
        <v>2510</v>
      </c>
      <c r="E430" s="8" t="s">
        <v>2511</v>
      </c>
      <c r="F430" s="8" t="s">
        <v>738</v>
      </c>
      <c r="G430" s="8" t="s">
        <v>40</v>
      </c>
      <c r="H430" s="99" t="s">
        <v>3759</v>
      </c>
      <c r="I430" s="642">
        <v>43468</v>
      </c>
      <c r="J430" s="175" t="s">
        <v>2724</v>
      </c>
      <c r="K430" s="642">
        <v>44482</v>
      </c>
      <c r="L430" s="16">
        <f>IF(ISTEXT(Table15[[#This Row],[Engineering Approved Design Date]]),Table15[[#This Row],[Date Completed]]-Table15[[#This Row],[Date Assigned to Designer]],Table15[[#This Row],[Engineering Approved Design Date]]-Table15[[#This Row],[Date Completed]])</f>
        <v>1014</v>
      </c>
      <c r="M430" s="642" t="s">
        <v>3760</v>
      </c>
      <c r="N430" s="642" t="s">
        <v>120</v>
      </c>
      <c r="O430" s="1025">
        <f>K430</f>
        <v>44482</v>
      </c>
      <c r="P430" s="21" t="s">
        <v>739</v>
      </c>
      <c r="Q430" s="340">
        <f>U430</f>
        <v>1117.5</v>
      </c>
      <c r="R430" s="1026" t="s">
        <v>1922</v>
      </c>
      <c r="S430" s="538" t="s">
        <v>709</v>
      </c>
      <c r="T430" s="538" t="s">
        <v>709</v>
      </c>
      <c r="U430" s="340">
        <v>1117.5</v>
      </c>
      <c r="V430" s="858"/>
      <c r="W430" s="437"/>
      <c r="X430" s="556"/>
      <c r="Y430" s="551"/>
      <c r="Z430" s="556"/>
      <c r="AA430" s="538"/>
      <c r="AB430" s="21"/>
      <c r="AC430" s="569"/>
      <c r="AD430" s="1149"/>
      <c r="AE430" s="580"/>
      <c r="AF430" s="580"/>
      <c r="AG430" s="580"/>
      <c r="AH430" s="542"/>
      <c r="AI430" s="1028"/>
      <c r="AJ430" s="1029"/>
      <c r="AK430" s="1029"/>
      <c r="AL430" s="1030"/>
      <c r="AM430" s="542" t="s">
        <v>709</v>
      </c>
      <c r="AN430" s="924"/>
      <c r="AO430" s="925"/>
      <c r="AP430" s="926"/>
      <c r="AQ430" s="926"/>
      <c r="AR430" s="926"/>
      <c r="AS430" s="926"/>
      <c r="AT430" s="926"/>
      <c r="AU430" s="926"/>
      <c r="AV430" s="926"/>
      <c r="AW430" s="927"/>
      <c r="AX430" s="926"/>
      <c r="AY430" s="1538" t="s">
        <v>29</v>
      </c>
      <c r="AZ430" s="1530"/>
      <c r="BA430" s="1031" t="s">
        <v>2513</v>
      </c>
      <c r="BB430" s="644" t="s">
        <v>2514</v>
      </c>
      <c r="BC430" s="544"/>
      <c r="BD430" s="544"/>
      <c r="BE430" s="544"/>
      <c r="BF430" s="544"/>
      <c r="BG430" s="544"/>
      <c r="BH430" s="741"/>
      <c r="BI430" s="547" t="s">
        <v>709</v>
      </c>
      <c r="BJ430" s="547" t="s">
        <v>709</v>
      </c>
      <c r="BK430" s="547" t="s">
        <v>709</v>
      </c>
      <c r="BL430" s="547" t="s">
        <v>116</v>
      </c>
      <c r="BM430" s="547" t="s">
        <v>709</v>
      </c>
      <c r="BN430" s="547" t="s">
        <v>709</v>
      </c>
      <c r="BO430" s="547" t="s">
        <v>709</v>
      </c>
      <c r="BP430" s="547" t="s">
        <v>709</v>
      </c>
      <c r="BQ430" s="547" t="s">
        <v>709</v>
      </c>
      <c r="BR430" s="547">
        <v>1626</v>
      </c>
      <c r="BS430" s="547" t="s">
        <v>709</v>
      </c>
      <c r="BT430" s="547" t="s">
        <v>745</v>
      </c>
      <c r="BU430" s="547" t="s">
        <v>709</v>
      </c>
      <c r="BV430" s="547" t="s">
        <v>745</v>
      </c>
      <c r="BW430" s="547" t="s">
        <v>709</v>
      </c>
      <c r="BX430" s="547" t="s">
        <v>745</v>
      </c>
      <c r="BY430" s="547" t="s">
        <v>745</v>
      </c>
      <c r="BZ430" s="547" t="s">
        <v>709</v>
      </c>
      <c r="CA430" s="483"/>
      <c r="CB430" s="547">
        <v>428</v>
      </c>
      <c r="CC430" s="1481" t="b">
        <v>1</v>
      </c>
      <c r="CD430" t="str">
        <f>Table15[[#This Row],[Engineering Number]]&amp;Table15[[#This Row],[WO Number]]&amp;Table15[[#This Row],[Date Assigned to Designer]]&amp;Table15[[#This Row],[Date Completed]]</f>
        <v>N121801292004346844482</v>
      </c>
    </row>
    <row r="431" spans="1:82" customFormat="1" ht="15" customHeight="1" x14ac:dyDescent="0.25">
      <c r="A431">
        <v>2021</v>
      </c>
      <c r="B431" s="8" t="s">
        <v>4</v>
      </c>
      <c r="C431" s="8" t="s">
        <v>736</v>
      </c>
      <c r="D431" s="8" t="s">
        <v>737</v>
      </c>
      <c r="E431" s="8" t="s">
        <v>259</v>
      </c>
      <c r="F431" s="8" t="s">
        <v>738</v>
      </c>
      <c r="G431" s="8" t="s">
        <v>39</v>
      </c>
      <c r="H431" s="8" t="s">
        <v>59</v>
      </c>
      <c r="I431" s="642">
        <v>44356</v>
      </c>
      <c r="J431" s="18">
        <v>44519</v>
      </c>
      <c r="K431" s="97">
        <v>44487</v>
      </c>
      <c r="L431" s="16">
        <f>IF(ISTEXT(Table15[[#This Row],[Engineering Approved Design Date]]),Table15[[#This Row],[Date Completed]]-Table15[[#This Row],[Date Assigned to Designer]],Table15[[#This Row],[Engineering Approved Design Date]]-Table15[[#This Row],[Date Completed]])</f>
        <v>32</v>
      </c>
      <c r="M431" s="642"/>
      <c r="N431" s="642" t="s">
        <v>120</v>
      </c>
      <c r="O431" s="1025">
        <f>K431</f>
        <v>44487</v>
      </c>
      <c r="P431" s="21" t="s">
        <v>739</v>
      </c>
      <c r="Q431" s="340">
        <f>R431*AA431</f>
        <v>14252.601999999999</v>
      </c>
      <c r="R431" s="1026">
        <v>0.1</v>
      </c>
      <c r="S431" s="538" t="s">
        <v>709</v>
      </c>
      <c r="T431" s="538" t="s">
        <v>709</v>
      </c>
      <c r="U431" s="87" t="s">
        <v>709</v>
      </c>
      <c r="V431" s="858"/>
      <c r="W431" s="437"/>
      <c r="X431" s="538">
        <v>118596.97</v>
      </c>
      <c r="Y431" s="550"/>
      <c r="Z431" s="538">
        <v>23929.05</v>
      </c>
      <c r="AA431" s="551">
        <f>X431+Z431</f>
        <v>142526.01999999999</v>
      </c>
      <c r="AB431" s="341"/>
      <c r="AC431" s="568" t="s">
        <v>709</v>
      </c>
      <c r="AD431" s="1157"/>
      <c r="AE431" s="579"/>
      <c r="AF431" s="579"/>
      <c r="AG431" s="569"/>
      <c r="AH431" s="553"/>
      <c r="AI431" s="1036"/>
      <c r="AJ431" s="1037"/>
      <c r="AK431" s="1037"/>
      <c r="AL431" s="1038"/>
      <c r="AM431" s="1522" t="s">
        <v>116</v>
      </c>
      <c r="AN431" s="1523">
        <v>44594</v>
      </c>
      <c r="AO431" s="1524">
        <v>11039638</v>
      </c>
      <c r="AP431" s="1525">
        <v>120668.28</v>
      </c>
      <c r="AQ431" s="1525"/>
      <c r="AR431" s="1525">
        <v>23929.05</v>
      </c>
      <c r="AS431" s="1525">
        <v>144597.32999999999</v>
      </c>
      <c r="AT431" s="1525">
        <v>2071.3099999999977</v>
      </c>
      <c r="AU431" s="1525">
        <v>207.13099999999977</v>
      </c>
      <c r="AV431" s="1525">
        <v>4265</v>
      </c>
      <c r="AW431" s="1526" t="s">
        <v>740</v>
      </c>
      <c r="AX431" s="1525">
        <v>0</v>
      </c>
      <c r="AY431" s="1518">
        <v>45566</v>
      </c>
      <c r="AZ431" s="333">
        <v>63</v>
      </c>
      <c r="BA431" s="859" t="s">
        <v>741</v>
      </c>
      <c r="BB431" s="644" t="s">
        <v>742</v>
      </c>
      <c r="BC431" s="544" t="s">
        <v>709</v>
      </c>
      <c r="BD431" s="544" t="s">
        <v>743</v>
      </c>
      <c r="BE431" s="544" t="s">
        <v>744</v>
      </c>
      <c r="BF431" s="544" t="s">
        <v>709</v>
      </c>
      <c r="BG431" s="544" t="s">
        <v>709</v>
      </c>
      <c r="BH431" s="741"/>
      <c r="BI431" s="547" t="s">
        <v>709</v>
      </c>
      <c r="BJ431" s="547" t="s">
        <v>709</v>
      </c>
      <c r="BK431" s="547" t="s">
        <v>709</v>
      </c>
      <c r="BL431" s="547" t="s">
        <v>116</v>
      </c>
      <c r="BM431" s="547" t="s">
        <v>709</v>
      </c>
      <c r="BN431" s="547" t="s">
        <v>709</v>
      </c>
      <c r="BO431" s="547" t="s">
        <v>709</v>
      </c>
      <c r="BP431" s="547" t="s">
        <v>709</v>
      </c>
      <c r="BQ431" s="547" t="s">
        <v>709</v>
      </c>
      <c r="BR431" s="547" t="s">
        <v>709</v>
      </c>
      <c r="BS431" s="547">
        <v>900</v>
      </c>
      <c r="BT431" s="547" t="s">
        <v>745</v>
      </c>
      <c r="BU431" s="547" t="s">
        <v>709</v>
      </c>
      <c r="BV431" s="547" t="s">
        <v>745</v>
      </c>
      <c r="BW431" s="547" t="s">
        <v>709</v>
      </c>
      <c r="BX431" s="547" t="s">
        <v>745</v>
      </c>
      <c r="BY431" s="547" t="s">
        <v>745</v>
      </c>
      <c r="BZ431" s="547" t="s">
        <v>709</v>
      </c>
      <c r="CA431" s="483"/>
      <c r="CB431" s="547">
        <v>429</v>
      </c>
      <c r="CC431" s="1481" t="b">
        <v>1</v>
      </c>
      <c r="CD431" t="str">
        <f>Table15[[#This Row],[Engineering Number]]&amp;Table15[[#This Row],[WO Number]]&amp;Table15[[#This Row],[Date Assigned to Designer]]&amp;Table15[[#This Row],[Date Completed]]</f>
        <v>N1464916107124435644487</v>
      </c>
    </row>
    <row r="432" spans="1:82" customFormat="1" ht="15" customHeight="1" x14ac:dyDescent="0.25">
      <c r="A432">
        <v>2020</v>
      </c>
      <c r="B432" s="8" t="s">
        <v>1073</v>
      </c>
      <c r="C432" s="8" t="s">
        <v>2563</v>
      </c>
      <c r="D432" s="8" t="s">
        <v>2564</v>
      </c>
      <c r="E432" s="8" t="s">
        <v>1633</v>
      </c>
      <c r="F432" s="8" t="s">
        <v>325</v>
      </c>
      <c r="G432" s="8" t="s">
        <v>2814</v>
      </c>
      <c r="H432" s="8" t="s">
        <v>2051</v>
      </c>
      <c r="I432" s="642">
        <v>44482</v>
      </c>
      <c r="J432" s="18" t="s">
        <v>2052</v>
      </c>
      <c r="K432" s="97">
        <v>44487</v>
      </c>
      <c r="L432" s="16">
        <f>IF(ISTEXT(Table15[[#This Row],[Engineering Approved Design Date]]),Table15[[#This Row],[Date Completed]]-Table15[[#This Row],[Date Assigned to Designer]],Table15[[#This Row],[Engineering Approved Design Date]]-Table15[[#This Row],[Date Completed]])</f>
        <v>5</v>
      </c>
      <c r="M432" s="642" t="s">
        <v>3058</v>
      </c>
      <c r="N432" s="642" t="s">
        <v>120</v>
      </c>
      <c r="O432" s="1025">
        <v>44501</v>
      </c>
      <c r="P432" s="21" t="s">
        <v>739</v>
      </c>
      <c r="Q432" s="1151">
        <f>Table15[[#This Row],[KH Hourly Effort]]</f>
        <v>1970</v>
      </c>
      <c r="R432" s="1026" t="s">
        <v>1922</v>
      </c>
      <c r="S432" s="538" t="s">
        <v>709</v>
      </c>
      <c r="T432" s="538" t="s">
        <v>709</v>
      </c>
      <c r="U432" s="87">
        <v>1970</v>
      </c>
      <c r="V432" s="858"/>
      <c r="W432" s="437"/>
      <c r="X432" s="538"/>
      <c r="Y432" s="550"/>
      <c r="Z432" s="538"/>
      <c r="AA432" s="538"/>
      <c r="AB432" s="21"/>
      <c r="AC432" s="569"/>
      <c r="AD432" s="1149"/>
      <c r="AE432" s="569"/>
      <c r="AF432" s="569"/>
      <c r="AG432" s="569"/>
      <c r="AH432" s="536"/>
      <c r="AI432" s="1028"/>
      <c r="AJ432" s="1029"/>
      <c r="AK432" s="1029"/>
      <c r="AL432" s="1030"/>
      <c r="AM432" s="542" t="s">
        <v>709</v>
      </c>
      <c r="AN432" s="924"/>
      <c r="AO432" s="925"/>
      <c r="AP432" s="926"/>
      <c r="AQ432" s="926"/>
      <c r="AR432" s="926"/>
      <c r="AS432" s="926"/>
      <c r="AT432" s="926"/>
      <c r="AU432" s="926"/>
      <c r="AV432" s="926"/>
      <c r="AW432" s="927"/>
      <c r="AX432" s="926"/>
      <c r="AY432" s="1538" t="s">
        <v>29</v>
      </c>
      <c r="AZ432" s="1530"/>
      <c r="BA432" s="1031">
        <v>4</v>
      </c>
      <c r="BB432" s="644"/>
      <c r="BC432" s="544"/>
      <c r="BD432" s="544"/>
      <c r="BE432" s="544"/>
      <c r="BF432" s="544"/>
      <c r="BG432" s="544"/>
      <c r="BH432" s="741"/>
      <c r="BI432" s="547" t="s">
        <v>709</v>
      </c>
      <c r="BJ432" s="547" t="s">
        <v>709</v>
      </c>
      <c r="BK432" s="547" t="s">
        <v>709</v>
      </c>
      <c r="BL432" s="547" t="s">
        <v>116</v>
      </c>
      <c r="BM432" s="547" t="s">
        <v>709</v>
      </c>
      <c r="BN432" s="547" t="s">
        <v>709</v>
      </c>
      <c r="BO432" s="547" t="s">
        <v>709</v>
      </c>
      <c r="BP432" s="547" t="s">
        <v>709</v>
      </c>
      <c r="BQ432" s="547" t="s">
        <v>709</v>
      </c>
      <c r="BR432" s="547" t="s">
        <v>709</v>
      </c>
      <c r="BS432" s="547">
        <v>261</v>
      </c>
      <c r="BT432" s="547" t="s">
        <v>745</v>
      </c>
      <c r="BU432" s="547" t="s">
        <v>709</v>
      </c>
      <c r="BV432" s="547" t="s">
        <v>745</v>
      </c>
      <c r="BW432" s="547" t="s">
        <v>709</v>
      </c>
      <c r="BX432" s="547" t="s">
        <v>745</v>
      </c>
      <c r="BY432" s="547" t="s">
        <v>745</v>
      </c>
      <c r="BZ432" s="547" t="s">
        <v>709</v>
      </c>
      <c r="CA432" s="483"/>
      <c r="CB432" s="547">
        <v>430</v>
      </c>
      <c r="CC432" s="1481" t="b">
        <v>1</v>
      </c>
      <c r="CD432" t="str">
        <f>Table15[[#This Row],[Engineering Number]]&amp;Table15[[#This Row],[WO Number]]&amp;Table15[[#This Row],[Date Assigned to Designer]]&amp;Table15[[#This Row],[Date Completed]]</f>
        <v>NBA18241451506804448244487</v>
      </c>
    </row>
    <row r="433" spans="1:82" customFormat="1" ht="15" customHeight="1" x14ac:dyDescent="0.25">
      <c r="A433">
        <v>2022</v>
      </c>
      <c r="B433" s="8" t="s">
        <v>730</v>
      </c>
      <c r="C433" s="8" t="s">
        <v>345</v>
      </c>
      <c r="D433" s="8" t="s">
        <v>3770</v>
      </c>
      <c r="E433" s="8" t="s">
        <v>346</v>
      </c>
      <c r="F433" s="8" t="s">
        <v>747</v>
      </c>
      <c r="G433" s="8" t="s">
        <v>347</v>
      </c>
      <c r="H433" s="8" t="s">
        <v>59</v>
      </c>
      <c r="I433" s="642">
        <v>44350</v>
      </c>
      <c r="J433" s="18">
        <v>44512</v>
      </c>
      <c r="K433" s="97">
        <v>44489</v>
      </c>
      <c r="L433" s="16">
        <f>IF(ISTEXT(Table15[[#This Row],[Engineering Approved Design Date]]),Table15[[#This Row],[Date Completed]]-Table15[[#This Row],[Date Assigned to Designer]],Table15[[#This Row],[Engineering Approved Design Date]]-Table15[[#This Row],[Date Completed]])</f>
        <v>23</v>
      </c>
      <c r="M433" s="642"/>
      <c r="N433" s="642" t="s">
        <v>120</v>
      </c>
      <c r="O433" s="1025">
        <f>K433</f>
        <v>44489</v>
      </c>
      <c r="P433" s="21" t="s">
        <v>120</v>
      </c>
      <c r="Q433" s="1151">
        <f>(Table15[[#This Row],[Construction Cost to Bill From]]*0.085)+5250</f>
        <v>30604.51655</v>
      </c>
      <c r="R433" s="1026" t="s">
        <v>794</v>
      </c>
      <c r="S433" s="538" t="s">
        <v>709</v>
      </c>
      <c r="T433" s="538" t="s">
        <v>709</v>
      </c>
      <c r="U433" s="87" t="s">
        <v>709</v>
      </c>
      <c r="V433" s="858">
        <v>443</v>
      </c>
      <c r="W433" s="437"/>
      <c r="X433" s="538">
        <v>243855.08</v>
      </c>
      <c r="Y433" s="550"/>
      <c r="Z433" s="538">
        <v>54433.35</v>
      </c>
      <c r="AA433" s="551">
        <f>X433+Z433</f>
        <v>298288.43</v>
      </c>
      <c r="AB433" s="341"/>
      <c r="AC433" s="568" t="s">
        <v>1441</v>
      </c>
      <c r="AD433" s="1157"/>
      <c r="AE433" s="579"/>
      <c r="AF433" s="579"/>
      <c r="AG433" s="579"/>
      <c r="AH433" s="553"/>
      <c r="AI433" s="1036"/>
      <c r="AJ433" s="1037"/>
      <c r="AK433" s="1037"/>
      <c r="AL433" s="1038"/>
      <c r="AM433" s="1522" t="s">
        <v>116</v>
      </c>
      <c r="AN433" s="1523">
        <v>44714</v>
      </c>
      <c r="AO433" s="1524">
        <v>11038498</v>
      </c>
      <c r="AP433" s="1525">
        <v>183671.85</v>
      </c>
      <c r="AQ433" s="1525"/>
      <c r="AR433" s="1525">
        <v>41479.69</v>
      </c>
      <c r="AS433" s="1525">
        <f>IF(Table15[[#This Row],[PCTS Approved]]="N",0,Table15[[#This Row],[Investment Amount (1'#'#'#'#'#)]]+Table15[[#This Row],[Retirement Amount (3'#'#'#'#'#)]])</f>
        <v>225151.54</v>
      </c>
      <c r="AT433" s="1525">
        <f>IF(Table15[[#This Row],[Approved Construction Cost]]=0,0,Table15[[#This Row],[Approved Construction Cost]]-Table15[[#This Row],[Construction Cost to Bill From]])</f>
        <v>-73136.889999999985</v>
      </c>
      <c r="AU433" s="1525">
        <f>IFERROR(Table15[[#This Row],[Difference in Construction Cost]]*Table15[[#This Row],[Rate]],Table15[[#This Row],[Difference in Construction Cost]]*0.085)</f>
        <v>-6216.6356499999993</v>
      </c>
      <c r="AV433" s="1525" t="s">
        <v>709</v>
      </c>
      <c r="AW433" s="1526" t="s">
        <v>3732</v>
      </c>
      <c r="AX433" s="1525">
        <f>Table15[[#This Row],[Reconcile Amount]]</f>
        <v>-6216.6356499999993</v>
      </c>
      <c r="AY433" s="1518">
        <v>45008</v>
      </c>
      <c r="AZ433" s="333"/>
      <c r="BA433" s="1031" t="s">
        <v>3771</v>
      </c>
      <c r="BB433" s="644" t="s">
        <v>814</v>
      </c>
      <c r="BC433" s="544" t="s">
        <v>116</v>
      </c>
      <c r="BD433" s="544" t="s">
        <v>709</v>
      </c>
      <c r="BE433" s="544" t="s">
        <v>3772</v>
      </c>
      <c r="BF433" s="544" t="s">
        <v>709</v>
      </c>
      <c r="BG433" s="544" t="s">
        <v>709</v>
      </c>
      <c r="BH433" s="741"/>
      <c r="BI433" s="547" t="s">
        <v>709</v>
      </c>
      <c r="BJ433" s="547" t="s">
        <v>709</v>
      </c>
      <c r="BK433" s="547" t="s">
        <v>116</v>
      </c>
      <c r="BL433" s="547" t="s">
        <v>116</v>
      </c>
      <c r="BM433" s="547" t="s">
        <v>709</v>
      </c>
      <c r="BN433" s="547" t="s">
        <v>709</v>
      </c>
      <c r="BO433" s="547" t="s">
        <v>709</v>
      </c>
      <c r="BP433" s="547" t="s">
        <v>709</v>
      </c>
      <c r="BQ433" s="547" t="s">
        <v>709</v>
      </c>
      <c r="BR433" s="547" t="s">
        <v>709</v>
      </c>
      <c r="BS433" s="547">
        <v>443</v>
      </c>
      <c r="BT433" s="547" t="s">
        <v>709</v>
      </c>
      <c r="BU433" s="547">
        <v>1</v>
      </c>
      <c r="BV433" s="547" t="s">
        <v>709</v>
      </c>
      <c r="BW433" s="547" t="s">
        <v>709</v>
      </c>
      <c r="BX433" s="547">
        <v>1</v>
      </c>
      <c r="BY433" s="547" t="s">
        <v>709</v>
      </c>
      <c r="BZ433" s="547" t="s">
        <v>709</v>
      </c>
      <c r="CA433" s="483" t="s">
        <v>730</v>
      </c>
      <c r="CB433" s="547">
        <v>431</v>
      </c>
      <c r="CC433" s="1481" t="b">
        <v>1</v>
      </c>
      <c r="CD433" t="str">
        <f>Table15[[#This Row],[Engineering Number]]&amp;Table15[[#This Row],[WO Number]]&amp;Table15[[#This Row],[Date Assigned to Designer]]&amp;Table15[[#This Row],[Date Completed]]</f>
        <v>RS88010102344435044489</v>
      </c>
    </row>
    <row r="434" spans="1:82" customFormat="1" ht="15" customHeight="1" x14ac:dyDescent="0.25">
      <c r="A434">
        <v>2021</v>
      </c>
      <c r="B434" s="8" t="s">
        <v>1073</v>
      </c>
      <c r="C434" s="8" t="s">
        <v>3764</v>
      </c>
      <c r="D434" s="8" t="s">
        <v>3765</v>
      </c>
      <c r="E434" s="8" t="s">
        <v>118</v>
      </c>
      <c r="F434" s="8" t="s">
        <v>738</v>
      </c>
      <c r="G434" s="8" t="s">
        <v>22</v>
      </c>
      <c r="H434" s="8" t="s">
        <v>59</v>
      </c>
      <c r="I434" s="642">
        <v>44439</v>
      </c>
      <c r="J434" s="18">
        <v>44495</v>
      </c>
      <c r="K434" s="97">
        <v>44489</v>
      </c>
      <c r="L434" s="16">
        <f>IF(ISTEXT(Table15[[#This Row],[Engineering Approved Design Date]]),Table15[[#This Row],[Date Completed]]-Table15[[#This Row],[Date Assigned to Designer]],Table15[[#This Row],[Engineering Approved Design Date]]-Table15[[#This Row],[Date Completed]])</f>
        <v>6</v>
      </c>
      <c r="M434" s="642"/>
      <c r="N434" s="642" t="s">
        <v>120</v>
      </c>
      <c r="O434" s="1025">
        <f>K434</f>
        <v>44489</v>
      </c>
      <c r="P434" s="21" t="s">
        <v>739</v>
      </c>
      <c r="Q434" s="340">
        <f>R434*AA434</f>
        <v>42905.752400000012</v>
      </c>
      <c r="R434" s="1026">
        <v>7.0000000000000007E-2</v>
      </c>
      <c r="S434" s="538" t="s">
        <v>709</v>
      </c>
      <c r="T434" s="538" t="s">
        <v>709</v>
      </c>
      <c r="U434" s="87" t="s">
        <v>709</v>
      </c>
      <c r="V434" s="858">
        <v>4569</v>
      </c>
      <c r="W434" s="437"/>
      <c r="X434" s="538">
        <v>559382.81000000006</v>
      </c>
      <c r="Y434" s="550"/>
      <c r="Z434" s="538">
        <v>53556.51</v>
      </c>
      <c r="AA434" s="551">
        <f>X434+Z434</f>
        <v>612939.32000000007</v>
      </c>
      <c r="AB434" s="341"/>
      <c r="AC434" s="568" t="s">
        <v>709</v>
      </c>
      <c r="AD434" s="1157"/>
      <c r="AE434" s="568"/>
      <c r="AF434" s="568"/>
      <c r="AG434" s="568"/>
      <c r="AH434" s="183"/>
      <c r="AI434" s="1036"/>
      <c r="AJ434" s="1037"/>
      <c r="AK434" s="1037"/>
      <c r="AL434" s="1038"/>
      <c r="AM434" s="1522" t="s">
        <v>116</v>
      </c>
      <c r="AN434" s="1523">
        <v>44665</v>
      </c>
      <c r="AO434" s="1524">
        <v>11040542</v>
      </c>
      <c r="AP434" s="1525">
        <v>573351.93999999994</v>
      </c>
      <c r="AQ434" s="1525"/>
      <c r="AR434" s="1525">
        <v>54094.89</v>
      </c>
      <c r="AS434" s="1525">
        <f>IF(Table15[[#This Row],[PCTS Approved]]="N",0,Table15[[#This Row],[Investment Amount (1'#'#'#'#'#)]]+Table15[[#This Row],[Retirement Amount (3'#'#'#'#'#)]])</f>
        <v>627446.82999999996</v>
      </c>
      <c r="AT434" s="1525">
        <f>IF(Table15[[#This Row],[Approved Construction Cost]]=0,0,Table15[[#This Row],[Approved Construction Cost]]-Table15[[#This Row],[Construction Cost to Bill From]])</f>
        <v>14507.509999999893</v>
      </c>
      <c r="AU434" s="1525">
        <f>IFERROR(Table15[[#This Row],[Difference in Construction Cost]]*Table15[[#This Row],[Rate]],Table15[[#This Row],[Difference in Construction Cost]]*0.085)</f>
        <v>1015.5256999999926</v>
      </c>
      <c r="AV434" s="1525">
        <v>7605</v>
      </c>
      <c r="AW434" s="1526" t="s">
        <v>3766</v>
      </c>
      <c r="AX434" s="1525">
        <v>0</v>
      </c>
      <c r="AY434" s="1518">
        <v>45008</v>
      </c>
      <c r="AZ434" s="333"/>
      <c r="BA434" s="1031" t="s">
        <v>3767</v>
      </c>
      <c r="BB434" s="644" t="s">
        <v>3768</v>
      </c>
      <c r="BC434" s="544" t="s">
        <v>709</v>
      </c>
      <c r="BD434" s="544" t="s">
        <v>1167</v>
      </c>
      <c r="BE434" s="544" t="s">
        <v>2898</v>
      </c>
      <c r="BF434" s="544" t="s">
        <v>2898</v>
      </c>
      <c r="BG434" s="544" t="s">
        <v>709</v>
      </c>
      <c r="BH434" s="741"/>
      <c r="BI434" s="547" t="s">
        <v>709</v>
      </c>
      <c r="BJ434" s="547" t="s">
        <v>709</v>
      </c>
      <c r="BK434" s="547" t="s">
        <v>709</v>
      </c>
      <c r="BL434" s="547" t="s">
        <v>116</v>
      </c>
      <c r="BM434" s="547" t="s">
        <v>709</v>
      </c>
      <c r="BN434" s="547" t="s">
        <v>709</v>
      </c>
      <c r="BO434" s="547" t="s">
        <v>709</v>
      </c>
      <c r="BP434" s="547" t="s">
        <v>709</v>
      </c>
      <c r="BQ434" s="547">
        <v>89</v>
      </c>
      <c r="BR434" s="547">
        <v>4569</v>
      </c>
      <c r="BS434" s="547" t="s">
        <v>709</v>
      </c>
      <c r="BT434" s="547" t="s">
        <v>745</v>
      </c>
      <c r="BU434" s="547" t="s">
        <v>709</v>
      </c>
      <c r="BV434" s="547" t="s">
        <v>745</v>
      </c>
      <c r="BW434" s="547" t="s">
        <v>709</v>
      </c>
      <c r="BX434" s="547" t="s">
        <v>709</v>
      </c>
      <c r="BY434" s="547" t="s">
        <v>745</v>
      </c>
      <c r="BZ434" s="547" t="s">
        <v>709</v>
      </c>
      <c r="CA434" s="483"/>
      <c r="CB434" s="547">
        <v>432</v>
      </c>
      <c r="CC434" s="1481" t="b">
        <v>1</v>
      </c>
      <c r="CD434" t="str">
        <f>Table15[[#This Row],[Engineering Number]]&amp;Table15[[#This Row],[WO Number]]&amp;Table15[[#This Row],[Date Assigned to Designer]]&amp;Table15[[#This Row],[Date Completed]]</f>
        <v>NBA1000105616105814443944489</v>
      </c>
    </row>
    <row r="435" spans="1:82" customFormat="1" ht="15" customHeight="1" x14ac:dyDescent="0.25">
      <c r="A435">
        <v>2022</v>
      </c>
      <c r="B435" s="8" t="s">
        <v>769</v>
      </c>
      <c r="C435" s="8" t="s">
        <v>760</v>
      </c>
      <c r="D435" s="8" t="s">
        <v>115</v>
      </c>
      <c r="E435" s="8" t="s">
        <v>1110</v>
      </c>
      <c r="F435" s="8" t="s">
        <v>919</v>
      </c>
      <c r="G435" s="8" t="s">
        <v>40</v>
      </c>
      <c r="H435" s="8" t="s">
        <v>2127</v>
      </c>
      <c r="I435" s="642">
        <v>44480</v>
      </c>
      <c r="J435" s="18">
        <v>44568</v>
      </c>
      <c r="K435" s="97">
        <v>44490</v>
      </c>
      <c r="L435" s="16">
        <f>IF(ISTEXT(Table15[[#This Row],[Engineering Approved Design Date]]),Table15[[#This Row],[Date Completed]]-Table15[[#This Row],[Date Assigned to Designer]],Table15[[#This Row],[Engineering Approved Design Date]]-Table15[[#This Row],[Date Completed]])</f>
        <v>78</v>
      </c>
      <c r="M435" s="642"/>
      <c r="N435" s="642" t="s">
        <v>120</v>
      </c>
      <c r="O435" s="1025">
        <f>K435</f>
        <v>44490</v>
      </c>
      <c r="P435" s="21" t="s">
        <v>120</v>
      </c>
      <c r="Q435" s="1151"/>
      <c r="R435" s="1026" t="s">
        <v>115</v>
      </c>
      <c r="S435" s="538" t="s">
        <v>709</v>
      </c>
      <c r="T435" s="538" t="s">
        <v>709</v>
      </c>
      <c r="U435" s="87" t="s">
        <v>709</v>
      </c>
      <c r="V435" s="1184"/>
      <c r="W435" s="1186"/>
      <c r="X435" s="538"/>
      <c r="Y435" s="550"/>
      <c r="Z435" s="538"/>
      <c r="AA435" s="538"/>
      <c r="AB435" s="21"/>
      <c r="AC435" s="569" t="s">
        <v>29</v>
      </c>
      <c r="AD435" s="1149"/>
      <c r="AE435" s="580"/>
      <c r="AF435" s="580"/>
      <c r="AG435" s="580"/>
      <c r="AH435" s="542"/>
      <c r="AI435" s="1028"/>
      <c r="AJ435" s="1029"/>
      <c r="AK435" s="1029"/>
      <c r="AL435" s="1030"/>
      <c r="AM435" s="542" t="s">
        <v>709</v>
      </c>
      <c r="AN435" s="924"/>
      <c r="AO435" s="925"/>
      <c r="AP435" s="926"/>
      <c r="AQ435" s="926"/>
      <c r="AR435" s="926"/>
      <c r="AS435" s="926"/>
      <c r="AT435" s="926"/>
      <c r="AU435" s="926"/>
      <c r="AV435" s="926"/>
      <c r="AW435" s="927"/>
      <c r="AX435" s="926"/>
      <c r="AY435" s="1538" t="s">
        <v>29</v>
      </c>
      <c r="AZ435" s="1530"/>
      <c r="BA435" s="1031" t="s">
        <v>3780</v>
      </c>
      <c r="BB435" s="644"/>
      <c r="BC435" s="544"/>
      <c r="BD435" s="544"/>
      <c r="BE435" s="544"/>
      <c r="BF435" s="544"/>
      <c r="BG435" s="544"/>
      <c r="BH435" s="741"/>
      <c r="BI435" s="547" t="s">
        <v>709</v>
      </c>
      <c r="BJ435" s="547" t="s">
        <v>709</v>
      </c>
      <c r="BK435" s="547" t="s">
        <v>116</v>
      </c>
      <c r="BL435" s="547" t="s">
        <v>116</v>
      </c>
      <c r="BM435" s="547" t="s">
        <v>709</v>
      </c>
      <c r="BN435" s="547" t="s">
        <v>709</v>
      </c>
      <c r="BO435" s="547" t="s">
        <v>709</v>
      </c>
      <c r="BP435" s="547" t="s">
        <v>709</v>
      </c>
      <c r="BQ435" s="547" t="s">
        <v>116</v>
      </c>
      <c r="BR435" s="547" t="s">
        <v>116</v>
      </c>
      <c r="BS435" s="547" t="s">
        <v>116</v>
      </c>
      <c r="BT435" s="547" t="s">
        <v>116</v>
      </c>
      <c r="BU435" s="547" t="s">
        <v>709</v>
      </c>
      <c r="BV435" s="547" t="s">
        <v>709</v>
      </c>
      <c r="BW435" s="547" t="s">
        <v>116</v>
      </c>
      <c r="BX435" s="547" t="s">
        <v>116</v>
      </c>
      <c r="BY435" s="547" t="s">
        <v>709</v>
      </c>
      <c r="BZ435" s="547" t="s">
        <v>709</v>
      </c>
      <c r="CA435" s="483" t="s">
        <v>769</v>
      </c>
      <c r="CB435" s="547">
        <v>433</v>
      </c>
      <c r="CC435" s="1481" t="b">
        <v>1</v>
      </c>
      <c r="CD435" t="str">
        <f>Table15[[#This Row],[Engineering Number]]&amp;Table15[[#This Row],[WO Number]]&amp;Table15[[#This Row],[Date Assigned to Designer]]&amp;Table15[[#This Row],[Date Completed]]</f>
        <v>RS928-4448044490</v>
      </c>
    </row>
    <row r="436" spans="1:82" customFormat="1" ht="15" customHeight="1" x14ac:dyDescent="0.25">
      <c r="A436">
        <v>2021</v>
      </c>
      <c r="B436" s="8" t="s">
        <v>1073</v>
      </c>
      <c r="C436" s="8" t="s">
        <v>3777</v>
      </c>
      <c r="D436" s="8" t="s">
        <v>115</v>
      </c>
      <c r="E436" s="8" t="s">
        <v>1500</v>
      </c>
      <c r="F436" s="8" t="s">
        <v>738</v>
      </c>
      <c r="G436" s="8" t="s">
        <v>36</v>
      </c>
      <c r="H436" s="8" t="s">
        <v>59</v>
      </c>
      <c r="I436" s="642">
        <v>44439</v>
      </c>
      <c r="J436" s="18">
        <v>44491</v>
      </c>
      <c r="K436" s="97">
        <v>44490</v>
      </c>
      <c r="L436" s="16">
        <f>IF(ISTEXT(Table15[[#This Row],[Engineering Approved Design Date]]),Table15[[#This Row],[Date Completed]]-Table15[[#This Row],[Date Assigned to Designer]],Table15[[#This Row],[Engineering Approved Design Date]]-Table15[[#This Row],[Date Completed]])</f>
        <v>1</v>
      </c>
      <c r="M436" s="642"/>
      <c r="N436" s="642" t="s">
        <v>120</v>
      </c>
      <c r="O436" s="1025">
        <v>44501</v>
      </c>
      <c r="P436" s="21" t="s">
        <v>739</v>
      </c>
      <c r="Q436" s="1151">
        <f>Table15[[#This Row],[Shactee Effort]]+Table15[[#This Row],[KH Hourly Effort]]</f>
        <v>22351</v>
      </c>
      <c r="R436" s="1026" t="s">
        <v>1922</v>
      </c>
      <c r="S436" s="538">
        <v>741</v>
      </c>
      <c r="T436" s="538" t="s">
        <v>709</v>
      </c>
      <c r="U436" s="28">
        <v>21610</v>
      </c>
      <c r="V436" s="1184"/>
      <c r="W436" s="1186"/>
      <c r="X436" s="538"/>
      <c r="Y436" s="550"/>
      <c r="Z436" s="538"/>
      <c r="AA436" s="538"/>
      <c r="AB436" s="21"/>
      <c r="AC436" s="569" t="s">
        <v>709</v>
      </c>
      <c r="AD436" s="1149"/>
      <c r="AE436" s="569"/>
      <c r="AF436" s="569"/>
      <c r="AG436" s="569"/>
      <c r="AH436" s="536"/>
      <c r="AI436" s="1028"/>
      <c r="AJ436" s="1029"/>
      <c r="AK436" s="1029"/>
      <c r="AL436" s="1030"/>
      <c r="AM436" s="542" t="s">
        <v>709</v>
      </c>
      <c r="AN436" s="924"/>
      <c r="AO436" s="925"/>
      <c r="AP436" s="926"/>
      <c r="AQ436" s="926"/>
      <c r="AR436" s="926"/>
      <c r="AS436" s="926"/>
      <c r="AT436" s="926"/>
      <c r="AU436" s="926"/>
      <c r="AV436" s="926"/>
      <c r="AW436" s="927"/>
      <c r="AX436" s="926"/>
      <c r="AY436" s="1538" t="s">
        <v>29</v>
      </c>
      <c r="AZ436" s="1530"/>
      <c r="BA436" s="1031" t="s">
        <v>3778</v>
      </c>
      <c r="BB436" s="644" t="s">
        <v>1078</v>
      </c>
      <c r="BC436" s="544" t="s">
        <v>709</v>
      </c>
      <c r="BD436" s="544" t="s">
        <v>709</v>
      </c>
      <c r="BE436" s="544" t="s">
        <v>709</v>
      </c>
      <c r="BF436" s="544" t="s">
        <v>709</v>
      </c>
      <c r="BG436" s="544" t="s">
        <v>709</v>
      </c>
      <c r="BH436" s="741"/>
      <c r="BI436" s="547" t="s">
        <v>709</v>
      </c>
      <c r="BJ436" s="547" t="s">
        <v>709</v>
      </c>
      <c r="BK436" s="547" t="s">
        <v>709</v>
      </c>
      <c r="BL436" s="547" t="s">
        <v>116</v>
      </c>
      <c r="BM436" s="547"/>
      <c r="BN436" s="547"/>
      <c r="BO436" s="547"/>
      <c r="BP436" s="547"/>
      <c r="BQ436" s="547"/>
      <c r="BR436" s="547"/>
      <c r="BS436" s="547"/>
      <c r="BT436" s="547" t="s">
        <v>745</v>
      </c>
      <c r="BU436" s="547" t="s">
        <v>709</v>
      </c>
      <c r="BV436" s="547" t="s">
        <v>745</v>
      </c>
      <c r="BW436" s="547" t="s">
        <v>709</v>
      </c>
      <c r="BX436" s="547" t="s">
        <v>745</v>
      </c>
      <c r="BY436" s="547" t="s">
        <v>745</v>
      </c>
      <c r="BZ436" s="547" t="s">
        <v>709</v>
      </c>
      <c r="CA436" s="483" t="s">
        <v>2739</v>
      </c>
      <c r="CB436" s="547">
        <v>435</v>
      </c>
      <c r="CC436" s="1481" t="b">
        <v>1</v>
      </c>
      <c r="CD436" t="str">
        <f>Table15[[#This Row],[Engineering Number]]&amp;Table15[[#This Row],[WO Number]]&amp;Table15[[#This Row],[Date Assigned to Designer]]&amp;Table15[[#This Row],[Date Completed]]</f>
        <v>NBA10001502-4443944490</v>
      </c>
    </row>
    <row r="437" spans="1:82" customFormat="1" ht="15" customHeight="1" x14ac:dyDescent="0.25">
      <c r="A437">
        <v>2021</v>
      </c>
      <c r="B437" s="8" t="s">
        <v>1073</v>
      </c>
      <c r="C437" s="8" t="s">
        <v>3774</v>
      </c>
      <c r="D437" s="8" t="s">
        <v>115</v>
      </c>
      <c r="E437" s="8" t="s">
        <v>1500</v>
      </c>
      <c r="F437" s="8" t="s">
        <v>738</v>
      </c>
      <c r="G437" s="8" t="s">
        <v>36</v>
      </c>
      <c r="H437" s="8" t="s">
        <v>59</v>
      </c>
      <c r="I437" s="642">
        <v>44439</v>
      </c>
      <c r="J437" s="18">
        <v>44491</v>
      </c>
      <c r="K437" s="97">
        <v>44490</v>
      </c>
      <c r="L437" s="16">
        <f>IF(ISTEXT(Table15[[#This Row],[Engineering Approved Design Date]]),Table15[[#This Row],[Date Completed]]-Table15[[#This Row],[Date Assigned to Designer]],Table15[[#This Row],[Engineering Approved Design Date]]-Table15[[#This Row],[Date Completed]])</f>
        <v>1</v>
      </c>
      <c r="M437" s="642"/>
      <c r="N437" s="642" t="s">
        <v>120</v>
      </c>
      <c r="O437" s="1025">
        <v>44501</v>
      </c>
      <c r="P437" s="21" t="s">
        <v>739</v>
      </c>
      <c r="Q437" s="1151" t="s">
        <v>115</v>
      </c>
      <c r="R437" s="1026" t="s">
        <v>115</v>
      </c>
      <c r="S437" s="538" t="s">
        <v>709</v>
      </c>
      <c r="T437" s="538" t="s">
        <v>709</v>
      </c>
      <c r="U437" s="87" t="s">
        <v>709</v>
      </c>
      <c r="V437" s="1184"/>
      <c r="W437" s="1186"/>
      <c r="X437" s="538"/>
      <c r="Y437" s="550"/>
      <c r="Z437" s="538"/>
      <c r="AA437" s="538"/>
      <c r="AB437" s="21"/>
      <c r="AC437" s="569" t="s">
        <v>709</v>
      </c>
      <c r="AD437" s="1149"/>
      <c r="AE437" s="569"/>
      <c r="AF437" s="569"/>
      <c r="AG437" s="569"/>
      <c r="AH437" s="536"/>
      <c r="AI437" s="1028"/>
      <c r="AJ437" s="1029"/>
      <c r="AK437" s="1029"/>
      <c r="AL437" s="1030"/>
      <c r="AM437" s="542" t="s">
        <v>709</v>
      </c>
      <c r="AN437" s="924"/>
      <c r="AO437" s="925"/>
      <c r="AP437" s="926"/>
      <c r="AQ437" s="926"/>
      <c r="AR437" s="926"/>
      <c r="AS437" s="926"/>
      <c r="AT437" s="926"/>
      <c r="AU437" s="926"/>
      <c r="AV437" s="926"/>
      <c r="AW437" s="927"/>
      <c r="AX437" s="926"/>
      <c r="AY437" s="1538" t="s">
        <v>29</v>
      </c>
      <c r="AZ437" s="1530"/>
      <c r="BA437" s="1031" t="s">
        <v>3775</v>
      </c>
      <c r="BB437" s="644" t="s">
        <v>1078</v>
      </c>
      <c r="BC437" s="544" t="s">
        <v>709</v>
      </c>
      <c r="BD437" s="544" t="s">
        <v>709</v>
      </c>
      <c r="BE437" s="544" t="s">
        <v>709</v>
      </c>
      <c r="BF437" s="544" t="s">
        <v>709</v>
      </c>
      <c r="BG437" s="544" t="s">
        <v>709</v>
      </c>
      <c r="BH437" s="741"/>
      <c r="BI437" s="547" t="s">
        <v>709</v>
      </c>
      <c r="BJ437" s="547" t="s">
        <v>709</v>
      </c>
      <c r="BK437" s="547" t="s">
        <v>709</v>
      </c>
      <c r="BL437" s="547" t="s">
        <v>116</v>
      </c>
      <c r="BM437" s="547"/>
      <c r="BN437" s="547"/>
      <c r="BO437" s="547"/>
      <c r="BP437" s="547"/>
      <c r="BQ437" s="547"/>
      <c r="BR437" s="547"/>
      <c r="BS437" s="547"/>
      <c r="BT437" s="547" t="s">
        <v>745</v>
      </c>
      <c r="BU437" s="547" t="s">
        <v>709</v>
      </c>
      <c r="BV437" s="547" t="s">
        <v>745</v>
      </c>
      <c r="BW437" s="547" t="s">
        <v>709</v>
      </c>
      <c r="BX437" s="547" t="s">
        <v>745</v>
      </c>
      <c r="BY437" s="547" t="s">
        <v>745</v>
      </c>
      <c r="BZ437" s="547" t="s">
        <v>709</v>
      </c>
      <c r="CA437" s="483" t="s">
        <v>2739</v>
      </c>
      <c r="CB437" s="547">
        <v>434</v>
      </c>
      <c r="CC437" s="1481" t="b">
        <v>1</v>
      </c>
      <c r="CD437" t="str">
        <f>Table15[[#This Row],[Engineering Number]]&amp;Table15[[#This Row],[WO Number]]&amp;Table15[[#This Row],[Date Assigned to Designer]]&amp;Table15[[#This Row],[Date Completed]]</f>
        <v>NBA10001503-4443944490</v>
      </c>
    </row>
    <row r="438" spans="1:82" customFormat="1" ht="15" customHeight="1" x14ac:dyDescent="0.25">
      <c r="A438">
        <v>2022</v>
      </c>
      <c r="B438" s="8" t="s">
        <v>771</v>
      </c>
      <c r="C438" s="8" t="s">
        <v>3782</v>
      </c>
      <c r="D438" s="8" t="s">
        <v>3783</v>
      </c>
      <c r="E438" s="8" t="s">
        <v>3643</v>
      </c>
      <c r="F438" s="8" t="s">
        <v>919</v>
      </c>
      <c r="G438" s="8" t="s">
        <v>36</v>
      </c>
      <c r="H438" s="8" t="s">
        <v>59</v>
      </c>
      <c r="I438" s="642">
        <v>44383</v>
      </c>
      <c r="J438" s="18">
        <v>44498</v>
      </c>
      <c r="K438" s="97">
        <v>44495</v>
      </c>
      <c r="L438" s="16">
        <f>IF(ISTEXT(Table15[[#This Row],[Engineering Approved Design Date]]),Table15[[#This Row],[Date Completed]]-Table15[[#This Row],[Date Assigned to Designer]],Table15[[#This Row],[Engineering Approved Design Date]]-Table15[[#This Row],[Date Completed]])</f>
        <v>3</v>
      </c>
      <c r="M438" s="642"/>
      <c r="N438" s="642" t="s">
        <v>120</v>
      </c>
      <c r="O438" s="1025">
        <f>K438</f>
        <v>44495</v>
      </c>
      <c r="P438" s="21" t="s">
        <v>120</v>
      </c>
      <c r="Q438" s="1151">
        <f>1.55*Table15[[#This Row],[LF of Main]]</f>
        <v>26598</v>
      </c>
      <c r="R438" s="1026" t="s">
        <v>2087</v>
      </c>
      <c r="S438" s="538" t="s">
        <v>709</v>
      </c>
      <c r="T438" s="538" t="s">
        <v>709</v>
      </c>
      <c r="U438" s="28" t="s">
        <v>709</v>
      </c>
      <c r="V438" s="1184">
        <f>10450+6452+114+144</f>
        <v>17160</v>
      </c>
      <c r="W438" s="1186"/>
      <c r="X438" s="538">
        <v>2519107.5</v>
      </c>
      <c r="Y438" s="550"/>
      <c r="Z438" s="538">
        <v>54836.78</v>
      </c>
      <c r="AA438" s="538">
        <f>X438+Z438</f>
        <v>2573944.2799999998</v>
      </c>
      <c r="AB438" s="341"/>
      <c r="AC438" s="568" t="s">
        <v>709</v>
      </c>
      <c r="AD438" s="1157"/>
      <c r="AE438" s="568"/>
      <c r="AF438" s="568"/>
      <c r="AG438" s="568"/>
      <c r="AH438" s="183"/>
      <c r="AI438" s="1036"/>
      <c r="AJ438" s="1037"/>
      <c r="AK438" s="1037"/>
      <c r="AL438" s="1038"/>
      <c r="AM438" s="542" t="s">
        <v>709</v>
      </c>
      <c r="AN438" s="924"/>
      <c r="AO438" s="925"/>
      <c r="AP438" s="926"/>
      <c r="AQ438" s="926"/>
      <c r="AR438" s="926"/>
      <c r="AS438" s="926"/>
      <c r="AT438" s="926"/>
      <c r="AU438" s="926"/>
      <c r="AV438" s="926"/>
      <c r="AW438" s="927"/>
      <c r="AX438" s="926"/>
      <c r="AY438" s="1538" t="s">
        <v>29</v>
      </c>
      <c r="AZ438" s="1530"/>
      <c r="BA438" s="1031" t="s">
        <v>3784</v>
      </c>
      <c r="BB438" s="644" t="s">
        <v>3658</v>
      </c>
      <c r="BC438" s="544" t="s">
        <v>709</v>
      </c>
      <c r="BD438" s="544" t="s">
        <v>3659</v>
      </c>
      <c r="BE438" s="544" t="s">
        <v>3646</v>
      </c>
      <c r="BF438" s="544" t="s">
        <v>709</v>
      </c>
      <c r="BG438" s="544" t="s">
        <v>709</v>
      </c>
      <c r="BH438" s="741"/>
      <c r="BI438" s="547" t="s">
        <v>709</v>
      </c>
      <c r="BJ438" s="547" t="s">
        <v>709</v>
      </c>
      <c r="BK438" s="547" t="s">
        <v>709</v>
      </c>
      <c r="BL438" s="547" t="s">
        <v>116</v>
      </c>
      <c r="BM438" s="547" t="s">
        <v>709</v>
      </c>
      <c r="BN438" s="547" t="s">
        <v>709</v>
      </c>
      <c r="BO438" s="547" t="s">
        <v>709</v>
      </c>
      <c r="BP438" s="547" t="s">
        <v>709</v>
      </c>
      <c r="BQ438" s="547">
        <v>114</v>
      </c>
      <c r="BR438" s="547">
        <v>6596</v>
      </c>
      <c r="BS438" s="547">
        <v>10450</v>
      </c>
      <c r="BT438" s="547" t="s">
        <v>745</v>
      </c>
      <c r="BU438" s="547" t="s">
        <v>709</v>
      </c>
      <c r="BV438" s="547" t="s">
        <v>745</v>
      </c>
      <c r="BW438" s="547" t="s">
        <v>709</v>
      </c>
      <c r="BX438" s="547" t="s">
        <v>745</v>
      </c>
      <c r="BY438" s="547" t="s">
        <v>745</v>
      </c>
      <c r="BZ438" s="547" t="s">
        <v>709</v>
      </c>
      <c r="CA438" s="483"/>
      <c r="CB438" s="547">
        <v>436</v>
      </c>
      <c r="CC438" s="1481" t="b">
        <v>1</v>
      </c>
      <c r="CD438" t="str">
        <f>Table15[[#This Row],[Engineering Number]]&amp;Table15[[#This Row],[WO Number]]&amp;Table15[[#This Row],[Date Assigned to Designer]]&amp;Table15[[#This Row],[Date Completed]]</f>
        <v>VW12212103894438344495</v>
      </c>
    </row>
    <row r="439" spans="1:82" customFormat="1" ht="15" customHeight="1" x14ac:dyDescent="0.25">
      <c r="A439">
        <v>2022</v>
      </c>
      <c r="B439" s="8" t="s">
        <v>4</v>
      </c>
      <c r="C439" s="8" t="s">
        <v>3544</v>
      </c>
      <c r="D439" s="8" t="s">
        <v>3545</v>
      </c>
      <c r="E439" s="8" t="s">
        <v>108</v>
      </c>
      <c r="F439" s="8" t="s">
        <v>738</v>
      </c>
      <c r="G439" s="8" t="s">
        <v>39</v>
      </c>
      <c r="H439" s="8" t="s">
        <v>3178</v>
      </c>
      <c r="I439" s="642">
        <v>44483</v>
      </c>
      <c r="J439" s="18" t="s">
        <v>2052</v>
      </c>
      <c r="K439" s="97">
        <v>44495</v>
      </c>
      <c r="L439" s="16">
        <f>IF(ISTEXT(Table15[[#This Row],[Engineering Approved Design Date]]),Table15[[#This Row],[Date Completed]]-Table15[[#This Row],[Date Assigned to Designer]],Table15[[#This Row],[Engineering Approved Design Date]]-Table15[[#This Row],[Date Completed]])</f>
        <v>12</v>
      </c>
      <c r="M439" s="642" t="s">
        <v>3058</v>
      </c>
      <c r="N439" s="642" t="s">
        <v>120</v>
      </c>
      <c r="O439" s="1025">
        <v>44501</v>
      </c>
      <c r="P439" s="21" t="s">
        <v>739</v>
      </c>
      <c r="Q439" s="1151">
        <f>Table15[[#This Row],[KH Hourly Effort]]</f>
        <v>6620</v>
      </c>
      <c r="R439" s="1026" t="s">
        <v>1922</v>
      </c>
      <c r="S439" s="538" t="s">
        <v>709</v>
      </c>
      <c r="T439" s="538" t="s">
        <v>709</v>
      </c>
      <c r="U439" s="87">
        <v>6620</v>
      </c>
      <c r="V439" s="858"/>
      <c r="W439" s="437"/>
      <c r="X439" s="538"/>
      <c r="Y439" s="550"/>
      <c r="Z439" s="538"/>
      <c r="AA439" s="538"/>
      <c r="AB439" s="21"/>
      <c r="AC439" s="569"/>
      <c r="AD439" s="1149"/>
      <c r="AE439" s="580"/>
      <c r="AF439" s="580"/>
      <c r="AG439" s="580"/>
      <c r="AH439" s="542"/>
      <c r="AI439" s="1028"/>
      <c r="AJ439" s="1029"/>
      <c r="AK439" s="1029"/>
      <c r="AL439" s="1030"/>
      <c r="AM439" s="542" t="s">
        <v>709</v>
      </c>
      <c r="AN439" s="924"/>
      <c r="AO439" s="925"/>
      <c r="AP439" s="926"/>
      <c r="AQ439" s="926"/>
      <c r="AR439" s="926"/>
      <c r="AS439" s="926"/>
      <c r="AT439" s="926"/>
      <c r="AU439" s="926"/>
      <c r="AV439" s="926"/>
      <c r="AW439" s="927"/>
      <c r="AX439" s="926"/>
      <c r="AY439" s="1538" t="s">
        <v>29</v>
      </c>
      <c r="AZ439" s="1530"/>
      <c r="BA439" s="1031">
        <v>4</v>
      </c>
      <c r="BB439" s="644"/>
      <c r="BC439" s="544"/>
      <c r="BD439" s="544"/>
      <c r="BE439" s="544"/>
      <c r="BF439" s="544"/>
      <c r="BG439" s="544"/>
      <c r="BH439" s="741"/>
      <c r="BI439" s="547" t="s">
        <v>709</v>
      </c>
      <c r="BJ439" s="547" t="s">
        <v>709</v>
      </c>
      <c r="BK439" s="547" t="s">
        <v>709</v>
      </c>
      <c r="BL439" s="547" t="s">
        <v>116</v>
      </c>
      <c r="BM439" s="547" t="s">
        <v>709</v>
      </c>
      <c r="BN439" s="547" t="s">
        <v>709</v>
      </c>
      <c r="BO439" s="547" t="s">
        <v>709</v>
      </c>
      <c r="BP439" s="547" t="s">
        <v>709</v>
      </c>
      <c r="BQ439" s="547" t="s">
        <v>709</v>
      </c>
      <c r="BR439" s="547" t="s">
        <v>709</v>
      </c>
      <c r="BS439" s="547">
        <v>1361</v>
      </c>
      <c r="BT439" s="547" t="s">
        <v>745</v>
      </c>
      <c r="BU439" s="547" t="s">
        <v>709</v>
      </c>
      <c r="BV439" s="547" t="s">
        <v>745</v>
      </c>
      <c r="BW439" s="547" t="s">
        <v>709</v>
      </c>
      <c r="BX439" s="547" t="s">
        <v>745</v>
      </c>
      <c r="BY439" s="547" t="s">
        <v>745</v>
      </c>
      <c r="BZ439" s="547" t="s">
        <v>709</v>
      </c>
      <c r="CA439" s="483"/>
      <c r="CB439" s="547">
        <v>437</v>
      </c>
      <c r="CC439" s="1481" t="b">
        <v>1</v>
      </c>
      <c r="CD439" t="str">
        <f>Table15[[#This Row],[Engineering Number]]&amp;Table15[[#This Row],[WO Number]]&amp;Table15[[#This Row],[Date Assigned to Designer]]&amp;Table15[[#This Row],[Date Completed]]</f>
        <v>N12607-112103334448344495</v>
      </c>
    </row>
    <row r="440" spans="1:82" customFormat="1" ht="15" customHeight="1" x14ac:dyDescent="0.25">
      <c r="A440">
        <v>2022</v>
      </c>
      <c r="B440" s="8" t="s">
        <v>771</v>
      </c>
      <c r="C440" s="8" t="s">
        <v>3782</v>
      </c>
      <c r="D440" s="8" t="s">
        <v>3783</v>
      </c>
      <c r="E440" s="8" t="s">
        <v>3643</v>
      </c>
      <c r="F440" s="8" t="s">
        <v>919</v>
      </c>
      <c r="G440" s="8" t="s">
        <v>36</v>
      </c>
      <c r="H440" s="8" t="s">
        <v>3661</v>
      </c>
      <c r="I440" s="642">
        <v>44383</v>
      </c>
      <c r="J440" s="18" t="s">
        <v>3662</v>
      </c>
      <c r="K440" s="97">
        <v>44495</v>
      </c>
      <c r="L440" s="16">
        <f>IF(ISTEXT(Table15[[#This Row],[Engineering Approved Design Date]]),Table15[[#This Row],[Date Completed]]-Table15[[#This Row],[Date Assigned to Designer]],Table15[[#This Row],[Engineering Approved Design Date]]-Table15[[#This Row],[Date Completed]])</f>
        <v>112</v>
      </c>
      <c r="M440" s="642" t="s">
        <v>3787</v>
      </c>
      <c r="N440" s="642" t="s">
        <v>120</v>
      </c>
      <c r="O440" s="1025">
        <v>44554</v>
      </c>
      <c r="P440" s="21" t="s">
        <v>120</v>
      </c>
      <c r="Q440" s="1151">
        <f>U440</f>
        <v>7747.5</v>
      </c>
      <c r="R440" s="1026" t="s">
        <v>1922</v>
      </c>
      <c r="S440" s="538" t="s">
        <v>709</v>
      </c>
      <c r="T440" s="538" t="s">
        <v>709</v>
      </c>
      <c r="U440" s="87">
        <v>7747.5</v>
      </c>
      <c r="V440" s="1184"/>
      <c r="W440" s="1186"/>
      <c r="X440" s="538"/>
      <c r="Y440" s="550"/>
      <c r="Z440" s="538"/>
      <c r="AA440" s="538"/>
      <c r="AB440" s="341" t="s">
        <v>29</v>
      </c>
      <c r="AC440" s="569" t="s">
        <v>29</v>
      </c>
      <c r="AD440" s="1149" t="s">
        <v>29</v>
      </c>
      <c r="AE440" s="569"/>
      <c r="AF440" s="569"/>
      <c r="AG440" s="569"/>
      <c r="AH440" s="536"/>
      <c r="AI440" s="1028"/>
      <c r="AJ440" s="1029"/>
      <c r="AK440" s="1029"/>
      <c r="AL440" s="1030"/>
      <c r="AM440" s="542" t="s">
        <v>709</v>
      </c>
      <c r="AN440" s="924"/>
      <c r="AO440" s="925"/>
      <c r="AP440" s="926"/>
      <c r="AQ440" s="926"/>
      <c r="AR440" s="926"/>
      <c r="AS440" s="926"/>
      <c r="AT440" s="926"/>
      <c r="AU440" s="926"/>
      <c r="AV440" s="926"/>
      <c r="AW440" s="927"/>
      <c r="AX440" s="926"/>
      <c r="AY440" s="1538" t="s">
        <v>29</v>
      </c>
      <c r="AZ440" s="1530"/>
      <c r="BA440" s="1031"/>
      <c r="BB440" s="644"/>
      <c r="BC440" s="544" t="s">
        <v>709</v>
      </c>
      <c r="BD440" s="544" t="s">
        <v>3659</v>
      </c>
      <c r="BE440" s="544" t="s">
        <v>3646</v>
      </c>
      <c r="BF440" s="544" t="s">
        <v>709</v>
      </c>
      <c r="BG440" s="544" t="s">
        <v>709</v>
      </c>
      <c r="BH440" s="741"/>
      <c r="BI440" s="547" t="s">
        <v>709</v>
      </c>
      <c r="BJ440" s="547" t="s">
        <v>709</v>
      </c>
      <c r="BK440" s="547" t="s">
        <v>709</v>
      </c>
      <c r="BL440" s="547" t="s">
        <v>116</v>
      </c>
      <c r="BM440" s="547" t="s">
        <v>709</v>
      </c>
      <c r="BN440" s="547" t="s">
        <v>709</v>
      </c>
      <c r="BO440" s="547" t="s">
        <v>709</v>
      </c>
      <c r="BP440" s="547" t="s">
        <v>709</v>
      </c>
      <c r="BQ440" s="547">
        <v>114</v>
      </c>
      <c r="BR440" s="547">
        <v>6596</v>
      </c>
      <c r="BS440" s="547">
        <v>10450</v>
      </c>
      <c r="BT440" s="547" t="s">
        <v>745</v>
      </c>
      <c r="BU440" s="547" t="s">
        <v>709</v>
      </c>
      <c r="BV440" s="547" t="s">
        <v>745</v>
      </c>
      <c r="BW440" s="547" t="s">
        <v>709</v>
      </c>
      <c r="BX440" s="547" t="s">
        <v>745</v>
      </c>
      <c r="BY440" s="547" t="s">
        <v>745</v>
      </c>
      <c r="BZ440" s="547" t="s">
        <v>709</v>
      </c>
      <c r="CA440" s="483"/>
      <c r="CB440" s="547">
        <v>438</v>
      </c>
      <c r="CC440" s="1481" t="b">
        <v>1</v>
      </c>
      <c r="CD440" t="str">
        <f>Table15[[#This Row],[Engineering Number]]&amp;Table15[[#This Row],[WO Number]]&amp;Table15[[#This Row],[Date Assigned to Designer]]&amp;Table15[[#This Row],[Date Completed]]</f>
        <v>VW12212103894438344495</v>
      </c>
    </row>
    <row r="441" spans="1:82" customFormat="1" ht="15" customHeight="1" x14ac:dyDescent="0.25">
      <c r="A441">
        <v>2022</v>
      </c>
      <c r="B441" s="8" t="s">
        <v>4</v>
      </c>
      <c r="C441" s="8" t="s">
        <v>3795</v>
      </c>
      <c r="D441" s="8" t="s">
        <v>3796</v>
      </c>
      <c r="E441" s="8" t="s">
        <v>2298</v>
      </c>
      <c r="F441" s="8" t="s">
        <v>919</v>
      </c>
      <c r="G441" s="8" t="s">
        <v>39</v>
      </c>
      <c r="H441" s="8" t="s">
        <v>59</v>
      </c>
      <c r="I441" s="642">
        <v>44433</v>
      </c>
      <c r="J441" s="18">
        <v>44519</v>
      </c>
      <c r="K441" s="97">
        <v>44496</v>
      </c>
      <c r="L441" s="16">
        <f>IF(ISTEXT(Table15[[#This Row],[Engineering Approved Design Date]]),Table15[[#This Row],[Date Completed]]-Table15[[#This Row],[Date Assigned to Designer]],Table15[[#This Row],[Engineering Approved Design Date]]-Table15[[#This Row],[Date Completed]])</f>
        <v>23</v>
      </c>
      <c r="M441" s="642"/>
      <c r="N441" s="642" t="s">
        <v>120</v>
      </c>
      <c r="O441" s="1025">
        <v>44501</v>
      </c>
      <c r="P441" s="21" t="s">
        <v>739</v>
      </c>
      <c r="Q441" s="340">
        <f>R441*AA441</f>
        <v>27826.898000000001</v>
      </c>
      <c r="R441" s="1026">
        <v>0.1</v>
      </c>
      <c r="S441" s="538" t="s">
        <v>709</v>
      </c>
      <c r="T441" s="538" t="s">
        <v>709</v>
      </c>
      <c r="U441" s="87" t="s">
        <v>709</v>
      </c>
      <c r="V441" s="858">
        <v>538</v>
      </c>
      <c r="W441" s="437"/>
      <c r="X441" s="538">
        <v>248484.74</v>
      </c>
      <c r="Y441" s="551"/>
      <c r="Z441" s="538">
        <v>29784.240000000002</v>
      </c>
      <c r="AA441" s="551">
        <f>X441+Z441</f>
        <v>278268.98</v>
      </c>
      <c r="AB441" s="341"/>
      <c r="AC441" s="568" t="s">
        <v>709</v>
      </c>
      <c r="AD441" s="1157"/>
      <c r="AE441" s="579"/>
      <c r="AF441" s="579"/>
      <c r="AG441" s="579"/>
      <c r="AH441" s="553"/>
      <c r="AI441" s="1036"/>
      <c r="AJ441" s="1037"/>
      <c r="AK441" s="1037"/>
      <c r="AL441" s="1038"/>
      <c r="AM441" s="1522" t="s">
        <v>116</v>
      </c>
      <c r="AN441" s="1523">
        <v>44867</v>
      </c>
      <c r="AO441" s="1524">
        <v>11048618</v>
      </c>
      <c r="AP441" s="1525">
        <v>250861.31</v>
      </c>
      <c r="AQ441" s="1525" t="s">
        <v>115</v>
      </c>
      <c r="AR441" s="1525">
        <v>29843.82</v>
      </c>
      <c r="AS441" s="1525">
        <f>IF(Table15[[#This Row],[PCTS Approved]]="N",0,Table15[[#This Row],[Investment Amount (1'#'#'#'#'#)]]+Table15[[#This Row],[Retirement Amount (3'#'#'#'#'#)]])</f>
        <v>280705.13</v>
      </c>
      <c r="AT441" s="1525">
        <f>IF(Table15[[#This Row],[Approved Construction Cost]]=0,0,Table15[[#This Row],[Approved Construction Cost]]-Table15[[#This Row],[Construction Cost to Bill From]])</f>
        <v>2436.1500000000233</v>
      </c>
      <c r="AU441" s="1525">
        <f>IFERROR(Table15[[#This Row],[Difference in Construction Cost]]*Table15[[#This Row],[Rate]],Table15[[#This Row],[Difference in Construction Cost]]*0.085)</f>
        <v>243.61500000000234</v>
      </c>
      <c r="AV441" s="1525">
        <v>1750</v>
      </c>
      <c r="AW441" s="1526" t="s">
        <v>3797</v>
      </c>
      <c r="AX441" s="1525">
        <v>0</v>
      </c>
      <c r="AY441" s="1518">
        <v>45008</v>
      </c>
      <c r="AZ441" s="333"/>
      <c r="BA441" s="1031" t="s">
        <v>3798</v>
      </c>
      <c r="BB441" s="644" t="s">
        <v>3799</v>
      </c>
      <c r="BC441" s="544" t="s">
        <v>709</v>
      </c>
      <c r="BD441" s="544" t="s">
        <v>882</v>
      </c>
      <c r="BE441" s="544" t="s">
        <v>3119</v>
      </c>
      <c r="BF441" s="544" t="s">
        <v>709</v>
      </c>
      <c r="BG441" s="544" t="s">
        <v>709</v>
      </c>
      <c r="BH441" s="741"/>
      <c r="BI441" s="547" t="s">
        <v>709</v>
      </c>
      <c r="BJ441" s="547" t="s">
        <v>709</v>
      </c>
      <c r="BK441" s="547" t="s">
        <v>709</v>
      </c>
      <c r="BL441" s="547" t="s">
        <v>116</v>
      </c>
      <c r="BM441" s="547" t="s">
        <v>709</v>
      </c>
      <c r="BN441" s="547" t="s">
        <v>709</v>
      </c>
      <c r="BO441" s="547" t="s">
        <v>709</v>
      </c>
      <c r="BP441" s="547" t="s">
        <v>709</v>
      </c>
      <c r="BQ441" s="547">
        <v>173</v>
      </c>
      <c r="BR441" s="547" t="s">
        <v>709</v>
      </c>
      <c r="BS441" s="547">
        <v>365</v>
      </c>
      <c r="BT441" s="547" t="s">
        <v>745</v>
      </c>
      <c r="BU441" s="547" t="s">
        <v>709</v>
      </c>
      <c r="BV441" s="547" t="s">
        <v>745</v>
      </c>
      <c r="BW441" s="547" t="s">
        <v>709</v>
      </c>
      <c r="BX441" s="547" t="s">
        <v>745</v>
      </c>
      <c r="BY441" s="547" t="s">
        <v>745</v>
      </c>
      <c r="BZ441" s="547" t="s">
        <v>709</v>
      </c>
      <c r="CA441" s="483"/>
      <c r="CB441" s="547">
        <v>440</v>
      </c>
      <c r="CC441" s="1481" t="b">
        <v>1</v>
      </c>
      <c r="CD441" t="str">
        <f>Table15[[#This Row],[Engineering Number]]&amp;Table15[[#This Row],[WO Number]]&amp;Table15[[#This Row],[Date Assigned to Designer]]&amp;Table15[[#This Row],[Date Completed]]</f>
        <v>M1206012106144443344496</v>
      </c>
    </row>
    <row r="442" spans="1:82" customFormat="1" ht="15" customHeight="1" x14ac:dyDescent="0.25">
      <c r="A442">
        <v>2021</v>
      </c>
      <c r="B442" s="8" t="s">
        <v>4</v>
      </c>
      <c r="C442" s="8" t="s">
        <v>3788</v>
      </c>
      <c r="D442" s="8" t="s">
        <v>3789</v>
      </c>
      <c r="E442" s="8" t="s">
        <v>164</v>
      </c>
      <c r="F442" s="8" t="s">
        <v>738</v>
      </c>
      <c r="G442" s="8" t="s">
        <v>39</v>
      </c>
      <c r="H442" s="8" t="s">
        <v>59</v>
      </c>
      <c r="I442" s="642">
        <v>44356</v>
      </c>
      <c r="J442" s="18">
        <v>44512</v>
      </c>
      <c r="K442" s="97">
        <v>44496</v>
      </c>
      <c r="L442" s="16">
        <f>IF(ISTEXT(Table15[[#This Row],[Engineering Approved Design Date]]),Table15[[#This Row],[Date Completed]]-Table15[[#This Row],[Date Assigned to Designer]],Table15[[#This Row],[Engineering Approved Design Date]]-Table15[[#This Row],[Date Completed]])</f>
        <v>16</v>
      </c>
      <c r="M442" s="642"/>
      <c r="N442" s="642" t="s">
        <v>120</v>
      </c>
      <c r="O442" s="1025">
        <f>K442</f>
        <v>44496</v>
      </c>
      <c r="P442" s="21" t="s">
        <v>739</v>
      </c>
      <c r="Q442" s="340">
        <f>R442*AA442</f>
        <v>52039.816000000006</v>
      </c>
      <c r="R442" s="1026">
        <v>0.1</v>
      </c>
      <c r="S442" s="538" t="s">
        <v>709</v>
      </c>
      <c r="T442" s="538" t="s">
        <v>709</v>
      </c>
      <c r="U442" s="87" t="s">
        <v>709</v>
      </c>
      <c r="V442" s="858">
        <v>558</v>
      </c>
      <c r="W442" s="437"/>
      <c r="X442" s="556">
        <v>499462.88</v>
      </c>
      <c r="Y442" s="550"/>
      <c r="Z442" s="556">
        <v>20935.28</v>
      </c>
      <c r="AA442" s="551">
        <f>X442+Z442</f>
        <v>520398.16000000003</v>
      </c>
      <c r="AB442" s="341"/>
      <c r="AC442" s="568" t="s">
        <v>116</v>
      </c>
      <c r="AD442" s="1157"/>
      <c r="AE442" s="579"/>
      <c r="AF442" s="579"/>
      <c r="AG442" s="579"/>
      <c r="AH442" s="553"/>
      <c r="AI442" s="1036"/>
      <c r="AJ442" s="1037"/>
      <c r="AK442" s="1037"/>
      <c r="AL442" s="1038"/>
      <c r="AM442" s="1522" t="s">
        <v>116</v>
      </c>
      <c r="AN442" s="1523">
        <v>44734</v>
      </c>
      <c r="AO442" s="1524">
        <v>11038992</v>
      </c>
      <c r="AP442" s="1525">
        <v>140058.81</v>
      </c>
      <c r="AQ442" s="1525"/>
      <c r="AR442" s="1525">
        <v>21063.52</v>
      </c>
      <c r="AS442" s="1525">
        <f>IF(Table15[[#This Row],[PCTS Approved]]="N",0,Table15[[#This Row],[Investment Amount (1'#'#'#'#'#)]]+Table15[[#This Row],[Retirement Amount (3'#'#'#'#'#)]])</f>
        <v>161122.32999999999</v>
      </c>
      <c r="AT442" s="1525">
        <f>IF(Table15[[#This Row],[Approved Construction Cost]]=0,0,Table15[[#This Row],[Approved Construction Cost]]-Table15[[#This Row],[Construction Cost to Bill From]])</f>
        <v>-359275.83000000007</v>
      </c>
      <c r="AU442" s="1525">
        <f>IFERROR(Table15[[#This Row],[Difference in Construction Cost]]*Table15[[#This Row],[Rate]],Table15[[#This Row],[Difference in Construction Cost]]*0.085)</f>
        <v>-35927.583000000006</v>
      </c>
      <c r="AV442" s="1525">
        <v>3682.5</v>
      </c>
      <c r="AW442" s="1526" t="s">
        <v>3790</v>
      </c>
      <c r="AX442" s="1525">
        <v>0</v>
      </c>
      <c r="AY442" s="1518">
        <v>45008</v>
      </c>
      <c r="AZ442" s="333"/>
      <c r="BA442" s="1031" t="s">
        <v>3791</v>
      </c>
      <c r="BB442" s="644" t="s">
        <v>3792</v>
      </c>
      <c r="BC442" s="544" t="s">
        <v>709</v>
      </c>
      <c r="BD442" s="544" t="s">
        <v>709</v>
      </c>
      <c r="BE442" s="544" t="s">
        <v>3793</v>
      </c>
      <c r="BF442" s="544" t="s">
        <v>709</v>
      </c>
      <c r="BG442" s="544" t="s">
        <v>709</v>
      </c>
      <c r="BH442" s="741"/>
      <c r="BI442" s="547" t="s">
        <v>709</v>
      </c>
      <c r="BJ442" s="547" t="s">
        <v>709</v>
      </c>
      <c r="BK442" s="547" t="s">
        <v>709</v>
      </c>
      <c r="BL442" s="547" t="s">
        <v>116</v>
      </c>
      <c r="BM442" s="547" t="s">
        <v>709</v>
      </c>
      <c r="BN442" s="547" t="s">
        <v>709</v>
      </c>
      <c r="BO442" s="547" t="s">
        <v>709</v>
      </c>
      <c r="BP442" s="547" t="s">
        <v>709</v>
      </c>
      <c r="BQ442" s="547">
        <v>472</v>
      </c>
      <c r="BR442" s="547">
        <v>86</v>
      </c>
      <c r="BS442" s="547" t="s">
        <v>709</v>
      </c>
      <c r="BT442" s="547" t="s">
        <v>745</v>
      </c>
      <c r="BU442" s="547" t="s">
        <v>709</v>
      </c>
      <c r="BV442" s="547" t="s">
        <v>745</v>
      </c>
      <c r="BW442" s="547" t="s">
        <v>709</v>
      </c>
      <c r="BX442" s="547" t="s">
        <v>745</v>
      </c>
      <c r="BY442" s="547" t="s">
        <v>745</v>
      </c>
      <c r="BZ442" s="547" t="s">
        <v>709</v>
      </c>
      <c r="CA442" s="483"/>
      <c r="CB442" s="547">
        <v>439</v>
      </c>
      <c r="CC442" s="1481" t="b">
        <v>1</v>
      </c>
      <c r="CD442" t="str">
        <f>Table15[[#This Row],[Engineering Number]]&amp;Table15[[#This Row],[WO Number]]&amp;Table15[[#This Row],[Date Assigned to Designer]]&amp;Table15[[#This Row],[Date Completed]]</f>
        <v>M1262912103704435644496</v>
      </c>
    </row>
    <row r="443" spans="1:82" customFormat="1" ht="15" customHeight="1" x14ac:dyDescent="0.25">
      <c r="A443">
        <v>2022</v>
      </c>
      <c r="B443" s="8" t="s">
        <v>1073</v>
      </c>
      <c r="C443" s="8" t="s">
        <v>210</v>
      </c>
      <c r="D443" s="8" t="s">
        <v>3807</v>
      </c>
      <c r="E443" s="8" t="s">
        <v>966</v>
      </c>
      <c r="F443" s="8" t="s">
        <v>738</v>
      </c>
      <c r="G443" s="8" t="s">
        <v>2814</v>
      </c>
      <c r="H443" s="8" t="s">
        <v>59</v>
      </c>
      <c r="I443" s="642">
        <v>44474</v>
      </c>
      <c r="J443" s="18">
        <v>44516</v>
      </c>
      <c r="K443" s="97">
        <v>44501</v>
      </c>
      <c r="L443" s="16">
        <f>IF(ISTEXT(Table15[[#This Row],[Engineering Approved Design Date]]),Table15[[#This Row],[Date Completed]]-Table15[[#This Row],[Date Assigned to Designer]],Table15[[#This Row],[Engineering Approved Design Date]]-Table15[[#This Row],[Date Completed]])</f>
        <v>15</v>
      </c>
      <c r="M443" s="642"/>
      <c r="N443" s="642" t="s">
        <v>120</v>
      </c>
      <c r="O443" s="1025">
        <v>44501</v>
      </c>
      <c r="P443" s="21" t="s">
        <v>739</v>
      </c>
      <c r="Q443" s="340">
        <f>R443*AA443</f>
        <v>5646.5129000000006</v>
      </c>
      <c r="R443" s="1026">
        <v>7.0000000000000007E-2</v>
      </c>
      <c r="S443" s="538" t="s">
        <v>709</v>
      </c>
      <c r="T443" s="538" t="s">
        <v>709</v>
      </c>
      <c r="U443" s="28" t="s">
        <v>709</v>
      </c>
      <c r="V443" s="858">
        <v>200</v>
      </c>
      <c r="W443" s="437"/>
      <c r="X443" s="538">
        <v>80664.47</v>
      </c>
      <c r="Y443" s="550"/>
      <c r="Z443" s="538"/>
      <c r="AA443" s="551">
        <f>X443+Z443</f>
        <v>80664.47</v>
      </c>
      <c r="AB443" s="341"/>
      <c r="AC443" s="568" t="s">
        <v>116</v>
      </c>
      <c r="AD443" s="1157"/>
      <c r="AE443" s="568"/>
      <c r="AF443" s="568"/>
      <c r="AG443" s="568"/>
      <c r="AH443" s="183"/>
      <c r="AI443" s="1036"/>
      <c r="AJ443" s="1037"/>
      <c r="AK443" s="1037"/>
      <c r="AL443" s="1038"/>
      <c r="AM443" s="542" t="s">
        <v>116</v>
      </c>
      <c r="AN443" s="1508">
        <v>44509</v>
      </c>
      <c r="AO443" s="925">
        <v>11037946</v>
      </c>
      <c r="AP443" s="926">
        <v>80664.47</v>
      </c>
      <c r="AQ443" s="926"/>
      <c r="AR443" s="926">
        <v>0</v>
      </c>
      <c r="AS443" s="926">
        <f>IF(Table15[[#This Row],[PCTS Approved]]="N",0,Table15[[#This Row],[Investment Amount (1'#'#'#'#'#)]]+Table15[[#This Row],[Retirement Amount (3'#'#'#'#'#)]])</f>
        <v>80664.47</v>
      </c>
      <c r="AT443" s="926">
        <f>IF(Table15[[#This Row],[Approved Construction Cost]]=0,0,Table15[[#This Row],[Approved Construction Cost]]-Table15[[#This Row],[Construction Cost to Bill From]])</f>
        <v>0</v>
      </c>
      <c r="AU443" s="926">
        <f>IFERROR(Table15[[#This Row],[Difference in Construction Cost]]*Table15[[#This Row],[Rate]],Table15[[#This Row],[Difference in Construction Cost]]*0.085)</f>
        <v>0</v>
      </c>
      <c r="AV443" s="926" t="s">
        <v>709</v>
      </c>
      <c r="AW443" s="927"/>
      <c r="AX443" s="926"/>
      <c r="AY443" s="636" t="s">
        <v>1935</v>
      </c>
      <c r="AZ443" s="1531"/>
      <c r="BA443" s="859" t="s">
        <v>3808</v>
      </c>
      <c r="BB443" s="644" t="s">
        <v>3809</v>
      </c>
      <c r="BC443" s="544" t="s">
        <v>709</v>
      </c>
      <c r="BD443" s="544" t="s">
        <v>709</v>
      </c>
      <c r="BE443" s="544" t="s">
        <v>3722</v>
      </c>
      <c r="BF443" s="544" t="s">
        <v>709</v>
      </c>
      <c r="BG443" s="544" t="s">
        <v>709</v>
      </c>
      <c r="BH443" s="741"/>
      <c r="BI443" s="547" t="s">
        <v>709</v>
      </c>
      <c r="BJ443" s="547" t="s">
        <v>709</v>
      </c>
      <c r="BK443" s="547" t="s">
        <v>709</v>
      </c>
      <c r="BL443" s="547" t="s">
        <v>116</v>
      </c>
      <c r="BM443" s="547" t="s">
        <v>709</v>
      </c>
      <c r="BN443" s="547" t="s">
        <v>709</v>
      </c>
      <c r="BO443" s="547" t="s">
        <v>709</v>
      </c>
      <c r="BP443" s="547">
        <v>393</v>
      </c>
      <c r="BQ443" s="547" t="s">
        <v>709</v>
      </c>
      <c r="BR443" s="547" t="s">
        <v>709</v>
      </c>
      <c r="BS443" s="547" t="s">
        <v>709</v>
      </c>
      <c r="BT443" s="547" t="s">
        <v>745</v>
      </c>
      <c r="BU443" s="547" t="s">
        <v>709</v>
      </c>
      <c r="BV443" s="547" t="s">
        <v>745</v>
      </c>
      <c r="BW443" s="547" t="s">
        <v>709</v>
      </c>
      <c r="BX443" s="547" t="s">
        <v>745</v>
      </c>
      <c r="BY443" s="547" t="s">
        <v>745</v>
      </c>
      <c r="BZ443" s="547" t="s">
        <v>709</v>
      </c>
      <c r="CA443" s="483"/>
      <c r="CB443" s="547">
        <v>442</v>
      </c>
      <c r="CC443" s="1481" t="b">
        <v>1</v>
      </c>
      <c r="CD443" t="str">
        <f>Table15[[#This Row],[Engineering Number]]&amp;Table15[[#This Row],[WO Number]]&amp;Table15[[#This Row],[Date Assigned to Designer]]&amp;Table15[[#This Row],[Date Completed]]</f>
        <v>NBA1000125415106834447444501</v>
      </c>
    </row>
    <row r="444" spans="1:82" customFormat="1" ht="15" customHeight="1" x14ac:dyDescent="0.25">
      <c r="A444">
        <v>2022</v>
      </c>
      <c r="B444" s="8" t="s">
        <v>1073</v>
      </c>
      <c r="C444" s="8" t="s">
        <v>210</v>
      </c>
      <c r="D444" s="8" t="s">
        <v>115</v>
      </c>
      <c r="E444" s="8" t="s">
        <v>966</v>
      </c>
      <c r="F444" s="8" t="s">
        <v>738</v>
      </c>
      <c r="G444" s="8" t="s">
        <v>2814</v>
      </c>
      <c r="H444" s="8" t="s">
        <v>3812</v>
      </c>
      <c r="I444" s="642">
        <v>44474</v>
      </c>
      <c r="J444" s="18" t="s">
        <v>3662</v>
      </c>
      <c r="K444" s="97">
        <v>44501</v>
      </c>
      <c r="L444" s="16">
        <f>IF(ISTEXT(Table15[[#This Row],[Engineering Approved Design Date]]),Table15[[#This Row],[Date Completed]]-Table15[[#This Row],[Date Assigned to Designer]],Table15[[#This Row],[Engineering Approved Design Date]]-Table15[[#This Row],[Date Completed]])</f>
        <v>27</v>
      </c>
      <c r="M444" s="642" t="s">
        <v>3812</v>
      </c>
      <c r="N444" s="642" t="s">
        <v>120</v>
      </c>
      <c r="O444" s="1025">
        <v>44501</v>
      </c>
      <c r="P444" s="21" t="s">
        <v>739</v>
      </c>
      <c r="Q444" s="1151">
        <f>Table15[[#This Row],[KH Hourly Effort]]</f>
        <v>2665</v>
      </c>
      <c r="R444" s="1026" t="s">
        <v>1922</v>
      </c>
      <c r="S444" s="538" t="s">
        <v>709</v>
      </c>
      <c r="T444" s="538" t="s">
        <v>709</v>
      </c>
      <c r="U444" s="1053">
        <v>2665</v>
      </c>
      <c r="V444" s="1184"/>
      <c r="W444" s="1186"/>
      <c r="X444" s="538"/>
      <c r="Y444" s="550"/>
      <c r="Z444" s="538"/>
      <c r="AA444" s="538"/>
      <c r="AB444" s="21"/>
      <c r="AC444" s="569"/>
      <c r="AD444" s="1149"/>
      <c r="AE444" s="569"/>
      <c r="AF444" s="569"/>
      <c r="AG444" s="569"/>
      <c r="AH444" s="536"/>
      <c r="AI444" s="1028"/>
      <c r="AJ444" s="1029"/>
      <c r="AK444" s="1029"/>
      <c r="AL444" s="1030"/>
      <c r="AM444" s="542" t="s">
        <v>709</v>
      </c>
      <c r="AN444" s="924"/>
      <c r="AO444" s="925"/>
      <c r="AP444" s="926"/>
      <c r="AQ444" s="926"/>
      <c r="AR444" s="926"/>
      <c r="AS444" s="926"/>
      <c r="AT444" s="926"/>
      <c r="AU444" s="926"/>
      <c r="AV444" s="926"/>
      <c r="AW444" s="927"/>
      <c r="AX444" s="926"/>
      <c r="AY444" s="1538" t="s">
        <v>29</v>
      </c>
      <c r="AZ444" s="1530"/>
      <c r="BA444" s="1031" t="s">
        <v>3808</v>
      </c>
      <c r="BB444" s="644" t="s">
        <v>3809</v>
      </c>
      <c r="BC444" s="544" t="s">
        <v>709</v>
      </c>
      <c r="BD444" s="544" t="s">
        <v>709</v>
      </c>
      <c r="BE444" s="544" t="s">
        <v>3722</v>
      </c>
      <c r="BF444" s="544" t="s">
        <v>709</v>
      </c>
      <c r="BG444" s="544" t="s">
        <v>709</v>
      </c>
      <c r="BH444" s="741"/>
      <c r="BI444" s="547" t="s">
        <v>709</v>
      </c>
      <c r="BJ444" s="547" t="s">
        <v>709</v>
      </c>
      <c r="BK444" s="547" t="s">
        <v>709</v>
      </c>
      <c r="BL444" s="547" t="s">
        <v>116</v>
      </c>
      <c r="BM444" s="547" t="s">
        <v>709</v>
      </c>
      <c r="BN444" s="547" t="s">
        <v>709</v>
      </c>
      <c r="BO444" s="547" t="s">
        <v>709</v>
      </c>
      <c r="BP444" s="547">
        <v>393</v>
      </c>
      <c r="BQ444" s="547" t="s">
        <v>709</v>
      </c>
      <c r="BR444" s="547" t="s">
        <v>709</v>
      </c>
      <c r="BS444" s="547" t="s">
        <v>709</v>
      </c>
      <c r="BT444" s="547" t="s">
        <v>745</v>
      </c>
      <c r="BU444" s="547" t="s">
        <v>709</v>
      </c>
      <c r="BV444" s="547" t="s">
        <v>745</v>
      </c>
      <c r="BW444" s="547" t="s">
        <v>709</v>
      </c>
      <c r="BX444" s="547" t="s">
        <v>745</v>
      </c>
      <c r="BY444" s="547" t="s">
        <v>745</v>
      </c>
      <c r="BZ444" s="547" t="s">
        <v>709</v>
      </c>
      <c r="CA444" s="483"/>
      <c r="CB444" s="547">
        <v>443</v>
      </c>
      <c r="CC444" s="1481" t="b">
        <v>1</v>
      </c>
      <c r="CD444" t="str">
        <f>Table15[[#This Row],[Engineering Number]]&amp;Table15[[#This Row],[WO Number]]&amp;Table15[[#This Row],[Date Assigned to Designer]]&amp;Table15[[#This Row],[Date Completed]]</f>
        <v>NBA10001254-4447444501</v>
      </c>
    </row>
    <row r="445" spans="1:82" customFormat="1" ht="15" customHeight="1" x14ac:dyDescent="0.25">
      <c r="A445">
        <v>2022</v>
      </c>
      <c r="B445" s="8" t="s">
        <v>1073</v>
      </c>
      <c r="C445" s="8" t="s">
        <v>3742</v>
      </c>
      <c r="D445" s="8" t="s">
        <v>3743</v>
      </c>
      <c r="E445" s="8" t="s">
        <v>118</v>
      </c>
      <c r="F445" s="8" t="s">
        <v>738</v>
      </c>
      <c r="G445" s="8" t="s">
        <v>22</v>
      </c>
      <c r="H445" s="8" t="s">
        <v>2051</v>
      </c>
      <c r="I445" s="642">
        <v>44495</v>
      </c>
      <c r="J445" s="18" t="s">
        <v>2052</v>
      </c>
      <c r="K445" s="97">
        <v>44501</v>
      </c>
      <c r="L445" s="16">
        <f>IF(ISTEXT(Table15[[#This Row],[Engineering Approved Design Date]]),Table15[[#This Row],[Date Completed]]-Table15[[#This Row],[Date Assigned to Designer]],Table15[[#This Row],[Engineering Approved Design Date]]-Table15[[#This Row],[Date Completed]])</f>
        <v>6</v>
      </c>
      <c r="M445" s="642" t="s">
        <v>3058</v>
      </c>
      <c r="N445" s="642" t="s">
        <v>120</v>
      </c>
      <c r="O445" s="1025">
        <v>44501</v>
      </c>
      <c r="P445" s="21" t="s">
        <v>739</v>
      </c>
      <c r="Q445" s="1151">
        <f>Table15[[#This Row],[KH Hourly Effort]]</f>
        <v>2947.5</v>
      </c>
      <c r="R445" s="1026" t="s">
        <v>1922</v>
      </c>
      <c r="S445" s="538" t="s">
        <v>709</v>
      </c>
      <c r="T445" s="538" t="s">
        <v>709</v>
      </c>
      <c r="U445" s="87">
        <v>2947.5</v>
      </c>
      <c r="V445" s="858"/>
      <c r="W445" s="437"/>
      <c r="X445" s="538"/>
      <c r="Y445" s="550"/>
      <c r="Z445" s="538"/>
      <c r="AA445" s="538"/>
      <c r="AB445" s="21"/>
      <c r="AC445" s="569" t="s">
        <v>709</v>
      </c>
      <c r="AD445" s="1149"/>
      <c r="AE445" s="569"/>
      <c r="AF445" s="569"/>
      <c r="AG445" s="569"/>
      <c r="AH445" s="536"/>
      <c r="AI445" s="1028"/>
      <c r="AJ445" s="1029"/>
      <c r="AK445" s="1029"/>
      <c r="AL445" s="1030"/>
      <c r="AM445" s="542" t="s">
        <v>709</v>
      </c>
      <c r="AN445" s="924"/>
      <c r="AO445" s="925"/>
      <c r="AP445" s="926"/>
      <c r="AQ445" s="926"/>
      <c r="AR445" s="926"/>
      <c r="AS445" s="926"/>
      <c r="AT445" s="926"/>
      <c r="AU445" s="926"/>
      <c r="AV445" s="926"/>
      <c r="AW445" s="927"/>
      <c r="AX445" s="926"/>
      <c r="AY445" s="1538" t="s">
        <v>29</v>
      </c>
      <c r="AZ445" s="1530"/>
      <c r="BA445" s="1031">
        <v>4</v>
      </c>
      <c r="BB445" s="644"/>
      <c r="BC445" s="544"/>
      <c r="BD445" s="544"/>
      <c r="BE445" s="544"/>
      <c r="BF445" s="544"/>
      <c r="BG445" s="544"/>
      <c r="BH445" s="741"/>
      <c r="BI445" s="547" t="s">
        <v>709</v>
      </c>
      <c r="BJ445" s="547" t="s">
        <v>709</v>
      </c>
      <c r="BK445" s="547" t="s">
        <v>709</v>
      </c>
      <c r="BL445" s="547" t="s">
        <v>116</v>
      </c>
      <c r="BM445" s="547" t="s">
        <v>709</v>
      </c>
      <c r="BN445" s="547" t="s">
        <v>709</v>
      </c>
      <c r="BO445" s="547" t="s">
        <v>709</v>
      </c>
      <c r="BP445" s="547" t="s">
        <v>709</v>
      </c>
      <c r="BQ445" s="547">
        <v>1469</v>
      </c>
      <c r="BR445" s="547">
        <v>2351</v>
      </c>
      <c r="BS445" s="547">
        <v>7386</v>
      </c>
      <c r="BT445" s="547" t="s">
        <v>745</v>
      </c>
      <c r="BU445" s="547" t="s">
        <v>709</v>
      </c>
      <c r="BV445" s="547" t="s">
        <v>745</v>
      </c>
      <c r="BW445" s="547" t="s">
        <v>709</v>
      </c>
      <c r="BX445" s="547" t="s">
        <v>709</v>
      </c>
      <c r="BY445" s="547" t="s">
        <v>745</v>
      </c>
      <c r="BZ445" s="547" t="s">
        <v>709</v>
      </c>
      <c r="CA445" s="483"/>
      <c r="CB445" s="547">
        <v>441</v>
      </c>
      <c r="CC445" s="1481" t="b">
        <v>1</v>
      </c>
      <c r="CD445" t="str">
        <f>Table15[[#This Row],[Engineering Number]]&amp;Table15[[#This Row],[WO Number]]&amp;Table15[[#This Row],[Date Assigned to Designer]]&amp;Table15[[#This Row],[Date Completed]]</f>
        <v>NBA1000171216104424449544501</v>
      </c>
    </row>
    <row r="446" spans="1:82" customFormat="1" ht="15" customHeight="1" x14ac:dyDescent="0.25">
      <c r="A446">
        <v>2021</v>
      </c>
      <c r="B446" s="8" t="s">
        <v>4</v>
      </c>
      <c r="C446" s="8" t="s">
        <v>3803</v>
      </c>
      <c r="D446" s="8" t="s">
        <v>3804</v>
      </c>
      <c r="E446" s="8" t="s">
        <v>232</v>
      </c>
      <c r="F446" s="8" t="s">
        <v>919</v>
      </c>
      <c r="G446" s="8" t="s">
        <v>2814</v>
      </c>
      <c r="H446" s="8" t="s">
        <v>59</v>
      </c>
      <c r="I446" s="642">
        <v>44374</v>
      </c>
      <c r="J446" s="18">
        <v>44519</v>
      </c>
      <c r="K446" s="97">
        <v>44501</v>
      </c>
      <c r="L446" s="16">
        <f>IF(ISTEXT(Table15[[#This Row],[Engineering Approved Design Date]]),Table15[[#This Row],[Date Completed]]-Table15[[#This Row],[Date Assigned to Designer]],Table15[[#This Row],[Engineering Approved Design Date]]-Table15[[#This Row],[Date Completed]])</f>
        <v>18</v>
      </c>
      <c r="M446" s="642"/>
      <c r="N446" s="642" t="s">
        <v>120</v>
      </c>
      <c r="O446" s="1025">
        <v>44501</v>
      </c>
      <c r="P446" s="21" t="s">
        <v>739</v>
      </c>
      <c r="Q446" s="340">
        <f>R446*AA446</f>
        <v>13789.760000000002</v>
      </c>
      <c r="R446" s="1026">
        <v>0.1</v>
      </c>
      <c r="S446" s="538" t="s">
        <v>709</v>
      </c>
      <c r="T446" s="538" t="s">
        <v>709</v>
      </c>
      <c r="U446" s="87" t="s">
        <v>709</v>
      </c>
      <c r="V446" s="858">
        <v>142</v>
      </c>
      <c r="W446" s="437"/>
      <c r="X446" s="538">
        <v>113935.36</v>
      </c>
      <c r="Y446" s="550"/>
      <c r="Z446" s="538">
        <v>23962.240000000002</v>
      </c>
      <c r="AA446" s="551">
        <f>X446+Z446</f>
        <v>137897.60000000001</v>
      </c>
      <c r="AB446" s="341"/>
      <c r="AC446" s="568" t="s">
        <v>709</v>
      </c>
      <c r="AD446" s="1157"/>
      <c r="AE446" s="579"/>
      <c r="AF446" s="579"/>
      <c r="AG446" s="569"/>
      <c r="AH446" s="553"/>
      <c r="AI446" s="1036"/>
      <c r="AJ446" s="1037"/>
      <c r="AK446" s="1037"/>
      <c r="AL446" s="1038"/>
      <c r="AM446" s="1522" t="s">
        <v>116</v>
      </c>
      <c r="AN446" s="1523">
        <v>44628</v>
      </c>
      <c r="AO446" s="1524">
        <v>11039394</v>
      </c>
      <c r="AP446" s="1525">
        <v>113981.23</v>
      </c>
      <c r="AQ446" s="1525"/>
      <c r="AR446" s="1525">
        <v>23994.34</v>
      </c>
      <c r="AS446" s="1525">
        <f>IF(Table15[[#This Row],[PCTS Approved]]="N",0,Table15[[#This Row],[Investment Amount (1'#'#'#'#'#)]]+Table15[[#This Row],[Retirement Amount (3'#'#'#'#'#)]])</f>
        <v>137975.57</v>
      </c>
      <c r="AT446" s="1525">
        <f>IF(Table15[[#This Row],[Approved Construction Cost]]=0,0,Table15[[#This Row],[Approved Construction Cost]]-Table15[[#This Row],[Construction Cost to Bill From]])</f>
        <v>77.970000000001164</v>
      </c>
      <c r="AU446" s="1525">
        <f>IFERROR(Table15[[#This Row],[Difference in Construction Cost]]*Table15[[#This Row],[Rate]],Table15[[#This Row],[Difference in Construction Cost]]*0.085)</f>
        <v>7.7970000000001169</v>
      </c>
      <c r="AV446" s="1525" t="s">
        <v>709</v>
      </c>
      <c r="AW446" s="1526"/>
      <c r="AX446" s="1525">
        <f>Table15[[#This Row],[Reconcile Amount]]</f>
        <v>7.7970000000001169</v>
      </c>
      <c r="AY446" s="1518">
        <v>45008</v>
      </c>
      <c r="AZ446" s="333"/>
      <c r="BA446" s="1031" t="s">
        <v>3805</v>
      </c>
      <c r="BB446" s="644" t="s">
        <v>3507</v>
      </c>
      <c r="BC446" s="544" t="s">
        <v>709</v>
      </c>
      <c r="BD446" s="544" t="s">
        <v>709</v>
      </c>
      <c r="BE446" s="544" t="s">
        <v>595</v>
      </c>
      <c r="BF446" s="544" t="s">
        <v>709</v>
      </c>
      <c r="BG446" s="544" t="s">
        <v>709</v>
      </c>
      <c r="BH446" s="741"/>
      <c r="BI446" s="547" t="s">
        <v>709</v>
      </c>
      <c r="BJ446" s="547" t="s">
        <v>709</v>
      </c>
      <c r="BK446" s="547" t="s">
        <v>709</v>
      </c>
      <c r="BL446" s="547" t="s">
        <v>116</v>
      </c>
      <c r="BM446" s="547" t="s">
        <v>709</v>
      </c>
      <c r="BN446" s="547" t="s">
        <v>709</v>
      </c>
      <c r="BO446" s="547" t="s">
        <v>709</v>
      </c>
      <c r="BP446" s="547" t="s">
        <v>709</v>
      </c>
      <c r="BQ446" s="547" t="s">
        <v>709</v>
      </c>
      <c r="BR446" s="547" t="s">
        <v>709</v>
      </c>
      <c r="BS446" s="547">
        <v>142</v>
      </c>
      <c r="BT446" s="547" t="s">
        <v>745</v>
      </c>
      <c r="BU446" s="547" t="s">
        <v>709</v>
      </c>
      <c r="BV446" s="547" t="s">
        <v>745</v>
      </c>
      <c r="BW446" s="547" t="s">
        <v>709</v>
      </c>
      <c r="BX446" s="547" t="s">
        <v>745</v>
      </c>
      <c r="BY446" s="547" t="s">
        <v>745</v>
      </c>
      <c r="BZ446" s="547" t="s">
        <v>709</v>
      </c>
      <c r="CA446" s="483"/>
      <c r="CB446" s="547">
        <v>444</v>
      </c>
      <c r="CC446" s="1481" t="b">
        <v>1</v>
      </c>
      <c r="CD446" t="str">
        <f>Table15[[#This Row],[Engineering Number]]&amp;Table15[[#This Row],[WO Number]]&amp;Table15[[#This Row],[Date Assigned to Designer]]&amp;Table15[[#This Row],[Date Completed]]</f>
        <v>SC19527-114104734437444501</v>
      </c>
    </row>
    <row r="447" spans="1:82" customFormat="1" ht="15" customHeight="1" x14ac:dyDescent="0.25">
      <c r="A447">
        <v>2020</v>
      </c>
      <c r="B447" s="8" t="s">
        <v>1981</v>
      </c>
      <c r="C447" s="8" t="s">
        <v>2572</v>
      </c>
      <c r="D447" s="8" t="s">
        <v>115</v>
      </c>
      <c r="E447" s="8" t="s">
        <v>426</v>
      </c>
      <c r="F447" s="8" t="s">
        <v>919</v>
      </c>
      <c r="G447" s="8" t="s">
        <v>40</v>
      </c>
      <c r="H447" s="8" t="s">
        <v>2051</v>
      </c>
      <c r="I447" s="642">
        <v>44480</v>
      </c>
      <c r="J447" s="18" t="s">
        <v>2052</v>
      </c>
      <c r="K447" s="97">
        <v>44501</v>
      </c>
      <c r="L447" s="16">
        <f>IF(ISTEXT(Table15[[#This Row],[Engineering Approved Design Date]]),Table15[[#This Row],[Date Completed]]-Table15[[#This Row],[Date Assigned to Designer]],Table15[[#This Row],[Engineering Approved Design Date]]-Table15[[#This Row],[Date Completed]])</f>
        <v>21</v>
      </c>
      <c r="M447" s="642" t="s">
        <v>3801</v>
      </c>
      <c r="N447" s="642" t="s">
        <v>120</v>
      </c>
      <c r="O447" s="1025">
        <v>44501</v>
      </c>
      <c r="P447" s="21" t="s">
        <v>739</v>
      </c>
      <c r="Q447" s="1151">
        <f>Table15[[#This Row],[KH Hourly Effort]]</f>
        <v>6180</v>
      </c>
      <c r="R447" s="1026" t="s">
        <v>1922</v>
      </c>
      <c r="S447" s="538" t="s">
        <v>709</v>
      </c>
      <c r="T447" s="538" t="s">
        <v>709</v>
      </c>
      <c r="U447" s="87">
        <v>6180</v>
      </c>
      <c r="V447" s="858"/>
      <c r="W447" s="437"/>
      <c r="X447" s="538"/>
      <c r="Y447" s="550"/>
      <c r="Z447" s="538"/>
      <c r="AA447" s="538"/>
      <c r="AB447" s="21"/>
      <c r="AC447" s="569"/>
      <c r="AD447" s="1149"/>
      <c r="AE447" s="580"/>
      <c r="AF447" s="580"/>
      <c r="AG447" s="580"/>
      <c r="AH447" s="542"/>
      <c r="AI447" s="1028"/>
      <c r="AJ447" s="1029"/>
      <c r="AK447" s="1029"/>
      <c r="AL447" s="1030"/>
      <c r="AM447" s="542" t="s">
        <v>709</v>
      </c>
      <c r="AN447" s="924"/>
      <c r="AO447" s="925"/>
      <c r="AP447" s="926"/>
      <c r="AQ447" s="926"/>
      <c r="AR447" s="926"/>
      <c r="AS447" s="926"/>
      <c r="AT447" s="926"/>
      <c r="AU447" s="926"/>
      <c r="AV447" s="926"/>
      <c r="AW447" s="927"/>
      <c r="AX447" s="926"/>
      <c r="AY447" s="1538" t="s">
        <v>29</v>
      </c>
      <c r="AZ447" s="1530"/>
      <c r="BA447" s="1031">
        <v>2</v>
      </c>
      <c r="BB447" s="644"/>
      <c r="BC447" s="544"/>
      <c r="BD447" s="544"/>
      <c r="BE447" s="544"/>
      <c r="BF447" s="544"/>
      <c r="BG447" s="544"/>
      <c r="BH447" s="741"/>
      <c r="BI447" s="547" t="s">
        <v>709</v>
      </c>
      <c r="BJ447" s="547" t="s">
        <v>709</v>
      </c>
      <c r="BK447" s="547" t="s">
        <v>709</v>
      </c>
      <c r="BL447" s="547" t="s">
        <v>709</v>
      </c>
      <c r="BM447" s="547" t="s">
        <v>709</v>
      </c>
      <c r="BN447" s="547" t="s">
        <v>709</v>
      </c>
      <c r="BO447" s="547" t="s">
        <v>709</v>
      </c>
      <c r="BP447" s="547" t="s">
        <v>709</v>
      </c>
      <c r="BQ447" s="547" t="s">
        <v>709</v>
      </c>
      <c r="BR447" s="547" t="s">
        <v>709</v>
      </c>
      <c r="BS447" s="547" t="s">
        <v>709</v>
      </c>
      <c r="BT447" s="547" t="s">
        <v>745</v>
      </c>
      <c r="BU447" s="547" t="s">
        <v>709</v>
      </c>
      <c r="BV447" s="547" t="s">
        <v>745</v>
      </c>
      <c r="BW447" s="547" t="s">
        <v>709</v>
      </c>
      <c r="BX447" s="547" t="s">
        <v>745</v>
      </c>
      <c r="BY447" s="547" t="s">
        <v>745</v>
      </c>
      <c r="BZ447" s="547" t="s">
        <v>709</v>
      </c>
      <c r="CA447" s="483" t="s">
        <v>2531</v>
      </c>
      <c r="CB447" s="547">
        <v>445</v>
      </c>
      <c r="CC447" s="1481" t="b">
        <v>1</v>
      </c>
      <c r="CD447" t="str">
        <f>Table15[[#This Row],[Engineering Number]]&amp;Table15[[#This Row],[WO Number]]&amp;Table15[[#This Row],[Date Assigned to Designer]]&amp;Table15[[#This Row],[Date Completed]]</f>
        <v>COR446-4448044501</v>
      </c>
    </row>
    <row r="448" spans="1:82" customFormat="1" ht="15" customHeight="1" x14ac:dyDescent="0.25">
      <c r="A448">
        <v>2022</v>
      </c>
      <c r="B448" s="8" t="s">
        <v>771</v>
      </c>
      <c r="C448" s="8" t="s">
        <v>3814</v>
      </c>
      <c r="D448" s="8" t="s">
        <v>3815</v>
      </c>
      <c r="E448" s="8" t="s">
        <v>137</v>
      </c>
      <c r="F448" s="8" t="s">
        <v>738</v>
      </c>
      <c r="G448" s="8" t="s">
        <v>23</v>
      </c>
      <c r="H448" s="8" t="s">
        <v>59</v>
      </c>
      <c r="I448" s="642">
        <v>44440</v>
      </c>
      <c r="J448" s="18">
        <v>44538</v>
      </c>
      <c r="K448" s="97">
        <v>44502</v>
      </c>
      <c r="L448" s="16">
        <f>IF(ISTEXT(Table15[[#This Row],[Engineering Approved Design Date]]),Table15[[#This Row],[Date Completed]]-Table15[[#This Row],[Date Assigned to Designer]],Table15[[#This Row],[Engineering Approved Design Date]]-Table15[[#This Row],[Date Completed]])</f>
        <v>36</v>
      </c>
      <c r="M448" s="642"/>
      <c r="N448" s="642" t="s">
        <v>120</v>
      </c>
      <c r="O448" s="1025">
        <v>44501</v>
      </c>
      <c r="P448" s="21" t="s">
        <v>120</v>
      </c>
      <c r="Q448" s="340">
        <f>R448*AA448</f>
        <v>43675.758000000002</v>
      </c>
      <c r="R448" s="1026">
        <v>0.09</v>
      </c>
      <c r="S448" s="538" t="s">
        <v>709</v>
      </c>
      <c r="T448" s="538" t="s">
        <v>709</v>
      </c>
      <c r="U448" s="87" t="s">
        <v>709</v>
      </c>
      <c r="V448" s="858">
        <v>1511</v>
      </c>
      <c r="W448" s="437"/>
      <c r="X448" s="538">
        <v>469596.67</v>
      </c>
      <c r="Y448" s="550"/>
      <c r="Z448" s="538">
        <v>15689.53</v>
      </c>
      <c r="AA448" s="551">
        <f t="shared" ref="AA448:AA454" si="10">X448+Z448</f>
        <v>485286.2</v>
      </c>
      <c r="AB448" s="341"/>
      <c r="AC448" s="568" t="s">
        <v>709</v>
      </c>
      <c r="AD448" s="1157"/>
      <c r="AE448" s="568"/>
      <c r="AF448" s="568"/>
      <c r="AG448" s="568"/>
      <c r="AH448" s="183"/>
      <c r="AI448" s="1036"/>
      <c r="AJ448" s="1037"/>
      <c r="AK448" s="1037"/>
      <c r="AL448" s="1038"/>
      <c r="AM448" s="1522" t="s">
        <v>116</v>
      </c>
      <c r="AN448" s="1523">
        <v>44691</v>
      </c>
      <c r="AO448" s="1524">
        <v>11042498</v>
      </c>
      <c r="AP448" s="1525">
        <v>471948.29</v>
      </c>
      <c r="AQ448" s="1525"/>
      <c r="AR448" s="1525">
        <v>16674.009999999998</v>
      </c>
      <c r="AS448" s="1525">
        <f>IF(Table15[[#This Row],[PCTS Approved]]="N",0,Table15[[#This Row],[Investment Amount (1'#'#'#'#'#)]]+Table15[[#This Row],[Retirement Amount (3'#'#'#'#'#)]])</f>
        <v>488622.3</v>
      </c>
      <c r="AT448" s="1525">
        <f>IF(Table15[[#This Row],[Approved Construction Cost]]=0,0,Table15[[#This Row],[Approved Construction Cost]]-Table15[[#This Row],[Construction Cost to Bill From]])</f>
        <v>3336.0999999999767</v>
      </c>
      <c r="AU448" s="1525">
        <f>IFERROR(Table15[[#This Row],[Difference in Construction Cost]]*Table15[[#This Row],[Rate]],Table15[[#This Row],[Difference in Construction Cost]]*0.085)</f>
        <v>300.24899999999792</v>
      </c>
      <c r="AV448" s="1525">
        <v>6415</v>
      </c>
      <c r="AW448" s="1526" t="s">
        <v>3816</v>
      </c>
      <c r="AX448" s="1525">
        <v>0</v>
      </c>
      <c r="AY448" s="1518">
        <v>45008</v>
      </c>
      <c r="AZ448" s="333"/>
      <c r="BA448" s="1031" t="s">
        <v>3817</v>
      </c>
      <c r="BB448" s="644" t="s">
        <v>3818</v>
      </c>
      <c r="BC448" s="544" t="s">
        <v>116</v>
      </c>
      <c r="BD448" s="544" t="s">
        <v>709</v>
      </c>
      <c r="BE448" s="544" t="s">
        <v>2484</v>
      </c>
      <c r="BF448" s="544" t="s">
        <v>709</v>
      </c>
      <c r="BG448" s="544" t="s">
        <v>709</v>
      </c>
      <c r="BH448" s="741"/>
      <c r="BI448" s="547" t="s">
        <v>709</v>
      </c>
      <c r="BJ448" s="547" t="s">
        <v>709</v>
      </c>
      <c r="BK448" s="547" t="s">
        <v>709</v>
      </c>
      <c r="BL448" s="547" t="s">
        <v>116</v>
      </c>
      <c r="BM448" s="547" t="s">
        <v>709</v>
      </c>
      <c r="BN448" s="547" t="s">
        <v>709</v>
      </c>
      <c r="BO448" s="547" t="s">
        <v>709</v>
      </c>
      <c r="BP448" s="547" t="s">
        <v>709</v>
      </c>
      <c r="BQ448" s="547" t="s">
        <v>709</v>
      </c>
      <c r="BR448" s="547" t="s">
        <v>709</v>
      </c>
      <c r="BS448" s="547">
        <v>1511</v>
      </c>
      <c r="BT448" s="547" t="s">
        <v>745</v>
      </c>
      <c r="BU448" s="547" t="s">
        <v>709</v>
      </c>
      <c r="BV448" s="547" t="s">
        <v>745</v>
      </c>
      <c r="BW448" s="547" t="s">
        <v>709</v>
      </c>
      <c r="BX448" s="547" t="s">
        <v>745</v>
      </c>
      <c r="BY448" s="547" t="s">
        <v>745</v>
      </c>
      <c r="BZ448" s="547" t="s">
        <v>709</v>
      </c>
      <c r="CA448" s="483"/>
      <c r="CB448" s="547">
        <v>446</v>
      </c>
      <c r="CC448" s="1481" t="b">
        <v>1</v>
      </c>
      <c r="CD448" t="str">
        <f>Table15[[#This Row],[Engineering Number]]&amp;Table15[[#This Row],[WO Number]]&amp;Table15[[#This Row],[Date Assigned to Designer]]&amp;Table15[[#This Row],[Date Completed]]</f>
        <v>BS48612106014444044502</v>
      </c>
    </row>
    <row r="449" spans="1:82" customFormat="1" ht="15" customHeight="1" x14ac:dyDescent="0.25">
      <c r="A449">
        <v>2022</v>
      </c>
      <c r="B449" s="8" t="s">
        <v>730</v>
      </c>
      <c r="C449" s="8" t="s">
        <v>3820</v>
      </c>
      <c r="D449" s="8" t="s">
        <v>3821</v>
      </c>
      <c r="E449" s="8" t="s">
        <v>3822</v>
      </c>
      <c r="F449" s="8" t="s">
        <v>747</v>
      </c>
      <c r="G449" s="8" t="s">
        <v>347</v>
      </c>
      <c r="H449" s="8" t="s">
        <v>59</v>
      </c>
      <c r="I449" s="642">
        <v>44389</v>
      </c>
      <c r="J449" s="18">
        <v>44519</v>
      </c>
      <c r="K449" s="97">
        <v>44506</v>
      </c>
      <c r="L449" s="16">
        <f>IF(ISTEXT(Table15[[#This Row],[Engineering Approved Design Date]]),Table15[[#This Row],[Date Completed]]-Table15[[#This Row],[Date Assigned to Designer]],Table15[[#This Row],[Engineering Approved Design Date]]-Table15[[#This Row],[Date Completed]])</f>
        <v>13</v>
      </c>
      <c r="M449" s="642"/>
      <c r="N449" s="642" t="s">
        <v>120</v>
      </c>
      <c r="O449" s="1025">
        <f>K449</f>
        <v>44506</v>
      </c>
      <c r="P449" s="21" t="s">
        <v>120</v>
      </c>
      <c r="Q449" s="340">
        <f>(Table15[[#This Row],[Construction Cost to Bill From]]*0.085)+5250</f>
        <v>21768.811600000001</v>
      </c>
      <c r="R449" s="1026" t="s">
        <v>794</v>
      </c>
      <c r="S449" s="538" t="s">
        <v>709</v>
      </c>
      <c r="T449" s="538" t="s">
        <v>709</v>
      </c>
      <c r="U449" s="87" t="s">
        <v>709</v>
      </c>
      <c r="V449" s="858">
        <v>130</v>
      </c>
      <c r="W449" s="437"/>
      <c r="X449" s="538">
        <v>138876.84</v>
      </c>
      <c r="Y449" s="550"/>
      <c r="Z449" s="538">
        <v>55462.12</v>
      </c>
      <c r="AA449" s="551">
        <f t="shared" si="10"/>
        <v>194338.96</v>
      </c>
      <c r="AB449" s="341"/>
      <c r="AC449" s="568" t="s">
        <v>1177</v>
      </c>
      <c r="AD449" s="1157"/>
      <c r="AE449" s="579"/>
      <c r="AF449" s="579"/>
      <c r="AG449" s="579"/>
      <c r="AH449" s="553"/>
      <c r="AI449" s="1036"/>
      <c r="AJ449" s="1037"/>
      <c r="AK449" s="1037"/>
      <c r="AL449" s="1038"/>
      <c r="AM449" s="1522" t="s">
        <v>116</v>
      </c>
      <c r="AN449" s="1523">
        <v>44752</v>
      </c>
      <c r="AO449" s="1524">
        <v>11038793</v>
      </c>
      <c r="AP449" s="1525">
        <v>140007.04999999999</v>
      </c>
      <c r="AQ449" s="1525"/>
      <c r="AR449" s="1525">
        <v>55586.25</v>
      </c>
      <c r="AS449" s="1525">
        <f>IF(Table15[[#This Row],[PCTS Approved]]="N",0,Table15[[#This Row],[Investment Amount (1'#'#'#'#'#)]]+Table15[[#This Row],[Retirement Amount (3'#'#'#'#'#)]])</f>
        <v>195593.3</v>
      </c>
      <c r="AT449" s="1525">
        <f>IF(Table15[[#This Row],[Approved Construction Cost]]=0,0,Table15[[#This Row],[Approved Construction Cost]]-Table15[[#This Row],[Construction Cost to Bill From]])</f>
        <v>1254.3399999999965</v>
      </c>
      <c r="AU449" s="1525">
        <f>IFERROR(Table15[[#This Row],[Difference in Construction Cost]]*Table15[[#This Row],[Rate]],Table15[[#This Row],[Difference in Construction Cost]]*0.085)</f>
        <v>106.61889999999971</v>
      </c>
      <c r="AV449" s="1525" t="s">
        <v>709</v>
      </c>
      <c r="AW449" s="1526"/>
      <c r="AX449" s="1525">
        <f>Table15[[#This Row],[Reconcile Amount]]</f>
        <v>106.61889999999971</v>
      </c>
      <c r="AY449" s="1518">
        <v>45008</v>
      </c>
      <c r="AZ449" s="333"/>
      <c r="BA449" s="1031" t="s">
        <v>3823</v>
      </c>
      <c r="BB449" s="644" t="s">
        <v>3824</v>
      </c>
      <c r="BC449" s="544" t="s">
        <v>709</v>
      </c>
      <c r="BD449" s="544" t="s">
        <v>709</v>
      </c>
      <c r="BE449" s="544" t="s">
        <v>709</v>
      </c>
      <c r="BF449" s="544" t="s">
        <v>3825</v>
      </c>
      <c r="BG449" s="544" t="s">
        <v>709</v>
      </c>
      <c r="BH449" s="741"/>
      <c r="BI449" s="547" t="s">
        <v>709</v>
      </c>
      <c r="BJ449" s="547" t="s">
        <v>116</v>
      </c>
      <c r="BK449" s="547" t="s">
        <v>709</v>
      </c>
      <c r="BL449" s="547" t="s">
        <v>116</v>
      </c>
      <c r="BM449" s="547" t="s">
        <v>709</v>
      </c>
      <c r="BN449" s="547" t="s">
        <v>709</v>
      </c>
      <c r="BO449" s="547" t="s">
        <v>709</v>
      </c>
      <c r="BP449" s="547" t="s">
        <v>709</v>
      </c>
      <c r="BQ449" s="547" t="s">
        <v>709</v>
      </c>
      <c r="BR449" s="547">
        <v>81</v>
      </c>
      <c r="BS449" s="547">
        <v>49</v>
      </c>
      <c r="BT449" s="547" t="s">
        <v>745</v>
      </c>
      <c r="BU449" s="547">
        <v>1</v>
      </c>
      <c r="BV449" s="547" t="s">
        <v>745</v>
      </c>
      <c r="BW449" s="547" t="s">
        <v>709</v>
      </c>
      <c r="BX449" s="547">
        <v>1</v>
      </c>
      <c r="BY449" s="547" t="s">
        <v>745</v>
      </c>
      <c r="BZ449" s="547" t="s">
        <v>709</v>
      </c>
      <c r="CA449" s="483" t="s">
        <v>730</v>
      </c>
      <c r="CB449" s="547">
        <v>447</v>
      </c>
      <c r="CC449" s="1481" t="b">
        <v>1</v>
      </c>
      <c r="CD449" t="str">
        <f>Table15[[#This Row],[Engineering Number]]&amp;Table15[[#This Row],[WO Number]]&amp;Table15[[#This Row],[Date Assigned to Designer]]&amp;Table15[[#This Row],[Date Completed]]</f>
        <v>RS85610104104438944506</v>
      </c>
    </row>
    <row r="450" spans="1:82" customFormat="1" ht="15" customHeight="1" x14ac:dyDescent="0.25">
      <c r="A450">
        <v>2022</v>
      </c>
      <c r="B450" s="8" t="s">
        <v>730</v>
      </c>
      <c r="C450" s="8" t="s">
        <v>3832</v>
      </c>
      <c r="D450" s="8" t="s">
        <v>3833</v>
      </c>
      <c r="E450" s="8" t="s">
        <v>3834</v>
      </c>
      <c r="F450" s="8" t="s">
        <v>747</v>
      </c>
      <c r="G450" s="8" t="s">
        <v>347</v>
      </c>
      <c r="H450" s="8" t="s">
        <v>59</v>
      </c>
      <c r="I450" s="642">
        <v>44389</v>
      </c>
      <c r="J450" s="18">
        <v>44519</v>
      </c>
      <c r="K450" s="97">
        <v>44508</v>
      </c>
      <c r="L450" s="16">
        <f>IF(ISTEXT(Table15[[#This Row],[Engineering Approved Design Date]]),Table15[[#This Row],[Date Completed]]-Table15[[#This Row],[Date Assigned to Designer]],Table15[[#This Row],[Engineering Approved Design Date]]-Table15[[#This Row],[Date Completed]])</f>
        <v>11</v>
      </c>
      <c r="M450" s="642"/>
      <c r="N450" s="642" t="s">
        <v>120</v>
      </c>
      <c r="O450" s="1025">
        <f>K450</f>
        <v>44508</v>
      </c>
      <c r="P450" s="21" t="s">
        <v>120</v>
      </c>
      <c r="Q450" s="340">
        <f>(Table15[[#This Row],[Construction Cost to Bill From]]*0.085)+5250</f>
        <v>22402.610700000001</v>
      </c>
      <c r="R450" s="1026" t="s">
        <v>794</v>
      </c>
      <c r="S450" s="538" t="s">
        <v>709</v>
      </c>
      <c r="T450" s="538" t="s">
        <v>709</v>
      </c>
      <c r="U450" s="87" t="s">
        <v>709</v>
      </c>
      <c r="V450" s="858">
        <v>66</v>
      </c>
      <c r="W450" s="437"/>
      <c r="X450" s="538">
        <v>148424.64000000001</v>
      </c>
      <c r="Y450" s="550"/>
      <c r="Z450" s="538">
        <v>53370.78</v>
      </c>
      <c r="AA450" s="551">
        <f t="shared" si="10"/>
        <v>201795.42</v>
      </c>
      <c r="AB450" s="341"/>
      <c r="AC450" s="568" t="s">
        <v>1177</v>
      </c>
      <c r="AD450" s="1157"/>
      <c r="AE450" s="579"/>
      <c r="AF450" s="579"/>
      <c r="AG450" s="579"/>
      <c r="AH450" s="553"/>
      <c r="AI450" s="1036"/>
      <c r="AJ450" s="1037"/>
      <c r="AK450" s="1037"/>
      <c r="AL450" s="1038"/>
      <c r="AM450" s="1522" t="s">
        <v>116</v>
      </c>
      <c r="AN450" s="1523">
        <v>44697</v>
      </c>
      <c r="AO450" s="1524">
        <v>11038060</v>
      </c>
      <c r="AP450" s="1525">
        <v>119957.26</v>
      </c>
      <c r="AQ450" s="1525"/>
      <c r="AR450" s="1525">
        <v>52562.04</v>
      </c>
      <c r="AS450" s="1525">
        <f>IF(Table15[[#This Row],[PCTS Approved]]="N",0,Table15[[#This Row],[Investment Amount (1'#'#'#'#'#)]]+Table15[[#This Row],[Retirement Amount (3'#'#'#'#'#)]])</f>
        <v>172519.3</v>
      </c>
      <c r="AT450" s="1525">
        <f>IF(Table15[[#This Row],[Approved Construction Cost]]=0,0,Table15[[#This Row],[Approved Construction Cost]]-Table15[[#This Row],[Construction Cost to Bill From]])</f>
        <v>-29276.120000000024</v>
      </c>
      <c r="AU450" s="1525">
        <f>IFERROR(Table15[[#This Row],[Difference in Construction Cost]]*Table15[[#This Row],[Rate]],Table15[[#This Row],[Difference in Construction Cost]]*0.085)</f>
        <v>-2488.4702000000025</v>
      </c>
      <c r="AV450" s="1525" t="s">
        <v>709</v>
      </c>
      <c r="AW450" s="1526" t="s">
        <v>3732</v>
      </c>
      <c r="AX450" s="1525">
        <f>Table15[[#This Row],[Reconcile Amount]]</f>
        <v>-2488.4702000000025</v>
      </c>
      <c r="AY450" s="1518">
        <v>45008</v>
      </c>
      <c r="AZ450" s="333"/>
      <c r="BA450" s="1031" t="s">
        <v>3835</v>
      </c>
      <c r="BB450" s="644" t="s">
        <v>3824</v>
      </c>
      <c r="BC450" s="544" t="s">
        <v>709</v>
      </c>
      <c r="BD450" s="544" t="s">
        <v>3836</v>
      </c>
      <c r="BE450" s="544" t="s">
        <v>709</v>
      </c>
      <c r="BF450" s="544" t="s">
        <v>709</v>
      </c>
      <c r="BG450" s="544" t="s">
        <v>709</v>
      </c>
      <c r="BH450" s="741"/>
      <c r="BI450" s="547" t="s">
        <v>709</v>
      </c>
      <c r="BJ450" s="547" t="s">
        <v>116</v>
      </c>
      <c r="BK450" s="547" t="s">
        <v>709</v>
      </c>
      <c r="BL450" s="547" t="s">
        <v>116</v>
      </c>
      <c r="BM450" s="547" t="s">
        <v>709</v>
      </c>
      <c r="BN450" s="547" t="s">
        <v>709</v>
      </c>
      <c r="BO450" s="547" t="s">
        <v>709</v>
      </c>
      <c r="BP450" s="547" t="s">
        <v>709</v>
      </c>
      <c r="BQ450" s="547" t="s">
        <v>709</v>
      </c>
      <c r="BR450" s="547">
        <v>25</v>
      </c>
      <c r="BS450" s="547">
        <v>40</v>
      </c>
      <c r="BT450" s="547" t="s">
        <v>745</v>
      </c>
      <c r="BU450" s="547">
        <v>1</v>
      </c>
      <c r="BV450" s="547" t="s">
        <v>745</v>
      </c>
      <c r="BW450" s="547" t="s">
        <v>709</v>
      </c>
      <c r="BX450" s="547">
        <v>1</v>
      </c>
      <c r="BY450" s="547" t="s">
        <v>745</v>
      </c>
      <c r="BZ450" s="547" t="s">
        <v>709</v>
      </c>
      <c r="CA450" s="483" t="s">
        <v>730</v>
      </c>
      <c r="CB450" s="547">
        <v>449</v>
      </c>
      <c r="CC450" s="1481" t="b">
        <v>1</v>
      </c>
      <c r="CD450" t="str">
        <f>Table15[[#This Row],[Engineering Number]]&amp;Table15[[#This Row],[WO Number]]&amp;Table15[[#This Row],[Date Assigned to Designer]]&amp;Table15[[#This Row],[Date Completed]]</f>
        <v>RS85010104054438944508</v>
      </c>
    </row>
    <row r="451" spans="1:82" customFormat="1" ht="15" customHeight="1" x14ac:dyDescent="0.25">
      <c r="A451">
        <v>2021</v>
      </c>
      <c r="B451" s="8" t="s">
        <v>1073</v>
      </c>
      <c r="C451" s="662" t="s">
        <v>3671</v>
      </c>
      <c r="D451" s="8" t="s">
        <v>3827</v>
      </c>
      <c r="E451" s="8" t="s">
        <v>3673</v>
      </c>
      <c r="F451" s="8" t="s">
        <v>919</v>
      </c>
      <c r="G451" s="8" t="s">
        <v>347</v>
      </c>
      <c r="H451" s="8" t="s">
        <v>59</v>
      </c>
      <c r="I451" s="642">
        <v>44408</v>
      </c>
      <c r="J451" s="18">
        <v>44508</v>
      </c>
      <c r="K451" s="97">
        <v>44508</v>
      </c>
      <c r="L451" s="16">
        <f>IF(ISTEXT(Table15[[#This Row],[Engineering Approved Design Date]]),Table15[[#This Row],[Date Completed]]-Table15[[#This Row],[Date Assigned to Designer]],Table15[[#This Row],[Engineering Approved Design Date]]-Table15[[#This Row],[Date Completed]])</f>
        <v>0</v>
      </c>
      <c r="M451" s="642"/>
      <c r="N451" s="642" t="s">
        <v>120</v>
      </c>
      <c r="O451" s="1025">
        <f>K451</f>
        <v>44508</v>
      </c>
      <c r="P451" s="21" t="s">
        <v>739</v>
      </c>
      <c r="Q451" s="340">
        <f>(Table15[[#This Row],[Construction Cost to Bill From]]*0.085)+7750</f>
        <v>37872.188650000004</v>
      </c>
      <c r="R451" s="1026" t="s">
        <v>1055</v>
      </c>
      <c r="S451" s="538" t="s">
        <v>709</v>
      </c>
      <c r="T451" s="538" t="s">
        <v>709</v>
      </c>
      <c r="U451" s="87" t="s">
        <v>709</v>
      </c>
      <c r="V451" s="858">
        <v>392</v>
      </c>
      <c r="W451" s="437"/>
      <c r="X451" s="538">
        <v>294999.12</v>
      </c>
      <c r="Y451" s="550"/>
      <c r="Z451" s="538">
        <v>59379.57</v>
      </c>
      <c r="AA451" s="551">
        <f t="shared" si="10"/>
        <v>354378.69</v>
      </c>
      <c r="AB451" s="341"/>
      <c r="AC451" s="568" t="s">
        <v>709</v>
      </c>
      <c r="AD451" s="1157"/>
      <c r="AE451" s="568"/>
      <c r="AF451" s="568"/>
      <c r="AG451" s="568"/>
      <c r="AH451" s="183"/>
      <c r="AI451" s="1036"/>
      <c r="AJ451" s="1037"/>
      <c r="AK451" s="1037"/>
      <c r="AL451" s="1038"/>
      <c r="AM451" s="1522" t="s">
        <v>116</v>
      </c>
      <c r="AN451" s="1523">
        <v>44959</v>
      </c>
      <c r="AO451" s="1524">
        <v>11037905</v>
      </c>
      <c r="AP451" s="1525">
        <v>344089.91</v>
      </c>
      <c r="AQ451" s="1525"/>
      <c r="AR451" s="1525">
        <v>62910.7</v>
      </c>
      <c r="AS451" s="1525">
        <f>IF(Table15[[#This Row],[PCTS Approved]]="N",0,Table15[[#This Row],[Investment Amount (1'#'#'#'#'#)]]+Table15[[#This Row],[Retirement Amount (3'#'#'#'#'#)]])</f>
        <v>407000.61</v>
      </c>
      <c r="AT451" s="1525">
        <f>IF(Table15[[#This Row],[Approved Construction Cost]]=0,0,Table15[[#This Row],[Approved Construction Cost]]-Table15[[#This Row],[Construction Cost to Bill From]])</f>
        <v>52621.919999999984</v>
      </c>
      <c r="AU451" s="1525">
        <f>IFERROR(Table15[[#This Row],[Difference in Construction Cost]]*Table15[[#This Row],[Rate]],Table15[[#This Row],[Difference in Construction Cost]]*0.085)</f>
        <v>4472.8631999999989</v>
      </c>
      <c r="AV451" s="1525" t="s">
        <v>709</v>
      </c>
      <c r="AW451" s="1526" t="s">
        <v>3828</v>
      </c>
      <c r="AX451" s="1525">
        <v>4472.8631999999989</v>
      </c>
      <c r="AY451" s="1518">
        <v>45200</v>
      </c>
      <c r="AZ451" s="333"/>
      <c r="BA451" s="859" t="s">
        <v>3829</v>
      </c>
      <c r="BB451" s="644" t="s">
        <v>3830</v>
      </c>
      <c r="BC451" s="544" t="s">
        <v>709</v>
      </c>
      <c r="BD451" s="544" t="s">
        <v>2820</v>
      </c>
      <c r="BE451" s="544" t="s">
        <v>709</v>
      </c>
      <c r="BF451" s="544" t="s">
        <v>709</v>
      </c>
      <c r="BG451" s="544" t="s">
        <v>709</v>
      </c>
      <c r="BH451" s="741"/>
      <c r="BI451" s="547" t="s">
        <v>709</v>
      </c>
      <c r="BJ451" s="547" t="s">
        <v>709</v>
      </c>
      <c r="BK451" s="547" t="s">
        <v>116</v>
      </c>
      <c r="BL451" s="547" t="s">
        <v>116</v>
      </c>
      <c r="BM451" s="547" t="s">
        <v>709</v>
      </c>
      <c r="BN451" s="547" t="s">
        <v>709</v>
      </c>
      <c r="BO451" s="547" t="s">
        <v>709</v>
      </c>
      <c r="BP451" s="547" t="s">
        <v>709</v>
      </c>
      <c r="BQ451" s="547">
        <v>123</v>
      </c>
      <c r="BR451" s="547">
        <v>46</v>
      </c>
      <c r="BS451" s="547">
        <v>112</v>
      </c>
      <c r="BT451" s="547">
        <v>1</v>
      </c>
      <c r="BU451" s="547" t="s">
        <v>709</v>
      </c>
      <c r="BV451" s="547" t="s">
        <v>745</v>
      </c>
      <c r="BW451" s="547" t="s">
        <v>709</v>
      </c>
      <c r="BX451" s="547">
        <v>1</v>
      </c>
      <c r="BY451" s="547" t="s">
        <v>745</v>
      </c>
      <c r="BZ451" s="547" t="s">
        <v>709</v>
      </c>
      <c r="CA451" s="483"/>
      <c r="CB451" s="547">
        <v>448</v>
      </c>
      <c r="CC451" s="1481" t="b">
        <v>1</v>
      </c>
      <c r="CD451" t="str">
        <f>Table15[[#This Row],[Engineering Number]]&amp;Table15[[#This Row],[WO Number]]&amp;Table15[[#This Row],[Date Assigned to Designer]]&amp;Table15[[#This Row],[Date Completed]]</f>
        <v>NBA197073719105754440844508</v>
      </c>
    </row>
    <row r="452" spans="1:82" customFormat="1" ht="15" customHeight="1" x14ac:dyDescent="0.25">
      <c r="A452">
        <v>2021</v>
      </c>
      <c r="B452" s="8" t="s">
        <v>4</v>
      </c>
      <c r="C452" s="8" t="s">
        <v>3377</v>
      </c>
      <c r="D452" s="8" t="s">
        <v>3378</v>
      </c>
      <c r="E452" s="8" t="s">
        <v>3379</v>
      </c>
      <c r="F452" s="8" t="s">
        <v>919</v>
      </c>
      <c r="G452" s="8" t="s">
        <v>36</v>
      </c>
      <c r="H452" s="8" t="s">
        <v>3178</v>
      </c>
      <c r="I452" s="642">
        <v>44327</v>
      </c>
      <c r="J452" s="18" t="s">
        <v>2052</v>
      </c>
      <c r="K452" s="97">
        <v>44509</v>
      </c>
      <c r="L452" s="16">
        <f>IF(ISTEXT(Table15[[#This Row],[Engineering Approved Design Date]]),Table15[[#This Row],[Date Completed]]-Table15[[#This Row],[Date Assigned to Designer]],Table15[[#This Row],[Engineering Approved Design Date]]-Table15[[#This Row],[Date Completed]])</f>
        <v>182</v>
      </c>
      <c r="M452" s="642" t="s">
        <v>3838</v>
      </c>
      <c r="N452" s="642" t="s">
        <v>120</v>
      </c>
      <c r="O452" s="1025">
        <v>44531</v>
      </c>
      <c r="P452" s="21" t="s">
        <v>739</v>
      </c>
      <c r="Q452" s="1151">
        <f>U452</f>
        <v>490</v>
      </c>
      <c r="R452" s="1026" t="s">
        <v>1922</v>
      </c>
      <c r="S452" s="538" t="s">
        <v>709</v>
      </c>
      <c r="T452" s="538" t="s">
        <v>709</v>
      </c>
      <c r="U452" s="87">
        <v>490</v>
      </c>
      <c r="V452" s="858">
        <v>460</v>
      </c>
      <c r="W452" s="437"/>
      <c r="X452" s="538">
        <v>67633.58</v>
      </c>
      <c r="Y452" s="550"/>
      <c r="Z452" s="538">
        <v>8020.71</v>
      </c>
      <c r="AA452" s="538">
        <f t="shared" si="10"/>
        <v>75654.290000000008</v>
      </c>
      <c r="AB452" s="21"/>
      <c r="AC452" s="569"/>
      <c r="AD452" s="1149"/>
      <c r="AE452" s="580"/>
      <c r="AF452" s="580"/>
      <c r="AG452" s="580"/>
      <c r="AH452" s="542"/>
      <c r="AI452" s="1028"/>
      <c r="AJ452" s="1029"/>
      <c r="AK452" s="1029"/>
      <c r="AL452" s="1030"/>
      <c r="AM452" s="542" t="s">
        <v>709</v>
      </c>
      <c r="AN452" s="924"/>
      <c r="AO452" s="925"/>
      <c r="AP452" s="926"/>
      <c r="AQ452" s="926"/>
      <c r="AR452" s="926"/>
      <c r="AS452" s="926"/>
      <c r="AT452" s="926"/>
      <c r="AU452" s="926"/>
      <c r="AV452" s="926"/>
      <c r="AW452" s="927"/>
      <c r="AX452" s="926"/>
      <c r="AY452" s="1538" t="s">
        <v>29</v>
      </c>
      <c r="AZ452" s="1530"/>
      <c r="BA452" s="1031">
        <v>12</v>
      </c>
      <c r="BB452" s="644"/>
      <c r="BC452" s="544"/>
      <c r="BD452" s="544"/>
      <c r="BE452" s="544"/>
      <c r="BF452" s="544"/>
      <c r="BG452" s="544"/>
      <c r="BH452" s="741"/>
      <c r="BI452" s="547" t="s">
        <v>709</v>
      </c>
      <c r="BJ452" s="547" t="s">
        <v>709</v>
      </c>
      <c r="BK452" s="547" t="s">
        <v>709</v>
      </c>
      <c r="BL452" s="547" t="s">
        <v>116</v>
      </c>
      <c r="BM452" s="547" t="s">
        <v>709</v>
      </c>
      <c r="BN452" s="547" t="s">
        <v>709</v>
      </c>
      <c r="BO452" s="547" t="s">
        <v>709</v>
      </c>
      <c r="BP452" s="547" t="s">
        <v>709</v>
      </c>
      <c r="BQ452" s="547" t="s">
        <v>709</v>
      </c>
      <c r="BR452" s="547" t="s">
        <v>709</v>
      </c>
      <c r="BS452" s="547">
        <v>460</v>
      </c>
      <c r="BT452" s="547" t="s">
        <v>745</v>
      </c>
      <c r="BU452" s="547" t="s">
        <v>709</v>
      </c>
      <c r="BV452" s="547" t="s">
        <v>745</v>
      </c>
      <c r="BW452" s="547" t="s">
        <v>709</v>
      </c>
      <c r="BX452" s="547" t="s">
        <v>745</v>
      </c>
      <c r="BY452" s="547" t="s">
        <v>745</v>
      </c>
      <c r="BZ452" s="547" t="s">
        <v>709</v>
      </c>
      <c r="CA452" s="483"/>
      <c r="CB452" s="547">
        <v>450</v>
      </c>
      <c r="CC452" s="1481" t="b">
        <v>1</v>
      </c>
      <c r="CD452" t="str">
        <f>Table15[[#This Row],[Engineering Number]]&amp;Table15[[#This Row],[WO Number]]&amp;Table15[[#This Row],[Date Assigned to Designer]]&amp;Table15[[#This Row],[Date Completed]]</f>
        <v>SC1927712101654432744509</v>
      </c>
    </row>
    <row r="453" spans="1:82" customFormat="1" ht="15" customHeight="1" x14ac:dyDescent="0.25">
      <c r="A453">
        <v>2022</v>
      </c>
      <c r="B453" s="8" t="s">
        <v>771</v>
      </c>
      <c r="C453" s="8" t="s">
        <v>3840</v>
      </c>
      <c r="D453" s="8" t="s">
        <v>3841</v>
      </c>
      <c r="E453" s="8" t="s">
        <v>3710</v>
      </c>
      <c r="F453" s="8" t="s">
        <v>738</v>
      </c>
      <c r="G453" s="8" t="s">
        <v>1882</v>
      </c>
      <c r="H453" s="8" t="s">
        <v>59</v>
      </c>
      <c r="I453" s="642">
        <v>44408</v>
      </c>
      <c r="J453" s="18">
        <v>44512</v>
      </c>
      <c r="K453" s="97">
        <v>44510</v>
      </c>
      <c r="L453" s="16">
        <f>IF(ISTEXT(Table15[[#This Row],[Engineering Approved Design Date]]),Table15[[#This Row],[Date Completed]]-Table15[[#This Row],[Date Assigned to Designer]],Table15[[#This Row],[Engineering Approved Design Date]]-Table15[[#This Row],[Date Completed]])</f>
        <v>2</v>
      </c>
      <c r="M453" s="642"/>
      <c r="N453" s="642" t="s">
        <v>120</v>
      </c>
      <c r="O453" s="1025">
        <f>Table15[[#This Row],[Date Completed]]</f>
        <v>44510</v>
      </c>
      <c r="P453" s="21" t="s">
        <v>120</v>
      </c>
      <c r="Q453" s="340">
        <f>R453*AA453</f>
        <v>92568.983399999997</v>
      </c>
      <c r="R453" s="1026">
        <v>0.09</v>
      </c>
      <c r="S453" s="538" t="s">
        <v>709</v>
      </c>
      <c r="T453" s="538" t="s">
        <v>709</v>
      </c>
      <c r="U453" s="87" t="s">
        <v>709</v>
      </c>
      <c r="V453" s="858">
        <v>5113</v>
      </c>
      <c r="W453" s="437"/>
      <c r="X453" s="538">
        <v>956765.27</v>
      </c>
      <c r="Y453" s="550"/>
      <c r="Z453" s="538">
        <v>71778.990000000005</v>
      </c>
      <c r="AA453" s="551">
        <f t="shared" si="10"/>
        <v>1028544.26</v>
      </c>
      <c r="AB453" s="341"/>
      <c r="AC453" s="568" t="s">
        <v>709</v>
      </c>
      <c r="AD453" s="1157"/>
      <c r="AE453" s="568"/>
      <c r="AF453" s="568"/>
      <c r="AG453" s="568"/>
      <c r="AH453" s="183"/>
      <c r="AI453" s="1036"/>
      <c r="AJ453" s="1037"/>
      <c r="AK453" s="1037"/>
      <c r="AL453" s="1038"/>
      <c r="AM453" s="1522" t="s">
        <v>116</v>
      </c>
      <c r="AN453" s="1523">
        <v>44594</v>
      </c>
      <c r="AO453" s="1524">
        <v>11038206</v>
      </c>
      <c r="AP453" s="1525">
        <v>973589.5</v>
      </c>
      <c r="AQ453" s="1525"/>
      <c r="AR453" s="1525">
        <v>72007.360000000001</v>
      </c>
      <c r="AS453" s="1525">
        <f>IF(Table15[[#This Row],[PCTS Approved]]="N",0,Table15[[#This Row],[Investment Amount (1'#'#'#'#'#)]]+Table15[[#This Row],[Retirement Amount (3'#'#'#'#'#)]])</f>
        <v>1045596.86</v>
      </c>
      <c r="AT453" s="1525">
        <f>IF(Table15[[#This Row],[Approved Construction Cost]]=0,0,Table15[[#This Row],[Approved Construction Cost]]-Table15[[#This Row],[Construction Cost to Bill From]])</f>
        <v>17052.599999999977</v>
      </c>
      <c r="AU453" s="1525">
        <f>IFERROR(Table15[[#This Row],[Difference in Construction Cost]]*Table15[[#This Row],[Rate]],Table15[[#This Row],[Difference in Construction Cost]]*0.085)</f>
        <v>1534.7339999999979</v>
      </c>
      <c r="AV453" s="1525" t="s">
        <v>709</v>
      </c>
      <c r="AW453" s="1526"/>
      <c r="AX453" s="1525">
        <f>Table15[[#This Row],[Reconcile Amount]]</f>
        <v>1534.7339999999979</v>
      </c>
      <c r="AY453" s="1518">
        <v>45008</v>
      </c>
      <c r="AZ453" s="333"/>
      <c r="BA453" s="1031" t="s">
        <v>3842</v>
      </c>
      <c r="BB453" s="644" t="s">
        <v>3843</v>
      </c>
      <c r="BC453" s="544" t="s">
        <v>116</v>
      </c>
      <c r="BD453" s="544" t="s">
        <v>709</v>
      </c>
      <c r="BE453" s="544" t="s">
        <v>3712</v>
      </c>
      <c r="BF453" s="544" t="s">
        <v>709</v>
      </c>
      <c r="BG453" s="544" t="s">
        <v>709</v>
      </c>
      <c r="BH453" s="741"/>
      <c r="BI453" s="547" t="s">
        <v>709</v>
      </c>
      <c r="BJ453" s="547" t="s">
        <v>709</v>
      </c>
      <c r="BK453" s="547" t="s">
        <v>709</v>
      </c>
      <c r="BL453" s="547" t="s">
        <v>116</v>
      </c>
      <c r="BM453" s="547" t="s">
        <v>709</v>
      </c>
      <c r="BN453" s="547" t="s">
        <v>709</v>
      </c>
      <c r="BO453" s="547" t="s">
        <v>709</v>
      </c>
      <c r="BP453" s="547" t="s">
        <v>709</v>
      </c>
      <c r="BQ453" s="547">
        <v>803</v>
      </c>
      <c r="BR453" s="547">
        <v>3402</v>
      </c>
      <c r="BS453" s="547">
        <v>908</v>
      </c>
      <c r="BT453" s="547" t="s">
        <v>745</v>
      </c>
      <c r="BU453" s="547" t="s">
        <v>709</v>
      </c>
      <c r="BV453" s="547" t="s">
        <v>745</v>
      </c>
      <c r="BW453" s="547" t="s">
        <v>709</v>
      </c>
      <c r="BX453" s="547" t="s">
        <v>745</v>
      </c>
      <c r="BY453" s="547" t="s">
        <v>745</v>
      </c>
      <c r="BZ453" s="547" t="s">
        <v>709</v>
      </c>
      <c r="CA453" s="483"/>
      <c r="CB453" s="547">
        <v>451</v>
      </c>
      <c r="CC453" s="1481" t="b">
        <v>1</v>
      </c>
      <c r="CD453" t="str">
        <f>Table15[[#This Row],[Engineering Number]]&amp;Table15[[#This Row],[WO Number]]&amp;Table15[[#This Row],[Date Assigned to Designer]]&amp;Table15[[#This Row],[Date Completed]]</f>
        <v>BS36312104894440844510</v>
      </c>
    </row>
    <row r="454" spans="1:82" customFormat="1" ht="15" customHeight="1" x14ac:dyDescent="0.25">
      <c r="A454">
        <v>2022</v>
      </c>
      <c r="B454" s="8" t="s">
        <v>2989</v>
      </c>
      <c r="C454" s="8" t="s">
        <v>3845</v>
      </c>
      <c r="D454" s="8" t="s">
        <v>3846</v>
      </c>
      <c r="E454" s="8" t="s">
        <v>361</v>
      </c>
      <c r="F454" s="8" t="s">
        <v>752</v>
      </c>
      <c r="G454" s="8" t="s">
        <v>22</v>
      </c>
      <c r="H454" s="8" t="s">
        <v>59</v>
      </c>
      <c r="I454" s="642">
        <v>44438</v>
      </c>
      <c r="J454" s="18">
        <v>44533</v>
      </c>
      <c r="K454" s="97">
        <v>44511</v>
      </c>
      <c r="L454" s="16">
        <f>IF(ISTEXT(Table15[[#This Row],[Engineering Approved Design Date]]),Table15[[#This Row],[Date Completed]]-Table15[[#This Row],[Date Assigned to Designer]],Table15[[#This Row],[Engineering Approved Design Date]]-Table15[[#This Row],[Date Completed]])</f>
        <v>22</v>
      </c>
      <c r="M454" s="642"/>
      <c r="N454" s="642" t="s">
        <v>120</v>
      </c>
      <c r="O454" s="1025">
        <f>Table15[[#This Row],[Date Completed]]</f>
        <v>44511</v>
      </c>
      <c r="P454" s="21" t="s">
        <v>739</v>
      </c>
      <c r="Q454" s="340">
        <f>R454*AA454</f>
        <v>15521.131799999999</v>
      </c>
      <c r="R454" s="1026">
        <v>0.09</v>
      </c>
      <c r="S454" s="538" t="s">
        <v>709</v>
      </c>
      <c r="T454" s="538" t="s">
        <v>709</v>
      </c>
      <c r="U454" s="87" t="s">
        <v>709</v>
      </c>
      <c r="V454" s="858">
        <v>354</v>
      </c>
      <c r="W454" s="437"/>
      <c r="X454" s="538">
        <v>0</v>
      </c>
      <c r="Y454" s="550"/>
      <c r="Z454" s="538">
        <v>172457.02</v>
      </c>
      <c r="AA454" s="551">
        <f t="shared" si="10"/>
        <v>172457.02</v>
      </c>
      <c r="AB454" s="341"/>
      <c r="AC454" s="568" t="s">
        <v>709</v>
      </c>
      <c r="AD454" s="1157"/>
      <c r="AE454" s="579"/>
      <c r="AF454" s="579"/>
      <c r="AG454" s="579"/>
      <c r="AH454" s="553"/>
      <c r="AI454" s="1036"/>
      <c r="AJ454" s="1037"/>
      <c r="AK454" s="1037"/>
      <c r="AL454" s="1038"/>
      <c r="AM454" s="1522" t="s">
        <v>116</v>
      </c>
      <c r="AN454" s="1523">
        <v>44594</v>
      </c>
      <c r="AO454" s="1524">
        <v>11039336</v>
      </c>
      <c r="AP454" s="1525">
        <v>0</v>
      </c>
      <c r="AQ454" s="1525"/>
      <c r="AR454" s="1525">
        <v>174263.26</v>
      </c>
      <c r="AS454" s="1525">
        <f>IF(Table15[[#This Row],[PCTS Approved]]="N",0,Table15[[#This Row],[Investment Amount (1'#'#'#'#'#)]]+Table15[[#This Row],[Retirement Amount (3'#'#'#'#'#)]])</f>
        <v>174263.26</v>
      </c>
      <c r="AT454" s="1525">
        <f>IF(Table15[[#This Row],[Approved Construction Cost]]=0,0,Table15[[#This Row],[Approved Construction Cost]]-Table15[[#This Row],[Construction Cost to Bill From]])</f>
        <v>1806.2400000000198</v>
      </c>
      <c r="AU454" s="1525">
        <f>IFERROR(Table15[[#This Row],[Difference in Construction Cost]]*Table15[[#This Row],[Rate]],Table15[[#This Row],[Difference in Construction Cost]]*0.085)</f>
        <v>162.56160000000179</v>
      </c>
      <c r="AV454" s="1525">
        <v>7982.5</v>
      </c>
      <c r="AW454" s="1526" t="s">
        <v>3851</v>
      </c>
      <c r="AX454" s="1525">
        <v>0</v>
      </c>
      <c r="AY454" s="1518">
        <v>45008</v>
      </c>
      <c r="AZ454" s="333"/>
      <c r="BA454" s="1031" t="s">
        <v>3848</v>
      </c>
      <c r="BB454" s="644" t="s">
        <v>3849</v>
      </c>
      <c r="BC454" s="544" t="s">
        <v>116</v>
      </c>
      <c r="BD454" s="544" t="s">
        <v>882</v>
      </c>
      <c r="BE454" s="544" t="s">
        <v>709</v>
      </c>
      <c r="BF454" s="544" t="s">
        <v>709</v>
      </c>
      <c r="BG454" s="544" t="s">
        <v>709</v>
      </c>
      <c r="BH454" s="741"/>
      <c r="BI454" s="547" t="s">
        <v>709</v>
      </c>
      <c r="BJ454" s="547" t="s">
        <v>709</v>
      </c>
      <c r="BK454" s="547" t="s">
        <v>709</v>
      </c>
      <c r="BL454" s="547" t="s">
        <v>709</v>
      </c>
      <c r="BM454" s="547" t="s">
        <v>709</v>
      </c>
      <c r="BN454" s="547" t="s">
        <v>709</v>
      </c>
      <c r="BO454" s="547" t="s">
        <v>709</v>
      </c>
      <c r="BP454" s="547" t="s">
        <v>709</v>
      </c>
      <c r="BQ454" s="547" t="s">
        <v>709</v>
      </c>
      <c r="BR454" s="547" t="s">
        <v>709</v>
      </c>
      <c r="BS454" s="547" t="s">
        <v>709</v>
      </c>
      <c r="BT454" s="547" t="s">
        <v>745</v>
      </c>
      <c r="BU454" s="547" t="s">
        <v>709</v>
      </c>
      <c r="BV454" s="547">
        <v>5</v>
      </c>
      <c r="BW454" s="547" t="s">
        <v>709</v>
      </c>
      <c r="BX454" s="547" t="s">
        <v>745</v>
      </c>
      <c r="BY454" s="547" t="s">
        <v>745</v>
      </c>
      <c r="BZ454" s="547" t="s">
        <v>709</v>
      </c>
      <c r="CA454" s="483" t="s">
        <v>2</v>
      </c>
      <c r="CB454" s="547">
        <v>452</v>
      </c>
      <c r="CC454" s="1481" t="b">
        <v>1</v>
      </c>
      <c r="CD454" t="str">
        <f>Table15[[#This Row],[Engineering Number]]&amp;Table15[[#This Row],[WO Number]]&amp;Table15[[#This Row],[Date Assigned to Designer]]&amp;Table15[[#This Row],[Date Completed]]</f>
        <v>MR179032105734443844511</v>
      </c>
    </row>
    <row r="455" spans="1:82" customFormat="1" ht="15" customHeight="1" x14ac:dyDescent="0.25">
      <c r="A455">
        <v>2022</v>
      </c>
      <c r="B455" s="8" t="s">
        <v>1205</v>
      </c>
      <c r="C455" s="8" t="s">
        <v>3845</v>
      </c>
      <c r="D455" s="8" t="s">
        <v>3846</v>
      </c>
      <c r="E455" s="8" t="s">
        <v>361</v>
      </c>
      <c r="F455" s="8" t="s">
        <v>752</v>
      </c>
      <c r="G455" s="8" t="s">
        <v>22</v>
      </c>
      <c r="H455" s="8" t="s">
        <v>3661</v>
      </c>
      <c r="I455" s="642">
        <v>44438</v>
      </c>
      <c r="J455" s="18" t="s">
        <v>3662</v>
      </c>
      <c r="K455" s="97">
        <v>44511</v>
      </c>
      <c r="L455" s="16">
        <f>IF(ISTEXT(Table15[[#This Row],[Engineering Approved Design Date]]),Table15[[#This Row],[Date Completed]]-Table15[[#This Row],[Date Assigned to Designer]],Table15[[#This Row],[Engineering Approved Design Date]]-Table15[[#This Row],[Date Completed]])</f>
        <v>73</v>
      </c>
      <c r="M455" s="642" t="s">
        <v>3847</v>
      </c>
      <c r="N455" s="642" t="s">
        <v>120</v>
      </c>
      <c r="O455" s="1025">
        <v>44554</v>
      </c>
      <c r="P455" s="21" t="s">
        <v>739</v>
      </c>
      <c r="Q455" s="1151">
        <f>U455</f>
        <v>3660</v>
      </c>
      <c r="R455" s="1026" t="s">
        <v>1922</v>
      </c>
      <c r="S455" s="538" t="s">
        <v>709</v>
      </c>
      <c r="T455" s="538" t="s">
        <v>709</v>
      </c>
      <c r="U455" s="87">
        <v>3660</v>
      </c>
      <c r="V455" s="1184"/>
      <c r="W455" s="1186"/>
      <c r="X455" s="538"/>
      <c r="Y455" s="550"/>
      <c r="Z455" s="538"/>
      <c r="AA455" s="538"/>
      <c r="AB455" s="341" t="s">
        <v>29</v>
      </c>
      <c r="AC455" s="569" t="s">
        <v>29</v>
      </c>
      <c r="AD455" s="1149" t="s">
        <v>29</v>
      </c>
      <c r="AE455" s="569"/>
      <c r="AF455" s="569"/>
      <c r="AG455" s="569"/>
      <c r="AH455" s="536"/>
      <c r="AI455" s="1028"/>
      <c r="AJ455" s="1029"/>
      <c r="AK455" s="1029"/>
      <c r="AL455" s="1030"/>
      <c r="AM455" s="542" t="s">
        <v>709</v>
      </c>
      <c r="AN455" s="924"/>
      <c r="AO455" s="925"/>
      <c r="AP455" s="926"/>
      <c r="AQ455" s="926"/>
      <c r="AR455" s="926"/>
      <c r="AS455" s="926"/>
      <c r="AT455" s="926"/>
      <c r="AU455" s="926"/>
      <c r="AV455" s="926"/>
      <c r="AW455" s="927"/>
      <c r="AX455" s="926"/>
      <c r="AY455" s="1538" t="s">
        <v>29</v>
      </c>
      <c r="AZ455" s="1532"/>
      <c r="BA455" s="1031" t="s">
        <v>3848</v>
      </c>
      <c r="BB455" s="644" t="s">
        <v>3849</v>
      </c>
      <c r="BC455" s="544" t="s">
        <v>116</v>
      </c>
      <c r="BD455" s="544" t="s">
        <v>882</v>
      </c>
      <c r="BE455" s="544" t="s">
        <v>709</v>
      </c>
      <c r="BF455" s="544" t="s">
        <v>709</v>
      </c>
      <c r="BG455" s="544" t="s">
        <v>709</v>
      </c>
      <c r="BH455" s="741"/>
      <c r="BI455" s="547" t="s">
        <v>709</v>
      </c>
      <c r="BJ455" s="547" t="s">
        <v>709</v>
      </c>
      <c r="BK455" s="547" t="s">
        <v>709</v>
      </c>
      <c r="BL455" s="547" t="s">
        <v>709</v>
      </c>
      <c r="BM455" s="547" t="s">
        <v>709</v>
      </c>
      <c r="BN455" s="547" t="s">
        <v>709</v>
      </c>
      <c r="BO455" s="547" t="s">
        <v>709</v>
      </c>
      <c r="BP455" s="547" t="s">
        <v>709</v>
      </c>
      <c r="BQ455" s="547" t="s">
        <v>709</v>
      </c>
      <c r="BR455" s="547" t="s">
        <v>709</v>
      </c>
      <c r="BS455" s="547" t="s">
        <v>709</v>
      </c>
      <c r="BT455" s="547" t="s">
        <v>745</v>
      </c>
      <c r="BU455" s="547" t="s">
        <v>709</v>
      </c>
      <c r="BV455" s="547">
        <v>5</v>
      </c>
      <c r="BW455" s="547" t="s">
        <v>709</v>
      </c>
      <c r="BX455" s="547" t="s">
        <v>745</v>
      </c>
      <c r="BY455" s="547" t="s">
        <v>745</v>
      </c>
      <c r="BZ455" s="547" t="s">
        <v>709</v>
      </c>
      <c r="CA455" s="483" t="s">
        <v>2</v>
      </c>
      <c r="CB455" s="547">
        <v>453</v>
      </c>
      <c r="CC455" s="1481" t="b">
        <v>1</v>
      </c>
      <c r="CD455" t="str">
        <f>Table15[[#This Row],[Engineering Number]]&amp;Table15[[#This Row],[WO Number]]&amp;Table15[[#This Row],[Date Assigned to Designer]]&amp;Table15[[#This Row],[Date Completed]]</f>
        <v>MR179032105734443844511</v>
      </c>
    </row>
    <row r="456" spans="1:82" customFormat="1" ht="15" customHeight="1" x14ac:dyDescent="0.25">
      <c r="A456">
        <v>2020</v>
      </c>
      <c r="B456" s="8" t="s">
        <v>4</v>
      </c>
      <c r="C456" s="8" t="s">
        <v>2455</v>
      </c>
      <c r="D456" s="8">
        <v>120459</v>
      </c>
      <c r="E456" s="8" t="s">
        <v>2457</v>
      </c>
      <c r="F456" s="8" t="s">
        <v>919</v>
      </c>
      <c r="G456" s="8" t="s">
        <v>40</v>
      </c>
      <c r="H456" s="8" t="s">
        <v>3852</v>
      </c>
      <c r="I456" s="642">
        <v>44510</v>
      </c>
      <c r="J456" s="18" t="s">
        <v>2052</v>
      </c>
      <c r="K456" s="97">
        <v>44516</v>
      </c>
      <c r="L456" s="16">
        <f>IF(ISTEXT(Table15[[#This Row],[Engineering Approved Design Date]]),Table15[[#This Row],[Date Completed]]-Table15[[#This Row],[Date Assigned to Designer]],Table15[[#This Row],[Engineering Approved Design Date]]-Table15[[#This Row],[Date Completed]])</f>
        <v>6</v>
      </c>
      <c r="M456" s="642" t="s">
        <v>3853</v>
      </c>
      <c r="N456" s="642" t="s">
        <v>120</v>
      </c>
      <c r="O456" s="1025">
        <v>44531</v>
      </c>
      <c r="P456" s="21" t="s">
        <v>739</v>
      </c>
      <c r="Q456" s="1151">
        <f>Table15[[#This Row],[KH Hourly Effort]]</f>
        <v>4142.5</v>
      </c>
      <c r="R456" s="1026" t="s">
        <v>1922</v>
      </c>
      <c r="S456" s="538" t="s">
        <v>709</v>
      </c>
      <c r="T456" s="538" t="s">
        <v>709</v>
      </c>
      <c r="U456" s="87">
        <v>4142.5</v>
      </c>
      <c r="V456" s="858"/>
      <c r="W456" s="437"/>
      <c r="X456" s="538"/>
      <c r="Y456" s="550"/>
      <c r="Z456" s="538"/>
      <c r="AA456" s="538"/>
      <c r="AB456" s="21"/>
      <c r="AC456" s="569"/>
      <c r="AD456" s="1149"/>
      <c r="AE456" s="580"/>
      <c r="AF456" s="580"/>
      <c r="AG456" s="580"/>
      <c r="AH456" s="542"/>
      <c r="AI456" s="1028"/>
      <c r="AJ456" s="1029"/>
      <c r="AK456" s="1029"/>
      <c r="AL456" s="1030"/>
      <c r="AM456" s="542" t="s">
        <v>709</v>
      </c>
      <c r="AN456" s="924"/>
      <c r="AO456" s="925"/>
      <c r="AP456" s="926"/>
      <c r="AQ456" s="926"/>
      <c r="AR456" s="926"/>
      <c r="AS456" s="926"/>
      <c r="AT456" s="926"/>
      <c r="AU456" s="926"/>
      <c r="AV456" s="926"/>
      <c r="AW456" s="927"/>
      <c r="AX456" s="926"/>
      <c r="AY456" s="1538" t="s">
        <v>29</v>
      </c>
      <c r="AZ456" s="1530"/>
      <c r="BA456" s="1031">
        <v>1</v>
      </c>
      <c r="BB456" s="644"/>
      <c r="BC456" s="544"/>
      <c r="BD456" s="544"/>
      <c r="BE456" s="544"/>
      <c r="BF456" s="544"/>
      <c r="BG456" s="544"/>
      <c r="BH456" s="741"/>
      <c r="BI456" s="547" t="s">
        <v>709</v>
      </c>
      <c r="BJ456" s="547" t="s">
        <v>709</v>
      </c>
      <c r="BK456" s="547" t="s">
        <v>709</v>
      </c>
      <c r="BL456" s="547" t="s">
        <v>116</v>
      </c>
      <c r="BM456" s="547" t="s">
        <v>709</v>
      </c>
      <c r="BN456" s="547" t="s">
        <v>709</v>
      </c>
      <c r="BO456" s="547" t="s">
        <v>709</v>
      </c>
      <c r="BP456" s="547" t="s">
        <v>709</v>
      </c>
      <c r="BQ456" s="547">
        <v>4809</v>
      </c>
      <c r="BR456" s="547" t="s">
        <v>709</v>
      </c>
      <c r="BS456" s="547">
        <v>347</v>
      </c>
      <c r="BT456" s="547" t="s">
        <v>745</v>
      </c>
      <c r="BU456" s="547" t="s">
        <v>709</v>
      </c>
      <c r="BV456" s="547" t="s">
        <v>745</v>
      </c>
      <c r="BW456" s="547" t="s">
        <v>709</v>
      </c>
      <c r="BX456" s="547" t="s">
        <v>745</v>
      </c>
      <c r="BY456" s="547" t="s">
        <v>745</v>
      </c>
      <c r="BZ456" s="547" t="s">
        <v>709</v>
      </c>
      <c r="CA456" s="483"/>
      <c r="CB456" s="547">
        <v>454</v>
      </c>
      <c r="CC456" s="1481" t="b">
        <v>1</v>
      </c>
      <c r="CD456" t="str">
        <f>Table15[[#This Row],[Engineering Number]]&amp;Table15[[#This Row],[WO Number]]&amp;Table15[[#This Row],[Date Assigned to Designer]]&amp;Table15[[#This Row],[Date Completed]]</f>
        <v>SC170701204594451044516</v>
      </c>
    </row>
    <row r="457" spans="1:82" customFormat="1" ht="15" customHeight="1" x14ac:dyDescent="0.25">
      <c r="A457">
        <v>2022</v>
      </c>
      <c r="B457" s="8" t="s">
        <v>771</v>
      </c>
      <c r="C457" s="8" t="s">
        <v>215</v>
      </c>
      <c r="D457" s="8" t="s">
        <v>3855</v>
      </c>
      <c r="E457" s="8" t="s">
        <v>111</v>
      </c>
      <c r="F457" s="8" t="s">
        <v>738</v>
      </c>
      <c r="G457" s="8" t="s">
        <v>2814</v>
      </c>
      <c r="H457" s="8" t="s">
        <v>59</v>
      </c>
      <c r="I457" s="642">
        <v>44440</v>
      </c>
      <c r="J457" s="18">
        <v>44531</v>
      </c>
      <c r="K457" s="97">
        <v>44517</v>
      </c>
      <c r="L457" s="16">
        <f>IF(ISTEXT(Table15[[#This Row],[Engineering Approved Design Date]]),Table15[[#This Row],[Date Completed]]-Table15[[#This Row],[Date Assigned to Designer]],Table15[[#This Row],[Engineering Approved Design Date]]-Table15[[#This Row],[Date Completed]])</f>
        <v>14</v>
      </c>
      <c r="M457" s="642"/>
      <c r="N457" s="642" t="s">
        <v>120</v>
      </c>
      <c r="O457" s="1025">
        <v>44519</v>
      </c>
      <c r="P457" s="21" t="s">
        <v>120</v>
      </c>
      <c r="Q457" s="1151">
        <f>1.55*Table15[[#This Row],[LF of Main]]</f>
        <v>9413.15</v>
      </c>
      <c r="R457" s="1026" t="s">
        <v>2087</v>
      </c>
      <c r="S457" s="538" t="s">
        <v>709</v>
      </c>
      <c r="T457" s="538" t="s">
        <v>709</v>
      </c>
      <c r="U457" s="28" t="s">
        <v>709</v>
      </c>
      <c r="V457" s="858">
        <v>6073</v>
      </c>
      <c r="W457" s="437"/>
      <c r="X457" s="538">
        <v>701019.07</v>
      </c>
      <c r="Y457" s="550"/>
      <c r="Z457" s="538">
        <v>29896.59</v>
      </c>
      <c r="AA457" s="538">
        <f>Table15[[#This Row],[PCTS Investment Amount]]+Table15[[#This Row],[PCTS Retirement Amount]]</f>
        <v>730915.65999999992</v>
      </c>
      <c r="AB457" s="341"/>
      <c r="AC457" s="568" t="s">
        <v>116</v>
      </c>
      <c r="AD457" s="1157"/>
      <c r="AE457" s="568"/>
      <c r="AF457" s="568"/>
      <c r="AG457" s="568"/>
      <c r="AH457" s="183"/>
      <c r="AI457" s="1036"/>
      <c r="AJ457" s="1037"/>
      <c r="AK457" s="1037"/>
      <c r="AL457" s="1038"/>
      <c r="AM457" s="542" t="s">
        <v>709</v>
      </c>
      <c r="AN457" s="924"/>
      <c r="AO457" s="925"/>
      <c r="AP457" s="926"/>
      <c r="AQ457" s="926"/>
      <c r="AR457" s="926"/>
      <c r="AS457" s="926"/>
      <c r="AT457" s="926"/>
      <c r="AU457" s="926"/>
      <c r="AV457" s="926"/>
      <c r="AW457" s="927"/>
      <c r="AX457" s="926"/>
      <c r="AY457" s="1538" t="s">
        <v>29</v>
      </c>
      <c r="AZ457" s="1530"/>
      <c r="BA457" s="1031" t="s">
        <v>3856</v>
      </c>
      <c r="BB457" s="644" t="s">
        <v>1114</v>
      </c>
      <c r="BC457" s="544" t="s">
        <v>709</v>
      </c>
      <c r="BD457" s="544" t="s">
        <v>709</v>
      </c>
      <c r="BE457" s="544" t="s">
        <v>1114</v>
      </c>
      <c r="BF457" s="544" t="s">
        <v>709</v>
      </c>
      <c r="BG457" s="544" t="s">
        <v>709</v>
      </c>
      <c r="BH457" s="741"/>
      <c r="BI457" s="547" t="s">
        <v>709</v>
      </c>
      <c r="BJ457" s="547" t="s">
        <v>709</v>
      </c>
      <c r="BK457" s="547" t="s">
        <v>709</v>
      </c>
      <c r="BL457" s="547" t="s">
        <v>116</v>
      </c>
      <c r="BM457" s="547" t="s">
        <v>709</v>
      </c>
      <c r="BN457" s="547" t="s">
        <v>709</v>
      </c>
      <c r="BO457" s="547" t="s">
        <v>709</v>
      </c>
      <c r="BP457" s="547" t="s">
        <v>709</v>
      </c>
      <c r="BQ457" s="547">
        <v>508</v>
      </c>
      <c r="BR457" s="547" t="s">
        <v>709</v>
      </c>
      <c r="BS457" s="547">
        <v>5565</v>
      </c>
      <c r="BT457" s="547" t="s">
        <v>745</v>
      </c>
      <c r="BU457" s="547" t="s">
        <v>709</v>
      </c>
      <c r="BV457" s="547" t="s">
        <v>745</v>
      </c>
      <c r="BW457" s="547" t="s">
        <v>709</v>
      </c>
      <c r="BX457" s="547" t="s">
        <v>745</v>
      </c>
      <c r="BY457" s="547" t="s">
        <v>745</v>
      </c>
      <c r="BZ457" s="547" t="s">
        <v>709</v>
      </c>
      <c r="CA457" s="483"/>
      <c r="CB457" s="547">
        <v>455</v>
      </c>
      <c r="CC457" s="1481" t="b">
        <v>1</v>
      </c>
      <c r="CD457" t="str">
        <f>Table15[[#This Row],[Engineering Number]]&amp;Table15[[#This Row],[WO Number]]&amp;Table15[[#This Row],[Date Assigned to Designer]]&amp;Table15[[#This Row],[Date Completed]]</f>
        <v>BS31112105864444044517</v>
      </c>
    </row>
    <row r="458" spans="1:82" customFormat="1" ht="15" customHeight="1" x14ac:dyDescent="0.25">
      <c r="A458">
        <v>2021</v>
      </c>
      <c r="B458" s="8" t="s">
        <v>771</v>
      </c>
      <c r="C458" s="8" t="s">
        <v>1228</v>
      </c>
      <c r="D458" s="8" t="s">
        <v>1229</v>
      </c>
      <c r="E458" s="8" t="s">
        <v>104</v>
      </c>
      <c r="F458" s="8" t="s">
        <v>738</v>
      </c>
      <c r="G458" s="8" t="s">
        <v>347</v>
      </c>
      <c r="H458" s="8" t="s">
        <v>59</v>
      </c>
      <c r="I458" s="642">
        <v>44250</v>
      </c>
      <c r="J458" s="18">
        <v>44526</v>
      </c>
      <c r="K458" s="97">
        <v>44524</v>
      </c>
      <c r="L458" s="16">
        <f>IF(ISTEXT(Table15[[#This Row],[Engineering Approved Design Date]]),Table15[[#This Row],[Date Completed]]-Table15[[#This Row],[Date Assigned to Designer]],Table15[[#This Row],[Engineering Approved Design Date]]-Table15[[#This Row],[Date Completed]])</f>
        <v>2</v>
      </c>
      <c r="M458" s="642"/>
      <c r="N458" s="642" t="s">
        <v>120</v>
      </c>
      <c r="O458" s="1025">
        <v>44531</v>
      </c>
      <c r="P458" s="21" t="s">
        <v>120</v>
      </c>
      <c r="Q458" s="28">
        <f>R458*AA458</f>
        <v>100097.7831</v>
      </c>
      <c r="R458" s="1026">
        <v>0.09</v>
      </c>
      <c r="S458" s="538" t="s">
        <v>709</v>
      </c>
      <c r="T458" s="538" t="s">
        <v>709</v>
      </c>
      <c r="U458" s="87" t="s">
        <v>709</v>
      </c>
      <c r="V458" s="858">
        <v>1526</v>
      </c>
      <c r="W458" s="437"/>
      <c r="X458" s="556">
        <v>1031524.91</v>
      </c>
      <c r="Y458" s="550"/>
      <c r="Z458" s="556">
        <v>80672.679999999993</v>
      </c>
      <c r="AA458" s="551">
        <f>X458+Z458</f>
        <v>1112197.5900000001</v>
      </c>
      <c r="AB458" s="341"/>
      <c r="AC458" s="568" t="s">
        <v>709</v>
      </c>
      <c r="AD458" s="1157"/>
      <c r="AE458" s="568"/>
      <c r="AF458" s="568"/>
      <c r="AG458" s="568"/>
      <c r="AH458" s="183"/>
      <c r="AI458" s="1036"/>
      <c r="AJ458" s="1037"/>
      <c r="AK458" s="1037"/>
      <c r="AL458" s="1038"/>
      <c r="AM458" s="536" t="s">
        <v>116</v>
      </c>
      <c r="AN458" s="903" t="s">
        <v>709</v>
      </c>
      <c r="AO458" s="1536" t="s">
        <v>115</v>
      </c>
      <c r="AP458" s="1537"/>
      <c r="AQ458" s="1537"/>
      <c r="AR458" s="1537"/>
      <c r="AS458" s="888">
        <f>IF(Table15[[#This Row],[PCTS Approved]]="N",0,Table15[[#This Row],[Investment Amount (1'#'#'#'#'#)]]+Table15[[#This Row],[Retirement Amount (3'#'#'#'#'#)]])</f>
        <v>0</v>
      </c>
      <c r="AT458" s="888">
        <f>IF(Table15[[#This Row],[Approved Construction Cost]]=0,0,Table15[[#This Row],[Approved Construction Cost]]-Table15[[#This Row],[Construction Cost to Bill From]])</f>
        <v>0</v>
      </c>
      <c r="AU458" s="888">
        <f>IFERROR(Table15[[#This Row],[Difference in Construction Cost]]*Table15[[#This Row],[Rate]],Table15[[#This Row],[Difference in Construction Cost]]*0.085)</f>
        <v>0</v>
      </c>
      <c r="AV458" s="905"/>
      <c r="AW458" s="1509"/>
      <c r="AX458" s="888"/>
      <c r="AY458" s="636" t="s">
        <v>709</v>
      </c>
      <c r="AZ458" s="333">
        <v>22</v>
      </c>
      <c r="BA458" s="859" t="s">
        <v>1230</v>
      </c>
      <c r="BB458" s="644" t="s">
        <v>1231</v>
      </c>
      <c r="BC458" s="544" t="s">
        <v>709</v>
      </c>
      <c r="BD458" s="544" t="s">
        <v>709</v>
      </c>
      <c r="BE458" s="544" t="s">
        <v>1232</v>
      </c>
      <c r="BF458" s="544" t="s">
        <v>709</v>
      </c>
      <c r="BG458" s="544" t="s">
        <v>709</v>
      </c>
      <c r="BH458" s="741"/>
      <c r="BI458" s="547" t="s">
        <v>709</v>
      </c>
      <c r="BJ458" s="547" t="s">
        <v>709</v>
      </c>
      <c r="BK458" s="547" t="s">
        <v>709</v>
      </c>
      <c r="BL458" s="547" t="s">
        <v>116</v>
      </c>
      <c r="BM458" s="547" t="s">
        <v>709</v>
      </c>
      <c r="BN458" s="547" t="s">
        <v>709</v>
      </c>
      <c r="BO458" s="547" t="s">
        <v>709</v>
      </c>
      <c r="BP458" s="547" t="s">
        <v>709</v>
      </c>
      <c r="BQ458" s="547">
        <v>1299</v>
      </c>
      <c r="BR458" s="547">
        <v>170</v>
      </c>
      <c r="BS458" s="547">
        <v>57</v>
      </c>
      <c r="BT458" s="547" t="s">
        <v>745</v>
      </c>
      <c r="BU458" s="547" t="s">
        <v>709</v>
      </c>
      <c r="BV458" s="547" t="s">
        <v>745</v>
      </c>
      <c r="BW458" s="547" t="s">
        <v>709</v>
      </c>
      <c r="BX458" s="547" t="s">
        <v>745</v>
      </c>
      <c r="BY458" s="547" t="s">
        <v>745</v>
      </c>
      <c r="BZ458" s="547" t="s">
        <v>709</v>
      </c>
      <c r="CA458" s="483"/>
      <c r="CB458" s="547">
        <v>457</v>
      </c>
      <c r="CC458" s="1481" t="b">
        <v>1</v>
      </c>
      <c r="CD458" t="str">
        <f>Table15[[#This Row],[Engineering Number]]&amp;Table15[[#This Row],[WO Number]]&amp;Table15[[#This Row],[Date Assigned to Designer]]&amp;Table15[[#This Row],[Date Completed]]</f>
        <v>BS550-112107604425044524</v>
      </c>
    </row>
    <row r="459" spans="1:82" customFormat="1" ht="15" customHeight="1" x14ac:dyDescent="0.25">
      <c r="A459">
        <v>2021</v>
      </c>
      <c r="B459" s="8" t="s">
        <v>1073</v>
      </c>
      <c r="C459" s="8" t="s">
        <v>3858</v>
      </c>
      <c r="D459" s="8" t="s">
        <v>3859</v>
      </c>
      <c r="E459" s="8" t="s">
        <v>111</v>
      </c>
      <c r="F459" s="8" t="s">
        <v>738</v>
      </c>
      <c r="G459" s="8" t="s">
        <v>1882</v>
      </c>
      <c r="H459" s="8" t="s">
        <v>59</v>
      </c>
      <c r="I459" s="642">
        <v>44488</v>
      </c>
      <c r="J459" s="18">
        <v>44547</v>
      </c>
      <c r="K459" s="97">
        <v>44524</v>
      </c>
      <c r="L459" s="16">
        <f>IF(ISTEXT(Table15[[#This Row],[Engineering Approved Design Date]]),Table15[[#This Row],[Date Completed]]-Table15[[#This Row],[Date Assigned to Designer]],Table15[[#This Row],[Engineering Approved Design Date]]-Table15[[#This Row],[Date Completed]])</f>
        <v>23</v>
      </c>
      <c r="M459" s="642"/>
      <c r="N459" s="642" t="s">
        <v>120</v>
      </c>
      <c r="O459" s="1025">
        <v>44531</v>
      </c>
      <c r="P459" s="21" t="s">
        <v>739</v>
      </c>
      <c r="Q459" s="340">
        <f>R459*AA459</f>
        <v>16524.4002</v>
      </c>
      <c r="R459" s="1026">
        <v>7.0000000000000007E-2</v>
      </c>
      <c r="S459" s="538" t="s">
        <v>709</v>
      </c>
      <c r="T459" s="538" t="s">
        <v>709</v>
      </c>
      <c r="U459" s="87" t="s">
        <v>709</v>
      </c>
      <c r="V459" s="858">
        <v>1107</v>
      </c>
      <c r="W459" s="437"/>
      <c r="X459" s="556">
        <v>236062.86</v>
      </c>
      <c r="Y459" s="550"/>
      <c r="Z459" s="538"/>
      <c r="AA459" s="551">
        <f>X459+Z459</f>
        <v>236062.86</v>
      </c>
      <c r="AB459" s="341"/>
      <c r="AC459" s="568" t="s">
        <v>116</v>
      </c>
      <c r="AD459" s="1157"/>
      <c r="AE459" s="568"/>
      <c r="AF459" s="568"/>
      <c r="AG459" s="568"/>
      <c r="AH459" s="183"/>
      <c r="AI459" s="1036"/>
      <c r="AJ459" s="1037"/>
      <c r="AK459" s="1037"/>
      <c r="AL459" s="1038"/>
      <c r="AM459" s="1522" t="s">
        <v>116</v>
      </c>
      <c r="AN459" s="1523">
        <v>44616</v>
      </c>
      <c r="AO459" s="1524">
        <v>11039497</v>
      </c>
      <c r="AP459" s="1525">
        <v>235416.05</v>
      </c>
      <c r="AQ459" s="1525"/>
      <c r="AR459" s="1525">
        <v>0</v>
      </c>
      <c r="AS459" s="1525">
        <f>IF(Table15[[#This Row],[PCTS Approved]]="N",0,Table15[[#This Row],[Investment Amount (1'#'#'#'#'#)]]+Table15[[#This Row],[Retirement Amount (3'#'#'#'#'#)]])</f>
        <v>235416.05</v>
      </c>
      <c r="AT459" s="1525">
        <f>IF(Table15[[#This Row],[Approved Construction Cost]]=0,0,Table15[[#This Row],[Approved Construction Cost]]-Table15[[#This Row],[Construction Cost to Bill From]])</f>
        <v>-646.80999999999767</v>
      </c>
      <c r="AU459" s="1525">
        <f>IFERROR(Table15[[#This Row],[Difference in Construction Cost]]*Table15[[#This Row],[Rate]],Table15[[#This Row],[Difference in Construction Cost]]*0.085)</f>
        <v>-45.276699999999842</v>
      </c>
      <c r="AV459" s="1525">
        <v>4215</v>
      </c>
      <c r="AW459" s="1526" t="s">
        <v>3860</v>
      </c>
      <c r="AX459" s="1525">
        <v>0</v>
      </c>
      <c r="AY459" s="1518">
        <v>45008</v>
      </c>
      <c r="AZ459" s="333"/>
      <c r="BA459" s="1031" t="s">
        <v>3861</v>
      </c>
      <c r="BB459" s="644" t="s">
        <v>3862</v>
      </c>
      <c r="BC459" s="544" t="s">
        <v>709</v>
      </c>
      <c r="BD459" s="544" t="s">
        <v>709</v>
      </c>
      <c r="BE459" s="544" t="s">
        <v>1114</v>
      </c>
      <c r="BF459" s="544" t="s">
        <v>709</v>
      </c>
      <c r="BG459" s="544" t="s">
        <v>709</v>
      </c>
      <c r="BH459" s="741"/>
      <c r="BI459" s="547" t="s">
        <v>709</v>
      </c>
      <c r="BJ459" s="547" t="s">
        <v>709</v>
      </c>
      <c r="BK459" s="547" t="s">
        <v>709</v>
      </c>
      <c r="BL459" s="547" t="s">
        <v>116</v>
      </c>
      <c r="BM459" s="547" t="s">
        <v>709</v>
      </c>
      <c r="BN459" s="547" t="s">
        <v>709</v>
      </c>
      <c r="BO459" s="547" t="s">
        <v>709</v>
      </c>
      <c r="BP459" s="547">
        <v>78</v>
      </c>
      <c r="BQ459" s="547">
        <v>1029</v>
      </c>
      <c r="BR459" s="547" t="s">
        <v>709</v>
      </c>
      <c r="BS459" s="547" t="s">
        <v>709</v>
      </c>
      <c r="BT459" s="547" t="s">
        <v>709</v>
      </c>
      <c r="BU459" s="547" t="s">
        <v>709</v>
      </c>
      <c r="BV459" s="547" t="s">
        <v>745</v>
      </c>
      <c r="BW459" s="547" t="s">
        <v>709</v>
      </c>
      <c r="BX459" s="547" t="s">
        <v>709</v>
      </c>
      <c r="BY459" s="547" t="s">
        <v>745</v>
      </c>
      <c r="BZ459" s="547" t="s">
        <v>709</v>
      </c>
      <c r="CA459" s="483"/>
      <c r="CB459" s="547">
        <v>456</v>
      </c>
      <c r="CC459" s="1481" t="b">
        <v>1</v>
      </c>
      <c r="CD459" t="str">
        <f>Table15[[#This Row],[Engineering Number]]&amp;Table15[[#This Row],[WO Number]]&amp;Table15[[#This Row],[Date Assigned to Designer]]&amp;Table15[[#This Row],[Date Completed]]</f>
        <v>NBA1000269716107264448844524</v>
      </c>
    </row>
    <row r="460" spans="1:82" customFormat="1" ht="15" customHeight="1" x14ac:dyDescent="0.25">
      <c r="A460">
        <v>2021</v>
      </c>
      <c r="B460" s="8" t="s">
        <v>4</v>
      </c>
      <c r="C460" s="8" t="s">
        <v>3307</v>
      </c>
      <c r="D460" s="8" t="s">
        <v>3308</v>
      </c>
      <c r="E460" s="8" t="s">
        <v>1573</v>
      </c>
      <c r="F460" s="8" t="s">
        <v>919</v>
      </c>
      <c r="G460" s="8" t="s">
        <v>1882</v>
      </c>
      <c r="H460" s="8" t="s">
        <v>3178</v>
      </c>
      <c r="I460" s="642">
        <v>43909</v>
      </c>
      <c r="J460" s="18" t="s">
        <v>2052</v>
      </c>
      <c r="K460" s="97">
        <v>44524</v>
      </c>
      <c r="L460" s="16">
        <f>IF(ISTEXT(Table15[[#This Row],[Engineering Approved Design Date]]),Table15[[#This Row],[Date Completed]]-Table15[[#This Row],[Date Assigned to Designer]],Table15[[#This Row],[Engineering Approved Design Date]]-Table15[[#This Row],[Date Completed]])</f>
        <v>615</v>
      </c>
      <c r="M460" s="642" t="s">
        <v>3865</v>
      </c>
      <c r="N460" s="642" t="s">
        <v>120</v>
      </c>
      <c r="O460" s="1025">
        <v>44531</v>
      </c>
      <c r="P460" s="21" t="s">
        <v>739</v>
      </c>
      <c r="Q460" s="1151">
        <f>U460</f>
        <v>9317.5</v>
      </c>
      <c r="R460" s="1026" t="s">
        <v>1922</v>
      </c>
      <c r="S460" s="538" t="s">
        <v>709</v>
      </c>
      <c r="T460" s="538" t="s">
        <v>709</v>
      </c>
      <c r="U460" s="87">
        <v>9317.5</v>
      </c>
      <c r="V460" s="858">
        <v>2043</v>
      </c>
      <c r="W460" s="437"/>
      <c r="X460" s="538">
        <v>355254.3</v>
      </c>
      <c r="Y460" s="550"/>
      <c r="Z460" s="538">
        <v>111081.34</v>
      </c>
      <c r="AA460" s="538">
        <f>X460+Z460</f>
        <v>466335.64</v>
      </c>
      <c r="AB460" s="21"/>
      <c r="AC460" s="569"/>
      <c r="AD460" s="1149"/>
      <c r="AE460" s="580"/>
      <c r="AF460" s="580"/>
      <c r="AG460" s="580"/>
      <c r="AH460" s="542"/>
      <c r="AI460" s="1028"/>
      <c r="AJ460" s="1029"/>
      <c r="AK460" s="1029"/>
      <c r="AL460" s="1030"/>
      <c r="AM460" s="542" t="s">
        <v>709</v>
      </c>
      <c r="AN460" s="924"/>
      <c r="AO460" s="925"/>
      <c r="AP460" s="926"/>
      <c r="AQ460" s="926"/>
      <c r="AR460" s="926"/>
      <c r="AS460" s="926"/>
      <c r="AT460" s="926"/>
      <c r="AU460" s="926"/>
      <c r="AV460" s="926"/>
      <c r="AW460" s="927"/>
      <c r="AX460" s="926"/>
      <c r="AY460" s="1538" t="s">
        <v>29</v>
      </c>
      <c r="AZ460" s="1530"/>
      <c r="BA460" s="1031">
        <v>12</v>
      </c>
      <c r="BB460" s="644"/>
      <c r="BC460" s="544"/>
      <c r="BD460" s="544"/>
      <c r="BE460" s="544"/>
      <c r="BF460" s="544"/>
      <c r="BG460" s="544"/>
      <c r="BH460" s="741"/>
      <c r="BI460" s="547" t="s">
        <v>709</v>
      </c>
      <c r="BJ460" s="547" t="s">
        <v>709</v>
      </c>
      <c r="BK460" s="547" t="s">
        <v>709</v>
      </c>
      <c r="BL460" s="547" t="s">
        <v>116</v>
      </c>
      <c r="BM460" s="547" t="s">
        <v>709</v>
      </c>
      <c r="BN460" s="547" t="s">
        <v>709</v>
      </c>
      <c r="BO460" s="547" t="s">
        <v>709</v>
      </c>
      <c r="BP460" s="547">
        <v>161</v>
      </c>
      <c r="BQ460" s="547">
        <v>913</v>
      </c>
      <c r="BR460" s="547" t="s">
        <v>709</v>
      </c>
      <c r="BS460" s="547">
        <v>948</v>
      </c>
      <c r="BT460" s="547" t="s">
        <v>745</v>
      </c>
      <c r="BU460" s="547" t="s">
        <v>709</v>
      </c>
      <c r="BV460" s="547" t="s">
        <v>745</v>
      </c>
      <c r="BW460" s="547" t="s">
        <v>709</v>
      </c>
      <c r="BX460" s="547" t="s">
        <v>745</v>
      </c>
      <c r="BY460" s="547" t="s">
        <v>745</v>
      </c>
      <c r="BZ460" s="547" t="s">
        <v>709</v>
      </c>
      <c r="CA460" s="483"/>
      <c r="CB460" s="547">
        <v>458</v>
      </c>
      <c r="CC460" s="1481" t="b">
        <v>1</v>
      </c>
      <c r="CD460" t="str">
        <f>Table15[[#This Row],[Engineering Number]]&amp;Table15[[#This Row],[WO Number]]&amp;Table15[[#This Row],[Date Assigned to Designer]]&amp;Table15[[#This Row],[Date Completed]]</f>
        <v>SC176701408314390944524</v>
      </c>
    </row>
    <row r="461" spans="1:82" customFormat="1" ht="15" customHeight="1" x14ac:dyDescent="0.25">
      <c r="A461">
        <v>2022</v>
      </c>
      <c r="B461" s="8" t="s">
        <v>771</v>
      </c>
      <c r="C461" s="8" t="s">
        <v>3655</v>
      </c>
      <c r="D461" s="8" t="s">
        <v>3656</v>
      </c>
      <c r="E461" s="8" t="s">
        <v>3643</v>
      </c>
      <c r="F461" s="8" t="s">
        <v>919</v>
      </c>
      <c r="G461" s="8" t="s">
        <v>36</v>
      </c>
      <c r="H461" s="8" t="s">
        <v>3178</v>
      </c>
      <c r="I461" s="642">
        <v>44383</v>
      </c>
      <c r="J461" s="18" t="s">
        <v>2052</v>
      </c>
      <c r="K461" s="97">
        <v>44529</v>
      </c>
      <c r="L461" s="16">
        <f>IF(ISTEXT(Table15[[#This Row],[Engineering Approved Design Date]]),Table15[[#This Row],[Date Completed]]-Table15[[#This Row],[Date Assigned to Designer]],Table15[[#This Row],[Engineering Approved Design Date]]-Table15[[#This Row],[Date Completed]])</f>
        <v>146</v>
      </c>
      <c r="M461" s="642" t="s">
        <v>3687</v>
      </c>
      <c r="N461" s="642" t="s">
        <v>120</v>
      </c>
      <c r="O461" s="1025">
        <v>44531</v>
      </c>
      <c r="P461" s="21" t="s">
        <v>120</v>
      </c>
      <c r="Q461" s="1151">
        <f>U461</f>
        <v>4777.5</v>
      </c>
      <c r="R461" s="1026" t="s">
        <v>1922</v>
      </c>
      <c r="S461" s="538" t="s">
        <v>709</v>
      </c>
      <c r="T461" s="538" t="s">
        <v>709</v>
      </c>
      <c r="U461" s="87">
        <v>4777.5</v>
      </c>
      <c r="V461" s="858">
        <v>5723</v>
      </c>
      <c r="W461" s="437"/>
      <c r="X461" s="538">
        <v>915271.6</v>
      </c>
      <c r="Y461" s="550"/>
      <c r="Z461" s="538">
        <v>27408.080000000002</v>
      </c>
      <c r="AA461" s="538">
        <f>X461+Z461</f>
        <v>942679.67999999993</v>
      </c>
      <c r="AB461" s="21"/>
      <c r="AC461" s="569"/>
      <c r="AD461" s="1149"/>
      <c r="AE461" s="569"/>
      <c r="AF461" s="569"/>
      <c r="AG461" s="569"/>
      <c r="AH461" s="536"/>
      <c r="AI461" s="1028"/>
      <c r="AJ461" s="1029"/>
      <c r="AK461" s="1029"/>
      <c r="AL461" s="1030"/>
      <c r="AM461" s="542" t="s">
        <v>709</v>
      </c>
      <c r="AN461" s="924"/>
      <c r="AO461" s="925"/>
      <c r="AP461" s="926"/>
      <c r="AQ461" s="926"/>
      <c r="AR461" s="926"/>
      <c r="AS461" s="926"/>
      <c r="AT461" s="926"/>
      <c r="AU461" s="926"/>
      <c r="AV461" s="926"/>
      <c r="AW461" s="927"/>
      <c r="AX461" s="926"/>
      <c r="AY461" s="1538" t="s">
        <v>29</v>
      </c>
      <c r="AZ461" s="1530"/>
      <c r="BA461" s="1031">
        <v>3</v>
      </c>
      <c r="BB461" s="644"/>
      <c r="BC461" s="544"/>
      <c r="BD461" s="544"/>
      <c r="BE461" s="544"/>
      <c r="BF461" s="544"/>
      <c r="BG461" s="544"/>
      <c r="BH461" s="741"/>
      <c r="BI461" s="547" t="s">
        <v>709</v>
      </c>
      <c r="BJ461" s="547" t="s">
        <v>709</v>
      </c>
      <c r="BK461" s="547" t="s">
        <v>709</v>
      </c>
      <c r="BL461" s="547" t="s">
        <v>116</v>
      </c>
      <c r="BM461" s="547" t="s">
        <v>709</v>
      </c>
      <c r="BN461" s="547" t="s">
        <v>709</v>
      </c>
      <c r="BO461" s="547" t="s">
        <v>709</v>
      </c>
      <c r="BP461" s="547" t="s">
        <v>709</v>
      </c>
      <c r="BQ461" s="547" t="s">
        <v>709</v>
      </c>
      <c r="BR461" s="547">
        <v>1904</v>
      </c>
      <c r="BS461" s="547">
        <v>3819</v>
      </c>
      <c r="BT461" s="547" t="s">
        <v>745</v>
      </c>
      <c r="BU461" s="547" t="s">
        <v>709</v>
      </c>
      <c r="BV461" s="547" t="s">
        <v>745</v>
      </c>
      <c r="BW461" s="547" t="s">
        <v>709</v>
      </c>
      <c r="BX461" s="547" t="s">
        <v>745</v>
      </c>
      <c r="BY461" s="547" t="s">
        <v>745</v>
      </c>
      <c r="BZ461" s="547" t="s">
        <v>709</v>
      </c>
      <c r="CA461" s="483"/>
      <c r="CB461" s="547">
        <v>459</v>
      </c>
      <c r="CC461" s="1481" t="b">
        <v>1</v>
      </c>
      <c r="CD461" t="str">
        <f>Table15[[#This Row],[Engineering Number]]&amp;Table15[[#This Row],[WO Number]]&amp;Table15[[#This Row],[Date Assigned to Designer]]&amp;Table15[[#This Row],[Date Completed]]</f>
        <v>VW12312103904438344529</v>
      </c>
    </row>
    <row r="462" spans="1:82" customFormat="1" ht="15" customHeight="1" x14ac:dyDescent="0.25">
      <c r="A462">
        <v>2022</v>
      </c>
      <c r="B462" s="8" t="s">
        <v>4</v>
      </c>
      <c r="C462" s="8" t="s">
        <v>3870</v>
      </c>
      <c r="D462" s="8" t="s">
        <v>3871</v>
      </c>
      <c r="E462" s="8" t="s">
        <v>232</v>
      </c>
      <c r="F462" s="8" t="s">
        <v>919</v>
      </c>
      <c r="G462" s="8" t="s">
        <v>2814</v>
      </c>
      <c r="H462" s="8" t="s">
        <v>59</v>
      </c>
      <c r="I462" s="642">
        <v>44480</v>
      </c>
      <c r="J462" s="18">
        <v>44568</v>
      </c>
      <c r="K462" s="97">
        <v>44533</v>
      </c>
      <c r="L462" s="16">
        <f>IF(ISTEXT(Table15[[#This Row],[Engineering Approved Design Date]]),Table15[[#This Row],[Date Completed]]-Table15[[#This Row],[Date Assigned to Designer]],Table15[[#This Row],[Engineering Approved Design Date]]-Table15[[#This Row],[Date Completed]])</f>
        <v>35</v>
      </c>
      <c r="M462" s="642"/>
      <c r="N462" s="642" t="s">
        <v>120</v>
      </c>
      <c r="O462" s="1025">
        <f>Table15[[#This Row],[Date Completed]]</f>
        <v>44533</v>
      </c>
      <c r="P462" s="21" t="s">
        <v>739</v>
      </c>
      <c r="Q462" s="340">
        <f>R462*AA462</f>
        <v>20209.191000000003</v>
      </c>
      <c r="R462" s="1026">
        <v>0.1</v>
      </c>
      <c r="S462" s="538" t="s">
        <v>709</v>
      </c>
      <c r="T462" s="538" t="s">
        <v>709</v>
      </c>
      <c r="U462" s="87" t="s">
        <v>709</v>
      </c>
      <c r="V462" s="858">
        <v>1041</v>
      </c>
      <c r="W462" s="437"/>
      <c r="X462" s="556">
        <v>186270.74</v>
      </c>
      <c r="Y462" s="550"/>
      <c r="Z462" s="556">
        <v>15821.17</v>
      </c>
      <c r="AA462" s="538">
        <f>X462+Z462</f>
        <v>202091.91</v>
      </c>
      <c r="AB462" s="341"/>
      <c r="AC462" s="568" t="s">
        <v>709</v>
      </c>
      <c r="AD462" s="1157"/>
      <c r="AE462" s="579"/>
      <c r="AF462" s="579"/>
      <c r="AG462" s="579"/>
      <c r="AH462" s="553"/>
      <c r="AI462" s="1036"/>
      <c r="AJ462" s="1037"/>
      <c r="AK462" s="1037"/>
      <c r="AL462" s="1038"/>
      <c r="AM462" s="1522" t="s">
        <v>116</v>
      </c>
      <c r="AN462" s="1523">
        <v>44642</v>
      </c>
      <c r="AO462" s="1524">
        <v>11040354</v>
      </c>
      <c r="AP462" s="1525">
        <v>187259.08</v>
      </c>
      <c r="AQ462" s="1525"/>
      <c r="AR462" s="1525">
        <v>15860.43</v>
      </c>
      <c r="AS462" s="1525">
        <f>IF(Table15[[#This Row],[PCTS Approved]]="N",0,Table15[[#This Row],[Investment Amount (1'#'#'#'#'#)]]+Table15[[#This Row],[Retirement Amount (3'#'#'#'#'#)]])</f>
        <v>203119.50999999998</v>
      </c>
      <c r="AT462" s="1525">
        <f>IF(Table15[[#This Row],[Approved Construction Cost]]=0,0,Table15[[#This Row],[Approved Construction Cost]]-Table15[[#This Row],[Construction Cost to Bill From]])</f>
        <v>1027.5999999999767</v>
      </c>
      <c r="AU462" s="1525">
        <f>IFERROR(Table15[[#This Row],[Difference in Construction Cost]]*Table15[[#This Row],[Rate]],Table15[[#This Row],[Difference in Construction Cost]]*0.085)</f>
        <v>102.75999999999767</v>
      </c>
      <c r="AV462" s="1525" t="s">
        <v>709</v>
      </c>
      <c r="AW462" s="1526"/>
      <c r="AX462" s="1525">
        <f>Table15[[#This Row],[Reconcile Amount]]</f>
        <v>102.75999999999767</v>
      </c>
      <c r="AY462" s="1518">
        <v>45008</v>
      </c>
      <c r="AZ462" s="333"/>
      <c r="BA462" s="1031" t="s">
        <v>3872</v>
      </c>
      <c r="BB462" s="644" t="s">
        <v>3873</v>
      </c>
      <c r="BC462" s="544" t="s">
        <v>116</v>
      </c>
      <c r="BD462" s="544" t="s">
        <v>709</v>
      </c>
      <c r="BE462" s="544" t="s">
        <v>595</v>
      </c>
      <c r="BF462" s="544" t="s">
        <v>709</v>
      </c>
      <c r="BG462" s="544" t="s">
        <v>709</v>
      </c>
      <c r="BH462" s="741"/>
      <c r="BI462" s="547" t="s">
        <v>709</v>
      </c>
      <c r="BJ462" s="547" t="s">
        <v>709</v>
      </c>
      <c r="BK462" s="547" t="s">
        <v>709</v>
      </c>
      <c r="BL462" s="547" t="s">
        <v>116</v>
      </c>
      <c r="BM462" s="547" t="s">
        <v>709</v>
      </c>
      <c r="BN462" s="547" t="s">
        <v>709</v>
      </c>
      <c r="BO462" s="547" t="s">
        <v>709</v>
      </c>
      <c r="BP462" s="547" t="s">
        <v>709</v>
      </c>
      <c r="BQ462" s="547" t="s">
        <v>709</v>
      </c>
      <c r="BR462" s="547" t="s">
        <v>709</v>
      </c>
      <c r="BS462" s="547">
        <v>1041</v>
      </c>
      <c r="BT462" s="547" t="s">
        <v>745</v>
      </c>
      <c r="BU462" s="547" t="s">
        <v>709</v>
      </c>
      <c r="BV462" s="547" t="s">
        <v>745</v>
      </c>
      <c r="BW462" s="547" t="s">
        <v>709</v>
      </c>
      <c r="BX462" s="547" t="s">
        <v>745</v>
      </c>
      <c r="BY462" s="547" t="s">
        <v>745</v>
      </c>
      <c r="BZ462" s="547" t="s">
        <v>709</v>
      </c>
      <c r="CA462" s="483"/>
      <c r="CB462" s="547">
        <v>461</v>
      </c>
      <c r="CC462" s="1481" t="b">
        <v>1</v>
      </c>
      <c r="CD462" t="str">
        <f>Table15[[#This Row],[Engineering Number]]&amp;Table15[[#This Row],[WO Number]]&amp;Table15[[#This Row],[Date Assigned to Designer]]&amp;Table15[[#This Row],[Date Completed]]</f>
        <v>SC1995014107094448044533</v>
      </c>
    </row>
    <row r="463" spans="1:82" customFormat="1" ht="15" customHeight="1" x14ac:dyDescent="0.25">
      <c r="A463">
        <v>2021</v>
      </c>
      <c r="B463" s="8" t="s">
        <v>1073</v>
      </c>
      <c r="C463" s="8" t="s">
        <v>3764</v>
      </c>
      <c r="D463" s="8" t="s">
        <v>3765</v>
      </c>
      <c r="E463" s="8" t="s">
        <v>118</v>
      </c>
      <c r="F463" s="8" t="s">
        <v>738</v>
      </c>
      <c r="G463" s="8" t="s">
        <v>22</v>
      </c>
      <c r="H463" s="8" t="s">
        <v>3178</v>
      </c>
      <c r="I463" s="642">
        <v>44529</v>
      </c>
      <c r="J463" s="18" t="s">
        <v>2052</v>
      </c>
      <c r="K463" s="97">
        <v>44533</v>
      </c>
      <c r="L463" s="16">
        <f>IF(ISTEXT(Table15[[#This Row],[Engineering Approved Design Date]]),Table15[[#This Row],[Date Completed]]-Table15[[#This Row],[Date Assigned to Designer]],Table15[[#This Row],[Engineering Approved Design Date]]-Table15[[#This Row],[Date Completed]])</f>
        <v>4</v>
      </c>
      <c r="M463" s="642" t="s">
        <v>3868</v>
      </c>
      <c r="N463" s="642" t="s">
        <v>120</v>
      </c>
      <c r="O463" s="1025">
        <f>Table15[[#This Row],[Date Completed]]</f>
        <v>44533</v>
      </c>
      <c r="P463" s="21" t="s">
        <v>739</v>
      </c>
      <c r="Q463" s="1151">
        <f>U463</f>
        <v>1462.5</v>
      </c>
      <c r="R463" s="1026" t="s">
        <v>1922</v>
      </c>
      <c r="S463" s="538" t="s">
        <v>709</v>
      </c>
      <c r="T463" s="538" t="s">
        <v>709</v>
      </c>
      <c r="U463" s="87">
        <v>1462.5</v>
      </c>
      <c r="V463" s="858"/>
      <c r="W463" s="437"/>
      <c r="X463" s="538"/>
      <c r="Y463" s="550"/>
      <c r="Z463" s="538"/>
      <c r="AA463" s="538"/>
      <c r="AB463" s="21"/>
      <c r="AC463" s="569" t="s">
        <v>709</v>
      </c>
      <c r="AD463" s="1149"/>
      <c r="AE463" s="569"/>
      <c r="AF463" s="569"/>
      <c r="AG463" s="569"/>
      <c r="AH463" s="536"/>
      <c r="AI463" s="1028"/>
      <c r="AJ463" s="1029"/>
      <c r="AK463" s="1029"/>
      <c r="AL463" s="1030"/>
      <c r="AM463" s="542" t="s">
        <v>709</v>
      </c>
      <c r="AN463" s="924"/>
      <c r="AO463" s="925"/>
      <c r="AP463" s="926"/>
      <c r="AQ463" s="926"/>
      <c r="AR463" s="926"/>
      <c r="AS463" s="926"/>
      <c r="AT463" s="926"/>
      <c r="AU463" s="926"/>
      <c r="AV463" s="926"/>
      <c r="AW463" s="927"/>
      <c r="AX463" s="926"/>
      <c r="AY463" s="1538" t="s">
        <v>29</v>
      </c>
      <c r="AZ463" s="1530"/>
      <c r="BA463" s="1031">
        <v>9</v>
      </c>
      <c r="BB463" s="644"/>
      <c r="BC463" s="544"/>
      <c r="BD463" s="544"/>
      <c r="BE463" s="544"/>
      <c r="BF463" s="544"/>
      <c r="BG463" s="544"/>
      <c r="BH463" s="741"/>
      <c r="BI463" s="547" t="s">
        <v>709</v>
      </c>
      <c r="BJ463" s="547" t="s">
        <v>709</v>
      </c>
      <c r="BK463" s="547" t="s">
        <v>709</v>
      </c>
      <c r="BL463" s="547" t="s">
        <v>116</v>
      </c>
      <c r="BM463" s="547" t="s">
        <v>709</v>
      </c>
      <c r="BN463" s="547" t="s">
        <v>709</v>
      </c>
      <c r="BO463" s="547" t="s">
        <v>709</v>
      </c>
      <c r="BP463" s="547" t="s">
        <v>709</v>
      </c>
      <c r="BQ463" s="547">
        <v>89</v>
      </c>
      <c r="BR463" s="547">
        <v>4569</v>
      </c>
      <c r="BS463" s="547" t="s">
        <v>709</v>
      </c>
      <c r="BT463" s="547" t="s">
        <v>745</v>
      </c>
      <c r="BU463" s="547" t="s">
        <v>709</v>
      </c>
      <c r="BV463" s="547" t="s">
        <v>745</v>
      </c>
      <c r="BW463" s="547" t="s">
        <v>709</v>
      </c>
      <c r="BX463" s="547" t="s">
        <v>709</v>
      </c>
      <c r="BY463" s="547" t="s">
        <v>745</v>
      </c>
      <c r="BZ463" s="547" t="s">
        <v>709</v>
      </c>
      <c r="CA463" s="483"/>
      <c r="CB463" s="547">
        <v>460</v>
      </c>
      <c r="CC463" s="1481" t="b">
        <v>1</v>
      </c>
      <c r="CD463" t="str">
        <f>Table15[[#This Row],[Engineering Number]]&amp;Table15[[#This Row],[WO Number]]&amp;Table15[[#This Row],[Date Assigned to Designer]]&amp;Table15[[#This Row],[Date Completed]]</f>
        <v>NBA1000105616105814452944533</v>
      </c>
    </row>
    <row r="464" spans="1:82" customFormat="1" ht="15" customHeight="1" x14ac:dyDescent="0.25">
      <c r="A464">
        <v>2022</v>
      </c>
      <c r="B464" s="8" t="s">
        <v>771</v>
      </c>
      <c r="C464" s="8" t="s">
        <v>3702</v>
      </c>
      <c r="D464" s="8">
        <v>1410398</v>
      </c>
      <c r="E464" s="8" t="s">
        <v>141</v>
      </c>
      <c r="F464" s="8" t="s">
        <v>919</v>
      </c>
      <c r="G464" s="8" t="s">
        <v>1882</v>
      </c>
      <c r="H464" s="8" t="s">
        <v>3178</v>
      </c>
      <c r="I464" s="642">
        <v>44482</v>
      </c>
      <c r="J464" s="18" t="s">
        <v>2052</v>
      </c>
      <c r="K464" s="97">
        <v>44537</v>
      </c>
      <c r="L464" s="16">
        <f>IF(ISTEXT(Table15[[#This Row],[Engineering Approved Design Date]]),Table15[[#This Row],[Date Completed]]-Table15[[#This Row],[Date Assigned to Designer]],Table15[[#This Row],[Engineering Approved Design Date]]-Table15[[#This Row],[Date Completed]])</f>
        <v>55</v>
      </c>
      <c r="M464" s="642" t="s">
        <v>3875</v>
      </c>
      <c r="N464" s="642" t="s">
        <v>120</v>
      </c>
      <c r="O464" s="1025">
        <f>Table15[[#This Row],[Date Completed]]</f>
        <v>44537</v>
      </c>
      <c r="P464" s="21" t="s">
        <v>120</v>
      </c>
      <c r="Q464" s="1151">
        <f>U464</f>
        <v>13267.5</v>
      </c>
      <c r="R464" s="1026" t="s">
        <v>1922</v>
      </c>
      <c r="S464" s="538" t="s">
        <v>709</v>
      </c>
      <c r="T464" s="538" t="s">
        <v>709</v>
      </c>
      <c r="U464" s="87">
        <v>13267.5</v>
      </c>
      <c r="V464" s="858"/>
      <c r="W464" s="437"/>
      <c r="X464" s="538"/>
      <c r="Y464" s="550"/>
      <c r="Z464" s="538"/>
      <c r="AA464" s="538"/>
      <c r="AB464" s="21"/>
      <c r="AC464" s="569"/>
      <c r="AD464" s="1149"/>
      <c r="AE464" s="569"/>
      <c r="AF464" s="569"/>
      <c r="AG464" s="569"/>
      <c r="AH464" s="536"/>
      <c r="AI464" s="1028"/>
      <c r="AJ464" s="1029"/>
      <c r="AK464" s="1029"/>
      <c r="AL464" s="1030"/>
      <c r="AM464" s="542" t="s">
        <v>709</v>
      </c>
      <c r="AN464" s="924"/>
      <c r="AO464" s="925"/>
      <c r="AP464" s="926"/>
      <c r="AQ464" s="926"/>
      <c r="AR464" s="926"/>
      <c r="AS464" s="926"/>
      <c r="AT464" s="926"/>
      <c r="AU464" s="926"/>
      <c r="AV464" s="926"/>
      <c r="AW464" s="927"/>
      <c r="AX464" s="926"/>
      <c r="AY464" s="1538" t="s">
        <v>29</v>
      </c>
      <c r="AZ464" s="1530"/>
      <c r="BA464" s="1031">
        <v>4</v>
      </c>
      <c r="BB464" s="644"/>
      <c r="BC464" s="544"/>
      <c r="BD464" s="544"/>
      <c r="BE464" s="544"/>
      <c r="BF464" s="544"/>
      <c r="BG464" s="544"/>
      <c r="BH464" s="741"/>
      <c r="BI464" s="547" t="s">
        <v>709</v>
      </c>
      <c r="BJ464" s="547" t="s">
        <v>709</v>
      </c>
      <c r="BK464" s="547" t="s">
        <v>709</v>
      </c>
      <c r="BL464" s="547" t="s">
        <v>116</v>
      </c>
      <c r="BM464" s="547" t="s">
        <v>709</v>
      </c>
      <c r="BN464" s="547" t="s">
        <v>709</v>
      </c>
      <c r="BO464" s="547" t="s">
        <v>709</v>
      </c>
      <c r="BP464" s="547" t="s">
        <v>709</v>
      </c>
      <c r="BQ464" s="547" t="s">
        <v>709</v>
      </c>
      <c r="BR464" s="547">
        <v>6208</v>
      </c>
      <c r="BS464" s="547">
        <v>22736</v>
      </c>
      <c r="BT464" s="547" t="s">
        <v>709</v>
      </c>
      <c r="BU464" s="547" t="s">
        <v>709</v>
      </c>
      <c r="BV464" s="547" t="s">
        <v>745</v>
      </c>
      <c r="BW464" s="547" t="s">
        <v>709</v>
      </c>
      <c r="BX464" s="547" t="s">
        <v>709</v>
      </c>
      <c r="BY464" s="547" t="s">
        <v>745</v>
      </c>
      <c r="BZ464" s="547" t="s">
        <v>709</v>
      </c>
      <c r="CA464" s="483"/>
      <c r="CB464" s="547">
        <v>462</v>
      </c>
      <c r="CC464" s="1481" t="b">
        <v>1</v>
      </c>
      <c r="CD464" t="str">
        <f>Table15[[#This Row],[Engineering Number]]&amp;Table15[[#This Row],[WO Number]]&amp;Table15[[#This Row],[Date Assigned to Designer]]&amp;Table15[[#This Row],[Date Completed]]</f>
        <v>BS10714103984448244537</v>
      </c>
    </row>
    <row r="465" spans="1:82" customFormat="1" ht="15" customHeight="1" x14ac:dyDescent="0.25">
      <c r="A465">
        <v>2023</v>
      </c>
      <c r="B465" s="8" t="s">
        <v>4</v>
      </c>
      <c r="C465" s="8" t="s">
        <v>1233</v>
      </c>
      <c r="D465" s="8" t="s">
        <v>1234</v>
      </c>
      <c r="E465" s="8" t="s">
        <v>1101</v>
      </c>
      <c r="F465" s="8" t="s">
        <v>919</v>
      </c>
      <c r="G465" s="8" t="s">
        <v>2814</v>
      </c>
      <c r="H465" s="8" t="s">
        <v>59</v>
      </c>
      <c r="I465" s="642">
        <v>44188</v>
      </c>
      <c r="J465" s="18">
        <v>44610</v>
      </c>
      <c r="K465" s="97">
        <v>44539</v>
      </c>
      <c r="L465" s="16">
        <f>IF(ISTEXT(Table15[[#This Row],[Engineering Approved Design Date]]),Table15[[#This Row],[Date Completed]]-Table15[[#This Row],[Date Assigned to Designer]],Table15[[#This Row],[Engineering Approved Design Date]]-Table15[[#This Row],[Date Completed]])</f>
        <v>71</v>
      </c>
      <c r="M465" s="642"/>
      <c r="N465" s="642" t="s">
        <v>120</v>
      </c>
      <c r="O465" s="1025">
        <f>Table15[[#This Row],[Date Completed]]</f>
        <v>44539</v>
      </c>
      <c r="P465" s="21" t="s">
        <v>739</v>
      </c>
      <c r="Q465" s="340">
        <f>R465*AA465</f>
        <v>179188.223</v>
      </c>
      <c r="R465" s="1026">
        <v>0.1</v>
      </c>
      <c r="S465" s="538" t="s">
        <v>709</v>
      </c>
      <c r="T465" s="538" t="s">
        <v>709</v>
      </c>
      <c r="U465" s="87" t="s">
        <v>709</v>
      </c>
      <c r="V465" s="858">
        <v>5487</v>
      </c>
      <c r="W465" s="437"/>
      <c r="X465" s="556">
        <v>1669599.84</v>
      </c>
      <c r="Y465" s="550"/>
      <c r="Z465" s="556">
        <v>122282.39</v>
      </c>
      <c r="AA465" s="538">
        <f>X465+Z465</f>
        <v>1791882.23</v>
      </c>
      <c r="AB465" s="341"/>
      <c r="AC465" s="568" t="s">
        <v>116</v>
      </c>
      <c r="AD465" s="1157"/>
      <c r="AE465" s="579"/>
      <c r="AF465" s="579"/>
      <c r="AG465" s="579"/>
      <c r="AH465" s="553"/>
      <c r="AI465" s="1036"/>
      <c r="AJ465" s="1037"/>
      <c r="AK465" s="1037"/>
      <c r="AL465" s="1038"/>
      <c r="AM465" s="1522" t="s">
        <v>116</v>
      </c>
      <c r="AN465" s="1523">
        <v>45547</v>
      </c>
      <c r="AO465" s="1524">
        <v>11033224</v>
      </c>
      <c r="AP465" s="1525">
        <v>1812529.87</v>
      </c>
      <c r="AQ465" s="1525"/>
      <c r="AR465" s="1525">
        <v>140109.29</v>
      </c>
      <c r="AS465" s="1525">
        <f>IF(Table15[[#This Row],[PCTS Approved]]="N",0,Table15[[#This Row],[Investment Amount (1'#'#'#'#'#)]]+Table15[[#This Row],[Retirement Amount (3'#'#'#'#'#)]])</f>
        <v>1952639.1600000001</v>
      </c>
      <c r="AT465" s="1525">
        <f>IF(Table15[[#This Row],[Approved Construction Cost]]=0,0,Table15[[#This Row],[Approved Construction Cost]]-Table15[[#This Row],[Construction Cost to Bill From]])</f>
        <v>160756.93000000017</v>
      </c>
      <c r="AU465" s="1525">
        <f>IFERROR(Table15[[#This Row],[Difference in Construction Cost]]*Table15[[#This Row],[Rate]],Table15[[#This Row],[Difference in Construction Cost]]*0.085)</f>
        <v>16075.693000000017</v>
      </c>
      <c r="AV465" s="1525">
        <v>42779.5</v>
      </c>
      <c r="AW465" s="1526" t="s">
        <v>3877</v>
      </c>
      <c r="AX465" s="1525">
        <v>0</v>
      </c>
      <c r="AY465" s="1518">
        <v>45901</v>
      </c>
      <c r="AZ465" s="333">
        <v>64</v>
      </c>
      <c r="BA465" s="859" t="s">
        <v>1235</v>
      </c>
      <c r="BB465" s="644" t="s">
        <v>1236</v>
      </c>
      <c r="BC465" s="1243" t="s">
        <v>116</v>
      </c>
      <c r="BD465" s="1242" t="s">
        <v>882</v>
      </c>
      <c r="BE465" s="1242" t="s">
        <v>1106</v>
      </c>
      <c r="BF465" s="1242" t="s">
        <v>709</v>
      </c>
      <c r="BG465" s="1242" t="s">
        <v>709</v>
      </c>
      <c r="BH465" s="741"/>
      <c r="BI465" s="547" t="s">
        <v>709</v>
      </c>
      <c r="BJ465" s="547" t="s">
        <v>709</v>
      </c>
      <c r="BK465" s="547" t="s">
        <v>709</v>
      </c>
      <c r="BL465" s="547" t="s">
        <v>116</v>
      </c>
      <c r="BM465" s="547" t="s">
        <v>709</v>
      </c>
      <c r="BN465" s="547" t="s">
        <v>709</v>
      </c>
      <c r="BO465" s="547" t="s">
        <v>709</v>
      </c>
      <c r="BP465" s="547">
        <v>1747</v>
      </c>
      <c r="BQ465" s="547">
        <v>498</v>
      </c>
      <c r="BR465" s="547">
        <v>1564</v>
      </c>
      <c r="BS465" s="547">
        <v>1588</v>
      </c>
      <c r="BT465" s="547">
        <v>1</v>
      </c>
      <c r="BU465" s="547" t="s">
        <v>709</v>
      </c>
      <c r="BV465" s="547" t="s">
        <v>745</v>
      </c>
      <c r="BW465" s="547" t="s">
        <v>709</v>
      </c>
      <c r="BX465" s="547">
        <v>1</v>
      </c>
      <c r="BY465" s="547" t="s">
        <v>745</v>
      </c>
      <c r="BZ465" s="547" t="s">
        <v>709</v>
      </c>
      <c r="CA465" s="483" t="s">
        <v>1237</v>
      </c>
      <c r="CB465" s="547">
        <v>463</v>
      </c>
      <c r="CC465" s="1481" t="b">
        <v>1</v>
      </c>
      <c r="CD465" t="str">
        <f>Table15[[#This Row],[Engineering Number]]&amp;Table15[[#This Row],[WO Number]]&amp;Table15[[#This Row],[Date Assigned to Designer]]&amp;Table15[[#This Row],[Date Completed]]</f>
        <v>M109051205854418844539</v>
      </c>
    </row>
    <row r="466" spans="1:82" customFormat="1" ht="15" customHeight="1" x14ac:dyDescent="0.25">
      <c r="A466">
        <v>2020</v>
      </c>
      <c r="B466" s="8" t="s">
        <v>2</v>
      </c>
      <c r="C466" s="8" t="s">
        <v>96</v>
      </c>
      <c r="D466" s="8">
        <v>102116</v>
      </c>
      <c r="E466" s="8" t="s">
        <v>97</v>
      </c>
      <c r="F466" s="8" t="s">
        <v>1111</v>
      </c>
      <c r="G466" s="8" t="s">
        <v>40</v>
      </c>
      <c r="H466" s="8" t="s">
        <v>3178</v>
      </c>
      <c r="I466" s="642">
        <v>44536</v>
      </c>
      <c r="J466" s="18" t="s">
        <v>2052</v>
      </c>
      <c r="K466" s="97">
        <v>44540</v>
      </c>
      <c r="L466" s="16">
        <f>IF(ISTEXT(Table15[[#This Row],[Engineering Approved Design Date]]),Table15[[#This Row],[Date Completed]]-Table15[[#This Row],[Date Assigned to Designer]],Table15[[#This Row],[Engineering Approved Design Date]]-Table15[[#This Row],[Date Completed]])</f>
        <v>4</v>
      </c>
      <c r="M466" s="642" t="s">
        <v>3058</v>
      </c>
      <c r="N466" s="642" t="s">
        <v>120</v>
      </c>
      <c r="O466" s="1025">
        <f>Table15[[#This Row],[Date Completed]]</f>
        <v>44540</v>
      </c>
      <c r="P466" s="21" t="s">
        <v>739</v>
      </c>
      <c r="Q466" s="1151">
        <f>U466</f>
        <v>5425</v>
      </c>
      <c r="R466" s="1026" t="s">
        <v>1922</v>
      </c>
      <c r="S466" s="538" t="s">
        <v>709</v>
      </c>
      <c r="T466" s="538" t="s">
        <v>709</v>
      </c>
      <c r="U466" s="87">
        <v>5425</v>
      </c>
      <c r="V466" s="858"/>
      <c r="W466" s="437"/>
      <c r="X466" s="538"/>
      <c r="Y466" s="550"/>
      <c r="Z466" s="538"/>
      <c r="AA466" s="538"/>
      <c r="AB466" s="21"/>
      <c r="AC466" s="569" t="s">
        <v>1441</v>
      </c>
      <c r="AD466" s="1149"/>
      <c r="AE466" s="580"/>
      <c r="AF466" s="580"/>
      <c r="AG466" s="580"/>
      <c r="AH466" s="542"/>
      <c r="AI466" s="1028"/>
      <c r="AJ466" s="1029"/>
      <c r="AK466" s="1029"/>
      <c r="AL466" s="1030"/>
      <c r="AM466" s="542" t="s">
        <v>709</v>
      </c>
      <c r="AN466" s="924"/>
      <c r="AO466" s="925"/>
      <c r="AP466" s="926"/>
      <c r="AQ466" s="926"/>
      <c r="AR466" s="926"/>
      <c r="AS466" s="926"/>
      <c r="AT466" s="926"/>
      <c r="AU466" s="926"/>
      <c r="AV466" s="926"/>
      <c r="AW466" s="927"/>
      <c r="AX466" s="926"/>
      <c r="AY466" s="1538" t="s">
        <v>29</v>
      </c>
      <c r="AZ466" s="1530"/>
      <c r="BA466" s="1031">
        <v>4</v>
      </c>
      <c r="BB466" s="644"/>
      <c r="BC466" s="544"/>
      <c r="BD466" s="544"/>
      <c r="BE466" s="544"/>
      <c r="BF466" s="544"/>
      <c r="BG466" s="544"/>
      <c r="BH466" s="741"/>
      <c r="BI466" s="547" t="s">
        <v>709</v>
      </c>
      <c r="BJ466" s="547" t="s">
        <v>709</v>
      </c>
      <c r="BK466" s="547" t="s">
        <v>116</v>
      </c>
      <c r="BL466" s="547" t="s">
        <v>116</v>
      </c>
      <c r="BM466" s="547" t="s">
        <v>709</v>
      </c>
      <c r="BN466" s="547" t="s">
        <v>709</v>
      </c>
      <c r="BO466" s="547" t="s">
        <v>709</v>
      </c>
      <c r="BP466" s="547" t="s">
        <v>709</v>
      </c>
      <c r="BQ466" s="547" t="s">
        <v>709</v>
      </c>
      <c r="BR466" s="547" t="s">
        <v>709</v>
      </c>
      <c r="BS466" s="547">
        <v>178</v>
      </c>
      <c r="BT466" s="547" t="s">
        <v>709</v>
      </c>
      <c r="BU466" s="547">
        <v>1</v>
      </c>
      <c r="BV466" s="547" t="s">
        <v>709</v>
      </c>
      <c r="BW466" s="547">
        <v>1</v>
      </c>
      <c r="BX466" s="547">
        <v>1</v>
      </c>
      <c r="BY466" s="547" t="s">
        <v>709</v>
      </c>
      <c r="BZ466" s="547" t="s">
        <v>709</v>
      </c>
      <c r="CA466" s="483" t="s">
        <v>2680</v>
      </c>
      <c r="CB466" s="547">
        <v>464</v>
      </c>
      <c r="CC466" s="1481" t="b">
        <v>1</v>
      </c>
      <c r="CD466" t="str">
        <f>Table15[[#This Row],[Engineering Number]]&amp;Table15[[#This Row],[WO Number]]&amp;Table15[[#This Row],[Date Assigned to Designer]]&amp;Table15[[#This Row],[Date Completed]]</f>
        <v>RS6421021164453644540</v>
      </c>
    </row>
    <row r="467" spans="1:82" customFormat="1" ht="15" customHeight="1" x14ac:dyDescent="0.25">
      <c r="A467">
        <v>2022</v>
      </c>
      <c r="B467" s="8" t="s">
        <v>730</v>
      </c>
      <c r="C467" s="8" t="s">
        <v>3886</v>
      </c>
      <c r="D467" s="8" t="s">
        <v>3887</v>
      </c>
      <c r="E467" s="8" t="s">
        <v>3888</v>
      </c>
      <c r="F467" s="8" t="s">
        <v>747</v>
      </c>
      <c r="G467" s="8" t="s">
        <v>347</v>
      </c>
      <c r="H467" s="8" t="s">
        <v>59</v>
      </c>
      <c r="I467" s="642">
        <v>44418</v>
      </c>
      <c r="J467" s="18">
        <v>44553</v>
      </c>
      <c r="K467" s="97">
        <v>44543</v>
      </c>
      <c r="L467" s="16">
        <f>IF(ISTEXT(Table15[[#This Row],[Engineering Approved Design Date]]),Table15[[#This Row],[Date Completed]]-Table15[[#This Row],[Date Assigned to Designer]],Table15[[#This Row],[Engineering Approved Design Date]]-Table15[[#This Row],[Date Completed]])</f>
        <v>10</v>
      </c>
      <c r="M467" s="642"/>
      <c r="N467" s="642" t="s">
        <v>120</v>
      </c>
      <c r="O467" s="1025">
        <f>Table15[[#This Row],[Date Completed]]</f>
        <v>44543</v>
      </c>
      <c r="P467" s="21" t="s">
        <v>120</v>
      </c>
      <c r="Q467" s="1151">
        <f>(Table15[[#This Row],[Construction Cost to Bill From]]*0.085)+5250</f>
        <v>18297.39545</v>
      </c>
      <c r="R467" s="1026" t="s">
        <v>794</v>
      </c>
      <c r="S467" s="538" t="s">
        <v>709</v>
      </c>
      <c r="T467" s="538" t="s">
        <v>709</v>
      </c>
      <c r="U467" s="87" t="s">
        <v>709</v>
      </c>
      <c r="V467" s="858"/>
      <c r="W467" s="437"/>
      <c r="X467" s="556">
        <v>118355.03</v>
      </c>
      <c r="Y467" s="550"/>
      <c r="Z467" s="556">
        <v>35143.74</v>
      </c>
      <c r="AA467" s="538">
        <f>Table15[[#This Row],[PCTS Investment Amount]]+Table15[[#This Row],[PCTS Retirement Amount]]</f>
        <v>153498.76999999999</v>
      </c>
      <c r="AB467" s="341"/>
      <c r="AC467" s="568" t="s">
        <v>1177</v>
      </c>
      <c r="AD467" s="1157"/>
      <c r="AE467" s="579"/>
      <c r="AF467" s="579"/>
      <c r="AG467" s="579"/>
      <c r="AH467" s="553"/>
      <c r="AI467" s="1036"/>
      <c r="AJ467" s="1037"/>
      <c r="AK467" s="1037"/>
      <c r="AL467" s="1038"/>
      <c r="AM467" s="1522" t="s">
        <v>116</v>
      </c>
      <c r="AN467" s="1523">
        <v>44867</v>
      </c>
      <c r="AO467" s="1524">
        <v>11038496</v>
      </c>
      <c r="AP467" s="1525">
        <v>121040.99</v>
      </c>
      <c r="AQ467" s="1525"/>
      <c r="AR467" s="1525">
        <v>36538.410000000003</v>
      </c>
      <c r="AS467" s="1525">
        <f>IF(Table15[[#This Row],[PCTS Approved]]="N",0,Table15[[#This Row],[Investment Amount (1'#'#'#'#'#)]]+Table15[[#This Row],[Retirement Amount (3'#'#'#'#'#)]])</f>
        <v>157579.40000000002</v>
      </c>
      <c r="AT467" s="1525">
        <f>IF(Table15[[#This Row],[Approved Construction Cost]]=0,0,Table15[[#This Row],[Approved Construction Cost]]-Table15[[#This Row],[Construction Cost to Bill From]])</f>
        <v>4080.6300000000338</v>
      </c>
      <c r="AU467" s="1525">
        <f>IFERROR(Table15[[#This Row],[Difference in Construction Cost]]*Table15[[#This Row],[Rate]],Table15[[#This Row],[Difference in Construction Cost]]*0.085)</f>
        <v>346.85355000000288</v>
      </c>
      <c r="AV467" s="1525" t="s">
        <v>709</v>
      </c>
      <c r="AW467" s="1526"/>
      <c r="AX467" s="1525">
        <f>Table15[[#This Row],[Reconcile Amount]]</f>
        <v>346.85355000000288</v>
      </c>
      <c r="AY467" s="1518">
        <v>45008</v>
      </c>
      <c r="AZ467" s="333"/>
      <c r="BA467" s="1031" t="s">
        <v>3889</v>
      </c>
      <c r="BB467" s="644" t="s">
        <v>3890</v>
      </c>
      <c r="BC467" s="544" t="s">
        <v>709</v>
      </c>
      <c r="BD467" s="544" t="s">
        <v>709</v>
      </c>
      <c r="BE467" s="544" t="s">
        <v>709</v>
      </c>
      <c r="BF467" s="544" t="s">
        <v>3891</v>
      </c>
      <c r="BG467" s="544" t="s">
        <v>709</v>
      </c>
      <c r="BH467" s="741"/>
      <c r="BI467" s="547" t="s">
        <v>709</v>
      </c>
      <c r="BJ467" s="547" t="s">
        <v>116</v>
      </c>
      <c r="BK467" s="547" t="s">
        <v>709</v>
      </c>
      <c r="BL467" s="547" t="s">
        <v>116</v>
      </c>
      <c r="BM467" s="547" t="s">
        <v>709</v>
      </c>
      <c r="BN467" s="547" t="s">
        <v>709</v>
      </c>
      <c r="BO467" s="547" t="s">
        <v>709</v>
      </c>
      <c r="BP467" s="547" t="s">
        <v>709</v>
      </c>
      <c r="BQ467" s="547" t="s">
        <v>709</v>
      </c>
      <c r="BR467" s="547" t="s">
        <v>709</v>
      </c>
      <c r="BS467" s="547">
        <v>116</v>
      </c>
      <c r="BT467" s="547" t="s">
        <v>745</v>
      </c>
      <c r="BU467" s="547">
        <v>1</v>
      </c>
      <c r="BV467" s="547" t="s">
        <v>745</v>
      </c>
      <c r="BW467" s="547" t="s">
        <v>709</v>
      </c>
      <c r="BX467" s="547">
        <v>1</v>
      </c>
      <c r="BY467" s="547" t="s">
        <v>745</v>
      </c>
      <c r="BZ467" s="547" t="s">
        <v>709</v>
      </c>
      <c r="CA467" s="483" t="s">
        <v>730</v>
      </c>
      <c r="CB467" s="547">
        <v>466</v>
      </c>
      <c r="CC467" s="1481" t="b">
        <v>1</v>
      </c>
      <c r="CD467" t="str">
        <f>Table15[[#This Row],[Engineering Number]]&amp;Table15[[#This Row],[WO Number]]&amp;Table15[[#This Row],[Date Assigned to Designer]]&amp;Table15[[#This Row],[Date Completed]]</f>
        <v>RS89010105054441844543</v>
      </c>
    </row>
    <row r="468" spans="1:82" customFormat="1" ht="15" customHeight="1" x14ac:dyDescent="0.25">
      <c r="A468">
        <v>2022</v>
      </c>
      <c r="B468" s="8" t="s">
        <v>771</v>
      </c>
      <c r="C468" s="8" t="s">
        <v>3880</v>
      </c>
      <c r="D468" s="8" t="s">
        <v>3881</v>
      </c>
      <c r="E468" s="8" t="s">
        <v>3882</v>
      </c>
      <c r="F468" s="8" t="s">
        <v>919</v>
      </c>
      <c r="G468" s="8" t="s">
        <v>36</v>
      </c>
      <c r="H468" s="8" t="s">
        <v>59</v>
      </c>
      <c r="I468" s="642">
        <v>44440</v>
      </c>
      <c r="J468" s="18">
        <v>44550</v>
      </c>
      <c r="K468" s="97">
        <v>44543</v>
      </c>
      <c r="L468" s="16">
        <f>IF(ISTEXT(Table15[[#This Row],[Engineering Approved Design Date]]),Table15[[#This Row],[Date Completed]]-Table15[[#This Row],[Date Assigned to Designer]],Table15[[#This Row],[Engineering Approved Design Date]]-Table15[[#This Row],[Date Completed]])</f>
        <v>7</v>
      </c>
      <c r="M468" s="642"/>
      <c r="N468" s="642" t="s">
        <v>120</v>
      </c>
      <c r="O468" s="1025">
        <f>Table15[[#This Row],[Date Completed]]</f>
        <v>44543</v>
      </c>
      <c r="P468" s="21" t="s">
        <v>120</v>
      </c>
      <c r="Q468" s="1151">
        <f>1.55*Table15[[#This Row],[LF of Main]]</f>
        <v>25979.55</v>
      </c>
      <c r="R468" s="1026" t="s">
        <v>2087</v>
      </c>
      <c r="S468" s="538" t="s">
        <v>709</v>
      </c>
      <c r="T468" s="538" t="s">
        <v>709</v>
      </c>
      <c r="U468" s="28" t="s">
        <v>709</v>
      </c>
      <c r="V468" s="1184">
        <v>16761</v>
      </c>
      <c r="W468" s="1186"/>
      <c r="X468" s="538">
        <v>2211980.91</v>
      </c>
      <c r="Y468" s="550"/>
      <c r="Z468" s="538">
        <v>61962.66</v>
      </c>
      <c r="AA468" s="538">
        <f>Table15[[#This Row],[PCTS Investment Amount]]+Table15[[#This Row],[PCTS Retirement Amount]]</f>
        <v>2273943.5700000003</v>
      </c>
      <c r="AB468" s="341"/>
      <c r="AC468" s="568" t="s">
        <v>709</v>
      </c>
      <c r="AD468" s="1157"/>
      <c r="AE468" s="568"/>
      <c r="AF468" s="568"/>
      <c r="AG468" s="568"/>
      <c r="AH468" s="183"/>
      <c r="AI468" s="1036"/>
      <c r="AJ468" s="1037"/>
      <c r="AK468" s="1037"/>
      <c r="AL468" s="1038"/>
      <c r="AM468" s="542" t="s">
        <v>709</v>
      </c>
      <c r="AN468" s="924"/>
      <c r="AO468" s="925"/>
      <c r="AP468" s="926"/>
      <c r="AQ468" s="926"/>
      <c r="AR468" s="926"/>
      <c r="AS468" s="926"/>
      <c r="AT468" s="926"/>
      <c r="AU468" s="926"/>
      <c r="AV468" s="926"/>
      <c r="AW468" s="927"/>
      <c r="AX468" s="926"/>
      <c r="AY468" s="1538" t="s">
        <v>29</v>
      </c>
      <c r="AZ468" s="1530"/>
      <c r="BA468" s="1031" t="s">
        <v>3883</v>
      </c>
      <c r="BB468" s="644" t="s">
        <v>3884</v>
      </c>
      <c r="BC468" s="544" t="s">
        <v>116</v>
      </c>
      <c r="BD468" s="544" t="s">
        <v>709</v>
      </c>
      <c r="BE468" s="544" t="s">
        <v>3884</v>
      </c>
      <c r="BF468" s="544" t="s">
        <v>709</v>
      </c>
      <c r="BG468" s="544" t="s">
        <v>709</v>
      </c>
      <c r="BH468" s="741"/>
      <c r="BI468" s="547" t="s">
        <v>709</v>
      </c>
      <c r="BJ468" s="547" t="s">
        <v>709</v>
      </c>
      <c r="BK468" s="547" t="s">
        <v>709</v>
      </c>
      <c r="BL468" s="547" t="s">
        <v>116</v>
      </c>
      <c r="BM468" s="547" t="s">
        <v>709</v>
      </c>
      <c r="BN468" s="547" t="s">
        <v>709</v>
      </c>
      <c r="BO468" s="547" t="s">
        <v>709</v>
      </c>
      <c r="BP468" s="547" t="s">
        <v>709</v>
      </c>
      <c r="BQ468" s="547">
        <v>2448</v>
      </c>
      <c r="BR468" s="547" t="s">
        <v>709</v>
      </c>
      <c r="BS468" s="547">
        <v>14313</v>
      </c>
      <c r="BT468" s="547" t="s">
        <v>709</v>
      </c>
      <c r="BU468" s="547" t="s">
        <v>709</v>
      </c>
      <c r="BV468" s="547" t="s">
        <v>745</v>
      </c>
      <c r="BW468" s="547" t="s">
        <v>709</v>
      </c>
      <c r="BX468" s="547" t="s">
        <v>745</v>
      </c>
      <c r="BY468" s="547" t="s">
        <v>745</v>
      </c>
      <c r="BZ468" s="547" t="s">
        <v>709</v>
      </c>
      <c r="CA468" s="483"/>
      <c r="CB468" s="547">
        <v>465</v>
      </c>
      <c r="CC468" s="1481" t="b">
        <v>1</v>
      </c>
      <c r="CD468" t="str">
        <f>Table15[[#This Row],[Engineering Number]]&amp;Table15[[#This Row],[WO Number]]&amp;Table15[[#This Row],[Date Assigned to Designer]]&amp;Table15[[#This Row],[Date Completed]]</f>
        <v>VW3312105994444044543</v>
      </c>
    </row>
    <row r="469" spans="1:82" customFormat="1" ht="15" customHeight="1" x14ac:dyDescent="0.25">
      <c r="A469">
        <v>2022</v>
      </c>
      <c r="B469" s="8" t="s">
        <v>4</v>
      </c>
      <c r="C469" s="8" t="s">
        <v>3895</v>
      </c>
      <c r="D469" s="8" t="s">
        <v>3896</v>
      </c>
      <c r="E469" s="8" t="s">
        <v>2114</v>
      </c>
      <c r="F469" s="8" t="s">
        <v>738</v>
      </c>
      <c r="G469" s="8" t="s">
        <v>39</v>
      </c>
      <c r="H469" s="8" t="s">
        <v>59</v>
      </c>
      <c r="I469" s="642">
        <v>44474</v>
      </c>
      <c r="J469" s="18">
        <v>44575</v>
      </c>
      <c r="K469" s="97">
        <v>44545</v>
      </c>
      <c r="L469" s="16">
        <f>IF(ISTEXT(Table15[[#This Row],[Engineering Approved Design Date]]),Table15[[#This Row],[Date Completed]]-Table15[[#This Row],[Date Assigned to Designer]],Table15[[#This Row],[Engineering Approved Design Date]]-Table15[[#This Row],[Date Completed]])</f>
        <v>30</v>
      </c>
      <c r="M469" s="642"/>
      <c r="N469" s="642" t="s">
        <v>120</v>
      </c>
      <c r="O469" s="1025">
        <f>Table15[[#This Row],[Date Completed]]</f>
        <v>44545</v>
      </c>
      <c r="P469" s="21" t="s">
        <v>739</v>
      </c>
      <c r="Q469" s="340">
        <f>R469*AA469</f>
        <v>43252.885000000002</v>
      </c>
      <c r="R469" s="1026">
        <v>0.1</v>
      </c>
      <c r="S469" s="538" t="s">
        <v>709</v>
      </c>
      <c r="T469" s="538" t="s">
        <v>709</v>
      </c>
      <c r="U469" s="87" t="s">
        <v>709</v>
      </c>
      <c r="V469" s="858">
        <v>1379</v>
      </c>
      <c r="W469" s="437"/>
      <c r="X469" s="556">
        <v>267881.39</v>
      </c>
      <c r="Y469" s="550"/>
      <c r="Z469" s="556">
        <v>164647.46</v>
      </c>
      <c r="AA469" s="538">
        <f>Table15[[#This Row],[PCTS Investment Amount]]+Table15[[#This Row],[PCTS Retirement Amount]]</f>
        <v>432528.85</v>
      </c>
      <c r="AB469" s="341"/>
      <c r="AC469" s="568" t="s">
        <v>709</v>
      </c>
      <c r="AD469" s="1157"/>
      <c r="AE469" s="579"/>
      <c r="AF469" s="579"/>
      <c r="AG469" s="579"/>
      <c r="AH469" s="553"/>
      <c r="AI469" s="1036"/>
      <c r="AJ469" s="1037"/>
      <c r="AK469" s="1037"/>
      <c r="AL469" s="1038"/>
      <c r="AM469" s="1522" t="s">
        <v>116</v>
      </c>
      <c r="AN469" s="1523">
        <v>44608</v>
      </c>
      <c r="AO469" s="1524">
        <v>11039325</v>
      </c>
      <c r="AP469" s="1525">
        <v>282371.94</v>
      </c>
      <c r="AQ469" s="1525"/>
      <c r="AR469" s="1525">
        <v>163277.19</v>
      </c>
      <c r="AS469" s="1525">
        <f>IF(Table15[[#This Row],[PCTS Approved]]="N",0,Table15[[#This Row],[Investment Amount (1'#'#'#'#'#)]]+Table15[[#This Row],[Retirement Amount (3'#'#'#'#'#)]])</f>
        <v>445649.13</v>
      </c>
      <c r="AT469" s="1525">
        <f>IF(Table15[[#This Row],[Approved Construction Cost]]=0,0,Table15[[#This Row],[Approved Construction Cost]]-Table15[[#This Row],[Construction Cost to Bill From]])</f>
        <v>13120.280000000028</v>
      </c>
      <c r="AU469" s="1525">
        <f>IFERROR(Table15[[#This Row],[Difference in Construction Cost]]*Table15[[#This Row],[Rate]],Table15[[#This Row],[Difference in Construction Cost]]*0.085)</f>
        <v>1312.028000000003</v>
      </c>
      <c r="AV469" s="1525">
        <v>1665</v>
      </c>
      <c r="AW469" s="1526" t="s">
        <v>3897</v>
      </c>
      <c r="AX469" s="1525">
        <v>0</v>
      </c>
      <c r="AY469" s="1518">
        <v>45008</v>
      </c>
      <c r="AZ469" s="333"/>
      <c r="BA469" s="1031" t="s">
        <v>3898</v>
      </c>
      <c r="BB469" s="644" t="s">
        <v>3899</v>
      </c>
      <c r="BC469" s="544" t="s">
        <v>709</v>
      </c>
      <c r="BD469" s="544" t="s">
        <v>709</v>
      </c>
      <c r="BE469" s="544" t="s">
        <v>522</v>
      </c>
      <c r="BF469" s="544" t="s">
        <v>709</v>
      </c>
      <c r="BG469" s="544" t="s">
        <v>709</v>
      </c>
      <c r="BH469" s="741"/>
      <c r="BI469" s="547" t="s">
        <v>709</v>
      </c>
      <c r="BJ469" s="547" t="s">
        <v>709</v>
      </c>
      <c r="BK469" s="547" t="s">
        <v>709</v>
      </c>
      <c r="BL469" s="547" t="s">
        <v>116</v>
      </c>
      <c r="BM469" s="547" t="s">
        <v>709</v>
      </c>
      <c r="BN469" s="547" t="s">
        <v>709</v>
      </c>
      <c r="BO469" s="547" t="s">
        <v>709</v>
      </c>
      <c r="BP469" s="547" t="s">
        <v>709</v>
      </c>
      <c r="BQ469" s="547" t="s">
        <v>709</v>
      </c>
      <c r="BR469" s="547">
        <v>1379</v>
      </c>
      <c r="BS469" s="547" t="s">
        <v>709</v>
      </c>
      <c r="BT469" s="547" t="s">
        <v>745</v>
      </c>
      <c r="BU469" s="547" t="s">
        <v>709</v>
      </c>
      <c r="BV469" s="547" t="s">
        <v>745</v>
      </c>
      <c r="BW469" s="547" t="s">
        <v>709</v>
      </c>
      <c r="BX469" s="547" t="s">
        <v>745</v>
      </c>
      <c r="BY469" s="547" t="s">
        <v>745</v>
      </c>
      <c r="BZ469" s="547" t="s">
        <v>709</v>
      </c>
      <c r="CA469" s="483"/>
      <c r="CB469" s="547">
        <v>467</v>
      </c>
      <c r="CC469" s="1481" t="b">
        <v>1</v>
      </c>
      <c r="CD469" t="str">
        <f>Table15[[#This Row],[Engineering Number]]&amp;Table15[[#This Row],[WO Number]]&amp;Table15[[#This Row],[Date Assigned to Designer]]&amp;Table15[[#This Row],[Date Completed]]</f>
        <v>M1265912107164447444545</v>
      </c>
    </row>
    <row r="470" spans="1:82" customFormat="1" ht="15" customHeight="1" x14ac:dyDescent="0.25">
      <c r="A470">
        <v>2022</v>
      </c>
      <c r="B470" s="8" t="s">
        <v>4</v>
      </c>
      <c r="C470" s="8" t="s">
        <v>3901</v>
      </c>
      <c r="D470" s="8" t="s">
        <v>3902</v>
      </c>
      <c r="E470" s="8" t="s">
        <v>2032</v>
      </c>
      <c r="F470" s="8" t="s">
        <v>738</v>
      </c>
      <c r="G470" s="8" t="s">
        <v>23</v>
      </c>
      <c r="H470" s="8" t="s">
        <v>59</v>
      </c>
      <c r="I470" s="642">
        <v>44438</v>
      </c>
      <c r="J470" s="18">
        <v>44547</v>
      </c>
      <c r="K470" s="97">
        <v>44545</v>
      </c>
      <c r="L470" s="16">
        <f>IF(ISTEXT(Table15[[#This Row],[Engineering Approved Design Date]]),Table15[[#This Row],[Date Completed]]-Table15[[#This Row],[Date Assigned to Designer]],Table15[[#This Row],[Engineering Approved Design Date]]-Table15[[#This Row],[Date Completed]])</f>
        <v>2</v>
      </c>
      <c r="M470" s="642"/>
      <c r="N470" s="642" t="s">
        <v>120</v>
      </c>
      <c r="O470" s="1025">
        <f>Table15[[#This Row],[Date Completed]]</f>
        <v>44545</v>
      </c>
      <c r="P470" s="21" t="s">
        <v>739</v>
      </c>
      <c r="Q470" s="340">
        <f>R470*AA470</f>
        <v>23075.182000000001</v>
      </c>
      <c r="R470" s="1026">
        <v>0.1</v>
      </c>
      <c r="S470" s="538" t="s">
        <v>709</v>
      </c>
      <c r="T470" s="538" t="s">
        <v>709</v>
      </c>
      <c r="U470" s="87" t="s">
        <v>709</v>
      </c>
      <c r="V470" s="858">
        <v>824</v>
      </c>
      <c r="W470" s="437"/>
      <c r="X470" s="556">
        <v>182784.39</v>
      </c>
      <c r="Y470" s="550"/>
      <c r="Z470" s="556">
        <v>47967.43</v>
      </c>
      <c r="AA470" s="538">
        <f>Table15[[#This Row],[PCTS Investment Amount]]+Table15[[#This Row],[PCTS Retirement Amount]]</f>
        <v>230751.82</v>
      </c>
      <c r="AB470" s="341"/>
      <c r="AC470" s="568" t="s">
        <v>709</v>
      </c>
      <c r="AD470" s="1157"/>
      <c r="AE470" s="579"/>
      <c r="AF470" s="579"/>
      <c r="AG470" s="579"/>
      <c r="AH470" s="553"/>
      <c r="AI470" s="1036"/>
      <c r="AJ470" s="1037"/>
      <c r="AK470" s="1037"/>
      <c r="AL470" s="1038"/>
      <c r="AM470" s="1522" t="s">
        <v>116</v>
      </c>
      <c r="AN470" s="1523">
        <v>44642</v>
      </c>
      <c r="AO470" s="1524">
        <v>11040102</v>
      </c>
      <c r="AP470" s="1525">
        <v>293962.52</v>
      </c>
      <c r="AQ470" s="1525"/>
      <c r="AR470" s="1525">
        <v>48351.08</v>
      </c>
      <c r="AS470" s="1525">
        <f>IF(Table15[[#This Row],[PCTS Approved]]="N",0,Table15[[#This Row],[Investment Amount (1'#'#'#'#'#)]]+Table15[[#This Row],[Retirement Amount (3'#'#'#'#'#)]])</f>
        <v>342313.60000000003</v>
      </c>
      <c r="AT470" s="1525">
        <f>IF(Table15[[#This Row],[Approved Construction Cost]]=0,0,Table15[[#This Row],[Approved Construction Cost]]-Table15[[#This Row],[Construction Cost to Bill From]])</f>
        <v>111561.78000000003</v>
      </c>
      <c r="AU470" s="1525">
        <f>IFERROR(Table15[[#This Row],[Difference in Construction Cost]]*Table15[[#This Row],[Rate]],Table15[[#This Row],[Difference in Construction Cost]]*0.085)</f>
        <v>11156.178000000004</v>
      </c>
      <c r="AV470" s="1525">
        <v>10147.5</v>
      </c>
      <c r="AW470" s="1526" t="s">
        <v>3903</v>
      </c>
      <c r="AX470" s="1525">
        <v>0</v>
      </c>
      <c r="AY470" s="1518">
        <v>45008</v>
      </c>
      <c r="AZ470" s="333"/>
      <c r="BA470" s="1031" t="s">
        <v>3904</v>
      </c>
      <c r="BB470" s="644" t="s">
        <v>877</v>
      </c>
      <c r="BC470" s="544" t="s">
        <v>116</v>
      </c>
      <c r="BD470" s="544" t="s">
        <v>709</v>
      </c>
      <c r="BE470" s="544" t="s">
        <v>709</v>
      </c>
      <c r="BF470" s="544" t="s">
        <v>709</v>
      </c>
      <c r="BG470" s="544" t="s">
        <v>709</v>
      </c>
      <c r="BH470" s="741"/>
      <c r="BI470" s="547" t="s">
        <v>709</v>
      </c>
      <c r="BJ470" s="547" t="s">
        <v>709</v>
      </c>
      <c r="BK470" s="547" t="s">
        <v>709</v>
      </c>
      <c r="BL470" s="547" t="s">
        <v>116</v>
      </c>
      <c r="BM470" s="547" t="s">
        <v>709</v>
      </c>
      <c r="BN470" s="547" t="s">
        <v>709</v>
      </c>
      <c r="BO470" s="547" t="s">
        <v>709</v>
      </c>
      <c r="BP470" s="547" t="s">
        <v>709</v>
      </c>
      <c r="BQ470" s="547" t="s">
        <v>709</v>
      </c>
      <c r="BR470" s="547">
        <v>824</v>
      </c>
      <c r="BS470" s="547" t="s">
        <v>709</v>
      </c>
      <c r="BT470" s="547" t="s">
        <v>709</v>
      </c>
      <c r="BU470" s="547" t="s">
        <v>709</v>
      </c>
      <c r="BV470" s="547" t="s">
        <v>745</v>
      </c>
      <c r="BW470" s="547" t="s">
        <v>709</v>
      </c>
      <c r="BX470" s="547" t="s">
        <v>709</v>
      </c>
      <c r="BY470" s="547" t="s">
        <v>745</v>
      </c>
      <c r="BZ470" s="547" t="s">
        <v>709</v>
      </c>
      <c r="CA470" s="483"/>
      <c r="CB470" s="547">
        <v>469</v>
      </c>
      <c r="CC470" s="1481" t="b">
        <v>1</v>
      </c>
      <c r="CD470" t="str">
        <f>Table15[[#This Row],[Engineering Number]]&amp;Table15[[#This Row],[WO Number]]&amp;Table15[[#This Row],[Date Assigned to Designer]]&amp;Table15[[#This Row],[Date Completed]]</f>
        <v>SC1971913106854443844545</v>
      </c>
    </row>
    <row r="471" spans="1:82" customFormat="1" ht="15" customHeight="1" x14ac:dyDescent="0.25">
      <c r="A471">
        <v>2020</v>
      </c>
      <c r="B471" s="8" t="s">
        <v>4</v>
      </c>
      <c r="C471" s="8" t="s">
        <v>204</v>
      </c>
      <c r="D471" s="8">
        <v>140830</v>
      </c>
      <c r="E471" s="8" t="s">
        <v>1159</v>
      </c>
      <c r="F471" s="8" t="s">
        <v>919</v>
      </c>
      <c r="G471" s="8" t="s">
        <v>40</v>
      </c>
      <c r="H471" s="8" t="s">
        <v>3178</v>
      </c>
      <c r="I471" s="642">
        <v>44529</v>
      </c>
      <c r="J471" s="18" t="s">
        <v>2052</v>
      </c>
      <c r="K471" s="97">
        <v>44545</v>
      </c>
      <c r="L471" s="16">
        <f>IF(ISTEXT(Table15[[#This Row],[Engineering Approved Design Date]]),Table15[[#This Row],[Date Completed]]-Table15[[#This Row],[Date Assigned to Designer]],Table15[[#This Row],[Engineering Approved Design Date]]-Table15[[#This Row],[Date Completed]])</f>
        <v>16</v>
      </c>
      <c r="M471" s="642" t="s">
        <v>3893</v>
      </c>
      <c r="N471" s="642" t="s">
        <v>120</v>
      </c>
      <c r="O471" s="1025">
        <f>Table15[[#This Row],[Date Completed]]</f>
        <v>44545</v>
      </c>
      <c r="P471" s="21" t="s">
        <v>739</v>
      </c>
      <c r="Q471" s="1151">
        <f>U471</f>
        <v>15062.5</v>
      </c>
      <c r="R471" s="1026" t="s">
        <v>1922</v>
      </c>
      <c r="S471" s="538" t="s">
        <v>709</v>
      </c>
      <c r="T471" s="538" t="s">
        <v>709</v>
      </c>
      <c r="U471" s="87">
        <v>15062.5</v>
      </c>
      <c r="V471" s="858"/>
      <c r="W471" s="437"/>
      <c r="X471" s="538"/>
      <c r="Y471" s="550"/>
      <c r="Z471" s="538"/>
      <c r="AA471" s="538"/>
      <c r="AB471" s="21"/>
      <c r="AC471" s="569"/>
      <c r="AD471" s="1149"/>
      <c r="AE471" s="580"/>
      <c r="AF471" s="580"/>
      <c r="AG471" s="580"/>
      <c r="AH471" s="542"/>
      <c r="AI471" s="1028"/>
      <c r="AJ471" s="1029"/>
      <c r="AK471" s="1029"/>
      <c r="AL471" s="1030"/>
      <c r="AM471" s="542" t="s">
        <v>709</v>
      </c>
      <c r="AN471" s="924"/>
      <c r="AO471" s="925"/>
      <c r="AP471" s="926"/>
      <c r="AQ471" s="926"/>
      <c r="AR471" s="926"/>
      <c r="AS471" s="926"/>
      <c r="AT471" s="926"/>
      <c r="AU471" s="926"/>
      <c r="AV471" s="926"/>
      <c r="AW471" s="927"/>
      <c r="AX471" s="926"/>
      <c r="AY471" s="1538" t="s">
        <v>29</v>
      </c>
      <c r="AZ471" s="1530"/>
      <c r="BA471" s="1031">
        <v>12</v>
      </c>
      <c r="BB471" s="644"/>
      <c r="BC471" s="544"/>
      <c r="BD471" s="544"/>
      <c r="BE471" s="544"/>
      <c r="BF471" s="544"/>
      <c r="BG471" s="544"/>
      <c r="BH471" s="741"/>
      <c r="BI471" s="547" t="s">
        <v>709</v>
      </c>
      <c r="BJ471" s="547" t="s">
        <v>709</v>
      </c>
      <c r="BK471" s="547" t="s">
        <v>116</v>
      </c>
      <c r="BL471" s="547" t="s">
        <v>116</v>
      </c>
      <c r="BM471" s="547" t="s">
        <v>709</v>
      </c>
      <c r="BN471" s="547" t="s">
        <v>709</v>
      </c>
      <c r="BO471" s="547" t="s">
        <v>709</v>
      </c>
      <c r="BP471" s="547">
        <v>1485</v>
      </c>
      <c r="BQ471" s="547" t="s">
        <v>709</v>
      </c>
      <c r="BR471" s="547">
        <v>861</v>
      </c>
      <c r="BS471" s="547" t="s">
        <v>709</v>
      </c>
      <c r="BT471" s="547" t="s">
        <v>709</v>
      </c>
      <c r="BU471" s="547" t="s">
        <v>709</v>
      </c>
      <c r="BV471" s="547" t="s">
        <v>745</v>
      </c>
      <c r="BW471" s="547" t="s">
        <v>709</v>
      </c>
      <c r="BX471" s="547" t="s">
        <v>709</v>
      </c>
      <c r="BY471" s="547" t="s">
        <v>745</v>
      </c>
      <c r="BZ471" s="547" t="s">
        <v>709</v>
      </c>
      <c r="CA471" s="483"/>
      <c r="CB471" s="547">
        <v>468</v>
      </c>
      <c r="CC471" s="1481" t="b">
        <v>1</v>
      </c>
      <c r="CD471" t="str">
        <f>Table15[[#This Row],[Engineering Number]]&amp;Table15[[#This Row],[WO Number]]&amp;Table15[[#This Row],[Date Assigned to Designer]]&amp;Table15[[#This Row],[Date Completed]]</f>
        <v>SC175511408304452944545</v>
      </c>
    </row>
    <row r="472" spans="1:82" customFormat="1" ht="15" customHeight="1" x14ac:dyDescent="0.25">
      <c r="A472">
        <v>2022</v>
      </c>
      <c r="B472" s="8" t="s">
        <v>4</v>
      </c>
      <c r="C472" s="8" t="s">
        <v>3906</v>
      </c>
      <c r="D472" s="8" t="s">
        <v>115</v>
      </c>
      <c r="E472" s="8" t="s">
        <v>183</v>
      </c>
      <c r="F472" s="8" t="s">
        <v>738</v>
      </c>
      <c r="G472" s="8" t="s">
        <v>35</v>
      </c>
      <c r="H472" s="8" t="s">
        <v>2127</v>
      </c>
      <c r="I472" s="642">
        <v>44544</v>
      </c>
      <c r="J472" s="18">
        <v>44622</v>
      </c>
      <c r="K472" s="97">
        <v>44546</v>
      </c>
      <c r="L472" s="16">
        <f>IF(ISTEXT(Table15[[#This Row],[Engineering Approved Design Date]]),Table15[[#This Row],[Date Completed]]-Table15[[#This Row],[Date Assigned to Designer]],Table15[[#This Row],[Engineering Approved Design Date]]-Table15[[#This Row],[Date Completed]])</f>
        <v>76</v>
      </c>
      <c r="M472" s="642"/>
      <c r="N472" s="642" t="s">
        <v>120</v>
      </c>
      <c r="O472" s="1025">
        <f>Table15[[#This Row],[Date Completed]]</f>
        <v>44546</v>
      </c>
      <c r="P472" s="21" t="s">
        <v>739</v>
      </c>
      <c r="Q472" s="1151" t="s">
        <v>115</v>
      </c>
      <c r="R472" s="1026" t="s">
        <v>115</v>
      </c>
      <c r="S472" s="538" t="s">
        <v>709</v>
      </c>
      <c r="T472" s="538" t="s">
        <v>709</v>
      </c>
      <c r="U472" s="87" t="s">
        <v>709</v>
      </c>
      <c r="V472" s="1184"/>
      <c r="W472" s="1186"/>
      <c r="X472" s="538"/>
      <c r="Y472" s="550"/>
      <c r="Z472" s="538"/>
      <c r="AA472" s="538"/>
      <c r="AB472" s="21"/>
      <c r="AC472" s="569"/>
      <c r="AD472" s="1149" t="s">
        <v>29</v>
      </c>
      <c r="AE472" s="580"/>
      <c r="AF472" s="580"/>
      <c r="AG472" s="580"/>
      <c r="AH472" s="542"/>
      <c r="AI472" s="1028"/>
      <c r="AJ472" s="1029"/>
      <c r="AK472" s="1029"/>
      <c r="AL472" s="1030"/>
      <c r="AM472" s="542" t="s">
        <v>709</v>
      </c>
      <c r="AN472" s="924"/>
      <c r="AO472" s="925"/>
      <c r="AP472" s="926"/>
      <c r="AQ472" s="926"/>
      <c r="AR472" s="926"/>
      <c r="AS472" s="926"/>
      <c r="AT472" s="926"/>
      <c r="AU472" s="926"/>
      <c r="AV472" s="926"/>
      <c r="AW472" s="927"/>
      <c r="AX472" s="926"/>
      <c r="AY472" s="1538" t="s">
        <v>29</v>
      </c>
      <c r="AZ472" s="1530"/>
      <c r="BA472" s="1031" t="s">
        <v>3907</v>
      </c>
      <c r="BB472" s="644"/>
      <c r="BC472" s="544"/>
      <c r="BD472" s="544"/>
      <c r="BE472" s="544"/>
      <c r="BF472" s="544"/>
      <c r="BG472" s="544"/>
      <c r="BH472" s="741"/>
      <c r="BI472" s="547"/>
      <c r="BJ472" s="547"/>
      <c r="BK472" s="547"/>
      <c r="BL472" s="547"/>
      <c r="BM472" s="547"/>
      <c r="BN472" s="547"/>
      <c r="BO472" s="547"/>
      <c r="BP472" s="547"/>
      <c r="BQ472" s="547"/>
      <c r="BR472" s="547"/>
      <c r="BS472" s="547"/>
      <c r="BT472" s="547"/>
      <c r="BU472" s="547"/>
      <c r="BV472" s="547"/>
      <c r="BW472" s="547"/>
      <c r="BX472" s="547"/>
      <c r="BY472" s="547"/>
      <c r="BZ472" s="547" t="s">
        <v>709</v>
      </c>
      <c r="CA472" s="483" t="s">
        <v>915</v>
      </c>
      <c r="CB472" s="547">
        <v>470</v>
      </c>
      <c r="CC472" s="1481" t="b">
        <v>1</v>
      </c>
      <c r="CD472" t="str">
        <f>Table15[[#This Row],[Engineering Number]]&amp;Table15[[#This Row],[WO Number]]&amp;Table15[[#This Row],[Date Assigned to Designer]]&amp;Table15[[#This Row],[Date Completed]]</f>
        <v>M12388-4454444546</v>
      </c>
    </row>
    <row r="473" spans="1:82" customFormat="1" ht="15" customHeight="1" x14ac:dyDescent="0.25">
      <c r="A473">
        <v>2022</v>
      </c>
      <c r="B473" s="8" t="s">
        <v>4</v>
      </c>
      <c r="C473" s="8" t="s">
        <v>3909</v>
      </c>
      <c r="D473" s="8" t="s">
        <v>115</v>
      </c>
      <c r="E473" s="8" t="s">
        <v>108</v>
      </c>
      <c r="F473" s="8" t="s">
        <v>738</v>
      </c>
      <c r="G473" s="8" t="s">
        <v>35</v>
      </c>
      <c r="H473" s="8" t="s">
        <v>1681</v>
      </c>
      <c r="I473" s="642">
        <v>44522</v>
      </c>
      <c r="J473" s="18">
        <v>44575</v>
      </c>
      <c r="K473" s="97">
        <v>44547</v>
      </c>
      <c r="L473" s="16">
        <f>IF(ISTEXT(Table15[[#This Row],[Engineering Approved Design Date]]),Table15[[#This Row],[Date Completed]]-Table15[[#This Row],[Date Assigned to Designer]],Table15[[#This Row],[Engineering Approved Design Date]]-Table15[[#This Row],[Date Completed]])</f>
        <v>28</v>
      </c>
      <c r="M473" s="642"/>
      <c r="N473" s="642" t="s">
        <v>120</v>
      </c>
      <c r="O473" s="1025">
        <f>Table15[[#This Row],[Date Completed]]</f>
        <v>44547</v>
      </c>
      <c r="P473" s="21" t="s">
        <v>739</v>
      </c>
      <c r="Q473" s="1151" t="s">
        <v>115</v>
      </c>
      <c r="R473" s="1026" t="s">
        <v>115</v>
      </c>
      <c r="S473" s="538" t="s">
        <v>709</v>
      </c>
      <c r="T473" s="538" t="s">
        <v>709</v>
      </c>
      <c r="U473" s="87" t="s">
        <v>709</v>
      </c>
      <c r="V473" s="1184"/>
      <c r="W473" s="1186"/>
      <c r="X473" s="538"/>
      <c r="Y473" s="550"/>
      <c r="Z473" s="538"/>
      <c r="AA473" s="538"/>
      <c r="AB473" s="21"/>
      <c r="AC473" s="569"/>
      <c r="AD473" s="1149" t="s">
        <v>29</v>
      </c>
      <c r="AE473" s="580"/>
      <c r="AF473" s="580"/>
      <c r="AG473" s="580"/>
      <c r="AH473" s="542"/>
      <c r="AI473" s="1028"/>
      <c r="AJ473" s="1029"/>
      <c r="AK473" s="1029"/>
      <c r="AL473" s="1030"/>
      <c r="AM473" s="542" t="s">
        <v>709</v>
      </c>
      <c r="AN473" s="924"/>
      <c r="AO473" s="925"/>
      <c r="AP473" s="926"/>
      <c r="AQ473" s="926"/>
      <c r="AR473" s="926"/>
      <c r="AS473" s="926"/>
      <c r="AT473" s="926"/>
      <c r="AU473" s="926"/>
      <c r="AV473" s="926"/>
      <c r="AW473" s="927"/>
      <c r="AX473" s="926"/>
      <c r="AY473" s="1538" t="s">
        <v>29</v>
      </c>
      <c r="AZ473" s="1530"/>
      <c r="BA473" s="1031" t="s">
        <v>3910</v>
      </c>
      <c r="BB473" s="644" t="s">
        <v>3911</v>
      </c>
      <c r="BC473" s="544"/>
      <c r="BD473" s="544"/>
      <c r="BE473" s="544"/>
      <c r="BF473" s="544"/>
      <c r="BG473" s="544"/>
      <c r="BH473" s="741"/>
      <c r="BI473" s="1032"/>
      <c r="BJ473" s="1032"/>
      <c r="BK473" s="1032"/>
      <c r="BL473" s="1032"/>
      <c r="BM473" s="1032"/>
      <c r="BN473" s="1032"/>
      <c r="BO473" s="1032"/>
      <c r="BP473" s="1032"/>
      <c r="BQ473" s="1032"/>
      <c r="BR473" s="1032"/>
      <c r="BS473" s="1032"/>
      <c r="BT473" s="1032"/>
      <c r="BU473" s="1032"/>
      <c r="BV473" s="1032"/>
      <c r="BW473" s="1032"/>
      <c r="BX473" s="1032"/>
      <c r="BY473" s="1032"/>
      <c r="BZ473" s="1032"/>
      <c r="CA473" s="485"/>
      <c r="CB473" s="547">
        <v>472</v>
      </c>
      <c r="CC473" s="1481" t="b">
        <v>1</v>
      </c>
      <c r="CD473" t="str">
        <f>Table15[[#This Row],[Engineering Number]]&amp;Table15[[#This Row],[WO Number]]&amp;Table15[[#This Row],[Date Assigned to Designer]]&amp;Table15[[#This Row],[Date Completed]]</f>
        <v>N14603-4452244547</v>
      </c>
    </row>
    <row r="474" spans="1:82" customFormat="1" ht="15" customHeight="1" x14ac:dyDescent="0.25">
      <c r="A474">
        <v>2022</v>
      </c>
      <c r="B474" s="8" t="s">
        <v>4</v>
      </c>
      <c r="C474" s="8" t="s">
        <v>936</v>
      </c>
      <c r="D474" s="8" t="s">
        <v>937</v>
      </c>
      <c r="E474" s="8" t="s">
        <v>887</v>
      </c>
      <c r="F474" s="8" t="s">
        <v>738</v>
      </c>
      <c r="G474" s="8" t="s">
        <v>23</v>
      </c>
      <c r="H474" s="8" t="s">
        <v>59</v>
      </c>
      <c r="I474" s="642">
        <v>44466</v>
      </c>
      <c r="J474" s="18">
        <v>44552</v>
      </c>
      <c r="K474" s="97">
        <v>44547</v>
      </c>
      <c r="L474" s="16">
        <f>IF(ISTEXT(Table15[[#This Row],[Engineering Approved Design Date]]),Table15[[#This Row],[Date Completed]]-Table15[[#This Row],[Date Assigned to Designer]],Table15[[#This Row],[Engineering Approved Design Date]]-Table15[[#This Row],[Date Completed]])</f>
        <v>5</v>
      </c>
      <c r="M474" s="642"/>
      <c r="N474" s="642" t="s">
        <v>120</v>
      </c>
      <c r="O474" s="1025">
        <f>Table15[[#This Row],[Date Completed]]</f>
        <v>44547</v>
      </c>
      <c r="P474" s="21" t="s">
        <v>739</v>
      </c>
      <c r="Q474" s="340">
        <f t="shared" ref="Q474:Q479" si="11">R474*AA474</f>
        <v>73860.525999999998</v>
      </c>
      <c r="R474" s="1026">
        <v>0.1</v>
      </c>
      <c r="S474" s="538" t="s">
        <v>709</v>
      </c>
      <c r="T474" s="538" t="s">
        <v>709</v>
      </c>
      <c r="U474" s="87" t="s">
        <v>709</v>
      </c>
      <c r="V474" s="858">
        <v>6428</v>
      </c>
      <c r="W474" s="437"/>
      <c r="X474" s="556">
        <v>656968.89</v>
      </c>
      <c r="Y474" s="550"/>
      <c r="Z474" s="556">
        <v>81636.37</v>
      </c>
      <c r="AA474" s="538">
        <f>Table15[[#This Row],[PCTS Investment Amount]]+Table15[[#This Row],[PCTS Retirement Amount]]</f>
        <v>738605.26</v>
      </c>
      <c r="AB474" s="341"/>
      <c r="AC474" s="568" t="s">
        <v>709</v>
      </c>
      <c r="AD474" s="1157"/>
      <c r="AE474" s="579"/>
      <c r="AF474" s="579"/>
      <c r="AG474" s="579"/>
      <c r="AH474" s="553"/>
      <c r="AI474" s="1036"/>
      <c r="AJ474" s="1037"/>
      <c r="AK474" s="1037"/>
      <c r="AL474" s="1038"/>
      <c r="AM474" s="1522" t="s">
        <v>116</v>
      </c>
      <c r="AN474" s="1523">
        <v>45377</v>
      </c>
      <c r="AO474" s="1524">
        <v>11080450</v>
      </c>
      <c r="AP474" s="1525">
        <v>827093.69</v>
      </c>
      <c r="AQ474" s="1525"/>
      <c r="AR474" s="1525">
        <v>110442.9</v>
      </c>
      <c r="AS474" s="1525">
        <v>937536.59</v>
      </c>
      <c r="AT474" s="1525">
        <v>198931.32999999996</v>
      </c>
      <c r="AU474" s="1525">
        <v>19893.132999999998</v>
      </c>
      <c r="AV474" s="1525">
        <v>2822.5</v>
      </c>
      <c r="AW474" s="1526" t="s">
        <v>938</v>
      </c>
      <c r="AX474" s="1525">
        <v>0</v>
      </c>
      <c r="AY474" s="1518">
        <v>45566</v>
      </c>
      <c r="AZ474" s="333">
        <v>65</v>
      </c>
      <c r="BA474" s="859" t="s">
        <v>939</v>
      </c>
      <c r="BB474" s="644" t="s">
        <v>877</v>
      </c>
      <c r="BC474" s="544" t="s">
        <v>709</v>
      </c>
      <c r="BD474" s="544" t="s">
        <v>709</v>
      </c>
      <c r="BE474" s="544" t="s">
        <v>891</v>
      </c>
      <c r="BF474" s="544" t="s">
        <v>940</v>
      </c>
      <c r="BG474" s="544" t="s">
        <v>709</v>
      </c>
      <c r="BH474" s="741"/>
      <c r="BI474" s="547" t="s">
        <v>709</v>
      </c>
      <c r="BJ474" s="547" t="s">
        <v>709</v>
      </c>
      <c r="BK474" s="547" t="s">
        <v>709</v>
      </c>
      <c r="BL474" s="547" t="s">
        <v>116</v>
      </c>
      <c r="BM474" s="547" t="s">
        <v>709</v>
      </c>
      <c r="BN474" s="547" t="s">
        <v>709</v>
      </c>
      <c r="BO474" s="547" t="s">
        <v>709</v>
      </c>
      <c r="BP474" s="547" t="s">
        <v>709</v>
      </c>
      <c r="BQ474" s="547" t="s">
        <v>709</v>
      </c>
      <c r="BR474" s="547">
        <v>3946</v>
      </c>
      <c r="BS474" s="547">
        <v>2482</v>
      </c>
      <c r="BT474" s="547" t="s">
        <v>745</v>
      </c>
      <c r="BU474" s="547" t="s">
        <v>709</v>
      </c>
      <c r="BV474" s="547" t="s">
        <v>745</v>
      </c>
      <c r="BW474" s="547" t="s">
        <v>709</v>
      </c>
      <c r="BX474" s="547" t="s">
        <v>745</v>
      </c>
      <c r="BY474" s="547" t="s">
        <v>745</v>
      </c>
      <c r="BZ474" s="547" t="s">
        <v>709</v>
      </c>
      <c r="CA474" s="483"/>
      <c r="CB474" s="547">
        <v>471</v>
      </c>
      <c r="CC474" s="1481" t="b">
        <v>1</v>
      </c>
      <c r="CD474" t="str">
        <f>Table15[[#This Row],[Engineering Number]]&amp;Table15[[#This Row],[WO Number]]&amp;Table15[[#This Row],[Date Assigned to Designer]]&amp;Table15[[#This Row],[Date Completed]]</f>
        <v>SC1733013107274446644547</v>
      </c>
    </row>
    <row r="475" spans="1:82" customFormat="1" ht="15" customHeight="1" x14ac:dyDescent="0.25">
      <c r="A475">
        <v>2021</v>
      </c>
      <c r="B475" s="8" t="s">
        <v>1073</v>
      </c>
      <c r="C475" s="8" t="s">
        <v>3928</v>
      </c>
      <c r="D475" s="8" t="s">
        <v>3929</v>
      </c>
      <c r="E475" s="8" t="s">
        <v>426</v>
      </c>
      <c r="F475" s="8" t="s">
        <v>738</v>
      </c>
      <c r="G475" s="8" t="s">
        <v>22</v>
      </c>
      <c r="H475" s="8" t="s">
        <v>59</v>
      </c>
      <c r="I475" s="642">
        <v>44460</v>
      </c>
      <c r="J475" s="18">
        <v>44551</v>
      </c>
      <c r="K475" s="97">
        <v>44550</v>
      </c>
      <c r="L475" s="16">
        <f>IF(ISTEXT(Table15[[#This Row],[Engineering Approved Design Date]]),Table15[[#This Row],[Date Completed]]-Table15[[#This Row],[Date Assigned to Designer]],Table15[[#This Row],[Engineering Approved Design Date]]-Table15[[#This Row],[Date Completed]])</f>
        <v>1</v>
      </c>
      <c r="M475" s="642"/>
      <c r="N475" s="642" t="s">
        <v>120</v>
      </c>
      <c r="O475" s="1025">
        <f>Table15[[#This Row],[Date Completed]]</f>
        <v>44550</v>
      </c>
      <c r="P475" s="21" t="s">
        <v>739</v>
      </c>
      <c r="Q475" s="340">
        <f t="shared" si="11"/>
        <v>16575.626200000002</v>
      </c>
      <c r="R475" s="1026">
        <v>7.0000000000000007E-2</v>
      </c>
      <c r="S475" s="538" t="s">
        <v>709</v>
      </c>
      <c r="T475" s="538" t="s">
        <v>709</v>
      </c>
      <c r="U475" s="87" t="s">
        <v>709</v>
      </c>
      <c r="V475" s="858">
        <v>793</v>
      </c>
      <c r="W475" s="437"/>
      <c r="X475" s="556">
        <v>236794.66</v>
      </c>
      <c r="Y475" s="550"/>
      <c r="Z475" s="538"/>
      <c r="AA475" s="538">
        <f>Table15[[#This Row],[PCTS Investment Amount]]+Table15[[#This Row],[PCTS Retirement Amount]]</f>
        <v>236794.66</v>
      </c>
      <c r="AB475" s="341"/>
      <c r="AC475" s="568" t="s">
        <v>1177</v>
      </c>
      <c r="AD475" s="1157"/>
      <c r="AE475" s="568"/>
      <c r="AF475" s="568"/>
      <c r="AG475" s="568"/>
      <c r="AH475" s="183"/>
      <c r="AI475" s="1036"/>
      <c r="AJ475" s="1037"/>
      <c r="AK475" s="1037"/>
      <c r="AL475" s="1038"/>
      <c r="AM475" s="1522" t="s">
        <v>116</v>
      </c>
      <c r="AN475" s="1523">
        <v>44649</v>
      </c>
      <c r="AO475" s="1524">
        <v>11040219</v>
      </c>
      <c r="AP475" s="1525">
        <v>237902.9</v>
      </c>
      <c r="AQ475" s="1525"/>
      <c r="AR475" s="1525">
        <v>0</v>
      </c>
      <c r="AS475" s="1525">
        <f>IF(Table15[[#This Row],[PCTS Approved]]="N",0,Table15[[#This Row],[Investment Amount (1'#'#'#'#'#)]]+Table15[[#This Row],[Retirement Amount (3'#'#'#'#'#)]])</f>
        <v>237902.9</v>
      </c>
      <c r="AT475" s="1525">
        <f>IF(Table15[[#This Row],[Approved Construction Cost]]=0,0,Table15[[#This Row],[Approved Construction Cost]]-Table15[[#This Row],[Construction Cost to Bill From]])</f>
        <v>1108.2399999999907</v>
      </c>
      <c r="AU475" s="1525">
        <f>IFERROR(Table15[[#This Row],[Difference in Construction Cost]]*Table15[[#This Row],[Rate]],Table15[[#This Row],[Difference in Construction Cost]]*0.085)</f>
        <v>77.576799999999352</v>
      </c>
      <c r="AV475" s="1525" t="s">
        <v>709</v>
      </c>
      <c r="AW475" s="1526"/>
      <c r="AX475" s="1525">
        <f>Table15[[#This Row],[Reconcile Amount]]</f>
        <v>77.576799999999352</v>
      </c>
      <c r="AY475" s="1518">
        <v>45008</v>
      </c>
      <c r="AZ475" s="333"/>
      <c r="BA475" s="1031" t="s">
        <v>3930</v>
      </c>
      <c r="BB475" s="644" t="s">
        <v>3931</v>
      </c>
      <c r="BC475" s="544" t="s">
        <v>709</v>
      </c>
      <c r="BD475" s="544" t="s">
        <v>709</v>
      </c>
      <c r="BE475" s="544" t="s">
        <v>709</v>
      </c>
      <c r="BF475" s="544" t="s">
        <v>709</v>
      </c>
      <c r="BG475" s="544" t="s">
        <v>3932</v>
      </c>
      <c r="BH475" s="741"/>
      <c r="BI475" s="547" t="s">
        <v>709</v>
      </c>
      <c r="BJ475" s="547" t="s">
        <v>709</v>
      </c>
      <c r="BK475" s="547" t="s">
        <v>116</v>
      </c>
      <c r="BL475" s="547" t="s">
        <v>709</v>
      </c>
      <c r="BM475" s="547" t="s">
        <v>709</v>
      </c>
      <c r="BN475" s="547" t="s">
        <v>709</v>
      </c>
      <c r="BO475" s="547" t="s">
        <v>709</v>
      </c>
      <c r="BP475" s="547" t="s">
        <v>709</v>
      </c>
      <c r="BQ475" s="547">
        <v>165</v>
      </c>
      <c r="BR475" s="547">
        <v>5</v>
      </c>
      <c r="BS475" s="547" t="s">
        <v>709</v>
      </c>
      <c r="BT475" s="547" t="s">
        <v>745</v>
      </c>
      <c r="BU475" s="547" t="s">
        <v>709</v>
      </c>
      <c r="BV475" s="547" t="s">
        <v>745</v>
      </c>
      <c r="BW475" s="547" t="s">
        <v>709</v>
      </c>
      <c r="BX475" s="547" t="s">
        <v>745</v>
      </c>
      <c r="BY475" s="547">
        <v>1</v>
      </c>
      <c r="BZ475" s="547" t="s">
        <v>709</v>
      </c>
      <c r="CA475" s="483"/>
      <c r="CB475" s="547">
        <v>474</v>
      </c>
      <c r="CC475" s="1481" t="b">
        <v>1</v>
      </c>
      <c r="CD475" t="str">
        <f>Table15[[#This Row],[Engineering Number]]&amp;Table15[[#This Row],[WO Number]]&amp;Table15[[#This Row],[Date Assigned to Designer]]&amp;Table15[[#This Row],[Date Completed]]</f>
        <v>NBA167324916106714446044550</v>
      </c>
    </row>
    <row r="476" spans="1:82" customFormat="1" ht="15" customHeight="1" x14ac:dyDescent="0.25">
      <c r="A476">
        <v>2021</v>
      </c>
      <c r="B476" s="8" t="s">
        <v>1073</v>
      </c>
      <c r="C476" s="8" t="s">
        <v>3928</v>
      </c>
      <c r="D476" s="8" t="s">
        <v>3934</v>
      </c>
      <c r="E476" s="8" t="s">
        <v>426</v>
      </c>
      <c r="F476" s="8" t="s">
        <v>738</v>
      </c>
      <c r="G476" s="8" t="s">
        <v>22</v>
      </c>
      <c r="H476" s="8" t="s">
        <v>59</v>
      </c>
      <c r="I476" s="642">
        <v>44460</v>
      </c>
      <c r="J476" s="18">
        <v>44551</v>
      </c>
      <c r="K476" s="97">
        <v>44550</v>
      </c>
      <c r="L476" s="16">
        <f>IF(ISTEXT(Table15[[#This Row],[Engineering Approved Design Date]]),Table15[[#This Row],[Date Completed]]-Table15[[#This Row],[Date Assigned to Designer]],Table15[[#This Row],[Engineering Approved Design Date]]-Table15[[#This Row],[Date Completed]])</f>
        <v>1</v>
      </c>
      <c r="M476" s="642"/>
      <c r="N476" s="642" t="s">
        <v>120</v>
      </c>
      <c r="O476" s="1025">
        <f>Table15[[#This Row],[Date Completed]]</f>
        <v>44550</v>
      </c>
      <c r="P476" s="21" t="s">
        <v>739</v>
      </c>
      <c r="Q476" s="340">
        <f t="shared" si="11"/>
        <v>7252.3108000000011</v>
      </c>
      <c r="R476" s="1026">
        <v>7.0000000000000007E-2</v>
      </c>
      <c r="S476" s="538" t="s">
        <v>709</v>
      </c>
      <c r="T476" s="538" t="s">
        <v>709</v>
      </c>
      <c r="U476" s="87" t="s">
        <v>709</v>
      </c>
      <c r="V476" s="858"/>
      <c r="W476" s="437"/>
      <c r="X476" s="556">
        <v>103604.44</v>
      </c>
      <c r="Y476" s="550"/>
      <c r="Z476" s="538"/>
      <c r="AA476" s="538">
        <f>Table15[[#This Row],[PCTS Investment Amount]]+Table15[[#This Row],[PCTS Retirement Amount]]</f>
        <v>103604.44</v>
      </c>
      <c r="AB476" s="341"/>
      <c r="AC476" s="568" t="s">
        <v>1177</v>
      </c>
      <c r="AD476" s="1157"/>
      <c r="AE476" s="568"/>
      <c r="AF476" s="568"/>
      <c r="AG476" s="568"/>
      <c r="AH476" s="183"/>
      <c r="AI476" s="1036"/>
      <c r="AJ476" s="1037"/>
      <c r="AK476" s="1037"/>
      <c r="AL476" s="1038"/>
      <c r="AM476" s="1522" t="s">
        <v>116</v>
      </c>
      <c r="AN476" s="1523">
        <v>44649</v>
      </c>
      <c r="AO476" s="1524">
        <v>11040265</v>
      </c>
      <c r="AP476" s="1525">
        <v>103192.61</v>
      </c>
      <c r="AQ476" s="1525"/>
      <c r="AR476" s="1525">
        <v>0</v>
      </c>
      <c r="AS476" s="1525">
        <f>IF(Table15[[#This Row],[PCTS Approved]]="N",0,Table15[[#This Row],[Investment Amount (1'#'#'#'#'#)]]+Table15[[#This Row],[Retirement Amount (3'#'#'#'#'#)]])</f>
        <v>103192.61</v>
      </c>
      <c r="AT476" s="1525">
        <f>IF(Table15[[#This Row],[Approved Construction Cost]]=0,0,Table15[[#This Row],[Approved Construction Cost]]-Table15[[#This Row],[Construction Cost to Bill From]])</f>
        <v>-411.83000000000175</v>
      </c>
      <c r="AU476" s="1525">
        <f>IFERROR(Table15[[#This Row],[Difference in Construction Cost]]*Table15[[#This Row],[Rate]],Table15[[#This Row],[Difference in Construction Cost]]*0.085)</f>
        <v>-28.828100000000124</v>
      </c>
      <c r="AV476" s="1525" t="s">
        <v>709</v>
      </c>
      <c r="AW476" s="1526"/>
      <c r="AX476" s="1525">
        <f>Table15[[#This Row],[Reconcile Amount]]</f>
        <v>-28.828100000000124</v>
      </c>
      <c r="AY476" s="1518">
        <v>45008</v>
      </c>
      <c r="AZ476" s="333"/>
      <c r="BA476" s="1031" t="s">
        <v>3935</v>
      </c>
      <c r="BB476" s="644" t="s">
        <v>3931</v>
      </c>
      <c r="BC476" s="544" t="s">
        <v>709</v>
      </c>
      <c r="BD476" s="544" t="s">
        <v>709</v>
      </c>
      <c r="BE476" s="544" t="s">
        <v>709</v>
      </c>
      <c r="BF476" s="544" t="s">
        <v>709</v>
      </c>
      <c r="BG476" s="544" t="s">
        <v>3932</v>
      </c>
      <c r="BH476" s="741"/>
      <c r="BI476" s="547" t="s">
        <v>709</v>
      </c>
      <c r="BJ476" s="547" t="s">
        <v>709</v>
      </c>
      <c r="BK476" s="547" t="s">
        <v>116</v>
      </c>
      <c r="BL476" s="547" t="s">
        <v>709</v>
      </c>
      <c r="BM476" s="547" t="s">
        <v>709</v>
      </c>
      <c r="BN476" s="547" t="s">
        <v>709</v>
      </c>
      <c r="BO476" s="547" t="s">
        <v>709</v>
      </c>
      <c r="BP476" s="547" t="s">
        <v>709</v>
      </c>
      <c r="BQ476" s="547">
        <v>165</v>
      </c>
      <c r="BR476" s="547">
        <v>5</v>
      </c>
      <c r="BS476" s="547" t="s">
        <v>709</v>
      </c>
      <c r="BT476" s="547" t="s">
        <v>745</v>
      </c>
      <c r="BU476" s="547" t="s">
        <v>709</v>
      </c>
      <c r="BV476" s="547" t="s">
        <v>745</v>
      </c>
      <c r="BW476" s="547" t="s">
        <v>709</v>
      </c>
      <c r="BX476" s="547" t="s">
        <v>745</v>
      </c>
      <c r="BY476" s="547">
        <v>1</v>
      </c>
      <c r="BZ476" s="547" t="s">
        <v>709</v>
      </c>
      <c r="CA476" s="483"/>
      <c r="CB476" s="547">
        <v>475</v>
      </c>
      <c r="CC476" s="1481" t="b">
        <v>1</v>
      </c>
      <c r="CD476" t="str">
        <f>Table15[[#This Row],[Engineering Number]]&amp;Table15[[#This Row],[WO Number]]&amp;Table15[[#This Row],[Date Assigned to Designer]]&amp;Table15[[#This Row],[Date Completed]]</f>
        <v>NBA167324916107054446044550</v>
      </c>
    </row>
    <row r="477" spans="1:82" customFormat="1" ht="15" customHeight="1" x14ac:dyDescent="0.25">
      <c r="A477">
        <v>2021</v>
      </c>
      <c r="B477" s="8" t="s">
        <v>1073</v>
      </c>
      <c r="C477" s="8" t="s">
        <v>3928</v>
      </c>
      <c r="D477" s="8" t="s">
        <v>3937</v>
      </c>
      <c r="E477" s="8" t="s">
        <v>426</v>
      </c>
      <c r="F477" s="8" t="s">
        <v>738</v>
      </c>
      <c r="G477" s="8" t="s">
        <v>22</v>
      </c>
      <c r="H477" s="8" t="s">
        <v>59</v>
      </c>
      <c r="I477" s="642">
        <v>44460</v>
      </c>
      <c r="J477" s="18">
        <v>44551</v>
      </c>
      <c r="K477" s="97">
        <v>44550</v>
      </c>
      <c r="L477" s="16">
        <f>IF(ISTEXT(Table15[[#This Row],[Engineering Approved Design Date]]),Table15[[#This Row],[Date Completed]]-Table15[[#This Row],[Date Assigned to Designer]],Table15[[#This Row],[Engineering Approved Design Date]]-Table15[[#This Row],[Date Completed]])</f>
        <v>1</v>
      </c>
      <c r="M477" s="642"/>
      <c r="N477" s="642" t="s">
        <v>120</v>
      </c>
      <c r="O477" s="1025">
        <f>Table15[[#This Row],[Date Completed]]</f>
        <v>44550</v>
      </c>
      <c r="P477" s="21" t="s">
        <v>739</v>
      </c>
      <c r="Q477" s="340">
        <f t="shared" si="11"/>
        <v>7014.4543000000012</v>
      </c>
      <c r="R477" s="1026">
        <v>7.0000000000000007E-2</v>
      </c>
      <c r="S477" s="538" t="s">
        <v>709</v>
      </c>
      <c r="T477" s="538" t="s">
        <v>709</v>
      </c>
      <c r="U477" s="87" t="s">
        <v>709</v>
      </c>
      <c r="V477" s="858"/>
      <c r="W477" s="437"/>
      <c r="X477" s="556">
        <v>100206.49</v>
      </c>
      <c r="Y477" s="550"/>
      <c r="Z477" s="538"/>
      <c r="AA477" s="538">
        <f>Table15[[#This Row],[PCTS Investment Amount]]+Table15[[#This Row],[PCTS Retirement Amount]]</f>
        <v>100206.49</v>
      </c>
      <c r="AB477" s="341"/>
      <c r="AC477" s="568" t="s">
        <v>3919</v>
      </c>
      <c r="AD477" s="1157"/>
      <c r="AE477" s="568"/>
      <c r="AF477" s="568"/>
      <c r="AG477" s="568"/>
      <c r="AH477" s="183"/>
      <c r="AI477" s="1036"/>
      <c r="AJ477" s="1037"/>
      <c r="AK477" s="1037"/>
      <c r="AL477" s="1038"/>
      <c r="AM477" s="1522" t="s">
        <v>116</v>
      </c>
      <c r="AN477" s="1523">
        <v>44649</v>
      </c>
      <c r="AO477" s="1524">
        <v>11040350</v>
      </c>
      <c r="AP477" s="1525">
        <v>102638.77</v>
      </c>
      <c r="AQ477" s="1525"/>
      <c r="AR477" s="1525">
        <v>0</v>
      </c>
      <c r="AS477" s="1525">
        <f>IF(Table15[[#This Row],[PCTS Approved]]="N",0,Table15[[#This Row],[Investment Amount (1'#'#'#'#'#)]]+Table15[[#This Row],[Retirement Amount (3'#'#'#'#'#)]])</f>
        <v>102638.77</v>
      </c>
      <c r="AT477" s="1525">
        <f>IF(Table15[[#This Row],[Approved Construction Cost]]=0,0,Table15[[#This Row],[Approved Construction Cost]]-Table15[[#This Row],[Construction Cost to Bill From]])</f>
        <v>2432.2799999999988</v>
      </c>
      <c r="AU477" s="1525">
        <f>IFERROR(Table15[[#This Row],[Difference in Construction Cost]]*Table15[[#This Row],[Rate]],Table15[[#This Row],[Difference in Construction Cost]]*0.085)</f>
        <v>170.25959999999992</v>
      </c>
      <c r="AV477" s="1525" t="s">
        <v>709</v>
      </c>
      <c r="AW477" s="1526"/>
      <c r="AX477" s="1525">
        <f>Table15[[#This Row],[Reconcile Amount]]</f>
        <v>170.25959999999992</v>
      </c>
      <c r="AY477" s="1518">
        <v>45008</v>
      </c>
      <c r="AZ477" s="333"/>
      <c r="BA477" s="1031" t="s">
        <v>3938</v>
      </c>
      <c r="BB477" s="644" t="s">
        <v>3931</v>
      </c>
      <c r="BC477" s="544" t="s">
        <v>709</v>
      </c>
      <c r="BD477" s="544" t="s">
        <v>709</v>
      </c>
      <c r="BE477" s="544" t="s">
        <v>709</v>
      </c>
      <c r="BF477" s="544" t="s">
        <v>709</v>
      </c>
      <c r="BG477" s="544" t="s">
        <v>3932</v>
      </c>
      <c r="BH477" s="741"/>
      <c r="BI477" s="547" t="s">
        <v>709</v>
      </c>
      <c r="BJ477" s="547" t="s">
        <v>709</v>
      </c>
      <c r="BK477" s="547" t="s">
        <v>116</v>
      </c>
      <c r="BL477" s="547" t="s">
        <v>709</v>
      </c>
      <c r="BM477" s="547" t="s">
        <v>709</v>
      </c>
      <c r="BN477" s="547" t="s">
        <v>709</v>
      </c>
      <c r="BO477" s="547" t="s">
        <v>709</v>
      </c>
      <c r="BP477" s="547" t="s">
        <v>709</v>
      </c>
      <c r="BQ477" s="547">
        <v>165</v>
      </c>
      <c r="BR477" s="547">
        <v>5</v>
      </c>
      <c r="BS477" s="547" t="s">
        <v>709</v>
      </c>
      <c r="BT477" s="547" t="s">
        <v>745</v>
      </c>
      <c r="BU477" s="547" t="s">
        <v>709</v>
      </c>
      <c r="BV477" s="547" t="s">
        <v>745</v>
      </c>
      <c r="BW477" s="547" t="s">
        <v>709</v>
      </c>
      <c r="BX477" s="547" t="s">
        <v>745</v>
      </c>
      <c r="BY477" s="547">
        <v>1</v>
      </c>
      <c r="BZ477" s="547" t="s">
        <v>709</v>
      </c>
      <c r="CA477" s="483"/>
      <c r="CB477" s="547">
        <v>476</v>
      </c>
      <c r="CC477" s="1481" t="b">
        <v>1</v>
      </c>
      <c r="CD477" t="str">
        <f>Table15[[#This Row],[Engineering Number]]&amp;Table15[[#This Row],[WO Number]]&amp;Table15[[#This Row],[Date Assigned to Designer]]&amp;Table15[[#This Row],[Date Completed]]</f>
        <v>NBA167324916107064446044550</v>
      </c>
    </row>
    <row r="478" spans="1:82" customFormat="1" ht="15" customHeight="1" x14ac:dyDescent="0.25">
      <c r="A478">
        <v>2021</v>
      </c>
      <c r="B478" s="8" t="s">
        <v>1073</v>
      </c>
      <c r="C478" s="8" t="s">
        <v>3914</v>
      </c>
      <c r="D478" s="8" t="s">
        <v>3915</v>
      </c>
      <c r="E478" s="8" t="s">
        <v>426</v>
      </c>
      <c r="F478" s="8" t="s">
        <v>738</v>
      </c>
      <c r="G478" s="8" t="s">
        <v>22</v>
      </c>
      <c r="H478" s="8" t="s">
        <v>59</v>
      </c>
      <c r="I478" s="642">
        <v>44432</v>
      </c>
      <c r="J478" s="18">
        <v>44551</v>
      </c>
      <c r="K478" s="97">
        <v>44550</v>
      </c>
      <c r="L478" s="16">
        <f>IF(ISTEXT(Table15[[#This Row],[Engineering Approved Design Date]]),Table15[[#This Row],[Date Completed]]-Table15[[#This Row],[Date Assigned to Designer]],Table15[[#This Row],[Engineering Approved Design Date]]-Table15[[#This Row],[Date Completed]])</f>
        <v>1</v>
      </c>
      <c r="M478" s="642"/>
      <c r="N478" s="642" t="s">
        <v>120</v>
      </c>
      <c r="O478" s="1025">
        <f>Table15[[#This Row],[Date Completed]]</f>
        <v>44550</v>
      </c>
      <c r="P478" s="21" t="s">
        <v>739</v>
      </c>
      <c r="Q478" s="340">
        <f t="shared" si="11"/>
        <v>6785.9379000000008</v>
      </c>
      <c r="R478" s="1026">
        <v>7.0000000000000007E-2</v>
      </c>
      <c r="S478" s="538" t="s">
        <v>709</v>
      </c>
      <c r="T478" s="538" t="s">
        <v>709</v>
      </c>
      <c r="U478" s="87" t="s">
        <v>709</v>
      </c>
      <c r="V478" s="858">
        <v>59</v>
      </c>
      <c r="W478" s="437"/>
      <c r="X478" s="556">
        <v>79592.62</v>
      </c>
      <c r="Y478" s="550"/>
      <c r="Z478" s="556">
        <v>17349.349999999999</v>
      </c>
      <c r="AA478" s="538">
        <f>Table15[[#This Row],[PCTS Investment Amount]]+Table15[[#This Row],[PCTS Retirement Amount]]</f>
        <v>96941.97</v>
      </c>
      <c r="AB478" s="341"/>
      <c r="AC478" s="568" t="s">
        <v>1177</v>
      </c>
      <c r="AD478" s="1157"/>
      <c r="AE478" s="568"/>
      <c r="AF478" s="568"/>
      <c r="AG478" s="568"/>
      <c r="AH478" s="183"/>
      <c r="AI478" s="1036"/>
      <c r="AJ478" s="1037"/>
      <c r="AK478" s="1037"/>
      <c r="AL478" s="1038"/>
      <c r="AM478" s="1522" t="s">
        <v>116</v>
      </c>
      <c r="AN478" s="1523">
        <v>44599</v>
      </c>
      <c r="AO478" s="1524">
        <v>11040077</v>
      </c>
      <c r="AP478" s="1525">
        <v>81056.23</v>
      </c>
      <c r="AQ478" s="1525"/>
      <c r="AR478" s="1525">
        <v>17408.07</v>
      </c>
      <c r="AS478" s="1525">
        <f>IF(Table15[[#This Row],[PCTS Approved]]="N",0,Table15[[#This Row],[Investment Amount (1'#'#'#'#'#)]]+Table15[[#This Row],[Retirement Amount (3'#'#'#'#'#)]])</f>
        <v>98464.299999999988</v>
      </c>
      <c r="AT478" s="1525">
        <f>IF(Table15[[#This Row],[Approved Construction Cost]]=0,0,Table15[[#This Row],[Approved Construction Cost]]-Table15[[#This Row],[Construction Cost to Bill From]])</f>
        <v>1522.3299999999872</v>
      </c>
      <c r="AU478" s="1525">
        <f>IFERROR(Table15[[#This Row],[Difference in Construction Cost]]*Table15[[#This Row],[Rate]],Table15[[#This Row],[Difference in Construction Cost]]*0.085)</f>
        <v>106.56309999999911</v>
      </c>
      <c r="AV478" s="1525" t="s">
        <v>709</v>
      </c>
      <c r="AW478" s="1526"/>
      <c r="AX478" s="1525">
        <f>Table15[[#This Row],[Reconcile Amount]]</f>
        <v>106.56309999999911</v>
      </c>
      <c r="AY478" s="1518">
        <v>45008</v>
      </c>
      <c r="AZ478" s="333"/>
      <c r="BA478" s="1031" t="s">
        <v>3916</v>
      </c>
      <c r="BB478" s="644" t="s">
        <v>1078</v>
      </c>
      <c r="BC478" s="544" t="s">
        <v>709</v>
      </c>
      <c r="BD478" s="544" t="s">
        <v>709</v>
      </c>
      <c r="BE478" s="544" t="s">
        <v>1396</v>
      </c>
      <c r="BF478" s="544" t="s">
        <v>709</v>
      </c>
      <c r="BG478" s="544" t="s">
        <v>709</v>
      </c>
      <c r="BH478" s="741"/>
      <c r="BI478" s="547" t="s">
        <v>709</v>
      </c>
      <c r="BJ478" s="547" t="s">
        <v>709</v>
      </c>
      <c r="BK478" s="547" t="s">
        <v>116</v>
      </c>
      <c r="BL478" s="547" t="s">
        <v>116</v>
      </c>
      <c r="BM478" s="547" t="s">
        <v>709</v>
      </c>
      <c r="BN478" s="547" t="s">
        <v>709</v>
      </c>
      <c r="BO478" s="547" t="s">
        <v>709</v>
      </c>
      <c r="BP478" s="547" t="s">
        <v>709</v>
      </c>
      <c r="BQ478" s="547" t="s">
        <v>709</v>
      </c>
      <c r="BR478" s="547">
        <v>53</v>
      </c>
      <c r="BS478" s="547">
        <v>6</v>
      </c>
      <c r="BT478" s="547" t="s">
        <v>745</v>
      </c>
      <c r="BU478" s="547" t="s">
        <v>709</v>
      </c>
      <c r="BV478" s="547" t="s">
        <v>745</v>
      </c>
      <c r="BW478" s="547" t="s">
        <v>709</v>
      </c>
      <c r="BX478" s="547" t="s">
        <v>745</v>
      </c>
      <c r="BY478" s="547" t="s">
        <v>2788</v>
      </c>
      <c r="BZ478" s="547" t="s">
        <v>709</v>
      </c>
      <c r="CA478" s="483"/>
      <c r="CB478" s="547">
        <v>477</v>
      </c>
      <c r="CC478" s="1481" t="b">
        <v>1</v>
      </c>
      <c r="CD478" t="str">
        <f>Table15[[#This Row],[Engineering Number]]&amp;Table15[[#This Row],[WO Number]]&amp;Table15[[#This Row],[Date Assigned to Designer]]&amp;Table15[[#This Row],[Date Completed]]</f>
        <v>NBA199451316106684443244550</v>
      </c>
    </row>
    <row r="479" spans="1:82" customFormat="1" ht="15" customHeight="1" x14ac:dyDescent="0.25">
      <c r="A479">
        <v>2021</v>
      </c>
      <c r="B479" s="8" t="s">
        <v>1073</v>
      </c>
      <c r="C479" s="8" t="s">
        <v>3914</v>
      </c>
      <c r="D479" s="8" t="s">
        <v>3918</v>
      </c>
      <c r="E479" s="8" t="s">
        <v>426</v>
      </c>
      <c r="F479" s="8" t="s">
        <v>738</v>
      </c>
      <c r="G479" s="8" t="s">
        <v>22</v>
      </c>
      <c r="H479" s="8" t="s">
        <v>59</v>
      </c>
      <c r="I479" s="642">
        <v>44432</v>
      </c>
      <c r="J479" s="18">
        <v>44551</v>
      </c>
      <c r="K479" s="97">
        <v>44550</v>
      </c>
      <c r="L479" s="16">
        <f>IF(ISTEXT(Table15[[#This Row],[Engineering Approved Design Date]]),Table15[[#This Row],[Date Completed]]-Table15[[#This Row],[Date Assigned to Designer]],Table15[[#This Row],[Engineering Approved Design Date]]-Table15[[#This Row],[Date Completed]])</f>
        <v>1</v>
      </c>
      <c r="M479" s="642"/>
      <c r="N479" s="642" t="s">
        <v>120</v>
      </c>
      <c r="O479" s="1025">
        <f>Table15[[#This Row],[Date Completed]]</f>
        <v>44550</v>
      </c>
      <c r="P479" s="21" t="s">
        <v>739</v>
      </c>
      <c r="Q479" s="340">
        <f t="shared" si="11"/>
        <v>3176.194</v>
      </c>
      <c r="R479" s="1026">
        <v>7.0000000000000007E-2</v>
      </c>
      <c r="S479" s="538" t="s">
        <v>709</v>
      </c>
      <c r="T479" s="538" t="s">
        <v>709</v>
      </c>
      <c r="U479" s="87" t="s">
        <v>709</v>
      </c>
      <c r="V479" s="858">
        <v>1</v>
      </c>
      <c r="W479" s="437"/>
      <c r="X479" s="556">
        <v>45374.2</v>
      </c>
      <c r="Y479" s="550"/>
      <c r="Z479" s="538"/>
      <c r="AA479" s="538">
        <f>Table15[[#This Row],[PCTS Investment Amount]]+Table15[[#This Row],[PCTS Retirement Amount]]</f>
        <v>45374.2</v>
      </c>
      <c r="AB479" s="341"/>
      <c r="AC479" s="568" t="s">
        <v>3919</v>
      </c>
      <c r="AD479" s="1157"/>
      <c r="AE479" s="568"/>
      <c r="AF479" s="568"/>
      <c r="AG479" s="568"/>
      <c r="AH479" s="183"/>
      <c r="AI479" s="1036"/>
      <c r="AJ479" s="1037"/>
      <c r="AK479" s="1037"/>
      <c r="AL479" s="1038"/>
      <c r="AM479" s="1522" t="s">
        <v>116</v>
      </c>
      <c r="AN479" s="1523">
        <v>44599</v>
      </c>
      <c r="AO479" s="1524">
        <v>11039544</v>
      </c>
      <c r="AP479" s="1525">
        <v>57599.51</v>
      </c>
      <c r="AQ479" s="1525"/>
      <c r="AR479" s="1525">
        <v>10000</v>
      </c>
      <c r="AS479" s="1525">
        <f>IF(Table15[[#This Row],[PCTS Approved]]="N",0,Table15[[#This Row],[Investment Amount (1'#'#'#'#'#)]]+Table15[[#This Row],[Retirement Amount (3'#'#'#'#'#)]])</f>
        <v>67599.510000000009</v>
      </c>
      <c r="AT479" s="1525">
        <f>IF(Table15[[#This Row],[Approved Construction Cost]]=0,0,Table15[[#This Row],[Approved Construction Cost]]-Table15[[#This Row],[Construction Cost to Bill From]])</f>
        <v>22225.310000000012</v>
      </c>
      <c r="AU479" s="1525">
        <f>IFERROR(Table15[[#This Row],[Difference in Construction Cost]]*Table15[[#This Row],[Rate]],Table15[[#This Row],[Difference in Construction Cost]]*0.085)</f>
        <v>1555.7717000000009</v>
      </c>
      <c r="AV479" s="1525" t="s">
        <v>709</v>
      </c>
      <c r="AW479" s="1526" t="s">
        <v>2886</v>
      </c>
      <c r="AX479" s="1525">
        <f>Table15[[#This Row],[Reconcile Amount]]</f>
        <v>1555.7717000000009</v>
      </c>
      <c r="AY479" s="1518">
        <v>45008</v>
      </c>
      <c r="AZ479" s="333"/>
      <c r="BA479" s="1031" t="s">
        <v>3920</v>
      </c>
      <c r="BB479" s="644" t="s">
        <v>1078</v>
      </c>
      <c r="BC479" s="544" t="s">
        <v>709</v>
      </c>
      <c r="BD479" s="544" t="s">
        <v>709</v>
      </c>
      <c r="BE479" s="544" t="s">
        <v>1396</v>
      </c>
      <c r="BF479" s="544" t="s">
        <v>709</v>
      </c>
      <c r="BG479" s="544" t="s">
        <v>709</v>
      </c>
      <c r="BH479" s="741"/>
      <c r="BI479" s="547" t="s">
        <v>709</v>
      </c>
      <c r="BJ479" s="547" t="s">
        <v>709</v>
      </c>
      <c r="BK479" s="547" t="s">
        <v>116</v>
      </c>
      <c r="BL479" s="547" t="s">
        <v>116</v>
      </c>
      <c r="BM479" s="547" t="s">
        <v>709</v>
      </c>
      <c r="BN479" s="547" t="s">
        <v>709</v>
      </c>
      <c r="BO479" s="547" t="s">
        <v>709</v>
      </c>
      <c r="BP479" s="547" t="s">
        <v>709</v>
      </c>
      <c r="BQ479" s="547" t="s">
        <v>709</v>
      </c>
      <c r="BR479" s="547">
        <v>53</v>
      </c>
      <c r="BS479" s="547">
        <v>6</v>
      </c>
      <c r="BT479" s="547" t="s">
        <v>745</v>
      </c>
      <c r="BU479" s="547" t="s">
        <v>709</v>
      </c>
      <c r="BV479" s="547" t="s">
        <v>745</v>
      </c>
      <c r="BW479" s="547" t="s">
        <v>709</v>
      </c>
      <c r="BX479" s="547" t="s">
        <v>745</v>
      </c>
      <c r="BY479" s="547" t="s">
        <v>2788</v>
      </c>
      <c r="BZ479" s="547" t="s">
        <v>709</v>
      </c>
      <c r="CA479" s="483"/>
      <c r="CB479" s="547">
        <v>478</v>
      </c>
      <c r="CC479" s="1481" t="b">
        <v>1</v>
      </c>
      <c r="CD479" t="str">
        <f>Table15[[#This Row],[Engineering Number]]&amp;Table15[[#This Row],[WO Number]]&amp;Table15[[#This Row],[Date Assigned to Designer]]&amp;Table15[[#This Row],[Date Completed]]</f>
        <v>NBA199451316106694443244550</v>
      </c>
    </row>
    <row r="480" spans="1:82" customFormat="1" ht="15" customHeight="1" x14ac:dyDescent="0.25">
      <c r="A480">
        <v>2021</v>
      </c>
      <c r="B480" s="8" t="s">
        <v>771</v>
      </c>
      <c r="C480" s="8" t="s">
        <v>3922</v>
      </c>
      <c r="D480" s="8" t="s">
        <v>3923</v>
      </c>
      <c r="E480" s="8" t="s">
        <v>2298</v>
      </c>
      <c r="F480" s="8" t="s">
        <v>919</v>
      </c>
      <c r="G480" s="8" t="s">
        <v>36</v>
      </c>
      <c r="H480" s="8" t="s">
        <v>59</v>
      </c>
      <c r="I480" s="642">
        <v>44408</v>
      </c>
      <c r="J480" s="18">
        <v>44568</v>
      </c>
      <c r="K480" s="97">
        <v>44550</v>
      </c>
      <c r="L480" s="16">
        <f>IF(ISTEXT(Table15[[#This Row],[Engineering Approved Design Date]]),Table15[[#This Row],[Date Completed]]-Table15[[#This Row],[Date Assigned to Designer]],Table15[[#This Row],[Engineering Approved Design Date]]-Table15[[#This Row],[Date Completed]])</f>
        <v>18</v>
      </c>
      <c r="M480" s="642"/>
      <c r="N480" s="642" t="s">
        <v>120</v>
      </c>
      <c r="O480" s="1025">
        <f>Table15[[#This Row],[Date Completed]]</f>
        <v>44550</v>
      </c>
      <c r="P480" s="21" t="s">
        <v>120</v>
      </c>
      <c r="Q480" s="1151">
        <f>1.55*Table15[[#This Row],[LF of Main]]</f>
        <v>24166.05</v>
      </c>
      <c r="R480" s="1026" t="s">
        <v>2087</v>
      </c>
      <c r="S480" s="538" t="s">
        <v>709</v>
      </c>
      <c r="T480" s="538" t="s">
        <v>709</v>
      </c>
      <c r="U480" s="87" t="s">
        <v>709</v>
      </c>
      <c r="V480" s="858">
        <v>15591</v>
      </c>
      <c r="W480" s="437"/>
      <c r="X480" s="538">
        <v>2420672.46</v>
      </c>
      <c r="Y480" s="550"/>
      <c r="Z480" s="538">
        <v>46144.21</v>
      </c>
      <c r="AA480" s="538">
        <f>Table15[[#This Row],[PCTS Investment Amount]]+Table15[[#This Row],[PCTS Retirement Amount]]</f>
        <v>2466816.67</v>
      </c>
      <c r="AB480" s="341"/>
      <c r="AC480" s="568" t="s">
        <v>709</v>
      </c>
      <c r="AD480" s="1157"/>
      <c r="AE480" s="568"/>
      <c r="AF480" s="568"/>
      <c r="AG480" s="568"/>
      <c r="AH480" s="183"/>
      <c r="AI480" s="1036"/>
      <c r="AJ480" s="1037"/>
      <c r="AK480" s="1037"/>
      <c r="AL480" s="1038"/>
      <c r="AM480" s="542" t="s">
        <v>709</v>
      </c>
      <c r="AN480" s="924"/>
      <c r="AO480" s="925"/>
      <c r="AP480" s="926"/>
      <c r="AQ480" s="926"/>
      <c r="AR480" s="926"/>
      <c r="AS480" s="926"/>
      <c r="AT480" s="926"/>
      <c r="AU480" s="926"/>
      <c r="AV480" s="926"/>
      <c r="AW480" s="927"/>
      <c r="AX480" s="926"/>
      <c r="AY480" s="1538" t="s">
        <v>29</v>
      </c>
      <c r="AZ480" s="1530"/>
      <c r="BA480" s="1031" t="s">
        <v>3924</v>
      </c>
      <c r="BB480" s="644" t="s">
        <v>3925</v>
      </c>
      <c r="BC480" s="544" t="s">
        <v>116</v>
      </c>
      <c r="BD480" s="544" t="s">
        <v>709</v>
      </c>
      <c r="BE480" s="544" t="s">
        <v>3119</v>
      </c>
      <c r="BF480" s="544" t="s">
        <v>3926</v>
      </c>
      <c r="BG480" s="544" t="s">
        <v>709</v>
      </c>
      <c r="BH480" s="741"/>
      <c r="BI480" s="547" t="s">
        <v>709</v>
      </c>
      <c r="BJ480" s="547" t="s">
        <v>709</v>
      </c>
      <c r="BK480" s="547" t="s">
        <v>709</v>
      </c>
      <c r="BL480" s="547" t="s">
        <v>116</v>
      </c>
      <c r="BM480" s="547" t="s">
        <v>709</v>
      </c>
      <c r="BN480" s="547" t="s">
        <v>709</v>
      </c>
      <c r="BO480" s="547" t="s">
        <v>709</v>
      </c>
      <c r="BP480" s="547" t="s">
        <v>709</v>
      </c>
      <c r="BQ480" s="547" t="s">
        <v>709</v>
      </c>
      <c r="BR480" s="547">
        <v>2300</v>
      </c>
      <c r="BS480" s="547">
        <v>13293</v>
      </c>
      <c r="BT480" s="547" t="s">
        <v>745</v>
      </c>
      <c r="BU480" s="547" t="s">
        <v>709</v>
      </c>
      <c r="BV480" s="547" t="s">
        <v>745</v>
      </c>
      <c r="BW480" s="547" t="s">
        <v>709</v>
      </c>
      <c r="BX480" s="547" t="s">
        <v>745</v>
      </c>
      <c r="BY480" s="547" t="s">
        <v>745</v>
      </c>
      <c r="BZ480" s="547" t="s">
        <v>709</v>
      </c>
      <c r="CA480" s="483"/>
      <c r="CB480" s="547">
        <v>473</v>
      </c>
      <c r="CC480" s="1481" t="b">
        <v>1</v>
      </c>
      <c r="CD480" t="str">
        <f>Table15[[#This Row],[Engineering Number]]&amp;Table15[[#This Row],[WO Number]]&amp;Table15[[#This Row],[Date Assigned to Designer]]&amp;Table15[[#This Row],[Date Completed]]</f>
        <v>VW9812104804440844550</v>
      </c>
    </row>
    <row r="481" spans="1:82" customFormat="1" ht="15" customHeight="1" x14ac:dyDescent="0.25">
      <c r="A481">
        <v>2022</v>
      </c>
      <c r="B481" s="8" t="s">
        <v>771</v>
      </c>
      <c r="C481" s="8" t="s">
        <v>3940</v>
      </c>
      <c r="D481" s="8" t="s">
        <v>3941</v>
      </c>
      <c r="E481" s="8" t="s">
        <v>3942</v>
      </c>
      <c r="F481" s="8" t="s">
        <v>919</v>
      </c>
      <c r="G481" s="8" t="s">
        <v>23</v>
      </c>
      <c r="H481" s="8" t="s">
        <v>59</v>
      </c>
      <c r="I481" s="642">
        <v>44460</v>
      </c>
      <c r="J481" s="18">
        <v>44551</v>
      </c>
      <c r="K481" s="97">
        <v>44551</v>
      </c>
      <c r="L481" s="16">
        <f>IF(ISTEXT(Table15[[#This Row],[Engineering Approved Design Date]]),Table15[[#This Row],[Date Completed]]-Table15[[#This Row],[Date Assigned to Designer]],Table15[[#This Row],[Engineering Approved Design Date]]-Table15[[#This Row],[Date Completed]])</f>
        <v>0</v>
      </c>
      <c r="M481" s="642"/>
      <c r="N481" s="642" t="s">
        <v>120</v>
      </c>
      <c r="O481" s="1025">
        <f>Table15[[#This Row],[Date Completed]]</f>
        <v>44551</v>
      </c>
      <c r="P481" s="21" t="s">
        <v>120</v>
      </c>
      <c r="Q481" s="1151">
        <f>1.55*Table15[[#This Row],[LF of Main]]</f>
        <v>21357.45</v>
      </c>
      <c r="R481" s="1026" t="s">
        <v>2087</v>
      </c>
      <c r="S481" s="538" t="s">
        <v>709</v>
      </c>
      <c r="T481" s="538" t="s">
        <v>709</v>
      </c>
      <c r="U481" s="87" t="s">
        <v>709</v>
      </c>
      <c r="V481" s="858">
        <v>13779</v>
      </c>
      <c r="W481" s="437"/>
      <c r="X481" s="538">
        <v>2848803.45</v>
      </c>
      <c r="Y481" s="550"/>
      <c r="Z481" s="538">
        <v>268836.17</v>
      </c>
      <c r="AA481" s="538">
        <f>Table15[[#This Row],[PCTS Investment Amount]]+Table15[[#This Row],[PCTS Retirement Amount]]</f>
        <v>3117639.62</v>
      </c>
      <c r="AB481" s="341"/>
      <c r="AC481" s="568" t="s">
        <v>709</v>
      </c>
      <c r="AD481" s="1157"/>
      <c r="AE481" s="568"/>
      <c r="AF481" s="568"/>
      <c r="AG481" s="568"/>
      <c r="AH481" s="183"/>
      <c r="AI481" s="1036"/>
      <c r="AJ481" s="1037"/>
      <c r="AK481" s="1037"/>
      <c r="AL481" s="1038"/>
      <c r="AM481" s="542" t="s">
        <v>709</v>
      </c>
      <c r="AN481" s="924"/>
      <c r="AO481" s="925"/>
      <c r="AP481" s="926"/>
      <c r="AQ481" s="926"/>
      <c r="AR481" s="926"/>
      <c r="AS481" s="926"/>
      <c r="AT481" s="926"/>
      <c r="AU481" s="926"/>
      <c r="AV481" s="926"/>
      <c r="AW481" s="927"/>
      <c r="AX481" s="926"/>
      <c r="AY481" s="1538" t="s">
        <v>29</v>
      </c>
      <c r="AZ481" s="1530"/>
      <c r="BA481" s="1031" t="s">
        <v>3943</v>
      </c>
      <c r="BB481" s="644" t="s">
        <v>3944</v>
      </c>
      <c r="BC481" s="544" t="s">
        <v>116</v>
      </c>
      <c r="BD481" s="544" t="s">
        <v>709</v>
      </c>
      <c r="BE481" s="544" t="s">
        <v>3945</v>
      </c>
      <c r="BF481" s="544" t="s">
        <v>709</v>
      </c>
      <c r="BG481" s="544" t="s">
        <v>709</v>
      </c>
      <c r="BH481" s="741"/>
      <c r="BI481" s="547" t="s">
        <v>709</v>
      </c>
      <c r="BJ481" s="547" t="s">
        <v>709</v>
      </c>
      <c r="BK481" s="547" t="s">
        <v>709</v>
      </c>
      <c r="BL481" s="547" t="s">
        <v>116</v>
      </c>
      <c r="BM481" s="547" t="s">
        <v>709</v>
      </c>
      <c r="BN481" s="547" t="s">
        <v>709</v>
      </c>
      <c r="BO481" s="547" t="s">
        <v>709</v>
      </c>
      <c r="BP481" s="547" t="s">
        <v>709</v>
      </c>
      <c r="BQ481" s="547" t="s">
        <v>709</v>
      </c>
      <c r="BR481" s="547">
        <v>4846</v>
      </c>
      <c r="BS481" s="547">
        <v>8933</v>
      </c>
      <c r="BT481" s="547" t="s">
        <v>709</v>
      </c>
      <c r="BU481" s="547" t="s">
        <v>709</v>
      </c>
      <c r="BV481" s="547" t="s">
        <v>745</v>
      </c>
      <c r="BW481" s="547" t="s">
        <v>709</v>
      </c>
      <c r="BX481" s="547" t="s">
        <v>709</v>
      </c>
      <c r="BY481" s="547" t="s">
        <v>745</v>
      </c>
      <c r="BZ481" s="547" t="s">
        <v>709</v>
      </c>
      <c r="CA481" s="483"/>
      <c r="CB481" s="547">
        <v>479</v>
      </c>
      <c r="CC481" s="1481" t="b">
        <v>1</v>
      </c>
      <c r="CD481" t="str">
        <f>Table15[[#This Row],[Engineering Number]]&amp;Table15[[#This Row],[WO Number]]&amp;Table15[[#This Row],[Date Assigned to Designer]]&amp;Table15[[#This Row],[Date Completed]]</f>
        <v>VW18912106624446044551</v>
      </c>
    </row>
    <row r="482" spans="1:82" customFormat="1" ht="15" customHeight="1" x14ac:dyDescent="0.25">
      <c r="A482">
        <v>2022</v>
      </c>
      <c r="B482" s="8" t="s">
        <v>1073</v>
      </c>
      <c r="C482" s="8" t="s">
        <v>210</v>
      </c>
      <c r="D482" s="8" t="s">
        <v>3718</v>
      </c>
      <c r="E482" s="8" t="s">
        <v>966</v>
      </c>
      <c r="F482" s="8" t="s">
        <v>738</v>
      </c>
      <c r="G482" s="8" t="s">
        <v>2814</v>
      </c>
      <c r="H482" s="8" t="s">
        <v>3178</v>
      </c>
      <c r="I482" s="642">
        <v>44546</v>
      </c>
      <c r="J482" s="18" t="s">
        <v>2052</v>
      </c>
      <c r="K482" s="97">
        <v>44553</v>
      </c>
      <c r="L482" s="1054">
        <f>IF(ISTEXT(Table15[[#This Row],[Engineering Approved Design Date]]),Table15[[#This Row],[Date Completed]]-Table15[[#This Row],[Date Assigned to Designer]],Table15[[#This Row],[Engineering Approved Design Date]]-Table15[[#This Row],[Date Completed]])</f>
        <v>7</v>
      </c>
      <c r="M482" s="13" t="s">
        <v>3959</v>
      </c>
      <c r="N482" s="642" t="s">
        <v>120</v>
      </c>
      <c r="O482" s="1025">
        <f>Table15[[#This Row],[Date Completed]]</f>
        <v>44553</v>
      </c>
      <c r="P482" s="21" t="s">
        <v>739</v>
      </c>
      <c r="Q482" s="1151">
        <f>U482</f>
        <v>3175</v>
      </c>
      <c r="R482" s="1026" t="s">
        <v>1922</v>
      </c>
      <c r="S482" s="538" t="s">
        <v>709</v>
      </c>
      <c r="T482" s="538" t="s">
        <v>709</v>
      </c>
      <c r="U482" s="87">
        <v>3175</v>
      </c>
      <c r="V482" s="858"/>
      <c r="W482" s="437"/>
      <c r="X482" s="538"/>
      <c r="Y482" s="550"/>
      <c r="Z482" s="538"/>
      <c r="AA482" s="538"/>
      <c r="AB482" s="21"/>
      <c r="AC482" s="569"/>
      <c r="AD482" s="1149"/>
      <c r="AE482" s="569"/>
      <c r="AF482" s="569"/>
      <c r="AG482" s="569"/>
      <c r="AH482" s="536"/>
      <c r="AI482" s="1028"/>
      <c r="AJ482" s="1029"/>
      <c r="AK482" s="1029"/>
      <c r="AL482" s="1030"/>
      <c r="AM482" s="542" t="s">
        <v>709</v>
      </c>
      <c r="AN482" s="924"/>
      <c r="AO482" s="925"/>
      <c r="AP482" s="926"/>
      <c r="AQ482" s="926"/>
      <c r="AR482" s="926"/>
      <c r="AS482" s="926"/>
      <c r="AT482" s="926"/>
      <c r="AU482" s="926"/>
      <c r="AV482" s="926"/>
      <c r="AW482" s="927"/>
      <c r="AX482" s="926"/>
      <c r="AY482" s="1538" t="s">
        <v>29</v>
      </c>
      <c r="AZ482" s="1530"/>
      <c r="BA482" s="1031">
        <v>12</v>
      </c>
      <c r="BB482" s="644"/>
      <c r="BC482" s="544"/>
      <c r="BD482" s="544"/>
      <c r="BE482" s="544"/>
      <c r="BF482" s="544"/>
      <c r="BG482" s="544"/>
      <c r="BH482" s="741"/>
      <c r="BI482" s="547" t="s">
        <v>709</v>
      </c>
      <c r="BJ482" s="547" t="s">
        <v>709</v>
      </c>
      <c r="BK482" s="547" t="s">
        <v>709</v>
      </c>
      <c r="BL482" s="547" t="s">
        <v>116</v>
      </c>
      <c r="BM482" s="547" t="s">
        <v>709</v>
      </c>
      <c r="BN482" s="547" t="s">
        <v>709</v>
      </c>
      <c r="BO482" s="547" t="s">
        <v>709</v>
      </c>
      <c r="BP482" s="547">
        <v>393</v>
      </c>
      <c r="BQ482" s="547" t="s">
        <v>709</v>
      </c>
      <c r="BR482" s="547" t="s">
        <v>709</v>
      </c>
      <c r="BS482" s="547" t="s">
        <v>709</v>
      </c>
      <c r="BT482" s="547" t="s">
        <v>745</v>
      </c>
      <c r="BU482" s="547" t="s">
        <v>709</v>
      </c>
      <c r="BV482" s="547" t="s">
        <v>745</v>
      </c>
      <c r="BW482" s="547" t="s">
        <v>709</v>
      </c>
      <c r="BX482" s="547" t="s">
        <v>745</v>
      </c>
      <c r="BY482" s="547" t="s">
        <v>745</v>
      </c>
      <c r="BZ482" s="547" t="s">
        <v>709</v>
      </c>
      <c r="CA482" s="483"/>
      <c r="CB482" s="547">
        <v>483</v>
      </c>
      <c r="CC482" s="1481" t="b">
        <v>1</v>
      </c>
      <c r="CD482" t="str">
        <f>Table15[[#This Row],[Engineering Number]]&amp;Table15[[#This Row],[WO Number]]&amp;Table15[[#This Row],[Date Assigned to Designer]]&amp;Table15[[#This Row],[Date Completed]]</f>
        <v>NBA1000125415105804454644553</v>
      </c>
    </row>
    <row r="483" spans="1:82" customFormat="1" ht="15" customHeight="1" x14ac:dyDescent="0.25">
      <c r="A483">
        <v>2021</v>
      </c>
      <c r="B483" s="8" t="s">
        <v>4</v>
      </c>
      <c r="C483" s="8" t="s">
        <v>121</v>
      </c>
      <c r="D483" s="8">
        <v>120391</v>
      </c>
      <c r="E483" s="8" t="s">
        <v>122</v>
      </c>
      <c r="F483" s="8" t="s">
        <v>919</v>
      </c>
      <c r="G483" s="8" t="s">
        <v>36</v>
      </c>
      <c r="H483" s="8" t="s">
        <v>3178</v>
      </c>
      <c r="I483" s="642">
        <v>44363</v>
      </c>
      <c r="J483" s="18" t="s">
        <v>2052</v>
      </c>
      <c r="K483" s="97">
        <v>44553</v>
      </c>
      <c r="L483" s="16">
        <f>IF(ISTEXT(Table15[[#This Row],[Engineering Approved Design Date]]),Table15[[#This Row],[Date Completed]]-Table15[[#This Row],[Date Assigned to Designer]],Table15[[#This Row],[Engineering Approved Design Date]]-Table15[[#This Row],[Date Completed]])</f>
        <v>190</v>
      </c>
      <c r="M483" s="642" t="s">
        <v>3947</v>
      </c>
      <c r="N483" s="642" t="s">
        <v>120</v>
      </c>
      <c r="O483" s="1025">
        <f>Table15[[#This Row],[Date Completed]]</f>
        <v>44553</v>
      </c>
      <c r="P483" s="21" t="s">
        <v>739</v>
      </c>
      <c r="Q483" s="1151">
        <f>U483</f>
        <v>7930</v>
      </c>
      <c r="R483" s="1026" t="s">
        <v>1922</v>
      </c>
      <c r="S483" s="538" t="s">
        <v>709</v>
      </c>
      <c r="T483" s="538" t="s">
        <v>709</v>
      </c>
      <c r="U483" s="87">
        <v>7930</v>
      </c>
      <c r="V483" s="858"/>
      <c r="W483" s="437"/>
      <c r="X483" s="538"/>
      <c r="Y483" s="550"/>
      <c r="Z483" s="538"/>
      <c r="AA483" s="538"/>
      <c r="AB483" s="21"/>
      <c r="AC483" s="569"/>
      <c r="AD483" s="1149"/>
      <c r="AE483" s="580"/>
      <c r="AF483" s="580"/>
      <c r="AG483" s="580"/>
      <c r="AH483" s="542"/>
      <c r="AI483" s="1028"/>
      <c r="AJ483" s="1029"/>
      <c r="AK483" s="1029"/>
      <c r="AL483" s="1030"/>
      <c r="AM483" s="542" t="s">
        <v>709</v>
      </c>
      <c r="AN483" s="924"/>
      <c r="AO483" s="925"/>
      <c r="AP483" s="926"/>
      <c r="AQ483" s="926"/>
      <c r="AR483" s="926"/>
      <c r="AS483" s="926"/>
      <c r="AT483" s="926"/>
      <c r="AU483" s="926"/>
      <c r="AV483" s="926"/>
      <c r="AW483" s="927"/>
      <c r="AX483" s="926"/>
      <c r="AY483" s="1538" t="s">
        <v>29</v>
      </c>
      <c r="AZ483" s="1530"/>
      <c r="BA483" s="1031">
        <v>12</v>
      </c>
      <c r="BB483" s="644"/>
      <c r="BC483" s="544"/>
      <c r="BD483" s="544"/>
      <c r="BE483" s="544"/>
      <c r="BF483" s="544"/>
      <c r="BG483" s="544"/>
      <c r="BH483" s="741"/>
      <c r="BI483" s="547" t="s">
        <v>709</v>
      </c>
      <c r="BJ483" s="547" t="s">
        <v>709</v>
      </c>
      <c r="BK483" s="547" t="s">
        <v>709</v>
      </c>
      <c r="BL483" s="547" t="s">
        <v>116</v>
      </c>
      <c r="BM483" s="547" t="s">
        <v>709</v>
      </c>
      <c r="BN483" s="547" t="s">
        <v>709</v>
      </c>
      <c r="BO483" s="547" t="s">
        <v>709</v>
      </c>
      <c r="BP483" s="547">
        <v>3618</v>
      </c>
      <c r="BQ483" s="547">
        <v>2805</v>
      </c>
      <c r="BR483" s="547">
        <v>12</v>
      </c>
      <c r="BS483" s="547">
        <v>291</v>
      </c>
      <c r="BT483" s="547" t="s">
        <v>745</v>
      </c>
      <c r="BU483" s="547" t="s">
        <v>709</v>
      </c>
      <c r="BV483" s="547" t="s">
        <v>745</v>
      </c>
      <c r="BW483" s="547" t="s">
        <v>709</v>
      </c>
      <c r="BX483" s="547" t="s">
        <v>745</v>
      </c>
      <c r="BY483" s="547" t="s">
        <v>745</v>
      </c>
      <c r="BZ483" s="547" t="s">
        <v>709</v>
      </c>
      <c r="CA483" s="483"/>
      <c r="CB483" s="547">
        <v>480</v>
      </c>
      <c r="CC483" s="1481" t="b">
        <v>1</v>
      </c>
      <c r="CD483" t="str">
        <f>Table15[[#This Row],[Engineering Number]]&amp;Table15[[#This Row],[WO Number]]&amp;Table15[[#This Row],[Date Assigned to Designer]]&amp;Table15[[#This Row],[Date Completed]]</f>
        <v>M106931203914436344553</v>
      </c>
    </row>
    <row r="484" spans="1:82" customFormat="1" ht="15" customHeight="1" x14ac:dyDescent="0.25">
      <c r="A484">
        <v>2021</v>
      </c>
      <c r="B484" s="8" t="s">
        <v>1073</v>
      </c>
      <c r="C484" s="8" t="s">
        <v>3951</v>
      </c>
      <c r="D484" s="8" t="s">
        <v>3952</v>
      </c>
      <c r="E484" s="8" t="s">
        <v>2187</v>
      </c>
      <c r="F484" s="8" t="s">
        <v>919</v>
      </c>
      <c r="G484" s="8" t="s">
        <v>2814</v>
      </c>
      <c r="H484" s="8" t="s">
        <v>59</v>
      </c>
      <c r="I484" s="642">
        <v>44504</v>
      </c>
      <c r="J484" s="18">
        <v>44574</v>
      </c>
      <c r="K484" s="642">
        <v>44553</v>
      </c>
      <c r="L484" s="16">
        <f>IF(ISTEXT(Table15[[#This Row],[Engineering Approved Design Date]]),Table15[[#This Row],[Date Completed]]-Table15[[#This Row],[Date Assigned to Designer]],Table15[[#This Row],[Engineering Approved Design Date]]-Table15[[#This Row],[Date Completed]])</f>
        <v>21</v>
      </c>
      <c r="M484" s="642"/>
      <c r="N484" s="642" t="s">
        <v>120</v>
      </c>
      <c r="O484" s="1025">
        <f>Table15[[#This Row],[Date Completed]]</f>
        <v>44553</v>
      </c>
      <c r="P484" s="21" t="s">
        <v>739</v>
      </c>
      <c r="Q484" s="340">
        <f>R484*AA484</f>
        <v>49751.992500000008</v>
      </c>
      <c r="R484" s="1026">
        <v>7.0000000000000007E-2</v>
      </c>
      <c r="S484" s="538" t="s">
        <v>709</v>
      </c>
      <c r="T484" s="538" t="s">
        <v>709</v>
      </c>
      <c r="U484" s="87" t="s">
        <v>709</v>
      </c>
      <c r="V484" s="857">
        <v>9486</v>
      </c>
      <c r="W484" s="440"/>
      <c r="X484" s="550">
        <v>668287.15</v>
      </c>
      <c r="Y484" s="550"/>
      <c r="Z484" s="550">
        <v>42455.6</v>
      </c>
      <c r="AA484" s="551">
        <f>Table15[[#This Row],[PCTS Investment Amount]]+Table15[[#This Row],[PCTS Retirement Amount]]</f>
        <v>710742.75</v>
      </c>
      <c r="AB484" s="341"/>
      <c r="AC484" s="568" t="s">
        <v>709</v>
      </c>
      <c r="AD484" s="1157"/>
      <c r="AE484" s="568"/>
      <c r="AF484" s="568"/>
      <c r="AG484" s="568"/>
      <c r="AH484" s="183"/>
      <c r="AI484" s="1036"/>
      <c r="AJ484" s="1037"/>
      <c r="AK484" s="1037"/>
      <c r="AL484" s="1038"/>
      <c r="AM484" s="1522" t="s">
        <v>116</v>
      </c>
      <c r="AN484" s="1523">
        <v>44685</v>
      </c>
      <c r="AO484" s="1524">
        <v>11041217</v>
      </c>
      <c r="AP484" s="1525">
        <v>668294.87</v>
      </c>
      <c r="AQ484" s="1525"/>
      <c r="AR484" s="1525">
        <v>43270.91</v>
      </c>
      <c r="AS484" s="1525">
        <f>IF(Table15[[#This Row],[PCTS Approved]]="N",0,Table15[[#This Row],[Investment Amount (1'#'#'#'#'#)]]+Table15[[#This Row],[Retirement Amount (3'#'#'#'#'#)]])</f>
        <v>711565.78</v>
      </c>
      <c r="AT484" s="1525">
        <f>IF(Table15[[#This Row],[Approved Construction Cost]]=0,0,Table15[[#This Row],[Approved Construction Cost]]-Table15[[#This Row],[Construction Cost to Bill From]])</f>
        <v>823.03000000002794</v>
      </c>
      <c r="AU484" s="1525">
        <f>IFERROR(Table15[[#This Row],[Difference in Construction Cost]]*Table15[[#This Row],[Rate]],Table15[[#This Row],[Difference in Construction Cost]]*0.085)</f>
        <v>57.612100000001959</v>
      </c>
      <c r="AV484" s="1525">
        <v>4475</v>
      </c>
      <c r="AW484" s="1526" t="s">
        <v>3953</v>
      </c>
      <c r="AX484" s="1525">
        <v>0</v>
      </c>
      <c r="AY484" s="1518">
        <v>45008</v>
      </c>
      <c r="AZ484" s="333"/>
      <c r="BA484" s="1031" t="s">
        <v>3954</v>
      </c>
      <c r="BB484" s="644" t="s">
        <v>3955</v>
      </c>
      <c r="BC484" s="544" t="s">
        <v>709</v>
      </c>
      <c r="BD484" s="544" t="s">
        <v>3956</v>
      </c>
      <c r="BE484" s="544" t="s">
        <v>709</v>
      </c>
      <c r="BF484" s="544" t="s">
        <v>3957</v>
      </c>
      <c r="BG484" s="544" t="s">
        <v>709</v>
      </c>
      <c r="BH484" s="741"/>
      <c r="BI484" s="547" t="s">
        <v>709</v>
      </c>
      <c r="BJ484" s="547" t="s">
        <v>709</v>
      </c>
      <c r="BK484" s="547" t="s">
        <v>709</v>
      </c>
      <c r="BL484" s="547" t="s">
        <v>116</v>
      </c>
      <c r="BM484" s="547" t="s">
        <v>709</v>
      </c>
      <c r="BN484" s="547" t="s">
        <v>709</v>
      </c>
      <c r="BO484" s="547" t="s">
        <v>709</v>
      </c>
      <c r="BP484" s="547" t="s">
        <v>709</v>
      </c>
      <c r="BQ484" s="547" t="s">
        <v>709</v>
      </c>
      <c r="BR484" s="547">
        <v>9486</v>
      </c>
      <c r="BS484" s="547" t="s">
        <v>709</v>
      </c>
      <c r="BT484" s="547" t="s">
        <v>709</v>
      </c>
      <c r="BU484" s="547" t="s">
        <v>709</v>
      </c>
      <c r="BV484" s="547" t="s">
        <v>745</v>
      </c>
      <c r="BW484" s="547" t="s">
        <v>709</v>
      </c>
      <c r="BX484" s="547" t="s">
        <v>709</v>
      </c>
      <c r="BY484" s="547" t="s">
        <v>745</v>
      </c>
      <c r="BZ484" s="547" t="s">
        <v>709</v>
      </c>
      <c r="CA484" s="483"/>
      <c r="CB484" s="547">
        <v>482</v>
      </c>
      <c r="CC484" s="1481" t="b">
        <v>1</v>
      </c>
      <c r="CD484" t="str">
        <f>Table15[[#This Row],[Engineering Number]]&amp;Table15[[#This Row],[WO Number]]&amp;Table15[[#This Row],[Date Assigned to Designer]]&amp;Table15[[#This Row],[Date Completed]]</f>
        <v>NBA197091319107374450444553</v>
      </c>
    </row>
    <row r="485" spans="1:82" customFormat="1" ht="15" customHeight="1" x14ac:dyDescent="0.25">
      <c r="A485">
        <v>2021</v>
      </c>
      <c r="B485" s="8" t="s">
        <v>4</v>
      </c>
      <c r="C485" s="8" t="s">
        <v>213</v>
      </c>
      <c r="D485" s="8">
        <v>140862</v>
      </c>
      <c r="E485" s="8" t="s">
        <v>141</v>
      </c>
      <c r="F485" s="8" t="s">
        <v>919</v>
      </c>
      <c r="G485" s="8" t="s">
        <v>2814</v>
      </c>
      <c r="H485" s="8" t="s">
        <v>3178</v>
      </c>
      <c r="I485" s="642">
        <v>44539</v>
      </c>
      <c r="J485" s="18" t="s">
        <v>2052</v>
      </c>
      <c r="K485" s="97">
        <v>44553</v>
      </c>
      <c r="L485" s="1054">
        <f>IF(ISTEXT(Table15[[#This Row],[Engineering Approved Design Date]]),Table15[[#This Row],[Date Completed]]-Table15[[#This Row],[Date Assigned to Designer]],Table15[[#This Row],[Engineering Approved Design Date]]-Table15[[#This Row],[Date Completed]])</f>
        <v>14</v>
      </c>
      <c r="M485" s="13" t="s">
        <v>3949</v>
      </c>
      <c r="N485" s="642" t="s">
        <v>120</v>
      </c>
      <c r="O485" s="1025">
        <f>Table15[[#This Row],[Date Completed]]</f>
        <v>44553</v>
      </c>
      <c r="P485" s="21" t="s">
        <v>739</v>
      </c>
      <c r="Q485" s="1151">
        <f>U485</f>
        <v>8955</v>
      </c>
      <c r="R485" s="1026" t="s">
        <v>1922</v>
      </c>
      <c r="S485" s="538" t="s">
        <v>709</v>
      </c>
      <c r="T485" s="538" t="s">
        <v>709</v>
      </c>
      <c r="U485" s="87">
        <v>8955</v>
      </c>
      <c r="V485" s="858"/>
      <c r="W485" s="437"/>
      <c r="X485" s="538"/>
      <c r="Y485" s="550"/>
      <c r="Z485" s="538"/>
      <c r="AA485" s="538"/>
      <c r="AB485" s="21"/>
      <c r="AC485" s="569"/>
      <c r="AD485" s="1149"/>
      <c r="AE485" s="580"/>
      <c r="AF485" s="580"/>
      <c r="AG485" s="580"/>
      <c r="AH485" s="542"/>
      <c r="AI485" s="1028"/>
      <c r="AJ485" s="1029"/>
      <c r="AK485" s="1029"/>
      <c r="AL485" s="1030"/>
      <c r="AM485" s="542" t="s">
        <v>709</v>
      </c>
      <c r="AN485" s="924"/>
      <c r="AO485" s="925"/>
      <c r="AP485" s="926"/>
      <c r="AQ485" s="926"/>
      <c r="AR485" s="926"/>
      <c r="AS485" s="926"/>
      <c r="AT485" s="926"/>
      <c r="AU485" s="926"/>
      <c r="AV485" s="926"/>
      <c r="AW485" s="927"/>
      <c r="AX485" s="926"/>
      <c r="AY485" s="1538" t="s">
        <v>29</v>
      </c>
      <c r="AZ485" s="1530"/>
      <c r="BA485" s="1031">
        <v>12</v>
      </c>
      <c r="BB485" s="644"/>
      <c r="BC485" s="544"/>
      <c r="BD485" s="544"/>
      <c r="BE485" s="544"/>
      <c r="BF485" s="544"/>
      <c r="BG485" s="544"/>
      <c r="BH485" s="741"/>
      <c r="BI485" s="547" t="s">
        <v>709</v>
      </c>
      <c r="BJ485" s="547" t="s">
        <v>709</v>
      </c>
      <c r="BK485" s="547" t="s">
        <v>709</v>
      </c>
      <c r="BL485" s="547" t="s">
        <v>116</v>
      </c>
      <c r="BM485" s="547" t="s">
        <v>709</v>
      </c>
      <c r="BN485" s="547" t="s">
        <v>709</v>
      </c>
      <c r="BO485" s="547" t="s">
        <v>709</v>
      </c>
      <c r="BP485" s="547">
        <v>2695</v>
      </c>
      <c r="BQ485" s="547">
        <v>173</v>
      </c>
      <c r="BR485" s="547">
        <v>5</v>
      </c>
      <c r="BS485" s="547">
        <v>800</v>
      </c>
      <c r="BT485" s="547" t="s">
        <v>745</v>
      </c>
      <c r="BU485" s="547" t="s">
        <v>709</v>
      </c>
      <c r="BV485" s="547" t="s">
        <v>745</v>
      </c>
      <c r="BW485" s="547" t="s">
        <v>709</v>
      </c>
      <c r="BX485" s="547" t="s">
        <v>745</v>
      </c>
      <c r="BY485" s="547" t="s">
        <v>745</v>
      </c>
      <c r="BZ485" s="547" t="s">
        <v>709</v>
      </c>
      <c r="CA485" s="483"/>
      <c r="CB485" s="547">
        <v>481</v>
      </c>
      <c r="CC485" s="1481" t="b">
        <v>1</v>
      </c>
      <c r="CD485" t="str">
        <f>Table15[[#This Row],[Engineering Number]]&amp;Table15[[#This Row],[WO Number]]&amp;Table15[[#This Row],[Date Assigned to Designer]]&amp;Table15[[#This Row],[Date Completed]]</f>
        <v>SC170611408624453944553</v>
      </c>
    </row>
    <row r="486" spans="1:82" customFormat="1" ht="15" customHeight="1" x14ac:dyDescent="0.25">
      <c r="A486">
        <v>2022</v>
      </c>
      <c r="B486" s="8" t="s">
        <v>4</v>
      </c>
      <c r="C486" s="8" t="s">
        <v>3961</v>
      </c>
      <c r="D486" s="8" t="s">
        <v>3962</v>
      </c>
      <c r="E486" s="8" t="s">
        <v>3963</v>
      </c>
      <c r="F486" s="8" t="s">
        <v>738</v>
      </c>
      <c r="G486" s="8" t="s">
        <v>39</v>
      </c>
      <c r="H486" s="8" t="s">
        <v>59</v>
      </c>
      <c r="I486" s="642">
        <v>44466</v>
      </c>
      <c r="J486" s="18">
        <v>44575</v>
      </c>
      <c r="K486" s="642">
        <v>44565</v>
      </c>
      <c r="L486" s="16">
        <f>IF(ISTEXT(Table15[[#This Row],[Engineering Approved Design Date]]),Table15[[#This Row],[Date Completed]]-Table15[[#This Row],[Date Assigned to Designer]],Table15[[#This Row],[Engineering Approved Design Date]]-Table15[[#This Row],[Date Completed]])</f>
        <v>10</v>
      </c>
      <c r="M486" s="642"/>
      <c r="N486" s="642" t="s">
        <v>120</v>
      </c>
      <c r="O486" s="1025">
        <f>Table15[[#This Row],[Date Completed]]</f>
        <v>44565</v>
      </c>
      <c r="P486" s="21" t="s">
        <v>739</v>
      </c>
      <c r="Q486" s="340">
        <f>R486*AA486</f>
        <v>210765.35400000002</v>
      </c>
      <c r="R486" s="1026">
        <v>0.1</v>
      </c>
      <c r="S486" s="538" t="s">
        <v>709</v>
      </c>
      <c r="T486" s="538" t="s">
        <v>709</v>
      </c>
      <c r="U486" s="87" t="s">
        <v>709</v>
      </c>
      <c r="V486" s="857">
        <v>7422</v>
      </c>
      <c r="W486" s="440"/>
      <c r="X486" s="551">
        <v>2023611.69</v>
      </c>
      <c r="Y486" s="550"/>
      <c r="Z486" s="551">
        <v>84041.85</v>
      </c>
      <c r="AA486" s="551">
        <f>Table15[[#This Row],[PCTS Investment Amount]]+Table15[[#This Row],[PCTS Retirement Amount]]</f>
        <v>2107653.54</v>
      </c>
      <c r="AB486" s="341"/>
      <c r="AC486" s="568" t="s">
        <v>116</v>
      </c>
      <c r="AD486" s="1157"/>
      <c r="AE486" s="579"/>
      <c r="AF486" s="579"/>
      <c r="AG486" s="579"/>
      <c r="AH486" s="553"/>
      <c r="AI486" s="1036"/>
      <c r="AJ486" s="1037"/>
      <c r="AK486" s="1037"/>
      <c r="AL486" s="1038"/>
      <c r="AM486" s="1522" t="s">
        <v>116</v>
      </c>
      <c r="AN486" s="1523">
        <v>44701</v>
      </c>
      <c r="AO486" s="1524">
        <v>11041304</v>
      </c>
      <c r="AP486" s="1525">
        <v>2073038.98</v>
      </c>
      <c r="AQ486" s="1525"/>
      <c r="AR486" s="1525">
        <v>84078.71</v>
      </c>
      <c r="AS486" s="1525">
        <f>IF(Table15[[#This Row],[PCTS Approved]]="N",0,Table15[[#This Row],[Investment Amount (1'#'#'#'#'#)]]+Table15[[#This Row],[Retirement Amount (3'#'#'#'#'#)]])</f>
        <v>2157117.69</v>
      </c>
      <c r="AT486" s="1525">
        <f>IF(Table15[[#This Row],[Approved Construction Cost]]=0,0,Table15[[#This Row],[Approved Construction Cost]]-Table15[[#This Row],[Construction Cost to Bill From]])</f>
        <v>49464.149999999907</v>
      </c>
      <c r="AU486" s="1525">
        <f>IFERROR(Table15[[#This Row],[Difference in Construction Cost]]*Table15[[#This Row],[Rate]],Table15[[#This Row],[Difference in Construction Cost]]*0.085)</f>
        <v>4946.4149999999909</v>
      </c>
      <c r="AV486" s="1525" t="s">
        <v>709</v>
      </c>
      <c r="AW486" s="1526" t="s">
        <v>3964</v>
      </c>
      <c r="AX486" s="1525">
        <f>Table15[[#This Row],[Reconcile Amount]]</f>
        <v>4946.4149999999909</v>
      </c>
      <c r="AY486" s="1518">
        <v>45008</v>
      </c>
      <c r="AZ486" s="333"/>
      <c r="BA486" s="1031" t="s">
        <v>3965</v>
      </c>
      <c r="BB486" s="644" t="s">
        <v>709</v>
      </c>
      <c r="BC486" s="544" t="s">
        <v>116</v>
      </c>
      <c r="BD486" s="544" t="s">
        <v>709</v>
      </c>
      <c r="BE486" s="544" t="s">
        <v>3966</v>
      </c>
      <c r="BF486" s="544" t="s">
        <v>3967</v>
      </c>
      <c r="BG486" s="544" t="s">
        <v>709</v>
      </c>
      <c r="BH486" s="741"/>
      <c r="BI486" s="547" t="s">
        <v>709</v>
      </c>
      <c r="BJ486" s="547" t="s">
        <v>709</v>
      </c>
      <c r="BK486" s="547" t="s">
        <v>709</v>
      </c>
      <c r="BL486" s="547" t="s">
        <v>116</v>
      </c>
      <c r="BM486" s="547" t="s">
        <v>709</v>
      </c>
      <c r="BN486" s="547" t="s">
        <v>709</v>
      </c>
      <c r="BO486" s="547" t="s">
        <v>709</v>
      </c>
      <c r="BP486" s="547">
        <v>220</v>
      </c>
      <c r="BQ486" s="547" t="s">
        <v>709</v>
      </c>
      <c r="BR486" s="547">
        <v>5217</v>
      </c>
      <c r="BS486" s="547">
        <v>1985</v>
      </c>
      <c r="BT486" s="547" t="s">
        <v>745</v>
      </c>
      <c r="BU486" s="547" t="s">
        <v>709</v>
      </c>
      <c r="BV486" s="547" t="s">
        <v>745</v>
      </c>
      <c r="BW486" s="547" t="s">
        <v>709</v>
      </c>
      <c r="BX486" s="547" t="s">
        <v>745</v>
      </c>
      <c r="BY486" s="547" t="s">
        <v>745</v>
      </c>
      <c r="BZ486" s="547" t="s">
        <v>709</v>
      </c>
      <c r="CA486" s="483"/>
      <c r="CB486" s="547">
        <v>484</v>
      </c>
      <c r="CC486" s="1481" t="b">
        <v>1</v>
      </c>
      <c r="CD486" t="str">
        <f>Table15[[#This Row],[Engineering Number]]&amp;Table15[[#This Row],[WO Number]]&amp;Table15[[#This Row],[Date Assigned to Designer]]&amp;Table15[[#This Row],[Date Completed]]</f>
        <v>M1278312107404446644565</v>
      </c>
    </row>
    <row r="487" spans="1:82" customFormat="1" ht="15" customHeight="1" x14ac:dyDescent="0.25">
      <c r="A487">
        <v>2022</v>
      </c>
      <c r="B487" s="8" t="s">
        <v>2989</v>
      </c>
      <c r="C487" s="8" t="s">
        <v>3969</v>
      </c>
      <c r="D487" s="8" t="s">
        <v>3970</v>
      </c>
      <c r="E487" s="8" t="s">
        <v>393</v>
      </c>
      <c r="F487" s="8" t="s">
        <v>752</v>
      </c>
      <c r="G487" s="8" t="s">
        <v>23</v>
      </c>
      <c r="H487" s="8" t="s">
        <v>2127</v>
      </c>
      <c r="I487" s="642">
        <v>44523</v>
      </c>
      <c r="J487" s="18">
        <v>44607</v>
      </c>
      <c r="K487" s="97">
        <v>44567</v>
      </c>
      <c r="L487" s="16">
        <f>IF(ISTEXT(Table15[[#This Row],[Engineering Approved Design Date]]),Table15[[#This Row],[Date Completed]]-Table15[[#This Row],[Date Assigned to Designer]],Table15[[#This Row],[Engineering Approved Design Date]]-Table15[[#This Row],[Date Completed]])</f>
        <v>40</v>
      </c>
      <c r="M487" s="642" t="s">
        <v>3971</v>
      </c>
      <c r="N487" s="642" t="s">
        <v>120</v>
      </c>
      <c r="O487" s="1025">
        <f>Table15[[#This Row],[Date Completed]]</f>
        <v>44567</v>
      </c>
      <c r="P487" s="21" t="s">
        <v>739</v>
      </c>
      <c r="Q487" s="1151" t="s">
        <v>115</v>
      </c>
      <c r="R487" s="1026" t="s">
        <v>115</v>
      </c>
      <c r="S487" s="538" t="s">
        <v>709</v>
      </c>
      <c r="T487" s="538" t="s">
        <v>709</v>
      </c>
      <c r="U487" s="87" t="s">
        <v>709</v>
      </c>
      <c r="V487" s="1184"/>
      <c r="W487" s="1186"/>
      <c r="X487" s="538"/>
      <c r="Y487" s="550"/>
      <c r="Z487" s="538"/>
      <c r="AA487" s="538"/>
      <c r="AB487" s="21"/>
      <c r="AC487" s="569" t="s">
        <v>29</v>
      </c>
      <c r="AD487" s="1149"/>
      <c r="AE487" s="580"/>
      <c r="AF487" s="580"/>
      <c r="AG487" s="580"/>
      <c r="AH487" s="542"/>
      <c r="AI487" s="1028"/>
      <c r="AJ487" s="1029"/>
      <c r="AK487" s="1029"/>
      <c r="AL487" s="1030"/>
      <c r="AM487" s="542" t="s">
        <v>709</v>
      </c>
      <c r="AN487" s="924"/>
      <c r="AO487" s="925"/>
      <c r="AP487" s="926"/>
      <c r="AQ487" s="926"/>
      <c r="AR487" s="926"/>
      <c r="AS487" s="926"/>
      <c r="AT487" s="926"/>
      <c r="AU487" s="926"/>
      <c r="AV487" s="926"/>
      <c r="AW487" s="927"/>
      <c r="AX487" s="926"/>
      <c r="AY487" s="1538" t="s">
        <v>29</v>
      </c>
      <c r="AZ487" s="1532"/>
      <c r="BA487" s="1031" t="s">
        <v>3972</v>
      </c>
      <c r="BB487" s="644" t="s">
        <v>739</v>
      </c>
      <c r="BC487" s="544"/>
      <c r="BD487" s="544"/>
      <c r="BE487" s="544"/>
      <c r="BF487" s="544"/>
      <c r="BG487" s="544"/>
      <c r="BH487" s="741"/>
      <c r="BI487" s="547"/>
      <c r="BJ487" s="547"/>
      <c r="BK487" s="547"/>
      <c r="BL487" s="547"/>
      <c r="BM487" s="547"/>
      <c r="BN487" s="547"/>
      <c r="BO487" s="547"/>
      <c r="BP487" s="547"/>
      <c r="BQ487" s="547"/>
      <c r="BR487" s="547"/>
      <c r="BS487" s="547"/>
      <c r="BT487" s="547"/>
      <c r="BU487" s="547"/>
      <c r="BV487" s="547"/>
      <c r="BW487" s="547"/>
      <c r="BX487" s="547"/>
      <c r="BY487" s="547"/>
      <c r="BZ487" s="547" t="s">
        <v>709</v>
      </c>
      <c r="CA487" s="483" t="s">
        <v>2</v>
      </c>
      <c r="CB487" s="547">
        <v>485</v>
      </c>
      <c r="CC487" s="1481" t="b">
        <v>1</v>
      </c>
      <c r="CD487" t="str">
        <f>Table15[[#This Row],[Engineering Number]]&amp;Table15[[#This Row],[WO Number]]&amp;Table15[[#This Row],[Date Assigned to Designer]]&amp;Table15[[#This Row],[Date Completed]]</f>
        <v>MR180632108204452344567</v>
      </c>
    </row>
    <row r="488" spans="1:82" customFormat="1" ht="15" customHeight="1" x14ac:dyDescent="0.25">
      <c r="A488">
        <v>2021</v>
      </c>
      <c r="B488" s="8" t="s">
        <v>771</v>
      </c>
      <c r="C488" s="8" t="s">
        <v>3814</v>
      </c>
      <c r="D488" s="8">
        <v>1210601</v>
      </c>
      <c r="E488" s="8" t="s">
        <v>137</v>
      </c>
      <c r="F488" s="8" t="s">
        <v>738</v>
      </c>
      <c r="G488" s="8" t="s">
        <v>23</v>
      </c>
      <c r="H488" s="8" t="s">
        <v>3178</v>
      </c>
      <c r="I488" s="642">
        <v>44553</v>
      </c>
      <c r="J488" s="18" t="s">
        <v>2052</v>
      </c>
      <c r="K488" s="97">
        <v>44568</v>
      </c>
      <c r="L488" s="16">
        <f>IF(ISTEXT(Table15[[#This Row],[Engineering Approved Design Date]]),Table15[[#This Row],[Date Completed]]-Table15[[#This Row],[Date Assigned to Designer]],Table15[[#This Row],[Engineering Approved Design Date]]-Table15[[#This Row],[Date Completed]])</f>
        <v>15</v>
      </c>
      <c r="M488" s="642" t="s">
        <v>3974</v>
      </c>
      <c r="N488" s="642" t="s">
        <v>120</v>
      </c>
      <c r="O488" s="1025">
        <f>Table15[[#This Row],[Date Completed]]</f>
        <v>44568</v>
      </c>
      <c r="P488" s="21" t="s">
        <v>120</v>
      </c>
      <c r="Q488" s="1151">
        <f>U488</f>
        <v>6415</v>
      </c>
      <c r="R488" s="1026" t="s">
        <v>1922</v>
      </c>
      <c r="S488" s="538" t="s">
        <v>709</v>
      </c>
      <c r="T488" s="538" t="s">
        <v>709</v>
      </c>
      <c r="U488" s="87">
        <v>6415</v>
      </c>
      <c r="V488" s="858"/>
      <c r="W488" s="437"/>
      <c r="X488" s="538"/>
      <c r="Y488" s="550"/>
      <c r="Z488" s="538"/>
      <c r="AA488" s="538"/>
      <c r="AB488" s="21"/>
      <c r="AC488" s="569"/>
      <c r="AD488" s="1149" t="s">
        <v>709</v>
      </c>
      <c r="AE488" s="569"/>
      <c r="AF488" s="569"/>
      <c r="AG488" s="569"/>
      <c r="AH488" s="536"/>
      <c r="AI488" s="1028"/>
      <c r="AJ488" s="1029"/>
      <c r="AK488" s="1029"/>
      <c r="AL488" s="1030"/>
      <c r="AM488" s="542" t="s">
        <v>709</v>
      </c>
      <c r="AN488" s="924"/>
      <c r="AO488" s="925"/>
      <c r="AP488" s="926"/>
      <c r="AQ488" s="926"/>
      <c r="AR488" s="926"/>
      <c r="AS488" s="926"/>
      <c r="AT488" s="926"/>
      <c r="AU488" s="926"/>
      <c r="AV488" s="926"/>
      <c r="AW488" s="927"/>
      <c r="AX488" s="926"/>
      <c r="AY488" s="1538" t="s">
        <v>29</v>
      </c>
      <c r="AZ488" s="1530"/>
      <c r="BA488" s="1031">
        <v>2</v>
      </c>
      <c r="BB488" s="644" t="s">
        <v>3975</v>
      </c>
      <c r="BC488" s="544"/>
      <c r="BD488" s="544"/>
      <c r="BE488" s="544"/>
      <c r="BF488" s="544"/>
      <c r="BG488" s="544"/>
      <c r="BH488" s="741"/>
      <c r="BI488" s="547" t="s">
        <v>709</v>
      </c>
      <c r="BJ488" s="547" t="s">
        <v>709</v>
      </c>
      <c r="BK488" s="547" t="s">
        <v>709</v>
      </c>
      <c r="BL488" s="547" t="s">
        <v>116</v>
      </c>
      <c r="BM488" s="547" t="s">
        <v>709</v>
      </c>
      <c r="BN488" s="547" t="s">
        <v>709</v>
      </c>
      <c r="BO488" s="547" t="s">
        <v>709</v>
      </c>
      <c r="BP488" s="547" t="s">
        <v>709</v>
      </c>
      <c r="BQ488" s="547" t="s">
        <v>709</v>
      </c>
      <c r="BR488" s="547" t="s">
        <v>709</v>
      </c>
      <c r="BS488" s="547">
        <v>1506</v>
      </c>
      <c r="BT488" s="547" t="s">
        <v>745</v>
      </c>
      <c r="BU488" s="547" t="s">
        <v>709</v>
      </c>
      <c r="BV488" s="547" t="s">
        <v>745</v>
      </c>
      <c r="BW488" s="547" t="s">
        <v>709</v>
      </c>
      <c r="BX488" s="547" t="s">
        <v>745</v>
      </c>
      <c r="BY488" s="547" t="s">
        <v>745</v>
      </c>
      <c r="BZ488" s="547" t="s">
        <v>709</v>
      </c>
      <c r="CA488" s="483"/>
      <c r="CB488" s="547">
        <v>486</v>
      </c>
      <c r="CC488" s="1481" t="b">
        <v>1</v>
      </c>
      <c r="CD488" t="str">
        <f>Table15[[#This Row],[Engineering Number]]&amp;Table15[[#This Row],[WO Number]]&amp;Table15[[#This Row],[Date Assigned to Designer]]&amp;Table15[[#This Row],[Date Completed]]</f>
        <v>BS48612106014455344568</v>
      </c>
    </row>
    <row r="489" spans="1:82" customFormat="1" ht="15" customHeight="1" x14ac:dyDescent="0.25">
      <c r="A489">
        <v>2021</v>
      </c>
      <c r="B489" s="8" t="s">
        <v>4</v>
      </c>
      <c r="C489" s="8" t="s">
        <v>736</v>
      </c>
      <c r="D489" s="8" t="s">
        <v>737</v>
      </c>
      <c r="E489" s="8" t="s">
        <v>259</v>
      </c>
      <c r="F489" s="8" t="s">
        <v>738</v>
      </c>
      <c r="G489" s="8" t="s">
        <v>39</v>
      </c>
      <c r="H489" s="8" t="s">
        <v>3178</v>
      </c>
      <c r="I489" s="642">
        <v>44566</v>
      </c>
      <c r="J489" s="18" t="s">
        <v>2052</v>
      </c>
      <c r="K489" s="97">
        <v>44572</v>
      </c>
      <c r="L489" s="16">
        <f>IF(ISTEXT(Table15[[#This Row],[Engineering Approved Design Date]]),Table15[[#This Row],[Date Completed]]-Table15[[#This Row],[Date Assigned to Designer]],Table15[[#This Row],[Engineering Approved Design Date]]-Table15[[#This Row],[Date Completed]])</f>
        <v>6</v>
      </c>
      <c r="M489" s="642" t="s">
        <v>3893</v>
      </c>
      <c r="N489" s="642" t="s">
        <v>120</v>
      </c>
      <c r="O489" s="1025">
        <f>Table15[[#This Row],[Date Completed]]</f>
        <v>44572</v>
      </c>
      <c r="P489" s="21" t="s">
        <v>739</v>
      </c>
      <c r="Q489" s="1151">
        <f>U489</f>
        <v>4265</v>
      </c>
      <c r="R489" s="1026" t="s">
        <v>1922</v>
      </c>
      <c r="S489" s="538" t="s">
        <v>709</v>
      </c>
      <c r="T489" s="538" t="s">
        <v>709</v>
      </c>
      <c r="U489" s="87">
        <v>4265</v>
      </c>
      <c r="V489" s="858"/>
      <c r="W489" s="437"/>
      <c r="X489" s="538"/>
      <c r="Y489" s="550"/>
      <c r="Z489" s="538"/>
      <c r="AA489" s="538"/>
      <c r="AB489" s="21"/>
      <c r="AC489" s="569"/>
      <c r="AD489" s="1149" t="s">
        <v>709</v>
      </c>
      <c r="AE489" s="580"/>
      <c r="AF489" s="580"/>
      <c r="AG489" s="580"/>
      <c r="AH489" s="542"/>
      <c r="AI489" s="1028"/>
      <c r="AJ489" s="1029"/>
      <c r="AK489" s="1029"/>
      <c r="AL489" s="1030"/>
      <c r="AM489" s="542" t="s">
        <v>709</v>
      </c>
      <c r="AN489" s="924"/>
      <c r="AO489" s="925"/>
      <c r="AP489" s="926"/>
      <c r="AQ489" s="926"/>
      <c r="AR489" s="926"/>
      <c r="AS489" s="926"/>
      <c r="AT489" s="926"/>
      <c r="AU489" s="926"/>
      <c r="AV489" s="926"/>
      <c r="AW489" s="927"/>
      <c r="AX489" s="926"/>
      <c r="AY489" s="1538" t="s">
        <v>29</v>
      </c>
      <c r="AZ489" s="1530"/>
      <c r="BA489" s="1031">
        <v>12</v>
      </c>
      <c r="BB489" s="644" t="s">
        <v>3977</v>
      </c>
      <c r="BC489" s="544"/>
      <c r="BD489" s="544"/>
      <c r="BE489" s="544"/>
      <c r="BF489" s="544"/>
      <c r="BG489" s="544"/>
      <c r="BH489" s="741"/>
      <c r="BI489" s="547" t="s">
        <v>709</v>
      </c>
      <c r="BJ489" s="547" t="s">
        <v>709</v>
      </c>
      <c r="BK489" s="547" t="s">
        <v>709</v>
      </c>
      <c r="BL489" s="547" t="s">
        <v>116</v>
      </c>
      <c r="BM489" s="547" t="s">
        <v>709</v>
      </c>
      <c r="BN489" s="547" t="s">
        <v>709</v>
      </c>
      <c r="BO489" s="547" t="s">
        <v>709</v>
      </c>
      <c r="BP489" s="547" t="s">
        <v>709</v>
      </c>
      <c r="BQ489" s="547" t="s">
        <v>709</v>
      </c>
      <c r="BR489" s="547" t="s">
        <v>709</v>
      </c>
      <c r="BS489" s="547">
        <v>921</v>
      </c>
      <c r="BT489" s="547" t="s">
        <v>745</v>
      </c>
      <c r="BU489" s="547" t="s">
        <v>709</v>
      </c>
      <c r="BV489" s="547" t="s">
        <v>745</v>
      </c>
      <c r="BW489" s="547" t="s">
        <v>709</v>
      </c>
      <c r="BX489" s="547" t="s">
        <v>745</v>
      </c>
      <c r="BY489" s="547" t="s">
        <v>745</v>
      </c>
      <c r="BZ489" s="547" t="s">
        <v>709</v>
      </c>
      <c r="CA489" s="483"/>
      <c r="CB489" s="547">
        <v>487</v>
      </c>
      <c r="CC489" s="1481" t="b">
        <v>1</v>
      </c>
      <c r="CD489" t="str">
        <f>Table15[[#This Row],[Engineering Number]]&amp;Table15[[#This Row],[WO Number]]&amp;Table15[[#This Row],[Date Assigned to Designer]]&amp;Table15[[#This Row],[Date Completed]]</f>
        <v>N1464916107124456644572</v>
      </c>
    </row>
    <row r="490" spans="1:82" customFormat="1" ht="15" customHeight="1" x14ac:dyDescent="0.25">
      <c r="A490">
        <v>2022</v>
      </c>
      <c r="B490" s="8" t="s">
        <v>4</v>
      </c>
      <c r="C490" s="8" t="s">
        <v>3979</v>
      </c>
      <c r="D490" s="8" t="s">
        <v>115</v>
      </c>
      <c r="E490" s="8" t="s">
        <v>3595</v>
      </c>
      <c r="F490" s="8" t="s">
        <v>738</v>
      </c>
      <c r="G490" s="8" t="s">
        <v>23</v>
      </c>
      <c r="H490" s="8" t="s">
        <v>1903</v>
      </c>
      <c r="I490" s="642">
        <v>44544</v>
      </c>
      <c r="J490" s="18">
        <v>44610</v>
      </c>
      <c r="K490" s="97">
        <v>44573</v>
      </c>
      <c r="L490" s="16">
        <f>IF(ISTEXT(Table15[[#This Row],[Engineering Approved Design Date]]),Table15[[#This Row],[Date Completed]]-Table15[[#This Row],[Date Assigned to Designer]],Table15[[#This Row],[Engineering Approved Design Date]]-Table15[[#This Row],[Date Completed]])</f>
        <v>37</v>
      </c>
      <c r="M490" s="642"/>
      <c r="N490" s="642" t="s">
        <v>120</v>
      </c>
      <c r="O490" s="1025">
        <f>Table15[[#This Row],[Date Completed]]</f>
        <v>44573</v>
      </c>
      <c r="P490" s="21" t="s">
        <v>739</v>
      </c>
      <c r="Q490" s="1151" t="s">
        <v>115</v>
      </c>
      <c r="R490" s="1026" t="s">
        <v>115</v>
      </c>
      <c r="S490" s="538" t="s">
        <v>709</v>
      </c>
      <c r="T490" s="538" t="s">
        <v>709</v>
      </c>
      <c r="U490" s="87" t="s">
        <v>709</v>
      </c>
      <c r="V490" s="1184"/>
      <c r="W490" s="1186"/>
      <c r="X490" s="538"/>
      <c r="Y490" s="550"/>
      <c r="Z490" s="538"/>
      <c r="AA490" s="538"/>
      <c r="AB490" s="21"/>
      <c r="AC490" s="569"/>
      <c r="AD490" s="1149"/>
      <c r="AE490" s="580"/>
      <c r="AF490" s="580"/>
      <c r="AG490" s="580"/>
      <c r="AH490" s="542"/>
      <c r="AI490" s="1028"/>
      <c r="AJ490" s="1029"/>
      <c r="AK490" s="1029"/>
      <c r="AL490" s="1030"/>
      <c r="AM490" s="542" t="s">
        <v>709</v>
      </c>
      <c r="AN490" s="924"/>
      <c r="AO490" s="925"/>
      <c r="AP490" s="926"/>
      <c r="AQ490" s="926"/>
      <c r="AR490" s="926"/>
      <c r="AS490" s="926"/>
      <c r="AT490" s="926"/>
      <c r="AU490" s="926"/>
      <c r="AV490" s="926"/>
      <c r="AW490" s="927"/>
      <c r="AX490" s="926"/>
      <c r="AY490" s="1538" t="s">
        <v>29</v>
      </c>
      <c r="AZ490" s="1530"/>
      <c r="BA490" s="1031" t="s">
        <v>3980</v>
      </c>
      <c r="BB490" s="644" t="s">
        <v>709</v>
      </c>
      <c r="BC490" s="544"/>
      <c r="BD490" s="544"/>
      <c r="BE490" s="544"/>
      <c r="BF490" s="544"/>
      <c r="BG490" s="544"/>
      <c r="BH490" s="741"/>
      <c r="BI490" s="1032"/>
      <c r="BJ490" s="1032"/>
      <c r="BK490" s="1032"/>
      <c r="BL490" s="1032"/>
      <c r="BM490" s="1032"/>
      <c r="BN490" s="1032"/>
      <c r="BO490" s="1032"/>
      <c r="BP490" s="1032"/>
      <c r="BQ490" s="1032"/>
      <c r="BR490" s="1032"/>
      <c r="BS490" s="1032"/>
      <c r="BT490" s="1032"/>
      <c r="BU490" s="1032"/>
      <c r="BV490" s="1032"/>
      <c r="BW490" s="1032"/>
      <c r="BX490" s="1032"/>
      <c r="BY490" s="1032"/>
      <c r="BZ490" s="1032"/>
      <c r="CA490" s="485"/>
      <c r="CB490" s="547">
        <v>488</v>
      </c>
      <c r="CC490" s="1481" t="b">
        <v>1</v>
      </c>
      <c r="CD490" t="str">
        <f>Table15[[#This Row],[Engineering Number]]&amp;Table15[[#This Row],[WO Number]]&amp;Table15[[#This Row],[Date Assigned to Designer]]&amp;Table15[[#This Row],[Date Completed]]</f>
        <v>N14030-4454444573</v>
      </c>
    </row>
    <row r="491" spans="1:82" customFormat="1" ht="15" customHeight="1" x14ac:dyDescent="0.25">
      <c r="A491">
        <v>2022</v>
      </c>
      <c r="B491" s="8" t="s">
        <v>771</v>
      </c>
      <c r="C491" s="8" t="s">
        <v>3984</v>
      </c>
      <c r="D491" s="8" t="s">
        <v>3985</v>
      </c>
      <c r="E491" s="8" t="s">
        <v>342</v>
      </c>
      <c r="F491" s="8" t="s">
        <v>738</v>
      </c>
      <c r="G491" s="8" t="s">
        <v>23</v>
      </c>
      <c r="H491" s="8" t="s">
        <v>59</v>
      </c>
      <c r="I491" s="642">
        <v>44480</v>
      </c>
      <c r="J491" s="18">
        <v>44575</v>
      </c>
      <c r="K491" s="97">
        <v>44574</v>
      </c>
      <c r="L491" s="16">
        <f>IF(ISTEXT(Table15[[#This Row],[Engineering Approved Design Date]]),Table15[[#This Row],[Date Completed]]-Table15[[#This Row],[Date Assigned to Designer]],Table15[[#This Row],[Engineering Approved Design Date]]-Table15[[#This Row],[Date Completed]])</f>
        <v>1</v>
      </c>
      <c r="M491" s="642"/>
      <c r="N491" s="642" t="s">
        <v>120</v>
      </c>
      <c r="O491" s="1025">
        <f>Table15[[#This Row],[Date Completed]]</f>
        <v>44574</v>
      </c>
      <c r="P491" s="21" t="s">
        <v>120</v>
      </c>
      <c r="Q491" s="1151">
        <f>1.55*Table15[[#This Row],[LF of Main]]</f>
        <v>16358.7</v>
      </c>
      <c r="R491" s="1026" t="s">
        <v>2087</v>
      </c>
      <c r="S491" s="538" t="s">
        <v>709</v>
      </c>
      <c r="T491" s="538" t="s">
        <v>709</v>
      </c>
      <c r="U491" s="87" t="s">
        <v>709</v>
      </c>
      <c r="V491" s="858">
        <v>10554</v>
      </c>
      <c r="W491" s="437"/>
      <c r="X491" s="538">
        <v>1940025.62</v>
      </c>
      <c r="Y491" s="550"/>
      <c r="Z491" s="538">
        <v>103562.46</v>
      </c>
      <c r="AA491" s="538">
        <f>Table15[[#This Row],[PCTS Investment Amount]]+Table15[[#This Row],[PCTS Retirement Amount]]</f>
        <v>2043588.08</v>
      </c>
      <c r="AB491" s="341"/>
      <c r="AC491" s="568" t="s">
        <v>116</v>
      </c>
      <c r="AD491" s="1157"/>
      <c r="AE491" s="568"/>
      <c r="AF491" s="568"/>
      <c r="AG491" s="568"/>
      <c r="AH491" s="183"/>
      <c r="AI491" s="1036"/>
      <c r="AJ491" s="1037"/>
      <c r="AK491" s="1037"/>
      <c r="AL491" s="1038"/>
      <c r="AM491" s="542" t="s">
        <v>709</v>
      </c>
      <c r="AN491" s="924"/>
      <c r="AO491" s="925"/>
      <c r="AP491" s="926"/>
      <c r="AQ491" s="926"/>
      <c r="AR491" s="926"/>
      <c r="AS491" s="926"/>
      <c r="AT491" s="926"/>
      <c r="AU491" s="926"/>
      <c r="AV491" s="926"/>
      <c r="AW491" s="927"/>
      <c r="AX491" s="926"/>
      <c r="AY491" s="1538" t="s">
        <v>29</v>
      </c>
      <c r="AZ491" s="1530"/>
      <c r="BA491" s="1031" t="s">
        <v>3986</v>
      </c>
      <c r="BB491" s="644" t="s">
        <v>3987</v>
      </c>
      <c r="BC491" s="544" t="s">
        <v>116</v>
      </c>
      <c r="BD491" s="544" t="s">
        <v>709</v>
      </c>
      <c r="BE491" s="544" t="s">
        <v>3988</v>
      </c>
      <c r="BF491" s="544" t="s">
        <v>709</v>
      </c>
      <c r="BG491" s="544" t="s">
        <v>709</v>
      </c>
      <c r="BH491" s="741"/>
      <c r="BI491" s="547" t="s">
        <v>709</v>
      </c>
      <c r="BJ491" s="547" t="s">
        <v>709</v>
      </c>
      <c r="BK491" s="547" t="s">
        <v>709</v>
      </c>
      <c r="BL491" s="547" t="s">
        <v>116</v>
      </c>
      <c r="BM491" s="547" t="s">
        <v>709</v>
      </c>
      <c r="BN491" s="547" t="s">
        <v>709</v>
      </c>
      <c r="BO491" s="547" t="s">
        <v>709</v>
      </c>
      <c r="BP491" s="547">
        <v>3715</v>
      </c>
      <c r="BQ491" s="547">
        <v>424</v>
      </c>
      <c r="BR491" s="547">
        <v>326</v>
      </c>
      <c r="BS491" s="547">
        <v>6089</v>
      </c>
      <c r="BT491" s="547" t="s">
        <v>709</v>
      </c>
      <c r="BU491" s="547" t="s">
        <v>709</v>
      </c>
      <c r="BV491" s="547">
        <v>1</v>
      </c>
      <c r="BW491" s="547" t="s">
        <v>709</v>
      </c>
      <c r="BX491" s="547" t="s">
        <v>745</v>
      </c>
      <c r="BY491" s="547" t="s">
        <v>709</v>
      </c>
      <c r="BZ491" s="547" t="s">
        <v>709</v>
      </c>
      <c r="CA491" s="483"/>
      <c r="CB491" s="547">
        <v>490</v>
      </c>
      <c r="CC491" s="1481" t="b">
        <v>1</v>
      </c>
      <c r="CD491" t="str">
        <f>Table15[[#This Row],[Engineering Number]]&amp;Table15[[#This Row],[WO Number]]&amp;Table15[[#This Row],[Date Assigned to Designer]]&amp;Table15[[#This Row],[Date Completed]]</f>
        <v>BS26012107214448044574</v>
      </c>
    </row>
    <row r="492" spans="1:82" customFormat="1" ht="15" customHeight="1" x14ac:dyDescent="0.25">
      <c r="A492">
        <v>2021</v>
      </c>
      <c r="B492" s="8" t="s">
        <v>1073</v>
      </c>
      <c r="C492" s="8" t="s">
        <v>3858</v>
      </c>
      <c r="D492" s="8" t="s">
        <v>3859</v>
      </c>
      <c r="E492" s="8" t="s">
        <v>111</v>
      </c>
      <c r="F492" s="8" t="s">
        <v>738</v>
      </c>
      <c r="G492" s="8" t="s">
        <v>1882</v>
      </c>
      <c r="H492" s="8" t="s">
        <v>3178</v>
      </c>
      <c r="I492" s="642">
        <v>44550</v>
      </c>
      <c r="J492" s="18" t="s">
        <v>2052</v>
      </c>
      <c r="K492" s="97">
        <v>44574</v>
      </c>
      <c r="L492" s="16">
        <f>IF(ISTEXT(Table15[[#This Row],[Engineering Approved Design Date]]),Table15[[#This Row],[Date Completed]]-Table15[[#This Row],[Date Assigned to Designer]],Table15[[#This Row],[Engineering Approved Design Date]]-Table15[[#This Row],[Date Completed]])</f>
        <v>24</v>
      </c>
      <c r="M492" s="642" t="s">
        <v>3982</v>
      </c>
      <c r="N492" s="642" t="s">
        <v>120</v>
      </c>
      <c r="O492" s="1025">
        <f>Table15[[#This Row],[Date Completed]]</f>
        <v>44574</v>
      </c>
      <c r="P492" s="21" t="s">
        <v>739</v>
      </c>
      <c r="Q492" s="1151">
        <f>U492</f>
        <v>4215</v>
      </c>
      <c r="R492" s="1026" t="s">
        <v>1922</v>
      </c>
      <c r="S492" s="538" t="s">
        <v>709</v>
      </c>
      <c r="T492" s="538" t="s">
        <v>709</v>
      </c>
      <c r="U492" s="87">
        <v>4215</v>
      </c>
      <c r="V492" s="858"/>
      <c r="W492" s="437"/>
      <c r="X492" s="538"/>
      <c r="Y492" s="550"/>
      <c r="Z492" s="538"/>
      <c r="AA492" s="538"/>
      <c r="AB492" s="21"/>
      <c r="AC492" s="569"/>
      <c r="AD492" s="1149" t="s">
        <v>709</v>
      </c>
      <c r="AE492" s="569"/>
      <c r="AF492" s="569"/>
      <c r="AG492" s="569"/>
      <c r="AH492" s="536"/>
      <c r="AI492" s="1028"/>
      <c r="AJ492" s="1029"/>
      <c r="AK492" s="1029"/>
      <c r="AL492" s="1030"/>
      <c r="AM492" s="542" t="s">
        <v>709</v>
      </c>
      <c r="AN492" s="924"/>
      <c r="AO492" s="925"/>
      <c r="AP492" s="926"/>
      <c r="AQ492" s="926"/>
      <c r="AR492" s="926"/>
      <c r="AS492" s="926"/>
      <c r="AT492" s="926"/>
      <c r="AU492" s="926"/>
      <c r="AV492" s="926"/>
      <c r="AW492" s="927"/>
      <c r="AX492" s="926"/>
      <c r="AY492" s="1538" t="s">
        <v>29</v>
      </c>
      <c r="AZ492" s="1530"/>
      <c r="BA492" s="1031">
        <v>4</v>
      </c>
      <c r="BB492" s="644" t="s">
        <v>116</v>
      </c>
      <c r="BC492" s="544"/>
      <c r="BD492" s="544"/>
      <c r="BE492" s="544"/>
      <c r="BF492" s="544"/>
      <c r="BG492" s="544"/>
      <c r="BH492" s="741"/>
      <c r="BI492" s="547" t="s">
        <v>709</v>
      </c>
      <c r="BJ492" s="547" t="s">
        <v>709</v>
      </c>
      <c r="BK492" s="547" t="s">
        <v>709</v>
      </c>
      <c r="BL492" s="547" t="s">
        <v>116</v>
      </c>
      <c r="BM492" s="547" t="s">
        <v>709</v>
      </c>
      <c r="BN492" s="547" t="s">
        <v>709</v>
      </c>
      <c r="BO492" s="547" t="s">
        <v>709</v>
      </c>
      <c r="BP492" s="547">
        <v>78</v>
      </c>
      <c r="BQ492" s="547">
        <v>1029</v>
      </c>
      <c r="BR492" s="547" t="s">
        <v>709</v>
      </c>
      <c r="BS492" s="547" t="s">
        <v>709</v>
      </c>
      <c r="BT492" s="547" t="s">
        <v>709</v>
      </c>
      <c r="BU492" s="547" t="s">
        <v>709</v>
      </c>
      <c r="BV492" s="547" t="s">
        <v>745</v>
      </c>
      <c r="BW492" s="547" t="s">
        <v>709</v>
      </c>
      <c r="BX492" s="547" t="s">
        <v>709</v>
      </c>
      <c r="BY492" s="547" t="s">
        <v>745</v>
      </c>
      <c r="BZ492" s="547" t="s">
        <v>709</v>
      </c>
      <c r="CA492" s="483"/>
      <c r="CB492" s="547">
        <v>489</v>
      </c>
      <c r="CC492" s="1481" t="b">
        <v>1</v>
      </c>
      <c r="CD492" t="str">
        <f>Table15[[#This Row],[Engineering Number]]&amp;Table15[[#This Row],[WO Number]]&amp;Table15[[#This Row],[Date Assigned to Designer]]&amp;Table15[[#This Row],[Date Completed]]</f>
        <v>NBA1000269716107264455044574</v>
      </c>
    </row>
    <row r="493" spans="1:82" customFormat="1" ht="15" customHeight="1" x14ac:dyDescent="0.25">
      <c r="A493">
        <v>2022</v>
      </c>
      <c r="B493" s="8" t="s">
        <v>2989</v>
      </c>
      <c r="C493" s="8" t="s">
        <v>3845</v>
      </c>
      <c r="D493" s="8" t="s">
        <v>3846</v>
      </c>
      <c r="E493" s="8" t="s">
        <v>361</v>
      </c>
      <c r="F493" s="8" t="s">
        <v>752</v>
      </c>
      <c r="G493" s="8" t="s">
        <v>22</v>
      </c>
      <c r="H493" s="8" t="s">
        <v>3178</v>
      </c>
      <c r="I493" s="642">
        <v>44565</v>
      </c>
      <c r="J493" s="18" t="s">
        <v>2052</v>
      </c>
      <c r="K493" s="97">
        <v>44575</v>
      </c>
      <c r="L493" s="16">
        <f>IF(ISTEXT(Table15[[#This Row],[Engineering Approved Design Date]]),Table15[[#This Row],[Date Completed]]-Table15[[#This Row],[Date Assigned to Designer]],Table15[[#This Row],[Engineering Approved Design Date]]-Table15[[#This Row],[Date Completed]])</f>
        <v>10</v>
      </c>
      <c r="M493" s="642" t="s">
        <v>3997</v>
      </c>
      <c r="N493" s="642" t="s">
        <v>120</v>
      </c>
      <c r="O493" s="1025">
        <f>Table15[[#This Row],[Date Completed]]</f>
        <v>44575</v>
      </c>
      <c r="P493" s="21" t="s">
        <v>739</v>
      </c>
      <c r="Q493" s="1151">
        <f>U493</f>
        <v>4817.5</v>
      </c>
      <c r="R493" s="1026" t="s">
        <v>1922</v>
      </c>
      <c r="S493" s="538"/>
      <c r="T493" s="538"/>
      <c r="U493" s="87">
        <v>4817.5</v>
      </c>
      <c r="V493" s="858"/>
      <c r="W493" s="437"/>
      <c r="X493" s="538"/>
      <c r="Y493" s="551"/>
      <c r="Z493" s="538"/>
      <c r="AA493" s="538"/>
      <c r="AB493" s="21"/>
      <c r="AC493" s="569" t="s">
        <v>709</v>
      </c>
      <c r="AD493" s="1149" t="s">
        <v>709</v>
      </c>
      <c r="AE493" s="580"/>
      <c r="AF493" s="580"/>
      <c r="AG493" s="580"/>
      <c r="AH493" s="542"/>
      <c r="AI493" s="1028"/>
      <c r="AJ493" s="1029"/>
      <c r="AK493" s="1029"/>
      <c r="AL493" s="1030"/>
      <c r="AM493" s="542" t="s">
        <v>709</v>
      </c>
      <c r="AN493" s="924"/>
      <c r="AO493" s="925"/>
      <c r="AP493" s="926"/>
      <c r="AQ493" s="926"/>
      <c r="AR493" s="926"/>
      <c r="AS493" s="926"/>
      <c r="AT493" s="926"/>
      <c r="AU493" s="926"/>
      <c r="AV493" s="926"/>
      <c r="AW493" s="927"/>
      <c r="AX493" s="926"/>
      <c r="AY493" s="1538" t="s">
        <v>29</v>
      </c>
      <c r="AZ493" s="1532"/>
      <c r="BA493" s="1031">
        <v>3</v>
      </c>
      <c r="BB493" s="644"/>
      <c r="BC493" s="544"/>
      <c r="BD493" s="544"/>
      <c r="BE493" s="544"/>
      <c r="BF493" s="544"/>
      <c r="BG493" s="544"/>
      <c r="BH493" s="741"/>
      <c r="BI493" s="547" t="s">
        <v>709</v>
      </c>
      <c r="BJ493" s="547" t="s">
        <v>709</v>
      </c>
      <c r="BK493" s="547" t="s">
        <v>709</v>
      </c>
      <c r="BL493" s="547" t="s">
        <v>709</v>
      </c>
      <c r="BM493" s="547" t="s">
        <v>709</v>
      </c>
      <c r="BN493" s="547" t="s">
        <v>709</v>
      </c>
      <c r="BO493" s="547" t="s">
        <v>709</v>
      </c>
      <c r="BP493" s="547" t="s">
        <v>709</v>
      </c>
      <c r="BQ493" s="547" t="s">
        <v>709</v>
      </c>
      <c r="BR493" s="547" t="s">
        <v>709</v>
      </c>
      <c r="BS493" s="547" t="s">
        <v>709</v>
      </c>
      <c r="BT493" s="547" t="s">
        <v>745</v>
      </c>
      <c r="BU493" s="547" t="s">
        <v>709</v>
      </c>
      <c r="BV493" s="547">
        <v>5</v>
      </c>
      <c r="BW493" s="547" t="s">
        <v>709</v>
      </c>
      <c r="BX493" s="547" t="s">
        <v>745</v>
      </c>
      <c r="BY493" s="547" t="s">
        <v>745</v>
      </c>
      <c r="BZ493" s="547" t="s">
        <v>709</v>
      </c>
      <c r="CA493" s="483" t="s">
        <v>2</v>
      </c>
      <c r="CB493" s="547">
        <v>491</v>
      </c>
      <c r="CC493" s="1481" t="b">
        <v>1</v>
      </c>
      <c r="CD493" t="str">
        <f>Table15[[#This Row],[Engineering Number]]&amp;Table15[[#This Row],[WO Number]]&amp;Table15[[#This Row],[Date Assigned to Designer]]&amp;Table15[[#This Row],[Date Completed]]</f>
        <v>MR179032105734456544575</v>
      </c>
    </row>
    <row r="494" spans="1:82" customFormat="1" ht="15" customHeight="1" x14ac:dyDescent="0.25">
      <c r="A494">
        <v>2022</v>
      </c>
      <c r="B494" s="8" t="s">
        <v>771</v>
      </c>
      <c r="C494" s="8" t="s">
        <v>3990</v>
      </c>
      <c r="D494" s="8" t="s">
        <v>3991</v>
      </c>
      <c r="E494" s="8" t="s">
        <v>3992</v>
      </c>
      <c r="F494" s="8" t="s">
        <v>919</v>
      </c>
      <c r="G494" s="8" t="s">
        <v>36</v>
      </c>
      <c r="H494" s="8" t="s">
        <v>59</v>
      </c>
      <c r="I494" s="642">
        <v>44476</v>
      </c>
      <c r="J494" s="18">
        <v>44575</v>
      </c>
      <c r="K494" s="97">
        <v>44575</v>
      </c>
      <c r="L494" s="16">
        <f>IF(ISTEXT(Table15[[#This Row],[Engineering Approved Design Date]]),Table15[[#This Row],[Date Completed]]-Table15[[#This Row],[Date Assigned to Designer]],Table15[[#This Row],[Engineering Approved Design Date]]-Table15[[#This Row],[Date Completed]])</f>
        <v>0</v>
      </c>
      <c r="M494" s="642"/>
      <c r="N494" s="642" t="s">
        <v>120</v>
      </c>
      <c r="O494" s="1025">
        <f>Table15[[#This Row],[Date Completed]]</f>
        <v>44575</v>
      </c>
      <c r="P494" s="21" t="s">
        <v>120</v>
      </c>
      <c r="Q494" s="1151">
        <f>1.55*Table15[[#This Row],[LF of Main]]</f>
        <v>28468.850000000002</v>
      </c>
      <c r="R494" s="1026" t="s">
        <v>2087</v>
      </c>
      <c r="S494" s="538" t="s">
        <v>709</v>
      </c>
      <c r="T494" s="538" t="s">
        <v>709</v>
      </c>
      <c r="U494" s="87" t="s">
        <v>709</v>
      </c>
      <c r="V494" s="858">
        <v>18367</v>
      </c>
      <c r="W494" s="437"/>
      <c r="X494" s="538">
        <v>2612410.14</v>
      </c>
      <c r="Y494" s="550"/>
      <c r="Z494" s="538">
        <v>71768.83</v>
      </c>
      <c r="AA494" s="538">
        <f>Table15[[#This Row],[PCTS Investment Amount]]+Table15[[#This Row],[PCTS Retirement Amount]]</f>
        <v>2684178.9700000002</v>
      </c>
      <c r="AB494" s="341"/>
      <c r="AC494" s="568" t="s">
        <v>116</v>
      </c>
      <c r="AD494" s="1157"/>
      <c r="AE494" s="568"/>
      <c r="AF494" s="568"/>
      <c r="AG494" s="568"/>
      <c r="AH494" s="183"/>
      <c r="AI494" s="1036"/>
      <c r="AJ494" s="1037"/>
      <c r="AK494" s="1037"/>
      <c r="AL494" s="1038"/>
      <c r="AM494" s="542" t="s">
        <v>709</v>
      </c>
      <c r="AN494" s="924"/>
      <c r="AO494" s="925"/>
      <c r="AP494" s="926"/>
      <c r="AQ494" s="926"/>
      <c r="AR494" s="926"/>
      <c r="AS494" s="926"/>
      <c r="AT494" s="926"/>
      <c r="AU494" s="926"/>
      <c r="AV494" s="926"/>
      <c r="AW494" s="927"/>
      <c r="AX494" s="926"/>
      <c r="AY494" s="1538" t="s">
        <v>29</v>
      </c>
      <c r="AZ494" s="1530"/>
      <c r="BA494" s="1031" t="s">
        <v>3993</v>
      </c>
      <c r="BB494" s="644" t="s">
        <v>3994</v>
      </c>
      <c r="BC494" s="544" t="s">
        <v>709</v>
      </c>
      <c r="BD494" s="544" t="s">
        <v>709</v>
      </c>
      <c r="BE494" s="544" t="s">
        <v>3995</v>
      </c>
      <c r="BF494" s="544" t="s">
        <v>709</v>
      </c>
      <c r="BG494" s="544" t="s">
        <v>709</v>
      </c>
      <c r="BH494" s="741"/>
      <c r="BI494" s="547" t="s">
        <v>709</v>
      </c>
      <c r="BJ494" s="547" t="s">
        <v>709</v>
      </c>
      <c r="BK494" s="547" t="s">
        <v>709</v>
      </c>
      <c r="BL494" s="547" t="s">
        <v>116</v>
      </c>
      <c r="BM494" s="547" t="s">
        <v>709</v>
      </c>
      <c r="BN494" s="547" t="s">
        <v>709</v>
      </c>
      <c r="BO494" s="547" t="s">
        <v>709</v>
      </c>
      <c r="BP494" s="547">
        <v>1194</v>
      </c>
      <c r="BQ494" s="547" t="s">
        <v>709</v>
      </c>
      <c r="BR494" s="547">
        <v>1439</v>
      </c>
      <c r="BS494" s="547">
        <v>15734</v>
      </c>
      <c r="BT494" s="547" t="s">
        <v>745</v>
      </c>
      <c r="BU494" s="547" t="s">
        <v>709</v>
      </c>
      <c r="BV494" s="547" t="s">
        <v>745</v>
      </c>
      <c r="BW494" s="547" t="s">
        <v>709</v>
      </c>
      <c r="BX494" s="547" t="s">
        <v>745</v>
      </c>
      <c r="BY494" s="547" t="s">
        <v>745</v>
      </c>
      <c r="BZ494" s="547" t="s">
        <v>709</v>
      </c>
      <c r="CA494" s="483"/>
      <c r="CB494" s="547">
        <v>492</v>
      </c>
      <c r="CC494" s="1481" t="b">
        <v>1</v>
      </c>
      <c r="CD494" t="str">
        <f>Table15[[#This Row],[Engineering Number]]&amp;Table15[[#This Row],[WO Number]]&amp;Table15[[#This Row],[Date Assigned to Designer]]&amp;Table15[[#This Row],[Date Completed]]</f>
        <v>VW21312106924447644575</v>
      </c>
    </row>
    <row r="495" spans="1:82" customFormat="1" ht="15" customHeight="1" x14ac:dyDescent="0.25">
      <c r="A495">
        <v>2022</v>
      </c>
      <c r="B495" s="8" t="s">
        <v>4</v>
      </c>
      <c r="C495" s="8" t="s">
        <v>3895</v>
      </c>
      <c r="D495" s="8" t="s">
        <v>3896</v>
      </c>
      <c r="E495" s="8" t="s">
        <v>2114</v>
      </c>
      <c r="F495" s="8" t="s">
        <v>738</v>
      </c>
      <c r="G495" s="8" t="s">
        <v>39</v>
      </c>
      <c r="H495" s="8" t="s">
        <v>3178</v>
      </c>
      <c r="I495" s="642">
        <v>44572</v>
      </c>
      <c r="J495" s="18" t="s">
        <v>2052</v>
      </c>
      <c r="K495" s="97">
        <v>44579</v>
      </c>
      <c r="L495" s="16">
        <f>IF(ISTEXT(Table15[[#This Row],[Engineering Approved Design Date]]),Table15[[#This Row],[Date Completed]]-Table15[[#This Row],[Date Assigned to Designer]],Table15[[#This Row],[Engineering Approved Design Date]]-Table15[[#This Row],[Date Completed]])</f>
        <v>7</v>
      </c>
      <c r="M495" s="642" t="s">
        <v>3999</v>
      </c>
      <c r="N495" s="642" t="s">
        <v>120</v>
      </c>
      <c r="O495" s="1025">
        <f>Table15[[#This Row],[Date Completed]]</f>
        <v>44579</v>
      </c>
      <c r="P495" s="21" t="s">
        <v>739</v>
      </c>
      <c r="Q495" s="1151">
        <f>U495</f>
        <v>1665</v>
      </c>
      <c r="R495" s="1026" t="s">
        <v>1922</v>
      </c>
      <c r="S495" s="538"/>
      <c r="T495" s="538"/>
      <c r="U495" s="87">
        <v>1665</v>
      </c>
      <c r="V495" s="858"/>
      <c r="W495" s="437"/>
      <c r="X495" s="538"/>
      <c r="Y495" s="551"/>
      <c r="Z495" s="538"/>
      <c r="AA495" s="538"/>
      <c r="AB495" s="21"/>
      <c r="AC495" s="569"/>
      <c r="AD495" s="1149" t="s">
        <v>709</v>
      </c>
      <c r="AE495" s="580"/>
      <c r="AF495" s="580"/>
      <c r="AG495" s="580"/>
      <c r="AH495" s="542"/>
      <c r="AI495" s="1028"/>
      <c r="AJ495" s="1029"/>
      <c r="AK495" s="1029"/>
      <c r="AL495" s="1030"/>
      <c r="AM495" s="542" t="s">
        <v>709</v>
      </c>
      <c r="AN495" s="924"/>
      <c r="AO495" s="925"/>
      <c r="AP495" s="926"/>
      <c r="AQ495" s="926"/>
      <c r="AR495" s="926"/>
      <c r="AS495" s="926"/>
      <c r="AT495" s="926"/>
      <c r="AU495" s="926"/>
      <c r="AV495" s="926"/>
      <c r="AW495" s="927"/>
      <c r="AX495" s="926"/>
      <c r="AY495" s="1538" t="s">
        <v>29</v>
      </c>
      <c r="AZ495" s="1530"/>
      <c r="BA495" s="1031">
        <v>4</v>
      </c>
      <c r="BB495" s="644"/>
      <c r="BC495" s="544"/>
      <c r="BD495" s="544"/>
      <c r="BE495" s="544"/>
      <c r="BF495" s="544"/>
      <c r="BG495" s="544"/>
      <c r="BH495" s="741"/>
      <c r="BI495" s="547" t="s">
        <v>709</v>
      </c>
      <c r="BJ495" s="547" t="s">
        <v>709</v>
      </c>
      <c r="BK495" s="547" t="s">
        <v>709</v>
      </c>
      <c r="BL495" s="547" t="s">
        <v>116</v>
      </c>
      <c r="BM495" s="547" t="s">
        <v>709</v>
      </c>
      <c r="BN495" s="547" t="s">
        <v>709</v>
      </c>
      <c r="BO495" s="547" t="s">
        <v>709</v>
      </c>
      <c r="BP495" s="547" t="s">
        <v>709</v>
      </c>
      <c r="BQ495" s="547" t="s">
        <v>709</v>
      </c>
      <c r="BR495" s="547">
        <v>1379</v>
      </c>
      <c r="BS495" s="547" t="s">
        <v>709</v>
      </c>
      <c r="BT495" s="547" t="s">
        <v>745</v>
      </c>
      <c r="BU495" s="547" t="s">
        <v>709</v>
      </c>
      <c r="BV495" s="547" t="s">
        <v>745</v>
      </c>
      <c r="BW495" s="547" t="s">
        <v>709</v>
      </c>
      <c r="BX495" s="547" t="s">
        <v>745</v>
      </c>
      <c r="BY495" s="547" t="s">
        <v>745</v>
      </c>
      <c r="BZ495" s="547" t="s">
        <v>709</v>
      </c>
      <c r="CA495" s="483"/>
      <c r="CB495" s="547">
        <v>493</v>
      </c>
      <c r="CC495" s="1481" t="b">
        <v>1</v>
      </c>
      <c r="CD495" t="str">
        <f>Table15[[#This Row],[Engineering Number]]&amp;Table15[[#This Row],[WO Number]]&amp;Table15[[#This Row],[Date Assigned to Designer]]&amp;Table15[[#This Row],[Date Completed]]</f>
        <v>M1265912107164457244579</v>
      </c>
    </row>
    <row r="496" spans="1:82" customFormat="1" ht="15" customHeight="1" x14ac:dyDescent="0.25">
      <c r="A496">
        <v>2022</v>
      </c>
      <c r="B496" s="8" t="s">
        <v>1073</v>
      </c>
      <c r="C496" s="8" t="s">
        <v>3742</v>
      </c>
      <c r="D496" s="8">
        <v>1610442</v>
      </c>
      <c r="E496" s="8" t="s">
        <v>118</v>
      </c>
      <c r="F496" s="8" t="s">
        <v>738</v>
      </c>
      <c r="G496" s="8" t="s">
        <v>22</v>
      </c>
      <c r="H496" s="8" t="s">
        <v>4001</v>
      </c>
      <c r="I496" s="642">
        <v>44572</v>
      </c>
      <c r="J496" s="18" t="s">
        <v>2052</v>
      </c>
      <c r="K496" s="97">
        <v>44580</v>
      </c>
      <c r="L496" s="16">
        <f>IF(ISTEXT(Table15[[#This Row],[Engineering Approved Design Date]]),Table15[[#This Row],[Date Completed]]-Table15[[#This Row],[Date Assigned to Designer]],Table15[[#This Row],[Engineering Approved Design Date]]-Table15[[#This Row],[Date Completed]])</f>
        <v>8</v>
      </c>
      <c r="M496" s="642" t="s">
        <v>4002</v>
      </c>
      <c r="N496" s="642" t="s">
        <v>120</v>
      </c>
      <c r="O496" s="1025">
        <v>44593</v>
      </c>
      <c r="P496" s="21" t="s">
        <v>739</v>
      </c>
      <c r="Q496" s="1151">
        <f>U496</f>
        <v>4805</v>
      </c>
      <c r="R496" s="1026" t="s">
        <v>1922</v>
      </c>
      <c r="S496" s="538" t="s">
        <v>709</v>
      </c>
      <c r="T496" s="538" t="s">
        <v>709</v>
      </c>
      <c r="U496" s="87">
        <v>4805</v>
      </c>
      <c r="V496" s="858"/>
      <c r="W496" s="437"/>
      <c r="X496" s="538"/>
      <c r="Y496" s="551"/>
      <c r="Z496" s="538"/>
      <c r="AA496" s="538"/>
      <c r="AB496" s="21"/>
      <c r="AC496" s="569" t="s">
        <v>709</v>
      </c>
      <c r="AD496" s="1149" t="s">
        <v>709</v>
      </c>
      <c r="AE496" s="569"/>
      <c r="AF496" s="569"/>
      <c r="AG496" s="569"/>
      <c r="AH496" s="536"/>
      <c r="AI496" s="1028"/>
      <c r="AJ496" s="1029"/>
      <c r="AK496" s="1029"/>
      <c r="AL496" s="1030"/>
      <c r="AM496" s="542" t="s">
        <v>709</v>
      </c>
      <c r="AN496" s="924"/>
      <c r="AO496" s="925"/>
      <c r="AP496" s="926"/>
      <c r="AQ496" s="926"/>
      <c r="AR496" s="926"/>
      <c r="AS496" s="926"/>
      <c r="AT496" s="926"/>
      <c r="AU496" s="926"/>
      <c r="AV496" s="926"/>
      <c r="AW496" s="927"/>
      <c r="AX496" s="926"/>
      <c r="AY496" s="1538" t="s">
        <v>29</v>
      </c>
      <c r="AZ496" s="1530"/>
      <c r="BA496" s="1031">
        <v>3</v>
      </c>
      <c r="BB496" s="644"/>
      <c r="BC496" s="544"/>
      <c r="BD496" s="544"/>
      <c r="BE496" s="544"/>
      <c r="BF496" s="544"/>
      <c r="BG496" s="544"/>
      <c r="BH496" s="741"/>
      <c r="BI496" s="547" t="s">
        <v>709</v>
      </c>
      <c r="BJ496" s="547" t="s">
        <v>709</v>
      </c>
      <c r="BK496" s="547" t="s">
        <v>709</v>
      </c>
      <c r="BL496" s="547" t="s">
        <v>116</v>
      </c>
      <c r="BM496" s="547" t="s">
        <v>709</v>
      </c>
      <c r="BN496" s="547" t="s">
        <v>709</v>
      </c>
      <c r="BO496" s="547" t="s">
        <v>709</v>
      </c>
      <c r="BP496" s="547" t="s">
        <v>709</v>
      </c>
      <c r="BQ496" s="547">
        <v>1469</v>
      </c>
      <c r="BR496" s="547">
        <v>2351</v>
      </c>
      <c r="BS496" s="547">
        <v>7386</v>
      </c>
      <c r="BT496" s="547" t="s">
        <v>745</v>
      </c>
      <c r="BU496" s="547" t="s">
        <v>709</v>
      </c>
      <c r="BV496" s="547" t="s">
        <v>745</v>
      </c>
      <c r="BW496" s="547" t="s">
        <v>709</v>
      </c>
      <c r="BX496" s="547" t="s">
        <v>709</v>
      </c>
      <c r="BY496" s="547" t="s">
        <v>745</v>
      </c>
      <c r="BZ496" s="547" t="s">
        <v>709</v>
      </c>
      <c r="CA496" s="483"/>
      <c r="CB496" s="547">
        <v>494</v>
      </c>
      <c r="CC496" s="1481" t="b">
        <v>1</v>
      </c>
      <c r="CD496" t="str">
        <f>Table15[[#This Row],[Engineering Number]]&amp;Table15[[#This Row],[WO Number]]&amp;Table15[[#This Row],[Date Assigned to Designer]]&amp;Table15[[#This Row],[Date Completed]]</f>
        <v>NBA1000171216104424457244580</v>
      </c>
    </row>
    <row r="497" spans="1:82" customFormat="1" ht="15" customHeight="1" x14ac:dyDescent="0.25">
      <c r="A497">
        <v>2022</v>
      </c>
      <c r="B497" s="8" t="s">
        <v>2989</v>
      </c>
      <c r="C497" s="8" t="s">
        <v>4004</v>
      </c>
      <c r="D497" s="8" t="s">
        <v>4005</v>
      </c>
      <c r="E497" s="8" t="s">
        <v>1149</v>
      </c>
      <c r="F497" s="8" t="s">
        <v>752</v>
      </c>
      <c r="G497" s="8" t="s">
        <v>23</v>
      </c>
      <c r="H497" s="8" t="s">
        <v>59</v>
      </c>
      <c r="I497" s="642">
        <v>44523</v>
      </c>
      <c r="J497" s="18">
        <v>44607</v>
      </c>
      <c r="K497" s="18">
        <v>44581</v>
      </c>
      <c r="L497" s="16">
        <f>IF(ISTEXT(Table15[[#This Row],[Engineering Approved Design Date]]),Table15[[#This Row],[Date Completed]]-Table15[[#This Row],[Date Assigned to Designer]],Table15[[#This Row],[Engineering Approved Design Date]]-Table15[[#This Row],[Date Completed]])</f>
        <v>26</v>
      </c>
      <c r="M497" s="642"/>
      <c r="N497" s="642" t="s">
        <v>120</v>
      </c>
      <c r="O497" s="1025">
        <f>Table15[[#This Row],[Date Completed]]</f>
        <v>44581</v>
      </c>
      <c r="P497" s="21" t="s">
        <v>739</v>
      </c>
      <c r="Q497" s="340">
        <f>R497*AA497</f>
        <v>5593.2857999999997</v>
      </c>
      <c r="R497" s="1026">
        <v>0.09</v>
      </c>
      <c r="S497" s="538"/>
      <c r="T497" s="538"/>
      <c r="U497" s="87"/>
      <c r="V497" s="857"/>
      <c r="W497" s="440"/>
      <c r="X497" s="551"/>
      <c r="Y497" s="551"/>
      <c r="Z497" s="551">
        <v>62147.62</v>
      </c>
      <c r="AA497" s="551">
        <f>Table15[[#This Row],[PCTS Investment Amount]]+Table15[[#This Row],[PCTS Retirement Amount]]</f>
        <v>62147.62</v>
      </c>
      <c r="AB497" s="341"/>
      <c r="AC497" s="568" t="s">
        <v>709</v>
      </c>
      <c r="AD497" s="1157"/>
      <c r="AE497" s="579"/>
      <c r="AF497" s="579"/>
      <c r="AG497" s="579"/>
      <c r="AH497" s="553"/>
      <c r="AI497" s="1036"/>
      <c r="AJ497" s="1037"/>
      <c r="AK497" s="1037"/>
      <c r="AL497" s="1038"/>
      <c r="AM497" s="542" t="s">
        <v>116</v>
      </c>
      <c r="AN497" s="1508">
        <v>44594</v>
      </c>
      <c r="AO497" s="925">
        <v>11040262</v>
      </c>
      <c r="AP497" s="926">
        <v>0</v>
      </c>
      <c r="AQ497" s="926"/>
      <c r="AR497" s="926">
        <v>62147.62</v>
      </c>
      <c r="AS497" s="926">
        <f>IF(Table15[[#This Row],[PCTS Approved]]="N",0,Table15[[#This Row],[Investment Amount (1'#'#'#'#'#)]]+Table15[[#This Row],[Retirement Amount (3'#'#'#'#'#)]])</f>
        <v>62147.62</v>
      </c>
      <c r="AT497" s="926">
        <f>IF(Table15[[#This Row],[Approved Construction Cost]]=0,0,Table15[[#This Row],[Approved Construction Cost]]-Table15[[#This Row],[Construction Cost to Bill From]])</f>
        <v>0</v>
      </c>
      <c r="AU497" s="926">
        <f>IFERROR(Table15[[#This Row],[Difference in Construction Cost]]*Table15[[#This Row],[Rate]],Table15[[#This Row],[Difference in Construction Cost]]*0.085)</f>
        <v>0</v>
      </c>
      <c r="AV497" s="926" t="s">
        <v>709</v>
      </c>
      <c r="AW497" s="927"/>
      <c r="AX497" s="926"/>
      <c r="AY497" s="636" t="s">
        <v>1935</v>
      </c>
      <c r="AZ497" s="1533"/>
      <c r="BA497" s="859" t="s">
        <v>4006</v>
      </c>
      <c r="BB497" s="644" t="s">
        <v>4007</v>
      </c>
      <c r="BC497" s="544" t="s">
        <v>709</v>
      </c>
      <c r="BD497" s="544" t="s">
        <v>862</v>
      </c>
      <c r="BE497" s="544" t="s">
        <v>1835</v>
      </c>
      <c r="BF497" s="544" t="s">
        <v>709</v>
      </c>
      <c r="BG497" s="544" t="s">
        <v>709</v>
      </c>
      <c r="BH497" s="741"/>
      <c r="BI497" s="547" t="s">
        <v>709</v>
      </c>
      <c r="BJ497" s="547" t="s">
        <v>709</v>
      </c>
      <c r="BK497" s="547" t="s">
        <v>709</v>
      </c>
      <c r="BL497" s="547" t="s">
        <v>709</v>
      </c>
      <c r="BM497" s="547" t="s">
        <v>709</v>
      </c>
      <c r="BN497" s="547" t="s">
        <v>709</v>
      </c>
      <c r="BO497" s="547" t="s">
        <v>709</v>
      </c>
      <c r="BP497" s="547" t="s">
        <v>709</v>
      </c>
      <c r="BQ497" s="547" t="s">
        <v>709</v>
      </c>
      <c r="BR497" s="547" t="s">
        <v>709</v>
      </c>
      <c r="BS497" s="547" t="s">
        <v>709</v>
      </c>
      <c r="BT497" s="547" t="s">
        <v>745</v>
      </c>
      <c r="BU497" s="547" t="s">
        <v>709</v>
      </c>
      <c r="BV497" s="547">
        <v>1</v>
      </c>
      <c r="BW497" s="547" t="s">
        <v>709</v>
      </c>
      <c r="BX497" s="547" t="s">
        <v>745</v>
      </c>
      <c r="BY497" s="547" t="s">
        <v>745</v>
      </c>
      <c r="BZ497" s="547" t="s">
        <v>709</v>
      </c>
      <c r="CA497" s="483" t="s">
        <v>2</v>
      </c>
      <c r="CB497" s="547">
        <v>495</v>
      </c>
      <c r="CC497" s="1481" t="b">
        <v>1</v>
      </c>
      <c r="CD497" t="str">
        <f>Table15[[#This Row],[Engineering Number]]&amp;Table15[[#This Row],[WO Number]]&amp;Table15[[#This Row],[Date Assigned to Designer]]&amp;Table15[[#This Row],[Date Completed]]</f>
        <v>MR180333108194452344581</v>
      </c>
    </row>
    <row r="498" spans="1:82" customFormat="1" ht="15" customHeight="1" x14ac:dyDescent="0.25">
      <c r="A498">
        <v>2022</v>
      </c>
      <c r="B498" s="8" t="s">
        <v>730</v>
      </c>
      <c r="C498" s="8" t="s">
        <v>349</v>
      </c>
      <c r="D498" s="8" t="s">
        <v>4009</v>
      </c>
      <c r="E498" s="8" t="s">
        <v>350</v>
      </c>
      <c r="F498" s="8" t="s">
        <v>747</v>
      </c>
      <c r="G498" s="8" t="s">
        <v>347</v>
      </c>
      <c r="H498" s="8" t="s">
        <v>59</v>
      </c>
      <c r="I498" s="642">
        <v>44320</v>
      </c>
      <c r="J498" s="18">
        <v>44592</v>
      </c>
      <c r="K498" s="97">
        <v>44582</v>
      </c>
      <c r="L498" s="16">
        <f>IF(ISTEXT(Table15[[#This Row],[Engineering Approved Design Date]]),Table15[[#This Row],[Date Completed]]-Table15[[#This Row],[Date Assigned to Designer]],Table15[[#This Row],[Engineering Approved Design Date]]-Table15[[#This Row],[Date Completed]])</f>
        <v>10</v>
      </c>
      <c r="M498" s="642"/>
      <c r="N498" s="642" t="s">
        <v>120</v>
      </c>
      <c r="O498" s="1025">
        <f>Table15[[#This Row],[Date Completed]]</f>
        <v>44582</v>
      </c>
      <c r="P498" s="21" t="s">
        <v>120</v>
      </c>
      <c r="Q498" s="340">
        <f>(Table15[[#This Row],[Construction Cost to Bill From]]*0.085)+5250</f>
        <v>19088.669800000003</v>
      </c>
      <c r="R498" s="1026" t="s">
        <v>794</v>
      </c>
      <c r="S498" s="538" t="s">
        <v>709</v>
      </c>
      <c r="T498" s="538" t="s">
        <v>709</v>
      </c>
      <c r="U498" s="87" t="s">
        <v>709</v>
      </c>
      <c r="V498" s="858">
        <v>107</v>
      </c>
      <c r="W498" s="437"/>
      <c r="X498" s="538">
        <v>126793.58</v>
      </c>
      <c r="Y498" s="551"/>
      <c r="Z498" s="538">
        <v>36014.300000000003</v>
      </c>
      <c r="AA498" s="551">
        <f>Table15[[#This Row],[PCTS Investment Amount]]+Table15[[#This Row],[PCTS Retirement Amount]]</f>
        <v>162807.88</v>
      </c>
      <c r="AB498" s="341"/>
      <c r="AC498" s="568" t="s">
        <v>1441</v>
      </c>
      <c r="AD498" s="1157"/>
      <c r="AE498" s="579"/>
      <c r="AF498" s="579"/>
      <c r="AG498" s="579"/>
      <c r="AH498" s="553"/>
      <c r="AI498" s="1036"/>
      <c r="AJ498" s="1037"/>
      <c r="AK498" s="1037"/>
      <c r="AL498" s="1038"/>
      <c r="AM498" s="1522" t="s">
        <v>116</v>
      </c>
      <c r="AN498" s="1523">
        <v>44734</v>
      </c>
      <c r="AO498" s="1524">
        <v>11038724</v>
      </c>
      <c r="AP498" s="1525">
        <v>106494.31</v>
      </c>
      <c r="AQ498" s="1525"/>
      <c r="AR498" s="1525">
        <v>35079.43</v>
      </c>
      <c r="AS498" s="1525">
        <f>IF(Table15[[#This Row],[PCTS Approved]]="N",0,Table15[[#This Row],[Investment Amount (1'#'#'#'#'#)]]+Table15[[#This Row],[Retirement Amount (3'#'#'#'#'#)]])</f>
        <v>141573.74</v>
      </c>
      <c r="AT498" s="1525">
        <f>IF(Table15[[#This Row],[Approved Construction Cost]]=0,0,Table15[[#This Row],[Approved Construction Cost]]-Table15[[#This Row],[Construction Cost to Bill From]])</f>
        <v>-21234.140000000014</v>
      </c>
      <c r="AU498" s="1525">
        <f>IFERROR(Table15[[#This Row],[Difference in Construction Cost]]*Table15[[#This Row],[Rate]],Table15[[#This Row],[Difference in Construction Cost]]*0.085)</f>
        <v>-1804.9019000000012</v>
      </c>
      <c r="AV498" s="1525" t="s">
        <v>709</v>
      </c>
      <c r="AW498" s="1526" t="s">
        <v>3732</v>
      </c>
      <c r="AX498" s="1525">
        <f>Table15[[#This Row],[Reconcile Amount]]</f>
        <v>-1804.9019000000012</v>
      </c>
      <c r="AY498" s="1518">
        <v>45008</v>
      </c>
      <c r="AZ498" s="333"/>
      <c r="BA498" s="1031" t="s">
        <v>4010</v>
      </c>
      <c r="BB498" s="644" t="s">
        <v>3824</v>
      </c>
      <c r="BC498" s="544" t="s">
        <v>116</v>
      </c>
      <c r="BD498" s="544" t="s">
        <v>709</v>
      </c>
      <c r="BE498" s="544" t="s">
        <v>709</v>
      </c>
      <c r="BF498" s="544" t="s">
        <v>709</v>
      </c>
      <c r="BG498" s="544" t="s">
        <v>709</v>
      </c>
      <c r="BH498" s="741"/>
      <c r="BI498" s="547" t="s">
        <v>709</v>
      </c>
      <c r="BJ498" s="547" t="s">
        <v>116</v>
      </c>
      <c r="BK498" s="547" t="s">
        <v>709</v>
      </c>
      <c r="BL498" s="547" t="s">
        <v>116</v>
      </c>
      <c r="BM498" s="547" t="s">
        <v>709</v>
      </c>
      <c r="BN498" s="547" t="s">
        <v>709</v>
      </c>
      <c r="BO498" s="547" t="s">
        <v>709</v>
      </c>
      <c r="BP498" s="547" t="s">
        <v>709</v>
      </c>
      <c r="BQ498" s="547" t="s">
        <v>709</v>
      </c>
      <c r="BR498" s="547" t="s">
        <v>709</v>
      </c>
      <c r="BS498" s="547">
        <v>106</v>
      </c>
      <c r="BT498" s="547" t="s">
        <v>745</v>
      </c>
      <c r="BU498" s="547">
        <v>1</v>
      </c>
      <c r="BV498" s="547" t="s">
        <v>745</v>
      </c>
      <c r="BW498" s="547" t="s">
        <v>709</v>
      </c>
      <c r="BX498" s="547">
        <v>1</v>
      </c>
      <c r="BY498" s="547" t="s">
        <v>745</v>
      </c>
      <c r="BZ498" s="547" t="s">
        <v>709</v>
      </c>
      <c r="CA498" s="483" t="s">
        <v>730</v>
      </c>
      <c r="CB498" s="547">
        <v>496</v>
      </c>
      <c r="CC498" s="1481" t="b">
        <v>1</v>
      </c>
      <c r="CD498" t="str">
        <f>Table15[[#This Row],[Engineering Number]]&amp;Table15[[#This Row],[WO Number]]&amp;Table15[[#This Row],[Date Assigned to Designer]]&amp;Table15[[#This Row],[Date Completed]]</f>
        <v>RS8521012054432044582</v>
      </c>
    </row>
    <row r="499" spans="1:82" customFormat="1" ht="15" customHeight="1" x14ac:dyDescent="0.25">
      <c r="A499">
        <v>2022</v>
      </c>
      <c r="B499" s="8" t="s">
        <v>2989</v>
      </c>
      <c r="C499" s="8" t="s">
        <v>4012</v>
      </c>
      <c r="D499" s="8" t="s">
        <v>4013</v>
      </c>
      <c r="E499" s="8" t="s">
        <v>3223</v>
      </c>
      <c r="F499" s="8" t="s">
        <v>752</v>
      </c>
      <c r="G499" s="8" t="s">
        <v>34</v>
      </c>
      <c r="H499" s="8" t="s">
        <v>59</v>
      </c>
      <c r="I499" s="642">
        <v>44523</v>
      </c>
      <c r="J499" s="18">
        <v>44607</v>
      </c>
      <c r="K499" s="18">
        <v>44586</v>
      </c>
      <c r="L499" s="16">
        <f>IF(ISTEXT(Table15[[#This Row],[Engineering Approved Design Date]]),Table15[[#This Row],[Date Completed]]-Table15[[#This Row],[Date Assigned to Designer]],Table15[[#This Row],[Engineering Approved Design Date]]-Table15[[#This Row],[Date Completed]])</f>
        <v>21</v>
      </c>
      <c r="M499" s="642"/>
      <c r="N499" s="642" t="s">
        <v>120</v>
      </c>
      <c r="O499" s="1025">
        <v>44593</v>
      </c>
      <c r="P499" s="21" t="s">
        <v>739</v>
      </c>
      <c r="Q499" s="340">
        <f>R499*AA499</f>
        <v>7346.9970000000003</v>
      </c>
      <c r="R499" s="1026">
        <v>0.09</v>
      </c>
      <c r="S499" s="538" t="s">
        <v>709</v>
      </c>
      <c r="T499" s="538" t="s">
        <v>709</v>
      </c>
      <c r="U499" s="87" t="s">
        <v>709</v>
      </c>
      <c r="V499" s="857">
        <v>88</v>
      </c>
      <c r="W499" s="440"/>
      <c r="X499" s="551"/>
      <c r="Y499" s="551"/>
      <c r="Z499" s="551">
        <v>81633.3</v>
      </c>
      <c r="AA499" s="551">
        <f>Table15[[#This Row],[PCTS Investment Amount]]+Table15[[#This Row],[PCTS Retirement Amount]]</f>
        <v>81633.3</v>
      </c>
      <c r="AB499" s="341"/>
      <c r="AC499" s="568" t="s">
        <v>709</v>
      </c>
      <c r="AD499" s="1157" t="s">
        <v>29</v>
      </c>
      <c r="AE499" s="579"/>
      <c r="AF499" s="579"/>
      <c r="AG499" s="579"/>
      <c r="AH499" s="553"/>
      <c r="AI499" s="1036"/>
      <c r="AJ499" s="1037"/>
      <c r="AK499" s="1037"/>
      <c r="AL499" s="1038"/>
      <c r="AM499" s="542" t="s">
        <v>116</v>
      </c>
      <c r="AN499" s="1508">
        <v>44594</v>
      </c>
      <c r="AO499" s="925">
        <v>11039239</v>
      </c>
      <c r="AP499" s="926">
        <v>39806.79</v>
      </c>
      <c r="AQ499" s="926"/>
      <c r="AR499" s="926">
        <v>81633.3</v>
      </c>
      <c r="AS499" s="926">
        <f>IF(Table15[[#This Row],[PCTS Approved]]="N",0,Table15[[#This Row],[Investment Amount (1'#'#'#'#'#)]]+Table15[[#This Row],[Retirement Amount (3'#'#'#'#'#)]])</f>
        <v>121440.09</v>
      </c>
      <c r="AT499" s="926">
        <f>IF(Table15[[#This Row],[Approved Construction Cost]]=0,0,Table15[[#This Row],[Approved Construction Cost]]-Table15[[#This Row],[Construction Cost to Bill From]])</f>
        <v>39806.789999999994</v>
      </c>
      <c r="AU499" s="926">
        <f>IFERROR(Table15[[#This Row],[Difference in Construction Cost]]*Table15[[#This Row],[Rate]],Table15[[#This Row],[Difference in Construction Cost]]*0.085)</f>
        <v>3582.6110999999992</v>
      </c>
      <c r="AV499" s="926" t="s">
        <v>709</v>
      </c>
      <c r="AW499" s="927" t="s">
        <v>4014</v>
      </c>
      <c r="AX499" s="926"/>
      <c r="AY499" s="636" t="s">
        <v>1935</v>
      </c>
      <c r="AZ499" s="1533"/>
      <c r="BA499" s="859" t="s">
        <v>4015</v>
      </c>
      <c r="BB499" s="644" t="s">
        <v>4016</v>
      </c>
      <c r="BC499" s="544" t="s">
        <v>709</v>
      </c>
      <c r="BD499" s="544" t="s">
        <v>709</v>
      </c>
      <c r="BE499" s="544" t="s">
        <v>3561</v>
      </c>
      <c r="BF499" s="544" t="s">
        <v>709</v>
      </c>
      <c r="BG499" s="544" t="s">
        <v>709</v>
      </c>
      <c r="BH499" s="741"/>
      <c r="BI499" s="547" t="s">
        <v>709</v>
      </c>
      <c r="BJ499" s="547" t="s">
        <v>709</v>
      </c>
      <c r="BK499" s="547" t="s">
        <v>709</v>
      </c>
      <c r="BL499" s="547" t="s">
        <v>709</v>
      </c>
      <c r="BM499" s="547" t="s">
        <v>709</v>
      </c>
      <c r="BN499" s="547" t="s">
        <v>709</v>
      </c>
      <c r="BO499" s="547" t="s">
        <v>709</v>
      </c>
      <c r="BP499" s="547" t="s">
        <v>709</v>
      </c>
      <c r="BQ499" s="547" t="s">
        <v>709</v>
      </c>
      <c r="BR499" s="547" t="s">
        <v>709</v>
      </c>
      <c r="BS499" s="547" t="s">
        <v>709</v>
      </c>
      <c r="BT499" s="547" t="s">
        <v>745</v>
      </c>
      <c r="BU499" s="547" t="s">
        <v>709</v>
      </c>
      <c r="BV499" s="547">
        <v>2</v>
      </c>
      <c r="BW499" s="547" t="s">
        <v>709</v>
      </c>
      <c r="BX499" s="547" t="s">
        <v>745</v>
      </c>
      <c r="BY499" s="547" t="s">
        <v>745</v>
      </c>
      <c r="BZ499" s="547" t="s">
        <v>709</v>
      </c>
      <c r="CA499" s="483" t="s">
        <v>2</v>
      </c>
      <c r="CB499" s="547">
        <v>498</v>
      </c>
      <c r="CC499" s="1481" t="b">
        <v>1</v>
      </c>
      <c r="CD499" t="str">
        <f>Table15[[#This Row],[Engineering Number]]&amp;Table15[[#This Row],[WO Number]]&amp;Table15[[#This Row],[Date Assigned to Designer]]&amp;Table15[[#This Row],[Date Completed]]</f>
        <v>MR180533108104452344586</v>
      </c>
    </row>
    <row r="500" spans="1:82" customFormat="1" ht="15" customHeight="1" x14ac:dyDescent="0.25">
      <c r="A500">
        <v>2022</v>
      </c>
      <c r="B500" s="8" t="s">
        <v>4</v>
      </c>
      <c r="C500" s="8" t="s">
        <v>4018</v>
      </c>
      <c r="D500" s="8" t="s">
        <v>4019</v>
      </c>
      <c r="E500" s="8" t="s">
        <v>818</v>
      </c>
      <c r="F500" s="8" t="s">
        <v>919</v>
      </c>
      <c r="G500" s="8" t="s">
        <v>39</v>
      </c>
      <c r="H500" s="8" t="s">
        <v>59</v>
      </c>
      <c r="I500" s="642">
        <v>44480</v>
      </c>
      <c r="J500" s="18">
        <v>44589</v>
      </c>
      <c r="K500" s="18">
        <v>44586</v>
      </c>
      <c r="L500" s="16">
        <f>IF(ISTEXT(Table15[[#This Row],[Engineering Approved Design Date]]),Table15[[#This Row],[Date Completed]]-Table15[[#This Row],[Date Assigned to Designer]],Table15[[#This Row],[Engineering Approved Design Date]]-Table15[[#This Row],[Date Completed]])</f>
        <v>3</v>
      </c>
      <c r="M500" s="642"/>
      <c r="N500" s="642" t="s">
        <v>120</v>
      </c>
      <c r="O500" s="1025">
        <v>44593</v>
      </c>
      <c r="P500" s="21" t="s">
        <v>739</v>
      </c>
      <c r="Q500" s="340">
        <f>R500*AA500</f>
        <v>38023.372000000003</v>
      </c>
      <c r="R500" s="1026">
        <v>0.1</v>
      </c>
      <c r="S500" s="538" t="s">
        <v>709</v>
      </c>
      <c r="T500" s="538" t="s">
        <v>709</v>
      </c>
      <c r="U500" s="87" t="s">
        <v>709</v>
      </c>
      <c r="V500" s="857">
        <v>635</v>
      </c>
      <c r="W500" s="440"/>
      <c r="X500" s="551">
        <v>350213.39</v>
      </c>
      <c r="Y500" s="551"/>
      <c r="Z500" s="551">
        <v>30020.33</v>
      </c>
      <c r="AA500" s="551">
        <f>Table15[[#This Row],[PCTS Investment Amount]]+Table15[[#This Row],[PCTS Retirement Amount]]</f>
        <v>380233.72000000003</v>
      </c>
      <c r="AB500" s="341"/>
      <c r="AC500" s="568" t="s">
        <v>116</v>
      </c>
      <c r="AD500" s="1157"/>
      <c r="AE500" s="579"/>
      <c r="AF500" s="579"/>
      <c r="AG500" s="579"/>
      <c r="AH500" s="553"/>
      <c r="AI500" s="1036"/>
      <c r="AJ500" s="1037"/>
      <c r="AK500" s="1037"/>
      <c r="AL500" s="1038"/>
      <c r="AM500" s="1522" t="s">
        <v>116</v>
      </c>
      <c r="AN500" s="1523">
        <v>44700</v>
      </c>
      <c r="AO500" s="1524">
        <v>11040723</v>
      </c>
      <c r="AP500" s="1525">
        <v>351419.09</v>
      </c>
      <c r="AQ500" s="1525"/>
      <c r="AR500" s="1525">
        <v>30044.81</v>
      </c>
      <c r="AS500" s="1525">
        <f>IF(Table15[[#This Row],[PCTS Approved]]="N",0,Table15[[#This Row],[Investment Amount (1'#'#'#'#'#)]]+Table15[[#This Row],[Retirement Amount (3'#'#'#'#'#)]])</f>
        <v>381463.9</v>
      </c>
      <c r="AT500" s="1525">
        <f>IF(Table15[[#This Row],[Approved Construction Cost]]=0,0,Table15[[#This Row],[Approved Construction Cost]]-Table15[[#This Row],[Construction Cost to Bill From]])</f>
        <v>1230.179999999993</v>
      </c>
      <c r="AU500" s="1525">
        <f>IFERROR(Table15[[#This Row],[Difference in Construction Cost]]*Table15[[#This Row],[Rate]],Table15[[#This Row],[Difference in Construction Cost]]*0.085)</f>
        <v>123.0179999999993</v>
      </c>
      <c r="AV500" s="1525" t="s">
        <v>709</v>
      </c>
      <c r="AW500" s="1526"/>
      <c r="AX500" s="1525">
        <f>Table15[[#This Row],[Reconcile Amount]]</f>
        <v>123.0179999999993</v>
      </c>
      <c r="AY500" s="1518">
        <v>45008</v>
      </c>
      <c r="AZ500" s="333"/>
      <c r="BA500" s="1031" t="s">
        <v>4020</v>
      </c>
      <c r="BB500" s="644" t="s">
        <v>709</v>
      </c>
      <c r="BC500" s="544" t="s">
        <v>709</v>
      </c>
      <c r="BD500" s="544" t="s">
        <v>862</v>
      </c>
      <c r="BE500" s="544" t="s">
        <v>822</v>
      </c>
      <c r="BF500" s="544" t="s">
        <v>3124</v>
      </c>
      <c r="BG500" s="544" t="s">
        <v>709</v>
      </c>
      <c r="BH500" s="741"/>
      <c r="BI500" s="547" t="s">
        <v>709</v>
      </c>
      <c r="BJ500" s="547" t="s">
        <v>709</v>
      </c>
      <c r="BK500" s="547" t="s">
        <v>709</v>
      </c>
      <c r="BL500" s="547" t="s">
        <v>116</v>
      </c>
      <c r="BM500" s="547" t="s">
        <v>709</v>
      </c>
      <c r="BN500" s="547" t="s">
        <v>709</v>
      </c>
      <c r="BO500" s="547" t="s">
        <v>709</v>
      </c>
      <c r="BP500" s="547">
        <v>398</v>
      </c>
      <c r="BQ500" s="547" t="s">
        <v>709</v>
      </c>
      <c r="BR500" s="547" t="s">
        <v>709</v>
      </c>
      <c r="BS500" s="547">
        <v>237</v>
      </c>
      <c r="BT500" s="547" t="s">
        <v>745</v>
      </c>
      <c r="BU500" s="547" t="s">
        <v>709</v>
      </c>
      <c r="BV500" s="547" t="s">
        <v>745</v>
      </c>
      <c r="BW500" s="547" t="s">
        <v>709</v>
      </c>
      <c r="BX500" s="547" t="s">
        <v>745</v>
      </c>
      <c r="BY500" s="547" t="s">
        <v>745</v>
      </c>
      <c r="BZ500" s="547" t="s">
        <v>709</v>
      </c>
      <c r="CA500" s="483"/>
      <c r="CB500" s="547">
        <v>497</v>
      </c>
      <c r="CC500" s="1481" t="b">
        <v>1</v>
      </c>
      <c r="CD500" t="str">
        <f>Table15[[#This Row],[Engineering Number]]&amp;Table15[[#This Row],[WO Number]]&amp;Table15[[#This Row],[Date Assigned to Designer]]&amp;Table15[[#This Row],[Date Completed]]</f>
        <v>SC1906413108134448044586</v>
      </c>
    </row>
    <row r="501" spans="1:82" customFormat="1" ht="15" customHeight="1" x14ac:dyDescent="0.25">
      <c r="A501">
        <v>2024</v>
      </c>
      <c r="B501" s="8" t="s">
        <v>4</v>
      </c>
      <c r="C501" s="8" t="s">
        <v>4031</v>
      </c>
      <c r="D501" s="8" t="s">
        <v>4032</v>
      </c>
      <c r="E501" s="8" t="s">
        <v>1261</v>
      </c>
      <c r="F501" s="8" t="s">
        <v>738</v>
      </c>
      <c r="G501" s="8" t="s">
        <v>1882</v>
      </c>
      <c r="H501" s="8" t="s">
        <v>4033</v>
      </c>
      <c r="I501" s="642">
        <v>43474</v>
      </c>
      <c r="J501" s="18">
        <v>44713</v>
      </c>
      <c r="K501" s="97">
        <v>44587</v>
      </c>
      <c r="L501" s="16">
        <f>IF(ISTEXT(Table15[[#This Row],[Engineering Approved Design Date]]),Table15[[#This Row],[Date Completed]]-Table15[[#This Row],[Date Assigned to Designer]],Table15[[#This Row],[Engineering Approved Design Date]]-Table15[[#This Row],[Date Completed]])</f>
        <v>126</v>
      </c>
      <c r="M501" s="642" t="s">
        <v>4034</v>
      </c>
      <c r="N501" s="642" t="s">
        <v>120</v>
      </c>
      <c r="O501" s="1025">
        <f>K501</f>
        <v>44587</v>
      </c>
      <c r="P501" s="21" t="s">
        <v>739</v>
      </c>
      <c r="Q501" s="1151">
        <f>U501</f>
        <v>54670</v>
      </c>
      <c r="R501" s="1026" t="s">
        <v>1922</v>
      </c>
      <c r="S501" s="538" t="s">
        <v>709</v>
      </c>
      <c r="T501" s="538" t="s">
        <v>709</v>
      </c>
      <c r="U501" s="87">
        <v>54670</v>
      </c>
      <c r="V501" s="858"/>
      <c r="W501" s="437"/>
      <c r="X501" s="538"/>
      <c r="Y501" s="551"/>
      <c r="Z501" s="538"/>
      <c r="AA501" s="538"/>
      <c r="AB501" s="21"/>
      <c r="AC501" s="569"/>
      <c r="AD501" s="1149"/>
      <c r="AE501" s="580"/>
      <c r="AF501" s="580"/>
      <c r="AG501" s="580"/>
      <c r="AH501" s="542" t="s">
        <v>29</v>
      </c>
      <c r="AI501" s="1028"/>
      <c r="AJ501" s="1029"/>
      <c r="AK501" s="1029"/>
      <c r="AL501" s="1030"/>
      <c r="AM501" s="542" t="s">
        <v>709</v>
      </c>
      <c r="AN501" s="924"/>
      <c r="AO501" s="925"/>
      <c r="AP501" s="926"/>
      <c r="AQ501" s="926"/>
      <c r="AR501" s="926"/>
      <c r="AS501" s="926"/>
      <c r="AT501" s="926"/>
      <c r="AU501" s="926"/>
      <c r="AV501" s="926"/>
      <c r="AW501" s="927"/>
      <c r="AX501" s="926"/>
      <c r="AY501" s="1538" t="s">
        <v>29</v>
      </c>
      <c r="AZ501" s="1530"/>
      <c r="BA501" s="1031" t="s">
        <v>4035</v>
      </c>
      <c r="BB501" s="644" t="s">
        <v>709</v>
      </c>
      <c r="BC501" s="544"/>
      <c r="BD501" s="544"/>
      <c r="BE501" s="544"/>
      <c r="BF501" s="544"/>
      <c r="BG501" s="544"/>
      <c r="BH501" s="741"/>
      <c r="BI501" s="1032"/>
      <c r="BJ501" s="1032"/>
      <c r="BK501" s="1032"/>
      <c r="BL501" s="1032"/>
      <c r="BM501" s="1032"/>
      <c r="BN501" s="1032"/>
      <c r="BO501" s="1032"/>
      <c r="BP501" s="1032"/>
      <c r="BQ501" s="1032"/>
      <c r="BR501" s="1032"/>
      <c r="BS501" s="1032"/>
      <c r="BT501" s="1032"/>
      <c r="BU501" s="1032"/>
      <c r="BV501" s="1032"/>
      <c r="BW501" s="1032"/>
      <c r="BX501" s="1032"/>
      <c r="BY501" s="1032"/>
      <c r="BZ501" s="1032"/>
      <c r="CA501" s="485"/>
      <c r="CB501" s="547">
        <v>500</v>
      </c>
      <c r="CC501" s="1481" t="b">
        <v>1</v>
      </c>
      <c r="CD501" t="str">
        <f>Table15[[#This Row],[Engineering Number]]&amp;Table15[[#This Row],[WO Number]]&amp;Table15[[#This Row],[Date Assigned to Designer]]&amp;Table15[[#This Row],[Date Completed]]</f>
        <v>N101731284664347444587</v>
      </c>
    </row>
    <row r="502" spans="1:82" customFormat="1" ht="15" customHeight="1" x14ac:dyDescent="0.25">
      <c r="A502">
        <v>2022</v>
      </c>
      <c r="B502" t="s">
        <v>771</v>
      </c>
      <c r="C502" s="8" t="s">
        <v>4025</v>
      </c>
      <c r="D502" s="8" t="s">
        <v>4026</v>
      </c>
      <c r="E502" s="8" t="s">
        <v>405</v>
      </c>
      <c r="F502" s="8" t="s">
        <v>919</v>
      </c>
      <c r="G502" s="8" t="s">
        <v>36</v>
      </c>
      <c r="H502" s="8" t="s">
        <v>59</v>
      </c>
      <c r="I502" s="642">
        <v>44480</v>
      </c>
      <c r="J502" s="18">
        <v>44589</v>
      </c>
      <c r="K502" s="97">
        <v>44587</v>
      </c>
      <c r="L502" s="16">
        <f>IF(ISTEXT(Table15[[#This Row],[Engineering Approved Design Date]]),Table15[[#This Row],[Date Completed]]-Table15[[#This Row],[Date Assigned to Designer]],Table15[[#This Row],[Engineering Approved Design Date]]-Table15[[#This Row],[Date Completed]])</f>
        <v>2</v>
      </c>
      <c r="M502" s="642"/>
      <c r="N502" s="642" t="s">
        <v>120</v>
      </c>
      <c r="O502" s="1025">
        <f>K502</f>
        <v>44587</v>
      </c>
      <c r="P502" s="21" t="s">
        <v>120</v>
      </c>
      <c r="Q502" s="1151">
        <f>1.55*Table15[[#This Row],[LF of Main]]</f>
        <v>9236.4500000000007</v>
      </c>
      <c r="R502" s="1026" t="s">
        <v>2087</v>
      </c>
      <c r="S502" s="538" t="s">
        <v>709</v>
      </c>
      <c r="T502" s="538" t="s">
        <v>709</v>
      </c>
      <c r="U502" s="87" t="s">
        <v>709</v>
      </c>
      <c r="V502" s="858">
        <v>5959</v>
      </c>
      <c r="W502" s="437"/>
      <c r="X502" s="538">
        <v>1327998.8400000001</v>
      </c>
      <c r="Y502" s="551"/>
      <c r="Z502" s="538">
        <v>33832.25</v>
      </c>
      <c r="AA502" s="538">
        <f>Table15[[#This Row],[PCTS Investment Amount]]+Table15[[#This Row],[PCTS Retirement Amount]]</f>
        <v>1361831.09</v>
      </c>
      <c r="AB502" s="341"/>
      <c r="AC502" s="568" t="s">
        <v>116</v>
      </c>
      <c r="AD502" s="1157"/>
      <c r="AE502" s="568"/>
      <c r="AF502" s="568"/>
      <c r="AG502" s="568"/>
      <c r="AH502" s="183"/>
      <c r="AI502" s="1036"/>
      <c r="AJ502" s="1037"/>
      <c r="AK502" s="1037"/>
      <c r="AL502" s="1038"/>
      <c r="AM502" s="542" t="s">
        <v>709</v>
      </c>
      <c r="AN502" s="924"/>
      <c r="AO502" s="925"/>
      <c r="AP502" s="926"/>
      <c r="AQ502" s="926"/>
      <c r="AR502" s="926"/>
      <c r="AS502" s="926"/>
      <c r="AT502" s="926"/>
      <c r="AU502" s="926"/>
      <c r="AV502" s="926"/>
      <c r="AW502" s="927"/>
      <c r="AX502" s="926"/>
      <c r="AY502" s="1538" t="s">
        <v>29</v>
      </c>
      <c r="AZ502" s="1530"/>
      <c r="BA502" s="1031" t="s">
        <v>4027</v>
      </c>
      <c r="BB502" s="644" t="s">
        <v>4028</v>
      </c>
      <c r="BC502" s="544" t="s">
        <v>709</v>
      </c>
      <c r="BD502" s="544" t="s">
        <v>709</v>
      </c>
      <c r="BE502" s="544" t="s">
        <v>4029</v>
      </c>
      <c r="BF502" s="544" t="s">
        <v>709</v>
      </c>
      <c r="BG502" s="544" t="s">
        <v>709</v>
      </c>
      <c r="BH502" s="741"/>
      <c r="BI502" s="547" t="s">
        <v>709</v>
      </c>
      <c r="BJ502" s="547" t="s">
        <v>709</v>
      </c>
      <c r="BK502" s="547" t="s">
        <v>709</v>
      </c>
      <c r="BL502" s="547" t="s">
        <v>116</v>
      </c>
      <c r="BM502" s="547" t="s">
        <v>709</v>
      </c>
      <c r="BN502" s="547" t="s">
        <v>709</v>
      </c>
      <c r="BO502" s="547" t="s">
        <v>709</v>
      </c>
      <c r="BP502" s="547">
        <v>3881</v>
      </c>
      <c r="BQ502" s="547">
        <v>41</v>
      </c>
      <c r="BR502" s="547">
        <v>69</v>
      </c>
      <c r="BS502" s="547">
        <v>1968</v>
      </c>
      <c r="BT502" s="547" t="s">
        <v>745</v>
      </c>
      <c r="BU502" s="547" t="s">
        <v>709</v>
      </c>
      <c r="BV502" s="547" t="s">
        <v>745</v>
      </c>
      <c r="BW502" s="547" t="s">
        <v>709</v>
      </c>
      <c r="BX502" s="547" t="s">
        <v>745</v>
      </c>
      <c r="BY502" s="547" t="s">
        <v>745</v>
      </c>
      <c r="BZ502" s="547" t="s">
        <v>709</v>
      </c>
      <c r="CA502" s="483"/>
      <c r="CB502" s="547">
        <v>499</v>
      </c>
      <c r="CC502" s="1481" t="b">
        <v>1</v>
      </c>
      <c r="CD502" t="str">
        <f>Table15[[#This Row],[Engineering Number]]&amp;Table15[[#This Row],[WO Number]]&amp;Table15[[#This Row],[Date Assigned to Designer]]&amp;Table15[[#This Row],[Date Completed]]</f>
        <v>BS25514107084448044587</v>
      </c>
    </row>
    <row r="503" spans="1:82" customFormat="1" ht="15" customHeight="1" x14ac:dyDescent="0.25">
      <c r="A503">
        <v>2021</v>
      </c>
      <c r="B503" s="8" t="s">
        <v>771</v>
      </c>
      <c r="C503" s="8" t="s">
        <v>3702</v>
      </c>
      <c r="D503" s="8">
        <v>1410398</v>
      </c>
      <c r="E503" s="8" t="s">
        <v>141</v>
      </c>
      <c r="F503" s="8" t="s">
        <v>919</v>
      </c>
      <c r="G503" s="8" t="s">
        <v>1882</v>
      </c>
      <c r="H503" s="8" t="s">
        <v>4001</v>
      </c>
      <c r="I503" s="642">
        <v>44580</v>
      </c>
      <c r="J503" s="18" t="s">
        <v>2052</v>
      </c>
      <c r="K503" s="97">
        <v>44587</v>
      </c>
      <c r="L503" s="16">
        <f>IF(ISTEXT(Table15[[#This Row],[Engineering Approved Design Date]]),Table15[[#This Row],[Date Completed]]-Table15[[#This Row],[Date Assigned to Designer]],Table15[[#This Row],[Engineering Approved Design Date]]-Table15[[#This Row],[Date Completed]])</f>
        <v>7</v>
      </c>
      <c r="M503" s="642" t="s">
        <v>4022</v>
      </c>
      <c r="N503" s="642" t="s">
        <v>120</v>
      </c>
      <c r="O503" s="1025">
        <v>44593</v>
      </c>
      <c r="P503" s="21" t="s">
        <v>120</v>
      </c>
      <c r="Q503" s="1151">
        <f>U503</f>
        <v>19390</v>
      </c>
      <c r="R503" s="1026" t="s">
        <v>1922</v>
      </c>
      <c r="S503" s="538" t="s">
        <v>709</v>
      </c>
      <c r="T503" s="538" t="s">
        <v>709</v>
      </c>
      <c r="U503" s="87">
        <v>19390</v>
      </c>
      <c r="V503" s="858"/>
      <c r="W503" s="437"/>
      <c r="X503" s="538"/>
      <c r="Y503" s="551"/>
      <c r="Z503" s="538"/>
      <c r="AA503" s="538"/>
      <c r="AB503" s="21"/>
      <c r="AC503" s="569"/>
      <c r="AD503" s="1149" t="s">
        <v>709</v>
      </c>
      <c r="AE503" s="569"/>
      <c r="AF503" s="569"/>
      <c r="AG503" s="569"/>
      <c r="AH503" s="536"/>
      <c r="AI503" s="1028"/>
      <c r="AJ503" s="1029"/>
      <c r="AK503" s="1029"/>
      <c r="AL503" s="1030"/>
      <c r="AM503" s="542" t="s">
        <v>709</v>
      </c>
      <c r="AN503" s="924"/>
      <c r="AO503" s="925"/>
      <c r="AP503" s="926"/>
      <c r="AQ503" s="926"/>
      <c r="AR503" s="926"/>
      <c r="AS503" s="926"/>
      <c r="AT503" s="926"/>
      <c r="AU503" s="926"/>
      <c r="AV503" s="926"/>
      <c r="AW503" s="927"/>
      <c r="AX503" s="926"/>
      <c r="AY503" s="1538" t="s">
        <v>29</v>
      </c>
      <c r="AZ503" s="1530"/>
      <c r="BA503" s="1031">
        <v>4</v>
      </c>
      <c r="BB503" s="644" t="s">
        <v>4023</v>
      </c>
      <c r="BC503" s="544"/>
      <c r="BD503" s="544"/>
      <c r="BE503" s="544"/>
      <c r="BF503" s="544"/>
      <c r="BG503" s="544"/>
      <c r="BH503" s="741"/>
      <c r="BI503" s="547" t="s">
        <v>709</v>
      </c>
      <c r="BJ503" s="547" t="s">
        <v>709</v>
      </c>
      <c r="BK503" s="547" t="s">
        <v>709</v>
      </c>
      <c r="BL503" s="547" t="s">
        <v>116</v>
      </c>
      <c r="BM503" s="547" t="s">
        <v>709</v>
      </c>
      <c r="BN503" s="547" t="s">
        <v>709</v>
      </c>
      <c r="BO503" s="547" t="s">
        <v>709</v>
      </c>
      <c r="BP503" s="547" t="s">
        <v>709</v>
      </c>
      <c r="BQ503" s="547" t="s">
        <v>709</v>
      </c>
      <c r="BR503" s="547">
        <v>6208</v>
      </c>
      <c r="BS503" s="547">
        <v>22745</v>
      </c>
      <c r="BT503" s="547" t="s">
        <v>709</v>
      </c>
      <c r="BU503" s="547" t="s">
        <v>709</v>
      </c>
      <c r="BV503" s="547" t="s">
        <v>745</v>
      </c>
      <c r="BW503" s="547" t="s">
        <v>709</v>
      </c>
      <c r="BX503" s="547" t="s">
        <v>709</v>
      </c>
      <c r="BY503" s="547" t="s">
        <v>745</v>
      </c>
      <c r="BZ503" s="547" t="s">
        <v>709</v>
      </c>
      <c r="CA503" s="483"/>
      <c r="CB503" s="547">
        <v>501</v>
      </c>
      <c r="CC503" s="1481" t="b">
        <v>1</v>
      </c>
      <c r="CD503" t="str">
        <f>Table15[[#This Row],[Engineering Number]]&amp;Table15[[#This Row],[WO Number]]&amp;Table15[[#This Row],[Date Assigned to Designer]]&amp;Table15[[#This Row],[Date Completed]]</f>
        <v>BS10714103984458044587</v>
      </c>
    </row>
    <row r="504" spans="1:82" customFormat="1" ht="15" customHeight="1" x14ac:dyDescent="0.25">
      <c r="A504">
        <v>2021</v>
      </c>
      <c r="B504" s="8" t="s">
        <v>771</v>
      </c>
      <c r="C504" s="8" t="s">
        <v>1238</v>
      </c>
      <c r="D504" s="8" t="s">
        <v>1239</v>
      </c>
      <c r="E504" s="8" t="s">
        <v>272</v>
      </c>
      <c r="F504" s="8" t="s">
        <v>919</v>
      </c>
      <c r="G504" s="8" t="s">
        <v>1882</v>
      </c>
      <c r="H504" s="8" t="s">
        <v>59</v>
      </c>
      <c r="I504" s="642">
        <v>44448</v>
      </c>
      <c r="J504" s="18">
        <v>44655</v>
      </c>
      <c r="K504" s="18">
        <v>44588</v>
      </c>
      <c r="L504" s="16">
        <f>IF(ISTEXT(Table15[[#This Row],[Engineering Approved Design Date]]),Table15[[#This Row],[Date Completed]]-Table15[[#This Row],[Date Assigned to Designer]],Table15[[#This Row],[Engineering Approved Design Date]]-Table15[[#This Row],[Date Completed]])</f>
        <v>67</v>
      </c>
      <c r="M504" s="642"/>
      <c r="N504" s="642" t="s">
        <v>120</v>
      </c>
      <c r="O504" s="1025">
        <v>44593</v>
      </c>
      <c r="P504" s="21" t="s">
        <v>120</v>
      </c>
      <c r="Q504" s="340">
        <f>R504*AA504</f>
        <v>68083.122599999988</v>
      </c>
      <c r="R504" s="1026">
        <v>0.09</v>
      </c>
      <c r="S504" s="538" t="s">
        <v>709</v>
      </c>
      <c r="T504" s="538" t="s">
        <v>709</v>
      </c>
      <c r="U504" s="87" t="s">
        <v>709</v>
      </c>
      <c r="V504" s="857">
        <v>1953</v>
      </c>
      <c r="W504" s="440"/>
      <c r="X504" s="551">
        <v>716899.69</v>
      </c>
      <c r="Y504" s="551"/>
      <c r="Z504" s="551">
        <v>39579.449999999997</v>
      </c>
      <c r="AA504" s="551">
        <f>Table15[[#This Row],[PCTS Investment Amount]]+Table15[[#This Row],[PCTS Retirement Amount]]</f>
        <v>756479.1399999999</v>
      </c>
      <c r="AB504" s="341"/>
      <c r="AC504" s="568" t="s">
        <v>116</v>
      </c>
      <c r="AD504" s="1157"/>
      <c r="AE504" s="568"/>
      <c r="AF504" s="568"/>
      <c r="AG504" s="568"/>
      <c r="AH504" s="183"/>
      <c r="AI504" s="1036"/>
      <c r="AJ504" s="1037"/>
      <c r="AK504" s="1037"/>
      <c r="AL504" s="1038"/>
      <c r="AM504" s="536" t="s">
        <v>116</v>
      </c>
      <c r="AN504" s="903" t="s">
        <v>709</v>
      </c>
      <c r="AO504" s="1536">
        <v>11038988</v>
      </c>
      <c r="AP504" s="1537"/>
      <c r="AQ504" s="1537"/>
      <c r="AR504" s="1537"/>
      <c r="AS504" s="888">
        <f>IF(Table15[[#This Row],[PCTS Approved]]="N",0,Table15[[#This Row],[Investment Amount (1'#'#'#'#'#)]]+Table15[[#This Row],[Retirement Amount (3'#'#'#'#'#)]])</f>
        <v>0</v>
      </c>
      <c r="AT504" s="888">
        <f>IF(Table15[[#This Row],[Approved Construction Cost]]=0,0,Table15[[#This Row],[Approved Construction Cost]]-Table15[[#This Row],[Construction Cost to Bill From]])</f>
        <v>0</v>
      </c>
      <c r="AU504" s="888">
        <f>IFERROR(Table15[[#This Row],[Difference in Construction Cost]]*Table15[[#This Row],[Rate]],Table15[[#This Row],[Difference in Construction Cost]]*0.085)</f>
        <v>0</v>
      </c>
      <c r="AV504" s="905"/>
      <c r="AW504" s="1509"/>
      <c r="AX504" s="888"/>
      <c r="AY504" s="636" t="s">
        <v>709</v>
      </c>
      <c r="AZ504" s="333">
        <v>23</v>
      </c>
      <c r="BA504" s="859" t="s">
        <v>1240</v>
      </c>
      <c r="BB504" s="644" t="s">
        <v>1241</v>
      </c>
      <c r="BC504" s="544" t="s">
        <v>709</v>
      </c>
      <c r="BD504" s="544" t="s">
        <v>709</v>
      </c>
      <c r="BE504" s="544" t="s">
        <v>1242</v>
      </c>
      <c r="BF504" s="544" t="s">
        <v>709</v>
      </c>
      <c r="BG504" s="544" t="s">
        <v>1243</v>
      </c>
      <c r="BH504" s="741"/>
      <c r="BI504" s="547" t="s">
        <v>709</v>
      </c>
      <c r="BJ504" s="547" t="s">
        <v>709</v>
      </c>
      <c r="BK504" s="547" t="s">
        <v>709</v>
      </c>
      <c r="BL504" s="547" t="s">
        <v>116</v>
      </c>
      <c r="BM504" s="547" t="s">
        <v>709</v>
      </c>
      <c r="BN504" s="547" t="s">
        <v>709</v>
      </c>
      <c r="BO504" s="547" t="s">
        <v>709</v>
      </c>
      <c r="BP504" s="547" t="s">
        <v>709</v>
      </c>
      <c r="BQ504" s="547">
        <v>1164</v>
      </c>
      <c r="BR504" s="547" t="s">
        <v>709</v>
      </c>
      <c r="BS504" s="547">
        <v>789</v>
      </c>
      <c r="BT504" s="547" t="s">
        <v>745</v>
      </c>
      <c r="BU504" s="547" t="s">
        <v>709</v>
      </c>
      <c r="BV504" s="547" t="s">
        <v>745</v>
      </c>
      <c r="BW504" s="547" t="s">
        <v>709</v>
      </c>
      <c r="BX504" s="547" t="s">
        <v>745</v>
      </c>
      <c r="BY504" s="547" t="s">
        <v>745</v>
      </c>
      <c r="BZ504" s="547" t="s">
        <v>709</v>
      </c>
      <c r="CA504" s="483"/>
      <c r="CB504" s="547">
        <v>502</v>
      </c>
      <c r="CC504" s="1481" t="b">
        <v>1</v>
      </c>
      <c r="CD504" t="str">
        <f>Table15[[#This Row],[Engineering Number]]&amp;Table15[[#This Row],[WO Number]]&amp;Table15[[#This Row],[Date Assigned to Designer]]&amp;Table15[[#This Row],[Date Completed]]</f>
        <v>BS194D-112104604444844588</v>
      </c>
    </row>
    <row r="505" spans="1:82" customFormat="1" ht="15" customHeight="1" x14ac:dyDescent="0.25">
      <c r="A505">
        <v>2021</v>
      </c>
      <c r="B505" s="8" t="s">
        <v>1073</v>
      </c>
      <c r="C505" s="8" t="s">
        <v>3327</v>
      </c>
      <c r="D505" s="8">
        <v>193119</v>
      </c>
      <c r="E505" s="8" t="s">
        <v>1915</v>
      </c>
      <c r="F505" s="8" t="s">
        <v>919</v>
      </c>
      <c r="G505" s="8" t="s">
        <v>36</v>
      </c>
      <c r="H505" s="8" t="s">
        <v>3178</v>
      </c>
      <c r="I505" s="642">
        <v>44545</v>
      </c>
      <c r="J505" s="18" t="s">
        <v>2052</v>
      </c>
      <c r="K505" s="97">
        <v>44588</v>
      </c>
      <c r="L505" s="16">
        <f>IF(ISTEXT(Table15[[#This Row],[Engineering Approved Design Date]]),Table15[[#This Row],[Date Completed]]-Table15[[#This Row],[Date Assigned to Designer]],Table15[[#This Row],[Engineering Approved Design Date]]-Table15[[#This Row],[Date Completed]])</f>
        <v>43</v>
      </c>
      <c r="M505" t="s">
        <v>4037</v>
      </c>
      <c r="N505" s="642" t="s">
        <v>120</v>
      </c>
      <c r="O505" s="1025">
        <v>44593</v>
      </c>
      <c r="P505" s="21" t="s">
        <v>739</v>
      </c>
      <c r="Q505" s="1151">
        <f>U505</f>
        <v>5670</v>
      </c>
      <c r="R505" s="1026" t="s">
        <v>1922</v>
      </c>
      <c r="S505" s="538" t="s">
        <v>709</v>
      </c>
      <c r="T505" s="538" t="s">
        <v>709</v>
      </c>
      <c r="U505" s="87">
        <f>5670</f>
        <v>5670</v>
      </c>
      <c r="V505" s="858"/>
      <c r="W505" s="437"/>
      <c r="X505" s="538"/>
      <c r="Y505" s="551"/>
      <c r="Z505" s="538"/>
      <c r="AA505" s="538"/>
      <c r="AB505" s="21"/>
      <c r="AC505" s="569"/>
      <c r="AD505" s="1149" t="s">
        <v>709</v>
      </c>
      <c r="AE505" s="569" t="s">
        <v>29</v>
      </c>
      <c r="AF505" s="569" t="s">
        <v>29</v>
      </c>
      <c r="AG505" s="569" t="s">
        <v>29</v>
      </c>
      <c r="AH505" s="536" t="s">
        <v>29</v>
      </c>
      <c r="AI505" s="1028"/>
      <c r="AJ505" s="1029"/>
      <c r="AK505" s="1029"/>
      <c r="AL505" s="1030"/>
      <c r="AM505" s="542" t="s">
        <v>709</v>
      </c>
      <c r="AN505" s="924"/>
      <c r="AO505" s="925"/>
      <c r="AP505" s="926"/>
      <c r="AQ505" s="926"/>
      <c r="AR505" s="926"/>
      <c r="AS505" s="926"/>
      <c r="AT505" s="926"/>
      <c r="AU505" s="926"/>
      <c r="AV505" s="926"/>
      <c r="AW505" s="927"/>
      <c r="AX505" s="926"/>
      <c r="AY505" s="1538" t="s">
        <v>29</v>
      </c>
      <c r="AZ505" s="1530"/>
      <c r="BA505" s="1031">
        <v>11</v>
      </c>
      <c r="BB505" s="1045" t="s">
        <v>4038</v>
      </c>
      <c r="BC505" s="1046"/>
      <c r="BD505" s="1046"/>
      <c r="BE505" s="1046"/>
      <c r="BF505" s="1046"/>
      <c r="BG505" s="1046"/>
      <c r="BH505" s="1169"/>
      <c r="BI505" s="547" t="s">
        <v>709</v>
      </c>
      <c r="BJ505" s="547" t="s">
        <v>116</v>
      </c>
      <c r="BK505" s="547" t="s">
        <v>709</v>
      </c>
      <c r="BL505" s="547" t="s">
        <v>709</v>
      </c>
      <c r="BM505" s="547" t="s">
        <v>709</v>
      </c>
      <c r="BN505" s="547" t="s">
        <v>709</v>
      </c>
      <c r="BO505" s="547" t="s">
        <v>709</v>
      </c>
      <c r="BP505" s="547" t="s">
        <v>709</v>
      </c>
      <c r="BQ505" s="547">
        <v>10776</v>
      </c>
      <c r="BR505" s="547" t="s">
        <v>709</v>
      </c>
      <c r="BS505" s="547" t="s">
        <v>709</v>
      </c>
      <c r="BT505" s="547" t="s">
        <v>709</v>
      </c>
      <c r="BU505" s="547" t="s">
        <v>709</v>
      </c>
      <c r="BV505" s="547" t="s">
        <v>745</v>
      </c>
      <c r="BW505" s="547" t="s">
        <v>709</v>
      </c>
      <c r="BX505" s="547" t="s">
        <v>709</v>
      </c>
      <c r="BY505" s="547" t="s">
        <v>745</v>
      </c>
      <c r="BZ505" s="547" t="s">
        <v>709</v>
      </c>
      <c r="CA505" s="483"/>
      <c r="CB505" s="547">
        <v>503</v>
      </c>
      <c r="CC505" s="1481" t="b">
        <v>1</v>
      </c>
      <c r="CD505" t="str">
        <f>Table15[[#This Row],[Engineering Number]]&amp;Table15[[#This Row],[WO Number]]&amp;Table15[[#This Row],[Date Assigned to Designer]]&amp;Table15[[#This Row],[Date Completed]]</f>
        <v>NBA18725931931194454544588</v>
      </c>
    </row>
    <row r="506" spans="1:82" customFormat="1" ht="15" customHeight="1" x14ac:dyDescent="0.25">
      <c r="A506">
        <v>2020</v>
      </c>
      <c r="B506" s="8" t="s">
        <v>4</v>
      </c>
      <c r="C506" s="8" t="s">
        <v>204</v>
      </c>
      <c r="D506" s="8">
        <v>140830</v>
      </c>
      <c r="E506" s="8" t="s">
        <v>1159</v>
      </c>
      <c r="F506" s="8" t="s">
        <v>919</v>
      </c>
      <c r="G506" s="8" t="s">
        <v>40</v>
      </c>
      <c r="H506" s="8" t="s">
        <v>4001</v>
      </c>
      <c r="I506" s="642">
        <v>44585</v>
      </c>
      <c r="J506" s="18" t="s">
        <v>2052</v>
      </c>
      <c r="K506" s="97">
        <v>44589</v>
      </c>
      <c r="L506" s="16">
        <f>IF(ISTEXT(Table15[[#This Row],[Engineering Approved Design Date]]),Table15[[#This Row],[Date Completed]]-Table15[[#This Row],[Date Assigned to Designer]],Table15[[#This Row],[Engineering Approved Design Date]]-Table15[[#This Row],[Date Completed]])</f>
        <v>4</v>
      </c>
      <c r="M506" t="s">
        <v>4041</v>
      </c>
      <c r="N506" s="642" t="s">
        <v>120</v>
      </c>
      <c r="O506" s="1025">
        <v>44593</v>
      </c>
      <c r="P506" s="21" t="s">
        <v>739</v>
      </c>
      <c r="Q506" s="1151">
        <f>U506</f>
        <v>3775</v>
      </c>
      <c r="R506" s="1026" t="s">
        <v>1922</v>
      </c>
      <c r="S506" s="538" t="s">
        <v>709</v>
      </c>
      <c r="T506" s="538" t="s">
        <v>709</v>
      </c>
      <c r="U506" s="87">
        <v>3775</v>
      </c>
      <c r="V506" s="858"/>
      <c r="W506" s="437"/>
      <c r="X506" s="538"/>
      <c r="Y506" s="551"/>
      <c r="Z506" s="538"/>
      <c r="AA506" s="538"/>
      <c r="AB506" s="21"/>
      <c r="AC506" s="569"/>
      <c r="AD506" s="1149" t="s">
        <v>709</v>
      </c>
      <c r="AE506" s="580"/>
      <c r="AF506" s="580"/>
      <c r="AG506" s="580"/>
      <c r="AH506" s="542" t="s">
        <v>29</v>
      </c>
      <c r="AI506" s="1028"/>
      <c r="AJ506" s="1029"/>
      <c r="AK506" s="1029"/>
      <c r="AL506" s="1030"/>
      <c r="AM506" s="542" t="s">
        <v>709</v>
      </c>
      <c r="AN506" s="924"/>
      <c r="AO506" s="925"/>
      <c r="AP506" s="926"/>
      <c r="AQ506" s="926"/>
      <c r="AR506" s="926"/>
      <c r="AS506" s="926"/>
      <c r="AT506" s="926"/>
      <c r="AU506" s="926"/>
      <c r="AV506" s="926"/>
      <c r="AW506" s="927"/>
      <c r="AX506" s="926"/>
      <c r="AY506" s="1538" t="s">
        <v>29</v>
      </c>
      <c r="AZ506" s="1530"/>
      <c r="BA506" s="1031">
        <v>12</v>
      </c>
      <c r="BB506" s="1045" t="s">
        <v>709</v>
      </c>
      <c r="BC506" s="1046"/>
      <c r="BD506" s="1046"/>
      <c r="BE506" s="1046"/>
      <c r="BF506" s="1046"/>
      <c r="BG506" s="1046"/>
      <c r="BH506" s="1169"/>
      <c r="BI506" s="547" t="s">
        <v>709</v>
      </c>
      <c r="BJ506" s="547" t="s">
        <v>709</v>
      </c>
      <c r="BK506" s="547" t="s">
        <v>116</v>
      </c>
      <c r="BL506" s="547" t="s">
        <v>116</v>
      </c>
      <c r="BM506" s="547" t="s">
        <v>709</v>
      </c>
      <c r="BN506" s="547" t="s">
        <v>709</v>
      </c>
      <c r="BO506" s="547" t="s">
        <v>709</v>
      </c>
      <c r="BP506" s="547">
        <v>1485</v>
      </c>
      <c r="BQ506" s="547" t="s">
        <v>709</v>
      </c>
      <c r="BR506" s="547">
        <v>861</v>
      </c>
      <c r="BS506" s="547" t="s">
        <v>709</v>
      </c>
      <c r="BT506" s="547" t="s">
        <v>709</v>
      </c>
      <c r="BU506" s="547" t="s">
        <v>709</v>
      </c>
      <c r="BV506" s="547" t="s">
        <v>745</v>
      </c>
      <c r="BW506" s="547" t="s">
        <v>709</v>
      </c>
      <c r="BX506" s="547" t="s">
        <v>709</v>
      </c>
      <c r="BY506" s="547" t="s">
        <v>745</v>
      </c>
      <c r="BZ506" s="547" t="s">
        <v>709</v>
      </c>
      <c r="CA506" s="483"/>
      <c r="CB506" s="547">
        <v>504</v>
      </c>
      <c r="CC506" s="1481" t="b">
        <v>1</v>
      </c>
      <c r="CD506" t="str">
        <f>Table15[[#This Row],[Engineering Number]]&amp;Table15[[#This Row],[WO Number]]&amp;Table15[[#This Row],[Date Assigned to Designer]]&amp;Table15[[#This Row],[Date Completed]]</f>
        <v>SC175511408304458544589</v>
      </c>
    </row>
    <row r="507" spans="1:82" customFormat="1" ht="15" customHeight="1" x14ac:dyDescent="0.25">
      <c r="A507">
        <v>2021</v>
      </c>
      <c r="B507" s="8" t="s">
        <v>4</v>
      </c>
      <c r="C507" s="8" t="s">
        <v>121</v>
      </c>
      <c r="D507" s="8">
        <v>120391</v>
      </c>
      <c r="E507" s="8" t="s">
        <v>122</v>
      </c>
      <c r="F507" s="8" t="s">
        <v>919</v>
      </c>
      <c r="G507" s="8" t="s">
        <v>36</v>
      </c>
      <c r="H507" s="8" t="s">
        <v>4001</v>
      </c>
      <c r="I507" s="642">
        <v>44581</v>
      </c>
      <c r="J507" s="18" t="s">
        <v>2052</v>
      </c>
      <c r="K507" s="97">
        <v>44593</v>
      </c>
      <c r="L507" s="16">
        <f>IF(ISTEXT(Table15[[#This Row],[Engineering Approved Design Date]]),Table15[[#This Row],[Date Completed]]-Table15[[#This Row],[Date Assigned to Designer]],Table15[[#This Row],[Engineering Approved Design Date]]-Table15[[#This Row],[Date Completed]])</f>
        <v>12</v>
      </c>
      <c r="M507" t="s">
        <v>4043</v>
      </c>
      <c r="N507" s="642" t="s">
        <v>120</v>
      </c>
      <c r="O507" s="1025">
        <f>Table15[[#This Row],[Date Completed]]</f>
        <v>44593</v>
      </c>
      <c r="P507" s="21" t="s">
        <v>739</v>
      </c>
      <c r="Q507" s="1151">
        <f>U507</f>
        <v>2285</v>
      </c>
      <c r="R507" s="1026" t="s">
        <v>1922</v>
      </c>
      <c r="S507" s="538" t="s">
        <v>709</v>
      </c>
      <c r="T507" s="538" t="s">
        <v>709</v>
      </c>
      <c r="U507" s="87">
        <f>2285</f>
        <v>2285</v>
      </c>
      <c r="V507" s="858"/>
      <c r="W507" s="437"/>
      <c r="X507" s="538"/>
      <c r="Y507" s="551"/>
      <c r="Z507" s="538"/>
      <c r="AA507" s="538"/>
      <c r="AB507" s="21"/>
      <c r="AC507" s="569"/>
      <c r="AD507" s="1149" t="s">
        <v>709</v>
      </c>
      <c r="AE507" s="580"/>
      <c r="AF507" s="580"/>
      <c r="AG507" s="580"/>
      <c r="AH507" s="542"/>
      <c r="AI507" s="1028"/>
      <c r="AJ507" s="1029"/>
      <c r="AK507" s="1029"/>
      <c r="AL507" s="1030"/>
      <c r="AM507" s="542" t="s">
        <v>709</v>
      </c>
      <c r="AN507" s="924"/>
      <c r="AO507" s="925"/>
      <c r="AP507" s="926"/>
      <c r="AQ507" s="926"/>
      <c r="AR507" s="926"/>
      <c r="AS507" s="926"/>
      <c r="AT507" s="926"/>
      <c r="AU507" s="926"/>
      <c r="AV507" s="926"/>
      <c r="AW507" s="927"/>
      <c r="AX507" s="926"/>
      <c r="AY507" s="1538" t="s">
        <v>29</v>
      </c>
      <c r="AZ507" s="1530"/>
      <c r="BA507" s="1031">
        <v>12</v>
      </c>
      <c r="BB507" s="1045"/>
      <c r="BC507" s="1046"/>
      <c r="BD507" s="1046"/>
      <c r="BE507" s="1046"/>
      <c r="BF507" s="1046"/>
      <c r="BG507" s="1046"/>
      <c r="BH507" s="1169"/>
      <c r="BI507" s="547" t="s">
        <v>709</v>
      </c>
      <c r="BJ507" s="547" t="s">
        <v>709</v>
      </c>
      <c r="BK507" s="547" t="s">
        <v>709</v>
      </c>
      <c r="BL507" s="547" t="s">
        <v>116</v>
      </c>
      <c r="BM507" s="547" t="s">
        <v>709</v>
      </c>
      <c r="BN507" s="547" t="s">
        <v>709</v>
      </c>
      <c r="BO507" s="547" t="s">
        <v>709</v>
      </c>
      <c r="BP507" s="547">
        <v>3618</v>
      </c>
      <c r="BQ507" s="547">
        <v>2805</v>
      </c>
      <c r="BR507" s="547">
        <v>12</v>
      </c>
      <c r="BS507" s="547">
        <v>291</v>
      </c>
      <c r="BT507" s="547" t="s">
        <v>745</v>
      </c>
      <c r="BU507" s="547" t="s">
        <v>709</v>
      </c>
      <c r="BV507" s="547" t="s">
        <v>745</v>
      </c>
      <c r="BW507" s="547" t="s">
        <v>709</v>
      </c>
      <c r="BX507" s="547" t="s">
        <v>745</v>
      </c>
      <c r="BY507" s="547" t="s">
        <v>745</v>
      </c>
      <c r="BZ507" s="547" t="s">
        <v>709</v>
      </c>
      <c r="CA507" s="483"/>
      <c r="CB507" s="547">
        <v>505</v>
      </c>
      <c r="CC507" s="1481" t="b">
        <v>1</v>
      </c>
      <c r="CD507" t="str">
        <f>Table15[[#This Row],[Engineering Number]]&amp;Table15[[#This Row],[WO Number]]&amp;Table15[[#This Row],[Date Assigned to Designer]]&amp;Table15[[#This Row],[Date Completed]]</f>
        <v>M106931203914458144593</v>
      </c>
    </row>
    <row r="508" spans="1:82" customFormat="1" ht="15" customHeight="1" x14ac:dyDescent="0.25">
      <c r="A508">
        <v>2022</v>
      </c>
      <c r="B508" s="8" t="s">
        <v>771</v>
      </c>
      <c r="C508" s="8" t="s">
        <v>4025</v>
      </c>
      <c r="D508" s="8">
        <v>1410708</v>
      </c>
      <c r="E508" s="8" t="s">
        <v>405</v>
      </c>
      <c r="F508" s="8" t="s">
        <v>919</v>
      </c>
      <c r="G508" s="8" t="s">
        <v>36</v>
      </c>
      <c r="H508" s="8" t="s">
        <v>4045</v>
      </c>
      <c r="I508" s="642">
        <v>44589</v>
      </c>
      <c r="J508" s="18" t="s">
        <v>2958</v>
      </c>
      <c r="K508" s="97">
        <v>44595</v>
      </c>
      <c r="L508" s="16">
        <f>IF(ISTEXT(Table15[[#This Row],[Engineering Approved Design Date]]),Table15[[#This Row],[Date Completed]]-Table15[[#This Row],[Date Assigned to Designer]],Table15[[#This Row],[Engineering Approved Design Date]]-Table15[[#This Row],[Date Completed]])</f>
        <v>6</v>
      </c>
      <c r="M508" s="1054" t="s">
        <v>4046</v>
      </c>
      <c r="N508" s="99" t="s">
        <v>120</v>
      </c>
      <c r="O508" s="1025">
        <f>Table15[[#This Row],[Date Completed]]</f>
        <v>44595</v>
      </c>
      <c r="P508" s="21" t="s">
        <v>120</v>
      </c>
      <c r="Q508" s="1151">
        <f>U508</f>
        <v>1067.5</v>
      </c>
      <c r="R508" s="1026" t="s">
        <v>1922</v>
      </c>
      <c r="S508" s="538" t="s">
        <v>709</v>
      </c>
      <c r="T508" s="538" t="s">
        <v>709</v>
      </c>
      <c r="U508" s="87">
        <v>1067.5</v>
      </c>
      <c r="V508" s="858"/>
      <c r="W508" s="437"/>
      <c r="X508" s="538"/>
      <c r="Y508" s="551"/>
      <c r="Z508" s="538"/>
      <c r="AA508" s="538"/>
      <c r="AB508" s="21"/>
      <c r="AC508" s="569"/>
      <c r="AD508" s="1149" t="s">
        <v>709</v>
      </c>
      <c r="AE508" s="569"/>
      <c r="AF508" s="569"/>
      <c r="AG508" s="569"/>
      <c r="AH508" s="536"/>
      <c r="AI508" s="1028"/>
      <c r="AJ508" s="1029"/>
      <c r="AK508" s="1029"/>
      <c r="AL508" s="1030"/>
      <c r="AM508" s="542" t="s">
        <v>709</v>
      </c>
      <c r="AN508" s="924"/>
      <c r="AO508" s="925"/>
      <c r="AP508" s="926"/>
      <c r="AQ508" s="926"/>
      <c r="AR508" s="926"/>
      <c r="AS508" s="926"/>
      <c r="AT508" s="926"/>
      <c r="AU508" s="926"/>
      <c r="AV508" s="926"/>
      <c r="AW508" s="927"/>
      <c r="AX508" s="926"/>
      <c r="AY508" s="1538" t="s">
        <v>29</v>
      </c>
      <c r="AZ508" s="1530"/>
      <c r="BA508" s="1031" t="s">
        <v>4046</v>
      </c>
      <c r="BB508" s="1045" t="s">
        <v>4047</v>
      </c>
      <c r="BC508" s="1046"/>
      <c r="BD508" s="1046"/>
      <c r="BE508" s="1046"/>
      <c r="BF508" s="1046"/>
      <c r="BG508" s="1046"/>
      <c r="BH508" s="1169"/>
      <c r="BI508" s="547" t="s">
        <v>709</v>
      </c>
      <c r="BJ508" s="547" t="s">
        <v>709</v>
      </c>
      <c r="BK508" s="547" t="s">
        <v>709</v>
      </c>
      <c r="BL508" s="547" t="s">
        <v>116</v>
      </c>
      <c r="BM508" s="547" t="s">
        <v>709</v>
      </c>
      <c r="BN508" s="547" t="s">
        <v>709</v>
      </c>
      <c r="BO508" s="547" t="s">
        <v>709</v>
      </c>
      <c r="BP508" s="547">
        <v>3908</v>
      </c>
      <c r="BQ508" s="547">
        <v>41</v>
      </c>
      <c r="BR508" s="547">
        <v>69</v>
      </c>
      <c r="BS508" s="547">
        <v>1969</v>
      </c>
      <c r="BT508" s="547" t="s">
        <v>745</v>
      </c>
      <c r="BU508" s="547" t="s">
        <v>709</v>
      </c>
      <c r="BV508" s="547" t="s">
        <v>745</v>
      </c>
      <c r="BW508" s="547" t="s">
        <v>709</v>
      </c>
      <c r="BX508" s="547" t="s">
        <v>745</v>
      </c>
      <c r="BY508" s="547" t="s">
        <v>745</v>
      </c>
      <c r="BZ508" s="547" t="s">
        <v>709</v>
      </c>
      <c r="CA508" s="483"/>
      <c r="CB508" s="547">
        <v>506</v>
      </c>
      <c r="CC508" s="1481" t="b">
        <v>1</v>
      </c>
      <c r="CD508" t="str">
        <f>Table15[[#This Row],[Engineering Number]]&amp;Table15[[#This Row],[WO Number]]&amp;Table15[[#This Row],[Date Assigned to Designer]]&amp;Table15[[#This Row],[Date Completed]]</f>
        <v>BS25514107084458944595</v>
      </c>
    </row>
    <row r="509" spans="1:82" customFormat="1" ht="15" customHeight="1" x14ac:dyDescent="0.25">
      <c r="A509">
        <v>2022</v>
      </c>
      <c r="B509" s="8" t="s">
        <v>1073</v>
      </c>
      <c r="C509" s="8" t="s">
        <v>4049</v>
      </c>
      <c r="D509" s="8" t="s">
        <v>4050</v>
      </c>
      <c r="E509" s="8" t="s">
        <v>1573</v>
      </c>
      <c r="F509" s="8" t="s">
        <v>919</v>
      </c>
      <c r="G509" s="8" t="s">
        <v>36</v>
      </c>
      <c r="H509" s="8" t="s">
        <v>59</v>
      </c>
      <c r="I509" s="642">
        <v>44551</v>
      </c>
      <c r="J509" s="18">
        <v>44596</v>
      </c>
      <c r="K509" s="18">
        <v>44595</v>
      </c>
      <c r="L509" s="16">
        <f>IF(ISTEXT(Table15[[#This Row],[Engineering Approved Design Date]]),Table15[[#This Row],[Date Completed]]-Table15[[#This Row],[Date Assigned to Designer]],Table15[[#This Row],[Engineering Approved Design Date]]-Table15[[#This Row],[Date Completed]])</f>
        <v>1</v>
      </c>
      <c r="M509" s="642"/>
      <c r="N509" s="642" t="s">
        <v>120</v>
      </c>
      <c r="O509" s="1025">
        <f>Table15[[#This Row],[Date Completed]]</f>
        <v>44595</v>
      </c>
      <c r="P509" s="21" t="s">
        <v>739</v>
      </c>
      <c r="Q509" s="340">
        <f>R509*AA509</f>
        <v>5297.9983000000011</v>
      </c>
      <c r="R509" s="1026">
        <v>7.0000000000000007E-2</v>
      </c>
      <c r="S509" s="538" t="s">
        <v>709</v>
      </c>
      <c r="T509" s="538" t="s">
        <v>709</v>
      </c>
      <c r="U509" s="87" t="s">
        <v>709</v>
      </c>
      <c r="V509" s="857">
        <v>140</v>
      </c>
      <c r="W509" s="440"/>
      <c r="X509" s="551">
        <v>75685.69</v>
      </c>
      <c r="Y509" s="551"/>
      <c r="Z509" s="551">
        <v>0</v>
      </c>
      <c r="AA509" s="551">
        <f>Table15[[#This Row],[PCTS Investment Amount]]+Table15[[#This Row],[PCTS Retirement Amount]]</f>
        <v>75685.69</v>
      </c>
      <c r="AB509" s="341"/>
      <c r="AC509" s="568" t="s">
        <v>709</v>
      </c>
      <c r="AD509" s="1157"/>
      <c r="AE509" s="568"/>
      <c r="AF509" s="568"/>
      <c r="AG509" s="568"/>
      <c r="AH509" s="183"/>
      <c r="AI509" s="1036"/>
      <c r="AJ509" s="1037"/>
      <c r="AK509" s="1037"/>
      <c r="AL509" s="1038"/>
      <c r="AM509" s="542" t="s">
        <v>116</v>
      </c>
      <c r="AN509" s="1508">
        <v>44614</v>
      </c>
      <c r="AO509" s="925">
        <v>11039820</v>
      </c>
      <c r="AP509" s="926">
        <v>75685.69</v>
      </c>
      <c r="AQ509" s="926"/>
      <c r="AR509" s="926">
        <v>0</v>
      </c>
      <c r="AS509" s="926">
        <f>IF(Table15[[#This Row],[PCTS Approved]]="N",0,Table15[[#This Row],[Investment Amount (1'#'#'#'#'#)]]+Table15[[#This Row],[Retirement Amount (3'#'#'#'#'#)]])</f>
        <v>75685.69</v>
      </c>
      <c r="AT509" s="926">
        <f>IF(Table15[[#This Row],[Approved Construction Cost]]=0,0,Table15[[#This Row],[Approved Construction Cost]]-Table15[[#This Row],[Construction Cost to Bill From]])</f>
        <v>0</v>
      </c>
      <c r="AU509" s="926">
        <f>IFERROR(Table15[[#This Row],[Difference in Construction Cost]]*Table15[[#This Row],[Rate]],Table15[[#This Row],[Difference in Construction Cost]]*0.085)</f>
        <v>0</v>
      </c>
      <c r="AV509" s="926" t="s">
        <v>709</v>
      </c>
      <c r="AW509" s="927"/>
      <c r="AX509" s="926"/>
      <c r="AY509" s="636" t="s">
        <v>1935</v>
      </c>
      <c r="AZ509" s="1531"/>
      <c r="BA509" s="859" t="s">
        <v>4051</v>
      </c>
      <c r="BB509" s="644" t="s">
        <v>4052</v>
      </c>
      <c r="BC509" s="544" t="s">
        <v>709</v>
      </c>
      <c r="BD509" s="544" t="s">
        <v>709</v>
      </c>
      <c r="BE509" s="544" t="s">
        <v>709</v>
      </c>
      <c r="BF509" s="544" t="s">
        <v>709</v>
      </c>
      <c r="BG509" s="544" t="s">
        <v>709</v>
      </c>
      <c r="BH509" s="741"/>
      <c r="BI509" s="547" t="s">
        <v>709</v>
      </c>
      <c r="BJ509" s="547" t="s">
        <v>709</v>
      </c>
      <c r="BK509" s="547" t="s">
        <v>116</v>
      </c>
      <c r="BL509" s="547" t="s">
        <v>709</v>
      </c>
      <c r="BM509" s="547" t="s">
        <v>709</v>
      </c>
      <c r="BN509" s="547" t="s">
        <v>709</v>
      </c>
      <c r="BO509" s="547" t="s">
        <v>709</v>
      </c>
      <c r="BP509" s="547" t="s">
        <v>709</v>
      </c>
      <c r="BQ509" s="547" t="s">
        <v>709</v>
      </c>
      <c r="BR509" s="547" t="s">
        <v>709</v>
      </c>
      <c r="BS509" s="547">
        <v>140</v>
      </c>
      <c r="BT509" s="547" t="s">
        <v>745</v>
      </c>
      <c r="BU509" s="547" t="s">
        <v>709</v>
      </c>
      <c r="BV509" s="547" t="s">
        <v>745</v>
      </c>
      <c r="BW509" s="547" t="s">
        <v>709</v>
      </c>
      <c r="BX509" s="547" t="s">
        <v>745</v>
      </c>
      <c r="BY509" s="547">
        <v>1</v>
      </c>
      <c r="BZ509" s="547" t="s">
        <v>709</v>
      </c>
      <c r="CA509" s="483"/>
      <c r="CB509" s="547">
        <v>507</v>
      </c>
      <c r="CC509" s="1481" t="b">
        <v>1</v>
      </c>
      <c r="CD509" t="str">
        <f>Table15[[#This Row],[Engineering Number]]&amp;Table15[[#This Row],[WO Number]]&amp;Table15[[#This Row],[Date Assigned to Designer]]&amp;Table15[[#This Row],[Date Completed]]</f>
        <v>NBA1000347419109574455144595</v>
      </c>
    </row>
    <row r="510" spans="1:82" customFormat="1" ht="15" customHeight="1" x14ac:dyDescent="0.25">
      <c r="A510">
        <v>2022</v>
      </c>
      <c r="B510" s="8" t="s">
        <v>759</v>
      </c>
      <c r="C510" s="8" t="s">
        <v>4056</v>
      </c>
      <c r="D510" s="8" t="s">
        <v>4057</v>
      </c>
      <c r="E510" s="8" t="s">
        <v>2144</v>
      </c>
      <c r="F510" s="8" t="s">
        <v>919</v>
      </c>
      <c r="G510" s="8" t="s">
        <v>40</v>
      </c>
      <c r="H510" s="8" t="s">
        <v>59</v>
      </c>
      <c r="I510" s="642">
        <v>44480</v>
      </c>
      <c r="J510" s="18">
        <v>44610</v>
      </c>
      <c r="K510" s="18">
        <v>44595</v>
      </c>
      <c r="L510" s="16">
        <f>IF(ISTEXT(Table15[[#This Row],[Engineering Approved Design Date]]),Table15[[#This Row],[Date Completed]]-Table15[[#This Row],[Date Assigned to Designer]],Table15[[#This Row],[Engineering Approved Design Date]]-Table15[[#This Row],[Date Completed]])</f>
        <v>15</v>
      </c>
      <c r="M510" s="642"/>
      <c r="N510" s="642" t="s">
        <v>120</v>
      </c>
      <c r="O510" s="1025">
        <f>Table15[[#This Row],[Date Completed]]</f>
        <v>44595</v>
      </c>
      <c r="P510" s="21" t="s">
        <v>120</v>
      </c>
      <c r="Q510" s="340">
        <f>(Table15[[#This Row],[Construction Cost to Bill From]]*0.085)+7750</f>
        <v>65933.908450000017</v>
      </c>
      <c r="R510" s="1026" t="s">
        <v>1055</v>
      </c>
      <c r="S510" s="538"/>
      <c r="T510" s="538"/>
      <c r="U510" s="87"/>
      <c r="V510" s="857"/>
      <c r="W510" s="440"/>
      <c r="X510" s="551">
        <v>625981.93000000005</v>
      </c>
      <c r="Y510" s="551"/>
      <c r="Z510" s="551">
        <v>58534.64</v>
      </c>
      <c r="AA510" s="551">
        <f>Table15[[#This Row],[PCTS Investment Amount]]+Table15[[#This Row],[PCTS Retirement Amount]]</f>
        <v>684516.57000000007</v>
      </c>
      <c r="AB510" s="341"/>
      <c r="AC510" s="568" t="s">
        <v>1056</v>
      </c>
      <c r="AD510" s="1157"/>
      <c r="AE510" s="579"/>
      <c r="AF510" s="579"/>
      <c r="AG510" s="579"/>
      <c r="AH510" s="553"/>
      <c r="AI510" s="1036"/>
      <c r="AJ510" s="1037"/>
      <c r="AK510" s="1037"/>
      <c r="AL510" s="1038"/>
      <c r="AM510" s="1522" t="s">
        <v>116</v>
      </c>
      <c r="AN510" s="1523">
        <v>45120</v>
      </c>
      <c r="AO510" s="1524">
        <v>11038037</v>
      </c>
      <c r="AP510" s="1525">
        <v>779478.56</v>
      </c>
      <c r="AQ510" s="1525"/>
      <c r="AR510" s="1525">
        <v>61869.71</v>
      </c>
      <c r="AS510" s="1525">
        <f>IF(Table15[[#This Row],[PCTS Approved]]="N",0,Table15[[#This Row],[Investment Amount (1'#'#'#'#'#)]]+Table15[[#This Row],[Retirement Amount (3'#'#'#'#'#)]])</f>
        <v>841348.27</v>
      </c>
      <c r="AT510" s="1525">
        <f>IF(Table15[[#This Row],[Approved Construction Cost]]=0,0,Table15[[#This Row],[Approved Construction Cost]]-Table15[[#This Row],[Construction Cost to Bill From]])</f>
        <v>156831.69999999995</v>
      </c>
      <c r="AU510" s="1525">
        <f>IFERROR(Table15[[#This Row],[Difference in Construction Cost]]*Table15[[#This Row],[Rate]],Table15[[#This Row],[Difference in Construction Cost]]*0.085)</f>
        <v>13330.694499999998</v>
      </c>
      <c r="AV510" s="1525">
        <v>5070</v>
      </c>
      <c r="AW510" s="1526" t="s">
        <v>4058</v>
      </c>
      <c r="AX510" s="1525">
        <v>0</v>
      </c>
      <c r="AY510" s="1518">
        <v>45375</v>
      </c>
      <c r="AZ510" s="1532"/>
      <c r="BA510" s="859" t="s">
        <v>4059</v>
      </c>
      <c r="BB510" s="644" t="s">
        <v>4060</v>
      </c>
      <c r="BC510" s="544" t="s">
        <v>116</v>
      </c>
      <c r="BD510" s="544" t="s">
        <v>709</v>
      </c>
      <c r="BE510" s="544" t="s">
        <v>4061</v>
      </c>
      <c r="BF510" s="544" t="s">
        <v>709</v>
      </c>
      <c r="BG510" s="544" t="s">
        <v>709</v>
      </c>
      <c r="BH510" s="741"/>
      <c r="BI510" s="547" t="s">
        <v>709</v>
      </c>
      <c r="BJ510" s="547" t="s">
        <v>709</v>
      </c>
      <c r="BK510" s="547" t="s">
        <v>116</v>
      </c>
      <c r="BL510" s="547" t="s">
        <v>116</v>
      </c>
      <c r="BM510" s="547" t="s">
        <v>709</v>
      </c>
      <c r="BN510" s="547" t="s">
        <v>709</v>
      </c>
      <c r="BO510" s="547" t="s">
        <v>709</v>
      </c>
      <c r="BP510" s="547">
        <v>152</v>
      </c>
      <c r="BQ510" s="547">
        <v>395</v>
      </c>
      <c r="BR510" s="547">
        <v>45</v>
      </c>
      <c r="BS510" s="547">
        <v>5</v>
      </c>
      <c r="BT510" s="547">
        <v>1</v>
      </c>
      <c r="BU510" s="547" t="s">
        <v>709</v>
      </c>
      <c r="BV510" s="547" t="s">
        <v>745</v>
      </c>
      <c r="BW510" s="547">
        <v>1</v>
      </c>
      <c r="BX510" s="547" t="s">
        <v>745</v>
      </c>
      <c r="BY510" s="547" t="s">
        <v>745</v>
      </c>
      <c r="BZ510" s="547" t="s">
        <v>709</v>
      </c>
      <c r="CA510" s="483" t="s">
        <v>1022</v>
      </c>
      <c r="CB510" s="547">
        <v>508</v>
      </c>
      <c r="CC510" s="1481" t="b">
        <v>1</v>
      </c>
      <c r="CD510" t="str">
        <f>Table15[[#This Row],[Engineering Number]]&amp;Table15[[#This Row],[WO Number]]&amp;Table15[[#This Row],[Date Assigned to Designer]]&amp;Table15[[#This Row],[Date Completed]]</f>
        <v>RS92610107334448044595</v>
      </c>
    </row>
    <row r="511" spans="1:82" customFormat="1" ht="15" customHeight="1" x14ac:dyDescent="0.25">
      <c r="A511">
        <v>2022</v>
      </c>
      <c r="B511" s="8" t="s">
        <v>1073</v>
      </c>
      <c r="C511" s="8" t="s">
        <v>4049</v>
      </c>
      <c r="D511" s="8" t="s">
        <v>4050</v>
      </c>
      <c r="E511" s="8" t="s">
        <v>1573</v>
      </c>
      <c r="F511" s="8" t="s">
        <v>919</v>
      </c>
      <c r="G511" s="8" t="s">
        <v>36</v>
      </c>
      <c r="H511" s="8" t="s">
        <v>4054</v>
      </c>
      <c r="I511" s="642">
        <v>44551</v>
      </c>
      <c r="J511" s="175" t="s">
        <v>4055</v>
      </c>
      <c r="K511" s="97">
        <v>44595</v>
      </c>
      <c r="L511" s="16">
        <f>IF(ISTEXT(Table15[[#This Row],[Engineering Approved Design Date]]),Table15[[#This Row],[Date Completed]]-Table15[[#This Row],[Date Assigned to Designer]],Table15[[#This Row],[Engineering Approved Design Date]]-Table15[[#This Row],[Date Completed]])</f>
        <v>44</v>
      </c>
      <c r="N511" s="642" t="s">
        <v>120</v>
      </c>
      <c r="O511" s="1025">
        <v>44682</v>
      </c>
      <c r="P511" s="21" t="s">
        <v>739</v>
      </c>
      <c r="Q511" s="340">
        <f>Table15[[#This Row],[KH Hourly Effort]]</f>
        <v>2190</v>
      </c>
      <c r="R511" s="1026" t="s">
        <v>1922</v>
      </c>
      <c r="S511" s="538" t="s">
        <v>709</v>
      </c>
      <c r="T511" s="538" t="s">
        <v>709</v>
      </c>
      <c r="U511" s="87">
        <v>2190</v>
      </c>
      <c r="V511" s="858"/>
      <c r="W511" s="437"/>
      <c r="X511" s="538"/>
      <c r="Y511" s="551"/>
      <c r="Z511" s="538"/>
      <c r="AA511" s="538"/>
      <c r="AB511" s="21"/>
      <c r="AC511" s="569" t="s">
        <v>709</v>
      </c>
      <c r="AD511" s="1149"/>
      <c r="AE511" s="569"/>
      <c r="AF511" s="569"/>
      <c r="AG511" s="569"/>
      <c r="AH511" s="536"/>
      <c r="AI511" s="1028"/>
      <c r="AJ511" s="1029"/>
      <c r="AK511" s="1029"/>
      <c r="AL511" s="1030"/>
      <c r="AM511" s="542" t="s">
        <v>709</v>
      </c>
      <c r="AN511" s="924"/>
      <c r="AO511" s="925"/>
      <c r="AP511" s="926"/>
      <c r="AQ511" s="926"/>
      <c r="AR511" s="926"/>
      <c r="AS511" s="926"/>
      <c r="AT511" s="926"/>
      <c r="AU511" s="926"/>
      <c r="AV511" s="926"/>
      <c r="AW511" s="927"/>
      <c r="AX511" s="926"/>
      <c r="AY511" s="1538" t="s">
        <v>29</v>
      </c>
      <c r="AZ511" s="1530"/>
      <c r="BA511" s="1031" t="s">
        <v>29</v>
      </c>
      <c r="BB511" s="644" t="s">
        <v>376</v>
      </c>
      <c r="BC511" s="544"/>
      <c r="BD511" s="544"/>
      <c r="BE511" s="544"/>
      <c r="BF511" s="544"/>
      <c r="BG511" s="544"/>
      <c r="BH511" s="741"/>
      <c r="BI511" s="547" t="s">
        <v>709</v>
      </c>
      <c r="BJ511" s="547" t="s">
        <v>709</v>
      </c>
      <c r="BK511" s="547" t="s">
        <v>116</v>
      </c>
      <c r="BL511" s="547" t="s">
        <v>709</v>
      </c>
      <c r="BM511" s="547" t="s">
        <v>709</v>
      </c>
      <c r="BN511" s="547" t="s">
        <v>709</v>
      </c>
      <c r="BO511" s="547" t="s">
        <v>709</v>
      </c>
      <c r="BP511" s="547" t="s">
        <v>709</v>
      </c>
      <c r="BQ511" s="547" t="s">
        <v>709</v>
      </c>
      <c r="BR511" s="547" t="s">
        <v>709</v>
      </c>
      <c r="BS511" s="547" t="s">
        <v>116</v>
      </c>
      <c r="BT511" s="547" t="s">
        <v>745</v>
      </c>
      <c r="BU511" s="547" t="s">
        <v>709</v>
      </c>
      <c r="BV511" s="547" t="s">
        <v>745</v>
      </c>
      <c r="BW511" s="547" t="s">
        <v>709</v>
      </c>
      <c r="BX511" s="547" t="s">
        <v>745</v>
      </c>
      <c r="BY511" s="547" t="s">
        <v>116</v>
      </c>
      <c r="BZ511" s="547" t="s">
        <v>709</v>
      </c>
      <c r="CA511" s="483"/>
      <c r="CB511" s="547">
        <v>509</v>
      </c>
      <c r="CC511" s="1481" t="b">
        <v>1</v>
      </c>
      <c r="CD511" t="str">
        <f>Table15[[#This Row],[Engineering Number]]&amp;Table15[[#This Row],[WO Number]]&amp;Table15[[#This Row],[Date Assigned to Designer]]&amp;Table15[[#This Row],[Date Completed]]</f>
        <v>NBA1000347419109574455144595</v>
      </c>
    </row>
    <row r="512" spans="1:82" customFormat="1" ht="15" customHeight="1" x14ac:dyDescent="0.25">
      <c r="A512">
        <v>2022</v>
      </c>
      <c r="B512" s="8" t="s">
        <v>4</v>
      </c>
      <c r="C512" s="8" t="s">
        <v>3901</v>
      </c>
      <c r="D512" s="8">
        <v>1310685</v>
      </c>
      <c r="E512" s="8" t="s">
        <v>2032</v>
      </c>
      <c r="F512" s="8" t="s">
        <v>738</v>
      </c>
      <c r="G512" s="8" t="s">
        <v>23</v>
      </c>
      <c r="H512" s="8" t="s">
        <v>3178</v>
      </c>
      <c r="I512" s="642">
        <v>44588</v>
      </c>
      <c r="J512" s="18" t="s">
        <v>2052</v>
      </c>
      <c r="K512" s="97">
        <v>44596</v>
      </c>
      <c r="L512" s="16">
        <f>IF(ISTEXT(Table15[[#This Row],[Engineering Approved Design Date]]),Table15[[#This Row],[Date Completed]]-Table15[[#This Row],[Date Assigned to Designer]],Table15[[#This Row],[Engineering Approved Design Date]]-Table15[[#This Row],[Date Completed]])</f>
        <v>8</v>
      </c>
      <c r="M512" t="s">
        <v>4063</v>
      </c>
      <c r="N512" s="642" t="s">
        <v>120</v>
      </c>
      <c r="O512" s="1025">
        <f>Table15[[#This Row],[Date Completed]]</f>
        <v>44596</v>
      </c>
      <c r="P512" s="21" t="s">
        <v>739</v>
      </c>
      <c r="Q512" s="1151">
        <f>U512</f>
        <v>4072.5</v>
      </c>
      <c r="R512" s="1026" t="s">
        <v>1922</v>
      </c>
      <c r="S512" s="538" t="s">
        <v>709</v>
      </c>
      <c r="T512" s="538" t="s">
        <v>709</v>
      </c>
      <c r="U512" s="87">
        <v>4072.5</v>
      </c>
      <c r="V512" s="858"/>
      <c r="W512" s="437"/>
      <c r="X512" s="538"/>
      <c r="Y512" s="551"/>
      <c r="Z512" s="538"/>
      <c r="AA512" s="538"/>
      <c r="AB512" s="21"/>
      <c r="AC512" s="569"/>
      <c r="AD512" s="1149" t="s">
        <v>709</v>
      </c>
      <c r="AE512" s="580"/>
      <c r="AF512" s="580"/>
      <c r="AG512" s="580"/>
      <c r="AH512" s="542"/>
      <c r="AI512" s="1028"/>
      <c r="AJ512" s="1029"/>
      <c r="AK512" s="1029"/>
      <c r="AL512" s="1030"/>
      <c r="AM512" s="542" t="s">
        <v>709</v>
      </c>
      <c r="AN512" s="924"/>
      <c r="AO512" s="925"/>
      <c r="AP512" s="926"/>
      <c r="AQ512" s="926"/>
      <c r="AR512" s="926"/>
      <c r="AS512" s="926"/>
      <c r="AT512" s="926"/>
      <c r="AU512" s="926"/>
      <c r="AV512" s="926"/>
      <c r="AW512" s="927"/>
      <c r="AX512" s="926"/>
      <c r="AY512" s="1538" t="s">
        <v>29</v>
      </c>
      <c r="AZ512" s="1530"/>
      <c r="BA512" s="1031">
        <v>4</v>
      </c>
      <c r="BB512" s="1045" t="s">
        <v>4064</v>
      </c>
      <c r="BC512" s="1046"/>
      <c r="BD512" s="1046"/>
      <c r="BE512" s="1046"/>
      <c r="BF512" s="1046"/>
      <c r="BG512" s="1046"/>
      <c r="BH512" s="1169"/>
      <c r="BI512" s="547" t="s">
        <v>709</v>
      </c>
      <c r="BJ512" s="547" t="s">
        <v>709</v>
      </c>
      <c r="BK512" s="547" t="s">
        <v>709</v>
      </c>
      <c r="BL512" s="547" t="s">
        <v>116</v>
      </c>
      <c r="BM512" s="547" t="s">
        <v>709</v>
      </c>
      <c r="BN512" s="547" t="s">
        <v>709</v>
      </c>
      <c r="BO512" s="547" t="s">
        <v>709</v>
      </c>
      <c r="BP512" s="547" t="s">
        <v>709</v>
      </c>
      <c r="BQ512" s="547" t="s">
        <v>709</v>
      </c>
      <c r="BR512" s="547">
        <v>824</v>
      </c>
      <c r="BS512" s="547" t="s">
        <v>709</v>
      </c>
      <c r="BT512" s="547" t="s">
        <v>709</v>
      </c>
      <c r="BU512" s="547" t="s">
        <v>709</v>
      </c>
      <c r="BV512" s="547" t="s">
        <v>745</v>
      </c>
      <c r="BW512" s="547" t="s">
        <v>709</v>
      </c>
      <c r="BX512" s="547" t="s">
        <v>709</v>
      </c>
      <c r="BY512" s="547" t="s">
        <v>745</v>
      </c>
      <c r="BZ512" s="547" t="s">
        <v>709</v>
      </c>
      <c r="CA512" s="483"/>
      <c r="CB512" s="547">
        <v>510</v>
      </c>
      <c r="CC512" s="1481" t="b">
        <v>1</v>
      </c>
      <c r="CD512" t="str">
        <f>Table15[[#This Row],[Engineering Number]]&amp;Table15[[#This Row],[WO Number]]&amp;Table15[[#This Row],[Date Assigned to Designer]]&amp;Table15[[#This Row],[Date Completed]]</f>
        <v>SC1971913106854458844596</v>
      </c>
    </row>
    <row r="513" spans="1:86" customFormat="1" ht="15" customHeight="1" x14ac:dyDescent="0.25">
      <c r="A513">
        <v>2022</v>
      </c>
      <c r="B513" s="8" t="s">
        <v>2989</v>
      </c>
      <c r="C513" s="8" t="s">
        <v>4072</v>
      </c>
      <c r="D513" s="8" t="s">
        <v>4073</v>
      </c>
      <c r="E513" s="8" t="s">
        <v>4074</v>
      </c>
      <c r="F513" s="8" t="s">
        <v>752</v>
      </c>
      <c r="G513" s="8" t="s">
        <v>35</v>
      </c>
      <c r="H513" s="8" t="s">
        <v>59</v>
      </c>
      <c r="I513" s="642">
        <v>44523</v>
      </c>
      <c r="J513" s="18">
        <v>44600</v>
      </c>
      <c r="K513" s="18">
        <v>44599</v>
      </c>
      <c r="L513" s="16">
        <f>IF(ISTEXT(Table15[[#This Row],[Engineering Approved Design Date]]),Table15[[#This Row],[Date Completed]]-Table15[[#This Row],[Date Assigned to Designer]],Table15[[#This Row],[Engineering Approved Design Date]]-Table15[[#This Row],[Date Completed]])</f>
        <v>1</v>
      </c>
      <c r="M513" s="642"/>
      <c r="N513" s="642" t="s">
        <v>120</v>
      </c>
      <c r="O513" s="1025">
        <f>Table15[[#This Row],[Date Completed]]</f>
        <v>44599</v>
      </c>
      <c r="P513" s="21" t="s">
        <v>739</v>
      </c>
      <c r="Q513" s="340">
        <f>R513*AA513</f>
        <v>10092.6963</v>
      </c>
      <c r="R513" s="1026">
        <v>0.09</v>
      </c>
      <c r="S513" s="538" t="s">
        <v>709</v>
      </c>
      <c r="T513" s="538" t="s">
        <v>709</v>
      </c>
      <c r="U513" s="87" t="s">
        <v>709</v>
      </c>
      <c r="V513" s="857"/>
      <c r="W513" s="440"/>
      <c r="X513" s="551"/>
      <c r="Y513" s="551"/>
      <c r="Z513" s="551">
        <v>112141.07</v>
      </c>
      <c r="AA513" s="551">
        <f>Table15[[#This Row],[PCTS Investment Amount]]+Table15[[#This Row],[PCTS Retirement Amount]]</f>
        <v>112141.07</v>
      </c>
      <c r="AB513" s="341"/>
      <c r="AC513" s="568" t="s">
        <v>709</v>
      </c>
      <c r="AD513" s="1157" t="s">
        <v>709</v>
      </c>
      <c r="AE513" s="579"/>
      <c r="AF513" s="579"/>
      <c r="AG513" s="579"/>
      <c r="AH513" s="553"/>
      <c r="AI513" s="1036"/>
      <c r="AJ513" s="1037"/>
      <c r="AK513" s="1037"/>
      <c r="AL513" s="1038"/>
      <c r="AM513" s="1522" t="s">
        <v>116</v>
      </c>
      <c r="AN513" s="1523">
        <v>44608</v>
      </c>
      <c r="AO513" s="1524">
        <v>11040564</v>
      </c>
      <c r="AP513" s="1525">
        <v>0</v>
      </c>
      <c r="AQ513" s="1525"/>
      <c r="AR513" s="1525">
        <v>113576.01</v>
      </c>
      <c r="AS513" s="1525">
        <f>IF(Table15[[#This Row],[PCTS Approved]]="N",0,Table15[[#This Row],[Investment Amount (1'#'#'#'#'#)]]+Table15[[#This Row],[Retirement Amount (3'#'#'#'#'#)]])</f>
        <v>113576.01</v>
      </c>
      <c r="AT513" s="1525">
        <f>IF(Table15[[#This Row],[Approved Construction Cost]]=0,0,Table15[[#This Row],[Approved Construction Cost]]-Table15[[#This Row],[Construction Cost to Bill From]])</f>
        <v>1434.9399999999878</v>
      </c>
      <c r="AU513" s="1525">
        <f>IFERROR(Table15[[#This Row],[Difference in Construction Cost]]*Table15[[#This Row],[Rate]],Table15[[#This Row],[Difference in Construction Cost]]*0.085)</f>
        <v>129.14459999999889</v>
      </c>
      <c r="AV513" s="1525" t="s">
        <v>709</v>
      </c>
      <c r="AW513" s="1526"/>
      <c r="AX513" s="1525">
        <f>Table15[[#This Row],[Reconcile Amount]]</f>
        <v>129.14459999999889</v>
      </c>
      <c r="AY513" s="1518">
        <v>45008</v>
      </c>
      <c r="AZ513" s="333"/>
      <c r="BA513" s="1031" t="s">
        <v>4075</v>
      </c>
      <c r="BB513" s="644" t="s">
        <v>4076</v>
      </c>
      <c r="BC513" s="544" t="s">
        <v>709</v>
      </c>
      <c r="BD513" s="544" t="s">
        <v>862</v>
      </c>
      <c r="BE513" s="544" t="s">
        <v>4077</v>
      </c>
      <c r="BF513" s="544" t="s">
        <v>709</v>
      </c>
      <c r="BG513" s="544" t="s">
        <v>709</v>
      </c>
      <c r="BH513" s="741"/>
      <c r="BI513" s="547" t="s">
        <v>709</v>
      </c>
      <c r="BJ513" s="547" t="s">
        <v>709</v>
      </c>
      <c r="BK513" s="547" t="s">
        <v>709</v>
      </c>
      <c r="BL513" s="547" t="s">
        <v>709</v>
      </c>
      <c r="BM513" s="547" t="s">
        <v>709</v>
      </c>
      <c r="BN513" s="547" t="s">
        <v>709</v>
      </c>
      <c r="BO513" s="547" t="s">
        <v>709</v>
      </c>
      <c r="BP513" s="547" t="s">
        <v>709</v>
      </c>
      <c r="BQ513" s="547" t="s">
        <v>709</v>
      </c>
      <c r="BR513" s="547" t="s">
        <v>709</v>
      </c>
      <c r="BS513" s="547" t="s">
        <v>709</v>
      </c>
      <c r="BT513" s="547" t="s">
        <v>745</v>
      </c>
      <c r="BU513" s="547" t="s">
        <v>709</v>
      </c>
      <c r="BV513" s="547">
        <v>4</v>
      </c>
      <c r="BW513" s="547" t="s">
        <v>709</v>
      </c>
      <c r="BX513" s="547" t="s">
        <v>745</v>
      </c>
      <c r="BY513" s="547" t="s">
        <v>745</v>
      </c>
      <c r="BZ513" s="547" t="s">
        <v>709</v>
      </c>
      <c r="CA513" s="483" t="s">
        <v>2</v>
      </c>
      <c r="CB513" s="547">
        <v>511</v>
      </c>
      <c r="CC513" s="1481" t="b">
        <v>1</v>
      </c>
      <c r="CD513" t="str">
        <f>Table15[[#This Row],[Engineering Number]]&amp;Table15[[#This Row],[WO Number]]&amp;Table15[[#This Row],[Date Assigned to Designer]]&amp;Table15[[#This Row],[Date Completed]]</f>
        <v>MR180433108074452344599</v>
      </c>
    </row>
    <row r="514" spans="1:86" customFormat="1" ht="15" customHeight="1" x14ac:dyDescent="0.25">
      <c r="A514">
        <v>2022</v>
      </c>
      <c r="B514" s="8" t="s">
        <v>2989</v>
      </c>
      <c r="C514" s="8" t="s">
        <v>4066</v>
      </c>
      <c r="D514" s="8" t="s">
        <v>4067</v>
      </c>
      <c r="E514" s="8" t="s">
        <v>850</v>
      </c>
      <c r="F514" s="8" t="s">
        <v>752</v>
      </c>
      <c r="G514" s="8" t="s">
        <v>35</v>
      </c>
      <c r="H514" s="8" t="s">
        <v>59</v>
      </c>
      <c r="I514" s="642">
        <v>44523</v>
      </c>
      <c r="J514" s="18">
        <v>44600</v>
      </c>
      <c r="K514" s="18">
        <v>44599</v>
      </c>
      <c r="L514" s="16">
        <f>IF(ISTEXT(Table15[[#This Row],[Engineering Approved Design Date]]),Table15[[#This Row],[Date Completed]]-Table15[[#This Row],[Date Assigned to Designer]],Table15[[#This Row],[Engineering Approved Design Date]]-Table15[[#This Row],[Date Completed]])</f>
        <v>1</v>
      </c>
      <c r="M514" s="642"/>
      <c r="N514" s="642" t="s">
        <v>120</v>
      </c>
      <c r="O514" s="1025">
        <f>Table15[[#This Row],[Date Completed]]</f>
        <v>44599</v>
      </c>
      <c r="P514" s="21" t="s">
        <v>739</v>
      </c>
      <c r="Q514" s="340">
        <f>R514*AA514</f>
        <v>3206.4155999999994</v>
      </c>
      <c r="R514" s="1026">
        <v>0.09</v>
      </c>
      <c r="S514" s="538" t="s">
        <v>709</v>
      </c>
      <c r="T514" s="538" t="s">
        <v>709</v>
      </c>
      <c r="U514" s="87" t="s">
        <v>709</v>
      </c>
      <c r="V514" s="857"/>
      <c r="W514" s="440"/>
      <c r="X514" s="551"/>
      <c r="Y514" s="551"/>
      <c r="Z514" s="551">
        <v>35626.839999999997</v>
      </c>
      <c r="AA514" s="551">
        <f>Table15[[#This Row],[PCTS Investment Amount]]+Table15[[#This Row],[PCTS Retirement Amount]]</f>
        <v>35626.839999999997</v>
      </c>
      <c r="AB514" s="341"/>
      <c r="AC514" s="568" t="s">
        <v>709</v>
      </c>
      <c r="AD514" s="1157" t="s">
        <v>709</v>
      </c>
      <c r="AE514" s="579"/>
      <c r="AF514" s="579"/>
      <c r="AG514" s="579"/>
      <c r="AH514" s="553"/>
      <c r="AI514" s="1036"/>
      <c r="AJ514" s="1037"/>
      <c r="AK514" s="1037"/>
      <c r="AL514" s="1038"/>
      <c r="AM514" s="542" t="s">
        <v>116</v>
      </c>
      <c r="AN514" s="1508">
        <v>44608</v>
      </c>
      <c r="AO514" s="925">
        <v>11039379</v>
      </c>
      <c r="AP514" s="926">
        <v>0</v>
      </c>
      <c r="AQ514" s="926"/>
      <c r="AR514" s="926">
        <v>35626.839999999997</v>
      </c>
      <c r="AS514" s="926">
        <f>IF(Table15[[#This Row],[PCTS Approved]]="N",0,Table15[[#This Row],[Investment Amount (1'#'#'#'#'#)]]+Table15[[#This Row],[Retirement Amount (3'#'#'#'#'#)]])</f>
        <v>35626.839999999997</v>
      </c>
      <c r="AT514" s="926">
        <f>IF(Table15[[#This Row],[Approved Construction Cost]]=0,0,Table15[[#This Row],[Approved Construction Cost]]-Table15[[#This Row],[Construction Cost to Bill From]])</f>
        <v>0</v>
      </c>
      <c r="AU514" s="926">
        <f>IFERROR(Table15[[#This Row],[Difference in Construction Cost]]*Table15[[#This Row],[Rate]],Table15[[#This Row],[Difference in Construction Cost]]*0.085)</f>
        <v>0</v>
      </c>
      <c r="AV514" s="926" t="s">
        <v>709</v>
      </c>
      <c r="AW514" s="927"/>
      <c r="AX514" s="926"/>
      <c r="AY514" s="636" t="s">
        <v>1935</v>
      </c>
      <c r="AZ514" s="1533"/>
      <c r="BA514" s="859" t="s">
        <v>4068</v>
      </c>
      <c r="BB514" s="644" t="s">
        <v>4069</v>
      </c>
      <c r="BC514" s="544" t="s">
        <v>709</v>
      </c>
      <c r="BD514" s="544" t="s">
        <v>709</v>
      </c>
      <c r="BE514" s="544" t="s">
        <v>709</v>
      </c>
      <c r="BF514" s="544" t="s">
        <v>4070</v>
      </c>
      <c r="BG514" s="544" t="s">
        <v>709</v>
      </c>
      <c r="BH514" s="741"/>
      <c r="BI514" s="547" t="s">
        <v>709</v>
      </c>
      <c r="BJ514" s="547" t="s">
        <v>709</v>
      </c>
      <c r="BK514" s="547" t="s">
        <v>709</v>
      </c>
      <c r="BL514" s="547" t="s">
        <v>709</v>
      </c>
      <c r="BM514" s="547" t="s">
        <v>709</v>
      </c>
      <c r="BN514" s="547" t="s">
        <v>709</v>
      </c>
      <c r="BO514" s="547" t="s">
        <v>709</v>
      </c>
      <c r="BP514" s="547" t="s">
        <v>709</v>
      </c>
      <c r="BQ514" s="547" t="s">
        <v>709</v>
      </c>
      <c r="BR514" s="547" t="s">
        <v>709</v>
      </c>
      <c r="BS514" s="547" t="s">
        <v>709</v>
      </c>
      <c r="BT514" s="547" t="s">
        <v>745</v>
      </c>
      <c r="BU514" s="547" t="s">
        <v>709</v>
      </c>
      <c r="BV514" s="547">
        <v>1</v>
      </c>
      <c r="BW514" s="547" t="s">
        <v>709</v>
      </c>
      <c r="BX514" s="547" t="s">
        <v>745</v>
      </c>
      <c r="BY514" s="547" t="s">
        <v>745</v>
      </c>
      <c r="BZ514" s="547" t="s">
        <v>709</v>
      </c>
      <c r="CA514" s="483" t="s">
        <v>2</v>
      </c>
      <c r="CB514" s="547">
        <v>512</v>
      </c>
      <c r="CC514" s="1481" t="b">
        <v>1</v>
      </c>
      <c r="CD514" t="str">
        <f>Table15[[#This Row],[Engineering Number]]&amp;Table15[[#This Row],[WO Number]]&amp;Table15[[#This Row],[Date Assigned to Designer]]&amp;Table15[[#This Row],[Date Completed]]</f>
        <v>MR186033110004452344599</v>
      </c>
    </row>
    <row r="515" spans="1:86" customFormat="1" ht="15" customHeight="1" x14ac:dyDescent="0.25">
      <c r="A515">
        <v>2022</v>
      </c>
      <c r="B515" s="8" t="s">
        <v>769</v>
      </c>
      <c r="C515" s="8" t="s">
        <v>310</v>
      </c>
      <c r="D515" s="8" t="s">
        <v>115</v>
      </c>
      <c r="E515" s="8" t="s">
        <v>4082</v>
      </c>
      <c r="F515" s="8" t="s">
        <v>752</v>
      </c>
      <c r="G515" s="8" t="s">
        <v>23</v>
      </c>
      <c r="H515" s="8" t="s">
        <v>2127</v>
      </c>
      <c r="I515" s="642">
        <v>44603</v>
      </c>
      <c r="J515" s="18">
        <v>44673</v>
      </c>
      <c r="K515" s="18">
        <v>44608</v>
      </c>
      <c r="L515" s="16">
        <f>IF(ISTEXT(Table15[[#This Row],[Engineering Approved Design Date]]),Table15[[#This Row],[Date Completed]]-Table15[[#This Row],[Date Assigned to Designer]],Table15[[#This Row],[Engineering Approved Design Date]]-Table15[[#This Row],[Date Completed]])</f>
        <v>65</v>
      </c>
      <c r="M515" s="642" t="s">
        <v>4083</v>
      </c>
      <c r="N515" s="642" t="s">
        <v>120</v>
      </c>
      <c r="O515" s="1025">
        <f>Table15[[#This Row],[Date Completed]]</f>
        <v>44608</v>
      </c>
      <c r="P515" s="21" t="s">
        <v>739</v>
      </c>
      <c r="Q515" s="340" t="s">
        <v>115</v>
      </c>
      <c r="R515" s="1026" t="s">
        <v>115</v>
      </c>
      <c r="S515" s="538" t="s">
        <v>709</v>
      </c>
      <c r="T515" s="538" t="s">
        <v>709</v>
      </c>
      <c r="U515" s="87" t="s">
        <v>709</v>
      </c>
      <c r="V515" s="857"/>
      <c r="W515" s="440"/>
      <c r="X515" s="551"/>
      <c r="Y515" s="551"/>
      <c r="Z515" s="538"/>
      <c r="AA515" s="561"/>
      <c r="AB515" s="474"/>
      <c r="AC515" s="576" t="s">
        <v>709</v>
      </c>
      <c r="AD515" s="1156"/>
      <c r="AE515" s="1040"/>
      <c r="AF515" s="1040"/>
      <c r="AG515" s="1040"/>
      <c r="AH515" s="1041"/>
      <c r="AI515" s="1042"/>
      <c r="AJ515" s="1043"/>
      <c r="AK515" s="1043"/>
      <c r="AL515" s="1044"/>
      <c r="AM515" s="542" t="s">
        <v>709</v>
      </c>
      <c r="AN515" s="924"/>
      <c r="AO515" s="925"/>
      <c r="AP515" s="926"/>
      <c r="AQ515" s="926"/>
      <c r="AR515" s="926"/>
      <c r="AS515" s="926"/>
      <c r="AT515" s="926"/>
      <c r="AU515" s="926"/>
      <c r="AV515" s="926"/>
      <c r="AW515" s="927"/>
      <c r="AX515" s="926"/>
      <c r="AY515" s="1538" t="s">
        <v>29</v>
      </c>
      <c r="AZ515" s="1530"/>
      <c r="BA515" s="1031" t="s">
        <v>4084</v>
      </c>
      <c r="BB515" s="644" t="s">
        <v>4085</v>
      </c>
      <c r="BC515" s="544"/>
      <c r="BD515" s="544"/>
      <c r="BE515" s="544"/>
      <c r="BF515" s="544"/>
      <c r="BG515" s="544"/>
      <c r="BH515" s="741"/>
      <c r="BI515" s="547"/>
      <c r="BJ515" s="547"/>
      <c r="BK515" s="547"/>
      <c r="BL515" s="547"/>
      <c r="BM515" s="547"/>
      <c r="BN515" s="547"/>
      <c r="BO515" s="547"/>
      <c r="BP515" s="547"/>
      <c r="BQ515" s="547"/>
      <c r="BR515" s="547"/>
      <c r="BS515" s="547"/>
      <c r="BT515" s="547"/>
      <c r="BU515" s="547"/>
      <c r="BV515" s="547"/>
      <c r="BW515" s="547"/>
      <c r="BX515" s="547"/>
      <c r="BY515" s="547"/>
      <c r="BZ515" s="547" t="s">
        <v>709</v>
      </c>
      <c r="CA515" s="483" t="s">
        <v>769</v>
      </c>
      <c r="CB515" s="547">
        <v>513</v>
      </c>
      <c r="CC515" s="1481" t="b">
        <v>1</v>
      </c>
      <c r="CD515" t="str">
        <f>Table15[[#This Row],[Engineering Number]]&amp;Table15[[#This Row],[WO Number]]&amp;Table15[[#This Row],[Date Assigned to Designer]]&amp;Table15[[#This Row],[Date Completed]]</f>
        <v>RS997-4460344608</v>
      </c>
    </row>
    <row r="516" spans="1:86" customFormat="1" ht="15" customHeight="1" x14ac:dyDescent="0.25">
      <c r="A516">
        <v>2021</v>
      </c>
      <c r="B516" s="8" t="s">
        <v>4</v>
      </c>
      <c r="C516" s="8" t="s">
        <v>2948</v>
      </c>
      <c r="D516" s="8">
        <v>120536</v>
      </c>
      <c r="E516" s="8" t="s">
        <v>2786</v>
      </c>
      <c r="F516" s="8" t="s">
        <v>919</v>
      </c>
      <c r="G516" s="8" t="s">
        <v>40</v>
      </c>
      <c r="H516" s="8" t="s">
        <v>4001</v>
      </c>
      <c r="I516" s="642">
        <v>44601</v>
      </c>
      <c r="J516" s="18" t="s">
        <v>2052</v>
      </c>
      <c r="K516" s="97">
        <v>44608</v>
      </c>
      <c r="L516" s="16">
        <f>IF(ISTEXT(Table15[[#This Row],[Engineering Approved Design Date]]),Table15[[#This Row],[Date Completed]]-Table15[[#This Row],[Date Assigned to Designer]],Table15[[#This Row],[Engineering Approved Design Date]]-Table15[[#This Row],[Date Completed]])</f>
        <v>7</v>
      </c>
      <c r="M516" t="s">
        <v>4079</v>
      </c>
      <c r="N516" s="642" t="s">
        <v>120</v>
      </c>
      <c r="O516" s="1025">
        <v>44621</v>
      </c>
      <c r="P516" s="21" t="s">
        <v>739</v>
      </c>
      <c r="Q516" s="1151">
        <f>U516</f>
        <v>12840</v>
      </c>
      <c r="R516" s="1026" t="s">
        <v>1922</v>
      </c>
      <c r="S516" s="538" t="s">
        <v>709</v>
      </c>
      <c r="T516" s="538" t="s">
        <v>709</v>
      </c>
      <c r="U516" s="87">
        <v>12840</v>
      </c>
      <c r="V516" s="858"/>
      <c r="W516" s="437"/>
      <c r="X516" s="538"/>
      <c r="Y516" s="551"/>
      <c r="Z516" s="538"/>
      <c r="AA516" s="538"/>
      <c r="AB516" s="21"/>
      <c r="AC516" s="569"/>
      <c r="AD516" s="1149" t="s">
        <v>709</v>
      </c>
      <c r="AE516" s="580"/>
      <c r="AF516" s="580"/>
      <c r="AG516" s="580"/>
      <c r="AH516" s="542"/>
      <c r="AI516" s="1028"/>
      <c r="AJ516" s="1029"/>
      <c r="AK516" s="1029"/>
      <c r="AL516" s="1030"/>
      <c r="AM516" s="542" t="s">
        <v>709</v>
      </c>
      <c r="AN516" s="924"/>
      <c r="AO516" s="925"/>
      <c r="AP516" s="926"/>
      <c r="AQ516" s="926"/>
      <c r="AR516" s="926"/>
      <c r="AS516" s="926"/>
      <c r="AT516" s="926"/>
      <c r="AU516" s="926"/>
      <c r="AV516" s="926"/>
      <c r="AW516" s="927"/>
      <c r="AX516" s="926"/>
      <c r="AY516" s="1538" t="s">
        <v>29</v>
      </c>
      <c r="AZ516" s="1530"/>
      <c r="BA516" s="1031">
        <v>9</v>
      </c>
      <c r="BB516" s="1045" t="s">
        <v>4080</v>
      </c>
      <c r="BC516" s="1046"/>
      <c r="BD516" s="1046"/>
      <c r="BE516" s="1046"/>
      <c r="BF516" s="1046"/>
      <c r="BG516" s="1046"/>
      <c r="BH516" s="1169"/>
      <c r="BI516" s="547" t="s">
        <v>709</v>
      </c>
      <c r="BJ516" s="547" t="s">
        <v>709</v>
      </c>
      <c r="BK516" s="547" t="s">
        <v>709</v>
      </c>
      <c r="BL516" s="547" t="s">
        <v>116</v>
      </c>
      <c r="BM516" s="547" t="s">
        <v>709</v>
      </c>
      <c r="BN516" s="547" t="s">
        <v>709</v>
      </c>
      <c r="BO516" s="547" t="s">
        <v>709</v>
      </c>
      <c r="BP516" s="547">
        <v>435</v>
      </c>
      <c r="BQ516" s="547">
        <v>1885</v>
      </c>
      <c r="BR516" s="547">
        <v>3372</v>
      </c>
      <c r="BS516" s="547">
        <v>1853</v>
      </c>
      <c r="BT516" s="547">
        <v>1</v>
      </c>
      <c r="BU516" s="547" t="s">
        <v>709</v>
      </c>
      <c r="BV516" s="547">
        <v>2</v>
      </c>
      <c r="BW516" s="547" t="s">
        <v>709</v>
      </c>
      <c r="BX516" s="547" t="s">
        <v>709</v>
      </c>
      <c r="BY516" s="547" t="s">
        <v>709</v>
      </c>
      <c r="BZ516" s="547" t="s">
        <v>709</v>
      </c>
      <c r="CA516" s="483"/>
      <c r="CB516" s="547">
        <v>514</v>
      </c>
      <c r="CC516" s="1481" t="b">
        <v>1</v>
      </c>
      <c r="CD516" t="str">
        <f>Table15[[#This Row],[Engineering Number]]&amp;Table15[[#This Row],[WO Number]]&amp;Table15[[#This Row],[Date Assigned to Designer]]&amp;Table15[[#This Row],[Date Completed]]</f>
        <v>M116121205364460144608</v>
      </c>
    </row>
    <row r="517" spans="1:86" s="1024" customFormat="1" ht="15" customHeight="1" x14ac:dyDescent="0.25">
      <c r="A517">
        <v>2022</v>
      </c>
      <c r="B517" s="8" t="s">
        <v>1073</v>
      </c>
      <c r="C517" s="8" t="s">
        <v>4087</v>
      </c>
      <c r="D517" s="8" t="s">
        <v>4088</v>
      </c>
      <c r="E517" s="8" t="s">
        <v>61</v>
      </c>
      <c r="F517" s="8" t="s">
        <v>738</v>
      </c>
      <c r="G517" s="8" t="s">
        <v>35</v>
      </c>
      <c r="H517" s="8" t="s">
        <v>59</v>
      </c>
      <c r="I517" s="642">
        <v>44540</v>
      </c>
      <c r="J517" s="18">
        <v>44617</v>
      </c>
      <c r="K517" s="18">
        <v>44609</v>
      </c>
      <c r="L517" s="16">
        <f>IF(ISTEXT(Table15[[#This Row],[Engineering Approved Design Date]]),Table15[[#This Row],[Date Completed]]-Table15[[#This Row],[Date Assigned to Designer]],Table15[[#This Row],[Engineering Approved Design Date]]-Table15[[#This Row],[Date Completed]])</f>
        <v>8</v>
      </c>
      <c r="M517" s="642"/>
      <c r="N517" s="642" t="s">
        <v>120</v>
      </c>
      <c r="O517" s="1025">
        <f>Table15[[#This Row],[Date Completed]]</f>
        <v>44609</v>
      </c>
      <c r="P517" s="21" t="s">
        <v>739</v>
      </c>
      <c r="Q517" s="340">
        <f>R517*AA517</f>
        <v>17717.632100000003</v>
      </c>
      <c r="R517" s="1026">
        <v>7.0000000000000007E-2</v>
      </c>
      <c r="S517" s="538" t="s">
        <v>709</v>
      </c>
      <c r="T517" s="538" t="s">
        <v>709</v>
      </c>
      <c r="U517" s="87" t="s">
        <v>709</v>
      </c>
      <c r="V517" s="857">
        <v>1887</v>
      </c>
      <c r="W517" s="440"/>
      <c r="X517" s="551">
        <v>253109.03</v>
      </c>
      <c r="Y517" s="551"/>
      <c r="Z517" s="551"/>
      <c r="AA517" s="551">
        <f>Table15[[#This Row],[PCTS Investment Amount]]+Table15[[#This Row],[PCTS Retirement Amount]]</f>
        <v>253109.03</v>
      </c>
      <c r="AB517" s="341"/>
      <c r="AC517" s="568" t="s">
        <v>709</v>
      </c>
      <c r="AD517" s="1157" t="s">
        <v>116</v>
      </c>
      <c r="AE517" s="568"/>
      <c r="AF517" s="568"/>
      <c r="AG517" s="568"/>
      <c r="AH517" s="183"/>
      <c r="AI517" s="1036"/>
      <c r="AJ517" s="1037"/>
      <c r="AK517" s="1037"/>
      <c r="AL517" s="1038"/>
      <c r="AM517" s="1522" t="s">
        <v>116</v>
      </c>
      <c r="AN517" s="1523">
        <v>44627</v>
      </c>
      <c r="AO517" s="1524">
        <v>11039411</v>
      </c>
      <c r="AP517" s="1525">
        <v>261032.15</v>
      </c>
      <c r="AQ517" s="1525"/>
      <c r="AR517" s="1525">
        <v>0</v>
      </c>
      <c r="AS517" s="1525">
        <f>IF(Table15[[#This Row],[PCTS Approved]]="N",0,Table15[[#This Row],[Investment Amount (1'#'#'#'#'#)]]+Table15[[#This Row],[Retirement Amount (3'#'#'#'#'#)]])</f>
        <v>261032.15</v>
      </c>
      <c r="AT517" s="1525">
        <f>IF(Table15[[#This Row],[Approved Construction Cost]]=0,0,Table15[[#This Row],[Approved Construction Cost]]-Table15[[#This Row],[Construction Cost to Bill From]])</f>
        <v>7923.1199999999953</v>
      </c>
      <c r="AU517" s="1525">
        <f>IFERROR(Table15[[#This Row],[Difference in Construction Cost]]*Table15[[#This Row],[Rate]],Table15[[#This Row],[Difference in Construction Cost]]*0.085)</f>
        <v>554.61839999999972</v>
      </c>
      <c r="AV517" s="1525" t="s">
        <v>709</v>
      </c>
      <c r="AW517" s="1526"/>
      <c r="AX517" s="1525">
        <f>Table15[[#This Row],[Reconcile Amount]]</f>
        <v>554.61839999999972</v>
      </c>
      <c r="AY517" s="1518">
        <v>45008</v>
      </c>
      <c r="AZ517" s="333"/>
      <c r="BA517" s="1031" t="s">
        <v>4089</v>
      </c>
      <c r="BB517" s="644" t="s">
        <v>4090</v>
      </c>
      <c r="BC517" s="544" t="s">
        <v>709</v>
      </c>
      <c r="BD517" s="544" t="s">
        <v>709</v>
      </c>
      <c r="BE517" s="544" t="s">
        <v>4091</v>
      </c>
      <c r="BF517" s="544" t="s">
        <v>4092</v>
      </c>
      <c r="BG517" s="544" t="s">
        <v>709</v>
      </c>
      <c r="BH517" s="741"/>
      <c r="BI517" s="547" t="s">
        <v>709</v>
      </c>
      <c r="BJ517" s="547" t="s">
        <v>709</v>
      </c>
      <c r="BK517" s="547" t="s">
        <v>116</v>
      </c>
      <c r="BL517" s="547" t="s">
        <v>116</v>
      </c>
      <c r="BM517" s="547" t="s">
        <v>709</v>
      </c>
      <c r="BN517" s="547" t="s">
        <v>709</v>
      </c>
      <c r="BO517" s="547" t="s">
        <v>709</v>
      </c>
      <c r="BP517" s="547" t="s">
        <v>709</v>
      </c>
      <c r="BQ517" s="547">
        <v>1887</v>
      </c>
      <c r="BR517" s="547" t="s">
        <v>709</v>
      </c>
      <c r="BS517" s="547" t="s">
        <v>709</v>
      </c>
      <c r="BT517" s="547" t="s">
        <v>709</v>
      </c>
      <c r="BU517" s="547" t="s">
        <v>709</v>
      </c>
      <c r="BV517" s="547" t="s">
        <v>745</v>
      </c>
      <c r="BW517" s="547" t="s">
        <v>709</v>
      </c>
      <c r="BX517" s="547" t="s">
        <v>709</v>
      </c>
      <c r="BY517" s="547">
        <v>1</v>
      </c>
      <c r="BZ517" s="547" t="s">
        <v>709</v>
      </c>
      <c r="CA517" s="483"/>
      <c r="CB517" s="547">
        <v>515</v>
      </c>
      <c r="CC517" s="1481" t="b">
        <v>1</v>
      </c>
      <c r="CD517" t="str">
        <f>Table15[[#This Row],[Engineering Number]]&amp;Table15[[#This Row],[WO Number]]&amp;Table15[[#This Row],[Date Assigned to Designer]]&amp;Table15[[#This Row],[Date Completed]]</f>
        <v>NBA1000279616108414454044609</v>
      </c>
      <c r="CE517"/>
      <c r="CF517"/>
      <c r="CG517"/>
      <c r="CH517"/>
    </row>
    <row r="518" spans="1:86" customFormat="1" ht="15" customHeight="1" x14ac:dyDescent="0.25">
      <c r="A518">
        <v>2022</v>
      </c>
      <c r="B518" s="8" t="s">
        <v>1073</v>
      </c>
      <c r="C518" s="8" t="s">
        <v>4099</v>
      </c>
      <c r="D518" s="8" t="s">
        <v>4100</v>
      </c>
      <c r="E518" s="8" t="s">
        <v>61</v>
      </c>
      <c r="F518" s="8" t="s">
        <v>738</v>
      </c>
      <c r="G518" s="8" t="s">
        <v>35</v>
      </c>
      <c r="H518" s="8" t="s">
        <v>59</v>
      </c>
      <c r="I518" s="642">
        <v>44540</v>
      </c>
      <c r="J518" s="18">
        <v>44617</v>
      </c>
      <c r="K518" s="18">
        <v>44609</v>
      </c>
      <c r="L518" s="16">
        <f>IF(ISTEXT(Table15[[#This Row],[Engineering Approved Design Date]]),Table15[[#This Row],[Date Completed]]-Table15[[#This Row],[Date Assigned to Designer]],Table15[[#This Row],[Engineering Approved Design Date]]-Table15[[#This Row],[Date Completed]])</f>
        <v>8</v>
      </c>
      <c r="M518" s="642"/>
      <c r="N518" s="642" t="s">
        <v>120</v>
      </c>
      <c r="O518" s="1025">
        <f>Table15[[#This Row],[Date Completed]]</f>
        <v>44609</v>
      </c>
      <c r="P518" s="21" t="s">
        <v>739</v>
      </c>
      <c r="Q518" s="340">
        <f>R518*AA518</f>
        <v>3046.6632000000004</v>
      </c>
      <c r="R518" s="1026">
        <v>7.0000000000000007E-2</v>
      </c>
      <c r="S518" s="538" t="s">
        <v>709</v>
      </c>
      <c r="T518" s="538" t="s">
        <v>709</v>
      </c>
      <c r="U518" s="87" t="s">
        <v>709</v>
      </c>
      <c r="V518" s="857"/>
      <c r="W518" s="440"/>
      <c r="X518" s="551">
        <v>43523.76</v>
      </c>
      <c r="Y518" s="551"/>
      <c r="Z518" s="551"/>
      <c r="AA518" s="551">
        <f>Table15[[#This Row],[PCTS Investment Amount]]+Table15[[#This Row],[PCTS Retirement Amount]]</f>
        <v>43523.76</v>
      </c>
      <c r="AB518" s="341"/>
      <c r="AC518" s="568" t="s">
        <v>116</v>
      </c>
      <c r="AD518" s="1157" t="s">
        <v>116</v>
      </c>
      <c r="AE518" s="568"/>
      <c r="AF518" s="568"/>
      <c r="AG518" s="568"/>
      <c r="AH518" s="183"/>
      <c r="AI518" s="1036"/>
      <c r="AJ518" s="1037"/>
      <c r="AK518" s="1037"/>
      <c r="AL518" s="1038"/>
      <c r="AM518" s="542" t="s">
        <v>116</v>
      </c>
      <c r="AN518" s="1508">
        <v>44627</v>
      </c>
      <c r="AO518" s="925">
        <v>11039776</v>
      </c>
      <c r="AP518" s="926">
        <v>43523.76</v>
      </c>
      <c r="AQ518" s="926"/>
      <c r="AR518" s="926">
        <v>0</v>
      </c>
      <c r="AS518" s="926">
        <f>IF(Table15[[#This Row],[PCTS Approved]]="N",0,Table15[[#This Row],[Investment Amount (1'#'#'#'#'#)]]+Table15[[#This Row],[Retirement Amount (3'#'#'#'#'#)]])</f>
        <v>43523.76</v>
      </c>
      <c r="AT518" s="926">
        <f>IF(Table15[[#This Row],[Approved Construction Cost]]=0,0,Table15[[#This Row],[Approved Construction Cost]]-Table15[[#This Row],[Construction Cost to Bill From]])</f>
        <v>0</v>
      </c>
      <c r="AU518" s="926">
        <f>IFERROR(Table15[[#This Row],[Difference in Construction Cost]]*Table15[[#This Row],[Rate]],Table15[[#This Row],[Difference in Construction Cost]]*0.085)</f>
        <v>0</v>
      </c>
      <c r="AV518" s="926" t="s">
        <v>709</v>
      </c>
      <c r="AW518" s="927"/>
      <c r="AX518" s="926"/>
      <c r="AY518" s="636" t="s">
        <v>1935</v>
      </c>
      <c r="AZ518" s="1531"/>
      <c r="BA518" s="859" t="s">
        <v>4101</v>
      </c>
      <c r="BB518" s="644" t="s">
        <v>4102</v>
      </c>
      <c r="BC518" s="544" t="s">
        <v>709</v>
      </c>
      <c r="BD518" s="544" t="s">
        <v>709</v>
      </c>
      <c r="BE518" s="544" t="s">
        <v>4091</v>
      </c>
      <c r="BF518" s="544" t="s">
        <v>4092</v>
      </c>
      <c r="BG518" s="544" t="s">
        <v>709</v>
      </c>
      <c r="BH518" s="741"/>
      <c r="BI518" s="547" t="s">
        <v>709</v>
      </c>
      <c r="BJ518" s="547" t="s">
        <v>709</v>
      </c>
      <c r="BK518" s="547" t="s">
        <v>116</v>
      </c>
      <c r="BL518" s="547" t="s">
        <v>116</v>
      </c>
      <c r="BM518" s="547" t="s">
        <v>709</v>
      </c>
      <c r="BN518" s="547" t="s">
        <v>709</v>
      </c>
      <c r="BO518" s="547" t="s">
        <v>709</v>
      </c>
      <c r="BP518" s="547" t="s">
        <v>709</v>
      </c>
      <c r="BQ518" s="547" t="s">
        <v>709</v>
      </c>
      <c r="BR518" s="547" t="s">
        <v>709</v>
      </c>
      <c r="BS518" s="547" t="s">
        <v>709</v>
      </c>
      <c r="BT518" s="547" t="s">
        <v>745</v>
      </c>
      <c r="BU518" s="547" t="s">
        <v>709</v>
      </c>
      <c r="BV518" s="547" t="s">
        <v>745</v>
      </c>
      <c r="BW518" s="547" t="s">
        <v>709</v>
      </c>
      <c r="BX518" s="547" t="s">
        <v>745</v>
      </c>
      <c r="BY518" s="547">
        <v>1</v>
      </c>
      <c r="BZ518" s="547" t="s">
        <v>709</v>
      </c>
      <c r="CA518" s="483"/>
      <c r="CB518" s="547">
        <v>517</v>
      </c>
      <c r="CC518" s="1481" t="b">
        <v>1</v>
      </c>
      <c r="CD518" t="str">
        <f>Table15[[#This Row],[Engineering Number]]&amp;Table15[[#This Row],[WO Number]]&amp;Table15[[#This Row],[Date Assigned to Designer]]&amp;Table15[[#This Row],[Date Completed]]</f>
        <v>NBA10002796-116108554454044609</v>
      </c>
    </row>
    <row r="519" spans="1:86" customFormat="1" ht="15" customHeight="1" x14ac:dyDescent="0.25">
      <c r="A519">
        <v>2022</v>
      </c>
      <c r="B519" s="8" t="s">
        <v>1073</v>
      </c>
      <c r="C519" s="8" t="s">
        <v>4094</v>
      </c>
      <c r="D519" s="8" t="s">
        <v>4095</v>
      </c>
      <c r="E519" s="8" t="s">
        <v>61</v>
      </c>
      <c r="F519" s="8" t="s">
        <v>738</v>
      </c>
      <c r="G519" s="8" t="s">
        <v>35</v>
      </c>
      <c r="H519" s="8" t="s">
        <v>59</v>
      </c>
      <c r="I519" s="642">
        <v>44540</v>
      </c>
      <c r="J519" s="18">
        <v>44617</v>
      </c>
      <c r="K519" s="18">
        <v>44609</v>
      </c>
      <c r="L519" s="16">
        <f>IF(ISTEXT(Table15[[#This Row],[Engineering Approved Design Date]]),Table15[[#This Row],[Date Completed]]-Table15[[#This Row],[Date Assigned to Designer]],Table15[[#This Row],[Engineering Approved Design Date]]-Table15[[#This Row],[Date Completed]])</f>
        <v>8</v>
      </c>
      <c r="M519" s="642"/>
      <c r="N519" s="642" t="s">
        <v>120</v>
      </c>
      <c r="O519" s="1025">
        <f>Table15[[#This Row],[Date Completed]]</f>
        <v>44609</v>
      </c>
      <c r="P519" s="21" t="s">
        <v>739</v>
      </c>
      <c r="Q519" s="340">
        <f>R519*AA519</f>
        <v>4338.8933000000006</v>
      </c>
      <c r="R519" s="1026">
        <v>7.0000000000000007E-2</v>
      </c>
      <c r="S519" s="538" t="s">
        <v>709</v>
      </c>
      <c r="T519" s="538" t="s">
        <v>709</v>
      </c>
      <c r="U519" s="87" t="s">
        <v>709</v>
      </c>
      <c r="V519" s="857"/>
      <c r="W519" s="440"/>
      <c r="X519" s="551">
        <v>61984.19</v>
      </c>
      <c r="Y519" s="551"/>
      <c r="Z519" s="551"/>
      <c r="AA519" s="551">
        <f>Table15[[#This Row],[PCTS Investment Amount]]+Table15[[#This Row],[PCTS Retirement Amount]]</f>
        <v>61984.19</v>
      </c>
      <c r="AB519" s="341"/>
      <c r="AC519" s="568" t="s">
        <v>709</v>
      </c>
      <c r="AD519" s="1157" t="s">
        <v>116</v>
      </c>
      <c r="AE519" s="568"/>
      <c r="AF519" s="568"/>
      <c r="AG519" s="568"/>
      <c r="AH519" s="183"/>
      <c r="AI519" s="1036"/>
      <c r="AJ519" s="1037"/>
      <c r="AK519" s="1037"/>
      <c r="AL519" s="1038"/>
      <c r="AM519" s="1522" t="s">
        <v>116</v>
      </c>
      <c r="AN519" s="1523">
        <v>44627</v>
      </c>
      <c r="AO519" s="1524">
        <v>11039323</v>
      </c>
      <c r="AP519" s="1525">
        <v>75496.66</v>
      </c>
      <c r="AQ519" s="1525"/>
      <c r="AR519" s="1525">
        <v>0</v>
      </c>
      <c r="AS519" s="1525">
        <f>IF(Table15[[#This Row],[PCTS Approved]]="N",0,Table15[[#This Row],[Investment Amount (1'#'#'#'#'#)]]+Table15[[#This Row],[Retirement Amount (3'#'#'#'#'#)]])</f>
        <v>75496.66</v>
      </c>
      <c r="AT519" s="1525">
        <f>IF(Table15[[#This Row],[Approved Construction Cost]]=0,0,Table15[[#This Row],[Approved Construction Cost]]-Table15[[#This Row],[Construction Cost to Bill From]])</f>
        <v>13512.470000000001</v>
      </c>
      <c r="AU519" s="1525">
        <f>IFERROR(Table15[[#This Row],[Difference in Construction Cost]]*Table15[[#This Row],[Rate]],Table15[[#This Row],[Difference in Construction Cost]]*0.085)</f>
        <v>945.87290000000019</v>
      </c>
      <c r="AV519" s="1525" t="s">
        <v>709</v>
      </c>
      <c r="AW519" s="1526" t="s">
        <v>2219</v>
      </c>
      <c r="AX519" s="1525">
        <f>Table15[[#This Row],[Reconcile Amount]]</f>
        <v>945.87290000000019</v>
      </c>
      <c r="AY519" s="1518">
        <v>45008</v>
      </c>
      <c r="AZ519" s="333"/>
      <c r="BA519" s="1031" t="s">
        <v>4096</v>
      </c>
      <c r="BB519" s="644" t="s">
        <v>4097</v>
      </c>
      <c r="BC519" s="544" t="s">
        <v>709</v>
      </c>
      <c r="BD519" s="544" t="s">
        <v>709</v>
      </c>
      <c r="BE519" s="544" t="s">
        <v>4091</v>
      </c>
      <c r="BF519" s="544" t="s">
        <v>4092</v>
      </c>
      <c r="BG519" s="544" t="s">
        <v>709</v>
      </c>
      <c r="BH519" s="741"/>
      <c r="BI519" s="547" t="s">
        <v>709</v>
      </c>
      <c r="BJ519" s="547" t="s">
        <v>709</v>
      </c>
      <c r="BK519" s="547" t="s">
        <v>116</v>
      </c>
      <c r="BL519" s="547" t="s">
        <v>116</v>
      </c>
      <c r="BM519" s="547" t="s">
        <v>709</v>
      </c>
      <c r="BN519" s="547" t="s">
        <v>709</v>
      </c>
      <c r="BO519" s="547" t="s">
        <v>709</v>
      </c>
      <c r="BP519" s="547" t="s">
        <v>709</v>
      </c>
      <c r="BQ519" s="547" t="s">
        <v>709</v>
      </c>
      <c r="BR519" s="547">
        <v>627</v>
      </c>
      <c r="BS519" s="547">
        <v>5</v>
      </c>
      <c r="BT519" s="547" t="s">
        <v>745</v>
      </c>
      <c r="BU519" s="547" t="s">
        <v>709</v>
      </c>
      <c r="BV519" s="547" t="s">
        <v>745</v>
      </c>
      <c r="BW519" s="547" t="s">
        <v>709</v>
      </c>
      <c r="BX519" s="547" t="s">
        <v>745</v>
      </c>
      <c r="BY519" s="547">
        <v>1</v>
      </c>
      <c r="BZ519" s="547" t="s">
        <v>709</v>
      </c>
      <c r="CA519" s="483"/>
      <c r="CB519" s="547">
        <v>516</v>
      </c>
      <c r="CC519" s="1481" t="b">
        <v>1</v>
      </c>
      <c r="CD519" t="str">
        <f>Table15[[#This Row],[Engineering Number]]&amp;Table15[[#This Row],[WO Number]]&amp;Table15[[#This Row],[Date Assigned to Designer]]&amp;Table15[[#This Row],[Date Completed]]</f>
        <v>NBA10002796-216108544454044609</v>
      </c>
    </row>
    <row r="520" spans="1:86" customFormat="1" ht="15" customHeight="1" x14ac:dyDescent="0.25">
      <c r="A520">
        <v>2022</v>
      </c>
      <c r="B520" s="8" t="s">
        <v>4</v>
      </c>
      <c r="C520" s="8" t="s">
        <v>4104</v>
      </c>
      <c r="D520" s="8" t="s">
        <v>4105</v>
      </c>
      <c r="E520" s="8" t="s">
        <v>232</v>
      </c>
      <c r="F520" s="8" t="s">
        <v>919</v>
      </c>
      <c r="G520" s="8" t="s">
        <v>22</v>
      </c>
      <c r="H520" s="8" t="s">
        <v>59</v>
      </c>
      <c r="I520" s="642">
        <v>44544</v>
      </c>
      <c r="J520" s="18">
        <v>44615</v>
      </c>
      <c r="K520" s="18">
        <v>44609</v>
      </c>
      <c r="L520" s="16">
        <f>IF(ISTEXT(Table15[[#This Row],[Engineering Approved Design Date]]),Table15[[#This Row],[Date Completed]]-Table15[[#This Row],[Date Assigned to Designer]],Table15[[#This Row],[Engineering Approved Design Date]]-Table15[[#This Row],[Date Completed]])</f>
        <v>6</v>
      </c>
      <c r="M520" s="642"/>
      <c r="N520" s="642" t="s">
        <v>120</v>
      </c>
      <c r="O520" s="1025">
        <f>Table15[[#This Row],[Date Completed]]</f>
        <v>44609</v>
      </c>
      <c r="P520" s="21" t="s">
        <v>739</v>
      </c>
      <c r="Q520" s="340">
        <f>R520*AA520</f>
        <v>18085.011999999999</v>
      </c>
      <c r="R520" s="1026">
        <v>0.1</v>
      </c>
      <c r="S520" s="538" t="s">
        <v>709</v>
      </c>
      <c r="T520" s="538" t="s">
        <v>709</v>
      </c>
      <c r="U520" s="87" t="s">
        <v>709</v>
      </c>
      <c r="V520" s="857">
        <v>822</v>
      </c>
      <c r="W520" s="440"/>
      <c r="X520" s="551">
        <v>168569.3</v>
      </c>
      <c r="Y520" s="551"/>
      <c r="Z520" s="551">
        <v>12280.82</v>
      </c>
      <c r="AA520" s="551">
        <f>Table15[[#This Row],[PCTS Investment Amount]]+Table15[[#This Row],[PCTS Retirement Amount]]</f>
        <v>180850.12</v>
      </c>
      <c r="AB520" s="341"/>
      <c r="AC520" s="568" t="s">
        <v>709</v>
      </c>
      <c r="AD520" s="1157"/>
      <c r="AE520" s="579"/>
      <c r="AF520" s="579"/>
      <c r="AG520" s="579"/>
      <c r="AH520" s="553"/>
      <c r="AI520" s="1036"/>
      <c r="AJ520" s="1037"/>
      <c r="AK520" s="1037"/>
      <c r="AL520" s="1038"/>
      <c r="AM520" s="542" t="s">
        <v>116</v>
      </c>
      <c r="AN520" s="1508">
        <v>44630</v>
      </c>
      <c r="AO520" s="925">
        <v>11039418</v>
      </c>
      <c r="AP520" s="926">
        <v>168569.3</v>
      </c>
      <c r="AQ520" s="926"/>
      <c r="AR520" s="926">
        <v>12280.82</v>
      </c>
      <c r="AS520" s="926">
        <f>IF(Table15[[#This Row],[PCTS Approved]]="N",0,Table15[[#This Row],[Investment Amount (1'#'#'#'#'#)]]+Table15[[#This Row],[Retirement Amount (3'#'#'#'#'#)]])</f>
        <v>180850.12</v>
      </c>
      <c r="AT520" s="926">
        <f>IF(Table15[[#This Row],[Approved Construction Cost]]=0,0,Table15[[#This Row],[Approved Construction Cost]]-Table15[[#This Row],[Construction Cost to Bill From]])</f>
        <v>0</v>
      </c>
      <c r="AU520" s="926">
        <f>IFERROR(Table15[[#This Row],[Difference in Construction Cost]]*Table15[[#This Row],[Rate]],Table15[[#This Row],[Difference in Construction Cost]]*0.085)</f>
        <v>0</v>
      </c>
      <c r="AV520" s="926" t="s">
        <v>709</v>
      </c>
      <c r="AW520" s="927"/>
      <c r="AX520" s="926"/>
      <c r="AY520" s="636" t="s">
        <v>1935</v>
      </c>
      <c r="AZ520" s="1531"/>
      <c r="BA520" s="859" t="s">
        <v>4106</v>
      </c>
      <c r="BB520" s="644" t="s">
        <v>4107</v>
      </c>
      <c r="BC520" s="544" t="s">
        <v>709</v>
      </c>
      <c r="BD520" s="544" t="s">
        <v>709</v>
      </c>
      <c r="BE520" s="544" t="s">
        <v>595</v>
      </c>
      <c r="BF520" s="544" t="s">
        <v>709</v>
      </c>
      <c r="BG520" s="544" t="s">
        <v>709</v>
      </c>
      <c r="BH520" s="741"/>
      <c r="BI520" s="547" t="s">
        <v>709</v>
      </c>
      <c r="BJ520" s="547" t="s">
        <v>709</v>
      </c>
      <c r="BK520" s="547" t="s">
        <v>709</v>
      </c>
      <c r="BL520" s="547" t="s">
        <v>116</v>
      </c>
      <c r="BM520" s="547" t="s">
        <v>709</v>
      </c>
      <c r="BN520" s="547" t="s">
        <v>709</v>
      </c>
      <c r="BO520" s="547" t="s">
        <v>709</v>
      </c>
      <c r="BP520" s="547" t="s">
        <v>709</v>
      </c>
      <c r="BQ520" s="547" t="s">
        <v>709</v>
      </c>
      <c r="BR520" s="547" t="s">
        <v>709</v>
      </c>
      <c r="BS520" s="547">
        <v>822</v>
      </c>
      <c r="BT520" s="547" t="s">
        <v>745</v>
      </c>
      <c r="BU520" s="547" t="s">
        <v>709</v>
      </c>
      <c r="BV520" s="547" t="s">
        <v>745</v>
      </c>
      <c r="BW520" s="547" t="s">
        <v>709</v>
      </c>
      <c r="BX520" s="547" t="s">
        <v>745</v>
      </c>
      <c r="BY520" s="547" t="s">
        <v>745</v>
      </c>
      <c r="BZ520" s="547" t="s">
        <v>709</v>
      </c>
      <c r="CA520" s="483"/>
      <c r="CB520" s="547">
        <v>518</v>
      </c>
      <c r="CC520" s="1481" t="b">
        <v>1</v>
      </c>
      <c r="CD520" t="str">
        <f>Table15[[#This Row],[Engineering Number]]&amp;Table15[[#This Row],[WO Number]]&amp;Table15[[#This Row],[Date Assigned to Designer]]&amp;Table15[[#This Row],[Date Completed]]</f>
        <v>SC1866714108854454444609</v>
      </c>
    </row>
    <row r="521" spans="1:86" customFormat="1" ht="15" customHeight="1" x14ac:dyDescent="0.25">
      <c r="A521">
        <v>2022</v>
      </c>
      <c r="B521" s="8" t="s">
        <v>4</v>
      </c>
      <c r="C521" s="8" t="s">
        <v>4104</v>
      </c>
      <c r="D521" s="8" t="s">
        <v>4105</v>
      </c>
      <c r="E521" s="8" t="s">
        <v>232</v>
      </c>
      <c r="F521" s="8" t="s">
        <v>919</v>
      </c>
      <c r="G521" s="8" t="s">
        <v>22</v>
      </c>
      <c r="H521" s="8" t="s">
        <v>4109</v>
      </c>
      <c r="I521" s="642">
        <v>44544</v>
      </c>
      <c r="J521" s="18" t="s">
        <v>4110</v>
      </c>
      <c r="K521" s="18">
        <v>44609</v>
      </c>
      <c r="L521" s="16">
        <f>IF(ISTEXT(Table15[[#This Row],[Engineering Approved Design Date]]),Table15[[#This Row],[Date Completed]]-Table15[[#This Row],[Date Assigned to Designer]],Table15[[#This Row],[Engineering Approved Design Date]]-Table15[[#This Row],[Date Completed]])</f>
        <v>65</v>
      </c>
      <c r="M521" s="16" t="s">
        <v>4111</v>
      </c>
      <c r="N521" s="642" t="s">
        <v>120</v>
      </c>
      <c r="O521" s="1025">
        <v>44621</v>
      </c>
      <c r="P521" s="21" t="s">
        <v>739</v>
      </c>
      <c r="Q521" s="340">
        <f>Table15[[#This Row],[Shactee Effort]]+Table15[[#This Row],[KH Hourly Effort]]</f>
        <v>2070.75</v>
      </c>
      <c r="R521" s="1026" t="s">
        <v>1922</v>
      </c>
      <c r="S521" s="538">
        <f>68.25+365</f>
        <v>433.25</v>
      </c>
      <c r="T521" s="538" t="s">
        <v>709</v>
      </c>
      <c r="U521" s="87">
        <v>1637.5</v>
      </c>
      <c r="V521" s="857"/>
      <c r="W521" s="440"/>
      <c r="X521" s="551"/>
      <c r="Y521" s="551"/>
      <c r="Z521" s="551"/>
      <c r="AA521" s="551"/>
      <c r="AB521" s="341"/>
      <c r="AC521" s="576" t="s">
        <v>709</v>
      </c>
      <c r="AD521" s="1157"/>
      <c r="AE521" s="579"/>
      <c r="AF521" s="579"/>
      <c r="AG521" s="579"/>
      <c r="AH521" s="553"/>
      <c r="AI521" s="1036"/>
      <c r="AJ521" s="1037"/>
      <c r="AK521" s="1037"/>
      <c r="AL521" s="1038"/>
      <c r="AM521" s="542" t="s">
        <v>709</v>
      </c>
      <c r="AN521" s="924"/>
      <c r="AO521" s="925"/>
      <c r="AP521" s="926"/>
      <c r="AQ521" s="926"/>
      <c r="AR521" s="926"/>
      <c r="AS521" s="926"/>
      <c r="AT521" s="926"/>
      <c r="AU521" s="926"/>
      <c r="AV521" s="926"/>
      <c r="AW521" s="927"/>
      <c r="AX521" s="926"/>
      <c r="AY521" s="1538" t="s">
        <v>29</v>
      </c>
      <c r="AZ521" s="1530"/>
      <c r="BA521" s="1031" t="s">
        <v>4106</v>
      </c>
      <c r="BB521" s="644" t="s">
        <v>4107</v>
      </c>
      <c r="BC521" s="544" t="s">
        <v>709</v>
      </c>
      <c r="BD521" s="544" t="s">
        <v>709</v>
      </c>
      <c r="BE521" s="544" t="s">
        <v>595</v>
      </c>
      <c r="BF521" s="544" t="s">
        <v>709</v>
      </c>
      <c r="BG521" s="544" t="s">
        <v>709</v>
      </c>
      <c r="BH521" s="741"/>
      <c r="BI521" s="1032"/>
      <c r="BJ521" s="1032"/>
      <c r="BK521" s="1032"/>
      <c r="BL521" s="1032"/>
      <c r="BM521" s="1032"/>
      <c r="BN521" s="1032"/>
      <c r="BO521" s="1032"/>
      <c r="BP521" s="1032"/>
      <c r="BQ521" s="1032"/>
      <c r="BR521" s="1032"/>
      <c r="BS521" s="1032"/>
      <c r="BT521" s="1032"/>
      <c r="BU521" s="1032"/>
      <c r="BV521" s="1032"/>
      <c r="BW521" s="1032"/>
      <c r="BX521" s="1032"/>
      <c r="BY521" s="1032"/>
      <c r="BZ521" s="1032"/>
      <c r="CA521" s="485"/>
      <c r="CB521" s="547">
        <v>519</v>
      </c>
      <c r="CC521" s="1481" t="b">
        <v>1</v>
      </c>
      <c r="CD521" t="str">
        <f>Table15[[#This Row],[Engineering Number]]&amp;Table15[[#This Row],[WO Number]]&amp;Table15[[#This Row],[Date Assigned to Designer]]&amp;Table15[[#This Row],[Date Completed]]</f>
        <v>SC1866714108854454444609</v>
      </c>
    </row>
    <row r="522" spans="1:86" customFormat="1" ht="15" customHeight="1" x14ac:dyDescent="0.25">
      <c r="A522">
        <v>2022</v>
      </c>
      <c r="B522" s="8" t="s">
        <v>2989</v>
      </c>
      <c r="C522" s="8" t="s">
        <v>4117</v>
      </c>
      <c r="D522" s="8" t="s">
        <v>4118</v>
      </c>
      <c r="E522" s="8" t="s">
        <v>111</v>
      </c>
      <c r="F522" s="8" t="s">
        <v>752</v>
      </c>
      <c r="G522" s="8" t="s">
        <v>23</v>
      </c>
      <c r="H522" s="8" t="s">
        <v>59</v>
      </c>
      <c r="I522" s="642">
        <v>44551</v>
      </c>
      <c r="J522" s="18">
        <v>44641</v>
      </c>
      <c r="K522" s="18">
        <v>44610</v>
      </c>
      <c r="L522" s="16">
        <f>IF(ISTEXT(Table15[[#This Row],[Engineering Approved Design Date]]),Table15[[#This Row],[Date Completed]]-Table15[[#This Row],[Date Assigned to Designer]],Table15[[#This Row],[Engineering Approved Design Date]]-Table15[[#This Row],[Date Completed]])</f>
        <v>31</v>
      </c>
      <c r="M522" s="642"/>
      <c r="N522" s="642" t="s">
        <v>120</v>
      </c>
      <c r="O522" s="1025">
        <f>Table15[[#This Row],[Date Completed]]</f>
        <v>44610</v>
      </c>
      <c r="P522" s="21" t="s">
        <v>739</v>
      </c>
      <c r="Q522" s="340">
        <f>R522*AA522</f>
        <v>10048.872599999999</v>
      </c>
      <c r="R522" s="1026">
        <v>0.09</v>
      </c>
      <c r="S522" s="538" t="s">
        <v>709</v>
      </c>
      <c r="T522" s="538" t="s">
        <v>709</v>
      </c>
      <c r="U522" s="87" t="s">
        <v>709</v>
      </c>
      <c r="V522" s="857"/>
      <c r="W522" s="440"/>
      <c r="X522" s="551"/>
      <c r="Y522" s="551"/>
      <c r="Z522" s="551">
        <v>111654.14</v>
      </c>
      <c r="AA522" s="551">
        <f>Table15[[#This Row],[PCTS Investment Amount]]+Table15[[#This Row],[PCTS Retirement Amount]]</f>
        <v>111654.14</v>
      </c>
      <c r="AB522" s="341"/>
      <c r="AC522" s="568" t="s">
        <v>709</v>
      </c>
      <c r="AD522" s="1157"/>
      <c r="AE522" s="579"/>
      <c r="AF522" s="579"/>
      <c r="AG522" s="579"/>
      <c r="AH522" s="553"/>
      <c r="AI522" s="1036"/>
      <c r="AJ522" s="1037"/>
      <c r="AK522" s="1037"/>
      <c r="AL522" s="1038"/>
      <c r="AM522" s="1522" t="s">
        <v>116</v>
      </c>
      <c r="AN522" s="1523">
        <v>44740</v>
      </c>
      <c r="AO522" s="1524">
        <v>11041935</v>
      </c>
      <c r="AP522" s="1525">
        <v>0</v>
      </c>
      <c r="AQ522" s="1525">
        <v>111935.14</v>
      </c>
      <c r="AR522" s="1525">
        <v>111935.14</v>
      </c>
      <c r="AS522" s="1525">
        <f>IF(Table15[[#This Row],[PCTS Approved]]="N",0,Table15[[#This Row],[Investment Amount (1'#'#'#'#'#)]]+Table15[[#This Row],[Retirement Amount (3'#'#'#'#'#)]])</f>
        <v>111935.14</v>
      </c>
      <c r="AT522" s="1525">
        <f>IF(Table15[[#This Row],[Approved Construction Cost]]=0,0,Table15[[#This Row],[Approved Construction Cost]]-Table15[[#This Row],[Construction Cost to Bill From]])</f>
        <v>281</v>
      </c>
      <c r="AU522" s="1525">
        <f>IFERROR(Table15[[#This Row],[Difference in Construction Cost]]*Table15[[#This Row],[Rate]],Table15[[#This Row],[Difference in Construction Cost]]*0.085)</f>
        <v>25.29</v>
      </c>
      <c r="AV522" s="1525" t="s">
        <v>709</v>
      </c>
      <c r="AW522" s="1526"/>
      <c r="AX522" s="1525">
        <f>Table15[[#This Row],[Reconcile Amount]]</f>
        <v>25.29</v>
      </c>
      <c r="AY522" s="1518">
        <v>45008</v>
      </c>
      <c r="AZ522" s="333"/>
      <c r="BA522" s="1031" t="s">
        <v>4119</v>
      </c>
      <c r="BB522" s="644" t="s">
        <v>4120</v>
      </c>
      <c r="BC522" s="544" t="s">
        <v>116</v>
      </c>
      <c r="BD522" s="544" t="s">
        <v>1626</v>
      </c>
      <c r="BE522" s="544" t="s">
        <v>709</v>
      </c>
      <c r="BF522" s="544" t="s">
        <v>4121</v>
      </c>
      <c r="BG522" s="544" t="s">
        <v>709</v>
      </c>
      <c r="BH522" s="741"/>
      <c r="BI522" s="547" t="s">
        <v>709</v>
      </c>
      <c r="BJ522" s="547" t="s">
        <v>709</v>
      </c>
      <c r="BK522" s="547" t="s">
        <v>709</v>
      </c>
      <c r="BL522" s="547" t="s">
        <v>709</v>
      </c>
      <c r="BM522" s="547" t="s">
        <v>709</v>
      </c>
      <c r="BN522" s="547" t="s">
        <v>709</v>
      </c>
      <c r="BO522" s="547" t="s">
        <v>709</v>
      </c>
      <c r="BP522" s="547" t="s">
        <v>709</v>
      </c>
      <c r="BQ522" s="547" t="s">
        <v>709</v>
      </c>
      <c r="BR522" s="547" t="s">
        <v>709</v>
      </c>
      <c r="BS522" s="547" t="s">
        <v>709</v>
      </c>
      <c r="BT522" s="547" t="s">
        <v>745</v>
      </c>
      <c r="BU522" s="547" t="s">
        <v>709</v>
      </c>
      <c r="BV522" s="547">
        <v>4</v>
      </c>
      <c r="BW522" s="547" t="s">
        <v>709</v>
      </c>
      <c r="BX522" s="547" t="s">
        <v>745</v>
      </c>
      <c r="BY522" s="547" t="s">
        <v>745</v>
      </c>
      <c r="BZ522" s="547" t="s">
        <v>709</v>
      </c>
      <c r="CA522" s="483" t="s">
        <v>2</v>
      </c>
      <c r="CB522" s="547">
        <v>520</v>
      </c>
      <c r="CC522" s="1481" t="b">
        <v>1</v>
      </c>
      <c r="CD522" t="str">
        <f>Table15[[#This Row],[Engineering Number]]&amp;Table15[[#This Row],[WO Number]]&amp;Table15[[#This Row],[Date Assigned to Designer]]&amp;Table15[[#This Row],[Date Completed]]</f>
        <v>MR182732108724455144610</v>
      </c>
    </row>
    <row r="523" spans="1:86" customFormat="1" ht="15" customHeight="1" x14ac:dyDescent="0.25">
      <c r="A523">
        <v>2022</v>
      </c>
      <c r="B523" s="8" t="s">
        <v>730</v>
      </c>
      <c r="C523" s="8" t="s">
        <v>4112</v>
      </c>
      <c r="D523" s="8" t="s">
        <v>4113</v>
      </c>
      <c r="E523" s="8" t="s">
        <v>2013</v>
      </c>
      <c r="F523" s="8" t="s">
        <v>747</v>
      </c>
      <c r="G523" s="8" t="s">
        <v>347</v>
      </c>
      <c r="H523" s="8" t="s">
        <v>59</v>
      </c>
      <c r="I523" s="642">
        <v>44418</v>
      </c>
      <c r="J523" s="18">
        <v>44610</v>
      </c>
      <c r="K523" s="18">
        <v>44610</v>
      </c>
      <c r="L523" s="16">
        <f>IF(ISTEXT(Table15[[#This Row],[Engineering Approved Design Date]]),Table15[[#This Row],[Date Completed]]-Table15[[#This Row],[Date Assigned to Designer]],Table15[[#This Row],[Engineering Approved Design Date]]-Table15[[#This Row],[Date Completed]])</f>
        <v>0</v>
      </c>
      <c r="M523" s="642"/>
      <c r="N523" s="642" t="s">
        <v>120</v>
      </c>
      <c r="O523" s="1025">
        <f>Table15[[#This Row],[Date Completed]]</f>
        <v>44610</v>
      </c>
      <c r="P523" s="21" t="s">
        <v>120</v>
      </c>
      <c r="Q523" s="340">
        <f>(Table15[[#This Row],[Construction Cost to Bill From]]*0.085)+5250</f>
        <v>21167.893900000003</v>
      </c>
      <c r="R523" s="1026" t="s">
        <v>794</v>
      </c>
      <c r="S523" s="538" t="s">
        <v>709</v>
      </c>
      <c r="T523" s="538" t="s">
        <v>709</v>
      </c>
      <c r="U523" s="87" t="s">
        <v>709</v>
      </c>
      <c r="V523" s="857"/>
      <c r="W523" s="440"/>
      <c r="X523" s="551">
        <v>150208.16</v>
      </c>
      <c r="Y523" s="551"/>
      <c r="Z523" s="551">
        <v>37061.18</v>
      </c>
      <c r="AA523" s="551">
        <f>Table15[[#This Row],[PCTS Investment Amount]]+Table15[[#This Row],[PCTS Retirement Amount]]</f>
        <v>187269.34</v>
      </c>
      <c r="AB523" s="341"/>
      <c r="AC523" s="568" t="s">
        <v>1177</v>
      </c>
      <c r="AD523" s="1157"/>
      <c r="AE523" s="579"/>
      <c r="AF523" s="579"/>
      <c r="AG523" s="579"/>
      <c r="AH523" s="553"/>
      <c r="AI523" s="1036"/>
      <c r="AJ523" s="1037"/>
      <c r="AK523" s="1037"/>
      <c r="AL523" s="1038"/>
      <c r="AM523" s="1522" t="s">
        <v>116</v>
      </c>
      <c r="AN523" s="1523">
        <v>44753</v>
      </c>
      <c r="AO523" s="1524">
        <v>11037891</v>
      </c>
      <c r="AP523" s="1525">
        <v>150571.42000000001</v>
      </c>
      <c r="AQ523" s="1525"/>
      <c r="AR523" s="1525">
        <v>37062.269999999997</v>
      </c>
      <c r="AS523" s="1525">
        <f>IF(Table15[[#This Row],[PCTS Approved]]="N",0,Table15[[#This Row],[Investment Amount (1'#'#'#'#'#)]]+Table15[[#This Row],[Retirement Amount (3'#'#'#'#'#)]])</f>
        <v>187633.69</v>
      </c>
      <c r="AT523" s="1525">
        <f>IF(Table15[[#This Row],[Approved Construction Cost]]=0,0,Table15[[#This Row],[Approved Construction Cost]]-Table15[[#This Row],[Construction Cost to Bill From]])</f>
        <v>364.35000000000582</v>
      </c>
      <c r="AU523" s="1525">
        <f>IFERROR(Table15[[#This Row],[Difference in Construction Cost]]*Table15[[#This Row],[Rate]],Table15[[#This Row],[Difference in Construction Cost]]*0.085)</f>
        <v>30.969750000000499</v>
      </c>
      <c r="AV523" s="1525" t="s">
        <v>709</v>
      </c>
      <c r="AW523" s="1526"/>
      <c r="AX523" s="1525">
        <f>Table15[[#This Row],[Reconcile Amount]]</f>
        <v>30.969750000000499</v>
      </c>
      <c r="AY523" s="1518">
        <v>45008</v>
      </c>
      <c r="AZ523" s="333"/>
      <c r="BA523" s="1031" t="s">
        <v>4114</v>
      </c>
      <c r="BB523" s="644" t="s">
        <v>4115</v>
      </c>
      <c r="BC523" s="544" t="s">
        <v>709</v>
      </c>
      <c r="BD523" s="544" t="s">
        <v>815</v>
      </c>
      <c r="BE523" s="544" t="s">
        <v>709</v>
      </c>
      <c r="BF523" s="544" t="s">
        <v>709</v>
      </c>
      <c r="BG523" s="544" t="s">
        <v>2837</v>
      </c>
      <c r="BH523" s="741"/>
      <c r="BI523" s="547" t="s">
        <v>709</v>
      </c>
      <c r="BJ523" s="547" t="s">
        <v>116</v>
      </c>
      <c r="BK523" s="547" t="s">
        <v>709</v>
      </c>
      <c r="BL523" s="547" t="s">
        <v>116</v>
      </c>
      <c r="BM523" s="547" t="s">
        <v>709</v>
      </c>
      <c r="BN523" s="547" t="s">
        <v>709</v>
      </c>
      <c r="BO523" s="547" t="s">
        <v>709</v>
      </c>
      <c r="BP523" s="547" t="s">
        <v>709</v>
      </c>
      <c r="BQ523" s="547" t="s">
        <v>709</v>
      </c>
      <c r="BR523" s="547" t="s">
        <v>709</v>
      </c>
      <c r="BS523" s="547">
        <v>62</v>
      </c>
      <c r="BT523" s="547" t="s">
        <v>745</v>
      </c>
      <c r="BU523" s="547">
        <v>1</v>
      </c>
      <c r="BV523" s="547" t="s">
        <v>709</v>
      </c>
      <c r="BW523" s="547" t="s">
        <v>709</v>
      </c>
      <c r="BX523" s="547">
        <v>1</v>
      </c>
      <c r="BY523" s="547" t="s">
        <v>745</v>
      </c>
      <c r="BZ523" s="547" t="s">
        <v>709</v>
      </c>
      <c r="CA523" s="483" t="s">
        <v>730</v>
      </c>
      <c r="CB523" s="547">
        <v>521</v>
      </c>
      <c r="CC523" s="1481" t="b">
        <v>1</v>
      </c>
      <c r="CD523" t="str">
        <f>Table15[[#This Row],[Engineering Number]]&amp;Table15[[#This Row],[WO Number]]&amp;Table15[[#This Row],[Date Assigned to Designer]]&amp;Table15[[#This Row],[Date Completed]]</f>
        <v>RS89810105064441844610</v>
      </c>
    </row>
    <row r="524" spans="1:86" customFormat="1" ht="15" customHeight="1" x14ac:dyDescent="0.25">
      <c r="A524">
        <v>2020</v>
      </c>
      <c r="B524" s="8" t="s">
        <v>769</v>
      </c>
      <c r="C524" s="8" t="s">
        <v>128</v>
      </c>
      <c r="D524" s="8" t="s">
        <v>2317</v>
      </c>
      <c r="E524" s="8" t="s">
        <v>129</v>
      </c>
      <c r="F524" s="8" t="s">
        <v>752</v>
      </c>
      <c r="G524" s="8" t="s">
        <v>1882</v>
      </c>
      <c r="H524" s="8" t="s">
        <v>3178</v>
      </c>
      <c r="I524" s="642">
        <v>44607</v>
      </c>
      <c r="J524" s="18" t="s">
        <v>2052</v>
      </c>
      <c r="K524" s="97">
        <v>44614</v>
      </c>
      <c r="L524" s="16">
        <f>IF(ISTEXT(Table15[[#This Row],[Engineering Approved Design Date]]),Table15[[#This Row],[Date Completed]]-Table15[[#This Row],[Date Assigned to Designer]],Table15[[#This Row],[Engineering Approved Design Date]]-Table15[[#This Row],[Date Completed]])</f>
        <v>7</v>
      </c>
      <c r="M524" t="s">
        <v>4123</v>
      </c>
      <c r="N524" s="642" t="s">
        <v>120</v>
      </c>
      <c r="O524" s="1025">
        <v>44621</v>
      </c>
      <c r="P524" s="21" t="s">
        <v>120</v>
      </c>
      <c r="Q524" s="340">
        <f>Table15[[#This Row],[KH Hourly Effort]]</f>
        <v>6700</v>
      </c>
      <c r="R524" s="1026" t="s">
        <v>1922</v>
      </c>
      <c r="S524" s="538" t="s">
        <v>709</v>
      </c>
      <c r="T524" s="538" t="s">
        <v>709</v>
      </c>
      <c r="U524" s="87">
        <f>5275+1425</f>
        <v>6700</v>
      </c>
      <c r="V524" s="858"/>
      <c r="W524" s="437"/>
      <c r="X524" s="538"/>
      <c r="Y524" s="551"/>
      <c r="Z524" s="538"/>
      <c r="AA524" s="538"/>
      <c r="AB524" s="21"/>
      <c r="AC524" s="569"/>
      <c r="AD524" s="1149" t="s">
        <v>709</v>
      </c>
      <c r="AE524" s="580"/>
      <c r="AF524" s="580"/>
      <c r="AG524" s="580"/>
      <c r="AH524" s="542"/>
      <c r="AI524" s="1028"/>
      <c r="AJ524" s="1029"/>
      <c r="AK524" s="1029"/>
      <c r="AL524" s="1030"/>
      <c r="AM524" s="542" t="s">
        <v>709</v>
      </c>
      <c r="AN524" s="924"/>
      <c r="AO524" s="925"/>
      <c r="AP524" s="926"/>
      <c r="AQ524" s="926"/>
      <c r="AR524" s="926"/>
      <c r="AS524" s="926"/>
      <c r="AT524" s="926"/>
      <c r="AU524" s="926"/>
      <c r="AV524" s="926"/>
      <c r="AW524" s="927"/>
      <c r="AX524" s="926"/>
      <c r="AY524" s="1538" t="s">
        <v>29</v>
      </c>
      <c r="AZ524" s="1530"/>
      <c r="BA524" s="1031">
        <v>11</v>
      </c>
      <c r="BB524" s="1045"/>
      <c r="BC524" s="1046"/>
      <c r="BD524" s="1046"/>
      <c r="BE524" s="1046"/>
      <c r="BF524" s="1046"/>
      <c r="BG524" s="1046"/>
      <c r="BH524" s="1169"/>
      <c r="BI524" s="547" t="s">
        <v>709</v>
      </c>
      <c r="BJ524" s="547" t="s">
        <v>709</v>
      </c>
      <c r="BK524" s="547" t="s">
        <v>116</v>
      </c>
      <c r="BL524" s="547" t="s">
        <v>116</v>
      </c>
      <c r="BM524" s="547" t="s">
        <v>709</v>
      </c>
      <c r="BN524" s="547" t="s">
        <v>709</v>
      </c>
      <c r="BO524" s="547" t="s">
        <v>709</v>
      </c>
      <c r="BP524" s="547">
        <v>378</v>
      </c>
      <c r="BQ524" s="547">
        <v>285</v>
      </c>
      <c r="BR524" s="547">
        <v>40</v>
      </c>
      <c r="BS524" s="547">
        <v>66</v>
      </c>
      <c r="BT524" s="547">
        <v>1</v>
      </c>
      <c r="BU524" s="547" t="s">
        <v>709</v>
      </c>
      <c r="BV524" s="547" t="s">
        <v>745</v>
      </c>
      <c r="BW524" s="547" t="s">
        <v>709</v>
      </c>
      <c r="BX524" s="547">
        <v>1</v>
      </c>
      <c r="BY524" s="547" t="s">
        <v>745</v>
      </c>
      <c r="BZ524" s="547" t="s">
        <v>709</v>
      </c>
      <c r="CA524" s="483" t="s">
        <v>769</v>
      </c>
      <c r="CB524" s="547">
        <v>522</v>
      </c>
      <c r="CC524" s="1481" t="b">
        <v>1</v>
      </c>
      <c r="CD524" t="str">
        <f>Table15[[#This Row],[Engineering Number]]&amp;Table15[[#This Row],[WO Number]]&amp;Table15[[#This Row],[Date Assigned to Designer]]&amp;Table15[[#This Row],[Date Completed]]</f>
        <v>RS6111091574460744614</v>
      </c>
    </row>
    <row r="525" spans="1:86" customFormat="1" ht="15" customHeight="1" x14ac:dyDescent="0.25">
      <c r="A525">
        <v>2022</v>
      </c>
      <c r="B525" s="8" t="s">
        <v>4</v>
      </c>
      <c r="C525" s="8" t="s">
        <v>3901</v>
      </c>
      <c r="D525" s="8">
        <v>1310685</v>
      </c>
      <c r="E525" s="8" t="s">
        <v>2032</v>
      </c>
      <c r="F525" s="8" t="s">
        <v>738</v>
      </c>
      <c r="G525" s="8" t="s">
        <v>23</v>
      </c>
      <c r="H525" s="8" t="s">
        <v>4001</v>
      </c>
      <c r="I525" s="642">
        <v>44603</v>
      </c>
      <c r="J525" s="18" t="s">
        <v>2052</v>
      </c>
      <c r="K525" s="97">
        <v>44615</v>
      </c>
      <c r="L525" s="16">
        <f>IF(ISTEXT(Table15[[#This Row],[Engineering Approved Design Date]]),Table15[[#This Row],[Date Completed]]-Table15[[#This Row],[Date Assigned to Designer]],Table15[[#This Row],[Engineering Approved Design Date]]-Table15[[#This Row],[Date Completed]])</f>
        <v>12</v>
      </c>
      <c r="M525" t="s">
        <v>4134</v>
      </c>
      <c r="N525" s="642" t="s">
        <v>120</v>
      </c>
      <c r="O525" s="1025">
        <v>44621</v>
      </c>
      <c r="P525" s="21" t="s">
        <v>739</v>
      </c>
      <c r="Q525" s="340">
        <f>Table15[[#This Row],[KH Hourly Effort]]</f>
        <v>6075</v>
      </c>
      <c r="R525" s="1026" t="s">
        <v>1922</v>
      </c>
      <c r="S525" s="538" t="s">
        <v>709</v>
      </c>
      <c r="T525" s="538" t="s">
        <v>709</v>
      </c>
      <c r="U525" s="87">
        <v>6075</v>
      </c>
      <c r="V525" s="858"/>
      <c r="W525" s="437"/>
      <c r="X525" s="538"/>
      <c r="Y525" s="551"/>
      <c r="Z525" s="538"/>
      <c r="AA525" s="561"/>
      <c r="AB525" s="474"/>
      <c r="AC525" s="574"/>
      <c r="AD525" s="1149" t="s">
        <v>709</v>
      </c>
      <c r="AE525" s="580"/>
      <c r="AF525" s="580"/>
      <c r="AG525" s="580"/>
      <c r="AH525" s="542"/>
      <c r="AI525" s="1028"/>
      <c r="AJ525" s="1029"/>
      <c r="AK525" s="1029"/>
      <c r="AL525" s="1030"/>
      <c r="AM525" s="542" t="s">
        <v>709</v>
      </c>
      <c r="AN525" s="924"/>
      <c r="AO525" s="925"/>
      <c r="AP525" s="926"/>
      <c r="AQ525" s="926"/>
      <c r="AR525" s="926"/>
      <c r="AS525" s="926"/>
      <c r="AT525" s="926"/>
      <c r="AU525" s="926"/>
      <c r="AV525" s="926"/>
      <c r="AW525" s="927"/>
      <c r="AX525" s="926"/>
      <c r="AY525" s="1538" t="s">
        <v>29</v>
      </c>
      <c r="AZ525" s="1530"/>
      <c r="BA525" s="1031">
        <v>4</v>
      </c>
      <c r="BB525" s="543"/>
      <c r="BC525" s="588"/>
      <c r="BD525" s="588"/>
      <c r="BE525" s="588"/>
      <c r="BF525" s="588"/>
      <c r="BG525" s="588"/>
      <c r="BH525" s="615"/>
      <c r="BI525" s="547" t="s">
        <v>709</v>
      </c>
      <c r="BJ525" s="547" t="s">
        <v>709</v>
      </c>
      <c r="BK525" s="547" t="s">
        <v>709</v>
      </c>
      <c r="BL525" s="547" t="s">
        <v>116</v>
      </c>
      <c r="BM525" s="547" t="s">
        <v>709</v>
      </c>
      <c r="BN525" s="547" t="s">
        <v>709</v>
      </c>
      <c r="BO525" s="547" t="s">
        <v>709</v>
      </c>
      <c r="BP525" s="547" t="s">
        <v>709</v>
      </c>
      <c r="BQ525" s="547" t="s">
        <v>709</v>
      </c>
      <c r="BR525" s="547">
        <v>824</v>
      </c>
      <c r="BS525" s="547" t="s">
        <v>709</v>
      </c>
      <c r="BT525" s="547" t="s">
        <v>709</v>
      </c>
      <c r="BU525" s="547" t="s">
        <v>709</v>
      </c>
      <c r="BV525" s="547" t="s">
        <v>745</v>
      </c>
      <c r="BW525" s="547" t="s">
        <v>709</v>
      </c>
      <c r="BX525" s="547" t="s">
        <v>709</v>
      </c>
      <c r="BY525" s="547" t="s">
        <v>745</v>
      </c>
      <c r="BZ525" s="547" t="s">
        <v>709</v>
      </c>
      <c r="CA525" s="483"/>
      <c r="CB525" s="547">
        <v>526</v>
      </c>
      <c r="CC525" s="1481" t="b">
        <v>1</v>
      </c>
      <c r="CD525" t="str">
        <f>Table15[[#This Row],[Engineering Number]]&amp;Table15[[#This Row],[WO Number]]&amp;Table15[[#This Row],[Date Assigned to Designer]]&amp;Table15[[#This Row],[Date Completed]]</f>
        <v>SC1971913106854460344615</v>
      </c>
    </row>
    <row r="526" spans="1:86" customFormat="1" ht="15" customHeight="1" x14ac:dyDescent="0.25">
      <c r="A526">
        <v>2022</v>
      </c>
      <c r="B526" s="8" t="s">
        <v>4</v>
      </c>
      <c r="C526" s="8" t="s">
        <v>4130</v>
      </c>
      <c r="D526" s="8" t="s">
        <v>4131</v>
      </c>
      <c r="E526" s="8" t="s">
        <v>232</v>
      </c>
      <c r="F526" s="8" t="s">
        <v>919</v>
      </c>
      <c r="G526" s="8" t="s">
        <v>39</v>
      </c>
      <c r="H526" s="8" t="s">
        <v>59</v>
      </c>
      <c r="I526" s="642">
        <v>44585</v>
      </c>
      <c r="J526" s="18">
        <v>44624</v>
      </c>
      <c r="K526" s="18">
        <v>44615</v>
      </c>
      <c r="L526" s="16">
        <f>IF(ISTEXT(Table15[[#This Row],[Engineering Approved Design Date]]),Table15[[#This Row],[Date Completed]]-Table15[[#This Row],[Date Assigned to Designer]],Table15[[#This Row],[Engineering Approved Design Date]]-Table15[[#This Row],[Date Completed]])</f>
        <v>9</v>
      </c>
      <c r="M526" s="642"/>
      <c r="N526" s="642" t="s">
        <v>120</v>
      </c>
      <c r="O526" s="1025">
        <v>44621</v>
      </c>
      <c r="P526" s="21" t="s">
        <v>739</v>
      </c>
      <c r="Q526" s="340">
        <f>R526*AA526</f>
        <v>20887.543000000001</v>
      </c>
      <c r="R526" s="1026">
        <v>0.1</v>
      </c>
      <c r="S526" s="538" t="s">
        <v>709</v>
      </c>
      <c r="T526" s="538" t="s">
        <v>709</v>
      </c>
      <c r="U526" s="87" t="s">
        <v>709</v>
      </c>
      <c r="V526" s="857">
        <v>577</v>
      </c>
      <c r="W526" s="440"/>
      <c r="X526" s="551">
        <v>193049.63</v>
      </c>
      <c r="Y526" s="551"/>
      <c r="Z526" s="551">
        <v>15825.8</v>
      </c>
      <c r="AA526" s="551">
        <f>Table15[[#This Row],[PCTS Investment Amount]]+Table15[[#This Row],[PCTS Retirement Amount]]</f>
        <v>208875.43</v>
      </c>
      <c r="AB526" s="341"/>
      <c r="AC526" s="568" t="s">
        <v>709</v>
      </c>
      <c r="AD526" s="1157"/>
      <c r="AE526" s="579"/>
      <c r="AF526" s="579"/>
      <c r="AG526" s="579"/>
      <c r="AH526" s="553"/>
      <c r="AI526" s="1036"/>
      <c r="AJ526" s="1037"/>
      <c r="AK526" s="1037"/>
      <c r="AL526" s="1038"/>
      <c r="AM526" s="1522" t="s">
        <v>116</v>
      </c>
      <c r="AN526" s="1523">
        <v>44665</v>
      </c>
      <c r="AO526" s="1524">
        <v>11040474</v>
      </c>
      <c r="AP526" s="1525">
        <v>183952.4</v>
      </c>
      <c r="AQ526" s="1525"/>
      <c r="AR526" s="1525">
        <v>15825.8</v>
      </c>
      <c r="AS526" s="1525">
        <f>IF(Table15[[#This Row],[PCTS Approved]]="N",0,Table15[[#This Row],[Investment Amount (1'#'#'#'#'#)]]+Table15[[#This Row],[Retirement Amount (3'#'#'#'#'#)]])</f>
        <v>199778.19999999998</v>
      </c>
      <c r="AT526" s="1525">
        <f>IF(Table15[[#This Row],[Approved Construction Cost]]=0,0,Table15[[#This Row],[Approved Construction Cost]]-Table15[[#This Row],[Construction Cost to Bill From]])</f>
        <v>-9097.2300000000105</v>
      </c>
      <c r="AU526" s="1525">
        <f>IFERROR(Table15[[#This Row],[Difference in Construction Cost]]*Table15[[#This Row],[Rate]],Table15[[#This Row],[Difference in Construction Cost]]*0.085)</f>
        <v>-909.72300000000109</v>
      </c>
      <c r="AV526" s="1525" t="s">
        <v>709</v>
      </c>
      <c r="AW526" s="1526"/>
      <c r="AX526" s="1525">
        <f>Table15[[#This Row],[Reconcile Amount]]</f>
        <v>-909.72300000000109</v>
      </c>
      <c r="AY526" s="1518">
        <v>45008</v>
      </c>
      <c r="AZ526" s="333"/>
      <c r="BA526" s="1031" t="s">
        <v>4132</v>
      </c>
      <c r="BB526" s="644" t="s">
        <v>116</v>
      </c>
      <c r="BC526" s="544" t="s">
        <v>709</v>
      </c>
      <c r="BD526" s="544" t="s">
        <v>709</v>
      </c>
      <c r="BE526" s="544" t="s">
        <v>595</v>
      </c>
      <c r="BF526" s="544" t="s">
        <v>709</v>
      </c>
      <c r="BG526" s="544" t="s">
        <v>709</v>
      </c>
      <c r="BH526" s="741"/>
      <c r="BI526" s="547" t="s">
        <v>709</v>
      </c>
      <c r="BJ526" s="547" t="s">
        <v>709</v>
      </c>
      <c r="BK526" s="547" t="s">
        <v>709</v>
      </c>
      <c r="BL526" s="547" t="s">
        <v>116</v>
      </c>
      <c r="BM526" s="547" t="s">
        <v>709</v>
      </c>
      <c r="BN526" s="547" t="s">
        <v>709</v>
      </c>
      <c r="BO526" s="547" t="s">
        <v>709</v>
      </c>
      <c r="BP526" s="547" t="s">
        <v>709</v>
      </c>
      <c r="BQ526" s="547" t="s">
        <v>709</v>
      </c>
      <c r="BR526" s="547" t="s">
        <v>709</v>
      </c>
      <c r="BS526" s="547">
        <v>577</v>
      </c>
      <c r="BT526" s="547" t="s">
        <v>745</v>
      </c>
      <c r="BU526" s="547" t="s">
        <v>709</v>
      </c>
      <c r="BV526" s="547" t="s">
        <v>745</v>
      </c>
      <c r="BW526" s="547" t="s">
        <v>709</v>
      </c>
      <c r="BX526" s="547" t="s">
        <v>745</v>
      </c>
      <c r="BY526" s="547" t="s">
        <v>745</v>
      </c>
      <c r="BZ526" s="547" t="s">
        <v>709</v>
      </c>
      <c r="CA526" s="483"/>
      <c r="CB526" s="547">
        <v>525</v>
      </c>
      <c r="CC526" s="1481" t="b">
        <v>1</v>
      </c>
      <c r="CD526" t="str">
        <f>Table15[[#This Row],[Engineering Number]]&amp;Table15[[#This Row],[WO Number]]&amp;Table15[[#This Row],[Date Assigned to Designer]]&amp;Table15[[#This Row],[Date Completed]]</f>
        <v>SC2001314109894458544615</v>
      </c>
    </row>
    <row r="527" spans="1:86" customFormat="1" ht="15" customHeight="1" x14ac:dyDescent="0.25">
      <c r="A527">
        <v>2022</v>
      </c>
      <c r="B527" s="8" t="s">
        <v>771</v>
      </c>
      <c r="C527" s="8" t="s">
        <v>4125</v>
      </c>
      <c r="D527" s="8" t="s">
        <v>4126</v>
      </c>
      <c r="E527" s="8" t="s">
        <v>3882</v>
      </c>
      <c r="F527" s="8" t="s">
        <v>919</v>
      </c>
      <c r="G527" s="8" t="s">
        <v>23</v>
      </c>
      <c r="H527" s="8" t="s">
        <v>59</v>
      </c>
      <c r="I527" s="642">
        <v>44516</v>
      </c>
      <c r="J527" s="18">
        <v>44615</v>
      </c>
      <c r="K527" s="97">
        <v>44615</v>
      </c>
      <c r="L527" s="16">
        <f>IF(ISTEXT(Table15[[#This Row],[Engineering Approved Design Date]]),Table15[[#This Row],[Date Completed]]-Table15[[#This Row],[Date Assigned to Designer]],Table15[[#This Row],[Engineering Approved Design Date]]-Table15[[#This Row],[Date Completed]])</f>
        <v>0</v>
      </c>
      <c r="N527" s="642" t="s">
        <v>120</v>
      </c>
      <c r="O527" s="1025">
        <v>44621</v>
      </c>
      <c r="P527" s="21" t="s">
        <v>120</v>
      </c>
      <c r="Q527" s="1151">
        <f>1.55*Table15[[#This Row],[LF of Main]]</f>
        <v>15912.300000000001</v>
      </c>
      <c r="R527" s="1026" t="s">
        <v>2087</v>
      </c>
      <c r="S527" s="538" t="s">
        <v>709</v>
      </c>
      <c r="T527" s="538" t="s">
        <v>709</v>
      </c>
      <c r="U527" s="87" t="s">
        <v>709</v>
      </c>
      <c r="V527" s="858">
        <v>10266</v>
      </c>
      <c r="W527" s="437"/>
      <c r="X527" s="538">
        <v>1381451.15</v>
      </c>
      <c r="Y527" s="551"/>
      <c r="Z527" s="538">
        <v>31982.79</v>
      </c>
      <c r="AA527" s="551">
        <f>Table15[[#This Row],[PCTS Investment Amount]]+Table15[[#This Row],[PCTS Retirement Amount]]</f>
        <v>1413433.94</v>
      </c>
      <c r="AB527" s="341"/>
      <c r="AC527" s="568" t="s">
        <v>709</v>
      </c>
      <c r="AD527" s="1157"/>
      <c r="AE527" s="568"/>
      <c r="AF527" s="568"/>
      <c r="AG527" s="568"/>
      <c r="AH527" s="183"/>
      <c r="AI527" s="1036"/>
      <c r="AJ527" s="1037"/>
      <c r="AK527" s="1037"/>
      <c r="AL527" s="1038"/>
      <c r="AM527" s="542" t="s">
        <v>709</v>
      </c>
      <c r="AN527" s="924"/>
      <c r="AO527" s="925"/>
      <c r="AP527" s="926"/>
      <c r="AQ527" s="926"/>
      <c r="AR527" s="926"/>
      <c r="AS527" s="926"/>
      <c r="AT527" s="926"/>
      <c r="AU527" s="926"/>
      <c r="AV527" s="926"/>
      <c r="AW527" s="927"/>
      <c r="AX527" s="926"/>
      <c r="AY527" s="1538" t="s">
        <v>29</v>
      </c>
      <c r="AZ527" s="1530"/>
      <c r="BA527" s="1031" t="s">
        <v>4127</v>
      </c>
      <c r="BB527" s="1045" t="s">
        <v>4128</v>
      </c>
      <c r="BC527" s="1046" t="s">
        <v>709</v>
      </c>
      <c r="BD527" s="1046" t="s">
        <v>882</v>
      </c>
      <c r="BE527" s="1046" t="s">
        <v>3884</v>
      </c>
      <c r="BF527" s="1046" t="s">
        <v>709</v>
      </c>
      <c r="BG527" s="1046" t="s">
        <v>709</v>
      </c>
      <c r="BH527" s="1169"/>
      <c r="BI527" s="547" t="s">
        <v>709</v>
      </c>
      <c r="BJ527" s="547" t="s">
        <v>709</v>
      </c>
      <c r="BK527" s="547" t="s">
        <v>709</v>
      </c>
      <c r="BL527" s="547" t="s">
        <v>116</v>
      </c>
      <c r="BM527" s="547" t="s">
        <v>709</v>
      </c>
      <c r="BN527" s="547" t="s">
        <v>709</v>
      </c>
      <c r="BO527" s="547" t="s">
        <v>709</v>
      </c>
      <c r="BP527" s="547" t="s">
        <v>709</v>
      </c>
      <c r="BQ527" s="547" t="s">
        <v>709</v>
      </c>
      <c r="BR527" s="547" t="s">
        <v>709</v>
      </c>
      <c r="BS527" s="547">
        <v>10266</v>
      </c>
      <c r="BT527" s="547" t="s">
        <v>745</v>
      </c>
      <c r="BU527" s="547" t="s">
        <v>709</v>
      </c>
      <c r="BV527" s="547" t="s">
        <v>745</v>
      </c>
      <c r="BW527" s="547" t="s">
        <v>709</v>
      </c>
      <c r="BX527" s="547" t="s">
        <v>745</v>
      </c>
      <c r="BY527" s="547" t="s">
        <v>745</v>
      </c>
      <c r="BZ527" s="547" t="s">
        <v>709</v>
      </c>
      <c r="CA527" s="483"/>
      <c r="CB527" s="547">
        <v>523</v>
      </c>
      <c r="CC527" s="1481" t="b">
        <v>1</v>
      </c>
      <c r="CD527" t="str">
        <f>Table15[[#This Row],[Engineering Number]]&amp;Table15[[#This Row],[WO Number]]&amp;Table15[[#This Row],[Date Assigned to Designer]]&amp;Table15[[#This Row],[Date Completed]]</f>
        <v>VW19712107924451644615</v>
      </c>
    </row>
    <row r="528" spans="1:86" customFormat="1" ht="15" customHeight="1" x14ac:dyDescent="0.25">
      <c r="A528">
        <v>2022</v>
      </c>
      <c r="B528" s="8" t="s">
        <v>771</v>
      </c>
      <c r="C528" s="8" t="s">
        <v>3990</v>
      </c>
      <c r="D528" s="8">
        <v>1210692</v>
      </c>
      <c r="E528" s="8" t="s">
        <v>3992</v>
      </c>
      <c r="F528" s="8" t="s">
        <v>919</v>
      </c>
      <c r="G528" s="8" t="s">
        <v>36</v>
      </c>
      <c r="H528" s="8" t="s">
        <v>3178</v>
      </c>
      <c r="I528" s="642">
        <v>44613</v>
      </c>
      <c r="J528" s="18" t="s">
        <v>2958</v>
      </c>
      <c r="K528" s="97">
        <v>44615</v>
      </c>
      <c r="L528" s="16">
        <f>IF(ISTEXT(Table15[[#This Row],[Engineering Approved Design Date]]),Table15[[#This Row],[Date Completed]]-Table15[[#This Row],[Date Assigned to Designer]],Table15[[#This Row],[Engineering Approved Design Date]]-Table15[[#This Row],[Date Completed]])</f>
        <v>2</v>
      </c>
      <c r="M528" t="s">
        <v>4136</v>
      </c>
      <c r="N528" s="99" t="s">
        <v>120</v>
      </c>
      <c r="O528" s="1025">
        <v>44621</v>
      </c>
      <c r="P528" s="21" t="s">
        <v>120</v>
      </c>
      <c r="Q528" s="340">
        <f>Table15[[#This Row],[KH Hourly Effort]]</f>
        <v>1865</v>
      </c>
      <c r="R528" s="1026" t="s">
        <v>1922</v>
      </c>
      <c r="S528" s="538" t="s">
        <v>709</v>
      </c>
      <c r="T528" s="538" t="s">
        <v>709</v>
      </c>
      <c r="U528" s="87">
        <v>1865</v>
      </c>
      <c r="V528" s="858"/>
      <c r="W528" s="437"/>
      <c r="X528" s="538"/>
      <c r="Y528" s="551"/>
      <c r="Z528" s="538"/>
      <c r="AA528" s="561"/>
      <c r="AB528" s="474"/>
      <c r="AC528" s="574"/>
      <c r="AD528" s="1149" t="s">
        <v>709</v>
      </c>
      <c r="AE528" s="569"/>
      <c r="AF528" s="569"/>
      <c r="AG528" s="569"/>
      <c r="AH528" s="536"/>
      <c r="AI528" s="1028"/>
      <c r="AJ528" s="1029"/>
      <c r="AK528" s="1029"/>
      <c r="AL528" s="1030"/>
      <c r="AM528" s="542" t="s">
        <v>709</v>
      </c>
      <c r="AN528" s="924"/>
      <c r="AO528" s="925"/>
      <c r="AP528" s="926"/>
      <c r="AQ528" s="926"/>
      <c r="AR528" s="926"/>
      <c r="AS528" s="926"/>
      <c r="AT528" s="926"/>
      <c r="AU528" s="926"/>
      <c r="AV528" s="926"/>
      <c r="AW528" s="927"/>
      <c r="AX528" s="926"/>
      <c r="AY528" s="1538" t="s">
        <v>29</v>
      </c>
      <c r="AZ528" s="1530"/>
      <c r="BA528" s="1031" t="s">
        <v>4137</v>
      </c>
      <c r="BB528" s="543"/>
      <c r="BC528" s="588"/>
      <c r="BD528" s="588"/>
      <c r="BE528" s="588"/>
      <c r="BF528" s="588"/>
      <c r="BG528" s="588"/>
      <c r="BH528" s="615"/>
      <c r="BI528" s="547" t="s">
        <v>709</v>
      </c>
      <c r="BJ528" s="547" t="s">
        <v>709</v>
      </c>
      <c r="BK528" s="547" t="s">
        <v>709</v>
      </c>
      <c r="BL528" s="547" t="s">
        <v>116</v>
      </c>
      <c r="BM528" s="547" t="s">
        <v>709</v>
      </c>
      <c r="BN528" s="547" t="s">
        <v>709</v>
      </c>
      <c r="BO528" s="547" t="s">
        <v>709</v>
      </c>
      <c r="BP528" s="547">
        <v>1350</v>
      </c>
      <c r="BQ528" s="547" t="s">
        <v>709</v>
      </c>
      <c r="BR528" s="547">
        <v>1439</v>
      </c>
      <c r="BS528" s="547">
        <v>15734</v>
      </c>
      <c r="BT528" s="547" t="s">
        <v>745</v>
      </c>
      <c r="BU528" s="547" t="s">
        <v>709</v>
      </c>
      <c r="BV528" s="547" t="s">
        <v>745</v>
      </c>
      <c r="BW528" s="547" t="s">
        <v>709</v>
      </c>
      <c r="BX528" s="547" t="s">
        <v>745</v>
      </c>
      <c r="BY528" s="547" t="s">
        <v>745</v>
      </c>
      <c r="BZ528" s="547" t="s">
        <v>709</v>
      </c>
      <c r="CA528" s="483"/>
      <c r="CB528" s="547">
        <v>527</v>
      </c>
      <c r="CC528" s="1481" t="b">
        <v>1</v>
      </c>
      <c r="CD528" t="str">
        <f>Table15[[#This Row],[Engineering Number]]&amp;Table15[[#This Row],[WO Number]]&amp;Table15[[#This Row],[Date Assigned to Designer]]&amp;Table15[[#This Row],[Date Completed]]</f>
        <v>VW21312106924461344615</v>
      </c>
    </row>
    <row r="529" spans="1:82" customFormat="1" ht="15" customHeight="1" x14ac:dyDescent="0.25">
      <c r="A529">
        <v>2022</v>
      </c>
      <c r="B529" s="8" t="s">
        <v>771</v>
      </c>
      <c r="C529" s="8" t="s">
        <v>3880</v>
      </c>
      <c r="D529" s="8">
        <v>1210599</v>
      </c>
      <c r="E529" s="8" t="s">
        <v>3882</v>
      </c>
      <c r="F529" s="8" t="s">
        <v>919</v>
      </c>
      <c r="G529" s="8" t="s">
        <v>36</v>
      </c>
      <c r="H529" s="8" t="s">
        <v>3178</v>
      </c>
      <c r="I529" s="642">
        <v>44609</v>
      </c>
      <c r="J529" s="18" t="s">
        <v>2052</v>
      </c>
      <c r="K529" s="97">
        <v>44615</v>
      </c>
      <c r="L529" s="16">
        <f>IF(ISTEXT(Table15[[#This Row],[Engineering Approved Design Date]]),Table15[[#This Row],[Date Completed]]-Table15[[#This Row],[Date Assigned to Designer]],Table15[[#This Row],[Engineering Approved Design Date]]-Table15[[#This Row],[Date Completed]])</f>
        <v>6</v>
      </c>
      <c r="M529" t="s">
        <v>4139</v>
      </c>
      <c r="N529" s="642" t="s">
        <v>120</v>
      </c>
      <c r="O529" s="1025">
        <v>44621</v>
      </c>
      <c r="P529" s="21" t="s">
        <v>120</v>
      </c>
      <c r="Q529" s="340">
        <f>Table15[[#This Row],[KH Hourly Effort]]</f>
        <v>2812.5</v>
      </c>
      <c r="R529" s="1026" t="s">
        <v>1922</v>
      </c>
      <c r="S529" s="538" t="s">
        <v>709</v>
      </c>
      <c r="T529" s="538" t="s">
        <v>709</v>
      </c>
      <c r="U529" s="87">
        <v>2812.5</v>
      </c>
      <c r="V529" s="858"/>
      <c r="W529" s="437"/>
      <c r="X529" s="538"/>
      <c r="Y529" s="551"/>
      <c r="Z529" s="538"/>
      <c r="AA529" s="561"/>
      <c r="AB529" s="474"/>
      <c r="AC529" s="574"/>
      <c r="AD529" s="1149" t="s">
        <v>709</v>
      </c>
      <c r="AE529" s="569"/>
      <c r="AF529" s="569"/>
      <c r="AG529" s="569"/>
      <c r="AH529" s="536"/>
      <c r="AI529" s="1028"/>
      <c r="AJ529" s="1029"/>
      <c r="AK529" s="1029"/>
      <c r="AL529" s="1030"/>
      <c r="AM529" s="542" t="s">
        <v>709</v>
      </c>
      <c r="AN529" s="924"/>
      <c r="AO529" s="925"/>
      <c r="AP529" s="926"/>
      <c r="AQ529" s="926"/>
      <c r="AR529" s="926"/>
      <c r="AS529" s="926"/>
      <c r="AT529" s="926"/>
      <c r="AU529" s="926"/>
      <c r="AV529" s="926"/>
      <c r="AW529" s="927"/>
      <c r="AX529" s="926"/>
      <c r="AY529" s="1538" t="s">
        <v>29</v>
      </c>
      <c r="AZ529" s="1530"/>
      <c r="BA529" s="1031">
        <v>4</v>
      </c>
      <c r="BB529" s="543"/>
      <c r="BC529" s="588"/>
      <c r="BD529" s="588"/>
      <c r="BE529" s="588"/>
      <c r="BF529" s="588"/>
      <c r="BG529" s="588"/>
      <c r="BH529" s="615"/>
      <c r="BI529" s="547" t="s">
        <v>709</v>
      </c>
      <c r="BJ529" s="547" t="s">
        <v>709</v>
      </c>
      <c r="BK529" s="547" t="s">
        <v>709</v>
      </c>
      <c r="BL529" s="547" t="s">
        <v>116</v>
      </c>
      <c r="BM529" s="547" t="s">
        <v>709</v>
      </c>
      <c r="BN529" s="547" t="s">
        <v>709</v>
      </c>
      <c r="BO529" s="547" t="s">
        <v>709</v>
      </c>
      <c r="BP529" s="547" t="s">
        <v>709</v>
      </c>
      <c r="BQ529" s="547">
        <v>2448</v>
      </c>
      <c r="BR529" s="547" t="s">
        <v>709</v>
      </c>
      <c r="BS529" s="547">
        <v>14313</v>
      </c>
      <c r="BT529" s="547" t="s">
        <v>709</v>
      </c>
      <c r="BU529" s="547" t="s">
        <v>709</v>
      </c>
      <c r="BV529" s="547" t="s">
        <v>745</v>
      </c>
      <c r="BW529" s="547" t="s">
        <v>709</v>
      </c>
      <c r="BX529" s="547" t="s">
        <v>745</v>
      </c>
      <c r="BY529" s="547" t="s">
        <v>745</v>
      </c>
      <c r="BZ529" s="547" t="s">
        <v>709</v>
      </c>
      <c r="CA529" s="483"/>
      <c r="CB529" s="547">
        <v>524</v>
      </c>
      <c r="CC529" s="1481" t="b">
        <v>1</v>
      </c>
      <c r="CD529" t="str">
        <f>Table15[[#This Row],[Engineering Number]]&amp;Table15[[#This Row],[WO Number]]&amp;Table15[[#This Row],[Date Assigned to Designer]]&amp;Table15[[#This Row],[Date Completed]]</f>
        <v>VW3312105994460944615</v>
      </c>
    </row>
    <row r="530" spans="1:82" customFormat="1" ht="15" customHeight="1" x14ac:dyDescent="0.25">
      <c r="A530">
        <v>2022</v>
      </c>
      <c r="B530" s="8" t="s">
        <v>771</v>
      </c>
      <c r="C530" s="8" t="s">
        <v>4125</v>
      </c>
      <c r="D530" s="8" t="s">
        <v>4126</v>
      </c>
      <c r="E530" s="8" t="s">
        <v>3882</v>
      </c>
      <c r="F530" s="8" t="s">
        <v>919</v>
      </c>
      <c r="G530" s="8" t="s">
        <v>23</v>
      </c>
      <c r="H530" s="8" t="s">
        <v>3661</v>
      </c>
      <c r="I530" s="642">
        <v>44516</v>
      </c>
      <c r="J530" s="18" t="s">
        <v>3662</v>
      </c>
      <c r="K530" s="97">
        <v>44615</v>
      </c>
      <c r="L530" s="16">
        <f>IF(ISTEXT(Table15[[#This Row],[Engineering Approved Design Date]]),Table15[[#This Row],[Date Completed]]-Table15[[#This Row],[Date Assigned to Designer]],Table15[[#This Row],[Engineering Approved Design Date]]-Table15[[#This Row],[Date Completed]])</f>
        <v>99</v>
      </c>
      <c r="N530" s="642" t="s">
        <v>120</v>
      </c>
      <c r="O530" s="1025">
        <v>44652</v>
      </c>
      <c r="P530" s="21" t="s">
        <v>120</v>
      </c>
      <c r="Q530" s="340">
        <f>Table15[[#This Row],[KH Hourly Effort]]</f>
        <v>10702.5</v>
      </c>
      <c r="R530" s="1026" t="s">
        <v>1922</v>
      </c>
      <c r="S530" s="538" t="s">
        <v>709</v>
      </c>
      <c r="T530" s="538" t="s">
        <v>709</v>
      </c>
      <c r="U530" s="87">
        <v>10702.5</v>
      </c>
      <c r="V530" s="858"/>
      <c r="W530" s="437"/>
      <c r="X530" s="538"/>
      <c r="Y530" s="551"/>
      <c r="Z530" s="538"/>
      <c r="AA530" s="561"/>
      <c r="AB530" s="341" t="s">
        <v>29</v>
      </c>
      <c r="AC530" s="569" t="s">
        <v>29</v>
      </c>
      <c r="AD530" s="1149" t="s">
        <v>29</v>
      </c>
      <c r="AE530" s="574"/>
      <c r="AF530" s="574"/>
      <c r="AG530" s="574"/>
      <c r="AH530" s="566"/>
      <c r="AI530" s="1042"/>
      <c r="AJ530" s="1043"/>
      <c r="AK530" s="1043"/>
      <c r="AL530" s="1044"/>
      <c r="AM530" s="542" t="s">
        <v>709</v>
      </c>
      <c r="AN530" s="924"/>
      <c r="AO530" s="925"/>
      <c r="AP530" s="926"/>
      <c r="AQ530" s="926"/>
      <c r="AR530" s="926"/>
      <c r="AS530" s="926"/>
      <c r="AT530" s="926"/>
      <c r="AU530" s="926"/>
      <c r="AV530" s="926"/>
      <c r="AW530" s="927"/>
      <c r="AX530" s="926"/>
      <c r="AY530" s="1538" t="s">
        <v>29</v>
      </c>
      <c r="AZ530" s="1530"/>
      <c r="BA530" s="1031"/>
      <c r="BB530" s="543"/>
      <c r="BC530" s="1046" t="s">
        <v>709</v>
      </c>
      <c r="BD530" s="1046" t="s">
        <v>882</v>
      </c>
      <c r="BE530" s="1046" t="s">
        <v>3884</v>
      </c>
      <c r="BF530" s="1046" t="s">
        <v>709</v>
      </c>
      <c r="BG530" s="1046" t="s">
        <v>709</v>
      </c>
      <c r="BH530" s="1169"/>
      <c r="BI530" s="547" t="s">
        <v>709</v>
      </c>
      <c r="BJ530" s="547" t="s">
        <v>709</v>
      </c>
      <c r="BK530" s="547" t="s">
        <v>709</v>
      </c>
      <c r="BL530" s="547" t="s">
        <v>116</v>
      </c>
      <c r="BM530" s="547" t="s">
        <v>709</v>
      </c>
      <c r="BN530" s="547" t="s">
        <v>709</v>
      </c>
      <c r="BO530" s="547" t="s">
        <v>709</v>
      </c>
      <c r="BP530" s="547" t="s">
        <v>709</v>
      </c>
      <c r="BQ530" s="547" t="s">
        <v>709</v>
      </c>
      <c r="BR530" s="547" t="s">
        <v>709</v>
      </c>
      <c r="BS530" s="547" t="s">
        <v>116</v>
      </c>
      <c r="BT530" s="547" t="s">
        <v>745</v>
      </c>
      <c r="BU530" s="547" t="s">
        <v>709</v>
      </c>
      <c r="BV530" s="547" t="s">
        <v>745</v>
      </c>
      <c r="BW530" s="547" t="s">
        <v>709</v>
      </c>
      <c r="BX530" s="547" t="s">
        <v>745</v>
      </c>
      <c r="BY530" s="547" t="s">
        <v>745</v>
      </c>
      <c r="BZ530" s="547" t="s">
        <v>709</v>
      </c>
      <c r="CA530" s="483"/>
      <c r="CB530" s="547">
        <v>528</v>
      </c>
      <c r="CC530" s="1481" t="b">
        <v>1</v>
      </c>
      <c r="CD530" t="str">
        <f>Table15[[#This Row],[Engineering Number]]&amp;Table15[[#This Row],[WO Number]]&amp;Table15[[#This Row],[Date Assigned to Designer]]&amp;Table15[[#This Row],[Date Completed]]</f>
        <v>VW19712107924451644615</v>
      </c>
    </row>
    <row r="531" spans="1:82" customFormat="1" ht="15" customHeight="1" x14ac:dyDescent="0.25">
      <c r="A531">
        <v>2022</v>
      </c>
      <c r="B531" s="8" t="s">
        <v>4</v>
      </c>
      <c r="C531" s="8" t="s">
        <v>4141</v>
      </c>
      <c r="D531" s="8" t="s">
        <v>115</v>
      </c>
      <c r="E531" s="8" t="s">
        <v>118</v>
      </c>
      <c r="F531" s="8" t="s">
        <v>738</v>
      </c>
      <c r="G531" s="8" t="s">
        <v>22</v>
      </c>
      <c r="H531" s="8" t="s">
        <v>1903</v>
      </c>
      <c r="I531" s="642">
        <v>44602</v>
      </c>
      <c r="J531" s="18">
        <v>44658</v>
      </c>
      <c r="K531" s="18">
        <v>44616</v>
      </c>
      <c r="L531" s="16">
        <f>IF(ISTEXT(Table15[[#This Row],[Engineering Approved Design Date]]),Table15[[#This Row],[Date Completed]]-Table15[[#This Row],[Date Assigned to Designer]],Table15[[#This Row],[Engineering Approved Design Date]]-Table15[[#This Row],[Date Completed]])</f>
        <v>42</v>
      </c>
      <c r="M531" s="642"/>
      <c r="N531" s="642" t="s">
        <v>120</v>
      </c>
      <c r="O531" s="1025">
        <v>44621</v>
      </c>
      <c r="P531" s="21" t="s">
        <v>739</v>
      </c>
      <c r="Q531" s="340" t="s">
        <v>115</v>
      </c>
      <c r="R531" s="1026" t="s">
        <v>115</v>
      </c>
      <c r="S531" s="538" t="s">
        <v>709</v>
      </c>
      <c r="T531" s="538" t="s">
        <v>709</v>
      </c>
      <c r="U531" s="87" t="s">
        <v>709</v>
      </c>
      <c r="V531" s="857"/>
      <c r="W531" s="440"/>
      <c r="X531" s="550"/>
      <c r="Y531" s="550"/>
      <c r="Z531" s="538"/>
      <c r="AA531" s="561"/>
      <c r="AB531" s="474"/>
      <c r="AC531" s="576" t="s">
        <v>709</v>
      </c>
      <c r="AD531" s="1156"/>
      <c r="AE531" s="1040"/>
      <c r="AF531" s="1040"/>
      <c r="AG531" s="1040"/>
      <c r="AH531" s="1041"/>
      <c r="AI531" s="1042"/>
      <c r="AJ531" s="1043"/>
      <c r="AK531" s="1043"/>
      <c r="AL531" s="1044"/>
      <c r="AM531" s="542" t="s">
        <v>709</v>
      </c>
      <c r="AN531" s="924"/>
      <c r="AO531" s="925"/>
      <c r="AP531" s="926"/>
      <c r="AQ531" s="926"/>
      <c r="AR531" s="926"/>
      <c r="AS531" s="926"/>
      <c r="AT531" s="926"/>
      <c r="AU531" s="926"/>
      <c r="AV531" s="926"/>
      <c r="AW531" s="927"/>
      <c r="AX531" s="926"/>
      <c r="AY531" s="1538" t="s">
        <v>29</v>
      </c>
      <c r="AZ531" s="1530"/>
      <c r="BA531" s="1031" t="s">
        <v>4142</v>
      </c>
      <c r="BB531" s="644" t="s">
        <v>709</v>
      </c>
      <c r="BC531" s="544"/>
      <c r="BD531" s="544"/>
      <c r="BE531" s="544"/>
      <c r="BF531" s="544"/>
      <c r="BG531" s="544"/>
      <c r="BH531" s="741"/>
      <c r="BI531" s="1032"/>
      <c r="BJ531" s="1032"/>
      <c r="BK531" s="1032"/>
      <c r="BL531" s="1032"/>
      <c r="BM531" s="1032"/>
      <c r="BN531" s="1032"/>
      <c r="BO531" s="1032"/>
      <c r="BP531" s="1032"/>
      <c r="BQ531" s="1032"/>
      <c r="BR531" s="1032"/>
      <c r="BS531" s="1032"/>
      <c r="BT531" s="1032"/>
      <c r="BU531" s="1032"/>
      <c r="BV531" s="1032"/>
      <c r="BW531" s="1032"/>
      <c r="BX531" s="1032"/>
      <c r="BY531" s="1032"/>
      <c r="BZ531" s="1032"/>
      <c r="CA531" s="485"/>
      <c r="CB531" s="547">
        <v>529</v>
      </c>
      <c r="CC531" s="1481" t="b">
        <v>1</v>
      </c>
      <c r="CD531" t="str">
        <f>Table15[[#This Row],[Engineering Number]]&amp;Table15[[#This Row],[WO Number]]&amp;Table15[[#This Row],[Date Assigned to Designer]]&amp;Table15[[#This Row],[Date Completed]]</f>
        <v>N13414-4460244616</v>
      </c>
    </row>
    <row r="532" spans="1:82" customFormat="1" ht="15" customHeight="1" x14ac:dyDescent="0.25">
      <c r="A532">
        <v>2022</v>
      </c>
      <c r="B532" s="8" t="s">
        <v>4</v>
      </c>
      <c r="C532" s="8" t="s">
        <v>4146</v>
      </c>
      <c r="D532" s="8" t="s">
        <v>4147</v>
      </c>
      <c r="E532" s="8" t="s">
        <v>4148</v>
      </c>
      <c r="F532" s="8" t="s">
        <v>738</v>
      </c>
      <c r="G532" s="8" t="s">
        <v>36</v>
      </c>
      <c r="H532" s="8" t="s">
        <v>59</v>
      </c>
      <c r="I532" s="642">
        <v>43913</v>
      </c>
      <c r="J532" s="18">
        <v>44620</v>
      </c>
      <c r="K532" s="18">
        <v>44617</v>
      </c>
      <c r="L532" s="16">
        <f>IF(ISTEXT(Table15[[#This Row],[Engineering Approved Design Date]]),Table15[[#This Row],[Date Completed]]-Table15[[#This Row],[Date Assigned to Designer]],Table15[[#This Row],[Engineering Approved Design Date]]-Table15[[#This Row],[Date Completed]])</f>
        <v>3</v>
      </c>
      <c r="M532" s="642"/>
      <c r="N532" s="642" t="s">
        <v>120</v>
      </c>
      <c r="O532" s="1025">
        <v>44621</v>
      </c>
      <c r="P532" s="21" t="s">
        <v>739</v>
      </c>
      <c r="Q532" s="340">
        <f>R532*AA532</f>
        <v>98613.172000000006</v>
      </c>
      <c r="R532" s="1026">
        <v>0.1</v>
      </c>
      <c r="S532" s="538" t="s">
        <v>709</v>
      </c>
      <c r="T532" s="538" t="s">
        <v>709</v>
      </c>
      <c r="U532" s="87" t="s">
        <v>709</v>
      </c>
      <c r="V532" s="857">
        <v>3074</v>
      </c>
      <c r="W532" s="440"/>
      <c r="X532" s="551">
        <v>841102.25</v>
      </c>
      <c r="Y532" s="551"/>
      <c r="Z532" s="551">
        <v>145029.47</v>
      </c>
      <c r="AA532" s="551">
        <f>Table15[[#This Row],[PCTS Investment Amount]]+Table15[[#This Row],[PCTS Retirement Amount]]</f>
        <v>986131.72</v>
      </c>
      <c r="AB532" s="341"/>
      <c r="AC532" s="568" t="s">
        <v>116</v>
      </c>
      <c r="AD532" s="1157"/>
      <c r="AE532" s="579"/>
      <c r="AF532" s="579"/>
      <c r="AG532" s="579"/>
      <c r="AH532" s="553"/>
      <c r="AI532" s="1036"/>
      <c r="AJ532" s="1037"/>
      <c r="AK532" s="1037"/>
      <c r="AL532" s="1038"/>
      <c r="AM532" s="1522" t="s">
        <v>116</v>
      </c>
      <c r="AN532" s="1523">
        <v>44753</v>
      </c>
      <c r="AO532" s="1524">
        <v>11032976</v>
      </c>
      <c r="AP532" s="1525">
        <v>846088.97</v>
      </c>
      <c r="AQ532" s="1525"/>
      <c r="AR532" s="1525">
        <v>145058.62</v>
      </c>
      <c r="AS532" s="1525">
        <f>IF(Table15[[#This Row],[PCTS Approved]]="N",0,Table15[[#This Row],[Investment Amount (1'#'#'#'#'#)]]+Table15[[#This Row],[Retirement Amount (3'#'#'#'#'#)]])</f>
        <v>991147.59</v>
      </c>
      <c r="AT532" s="1525">
        <f>IF(Table15[[#This Row],[Approved Construction Cost]]=0,0,Table15[[#This Row],[Approved Construction Cost]]-Table15[[#This Row],[Construction Cost to Bill From]])</f>
        <v>5015.8699999999953</v>
      </c>
      <c r="AU532" s="1525">
        <f>IFERROR(Table15[[#This Row],[Difference in Construction Cost]]*Table15[[#This Row],[Rate]],Table15[[#This Row],[Difference in Construction Cost]]*0.085)</f>
        <v>501.58699999999953</v>
      </c>
      <c r="AV532" s="1525">
        <v>11700</v>
      </c>
      <c r="AW532" s="1526" t="s">
        <v>4149</v>
      </c>
      <c r="AX532" s="1525">
        <v>0</v>
      </c>
      <c r="AY532" s="1518">
        <v>45008</v>
      </c>
      <c r="AZ532" s="333"/>
      <c r="BA532" s="1031" t="s">
        <v>4150</v>
      </c>
      <c r="BB532" s="644" t="s">
        <v>709</v>
      </c>
      <c r="BC532" s="544" t="s">
        <v>116</v>
      </c>
      <c r="BD532" s="544" t="s">
        <v>882</v>
      </c>
      <c r="BE532" s="544" t="s">
        <v>4151</v>
      </c>
      <c r="BF532" s="544" t="s">
        <v>709</v>
      </c>
      <c r="BG532" s="544" t="s">
        <v>709</v>
      </c>
      <c r="BH532" s="741"/>
      <c r="BI532" s="547" t="s">
        <v>709</v>
      </c>
      <c r="BJ532" s="547" t="s">
        <v>709</v>
      </c>
      <c r="BK532" s="547" t="s">
        <v>709</v>
      </c>
      <c r="BL532" s="547" t="s">
        <v>116</v>
      </c>
      <c r="BM532" s="547" t="s">
        <v>709</v>
      </c>
      <c r="BN532" s="547" t="s">
        <v>709</v>
      </c>
      <c r="BO532" s="547" t="s">
        <v>709</v>
      </c>
      <c r="BP532" s="547">
        <v>2276</v>
      </c>
      <c r="BQ532" s="547">
        <v>32</v>
      </c>
      <c r="BR532" s="547">
        <v>3</v>
      </c>
      <c r="BS532" s="547">
        <v>763</v>
      </c>
      <c r="BT532" s="547" t="s">
        <v>745</v>
      </c>
      <c r="BU532" s="547" t="s">
        <v>709</v>
      </c>
      <c r="BV532" s="547" t="s">
        <v>745</v>
      </c>
      <c r="BW532" s="547" t="s">
        <v>709</v>
      </c>
      <c r="BX532" s="547" t="s">
        <v>745</v>
      </c>
      <c r="BY532" s="547" t="s">
        <v>745</v>
      </c>
      <c r="BZ532" s="547" t="s">
        <v>709</v>
      </c>
      <c r="CA532" s="483"/>
      <c r="CB532" s="547">
        <v>531</v>
      </c>
      <c r="CC532" s="1481" t="b">
        <v>1</v>
      </c>
      <c r="CD532" t="str">
        <f>Table15[[#This Row],[Engineering Number]]&amp;Table15[[#This Row],[WO Number]]&amp;Table15[[#This Row],[Date Assigned to Designer]]&amp;Table15[[#This Row],[Date Completed]]</f>
        <v>N132641292774391344617</v>
      </c>
    </row>
    <row r="533" spans="1:82" customFormat="1" ht="15" customHeight="1" x14ac:dyDescent="0.25">
      <c r="A533">
        <v>2022</v>
      </c>
      <c r="B533" s="8" t="s">
        <v>1073</v>
      </c>
      <c r="C533" s="8" t="s">
        <v>3764</v>
      </c>
      <c r="D533" s="8">
        <v>1610581</v>
      </c>
      <c r="E533" s="8" t="s">
        <v>118</v>
      </c>
      <c r="F533" s="8" t="s">
        <v>738</v>
      </c>
      <c r="G533" s="8" t="s">
        <v>22</v>
      </c>
      <c r="H533" s="8" t="s">
        <v>4001</v>
      </c>
      <c r="I533" s="642">
        <v>44574</v>
      </c>
      <c r="J533" s="18" t="s">
        <v>2052</v>
      </c>
      <c r="K533" s="97">
        <v>44617</v>
      </c>
      <c r="L533" s="16">
        <f>IF(ISTEXT(Table15[[#This Row],[Engineering Approved Design Date]]),Table15[[#This Row],[Date Completed]]-Table15[[#This Row],[Date Assigned to Designer]],Table15[[#This Row],[Engineering Approved Design Date]]-Table15[[#This Row],[Date Completed]])</f>
        <v>43</v>
      </c>
      <c r="M533" t="s">
        <v>4144</v>
      </c>
      <c r="N533" s="642" t="s">
        <v>120</v>
      </c>
      <c r="O533" s="1025">
        <v>44621</v>
      </c>
      <c r="P533" s="21" t="s">
        <v>739</v>
      </c>
      <c r="Q533" s="340">
        <f>Table15[[#This Row],[KH Hourly Effort]]</f>
        <v>6142.5</v>
      </c>
      <c r="R533" s="1026" t="s">
        <v>1922</v>
      </c>
      <c r="S533" s="538" t="s">
        <v>709</v>
      </c>
      <c r="T533" s="538" t="s">
        <v>709</v>
      </c>
      <c r="U533" s="87">
        <v>6142.5</v>
      </c>
      <c r="V533" s="858"/>
      <c r="W533" s="437"/>
      <c r="X533" s="538"/>
      <c r="Y533" s="551"/>
      <c r="Z533" s="538"/>
      <c r="AA533" s="561"/>
      <c r="AB533" s="474"/>
      <c r="AC533" s="576" t="s">
        <v>709</v>
      </c>
      <c r="AD533" s="1149" t="s">
        <v>709</v>
      </c>
      <c r="AE533" s="569"/>
      <c r="AF533" s="569"/>
      <c r="AG533" s="569"/>
      <c r="AH533" s="536"/>
      <c r="AI533" s="1028"/>
      <c r="AJ533" s="1029"/>
      <c r="AK533" s="1029"/>
      <c r="AL533" s="1030"/>
      <c r="AM533" s="542" t="s">
        <v>709</v>
      </c>
      <c r="AN533" s="924"/>
      <c r="AO533" s="925"/>
      <c r="AP533" s="926"/>
      <c r="AQ533" s="926"/>
      <c r="AR533" s="926"/>
      <c r="AS533" s="926"/>
      <c r="AT533" s="926"/>
      <c r="AU533" s="926"/>
      <c r="AV533" s="926"/>
      <c r="AW533" s="927"/>
      <c r="AX533" s="926"/>
      <c r="AY533" s="1538" t="s">
        <v>29</v>
      </c>
      <c r="AZ533" s="1530"/>
      <c r="BA533" s="1031">
        <v>3</v>
      </c>
      <c r="BB533" s="543"/>
      <c r="BC533" s="588"/>
      <c r="BD533" s="588"/>
      <c r="BE533" s="588"/>
      <c r="BF533" s="588"/>
      <c r="BG533" s="588"/>
      <c r="BH533" s="615"/>
      <c r="BI533" s="547" t="s">
        <v>709</v>
      </c>
      <c r="BJ533" s="547" t="s">
        <v>709</v>
      </c>
      <c r="BK533" s="547" t="s">
        <v>709</v>
      </c>
      <c r="BL533" s="547" t="s">
        <v>116</v>
      </c>
      <c r="BM533" s="547" t="s">
        <v>709</v>
      </c>
      <c r="BN533" s="547" t="s">
        <v>709</v>
      </c>
      <c r="BO533" s="547" t="s">
        <v>709</v>
      </c>
      <c r="BP533" s="547" t="s">
        <v>709</v>
      </c>
      <c r="BQ533" s="547">
        <v>89</v>
      </c>
      <c r="BR533" s="547">
        <v>4564</v>
      </c>
      <c r="BS533" s="547" t="s">
        <v>709</v>
      </c>
      <c r="BT533" s="547" t="s">
        <v>745</v>
      </c>
      <c r="BU533" s="547" t="s">
        <v>709</v>
      </c>
      <c r="BV533" s="547" t="s">
        <v>745</v>
      </c>
      <c r="BW533" s="547" t="s">
        <v>709</v>
      </c>
      <c r="BX533" s="547" t="s">
        <v>709</v>
      </c>
      <c r="BY533" s="547" t="s">
        <v>745</v>
      </c>
      <c r="BZ533" s="547" t="s">
        <v>709</v>
      </c>
      <c r="CA533" s="483"/>
      <c r="CB533" s="547">
        <v>530</v>
      </c>
      <c r="CC533" s="1481" t="b">
        <v>1</v>
      </c>
      <c r="CD533" t="str">
        <f>Table15[[#This Row],[Engineering Number]]&amp;Table15[[#This Row],[WO Number]]&amp;Table15[[#This Row],[Date Assigned to Designer]]&amp;Table15[[#This Row],[Date Completed]]</f>
        <v>NBA1000105616105814457444617</v>
      </c>
    </row>
    <row r="534" spans="1:82" customFormat="1" ht="15" customHeight="1" x14ac:dyDescent="0.25">
      <c r="A534">
        <v>2022</v>
      </c>
      <c r="B534" s="8" t="s">
        <v>4</v>
      </c>
      <c r="C534" s="8" t="s">
        <v>4153</v>
      </c>
      <c r="D534" s="8" t="s">
        <v>115</v>
      </c>
      <c r="E534" s="8" t="s">
        <v>236</v>
      </c>
      <c r="F534" s="8" t="s">
        <v>919</v>
      </c>
      <c r="G534" s="8" t="s">
        <v>35</v>
      </c>
      <c r="H534" s="8" t="s">
        <v>1903</v>
      </c>
      <c r="I534" s="642">
        <v>44596</v>
      </c>
      <c r="J534" s="18">
        <v>44666</v>
      </c>
      <c r="K534" s="18">
        <v>44617</v>
      </c>
      <c r="L534" s="16">
        <f>IF(ISTEXT(Table15[[#This Row],[Engineering Approved Design Date]]),Table15[[#This Row],[Date Completed]]-Table15[[#This Row],[Date Assigned to Designer]],Table15[[#This Row],[Engineering Approved Design Date]]-Table15[[#This Row],[Date Completed]])</f>
        <v>49</v>
      </c>
      <c r="M534" s="642"/>
      <c r="N534" s="642" t="s">
        <v>120</v>
      </c>
      <c r="O534" s="1025">
        <v>44621</v>
      </c>
      <c r="P534" s="21" t="s">
        <v>739</v>
      </c>
      <c r="Q534" s="340" t="s">
        <v>115</v>
      </c>
      <c r="R534" s="1026" t="s">
        <v>115</v>
      </c>
      <c r="S534" s="538" t="s">
        <v>709</v>
      </c>
      <c r="T534" s="538" t="s">
        <v>709</v>
      </c>
      <c r="U534" s="87" t="s">
        <v>709</v>
      </c>
      <c r="V534" s="857"/>
      <c r="W534" s="440"/>
      <c r="X534" s="551"/>
      <c r="Y534" s="551"/>
      <c r="Z534" s="538"/>
      <c r="AA534" s="561"/>
      <c r="AB534" s="474"/>
      <c r="AC534" s="574"/>
      <c r="AD534" s="1158" t="s">
        <v>29</v>
      </c>
      <c r="AE534" s="581"/>
      <c r="AF534" s="581"/>
      <c r="AG534" s="581"/>
      <c r="AH534" s="583"/>
      <c r="AI534" s="1047"/>
      <c r="AJ534" s="1048"/>
      <c r="AK534" s="1048"/>
      <c r="AL534" s="1049"/>
      <c r="AM534" s="542" t="s">
        <v>709</v>
      </c>
      <c r="AN534" s="924"/>
      <c r="AO534" s="925"/>
      <c r="AP534" s="926"/>
      <c r="AQ534" s="926"/>
      <c r="AR534" s="926"/>
      <c r="AS534" s="926"/>
      <c r="AT534" s="926"/>
      <c r="AU534" s="926"/>
      <c r="AV534" s="926"/>
      <c r="AW534" s="927"/>
      <c r="AX534" s="926"/>
      <c r="AY534" s="1538" t="s">
        <v>29</v>
      </c>
      <c r="AZ534" s="1530"/>
      <c r="BA534" s="1031" t="s">
        <v>4154</v>
      </c>
      <c r="BB534" s="644" t="s">
        <v>709</v>
      </c>
      <c r="BC534" s="544"/>
      <c r="BD534" s="544"/>
      <c r="BE534" s="544"/>
      <c r="BF534" s="544"/>
      <c r="BG534" s="544"/>
      <c r="BH534" s="741"/>
      <c r="BI534" s="1032"/>
      <c r="BJ534" s="1032"/>
      <c r="BK534" s="1032"/>
      <c r="BL534" s="1032"/>
      <c r="BM534" s="1032"/>
      <c r="BN534" s="1032"/>
      <c r="BO534" s="1032"/>
      <c r="BP534" s="1032"/>
      <c r="BQ534" s="1032"/>
      <c r="BR534" s="1032"/>
      <c r="BS534" s="1032"/>
      <c r="BT534" s="1032"/>
      <c r="BU534" s="1032"/>
      <c r="BV534" s="1032"/>
      <c r="BW534" s="1032"/>
      <c r="BX534" s="1032"/>
      <c r="BY534" s="1032"/>
      <c r="BZ534" s="1032"/>
      <c r="CA534" s="485"/>
      <c r="CB534" s="547">
        <v>532</v>
      </c>
      <c r="CC534" s="1481" t="b">
        <v>1</v>
      </c>
      <c r="CD534" t="str">
        <f>Table15[[#This Row],[Engineering Number]]&amp;Table15[[#This Row],[WO Number]]&amp;Table15[[#This Row],[Date Assigned to Designer]]&amp;Table15[[#This Row],[Date Completed]]</f>
        <v>SC20334-4459644617</v>
      </c>
    </row>
    <row r="535" spans="1:82" customFormat="1" ht="15" customHeight="1" x14ac:dyDescent="0.25">
      <c r="A535">
        <v>2022</v>
      </c>
      <c r="B535" t="s">
        <v>1073</v>
      </c>
      <c r="C535" t="s">
        <v>3327</v>
      </c>
      <c r="D535" s="13">
        <v>1911040</v>
      </c>
      <c r="E535" t="s">
        <v>1915</v>
      </c>
      <c r="F535" t="s">
        <v>919</v>
      </c>
      <c r="G535" t="s">
        <v>1896</v>
      </c>
      <c r="H535" t="s">
        <v>2127</v>
      </c>
      <c r="I535" s="642">
        <v>44613</v>
      </c>
      <c r="J535" s="642">
        <v>44650</v>
      </c>
      <c r="K535" s="642">
        <v>44621</v>
      </c>
      <c r="L535" s="16">
        <f>IF(ISTEXT(Table15[[#This Row],[Engineering Approved Design Date]]),Table15[[#This Row],[Date Completed]]-Table15[[#This Row],[Date Assigned to Designer]],Table15[[#This Row],[Engineering Approved Design Date]]-Table15[[#This Row],[Date Completed]])</f>
        <v>29</v>
      </c>
      <c r="M535" t="s">
        <v>4156</v>
      </c>
      <c r="N535" s="642" t="s">
        <v>120</v>
      </c>
      <c r="O535" s="1025">
        <v>44621</v>
      </c>
      <c r="P535" s="21" t="s">
        <v>739</v>
      </c>
      <c r="Q535" s="340" t="s">
        <v>115</v>
      </c>
      <c r="R535" s="1039" t="s">
        <v>115</v>
      </c>
      <c r="S535" s="538" t="s">
        <v>709</v>
      </c>
      <c r="T535" s="538" t="s">
        <v>709</v>
      </c>
      <c r="U535" s="87" t="s">
        <v>709</v>
      </c>
      <c r="V535" s="858"/>
      <c r="W535" s="437"/>
      <c r="X535" s="538"/>
      <c r="Y535" s="551"/>
      <c r="Z535" s="538"/>
      <c r="AA535" s="561"/>
      <c r="AB535" s="474"/>
      <c r="AC535" s="574"/>
      <c r="AD535" s="1156"/>
      <c r="AE535" s="574" t="s">
        <v>29</v>
      </c>
      <c r="AF535" s="574" t="s">
        <v>29</v>
      </c>
      <c r="AG535" s="574" t="s">
        <v>29</v>
      </c>
      <c r="AH535" s="566" t="s">
        <v>29</v>
      </c>
      <c r="AI535" s="1042"/>
      <c r="AJ535" s="1043"/>
      <c r="AK535" s="1043"/>
      <c r="AL535" s="1044"/>
      <c r="AM535" s="542" t="s">
        <v>709</v>
      </c>
      <c r="AN535" s="924"/>
      <c r="AO535" s="925"/>
      <c r="AP535" s="926"/>
      <c r="AQ535" s="926"/>
      <c r="AR535" s="926"/>
      <c r="AS535" s="926"/>
      <c r="AT535" s="926"/>
      <c r="AU535" s="926"/>
      <c r="AV535" s="926"/>
      <c r="AW535" s="927"/>
      <c r="AX535" s="926"/>
      <c r="AY535" s="1538" t="s">
        <v>29</v>
      </c>
      <c r="AZ535" s="1530"/>
      <c r="BA535" s="1031" t="s">
        <v>4157</v>
      </c>
      <c r="BB535" s="644" t="s">
        <v>709</v>
      </c>
      <c r="BC535" s="544"/>
      <c r="BD535" s="544"/>
      <c r="BE535" s="544"/>
      <c r="BF535" s="544"/>
      <c r="BG535" s="544"/>
      <c r="BH535" s="741"/>
      <c r="BI535" s="547" t="s">
        <v>709</v>
      </c>
      <c r="BJ535" s="547" t="s">
        <v>116</v>
      </c>
      <c r="BK535" s="547" t="s">
        <v>709</v>
      </c>
      <c r="BL535" s="547" t="s">
        <v>709</v>
      </c>
      <c r="BM535" s="547" t="s">
        <v>709</v>
      </c>
      <c r="BN535" s="547" t="s">
        <v>709</v>
      </c>
      <c r="BO535" s="547" t="s">
        <v>709</v>
      </c>
      <c r="BP535" s="547" t="s">
        <v>709</v>
      </c>
      <c r="BQ535" s="547">
        <v>10776</v>
      </c>
      <c r="BR535" s="547" t="s">
        <v>709</v>
      </c>
      <c r="BS535" s="547" t="s">
        <v>709</v>
      </c>
      <c r="BT535" s="547" t="s">
        <v>709</v>
      </c>
      <c r="BU535" s="547" t="s">
        <v>709</v>
      </c>
      <c r="BV535" s="547" t="s">
        <v>745</v>
      </c>
      <c r="BW535" s="547" t="s">
        <v>709</v>
      </c>
      <c r="BX535" s="547" t="s">
        <v>709</v>
      </c>
      <c r="BY535" s="547" t="s">
        <v>745</v>
      </c>
      <c r="BZ535" s="547" t="s">
        <v>709</v>
      </c>
      <c r="CA535" s="483"/>
      <c r="CB535" s="547">
        <v>533</v>
      </c>
      <c r="CC535" s="1481" t="b">
        <v>1</v>
      </c>
      <c r="CD535" t="str">
        <f>Table15[[#This Row],[Engineering Number]]&amp;Table15[[#This Row],[WO Number]]&amp;Table15[[#This Row],[Date Assigned to Designer]]&amp;Table15[[#This Row],[Date Completed]]</f>
        <v>NBA187259319110404461344621</v>
      </c>
    </row>
    <row r="536" spans="1:82" customFormat="1" ht="15" customHeight="1" x14ac:dyDescent="0.25">
      <c r="A536">
        <v>2022</v>
      </c>
      <c r="B536" s="8" t="s">
        <v>4</v>
      </c>
      <c r="C536" s="8" t="s">
        <v>201</v>
      </c>
      <c r="D536" s="8" t="s">
        <v>4159</v>
      </c>
      <c r="E536" s="8" t="s">
        <v>202</v>
      </c>
      <c r="F536" s="8" t="s">
        <v>919</v>
      </c>
      <c r="G536" s="8" t="s">
        <v>22</v>
      </c>
      <c r="H536" s="8" t="s">
        <v>4045</v>
      </c>
      <c r="I536" s="642">
        <v>44615</v>
      </c>
      <c r="J536" s="18" t="s">
        <v>2958</v>
      </c>
      <c r="K536" s="97">
        <v>44622</v>
      </c>
      <c r="L536" s="16">
        <f>IF(ISTEXT(Table15[[#This Row],[Engineering Approved Design Date]]),Table15[[#This Row],[Date Completed]]-Table15[[#This Row],[Date Assigned to Designer]],Table15[[#This Row],[Engineering Approved Design Date]]-Table15[[#This Row],[Date Completed]])</f>
        <v>7</v>
      </c>
      <c r="M536" s="642" t="s">
        <v>4160</v>
      </c>
      <c r="N536" s="99" t="s">
        <v>120</v>
      </c>
      <c r="O536" s="1025">
        <f>Table15[[#This Row],[Date Completed]]</f>
        <v>44622</v>
      </c>
      <c r="P536" s="21" t="s">
        <v>739</v>
      </c>
      <c r="Q536" s="340">
        <f>Table15[[#This Row],[KH Hourly Effort]]</f>
        <v>7330</v>
      </c>
      <c r="R536" s="1026" t="s">
        <v>1922</v>
      </c>
      <c r="S536" s="538" t="s">
        <v>709</v>
      </c>
      <c r="T536" s="538" t="s">
        <v>709</v>
      </c>
      <c r="U536" s="87">
        <v>7330</v>
      </c>
      <c r="V536" s="858"/>
      <c r="W536" s="437"/>
      <c r="X536" s="538"/>
      <c r="Y536" s="551"/>
      <c r="Z536" s="538"/>
      <c r="AA536" s="538"/>
      <c r="AB536" s="21"/>
      <c r="AC536" s="569" t="s">
        <v>1177</v>
      </c>
      <c r="AD536" s="1149" t="s">
        <v>709</v>
      </c>
      <c r="AE536" s="580"/>
      <c r="AF536" s="580"/>
      <c r="AG536" s="580"/>
      <c r="AH536" s="542"/>
      <c r="AI536" s="1028"/>
      <c r="AJ536" s="1029"/>
      <c r="AK536" s="1029"/>
      <c r="AL536" s="1030"/>
      <c r="AM536" s="542" t="s">
        <v>709</v>
      </c>
      <c r="AN536" s="924"/>
      <c r="AO536" s="925"/>
      <c r="AP536" s="926"/>
      <c r="AQ536" s="926"/>
      <c r="AR536" s="926"/>
      <c r="AS536" s="926"/>
      <c r="AT536" s="926"/>
      <c r="AU536" s="926"/>
      <c r="AV536" s="926"/>
      <c r="AW536" s="927"/>
      <c r="AX536" s="926"/>
      <c r="AY536" s="1538" t="s">
        <v>29</v>
      </c>
      <c r="AZ536" s="1530"/>
      <c r="BA536" s="1031"/>
      <c r="BB536" s="644"/>
      <c r="BC536" s="544"/>
      <c r="BD536" s="544"/>
      <c r="BE536" s="544"/>
      <c r="BF536" s="544"/>
      <c r="BG536" s="544"/>
      <c r="BH536" s="741"/>
      <c r="BI536" s="1032"/>
      <c r="BJ536" s="1032"/>
      <c r="BK536" s="1032"/>
      <c r="BL536" s="1032"/>
      <c r="BM536" s="1032"/>
      <c r="BN536" s="1032"/>
      <c r="BO536" s="1032"/>
      <c r="BP536" s="1032"/>
      <c r="BQ536" s="1032"/>
      <c r="BR536" s="1032"/>
      <c r="BS536" s="1032"/>
      <c r="BT536" s="1032"/>
      <c r="BU536" s="1032"/>
      <c r="BV536" s="1032"/>
      <c r="BW536" s="1032"/>
      <c r="BX536" s="1032"/>
      <c r="BY536" s="1032"/>
      <c r="BZ536" s="1032"/>
      <c r="CA536" s="485"/>
      <c r="CB536" s="547">
        <v>535</v>
      </c>
      <c r="CC536" s="1481" t="b">
        <v>1</v>
      </c>
      <c r="CD536" t="str">
        <f>Table15[[#This Row],[Engineering Number]]&amp;Table15[[#This Row],[WO Number]]&amp;Table15[[#This Row],[Date Assigned to Designer]]&amp;Table15[[#This Row],[Date Completed]]</f>
        <v>M109481205314461544622</v>
      </c>
    </row>
    <row r="537" spans="1:82" customFormat="1" ht="15" customHeight="1" x14ac:dyDescent="0.25">
      <c r="A537">
        <v>2022</v>
      </c>
      <c r="B537" s="8" t="s">
        <v>771</v>
      </c>
      <c r="C537" s="8" t="s">
        <v>4162</v>
      </c>
      <c r="D537" s="8">
        <v>1211117</v>
      </c>
      <c r="E537" s="8" t="s">
        <v>202</v>
      </c>
      <c r="F537" s="8" t="s">
        <v>919</v>
      </c>
      <c r="G537" s="8" t="s">
        <v>22</v>
      </c>
      <c r="H537" s="8" t="s">
        <v>4045</v>
      </c>
      <c r="I537" s="642">
        <v>44615</v>
      </c>
      <c r="J537" s="18" t="s">
        <v>2958</v>
      </c>
      <c r="K537" s="97">
        <v>44622</v>
      </c>
      <c r="L537" s="16">
        <f>IF(ISTEXT(Table15[[#This Row],[Engineering Approved Design Date]]),Table15[[#This Row],[Date Completed]]-Table15[[#This Row],[Date Assigned to Designer]],Table15[[#This Row],[Engineering Approved Design Date]]-Table15[[#This Row],[Date Completed]])</f>
        <v>7</v>
      </c>
      <c r="M537" s="642" t="s">
        <v>4160</v>
      </c>
      <c r="N537" s="99" t="s">
        <v>120</v>
      </c>
      <c r="O537" s="1025">
        <f>Table15[[#This Row],[Date Completed]]</f>
        <v>44622</v>
      </c>
      <c r="P537" s="21" t="s">
        <v>120</v>
      </c>
      <c r="Q537" s="1061" t="s">
        <v>115</v>
      </c>
      <c r="R537" s="1026" t="s">
        <v>115</v>
      </c>
      <c r="S537" s="538" t="s">
        <v>709</v>
      </c>
      <c r="T537" s="538" t="s">
        <v>709</v>
      </c>
      <c r="U537" s="87" t="s">
        <v>709</v>
      </c>
      <c r="V537" s="858"/>
      <c r="W537" s="437"/>
      <c r="X537" s="538"/>
      <c r="Y537" s="551"/>
      <c r="Z537" s="538"/>
      <c r="AA537" s="538"/>
      <c r="AB537" s="21"/>
      <c r="AC537" s="576" t="s">
        <v>1177</v>
      </c>
      <c r="AD537" s="1149" t="s">
        <v>709</v>
      </c>
      <c r="AE537" s="569"/>
      <c r="AF537" s="569"/>
      <c r="AG537" s="569"/>
      <c r="AH537" s="536"/>
      <c r="AI537" s="1028"/>
      <c r="AJ537" s="1029"/>
      <c r="AK537" s="1029"/>
      <c r="AL537" s="1030"/>
      <c r="AM537" s="542" t="s">
        <v>709</v>
      </c>
      <c r="AN537" s="924"/>
      <c r="AO537" s="925"/>
      <c r="AP537" s="926"/>
      <c r="AQ537" s="926"/>
      <c r="AR537" s="926"/>
      <c r="AS537" s="926"/>
      <c r="AT537" s="926"/>
      <c r="AU537" s="926"/>
      <c r="AV537" s="926"/>
      <c r="AW537" s="927"/>
      <c r="AX537" s="926"/>
      <c r="AY537" s="1538" t="s">
        <v>29</v>
      </c>
      <c r="AZ537" s="1530"/>
      <c r="BA537" s="1031" t="s">
        <v>4163</v>
      </c>
      <c r="BB537" s="644" t="s">
        <v>4164</v>
      </c>
      <c r="BC537" s="544"/>
      <c r="BD537" s="544"/>
      <c r="BE537" s="544"/>
      <c r="BF537" s="544"/>
      <c r="BG537" s="544"/>
      <c r="BH537" s="741"/>
      <c r="BI537" s="547"/>
      <c r="BJ537" s="547"/>
      <c r="BK537" s="547"/>
      <c r="BL537" s="547"/>
      <c r="BM537" s="547"/>
      <c r="BN537" s="547"/>
      <c r="BO537" s="547"/>
      <c r="BP537" s="547"/>
      <c r="BQ537" s="547"/>
      <c r="BR537" s="547"/>
      <c r="BS537" s="547"/>
      <c r="BT537" s="547"/>
      <c r="BU537" s="547"/>
      <c r="BV537" s="547"/>
      <c r="BW537" s="547"/>
      <c r="BX537" s="547"/>
      <c r="BY537" s="547"/>
      <c r="BZ537" s="547" t="s">
        <v>709</v>
      </c>
      <c r="CA537" s="483" t="s">
        <v>915</v>
      </c>
      <c r="CB537" s="547">
        <v>534</v>
      </c>
      <c r="CC537" s="1481" t="b">
        <v>1</v>
      </c>
      <c r="CD537" t="str">
        <f>Table15[[#This Row],[Engineering Number]]&amp;Table15[[#This Row],[WO Number]]&amp;Table15[[#This Row],[Date Assigned to Designer]]&amp;Table15[[#This Row],[Date Completed]]</f>
        <v>M10948-112111174461544622</v>
      </c>
    </row>
    <row r="538" spans="1:82" customFormat="1" ht="15" customHeight="1" x14ac:dyDescent="0.25">
      <c r="A538">
        <v>2022</v>
      </c>
      <c r="B538" s="8" t="s">
        <v>2989</v>
      </c>
      <c r="C538" s="8" t="s">
        <v>4166</v>
      </c>
      <c r="D538" s="8" t="s">
        <v>4167</v>
      </c>
      <c r="E538" s="8" t="s">
        <v>393</v>
      </c>
      <c r="F538" s="8" t="s">
        <v>752</v>
      </c>
      <c r="G538" s="8" t="s">
        <v>34</v>
      </c>
      <c r="H538" s="8" t="s">
        <v>59</v>
      </c>
      <c r="I538" s="642">
        <v>44551</v>
      </c>
      <c r="J538" s="18">
        <v>44641</v>
      </c>
      <c r="K538" s="18">
        <v>44623</v>
      </c>
      <c r="L538" s="16">
        <f>IF(ISTEXT(Table15[[#This Row],[Engineering Approved Design Date]]),Table15[[#This Row],[Date Completed]]-Table15[[#This Row],[Date Assigned to Designer]],Table15[[#This Row],[Engineering Approved Design Date]]-Table15[[#This Row],[Date Completed]])</f>
        <v>18</v>
      </c>
      <c r="M538" s="642"/>
      <c r="N538" s="642" t="s">
        <v>120</v>
      </c>
      <c r="O538" s="1025">
        <f>Table15[[#This Row],[Date Completed]]</f>
        <v>44623</v>
      </c>
      <c r="P538" s="21" t="s">
        <v>739</v>
      </c>
      <c r="Q538" s="340">
        <f>R538*AA538</f>
        <v>8680.4531999999999</v>
      </c>
      <c r="R538" s="1026">
        <v>0.09</v>
      </c>
      <c r="S538" s="538" t="s">
        <v>709</v>
      </c>
      <c r="T538" s="538" t="s">
        <v>709</v>
      </c>
      <c r="U538" s="87" t="s">
        <v>709</v>
      </c>
      <c r="V538" s="857">
        <v>25</v>
      </c>
      <c r="W538" s="440"/>
      <c r="X538" s="551">
        <v>76038.92</v>
      </c>
      <c r="Y538" s="551"/>
      <c r="Z538" s="551">
        <v>20410.560000000001</v>
      </c>
      <c r="AA538" s="551">
        <f>Table15[[#This Row],[PCTS Investment Amount]]+Table15[[#This Row],[PCTS Retirement Amount]]</f>
        <v>96449.48</v>
      </c>
      <c r="AB538" s="341"/>
      <c r="AC538" s="568" t="s">
        <v>709</v>
      </c>
      <c r="AD538" s="1157" t="s">
        <v>29</v>
      </c>
      <c r="AE538" s="579"/>
      <c r="AF538" s="579"/>
      <c r="AG538" s="579"/>
      <c r="AH538" s="553"/>
      <c r="AI538" s="1036"/>
      <c r="AJ538" s="1037"/>
      <c r="AK538" s="1037"/>
      <c r="AL538" s="1038"/>
      <c r="AM538" s="1522" t="s">
        <v>116</v>
      </c>
      <c r="AN538" s="1523">
        <v>44721</v>
      </c>
      <c r="AO538" s="1524">
        <v>11041948</v>
      </c>
      <c r="AP538" s="1525">
        <v>76084.95</v>
      </c>
      <c r="AQ538" s="1525"/>
      <c r="AR538" s="1525">
        <v>20436.59</v>
      </c>
      <c r="AS538" s="1525">
        <f>IF(Table15[[#This Row],[PCTS Approved]]="N",0,Table15[[#This Row],[Investment Amount (1'#'#'#'#'#)]]+Table15[[#This Row],[Retirement Amount (3'#'#'#'#'#)]])</f>
        <v>96521.54</v>
      </c>
      <c r="AT538" s="1525">
        <f>IF(Table15[[#This Row],[Approved Construction Cost]]=0,0,Table15[[#This Row],[Approved Construction Cost]]-Table15[[#This Row],[Construction Cost to Bill From]])</f>
        <v>72.059999999997672</v>
      </c>
      <c r="AU538" s="1525">
        <f>IFERROR(Table15[[#This Row],[Difference in Construction Cost]]*Table15[[#This Row],[Rate]],Table15[[#This Row],[Difference in Construction Cost]]*0.085)</f>
        <v>6.4853999999997898</v>
      </c>
      <c r="AV538" s="1525">
        <v>1317.5</v>
      </c>
      <c r="AW538" s="1526" t="s">
        <v>4168</v>
      </c>
      <c r="AX538" s="1525">
        <v>0</v>
      </c>
      <c r="AY538" s="1518">
        <v>45008</v>
      </c>
      <c r="AZ538" s="333"/>
      <c r="BA538" s="1031" t="s">
        <v>4169</v>
      </c>
      <c r="BB538" s="644" t="s">
        <v>4170</v>
      </c>
      <c r="BC538" s="544" t="s">
        <v>116</v>
      </c>
      <c r="BD538" s="544" t="s">
        <v>709</v>
      </c>
      <c r="BE538" s="544" t="s">
        <v>1190</v>
      </c>
      <c r="BF538" s="544" t="s">
        <v>709</v>
      </c>
      <c r="BG538" s="544" t="s">
        <v>709</v>
      </c>
      <c r="BH538" s="741"/>
      <c r="BI538" s="547" t="s">
        <v>709</v>
      </c>
      <c r="BJ538" s="547" t="s">
        <v>709</v>
      </c>
      <c r="BK538" s="547" t="s">
        <v>709</v>
      </c>
      <c r="BL538" s="547" t="s">
        <v>116</v>
      </c>
      <c r="BM538" s="547" t="s">
        <v>709</v>
      </c>
      <c r="BN538" s="547" t="s">
        <v>709</v>
      </c>
      <c r="BO538" s="547" t="s">
        <v>709</v>
      </c>
      <c r="BP538" s="547" t="s">
        <v>709</v>
      </c>
      <c r="BQ538" s="547" t="s">
        <v>709</v>
      </c>
      <c r="BR538" s="547" t="s">
        <v>709</v>
      </c>
      <c r="BS538" s="547">
        <v>25</v>
      </c>
      <c r="BT538" s="547" t="s">
        <v>745</v>
      </c>
      <c r="BU538" s="547" t="s">
        <v>709</v>
      </c>
      <c r="BV538" s="547">
        <v>2</v>
      </c>
      <c r="BW538" s="547" t="s">
        <v>709</v>
      </c>
      <c r="BX538" s="547" t="s">
        <v>745</v>
      </c>
      <c r="BY538" s="547" t="s">
        <v>745</v>
      </c>
      <c r="BZ538" s="547" t="s">
        <v>709</v>
      </c>
      <c r="CA538" s="483" t="s">
        <v>2</v>
      </c>
      <c r="CB538" s="547">
        <v>536</v>
      </c>
      <c r="CC538" s="1481" t="b">
        <v>1</v>
      </c>
      <c r="CD538" t="str">
        <f>Table15[[#This Row],[Engineering Number]]&amp;Table15[[#This Row],[WO Number]]&amp;Table15[[#This Row],[Date Assigned to Designer]]&amp;Table15[[#This Row],[Date Completed]]</f>
        <v>MR182912108784455144623</v>
      </c>
    </row>
    <row r="539" spans="1:82" customFormat="1" ht="15" customHeight="1" x14ac:dyDescent="0.25">
      <c r="A539">
        <v>2022</v>
      </c>
      <c r="B539" s="8" t="s">
        <v>4</v>
      </c>
      <c r="C539" s="8" t="s">
        <v>4172</v>
      </c>
      <c r="D539" s="8" t="s">
        <v>4173</v>
      </c>
      <c r="E539" s="8" t="s">
        <v>393</v>
      </c>
      <c r="F539" s="8" t="s">
        <v>738</v>
      </c>
      <c r="G539" s="8" t="s">
        <v>35</v>
      </c>
      <c r="H539" s="8" t="s">
        <v>59</v>
      </c>
      <c r="I539" s="642">
        <v>44572</v>
      </c>
      <c r="J539" s="18">
        <v>44628</v>
      </c>
      <c r="K539" s="18">
        <v>44624</v>
      </c>
      <c r="L539" s="16">
        <f>IF(ISTEXT(Table15[[#This Row],[Engineering Approved Design Date]]),Table15[[#This Row],[Date Completed]]-Table15[[#This Row],[Date Assigned to Designer]],Table15[[#This Row],[Engineering Approved Design Date]]-Table15[[#This Row],[Date Completed]])</f>
        <v>4</v>
      </c>
      <c r="M539" s="642"/>
      <c r="N539" s="642" t="s">
        <v>120</v>
      </c>
      <c r="O539" s="1025">
        <f>Table15[[#This Row],[Date Completed]]</f>
        <v>44624</v>
      </c>
      <c r="P539" s="21" t="s">
        <v>739</v>
      </c>
      <c r="Q539" s="340">
        <f>R539*AA539</f>
        <v>16373.275000000001</v>
      </c>
      <c r="R539" s="1026">
        <v>0.1</v>
      </c>
      <c r="S539" s="538" t="s">
        <v>709</v>
      </c>
      <c r="T539" s="538" t="s">
        <v>709</v>
      </c>
      <c r="U539" s="87" t="s">
        <v>709</v>
      </c>
      <c r="V539" s="857">
        <v>674</v>
      </c>
      <c r="W539" s="440"/>
      <c r="X539" s="551">
        <v>142698.75</v>
      </c>
      <c r="Y539" s="551"/>
      <c r="Z539" s="551">
        <v>21034</v>
      </c>
      <c r="AA539" s="551">
        <f>Table15[[#This Row],[PCTS Investment Amount]]+Table15[[#This Row],[PCTS Retirement Amount]]</f>
        <v>163732.75</v>
      </c>
      <c r="AB539" s="341"/>
      <c r="AC539" s="568" t="s">
        <v>709</v>
      </c>
      <c r="AD539" s="1157" t="s">
        <v>709</v>
      </c>
      <c r="AE539" s="579"/>
      <c r="AF539" s="579"/>
      <c r="AG539" s="579"/>
      <c r="AH539" s="553"/>
      <c r="AI539" s="1036"/>
      <c r="AJ539" s="1037"/>
      <c r="AK539" s="1037"/>
      <c r="AL539" s="1038"/>
      <c r="AM539" s="1522" t="s">
        <v>116</v>
      </c>
      <c r="AN539" s="1523">
        <v>44691</v>
      </c>
      <c r="AO539" s="1524">
        <v>11041317</v>
      </c>
      <c r="AP539" s="1525">
        <v>146485.5</v>
      </c>
      <c r="AQ539" s="1525"/>
      <c r="AR539" s="1525">
        <v>21295.81</v>
      </c>
      <c r="AS539" s="1525">
        <f>IF(Table15[[#This Row],[PCTS Approved]]="N",0,Table15[[#This Row],[Investment Amount (1'#'#'#'#'#)]]+Table15[[#This Row],[Retirement Amount (3'#'#'#'#'#)]])</f>
        <v>167781.31</v>
      </c>
      <c r="AT539" s="1525">
        <f>IF(Table15[[#This Row],[Approved Construction Cost]]=0,0,Table15[[#This Row],[Approved Construction Cost]]-Table15[[#This Row],[Construction Cost to Bill From]])</f>
        <v>4048.5599999999977</v>
      </c>
      <c r="AU539" s="1525">
        <f>IFERROR(Table15[[#This Row],[Difference in Construction Cost]]*Table15[[#This Row],[Rate]],Table15[[#This Row],[Difference in Construction Cost]]*0.085)</f>
        <v>404.85599999999977</v>
      </c>
      <c r="AV539" s="1525" t="s">
        <v>709</v>
      </c>
      <c r="AW539" s="1526"/>
      <c r="AX539" s="1525">
        <f>Table15[[#This Row],[Reconcile Amount]]</f>
        <v>404.85599999999977</v>
      </c>
      <c r="AY539" s="1518">
        <v>45008</v>
      </c>
      <c r="AZ539" s="333"/>
      <c r="BA539" s="1031" t="s">
        <v>4174</v>
      </c>
      <c r="BB539" s="644" t="s">
        <v>709</v>
      </c>
      <c r="BC539" s="544" t="s">
        <v>116</v>
      </c>
      <c r="BD539" s="544" t="s">
        <v>709</v>
      </c>
      <c r="BE539" s="544" t="s">
        <v>709</v>
      </c>
      <c r="BF539" s="544" t="s">
        <v>709</v>
      </c>
      <c r="BG539" s="544" t="s">
        <v>709</v>
      </c>
      <c r="BH539" s="741"/>
      <c r="BI539" s="547" t="s">
        <v>709</v>
      </c>
      <c r="BJ539" s="547" t="s">
        <v>709</v>
      </c>
      <c r="BK539" s="547" t="s">
        <v>709</v>
      </c>
      <c r="BL539" s="547" t="s">
        <v>116</v>
      </c>
      <c r="BM539" s="547" t="s">
        <v>709</v>
      </c>
      <c r="BN539" s="547" t="s">
        <v>709</v>
      </c>
      <c r="BO539" s="547" t="s">
        <v>709</v>
      </c>
      <c r="BP539" s="547" t="s">
        <v>709</v>
      </c>
      <c r="BQ539" s="547">
        <v>674</v>
      </c>
      <c r="BR539" s="547" t="s">
        <v>709</v>
      </c>
      <c r="BS539" s="547" t="s">
        <v>709</v>
      </c>
      <c r="BT539" s="547" t="s">
        <v>745</v>
      </c>
      <c r="BU539" s="547" t="s">
        <v>709</v>
      </c>
      <c r="BV539" s="547" t="s">
        <v>745</v>
      </c>
      <c r="BW539" s="547" t="s">
        <v>709</v>
      </c>
      <c r="BX539" s="547" t="s">
        <v>745</v>
      </c>
      <c r="BY539" s="547" t="s">
        <v>745</v>
      </c>
      <c r="BZ539" s="547" t="s">
        <v>709</v>
      </c>
      <c r="CA539" s="483"/>
      <c r="CB539" s="547">
        <v>537</v>
      </c>
      <c r="CC539" s="1481" t="b">
        <v>1</v>
      </c>
      <c r="CD539" t="str">
        <f>Table15[[#This Row],[Engineering Number]]&amp;Table15[[#This Row],[WO Number]]&amp;Table15[[#This Row],[Date Assigned to Designer]]&amp;Table15[[#This Row],[Date Completed]]</f>
        <v>N1007712110134457244624</v>
      </c>
    </row>
    <row r="540" spans="1:82" customFormat="1" ht="15" customHeight="1" x14ac:dyDescent="0.25">
      <c r="A540">
        <v>2022</v>
      </c>
      <c r="B540" s="8" t="s">
        <v>4</v>
      </c>
      <c r="C540" s="8" t="s">
        <v>4178</v>
      </c>
      <c r="D540" s="8" t="s">
        <v>4179</v>
      </c>
      <c r="E540" s="8" t="s">
        <v>3148</v>
      </c>
      <c r="F540" s="8" t="s">
        <v>919</v>
      </c>
      <c r="G540" s="8" t="s">
        <v>39</v>
      </c>
      <c r="H540" s="8" t="s">
        <v>59</v>
      </c>
      <c r="I540" s="642">
        <v>44585</v>
      </c>
      <c r="J540" s="18">
        <v>44631</v>
      </c>
      <c r="K540" s="18">
        <v>44627</v>
      </c>
      <c r="L540" s="16">
        <f>IF(ISTEXT(Table15[[#This Row],[Engineering Approved Design Date]]),Table15[[#This Row],[Date Completed]]-Table15[[#This Row],[Date Assigned to Designer]],Table15[[#This Row],[Engineering Approved Design Date]]-Table15[[#This Row],[Date Completed]])</f>
        <v>4</v>
      </c>
      <c r="M540" s="642"/>
      <c r="N540" s="642" t="s">
        <v>120</v>
      </c>
      <c r="O540" s="1025">
        <f>Table15[[#This Row],[Date Completed]]</f>
        <v>44627</v>
      </c>
      <c r="P540" s="21" t="s">
        <v>739</v>
      </c>
      <c r="Q540" s="340">
        <f>R540*AA540</f>
        <v>58127.236000000004</v>
      </c>
      <c r="R540" s="1026">
        <v>0.1</v>
      </c>
      <c r="S540" s="538" t="s">
        <v>709</v>
      </c>
      <c r="T540" s="538" t="s">
        <v>709</v>
      </c>
      <c r="U540" s="87" t="s">
        <v>709</v>
      </c>
      <c r="V540" s="857">
        <v>597</v>
      </c>
      <c r="W540" s="440"/>
      <c r="X540" s="551">
        <v>540288.98</v>
      </c>
      <c r="Y540" s="551"/>
      <c r="Z540" s="551">
        <v>40983.379999999997</v>
      </c>
      <c r="AA540" s="551">
        <f>Table15[[#This Row],[PCTS Investment Amount]]+Table15[[#This Row],[PCTS Retirement Amount]]</f>
        <v>581272.36</v>
      </c>
      <c r="AB540" s="341"/>
      <c r="AC540" s="568" t="s">
        <v>709</v>
      </c>
      <c r="AD540" s="1157"/>
      <c r="AE540" s="579"/>
      <c r="AF540" s="579"/>
      <c r="AG540" s="579"/>
      <c r="AH540" s="553"/>
      <c r="AI540" s="1036"/>
      <c r="AJ540" s="1037"/>
      <c r="AK540" s="1037"/>
      <c r="AL540" s="1038"/>
      <c r="AM540" s="1522" t="s">
        <v>116</v>
      </c>
      <c r="AN540" s="1523">
        <v>44839</v>
      </c>
      <c r="AO540" s="1524">
        <v>11046892</v>
      </c>
      <c r="AP540" s="1525">
        <v>610425.39</v>
      </c>
      <c r="AQ540" s="1525"/>
      <c r="AR540" s="1525">
        <v>41008.54</v>
      </c>
      <c r="AS540" s="1525">
        <f>IF(Table15[[#This Row],[PCTS Approved]]="N",0,Table15[[#This Row],[Investment Amount (1'#'#'#'#'#)]]+Table15[[#This Row],[Retirement Amount (3'#'#'#'#'#)]])</f>
        <v>651433.93000000005</v>
      </c>
      <c r="AT540" s="1525">
        <f>IF(Table15[[#This Row],[Approved Construction Cost]]=0,0,Table15[[#This Row],[Approved Construction Cost]]-Table15[[#This Row],[Construction Cost to Bill From]])</f>
        <v>70161.570000000065</v>
      </c>
      <c r="AU540" s="1525">
        <f>IFERROR(Table15[[#This Row],[Difference in Construction Cost]]*Table15[[#This Row],[Rate]],Table15[[#This Row],[Difference in Construction Cost]]*0.085)</f>
        <v>7016.1570000000065</v>
      </c>
      <c r="AV540" s="1525">
        <v>8045</v>
      </c>
      <c r="AW540" s="1526" t="s">
        <v>4180</v>
      </c>
      <c r="AX540" s="1525">
        <v>0</v>
      </c>
      <c r="AY540" s="1518">
        <v>45008</v>
      </c>
      <c r="AZ540" s="333"/>
      <c r="BA540" s="1031" t="s">
        <v>4181</v>
      </c>
      <c r="BB540" s="644" t="s">
        <v>709</v>
      </c>
      <c r="BC540" s="544" t="s">
        <v>116</v>
      </c>
      <c r="BD540" s="544" t="s">
        <v>882</v>
      </c>
      <c r="BE540" s="544" t="s">
        <v>709</v>
      </c>
      <c r="BF540" s="544" t="s">
        <v>709</v>
      </c>
      <c r="BG540" s="544" t="s">
        <v>709</v>
      </c>
      <c r="BH540" s="741"/>
      <c r="BI540" s="547" t="s">
        <v>709</v>
      </c>
      <c r="BJ540" s="547" t="s">
        <v>709</v>
      </c>
      <c r="BK540" s="547" t="s">
        <v>709</v>
      </c>
      <c r="BL540" s="547" t="s">
        <v>116</v>
      </c>
      <c r="BM540" s="547" t="s">
        <v>709</v>
      </c>
      <c r="BN540" s="547" t="s">
        <v>709</v>
      </c>
      <c r="BO540" s="547" t="s">
        <v>709</v>
      </c>
      <c r="BP540" s="547" t="s">
        <v>709</v>
      </c>
      <c r="BQ540" s="547">
        <v>318</v>
      </c>
      <c r="BR540" s="547">
        <v>157</v>
      </c>
      <c r="BS540" s="547">
        <v>122</v>
      </c>
      <c r="BT540" s="547" t="s">
        <v>745</v>
      </c>
      <c r="BU540" s="547" t="s">
        <v>709</v>
      </c>
      <c r="BV540" s="547" t="s">
        <v>745</v>
      </c>
      <c r="BW540" s="547" t="s">
        <v>709</v>
      </c>
      <c r="BX540" s="547" t="s">
        <v>745</v>
      </c>
      <c r="BY540" s="547" t="s">
        <v>745</v>
      </c>
      <c r="BZ540" s="547" t="s">
        <v>709</v>
      </c>
      <c r="CA540" s="483"/>
      <c r="CB540" s="547">
        <v>539</v>
      </c>
      <c r="CC540" s="1481" t="b">
        <v>1</v>
      </c>
      <c r="CD540" t="str">
        <f>Table15[[#This Row],[Engineering Number]]&amp;Table15[[#This Row],[WO Number]]&amp;Table15[[#This Row],[Date Assigned to Designer]]&amp;Table15[[#This Row],[Date Completed]]</f>
        <v>M1308512109784458544627</v>
      </c>
    </row>
    <row r="541" spans="1:82" customFormat="1" ht="15" customHeight="1" x14ac:dyDescent="0.25">
      <c r="A541">
        <v>2021</v>
      </c>
      <c r="B541" s="8" t="s">
        <v>4</v>
      </c>
      <c r="C541" s="8" t="s">
        <v>3266</v>
      </c>
      <c r="D541" s="8" t="s">
        <v>3267</v>
      </c>
      <c r="E541" s="8" t="s">
        <v>3268</v>
      </c>
      <c r="F541" s="8" t="s">
        <v>738</v>
      </c>
      <c r="G541" s="8" t="s">
        <v>39</v>
      </c>
      <c r="H541" s="8" t="s">
        <v>4001</v>
      </c>
      <c r="I541" s="642">
        <v>44621</v>
      </c>
      <c r="J541" s="18" t="s">
        <v>2052</v>
      </c>
      <c r="K541" s="97">
        <v>44627</v>
      </c>
      <c r="L541" s="16">
        <f>IF(ISTEXT(Table15[[#This Row],[Engineering Approved Design Date]]),Table15[[#This Row],[Date Completed]]-Table15[[#This Row],[Date Assigned to Designer]],Table15[[#This Row],[Engineering Approved Design Date]]-Table15[[#This Row],[Date Completed]])</f>
        <v>6</v>
      </c>
      <c r="M541" s="642" t="s">
        <v>4176</v>
      </c>
      <c r="N541" s="642" t="s">
        <v>120</v>
      </c>
      <c r="O541" s="1025">
        <f>Table15[[#This Row],[Date Completed]]</f>
        <v>44627</v>
      </c>
      <c r="P541" s="21" t="s">
        <v>739</v>
      </c>
      <c r="Q541" s="340">
        <f>Table15[[#This Row],[KH Hourly Effort]]</f>
        <v>8195</v>
      </c>
      <c r="R541" s="1026" t="s">
        <v>1922</v>
      </c>
      <c r="S541" s="538" t="s">
        <v>709</v>
      </c>
      <c r="T541" s="538" t="s">
        <v>709</v>
      </c>
      <c r="U541" s="87">
        <v>8195</v>
      </c>
      <c r="V541" s="858"/>
      <c r="W541" s="437"/>
      <c r="X541" s="538"/>
      <c r="Y541" s="551"/>
      <c r="Z541" s="538"/>
      <c r="AA541" s="538"/>
      <c r="AB541" s="21"/>
      <c r="AC541" s="569"/>
      <c r="AD541" s="1149" t="s">
        <v>709</v>
      </c>
      <c r="AE541" s="580"/>
      <c r="AF541" s="580"/>
      <c r="AG541" s="580"/>
      <c r="AH541" s="542"/>
      <c r="AI541" s="1028"/>
      <c r="AJ541" s="1029"/>
      <c r="AK541" s="1029"/>
      <c r="AL541" s="1030"/>
      <c r="AM541" s="542" t="s">
        <v>709</v>
      </c>
      <c r="AN541" s="924"/>
      <c r="AO541" s="925"/>
      <c r="AP541" s="926"/>
      <c r="AQ541" s="926"/>
      <c r="AR541" s="926"/>
      <c r="AS541" s="926"/>
      <c r="AT541" s="926"/>
      <c r="AU541" s="926"/>
      <c r="AV541" s="926"/>
      <c r="AW541" s="927"/>
      <c r="AX541" s="926"/>
      <c r="AY541" s="1538" t="s">
        <v>29</v>
      </c>
      <c r="AZ541" s="1530"/>
      <c r="BA541" s="1031">
        <v>12</v>
      </c>
      <c r="BB541" s="644" t="s">
        <v>709</v>
      </c>
      <c r="BC541" s="544"/>
      <c r="BD541" s="544"/>
      <c r="BE541" s="544"/>
      <c r="BF541" s="544"/>
      <c r="BG541" s="544"/>
      <c r="BH541" s="741"/>
      <c r="BI541" s="547" t="s">
        <v>709</v>
      </c>
      <c r="BJ541" s="547" t="s">
        <v>709</v>
      </c>
      <c r="BK541" s="547" t="s">
        <v>709</v>
      </c>
      <c r="BL541" s="547" t="s">
        <v>116</v>
      </c>
      <c r="BM541" s="547" t="s">
        <v>709</v>
      </c>
      <c r="BN541" s="547" t="s">
        <v>709</v>
      </c>
      <c r="BO541" s="547" t="s">
        <v>709</v>
      </c>
      <c r="BP541" s="547">
        <v>531</v>
      </c>
      <c r="BQ541" s="547" t="s">
        <v>709</v>
      </c>
      <c r="BR541" s="547" t="s">
        <v>709</v>
      </c>
      <c r="BS541" s="547" t="s">
        <v>709</v>
      </c>
      <c r="BT541" s="547" t="s">
        <v>709</v>
      </c>
      <c r="BU541" s="547" t="s">
        <v>709</v>
      </c>
      <c r="BV541" s="547" t="s">
        <v>745</v>
      </c>
      <c r="BW541" s="547" t="s">
        <v>709</v>
      </c>
      <c r="BX541" s="547" t="s">
        <v>709</v>
      </c>
      <c r="BY541" s="547" t="s">
        <v>745</v>
      </c>
      <c r="BZ541" s="547" t="s">
        <v>709</v>
      </c>
      <c r="CA541" s="483"/>
      <c r="CB541" s="547">
        <v>538</v>
      </c>
      <c r="CC541" s="1481" t="b">
        <v>1</v>
      </c>
      <c r="CD541" t="str">
        <f>Table15[[#This Row],[Engineering Number]]&amp;Table15[[#This Row],[WO Number]]&amp;Table15[[#This Row],[Date Assigned to Designer]]&amp;Table15[[#This Row],[Date Completed]]</f>
        <v>N140161293394462144627</v>
      </c>
    </row>
    <row r="542" spans="1:82" customFormat="1" ht="15" customHeight="1" x14ac:dyDescent="0.25">
      <c r="A542">
        <v>2022</v>
      </c>
      <c r="B542" s="8" t="s">
        <v>1073</v>
      </c>
      <c r="C542" s="8" t="s">
        <v>4183</v>
      </c>
      <c r="D542" s="8" t="s">
        <v>4184</v>
      </c>
      <c r="E542" s="8" t="s">
        <v>232</v>
      </c>
      <c r="F542" s="8" t="s">
        <v>919</v>
      </c>
      <c r="G542" s="8" t="s">
        <v>36</v>
      </c>
      <c r="H542" s="8" t="s">
        <v>59</v>
      </c>
      <c r="I542" s="642">
        <v>44588</v>
      </c>
      <c r="J542" s="18">
        <v>44630</v>
      </c>
      <c r="K542" s="18">
        <v>44628</v>
      </c>
      <c r="L542" s="16">
        <f>IF(ISTEXT(Table15[[#This Row],[Engineering Approved Design Date]]),Table15[[#This Row],[Date Completed]]-Table15[[#This Row],[Date Assigned to Designer]],Table15[[#This Row],[Engineering Approved Design Date]]-Table15[[#This Row],[Date Completed]])</f>
        <v>2</v>
      </c>
      <c r="M542" s="642"/>
      <c r="N542" s="642" t="s">
        <v>120</v>
      </c>
      <c r="O542" s="1025">
        <f>Table15[[#This Row],[Date Completed]]</f>
        <v>44628</v>
      </c>
      <c r="P542" s="21" t="s">
        <v>739</v>
      </c>
      <c r="Q542" s="340">
        <f>R542*AA542</f>
        <v>22155.3269</v>
      </c>
      <c r="R542" s="1026">
        <v>7.0000000000000007E-2</v>
      </c>
      <c r="S542" s="538" t="s">
        <v>709</v>
      </c>
      <c r="T542" s="538" t="s">
        <v>709</v>
      </c>
      <c r="U542" s="87" t="s">
        <v>709</v>
      </c>
      <c r="V542" s="857">
        <v>1556</v>
      </c>
      <c r="W542" s="440"/>
      <c r="X542" s="551">
        <v>316504.67</v>
      </c>
      <c r="Y542" s="551"/>
      <c r="Z542" s="551"/>
      <c r="AA542" s="551">
        <f>Table15[[#This Row],[PCTS Investment Amount]]+Table15[[#This Row],[PCTS Retirement Amount]]</f>
        <v>316504.67</v>
      </c>
      <c r="AB542" s="341"/>
      <c r="AC542" s="568" t="s">
        <v>116</v>
      </c>
      <c r="AD542" s="1157"/>
      <c r="AE542" s="568"/>
      <c r="AF542" s="568"/>
      <c r="AG542" s="568"/>
      <c r="AH542" s="183"/>
      <c r="AI542" s="1036"/>
      <c r="AJ542" s="1037"/>
      <c r="AK542" s="1037"/>
      <c r="AL542" s="1038"/>
      <c r="AM542" s="1522" t="s">
        <v>116</v>
      </c>
      <c r="AN542" s="1523">
        <v>44671</v>
      </c>
      <c r="AO542" s="1524">
        <v>11040661</v>
      </c>
      <c r="AP542" s="1525">
        <v>359021.47</v>
      </c>
      <c r="AQ542" s="1525"/>
      <c r="AR542" s="1525">
        <v>0</v>
      </c>
      <c r="AS542" s="1525">
        <f>IF(Table15[[#This Row],[PCTS Approved]]="N",0,Table15[[#This Row],[Investment Amount (1'#'#'#'#'#)]]+Table15[[#This Row],[Retirement Amount (3'#'#'#'#'#)]])</f>
        <v>359021.47</v>
      </c>
      <c r="AT542" s="1525">
        <f>IF(Table15[[#This Row],[Approved Construction Cost]]=0,0,Table15[[#This Row],[Approved Construction Cost]]-Table15[[#This Row],[Construction Cost to Bill From]])</f>
        <v>42516.799999999988</v>
      </c>
      <c r="AU542" s="1525">
        <f>IFERROR(Table15[[#This Row],[Difference in Construction Cost]]*Table15[[#This Row],[Rate]],Table15[[#This Row],[Difference in Construction Cost]]*0.085)</f>
        <v>2976.1759999999995</v>
      </c>
      <c r="AV542" s="1525" t="s">
        <v>709</v>
      </c>
      <c r="AW542" s="1526" t="s">
        <v>4185</v>
      </c>
      <c r="AX542" s="1525">
        <f>Table15[[#This Row],[Reconcile Amount]]</f>
        <v>2976.1759999999995</v>
      </c>
      <c r="AY542" s="1518">
        <v>45008</v>
      </c>
      <c r="AZ542" s="333"/>
      <c r="BA542" s="1031" t="s">
        <v>4186</v>
      </c>
      <c r="BB542" s="644" t="s">
        <v>4187</v>
      </c>
      <c r="BC542" s="544" t="s">
        <v>709</v>
      </c>
      <c r="BD542" s="544" t="s">
        <v>709</v>
      </c>
      <c r="BE542" s="544" t="s">
        <v>709</v>
      </c>
      <c r="BF542" s="544" t="s">
        <v>709</v>
      </c>
      <c r="BG542" s="544" t="s">
        <v>709</v>
      </c>
      <c r="BH542" s="741"/>
      <c r="BI542" s="547" t="s">
        <v>709</v>
      </c>
      <c r="BJ542" s="547" t="s">
        <v>709</v>
      </c>
      <c r="BK542" s="547" t="s">
        <v>116</v>
      </c>
      <c r="BL542" s="547" t="s">
        <v>709</v>
      </c>
      <c r="BM542" s="547" t="s">
        <v>709</v>
      </c>
      <c r="BN542" s="547" t="s">
        <v>709</v>
      </c>
      <c r="BO542" s="547" t="s">
        <v>709</v>
      </c>
      <c r="BP542" s="547" t="s">
        <v>709</v>
      </c>
      <c r="BQ542" s="547" t="s">
        <v>709</v>
      </c>
      <c r="BR542" s="547" t="s">
        <v>709</v>
      </c>
      <c r="BS542" s="547">
        <v>1556</v>
      </c>
      <c r="BT542" s="547" t="s">
        <v>709</v>
      </c>
      <c r="BU542" s="547" t="s">
        <v>709</v>
      </c>
      <c r="BV542" s="547" t="s">
        <v>709</v>
      </c>
      <c r="BW542" s="547" t="s">
        <v>709</v>
      </c>
      <c r="BX542" s="547" t="s">
        <v>745</v>
      </c>
      <c r="BY542" s="547" t="s">
        <v>745</v>
      </c>
      <c r="BZ542" s="547" t="s">
        <v>709</v>
      </c>
      <c r="CA542" s="483"/>
      <c r="CB542" s="547">
        <v>541</v>
      </c>
      <c r="CC542" s="1481" t="b">
        <v>1</v>
      </c>
      <c r="CD542" t="str">
        <f>Table15[[#This Row],[Engineering Number]]&amp;Table15[[#This Row],[WO Number]]&amp;Table15[[#This Row],[Date Assigned to Designer]]&amp;Table15[[#This Row],[Date Completed]]</f>
        <v>NBA1000217819107704458844628</v>
      </c>
    </row>
    <row r="543" spans="1:82" customFormat="1" ht="15" customHeight="1" x14ac:dyDescent="0.25">
      <c r="A543">
        <v>2022</v>
      </c>
      <c r="B543" s="8" t="s">
        <v>4</v>
      </c>
      <c r="C543" s="8" t="s">
        <v>936</v>
      </c>
      <c r="D543" s="8" t="s">
        <v>937</v>
      </c>
      <c r="E543" s="8" t="s">
        <v>887</v>
      </c>
      <c r="F543" s="8" t="s">
        <v>738</v>
      </c>
      <c r="G543" s="8" t="s">
        <v>23</v>
      </c>
      <c r="H543" s="8" t="s">
        <v>4189</v>
      </c>
      <c r="I543" s="642">
        <v>44616</v>
      </c>
      <c r="J543" s="18" t="s">
        <v>2052</v>
      </c>
      <c r="K543" s="97">
        <v>44628</v>
      </c>
      <c r="L543" s="16">
        <f>IF(ISTEXT(Table15[[#This Row],[Engineering Approved Design Date]]),Table15[[#This Row],[Date Completed]]-Table15[[#This Row],[Date Assigned to Designer]],Table15[[#This Row],[Engineering Approved Design Date]]-Table15[[#This Row],[Date Completed]])</f>
        <v>12</v>
      </c>
      <c r="M543" s="642" t="s">
        <v>4190</v>
      </c>
      <c r="N543" s="642" t="s">
        <v>120</v>
      </c>
      <c r="O543" s="1025">
        <f>Table15[[#This Row],[Date Completed]]</f>
        <v>44628</v>
      </c>
      <c r="P543" s="21" t="s">
        <v>739</v>
      </c>
      <c r="Q543" s="340">
        <f>Table15[[#This Row],[KH Hourly Effort]]</f>
        <v>2822.5</v>
      </c>
      <c r="R543" s="1026" t="s">
        <v>1922</v>
      </c>
      <c r="S543" s="538" t="s">
        <v>709</v>
      </c>
      <c r="T543" s="538" t="s">
        <v>709</v>
      </c>
      <c r="U543" s="87">
        <v>2822.5</v>
      </c>
      <c r="V543" s="858"/>
      <c r="W543" s="437"/>
      <c r="X543" s="538"/>
      <c r="Y543" s="551"/>
      <c r="Z543" s="538"/>
      <c r="AA543" s="538"/>
      <c r="AB543" s="21"/>
      <c r="AC543" s="569"/>
      <c r="AD543" s="1149" t="s">
        <v>709</v>
      </c>
      <c r="AE543" s="580"/>
      <c r="AF543" s="580"/>
      <c r="AG543" s="580"/>
      <c r="AH543" s="542"/>
      <c r="AI543" s="1028"/>
      <c r="AJ543" s="1029"/>
      <c r="AK543" s="1029"/>
      <c r="AL543" s="1030"/>
      <c r="AM543" s="542" t="s">
        <v>709</v>
      </c>
      <c r="AN543" s="924"/>
      <c r="AO543" s="925"/>
      <c r="AP543" s="926"/>
      <c r="AQ543" s="926"/>
      <c r="AR543" s="926"/>
      <c r="AS543" s="926"/>
      <c r="AT543" s="926"/>
      <c r="AU543" s="926"/>
      <c r="AV543" s="926"/>
      <c r="AW543" s="927"/>
      <c r="AX543" s="926"/>
      <c r="AY543" s="1538" t="s">
        <v>29</v>
      </c>
      <c r="AZ543" s="1530"/>
      <c r="BA543" s="1031">
        <v>4</v>
      </c>
      <c r="BB543" s="644" t="s">
        <v>116</v>
      </c>
      <c r="BC543" s="544"/>
      <c r="BD543" s="544"/>
      <c r="BE543" s="544"/>
      <c r="BF543" s="544"/>
      <c r="BG543" s="544"/>
      <c r="BH543" s="741"/>
      <c r="BI543" s="547" t="s">
        <v>709</v>
      </c>
      <c r="BJ543" s="547" t="s">
        <v>709</v>
      </c>
      <c r="BK543" s="547" t="s">
        <v>709</v>
      </c>
      <c r="BL543" s="547" t="s">
        <v>116</v>
      </c>
      <c r="BM543" s="547" t="s">
        <v>709</v>
      </c>
      <c r="BN543" s="547" t="s">
        <v>709</v>
      </c>
      <c r="BO543" s="547" t="s">
        <v>709</v>
      </c>
      <c r="BP543" s="547" t="s">
        <v>709</v>
      </c>
      <c r="BQ543" s="547" t="s">
        <v>709</v>
      </c>
      <c r="BR543" s="547">
        <v>3946</v>
      </c>
      <c r="BS543" s="547">
        <v>2482</v>
      </c>
      <c r="BT543" s="547" t="s">
        <v>745</v>
      </c>
      <c r="BU543" s="547" t="s">
        <v>709</v>
      </c>
      <c r="BV543" s="547" t="s">
        <v>745</v>
      </c>
      <c r="BW543" s="547" t="s">
        <v>709</v>
      </c>
      <c r="BX543" s="547" t="s">
        <v>745</v>
      </c>
      <c r="BY543" s="547" t="s">
        <v>745</v>
      </c>
      <c r="BZ543" s="547" t="s">
        <v>709</v>
      </c>
      <c r="CA543" s="483"/>
      <c r="CB543" s="547">
        <v>540</v>
      </c>
      <c r="CC543" s="1481" t="b">
        <v>1</v>
      </c>
      <c r="CD543" t="str">
        <f>Table15[[#This Row],[Engineering Number]]&amp;Table15[[#This Row],[WO Number]]&amp;Table15[[#This Row],[Date Assigned to Designer]]&amp;Table15[[#This Row],[Date Completed]]</f>
        <v>SC1733013107274461644628</v>
      </c>
    </row>
    <row r="544" spans="1:82" customFormat="1" ht="15" customHeight="1" x14ac:dyDescent="0.25">
      <c r="A544">
        <v>2022</v>
      </c>
      <c r="B544" s="8" t="s">
        <v>1073</v>
      </c>
      <c r="C544" s="8" t="s">
        <v>4087</v>
      </c>
      <c r="D544" s="8" t="s">
        <v>4088</v>
      </c>
      <c r="E544" s="8" t="s">
        <v>61</v>
      </c>
      <c r="F544" s="8" t="s">
        <v>738</v>
      </c>
      <c r="G544" s="8" t="s">
        <v>35</v>
      </c>
      <c r="H544" s="8" t="s">
        <v>4192</v>
      </c>
      <c r="I544" s="642">
        <v>44628</v>
      </c>
      <c r="J544" s="18" t="s">
        <v>2612</v>
      </c>
      <c r="K544" s="97">
        <v>44628</v>
      </c>
      <c r="L544" s="16">
        <f>IF(ISTEXT(Table15[[#This Row],[Engineering Approved Design Date]]),Table15[[#This Row],[Date Completed]]-Table15[[#This Row],[Date Assigned to Designer]],Table15[[#This Row],[Engineering Approved Design Date]]-Table15[[#This Row],[Date Completed]])</f>
        <v>0</v>
      </c>
      <c r="N544" s="642" t="s">
        <v>120</v>
      </c>
      <c r="O544" s="1025">
        <v>44738</v>
      </c>
      <c r="P544" s="21" t="s">
        <v>739</v>
      </c>
      <c r="Q544" s="1151" t="s">
        <v>115</v>
      </c>
      <c r="R544" s="1026" t="s">
        <v>115</v>
      </c>
      <c r="S544" s="538"/>
      <c r="T544" s="538"/>
      <c r="U544" s="87"/>
      <c r="V544" s="858"/>
      <c r="W544" s="437"/>
      <c r="X544" s="538"/>
      <c r="Y544" s="551"/>
      <c r="Z544" s="538"/>
      <c r="AA544" s="551"/>
      <c r="AB544" s="21"/>
      <c r="AC544" s="569"/>
      <c r="AD544" s="1149" t="s">
        <v>709</v>
      </c>
      <c r="AE544" s="569"/>
      <c r="AF544" s="569"/>
      <c r="AG544" s="569"/>
      <c r="AH544" s="536"/>
      <c r="AI544" s="1028"/>
      <c r="AJ544" s="1029"/>
      <c r="AK544" s="1029"/>
      <c r="AL544" s="1030"/>
      <c r="AM544" s="542" t="s">
        <v>709</v>
      </c>
      <c r="AN544" s="924"/>
      <c r="AO544" s="925"/>
      <c r="AP544" s="926"/>
      <c r="AQ544" s="926"/>
      <c r="AR544" s="926"/>
      <c r="AS544" s="926"/>
      <c r="AT544" s="926"/>
      <c r="AU544" s="926"/>
      <c r="AV544" s="926"/>
      <c r="AW544" s="927"/>
      <c r="AX544" s="926"/>
      <c r="AY544" s="1538" t="s">
        <v>29</v>
      </c>
      <c r="AZ544" s="1530"/>
      <c r="BA544" s="1031" t="s">
        <v>4193</v>
      </c>
      <c r="BB544" s="644" t="s">
        <v>4194</v>
      </c>
      <c r="BC544" s="544"/>
      <c r="BD544" s="544"/>
      <c r="BE544" s="544"/>
      <c r="BF544" s="544"/>
      <c r="BG544" s="544"/>
      <c r="BH544" s="741"/>
      <c r="BI544" s="547" t="s">
        <v>709</v>
      </c>
      <c r="BJ544" s="547" t="s">
        <v>709</v>
      </c>
      <c r="BK544" s="547" t="s">
        <v>116</v>
      </c>
      <c r="BL544" s="547" t="s">
        <v>116</v>
      </c>
      <c r="BM544" s="547" t="s">
        <v>709</v>
      </c>
      <c r="BN544" s="547" t="s">
        <v>709</v>
      </c>
      <c r="BO544" s="547" t="s">
        <v>709</v>
      </c>
      <c r="BP544" s="547" t="s">
        <v>709</v>
      </c>
      <c r="BQ544" s="547" t="s">
        <v>116</v>
      </c>
      <c r="BR544" s="547" t="s">
        <v>116</v>
      </c>
      <c r="BS544" s="547" t="s">
        <v>116</v>
      </c>
      <c r="BT544" s="547" t="s">
        <v>709</v>
      </c>
      <c r="BU544" s="547" t="s">
        <v>709</v>
      </c>
      <c r="BV544" s="547" t="s">
        <v>745</v>
      </c>
      <c r="BW544" s="547" t="s">
        <v>709</v>
      </c>
      <c r="BX544" s="547" t="s">
        <v>709</v>
      </c>
      <c r="BY544" s="547" t="s">
        <v>116</v>
      </c>
      <c r="BZ544" s="547" t="s">
        <v>709</v>
      </c>
      <c r="CA544" s="483"/>
      <c r="CB544" s="547">
        <v>542</v>
      </c>
      <c r="CC544" s="1481" t="b">
        <v>1</v>
      </c>
      <c r="CD544" t="str">
        <f>Table15[[#This Row],[Engineering Number]]&amp;Table15[[#This Row],[WO Number]]&amp;Table15[[#This Row],[Date Assigned to Designer]]&amp;Table15[[#This Row],[Date Completed]]</f>
        <v>NBA1000279616108414462844628</v>
      </c>
    </row>
    <row r="545" spans="1:82" customFormat="1" ht="15" customHeight="1" x14ac:dyDescent="0.25">
      <c r="A545">
        <v>2022</v>
      </c>
      <c r="B545" s="8" t="s">
        <v>2989</v>
      </c>
      <c r="C545" s="8" t="s">
        <v>4196</v>
      </c>
      <c r="D545" s="8" t="s">
        <v>4197</v>
      </c>
      <c r="E545" s="8" t="s">
        <v>4198</v>
      </c>
      <c r="F545" s="8" t="s">
        <v>752</v>
      </c>
      <c r="G545" s="8" t="s">
        <v>35</v>
      </c>
      <c r="H545" s="8" t="s">
        <v>59</v>
      </c>
      <c r="I545" s="642">
        <v>44551</v>
      </c>
      <c r="J545" s="18">
        <v>44641</v>
      </c>
      <c r="K545" s="18">
        <v>44634</v>
      </c>
      <c r="L545" s="16">
        <f>IF(ISTEXT(Table15[[#This Row],[Engineering Approved Design Date]]),Table15[[#This Row],[Date Completed]]-Table15[[#This Row],[Date Assigned to Designer]],Table15[[#This Row],[Engineering Approved Design Date]]-Table15[[#This Row],[Date Completed]])</f>
        <v>7</v>
      </c>
      <c r="M545" s="642"/>
      <c r="N545" s="642" t="s">
        <v>120</v>
      </c>
      <c r="O545" s="1025">
        <f>Table15[[#This Row],[Date Completed]]</f>
        <v>44634</v>
      </c>
      <c r="P545" s="21" t="s">
        <v>739</v>
      </c>
      <c r="Q545" s="340">
        <f>R545*AA545</f>
        <v>6964.7210999999988</v>
      </c>
      <c r="R545" s="1026">
        <v>0.09</v>
      </c>
      <c r="S545" s="538" t="s">
        <v>709</v>
      </c>
      <c r="T545" s="538" t="s">
        <v>709</v>
      </c>
      <c r="U545" s="87" t="s">
        <v>709</v>
      </c>
      <c r="V545" s="857">
        <v>268</v>
      </c>
      <c r="W545" s="440"/>
      <c r="X545" s="551">
        <v>0</v>
      </c>
      <c r="Y545" s="551"/>
      <c r="Z545" s="551">
        <v>77385.789999999994</v>
      </c>
      <c r="AA545" s="551">
        <f>Table15[[#This Row],[PCTS Investment Amount]]+Table15[[#This Row],[PCTS Retirement Amount]]</f>
        <v>77385.789999999994</v>
      </c>
      <c r="AB545" s="341"/>
      <c r="AC545" s="568" t="s">
        <v>709</v>
      </c>
      <c r="AD545" s="1157" t="s">
        <v>29</v>
      </c>
      <c r="AE545" s="579"/>
      <c r="AF545" s="579"/>
      <c r="AG545" s="579"/>
      <c r="AH545" s="553"/>
      <c r="AI545" s="1036"/>
      <c r="AJ545" s="1037"/>
      <c r="AK545" s="1037"/>
      <c r="AL545" s="1038"/>
      <c r="AM545" s="1522" t="s">
        <v>116</v>
      </c>
      <c r="AN545" s="1523">
        <v>44699</v>
      </c>
      <c r="AO545" s="1524">
        <v>11041191</v>
      </c>
      <c r="AP545" s="1525">
        <v>0</v>
      </c>
      <c r="AQ545" s="1525"/>
      <c r="AR545" s="1525">
        <v>77543.210000000006</v>
      </c>
      <c r="AS545" s="1525">
        <f>IF(Table15[[#This Row],[PCTS Approved]]="N",0,Table15[[#This Row],[Investment Amount (1'#'#'#'#'#)]]+Table15[[#This Row],[Retirement Amount (3'#'#'#'#'#)]])</f>
        <v>77543.210000000006</v>
      </c>
      <c r="AT545" s="1525">
        <f>IF(Table15[[#This Row],[Approved Construction Cost]]=0,0,Table15[[#This Row],[Approved Construction Cost]]-Table15[[#This Row],[Construction Cost to Bill From]])</f>
        <v>157.42000000001281</v>
      </c>
      <c r="AU545" s="1525">
        <f>IFERROR(Table15[[#This Row],[Difference in Construction Cost]]*Table15[[#This Row],[Rate]],Table15[[#This Row],[Difference in Construction Cost]]*0.085)</f>
        <v>14.167800000001153</v>
      </c>
      <c r="AV545" s="1525" t="s">
        <v>709</v>
      </c>
      <c r="AW545" s="1526"/>
      <c r="AX545" s="1525">
        <f>Table15[[#This Row],[Reconcile Amount]]</f>
        <v>14.167800000001153</v>
      </c>
      <c r="AY545" s="1518">
        <v>45008</v>
      </c>
      <c r="AZ545" s="333"/>
      <c r="BA545" s="1031" t="s">
        <v>4199</v>
      </c>
      <c r="BB545" s="644" t="s">
        <v>4200</v>
      </c>
      <c r="BC545" s="544" t="s">
        <v>116</v>
      </c>
      <c r="BD545" s="544" t="s">
        <v>709</v>
      </c>
      <c r="BE545" s="544" t="s">
        <v>709</v>
      </c>
      <c r="BF545" s="544" t="s">
        <v>709</v>
      </c>
      <c r="BG545" s="544" t="s">
        <v>709</v>
      </c>
      <c r="BH545" s="741"/>
      <c r="BI545" s="547" t="s">
        <v>709</v>
      </c>
      <c r="BJ545" s="547" t="s">
        <v>709</v>
      </c>
      <c r="BK545" s="547" t="s">
        <v>709</v>
      </c>
      <c r="BL545" s="547" t="s">
        <v>709</v>
      </c>
      <c r="BM545" s="547" t="s">
        <v>709</v>
      </c>
      <c r="BN545" s="547" t="s">
        <v>709</v>
      </c>
      <c r="BO545" s="547" t="s">
        <v>709</v>
      </c>
      <c r="BP545" s="547" t="s">
        <v>709</v>
      </c>
      <c r="BQ545" s="547" t="s">
        <v>709</v>
      </c>
      <c r="BR545" s="547" t="s">
        <v>709</v>
      </c>
      <c r="BS545" s="547" t="s">
        <v>709</v>
      </c>
      <c r="BT545" s="547" t="s">
        <v>745</v>
      </c>
      <c r="BU545" s="547" t="s">
        <v>709</v>
      </c>
      <c r="BV545" s="547">
        <v>2</v>
      </c>
      <c r="BW545" s="547" t="s">
        <v>709</v>
      </c>
      <c r="BX545" s="547" t="s">
        <v>745</v>
      </c>
      <c r="BY545" s="547" t="s">
        <v>745</v>
      </c>
      <c r="BZ545" s="547" t="s">
        <v>709</v>
      </c>
      <c r="CA545" s="483" t="s">
        <v>2</v>
      </c>
      <c r="CB545" s="547">
        <v>543</v>
      </c>
      <c r="CC545" s="1481" t="b">
        <v>1</v>
      </c>
      <c r="CD545" t="str">
        <f>Table15[[#This Row],[Engineering Number]]&amp;Table15[[#This Row],[WO Number]]&amp;Table15[[#This Row],[Date Assigned to Designer]]&amp;Table15[[#This Row],[Date Completed]]</f>
        <v>MR182832108564455144634</v>
      </c>
    </row>
    <row r="546" spans="1:82" customFormat="1" ht="15" customHeight="1" x14ac:dyDescent="0.25">
      <c r="A546">
        <v>2022</v>
      </c>
      <c r="B546" s="8" t="s">
        <v>4</v>
      </c>
      <c r="C546" s="8" t="s">
        <v>4207</v>
      </c>
      <c r="D546" s="8" t="s">
        <v>115</v>
      </c>
      <c r="E546" s="8" t="s">
        <v>1164</v>
      </c>
      <c r="F546" s="8" t="s">
        <v>738</v>
      </c>
      <c r="G546" s="8" t="s">
        <v>39</v>
      </c>
      <c r="H546" s="8" t="s">
        <v>1903</v>
      </c>
      <c r="I546" s="642">
        <v>44355</v>
      </c>
      <c r="J546" s="18">
        <v>44880</v>
      </c>
      <c r="K546" s="18">
        <v>44635</v>
      </c>
      <c r="L546" s="16">
        <f>IF(ISTEXT(Table15[[#This Row],[Engineering Approved Design Date]]),Table15[[#This Row],[Date Completed]]-Table15[[#This Row],[Date Assigned to Designer]],Table15[[#This Row],[Engineering Approved Design Date]]-Table15[[#This Row],[Date Completed]])</f>
        <v>245</v>
      </c>
      <c r="M546" s="642"/>
      <c r="N546" s="642" t="s">
        <v>120</v>
      </c>
      <c r="O546" s="1025">
        <f>Table15[[#This Row],[Date Completed]]</f>
        <v>44635</v>
      </c>
      <c r="P546" s="21" t="s">
        <v>739</v>
      </c>
      <c r="Q546" s="340" t="s">
        <v>115</v>
      </c>
      <c r="R546" s="1026" t="s">
        <v>115</v>
      </c>
      <c r="S546" s="538" t="s">
        <v>709</v>
      </c>
      <c r="T546" s="538" t="s">
        <v>709</v>
      </c>
      <c r="U546" s="87" t="s">
        <v>709</v>
      </c>
      <c r="V546" s="857"/>
      <c r="W546" s="440"/>
      <c r="X546" s="551"/>
      <c r="Y546" s="551"/>
      <c r="Z546" s="551"/>
      <c r="AA546" s="551"/>
      <c r="AB546" s="341"/>
      <c r="AC546" s="568"/>
      <c r="AD546" s="1157"/>
      <c r="AE546" s="579"/>
      <c r="AF546" s="579"/>
      <c r="AG546" s="579"/>
      <c r="AH546" s="553"/>
      <c r="AI546" s="1036"/>
      <c r="AJ546" s="1037"/>
      <c r="AK546" s="1037"/>
      <c r="AL546" s="1038"/>
      <c r="AM546" s="542" t="s">
        <v>709</v>
      </c>
      <c r="AN546" s="924"/>
      <c r="AO546" s="925"/>
      <c r="AP546" s="926"/>
      <c r="AQ546" s="926"/>
      <c r="AR546" s="926"/>
      <c r="AS546" s="926"/>
      <c r="AT546" s="926"/>
      <c r="AU546" s="926"/>
      <c r="AV546" s="926"/>
      <c r="AW546" s="927"/>
      <c r="AX546" s="926"/>
      <c r="AY546" s="1538" t="s">
        <v>29</v>
      </c>
      <c r="AZ546" s="1530"/>
      <c r="BA546" s="1031" t="s">
        <v>4208</v>
      </c>
      <c r="BB546" s="644" t="s">
        <v>116</v>
      </c>
      <c r="BC546" s="544"/>
      <c r="BD546" s="544"/>
      <c r="BE546" s="544"/>
      <c r="BF546" s="544"/>
      <c r="BG546" s="544"/>
      <c r="BH546" s="741"/>
      <c r="BI546" s="1032"/>
      <c r="BJ546" s="1032"/>
      <c r="BK546" s="1032"/>
      <c r="BL546" s="1032"/>
      <c r="BM546" s="1032"/>
      <c r="BN546" s="1032"/>
      <c r="BO546" s="1032"/>
      <c r="BP546" s="1032"/>
      <c r="BQ546" s="1032"/>
      <c r="BR546" s="1032"/>
      <c r="BS546" s="1032"/>
      <c r="BT546" s="1032"/>
      <c r="BU546" s="1032"/>
      <c r="BV546" s="1032"/>
      <c r="BW546" s="1032"/>
      <c r="BX546" s="1032"/>
      <c r="BY546" s="1032"/>
      <c r="BZ546" s="1032"/>
      <c r="CA546" s="485"/>
      <c r="CB546" s="547">
        <v>545</v>
      </c>
      <c r="CC546" s="1481" t="b">
        <v>1</v>
      </c>
      <c r="CD546" t="str">
        <f>Table15[[#This Row],[Engineering Number]]&amp;Table15[[#This Row],[WO Number]]&amp;Table15[[#This Row],[Date Assigned to Designer]]&amp;Table15[[#This Row],[Date Completed]]</f>
        <v>SC19274-4435544635</v>
      </c>
    </row>
    <row r="547" spans="1:82" customFormat="1" ht="15" customHeight="1" x14ac:dyDescent="0.25">
      <c r="A547">
        <v>2022</v>
      </c>
      <c r="B547" s="8" t="s">
        <v>4</v>
      </c>
      <c r="C547" s="8" t="s">
        <v>4207</v>
      </c>
      <c r="D547" s="8" t="s">
        <v>115</v>
      </c>
      <c r="E547" s="8" t="s">
        <v>1164</v>
      </c>
      <c r="F547" s="8" t="s">
        <v>738</v>
      </c>
      <c r="G547" s="8" t="s">
        <v>39</v>
      </c>
      <c r="H547" s="8" t="s">
        <v>4109</v>
      </c>
      <c r="I547" s="642">
        <v>44355</v>
      </c>
      <c r="J547" s="18" t="s">
        <v>4110</v>
      </c>
      <c r="K547" s="18">
        <v>44635</v>
      </c>
      <c r="L547" s="16">
        <f>IF(ISTEXT(Table15[[#This Row],[Engineering Approved Design Date]]),Table15[[#This Row],[Date Completed]]-Table15[[#This Row],[Date Assigned to Designer]],Table15[[#This Row],[Engineering Approved Design Date]]-Table15[[#This Row],[Date Completed]])</f>
        <v>280</v>
      </c>
      <c r="M547" s="16" t="s">
        <v>4210</v>
      </c>
      <c r="N547" s="642" t="s">
        <v>120</v>
      </c>
      <c r="O547" s="1025">
        <f>Table15[[#This Row],[Date Completed]]</f>
        <v>44635</v>
      </c>
      <c r="P547" s="21" t="s">
        <v>739</v>
      </c>
      <c r="Q547" s="340">
        <f>Table15[[#This Row],[Shactee Effort]]+Table15[[#This Row],[KH Hourly Effort]]</f>
        <v>2974</v>
      </c>
      <c r="R547" s="1026" t="s">
        <v>1922</v>
      </c>
      <c r="S547" s="551">
        <v>1449</v>
      </c>
      <c r="T547" s="538" t="s">
        <v>709</v>
      </c>
      <c r="U547" s="87">
        <v>1525</v>
      </c>
      <c r="V547" s="857"/>
      <c r="W547" s="440"/>
      <c r="X547" s="570"/>
      <c r="Y547" s="550"/>
      <c r="Z547" s="570"/>
      <c r="AA547" s="551"/>
      <c r="AB547" s="341"/>
      <c r="AC547" s="568"/>
      <c r="AD547" s="1157"/>
      <c r="AE547" s="579" t="s">
        <v>29</v>
      </c>
      <c r="AF547" s="579" t="s">
        <v>29</v>
      </c>
      <c r="AG547" s="579" t="s">
        <v>29</v>
      </c>
      <c r="AH547" s="553" t="s">
        <v>29</v>
      </c>
      <c r="AI547" s="1036"/>
      <c r="AJ547" s="1037"/>
      <c r="AK547" s="1037"/>
      <c r="AL547" s="1038"/>
      <c r="AM547" s="542" t="s">
        <v>709</v>
      </c>
      <c r="AN547" s="924"/>
      <c r="AO547" s="925"/>
      <c r="AP547" s="926"/>
      <c r="AQ547" s="926"/>
      <c r="AR547" s="926"/>
      <c r="AS547" s="926"/>
      <c r="AT547" s="926"/>
      <c r="AU547" s="926"/>
      <c r="AV547" s="926"/>
      <c r="AW547" s="927"/>
      <c r="AX547" s="926"/>
      <c r="AY547" s="1538" t="s">
        <v>29</v>
      </c>
      <c r="AZ547" s="1530"/>
      <c r="BA547" s="1031" t="s">
        <v>4208</v>
      </c>
      <c r="BB547" s="644" t="s">
        <v>116</v>
      </c>
      <c r="BC547" s="544"/>
      <c r="BD547" s="544"/>
      <c r="BE547" s="544"/>
      <c r="BF547" s="544"/>
      <c r="BG547" s="544"/>
      <c r="BH547" s="741"/>
      <c r="BI547" s="1032"/>
      <c r="BJ547" s="1032"/>
      <c r="BK547" s="1032"/>
      <c r="BL547" s="1032"/>
      <c r="BM547" s="1032"/>
      <c r="BN547" s="1032"/>
      <c r="BO547" s="1032"/>
      <c r="BP547" s="1032"/>
      <c r="BQ547" s="1032"/>
      <c r="BR547" s="1032"/>
      <c r="BS547" s="1032"/>
      <c r="BT547" s="1032"/>
      <c r="BU547" s="1032"/>
      <c r="BV547" s="1032"/>
      <c r="BW547" s="1032"/>
      <c r="BX547" s="1032"/>
      <c r="BY547" s="1032"/>
      <c r="BZ547" s="1032"/>
      <c r="CA547" s="485"/>
      <c r="CB547" s="547">
        <v>546</v>
      </c>
      <c r="CC547" s="1481" t="b">
        <v>1</v>
      </c>
      <c r="CD547" t="str">
        <f>Table15[[#This Row],[Engineering Number]]&amp;Table15[[#This Row],[WO Number]]&amp;Table15[[#This Row],[Date Assigned to Designer]]&amp;Table15[[#This Row],[Date Completed]]</f>
        <v>SC19274-4435544635</v>
      </c>
    </row>
    <row r="548" spans="1:82" customFormat="1" ht="15" customHeight="1" x14ac:dyDescent="0.25">
      <c r="A548">
        <v>2021</v>
      </c>
      <c r="B548" s="8" t="s">
        <v>769</v>
      </c>
      <c r="C548" s="8" t="s">
        <v>3313</v>
      </c>
      <c r="D548" s="8" t="s">
        <v>3314</v>
      </c>
      <c r="E548" s="8" t="s">
        <v>3315</v>
      </c>
      <c r="F548" s="8" t="s">
        <v>4204</v>
      </c>
      <c r="G548" s="8" t="s">
        <v>40</v>
      </c>
      <c r="H548" s="8" t="s">
        <v>3178</v>
      </c>
      <c r="I548" s="642">
        <v>44628</v>
      </c>
      <c r="J548" s="18" t="s">
        <v>2052</v>
      </c>
      <c r="K548" s="18">
        <v>44635</v>
      </c>
      <c r="L548" s="16">
        <f>IF(ISTEXT(Table15[[#This Row],[Engineering Approved Design Date]]),Table15[[#This Row],[Date Completed]]-Table15[[#This Row],[Date Assigned to Designer]],Table15[[#This Row],[Engineering Approved Design Date]]-Table15[[#This Row],[Date Completed]])</f>
        <v>7</v>
      </c>
      <c r="M548" s="642" t="s">
        <v>4205</v>
      </c>
      <c r="N548" s="642" t="s">
        <v>120</v>
      </c>
      <c r="O548" s="1025">
        <f>Table15[[#This Row],[Date Completed]]</f>
        <v>44635</v>
      </c>
      <c r="P548" s="21" t="s">
        <v>739</v>
      </c>
      <c r="Q548" s="340">
        <f>Table15[[#This Row],[KH Hourly Effort]]</f>
        <v>2662.5</v>
      </c>
      <c r="R548" s="1026" t="s">
        <v>1922</v>
      </c>
      <c r="S548" s="538" t="s">
        <v>709</v>
      </c>
      <c r="T548" s="538" t="s">
        <v>709</v>
      </c>
      <c r="U548" s="87">
        <v>2662.5</v>
      </c>
      <c r="V548" s="857"/>
      <c r="W548" s="440"/>
      <c r="X548" s="550"/>
      <c r="Y548" s="550"/>
      <c r="Z548" s="550"/>
      <c r="AA548" s="551"/>
      <c r="AB548" s="341"/>
      <c r="AC548" s="568" t="s">
        <v>709</v>
      </c>
      <c r="AD548" s="1149" t="s">
        <v>709</v>
      </c>
      <c r="AE548" s="580"/>
      <c r="AF548" s="580"/>
      <c r="AG548" s="580"/>
      <c r="AH548" s="542"/>
      <c r="AI548" s="1028"/>
      <c r="AJ548" s="1029"/>
      <c r="AK548" s="1029"/>
      <c r="AL548" s="1030"/>
      <c r="AM548" s="542" t="s">
        <v>709</v>
      </c>
      <c r="AN548" s="924"/>
      <c r="AO548" s="925"/>
      <c r="AP548" s="926"/>
      <c r="AQ548" s="926"/>
      <c r="AR548" s="926"/>
      <c r="AS548" s="926"/>
      <c r="AT548" s="926"/>
      <c r="AU548" s="926"/>
      <c r="AV548" s="926"/>
      <c r="AW548" s="927"/>
      <c r="AX548" s="926"/>
      <c r="AY548" s="1538" t="s">
        <v>29</v>
      </c>
      <c r="AZ548" s="1530"/>
      <c r="BA548" s="1031">
        <v>1</v>
      </c>
      <c r="BB548" s="644" t="s">
        <v>116</v>
      </c>
      <c r="BC548" s="544"/>
      <c r="BD548" s="544"/>
      <c r="BE548" s="544"/>
      <c r="BF548" s="544"/>
      <c r="BG548" s="544"/>
      <c r="BH548" s="741"/>
      <c r="BI548" s="547" t="s">
        <v>709</v>
      </c>
      <c r="BJ548" s="547" t="s">
        <v>709</v>
      </c>
      <c r="BK548" s="547" t="s">
        <v>709</v>
      </c>
      <c r="BL548" s="547" t="s">
        <v>709</v>
      </c>
      <c r="BM548" s="547" t="s">
        <v>709</v>
      </c>
      <c r="BN548" s="547" t="s">
        <v>709</v>
      </c>
      <c r="BO548" s="547" t="s">
        <v>709</v>
      </c>
      <c r="BP548" s="547" t="s">
        <v>709</v>
      </c>
      <c r="BQ548" s="547" t="s">
        <v>709</v>
      </c>
      <c r="BR548" s="547" t="s">
        <v>709</v>
      </c>
      <c r="BS548" s="547" t="s">
        <v>709</v>
      </c>
      <c r="BT548" s="547" t="s">
        <v>745</v>
      </c>
      <c r="BU548" s="547" t="s">
        <v>709</v>
      </c>
      <c r="BV548" s="547">
        <v>2</v>
      </c>
      <c r="BW548" s="547" t="s">
        <v>709</v>
      </c>
      <c r="BX548" s="547" t="s">
        <v>745</v>
      </c>
      <c r="BY548" s="547" t="s">
        <v>745</v>
      </c>
      <c r="BZ548" s="547" t="s">
        <v>709</v>
      </c>
      <c r="CA548" s="483" t="s">
        <v>769</v>
      </c>
      <c r="CB548" s="547">
        <v>544</v>
      </c>
      <c r="CC548" s="1481" t="b">
        <v>1</v>
      </c>
      <c r="CD548" t="str">
        <f>Table15[[#This Row],[Engineering Number]]&amp;Table15[[#This Row],[WO Number]]&amp;Table15[[#This Row],[Date Assigned to Designer]]&amp;Table15[[#This Row],[Date Completed]]</f>
        <v>RS8091021354462844635</v>
      </c>
    </row>
    <row r="549" spans="1:82" customFormat="1" ht="15" customHeight="1" x14ac:dyDescent="0.25">
      <c r="A549">
        <v>2020</v>
      </c>
      <c r="B549" s="8" t="s">
        <v>1981</v>
      </c>
      <c r="C549" s="8" t="s">
        <v>2572</v>
      </c>
      <c r="D549" s="8" t="s">
        <v>115</v>
      </c>
      <c r="E549" s="8" t="s">
        <v>426</v>
      </c>
      <c r="F549" s="8" t="s">
        <v>919</v>
      </c>
      <c r="G549" s="8" t="s">
        <v>40</v>
      </c>
      <c r="H549" s="8" t="s">
        <v>4001</v>
      </c>
      <c r="I549" s="642">
        <v>44599</v>
      </c>
      <c r="J549" s="18" t="s">
        <v>2052</v>
      </c>
      <c r="K549" s="18">
        <v>44635</v>
      </c>
      <c r="L549" s="16">
        <f>IF(ISTEXT(Table15[[#This Row],[Engineering Approved Design Date]]),Table15[[#This Row],[Date Completed]]-Table15[[#This Row],[Date Assigned to Designer]],Table15[[#This Row],[Engineering Approved Design Date]]-Table15[[#This Row],[Date Completed]])</f>
        <v>36</v>
      </c>
      <c r="M549" s="642" t="s">
        <v>4202</v>
      </c>
      <c r="N549" s="642" t="s">
        <v>120</v>
      </c>
      <c r="O549" s="1025">
        <f>Table15[[#This Row],[Date Completed]]</f>
        <v>44635</v>
      </c>
      <c r="P549" s="21" t="s">
        <v>739</v>
      </c>
      <c r="Q549" s="340">
        <f>Table15[[#This Row],[KH Hourly Effort]]</f>
        <v>7785</v>
      </c>
      <c r="R549" s="1026" t="s">
        <v>1922</v>
      </c>
      <c r="S549" s="538" t="s">
        <v>709</v>
      </c>
      <c r="T549" s="538" t="s">
        <v>709</v>
      </c>
      <c r="U549" s="87">
        <v>7785</v>
      </c>
      <c r="V549" s="857"/>
      <c r="W549" s="440"/>
      <c r="X549" s="550"/>
      <c r="Y549" s="550"/>
      <c r="Z549" s="550"/>
      <c r="AA549" s="551"/>
      <c r="AB549" s="341"/>
      <c r="AC549" s="568"/>
      <c r="AD549" s="1149" t="s">
        <v>709</v>
      </c>
      <c r="AE549" s="580"/>
      <c r="AF549" s="580"/>
      <c r="AG549" s="580"/>
      <c r="AH549" s="542"/>
      <c r="AI549" s="1028"/>
      <c r="AJ549" s="1029"/>
      <c r="AK549" s="1029"/>
      <c r="AL549" s="1030"/>
      <c r="AM549" s="542" t="s">
        <v>709</v>
      </c>
      <c r="AN549" s="924"/>
      <c r="AO549" s="925"/>
      <c r="AP549" s="926"/>
      <c r="AQ549" s="926"/>
      <c r="AR549" s="926"/>
      <c r="AS549" s="926"/>
      <c r="AT549" s="926"/>
      <c r="AU549" s="926"/>
      <c r="AV549" s="926"/>
      <c r="AW549" s="927"/>
      <c r="AX549" s="926"/>
      <c r="AY549" s="1538" t="s">
        <v>29</v>
      </c>
      <c r="AZ549" s="1530"/>
      <c r="BA549" s="1031">
        <v>2</v>
      </c>
      <c r="BB549" s="644" t="s">
        <v>116</v>
      </c>
      <c r="BC549" s="544"/>
      <c r="BD549" s="544"/>
      <c r="BE549" s="544"/>
      <c r="BF549" s="544"/>
      <c r="BG549" s="544"/>
      <c r="BH549" s="741"/>
      <c r="BI549" s="547" t="s">
        <v>709</v>
      </c>
      <c r="BJ549" s="547" t="s">
        <v>709</v>
      </c>
      <c r="BK549" s="547" t="s">
        <v>709</v>
      </c>
      <c r="BL549" s="547" t="s">
        <v>709</v>
      </c>
      <c r="BM549" s="547" t="s">
        <v>709</v>
      </c>
      <c r="BN549" s="547" t="s">
        <v>709</v>
      </c>
      <c r="BO549" s="547" t="s">
        <v>709</v>
      </c>
      <c r="BP549" s="547" t="s">
        <v>709</v>
      </c>
      <c r="BQ549" s="547" t="s">
        <v>709</v>
      </c>
      <c r="BR549" s="547" t="s">
        <v>709</v>
      </c>
      <c r="BS549" s="547" t="s">
        <v>709</v>
      </c>
      <c r="BT549" s="547" t="s">
        <v>745</v>
      </c>
      <c r="BU549" s="547" t="s">
        <v>709</v>
      </c>
      <c r="BV549" s="547" t="s">
        <v>745</v>
      </c>
      <c r="BW549" s="547" t="s">
        <v>709</v>
      </c>
      <c r="BX549" s="547" t="s">
        <v>745</v>
      </c>
      <c r="BY549" s="547" t="s">
        <v>745</v>
      </c>
      <c r="BZ549" s="547" t="s">
        <v>709</v>
      </c>
      <c r="CA549" s="483" t="s">
        <v>2531</v>
      </c>
      <c r="CB549" s="547">
        <v>547</v>
      </c>
      <c r="CC549" s="1481" t="b">
        <v>1</v>
      </c>
      <c r="CD549" t="str">
        <f>Table15[[#This Row],[Engineering Number]]&amp;Table15[[#This Row],[WO Number]]&amp;Table15[[#This Row],[Date Assigned to Designer]]&amp;Table15[[#This Row],[Date Completed]]</f>
        <v>COR446-4459944635</v>
      </c>
    </row>
    <row r="550" spans="1:82" customFormat="1" ht="15" customHeight="1" x14ac:dyDescent="0.25">
      <c r="A550">
        <v>2022</v>
      </c>
      <c r="B550" s="8" t="s">
        <v>4</v>
      </c>
      <c r="C550" s="8" t="s">
        <v>4211</v>
      </c>
      <c r="D550" s="8" t="s">
        <v>4212</v>
      </c>
      <c r="E550" s="8" t="s">
        <v>4213</v>
      </c>
      <c r="F550" s="8" t="s">
        <v>738</v>
      </c>
      <c r="G550" s="8" t="s">
        <v>23</v>
      </c>
      <c r="H550" s="8" t="s">
        <v>59</v>
      </c>
      <c r="I550" s="642">
        <v>44488</v>
      </c>
      <c r="J550" s="18">
        <v>44657</v>
      </c>
      <c r="K550" s="18">
        <v>44637</v>
      </c>
      <c r="L550" s="16">
        <f>IF(ISTEXT(Table15[[#This Row],[Engineering Approved Design Date]]),Table15[[#This Row],[Date Completed]]-Table15[[#This Row],[Date Assigned to Designer]],Table15[[#This Row],[Engineering Approved Design Date]]-Table15[[#This Row],[Date Completed]])</f>
        <v>20</v>
      </c>
      <c r="M550" s="642"/>
      <c r="N550" s="642" t="s">
        <v>120</v>
      </c>
      <c r="O550" s="1025">
        <f>Table15[[#This Row],[Date Completed]]</f>
        <v>44637</v>
      </c>
      <c r="P550" s="21" t="s">
        <v>739</v>
      </c>
      <c r="Q550" s="340">
        <f>R550*AA550</f>
        <v>17206.908000000003</v>
      </c>
      <c r="R550" s="1026">
        <v>0.1</v>
      </c>
      <c r="S550" s="538" t="s">
        <v>709</v>
      </c>
      <c r="T550" s="538" t="s">
        <v>709</v>
      </c>
      <c r="U550" s="87" t="s">
        <v>709</v>
      </c>
      <c r="V550" s="857">
        <v>748</v>
      </c>
      <c r="W550" s="440"/>
      <c r="X550" s="570">
        <v>161119.48000000001</v>
      </c>
      <c r="Y550" s="550"/>
      <c r="Z550" s="570">
        <v>10949.6</v>
      </c>
      <c r="AA550" s="551">
        <f>Table15[[#This Row],[PCTS Investment Amount]]+Table15[[#This Row],[PCTS Retirement Amount]]</f>
        <v>172069.08000000002</v>
      </c>
      <c r="AB550" s="341"/>
      <c r="AC550" s="568" t="s">
        <v>709</v>
      </c>
      <c r="AD550" s="1157"/>
      <c r="AE550" s="579"/>
      <c r="AF550" s="579"/>
      <c r="AG550" s="579"/>
      <c r="AH550" s="553"/>
      <c r="AI550" s="1036"/>
      <c r="AJ550" s="1037"/>
      <c r="AK550" s="1037"/>
      <c r="AL550" s="1038"/>
      <c r="AM550" s="1522" t="s">
        <v>116</v>
      </c>
      <c r="AN550" s="1523">
        <v>44714</v>
      </c>
      <c r="AO550" s="1524">
        <v>11042026</v>
      </c>
      <c r="AP550" s="1525">
        <v>128093.36</v>
      </c>
      <c r="AQ550" s="1525"/>
      <c r="AR550" s="1525">
        <v>8894.69</v>
      </c>
      <c r="AS550" s="1525">
        <f>IF(Table15[[#This Row],[PCTS Approved]]="N",0,Table15[[#This Row],[Investment Amount (1'#'#'#'#'#)]]+Table15[[#This Row],[Retirement Amount (3'#'#'#'#'#)]])</f>
        <v>136988.04999999999</v>
      </c>
      <c r="AT550" s="1525">
        <f>IF(Table15[[#This Row],[Approved Construction Cost]]=0,0,Table15[[#This Row],[Approved Construction Cost]]-Table15[[#This Row],[Construction Cost to Bill From]])</f>
        <v>-35081.030000000028</v>
      </c>
      <c r="AU550" s="1525">
        <f>IFERROR(Table15[[#This Row],[Difference in Construction Cost]]*Table15[[#This Row],[Rate]],Table15[[#This Row],[Difference in Construction Cost]]*0.085)</f>
        <v>-3508.1030000000028</v>
      </c>
      <c r="AV550" s="1525">
        <v>2400</v>
      </c>
      <c r="AW550" s="1526" t="s">
        <v>4214</v>
      </c>
      <c r="AX550" s="1525">
        <v>0</v>
      </c>
      <c r="AY550" s="1518">
        <v>45008</v>
      </c>
      <c r="AZ550" s="333"/>
      <c r="BA550" s="1031" t="s">
        <v>4215</v>
      </c>
      <c r="BB550" s="644" t="s">
        <v>709</v>
      </c>
      <c r="BC550" s="544" t="s">
        <v>709</v>
      </c>
      <c r="BD550" s="544" t="s">
        <v>709</v>
      </c>
      <c r="BE550" s="544" t="s">
        <v>4216</v>
      </c>
      <c r="BF550" s="544" t="s">
        <v>709</v>
      </c>
      <c r="BG550" s="544" t="s">
        <v>709</v>
      </c>
      <c r="BH550" s="741"/>
      <c r="BI550" s="547" t="s">
        <v>709</v>
      </c>
      <c r="BJ550" s="547" t="s">
        <v>709</v>
      </c>
      <c r="BK550" s="547" t="s">
        <v>709</v>
      </c>
      <c r="BL550" s="547" t="s">
        <v>116</v>
      </c>
      <c r="BM550" s="547" t="s">
        <v>709</v>
      </c>
      <c r="BN550" s="547" t="s">
        <v>709</v>
      </c>
      <c r="BO550" s="547" t="s">
        <v>709</v>
      </c>
      <c r="BP550" s="547" t="s">
        <v>709</v>
      </c>
      <c r="BQ550" s="547" t="s">
        <v>709</v>
      </c>
      <c r="BR550" s="547">
        <v>748</v>
      </c>
      <c r="BS550" s="547" t="s">
        <v>709</v>
      </c>
      <c r="BT550" s="547" t="s">
        <v>745</v>
      </c>
      <c r="BU550" s="547" t="s">
        <v>709</v>
      </c>
      <c r="BV550" s="547" t="s">
        <v>745</v>
      </c>
      <c r="BW550" s="547" t="s">
        <v>709</v>
      </c>
      <c r="BX550" s="547" t="s">
        <v>745</v>
      </c>
      <c r="BY550" s="547" t="s">
        <v>745</v>
      </c>
      <c r="BZ550" s="547" t="s">
        <v>709</v>
      </c>
      <c r="CA550" s="483"/>
      <c r="CB550" s="547">
        <v>548</v>
      </c>
      <c r="CC550" s="1481" t="b">
        <v>1</v>
      </c>
      <c r="CD550" t="str">
        <f>Table15[[#This Row],[Engineering Number]]&amp;Table15[[#This Row],[WO Number]]&amp;Table15[[#This Row],[Date Assigned to Designer]]&amp;Table15[[#This Row],[Date Completed]]</f>
        <v>M1288912107614448844637</v>
      </c>
    </row>
    <row r="551" spans="1:82" customFormat="1" ht="15" customHeight="1" x14ac:dyDescent="0.25">
      <c r="A551">
        <v>2022</v>
      </c>
      <c r="B551" s="8" t="s">
        <v>2994</v>
      </c>
      <c r="C551" s="8" t="s">
        <v>4218</v>
      </c>
      <c r="D551" s="8" t="s">
        <v>4219</v>
      </c>
      <c r="E551" s="8" t="s">
        <v>155</v>
      </c>
      <c r="F551" s="8" t="s">
        <v>752</v>
      </c>
      <c r="G551" s="8" t="s">
        <v>34</v>
      </c>
      <c r="H551" s="8" t="s">
        <v>59</v>
      </c>
      <c r="I551" s="642">
        <v>44551</v>
      </c>
      <c r="J551" s="18">
        <v>44641</v>
      </c>
      <c r="K551" s="18">
        <v>44638</v>
      </c>
      <c r="L551" s="16">
        <f>IF(ISTEXT(Table15[[#This Row],[Engineering Approved Design Date]]),Table15[[#This Row],[Date Completed]]-Table15[[#This Row],[Date Assigned to Designer]],Table15[[#This Row],[Engineering Approved Design Date]]-Table15[[#This Row],[Date Completed]])</f>
        <v>3</v>
      </c>
      <c r="M551" s="642"/>
      <c r="N551" s="642" t="s">
        <v>120</v>
      </c>
      <c r="O551" s="1025">
        <f>Table15[[#This Row],[Date Completed]]</f>
        <v>44638</v>
      </c>
      <c r="P551" s="21" t="s">
        <v>739</v>
      </c>
      <c r="Q551" s="340">
        <f>R551*AA551</f>
        <v>16952.709599999998</v>
      </c>
      <c r="R551" s="1026">
        <v>0.09</v>
      </c>
      <c r="S551" s="538" t="s">
        <v>709</v>
      </c>
      <c r="T551" s="538" t="s">
        <v>709</v>
      </c>
      <c r="U551" s="87" t="s">
        <v>709</v>
      </c>
      <c r="V551" s="857">
        <v>55</v>
      </c>
      <c r="W551" s="440"/>
      <c r="X551" s="552">
        <v>130768.83</v>
      </c>
      <c r="Y551" s="551"/>
      <c r="Z551" s="552">
        <v>57594.61</v>
      </c>
      <c r="AA551" s="551">
        <f>Table15[[#This Row],[PCTS Investment Amount]]+Table15[[#This Row],[PCTS Retirement Amount]]</f>
        <v>188363.44</v>
      </c>
      <c r="AB551" s="341"/>
      <c r="AC551" s="568" t="s">
        <v>709</v>
      </c>
      <c r="AD551" s="1157" t="s">
        <v>29</v>
      </c>
      <c r="AE551" s="579"/>
      <c r="AF551" s="579"/>
      <c r="AG551" s="579"/>
      <c r="AH551" s="553"/>
      <c r="AI551" s="1036"/>
      <c r="AJ551" s="1037"/>
      <c r="AK551" s="1037"/>
      <c r="AL551" s="1038"/>
      <c r="AM551" s="1522" t="s">
        <v>116</v>
      </c>
      <c r="AN551" s="1523">
        <v>44721</v>
      </c>
      <c r="AO551" s="1524">
        <v>11041979</v>
      </c>
      <c r="AP551" s="1525">
        <v>130413.52</v>
      </c>
      <c r="AQ551" s="1525"/>
      <c r="AR551" s="1525">
        <v>57645.65</v>
      </c>
      <c r="AS551" s="1525">
        <f>IF(Table15[[#This Row],[PCTS Approved]]="N",0,Table15[[#This Row],[Investment Amount (1'#'#'#'#'#)]]+Table15[[#This Row],[Retirement Amount (3'#'#'#'#'#)]])</f>
        <v>188059.17</v>
      </c>
      <c r="AT551" s="1525">
        <f>IF(Table15[[#This Row],[Approved Construction Cost]]=0,0,Table15[[#This Row],[Approved Construction Cost]]-Table15[[#This Row],[Construction Cost to Bill From]])</f>
        <v>-304.26999999998952</v>
      </c>
      <c r="AU551" s="1525">
        <f>IFERROR(Table15[[#This Row],[Difference in Construction Cost]]*Table15[[#This Row],[Rate]],Table15[[#This Row],[Difference in Construction Cost]]*0.085)</f>
        <v>-27.384299999999055</v>
      </c>
      <c r="AV551" s="1525">
        <v>9452.5</v>
      </c>
      <c r="AW551" s="1526" t="s">
        <v>4223</v>
      </c>
      <c r="AX551" s="1525">
        <v>0</v>
      </c>
      <c r="AY551" s="1518">
        <v>45008</v>
      </c>
      <c r="AZ551" s="333"/>
      <c r="BA551" s="1031" t="s">
        <v>4220</v>
      </c>
      <c r="BB551" s="644" t="s">
        <v>4221</v>
      </c>
      <c r="BC551" s="544" t="s">
        <v>116</v>
      </c>
      <c r="BD551" s="544" t="s">
        <v>882</v>
      </c>
      <c r="BE551" s="544" t="s">
        <v>1085</v>
      </c>
      <c r="BF551" s="544" t="s">
        <v>709</v>
      </c>
      <c r="BG551" s="544" t="s">
        <v>709</v>
      </c>
      <c r="BH551" s="741"/>
      <c r="BI551" s="547" t="s">
        <v>709</v>
      </c>
      <c r="BJ551" s="547" t="s">
        <v>709</v>
      </c>
      <c r="BK551" s="547" t="s">
        <v>709</v>
      </c>
      <c r="BL551" s="547" t="s">
        <v>116</v>
      </c>
      <c r="BM551" s="547" t="s">
        <v>709</v>
      </c>
      <c r="BN551" s="547" t="s">
        <v>709</v>
      </c>
      <c r="BO551" s="547" t="s">
        <v>709</v>
      </c>
      <c r="BP551" s="547" t="s">
        <v>709</v>
      </c>
      <c r="BQ551" s="547" t="s">
        <v>709</v>
      </c>
      <c r="BR551" s="547">
        <v>23</v>
      </c>
      <c r="BS551" s="547">
        <v>32</v>
      </c>
      <c r="BT551" s="547" t="s">
        <v>745</v>
      </c>
      <c r="BU551" s="547" t="s">
        <v>709</v>
      </c>
      <c r="BV551" s="547">
        <v>2</v>
      </c>
      <c r="BW551" s="547" t="s">
        <v>709</v>
      </c>
      <c r="BX551" s="547" t="s">
        <v>745</v>
      </c>
      <c r="BY551" s="547" t="s">
        <v>745</v>
      </c>
      <c r="BZ551" s="547" t="s">
        <v>709</v>
      </c>
      <c r="CA551" s="483" t="s">
        <v>2</v>
      </c>
      <c r="CB551" s="547">
        <v>549</v>
      </c>
      <c r="CC551" s="1481" t="b">
        <v>1</v>
      </c>
      <c r="CD551" t="str">
        <f>Table15[[#This Row],[Engineering Number]]&amp;Table15[[#This Row],[WO Number]]&amp;Table15[[#This Row],[Date Assigned to Designer]]&amp;Table15[[#This Row],[Date Completed]]</f>
        <v>MR182612108764455144638</v>
      </c>
    </row>
    <row r="552" spans="1:82" customFormat="1" ht="15" customHeight="1" x14ac:dyDescent="0.25">
      <c r="A552">
        <v>2022</v>
      </c>
      <c r="B552" s="8" t="s">
        <v>2994</v>
      </c>
      <c r="C552" s="8" t="s">
        <v>4218</v>
      </c>
      <c r="D552" s="8" t="s">
        <v>4219</v>
      </c>
      <c r="E552" s="8" t="s">
        <v>155</v>
      </c>
      <c r="F552" s="8" t="s">
        <v>752</v>
      </c>
      <c r="G552" s="8" t="s">
        <v>34</v>
      </c>
      <c r="H552" s="8" t="s">
        <v>3661</v>
      </c>
      <c r="I552" s="642">
        <v>44551</v>
      </c>
      <c r="J552" s="18" t="s">
        <v>3662</v>
      </c>
      <c r="K552" s="18">
        <v>44638</v>
      </c>
      <c r="L552" s="16">
        <f>IF(ISTEXT(Table15[[#This Row],[Engineering Approved Design Date]]),Table15[[#This Row],[Date Completed]]-Table15[[#This Row],[Date Assigned to Designer]],Table15[[#This Row],[Engineering Approved Design Date]]-Table15[[#This Row],[Date Completed]])</f>
        <v>87</v>
      </c>
      <c r="M552" s="642"/>
      <c r="N552" s="642" t="s">
        <v>120</v>
      </c>
      <c r="O552" s="1025">
        <v>44652</v>
      </c>
      <c r="P552" s="21" t="s">
        <v>739</v>
      </c>
      <c r="Q552" s="340">
        <f>Table15[[#This Row],[KH Hourly Effort]]</f>
        <v>2542.5</v>
      </c>
      <c r="R552" s="1026" t="s">
        <v>1922</v>
      </c>
      <c r="S552" s="538" t="s">
        <v>709</v>
      </c>
      <c r="T552" s="538" t="s">
        <v>709</v>
      </c>
      <c r="U552" s="87">
        <v>2542.5</v>
      </c>
      <c r="V552" s="857"/>
      <c r="W552" s="440"/>
      <c r="X552" s="550"/>
      <c r="Y552" s="550"/>
      <c r="Z552" s="550"/>
      <c r="AA552" s="551"/>
      <c r="AB552" s="341" t="s">
        <v>29</v>
      </c>
      <c r="AC552" s="569" t="s">
        <v>29</v>
      </c>
      <c r="AD552" s="1149" t="s">
        <v>29</v>
      </c>
      <c r="AE552" s="579"/>
      <c r="AF552" s="579"/>
      <c r="AG552" s="579"/>
      <c r="AH552" s="553"/>
      <c r="AI552" s="1036"/>
      <c r="AJ552" s="1037"/>
      <c r="AK552" s="1037"/>
      <c r="AL552" s="1038"/>
      <c r="AM552" s="542" t="s">
        <v>709</v>
      </c>
      <c r="AN552" s="924"/>
      <c r="AO552" s="925"/>
      <c r="AP552" s="926"/>
      <c r="AQ552" s="926"/>
      <c r="AR552" s="926"/>
      <c r="AS552" s="926"/>
      <c r="AT552" s="926"/>
      <c r="AU552" s="926"/>
      <c r="AV552" s="926"/>
      <c r="AW552" s="927"/>
      <c r="AX552" s="926"/>
      <c r="AY552" s="1538" t="s">
        <v>29</v>
      </c>
      <c r="AZ552" s="1532"/>
      <c r="BA552" s="1031" t="s">
        <v>4220</v>
      </c>
      <c r="BB552" s="644" t="s">
        <v>4221</v>
      </c>
      <c r="BC552" s="544" t="s">
        <v>116</v>
      </c>
      <c r="BD552" s="544" t="s">
        <v>882</v>
      </c>
      <c r="BE552" s="544" t="s">
        <v>1085</v>
      </c>
      <c r="BF552" s="544" t="s">
        <v>709</v>
      </c>
      <c r="BG552" s="544" t="s">
        <v>709</v>
      </c>
      <c r="BH552" s="741"/>
      <c r="BI552" s="547" t="s">
        <v>709</v>
      </c>
      <c r="BJ552" s="547" t="s">
        <v>709</v>
      </c>
      <c r="BK552" s="547" t="s">
        <v>709</v>
      </c>
      <c r="BL552" s="547" t="s">
        <v>116</v>
      </c>
      <c r="BM552" s="547" t="s">
        <v>709</v>
      </c>
      <c r="BN552" s="547" t="s">
        <v>709</v>
      </c>
      <c r="BO552" s="547" t="s">
        <v>709</v>
      </c>
      <c r="BP552" s="547" t="s">
        <v>709</v>
      </c>
      <c r="BQ552" s="547" t="s">
        <v>709</v>
      </c>
      <c r="BR552" s="547">
        <v>23</v>
      </c>
      <c r="BS552" s="547">
        <v>32</v>
      </c>
      <c r="BT552" s="547" t="s">
        <v>745</v>
      </c>
      <c r="BU552" s="547" t="s">
        <v>709</v>
      </c>
      <c r="BV552" s="547">
        <v>2</v>
      </c>
      <c r="BW552" s="547" t="s">
        <v>709</v>
      </c>
      <c r="BX552" s="547" t="s">
        <v>745</v>
      </c>
      <c r="BY552" s="547" t="s">
        <v>745</v>
      </c>
      <c r="BZ552" s="547" t="s">
        <v>709</v>
      </c>
      <c r="CA552" s="483" t="s">
        <v>2</v>
      </c>
      <c r="CB552" s="547">
        <v>550</v>
      </c>
      <c r="CC552" s="1481" t="b">
        <v>1</v>
      </c>
      <c r="CD552" t="str">
        <f>Table15[[#This Row],[Engineering Number]]&amp;Table15[[#This Row],[WO Number]]&amp;Table15[[#This Row],[Date Assigned to Designer]]&amp;Table15[[#This Row],[Date Completed]]</f>
        <v>MR182612108764455144638</v>
      </c>
    </row>
    <row r="553" spans="1:82" customFormat="1" ht="15" customHeight="1" x14ac:dyDescent="0.25">
      <c r="A553">
        <v>2022</v>
      </c>
      <c r="B553" s="8" t="s">
        <v>4</v>
      </c>
      <c r="C553" s="8" t="s">
        <v>4224</v>
      </c>
      <c r="D553" s="8" t="s">
        <v>115</v>
      </c>
      <c r="E553" s="8" t="s">
        <v>4225</v>
      </c>
      <c r="F553" s="8" t="s">
        <v>919</v>
      </c>
      <c r="G553" s="8" t="s">
        <v>39</v>
      </c>
      <c r="H553" s="8" t="s">
        <v>3132</v>
      </c>
      <c r="I553" s="642">
        <v>44621</v>
      </c>
      <c r="J553" s="18">
        <v>44670</v>
      </c>
      <c r="K553" s="18">
        <v>44643</v>
      </c>
      <c r="L553" s="16">
        <f>IF(ISTEXT(Table15[[#This Row],[Engineering Approved Design Date]]),Table15[[#This Row],[Date Completed]]-Table15[[#This Row],[Date Assigned to Designer]],Table15[[#This Row],[Engineering Approved Design Date]]-Table15[[#This Row],[Date Completed]])</f>
        <v>27</v>
      </c>
      <c r="M553" s="642" t="s">
        <v>4226</v>
      </c>
      <c r="N553" s="642" t="s">
        <v>120</v>
      </c>
      <c r="O553" s="1025">
        <f>Table15[[#This Row],[Date Completed]]</f>
        <v>44643</v>
      </c>
      <c r="P553" s="21" t="s">
        <v>739</v>
      </c>
      <c r="Q553" s="340" t="s">
        <v>115</v>
      </c>
      <c r="R553" s="1026" t="s">
        <v>115</v>
      </c>
      <c r="S553" s="538" t="s">
        <v>709</v>
      </c>
      <c r="T553" s="538" t="s">
        <v>709</v>
      </c>
      <c r="U553" s="87" t="s">
        <v>709</v>
      </c>
      <c r="V553" s="857"/>
      <c r="W553" s="440"/>
      <c r="X553" s="550"/>
      <c r="Y553" s="550"/>
      <c r="Z553" s="550"/>
      <c r="AA553" s="551"/>
      <c r="AB553" s="341"/>
      <c r="AC553" s="568"/>
      <c r="AD553" s="1157"/>
      <c r="AE553" s="579"/>
      <c r="AF553" s="579"/>
      <c r="AG553" s="579"/>
      <c r="AH553" s="553"/>
      <c r="AI553" s="1036"/>
      <c r="AJ553" s="1037"/>
      <c r="AK553" s="1037"/>
      <c r="AL553" s="1038"/>
      <c r="AM553" s="542" t="s">
        <v>709</v>
      </c>
      <c r="AN553" s="924"/>
      <c r="AO553" s="925"/>
      <c r="AP553" s="926"/>
      <c r="AQ553" s="926"/>
      <c r="AR553" s="926"/>
      <c r="AS553" s="926"/>
      <c r="AT553" s="926"/>
      <c r="AU553" s="926"/>
      <c r="AV553" s="926"/>
      <c r="AW553" s="927"/>
      <c r="AX553" s="926"/>
      <c r="AY553" s="1538" t="s">
        <v>29</v>
      </c>
      <c r="AZ553" s="1530"/>
      <c r="BA553" s="1031" t="s">
        <v>4227</v>
      </c>
      <c r="BB553" s="644" t="s">
        <v>709</v>
      </c>
      <c r="BC553" s="544"/>
      <c r="BD553" s="544"/>
      <c r="BE553" s="544"/>
      <c r="BF553" s="544"/>
      <c r="BG553" s="544"/>
      <c r="BH553" s="741"/>
      <c r="BI553" s="1032"/>
      <c r="BJ553" s="1032"/>
      <c r="BK553" s="1032"/>
      <c r="BL553" s="1032"/>
      <c r="BM553" s="1032"/>
      <c r="BN553" s="1032"/>
      <c r="BO553" s="1032"/>
      <c r="BP553" s="1032"/>
      <c r="BQ553" s="1032"/>
      <c r="BR553" s="1032"/>
      <c r="BS553" s="1032"/>
      <c r="BT553" s="1032"/>
      <c r="BU553" s="1032"/>
      <c r="BV553" s="1032"/>
      <c r="BW553" s="1032"/>
      <c r="BX553" s="1032"/>
      <c r="BY553" s="1032"/>
      <c r="BZ553" s="1032"/>
      <c r="CA553" s="485"/>
      <c r="CB553" s="547">
        <v>551</v>
      </c>
      <c r="CC553" s="1481" t="b">
        <v>1</v>
      </c>
      <c r="CD553" t="str">
        <f>Table15[[#This Row],[Engineering Number]]&amp;Table15[[#This Row],[WO Number]]&amp;Table15[[#This Row],[Date Assigned to Designer]]&amp;Table15[[#This Row],[Date Completed]]</f>
        <v>M13086-4462144643</v>
      </c>
    </row>
    <row r="554" spans="1:82" customFormat="1" ht="15" customHeight="1" x14ac:dyDescent="0.25">
      <c r="A554">
        <v>2022</v>
      </c>
      <c r="B554" s="8" t="s">
        <v>771</v>
      </c>
      <c r="C554" s="8" t="s">
        <v>4229</v>
      </c>
      <c r="D554" s="8" t="s">
        <v>4230</v>
      </c>
      <c r="E554" s="8" t="s">
        <v>218</v>
      </c>
      <c r="F554" s="8" t="s">
        <v>919</v>
      </c>
      <c r="G554" s="8" t="s">
        <v>22</v>
      </c>
      <c r="H554" s="8" t="s">
        <v>59</v>
      </c>
      <c r="I554" s="642">
        <v>44522</v>
      </c>
      <c r="J554" s="18">
        <v>44648</v>
      </c>
      <c r="K554" s="18">
        <v>44645</v>
      </c>
      <c r="L554" s="16">
        <f>IF(ISTEXT(Table15[[#This Row],[Engineering Approved Design Date]]),Table15[[#This Row],[Date Completed]]-Table15[[#This Row],[Date Assigned to Designer]],Table15[[#This Row],[Engineering Approved Design Date]]-Table15[[#This Row],[Date Completed]])</f>
        <v>3</v>
      </c>
      <c r="M554" s="642"/>
      <c r="N554" s="642" t="s">
        <v>120</v>
      </c>
      <c r="O554" s="1025">
        <f>Table15[[#This Row],[Date Completed]]</f>
        <v>44645</v>
      </c>
      <c r="P554" s="21" t="s">
        <v>120</v>
      </c>
      <c r="Q554" s="1151">
        <f>1.55*Table15[[#This Row],[LF of Main]]</f>
        <v>20343.75</v>
      </c>
      <c r="R554" s="1026" t="s">
        <v>2087</v>
      </c>
      <c r="S554" s="538" t="s">
        <v>709</v>
      </c>
      <c r="T554" s="538" t="s">
        <v>709</v>
      </c>
      <c r="U554" s="87" t="s">
        <v>709</v>
      </c>
      <c r="V554" s="857">
        <v>13125</v>
      </c>
      <c r="W554" s="440"/>
      <c r="X554" s="550">
        <v>1236490.3999999999</v>
      </c>
      <c r="Y554" s="550"/>
      <c r="Z554" s="550">
        <v>9248.4699999999993</v>
      </c>
      <c r="AA554" s="551">
        <f>Table15[[#This Row],[PCTS Investment Amount]]+Table15[[#This Row],[PCTS Retirement Amount]]</f>
        <v>1245738.8699999999</v>
      </c>
      <c r="AB554" s="341"/>
      <c r="AC554" s="568" t="s">
        <v>709</v>
      </c>
      <c r="AD554" s="1157"/>
      <c r="AE554" s="568"/>
      <c r="AF554" s="568"/>
      <c r="AG554" s="568"/>
      <c r="AH554" s="183"/>
      <c r="AI554" s="1036"/>
      <c r="AJ554" s="1037"/>
      <c r="AK554" s="1037"/>
      <c r="AL554" s="1038"/>
      <c r="AM554" s="542" t="s">
        <v>709</v>
      </c>
      <c r="AN554" s="924"/>
      <c r="AO554" s="925"/>
      <c r="AP554" s="926"/>
      <c r="AQ554" s="926"/>
      <c r="AR554" s="926"/>
      <c r="AS554" s="926"/>
      <c r="AT554" s="926"/>
      <c r="AU554" s="926"/>
      <c r="AV554" s="926"/>
      <c r="AW554" s="927"/>
      <c r="AX554" s="926"/>
      <c r="AY554" s="1538" t="s">
        <v>29</v>
      </c>
      <c r="AZ554" s="1530"/>
      <c r="BA554" s="1031" t="s">
        <v>4231</v>
      </c>
      <c r="BB554" s="644" t="s">
        <v>877</v>
      </c>
      <c r="BC554" s="544" t="s">
        <v>116</v>
      </c>
      <c r="BD554" s="544" t="s">
        <v>709</v>
      </c>
      <c r="BE554" s="544" t="s">
        <v>709</v>
      </c>
      <c r="BF554" s="544" t="s">
        <v>709</v>
      </c>
      <c r="BG554" s="544" t="s">
        <v>709</v>
      </c>
      <c r="BH554" s="741"/>
      <c r="BI554" s="547" t="s">
        <v>709</v>
      </c>
      <c r="BJ554" s="547" t="s">
        <v>709</v>
      </c>
      <c r="BK554" s="547" t="s">
        <v>709</v>
      </c>
      <c r="BL554" s="547" t="s">
        <v>116</v>
      </c>
      <c r="BM554" s="547" t="s">
        <v>709</v>
      </c>
      <c r="BN554" s="547" t="s">
        <v>709</v>
      </c>
      <c r="BO554" s="547" t="s">
        <v>709</v>
      </c>
      <c r="BP554" s="547" t="s">
        <v>709</v>
      </c>
      <c r="BQ554" s="547">
        <v>12746</v>
      </c>
      <c r="BR554" s="547">
        <v>379</v>
      </c>
      <c r="BS554" s="547" t="s">
        <v>709</v>
      </c>
      <c r="BT554" s="547" t="s">
        <v>745</v>
      </c>
      <c r="BU554" s="547" t="s">
        <v>709</v>
      </c>
      <c r="BV554" s="547" t="s">
        <v>745</v>
      </c>
      <c r="BW554" s="547" t="s">
        <v>709</v>
      </c>
      <c r="BX554" s="547" t="s">
        <v>745</v>
      </c>
      <c r="BY554" s="547" t="s">
        <v>745</v>
      </c>
      <c r="BZ554" s="547" t="s">
        <v>709</v>
      </c>
      <c r="CA554" s="483"/>
      <c r="CB554" s="547">
        <v>552</v>
      </c>
      <c r="CC554" s="1481" t="b">
        <v>1</v>
      </c>
      <c r="CD554" t="str">
        <f>Table15[[#This Row],[Engineering Number]]&amp;Table15[[#This Row],[WO Number]]&amp;Table15[[#This Row],[Date Assigned to Designer]]&amp;Table15[[#This Row],[Date Completed]]</f>
        <v>BS45714107984452244645</v>
      </c>
    </row>
    <row r="555" spans="1:82" customFormat="1" ht="15" customHeight="1" x14ac:dyDescent="0.25">
      <c r="A555">
        <v>2022</v>
      </c>
      <c r="B555" s="8" t="s">
        <v>730</v>
      </c>
      <c r="C555" s="8" t="s">
        <v>351</v>
      </c>
      <c r="D555" s="8" t="s">
        <v>4233</v>
      </c>
      <c r="E555" s="8" t="s">
        <v>352</v>
      </c>
      <c r="F555" s="8" t="s">
        <v>747</v>
      </c>
      <c r="G555" s="8" t="s">
        <v>347</v>
      </c>
      <c r="H555" s="8" t="s">
        <v>59</v>
      </c>
      <c r="I555" s="642">
        <v>44418</v>
      </c>
      <c r="J555" s="18">
        <v>44651</v>
      </c>
      <c r="K555" s="18">
        <v>44649</v>
      </c>
      <c r="L555" s="16">
        <f>IF(ISTEXT(Table15[[#This Row],[Engineering Approved Design Date]]),Table15[[#This Row],[Date Completed]]-Table15[[#This Row],[Date Assigned to Designer]],Table15[[#This Row],[Engineering Approved Design Date]]-Table15[[#This Row],[Date Completed]])</f>
        <v>2</v>
      </c>
      <c r="M555" s="642"/>
      <c r="N555" s="642" t="s">
        <v>120</v>
      </c>
      <c r="O555" s="1055">
        <v>44652</v>
      </c>
      <c r="P555" s="21" t="s">
        <v>120</v>
      </c>
      <c r="Q555" s="1061">
        <f>(Table15[[#This Row],[Construction Cost to Bill From]]*0.085)+(5250*2)</f>
        <v>25142.588750000003</v>
      </c>
      <c r="R555" s="1034" t="s">
        <v>794</v>
      </c>
      <c r="S555" s="538" t="s">
        <v>709</v>
      </c>
      <c r="T555" s="538" t="s">
        <v>709</v>
      </c>
      <c r="U555" s="87" t="s">
        <v>709</v>
      </c>
      <c r="V555" s="857">
        <v>130</v>
      </c>
      <c r="W555" s="440"/>
      <c r="X555" s="551">
        <v>132217.20000000001</v>
      </c>
      <c r="Y555" s="551"/>
      <c r="Z555" s="551">
        <v>40048.550000000003</v>
      </c>
      <c r="AA555" s="551">
        <f>Table15[[#This Row],[PCTS Investment Amount]]+Table15[[#This Row],[PCTS Retirement Amount]]</f>
        <v>172265.75</v>
      </c>
      <c r="AB555" s="341"/>
      <c r="AC555" s="568" t="s">
        <v>1441</v>
      </c>
      <c r="AD555" s="1157"/>
      <c r="AE555" s="579"/>
      <c r="AF555" s="579"/>
      <c r="AG555" s="579"/>
      <c r="AH555" s="553"/>
      <c r="AI555" s="1036"/>
      <c r="AJ555" s="1037"/>
      <c r="AK555" s="1037"/>
      <c r="AL555" s="1038"/>
      <c r="AM555" s="1522" t="s">
        <v>116</v>
      </c>
      <c r="AN555" s="1523">
        <v>44714</v>
      </c>
      <c r="AO555" s="1524">
        <v>11038448</v>
      </c>
      <c r="AP555" s="1525">
        <v>133224.89000000001</v>
      </c>
      <c r="AQ555" s="1525"/>
      <c r="AR555" s="1525">
        <v>40177.360000000001</v>
      </c>
      <c r="AS555" s="1525">
        <f>IF(Table15[[#This Row],[PCTS Approved]]="N",0,Table15[[#This Row],[Investment Amount (1'#'#'#'#'#)]]+Table15[[#This Row],[Retirement Amount (3'#'#'#'#'#)]])</f>
        <v>173402.25</v>
      </c>
      <c r="AT555" s="1525">
        <f>IF(Table15[[#This Row],[Approved Construction Cost]]=0,0,Table15[[#This Row],[Approved Construction Cost]]-Table15[[#This Row],[Construction Cost to Bill From]])</f>
        <v>1136.5</v>
      </c>
      <c r="AU555" s="1525">
        <f>IFERROR(Table15[[#This Row],[Difference in Construction Cost]]*Table15[[#This Row],[Rate]],Table15[[#This Row],[Difference in Construction Cost]]*0.085)</f>
        <v>96.602500000000006</v>
      </c>
      <c r="AV555" s="1525" t="s">
        <v>709</v>
      </c>
      <c r="AW555" s="1526"/>
      <c r="AX555" s="1525">
        <f>Table15[[#This Row],[Reconcile Amount]]</f>
        <v>96.602500000000006</v>
      </c>
      <c r="AY555" s="1518">
        <v>45008</v>
      </c>
      <c r="AZ555" s="333"/>
      <c r="BA555" s="1031" t="s">
        <v>4234</v>
      </c>
      <c r="BB555" s="644" t="s">
        <v>1226</v>
      </c>
      <c r="BC555" s="544" t="s">
        <v>709</v>
      </c>
      <c r="BD555" s="544" t="s">
        <v>709</v>
      </c>
      <c r="BE555" s="544" t="s">
        <v>709</v>
      </c>
      <c r="BF555" s="544" t="s">
        <v>4235</v>
      </c>
      <c r="BG555" s="544" t="s">
        <v>709</v>
      </c>
      <c r="BH555" s="741"/>
      <c r="BI555" s="547" t="s">
        <v>116</v>
      </c>
      <c r="BJ555" s="547" t="s">
        <v>116</v>
      </c>
      <c r="BK555" s="547" t="s">
        <v>709</v>
      </c>
      <c r="BL555" s="547" t="s">
        <v>116</v>
      </c>
      <c r="BM555" s="547" t="s">
        <v>709</v>
      </c>
      <c r="BN555" s="547" t="s">
        <v>709</v>
      </c>
      <c r="BO555" s="547" t="s">
        <v>709</v>
      </c>
      <c r="BP555" s="547" t="s">
        <v>709</v>
      </c>
      <c r="BQ555" s="547" t="s">
        <v>709</v>
      </c>
      <c r="BR555" s="547" t="s">
        <v>709</v>
      </c>
      <c r="BS555" s="547">
        <v>128</v>
      </c>
      <c r="BT555" s="547" t="s">
        <v>745</v>
      </c>
      <c r="BU555" s="547">
        <v>2</v>
      </c>
      <c r="BV555" s="547" t="s">
        <v>745</v>
      </c>
      <c r="BW555" s="547" t="s">
        <v>709</v>
      </c>
      <c r="BX555" s="547">
        <v>1</v>
      </c>
      <c r="BY555" s="547" t="s">
        <v>745</v>
      </c>
      <c r="BZ555" s="547" t="s">
        <v>709</v>
      </c>
      <c r="CA555" s="483" t="s">
        <v>730</v>
      </c>
      <c r="CB555" s="547">
        <v>553</v>
      </c>
      <c r="CC555" s="1481" t="b">
        <v>1</v>
      </c>
      <c r="CD555" t="str">
        <f>Table15[[#This Row],[Engineering Number]]&amp;Table15[[#This Row],[WO Number]]&amp;Table15[[#This Row],[Date Assigned to Designer]]&amp;Table15[[#This Row],[Date Completed]]</f>
        <v>RS88710105034441844649</v>
      </c>
    </row>
    <row r="556" spans="1:82" customFormat="1" ht="15" customHeight="1" x14ac:dyDescent="0.25">
      <c r="A556">
        <v>2022</v>
      </c>
      <c r="B556" s="8" t="s">
        <v>4</v>
      </c>
      <c r="C556" s="8" t="s">
        <v>4245</v>
      </c>
      <c r="D556" s="8" t="s">
        <v>115</v>
      </c>
      <c r="E556" s="8" t="s">
        <v>4246</v>
      </c>
      <c r="F556" s="8" t="s">
        <v>738</v>
      </c>
      <c r="G556" s="8" t="s">
        <v>39</v>
      </c>
      <c r="H556" s="8" t="s">
        <v>1903</v>
      </c>
      <c r="I556" s="642">
        <v>44637</v>
      </c>
      <c r="J556" s="18">
        <v>44687</v>
      </c>
      <c r="K556" s="18">
        <v>44650</v>
      </c>
      <c r="L556" s="16">
        <f>IF(ISTEXT(Table15[[#This Row],[Engineering Approved Design Date]]),Table15[[#This Row],[Date Completed]]-Table15[[#This Row],[Date Assigned to Designer]],Table15[[#This Row],[Engineering Approved Design Date]]-Table15[[#This Row],[Date Completed]])</f>
        <v>37</v>
      </c>
      <c r="M556" s="642"/>
      <c r="N556" s="642" t="s">
        <v>120</v>
      </c>
      <c r="O556" s="1025">
        <f>Table15[[#This Row],[Date Completed]]</f>
        <v>44650</v>
      </c>
      <c r="P556" s="21" t="s">
        <v>739</v>
      </c>
      <c r="Q556" s="340" t="s">
        <v>115</v>
      </c>
      <c r="R556" s="1026" t="s">
        <v>115</v>
      </c>
      <c r="S556" s="538" t="s">
        <v>709</v>
      </c>
      <c r="T556" s="538" t="s">
        <v>709</v>
      </c>
      <c r="U556" s="87" t="s">
        <v>709</v>
      </c>
      <c r="V556" s="857"/>
      <c r="W556" s="440"/>
      <c r="X556" s="551"/>
      <c r="Y556" s="551"/>
      <c r="Z556" s="551"/>
      <c r="AA556" s="551"/>
      <c r="AB556" s="341"/>
      <c r="AC556" s="568"/>
      <c r="AD556" s="1157"/>
      <c r="AE556" s="579"/>
      <c r="AF556" s="579"/>
      <c r="AG556" s="579"/>
      <c r="AH556" s="553"/>
      <c r="AI556" s="1036"/>
      <c r="AJ556" s="1037"/>
      <c r="AK556" s="1037"/>
      <c r="AL556" s="1038"/>
      <c r="AM556" s="542" t="s">
        <v>709</v>
      </c>
      <c r="AN556" s="924"/>
      <c r="AO556" s="925"/>
      <c r="AP556" s="926"/>
      <c r="AQ556" s="926"/>
      <c r="AR556" s="926"/>
      <c r="AS556" s="926"/>
      <c r="AT556" s="926"/>
      <c r="AU556" s="926"/>
      <c r="AV556" s="926"/>
      <c r="AW556" s="927"/>
      <c r="AX556" s="926"/>
      <c r="AY556" s="1538" t="s">
        <v>29</v>
      </c>
      <c r="AZ556" s="1530"/>
      <c r="BA556" s="1031" t="s">
        <v>4247</v>
      </c>
      <c r="BB556" s="644" t="s">
        <v>4248</v>
      </c>
      <c r="BC556" s="544"/>
      <c r="BD556" s="544"/>
      <c r="BE556" s="544"/>
      <c r="BF556" s="544"/>
      <c r="BG556" s="544"/>
      <c r="BH556" s="741"/>
      <c r="BI556" s="1032"/>
      <c r="BJ556" s="1032"/>
      <c r="BK556" s="1032"/>
      <c r="BL556" s="1032"/>
      <c r="BM556" s="1032"/>
      <c r="BN556" s="1032"/>
      <c r="BO556" s="1032"/>
      <c r="BP556" s="1032"/>
      <c r="BQ556" s="1032"/>
      <c r="BR556" s="1032"/>
      <c r="BS556" s="1032"/>
      <c r="BT556" s="1032"/>
      <c r="BU556" s="1032"/>
      <c r="BV556" s="1032"/>
      <c r="BW556" s="1032"/>
      <c r="BX556" s="1032"/>
      <c r="BY556" s="1032"/>
      <c r="BZ556" s="1032"/>
      <c r="CA556" s="485"/>
      <c r="CB556" s="547">
        <v>554</v>
      </c>
      <c r="CC556" s="1481" t="b">
        <v>1</v>
      </c>
      <c r="CD556" t="str">
        <f>Table15[[#This Row],[Engineering Number]]&amp;Table15[[#This Row],[WO Number]]&amp;Table15[[#This Row],[Date Assigned to Designer]]&amp;Table15[[#This Row],[Date Completed]]</f>
        <v>N15028-4463744650</v>
      </c>
    </row>
    <row r="557" spans="1:82" customFormat="1" ht="15" customHeight="1" x14ac:dyDescent="0.25">
      <c r="A557">
        <v>2021</v>
      </c>
      <c r="B557" s="8" t="s">
        <v>771</v>
      </c>
      <c r="C557" s="8" t="s">
        <v>4237</v>
      </c>
      <c r="D557" s="8" t="s">
        <v>4238</v>
      </c>
      <c r="E557" s="8" t="s">
        <v>300</v>
      </c>
      <c r="F557" s="8" t="s">
        <v>919</v>
      </c>
      <c r="G557" s="8" t="s">
        <v>36</v>
      </c>
      <c r="H557" s="8" t="s">
        <v>59</v>
      </c>
      <c r="I557" s="642">
        <v>44215</v>
      </c>
      <c r="J557" s="18">
        <v>44652</v>
      </c>
      <c r="K557" s="18">
        <v>44650</v>
      </c>
      <c r="L557" s="16">
        <f>IF(ISTEXT(Table15[[#This Row],[Engineering Approved Design Date]]),Table15[[#This Row],[Date Completed]]-Table15[[#This Row],[Date Assigned to Designer]],Table15[[#This Row],[Engineering Approved Design Date]]-Table15[[#This Row],[Date Completed]])</f>
        <v>2</v>
      </c>
      <c r="M557" s="642"/>
      <c r="N557" s="642" t="s">
        <v>120</v>
      </c>
      <c r="O557" s="1025">
        <v>44682</v>
      </c>
      <c r="P557" s="21" t="s">
        <v>120</v>
      </c>
      <c r="Q557" s="1061">
        <f>R557*AA557</f>
        <v>131935.4694</v>
      </c>
      <c r="R557" s="1034">
        <v>0.09</v>
      </c>
      <c r="S557" s="538" t="s">
        <v>709</v>
      </c>
      <c r="T557" s="538" t="s">
        <v>709</v>
      </c>
      <c r="U557" s="87" t="s">
        <v>709</v>
      </c>
      <c r="V557" s="857">
        <v>4695</v>
      </c>
      <c r="W557" s="440"/>
      <c r="X557" s="551">
        <v>1391862.43</v>
      </c>
      <c r="Y557" s="551"/>
      <c r="Z557" s="551">
        <v>74087.23</v>
      </c>
      <c r="AA557" s="551">
        <f>Table15[[#This Row],[PCTS Investment Amount]]+Table15[[#This Row],[PCTS Retirement Amount]]</f>
        <v>1465949.66</v>
      </c>
      <c r="AB557" s="341"/>
      <c r="AC557" s="568" t="s">
        <v>116</v>
      </c>
      <c r="AD557" s="1157"/>
      <c r="AE557" s="568"/>
      <c r="AF557" s="568"/>
      <c r="AG557" s="568"/>
      <c r="AH557" s="183"/>
      <c r="AI557" s="1036"/>
      <c r="AJ557" s="1037"/>
      <c r="AK557" s="1037"/>
      <c r="AL557" s="1038"/>
      <c r="AM557" s="1522" t="s">
        <v>116</v>
      </c>
      <c r="AN557" s="1523">
        <v>44831</v>
      </c>
      <c r="AO557" s="1524">
        <v>11033010</v>
      </c>
      <c r="AP557" s="1525">
        <v>1403946.45</v>
      </c>
      <c r="AQ557" s="1525"/>
      <c r="AR557" s="1525">
        <v>74112.86</v>
      </c>
      <c r="AS557" s="1525">
        <f>IF(Table15[[#This Row],[PCTS Approved]]="N",0,Table15[[#This Row],[Investment Amount (1'#'#'#'#'#)]]+Table15[[#This Row],[Retirement Amount (3'#'#'#'#'#)]])</f>
        <v>1478059.31</v>
      </c>
      <c r="AT557" s="1525">
        <f>IF(Table15[[#This Row],[Approved Construction Cost]]=0,0,Table15[[#This Row],[Approved Construction Cost]]-Table15[[#This Row],[Construction Cost to Bill From]])</f>
        <v>12109.65000000014</v>
      </c>
      <c r="AU557" s="1525">
        <f>IFERROR(Table15[[#This Row],[Difference in Construction Cost]]*Table15[[#This Row],[Rate]],Table15[[#This Row],[Difference in Construction Cost]]*0.085)</f>
        <v>1089.8685000000125</v>
      </c>
      <c r="AV557" s="1525">
        <v>3890</v>
      </c>
      <c r="AW557" s="1526" t="s">
        <v>4239</v>
      </c>
      <c r="AX557" s="1525">
        <v>0</v>
      </c>
      <c r="AY557" s="1518">
        <v>45008</v>
      </c>
      <c r="AZ557" s="333"/>
      <c r="BA557" s="1031" t="s">
        <v>4240</v>
      </c>
      <c r="BB557" s="644" t="s">
        <v>4241</v>
      </c>
      <c r="BC557" s="544" t="s">
        <v>116</v>
      </c>
      <c r="BD557" s="544" t="s">
        <v>709</v>
      </c>
      <c r="BE557" s="544" t="s">
        <v>4242</v>
      </c>
      <c r="BF557" s="544" t="s">
        <v>709</v>
      </c>
      <c r="BG557" s="544" t="s">
        <v>4243</v>
      </c>
      <c r="BH557" s="741"/>
      <c r="BI557" s="547" t="s">
        <v>709</v>
      </c>
      <c r="BJ557" s="547" t="s">
        <v>709</v>
      </c>
      <c r="BK557" s="547" t="s">
        <v>709</v>
      </c>
      <c r="BL557" s="547" t="s">
        <v>116</v>
      </c>
      <c r="BM557" s="547" t="s">
        <v>709</v>
      </c>
      <c r="BN557" s="547" t="s">
        <v>709</v>
      </c>
      <c r="BO557" s="547" t="s">
        <v>709</v>
      </c>
      <c r="BP557" s="547">
        <v>650</v>
      </c>
      <c r="BQ557" s="547">
        <v>2340</v>
      </c>
      <c r="BR557" s="547">
        <v>24</v>
      </c>
      <c r="BS557" s="547">
        <v>1681</v>
      </c>
      <c r="BT557" s="547" t="s">
        <v>709</v>
      </c>
      <c r="BU557" s="547" t="s">
        <v>709</v>
      </c>
      <c r="BV557" s="547" t="s">
        <v>745</v>
      </c>
      <c r="BW557" s="547" t="s">
        <v>709</v>
      </c>
      <c r="BX557" s="547" t="s">
        <v>745</v>
      </c>
      <c r="BY557" s="547" t="s">
        <v>745</v>
      </c>
      <c r="BZ557" s="547" t="s">
        <v>709</v>
      </c>
      <c r="CA557" s="483"/>
      <c r="CB557" s="547">
        <v>555</v>
      </c>
      <c r="CC557" s="1481" t="b">
        <v>1</v>
      </c>
      <c r="CD557" t="str">
        <f>Table15[[#This Row],[Engineering Number]]&amp;Table15[[#This Row],[WO Number]]&amp;Table15[[#This Row],[Date Assigned to Designer]]&amp;Table15[[#This Row],[Date Completed]]</f>
        <v>BS5111357244421544650</v>
      </c>
    </row>
    <row r="558" spans="1:82" customFormat="1" ht="15" customHeight="1" x14ac:dyDescent="0.25">
      <c r="A558">
        <v>2022</v>
      </c>
      <c r="B558" s="8" t="s">
        <v>4</v>
      </c>
      <c r="C558" s="8" t="s">
        <v>4250</v>
      </c>
      <c r="D558" s="8" t="s">
        <v>115</v>
      </c>
      <c r="E558" s="8" t="s">
        <v>2280</v>
      </c>
      <c r="F558" s="8" t="s">
        <v>919</v>
      </c>
      <c r="G558" s="8" t="s">
        <v>23</v>
      </c>
      <c r="H558" s="8" t="s">
        <v>1681</v>
      </c>
      <c r="I558" s="642">
        <v>44621</v>
      </c>
      <c r="J558" s="18">
        <v>44651</v>
      </c>
      <c r="K558" s="18">
        <v>44651</v>
      </c>
      <c r="L558" s="16">
        <f>IF(ISTEXT(Table15[[#This Row],[Engineering Approved Design Date]]),Table15[[#This Row],[Date Completed]]-Table15[[#This Row],[Date Assigned to Designer]],Table15[[#This Row],[Engineering Approved Design Date]]-Table15[[#This Row],[Date Completed]])</f>
        <v>0</v>
      </c>
      <c r="M558" s="642"/>
      <c r="N558" s="642" t="s">
        <v>120</v>
      </c>
      <c r="O558" s="1025">
        <f>Table15[[#This Row],[Date Completed]]</f>
        <v>44651</v>
      </c>
      <c r="P558" s="21" t="s">
        <v>739</v>
      </c>
      <c r="Q558" s="340" t="s">
        <v>115</v>
      </c>
      <c r="R558" s="1026" t="s">
        <v>115</v>
      </c>
      <c r="S558" s="538" t="s">
        <v>709</v>
      </c>
      <c r="T558" s="538" t="s">
        <v>709</v>
      </c>
      <c r="U558" s="87" t="s">
        <v>709</v>
      </c>
      <c r="V558" s="857"/>
      <c r="W558" s="440"/>
      <c r="X558" s="550"/>
      <c r="Y558" s="550"/>
      <c r="Z558" s="550"/>
      <c r="AA558" s="551"/>
      <c r="AB558" s="341"/>
      <c r="AC558" s="568"/>
      <c r="AD558" s="1157"/>
      <c r="AE558" s="579" t="s">
        <v>29</v>
      </c>
      <c r="AF558" s="579" t="s">
        <v>29</v>
      </c>
      <c r="AG558" s="579" t="s">
        <v>29</v>
      </c>
      <c r="AH558" s="553" t="s">
        <v>29</v>
      </c>
      <c r="AI558" s="1036"/>
      <c r="AJ558" s="1037"/>
      <c r="AK558" s="1037"/>
      <c r="AL558" s="1038"/>
      <c r="AM558" s="542" t="s">
        <v>709</v>
      </c>
      <c r="AN558" s="924"/>
      <c r="AO558" s="925"/>
      <c r="AP558" s="926"/>
      <c r="AQ558" s="926"/>
      <c r="AR558" s="926"/>
      <c r="AS558" s="926"/>
      <c r="AT558" s="926"/>
      <c r="AU558" s="926"/>
      <c r="AV558" s="926"/>
      <c r="AW558" s="927"/>
      <c r="AX558" s="926"/>
      <c r="AY558" s="1538" t="s">
        <v>29</v>
      </c>
      <c r="AZ558" s="1530"/>
      <c r="BA558" s="1031" t="s">
        <v>4251</v>
      </c>
      <c r="BB558" s="644" t="s">
        <v>709</v>
      </c>
      <c r="BC558" s="544"/>
      <c r="BD558" s="544"/>
      <c r="BE558" s="544"/>
      <c r="BF558" s="544"/>
      <c r="BG558" s="544"/>
      <c r="BH558" s="741"/>
      <c r="BI558" s="1032"/>
      <c r="BJ558" s="1032"/>
      <c r="BK558" s="1032"/>
      <c r="BL558" s="1032"/>
      <c r="BM558" s="1032"/>
      <c r="BN558" s="1032"/>
      <c r="BO558" s="1032"/>
      <c r="BP558" s="1032"/>
      <c r="BQ558" s="1032"/>
      <c r="BR558" s="1032"/>
      <c r="BS558" s="1032"/>
      <c r="BT558" s="1032"/>
      <c r="BU558" s="1032"/>
      <c r="BV558" s="1032"/>
      <c r="BW558" s="1032"/>
      <c r="BX558" s="1032"/>
      <c r="BY558" s="1032"/>
      <c r="BZ558" s="1032"/>
      <c r="CA558" s="485"/>
      <c r="CB558" s="547">
        <v>556</v>
      </c>
      <c r="CC558" s="1481" t="b">
        <v>1</v>
      </c>
      <c r="CD558" t="str">
        <f>Table15[[#This Row],[Engineering Number]]&amp;Table15[[#This Row],[WO Number]]&amp;Table15[[#This Row],[Date Assigned to Designer]]&amp;Table15[[#This Row],[Date Completed]]</f>
        <v>SC20084-4462144651</v>
      </c>
    </row>
    <row r="559" spans="1:82" customFormat="1" ht="15" customHeight="1" x14ac:dyDescent="0.25">
      <c r="A559">
        <v>2022</v>
      </c>
      <c r="B559" s="8" t="s">
        <v>4</v>
      </c>
      <c r="C559" s="8" t="s">
        <v>4253</v>
      </c>
      <c r="D559" s="8" t="s">
        <v>115</v>
      </c>
      <c r="E559" s="8" t="s">
        <v>2187</v>
      </c>
      <c r="F559" s="8" t="s">
        <v>919</v>
      </c>
      <c r="G559" s="8" t="s">
        <v>39</v>
      </c>
      <c r="H559" s="8" t="s">
        <v>1681</v>
      </c>
      <c r="I559" s="642">
        <v>44631</v>
      </c>
      <c r="J559" s="18">
        <v>44673</v>
      </c>
      <c r="K559" s="18">
        <v>44651</v>
      </c>
      <c r="L559" s="16">
        <f>IF(ISTEXT(Table15[[#This Row],[Engineering Approved Design Date]]),Table15[[#This Row],[Date Completed]]-Table15[[#This Row],[Date Assigned to Designer]],Table15[[#This Row],[Engineering Approved Design Date]]-Table15[[#This Row],[Date Completed]])</f>
        <v>22</v>
      </c>
      <c r="M559" s="642"/>
      <c r="N559" s="642" t="s">
        <v>120</v>
      </c>
      <c r="O559" s="1025">
        <f>Table15[[#This Row],[Date Completed]]</f>
        <v>44651</v>
      </c>
      <c r="P559" s="21" t="s">
        <v>739</v>
      </c>
      <c r="Q559" s="340" t="s">
        <v>115</v>
      </c>
      <c r="R559" s="1026" t="s">
        <v>115</v>
      </c>
      <c r="S559" s="538" t="s">
        <v>709</v>
      </c>
      <c r="T559" s="538" t="s">
        <v>709</v>
      </c>
      <c r="U559" s="87" t="s">
        <v>709</v>
      </c>
      <c r="V559" s="857"/>
      <c r="W559" s="440"/>
      <c r="X559" s="550"/>
      <c r="Y559" s="550"/>
      <c r="Z559" s="550"/>
      <c r="AA559" s="551"/>
      <c r="AB559" s="341"/>
      <c r="AC559" s="568"/>
      <c r="AD559" s="1157"/>
      <c r="AE559" s="579"/>
      <c r="AF559" s="579"/>
      <c r="AG559" s="579"/>
      <c r="AH559" s="553"/>
      <c r="AI559" s="1036"/>
      <c r="AJ559" s="1037"/>
      <c r="AK559" s="1037"/>
      <c r="AL559" s="1038"/>
      <c r="AM559" s="542" t="s">
        <v>709</v>
      </c>
      <c r="AN559" s="924"/>
      <c r="AO559" s="925"/>
      <c r="AP559" s="926"/>
      <c r="AQ559" s="926"/>
      <c r="AR559" s="926"/>
      <c r="AS559" s="926"/>
      <c r="AT559" s="926"/>
      <c r="AU559" s="926"/>
      <c r="AV559" s="926"/>
      <c r="AW559" s="927"/>
      <c r="AX559" s="926"/>
      <c r="AY559" s="1538" t="s">
        <v>29</v>
      </c>
      <c r="AZ559" s="1530"/>
      <c r="BA559" s="1031" t="s">
        <v>4254</v>
      </c>
      <c r="BB559" s="644" t="s">
        <v>709</v>
      </c>
      <c r="BC559" s="544"/>
      <c r="BD559" s="544"/>
      <c r="BE559" s="544"/>
      <c r="BF559" s="544"/>
      <c r="BG559" s="544"/>
      <c r="BH559" s="741"/>
      <c r="BI559" s="1032"/>
      <c r="BJ559" s="1032"/>
      <c r="BK559" s="1032"/>
      <c r="BL559" s="1032"/>
      <c r="BM559" s="1032"/>
      <c r="BN559" s="1032"/>
      <c r="BO559" s="1032"/>
      <c r="BP559" s="1032"/>
      <c r="BQ559" s="1032"/>
      <c r="BR559" s="1032"/>
      <c r="BS559" s="1032"/>
      <c r="BT559" s="1032"/>
      <c r="BU559" s="1032"/>
      <c r="BV559" s="1032"/>
      <c r="BW559" s="1032"/>
      <c r="BX559" s="1032"/>
      <c r="BY559" s="1032"/>
      <c r="BZ559" s="1032"/>
      <c r="CA559" s="485"/>
      <c r="CB559" s="547">
        <v>557</v>
      </c>
      <c r="CC559" s="1481" t="b">
        <v>1</v>
      </c>
      <c r="CD559" t="str">
        <f>Table15[[#This Row],[Engineering Number]]&amp;Table15[[#This Row],[WO Number]]&amp;Table15[[#This Row],[Date Assigned to Designer]]&amp;Table15[[#This Row],[Date Completed]]</f>
        <v>SC20311-4463144651</v>
      </c>
    </row>
    <row r="560" spans="1:82" customFormat="1" ht="15" customHeight="1" x14ac:dyDescent="0.25">
      <c r="A560">
        <v>2022</v>
      </c>
      <c r="B560" s="8" t="s">
        <v>4</v>
      </c>
      <c r="C560" s="8" t="s">
        <v>4256</v>
      </c>
      <c r="D560" s="8" t="s">
        <v>115</v>
      </c>
      <c r="E560" s="8" t="s">
        <v>2217</v>
      </c>
      <c r="F560" s="8" t="s">
        <v>919</v>
      </c>
      <c r="G560" s="8" t="s">
        <v>39</v>
      </c>
      <c r="H560" s="8" t="s">
        <v>1681</v>
      </c>
      <c r="I560" s="642">
        <v>44631</v>
      </c>
      <c r="J560" s="18">
        <v>44687</v>
      </c>
      <c r="K560" s="18">
        <v>44651</v>
      </c>
      <c r="L560" s="16">
        <f>IF(ISTEXT(Table15[[#This Row],[Engineering Approved Design Date]]),Table15[[#This Row],[Date Completed]]-Table15[[#This Row],[Date Assigned to Designer]],Table15[[#This Row],[Engineering Approved Design Date]]-Table15[[#This Row],[Date Completed]])</f>
        <v>36</v>
      </c>
      <c r="M560" s="642"/>
      <c r="N560" s="642" t="s">
        <v>120</v>
      </c>
      <c r="O560" s="1025">
        <f>Table15[[#This Row],[Date Completed]]</f>
        <v>44651</v>
      </c>
      <c r="P560" s="21" t="s">
        <v>739</v>
      </c>
      <c r="Q560" s="340" t="s">
        <v>115</v>
      </c>
      <c r="R560" s="1026" t="s">
        <v>115</v>
      </c>
      <c r="S560" s="538" t="s">
        <v>709</v>
      </c>
      <c r="T560" s="538" t="s">
        <v>709</v>
      </c>
      <c r="U560" s="87" t="s">
        <v>709</v>
      </c>
      <c r="V560" s="857"/>
      <c r="W560" s="440"/>
      <c r="X560" s="550"/>
      <c r="Y560" s="550"/>
      <c r="Z560" s="550"/>
      <c r="AA560" s="551"/>
      <c r="AB560" s="341"/>
      <c r="AC560" s="568"/>
      <c r="AD560" s="1157"/>
      <c r="AE560" s="579"/>
      <c r="AF560" s="579"/>
      <c r="AG560" s="579"/>
      <c r="AH560" s="553"/>
      <c r="AI560" s="1036"/>
      <c r="AJ560" s="1037"/>
      <c r="AK560" s="1037"/>
      <c r="AL560" s="1038"/>
      <c r="AM560" s="542" t="s">
        <v>709</v>
      </c>
      <c r="AN560" s="924"/>
      <c r="AO560" s="925"/>
      <c r="AP560" s="926"/>
      <c r="AQ560" s="926"/>
      <c r="AR560" s="926"/>
      <c r="AS560" s="926"/>
      <c r="AT560" s="926"/>
      <c r="AU560" s="926"/>
      <c r="AV560" s="926"/>
      <c r="AW560" s="927"/>
      <c r="AX560" s="926"/>
      <c r="AY560" s="1538" t="s">
        <v>29</v>
      </c>
      <c r="AZ560" s="1530"/>
      <c r="BA560" s="1031" t="s">
        <v>4257</v>
      </c>
      <c r="BB560" s="644" t="s">
        <v>709</v>
      </c>
      <c r="BC560" s="544"/>
      <c r="BD560" s="544"/>
      <c r="BE560" s="544"/>
      <c r="BF560" s="544"/>
      <c r="BG560" s="544"/>
      <c r="BH560" s="741"/>
      <c r="BI560" s="1032"/>
      <c r="BJ560" s="1032"/>
      <c r="BK560" s="1032"/>
      <c r="BL560" s="1032"/>
      <c r="BM560" s="1032"/>
      <c r="BN560" s="1032"/>
      <c r="BO560" s="1032"/>
      <c r="BP560" s="1032"/>
      <c r="BQ560" s="1032"/>
      <c r="BR560" s="1032"/>
      <c r="BS560" s="1032"/>
      <c r="BT560" s="1032"/>
      <c r="BU560" s="1032"/>
      <c r="BV560" s="1032"/>
      <c r="BW560" s="1032"/>
      <c r="BX560" s="1032"/>
      <c r="BY560" s="1032"/>
      <c r="BZ560" s="1032"/>
      <c r="CA560" s="485"/>
      <c r="CB560" s="547">
        <v>558</v>
      </c>
      <c r="CC560" s="1481" t="b">
        <v>1</v>
      </c>
      <c r="CD560" t="str">
        <f>Table15[[#This Row],[Engineering Number]]&amp;Table15[[#This Row],[WO Number]]&amp;Table15[[#This Row],[Date Assigned to Designer]]&amp;Table15[[#This Row],[Date Completed]]</f>
        <v>SC20359-4463144651</v>
      </c>
    </row>
    <row r="561" spans="1:82" customFormat="1" ht="15" customHeight="1" x14ac:dyDescent="0.25">
      <c r="A561">
        <v>2022</v>
      </c>
      <c r="B561" s="8" t="s">
        <v>4</v>
      </c>
      <c r="C561" s="8" t="s">
        <v>4259</v>
      </c>
      <c r="D561" s="8" t="s">
        <v>115</v>
      </c>
      <c r="E561" s="8" t="s">
        <v>1154</v>
      </c>
      <c r="F561" s="8" t="s">
        <v>747</v>
      </c>
      <c r="G561" s="8" t="s">
        <v>35</v>
      </c>
      <c r="H561" s="8" t="s">
        <v>1903</v>
      </c>
      <c r="I561" s="642">
        <v>44631</v>
      </c>
      <c r="J561" s="18">
        <v>44694</v>
      </c>
      <c r="K561" s="18">
        <v>44652</v>
      </c>
      <c r="L561" s="16">
        <f>IF(ISTEXT(Table15[[#This Row],[Engineering Approved Design Date]]),Table15[[#This Row],[Date Completed]]-Table15[[#This Row],[Date Assigned to Designer]],Table15[[#This Row],[Engineering Approved Design Date]]-Table15[[#This Row],[Date Completed]])</f>
        <v>42</v>
      </c>
      <c r="M561" s="642"/>
      <c r="N561" s="642" t="s">
        <v>120</v>
      </c>
      <c r="O561" s="1025">
        <f>Table15[[#This Row],[Date Completed]]</f>
        <v>44652</v>
      </c>
      <c r="P561" s="21" t="s">
        <v>739</v>
      </c>
      <c r="Q561" s="340" t="s">
        <v>115</v>
      </c>
      <c r="R561" s="1026" t="s">
        <v>115</v>
      </c>
      <c r="S561" s="538" t="s">
        <v>709</v>
      </c>
      <c r="T561" s="538" t="s">
        <v>709</v>
      </c>
      <c r="U561" s="87" t="s">
        <v>709</v>
      </c>
      <c r="V561" s="857"/>
      <c r="W561" s="440"/>
      <c r="X561" s="550"/>
      <c r="Y561" s="550"/>
      <c r="Z561" s="550"/>
      <c r="AA561" s="551"/>
      <c r="AB561" s="341"/>
      <c r="AC561" s="568"/>
      <c r="AD561" s="1157" t="s">
        <v>29</v>
      </c>
      <c r="AE561" s="579"/>
      <c r="AF561" s="579"/>
      <c r="AG561" s="579"/>
      <c r="AH561" s="553"/>
      <c r="AI561" s="1036"/>
      <c r="AJ561" s="1037"/>
      <c r="AK561" s="1037"/>
      <c r="AL561" s="1038"/>
      <c r="AM561" s="542" t="s">
        <v>709</v>
      </c>
      <c r="AN561" s="924"/>
      <c r="AO561" s="925"/>
      <c r="AP561" s="926"/>
      <c r="AQ561" s="926"/>
      <c r="AR561" s="926"/>
      <c r="AS561" s="926"/>
      <c r="AT561" s="926"/>
      <c r="AU561" s="926"/>
      <c r="AV561" s="926"/>
      <c r="AW561" s="927"/>
      <c r="AX561" s="926"/>
      <c r="AY561" s="1538" t="s">
        <v>29</v>
      </c>
      <c r="AZ561" s="1530"/>
      <c r="BA561" s="1031" t="s">
        <v>4260</v>
      </c>
      <c r="BB561" s="644" t="s">
        <v>709</v>
      </c>
      <c r="BC561" s="544"/>
      <c r="BD561" s="544"/>
      <c r="BE561" s="544"/>
      <c r="BF561" s="544"/>
      <c r="BG561" s="544"/>
      <c r="BH561" s="741"/>
      <c r="BI561" s="1032"/>
      <c r="BJ561" s="1032"/>
      <c r="BK561" s="1032"/>
      <c r="BL561" s="1032"/>
      <c r="BM561" s="1032"/>
      <c r="BN561" s="1032"/>
      <c r="BO561" s="1032"/>
      <c r="BP561" s="1032"/>
      <c r="BQ561" s="1032"/>
      <c r="BR561" s="1032"/>
      <c r="BS561" s="1032"/>
      <c r="BT561" s="1032"/>
      <c r="BU561" s="1032"/>
      <c r="BV561" s="1032"/>
      <c r="BW561" s="1032"/>
      <c r="BX561" s="1032"/>
      <c r="BY561" s="1032"/>
      <c r="BZ561" s="1032"/>
      <c r="CA561" s="485"/>
      <c r="CB561" s="547">
        <v>559</v>
      </c>
      <c r="CC561" s="1481" t="b">
        <v>1</v>
      </c>
      <c r="CD561" t="str">
        <f>Table15[[#This Row],[Engineering Number]]&amp;Table15[[#This Row],[WO Number]]&amp;Table15[[#This Row],[Date Assigned to Designer]]&amp;Table15[[#This Row],[Date Completed]]</f>
        <v>SC20712-4463144652</v>
      </c>
    </row>
    <row r="562" spans="1:82" customFormat="1" ht="15" customHeight="1" x14ac:dyDescent="0.25">
      <c r="A562">
        <v>2022</v>
      </c>
      <c r="B562" s="8" t="s">
        <v>4</v>
      </c>
      <c r="C562" s="8" t="s">
        <v>4262</v>
      </c>
      <c r="D562" s="8" t="s">
        <v>4263</v>
      </c>
      <c r="E562" s="8" t="s">
        <v>183</v>
      </c>
      <c r="F562" s="8" t="s">
        <v>738</v>
      </c>
      <c r="G562" s="8" t="s">
        <v>39</v>
      </c>
      <c r="H562" s="8" t="s">
        <v>59</v>
      </c>
      <c r="I562" s="642">
        <v>44572</v>
      </c>
      <c r="J562" s="18">
        <v>44666</v>
      </c>
      <c r="K562" s="18">
        <v>44655</v>
      </c>
      <c r="L562" s="16">
        <f>IF(ISTEXT(Table15[[#This Row],[Engineering Approved Design Date]]),Table15[[#This Row],[Date Completed]]-Table15[[#This Row],[Date Assigned to Designer]],Table15[[#This Row],[Engineering Approved Design Date]]-Table15[[#This Row],[Date Completed]])</f>
        <v>11</v>
      </c>
      <c r="M562" s="642"/>
      <c r="N562" s="642" t="s">
        <v>120</v>
      </c>
      <c r="O562" s="1025">
        <f>Table15[[#This Row],[Date Completed]]</f>
        <v>44655</v>
      </c>
      <c r="P562" s="21" t="s">
        <v>739</v>
      </c>
      <c r="Q562" s="340">
        <f>R562*AA562</f>
        <v>175808.82200000004</v>
      </c>
      <c r="R562" s="1026">
        <v>0.1</v>
      </c>
      <c r="S562" s="538" t="s">
        <v>709</v>
      </c>
      <c r="T562" s="538" t="s">
        <v>709</v>
      </c>
      <c r="U562" s="87" t="s">
        <v>709</v>
      </c>
      <c r="V562" s="857">
        <v>6202</v>
      </c>
      <c r="W562" s="440"/>
      <c r="X562" s="551">
        <v>1685951.37</v>
      </c>
      <c r="Y562" s="550"/>
      <c r="Z562" s="551">
        <v>72136.850000000006</v>
      </c>
      <c r="AA562" s="551">
        <f>Table15[[#This Row],[PCTS Investment Amount]]+Table15[[#This Row],[PCTS Retirement Amount]]</f>
        <v>1758088.2200000002</v>
      </c>
      <c r="AB562" s="341"/>
      <c r="AC562" s="568" t="s">
        <v>709</v>
      </c>
      <c r="AD562" s="1157"/>
      <c r="AE562" s="579"/>
      <c r="AF562" s="579"/>
      <c r="AG562" s="579"/>
      <c r="AH562" s="553"/>
      <c r="AI562" s="1036"/>
      <c r="AJ562" s="1037"/>
      <c r="AK562" s="1037"/>
      <c r="AL562" s="1038"/>
      <c r="AM562" s="1522" t="s">
        <v>116</v>
      </c>
      <c r="AN562" s="1523">
        <v>44747</v>
      </c>
      <c r="AO562" s="1524">
        <v>11039773</v>
      </c>
      <c r="AP562" s="1525">
        <v>1730143.56</v>
      </c>
      <c r="AQ562" s="1525"/>
      <c r="AR562" s="1525">
        <v>72120.36</v>
      </c>
      <c r="AS562" s="1525">
        <f>IF(Table15[[#This Row],[PCTS Approved]]="N",0,Table15[[#This Row],[Investment Amount (1'#'#'#'#'#)]]+Table15[[#This Row],[Retirement Amount (3'#'#'#'#'#)]])</f>
        <v>1802263.9200000002</v>
      </c>
      <c r="AT562" s="1525">
        <f>IF(Table15[[#This Row],[Approved Construction Cost]]=0,0,Table15[[#This Row],[Approved Construction Cost]]-Table15[[#This Row],[Construction Cost to Bill From]])</f>
        <v>44175.699999999953</v>
      </c>
      <c r="AU562" s="1525">
        <f>IFERROR(Table15[[#This Row],[Difference in Construction Cost]]*Table15[[#This Row],[Rate]],Table15[[#This Row],[Difference in Construction Cost]]*0.085)</f>
        <v>4417.5699999999952</v>
      </c>
      <c r="AV562" s="1525" t="s">
        <v>709</v>
      </c>
      <c r="AW562" s="1526" t="s">
        <v>3964</v>
      </c>
      <c r="AX562" s="1525">
        <f>Table15[[#This Row],[Reconcile Amount]]</f>
        <v>4417.5699999999952</v>
      </c>
      <c r="AY562" s="1518">
        <v>45008</v>
      </c>
      <c r="AZ562" s="333"/>
      <c r="BA562" s="1031" t="s">
        <v>4264</v>
      </c>
      <c r="BB562" s="644" t="s">
        <v>709</v>
      </c>
      <c r="BC562" s="544" t="s">
        <v>709</v>
      </c>
      <c r="BD562" s="544" t="s">
        <v>709</v>
      </c>
      <c r="BE562" s="544" t="s">
        <v>1314</v>
      </c>
      <c r="BF562" s="544" t="s">
        <v>709</v>
      </c>
      <c r="BG562" s="544" t="s">
        <v>709</v>
      </c>
      <c r="BH562" s="741"/>
      <c r="BI562" s="547" t="s">
        <v>709</v>
      </c>
      <c r="BJ562" s="547" t="s">
        <v>709</v>
      </c>
      <c r="BK562" s="547" t="s">
        <v>709</v>
      </c>
      <c r="BL562" s="547" t="s">
        <v>116</v>
      </c>
      <c r="BM562" s="547" t="s">
        <v>709</v>
      </c>
      <c r="BN562" s="547" t="s">
        <v>709</v>
      </c>
      <c r="BO562" s="547" t="s">
        <v>709</v>
      </c>
      <c r="BP562" s="547" t="s">
        <v>709</v>
      </c>
      <c r="BQ562" s="547">
        <v>1005</v>
      </c>
      <c r="BR562" s="547">
        <v>2855</v>
      </c>
      <c r="BS562" s="547">
        <v>2342</v>
      </c>
      <c r="BT562" s="547" t="s">
        <v>745</v>
      </c>
      <c r="BU562" s="547" t="s">
        <v>709</v>
      </c>
      <c r="BV562" s="547" t="s">
        <v>745</v>
      </c>
      <c r="BW562" s="547" t="s">
        <v>709</v>
      </c>
      <c r="BX562" s="547" t="s">
        <v>745</v>
      </c>
      <c r="BY562" s="547" t="s">
        <v>745</v>
      </c>
      <c r="BZ562" s="547" t="s">
        <v>709</v>
      </c>
      <c r="CA562" s="483"/>
      <c r="CB562" s="547">
        <v>561</v>
      </c>
      <c r="CC562" s="1481" t="b">
        <v>1</v>
      </c>
      <c r="CD562" t="str">
        <f>Table15[[#This Row],[Engineering Number]]&amp;Table15[[#This Row],[WO Number]]&amp;Table15[[#This Row],[Date Assigned to Designer]]&amp;Table15[[#This Row],[Date Completed]]</f>
        <v>M972512109234457244655</v>
      </c>
    </row>
    <row r="563" spans="1:82" customFormat="1" ht="15" customHeight="1" x14ac:dyDescent="0.25">
      <c r="A563">
        <v>2022</v>
      </c>
      <c r="B563" s="8" t="s">
        <v>4</v>
      </c>
      <c r="C563" s="8" t="s">
        <v>4266</v>
      </c>
      <c r="D563" s="8" t="s">
        <v>4267</v>
      </c>
      <c r="E563" s="8" t="s">
        <v>111</v>
      </c>
      <c r="F563" s="8" t="s">
        <v>747</v>
      </c>
      <c r="G563" s="8" t="s">
        <v>35</v>
      </c>
      <c r="H563" s="8" t="s">
        <v>59</v>
      </c>
      <c r="I563" s="642">
        <v>44602</v>
      </c>
      <c r="J563" s="18">
        <v>44658</v>
      </c>
      <c r="K563" s="18">
        <v>44655</v>
      </c>
      <c r="L563" s="16">
        <f>IF(ISTEXT(Table15[[#This Row],[Engineering Approved Design Date]]),Table15[[#This Row],[Date Completed]]-Table15[[#This Row],[Date Assigned to Designer]],Table15[[#This Row],[Engineering Approved Design Date]]-Table15[[#This Row],[Date Completed]])</f>
        <v>3</v>
      </c>
      <c r="M563" s="642"/>
      <c r="N563" s="642" t="s">
        <v>120</v>
      </c>
      <c r="O563" s="1055">
        <f>Table15[[#This Row],[Date Completed]]</f>
        <v>44655</v>
      </c>
      <c r="P563" s="21" t="s">
        <v>739</v>
      </c>
      <c r="Q563" s="1061">
        <f>R563*AA563</f>
        <v>22816.944000000003</v>
      </c>
      <c r="R563" s="1026">
        <v>0.1</v>
      </c>
      <c r="S563" s="538" t="s">
        <v>709</v>
      </c>
      <c r="T563" s="538" t="s">
        <v>709</v>
      </c>
      <c r="U563" s="87" t="s">
        <v>709</v>
      </c>
      <c r="V563" s="857">
        <v>1232</v>
      </c>
      <c r="W563" s="440"/>
      <c r="X563" s="551">
        <v>190350.85</v>
      </c>
      <c r="Y563" s="550"/>
      <c r="Z563" s="551">
        <v>37818.589999999997</v>
      </c>
      <c r="AA563" s="551">
        <f>Table15[[#This Row],[PCTS Investment Amount]]+Table15[[#This Row],[PCTS Retirement Amount]]</f>
        <v>228169.44</v>
      </c>
      <c r="AB563" s="341"/>
      <c r="AC563" s="568" t="s">
        <v>709</v>
      </c>
      <c r="AD563" s="1157" t="s">
        <v>709</v>
      </c>
      <c r="AE563" s="579"/>
      <c r="AF563" s="579"/>
      <c r="AG563" s="579"/>
      <c r="AH563" s="553"/>
      <c r="AI563" s="1036"/>
      <c r="AJ563" s="1037"/>
      <c r="AK563" s="1037"/>
      <c r="AL563" s="1038"/>
      <c r="AM563" s="1522" t="s">
        <v>116</v>
      </c>
      <c r="AN563" s="1523">
        <v>44698</v>
      </c>
      <c r="AO563" s="1524">
        <v>11040719</v>
      </c>
      <c r="AP563" s="1525">
        <v>192980.77</v>
      </c>
      <c r="AQ563" s="1525"/>
      <c r="AR563" s="1525">
        <v>37926.31</v>
      </c>
      <c r="AS563" s="1525">
        <f>IF(Table15[[#This Row],[PCTS Approved]]="N",0,Table15[[#This Row],[Investment Amount (1'#'#'#'#'#)]]+Table15[[#This Row],[Retirement Amount (3'#'#'#'#'#)]])</f>
        <v>230907.08</v>
      </c>
      <c r="AT563" s="1525">
        <f>IF(Table15[[#This Row],[Approved Construction Cost]]=0,0,Table15[[#This Row],[Approved Construction Cost]]-Table15[[#This Row],[Construction Cost to Bill From]])</f>
        <v>2737.6399999999849</v>
      </c>
      <c r="AU563" s="1525">
        <f>IFERROR(Table15[[#This Row],[Difference in Construction Cost]]*Table15[[#This Row],[Rate]],Table15[[#This Row],[Difference in Construction Cost]]*0.085)</f>
        <v>273.76399999999848</v>
      </c>
      <c r="AV563" s="1525" t="s">
        <v>709</v>
      </c>
      <c r="AW563" s="1526"/>
      <c r="AX563" s="1525">
        <f>Table15[[#This Row],[Reconcile Amount]]</f>
        <v>273.76399999999848</v>
      </c>
      <c r="AY563" s="1518">
        <v>45008</v>
      </c>
      <c r="AZ563" s="333"/>
      <c r="BA563" s="1031" t="s">
        <v>4268</v>
      </c>
      <c r="BB563" s="644" t="s">
        <v>709</v>
      </c>
      <c r="BC563" s="544" t="s">
        <v>709</v>
      </c>
      <c r="BD563" s="544" t="s">
        <v>709</v>
      </c>
      <c r="BE563" s="544" t="s">
        <v>1114</v>
      </c>
      <c r="BF563" s="544" t="s">
        <v>4269</v>
      </c>
      <c r="BG563" s="544" t="s">
        <v>709</v>
      </c>
      <c r="BH563" s="741"/>
      <c r="BI563" s="547" t="s">
        <v>709</v>
      </c>
      <c r="BJ563" s="547" t="s">
        <v>709</v>
      </c>
      <c r="BK563" s="547" t="s">
        <v>709</v>
      </c>
      <c r="BL563" s="547" t="s">
        <v>116</v>
      </c>
      <c r="BM563" s="547" t="s">
        <v>709</v>
      </c>
      <c r="BN563" s="547" t="s">
        <v>709</v>
      </c>
      <c r="BO563" s="547" t="s">
        <v>709</v>
      </c>
      <c r="BP563" s="547" t="s">
        <v>709</v>
      </c>
      <c r="BQ563" s="547" t="s">
        <v>709</v>
      </c>
      <c r="BR563" s="547">
        <v>1210</v>
      </c>
      <c r="BS563" s="547">
        <v>22</v>
      </c>
      <c r="BT563" s="547" t="s">
        <v>745</v>
      </c>
      <c r="BU563" s="547" t="s">
        <v>709</v>
      </c>
      <c r="BV563" s="547" t="s">
        <v>745</v>
      </c>
      <c r="BW563" s="547" t="s">
        <v>709</v>
      </c>
      <c r="BX563" s="547" t="s">
        <v>745</v>
      </c>
      <c r="BY563" s="547" t="s">
        <v>745</v>
      </c>
      <c r="BZ563" s="547" t="s">
        <v>709</v>
      </c>
      <c r="CA563" s="483"/>
      <c r="CB563" s="547">
        <v>560</v>
      </c>
      <c r="CC563" s="1481" t="b">
        <v>1</v>
      </c>
      <c r="CD563" t="str">
        <f>Table15[[#This Row],[Engineering Number]]&amp;Table15[[#This Row],[WO Number]]&amp;Table15[[#This Row],[Date Assigned to Designer]]&amp;Table15[[#This Row],[Date Completed]]</f>
        <v>N1538312111074460244655</v>
      </c>
    </row>
    <row r="564" spans="1:82" customFormat="1" ht="15" customHeight="1" x14ac:dyDescent="0.25">
      <c r="A564">
        <v>2022</v>
      </c>
      <c r="B564" s="8" t="s">
        <v>731</v>
      </c>
      <c r="C564" s="8" t="s">
        <v>1244</v>
      </c>
      <c r="D564" s="8" t="s">
        <v>1245</v>
      </c>
      <c r="E564" s="8" t="s">
        <v>277</v>
      </c>
      <c r="F564" s="8" t="s">
        <v>752</v>
      </c>
      <c r="G564" s="8" t="s">
        <v>23</v>
      </c>
      <c r="H564" s="8" t="s">
        <v>59</v>
      </c>
      <c r="I564" s="642">
        <v>44571</v>
      </c>
      <c r="J564" s="18">
        <v>44662</v>
      </c>
      <c r="K564" s="18">
        <v>44656</v>
      </c>
      <c r="L564" s="16">
        <f>IF(ISTEXT(Table15[[#This Row],[Engineering Approved Design Date]]),Table15[[#This Row],[Date Completed]]-Table15[[#This Row],[Date Assigned to Designer]],Table15[[#This Row],[Engineering Approved Design Date]]-Table15[[#This Row],[Date Completed]])</f>
        <v>6</v>
      </c>
      <c r="M564" s="642"/>
      <c r="N564" s="642" t="s">
        <v>120</v>
      </c>
      <c r="O564" s="1025">
        <f>Table15[[#This Row],[Date Completed]]</f>
        <v>44656</v>
      </c>
      <c r="P564" s="21" t="s">
        <v>739</v>
      </c>
      <c r="Q564" s="340">
        <f>R564*AA564</f>
        <v>7334.3042999999998</v>
      </c>
      <c r="R564" s="1026">
        <v>0.09</v>
      </c>
      <c r="S564" s="538" t="s">
        <v>709</v>
      </c>
      <c r="T564" s="538" t="s">
        <v>709</v>
      </c>
      <c r="U564" s="87" t="s">
        <v>709</v>
      </c>
      <c r="V564" s="857"/>
      <c r="W564" s="440"/>
      <c r="X564" s="551"/>
      <c r="Y564" s="550"/>
      <c r="Z564" s="551">
        <v>81492.27</v>
      </c>
      <c r="AA564" s="551">
        <f>Table15[[#This Row],[PCTS Investment Amount]]+Table15[[#This Row],[PCTS Retirement Amount]]</f>
        <v>81492.27</v>
      </c>
      <c r="AB564" s="341"/>
      <c r="AC564" s="568" t="s">
        <v>709</v>
      </c>
      <c r="AD564" s="1157"/>
      <c r="AE564" s="579"/>
      <c r="AF564" s="579"/>
      <c r="AG564" s="579"/>
      <c r="AH564" s="553"/>
      <c r="AI564" s="1036"/>
      <c r="AJ564" s="1037"/>
      <c r="AK564" s="1037"/>
      <c r="AL564" s="1038"/>
      <c r="AM564" s="536" t="s">
        <v>116</v>
      </c>
      <c r="AN564" s="903" t="s">
        <v>709</v>
      </c>
      <c r="AO564" s="1536" t="s">
        <v>115</v>
      </c>
      <c r="AP564" s="1537"/>
      <c r="AQ564" s="1537"/>
      <c r="AR564" s="1537"/>
      <c r="AS564" s="888">
        <f>IF(Table15[[#This Row],[PCTS Approved]]="N",0,Table15[[#This Row],[Investment Amount (1'#'#'#'#'#)]]+Table15[[#This Row],[Retirement Amount (3'#'#'#'#'#)]])</f>
        <v>0</v>
      </c>
      <c r="AT564" s="888">
        <f>IF(Table15[[#This Row],[Approved Construction Cost]]=0,0,Table15[[#This Row],[Approved Construction Cost]]-Table15[[#This Row],[Construction Cost to Bill From]])</f>
        <v>0</v>
      </c>
      <c r="AU564" s="888">
        <f>IFERROR(Table15[[#This Row],[Difference in Construction Cost]]*Table15[[#This Row],[Rate]],Table15[[#This Row],[Difference in Construction Cost]]*0.085)</f>
        <v>0</v>
      </c>
      <c r="AV564" s="905"/>
      <c r="AW564" s="1509"/>
      <c r="AX564" s="888"/>
      <c r="AY564" s="636" t="s">
        <v>709</v>
      </c>
      <c r="AZ564" s="1532">
        <v>24</v>
      </c>
      <c r="BA564" s="859" t="s">
        <v>1246</v>
      </c>
      <c r="BB564" s="644" t="s">
        <v>1247</v>
      </c>
      <c r="BC564" s="544" t="s">
        <v>116</v>
      </c>
      <c r="BD564" s="544" t="s">
        <v>709</v>
      </c>
      <c r="BE564" s="544" t="s">
        <v>709</v>
      </c>
      <c r="BF564" s="544" t="s">
        <v>709</v>
      </c>
      <c r="BG564" s="544" t="s">
        <v>1248</v>
      </c>
      <c r="BH564" s="741"/>
      <c r="BI564" s="547" t="s">
        <v>709</v>
      </c>
      <c r="BJ564" s="547" t="s">
        <v>709</v>
      </c>
      <c r="BK564" s="547" t="s">
        <v>709</v>
      </c>
      <c r="BL564" s="547" t="s">
        <v>709</v>
      </c>
      <c r="BM564" s="547" t="s">
        <v>709</v>
      </c>
      <c r="BN564" s="547" t="s">
        <v>709</v>
      </c>
      <c r="BO564" s="547" t="s">
        <v>709</v>
      </c>
      <c r="BP564" s="547" t="s">
        <v>709</v>
      </c>
      <c r="BQ564" s="547" t="s">
        <v>709</v>
      </c>
      <c r="BR564" s="547" t="s">
        <v>709</v>
      </c>
      <c r="BS564" s="547" t="s">
        <v>709</v>
      </c>
      <c r="BT564" s="547" t="s">
        <v>745</v>
      </c>
      <c r="BU564" s="547" t="s">
        <v>709</v>
      </c>
      <c r="BV564" s="547">
        <v>1</v>
      </c>
      <c r="BW564" s="547" t="s">
        <v>709</v>
      </c>
      <c r="BX564" s="547" t="s">
        <v>745</v>
      </c>
      <c r="BY564" s="547" t="s">
        <v>745</v>
      </c>
      <c r="BZ564" s="547" t="s">
        <v>709</v>
      </c>
      <c r="CA564" s="483" t="s">
        <v>731</v>
      </c>
      <c r="CB564" s="547">
        <v>562</v>
      </c>
      <c r="CC564" s="1481" t="b">
        <v>1</v>
      </c>
      <c r="CD564" t="str">
        <f>Table15[[#This Row],[Engineering Number]]&amp;Table15[[#This Row],[WO Number]]&amp;Table15[[#This Row],[Date Assigned to Designer]]&amp;Table15[[#This Row],[Date Completed]]</f>
        <v>MR183532108994457144656</v>
      </c>
    </row>
    <row r="565" spans="1:82" customFormat="1" ht="15" customHeight="1" x14ac:dyDescent="0.25">
      <c r="A565">
        <v>2022</v>
      </c>
      <c r="B565" s="8" t="s">
        <v>731</v>
      </c>
      <c r="C565" s="8" t="s">
        <v>4282</v>
      </c>
      <c r="D565" s="8" t="s">
        <v>4283</v>
      </c>
      <c r="E565" s="8" t="s">
        <v>2607</v>
      </c>
      <c r="F565" s="8" t="s">
        <v>752</v>
      </c>
      <c r="G565" s="8" t="s">
        <v>34</v>
      </c>
      <c r="H565" s="8" t="s">
        <v>59</v>
      </c>
      <c r="I565" s="642">
        <v>44571</v>
      </c>
      <c r="J565" s="18">
        <v>44662</v>
      </c>
      <c r="K565" s="18">
        <v>44657</v>
      </c>
      <c r="L565" s="16">
        <f>IF(ISTEXT(Table15[[#This Row],[Engineering Approved Design Date]]),Table15[[#This Row],[Date Completed]]-Table15[[#This Row],[Date Assigned to Designer]],Table15[[#This Row],[Engineering Approved Design Date]]-Table15[[#This Row],[Date Completed]])</f>
        <v>5</v>
      </c>
      <c r="M565" s="642"/>
      <c r="N565" s="642" t="s">
        <v>120</v>
      </c>
      <c r="O565" s="1025">
        <f>Table15[[#This Row],[Date Completed]]</f>
        <v>44657</v>
      </c>
      <c r="P565" s="21" t="s">
        <v>739</v>
      </c>
      <c r="Q565" s="340">
        <f>R565*AA565</f>
        <v>7823.765699999999</v>
      </c>
      <c r="R565" s="1026">
        <v>0.09</v>
      </c>
      <c r="S565" s="538" t="s">
        <v>709</v>
      </c>
      <c r="T565" s="538" t="s">
        <v>709</v>
      </c>
      <c r="U565" s="87" t="s">
        <v>709</v>
      </c>
      <c r="V565" s="857"/>
      <c r="W565" s="440"/>
      <c r="X565" s="551"/>
      <c r="Y565" s="550"/>
      <c r="Z565" s="551">
        <v>86930.73</v>
      </c>
      <c r="AA565" s="551">
        <f>Table15[[#This Row],[PCTS Investment Amount]]+Table15[[#This Row],[PCTS Retirement Amount]]</f>
        <v>86930.73</v>
      </c>
      <c r="AB565" s="341"/>
      <c r="AC565" s="568" t="s">
        <v>709</v>
      </c>
      <c r="AD565" s="1157" t="s">
        <v>29</v>
      </c>
      <c r="AE565" s="579"/>
      <c r="AF565" s="579"/>
      <c r="AG565" s="579"/>
      <c r="AH565" s="553"/>
      <c r="AI565" s="1036"/>
      <c r="AJ565" s="1037"/>
      <c r="AK565" s="1037"/>
      <c r="AL565" s="1038"/>
      <c r="AM565" s="1522" t="s">
        <v>116</v>
      </c>
      <c r="AN565" s="1523">
        <v>44721</v>
      </c>
      <c r="AO565" s="1524">
        <v>11042037</v>
      </c>
      <c r="AP565" s="1525">
        <v>0</v>
      </c>
      <c r="AQ565" s="1525">
        <v>87019.17</v>
      </c>
      <c r="AR565" s="1525">
        <v>87019.17</v>
      </c>
      <c r="AS565" s="1525">
        <f>IF(Table15[[#This Row],[PCTS Approved]]="N",0,Table15[[#This Row],[Investment Amount (1'#'#'#'#'#)]]+Table15[[#This Row],[Retirement Amount (3'#'#'#'#'#)]])</f>
        <v>87019.17</v>
      </c>
      <c r="AT565" s="1525">
        <f>IF(Table15[[#This Row],[Approved Construction Cost]]=0,0,Table15[[#This Row],[Approved Construction Cost]]-Table15[[#This Row],[Construction Cost to Bill From]])</f>
        <v>88.440000000002328</v>
      </c>
      <c r="AU565" s="1525">
        <f>IFERROR(Table15[[#This Row],[Difference in Construction Cost]]*Table15[[#This Row],[Rate]],Table15[[#This Row],[Difference in Construction Cost]]*0.085)</f>
        <v>7.9596000000002096</v>
      </c>
      <c r="AV565" s="1525" t="s">
        <v>709</v>
      </c>
      <c r="AW565" s="1526"/>
      <c r="AX565" s="1525">
        <f>Table15[[#This Row],[Reconcile Amount]]</f>
        <v>7.9596000000002096</v>
      </c>
      <c r="AY565" s="1518">
        <v>45008</v>
      </c>
      <c r="AZ565" s="333"/>
      <c r="BA565" s="1031" t="s">
        <v>4284</v>
      </c>
      <c r="BB565" s="644" t="s">
        <v>4285</v>
      </c>
      <c r="BC565" s="544" t="s">
        <v>116</v>
      </c>
      <c r="BD565" s="544" t="s">
        <v>882</v>
      </c>
      <c r="BE565" s="544" t="s">
        <v>709</v>
      </c>
      <c r="BF565" s="544" t="s">
        <v>709</v>
      </c>
      <c r="BG565" s="544" t="s">
        <v>709</v>
      </c>
      <c r="BH565" s="741"/>
      <c r="BI565" s="547" t="s">
        <v>709</v>
      </c>
      <c r="BJ565" s="547" t="s">
        <v>709</v>
      </c>
      <c r="BK565" s="547" t="s">
        <v>709</v>
      </c>
      <c r="BL565" s="547" t="s">
        <v>709</v>
      </c>
      <c r="BM565" s="547" t="s">
        <v>709</v>
      </c>
      <c r="BN565" s="547" t="s">
        <v>709</v>
      </c>
      <c r="BO565" s="547" t="s">
        <v>709</v>
      </c>
      <c r="BP565" s="547" t="s">
        <v>709</v>
      </c>
      <c r="BQ565" s="547" t="s">
        <v>709</v>
      </c>
      <c r="BR565" s="547" t="s">
        <v>709</v>
      </c>
      <c r="BS565" s="547" t="s">
        <v>709</v>
      </c>
      <c r="BT565" s="547" t="s">
        <v>745</v>
      </c>
      <c r="BU565" s="547" t="s">
        <v>709</v>
      </c>
      <c r="BV565" s="547">
        <v>1</v>
      </c>
      <c r="BW565" s="547" t="s">
        <v>709</v>
      </c>
      <c r="BX565" s="547" t="s">
        <v>745</v>
      </c>
      <c r="BY565" s="547" t="s">
        <v>745</v>
      </c>
      <c r="BZ565" s="547" t="s">
        <v>709</v>
      </c>
      <c r="CA565" s="483" t="s">
        <v>731</v>
      </c>
      <c r="CB565" s="547">
        <v>563</v>
      </c>
      <c r="CC565" s="1481" t="b">
        <v>1</v>
      </c>
      <c r="CD565" t="str">
        <f>Table15[[#This Row],[Engineering Number]]&amp;Table15[[#This Row],[WO Number]]&amp;Table15[[#This Row],[Date Assigned to Designer]]&amp;Table15[[#This Row],[Date Completed]]</f>
        <v>MR183932108944457144657</v>
      </c>
    </row>
    <row r="566" spans="1:82" customFormat="1" ht="15" customHeight="1" x14ac:dyDescent="0.25">
      <c r="A566">
        <v>2022</v>
      </c>
      <c r="B566" s="8" t="s">
        <v>2994</v>
      </c>
      <c r="C566" s="8" t="s">
        <v>4287</v>
      </c>
      <c r="D566" s="8" t="s">
        <v>4288</v>
      </c>
      <c r="E566" s="8" t="s">
        <v>1763</v>
      </c>
      <c r="F566" s="8" t="s">
        <v>752</v>
      </c>
      <c r="G566" s="8" t="s">
        <v>35</v>
      </c>
      <c r="H566" s="8" t="s">
        <v>59</v>
      </c>
      <c r="I566" s="642">
        <v>44571</v>
      </c>
      <c r="J566" s="18">
        <v>44662</v>
      </c>
      <c r="K566" s="18">
        <v>44657</v>
      </c>
      <c r="L566" s="16">
        <f>IF(ISTEXT(Table15[[#This Row],[Engineering Approved Design Date]]),Table15[[#This Row],[Date Completed]]-Table15[[#This Row],[Date Assigned to Designer]],Table15[[#This Row],[Engineering Approved Design Date]]-Table15[[#This Row],[Date Completed]])</f>
        <v>5</v>
      </c>
      <c r="M566" s="642"/>
      <c r="N566" s="642" t="s">
        <v>120</v>
      </c>
      <c r="O566" s="1025">
        <f>Table15[[#This Row],[Date Completed]]</f>
        <v>44657</v>
      </c>
      <c r="P566" s="21" t="s">
        <v>739</v>
      </c>
      <c r="Q566" s="340">
        <f>R566*AA566</f>
        <v>11013.0723</v>
      </c>
      <c r="R566" s="1026">
        <v>0.09</v>
      </c>
      <c r="S566" s="538" t="s">
        <v>709</v>
      </c>
      <c r="T566" s="538" t="s">
        <v>709</v>
      </c>
      <c r="U566" s="87" t="s">
        <v>709</v>
      </c>
      <c r="V566" s="857"/>
      <c r="W566" s="440"/>
      <c r="X566" s="551"/>
      <c r="Y566" s="550"/>
      <c r="Z566" s="551">
        <v>122367.47</v>
      </c>
      <c r="AA566" s="551">
        <f>Table15[[#This Row],[PCTS Investment Amount]]+Table15[[#This Row],[PCTS Retirement Amount]]</f>
        <v>122367.47</v>
      </c>
      <c r="AB566" s="341"/>
      <c r="AC566" s="568" t="s">
        <v>709</v>
      </c>
      <c r="AD566" s="1157" t="s">
        <v>116</v>
      </c>
      <c r="AE566" s="579"/>
      <c r="AF566" s="579"/>
      <c r="AG566" s="579"/>
      <c r="AH566" s="553"/>
      <c r="AI566" s="1036"/>
      <c r="AJ566" s="1037"/>
      <c r="AK566" s="1037"/>
      <c r="AL566" s="1038"/>
      <c r="AM566" s="1522" t="s">
        <v>116</v>
      </c>
      <c r="AN566" s="1523">
        <v>44594</v>
      </c>
      <c r="AO566" s="1524">
        <v>11042519</v>
      </c>
      <c r="AP566" s="1525">
        <v>0</v>
      </c>
      <c r="AQ566" s="1525"/>
      <c r="AR566" s="1525">
        <v>121811.27</v>
      </c>
      <c r="AS566" s="1525">
        <f>IF(Table15[[#This Row],[PCTS Approved]]="N",0,Table15[[#This Row],[Investment Amount (1'#'#'#'#'#)]]+Table15[[#This Row],[Retirement Amount (3'#'#'#'#'#)]])</f>
        <v>121811.27</v>
      </c>
      <c r="AT566" s="1525">
        <f>IF(Table15[[#This Row],[Approved Construction Cost]]=0,0,Table15[[#This Row],[Approved Construction Cost]]-Table15[[#This Row],[Construction Cost to Bill From]])</f>
        <v>-556.19999999999709</v>
      </c>
      <c r="AU566" s="1525">
        <f>IFERROR(Table15[[#This Row],[Difference in Construction Cost]]*Table15[[#This Row],[Rate]],Table15[[#This Row],[Difference in Construction Cost]]*0.085)</f>
        <v>-50.057999999999737</v>
      </c>
      <c r="AV566" s="1525">
        <v>4120</v>
      </c>
      <c r="AW566" s="1526" t="s">
        <v>4292</v>
      </c>
      <c r="AX566" s="1525">
        <v>0</v>
      </c>
      <c r="AY566" s="1518">
        <v>45008</v>
      </c>
      <c r="AZ566" s="333"/>
      <c r="BA566" s="1031" t="s">
        <v>4289</v>
      </c>
      <c r="BB566" s="644" t="s">
        <v>4290</v>
      </c>
      <c r="BC566" s="544" t="s">
        <v>709</v>
      </c>
      <c r="BD566" s="544" t="s">
        <v>882</v>
      </c>
      <c r="BE566" s="544" t="s">
        <v>1766</v>
      </c>
      <c r="BF566" s="544" t="s">
        <v>709</v>
      </c>
      <c r="BG566" s="544" t="s">
        <v>709</v>
      </c>
      <c r="BH566" s="741"/>
      <c r="BI566" s="547" t="s">
        <v>709</v>
      </c>
      <c r="BJ566" s="547" t="s">
        <v>709</v>
      </c>
      <c r="BK566" s="547" t="s">
        <v>709</v>
      </c>
      <c r="BL566" s="547" t="s">
        <v>709</v>
      </c>
      <c r="BM566" s="547" t="s">
        <v>709</v>
      </c>
      <c r="BN566" s="547" t="s">
        <v>709</v>
      </c>
      <c r="BO566" s="547" t="s">
        <v>709</v>
      </c>
      <c r="BP566" s="547" t="s">
        <v>709</v>
      </c>
      <c r="BQ566" s="547" t="s">
        <v>709</v>
      </c>
      <c r="BR566" s="547" t="s">
        <v>709</v>
      </c>
      <c r="BS566" s="547" t="s">
        <v>709</v>
      </c>
      <c r="BT566" s="547" t="s">
        <v>745</v>
      </c>
      <c r="BU566" s="547" t="s">
        <v>709</v>
      </c>
      <c r="BV566" s="547">
        <v>1</v>
      </c>
      <c r="BW566" s="547" t="s">
        <v>709</v>
      </c>
      <c r="BX566" s="547" t="s">
        <v>745</v>
      </c>
      <c r="BY566" s="547" t="s">
        <v>745</v>
      </c>
      <c r="BZ566" s="547" t="s">
        <v>709</v>
      </c>
      <c r="CA566" s="483" t="s">
        <v>1146</v>
      </c>
      <c r="CB566" s="547">
        <v>566</v>
      </c>
      <c r="CC566" s="1481" t="b">
        <v>1</v>
      </c>
      <c r="CD566" t="str">
        <f>Table15[[#This Row],[Engineering Number]]&amp;Table15[[#This Row],[WO Number]]&amp;Table15[[#This Row],[Date Assigned to Designer]]&amp;Table15[[#This Row],[Date Completed]]</f>
        <v>MR184032108974457144657</v>
      </c>
    </row>
    <row r="567" spans="1:82" customFormat="1" ht="15" customHeight="1" x14ac:dyDescent="0.25">
      <c r="A567">
        <v>2022</v>
      </c>
      <c r="B567" s="8" t="s">
        <v>2</v>
      </c>
      <c r="C567" s="8" t="s">
        <v>4282</v>
      </c>
      <c r="D567" s="8" t="s">
        <v>4283</v>
      </c>
      <c r="E567" s="8" t="s">
        <v>2607</v>
      </c>
      <c r="F567" s="8" t="s">
        <v>752</v>
      </c>
      <c r="G567" s="8" t="s">
        <v>34</v>
      </c>
      <c r="H567" s="8" t="s">
        <v>3661</v>
      </c>
      <c r="I567" s="642">
        <v>44571</v>
      </c>
      <c r="J567" s="18" t="s">
        <v>3662</v>
      </c>
      <c r="K567" s="18">
        <v>44657</v>
      </c>
      <c r="L567" s="16">
        <f>IF(ISTEXT(Table15[[#This Row],[Engineering Approved Design Date]]),Table15[[#This Row],[Date Completed]]-Table15[[#This Row],[Date Assigned to Designer]],Table15[[#This Row],[Engineering Approved Design Date]]-Table15[[#This Row],[Date Completed]])</f>
        <v>86</v>
      </c>
      <c r="M567" s="642"/>
      <c r="N567" s="642" t="s">
        <v>120</v>
      </c>
      <c r="O567" s="1025">
        <v>44682</v>
      </c>
      <c r="P567" s="21" t="s">
        <v>739</v>
      </c>
      <c r="Q567" s="340">
        <f>Table15[[#This Row],[KH Hourly Effort]]</f>
        <v>2922.5</v>
      </c>
      <c r="R567" s="1026" t="s">
        <v>1922</v>
      </c>
      <c r="S567" s="538" t="s">
        <v>709</v>
      </c>
      <c r="T567" s="538" t="s">
        <v>709</v>
      </c>
      <c r="U567" s="87">
        <v>2922.5</v>
      </c>
      <c r="V567" s="857"/>
      <c r="W567" s="440"/>
      <c r="X567" s="550"/>
      <c r="Y567" s="550"/>
      <c r="Z567" s="550"/>
      <c r="AA567" s="551"/>
      <c r="AB567" s="341" t="s">
        <v>29</v>
      </c>
      <c r="AC567" s="569" t="s">
        <v>29</v>
      </c>
      <c r="AD567" s="1149" t="s">
        <v>29</v>
      </c>
      <c r="AE567" s="579"/>
      <c r="AF567" s="579"/>
      <c r="AG567" s="579"/>
      <c r="AH567" s="553"/>
      <c r="AI567" s="1036"/>
      <c r="AJ567" s="1037"/>
      <c r="AK567" s="1037"/>
      <c r="AL567" s="1038"/>
      <c r="AM567" s="542" t="s">
        <v>709</v>
      </c>
      <c r="AN567" s="924"/>
      <c r="AO567" s="925"/>
      <c r="AP567" s="926"/>
      <c r="AQ567" s="926"/>
      <c r="AR567" s="926"/>
      <c r="AS567" s="926"/>
      <c r="AT567" s="926"/>
      <c r="AU567" s="926"/>
      <c r="AV567" s="926"/>
      <c r="AW567" s="927"/>
      <c r="AX567" s="926"/>
      <c r="AY567" s="1538" t="s">
        <v>29</v>
      </c>
      <c r="AZ567" s="1532"/>
      <c r="BA567" s="1031" t="s">
        <v>4284</v>
      </c>
      <c r="BB567" s="644" t="s">
        <v>4285</v>
      </c>
      <c r="BC567" s="544" t="s">
        <v>116</v>
      </c>
      <c r="BD567" s="544" t="s">
        <v>882</v>
      </c>
      <c r="BE567" s="544" t="s">
        <v>709</v>
      </c>
      <c r="BF567" s="544" t="s">
        <v>709</v>
      </c>
      <c r="BG567" s="544" t="s">
        <v>709</v>
      </c>
      <c r="BH567" s="741"/>
      <c r="BI567" s="547" t="s">
        <v>709</v>
      </c>
      <c r="BJ567" s="547" t="s">
        <v>709</v>
      </c>
      <c r="BK567" s="547" t="s">
        <v>709</v>
      </c>
      <c r="BL567" s="547" t="s">
        <v>709</v>
      </c>
      <c r="BM567" s="547" t="s">
        <v>709</v>
      </c>
      <c r="BN567" s="547" t="s">
        <v>709</v>
      </c>
      <c r="BO567" s="547" t="s">
        <v>709</v>
      </c>
      <c r="BP567" s="547" t="s">
        <v>709</v>
      </c>
      <c r="BQ567" s="547" t="s">
        <v>709</v>
      </c>
      <c r="BR567" s="547" t="s">
        <v>709</v>
      </c>
      <c r="BS567" s="547" t="s">
        <v>709</v>
      </c>
      <c r="BT567" s="547" t="s">
        <v>745</v>
      </c>
      <c r="BU567" s="547" t="s">
        <v>709</v>
      </c>
      <c r="BV567" s="547">
        <v>1</v>
      </c>
      <c r="BW567" s="547" t="s">
        <v>709</v>
      </c>
      <c r="BX567" s="547" t="s">
        <v>745</v>
      </c>
      <c r="BY567" s="547" t="s">
        <v>745</v>
      </c>
      <c r="BZ567" s="547" t="s">
        <v>709</v>
      </c>
      <c r="CA567" s="483" t="s">
        <v>2</v>
      </c>
      <c r="CB567" s="547">
        <v>567</v>
      </c>
      <c r="CC567" s="1481" t="b">
        <v>1</v>
      </c>
      <c r="CD567" t="str">
        <f>Table15[[#This Row],[Engineering Number]]&amp;Table15[[#This Row],[WO Number]]&amp;Table15[[#This Row],[Date Assigned to Designer]]&amp;Table15[[#This Row],[Date Completed]]</f>
        <v>MR183932108944457144657</v>
      </c>
    </row>
    <row r="568" spans="1:82" customFormat="1" ht="15" customHeight="1" x14ac:dyDescent="0.25">
      <c r="A568">
        <v>2022</v>
      </c>
      <c r="B568" s="8" t="s">
        <v>2994</v>
      </c>
      <c r="C568" s="8" t="s">
        <v>4287</v>
      </c>
      <c r="D568" s="8" t="s">
        <v>4288</v>
      </c>
      <c r="E568" s="8" t="s">
        <v>1763</v>
      </c>
      <c r="F568" s="8" t="s">
        <v>752</v>
      </c>
      <c r="G568" s="8" t="s">
        <v>35</v>
      </c>
      <c r="H568" s="8" t="s">
        <v>3661</v>
      </c>
      <c r="I568" s="642">
        <v>44571</v>
      </c>
      <c r="J568" s="18" t="s">
        <v>3662</v>
      </c>
      <c r="K568" s="18">
        <v>44657</v>
      </c>
      <c r="L568" s="16">
        <f>IF(ISTEXT(Table15[[#This Row],[Engineering Approved Design Date]]),Table15[[#This Row],[Date Completed]]-Table15[[#This Row],[Date Assigned to Designer]],Table15[[#This Row],[Engineering Approved Design Date]]-Table15[[#This Row],[Date Completed]])</f>
        <v>86</v>
      </c>
      <c r="M568" s="642"/>
      <c r="N568" s="642" t="s">
        <v>120</v>
      </c>
      <c r="O568" s="1025">
        <v>44682</v>
      </c>
      <c r="P568" s="21" t="s">
        <v>739</v>
      </c>
      <c r="Q568" s="340">
        <f>Table15[[#This Row],[KH Hourly Effort]]</f>
        <v>3367.5</v>
      </c>
      <c r="R568" s="1026" t="s">
        <v>1922</v>
      </c>
      <c r="S568" s="538" t="s">
        <v>709</v>
      </c>
      <c r="T568" s="538" t="s">
        <v>709</v>
      </c>
      <c r="U568" s="87">
        <v>3367.5</v>
      </c>
      <c r="V568" s="857"/>
      <c r="W568" s="440"/>
      <c r="X568" s="550"/>
      <c r="Y568" s="550"/>
      <c r="Z568" s="550"/>
      <c r="AA568" s="551"/>
      <c r="AB568" s="341" t="s">
        <v>29</v>
      </c>
      <c r="AC568" s="569" t="s">
        <v>29</v>
      </c>
      <c r="AD568" s="1149" t="s">
        <v>29</v>
      </c>
      <c r="AE568" s="579"/>
      <c r="AF568" s="579"/>
      <c r="AG568" s="579"/>
      <c r="AH568" s="553"/>
      <c r="AI568" s="1036"/>
      <c r="AJ568" s="1037"/>
      <c r="AK568" s="1037"/>
      <c r="AL568" s="1038"/>
      <c r="AM568" s="542" t="s">
        <v>709</v>
      </c>
      <c r="AN568" s="924"/>
      <c r="AO568" s="925"/>
      <c r="AP568" s="926"/>
      <c r="AQ568" s="926"/>
      <c r="AR568" s="926"/>
      <c r="AS568" s="926"/>
      <c r="AT568" s="926"/>
      <c r="AU568" s="926"/>
      <c r="AV568" s="926"/>
      <c r="AW568" s="927"/>
      <c r="AX568" s="926"/>
      <c r="AY568" s="1538" t="s">
        <v>29</v>
      </c>
      <c r="AZ568" s="1532"/>
      <c r="BA568" s="1031" t="s">
        <v>4289</v>
      </c>
      <c r="BB568" s="644" t="s">
        <v>4290</v>
      </c>
      <c r="BC568" s="544" t="s">
        <v>709</v>
      </c>
      <c r="BD568" s="544" t="s">
        <v>882</v>
      </c>
      <c r="BE568" s="544" t="s">
        <v>709</v>
      </c>
      <c r="BF568" s="544" t="s">
        <v>709</v>
      </c>
      <c r="BG568" s="544" t="s">
        <v>709</v>
      </c>
      <c r="BH568" s="741"/>
      <c r="BI568" s="547" t="s">
        <v>709</v>
      </c>
      <c r="BJ568" s="547" t="s">
        <v>709</v>
      </c>
      <c r="BK568" s="547" t="s">
        <v>709</v>
      </c>
      <c r="BL568" s="547" t="s">
        <v>709</v>
      </c>
      <c r="BM568" s="547" t="s">
        <v>709</v>
      </c>
      <c r="BN568" s="547" t="s">
        <v>709</v>
      </c>
      <c r="BO568" s="547" t="s">
        <v>709</v>
      </c>
      <c r="BP568" s="547" t="s">
        <v>709</v>
      </c>
      <c r="BQ568" s="547" t="s">
        <v>709</v>
      </c>
      <c r="BR568" s="547" t="s">
        <v>709</v>
      </c>
      <c r="BS568" s="547" t="s">
        <v>709</v>
      </c>
      <c r="BT568" s="547" t="s">
        <v>745</v>
      </c>
      <c r="BU568" s="547" t="s">
        <v>709</v>
      </c>
      <c r="BV568" s="547">
        <v>1</v>
      </c>
      <c r="BW568" s="547" t="s">
        <v>709</v>
      </c>
      <c r="BX568" s="547" t="s">
        <v>745</v>
      </c>
      <c r="BY568" s="547" t="s">
        <v>745</v>
      </c>
      <c r="BZ568" s="547" t="s">
        <v>709</v>
      </c>
      <c r="CA568" s="483" t="s">
        <v>1146</v>
      </c>
      <c r="CB568" s="547">
        <v>568</v>
      </c>
      <c r="CC568" s="1481" t="b">
        <v>1</v>
      </c>
      <c r="CD568" t="str">
        <f>Table15[[#This Row],[Engineering Number]]&amp;Table15[[#This Row],[WO Number]]&amp;Table15[[#This Row],[Date Assigned to Designer]]&amp;Table15[[#This Row],[Date Completed]]</f>
        <v>MR184032108974457144657</v>
      </c>
    </row>
    <row r="569" spans="1:82" customFormat="1" ht="15" customHeight="1" x14ac:dyDescent="0.25">
      <c r="A569">
        <v>2021</v>
      </c>
      <c r="B569" s="8" t="s">
        <v>1073</v>
      </c>
      <c r="C569" s="8" t="s">
        <v>4272</v>
      </c>
      <c r="D569" s="8" t="s">
        <v>4273</v>
      </c>
      <c r="E569" s="8" t="s">
        <v>4274</v>
      </c>
      <c r="F569" s="8" t="s">
        <v>738</v>
      </c>
      <c r="G569" s="8" t="s">
        <v>34</v>
      </c>
      <c r="H569" s="8" t="s">
        <v>59</v>
      </c>
      <c r="I569" s="642">
        <v>44545</v>
      </c>
      <c r="J569" s="18">
        <v>44673</v>
      </c>
      <c r="K569" s="18">
        <v>44657</v>
      </c>
      <c r="L569" s="16">
        <f>IF(ISTEXT(Table15[[#This Row],[Engineering Approved Design Date]]),Table15[[#This Row],[Date Completed]]-Table15[[#This Row],[Date Assigned to Designer]],Table15[[#This Row],[Engineering Approved Design Date]]-Table15[[#This Row],[Date Completed]])</f>
        <v>16</v>
      </c>
      <c r="M569" s="642"/>
      <c r="N569" s="642" t="s">
        <v>120</v>
      </c>
      <c r="O569" s="1025">
        <f>Table15[[#This Row],[Date Completed]]</f>
        <v>44657</v>
      </c>
      <c r="P569" s="21" t="s">
        <v>739</v>
      </c>
      <c r="Q569" s="340">
        <f>R569*AA569</f>
        <v>2030.5208</v>
      </c>
      <c r="R569" s="1026">
        <v>7.0000000000000007E-2</v>
      </c>
      <c r="S569" s="538" t="s">
        <v>709</v>
      </c>
      <c r="T569" s="538" t="s">
        <v>709</v>
      </c>
      <c r="U569" s="87" t="s">
        <v>709</v>
      </c>
      <c r="V569" s="857"/>
      <c r="W569" s="440"/>
      <c r="X569" s="551">
        <v>29007.439999999999</v>
      </c>
      <c r="Y569" s="551"/>
      <c r="Z569" s="551"/>
      <c r="AA569" s="551">
        <f>Table15[[#This Row],[PCTS Investment Amount]]+Table15[[#This Row],[PCTS Retirement Amount]]</f>
        <v>29007.439999999999</v>
      </c>
      <c r="AB569" s="341"/>
      <c r="AC569" s="568" t="s">
        <v>116</v>
      </c>
      <c r="AD569" s="1157" t="s">
        <v>29</v>
      </c>
      <c r="AE569" s="568"/>
      <c r="AF569" s="568"/>
      <c r="AG569" s="568"/>
      <c r="AH569" s="183"/>
      <c r="AI569" s="1036"/>
      <c r="AJ569" s="1037"/>
      <c r="AK569" s="1037"/>
      <c r="AL569" s="1038"/>
      <c r="AM569" s="1522" t="s">
        <v>116</v>
      </c>
      <c r="AN569" s="1523">
        <v>44691</v>
      </c>
      <c r="AO569" s="1524">
        <v>11040904</v>
      </c>
      <c r="AP569" s="1525">
        <v>28749</v>
      </c>
      <c r="AQ569" s="1525"/>
      <c r="AR569" s="1525">
        <v>0</v>
      </c>
      <c r="AS569" s="1525">
        <f>IF(Table15[[#This Row],[PCTS Approved]]="N",0,Table15[[#This Row],[Investment Amount (1'#'#'#'#'#)]]+Table15[[#This Row],[Retirement Amount (3'#'#'#'#'#)]])</f>
        <v>28749</v>
      </c>
      <c r="AT569" s="1525">
        <f>IF(Table15[[#This Row],[Approved Construction Cost]]=0,0,Table15[[#This Row],[Approved Construction Cost]]-Table15[[#This Row],[Construction Cost to Bill From]])</f>
        <v>-258.43999999999869</v>
      </c>
      <c r="AU569" s="1525">
        <f>IFERROR(Table15[[#This Row],[Difference in Construction Cost]]*Table15[[#This Row],[Rate]],Table15[[#This Row],[Difference in Construction Cost]]*0.085)</f>
        <v>-18.090799999999909</v>
      </c>
      <c r="AV569" s="1525" t="s">
        <v>709</v>
      </c>
      <c r="AW569" s="1526"/>
      <c r="AX569" s="1525">
        <f>Table15[[#This Row],[Reconcile Amount]]</f>
        <v>-18.090799999999909</v>
      </c>
      <c r="AY569" s="1518">
        <v>45008</v>
      </c>
      <c r="AZ569" s="333"/>
      <c r="BA569" s="1031" t="s">
        <v>4101</v>
      </c>
      <c r="BB569" s="644" t="s">
        <v>877</v>
      </c>
      <c r="BC569" s="544" t="s">
        <v>116</v>
      </c>
      <c r="BD569" s="544" t="s">
        <v>709</v>
      </c>
      <c r="BE569" s="544" t="s">
        <v>709</v>
      </c>
      <c r="BF569" s="544" t="s">
        <v>2965</v>
      </c>
      <c r="BG569" s="544" t="s">
        <v>4275</v>
      </c>
      <c r="BH569" s="741"/>
      <c r="BI569" s="547"/>
      <c r="BJ569" s="547"/>
      <c r="BK569" s="547"/>
      <c r="BL569" s="547"/>
      <c r="BM569" s="547"/>
      <c r="BN569" s="547"/>
      <c r="BO569" s="547"/>
      <c r="BP569" s="547"/>
      <c r="BQ569" s="547"/>
      <c r="BR569" s="547"/>
      <c r="BS569" s="547"/>
      <c r="BT569" s="547"/>
      <c r="BU569" s="547"/>
      <c r="BV569" s="547"/>
      <c r="BW569" s="547"/>
      <c r="BX569" s="547"/>
      <c r="BY569" s="547"/>
      <c r="BZ569" s="547" t="s">
        <v>709</v>
      </c>
      <c r="CA569" s="483" t="s">
        <v>1053</v>
      </c>
      <c r="CB569" s="547">
        <v>565</v>
      </c>
      <c r="CC569" s="1481" t="b">
        <v>1</v>
      </c>
      <c r="CD569" t="str">
        <f>Table15[[#This Row],[Engineering Number]]&amp;Table15[[#This Row],[WO Number]]&amp;Table15[[#This Row],[Date Assigned to Designer]]&amp;Table15[[#This Row],[Date Completed]]</f>
        <v>NBA10001378-116108904454544657</v>
      </c>
    </row>
    <row r="570" spans="1:82" customFormat="1" ht="15" customHeight="1" x14ac:dyDescent="0.25">
      <c r="A570">
        <v>2021</v>
      </c>
      <c r="B570" s="8" t="s">
        <v>1073</v>
      </c>
      <c r="C570" s="8" t="s">
        <v>4277</v>
      </c>
      <c r="D570" s="8" t="s">
        <v>4278</v>
      </c>
      <c r="E570" s="8" t="s">
        <v>4274</v>
      </c>
      <c r="F570" s="8" t="s">
        <v>738</v>
      </c>
      <c r="G570" s="8" t="s">
        <v>34</v>
      </c>
      <c r="H570" s="8" t="s">
        <v>59</v>
      </c>
      <c r="I570" s="642">
        <v>44545</v>
      </c>
      <c r="J570" s="18">
        <v>44673</v>
      </c>
      <c r="K570" s="18">
        <v>44657</v>
      </c>
      <c r="L570" s="16">
        <f>IF(ISTEXT(Table15[[#This Row],[Engineering Approved Design Date]]),Table15[[#This Row],[Date Completed]]-Table15[[#This Row],[Date Assigned to Designer]],Table15[[#This Row],[Engineering Approved Design Date]]-Table15[[#This Row],[Date Completed]])</f>
        <v>16</v>
      </c>
      <c r="M570" s="642"/>
      <c r="N570" s="642" t="s">
        <v>120</v>
      </c>
      <c r="O570" s="1025">
        <f>Table15[[#This Row],[Date Completed]]</f>
        <v>44657</v>
      </c>
      <c r="P570" s="21" t="s">
        <v>739</v>
      </c>
      <c r="Q570" s="340">
        <f>R570*AA570</f>
        <v>9000.3137000000006</v>
      </c>
      <c r="R570" s="1026">
        <v>7.0000000000000007E-2</v>
      </c>
      <c r="S570" s="538" t="s">
        <v>709</v>
      </c>
      <c r="T570" s="538" t="s">
        <v>709</v>
      </c>
      <c r="U570" s="87" t="s">
        <v>709</v>
      </c>
      <c r="V570" s="857"/>
      <c r="W570" s="440"/>
      <c r="X570" s="551">
        <v>128575.91</v>
      </c>
      <c r="Y570" s="551"/>
      <c r="Z570" s="551"/>
      <c r="AA570" s="551">
        <f>Table15[[#This Row],[PCTS Investment Amount]]+Table15[[#This Row],[PCTS Retirement Amount]]</f>
        <v>128575.91</v>
      </c>
      <c r="AB570" s="341"/>
      <c r="AC570" s="568" t="s">
        <v>116</v>
      </c>
      <c r="AD570" s="1157" t="s">
        <v>29</v>
      </c>
      <c r="AE570" s="568"/>
      <c r="AF570" s="568"/>
      <c r="AG570" s="568"/>
      <c r="AH570" s="183"/>
      <c r="AI570" s="1036"/>
      <c r="AJ570" s="1037"/>
      <c r="AK570" s="1037"/>
      <c r="AL570" s="1038"/>
      <c r="AM570" s="1522" t="s">
        <v>116</v>
      </c>
      <c r="AN570" s="1523">
        <v>44691</v>
      </c>
      <c r="AO570" s="1524">
        <v>11040840</v>
      </c>
      <c r="AP570" s="1525">
        <v>136414.19</v>
      </c>
      <c r="AQ570" s="1525"/>
      <c r="AR570" s="1525">
        <v>0</v>
      </c>
      <c r="AS570" s="1525">
        <f>IF(Table15[[#This Row],[PCTS Approved]]="N",0,Table15[[#This Row],[Investment Amount (1'#'#'#'#'#)]]+Table15[[#This Row],[Retirement Amount (3'#'#'#'#'#)]])</f>
        <v>136414.19</v>
      </c>
      <c r="AT570" s="1525">
        <f>IF(Table15[[#This Row],[Approved Construction Cost]]=0,0,Table15[[#This Row],[Approved Construction Cost]]-Table15[[#This Row],[Construction Cost to Bill From]])</f>
        <v>7838.2799999999988</v>
      </c>
      <c r="AU570" s="1525">
        <f>IFERROR(Table15[[#This Row],[Difference in Construction Cost]]*Table15[[#This Row],[Rate]],Table15[[#This Row],[Difference in Construction Cost]]*0.085)</f>
        <v>548.67959999999994</v>
      </c>
      <c r="AV570" s="1525" t="s">
        <v>709</v>
      </c>
      <c r="AW570" s="1526" t="s">
        <v>3403</v>
      </c>
      <c r="AX570" s="1525">
        <f>Table15[[#This Row],[Reconcile Amount]]</f>
        <v>548.67959999999994</v>
      </c>
      <c r="AY570" s="1518">
        <v>45008</v>
      </c>
      <c r="AZ570" s="333"/>
      <c r="BA570" s="1031" t="s">
        <v>4279</v>
      </c>
      <c r="BB570" s="644" t="s">
        <v>4280</v>
      </c>
      <c r="BC570" s="544" t="s">
        <v>116</v>
      </c>
      <c r="BD570" s="544" t="s">
        <v>709</v>
      </c>
      <c r="BE570" s="544" t="s">
        <v>709</v>
      </c>
      <c r="BF570" s="544" t="s">
        <v>2965</v>
      </c>
      <c r="BG570" s="544" t="s">
        <v>4275</v>
      </c>
      <c r="BH570" s="741"/>
      <c r="BI570" s="547"/>
      <c r="BJ570" s="547"/>
      <c r="BK570" s="547"/>
      <c r="BL570" s="547"/>
      <c r="BM570" s="547"/>
      <c r="BN570" s="547"/>
      <c r="BO570" s="547"/>
      <c r="BP570" s="547"/>
      <c r="BQ570" s="547"/>
      <c r="BR570" s="547"/>
      <c r="BS570" s="547"/>
      <c r="BT570" s="547"/>
      <c r="BU570" s="547"/>
      <c r="BV570" s="547"/>
      <c r="BW570" s="547"/>
      <c r="BX570" s="547"/>
      <c r="BY570" s="547"/>
      <c r="BZ570" s="547" t="s">
        <v>709</v>
      </c>
      <c r="CA570" s="483" t="s">
        <v>1053</v>
      </c>
      <c r="CB570" s="547">
        <v>564</v>
      </c>
      <c r="CC570" s="1481" t="b">
        <v>1</v>
      </c>
      <c r="CD570" t="str">
        <f>Table15[[#This Row],[Engineering Number]]&amp;Table15[[#This Row],[WO Number]]&amp;Table15[[#This Row],[Date Assigned to Designer]]&amp;Table15[[#This Row],[Date Completed]]</f>
        <v>NBA10001378-216111264454544657</v>
      </c>
    </row>
    <row r="571" spans="1:82" customFormat="1" ht="15" customHeight="1" x14ac:dyDescent="0.25">
      <c r="A571">
        <v>2022</v>
      </c>
      <c r="B571" s="8" t="s">
        <v>4</v>
      </c>
      <c r="C571" s="8" t="s">
        <v>4293</v>
      </c>
      <c r="D571" s="8" t="s">
        <v>115</v>
      </c>
      <c r="E571" s="8" t="s">
        <v>1200</v>
      </c>
      <c r="F571" s="8" t="s">
        <v>738</v>
      </c>
      <c r="G571" s="8" t="s">
        <v>23</v>
      </c>
      <c r="H571" s="8" t="s">
        <v>1903</v>
      </c>
      <c r="I571" s="642">
        <v>44631</v>
      </c>
      <c r="J571" s="18">
        <v>44687</v>
      </c>
      <c r="K571" s="18">
        <v>44658</v>
      </c>
      <c r="L571" s="16">
        <f>IF(ISTEXT(Table15[[#This Row],[Engineering Approved Design Date]]),Table15[[#This Row],[Date Completed]]-Table15[[#This Row],[Date Assigned to Designer]],Table15[[#This Row],[Engineering Approved Design Date]]-Table15[[#This Row],[Date Completed]])</f>
        <v>29</v>
      </c>
      <c r="M571" s="642"/>
      <c r="N571" s="642" t="s">
        <v>120</v>
      </c>
      <c r="O571" s="1025">
        <f>Table15[[#This Row],[Date Completed]]</f>
        <v>44658</v>
      </c>
      <c r="P571" s="21" t="s">
        <v>739</v>
      </c>
      <c r="Q571" s="340" t="s">
        <v>115</v>
      </c>
      <c r="R571" s="1026" t="s">
        <v>115</v>
      </c>
      <c r="S571" s="538" t="s">
        <v>709</v>
      </c>
      <c r="T571" s="538" t="s">
        <v>709</v>
      </c>
      <c r="U571" s="87" t="s">
        <v>709</v>
      </c>
      <c r="V571" s="857"/>
      <c r="W571" s="440"/>
      <c r="X571" s="550"/>
      <c r="Y571" s="550"/>
      <c r="Z571" s="550"/>
      <c r="AA571" s="551"/>
      <c r="AB571" s="341"/>
      <c r="AC571" s="568"/>
      <c r="AD571" s="1157"/>
      <c r="AE571" s="579"/>
      <c r="AF571" s="579"/>
      <c r="AG571" s="579"/>
      <c r="AH571" s="553"/>
      <c r="AI571" s="1036"/>
      <c r="AJ571" s="1037"/>
      <c r="AK571" s="1037"/>
      <c r="AL571" s="1038"/>
      <c r="AM571" s="542" t="s">
        <v>709</v>
      </c>
      <c r="AN571" s="924"/>
      <c r="AO571" s="925"/>
      <c r="AP571" s="926"/>
      <c r="AQ571" s="926"/>
      <c r="AR571" s="926"/>
      <c r="AS571" s="926"/>
      <c r="AT571" s="926"/>
      <c r="AU571" s="926"/>
      <c r="AV571" s="926"/>
      <c r="AW571" s="927"/>
      <c r="AX571" s="926"/>
      <c r="AY571" s="1538" t="s">
        <v>29</v>
      </c>
      <c r="AZ571" s="1530"/>
      <c r="BA571" s="1031" t="s">
        <v>4294</v>
      </c>
      <c r="BB571" s="644" t="s">
        <v>4295</v>
      </c>
      <c r="BC571" s="544"/>
      <c r="BD571" s="544"/>
      <c r="BE571" s="544"/>
      <c r="BF571" s="544"/>
      <c r="BG571" s="544"/>
      <c r="BH571" s="741"/>
      <c r="BI571" s="1032"/>
      <c r="BJ571" s="1032"/>
      <c r="BK571" s="1032"/>
      <c r="BL571" s="1032"/>
      <c r="BM571" s="1032"/>
      <c r="BN571" s="1032"/>
      <c r="BO571" s="1032"/>
      <c r="BP571" s="1032"/>
      <c r="BQ571" s="1032"/>
      <c r="BR571" s="1032"/>
      <c r="BS571" s="1032"/>
      <c r="BT571" s="1032"/>
      <c r="BU571" s="1032"/>
      <c r="BV571" s="1032"/>
      <c r="BW571" s="1032"/>
      <c r="BX571" s="1032"/>
      <c r="BY571" s="1032"/>
      <c r="BZ571" s="1032"/>
      <c r="CA571" s="485"/>
      <c r="CB571" s="547">
        <v>570</v>
      </c>
      <c r="CC571" s="1481" t="b">
        <v>1</v>
      </c>
      <c r="CD571" t="str">
        <f>Table15[[#This Row],[Engineering Number]]&amp;Table15[[#This Row],[WO Number]]&amp;Table15[[#This Row],[Date Assigned to Designer]]&amp;Table15[[#This Row],[Date Completed]]</f>
        <v>M12928-4463144658</v>
      </c>
    </row>
    <row r="572" spans="1:82" customFormat="1" ht="15" customHeight="1" x14ac:dyDescent="0.25">
      <c r="A572">
        <v>2022</v>
      </c>
      <c r="B572" s="8" t="s">
        <v>4</v>
      </c>
      <c r="C572" s="8" t="s">
        <v>4297</v>
      </c>
      <c r="D572" s="8" t="s">
        <v>115</v>
      </c>
      <c r="E572" s="8" t="s">
        <v>4246</v>
      </c>
      <c r="F572" s="8" t="s">
        <v>738</v>
      </c>
      <c r="G572" s="8" t="s">
        <v>39</v>
      </c>
      <c r="H572" s="8" t="s">
        <v>1681</v>
      </c>
      <c r="I572" s="642">
        <v>44628</v>
      </c>
      <c r="J572" s="18">
        <v>44677</v>
      </c>
      <c r="K572" s="18">
        <v>44658</v>
      </c>
      <c r="L572" s="16">
        <f>IF(ISTEXT(Table15[[#This Row],[Engineering Approved Design Date]]),Table15[[#This Row],[Date Completed]]-Table15[[#This Row],[Date Assigned to Designer]],Table15[[#This Row],[Engineering Approved Design Date]]-Table15[[#This Row],[Date Completed]])</f>
        <v>19</v>
      </c>
      <c r="M572" s="642"/>
      <c r="N572" s="642" t="s">
        <v>120</v>
      </c>
      <c r="O572" s="1025">
        <f>Table15[[#This Row],[Date Completed]]</f>
        <v>44658</v>
      </c>
      <c r="P572" s="21" t="s">
        <v>739</v>
      </c>
      <c r="Q572" s="340" t="s">
        <v>115</v>
      </c>
      <c r="R572" s="1026" t="s">
        <v>115</v>
      </c>
      <c r="S572" s="538" t="s">
        <v>709</v>
      </c>
      <c r="T572" s="538" t="s">
        <v>709</v>
      </c>
      <c r="U572" s="87" t="s">
        <v>709</v>
      </c>
      <c r="V572" s="857"/>
      <c r="W572" s="440"/>
      <c r="X572" s="550"/>
      <c r="Y572" s="550"/>
      <c r="Z572" s="550"/>
      <c r="AA572" s="551"/>
      <c r="AB572" s="341"/>
      <c r="AC572" s="568"/>
      <c r="AD572" s="1157"/>
      <c r="AE572" s="579"/>
      <c r="AF572" s="579"/>
      <c r="AG572" s="579"/>
      <c r="AH572" s="553"/>
      <c r="AI572" s="1036"/>
      <c r="AJ572" s="1037"/>
      <c r="AK572" s="1037"/>
      <c r="AL572" s="1038"/>
      <c r="AM572" s="542" t="s">
        <v>709</v>
      </c>
      <c r="AN572" s="924"/>
      <c r="AO572" s="925"/>
      <c r="AP572" s="926"/>
      <c r="AQ572" s="926"/>
      <c r="AR572" s="926"/>
      <c r="AS572" s="926"/>
      <c r="AT572" s="926"/>
      <c r="AU572" s="926"/>
      <c r="AV572" s="926"/>
      <c r="AW572" s="927"/>
      <c r="AX572" s="926"/>
      <c r="AY572" s="1538" t="s">
        <v>29</v>
      </c>
      <c r="AZ572" s="1532"/>
      <c r="BA572" s="1031" t="s">
        <v>4298</v>
      </c>
      <c r="BB572" s="644" t="s">
        <v>877</v>
      </c>
      <c r="BC572" s="544"/>
      <c r="BD572" s="544"/>
      <c r="BE572" s="544"/>
      <c r="BF572" s="544"/>
      <c r="BG572" s="544"/>
      <c r="BH572" s="741"/>
      <c r="BI572" s="1032"/>
      <c r="BJ572" s="1032"/>
      <c r="BK572" s="1032"/>
      <c r="BL572" s="1032"/>
      <c r="BM572" s="1032"/>
      <c r="BN572" s="1032"/>
      <c r="BO572" s="1032"/>
      <c r="BP572" s="1032"/>
      <c r="BQ572" s="1032"/>
      <c r="BR572" s="1032"/>
      <c r="BS572" s="1032"/>
      <c r="BT572" s="1032"/>
      <c r="BU572" s="1032"/>
      <c r="BV572" s="1032"/>
      <c r="BW572" s="1032"/>
      <c r="BX572" s="1032"/>
      <c r="BY572" s="1032"/>
      <c r="BZ572" s="1032"/>
      <c r="CA572" s="485"/>
      <c r="CB572" s="547">
        <v>569</v>
      </c>
      <c r="CC572" s="1481" t="b">
        <v>1</v>
      </c>
      <c r="CD572" t="str">
        <f>Table15[[#This Row],[Engineering Number]]&amp;Table15[[#This Row],[WO Number]]&amp;Table15[[#This Row],[Date Assigned to Designer]]&amp;Table15[[#This Row],[Date Completed]]</f>
        <v>N13319-4462844658</v>
      </c>
    </row>
    <row r="573" spans="1:82" customFormat="1" ht="15" customHeight="1" x14ac:dyDescent="0.25">
      <c r="A573">
        <v>2022</v>
      </c>
      <c r="B573" s="8" t="s">
        <v>2994</v>
      </c>
      <c r="C573" s="8" t="s">
        <v>4300</v>
      </c>
      <c r="D573" s="8" t="s">
        <v>4301</v>
      </c>
      <c r="E573" s="8" t="s">
        <v>1255</v>
      </c>
      <c r="F573" s="8" t="s">
        <v>752</v>
      </c>
      <c r="G573" s="8" t="s">
        <v>23</v>
      </c>
      <c r="H573" s="8" t="s">
        <v>59</v>
      </c>
      <c r="I573" s="642">
        <v>44571</v>
      </c>
      <c r="J573" s="18">
        <v>44662</v>
      </c>
      <c r="K573" s="97">
        <v>44659</v>
      </c>
      <c r="L573" s="16">
        <f>IF(ISTEXT(Table15[[#This Row],[Engineering Approved Design Date]]),Table15[[#This Row],[Date Completed]]-Table15[[#This Row],[Date Assigned to Designer]],Table15[[#This Row],[Engineering Approved Design Date]]-Table15[[#This Row],[Date Completed]])</f>
        <v>3</v>
      </c>
      <c r="M573" s="642"/>
      <c r="N573" s="642" t="s">
        <v>120</v>
      </c>
      <c r="O573" s="1025">
        <f>Table15[[#This Row],[Date Completed]]</f>
        <v>44659</v>
      </c>
      <c r="P573" s="21" t="s">
        <v>739</v>
      </c>
      <c r="Q573" s="340">
        <f>R573*AA573</f>
        <v>8614.4624999999996</v>
      </c>
      <c r="R573" s="1026">
        <v>0.09</v>
      </c>
      <c r="S573" s="538" t="s">
        <v>709</v>
      </c>
      <c r="T573" s="538" t="s">
        <v>709</v>
      </c>
      <c r="U573" s="87" t="s">
        <v>709</v>
      </c>
      <c r="V573" s="857"/>
      <c r="W573" s="440"/>
      <c r="X573" s="551"/>
      <c r="Y573" s="550"/>
      <c r="Z573" s="551">
        <v>95716.25</v>
      </c>
      <c r="AA573" s="551">
        <f>Table15[[#This Row],[PCTS Investment Amount]]+Table15[[#This Row],[PCTS Retirement Amount]]</f>
        <v>95716.25</v>
      </c>
      <c r="AB573" s="341"/>
      <c r="AC573" s="568" t="s">
        <v>709</v>
      </c>
      <c r="AD573" s="1157"/>
      <c r="AE573" s="579"/>
      <c r="AF573" s="579"/>
      <c r="AG573" s="579"/>
      <c r="AH573" s="553"/>
      <c r="AI573" s="1036"/>
      <c r="AJ573" s="1037"/>
      <c r="AK573" s="1037"/>
      <c r="AL573" s="1038"/>
      <c r="AM573" s="1522" t="s">
        <v>116</v>
      </c>
      <c r="AN573" s="1523">
        <v>44749</v>
      </c>
      <c r="AO573" s="1524">
        <v>11042402</v>
      </c>
      <c r="AP573" s="1525">
        <v>0</v>
      </c>
      <c r="AQ573" s="1525"/>
      <c r="AR573" s="1525">
        <v>95952.67</v>
      </c>
      <c r="AS573" s="1525">
        <f>IF(Table15[[#This Row],[PCTS Approved]]="N",0,Table15[[#This Row],[Investment Amount (1'#'#'#'#'#)]]+Table15[[#This Row],[Retirement Amount (3'#'#'#'#'#)]])</f>
        <v>95952.67</v>
      </c>
      <c r="AT573" s="1525">
        <f>IF(Table15[[#This Row],[Approved Construction Cost]]=0,0,Table15[[#This Row],[Approved Construction Cost]]-Table15[[#This Row],[Construction Cost to Bill From]])</f>
        <v>236.41999999999825</v>
      </c>
      <c r="AU573" s="1525">
        <f>IFERROR(Table15[[#This Row],[Difference in Construction Cost]]*Table15[[#This Row],[Rate]],Table15[[#This Row],[Difference in Construction Cost]]*0.085)</f>
        <v>21.277799999999843</v>
      </c>
      <c r="AV573" s="1525">
        <v>2015</v>
      </c>
      <c r="AW573" s="1526" t="s">
        <v>4307</v>
      </c>
      <c r="AX573" s="1525">
        <v>0</v>
      </c>
      <c r="AY573" s="1518">
        <v>45008</v>
      </c>
      <c r="AZ573" s="333"/>
      <c r="BA573" s="1031" t="s">
        <v>4302</v>
      </c>
      <c r="BB573" s="644" t="s">
        <v>4303</v>
      </c>
      <c r="BC573" s="544" t="s">
        <v>116</v>
      </c>
      <c r="BD573" s="544" t="s">
        <v>882</v>
      </c>
      <c r="BE573" s="544" t="s">
        <v>1258</v>
      </c>
      <c r="BF573" s="544" t="s">
        <v>709</v>
      </c>
      <c r="BG573" s="544" t="s">
        <v>709</v>
      </c>
      <c r="BH573" s="741"/>
      <c r="BI573" s="547" t="s">
        <v>709</v>
      </c>
      <c r="BJ573" s="547" t="s">
        <v>709</v>
      </c>
      <c r="BK573" s="547" t="s">
        <v>709</v>
      </c>
      <c r="BL573" s="547" t="s">
        <v>709</v>
      </c>
      <c r="BM573" s="547" t="s">
        <v>709</v>
      </c>
      <c r="BN573" s="547" t="s">
        <v>709</v>
      </c>
      <c r="BO573" s="547" t="s">
        <v>709</v>
      </c>
      <c r="BP573" s="547" t="s">
        <v>709</v>
      </c>
      <c r="BQ573" s="547" t="s">
        <v>709</v>
      </c>
      <c r="BR573" s="547" t="s">
        <v>709</v>
      </c>
      <c r="BS573" s="547" t="s">
        <v>709</v>
      </c>
      <c r="BT573" s="547" t="s">
        <v>745</v>
      </c>
      <c r="BU573" s="547" t="s">
        <v>709</v>
      </c>
      <c r="BV573" s="547">
        <v>2</v>
      </c>
      <c r="BW573" s="547" t="s">
        <v>709</v>
      </c>
      <c r="BX573" s="547" t="s">
        <v>745</v>
      </c>
      <c r="BY573" s="547" t="s">
        <v>745</v>
      </c>
      <c r="BZ573" s="547" t="s">
        <v>709</v>
      </c>
      <c r="CA573" s="483" t="s">
        <v>4304</v>
      </c>
      <c r="CB573" s="547">
        <v>572</v>
      </c>
      <c r="CC573" s="1481" t="b">
        <v>1</v>
      </c>
      <c r="CD573" t="str">
        <f>Table15[[#This Row],[Engineering Number]]&amp;Table15[[#This Row],[WO Number]]&amp;Table15[[#This Row],[Date Assigned to Designer]]&amp;Table15[[#This Row],[Date Completed]]</f>
        <v>MR183632109004457144659</v>
      </c>
    </row>
    <row r="574" spans="1:82" customFormat="1" ht="15" customHeight="1" x14ac:dyDescent="0.25">
      <c r="A574">
        <v>2022</v>
      </c>
      <c r="B574" s="8" t="s">
        <v>4</v>
      </c>
      <c r="C574" s="8" t="s">
        <v>3544</v>
      </c>
      <c r="D574" s="8" t="s">
        <v>3545</v>
      </c>
      <c r="E574" s="8" t="s">
        <v>108</v>
      </c>
      <c r="F574" s="8" t="s">
        <v>738</v>
      </c>
      <c r="G574" s="8" t="s">
        <v>39</v>
      </c>
      <c r="H574" s="8" t="s">
        <v>4001</v>
      </c>
      <c r="I574" s="642">
        <v>44483</v>
      </c>
      <c r="J574" s="18" t="s">
        <v>2052</v>
      </c>
      <c r="K574" s="97">
        <v>44659</v>
      </c>
      <c r="L574" s="16">
        <f>IF(ISTEXT(Table15[[#This Row],[Engineering Approved Design Date]]),Table15[[#This Row],[Date Completed]]-Table15[[#This Row],[Date Assigned to Designer]],Table15[[#This Row],[Engineering Approved Design Date]]-Table15[[#This Row],[Date Completed]])</f>
        <v>176</v>
      </c>
      <c r="M574" s="642" t="s">
        <v>2685</v>
      </c>
      <c r="N574" s="642" t="s">
        <v>120</v>
      </c>
      <c r="O574" s="1025">
        <f>Table15[[#This Row],[Date Completed]]</f>
        <v>44659</v>
      </c>
      <c r="P574" s="21" t="s">
        <v>739</v>
      </c>
      <c r="Q574" s="1151">
        <f>Table15[[#This Row],[KH Hourly Effort]]</f>
        <v>4972.5</v>
      </c>
      <c r="R574" s="1026" t="s">
        <v>1922</v>
      </c>
      <c r="S574" s="538" t="s">
        <v>709</v>
      </c>
      <c r="T574" s="538" t="s">
        <v>709</v>
      </c>
      <c r="U574" s="87">
        <v>4972.5</v>
      </c>
      <c r="V574" s="858"/>
      <c r="W574" s="437"/>
      <c r="X574" s="538"/>
      <c r="Y574" s="550"/>
      <c r="Z574" s="538"/>
      <c r="AA574" s="538"/>
      <c r="AB574" s="21"/>
      <c r="AC574" s="569"/>
      <c r="AD574" s="1149" t="s">
        <v>709</v>
      </c>
      <c r="AE574" s="580"/>
      <c r="AF574" s="580"/>
      <c r="AG574" s="580"/>
      <c r="AH574" s="542"/>
      <c r="AI574" s="1028"/>
      <c r="AJ574" s="1029"/>
      <c r="AK574" s="1029"/>
      <c r="AL574" s="1030"/>
      <c r="AM574" s="542" t="s">
        <v>709</v>
      </c>
      <c r="AN574" s="924"/>
      <c r="AO574" s="925"/>
      <c r="AP574" s="926"/>
      <c r="AQ574" s="926"/>
      <c r="AR574" s="926"/>
      <c r="AS574" s="926"/>
      <c r="AT574" s="926"/>
      <c r="AU574" s="926"/>
      <c r="AV574" s="926"/>
      <c r="AW574" s="927"/>
      <c r="AX574" s="926"/>
      <c r="AY574" s="1538" t="s">
        <v>29</v>
      </c>
      <c r="AZ574" s="1530"/>
      <c r="BA574" s="1031">
        <v>12</v>
      </c>
      <c r="BB574" s="644"/>
      <c r="BC574" s="544"/>
      <c r="BD574" s="544"/>
      <c r="BE574" s="544"/>
      <c r="BF574" s="544"/>
      <c r="BG574" s="544"/>
      <c r="BH574" s="741"/>
      <c r="BI574" s="547" t="s">
        <v>709</v>
      </c>
      <c r="BJ574" s="547" t="s">
        <v>709</v>
      </c>
      <c r="BK574" s="547" t="s">
        <v>709</v>
      </c>
      <c r="BL574" s="547" t="s">
        <v>116</v>
      </c>
      <c r="BM574" s="547" t="s">
        <v>709</v>
      </c>
      <c r="BN574" s="547" t="s">
        <v>709</v>
      </c>
      <c r="BO574" s="547" t="s">
        <v>709</v>
      </c>
      <c r="BP574" s="547" t="s">
        <v>709</v>
      </c>
      <c r="BQ574" s="547" t="s">
        <v>709</v>
      </c>
      <c r="BR574" s="547" t="s">
        <v>709</v>
      </c>
      <c r="BS574" s="547">
        <v>1361</v>
      </c>
      <c r="BT574" s="547" t="s">
        <v>745</v>
      </c>
      <c r="BU574" s="547" t="s">
        <v>709</v>
      </c>
      <c r="BV574" s="547" t="s">
        <v>745</v>
      </c>
      <c r="BW574" s="547" t="s">
        <v>709</v>
      </c>
      <c r="BX574" s="547" t="s">
        <v>745</v>
      </c>
      <c r="BY574" s="547" t="s">
        <v>745</v>
      </c>
      <c r="BZ574" s="547" t="s">
        <v>709</v>
      </c>
      <c r="CA574" s="483"/>
      <c r="CB574" s="547">
        <v>571</v>
      </c>
      <c r="CC574" s="1481" t="b">
        <v>1</v>
      </c>
      <c r="CD574" t="str">
        <f>Table15[[#This Row],[Engineering Number]]&amp;Table15[[#This Row],[WO Number]]&amp;Table15[[#This Row],[Date Assigned to Designer]]&amp;Table15[[#This Row],[Date Completed]]</f>
        <v>N12607-112103334448344659</v>
      </c>
    </row>
    <row r="575" spans="1:82" customFormat="1" ht="15" customHeight="1" x14ac:dyDescent="0.25">
      <c r="A575">
        <v>2022</v>
      </c>
      <c r="B575" s="8" t="s">
        <v>2994</v>
      </c>
      <c r="C575" s="8" t="s">
        <v>4300</v>
      </c>
      <c r="D575" s="8" t="s">
        <v>4301</v>
      </c>
      <c r="E575" s="8" t="s">
        <v>1255</v>
      </c>
      <c r="F575" s="8" t="s">
        <v>752</v>
      </c>
      <c r="G575" s="8" t="s">
        <v>23</v>
      </c>
      <c r="H575" s="8" t="s">
        <v>3661</v>
      </c>
      <c r="I575" s="642">
        <v>44571</v>
      </c>
      <c r="J575" s="18" t="s">
        <v>3662</v>
      </c>
      <c r="K575" s="97">
        <v>44659</v>
      </c>
      <c r="L575" s="16">
        <f>IF(ISTEXT(Table15[[#This Row],[Engineering Approved Design Date]]),Table15[[#This Row],[Date Completed]]-Table15[[#This Row],[Date Assigned to Designer]],Table15[[#This Row],[Engineering Approved Design Date]]-Table15[[#This Row],[Date Completed]])</f>
        <v>88</v>
      </c>
      <c r="N575" s="642" t="s">
        <v>120</v>
      </c>
      <c r="O575" s="1025">
        <v>44682</v>
      </c>
      <c r="P575" s="21" t="s">
        <v>739</v>
      </c>
      <c r="Q575" s="340">
        <f>Table15[[#This Row],[KH Hourly Effort]]</f>
        <v>2012.5</v>
      </c>
      <c r="R575" s="1026" t="s">
        <v>1922</v>
      </c>
      <c r="S575" s="538" t="s">
        <v>709</v>
      </c>
      <c r="T575" s="538" t="s">
        <v>709</v>
      </c>
      <c r="U575" s="87">
        <v>2012.5</v>
      </c>
      <c r="V575" s="858"/>
      <c r="W575" s="437"/>
      <c r="X575" s="538"/>
      <c r="Y575" s="551"/>
      <c r="Z575" s="538"/>
      <c r="AA575" s="538"/>
      <c r="AB575" s="341" t="s">
        <v>29</v>
      </c>
      <c r="AC575" s="569" t="s">
        <v>29</v>
      </c>
      <c r="AD575" s="1149" t="s">
        <v>29</v>
      </c>
      <c r="AE575" s="580"/>
      <c r="AF575" s="580"/>
      <c r="AG575" s="580"/>
      <c r="AH575" s="542"/>
      <c r="AI575" s="1028"/>
      <c r="AJ575" s="1029"/>
      <c r="AK575" s="1029"/>
      <c r="AL575" s="1030"/>
      <c r="AM575" s="542" t="s">
        <v>709</v>
      </c>
      <c r="AN575" s="924"/>
      <c r="AO575" s="925"/>
      <c r="AP575" s="926"/>
      <c r="AQ575" s="926"/>
      <c r="AR575" s="926"/>
      <c r="AS575" s="926"/>
      <c r="AT575" s="926"/>
      <c r="AU575" s="926"/>
      <c r="AV575" s="926"/>
      <c r="AW575" s="927"/>
      <c r="AX575" s="926"/>
      <c r="AY575" s="1538" t="s">
        <v>29</v>
      </c>
      <c r="AZ575" s="1532"/>
      <c r="BA575" s="1031" t="s">
        <v>4302</v>
      </c>
      <c r="BB575" s="644" t="s">
        <v>4303</v>
      </c>
      <c r="BC575" s="544" t="s">
        <v>116</v>
      </c>
      <c r="BD575" s="544" t="s">
        <v>882</v>
      </c>
      <c r="BE575" s="544" t="s">
        <v>1258</v>
      </c>
      <c r="BF575" s="544" t="s">
        <v>709</v>
      </c>
      <c r="BG575" s="544" t="s">
        <v>709</v>
      </c>
      <c r="BH575" s="741"/>
      <c r="BI575" s="547" t="s">
        <v>709</v>
      </c>
      <c r="BJ575" s="547" t="s">
        <v>709</v>
      </c>
      <c r="BK575" s="547" t="s">
        <v>709</v>
      </c>
      <c r="BL575" s="547" t="s">
        <v>709</v>
      </c>
      <c r="BM575" s="547" t="s">
        <v>709</v>
      </c>
      <c r="BN575" s="547" t="s">
        <v>709</v>
      </c>
      <c r="BO575" s="547" t="s">
        <v>709</v>
      </c>
      <c r="BP575" s="547" t="s">
        <v>709</v>
      </c>
      <c r="BQ575" s="547" t="s">
        <v>709</v>
      </c>
      <c r="BR575" s="547" t="s">
        <v>709</v>
      </c>
      <c r="BS575" s="547" t="s">
        <v>709</v>
      </c>
      <c r="BT575" s="547" t="s">
        <v>745</v>
      </c>
      <c r="BU575" s="547" t="s">
        <v>709</v>
      </c>
      <c r="BV575" s="547">
        <v>2</v>
      </c>
      <c r="BW575" s="547" t="s">
        <v>709</v>
      </c>
      <c r="BX575" s="547" t="s">
        <v>745</v>
      </c>
      <c r="BY575" s="547" t="s">
        <v>745</v>
      </c>
      <c r="BZ575" s="547" t="s">
        <v>709</v>
      </c>
      <c r="CA575" s="483" t="s">
        <v>4304</v>
      </c>
      <c r="CB575" s="547">
        <v>573</v>
      </c>
      <c r="CC575" s="1481" t="b">
        <v>1</v>
      </c>
      <c r="CD575" t="str">
        <f>Table15[[#This Row],[Engineering Number]]&amp;Table15[[#This Row],[WO Number]]&amp;Table15[[#This Row],[Date Assigned to Designer]]&amp;Table15[[#This Row],[Date Completed]]</f>
        <v>MR183632109004457144659</v>
      </c>
    </row>
    <row r="576" spans="1:82" customFormat="1" ht="15" customHeight="1" x14ac:dyDescent="0.25">
      <c r="A576">
        <v>2021</v>
      </c>
      <c r="B576" s="8" t="s">
        <v>4</v>
      </c>
      <c r="C576" s="8" t="s">
        <v>3110</v>
      </c>
      <c r="D576" s="8">
        <v>135693</v>
      </c>
      <c r="E576" s="8" t="s">
        <v>1004</v>
      </c>
      <c r="F576" s="8" t="s">
        <v>919</v>
      </c>
      <c r="G576" s="8" t="s">
        <v>22</v>
      </c>
      <c r="H576" s="8" t="s">
        <v>3677</v>
      </c>
      <c r="I576" s="642">
        <v>44596</v>
      </c>
      <c r="J576" s="18" t="s">
        <v>2612</v>
      </c>
      <c r="K576" s="97">
        <v>44661</v>
      </c>
      <c r="L576" s="16">
        <f>IF(ISTEXT(Table15[[#This Row],[Engineering Approved Design Date]]),Table15[[#This Row],[Date Completed]]-Table15[[#This Row],[Date Assigned to Designer]],Table15[[#This Row],[Engineering Approved Design Date]]-Table15[[#This Row],[Date Completed]])</f>
        <v>65</v>
      </c>
      <c r="M576" s="642" t="s">
        <v>4308</v>
      </c>
      <c r="N576" s="642" t="s">
        <v>120</v>
      </c>
      <c r="O576" s="1025">
        <f>Table15[[#This Row],[Date Completed]]</f>
        <v>44661</v>
      </c>
      <c r="P576" s="21" t="s">
        <v>120</v>
      </c>
      <c r="Q576" s="1151">
        <f>Table15[[#This Row],[KH Hourly Effort]]</f>
        <v>5475</v>
      </c>
      <c r="R576" s="1026" t="s">
        <v>1922</v>
      </c>
      <c r="S576" s="538" t="s">
        <v>709</v>
      </c>
      <c r="T576" s="538" t="s">
        <v>709</v>
      </c>
      <c r="U576" s="87">
        <v>5475</v>
      </c>
      <c r="V576" s="858"/>
      <c r="W576" s="437"/>
      <c r="X576" s="538"/>
      <c r="Y576" s="550"/>
      <c r="Z576" s="538"/>
      <c r="AA576" s="538"/>
      <c r="AB576" s="21"/>
      <c r="AC576" s="569" t="s">
        <v>709</v>
      </c>
      <c r="AD576" s="1149"/>
      <c r="AE576" s="580"/>
      <c r="AF576" s="580"/>
      <c r="AG576" s="580"/>
      <c r="AH576" s="542"/>
      <c r="AI576" s="1028"/>
      <c r="AJ576" s="1029"/>
      <c r="AK576" s="1029"/>
      <c r="AL576" s="1030"/>
      <c r="AM576" s="542" t="s">
        <v>709</v>
      </c>
      <c r="AN576" s="924"/>
      <c r="AO576" s="925"/>
      <c r="AP576" s="926"/>
      <c r="AQ576" s="926"/>
      <c r="AR576" s="926"/>
      <c r="AS576" s="926"/>
      <c r="AT576" s="926"/>
      <c r="AU576" s="926"/>
      <c r="AV576" s="926"/>
      <c r="AW576" s="927"/>
      <c r="AX576" s="926"/>
      <c r="AY576" s="1538" t="s">
        <v>29</v>
      </c>
      <c r="AZ576" s="1530"/>
      <c r="BA576" s="1031"/>
      <c r="BB576" s="644"/>
      <c r="BC576" s="544"/>
      <c r="BD576" s="544"/>
      <c r="BE576" s="544"/>
      <c r="BF576" s="544"/>
      <c r="BG576" s="544"/>
      <c r="BH576" s="741"/>
      <c r="BI576" s="547" t="s">
        <v>709</v>
      </c>
      <c r="BJ576" s="547" t="s">
        <v>709</v>
      </c>
      <c r="BK576" s="547" t="s">
        <v>116</v>
      </c>
      <c r="BL576" s="547" t="s">
        <v>709</v>
      </c>
      <c r="BM576" s="547" t="s">
        <v>709</v>
      </c>
      <c r="BN576" s="547">
        <v>4207</v>
      </c>
      <c r="BO576" s="547" t="s">
        <v>709</v>
      </c>
      <c r="BP576" s="547" t="s">
        <v>709</v>
      </c>
      <c r="BQ576" s="547" t="s">
        <v>709</v>
      </c>
      <c r="BR576" s="547">
        <v>20</v>
      </c>
      <c r="BS576" s="547">
        <v>126</v>
      </c>
      <c r="BT576" s="547" t="s">
        <v>709</v>
      </c>
      <c r="BU576" s="547" t="s">
        <v>709</v>
      </c>
      <c r="BV576" s="547" t="s">
        <v>745</v>
      </c>
      <c r="BW576" s="547" t="s">
        <v>709</v>
      </c>
      <c r="BX576" s="547">
        <v>1</v>
      </c>
      <c r="BY576" s="547" t="s">
        <v>745</v>
      </c>
      <c r="BZ576" s="547" t="s">
        <v>709</v>
      </c>
      <c r="CA576" s="483"/>
      <c r="CB576" s="547">
        <v>574</v>
      </c>
      <c r="CC576" s="1481" t="b">
        <v>1</v>
      </c>
      <c r="CD576" t="str">
        <f>Table15[[#This Row],[Engineering Number]]&amp;Table15[[#This Row],[WO Number]]&amp;Table15[[#This Row],[Date Assigned to Designer]]&amp;Table15[[#This Row],[Date Completed]]</f>
        <v>SC17434-11356934459644661</v>
      </c>
    </row>
    <row r="577" spans="1:82" customFormat="1" ht="15" customHeight="1" x14ac:dyDescent="0.25">
      <c r="A577">
        <v>2022</v>
      </c>
      <c r="B577" s="8" t="s">
        <v>4</v>
      </c>
      <c r="C577" s="8" t="s">
        <v>4316</v>
      </c>
      <c r="D577" s="8" t="s">
        <v>115</v>
      </c>
      <c r="E577" s="8" t="s">
        <v>910</v>
      </c>
      <c r="F577" s="8" t="s">
        <v>738</v>
      </c>
      <c r="G577" s="8" t="s">
        <v>22</v>
      </c>
      <c r="H577" s="8" t="s">
        <v>1681</v>
      </c>
      <c r="I577" s="642">
        <v>44628</v>
      </c>
      <c r="J577" s="18">
        <v>44677</v>
      </c>
      <c r="K577" s="18">
        <v>44664</v>
      </c>
      <c r="L577" s="16">
        <f>IF(ISTEXT(Table15[[#This Row],[Engineering Approved Design Date]]),Table15[[#This Row],[Date Completed]]-Table15[[#This Row],[Date Assigned to Designer]],Table15[[#This Row],[Engineering Approved Design Date]]-Table15[[#This Row],[Date Completed]])</f>
        <v>13</v>
      </c>
      <c r="M577" s="642"/>
      <c r="N577" s="642" t="s">
        <v>120</v>
      </c>
      <c r="O577" s="1025">
        <f>Table15[[#This Row],[Date Completed]]</f>
        <v>44664</v>
      </c>
      <c r="P577" s="21" t="s">
        <v>739</v>
      </c>
      <c r="Q577" s="340" t="s">
        <v>115</v>
      </c>
      <c r="R577" s="1026" t="s">
        <v>115</v>
      </c>
      <c r="S577" s="538" t="s">
        <v>709</v>
      </c>
      <c r="T577" s="538" t="s">
        <v>709</v>
      </c>
      <c r="U577" s="87" t="s">
        <v>709</v>
      </c>
      <c r="V577" s="857"/>
      <c r="W577" s="440"/>
      <c r="X577" s="550"/>
      <c r="Y577" s="550"/>
      <c r="Z577" s="550"/>
      <c r="AA577" s="551"/>
      <c r="AB577" s="341"/>
      <c r="AC577" s="568" t="s">
        <v>709</v>
      </c>
      <c r="AD577" s="1157"/>
      <c r="AE577" s="579"/>
      <c r="AF577" s="579"/>
      <c r="AG577" s="579"/>
      <c r="AH577" s="553"/>
      <c r="AI577" s="1036"/>
      <c r="AJ577" s="1037"/>
      <c r="AK577" s="1037"/>
      <c r="AL577" s="1038"/>
      <c r="AM577" s="542" t="s">
        <v>709</v>
      </c>
      <c r="AN577" s="924"/>
      <c r="AO577" s="925"/>
      <c r="AP577" s="926"/>
      <c r="AQ577" s="926"/>
      <c r="AR577" s="926"/>
      <c r="AS577" s="926"/>
      <c r="AT577" s="926"/>
      <c r="AU577" s="926"/>
      <c r="AV577" s="926"/>
      <c r="AW577" s="927"/>
      <c r="AX577" s="926"/>
      <c r="AY577" s="1538" t="s">
        <v>29</v>
      </c>
      <c r="AZ577" s="1530"/>
      <c r="BA577" s="1031" t="s">
        <v>4317</v>
      </c>
      <c r="BB577" s="644" t="s">
        <v>912</v>
      </c>
      <c r="BC577" s="544"/>
      <c r="BD577" s="544"/>
      <c r="BE577" s="544"/>
      <c r="BF577" s="544"/>
      <c r="BG577" s="544"/>
      <c r="BH577" s="741"/>
      <c r="BI577" s="1032"/>
      <c r="BJ577" s="1032"/>
      <c r="BK577" s="1032"/>
      <c r="BL577" s="1032"/>
      <c r="BM577" s="1032"/>
      <c r="BN577" s="1032"/>
      <c r="BO577" s="1032"/>
      <c r="BP577" s="1032"/>
      <c r="BQ577" s="1032"/>
      <c r="BR577" s="1032"/>
      <c r="BS577" s="1032"/>
      <c r="BT577" s="1032"/>
      <c r="BU577" s="1032"/>
      <c r="BV577" s="1032"/>
      <c r="BW577" s="1032"/>
      <c r="BX577" s="1032"/>
      <c r="BY577" s="1032"/>
      <c r="BZ577" s="1032"/>
      <c r="CA577" s="485"/>
      <c r="CB577" s="547">
        <v>576</v>
      </c>
      <c r="CC577" s="1481" t="b">
        <v>1</v>
      </c>
      <c r="CD577" t="str">
        <f>Table15[[#This Row],[Engineering Number]]&amp;Table15[[#This Row],[WO Number]]&amp;Table15[[#This Row],[Date Assigned to Designer]]&amp;Table15[[#This Row],[Date Completed]]</f>
        <v>N14980-4462844664</v>
      </c>
    </row>
    <row r="578" spans="1:82" customFormat="1" ht="15" customHeight="1" x14ac:dyDescent="0.25">
      <c r="A578">
        <v>2022</v>
      </c>
      <c r="B578" s="8" t="s">
        <v>4</v>
      </c>
      <c r="C578" s="8" t="s">
        <v>4310</v>
      </c>
      <c r="D578" s="8" t="s">
        <v>4311</v>
      </c>
      <c r="E578" s="8" t="s">
        <v>1171</v>
      </c>
      <c r="F578" s="8" t="s">
        <v>738</v>
      </c>
      <c r="G578" s="8" t="s">
        <v>39</v>
      </c>
      <c r="H578" s="8" t="s">
        <v>59</v>
      </c>
      <c r="I578" s="642">
        <v>44476</v>
      </c>
      <c r="J578" s="18">
        <v>44687</v>
      </c>
      <c r="K578" s="18">
        <v>44664</v>
      </c>
      <c r="L578" s="16">
        <f>IF(ISTEXT(Table15[[#This Row],[Engineering Approved Design Date]]),Table15[[#This Row],[Date Completed]]-Table15[[#This Row],[Date Assigned to Designer]],Table15[[#This Row],[Engineering Approved Design Date]]-Table15[[#This Row],[Date Completed]])</f>
        <v>23</v>
      </c>
      <c r="M578" s="642"/>
      <c r="N578" s="642" t="s">
        <v>120</v>
      </c>
      <c r="O578" s="1025">
        <f>Table15[[#This Row],[Date Completed]]</f>
        <v>44664</v>
      </c>
      <c r="P578" s="21" t="s">
        <v>739</v>
      </c>
      <c r="Q578" s="340">
        <f>R578*AA578</f>
        <v>39517.135999999999</v>
      </c>
      <c r="R578" s="1026">
        <v>0.1</v>
      </c>
      <c r="S578" s="538" t="s">
        <v>709</v>
      </c>
      <c r="T578" s="538" t="s">
        <v>709</v>
      </c>
      <c r="U578" s="87" t="s">
        <v>709</v>
      </c>
      <c r="V578" s="857"/>
      <c r="W578" s="440"/>
      <c r="X578" s="551">
        <v>365266.01</v>
      </c>
      <c r="Y578" s="550"/>
      <c r="Z578" s="551">
        <v>29905.35</v>
      </c>
      <c r="AA578" s="551">
        <f>Table15[[#This Row],[PCTS Investment Amount]]+Table15[[#This Row],[PCTS Retirement Amount]]</f>
        <v>395171.36</v>
      </c>
      <c r="AB578" s="341"/>
      <c r="AC578" s="568" t="s">
        <v>116</v>
      </c>
      <c r="AD578" s="1157"/>
      <c r="AE578" s="579"/>
      <c r="AF578" s="579"/>
      <c r="AG578" s="579"/>
      <c r="AH578" s="553"/>
      <c r="AI578" s="1036"/>
      <c r="AJ578" s="1037"/>
      <c r="AK578" s="1037"/>
      <c r="AL578" s="1038"/>
      <c r="AM578" s="1522" t="s">
        <v>116</v>
      </c>
      <c r="AN578" s="1523">
        <v>44734</v>
      </c>
      <c r="AO578" s="1524">
        <v>11038598</v>
      </c>
      <c r="AP578" s="1525">
        <v>372473.48</v>
      </c>
      <c r="AQ578" s="1525"/>
      <c r="AR578" s="1525">
        <v>39911.910000000003</v>
      </c>
      <c r="AS578" s="1525">
        <f>IF(Table15[[#This Row],[PCTS Approved]]="N",0,Table15[[#This Row],[Investment Amount (1'#'#'#'#'#)]]+Table15[[#This Row],[Retirement Amount (3'#'#'#'#'#)]])</f>
        <v>412385.39</v>
      </c>
      <c r="AT578" s="1525">
        <f>IF(Table15[[#This Row],[Approved Construction Cost]]=0,0,Table15[[#This Row],[Approved Construction Cost]]-Table15[[#This Row],[Construction Cost to Bill From]])</f>
        <v>17214.030000000028</v>
      </c>
      <c r="AU578" s="1525">
        <f>IFERROR(Table15[[#This Row],[Difference in Construction Cost]]*Table15[[#This Row],[Rate]],Table15[[#This Row],[Difference in Construction Cost]]*0.085)</f>
        <v>1721.403000000003</v>
      </c>
      <c r="AV578" s="1525" t="s">
        <v>709</v>
      </c>
      <c r="AW578" s="1526"/>
      <c r="AX578" s="1525">
        <f>Table15[[#This Row],[Reconcile Amount]]</f>
        <v>1721.403000000003</v>
      </c>
      <c r="AY578" s="1518">
        <v>45008</v>
      </c>
      <c r="AZ578" s="333"/>
      <c r="BA578" s="1031" t="s">
        <v>4312</v>
      </c>
      <c r="BB578" s="644" t="s">
        <v>4313</v>
      </c>
      <c r="BC578" s="544" t="s">
        <v>709</v>
      </c>
      <c r="BD578" s="544" t="s">
        <v>709</v>
      </c>
      <c r="BE578" s="544" t="s">
        <v>4314</v>
      </c>
      <c r="BF578" s="544" t="s">
        <v>709</v>
      </c>
      <c r="BG578" s="544" t="s">
        <v>709</v>
      </c>
      <c r="BH578" s="741"/>
      <c r="BI578" s="547" t="s">
        <v>709</v>
      </c>
      <c r="BJ578" s="547" t="s">
        <v>709</v>
      </c>
      <c r="BK578" s="547" t="s">
        <v>709</v>
      </c>
      <c r="BL578" s="547" t="s">
        <v>116</v>
      </c>
      <c r="BM578" s="547" t="s">
        <v>709</v>
      </c>
      <c r="BN578" s="547" t="s">
        <v>709</v>
      </c>
      <c r="BO578" s="547" t="s">
        <v>709</v>
      </c>
      <c r="BP578" s="547">
        <v>1062</v>
      </c>
      <c r="BQ578" s="547" t="s">
        <v>709</v>
      </c>
      <c r="BR578" s="547" t="s">
        <v>709</v>
      </c>
      <c r="BS578" s="547">
        <v>66</v>
      </c>
      <c r="BT578" s="547" t="s">
        <v>745</v>
      </c>
      <c r="BU578" s="547" t="s">
        <v>709</v>
      </c>
      <c r="BV578" s="547" t="s">
        <v>745</v>
      </c>
      <c r="BW578" s="547" t="s">
        <v>709</v>
      </c>
      <c r="BX578" s="547" t="s">
        <v>745</v>
      </c>
      <c r="BY578" s="547" t="s">
        <v>745</v>
      </c>
      <c r="BZ578" s="547" t="s">
        <v>709</v>
      </c>
      <c r="CA578" s="483"/>
      <c r="CB578" s="547">
        <v>575</v>
      </c>
      <c r="CC578" s="1481" t="b">
        <v>1</v>
      </c>
      <c r="CD578" t="str">
        <f>Table15[[#This Row],[Engineering Number]]&amp;Table15[[#This Row],[WO Number]]&amp;Table15[[#This Row],[Date Assigned to Designer]]&amp;Table15[[#This Row],[Date Completed]]</f>
        <v>SC1876813107394447644664</v>
      </c>
    </row>
    <row r="579" spans="1:82" customFormat="1" ht="15" customHeight="1" x14ac:dyDescent="0.25">
      <c r="A579">
        <v>2022</v>
      </c>
      <c r="B579" s="8" t="s">
        <v>1205</v>
      </c>
      <c r="C579" s="8" t="s">
        <v>4321</v>
      </c>
      <c r="D579" s="8" t="s">
        <v>4322</v>
      </c>
      <c r="E579" s="8" t="s">
        <v>4323</v>
      </c>
      <c r="F579" s="8" t="s">
        <v>919</v>
      </c>
      <c r="G579" s="8" t="s">
        <v>35</v>
      </c>
      <c r="H579" s="8" t="s">
        <v>59</v>
      </c>
      <c r="I579" s="642">
        <v>44529</v>
      </c>
      <c r="J579" s="18">
        <v>44666</v>
      </c>
      <c r="K579" s="97">
        <v>44665</v>
      </c>
      <c r="L579" s="16">
        <f>IF(ISTEXT(Table15[[#This Row],[Engineering Approved Design Date]]),Table15[[#This Row],[Date Completed]]-Table15[[#This Row],[Date Assigned to Designer]],Table15[[#This Row],[Engineering Approved Design Date]]-Table15[[#This Row],[Date Completed]])</f>
        <v>1</v>
      </c>
      <c r="M579" s="642"/>
      <c r="N579" s="642" t="s">
        <v>120</v>
      </c>
      <c r="O579" s="1025">
        <v>44682</v>
      </c>
      <c r="P579" s="21" t="s">
        <v>120</v>
      </c>
      <c r="Q579" s="1151">
        <f>R579*AA579</f>
        <v>30593.123100000001</v>
      </c>
      <c r="R579" s="1026">
        <v>0.09</v>
      </c>
      <c r="S579" s="538" t="s">
        <v>709</v>
      </c>
      <c r="T579" s="538" t="s">
        <v>709</v>
      </c>
      <c r="U579" s="87" t="s">
        <v>709</v>
      </c>
      <c r="V579" s="857">
        <v>636</v>
      </c>
      <c r="W579" s="440"/>
      <c r="X579" s="551">
        <v>316404.51</v>
      </c>
      <c r="Y579" s="550"/>
      <c r="Z579" s="551">
        <v>23519.08</v>
      </c>
      <c r="AA579" s="551">
        <f>Table15[[#This Row],[PCTS Investment Amount]]+Table15[[#This Row],[PCTS Retirement Amount]]</f>
        <v>339923.59</v>
      </c>
      <c r="AB579" s="341"/>
      <c r="AC579" s="568" t="s">
        <v>116</v>
      </c>
      <c r="AD579" s="1157" t="s">
        <v>709</v>
      </c>
      <c r="AE579" s="568"/>
      <c r="AF579" s="568"/>
      <c r="AG579" s="568"/>
      <c r="AH579" s="183"/>
      <c r="AI579" s="1036"/>
      <c r="AJ579" s="1037"/>
      <c r="AK579" s="1037"/>
      <c r="AL579" s="1038"/>
      <c r="AM579" s="1522" t="s">
        <v>116</v>
      </c>
      <c r="AN579" s="1523">
        <v>44714</v>
      </c>
      <c r="AO579" s="1524">
        <v>11039632</v>
      </c>
      <c r="AP579" s="1525">
        <v>316835.96999999997</v>
      </c>
      <c r="AQ579" s="1525"/>
      <c r="AR579" s="1525">
        <v>23520.42</v>
      </c>
      <c r="AS579" s="1525">
        <f>IF(Table15[[#This Row],[PCTS Approved]]="N",0,Table15[[#This Row],[Investment Amount (1'#'#'#'#'#)]]+Table15[[#This Row],[Retirement Amount (3'#'#'#'#'#)]])</f>
        <v>340356.38999999996</v>
      </c>
      <c r="AT579" s="1525">
        <f>IF(Table15[[#This Row],[Approved Construction Cost]]=0,0,Table15[[#This Row],[Approved Construction Cost]]-Table15[[#This Row],[Construction Cost to Bill From]])</f>
        <v>432.79999999993015</v>
      </c>
      <c r="AU579" s="1525">
        <f>IFERROR(Table15[[#This Row],[Difference in Construction Cost]]*Table15[[#This Row],[Rate]],Table15[[#This Row],[Difference in Construction Cost]]*0.085)</f>
        <v>38.95199999999371</v>
      </c>
      <c r="AV579" s="1525" t="s">
        <v>709</v>
      </c>
      <c r="AW579" s="1526"/>
      <c r="AX579" s="1525">
        <f>Table15[[#This Row],[Reconcile Amount]]</f>
        <v>38.95199999999371</v>
      </c>
      <c r="AY579" s="1518">
        <v>45008</v>
      </c>
      <c r="AZ579" s="333"/>
      <c r="BA579" s="1031" t="s">
        <v>4324</v>
      </c>
      <c r="BB579" s="644" t="s">
        <v>4325</v>
      </c>
      <c r="BC579" s="544" t="s">
        <v>709</v>
      </c>
      <c r="BD579" s="544" t="s">
        <v>709</v>
      </c>
      <c r="BE579" s="544" t="s">
        <v>4326</v>
      </c>
      <c r="BF579" s="544" t="s">
        <v>709</v>
      </c>
      <c r="BG579" s="544" t="s">
        <v>709</v>
      </c>
      <c r="BH579" s="741"/>
      <c r="BI579" s="547" t="s">
        <v>709</v>
      </c>
      <c r="BJ579" s="547" t="s">
        <v>709</v>
      </c>
      <c r="BK579" s="547" t="s">
        <v>709</v>
      </c>
      <c r="BL579" s="547" t="s">
        <v>116</v>
      </c>
      <c r="BM579" s="547" t="s">
        <v>709</v>
      </c>
      <c r="BN579" s="547" t="s">
        <v>709</v>
      </c>
      <c r="BO579" s="547" t="s">
        <v>709</v>
      </c>
      <c r="BP579" s="547" t="s">
        <v>709</v>
      </c>
      <c r="BQ579" s="547" t="s">
        <v>709</v>
      </c>
      <c r="BR579" s="547">
        <v>636</v>
      </c>
      <c r="BS579" s="547" t="s">
        <v>709</v>
      </c>
      <c r="BT579" s="547" t="s">
        <v>745</v>
      </c>
      <c r="BU579" s="547" t="s">
        <v>709</v>
      </c>
      <c r="BV579" s="547" t="s">
        <v>745</v>
      </c>
      <c r="BW579" s="547" t="s">
        <v>709</v>
      </c>
      <c r="BX579" s="547" t="s">
        <v>745</v>
      </c>
      <c r="BY579" s="547" t="s">
        <v>745</v>
      </c>
      <c r="BZ579" s="547" t="s">
        <v>709</v>
      </c>
      <c r="CA579" s="483"/>
      <c r="CB579" s="547">
        <v>578</v>
      </c>
      <c r="CC579" s="1481" t="b">
        <v>1</v>
      </c>
      <c r="CD579" t="str">
        <f>Table15[[#This Row],[Engineering Number]]&amp;Table15[[#This Row],[WO Number]]&amp;Table15[[#This Row],[Date Assigned to Designer]]&amp;Table15[[#This Row],[Date Completed]]</f>
        <v>MR180914108084452944665</v>
      </c>
    </row>
    <row r="580" spans="1:82" customFormat="1" ht="15" customHeight="1" x14ac:dyDescent="0.25">
      <c r="A580">
        <v>2021</v>
      </c>
      <c r="B580" s="8" t="s">
        <v>4</v>
      </c>
      <c r="C580" s="8" t="s">
        <v>121</v>
      </c>
      <c r="D580" s="8">
        <v>120391</v>
      </c>
      <c r="E580" s="8" t="s">
        <v>122</v>
      </c>
      <c r="F580" s="8" t="s">
        <v>919</v>
      </c>
      <c r="G580" s="8" t="s">
        <v>36</v>
      </c>
      <c r="H580" s="8" t="s">
        <v>4001</v>
      </c>
      <c r="I580" s="642">
        <v>44581</v>
      </c>
      <c r="J580" s="18" t="s">
        <v>2958</v>
      </c>
      <c r="K580" s="97">
        <v>44665</v>
      </c>
      <c r="L580" s="16">
        <f>IF(ISTEXT(Table15[[#This Row],[Engineering Approved Design Date]]),Table15[[#This Row],[Date Completed]]-Table15[[#This Row],[Date Assigned to Designer]],Table15[[#This Row],[Engineering Approved Design Date]]-Table15[[#This Row],[Date Completed]])</f>
        <v>84</v>
      </c>
      <c r="M580" t="s">
        <v>4319</v>
      </c>
      <c r="N580" s="99" t="s">
        <v>120</v>
      </c>
      <c r="O580" s="1025">
        <f>Table15[[#This Row],[Date Completed]]</f>
        <v>44665</v>
      </c>
      <c r="P580" s="21" t="s">
        <v>739</v>
      </c>
      <c r="Q580" s="1151">
        <f>Table15[[#This Row],[KH Hourly Effort]]</f>
        <v>7837.5</v>
      </c>
      <c r="R580" s="1026" t="s">
        <v>1922</v>
      </c>
      <c r="S580" s="538" t="s">
        <v>709</v>
      </c>
      <c r="T580" s="538" t="s">
        <v>709</v>
      </c>
      <c r="U580" s="87">
        <v>7837.5</v>
      </c>
      <c r="V580" s="858"/>
      <c r="W580" s="437"/>
      <c r="X580" s="538"/>
      <c r="Y580" s="551"/>
      <c r="Z580" s="538"/>
      <c r="AA580" s="538"/>
      <c r="AB580" s="21"/>
      <c r="AC580" s="569"/>
      <c r="AD580" s="1149" t="s">
        <v>709</v>
      </c>
      <c r="AE580" s="580"/>
      <c r="AF580" s="580"/>
      <c r="AG580" s="580"/>
      <c r="AH580" s="542"/>
      <c r="AI580" s="1028"/>
      <c r="AJ580" s="1029"/>
      <c r="AK580" s="1029"/>
      <c r="AL580" s="1030"/>
      <c r="AM580" s="542" t="s">
        <v>709</v>
      </c>
      <c r="AN580" s="924"/>
      <c r="AO580" s="925"/>
      <c r="AP580" s="926"/>
      <c r="AQ580" s="926"/>
      <c r="AR580" s="926"/>
      <c r="AS580" s="926"/>
      <c r="AT580" s="926"/>
      <c r="AU580" s="926"/>
      <c r="AV580" s="926"/>
      <c r="AW580" s="927"/>
      <c r="AX580" s="926"/>
      <c r="AY580" s="1538" t="s">
        <v>29</v>
      </c>
      <c r="AZ580" s="1530"/>
      <c r="BA580" s="1031"/>
      <c r="BB580" s="644"/>
      <c r="BC580" s="544"/>
      <c r="BD580" s="544"/>
      <c r="BE580" s="544"/>
      <c r="BF580" s="544"/>
      <c r="BG580" s="544"/>
      <c r="BH580" s="741"/>
      <c r="BI580" s="547" t="s">
        <v>709</v>
      </c>
      <c r="BJ580" s="547" t="s">
        <v>709</v>
      </c>
      <c r="BK580" s="547" t="s">
        <v>709</v>
      </c>
      <c r="BL580" s="547" t="s">
        <v>116</v>
      </c>
      <c r="BM580" s="547" t="s">
        <v>709</v>
      </c>
      <c r="BN580" s="547" t="s">
        <v>709</v>
      </c>
      <c r="BO580" s="547" t="s">
        <v>709</v>
      </c>
      <c r="BP580" s="547">
        <v>3618</v>
      </c>
      <c r="BQ580" s="547">
        <v>2805</v>
      </c>
      <c r="BR580" s="547">
        <v>12</v>
      </c>
      <c r="BS580" s="547">
        <v>291</v>
      </c>
      <c r="BT580" s="547" t="s">
        <v>745</v>
      </c>
      <c r="BU580" s="547" t="s">
        <v>709</v>
      </c>
      <c r="BV580" s="547" t="s">
        <v>745</v>
      </c>
      <c r="BW580" s="547" t="s">
        <v>709</v>
      </c>
      <c r="BX580" s="547" t="s">
        <v>745</v>
      </c>
      <c r="BY580" s="547" t="s">
        <v>745</v>
      </c>
      <c r="BZ580" s="547" t="s">
        <v>709</v>
      </c>
      <c r="CA580" s="483"/>
      <c r="CB580" s="547">
        <v>577</v>
      </c>
      <c r="CC580" s="1481" t="b">
        <v>1</v>
      </c>
      <c r="CD580" t="str">
        <f>Table15[[#This Row],[Engineering Number]]&amp;Table15[[#This Row],[WO Number]]&amp;Table15[[#This Row],[Date Assigned to Designer]]&amp;Table15[[#This Row],[Date Completed]]</f>
        <v>M106931203914458144665</v>
      </c>
    </row>
    <row r="581" spans="1:82" customFormat="1" ht="15" customHeight="1" x14ac:dyDescent="0.25">
      <c r="A581">
        <v>2021</v>
      </c>
      <c r="B581" s="8" t="s">
        <v>4</v>
      </c>
      <c r="C581" s="8" t="s">
        <v>3788</v>
      </c>
      <c r="D581" s="8" t="s">
        <v>3789</v>
      </c>
      <c r="E581" s="8" t="s">
        <v>164</v>
      </c>
      <c r="F581" s="8" t="s">
        <v>738</v>
      </c>
      <c r="G581" s="8" t="s">
        <v>39</v>
      </c>
      <c r="H581" s="8" t="s">
        <v>3178</v>
      </c>
      <c r="I581" s="642">
        <v>44657</v>
      </c>
      <c r="J581" s="18" t="s">
        <v>2052</v>
      </c>
      <c r="K581" s="97">
        <v>44669</v>
      </c>
      <c r="L581" s="16">
        <f>IF(ISTEXT(Table15[[#This Row],[Engineering Approved Design Date]]),Table15[[#This Row],[Date Completed]]-Table15[[#This Row],[Date Assigned to Designer]],Table15[[#This Row],[Engineering Approved Design Date]]-Table15[[#This Row],[Date Completed]])</f>
        <v>12</v>
      </c>
      <c r="M581" s="642" t="s">
        <v>4328</v>
      </c>
      <c r="N581" s="642" t="s">
        <v>120</v>
      </c>
      <c r="O581" s="1025">
        <v>44682</v>
      </c>
      <c r="P581" s="21" t="s">
        <v>739</v>
      </c>
      <c r="Q581" s="340">
        <f>Table15[[#This Row],[KH Hourly Effort]]</f>
        <v>3682.5</v>
      </c>
      <c r="R581" s="1026" t="s">
        <v>1922</v>
      </c>
      <c r="S581" s="538" t="s">
        <v>709</v>
      </c>
      <c r="T581" s="538" t="s">
        <v>709</v>
      </c>
      <c r="U581" s="87">
        <v>3682.5</v>
      </c>
      <c r="V581" s="857"/>
      <c r="W581" s="440"/>
      <c r="X581" s="550"/>
      <c r="Y581" s="550"/>
      <c r="Z581" s="550"/>
      <c r="AA581" s="551"/>
      <c r="AB581" s="341"/>
      <c r="AC581" s="568"/>
      <c r="AD581" s="1149" t="s">
        <v>709</v>
      </c>
      <c r="AE581" s="580"/>
      <c r="AF581" s="580"/>
      <c r="AG581" s="580"/>
      <c r="AH581" s="542"/>
      <c r="AI581" s="1028"/>
      <c r="AJ581" s="1029"/>
      <c r="AK581" s="1029"/>
      <c r="AL581" s="1030"/>
      <c r="AM581" s="542" t="s">
        <v>709</v>
      </c>
      <c r="AN581" s="924"/>
      <c r="AO581" s="925"/>
      <c r="AP581" s="926"/>
      <c r="AQ581" s="926"/>
      <c r="AR581" s="926"/>
      <c r="AS581" s="926"/>
      <c r="AT581" s="926"/>
      <c r="AU581" s="926"/>
      <c r="AV581" s="926"/>
      <c r="AW581" s="927"/>
      <c r="AX581" s="926"/>
      <c r="AY581" s="1538" t="s">
        <v>29</v>
      </c>
      <c r="AZ581" s="1530"/>
      <c r="BA581" s="1031">
        <v>12</v>
      </c>
      <c r="BB581" s="644"/>
      <c r="BC581" s="544"/>
      <c r="BD581" s="544"/>
      <c r="BE581" s="544"/>
      <c r="BF581" s="544"/>
      <c r="BG581" s="544"/>
      <c r="BH581" s="741"/>
      <c r="BI581" s="547" t="s">
        <v>709</v>
      </c>
      <c r="BJ581" s="547" t="s">
        <v>709</v>
      </c>
      <c r="BK581" s="547" t="s">
        <v>709</v>
      </c>
      <c r="BL581" s="547" t="s">
        <v>116</v>
      </c>
      <c r="BM581" s="547" t="s">
        <v>709</v>
      </c>
      <c r="BN581" s="547" t="s">
        <v>709</v>
      </c>
      <c r="BO581" s="547" t="s">
        <v>709</v>
      </c>
      <c r="BP581" s="547" t="s">
        <v>709</v>
      </c>
      <c r="BQ581" s="547">
        <v>285</v>
      </c>
      <c r="BR581" s="547" t="s">
        <v>709</v>
      </c>
      <c r="BS581" s="547" t="s">
        <v>709</v>
      </c>
      <c r="BT581" s="547" t="s">
        <v>745</v>
      </c>
      <c r="BU581" s="547" t="s">
        <v>709</v>
      </c>
      <c r="BV581" s="547" t="s">
        <v>745</v>
      </c>
      <c r="BW581" s="547" t="s">
        <v>709</v>
      </c>
      <c r="BX581" s="547" t="s">
        <v>745</v>
      </c>
      <c r="BY581" s="547" t="s">
        <v>745</v>
      </c>
      <c r="BZ581" s="547" t="s">
        <v>709</v>
      </c>
      <c r="CA581" s="483"/>
      <c r="CB581" s="547">
        <v>579</v>
      </c>
      <c r="CC581" s="1481" t="b">
        <v>1</v>
      </c>
      <c r="CD581" t="str">
        <f>Table15[[#This Row],[Engineering Number]]&amp;Table15[[#This Row],[WO Number]]&amp;Table15[[#This Row],[Date Assigned to Designer]]&amp;Table15[[#This Row],[Date Completed]]</f>
        <v>M1262912103704465744669</v>
      </c>
    </row>
    <row r="582" spans="1:82" customFormat="1" ht="15" customHeight="1" x14ac:dyDescent="0.25">
      <c r="A582">
        <v>2022</v>
      </c>
      <c r="B582" s="8" t="s">
        <v>1205</v>
      </c>
      <c r="C582" s="8" t="s">
        <v>4330</v>
      </c>
      <c r="D582" s="8" t="s">
        <v>4331</v>
      </c>
      <c r="E582" s="8" t="s">
        <v>354</v>
      </c>
      <c r="F582" s="8" t="s">
        <v>738</v>
      </c>
      <c r="G582" s="8" t="s">
        <v>23</v>
      </c>
      <c r="H582" s="8" t="s">
        <v>59</v>
      </c>
      <c r="I582" s="642">
        <v>44587</v>
      </c>
      <c r="J582" s="18">
        <v>44673</v>
      </c>
      <c r="K582" s="18">
        <v>44670</v>
      </c>
      <c r="L582" s="16">
        <f>IF(ISTEXT(Table15[[#This Row],[Engineering Approved Design Date]]),Table15[[#This Row],[Date Completed]]-Table15[[#This Row],[Date Assigned to Designer]],Table15[[#This Row],[Engineering Approved Design Date]]-Table15[[#This Row],[Date Completed]])</f>
        <v>3</v>
      </c>
      <c r="M582" s="642"/>
      <c r="N582" s="642" t="s">
        <v>120</v>
      </c>
      <c r="O582" s="1025">
        <f>Table15[[#This Row],[Date Completed]]</f>
        <v>44670</v>
      </c>
      <c r="P582" s="21" t="s">
        <v>120</v>
      </c>
      <c r="Q582" s="1151">
        <f>1.55*Table15[[#This Row],[LF of Main]]</f>
        <v>17553.75</v>
      </c>
      <c r="R582" s="1026" t="s">
        <v>2087</v>
      </c>
      <c r="S582" s="538" t="s">
        <v>709</v>
      </c>
      <c r="T582" s="538" t="s">
        <v>709</v>
      </c>
      <c r="U582" s="87" t="s">
        <v>709</v>
      </c>
      <c r="V582" s="857">
        <f>10094+1231</f>
        <v>11325</v>
      </c>
      <c r="W582" s="440"/>
      <c r="X582" s="550">
        <v>1826451.58</v>
      </c>
      <c r="Y582" s="550"/>
      <c r="Z582" s="550">
        <v>41937.9</v>
      </c>
      <c r="AA582" s="551">
        <f>Table15[[#This Row],[PCTS Investment Amount]]+Table15[[#This Row],[PCTS Retirement Amount]]</f>
        <v>1868389.48</v>
      </c>
      <c r="AB582" s="341"/>
      <c r="AC582" s="568" t="s">
        <v>709</v>
      </c>
      <c r="AD582" s="1157"/>
      <c r="AE582" s="568"/>
      <c r="AF582" s="568"/>
      <c r="AG582" s="568"/>
      <c r="AH582" s="183"/>
      <c r="AI582" s="1036"/>
      <c r="AJ582" s="1037"/>
      <c r="AK582" s="1037"/>
      <c r="AL582" s="1038"/>
      <c r="AM582" s="542" t="s">
        <v>709</v>
      </c>
      <c r="AN582" s="924"/>
      <c r="AO582" s="925"/>
      <c r="AP582" s="926"/>
      <c r="AQ582" s="926"/>
      <c r="AR582" s="926"/>
      <c r="AS582" s="926"/>
      <c r="AT582" s="926"/>
      <c r="AU582" s="926"/>
      <c r="AV582" s="926"/>
      <c r="AW582" s="927"/>
      <c r="AX582" s="926"/>
      <c r="AY582" s="1538" t="s">
        <v>29</v>
      </c>
      <c r="AZ582" s="1530"/>
      <c r="BA582" s="1031"/>
      <c r="BB582" s="644"/>
      <c r="BC582" s="544" t="s">
        <v>116</v>
      </c>
      <c r="BD582" s="544" t="s">
        <v>709</v>
      </c>
      <c r="BE582" s="544" t="s">
        <v>588</v>
      </c>
      <c r="BF582" s="544" t="s">
        <v>709</v>
      </c>
      <c r="BG582" s="544" t="s">
        <v>709</v>
      </c>
      <c r="BH582" s="741"/>
      <c r="BI582" s="547" t="s">
        <v>709</v>
      </c>
      <c r="BJ582" s="547" t="s">
        <v>709</v>
      </c>
      <c r="BK582" s="547" t="s">
        <v>709</v>
      </c>
      <c r="BL582" s="547" t="s">
        <v>116</v>
      </c>
      <c r="BM582" s="547" t="s">
        <v>709</v>
      </c>
      <c r="BN582" s="547" t="s">
        <v>709</v>
      </c>
      <c r="BO582" s="547" t="s">
        <v>709</v>
      </c>
      <c r="BP582" s="547" t="s">
        <v>709</v>
      </c>
      <c r="BQ582" s="547" t="s">
        <v>709</v>
      </c>
      <c r="BR582" s="547">
        <v>1231</v>
      </c>
      <c r="BS582" s="547">
        <v>10094</v>
      </c>
      <c r="BT582" s="547" t="s">
        <v>745</v>
      </c>
      <c r="BU582" s="547" t="s">
        <v>709</v>
      </c>
      <c r="BV582" s="547" t="s">
        <v>745</v>
      </c>
      <c r="BW582" s="547" t="s">
        <v>709</v>
      </c>
      <c r="BX582" s="547" t="s">
        <v>745</v>
      </c>
      <c r="BY582" s="547" t="s">
        <v>745</v>
      </c>
      <c r="BZ582" s="547" t="s">
        <v>709</v>
      </c>
      <c r="CA582" s="483"/>
      <c r="CB582" s="547">
        <v>580</v>
      </c>
      <c r="CC582" s="1481" t="b">
        <v>1</v>
      </c>
      <c r="CD582" t="str">
        <f>Table15[[#This Row],[Engineering Number]]&amp;Table15[[#This Row],[WO Number]]&amp;Table15[[#This Row],[Date Assigned to Designer]]&amp;Table15[[#This Row],[Date Completed]]</f>
        <v>MR185112110264458744670</v>
      </c>
    </row>
    <row r="583" spans="1:82" customFormat="1" ht="15" customHeight="1" x14ac:dyDescent="0.25">
      <c r="A583">
        <v>2022</v>
      </c>
      <c r="B583" s="8" t="s">
        <v>1073</v>
      </c>
      <c r="C583" s="8" t="s">
        <v>3951</v>
      </c>
      <c r="D583" s="8" t="s">
        <v>3952</v>
      </c>
      <c r="E583" s="8" t="s">
        <v>2187</v>
      </c>
      <c r="F583" s="8" t="s">
        <v>919</v>
      </c>
      <c r="G583" s="8" t="s">
        <v>35</v>
      </c>
      <c r="H583" s="8" t="s">
        <v>3178</v>
      </c>
      <c r="I583" s="642">
        <v>44631</v>
      </c>
      <c r="J583" s="18" t="s">
        <v>2052</v>
      </c>
      <c r="K583" s="97">
        <v>44671</v>
      </c>
      <c r="L583" s="16">
        <f>IF(ISTEXT(Table15[[#This Row],[Engineering Approved Design Date]]),Table15[[#This Row],[Date Completed]]-Table15[[#This Row],[Date Assigned to Designer]],Table15[[#This Row],[Engineering Approved Design Date]]-Table15[[#This Row],[Date Completed]])</f>
        <v>40</v>
      </c>
      <c r="M583" t="s">
        <v>4333</v>
      </c>
      <c r="N583" s="642" t="s">
        <v>120</v>
      </c>
      <c r="O583" s="1025">
        <v>44682</v>
      </c>
      <c r="P583" s="21" t="s">
        <v>739</v>
      </c>
      <c r="Q583" s="1151">
        <f>Table15[[#This Row],[KH Hourly Effort]]</f>
        <v>4475</v>
      </c>
      <c r="R583" s="1026" t="s">
        <v>1922</v>
      </c>
      <c r="S583" s="538" t="s">
        <v>709</v>
      </c>
      <c r="T583" s="538" t="s">
        <v>709</v>
      </c>
      <c r="U583" s="87">
        <v>4475</v>
      </c>
      <c r="V583" s="858"/>
      <c r="W583" s="437"/>
      <c r="X583" s="538"/>
      <c r="Y583" s="551"/>
      <c r="Z583" s="538"/>
      <c r="AA583" s="538"/>
      <c r="AB583" s="21"/>
      <c r="AC583" s="569"/>
      <c r="AD583" s="1149" t="s">
        <v>709</v>
      </c>
      <c r="AE583" s="569" t="s">
        <v>29</v>
      </c>
      <c r="AF583" s="569" t="s">
        <v>29</v>
      </c>
      <c r="AG583" s="569" t="s">
        <v>29</v>
      </c>
      <c r="AH583" s="536" t="s">
        <v>29</v>
      </c>
      <c r="AI583" s="1028"/>
      <c r="AJ583" s="1029"/>
      <c r="AK583" s="1029"/>
      <c r="AL583" s="1030"/>
      <c r="AM583" s="542" t="s">
        <v>709</v>
      </c>
      <c r="AN583" s="924"/>
      <c r="AO583" s="925"/>
      <c r="AP583" s="926"/>
      <c r="AQ583" s="926"/>
      <c r="AR583" s="926"/>
      <c r="AS583" s="926"/>
      <c r="AT583" s="926"/>
      <c r="AU583" s="926"/>
      <c r="AV583" s="926"/>
      <c r="AW583" s="927"/>
      <c r="AX583" s="926"/>
      <c r="AY583" s="1538" t="s">
        <v>29</v>
      </c>
      <c r="AZ583" s="1530"/>
      <c r="BA583" s="1031">
        <v>3</v>
      </c>
      <c r="BB583" s="644" t="s">
        <v>4334</v>
      </c>
      <c r="BC583" s="544"/>
      <c r="BD583" s="544"/>
      <c r="BE583" s="544"/>
      <c r="BF583" s="544"/>
      <c r="BG583" s="544"/>
      <c r="BH583" s="741" t="s">
        <v>4335</v>
      </c>
      <c r="BI583" s="547" t="s">
        <v>709</v>
      </c>
      <c r="BJ583" s="547" t="s">
        <v>709</v>
      </c>
      <c r="BK583" s="547" t="s">
        <v>709</v>
      </c>
      <c r="BL583" s="547" t="s">
        <v>116</v>
      </c>
      <c r="BM583" s="547" t="s">
        <v>709</v>
      </c>
      <c r="BN583" s="547" t="s">
        <v>709</v>
      </c>
      <c r="BO583" s="547" t="s">
        <v>709</v>
      </c>
      <c r="BP583" s="547" t="s">
        <v>709</v>
      </c>
      <c r="BQ583" s="547" t="s">
        <v>709</v>
      </c>
      <c r="BR583" s="547">
        <v>9486</v>
      </c>
      <c r="BS583" s="547" t="s">
        <v>709</v>
      </c>
      <c r="BT583" s="547" t="s">
        <v>709</v>
      </c>
      <c r="BU583" s="547" t="s">
        <v>709</v>
      </c>
      <c r="BV583" s="547" t="s">
        <v>745</v>
      </c>
      <c r="BW583" s="547" t="s">
        <v>709</v>
      </c>
      <c r="BX583" s="547" t="s">
        <v>709</v>
      </c>
      <c r="BY583" s="547" t="s">
        <v>745</v>
      </c>
      <c r="BZ583" s="547" t="s">
        <v>709</v>
      </c>
      <c r="CA583" s="483"/>
      <c r="CB583" s="547">
        <v>581</v>
      </c>
      <c r="CC583" s="1481" t="b">
        <v>1</v>
      </c>
      <c r="CD583" t="str">
        <f>Table15[[#This Row],[Engineering Number]]&amp;Table15[[#This Row],[WO Number]]&amp;Table15[[#This Row],[Date Assigned to Designer]]&amp;Table15[[#This Row],[Date Completed]]</f>
        <v>NBA197091319107374463144671</v>
      </c>
    </row>
    <row r="584" spans="1:82" customFormat="1" ht="15" customHeight="1" x14ac:dyDescent="0.25">
      <c r="A584">
        <v>2022</v>
      </c>
      <c r="B584" s="8" t="s">
        <v>4</v>
      </c>
      <c r="C584" s="8" t="s">
        <v>4337</v>
      </c>
      <c r="D584" s="8" t="s">
        <v>4338</v>
      </c>
      <c r="E584" s="8" t="s">
        <v>910</v>
      </c>
      <c r="F584" s="8" t="s">
        <v>738</v>
      </c>
      <c r="G584" s="8" t="s">
        <v>23</v>
      </c>
      <c r="H584" s="8" t="s">
        <v>59</v>
      </c>
      <c r="I584" s="642">
        <v>44631</v>
      </c>
      <c r="J584" s="18">
        <v>44673</v>
      </c>
      <c r="K584" s="18">
        <v>44672</v>
      </c>
      <c r="L584" s="16">
        <f>IF(ISTEXT(Table15[[#This Row],[Engineering Approved Design Date]]),Table15[[#This Row],[Date Completed]]-Table15[[#This Row],[Date Assigned to Designer]],Table15[[#This Row],[Engineering Approved Design Date]]-Table15[[#This Row],[Date Completed]])</f>
        <v>1</v>
      </c>
      <c r="M584" s="642"/>
      <c r="N584" s="642" t="s">
        <v>120</v>
      </c>
      <c r="O584" s="1025">
        <f>Table15[[#This Row],[Date Completed]]</f>
        <v>44672</v>
      </c>
      <c r="P584" s="21" t="s">
        <v>739</v>
      </c>
      <c r="Q584" s="1151">
        <f>Table15[[#This Row],[Construction Cost to Bill From]]*Table15[[#This Row],[Rate]]</f>
        <v>52130.258999999998</v>
      </c>
      <c r="R584" s="1026">
        <v>0.1</v>
      </c>
      <c r="S584" s="538" t="s">
        <v>709</v>
      </c>
      <c r="T584" s="538" t="s">
        <v>709</v>
      </c>
      <c r="U584" s="87" t="s">
        <v>709</v>
      </c>
      <c r="V584" s="857">
        <v>2868</v>
      </c>
      <c r="W584" s="440"/>
      <c r="X584" s="551">
        <v>457583.35999999999</v>
      </c>
      <c r="Y584" s="550"/>
      <c r="Z584" s="551">
        <v>63719.23</v>
      </c>
      <c r="AA584" s="551">
        <f>Table15[[#This Row],[PCTS Investment Amount]]+Table15[[#This Row],[PCTS Retirement Amount]]</f>
        <v>521302.58999999997</v>
      </c>
      <c r="AB584" s="341"/>
      <c r="AC584" s="568" t="s">
        <v>709</v>
      </c>
      <c r="AD584" s="1157"/>
      <c r="AE584" s="579"/>
      <c r="AF584" s="579"/>
      <c r="AG584" s="579"/>
      <c r="AH584" s="553"/>
      <c r="AI584" s="1036"/>
      <c r="AJ584" s="1037"/>
      <c r="AK584" s="1037"/>
      <c r="AL584" s="1038"/>
      <c r="AM584" s="1522" t="s">
        <v>116</v>
      </c>
      <c r="AN584" s="1523">
        <v>44714</v>
      </c>
      <c r="AO584" s="1524">
        <v>11042046</v>
      </c>
      <c r="AP584" s="1525">
        <v>465189.2</v>
      </c>
      <c r="AQ584" s="1525"/>
      <c r="AR584" s="1525">
        <v>63719.92</v>
      </c>
      <c r="AS584" s="1525">
        <f>IF(Table15[[#This Row],[PCTS Approved]]="N",0,Table15[[#This Row],[Investment Amount (1'#'#'#'#'#)]]+Table15[[#This Row],[Retirement Amount (3'#'#'#'#'#)]])</f>
        <v>528909.12</v>
      </c>
      <c r="AT584" s="1525">
        <f>IF(Table15[[#This Row],[Approved Construction Cost]]=0,0,Table15[[#This Row],[Approved Construction Cost]]-Table15[[#This Row],[Construction Cost to Bill From]])</f>
        <v>7606.5300000000279</v>
      </c>
      <c r="AU584" s="1525">
        <f>IFERROR(Table15[[#This Row],[Difference in Construction Cost]]*Table15[[#This Row],[Rate]],Table15[[#This Row],[Difference in Construction Cost]]*0.085)</f>
        <v>760.65300000000286</v>
      </c>
      <c r="AV584" s="1525" t="s">
        <v>709</v>
      </c>
      <c r="AW584" s="1526" t="s">
        <v>4339</v>
      </c>
      <c r="AX584" s="1525">
        <f>Table15[[#This Row],[Reconcile Amount]]</f>
        <v>760.65300000000286</v>
      </c>
      <c r="AY584" s="1518">
        <v>45008</v>
      </c>
      <c r="AZ584" s="333"/>
      <c r="BA584" s="1031" t="s">
        <v>4340</v>
      </c>
      <c r="BB584" s="644" t="s">
        <v>912</v>
      </c>
      <c r="BC584" s="544" t="s">
        <v>709</v>
      </c>
      <c r="BD584" s="544" t="s">
        <v>709</v>
      </c>
      <c r="BE584" s="544" t="s">
        <v>913</v>
      </c>
      <c r="BF584" s="544" t="s">
        <v>709</v>
      </c>
      <c r="BG584" s="544" t="s">
        <v>709</v>
      </c>
      <c r="BH584" s="741"/>
      <c r="BI584" s="547" t="s">
        <v>709</v>
      </c>
      <c r="BJ584" s="547" t="s">
        <v>709</v>
      </c>
      <c r="BK584" s="547" t="s">
        <v>709</v>
      </c>
      <c r="BL584" s="547" t="s">
        <v>116</v>
      </c>
      <c r="BM584" s="547" t="s">
        <v>709</v>
      </c>
      <c r="BN584" s="547" t="s">
        <v>709</v>
      </c>
      <c r="BO584" s="547" t="s">
        <v>709</v>
      </c>
      <c r="BP584" s="547" t="s">
        <v>709</v>
      </c>
      <c r="BQ584" s="547" t="s">
        <v>709</v>
      </c>
      <c r="BR584" s="547" t="s">
        <v>709</v>
      </c>
      <c r="BS584" s="547">
        <v>2868</v>
      </c>
      <c r="BT584" s="547" t="s">
        <v>745</v>
      </c>
      <c r="BU584" s="547" t="s">
        <v>709</v>
      </c>
      <c r="BV584" s="547" t="s">
        <v>745</v>
      </c>
      <c r="BW584" s="547" t="s">
        <v>709</v>
      </c>
      <c r="BX584" s="547" t="s">
        <v>745</v>
      </c>
      <c r="BY584" s="547" t="s">
        <v>745</v>
      </c>
      <c r="BZ584" s="547" t="s">
        <v>709</v>
      </c>
      <c r="CA584" s="483"/>
      <c r="CB584" s="547">
        <v>582</v>
      </c>
      <c r="CC584" s="1481" t="b">
        <v>1</v>
      </c>
      <c r="CD584" t="str">
        <f>Table15[[#This Row],[Engineering Number]]&amp;Table15[[#This Row],[WO Number]]&amp;Table15[[#This Row],[Date Assigned to Designer]]&amp;Table15[[#This Row],[Date Completed]]</f>
        <v>N1519012112304463144672</v>
      </c>
    </row>
    <row r="585" spans="1:82" customFormat="1" ht="15" customHeight="1" x14ac:dyDescent="0.25">
      <c r="A585">
        <v>2022</v>
      </c>
      <c r="B585" s="8" t="s">
        <v>769</v>
      </c>
      <c r="C585" s="8" t="s">
        <v>3434</v>
      </c>
      <c r="D585" s="8">
        <v>102146</v>
      </c>
      <c r="E585" s="8" t="s">
        <v>3436</v>
      </c>
      <c r="F585" s="8" t="s">
        <v>747</v>
      </c>
      <c r="G585" s="8" t="s">
        <v>1896</v>
      </c>
      <c r="H585" s="8" t="s">
        <v>4189</v>
      </c>
      <c r="I585" s="642">
        <v>44664</v>
      </c>
      <c r="J585" s="18" t="s">
        <v>2052</v>
      </c>
      <c r="K585" s="97">
        <v>44673</v>
      </c>
      <c r="L585" s="16">
        <f>IF(ISTEXT(Table15[[#This Row],[Engineering Approved Design Date]]),Table15[[#This Row],[Date Completed]]-Table15[[#This Row],[Date Assigned to Designer]],Table15[[#This Row],[Engineering Approved Design Date]]-Table15[[#This Row],[Date Completed]])</f>
        <v>9</v>
      </c>
      <c r="M585" t="s">
        <v>4347</v>
      </c>
      <c r="N585" s="642" t="s">
        <v>120</v>
      </c>
      <c r="O585" s="1025">
        <v>44682</v>
      </c>
      <c r="P585" s="21" t="s">
        <v>120</v>
      </c>
      <c r="Q585" s="1151">
        <f>Table15[[#This Row],[KH Hourly Effort]]</f>
        <v>2972.5</v>
      </c>
      <c r="R585" s="1026" t="s">
        <v>1922</v>
      </c>
      <c r="S585" s="538" t="s">
        <v>709</v>
      </c>
      <c r="T585" s="538" t="s">
        <v>709</v>
      </c>
      <c r="U585" s="87">
        <v>2972.5</v>
      </c>
      <c r="V585" s="858"/>
      <c r="W585" s="437"/>
      <c r="X585" s="551"/>
      <c r="Y585" s="551"/>
      <c r="Z585" s="538"/>
      <c r="AA585" s="538"/>
      <c r="AB585" s="21"/>
      <c r="AC585" s="569" t="s">
        <v>709</v>
      </c>
      <c r="AD585" s="1149" t="s">
        <v>709</v>
      </c>
      <c r="AE585" s="580"/>
      <c r="AF585" s="580"/>
      <c r="AG585" s="580"/>
      <c r="AH585" s="542"/>
      <c r="AI585" s="1028"/>
      <c r="AJ585" s="1029"/>
      <c r="AK585" s="1029"/>
      <c r="AL585" s="1030"/>
      <c r="AM585" s="542" t="s">
        <v>709</v>
      </c>
      <c r="AN585" s="924"/>
      <c r="AO585" s="925"/>
      <c r="AP585" s="926"/>
      <c r="AQ585" s="926"/>
      <c r="AR585" s="926"/>
      <c r="AS585" s="926"/>
      <c r="AT585" s="926"/>
      <c r="AU585" s="926"/>
      <c r="AV585" s="926"/>
      <c r="AW585" s="927"/>
      <c r="AX585" s="926"/>
      <c r="AY585" s="1538" t="s">
        <v>29</v>
      </c>
      <c r="AZ585" s="1530"/>
      <c r="BA585" s="1031">
        <v>3</v>
      </c>
      <c r="BB585" s="644"/>
      <c r="BC585" s="544"/>
      <c r="BD585" s="544"/>
      <c r="BE585" s="544"/>
      <c r="BF585" s="544"/>
      <c r="BG585" s="544"/>
      <c r="BH585" s="741"/>
      <c r="BI585" s="547" t="s">
        <v>709</v>
      </c>
      <c r="BJ585" s="547" t="s">
        <v>709</v>
      </c>
      <c r="BK585" s="547" t="s">
        <v>116</v>
      </c>
      <c r="BL585" s="547" t="s">
        <v>116</v>
      </c>
      <c r="BM585" s="547" t="s">
        <v>709</v>
      </c>
      <c r="BN585" s="547" t="s">
        <v>709</v>
      </c>
      <c r="BO585" s="547" t="s">
        <v>709</v>
      </c>
      <c r="BP585" s="547" t="s">
        <v>709</v>
      </c>
      <c r="BQ585" s="547" t="s">
        <v>709</v>
      </c>
      <c r="BR585" s="547">
        <v>43</v>
      </c>
      <c r="BS585" s="547">
        <v>115</v>
      </c>
      <c r="BT585" s="547" t="s">
        <v>709</v>
      </c>
      <c r="BU585" s="547">
        <v>1</v>
      </c>
      <c r="BV585" s="547" t="s">
        <v>709</v>
      </c>
      <c r="BW585" s="547" t="s">
        <v>709</v>
      </c>
      <c r="BX585" s="547">
        <v>1</v>
      </c>
      <c r="BY585" s="547" t="s">
        <v>709</v>
      </c>
      <c r="BZ585" s="547" t="s">
        <v>709</v>
      </c>
      <c r="CA585" s="483" t="s">
        <v>769</v>
      </c>
      <c r="CB585" s="547">
        <v>584</v>
      </c>
      <c r="CC585" s="1481" t="b">
        <v>1</v>
      </c>
      <c r="CD585" t="str">
        <f>Table15[[#This Row],[Engineering Number]]&amp;Table15[[#This Row],[WO Number]]&amp;Table15[[#This Row],[Date Assigned to Designer]]&amp;Table15[[#This Row],[Date Completed]]</f>
        <v>RS8261021464466444673</v>
      </c>
    </row>
    <row r="586" spans="1:82" customFormat="1" ht="15" customHeight="1" x14ac:dyDescent="0.25">
      <c r="A586">
        <v>2022</v>
      </c>
      <c r="B586" s="8" t="s">
        <v>730</v>
      </c>
      <c r="C586" s="8" t="s">
        <v>238</v>
      </c>
      <c r="D586" s="8" t="s">
        <v>4349</v>
      </c>
      <c r="E586" s="8" t="s">
        <v>239</v>
      </c>
      <c r="F586" s="8" t="s">
        <v>752</v>
      </c>
      <c r="G586" s="8" t="s">
        <v>1882</v>
      </c>
      <c r="H586" s="8" t="s">
        <v>59</v>
      </c>
      <c r="I586" s="642">
        <v>44582</v>
      </c>
      <c r="J586" s="18">
        <v>44676</v>
      </c>
      <c r="K586" s="97">
        <v>44673</v>
      </c>
      <c r="L586" s="16">
        <f>IF(ISTEXT(Table15[[#This Row],[Engineering Approved Design Date]]),Table15[[#This Row],[Date Completed]]-Table15[[#This Row],[Date Assigned to Designer]],Table15[[#This Row],[Engineering Approved Design Date]]-Table15[[#This Row],[Date Completed]])</f>
        <v>3</v>
      </c>
      <c r="M586" s="642"/>
      <c r="N586" s="642" t="s">
        <v>120</v>
      </c>
      <c r="O586" s="1025">
        <v>44682</v>
      </c>
      <c r="P586" s="21" t="s">
        <v>739</v>
      </c>
      <c r="Q586" s="1061">
        <f>(Table15[[#This Row],[Construction Cost to Bill From]]*0.085)+5250</f>
        <v>29340.649000000005</v>
      </c>
      <c r="R586" s="1034" t="s">
        <v>794</v>
      </c>
      <c r="S586" s="538" t="s">
        <v>709</v>
      </c>
      <c r="T586" s="538" t="s">
        <v>709</v>
      </c>
      <c r="U586" s="87" t="s">
        <v>709</v>
      </c>
      <c r="V586" s="857">
        <v>305</v>
      </c>
      <c r="W586" s="440"/>
      <c r="X586" s="538">
        <v>236300.78</v>
      </c>
      <c r="Y586" s="551"/>
      <c r="Z586" s="551">
        <v>47118.62</v>
      </c>
      <c r="AA586" s="551">
        <f>Table15[[#This Row],[PCTS Investment Amount]]+Table15[[#This Row],[PCTS Retirement Amount]]</f>
        <v>283419.40000000002</v>
      </c>
      <c r="AB586" s="341"/>
      <c r="AC586" s="568" t="s">
        <v>116</v>
      </c>
      <c r="AD586" s="1157"/>
      <c r="AE586" s="579"/>
      <c r="AF586" s="579"/>
      <c r="AG586" s="579"/>
      <c r="AH586" s="553"/>
      <c r="AI586" s="1036"/>
      <c r="AJ586" s="1037"/>
      <c r="AK586" s="1037"/>
      <c r="AL586" s="1038"/>
      <c r="AM586" s="1522" t="s">
        <v>116</v>
      </c>
      <c r="AN586" s="1523">
        <v>44714</v>
      </c>
      <c r="AO586" s="1524">
        <v>11040869</v>
      </c>
      <c r="AP586" s="1525">
        <v>236952.42</v>
      </c>
      <c r="AQ586" s="1525"/>
      <c r="AR586" s="1525">
        <v>47119.040000000001</v>
      </c>
      <c r="AS586" s="1525">
        <f>IF(Table15[[#This Row],[PCTS Approved]]="N",0,Table15[[#This Row],[Investment Amount (1'#'#'#'#'#)]]+Table15[[#This Row],[Retirement Amount (3'#'#'#'#'#)]])</f>
        <v>284071.46000000002</v>
      </c>
      <c r="AT586" s="1525">
        <f>IF(Table15[[#This Row],[Approved Construction Cost]]=0,0,Table15[[#This Row],[Approved Construction Cost]]-Table15[[#This Row],[Construction Cost to Bill From]])</f>
        <v>652.05999999999767</v>
      </c>
      <c r="AU586" s="1525">
        <f>IFERROR(Table15[[#This Row],[Difference in Construction Cost]]*Table15[[#This Row],[Rate]],Table15[[#This Row],[Difference in Construction Cost]]*0.085)</f>
        <v>55.425099999999809</v>
      </c>
      <c r="AV586" s="1525">
        <v>5065</v>
      </c>
      <c r="AW586" s="1526" t="s">
        <v>3797</v>
      </c>
      <c r="AX586" s="1525">
        <v>0</v>
      </c>
      <c r="AY586" s="1518">
        <v>45008</v>
      </c>
      <c r="AZ586" s="333"/>
      <c r="BA586" s="1031" t="s">
        <v>4350</v>
      </c>
      <c r="BB586" s="644" t="s">
        <v>4351</v>
      </c>
      <c r="BC586" s="544" t="s">
        <v>116</v>
      </c>
      <c r="BD586" s="544" t="s">
        <v>709</v>
      </c>
      <c r="BE586" s="544" t="s">
        <v>709</v>
      </c>
      <c r="BF586" s="544" t="s">
        <v>807</v>
      </c>
      <c r="BG586" s="544" t="s">
        <v>709</v>
      </c>
      <c r="BH586" s="741"/>
      <c r="BI586" s="547" t="s">
        <v>709</v>
      </c>
      <c r="BJ586" s="547" t="s">
        <v>116</v>
      </c>
      <c r="BK586" s="547" t="s">
        <v>709</v>
      </c>
      <c r="BL586" s="547" t="s">
        <v>116</v>
      </c>
      <c r="BM586" s="547" t="s">
        <v>709</v>
      </c>
      <c r="BN586" s="547" t="s">
        <v>709</v>
      </c>
      <c r="BO586" s="547" t="s">
        <v>709</v>
      </c>
      <c r="BP586" s="547" t="s">
        <v>709</v>
      </c>
      <c r="BQ586" s="547" t="s">
        <v>709</v>
      </c>
      <c r="BR586" s="547" t="s">
        <v>709</v>
      </c>
      <c r="BS586" s="547">
        <v>305</v>
      </c>
      <c r="BT586" s="547" t="s">
        <v>745</v>
      </c>
      <c r="BU586" s="547">
        <v>1</v>
      </c>
      <c r="BV586" s="547" t="s">
        <v>745</v>
      </c>
      <c r="BW586" s="547" t="s">
        <v>709</v>
      </c>
      <c r="BX586" s="547">
        <v>1</v>
      </c>
      <c r="BY586" s="547" t="s">
        <v>745</v>
      </c>
      <c r="BZ586" s="547" t="s">
        <v>709</v>
      </c>
      <c r="CA586" s="483" t="s">
        <v>769</v>
      </c>
      <c r="CB586" s="547">
        <v>585</v>
      </c>
      <c r="CC586" s="1481" t="b">
        <v>1</v>
      </c>
      <c r="CD586" t="str">
        <f>Table15[[#This Row],[Engineering Number]]&amp;Table15[[#This Row],[WO Number]]&amp;Table15[[#This Row],[Date Assigned to Designer]]&amp;Table15[[#This Row],[Date Completed]]</f>
        <v>RS99310109704458244673</v>
      </c>
    </row>
    <row r="587" spans="1:82" customFormat="1" ht="15" customHeight="1" x14ac:dyDescent="0.25">
      <c r="A587">
        <v>2021</v>
      </c>
      <c r="B587" s="8" t="s">
        <v>1073</v>
      </c>
      <c r="C587" s="8" t="s">
        <v>4342</v>
      </c>
      <c r="D587" s="8" t="s">
        <v>4343</v>
      </c>
      <c r="E587" s="8" t="s">
        <v>4274</v>
      </c>
      <c r="F587" s="8" t="s">
        <v>738</v>
      </c>
      <c r="G587" s="8" t="s">
        <v>34</v>
      </c>
      <c r="H587" s="8" t="s">
        <v>59</v>
      </c>
      <c r="I587" s="642">
        <v>44545</v>
      </c>
      <c r="J587" s="18">
        <v>44673</v>
      </c>
      <c r="K587" s="97">
        <v>44673</v>
      </c>
      <c r="L587" s="16">
        <f>IF(ISTEXT(Table15[[#This Row],[Engineering Approved Design Date]]),Table15[[#This Row],[Date Completed]]-Table15[[#This Row],[Date Assigned to Designer]],Table15[[#This Row],[Engineering Approved Design Date]]-Table15[[#This Row],[Date Completed]])</f>
        <v>0</v>
      </c>
      <c r="M587" s="642"/>
      <c r="N587" s="642" t="s">
        <v>120</v>
      </c>
      <c r="O587" s="1025">
        <f>Table15[[#This Row],[Date Completed]]</f>
        <v>44673</v>
      </c>
      <c r="P587" s="21" t="s">
        <v>739</v>
      </c>
      <c r="Q587" s="340">
        <f>R587*AA587</f>
        <v>60825.429700000008</v>
      </c>
      <c r="R587" s="1026">
        <v>7.0000000000000007E-2</v>
      </c>
      <c r="S587" s="538" t="s">
        <v>709</v>
      </c>
      <c r="T587" s="538" t="s">
        <v>709</v>
      </c>
      <c r="U587" s="87" t="s">
        <v>709</v>
      </c>
      <c r="V587" s="857">
        <v>3982</v>
      </c>
      <c r="W587" s="440"/>
      <c r="X587" s="551">
        <v>824198.16</v>
      </c>
      <c r="Y587" s="551"/>
      <c r="Z587" s="551">
        <v>44736.55</v>
      </c>
      <c r="AA587" s="551">
        <f>Table15[[#This Row],[PCTS Investment Amount]]+Table15[[#This Row],[PCTS Retirement Amount]]</f>
        <v>868934.71000000008</v>
      </c>
      <c r="AB587" s="341"/>
      <c r="AC587" s="568" t="s">
        <v>116</v>
      </c>
      <c r="AD587" s="1157" t="s">
        <v>116</v>
      </c>
      <c r="AE587" s="568"/>
      <c r="AF587" s="568"/>
      <c r="AG587" s="568"/>
      <c r="AH587" s="183"/>
      <c r="AI587" s="1036"/>
      <c r="AJ587" s="1037"/>
      <c r="AK587" s="1037"/>
      <c r="AL587" s="1038"/>
      <c r="AM587" s="1522" t="s">
        <v>116</v>
      </c>
      <c r="AN587" s="1523">
        <v>44725</v>
      </c>
      <c r="AO587" s="1524">
        <v>11039503</v>
      </c>
      <c r="AP587" s="1525">
        <v>813870.76</v>
      </c>
      <c r="AQ587" s="1525"/>
      <c r="AR587" s="1525">
        <v>44759.28</v>
      </c>
      <c r="AS587" s="1525">
        <f>IF(Table15[[#This Row],[PCTS Approved]]="N",0,Table15[[#This Row],[Investment Amount (1'#'#'#'#'#)]]+Table15[[#This Row],[Retirement Amount (3'#'#'#'#'#)]])</f>
        <v>858630.04</v>
      </c>
      <c r="AT587" s="1525">
        <f>IF(Table15[[#This Row],[Approved Construction Cost]]=0,0,Table15[[#This Row],[Approved Construction Cost]]-Table15[[#This Row],[Construction Cost to Bill From]])</f>
        <v>-10304.670000000042</v>
      </c>
      <c r="AU587" s="1525">
        <f>IFERROR(Table15[[#This Row],[Difference in Construction Cost]]*Table15[[#This Row],[Rate]],Table15[[#This Row],[Difference in Construction Cost]]*0.085)</f>
        <v>-721.32690000000298</v>
      </c>
      <c r="AV587" s="1525" t="s">
        <v>709</v>
      </c>
      <c r="AW587" s="1526"/>
      <c r="AX587" s="1525">
        <f>Table15[[#This Row],[Reconcile Amount]]</f>
        <v>-721.32690000000298</v>
      </c>
      <c r="AY587" s="1518">
        <v>45008</v>
      </c>
      <c r="AZ587" s="333"/>
      <c r="BA587" s="1031" t="s">
        <v>4344</v>
      </c>
      <c r="BB587" s="644" t="s">
        <v>4345</v>
      </c>
      <c r="BC587" s="544" t="s">
        <v>116</v>
      </c>
      <c r="BD587" s="544" t="s">
        <v>709</v>
      </c>
      <c r="BE587" s="544" t="s">
        <v>709</v>
      </c>
      <c r="BF587" s="544" t="s">
        <v>2965</v>
      </c>
      <c r="BG587" s="544" t="s">
        <v>4275</v>
      </c>
      <c r="BH587" s="741"/>
      <c r="BI587" s="547" t="s">
        <v>709</v>
      </c>
      <c r="BJ587" s="547" t="s">
        <v>709</v>
      </c>
      <c r="BK587" s="547" t="s">
        <v>116</v>
      </c>
      <c r="BL587" s="547" t="s">
        <v>709</v>
      </c>
      <c r="BM587" s="547" t="s">
        <v>709</v>
      </c>
      <c r="BN587" s="547" t="s">
        <v>709</v>
      </c>
      <c r="BO587" s="547" t="s">
        <v>709</v>
      </c>
      <c r="BP587" s="547">
        <v>3865</v>
      </c>
      <c r="BQ587" s="547" t="s">
        <v>709</v>
      </c>
      <c r="BR587" s="547" t="s">
        <v>709</v>
      </c>
      <c r="BS587" s="547">
        <v>117</v>
      </c>
      <c r="BT587" s="547" t="s">
        <v>745</v>
      </c>
      <c r="BU587" s="547" t="s">
        <v>709</v>
      </c>
      <c r="BV587" s="547" t="s">
        <v>745</v>
      </c>
      <c r="BW587" s="547" t="s">
        <v>709</v>
      </c>
      <c r="BX587" s="547" t="s">
        <v>709</v>
      </c>
      <c r="BY587" s="547" t="s">
        <v>745</v>
      </c>
      <c r="BZ587" s="547" t="s">
        <v>709</v>
      </c>
      <c r="CA587" s="483"/>
      <c r="CB587" s="547">
        <v>583</v>
      </c>
      <c r="CC587" s="1481" t="b">
        <v>1</v>
      </c>
      <c r="CD587" t="str">
        <f>Table15[[#This Row],[Engineering Number]]&amp;Table15[[#This Row],[WO Number]]&amp;Table15[[#This Row],[Date Assigned to Designer]]&amp;Table15[[#This Row],[Date Completed]]</f>
        <v>NBA10001378 16108474454544673</v>
      </c>
    </row>
    <row r="588" spans="1:82" customFormat="1" ht="15" customHeight="1" x14ac:dyDescent="0.25">
      <c r="A588">
        <v>2022</v>
      </c>
      <c r="B588" s="8" t="s">
        <v>4</v>
      </c>
      <c r="C588" s="8" t="s">
        <v>4211</v>
      </c>
      <c r="D588" s="8">
        <v>1210761</v>
      </c>
      <c r="E588" s="8" t="s">
        <v>4213</v>
      </c>
      <c r="F588" s="8" t="s">
        <v>738</v>
      </c>
      <c r="G588" s="8" t="s">
        <v>23</v>
      </c>
      <c r="H588" s="8" t="s">
        <v>4189</v>
      </c>
      <c r="I588" s="642">
        <v>44671</v>
      </c>
      <c r="J588" s="18" t="s">
        <v>2052</v>
      </c>
      <c r="K588" s="97">
        <v>44677</v>
      </c>
      <c r="L588" s="16">
        <f>IF(ISTEXT(Table15[[#This Row],[Engineering Approved Design Date]]),Table15[[#This Row],[Date Completed]]-Table15[[#This Row],[Date Assigned to Designer]],Table15[[#This Row],[Engineering Approved Design Date]]-Table15[[#This Row],[Date Completed]])</f>
        <v>6</v>
      </c>
      <c r="M588" t="s">
        <v>3058</v>
      </c>
      <c r="N588" s="642" t="s">
        <v>120</v>
      </c>
      <c r="O588" s="1025">
        <v>44682</v>
      </c>
      <c r="P588" s="21" t="s">
        <v>739</v>
      </c>
      <c r="Q588" s="340">
        <f>Table15[[#This Row],[KH Hourly Effort]]</f>
        <v>2400</v>
      </c>
      <c r="R588" s="1026" t="s">
        <v>1922</v>
      </c>
      <c r="S588" s="538" t="s">
        <v>709</v>
      </c>
      <c r="T588" s="538" t="s">
        <v>709</v>
      </c>
      <c r="U588" s="87">
        <v>2400</v>
      </c>
      <c r="V588" s="858"/>
      <c r="W588" s="437"/>
      <c r="X588" s="538"/>
      <c r="Y588" s="551"/>
      <c r="Z588" s="538"/>
      <c r="AA588" s="538"/>
      <c r="AB588" s="21"/>
      <c r="AC588" s="569"/>
      <c r="AD588" s="1149" t="s">
        <v>709</v>
      </c>
      <c r="AE588" s="580"/>
      <c r="AF588" s="580"/>
      <c r="AG588" s="580"/>
      <c r="AH588" s="542"/>
      <c r="AI588" s="1028"/>
      <c r="AJ588" s="1029"/>
      <c r="AK588" s="1029"/>
      <c r="AL588" s="1030"/>
      <c r="AM588" s="542" t="s">
        <v>709</v>
      </c>
      <c r="AN588" s="924"/>
      <c r="AO588" s="925"/>
      <c r="AP588" s="926"/>
      <c r="AQ588" s="926"/>
      <c r="AR588" s="926"/>
      <c r="AS588" s="926"/>
      <c r="AT588" s="926"/>
      <c r="AU588" s="926"/>
      <c r="AV588" s="926"/>
      <c r="AW588" s="927"/>
      <c r="AX588" s="926"/>
      <c r="AY588" s="1538" t="s">
        <v>29</v>
      </c>
      <c r="AZ588" s="1530"/>
      <c r="BA588" s="1031">
        <v>4</v>
      </c>
      <c r="BB588" s="644"/>
      <c r="BC588" s="544"/>
      <c r="BD588" s="544"/>
      <c r="BE588" s="544"/>
      <c r="BF588" s="544"/>
      <c r="BG588" s="544"/>
      <c r="BH588" s="741"/>
      <c r="BI588" s="547" t="s">
        <v>709</v>
      </c>
      <c r="BJ588" s="547" t="s">
        <v>709</v>
      </c>
      <c r="BK588" s="547" t="s">
        <v>709</v>
      </c>
      <c r="BL588" s="547" t="s">
        <v>116</v>
      </c>
      <c r="BM588" s="547" t="s">
        <v>709</v>
      </c>
      <c r="BN588" s="547" t="s">
        <v>709</v>
      </c>
      <c r="BO588" s="547" t="s">
        <v>709</v>
      </c>
      <c r="BP588" s="547" t="s">
        <v>709</v>
      </c>
      <c r="BQ588" s="547" t="s">
        <v>709</v>
      </c>
      <c r="BR588" s="547">
        <v>748</v>
      </c>
      <c r="BS588" s="547" t="s">
        <v>709</v>
      </c>
      <c r="BT588" s="547" t="s">
        <v>745</v>
      </c>
      <c r="BU588" s="547" t="s">
        <v>709</v>
      </c>
      <c r="BV588" s="547" t="s">
        <v>745</v>
      </c>
      <c r="BW588" s="547" t="s">
        <v>709</v>
      </c>
      <c r="BX588" s="547" t="s">
        <v>745</v>
      </c>
      <c r="BY588" s="547" t="s">
        <v>745</v>
      </c>
      <c r="BZ588" s="547" t="s">
        <v>709</v>
      </c>
      <c r="CA588" s="483"/>
      <c r="CB588" s="547">
        <v>586</v>
      </c>
      <c r="CC588" s="1481" t="b">
        <v>1</v>
      </c>
      <c r="CD588" t="str">
        <f>Table15[[#This Row],[Engineering Number]]&amp;Table15[[#This Row],[WO Number]]&amp;Table15[[#This Row],[Date Assigned to Designer]]&amp;Table15[[#This Row],[Date Completed]]</f>
        <v>M1288912107614467144677</v>
      </c>
    </row>
    <row r="589" spans="1:82" customFormat="1" ht="15" customHeight="1" x14ac:dyDescent="0.25">
      <c r="A589">
        <v>2022</v>
      </c>
      <c r="B589" s="8" t="s">
        <v>769</v>
      </c>
      <c r="C589" s="8" t="s">
        <v>1323</v>
      </c>
      <c r="D589" s="8" t="s">
        <v>1324</v>
      </c>
      <c r="E589" s="8" t="s">
        <v>1325</v>
      </c>
      <c r="F589" s="8" t="s">
        <v>752</v>
      </c>
      <c r="G589" s="8" t="s">
        <v>34</v>
      </c>
      <c r="H589" s="8" t="s">
        <v>4354</v>
      </c>
      <c r="I589" s="642">
        <v>44603</v>
      </c>
      <c r="J589" s="175">
        <v>44771</v>
      </c>
      <c r="K589" s="97">
        <v>44677</v>
      </c>
      <c r="L589" s="16">
        <f>IF(ISTEXT(Table15[[#This Row],[Engineering Approved Design Date]]),Table15[[#This Row],[Date Completed]]-Table15[[#This Row],[Date Assigned to Designer]],Table15[[#This Row],[Engineering Approved Design Date]]-Table15[[#This Row],[Date Completed]])</f>
        <v>94</v>
      </c>
      <c r="N589" s="642" t="s">
        <v>120</v>
      </c>
      <c r="O589" s="1025">
        <v>44757</v>
      </c>
      <c r="P589" s="21" t="s">
        <v>739</v>
      </c>
      <c r="Q589" s="1151">
        <f>Table15[[#This Row],[KH Hourly Effort]]</f>
        <v>20455</v>
      </c>
      <c r="R589" s="1026" t="s">
        <v>1922</v>
      </c>
      <c r="S589" s="538" t="s">
        <v>709</v>
      </c>
      <c r="T589" s="538" t="s">
        <v>709</v>
      </c>
      <c r="U589" s="87">
        <v>20455</v>
      </c>
      <c r="V589" s="858"/>
      <c r="W589" s="437"/>
      <c r="X589" s="538">
        <v>261984.35</v>
      </c>
      <c r="Y589" s="551"/>
      <c r="Z589" s="538">
        <v>60400.59</v>
      </c>
      <c r="AA589" s="551">
        <f>Table15[[#This Row],[PCTS Investment Amount]]+Table15[[#This Row],[PCTS Retirement Amount]]</f>
        <v>322384.94</v>
      </c>
      <c r="AB589" s="21"/>
      <c r="AC589" s="569" t="s">
        <v>1177</v>
      </c>
      <c r="AD589" s="1149" t="s">
        <v>29</v>
      </c>
      <c r="AE589" s="580"/>
      <c r="AF589" s="580"/>
      <c r="AG589" s="580"/>
      <c r="AH589" s="542"/>
      <c r="AI589" s="1028"/>
      <c r="AJ589" s="1029"/>
      <c r="AK589" s="1029"/>
      <c r="AL589" s="1030"/>
      <c r="AM589" s="542" t="s">
        <v>709</v>
      </c>
      <c r="AN589" s="924"/>
      <c r="AO589" s="925"/>
      <c r="AP589" s="926"/>
      <c r="AQ589" s="926"/>
      <c r="AR589" s="926"/>
      <c r="AS589" s="926"/>
      <c r="AT589" s="926"/>
      <c r="AU589" s="926"/>
      <c r="AV589" s="926"/>
      <c r="AW589" s="927"/>
      <c r="AX589" s="926"/>
      <c r="AY589" s="1538" t="s">
        <v>29</v>
      </c>
      <c r="AZ589" s="1530"/>
      <c r="BA589" s="1031" t="s">
        <v>1326</v>
      </c>
      <c r="BB589" s="644" t="s">
        <v>1327</v>
      </c>
      <c r="BC589" s="544" t="s">
        <v>709</v>
      </c>
      <c r="BD589" s="544" t="s">
        <v>1328</v>
      </c>
      <c r="BE589" s="544" t="s">
        <v>1328</v>
      </c>
      <c r="BF589" s="544" t="s">
        <v>1329</v>
      </c>
      <c r="BG589" s="544" t="s">
        <v>709</v>
      </c>
      <c r="BH589" s="741"/>
      <c r="BI589" s="547" t="s">
        <v>709</v>
      </c>
      <c r="BJ589" s="547" t="s">
        <v>116</v>
      </c>
      <c r="BK589" s="547" t="s">
        <v>709</v>
      </c>
      <c r="BL589" s="547" t="s">
        <v>116</v>
      </c>
      <c r="BM589" s="547" t="s">
        <v>709</v>
      </c>
      <c r="BN589" s="547" t="s">
        <v>709</v>
      </c>
      <c r="BO589" s="547" t="s">
        <v>709</v>
      </c>
      <c r="BP589" s="547" t="s">
        <v>709</v>
      </c>
      <c r="BQ589" s="547" t="s">
        <v>709</v>
      </c>
      <c r="BR589" s="547" t="s">
        <v>116</v>
      </c>
      <c r="BS589" s="547" t="s">
        <v>116</v>
      </c>
      <c r="BT589" s="547">
        <v>1</v>
      </c>
      <c r="BU589" s="547" t="s">
        <v>709</v>
      </c>
      <c r="BV589" s="547" t="s">
        <v>745</v>
      </c>
      <c r="BW589" s="547" t="s">
        <v>709</v>
      </c>
      <c r="BX589" s="547">
        <v>1</v>
      </c>
      <c r="BY589" s="547" t="s">
        <v>745</v>
      </c>
      <c r="BZ589" s="547" t="s">
        <v>709</v>
      </c>
      <c r="CA589" s="483" t="s">
        <v>769</v>
      </c>
      <c r="CB589" s="547">
        <v>587</v>
      </c>
      <c r="CC589" s="1481" t="b">
        <v>1</v>
      </c>
      <c r="CD589" t="str">
        <f>Table15[[#This Row],[Engineering Number]]&amp;Table15[[#This Row],[WO Number]]&amp;Table15[[#This Row],[Date Assigned to Designer]]&amp;Table15[[#This Row],[Date Completed]]</f>
        <v>RS97210110714460344677</v>
      </c>
    </row>
    <row r="590" spans="1:82" customFormat="1" ht="15" customHeight="1" x14ac:dyDescent="0.25">
      <c r="A590">
        <v>2022</v>
      </c>
      <c r="B590" s="8" t="s">
        <v>731</v>
      </c>
      <c r="C590" s="8" t="s">
        <v>4360</v>
      </c>
      <c r="D590" s="8" t="s">
        <v>4361</v>
      </c>
      <c r="E590" s="8" t="s">
        <v>361</v>
      </c>
      <c r="F590" s="8" t="s">
        <v>752</v>
      </c>
      <c r="G590" s="8" t="s">
        <v>23</v>
      </c>
      <c r="H590" s="8" t="s">
        <v>59</v>
      </c>
      <c r="I590" s="642">
        <v>44596</v>
      </c>
      <c r="J590" s="18">
        <v>44712</v>
      </c>
      <c r="K590" s="97">
        <v>44679</v>
      </c>
      <c r="L590" s="16">
        <f>IF(ISTEXT(Table15[[#This Row],[Engineering Approved Design Date]]),Table15[[#This Row],[Date Completed]]-Table15[[#This Row],[Date Assigned to Designer]],Table15[[#This Row],[Engineering Approved Design Date]]-Table15[[#This Row],[Date Completed]])</f>
        <v>33</v>
      </c>
      <c r="M590" s="642"/>
      <c r="N590" s="642" t="s">
        <v>120</v>
      </c>
      <c r="O590" s="1025">
        <v>44682</v>
      </c>
      <c r="P590" s="21" t="s">
        <v>739</v>
      </c>
      <c r="Q590" s="340">
        <f>R590*AA590</f>
        <v>8304.1001999999989</v>
      </c>
      <c r="R590" s="1026">
        <v>0.09</v>
      </c>
      <c r="S590" s="538" t="s">
        <v>709</v>
      </c>
      <c r="T590" s="538" t="s">
        <v>709</v>
      </c>
      <c r="U590" s="87" t="s">
        <v>709</v>
      </c>
      <c r="V590" s="857">
        <v>268</v>
      </c>
      <c r="W590" s="440"/>
      <c r="X590" s="550"/>
      <c r="Y590" s="551"/>
      <c r="Z590" s="551">
        <v>92267.78</v>
      </c>
      <c r="AA590" s="551">
        <f>Table15[[#This Row],[PCTS Investment Amount]]+Table15[[#This Row],[PCTS Retirement Amount]]</f>
        <v>92267.78</v>
      </c>
      <c r="AB590" s="341"/>
      <c r="AC590" s="568" t="s">
        <v>709</v>
      </c>
      <c r="AD590" s="1157"/>
      <c r="AE590" s="579"/>
      <c r="AF590" s="579"/>
      <c r="AG590" s="579"/>
      <c r="AH590" s="553"/>
      <c r="AI590" s="1036"/>
      <c r="AJ590" s="1037"/>
      <c r="AK590" s="1037"/>
      <c r="AL590" s="1038"/>
      <c r="AM590" s="1522" t="s">
        <v>116</v>
      </c>
      <c r="AN590" s="1523">
        <v>44691</v>
      </c>
      <c r="AO590" s="1524">
        <v>11041957</v>
      </c>
      <c r="AP590" s="1525">
        <v>0</v>
      </c>
      <c r="AQ590" s="1525"/>
      <c r="AR590" s="1525">
        <v>92857.55</v>
      </c>
      <c r="AS590" s="1525">
        <f>IF(Table15[[#This Row],[PCTS Approved]]="N",0,Table15[[#This Row],[Investment Amount (1'#'#'#'#'#)]]+Table15[[#This Row],[Retirement Amount (3'#'#'#'#'#)]])</f>
        <v>92857.55</v>
      </c>
      <c r="AT590" s="1525">
        <f>IF(Table15[[#This Row],[Approved Construction Cost]]=0,0,Table15[[#This Row],[Approved Construction Cost]]-Table15[[#This Row],[Construction Cost to Bill From]])</f>
        <v>589.77000000000407</v>
      </c>
      <c r="AU590" s="1525">
        <f>IFERROR(Table15[[#This Row],[Difference in Construction Cost]]*Table15[[#This Row],[Rate]],Table15[[#This Row],[Difference in Construction Cost]]*0.085)</f>
        <v>53.079300000000366</v>
      </c>
      <c r="AV590" s="1525" t="s">
        <v>709</v>
      </c>
      <c r="AW590" s="1526"/>
      <c r="AX590" s="1525">
        <f>Table15[[#This Row],[Reconcile Amount]]</f>
        <v>53.079300000000366</v>
      </c>
      <c r="AY590" s="1518">
        <v>45008</v>
      </c>
      <c r="AZ590" s="333"/>
      <c r="BA590" s="1031" t="s">
        <v>4362</v>
      </c>
      <c r="BB590" s="644" t="s">
        <v>4363</v>
      </c>
      <c r="BC590" s="544" t="s">
        <v>116</v>
      </c>
      <c r="BD590" s="544" t="s">
        <v>709</v>
      </c>
      <c r="BE590" s="544" t="s">
        <v>1415</v>
      </c>
      <c r="BF590" s="544" t="s">
        <v>709</v>
      </c>
      <c r="BG590" s="544" t="s">
        <v>709</v>
      </c>
      <c r="BH590" s="741"/>
      <c r="BI590" s="547" t="s">
        <v>709</v>
      </c>
      <c r="BJ590" s="547" t="s">
        <v>709</v>
      </c>
      <c r="BK590" s="547" t="s">
        <v>709</v>
      </c>
      <c r="BL590" s="547" t="s">
        <v>709</v>
      </c>
      <c r="BM590" s="547" t="s">
        <v>709</v>
      </c>
      <c r="BN590" s="547" t="s">
        <v>709</v>
      </c>
      <c r="BO590" s="547" t="s">
        <v>709</v>
      </c>
      <c r="BP590" s="547" t="s">
        <v>709</v>
      </c>
      <c r="BQ590" s="547" t="s">
        <v>709</v>
      </c>
      <c r="BR590" s="547" t="s">
        <v>709</v>
      </c>
      <c r="BS590" s="547" t="s">
        <v>709</v>
      </c>
      <c r="BT590" s="547" t="s">
        <v>745</v>
      </c>
      <c r="BU590" s="547" t="s">
        <v>709</v>
      </c>
      <c r="BV590" s="547">
        <v>2</v>
      </c>
      <c r="BW590" s="547" t="s">
        <v>709</v>
      </c>
      <c r="BX590" s="547" t="s">
        <v>745</v>
      </c>
      <c r="BY590" s="547" t="s">
        <v>745</v>
      </c>
      <c r="BZ590" s="547" t="s">
        <v>709</v>
      </c>
      <c r="CA590" s="483" t="s">
        <v>1146</v>
      </c>
      <c r="CB590" s="547">
        <v>588</v>
      </c>
      <c r="CC590" s="1481" t="b">
        <v>1</v>
      </c>
      <c r="CD590" t="str">
        <f>Table15[[#This Row],[Engineering Number]]&amp;Table15[[#This Row],[WO Number]]&amp;Table15[[#This Row],[Date Assigned to Designer]]&amp;Table15[[#This Row],[Date Completed]]</f>
        <v>MR187232110394459644679</v>
      </c>
    </row>
    <row r="591" spans="1:82" customFormat="1" ht="15" customHeight="1" x14ac:dyDescent="0.25">
      <c r="A591">
        <v>2022</v>
      </c>
      <c r="B591" s="8" t="s">
        <v>4</v>
      </c>
      <c r="C591" s="8" t="s">
        <v>213</v>
      </c>
      <c r="D591" s="8" t="s">
        <v>3724</v>
      </c>
      <c r="E591" s="8" t="s">
        <v>141</v>
      </c>
      <c r="F591" s="8" t="s">
        <v>919</v>
      </c>
      <c r="G591" s="8" t="s">
        <v>25</v>
      </c>
      <c r="H591" s="8" t="s">
        <v>4001</v>
      </c>
      <c r="I591" s="642">
        <v>44676</v>
      </c>
      <c r="J591" s="18" t="s">
        <v>2052</v>
      </c>
      <c r="K591" s="97">
        <v>44679</v>
      </c>
      <c r="L591" s="16">
        <f>IF(ISTEXT(Table15[[#This Row],[Engineering Approved Design Date]]),Table15[[#This Row],[Date Completed]]-Table15[[#This Row],[Date Assigned to Designer]],Table15[[#This Row],[Engineering Approved Design Date]]-Table15[[#This Row],[Date Completed]])</f>
        <v>3</v>
      </c>
      <c r="M591" t="s">
        <v>4356</v>
      </c>
      <c r="N591" s="642" t="s">
        <v>120</v>
      </c>
      <c r="O591" s="1025">
        <v>44682</v>
      </c>
      <c r="P591" s="21" t="s">
        <v>739</v>
      </c>
      <c r="Q591" s="1151">
        <f>Table15[[#This Row],[KH Hourly Effort]]</f>
        <v>1960</v>
      </c>
      <c r="R591" s="1026" t="s">
        <v>1922</v>
      </c>
      <c r="S591" s="538" t="s">
        <v>709</v>
      </c>
      <c r="T591" s="538" t="s">
        <v>709</v>
      </c>
      <c r="U591" s="87">
        <v>1960</v>
      </c>
      <c r="V591" s="858"/>
      <c r="W591" s="437"/>
      <c r="X591" s="538"/>
      <c r="Y591" s="551"/>
      <c r="Z591" s="538"/>
      <c r="AA591" s="538"/>
      <c r="AB591" s="21"/>
      <c r="AC591" s="569"/>
      <c r="AD591" s="1149" t="s">
        <v>709</v>
      </c>
      <c r="AE591" s="580"/>
      <c r="AF591" s="580"/>
      <c r="AG591" s="580"/>
      <c r="AH591" s="542"/>
      <c r="AI591" s="1028"/>
      <c r="AJ591" s="1029"/>
      <c r="AK591" s="1029"/>
      <c r="AL591" s="1030"/>
      <c r="AM591" s="542" t="s">
        <v>709</v>
      </c>
      <c r="AN591" s="924"/>
      <c r="AO591" s="925"/>
      <c r="AP591" s="926"/>
      <c r="AQ591" s="926"/>
      <c r="AR591" s="926"/>
      <c r="AS591" s="926"/>
      <c r="AT591" s="926"/>
      <c r="AU591" s="926"/>
      <c r="AV591" s="926"/>
      <c r="AW591" s="927"/>
      <c r="AX591" s="926"/>
      <c r="AY591" s="1538" t="s">
        <v>29</v>
      </c>
      <c r="AZ591" s="1530"/>
      <c r="BA591" s="1031">
        <v>1</v>
      </c>
      <c r="BB591" s="644" t="s">
        <v>4357</v>
      </c>
      <c r="BC591" s="544"/>
      <c r="BD591" s="544"/>
      <c r="BE591" s="544"/>
      <c r="BF591" s="544"/>
      <c r="BG591" s="544"/>
      <c r="BH591" s="741" t="s">
        <v>4358</v>
      </c>
      <c r="BI591" s="547" t="s">
        <v>709</v>
      </c>
      <c r="BJ591" s="547" t="s">
        <v>709</v>
      </c>
      <c r="BK591" s="547" t="s">
        <v>709</v>
      </c>
      <c r="BL591" s="547" t="s">
        <v>116</v>
      </c>
      <c r="BM591" s="547" t="s">
        <v>709</v>
      </c>
      <c r="BN591" s="547" t="s">
        <v>709</v>
      </c>
      <c r="BO591" s="547" t="s">
        <v>709</v>
      </c>
      <c r="BP591" s="547">
        <v>2695</v>
      </c>
      <c r="BQ591" s="547">
        <v>173</v>
      </c>
      <c r="BR591" s="547">
        <v>12</v>
      </c>
      <c r="BS591" s="547">
        <v>911</v>
      </c>
      <c r="BT591" s="547" t="s">
        <v>745</v>
      </c>
      <c r="BU591" s="547" t="s">
        <v>709</v>
      </c>
      <c r="BV591" s="547" t="s">
        <v>745</v>
      </c>
      <c r="BW591" s="547" t="s">
        <v>709</v>
      </c>
      <c r="BX591" s="547" t="s">
        <v>745</v>
      </c>
      <c r="BY591" s="547" t="s">
        <v>745</v>
      </c>
      <c r="BZ591" s="547" t="s">
        <v>709</v>
      </c>
      <c r="CA591" s="483"/>
      <c r="CB591" s="547">
        <v>589</v>
      </c>
      <c r="CC591" s="1481" t="b">
        <v>1</v>
      </c>
      <c r="CD591" t="str">
        <f>Table15[[#This Row],[Engineering Number]]&amp;Table15[[#This Row],[WO Number]]&amp;Table15[[#This Row],[Date Assigned to Designer]]&amp;Table15[[#This Row],[Date Completed]]</f>
        <v>SC170611408624467644679</v>
      </c>
    </row>
    <row r="592" spans="1:82" customFormat="1" ht="15" customHeight="1" x14ac:dyDescent="0.25">
      <c r="A592">
        <v>2022</v>
      </c>
      <c r="B592" s="8" t="s">
        <v>730</v>
      </c>
      <c r="C592" s="8" t="s">
        <v>808</v>
      </c>
      <c r="D592" s="8" t="s">
        <v>809</v>
      </c>
      <c r="E592" s="8" t="s">
        <v>810</v>
      </c>
      <c r="F592" s="8" t="s">
        <v>747</v>
      </c>
      <c r="G592" s="8" t="s">
        <v>34</v>
      </c>
      <c r="H592" s="8" t="s">
        <v>59</v>
      </c>
      <c r="I592" s="642">
        <v>44350</v>
      </c>
      <c r="J592" s="18">
        <v>44680</v>
      </c>
      <c r="K592" s="97">
        <v>44680</v>
      </c>
      <c r="L592" s="16">
        <f>IF(ISTEXT(Table15[[#This Row],[Engineering Approved Design Date]]),Table15[[#This Row],[Date Completed]]-Table15[[#This Row],[Date Assigned to Designer]],Table15[[#This Row],[Engineering Approved Design Date]]-Table15[[#This Row],[Date Completed]])</f>
        <v>0</v>
      </c>
      <c r="M592" s="642"/>
      <c r="N592" s="642" t="s">
        <v>120</v>
      </c>
      <c r="O592" s="1025">
        <v>44682</v>
      </c>
      <c r="P592" s="21" t="s">
        <v>120</v>
      </c>
      <c r="Q592" s="1061">
        <f>(Table15[[#This Row],[Construction Cost to Bill From]]*0.085)+5250</f>
        <v>19954.719499999999</v>
      </c>
      <c r="R592" s="1026" t="s">
        <v>794</v>
      </c>
      <c r="S592" s="538" t="s">
        <v>709</v>
      </c>
      <c r="T592" s="538" t="s">
        <v>709</v>
      </c>
      <c r="U592" s="87" t="s">
        <v>709</v>
      </c>
      <c r="V592" s="857">
        <v>114</v>
      </c>
      <c r="W592" s="440"/>
      <c r="X592" s="551">
        <v>131865.51999999999</v>
      </c>
      <c r="Y592" s="551"/>
      <c r="Z592" s="551">
        <v>41131.18</v>
      </c>
      <c r="AA592" s="551">
        <f>Table15[[#This Row],[PCTS Investment Amount]]+Table15[[#This Row],[PCTS Retirement Amount]]</f>
        <v>172996.69999999998</v>
      </c>
      <c r="AB592" s="341"/>
      <c r="AC592" s="568" t="s">
        <v>811</v>
      </c>
      <c r="AD592" s="1157" t="s">
        <v>29</v>
      </c>
      <c r="AE592" s="579"/>
      <c r="AF592" s="579"/>
      <c r="AG592" s="579"/>
      <c r="AH592" s="553"/>
      <c r="AI592" s="1036"/>
      <c r="AJ592" s="1037"/>
      <c r="AK592" s="1037"/>
      <c r="AL592" s="1038"/>
      <c r="AM592" s="1522" t="s">
        <v>116</v>
      </c>
      <c r="AN592" s="1523">
        <v>45316</v>
      </c>
      <c r="AO592" s="1524">
        <v>11037911</v>
      </c>
      <c r="AP592" s="1525">
        <v>153723.87</v>
      </c>
      <c r="AQ592" s="1525"/>
      <c r="AR592" s="1525">
        <v>43169.120000000003</v>
      </c>
      <c r="AS592" s="1525">
        <v>196892.99</v>
      </c>
      <c r="AT592" s="1525">
        <v>23896.290000000008</v>
      </c>
      <c r="AU592" s="1525">
        <v>2031.1846500000008</v>
      </c>
      <c r="AV592" s="1525" t="s">
        <v>29</v>
      </c>
      <c r="AW592" s="1526" t="s">
        <v>4365</v>
      </c>
      <c r="AX592" s="1525">
        <v>2031.18</v>
      </c>
      <c r="AY592" s="1518">
        <v>45566</v>
      </c>
      <c r="AZ592" s="333">
        <v>167</v>
      </c>
      <c r="BA592" s="859" t="s">
        <v>813</v>
      </c>
      <c r="BB592" s="644" t="s">
        <v>814</v>
      </c>
      <c r="BC592" s="544" t="s">
        <v>709</v>
      </c>
      <c r="BD592" s="544" t="s">
        <v>815</v>
      </c>
      <c r="BE592" s="544" t="s">
        <v>709</v>
      </c>
      <c r="BF592" s="544" t="s">
        <v>709</v>
      </c>
      <c r="BG592" s="544" t="s">
        <v>709</v>
      </c>
      <c r="BH592" s="741"/>
      <c r="BI592" s="547" t="s">
        <v>709</v>
      </c>
      <c r="BJ592" s="547" t="s">
        <v>116</v>
      </c>
      <c r="BK592" s="547" t="s">
        <v>709</v>
      </c>
      <c r="BL592" s="547" t="s">
        <v>116</v>
      </c>
      <c r="BM592" s="547" t="s">
        <v>709</v>
      </c>
      <c r="BN592" s="547" t="s">
        <v>709</v>
      </c>
      <c r="BO592" s="547" t="s">
        <v>709</v>
      </c>
      <c r="BP592" s="547" t="s">
        <v>709</v>
      </c>
      <c r="BQ592" s="547" t="s">
        <v>709</v>
      </c>
      <c r="BR592" s="547">
        <v>26</v>
      </c>
      <c r="BS592" s="547">
        <v>87</v>
      </c>
      <c r="BT592" s="547" t="s">
        <v>745</v>
      </c>
      <c r="BU592" s="547">
        <v>1</v>
      </c>
      <c r="BV592" s="547" t="s">
        <v>745</v>
      </c>
      <c r="BW592" s="547" t="s">
        <v>709</v>
      </c>
      <c r="BX592" s="547">
        <v>1</v>
      </c>
      <c r="BY592" s="547" t="s">
        <v>745</v>
      </c>
      <c r="BZ592" s="547" t="s">
        <v>709</v>
      </c>
      <c r="CA592" s="483"/>
      <c r="CB592" s="547">
        <v>590</v>
      </c>
      <c r="CC592" s="1481" t="b">
        <v>1</v>
      </c>
      <c r="CD592" t="str">
        <f>Table15[[#This Row],[Engineering Number]]&amp;Table15[[#This Row],[WO Number]]&amp;Table15[[#This Row],[Date Assigned to Designer]]&amp;Table15[[#This Row],[Date Completed]]</f>
        <v>RS87110102324435044680</v>
      </c>
    </row>
    <row r="593" spans="1:82" customFormat="1" ht="15" customHeight="1" x14ac:dyDescent="0.25">
      <c r="A593">
        <v>2022</v>
      </c>
      <c r="B593" s="8" t="s">
        <v>769</v>
      </c>
      <c r="C593" s="8" t="s">
        <v>1566</v>
      </c>
      <c r="D593" s="8" t="s">
        <v>4367</v>
      </c>
      <c r="E593" s="8" t="s">
        <v>3315</v>
      </c>
      <c r="F593" s="8" t="s">
        <v>752</v>
      </c>
      <c r="G593" s="8" t="s">
        <v>23</v>
      </c>
      <c r="H593" s="8" t="s">
        <v>4354</v>
      </c>
      <c r="I593" s="642">
        <v>44582</v>
      </c>
      <c r="J593" s="17" t="s">
        <v>4354</v>
      </c>
      <c r="K593" s="97">
        <v>44680</v>
      </c>
      <c r="L593" s="16">
        <f>IF(ISTEXT(Table15[[#This Row],[Engineering Approved Design Date]]),Table15[[#This Row],[Date Completed]]-Table15[[#This Row],[Date Assigned to Designer]],Table15[[#This Row],[Engineering Approved Design Date]]-Table15[[#This Row],[Date Completed]])</f>
        <v>98</v>
      </c>
      <c r="M593" s="642" t="s">
        <v>4368</v>
      </c>
      <c r="N593" s="99" t="s">
        <v>120</v>
      </c>
      <c r="O593" s="1025">
        <v>44682</v>
      </c>
      <c r="P593" s="21" t="s">
        <v>120</v>
      </c>
      <c r="Q593" s="340">
        <f>Table15[[#This Row],[3rd Party Effort]]+Table15[[#This Row],[KH Hourly Effort]]</f>
        <v>51300.95</v>
      </c>
      <c r="R593" s="1026" t="s">
        <v>1922</v>
      </c>
      <c r="S593" s="538" t="s">
        <v>709</v>
      </c>
      <c r="T593" s="538">
        <v>3350.95</v>
      </c>
      <c r="U593" s="87">
        <v>47950</v>
      </c>
      <c r="V593" s="857"/>
      <c r="W593" s="440"/>
      <c r="X593" s="550"/>
      <c r="Y593" s="551"/>
      <c r="Z593" s="550"/>
      <c r="AA593" s="551"/>
      <c r="AB593" s="341"/>
      <c r="AC593" s="568" t="s">
        <v>1441</v>
      </c>
      <c r="AD593" s="1157"/>
      <c r="AE593" s="579"/>
      <c r="AF593" s="579"/>
      <c r="AG593" s="579"/>
      <c r="AH593" s="553"/>
      <c r="AI593" s="1036"/>
      <c r="AJ593" s="1037"/>
      <c r="AK593" s="1037"/>
      <c r="AL593" s="1038"/>
      <c r="AM593" s="542" t="s">
        <v>709</v>
      </c>
      <c r="AN593" s="924"/>
      <c r="AO593" s="925"/>
      <c r="AP593" s="926"/>
      <c r="AQ593" s="926"/>
      <c r="AR593" s="926"/>
      <c r="AS593" s="926"/>
      <c r="AT593" s="926"/>
      <c r="AU593" s="926"/>
      <c r="AV593" s="926"/>
      <c r="AW593" s="927"/>
      <c r="AX593" s="926"/>
      <c r="AY593" s="1538" t="s">
        <v>29</v>
      </c>
      <c r="AZ593" s="1530"/>
      <c r="BA593" s="1031" t="s">
        <v>4369</v>
      </c>
      <c r="BB593" s="644" t="s">
        <v>4370</v>
      </c>
      <c r="BC593" s="544"/>
      <c r="BD593" s="544"/>
      <c r="BE593" s="544"/>
      <c r="BF593" s="544"/>
      <c r="BG593" s="544"/>
      <c r="BH593" s="741"/>
      <c r="BI593" s="549" t="s">
        <v>709</v>
      </c>
      <c r="BJ593" s="549" t="s">
        <v>709</v>
      </c>
      <c r="BK593" s="549" t="s">
        <v>709</v>
      </c>
      <c r="BL593" s="549" t="s">
        <v>116</v>
      </c>
      <c r="BM593" s="549" t="s">
        <v>709</v>
      </c>
      <c r="BN593" s="549" t="s">
        <v>709</v>
      </c>
      <c r="BO593" s="549" t="s">
        <v>709</v>
      </c>
      <c r="BP593" s="549" t="s">
        <v>709</v>
      </c>
      <c r="BQ593" s="549">
        <v>3967</v>
      </c>
      <c r="BR593" s="549">
        <v>95</v>
      </c>
      <c r="BS593" s="549">
        <v>590</v>
      </c>
      <c r="BT593" s="549">
        <v>1</v>
      </c>
      <c r="BU593" s="549" t="s">
        <v>709</v>
      </c>
      <c r="BV593" s="549" t="s">
        <v>709</v>
      </c>
      <c r="BW593" s="549">
        <v>1</v>
      </c>
      <c r="BX593" s="549">
        <v>1</v>
      </c>
      <c r="BY593" s="549" t="s">
        <v>709</v>
      </c>
      <c r="BZ593" s="547" t="s">
        <v>709</v>
      </c>
      <c r="CA593" s="484" t="s">
        <v>1022</v>
      </c>
      <c r="CB593" s="547">
        <v>591</v>
      </c>
      <c r="CC593" s="1481" t="b">
        <v>1</v>
      </c>
      <c r="CD593" t="str">
        <f>Table15[[#This Row],[Engineering Number]]&amp;Table15[[#This Row],[WO Number]]&amp;Table15[[#This Row],[Date Assigned to Designer]]&amp;Table15[[#This Row],[Date Completed]]</f>
        <v>RS99110109764458244680</v>
      </c>
    </row>
    <row r="594" spans="1:82" customFormat="1" ht="15" customHeight="1" x14ac:dyDescent="0.25">
      <c r="A594">
        <v>2022</v>
      </c>
      <c r="B594" s="8" t="s">
        <v>4</v>
      </c>
      <c r="C594" s="8" t="s">
        <v>4245</v>
      </c>
      <c r="D594" s="8" t="s">
        <v>115</v>
      </c>
      <c r="E594" s="8" t="s">
        <v>4246</v>
      </c>
      <c r="F594" s="8" t="s">
        <v>738</v>
      </c>
      <c r="G594" s="8" t="s">
        <v>39</v>
      </c>
      <c r="H594" s="8" t="s">
        <v>4372</v>
      </c>
      <c r="I594" s="642">
        <v>44671</v>
      </c>
      <c r="J594" s="18" t="s">
        <v>4110</v>
      </c>
      <c r="K594" s="18">
        <v>44683</v>
      </c>
      <c r="L594" s="16">
        <f>IF(ISTEXT(Table15[[#This Row],[Engineering Approved Design Date]]),Table15[[#This Row],[Date Completed]]-Table15[[#This Row],[Date Assigned to Designer]],Table15[[#This Row],[Engineering Approved Design Date]]-Table15[[#This Row],[Date Completed]])</f>
        <v>12</v>
      </c>
      <c r="M594" s="642"/>
      <c r="N594" s="642" t="s">
        <v>120</v>
      </c>
      <c r="O594" s="1025">
        <f>Table15[[#This Row],[Date Completed]]</f>
        <v>44683</v>
      </c>
      <c r="P594" s="21" t="s">
        <v>739</v>
      </c>
      <c r="Q594" s="340" t="s">
        <v>115</v>
      </c>
      <c r="R594" s="1026" t="s">
        <v>115</v>
      </c>
      <c r="S594" s="538" t="s">
        <v>709</v>
      </c>
      <c r="T594" s="538" t="s">
        <v>709</v>
      </c>
      <c r="U594" s="87" t="s">
        <v>709</v>
      </c>
      <c r="V594" s="857"/>
      <c r="W594" s="440"/>
      <c r="X594" s="551"/>
      <c r="Y594" s="551"/>
      <c r="Z594" s="551"/>
      <c r="AA594" s="551"/>
      <c r="AB594" s="341"/>
      <c r="AC594" s="568"/>
      <c r="AD594" s="1157"/>
      <c r="AE594" s="579"/>
      <c r="AF594" s="579"/>
      <c r="AG594" s="579"/>
      <c r="AH594" s="553"/>
      <c r="AI594" s="1036"/>
      <c r="AJ594" s="1037"/>
      <c r="AK594" s="1037"/>
      <c r="AL594" s="1038"/>
      <c r="AM594" s="542" t="s">
        <v>709</v>
      </c>
      <c r="AN594" s="924"/>
      <c r="AO594" s="925"/>
      <c r="AP594" s="926"/>
      <c r="AQ594" s="926"/>
      <c r="AR594" s="926"/>
      <c r="AS594" s="926"/>
      <c r="AT594" s="926"/>
      <c r="AU594" s="926"/>
      <c r="AV594" s="926"/>
      <c r="AW594" s="927"/>
      <c r="AX594" s="926"/>
      <c r="AY594" s="1538" t="s">
        <v>29</v>
      </c>
      <c r="AZ594" s="1530"/>
      <c r="BA594" s="1031" t="s">
        <v>4247</v>
      </c>
      <c r="BB594" s="644" t="s">
        <v>4248</v>
      </c>
      <c r="BC594" s="544"/>
      <c r="BD594" s="544"/>
      <c r="BE594" s="544"/>
      <c r="BF594" s="544"/>
      <c r="BG594" s="544"/>
      <c r="BH594" s="741"/>
      <c r="BI594" s="1032"/>
      <c r="BJ594" s="1032"/>
      <c r="BK594" s="1032"/>
      <c r="BL594" s="1032"/>
      <c r="BM594" s="1032"/>
      <c r="BN594" s="1032"/>
      <c r="BO594" s="1032"/>
      <c r="BP594" s="1032"/>
      <c r="BQ594" s="1032"/>
      <c r="BR594" s="1032"/>
      <c r="BS594" s="1032"/>
      <c r="BT594" s="1032"/>
      <c r="BU594" s="1032"/>
      <c r="BV594" s="1032"/>
      <c r="BW594" s="1032"/>
      <c r="BX594" s="1032"/>
      <c r="BY594" s="1032"/>
      <c r="BZ594" s="1032"/>
      <c r="CA594" s="485"/>
      <c r="CB594" s="547">
        <v>592</v>
      </c>
      <c r="CC594" s="1481" t="b">
        <v>1</v>
      </c>
      <c r="CD594" t="str">
        <f>Table15[[#This Row],[Engineering Number]]&amp;Table15[[#This Row],[WO Number]]&amp;Table15[[#This Row],[Date Assigned to Designer]]&amp;Table15[[#This Row],[Date Completed]]</f>
        <v>N15028-4467144683</v>
      </c>
    </row>
    <row r="595" spans="1:82" customFormat="1" ht="15" customHeight="1" x14ac:dyDescent="0.25">
      <c r="A595">
        <v>2022</v>
      </c>
      <c r="B595" s="8" t="s">
        <v>771</v>
      </c>
      <c r="C595" s="8" t="s">
        <v>3984</v>
      </c>
      <c r="D595" s="8">
        <v>1210721</v>
      </c>
      <c r="E595" s="8" t="s">
        <v>342</v>
      </c>
      <c r="F595" s="8" t="s">
        <v>738</v>
      </c>
      <c r="G595" s="8" t="s">
        <v>23</v>
      </c>
      <c r="H595" s="8" t="s">
        <v>4189</v>
      </c>
      <c r="I595" s="642">
        <v>44607</v>
      </c>
      <c r="J595" s="18" t="s">
        <v>2052</v>
      </c>
      <c r="K595" s="97">
        <v>44684</v>
      </c>
      <c r="L595" s="16">
        <f>IF(ISTEXT(Table15[[#This Row],[Engineering Approved Design Date]]),Table15[[#This Row],[Date Completed]]-Table15[[#This Row],[Date Assigned to Designer]],Table15[[#This Row],[Engineering Approved Design Date]]-Table15[[#This Row],[Date Completed]])</f>
        <v>77</v>
      </c>
      <c r="M595" t="s">
        <v>4377</v>
      </c>
      <c r="N595" s="642" t="s">
        <v>120</v>
      </c>
      <c r="O595" s="1025">
        <f>Table15[[#This Row],[Date Completed]]</f>
        <v>44684</v>
      </c>
      <c r="P595" s="21" t="s">
        <v>120</v>
      </c>
      <c r="Q595" s="1151">
        <f>Table15[[#This Row],[KH Hourly Effort]]</f>
        <v>7005</v>
      </c>
      <c r="R595" s="1026" t="s">
        <v>1922</v>
      </c>
      <c r="S595" s="538" t="s">
        <v>709</v>
      </c>
      <c r="T595" s="538" t="s">
        <v>709</v>
      </c>
      <c r="U595" s="87">
        <v>7005</v>
      </c>
      <c r="V595" s="858"/>
      <c r="W595" s="437"/>
      <c r="X595" s="538"/>
      <c r="Y595" s="551"/>
      <c r="Z595" s="538"/>
      <c r="AA595" s="538"/>
      <c r="AB595" s="21"/>
      <c r="AC595" s="569"/>
      <c r="AD595" s="1149" t="s">
        <v>709</v>
      </c>
      <c r="AE595" s="569"/>
      <c r="AF595" s="569"/>
      <c r="AG595" s="569"/>
      <c r="AH595" s="536"/>
      <c r="AI595" s="1028"/>
      <c r="AJ595" s="1029"/>
      <c r="AK595" s="1029"/>
      <c r="AL595" s="1030"/>
      <c r="AM595" s="542" t="s">
        <v>709</v>
      </c>
      <c r="AN595" s="924"/>
      <c r="AO595" s="925"/>
      <c r="AP595" s="926"/>
      <c r="AQ595" s="926"/>
      <c r="AR595" s="926"/>
      <c r="AS595" s="926"/>
      <c r="AT595" s="926"/>
      <c r="AU595" s="926"/>
      <c r="AV595" s="926"/>
      <c r="AW595" s="927"/>
      <c r="AX595" s="926"/>
      <c r="AY595" s="1538" t="s">
        <v>29</v>
      </c>
      <c r="AZ595" s="1530"/>
      <c r="BA595" s="1031">
        <v>10</v>
      </c>
      <c r="BB595" s="644" t="s">
        <v>4378</v>
      </c>
      <c r="BC595" s="544"/>
      <c r="BD595" s="544"/>
      <c r="BE595" s="544"/>
      <c r="BF595" s="544"/>
      <c r="BG595" s="544"/>
      <c r="BH595" s="741"/>
      <c r="BI595" s="547" t="s">
        <v>709</v>
      </c>
      <c r="BJ595" s="547" t="s">
        <v>709</v>
      </c>
      <c r="BK595" s="547" t="s">
        <v>709</v>
      </c>
      <c r="BL595" s="547" t="s">
        <v>116</v>
      </c>
      <c r="BM595" s="547" t="s">
        <v>709</v>
      </c>
      <c r="BN595" s="547" t="s">
        <v>709</v>
      </c>
      <c r="BO595" s="547" t="s">
        <v>709</v>
      </c>
      <c r="BP595" s="547">
        <v>3715</v>
      </c>
      <c r="BQ595" s="547">
        <v>424</v>
      </c>
      <c r="BR595" s="547">
        <v>326</v>
      </c>
      <c r="BS595" s="547">
        <v>6089</v>
      </c>
      <c r="BT595" s="547" t="s">
        <v>709</v>
      </c>
      <c r="BU595" s="547" t="s">
        <v>709</v>
      </c>
      <c r="BV595" s="547">
        <v>1</v>
      </c>
      <c r="BW595" s="547" t="s">
        <v>709</v>
      </c>
      <c r="BX595" s="547" t="s">
        <v>745</v>
      </c>
      <c r="BY595" s="547" t="s">
        <v>709</v>
      </c>
      <c r="BZ595" s="547" t="s">
        <v>709</v>
      </c>
      <c r="CA595" s="483"/>
      <c r="CB595" s="547">
        <v>595</v>
      </c>
      <c r="CC595" s="1481" t="b">
        <v>1</v>
      </c>
      <c r="CD595" t="str">
        <f>Table15[[#This Row],[Engineering Number]]&amp;Table15[[#This Row],[WO Number]]&amp;Table15[[#This Row],[Date Assigned to Designer]]&amp;Table15[[#This Row],[Date Completed]]</f>
        <v>BS26012107214460744684</v>
      </c>
    </row>
    <row r="596" spans="1:82" customFormat="1" ht="15" customHeight="1" x14ac:dyDescent="0.25">
      <c r="A596">
        <v>2022</v>
      </c>
      <c r="B596" s="8" t="s">
        <v>2</v>
      </c>
      <c r="C596" s="8" t="s">
        <v>4166</v>
      </c>
      <c r="D596" s="8">
        <v>1210878</v>
      </c>
      <c r="E596" s="8" t="s">
        <v>393</v>
      </c>
      <c r="F596" s="8" t="s">
        <v>752</v>
      </c>
      <c r="G596" s="8" t="s">
        <v>4380</v>
      </c>
      <c r="H596" s="8" t="s">
        <v>3178</v>
      </c>
      <c r="I596" s="642">
        <v>44677</v>
      </c>
      <c r="J596" s="18" t="s">
        <v>2052</v>
      </c>
      <c r="K596" s="97">
        <v>44684</v>
      </c>
      <c r="L596" s="16">
        <f>IF(ISTEXT(Table15[[#This Row],[Engineering Approved Design Date]]),Table15[[#This Row],[Date Completed]]-Table15[[#This Row],[Date Assigned to Designer]],Table15[[#This Row],[Engineering Approved Design Date]]-Table15[[#This Row],[Date Completed]])</f>
        <v>7</v>
      </c>
      <c r="M596" t="s">
        <v>4381</v>
      </c>
      <c r="N596" s="642" t="s">
        <v>120</v>
      </c>
      <c r="O596" s="1025">
        <f>Table15[[#This Row],[Date Completed]]</f>
        <v>44684</v>
      </c>
      <c r="P596" s="21" t="s">
        <v>739</v>
      </c>
      <c r="Q596" s="1151">
        <f>Table15[[#This Row],[KH Hourly Effort]]</f>
        <v>1317.5</v>
      </c>
      <c r="R596" s="1026" t="s">
        <v>1922</v>
      </c>
      <c r="S596" s="538" t="s">
        <v>709</v>
      </c>
      <c r="T596" s="538" t="s">
        <v>709</v>
      </c>
      <c r="U596" s="87">
        <v>1317.5</v>
      </c>
      <c r="V596" s="858"/>
      <c r="W596" s="437"/>
      <c r="X596" s="538"/>
      <c r="Y596" s="551"/>
      <c r="Z596" s="538"/>
      <c r="AA596" s="538"/>
      <c r="AB596" s="21"/>
      <c r="AC596" s="569" t="s">
        <v>709</v>
      </c>
      <c r="AD596" s="1149" t="s">
        <v>29</v>
      </c>
      <c r="AE596" s="580"/>
      <c r="AF596" s="580"/>
      <c r="AG596" s="580"/>
      <c r="AH596" s="542"/>
      <c r="AI596" s="1028"/>
      <c r="AJ596" s="1029"/>
      <c r="AK596" s="1029"/>
      <c r="AL596" s="1030"/>
      <c r="AM596" s="542" t="s">
        <v>709</v>
      </c>
      <c r="AN596" s="924"/>
      <c r="AO596" s="925"/>
      <c r="AP596" s="926"/>
      <c r="AQ596" s="926"/>
      <c r="AR596" s="926"/>
      <c r="AS596" s="926"/>
      <c r="AT596" s="926"/>
      <c r="AU596" s="926"/>
      <c r="AV596" s="926"/>
      <c r="AW596" s="927"/>
      <c r="AX596" s="926"/>
      <c r="AY596" s="1538" t="s">
        <v>29</v>
      </c>
      <c r="AZ596" s="1532"/>
      <c r="BA596" s="1031">
        <v>4</v>
      </c>
      <c r="BB596" s="644" t="s">
        <v>4382</v>
      </c>
      <c r="BC596" s="544"/>
      <c r="BD596" s="544"/>
      <c r="BE596" s="544"/>
      <c r="BF596" s="544"/>
      <c r="BG596" s="544"/>
      <c r="BH596" s="741"/>
      <c r="BI596" s="547" t="s">
        <v>709</v>
      </c>
      <c r="BJ596" s="547" t="s">
        <v>709</v>
      </c>
      <c r="BK596" s="547" t="s">
        <v>709</v>
      </c>
      <c r="BL596" s="547" t="s">
        <v>116</v>
      </c>
      <c r="BM596" s="547" t="s">
        <v>709</v>
      </c>
      <c r="BN596" s="547" t="s">
        <v>709</v>
      </c>
      <c r="BO596" s="547" t="s">
        <v>709</v>
      </c>
      <c r="BP596" s="547" t="s">
        <v>709</v>
      </c>
      <c r="BQ596" s="547" t="s">
        <v>709</v>
      </c>
      <c r="BR596" s="547" t="s">
        <v>709</v>
      </c>
      <c r="BS596" s="547">
        <v>25</v>
      </c>
      <c r="BT596" s="547" t="s">
        <v>745</v>
      </c>
      <c r="BU596" s="547" t="s">
        <v>709</v>
      </c>
      <c r="BV596" s="547">
        <v>2</v>
      </c>
      <c r="BW596" s="547" t="s">
        <v>709</v>
      </c>
      <c r="BX596" s="547" t="s">
        <v>745</v>
      </c>
      <c r="BY596" s="547" t="s">
        <v>745</v>
      </c>
      <c r="BZ596" s="547" t="s">
        <v>709</v>
      </c>
      <c r="CA596" s="483" t="s">
        <v>2</v>
      </c>
      <c r="CB596" s="547">
        <v>593</v>
      </c>
      <c r="CC596" s="1481" t="b">
        <v>1</v>
      </c>
      <c r="CD596" t="str">
        <f>Table15[[#This Row],[Engineering Number]]&amp;Table15[[#This Row],[WO Number]]&amp;Table15[[#This Row],[Date Assigned to Designer]]&amp;Table15[[#This Row],[Date Completed]]</f>
        <v>MR182912108784467744684</v>
      </c>
    </row>
    <row r="597" spans="1:82" customFormat="1" ht="15" customHeight="1" x14ac:dyDescent="0.25">
      <c r="A597">
        <v>2021</v>
      </c>
      <c r="B597" s="8" t="s">
        <v>4</v>
      </c>
      <c r="C597" s="8" t="s">
        <v>3753</v>
      </c>
      <c r="D597" s="8" t="s">
        <v>4374</v>
      </c>
      <c r="E597" s="8" t="s">
        <v>2106</v>
      </c>
      <c r="F597" s="8" t="s">
        <v>919</v>
      </c>
      <c r="G597" s="8" t="s">
        <v>39</v>
      </c>
      <c r="H597" s="8" t="s">
        <v>4189</v>
      </c>
      <c r="I597" s="642">
        <v>44655</v>
      </c>
      <c r="J597" s="18" t="s">
        <v>2052</v>
      </c>
      <c r="K597" s="97">
        <v>44684</v>
      </c>
      <c r="L597" s="16">
        <f>IF(ISTEXT(Table15[[#This Row],[Engineering Approved Design Date]]),Table15[[#This Row],[Date Completed]]-Table15[[#This Row],[Date Assigned to Designer]],Table15[[#This Row],[Engineering Approved Design Date]]-Table15[[#This Row],[Date Completed]])</f>
        <v>29</v>
      </c>
      <c r="M597" t="s">
        <v>4328</v>
      </c>
      <c r="N597" s="642" t="s">
        <v>120</v>
      </c>
      <c r="O597" s="1025">
        <f>Table15[[#This Row],[Date Completed]]</f>
        <v>44684</v>
      </c>
      <c r="P597" s="21" t="s">
        <v>739</v>
      </c>
      <c r="Q597" s="1151">
        <f>Table15[[#This Row],[KH Hourly Effort]]</f>
        <v>2055</v>
      </c>
      <c r="R597" s="1026" t="s">
        <v>1922</v>
      </c>
      <c r="S597" s="538" t="s">
        <v>709</v>
      </c>
      <c r="T597" s="538" t="s">
        <v>709</v>
      </c>
      <c r="U597" s="87">
        <v>2055</v>
      </c>
      <c r="V597" s="858"/>
      <c r="W597" s="437"/>
      <c r="X597" s="538"/>
      <c r="Y597" s="551"/>
      <c r="Z597" s="538"/>
      <c r="AA597" s="538"/>
      <c r="AB597" s="21"/>
      <c r="AC597" s="569"/>
      <c r="AD597" s="1149" t="s">
        <v>709</v>
      </c>
      <c r="AE597" s="580"/>
      <c r="AF597" s="580"/>
      <c r="AG597" s="580"/>
      <c r="AH597" s="542"/>
      <c r="AI597" s="1028"/>
      <c r="AJ597" s="1029"/>
      <c r="AK597" s="1029"/>
      <c r="AL597" s="1030"/>
      <c r="AM597" s="542" t="s">
        <v>709</v>
      </c>
      <c r="AN597" s="924"/>
      <c r="AO597" s="925"/>
      <c r="AP597" s="926"/>
      <c r="AQ597" s="926"/>
      <c r="AR597" s="926"/>
      <c r="AS597" s="926"/>
      <c r="AT597" s="926"/>
      <c r="AU597" s="926"/>
      <c r="AV597" s="926"/>
      <c r="AW597" s="927"/>
      <c r="AX597" s="926"/>
      <c r="AY597" s="1538" t="s">
        <v>29</v>
      </c>
      <c r="AZ597" s="1530"/>
      <c r="BA597" s="1031">
        <v>12</v>
      </c>
      <c r="BB597" s="644" t="s">
        <v>4375</v>
      </c>
      <c r="BC597" s="544"/>
      <c r="BD597" s="544"/>
      <c r="BE597" s="544"/>
      <c r="BF597" s="544"/>
      <c r="BG597" s="544"/>
      <c r="BH597" s="741"/>
      <c r="BI597" s="547" t="s">
        <v>709</v>
      </c>
      <c r="BJ597" s="547" t="s">
        <v>709</v>
      </c>
      <c r="BK597" s="547" t="s">
        <v>709</v>
      </c>
      <c r="BL597" s="547" t="s">
        <v>709</v>
      </c>
      <c r="BM597" s="547" t="s">
        <v>709</v>
      </c>
      <c r="BN597" s="547" t="s">
        <v>709</v>
      </c>
      <c r="BO597" s="547" t="s">
        <v>709</v>
      </c>
      <c r="BP597" s="547" t="s">
        <v>709</v>
      </c>
      <c r="BQ597" s="547" t="s">
        <v>709</v>
      </c>
      <c r="BR597" s="547" t="s">
        <v>709</v>
      </c>
      <c r="BS597" s="547" t="s">
        <v>709</v>
      </c>
      <c r="BT597" s="547" t="s">
        <v>709</v>
      </c>
      <c r="BU597" s="547" t="s">
        <v>709</v>
      </c>
      <c r="BV597" s="547" t="s">
        <v>709</v>
      </c>
      <c r="BW597" s="547" t="s">
        <v>709</v>
      </c>
      <c r="BX597" s="547" t="s">
        <v>709</v>
      </c>
      <c r="BY597" s="547" t="s">
        <v>709</v>
      </c>
      <c r="BZ597" s="547" t="s">
        <v>709</v>
      </c>
      <c r="CA597" s="483" t="s">
        <v>1146</v>
      </c>
      <c r="CB597" s="547">
        <v>594</v>
      </c>
      <c r="CC597" s="1481" t="b">
        <v>1</v>
      </c>
      <c r="CD597" t="str">
        <f>Table15[[#This Row],[Engineering Number]]&amp;Table15[[#This Row],[WO Number]]&amp;Table15[[#This Row],[Date Assigned to Designer]]&amp;Table15[[#This Row],[Date Completed]]</f>
        <v>SC1815212105394465544684</v>
      </c>
    </row>
    <row r="598" spans="1:82" customFormat="1" ht="15" customHeight="1" x14ac:dyDescent="0.25">
      <c r="A598">
        <v>2022</v>
      </c>
      <c r="B598" s="8" t="s">
        <v>730</v>
      </c>
      <c r="C598" s="8" t="s">
        <v>294</v>
      </c>
      <c r="D598" s="8" t="s">
        <v>1249</v>
      </c>
      <c r="E598" s="8" t="s">
        <v>295</v>
      </c>
      <c r="F598" s="8" t="s">
        <v>752</v>
      </c>
      <c r="G598" s="8" t="s">
        <v>40</v>
      </c>
      <c r="H598" s="8" t="s">
        <v>59</v>
      </c>
      <c r="I598" s="642">
        <v>44603</v>
      </c>
      <c r="J598" s="18">
        <v>44715</v>
      </c>
      <c r="K598" s="18">
        <v>44685</v>
      </c>
      <c r="L598" s="16">
        <f>IF(ISTEXT(Table15[[#This Row],[Engineering Approved Design Date]]),Table15[[#This Row],[Date Completed]]-Table15[[#This Row],[Date Assigned to Designer]],Table15[[#This Row],[Engineering Approved Design Date]]-Table15[[#This Row],[Date Completed]])</f>
        <v>30</v>
      </c>
      <c r="M598" s="642"/>
      <c r="N598" s="642" t="s">
        <v>120</v>
      </c>
      <c r="O598" s="1025">
        <f>Table15[[#This Row],[Date Completed]]</f>
        <v>44685</v>
      </c>
      <c r="P598" s="21" t="s">
        <v>739</v>
      </c>
      <c r="Q598" s="1061">
        <f>(Table15[[#This Row],[Construction Cost to Bill From]]*0.085)+5250</f>
        <v>26388.316800000001</v>
      </c>
      <c r="R598" s="1026" t="s">
        <v>794</v>
      </c>
      <c r="S598" s="538" t="s">
        <v>709</v>
      </c>
      <c r="T598" s="538" t="s">
        <v>709</v>
      </c>
      <c r="U598" s="87" t="s">
        <v>709</v>
      </c>
      <c r="V598" s="857">
        <v>125</v>
      </c>
      <c r="W598" s="440"/>
      <c r="X598" s="551">
        <v>210299.3</v>
      </c>
      <c r="Y598" s="551"/>
      <c r="Z598" s="551">
        <v>38386.78</v>
      </c>
      <c r="AA598" s="551">
        <f>Table15[[#This Row],[PCTS Investment Amount]]+Table15[[#This Row],[PCTS Retirement Amount]]</f>
        <v>248686.07999999999</v>
      </c>
      <c r="AB598" s="341"/>
      <c r="AC598" s="568" t="s">
        <v>1056</v>
      </c>
      <c r="AD598" s="1157"/>
      <c r="AE598" s="579" t="s">
        <v>29</v>
      </c>
      <c r="AF598" s="579" t="s">
        <v>29</v>
      </c>
      <c r="AG598" s="579" t="s">
        <v>29</v>
      </c>
      <c r="AH598" s="553" t="s">
        <v>29</v>
      </c>
      <c r="AI598" s="1036"/>
      <c r="AJ598" s="1037"/>
      <c r="AK598" s="1037"/>
      <c r="AL598" s="1038"/>
      <c r="AM598" s="536" t="s">
        <v>116</v>
      </c>
      <c r="AN598" s="903" t="s">
        <v>709</v>
      </c>
      <c r="AO598" s="1536">
        <v>11042140</v>
      </c>
      <c r="AP598" s="1537"/>
      <c r="AQ598" s="1537"/>
      <c r="AR598" s="1537"/>
      <c r="AS598" s="888">
        <f>IF(Table15[[#This Row],[PCTS Approved]]="N",0,Table15[[#This Row],[Investment Amount (1'#'#'#'#'#)]]+Table15[[#This Row],[Retirement Amount (3'#'#'#'#'#)]])</f>
        <v>0</v>
      </c>
      <c r="AT598" s="888">
        <f>IF(Table15[[#This Row],[Approved Construction Cost]]=0,0,Table15[[#This Row],[Approved Construction Cost]]-Table15[[#This Row],[Construction Cost to Bill From]])</f>
        <v>0</v>
      </c>
      <c r="AU598" s="888">
        <f>IFERROR(Table15[[#This Row],[Difference in Construction Cost]]*Table15[[#This Row],[Rate]],Table15[[#This Row],[Difference in Construction Cost]]*0.085)</f>
        <v>0</v>
      </c>
      <c r="AV598" s="905"/>
      <c r="AW598" s="1509"/>
      <c r="AX598" s="888"/>
      <c r="AY598" s="636" t="s">
        <v>709</v>
      </c>
      <c r="AZ598" s="333">
        <v>168</v>
      </c>
      <c r="BA598" s="859" t="s">
        <v>1250</v>
      </c>
      <c r="BB598" s="644" t="s">
        <v>1251</v>
      </c>
      <c r="BC598" s="544" t="s">
        <v>709</v>
      </c>
      <c r="BD598" s="544" t="s">
        <v>709</v>
      </c>
      <c r="BE598" s="544" t="s">
        <v>1252</v>
      </c>
      <c r="BF598" s="544" t="s">
        <v>1252</v>
      </c>
      <c r="BG598" s="544" t="s">
        <v>709</v>
      </c>
      <c r="BH598" s="741"/>
      <c r="BI598" s="547" t="s">
        <v>709</v>
      </c>
      <c r="BJ598" s="547" t="s">
        <v>116</v>
      </c>
      <c r="BK598" s="547" t="s">
        <v>709</v>
      </c>
      <c r="BL598" s="547" t="s">
        <v>116</v>
      </c>
      <c r="BM598" s="547" t="s">
        <v>709</v>
      </c>
      <c r="BN598" s="547" t="s">
        <v>709</v>
      </c>
      <c r="BO598" s="547" t="s">
        <v>709</v>
      </c>
      <c r="BP598" s="547" t="s">
        <v>709</v>
      </c>
      <c r="BQ598" s="547" t="s">
        <v>709</v>
      </c>
      <c r="BR598" s="547" t="s">
        <v>709</v>
      </c>
      <c r="BS598" s="547">
        <v>125</v>
      </c>
      <c r="BT598" s="547" t="s">
        <v>745</v>
      </c>
      <c r="BU598" s="547">
        <v>1</v>
      </c>
      <c r="BV598" s="547" t="s">
        <v>745</v>
      </c>
      <c r="BW598" s="547" t="s">
        <v>709</v>
      </c>
      <c r="BX598" s="547">
        <v>1</v>
      </c>
      <c r="BY598" s="547" t="s">
        <v>745</v>
      </c>
      <c r="BZ598" s="547" t="s">
        <v>709</v>
      </c>
      <c r="CA598" s="483"/>
      <c r="CB598" s="547">
        <v>598</v>
      </c>
      <c r="CC598" s="1481" t="b">
        <v>1</v>
      </c>
      <c r="CD598" t="str">
        <f>Table15[[#This Row],[Engineering Number]]&amp;Table15[[#This Row],[WO Number]]&amp;Table15[[#This Row],[Date Assigned to Designer]]&amp;Table15[[#This Row],[Date Completed]]</f>
        <v>RS100010110724460344685</v>
      </c>
    </row>
    <row r="599" spans="1:82" customFormat="1" ht="15" customHeight="1" x14ac:dyDescent="0.25">
      <c r="A599">
        <v>2022</v>
      </c>
      <c r="B599" s="8" t="s">
        <v>4</v>
      </c>
      <c r="C599" s="8" t="s">
        <v>4384</v>
      </c>
      <c r="D599" s="8" t="s">
        <v>4385</v>
      </c>
      <c r="E599" s="8" t="s">
        <v>4386</v>
      </c>
      <c r="F599" s="8" t="s">
        <v>919</v>
      </c>
      <c r="G599" s="8" t="s">
        <v>39</v>
      </c>
      <c r="H599" s="8" t="s">
        <v>59</v>
      </c>
      <c r="I599" s="642">
        <v>44602</v>
      </c>
      <c r="J599" s="18">
        <v>44697</v>
      </c>
      <c r="K599" s="18">
        <v>44685</v>
      </c>
      <c r="L599" s="16">
        <f>IF(ISTEXT(Table15[[#This Row],[Engineering Approved Design Date]]),Table15[[#This Row],[Date Completed]]-Table15[[#This Row],[Date Assigned to Designer]],Table15[[#This Row],[Engineering Approved Design Date]]-Table15[[#This Row],[Date Completed]])</f>
        <v>12</v>
      </c>
      <c r="M599" s="642"/>
      <c r="N599" s="642" t="s">
        <v>120</v>
      </c>
      <c r="O599" s="1025">
        <f>Table15[[#This Row],[Date Completed]]</f>
        <v>44685</v>
      </c>
      <c r="P599" s="21" t="s">
        <v>739</v>
      </c>
      <c r="Q599" s="1061">
        <f>R599*AA599</f>
        <v>35825.695</v>
      </c>
      <c r="R599" s="1026">
        <v>0.1</v>
      </c>
      <c r="S599" s="538" t="s">
        <v>709</v>
      </c>
      <c r="T599" s="538" t="s">
        <v>709</v>
      </c>
      <c r="U599" s="87" t="s">
        <v>709</v>
      </c>
      <c r="V599" s="857">
        <v>639</v>
      </c>
      <c r="W599" s="440"/>
      <c r="X599" s="551">
        <v>337230.85</v>
      </c>
      <c r="Y599" s="551"/>
      <c r="Z599" s="551">
        <v>21026.1</v>
      </c>
      <c r="AA599" s="551">
        <f>Table15[[#This Row],[PCTS Investment Amount]]+Table15[[#This Row],[PCTS Retirement Amount]]</f>
        <v>358256.94999999995</v>
      </c>
      <c r="AB599" s="341"/>
      <c r="AC599" s="568" t="s">
        <v>116</v>
      </c>
      <c r="AD599" s="1157"/>
      <c r="AE599" s="579"/>
      <c r="AF599" s="579"/>
      <c r="AG599" s="579"/>
      <c r="AH599" s="553"/>
      <c r="AI599" s="1036"/>
      <c r="AJ599" s="1037"/>
      <c r="AK599" s="1037"/>
      <c r="AL599" s="1038"/>
      <c r="AM599" s="1522" t="s">
        <v>116</v>
      </c>
      <c r="AN599" s="1523">
        <v>44721</v>
      </c>
      <c r="AO599" s="1524">
        <v>11040235</v>
      </c>
      <c r="AP599" s="1525">
        <v>349636.46</v>
      </c>
      <c r="AQ599" s="1525"/>
      <c r="AR599" s="1525">
        <v>31028.32</v>
      </c>
      <c r="AS599" s="1525">
        <f>IF(Table15[[#This Row],[PCTS Approved]]="N",0,Table15[[#This Row],[Investment Amount (1'#'#'#'#'#)]]+Table15[[#This Row],[Retirement Amount (3'#'#'#'#'#)]])</f>
        <v>380664.78</v>
      </c>
      <c r="AT599" s="1525">
        <f>IF(Table15[[#This Row],[Approved Construction Cost]]=0,0,Table15[[#This Row],[Approved Construction Cost]]-Table15[[#This Row],[Construction Cost to Bill From]])</f>
        <v>22407.830000000075</v>
      </c>
      <c r="AU599" s="1525">
        <f>IFERROR(Table15[[#This Row],[Difference in Construction Cost]]*Table15[[#This Row],[Rate]],Table15[[#This Row],[Difference in Construction Cost]]*0.085)</f>
        <v>2240.7830000000076</v>
      </c>
      <c r="AV599" s="1525" t="s">
        <v>709</v>
      </c>
      <c r="AW599" s="1526" t="s">
        <v>2219</v>
      </c>
      <c r="AX599" s="1525">
        <f>Table15[[#This Row],[Reconcile Amount]]</f>
        <v>2240.7830000000076</v>
      </c>
      <c r="AY599" s="1518">
        <v>45008</v>
      </c>
      <c r="AZ599" s="333"/>
      <c r="BA599" s="1031" t="s">
        <v>4387</v>
      </c>
      <c r="BB599" s="644" t="s">
        <v>4388</v>
      </c>
      <c r="BC599" s="544" t="s">
        <v>116</v>
      </c>
      <c r="BD599" s="544" t="s">
        <v>709</v>
      </c>
      <c r="BE599" s="544" t="s">
        <v>709</v>
      </c>
      <c r="BF599" s="544" t="s">
        <v>4389</v>
      </c>
      <c r="BG599" s="544" t="s">
        <v>709</v>
      </c>
      <c r="BH599" s="741"/>
      <c r="BI599" s="547" t="s">
        <v>709</v>
      </c>
      <c r="BJ599" s="547" t="s">
        <v>709</v>
      </c>
      <c r="BK599" s="547" t="s">
        <v>709</v>
      </c>
      <c r="BL599" s="547" t="s">
        <v>116</v>
      </c>
      <c r="BM599" s="547" t="s">
        <v>709</v>
      </c>
      <c r="BN599" s="547" t="s">
        <v>709</v>
      </c>
      <c r="BO599" s="547" t="s">
        <v>709</v>
      </c>
      <c r="BP599" s="547">
        <v>639</v>
      </c>
      <c r="BQ599" s="547" t="s">
        <v>709</v>
      </c>
      <c r="BR599" s="547" t="s">
        <v>709</v>
      </c>
      <c r="BS599" s="547" t="s">
        <v>709</v>
      </c>
      <c r="BT599" s="547" t="s">
        <v>745</v>
      </c>
      <c r="BU599" s="547" t="s">
        <v>709</v>
      </c>
      <c r="BV599" s="547" t="s">
        <v>745</v>
      </c>
      <c r="BW599" s="547" t="s">
        <v>709</v>
      </c>
      <c r="BX599" s="547" t="s">
        <v>745</v>
      </c>
      <c r="BY599" s="547" t="s">
        <v>745</v>
      </c>
      <c r="BZ599" s="547" t="s">
        <v>709</v>
      </c>
      <c r="CA599" s="483"/>
      <c r="CB599" s="547">
        <v>597</v>
      </c>
      <c r="CC599" s="1481" t="b">
        <v>1</v>
      </c>
      <c r="CD599" t="str">
        <f>Table15[[#This Row],[Engineering Number]]&amp;Table15[[#This Row],[WO Number]]&amp;Table15[[#This Row],[Date Assigned to Designer]]&amp;Table15[[#This Row],[Date Completed]]</f>
        <v>SC1976114110834460244685</v>
      </c>
    </row>
    <row r="600" spans="1:82" customFormat="1" ht="15" customHeight="1" x14ac:dyDescent="0.25">
      <c r="A600">
        <v>2022</v>
      </c>
      <c r="B600" s="8" t="s">
        <v>771</v>
      </c>
      <c r="C600" s="8" t="s">
        <v>4391</v>
      </c>
      <c r="D600" s="8" t="s">
        <v>4392</v>
      </c>
      <c r="E600" s="8" t="s">
        <v>3351</v>
      </c>
      <c r="F600" s="8" t="s">
        <v>747</v>
      </c>
      <c r="G600" s="8" t="s">
        <v>36</v>
      </c>
      <c r="H600" s="8" t="s">
        <v>59</v>
      </c>
      <c r="I600" s="642">
        <v>44286</v>
      </c>
      <c r="J600" s="18">
        <v>44771</v>
      </c>
      <c r="K600" s="18">
        <v>44685</v>
      </c>
      <c r="L600" s="16">
        <f>IF(ISTEXT(Table15[[#This Row],[Engineering Approved Design Date]]),Table15[[#This Row],[Date Completed]]-Table15[[#This Row],[Date Assigned to Designer]],Table15[[#This Row],[Engineering Approved Design Date]]-Table15[[#This Row],[Date Completed]])</f>
        <v>86</v>
      </c>
      <c r="M600" s="642"/>
      <c r="N600" s="642" t="s">
        <v>120</v>
      </c>
      <c r="O600" s="1025">
        <f>Table15[[#This Row],[Date Completed]]</f>
        <v>44685</v>
      </c>
      <c r="P600" s="21" t="s">
        <v>120</v>
      </c>
      <c r="Q600" s="1061">
        <f>R600*AA600</f>
        <v>24614.55</v>
      </c>
      <c r="R600" s="1026">
        <v>0.09</v>
      </c>
      <c r="S600" s="538" t="s">
        <v>709</v>
      </c>
      <c r="T600" s="538" t="s">
        <v>709</v>
      </c>
      <c r="U600" s="87" t="s">
        <v>709</v>
      </c>
      <c r="V600" s="857">
        <v>686</v>
      </c>
      <c r="W600" s="440"/>
      <c r="X600" s="551">
        <v>249494.54</v>
      </c>
      <c r="Y600" s="551"/>
      <c r="Z600" s="551">
        <v>24000.46</v>
      </c>
      <c r="AA600" s="551">
        <f>Table15[[#This Row],[PCTS Investment Amount]]+Table15[[#This Row],[PCTS Retirement Amount]]</f>
        <v>273495</v>
      </c>
      <c r="AB600" s="341"/>
      <c r="AC600" s="568" t="s">
        <v>709</v>
      </c>
      <c r="AD600" s="1157"/>
      <c r="AE600" s="568"/>
      <c r="AF600" s="568"/>
      <c r="AG600" s="568"/>
      <c r="AH600" s="183"/>
      <c r="AI600" s="1036"/>
      <c r="AJ600" s="1037"/>
      <c r="AK600" s="1037"/>
      <c r="AL600" s="1038"/>
      <c r="AM600" s="1522" t="s">
        <v>116</v>
      </c>
      <c r="AN600" s="1523">
        <v>44741</v>
      </c>
      <c r="AO600" s="1524">
        <v>11033935</v>
      </c>
      <c r="AP600" s="1525">
        <v>249799.88</v>
      </c>
      <c r="AQ600" s="1525"/>
      <c r="AR600" s="1525">
        <v>24000.46</v>
      </c>
      <c r="AS600" s="1525">
        <f>IF(Table15[[#This Row],[PCTS Approved]]="N",0,Table15[[#This Row],[Investment Amount (1'#'#'#'#'#)]]+Table15[[#This Row],[Retirement Amount (3'#'#'#'#'#)]])</f>
        <v>273800.34000000003</v>
      </c>
      <c r="AT600" s="1525">
        <f>IF(Table15[[#This Row],[Approved Construction Cost]]=0,0,Table15[[#This Row],[Approved Construction Cost]]-Table15[[#This Row],[Construction Cost to Bill From]])</f>
        <v>305.34000000002561</v>
      </c>
      <c r="AU600" s="1525">
        <f>IFERROR(Table15[[#This Row],[Difference in Construction Cost]]*Table15[[#This Row],[Rate]],Table15[[#This Row],[Difference in Construction Cost]]*0.085)</f>
        <v>27.480600000002305</v>
      </c>
      <c r="AV600" s="1525" t="s">
        <v>709</v>
      </c>
      <c r="AW600" s="1526"/>
      <c r="AX600" s="1525">
        <f>Table15[[#This Row],[Reconcile Amount]]</f>
        <v>27.480600000002305</v>
      </c>
      <c r="AY600" s="1518">
        <v>45008</v>
      </c>
      <c r="AZ600" s="333"/>
      <c r="BA600" s="1031" t="s">
        <v>4393</v>
      </c>
      <c r="BB600" s="644" t="s">
        <v>4394</v>
      </c>
      <c r="BC600" s="544" t="s">
        <v>709</v>
      </c>
      <c r="BD600" s="544" t="s">
        <v>709</v>
      </c>
      <c r="BE600" s="544" t="s">
        <v>3354</v>
      </c>
      <c r="BF600" s="544" t="s">
        <v>709</v>
      </c>
      <c r="BG600" s="544" t="s">
        <v>709</v>
      </c>
      <c r="BH600" s="741"/>
      <c r="BI600" s="547" t="s">
        <v>709</v>
      </c>
      <c r="BJ600" s="547" t="s">
        <v>709</v>
      </c>
      <c r="BK600" s="547" t="s">
        <v>709</v>
      </c>
      <c r="BL600" s="547" t="s">
        <v>116</v>
      </c>
      <c r="BM600" s="547" t="s">
        <v>709</v>
      </c>
      <c r="BN600" s="547" t="s">
        <v>709</v>
      </c>
      <c r="BO600" s="547" t="s">
        <v>709</v>
      </c>
      <c r="BP600" s="547" t="s">
        <v>709</v>
      </c>
      <c r="BQ600" s="547" t="s">
        <v>709</v>
      </c>
      <c r="BR600" s="547" t="s">
        <v>709</v>
      </c>
      <c r="BS600" s="547">
        <v>686</v>
      </c>
      <c r="BT600" s="547" t="s">
        <v>709</v>
      </c>
      <c r="BU600" s="547" t="s">
        <v>709</v>
      </c>
      <c r="BV600" s="547" t="s">
        <v>745</v>
      </c>
      <c r="BW600" s="547" t="s">
        <v>709</v>
      </c>
      <c r="BX600" s="547" t="s">
        <v>709</v>
      </c>
      <c r="BY600" s="547" t="s">
        <v>745</v>
      </c>
      <c r="BZ600" s="547" t="s">
        <v>709</v>
      </c>
      <c r="CA600" s="483"/>
      <c r="CB600" s="547">
        <v>596</v>
      </c>
      <c r="CC600" s="1481" t="b">
        <v>1</v>
      </c>
      <c r="CD600" t="str">
        <f>Table15[[#This Row],[Engineering Number]]&amp;Table15[[#This Row],[WO Number]]&amp;Table15[[#This Row],[Date Assigned to Designer]]&amp;Table15[[#This Row],[Date Completed]]</f>
        <v>VW142-11206024428644685</v>
      </c>
    </row>
    <row r="601" spans="1:82" customFormat="1" ht="15" customHeight="1" x14ac:dyDescent="0.25">
      <c r="A601">
        <v>2022</v>
      </c>
      <c r="B601" s="8" t="s">
        <v>759</v>
      </c>
      <c r="C601" s="8" t="s">
        <v>4403</v>
      </c>
      <c r="D601" s="8" t="s">
        <v>4404</v>
      </c>
      <c r="E601" s="8" t="s">
        <v>137</v>
      </c>
      <c r="F601" s="8" t="s">
        <v>738</v>
      </c>
      <c r="G601" s="8" t="s">
        <v>23</v>
      </c>
      <c r="H601" s="8" t="s">
        <v>59</v>
      </c>
      <c r="I601" s="642">
        <v>44480</v>
      </c>
      <c r="J601" s="18">
        <v>44687</v>
      </c>
      <c r="K601" s="18">
        <v>44687</v>
      </c>
      <c r="L601" s="16">
        <f>IF(ISTEXT(Table15[[#This Row],[Engineering Approved Design Date]]),Table15[[#This Row],[Date Completed]]-Table15[[#This Row],[Date Assigned to Designer]],Table15[[#This Row],[Engineering Approved Design Date]]-Table15[[#This Row],[Date Completed]])</f>
        <v>0</v>
      </c>
      <c r="M601" s="642"/>
      <c r="N601" s="642" t="s">
        <v>120</v>
      </c>
      <c r="O601" s="1025">
        <f>Table15[[#This Row],[Date Completed]]</f>
        <v>44687</v>
      </c>
      <c r="P601" s="21" t="s">
        <v>120</v>
      </c>
      <c r="Q601" s="340">
        <f>R601*AA601</f>
        <v>86888.232899999988</v>
      </c>
      <c r="R601" s="1026">
        <v>0.09</v>
      </c>
      <c r="S601" s="538" t="s">
        <v>709</v>
      </c>
      <c r="T601" s="538" t="s">
        <v>709</v>
      </c>
      <c r="U601" s="87" t="s">
        <v>709</v>
      </c>
      <c r="V601" s="857">
        <v>4632</v>
      </c>
      <c r="W601" s="440"/>
      <c r="X601" s="551">
        <v>812662.72</v>
      </c>
      <c r="Y601" s="551"/>
      <c r="Z601" s="551">
        <v>152762.09</v>
      </c>
      <c r="AA601" s="551">
        <f>Table15[[#This Row],[PCTS Investment Amount]]+Table15[[#This Row],[PCTS Retirement Amount]]</f>
        <v>965424.80999999994</v>
      </c>
      <c r="AB601" s="341"/>
      <c r="AC601" s="568" t="s">
        <v>709</v>
      </c>
      <c r="AD601" s="1157"/>
      <c r="AE601" s="579"/>
      <c r="AF601" s="579"/>
      <c r="AG601" s="579"/>
      <c r="AH601" s="553"/>
      <c r="AI601" s="1036"/>
      <c r="AJ601" s="1037"/>
      <c r="AK601" s="1037"/>
      <c r="AL601" s="1038"/>
      <c r="AM601" s="1522" t="s">
        <v>116</v>
      </c>
      <c r="AN601" s="1523">
        <v>45184</v>
      </c>
      <c r="AO601" s="1524">
        <v>11038112</v>
      </c>
      <c r="AP601" s="1525">
        <v>968831.86</v>
      </c>
      <c r="AQ601" s="1525"/>
      <c r="AR601" s="1525">
        <v>158931.72</v>
      </c>
      <c r="AS601" s="1525">
        <f>IF(Table15[[#This Row],[PCTS Approved]]="N",0,Table15[[#This Row],[Investment Amount (1'#'#'#'#'#)]]+Table15[[#This Row],[Retirement Amount (3'#'#'#'#'#)]])</f>
        <v>1127763.58</v>
      </c>
      <c r="AT601" s="1525">
        <f>IF(Table15[[#This Row],[Approved Construction Cost]]=0,0,Table15[[#This Row],[Approved Construction Cost]]-Table15[[#This Row],[Construction Cost to Bill From]])</f>
        <v>162338.77000000014</v>
      </c>
      <c r="AU601" s="1525">
        <f>IFERROR(Table15[[#This Row],[Difference in Construction Cost]]*Table15[[#This Row],[Rate]],Table15[[#This Row],[Difference in Construction Cost]]*0.085)</f>
        <v>14610.489300000012</v>
      </c>
      <c r="AV601" s="1525">
        <v>2210</v>
      </c>
      <c r="AW601" s="1526" t="s">
        <v>4405</v>
      </c>
      <c r="AX601" s="1525">
        <v>0</v>
      </c>
      <c r="AY601" s="1518">
        <v>45375</v>
      </c>
      <c r="AZ601" s="333"/>
      <c r="BA601" s="859" t="s">
        <v>4406</v>
      </c>
      <c r="BB601" s="644" t="s">
        <v>4407</v>
      </c>
      <c r="BC601" s="544" t="s">
        <v>116</v>
      </c>
      <c r="BD601" s="544" t="s">
        <v>709</v>
      </c>
      <c r="BE601" s="544" t="s">
        <v>2484</v>
      </c>
      <c r="BF601" s="544" t="s">
        <v>709</v>
      </c>
      <c r="BG601" s="544" t="s">
        <v>709</v>
      </c>
      <c r="BH601" s="741"/>
      <c r="BI601" s="547" t="s">
        <v>709</v>
      </c>
      <c r="BJ601" s="547" t="s">
        <v>709</v>
      </c>
      <c r="BK601" s="547" t="s">
        <v>709</v>
      </c>
      <c r="BL601" s="547" t="s">
        <v>116</v>
      </c>
      <c r="BM601" s="547" t="s">
        <v>709</v>
      </c>
      <c r="BN601" s="547" t="s">
        <v>709</v>
      </c>
      <c r="BO601" s="547" t="s">
        <v>709</v>
      </c>
      <c r="BP601" s="547" t="s">
        <v>709</v>
      </c>
      <c r="BQ601" s="547" t="s">
        <v>709</v>
      </c>
      <c r="BR601" s="547">
        <v>3599</v>
      </c>
      <c r="BS601" s="547">
        <v>1033</v>
      </c>
      <c r="BT601" s="547" t="s">
        <v>709</v>
      </c>
      <c r="BU601" s="547" t="s">
        <v>709</v>
      </c>
      <c r="BV601" s="547" t="s">
        <v>709</v>
      </c>
      <c r="BW601" s="547">
        <v>1</v>
      </c>
      <c r="BX601" s="547" t="s">
        <v>709</v>
      </c>
      <c r="BY601" s="547" t="s">
        <v>709</v>
      </c>
      <c r="BZ601" s="547" t="s">
        <v>709</v>
      </c>
      <c r="CA601" s="483" t="s">
        <v>769</v>
      </c>
      <c r="CB601" s="547">
        <v>600</v>
      </c>
      <c r="CC601" s="1481" t="b">
        <v>1</v>
      </c>
      <c r="CD601" t="str">
        <f>Table15[[#This Row],[Engineering Number]]&amp;Table15[[#This Row],[WO Number]]&amp;Table15[[#This Row],[Date Assigned to Designer]]&amp;Table15[[#This Row],[Date Completed]]</f>
        <v>RS92710107284448044687</v>
      </c>
    </row>
    <row r="602" spans="1:82" customFormat="1" ht="15" customHeight="1" x14ac:dyDescent="0.25">
      <c r="A602">
        <v>2022</v>
      </c>
      <c r="B602" s="8" t="s">
        <v>759</v>
      </c>
      <c r="C602" s="661" t="s">
        <v>4397</v>
      </c>
      <c r="D602" s="8" t="s">
        <v>4398</v>
      </c>
      <c r="E602" s="8" t="s">
        <v>438</v>
      </c>
      <c r="F602" s="8" t="s">
        <v>752</v>
      </c>
      <c r="G602" s="8" t="s">
        <v>40</v>
      </c>
      <c r="H602" s="8" t="s">
        <v>59</v>
      </c>
      <c r="I602" s="642">
        <v>44600</v>
      </c>
      <c r="J602" s="18">
        <v>44687</v>
      </c>
      <c r="K602" s="18">
        <v>44687</v>
      </c>
      <c r="L602" s="16">
        <f>IF(ISTEXT(Table15[[#This Row],[Engineering Approved Design Date]]),Table15[[#This Row],[Date Completed]]-Table15[[#This Row],[Date Assigned to Designer]],Table15[[#This Row],[Engineering Approved Design Date]]-Table15[[#This Row],[Date Completed]])</f>
        <v>0</v>
      </c>
      <c r="M602" s="642"/>
      <c r="N602" s="642" t="s">
        <v>120</v>
      </c>
      <c r="O602" s="1025">
        <f>Table15[[#This Row],[Date Completed]]</f>
        <v>44687</v>
      </c>
      <c r="P602" s="21" t="s">
        <v>120</v>
      </c>
      <c r="Q602" s="1061">
        <f>(Table15[[#This Row],[Construction Cost to Bill From]]*0.085)+5250</f>
        <v>62048.726349999997</v>
      </c>
      <c r="R602" s="1026" t="s">
        <v>794</v>
      </c>
      <c r="S602" s="538" t="s">
        <v>709</v>
      </c>
      <c r="T602" s="538" t="s">
        <v>709</v>
      </c>
      <c r="U602" s="87" t="s">
        <v>709</v>
      </c>
      <c r="V602" s="857">
        <v>879</v>
      </c>
      <c r="W602" s="440"/>
      <c r="X602" s="551">
        <v>587980.84</v>
      </c>
      <c r="Y602" s="551"/>
      <c r="Z602" s="551">
        <v>80239.47</v>
      </c>
      <c r="AA602" s="551">
        <f>Table15[[#This Row],[PCTS Investment Amount]]+Table15[[#This Row],[PCTS Retirement Amount]]</f>
        <v>668220.30999999994</v>
      </c>
      <c r="AB602" s="341"/>
      <c r="AC602" s="568" t="s">
        <v>1177</v>
      </c>
      <c r="AD602" s="1157"/>
      <c r="AE602" s="579"/>
      <c r="AF602" s="579"/>
      <c r="AG602" s="579"/>
      <c r="AH602" s="553"/>
      <c r="AI602" s="1036"/>
      <c r="AJ602" s="1037"/>
      <c r="AK602" s="1037"/>
      <c r="AL602" s="1038"/>
      <c r="AM602" s="1522" t="s">
        <v>116</v>
      </c>
      <c r="AN602" s="1523">
        <v>44734</v>
      </c>
      <c r="AO602" s="1524">
        <v>11039335</v>
      </c>
      <c r="AP602" s="1525">
        <v>589890.02</v>
      </c>
      <c r="AQ602" s="1525"/>
      <c r="AR602" s="1525">
        <v>80242.679999999993</v>
      </c>
      <c r="AS602" s="1525">
        <f>IF(Table15[[#This Row],[PCTS Approved]]="N",0,Table15[[#This Row],[Investment Amount (1'#'#'#'#'#)]]+Table15[[#This Row],[Retirement Amount (3'#'#'#'#'#)]])</f>
        <v>670132.69999999995</v>
      </c>
      <c r="AT602" s="1525">
        <f>IF(Table15[[#This Row],[Approved Construction Cost]]=0,0,Table15[[#This Row],[Approved Construction Cost]]-Table15[[#This Row],[Construction Cost to Bill From]])</f>
        <v>1912.390000000014</v>
      </c>
      <c r="AU602" s="1525">
        <f>IFERROR(Table15[[#This Row],[Difference in Construction Cost]]*Table15[[#This Row],[Rate]],Table15[[#This Row],[Difference in Construction Cost]]*0.085)</f>
        <v>162.55315000000121</v>
      </c>
      <c r="AV602" s="1525" t="s">
        <v>709</v>
      </c>
      <c r="AW602" s="1526"/>
      <c r="AX602" s="1525">
        <f>Table15[[#This Row],[Reconcile Amount]]</f>
        <v>162.55315000000121</v>
      </c>
      <c r="AY602" s="1518">
        <v>45008</v>
      </c>
      <c r="AZ602" s="333"/>
      <c r="BA602" s="1031" t="s">
        <v>4399</v>
      </c>
      <c r="BB602" s="644" t="s">
        <v>4400</v>
      </c>
      <c r="BC602" s="544" t="s">
        <v>709</v>
      </c>
      <c r="BD602" s="544" t="s">
        <v>709</v>
      </c>
      <c r="BE602" s="544" t="s">
        <v>4401</v>
      </c>
      <c r="BF602" s="544" t="s">
        <v>709</v>
      </c>
      <c r="BG602" s="544" t="s">
        <v>709</v>
      </c>
      <c r="BH602" s="741"/>
      <c r="BI602" s="547" t="s">
        <v>709</v>
      </c>
      <c r="BJ602" s="547" t="s">
        <v>709</v>
      </c>
      <c r="BK602" s="547" t="s">
        <v>709</v>
      </c>
      <c r="BL602" s="547" t="s">
        <v>116</v>
      </c>
      <c r="BM602" s="547" t="s">
        <v>709</v>
      </c>
      <c r="BN602" s="547" t="s">
        <v>709</v>
      </c>
      <c r="BO602" s="547" t="s">
        <v>709</v>
      </c>
      <c r="BP602" s="547" t="s">
        <v>709</v>
      </c>
      <c r="BQ602" s="547">
        <v>441</v>
      </c>
      <c r="BR602" s="547">
        <v>276</v>
      </c>
      <c r="BS602" s="547" t="s">
        <v>709</v>
      </c>
      <c r="BT602" s="547">
        <v>1</v>
      </c>
      <c r="BU602" s="547" t="s">
        <v>709</v>
      </c>
      <c r="BV602" s="547" t="s">
        <v>745</v>
      </c>
      <c r="BW602" s="547">
        <v>1</v>
      </c>
      <c r="BX602" s="547" t="s">
        <v>745</v>
      </c>
      <c r="BY602" s="547" t="s">
        <v>745</v>
      </c>
      <c r="BZ602" s="547" t="s">
        <v>709</v>
      </c>
      <c r="CA602" s="483"/>
      <c r="CB602" s="547">
        <v>599</v>
      </c>
      <c r="CC602" s="1481" t="b">
        <v>1</v>
      </c>
      <c r="CD602" t="str">
        <f>Table15[[#This Row],[Engineering Number]]&amp;Table15[[#This Row],[WO Number]]&amp;Table15[[#This Row],[Date Assigned to Designer]]&amp;Table15[[#This Row],[Date Completed]]</f>
        <v>RS93810110524460044687</v>
      </c>
    </row>
    <row r="603" spans="1:82" customFormat="1" ht="15" customHeight="1" x14ac:dyDescent="0.25">
      <c r="A603">
        <v>2022</v>
      </c>
      <c r="B603" s="8" t="s">
        <v>4</v>
      </c>
      <c r="C603" s="8" t="s">
        <v>1253</v>
      </c>
      <c r="D603" s="8" t="s">
        <v>1254</v>
      </c>
      <c r="E603" s="8" t="s">
        <v>1255</v>
      </c>
      <c r="F603" s="8" t="s">
        <v>738</v>
      </c>
      <c r="G603" s="8" t="s">
        <v>23</v>
      </c>
      <c r="H603" s="8" t="s">
        <v>59</v>
      </c>
      <c r="I603" s="642">
        <v>44631</v>
      </c>
      <c r="J603" s="18">
        <v>44694</v>
      </c>
      <c r="K603" s="18">
        <v>44690</v>
      </c>
      <c r="L603" s="16">
        <f>IF(ISTEXT(Table15[[#This Row],[Engineering Approved Design Date]]),Table15[[#This Row],[Date Completed]]-Table15[[#This Row],[Date Assigned to Designer]],Table15[[#This Row],[Engineering Approved Design Date]]-Table15[[#This Row],[Date Completed]])</f>
        <v>4</v>
      </c>
      <c r="M603" s="642"/>
      <c r="N603" s="642" t="s">
        <v>120</v>
      </c>
      <c r="O603" s="1025">
        <f>Table15[[#This Row],[Date Completed]]</f>
        <v>44690</v>
      </c>
      <c r="P603" s="21" t="s">
        <v>739</v>
      </c>
      <c r="Q603" s="1151">
        <f>R603*AA603</f>
        <v>34712.473000000005</v>
      </c>
      <c r="R603" s="1026">
        <v>0.1</v>
      </c>
      <c r="S603" s="538" t="s">
        <v>709</v>
      </c>
      <c r="T603" s="538" t="s">
        <v>709</v>
      </c>
      <c r="U603" s="87" t="s">
        <v>709</v>
      </c>
      <c r="V603" s="857">
        <v>1282</v>
      </c>
      <c r="W603" s="440"/>
      <c r="X603" s="551">
        <v>308709.96000000002</v>
      </c>
      <c r="Y603" s="551"/>
      <c r="Z603" s="551">
        <v>38414.769999999997</v>
      </c>
      <c r="AA603" s="551">
        <f>Table15[[#This Row],[PCTS Investment Amount]]+Table15[[#This Row],[PCTS Retirement Amount]]</f>
        <v>347124.73000000004</v>
      </c>
      <c r="AB603" s="341"/>
      <c r="AC603" s="568" t="s">
        <v>709</v>
      </c>
      <c r="AD603" s="1157"/>
      <c r="AE603" s="579"/>
      <c r="AF603" s="579"/>
      <c r="AG603" s="579"/>
      <c r="AH603" s="553"/>
      <c r="AI603" s="1036"/>
      <c r="AJ603" s="1037"/>
      <c r="AK603" s="1037"/>
      <c r="AL603" s="1038"/>
      <c r="AM603" s="536" t="s">
        <v>116</v>
      </c>
      <c r="AN603" s="903" t="s">
        <v>709</v>
      </c>
      <c r="AO603" s="1536" t="s">
        <v>115</v>
      </c>
      <c r="AP603" s="1537"/>
      <c r="AQ603" s="1537"/>
      <c r="AR603" s="1537"/>
      <c r="AS603" s="888">
        <f>IF(Table15[[#This Row],[PCTS Approved]]="N",0,Table15[[#This Row],[Investment Amount (1'#'#'#'#'#)]]+Table15[[#This Row],[Retirement Amount (3'#'#'#'#'#)]])</f>
        <v>0</v>
      </c>
      <c r="AT603" s="888">
        <f>IF(Table15[[#This Row],[Approved Construction Cost]]=0,0,Table15[[#This Row],[Approved Construction Cost]]-Table15[[#This Row],[Construction Cost to Bill From]])</f>
        <v>0</v>
      </c>
      <c r="AU603" s="888">
        <f>IFERROR(Table15[[#This Row],[Difference in Construction Cost]]*Table15[[#This Row],[Rate]],Table15[[#This Row],[Difference in Construction Cost]]*0.085)</f>
        <v>0</v>
      </c>
      <c r="AV603" s="905"/>
      <c r="AW603" s="1509"/>
      <c r="AX603" s="888"/>
      <c r="AY603" s="636" t="s">
        <v>709</v>
      </c>
      <c r="AZ603" s="333">
        <v>66</v>
      </c>
      <c r="BA603" s="859" t="s">
        <v>1256</v>
      </c>
      <c r="BB603" s="644" t="s">
        <v>1257</v>
      </c>
      <c r="BC603" s="544" t="s">
        <v>116</v>
      </c>
      <c r="BD603" s="544" t="s">
        <v>709</v>
      </c>
      <c r="BE603" s="544" t="s">
        <v>1258</v>
      </c>
      <c r="BF603" s="544" t="s">
        <v>709</v>
      </c>
      <c r="BG603" s="544" t="s">
        <v>709</v>
      </c>
      <c r="BH603" s="741"/>
      <c r="BI603" s="547" t="s">
        <v>709</v>
      </c>
      <c r="BJ603" s="547" t="s">
        <v>709</v>
      </c>
      <c r="BK603" s="547" t="s">
        <v>709</v>
      </c>
      <c r="BL603" s="547" t="s">
        <v>116</v>
      </c>
      <c r="BM603" s="547" t="s">
        <v>709</v>
      </c>
      <c r="BN603" s="547" t="s">
        <v>709</v>
      </c>
      <c r="BO603" s="547" t="s">
        <v>709</v>
      </c>
      <c r="BP603" s="547" t="s">
        <v>709</v>
      </c>
      <c r="BQ603" s="547" t="s">
        <v>709</v>
      </c>
      <c r="BR603" s="547">
        <v>1070</v>
      </c>
      <c r="BS603" s="547">
        <v>212</v>
      </c>
      <c r="BT603" s="547" t="s">
        <v>745</v>
      </c>
      <c r="BU603" s="547" t="s">
        <v>709</v>
      </c>
      <c r="BV603" s="547" t="s">
        <v>745</v>
      </c>
      <c r="BW603" s="547" t="s">
        <v>709</v>
      </c>
      <c r="BX603" s="547" t="s">
        <v>745</v>
      </c>
      <c r="BY603" s="547" t="s">
        <v>745</v>
      </c>
      <c r="BZ603" s="547" t="s">
        <v>709</v>
      </c>
      <c r="CA603" s="483"/>
      <c r="CB603" s="547">
        <v>601</v>
      </c>
      <c r="CC603" s="1481" t="b">
        <v>1</v>
      </c>
      <c r="CD603" t="str">
        <f>Table15[[#This Row],[Engineering Number]]&amp;Table15[[#This Row],[WO Number]]&amp;Table15[[#This Row],[Date Assigned to Designer]]&amp;Table15[[#This Row],[Date Completed]]</f>
        <v>M1335312112864463144690</v>
      </c>
    </row>
    <row r="604" spans="1:82" customFormat="1" ht="15" customHeight="1" x14ac:dyDescent="0.25">
      <c r="A604">
        <v>2022</v>
      </c>
      <c r="B604" s="8" t="s">
        <v>4</v>
      </c>
      <c r="C604" s="8" t="s">
        <v>4414</v>
      </c>
      <c r="D604" s="8" t="s">
        <v>4415</v>
      </c>
      <c r="E604" s="8" t="s">
        <v>4416</v>
      </c>
      <c r="F604" s="8" t="s">
        <v>738</v>
      </c>
      <c r="G604" s="8" t="s">
        <v>22</v>
      </c>
      <c r="H604" s="8" t="s">
        <v>59</v>
      </c>
      <c r="I604" s="642">
        <v>44637</v>
      </c>
      <c r="J604" s="97">
        <v>44691</v>
      </c>
      <c r="K604" s="97">
        <v>44691</v>
      </c>
      <c r="L604" s="16">
        <f>IF(ISTEXT(Table15[[#This Row],[Engineering Approved Design Date]]),Table15[[#This Row],[Date Completed]]-Table15[[#This Row],[Date Assigned to Designer]],Table15[[#This Row],[Engineering Approved Design Date]]-Table15[[#This Row],[Date Completed]])</f>
        <v>0</v>
      </c>
      <c r="M604" s="642"/>
      <c r="N604" s="642" t="s">
        <v>120</v>
      </c>
      <c r="O604" s="1025">
        <f>Table15[[#This Row],[Date Completed]]</f>
        <v>44691</v>
      </c>
      <c r="P604" s="21" t="s">
        <v>739</v>
      </c>
      <c r="Q604" s="1061">
        <f>R604*AA604</f>
        <v>11413.948</v>
      </c>
      <c r="R604" s="1026">
        <v>0.1</v>
      </c>
      <c r="S604" s="538" t="s">
        <v>709</v>
      </c>
      <c r="T604" s="538" t="s">
        <v>709</v>
      </c>
      <c r="U604" s="87" t="s">
        <v>709</v>
      </c>
      <c r="V604" s="857">
        <v>299</v>
      </c>
      <c r="W604" s="440"/>
      <c r="X604" s="551">
        <v>102968.06</v>
      </c>
      <c r="Y604" s="551"/>
      <c r="Z604" s="551">
        <v>11171.42</v>
      </c>
      <c r="AA604" s="551">
        <f>Table15[[#This Row],[PCTS Investment Amount]]+Table15[[#This Row],[PCTS Retirement Amount]]</f>
        <v>114139.48</v>
      </c>
      <c r="AB604" s="341"/>
      <c r="AC604" s="568" t="s">
        <v>709</v>
      </c>
      <c r="AD604" s="1157"/>
      <c r="AE604" s="579"/>
      <c r="AF604" s="579"/>
      <c r="AG604" s="569"/>
      <c r="AH604" s="553"/>
      <c r="AI604" s="1036"/>
      <c r="AJ604" s="1037"/>
      <c r="AK604" s="1037"/>
      <c r="AL604" s="1038"/>
      <c r="AM604" s="1522" t="s">
        <v>116</v>
      </c>
      <c r="AN604" s="1523">
        <v>44719</v>
      </c>
      <c r="AO604" s="1524">
        <v>11041800</v>
      </c>
      <c r="AP604" s="1525">
        <v>103100.84</v>
      </c>
      <c r="AQ604" s="1525"/>
      <c r="AR604" s="1525">
        <v>11015.61</v>
      </c>
      <c r="AS604" s="1525">
        <f>IF(Table15[[#This Row],[PCTS Approved]]="N",0,Table15[[#This Row],[Investment Amount (1'#'#'#'#'#)]]+Table15[[#This Row],[Retirement Amount (3'#'#'#'#'#)]])</f>
        <v>114116.45</v>
      </c>
      <c r="AT604" s="1525">
        <f>IF(Table15[[#This Row],[Approved Construction Cost]]=0,0,Table15[[#This Row],[Approved Construction Cost]]-Table15[[#This Row],[Construction Cost to Bill From]])</f>
        <v>-23.029999999998836</v>
      </c>
      <c r="AU604" s="1525">
        <f>IFERROR(Table15[[#This Row],[Difference in Construction Cost]]*Table15[[#This Row],[Rate]],Table15[[#This Row],[Difference in Construction Cost]]*0.085)</f>
        <v>-2.3029999999998836</v>
      </c>
      <c r="AV604" s="1525" t="s">
        <v>709</v>
      </c>
      <c r="AW604" s="1526"/>
      <c r="AX604" s="1525">
        <f>Table15[[#This Row],[Reconcile Amount]]</f>
        <v>-2.3029999999998836</v>
      </c>
      <c r="AY604" s="1518">
        <v>45008</v>
      </c>
      <c r="AZ604" s="333"/>
      <c r="BA604" s="1031" t="s">
        <v>4417</v>
      </c>
      <c r="BB604" s="644" t="s">
        <v>1092</v>
      </c>
      <c r="BC604" s="544" t="s">
        <v>709</v>
      </c>
      <c r="BD604" s="544" t="s">
        <v>709</v>
      </c>
      <c r="BE604" s="544" t="s">
        <v>4418</v>
      </c>
      <c r="BF604" s="544" t="s">
        <v>709</v>
      </c>
      <c r="BG604" s="544" t="s">
        <v>709</v>
      </c>
      <c r="BH604" s="741"/>
      <c r="BI604" s="547" t="s">
        <v>709</v>
      </c>
      <c r="BJ604" s="547" t="s">
        <v>709</v>
      </c>
      <c r="BK604" s="547" t="s">
        <v>709</v>
      </c>
      <c r="BL604" s="547" t="s">
        <v>116</v>
      </c>
      <c r="BM604" s="547" t="s">
        <v>709</v>
      </c>
      <c r="BN604" s="547" t="s">
        <v>709</v>
      </c>
      <c r="BO604" s="547" t="s">
        <v>709</v>
      </c>
      <c r="BP604" s="547" t="s">
        <v>709</v>
      </c>
      <c r="BQ604" s="547" t="s">
        <v>709</v>
      </c>
      <c r="BR604" s="547" t="s">
        <v>709</v>
      </c>
      <c r="BS604" s="547">
        <v>299</v>
      </c>
      <c r="BT604" s="547" t="s">
        <v>745</v>
      </c>
      <c r="BU604" s="547" t="s">
        <v>709</v>
      </c>
      <c r="BV604" s="547" t="s">
        <v>745</v>
      </c>
      <c r="BW604" s="547" t="s">
        <v>709</v>
      </c>
      <c r="BX604" s="547" t="s">
        <v>745</v>
      </c>
      <c r="BY604" s="547" t="s">
        <v>745</v>
      </c>
      <c r="BZ604" s="547" t="s">
        <v>709</v>
      </c>
      <c r="CA604" s="483"/>
      <c r="CB604" s="547">
        <v>604</v>
      </c>
      <c r="CC604" s="1481" t="b">
        <v>1</v>
      </c>
      <c r="CD604" t="str">
        <f>Table15[[#This Row],[Engineering Number]]&amp;Table15[[#This Row],[WO Number]]&amp;Table15[[#This Row],[Date Assigned to Designer]]&amp;Table15[[#This Row],[Date Completed]]</f>
        <v>N1538512112854463744691</v>
      </c>
    </row>
    <row r="605" spans="1:82" customFormat="1" ht="15" customHeight="1" x14ac:dyDescent="0.25">
      <c r="A605">
        <v>2022</v>
      </c>
      <c r="B605" s="8" t="s">
        <v>759</v>
      </c>
      <c r="C605" s="661" t="s">
        <v>1259</v>
      </c>
      <c r="D605" s="8" t="s">
        <v>1260</v>
      </c>
      <c r="E605" s="8" t="s">
        <v>1261</v>
      </c>
      <c r="F605" s="8" t="s">
        <v>752</v>
      </c>
      <c r="G605" s="8" t="s">
        <v>40</v>
      </c>
      <c r="H605" s="8" t="s">
        <v>59</v>
      </c>
      <c r="I605" s="642">
        <v>44582</v>
      </c>
      <c r="J605" s="450">
        <v>44694</v>
      </c>
      <c r="K605" s="18">
        <v>44691</v>
      </c>
      <c r="L605" s="16">
        <f>IF(ISTEXT(Table15[[#This Row],[Engineering Approved Design Date]]),Table15[[#This Row],[Date Completed]]-Table15[[#This Row],[Date Assigned to Designer]],Table15[[#This Row],[Engineering Approved Design Date]]-Table15[[#This Row],[Date Completed]])</f>
        <v>3</v>
      </c>
      <c r="M605" s="642"/>
      <c r="N605" s="642" t="s">
        <v>120</v>
      </c>
      <c r="O605" s="1025">
        <f>Table15[[#This Row],[Date Completed]]</f>
        <v>44691</v>
      </c>
      <c r="P605" s="21" t="s">
        <v>120</v>
      </c>
      <c r="Q605" s="1061">
        <f>(Table15[[#This Row],[Construction Cost to Bill From]]*0.085)+5250</f>
        <v>58634.540699999998</v>
      </c>
      <c r="R605" s="1026" t="s">
        <v>1055</v>
      </c>
      <c r="S605" s="538" t="s">
        <v>709</v>
      </c>
      <c r="T605" s="538" t="s">
        <v>709</v>
      </c>
      <c r="U605" s="87" t="s">
        <v>709</v>
      </c>
      <c r="V605" s="857">
        <v>662</v>
      </c>
      <c r="W605" s="440"/>
      <c r="X605" s="551">
        <v>544357.96</v>
      </c>
      <c r="Y605" s="551"/>
      <c r="Z605" s="551">
        <v>83695.460000000006</v>
      </c>
      <c r="AA605" s="551">
        <f>Table15[[#This Row],[PCTS Investment Amount]]+Table15[[#This Row],[PCTS Retirement Amount]]</f>
        <v>628053.41999999993</v>
      </c>
      <c r="AB605" s="341"/>
      <c r="AC605" s="568" t="s">
        <v>1056</v>
      </c>
      <c r="AD605" s="1157"/>
      <c r="AE605" s="579"/>
      <c r="AF605" s="579"/>
      <c r="AG605" s="579"/>
      <c r="AH605" s="553"/>
      <c r="AI605" s="1036"/>
      <c r="AJ605" s="1037"/>
      <c r="AK605" s="1037"/>
      <c r="AL605" s="1038"/>
      <c r="AM605" s="536" t="s">
        <v>116</v>
      </c>
      <c r="AN605" s="903" t="s">
        <v>709</v>
      </c>
      <c r="AO605" s="1536">
        <v>11039510</v>
      </c>
      <c r="AP605" s="1537"/>
      <c r="AQ605" s="1537"/>
      <c r="AR605" s="1537"/>
      <c r="AS605" s="888">
        <f>IF(Table15[[#This Row],[PCTS Approved]]="N",0,Table15[[#This Row],[Investment Amount (1'#'#'#'#'#)]]+Table15[[#This Row],[Retirement Amount (3'#'#'#'#'#)]])</f>
        <v>0</v>
      </c>
      <c r="AT605" s="888">
        <f>IF(Table15[[#This Row],[Approved Construction Cost]]=0,0,Table15[[#This Row],[Approved Construction Cost]]-Table15[[#This Row],[Construction Cost to Bill From]])</f>
        <v>0</v>
      </c>
      <c r="AU605" s="888">
        <f>IFERROR(Table15[[#This Row],[Difference in Construction Cost]]*Table15[[#This Row],[Rate]],Table15[[#This Row],[Difference in Construction Cost]]*0.085)</f>
        <v>0</v>
      </c>
      <c r="AV605" s="905"/>
      <c r="AW605" s="1509"/>
      <c r="AX605" s="888"/>
      <c r="AY605" s="636" t="s">
        <v>709</v>
      </c>
      <c r="AZ605" s="333">
        <v>183</v>
      </c>
      <c r="BA605" s="859" t="s">
        <v>1262</v>
      </c>
      <c r="BB605" s="644" t="s">
        <v>1263</v>
      </c>
      <c r="BC605" s="544" t="s">
        <v>709</v>
      </c>
      <c r="BD605" s="544" t="s">
        <v>1066</v>
      </c>
      <c r="BE605" s="544" t="s">
        <v>709</v>
      </c>
      <c r="BF605" s="544" t="s">
        <v>709</v>
      </c>
      <c r="BG605" s="544" t="s">
        <v>709</v>
      </c>
      <c r="BH605" s="741"/>
      <c r="BI605" s="547" t="s">
        <v>709</v>
      </c>
      <c r="BJ605" s="547" t="s">
        <v>709</v>
      </c>
      <c r="BK605" s="547" t="s">
        <v>116</v>
      </c>
      <c r="BL605" s="547" t="s">
        <v>116</v>
      </c>
      <c r="BM605" s="547" t="s">
        <v>709</v>
      </c>
      <c r="BN605" s="547">
        <v>104</v>
      </c>
      <c r="BO605" s="547" t="s">
        <v>709</v>
      </c>
      <c r="BP605" s="547">
        <v>141</v>
      </c>
      <c r="BQ605" s="547">
        <v>276</v>
      </c>
      <c r="BR605" s="547">
        <v>45</v>
      </c>
      <c r="BS605" s="547">
        <v>5</v>
      </c>
      <c r="BT605" s="547">
        <v>1</v>
      </c>
      <c r="BU605" s="547" t="s">
        <v>709</v>
      </c>
      <c r="BV605" s="547" t="s">
        <v>745</v>
      </c>
      <c r="BW605" s="547">
        <v>1</v>
      </c>
      <c r="BX605" s="547">
        <v>1</v>
      </c>
      <c r="BY605" s="547" t="s">
        <v>745</v>
      </c>
      <c r="BZ605" s="547" t="s">
        <v>709</v>
      </c>
      <c r="CA605" s="483"/>
      <c r="CB605" s="547">
        <v>605</v>
      </c>
      <c r="CC605" s="1481" t="b">
        <v>1</v>
      </c>
      <c r="CD605" t="str">
        <f>Table15[[#This Row],[Engineering Number]]&amp;Table15[[#This Row],[WO Number]]&amp;Table15[[#This Row],[Date Assigned to Designer]]&amp;Table15[[#This Row],[Date Completed]]</f>
        <v>RS98810109604458244691</v>
      </c>
    </row>
    <row r="606" spans="1:82" customFormat="1" ht="15" customHeight="1" x14ac:dyDescent="0.25">
      <c r="A606">
        <v>2022</v>
      </c>
      <c r="B606" s="8" t="s">
        <v>769</v>
      </c>
      <c r="C606" s="8" t="s">
        <v>4420</v>
      </c>
      <c r="D606" s="8" t="s">
        <v>4421</v>
      </c>
      <c r="E606" s="8" t="s">
        <v>4422</v>
      </c>
      <c r="F606" s="8" t="s">
        <v>752</v>
      </c>
      <c r="G606" s="8" t="s">
        <v>40</v>
      </c>
      <c r="H606" s="8" t="s">
        <v>2127</v>
      </c>
      <c r="I606" s="642">
        <v>44607</v>
      </c>
      <c r="J606" s="97">
        <v>44691</v>
      </c>
      <c r="K606" s="97">
        <v>44691</v>
      </c>
      <c r="L606" s="16">
        <f>IF(ISTEXT(Table15[[#This Row],[Engineering Approved Design Date]]),Table15[[#This Row],[Date Completed]]-Table15[[#This Row],[Date Assigned to Designer]],Table15[[#This Row],[Engineering Approved Design Date]]-Table15[[#This Row],[Date Completed]])</f>
        <v>0</v>
      </c>
      <c r="M606" t="s">
        <v>4423</v>
      </c>
      <c r="N606" s="642" t="s">
        <v>120</v>
      </c>
      <c r="O606" s="1025">
        <v>44713</v>
      </c>
      <c r="P606" s="21" t="s">
        <v>739</v>
      </c>
      <c r="Q606" s="1151">
        <f>Table15[[#This Row],[KH Hourly Effort]]</f>
        <v>7332.5</v>
      </c>
      <c r="R606" s="1026" t="s">
        <v>1922</v>
      </c>
      <c r="S606" s="538" t="s">
        <v>709</v>
      </c>
      <c r="T606" s="538" t="s">
        <v>709</v>
      </c>
      <c r="U606" s="87">
        <v>7332.5</v>
      </c>
      <c r="V606" s="858"/>
      <c r="W606" s="437"/>
      <c r="X606" s="538"/>
      <c r="Y606" s="551"/>
      <c r="Z606" s="538"/>
      <c r="AA606" s="538"/>
      <c r="AB606" s="21"/>
      <c r="AC606" s="576" t="s">
        <v>709</v>
      </c>
      <c r="AD606" s="1149"/>
      <c r="AE606" s="580"/>
      <c r="AF606" s="580"/>
      <c r="AG606" s="580"/>
      <c r="AH606" s="542"/>
      <c r="AI606" s="1028"/>
      <c r="AJ606" s="1029"/>
      <c r="AK606" s="1029"/>
      <c r="AL606" s="1030"/>
      <c r="AM606" s="542" t="s">
        <v>709</v>
      </c>
      <c r="AN606" s="924"/>
      <c r="AO606" s="925"/>
      <c r="AP606" s="926"/>
      <c r="AQ606" s="926"/>
      <c r="AR606" s="926"/>
      <c r="AS606" s="926"/>
      <c r="AT606" s="926"/>
      <c r="AU606" s="926"/>
      <c r="AV606" s="926"/>
      <c r="AW606" s="927"/>
      <c r="AX606" s="926"/>
      <c r="AY606" s="1538" t="s">
        <v>29</v>
      </c>
      <c r="AZ606" s="1530"/>
      <c r="BA606" s="1031" t="s">
        <v>4424</v>
      </c>
      <c r="BB606" s="644" t="s">
        <v>4425</v>
      </c>
      <c r="BC606" s="544"/>
      <c r="BD606" s="544"/>
      <c r="BE606" s="544"/>
      <c r="BF606" s="544"/>
      <c r="BG606" s="544"/>
      <c r="BH606" s="741"/>
      <c r="BI606" s="547"/>
      <c r="BJ606" s="547"/>
      <c r="BK606" s="547"/>
      <c r="BL606" s="547"/>
      <c r="BM606" s="547"/>
      <c r="BN606" s="547"/>
      <c r="BO606" s="547"/>
      <c r="BP606" s="547"/>
      <c r="BQ606" s="547"/>
      <c r="BR606" s="547"/>
      <c r="BS606" s="547"/>
      <c r="BT606" s="547"/>
      <c r="BU606" s="547"/>
      <c r="BV606" s="547"/>
      <c r="BW606" s="547"/>
      <c r="BX606" s="547"/>
      <c r="BY606" s="547"/>
      <c r="BZ606" s="547" t="s">
        <v>709</v>
      </c>
      <c r="CA606" s="483" t="s">
        <v>769</v>
      </c>
      <c r="CB606" s="547">
        <v>606</v>
      </c>
      <c r="CC606" s="1481" t="b">
        <v>1</v>
      </c>
      <c r="CD606" t="str">
        <f>Table15[[#This Row],[Engineering Number]]&amp;Table15[[#This Row],[WO Number]]&amp;Table15[[#This Row],[Date Assigned to Designer]]&amp;Table15[[#This Row],[Date Completed]]</f>
        <v>RS97010111064460744691</v>
      </c>
    </row>
    <row r="607" spans="1:82" customFormat="1" ht="15" customHeight="1" x14ac:dyDescent="0.25">
      <c r="A607">
        <v>2021</v>
      </c>
      <c r="B607" s="8" t="s">
        <v>4</v>
      </c>
      <c r="C607" s="8" t="s">
        <v>3159</v>
      </c>
      <c r="D607" s="8" t="s">
        <v>3160</v>
      </c>
      <c r="E607" s="8" t="s">
        <v>393</v>
      </c>
      <c r="F607" s="8" t="s">
        <v>738</v>
      </c>
      <c r="G607" s="8" t="s">
        <v>1882</v>
      </c>
      <c r="H607" s="8" t="s">
        <v>4001</v>
      </c>
      <c r="I607" s="642">
        <v>44540</v>
      </c>
      <c r="J607" s="18" t="s">
        <v>2052</v>
      </c>
      <c r="K607" s="97">
        <v>44691</v>
      </c>
      <c r="L607" s="16">
        <f>IF(ISTEXT(Table15[[#This Row],[Engineering Approved Design Date]]),Table15[[#This Row],[Date Completed]]-Table15[[#This Row],[Date Assigned to Designer]],Table15[[#This Row],[Engineering Approved Design Date]]-Table15[[#This Row],[Date Completed]])</f>
        <v>151</v>
      </c>
      <c r="M607" t="s">
        <v>4410</v>
      </c>
      <c r="N607" s="642" t="s">
        <v>120</v>
      </c>
      <c r="O607" s="1025">
        <f>Table15[[#This Row],[Date Completed]]</f>
        <v>44691</v>
      </c>
      <c r="P607" s="21" t="s">
        <v>120</v>
      </c>
      <c r="Q607" s="1151">
        <f>Table15[[#This Row],[KH Hourly Effort]]</f>
        <v>6430</v>
      </c>
      <c r="R607" s="1026" t="s">
        <v>1922</v>
      </c>
      <c r="S607" s="538" t="s">
        <v>709</v>
      </c>
      <c r="T607" s="538" t="s">
        <v>709</v>
      </c>
      <c r="U607" s="87">
        <v>6430</v>
      </c>
      <c r="V607" s="858"/>
      <c r="W607" s="437"/>
      <c r="X607" s="538"/>
      <c r="Y607" s="551"/>
      <c r="Z607" s="538"/>
      <c r="AA607" s="538"/>
      <c r="AB607" s="21"/>
      <c r="AC607" s="569"/>
      <c r="AD607" s="1149" t="s">
        <v>709</v>
      </c>
      <c r="AE607" s="580"/>
      <c r="AF607" s="580"/>
      <c r="AG607" s="580"/>
      <c r="AH607" s="542"/>
      <c r="AI607" s="1028"/>
      <c r="AJ607" s="1029"/>
      <c r="AK607" s="1029"/>
      <c r="AL607" s="1030"/>
      <c r="AM607" s="542" t="s">
        <v>709</v>
      </c>
      <c r="AN607" s="924"/>
      <c r="AO607" s="925"/>
      <c r="AP607" s="926"/>
      <c r="AQ607" s="926"/>
      <c r="AR607" s="926"/>
      <c r="AS607" s="926"/>
      <c r="AT607" s="926"/>
      <c r="AU607" s="926"/>
      <c r="AV607" s="926"/>
      <c r="AW607" s="927"/>
      <c r="AX607" s="926"/>
      <c r="AY607" s="1538" t="s">
        <v>29</v>
      </c>
      <c r="AZ607" s="1530"/>
      <c r="BA607" s="1031">
        <v>11</v>
      </c>
      <c r="BB607" s="644" t="s">
        <v>4411</v>
      </c>
      <c r="BC607" s="544"/>
      <c r="BD607" s="544"/>
      <c r="BE607" s="544"/>
      <c r="BF607" s="544"/>
      <c r="BG607" s="544"/>
      <c r="BH607" s="741"/>
      <c r="BI607" s="547" t="s">
        <v>709</v>
      </c>
      <c r="BJ607" s="547" t="s">
        <v>709</v>
      </c>
      <c r="BK607" s="547" t="s">
        <v>709</v>
      </c>
      <c r="BL607" s="547" t="s">
        <v>116</v>
      </c>
      <c r="BM607" s="547">
        <v>55</v>
      </c>
      <c r="BN607" s="547">
        <v>4125</v>
      </c>
      <c r="BO607" s="547" t="s">
        <v>709</v>
      </c>
      <c r="BP607" s="547" t="s">
        <v>709</v>
      </c>
      <c r="BQ607" s="547">
        <v>93</v>
      </c>
      <c r="BR607" s="547">
        <v>367</v>
      </c>
      <c r="BS607" s="547">
        <v>630</v>
      </c>
      <c r="BT607" s="547" t="s">
        <v>709</v>
      </c>
      <c r="BU607" s="547" t="s">
        <v>709</v>
      </c>
      <c r="BV607" s="547" t="s">
        <v>709</v>
      </c>
      <c r="BW607" s="547" t="s">
        <v>709</v>
      </c>
      <c r="BX607" s="547" t="s">
        <v>745</v>
      </c>
      <c r="BY607" s="547" t="s">
        <v>709</v>
      </c>
      <c r="BZ607" s="547" t="s">
        <v>709</v>
      </c>
      <c r="CA607" s="483"/>
      <c r="CB607" s="547">
        <v>603</v>
      </c>
      <c r="CC607" s="1481" t="b">
        <v>1</v>
      </c>
      <c r="CD607" t="str">
        <f>Table15[[#This Row],[Engineering Number]]&amp;Table15[[#This Row],[WO Number]]&amp;Table15[[#This Row],[Date Assigned to Designer]]&amp;Table15[[#This Row],[Date Completed]]</f>
        <v>N133361292784454044691</v>
      </c>
    </row>
    <row r="608" spans="1:82" customFormat="1" ht="15" customHeight="1" x14ac:dyDescent="0.25">
      <c r="A608">
        <v>2021</v>
      </c>
      <c r="B608" s="8" t="s">
        <v>769</v>
      </c>
      <c r="C608" s="8" t="s">
        <v>1186</v>
      </c>
      <c r="D608" s="8" t="s">
        <v>1187</v>
      </c>
      <c r="E608" s="8" t="s">
        <v>393</v>
      </c>
      <c r="F608" s="8" t="s">
        <v>738</v>
      </c>
      <c r="G608" s="8" t="s">
        <v>1882</v>
      </c>
      <c r="H608" s="8" t="s">
        <v>4001</v>
      </c>
      <c r="I608" s="642">
        <v>44420</v>
      </c>
      <c r="J608" s="18" t="s">
        <v>2052</v>
      </c>
      <c r="K608" s="97">
        <v>44691</v>
      </c>
      <c r="L608" s="16">
        <f>IF(ISTEXT(Table15[[#This Row],[Engineering Approved Design Date]]),Table15[[#This Row],[Date Completed]]-Table15[[#This Row],[Date Assigned to Designer]],Table15[[#This Row],[Engineering Approved Design Date]]-Table15[[#This Row],[Date Completed]])</f>
        <v>271</v>
      </c>
      <c r="M608" t="s">
        <v>4410</v>
      </c>
      <c r="N608" s="642" t="s">
        <v>120</v>
      </c>
      <c r="O608" s="1025">
        <f>Table15[[#This Row],[Date Completed]]</f>
        <v>44691</v>
      </c>
      <c r="P608" s="21" t="s">
        <v>120</v>
      </c>
      <c r="Q608" s="1151">
        <f>Table15[[#This Row],[KH Hourly Effort]]</f>
        <v>9250</v>
      </c>
      <c r="R608" s="1026" t="s">
        <v>1922</v>
      </c>
      <c r="S608" s="538" t="s">
        <v>709</v>
      </c>
      <c r="T608" s="538" t="s">
        <v>709</v>
      </c>
      <c r="U608" s="87">
        <v>9250</v>
      </c>
      <c r="V608" s="858"/>
      <c r="W608" s="437"/>
      <c r="X608" s="538"/>
      <c r="Y608" s="551"/>
      <c r="Z608" s="538"/>
      <c r="AA608" s="538"/>
      <c r="AB608" s="21"/>
      <c r="AC608" s="569" t="s">
        <v>709</v>
      </c>
      <c r="AD608" s="1149" t="s">
        <v>709</v>
      </c>
      <c r="AE608" s="580"/>
      <c r="AF608" s="580"/>
      <c r="AG608" s="580"/>
      <c r="AH608" s="542"/>
      <c r="AI608" s="1028"/>
      <c r="AJ608" s="1029"/>
      <c r="AK608" s="1029"/>
      <c r="AL608" s="1030"/>
      <c r="AM608" s="542" t="s">
        <v>709</v>
      </c>
      <c r="AN608" s="924"/>
      <c r="AO608" s="925"/>
      <c r="AP608" s="926"/>
      <c r="AQ608" s="926"/>
      <c r="AR608" s="926"/>
      <c r="AS608" s="926"/>
      <c r="AT608" s="926"/>
      <c r="AU608" s="926"/>
      <c r="AV608" s="926"/>
      <c r="AW608" s="927"/>
      <c r="AX608" s="926"/>
      <c r="AY608" s="1538" t="s">
        <v>29</v>
      </c>
      <c r="AZ608" s="1530"/>
      <c r="BA608" s="1031">
        <v>11</v>
      </c>
      <c r="BB608" s="644" t="s">
        <v>4411</v>
      </c>
      <c r="BC608" s="544"/>
      <c r="BD608" s="544"/>
      <c r="BE608" s="544"/>
      <c r="BF608" s="544"/>
      <c r="BG608" s="544"/>
      <c r="BH608" s="741"/>
      <c r="BI608" s="547" t="s">
        <v>709</v>
      </c>
      <c r="BJ608" s="547" t="s">
        <v>709</v>
      </c>
      <c r="BK608" s="547" t="s">
        <v>116</v>
      </c>
      <c r="BL608" s="547" t="s">
        <v>116</v>
      </c>
      <c r="BM608" s="547" t="s">
        <v>709</v>
      </c>
      <c r="BN608" s="547">
        <v>17</v>
      </c>
      <c r="BO608" s="547" t="s">
        <v>709</v>
      </c>
      <c r="BP608" s="547" t="s">
        <v>709</v>
      </c>
      <c r="BQ608" s="547">
        <v>546</v>
      </c>
      <c r="BR608" s="547">
        <v>507</v>
      </c>
      <c r="BS608" s="547">
        <v>1553</v>
      </c>
      <c r="BT608" s="547" t="s">
        <v>709</v>
      </c>
      <c r="BU608" s="547" t="s">
        <v>709</v>
      </c>
      <c r="BV608" s="547" t="s">
        <v>709</v>
      </c>
      <c r="BW608" s="547" t="s">
        <v>709</v>
      </c>
      <c r="BX608" s="547" t="s">
        <v>709</v>
      </c>
      <c r="BY608" s="547" t="s">
        <v>709</v>
      </c>
      <c r="BZ608" s="547" t="s">
        <v>709</v>
      </c>
      <c r="CA608" s="483" t="s">
        <v>769</v>
      </c>
      <c r="CB608" s="547">
        <v>602</v>
      </c>
      <c r="CC608" s="1481" t="b">
        <v>1</v>
      </c>
      <c r="CD608" t="str">
        <f>Table15[[#This Row],[Engineering Number]]&amp;Table15[[#This Row],[WO Number]]&amp;Table15[[#This Row],[Date Assigned to Designer]]&amp;Table15[[#This Row],[Date Completed]]</f>
        <v>RS6621021314442044691</v>
      </c>
    </row>
    <row r="609" spans="1:82" customFormat="1" ht="15" customHeight="1" x14ac:dyDescent="0.25">
      <c r="A609">
        <v>2022</v>
      </c>
      <c r="B609" s="8" t="s">
        <v>4</v>
      </c>
      <c r="C609" s="8" t="s">
        <v>4146</v>
      </c>
      <c r="D609" s="8">
        <v>129277</v>
      </c>
      <c r="E609" s="8" t="s">
        <v>4148</v>
      </c>
      <c r="F609" s="8" t="s">
        <v>738</v>
      </c>
      <c r="G609" s="8" t="s">
        <v>36</v>
      </c>
      <c r="H609" s="8" t="s">
        <v>3178</v>
      </c>
      <c r="I609" s="642">
        <v>44690</v>
      </c>
      <c r="J609" s="18" t="s">
        <v>2052</v>
      </c>
      <c r="K609" s="97">
        <v>44692</v>
      </c>
      <c r="L609" s="16">
        <f>IF(ISTEXT(Table15[[#This Row],[Engineering Approved Design Date]]),Table15[[#This Row],[Date Completed]]-Table15[[#This Row],[Date Assigned to Designer]],Table15[[#This Row],[Engineering Approved Design Date]]-Table15[[#This Row],[Date Completed]])</f>
        <v>2</v>
      </c>
      <c r="M609" t="s">
        <v>4428</v>
      </c>
      <c r="N609" s="642" t="s">
        <v>120</v>
      </c>
      <c r="O609" s="1025">
        <f>Table15[[#This Row],[Date Completed]]</f>
        <v>44692</v>
      </c>
      <c r="P609" s="21" t="s">
        <v>739</v>
      </c>
      <c r="Q609" s="1151">
        <f>Table15[[#This Row],[KH Hourly Effort]]</f>
        <v>2230</v>
      </c>
      <c r="R609" s="1026" t="s">
        <v>1922</v>
      </c>
      <c r="S609" s="538" t="s">
        <v>709</v>
      </c>
      <c r="T609" s="538" t="s">
        <v>709</v>
      </c>
      <c r="U609" s="87">
        <v>2230</v>
      </c>
      <c r="V609" s="858"/>
      <c r="W609" s="437"/>
      <c r="X609" s="538"/>
      <c r="Y609" s="551"/>
      <c r="Z609" s="538"/>
      <c r="AA609" s="538"/>
      <c r="AB609" s="21"/>
      <c r="AC609" s="569"/>
      <c r="AD609" s="1149" t="s">
        <v>709</v>
      </c>
      <c r="AE609" s="580"/>
      <c r="AF609" s="580"/>
      <c r="AG609" s="580"/>
      <c r="AH609" s="542"/>
      <c r="AI609" s="1028"/>
      <c r="AJ609" s="1029"/>
      <c r="AK609" s="1029"/>
      <c r="AL609" s="1030"/>
      <c r="AM609" s="542" t="s">
        <v>709</v>
      </c>
      <c r="AN609" s="924"/>
      <c r="AO609" s="925"/>
      <c r="AP609" s="926"/>
      <c r="AQ609" s="926"/>
      <c r="AR609" s="926"/>
      <c r="AS609" s="926"/>
      <c r="AT609" s="926"/>
      <c r="AU609" s="926"/>
      <c r="AV609" s="926"/>
      <c r="AW609" s="927"/>
      <c r="AX609" s="926"/>
      <c r="AY609" s="1538" t="s">
        <v>29</v>
      </c>
      <c r="AZ609" s="1530"/>
      <c r="BA609" s="1031">
        <v>10</v>
      </c>
      <c r="BB609" s="644"/>
      <c r="BC609" s="544"/>
      <c r="BD609" s="544"/>
      <c r="BE609" s="544"/>
      <c r="BF609" s="544"/>
      <c r="BG609" s="544"/>
      <c r="BH609" s="741"/>
      <c r="BI609" s="547" t="s">
        <v>709</v>
      </c>
      <c r="BJ609" s="547" t="s">
        <v>709</v>
      </c>
      <c r="BK609" s="547" t="s">
        <v>709</v>
      </c>
      <c r="BL609" s="547" t="s">
        <v>116</v>
      </c>
      <c r="BM609" s="547" t="s">
        <v>709</v>
      </c>
      <c r="BN609" s="547" t="s">
        <v>709</v>
      </c>
      <c r="BO609" s="547" t="s">
        <v>709</v>
      </c>
      <c r="BP609" s="547">
        <v>2276</v>
      </c>
      <c r="BQ609" s="547">
        <v>32</v>
      </c>
      <c r="BR609" s="547">
        <v>3</v>
      </c>
      <c r="BS609" s="547">
        <v>763</v>
      </c>
      <c r="BT609" s="547" t="s">
        <v>745</v>
      </c>
      <c r="BU609" s="547" t="s">
        <v>709</v>
      </c>
      <c r="BV609" s="547" t="s">
        <v>745</v>
      </c>
      <c r="BW609" s="547" t="s">
        <v>709</v>
      </c>
      <c r="BX609" s="547" t="s">
        <v>745</v>
      </c>
      <c r="BY609" s="547" t="s">
        <v>745</v>
      </c>
      <c r="BZ609" s="547" t="s">
        <v>709</v>
      </c>
      <c r="CA609" s="483"/>
      <c r="CB609" s="547">
        <v>607</v>
      </c>
      <c r="CC609" s="1481" t="b">
        <v>1</v>
      </c>
      <c r="CD609" t="str">
        <f>Table15[[#This Row],[Engineering Number]]&amp;Table15[[#This Row],[WO Number]]&amp;Table15[[#This Row],[Date Assigned to Designer]]&amp;Table15[[#This Row],[Date Completed]]</f>
        <v>N132641292774469044692</v>
      </c>
    </row>
    <row r="610" spans="1:82" customFormat="1" ht="15" customHeight="1" x14ac:dyDescent="0.25">
      <c r="A610">
        <v>2022</v>
      </c>
      <c r="B610" s="8" t="s">
        <v>730</v>
      </c>
      <c r="C610" s="8" t="s">
        <v>457</v>
      </c>
      <c r="D610" s="8" t="s">
        <v>1264</v>
      </c>
      <c r="E610" s="8" t="s">
        <v>1265</v>
      </c>
      <c r="F610" s="8" t="s">
        <v>752</v>
      </c>
      <c r="G610" s="8" t="s">
        <v>34</v>
      </c>
      <c r="H610" s="8" t="s">
        <v>59</v>
      </c>
      <c r="I610" s="642">
        <v>44607</v>
      </c>
      <c r="J610" s="18">
        <v>44693</v>
      </c>
      <c r="K610" s="18">
        <v>44692</v>
      </c>
      <c r="L610" s="16">
        <f>IF(ISTEXT(Table15[[#This Row],[Engineering Approved Design Date]]),Table15[[#This Row],[Date Completed]]-Table15[[#This Row],[Date Assigned to Designer]],Table15[[#This Row],[Engineering Approved Design Date]]-Table15[[#This Row],[Date Completed]])</f>
        <v>1</v>
      </c>
      <c r="M610" s="642"/>
      <c r="N610" s="642" t="s">
        <v>120</v>
      </c>
      <c r="O610" s="1025">
        <f>Table15[[#This Row],[Date Completed]]</f>
        <v>44692</v>
      </c>
      <c r="P610" s="21" t="s">
        <v>739</v>
      </c>
      <c r="Q610" s="1151">
        <f>(Table15[[#This Row],[Construction Cost to Bill From]]*0.085)+5250</f>
        <v>12895.919150000002</v>
      </c>
      <c r="R610" s="1026" t="s">
        <v>794</v>
      </c>
      <c r="S610" s="538" t="s">
        <v>709</v>
      </c>
      <c r="T610" s="538" t="s">
        <v>709</v>
      </c>
      <c r="U610" s="87" t="s">
        <v>709</v>
      </c>
      <c r="V610" s="857">
        <v>60</v>
      </c>
      <c r="W610" s="440"/>
      <c r="X610" s="551">
        <v>76483.740000000005</v>
      </c>
      <c r="Y610" s="551"/>
      <c r="Z610" s="551">
        <v>13468.25</v>
      </c>
      <c r="AA610" s="551">
        <f>Table15[[#This Row],[PCTS Investment Amount]]+Table15[[#This Row],[PCTS Retirement Amount]]</f>
        <v>89951.99</v>
      </c>
      <c r="AB610" s="341"/>
      <c r="AC610" s="568" t="s">
        <v>116</v>
      </c>
      <c r="AD610" s="1157" t="s">
        <v>29</v>
      </c>
      <c r="AE610" s="579"/>
      <c r="AF610" s="579"/>
      <c r="AG610" s="579"/>
      <c r="AH610" s="553"/>
      <c r="AI610" s="1036"/>
      <c r="AJ610" s="1037"/>
      <c r="AK610" s="1037"/>
      <c r="AL610" s="1038"/>
      <c r="AM610" s="536" t="s">
        <v>116</v>
      </c>
      <c r="AN610" s="903" t="s">
        <v>709</v>
      </c>
      <c r="AO610" s="1536">
        <v>11058433</v>
      </c>
      <c r="AP610" s="1537"/>
      <c r="AQ610" s="1537"/>
      <c r="AR610" s="1537"/>
      <c r="AS610" s="888">
        <f>IF(Table15[[#This Row],[PCTS Approved]]="N",0,Table15[[#This Row],[Investment Amount (1'#'#'#'#'#)]]+Table15[[#This Row],[Retirement Amount (3'#'#'#'#'#)]])</f>
        <v>0</v>
      </c>
      <c r="AT610" s="888">
        <f>IF(Table15[[#This Row],[Approved Construction Cost]]=0,0,Table15[[#This Row],[Approved Construction Cost]]-Table15[[#This Row],[Construction Cost to Bill From]])</f>
        <v>0</v>
      </c>
      <c r="AU610" s="888">
        <f>IFERROR(Table15[[#This Row],[Difference in Construction Cost]]*Table15[[#This Row],[Rate]],Table15[[#This Row],[Difference in Construction Cost]]*0.085)</f>
        <v>0</v>
      </c>
      <c r="AV610" s="905"/>
      <c r="AW610" s="1509"/>
      <c r="AX610" s="888"/>
      <c r="AY610" s="636" t="s">
        <v>709</v>
      </c>
      <c r="AZ610" s="333">
        <v>169</v>
      </c>
      <c r="BA610" s="859" t="s">
        <v>1266</v>
      </c>
      <c r="BB610" s="644" t="s">
        <v>1267</v>
      </c>
      <c r="BC610" s="544" t="s">
        <v>709</v>
      </c>
      <c r="BD610" s="544" t="s">
        <v>709</v>
      </c>
      <c r="BE610" s="544" t="s">
        <v>709</v>
      </c>
      <c r="BF610" s="544" t="s">
        <v>1268</v>
      </c>
      <c r="BG610" s="544" t="s">
        <v>709</v>
      </c>
      <c r="BH610" s="741"/>
      <c r="BI610" s="547" t="s">
        <v>116</v>
      </c>
      <c r="BJ610" s="547" t="s">
        <v>709</v>
      </c>
      <c r="BK610" s="547" t="s">
        <v>709</v>
      </c>
      <c r="BL610" s="547" t="s">
        <v>709</v>
      </c>
      <c r="BM610" s="547" t="s">
        <v>709</v>
      </c>
      <c r="BN610" s="547" t="s">
        <v>709</v>
      </c>
      <c r="BO610" s="547" t="s">
        <v>709</v>
      </c>
      <c r="BP610" s="547" t="s">
        <v>709</v>
      </c>
      <c r="BQ610" s="547" t="s">
        <v>709</v>
      </c>
      <c r="BR610" s="547" t="s">
        <v>709</v>
      </c>
      <c r="BS610" s="547">
        <v>60</v>
      </c>
      <c r="BT610" s="547" t="s">
        <v>745</v>
      </c>
      <c r="BU610" s="547" t="s">
        <v>709</v>
      </c>
      <c r="BV610" s="547" t="s">
        <v>745</v>
      </c>
      <c r="BW610" s="547" t="s">
        <v>709</v>
      </c>
      <c r="BX610" s="547">
        <v>1</v>
      </c>
      <c r="BY610" s="547" t="s">
        <v>745</v>
      </c>
      <c r="BZ610" s="547" t="s">
        <v>709</v>
      </c>
      <c r="CA610" s="483"/>
      <c r="CB610" s="547">
        <v>608</v>
      </c>
      <c r="CC610" s="1481" t="b">
        <v>1</v>
      </c>
      <c r="CD610" t="str">
        <f>Table15[[#This Row],[Engineering Number]]&amp;Table15[[#This Row],[WO Number]]&amp;Table15[[#This Row],[Date Assigned to Designer]]&amp;Table15[[#This Row],[Date Completed]]</f>
        <v>RS97310111044460744692</v>
      </c>
    </row>
    <row r="611" spans="1:82" customFormat="1" ht="15" customHeight="1" x14ac:dyDescent="0.25">
      <c r="A611">
        <v>2022</v>
      </c>
      <c r="B611" s="8" t="s">
        <v>771</v>
      </c>
      <c r="C611" s="8" t="s">
        <v>2836</v>
      </c>
      <c r="D611" s="8">
        <v>140807</v>
      </c>
      <c r="E611" s="8" t="s">
        <v>141</v>
      </c>
      <c r="F611" s="8" t="s">
        <v>919</v>
      </c>
      <c r="G611" s="8" t="s">
        <v>36</v>
      </c>
      <c r="H611" s="8" t="s">
        <v>3178</v>
      </c>
      <c r="I611" s="642">
        <v>44621</v>
      </c>
      <c r="J611" s="18" t="s">
        <v>2052</v>
      </c>
      <c r="K611" s="97">
        <v>44692</v>
      </c>
      <c r="L611" s="16">
        <f>IF(ISTEXT(Table15[[#This Row],[Engineering Approved Design Date]]),Table15[[#This Row],[Date Completed]]-Table15[[#This Row],[Date Assigned to Designer]],Table15[[#This Row],[Engineering Approved Design Date]]-Table15[[#This Row],[Date Completed]])</f>
        <v>71</v>
      </c>
      <c r="M611" t="s">
        <v>4430</v>
      </c>
      <c r="N611" s="642" t="s">
        <v>120</v>
      </c>
      <c r="O611" s="1025">
        <f>Table15[[#This Row],[Date Completed]]</f>
        <v>44692</v>
      </c>
      <c r="P611" s="21" t="s">
        <v>120</v>
      </c>
      <c r="Q611" s="1151">
        <f>Table15[[#This Row],[KH Hourly Effort]]</f>
        <v>8992.5</v>
      </c>
      <c r="R611" s="1026" t="s">
        <v>1922</v>
      </c>
      <c r="S611" s="538" t="s">
        <v>709</v>
      </c>
      <c r="T611" s="538" t="s">
        <v>709</v>
      </c>
      <c r="U611" s="87">
        <v>8992.5</v>
      </c>
      <c r="V611" s="858"/>
      <c r="W611" s="437"/>
      <c r="X611" s="538"/>
      <c r="Y611" s="551"/>
      <c r="Z611" s="538"/>
      <c r="AA611" s="538"/>
      <c r="AB611" s="21"/>
      <c r="AC611" s="569"/>
      <c r="AD611" s="1149" t="s">
        <v>709</v>
      </c>
      <c r="AE611" s="569"/>
      <c r="AF611" s="569"/>
      <c r="AG611" s="569"/>
      <c r="AH611" s="536"/>
      <c r="AI611" s="1028"/>
      <c r="AJ611" s="1029"/>
      <c r="AK611" s="1029"/>
      <c r="AL611" s="1030"/>
      <c r="AM611" s="542" t="s">
        <v>709</v>
      </c>
      <c r="AN611" s="924"/>
      <c r="AO611" s="925"/>
      <c r="AP611" s="926"/>
      <c r="AQ611" s="926"/>
      <c r="AR611" s="926"/>
      <c r="AS611" s="926"/>
      <c r="AT611" s="926"/>
      <c r="AU611" s="926"/>
      <c r="AV611" s="926"/>
      <c r="AW611" s="927"/>
      <c r="AX611" s="926"/>
      <c r="AY611" s="1538" t="s">
        <v>29</v>
      </c>
      <c r="AZ611" s="1530"/>
      <c r="BA611" s="1031">
        <v>11</v>
      </c>
      <c r="BB611" s="644"/>
      <c r="BC611" s="544"/>
      <c r="BD611" s="544"/>
      <c r="BE611" s="544"/>
      <c r="BF611" s="544"/>
      <c r="BG611" s="544"/>
      <c r="BH611" s="741"/>
      <c r="BI611" s="547" t="s">
        <v>709</v>
      </c>
      <c r="BJ611" s="547" t="s">
        <v>709</v>
      </c>
      <c r="BK611" s="547" t="s">
        <v>709</v>
      </c>
      <c r="BL611" s="547" t="s">
        <v>116</v>
      </c>
      <c r="BM611" s="547" t="s">
        <v>709</v>
      </c>
      <c r="BN611" s="547" t="s">
        <v>709</v>
      </c>
      <c r="BO611" s="547" t="s">
        <v>709</v>
      </c>
      <c r="BP611" s="547">
        <v>361</v>
      </c>
      <c r="BQ611" s="547">
        <v>3694</v>
      </c>
      <c r="BR611" s="547">
        <v>91</v>
      </c>
      <c r="BS611" s="547">
        <v>1545</v>
      </c>
      <c r="BT611" s="547" t="s">
        <v>745</v>
      </c>
      <c r="BU611" s="547" t="s">
        <v>709</v>
      </c>
      <c r="BV611" s="547" t="s">
        <v>745</v>
      </c>
      <c r="BW611" s="547" t="s">
        <v>709</v>
      </c>
      <c r="BX611" s="547" t="s">
        <v>745</v>
      </c>
      <c r="BY611" s="547" t="s">
        <v>745</v>
      </c>
      <c r="BZ611" s="547" t="s">
        <v>709</v>
      </c>
      <c r="CA611" s="483"/>
      <c r="CB611" s="547">
        <v>609</v>
      </c>
      <c r="CC611" s="1481" t="b">
        <v>1</v>
      </c>
      <c r="CD611" t="str">
        <f>Table15[[#This Row],[Engineering Number]]&amp;Table15[[#This Row],[WO Number]]&amp;Table15[[#This Row],[Date Assigned to Designer]]&amp;Table15[[#This Row],[Date Completed]]</f>
        <v>VW84-11408074462144692</v>
      </c>
    </row>
    <row r="612" spans="1:82" customFormat="1" ht="15" customHeight="1" x14ac:dyDescent="0.25">
      <c r="A612">
        <v>2022</v>
      </c>
      <c r="B612" s="8" t="s">
        <v>771</v>
      </c>
      <c r="C612" s="8" t="s">
        <v>217</v>
      </c>
      <c r="D612" s="8" t="s">
        <v>4439</v>
      </c>
      <c r="E612" s="8" t="s">
        <v>218</v>
      </c>
      <c r="F612" s="8" t="s">
        <v>747</v>
      </c>
      <c r="G612" s="8" t="s">
        <v>22</v>
      </c>
      <c r="H612" s="8" t="s">
        <v>59</v>
      </c>
      <c r="I612" s="642">
        <v>44522</v>
      </c>
      <c r="J612" s="18">
        <v>44694</v>
      </c>
      <c r="K612" s="18">
        <v>44693</v>
      </c>
      <c r="L612" s="16">
        <f>IF(ISTEXT(Table15[[#This Row],[Engineering Approved Design Date]]),Table15[[#This Row],[Date Completed]]-Table15[[#This Row],[Date Assigned to Designer]],Table15[[#This Row],[Engineering Approved Design Date]]-Table15[[#This Row],[Date Completed]])</f>
        <v>1</v>
      </c>
      <c r="M612" s="642"/>
      <c r="N612" s="642" t="s">
        <v>120</v>
      </c>
      <c r="O612" s="1025">
        <f>Table15[[#This Row],[Date Completed]]</f>
        <v>44693</v>
      </c>
      <c r="P612" s="21" t="s">
        <v>120</v>
      </c>
      <c r="Q612" s="1151">
        <f>1.55*Table15[[#This Row],[LF of Main]]</f>
        <v>17048.45</v>
      </c>
      <c r="R612" s="1026" t="s">
        <v>2087</v>
      </c>
      <c r="S612" s="538" t="s">
        <v>709</v>
      </c>
      <c r="T612" s="538" t="s">
        <v>709</v>
      </c>
      <c r="U612" s="87" t="s">
        <v>709</v>
      </c>
      <c r="V612" s="857">
        <v>10999</v>
      </c>
      <c r="W612" s="440"/>
      <c r="X612" s="551">
        <v>1552530.8</v>
      </c>
      <c r="Y612" s="550"/>
      <c r="Z612" s="551">
        <v>43592.85</v>
      </c>
      <c r="AA612" s="551">
        <f>Table15[[#This Row],[PCTS Investment Amount]]+Table15[[#This Row],[PCTS Retirement Amount]]</f>
        <v>1596123.6500000001</v>
      </c>
      <c r="AB612" s="341"/>
      <c r="AC612" s="568" t="s">
        <v>4440</v>
      </c>
      <c r="AD612" s="1157"/>
      <c r="AE612" s="568"/>
      <c r="AF612" s="568"/>
      <c r="AG612" s="568"/>
      <c r="AH612" s="183"/>
      <c r="AI612" s="1036"/>
      <c r="AJ612" s="1037"/>
      <c r="AK612" s="1037"/>
      <c r="AL612" s="1038"/>
      <c r="AM612" s="542" t="s">
        <v>709</v>
      </c>
      <c r="AN612" s="924"/>
      <c r="AO612" s="925"/>
      <c r="AP612" s="926"/>
      <c r="AQ612" s="926"/>
      <c r="AR612" s="926"/>
      <c r="AS612" s="926"/>
      <c r="AT612" s="926"/>
      <c r="AU612" s="926"/>
      <c r="AV612" s="926"/>
      <c r="AW612" s="927"/>
      <c r="AX612" s="926"/>
      <c r="AY612" s="1538" t="s">
        <v>29</v>
      </c>
      <c r="AZ612" s="1530"/>
      <c r="BA612" s="1031" t="s">
        <v>4441</v>
      </c>
      <c r="BB612" s="644" t="s">
        <v>4442</v>
      </c>
      <c r="BC612" s="544" t="s">
        <v>116</v>
      </c>
      <c r="BD612" s="544" t="s">
        <v>709</v>
      </c>
      <c r="BE612" s="544" t="s">
        <v>709</v>
      </c>
      <c r="BF612" s="544" t="s">
        <v>709</v>
      </c>
      <c r="BG612" s="544" t="s">
        <v>709</v>
      </c>
      <c r="BH612" s="741"/>
      <c r="BI612" s="547" t="s">
        <v>709</v>
      </c>
      <c r="BJ612" s="547" t="s">
        <v>709</v>
      </c>
      <c r="BK612" s="547" t="s">
        <v>116</v>
      </c>
      <c r="BL612" s="547" t="s">
        <v>116</v>
      </c>
      <c r="BM612" s="547" t="s">
        <v>709</v>
      </c>
      <c r="BN612" s="547" t="s">
        <v>709</v>
      </c>
      <c r="BO612" s="547" t="s">
        <v>709</v>
      </c>
      <c r="BP612" s="547">
        <v>3270</v>
      </c>
      <c r="BQ612" s="547">
        <v>7510</v>
      </c>
      <c r="BR612" s="547" t="s">
        <v>709</v>
      </c>
      <c r="BS612" s="547">
        <v>219</v>
      </c>
      <c r="BT612" s="547" t="s">
        <v>745</v>
      </c>
      <c r="BU612" s="547" t="s">
        <v>709</v>
      </c>
      <c r="BV612" s="547" t="s">
        <v>745</v>
      </c>
      <c r="BW612" s="547" t="s">
        <v>709</v>
      </c>
      <c r="BX612" s="547" t="s">
        <v>745</v>
      </c>
      <c r="BY612" s="547" t="s">
        <v>745</v>
      </c>
      <c r="BZ612" s="547" t="s">
        <v>709</v>
      </c>
      <c r="CA612" s="483"/>
      <c r="CB612" s="547">
        <v>610</v>
      </c>
      <c r="CC612" s="1481" t="b">
        <v>1</v>
      </c>
      <c r="CD612" t="str">
        <f>Table15[[#This Row],[Engineering Number]]&amp;Table15[[#This Row],[WO Number]]&amp;Table15[[#This Row],[Date Assigned to Designer]]&amp;Table15[[#This Row],[Date Completed]]</f>
        <v>BS45814107994452244693</v>
      </c>
    </row>
    <row r="613" spans="1:82" customFormat="1" ht="15" customHeight="1" x14ac:dyDescent="0.25">
      <c r="A613">
        <v>2022</v>
      </c>
      <c r="B613" s="8" t="s">
        <v>771</v>
      </c>
      <c r="C613" s="8" t="s">
        <v>4444</v>
      </c>
      <c r="D613" s="8" t="s">
        <v>4445</v>
      </c>
      <c r="E613" s="8" t="s">
        <v>218</v>
      </c>
      <c r="F613" s="8" t="s">
        <v>747</v>
      </c>
      <c r="G613" s="8" t="s">
        <v>22</v>
      </c>
      <c r="H613" s="8" t="s">
        <v>59</v>
      </c>
      <c r="I613" s="642">
        <v>44522</v>
      </c>
      <c r="J613" s="18">
        <v>44694</v>
      </c>
      <c r="K613" s="18">
        <v>44693</v>
      </c>
      <c r="L613" s="16">
        <f>IF(ISTEXT(Table15[[#This Row],[Engineering Approved Design Date]]),Table15[[#This Row],[Date Completed]]-Table15[[#This Row],[Date Assigned to Designer]],Table15[[#This Row],[Engineering Approved Design Date]]-Table15[[#This Row],[Date Completed]])</f>
        <v>1</v>
      </c>
      <c r="M613" s="642"/>
      <c r="N613" s="642" t="s">
        <v>120</v>
      </c>
      <c r="O613" s="1025">
        <f>Table15[[#This Row],[Date Completed]]</f>
        <v>44693</v>
      </c>
      <c r="P613" s="21" t="s">
        <v>120</v>
      </c>
      <c r="Q613" s="1151">
        <f>1.55*Table15[[#This Row],[LF of Main]]</f>
        <v>12486.800000000001</v>
      </c>
      <c r="R613" s="1026" t="s">
        <v>2087</v>
      </c>
      <c r="S613" s="538" t="s">
        <v>709</v>
      </c>
      <c r="T613" s="538" t="s">
        <v>709</v>
      </c>
      <c r="U613" s="87" t="s">
        <v>709</v>
      </c>
      <c r="V613" s="857">
        <v>8056</v>
      </c>
      <c r="W613" s="440"/>
      <c r="X613" s="551">
        <v>1653568.84</v>
      </c>
      <c r="Y613" s="550"/>
      <c r="Z613" s="551">
        <v>79366.41</v>
      </c>
      <c r="AA613" s="551">
        <f>Table15[[#This Row],[PCTS Investment Amount]]+Table15[[#This Row],[PCTS Retirement Amount]]</f>
        <v>1732935.25</v>
      </c>
      <c r="AB613" s="341"/>
      <c r="AC613" s="568" t="s">
        <v>4440</v>
      </c>
      <c r="AD613" s="1157"/>
      <c r="AE613" s="568"/>
      <c r="AF613" s="568"/>
      <c r="AG613" s="568"/>
      <c r="AH613" s="183"/>
      <c r="AI613" s="1036"/>
      <c r="AJ613" s="1037"/>
      <c r="AK613" s="1037"/>
      <c r="AL613" s="1038"/>
      <c r="AM613" s="542" t="s">
        <v>709</v>
      </c>
      <c r="AN613" s="924"/>
      <c r="AO613" s="925"/>
      <c r="AP613" s="926"/>
      <c r="AQ613" s="926"/>
      <c r="AR613" s="926"/>
      <c r="AS613" s="926"/>
      <c r="AT613" s="926"/>
      <c r="AU613" s="926"/>
      <c r="AV613" s="926"/>
      <c r="AW613" s="927"/>
      <c r="AX613" s="926"/>
      <c r="AY613" s="1538" t="s">
        <v>29</v>
      </c>
      <c r="AZ613" s="1530"/>
      <c r="BA613" s="1031" t="s">
        <v>4446</v>
      </c>
      <c r="BB613" s="644" t="s">
        <v>4447</v>
      </c>
      <c r="BC613" s="544" t="s">
        <v>116</v>
      </c>
      <c r="BD613" s="544" t="s">
        <v>709</v>
      </c>
      <c r="BE613" s="544" t="s">
        <v>709</v>
      </c>
      <c r="BF613" s="544" t="s">
        <v>4448</v>
      </c>
      <c r="BG613" s="544" t="s">
        <v>709</v>
      </c>
      <c r="BH613" s="741"/>
      <c r="BI613" s="547" t="s">
        <v>709</v>
      </c>
      <c r="BJ613" s="547" t="s">
        <v>709</v>
      </c>
      <c r="BK613" s="547" t="s">
        <v>116</v>
      </c>
      <c r="BL613" s="547" t="s">
        <v>709</v>
      </c>
      <c r="BM613" s="547" t="s">
        <v>709</v>
      </c>
      <c r="BN613" s="547" t="s">
        <v>709</v>
      </c>
      <c r="BO613" s="547" t="s">
        <v>709</v>
      </c>
      <c r="BP613" s="547">
        <v>7938</v>
      </c>
      <c r="BQ613" s="547" t="s">
        <v>709</v>
      </c>
      <c r="BR613" s="547" t="s">
        <v>709</v>
      </c>
      <c r="BS613" s="547">
        <v>118</v>
      </c>
      <c r="BT613" s="547" t="s">
        <v>709</v>
      </c>
      <c r="BU613" s="547" t="s">
        <v>709</v>
      </c>
      <c r="BV613" s="547" t="s">
        <v>745</v>
      </c>
      <c r="BW613" s="547" t="s">
        <v>709</v>
      </c>
      <c r="BX613" s="547" t="s">
        <v>709</v>
      </c>
      <c r="BY613" s="547" t="s">
        <v>745</v>
      </c>
      <c r="BZ613" s="547" t="s">
        <v>709</v>
      </c>
      <c r="CA613" s="483"/>
      <c r="CB613" s="547">
        <v>611</v>
      </c>
      <c r="CC613" s="1481" t="b">
        <v>1</v>
      </c>
      <c r="CD613" t="str">
        <f>Table15[[#This Row],[Engineering Number]]&amp;Table15[[#This Row],[WO Number]]&amp;Table15[[#This Row],[Date Assigned to Designer]]&amp;Table15[[#This Row],[Date Completed]]</f>
        <v>BS45914108004452244693</v>
      </c>
    </row>
    <row r="614" spans="1:82" customFormat="1" ht="15" customHeight="1" x14ac:dyDescent="0.25">
      <c r="A614">
        <v>2022</v>
      </c>
      <c r="B614" s="8" t="s">
        <v>771</v>
      </c>
      <c r="C614" s="8" t="s">
        <v>3984</v>
      </c>
      <c r="D614" s="8">
        <v>1210721</v>
      </c>
      <c r="E614" s="8" t="s">
        <v>342</v>
      </c>
      <c r="F614" s="8" t="s">
        <v>738</v>
      </c>
      <c r="G614" s="8" t="s">
        <v>23</v>
      </c>
      <c r="H614" s="8" t="s">
        <v>4436</v>
      </c>
      <c r="I614" s="642">
        <v>44690</v>
      </c>
      <c r="J614" s="18" t="s">
        <v>2052</v>
      </c>
      <c r="K614" s="97">
        <v>44693</v>
      </c>
      <c r="L614" s="16">
        <f>IF(ISTEXT(Table15[[#This Row],[Engineering Approved Design Date]]),Table15[[#This Row],[Date Completed]]-Table15[[#This Row],[Date Assigned to Designer]],Table15[[#This Row],[Engineering Approved Design Date]]-Table15[[#This Row],[Date Completed]])</f>
        <v>3</v>
      </c>
      <c r="M614" t="s">
        <v>4437</v>
      </c>
      <c r="N614" s="642" t="s">
        <v>120</v>
      </c>
      <c r="O614" s="1025">
        <v>44713</v>
      </c>
      <c r="P614" s="21" t="s">
        <v>120</v>
      </c>
      <c r="Q614" s="1151">
        <f>Table15[[#This Row],[KH Hourly Effort]]</f>
        <v>1137.5</v>
      </c>
      <c r="R614" s="1026" t="s">
        <v>1922</v>
      </c>
      <c r="S614" s="538" t="s">
        <v>709</v>
      </c>
      <c r="T614" s="538" t="s">
        <v>709</v>
      </c>
      <c r="U614" s="87">
        <v>1137.5</v>
      </c>
      <c r="V614" s="858"/>
      <c r="W614" s="437"/>
      <c r="X614" s="538"/>
      <c r="Y614" s="551"/>
      <c r="Z614" s="538"/>
      <c r="AA614" s="538"/>
      <c r="AB614" s="21"/>
      <c r="AC614" s="569"/>
      <c r="AD614" s="1149" t="s">
        <v>709</v>
      </c>
      <c r="AE614" s="569"/>
      <c r="AF614" s="569"/>
      <c r="AG614" s="569"/>
      <c r="AH614" s="536"/>
      <c r="AI614" s="1028"/>
      <c r="AJ614" s="1029"/>
      <c r="AK614" s="1029"/>
      <c r="AL614" s="1030"/>
      <c r="AM614" s="542" t="s">
        <v>709</v>
      </c>
      <c r="AN614" s="924"/>
      <c r="AO614" s="925"/>
      <c r="AP614" s="926"/>
      <c r="AQ614" s="926"/>
      <c r="AR614" s="926"/>
      <c r="AS614" s="926"/>
      <c r="AT614" s="926"/>
      <c r="AU614" s="926"/>
      <c r="AV614" s="926"/>
      <c r="AW614" s="927"/>
      <c r="AX614" s="926"/>
      <c r="AY614" s="1538" t="s">
        <v>29</v>
      </c>
      <c r="AZ614" s="1530"/>
      <c r="BA614" s="1031">
        <v>3</v>
      </c>
      <c r="BB614" s="644"/>
      <c r="BC614" s="544"/>
      <c r="BD614" s="544"/>
      <c r="BE614" s="544"/>
      <c r="BF614" s="544"/>
      <c r="BG614" s="544"/>
      <c r="BH614" s="741"/>
      <c r="BI614" s="547" t="s">
        <v>709</v>
      </c>
      <c r="BJ614" s="547" t="s">
        <v>709</v>
      </c>
      <c r="BK614" s="547" t="s">
        <v>709</v>
      </c>
      <c r="BL614" s="547" t="s">
        <v>116</v>
      </c>
      <c r="BM614" s="547" t="s">
        <v>709</v>
      </c>
      <c r="BN614" s="547" t="s">
        <v>709</v>
      </c>
      <c r="BO614" s="547" t="s">
        <v>709</v>
      </c>
      <c r="BP614" s="547">
        <v>3715</v>
      </c>
      <c r="BQ614" s="547">
        <v>424</v>
      </c>
      <c r="BR614" s="547">
        <v>326</v>
      </c>
      <c r="BS614" s="547">
        <v>6089</v>
      </c>
      <c r="BT614" s="547" t="s">
        <v>709</v>
      </c>
      <c r="BU614" s="547" t="s">
        <v>709</v>
      </c>
      <c r="BV614" s="547">
        <v>1</v>
      </c>
      <c r="BW614" s="547" t="s">
        <v>709</v>
      </c>
      <c r="BX614" s="547" t="s">
        <v>745</v>
      </c>
      <c r="BY614" s="547" t="s">
        <v>709</v>
      </c>
      <c r="BZ614" s="547" t="s">
        <v>709</v>
      </c>
      <c r="CA614" s="483"/>
      <c r="CB614" s="547">
        <v>613</v>
      </c>
      <c r="CC614" s="1481" t="b">
        <v>1</v>
      </c>
      <c r="CD614" t="str">
        <f>Table15[[#This Row],[Engineering Number]]&amp;Table15[[#This Row],[WO Number]]&amp;Table15[[#This Row],[Date Assigned to Designer]]&amp;Table15[[#This Row],[Date Completed]]</f>
        <v>BS26012107214469044693</v>
      </c>
    </row>
    <row r="615" spans="1:82" customFormat="1" ht="15" customHeight="1" x14ac:dyDescent="0.25">
      <c r="A615">
        <v>2020</v>
      </c>
      <c r="B615" s="8" t="s">
        <v>771</v>
      </c>
      <c r="C615" s="8" t="s">
        <v>2829</v>
      </c>
      <c r="D615" s="8">
        <v>120482</v>
      </c>
      <c r="E615" s="8" t="s">
        <v>2246</v>
      </c>
      <c r="F615" s="8" t="s">
        <v>919</v>
      </c>
      <c r="G615" s="8" t="s">
        <v>1882</v>
      </c>
      <c r="H615" s="99" t="s">
        <v>2723</v>
      </c>
      <c r="I615" s="642">
        <v>44285</v>
      </c>
      <c r="J615" s="175" t="s">
        <v>2724</v>
      </c>
      <c r="K615" s="97">
        <v>44693</v>
      </c>
      <c r="L615" s="16">
        <f>IF(ISTEXT(Table15[[#This Row],[Engineering Approved Design Date]]),Table15[[#This Row],[Date Completed]]-Table15[[#This Row],[Date Assigned to Designer]],Table15[[#This Row],[Engineering Approved Design Date]]-Table15[[#This Row],[Date Completed]])</f>
        <v>408</v>
      </c>
      <c r="M615" t="s">
        <v>4433</v>
      </c>
      <c r="N615" s="642" t="s">
        <v>120</v>
      </c>
      <c r="O615" s="1025">
        <f>Table15[[#This Row],[Date Completed]]</f>
        <v>44693</v>
      </c>
      <c r="P615" s="21" t="s">
        <v>120</v>
      </c>
      <c r="Q615" s="1151">
        <f>Table15[[#This Row],[KH Hourly Effort]]</f>
        <v>20570</v>
      </c>
      <c r="R615" s="1026" t="s">
        <v>1922</v>
      </c>
      <c r="S615" s="538" t="s">
        <v>709</v>
      </c>
      <c r="T615" s="538" t="s">
        <v>709</v>
      </c>
      <c r="U615" s="87">
        <v>20570</v>
      </c>
      <c r="V615" s="858"/>
      <c r="W615" s="437"/>
      <c r="X615" s="538"/>
      <c r="Y615" s="551"/>
      <c r="Z615" s="538"/>
      <c r="AA615" s="538"/>
      <c r="AB615" s="21"/>
      <c r="AC615" s="569"/>
      <c r="AD615" s="1149"/>
      <c r="AE615" s="569"/>
      <c r="AF615" s="569"/>
      <c r="AG615" s="569"/>
      <c r="AH615" s="536"/>
      <c r="AI615" s="1028"/>
      <c r="AJ615" s="1029"/>
      <c r="AK615" s="1029"/>
      <c r="AL615" s="1030"/>
      <c r="AM615" s="542" t="s">
        <v>709</v>
      </c>
      <c r="AN615" s="924"/>
      <c r="AO615" s="925"/>
      <c r="AP615" s="926"/>
      <c r="AQ615" s="926"/>
      <c r="AR615" s="926"/>
      <c r="AS615" s="926"/>
      <c r="AT615" s="926"/>
      <c r="AU615" s="926"/>
      <c r="AV615" s="926"/>
      <c r="AW615" s="927"/>
      <c r="AX615" s="926"/>
      <c r="AY615" s="1538" t="s">
        <v>29</v>
      </c>
      <c r="AZ615" s="1530"/>
      <c r="BA615" s="1031" t="s">
        <v>4434</v>
      </c>
      <c r="BB615" s="644"/>
      <c r="BC615" s="544"/>
      <c r="BD615" s="544"/>
      <c r="BE615" s="544"/>
      <c r="BF615" s="544"/>
      <c r="BG615" s="544"/>
      <c r="BH615" s="741"/>
      <c r="BI615" s="547" t="s">
        <v>709</v>
      </c>
      <c r="BJ615" s="547" t="s">
        <v>709</v>
      </c>
      <c r="BK615" s="547" t="s">
        <v>709</v>
      </c>
      <c r="BL615" s="547" t="s">
        <v>116</v>
      </c>
      <c r="BM615" s="547" t="s">
        <v>709</v>
      </c>
      <c r="BN615" s="547" t="s">
        <v>709</v>
      </c>
      <c r="BO615" s="547" t="s">
        <v>709</v>
      </c>
      <c r="BP615" s="547">
        <v>699</v>
      </c>
      <c r="BQ615" s="547" t="s">
        <v>709</v>
      </c>
      <c r="BR615" s="547">
        <v>68</v>
      </c>
      <c r="BS615" s="547">
        <v>254</v>
      </c>
      <c r="BT615" s="547" t="s">
        <v>745</v>
      </c>
      <c r="BU615" s="547" t="s">
        <v>709</v>
      </c>
      <c r="BV615" s="547" t="s">
        <v>745</v>
      </c>
      <c r="BW615" s="547" t="s">
        <v>709</v>
      </c>
      <c r="BX615" s="547" t="s">
        <v>745</v>
      </c>
      <c r="BY615" s="547" t="s">
        <v>745</v>
      </c>
      <c r="BZ615" s="547" t="s">
        <v>709</v>
      </c>
      <c r="CA615" s="483"/>
      <c r="CB615" s="547">
        <v>612</v>
      </c>
      <c r="CC615" s="1481" t="b">
        <v>1</v>
      </c>
      <c r="CD615" t="str">
        <f>Table15[[#This Row],[Engineering Number]]&amp;Table15[[#This Row],[WO Number]]&amp;Table15[[#This Row],[Date Assigned to Designer]]&amp;Table15[[#This Row],[Date Completed]]</f>
        <v>VW265-11204824428544693</v>
      </c>
    </row>
    <row r="616" spans="1:82" customFormat="1" ht="15" customHeight="1" x14ac:dyDescent="0.25">
      <c r="A616">
        <v>2016</v>
      </c>
      <c r="B616" s="8" t="s">
        <v>759</v>
      </c>
      <c r="C616" s="8" t="s">
        <v>224</v>
      </c>
      <c r="D616" s="8" t="s">
        <v>1270</v>
      </c>
      <c r="E616" s="8" t="s">
        <v>225</v>
      </c>
      <c r="F616" s="8" t="s">
        <v>738</v>
      </c>
      <c r="G616" s="8" t="s">
        <v>1882</v>
      </c>
      <c r="H616" s="8" t="s">
        <v>59</v>
      </c>
      <c r="I616" s="18">
        <v>44425</v>
      </c>
      <c r="J616" s="450">
        <v>44712</v>
      </c>
      <c r="K616" s="18">
        <v>44694</v>
      </c>
      <c r="L616" s="16">
        <f>IF(ISTEXT(Table15[[#This Row],[Engineering Approved Design Date]]),Table15[[#This Row],[Date Completed]]-Table15[[#This Row],[Date Assigned to Designer]],Table15[[#This Row],[Engineering Approved Design Date]]-Table15[[#This Row],[Date Completed]])</f>
        <v>18</v>
      </c>
      <c r="M616" s="642"/>
      <c r="N616" s="642" t="s">
        <v>120</v>
      </c>
      <c r="O616" s="1025">
        <f>Table15[[#This Row],[Date Completed]]</f>
        <v>44694</v>
      </c>
      <c r="P616" s="21" t="s">
        <v>120</v>
      </c>
      <c r="Q616" s="1151">
        <f>(Table15[[#This Row],[Construction Cost to Bill From]]*0.085)+5250</f>
        <v>94710.559450000001</v>
      </c>
      <c r="R616" s="1026" t="s">
        <v>1055</v>
      </c>
      <c r="S616" s="538" t="s">
        <v>709</v>
      </c>
      <c r="T616" s="538" t="s">
        <v>709</v>
      </c>
      <c r="U616" s="87" t="s">
        <v>709</v>
      </c>
      <c r="V616" s="857">
        <v>940</v>
      </c>
      <c r="W616" s="440">
        <v>514</v>
      </c>
      <c r="X616" s="551">
        <v>979255.57</v>
      </c>
      <c r="Y616" s="551"/>
      <c r="Z616" s="551">
        <v>73221.600000000006</v>
      </c>
      <c r="AA616" s="551">
        <f>Table15[[#This Row],[PCTS Investment Amount]]+Table15[[#This Row],[PCTS Retirement Amount]]</f>
        <v>1052477.17</v>
      </c>
      <c r="AB616" s="341"/>
      <c r="AC616" s="568" t="s">
        <v>116</v>
      </c>
      <c r="AD616" s="1157"/>
      <c r="AE616" s="579"/>
      <c r="AF616" s="579"/>
      <c r="AG616" s="579"/>
      <c r="AH616" s="553"/>
      <c r="AI616" s="1036"/>
      <c r="AJ616" s="1037"/>
      <c r="AK616" s="1037"/>
      <c r="AL616" s="1038"/>
      <c r="AM616" s="536" t="s">
        <v>116</v>
      </c>
      <c r="AN616" s="903" t="s">
        <v>709</v>
      </c>
      <c r="AO616" s="1536">
        <v>11015976</v>
      </c>
      <c r="AP616" s="1537"/>
      <c r="AQ616" s="1537"/>
      <c r="AR616" s="1537"/>
      <c r="AS616" s="888">
        <f>IF(Table15[[#This Row],[PCTS Approved]]="N",0,Table15[[#This Row],[Investment Amount (1'#'#'#'#'#)]]+Table15[[#This Row],[Retirement Amount (3'#'#'#'#'#)]])</f>
        <v>0</v>
      </c>
      <c r="AT616" s="888">
        <f>IF(Table15[[#This Row],[Approved Construction Cost]]=0,0,Table15[[#This Row],[Approved Construction Cost]]-Table15[[#This Row],[Construction Cost to Bill From]])</f>
        <v>0</v>
      </c>
      <c r="AU616" s="888">
        <f>IFERROR(Table15[[#This Row],[Difference in Construction Cost]]*Table15[[#This Row],[Rate]],Table15[[#This Row],[Difference in Construction Cost]]*0.085)</f>
        <v>0</v>
      </c>
      <c r="AV616" s="905"/>
      <c r="AW616" s="1509"/>
      <c r="AX616" s="888"/>
      <c r="AY616" s="636" t="s">
        <v>709</v>
      </c>
      <c r="AZ616" s="333">
        <v>184</v>
      </c>
      <c r="BA616" s="859" t="s">
        <v>1271</v>
      </c>
      <c r="BB616" s="644" t="s">
        <v>1272</v>
      </c>
      <c r="BC616" s="544"/>
      <c r="BD616" s="544"/>
      <c r="BE616" s="544"/>
      <c r="BF616" s="544"/>
      <c r="BG616" s="544"/>
      <c r="BH616" s="741" t="s">
        <v>1273</v>
      </c>
      <c r="BI616" s="547" t="s">
        <v>709</v>
      </c>
      <c r="BJ616" s="547" t="s">
        <v>709</v>
      </c>
      <c r="BK616" s="547" t="s">
        <v>116</v>
      </c>
      <c r="BL616" s="547" t="s">
        <v>116</v>
      </c>
      <c r="BM616" s="547" t="s">
        <v>709</v>
      </c>
      <c r="BN616" s="547" t="s">
        <v>709</v>
      </c>
      <c r="BO616" s="547" t="s">
        <v>709</v>
      </c>
      <c r="BP616" s="547">
        <v>724</v>
      </c>
      <c r="BQ616" s="547">
        <v>70</v>
      </c>
      <c r="BR616" s="547">
        <v>45</v>
      </c>
      <c r="BS616" s="547">
        <v>10</v>
      </c>
      <c r="BT616" s="547">
        <v>1</v>
      </c>
      <c r="BU616" s="547" t="s">
        <v>709</v>
      </c>
      <c r="BV616" s="547" t="s">
        <v>745</v>
      </c>
      <c r="BW616" s="547">
        <v>1</v>
      </c>
      <c r="BX616" s="547" t="s">
        <v>709</v>
      </c>
      <c r="BY616" s="547" t="s">
        <v>745</v>
      </c>
      <c r="BZ616" s="547" t="s">
        <v>709</v>
      </c>
      <c r="CA616" s="483" t="s">
        <v>769</v>
      </c>
      <c r="CB616" s="547">
        <v>614</v>
      </c>
      <c r="CC616" s="1481" t="b">
        <v>1</v>
      </c>
      <c r="CD616" t="str">
        <f>Table15[[#This Row],[Engineering Number]]&amp;Table15[[#This Row],[WO Number]]&amp;Table15[[#This Row],[Date Assigned to Designer]]&amp;Table15[[#This Row],[Date Completed]]</f>
        <v>RS5001020834442544694</v>
      </c>
    </row>
    <row r="617" spans="1:82" customFormat="1" ht="15" customHeight="1" x14ac:dyDescent="0.25">
      <c r="A617">
        <v>2022</v>
      </c>
      <c r="B617" s="8" t="s">
        <v>731</v>
      </c>
      <c r="C617" s="8" t="s">
        <v>4457</v>
      </c>
      <c r="D617" s="8" t="s">
        <v>4458</v>
      </c>
      <c r="E617" s="8" t="s">
        <v>1522</v>
      </c>
      <c r="F617" s="8" t="s">
        <v>752</v>
      </c>
      <c r="G617" s="8" t="s">
        <v>34</v>
      </c>
      <c r="H617" s="8" t="s">
        <v>59</v>
      </c>
      <c r="I617" s="642">
        <v>44596</v>
      </c>
      <c r="J617" s="18">
        <v>44712</v>
      </c>
      <c r="K617" s="18">
        <v>44697</v>
      </c>
      <c r="L617" s="16">
        <f>IF(ISTEXT(Table15[[#This Row],[Engineering Approved Design Date]]),Table15[[#This Row],[Date Completed]]-Table15[[#This Row],[Date Assigned to Designer]],Table15[[#This Row],[Engineering Approved Design Date]]-Table15[[#This Row],[Date Completed]])</f>
        <v>15</v>
      </c>
      <c r="M617" s="642"/>
      <c r="N617" s="642" t="s">
        <v>120</v>
      </c>
      <c r="O617" s="1025">
        <f>Table15[[#This Row],[Date Completed]]</f>
        <v>44697</v>
      </c>
      <c r="P617" s="21" t="s">
        <v>739</v>
      </c>
      <c r="Q617" s="1061">
        <f>R617*AA617</f>
        <v>10712.4966</v>
      </c>
      <c r="R617" s="1026">
        <v>0.09</v>
      </c>
      <c r="S617" s="538" t="s">
        <v>709</v>
      </c>
      <c r="T617" s="538" t="s">
        <v>709</v>
      </c>
      <c r="U617" s="87" t="s">
        <v>709</v>
      </c>
      <c r="V617" s="857"/>
      <c r="W617" s="440"/>
      <c r="X617" s="550"/>
      <c r="Y617" s="551"/>
      <c r="Z617" s="551">
        <v>119027.74</v>
      </c>
      <c r="AA617" s="551">
        <f>Table15[[#This Row],[PCTS Investment Amount]]+Table15[[#This Row],[PCTS Retirement Amount]]</f>
        <v>119027.74</v>
      </c>
      <c r="AB617" s="341"/>
      <c r="AC617" s="568" t="s">
        <v>709</v>
      </c>
      <c r="AD617" s="1157" t="s">
        <v>29</v>
      </c>
      <c r="AE617" s="579"/>
      <c r="AF617" s="579"/>
      <c r="AG617" s="579"/>
      <c r="AH617" s="553"/>
      <c r="AI617" s="1036"/>
      <c r="AJ617" s="1037"/>
      <c r="AK617" s="1037"/>
      <c r="AL617" s="1038"/>
      <c r="AM617" s="1522" t="s">
        <v>116</v>
      </c>
      <c r="AN617" s="1523">
        <v>44740</v>
      </c>
      <c r="AO617" s="1524">
        <v>11041786</v>
      </c>
      <c r="AP617" s="1525">
        <v>0</v>
      </c>
      <c r="AQ617" s="1525"/>
      <c r="AR617" s="1525">
        <v>119233.06</v>
      </c>
      <c r="AS617" s="1525">
        <f>IF(Table15[[#This Row],[PCTS Approved]]="N",0,Table15[[#This Row],[Investment Amount (1'#'#'#'#'#)]]+Table15[[#This Row],[Retirement Amount (3'#'#'#'#'#)]])</f>
        <v>119233.06</v>
      </c>
      <c r="AT617" s="1525">
        <f>IF(Table15[[#This Row],[Approved Construction Cost]]=0,0,Table15[[#This Row],[Approved Construction Cost]]-Table15[[#This Row],[Construction Cost to Bill From]])</f>
        <v>205.31999999999243</v>
      </c>
      <c r="AU617" s="1525">
        <f>IFERROR(Table15[[#This Row],[Difference in Construction Cost]]*Table15[[#This Row],[Rate]],Table15[[#This Row],[Difference in Construction Cost]]*0.085)</f>
        <v>18.478799999999318</v>
      </c>
      <c r="AV617" s="1525" t="s">
        <v>709</v>
      </c>
      <c r="AW617" s="1526"/>
      <c r="AX617" s="1525">
        <f>Table15[[#This Row],[Reconcile Amount]]</f>
        <v>18.478799999999318</v>
      </c>
      <c r="AY617" s="1518">
        <v>45008</v>
      </c>
      <c r="AZ617" s="333"/>
      <c r="BA617" s="1031" t="s">
        <v>4459</v>
      </c>
      <c r="BB617" s="644" t="s">
        <v>4460</v>
      </c>
      <c r="BC617" s="544" t="s">
        <v>116</v>
      </c>
      <c r="BD617" s="544" t="s">
        <v>709</v>
      </c>
      <c r="BE617" s="544" t="s">
        <v>526</v>
      </c>
      <c r="BF617" s="544" t="s">
        <v>709</v>
      </c>
      <c r="BG617" s="544" t="s">
        <v>709</v>
      </c>
      <c r="BH617" s="741"/>
      <c r="BI617" s="547" t="s">
        <v>709</v>
      </c>
      <c r="BJ617" s="547" t="s">
        <v>709</v>
      </c>
      <c r="BK617" s="547" t="s">
        <v>709</v>
      </c>
      <c r="BL617" s="547" t="s">
        <v>709</v>
      </c>
      <c r="BM617" s="547" t="s">
        <v>709</v>
      </c>
      <c r="BN617" s="547" t="s">
        <v>709</v>
      </c>
      <c r="BO617" s="547" t="s">
        <v>709</v>
      </c>
      <c r="BP617" s="547" t="s">
        <v>709</v>
      </c>
      <c r="BQ617" s="547" t="s">
        <v>709</v>
      </c>
      <c r="BR617" s="547" t="s">
        <v>709</v>
      </c>
      <c r="BS617" s="547" t="s">
        <v>709</v>
      </c>
      <c r="BT617" s="547" t="s">
        <v>745</v>
      </c>
      <c r="BU617" s="547" t="s">
        <v>709</v>
      </c>
      <c r="BV617" s="547">
        <v>2</v>
      </c>
      <c r="BW617" s="547" t="s">
        <v>709</v>
      </c>
      <c r="BX617" s="547" t="s">
        <v>745</v>
      </c>
      <c r="BY617" s="547" t="s">
        <v>745</v>
      </c>
      <c r="BZ617" s="547" t="s">
        <v>709</v>
      </c>
      <c r="CA617" s="483" t="s">
        <v>1146</v>
      </c>
      <c r="CB617" s="547">
        <v>616</v>
      </c>
      <c r="CC617" s="1481" t="b">
        <v>1</v>
      </c>
      <c r="CD617" t="str">
        <f>Table15[[#This Row],[Engineering Number]]&amp;Table15[[#This Row],[WO Number]]&amp;Table15[[#This Row],[Date Assigned to Designer]]&amp;Table15[[#This Row],[Date Completed]]</f>
        <v>MR186633110354459644697</v>
      </c>
    </row>
    <row r="618" spans="1:82" customFormat="1" ht="15" customHeight="1" x14ac:dyDescent="0.25">
      <c r="A618">
        <v>2022</v>
      </c>
      <c r="B618" s="8" t="s">
        <v>4</v>
      </c>
      <c r="C618" s="8" t="s">
        <v>4453</v>
      </c>
      <c r="D618" s="8" t="s">
        <v>115</v>
      </c>
      <c r="E618" s="8" t="s">
        <v>783</v>
      </c>
      <c r="F618" s="8" t="s">
        <v>738</v>
      </c>
      <c r="G618" s="8" t="s">
        <v>22</v>
      </c>
      <c r="H618" s="8" t="s">
        <v>1681</v>
      </c>
      <c r="I618" s="642">
        <v>44656</v>
      </c>
      <c r="J618" s="18">
        <v>44698</v>
      </c>
      <c r="K618" s="18">
        <v>44697</v>
      </c>
      <c r="L618" s="16">
        <f>IF(ISTEXT(Table15[[#This Row],[Engineering Approved Design Date]]),Table15[[#This Row],[Date Completed]]-Table15[[#This Row],[Date Assigned to Designer]],Table15[[#This Row],[Engineering Approved Design Date]]-Table15[[#This Row],[Date Completed]])</f>
        <v>1</v>
      </c>
      <c r="M618" s="642"/>
      <c r="N618" s="642" t="s">
        <v>120</v>
      </c>
      <c r="O618" s="1025">
        <f>Table15[[#This Row],[Date Completed]]</f>
        <v>44697</v>
      </c>
      <c r="P618" s="21" t="s">
        <v>739</v>
      </c>
      <c r="Q618" s="340" t="s">
        <v>115</v>
      </c>
      <c r="R618" s="1026" t="s">
        <v>115</v>
      </c>
      <c r="S618" s="538" t="s">
        <v>709</v>
      </c>
      <c r="T618" s="538" t="s">
        <v>709</v>
      </c>
      <c r="U618" s="87" t="s">
        <v>709</v>
      </c>
      <c r="V618" s="857"/>
      <c r="W618" s="440"/>
      <c r="X618" s="550"/>
      <c r="Y618" s="550"/>
      <c r="Z618" s="550"/>
      <c r="AA618" s="551"/>
      <c r="AB618" s="341"/>
      <c r="AC618" s="568" t="s">
        <v>709</v>
      </c>
      <c r="AD618" s="1157"/>
      <c r="AE618" s="579"/>
      <c r="AF618" s="579"/>
      <c r="AG618" s="579"/>
      <c r="AH618" s="553"/>
      <c r="AI618" s="1036"/>
      <c r="AJ618" s="1037"/>
      <c r="AK618" s="1037"/>
      <c r="AL618" s="1038"/>
      <c r="AM618" s="542" t="s">
        <v>709</v>
      </c>
      <c r="AN618" s="924"/>
      <c r="AO618" s="925"/>
      <c r="AP618" s="926"/>
      <c r="AQ618" s="926"/>
      <c r="AR618" s="926"/>
      <c r="AS618" s="926"/>
      <c r="AT618" s="926"/>
      <c r="AU618" s="926"/>
      <c r="AV618" s="926"/>
      <c r="AW618" s="927"/>
      <c r="AX618" s="926"/>
      <c r="AY618" s="1538" t="s">
        <v>29</v>
      </c>
      <c r="AZ618" s="1530"/>
      <c r="BA618" s="1031" t="s">
        <v>4454</v>
      </c>
      <c r="BB618" s="644" t="s">
        <v>4455</v>
      </c>
      <c r="BC618" s="544"/>
      <c r="BD618" s="544"/>
      <c r="BE618" s="544"/>
      <c r="BF618" s="544"/>
      <c r="BG618" s="544"/>
      <c r="BH618" s="741"/>
      <c r="BI618" s="1032"/>
      <c r="BJ618" s="1032"/>
      <c r="BK618" s="1032"/>
      <c r="BL618" s="1032"/>
      <c r="BM618" s="1032"/>
      <c r="BN618" s="1032"/>
      <c r="BO618" s="1032"/>
      <c r="BP618" s="1032"/>
      <c r="BQ618" s="1032"/>
      <c r="BR618" s="1032"/>
      <c r="BS618" s="1032"/>
      <c r="BT618" s="1032"/>
      <c r="BU618" s="1032"/>
      <c r="BV618" s="1032"/>
      <c r="BW618" s="1032"/>
      <c r="BX618" s="1032"/>
      <c r="BY618" s="1032"/>
      <c r="BZ618" s="1032"/>
      <c r="CA618" s="485"/>
      <c r="CB618" s="547">
        <v>615</v>
      </c>
      <c r="CC618" s="1481" t="b">
        <v>1</v>
      </c>
      <c r="CD618" t="str">
        <f>Table15[[#This Row],[Engineering Number]]&amp;Table15[[#This Row],[WO Number]]&amp;Table15[[#This Row],[Date Assigned to Designer]]&amp;Table15[[#This Row],[Date Completed]]</f>
        <v>SC18640-4465644697</v>
      </c>
    </row>
    <row r="619" spans="1:82" customFormat="1" ht="15" customHeight="1" x14ac:dyDescent="0.25">
      <c r="A619">
        <v>2020</v>
      </c>
      <c r="B619" s="8" t="s">
        <v>769</v>
      </c>
      <c r="C619" s="8" t="s">
        <v>128</v>
      </c>
      <c r="D619" s="8">
        <v>109157</v>
      </c>
      <c r="E619" s="8" t="s">
        <v>129</v>
      </c>
      <c r="F619" s="8" t="s">
        <v>738</v>
      </c>
      <c r="G619" s="8" t="s">
        <v>1882</v>
      </c>
      <c r="H619" s="8" t="s">
        <v>4450</v>
      </c>
      <c r="I619" s="642">
        <v>44679</v>
      </c>
      <c r="J619" s="175" t="s">
        <v>2612</v>
      </c>
      <c r="K619" s="97">
        <v>44697</v>
      </c>
      <c r="L619" s="16">
        <f>IF(ISTEXT(Table15[[#This Row],[Engineering Approved Design Date]]),Table15[[#This Row],[Date Completed]]-Table15[[#This Row],[Date Assigned to Designer]],Table15[[#This Row],[Engineering Approved Design Date]]-Table15[[#This Row],[Date Completed]])</f>
        <v>18</v>
      </c>
      <c r="N619" s="642" t="s">
        <v>120</v>
      </c>
      <c r="O619" s="1025">
        <v>44713</v>
      </c>
      <c r="P619" s="21" t="s">
        <v>120</v>
      </c>
      <c r="Q619" s="1151">
        <f>Table15[[#This Row],[KH Hourly Effort]]</f>
        <v>11885</v>
      </c>
      <c r="R619" s="1026" t="s">
        <v>1922</v>
      </c>
      <c r="S619" s="538" t="s">
        <v>709</v>
      </c>
      <c r="T619" s="538" t="s">
        <v>709</v>
      </c>
      <c r="U619" s="87">
        <v>11885</v>
      </c>
      <c r="V619" s="858"/>
      <c r="W619" s="437"/>
      <c r="X619" s="538"/>
      <c r="Y619" s="551"/>
      <c r="Z619" s="538"/>
      <c r="AA619" s="538"/>
      <c r="AB619" s="21"/>
      <c r="AC619" s="569"/>
      <c r="AD619" s="1149"/>
      <c r="AE619" s="580"/>
      <c r="AF619" s="580"/>
      <c r="AG619" s="580"/>
      <c r="AH619" s="542"/>
      <c r="AI619" s="1028"/>
      <c r="AJ619" s="1029"/>
      <c r="AK619" s="1029"/>
      <c r="AL619" s="1030"/>
      <c r="AM619" s="542" t="s">
        <v>709</v>
      </c>
      <c r="AN619" s="924"/>
      <c r="AO619" s="925"/>
      <c r="AP619" s="926"/>
      <c r="AQ619" s="926"/>
      <c r="AR619" s="926"/>
      <c r="AS619" s="926"/>
      <c r="AT619" s="926"/>
      <c r="AU619" s="926"/>
      <c r="AV619" s="926"/>
      <c r="AW619" s="927"/>
      <c r="AX619" s="926"/>
      <c r="AY619" s="1538" t="s">
        <v>29</v>
      </c>
      <c r="AZ619" s="1530"/>
      <c r="BA619" s="1031" t="s">
        <v>4451</v>
      </c>
      <c r="BB619" s="644" t="s">
        <v>4451</v>
      </c>
      <c r="BC619" s="544"/>
      <c r="BD619" s="544"/>
      <c r="BE619" s="544"/>
      <c r="BF619" s="544"/>
      <c r="BG619" s="544"/>
      <c r="BH619" s="741"/>
      <c r="BI619" s="547" t="s">
        <v>709</v>
      </c>
      <c r="BJ619" s="547" t="s">
        <v>709</v>
      </c>
      <c r="BK619" s="547" t="s">
        <v>116</v>
      </c>
      <c r="BL619" s="547" t="s">
        <v>116</v>
      </c>
      <c r="BM619" s="547" t="s">
        <v>709</v>
      </c>
      <c r="BN619" s="547" t="s">
        <v>709</v>
      </c>
      <c r="BO619" s="547" t="s">
        <v>709</v>
      </c>
      <c r="BP619" s="547">
        <v>378</v>
      </c>
      <c r="BQ619" s="547">
        <v>285</v>
      </c>
      <c r="BR619" s="547">
        <v>40</v>
      </c>
      <c r="BS619" s="547">
        <v>66</v>
      </c>
      <c r="BT619" s="547">
        <v>1</v>
      </c>
      <c r="BU619" s="547" t="s">
        <v>709</v>
      </c>
      <c r="BV619" s="547" t="s">
        <v>745</v>
      </c>
      <c r="BW619" s="547" t="s">
        <v>709</v>
      </c>
      <c r="BX619" s="547">
        <v>1</v>
      </c>
      <c r="BY619" s="547" t="s">
        <v>745</v>
      </c>
      <c r="BZ619" s="547" t="s">
        <v>709</v>
      </c>
      <c r="CA619" s="483" t="s">
        <v>769</v>
      </c>
      <c r="CB619" s="547">
        <v>617</v>
      </c>
      <c r="CC619" s="1481" t="b">
        <v>1</v>
      </c>
      <c r="CD619" t="str">
        <f>Table15[[#This Row],[Engineering Number]]&amp;Table15[[#This Row],[WO Number]]&amp;Table15[[#This Row],[Date Assigned to Designer]]&amp;Table15[[#This Row],[Date Completed]]</f>
        <v>RS6111091574467944697</v>
      </c>
    </row>
    <row r="620" spans="1:82" customFormat="1" ht="15" customHeight="1" x14ac:dyDescent="0.25">
      <c r="A620">
        <v>2022</v>
      </c>
      <c r="B620" s="8" t="s">
        <v>4</v>
      </c>
      <c r="C620" s="8" t="s">
        <v>4018</v>
      </c>
      <c r="D620" s="8" t="s">
        <v>4019</v>
      </c>
      <c r="E620" s="8" t="s">
        <v>818</v>
      </c>
      <c r="F620" s="8" t="s">
        <v>919</v>
      </c>
      <c r="G620" s="8" t="s">
        <v>39</v>
      </c>
      <c r="H620" s="8" t="s">
        <v>4462</v>
      </c>
      <c r="I620" s="642">
        <v>44671</v>
      </c>
      <c r="J620" s="175" t="s">
        <v>2052</v>
      </c>
      <c r="K620" s="97">
        <v>44698</v>
      </c>
      <c r="L620" s="16">
        <f>IF(ISTEXT(Table15[[#This Row],[Engineering Approved Design Date]]),Table15[[#This Row],[Date Completed]]-Table15[[#This Row],[Date Assigned to Designer]],Table15[[#This Row],[Engineering Approved Design Date]]-Table15[[#This Row],[Date Completed]])</f>
        <v>27</v>
      </c>
      <c r="M620" t="s">
        <v>4463</v>
      </c>
      <c r="N620" s="642" t="s">
        <v>120</v>
      </c>
      <c r="O620" s="1025">
        <v>44713</v>
      </c>
      <c r="P620" s="21" t="s">
        <v>739</v>
      </c>
      <c r="Q620" s="1151" t="s">
        <v>115</v>
      </c>
      <c r="R620" s="1026" t="s">
        <v>115</v>
      </c>
      <c r="S620" s="538" t="s">
        <v>709</v>
      </c>
      <c r="T620" s="538" t="s">
        <v>709</v>
      </c>
      <c r="U620" s="87" t="s">
        <v>709</v>
      </c>
      <c r="V620" s="858"/>
      <c r="W620" s="437"/>
      <c r="X620" s="538"/>
      <c r="Y620" s="551"/>
      <c r="Z620" s="538"/>
      <c r="AA620" s="538"/>
      <c r="AB620" s="21"/>
      <c r="AC620" s="569"/>
      <c r="AD620" s="1149" t="s">
        <v>709</v>
      </c>
      <c r="AE620" s="580"/>
      <c r="AF620" s="580"/>
      <c r="AG620" s="580"/>
      <c r="AH620" s="542"/>
      <c r="AI620" s="1028"/>
      <c r="AJ620" s="1029"/>
      <c r="AK620" s="1029"/>
      <c r="AL620" s="1030"/>
      <c r="AM620" s="542" t="s">
        <v>709</v>
      </c>
      <c r="AN620" s="924"/>
      <c r="AO620" s="925"/>
      <c r="AP620" s="926"/>
      <c r="AQ620" s="926"/>
      <c r="AR620" s="926"/>
      <c r="AS620" s="926"/>
      <c r="AT620" s="926"/>
      <c r="AU620" s="926"/>
      <c r="AV620" s="926"/>
      <c r="AW620" s="927"/>
      <c r="AX620" s="926"/>
      <c r="AY620" s="1538" t="s">
        <v>29</v>
      </c>
      <c r="AZ620" s="1530"/>
      <c r="BA620" s="1031" t="s">
        <v>4464</v>
      </c>
      <c r="BB620" s="644" t="s">
        <v>709</v>
      </c>
      <c r="BC620" s="544"/>
      <c r="BD620" s="544"/>
      <c r="BE620" s="544"/>
      <c r="BF620" s="544"/>
      <c r="BG620" s="544"/>
      <c r="BH620" s="741"/>
      <c r="BI620" s="1032" t="s">
        <v>709</v>
      </c>
      <c r="BJ620" s="1032" t="s">
        <v>709</v>
      </c>
      <c r="BK620" s="1032" t="s">
        <v>709</v>
      </c>
      <c r="BL620" s="1032" t="s">
        <v>116</v>
      </c>
      <c r="BM620" s="1032" t="s">
        <v>709</v>
      </c>
      <c r="BN620" s="1032" t="s">
        <v>709</v>
      </c>
      <c r="BO620" s="1032" t="s">
        <v>709</v>
      </c>
      <c r="BP620" s="1032" t="s">
        <v>116</v>
      </c>
      <c r="BQ620" s="1032" t="s">
        <v>116</v>
      </c>
      <c r="BR620" s="1032" t="s">
        <v>709</v>
      </c>
      <c r="BS620" s="1032" t="s">
        <v>116</v>
      </c>
      <c r="BT620" s="1032" t="s">
        <v>745</v>
      </c>
      <c r="BU620" s="1032" t="s">
        <v>709</v>
      </c>
      <c r="BV620" s="1032" t="s">
        <v>745</v>
      </c>
      <c r="BW620" s="1032" t="s">
        <v>709</v>
      </c>
      <c r="BX620" s="1032" t="s">
        <v>745</v>
      </c>
      <c r="BY620" s="1032" t="s">
        <v>745</v>
      </c>
      <c r="BZ620" s="1032"/>
      <c r="CA620" s="485"/>
      <c r="CB620" s="547">
        <v>618</v>
      </c>
      <c r="CC620" s="1481" t="b">
        <v>1</v>
      </c>
      <c r="CD620" t="str">
        <f>Table15[[#This Row],[Engineering Number]]&amp;Table15[[#This Row],[WO Number]]&amp;Table15[[#This Row],[Date Assigned to Designer]]&amp;Table15[[#This Row],[Date Completed]]</f>
        <v>SC1906413108134467144698</v>
      </c>
    </row>
    <row r="621" spans="1:82" customFormat="1" ht="15" customHeight="1" x14ac:dyDescent="0.25">
      <c r="A621">
        <v>2022</v>
      </c>
      <c r="B621" s="8" t="s">
        <v>771</v>
      </c>
      <c r="C621" s="8" t="s">
        <v>231</v>
      </c>
      <c r="D621" s="8" t="s">
        <v>4466</v>
      </c>
      <c r="E621" s="8" t="s">
        <v>232</v>
      </c>
      <c r="F621" s="8" t="s">
        <v>747</v>
      </c>
      <c r="G621" s="8" t="s">
        <v>22</v>
      </c>
      <c r="H621" s="8" t="s">
        <v>59</v>
      </c>
      <c r="I621" s="642">
        <v>44476</v>
      </c>
      <c r="J621" s="18">
        <v>44701</v>
      </c>
      <c r="K621" s="18">
        <v>44699</v>
      </c>
      <c r="L621" s="16">
        <f>IF(ISTEXT(Table15[[#This Row],[Engineering Approved Design Date]]),Table15[[#This Row],[Date Completed]]-Table15[[#This Row],[Date Assigned to Designer]],Table15[[#This Row],[Engineering Approved Design Date]]-Table15[[#This Row],[Date Completed]])</f>
        <v>2</v>
      </c>
      <c r="M621" s="642"/>
      <c r="N621" s="642" t="s">
        <v>120</v>
      </c>
      <c r="O621" s="1025">
        <f>Table15[[#This Row],[Date Completed]]</f>
        <v>44699</v>
      </c>
      <c r="P621" s="21" t="s">
        <v>120</v>
      </c>
      <c r="Q621" s="1151">
        <f>1.55*Table15[[#This Row],[LF of Main]]</f>
        <v>10526.050000000001</v>
      </c>
      <c r="R621" s="1026" t="s">
        <v>2087</v>
      </c>
      <c r="S621" s="538" t="s">
        <v>709</v>
      </c>
      <c r="T621" s="538" t="s">
        <v>709</v>
      </c>
      <c r="U621" s="87" t="s">
        <v>709</v>
      </c>
      <c r="V621" s="857">
        <f>1375+127+4270+1019</f>
        <v>6791</v>
      </c>
      <c r="W621" s="440"/>
      <c r="X621" s="551">
        <v>3465388.64</v>
      </c>
      <c r="Y621" s="550"/>
      <c r="Z621" s="550"/>
      <c r="AA621" s="551"/>
      <c r="AB621" s="341"/>
      <c r="AC621" s="568" t="s">
        <v>116</v>
      </c>
      <c r="AD621" s="1157"/>
      <c r="AE621" s="568"/>
      <c r="AF621" s="568"/>
      <c r="AG621" s="568"/>
      <c r="AH621" s="183"/>
      <c r="AI621" s="1036"/>
      <c r="AJ621" s="1037"/>
      <c r="AK621" s="1037"/>
      <c r="AL621" s="1038"/>
      <c r="AM621" s="542" t="s">
        <v>709</v>
      </c>
      <c r="AN621" s="924"/>
      <c r="AO621" s="925"/>
      <c r="AP621" s="926"/>
      <c r="AQ621" s="926"/>
      <c r="AR621" s="926"/>
      <c r="AS621" s="926"/>
      <c r="AT621" s="926"/>
      <c r="AU621" s="926"/>
      <c r="AV621" s="926"/>
      <c r="AW621" s="927"/>
      <c r="AX621" s="926"/>
      <c r="AY621" s="1538" t="s">
        <v>29</v>
      </c>
      <c r="AZ621" s="1530"/>
      <c r="BA621" s="1031" t="s">
        <v>4467</v>
      </c>
      <c r="BB621" s="644" t="s">
        <v>4468</v>
      </c>
      <c r="BC621" s="544" t="s">
        <v>116</v>
      </c>
      <c r="BD621" s="544" t="s">
        <v>709</v>
      </c>
      <c r="BE621" s="544" t="s">
        <v>595</v>
      </c>
      <c r="BF621" s="544" t="s">
        <v>709</v>
      </c>
      <c r="BG621" s="544" t="s">
        <v>709</v>
      </c>
      <c r="BH621" s="741"/>
      <c r="BI621" s="547" t="s">
        <v>709</v>
      </c>
      <c r="BJ621" s="547" t="s">
        <v>709</v>
      </c>
      <c r="BK621" s="547" t="s">
        <v>709</v>
      </c>
      <c r="BL621" s="547" t="s">
        <v>116</v>
      </c>
      <c r="BM621" s="547" t="s">
        <v>709</v>
      </c>
      <c r="BN621" s="547" t="s">
        <v>709</v>
      </c>
      <c r="BO621" s="547" t="s">
        <v>709</v>
      </c>
      <c r="BP621" s="547">
        <v>5289</v>
      </c>
      <c r="BQ621" s="547" t="s">
        <v>709</v>
      </c>
      <c r="BR621" s="547">
        <v>127</v>
      </c>
      <c r="BS621" s="547">
        <v>1375</v>
      </c>
      <c r="BT621" s="547" t="s">
        <v>745</v>
      </c>
      <c r="BU621" s="547" t="s">
        <v>709</v>
      </c>
      <c r="BV621" s="547" t="s">
        <v>745</v>
      </c>
      <c r="BW621" s="547" t="s">
        <v>709</v>
      </c>
      <c r="BX621" s="547" t="s">
        <v>745</v>
      </c>
      <c r="BY621" s="547" t="s">
        <v>745</v>
      </c>
      <c r="BZ621" s="547" t="s">
        <v>709</v>
      </c>
      <c r="CA621" s="483"/>
      <c r="CB621" s="547">
        <v>619</v>
      </c>
      <c r="CC621" s="1481" t="b">
        <v>1</v>
      </c>
      <c r="CD621" t="str">
        <f>Table15[[#This Row],[Engineering Number]]&amp;Table15[[#This Row],[WO Number]]&amp;Table15[[#This Row],[Date Assigned to Designer]]&amp;Table15[[#This Row],[Date Completed]]</f>
        <v>BS20814106914447644699</v>
      </c>
    </row>
    <row r="622" spans="1:82" customFormat="1" ht="15" customHeight="1" x14ac:dyDescent="0.25">
      <c r="A622">
        <v>2022</v>
      </c>
      <c r="B622" s="8" t="s">
        <v>4</v>
      </c>
      <c r="C622" s="8" t="s">
        <v>1278</v>
      </c>
      <c r="D622" s="8" t="s">
        <v>1279</v>
      </c>
      <c r="E622" s="8" t="s">
        <v>1280</v>
      </c>
      <c r="F622" s="8" t="s">
        <v>738</v>
      </c>
      <c r="G622" s="8" t="s">
        <v>35</v>
      </c>
      <c r="H622" s="8" t="s">
        <v>59</v>
      </c>
      <c r="I622" s="642">
        <v>44656</v>
      </c>
      <c r="J622" s="97">
        <v>44705</v>
      </c>
      <c r="K622" s="97">
        <v>44704</v>
      </c>
      <c r="L622" s="16">
        <f>IF(ISTEXT(Table15[[#This Row],[Engineering Approved Design Date]]),Table15[[#This Row],[Date Completed]]-Table15[[#This Row],[Date Assigned to Designer]],Table15[[#This Row],[Engineering Approved Design Date]]-Table15[[#This Row],[Date Completed]])</f>
        <v>1</v>
      </c>
      <c r="M622" s="642"/>
      <c r="N622" s="642" t="s">
        <v>120</v>
      </c>
      <c r="O622" s="1025">
        <f>Table15[[#This Row],[Date Completed]]</f>
        <v>44704</v>
      </c>
      <c r="P622" s="21" t="s">
        <v>739</v>
      </c>
      <c r="Q622" s="1061">
        <f>R622*AA622</f>
        <v>10622.783000000001</v>
      </c>
      <c r="R622" s="1026">
        <v>0.1</v>
      </c>
      <c r="S622" s="538" t="s">
        <v>709</v>
      </c>
      <c r="T622" s="538" t="s">
        <v>709</v>
      </c>
      <c r="U622" s="87" t="s">
        <v>709</v>
      </c>
      <c r="V622" s="857">
        <v>81</v>
      </c>
      <c r="W622" s="440"/>
      <c r="X622" s="551">
        <v>92799.81</v>
      </c>
      <c r="Y622" s="551"/>
      <c r="Z622" s="551">
        <v>13428.02</v>
      </c>
      <c r="AA622" s="551">
        <f>Table15[[#This Row],[PCTS Investment Amount]]+Table15[[#This Row],[PCTS Retirement Amount]]</f>
        <v>106227.83</v>
      </c>
      <c r="AB622" s="341"/>
      <c r="AC622" s="568" t="s">
        <v>709</v>
      </c>
      <c r="AD622" s="1157" t="s">
        <v>709</v>
      </c>
      <c r="AE622" s="579"/>
      <c r="AF622" s="579"/>
      <c r="AG622" s="569"/>
      <c r="AH622" s="553"/>
      <c r="AI622" s="1036"/>
      <c r="AJ622" s="1037"/>
      <c r="AK622" s="1037"/>
      <c r="AL622" s="1038"/>
      <c r="AM622" s="536" t="s">
        <v>116</v>
      </c>
      <c r="AN622" s="903" t="s">
        <v>709</v>
      </c>
      <c r="AO622" s="1536" t="s">
        <v>115</v>
      </c>
      <c r="AP622" s="1537"/>
      <c r="AQ622" s="1537"/>
      <c r="AR622" s="1537"/>
      <c r="AS622" s="888">
        <f>IF(Table15[[#This Row],[PCTS Approved]]="N",0,Table15[[#This Row],[Investment Amount (1'#'#'#'#'#)]]+Table15[[#This Row],[Retirement Amount (3'#'#'#'#'#)]])</f>
        <v>0</v>
      </c>
      <c r="AT622" s="888">
        <f>IF(Table15[[#This Row],[Approved Construction Cost]]=0,0,Table15[[#This Row],[Approved Construction Cost]]-Table15[[#This Row],[Construction Cost to Bill From]])</f>
        <v>0</v>
      </c>
      <c r="AU622" s="888">
        <f>IFERROR(Table15[[#This Row],[Difference in Construction Cost]]*Table15[[#This Row],[Rate]],Table15[[#This Row],[Difference in Construction Cost]]*0.085)</f>
        <v>0</v>
      </c>
      <c r="AV622" s="905"/>
      <c r="AW622" s="1509"/>
      <c r="AX622" s="888"/>
      <c r="AY622" s="636" t="s">
        <v>709</v>
      </c>
      <c r="AZ622" s="333">
        <v>67</v>
      </c>
      <c r="BA622" s="859" t="s">
        <v>1281</v>
      </c>
      <c r="BB622" s="644" t="s">
        <v>1282</v>
      </c>
      <c r="BC622" s="544" t="s">
        <v>709</v>
      </c>
      <c r="BD622" s="544" t="s">
        <v>709</v>
      </c>
      <c r="BE622" s="544" t="s">
        <v>1283</v>
      </c>
      <c r="BF622" s="544" t="s">
        <v>709</v>
      </c>
      <c r="BG622" s="544" t="s">
        <v>709</v>
      </c>
      <c r="BH622" s="741"/>
      <c r="BI622" s="547" t="s">
        <v>709</v>
      </c>
      <c r="BJ622" s="547" t="s">
        <v>709</v>
      </c>
      <c r="BK622" s="547" t="s">
        <v>709</v>
      </c>
      <c r="BL622" s="547" t="s">
        <v>116</v>
      </c>
      <c r="BM622" s="547" t="s">
        <v>709</v>
      </c>
      <c r="BN622" s="547" t="s">
        <v>709</v>
      </c>
      <c r="BO622" s="547" t="s">
        <v>709</v>
      </c>
      <c r="BP622" s="547" t="s">
        <v>709</v>
      </c>
      <c r="BQ622" s="547" t="s">
        <v>709</v>
      </c>
      <c r="BR622" s="547" t="s">
        <v>709</v>
      </c>
      <c r="BS622" s="547">
        <v>81</v>
      </c>
      <c r="BT622" s="547" t="s">
        <v>745</v>
      </c>
      <c r="BU622" s="547" t="s">
        <v>709</v>
      </c>
      <c r="BV622" s="547" t="s">
        <v>745</v>
      </c>
      <c r="BW622" s="547" t="s">
        <v>709</v>
      </c>
      <c r="BX622" s="547" t="s">
        <v>745</v>
      </c>
      <c r="BY622" s="547" t="s">
        <v>745</v>
      </c>
      <c r="BZ622" s="547" t="s">
        <v>709</v>
      </c>
      <c r="CA622" s="483"/>
      <c r="CB622" s="547">
        <v>621</v>
      </c>
      <c r="CC622" s="1481" t="b">
        <v>1</v>
      </c>
      <c r="CD622" t="str">
        <f>Table15[[#This Row],[Engineering Number]]&amp;Table15[[#This Row],[WO Number]]&amp;Table15[[#This Row],[Date Assigned to Designer]]&amp;Table15[[#This Row],[Date Completed]]</f>
        <v>M1321412113404465644704</v>
      </c>
    </row>
    <row r="623" spans="1:82" customFormat="1" ht="15" customHeight="1" x14ac:dyDescent="0.25">
      <c r="A623">
        <v>2022</v>
      </c>
      <c r="B623" s="8" t="s">
        <v>730</v>
      </c>
      <c r="C623" s="8" t="s">
        <v>1274</v>
      </c>
      <c r="D623" s="8" t="s">
        <v>1275</v>
      </c>
      <c r="E623" s="8" t="s">
        <v>1276</v>
      </c>
      <c r="F623" s="8" t="s">
        <v>747</v>
      </c>
      <c r="G623" s="8" t="s">
        <v>34</v>
      </c>
      <c r="H623" s="8" t="s">
        <v>59</v>
      </c>
      <c r="I623" s="642">
        <v>44418</v>
      </c>
      <c r="J623" s="18">
        <v>44712</v>
      </c>
      <c r="K623" s="18">
        <v>44704</v>
      </c>
      <c r="L623" s="16">
        <f>IF(ISTEXT(Table15[[#This Row],[Engineering Approved Design Date]]),Table15[[#This Row],[Date Completed]]-Table15[[#This Row],[Date Assigned to Designer]],Table15[[#This Row],[Engineering Approved Design Date]]-Table15[[#This Row],[Date Completed]])</f>
        <v>8</v>
      </c>
      <c r="M623" s="642"/>
      <c r="N623" s="642" t="s">
        <v>120</v>
      </c>
      <c r="O623" s="1025">
        <f>Table15[[#This Row],[Date Completed]]</f>
        <v>44704</v>
      </c>
      <c r="P623" s="21" t="s">
        <v>120</v>
      </c>
      <c r="Q623" s="1151">
        <f>(Table15[[#This Row],[Construction Cost to Bill From]]*0.085)+(5250*2)</f>
        <v>42952.833400000003</v>
      </c>
      <c r="R623" s="1026" t="s">
        <v>794</v>
      </c>
      <c r="S623" s="538" t="s">
        <v>709</v>
      </c>
      <c r="T623" s="538" t="s">
        <v>709</v>
      </c>
      <c r="U623" s="87" t="s">
        <v>709</v>
      </c>
      <c r="V623" s="857">
        <v>230</v>
      </c>
      <c r="W623" s="440"/>
      <c r="X623" s="551">
        <v>327874.32</v>
      </c>
      <c r="Y623" s="551"/>
      <c r="Z623" s="551">
        <v>53923.72</v>
      </c>
      <c r="AA623" s="551">
        <f>Table15[[#This Row],[PCTS Investment Amount]]+Table15[[#This Row],[PCTS Retirement Amount]]</f>
        <v>381798.04000000004</v>
      </c>
      <c r="AB623" s="341"/>
      <c r="AC623" s="568" t="s">
        <v>811</v>
      </c>
      <c r="AD623" s="1157" t="s">
        <v>29</v>
      </c>
      <c r="AE623" s="579"/>
      <c r="AF623" s="579"/>
      <c r="AG623" s="579"/>
      <c r="AH623" s="553"/>
      <c r="AI623" s="1036"/>
      <c r="AJ623" s="1037"/>
      <c r="AK623" s="1037"/>
      <c r="AL623" s="1038"/>
      <c r="AM623" s="536" t="s">
        <v>116</v>
      </c>
      <c r="AN623" s="903" t="s">
        <v>709</v>
      </c>
      <c r="AO623" s="1536">
        <v>11038167</v>
      </c>
      <c r="AP623" s="1537"/>
      <c r="AQ623" s="1537"/>
      <c r="AR623" s="1537"/>
      <c r="AS623" s="888">
        <f>IF(Table15[[#This Row],[PCTS Approved]]="N",0,Table15[[#This Row],[Investment Amount (1'#'#'#'#'#)]]+Table15[[#This Row],[Retirement Amount (3'#'#'#'#'#)]])</f>
        <v>0</v>
      </c>
      <c r="AT623" s="888">
        <f>IF(Table15[[#This Row],[Approved Construction Cost]]=0,0,Table15[[#This Row],[Approved Construction Cost]]-Table15[[#This Row],[Construction Cost to Bill From]])</f>
        <v>0</v>
      </c>
      <c r="AU623" s="888">
        <f>IFERROR(Table15[[#This Row],[Difference in Construction Cost]]*Table15[[#This Row],[Rate]],Table15[[#This Row],[Difference in Construction Cost]]*0.085)</f>
        <v>0</v>
      </c>
      <c r="AV623" s="905"/>
      <c r="AW623" s="1509"/>
      <c r="AX623" s="888"/>
      <c r="AY623" s="636" t="s">
        <v>709</v>
      </c>
      <c r="AZ623" s="333">
        <v>170</v>
      </c>
      <c r="BA623" s="859" t="s">
        <v>1277</v>
      </c>
      <c r="BB623" s="644" t="s">
        <v>1226</v>
      </c>
      <c r="BC623" s="544" t="s">
        <v>116</v>
      </c>
      <c r="BD623" s="544" t="s">
        <v>709</v>
      </c>
      <c r="BE623" s="544" t="s">
        <v>709</v>
      </c>
      <c r="BF623" s="544" t="s">
        <v>709</v>
      </c>
      <c r="BG623" s="544" t="s">
        <v>709</v>
      </c>
      <c r="BH623" s="741"/>
      <c r="BI623" s="547" t="s">
        <v>116</v>
      </c>
      <c r="BJ623" s="547" t="s">
        <v>709</v>
      </c>
      <c r="BK623" s="547" t="s">
        <v>116</v>
      </c>
      <c r="BL623" s="547" t="s">
        <v>116</v>
      </c>
      <c r="BM623" s="547" t="s">
        <v>709</v>
      </c>
      <c r="BN623" s="547" t="s">
        <v>709</v>
      </c>
      <c r="BO623" s="547" t="s">
        <v>709</v>
      </c>
      <c r="BP623" s="547" t="s">
        <v>709</v>
      </c>
      <c r="BQ623" s="547" t="s">
        <v>709</v>
      </c>
      <c r="BR623" s="547">
        <v>26</v>
      </c>
      <c r="BS623" s="547">
        <v>204</v>
      </c>
      <c r="BT623" s="547" t="s">
        <v>745</v>
      </c>
      <c r="BU623" s="547">
        <v>2</v>
      </c>
      <c r="BV623" s="547" t="s">
        <v>745</v>
      </c>
      <c r="BW623" s="547" t="s">
        <v>709</v>
      </c>
      <c r="BX623" s="547">
        <v>1</v>
      </c>
      <c r="BY623" s="547" t="s">
        <v>745</v>
      </c>
      <c r="BZ623" s="547" t="s">
        <v>709</v>
      </c>
      <c r="CA623" s="483"/>
      <c r="CB623" s="547">
        <v>620</v>
      </c>
      <c r="CC623" s="1481" t="b">
        <v>1</v>
      </c>
      <c r="CD623" t="str">
        <f>Table15[[#This Row],[Engineering Number]]&amp;Table15[[#This Row],[WO Number]]&amp;Table15[[#This Row],[Date Assigned to Designer]]&amp;Table15[[#This Row],[Date Completed]]</f>
        <v>RS88810105044441844704</v>
      </c>
    </row>
    <row r="624" spans="1:82" customFormat="1" ht="15" customHeight="1" x14ac:dyDescent="0.25">
      <c r="A624">
        <v>2022</v>
      </c>
      <c r="B624" s="8" t="s">
        <v>771</v>
      </c>
      <c r="C624" s="8" t="s">
        <v>4237</v>
      </c>
      <c r="D624" s="8">
        <v>135724</v>
      </c>
      <c r="E624" s="8" t="s">
        <v>300</v>
      </c>
      <c r="F624" s="8" t="s">
        <v>919</v>
      </c>
      <c r="G624" s="8" t="s">
        <v>36</v>
      </c>
      <c r="H624" s="8" t="s">
        <v>3178</v>
      </c>
      <c r="I624" s="642">
        <v>44697</v>
      </c>
      <c r="J624" s="18" t="s">
        <v>2052</v>
      </c>
      <c r="K624" s="97">
        <v>44704</v>
      </c>
      <c r="L624" s="16">
        <f>IF(ISTEXT(Table15[[#This Row],[Engineering Approved Design Date]]),Table15[[#This Row],[Date Completed]]-Table15[[#This Row],[Date Assigned to Designer]],Table15[[#This Row],[Engineering Approved Design Date]]-Table15[[#This Row],[Date Completed]])</f>
        <v>7</v>
      </c>
      <c r="M624" t="s">
        <v>4470</v>
      </c>
      <c r="N624" s="642" t="s">
        <v>120</v>
      </c>
      <c r="O624" s="1025">
        <v>44713</v>
      </c>
      <c r="P624" s="21" t="s">
        <v>120</v>
      </c>
      <c r="Q624" s="1151">
        <f>Table15[[#This Row],[KH Hourly Effort]]</f>
        <v>3890</v>
      </c>
      <c r="R624" s="1026" t="s">
        <v>1922</v>
      </c>
      <c r="S624" s="538" t="s">
        <v>709</v>
      </c>
      <c r="T624" s="538" t="s">
        <v>709</v>
      </c>
      <c r="U624" s="87">
        <v>3890</v>
      </c>
      <c r="V624" s="858"/>
      <c r="W624" s="437"/>
      <c r="X624" s="538"/>
      <c r="Y624" s="551"/>
      <c r="Z624" s="538"/>
      <c r="AA624" s="538"/>
      <c r="AB624" s="21"/>
      <c r="AC624" s="569"/>
      <c r="AD624" s="1149" t="s">
        <v>709</v>
      </c>
      <c r="AE624" s="569"/>
      <c r="AF624" s="569"/>
      <c r="AG624" s="569"/>
      <c r="AH624" s="536"/>
      <c r="AI624" s="1028"/>
      <c r="AJ624" s="1029"/>
      <c r="AK624" s="1029"/>
      <c r="AL624" s="1030"/>
      <c r="AM624" s="542" t="s">
        <v>709</v>
      </c>
      <c r="AN624" s="924"/>
      <c r="AO624" s="925"/>
      <c r="AP624" s="926"/>
      <c r="AQ624" s="926"/>
      <c r="AR624" s="926"/>
      <c r="AS624" s="926"/>
      <c r="AT624" s="926"/>
      <c r="AU624" s="926"/>
      <c r="AV624" s="926"/>
      <c r="AW624" s="927"/>
      <c r="AX624" s="926"/>
      <c r="AY624" s="1538" t="s">
        <v>29</v>
      </c>
      <c r="AZ624" s="1530"/>
      <c r="BA624" s="1031">
        <v>4</v>
      </c>
      <c r="BB624" s="644"/>
      <c r="BC624" s="544"/>
      <c r="BD624" s="544"/>
      <c r="BE624" s="544"/>
      <c r="BF624" s="544"/>
      <c r="BG624" s="544"/>
      <c r="BH624" s="741"/>
      <c r="BI624" s="547" t="s">
        <v>709</v>
      </c>
      <c r="BJ624" s="547" t="s">
        <v>709</v>
      </c>
      <c r="BK624" s="547" t="s">
        <v>709</v>
      </c>
      <c r="BL624" s="547" t="s">
        <v>116</v>
      </c>
      <c r="BM624" s="547" t="s">
        <v>709</v>
      </c>
      <c r="BN624" s="547" t="s">
        <v>709</v>
      </c>
      <c r="BO624" s="547" t="s">
        <v>709</v>
      </c>
      <c r="BP624" s="547">
        <v>650</v>
      </c>
      <c r="BQ624" s="547">
        <v>2340</v>
      </c>
      <c r="BR624" s="547">
        <v>24</v>
      </c>
      <c r="BS624" s="547">
        <v>1681</v>
      </c>
      <c r="BT624" s="547" t="s">
        <v>709</v>
      </c>
      <c r="BU624" s="547" t="s">
        <v>709</v>
      </c>
      <c r="BV624" s="547" t="s">
        <v>745</v>
      </c>
      <c r="BW624" s="547" t="s">
        <v>709</v>
      </c>
      <c r="BX624" s="547" t="s">
        <v>745</v>
      </c>
      <c r="BY624" s="547" t="s">
        <v>745</v>
      </c>
      <c r="BZ624" s="547" t="s">
        <v>709</v>
      </c>
      <c r="CA624" s="483"/>
      <c r="CB624" s="547">
        <v>622</v>
      </c>
      <c r="CC624" s="1481" t="b">
        <v>1</v>
      </c>
      <c r="CD624" t="str">
        <f>Table15[[#This Row],[Engineering Number]]&amp;Table15[[#This Row],[WO Number]]&amp;Table15[[#This Row],[Date Assigned to Designer]]&amp;Table15[[#This Row],[Date Completed]]</f>
        <v>BS5111357244469744704</v>
      </c>
    </row>
    <row r="625" spans="1:82" customFormat="1" ht="15" customHeight="1" x14ac:dyDescent="0.25">
      <c r="A625">
        <v>2022</v>
      </c>
      <c r="B625" s="8" t="s">
        <v>4</v>
      </c>
      <c r="C625" s="8" t="s">
        <v>4474</v>
      </c>
      <c r="D625" s="8" t="s">
        <v>115</v>
      </c>
      <c r="E625" s="8" t="s">
        <v>61</v>
      </c>
      <c r="F625" s="8" t="s">
        <v>738</v>
      </c>
      <c r="G625" s="8" t="s">
        <v>35</v>
      </c>
      <c r="H625" s="8" t="s">
        <v>1903</v>
      </c>
      <c r="I625" s="642">
        <v>44672</v>
      </c>
      <c r="J625" s="18">
        <v>44771</v>
      </c>
      <c r="K625" s="18">
        <v>44705</v>
      </c>
      <c r="L625" s="16">
        <f>IF(ISTEXT(Table15[[#This Row],[Engineering Approved Design Date]]),Table15[[#This Row],[Date Completed]]-Table15[[#This Row],[Date Assigned to Designer]],Table15[[#This Row],[Engineering Approved Design Date]]-Table15[[#This Row],[Date Completed]])</f>
        <v>66</v>
      </c>
      <c r="M625" s="642"/>
      <c r="N625" s="642" t="s">
        <v>120</v>
      </c>
      <c r="O625" s="1025">
        <f>Table15[[#This Row],[Date Completed]]</f>
        <v>44705</v>
      </c>
      <c r="P625" s="21" t="s">
        <v>739</v>
      </c>
      <c r="Q625" s="340" t="s">
        <v>115</v>
      </c>
      <c r="R625" s="1026" t="s">
        <v>115</v>
      </c>
      <c r="S625" s="538" t="s">
        <v>709</v>
      </c>
      <c r="T625" s="538" t="s">
        <v>709</v>
      </c>
      <c r="U625" s="87" t="s">
        <v>709</v>
      </c>
      <c r="V625" s="857"/>
      <c r="W625" s="440"/>
      <c r="X625" s="550"/>
      <c r="Y625" s="550"/>
      <c r="Z625" s="550"/>
      <c r="AA625" s="551"/>
      <c r="AB625" s="341"/>
      <c r="AC625" s="568"/>
      <c r="AD625" s="1157" t="s">
        <v>29</v>
      </c>
      <c r="AE625" s="579"/>
      <c r="AF625" s="579"/>
      <c r="AG625" s="579"/>
      <c r="AH625" s="553"/>
      <c r="AI625" s="1036"/>
      <c r="AJ625" s="1037"/>
      <c r="AK625" s="1037"/>
      <c r="AL625" s="1038"/>
      <c r="AM625" s="542" t="s">
        <v>709</v>
      </c>
      <c r="AN625" s="924"/>
      <c r="AO625" s="925"/>
      <c r="AP625" s="926"/>
      <c r="AQ625" s="926"/>
      <c r="AR625" s="926"/>
      <c r="AS625" s="926"/>
      <c r="AT625" s="926"/>
      <c r="AU625" s="926"/>
      <c r="AV625" s="926"/>
      <c r="AW625" s="927"/>
      <c r="AX625" s="926"/>
      <c r="AY625" s="1538" t="s">
        <v>29</v>
      </c>
      <c r="AZ625" s="1530"/>
      <c r="BA625" s="1031" t="s">
        <v>4475</v>
      </c>
      <c r="BB625" s="644" t="s">
        <v>877</v>
      </c>
      <c r="BC625" s="544"/>
      <c r="BD625" s="544"/>
      <c r="BE625" s="544"/>
      <c r="BF625" s="544"/>
      <c r="BG625" s="544"/>
      <c r="BH625" s="741"/>
      <c r="BI625" s="1032"/>
      <c r="BJ625" s="1032"/>
      <c r="BK625" s="1032"/>
      <c r="BL625" s="1032"/>
      <c r="BM625" s="1032"/>
      <c r="BN625" s="1032"/>
      <c r="BO625" s="1032"/>
      <c r="BP625" s="1032"/>
      <c r="BQ625" s="1032"/>
      <c r="BR625" s="1032"/>
      <c r="BS625" s="1032"/>
      <c r="BT625" s="1032"/>
      <c r="BU625" s="1032"/>
      <c r="BV625" s="1032"/>
      <c r="BW625" s="1032"/>
      <c r="BX625" s="1032"/>
      <c r="BY625" s="1032"/>
      <c r="BZ625" s="1032"/>
      <c r="CA625" s="485"/>
      <c r="CB625" s="547">
        <v>623</v>
      </c>
      <c r="CC625" s="1481" t="b">
        <v>1</v>
      </c>
      <c r="CD625" t="str">
        <f>Table15[[#This Row],[Engineering Number]]&amp;Table15[[#This Row],[WO Number]]&amp;Table15[[#This Row],[Date Assigned to Designer]]&amp;Table15[[#This Row],[Date Completed]]</f>
        <v>N15608-4467244705</v>
      </c>
    </row>
    <row r="626" spans="1:82" customFormat="1" ht="15" customHeight="1" x14ac:dyDescent="0.25">
      <c r="A626">
        <v>2022</v>
      </c>
      <c r="B626" s="8" t="s">
        <v>1205</v>
      </c>
      <c r="C626" s="8" t="s">
        <v>566</v>
      </c>
      <c r="D626" s="8" t="s">
        <v>4482</v>
      </c>
      <c r="E626" s="8" t="s">
        <v>312</v>
      </c>
      <c r="F626" s="8" t="s">
        <v>919</v>
      </c>
      <c r="G626" s="8" t="s">
        <v>36</v>
      </c>
      <c r="H626" s="8" t="s">
        <v>59</v>
      </c>
      <c r="I626" s="642">
        <v>44544</v>
      </c>
      <c r="J626" s="18">
        <v>44708</v>
      </c>
      <c r="K626" s="18">
        <v>44706</v>
      </c>
      <c r="L626" s="16">
        <f>IF(ISTEXT(Table15[[#This Row],[Engineering Approved Design Date]]),Table15[[#This Row],[Date Completed]]-Table15[[#This Row],[Date Assigned to Designer]],Table15[[#This Row],[Engineering Approved Design Date]]-Table15[[#This Row],[Date Completed]])</f>
        <v>2</v>
      </c>
      <c r="M626" s="642"/>
      <c r="N626" s="642" t="s">
        <v>120</v>
      </c>
      <c r="O626" s="1025">
        <v>44713</v>
      </c>
      <c r="P626" s="21" t="s">
        <v>739</v>
      </c>
      <c r="Q626" s="1151">
        <f>(Table15[[#This Row],[Construction Cost to Bill From]]*0.085)+(5250*1)</f>
        <v>40466.702750000004</v>
      </c>
      <c r="R626" s="1026" t="s">
        <v>794</v>
      </c>
      <c r="S626" s="538" t="s">
        <v>709</v>
      </c>
      <c r="T626" s="538" t="s">
        <v>709</v>
      </c>
      <c r="U626" s="87" t="s">
        <v>709</v>
      </c>
      <c r="V626" s="857">
        <v>409</v>
      </c>
      <c r="W626" s="440">
        <v>1</v>
      </c>
      <c r="X626" s="551">
        <v>355888.94</v>
      </c>
      <c r="Y626" s="551"/>
      <c r="Z626" s="551">
        <v>58425.21</v>
      </c>
      <c r="AA626" s="551">
        <f>Table15[[#This Row],[PCTS Investment Amount]]+Table15[[#This Row],[PCTS Retirement Amount]]</f>
        <v>414314.15</v>
      </c>
      <c r="AB626" s="341"/>
      <c r="AC626" s="568" t="s">
        <v>1441</v>
      </c>
      <c r="AD626" s="1157"/>
      <c r="AE626" s="568"/>
      <c r="AF626" s="568"/>
      <c r="AG626" s="568"/>
      <c r="AH626" s="183"/>
      <c r="AI626" s="1036"/>
      <c r="AJ626" s="1037"/>
      <c r="AK626" s="1037"/>
      <c r="AL626" s="1038"/>
      <c r="AM626" s="1522" t="s">
        <v>116</v>
      </c>
      <c r="AN626" s="1523">
        <v>44735</v>
      </c>
      <c r="AO626" s="1524">
        <v>11040108</v>
      </c>
      <c r="AP626" s="1525">
        <v>356383.31</v>
      </c>
      <c r="AQ626" s="1525"/>
      <c r="AR626" s="1525">
        <v>61157.03</v>
      </c>
      <c r="AS626" s="1525">
        <f>IF(Table15[[#This Row],[PCTS Approved]]="N",0,Table15[[#This Row],[Investment Amount (1'#'#'#'#'#)]]+Table15[[#This Row],[Retirement Amount (3'#'#'#'#'#)]])</f>
        <v>417540.33999999997</v>
      </c>
      <c r="AT626" s="1525">
        <f>IF(Table15[[#This Row],[Approved Construction Cost]]=0,0,Table15[[#This Row],[Approved Construction Cost]]-Table15[[#This Row],[Construction Cost to Bill From]])</f>
        <v>3226.1899999999441</v>
      </c>
      <c r="AU626" s="1525">
        <f>IFERROR(Table15[[#This Row],[Difference in Construction Cost]]*Table15[[#This Row],[Rate]],Table15[[#This Row],[Difference in Construction Cost]]*0.085)</f>
        <v>274.22614999999524</v>
      </c>
      <c r="AV626" s="1525" t="s">
        <v>709</v>
      </c>
      <c r="AW626" s="1526"/>
      <c r="AX626" s="1525">
        <f>Table15[[#This Row],[Reconcile Amount]]</f>
        <v>274.22614999999524</v>
      </c>
      <c r="AY626" s="1518">
        <v>45008</v>
      </c>
      <c r="AZ626" s="333"/>
      <c r="BA626" s="1031" t="s">
        <v>4483</v>
      </c>
      <c r="BB626" s="644" t="s">
        <v>4484</v>
      </c>
      <c r="BC626" s="544" t="s">
        <v>709</v>
      </c>
      <c r="BD626" s="544" t="s">
        <v>709</v>
      </c>
      <c r="BE626" s="544" t="s">
        <v>567</v>
      </c>
      <c r="BF626" s="544" t="s">
        <v>709</v>
      </c>
      <c r="BG626" s="544" t="s">
        <v>2837</v>
      </c>
      <c r="BH626" s="741"/>
      <c r="BI626" s="547" t="s">
        <v>709</v>
      </c>
      <c r="BJ626" s="547" t="s">
        <v>116</v>
      </c>
      <c r="BK626" s="547" t="s">
        <v>709</v>
      </c>
      <c r="BL626" s="547" t="s">
        <v>116</v>
      </c>
      <c r="BM626" s="547" t="s">
        <v>709</v>
      </c>
      <c r="BN626" s="547" t="s">
        <v>709</v>
      </c>
      <c r="BO626" s="547" t="s">
        <v>709</v>
      </c>
      <c r="BP626" s="547" t="s">
        <v>709</v>
      </c>
      <c r="BQ626" s="547" t="s">
        <v>709</v>
      </c>
      <c r="BR626" s="547" t="s">
        <v>709</v>
      </c>
      <c r="BS626" s="547">
        <v>409</v>
      </c>
      <c r="BT626" s="547" t="s">
        <v>745</v>
      </c>
      <c r="BU626" s="547">
        <v>1</v>
      </c>
      <c r="BV626" s="547" t="s">
        <v>745</v>
      </c>
      <c r="BW626" s="547" t="s">
        <v>709</v>
      </c>
      <c r="BX626" s="547">
        <v>1</v>
      </c>
      <c r="BY626" s="547" t="s">
        <v>745</v>
      </c>
      <c r="BZ626" s="547" t="s">
        <v>709</v>
      </c>
      <c r="CA626" s="483"/>
      <c r="CB626" s="547">
        <v>625</v>
      </c>
      <c r="CC626" s="1481" t="b">
        <v>1</v>
      </c>
      <c r="CD626" t="str">
        <f>Table15[[#This Row],[Engineering Number]]&amp;Table15[[#This Row],[WO Number]]&amp;Table15[[#This Row],[Date Assigned to Designer]]&amp;Table15[[#This Row],[Date Completed]]</f>
        <v>MR181314108504454444706</v>
      </c>
    </row>
    <row r="627" spans="1:82" customFormat="1" ht="15" customHeight="1" x14ac:dyDescent="0.25">
      <c r="A627">
        <v>2022</v>
      </c>
      <c r="B627" s="8" t="s">
        <v>1205</v>
      </c>
      <c r="C627" s="8" t="s">
        <v>4477</v>
      </c>
      <c r="D627" s="8" t="s">
        <v>115</v>
      </c>
      <c r="E627" s="8" t="s">
        <v>1500</v>
      </c>
      <c r="F627" s="8" t="s">
        <v>738</v>
      </c>
      <c r="G627" s="8" t="s">
        <v>23</v>
      </c>
      <c r="H627" s="8" t="s">
        <v>2127</v>
      </c>
      <c r="I627" s="642">
        <v>44704</v>
      </c>
      <c r="J627" s="97">
        <v>44771</v>
      </c>
      <c r="K627" s="97">
        <v>44706</v>
      </c>
      <c r="L627" s="16">
        <f>IF(ISTEXT(Table15[[#This Row],[Engineering Approved Design Date]]),Table15[[#This Row],[Date Completed]]-Table15[[#This Row],[Date Assigned to Designer]],Table15[[#This Row],[Engineering Approved Design Date]]-Table15[[#This Row],[Date Completed]])</f>
        <v>65</v>
      </c>
      <c r="M627" t="s">
        <v>4478</v>
      </c>
      <c r="N627" s="642" t="s">
        <v>120</v>
      </c>
      <c r="O627" s="1025">
        <v>44713</v>
      </c>
      <c r="P627" s="21" t="s">
        <v>120</v>
      </c>
      <c r="Q627" s="1151">
        <f>Table15[[#This Row],[KH Hourly Effort]]</f>
        <v>1597.5</v>
      </c>
      <c r="R627" s="1026" t="s">
        <v>1922</v>
      </c>
      <c r="S627" s="538" t="s">
        <v>709</v>
      </c>
      <c r="T627" s="538" t="s">
        <v>709</v>
      </c>
      <c r="U627" s="87">
        <v>1597.5</v>
      </c>
      <c r="V627" s="858"/>
      <c r="W627" s="437"/>
      <c r="X627" s="538"/>
      <c r="Y627" s="551"/>
      <c r="Z627" s="538"/>
      <c r="AA627" s="538"/>
      <c r="AB627" s="21"/>
      <c r="AC627" s="569"/>
      <c r="AD627" s="1149"/>
      <c r="AE627" s="569"/>
      <c r="AF627" s="569"/>
      <c r="AG627" s="569"/>
      <c r="AH627" s="536"/>
      <c r="AI627" s="1028"/>
      <c r="AJ627" s="1029"/>
      <c r="AK627" s="1029"/>
      <c r="AL627" s="1030"/>
      <c r="AM627" s="542" t="s">
        <v>709</v>
      </c>
      <c r="AN627" s="924"/>
      <c r="AO627" s="925"/>
      <c r="AP627" s="926"/>
      <c r="AQ627" s="926"/>
      <c r="AR627" s="926"/>
      <c r="AS627" s="926"/>
      <c r="AT627" s="926"/>
      <c r="AU627" s="926"/>
      <c r="AV627" s="926"/>
      <c r="AW627" s="927"/>
      <c r="AX627" s="926"/>
      <c r="AY627" s="1538" t="s">
        <v>29</v>
      </c>
      <c r="AZ627" s="1530"/>
      <c r="BA627" s="1031" t="s">
        <v>4479</v>
      </c>
      <c r="BB627" s="644" t="s">
        <v>4480</v>
      </c>
      <c r="BC627" s="544"/>
      <c r="BD627" s="544"/>
      <c r="BE627" s="544"/>
      <c r="BF627" s="544"/>
      <c r="BG627" s="544"/>
      <c r="BH627" s="741"/>
      <c r="BI627" s="547"/>
      <c r="BJ627" s="547"/>
      <c r="BK627" s="547"/>
      <c r="BL627" s="547"/>
      <c r="BM627" s="547"/>
      <c r="BN627" s="547"/>
      <c r="BO627" s="547"/>
      <c r="BP627" s="547"/>
      <c r="BQ627" s="547"/>
      <c r="BR627" s="547"/>
      <c r="BS627" s="547"/>
      <c r="BT627" s="547"/>
      <c r="BU627" s="547"/>
      <c r="BV627" s="547"/>
      <c r="BW627" s="547"/>
      <c r="BX627" s="547"/>
      <c r="BY627" s="547"/>
      <c r="BZ627" s="547" t="s">
        <v>709</v>
      </c>
      <c r="CA627" s="483" t="s">
        <v>915</v>
      </c>
      <c r="CB627" s="547">
        <v>624</v>
      </c>
      <c r="CC627" s="1481" t="b">
        <v>1</v>
      </c>
      <c r="CD627" t="str">
        <f>Table15[[#This Row],[Engineering Number]]&amp;Table15[[#This Row],[WO Number]]&amp;Table15[[#This Row],[Date Assigned to Designer]]&amp;Table15[[#This Row],[Date Completed]]</f>
        <v>MR1900-4470444706</v>
      </c>
    </row>
    <row r="628" spans="1:82" customFormat="1" ht="15" customHeight="1" x14ac:dyDescent="0.25">
      <c r="A628">
        <v>2022</v>
      </c>
      <c r="B628" s="8" t="s">
        <v>2994</v>
      </c>
      <c r="C628" s="8" t="s">
        <v>4505</v>
      </c>
      <c r="D628" s="8" t="s">
        <v>4506</v>
      </c>
      <c r="E628" s="8" t="s">
        <v>1352</v>
      </c>
      <c r="F628" s="8" t="s">
        <v>752</v>
      </c>
      <c r="G628" s="8" t="s">
        <v>35</v>
      </c>
      <c r="H628" s="8" t="s">
        <v>59</v>
      </c>
      <c r="I628" s="642">
        <v>44596</v>
      </c>
      <c r="J628" s="18">
        <v>44712</v>
      </c>
      <c r="K628" s="18">
        <v>44708</v>
      </c>
      <c r="L628" s="16">
        <f>IF(ISTEXT(Table15[[#This Row],[Engineering Approved Design Date]]),Table15[[#This Row],[Date Completed]]-Table15[[#This Row],[Date Assigned to Designer]],Table15[[#This Row],[Engineering Approved Design Date]]-Table15[[#This Row],[Date Completed]])</f>
        <v>4</v>
      </c>
      <c r="M628" s="642"/>
      <c r="N628" s="642" t="s">
        <v>120</v>
      </c>
      <c r="O628" s="1025">
        <v>44713</v>
      </c>
      <c r="P628" s="21" t="s">
        <v>739</v>
      </c>
      <c r="Q628" s="1151">
        <f>R628*AA628</f>
        <v>14512.718699999999</v>
      </c>
      <c r="R628" s="1026">
        <v>0.09</v>
      </c>
      <c r="S628" s="538" t="s">
        <v>709</v>
      </c>
      <c r="T628" s="538" t="s">
        <v>709</v>
      </c>
      <c r="U628" s="87" t="s">
        <v>709</v>
      </c>
      <c r="V628" s="857"/>
      <c r="W628" s="440"/>
      <c r="X628" s="551"/>
      <c r="Y628" s="551"/>
      <c r="Z628" s="551">
        <v>161252.43</v>
      </c>
      <c r="AA628" s="551">
        <f>Table15[[#This Row],[PCTS Retirement Amount]]+Table15[[#This Row],[PCTS Investment Amount]]</f>
        <v>161252.43</v>
      </c>
      <c r="AB628" s="341"/>
      <c r="AC628" s="568" t="s">
        <v>709</v>
      </c>
      <c r="AD628" s="1157" t="s">
        <v>709</v>
      </c>
      <c r="AE628" s="579"/>
      <c r="AF628" s="579"/>
      <c r="AG628" s="579"/>
      <c r="AH628" s="553"/>
      <c r="AI628" s="1036"/>
      <c r="AJ628" s="1037"/>
      <c r="AK628" s="1037"/>
      <c r="AL628" s="1038"/>
      <c r="AM628" s="1522" t="s">
        <v>116</v>
      </c>
      <c r="AN628" s="1523">
        <v>44805</v>
      </c>
      <c r="AO628" s="1524">
        <v>11042223</v>
      </c>
      <c r="AP628" s="1525">
        <v>0</v>
      </c>
      <c r="AQ628" s="1525"/>
      <c r="AR628" s="1525">
        <v>161654.91</v>
      </c>
      <c r="AS628" s="1525">
        <f>IF(Table15[[#This Row],[PCTS Approved]]="N",0,Table15[[#This Row],[Investment Amount (1'#'#'#'#'#)]]+Table15[[#This Row],[Retirement Amount (3'#'#'#'#'#)]])</f>
        <v>161654.91</v>
      </c>
      <c r="AT628" s="1525">
        <f>IF(Table15[[#This Row],[Approved Construction Cost]]=0,0,Table15[[#This Row],[Approved Construction Cost]]-Table15[[#This Row],[Construction Cost to Bill From]])</f>
        <v>402.48000000001048</v>
      </c>
      <c r="AU628" s="1525">
        <f>IFERROR(Table15[[#This Row],[Difference in Construction Cost]]*Table15[[#This Row],[Rate]],Table15[[#This Row],[Difference in Construction Cost]]*0.085)</f>
        <v>36.223200000000944</v>
      </c>
      <c r="AV628" s="1525">
        <v>2430</v>
      </c>
      <c r="AW628" s="1526" t="s">
        <v>4507</v>
      </c>
      <c r="AX628" s="1525">
        <v>0</v>
      </c>
      <c r="AY628" s="1518">
        <v>45008</v>
      </c>
      <c r="AZ628" s="333"/>
      <c r="BA628" s="1031" t="s">
        <v>4508</v>
      </c>
      <c r="BB628" s="644" t="s">
        <v>4509</v>
      </c>
      <c r="BC628" s="544" t="s">
        <v>709</v>
      </c>
      <c r="BD628" s="544" t="s">
        <v>882</v>
      </c>
      <c r="BE628" s="544" t="s">
        <v>1355</v>
      </c>
      <c r="BF628" s="544" t="s">
        <v>709</v>
      </c>
      <c r="BG628" s="544" t="s">
        <v>709</v>
      </c>
      <c r="BH628" s="741"/>
      <c r="BI628" s="547" t="s">
        <v>709</v>
      </c>
      <c r="BJ628" s="547" t="s">
        <v>709</v>
      </c>
      <c r="BK628" s="547" t="s">
        <v>709</v>
      </c>
      <c r="BL628" s="547" t="s">
        <v>709</v>
      </c>
      <c r="BM628" s="547" t="s">
        <v>709</v>
      </c>
      <c r="BN628" s="547" t="s">
        <v>709</v>
      </c>
      <c r="BO628" s="547" t="s">
        <v>709</v>
      </c>
      <c r="BP628" s="547" t="s">
        <v>709</v>
      </c>
      <c r="BQ628" s="547" t="s">
        <v>709</v>
      </c>
      <c r="BR628" s="547" t="s">
        <v>709</v>
      </c>
      <c r="BS628" s="547" t="s">
        <v>709</v>
      </c>
      <c r="BT628" s="547" t="s">
        <v>745</v>
      </c>
      <c r="BU628" s="547" t="s">
        <v>709</v>
      </c>
      <c r="BV628" s="547">
        <v>3</v>
      </c>
      <c r="BW628" s="547" t="s">
        <v>709</v>
      </c>
      <c r="BX628" s="547" t="s">
        <v>745</v>
      </c>
      <c r="BY628" s="547" t="s">
        <v>745</v>
      </c>
      <c r="BZ628" s="547" t="s">
        <v>709</v>
      </c>
      <c r="CA628" s="483" t="s">
        <v>4304</v>
      </c>
      <c r="CB628" s="547">
        <v>628</v>
      </c>
      <c r="CC628" s="1481" t="b">
        <v>1</v>
      </c>
      <c r="CD628" t="str">
        <f>Table15[[#This Row],[Engineering Number]]&amp;Table15[[#This Row],[WO Number]]&amp;Table15[[#This Row],[Date Assigned to Designer]]&amp;Table15[[#This Row],[Date Completed]]</f>
        <v>MR187032110344459644708</v>
      </c>
    </row>
    <row r="629" spans="1:82" customFormat="1" ht="15" customHeight="1" x14ac:dyDescent="0.25">
      <c r="A629">
        <v>2022</v>
      </c>
      <c r="B629" s="8" t="s">
        <v>730</v>
      </c>
      <c r="C629" s="8" t="s">
        <v>432</v>
      </c>
      <c r="D629" s="8" t="s">
        <v>4486</v>
      </c>
      <c r="E629" s="8" t="s">
        <v>4487</v>
      </c>
      <c r="F629" s="8" t="s">
        <v>747</v>
      </c>
      <c r="G629" s="8" t="s">
        <v>34</v>
      </c>
      <c r="H629" s="8" t="s">
        <v>59</v>
      </c>
      <c r="I629" s="642">
        <v>44389</v>
      </c>
      <c r="J629" s="18">
        <v>44712</v>
      </c>
      <c r="K629" s="18">
        <v>44708</v>
      </c>
      <c r="L629" s="16">
        <f>IF(ISTEXT(Table15[[#This Row],[Engineering Approved Design Date]]),Table15[[#This Row],[Date Completed]]-Table15[[#This Row],[Date Assigned to Designer]],Table15[[#This Row],[Engineering Approved Design Date]]-Table15[[#This Row],[Date Completed]])</f>
        <v>4</v>
      </c>
      <c r="M629" s="642"/>
      <c r="N629" s="642" t="s">
        <v>120</v>
      </c>
      <c r="O629" s="1025">
        <v>44713</v>
      </c>
      <c r="P629" s="21" t="s">
        <v>120</v>
      </c>
      <c r="Q629" s="1061">
        <f>(Table15[[#This Row],[Construction Cost to Bill From]]*0.085)+(5250*1)</f>
        <v>32048.13955</v>
      </c>
      <c r="R629" s="1026" t="s">
        <v>794</v>
      </c>
      <c r="S629" s="538" t="s">
        <v>709</v>
      </c>
      <c r="T629" s="538" t="s">
        <v>709</v>
      </c>
      <c r="U629" s="87" t="s">
        <v>709</v>
      </c>
      <c r="V629" s="857">
        <v>305</v>
      </c>
      <c r="W629" s="440"/>
      <c r="X629" s="551">
        <v>256853.22</v>
      </c>
      <c r="Y629" s="551"/>
      <c r="Z629" s="551">
        <v>58419.01</v>
      </c>
      <c r="AA629" s="551">
        <f>Table15[[#This Row],[PCTS Retirement Amount]]+Table15[[#This Row],[PCTS Investment Amount]]</f>
        <v>315272.23</v>
      </c>
      <c r="AB629" s="341"/>
      <c r="AC629" s="568" t="s">
        <v>1441</v>
      </c>
      <c r="AD629" s="1157" t="s">
        <v>29</v>
      </c>
      <c r="AE629" s="579"/>
      <c r="AF629" s="579"/>
      <c r="AG629" s="579"/>
      <c r="AH629" s="553"/>
      <c r="AI629" s="1036"/>
      <c r="AJ629" s="1037"/>
      <c r="AK629" s="1037"/>
      <c r="AL629" s="1038"/>
      <c r="AM629" s="1522" t="s">
        <v>116</v>
      </c>
      <c r="AN629" s="1523">
        <v>44985</v>
      </c>
      <c r="AO629" s="1524">
        <v>11038165</v>
      </c>
      <c r="AP629" s="1525">
        <v>285800.33</v>
      </c>
      <c r="AQ629" s="1525"/>
      <c r="AR629" s="1525">
        <v>60585.88</v>
      </c>
      <c r="AS629" s="1525">
        <f>IF(Table15[[#This Row],[PCTS Approved]]="N",0,Table15[[#This Row],[Investment Amount (1'#'#'#'#'#)]]+Table15[[#This Row],[Retirement Amount (3'#'#'#'#'#)]])</f>
        <v>346386.21</v>
      </c>
      <c r="AT629" s="1525">
        <f>IF(Table15[[#This Row],[Approved Construction Cost]]=0,0,Table15[[#This Row],[Approved Construction Cost]]-Table15[[#This Row],[Construction Cost to Bill From]])</f>
        <v>31113.98000000004</v>
      </c>
      <c r="AU629" s="1525">
        <f>IFERROR(Table15[[#This Row],[Difference in Construction Cost]]*Table15[[#This Row],[Rate]],Table15[[#This Row],[Difference in Construction Cost]]*0.085)</f>
        <v>2644.6883000000034</v>
      </c>
      <c r="AV629" s="1525" t="s">
        <v>709</v>
      </c>
      <c r="AW629" s="1526" t="s">
        <v>4488</v>
      </c>
      <c r="AX629" s="1525">
        <v>2644.6883000000034</v>
      </c>
      <c r="AY629" s="1518">
        <v>45200</v>
      </c>
      <c r="AZ629" s="333"/>
      <c r="BA629" s="859" t="s">
        <v>4489</v>
      </c>
      <c r="BB629" s="644" t="s">
        <v>3824</v>
      </c>
      <c r="BC629" s="544" t="s">
        <v>709</v>
      </c>
      <c r="BD629" s="544" t="s">
        <v>4490</v>
      </c>
      <c r="BE629" s="544" t="s">
        <v>709</v>
      </c>
      <c r="BF629" s="544" t="s">
        <v>709</v>
      </c>
      <c r="BG629" s="544" t="s">
        <v>4243</v>
      </c>
      <c r="BH629" s="741"/>
      <c r="BI629" s="547" t="s">
        <v>709</v>
      </c>
      <c r="BJ629" s="547" t="s">
        <v>116</v>
      </c>
      <c r="BK629" s="547" t="s">
        <v>709</v>
      </c>
      <c r="BL629" s="547" t="s">
        <v>116</v>
      </c>
      <c r="BM629" s="547" t="s">
        <v>709</v>
      </c>
      <c r="BN629" s="547" t="s">
        <v>709</v>
      </c>
      <c r="BO629" s="547" t="s">
        <v>709</v>
      </c>
      <c r="BP629" s="547" t="s">
        <v>709</v>
      </c>
      <c r="BQ629" s="547" t="s">
        <v>709</v>
      </c>
      <c r="BR629" s="547">
        <v>42</v>
      </c>
      <c r="BS629" s="547">
        <v>263</v>
      </c>
      <c r="BT629" s="547" t="s">
        <v>745</v>
      </c>
      <c r="BU629" s="547">
        <v>1</v>
      </c>
      <c r="BV629" s="547" t="s">
        <v>745</v>
      </c>
      <c r="BW629" s="547" t="s">
        <v>709</v>
      </c>
      <c r="BX629" s="547">
        <v>1</v>
      </c>
      <c r="BY629" s="547" t="s">
        <v>745</v>
      </c>
      <c r="BZ629" s="547" t="s">
        <v>709</v>
      </c>
      <c r="CA629" s="483" t="s">
        <v>730</v>
      </c>
      <c r="CB629" s="547">
        <v>627</v>
      </c>
      <c r="CC629" s="1481" t="b">
        <v>1</v>
      </c>
      <c r="CD629" t="str">
        <f>Table15[[#This Row],[Engineering Number]]&amp;Table15[[#This Row],[WO Number]]&amp;Table15[[#This Row],[Date Assigned to Designer]]&amp;Table15[[#This Row],[Date Completed]]</f>
        <v>RS85410104084438944708</v>
      </c>
    </row>
    <row r="630" spans="1:82" customFormat="1" ht="15" customHeight="1" x14ac:dyDescent="0.25">
      <c r="A630">
        <v>2022</v>
      </c>
      <c r="B630" s="8" t="s">
        <v>730</v>
      </c>
      <c r="C630" s="8" t="s">
        <v>4498</v>
      </c>
      <c r="D630" s="8" t="s">
        <v>4499</v>
      </c>
      <c r="E630" s="8" t="s">
        <v>4500</v>
      </c>
      <c r="F630" s="8" t="s">
        <v>747</v>
      </c>
      <c r="G630" s="8" t="s">
        <v>34</v>
      </c>
      <c r="H630" s="8" t="s">
        <v>59</v>
      </c>
      <c r="I630" s="642">
        <v>44320</v>
      </c>
      <c r="J630" s="18">
        <v>44712</v>
      </c>
      <c r="K630" s="18">
        <v>44708</v>
      </c>
      <c r="L630" s="16">
        <f>IF(ISTEXT(Table15[[#This Row],[Engineering Approved Design Date]]),Table15[[#This Row],[Date Completed]]-Table15[[#This Row],[Date Assigned to Designer]],Table15[[#This Row],[Engineering Approved Design Date]]-Table15[[#This Row],[Date Completed]])</f>
        <v>4</v>
      </c>
      <c r="M630" s="642"/>
      <c r="N630" s="642" t="s">
        <v>120</v>
      </c>
      <c r="O630" s="1025">
        <v>44713</v>
      </c>
      <c r="P630" s="21" t="s">
        <v>120</v>
      </c>
      <c r="Q630" s="1061">
        <f>(Table15[[#This Row],[Construction Cost to Bill From]]*0.085)+(5250*1)</f>
        <v>23517.41375</v>
      </c>
      <c r="R630" s="1026" t="s">
        <v>794</v>
      </c>
      <c r="S630" s="538" t="s">
        <v>709</v>
      </c>
      <c r="T630" s="538" t="s">
        <v>709</v>
      </c>
      <c r="U630" s="87" t="s">
        <v>709</v>
      </c>
      <c r="V630" s="857">
        <v>74</v>
      </c>
      <c r="W630" s="440"/>
      <c r="X630" s="551">
        <v>168273.64</v>
      </c>
      <c r="Y630" s="551"/>
      <c r="Z630" s="551">
        <v>46637.11</v>
      </c>
      <c r="AA630" s="551">
        <f>Table15[[#This Row],[PCTS Retirement Amount]]+Table15[[#This Row],[PCTS Investment Amount]]</f>
        <v>214910.75</v>
      </c>
      <c r="AB630" s="341"/>
      <c r="AC630" s="568" t="s">
        <v>1177</v>
      </c>
      <c r="AD630" s="1157" t="s">
        <v>29</v>
      </c>
      <c r="AE630" s="579"/>
      <c r="AF630" s="579"/>
      <c r="AG630" s="579"/>
      <c r="AH630" s="553"/>
      <c r="AI630" s="1036"/>
      <c r="AJ630" s="1037"/>
      <c r="AK630" s="1037"/>
      <c r="AL630" s="1038"/>
      <c r="AM630" s="1522" t="s">
        <v>116</v>
      </c>
      <c r="AN630" s="1523">
        <v>45175</v>
      </c>
      <c r="AO630" s="1524">
        <v>11038200</v>
      </c>
      <c r="AP630" s="1525">
        <v>173161.08</v>
      </c>
      <c r="AQ630" s="1525"/>
      <c r="AR630" s="1525">
        <v>48028.74</v>
      </c>
      <c r="AS630" s="1525">
        <f>IF(Table15[[#This Row],[PCTS Approved]]="N",0,Table15[[#This Row],[Investment Amount (1'#'#'#'#'#)]]+Table15[[#This Row],[Retirement Amount (3'#'#'#'#'#)]])</f>
        <v>221189.81999999998</v>
      </c>
      <c r="AT630" s="1525">
        <f>IF(Table15[[#This Row],[Approved Construction Cost]]=0,0,Table15[[#This Row],[Approved Construction Cost]]-Table15[[#This Row],[Construction Cost to Bill From]])</f>
        <v>6279.0699999999779</v>
      </c>
      <c r="AU630" s="1525">
        <f>IFERROR(Table15[[#This Row],[Difference in Construction Cost]]*Table15[[#This Row],[Rate]],Table15[[#This Row],[Difference in Construction Cost]]*0.085)</f>
        <v>533.7209499999982</v>
      </c>
      <c r="AV630" s="1525" t="s">
        <v>709</v>
      </c>
      <c r="AW630" s="1526"/>
      <c r="AX630" s="1525">
        <v>0</v>
      </c>
      <c r="AY630" s="1518">
        <v>45375</v>
      </c>
      <c r="AZ630" s="1532"/>
      <c r="BA630" s="859" t="s">
        <v>4501</v>
      </c>
      <c r="BB630" s="644" t="s">
        <v>3824</v>
      </c>
      <c r="BC630" s="544" t="s">
        <v>709</v>
      </c>
      <c r="BD630" s="544" t="s">
        <v>709</v>
      </c>
      <c r="BE630" s="544" t="s">
        <v>4502</v>
      </c>
      <c r="BF630" s="544" t="s">
        <v>4503</v>
      </c>
      <c r="BG630" s="544" t="s">
        <v>709</v>
      </c>
      <c r="BH630" s="741"/>
      <c r="BI630" s="547" t="s">
        <v>116</v>
      </c>
      <c r="BJ630" s="547" t="s">
        <v>709</v>
      </c>
      <c r="BK630" s="547" t="s">
        <v>709</v>
      </c>
      <c r="BL630" s="547" t="s">
        <v>116</v>
      </c>
      <c r="BM630" s="547" t="s">
        <v>709</v>
      </c>
      <c r="BN630" s="547" t="s">
        <v>709</v>
      </c>
      <c r="BO630" s="547" t="s">
        <v>709</v>
      </c>
      <c r="BP630" s="547" t="s">
        <v>709</v>
      </c>
      <c r="BQ630" s="547" t="s">
        <v>709</v>
      </c>
      <c r="BR630" s="547" t="s">
        <v>709</v>
      </c>
      <c r="BS630" s="547">
        <v>74</v>
      </c>
      <c r="BT630" s="547" t="s">
        <v>745</v>
      </c>
      <c r="BU630" s="547">
        <v>1</v>
      </c>
      <c r="BV630" s="547" t="s">
        <v>745</v>
      </c>
      <c r="BW630" s="547" t="s">
        <v>709</v>
      </c>
      <c r="BX630" s="547" t="s">
        <v>709</v>
      </c>
      <c r="BY630" s="547" t="s">
        <v>745</v>
      </c>
      <c r="BZ630" s="547" t="s">
        <v>709</v>
      </c>
      <c r="CA630" s="483" t="s">
        <v>730</v>
      </c>
      <c r="CB630" s="547">
        <v>629</v>
      </c>
      <c r="CC630" s="1481" t="b">
        <v>1</v>
      </c>
      <c r="CD630" t="str">
        <f>Table15[[#This Row],[Engineering Number]]&amp;Table15[[#This Row],[WO Number]]&amp;Table15[[#This Row],[Date Assigned to Designer]]&amp;Table15[[#This Row],[Date Completed]]</f>
        <v>RS8571012064432044708</v>
      </c>
    </row>
    <row r="631" spans="1:82" customFormat="1" ht="15" customHeight="1" x14ac:dyDescent="0.25">
      <c r="A631">
        <v>2022</v>
      </c>
      <c r="B631" s="8" t="s">
        <v>730</v>
      </c>
      <c r="C631" s="8" t="s">
        <v>4492</v>
      </c>
      <c r="D631" s="8" t="s">
        <v>4493</v>
      </c>
      <c r="E631" s="8" t="s">
        <v>4494</v>
      </c>
      <c r="F631" s="8" t="s">
        <v>747</v>
      </c>
      <c r="G631" s="8" t="s">
        <v>34</v>
      </c>
      <c r="H631" s="8" t="s">
        <v>59</v>
      </c>
      <c r="I631" s="642">
        <v>44418</v>
      </c>
      <c r="J631" s="18">
        <v>44712</v>
      </c>
      <c r="K631" s="18">
        <v>44708</v>
      </c>
      <c r="L631" s="16">
        <f>IF(ISTEXT(Table15[[#This Row],[Engineering Approved Design Date]]),Table15[[#This Row],[Date Completed]]-Table15[[#This Row],[Date Assigned to Designer]],Table15[[#This Row],[Engineering Approved Design Date]]-Table15[[#This Row],[Date Completed]])</f>
        <v>4</v>
      </c>
      <c r="M631" s="642"/>
      <c r="N631" s="642" t="s">
        <v>120</v>
      </c>
      <c r="O631" s="1025">
        <v>44713</v>
      </c>
      <c r="P631" s="21" t="s">
        <v>120</v>
      </c>
      <c r="Q631" s="1061">
        <f>(Table15[[#This Row],[Construction Cost to Bill From]]*0.085)+(5250*1)</f>
        <v>22877.349300000002</v>
      </c>
      <c r="R631" s="1026" t="s">
        <v>794</v>
      </c>
      <c r="S631" s="538" t="s">
        <v>709</v>
      </c>
      <c r="T631" s="538" t="s">
        <v>709</v>
      </c>
      <c r="U631" s="87" t="s">
        <v>709</v>
      </c>
      <c r="V631" s="857">
        <v>92</v>
      </c>
      <c r="W631" s="440"/>
      <c r="X631" s="551">
        <v>163870.54999999999</v>
      </c>
      <c r="Y631" s="551"/>
      <c r="Z631" s="551">
        <v>43510.03</v>
      </c>
      <c r="AA631" s="551">
        <f>Table15[[#This Row],[PCTS Retirement Amount]]+Table15[[#This Row],[PCTS Investment Amount]]</f>
        <v>207380.58</v>
      </c>
      <c r="AB631" s="341"/>
      <c r="AC631" s="568" t="s">
        <v>1177</v>
      </c>
      <c r="AD631" s="1157" t="s">
        <v>29</v>
      </c>
      <c r="AE631" s="579"/>
      <c r="AF631" s="579"/>
      <c r="AG631" s="579"/>
      <c r="AH631" s="553"/>
      <c r="AI631" s="1036"/>
      <c r="AJ631" s="1037"/>
      <c r="AK631" s="1037"/>
      <c r="AL631" s="1038"/>
      <c r="AM631" s="1522" t="s">
        <v>116</v>
      </c>
      <c r="AN631" s="1523">
        <v>44979</v>
      </c>
      <c r="AO631" s="1524">
        <v>11038080</v>
      </c>
      <c r="AP631" s="1525">
        <v>169576.95999999999</v>
      </c>
      <c r="AQ631" s="1525"/>
      <c r="AR631" s="1525">
        <v>44829.8</v>
      </c>
      <c r="AS631" s="1525">
        <f>IF(Table15[[#This Row],[PCTS Approved]]="N",0,Table15[[#This Row],[Investment Amount (1'#'#'#'#'#)]]+Table15[[#This Row],[Retirement Amount (3'#'#'#'#'#)]])</f>
        <v>214406.76</v>
      </c>
      <c r="AT631" s="1525">
        <f>IF(Table15[[#This Row],[Approved Construction Cost]]=0,0,Table15[[#This Row],[Approved Construction Cost]]-Table15[[#This Row],[Construction Cost to Bill From]])</f>
        <v>7026.1800000000221</v>
      </c>
      <c r="AU631" s="1525">
        <f>IFERROR(Table15[[#This Row],[Difference in Construction Cost]]*Table15[[#This Row],[Rate]],Table15[[#This Row],[Difference in Construction Cost]]*0.085)</f>
        <v>597.22530000000188</v>
      </c>
      <c r="AV631" s="1525" t="s">
        <v>709</v>
      </c>
      <c r="AW631" s="1526"/>
      <c r="AX631" s="1525">
        <v>597.22530000000188</v>
      </c>
      <c r="AY631" s="1518">
        <v>45200</v>
      </c>
      <c r="AZ631" s="333"/>
      <c r="BA631" s="859" t="s">
        <v>4495</v>
      </c>
      <c r="BB631" s="644" t="s">
        <v>3824</v>
      </c>
      <c r="BC631" s="544" t="s">
        <v>709</v>
      </c>
      <c r="BD631" s="544" t="s">
        <v>709</v>
      </c>
      <c r="BE631" s="544" t="s">
        <v>709</v>
      </c>
      <c r="BF631" s="544" t="s">
        <v>4496</v>
      </c>
      <c r="BG631" s="544" t="s">
        <v>709</v>
      </c>
      <c r="BH631" s="741"/>
      <c r="BI631" s="547" t="s">
        <v>709</v>
      </c>
      <c r="BJ631" s="547" t="s">
        <v>116</v>
      </c>
      <c r="BK631" s="547" t="s">
        <v>709</v>
      </c>
      <c r="BL631" s="547" t="s">
        <v>116</v>
      </c>
      <c r="BM631" s="547" t="s">
        <v>709</v>
      </c>
      <c r="BN631" s="547" t="s">
        <v>709</v>
      </c>
      <c r="BO631" s="547" t="s">
        <v>709</v>
      </c>
      <c r="BP631" s="547" t="s">
        <v>709</v>
      </c>
      <c r="BQ631" s="547" t="s">
        <v>709</v>
      </c>
      <c r="BR631" s="547">
        <v>51</v>
      </c>
      <c r="BS631" s="547">
        <v>40</v>
      </c>
      <c r="BT631" s="547" t="s">
        <v>745</v>
      </c>
      <c r="BU631" s="547">
        <v>1</v>
      </c>
      <c r="BV631" s="547" t="s">
        <v>745</v>
      </c>
      <c r="BW631" s="547" t="s">
        <v>709</v>
      </c>
      <c r="BX631" s="547">
        <v>1</v>
      </c>
      <c r="BY631" s="547" t="s">
        <v>745</v>
      </c>
      <c r="BZ631" s="547" t="s">
        <v>709</v>
      </c>
      <c r="CA631" s="483" t="s">
        <v>730</v>
      </c>
      <c r="CB631" s="547">
        <v>626</v>
      </c>
      <c r="CC631" s="1481" t="b">
        <v>1</v>
      </c>
      <c r="CD631" t="str">
        <f>Table15[[#This Row],[Engineering Number]]&amp;Table15[[#This Row],[WO Number]]&amp;Table15[[#This Row],[Date Assigned to Designer]]&amp;Table15[[#This Row],[Date Completed]]</f>
        <v>RS86410105024441844708</v>
      </c>
    </row>
    <row r="632" spans="1:82" customFormat="1" ht="15" customHeight="1" x14ac:dyDescent="0.25">
      <c r="A632">
        <v>2022</v>
      </c>
      <c r="B632" s="8" t="s">
        <v>4</v>
      </c>
      <c r="C632" s="8" t="s">
        <v>4511</v>
      </c>
      <c r="D632" s="8" t="s">
        <v>4512</v>
      </c>
      <c r="E632" s="8" t="s">
        <v>2375</v>
      </c>
      <c r="F632" s="8" t="s">
        <v>738</v>
      </c>
      <c r="G632" s="8" t="s">
        <v>35</v>
      </c>
      <c r="H632" s="8" t="s">
        <v>59</v>
      </c>
      <c r="I632" s="642">
        <v>44621</v>
      </c>
      <c r="J632" s="97">
        <v>44715</v>
      </c>
      <c r="K632" s="97">
        <v>44715</v>
      </c>
      <c r="L632" s="16">
        <f>IF(ISTEXT(Table15[[#This Row],[Engineering Approved Design Date]]),Table15[[#This Row],[Date Completed]]-Table15[[#This Row],[Date Assigned to Designer]],Table15[[#This Row],[Engineering Approved Design Date]]-Table15[[#This Row],[Date Completed]])</f>
        <v>0</v>
      </c>
      <c r="M632" s="642"/>
      <c r="N632" s="642" t="s">
        <v>120</v>
      </c>
      <c r="O632" s="1025">
        <f>Table15[[#This Row],[Date Completed]]</f>
        <v>44715</v>
      </c>
      <c r="P632" s="21" t="s">
        <v>739</v>
      </c>
      <c r="Q632" s="1151">
        <f>R632*AA632</f>
        <v>353766.20200000005</v>
      </c>
      <c r="R632" s="1026">
        <v>0.1</v>
      </c>
      <c r="S632" s="538" t="s">
        <v>709</v>
      </c>
      <c r="T632" s="538" t="s">
        <v>709</v>
      </c>
      <c r="U632" s="87" t="s">
        <v>709</v>
      </c>
      <c r="V632" s="857">
        <v>15410</v>
      </c>
      <c r="W632" s="440"/>
      <c r="X632" s="551">
        <v>3180346.54</v>
      </c>
      <c r="Y632" s="551"/>
      <c r="Z632" s="551">
        <v>357315.48</v>
      </c>
      <c r="AA632" s="551">
        <f>Table15[[#This Row],[PCTS Retirement Amount]]+Table15[[#This Row],[PCTS Investment Amount]]</f>
        <v>3537662.02</v>
      </c>
      <c r="AB632" s="341"/>
      <c r="AC632" s="568" t="s">
        <v>709</v>
      </c>
      <c r="AD632" s="1157" t="s">
        <v>709</v>
      </c>
      <c r="AE632" s="579"/>
      <c r="AF632" s="579"/>
      <c r="AG632" s="579"/>
      <c r="AH632" s="553"/>
      <c r="AI632" s="1036"/>
      <c r="AJ632" s="1037"/>
      <c r="AK632" s="1037"/>
      <c r="AL632" s="1038"/>
      <c r="AM632" s="1522" t="s">
        <v>116</v>
      </c>
      <c r="AN632" s="1523">
        <v>44747</v>
      </c>
      <c r="AO632" s="1524">
        <v>11041909</v>
      </c>
      <c r="AP632" s="1525">
        <v>3186506.26</v>
      </c>
      <c r="AQ632" s="1525"/>
      <c r="AR632" s="1525">
        <v>357029.01</v>
      </c>
      <c r="AS632" s="1525">
        <f>IF(Table15[[#This Row],[PCTS Approved]]="N",0,Table15[[#This Row],[Investment Amount (1'#'#'#'#'#)]]+Table15[[#This Row],[Retirement Amount (3'#'#'#'#'#)]])</f>
        <v>3543535.2699999996</v>
      </c>
      <c r="AT632" s="1525">
        <f>IF(Table15[[#This Row],[Approved Construction Cost]]=0,0,Table15[[#This Row],[Approved Construction Cost]]-Table15[[#This Row],[Construction Cost to Bill From]])</f>
        <v>5873.2499999995343</v>
      </c>
      <c r="AU632" s="1525">
        <f>IFERROR(Table15[[#This Row],[Difference in Construction Cost]]*Table15[[#This Row],[Rate]],Table15[[#This Row],[Difference in Construction Cost]]*0.085)</f>
        <v>587.32499999995343</v>
      </c>
      <c r="AV632" s="1525" t="s">
        <v>709</v>
      </c>
      <c r="AW632" s="1526"/>
      <c r="AX632" s="1525">
        <f>Table15[[#This Row],[Reconcile Amount]]</f>
        <v>587.32499999995343</v>
      </c>
      <c r="AY632" s="1518">
        <v>45008</v>
      </c>
      <c r="AZ632" s="333"/>
      <c r="BA632" s="1031" t="s">
        <v>4513</v>
      </c>
      <c r="BB632" s="644" t="s">
        <v>4248</v>
      </c>
      <c r="BC632" s="544" t="s">
        <v>116</v>
      </c>
      <c r="BD632" s="544" t="s">
        <v>709</v>
      </c>
      <c r="BE632" s="544" t="s">
        <v>3205</v>
      </c>
      <c r="BF632" s="544" t="s">
        <v>709</v>
      </c>
      <c r="BG632" s="544" t="s">
        <v>709</v>
      </c>
      <c r="BH632" s="741"/>
      <c r="BI632" s="547" t="s">
        <v>709</v>
      </c>
      <c r="BJ632" s="547" t="s">
        <v>709</v>
      </c>
      <c r="BK632" s="547" t="s">
        <v>709</v>
      </c>
      <c r="BL632" s="547" t="s">
        <v>116</v>
      </c>
      <c r="BM632" s="547" t="s">
        <v>709</v>
      </c>
      <c r="BN632" s="547" t="s">
        <v>709</v>
      </c>
      <c r="BO632" s="547" t="s">
        <v>709</v>
      </c>
      <c r="BP632" s="547" t="s">
        <v>709</v>
      </c>
      <c r="BQ632" s="547">
        <v>125</v>
      </c>
      <c r="BR632" s="547">
        <v>2875</v>
      </c>
      <c r="BS632" s="547">
        <v>12467</v>
      </c>
      <c r="BT632" s="547" t="s">
        <v>745</v>
      </c>
      <c r="BU632" s="547" t="s">
        <v>709</v>
      </c>
      <c r="BV632" s="547" t="s">
        <v>745</v>
      </c>
      <c r="BW632" s="547" t="s">
        <v>709</v>
      </c>
      <c r="BX632" s="547" t="s">
        <v>745</v>
      </c>
      <c r="BY632" s="547" t="s">
        <v>745</v>
      </c>
      <c r="BZ632" s="547" t="s">
        <v>709</v>
      </c>
      <c r="CA632" s="483"/>
      <c r="CB632" s="547">
        <v>630</v>
      </c>
      <c r="CC632" s="1481" t="b">
        <v>1</v>
      </c>
      <c r="CD632" t="str">
        <f>Table15[[#This Row],[Engineering Number]]&amp;Table15[[#This Row],[WO Number]]&amp;Table15[[#This Row],[Date Assigned to Designer]]&amp;Table15[[#This Row],[Date Completed]]</f>
        <v>N1522612112024462144715</v>
      </c>
    </row>
    <row r="633" spans="1:82" customFormat="1" ht="15" customHeight="1" x14ac:dyDescent="0.25">
      <c r="A633">
        <v>2022</v>
      </c>
      <c r="B633" s="8" t="s">
        <v>4</v>
      </c>
      <c r="C633" s="8" t="s">
        <v>4515</v>
      </c>
      <c r="D633" s="8" t="s">
        <v>4516</v>
      </c>
      <c r="E633" s="8" t="s">
        <v>2375</v>
      </c>
      <c r="F633" s="8" t="s">
        <v>738</v>
      </c>
      <c r="G633" s="8" t="s">
        <v>35</v>
      </c>
      <c r="H633" s="8" t="s">
        <v>59</v>
      </c>
      <c r="I633" s="642">
        <v>44666</v>
      </c>
      <c r="J633" s="97">
        <v>44715</v>
      </c>
      <c r="K633" s="97">
        <v>44715</v>
      </c>
      <c r="L633" s="16">
        <f>IF(ISTEXT(Table15[[#This Row],[Engineering Approved Design Date]]),Table15[[#This Row],[Date Completed]]-Table15[[#This Row],[Date Assigned to Designer]],Table15[[#This Row],[Engineering Approved Design Date]]-Table15[[#This Row],[Date Completed]])</f>
        <v>0</v>
      </c>
      <c r="M633" s="642"/>
      <c r="N633" s="642" t="s">
        <v>120</v>
      </c>
      <c r="O633" s="1025">
        <f>Table15[[#This Row],[Date Completed]]</f>
        <v>44715</v>
      </c>
      <c r="P633" s="21" t="s">
        <v>120</v>
      </c>
      <c r="Q633" s="1151">
        <f>R633*AA633</f>
        <v>7855.5710000000008</v>
      </c>
      <c r="R633" s="1026">
        <v>0.1</v>
      </c>
      <c r="S633" s="538" t="s">
        <v>709</v>
      </c>
      <c r="T633" s="538" t="s">
        <v>709</v>
      </c>
      <c r="U633" s="87" t="s">
        <v>709</v>
      </c>
      <c r="V633" s="857">
        <v>453</v>
      </c>
      <c r="W633" s="440"/>
      <c r="X633" s="551">
        <v>70644.710000000006</v>
      </c>
      <c r="Y633" s="551"/>
      <c r="Z633" s="551">
        <v>7911</v>
      </c>
      <c r="AA633" s="551">
        <f>Table15[[#This Row],[PCTS Retirement Amount]]+Table15[[#This Row],[PCTS Investment Amount]]</f>
        <v>78555.710000000006</v>
      </c>
      <c r="AB633" s="341"/>
      <c r="AC633" s="568" t="s">
        <v>709</v>
      </c>
      <c r="AD633" s="1157" t="s">
        <v>709</v>
      </c>
      <c r="AE633" s="579"/>
      <c r="AF633" s="579"/>
      <c r="AG633" s="569"/>
      <c r="AH633" s="553"/>
      <c r="AI633" s="1036"/>
      <c r="AJ633" s="1037"/>
      <c r="AK633" s="1037"/>
      <c r="AL633" s="1038"/>
      <c r="AM633" s="1522" t="s">
        <v>116</v>
      </c>
      <c r="AN633" s="1523">
        <v>44740</v>
      </c>
      <c r="AO633" s="1524">
        <v>11042477</v>
      </c>
      <c r="AP633" s="1525">
        <v>70785.14</v>
      </c>
      <c r="AQ633" s="1525"/>
      <c r="AR633" s="1525">
        <v>7911</v>
      </c>
      <c r="AS633" s="1525">
        <f>IF(Table15[[#This Row],[PCTS Approved]]="N",0,Table15[[#This Row],[Investment Amount (1'#'#'#'#'#)]]+Table15[[#This Row],[Retirement Amount (3'#'#'#'#'#)]])</f>
        <v>78696.14</v>
      </c>
      <c r="AT633" s="1525">
        <f>IF(Table15[[#This Row],[Approved Construction Cost]]=0,0,Table15[[#This Row],[Approved Construction Cost]]-Table15[[#This Row],[Construction Cost to Bill From]])</f>
        <v>140.42999999999302</v>
      </c>
      <c r="AU633" s="1525">
        <f>IFERROR(Table15[[#This Row],[Difference in Construction Cost]]*Table15[[#This Row],[Rate]],Table15[[#This Row],[Difference in Construction Cost]]*0.085)</f>
        <v>14.042999999999303</v>
      </c>
      <c r="AV633" s="1525" t="s">
        <v>709</v>
      </c>
      <c r="AW633" s="1526"/>
      <c r="AX633" s="1525">
        <f>Table15[[#This Row],[Reconcile Amount]]</f>
        <v>14.042999999999303</v>
      </c>
      <c r="AY633" s="1518">
        <v>45008</v>
      </c>
      <c r="AZ633" s="333"/>
      <c r="BA633" s="1031" t="s">
        <v>4517</v>
      </c>
      <c r="BB633" s="644" t="s">
        <v>3507</v>
      </c>
      <c r="BC633" s="544"/>
      <c r="BD633" s="544"/>
      <c r="BE633" s="544"/>
      <c r="BF633" s="544"/>
      <c r="BG633" s="544"/>
      <c r="BH633" s="741"/>
      <c r="BI633" s="547"/>
      <c r="BJ633" s="547"/>
      <c r="BK633" s="547"/>
      <c r="BL633" s="547"/>
      <c r="BM633" s="547"/>
      <c r="BN633" s="547"/>
      <c r="BO633" s="547"/>
      <c r="BP633" s="547"/>
      <c r="BQ633" s="547"/>
      <c r="BR633" s="547"/>
      <c r="BS633" s="547"/>
      <c r="BT633" s="547"/>
      <c r="BU633" s="547"/>
      <c r="BV633" s="547"/>
      <c r="BW633" s="547"/>
      <c r="BX633" s="547"/>
      <c r="BY633" s="547"/>
      <c r="BZ633" s="547" t="s">
        <v>709</v>
      </c>
      <c r="CA633" s="483" t="s">
        <v>1053</v>
      </c>
      <c r="CB633" s="547">
        <v>631</v>
      </c>
      <c r="CC633" s="1481" t="b">
        <v>1</v>
      </c>
      <c r="CD633" t="str">
        <f>Table15[[#This Row],[Engineering Number]]&amp;Table15[[#This Row],[WO Number]]&amp;Table15[[#This Row],[Date Assigned to Designer]]&amp;Table15[[#This Row],[Date Completed]]</f>
        <v>VW31312113084466644715</v>
      </c>
    </row>
    <row r="634" spans="1:82" customFormat="1" ht="15" customHeight="1" x14ac:dyDescent="0.25">
      <c r="A634">
        <v>2022</v>
      </c>
      <c r="B634" s="8" t="s">
        <v>1073</v>
      </c>
      <c r="C634" s="8" t="s">
        <v>3951</v>
      </c>
      <c r="D634" s="8" t="s">
        <v>3952</v>
      </c>
      <c r="E634" s="8" t="s">
        <v>2187</v>
      </c>
      <c r="F634" s="8" t="s">
        <v>919</v>
      </c>
      <c r="G634" s="8" t="s">
        <v>35</v>
      </c>
      <c r="H634" s="8" t="s">
        <v>2611</v>
      </c>
      <c r="I634" s="642">
        <v>44631</v>
      </c>
      <c r="J634" s="18" t="s">
        <v>2612</v>
      </c>
      <c r="K634" s="97">
        <v>44719</v>
      </c>
      <c r="L634" s="16">
        <f>IF(ISTEXT(Table15[[#This Row],[Engineering Approved Design Date]]),Table15[[#This Row],[Date Completed]]-Table15[[#This Row],[Date Assigned to Designer]],Table15[[#This Row],[Engineering Approved Design Date]]-Table15[[#This Row],[Date Completed]])</f>
        <v>88</v>
      </c>
      <c r="M634" t="s">
        <v>3652</v>
      </c>
      <c r="N634" s="642" t="s">
        <v>120</v>
      </c>
      <c r="O634" s="1025">
        <v>44743</v>
      </c>
      <c r="P634" s="21" t="s">
        <v>739</v>
      </c>
      <c r="Q634" s="1151">
        <f>Table15[[#This Row],[KH Hourly Effort]]</f>
        <v>1337.5</v>
      </c>
      <c r="R634" s="1026" t="s">
        <v>1922</v>
      </c>
      <c r="S634" s="538" t="s">
        <v>709</v>
      </c>
      <c r="T634" s="538" t="s">
        <v>709</v>
      </c>
      <c r="U634" s="28">
        <v>1337.5</v>
      </c>
      <c r="V634" s="858"/>
      <c r="W634" s="437"/>
      <c r="X634" s="538"/>
      <c r="Y634" s="550"/>
      <c r="Z634" s="538"/>
      <c r="AA634" s="561">
        <f>23365+0</f>
        <v>23365</v>
      </c>
      <c r="AB634" s="341"/>
      <c r="AC634" s="568"/>
      <c r="AD634" s="1158" t="s">
        <v>116</v>
      </c>
      <c r="AE634" s="576" t="s">
        <v>29</v>
      </c>
      <c r="AF634" s="576" t="s">
        <v>29</v>
      </c>
      <c r="AG634" s="576" t="s">
        <v>29</v>
      </c>
      <c r="AH634" s="573" t="s">
        <v>29</v>
      </c>
      <c r="AI634" s="1047"/>
      <c r="AJ634" s="1048"/>
      <c r="AK634" s="1048"/>
      <c r="AL634" s="1049"/>
      <c r="AM634" s="542" t="s">
        <v>709</v>
      </c>
      <c r="AN634" s="924"/>
      <c r="AO634" s="925"/>
      <c r="AP634" s="926"/>
      <c r="AQ634" s="926"/>
      <c r="AR634" s="926"/>
      <c r="AS634" s="926"/>
      <c r="AT634" s="926"/>
      <c r="AU634" s="926"/>
      <c r="AV634" s="926"/>
      <c r="AW634" s="927"/>
      <c r="AX634" s="926"/>
      <c r="AY634" s="1538" t="s">
        <v>29</v>
      </c>
      <c r="AZ634" s="1530"/>
      <c r="BA634" s="1031"/>
      <c r="BB634" s="543"/>
      <c r="BC634" s="544"/>
      <c r="BD634" s="544"/>
      <c r="BE634" s="544"/>
      <c r="BF634" s="544"/>
      <c r="BG634" s="544"/>
      <c r="BH634" s="741"/>
      <c r="BI634" s="547" t="s">
        <v>709</v>
      </c>
      <c r="BJ634" s="547" t="s">
        <v>709</v>
      </c>
      <c r="BK634" s="547" t="s">
        <v>709</v>
      </c>
      <c r="BL634" s="547" t="s">
        <v>116</v>
      </c>
      <c r="BM634" s="547" t="s">
        <v>709</v>
      </c>
      <c r="BN634" s="547" t="s">
        <v>709</v>
      </c>
      <c r="BO634" s="547" t="s">
        <v>709</v>
      </c>
      <c r="BP634" s="547" t="s">
        <v>709</v>
      </c>
      <c r="BQ634" s="547" t="s">
        <v>709</v>
      </c>
      <c r="BR634" s="547">
        <v>9486</v>
      </c>
      <c r="BS634" s="547" t="s">
        <v>709</v>
      </c>
      <c r="BT634" s="547" t="s">
        <v>709</v>
      </c>
      <c r="BU634" s="547" t="s">
        <v>709</v>
      </c>
      <c r="BV634" s="547" t="s">
        <v>745</v>
      </c>
      <c r="BW634" s="547" t="s">
        <v>709</v>
      </c>
      <c r="BX634" s="547" t="s">
        <v>709</v>
      </c>
      <c r="BY634" s="547" t="s">
        <v>745</v>
      </c>
      <c r="BZ634" s="547" t="s">
        <v>709</v>
      </c>
      <c r="CA634" s="483"/>
      <c r="CB634" s="547">
        <v>632</v>
      </c>
      <c r="CC634" s="1481" t="b">
        <v>1</v>
      </c>
      <c r="CD634" t="str">
        <f>Table15[[#This Row],[Engineering Number]]&amp;Table15[[#This Row],[WO Number]]&amp;Table15[[#This Row],[Date Assigned to Designer]]&amp;Table15[[#This Row],[Date Completed]]</f>
        <v>NBA197091319107374463144719</v>
      </c>
    </row>
    <row r="635" spans="1:82" customFormat="1" ht="15" customHeight="1" x14ac:dyDescent="0.25">
      <c r="A635">
        <v>2022</v>
      </c>
      <c r="B635" s="8" t="s">
        <v>2994</v>
      </c>
      <c r="C635" s="8" t="s">
        <v>4505</v>
      </c>
      <c r="D635" s="8" t="s">
        <v>4506</v>
      </c>
      <c r="E635" s="8" t="s">
        <v>1352</v>
      </c>
      <c r="F635" s="8" t="s">
        <v>752</v>
      </c>
      <c r="G635" s="8" t="s">
        <v>35</v>
      </c>
      <c r="H635" s="8" t="s">
        <v>4462</v>
      </c>
      <c r="I635" s="642">
        <v>44718</v>
      </c>
      <c r="J635" s="175" t="s">
        <v>2052</v>
      </c>
      <c r="K635" s="97">
        <v>44720</v>
      </c>
      <c r="L635" s="16">
        <f>IF(ISTEXT(Table15[[#This Row],[Engineering Approved Design Date]]),Table15[[#This Row],[Date Completed]]-Table15[[#This Row],[Date Assigned to Designer]],Table15[[#This Row],[Engineering Approved Design Date]]-Table15[[#This Row],[Date Completed]])</f>
        <v>2</v>
      </c>
      <c r="M635" t="s">
        <v>4520</v>
      </c>
      <c r="N635" s="642" t="s">
        <v>120</v>
      </c>
      <c r="O635" s="1025">
        <f>Table15[[#This Row],[Date Completed]]</f>
        <v>44720</v>
      </c>
      <c r="P635" s="21" t="s">
        <v>739</v>
      </c>
      <c r="Q635" s="1151" t="s">
        <v>115</v>
      </c>
      <c r="R635" s="1026" t="s">
        <v>115</v>
      </c>
      <c r="S635" s="538"/>
      <c r="T635" s="538"/>
      <c r="U635" s="87"/>
      <c r="V635" s="858"/>
      <c r="W635" s="437"/>
      <c r="X635" s="538"/>
      <c r="Y635" s="551"/>
      <c r="Z635" s="538"/>
      <c r="AA635" s="538"/>
      <c r="AB635" s="21"/>
      <c r="AC635" s="569" t="s">
        <v>709</v>
      </c>
      <c r="AD635" s="1149" t="s">
        <v>709</v>
      </c>
      <c r="AE635" s="580"/>
      <c r="AF635" s="580"/>
      <c r="AG635" s="580"/>
      <c r="AH635" s="542"/>
      <c r="AI635" s="1028"/>
      <c r="AJ635" s="1029"/>
      <c r="AK635" s="1029"/>
      <c r="AL635" s="1030"/>
      <c r="AM635" s="542" t="s">
        <v>709</v>
      </c>
      <c r="AN635" s="924"/>
      <c r="AO635" s="925"/>
      <c r="AP635" s="926"/>
      <c r="AQ635" s="926"/>
      <c r="AR635" s="926"/>
      <c r="AS635" s="926"/>
      <c r="AT635" s="926"/>
      <c r="AU635" s="926"/>
      <c r="AV635" s="926"/>
      <c r="AW635" s="927"/>
      <c r="AX635" s="926"/>
      <c r="AY635" s="1538" t="s">
        <v>29</v>
      </c>
      <c r="AZ635" s="1532"/>
      <c r="BA635" s="1031" t="s">
        <v>4521</v>
      </c>
      <c r="BB635" s="644" t="s">
        <v>4522</v>
      </c>
      <c r="BC635" s="544"/>
      <c r="BD635" s="544"/>
      <c r="BE635" s="544"/>
      <c r="BF635" s="544"/>
      <c r="BG635" s="544"/>
      <c r="BH635" s="741"/>
      <c r="BI635" s="547" t="s">
        <v>709</v>
      </c>
      <c r="BJ635" s="547" t="s">
        <v>709</v>
      </c>
      <c r="BK635" s="547" t="s">
        <v>709</v>
      </c>
      <c r="BL635" s="547" t="s">
        <v>709</v>
      </c>
      <c r="BM635" s="547" t="s">
        <v>709</v>
      </c>
      <c r="BN635" s="547" t="s">
        <v>709</v>
      </c>
      <c r="BO635" s="547" t="s">
        <v>709</v>
      </c>
      <c r="BP635" s="547" t="s">
        <v>709</v>
      </c>
      <c r="BQ635" s="547" t="s">
        <v>709</v>
      </c>
      <c r="BR635" s="547" t="s">
        <v>709</v>
      </c>
      <c r="BS635" s="547" t="s">
        <v>709</v>
      </c>
      <c r="BT635" s="547" t="s">
        <v>745</v>
      </c>
      <c r="BU635" s="547" t="s">
        <v>709</v>
      </c>
      <c r="BV635" s="547" t="s">
        <v>116</v>
      </c>
      <c r="BW635" s="547" t="s">
        <v>709</v>
      </c>
      <c r="BX635" s="547" t="s">
        <v>745</v>
      </c>
      <c r="BY635" s="547" t="s">
        <v>745</v>
      </c>
      <c r="BZ635" s="547" t="s">
        <v>709</v>
      </c>
      <c r="CA635" s="483" t="s">
        <v>4304</v>
      </c>
      <c r="CB635" s="547">
        <v>634</v>
      </c>
      <c r="CC635" s="1481" t="b">
        <v>1</v>
      </c>
      <c r="CD635" t="str">
        <f>Table15[[#This Row],[Engineering Number]]&amp;Table15[[#This Row],[WO Number]]&amp;Table15[[#This Row],[Date Assigned to Designer]]&amp;Table15[[#This Row],[Date Completed]]</f>
        <v>MR187032110344471844720</v>
      </c>
    </row>
    <row r="636" spans="1:82" customFormat="1" ht="15" customHeight="1" x14ac:dyDescent="0.25">
      <c r="A636">
        <v>2022</v>
      </c>
      <c r="B636" s="8" t="s">
        <v>730</v>
      </c>
      <c r="C636" s="8" t="s">
        <v>1284</v>
      </c>
      <c r="D636" s="8" t="s">
        <v>1285</v>
      </c>
      <c r="E636" s="8" t="s">
        <v>1286</v>
      </c>
      <c r="F636" s="8" t="s">
        <v>752</v>
      </c>
      <c r="G636" s="8" t="s">
        <v>23</v>
      </c>
      <c r="H636" s="8" t="s">
        <v>59</v>
      </c>
      <c r="I636" s="642">
        <v>44607</v>
      </c>
      <c r="J636" s="451">
        <v>44722</v>
      </c>
      <c r="K636" s="18">
        <v>44720</v>
      </c>
      <c r="L636" s="16">
        <f>IF(ISTEXT(Table15[[#This Row],[Engineering Approved Design Date]]),Table15[[#This Row],[Date Completed]]-Table15[[#This Row],[Date Assigned to Designer]],Table15[[#This Row],[Engineering Approved Design Date]]-Table15[[#This Row],[Date Completed]])</f>
        <v>2</v>
      </c>
      <c r="M636" s="642"/>
      <c r="N636" s="642" t="s">
        <v>120</v>
      </c>
      <c r="O636" s="1025">
        <f>Table15[[#This Row],[Date Completed]]</f>
        <v>44720</v>
      </c>
      <c r="P636" s="21" t="s">
        <v>739</v>
      </c>
      <c r="Q636" s="1061">
        <f>(Table15[[#This Row],[Construction Cost to Bill From]]*0.085)+(5250*2)</f>
        <v>35341.335850000003</v>
      </c>
      <c r="R636" s="1026" t="s">
        <v>794</v>
      </c>
      <c r="S636" s="538" t="s">
        <v>709</v>
      </c>
      <c r="T636" s="538" t="s">
        <v>709</v>
      </c>
      <c r="U636" s="87" t="s">
        <v>709</v>
      </c>
      <c r="V636" s="857">
        <v>312</v>
      </c>
      <c r="W636" s="440"/>
      <c r="X636" s="551">
        <v>241769.56</v>
      </c>
      <c r="Y636" s="551"/>
      <c r="Z636" s="551">
        <v>50481.45</v>
      </c>
      <c r="AA636" s="551">
        <f>Table15[[#This Row],[PCTS Retirement Amount]]+Table15[[#This Row],[PCTS Investment Amount]]</f>
        <v>292251.01</v>
      </c>
      <c r="AB636" s="341"/>
      <c r="AC636" s="568" t="s">
        <v>1056</v>
      </c>
      <c r="AD636" s="1157"/>
      <c r="AE636" s="579"/>
      <c r="AF636" s="579"/>
      <c r="AG636" s="579"/>
      <c r="AH636" s="553"/>
      <c r="AI636" s="1036"/>
      <c r="AJ636" s="1037"/>
      <c r="AK636" s="1037"/>
      <c r="AL636" s="1038"/>
      <c r="AM636" s="536" t="s">
        <v>116</v>
      </c>
      <c r="AN636" s="903" t="s">
        <v>709</v>
      </c>
      <c r="AO636" s="1536">
        <v>11042525</v>
      </c>
      <c r="AP636" s="1537"/>
      <c r="AQ636" s="1537"/>
      <c r="AR636" s="1537"/>
      <c r="AS636" s="888">
        <f>IF(Table15[[#This Row],[PCTS Approved]]="N",0,Table15[[#This Row],[Investment Amount (1'#'#'#'#'#)]]+Table15[[#This Row],[Retirement Amount (3'#'#'#'#'#)]])</f>
        <v>0</v>
      </c>
      <c r="AT636" s="888">
        <f>IF(Table15[[#This Row],[Approved Construction Cost]]=0,0,Table15[[#This Row],[Approved Construction Cost]]-Table15[[#This Row],[Construction Cost to Bill From]])</f>
        <v>0</v>
      </c>
      <c r="AU636" s="888">
        <f>IFERROR(Table15[[#This Row],[Difference in Construction Cost]]*Table15[[#This Row],[Rate]],Table15[[#This Row],[Difference in Construction Cost]]*0.085)</f>
        <v>0</v>
      </c>
      <c r="AV636" s="905"/>
      <c r="AW636" s="1509"/>
      <c r="AX636" s="888"/>
      <c r="AY636" s="636" t="s">
        <v>709</v>
      </c>
      <c r="AZ636" s="333">
        <v>171</v>
      </c>
      <c r="BA636" s="859" t="s">
        <v>1287</v>
      </c>
      <c r="BB636" s="644" t="s">
        <v>1288</v>
      </c>
      <c r="BC636" s="544" t="s">
        <v>709</v>
      </c>
      <c r="BD636" s="544" t="s">
        <v>709</v>
      </c>
      <c r="BE636" s="544" t="s">
        <v>709</v>
      </c>
      <c r="BF636" s="544" t="s">
        <v>1289</v>
      </c>
      <c r="BG636" s="544" t="s">
        <v>709</v>
      </c>
      <c r="BH636" s="741"/>
      <c r="BI636" s="547" t="s">
        <v>116</v>
      </c>
      <c r="BJ636" s="547" t="s">
        <v>116</v>
      </c>
      <c r="BK636" s="547" t="s">
        <v>709</v>
      </c>
      <c r="BL636" s="547" t="s">
        <v>116</v>
      </c>
      <c r="BM636" s="547" t="s">
        <v>709</v>
      </c>
      <c r="BN636" s="547" t="s">
        <v>709</v>
      </c>
      <c r="BO636" s="547" t="s">
        <v>709</v>
      </c>
      <c r="BP636" s="547" t="s">
        <v>709</v>
      </c>
      <c r="BQ636" s="547" t="s">
        <v>709</v>
      </c>
      <c r="BR636" s="547" t="s">
        <v>709</v>
      </c>
      <c r="BS636" s="547">
        <v>312</v>
      </c>
      <c r="BT636" s="547" t="s">
        <v>745</v>
      </c>
      <c r="BU636" s="547">
        <v>2</v>
      </c>
      <c r="BV636" s="547" t="s">
        <v>745</v>
      </c>
      <c r="BW636" s="547" t="s">
        <v>709</v>
      </c>
      <c r="BX636" s="547">
        <v>1</v>
      </c>
      <c r="BY636" s="547" t="s">
        <v>745</v>
      </c>
      <c r="BZ636" s="547" t="s">
        <v>709</v>
      </c>
      <c r="CA636" s="483" t="s">
        <v>769</v>
      </c>
      <c r="CB636" s="547">
        <v>633</v>
      </c>
      <c r="CC636" s="1481" t="b">
        <v>1</v>
      </c>
      <c r="CD636" t="str">
        <f>Table15[[#This Row],[Engineering Number]]&amp;Table15[[#This Row],[WO Number]]&amp;Table15[[#This Row],[Date Assigned to Designer]]&amp;Table15[[#This Row],[Date Completed]]</f>
        <v>RS99510111054460744720</v>
      </c>
    </row>
    <row r="637" spans="1:82" customFormat="1" ht="15" customHeight="1" x14ac:dyDescent="0.25">
      <c r="A637">
        <v>2022</v>
      </c>
      <c r="B637" s="8" t="s">
        <v>769</v>
      </c>
      <c r="C637" s="8" t="s">
        <v>4524</v>
      </c>
      <c r="D637" s="8" t="s">
        <v>4525</v>
      </c>
      <c r="E637" s="8" t="s">
        <v>3493</v>
      </c>
      <c r="F637" s="8" t="s">
        <v>752</v>
      </c>
      <c r="G637" s="8" t="s">
        <v>24</v>
      </c>
      <c r="H637" s="8" t="s">
        <v>4354</v>
      </c>
      <c r="I637" s="642">
        <v>44692</v>
      </c>
      <c r="J637" s="175">
        <v>44750</v>
      </c>
      <c r="K637" s="97">
        <v>44720</v>
      </c>
      <c r="L637" s="16">
        <f>IF(ISTEXT(Table15[[#This Row],[Engineering Approved Design Date]]),Table15[[#This Row],[Date Completed]]-Table15[[#This Row],[Date Assigned to Designer]],Table15[[#This Row],[Engineering Approved Design Date]]-Table15[[#This Row],[Date Completed]])</f>
        <v>30</v>
      </c>
      <c r="N637" s="642" t="s">
        <v>120</v>
      </c>
      <c r="O637" s="1025">
        <v>44757</v>
      </c>
      <c r="P637" s="21" t="s">
        <v>739</v>
      </c>
      <c r="Q637" s="1151">
        <f>Table15[[#This Row],[KH Hourly Effort]]</f>
        <v>16807.5</v>
      </c>
      <c r="R637" s="1026" t="s">
        <v>1922</v>
      </c>
      <c r="S637" s="538" t="s">
        <v>709</v>
      </c>
      <c r="T637" s="538" t="s">
        <v>709</v>
      </c>
      <c r="U637" s="87">
        <v>16807.5</v>
      </c>
      <c r="V637" s="858"/>
      <c r="W637" s="437"/>
      <c r="X637" s="538"/>
      <c r="Y637" s="551"/>
      <c r="Z637" s="538"/>
      <c r="AA637" s="538"/>
      <c r="AB637" s="21"/>
      <c r="AC637" s="569" t="s">
        <v>709</v>
      </c>
      <c r="AD637" s="1149"/>
      <c r="AE637" s="580" t="s">
        <v>29</v>
      </c>
      <c r="AF637" s="580" t="s">
        <v>29</v>
      </c>
      <c r="AG637" s="580" t="s">
        <v>29</v>
      </c>
      <c r="AH637" s="542" t="s">
        <v>29</v>
      </c>
      <c r="AI637" s="1028"/>
      <c r="AJ637" s="1029"/>
      <c r="AK637" s="1029"/>
      <c r="AL637" s="1030"/>
      <c r="AM637" s="542" t="s">
        <v>709</v>
      </c>
      <c r="AN637" s="924"/>
      <c r="AO637" s="925"/>
      <c r="AP637" s="926"/>
      <c r="AQ637" s="926"/>
      <c r="AR637" s="926"/>
      <c r="AS637" s="926"/>
      <c r="AT637" s="926"/>
      <c r="AU637" s="926"/>
      <c r="AV637" s="926"/>
      <c r="AW637" s="927"/>
      <c r="AX637" s="926"/>
      <c r="AY637" s="1538" t="s">
        <v>29</v>
      </c>
      <c r="AZ637" s="1530"/>
      <c r="BA637" s="1031" t="s">
        <v>4526</v>
      </c>
      <c r="BB637" s="644" t="s">
        <v>4527</v>
      </c>
      <c r="BC637" s="544" t="s">
        <v>115</v>
      </c>
      <c r="BD637" s="544" t="s">
        <v>757</v>
      </c>
      <c r="BE637" s="544" t="s">
        <v>3496</v>
      </c>
      <c r="BF637" s="544" t="s">
        <v>4528</v>
      </c>
      <c r="BG637" s="544" t="s">
        <v>115</v>
      </c>
      <c r="BH637" s="741"/>
      <c r="BI637" s="547" t="s">
        <v>709</v>
      </c>
      <c r="BJ637" s="547" t="s">
        <v>709</v>
      </c>
      <c r="BK637" s="547" t="s">
        <v>709</v>
      </c>
      <c r="BL637" s="547" t="s">
        <v>116</v>
      </c>
      <c r="BM637" s="547" t="s">
        <v>709</v>
      </c>
      <c r="BN637" s="547" t="s">
        <v>709</v>
      </c>
      <c r="BO637" s="547" t="s">
        <v>709</v>
      </c>
      <c r="BP637" s="547" t="s">
        <v>709</v>
      </c>
      <c r="BQ637" s="547" t="s">
        <v>709</v>
      </c>
      <c r="BR637" s="547" t="s">
        <v>709</v>
      </c>
      <c r="BS637" s="547" t="s">
        <v>116</v>
      </c>
      <c r="BT637" s="547" t="s">
        <v>745</v>
      </c>
      <c r="BU637" s="547" t="s">
        <v>709</v>
      </c>
      <c r="BV637" s="547" t="s">
        <v>745</v>
      </c>
      <c r="BW637" s="547" t="s">
        <v>709</v>
      </c>
      <c r="BX637" s="547" t="s">
        <v>745</v>
      </c>
      <c r="BY637" s="547" t="s">
        <v>745</v>
      </c>
      <c r="BZ637" s="547" t="s">
        <v>709</v>
      </c>
      <c r="CA637" s="483" t="s">
        <v>769</v>
      </c>
      <c r="CB637" s="547">
        <v>635</v>
      </c>
      <c r="CC637" s="1481" t="b">
        <v>1</v>
      </c>
      <c r="CD637" t="str">
        <f>Table15[[#This Row],[Engineering Number]]&amp;Table15[[#This Row],[WO Number]]&amp;Table15[[#This Row],[Date Assigned to Designer]]&amp;Table15[[#This Row],[Date Completed]]</f>
        <v>RS102910114294469244720</v>
      </c>
    </row>
    <row r="638" spans="1:82" customFormat="1" ht="15" customHeight="1" x14ac:dyDescent="0.25">
      <c r="A638">
        <v>2022</v>
      </c>
      <c r="B638" s="8" t="s">
        <v>771</v>
      </c>
      <c r="C638" s="8" t="s">
        <v>217</v>
      </c>
      <c r="D638" s="8">
        <v>1410799</v>
      </c>
      <c r="E638" s="8" t="s">
        <v>4531</v>
      </c>
      <c r="F638" s="8" t="s">
        <v>747</v>
      </c>
      <c r="G638" s="8" t="s">
        <v>22</v>
      </c>
      <c r="H638" s="8" t="s">
        <v>4462</v>
      </c>
      <c r="I638" s="642">
        <v>44720</v>
      </c>
      <c r="J638" s="175" t="s">
        <v>2052</v>
      </c>
      <c r="K638" s="97">
        <v>44722</v>
      </c>
      <c r="L638" s="16">
        <f>IF(ISTEXT(Table15[[#This Row],[Engineering Approved Design Date]]),Table15[[#This Row],[Date Completed]]-Table15[[#This Row],[Date Assigned to Designer]],Table15[[#This Row],[Engineering Approved Design Date]]-Table15[[#This Row],[Date Completed]])</f>
        <v>2</v>
      </c>
      <c r="M638" t="s">
        <v>4532</v>
      </c>
      <c r="N638" s="642" t="s">
        <v>120</v>
      </c>
      <c r="O638" s="1025">
        <f>Table15[[#This Row],[Date Completed]]</f>
        <v>44722</v>
      </c>
      <c r="P638" s="21" t="s">
        <v>120</v>
      </c>
      <c r="Q638" s="1151" t="s">
        <v>115</v>
      </c>
      <c r="R638" s="1026" t="s">
        <v>115</v>
      </c>
      <c r="S638" s="538" t="s">
        <v>709</v>
      </c>
      <c r="T638" s="538" t="s">
        <v>709</v>
      </c>
      <c r="U638" s="87" t="s">
        <v>709</v>
      </c>
      <c r="V638" s="858"/>
      <c r="W638" s="437"/>
      <c r="X638" s="538"/>
      <c r="Y638" s="551"/>
      <c r="Z638" s="538"/>
      <c r="AA638" s="538"/>
      <c r="AB638" s="21"/>
      <c r="AC638" s="569" t="s">
        <v>709</v>
      </c>
      <c r="AD638" s="1149" t="s">
        <v>709</v>
      </c>
      <c r="AE638" s="569"/>
      <c r="AF638" s="569"/>
      <c r="AG638" s="569"/>
      <c r="AH638" s="536"/>
      <c r="AI638" s="1028"/>
      <c r="AJ638" s="1029"/>
      <c r="AK638" s="1029"/>
      <c r="AL638" s="1030"/>
      <c r="AM638" s="542" t="s">
        <v>709</v>
      </c>
      <c r="AN638" s="924"/>
      <c r="AO638" s="925"/>
      <c r="AP638" s="926"/>
      <c r="AQ638" s="926"/>
      <c r="AR638" s="926"/>
      <c r="AS638" s="926"/>
      <c r="AT638" s="926"/>
      <c r="AU638" s="926"/>
      <c r="AV638" s="926"/>
      <c r="AW638" s="927"/>
      <c r="AX638" s="926"/>
      <c r="AY638" s="1538" t="s">
        <v>29</v>
      </c>
      <c r="AZ638" s="1530"/>
      <c r="BA638" s="1031" t="s">
        <v>4533</v>
      </c>
      <c r="BB638" s="644" t="s">
        <v>4534</v>
      </c>
      <c r="BC638" s="544"/>
      <c r="BD638" s="544"/>
      <c r="BE638" s="544"/>
      <c r="BF638" s="544"/>
      <c r="BG638" s="544"/>
      <c r="BH638" s="741"/>
      <c r="BI638" s="547" t="s">
        <v>709</v>
      </c>
      <c r="BJ638" s="547" t="s">
        <v>709</v>
      </c>
      <c r="BK638" s="547" t="s">
        <v>116</v>
      </c>
      <c r="BL638" s="547" t="s">
        <v>116</v>
      </c>
      <c r="BM638" s="547" t="s">
        <v>709</v>
      </c>
      <c r="BN638" s="547" t="s">
        <v>709</v>
      </c>
      <c r="BO638" s="547" t="s">
        <v>709</v>
      </c>
      <c r="BP638" s="547">
        <v>3270</v>
      </c>
      <c r="BQ638" s="547">
        <v>7510</v>
      </c>
      <c r="BR638" s="547" t="s">
        <v>709</v>
      </c>
      <c r="BS638" s="547">
        <v>219</v>
      </c>
      <c r="BT638" s="547" t="s">
        <v>745</v>
      </c>
      <c r="BU638" s="547" t="s">
        <v>709</v>
      </c>
      <c r="BV638" s="547" t="s">
        <v>745</v>
      </c>
      <c r="BW638" s="547" t="s">
        <v>709</v>
      </c>
      <c r="BX638" s="547" t="s">
        <v>745</v>
      </c>
      <c r="BY638" s="547" t="s">
        <v>745</v>
      </c>
      <c r="BZ638" s="547" t="s">
        <v>709</v>
      </c>
      <c r="CA638" s="483"/>
      <c r="CB638" s="547">
        <v>636</v>
      </c>
      <c r="CC638" s="1481" t="b">
        <v>1</v>
      </c>
      <c r="CD638" t="str">
        <f>Table15[[#This Row],[Engineering Number]]&amp;Table15[[#This Row],[WO Number]]&amp;Table15[[#This Row],[Date Assigned to Designer]]&amp;Table15[[#This Row],[Date Completed]]</f>
        <v>BS45814107994472044722</v>
      </c>
    </row>
    <row r="639" spans="1:82" customFormat="1" ht="15" customHeight="1" x14ac:dyDescent="0.25">
      <c r="A639">
        <v>2022</v>
      </c>
      <c r="B639" s="8" t="s">
        <v>4</v>
      </c>
      <c r="C639" s="8" t="s">
        <v>4536</v>
      </c>
      <c r="D639" s="8" t="s">
        <v>115</v>
      </c>
      <c r="E639" s="8" t="s">
        <v>1149</v>
      </c>
      <c r="F639" s="8" t="s">
        <v>747</v>
      </c>
      <c r="G639" s="8" t="s">
        <v>35</v>
      </c>
      <c r="H639" s="8" t="s">
        <v>4537</v>
      </c>
      <c r="I639" s="642">
        <v>44677</v>
      </c>
      <c r="J639" s="18">
        <v>44771</v>
      </c>
      <c r="K639" s="18">
        <v>44725</v>
      </c>
      <c r="L639" s="16">
        <f>IF(ISTEXT(Table15[[#This Row],[Engineering Approved Design Date]]),Table15[[#This Row],[Date Completed]]-Table15[[#This Row],[Date Assigned to Designer]],Table15[[#This Row],[Engineering Approved Design Date]]-Table15[[#This Row],[Date Completed]])</f>
        <v>46</v>
      </c>
      <c r="M639" s="642"/>
      <c r="N639" s="642" t="s">
        <v>120</v>
      </c>
      <c r="O639" s="1025">
        <f>Table15[[#This Row],[Date Completed]]</f>
        <v>44725</v>
      </c>
      <c r="P639" s="21" t="s">
        <v>739</v>
      </c>
      <c r="Q639" s="340" t="s">
        <v>115</v>
      </c>
      <c r="R639" s="1026" t="s">
        <v>115</v>
      </c>
      <c r="S639" s="538" t="s">
        <v>709</v>
      </c>
      <c r="T639" s="538" t="s">
        <v>709</v>
      </c>
      <c r="U639" s="87" t="s">
        <v>709</v>
      </c>
      <c r="V639" s="857"/>
      <c r="W639" s="440"/>
      <c r="X639" s="550"/>
      <c r="Y639" s="550"/>
      <c r="Z639" s="550"/>
      <c r="AA639" s="551"/>
      <c r="AB639" s="341"/>
      <c r="AC639" s="568" t="s">
        <v>709</v>
      </c>
      <c r="AD639" s="1157" t="s">
        <v>29</v>
      </c>
      <c r="AE639" s="579"/>
      <c r="AF639" s="579"/>
      <c r="AG639" s="579"/>
      <c r="AH639" s="553"/>
      <c r="AI639" s="1036"/>
      <c r="AJ639" s="1037"/>
      <c r="AK639" s="1037"/>
      <c r="AL639" s="1038"/>
      <c r="AM639" s="542" t="s">
        <v>709</v>
      </c>
      <c r="AN639" s="924"/>
      <c r="AO639" s="925"/>
      <c r="AP639" s="926"/>
      <c r="AQ639" s="926"/>
      <c r="AR639" s="926"/>
      <c r="AS639" s="926"/>
      <c r="AT639" s="926"/>
      <c r="AU639" s="926"/>
      <c r="AV639" s="926"/>
      <c r="AW639" s="927"/>
      <c r="AX639" s="926"/>
      <c r="AY639" s="1538" t="s">
        <v>29</v>
      </c>
      <c r="AZ639" s="1530"/>
      <c r="BA639" s="1031" t="s">
        <v>4538</v>
      </c>
      <c r="BB639" s="644" t="s">
        <v>877</v>
      </c>
      <c r="BC639" s="544"/>
      <c r="BD639" s="544"/>
      <c r="BE639" s="544"/>
      <c r="BF639" s="544"/>
      <c r="BG639" s="544"/>
      <c r="BH639" s="741"/>
      <c r="BI639" s="1032"/>
      <c r="BJ639" s="1032"/>
      <c r="BK639" s="1032"/>
      <c r="BL639" s="1032"/>
      <c r="BM639" s="1032"/>
      <c r="BN639" s="1032"/>
      <c r="BO639" s="1032"/>
      <c r="BP639" s="1032"/>
      <c r="BQ639" s="1032"/>
      <c r="BR639" s="1032"/>
      <c r="BS639" s="1032"/>
      <c r="BT639" s="1032"/>
      <c r="BU639" s="1032"/>
      <c r="BV639" s="1032"/>
      <c r="BW639" s="1032"/>
      <c r="BX639" s="1032"/>
      <c r="BY639" s="1032"/>
      <c r="BZ639" s="1032"/>
      <c r="CA639" s="485"/>
      <c r="CB639" s="547">
        <v>637</v>
      </c>
      <c r="CC639" s="1481" t="b">
        <v>1</v>
      </c>
      <c r="CD639" t="str">
        <f>Table15[[#This Row],[Engineering Number]]&amp;Table15[[#This Row],[WO Number]]&amp;Table15[[#This Row],[Date Assigned to Designer]]&amp;Table15[[#This Row],[Date Completed]]</f>
        <v>M13539-4467744725</v>
      </c>
    </row>
    <row r="640" spans="1:82" customFormat="1" ht="15" customHeight="1" x14ac:dyDescent="0.25">
      <c r="A640">
        <v>2022</v>
      </c>
      <c r="B640" s="8" t="s">
        <v>4</v>
      </c>
      <c r="C640" s="8" t="s">
        <v>4540</v>
      </c>
      <c r="D640" s="8" t="s">
        <v>115</v>
      </c>
      <c r="E640" s="8" t="s">
        <v>1306</v>
      </c>
      <c r="F640" s="8" t="s">
        <v>738</v>
      </c>
      <c r="G640" s="8" t="s">
        <v>27</v>
      </c>
      <c r="H640" s="8" t="s">
        <v>4537</v>
      </c>
      <c r="I640" s="642">
        <v>44684</v>
      </c>
      <c r="J640" s="18">
        <v>44740</v>
      </c>
      <c r="K640" s="18">
        <v>44725</v>
      </c>
      <c r="L640" s="16">
        <f>IF(ISTEXT(Table15[[#This Row],[Engineering Approved Design Date]]),Table15[[#This Row],[Date Completed]]-Table15[[#This Row],[Date Assigned to Designer]],Table15[[#This Row],[Engineering Approved Design Date]]-Table15[[#This Row],[Date Completed]])</f>
        <v>15</v>
      </c>
      <c r="M640" s="642"/>
      <c r="N640" s="642" t="s">
        <v>120</v>
      </c>
      <c r="O640" s="1025">
        <f>Table15[[#This Row],[Date Completed]]</f>
        <v>44725</v>
      </c>
      <c r="P640" s="21" t="s">
        <v>739</v>
      </c>
      <c r="Q640" s="340" t="s">
        <v>115</v>
      </c>
      <c r="R640" s="1026" t="s">
        <v>115</v>
      </c>
      <c r="S640" s="538" t="s">
        <v>709</v>
      </c>
      <c r="T640" s="538" t="s">
        <v>709</v>
      </c>
      <c r="U640" s="87" t="s">
        <v>709</v>
      </c>
      <c r="V640" s="857"/>
      <c r="W640" s="440"/>
      <c r="X640" s="550"/>
      <c r="Y640" s="550"/>
      <c r="Z640" s="550"/>
      <c r="AA640" s="551"/>
      <c r="AB640" s="341"/>
      <c r="AC640" s="568" t="s">
        <v>709</v>
      </c>
      <c r="AD640" s="1157"/>
      <c r="AE640" s="579"/>
      <c r="AF640" s="579"/>
      <c r="AG640" s="579"/>
      <c r="AH640" s="553"/>
      <c r="AI640" s="1036"/>
      <c r="AJ640" s="1037"/>
      <c r="AK640" s="1037"/>
      <c r="AL640" s="1038"/>
      <c r="AM640" s="542" t="s">
        <v>709</v>
      </c>
      <c r="AN640" s="924"/>
      <c r="AO640" s="925"/>
      <c r="AP640" s="926"/>
      <c r="AQ640" s="926"/>
      <c r="AR640" s="926"/>
      <c r="AS640" s="926"/>
      <c r="AT640" s="926"/>
      <c r="AU640" s="926"/>
      <c r="AV640" s="926"/>
      <c r="AW640" s="927"/>
      <c r="AX640" s="926"/>
      <c r="AY640" s="1538" t="s">
        <v>29</v>
      </c>
      <c r="AZ640" s="1530"/>
      <c r="BA640" s="1031" t="s">
        <v>4541</v>
      </c>
      <c r="BB640" s="644" t="s">
        <v>1308</v>
      </c>
      <c r="BC640" s="544"/>
      <c r="BD640" s="544"/>
      <c r="BE640" s="544"/>
      <c r="BF640" s="544"/>
      <c r="BG640" s="544"/>
      <c r="BH640" s="741"/>
      <c r="BI640" s="1032"/>
      <c r="BJ640" s="1032"/>
      <c r="BK640" s="1032"/>
      <c r="BL640" s="1032"/>
      <c r="BM640" s="1032"/>
      <c r="BN640" s="1032"/>
      <c r="BO640" s="1032"/>
      <c r="BP640" s="1032"/>
      <c r="BQ640" s="1032"/>
      <c r="BR640" s="1032"/>
      <c r="BS640" s="1032"/>
      <c r="BT640" s="1032"/>
      <c r="BU640" s="1032"/>
      <c r="BV640" s="1032"/>
      <c r="BW640" s="1032"/>
      <c r="BX640" s="1032"/>
      <c r="BY640" s="1032"/>
      <c r="BZ640" s="1032"/>
      <c r="CA640" s="485"/>
      <c r="CB640" s="547">
        <v>638</v>
      </c>
      <c r="CC640" s="1481" t="b">
        <v>1</v>
      </c>
      <c r="CD640" t="str">
        <f>Table15[[#This Row],[Engineering Number]]&amp;Table15[[#This Row],[WO Number]]&amp;Table15[[#This Row],[Date Assigned to Designer]]&amp;Table15[[#This Row],[Date Completed]]</f>
        <v>N15658-4468444725</v>
      </c>
    </row>
    <row r="641" spans="1:82" customFormat="1" ht="15" customHeight="1" x14ac:dyDescent="0.25">
      <c r="A641">
        <v>2022</v>
      </c>
      <c r="B641" s="8" t="s">
        <v>771</v>
      </c>
      <c r="C641" s="8" t="s">
        <v>3940</v>
      </c>
      <c r="D641" s="8">
        <v>1210662</v>
      </c>
      <c r="E641" s="8" t="s">
        <v>3942</v>
      </c>
      <c r="F641" s="8" t="s">
        <v>747</v>
      </c>
      <c r="G641" s="8" t="s">
        <v>23</v>
      </c>
      <c r="H641" s="8" t="s">
        <v>3178</v>
      </c>
      <c r="I641" s="642">
        <v>44719</v>
      </c>
      <c r="J641" s="18" t="s">
        <v>2052</v>
      </c>
      <c r="K641" s="97">
        <v>44726</v>
      </c>
      <c r="L641" s="16">
        <f>IF(ISTEXT(Table15[[#This Row],[Engineering Approved Design Date]]),Table15[[#This Row],[Date Completed]]-Table15[[#This Row],[Date Assigned to Designer]],Table15[[#This Row],[Engineering Approved Design Date]]-Table15[[#This Row],[Date Completed]])</f>
        <v>7</v>
      </c>
      <c r="M641" t="s">
        <v>4546</v>
      </c>
      <c r="N641" s="642" t="s">
        <v>120</v>
      </c>
      <c r="O641" s="1025">
        <f>Table15[[#This Row],[Date Completed]]</f>
        <v>44726</v>
      </c>
      <c r="P641" s="21" t="s">
        <v>120</v>
      </c>
      <c r="Q641" s="1151">
        <f>Table15[[#This Row],[KH Hourly Effort]]</f>
        <v>2907.5</v>
      </c>
      <c r="R641" s="1026" t="s">
        <v>1922</v>
      </c>
      <c r="S641" s="538" t="s">
        <v>709</v>
      </c>
      <c r="T641" s="538" t="s">
        <v>709</v>
      </c>
      <c r="U641" s="87">
        <v>2907.5</v>
      </c>
      <c r="V641" s="858"/>
      <c r="W641" s="437"/>
      <c r="X641" s="538"/>
      <c r="Y641" s="551"/>
      <c r="Z641" s="538"/>
      <c r="AA641" s="538"/>
      <c r="AB641" s="21"/>
      <c r="AC641" s="569" t="s">
        <v>709</v>
      </c>
      <c r="AD641" s="1149" t="s">
        <v>29</v>
      </c>
      <c r="AE641" s="569"/>
      <c r="AF641" s="569"/>
      <c r="AG641" s="569"/>
      <c r="AH641" s="536"/>
      <c r="AI641" s="1028"/>
      <c r="AJ641" s="1029"/>
      <c r="AK641" s="1029"/>
      <c r="AL641" s="1030"/>
      <c r="AM641" s="542" t="s">
        <v>709</v>
      </c>
      <c r="AN641" s="924"/>
      <c r="AO641" s="925"/>
      <c r="AP641" s="926"/>
      <c r="AQ641" s="926"/>
      <c r="AR641" s="926"/>
      <c r="AS641" s="926"/>
      <c r="AT641" s="926"/>
      <c r="AU641" s="926"/>
      <c r="AV641" s="926"/>
      <c r="AW641" s="927"/>
      <c r="AX641" s="926"/>
      <c r="AY641" s="1538" t="s">
        <v>29</v>
      </c>
      <c r="AZ641" s="1530"/>
      <c r="BA641" s="1031">
        <v>1</v>
      </c>
      <c r="BB641" s="644"/>
      <c r="BC641" s="544"/>
      <c r="BD641" s="544"/>
      <c r="BE641" s="544"/>
      <c r="BF641" s="544"/>
      <c r="BG641" s="544"/>
      <c r="BH641" s="741"/>
      <c r="BI641" s="547" t="s">
        <v>709</v>
      </c>
      <c r="BJ641" s="547" t="s">
        <v>709</v>
      </c>
      <c r="BK641" s="547" t="s">
        <v>709</v>
      </c>
      <c r="BL641" s="547" t="s">
        <v>116</v>
      </c>
      <c r="BM641" s="547" t="s">
        <v>709</v>
      </c>
      <c r="BN641" s="547" t="s">
        <v>709</v>
      </c>
      <c r="BO641" s="547" t="s">
        <v>709</v>
      </c>
      <c r="BP641" s="547" t="s">
        <v>709</v>
      </c>
      <c r="BQ641" s="547">
        <v>340</v>
      </c>
      <c r="BR641" s="547">
        <v>4846</v>
      </c>
      <c r="BS641" s="547">
        <v>8933</v>
      </c>
      <c r="BT641" s="547" t="s">
        <v>709</v>
      </c>
      <c r="BU641" s="547" t="s">
        <v>709</v>
      </c>
      <c r="BV641" s="547" t="s">
        <v>745</v>
      </c>
      <c r="BW641" s="547" t="s">
        <v>709</v>
      </c>
      <c r="BX641" s="547" t="s">
        <v>709</v>
      </c>
      <c r="BY641" s="547" t="s">
        <v>745</v>
      </c>
      <c r="BZ641" s="547" t="s">
        <v>709</v>
      </c>
      <c r="CA641" s="483"/>
      <c r="CB641" s="547">
        <v>640</v>
      </c>
      <c r="CC641" s="1481" t="b">
        <v>1</v>
      </c>
      <c r="CD641" t="str">
        <f>Table15[[#This Row],[Engineering Number]]&amp;Table15[[#This Row],[WO Number]]&amp;Table15[[#This Row],[Date Assigned to Designer]]&amp;Table15[[#This Row],[Date Completed]]</f>
        <v>VW18912106624471944726</v>
      </c>
    </row>
    <row r="642" spans="1:82" customFormat="1" ht="15" customHeight="1" x14ac:dyDescent="0.25">
      <c r="A642">
        <v>2021</v>
      </c>
      <c r="B642" s="8" t="s">
        <v>769</v>
      </c>
      <c r="C642" s="8" t="s">
        <v>4117</v>
      </c>
      <c r="D642" s="8">
        <v>3210872</v>
      </c>
      <c r="E642" s="8" t="s">
        <v>111</v>
      </c>
      <c r="F642" s="8" t="s">
        <v>752</v>
      </c>
      <c r="G642" s="8" t="s">
        <v>23</v>
      </c>
      <c r="H642" s="8" t="s">
        <v>4462</v>
      </c>
      <c r="I642" s="642">
        <v>44713</v>
      </c>
      <c r="J642" s="175" t="s">
        <v>2052</v>
      </c>
      <c r="K642" s="97">
        <v>44726</v>
      </c>
      <c r="L642" s="16">
        <f>IF(ISTEXT(Table15[[#This Row],[Engineering Approved Design Date]]),Table15[[#This Row],[Date Completed]]-Table15[[#This Row],[Date Assigned to Designer]],Table15[[#This Row],[Engineering Approved Design Date]]-Table15[[#This Row],[Date Completed]])</f>
        <v>13</v>
      </c>
      <c r="M642" t="s">
        <v>4543</v>
      </c>
      <c r="N642" s="642" t="s">
        <v>120</v>
      </c>
      <c r="O642" s="1025">
        <f>Table15[[#This Row],[Date Completed]]</f>
        <v>44726</v>
      </c>
      <c r="P642" s="21" t="s">
        <v>739</v>
      </c>
      <c r="Q642" s="1151" t="s">
        <v>115</v>
      </c>
      <c r="R642" s="1026" t="s">
        <v>115</v>
      </c>
      <c r="S642" s="538" t="s">
        <v>709</v>
      </c>
      <c r="T642" s="538" t="s">
        <v>709</v>
      </c>
      <c r="U642" s="87" t="s">
        <v>709</v>
      </c>
      <c r="V642" s="858"/>
      <c r="W642" s="437"/>
      <c r="X642" s="538"/>
      <c r="Y642" s="551"/>
      <c r="Z642" s="538"/>
      <c r="AA642" s="538"/>
      <c r="AB642" s="21"/>
      <c r="AC642" s="569" t="s">
        <v>709</v>
      </c>
      <c r="AD642" s="1149" t="s">
        <v>116</v>
      </c>
      <c r="AE642" s="580"/>
      <c r="AF642" s="580"/>
      <c r="AG642" s="580"/>
      <c r="AH642" s="542"/>
      <c r="AI642" s="1028"/>
      <c r="AJ642" s="1029"/>
      <c r="AK642" s="1029"/>
      <c r="AL642" s="1030"/>
      <c r="AM642" s="542" t="s">
        <v>709</v>
      </c>
      <c r="AN642" s="924"/>
      <c r="AO642" s="925"/>
      <c r="AP642" s="926"/>
      <c r="AQ642" s="926"/>
      <c r="AR642" s="926"/>
      <c r="AS642" s="926"/>
      <c r="AT642" s="926"/>
      <c r="AU642" s="926"/>
      <c r="AV642" s="926"/>
      <c r="AW642" s="927"/>
      <c r="AX642" s="926"/>
      <c r="AY642" s="1538" t="s">
        <v>29</v>
      </c>
      <c r="AZ642" s="1532"/>
      <c r="BA642" s="1031" t="s">
        <v>4544</v>
      </c>
      <c r="BB642" s="644" t="s">
        <v>4543</v>
      </c>
      <c r="BC642" s="544"/>
      <c r="BD642" s="544"/>
      <c r="BE642" s="544"/>
      <c r="BF642" s="544"/>
      <c r="BG642" s="544"/>
      <c r="BH642" s="741"/>
      <c r="BI642" s="547"/>
      <c r="BJ642" s="547"/>
      <c r="BK642" s="547"/>
      <c r="BL642" s="547"/>
      <c r="BM642" s="547"/>
      <c r="BN642" s="547"/>
      <c r="BO642" s="547"/>
      <c r="BP642" s="547"/>
      <c r="BQ642" s="547"/>
      <c r="BR642" s="547"/>
      <c r="BS642" s="547"/>
      <c r="BT642" s="547"/>
      <c r="BU642" s="547"/>
      <c r="BV642" s="547"/>
      <c r="BW642" s="547"/>
      <c r="BX642" s="547"/>
      <c r="BY642" s="547"/>
      <c r="BZ642" s="547" t="s">
        <v>709</v>
      </c>
      <c r="CA642" s="483" t="s">
        <v>769</v>
      </c>
      <c r="CB642" s="547">
        <v>639</v>
      </c>
      <c r="CC642" s="1481" t="b">
        <v>1</v>
      </c>
      <c r="CD642" t="str">
        <f>Table15[[#This Row],[Engineering Number]]&amp;Table15[[#This Row],[WO Number]]&amp;Table15[[#This Row],[Date Assigned to Designer]]&amp;Table15[[#This Row],[Date Completed]]</f>
        <v>MR182732108724471344726</v>
      </c>
    </row>
    <row r="643" spans="1:82" customFormat="1" ht="15" customHeight="1" x14ac:dyDescent="0.25">
      <c r="A643">
        <v>2022</v>
      </c>
      <c r="B643" s="8" t="s">
        <v>1073</v>
      </c>
      <c r="C643" s="8" t="s">
        <v>4553</v>
      </c>
      <c r="D643" s="8" t="s">
        <v>4554</v>
      </c>
      <c r="E643" s="8" t="s">
        <v>232</v>
      </c>
      <c r="F643" s="8" t="s">
        <v>747</v>
      </c>
      <c r="G643" s="8" t="s">
        <v>1896</v>
      </c>
      <c r="H643" s="8" t="s">
        <v>59</v>
      </c>
      <c r="I643" s="642">
        <v>44637</v>
      </c>
      <c r="J643" s="97">
        <v>44729</v>
      </c>
      <c r="K643" s="97">
        <v>44727</v>
      </c>
      <c r="L643" s="16">
        <f>IF(ISTEXT(Table15[[#This Row],[Engineering Approved Design Date]]),Table15[[#This Row],[Date Completed]]-Table15[[#This Row],[Date Assigned to Designer]],Table15[[#This Row],[Engineering Approved Design Date]]-Table15[[#This Row],[Date Completed]])</f>
        <v>2</v>
      </c>
      <c r="M643" s="642"/>
      <c r="N643" s="642" t="s">
        <v>120</v>
      </c>
      <c r="O643" s="1025">
        <f>Table15[[#This Row],[Date Completed]]</f>
        <v>44727</v>
      </c>
      <c r="P643" s="21" t="s">
        <v>739</v>
      </c>
      <c r="Q643" s="1151">
        <f>R643*AA643</f>
        <v>107986.87200000002</v>
      </c>
      <c r="R643" s="1026">
        <v>7.0000000000000007E-2</v>
      </c>
      <c r="S643" s="538" t="s">
        <v>709</v>
      </c>
      <c r="T643" s="538" t="s">
        <v>709</v>
      </c>
      <c r="U643" s="87" t="s">
        <v>709</v>
      </c>
      <c r="V643" s="857">
        <v>11373</v>
      </c>
      <c r="W643" s="440"/>
      <c r="X643" s="551">
        <v>1513269.11</v>
      </c>
      <c r="Y643" s="551"/>
      <c r="Z643" s="551">
        <v>29400.49</v>
      </c>
      <c r="AA643" s="551">
        <f>Table15[[#This Row],[PCTS Investment Amount]]+Table15[[#This Row],[PCTS Retirement Amount]]</f>
        <v>1542669.6</v>
      </c>
      <c r="AB643" s="341"/>
      <c r="AC643" s="568" t="s">
        <v>116</v>
      </c>
      <c r="AD643" s="1157"/>
      <c r="AE643" s="568"/>
      <c r="AF643" s="568"/>
      <c r="AG643" s="568"/>
      <c r="AH643" s="183"/>
      <c r="AI643" s="1036"/>
      <c r="AJ643" s="1037"/>
      <c r="AK643" s="1037"/>
      <c r="AL643" s="1038"/>
      <c r="AM643" s="1522" t="s">
        <v>116</v>
      </c>
      <c r="AN643" s="1523">
        <v>44865</v>
      </c>
      <c r="AO643" s="1524">
        <v>11042343</v>
      </c>
      <c r="AP643" s="1525">
        <v>1404147.99</v>
      </c>
      <c r="AQ643" s="1525"/>
      <c r="AR643" s="1525">
        <v>29377.3</v>
      </c>
      <c r="AS643" s="1525">
        <f>IF(Table15[[#This Row],[PCTS Approved]]="N",0,Table15[[#This Row],[Investment Amount (1'#'#'#'#'#)]]+Table15[[#This Row],[Retirement Amount (3'#'#'#'#'#)]])</f>
        <v>1433525.29</v>
      </c>
      <c r="AT643" s="1525">
        <f>IF(Table15[[#This Row],[Approved Construction Cost]]=0,0,Table15[[#This Row],[Approved Construction Cost]]-Table15[[#This Row],[Construction Cost to Bill From]])</f>
        <v>-109144.31000000006</v>
      </c>
      <c r="AU643" s="1525">
        <f>IFERROR(Table15[[#This Row],[Difference in Construction Cost]]*Table15[[#This Row],[Rate]],Table15[[#This Row],[Difference in Construction Cost]]*0.085)</f>
        <v>-7640.1017000000047</v>
      </c>
      <c r="AV643" s="1525">
        <v>1620</v>
      </c>
      <c r="AW643" s="1526" t="s">
        <v>4555</v>
      </c>
      <c r="AX643" s="1525">
        <v>0</v>
      </c>
      <c r="AY643" s="1518">
        <v>45008</v>
      </c>
      <c r="AZ643" s="333"/>
      <c r="BA643" s="1031" t="s">
        <v>4556</v>
      </c>
      <c r="BB643" s="644" t="s">
        <v>4557</v>
      </c>
      <c r="BC643" s="544" t="s">
        <v>709</v>
      </c>
      <c r="BD643" s="544" t="s">
        <v>709</v>
      </c>
      <c r="BE643" s="544" t="s">
        <v>595</v>
      </c>
      <c r="BF643" s="544" t="s">
        <v>4558</v>
      </c>
      <c r="BG643" s="544" t="s">
        <v>4559</v>
      </c>
      <c r="BH643" s="741"/>
      <c r="BI643" s="547" t="s">
        <v>709</v>
      </c>
      <c r="BJ643" s="547" t="s">
        <v>709</v>
      </c>
      <c r="BK643" s="547" t="s">
        <v>116</v>
      </c>
      <c r="BL643" s="547" t="s">
        <v>116</v>
      </c>
      <c r="BM643" s="547" t="s">
        <v>709</v>
      </c>
      <c r="BN643" s="547" t="s">
        <v>709</v>
      </c>
      <c r="BO643" s="547" t="s">
        <v>709</v>
      </c>
      <c r="BP643" s="547">
        <v>161</v>
      </c>
      <c r="BQ643" s="547">
        <v>11212</v>
      </c>
      <c r="BR643" s="547" t="s">
        <v>709</v>
      </c>
      <c r="BS643" s="547" t="s">
        <v>709</v>
      </c>
      <c r="BT643" s="547" t="s">
        <v>745</v>
      </c>
      <c r="BU643" s="547" t="s">
        <v>709</v>
      </c>
      <c r="BV643" s="547" t="s">
        <v>745</v>
      </c>
      <c r="BW643" s="547" t="s">
        <v>709</v>
      </c>
      <c r="BX643" s="547" t="s">
        <v>745</v>
      </c>
      <c r="BY643" s="547" t="s">
        <v>745</v>
      </c>
      <c r="BZ643" s="547" t="s">
        <v>709</v>
      </c>
      <c r="CA643" s="483"/>
      <c r="CB643" s="547">
        <v>642</v>
      </c>
      <c r="CC643" s="1481" t="b">
        <v>1</v>
      </c>
      <c r="CD643" t="str">
        <f>Table15[[#This Row],[Engineering Number]]&amp;Table15[[#This Row],[WO Number]]&amp;Table15[[#This Row],[Date Assigned to Designer]]&amp;Table15[[#This Row],[Date Completed]]</f>
        <v>NBA1000286919112154463744727</v>
      </c>
    </row>
    <row r="644" spans="1:82" customFormat="1" ht="15" customHeight="1" x14ac:dyDescent="0.25">
      <c r="A644">
        <v>2021</v>
      </c>
      <c r="B644" s="8" t="s">
        <v>769</v>
      </c>
      <c r="C644" s="8" t="s">
        <v>3459</v>
      </c>
      <c r="D644" s="8">
        <v>102144</v>
      </c>
      <c r="E644" s="8" t="s">
        <v>1306</v>
      </c>
      <c r="F644" s="8" t="s">
        <v>747</v>
      </c>
      <c r="G644" s="8" t="s">
        <v>34</v>
      </c>
      <c r="H644" s="8" t="s">
        <v>4189</v>
      </c>
      <c r="I644" s="642">
        <v>44713</v>
      </c>
      <c r="J644" s="18" t="s">
        <v>2052</v>
      </c>
      <c r="K644" s="97">
        <v>44727</v>
      </c>
      <c r="L644" s="16">
        <f>IF(ISTEXT(Table15[[#This Row],[Engineering Approved Design Date]]),Table15[[#This Row],[Date Completed]]-Table15[[#This Row],[Date Assigned to Designer]],Table15[[#This Row],[Engineering Approved Design Date]]-Table15[[#This Row],[Date Completed]])</f>
        <v>14</v>
      </c>
      <c r="M644" t="s">
        <v>4548</v>
      </c>
      <c r="N644" s="642" t="s">
        <v>120</v>
      </c>
      <c r="O644" s="1025">
        <f>Table15[[#This Row],[Date Completed]]</f>
        <v>44727</v>
      </c>
      <c r="P644" s="21" t="s">
        <v>120</v>
      </c>
      <c r="Q644" s="1151">
        <f>Table15[[#This Row],[KH Hourly Effort]]</f>
        <v>3107.5</v>
      </c>
      <c r="R644" s="1026" t="s">
        <v>1922</v>
      </c>
      <c r="S644" s="538" t="s">
        <v>709</v>
      </c>
      <c r="T644" s="538" t="s">
        <v>709</v>
      </c>
      <c r="U644" s="87">
        <f>2982.5+125</f>
        <v>3107.5</v>
      </c>
      <c r="V644" s="858"/>
      <c r="W644" s="437"/>
      <c r="X644" s="538"/>
      <c r="Y644" s="551"/>
      <c r="Z644" s="538"/>
      <c r="AA644" s="551">
        <f>Table15[[#This Row],[PCTS Investment Amount]]+Table15[[#This Row],[PCTS Retirement Amount]]</f>
        <v>0</v>
      </c>
      <c r="AB644" s="21"/>
      <c r="AC644" s="569" t="s">
        <v>709</v>
      </c>
      <c r="AD644" s="1149" t="s">
        <v>29</v>
      </c>
      <c r="AE644" s="580"/>
      <c r="AF644" s="580"/>
      <c r="AG644" s="580"/>
      <c r="AH644" s="542"/>
      <c r="AI644" s="1028"/>
      <c r="AJ644" s="1029"/>
      <c r="AK644" s="1029"/>
      <c r="AL644" s="1030"/>
      <c r="AM644" s="542" t="s">
        <v>709</v>
      </c>
      <c r="AN644" s="924"/>
      <c r="AO644" s="925"/>
      <c r="AP644" s="926"/>
      <c r="AQ644" s="926"/>
      <c r="AR644" s="926"/>
      <c r="AS644" s="926"/>
      <c r="AT644" s="926"/>
      <c r="AU644" s="926"/>
      <c r="AV644" s="926"/>
      <c r="AW644" s="927"/>
      <c r="AX644" s="926"/>
      <c r="AY644" s="1538" t="s">
        <v>29</v>
      </c>
      <c r="AZ644" s="1530"/>
      <c r="BA644" s="1031">
        <v>1</v>
      </c>
      <c r="BB644" s="644"/>
      <c r="BC644" s="544"/>
      <c r="BD644" s="544"/>
      <c r="BE644" s="544"/>
      <c r="BF644" s="544"/>
      <c r="BG644" s="544"/>
      <c r="BH644" s="741"/>
      <c r="BI644" s="547" t="s">
        <v>709</v>
      </c>
      <c r="BJ644" s="547" t="s">
        <v>709</v>
      </c>
      <c r="BK644" s="547" t="s">
        <v>116</v>
      </c>
      <c r="BL644" s="547" t="s">
        <v>116</v>
      </c>
      <c r="BM644" s="547" t="s">
        <v>709</v>
      </c>
      <c r="BN644" s="547" t="s">
        <v>709</v>
      </c>
      <c r="BO644" s="547" t="s">
        <v>709</v>
      </c>
      <c r="BP644" s="547" t="s">
        <v>709</v>
      </c>
      <c r="BQ644" s="547" t="s">
        <v>709</v>
      </c>
      <c r="BR644" s="547" t="s">
        <v>709</v>
      </c>
      <c r="BS644" s="547">
        <v>301</v>
      </c>
      <c r="BT644" s="547" t="s">
        <v>745</v>
      </c>
      <c r="BU644" s="547">
        <v>1</v>
      </c>
      <c r="BV644" s="547" t="s">
        <v>745</v>
      </c>
      <c r="BW644" s="547" t="s">
        <v>709</v>
      </c>
      <c r="BX644" s="547">
        <v>1</v>
      </c>
      <c r="BY644" s="547" t="s">
        <v>745</v>
      </c>
      <c r="BZ644" s="547" t="s">
        <v>709</v>
      </c>
      <c r="CA644" s="483" t="s">
        <v>769</v>
      </c>
      <c r="CB644" s="547">
        <v>641</v>
      </c>
      <c r="CC644" s="1481" t="b">
        <v>1</v>
      </c>
      <c r="CD644" t="str">
        <f>Table15[[#This Row],[Engineering Number]]&amp;Table15[[#This Row],[WO Number]]&amp;Table15[[#This Row],[Date Assigned to Designer]]&amp;Table15[[#This Row],[Date Completed]]</f>
        <v>RS8211021444471344727</v>
      </c>
    </row>
    <row r="645" spans="1:82" customFormat="1" ht="15" customHeight="1" x14ac:dyDescent="0.25">
      <c r="A645">
        <v>2021</v>
      </c>
      <c r="B645" s="8" t="s">
        <v>771</v>
      </c>
      <c r="C645" s="8" t="s">
        <v>4391</v>
      </c>
      <c r="D645" s="8">
        <v>120602</v>
      </c>
      <c r="E645" s="8" t="s">
        <v>3351</v>
      </c>
      <c r="F645" s="8" t="s">
        <v>747</v>
      </c>
      <c r="G645" s="8" t="s">
        <v>36</v>
      </c>
      <c r="H645" s="1056" t="s">
        <v>2723</v>
      </c>
      <c r="I645" s="642">
        <v>44686</v>
      </c>
      <c r="J645" s="175" t="s">
        <v>2724</v>
      </c>
      <c r="K645" s="97">
        <v>44727</v>
      </c>
      <c r="L645" s="16">
        <f>IF(ISTEXT(Table15[[#This Row],[Engineering Approved Design Date]]),Table15[[#This Row],[Date Completed]]-Table15[[#This Row],[Date Assigned to Designer]],Table15[[#This Row],[Engineering Approved Design Date]]-Table15[[#This Row],[Date Completed]])</f>
        <v>41</v>
      </c>
      <c r="M645" t="s">
        <v>4550</v>
      </c>
      <c r="N645" s="642" t="s">
        <v>120</v>
      </c>
      <c r="O645" s="1025">
        <v>44743</v>
      </c>
      <c r="P645" s="21" t="s">
        <v>120</v>
      </c>
      <c r="Q645" s="1151">
        <f>Table15[[#This Row],[KH Hourly Effort]]</f>
        <v>1375</v>
      </c>
      <c r="R645" s="1026" t="s">
        <v>1922</v>
      </c>
      <c r="S645" s="538" t="s">
        <v>709</v>
      </c>
      <c r="T645" s="538" t="s">
        <v>709</v>
      </c>
      <c r="U645" s="87">
        <v>1375</v>
      </c>
      <c r="V645" s="858"/>
      <c r="W645" s="437"/>
      <c r="X645" s="538"/>
      <c r="Y645" s="551"/>
      <c r="Z645" s="538"/>
      <c r="AA645" s="538"/>
      <c r="AB645" s="21"/>
      <c r="AC645" s="569"/>
      <c r="AD645" s="1149"/>
      <c r="AE645" s="569"/>
      <c r="AF645" s="569"/>
      <c r="AG645" s="569"/>
      <c r="AH645" s="536"/>
      <c r="AI645" s="1028"/>
      <c r="AJ645" s="1029"/>
      <c r="AK645" s="1029"/>
      <c r="AL645" s="1030"/>
      <c r="AM645" s="542" t="s">
        <v>709</v>
      </c>
      <c r="AN645" s="924"/>
      <c r="AO645" s="925"/>
      <c r="AP645" s="926"/>
      <c r="AQ645" s="926"/>
      <c r="AR645" s="926"/>
      <c r="AS645" s="926"/>
      <c r="AT645" s="926"/>
      <c r="AU645" s="926"/>
      <c r="AV645" s="926"/>
      <c r="AW645" s="927"/>
      <c r="AX645" s="926"/>
      <c r="AY645" s="1538" t="s">
        <v>29</v>
      </c>
      <c r="AZ645" s="1530"/>
      <c r="BA645" s="1031" t="s">
        <v>4551</v>
      </c>
      <c r="BB645" s="644" t="s">
        <v>29</v>
      </c>
      <c r="BC645" s="544"/>
      <c r="BD645" s="544"/>
      <c r="BE645" s="544"/>
      <c r="BF645" s="544"/>
      <c r="BG645" s="544"/>
      <c r="BH645" s="741"/>
      <c r="BI645" s="547" t="s">
        <v>709</v>
      </c>
      <c r="BJ645" s="547" t="s">
        <v>709</v>
      </c>
      <c r="BK645" s="547" t="s">
        <v>709</v>
      </c>
      <c r="BL645" s="547" t="s">
        <v>116</v>
      </c>
      <c r="BM645" s="547" t="s">
        <v>709</v>
      </c>
      <c r="BN645" s="547" t="s">
        <v>709</v>
      </c>
      <c r="BO645" s="547" t="s">
        <v>709</v>
      </c>
      <c r="BP645" s="547" t="s">
        <v>709</v>
      </c>
      <c r="BQ645" s="547" t="s">
        <v>709</v>
      </c>
      <c r="BR645" s="547" t="s">
        <v>709</v>
      </c>
      <c r="BS645" s="547" t="s">
        <v>116</v>
      </c>
      <c r="BT645" s="547" t="s">
        <v>709</v>
      </c>
      <c r="BU645" s="547" t="s">
        <v>709</v>
      </c>
      <c r="BV645" s="547" t="s">
        <v>745</v>
      </c>
      <c r="BW645" s="547" t="s">
        <v>709</v>
      </c>
      <c r="BX645" s="547" t="s">
        <v>709</v>
      </c>
      <c r="BY645" s="547" t="s">
        <v>745</v>
      </c>
      <c r="BZ645" s="547" t="s">
        <v>709</v>
      </c>
      <c r="CA645" s="483"/>
      <c r="CB645" s="547">
        <v>643</v>
      </c>
      <c r="CC645" s="1481" t="b">
        <v>1</v>
      </c>
      <c r="CD645" t="str">
        <f>Table15[[#This Row],[Engineering Number]]&amp;Table15[[#This Row],[WO Number]]&amp;Table15[[#This Row],[Date Assigned to Designer]]&amp;Table15[[#This Row],[Date Completed]]</f>
        <v>VW142-11206024468644727</v>
      </c>
    </row>
    <row r="646" spans="1:82" customFormat="1" ht="15" customHeight="1" x14ac:dyDescent="0.25">
      <c r="A646">
        <v>2022</v>
      </c>
      <c r="B646" s="8" t="s">
        <v>4</v>
      </c>
      <c r="C646" s="8" t="s">
        <v>4561</v>
      </c>
      <c r="D646" s="8" t="s">
        <v>4562</v>
      </c>
      <c r="E646" s="8" t="s">
        <v>104</v>
      </c>
      <c r="F646" s="8" t="s">
        <v>738</v>
      </c>
      <c r="G646" s="8" t="s">
        <v>23</v>
      </c>
      <c r="H646" s="8" t="s">
        <v>59</v>
      </c>
      <c r="I646" s="642">
        <v>44656</v>
      </c>
      <c r="J646" s="97">
        <v>44736</v>
      </c>
      <c r="K646" s="97">
        <v>44732</v>
      </c>
      <c r="L646" s="16">
        <f>IF(ISTEXT(Table15[[#This Row],[Engineering Approved Design Date]]),Table15[[#This Row],[Date Completed]]-Table15[[#This Row],[Date Assigned to Designer]],Table15[[#This Row],[Engineering Approved Design Date]]-Table15[[#This Row],[Date Completed]])</f>
        <v>4</v>
      </c>
      <c r="M646" s="642"/>
      <c r="N646" s="642" t="s">
        <v>120</v>
      </c>
      <c r="O646" s="1025">
        <f>Table15[[#This Row],[Date Completed]]</f>
        <v>44732</v>
      </c>
      <c r="P646" s="21" t="s">
        <v>739</v>
      </c>
      <c r="Q646" s="1151">
        <f>R646*AA646</f>
        <v>53548.929000000004</v>
      </c>
      <c r="R646" s="1026">
        <v>0.1</v>
      </c>
      <c r="S646" s="538" t="s">
        <v>709</v>
      </c>
      <c r="T646" s="538" t="s">
        <v>709</v>
      </c>
      <c r="U646" s="87" t="s">
        <v>709</v>
      </c>
      <c r="V646" s="857">
        <v>2328</v>
      </c>
      <c r="W646" s="440"/>
      <c r="X646" s="551">
        <v>510923.2</v>
      </c>
      <c r="Y646" s="551"/>
      <c r="Z646" s="551">
        <v>24566.09</v>
      </c>
      <c r="AA646" s="551">
        <f>Table15[[#This Row],[PCTS Investment Amount]]+Table15[[#This Row],[PCTS Retirement Amount]]</f>
        <v>535489.29</v>
      </c>
      <c r="AB646" s="341"/>
      <c r="AC646" s="568" t="s">
        <v>709</v>
      </c>
      <c r="AD646" s="1157"/>
      <c r="AE646" s="579"/>
      <c r="AF646" s="579"/>
      <c r="AG646" s="579"/>
      <c r="AH646" s="553"/>
      <c r="AI646" s="1036"/>
      <c r="AJ646" s="1037"/>
      <c r="AK646" s="1037"/>
      <c r="AL646" s="1038"/>
      <c r="AM646" s="1522" t="s">
        <v>116</v>
      </c>
      <c r="AN646" s="1523">
        <v>44803</v>
      </c>
      <c r="AO646" s="1524">
        <v>11044870</v>
      </c>
      <c r="AP646" s="1525">
        <v>511847.87</v>
      </c>
      <c r="AQ646" s="1525"/>
      <c r="AR646" s="1525">
        <v>24571.84</v>
      </c>
      <c r="AS646" s="1525">
        <f>IF(Table15[[#This Row],[PCTS Approved]]="N",0,Table15[[#This Row],[Investment Amount (1'#'#'#'#'#)]]+Table15[[#This Row],[Retirement Amount (3'#'#'#'#'#)]])</f>
        <v>536419.71</v>
      </c>
      <c r="AT646" s="1525">
        <f>IF(Table15[[#This Row],[Approved Construction Cost]]=0,0,Table15[[#This Row],[Approved Construction Cost]]-Table15[[#This Row],[Construction Cost to Bill From]])</f>
        <v>930.41999999992549</v>
      </c>
      <c r="AU646" s="1525">
        <f>IFERROR(Table15[[#This Row],[Difference in Construction Cost]]*Table15[[#This Row],[Rate]],Table15[[#This Row],[Difference in Construction Cost]]*0.085)</f>
        <v>93.041999999992555</v>
      </c>
      <c r="AV646" s="1525" t="s">
        <v>709</v>
      </c>
      <c r="AW646" s="1526"/>
      <c r="AX646" s="1525">
        <f>Table15[[#This Row],[Reconcile Amount]]</f>
        <v>93.041999999992555</v>
      </c>
      <c r="AY646" s="1518">
        <v>45008</v>
      </c>
      <c r="AZ646" s="333"/>
      <c r="BA646" s="1031" t="s">
        <v>4563</v>
      </c>
      <c r="BB646" s="644" t="s">
        <v>4564</v>
      </c>
      <c r="BC646" s="544" t="s">
        <v>709</v>
      </c>
      <c r="BD646" s="544" t="s">
        <v>709</v>
      </c>
      <c r="BE646" s="544" t="s">
        <v>1232</v>
      </c>
      <c r="BF646" s="544" t="s">
        <v>709</v>
      </c>
      <c r="BG646" s="544" t="s">
        <v>709</v>
      </c>
      <c r="BH646" s="741"/>
      <c r="BI646" s="547" t="s">
        <v>709</v>
      </c>
      <c r="BJ646" s="547" t="s">
        <v>709</v>
      </c>
      <c r="BK646" s="547" t="s">
        <v>709</v>
      </c>
      <c r="BL646" s="547" t="s">
        <v>116</v>
      </c>
      <c r="BM646" s="547" t="s">
        <v>709</v>
      </c>
      <c r="BN646" s="547" t="s">
        <v>709</v>
      </c>
      <c r="BO646" s="547" t="s">
        <v>709</v>
      </c>
      <c r="BP646" s="547" t="s">
        <v>709</v>
      </c>
      <c r="BQ646" s="547" t="s">
        <v>709</v>
      </c>
      <c r="BR646" s="547" t="s">
        <v>709</v>
      </c>
      <c r="BS646" s="547">
        <v>2328</v>
      </c>
      <c r="BT646" s="547" t="s">
        <v>709</v>
      </c>
      <c r="BU646" s="547" t="s">
        <v>709</v>
      </c>
      <c r="BV646" s="547" t="s">
        <v>709</v>
      </c>
      <c r="BW646" s="547" t="s">
        <v>709</v>
      </c>
      <c r="BX646" s="547" t="s">
        <v>709</v>
      </c>
      <c r="BY646" s="547" t="s">
        <v>709</v>
      </c>
      <c r="BZ646" s="547" t="s">
        <v>709</v>
      </c>
      <c r="CA646" s="483"/>
      <c r="CB646" s="547">
        <v>644</v>
      </c>
      <c r="CC646" s="1481" t="b">
        <v>1</v>
      </c>
      <c r="CD646" t="str">
        <f>Table15[[#This Row],[Engineering Number]]&amp;Table15[[#This Row],[WO Number]]&amp;Table15[[#This Row],[Date Assigned to Designer]]&amp;Table15[[#This Row],[Date Completed]]</f>
        <v>SC1596812113124465644732</v>
      </c>
    </row>
    <row r="647" spans="1:82" customFormat="1" ht="15" customHeight="1" x14ac:dyDescent="0.25">
      <c r="A647">
        <v>2022</v>
      </c>
      <c r="B647" s="8" t="s">
        <v>730</v>
      </c>
      <c r="C647" s="8" t="s">
        <v>1290</v>
      </c>
      <c r="D647" s="8" t="s">
        <v>1291</v>
      </c>
      <c r="E647" s="8" t="s">
        <v>1292</v>
      </c>
      <c r="F647" s="8" t="s">
        <v>752</v>
      </c>
      <c r="G647" s="8" t="s">
        <v>23</v>
      </c>
      <c r="H647" s="8" t="s">
        <v>59</v>
      </c>
      <c r="I647" s="642">
        <v>44603</v>
      </c>
      <c r="J647" s="451">
        <v>44736</v>
      </c>
      <c r="K647" s="18">
        <v>44733</v>
      </c>
      <c r="L647" s="16">
        <f>IF(ISTEXT(Table15[[#This Row],[Engineering Approved Design Date]]),Table15[[#This Row],[Date Completed]]-Table15[[#This Row],[Date Assigned to Designer]],Table15[[#This Row],[Engineering Approved Design Date]]-Table15[[#This Row],[Date Completed]])</f>
        <v>3</v>
      </c>
      <c r="M647" s="642"/>
      <c r="N647" s="642" t="s">
        <v>120</v>
      </c>
      <c r="O647" s="1025">
        <f>Table15[[#This Row],[Date Completed]]</f>
        <v>44733</v>
      </c>
      <c r="P647" s="21" t="s">
        <v>739</v>
      </c>
      <c r="Q647" s="1061">
        <f>(Table15[[#This Row],[Construction Cost to Bill From]]*0.085)+(5250*1)</f>
        <v>25371.576550000002</v>
      </c>
      <c r="R647" s="1026" t="s">
        <v>794</v>
      </c>
      <c r="S647" s="538" t="s">
        <v>709</v>
      </c>
      <c r="T647" s="538" t="s">
        <v>709</v>
      </c>
      <c r="U647" s="87" t="s">
        <v>709</v>
      </c>
      <c r="V647" s="857">
        <v>279</v>
      </c>
      <c r="W647" s="440"/>
      <c r="X647" s="551">
        <v>183205.61</v>
      </c>
      <c r="Y647" s="551"/>
      <c r="Z647" s="551">
        <v>53518.82</v>
      </c>
      <c r="AA647" s="551">
        <f>Table15[[#This Row],[PCTS Investment Amount]]+Table15[[#This Row],[PCTS Retirement Amount]]</f>
        <v>236724.43</v>
      </c>
      <c r="AB647" s="341"/>
      <c r="AC647" s="568" t="s">
        <v>1056</v>
      </c>
      <c r="AD647" s="1157"/>
      <c r="AE647" s="579"/>
      <c r="AF647" s="579"/>
      <c r="AG647" s="579"/>
      <c r="AH647" s="553"/>
      <c r="AI647" s="1036"/>
      <c r="AJ647" s="1037"/>
      <c r="AK647" s="1037"/>
      <c r="AL647" s="1038"/>
      <c r="AM647" s="536" t="s">
        <v>116</v>
      </c>
      <c r="AN647" s="903" t="s">
        <v>709</v>
      </c>
      <c r="AO647" s="1536">
        <v>11042120</v>
      </c>
      <c r="AP647" s="1537"/>
      <c r="AQ647" s="1537"/>
      <c r="AR647" s="1537"/>
      <c r="AS647" s="888">
        <f>IF(Table15[[#This Row],[PCTS Approved]]="N",0,Table15[[#This Row],[Investment Amount (1'#'#'#'#'#)]]+Table15[[#This Row],[Retirement Amount (3'#'#'#'#'#)]])</f>
        <v>0</v>
      </c>
      <c r="AT647" s="888">
        <f>IF(Table15[[#This Row],[Approved Construction Cost]]=0,0,Table15[[#This Row],[Approved Construction Cost]]-Table15[[#This Row],[Construction Cost to Bill From]])</f>
        <v>0</v>
      </c>
      <c r="AU647" s="888">
        <f>IFERROR(Table15[[#This Row],[Difference in Construction Cost]]*Table15[[#This Row],[Rate]],Table15[[#This Row],[Difference in Construction Cost]]*0.085)</f>
        <v>0</v>
      </c>
      <c r="AV647" s="905"/>
      <c r="AW647" s="1509"/>
      <c r="AX647" s="888"/>
      <c r="AY647" s="636" t="s">
        <v>709</v>
      </c>
      <c r="AZ647" s="333">
        <v>172</v>
      </c>
      <c r="BA647" s="859" t="s">
        <v>1293</v>
      </c>
      <c r="BB647" s="644" t="s">
        <v>1294</v>
      </c>
      <c r="BC647" s="544" t="s">
        <v>709</v>
      </c>
      <c r="BD647" s="544" t="s">
        <v>709</v>
      </c>
      <c r="BE647" s="544" t="s">
        <v>1292</v>
      </c>
      <c r="BF647" s="544" t="s">
        <v>709</v>
      </c>
      <c r="BG647" s="544" t="s">
        <v>709</v>
      </c>
      <c r="BH647" s="741"/>
      <c r="BI647" s="547" t="s">
        <v>709</v>
      </c>
      <c r="BJ647" s="547" t="s">
        <v>116</v>
      </c>
      <c r="BK647" s="547" t="s">
        <v>709</v>
      </c>
      <c r="BL647" s="547" t="s">
        <v>116</v>
      </c>
      <c r="BM647" s="547" t="s">
        <v>709</v>
      </c>
      <c r="BN647" s="547" t="s">
        <v>709</v>
      </c>
      <c r="BO647" s="547" t="s">
        <v>709</v>
      </c>
      <c r="BP647" s="547" t="s">
        <v>709</v>
      </c>
      <c r="BQ647" s="547" t="s">
        <v>709</v>
      </c>
      <c r="BR647" s="547" t="s">
        <v>709</v>
      </c>
      <c r="BS647" s="547">
        <v>279</v>
      </c>
      <c r="BT647" s="547" t="s">
        <v>745</v>
      </c>
      <c r="BU647" s="547">
        <v>1</v>
      </c>
      <c r="BV647" s="547" t="s">
        <v>745</v>
      </c>
      <c r="BW647" s="547" t="s">
        <v>709</v>
      </c>
      <c r="BX647" s="547">
        <v>1</v>
      </c>
      <c r="BY647" s="547" t="s">
        <v>745</v>
      </c>
      <c r="BZ647" s="547" t="s">
        <v>709</v>
      </c>
      <c r="CA647" s="483"/>
      <c r="CB647" s="547">
        <v>645</v>
      </c>
      <c r="CC647" s="1481" t="b">
        <v>1</v>
      </c>
      <c r="CD647" t="str">
        <f>Table15[[#This Row],[Engineering Number]]&amp;Table15[[#This Row],[WO Number]]&amp;Table15[[#This Row],[Date Assigned to Designer]]&amp;Table15[[#This Row],[Date Completed]]</f>
        <v>RS99910110704460344733</v>
      </c>
    </row>
    <row r="648" spans="1:82" customFormat="1" ht="15" customHeight="1" x14ac:dyDescent="0.25">
      <c r="A648">
        <v>2021</v>
      </c>
      <c r="B648" s="8" t="s">
        <v>771</v>
      </c>
      <c r="C648" s="8" t="s">
        <v>3010</v>
      </c>
      <c r="D648" s="8" t="s">
        <v>3011</v>
      </c>
      <c r="E648" s="8" t="s">
        <v>3012</v>
      </c>
      <c r="F648" s="8" t="s">
        <v>919</v>
      </c>
      <c r="G648" s="8" t="s">
        <v>1882</v>
      </c>
      <c r="H648" s="8" t="s">
        <v>4462</v>
      </c>
      <c r="I648" s="642">
        <v>44727</v>
      </c>
      <c r="J648" s="175" t="s">
        <v>2052</v>
      </c>
      <c r="K648" s="97">
        <v>44734</v>
      </c>
      <c r="L648" s="16">
        <f>IF(ISTEXT(Table15[[#This Row],[Engineering Approved Design Date]]),Table15[[#This Row],[Date Completed]]-Table15[[#This Row],[Date Assigned to Designer]],Table15[[#This Row],[Engineering Approved Design Date]]-Table15[[#This Row],[Date Completed]])</f>
        <v>7</v>
      </c>
      <c r="M648" t="s">
        <v>4567</v>
      </c>
      <c r="N648" s="642" t="s">
        <v>120</v>
      </c>
      <c r="O648" s="1025">
        <f>Table15[[#This Row],[Date Completed]]</f>
        <v>44734</v>
      </c>
      <c r="P648" s="21" t="s">
        <v>120</v>
      </c>
      <c r="Q648" s="1151" t="s">
        <v>115</v>
      </c>
      <c r="R648" s="1026" t="s">
        <v>115</v>
      </c>
      <c r="S648" s="538"/>
      <c r="T648" s="538"/>
      <c r="U648" s="87"/>
      <c r="V648" s="858"/>
      <c r="W648" s="437"/>
      <c r="X648" s="538"/>
      <c r="Y648" s="551"/>
      <c r="Z648" s="538"/>
      <c r="AA648" s="538"/>
      <c r="AB648" s="21"/>
      <c r="AC648" s="569"/>
      <c r="AD648" s="1149"/>
      <c r="AE648" s="569"/>
      <c r="AF648" s="569"/>
      <c r="AG648" s="569"/>
      <c r="AH648" s="536"/>
      <c r="AI648" s="1028"/>
      <c r="AJ648" s="1029"/>
      <c r="AK648" s="1029"/>
      <c r="AL648" s="1030"/>
      <c r="AM648" s="542" t="s">
        <v>709</v>
      </c>
      <c r="AN648" s="924"/>
      <c r="AO648" s="925"/>
      <c r="AP648" s="926"/>
      <c r="AQ648" s="926"/>
      <c r="AR648" s="926"/>
      <c r="AS648" s="926"/>
      <c r="AT648" s="926"/>
      <c r="AU648" s="926"/>
      <c r="AV648" s="926"/>
      <c r="AW648" s="927"/>
      <c r="AX648" s="926"/>
      <c r="AY648" s="1538" t="s">
        <v>29</v>
      </c>
      <c r="AZ648" s="1530"/>
      <c r="BA648" s="1031" t="s">
        <v>4568</v>
      </c>
      <c r="BB648" s="644" t="s">
        <v>4569</v>
      </c>
      <c r="BC648" s="544"/>
      <c r="BD648" s="544"/>
      <c r="BE648" s="544"/>
      <c r="BF648" s="544"/>
      <c r="BG648" s="544"/>
      <c r="BH648" s="741"/>
      <c r="BI648" s="547" t="s">
        <v>709</v>
      </c>
      <c r="BJ648" s="547" t="s">
        <v>709</v>
      </c>
      <c r="BK648" s="547" t="s">
        <v>709</v>
      </c>
      <c r="BL648" s="547" t="s">
        <v>116</v>
      </c>
      <c r="BM648" s="547" t="s">
        <v>709</v>
      </c>
      <c r="BN648" s="547" t="s">
        <v>709</v>
      </c>
      <c r="BO648" s="547" t="s">
        <v>709</v>
      </c>
      <c r="BP648" s="547" t="s">
        <v>709</v>
      </c>
      <c r="BQ648" s="547" t="s">
        <v>116</v>
      </c>
      <c r="BR648" s="547" t="s">
        <v>116</v>
      </c>
      <c r="BS648" s="547" t="s">
        <v>116</v>
      </c>
      <c r="BT648" s="547" t="s">
        <v>745</v>
      </c>
      <c r="BU648" s="547" t="s">
        <v>709</v>
      </c>
      <c r="BV648" s="547" t="s">
        <v>745</v>
      </c>
      <c r="BW648" s="547" t="s">
        <v>709</v>
      </c>
      <c r="BX648" s="547" t="s">
        <v>709</v>
      </c>
      <c r="BY648" s="547" t="s">
        <v>745</v>
      </c>
      <c r="BZ648" s="547" t="s">
        <v>709</v>
      </c>
      <c r="CA648" s="483"/>
      <c r="CB648" s="547">
        <v>646</v>
      </c>
      <c r="CC648" s="1481" t="b">
        <v>1</v>
      </c>
      <c r="CD648" t="str">
        <f>Table15[[#This Row],[Engineering Number]]&amp;Table15[[#This Row],[WO Number]]&amp;Table15[[#This Row],[Date Assigned to Designer]]&amp;Table15[[#This Row],[Date Completed]]</f>
        <v>BS5781205374472744734</v>
      </c>
    </row>
    <row r="649" spans="1:82" customFormat="1" ht="15" customHeight="1" x14ac:dyDescent="0.25">
      <c r="A649">
        <v>2022</v>
      </c>
      <c r="B649" s="8" t="s">
        <v>4</v>
      </c>
      <c r="C649" s="8" t="s">
        <v>4571</v>
      </c>
      <c r="D649" s="8" t="s">
        <v>4572</v>
      </c>
      <c r="E649" s="8" t="s">
        <v>1004</v>
      </c>
      <c r="F649" s="8" t="s">
        <v>747</v>
      </c>
      <c r="G649" s="8" t="s">
        <v>39</v>
      </c>
      <c r="H649" s="8" t="s">
        <v>1903</v>
      </c>
      <c r="I649" s="642">
        <v>44631</v>
      </c>
      <c r="J649" s="18">
        <v>44742</v>
      </c>
      <c r="K649" s="18">
        <v>44735</v>
      </c>
      <c r="L649" s="16">
        <f>IF(ISTEXT(Table15[[#This Row],[Engineering Approved Design Date]]),Table15[[#This Row],[Date Completed]]-Table15[[#This Row],[Date Assigned to Designer]],Table15[[#This Row],[Engineering Approved Design Date]]-Table15[[#This Row],[Date Completed]])</f>
        <v>7</v>
      </c>
      <c r="M649" s="642"/>
      <c r="N649" s="642" t="s">
        <v>120</v>
      </c>
      <c r="O649" s="1025">
        <f>Table15[[#This Row],[Date Completed]]</f>
        <v>44735</v>
      </c>
      <c r="P649" s="21" t="s">
        <v>739</v>
      </c>
      <c r="Q649" s="1151" t="s">
        <v>115</v>
      </c>
      <c r="R649" s="1026" t="s">
        <v>115</v>
      </c>
      <c r="S649" s="538"/>
      <c r="T649" s="538"/>
      <c r="U649" s="87"/>
      <c r="V649" s="857"/>
      <c r="W649" s="440"/>
      <c r="X649" s="550"/>
      <c r="Y649" s="550"/>
      <c r="Z649" s="550"/>
      <c r="AA649" s="551"/>
      <c r="AB649" s="341"/>
      <c r="AC649" s="568"/>
      <c r="AD649" s="1157"/>
      <c r="AE649" s="579"/>
      <c r="AF649" s="579"/>
      <c r="AG649" s="579"/>
      <c r="AH649" s="553"/>
      <c r="AI649" s="1036"/>
      <c r="AJ649" s="1037"/>
      <c r="AK649" s="1037"/>
      <c r="AL649" s="1038"/>
      <c r="AM649" s="542" t="s">
        <v>709</v>
      </c>
      <c r="AN649" s="924"/>
      <c r="AO649" s="925"/>
      <c r="AP649" s="926"/>
      <c r="AQ649" s="926"/>
      <c r="AR649" s="926"/>
      <c r="AS649" s="926"/>
      <c r="AT649" s="926"/>
      <c r="AU649" s="926"/>
      <c r="AV649" s="926"/>
      <c r="AW649" s="927"/>
      <c r="AX649" s="926"/>
      <c r="AY649" s="1538" t="s">
        <v>29</v>
      </c>
      <c r="AZ649" s="1530"/>
      <c r="BA649" s="1031" t="s">
        <v>4573</v>
      </c>
      <c r="BB649" s="644" t="s">
        <v>787</v>
      </c>
      <c r="BC649" s="544" t="s">
        <v>709</v>
      </c>
      <c r="BD649" s="544" t="s">
        <v>862</v>
      </c>
      <c r="BE649" s="544" t="s">
        <v>709</v>
      </c>
      <c r="BF649" s="544" t="s">
        <v>709</v>
      </c>
      <c r="BG649" s="544" t="s">
        <v>709</v>
      </c>
      <c r="BH649" s="741"/>
      <c r="BI649" s="1032"/>
      <c r="BJ649" s="1032"/>
      <c r="BK649" s="1032"/>
      <c r="BL649" s="1032"/>
      <c r="BM649" s="1032"/>
      <c r="BN649" s="1032"/>
      <c r="BO649" s="1032"/>
      <c r="BP649" s="1032"/>
      <c r="BQ649" s="1032"/>
      <c r="BR649" s="1032"/>
      <c r="BS649" s="1032"/>
      <c r="BT649" s="1032"/>
      <c r="BU649" s="1032"/>
      <c r="BV649" s="1032"/>
      <c r="BW649" s="1032"/>
      <c r="BX649" s="1032"/>
      <c r="BY649" s="1032"/>
      <c r="BZ649" s="1032"/>
      <c r="CA649" s="485"/>
      <c r="CB649" s="547">
        <v>647</v>
      </c>
      <c r="CC649" s="1481" t="b">
        <v>1</v>
      </c>
      <c r="CD649" t="str">
        <f>Table15[[#This Row],[Engineering Number]]&amp;Table15[[#This Row],[WO Number]]&amp;Table15[[#This Row],[Date Assigned to Designer]]&amp;Table15[[#This Row],[Date Completed]]</f>
        <v>SC14346-111112714463144735</v>
      </c>
    </row>
    <row r="650" spans="1:82" customFormat="1" ht="15" customHeight="1" x14ac:dyDescent="0.25">
      <c r="A650">
        <v>2022</v>
      </c>
      <c r="B650" s="8" t="s">
        <v>4</v>
      </c>
      <c r="C650" s="8" t="s">
        <v>3901</v>
      </c>
      <c r="D650" s="8">
        <v>1310685</v>
      </c>
      <c r="E650" s="8" t="s">
        <v>2032</v>
      </c>
      <c r="F650" s="8" t="s">
        <v>738</v>
      </c>
      <c r="G650" s="8" t="s">
        <v>23</v>
      </c>
      <c r="H650" s="8" t="s">
        <v>4462</v>
      </c>
      <c r="I650" s="642">
        <v>44679</v>
      </c>
      <c r="J650" s="18" t="s">
        <v>2052</v>
      </c>
      <c r="K650" s="97">
        <v>44739</v>
      </c>
      <c r="L650" s="16">
        <f>IF(ISTEXT(Table15[[#This Row],[Engineering Approved Design Date]]),Table15[[#This Row],[Date Completed]]-Table15[[#This Row],[Date Assigned to Designer]],Table15[[#This Row],[Engineering Approved Design Date]]-Table15[[#This Row],[Date Completed]])</f>
        <v>60</v>
      </c>
      <c r="M650" t="s">
        <v>4581</v>
      </c>
      <c r="N650" s="642" t="s">
        <v>120</v>
      </c>
      <c r="O650" s="1025">
        <v>44743</v>
      </c>
      <c r="P650" s="21" t="s">
        <v>739</v>
      </c>
      <c r="Q650" s="1151">
        <f>Table15[[#This Row],[KH Hourly Effort]]</f>
        <v>6102.5</v>
      </c>
      <c r="R650" s="1026" t="s">
        <v>1922</v>
      </c>
      <c r="S650" s="538" t="s">
        <v>709</v>
      </c>
      <c r="T650" s="538" t="s">
        <v>709</v>
      </c>
      <c r="U650" s="87">
        <v>6102.5</v>
      </c>
      <c r="V650" s="858"/>
      <c r="W650" s="437"/>
      <c r="X650" s="538"/>
      <c r="Y650" s="551"/>
      <c r="Z650" s="538"/>
      <c r="AA650" s="538">
        <f>23365+0</f>
        <v>23365</v>
      </c>
      <c r="AB650" s="21"/>
      <c r="AC650" s="569"/>
      <c r="AD650" s="1149"/>
      <c r="AE650" s="580"/>
      <c r="AF650" s="580"/>
      <c r="AG650" s="580"/>
      <c r="AH650" s="542"/>
      <c r="AI650" s="1028"/>
      <c r="AJ650" s="1029"/>
      <c r="AK650" s="1029"/>
      <c r="AL650" s="1030"/>
      <c r="AM650" s="542" t="s">
        <v>709</v>
      </c>
      <c r="AN650" s="924"/>
      <c r="AO650" s="925"/>
      <c r="AP650" s="926"/>
      <c r="AQ650" s="926"/>
      <c r="AR650" s="926"/>
      <c r="AS650" s="926"/>
      <c r="AT650" s="926"/>
      <c r="AU650" s="926"/>
      <c r="AV650" s="926"/>
      <c r="AW650" s="927"/>
      <c r="AX650" s="926"/>
      <c r="AY650" s="1538" t="s">
        <v>29</v>
      </c>
      <c r="AZ650" s="1530"/>
      <c r="BA650" s="1031"/>
      <c r="BB650" s="644"/>
      <c r="BC650" s="544"/>
      <c r="BD650" s="544"/>
      <c r="BE650" s="544"/>
      <c r="BF650" s="544"/>
      <c r="BG650" s="544"/>
      <c r="BH650" s="741"/>
      <c r="BI650" s="547" t="s">
        <v>709</v>
      </c>
      <c r="BJ650" s="547" t="s">
        <v>709</v>
      </c>
      <c r="BK650" s="547" t="s">
        <v>709</v>
      </c>
      <c r="BL650" s="547" t="s">
        <v>116</v>
      </c>
      <c r="BM650" s="547" t="s">
        <v>709</v>
      </c>
      <c r="BN650" s="547" t="s">
        <v>709</v>
      </c>
      <c r="BO650" s="547" t="s">
        <v>709</v>
      </c>
      <c r="BP650" s="547" t="s">
        <v>709</v>
      </c>
      <c r="BQ650" s="547" t="s">
        <v>709</v>
      </c>
      <c r="BR650" s="547">
        <v>824</v>
      </c>
      <c r="BS650" s="547" t="s">
        <v>709</v>
      </c>
      <c r="BT650" s="547" t="s">
        <v>709</v>
      </c>
      <c r="BU650" s="547" t="s">
        <v>709</v>
      </c>
      <c r="BV650" s="547" t="s">
        <v>745</v>
      </c>
      <c r="BW650" s="547" t="s">
        <v>709</v>
      </c>
      <c r="BX650" s="547" t="s">
        <v>709</v>
      </c>
      <c r="BY650" s="547" t="s">
        <v>745</v>
      </c>
      <c r="BZ650" s="547" t="s">
        <v>709</v>
      </c>
      <c r="CA650" s="483"/>
      <c r="CB650" s="547">
        <v>650</v>
      </c>
      <c r="CC650" s="1481" t="b">
        <v>1</v>
      </c>
      <c r="CD650" t="str">
        <f>Table15[[#This Row],[Engineering Number]]&amp;Table15[[#This Row],[WO Number]]&amp;Table15[[#This Row],[Date Assigned to Designer]]&amp;Table15[[#This Row],[Date Completed]]</f>
        <v>SC1971913106854467944739</v>
      </c>
    </row>
    <row r="651" spans="1:82" customFormat="1" ht="15" customHeight="1" x14ac:dyDescent="0.25">
      <c r="A651">
        <v>2022</v>
      </c>
      <c r="B651" s="8" t="s">
        <v>771</v>
      </c>
      <c r="C651" s="8" t="s">
        <v>4583</v>
      </c>
      <c r="D651" s="8" t="s">
        <v>4584</v>
      </c>
      <c r="E651" s="8" t="s">
        <v>232</v>
      </c>
      <c r="F651" s="8" t="s">
        <v>747</v>
      </c>
      <c r="G651" s="8" t="s">
        <v>22</v>
      </c>
      <c r="H651" s="8" t="s">
        <v>59</v>
      </c>
      <c r="I651" s="642">
        <v>44581</v>
      </c>
      <c r="J651" s="18">
        <v>44743</v>
      </c>
      <c r="K651" s="18">
        <v>44739</v>
      </c>
      <c r="L651" s="16">
        <f>IF(ISTEXT(Table15[[#This Row],[Engineering Approved Design Date]]),Table15[[#This Row],[Date Completed]]-Table15[[#This Row],[Date Assigned to Designer]],Table15[[#This Row],[Engineering Approved Design Date]]-Table15[[#This Row],[Date Completed]])</f>
        <v>4</v>
      </c>
      <c r="M651" s="642"/>
      <c r="N651" s="642" t="s">
        <v>120</v>
      </c>
      <c r="O651" s="1025">
        <f>Table15[[#This Row],[Date Completed]]</f>
        <v>44739</v>
      </c>
      <c r="P651" s="21" t="s">
        <v>120</v>
      </c>
      <c r="Q651" s="1151">
        <f>1.55*Table15[[#This Row],[LF of Main]]</f>
        <v>8472.3000000000011</v>
      </c>
      <c r="R651" s="1026" t="s">
        <v>2087</v>
      </c>
      <c r="S651" s="538" t="s">
        <v>709</v>
      </c>
      <c r="T651" s="538" t="s">
        <v>709</v>
      </c>
      <c r="U651" s="87" t="s">
        <v>709</v>
      </c>
      <c r="V651" s="857">
        <f>1712+2769+985</f>
        <v>5466</v>
      </c>
      <c r="W651" s="440"/>
      <c r="X651" s="551"/>
      <c r="Y651" s="550"/>
      <c r="Z651" s="550"/>
      <c r="AA651" s="551"/>
      <c r="AB651" s="341"/>
      <c r="AC651" s="568" t="s">
        <v>709</v>
      </c>
      <c r="AD651" s="1157" t="s">
        <v>709</v>
      </c>
      <c r="AE651" s="568"/>
      <c r="AF651" s="568"/>
      <c r="AG651" s="568"/>
      <c r="AH651" s="183"/>
      <c r="AI651" s="1036"/>
      <c r="AJ651" s="1037"/>
      <c r="AK651" s="1037"/>
      <c r="AL651" s="1038"/>
      <c r="AM651" s="542" t="s">
        <v>709</v>
      </c>
      <c r="AN651" s="924"/>
      <c r="AO651" s="925"/>
      <c r="AP651" s="926"/>
      <c r="AQ651" s="926"/>
      <c r="AR651" s="926"/>
      <c r="AS651" s="926"/>
      <c r="AT651" s="926"/>
      <c r="AU651" s="926"/>
      <c r="AV651" s="926"/>
      <c r="AW651" s="927"/>
      <c r="AX651" s="926"/>
      <c r="AY651" s="1538" t="s">
        <v>29</v>
      </c>
      <c r="AZ651" s="1530"/>
      <c r="BA651" s="1031" t="s">
        <v>4585</v>
      </c>
      <c r="BB651" s="644" t="s">
        <v>4586</v>
      </c>
      <c r="BC651" s="544" t="s">
        <v>116</v>
      </c>
      <c r="BD651" s="544" t="s">
        <v>709</v>
      </c>
      <c r="BE651" s="544" t="s">
        <v>595</v>
      </c>
      <c r="BF651" s="544" t="s">
        <v>709</v>
      </c>
      <c r="BG651" s="544" t="s">
        <v>4587</v>
      </c>
      <c r="BH651" s="741"/>
      <c r="BI651" s="547" t="s">
        <v>709</v>
      </c>
      <c r="BJ651" s="547" t="s">
        <v>709</v>
      </c>
      <c r="BK651" s="547" t="s">
        <v>709</v>
      </c>
      <c r="BL651" s="547" t="s">
        <v>116</v>
      </c>
      <c r="BM651" s="547" t="s">
        <v>709</v>
      </c>
      <c r="BN651" s="547" t="s">
        <v>709</v>
      </c>
      <c r="BO651" s="547" t="s">
        <v>709</v>
      </c>
      <c r="BP651" s="547" t="s">
        <v>709</v>
      </c>
      <c r="BQ651" s="547">
        <v>985</v>
      </c>
      <c r="BR651" s="547">
        <v>2769</v>
      </c>
      <c r="BS651" s="547">
        <v>1712</v>
      </c>
      <c r="BT651" s="547" t="s">
        <v>709</v>
      </c>
      <c r="BU651" s="547" t="s">
        <v>709</v>
      </c>
      <c r="BV651" s="547" t="s">
        <v>745</v>
      </c>
      <c r="BW651" s="547" t="s">
        <v>709</v>
      </c>
      <c r="BX651" s="547" t="s">
        <v>709</v>
      </c>
      <c r="BY651" s="547" t="s">
        <v>745</v>
      </c>
      <c r="BZ651" s="547" t="s">
        <v>709</v>
      </c>
      <c r="CA651" s="483"/>
      <c r="CB651" s="547">
        <v>648</v>
      </c>
      <c r="CC651" s="1481" t="b">
        <v>1</v>
      </c>
      <c r="CD651" t="str">
        <f>Table15[[#This Row],[Engineering Number]]&amp;Table15[[#This Row],[WO Number]]&amp;Table15[[#This Row],[Date Assigned to Designer]]&amp;Table15[[#This Row],[Date Completed]]</f>
        <v>BS61114109514458144739</v>
      </c>
    </row>
    <row r="652" spans="1:82" customFormat="1" ht="15" customHeight="1" x14ac:dyDescent="0.25">
      <c r="A652">
        <v>2022</v>
      </c>
      <c r="B652" s="8" t="s">
        <v>769</v>
      </c>
      <c r="C652" s="8" t="s">
        <v>3832</v>
      </c>
      <c r="D652" s="8" t="s">
        <v>3833</v>
      </c>
      <c r="E652" s="8" t="s">
        <v>3834</v>
      </c>
      <c r="F652" s="8" t="s">
        <v>747</v>
      </c>
      <c r="G652" s="8" t="s">
        <v>34</v>
      </c>
      <c r="H652" s="8" t="s">
        <v>2396</v>
      </c>
      <c r="I652" s="642">
        <v>44736</v>
      </c>
      <c r="J652" s="18" t="s">
        <v>2397</v>
      </c>
      <c r="K652" s="642">
        <v>44739</v>
      </c>
      <c r="L652" s="16">
        <f>IF(ISTEXT(Table15[[#This Row],[Engineering Approved Design Date]]),Table15[[#This Row],[Date Completed]]-Table15[[#This Row],[Date Assigned to Designer]],Table15[[#This Row],[Engineering Approved Design Date]]-Table15[[#This Row],[Date Completed]])</f>
        <v>3</v>
      </c>
      <c r="M652" s="642" t="s">
        <v>4577</v>
      </c>
      <c r="N652" s="642" t="s">
        <v>120</v>
      </c>
      <c r="O652" s="1025">
        <f>Table15[[#This Row],[Date Completed]]</f>
        <v>44739</v>
      </c>
      <c r="P652" s="21" t="s">
        <v>120</v>
      </c>
      <c r="Q652" s="1151" t="s">
        <v>115</v>
      </c>
      <c r="R652" s="1026" t="s">
        <v>115</v>
      </c>
      <c r="S652" s="538" t="s">
        <v>709</v>
      </c>
      <c r="T652" s="538" t="s">
        <v>709</v>
      </c>
      <c r="U652" s="28" t="s">
        <v>709</v>
      </c>
      <c r="V652" s="858"/>
      <c r="W652" s="437"/>
      <c r="X652" s="538"/>
      <c r="Y652" s="551"/>
      <c r="Z652" s="538"/>
      <c r="AA652" s="538"/>
      <c r="AB652" s="21"/>
      <c r="AC652" s="569" t="s">
        <v>709</v>
      </c>
      <c r="AD652" s="1149" t="s">
        <v>29</v>
      </c>
      <c r="AE652" s="580"/>
      <c r="AF652" s="580"/>
      <c r="AG652" s="580"/>
      <c r="AH652" s="542"/>
      <c r="AI652" s="1028"/>
      <c r="AJ652" s="1029"/>
      <c r="AK652" s="1029"/>
      <c r="AL652" s="1030"/>
      <c r="AM652" s="542" t="s">
        <v>709</v>
      </c>
      <c r="AN652" s="924"/>
      <c r="AO652" s="925"/>
      <c r="AP652" s="926"/>
      <c r="AQ652" s="926"/>
      <c r="AR652" s="926"/>
      <c r="AS652" s="926"/>
      <c r="AT652" s="926"/>
      <c r="AU652" s="926"/>
      <c r="AV652" s="926"/>
      <c r="AW652" s="927"/>
      <c r="AX652" s="926"/>
      <c r="AY652" s="1538" t="s">
        <v>29</v>
      </c>
      <c r="AZ652" s="1530"/>
      <c r="BA652" s="1031" t="s">
        <v>4578</v>
      </c>
      <c r="BB652" s="644" t="s">
        <v>4579</v>
      </c>
      <c r="BC652" s="544"/>
      <c r="BD652" s="544"/>
      <c r="BE652" s="544"/>
      <c r="BF652" s="544"/>
      <c r="BG652" s="544"/>
      <c r="BH652" s="741"/>
      <c r="BI652" s="547" t="s">
        <v>709</v>
      </c>
      <c r="BJ652" s="547" t="s">
        <v>116</v>
      </c>
      <c r="BK652" s="547" t="s">
        <v>709</v>
      </c>
      <c r="BL652" s="547" t="s">
        <v>116</v>
      </c>
      <c r="BM652" s="547" t="s">
        <v>709</v>
      </c>
      <c r="BN652" s="547" t="s">
        <v>709</v>
      </c>
      <c r="BO652" s="547" t="s">
        <v>709</v>
      </c>
      <c r="BP652" s="547" t="s">
        <v>709</v>
      </c>
      <c r="BQ652" s="547" t="s">
        <v>709</v>
      </c>
      <c r="BR652" s="547">
        <v>25</v>
      </c>
      <c r="BS652" s="547">
        <v>40</v>
      </c>
      <c r="BT652" s="547" t="s">
        <v>745</v>
      </c>
      <c r="BU652" s="547">
        <v>1</v>
      </c>
      <c r="BV652" s="547" t="s">
        <v>745</v>
      </c>
      <c r="BW652" s="547" t="s">
        <v>709</v>
      </c>
      <c r="BX652" s="547">
        <v>1</v>
      </c>
      <c r="BY652" s="547" t="s">
        <v>745</v>
      </c>
      <c r="BZ652" s="547" t="s">
        <v>709</v>
      </c>
      <c r="CA652" s="483" t="s">
        <v>769</v>
      </c>
      <c r="CB652" s="547">
        <v>649</v>
      </c>
      <c r="CC652" s="1481" t="b">
        <v>1</v>
      </c>
      <c r="CD652" t="str">
        <f>Table15[[#This Row],[Engineering Number]]&amp;Table15[[#This Row],[WO Number]]&amp;Table15[[#This Row],[Date Assigned to Designer]]&amp;Table15[[#This Row],[Date Completed]]</f>
        <v>RS85010104054473644739</v>
      </c>
    </row>
    <row r="653" spans="1:82" customFormat="1" ht="15" customHeight="1" x14ac:dyDescent="0.25">
      <c r="A653">
        <v>2021</v>
      </c>
      <c r="B653" s="8" t="s">
        <v>769</v>
      </c>
      <c r="C653" s="8" t="s">
        <v>3198</v>
      </c>
      <c r="D653" s="8" t="s">
        <v>3199</v>
      </c>
      <c r="E653" s="8" t="s">
        <v>155</v>
      </c>
      <c r="F653" s="8" t="s">
        <v>1111</v>
      </c>
      <c r="G653" s="8" t="s">
        <v>40</v>
      </c>
      <c r="H653" s="8" t="s">
        <v>2051</v>
      </c>
      <c r="I653" s="642">
        <v>44739</v>
      </c>
      <c r="J653" s="18" t="s">
        <v>2958</v>
      </c>
      <c r="K653" s="97">
        <v>44739</v>
      </c>
      <c r="L653" s="16">
        <f>IF(ISTEXT(Table15[[#This Row],[Engineering Approved Design Date]]),Table15[[#This Row],[Date Completed]]-Table15[[#This Row],[Date Assigned to Designer]],Table15[[#This Row],[Engineering Approved Design Date]]-Table15[[#This Row],[Date Completed]])</f>
        <v>0</v>
      </c>
      <c r="M653" t="s">
        <v>4575</v>
      </c>
      <c r="N653" s="99" t="s">
        <v>120</v>
      </c>
      <c r="O653" s="1025">
        <v>44743</v>
      </c>
      <c r="P653" s="21" t="s">
        <v>739</v>
      </c>
      <c r="Q653" s="1151" t="s">
        <v>115</v>
      </c>
      <c r="R653" s="1026" t="s">
        <v>115</v>
      </c>
      <c r="S653" s="538"/>
      <c r="T653" s="538"/>
      <c r="U653" s="87"/>
      <c r="V653" s="858"/>
      <c r="W653" s="437"/>
      <c r="X653" s="538"/>
      <c r="Y653" s="551"/>
      <c r="Z653" s="538"/>
      <c r="AA653" s="538"/>
      <c r="AB653" s="21"/>
      <c r="AC653" s="569" t="s">
        <v>709</v>
      </c>
      <c r="AD653" s="1149" t="s">
        <v>709</v>
      </c>
      <c r="AE653" s="580"/>
      <c r="AF653" s="580"/>
      <c r="AG653" s="580"/>
      <c r="AH653" s="542"/>
      <c r="AI653" s="1028"/>
      <c r="AJ653" s="1029"/>
      <c r="AK653" s="1029"/>
      <c r="AL653" s="1030"/>
      <c r="AM653" s="542" t="s">
        <v>709</v>
      </c>
      <c r="AN653" s="924"/>
      <c r="AO653" s="925"/>
      <c r="AP653" s="926"/>
      <c r="AQ653" s="926"/>
      <c r="AR653" s="926"/>
      <c r="AS653" s="926"/>
      <c r="AT653" s="926"/>
      <c r="AU653" s="926"/>
      <c r="AV653" s="926"/>
      <c r="AW653" s="927"/>
      <c r="AX653" s="926"/>
      <c r="AY653" s="1538" t="s">
        <v>29</v>
      </c>
      <c r="AZ653" s="1530"/>
      <c r="BA653" s="1031"/>
      <c r="BB653" s="644"/>
      <c r="BC653" s="544"/>
      <c r="BD653" s="544"/>
      <c r="BE653" s="544"/>
      <c r="BF653" s="544"/>
      <c r="BG653" s="544"/>
      <c r="BH653" s="741"/>
      <c r="BI653" s="547" t="s">
        <v>709</v>
      </c>
      <c r="BJ653" s="547" t="s">
        <v>709</v>
      </c>
      <c r="BK653" s="547" t="s">
        <v>116</v>
      </c>
      <c r="BL653" s="547" t="s">
        <v>709</v>
      </c>
      <c r="BM653" s="547" t="s">
        <v>709</v>
      </c>
      <c r="BN653" s="547" t="s">
        <v>709</v>
      </c>
      <c r="BO653" s="547" t="s">
        <v>709</v>
      </c>
      <c r="BP653" s="547" t="s">
        <v>709</v>
      </c>
      <c r="BQ653" s="547">
        <v>12</v>
      </c>
      <c r="BR653" s="547" t="s">
        <v>709</v>
      </c>
      <c r="BS653" s="547" t="s">
        <v>709</v>
      </c>
      <c r="BT653" s="547" t="s">
        <v>745</v>
      </c>
      <c r="BU653" s="547" t="s">
        <v>709</v>
      </c>
      <c r="BV653" s="547" t="s">
        <v>745</v>
      </c>
      <c r="BW653" s="547" t="s">
        <v>709</v>
      </c>
      <c r="BX653" s="547">
        <v>1</v>
      </c>
      <c r="BY653" s="547" t="s">
        <v>745</v>
      </c>
      <c r="BZ653" s="547" t="s">
        <v>709</v>
      </c>
      <c r="CA653" s="483" t="s">
        <v>769</v>
      </c>
      <c r="CB653" s="547">
        <v>651</v>
      </c>
      <c r="CC653" s="1481" t="b">
        <v>1</v>
      </c>
      <c r="CD653" t="str">
        <f>Table15[[#This Row],[Engineering Number]]&amp;Table15[[#This Row],[WO Number]]&amp;Table15[[#This Row],[Date Assigned to Designer]]&amp;Table15[[#This Row],[Date Completed]]</f>
        <v>RS8371021534473944739</v>
      </c>
    </row>
    <row r="654" spans="1:82" customFormat="1" ht="15" customHeight="1" x14ac:dyDescent="0.25">
      <c r="A654">
        <v>2022</v>
      </c>
      <c r="B654" s="8" t="s">
        <v>4</v>
      </c>
      <c r="C654" s="8" t="s">
        <v>4589</v>
      </c>
      <c r="D654" s="8" t="s">
        <v>115</v>
      </c>
      <c r="E654" s="8" t="s">
        <v>1674</v>
      </c>
      <c r="F654" s="8" t="s">
        <v>738</v>
      </c>
      <c r="G654" s="8" t="s">
        <v>35</v>
      </c>
      <c r="H654" s="8" t="s">
        <v>4537</v>
      </c>
      <c r="I654" s="642">
        <v>44592</v>
      </c>
      <c r="J654" s="18">
        <v>44742</v>
      </c>
      <c r="K654" s="18">
        <v>44740</v>
      </c>
      <c r="L654" s="16">
        <f>IF(ISTEXT(Table15[[#This Row],[Engineering Approved Design Date]]),Table15[[#This Row],[Date Completed]]-Table15[[#This Row],[Date Assigned to Designer]],Table15[[#This Row],[Engineering Approved Design Date]]-Table15[[#This Row],[Date Completed]])</f>
        <v>2</v>
      </c>
      <c r="M654" s="642"/>
      <c r="N654" s="642" t="s">
        <v>120</v>
      </c>
      <c r="O654" s="1025">
        <f>Table15[[#This Row],[Date Completed]]</f>
        <v>44740</v>
      </c>
      <c r="P654" s="21" t="s">
        <v>739</v>
      </c>
      <c r="Q654" s="1151" t="s">
        <v>115</v>
      </c>
      <c r="R654" s="1026" t="s">
        <v>115</v>
      </c>
      <c r="S654" s="538"/>
      <c r="T654" s="538"/>
      <c r="U654" s="87"/>
      <c r="V654" s="857"/>
      <c r="W654" s="440"/>
      <c r="X654" s="550"/>
      <c r="Y654" s="550"/>
      <c r="Z654" s="550"/>
      <c r="AA654" s="551"/>
      <c r="AB654" s="341"/>
      <c r="AC654" s="568"/>
      <c r="AD654" s="1157"/>
      <c r="AE654" s="579"/>
      <c r="AF654" s="579"/>
      <c r="AG654" s="579"/>
      <c r="AH654" s="553"/>
      <c r="AI654" s="1036"/>
      <c r="AJ654" s="1037"/>
      <c r="AK654" s="1037"/>
      <c r="AL654" s="1038"/>
      <c r="AM654" s="542" t="s">
        <v>709</v>
      </c>
      <c r="AN654" s="924"/>
      <c r="AO654" s="925"/>
      <c r="AP654" s="926"/>
      <c r="AQ654" s="926"/>
      <c r="AR654" s="926"/>
      <c r="AS654" s="926"/>
      <c r="AT654" s="926"/>
      <c r="AU654" s="926"/>
      <c r="AV654" s="926"/>
      <c r="AW654" s="927"/>
      <c r="AX654" s="926"/>
      <c r="AY654" s="1538" t="s">
        <v>29</v>
      </c>
      <c r="AZ654" s="1530"/>
      <c r="BA654" s="1031" t="s">
        <v>4590</v>
      </c>
      <c r="BB654" s="644" t="s">
        <v>4591</v>
      </c>
      <c r="BC654" s="544" t="s">
        <v>116</v>
      </c>
      <c r="BD654" s="544" t="s">
        <v>709</v>
      </c>
      <c r="BE654" s="544" t="s">
        <v>709</v>
      </c>
      <c r="BF654" s="544" t="s">
        <v>709</v>
      </c>
      <c r="BG654" s="544" t="s">
        <v>709</v>
      </c>
      <c r="BH654" s="741"/>
      <c r="BI654" s="1032"/>
      <c r="BJ654" s="1032"/>
      <c r="BK654" s="1032"/>
      <c r="BL654" s="1032"/>
      <c r="BM654" s="1032"/>
      <c r="BN654" s="1032"/>
      <c r="BO654" s="1032"/>
      <c r="BP654" s="1032"/>
      <c r="BQ654" s="1032"/>
      <c r="BR654" s="1032"/>
      <c r="BS654" s="1032"/>
      <c r="BT654" s="1032"/>
      <c r="BU654" s="1032"/>
      <c r="BV654" s="1032"/>
      <c r="BW654" s="1032"/>
      <c r="BX654" s="1032"/>
      <c r="BY654" s="1032"/>
      <c r="BZ654" s="1032"/>
      <c r="CA654" s="485"/>
      <c r="CB654" s="547">
        <v>652</v>
      </c>
      <c r="CC654" s="1481" t="b">
        <v>1</v>
      </c>
      <c r="CD654" t="str">
        <f>Table15[[#This Row],[Engineering Number]]&amp;Table15[[#This Row],[WO Number]]&amp;Table15[[#This Row],[Date Assigned to Designer]]&amp;Table15[[#This Row],[Date Completed]]</f>
        <v>N14266-4459244740</v>
      </c>
    </row>
    <row r="655" spans="1:82" customFormat="1" ht="15" customHeight="1" x14ac:dyDescent="0.25">
      <c r="A655">
        <v>2022</v>
      </c>
      <c r="B655" s="8" t="s">
        <v>730</v>
      </c>
      <c r="C655" s="8" t="s">
        <v>308</v>
      </c>
      <c r="D655" s="8" t="s">
        <v>1295</v>
      </c>
      <c r="E655" s="8" t="s">
        <v>309</v>
      </c>
      <c r="F655" s="8" t="s">
        <v>752</v>
      </c>
      <c r="G655" s="8" t="s">
        <v>24</v>
      </c>
      <c r="H655" s="8" t="s">
        <v>59</v>
      </c>
      <c r="I655" s="642">
        <v>44607</v>
      </c>
      <c r="J655" s="18">
        <v>44762</v>
      </c>
      <c r="K655" s="18">
        <v>44740</v>
      </c>
      <c r="L655" s="16">
        <f>IF(ISTEXT(Table15[[#This Row],[Engineering Approved Design Date]]),Table15[[#This Row],[Date Completed]]-Table15[[#This Row],[Date Assigned to Designer]],Table15[[#This Row],[Engineering Approved Design Date]]-Table15[[#This Row],[Date Completed]])</f>
        <v>22</v>
      </c>
      <c r="M655" s="642"/>
      <c r="N655" s="642" t="s">
        <v>120</v>
      </c>
      <c r="O655" s="1025">
        <v>44743</v>
      </c>
      <c r="P655" s="21" t="s">
        <v>739</v>
      </c>
      <c r="Q655" s="1151">
        <f>(Table15[[#This Row],[Construction Cost to Bill From]]*0.085)+(5250*1)</f>
        <v>28111.990999999998</v>
      </c>
      <c r="R655" s="1026" t="s">
        <v>794</v>
      </c>
      <c r="S655" s="538"/>
      <c r="T655" s="538"/>
      <c r="U655" s="87"/>
      <c r="V655" s="858">
        <v>528</v>
      </c>
      <c r="W655" s="437"/>
      <c r="X655" s="538">
        <v>176710.62</v>
      </c>
      <c r="Y655" s="551"/>
      <c r="Z655" s="538">
        <v>92253.98</v>
      </c>
      <c r="AA655" s="551">
        <f>Table15[[#This Row],[PCTS Investment Amount]]+Table15[[#This Row],[PCTS Retirement Amount]]</f>
        <v>268964.59999999998</v>
      </c>
      <c r="AB655" s="341"/>
      <c r="AC655" s="568" t="s">
        <v>1296</v>
      </c>
      <c r="AD655" s="1157" t="s">
        <v>116</v>
      </c>
      <c r="AE655" s="579"/>
      <c r="AF655" s="579"/>
      <c r="AG655" s="579"/>
      <c r="AH655" s="553"/>
      <c r="AI655" s="1036"/>
      <c r="AJ655" s="1037"/>
      <c r="AK655" s="1037"/>
      <c r="AL655" s="1038"/>
      <c r="AM655" s="536" t="s">
        <v>116</v>
      </c>
      <c r="AN655" s="903" t="s">
        <v>709</v>
      </c>
      <c r="AO655" s="1536">
        <v>11042074</v>
      </c>
      <c r="AP655" s="1537"/>
      <c r="AQ655" s="1537"/>
      <c r="AR655" s="1537"/>
      <c r="AS655" s="888">
        <f>IF(Table15[[#This Row],[PCTS Approved]]="N",0,Table15[[#This Row],[Investment Amount (1'#'#'#'#'#)]]+Table15[[#This Row],[Retirement Amount (3'#'#'#'#'#)]])</f>
        <v>0</v>
      </c>
      <c r="AT655" s="888">
        <f>IF(Table15[[#This Row],[Approved Construction Cost]]=0,0,Table15[[#This Row],[Approved Construction Cost]]-Table15[[#This Row],[Construction Cost to Bill From]])</f>
        <v>0</v>
      </c>
      <c r="AU655" s="888">
        <f>IFERROR(Table15[[#This Row],[Difference in Construction Cost]]*Table15[[#This Row],[Rate]],Table15[[#This Row],[Difference in Construction Cost]]*0.085)</f>
        <v>0</v>
      </c>
      <c r="AV655" s="905"/>
      <c r="AW655" s="1509"/>
      <c r="AX655" s="888"/>
      <c r="AY655" s="636" t="s">
        <v>709</v>
      </c>
      <c r="AZ655" s="333">
        <v>173</v>
      </c>
      <c r="BA655" s="859" t="s">
        <v>1297</v>
      </c>
      <c r="BB655" s="644" t="s">
        <v>1298</v>
      </c>
      <c r="BC655" s="544" t="s">
        <v>116</v>
      </c>
      <c r="BD655" s="544" t="s">
        <v>837</v>
      </c>
      <c r="BE655" s="544" t="s">
        <v>709</v>
      </c>
      <c r="BF655" s="544" t="s">
        <v>709</v>
      </c>
      <c r="BG655" s="544" t="s">
        <v>709</v>
      </c>
      <c r="BH655" s="741"/>
      <c r="BI655" s="547" t="s">
        <v>709</v>
      </c>
      <c r="BJ655" s="547" t="s">
        <v>709</v>
      </c>
      <c r="BK655" s="547" t="s">
        <v>116</v>
      </c>
      <c r="BL655" s="547" t="s">
        <v>116</v>
      </c>
      <c r="BM655" s="547" t="s">
        <v>709</v>
      </c>
      <c r="BN655" s="547" t="s">
        <v>709</v>
      </c>
      <c r="BO655" s="547" t="s">
        <v>709</v>
      </c>
      <c r="BP655" s="547" t="s">
        <v>709</v>
      </c>
      <c r="BQ655" s="547" t="s">
        <v>709</v>
      </c>
      <c r="BR655" s="547" t="s">
        <v>709</v>
      </c>
      <c r="BS655" s="547">
        <v>528</v>
      </c>
      <c r="BT655" s="547" t="s">
        <v>745</v>
      </c>
      <c r="BU655" s="547">
        <v>1</v>
      </c>
      <c r="BV655" s="547" t="s">
        <v>745</v>
      </c>
      <c r="BW655" s="547" t="s">
        <v>709</v>
      </c>
      <c r="BX655" s="547">
        <v>1</v>
      </c>
      <c r="BY655" s="547" t="s">
        <v>745</v>
      </c>
      <c r="BZ655" s="547" t="s">
        <v>709</v>
      </c>
      <c r="CA655" s="483"/>
      <c r="CB655" s="547">
        <v>653</v>
      </c>
      <c r="CC655" s="1481" t="b">
        <v>1</v>
      </c>
      <c r="CD655" t="str">
        <f>Table15[[#This Row],[Engineering Number]]&amp;Table15[[#This Row],[WO Number]]&amp;Table15[[#This Row],[Date Assigned to Designer]]&amp;Table15[[#This Row],[Date Completed]]</f>
        <v>RS99610110904460744740</v>
      </c>
    </row>
    <row r="656" spans="1:82" customFormat="1" ht="15" customHeight="1" x14ac:dyDescent="0.25">
      <c r="A656">
        <v>2022</v>
      </c>
      <c r="B656" s="8" t="s">
        <v>769</v>
      </c>
      <c r="C656" s="8" t="s">
        <v>4594</v>
      </c>
      <c r="D656" s="8" t="s">
        <v>4595</v>
      </c>
      <c r="E656" s="8" t="s">
        <v>2375</v>
      </c>
      <c r="F656" s="8" t="s">
        <v>752</v>
      </c>
      <c r="G656" s="8" t="s">
        <v>24</v>
      </c>
      <c r="H656" s="8" t="s">
        <v>2127</v>
      </c>
      <c r="I656" s="642">
        <v>44718</v>
      </c>
      <c r="J656" s="97">
        <v>44778</v>
      </c>
      <c r="K656" s="175">
        <v>44741</v>
      </c>
      <c r="L656" s="16">
        <f>IF(ISTEXT(Table15[[#This Row],[Engineering Approved Design Date]]),Table15[[#This Row],[Date Completed]]-Table15[[#This Row],[Date Assigned to Designer]],Table15[[#This Row],[Engineering Approved Design Date]]-Table15[[#This Row],[Date Completed]])</f>
        <v>37</v>
      </c>
      <c r="M656" t="s">
        <v>4596</v>
      </c>
      <c r="N656" s="642" t="s">
        <v>120</v>
      </c>
      <c r="O656" s="1025">
        <v>44743</v>
      </c>
      <c r="P656" s="21" t="s">
        <v>739</v>
      </c>
      <c r="Q656" s="1151">
        <f>Table15[[#This Row],[KH Hourly Effort]]</f>
        <v>6990</v>
      </c>
      <c r="R656" s="1026" t="s">
        <v>1922</v>
      </c>
      <c r="S656" s="538" t="s">
        <v>709</v>
      </c>
      <c r="T656" s="538" t="s">
        <v>709</v>
      </c>
      <c r="U656" s="87">
        <v>6990</v>
      </c>
      <c r="V656" s="858"/>
      <c r="W656" s="437"/>
      <c r="X656" s="538"/>
      <c r="Y656" s="551"/>
      <c r="Z656" s="538"/>
      <c r="AA656" s="551"/>
      <c r="AB656" s="21"/>
      <c r="AC656" s="569" t="s">
        <v>709</v>
      </c>
      <c r="AD656" s="1149"/>
      <c r="AE656" s="580" t="s">
        <v>29</v>
      </c>
      <c r="AF656" s="580" t="s">
        <v>29</v>
      </c>
      <c r="AG656" s="580" t="s">
        <v>29</v>
      </c>
      <c r="AH656" s="542" t="s">
        <v>29</v>
      </c>
      <c r="AI656" s="1028"/>
      <c r="AJ656" s="1029"/>
      <c r="AK656" s="1029"/>
      <c r="AL656" s="1030"/>
      <c r="AM656" s="542" t="s">
        <v>709</v>
      </c>
      <c r="AN656" s="924"/>
      <c r="AO656" s="925"/>
      <c r="AP656" s="926"/>
      <c r="AQ656" s="926"/>
      <c r="AR656" s="926"/>
      <c r="AS656" s="926"/>
      <c r="AT656" s="926"/>
      <c r="AU656" s="926"/>
      <c r="AV656" s="926"/>
      <c r="AW656" s="927"/>
      <c r="AX656" s="926"/>
      <c r="AY656" s="1538" t="s">
        <v>29</v>
      </c>
      <c r="AZ656" s="1530"/>
      <c r="BA656" s="1031" t="s">
        <v>4597</v>
      </c>
      <c r="BB656" s="644" t="s">
        <v>4598</v>
      </c>
      <c r="BC656" s="544"/>
      <c r="BD656" s="544"/>
      <c r="BE656" s="544"/>
      <c r="BF656" s="544"/>
      <c r="BG656" s="544"/>
      <c r="BH656" s="741"/>
      <c r="BI656" s="547"/>
      <c r="BJ656" s="547"/>
      <c r="BK656" s="547"/>
      <c r="BL656" s="547"/>
      <c r="BM656" s="547"/>
      <c r="BN656" s="547"/>
      <c r="BO656" s="547"/>
      <c r="BP656" s="547"/>
      <c r="BQ656" s="547"/>
      <c r="BR656" s="547"/>
      <c r="BS656" s="547"/>
      <c r="BT656" s="547"/>
      <c r="BU656" s="547"/>
      <c r="BV656" s="547"/>
      <c r="BW656" s="547"/>
      <c r="BX656" s="547"/>
      <c r="BY656" s="547"/>
      <c r="BZ656" s="547" t="s">
        <v>709</v>
      </c>
      <c r="CA656" s="483" t="s">
        <v>769</v>
      </c>
      <c r="CB656" s="547">
        <v>654</v>
      </c>
      <c r="CC656" s="1481" t="b">
        <v>1</v>
      </c>
      <c r="CD656" t="str">
        <f>Table15[[#This Row],[Engineering Number]]&amp;Table15[[#This Row],[WO Number]]&amp;Table15[[#This Row],[Date Assigned to Designer]]&amp;Table15[[#This Row],[Date Completed]]</f>
        <v>RS104610115044471844741</v>
      </c>
    </row>
    <row r="657" spans="1:82" customFormat="1" ht="15" customHeight="1" x14ac:dyDescent="0.25">
      <c r="A657">
        <v>2022</v>
      </c>
      <c r="B657" s="8" t="s">
        <v>771</v>
      </c>
      <c r="C657" s="8" t="s">
        <v>4025</v>
      </c>
      <c r="D657" s="8" t="s">
        <v>4026</v>
      </c>
      <c r="E657" s="8" t="s">
        <v>405</v>
      </c>
      <c r="F657" s="8" t="s">
        <v>747</v>
      </c>
      <c r="G657" s="8" t="s">
        <v>36</v>
      </c>
      <c r="H657" s="8" t="s">
        <v>3178</v>
      </c>
      <c r="I657" s="642">
        <v>44721</v>
      </c>
      <c r="J657" s="18" t="s">
        <v>2052</v>
      </c>
      <c r="K657" s="97">
        <v>44742</v>
      </c>
      <c r="L657" s="16">
        <f>IF(ISTEXT(Table15[[#This Row],[Engineering Approved Design Date]]),Table15[[#This Row],[Date Completed]]-Table15[[#This Row],[Date Assigned to Designer]],Table15[[#This Row],[Engineering Approved Design Date]]-Table15[[#This Row],[Date Completed]])</f>
        <v>21</v>
      </c>
      <c r="M657" t="s">
        <v>4600</v>
      </c>
      <c r="N657" s="642" t="s">
        <v>120</v>
      </c>
      <c r="O657" s="1025">
        <v>44743</v>
      </c>
      <c r="P657" s="21" t="s">
        <v>120</v>
      </c>
      <c r="Q657" s="1151">
        <f>Table15[[#This Row],[KH Hourly Effort]]</f>
        <v>10055</v>
      </c>
      <c r="R657" s="1026" t="s">
        <v>1922</v>
      </c>
      <c r="S657" s="538" t="s">
        <v>709</v>
      </c>
      <c r="T657" s="538" t="s">
        <v>709</v>
      </c>
      <c r="U657" s="87">
        <v>10055</v>
      </c>
      <c r="V657" s="858"/>
      <c r="W657" s="437"/>
      <c r="X657" s="538"/>
      <c r="Y657" s="551"/>
      <c r="Z657" s="538"/>
      <c r="AA657" s="551"/>
      <c r="AB657" s="21"/>
      <c r="AC657" s="569"/>
      <c r="AD657" s="1149" t="s">
        <v>709</v>
      </c>
      <c r="AE657" s="569"/>
      <c r="AF657" s="569"/>
      <c r="AG657" s="569"/>
      <c r="AH657" s="536"/>
      <c r="AI657" s="1028"/>
      <c r="AJ657" s="1029"/>
      <c r="AK657" s="1029"/>
      <c r="AL657" s="1030"/>
      <c r="AM657" s="542" t="s">
        <v>709</v>
      </c>
      <c r="AN657" s="924"/>
      <c r="AO657" s="925"/>
      <c r="AP657" s="926"/>
      <c r="AQ657" s="926"/>
      <c r="AR657" s="926"/>
      <c r="AS657" s="926"/>
      <c r="AT657" s="926"/>
      <c r="AU657" s="926"/>
      <c r="AV657" s="926"/>
      <c r="AW657" s="927"/>
      <c r="AX657" s="926"/>
      <c r="AY657" s="1538" t="s">
        <v>29</v>
      </c>
      <c r="AZ657" s="1530"/>
      <c r="BA657" s="1031">
        <v>7</v>
      </c>
      <c r="BB657" s="644" t="s">
        <v>4601</v>
      </c>
      <c r="BC657" s="544" t="s">
        <v>709</v>
      </c>
      <c r="BD657" s="544" t="s">
        <v>4602</v>
      </c>
      <c r="BE657" s="544"/>
      <c r="BF657" s="544"/>
      <c r="BG657" s="544"/>
      <c r="BH657" s="741"/>
      <c r="BI657" s="547" t="s">
        <v>709</v>
      </c>
      <c r="BJ657" s="547" t="s">
        <v>709</v>
      </c>
      <c r="BK657" s="547" t="s">
        <v>709</v>
      </c>
      <c r="BL657" s="547" t="s">
        <v>116</v>
      </c>
      <c r="BM657" s="547" t="s">
        <v>709</v>
      </c>
      <c r="BN657" s="547" t="s">
        <v>709</v>
      </c>
      <c r="BO657" s="547" t="s">
        <v>709</v>
      </c>
      <c r="BP657" s="547">
        <v>3908</v>
      </c>
      <c r="BQ657" s="547">
        <v>41</v>
      </c>
      <c r="BR657" s="547">
        <v>69</v>
      </c>
      <c r="BS657" s="547">
        <v>1969</v>
      </c>
      <c r="BT657" s="547" t="s">
        <v>745</v>
      </c>
      <c r="BU657" s="547" t="s">
        <v>709</v>
      </c>
      <c r="BV657" s="547" t="s">
        <v>745</v>
      </c>
      <c r="BW657" s="547" t="s">
        <v>709</v>
      </c>
      <c r="BX657" s="547" t="s">
        <v>745</v>
      </c>
      <c r="BY657" s="547" t="s">
        <v>745</v>
      </c>
      <c r="BZ657" s="547" t="s">
        <v>709</v>
      </c>
      <c r="CA657" s="483"/>
      <c r="CB657" s="547">
        <v>656</v>
      </c>
      <c r="CC657" s="1481" t="b">
        <v>1</v>
      </c>
      <c r="CD657" t="str">
        <f>Table15[[#This Row],[Engineering Number]]&amp;Table15[[#This Row],[WO Number]]&amp;Table15[[#This Row],[Date Assigned to Designer]]&amp;Table15[[#This Row],[Date Completed]]</f>
        <v>BS25514107084472144742</v>
      </c>
    </row>
    <row r="658" spans="1:82" customFormat="1" ht="15" customHeight="1" x14ac:dyDescent="0.25">
      <c r="A658">
        <v>2022</v>
      </c>
      <c r="B658" s="8" t="s">
        <v>4</v>
      </c>
      <c r="C658" s="8" t="s">
        <v>4604</v>
      </c>
      <c r="D658" s="8" t="s">
        <v>4605</v>
      </c>
      <c r="E658" s="8" t="s">
        <v>2511</v>
      </c>
      <c r="F658" s="8" t="s">
        <v>738</v>
      </c>
      <c r="G658" s="8" t="s">
        <v>35</v>
      </c>
      <c r="H658" s="8" t="s">
        <v>59</v>
      </c>
      <c r="I658" s="642">
        <v>44672</v>
      </c>
      <c r="J658" s="97">
        <v>44743</v>
      </c>
      <c r="K658" s="97">
        <v>44742</v>
      </c>
      <c r="L658" s="16">
        <f>IF(ISTEXT(Table15[[#This Row],[Engineering Approved Design Date]]),Table15[[#This Row],[Date Completed]]-Table15[[#This Row],[Date Assigned to Designer]],Table15[[#This Row],[Engineering Approved Design Date]]-Table15[[#This Row],[Date Completed]])</f>
        <v>1</v>
      </c>
      <c r="M658" s="642"/>
      <c r="N658" s="642" t="s">
        <v>120</v>
      </c>
      <c r="O658" s="1025">
        <v>44743</v>
      </c>
      <c r="P658" s="21" t="s">
        <v>739</v>
      </c>
      <c r="Q658" s="1151">
        <f>R658*AA658</f>
        <v>41573.045000000006</v>
      </c>
      <c r="R658" s="1039">
        <v>0.1</v>
      </c>
      <c r="S658" s="538" t="s">
        <v>709</v>
      </c>
      <c r="T658" s="538" t="s">
        <v>709</v>
      </c>
      <c r="U658" s="87" t="s">
        <v>709</v>
      </c>
      <c r="V658" s="857">
        <v>741</v>
      </c>
      <c r="W658" s="440"/>
      <c r="X658" s="551">
        <v>293129.12</v>
      </c>
      <c r="Y658" s="551"/>
      <c r="Z658" s="551">
        <v>122601.33</v>
      </c>
      <c r="AA658" s="551">
        <f>Table15[[#This Row],[PCTS Investment Amount]]+Table15[[#This Row],[PCTS Retirement Amount]]</f>
        <v>415730.45</v>
      </c>
      <c r="AB658" s="341"/>
      <c r="AC658" s="568" t="s">
        <v>116</v>
      </c>
      <c r="AD658" s="1157" t="s">
        <v>116</v>
      </c>
      <c r="AE658" s="579"/>
      <c r="AF658" s="579"/>
      <c r="AG658" s="579"/>
      <c r="AH658" s="553"/>
      <c r="AI658" s="1036"/>
      <c r="AJ658" s="1037"/>
      <c r="AK658" s="1037"/>
      <c r="AL658" s="1038"/>
      <c r="AM658" s="1522" t="s">
        <v>116</v>
      </c>
      <c r="AN658" s="1523">
        <v>44824</v>
      </c>
      <c r="AO658" s="1524">
        <v>11042463</v>
      </c>
      <c r="AP658" s="1525">
        <v>298591.42</v>
      </c>
      <c r="AQ658" s="1525"/>
      <c r="AR658" s="1525">
        <v>122534.42</v>
      </c>
      <c r="AS658" s="1525">
        <f>IF(Table15[[#This Row],[PCTS Approved]]="N",0,Table15[[#This Row],[Investment Amount (1'#'#'#'#'#)]]+Table15[[#This Row],[Retirement Amount (3'#'#'#'#'#)]])</f>
        <v>421125.83999999997</v>
      </c>
      <c r="AT658" s="1525">
        <f>IF(Table15[[#This Row],[Approved Construction Cost]]=0,0,Table15[[#This Row],[Approved Construction Cost]]-Table15[[#This Row],[Construction Cost to Bill From]])</f>
        <v>5395.3899999999558</v>
      </c>
      <c r="AU658" s="1525">
        <f>IFERROR(Table15[[#This Row],[Difference in Construction Cost]]*Table15[[#This Row],[Rate]],Table15[[#This Row],[Difference in Construction Cost]]*0.085)</f>
        <v>539.53899999999555</v>
      </c>
      <c r="AV658" s="1525">
        <v>987.5</v>
      </c>
      <c r="AW658" s="1526" t="s">
        <v>4606</v>
      </c>
      <c r="AX658" s="1525">
        <v>0</v>
      </c>
      <c r="AY658" s="1518">
        <v>45008</v>
      </c>
      <c r="AZ658" s="333"/>
      <c r="BA658" s="1031" t="s">
        <v>4607</v>
      </c>
      <c r="BB658" s="644" t="s">
        <v>4608</v>
      </c>
      <c r="BC658" s="544" t="s">
        <v>709</v>
      </c>
      <c r="BD658" s="544" t="s">
        <v>1066</v>
      </c>
      <c r="BE658" s="544" t="s">
        <v>709</v>
      </c>
      <c r="BF658" s="544" t="s">
        <v>709</v>
      </c>
      <c r="BG658" s="544" t="s">
        <v>709</v>
      </c>
      <c r="BH658" s="741"/>
      <c r="BI658" s="547" t="s">
        <v>709</v>
      </c>
      <c r="BJ658" s="547" t="s">
        <v>709</v>
      </c>
      <c r="BK658" s="547" t="s">
        <v>709</v>
      </c>
      <c r="BL658" s="547" t="s">
        <v>116</v>
      </c>
      <c r="BM658" s="547" t="s">
        <v>709</v>
      </c>
      <c r="BN658" s="547" t="s">
        <v>709</v>
      </c>
      <c r="BO658" s="547">
        <v>4</v>
      </c>
      <c r="BP658" s="547">
        <v>54</v>
      </c>
      <c r="BQ658" s="547">
        <v>365</v>
      </c>
      <c r="BR658" s="547">
        <v>376</v>
      </c>
      <c r="BS658" s="547" t="s">
        <v>709</v>
      </c>
      <c r="BT658" s="547" t="s">
        <v>745</v>
      </c>
      <c r="BU658" s="547" t="s">
        <v>709</v>
      </c>
      <c r="BV658" s="547" t="s">
        <v>745</v>
      </c>
      <c r="BW658" s="547" t="s">
        <v>709</v>
      </c>
      <c r="BX658" s="547" t="s">
        <v>745</v>
      </c>
      <c r="BY658" s="547" t="s">
        <v>745</v>
      </c>
      <c r="BZ658" s="547" t="s">
        <v>709</v>
      </c>
      <c r="CA658" s="483"/>
      <c r="CB658" s="547">
        <v>655</v>
      </c>
      <c r="CC658" s="1481" t="b">
        <v>1</v>
      </c>
      <c r="CD658" t="str">
        <f>Table15[[#This Row],[Engineering Number]]&amp;Table15[[#This Row],[WO Number]]&amp;Table15[[#This Row],[Date Assigned to Designer]]&amp;Table15[[#This Row],[Date Completed]]</f>
        <v>N1402712113684467244742</v>
      </c>
    </row>
    <row r="659" spans="1:82" customFormat="1" ht="15" customHeight="1" x14ac:dyDescent="0.25">
      <c r="A659">
        <v>2022</v>
      </c>
      <c r="B659" s="8" t="s">
        <v>771</v>
      </c>
      <c r="C659" s="8" t="s">
        <v>217</v>
      </c>
      <c r="D659" s="8">
        <v>1410799</v>
      </c>
      <c r="E659" s="8" t="s">
        <v>4531</v>
      </c>
      <c r="F659" s="8" t="s">
        <v>747</v>
      </c>
      <c r="G659" s="8" t="s">
        <v>22</v>
      </c>
      <c r="H659" s="8" t="s">
        <v>2051</v>
      </c>
      <c r="I659" s="642">
        <v>44743</v>
      </c>
      <c r="J659" s="18" t="s">
        <v>2958</v>
      </c>
      <c r="K659" s="97">
        <v>44747</v>
      </c>
      <c r="L659" s="16">
        <f>IF(ISTEXT(Table15[[#This Row],[Engineering Approved Design Date]]),Table15[[#This Row],[Date Completed]]-Table15[[#This Row],[Date Assigned to Designer]],Table15[[#This Row],[Engineering Approved Design Date]]-Table15[[#This Row],[Date Completed]])</f>
        <v>4</v>
      </c>
      <c r="M659" t="s">
        <v>4610</v>
      </c>
      <c r="N659" s="99" t="s">
        <v>120</v>
      </c>
      <c r="O659" s="1025">
        <f>Table15[[#This Row],[Date Completed]]</f>
        <v>44747</v>
      </c>
      <c r="P659" s="21" t="s">
        <v>120</v>
      </c>
      <c r="Q659" s="1151" t="s">
        <v>115</v>
      </c>
      <c r="R659" s="1026" t="s">
        <v>115</v>
      </c>
      <c r="S659" s="538"/>
      <c r="T659" s="538"/>
      <c r="U659" s="87"/>
      <c r="V659" s="858"/>
      <c r="W659" s="437"/>
      <c r="X659" s="538"/>
      <c r="Y659" s="551"/>
      <c r="Z659" s="538"/>
      <c r="AA659" s="538"/>
      <c r="AB659" s="21"/>
      <c r="AC659" s="569" t="s">
        <v>709</v>
      </c>
      <c r="AD659" s="1149" t="s">
        <v>709</v>
      </c>
      <c r="AE659" s="569"/>
      <c r="AF659" s="569"/>
      <c r="AG659" s="569"/>
      <c r="AH659" s="536"/>
      <c r="AI659" s="1028"/>
      <c r="AJ659" s="1029"/>
      <c r="AK659" s="1029"/>
      <c r="AL659" s="1030"/>
      <c r="AM659" s="542" t="s">
        <v>709</v>
      </c>
      <c r="AN659" s="924"/>
      <c r="AO659" s="925"/>
      <c r="AP659" s="926"/>
      <c r="AQ659" s="926"/>
      <c r="AR659" s="926"/>
      <c r="AS659" s="926"/>
      <c r="AT659" s="926"/>
      <c r="AU659" s="926"/>
      <c r="AV659" s="926"/>
      <c r="AW659" s="927"/>
      <c r="AX659" s="926"/>
      <c r="AY659" s="1538" t="s">
        <v>29</v>
      </c>
      <c r="AZ659" s="1530"/>
      <c r="BA659" s="1031"/>
      <c r="BB659" s="644"/>
      <c r="BC659" s="544"/>
      <c r="BD659" s="544"/>
      <c r="BE659" s="544"/>
      <c r="BF659" s="544"/>
      <c r="BG659" s="544"/>
      <c r="BH659" s="741"/>
      <c r="BI659" s="547" t="s">
        <v>709</v>
      </c>
      <c r="BJ659" s="547" t="s">
        <v>709</v>
      </c>
      <c r="BK659" s="547" t="s">
        <v>116</v>
      </c>
      <c r="BL659" s="547" t="s">
        <v>116</v>
      </c>
      <c r="BM659" s="547" t="s">
        <v>709</v>
      </c>
      <c r="BN659" s="547" t="s">
        <v>709</v>
      </c>
      <c r="BO659" s="547" t="s">
        <v>709</v>
      </c>
      <c r="BP659" s="547">
        <v>3270</v>
      </c>
      <c r="BQ659" s="547">
        <v>7510</v>
      </c>
      <c r="BR659" s="547" t="s">
        <v>709</v>
      </c>
      <c r="BS659" s="547">
        <v>219</v>
      </c>
      <c r="BT659" s="547" t="s">
        <v>745</v>
      </c>
      <c r="BU659" s="547" t="s">
        <v>709</v>
      </c>
      <c r="BV659" s="547" t="s">
        <v>745</v>
      </c>
      <c r="BW659" s="547" t="s">
        <v>709</v>
      </c>
      <c r="BX659" s="547" t="s">
        <v>745</v>
      </c>
      <c r="BY659" s="547" t="s">
        <v>745</v>
      </c>
      <c r="BZ659" s="547" t="s">
        <v>709</v>
      </c>
      <c r="CA659" s="483"/>
      <c r="CB659" s="547">
        <v>657</v>
      </c>
      <c r="CC659" s="1481" t="b">
        <v>1</v>
      </c>
      <c r="CD659" t="str">
        <f>Table15[[#This Row],[Engineering Number]]&amp;Table15[[#This Row],[WO Number]]&amp;Table15[[#This Row],[Date Assigned to Designer]]&amp;Table15[[#This Row],[Date Completed]]</f>
        <v>BS45814107994474344747</v>
      </c>
    </row>
    <row r="660" spans="1:82" customFormat="1" ht="15" customHeight="1" x14ac:dyDescent="0.25">
      <c r="A660">
        <v>2022</v>
      </c>
      <c r="B660" s="8" t="s">
        <v>2994</v>
      </c>
      <c r="C660" s="8" t="s">
        <v>4300</v>
      </c>
      <c r="D660" s="8">
        <v>3210900</v>
      </c>
      <c r="E660" s="8" t="s">
        <v>1255</v>
      </c>
      <c r="F660" s="8" t="s">
        <v>752</v>
      </c>
      <c r="G660" s="8" t="s">
        <v>23</v>
      </c>
      <c r="H660" s="8" t="s">
        <v>4189</v>
      </c>
      <c r="I660" s="642">
        <v>44734</v>
      </c>
      <c r="J660" s="18" t="s">
        <v>2052</v>
      </c>
      <c r="K660" s="97">
        <v>44748</v>
      </c>
      <c r="L660" s="16">
        <f>IF(ISTEXT(Table15[[#This Row],[Engineering Approved Design Date]]),Table15[[#This Row],[Date Completed]]-Table15[[#This Row],[Date Assigned to Designer]],Table15[[#This Row],[Engineering Approved Design Date]]-Table15[[#This Row],[Date Completed]])</f>
        <v>14</v>
      </c>
      <c r="M660" t="s">
        <v>4614</v>
      </c>
      <c r="N660" s="642" t="s">
        <v>120</v>
      </c>
      <c r="O660" s="1025">
        <f>Table15[[#This Row],[Date Completed]]</f>
        <v>44748</v>
      </c>
      <c r="P660" s="21" t="s">
        <v>739</v>
      </c>
      <c r="Q660" s="1151">
        <f>Table15[[#This Row],[KH Hourly Effort]]</f>
        <v>2015</v>
      </c>
      <c r="R660" s="1026" t="s">
        <v>1922</v>
      </c>
      <c r="S660" s="538" t="s">
        <v>709</v>
      </c>
      <c r="T660" s="538" t="s">
        <v>709</v>
      </c>
      <c r="U660" s="87">
        <v>2015</v>
      </c>
      <c r="V660" s="858"/>
      <c r="W660" s="437"/>
      <c r="X660" s="538"/>
      <c r="Y660" s="551"/>
      <c r="Z660" s="538"/>
      <c r="AA660" s="551"/>
      <c r="AB660" s="21"/>
      <c r="AC660" s="569" t="s">
        <v>709</v>
      </c>
      <c r="AD660" s="1149" t="s">
        <v>709</v>
      </c>
      <c r="AE660" s="580"/>
      <c r="AF660" s="580"/>
      <c r="AG660" s="580"/>
      <c r="AH660" s="542"/>
      <c r="AI660" s="1028"/>
      <c r="AJ660" s="1029"/>
      <c r="AK660" s="1029"/>
      <c r="AL660" s="1030"/>
      <c r="AM660" s="542" t="s">
        <v>709</v>
      </c>
      <c r="AN660" s="924"/>
      <c r="AO660" s="925"/>
      <c r="AP660" s="926"/>
      <c r="AQ660" s="926"/>
      <c r="AR660" s="926"/>
      <c r="AS660" s="926"/>
      <c r="AT660" s="926"/>
      <c r="AU660" s="926"/>
      <c r="AV660" s="926"/>
      <c r="AW660" s="927"/>
      <c r="AX660" s="926"/>
      <c r="AY660" s="1538" t="s">
        <v>29</v>
      </c>
      <c r="AZ660" s="1532"/>
      <c r="BA660" s="1031">
        <v>4</v>
      </c>
      <c r="BB660" s="644"/>
      <c r="BC660" s="544"/>
      <c r="BD660" s="544"/>
      <c r="BE660" s="544"/>
      <c r="BF660" s="544"/>
      <c r="BG660" s="544"/>
      <c r="BH660" s="741"/>
      <c r="BI660" s="547" t="s">
        <v>709</v>
      </c>
      <c r="BJ660" s="547" t="s">
        <v>709</v>
      </c>
      <c r="BK660" s="547" t="s">
        <v>709</v>
      </c>
      <c r="BL660" s="547" t="s">
        <v>709</v>
      </c>
      <c r="BM660" s="547" t="s">
        <v>709</v>
      </c>
      <c r="BN660" s="547" t="s">
        <v>709</v>
      </c>
      <c r="BO660" s="547" t="s">
        <v>709</v>
      </c>
      <c r="BP660" s="547" t="s">
        <v>709</v>
      </c>
      <c r="BQ660" s="547" t="s">
        <v>709</v>
      </c>
      <c r="BR660" s="547" t="s">
        <v>709</v>
      </c>
      <c r="BS660" s="547" t="s">
        <v>709</v>
      </c>
      <c r="BT660" s="547" t="s">
        <v>745</v>
      </c>
      <c r="BU660" s="547" t="s">
        <v>709</v>
      </c>
      <c r="BV660" s="547">
        <v>2</v>
      </c>
      <c r="BW660" s="547" t="s">
        <v>709</v>
      </c>
      <c r="BX660" s="547" t="s">
        <v>745</v>
      </c>
      <c r="BY660" s="547" t="s">
        <v>745</v>
      </c>
      <c r="BZ660" s="547" t="s">
        <v>709</v>
      </c>
      <c r="CA660" s="483" t="s">
        <v>4304</v>
      </c>
      <c r="CB660" s="547">
        <v>659</v>
      </c>
      <c r="CC660" s="1481" t="b">
        <v>1</v>
      </c>
      <c r="CD660" t="str">
        <f>Table15[[#This Row],[Engineering Number]]&amp;Table15[[#This Row],[WO Number]]&amp;Table15[[#This Row],[Date Assigned to Designer]]&amp;Table15[[#This Row],[Date Completed]]</f>
        <v>MR183632109004473444748</v>
      </c>
    </row>
    <row r="661" spans="1:82" customFormat="1" ht="15" customHeight="1" x14ac:dyDescent="0.25">
      <c r="A661">
        <v>2021</v>
      </c>
      <c r="B661" s="8" t="s">
        <v>769</v>
      </c>
      <c r="C661" s="8" t="s">
        <v>1109</v>
      </c>
      <c r="D661" s="8" t="s">
        <v>761</v>
      </c>
      <c r="E661" s="8" t="s">
        <v>1110</v>
      </c>
      <c r="F661" s="8" t="s">
        <v>1111</v>
      </c>
      <c r="G661" s="8" t="s">
        <v>40</v>
      </c>
      <c r="H661" s="8" t="s">
        <v>4462</v>
      </c>
      <c r="I661" s="642">
        <v>44704</v>
      </c>
      <c r="J661" s="175" t="s">
        <v>2052</v>
      </c>
      <c r="K661" s="97">
        <v>44748</v>
      </c>
      <c r="L661" s="16">
        <f>IF(ISTEXT(Table15[[#This Row],[Engineering Approved Design Date]]),Table15[[#This Row],[Date Completed]]-Table15[[#This Row],[Date Assigned to Designer]],Table15[[#This Row],[Engineering Approved Design Date]]-Table15[[#This Row],[Date Completed]])</f>
        <v>44</v>
      </c>
      <c r="M661" t="s">
        <v>4612</v>
      </c>
      <c r="N661" s="642" t="s">
        <v>120</v>
      </c>
      <c r="O661" s="1025">
        <f>Table15[[#This Row],[Date Completed]]</f>
        <v>44748</v>
      </c>
      <c r="P661" s="21" t="s">
        <v>739</v>
      </c>
      <c r="Q661" s="1151" t="s">
        <v>115</v>
      </c>
      <c r="R661" s="1026" t="s">
        <v>115</v>
      </c>
      <c r="S661" s="538"/>
      <c r="T661" s="538"/>
      <c r="U661" s="87"/>
      <c r="V661" s="858"/>
      <c r="W661" s="437"/>
      <c r="X661" s="538"/>
      <c r="Y661" s="551"/>
      <c r="Z661" s="538"/>
      <c r="AA661" s="538"/>
      <c r="AB661" s="21"/>
      <c r="AC661" s="569" t="s">
        <v>29</v>
      </c>
      <c r="AD661" s="1149"/>
      <c r="AE661" s="580"/>
      <c r="AF661" s="580"/>
      <c r="AG661" s="580"/>
      <c r="AH661" s="542"/>
      <c r="AI661" s="1028"/>
      <c r="AJ661" s="1029"/>
      <c r="AK661" s="1029"/>
      <c r="AL661" s="1030"/>
      <c r="AM661" s="542" t="s">
        <v>709</v>
      </c>
      <c r="AN661" s="924"/>
      <c r="AO661" s="925"/>
      <c r="AP661" s="926"/>
      <c r="AQ661" s="926"/>
      <c r="AR661" s="926"/>
      <c r="AS661" s="926"/>
      <c r="AT661" s="926"/>
      <c r="AU661" s="926"/>
      <c r="AV661" s="926"/>
      <c r="AW661" s="927"/>
      <c r="AX661" s="926"/>
      <c r="AY661" s="1538" t="s">
        <v>29</v>
      </c>
      <c r="AZ661" s="1530"/>
      <c r="BA661" s="1031"/>
      <c r="BB661" s="644"/>
      <c r="BC661" s="544"/>
      <c r="BD661" s="544"/>
      <c r="BE661" s="544"/>
      <c r="BF661" s="544"/>
      <c r="BG661" s="544"/>
      <c r="BH661" s="741"/>
      <c r="BI661" s="547"/>
      <c r="BJ661" s="547"/>
      <c r="BK661" s="547"/>
      <c r="BL661" s="547"/>
      <c r="BM661" s="547"/>
      <c r="BN661" s="547"/>
      <c r="BO661" s="547"/>
      <c r="BP661" s="547"/>
      <c r="BQ661" s="547"/>
      <c r="BR661" s="547"/>
      <c r="BS661" s="547"/>
      <c r="BT661" s="547"/>
      <c r="BU661" s="547"/>
      <c r="BV661" s="547"/>
      <c r="BW661" s="547"/>
      <c r="BX661" s="547"/>
      <c r="BY661" s="547"/>
      <c r="BZ661" s="547" t="s">
        <v>709</v>
      </c>
      <c r="CA661" s="483" t="s">
        <v>769</v>
      </c>
      <c r="CB661" s="547">
        <v>658</v>
      </c>
      <c r="CC661" s="1481" t="b">
        <v>1</v>
      </c>
      <c r="CD661" t="str">
        <f>Table15[[#This Row],[Engineering Number]]&amp;Table15[[#This Row],[WO Number]]&amp;Table15[[#This Row],[Date Assigned to Designer]]&amp;Table15[[#This Row],[Date Completed]]</f>
        <v>RS6681030744470444748</v>
      </c>
    </row>
    <row r="662" spans="1:82" customFormat="1" ht="15" customHeight="1" x14ac:dyDescent="0.25">
      <c r="A662">
        <v>2022</v>
      </c>
      <c r="B662" s="8" t="s">
        <v>4</v>
      </c>
      <c r="C662" s="8" t="s">
        <v>4620</v>
      </c>
      <c r="D662" s="8" t="s">
        <v>4621</v>
      </c>
      <c r="E662" s="8" t="s">
        <v>2114</v>
      </c>
      <c r="F662" s="8" t="s">
        <v>738</v>
      </c>
      <c r="G662" s="8" t="s">
        <v>25</v>
      </c>
      <c r="H662" s="8" t="s">
        <v>59</v>
      </c>
      <c r="I662" s="642">
        <v>44670</v>
      </c>
      <c r="J662" s="97">
        <v>44792</v>
      </c>
      <c r="K662" s="97">
        <v>44749</v>
      </c>
      <c r="L662" s="16">
        <f>IF(ISTEXT(Table15[[#This Row],[Engineering Approved Design Date]]),Table15[[#This Row],[Date Completed]]-Table15[[#This Row],[Date Assigned to Designer]],Table15[[#This Row],[Engineering Approved Design Date]]-Table15[[#This Row],[Date Completed]])</f>
        <v>43</v>
      </c>
      <c r="M662" s="642"/>
      <c r="N662" s="642" t="s">
        <v>120</v>
      </c>
      <c r="O662" s="1025">
        <v>44743</v>
      </c>
      <c r="P662" s="21" t="s">
        <v>739</v>
      </c>
      <c r="Q662" s="1151">
        <f>R662*AA662</f>
        <v>7847.6410000000005</v>
      </c>
      <c r="R662" s="1039">
        <v>0.1</v>
      </c>
      <c r="S662" s="538" t="s">
        <v>709</v>
      </c>
      <c r="T662" s="538" t="s">
        <v>709</v>
      </c>
      <c r="U662" s="87" t="s">
        <v>709</v>
      </c>
      <c r="V662" s="857">
        <v>1961</v>
      </c>
      <c r="W662" s="440"/>
      <c r="X662" s="551"/>
      <c r="Y662" s="551"/>
      <c r="Z662" s="551">
        <v>78476.41</v>
      </c>
      <c r="AA662" s="551">
        <f>Table15[[#This Row],[PCTS Investment Amount]]+Table15[[#This Row],[PCTS Retirement Amount]]</f>
        <v>78476.41</v>
      </c>
      <c r="AB662" s="341">
        <v>44749</v>
      </c>
      <c r="AC662" s="568" t="s">
        <v>709</v>
      </c>
      <c r="AD662" s="1157" t="s">
        <v>709</v>
      </c>
      <c r="AE662" s="579"/>
      <c r="AF662" s="579"/>
      <c r="AG662" s="569"/>
      <c r="AH662" s="553"/>
      <c r="AI662" s="1036"/>
      <c r="AJ662" s="1037"/>
      <c r="AK662" s="1037"/>
      <c r="AL662" s="1038"/>
      <c r="AM662" s="1522" t="s">
        <v>116</v>
      </c>
      <c r="AN662" s="1523">
        <v>44797</v>
      </c>
      <c r="AO662" s="1524">
        <v>11044547</v>
      </c>
      <c r="AP662" s="1525">
        <v>0</v>
      </c>
      <c r="AQ662" s="1525"/>
      <c r="AR662" s="1525">
        <v>63984.59</v>
      </c>
      <c r="AS662" s="1525">
        <f>IF(Table15[[#This Row],[PCTS Approved]]="N",0,Table15[[#This Row],[Investment Amount (1'#'#'#'#'#)]]+Table15[[#This Row],[Retirement Amount (3'#'#'#'#'#)]])</f>
        <v>63984.59</v>
      </c>
      <c r="AT662" s="1525">
        <f>IF(Table15[[#This Row],[Approved Construction Cost]]=0,0,Table15[[#This Row],[Approved Construction Cost]]-Table15[[#This Row],[Construction Cost to Bill From]])</f>
        <v>-14491.820000000007</v>
      </c>
      <c r="AU662" s="1525">
        <f>IFERROR(Table15[[#This Row],[Difference in Construction Cost]]*Table15[[#This Row],[Rate]],Table15[[#This Row],[Difference in Construction Cost]]*0.085)</f>
        <v>-1449.1820000000007</v>
      </c>
      <c r="AV662" s="1525" t="s">
        <v>709</v>
      </c>
      <c r="AW662" s="1526" t="s">
        <v>4622</v>
      </c>
      <c r="AX662" s="1525">
        <v>0</v>
      </c>
      <c r="AY662" s="1518">
        <v>45008</v>
      </c>
      <c r="AZ662" s="333"/>
      <c r="BA662" s="1031" t="s">
        <v>4623</v>
      </c>
      <c r="BB662" s="644" t="s">
        <v>1071</v>
      </c>
      <c r="BC662" s="544" t="s">
        <v>116</v>
      </c>
      <c r="BD662" s="544" t="s">
        <v>709</v>
      </c>
      <c r="BE662" s="544" t="s">
        <v>709</v>
      </c>
      <c r="BF662" s="544" t="s">
        <v>3561</v>
      </c>
      <c r="BG662" s="544" t="s">
        <v>709</v>
      </c>
      <c r="BH662" s="741"/>
      <c r="BI662" s="547" t="s">
        <v>709</v>
      </c>
      <c r="BJ662" s="547" t="s">
        <v>709</v>
      </c>
      <c r="BK662" s="547" t="s">
        <v>709</v>
      </c>
      <c r="BL662" s="547" t="s">
        <v>709</v>
      </c>
      <c r="BM662" s="547" t="s">
        <v>709</v>
      </c>
      <c r="BN662" s="547" t="s">
        <v>709</v>
      </c>
      <c r="BO662" s="547" t="s">
        <v>709</v>
      </c>
      <c r="BP662" s="547" t="s">
        <v>709</v>
      </c>
      <c r="BQ662" s="547" t="s">
        <v>709</v>
      </c>
      <c r="BR662" s="547" t="s">
        <v>709</v>
      </c>
      <c r="BS662" s="547" t="s">
        <v>709</v>
      </c>
      <c r="BT662" s="547" t="s">
        <v>709</v>
      </c>
      <c r="BU662" s="547" t="s">
        <v>709</v>
      </c>
      <c r="BV662" s="547" t="s">
        <v>709</v>
      </c>
      <c r="BW662" s="547" t="s">
        <v>709</v>
      </c>
      <c r="BX662" s="547" t="s">
        <v>709</v>
      </c>
      <c r="BY662" s="547" t="s">
        <v>709</v>
      </c>
      <c r="BZ662" s="547" t="s">
        <v>709</v>
      </c>
      <c r="CA662" s="483" t="s">
        <v>1146</v>
      </c>
      <c r="CB662" s="547">
        <v>660</v>
      </c>
      <c r="CC662" s="1481" t="b">
        <v>1</v>
      </c>
      <c r="CD662" t="str">
        <f>Table15[[#This Row],[Engineering Number]]&amp;Table15[[#This Row],[WO Number]]&amp;Table15[[#This Row],[Date Assigned to Designer]]&amp;Table15[[#This Row],[Date Completed]]</f>
        <v>M1359032114414467044749</v>
      </c>
    </row>
    <row r="663" spans="1:82" customFormat="1" ht="15" customHeight="1" x14ac:dyDescent="0.25">
      <c r="A663">
        <v>2022</v>
      </c>
      <c r="B663" s="8" t="s">
        <v>771</v>
      </c>
      <c r="C663" s="8" t="s">
        <v>4330</v>
      </c>
      <c r="D663" s="8" t="s">
        <v>4331</v>
      </c>
      <c r="E663" s="8" t="s">
        <v>354</v>
      </c>
      <c r="F663" s="8" t="s">
        <v>738</v>
      </c>
      <c r="G663" s="8" t="s">
        <v>23</v>
      </c>
      <c r="H663" s="8" t="s">
        <v>3178</v>
      </c>
      <c r="I663" s="642">
        <v>44742</v>
      </c>
      <c r="J663" s="175" t="s">
        <v>2052</v>
      </c>
      <c r="K663" s="97">
        <v>44749</v>
      </c>
      <c r="L663" s="16">
        <f>IF(ISTEXT(Table15[[#This Row],[Engineering Approved Design Date]]),Table15[[#This Row],[Date Completed]]-Table15[[#This Row],[Date Assigned to Designer]],Table15[[#This Row],[Engineering Approved Design Date]]-Table15[[#This Row],[Date Completed]])</f>
        <v>7</v>
      </c>
      <c r="M663" t="s">
        <v>4618</v>
      </c>
      <c r="N663" s="642" t="s">
        <v>120</v>
      </c>
      <c r="O663" s="1025">
        <f>Table15[[#This Row],[Date Completed]]</f>
        <v>44749</v>
      </c>
      <c r="P663" s="21" t="s">
        <v>120</v>
      </c>
      <c r="Q663" s="1151">
        <f>Table15[[#This Row],[KH Hourly Effort]]</f>
        <v>2780</v>
      </c>
      <c r="R663" s="1026" t="s">
        <v>1922</v>
      </c>
      <c r="S663" s="538" t="s">
        <v>709</v>
      </c>
      <c r="T663" s="538" t="s">
        <v>709</v>
      </c>
      <c r="U663" s="87">
        <v>2780</v>
      </c>
      <c r="V663" s="858"/>
      <c r="W663" s="437"/>
      <c r="X663" s="538"/>
      <c r="Y663" s="551"/>
      <c r="Z663" s="538"/>
      <c r="AA663" s="538"/>
      <c r="AB663" s="21"/>
      <c r="AC663" s="569"/>
      <c r="AD663" s="1149" t="s">
        <v>29</v>
      </c>
      <c r="AE663" s="569"/>
      <c r="AF663" s="569"/>
      <c r="AG663" s="569"/>
      <c r="AH663" s="536"/>
      <c r="AI663" s="1028"/>
      <c r="AJ663" s="1029"/>
      <c r="AK663" s="1029"/>
      <c r="AL663" s="1030"/>
      <c r="AM663" s="542" t="s">
        <v>709</v>
      </c>
      <c r="AN663" s="924"/>
      <c r="AO663" s="925"/>
      <c r="AP663" s="926"/>
      <c r="AQ663" s="926"/>
      <c r="AR663" s="926"/>
      <c r="AS663" s="926"/>
      <c r="AT663" s="926"/>
      <c r="AU663" s="926"/>
      <c r="AV663" s="926"/>
      <c r="AW663" s="927"/>
      <c r="AX663" s="926"/>
      <c r="AY663" s="1538" t="s">
        <v>29</v>
      </c>
      <c r="AZ663" s="1532"/>
      <c r="BA663" s="1031">
        <v>6</v>
      </c>
      <c r="BB663" s="644"/>
      <c r="BC663" s="544"/>
      <c r="BD663" s="544"/>
      <c r="BE663" s="544"/>
      <c r="BF663" s="544"/>
      <c r="BG663" s="544"/>
      <c r="BH663" s="741"/>
      <c r="BI663" s="547" t="s">
        <v>709</v>
      </c>
      <c r="BJ663" s="547" t="s">
        <v>709</v>
      </c>
      <c r="BK663" s="547" t="s">
        <v>709</v>
      </c>
      <c r="BL663" s="547" t="s">
        <v>116</v>
      </c>
      <c r="BM663" s="547" t="s">
        <v>709</v>
      </c>
      <c r="BN663" s="547" t="s">
        <v>709</v>
      </c>
      <c r="BO663" s="547" t="s">
        <v>709</v>
      </c>
      <c r="BP663" s="547" t="s">
        <v>709</v>
      </c>
      <c r="BQ663" s="547" t="s">
        <v>709</v>
      </c>
      <c r="BR663" s="547">
        <v>1224</v>
      </c>
      <c r="BS663" s="547">
        <v>10102</v>
      </c>
      <c r="BT663" s="547" t="s">
        <v>745</v>
      </c>
      <c r="BU663" s="547" t="s">
        <v>709</v>
      </c>
      <c r="BV663" s="547" t="s">
        <v>745</v>
      </c>
      <c r="BW663" s="547" t="s">
        <v>709</v>
      </c>
      <c r="BX663" s="547" t="s">
        <v>745</v>
      </c>
      <c r="BY663" s="547" t="s">
        <v>745</v>
      </c>
      <c r="BZ663" s="547" t="s">
        <v>709</v>
      </c>
      <c r="CA663" s="483"/>
      <c r="CB663" s="547">
        <v>664</v>
      </c>
      <c r="CC663" s="1481" t="b">
        <v>1</v>
      </c>
      <c r="CD663" t="str">
        <f>Table15[[#This Row],[Engineering Number]]&amp;Table15[[#This Row],[WO Number]]&amp;Table15[[#This Row],[Date Assigned to Designer]]&amp;Table15[[#This Row],[Date Completed]]</f>
        <v>MR185112110264474244749</v>
      </c>
    </row>
    <row r="664" spans="1:82" customFormat="1" ht="15" customHeight="1" x14ac:dyDescent="0.25">
      <c r="A664">
        <v>2022</v>
      </c>
      <c r="B664" s="8" t="s">
        <v>4</v>
      </c>
      <c r="C664" s="8" t="s">
        <v>4625</v>
      </c>
      <c r="D664" s="8" t="s">
        <v>115</v>
      </c>
      <c r="E664" s="8" t="s">
        <v>1492</v>
      </c>
      <c r="F664" s="8" t="s">
        <v>738</v>
      </c>
      <c r="G664" s="8" t="s">
        <v>23</v>
      </c>
      <c r="H664" s="8" t="s">
        <v>4537</v>
      </c>
      <c r="I664" s="642">
        <v>44644</v>
      </c>
      <c r="J664" s="18">
        <v>44792</v>
      </c>
      <c r="K664" s="18">
        <v>44749</v>
      </c>
      <c r="L664" s="16">
        <f>IF(ISTEXT(Table15[[#This Row],[Engineering Approved Design Date]]),Table15[[#This Row],[Date Completed]]-Table15[[#This Row],[Date Assigned to Designer]],Table15[[#This Row],[Engineering Approved Design Date]]-Table15[[#This Row],[Date Completed]])</f>
        <v>43</v>
      </c>
      <c r="M664" s="642"/>
      <c r="N664" s="642" t="s">
        <v>120</v>
      </c>
      <c r="O664" s="1025">
        <f>Table15[[#This Row],[Date Completed]]</f>
        <v>44749</v>
      </c>
      <c r="P664" s="21" t="s">
        <v>739</v>
      </c>
      <c r="Q664" s="340" t="s">
        <v>115</v>
      </c>
      <c r="R664" s="1026" t="s">
        <v>115</v>
      </c>
      <c r="S664" s="538"/>
      <c r="T664" s="538"/>
      <c r="U664" s="87"/>
      <c r="V664" s="857"/>
      <c r="W664" s="440"/>
      <c r="X664" s="550"/>
      <c r="Y664" s="550"/>
      <c r="Z664" s="550"/>
      <c r="AA664" s="551"/>
      <c r="AB664" s="341"/>
      <c r="AC664" s="568"/>
      <c r="AD664" s="1157"/>
      <c r="AE664" s="579"/>
      <c r="AF664" s="579"/>
      <c r="AG664" s="579"/>
      <c r="AH664" s="553"/>
      <c r="AI664" s="1036"/>
      <c r="AJ664" s="1037"/>
      <c r="AK664" s="1037"/>
      <c r="AL664" s="1038"/>
      <c r="AM664" s="542" t="s">
        <v>709</v>
      </c>
      <c r="AN664" s="924"/>
      <c r="AO664" s="925"/>
      <c r="AP664" s="926"/>
      <c r="AQ664" s="926"/>
      <c r="AR664" s="926"/>
      <c r="AS664" s="926"/>
      <c r="AT664" s="926"/>
      <c r="AU664" s="926"/>
      <c r="AV664" s="926"/>
      <c r="AW664" s="927"/>
      <c r="AX664" s="926"/>
      <c r="AY664" s="1538" t="s">
        <v>29</v>
      </c>
      <c r="AZ664" s="1530"/>
      <c r="BA664" s="1031" t="s">
        <v>4626</v>
      </c>
      <c r="BB664" s="644" t="s">
        <v>4627</v>
      </c>
      <c r="BC664" s="544" t="s">
        <v>709</v>
      </c>
      <c r="BD664" s="544" t="s">
        <v>709</v>
      </c>
      <c r="BE664" s="544" t="s">
        <v>545</v>
      </c>
      <c r="BF664" s="544" t="s">
        <v>709</v>
      </c>
      <c r="BG664" s="544" t="s">
        <v>709</v>
      </c>
      <c r="BH664" s="741"/>
      <c r="BI664" s="1032"/>
      <c r="BJ664" s="1032"/>
      <c r="BK664" s="1032"/>
      <c r="BL664" s="1032"/>
      <c r="BM664" s="1032"/>
      <c r="BN664" s="1032"/>
      <c r="BO664" s="1032"/>
      <c r="BP664" s="1032"/>
      <c r="BQ664" s="1032"/>
      <c r="BR664" s="1032"/>
      <c r="BS664" s="1032"/>
      <c r="BT664" s="1032"/>
      <c r="BU664" s="1032"/>
      <c r="BV664" s="1032"/>
      <c r="BW664" s="1032"/>
      <c r="BX664" s="1032"/>
      <c r="BY664" s="1032"/>
      <c r="BZ664" s="1032"/>
      <c r="CA664" s="485"/>
      <c r="CB664" s="547">
        <v>663</v>
      </c>
      <c r="CC664" s="1481" t="b">
        <v>1</v>
      </c>
      <c r="CD664" t="str">
        <f>Table15[[#This Row],[Engineering Number]]&amp;Table15[[#This Row],[WO Number]]&amp;Table15[[#This Row],[Date Assigned to Designer]]&amp;Table15[[#This Row],[Date Completed]]</f>
        <v>N15528-4464444749</v>
      </c>
    </row>
    <row r="665" spans="1:82" customFormat="1" ht="15" customHeight="1" x14ac:dyDescent="0.25">
      <c r="A665">
        <v>2022</v>
      </c>
      <c r="B665" s="8" t="s">
        <v>730</v>
      </c>
      <c r="C665" s="8" t="s">
        <v>4524</v>
      </c>
      <c r="D665" s="8" t="s">
        <v>4525</v>
      </c>
      <c r="E665" s="8" t="s">
        <v>3493</v>
      </c>
      <c r="F665" s="8" t="s">
        <v>752</v>
      </c>
      <c r="G665" s="8" t="s">
        <v>24</v>
      </c>
      <c r="H665" s="8" t="s">
        <v>59</v>
      </c>
      <c r="I665" s="642">
        <v>44692</v>
      </c>
      <c r="J665" s="18">
        <v>44750</v>
      </c>
      <c r="K665" s="97">
        <v>44749</v>
      </c>
      <c r="L665" s="16">
        <f>IF(ISTEXT(Table15[[#This Row],[Engineering Approved Design Date]]),Table15[[#This Row],[Date Completed]]-Table15[[#This Row],[Date Assigned to Designer]],Table15[[#This Row],[Engineering Approved Design Date]]-Table15[[#This Row],[Date Completed]])</f>
        <v>1</v>
      </c>
      <c r="M665" s="642"/>
      <c r="N665" s="642" t="s">
        <v>120</v>
      </c>
      <c r="O665" s="1025">
        <f>Table15[[#This Row],[Date Completed]]</f>
        <v>44749</v>
      </c>
      <c r="P665" s="21" t="s">
        <v>739</v>
      </c>
      <c r="Q665" s="1061">
        <f>(Table15[[#This Row],[Construction Cost to Bill From]]*0.085)+(5250*1)</f>
        <v>16182.2155</v>
      </c>
      <c r="R665" s="1026" t="s">
        <v>794</v>
      </c>
      <c r="S665" s="538"/>
      <c r="T665" s="538"/>
      <c r="U665" s="1270"/>
      <c r="V665" s="858">
        <v>567</v>
      </c>
      <c r="W665" s="437"/>
      <c r="X665" s="538">
        <v>105654.86</v>
      </c>
      <c r="Y665" s="551"/>
      <c r="Z665" s="538">
        <v>22959.439999999999</v>
      </c>
      <c r="AA665" s="551">
        <f>Table15[[#This Row],[PCTS Investment Amount]]+Table15[[#This Row],[PCTS Retirement Amount]]</f>
        <v>128614.3</v>
      </c>
      <c r="AB665" s="341"/>
      <c r="AC665" s="568" t="s">
        <v>709</v>
      </c>
      <c r="AD665" s="1157" t="s">
        <v>116</v>
      </c>
      <c r="AE665" s="579"/>
      <c r="AF665" s="579"/>
      <c r="AG665" s="579"/>
      <c r="AH665" s="553"/>
      <c r="AI665" s="1036"/>
      <c r="AJ665" s="1037"/>
      <c r="AK665" s="1037"/>
      <c r="AL665" s="1038"/>
      <c r="AM665" s="1522" t="s">
        <v>116</v>
      </c>
      <c r="AN665" s="1523">
        <v>44861</v>
      </c>
      <c r="AO665" s="1524">
        <v>11048287</v>
      </c>
      <c r="AP665" s="1525">
        <v>105761.34</v>
      </c>
      <c r="AQ665" s="1525"/>
      <c r="AR665" s="1525">
        <v>23125.84</v>
      </c>
      <c r="AS665" s="1525">
        <f>IF(Table15[[#This Row],[PCTS Approved]]="N",0,Table15[[#This Row],[Investment Amount (1'#'#'#'#'#)]]+Table15[[#This Row],[Retirement Amount (3'#'#'#'#'#)]])</f>
        <v>128887.18</v>
      </c>
      <c r="AT665" s="1525">
        <f>IF(Table15[[#This Row],[Approved Construction Cost]]=0,0,Table15[[#This Row],[Approved Construction Cost]]-Table15[[#This Row],[Construction Cost to Bill From]])</f>
        <v>272.8799999999901</v>
      </c>
      <c r="AU665" s="1525">
        <f>IFERROR(Table15[[#This Row],[Difference in Construction Cost]]*Table15[[#This Row],[Rate]],Table15[[#This Row],[Difference in Construction Cost]]*0.085)</f>
        <v>23.194799999999162</v>
      </c>
      <c r="AV665" s="1525" t="s">
        <v>709</v>
      </c>
      <c r="AW665" s="1526"/>
      <c r="AX665" s="1525">
        <f>Table15[[#This Row],[Reconcile Amount]]</f>
        <v>23.194799999999162</v>
      </c>
      <c r="AY665" s="1518">
        <v>45008</v>
      </c>
      <c r="AZ665" s="333"/>
      <c r="BA665" s="1031" t="s">
        <v>4526</v>
      </c>
      <c r="BB665" s="644" t="s">
        <v>4527</v>
      </c>
      <c r="BC665" s="544" t="s">
        <v>709</v>
      </c>
      <c r="BD665" s="544" t="s">
        <v>757</v>
      </c>
      <c r="BE665" s="544" t="s">
        <v>3496</v>
      </c>
      <c r="BF665" s="544" t="s">
        <v>4528</v>
      </c>
      <c r="BG665" s="544" t="s">
        <v>709</v>
      </c>
      <c r="BH665" s="741"/>
      <c r="BI665" s="547" t="s">
        <v>709</v>
      </c>
      <c r="BJ665" s="547" t="s">
        <v>709</v>
      </c>
      <c r="BK665" s="547" t="s">
        <v>709</v>
      </c>
      <c r="BL665" s="547" t="s">
        <v>116</v>
      </c>
      <c r="BM665" s="547" t="s">
        <v>709</v>
      </c>
      <c r="BN665" s="547" t="s">
        <v>709</v>
      </c>
      <c r="BO665" s="547" t="s">
        <v>709</v>
      </c>
      <c r="BP665" s="547" t="s">
        <v>709</v>
      </c>
      <c r="BQ665" s="547" t="s">
        <v>709</v>
      </c>
      <c r="BR665" s="547" t="s">
        <v>709</v>
      </c>
      <c r="BS665" s="547">
        <v>567</v>
      </c>
      <c r="BT665" s="547" t="s">
        <v>745</v>
      </c>
      <c r="BU665" s="547" t="s">
        <v>709</v>
      </c>
      <c r="BV665" s="547" t="s">
        <v>745</v>
      </c>
      <c r="BW665" s="547" t="s">
        <v>709</v>
      </c>
      <c r="BX665" s="547">
        <v>1</v>
      </c>
      <c r="BY665" s="547" t="s">
        <v>745</v>
      </c>
      <c r="BZ665" s="547" t="s">
        <v>709</v>
      </c>
      <c r="CA665" s="483"/>
      <c r="CB665" s="547">
        <v>661</v>
      </c>
      <c r="CC665" s="1481" t="b">
        <v>1</v>
      </c>
      <c r="CD665" t="str">
        <f>Table15[[#This Row],[Engineering Number]]&amp;Table15[[#This Row],[WO Number]]&amp;Table15[[#This Row],[Date Assigned to Designer]]&amp;Table15[[#This Row],[Date Completed]]</f>
        <v>RS102910114294469244749</v>
      </c>
    </row>
    <row r="666" spans="1:82" customFormat="1" ht="15" customHeight="1" x14ac:dyDescent="0.25">
      <c r="A666">
        <v>2022</v>
      </c>
      <c r="B666" s="8" t="s">
        <v>730</v>
      </c>
      <c r="C666" s="8" t="s">
        <v>1299</v>
      </c>
      <c r="D666" s="8" t="s">
        <v>1300</v>
      </c>
      <c r="E666" s="8" t="s">
        <v>1301</v>
      </c>
      <c r="F666" s="8" t="s">
        <v>752</v>
      </c>
      <c r="G666" s="8" t="s">
        <v>32</v>
      </c>
      <c r="H666" s="8" t="s">
        <v>59</v>
      </c>
      <c r="I666" s="642">
        <v>44692</v>
      </c>
      <c r="J666" s="18">
        <v>44750</v>
      </c>
      <c r="K666" s="97">
        <v>44749</v>
      </c>
      <c r="L666" s="16">
        <f>IF(ISTEXT(Table15[[#This Row],[Engineering Approved Design Date]]),Table15[[#This Row],[Date Completed]]-Table15[[#This Row],[Date Assigned to Designer]],Table15[[#This Row],[Engineering Approved Design Date]]-Table15[[#This Row],[Date Completed]])</f>
        <v>1</v>
      </c>
      <c r="M666" s="642"/>
      <c r="N666" s="642" t="s">
        <v>120</v>
      </c>
      <c r="O666" s="1025">
        <f>Table15[[#This Row],[Date Completed]]</f>
        <v>44749</v>
      </c>
      <c r="P666" s="21" t="s">
        <v>739</v>
      </c>
      <c r="Q666" s="1151">
        <f>(Table15[[#This Row],[Construction Cost to Bill From]]*0.085)+(5250*1)</f>
        <v>17915.941800000001</v>
      </c>
      <c r="R666" s="1026" t="s">
        <v>794</v>
      </c>
      <c r="S666" s="538"/>
      <c r="T666" s="538"/>
      <c r="U666" s="87"/>
      <c r="V666" s="858">
        <v>41</v>
      </c>
      <c r="W666" s="437">
        <v>1</v>
      </c>
      <c r="X666" s="538">
        <v>122879.35</v>
      </c>
      <c r="Y666" s="551"/>
      <c r="Z666" s="538">
        <v>26131.73</v>
      </c>
      <c r="AA666" s="551">
        <f>Table15[[#This Row],[PCTS Investment Amount]]+Table15[[#This Row],[PCTS Retirement Amount]]</f>
        <v>149011.08000000002</v>
      </c>
      <c r="AB666" s="341" t="s">
        <v>29</v>
      </c>
      <c r="AC666" s="568" t="s">
        <v>116</v>
      </c>
      <c r="AD666" s="1157" t="s">
        <v>116</v>
      </c>
      <c r="AE666" s="579" t="s">
        <v>29</v>
      </c>
      <c r="AF666" s="579" t="s">
        <v>29</v>
      </c>
      <c r="AG666" s="579" t="s">
        <v>29</v>
      </c>
      <c r="AH666" s="553" t="s">
        <v>29</v>
      </c>
      <c r="AI666" s="1036"/>
      <c r="AJ666" s="1037"/>
      <c r="AK666" s="1037"/>
      <c r="AL666" s="1038"/>
      <c r="AM666" s="536" t="s">
        <v>116</v>
      </c>
      <c r="AN666" s="903" t="s">
        <v>709</v>
      </c>
      <c r="AO666" s="1536" t="s">
        <v>115</v>
      </c>
      <c r="AP666" s="1537"/>
      <c r="AQ666" s="1537"/>
      <c r="AR666" s="1537"/>
      <c r="AS666" s="888">
        <f>IF(Table15[[#This Row],[PCTS Approved]]="N",0,Table15[[#This Row],[Investment Amount (1'#'#'#'#'#)]]+Table15[[#This Row],[Retirement Amount (3'#'#'#'#'#)]])</f>
        <v>0</v>
      </c>
      <c r="AT666" s="888">
        <f>IF(Table15[[#This Row],[Approved Construction Cost]]=0,0,Table15[[#This Row],[Approved Construction Cost]]-Table15[[#This Row],[Construction Cost to Bill From]])</f>
        <v>0</v>
      </c>
      <c r="AU666" s="888">
        <f>IFERROR(Table15[[#This Row],[Difference in Construction Cost]]*Table15[[#This Row],[Rate]],Table15[[#This Row],[Difference in Construction Cost]]*0.085)</f>
        <v>0</v>
      </c>
      <c r="AV666" s="905"/>
      <c r="AW666" s="1509"/>
      <c r="AX666" s="888"/>
      <c r="AY666" s="636" t="s">
        <v>709</v>
      </c>
      <c r="AZ666" s="333">
        <v>174</v>
      </c>
      <c r="BA666" s="859" t="s">
        <v>1302</v>
      </c>
      <c r="BB666" s="644" t="s">
        <v>1303</v>
      </c>
      <c r="BC666" s="544" t="s">
        <v>709</v>
      </c>
      <c r="BD666" s="544" t="s">
        <v>709</v>
      </c>
      <c r="BE666" s="544" t="s">
        <v>709</v>
      </c>
      <c r="BF666" s="544" t="s">
        <v>709</v>
      </c>
      <c r="BG666" s="544" t="s">
        <v>709</v>
      </c>
      <c r="BH666" s="741" t="s">
        <v>4630</v>
      </c>
      <c r="BI666" s="547" t="s">
        <v>709</v>
      </c>
      <c r="BJ666" s="547" t="s">
        <v>709</v>
      </c>
      <c r="BK666" s="547" t="s">
        <v>116</v>
      </c>
      <c r="BL666" s="547" t="s">
        <v>709</v>
      </c>
      <c r="BM666" s="547">
        <v>0</v>
      </c>
      <c r="BN666" s="549">
        <v>0</v>
      </c>
      <c r="BO666" s="547">
        <v>0</v>
      </c>
      <c r="BP666" s="547">
        <v>0</v>
      </c>
      <c r="BQ666" s="547">
        <v>0</v>
      </c>
      <c r="BR666" s="547">
        <v>0</v>
      </c>
      <c r="BS666" s="547">
        <v>41</v>
      </c>
      <c r="BT666" s="547">
        <v>0</v>
      </c>
      <c r="BU666" s="547">
        <v>0</v>
      </c>
      <c r="BV666" s="547">
        <v>0</v>
      </c>
      <c r="BW666" s="547">
        <v>0</v>
      </c>
      <c r="BX666" s="547">
        <v>1</v>
      </c>
      <c r="BY666" s="547">
        <v>0</v>
      </c>
      <c r="BZ666" s="547" t="s">
        <v>709</v>
      </c>
      <c r="CA666" s="483"/>
      <c r="CB666" s="547">
        <v>665</v>
      </c>
      <c r="CC666" s="1481" t="b">
        <v>1</v>
      </c>
      <c r="CD666" t="str">
        <f>Table15[[#This Row],[Engineering Number]]&amp;Table15[[#This Row],[WO Number]]&amp;Table15[[#This Row],[Date Assigned to Designer]]&amp;Table15[[#This Row],[Date Completed]]</f>
        <v>RS10331012004469244749</v>
      </c>
    </row>
    <row r="667" spans="1:82" customFormat="1" ht="15" customHeight="1" x14ac:dyDescent="0.25">
      <c r="A667">
        <v>2021</v>
      </c>
      <c r="B667" s="8" t="s">
        <v>769</v>
      </c>
      <c r="C667" s="8" t="s">
        <v>432</v>
      </c>
      <c r="D667" s="8">
        <v>1010408</v>
      </c>
      <c r="E667" s="8" t="s">
        <v>4487</v>
      </c>
      <c r="F667" s="8" t="s">
        <v>747</v>
      </c>
      <c r="G667" s="8" t="s">
        <v>34</v>
      </c>
      <c r="H667" s="8" t="s">
        <v>4462</v>
      </c>
      <c r="I667" s="642">
        <v>44740</v>
      </c>
      <c r="J667" s="175" t="s">
        <v>2052</v>
      </c>
      <c r="K667" s="97">
        <v>44749</v>
      </c>
      <c r="L667" s="16">
        <f>IF(ISTEXT(Table15[[#This Row],[Engineering Approved Design Date]]),Table15[[#This Row],[Date Completed]]-Table15[[#This Row],[Date Assigned to Designer]],Table15[[#This Row],[Engineering Approved Design Date]]-Table15[[#This Row],[Date Completed]])</f>
        <v>9</v>
      </c>
      <c r="M667" t="s">
        <v>4616</v>
      </c>
      <c r="N667" s="642" t="s">
        <v>120</v>
      </c>
      <c r="O667" s="1025">
        <f>Table15[[#This Row],[Date Completed]]</f>
        <v>44749</v>
      </c>
      <c r="P667" s="21" t="s">
        <v>120</v>
      </c>
      <c r="Q667" s="1151" t="s">
        <v>115</v>
      </c>
      <c r="R667" s="1026" t="s">
        <v>115</v>
      </c>
      <c r="S667" s="538"/>
      <c r="T667" s="538"/>
      <c r="U667" s="87"/>
      <c r="V667" s="858"/>
      <c r="W667" s="437"/>
      <c r="X667" s="538"/>
      <c r="Y667" s="551"/>
      <c r="Z667" s="538"/>
      <c r="AA667" s="538"/>
      <c r="AB667" s="21"/>
      <c r="AC667" s="569" t="s">
        <v>1441</v>
      </c>
      <c r="AD667" s="1149" t="s">
        <v>29</v>
      </c>
      <c r="AE667" s="580"/>
      <c r="AF667" s="580"/>
      <c r="AG667" s="580"/>
      <c r="AH667" s="542"/>
      <c r="AI667" s="1028"/>
      <c r="AJ667" s="1029"/>
      <c r="AK667" s="1029"/>
      <c r="AL667" s="1030"/>
      <c r="AM667" s="542" t="s">
        <v>709</v>
      </c>
      <c r="AN667" s="924"/>
      <c r="AO667" s="925"/>
      <c r="AP667" s="926"/>
      <c r="AQ667" s="926"/>
      <c r="AR667" s="926"/>
      <c r="AS667" s="926"/>
      <c r="AT667" s="926"/>
      <c r="AU667" s="926"/>
      <c r="AV667" s="926"/>
      <c r="AW667" s="927"/>
      <c r="AX667" s="926"/>
      <c r="AY667" s="1538" t="s">
        <v>29</v>
      </c>
      <c r="AZ667" s="1530"/>
      <c r="BA667" s="1031"/>
      <c r="BB667" s="644"/>
      <c r="BC667" s="544"/>
      <c r="BD667" s="544"/>
      <c r="BE667" s="544"/>
      <c r="BF667" s="544"/>
      <c r="BG667" s="544"/>
      <c r="BH667" s="741"/>
      <c r="BI667" s="547"/>
      <c r="BJ667" s="547"/>
      <c r="BK667" s="547"/>
      <c r="BL667" s="547"/>
      <c r="BM667" s="547"/>
      <c r="BN667" s="547"/>
      <c r="BO667" s="547"/>
      <c r="BP667" s="547"/>
      <c r="BQ667" s="547"/>
      <c r="BR667" s="547"/>
      <c r="BS667" s="547"/>
      <c r="BT667" s="547"/>
      <c r="BU667" s="547"/>
      <c r="BV667" s="547"/>
      <c r="BW667" s="547"/>
      <c r="BX667" s="547"/>
      <c r="BY667" s="547"/>
      <c r="BZ667" s="547" t="s">
        <v>709</v>
      </c>
      <c r="CA667" s="483" t="s">
        <v>769</v>
      </c>
      <c r="CB667" s="547">
        <v>662</v>
      </c>
      <c r="CC667" s="1481" t="b">
        <v>1</v>
      </c>
      <c r="CD667" t="str">
        <f>Table15[[#This Row],[Engineering Number]]&amp;Table15[[#This Row],[WO Number]]&amp;Table15[[#This Row],[Date Assigned to Designer]]&amp;Table15[[#This Row],[Date Completed]]</f>
        <v>RS85410104084474044749</v>
      </c>
    </row>
    <row r="668" spans="1:82" customFormat="1" ht="15" customHeight="1" x14ac:dyDescent="0.25">
      <c r="A668">
        <v>2022</v>
      </c>
      <c r="B668" s="8" t="s">
        <v>4</v>
      </c>
      <c r="C668" s="8" t="s">
        <v>4632</v>
      </c>
      <c r="D668" s="8" t="s">
        <v>4633</v>
      </c>
      <c r="E668" s="8" t="s">
        <v>1255</v>
      </c>
      <c r="F668" s="8" t="s">
        <v>738</v>
      </c>
      <c r="G668" s="8" t="s">
        <v>23</v>
      </c>
      <c r="H668" s="8" t="s">
        <v>59</v>
      </c>
      <c r="I668" s="642">
        <v>44666</v>
      </c>
      <c r="J668" s="97">
        <v>44750</v>
      </c>
      <c r="K668" s="97">
        <v>44750</v>
      </c>
      <c r="L668" s="16">
        <f>IF(ISTEXT(Table15[[#This Row],[Engineering Approved Design Date]]),Table15[[#This Row],[Date Completed]]-Table15[[#This Row],[Date Assigned to Designer]],Table15[[#This Row],[Engineering Approved Design Date]]-Table15[[#This Row],[Date Completed]])</f>
        <v>0</v>
      </c>
      <c r="M668" s="642"/>
      <c r="N668" s="642" t="s">
        <v>120</v>
      </c>
      <c r="O668" s="1025">
        <f>Table15[[#This Row],[Date Completed]]</f>
        <v>44750</v>
      </c>
      <c r="P668" s="21" t="s">
        <v>739</v>
      </c>
      <c r="Q668" s="1151">
        <f>R668*AA668</f>
        <v>94460.425000000003</v>
      </c>
      <c r="R668" s="1039">
        <v>0.1</v>
      </c>
      <c r="S668" s="538" t="s">
        <v>709</v>
      </c>
      <c r="T668" s="538" t="s">
        <v>709</v>
      </c>
      <c r="U668" s="87" t="s">
        <v>709</v>
      </c>
      <c r="V668" s="857">
        <v>3131</v>
      </c>
      <c r="W668" s="440"/>
      <c r="X668" s="551">
        <v>891977.71</v>
      </c>
      <c r="Y668" s="551"/>
      <c r="Z668" s="551">
        <v>52626.54</v>
      </c>
      <c r="AA668" s="551">
        <f>Table15[[#This Row],[PCTS Investment Amount]]+Table15[[#This Row],[PCTS Retirement Amount]]</f>
        <v>944604.25</v>
      </c>
      <c r="AB668" s="341"/>
      <c r="AC668" s="568" t="s">
        <v>116</v>
      </c>
      <c r="AD668" s="1157"/>
      <c r="AE668" s="579"/>
      <c r="AF668" s="579"/>
      <c r="AG668" s="579"/>
      <c r="AH668" s="553"/>
      <c r="AI668" s="1036"/>
      <c r="AJ668" s="1037"/>
      <c r="AK668" s="1037"/>
      <c r="AL668" s="1038"/>
      <c r="AM668" s="1522" t="s">
        <v>116</v>
      </c>
      <c r="AN668" s="1523">
        <v>44854</v>
      </c>
      <c r="AO668" s="1524">
        <v>11047817</v>
      </c>
      <c r="AP668" s="1525">
        <v>901377.5</v>
      </c>
      <c r="AQ668" s="1525"/>
      <c r="AR668" s="1525">
        <v>52628.55</v>
      </c>
      <c r="AS668" s="1525">
        <f>IF(Table15[[#This Row],[PCTS Approved]]="N",0,Table15[[#This Row],[Investment Amount (1'#'#'#'#'#)]]+Table15[[#This Row],[Retirement Amount (3'#'#'#'#'#)]])</f>
        <v>954006.05</v>
      </c>
      <c r="AT668" s="1525">
        <f>IF(Table15[[#This Row],[Approved Construction Cost]]=0,0,Table15[[#This Row],[Approved Construction Cost]]-Table15[[#This Row],[Construction Cost to Bill From]])</f>
        <v>9401.8000000000466</v>
      </c>
      <c r="AU668" s="1525">
        <f>IFERROR(Table15[[#This Row],[Difference in Construction Cost]]*Table15[[#This Row],[Rate]],Table15[[#This Row],[Difference in Construction Cost]]*0.085)</f>
        <v>940.18000000000472</v>
      </c>
      <c r="AV668" s="1525" t="s">
        <v>709</v>
      </c>
      <c r="AW668" s="1526"/>
      <c r="AX668" s="1525">
        <f>Table15[[#This Row],[Reconcile Amount]]</f>
        <v>940.18000000000472</v>
      </c>
      <c r="AY668" s="1518">
        <v>45008</v>
      </c>
      <c r="AZ668" s="333"/>
      <c r="BA668" s="1031" t="s">
        <v>4634</v>
      </c>
      <c r="BB668" s="644" t="s">
        <v>1257</v>
      </c>
      <c r="BC668" s="544" t="s">
        <v>709</v>
      </c>
      <c r="BD668" s="544" t="s">
        <v>709</v>
      </c>
      <c r="BE668" s="544" t="s">
        <v>1258</v>
      </c>
      <c r="BF668" s="544" t="s">
        <v>709</v>
      </c>
      <c r="BG668" s="544" t="s">
        <v>709</v>
      </c>
      <c r="BH668" s="741"/>
      <c r="BI668" s="547" t="s">
        <v>709</v>
      </c>
      <c r="BJ668" s="547" t="s">
        <v>709</v>
      </c>
      <c r="BK668" s="547" t="s">
        <v>709</v>
      </c>
      <c r="BL668" s="547" t="s">
        <v>116</v>
      </c>
      <c r="BM668" s="547" t="s">
        <v>709</v>
      </c>
      <c r="BN668" s="547" t="s">
        <v>709</v>
      </c>
      <c r="BO668" s="547" t="s">
        <v>709</v>
      </c>
      <c r="BP668" s="547">
        <v>498</v>
      </c>
      <c r="BQ668" s="547">
        <v>2136</v>
      </c>
      <c r="BR668" s="547" t="s">
        <v>709</v>
      </c>
      <c r="BS668" s="547">
        <v>497</v>
      </c>
      <c r="BT668" s="547" t="s">
        <v>745</v>
      </c>
      <c r="BU668" s="547" t="s">
        <v>709</v>
      </c>
      <c r="BV668" s="547" t="s">
        <v>709</v>
      </c>
      <c r="BW668" s="547" t="s">
        <v>709</v>
      </c>
      <c r="BX668" s="547" t="s">
        <v>745</v>
      </c>
      <c r="BY668" s="547" t="s">
        <v>709</v>
      </c>
      <c r="BZ668" s="547" t="s">
        <v>709</v>
      </c>
      <c r="CA668" s="483"/>
      <c r="CB668" s="547">
        <v>666</v>
      </c>
      <c r="CC668" s="1481" t="b">
        <v>1</v>
      </c>
      <c r="CD668" t="str">
        <f>Table15[[#This Row],[Engineering Number]]&amp;Table15[[#This Row],[WO Number]]&amp;Table15[[#This Row],[Date Assigned to Designer]]&amp;Table15[[#This Row],[Date Completed]]</f>
        <v>M1266812114134466644750</v>
      </c>
    </row>
    <row r="669" spans="1:82" customFormat="1" ht="15" customHeight="1" x14ac:dyDescent="0.25">
      <c r="A669">
        <v>2022</v>
      </c>
      <c r="B669" s="8" t="s">
        <v>4</v>
      </c>
      <c r="C669" s="8" t="s">
        <v>1304</v>
      </c>
      <c r="D669" s="8" t="s">
        <v>1305</v>
      </c>
      <c r="E669" s="8" t="s">
        <v>1306</v>
      </c>
      <c r="F669" s="8" t="s">
        <v>738</v>
      </c>
      <c r="G669" s="8" t="s">
        <v>27</v>
      </c>
      <c r="H669" s="8" t="s">
        <v>59</v>
      </c>
      <c r="I669" s="642">
        <v>44684</v>
      </c>
      <c r="J669" s="97">
        <v>44757</v>
      </c>
      <c r="K669" s="97">
        <v>44753</v>
      </c>
      <c r="L669" s="16">
        <f>IF(ISTEXT(Table15[[#This Row],[Engineering Approved Design Date]]),Table15[[#This Row],[Date Completed]]-Table15[[#This Row],[Date Assigned to Designer]],Table15[[#This Row],[Engineering Approved Design Date]]-Table15[[#This Row],[Date Completed]])</f>
        <v>4</v>
      </c>
      <c r="M669" s="642"/>
      <c r="N669" s="642" t="s">
        <v>120</v>
      </c>
      <c r="O669" s="1025">
        <f>Table15[[#This Row],[Date Completed]]</f>
        <v>44753</v>
      </c>
      <c r="P669" s="21" t="s">
        <v>739</v>
      </c>
      <c r="Q669" s="1151">
        <f>R669*AA669</f>
        <v>17769.143</v>
      </c>
      <c r="R669" s="1039">
        <v>0.1</v>
      </c>
      <c r="S669" s="538" t="s">
        <v>709</v>
      </c>
      <c r="T669" s="538" t="s">
        <v>709</v>
      </c>
      <c r="U669" s="87" t="s">
        <v>709</v>
      </c>
      <c r="V669" s="857">
        <v>576</v>
      </c>
      <c r="W669" s="440"/>
      <c r="X669" s="551">
        <v>132282.79999999999</v>
      </c>
      <c r="Y669" s="551"/>
      <c r="Z669" s="551">
        <v>45408.63</v>
      </c>
      <c r="AA669" s="551">
        <f>Table15[[#This Row],[PCTS Investment Amount]]+Table15[[#This Row],[PCTS Retirement Amount]]</f>
        <v>177691.43</v>
      </c>
      <c r="AB669" s="341"/>
      <c r="AC669" s="568" t="s">
        <v>709</v>
      </c>
      <c r="AD669" s="1157"/>
      <c r="AE669" s="579"/>
      <c r="AF669" s="579"/>
      <c r="AG669" s="579"/>
      <c r="AH669" s="553"/>
      <c r="AI669" s="1036"/>
      <c r="AJ669" s="1037"/>
      <c r="AK669" s="1037"/>
      <c r="AL669" s="1038"/>
      <c r="AM669" s="536" t="s">
        <v>116</v>
      </c>
      <c r="AN669" s="903" t="s">
        <v>709</v>
      </c>
      <c r="AO669" s="1536"/>
      <c r="AP669" s="1537"/>
      <c r="AQ669" s="1537"/>
      <c r="AR669" s="1537"/>
      <c r="AS669" s="888">
        <f>IF(Table15[[#This Row],[PCTS Approved]]="N",0,Table15[[#This Row],[Investment Amount (1'#'#'#'#'#)]]+Table15[[#This Row],[Retirement Amount (3'#'#'#'#'#)]])</f>
        <v>0</v>
      </c>
      <c r="AT669" s="888">
        <f>IF(Table15[[#This Row],[Approved Construction Cost]]=0,0,Table15[[#This Row],[Approved Construction Cost]]-Table15[[#This Row],[Construction Cost to Bill From]])</f>
        <v>0</v>
      </c>
      <c r="AU669" s="888">
        <f>IFERROR(Table15[[#This Row],[Difference in Construction Cost]]*Table15[[#This Row],[Rate]],Table15[[#This Row],[Difference in Construction Cost]]*0.085)</f>
        <v>0</v>
      </c>
      <c r="AV669" s="905"/>
      <c r="AW669" s="1509"/>
      <c r="AX669" s="888"/>
      <c r="AY669" s="636" t="s">
        <v>709</v>
      </c>
      <c r="AZ669" s="333">
        <v>68</v>
      </c>
      <c r="BA669" s="859" t="s">
        <v>1307</v>
      </c>
      <c r="BB669" s="644" t="s">
        <v>1308</v>
      </c>
      <c r="BC669" s="544" t="s">
        <v>709</v>
      </c>
      <c r="BD669" s="544" t="s">
        <v>709</v>
      </c>
      <c r="BE669" s="544" t="s">
        <v>1309</v>
      </c>
      <c r="BF669" s="544" t="s">
        <v>709</v>
      </c>
      <c r="BG669" s="544" t="s">
        <v>709</v>
      </c>
      <c r="BH669" s="741"/>
      <c r="BI669" s="547" t="s">
        <v>709</v>
      </c>
      <c r="BJ669" s="547" t="s">
        <v>709</v>
      </c>
      <c r="BK669" s="547" t="s">
        <v>709</v>
      </c>
      <c r="BL669" s="547" t="s">
        <v>116</v>
      </c>
      <c r="BM669" s="547" t="s">
        <v>709</v>
      </c>
      <c r="BN669" s="547" t="s">
        <v>709</v>
      </c>
      <c r="BO669" s="547" t="s">
        <v>709</v>
      </c>
      <c r="BP669" s="547" t="s">
        <v>709</v>
      </c>
      <c r="BQ669" s="547" t="s">
        <v>709</v>
      </c>
      <c r="BR669" s="547">
        <v>576</v>
      </c>
      <c r="BS669" s="547" t="s">
        <v>709</v>
      </c>
      <c r="BT669" s="547" t="s">
        <v>745</v>
      </c>
      <c r="BU669" s="547" t="s">
        <v>709</v>
      </c>
      <c r="BV669" s="547" t="s">
        <v>745</v>
      </c>
      <c r="BW669" s="547" t="s">
        <v>709</v>
      </c>
      <c r="BX669" s="547" t="s">
        <v>745</v>
      </c>
      <c r="BY669" s="547" t="s">
        <v>745</v>
      </c>
      <c r="BZ669" s="547" t="s">
        <v>709</v>
      </c>
      <c r="CA669" s="483"/>
      <c r="CB669" s="547">
        <v>667</v>
      </c>
      <c r="CC669" s="1481" t="b">
        <v>1</v>
      </c>
      <c r="CD669" t="str">
        <f>Table15[[#This Row],[Engineering Number]]&amp;Table15[[#This Row],[WO Number]]&amp;Table15[[#This Row],[Date Assigned to Designer]]&amp;Table15[[#This Row],[Date Completed]]</f>
        <v>N1411012114854468444753</v>
      </c>
    </row>
    <row r="670" spans="1:82" customFormat="1" ht="15" customHeight="1" x14ac:dyDescent="0.25">
      <c r="A670">
        <v>2022</v>
      </c>
      <c r="B670" s="8" t="s">
        <v>730</v>
      </c>
      <c r="C670" s="8" t="s">
        <v>451</v>
      </c>
      <c r="D670" s="8" t="s">
        <v>4637</v>
      </c>
      <c r="E670" s="8" t="s">
        <v>4638</v>
      </c>
      <c r="F670" s="8" t="s">
        <v>752</v>
      </c>
      <c r="G670" s="8" t="s">
        <v>34</v>
      </c>
      <c r="H670" s="8" t="s">
        <v>59</v>
      </c>
      <c r="I670" s="642">
        <v>44692</v>
      </c>
      <c r="J670" s="18">
        <v>44753</v>
      </c>
      <c r="K670" s="97">
        <v>44753</v>
      </c>
      <c r="L670" s="16">
        <f>IF(ISTEXT(Table15[[#This Row],[Engineering Approved Design Date]]),Table15[[#This Row],[Date Completed]]-Table15[[#This Row],[Date Assigned to Designer]],Table15[[#This Row],[Engineering Approved Design Date]]-Table15[[#This Row],[Date Completed]])</f>
        <v>0</v>
      </c>
      <c r="M670" s="642"/>
      <c r="N670" s="642" t="s">
        <v>120</v>
      </c>
      <c r="O670" s="1025">
        <v>44774</v>
      </c>
      <c r="P670" s="21" t="s">
        <v>739</v>
      </c>
      <c r="Q670" s="1151">
        <f>(Table15[[#This Row],[Construction Cost to Bill From]]*0.085)+(5250*1)</f>
        <v>41201.638250000004</v>
      </c>
      <c r="R670" s="1026" t="s">
        <v>794</v>
      </c>
      <c r="S670" s="538" t="s">
        <v>709</v>
      </c>
      <c r="T670" s="538" t="s">
        <v>709</v>
      </c>
      <c r="U670" s="87" t="s">
        <v>709</v>
      </c>
      <c r="V670" s="858">
        <v>89</v>
      </c>
      <c r="W670" s="437"/>
      <c r="X670" s="552">
        <v>336543.78</v>
      </c>
      <c r="Y670" s="551"/>
      <c r="Z670" s="552">
        <v>86416.67</v>
      </c>
      <c r="AA670" s="551">
        <f>Table15[[#This Row],[PCTS Investment Amount]]+Table15[[#This Row],[PCTS Retirement Amount]]</f>
        <v>422960.45</v>
      </c>
      <c r="AB670" s="341">
        <v>44768</v>
      </c>
      <c r="AC670" s="568" t="s">
        <v>709</v>
      </c>
      <c r="AD670" s="1157" t="s">
        <v>29</v>
      </c>
      <c r="AE670" s="579" t="s">
        <v>29</v>
      </c>
      <c r="AF670" s="579" t="s">
        <v>29</v>
      </c>
      <c r="AG670" s="579" t="s">
        <v>29</v>
      </c>
      <c r="AH670" s="553" t="s">
        <v>29</v>
      </c>
      <c r="AI670" s="1036"/>
      <c r="AJ670" s="1037"/>
      <c r="AK670" s="1037"/>
      <c r="AL670" s="1038"/>
      <c r="AM670" s="542" t="s">
        <v>116</v>
      </c>
      <c r="AN670" s="1508">
        <v>45050</v>
      </c>
      <c r="AO670" s="925">
        <v>11058431</v>
      </c>
      <c r="AP670" s="926">
        <v>311275.02</v>
      </c>
      <c r="AQ670" s="926"/>
      <c r="AR670" s="926">
        <v>58156.81</v>
      </c>
      <c r="AS670" s="926">
        <f>IF(Table15[[#This Row],[PCTS Approved]]="N",0,Table15[[#This Row],[Investment Amount (1'#'#'#'#'#)]]+Table15[[#This Row],[Retirement Amount (3'#'#'#'#'#)]])</f>
        <v>369431.83</v>
      </c>
      <c r="AT670" s="926">
        <f>IF(Table15[[#This Row],[Approved Construction Cost]]=0,0,Table15[[#This Row],[Approved Construction Cost]]-Table15[[#This Row],[Construction Cost to Bill From]])</f>
        <v>-53528.619999999995</v>
      </c>
      <c r="AU670" s="926">
        <f>IFERROR(Table15[[#This Row],[Difference in Construction Cost]]*Table15[[#This Row],[Rate]],Table15[[#This Row],[Difference in Construction Cost]]*0.085)</f>
        <v>-4549.9327000000003</v>
      </c>
      <c r="AV670" s="926">
        <v>0</v>
      </c>
      <c r="AW670" s="927" t="s">
        <v>4639</v>
      </c>
      <c r="AX670" s="926"/>
      <c r="AY670" s="636" t="s">
        <v>4640</v>
      </c>
      <c r="AZ670" s="1531"/>
      <c r="BA670" s="859" t="s">
        <v>4641</v>
      </c>
      <c r="BB670" s="644" t="s">
        <v>4642</v>
      </c>
      <c r="BC670" s="544" t="s">
        <v>709</v>
      </c>
      <c r="BD670" s="544" t="s">
        <v>1328</v>
      </c>
      <c r="BE670" s="544" t="s">
        <v>709</v>
      </c>
      <c r="BF670" s="544" t="s">
        <v>709</v>
      </c>
      <c r="BG670" s="544" t="s">
        <v>709</v>
      </c>
      <c r="BH670" s="741"/>
      <c r="BI670" s="547" t="s">
        <v>709</v>
      </c>
      <c r="BJ670" s="547" t="s">
        <v>116</v>
      </c>
      <c r="BK670" s="547" t="s">
        <v>709</v>
      </c>
      <c r="BL670" s="547" t="s">
        <v>709</v>
      </c>
      <c r="BM670" s="547" t="s">
        <v>709</v>
      </c>
      <c r="BN670" s="547" t="s">
        <v>709</v>
      </c>
      <c r="BO670" s="547" t="s">
        <v>709</v>
      </c>
      <c r="BP670" s="547" t="s">
        <v>709</v>
      </c>
      <c r="BQ670" s="547" t="s">
        <v>709</v>
      </c>
      <c r="BR670" s="547">
        <v>84</v>
      </c>
      <c r="BS670" s="547">
        <v>5</v>
      </c>
      <c r="BT670" s="547" t="s">
        <v>745</v>
      </c>
      <c r="BU670" s="547" t="s">
        <v>709</v>
      </c>
      <c r="BV670" s="547" t="s">
        <v>745</v>
      </c>
      <c r="BW670" s="547" t="s">
        <v>709</v>
      </c>
      <c r="BX670" s="547">
        <v>1</v>
      </c>
      <c r="BY670" s="547" t="s">
        <v>745</v>
      </c>
      <c r="BZ670" s="547" t="s">
        <v>709</v>
      </c>
      <c r="CA670" s="483"/>
      <c r="CB670" s="547">
        <v>668</v>
      </c>
      <c r="CC670" s="1481" t="b">
        <v>1</v>
      </c>
      <c r="CD670" t="str">
        <f>Table15[[#This Row],[Engineering Number]]&amp;Table15[[#This Row],[WO Number]]&amp;Table15[[#This Row],[Date Assigned to Designer]]&amp;Table15[[#This Row],[Date Completed]]</f>
        <v>RS10311021694469244753</v>
      </c>
    </row>
    <row r="671" spans="1:82" customFormat="1" ht="15" customHeight="1" x14ac:dyDescent="0.25">
      <c r="A671">
        <v>2022</v>
      </c>
      <c r="B671" s="8" t="s">
        <v>769</v>
      </c>
      <c r="C671" s="8" t="s">
        <v>238</v>
      </c>
      <c r="D671" s="8" t="s">
        <v>4349</v>
      </c>
      <c r="E671" s="8" t="s">
        <v>239</v>
      </c>
      <c r="F671" s="8" t="s">
        <v>752</v>
      </c>
      <c r="G671" s="8" t="s">
        <v>1882</v>
      </c>
      <c r="H671" s="8" t="s">
        <v>3178</v>
      </c>
      <c r="I671" s="642">
        <v>44747</v>
      </c>
      <c r="J671" s="175" t="s">
        <v>2052</v>
      </c>
      <c r="K671" s="97">
        <v>44755</v>
      </c>
      <c r="L671" s="16">
        <f>IF(ISTEXT(Table15[[#This Row],[Engineering Approved Design Date]]),Table15[[#This Row],[Date Completed]]-Table15[[#This Row],[Date Assigned to Designer]],Table15[[#This Row],[Engineering Approved Design Date]]-Table15[[#This Row],[Date Completed]])</f>
        <v>8</v>
      </c>
      <c r="M671" t="s">
        <v>4644</v>
      </c>
      <c r="N671" s="642" t="s">
        <v>120</v>
      </c>
      <c r="O671" s="1025">
        <v>44757</v>
      </c>
      <c r="P671" s="21" t="s">
        <v>739</v>
      </c>
      <c r="Q671" s="1151">
        <f>Table15[[#This Row],[KH Hourly Effort]]</f>
        <v>5065</v>
      </c>
      <c r="R671" s="1026" t="s">
        <v>1922</v>
      </c>
      <c r="S671" s="538" t="s">
        <v>709</v>
      </c>
      <c r="T671" s="538" t="s">
        <v>709</v>
      </c>
      <c r="U671" s="87">
        <v>5065</v>
      </c>
      <c r="V671" s="858"/>
      <c r="W671" s="437"/>
      <c r="X671" s="538"/>
      <c r="Y671" s="551"/>
      <c r="Z671" s="538"/>
      <c r="AA671" s="538"/>
      <c r="AB671" s="21"/>
      <c r="AC671" s="569" t="s">
        <v>116</v>
      </c>
      <c r="AD671" s="1149" t="s">
        <v>709</v>
      </c>
      <c r="AE671" s="580"/>
      <c r="AF671" s="580"/>
      <c r="AG671" s="580"/>
      <c r="AH671" s="542"/>
      <c r="AI671" s="1028"/>
      <c r="AJ671" s="1029"/>
      <c r="AK671" s="1029"/>
      <c r="AL671" s="1030"/>
      <c r="AM671" s="542" t="s">
        <v>709</v>
      </c>
      <c r="AN671" s="924"/>
      <c r="AO671" s="925"/>
      <c r="AP671" s="926"/>
      <c r="AQ671" s="926"/>
      <c r="AR671" s="926"/>
      <c r="AS671" s="926"/>
      <c r="AT671" s="926"/>
      <c r="AU671" s="926"/>
      <c r="AV671" s="926"/>
      <c r="AW671" s="927"/>
      <c r="AX671" s="926"/>
      <c r="AY671" s="1538" t="s">
        <v>29</v>
      </c>
      <c r="AZ671" s="1530"/>
      <c r="BA671" s="1031">
        <v>7</v>
      </c>
      <c r="BB671" s="644"/>
      <c r="BC671" s="544"/>
      <c r="BD671" s="544"/>
      <c r="BE671" s="544"/>
      <c r="BF671" s="544"/>
      <c r="BG671" s="544"/>
      <c r="BH671" s="741"/>
      <c r="BI671" s="547" t="s">
        <v>709</v>
      </c>
      <c r="BJ671" s="547" t="s">
        <v>116</v>
      </c>
      <c r="BK671" s="547" t="s">
        <v>709</v>
      </c>
      <c r="BL671" s="547" t="s">
        <v>116</v>
      </c>
      <c r="BM671" s="547" t="s">
        <v>709</v>
      </c>
      <c r="BN671" s="547" t="s">
        <v>709</v>
      </c>
      <c r="BO671" s="547" t="s">
        <v>709</v>
      </c>
      <c r="BP671" s="547" t="s">
        <v>709</v>
      </c>
      <c r="BQ671" s="547" t="s">
        <v>709</v>
      </c>
      <c r="BR671" s="547" t="s">
        <v>709</v>
      </c>
      <c r="BS671" s="547">
        <v>315</v>
      </c>
      <c r="BT671" s="547" t="s">
        <v>745</v>
      </c>
      <c r="BU671" s="547">
        <v>1</v>
      </c>
      <c r="BV671" s="547" t="s">
        <v>745</v>
      </c>
      <c r="BW671" s="547" t="s">
        <v>709</v>
      </c>
      <c r="BX671" s="547">
        <v>1</v>
      </c>
      <c r="BY671" s="547" t="s">
        <v>745</v>
      </c>
      <c r="BZ671" s="547" t="s">
        <v>709</v>
      </c>
      <c r="CA671" s="483" t="s">
        <v>769</v>
      </c>
      <c r="CB671" s="547">
        <v>669</v>
      </c>
      <c r="CC671" s="1481" t="b">
        <v>1</v>
      </c>
      <c r="CD671" t="str">
        <f>Table15[[#This Row],[Engineering Number]]&amp;Table15[[#This Row],[WO Number]]&amp;Table15[[#This Row],[Date Assigned to Designer]]&amp;Table15[[#This Row],[Date Completed]]</f>
        <v>RS99310109704474744755</v>
      </c>
    </row>
    <row r="672" spans="1:82" customFormat="1" ht="15" customHeight="1" x14ac:dyDescent="0.25">
      <c r="A672">
        <v>2022</v>
      </c>
      <c r="B672" s="8" t="s">
        <v>4</v>
      </c>
      <c r="C672" s="8" t="s">
        <v>3590</v>
      </c>
      <c r="D672" s="8">
        <v>1210511</v>
      </c>
      <c r="E672" s="8" t="s">
        <v>1428</v>
      </c>
      <c r="F672" s="8" t="s">
        <v>738</v>
      </c>
      <c r="G672" s="8" t="s">
        <v>23</v>
      </c>
      <c r="H672" s="8" t="s">
        <v>4646</v>
      </c>
      <c r="I672" s="642">
        <v>44736</v>
      </c>
      <c r="J672" s="175" t="s">
        <v>4110</v>
      </c>
      <c r="K672" s="97">
        <v>44761</v>
      </c>
      <c r="L672" s="16">
        <f>IF(ISTEXT(Table15[[#This Row],[Engineering Approved Design Date]]),Table15[[#This Row],[Date Completed]]-Table15[[#This Row],[Date Assigned to Designer]],Table15[[#This Row],[Engineering Approved Design Date]]-Table15[[#This Row],[Date Completed]])</f>
        <v>25</v>
      </c>
      <c r="M672" t="s">
        <v>4647</v>
      </c>
      <c r="N672" s="642" t="s">
        <v>120</v>
      </c>
      <c r="O672" s="1025">
        <v>44774</v>
      </c>
      <c r="P672" s="21" t="s">
        <v>739</v>
      </c>
      <c r="Q672" s="1151">
        <f>Table15[[#This Row],[KH Hourly Effort]]</f>
        <v>8757.5</v>
      </c>
      <c r="R672" s="1026" t="s">
        <v>1922</v>
      </c>
      <c r="S672" s="538" t="s">
        <v>709</v>
      </c>
      <c r="T672" s="538" t="s">
        <v>709</v>
      </c>
      <c r="U672" s="87">
        <v>8757.5</v>
      </c>
      <c r="V672" s="858"/>
      <c r="W672" s="437"/>
      <c r="X672" s="538"/>
      <c r="Y672" s="551"/>
      <c r="Z672" s="538"/>
      <c r="AA672" s="538"/>
      <c r="AB672" s="341" t="s">
        <v>29</v>
      </c>
      <c r="AC672" s="568" t="s">
        <v>709</v>
      </c>
      <c r="AD672" s="1157" t="s">
        <v>29</v>
      </c>
      <c r="AE672" s="579"/>
      <c r="AF672" s="579"/>
      <c r="AG672" s="579"/>
      <c r="AH672" s="553"/>
      <c r="AI672" s="1036"/>
      <c r="AJ672" s="1037"/>
      <c r="AK672" s="1037"/>
      <c r="AL672" s="1038"/>
      <c r="AM672" s="542" t="s">
        <v>709</v>
      </c>
      <c r="AN672" s="924"/>
      <c r="AO672" s="925"/>
      <c r="AP672" s="926"/>
      <c r="AQ672" s="926"/>
      <c r="AR672" s="926"/>
      <c r="AS672" s="926"/>
      <c r="AT672" s="926"/>
      <c r="AU672" s="926"/>
      <c r="AV672" s="926"/>
      <c r="AW672" s="927"/>
      <c r="AX672" s="926"/>
      <c r="AY672" s="1538" t="s">
        <v>29</v>
      </c>
      <c r="AZ672" s="1530"/>
      <c r="BA672" s="1031" t="s">
        <v>29</v>
      </c>
      <c r="BB672" s="644" t="s">
        <v>29</v>
      </c>
      <c r="BC672" s="544" t="s">
        <v>29</v>
      </c>
      <c r="BD672" s="544"/>
      <c r="BE672" s="544"/>
      <c r="BF672" s="544"/>
      <c r="BG672" s="544"/>
      <c r="BH672" s="741"/>
      <c r="BI672" s="547" t="s">
        <v>709</v>
      </c>
      <c r="BJ672" s="547" t="s">
        <v>709</v>
      </c>
      <c r="BK672" s="547" t="s">
        <v>709</v>
      </c>
      <c r="BL672" s="547" t="s">
        <v>116</v>
      </c>
      <c r="BM672" s="547" t="s">
        <v>709</v>
      </c>
      <c r="BN672" s="547" t="s">
        <v>709</v>
      </c>
      <c r="BO672" s="547" t="s">
        <v>709</v>
      </c>
      <c r="BP672" s="547" t="s">
        <v>709</v>
      </c>
      <c r="BQ672" s="547" t="s">
        <v>709</v>
      </c>
      <c r="BR672" s="547">
        <v>793</v>
      </c>
      <c r="BS672" s="547" t="s">
        <v>709</v>
      </c>
      <c r="BT672" s="547" t="s">
        <v>709</v>
      </c>
      <c r="BU672" s="547" t="s">
        <v>709</v>
      </c>
      <c r="BV672" s="547" t="s">
        <v>745</v>
      </c>
      <c r="BW672" s="547" t="s">
        <v>709</v>
      </c>
      <c r="BX672" s="547" t="s">
        <v>745</v>
      </c>
      <c r="BY672" s="547" t="s">
        <v>745</v>
      </c>
      <c r="BZ672" s="547" t="s">
        <v>709</v>
      </c>
      <c r="CA672" s="483"/>
      <c r="CB672" s="547">
        <v>670</v>
      </c>
      <c r="CC672" s="1481" t="b">
        <v>1</v>
      </c>
      <c r="CD672" t="str">
        <f>Table15[[#This Row],[Engineering Number]]&amp;Table15[[#This Row],[WO Number]]&amp;Table15[[#This Row],[Date Assigned to Designer]]&amp;Table15[[#This Row],[Date Completed]]</f>
        <v>N1467612105114473644761</v>
      </c>
    </row>
    <row r="673" spans="1:82" customFormat="1" ht="15" customHeight="1" x14ac:dyDescent="0.25">
      <c r="A673">
        <v>2022</v>
      </c>
      <c r="B673" s="8" t="s">
        <v>4</v>
      </c>
      <c r="C673" s="8" t="s">
        <v>4604</v>
      </c>
      <c r="D673" s="8" t="s">
        <v>4605</v>
      </c>
      <c r="E673" s="8" t="s">
        <v>2511</v>
      </c>
      <c r="F673" s="8" t="s">
        <v>738</v>
      </c>
      <c r="G673" s="8" t="s">
        <v>35</v>
      </c>
      <c r="H673" s="8" t="s">
        <v>4189</v>
      </c>
      <c r="I673" s="642">
        <v>44749</v>
      </c>
      <c r="J673" s="175" t="s">
        <v>2052</v>
      </c>
      <c r="K673" s="97">
        <v>44762</v>
      </c>
      <c r="L673" s="16">
        <f>IF(ISTEXT(Table15[[#This Row],[Engineering Approved Design Date]]),Table15[[#This Row],[Date Completed]]-Table15[[#This Row],[Date Assigned to Designer]],Table15[[#This Row],[Engineering Approved Design Date]]-Table15[[#This Row],[Date Completed]])</f>
        <v>13</v>
      </c>
      <c r="M673" t="s">
        <v>4649</v>
      </c>
      <c r="N673" s="642" t="s">
        <v>120</v>
      </c>
      <c r="O673" s="1025">
        <v>44774</v>
      </c>
      <c r="P673" s="21" t="s">
        <v>739</v>
      </c>
      <c r="Q673" s="1151">
        <f>Table15[[#This Row],[KH Hourly Effort]]</f>
        <v>987.5</v>
      </c>
      <c r="R673" s="1026" t="s">
        <v>1922</v>
      </c>
      <c r="S673" s="538" t="s">
        <v>709</v>
      </c>
      <c r="T673" s="538" t="s">
        <v>709</v>
      </c>
      <c r="U673" s="300">
        <v>987.5</v>
      </c>
      <c r="V673" s="858"/>
      <c r="W673" s="437"/>
      <c r="X673" s="538"/>
      <c r="Y673" s="551"/>
      <c r="Z673" s="538"/>
      <c r="AA673" s="538"/>
      <c r="AB673" s="21"/>
      <c r="AC673" s="569"/>
      <c r="AD673" s="1149" t="s">
        <v>709</v>
      </c>
      <c r="AE673" s="580"/>
      <c r="AF673" s="580"/>
      <c r="AG673" s="580"/>
      <c r="AH673" s="542"/>
      <c r="AI673" s="1028"/>
      <c r="AJ673" s="1029"/>
      <c r="AK673" s="1029"/>
      <c r="AL673" s="1030"/>
      <c r="AM673" s="542" t="s">
        <v>709</v>
      </c>
      <c r="AN673" s="924"/>
      <c r="AO673" s="925"/>
      <c r="AP673" s="926"/>
      <c r="AQ673" s="926"/>
      <c r="AR673" s="926"/>
      <c r="AS673" s="926"/>
      <c r="AT673" s="926"/>
      <c r="AU673" s="926"/>
      <c r="AV673" s="926"/>
      <c r="AW673" s="927"/>
      <c r="AX673" s="926"/>
      <c r="AY673" s="1538" t="s">
        <v>29</v>
      </c>
      <c r="AZ673" s="1530"/>
      <c r="BA673" s="1031" t="s">
        <v>4650</v>
      </c>
      <c r="BB673" s="644" t="s">
        <v>4651</v>
      </c>
      <c r="BC673" s="544"/>
      <c r="BD673" s="544"/>
      <c r="BE673" s="544"/>
      <c r="BF673" s="544"/>
      <c r="BG673" s="544"/>
      <c r="BH673" s="741" t="s">
        <v>4652</v>
      </c>
      <c r="BI673" s="547" t="s">
        <v>709</v>
      </c>
      <c r="BJ673" s="547" t="s">
        <v>709</v>
      </c>
      <c r="BK673" s="547" t="s">
        <v>709</v>
      </c>
      <c r="BL673" s="547" t="s">
        <v>116</v>
      </c>
      <c r="BM673" s="547" t="s">
        <v>709</v>
      </c>
      <c r="BN673" s="547" t="s">
        <v>709</v>
      </c>
      <c r="BO673" s="547">
        <v>4</v>
      </c>
      <c r="BP673" s="547">
        <v>54</v>
      </c>
      <c r="BQ673" s="547">
        <v>365</v>
      </c>
      <c r="BR673" s="547">
        <v>376</v>
      </c>
      <c r="BS673" s="547" t="s">
        <v>709</v>
      </c>
      <c r="BT673" s="547" t="s">
        <v>745</v>
      </c>
      <c r="BU673" s="547" t="s">
        <v>709</v>
      </c>
      <c r="BV673" s="547" t="s">
        <v>745</v>
      </c>
      <c r="BW673" s="547" t="s">
        <v>709</v>
      </c>
      <c r="BX673" s="547" t="s">
        <v>745</v>
      </c>
      <c r="BY673" s="547" t="s">
        <v>745</v>
      </c>
      <c r="BZ673" s="547" t="s">
        <v>709</v>
      </c>
      <c r="CA673" s="483"/>
      <c r="CB673" s="547">
        <v>671</v>
      </c>
      <c r="CC673" s="1481" t="b">
        <v>1</v>
      </c>
      <c r="CD673" t="str">
        <f>Table15[[#This Row],[Engineering Number]]&amp;Table15[[#This Row],[WO Number]]&amp;Table15[[#This Row],[Date Assigned to Designer]]&amp;Table15[[#This Row],[Date Completed]]</f>
        <v>N1402712113684474944762</v>
      </c>
    </row>
    <row r="674" spans="1:82" customFormat="1" ht="15" customHeight="1" x14ac:dyDescent="0.25">
      <c r="A674">
        <v>2022</v>
      </c>
      <c r="B674" s="8" t="s">
        <v>769</v>
      </c>
      <c r="C674" s="8" t="s">
        <v>308</v>
      </c>
      <c r="D674" s="8" t="s">
        <v>1295</v>
      </c>
      <c r="E674" s="8" t="s">
        <v>309</v>
      </c>
      <c r="F674" s="8" t="s">
        <v>752</v>
      </c>
      <c r="G674" s="8" t="s">
        <v>24</v>
      </c>
      <c r="H674" s="8" t="s">
        <v>2611</v>
      </c>
      <c r="I674" s="642">
        <v>44755</v>
      </c>
      <c r="J674" s="175" t="s">
        <v>2612</v>
      </c>
      <c r="K674" s="97">
        <v>44762</v>
      </c>
      <c r="L674" s="16">
        <f>IF(ISTEXT(Table15[[#This Row],[Engineering Approved Design Date]]),Table15[[#This Row],[Date Completed]]-Table15[[#This Row],[Date Assigned to Designer]],Table15[[#This Row],[Engineering Approved Design Date]]-Table15[[#This Row],[Date Completed]])</f>
        <v>7</v>
      </c>
      <c r="M674" t="s">
        <v>3652</v>
      </c>
      <c r="N674" s="642" t="s">
        <v>120</v>
      </c>
      <c r="O674" s="1025">
        <v>44774</v>
      </c>
      <c r="P674" s="21" t="s">
        <v>739</v>
      </c>
      <c r="Q674" s="1151">
        <f>Table15[[#This Row],[KH Hourly Effort]]</f>
        <v>885</v>
      </c>
      <c r="R674" s="1026" t="s">
        <v>1922</v>
      </c>
      <c r="S674" s="538"/>
      <c r="T674" s="538"/>
      <c r="U674" s="300">
        <v>885</v>
      </c>
      <c r="V674" s="858"/>
      <c r="W674" s="437"/>
      <c r="X674" s="538"/>
      <c r="Y674" s="551"/>
      <c r="Z674" s="538"/>
      <c r="AA674" s="538"/>
      <c r="AB674" s="21"/>
      <c r="AC674" s="569" t="s">
        <v>709</v>
      </c>
      <c r="AD674" s="1149"/>
      <c r="AE674" s="580"/>
      <c r="AF674" s="580"/>
      <c r="AG674" s="580"/>
      <c r="AH674" s="542"/>
      <c r="AI674" s="1028"/>
      <c r="AJ674" s="1029"/>
      <c r="AK674" s="1029"/>
      <c r="AL674" s="1030"/>
      <c r="AM674" s="542" t="s">
        <v>709</v>
      </c>
      <c r="AN674" s="924"/>
      <c r="AO674" s="925"/>
      <c r="AP674" s="926"/>
      <c r="AQ674" s="926"/>
      <c r="AR674" s="926"/>
      <c r="AS674" s="926"/>
      <c r="AT674" s="926"/>
      <c r="AU674" s="926"/>
      <c r="AV674" s="926"/>
      <c r="AW674" s="927"/>
      <c r="AX674" s="926"/>
      <c r="AY674" s="1538" t="s">
        <v>29</v>
      </c>
      <c r="AZ674" s="1530"/>
      <c r="BA674" s="1031"/>
      <c r="BB674" s="644"/>
      <c r="BC674" s="544"/>
      <c r="BD674" s="544"/>
      <c r="BE674" s="544"/>
      <c r="BF674" s="544"/>
      <c r="BG674" s="544"/>
      <c r="BH674" s="741"/>
      <c r="BI674" s="547" t="s">
        <v>709</v>
      </c>
      <c r="BJ674" s="547" t="s">
        <v>709</v>
      </c>
      <c r="BK674" s="547" t="s">
        <v>116</v>
      </c>
      <c r="BL674" s="547" t="s">
        <v>116</v>
      </c>
      <c r="BM674" s="547" t="s">
        <v>709</v>
      </c>
      <c r="BN674" s="547" t="s">
        <v>709</v>
      </c>
      <c r="BO674" s="547" t="s">
        <v>709</v>
      </c>
      <c r="BP674" s="547" t="s">
        <v>709</v>
      </c>
      <c r="BQ674" s="547" t="s">
        <v>709</v>
      </c>
      <c r="BR674" s="547" t="s">
        <v>709</v>
      </c>
      <c r="BS674" s="547" t="s">
        <v>116</v>
      </c>
      <c r="BT674" s="547" t="s">
        <v>745</v>
      </c>
      <c r="BU674" s="547" t="s">
        <v>116</v>
      </c>
      <c r="BV674" s="547" t="s">
        <v>745</v>
      </c>
      <c r="BW674" s="547" t="s">
        <v>709</v>
      </c>
      <c r="BX674" s="547" t="s">
        <v>745</v>
      </c>
      <c r="BY674" s="547" t="s">
        <v>745</v>
      </c>
      <c r="BZ674" s="547" t="s">
        <v>709</v>
      </c>
      <c r="CA674" s="483" t="s">
        <v>769</v>
      </c>
      <c r="CB674" s="547">
        <v>672</v>
      </c>
      <c r="CC674" s="1481" t="b">
        <v>1</v>
      </c>
      <c r="CD674" t="str">
        <f>Table15[[#This Row],[Engineering Number]]&amp;Table15[[#This Row],[WO Number]]&amp;Table15[[#This Row],[Date Assigned to Designer]]&amp;Table15[[#This Row],[Date Completed]]</f>
        <v>RS99610110904475544762</v>
      </c>
    </row>
    <row r="675" spans="1:82" customFormat="1" ht="15" customHeight="1" x14ac:dyDescent="0.25">
      <c r="A675">
        <v>2022</v>
      </c>
      <c r="B675" s="8" t="s">
        <v>4</v>
      </c>
      <c r="C675" s="8" t="s">
        <v>1310</v>
      </c>
      <c r="D675" s="8" t="s">
        <v>1311</v>
      </c>
      <c r="E675" s="8" t="s">
        <v>183</v>
      </c>
      <c r="F675" s="8" t="s">
        <v>738</v>
      </c>
      <c r="G675" s="8" t="s">
        <v>23</v>
      </c>
      <c r="H675" s="8" t="s">
        <v>59</v>
      </c>
      <c r="I675" s="642">
        <v>44693</v>
      </c>
      <c r="J675" s="97">
        <v>44771</v>
      </c>
      <c r="K675" s="97">
        <v>44763</v>
      </c>
      <c r="L675" s="16">
        <f>IF(ISTEXT(Table15[[#This Row],[Engineering Approved Design Date]]),Table15[[#This Row],[Date Completed]]-Table15[[#This Row],[Date Assigned to Designer]],Table15[[#This Row],[Engineering Approved Design Date]]-Table15[[#This Row],[Date Completed]])</f>
        <v>8</v>
      </c>
      <c r="M675" s="642"/>
      <c r="N675" s="642" t="s">
        <v>120</v>
      </c>
      <c r="O675" s="1025">
        <f>Table15[[#This Row],[Date Completed]]</f>
        <v>44763</v>
      </c>
      <c r="P675" s="21" t="s">
        <v>739</v>
      </c>
      <c r="Q675" s="1151">
        <f>R675*AA675</f>
        <v>21583.229000000003</v>
      </c>
      <c r="R675" s="1039">
        <v>0.1</v>
      </c>
      <c r="S675" s="538" t="s">
        <v>709</v>
      </c>
      <c r="T675" s="538" t="s">
        <v>709</v>
      </c>
      <c r="U675" s="87" t="s">
        <v>709</v>
      </c>
      <c r="V675" s="857">
        <v>738</v>
      </c>
      <c r="W675" s="440"/>
      <c r="X675" s="551">
        <v>199493.89</v>
      </c>
      <c r="Y675" s="551"/>
      <c r="Z675" s="551">
        <v>16338.4</v>
      </c>
      <c r="AA675" s="551">
        <f>Table15[[#This Row],[PCTS Investment Amount]]+Table15[[#This Row],[PCTS Retirement Amount]]</f>
        <v>215832.29</v>
      </c>
      <c r="AB675" s="341"/>
      <c r="AC675" s="568" t="s">
        <v>709</v>
      </c>
      <c r="AD675" s="1157"/>
      <c r="AE675" s="579"/>
      <c r="AF675" s="579"/>
      <c r="AG675" s="579"/>
      <c r="AH675" s="553"/>
      <c r="AI675" s="1036"/>
      <c r="AJ675" s="1037"/>
      <c r="AK675" s="1037"/>
      <c r="AL675" s="1038"/>
      <c r="AM675" s="536" t="s">
        <v>116</v>
      </c>
      <c r="AN675" s="903" t="s">
        <v>709</v>
      </c>
      <c r="AO675" s="1536" t="s">
        <v>115</v>
      </c>
      <c r="AP675" s="1537"/>
      <c r="AQ675" s="1537"/>
      <c r="AR675" s="1537"/>
      <c r="AS675" s="888">
        <f>IF(Table15[[#This Row],[PCTS Approved]]="N",0,Table15[[#This Row],[Investment Amount (1'#'#'#'#'#)]]+Table15[[#This Row],[Retirement Amount (3'#'#'#'#'#)]])</f>
        <v>0</v>
      </c>
      <c r="AT675" s="888">
        <f>IF(Table15[[#This Row],[Approved Construction Cost]]=0,0,Table15[[#This Row],[Approved Construction Cost]]-Table15[[#This Row],[Construction Cost to Bill From]])</f>
        <v>0</v>
      </c>
      <c r="AU675" s="888">
        <f>IFERROR(Table15[[#This Row],[Difference in Construction Cost]]*Table15[[#This Row],[Rate]],Table15[[#This Row],[Difference in Construction Cost]]*0.085)</f>
        <v>0</v>
      </c>
      <c r="AV675" s="905"/>
      <c r="AW675" s="1509"/>
      <c r="AX675" s="888"/>
      <c r="AY675" s="636" t="s">
        <v>709</v>
      </c>
      <c r="AZ675" s="333">
        <v>69</v>
      </c>
      <c r="BA675" s="859" t="s">
        <v>1312</v>
      </c>
      <c r="BB675" s="644" t="s">
        <v>1313</v>
      </c>
      <c r="BC675" s="544" t="s">
        <v>709</v>
      </c>
      <c r="BD675" s="544" t="s">
        <v>709</v>
      </c>
      <c r="BE675" s="544" t="s">
        <v>1314</v>
      </c>
      <c r="BF675" s="544" t="s">
        <v>709</v>
      </c>
      <c r="BG675" s="544" t="s">
        <v>709</v>
      </c>
      <c r="BH675" s="741"/>
      <c r="BI675" s="547" t="s">
        <v>709</v>
      </c>
      <c r="BJ675" s="547" t="s">
        <v>709</v>
      </c>
      <c r="BK675" s="547" t="s">
        <v>709</v>
      </c>
      <c r="BL675" s="547" t="s">
        <v>116</v>
      </c>
      <c r="BM675" s="547" t="s">
        <v>709</v>
      </c>
      <c r="BN675" s="547" t="s">
        <v>709</v>
      </c>
      <c r="BO675" s="547" t="s">
        <v>709</v>
      </c>
      <c r="BP675" s="547" t="s">
        <v>709</v>
      </c>
      <c r="BQ675" s="547" t="s">
        <v>709</v>
      </c>
      <c r="BR675" s="547" t="s">
        <v>709</v>
      </c>
      <c r="BS675" s="547">
        <v>738</v>
      </c>
      <c r="BT675" s="547" t="s">
        <v>745</v>
      </c>
      <c r="BU675" s="547" t="s">
        <v>709</v>
      </c>
      <c r="BV675" s="547" t="s">
        <v>745</v>
      </c>
      <c r="BW675" s="547" t="s">
        <v>709</v>
      </c>
      <c r="BX675" s="547" t="s">
        <v>709</v>
      </c>
      <c r="BY675" s="547" t="s">
        <v>745</v>
      </c>
      <c r="BZ675" s="547" t="s">
        <v>709</v>
      </c>
      <c r="CA675" s="483"/>
      <c r="CB675" s="547">
        <v>673</v>
      </c>
      <c r="CC675" s="1481" t="b">
        <v>1</v>
      </c>
      <c r="CD675" t="str">
        <f>Table15[[#This Row],[Engineering Number]]&amp;Table15[[#This Row],[WO Number]]&amp;Table15[[#This Row],[Date Assigned to Designer]]&amp;Table15[[#This Row],[Date Completed]]</f>
        <v>M1325212115314469344763</v>
      </c>
    </row>
    <row r="676" spans="1:82" customFormat="1" ht="15" customHeight="1" x14ac:dyDescent="0.25">
      <c r="A676">
        <v>2022</v>
      </c>
      <c r="B676" s="8" t="s">
        <v>4</v>
      </c>
      <c r="C676" s="8" t="s">
        <v>121</v>
      </c>
      <c r="D676" s="8">
        <v>120391</v>
      </c>
      <c r="E676" s="8" t="s">
        <v>122</v>
      </c>
      <c r="F676" s="8" t="s">
        <v>919</v>
      </c>
      <c r="G676" s="8" t="s">
        <v>36</v>
      </c>
      <c r="H676" s="1056" t="s">
        <v>2723</v>
      </c>
      <c r="I676" s="642">
        <v>44678</v>
      </c>
      <c r="J676" s="175" t="s">
        <v>2724</v>
      </c>
      <c r="K676" s="97">
        <v>44764</v>
      </c>
      <c r="L676" s="16">
        <f>IF(ISTEXT(Table15[[#This Row],[Engineering Approved Design Date]]),Table15[[#This Row],[Date Completed]]-Table15[[#This Row],[Date Assigned to Designer]],Table15[[#This Row],[Engineering Approved Design Date]]-Table15[[#This Row],[Date Completed]])</f>
        <v>86</v>
      </c>
      <c r="M676" t="s">
        <v>4659</v>
      </c>
      <c r="N676" s="642" t="s">
        <v>120</v>
      </c>
      <c r="O676" s="1025">
        <f>Table15[[#This Row],[Date Completed]]</f>
        <v>44764</v>
      </c>
      <c r="P676" s="21" t="s">
        <v>739</v>
      </c>
      <c r="Q676" s="1151">
        <f>Table15[[#This Row],[KH Hourly Effort]]</f>
        <v>2187.5</v>
      </c>
      <c r="R676" s="1026" t="s">
        <v>1922</v>
      </c>
      <c r="S676" s="538" t="s">
        <v>709</v>
      </c>
      <c r="T676" s="538" t="s">
        <v>709</v>
      </c>
      <c r="U676" s="87">
        <v>2187.5</v>
      </c>
      <c r="V676" s="858"/>
      <c r="W676" s="437"/>
      <c r="X676" s="538"/>
      <c r="Y676" s="551"/>
      <c r="Z676" s="538"/>
      <c r="AA676" s="538"/>
      <c r="AB676" s="21"/>
      <c r="AC676" s="569"/>
      <c r="AD676" s="1149"/>
      <c r="AE676" s="580"/>
      <c r="AF676" s="580"/>
      <c r="AG676" s="580"/>
      <c r="AH676" s="542"/>
      <c r="AI676" s="1028"/>
      <c r="AJ676" s="1029"/>
      <c r="AK676" s="1029"/>
      <c r="AL676" s="1030"/>
      <c r="AM676" s="542" t="s">
        <v>709</v>
      </c>
      <c r="AN676" s="924"/>
      <c r="AO676" s="925"/>
      <c r="AP676" s="926"/>
      <c r="AQ676" s="926"/>
      <c r="AR676" s="926"/>
      <c r="AS676" s="926"/>
      <c r="AT676" s="926"/>
      <c r="AU676" s="926"/>
      <c r="AV676" s="926"/>
      <c r="AW676" s="927"/>
      <c r="AX676" s="926"/>
      <c r="AY676" s="1538" t="s">
        <v>29</v>
      </c>
      <c r="AZ676" s="1530"/>
      <c r="BA676" s="1031"/>
      <c r="BB676" s="644"/>
      <c r="BC676" s="544"/>
      <c r="BD676" s="544"/>
      <c r="BE676" s="544"/>
      <c r="BF676" s="544"/>
      <c r="BG676" s="544"/>
      <c r="BH676" s="741"/>
      <c r="BI676" s="547" t="s">
        <v>709</v>
      </c>
      <c r="BJ676" s="547" t="s">
        <v>709</v>
      </c>
      <c r="BK676" s="547" t="s">
        <v>709</v>
      </c>
      <c r="BL676" s="547" t="s">
        <v>116</v>
      </c>
      <c r="BM676" s="547" t="s">
        <v>709</v>
      </c>
      <c r="BN676" s="547" t="s">
        <v>709</v>
      </c>
      <c r="BO676" s="547" t="s">
        <v>709</v>
      </c>
      <c r="BP676" s="547">
        <v>3618</v>
      </c>
      <c r="BQ676" s="547">
        <v>2805</v>
      </c>
      <c r="BR676" s="547">
        <v>12</v>
      </c>
      <c r="BS676" s="547">
        <v>291</v>
      </c>
      <c r="BT676" s="547" t="s">
        <v>745</v>
      </c>
      <c r="BU676" s="547" t="s">
        <v>709</v>
      </c>
      <c r="BV676" s="547" t="s">
        <v>745</v>
      </c>
      <c r="BW676" s="547" t="s">
        <v>709</v>
      </c>
      <c r="BX676" s="547" t="s">
        <v>745</v>
      </c>
      <c r="BY676" s="547" t="s">
        <v>745</v>
      </c>
      <c r="BZ676" s="547" t="s">
        <v>709</v>
      </c>
      <c r="CA676" s="483"/>
      <c r="CB676" s="547">
        <v>675</v>
      </c>
      <c r="CC676" s="1481" t="b">
        <v>1</v>
      </c>
      <c r="CD676" t="str">
        <f>Table15[[#This Row],[Engineering Number]]&amp;Table15[[#This Row],[WO Number]]&amp;Table15[[#This Row],[Date Assigned to Designer]]&amp;Table15[[#This Row],[Date Completed]]</f>
        <v>M106931203914467844764</v>
      </c>
    </row>
    <row r="677" spans="1:82" customFormat="1" ht="15" customHeight="1" x14ac:dyDescent="0.25">
      <c r="A677">
        <v>2022</v>
      </c>
      <c r="B677" s="8" t="s">
        <v>1108</v>
      </c>
      <c r="C677" s="8" t="s">
        <v>1315</v>
      </c>
      <c r="D677" s="8" t="s">
        <v>1316</v>
      </c>
      <c r="E677" s="8" t="s">
        <v>818</v>
      </c>
      <c r="F677" s="8" t="s">
        <v>752</v>
      </c>
      <c r="G677" s="8" t="s">
        <v>34</v>
      </c>
      <c r="H677" s="8" t="s">
        <v>59</v>
      </c>
      <c r="I677" s="642">
        <v>44480</v>
      </c>
      <c r="J677" s="18">
        <v>44764</v>
      </c>
      <c r="K677" s="97">
        <v>44764</v>
      </c>
      <c r="L677" s="16">
        <f>IF(ISTEXT(Table15[[#This Row],[Engineering Approved Design Date]]),Table15[[#This Row],[Date Completed]]-Table15[[#This Row],[Date Assigned to Designer]],Table15[[#This Row],[Engineering Approved Design Date]]-Table15[[#This Row],[Date Completed]])</f>
        <v>0</v>
      </c>
      <c r="M677" s="642"/>
      <c r="N677" s="642" t="s">
        <v>120</v>
      </c>
      <c r="O677" s="1025">
        <f>Table15[[#This Row],[Date Completed]]</f>
        <v>44764</v>
      </c>
      <c r="P677" s="21" t="s">
        <v>120</v>
      </c>
      <c r="Q677" s="1061">
        <f>(Table15[[#This Row],[Construction Cost to Bill From]]*0.085)+7750</f>
        <v>80510.001700000008</v>
      </c>
      <c r="R677" s="1026" t="s">
        <v>1055</v>
      </c>
      <c r="S677" s="538" t="s">
        <v>709</v>
      </c>
      <c r="T677" s="538" t="s">
        <v>709</v>
      </c>
      <c r="U677" s="87" t="s">
        <v>709</v>
      </c>
      <c r="V677" s="858">
        <v>506</v>
      </c>
      <c r="W677" s="437"/>
      <c r="X677" s="538">
        <v>712423.59</v>
      </c>
      <c r="Y677" s="551"/>
      <c r="Z677" s="538">
        <v>143576.43</v>
      </c>
      <c r="AA677" s="551">
        <f>Table15[[#This Row],[PCTS Investment Amount]]+Table15[[#This Row],[PCTS Retirement Amount]]</f>
        <v>856000.02</v>
      </c>
      <c r="AB677" s="341"/>
      <c r="AC677" s="568" t="s">
        <v>1177</v>
      </c>
      <c r="AD677" s="1157" t="s">
        <v>29</v>
      </c>
      <c r="AE677" s="579"/>
      <c r="AF677" s="579"/>
      <c r="AG677" s="579"/>
      <c r="AH677" s="553"/>
      <c r="AI677" s="1036"/>
      <c r="AJ677" s="1037"/>
      <c r="AK677" s="1037"/>
      <c r="AL677" s="1038"/>
      <c r="AM677" s="536" t="s">
        <v>116</v>
      </c>
      <c r="AN677" s="903" t="s">
        <v>709</v>
      </c>
      <c r="AO677" s="1536">
        <v>11038425</v>
      </c>
      <c r="AP677" s="1537"/>
      <c r="AQ677" s="1537"/>
      <c r="AR677" s="1537"/>
      <c r="AS677" s="888">
        <f>IF(Table15[[#This Row],[PCTS Approved]]="N",0,Table15[[#This Row],[Investment Amount (1'#'#'#'#'#)]]+Table15[[#This Row],[Retirement Amount (3'#'#'#'#'#)]])</f>
        <v>0</v>
      </c>
      <c r="AT677" s="888">
        <f>IF(Table15[[#This Row],[Approved Construction Cost]]=0,0,Table15[[#This Row],[Approved Construction Cost]]-Table15[[#This Row],[Construction Cost to Bill From]])</f>
        <v>0</v>
      </c>
      <c r="AU677" s="888">
        <f>IFERROR(Table15[[#This Row],[Difference in Construction Cost]]*Table15[[#This Row],[Rate]],Table15[[#This Row],[Difference in Construction Cost]]*0.085)</f>
        <v>0</v>
      </c>
      <c r="AV677" s="905"/>
      <c r="AW677" s="1509"/>
      <c r="AX677" s="888"/>
      <c r="AY677" s="636" t="s">
        <v>709</v>
      </c>
      <c r="AZ677" s="333">
        <v>185</v>
      </c>
      <c r="BA677" s="859" t="s">
        <v>1317</v>
      </c>
      <c r="BB677" s="644" t="s">
        <v>1318</v>
      </c>
      <c r="BC677" s="544" t="s">
        <v>709</v>
      </c>
      <c r="BD677" s="544" t="s">
        <v>709</v>
      </c>
      <c r="BE677" s="544" t="s">
        <v>822</v>
      </c>
      <c r="BF677" s="544" t="s">
        <v>709</v>
      </c>
      <c r="BG677" s="544" t="s">
        <v>709</v>
      </c>
      <c r="BH677" s="741"/>
      <c r="BI677" s="547" t="s">
        <v>709</v>
      </c>
      <c r="BJ677" s="547" t="s">
        <v>709</v>
      </c>
      <c r="BK677" s="547" t="s">
        <v>116</v>
      </c>
      <c r="BL677" s="547" t="s">
        <v>116</v>
      </c>
      <c r="BM677" s="547" t="s">
        <v>709</v>
      </c>
      <c r="BN677" s="547">
        <v>90</v>
      </c>
      <c r="BO677" s="547" t="s">
        <v>709</v>
      </c>
      <c r="BP677" s="547">
        <v>92</v>
      </c>
      <c r="BQ677" s="547">
        <v>69</v>
      </c>
      <c r="BR677" s="547" t="s">
        <v>709</v>
      </c>
      <c r="BS677" s="547" t="s">
        <v>709</v>
      </c>
      <c r="BT677" s="547">
        <v>1</v>
      </c>
      <c r="BU677" s="547" t="s">
        <v>709</v>
      </c>
      <c r="BV677" s="547" t="s">
        <v>745</v>
      </c>
      <c r="BW677" s="547">
        <v>2</v>
      </c>
      <c r="BX677" s="547">
        <v>1</v>
      </c>
      <c r="BY677" s="547" t="s">
        <v>745</v>
      </c>
      <c r="BZ677" s="547" t="s">
        <v>709</v>
      </c>
      <c r="CA677" s="483" t="s">
        <v>2</v>
      </c>
      <c r="CB677" s="547">
        <v>674</v>
      </c>
      <c r="CC677" s="1481" t="b">
        <v>1</v>
      </c>
      <c r="CD677" t="str">
        <f>Table15[[#This Row],[Engineering Number]]&amp;Table15[[#This Row],[WO Number]]&amp;Table15[[#This Row],[Date Assigned to Designer]]&amp;Table15[[#This Row],[Date Completed]]</f>
        <v>RS92310107324448044764</v>
      </c>
    </row>
    <row r="678" spans="1:82" customFormat="1" ht="15" customHeight="1" x14ac:dyDescent="0.25">
      <c r="A678">
        <v>2022</v>
      </c>
      <c r="B678" s="8" t="s">
        <v>759</v>
      </c>
      <c r="C678" s="8" t="s">
        <v>1319</v>
      </c>
      <c r="D678" s="8" t="s">
        <v>1320</v>
      </c>
      <c r="E678" s="8" t="s">
        <v>245</v>
      </c>
      <c r="F678" s="8" t="s">
        <v>752</v>
      </c>
      <c r="G678" s="8" t="s">
        <v>34</v>
      </c>
      <c r="H678" s="8" t="s">
        <v>59</v>
      </c>
      <c r="I678" s="642">
        <v>44580</v>
      </c>
      <c r="J678" s="18">
        <v>44764</v>
      </c>
      <c r="K678" s="97">
        <v>44764</v>
      </c>
      <c r="L678" s="16">
        <f>IF(ISTEXT(Table15[[#This Row],[Engineering Approved Design Date]]),Table15[[#This Row],[Date Completed]]-Table15[[#This Row],[Date Assigned to Designer]],Table15[[#This Row],[Engineering Approved Design Date]]-Table15[[#This Row],[Date Completed]])</f>
        <v>0</v>
      </c>
      <c r="M678" s="642"/>
      <c r="N678" s="642" t="s">
        <v>120</v>
      </c>
      <c r="O678" s="1025">
        <v>44774</v>
      </c>
      <c r="P678" s="21" t="s">
        <v>120</v>
      </c>
      <c r="Q678" s="1151">
        <f>(Table15[[#This Row],[Construction Cost to Bill From]]*0.085)+7750</f>
        <v>103950.74665</v>
      </c>
      <c r="R678" s="1026" t="s">
        <v>1055</v>
      </c>
      <c r="S678" s="538" t="s">
        <v>709</v>
      </c>
      <c r="T678" s="538" t="s">
        <v>709</v>
      </c>
      <c r="U678" s="87" t="s">
        <v>709</v>
      </c>
      <c r="V678" s="858">
        <v>1358</v>
      </c>
      <c r="W678" s="437"/>
      <c r="X678" s="552">
        <v>980455.18</v>
      </c>
      <c r="Y678" s="551"/>
      <c r="Z678" s="552">
        <v>151318.31</v>
      </c>
      <c r="AA678" s="551">
        <f>Table15[[#This Row],[PCTS Investment Amount]]+Table15[[#This Row],[PCTS Retirement Amount]]</f>
        <v>1131773.49</v>
      </c>
      <c r="AB678" s="341">
        <v>44768</v>
      </c>
      <c r="AC678" s="568" t="s">
        <v>1056</v>
      </c>
      <c r="AD678" s="1157" t="s">
        <v>29</v>
      </c>
      <c r="AE678" s="579"/>
      <c r="AF678" s="579"/>
      <c r="AG678" s="579"/>
      <c r="AH678" s="553"/>
      <c r="AI678" s="1036"/>
      <c r="AJ678" s="1037"/>
      <c r="AK678" s="1037"/>
      <c r="AL678" s="1038"/>
      <c r="AM678" s="536" t="s">
        <v>116</v>
      </c>
      <c r="AN678" s="903" t="s">
        <v>709</v>
      </c>
      <c r="AO678" s="1536">
        <v>11039840</v>
      </c>
      <c r="AP678" s="1537"/>
      <c r="AQ678" s="1537"/>
      <c r="AR678" s="1537"/>
      <c r="AS678" s="888">
        <f>IF(Table15[[#This Row],[PCTS Approved]]="N",0,Table15[[#This Row],[Investment Amount (1'#'#'#'#'#)]]+Table15[[#This Row],[Retirement Amount (3'#'#'#'#'#)]])</f>
        <v>0</v>
      </c>
      <c r="AT678" s="888">
        <f>IF(Table15[[#This Row],[Approved Construction Cost]]=0,0,Table15[[#This Row],[Approved Construction Cost]]-Table15[[#This Row],[Construction Cost to Bill From]])</f>
        <v>0</v>
      </c>
      <c r="AU678" s="888">
        <f>IFERROR(Table15[[#This Row],[Difference in Construction Cost]]*Table15[[#This Row],[Rate]],Table15[[#This Row],[Difference in Construction Cost]]*0.085)</f>
        <v>0</v>
      </c>
      <c r="AV678" s="905"/>
      <c r="AW678" s="1509"/>
      <c r="AX678" s="888"/>
      <c r="AY678" s="636" t="s">
        <v>709</v>
      </c>
      <c r="AZ678" s="333">
        <v>186</v>
      </c>
      <c r="BA678" s="859" t="s">
        <v>1321</v>
      </c>
      <c r="BB678" s="644" t="s">
        <v>1322</v>
      </c>
      <c r="BC678" s="544" t="s">
        <v>116</v>
      </c>
      <c r="BD678" s="544" t="s">
        <v>1140</v>
      </c>
      <c r="BE678" s="544" t="s">
        <v>709</v>
      </c>
      <c r="BF678" s="544" t="s">
        <v>1028</v>
      </c>
      <c r="BG678" s="544" t="s">
        <v>709</v>
      </c>
      <c r="BH678" s="741"/>
      <c r="BI678" s="547" t="s">
        <v>709</v>
      </c>
      <c r="BJ678" s="547" t="s">
        <v>709</v>
      </c>
      <c r="BK678" s="547" t="s">
        <v>116</v>
      </c>
      <c r="BL678" s="547" t="s">
        <v>709</v>
      </c>
      <c r="BM678" s="547" t="s">
        <v>709</v>
      </c>
      <c r="BN678" s="547" t="s">
        <v>709</v>
      </c>
      <c r="BO678" s="547" t="s">
        <v>709</v>
      </c>
      <c r="BP678" s="547">
        <v>604</v>
      </c>
      <c r="BQ678" s="547">
        <v>395</v>
      </c>
      <c r="BR678" s="547">
        <v>74</v>
      </c>
      <c r="BS678" s="547" t="s">
        <v>709</v>
      </c>
      <c r="BT678" s="547" t="s">
        <v>709</v>
      </c>
      <c r="BU678" s="547" t="s">
        <v>709</v>
      </c>
      <c r="BV678" s="547" t="s">
        <v>745</v>
      </c>
      <c r="BW678" s="547">
        <v>2</v>
      </c>
      <c r="BX678" s="547" t="s">
        <v>745</v>
      </c>
      <c r="BY678" s="547" t="s">
        <v>745</v>
      </c>
      <c r="BZ678" s="547" t="s">
        <v>709</v>
      </c>
      <c r="CA678" s="483" t="s">
        <v>2</v>
      </c>
      <c r="CB678" s="547">
        <v>677</v>
      </c>
      <c r="CC678" s="1481" t="b">
        <v>1</v>
      </c>
      <c r="CD678" t="str">
        <f>Table15[[#This Row],[Engineering Number]]&amp;Table15[[#This Row],[WO Number]]&amp;Table15[[#This Row],[Date Assigned to Designer]]&amp;Table15[[#This Row],[Date Completed]]</f>
        <v>RS93910109714458044764</v>
      </c>
    </row>
    <row r="679" spans="1:82" customFormat="1" ht="15" customHeight="1" x14ac:dyDescent="0.25">
      <c r="A679">
        <v>2021</v>
      </c>
      <c r="B679" s="8" t="s">
        <v>4</v>
      </c>
      <c r="C679" s="8" t="s">
        <v>3590</v>
      </c>
      <c r="D679" s="8" t="s">
        <v>3591</v>
      </c>
      <c r="E679" s="8" t="s">
        <v>1428</v>
      </c>
      <c r="F679" s="8" t="s">
        <v>738</v>
      </c>
      <c r="G679" s="8" t="s">
        <v>23</v>
      </c>
      <c r="H679" s="8" t="s">
        <v>59</v>
      </c>
      <c r="I679" s="642">
        <v>44720</v>
      </c>
      <c r="J679" s="97">
        <v>44778</v>
      </c>
      <c r="K679" s="97">
        <v>44764</v>
      </c>
      <c r="L679" s="16">
        <f>IF(ISTEXT(Table15[[#This Row],[Engineering Approved Design Date]]),Table15[[#This Row],[Date Completed]]-Table15[[#This Row],[Date Assigned to Designer]],Table15[[#This Row],[Engineering Approved Design Date]]-Table15[[#This Row],[Date Completed]])</f>
        <v>14</v>
      </c>
      <c r="M679" s="642"/>
      <c r="N679" s="642" t="s">
        <v>120</v>
      </c>
      <c r="O679" s="1025">
        <f>Table15[[#This Row],[Date Completed]]</f>
        <v>44764</v>
      </c>
      <c r="P679" s="21" t="s">
        <v>739</v>
      </c>
      <c r="Q679" s="1151">
        <f>R679*AA679</f>
        <v>17469.046000000002</v>
      </c>
      <c r="R679" s="1039">
        <v>0.1</v>
      </c>
      <c r="S679" s="538" t="s">
        <v>709</v>
      </c>
      <c r="T679" s="538" t="s">
        <v>709</v>
      </c>
      <c r="U679" s="87" t="s">
        <v>709</v>
      </c>
      <c r="V679" s="857">
        <v>313</v>
      </c>
      <c r="W679" s="440"/>
      <c r="X679" s="551">
        <v>147030.48000000001</v>
      </c>
      <c r="Y679" s="551"/>
      <c r="Z679" s="551">
        <v>27659.98</v>
      </c>
      <c r="AA679" s="551">
        <f>Table15[[#This Row],[PCTS Investment Amount]]+Table15[[#This Row],[PCTS Retirement Amount]]</f>
        <v>174690.46000000002</v>
      </c>
      <c r="AB679" s="341"/>
      <c r="AC679" s="568" t="s">
        <v>709</v>
      </c>
      <c r="AD679" s="1157" t="s">
        <v>29</v>
      </c>
      <c r="AE679" s="579"/>
      <c r="AF679" s="579"/>
      <c r="AG679" s="579"/>
      <c r="AH679" s="553"/>
      <c r="AI679" s="1036"/>
      <c r="AJ679" s="1037"/>
      <c r="AK679" s="1037"/>
      <c r="AL679" s="1038"/>
      <c r="AM679" s="1522" t="s">
        <v>116</v>
      </c>
      <c r="AN679" s="1523">
        <v>44854</v>
      </c>
      <c r="AO679" s="1524">
        <v>11036566</v>
      </c>
      <c r="AP679" s="1525">
        <v>218814.35</v>
      </c>
      <c r="AQ679" s="1525"/>
      <c r="AR679" s="1525">
        <v>27645.82</v>
      </c>
      <c r="AS679" s="1525">
        <f>IF(Table15[[#This Row],[PCTS Approved]]="N",0,Table15[[#This Row],[Investment Amount (1'#'#'#'#'#)]]+Table15[[#This Row],[Retirement Amount (3'#'#'#'#'#)]])</f>
        <v>246460.17</v>
      </c>
      <c r="AT679" s="1525">
        <f>IF(Table15[[#This Row],[Approved Construction Cost]]=0,0,Table15[[#This Row],[Approved Construction Cost]]-Table15[[#This Row],[Construction Cost to Bill From]])</f>
        <v>71769.709999999992</v>
      </c>
      <c r="AU679" s="1525">
        <f>IFERROR(Table15[[#This Row],[Difference in Construction Cost]]*Table15[[#This Row],[Rate]],Table15[[#This Row],[Difference in Construction Cost]]*0.085)</f>
        <v>7176.9709999999995</v>
      </c>
      <c r="AV679" s="1525">
        <v>3555</v>
      </c>
      <c r="AW679" s="1526" t="s">
        <v>4656</v>
      </c>
      <c r="AX679" s="1525">
        <v>0</v>
      </c>
      <c r="AY679" s="1518">
        <v>45008</v>
      </c>
      <c r="AZ679" s="333"/>
      <c r="BA679" s="1031" t="s">
        <v>4657</v>
      </c>
      <c r="BB679" s="644" t="s">
        <v>877</v>
      </c>
      <c r="BC679" s="544" t="s">
        <v>116</v>
      </c>
      <c r="BD679" s="544" t="s">
        <v>1066</v>
      </c>
      <c r="BE679" s="544" t="s">
        <v>709</v>
      </c>
      <c r="BF679" s="544" t="s">
        <v>709</v>
      </c>
      <c r="BG679" s="544" t="s">
        <v>709</v>
      </c>
      <c r="BH679" s="741"/>
      <c r="BI679" s="547" t="s">
        <v>709</v>
      </c>
      <c r="BJ679" s="547" t="s">
        <v>709</v>
      </c>
      <c r="BK679" s="547" t="s">
        <v>709</v>
      </c>
      <c r="BL679" s="547" t="s">
        <v>116</v>
      </c>
      <c r="BM679" s="547" t="s">
        <v>709</v>
      </c>
      <c r="BN679" s="547" t="s">
        <v>709</v>
      </c>
      <c r="BO679" s="547" t="s">
        <v>709</v>
      </c>
      <c r="BP679" s="547" t="s">
        <v>709</v>
      </c>
      <c r="BQ679" s="547" t="s">
        <v>709</v>
      </c>
      <c r="BR679" s="547">
        <v>313</v>
      </c>
      <c r="BS679" s="547" t="s">
        <v>709</v>
      </c>
      <c r="BT679" s="547" t="s">
        <v>709</v>
      </c>
      <c r="BU679" s="547" t="s">
        <v>709</v>
      </c>
      <c r="BV679" s="547" t="s">
        <v>745</v>
      </c>
      <c r="BW679" s="547" t="s">
        <v>709</v>
      </c>
      <c r="BX679" s="547" t="s">
        <v>745</v>
      </c>
      <c r="BY679" s="547" t="s">
        <v>745</v>
      </c>
      <c r="BZ679" s="547" t="s">
        <v>709</v>
      </c>
      <c r="CA679" s="483"/>
      <c r="CB679" s="547">
        <v>676</v>
      </c>
      <c r="CC679" s="1481" t="b">
        <v>1</v>
      </c>
      <c r="CD679" t="str">
        <f>Table15[[#This Row],[Engineering Number]]&amp;Table15[[#This Row],[WO Number]]&amp;Table15[[#This Row],[Date Assigned to Designer]]&amp;Table15[[#This Row],[Date Completed]]</f>
        <v>N1467612105114472044764</v>
      </c>
    </row>
    <row r="680" spans="1:82" customFormat="1" ht="15" customHeight="1" x14ac:dyDescent="0.25">
      <c r="A680">
        <v>2022</v>
      </c>
      <c r="B680" s="8" t="s">
        <v>4</v>
      </c>
      <c r="C680" s="8" t="s">
        <v>4663</v>
      </c>
      <c r="D680" s="8" t="s">
        <v>4664</v>
      </c>
      <c r="E680" s="8" t="s">
        <v>2000</v>
      </c>
      <c r="F680" s="8" t="s">
        <v>738</v>
      </c>
      <c r="G680" s="8" t="s">
        <v>25</v>
      </c>
      <c r="H680" s="8" t="s">
        <v>59</v>
      </c>
      <c r="I680" s="642">
        <v>44678</v>
      </c>
      <c r="J680" s="18">
        <v>44771</v>
      </c>
      <c r="K680" s="97">
        <v>44768</v>
      </c>
      <c r="L680" s="16">
        <f>IF(ISTEXT(Table15[[#This Row],[Engineering Approved Design Date]]),Table15[[#This Row],[Date Completed]]-Table15[[#This Row],[Date Assigned to Designer]],Table15[[#This Row],[Engineering Approved Design Date]]-Table15[[#This Row],[Date Completed]])</f>
        <v>3</v>
      </c>
      <c r="M680" s="642"/>
      <c r="N680" s="642" t="s">
        <v>120</v>
      </c>
      <c r="O680" s="1025">
        <v>44774</v>
      </c>
      <c r="P680" s="21" t="s">
        <v>739</v>
      </c>
      <c r="Q680" s="1061">
        <f>R680*AA680</f>
        <v>22831.382000000001</v>
      </c>
      <c r="R680" s="1026">
        <v>0.1</v>
      </c>
      <c r="S680" s="538"/>
      <c r="T680" s="538"/>
      <c r="U680" s="87"/>
      <c r="V680" s="858">
        <v>1182</v>
      </c>
      <c r="W680" s="437"/>
      <c r="X680" s="552">
        <v>211869.92</v>
      </c>
      <c r="Y680" s="551"/>
      <c r="Z680" s="552">
        <v>16443.900000000001</v>
      </c>
      <c r="AA680" s="551">
        <f>Table15[[#This Row],[PCTS Investment Amount]]+Table15[[#This Row],[PCTS Retirement Amount]]</f>
        <v>228313.82</v>
      </c>
      <c r="AB680" s="341">
        <v>44789</v>
      </c>
      <c r="AC680" s="568" t="s">
        <v>709</v>
      </c>
      <c r="AD680" s="1157" t="s">
        <v>709</v>
      </c>
      <c r="AE680" s="579"/>
      <c r="AF680" s="579"/>
      <c r="AG680" s="579"/>
      <c r="AH680" s="553"/>
      <c r="AI680" s="1036"/>
      <c r="AJ680" s="1037"/>
      <c r="AK680" s="1037"/>
      <c r="AL680" s="1038"/>
      <c r="AM680" s="1522" t="s">
        <v>116</v>
      </c>
      <c r="AN680" s="1523">
        <v>44824</v>
      </c>
      <c r="AO680" s="1524">
        <v>11045694</v>
      </c>
      <c r="AP680" s="1525">
        <v>211886.36</v>
      </c>
      <c r="AQ680" s="1525"/>
      <c r="AR680" s="1525">
        <v>16443.900000000001</v>
      </c>
      <c r="AS680" s="1525">
        <f>IF(Table15[[#This Row],[PCTS Approved]]="N",0,Table15[[#This Row],[Investment Amount (1'#'#'#'#'#)]]+Table15[[#This Row],[Retirement Amount (3'#'#'#'#'#)]])</f>
        <v>228330.25999999998</v>
      </c>
      <c r="AT680" s="1525">
        <f>IF(Table15[[#This Row],[Approved Construction Cost]]=0,0,Table15[[#This Row],[Approved Construction Cost]]-Table15[[#This Row],[Construction Cost to Bill From]])</f>
        <v>16.439999999973224</v>
      </c>
      <c r="AU680" s="1525">
        <f>IFERROR(Table15[[#This Row],[Difference in Construction Cost]]*Table15[[#This Row],[Rate]],Table15[[#This Row],[Difference in Construction Cost]]*0.085)</f>
        <v>1.6439999999973225</v>
      </c>
      <c r="AV680" s="1525" t="s">
        <v>709</v>
      </c>
      <c r="AW680" s="1526"/>
      <c r="AX680" s="1525">
        <f>Table15[[#This Row],[Reconcile Amount]]</f>
        <v>1.6439999999973225</v>
      </c>
      <c r="AY680" s="1518">
        <v>45008</v>
      </c>
      <c r="AZ680" s="333"/>
      <c r="BA680" s="1031" t="s">
        <v>4665</v>
      </c>
      <c r="BB680" s="644" t="s">
        <v>4666</v>
      </c>
      <c r="BC680" s="544" t="s">
        <v>709</v>
      </c>
      <c r="BD680" s="544" t="s">
        <v>709</v>
      </c>
      <c r="BE680" s="544" t="s">
        <v>4667</v>
      </c>
      <c r="BF680" s="544" t="s">
        <v>709</v>
      </c>
      <c r="BG680" s="544" t="s">
        <v>709</v>
      </c>
      <c r="BH680" s="741"/>
      <c r="BI680" s="547" t="s">
        <v>709</v>
      </c>
      <c r="BJ680" s="547" t="s">
        <v>709</v>
      </c>
      <c r="BK680" s="547" t="s">
        <v>709</v>
      </c>
      <c r="BL680" s="547" t="s">
        <v>116</v>
      </c>
      <c r="BM680" s="547" t="s">
        <v>709</v>
      </c>
      <c r="BN680" s="547" t="s">
        <v>709</v>
      </c>
      <c r="BO680" s="547" t="s">
        <v>709</v>
      </c>
      <c r="BP680" s="547" t="s">
        <v>709</v>
      </c>
      <c r="BQ680" s="547" t="s">
        <v>709</v>
      </c>
      <c r="BR680" s="547" t="s">
        <v>709</v>
      </c>
      <c r="BS680" s="547">
        <v>1182</v>
      </c>
      <c r="BT680" s="547" t="s">
        <v>745</v>
      </c>
      <c r="BU680" s="547" t="s">
        <v>709</v>
      </c>
      <c r="BV680" s="547" t="s">
        <v>745</v>
      </c>
      <c r="BW680" s="547" t="s">
        <v>709</v>
      </c>
      <c r="BX680" s="547" t="s">
        <v>745</v>
      </c>
      <c r="BY680" s="547" t="s">
        <v>745</v>
      </c>
      <c r="BZ680" s="547" t="s">
        <v>709</v>
      </c>
      <c r="CA680" s="483"/>
      <c r="CB680" s="547">
        <v>679</v>
      </c>
      <c r="CC680" s="1481" t="b">
        <v>1</v>
      </c>
      <c r="CD680" t="str">
        <f>Table15[[#This Row],[Engineering Number]]&amp;Table15[[#This Row],[WO Number]]&amp;Table15[[#This Row],[Date Assigned to Designer]]&amp;Table15[[#This Row],[Date Completed]]</f>
        <v>N1516912114994467844768</v>
      </c>
    </row>
    <row r="681" spans="1:82" customFormat="1" ht="15" customHeight="1" x14ac:dyDescent="0.25">
      <c r="A681">
        <v>2022</v>
      </c>
      <c r="B681" s="8" t="s">
        <v>1073</v>
      </c>
      <c r="C681" s="8" t="s">
        <v>4553</v>
      </c>
      <c r="D681" s="8" t="s">
        <v>4554</v>
      </c>
      <c r="E681" s="8" t="s">
        <v>232</v>
      </c>
      <c r="F681" s="8" t="s">
        <v>747</v>
      </c>
      <c r="G681" s="8" t="s">
        <v>1896</v>
      </c>
      <c r="H681" s="8" t="s">
        <v>3178</v>
      </c>
      <c r="I681" s="642">
        <v>44767</v>
      </c>
      <c r="J681" s="175" t="s">
        <v>2052</v>
      </c>
      <c r="K681" s="97">
        <v>44768</v>
      </c>
      <c r="L681" s="16">
        <f>IF(ISTEXT(Table15[[#This Row],[Engineering Approved Design Date]]),Table15[[#This Row],[Date Completed]]-Table15[[#This Row],[Date Assigned to Designer]],Table15[[#This Row],[Engineering Approved Design Date]]-Table15[[#This Row],[Date Completed]])</f>
        <v>1</v>
      </c>
      <c r="M681" t="s">
        <v>4669</v>
      </c>
      <c r="N681" s="642" t="s">
        <v>120</v>
      </c>
      <c r="O681" s="1025">
        <v>44774</v>
      </c>
      <c r="P681" s="21" t="s">
        <v>739</v>
      </c>
      <c r="Q681" s="1151">
        <f>Table15[[#This Row],[KH Hourly Effort]]</f>
        <v>1620</v>
      </c>
      <c r="R681" s="1026" t="s">
        <v>1922</v>
      </c>
      <c r="S681" s="538"/>
      <c r="T681" s="538"/>
      <c r="U681" s="300">
        <v>1620</v>
      </c>
      <c r="V681" s="858"/>
      <c r="W681" s="437"/>
      <c r="X681" s="538"/>
      <c r="Y681" s="551"/>
      <c r="Z681" s="538"/>
      <c r="AA681" s="538"/>
      <c r="AB681" s="21"/>
      <c r="AC681" s="569"/>
      <c r="AD681" s="1149" t="s">
        <v>709</v>
      </c>
      <c r="AE681" s="569"/>
      <c r="AF681" s="569"/>
      <c r="AG681" s="569"/>
      <c r="AH681" s="536"/>
      <c r="AI681" s="1028"/>
      <c r="AJ681" s="1029"/>
      <c r="AK681" s="1029"/>
      <c r="AL681" s="1030"/>
      <c r="AM681" s="542" t="s">
        <v>709</v>
      </c>
      <c r="AN681" s="924"/>
      <c r="AO681" s="925"/>
      <c r="AP681" s="926"/>
      <c r="AQ681" s="926"/>
      <c r="AR681" s="926"/>
      <c r="AS681" s="926"/>
      <c r="AT681" s="926"/>
      <c r="AU681" s="926"/>
      <c r="AV681" s="926"/>
      <c r="AW681" s="927"/>
      <c r="AX681" s="926"/>
      <c r="AY681" s="1538" t="s">
        <v>29</v>
      </c>
      <c r="AZ681" s="1530"/>
      <c r="BA681" s="1031">
        <v>1</v>
      </c>
      <c r="BB681" s="644"/>
      <c r="BC681" s="544"/>
      <c r="BD681" s="544"/>
      <c r="BE681" s="544"/>
      <c r="BF681" s="544"/>
      <c r="BG681" s="544"/>
      <c r="BH681" s="741"/>
      <c r="BI681" s="547" t="s">
        <v>709</v>
      </c>
      <c r="BJ681" s="547" t="s">
        <v>709</v>
      </c>
      <c r="BK681" s="547" t="s">
        <v>116</v>
      </c>
      <c r="BL681" s="547" t="s">
        <v>116</v>
      </c>
      <c r="BM681" s="547" t="s">
        <v>709</v>
      </c>
      <c r="BN681" s="547" t="s">
        <v>709</v>
      </c>
      <c r="BO681" s="547" t="s">
        <v>709</v>
      </c>
      <c r="BP681" s="547">
        <v>161</v>
      </c>
      <c r="BQ681" s="547">
        <v>9860</v>
      </c>
      <c r="BR681" s="547" t="s">
        <v>709</v>
      </c>
      <c r="BS681" s="547" t="s">
        <v>709</v>
      </c>
      <c r="BT681" s="547" t="s">
        <v>745</v>
      </c>
      <c r="BU681" s="547" t="s">
        <v>709</v>
      </c>
      <c r="BV681" s="547" t="s">
        <v>745</v>
      </c>
      <c r="BW681" s="547" t="s">
        <v>709</v>
      </c>
      <c r="BX681" s="547" t="s">
        <v>745</v>
      </c>
      <c r="BY681" s="547" t="s">
        <v>745</v>
      </c>
      <c r="BZ681" s="547" t="s">
        <v>709</v>
      </c>
      <c r="CA681" s="483"/>
      <c r="CB681" s="547">
        <v>678</v>
      </c>
      <c r="CC681" s="1481" t="b">
        <v>1</v>
      </c>
      <c r="CD681" t="str">
        <f>Table15[[#This Row],[Engineering Number]]&amp;Table15[[#This Row],[WO Number]]&amp;Table15[[#This Row],[Date Assigned to Designer]]&amp;Table15[[#This Row],[Date Completed]]</f>
        <v>NBA1000286919112154476744768</v>
      </c>
    </row>
    <row r="682" spans="1:82" customFormat="1" ht="15" customHeight="1" x14ac:dyDescent="0.25">
      <c r="A682">
        <v>2021</v>
      </c>
      <c r="B682" s="8" t="s">
        <v>1108</v>
      </c>
      <c r="C682" s="8" t="s">
        <v>3167</v>
      </c>
      <c r="D682" s="8">
        <v>102134</v>
      </c>
      <c r="E682" s="8" t="s">
        <v>361</v>
      </c>
      <c r="F682" s="8" t="s">
        <v>4204</v>
      </c>
      <c r="G682" s="8" t="s">
        <v>23</v>
      </c>
      <c r="H682" s="8" t="s">
        <v>3178</v>
      </c>
      <c r="I682" s="642">
        <v>44767</v>
      </c>
      <c r="J682" s="175" t="s">
        <v>2052</v>
      </c>
      <c r="K682" s="97">
        <v>44769</v>
      </c>
      <c r="L682" s="16">
        <f>IF(ISTEXT(Table15[[#This Row],[Engineering Approved Design Date]]),Table15[[#This Row],[Date Completed]]-Table15[[#This Row],[Date Assigned to Designer]],Table15[[#This Row],[Engineering Approved Design Date]]-Table15[[#This Row],[Date Completed]])</f>
        <v>2</v>
      </c>
      <c r="M682" t="s">
        <v>4671</v>
      </c>
      <c r="N682" s="642" t="s">
        <v>120</v>
      </c>
      <c r="O682" s="1025">
        <v>44774</v>
      </c>
      <c r="P682" s="21" t="s">
        <v>739</v>
      </c>
      <c r="Q682" s="1151">
        <f>Table15[[#This Row],[KH Hourly Effort]]</f>
        <v>5545</v>
      </c>
      <c r="R682" s="1026" t="s">
        <v>1922</v>
      </c>
      <c r="S682" s="538"/>
      <c r="T682" s="538"/>
      <c r="U682" s="300">
        <v>5545</v>
      </c>
      <c r="V682" s="858"/>
      <c r="W682" s="437"/>
      <c r="X682" s="538"/>
      <c r="Y682" s="551"/>
      <c r="Z682" s="538"/>
      <c r="AA682" s="538"/>
      <c r="AB682" s="21"/>
      <c r="AC682" s="569" t="s">
        <v>116</v>
      </c>
      <c r="AD682" s="1149" t="s">
        <v>709</v>
      </c>
      <c r="AE682" s="580"/>
      <c r="AF682" s="580"/>
      <c r="AG682" s="580"/>
      <c r="AH682" s="542"/>
      <c r="AI682" s="1028"/>
      <c r="AJ682" s="1029"/>
      <c r="AK682" s="1029"/>
      <c r="AL682" s="1030"/>
      <c r="AM682" s="542" t="s">
        <v>709</v>
      </c>
      <c r="AN682" s="924"/>
      <c r="AO682" s="925"/>
      <c r="AP682" s="926"/>
      <c r="AQ682" s="926"/>
      <c r="AR682" s="926"/>
      <c r="AS682" s="926"/>
      <c r="AT682" s="926"/>
      <c r="AU682" s="926"/>
      <c r="AV682" s="926"/>
      <c r="AW682" s="927"/>
      <c r="AX682" s="926"/>
      <c r="AY682" s="1538" t="s">
        <v>29</v>
      </c>
      <c r="AZ682" s="1530"/>
      <c r="BA682" s="1031">
        <v>7</v>
      </c>
      <c r="BB682" s="644"/>
      <c r="BC682" s="544"/>
      <c r="BD682" s="544"/>
      <c r="BE682" s="544"/>
      <c r="BF682" s="544"/>
      <c r="BG682" s="544"/>
      <c r="BH682" s="741"/>
      <c r="BI682" s="547" t="s">
        <v>709</v>
      </c>
      <c r="BJ682" s="547" t="s">
        <v>709</v>
      </c>
      <c r="BK682" s="547" t="s">
        <v>709</v>
      </c>
      <c r="BL682" s="547" t="s">
        <v>116</v>
      </c>
      <c r="BM682" s="547" t="s">
        <v>709</v>
      </c>
      <c r="BN682" s="547">
        <v>90</v>
      </c>
      <c r="BO682" s="547" t="s">
        <v>709</v>
      </c>
      <c r="BP682" s="547">
        <v>2</v>
      </c>
      <c r="BQ682" s="547">
        <v>17</v>
      </c>
      <c r="BR682" s="547" t="s">
        <v>709</v>
      </c>
      <c r="BS682" s="547" t="s">
        <v>709</v>
      </c>
      <c r="BT682" s="547" t="s">
        <v>745</v>
      </c>
      <c r="BU682" s="547" t="s">
        <v>709</v>
      </c>
      <c r="BV682" s="547">
        <v>1</v>
      </c>
      <c r="BW682" s="547">
        <v>1</v>
      </c>
      <c r="BX682" s="547" t="s">
        <v>745</v>
      </c>
      <c r="BY682" s="547" t="s">
        <v>745</v>
      </c>
      <c r="BZ682" s="547" t="s">
        <v>709</v>
      </c>
      <c r="CA682" s="483" t="s">
        <v>769</v>
      </c>
      <c r="CB682" s="547">
        <v>680</v>
      </c>
      <c r="CC682" s="1481" t="b">
        <v>1</v>
      </c>
      <c r="CD682" t="str">
        <f>Table15[[#This Row],[Engineering Number]]&amp;Table15[[#This Row],[WO Number]]&amp;Table15[[#This Row],[Date Assigned to Designer]]&amp;Table15[[#This Row],[Date Completed]]</f>
        <v>RS8081021344476744769</v>
      </c>
    </row>
    <row r="683" spans="1:82" customFormat="1" ht="15" customHeight="1" x14ac:dyDescent="0.25">
      <c r="A683">
        <v>2022</v>
      </c>
      <c r="B683" s="8" t="s">
        <v>4</v>
      </c>
      <c r="C683" s="8" t="s">
        <v>4178</v>
      </c>
      <c r="D683" s="8">
        <v>1210978</v>
      </c>
      <c r="E683" s="8" t="s">
        <v>3148</v>
      </c>
      <c r="F683" s="8" t="s">
        <v>747</v>
      </c>
      <c r="G683" s="8" t="s">
        <v>39</v>
      </c>
      <c r="H683" s="8" t="s">
        <v>4189</v>
      </c>
      <c r="I683" s="642">
        <v>44727</v>
      </c>
      <c r="J683" s="175" t="s">
        <v>2052</v>
      </c>
      <c r="K683" s="97">
        <v>44770</v>
      </c>
      <c r="L683" s="16">
        <f>IF(ISTEXT(Table15[[#This Row],[Engineering Approved Design Date]]),Table15[[#This Row],[Date Completed]]-Table15[[#This Row],[Date Assigned to Designer]],Table15[[#This Row],[Engineering Approved Design Date]]-Table15[[#This Row],[Date Completed]])</f>
        <v>43</v>
      </c>
      <c r="M683" t="s">
        <v>4673</v>
      </c>
      <c r="N683" s="642" t="s">
        <v>120</v>
      </c>
      <c r="O683" s="1025">
        <v>44774</v>
      </c>
      <c r="P683" s="21" t="s">
        <v>739</v>
      </c>
      <c r="Q683" s="1151">
        <f>Table15[[#This Row],[KH Hourly Effort]]</f>
        <v>8045</v>
      </c>
      <c r="R683" s="1026" t="s">
        <v>1922</v>
      </c>
      <c r="S683" s="538"/>
      <c r="T683" s="538"/>
      <c r="U683" s="300">
        <v>8045</v>
      </c>
      <c r="V683" s="858"/>
      <c r="W683" s="437"/>
      <c r="X683" s="538"/>
      <c r="Y683" s="551"/>
      <c r="Z683" s="538"/>
      <c r="AA683" s="538"/>
      <c r="AB683" s="21"/>
      <c r="AC683" s="569"/>
      <c r="AD683" s="1149" t="s">
        <v>116</v>
      </c>
      <c r="AE683" s="580"/>
      <c r="AF683" s="580"/>
      <c r="AG683" s="580"/>
      <c r="AH683" s="542"/>
      <c r="AI683" s="1028"/>
      <c r="AJ683" s="1029"/>
      <c r="AK683" s="1029"/>
      <c r="AL683" s="1030"/>
      <c r="AM683" s="542" t="s">
        <v>709</v>
      </c>
      <c r="AN683" s="924"/>
      <c r="AO683" s="925"/>
      <c r="AP683" s="926"/>
      <c r="AQ683" s="926"/>
      <c r="AR683" s="926"/>
      <c r="AS683" s="926"/>
      <c r="AT683" s="926"/>
      <c r="AU683" s="926"/>
      <c r="AV683" s="926"/>
      <c r="AW683" s="927"/>
      <c r="AX683" s="926"/>
      <c r="AY683" s="1538" t="s">
        <v>29</v>
      </c>
      <c r="AZ683" s="1530"/>
      <c r="BA683" s="1031">
        <v>3</v>
      </c>
      <c r="BB683" s="644"/>
      <c r="BC683" s="544"/>
      <c r="BD683" s="544"/>
      <c r="BE683" s="544"/>
      <c r="BF683" s="544"/>
      <c r="BG683" s="544"/>
      <c r="BH683" s="741"/>
      <c r="BI683" s="547" t="s">
        <v>709</v>
      </c>
      <c r="BJ683" s="547" t="s">
        <v>709</v>
      </c>
      <c r="BK683" s="547" t="s">
        <v>709</v>
      </c>
      <c r="BL683" s="547" t="s">
        <v>116</v>
      </c>
      <c r="BM683" s="547" t="s">
        <v>709</v>
      </c>
      <c r="BN683" s="547" t="s">
        <v>709</v>
      </c>
      <c r="BO683" s="547" t="s">
        <v>709</v>
      </c>
      <c r="BP683" s="547" t="s">
        <v>709</v>
      </c>
      <c r="BQ683" s="547">
        <v>318</v>
      </c>
      <c r="BR683" s="547">
        <v>157</v>
      </c>
      <c r="BS683" s="547">
        <v>122</v>
      </c>
      <c r="BT683" s="547" t="s">
        <v>745</v>
      </c>
      <c r="BU683" s="547" t="s">
        <v>709</v>
      </c>
      <c r="BV683" s="547" t="s">
        <v>745</v>
      </c>
      <c r="BW683" s="547" t="s">
        <v>709</v>
      </c>
      <c r="BX683" s="547" t="s">
        <v>745</v>
      </c>
      <c r="BY683" s="547" t="s">
        <v>745</v>
      </c>
      <c r="BZ683" s="547" t="s">
        <v>709</v>
      </c>
      <c r="CA683" s="483"/>
      <c r="CB683" s="547">
        <v>681</v>
      </c>
      <c r="CC683" s="1481" t="b">
        <v>1</v>
      </c>
      <c r="CD683" t="str">
        <f>Table15[[#This Row],[Engineering Number]]&amp;Table15[[#This Row],[WO Number]]&amp;Table15[[#This Row],[Date Assigned to Designer]]&amp;Table15[[#This Row],[Date Completed]]</f>
        <v>M1308512109784472744770</v>
      </c>
    </row>
    <row r="684" spans="1:82" customFormat="1" ht="15" customHeight="1" x14ac:dyDescent="0.25">
      <c r="A684">
        <v>2022</v>
      </c>
      <c r="B684" s="8" t="s">
        <v>2</v>
      </c>
      <c r="C684" s="8" t="s">
        <v>3845</v>
      </c>
      <c r="D684" s="8" t="s">
        <v>3846</v>
      </c>
      <c r="E684" s="8" t="s">
        <v>361</v>
      </c>
      <c r="F684" s="8" t="s">
        <v>4204</v>
      </c>
      <c r="G684" s="8" t="s">
        <v>22</v>
      </c>
      <c r="H684" s="8" t="s">
        <v>4436</v>
      </c>
      <c r="I684" s="642">
        <v>44748</v>
      </c>
      <c r="J684" s="175" t="s">
        <v>2052</v>
      </c>
      <c r="K684" s="97">
        <v>44771</v>
      </c>
      <c r="L684" s="16">
        <f>IF(ISTEXT(Table15[[#This Row],[Engineering Approved Design Date]]),Table15[[#This Row],[Date Completed]]-Table15[[#This Row],[Date Assigned to Designer]],Table15[[#This Row],[Engineering Approved Design Date]]-Table15[[#This Row],[Date Completed]])</f>
        <v>23</v>
      </c>
      <c r="M684" t="s">
        <v>4675</v>
      </c>
      <c r="N684" s="642" t="s">
        <v>120</v>
      </c>
      <c r="O684" s="1025">
        <v>44774</v>
      </c>
      <c r="P684" s="21" t="s">
        <v>739</v>
      </c>
      <c r="Q684" s="1151">
        <f>Table15[[#This Row],[KH Hourly Effort]]</f>
        <v>3165</v>
      </c>
      <c r="R684" s="1026" t="s">
        <v>1922</v>
      </c>
      <c r="S684" s="538"/>
      <c r="T684" s="538"/>
      <c r="U684" s="300">
        <v>3165</v>
      </c>
      <c r="V684" s="858"/>
      <c r="W684" s="437"/>
      <c r="X684" s="538"/>
      <c r="Y684" s="551"/>
      <c r="Z684" s="538"/>
      <c r="AA684" s="538"/>
      <c r="AB684" s="21"/>
      <c r="AC684" s="569" t="s">
        <v>709</v>
      </c>
      <c r="AD684" s="1149" t="s">
        <v>116</v>
      </c>
      <c r="AE684" s="580"/>
      <c r="AF684" s="580"/>
      <c r="AG684" s="580"/>
      <c r="AH684" s="542"/>
      <c r="AI684" s="1028"/>
      <c r="AJ684" s="1029"/>
      <c r="AK684" s="1029"/>
      <c r="AL684" s="1030"/>
      <c r="AM684" s="542" t="s">
        <v>709</v>
      </c>
      <c r="AN684" s="924"/>
      <c r="AO684" s="925"/>
      <c r="AP684" s="926"/>
      <c r="AQ684" s="926"/>
      <c r="AR684" s="926"/>
      <c r="AS684" s="926"/>
      <c r="AT684" s="926"/>
      <c r="AU684" s="926"/>
      <c r="AV684" s="926"/>
      <c r="AW684" s="927"/>
      <c r="AX684" s="926"/>
      <c r="AY684" s="1538" t="s">
        <v>29</v>
      </c>
      <c r="AZ684" s="1532"/>
      <c r="BA684" s="1031">
        <v>3</v>
      </c>
      <c r="BB684" s="644"/>
      <c r="BC684" s="544"/>
      <c r="BD684" s="544"/>
      <c r="BE684" s="544"/>
      <c r="BF684" s="544"/>
      <c r="BG684" s="544"/>
      <c r="BH684" s="741"/>
      <c r="BI684" s="547" t="s">
        <v>709</v>
      </c>
      <c r="BJ684" s="547" t="s">
        <v>709</v>
      </c>
      <c r="BK684" s="547" t="s">
        <v>709</v>
      </c>
      <c r="BL684" s="547" t="s">
        <v>709</v>
      </c>
      <c r="BM684" s="547" t="s">
        <v>709</v>
      </c>
      <c r="BN684" s="547" t="s">
        <v>709</v>
      </c>
      <c r="BO684" s="547" t="s">
        <v>709</v>
      </c>
      <c r="BP684" s="547" t="s">
        <v>709</v>
      </c>
      <c r="BQ684" s="547" t="s">
        <v>709</v>
      </c>
      <c r="BR684" s="547" t="s">
        <v>709</v>
      </c>
      <c r="BS684" s="547" t="s">
        <v>709</v>
      </c>
      <c r="BT684" s="547" t="s">
        <v>745</v>
      </c>
      <c r="BU684" s="547" t="s">
        <v>709</v>
      </c>
      <c r="BV684" s="547">
        <v>5</v>
      </c>
      <c r="BW684" s="547" t="s">
        <v>709</v>
      </c>
      <c r="BX684" s="547" t="s">
        <v>745</v>
      </c>
      <c r="BY684" s="547" t="s">
        <v>745</v>
      </c>
      <c r="BZ684" s="547" t="s">
        <v>709</v>
      </c>
      <c r="CA684" s="483" t="s">
        <v>2</v>
      </c>
      <c r="CB684" s="547">
        <v>682</v>
      </c>
      <c r="CC684" s="1481" t="b">
        <v>1</v>
      </c>
      <c r="CD684" t="str">
        <f>Table15[[#This Row],[Engineering Number]]&amp;Table15[[#This Row],[WO Number]]&amp;Table15[[#This Row],[Date Assigned to Designer]]&amp;Table15[[#This Row],[Date Completed]]</f>
        <v>MR179032105734474844771</v>
      </c>
    </row>
    <row r="685" spans="1:82" customFormat="1" ht="15" customHeight="1" x14ac:dyDescent="0.25">
      <c r="A685">
        <v>2022</v>
      </c>
      <c r="B685" s="8" t="s">
        <v>759</v>
      </c>
      <c r="C685" s="8" t="s">
        <v>1323</v>
      </c>
      <c r="D685" s="8" t="s">
        <v>1324</v>
      </c>
      <c r="E685" s="8" t="s">
        <v>1325</v>
      </c>
      <c r="F685" s="8" t="s">
        <v>752</v>
      </c>
      <c r="G685" s="8" t="s">
        <v>34</v>
      </c>
      <c r="H685" s="8" t="s">
        <v>59</v>
      </c>
      <c r="I685" s="642">
        <v>44603</v>
      </c>
      <c r="J685" s="18">
        <v>44771</v>
      </c>
      <c r="K685" s="97">
        <v>44771</v>
      </c>
      <c r="L685" s="16">
        <f>IF(ISTEXT(Table15[[#This Row],[Engineering Approved Design Date]]),Table15[[#This Row],[Date Completed]]-Table15[[#This Row],[Date Assigned to Designer]],Table15[[#This Row],[Engineering Approved Design Date]]-Table15[[#This Row],[Date Completed]])</f>
        <v>0</v>
      </c>
      <c r="M685" s="642"/>
      <c r="N685" s="642" t="s">
        <v>120</v>
      </c>
      <c r="O685" s="1025">
        <v>44774</v>
      </c>
      <c r="P685" s="21" t="s">
        <v>739</v>
      </c>
      <c r="Q685" s="1151">
        <f>(Table15[[#This Row],[Construction Cost to Bill From]]*0.085)+7750</f>
        <v>34223.024750000004</v>
      </c>
      <c r="R685" s="1026" t="s">
        <v>1055</v>
      </c>
      <c r="S685" s="538" t="s">
        <v>709</v>
      </c>
      <c r="T685" s="538" t="s">
        <v>709</v>
      </c>
      <c r="U685" s="87" t="s">
        <v>709</v>
      </c>
      <c r="V685" s="858">
        <v>208</v>
      </c>
      <c r="W685" s="437"/>
      <c r="X685" s="552">
        <v>256912.92</v>
      </c>
      <c r="Y685" s="551"/>
      <c r="Z685" s="552">
        <v>54534.43</v>
      </c>
      <c r="AA685" s="551">
        <f>Table15[[#This Row],[PCTS Investment Amount]]+Table15[[#This Row],[PCTS Retirement Amount]]</f>
        <v>311447.35000000003</v>
      </c>
      <c r="AB685" s="341">
        <v>44789</v>
      </c>
      <c r="AC685" s="568" t="s">
        <v>1177</v>
      </c>
      <c r="AD685" s="1157" t="s">
        <v>29</v>
      </c>
      <c r="AE685" s="579"/>
      <c r="AF685" s="579"/>
      <c r="AG685" s="579"/>
      <c r="AH685" s="553"/>
      <c r="AI685" s="1036"/>
      <c r="AJ685" s="1037"/>
      <c r="AK685" s="1037"/>
      <c r="AL685" s="1038"/>
      <c r="AM685" s="536" t="s">
        <v>116</v>
      </c>
      <c r="AN685" s="903" t="s">
        <v>709</v>
      </c>
      <c r="AO685" s="1536">
        <v>11041770</v>
      </c>
      <c r="AP685" s="1537"/>
      <c r="AQ685" s="1537"/>
      <c r="AR685" s="1537"/>
      <c r="AS685" s="888">
        <f>IF(Table15[[#This Row],[PCTS Approved]]="N",0,Table15[[#This Row],[Investment Amount (1'#'#'#'#'#)]]+Table15[[#This Row],[Retirement Amount (3'#'#'#'#'#)]])</f>
        <v>0</v>
      </c>
      <c r="AT685" s="888">
        <f>IF(Table15[[#This Row],[Approved Construction Cost]]=0,0,Table15[[#This Row],[Approved Construction Cost]]-Table15[[#This Row],[Construction Cost to Bill From]])</f>
        <v>0</v>
      </c>
      <c r="AU685" s="888">
        <f>IFERROR(Table15[[#This Row],[Difference in Construction Cost]]*Table15[[#This Row],[Rate]],Table15[[#This Row],[Difference in Construction Cost]]*0.085)</f>
        <v>0</v>
      </c>
      <c r="AV685" s="905"/>
      <c r="AW685" s="1509"/>
      <c r="AX685" s="888"/>
      <c r="AY685" s="636" t="s">
        <v>709</v>
      </c>
      <c r="AZ685" s="333">
        <v>187</v>
      </c>
      <c r="BA685" s="859" t="s">
        <v>1326</v>
      </c>
      <c r="BB685" s="644" t="s">
        <v>1327</v>
      </c>
      <c r="BC685" s="544" t="s">
        <v>709</v>
      </c>
      <c r="BD685" s="544" t="s">
        <v>1328</v>
      </c>
      <c r="BE685" s="544" t="s">
        <v>1328</v>
      </c>
      <c r="BF685" s="544" t="s">
        <v>1329</v>
      </c>
      <c r="BG685" s="544" t="s">
        <v>709</v>
      </c>
      <c r="BH685" s="741"/>
      <c r="BI685" s="547" t="s">
        <v>709</v>
      </c>
      <c r="BJ685" s="547" t="s">
        <v>116</v>
      </c>
      <c r="BK685" s="547" t="s">
        <v>709</v>
      </c>
      <c r="BL685" s="547" t="s">
        <v>116</v>
      </c>
      <c r="BM685" s="547" t="s">
        <v>709</v>
      </c>
      <c r="BN685" s="547" t="s">
        <v>709</v>
      </c>
      <c r="BO685" s="547" t="s">
        <v>709</v>
      </c>
      <c r="BP685" s="547" t="s">
        <v>709</v>
      </c>
      <c r="BQ685" s="547" t="s">
        <v>709</v>
      </c>
      <c r="BR685" s="547">
        <v>125</v>
      </c>
      <c r="BS685" s="547">
        <v>60</v>
      </c>
      <c r="BT685" s="547">
        <v>1</v>
      </c>
      <c r="BU685" s="547" t="s">
        <v>709</v>
      </c>
      <c r="BV685" s="547" t="s">
        <v>745</v>
      </c>
      <c r="BW685" s="547" t="s">
        <v>709</v>
      </c>
      <c r="BX685" s="547">
        <v>1</v>
      </c>
      <c r="BY685" s="547" t="s">
        <v>745</v>
      </c>
      <c r="BZ685" s="547" t="s">
        <v>709</v>
      </c>
      <c r="CA685" s="483"/>
      <c r="CB685" s="547">
        <v>683</v>
      </c>
      <c r="CC685" s="1481" t="b">
        <v>1</v>
      </c>
      <c r="CD685" t="str">
        <f>Table15[[#This Row],[Engineering Number]]&amp;Table15[[#This Row],[WO Number]]&amp;Table15[[#This Row],[Date Assigned to Designer]]&amp;Table15[[#This Row],[Date Completed]]</f>
        <v>RS97210110714460344771</v>
      </c>
    </row>
    <row r="686" spans="1:82" customFormat="1" ht="15" customHeight="1" x14ac:dyDescent="0.25">
      <c r="A686">
        <v>2020</v>
      </c>
      <c r="B686" s="8" t="s">
        <v>1981</v>
      </c>
      <c r="C686" s="8" t="s">
        <v>2572</v>
      </c>
      <c r="D686" s="8" t="s">
        <v>115</v>
      </c>
      <c r="E686" s="8" t="s">
        <v>426</v>
      </c>
      <c r="F686" s="8" t="s">
        <v>919</v>
      </c>
      <c r="G686" s="8" t="s">
        <v>40</v>
      </c>
      <c r="H686" s="8" t="s">
        <v>4462</v>
      </c>
      <c r="I686" s="642">
        <v>44648</v>
      </c>
      <c r="J686" s="175" t="s">
        <v>2052</v>
      </c>
      <c r="K686" s="97">
        <v>44775</v>
      </c>
      <c r="L686" s="16">
        <f>IF(ISTEXT(Table15[[#This Row],[Engineering Approved Design Date]]),Table15[[#This Row],[Date Completed]]-Table15[[#This Row],[Date Assigned to Designer]],Table15[[#This Row],[Engineering Approved Design Date]]-Table15[[#This Row],[Date Completed]])</f>
        <v>127</v>
      </c>
      <c r="M686" t="s">
        <v>4678</v>
      </c>
      <c r="N686" s="642" t="s">
        <v>120</v>
      </c>
      <c r="O686" s="1025">
        <v>44776</v>
      </c>
      <c r="P686" s="21" t="s">
        <v>739</v>
      </c>
      <c r="Q686" s="1061"/>
      <c r="R686" s="1026" t="s">
        <v>115</v>
      </c>
      <c r="S686" s="538"/>
      <c r="T686" s="538"/>
      <c r="U686" s="1057"/>
      <c r="V686" s="858"/>
      <c r="W686" s="437"/>
      <c r="X686" s="538"/>
      <c r="Y686" s="551"/>
      <c r="Z686" s="538"/>
      <c r="AA686" s="538"/>
      <c r="AB686" s="21"/>
      <c r="AC686" s="569"/>
      <c r="AD686" s="1149"/>
      <c r="AE686" s="580"/>
      <c r="AF686" s="580"/>
      <c r="AG686" s="580"/>
      <c r="AH686" s="542"/>
      <c r="AI686" s="1028"/>
      <c r="AJ686" s="1029"/>
      <c r="AK686" s="1029"/>
      <c r="AL686" s="1030"/>
      <c r="AM686" s="542" t="s">
        <v>709</v>
      </c>
      <c r="AN686" s="924"/>
      <c r="AO686" s="925"/>
      <c r="AP686" s="926"/>
      <c r="AQ686" s="926"/>
      <c r="AR686" s="926"/>
      <c r="AS686" s="926"/>
      <c r="AT686" s="926"/>
      <c r="AU686" s="926"/>
      <c r="AV686" s="926"/>
      <c r="AW686" s="927"/>
      <c r="AX686" s="926"/>
      <c r="AY686" s="1538" t="s">
        <v>29</v>
      </c>
      <c r="AZ686" s="1530"/>
      <c r="BA686" s="1031"/>
      <c r="BB686" s="644"/>
      <c r="BC686" s="544"/>
      <c r="BD686" s="544"/>
      <c r="BE686" s="544"/>
      <c r="BF686" s="544"/>
      <c r="BG686" s="544"/>
      <c r="BH686" s="741"/>
      <c r="BI686" s="547" t="s">
        <v>709</v>
      </c>
      <c r="BJ686" s="547" t="s">
        <v>709</v>
      </c>
      <c r="BK686" s="547" t="s">
        <v>709</v>
      </c>
      <c r="BL686" s="547" t="s">
        <v>709</v>
      </c>
      <c r="BM686" s="547" t="s">
        <v>709</v>
      </c>
      <c r="BN686" s="547" t="s">
        <v>709</v>
      </c>
      <c r="BO686" s="547" t="s">
        <v>709</v>
      </c>
      <c r="BP686" s="547" t="s">
        <v>709</v>
      </c>
      <c r="BQ686" s="547" t="s">
        <v>709</v>
      </c>
      <c r="BR686" s="547" t="s">
        <v>709</v>
      </c>
      <c r="BS686" s="547" t="s">
        <v>709</v>
      </c>
      <c r="BT686" s="547" t="s">
        <v>745</v>
      </c>
      <c r="BU686" s="547" t="s">
        <v>709</v>
      </c>
      <c r="BV686" s="547" t="s">
        <v>745</v>
      </c>
      <c r="BW686" s="547" t="s">
        <v>709</v>
      </c>
      <c r="BX686" s="547" t="s">
        <v>745</v>
      </c>
      <c r="BY686" s="547" t="s">
        <v>745</v>
      </c>
      <c r="BZ686" s="547" t="s">
        <v>709</v>
      </c>
      <c r="CA686" s="483" t="s">
        <v>2531</v>
      </c>
      <c r="CB686" s="547">
        <v>684</v>
      </c>
      <c r="CC686" s="1481" t="b">
        <v>1</v>
      </c>
      <c r="CD686" t="str">
        <f>Table15[[#This Row],[Engineering Number]]&amp;Table15[[#This Row],[WO Number]]&amp;Table15[[#This Row],[Date Assigned to Designer]]&amp;Table15[[#This Row],[Date Completed]]</f>
        <v>COR446-4464844775</v>
      </c>
    </row>
    <row r="687" spans="1:82" customFormat="1" ht="15" customHeight="1" x14ac:dyDescent="0.25">
      <c r="A687">
        <v>2022</v>
      </c>
      <c r="B687" s="8" t="s">
        <v>4</v>
      </c>
      <c r="C687" s="8" t="s">
        <v>4680</v>
      </c>
      <c r="D687" s="8" t="s">
        <v>115</v>
      </c>
      <c r="E687" s="8" t="s">
        <v>1306</v>
      </c>
      <c r="F687" s="8" t="s">
        <v>738</v>
      </c>
      <c r="G687" s="8" t="s">
        <v>27</v>
      </c>
      <c r="H687" s="647" t="s">
        <v>1681</v>
      </c>
      <c r="I687" s="642">
        <v>44749</v>
      </c>
      <c r="J687" s="18">
        <v>44850</v>
      </c>
      <c r="K687" s="18">
        <v>44776</v>
      </c>
      <c r="L687" s="16">
        <f>IF(ISTEXT(Table15[[#This Row],[Engineering Approved Design Date]]),Table15[[#This Row],[Date Completed]]-Table15[[#This Row],[Date Assigned to Designer]],Table15[[#This Row],[Engineering Approved Design Date]]-Table15[[#This Row],[Date Completed]])</f>
        <v>74</v>
      </c>
      <c r="M687" s="642"/>
      <c r="N687" s="642" t="s">
        <v>120</v>
      </c>
      <c r="O687" s="1025">
        <f>Table15[[#This Row],[Date Completed]]</f>
        <v>44776</v>
      </c>
      <c r="P687" s="21" t="s">
        <v>739</v>
      </c>
      <c r="Q687" s="1061"/>
      <c r="R687" s="1026" t="s">
        <v>115</v>
      </c>
      <c r="S687" s="538"/>
      <c r="T687" s="538"/>
      <c r="U687" s="87"/>
      <c r="V687" s="857"/>
      <c r="W687" s="440"/>
      <c r="X687" s="550"/>
      <c r="Y687" s="550"/>
      <c r="Z687" s="550"/>
      <c r="AA687" s="551"/>
      <c r="AB687" s="341"/>
      <c r="AC687" s="568" t="s">
        <v>709</v>
      </c>
      <c r="AD687" s="1157"/>
      <c r="AE687" s="579"/>
      <c r="AF687" s="579"/>
      <c r="AG687" s="579"/>
      <c r="AH687" s="553"/>
      <c r="AI687" s="1036"/>
      <c r="AJ687" s="1037"/>
      <c r="AK687" s="1037"/>
      <c r="AL687" s="1038"/>
      <c r="AM687" s="542" t="s">
        <v>709</v>
      </c>
      <c r="AN687" s="924"/>
      <c r="AO687" s="925"/>
      <c r="AP687" s="926"/>
      <c r="AQ687" s="926"/>
      <c r="AR687" s="926"/>
      <c r="AS687" s="926"/>
      <c r="AT687" s="926"/>
      <c r="AU687" s="926"/>
      <c r="AV687" s="926"/>
      <c r="AW687" s="927"/>
      <c r="AX687" s="926"/>
      <c r="AY687" s="1538" t="s">
        <v>29</v>
      </c>
      <c r="AZ687" s="1532"/>
      <c r="BA687" s="1031" t="s">
        <v>4681</v>
      </c>
      <c r="BB687" s="644" t="s">
        <v>1071</v>
      </c>
      <c r="BC687" s="544" t="s">
        <v>115</v>
      </c>
      <c r="BD687" s="544" t="s">
        <v>115</v>
      </c>
      <c r="BE687" s="544" t="s">
        <v>1308</v>
      </c>
      <c r="BF687" s="544" t="s">
        <v>115</v>
      </c>
      <c r="BG687" s="544" t="s">
        <v>115</v>
      </c>
      <c r="BH687" s="741"/>
      <c r="BI687" s="1032"/>
      <c r="BJ687" s="1032"/>
      <c r="BK687" s="1032"/>
      <c r="BL687" s="1032"/>
      <c r="BM687" s="1032"/>
      <c r="BN687" s="1032"/>
      <c r="BO687" s="1032"/>
      <c r="BP687" s="1032"/>
      <c r="BQ687" s="1032"/>
      <c r="BR687" s="1032"/>
      <c r="BS687" s="1032"/>
      <c r="BT687" s="1032"/>
      <c r="BU687" s="1032"/>
      <c r="BV687" s="1032"/>
      <c r="BW687" s="1032"/>
      <c r="BX687" s="1032"/>
      <c r="BY687" s="1032"/>
      <c r="BZ687" s="1032"/>
      <c r="CA687" s="485"/>
      <c r="CB687" s="547">
        <v>685</v>
      </c>
      <c r="CC687" s="1481" t="b">
        <v>1</v>
      </c>
      <c r="CD687" t="str">
        <f>Table15[[#This Row],[Engineering Number]]&amp;Table15[[#This Row],[WO Number]]&amp;Table15[[#This Row],[Date Assigned to Designer]]&amp;Table15[[#This Row],[Date Completed]]</f>
        <v>N13168-4474944776</v>
      </c>
    </row>
    <row r="688" spans="1:82" customFormat="1" ht="15" customHeight="1" x14ac:dyDescent="0.25">
      <c r="A688">
        <v>2022</v>
      </c>
      <c r="B688" s="8" t="s">
        <v>730</v>
      </c>
      <c r="C688" s="8" t="s">
        <v>4687</v>
      </c>
      <c r="D688" s="8" t="s">
        <v>4688</v>
      </c>
      <c r="E688" s="8" t="s">
        <v>104</v>
      </c>
      <c r="F688" s="8" t="s">
        <v>752</v>
      </c>
      <c r="G688" s="8" t="s">
        <v>34</v>
      </c>
      <c r="H688" s="8" t="s">
        <v>59</v>
      </c>
      <c r="I688" s="642">
        <v>44718</v>
      </c>
      <c r="J688" s="18">
        <v>44778</v>
      </c>
      <c r="K688" s="97">
        <v>44778</v>
      </c>
      <c r="L688" s="16">
        <f>IF(ISTEXT(Table15[[#This Row],[Engineering Approved Design Date]]),Table15[[#This Row],[Date Completed]]-Table15[[#This Row],[Date Assigned to Designer]],Table15[[#This Row],[Engineering Approved Design Date]]-Table15[[#This Row],[Date Completed]])</f>
        <v>0</v>
      </c>
      <c r="M688" s="642"/>
      <c r="N688" s="642" t="s">
        <v>120</v>
      </c>
      <c r="O688" s="1025">
        <f>Table15[[#This Row],[Date Completed]]</f>
        <v>44778</v>
      </c>
      <c r="P688" s="21" t="s">
        <v>739</v>
      </c>
      <c r="Q688" s="1061">
        <f>(Table15[[#This Row],[Construction Cost to Bill From]]*0.085)+(5250*1)</f>
        <v>35622.770349999999</v>
      </c>
      <c r="R688" s="1026" t="s">
        <v>794</v>
      </c>
      <c r="S688" s="538"/>
      <c r="T688" s="538"/>
      <c r="U688" s="87"/>
      <c r="V688" s="858"/>
      <c r="W688" s="437"/>
      <c r="X688" s="552">
        <v>319492.12</v>
      </c>
      <c r="Y688" s="551"/>
      <c r="Z688" s="552">
        <v>37834.589999999997</v>
      </c>
      <c r="AA688" s="551">
        <f>Table15[[#This Row],[PCTS Investment Amount]]+Table15[[#This Row],[PCTS Retirement Amount]]</f>
        <v>357326.70999999996</v>
      </c>
      <c r="AB688" s="341">
        <v>44790</v>
      </c>
      <c r="AC688" s="568" t="s">
        <v>116</v>
      </c>
      <c r="AD688" s="1157" t="s">
        <v>29</v>
      </c>
      <c r="AE688" s="579"/>
      <c r="AF688" s="579"/>
      <c r="AG688" s="579"/>
      <c r="AH688" s="553"/>
      <c r="AI688" s="1036"/>
      <c r="AJ688" s="1037"/>
      <c r="AK688" s="1037"/>
      <c r="AL688" s="1038"/>
      <c r="AM688" s="1522" t="s">
        <v>116</v>
      </c>
      <c r="AN688" s="1523">
        <v>44810</v>
      </c>
      <c r="AO688" s="1524">
        <v>11045199</v>
      </c>
      <c r="AP688" s="1525">
        <v>319616.81</v>
      </c>
      <c r="AQ688" s="1525"/>
      <c r="AR688" s="1525">
        <v>37827.51</v>
      </c>
      <c r="AS688" s="1525">
        <f>IF(Table15[[#This Row],[PCTS Approved]]="N",0,Table15[[#This Row],[Investment Amount (1'#'#'#'#'#)]]+Table15[[#This Row],[Retirement Amount (3'#'#'#'#'#)]])</f>
        <v>357444.32</v>
      </c>
      <c r="AT688" s="1525">
        <f>IF(Table15[[#This Row],[Approved Construction Cost]]=0,0,Table15[[#This Row],[Approved Construction Cost]]-Table15[[#This Row],[Construction Cost to Bill From]])</f>
        <v>117.61000000004424</v>
      </c>
      <c r="AU688" s="1525">
        <f>IFERROR(Table15[[#This Row],[Difference in Construction Cost]]*Table15[[#This Row],[Rate]],Table15[[#This Row],[Difference in Construction Cost]]*0.085)</f>
        <v>9.9968500000037608</v>
      </c>
      <c r="AV688" s="1525" t="s">
        <v>709</v>
      </c>
      <c r="AW688" s="1526"/>
      <c r="AX688" s="1525">
        <f>Table15[[#This Row],[Reconcile Amount]]</f>
        <v>9.9968500000037608</v>
      </c>
      <c r="AY688" s="1518">
        <v>45008</v>
      </c>
      <c r="AZ688" s="333"/>
      <c r="BA688" s="1031" t="s">
        <v>4689</v>
      </c>
      <c r="BB688" s="644" t="s">
        <v>4690</v>
      </c>
      <c r="BC688" s="544" t="s">
        <v>115</v>
      </c>
      <c r="BD688" s="544" t="s">
        <v>115</v>
      </c>
      <c r="BE688" s="544" t="s">
        <v>4691</v>
      </c>
      <c r="BF688" s="544" t="s">
        <v>115</v>
      </c>
      <c r="BG688" s="544" t="s">
        <v>115</v>
      </c>
      <c r="BH688" s="741"/>
      <c r="BI688" s="547" t="s">
        <v>709</v>
      </c>
      <c r="BJ688" s="547" t="s">
        <v>709</v>
      </c>
      <c r="BK688" s="547" t="s">
        <v>116</v>
      </c>
      <c r="BL688" s="547" t="s">
        <v>709</v>
      </c>
      <c r="BM688" s="547" t="s">
        <v>709</v>
      </c>
      <c r="BN688" s="547" t="s">
        <v>709</v>
      </c>
      <c r="BO688" s="547" t="s">
        <v>709</v>
      </c>
      <c r="BP688" s="547" t="s">
        <v>709</v>
      </c>
      <c r="BQ688" s="547" t="s">
        <v>709</v>
      </c>
      <c r="BR688" s="547">
        <v>82</v>
      </c>
      <c r="BS688" s="547">
        <v>4</v>
      </c>
      <c r="BT688" s="547" t="s">
        <v>745</v>
      </c>
      <c r="BU688" s="547" t="s">
        <v>709</v>
      </c>
      <c r="BV688" s="547" t="s">
        <v>745</v>
      </c>
      <c r="BW688" s="547">
        <v>2</v>
      </c>
      <c r="BX688" s="547">
        <v>1</v>
      </c>
      <c r="BY688" s="547" t="s">
        <v>745</v>
      </c>
      <c r="BZ688" s="547" t="s">
        <v>709</v>
      </c>
      <c r="CA688" s="483"/>
      <c r="CB688" s="547">
        <v>686</v>
      </c>
      <c r="CC688" s="1481" t="b">
        <v>1</v>
      </c>
      <c r="CD688" t="str">
        <f>Table15[[#This Row],[Engineering Number]]&amp;Table15[[#This Row],[WO Number]]&amp;Table15[[#This Row],[Date Assigned to Designer]]&amp;Table15[[#This Row],[Date Completed]]</f>
        <v>RS104410115064471844778</v>
      </c>
    </row>
    <row r="689" spans="1:82" customFormat="1" ht="15" customHeight="1" x14ac:dyDescent="0.25">
      <c r="A689">
        <v>2021</v>
      </c>
      <c r="B689" s="8" t="s">
        <v>4</v>
      </c>
      <c r="C689" s="8" t="s">
        <v>2851</v>
      </c>
      <c r="D689" s="8" t="s">
        <v>2852</v>
      </c>
      <c r="E689" s="8" t="s">
        <v>818</v>
      </c>
      <c r="F689" s="8" t="s">
        <v>919</v>
      </c>
      <c r="G689" s="8" t="s">
        <v>36</v>
      </c>
      <c r="H689" s="8" t="s">
        <v>4001</v>
      </c>
      <c r="I689" s="642">
        <v>44502</v>
      </c>
      <c r="J689" s="175" t="s">
        <v>2052</v>
      </c>
      <c r="K689" s="97">
        <v>44778</v>
      </c>
      <c r="L689" s="16">
        <f>IF(ISTEXT(Table15[[#This Row],[Engineering Approved Design Date]]),Table15[[#This Row],[Date Completed]]-Table15[[#This Row],[Date Assigned to Designer]],Table15[[#This Row],[Engineering Approved Design Date]]-Table15[[#This Row],[Date Completed]])</f>
        <v>276</v>
      </c>
      <c r="M689" t="s">
        <v>4683</v>
      </c>
      <c r="N689" s="642" t="s">
        <v>120</v>
      </c>
      <c r="O689" s="1025">
        <f>Table15[[#This Row],[Date Completed]]</f>
        <v>44778</v>
      </c>
      <c r="P689" s="21" t="s">
        <v>739</v>
      </c>
      <c r="Q689" s="1061">
        <f>Table15[[#This Row],[KH Hourly Effort]]</f>
        <v>16122.5</v>
      </c>
      <c r="R689" s="1026" t="s">
        <v>1922</v>
      </c>
      <c r="S689" s="538"/>
      <c r="T689" s="538"/>
      <c r="U689" s="300">
        <v>16122.5</v>
      </c>
      <c r="V689" s="858"/>
      <c r="W689" s="437"/>
      <c r="X689" s="538"/>
      <c r="Y689" s="551"/>
      <c r="Z689" s="538"/>
      <c r="AA689" s="538"/>
      <c r="AB689" s="21"/>
      <c r="AC689" s="569"/>
      <c r="AD689" s="1149" t="s">
        <v>709</v>
      </c>
      <c r="AE689" s="580"/>
      <c r="AF689" s="580"/>
      <c r="AG689" s="580"/>
      <c r="AH689" s="542"/>
      <c r="AI689" s="1028"/>
      <c r="AJ689" s="1029"/>
      <c r="AK689" s="1029"/>
      <c r="AL689" s="1030"/>
      <c r="AM689" s="542" t="s">
        <v>709</v>
      </c>
      <c r="AN689" s="924"/>
      <c r="AO689" s="925"/>
      <c r="AP689" s="926"/>
      <c r="AQ689" s="926"/>
      <c r="AR689" s="926"/>
      <c r="AS689" s="926"/>
      <c r="AT689" s="926"/>
      <c r="AU689" s="926"/>
      <c r="AV689" s="926"/>
      <c r="AW689" s="927"/>
      <c r="AX689" s="926"/>
      <c r="AY689" s="1538" t="s">
        <v>29</v>
      </c>
      <c r="AZ689" s="1530"/>
      <c r="BA689" s="1031">
        <v>12</v>
      </c>
      <c r="BB689" s="644" t="s">
        <v>4684</v>
      </c>
      <c r="BC689" s="544" t="s">
        <v>709</v>
      </c>
      <c r="BD689" s="544" t="s">
        <v>4685</v>
      </c>
      <c r="BE689" s="544"/>
      <c r="BF689" s="544"/>
      <c r="BG689" s="544"/>
      <c r="BH689" s="741"/>
      <c r="BI689" s="547" t="s">
        <v>709</v>
      </c>
      <c r="BJ689" s="547" t="s">
        <v>709</v>
      </c>
      <c r="BK689" s="547" t="s">
        <v>709</v>
      </c>
      <c r="BL689" s="547" t="s">
        <v>116</v>
      </c>
      <c r="BM689" s="547" t="s">
        <v>709</v>
      </c>
      <c r="BN689" s="547" t="s">
        <v>709</v>
      </c>
      <c r="BO689" s="547" t="s">
        <v>709</v>
      </c>
      <c r="BP689" s="547">
        <v>390</v>
      </c>
      <c r="BQ689" s="547" t="s">
        <v>709</v>
      </c>
      <c r="BR689" s="547" t="s">
        <v>709</v>
      </c>
      <c r="BS689" s="547">
        <v>732</v>
      </c>
      <c r="BT689" s="547" t="s">
        <v>745</v>
      </c>
      <c r="BU689" s="547" t="s">
        <v>709</v>
      </c>
      <c r="BV689" s="547" t="s">
        <v>745</v>
      </c>
      <c r="BW689" s="547" t="s">
        <v>709</v>
      </c>
      <c r="BX689" s="547" t="s">
        <v>745</v>
      </c>
      <c r="BY689" s="547" t="s">
        <v>745</v>
      </c>
      <c r="BZ689" s="547" t="s">
        <v>709</v>
      </c>
      <c r="CA689" s="483"/>
      <c r="CB689" s="547">
        <v>687</v>
      </c>
      <c r="CC689" s="1481" t="b">
        <v>1</v>
      </c>
      <c r="CD689" t="str">
        <f>Table15[[#This Row],[Engineering Number]]&amp;Table15[[#This Row],[WO Number]]&amp;Table15[[#This Row],[Date Assigned to Designer]]&amp;Table15[[#This Row],[Date Completed]]</f>
        <v>SC177521356914450244778</v>
      </c>
    </row>
    <row r="690" spans="1:82" customFormat="1" ht="15" customHeight="1" x14ac:dyDescent="0.25">
      <c r="A690">
        <v>2023</v>
      </c>
      <c r="B690" s="8" t="s">
        <v>771</v>
      </c>
      <c r="C690" s="8" t="s">
        <v>4693</v>
      </c>
      <c r="D690" s="8" t="s">
        <v>4694</v>
      </c>
      <c r="E690" s="8" t="s">
        <v>958</v>
      </c>
      <c r="F690" s="8" t="s">
        <v>738</v>
      </c>
      <c r="G690" s="8" t="s">
        <v>24</v>
      </c>
      <c r="H690" s="8" t="s">
        <v>59</v>
      </c>
      <c r="I690" s="642">
        <v>44721</v>
      </c>
      <c r="J690" s="18">
        <v>44820</v>
      </c>
      <c r="K690" s="97">
        <v>44781</v>
      </c>
      <c r="L690" s="16">
        <f>IF(ISTEXT(Table15[[#This Row],[Engineering Approved Design Date]]),Table15[[#This Row],[Date Completed]]-Table15[[#This Row],[Date Assigned to Designer]],Table15[[#This Row],[Engineering Approved Design Date]]-Table15[[#This Row],[Date Completed]])</f>
        <v>39</v>
      </c>
      <c r="M690" s="642"/>
      <c r="N690" s="642" t="s">
        <v>120</v>
      </c>
      <c r="O690" s="1025">
        <f>Table15[[#This Row],[Date Completed]]</f>
        <v>44781</v>
      </c>
      <c r="P690" s="21" t="s">
        <v>120</v>
      </c>
      <c r="Q690" s="1061">
        <f>R690*AA690</f>
        <v>31492.376999999997</v>
      </c>
      <c r="R690" s="1026">
        <v>0.09</v>
      </c>
      <c r="S690" s="538" t="s">
        <v>709</v>
      </c>
      <c r="T690" s="538" t="s">
        <v>709</v>
      </c>
      <c r="U690" s="87" t="s">
        <v>709</v>
      </c>
      <c r="V690" s="858">
        <v>1674</v>
      </c>
      <c r="W690" s="437"/>
      <c r="X690" s="552">
        <v>328564</v>
      </c>
      <c r="Y690" s="551"/>
      <c r="Z690" s="552">
        <v>21351.3</v>
      </c>
      <c r="AA690" s="552">
        <f>Table15[[#This Row],[PCTS Investment Amount]]+Table15[[#This Row],[PCTS Retirement Amount]]</f>
        <v>349915.3</v>
      </c>
      <c r="AB690" s="341">
        <v>44783</v>
      </c>
      <c r="AC690" s="568" t="s">
        <v>709</v>
      </c>
      <c r="AD690" s="1157"/>
      <c r="AE690" s="568"/>
      <c r="AF690" s="568"/>
      <c r="AG690" s="568"/>
      <c r="AH690" s="183"/>
      <c r="AI690" s="1036"/>
      <c r="AJ690" s="1037"/>
      <c r="AK690" s="1037"/>
      <c r="AL690" s="1038"/>
      <c r="AM690" s="1522" t="s">
        <v>116</v>
      </c>
      <c r="AN690" s="1523">
        <v>44792</v>
      </c>
      <c r="AO690" s="1524">
        <v>11044233</v>
      </c>
      <c r="AP690" s="1525">
        <v>328588.61</v>
      </c>
      <c r="AQ690" s="1525"/>
      <c r="AR690" s="1525">
        <v>21351.3</v>
      </c>
      <c r="AS690" s="1525">
        <f>IF(Table15[[#This Row],[PCTS Approved]]="N",0,Table15[[#This Row],[Investment Amount (1'#'#'#'#'#)]]+Table15[[#This Row],[Retirement Amount (3'#'#'#'#'#)]])</f>
        <v>349939.91</v>
      </c>
      <c r="AT690" s="1525">
        <f>IF(Table15[[#This Row],[Approved Construction Cost]]=0,0,Table15[[#This Row],[Approved Construction Cost]]-Table15[[#This Row],[Construction Cost to Bill From]])</f>
        <v>24.60999999998603</v>
      </c>
      <c r="AU690" s="1525">
        <f>IFERROR(Table15[[#This Row],[Difference in Construction Cost]]*Table15[[#This Row],[Rate]],Table15[[#This Row],[Difference in Construction Cost]]*0.085)</f>
        <v>2.2148999999987424</v>
      </c>
      <c r="AV690" s="1525" t="s">
        <v>709</v>
      </c>
      <c r="AW690" s="1526"/>
      <c r="AX690" s="1525">
        <f>Table15[[#This Row],[Reconcile Amount]]</f>
        <v>2.2148999999987424</v>
      </c>
      <c r="AY690" s="1518">
        <v>45008</v>
      </c>
      <c r="AZ690" s="333"/>
      <c r="BA690" s="1031" t="s">
        <v>4695</v>
      </c>
      <c r="BB690" s="644" t="s">
        <v>3507</v>
      </c>
      <c r="BC690" s="544" t="s">
        <v>115</v>
      </c>
      <c r="BD690" s="544" t="s">
        <v>115</v>
      </c>
      <c r="BE690" s="544" t="s">
        <v>592</v>
      </c>
      <c r="BF690" s="544" t="s">
        <v>115</v>
      </c>
      <c r="BG690" s="544" t="s">
        <v>115</v>
      </c>
      <c r="BH690" s="741"/>
      <c r="BI690" s="547" t="s">
        <v>709</v>
      </c>
      <c r="BJ690" s="547" t="s">
        <v>709</v>
      </c>
      <c r="BK690" s="547" t="s">
        <v>709</v>
      </c>
      <c r="BL690" s="547" t="s">
        <v>116</v>
      </c>
      <c r="BM690" s="547" t="s">
        <v>709</v>
      </c>
      <c r="BN690" s="547" t="s">
        <v>709</v>
      </c>
      <c r="BO690" s="547" t="s">
        <v>709</v>
      </c>
      <c r="BP690" s="547" t="s">
        <v>709</v>
      </c>
      <c r="BQ690" s="547" t="s">
        <v>709</v>
      </c>
      <c r="BR690" s="547" t="s">
        <v>709</v>
      </c>
      <c r="BS690" s="547">
        <v>1674</v>
      </c>
      <c r="BT690" s="547" t="s">
        <v>745</v>
      </c>
      <c r="BU690" s="547" t="s">
        <v>709</v>
      </c>
      <c r="BV690" s="547" t="s">
        <v>745</v>
      </c>
      <c r="BW690" s="547" t="s">
        <v>709</v>
      </c>
      <c r="BX690" s="547" t="s">
        <v>745</v>
      </c>
      <c r="BY690" s="547" t="s">
        <v>745</v>
      </c>
      <c r="BZ690" s="547" t="s">
        <v>709</v>
      </c>
      <c r="CA690" s="483"/>
      <c r="CB690" s="547">
        <v>688</v>
      </c>
      <c r="CC690" s="1481" t="b">
        <v>1</v>
      </c>
      <c r="CD690" t="str">
        <f>Table15[[#This Row],[Engineering Number]]&amp;Table15[[#This Row],[WO Number]]&amp;Table15[[#This Row],[Date Assigned to Designer]]&amp;Table15[[#This Row],[Date Completed]]</f>
        <v>BS37712115134472144781</v>
      </c>
    </row>
    <row r="691" spans="1:82" customFormat="1" ht="15" customHeight="1" x14ac:dyDescent="0.25">
      <c r="A691">
        <v>2023</v>
      </c>
      <c r="B691" s="8" t="s">
        <v>771</v>
      </c>
      <c r="C691" s="8" t="s">
        <v>4697</v>
      </c>
      <c r="D691" s="8" t="s">
        <v>4698</v>
      </c>
      <c r="E691" s="8" t="s">
        <v>354</v>
      </c>
      <c r="F691" s="8" t="s">
        <v>738</v>
      </c>
      <c r="G691" s="8" t="s">
        <v>27</v>
      </c>
      <c r="H691" s="8" t="s">
        <v>59</v>
      </c>
      <c r="I691" s="642">
        <v>44721</v>
      </c>
      <c r="J691" s="18">
        <v>44820</v>
      </c>
      <c r="K691" s="97">
        <v>44781</v>
      </c>
      <c r="L691" s="16">
        <f>IF(ISTEXT(Table15[[#This Row],[Engineering Approved Design Date]]),Table15[[#This Row],[Date Completed]]-Table15[[#This Row],[Date Assigned to Designer]],Table15[[#This Row],[Engineering Approved Design Date]]-Table15[[#This Row],[Date Completed]])</f>
        <v>39</v>
      </c>
      <c r="M691" s="642"/>
      <c r="N691" s="642" t="s">
        <v>120</v>
      </c>
      <c r="O691" s="1025">
        <f>Table15[[#This Row],[Date Completed]]</f>
        <v>44781</v>
      </c>
      <c r="P691" s="21" t="s">
        <v>120</v>
      </c>
      <c r="Q691" s="1061">
        <f>R691*AA691</f>
        <v>18376.2297</v>
      </c>
      <c r="R691" s="1026">
        <v>0.09</v>
      </c>
      <c r="S691" s="538" t="s">
        <v>709</v>
      </c>
      <c r="T691" s="538" t="s">
        <v>709</v>
      </c>
      <c r="U691" s="87" t="s">
        <v>709</v>
      </c>
      <c r="V691" s="858">
        <v>751</v>
      </c>
      <c r="W691" s="437"/>
      <c r="X691" s="552">
        <v>187055.31</v>
      </c>
      <c r="Y691" s="551"/>
      <c r="Z691" s="552">
        <v>17125.02</v>
      </c>
      <c r="AA691" s="552">
        <f>Table15[[#This Row],[PCTS Investment Amount]]+Table15[[#This Row],[PCTS Retirement Amount]]</f>
        <v>204180.33</v>
      </c>
      <c r="AB691" s="341">
        <v>44783</v>
      </c>
      <c r="AC691" s="568" t="s">
        <v>709</v>
      </c>
      <c r="AD691" s="1157"/>
      <c r="AE691" s="568"/>
      <c r="AF691" s="568"/>
      <c r="AG691" s="568"/>
      <c r="AH691" s="183"/>
      <c r="AI691" s="1036"/>
      <c r="AJ691" s="1037"/>
      <c r="AK691" s="1037"/>
      <c r="AL691" s="1038"/>
      <c r="AM691" s="1522" t="s">
        <v>116</v>
      </c>
      <c r="AN691" s="1523">
        <v>44865</v>
      </c>
      <c r="AO691" s="1524">
        <v>11048468</v>
      </c>
      <c r="AP691" s="1525">
        <v>187107.71</v>
      </c>
      <c r="AQ691" s="1525"/>
      <c r="AR691" s="1525">
        <v>17117.939999999999</v>
      </c>
      <c r="AS691" s="1525">
        <f>IF(Table15[[#This Row],[PCTS Approved]]="N",0,Table15[[#This Row],[Investment Amount (1'#'#'#'#'#)]]+Table15[[#This Row],[Retirement Amount (3'#'#'#'#'#)]])</f>
        <v>204225.65</v>
      </c>
      <c r="AT691" s="1525">
        <f>IF(Table15[[#This Row],[Approved Construction Cost]]=0,0,Table15[[#This Row],[Approved Construction Cost]]-Table15[[#This Row],[Construction Cost to Bill From]])</f>
        <v>45.320000000006985</v>
      </c>
      <c r="AU691" s="1525">
        <f>IFERROR(Table15[[#This Row],[Difference in Construction Cost]]*Table15[[#This Row],[Rate]],Table15[[#This Row],[Difference in Construction Cost]]*0.085)</f>
        <v>4.0788000000006281</v>
      </c>
      <c r="AV691" s="1525" t="s">
        <v>709</v>
      </c>
      <c r="AW691" s="1526"/>
      <c r="AX691" s="1525">
        <f>Table15[[#This Row],[Reconcile Amount]]</f>
        <v>4.0788000000006281</v>
      </c>
      <c r="AY691" s="1518">
        <v>45008</v>
      </c>
      <c r="AZ691" s="333"/>
      <c r="BA691" s="1031" t="s">
        <v>4699</v>
      </c>
      <c r="BB691" s="644" t="s">
        <v>4700</v>
      </c>
      <c r="BC691" s="544" t="s">
        <v>116</v>
      </c>
      <c r="BD691" s="544" t="s">
        <v>115</v>
      </c>
      <c r="BE691" s="544" t="s">
        <v>588</v>
      </c>
      <c r="BF691" s="544" t="s">
        <v>115</v>
      </c>
      <c r="BG691" s="544" t="s">
        <v>115</v>
      </c>
      <c r="BH691" s="741"/>
      <c r="BI691" s="547" t="s">
        <v>709</v>
      </c>
      <c r="BJ691" s="547" t="s">
        <v>709</v>
      </c>
      <c r="BK691" s="547" t="s">
        <v>709</v>
      </c>
      <c r="BL691" s="547" t="s">
        <v>116</v>
      </c>
      <c r="BM691" s="547" t="s">
        <v>709</v>
      </c>
      <c r="BN691" s="547" t="s">
        <v>709</v>
      </c>
      <c r="BO691" s="547" t="s">
        <v>709</v>
      </c>
      <c r="BP691" s="547" t="s">
        <v>709</v>
      </c>
      <c r="BQ691" s="547" t="s">
        <v>709</v>
      </c>
      <c r="BR691" s="547">
        <v>751</v>
      </c>
      <c r="BS691" s="547" t="s">
        <v>709</v>
      </c>
      <c r="BT691" s="547" t="s">
        <v>745</v>
      </c>
      <c r="BU691" s="547" t="s">
        <v>709</v>
      </c>
      <c r="BV691" s="547" t="s">
        <v>745</v>
      </c>
      <c r="BW691" s="547" t="s">
        <v>709</v>
      </c>
      <c r="BX691" s="547" t="s">
        <v>745</v>
      </c>
      <c r="BY691" s="547" t="s">
        <v>745</v>
      </c>
      <c r="BZ691" s="547" t="s">
        <v>709</v>
      </c>
      <c r="CA691" s="483"/>
      <c r="CB691" s="547">
        <v>689</v>
      </c>
      <c r="CC691" s="1481" t="b">
        <v>1</v>
      </c>
      <c r="CD691" t="str">
        <f>Table15[[#This Row],[Engineering Number]]&amp;Table15[[#This Row],[WO Number]]&amp;Table15[[#This Row],[Date Assigned to Designer]]&amp;Table15[[#This Row],[Date Completed]]</f>
        <v>BS38312115164472144781</v>
      </c>
    </row>
    <row r="692" spans="1:82" customFormat="1" ht="15" customHeight="1" x14ac:dyDescent="0.25">
      <c r="A692">
        <v>2022</v>
      </c>
      <c r="B692" s="8" t="s">
        <v>771</v>
      </c>
      <c r="C692" s="8" t="s">
        <v>4444</v>
      </c>
      <c r="D692" s="8" t="s">
        <v>4445</v>
      </c>
      <c r="E692" s="8" t="s">
        <v>218</v>
      </c>
      <c r="F692" s="8" t="s">
        <v>747</v>
      </c>
      <c r="G692" s="8" t="s">
        <v>22</v>
      </c>
      <c r="H692" s="8" t="s">
        <v>4702</v>
      </c>
      <c r="I692" s="642">
        <v>44742</v>
      </c>
      <c r="J692" s="175" t="s">
        <v>4110</v>
      </c>
      <c r="K692" s="97">
        <v>44782</v>
      </c>
      <c r="L692" s="16">
        <f>IF(ISTEXT(Table15[[#This Row],[Engineering Approved Design Date]]),Table15[[#This Row],[Date Completed]]-Table15[[#This Row],[Date Assigned to Designer]],Table15[[#This Row],[Engineering Approved Design Date]]-Table15[[#This Row],[Date Completed]])</f>
        <v>40</v>
      </c>
      <c r="N692" s="642" t="s">
        <v>120</v>
      </c>
      <c r="O692" s="1025">
        <f>Table15[[#This Row],[Date Completed]]</f>
        <v>44782</v>
      </c>
      <c r="P692" s="21" t="s">
        <v>120</v>
      </c>
      <c r="Q692" s="1061" t="s">
        <v>115</v>
      </c>
      <c r="R692" s="1026" t="s">
        <v>115</v>
      </c>
      <c r="S692" s="538"/>
      <c r="T692" s="538"/>
      <c r="U692" s="1057"/>
      <c r="V692" s="858"/>
      <c r="W692" s="437"/>
      <c r="X692" s="538"/>
      <c r="Y692" s="551"/>
      <c r="Z692" s="538"/>
      <c r="AA692" s="538"/>
      <c r="AB692" s="21"/>
      <c r="AC692" s="569" t="s">
        <v>709</v>
      </c>
      <c r="AD692" s="1149"/>
      <c r="AE692" s="569"/>
      <c r="AF692" s="569"/>
      <c r="AG692" s="569"/>
      <c r="AH692" s="536"/>
      <c r="AI692" s="1028"/>
      <c r="AJ692" s="1029"/>
      <c r="AK692" s="1029"/>
      <c r="AL692" s="1030"/>
      <c r="AM692" s="542" t="s">
        <v>709</v>
      </c>
      <c r="AN692" s="924"/>
      <c r="AO692" s="925"/>
      <c r="AP692" s="926"/>
      <c r="AQ692" s="926"/>
      <c r="AR692" s="926"/>
      <c r="AS692" s="926"/>
      <c r="AT692" s="926"/>
      <c r="AU692" s="926"/>
      <c r="AV692" s="926"/>
      <c r="AW692" s="927"/>
      <c r="AX692" s="926"/>
      <c r="AY692" s="1538" t="s">
        <v>29</v>
      </c>
      <c r="AZ692" s="1530"/>
      <c r="BA692" s="1031"/>
      <c r="BB692" s="644"/>
      <c r="BC692" s="544"/>
      <c r="BD692" s="544"/>
      <c r="BE692" s="544"/>
      <c r="BF692" s="544"/>
      <c r="BG692" s="544"/>
      <c r="BH692" s="741"/>
      <c r="BI692" s="547" t="s">
        <v>709</v>
      </c>
      <c r="BJ692" s="547" t="s">
        <v>709</v>
      </c>
      <c r="BK692" s="547" t="s">
        <v>116</v>
      </c>
      <c r="BL692" s="547" t="s">
        <v>709</v>
      </c>
      <c r="BM692" s="547" t="s">
        <v>709</v>
      </c>
      <c r="BN692" s="547" t="s">
        <v>709</v>
      </c>
      <c r="BO692" s="547" t="s">
        <v>709</v>
      </c>
      <c r="BP692" s="547" t="s">
        <v>116</v>
      </c>
      <c r="BQ692" s="547" t="s">
        <v>709</v>
      </c>
      <c r="BR692" s="547" t="s">
        <v>116</v>
      </c>
      <c r="BS692" s="547" t="s">
        <v>116</v>
      </c>
      <c r="BT692" s="547" t="s">
        <v>116</v>
      </c>
      <c r="BU692" s="547" t="s">
        <v>709</v>
      </c>
      <c r="BV692" s="547" t="s">
        <v>745</v>
      </c>
      <c r="BW692" s="547" t="s">
        <v>709</v>
      </c>
      <c r="BX692" s="547" t="s">
        <v>116</v>
      </c>
      <c r="BY692" s="547" t="s">
        <v>745</v>
      </c>
      <c r="BZ692" s="547" t="s">
        <v>709</v>
      </c>
      <c r="CA692" s="483"/>
      <c r="CB692" s="547">
        <v>691</v>
      </c>
      <c r="CC692" s="1481" t="b">
        <v>1</v>
      </c>
      <c r="CD692" t="str">
        <f>Table15[[#This Row],[Engineering Number]]&amp;Table15[[#This Row],[WO Number]]&amp;Table15[[#This Row],[Date Assigned to Designer]]&amp;Table15[[#This Row],[Date Completed]]</f>
        <v>BS45914108004474244782</v>
      </c>
    </row>
    <row r="693" spans="1:82" customFormat="1" ht="15" customHeight="1" x14ac:dyDescent="0.25">
      <c r="A693">
        <v>2022</v>
      </c>
      <c r="B693" s="8" t="s">
        <v>769</v>
      </c>
      <c r="C693" s="8" t="s">
        <v>1284</v>
      </c>
      <c r="D693" s="8" t="s">
        <v>1285</v>
      </c>
      <c r="E693" s="8" t="s">
        <v>1286</v>
      </c>
      <c r="F693" s="8" t="s">
        <v>752</v>
      </c>
      <c r="G693" s="8" t="s">
        <v>23</v>
      </c>
      <c r="H693" s="8" t="s">
        <v>3178</v>
      </c>
      <c r="I693" s="642">
        <v>44747</v>
      </c>
      <c r="J693" s="175" t="s">
        <v>2052</v>
      </c>
      <c r="K693" s="97">
        <v>44782</v>
      </c>
      <c r="L693" s="16">
        <f>IF(ISTEXT(Table15[[#This Row],[Engineering Approved Design Date]]),Table15[[#This Row],[Date Completed]]-Table15[[#This Row],[Date Assigned to Designer]],Table15[[#This Row],[Engineering Approved Design Date]]-Table15[[#This Row],[Date Completed]])</f>
        <v>35</v>
      </c>
      <c r="M693" t="s">
        <v>4704</v>
      </c>
      <c r="N693" s="642" t="s">
        <v>120</v>
      </c>
      <c r="O693" s="1025">
        <f>Table15[[#This Row],[Date Completed]]</f>
        <v>44782</v>
      </c>
      <c r="P693" s="21" t="s">
        <v>739</v>
      </c>
      <c r="Q693" s="1061">
        <f>Table15[[#This Row],[KH Hourly Effort]]</f>
        <v>8707.5</v>
      </c>
      <c r="R693" s="1026" t="s">
        <v>1922</v>
      </c>
      <c r="S693" s="538"/>
      <c r="T693" s="538"/>
      <c r="U693" s="300">
        <v>8707.5</v>
      </c>
      <c r="V693" s="858"/>
      <c r="W693" s="437"/>
      <c r="X693" s="538"/>
      <c r="Y693" s="551"/>
      <c r="Z693" s="538"/>
      <c r="AA693" s="538"/>
      <c r="AB693" s="21"/>
      <c r="AC693" s="569" t="s">
        <v>1056</v>
      </c>
      <c r="AD693" s="1149" t="s">
        <v>29</v>
      </c>
      <c r="AE693" s="580"/>
      <c r="AF693" s="580"/>
      <c r="AG693" s="580"/>
      <c r="AH693" s="542"/>
      <c r="AI693" s="1028"/>
      <c r="AJ693" s="1029"/>
      <c r="AK693" s="1029"/>
      <c r="AL693" s="1030"/>
      <c r="AM693" s="542" t="s">
        <v>709</v>
      </c>
      <c r="AN693" s="924"/>
      <c r="AO693" s="925"/>
      <c r="AP693" s="926"/>
      <c r="AQ693" s="926"/>
      <c r="AR693" s="926"/>
      <c r="AS693" s="926"/>
      <c r="AT693" s="926"/>
      <c r="AU693" s="926"/>
      <c r="AV693" s="926"/>
      <c r="AW693" s="927"/>
      <c r="AX693" s="926"/>
      <c r="AY693" s="1538" t="s">
        <v>29</v>
      </c>
      <c r="AZ693" s="1530"/>
      <c r="BA693" s="1031">
        <v>9</v>
      </c>
      <c r="BB693" s="644"/>
      <c r="BC693" s="544"/>
      <c r="BD693" s="544"/>
      <c r="BE693" s="544"/>
      <c r="BF693" s="544"/>
      <c r="BG693" s="544"/>
      <c r="BH693" s="741"/>
      <c r="BI693" s="547" t="s">
        <v>116</v>
      </c>
      <c r="BJ693" s="547" t="s">
        <v>116</v>
      </c>
      <c r="BK693" s="547" t="s">
        <v>709</v>
      </c>
      <c r="BL693" s="547" t="s">
        <v>116</v>
      </c>
      <c r="BM693" s="547" t="s">
        <v>709</v>
      </c>
      <c r="BN693" s="547" t="s">
        <v>709</v>
      </c>
      <c r="BO693" s="547" t="s">
        <v>709</v>
      </c>
      <c r="BP693" s="547" t="s">
        <v>709</v>
      </c>
      <c r="BQ693" s="547" t="s">
        <v>709</v>
      </c>
      <c r="BR693" s="547" t="s">
        <v>709</v>
      </c>
      <c r="BS693" s="547">
        <v>190</v>
      </c>
      <c r="BT693" s="547" t="s">
        <v>745</v>
      </c>
      <c r="BU693" s="547">
        <v>2</v>
      </c>
      <c r="BV693" s="547" t="s">
        <v>745</v>
      </c>
      <c r="BW693" s="547" t="s">
        <v>709</v>
      </c>
      <c r="BX693" s="547">
        <v>1</v>
      </c>
      <c r="BY693" s="547" t="s">
        <v>745</v>
      </c>
      <c r="BZ693" s="547" t="s">
        <v>709</v>
      </c>
      <c r="CA693" s="483" t="s">
        <v>769</v>
      </c>
      <c r="CB693" s="547">
        <v>690</v>
      </c>
      <c r="CC693" s="1481" t="b">
        <v>1</v>
      </c>
      <c r="CD693" t="str">
        <f>Table15[[#This Row],[Engineering Number]]&amp;Table15[[#This Row],[WO Number]]&amp;Table15[[#This Row],[Date Assigned to Designer]]&amp;Table15[[#This Row],[Date Completed]]</f>
        <v>RS99510111054474744782</v>
      </c>
    </row>
    <row r="694" spans="1:82" customFormat="1" ht="15" customHeight="1" x14ac:dyDescent="0.25">
      <c r="A694">
        <v>2022</v>
      </c>
      <c r="B694" s="8" t="s">
        <v>4</v>
      </c>
      <c r="C694" s="8" t="s">
        <v>873</v>
      </c>
      <c r="D694" s="8" t="s">
        <v>874</v>
      </c>
      <c r="E694" s="8" t="s">
        <v>104</v>
      </c>
      <c r="F694" s="8" t="s">
        <v>738</v>
      </c>
      <c r="G694" s="8" t="s">
        <v>39</v>
      </c>
      <c r="H694" s="8" t="s">
        <v>59</v>
      </c>
      <c r="I694" s="642">
        <v>43887</v>
      </c>
      <c r="J694" s="18">
        <v>44805</v>
      </c>
      <c r="K694" s="97">
        <v>44783</v>
      </c>
      <c r="L694" s="16">
        <f>IF(ISTEXT(Table15[[#This Row],[Engineering Approved Design Date]]),Table15[[#This Row],[Date Completed]]-Table15[[#This Row],[Date Assigned to Designer]],Table15[[#This Row],[Engineering Approved Design Date]]-Table15[[#This Row],[Date Completed]])</f>
        <v>22</v>
      </c>
      <c r="M694" s="642"/>
      <c r="N694" s="642" t="s">
        <v>120</v>
      </c>
      <c r="O694" s="1025">
        <f>Table15[[#This Row],[Date Completed]]</f>
        <v>44783</v>
      </c>
      <c r="P694" s="21" t="s">
        <v>739</v>
      </c>
      <c r="Q694" s="1061">
        <f>R694*AA694</f>
        <v>125940.702</v>
      </c>
      <c r="R694" s="1026">
        <v>0.1</v>
      </c>
      <c r="S694" s="538"/>
      <c r="T694" s="538"/>
      <c r="U694" s="87"/>
      <c r="V694" s="858">
        <v>2270</v>
      </c>
      <c r="W694" s="437"/>
      <c r="X694" s="552">
        <v>1015048.15</v>
      </c>
      <c r="Y694" s="551"/>
      <c r="Z694" s="552">
        <v>244358.87</v>
      </c>
      <c r="AA694" s="552">
        <f>Table15[[#This Row],[PCTS Investment Amount]]+Table15[[#This Row],[PCTS Retirement Amount]]</f>
        <v>1259407.02</v>
      </c>
      <c r="AB694" s="341">
        <v>44788</v>
      </c>
      <c r="AC694" s="568" t="s">
        <v>116</v>
      </c>
      <c r="AD694" s="1157"/>
      <c r="AE694" s="579"/>
      <c r="AF694" s="579"/>
      <c r="AG694" s="579"/>
      <c r="AH694" s="553"/>
      <c r="AI694" s="1036"/>
      <c r="AJ694" s="1037"/>
      <c r="AK694" s="1037"/>
      <c r="AL694" s="1038"/>
      <c r="AM694" s="1522" t="s">
        <v>116</v>
      </c>
      <c r="AN694" s="1523">
        <v>45363</v>
      </c>
      <c r="AO694" s="1524">
        <v>11031424</v>
      </c>
      <c r="AP694" s="1525">
        <v>1545806.63</v>
      </c>
      <c r="AQ694" s="1525"/>
      <c r="AR694" s="1525">
        <v>253895.6</v>
      </c>
      <c r="AS694" s="1525">
        <v>1799702.23</v>
      </c>
      <c r="AT694" s="1525">
        <v>540295.21</v>
      </c>
      <c r="AU694" s="1525">
        <v>54029.521000000001</v>
      </c>
      <c r="AV694" s="1525">
        <v>18355</v>
      </c>
      <c r="AW694" s="1526" t="s">
        <v>875</v>
      </c>
      <c r="AX694" s="1525">
        <v>0</v>
      </c>
      <c r="AY694" s="1518">
        <v>45566</v>
      </c>
      <c r="AZ694" s="333">
        <v>70</v>
      </c>
      <c r="BA694" s="859" t="s">
        <v>876</v>
      </c>
      <c r="BB694" s="644" t="s">
        <v>877</v>
      </c>
      <c r="BC694" s="544" t="s">
        <v>116</v>
      </c>
      <c r="BD694" s="544" t="s">
        <v>115</v>
      </c>
      <c r="BE694" s="544" t="s">
        <v>376</v>
      </c>
      <c r="BF694" s="544" t="s">
        <v>115</v>
      </c>
      <c r="BG694" s="544" t="s">
        <v>115</v>
      </c>
      <c r="BH694" s="741"/>
      <c r="BI694" s="547" t="s">
        <v>709</v>
      </c>
      <c r="BJ694" s="547" t="s">
        <v>709</v>
      </c>
      <c r="BK694" s="547" t="s">
        <v>709</v>
      </c>
      <c r="BL694" s="547" t="s">
        <v>116</v>
      </c>
      <c r="BM694" s="547" t="s">
        <v>709</v>
      </c>
      <c r="BN694" s="547" t="s">
        <v>709</v>
      </c>
      <c r="BO694" s="547" t="s">
        <v>709</v>
      </c>
      <c r="BP694" s="547">
        <v>1708</v>
      </c>
      <c r="BQ694" s="547" t="s">
        <v>709</v>
      </c>
      <c r="BR694" s="547" t="s">
        <v>709</v>
      </c>
      <c r="BS694" s="547">
        <v>562</v>
      </c>
      <c r="BT694" s="547" t="s">
        <v>745</v>
      </c>
      <c r="BU694" s="547" t="s">
        <v>709</v>
      </c>
      <c r="BV694" s="547" t="s">
        <v>745</v>
      </c>
      <c r="BW694" s="547" t="s">
        <v>709</v>
      </c>
      <c r="BX694" s="547" t="s">
        <v>745</v>
      </c>
      <c r="BY694" s="547" t="s">
        <v>745</v>
      </c>
      <c r="BZ694" s="547" t="s">
        <v>709</v>
      </c>
      <c r="CA694" s="483"/>
      <c r="CB694" s="547">
        <v>692</v>
      </c>
      <c r="CC694" s="1481" t="b">
        <v>1</v>
      </c>
      <c r="CD694" t="str">
        <f>Table15[[#This Row],[Engineering Number]]&amp;Table15[[#This Row],[WO Number]]&amp;Table15[[#This Row],[Date Assigned to Designer]]&amp;Table15[[#This Row],[Date Completed]]</f>
        <v>N132571292564388744783</v>
      </c>
    </row>
    <row r="695" spans="1:82" customFormat="1" ht="15" customHeight="1" x14ac:dyDescent="0.25">
      <c r="A695">
        <v>2022</v>
      </c>
      <c r="B695" s="8" t="s">
        <v>771</v>
      </c>
      <c r="C695" s="8" t="s">
        <v>3940</v>
      </c>
      <c r="D695" s="8" t="s">
        <v>3941</v>
      </c>
      <c r="E695" s="8" t="s">
        <v>3942</v>
      </c>
      <c r="F695" s="8" t="s">
        <v>747</v>
      </c>
      <c r="G695" s="8" t="s">
        <v>23</v>
      </c>
      <c r="H695" s="8" t="s">
        <v>4436</v>
      </c>
      <c r="I695" s="642">
        <v>44750</v>
      </c>
      <c r="J695" s="175" t="s">
        <v>2052</v>
      </c>
      <c r="K695" s="97">
        <v>44783</v>
      </c>
      <c r="L695" s="16">
        <f>IF(ISTEXT(Table15[[#This Row],[Engineering Approved Design Date]]),Table15[[#This Row],[Date Completed]]-Table15[[#This Row],[Date Assigned to Designer]],Table15[[#This Row],[Engineering Approved Design Date]]-Table15[[#This Row],[Date Completed]])</f>
        <v>33</v>
      </c>
      <c r="M695" t="s">
        <v>4704</v>
      </c>
      <c r="N695" s="642" t="s">
        <v>120</v>
      </c>
      <c r="O695" s="1025">
        <f>Table15[[#This Row],[Date Completed]]</f>
        <v>44783</v>
      </c>
      <c r="P695" s="21" t="s">
        <v>120</v>
      </c>
      <c r="Q695" s="1061">
        <f>Table15[[#This Row],[KH Hourly Effort]]</f>
        <v>5247.5</v>
      </c>
      <c r="R695" s="1026" t="s">
        <v>1922</v>
      </c>
      <c r="S695" s="538"/>
      <c r="T695" s="538"/>
      <c r="U695" s="300">
        <v>5247.5</v>
      </c>
      <c r="V695" s="858"/>
      <c r="W695" s="437"/>
      <c r="X695" s="538"/>
      <c r="Y695" s="551"/>
      <c r="Z695" s="538"/>
      <c r="AA695" s="538"/>
      <c r="AB695" s="21"/>
      <c r="AC695" s="569"/>
      <c r="AD695" s="1149" t="s">
        <v>116</v>
      </c>
      <c r="AE695" s="569"/>
      <c r="AF695" s="569"/>
      <c r="AG695" s="569"/>
      <c r="AH695" s="536"/>
      <c r="AI695" s="1028"/>
      <c r="AJ695" s="1029"/>
      <c r="AK695" s="1029"/>
      <c r="AL695" s="1030"/>
      <c r="AM695" s="542" t="s">
        <v>709</v>
      </c>
      <c r="AN695" s="924"/>
      <c r="AO695" s="925"/>
      <c r="AP695" s="926"/>
      <c r="AQ695" s="926"/>
      <c r="AR695" s="926"/>
      <c r="AS695" s="926"/>
      <c r="AT695" s="926"/>
      <c r="AU695" s="926"/>
      <c r="AV695" s="926"/>
      <c r="AW695" s="927"/>
      <c r="AX695" s="926"/>
      <c r="AY695" s="1538" t="s">
        <v>29</v>
      </c>
      <c r="AZ695" s="1530"/>
      <c r="BA695" s="1031">
        <v>9</v>
      </c>
      <c r="BB695" s="644"/>
      <c r="BC695" s="544"/>
      <c r="BD695" s="544"/>
      <c r="BE695" s="544"/>
      <c r="BF695" s="544"/>
      <c r="BG695" s="544"/>
      <c r="BH695" s="741"/>
      <c r="BI695" s="547" t="s">
        <v>709</v>
      </c>
      <c r="BJ695" s="547" t="s">
        <v>709</v>
      </c>
      <c r="BK695" s="547" t="s">
        <v>709</v>
      </c>
      <c r="BL695" s="547" t="s">
        <v>116</v>
      </c>
      <c r="BM695" s="547" t="s">
        <v>709</v>
      </c>
      <c r="BN695" s="547" t="s">
        <v>709</v>
      </c>
      <c r="BO695" s="547" t="s">
        <v>709</v>
      </c>
      <c r="BP695" s="547" t="s">
        <v>709</v>
      </c>
      <c r="BQ695" s="547">
        <v>340</v>
      </c>
      <c r="BR695" s="547">
        <v>4856</v>
      </c>
      <c r="BS695" s="547">
        <v>8927</v>
      </c>
      <c r="BT695" s="547" t="s">
        <v>709</v>
      </c>
      <c r="BU695" s="547" t="s">
        <v>709</v>
      </c>
      <c r="BV695" s="547" t="s">
        <v>745</v>
      </c>
      <c r="BW695" s="547" t="s">
        <v>709</v>
      </c>
      <c r="BX695" s="547" t="s">
        <v>709</v>
      </c>
      <c r="BY695" s="547" t="s">
        <v>745</v>
      </c>
      <c r="BZ695" s="547" t="s">
        <v>709</v>
      </c>
      <c r="CA695" s="483"/>
      <c r="CB695" s="547">
        <v>693</v>
      </c>
      <c r="CC695" s="1481" t="b">
        <v>1</v>
      </c>
      <c r="CD695" t="str">
        <f>Table15[[#This Row],[Engineering Number]]&amp;Table15[[#This Row],[WO Number]]&amp;Table15[[#This Row],[Date Assigned to Designer]]&amp;Table15[[#This Row],[Date Completed]]</f>
        <v>VW18912106624475044783</v>
      </c>
    </row>
    <row r="696" spans="1:82" customFormat="1" ht="15" customHeight="1" x14ac:dyDescent="0.25">
      <c r="A696">
        <v>2022</v>
      </c>
      <c r="B696" s="8" t="s">
        <v>4</v>
      </c>
      <c r="C696" s="8" t="s">
        <v>873</v>
      </c>
      <c r="D696" s="8">
        <v>129256</v>
      </c>
      <c r="E696" s="8" t="s">
        <v>104</v>
      </c>
      <c r="F696" s="8" t="s">
        <v>738</v>
      </c>
      <c r="G696" s="8" t="s">
        <v>39</v>
      </c>
      <c r="H696" s="8" t="s">
        <v>4450</v>
      </c>
      <c r="I696" s="642">
        <v>44750</v>
      </c>
      <c r="J696" s="175" t="s">
        <v>2612</v>
      </c>
      <c r="K696" s="97">
        <v>44783</v>
      </c>
      <c r="L696" s="16">
        <f>IF(ISTEXT(Table15[[#This Row],[Engineering Approved Design Date]]),Table15[[#This Row],[Date Completed]]-Table15[[#This Row],[Date Assigned to Designer]],Table15[[#This Row],[Engineering Approved Design Date]]-Table15[[#This Row],[Date Completed]])</f>
        <v>33</v>
      </c>
      <c r="N696" s="642" t="s">
        <v>120</v>
      </c>
      <c r="O696" s="1025">
        <v>44835</v>
      </c>
      <c r="P696" s="21" t="s">
        <v>739</v>
      </c>
      <c r="Q696" s="1151">
        <f>Table15[[#This Row],[KH Hourly Effort]]</f>
        <v>4975</v>
      </c>
      <c r="R696" s="1026" t="s">
        <v>1922</v>
      </c>
      <c r="S696" s="538"/>
      <c r="T696" s="538"/>
      <c r="U696" s="87">
        <v>4975</v>
      </c>
      <c r="V696" s="858"/>
      <c r="W696" s="437"/>
      <c r="X696" s="538"/>
      <c r="Y696" s="551"/>
      <c r="Z696" s="538"/>
      <c r="AA696" s="552"/>
      <c r="AB696" s="341" t="s">
        <v>29</v>
      </c>
      <c r="AC696" s="569"/>
      <c r="AD696" s="1149" t="s">
        <v>29</v>
      </c>
      <c r="AE696" s="580"/>
      <c r="AF696" s="580"/>
      <c r="AG696" s="580"/>
      <c r="AH696" s="542"/>
      <c r="AI696" s="1028"/>
      <c r="AJ696" s="1029"/>
      <c r="AK696" s="1029"/>
      <c r="AL696" s="1030"/>
      <c r="AM696" s="542" t="s">
        <v>709</v>
      </c>
      <c r="AN696" s="924"/>
      <c r="AO696" s="925"/>
      <c r="AP696" s="926"/>
      <c r="AQ696" s="926"/>
      <c r="AR696" s="926"/>
      <c r="AS696" s="926"/>
      <c r="AT696" s="926"/>
      <c r="AU696" s="926"/>
      <c r="AV696" s="926"/>
      <c r="AW696" s="927"/>
      <c r="AX696" s="926"/>
      <c r="AY696" s="1538" t="s">
        <v>29</v>
      </c>
      <c r="AZ696" s="1530"/>
      <c r="BA696" s="1031"/>
      <c r="BB696" s="644"/>
      <c r="BC696" s="544"/>
      <c r="BD696" s="544"/>
      <c r="BE696" s="544"/>
      <c r="BF696" s="544"/>
      <c r="BG696" s="544"/>
      <c r="BH696" s="741"/>
      <c r="BI696" s="547" t="s">
        <v>709</v>
      </c>
      <c r="BJ696" s="547" t="s">
        <v>709</v>
      </c>
      <c r="BK696" s="547" t="s">
        <v>709</v>
      </c>
      <c r="BL696" s="547" t="s">
        <v>116</v>
      </c>
      <c r="BM696" s="547" t="s">
        <v>709</v>
      </c>
      <c r="BN696" s="547" t="s">
        <v>709</v>
      </c>
      <c r="BO696" s="547" t="s">
        <v>709</v>
      </c>
      <c r="BP696" s="547">
        <v>1708</v>
      </c>
      <c r="BQ696" s="547" t="s">
        <v>709</v>
      </c>
      <c r="BR696" s="547" t="s">
        <v>709</v>
      </c>
      <c r="BS696" s="547">
        <v>562</v>
      </c>
      <c r="BT696" s="547" t="s">
        <v>745</v>
      </c>
      <c r="BU696" s="547" t="s">
        <v>709</v>
      </c>
      <c r="BV696" s="547" t="s">
        <v>745</v>
      </c>
      <c r="BW696" s="547" t="s">
        <v>709</v>
      </c>
      <c r="BX696" s="547" t="s">
        <v>745</v>
      </c>
      <c r="BY696" s="547" t="s">
        <v>745</v>
      </c>
      <c r="BZ696" s="547" t="s">
        <v>709</v>
      </c>
      <c r="CA696" s="483"/>
      <c r="CB696" s="547">
        <v>694</v>
      </c>
      <c r="CC696" s="1481" t="b">
        <v>1</v>
      </c>
      <c r="CD696" t="str">
        <f>Table15[[#This Row],[Engineering Number]]&amp;Table15[[#This Row],[WO Number]]&amp;Table15[[#This Row],[Date Assigned to Designer]]&amp;Table15[[#This Row],[Date Completed]]</f>
        <v>N132571292564475044783</v>
      </c>
    </row>
    <row r="697" spans="1:82" customFormat="1" ht="15" customHeight="1" x14ac:dyDescent="0.25">
      <c r="A697">
        <v>2022</v>
      </c>
      <c r="B697" s="8" t="s">
        <v>1073</v>
      </c>
      <c r="C697" s="8" t="s">
        <v>265</v>
      </c>
      <c r="D697" s="8" t="s">
        <v>4709</v>
      </c>
      <c r="E697" s="8" t="s">
        <v>232</v>
      </c>
      <c r="F697" s="8" t="s">
        <v>747</v>
      </c>
      <c r="G697" s="8" t="s">
        <v>36</v>
      </c>
      <c r="H697" s="8" t="s">
        <v>59</v>
      </c>
      <c r="I697" s="642">
        <v>44572</v>
      </c>
      <c r="J697" s="18">
        <v>44785</v>
      </c>
      <c r="K697" s="97">
        <v>44784</v>
      </c>
      <c r="L697" s="16">
        <f>IF(ISTEXT(Table15[[#This Row],[Engineering Approved Design Date]]),Table15[[#This Row],[Date Completed]]-Table15[[#This Row],[Date Assigned to Designer]],Table15[[#This Row],[Engineering Approved Design Date]]-Table15[[#This Row],[Date Completed]])</f>
        <v>1</v>
      </c>
      <c r="M697" s="642"/>
      <c r="N697" s="642" t="s">
        <v>120</v>
      </c>
      <c r="O697" s="1025">
        <f>Table15[[#This Row],[Date Completed]]</f>
        <v>44784</v>
      </c>
      <c r="P697" s="21" t="s">
        <v>739</v>
      </c>
      <c r="Q697" s="1061">
        <f>R697*AA697</f>
        <v>179100.45790000001</v>
      </c>
      <c r="R697" s="1026">
        <v>7.0000000000000007E-2</v>
      </c>
      <c r="S697" s="538"/>
      <c r="T697" s="538"/>
      <c r="U697" s="87"/>
      <c r="V697" s="858">
        <v>13889</v>
      </c>
      <c r="W697" s="437"/>
      <c r="X697" s="552">
        <v>2483875.9</v>
      </c>
      <c r="Y697" s="551"/>
      <c r="Z697" s="552">
        <v>74702.070000000007</v>
      </c>
      <c r="AA697" s="552">
        <f>Table15[[#This Row],[PCTS Investment Amount]]+Table15[[#This Row],[PCTS Retirement Amount]]</f>
        <v>2558577.9699999997</v>
      </c>
      <c r="AB697" s="341">
        <v>44785</v>
      </c>
      <c r="AC697" s="568" t="s">
        <v>4440</v>
      </c>
      <c r="AD697" s="1157"/>
      <c r="AE697" s="568"/>
      <c r="AF697" s="568"/>
      <c r="AG697" s="568"/>
      <c r="AH697" s="183"/>
      <c r="AI697" s="1036"/>
      <c r="AJ697" s="1037"/>
      <c r="AK697" s="1037"/>
      <c r="AL697" s="1038"/>
      <c r="AM697" s="1522" t="s">
        <v>116</v>
      </c>
      <c r="AN697" s="1523">
        <v>45135</v>
      </c>
      <c r="AO697" s="1524">
        <v>11040630</v>
      </c>
      <c r="AP697" s="1525">
        <v>2447124.85</v>
      </c>
      <c r="AQ697" s="1525"/>
      <c r="AR697" s="1525">
        <v>78009.86</v>
      </c>
      <c r="AS697" s="1525">
        <f>IF(Table15[[#This Row],[PCTS Approved]]="N",0,Table15[[#This Row],[Investment Amount (1'#'#'#'#'#)]]+Table15[[#This Row],[Retirement Amount (3'#'#'#'#'#)]])</f>
        <v>2525134.71</v>
      </c>
      <c r="AT697" s="1525">
        <f>IF(Table15[[#This Row],[Approved Construction Cost]]=0,0,Table15[[#This Row],[Approved Construction Cost]]-Table15[[#This Row],[Construction Cost to Bill From]])</f>
        <v>-33443.259999999776</v>
      </c>
      <c r="AU697" s="1525">
        <f>IFERROR(Table15[[#This Row],[Difference in Construction Cost]]*Table15[[#This Row],[Rate]],Table15[[#This Row],[Difference in Construction Cost]]*0.085)</f>
        <v>-2341.0281999999847</v>
      </c>
      <c r="AV697" s="1525" t="s">
        <v>709</v>
      </c>
      <c r="AW697" s="1526"/>
      <c r="AX697" s="1525">
        <v>-2341.0281999999847</v>
      </c>
      <c r="AY697" s="1518">
        <v>45352</v>
      </c>
      <c r="AZ697" s="333"/>
      <c r="BA697" s="859" t="s">
        <v>4710</v>
      </c>
      <c r="BB697" s="644" t="s">
        <v>4711</v>
      </c>
      <c r="BC697" s="544" t="s">
        <v>115</v>
      </c>
      <c r="BD697" s="544" t="s">
        <v>115</v>
      </c>
      <c r="BE697" s="544" t="s">
        <v>595</v>
      </c>
      <c r="BF697" s="544" t="s">
        <v>838</v>
      </c>
      <c r="BG697" s="544" t="s">
        <v>4712</v>
      </c>
      <c r="BH697" s="741"/>
      <c r="BI697" s="547" t="s">
        <v>709</v>
      </c>
      <c r="BJ697" s="547" t="s">
        <v>116</v>
      </c>
      <c r="BK697" s="547" t="s">
        <v>709</v>
      </c>
      <c r="BL697" s="547" t="s">
        <v>116</v>
      </c>
      <c r="BM697" s="547" t="s">
        <v>709</v>
      </c>
      <c r="BN697" s="547" t="s">
        <v>709</v>
      </c>
      <c r="BO697" s="547" t="s">
        <v>709</v>
      </c>
      <c r="BP697" s="547">
        <v>4008</v>
      </c>
      <c r="BQ697" s="547">
        <v>5002</v>
      </c>
      <c r="BR697" s="547">
        <v>3555</v>
      </c>
      <c r="BS697" s="547">
        <v>1233</v>
      </c>
      <c r="BT697" s="547">
        <v>1</v>
      </c>
      <c r="BU697" s="547" t="s">
        <v>709</v>
      </c>
      <c r="BV697" s="547" t="s">
        <v>745</v>
      </c>
      <c r="BW697" s="547" t="s">
        <v>709</v>
      </c>
      <c r="BX697" s="547">
        <v>1</v>
      </c>
      <c r="BY697" s="547" t="s">
        <v>745</v>
      </c>
      <c r="BZ697" s="547" t="s">
        <v>709</v>
      </c>
      <c r="CA697" s="483"/>
      <c r="CB697" s="547">
        <v>695</v>
      </c>
      <c r="CC697" s="1481" t="b">
        <v>1</v>
      </c>
      <c r="CD697" t="str">
        <f>Table15[[#This Row],[Engineering Number]]&amp;Table15[[#This Row],[WO Number]]&amp;Table15[[#This Row],[Date Assigned to Designer]]&amp;Table15[[#This Row],[Date Completed]]</f>
        <v>NBA1000410419110124457244784</v>
      </c>
    </row>
    <row r="698" spans="1:82" customFormat="1" ht="15" customHeight="1" x14ac:dyDescent="0.25">
      <c r="A698">
        <v>2023</v>
      </c>
      <c r="B698" s="8" t="s">
        <v>771</v>
      </c>
      <c r="C698" s="8" t="s">
        <v>4714</v>
      </c>
      <c r="D698" s="8" t="s">
        <v>4715</v>
      </c>
      <c r="E698" s="8" t="s">
        <v>4716</v>
      </c>
      <c r="F698" s="8" t="s">
        <v>747</v>
      </c>
      <c r="G698" s="8" t="s">
        <v>22</v>
      </c>
      <c r="H698" s="8" t="s">
        <v>59</v>
      </c>
      <c r="I698" s="642">
        <v>44666</v>
      </c>
      <c r="J698" s="18">
        <v>44788</v>
      </c>
      <c r="K698" s="97">
        <v>44785</v>
      </c>
      <c r="L698" s="16">
        <f>IF(ISTEXT(Table15[[#This Row],[Engineering Approved Design Date]]),Table15[[#This Row],[Date Completed]]-Table15[[#This Row],[Date Assigned to Designer]],Table15[[#This Row],[Engineering Approved Design Date]]-Table15[[#This Row],[Date Completed]])</f>
        <v>3</v>
      </c>
      <c r="M698" s="642"/>
      <c r="N698" s="642" t="s">
        <v>120</v>
      </c>
      <c r="O698" s="1025">
        <f>Table15[[#This Row],[Date Completed]]</f>
        <v>44785</v>
      </c>
      <c r="P698" s="21" t="s">
        <v>120</v>
      </c>
      <c r="Q698" s="1061">
        <f>R698*AA698</f>
        <v>114746.41709999999</v>
      </c>
      <c r="R698" s="1026">
        <v>0.09</v>
      </c>
      <c r="S698" s="538"/>
      <c r="T698" s="538"/>
      <c r="U698" s="87"/>
      <c r="V698" s="858">
        <v>2270</v>
      </c>
      <c r="W698" s="437"/>
      <c r="X698" s="552">
        <v>1207320.24</v>
      </c>
      <c r="Y698" s="551"/>
      <c r="Z698" s="552">
        <v>67639.95</v>
      </c>
      <c r="AA698" s="552">
        <f>Table15[[#This Row],[PCTS Investment Amount]]+Table15[[#This Row],[PCTS Retirement Amount]]</f>
        <v>1274960.19</v>
      </c>
      <c r="AB698" s="341">
        <v>44791</v>
      </c>
      <c r="AC698" s="568" t="s">
        <v>4440</v>
      </c>
      <c r="AD698" s="1157" t="s">
        <v>116</v>
      </c>
      <c r="AE698" s="568"/>
      <c r="AF698" s="568"/>
      <c r="AG698" s="568"/>
      <c r="AH698" s="183"/>
      <c r="AI698" s="1036"/>
      <c r="AJ698" s="1037"/>
      <c r="AK698" s="1037"/>
      <c r="AL698" s="1038"/>
      <c r="AM698" s="1522" t="s">
        <v>116</v>
      </c>
      <c r="AN698" s="1523">
        <v>44831</v>
      </c>
      <c r="AO698" s="1524">
        <v>11042544</v>
      </c>
      <c r="AP698" s="1525">
        <v>1212957.6299999999</v>
      </c>
      <c r="AQ698" s="1525"/>
      <c r="AR698" s="1525">
        <v>67639.95</v>
      </c>
      <c r="AS698" s="1525">
        <f>IF(Table15[[#This Row],[PCTS Approved]]="N",0,Table15[[#This Row],[Investment Amount (1'#'#'#'#'#)]]+Table15[[#This Row],[Retirement Amount (3'#'#'#'#'#)]])</f>
        <v>1280597.5799999998</v>
      </c>
      <c r="AT698" s="1525">
        <f>IF(Table15[[#This Row],[Approved Construction Cost]]=0,0,Table15[[#This Row],[Approved Construction Cost]]-Table15[[#This Row],[Construction Cost to Bill From]])</f>
        <v>5637.3899999998976</v>
      </c>
      <c r="AU698" s="1525">
        <f>IFERROR(Table15[[#This Row],[Difference in Construction Cost]]*Table15[[#This Row],[Rate]],Table15[[#This Row],[Difference in Construction Cost]]*0.085)</f>
        <v>507.36509999999078</v>
      </c>
      <c r="AV698" s="1525" t="s">
        <v>709</v>
      </c>
      <c r="AW698" s="1526"/>
      <c r="AX698" s="1525">
        <f>Table15[[#This Row],[Reconcile Amount]]</f>
        <v>507.36509999999078</v>
      </c>
      <c r="AY698" s="1518">
        <v>45008</v>
      </c>
      <c r="AZ698" s="333"/>
      <c r="BA698" s="1031" t="s">
        <v>4717</v>
      </c>
      <c r="BB698" s="644" t="s">
        <v>1436</v>
      </c>
      <c r="BC698" s="544" t="s">
        <v>116</v>
      </c>
      <c r="BD698" s="544" t="s">
        <v>115</v>
      </c>
      <c r="BE698" s="544" t="s">
        <v>4718</v>
      </c>
      <c r="BF698" s="544" t="s">
        <v>115</v>
      </c>
      <c r="BG698" s="544" t="s">
        <v>115</v>
      </c>
      <c r="BH698" s="741"/>
      <c r="BI698" s="547" t="s">
        <v>709</v>
      </c>
      <c r="BJ698" s="547" t="s">
        <v>709</v>
      </c>
      <c r="BK698" s="547" t="s">
        <v>709</v>
      </c>
      <c r="BL698" s="547" t="s">
        <v>116</v>
      </c>
      <c r="BM698" s="547" t="s">
        <v>709</v>
      </c>
      <c r="BN698" s="547" t="s">
        <v>709</v>
      </c>
      <c r="BO698" s="547" t="s">
        <v>709</v>
      </c>
      <c r="BP698" s="547" t="s">
        <v>709</v>
      </c>
      <c r="BQ698" s="547">
        <v>1311</v>
      </c>
      <c r="BR698" s="547" t="s">
        <v>709</v>
      </c>
      <c r="BS698" s="547">
        <v>3756</v>
      </c>
      <c r="BT698" s="547" t="s">
        <v>745</v>
      </c>
      <c r="BU698" s="547" t="s">
        <v>709</v>
      </c>
      <c r="BV698" s="547" t="s">
        <v>745</v>
      </c>
      <c r="BW698" s="547" t="s">
        <v>709</v>
      </c>
      <c r="BX698" s="547" t="s">
        <v>745</v>
      </c>
      <c r="BY698" s="547" t="s">
        <v>745</v>
      </c>
      <c r="BZ698" s="547" t="s">
        <v>709</v>
      </c>
      <c r="CA698" s="483"/>
      <c r="CB698" s="547">
        <v>696</v>
      </c>
      <c r="CC698" s="1481" t="b">
        <v>1</v>
      </c>
      <c r="CD698" t="str">
        <f>Table15[[#This Row],[Engineering Number]]&amp;Table15[[#This Row],[WO Number]]&amp;Table15[[#This Row],[Date Assigned to Designer]]&amp;Table15[[#This Row],[Date Completed]]</f>
        <v>BS11012113334466644785</v>
      </c>
    </row>
    <row r="699" spans="1:82" customFormat="1" ht="15" customHeight="1" x14ac:dyDescent="0.25">
      <c r="A699">
        <v>2022</v>
      </c>
      <c r="B699" s="8" t="s">
        <v>4</v>
      </c>
      <c r="C699" s="8" t="s">
        <v>4720</v>
      </c>
      <c r="D699" s="8" t="s">
        <v>4721</v>
      </c>
      <c r="E699" s="8" t="s">
        <v>2656</v>
      </c>
      <c r="F699" s="8" t="s">
        <v>747</v>
      </c>
      <c r="G699" s="8" t="s">
        <v>35</v>
      </c>
      <c r="H699" s="647" t="s">
        <v>1681</v>
      </c>
      <c r="I699" s="642">
        <v>44718</v>
      </c>
      <c r="J699" s="18">
        <v>44820</v>
      </c>
      <c r="K699" s="18">
        <v>44789</v>
      </c>
      <c r="L699" s="16">
        <f>IF(ISTEXT(Table15[[#This Row],[Engineering Approved Design Date]]),Table15[[#This Row],[Date Completed]]-Table15[[#This Row],[Date Assigned to Designer]],Table15[[#This Row],[Engineering Approved Design Date]]-Table15[[#This Row],[Date Completed]])</f>
        <v>31</v>
      </c>
      <c r="M699" s="642"/>
      <c r="N699" s="642" t="s">
        <v>120</v>
      </c>
      <c r="O699" s="1025">
        <f>Table15[[#This Row],[Date Completed]]</f>
        <v>44789</v>
      </c>
      <c r="P699" s="21" t="s">
        <v>739</v>
      </c>
      <c r="Q699" s="1061"/>
      <c r="R699" s="1026" t="s">
        <v>115</v>
      </c>
      <c r="S699" s="538"/>
      <c r="T699" s="538"/>
      <c r="U699" s="87"/>
      <c r="V699" s="857"/>
      <c r="W699" s="440"/>
      <c r="X699" s="550"/>
      <c r="Y699" s="550"/>
      <c r="Z699" s="550"/>
      <c r="AA699" s="551"/>
      <c r="AB699" s="341" t="s">
        <v>29</v>
      </c>
      <c r="AC699" s="568" t="s">
        <v>709</v>
      </c>
      <c r="AD699" s="1158" t="s">
        <v>29</v>
      </c>
      <c r="AE699" s="581"/>
      <c r="AF699" s="581"/>
      <c r="AG699" s="581"/>
      <c r="AH699" s="583"/>
      <c r="AI699" s="1047"/>
      <c r="AJ699" s="1048"/>
      <c r="AK699" s="1048"/>
      <c r="AL699" s="1049"/>
      <c r="AM699" s="542" t="s">
        <v>709</v>
      </c>
      <c r="AN699" s="924"/>
      <c r="AO699" s="925"/>
      <c r="AP699" s="926"/>
      <c r="AQ699" s="926"/>
      <c r="AR699" s="926"/>
      <c r="AS699" s="926"/>
      <c r="AT699" s="926"/>
      <c r="AU699" s="926"/>
      <c r="AV699" s="926"/>
      <c r="AW699" s="927"/>
      <c r="AX699" s="926"/>
      <c r="AY699" s="1538" t="s">
        <v>29</v>
      </c>
      <c r="AZ699" s="1530"/>
      <c r="BA699" s="1031" t="s">
        <v>4722</v>
      </c>
      <c r="BB699" s="644" t="s">
        <v>1071</v>
      </c>
      <c r="BC699" s="544" t="s">
        <v>116</v>
      </c>
      <c r="BD699" s="544" t="s">
        <v>115</v>
      </c>
      <c r="BE699" s="544" t="s">
        <v>115</v>
      </c>
      <c r="BF699" s="544" t="s">
        <v>115</v>
      </c>
      <c r="BG699" s="544" t="s">
        <v>115</v>
      </c>
      <c r="BH699" s="741"/>
      <c r="BI699" s="1032"/>
      <c r="BJ699" s="1032"/>
      <c r="BK699" s="1032"/>
      <c r="BL699" s="1032"/>
      <c r="BM699" s="1032"/>
      <c r="BN699" s="1032"/>
      <c r="BO699" s="1032"/>
      <c r="BP699" s="1032"/>
      <c r="BQ699" s="1032"/>
      <c r="BR699" s="1032"/>
      <c r="BS699" s="1032"/>
      <c r="BT699" s="1032"/>
      <c r="BU699" s="1032"/>
      <c r="BV699" s="1032"/>
      <c r="BW699" s="1032"/>
      <c r="BX699" s="1032"/>
      <c r="BY699" s="1032"/>
      <c r="BZ699" s="1032"/>
      <c r="CA699" s="485"/>
      <c r="CB699" s="547">
        <v>697</v>
      </c>
      <c r="CC699" s="1481" t="b">
        <v>1</v>
      </c>
      <c r="CD699" t="str">
        <f>Table15[[#This Row],[Engineering Number]]&amp;Table15[[#This Row],[WO Number]]&amp;Table15[[#This Row],[Date Assigned to Designer]]&amp;Table15[[#This Row],[Date Completed]]</f>
        <v>M1374112115664471844789</v>
      </c>
    </row>
    <row r="700" spans="1:82" customFormat="1" ht="15" customHeight="1" x14ac:dyDescent="0.25">
      <c r="A700">
        <v>2023</v>
      </c>
      <c r="B700" s="8" t="s">
        <v>771</v>
      </c>
      <c r="C700" s="8" t="s">
        <v>4727</v>
      </c>
      <c r="D700" s="8" t="s">
        <v>4728</v>
      </c>
      <c r="E700" s="8" t="s">
        <v>354</v>
      </c>
      <c r="F700" s="8" t="s">
        <v>738</v>
      </c>
      <c r="G700" s="8" t="s">
        <v>32</v>
      </c>
      <c r="H700" s="8" t="s">
        <v>59</v>
      </c>
      <c r="I700" s="642">
        <v>44721</v>
      </c>
      <c r="J700" s="18">
        <v>44820</v>
      </c>
      <c r="K700" s="97">
        <v>44790</v>
      </c>
      <c r="L700" s="16">
        <f>IF(ISTEXT(Table15[[#This Row],[Engineering Approved Design Date]]),Table15[[#This Row],[Date Completed]]-Table15[[#This Row],[Date Assigned to Designer]],Table15[[#This Row],[Engineering Approved Design Date]]-Table15[[#This Row],[Date Completed]])</f>
        <v>30</v>
      </c>
      <c r="M700" s="642"/>
      <c r="N700" s="642" t="s">
        <v>120</v>
      </c>
      <c r="O700" s="1058">
        <v>44805</v>
      </c>
      <c r="P700" s="21" t="s">
        <v>120</v>
      </c>
      <c r="Q700" s="1061">
        <f>R700*AA700</f>
        <v>27185.912099999998</v>
      </c>
      <c r="R700" s="1026">
        <v>0.09</v>
      </c>
      <c r="S700" s="538"/>
      <c r="T700" s="538"/>
      <c r="U700" s="87"/>
      <c r="V700" s="858">
        <v>523</v>
      </c>
      <c r="W700" s="437"/>
      <c r="X700" s="551">
        <v>235731.44</v>
      </c>
      <c r="Y700" s="551"/>
      <c r="Z700" s="552">
        <v>66334.25</v>
      </c>
      <c r="AA700" s="552">
        <f>Table15[[#This Row],[PCTS Investment Amount]]+Table15[[#This Row],[PCTS Retirement Amount]]</f>
        <v>302065.69</v>
      </c>
      <c r="AB700" s="476">
        <v>44791</v>
      </c>
      <c r="AC700" s="568" t="s">
        <v>709</v>
      </c>
      <c r="AD700" s="1157" t="s">
        <v>709</v>
      </c>
      <c r="AE700" s="568"/>
      <c r="AF700" s="568"/>
      <c r="AG700" s="568"/>
      <c r="AH700" s="183"/>
      <c r="AI700" s="1036"/>
      <c r="AJ700" s="1037"/>
      <c r="AK700" s="1037"/>
      <c r="AL700" s="1038"/>
      <c r="AM700" s="1522" t="s">
        <v>116</v>
      </c>
      <c r="AN700" s="1523">
        <v>44860</v>
      </c>
      <c r="AO700" s="1524">
        <v>11044727</v>
      </c>
      <c r="AP700" s="1525">
        <v>236025.79</v>
      </c>
      <c r="AQ700" s="1525"/>
      <c r="AR700" s="1525">
        <v>66327.17</v>
      </c>
      <c r="AS700" s="1525">
        <f>IF(Table15[[#This Row],[PCTS Approved]]="N",0,Table15[[#This Row],[Investment Amount (1'#'#'#'#'#)]]+Table15[[#This Row],[Retirement Amount (3'#'#'#'#'#)]])</f>
        <v>302352.96000000002</v>
      </c>
      <c r="AT700" s="1525">
        <f>IF(Table15[[#This Row],[Approved Construction Cost]]=0,0,Table15[[#This Row],[Approved Construction Cost]]-Table15[[#This Row],[Construction Cost to Bill From]])</f>
        <v>287.27000000001863</v>
      </c>
      <c r="AU700" s="1525">
        <f>IFERROR(Table15[[#This Row],[Difference in Construction Cost]]*Table15[[#This Row],[Rate]],Table15[[#This Row],[Difference in Construction Cost]]*0.085)</f>
        <v>25.854300000001675</v>
      </c>
      <c r="AV700" s="1525" t="s">
        <v>709</v>
      </c>
      <c r="AW700" s="1526"/>
      <c r="AX700" s="1525">
        <f>Table15[[#This Row],[Reconcile Amount]]</f>
        <v>25.854300000001675</v>
      </c>
      <c r="AY700" s="1518">
        <v>45008</v>
      </c>
      <c r="AZ700" s="333"/>
      <c r="BA700" s="1031" t="s">
        <v>4729</v>
      </c>
      <c r="BB700" s="644" t="s">
        <v>3507</v>
      </c>
      <c r="BC700" s="544" t="s">
        <v>115</v>
      </c>
      <c r="BD700" s="544" t="s">
        <v>115</v>
      </c>
      <c r="BE700" s="544" t="s">
        <v>588</v>
      </c>
      <c r="BF700" s="544" t="s">
        <v>115</v>
      </c>
      <c r="BG700" s="544" t="s">
        <v>115</v>
      </c>
      <c r="BH700" s="741" t="s">
        <v>4730</v>
      </c>
      <c r="BI700" s="547" t="s">
        <v>709</v>
      </c>
      <c r="BJ700" s="547" t="s">
        <v>709</v>
      </c>
      <c r="BK700" s="547" t="s">
        <v>709</v>
      </c>
      <c r="BL700" s="547" t="s">
        <v>116</v>
      </c>
      <c r="BM700" s="547">
        <v>0</v>
      </c>
      <c r="BN700" s="549">
        <v>0</v>
      </c>
      <c r="BO700" s="547">
        <v>0</v>
      </c>
      <c r="BP700" s="547">
        <v>27</v>
      </c>
      <c r="BQ700" s="547">
        <v>0</v>
      </c>
      <c r="BR700" s="547">
        <v>0</v>
      </c>
      <c r="BS700" s="547">
        <v>496</v>
      </c>
      <c r="BT700" s="547">
        <v>0</v>
      </c>
      <c r="BU700" s="547">
        <v>0</v>
      </c>
      <c r="BV700" s="547">
        <v>0</v>
      </c>
      <c r="BW700" s="547">
        <v>0</v>
      </c>
      <c r="BX700" s="547">
        <v>0</v>
      </c>
      <c r="BY700" s="547">
        <v>0</v>
      </c>
      <c r="BZ700" s="547" t="s">
        <v>709</v>
      </c>
      <c r="CA700" s="483"/>
      <c r="CB700" s="547">
        <v>699</v>
      </c>
      <c r="CC700" s="1481" t="b">
        <v>1</v>
      </c>
      <c r="CD700" t="str">
        <f>Table15[[#This Row],[Engineering Number]]&amp;Table15[[#This Row],[WO Number]]&amp;Table15[[#This Row],[Date Assigned to Designer]]&amp;Table15[[#This Row],[Date Completed]]</f>
        <v>BS38212115154472144790</v>
      </c>
    </row>
    <row r="701" spans="1:82" customFormat="1" ht="15" customHeight="1" x14ac:dyDescent="0.25">
      <c r="A701">
        <v>2022</v>
      </c>
      <c r="B701" s="8" t="s">
        <v>2994</v>
      </c>
      <c r="C701" s="8" t="s">
        <v>4505</v>
      </c>
      <c r="D701" s="8">
        <v>3211034</v>
      </c>
      <c r="E701" s="8" t="s">
        <v>4724</v>
      </c>
      <c r="F701" s="8" t="s">
        <v>752</v>
      </c>
      <c r="G701" s="8" t="s">
        <v>32</v>
      </c>
      <c r="H701" s="8" t="s">
        <v>3178</v>
      </c>
      <c r="I701" s="642">
        <v>44783</v>
      </c>
      <c r="J701" s="175" t="s">
        <v>2052</v>
      </c>
      <c r="K701" s="97">
        <v>44790</v>
      </c>
      <c r="L701" s="16">
        <f>IF(ISTEXT(Table15[[#This Row],[Engineering Approved Design Date]]),Table15[[#This Row],[Date Completed]]-Table15[[#This Row],[Date Assigned to Designer]],Table15[[#This Row],[Engineering Approved Design Date]]-Table15[[#This Row],[Date Completed]])</f>
        <v>7</v>
      </c>
      <c r="M701" t="s">
        <v>4725</v>
      </c>
      <c r="N701" s="642" t="s">
        <v>120</v>
      </c>
      <c r="O701" s="1025">
        <v>44805</v>
      </c>
      <c r="P701" s="21" t="s">
        <v>739</v>
      </c>
      <c r="Q701" s="1151">
        <f>Table15[[#This Row],[KH Hourly Effort]]</f>
        <v>2430</v>
      </c>
      <c r="R701" s="1026" t="s">
        <v>1922</v>
      </c>
      <c r="S701" s="538"/>
      <c r="T701" s="538"/>
      <c r="U701" s="87">
        <v>2430</v>
      </c>
      <c r="V701" s="858"/>
      <c r="W701" s="437"/>
      <c r="X701" s="538"/>
      <c r="Y701" s="551"/>
      <c r="Z701" s="538"/>
      <c r="AA701" s="538"/>
      <c r="AB701" s="21"/>
      <c r="AC701" s="569" t="s">
        <v>709</v>
      </c>
      <c r="AD701" s="1149" t="s">
        <v>29</v>
      </c>
      <c r="AE701" s="580"/>
      <c r="AF701" s="580"/>
      <c r="AG701" s="580"/>
      <c r="AH701" s="542"/>
      <c r="AI701" s="1028"/>
      <c r="AJ701" s="1029"/>
      <c r="AK701" s="1029"/>
      <c r="AL701" s="1030"/>
      <c r="AM701" s="542" t="s">
        <v>709</v>
      </c>
      <c r="AN701" s="924"/>
      <c r="AO701" s="925"/>
      <c r="AP701" s="926"/>
      <c r="AQ701" s="926"/>
      <c r="AR701" s="926"/>
      <c r="AS701" s="926"/>
      <c r="AT701" s="926"/>
      <c r="AU701" s="926"/>
      <c r="AV701" s="926"/>
      <c r="AW701" s="927"/>
      <c r="AX701" s="926"/>
      <c r="AY701" s="1538" t="s">
        <v>29</v>
      </c>
      <c r="AZ701" s="1532"/>
      <c r="BA701" s="1031">
        <v>1</v>
      </c>
      <c r="BB701" s="644"/>
      <c r="BC701" s="544"/>
      <c r="BD701" s="544"/>
      <c r="BE701" s="544"/>
      <c r="BF701" s="544"/>
      <c r="BG701" s="544"/>
      <c r="BH701" s="741"/>
      <c r="BI701" s="547" t="s">
        <v>709</v>
      </c>
      <c r="BJ701" s="547" t="s">
        <v>709</v>
      </c>
      <c r="BK701" s="547" t="s">
        <v>709</v>
      </c>
      <c r="BL701" s="547" t="s">
        <v>709</v>
      </c>
      <c r="BM701" s="547">
        <v>0</v>
      </c>
      <c r="BN701" s="549">
        <v>0</v>
      </c>
      <c r="BO701" s="547">
        <v>0</v>
      </c>
      <c r="BP701" s="547">
        <v>0</v>
      </c>
      <c r="BQ701" s="547">
        <v>0</v>
      </c>
      <c r="BR701" s="547">
        <v>0</v>
      </c>
      <c r="BS701" s="547">
        <v>0</v>
      </c>
      <c r="BT701" s="547">
        <v>0</v>
      </c>
      <c r="BU701" s="547">
        <v>0</v>
      </c>
      <c r="BV701" s="547">
        <v>3</v>
      </c>
      <c r="BW701" s="547">
        <v>0</v>
      </c>
      <c r="BX701" s="547">
        <v>0</v>
      </c>
      <c r="BY701" s="547">
        <v>0</v>
      </c>
      <c r="BZ701" s="547" t="s">
        <v>709</v>
      </c>
      <c r="CA701" s="483" t="s">
        <v>4304</v>
      </c>
      <c r="CB701" s="547">
        <v>698</v>
      </c>
      <c r="CC701" s="1481" t="b">
        <v>1</v>
      </c>
      <c r="CD701" t="str">
        <f>Table15[[#This Row],[Engineering Number]]&amp;Table15[[#This Row],[WO Number]]&amp;Table15[[#This Row],[Date Assigned to Designer]]&amp;Table15[[#This Row],[Date Completed]]</f>
        <v>MR187032110344478344790</v>
      </c>
    </row>
    <row r="702" spans="1:82" customFormat="1" ht="15" customHeight="1" x14ac:dyDescent="0.25">
      <c r="A702">
        <v>2022</v>
      </c>
      <c r="B702" s="8" t="s">
        <v>4</v>
      </c>
      <c r="C702" s="8" t="s">
        <v>3257</v>
      </c>
      <c r="D702" s="8" t="s">
        <v>3258</v>
      </c>
      <c r="E702" s="8" t="s">
        <v>3259</v>
      </c>
      <c r="F702" s="8" t="s">
        <v>738</v>
      </c>
      <c r="G702" s="8" t="s">
        <v>32</v>
      </c>
      <c r="H702" s="8" t="s">
        <v>2396</v>
      </c>
      <c r="I702" s="642">
        <v>44777</v>
      </c>
      <c r="J702" s="175" t="s">
        <v>2397</v>
      </c>
      <c r="K702" s="97">
        <v>44792</v>
      </c>
      <c r="L702" s="16">
        <f>IF(ISTEXT(Table15[[#This Row],[Engineering Approved Design Date]]),Table15[[#This Row],[Date Completed]]-Table15[[#This Row],[Date Assigned to Designer]],Table15[[#This Row],[Engineering Approved Design Date]]-Table15[[#This Row],[Date Completed]])</f>
        <v>15</v>
      </c>
      <c r="M702" t="s">
        <v>4732</v>
      </c>
      <c r="N702" s="642" t="s">
        <v>120</v>
      </c>
      <c r="O702" s="1058">
        <v>44805</v>
      </c>
      <c r="P702" s="21" t="s">
        <v>739</v>
      </c>
      <c r="Q702" s="1151">
        <f>Table15[[#This Row],[KH Hourly Effort]]</f>
        <v>8875</v>
      </c>
      <c r="R702" s="1026" t="s">
        <v>1922</v>
      </c>
      <c r="S702" s="538">
        <v>0</v>
      </c>
      <c r="T702" s="538">
        <v>0</v>
      </c>
      <c r="U702" s="87">
        <v>8875</v>
      </c>
      <c r="V702" s="858"/>
      <c r="W702" s="437"/>
      <c r="X702" s="538"/>
      <c r="Y702" s="551"/>
      <c r="Z702" s="538"/>
      <c r="AA702" s="538"/>
      <c r="AB702" s="21"/>
      <c r="AC702" s="569" t="s">
        <v>709</v>
      </c>
      <c r="AD702" s="1149" t="s">
        <v>709</v>
      </c>
      <c r="AE702" s="580"/>
      <c r="AF702" s="580"/>
      <c r="AG702" s="580"/>
      <c r="AH702" s="542"/>
      <c r="AI702" s="1028"/>
      <c r="AJ702" s="1029"/>
      <c r="AK702" s="1029"/>
      <c r="AL702" s="1030"/>
      <c r="AM702" s="542" t="s">
        <v>709</v>
      </c>
      <c r="AN702" s="924"/>
      <c r="AO702" s="925"/>
      <c r="AP702" s="926"/>
      <c r="AQ702" s="926"/>
      <c r="AR702" s="926"/>
      <c r="AS702" s="926"/>
      <c r="AT702" s="926"/>
      <c r="AU702" s="926"/>
      <c r="AV702" s="926"/>
      <c r="AW702" s="927"/>
      <c r="AX702" s="926"/>
      <c r="AY702" s="1538" t="s">
        <v>29</v>
      </c>
      <c r="AZ702" s="1530"/>
      <c r="BA702" s="1031"/>
      <c r="BB702" s="644"/>
      <c r="BC702" s="544"/>
      <c r="BD702" s="544"/>
      <c r="BE702" s="544"/>
      <c r="BF702" s="544"/>
      <c r="BG702" s="544"/>
      <c r="BH702" s="741"/>
      <c r="BI702" s="547" t="s">
        <v>709</v>
      </c>
      <c r="BJ702" s="547" t="s">
        <v>709</v>
      </c>
      <c r="BK702" s="547" t="s">
        <v>709</v>
      </c>
      <c r="BL702" s="547" t="s">
        <v>116</v>
      </c>
      <c r="BM702" s="547">
        <v>0</v>
      </c>
      <c r="BN702" s="549">
        <v>0</v>
      </c>
      <c r="BO702" s="547">
        <v>0</v>
      </c>
      <c r="BP702" s="547">
        <v>0</v>
      </c>
      <c r="BQ702" s="547">
        <v>0</v>
      </c>
      <c r="BR702" s="547">
        <v>301</v>
      </c>
      <c r="BS702" s="547">
        <v>0</v>
      </c>
      <c r="BT702" s="547">
        <v>0</v>
      </c>
      <c r="BU702" s="547">
        <v>0</v>
      </c>
      <c r="BV702" s="547">
        <v>0</v>
      </c>
      <c r="BW702" s="547">
        <v>0</v>
      </c>
      <c r="BX702" s="547">
        <v>0</v>
      </c>
      <c r="BY702" s="547">
        <v>0</v>
      </c>
      <c r="BZ702" s="547" t="s">
        <v>709</v>
      </c>
      <c r="CA702" s="483"/>
      <c r="CB702" s="547">
        <v>700</v>
      </c>
      <c r="CC702" s="1481" t="b">
        <v>1</v>
      </c>
      <c r="CD702" t="str">
        <f>Table15[[#This Row],[Engineering Number]]&amp;Table15[[#This Row],[WO Number]]&amp;Table15[[#This Row],[Date Assigned to Designer]]&amp;Table15[[#This Row],[Date Completed]]</f>
        <v>N136331293354477744792</v>
      </c>
    </row>
    <row r="703" spans="1:82" customFormat="1" ht="15" customHeight="1" x14ac:dyDescent="0.25">
      <c r="A703">
        <v>2023</v>
      </c>
      <c r="B703" s="8" t="s">
        <v>4</v>
      </c>
      <c r="C703" s="8" t="s">
        <v>1233</v>
      </c>
      <c r="D703" s="8" t="s">
        <v>1234</v>
      </c>
      <c r="E703" s="8" t="s">
        <v>1101</v>
      </c>
      <c r="F703" s="8" t="s">
        <v>919</v>
      </c>
      <c r="G703" s="8" t="s">
        <v>35</v>
      </c>
      <c r="H703" s="8" t="s">
        <v>3178</v>
      </c>
      <c r="I703" s="642">
        <v>44683</v>
      </c>
      <c r="J703" s="175" t="s">
        <v>2052</v>
      </c>
      <c r="K703" s="97">
        <v>44796</v>
      </c>
      <c r="L703" s="16">
        <f>IF(ISTEXT(Table15[[#This Row],[Engineering Approved Design Date]]),Table15[[#This Row],[Date Completed]]-Table15[[#This Row],[Date Assigned to Designer]],Table15[[#This Row],[Engineering Approved Design Date]]-Table15[[#This Row],[Date Completed]])</f>
        <v>113</v>
      </c>
      <c r="M703" t="s">
        <v>4734</v>
      </c>
      <c r="N703" s="642" t="s">
        <v>120</v>
      </c>
      <c r="O703" s="1058">
        <v>44805</v>
      </c>
      <c r="P703" s="21" t="s">
        <v>739</v>
      </c>
      <c r="Q703" s="1151">
        <f>Table15[[#This Row],[KH Hourly Effort]]</f>
        <v>3590</v>
      </c>
      <c r="R703" s="1026" t="s">
        <v>1922</v>
      </c>
      <c r="S703" s="538"/>
      <c r="T703" s="538"/>
      <c r="U703" s="87">
        <v>3590</v>
      </c>
      <c r="V703" s="858"/>
      <c r="W703" s="437"/>
      <c r="X703" s="538"/>
      <c r="Y703" s="551"/>
      <c r="Z703" s="538"/>
      <c r="AA703" s="538"/>
      <c r="AB703" s="21"/>
      <c r="AC703" s="569"/>
      <c r="AD703" s="1149" t="s">
        <v>116</v>
      </c>
      <c r="AE703" s="580"/>
      <c r="AF703" s="580"/>
      <c r="AG703" s="580"/>
      <c r="AH703" s="542"/>
      <c r="AI703" s="1028"/>
      <c r="AJ703" s="1029"/>
      <c r="AK703" s="1029"/>
      <c r="AL703" s="1030"/>
      <c r="AM703" s="542" t="s">
        <v>709</v>
      </c>
      <c r="AN703" s="924"/>
      <c r="AO703" s="925"/>
      <c r="AP703" s="926"/>
      <c r="AQ703" s="926"/>
      <c r="AR703" s="926"/>
      <c r="AS703" s="926"/>
      <c r="AT703" s="926"/>
      <c r="AU703" s="926"/>
      <c r="AV703" s="926"/>
      <c r="AW703" s="927"/>
      <c r="AX703" s="926"/>
      <c r="AY703" s="1538" t="s">
        <v>29</v>
      </c>
      <c r="AZ703" s="1530"/>
      <c r="BA703" s="1031">
        <v>3</v>
      </c>
      <c r="BB703" s="644" t="s">
        <v>4735</v>
      </c>
      <c r="BC703" s="544" t="s">
        <v>709</v>
      </c>
      <c r="BD703" s="544" t="s">
        <v>882</v>
      </c>
      <c r="BE703" s="544" t="s">
        <v>1106</v>
      </c>
      <c r="BF703" s="544" t="s">
        <v>709</v>
      </c>
      <c r="BG703" s="544" t="s">
        <v>709</v>
      </c>
      <c r="BH703" s="741" t="s">
        <v>4736</v>
      </c>
      <c r="BI703" s="547" t="s">
        <v>709</v>
      </c>
      <c r="BJ703" s="547" t="s">
        <v>709</v>
      </c>
      <c r="BK703" s="547" t="s">
        <v>709</v>
      </c>
      <c r="BL703" s="547" t="s">
        <v>116</v>
      </c>
      <c r="BM703" s="547" t="s">
        <v>709</v>
      </c>
      <c r="BN703" s="547" t="s">
        <v>709</v>
      </c>
      <c r="BO703" s="547" t="s">
        <v>709</v>
      </c>
      <c r="BP703" s="547">
        <v>1747</v>
      </c>
      <c r="BQ703" s="547">
        <v>498</v>
      </c>
      <c r="BR703" s="547">
        <v>1564</v>
      </c>
      <c r="BS703" s="547">
        <v>1588</v>
      </c>
      <c r="BT703" s="547">
        <v>1</v>
      </c>
      <c r="BU703" s="547" t="s">
        <v>709</v>
      </c>
      <c r="BV703" s="547" t="s">
        <v>745</v>
      </c>
      <c r="BW703" s="547" t="s">
        <v>709</v>
      </c>
      <c r="BX703" s="547">
        <v>1</v>
      </c>
      <c r="BY703" s="547" t="s">
        <v>745</v>
      </c>
      <c r="BZ703" s="547" t="s">
        <v>709</v>
      </c>
      <c r="CA703" s="483" t="s">
        <v>1237</v>
      </c>
      <c r="CB703" s="547">
        <v>701</v>
      </c>
      <c r="CC703" s="1481" t="b">
        <v>1</v>
      </c>
      <c r="CD703" t="str">
        <f>Table15[[#This Row],[Engineering Number]]&amp;Table15[[#This Row],[WO Number]]&amp;Table15[[#This Row],[Date Assigned to Designer]]&amp;Table15[[#This Row],[Date Completed]]</f>
        <v>M109051205854468344796</v>
      </c>
    </row>
    <row r="704" spans="1:82" customFormat="1" ht="15" customHeight="1" x14ac:dyDescent="0.25">
      <c r="A704">
        <v>2023</v>
      </c>
      <c r="B704" s="8" t="s">
        <v>1073</v>
      </c>
      <c r="C704" s="8" t="s">
        <v>235</v>
      </c>
      <c r="D704" s="8" t="s">
        <v>1330</v>
      </c>
      <c r="E704" s="8" t="s">
        <v>236</v>
      </c>
      <c r="F704" s="8" t="s">
        <v>747</v>
      </c>
      <c r="G704" s="8" t="s">
        <v>23</v>
      </c>
      <c r="H704" s="8" t="s">
        <v>59</v>
      </c>
      <c r="I704" s="642">
        <v>44715</v>
      </c>
      <c r="J704" s="18">
        <v>44799</v>
      </c>
      <c r="K704" s="97">
        <v>44797</v>
      </c>
      <c r="L704" s="16">
        <f>IF(ISTEXT(Table15[[#This Row],[Engineering Approved Design Date]]),Table15[[#This Row],[Date Completed]]-Table15[[#This Row],[Date Assigned to Designer]],Table15[[#This Row],[Engineering Approved Design Date]]-Table15[[#This Row],[Date Completed]])</f>
        <v>2</v>
      </c>
      <c r="M704" s="642"/>
      <c r="N704" s="642" t="s">
        <v>120</v>
      </c>
      <c r="O704" s="1058">
        <v>44805</v>
      </c>
      <c r="P704" s="21" t="s">
        <v>739</v>
      </c>
      <c r="Q704" s="1061">
        <f>R704*AA704</f>
        <v>126321.63390000002</v>
      </c>
      <c r="R704" s="1026">
        <v>7.0000000000000007E-2</v>
      </c>
      <c r="S704" s="538"/>
      <c r="T704" s="538"/>
      <c r="U704" s="87"/>
      <c r="V704" s="858">
        <v>7490</v>
      </c>
      <c r="W704" s="437"/>
      <c r="X704" s="551">
        <v>1756139</v>
      </c>
      <c r="Y704" s="551"/>
      <c r="Z704" s="552">
        <v>48455.77</v>
      </c>
      <c r="AA704" s="552">
        <f>Table15[[#This Row],[PCTS Investment Amount]]+Table15[[#This Row],[PCTS Retirement Amount]]</f>
        <v>1804594.77</v>
      </c>
      <c r="AB704" s="341">
        <v>44798</v>
      </c>
      <c r="AC704" s="568" t="s">
        <v>116</v>
      </c>
      <c r="AD704" s="1157" t="s">
        <v>116</v>
      </c>
      <c r="AE704" s="568"/>
      <c r="AF704" s="568"/>
      <c r="AG704" s="568"/>
      <c r="AH704" s="183"/>
      <c r="AI704" s="1036"/>
      <c r="AJ704" s="1037"/>
      <c r="AK704" s="1037"/>
      <c r="AL704" s="1038"/>
      <c r="AM704" s="536" t="s">
        <v>116</v>
      </c>
      <c r="AN704" s="903" t="s">
        <v>709</v>
      </c>
      <c r="AO704" s="1536">
        <v>11041926</v>
      </c>
      <c r="AP704" s="1537"/>
      <c r="AQ704" s="1537"/>
      <c r="AR704" s="1537"/>
      <c r="AS704" s="888">
        <f>IF(Table15[[#This Row],[PCTS Approved]]="N",0,Table15[[#This Row],[Investment Amount (1'#'#'#'#'#)]]+Table15[[#This Row],[Retirement Amount (3'#'#'#'#'#)]])</f>
        <v>0</v>
      </c>
      <c r="AT704" s="888">
        <f>IF(Table15[[#This Row],[Approved Construction Cost]]=0,0,Table15[[#This Row],[Approved Construction Cost]]-Table15[[#This Row],[Construction Cost to Bill From]])</f>
        <v>0</v>
      </c>
      <c r="AU704" s="888">
        <f>IFERROR(Table15[[#This Row],[Difference in Construction Cost]]*Table15[[#This Row],[Rate]],Table15[[#This Row],[Difference in Construction Cost]]*0.085)</f>
        <v>0</v>
      </c>
      <c r="AV704" s="905"/>
      <c r="AW704" s="1509"/>
      <c r="AX704" s="888"/>
      <c r="AY704" s="636" t="s">
        <v>709</v>
      </c>
      <c r="AZ704" s="333">
        <v>10</v>
      </c>
      <c r="BA704" s="859" t="s">
        <v>1331</v>
      </c>
      <c r="BB704" s="644" t="s">
        <v>1332</v>
      </c>
      <c r="BC704" s="544" t="s">
        <v>115</v>
      </c>
      <c r="BD704" s="544" t="s">
        <v>1333</v>
      </c>
      <c r="BE704" s="544" t="s">
        <v>1334</v>
      </c>
      <c r="BF704" s="544" t="s">
        <v>115</v>
      </c>
      <c r="BG704" s="544" t="s">
        <v>1335</v>
      </c>
      <c r="BH704" s="741"/>
      <c r="BI704" s="547" t="s">
        <v>709</v>
      </c>
      <c r="BJ704" s="547" t="s">
        <v>709</v>
      </c>
      <c r="BK704" s="547" t="s">
        <v>709</v>
      </c>
      <c r="BL704" s="547" t="s">
        <v>116</v>
      </c>
      <c r="BM704" s="547" t="s">
        <v>709</v>
      </c>
      <c r="BN704" s="547" t="s">
        <v>709</v>
      </c>
      <c r="BO704" s="547" t="s">
        <v>709</v>
      </c>
      <c r="BP704" s="547">
        <v>7001</v>
      </c>
      <c r="BQ704" s="547">
        <v>18</v>
      </c>
      <c r="BR704" s="547">
        <v>110</v>
      </c>
      <c r="BS704" s="547">
        <v>361</v>
      </c>
      <c r="BT704" s="547" t="s">
        <v>745</v>
      </c>
      <c r="BU704" s="547" t="s">
        <v>709</v>
      </c>
      <c r="BV704" s="547" t="s">
        <v>745</v>
      </c>
      <c r="BW704" s="547" t="s">
        <v>709</v>
      </c>
      <c r="BX704" s="547" t="s">
        <v>745</v>
      </c>
      <c r="BY704" s="547" t="s">
        <v>709</v>
      </c>
      <c r="BZ704" s="547" t="s">
        <v>709</v>
      </c>
      <c r="CA704" s="483"/>
      <c r="CB704" s="547">
        <v>702</v>
      </c>
      <c r="CC704" s="1481" t="b">
        <v>1</v>
      </c>
      <c r="CD704" t="str">
        <f>Table15[[#This Row],[Engineering Number]]&amp;Table15[[#This Row],[WO Number]]&amp;Table15[[#This Row],[Date Assigned to Designer]]&amp;Table15[[#This Row],[Date Completed]]</f>
        <v>NBA1000571819114894471544797</v>
      </c>
    </row>
    <row r="705" spans="1:82" customFormat="1" ht="15" customHeight="1" x14ac:dyDescent="0.25">
      <c r="A705">
        <v>2023</v>
      </c>
      <c r="B705" s="8" t="s">
        <v>771</v>
      </c>
      <c r="C705" s="8" t="s">
        <v>4741</v>
      </c>
      <c r="D705" s="8" t="s">
        <v>4742</v>
      </c>
      <c r="E705" s="8" t="s">
        <v>354</v>
      </c>
      <c r="F705" s="8" t="s">
        <v>738</v>
      </c>
      <c r="G705" s="8" t="s">
        <v>22</v>
      </c>
      <c r="H705" s="8" t="s">
        <v>59</v>
      </c>
      <c r="I705" s="642">
        <v>44721</v>
      </c>
      <c r="J705" s="18">
        <v>44820</v>
      </c>
      <c r="K705" s="97">
        <v>44798</v>
      </c>
      <c r="L705" s="16">
        <f>IF(ISTEXT(Table15[[#This Row],[Engineering Approved Design Date]]),Table15[[#This Row],[Date Completed]]-Table15[[#This Row],[Date Assigned to Designer]],Table15[[#This Row],[Engineering Approved Design Date]]-Table15[[#This Row],[Date Completed]])</f>
        <v>22</v>
      </c>
      <c r="M705" s="642"/>
      <c r="N705" s="642" t="s">
        <v>120</v>
      </c>
      <c r="O705" s="1058">
        <v>44805</v>
      </c>
      <c r="P705" s="21" t="s">
        <v>120</v>
      </c>
      <c r="Q705" s="1061">
        <f>R705*AA705</f>
        <v>33678.396000000001</v>
      </c>
      <c r="R705" s="1026">
        <v>0.09</v>
      </c>
      <c r="S705" s="538"/>
      <c r="T705" s="538"/>
      <c r="U705" s="87"/>
      <c r="V705" s="858">
        <v>1149</v>
      </c>
      <c r="W705" s="437"/>
      <c r="X705" s="552">
        <v>307824.32</v>
      </c>
      <c r="Y705" s="551"/>
      <c r="Z705" s="552">
        <v>66380.08</v>
      </c>
      <c r="AA705" s="552">
        <f>Table15[[#This Row],[PCTS Investment Amount]]+Table15[[#This Row],[PCTS Retirement Amount]]</f>
        <v>374204.4</v>
      </c>
      <c r="AB705" s="476">
        <v>44799</v>
      </c>
      <c r="AC705" s="568" t="s">
        <v>709</v>
      </c>
      <c r="AD705" s="1157" t="s">
        <v>116</v>
      </c>
      <c r="AE705" s="568"/>
      <c r="AF705" s="568"/>
      <c r="AG705" s="568"/>
      <c r="AH705" s="183"/>
      <c r="AI705" s="1036"/>
      <c r="AJ705" s="1037"/>
      <c r="AK705" s="1037"/>
      <c r="AL705" s="1038"/>
      <c r="AM705" s="1522" t="s">
        <v>116</v>
      </c>
      <c r="AN705" s="1523">
        <v>44860</v>
      </c>
      <c r="AO705" s="1524">
        <v>11045593</v>
      </c>
      <c r="AP705" s="1525">
        <v>309058.28000000003</v>
      </c>
      <c r="AQ705" s="1525"/>
      <c r="AR705" s="1525">
        <v>66380.08</v>
      </c>
      <c r="AS705" s="1525">
        <f>IF(Table15[[#This Row],[PCTS Approved]]="N",0,Table15[[#This Row],[Investment Amount (1'#'#'#'#'#)]]+Table15[[#This Row],[Retirement Amount (3'#'#'#'#'#)]])</f>
        <v>375438.36000000004</v>
      </c>
      <c r="AT705" s="1525">
        <f>IF(Table15[[#This Row],[Approved Construction Cost]]=0,0,Table15[[#This Row],[Approved Construction Cost]]-Table15[[#This Row],[Construction Cost to Bill From]])</f>
        <v>1233.960000000021</v>
      </c>
      <c r="AU705" s="1525">
        <f>IFERROR(Table15[[#This Row],[Difference in Construction Cost]]*Table15[[#This Row],[Rate]],Table15[[#This Row],[Difference in Construction Cost]]*0.085)</f>
        <v>111.05640000000189</v>
      </c>
      <c r="AV705" s="1525" t="s">
        <v>709</v>
      </c>
      <c r="AW705" s="1526"/>
      <c r="AX705" s="1525">
        <f>Table15[[#This Row],[Reconcile Amount]]</f>
        <v>111.05640000000189</v>
      </c>
      <c r="AY705" s="1518">
        <v>45008</v>
      </c>
      <c r="AZ705" s="333"/>
      <c r="BA705" s="1031" t="s">
        <v>4743</v>
      </c>
      <c r="BB705" s="644" t="s">
        <v>3507</v>
      </c>
      <c r="BC705" s="544" t="s">
        <v>115</v>
      </c>
      <c r="BD705" s="544" t="s">
        <v>115</v>
      </c>
      <c r="BE705" s="544" t="s">
        <v>588</v>
      </c>
      <c r="BF705" s="544" t="s">
        <v>115</v>
      </c>
      <c r="BG705" s="544" t="s">
        <v>115</v>
      </c>
      <c r="BH705" s="741"/>
      <c r="BI705" s="547" t="s">
        <v>709</v>
      </c>
      <c r="BJ705" s="547" t="s">
        <v>709</v>
      </c>
      <c r="BK705" s="547" t="s">
        <v>709</v>
      </c>
      <c r="BL705" s="547" t="s">
        <v>116</v>
      </c>
      <c r="BM705" s="547" t="s">
        <v>709</v>
      </c>
      <c r="BN705" s="547" t="s">
        <v>709</v>
      </c>
      <c r="BO705" s="547" t="s">
        <v>709</v>
      </c>
      <c r="BP705" s="547" t="s">
        <v>709</v>
      </c>
      <c r="BQ705" s="547" t="s">
        <v>709</v>
      </c>
      <c r="BR705" s="547">
        <v>1119</v>
      </c>
      <c r="BS705" s="547">
        <v>30</v>
      </c>
      <c r="BT705" s="547" t="s">
        <v>745</v>
      </c>
      <c r="BU705" s="547" t="s">
        <v>709</v>
      </c>
      <c r="BV705" s="547" t="s">
        <v>745</v>
      </c>
      <c r="BW705" s="547" t="s">
        <v>709</v>
      </c>
      <c r="BX705" s="547" t="s">
        <v>745</v>
      </c>
      <c r="BY705" s="547" t="s">
        <v>745</v>
      </c>
      <c r="BZ705" s="547" t="s">
        <v>709</v>
      </c>
      <c r="CA705" s="483"/>
      <c r="CB705" s="547">
        <v>704</v>
      </c>
      <c r="CC705" s="1481" t="b">
        <v>1</v>
      </c>
      <c r="CD705" t="str">
        <f>Table15[[#This Row],[Engineering Number]]&amp;Table15[[#This Row],[WO Number]]&amp;Table15[[#This Row],[Date Assigned to Designer]]&amp;Table15[[#This Row],[Date Completed]]</f>
        <v>BS38712115124472144798</v>
      </c>
    </row>
    <row r="706" spans="1:82" customFormat="1" ht="15" customHeight="1" x14ac:dyDescent="0.25">
      <c r="A706">
        <v>2022</v>
      </c>
      <c r="B706" s="8" t="s">
        <v>771</v>
      </c>
      <c r="C706" s="8" t="s">
        <v>3984</v>
      </c>
      <c r="D706" s="8" t="s">
        <v>3985</v>
      </c>
      <c r="E706" s="8" t="s">
        <v>342</v>
      </c>
      <c r="F706" s="8" t="s">
        <v>784</v>
      </c>
      <c r="G706" s="8" t="s">
        <v>23</v>
      </c>
      <c r="H706" s="8" t="s">
        <v>3852</v>
      </c>
      <c r="I706" s="642">
        <v>44791</v>
      </c>
      <c r="J706" s="175" t="s">
        <v>2052</v>
      </c>
      <c r="K706" s="97">
        <v>44798</v>
      </c>
      <c r="L706" s="16">
        <f>IF(ISTEXT(Table15[[#This Row],[Engineering Approved Design Date]]),Table15[[#This Row],[Date Completed]]-Table15[[#This Row],[Date Assigned to Designer]],Table15[[#This Row],[Engineering Approved Design Date]]-Table15[[#This Row],[Date Completed]])</f>
        <v>7</v>
      </c>
      <c r="M706" t="s">
        <v>4739</v>
      </c>
      <c r="N706" s="642" t="s">
        <v>120</v>
      </c>
      <c r="O706" s="1058">
        <v>44805</v>
      </c>
      <c r="P706" s="21" t="s">
        <v>120</v>
      </c>
      <c r="Q706" s="1151">
        <f>Table15[[#This Row],[KH Hourly Effort]]</f>
        <v>2415</v>
      </c>
      <c r="R706" s="1026" t="s">
        <v>1922</v>
      </c>
      <c r="S706" s="538"/>
      <c r="T706" s="538"/>
      <c r="U706" s="87">
        <v>2415</v>
      </c>
      <c r="V706" s="858"/>
      <c r="W706" s="437"/>
      <c r="X706" s="538"/>
      <c r="Y706" s="551"/>
      <c r="Z706" s="538"/>
      <c r="AA706" s="538"/>
      <c r="AB706" s="21"/>
      <c r="AC706" s="569"/>
      <c r="AD706" s="1149" t="s">
        <v>116</v>
      </c>
      <c r="AE706" s="569"/>
      <c r="AF706" s="569"/>
      <c r="AG706" s="569"/>
      <c r="AH706" s="536"/>
      <c r="AI706" s="1028"/>
      <c r="AJ706" s="1029"/>
      <c r="AK706" s="1029"/>
      <c r="AL706" s="1030"/>
      <c r="AM706" s="542" t="s">
        <v>709</v>
      </c>
      <c r="AN706" s="924"/>
      <c r="AO706" s="925"/>
      <c r="AP706" s="926"/>
      <c r="AQ706" s="926"/>
      <c r="AR706" s="926"/>
      <c r="AS706" s="926"/>
      <c r="AT706" s="926"/>
      <c r="AU706" s="926"/>
      <c r="AV706" s="926"/>
      <c r="AW706" s="927"/>
      <c r="AX706" s="926"/>
      <c r="AY706" s="1538" t="s">
        <v>29</v>
      </c>
      <c r="AZ706" s="1530"/>
      <c r="BA706" s="1031">
        <v>2</v>
      </c>
      <c r="BB706" s="644"/>
      <c r="BC706" s="544"/>
      <c r="BD706" s="544"/>
      <c r="BE706" s="544"/>
      <c r="BF706" s="544"/>
      <c r="BG706" s="544"/>
      <c r="BH706" s="741"/>
      <c r="BI706" s="547" t="s">
        <v>709</v>
      </c>
      <c r="BJ706" s="547" t="s">
        <v>709</v>
      </c>
      <c r="BK706" s="547" t="s">
        <v>709</v>
      </c>
      <c r="BL706" s="547" t="s">
        <v>116</v>
      </c>
      <c r="BM706" s="547" t="s">
        <v>709</v>
      </c>
      <c r="BN706" s="547" t="s">
        <v>709</v>
      </c>
      <c r="BO706" s="547" t="s">
        <v>709</v>
      </c>
      <c r="BP706" s="547">
        <v>3715</v>
      </c>
      <c r="BQ706" s="547">
        <v>450</v>
      </c>
      <c r="BR706" s="547">
        <v>326</v>
      </c>
      <c r="BS706" s="547">
        <v>6089</v>
      </c>
      <c r="BT706" s="547" t="s">
        <v>709</v>
      </c>
      <c r="BU706" s="547" t="s">
        <v>709</v>
      </c>
      <c r="BV706" s="547">
        <v>1</v>
      </c>
      <c r="BW706" s="547" t="s">
        <v>709</v>
      </c>
      <c r="BX706" s="547" t="s">
        <v>745</v>
      </c>
      <c r="BY706" s="547" t="s">
        <v>709</v>
      </c>
      <c r="BZ706" s="547" t="s">
        <v>709</v>
      </c>
      <c r="CA706" s="483"/>
      <c r="CB706" s="547">
        <v>703</v>
      </c>
      <c r="CC706" s="1481" t="b">
        <v>1</v>
      </c>
      <c r="CD706" t="str">
        <f>Table15[[#This Row],[Engineering Number]]&amp;Table15[[#This Row],[WO Number]]&amp;Table15[[#This Row],[Date Assigned to Designer]]&amp;Table15[[#This Row],[Date Completed]]</f>
        <v>BS26012107214479144798</v>
      </c>
    </row>
    <row r="707" spans="1:82" customFormat="1" ht="15" customHeight="1" x14ac:dyDescent="0.25">
      <c r="A707">
        <v>2022</v>
      </c>
      <c r="B707" s="8" t="s">
        <v>1205</v>
      </c>
      <c r="C707" s="8" t="s">
        <v>262</v>
      </c>
      <c r="D707" s="8" t="s">
        <v>1336</v>
      </c>
      <c r="E707" s="8" t="s">
        <v>263</v>
      </c>
      <c r="F707" s="8" t="s">
        <v>747</v>
      </c>
      <c r="G707" s="8" t="s">
        <v>36</v>
      </c>
      <c r="H707" s="8" t="s">
        <v>59</v>
      </c>
      <c r="I707" s="642">
        <v>44683</v>
      </c>
      <c r="J707" s="18">
        <v>44799</v>
      </c>
      <c r="K707" s="97">
        <v>44799</v>
      </c>
      <c r="L707" s="16">
        <f>IF(ISTEXT(Table15[[#This Row],[Engineering Approved Design Date]]),Table15[[#This Row],[Date Completed]]-Table15[[#This Row],[Date Assigned to Designer]],Table15[[#This Row],[Engineering Approved Design Date]]-Table15[[#This Row],[Date Completed]])</f>
        <v>0</v>
      </c>
      <c r="M707" s="642"/>
      <c r="N707" s="642" t="s">
        <v>120</v>
      </c>
      <c r="O707" s="1058">
        <v>44805</v>
      </c>
      <c r="P707" s="21" t="s">
        <v>120</v>
      </c>
      <c r="Q707" s="1061">
        <f>R707*AA707</f>
        <v>85129.174799999993</v>
      </c>
      <c r="R707" s="1026">
        <v>0.09</v>
      </c>
      <c r="S707" s="538"/>
      <c r="T707" s="538"/>
      <c r="U707" s="87"/>
      <c r="V707" s="858">
        <v>997</v>
      </c>
      <c r="W707" s="437"/>
      <c r="X707" s="552">
        <v>893074.41</v>
      </c>
      <c r="Y707" s="551"/>
      <c r="Z707" s="552">
        <v>52805.31</v>
      </c>
      <c r="AA707" s="552">
        <f>Table15[[#This Row],[PCTS Investment Amount]]+Table15[[#This Row],[PCTS Retirement Amount]]</f>
        <v>945879.72</v>
      </c>
      <c r="AB707" s="476">
        <v>44820</v>
      </c>
      <c r="AC707" s="568" t="s">
        <v>116</v>
      </c>
      <c r="AD707" s="1157"/>
      <c r="AE707" s="568"/>
      <c r="AF707" s="568"/>
      <c r="AG707" s="568"/>
      <c r="AH707" s="183"/>
      <c r="AI707" s="1036"/>
      <c r="AJ707" s="1037"/>
      <c r="AK707" s="1037"/>
      <c r="AL707" s="1038"/>
      <c r="AM707" s="536" t="s">
        <v>116</v>
      </c>
      <c r="AN707" s="903" t="s">
        <v>709</v>
      </c>
      <c r="AO707" s="1536">
        <v>11042197</v>
      </c>
      <c r="AP707" s="1537"/>
      <c r="AQ707" s="1537"/>
      <c r="AR707" s="1537"/>
      <c r="AS707" s="888">
        <f>IF(Table15[[#This Row],[PCTS Approved]]="N",0,Table15[[#This Row],[Investment Amount (1'#'#'#'#'#)]]+Table15[[#This Row],[Retirement Amount (3'#'#'#'#'#)]])</f>
        <v>0</v>
      </c>
      <c r="AT707" s="888">
        <f>IF(Table15[[#This Row],[Approved Construction Cost]]=0,0,Table15[[#This Row],[Approved Construction Cost]]-Table15[[#This Row],[Construction Cost to Bill From]])</f>
        <v>0</v>
      </c>
      <c r="AU707" s="888">
        <f>IFERROR(Table15[[#This Row],[Difference in Construction Cost]]*Table15[[#This Row],[Rate]],Table15[[#This Row],[Difference in Construction Cost]]*0.085)</f>
        <v>0</v>
      </c>
      <c r="AV707" s="905"/>
      <c r="AW707" s="1509"/>
      <c r="AX707" s="888"/>
      <c r="AY707" s="636" t="s">
        <v>709</v>
      </c>
      <c r="AZ707" s="1532">
        <v>25</v>
      </c>
      <c r="BA707" s="859" t="s">
        <v>1337</v>
      </c>
      <c r="BB707" s="644" t="s">
        <v>1338</v>
      </c>
      <c r="BC707" s="544" t="s">
        <v>115</v>
      </c>
      <c r="BD707" s="544" t="s">
        <v>115</v>
      </c>
      <c r="BE707" s="544" t="s">
        <v>1339</v>
      </c>
      <c r="BF707" s="544" t="s">
        <v>115</v>
      </c>
      <c r="BG707" s="544" t="s">
        <v>1340</v>
      </c>
      <c r="BH707" s="741"/>
      <c r="BI707" s="547" t="s">
        <v>709</v>
      </c>
      <c r="BJ707" s="547" t="s">
        <v>709</v>
      </c>
      <c r="BK707" s="547" t="s">
        <v>116</v>
      </c>
      <c r="BL707" s="547" t="s">
        <v>709</v>
      </c>
      <c r="BM707" s="547" t="s">
        <v>709</v>
      </c>
      <c r="BN707" s="547">
        <v>769</v>
      </c>
      <c r="BO707" s="547" t="s">
        <v>709</v>
      </c>
      <c r="BP707" s="547" t="s">
        <v>709</v>
      </c>
      <c r="BQ707" s="547">
        <v>173</v>
      </c>
      <c r="BR707" s="547">
        <v>55</v>
      </c>
      <c r="BS707" s="547" t="s">
        <v>709</v>
      </c>
      <c r="BT707" s="547" t="s">
        <v>745</v>
      </c>
      <c r="BU707" s="547" t="s">
        <v>709</v>
      </c>
      <c r="BV707" s="547" t="s">
        <v>745</v>
      </c>
      <c r="BW707" s="547" t="s">
        <v>709</v>
      </c>
      <c r="BX707" s="547" t="s">
        <v>745</v>
      </c>
      <c r="BY707" s="547" t="s">
        <v>745</v>
      </c>
      <c r="BZ707" s="547" t="s">
        <v>709</v>
      </c>
      <c r="CA707" s="483"/>
      <c r="CB707" s="547">
        <v>705</v>
      </c>
      <c r="CC707" s="1481" t="b">
        <v>1</v>
      </c>
      <c r="CD707" t="str">
        <f>Table15[[#This Row],[Engineering Number]]&amp;Table15[[#This Row],[WO Number]]&amp;Table15[[#This Row],[Date Assigned to Designer]]&amp;Table15[[#This Row],[Date Completed]]</f>
        <v>MR118912114044468344799</v>
      </c>
    </row>
    <row r="708" spans="1:82" customFormat="1" ht="15" customHeight="1" x14ac:dyDescent="0.25">
      <c r="A708">
        <v>2023</v>
      </c>
      <c r="B708" s="8" t="s">
        <v>1205</v>
      </c>
      <c r="C708" s="8" t="s">
        <v>4752</v>
      </c>
      <c r="D708" s="8" t="s">
        <v>4753</v>
      </c>
      <c r="E708" s="8" t="s">
        <v>361</v>
      </c>
      <c r="F708" s="8" t="s">
        <v>738</v>
      </c>
      <c r="G708" s="8" t="s">
        <v>24</v>
      </c>
      <c r="H708" s="8" t="s">
        <v>59</v>
      </c>
      <c r="I708" s="642">
        <v>44749</v>
      </c>
      <c r="J708" s="18">
        <v>44841</v>
      </c>
      <c r="K708" s="97">
        <v>44802</v>
      </c>
      <c r="L708" s="16">
        <f>IF(ISTEXT(Table15[[#This Row],[Engineering Approved Design Date]]),Table15[[#This Row],[Date Completed]]-Table15[[#This Row],[Date Assigned to Designer]],Table15[[#This Row],[Engineering Approved Design Date]]-Table15[[#This Row],[Date Completed]])</f>
        <v>39</v>
      </c>
      <c r="M708" s="642"/>
      <c r="N708" s="642" t="s">
        <v>120</v>
      </c>
      <c r="O708" s="1058">
        <v>44805</v>
      </c>
      <c r="P708" s="21" t="s">
        <v>120</v>
      </c>
      <c r="Q708" s="1061">
        <f>R708*AA708</f>
        <v>54977.065199999997</v>
      </c>
      <c r="R708" s="1026">
        <v>0.09</v>
      </c>
      <c r="S708" s="538"/>
      <c r="T708" s="538"/>
      <c r="U708" s="87"/>
      <c r="V708" s="858">
        <v>2935</v>
      </c>
      <c r="W708" s="437"/>
      <c r="X708" s="551">
        <v>584106.25</v>
      </c>
      <c r="Y708" s="551"/>
      <c r="Z708" s="552">
        <v>26750.03</v>
      </c>
      <c r="AA708" s="552">
        <f>Table15[[#This Row],[PCTS Investment Amount]]+Table15[[#This Row],[PCTS Retirement Amount]]</f>
        <v>610856.28</v>
      </c>
      <c r="AB708" s="476">
        <v>44804</v>
      </c>
      <c r="AC708" s="568" t="s">
        <v>709</v>
      </c>
      <c r="AD708" s="1157"/>
      <c r="AE708" s="568"/>
      <c r="AF708" s="568"/>
      <c r="AG708" s="568"/>
      <c r="AH708" s="183"/>
      <c r="AI708" s="1036"/>
      <c r="AJ708" s="1037"/>
      <c r="AK708" s="1037"/>
      <c r="AL708" s="1038"/>
      <c r="AM708" s="1522" t="s">
        <v>116</v>
      </c>
      <c r="AN708" s="1523">
        <v>44840</v>
      </c>
      <c r="AO708" s="1524">
        <v>11046943</v>
      </c>
      <c r="AP708" s="1525">
        <v>584338.56000000006</v>
      </c>
      <c r="AQ708" s="1525"/>
      <c r="AR708" s="1525">
        <v>26750.03</v>
      </c>
      <c r="AS708" s="1525">
        <f>IF(Table15[[#This Row],[PCTS Approved]]="N",0,Table15[[#This Row],[Investment Amount (1'#'#'#'#'#)]]+Table15[[#This Row],[Retirement Amount (3'#'#'#'#'#)]])</f>
        <v>611088.59000000008</v>
      </c>
      <c r="AT708" s="1525">
        <f>IF(Table15[[#This Row],[Approved Construction Cost]]=0,0,Table15[[#This Row],[Approved Construction Cost]]-Table15[[#This Row],[Construction Cost to Bill From]])</f>
        <v>232.31000000005588</v>
      </c>
      <c r="AU708" s="1525">
        <f>IFERROR(Table15[[#This Row],[Difference in Construction Cost]]*Table15[[#This Row],[Rate]],Table15[[#This Row],[Difference in Construction Cost]]*0.085)</f>
        <v>20.907900000005029</v>
      </c>
      <c r="AV708" s="1525" t="s">
        <v>709</v>
      </c>
      <c r="AW708" s="1526"/>
      <c r="AX708" s="1525">
        <f>Table15[[#This Row],[Reconcile Amount]]</f>
        <v>20.907900000005029</v>
      </c>
      <c r="AY708" s="1518">
        <v>45008</v>
      </c>
      <c r="AZ708" s="333"/>
      <c r="BA708" s="1031" t="s">
        <v>4754</v>
      </c>
      <c r="BB708" s="644" t="s">
        <v>3994</v>
      </c>
      <c r="BC708" s="544" t="s">
        <v>115</v>
      </c>
      <c r="BD708" s="544" t="s">
        <v>115</v>
      </c>
      <c r="BE708" s="544" t="s">
        <v>1415</v>
      </c>
      <c r="BF708" s="544" t="s">
        <v>1396</v>
      </c>
      <c r="BG708" s="544" t="s">
        <v>115</v>
      </c>
      <c r="BH708" s="741"/>
      <c r="BI708" s="547" t="s">
        <v>709</v>
      </c>
      <c r="BJ708" s="547" t="s">
        <v>709</v>
      </c>
      <c r="BK708" s="547" t="s">
        <v>709</v>
      </c>
      <c r="BL708" s="547" t="s">
        <v>116</v>
      </c>
      <c r="BM708" s="547" t="s">
        <v>709</v>
      </c>
      <c r="BN708" s="547" t="s">
        <v>709</v>
      </c>
      <c r="BO708" s="547" t="s">
        <v>709</v>
      </c>
      <c r="BP708" s="547" t="s">
        <v>709</v>
      </c>
      <c r="BQ708" s="547" t="s">
        <v>709</v>
      </c>
      <c r="BR708" s="547" t="s">
        <v>709</v>
      </c>
      <c r="BS708" s="547">
        <v>2935</v>
      </c>
      <c r="BT708" s="547" t="s">
        <v>745</v>
      </c>
      <c r="BU708" s="547" t="s">
        <v>709</v>
      </c>
      <c r="BV708" s="547" t="s">
        <v>745</v>
      </c>
      <c r="BW708" s="547" t="s">
        <v>709</v>
      </c>
      <c r="BX708" s="547" t="s">
        <v>745</v>
      </c>
      <c r="BY708" s="547" t="s">
        <v>745</v>
      </c>
      <c r="BZ708" s="547" t="s">
        <v>709</v>
      </c>
      <c r="CA708" s="483"/>
      <c r="CB708" s="547">
        <v>706</v>
      </c>
      <c r="CC708" s="1481" t="b">
        <v>1</v>
      </c>
      <c r="CD708" t="str">
        <f>Table15[[#This Row],[Engineering Number]]&amp;Table15[[#This Row],[WO Number]]&amp;Table15[[#This Row],[Date Assigned to Designer]]&amp;Table15[[#This Row],[Date Completed]]</f>
        <v>MR191812116134474944802</v>
      </c>
    </row>
    <row r="709" spans="1:82" customFormat="1" ht="15" customHeight="1" x14ac:dyDescent="0.25">
      <c r="A709">
        <v>2022</v>
      </c>
      <c r="B709" s="8" t="s">
        <v>1205</v>
      </c>
      <c r="C709" s="8" t="s">
        <v>4746</v>
      </c>
      <c r="D709" s="8" t="s">
        <v>4747</v>
      </c>
      <c r="E709" s="8" t="s">
        <v>1945</v>
      </c>
      <c r="F709" s="8" t="s">
        <v>747</v>
      </c>
      <c r="G709" s="8" t="s">
        <v>23</v>
      </c>
      <c r="H709" s="8" t="s">
        <v>59</v>
      </c>
      <c r="I709" s="642">
        <v>44706</v>
      </c>
      <c r="J709" s="18">
        <v>44806</v>
      </c>
      <c r="K709" s="97">
        <v>44802</v>
      </c>
      <c r="L709" s="16">
        <f>IF(ISTEXT(Table15[[#This Row],[Engineering Approved Design Date]]),Table15[[#This Row],[Date Completed]]-Table15[[#This Row],[Date Assigned to Designer]],Table15[[#This Row],[Engineering Approved Design Date]]-Table15[[#This Row],[Date Completed]])</f>
        <v>4</v>
      </c>
      <c r="M709" s="642"/>
      <c r="N709" s="642" t="s">
        <v>120</v>
      </c>
      <c r="O709" s="1058">
        <v>44805</v>
      </c>
      <c r="P709" s="21" t="s">
        <v>739</v>
      </c>
      <c r="Q709" s="1061">
        <f>R709*AA709</f>
        <v>65369.340899999996</v>
      </c>
      <c r="R709" s="1026">
        <v>0.09</v>
      </c>
      <c r="S709" s="538"/>
      <c r="T709" s="538"/>
      <c r="U709" s="87"/>
      <c r="V709" s="858">
        <v>4719</v>
      </c>
      <c r="W709" s="437"/>
      <c r="X709" s="551">
        <v>704633.75</v>
      </c>
      <c r="Y709" s="551"/>
      <c r="Z709" s="551">
        <v>21692.26</v>
      </c>
      <c r="AA709" s="552">
        <f>Table15[[#This Row],[PCTS Investment Amount]]+Table15[[#This Row],[PCTS Retirement Amount]]</f>
        <v>726326.01</v>
      </c>
      <c r="AB709" s="341">
        <v>44805</v>
      </c>
      <c r="AC709" s="568" t="s">
        <v>116</v>
      </c>
      <c r="AD709" s="1157" t="s">
        <v>29</v>
      </c>
      <c r="AE709" s="568"/>
      <c r="AF709" s="568"/>
      <c r="AG709" s="568"/>
      <c r="AH709" s="183"/>
      <c r="AI709" s="1036"/>
      <c r="AJ709" s="1037"/>
      <c r="AK709" s="1037"/>
      <c r="AL709" s="1038"/>
      <c r="AM709" s="1522" t="s">
        <v>116</v>
      </c>
      <c r="AN709" s="1523">
        <v>44847</v>
      </c>
      <c r="AO709" s="1524">
        <v>11042465</v>
      </c>
      <c r="AP709" s="1525">
        <v>705460.59</v>
      </c>
      <c r="AQ709" s="1525"/>
      <c r="AR709" s="1525">
        <v>21678.1</v>
      </c>
      <c r="AS709" s="1525">
        <f>IF(Table15[[#This Row],[PCTS Approved]]="N",0,Table15[[#This Row],[Investment Amount (1'#'#'#'#'#)]]+Table15[[#This Row],[Retirement Amount (3'#'#'#'#'#)]])</f>
        <v>727138.69</v>
      </c>
      <c r="AT709" s="1525">
        <f>IF(Table15[[#This Row],[Approved Construction Cost]]=0,0,Table15[[#This Row],[Approved Construction Cost]]-Table15[[#This Row],[Construction Cost to Bill From]])</f>
        <v>812.67999999993481</v>
      </c>
      <c r="AU709" s="1525">
        <f>IFERROR(Table15[[#This Row],[Difference in Construction Cost]]*Table15[[#This Row],[Rate]],Table15[[#This Row],[Difference in Construction Cost]]*0.085)</f>
        <v>73.141199999994129</v>
      </c>
      <c r="AV709" s="1525" t="s">
        <v>709</v>
      </c>
      <c r="AW709" s="1526"/>
      <c r="AX709" s="1525">
        <f>Table15[[#This Row],[Reconcile Amount]]</f>
        <v>73.141199999994129</v>
      </c>
      <c r="AY709" s="1518">
        <v>45008</v>
      </c>
      <c r="AZ709" s="333"/>
      <c r="BA709" s="1031" t="s">
        <v>4748</v>
      </c>
      <c r="BB709" s="644" t="s">
        <v>4749</v>
      </c>
      <c r="BC709" s="544" t="s">
        <v>115</v>
      </c>
      <c r="BD709" s="544" t="s">
        <v>115</v>
      </c>
      <c r="BE709" s="544" t="s">
        <v>115</v>
      </c>
      <c r="BF709" s="544" t="s">
        <v>4750</v>
      </c>
      <c r="BG709" s="544" t="s">
        <v>115</v>
      </c>
      <c r="BH709" s="741"/>
      <c r="BI709" s="547" t="s">
        <v>709</v>
      </c>
      <c r="BJ709" s="547" t="s">
        <v>116</v>
      </c>
      <c r="BK709" s="547" t="s">
        <v>709</v>
      </c>
      <c r="BL709" s="547" t="s">
        <v>709</v>
      </c>
      <c r="BM709" s="547" t="s">
        <v>709</v>
      </c>
      <c r="BN709" s="547" t="s">
        <v>709</v>
      </c>
      <c r="BO709" s="547" t="s">
        <v>709</v>
      </c>
      <c r="BP709" s="547" t="s">
        <v>709</v>
      </c>
      <c r="BQ709" s="547">
        <v>4614</v>
      </c>
      <c r="BR709" s="547" t="s">
        <v>709</v>
      </c>
      <c r="BS709" s="547">
        <v>105</v>
      </c>
      <c r="BT709" s="547" t="s">
        <v>745</v>
      </c>
      <c r="BU709" s="547" t="s">
        <v>709</v>
      </c>
      <c r="BV709" s="547" t="s">
        <v>745</v>
      </c>
      <c r="BW709" s="547" t="s">
        <v>709</v>
      </c>
      <c r="BX709" s="547" t="s">
        <v>745</v>
      </c>
      <c r="BY709" s="547" t="s">
        <v>745</v>
      </c>
      <c r="BZ709" s="547" t="s">
        <v>709</v>
      </c>
      <c r="CA709" s="483"/>
      <c r="CB709" s="547">
        <v>707</v>
      </c>
      <c r="CC709" s="1481" t="b">
        <v>1</v>
      </c>
      <c r="CD709" t="str">
        <f>Table15[[#This Row],[Engineering Number]]&amp;Table15[[#This Row],[WO Number]]&amp;Table15[[#This Row],[Date Assigned to Designer]]&amp;Table15[[#This Row],[Date Completed]]</f>
        <v>MR189214114734470644802</v>
      </c>
    </row>
    <row r="710" spans="1:82" customFormat="1" ht="15" customHeight="1" x14ac:dyDescent="0.25">
      <c r="A710">
        <v>2023</v>
      </c>
      <c r="B710" s="8" t="s">
        <v>771</v>
      </c>
      <c r="C710" s="8" t="s">
        <v>4756</v>
      </c>
      <c r="D710" s="8" t="s">
        <v>4757</v>
      </c>
      <c r="E710" s="8" t="s">
        <v>354</v>
      </c>
      <c r="F710" s="8" t="s">
        <v>738</v>
      </c>
      <c r="G710" s="8" t="s">
        <v>32</v>
      </c>
      <c r="H710" s="8" t="s">
        <v>59</v>
      </c>
      <c r="I710" s="642">
        <v>44721</v>
      </c>
      <c r="J710" s="18">
        <v>44813</v>
      </c>
      <c r="K710" s="97">
        <v>44803</v>
      </c>
      <c r="L710" s="16">
        <f>IF(ISTEXT(Table15[[#This Row],[Engineering Approved Design Date]]),Table15[[#This Row],[Date Completed]]-Table15[[#This Row],[Date Assigned to Designer]],Table15[[#This Row],[Engineering Approved Design Date]]-Table15[[#This Row],[Date Completed]])</f>
        <v>10</v>
      </c>
      <c r="M710" s="642"/>
      <c r="N710" s="642" t="s">
        <v>120</v>
      </c>
      <c r="O710" s="1058">
        <v>44805</v>
      </c>
      <c r="P710" s="21" t="s">
        <v>120</v>
      </c>
      <c r="Q710" s="1061">
        <f>R710*AA710</f>
        <v>120044.66849999999</v>
      </c>
      <c r="R710" s="1026">
        <v>0.09</v>
      </c>
      <c r="S710" s="538"/>
      <c r="T710" s="538"/>
      <c r="U710" s="87"/>
      <c r="V710" s="858">
        <v>5227</v>
      </c>
      <c r="W710" s="437"/>
      <c r="X710" s="551">
        <v>1271069.1399999999</v>
      </c>
      <c r="Y710" s="551"/>
      <c r="Z710" s="552">
        <v>62760.51</v>
      </c>
      <c r="AA710" s="552">
        <f>Table15[[#This Row],[PCTS Investment Amount]]+Table15[[#This Row],[PCTS Retirement Amount]]</f>
        <v>1333829.6499999999</v>
      </c>
      <c r="AB710" s="476">
        <v>44802</v>
      </c>
      <c r="AC710" s="568" t="s">
        <v>709</v>
      </c>
      <c r="AD710" s="1157" t="s">
        <v>29</v>
      </c>
      <c r="AE710" s="568"/>
      <c r="AF710" s="568"/>
      <c r="AG710" s="568"/>
      <c r="AH710" s="183"/>
      <c r="AI710" s="1036"/>
      <c r="AJ710" s="1037"/>
      <c r="AK710" s="1037"/>
      <c r="AL710" s="1038"/>
      <c r="AM710" s="1522" t="s">
        <v>116</v>
      </c>
      <c r="AN710" s="1523">
        <v>44816</v>
      </c>
      <c r="AO710" s="1524">
        <v>11045515</v>
      </c>
      <c r="AP710" s="1525">
        <v>1271216.08</v>
      </c>
      <c r="AQ710" s="1525"/>
      <c r="AR710" s="1525">
        <v>62758.15</v>
      </c>
      <c r="AS710" s="1525">
        <f>IF(Table15[[#This Row],[PCTS Approved]]="N",0,Table15[[#This Row],[Investment Amount (1'#'#'#'#'#)]]+Table15[[#This Row],[Retirement Amount (3'#'#'#'#'#)]])</f>
        <v>1333974.23</v>
      </c>
      <c r="AT710" s="1525">
        <f>IF(Table15[[#This Row],[Approved Construction Cost]]=0,0,Table15[[#This Row],[Approved Construction Cost]]-Table15[[#This Row],[Construction Cost to Bill From]])</f>
        <v>144.58000000007451</v>
      </c>
      <c r="AU710" s="1525">
        <f>IFERROR(Table15[[#This Row],[Difference in Construction Cost]]*Table15[[#This Row],[Rate]],Table15[[#This Row],[Difference in Construction Cost]]*0.085)</f>
        <v>13.012200000006706</v>
      </c>
      <c r="AV710" s="1525" t="s">
        <v>709</v>
      </c>
      <c r="AW710" s="1526"/>
      <c r="AX710" s="1525">
        <f>Table15[[#This Row],[Reconcile Amount]]</f>
        <v>13.012200000006706</v>
      </c>
      <c r="AY710" s="1518">
        <v>45008</v>
      </c>
      <c r="AZ710" s="333"/>
      <c r="BA710" s="1031" t="s">
        <v>4758</v>
      </c>
      <c r="BB710" s="644" t="s">
        <v>3507</v>
      </c>
      <c r="BC710" s="544" t="s">
        <v>115</v>
      </c>
      <c r="BD710" s="544" t="s">
        <v>115</v>
      </c>
      <c r="BE710" s="544" t="s">
        <v>588</v>
      </c>
      <c r="BF710" s="544" t="s">
        <v>115</v>
      </c>
      <c r="BG710" s="544" t="s">
        <v>115</v>
      </c>
      <c r="BH710" s="741" t="s">
        <v>4759</v>
      </c>
      <c r="BI710" s="547" t="s">
        <v>709</v>
      </c>
      <c r="BJ710" s="547" t="s">
        <v>709</v>
      </c>
      <c r="BK710" s="547" t="s">
        <v>709</v>
      </c>
      <c r="BL710" s="547" t="s">
        <v>116</v>
      </c>
      <c r="BM710" s="547">
        <v>0</v>
      </c>
      <c r="BN710" s="549">
        <v>0</v>
      </c>
      <c r="BO710" s="547">
        <v>0</v>
      </c>
      <c r="BP710" s="547">
        <v>0</v>
      </c>
      <c r="BQ710" s="547">
        <v>0</v>
      </c>
      <c r="BR710" s="547">
        <v>4664</v>
      </c>
      <c r="BS710" s="547">
        <v>563</v>
      </c>
      <c r="BT710" s="547">
        <v>0</v>
      </c>
      <c r="BU710" s="547">
        <v>0</v>
      </c>
      <c r="BV710" s="547">
        <v>0</v>
      </c>
      <c r="BW710" s="547">
        <v>0</v>
      </c>
      <c r="BX710" s="547">
        <v>0</v>
      </c>
      <c r="BY710" s="547">
        <v>0</v>
      </c>
      <c r="BZ710" s="547" t="s">
        <v>709</v>
      </c>
      <c r="CA710" s="483"/>
      <c r="CB710" s="547">
        <v>708</v>
      </c>
      <c r="CC710" s="1481" t="b">
        <v>1</v>
      </c>
      <c r="CD710" t="str">
        <f>Table15[[#This Row],[Engineering Number]]&amp;Table15[[#This Row],[WO Number]]&amp;Table15[[#This Row],[Date Assigned to Designer]]&amp;Table15[[#This Row],[Date Completed]]</f>
        <v>BS7012115144472144803</v>
      </c>
    </row>
    <row r="711" spans="1:82" customFormat="1" ht="15" customHeight="1" x14ac:dyDescent="0.25">
      <c r="A711">
        <v>2022</v>
      </c>
      <c r="B711" s="8" t="s">
        <v>771</v>
      </c>
      <c r="C711" s="8" t="s">
        <v>4761</v>
      </c>
      <c r="D711" s="8" t="s">
        <v>4762</v>
      </c>
      <c r="E711" s="8" t="s">
        <v>3992</v>
      </c>
      <c r="F711" s="8" t="s">
        <v>747</v>
      </c>
      <c r="G711" s="8" t="s">
        <v>32</v>
      </c>
      <c r="H711" s="8" t="s">
        <v>59</v>
      </c>
      <c r="I711" s="642">
        <v>44732</v>
      </c>
      <c r="J711" s="18">
        <v>44824</v>
      </c>
      <c r="K711" s="97">
        <v>44804</v>
      </c>
      <c r="L711" s="16">
        <f>IF(ISTEXT(Table15[[#This Row],[Engineering Approved Design Date]]),Table15[[#This Row],[Date Completed]]-Table15[[#This Row],[Date Assigned to Designer]],Table15[[#This Row],[Engineering Approved Design Date]]-Table15[[#This Row],[Date Completed]])</f>
        <v>20</v>
      </c>
      <c r="M711" s="642"/>
      <c r="N711" s="642" t="s">
        <v>120</v>
      </c>
      <c r="O711" s="1058">
        <v>44805</v>
      </c>
      <c r="P711" s="21" t="s">
        <v>120</v>
      </c>
      <c r="Q711" s="1061">
        <f>R711*AA711</f>
        <v>33308.592300000004</v>
      </c>
      <c r="R711" s="1026">
        <v>0.09</v>
      </c>
      <c r="S711" s="538"/>
      <c r="T711" s="538"/>
      <c r="U711" s="87"/>
      <c r="V711" s="858">
        <v>1260</v>
      </c>
      <c r="W711" s="437"/>
      <c r="X711" s="551">
        <v>325273.08</v>
      </c>
      <c r="Y711" s="551"/>
      <c r="Z711" s="552">
        <v>44822.39</v>
      </c>
      <c r="AA711" s="552">
        <f>Table15[[#This Row],[PCTS Investment Amount]]+Table15[[#This Row],[PCTS Retirement Amount]]</f>
        <v>370095.47000000003</v>
      </c>
      <c r="AB711" s="476">
        <v>44805</v>
      </c>
      <c r="AC711" s="568" t="s">
        <v>709</v>
      </c>
      <c r="AD711" s="1157" t="s">
        <v>29</v>
      </c>
      <c r="AE711" s="568"/>
      <c r="AF711" s="568"/>
      <c r="AG711" s="568"/>
      <c r="AH711" s="183"/>
      <c r="AI711" s="1036"/>
      <c r="AJ711" s="1037"/>
      <c r="AK711" s="1037"/>
      <c r="AL711" s="1038"/>
      <c r="AM711" s="1522" t="s">
        <v>116</v>
      </c>
      <c r="AN711" s="1523">
        <v>44949</v>
      </c>
      <c r="AO711" s="1524">
        <v>11052445</v>
      </c>
      <c r="AP711" s="1525">
        <v>332657.08</v>
      </c>
      <c r="AQ711" s="1525"/>
      <c r="AR711" s="1525">
        <v>34770.83</v>
      </c>
      <c r="AS711" s="1525">
        <f>IF(Table15[[#This Row],[PCTS Approved]]="N",0,Table15[[#This Row],[Investment Amount (1'#'#'#'#'#)]]+Table15[[#This Row],[Retirement Amount (3'#'#'#'#'#)]])</f>
        <v>367427.91000000003</v>
      </c>
      <c r="AT711" s="1525">
        <f>IF(Table15[[#This Row],[Approved Construction Cost]]=0,0,Table15[[#This Row],[Approved Construction Cost]]-Table15[[#This Row],[Construction Cost to Bill From]])</f>
        <v>-2667.5599999999977</v>
      </c>
      <c r="AU711" s="1525">
        <f>IFERROR(Table15[[#This Row],[Difference in Construction Cost]]*Table15[[#This Row],[Rate]],Table15[[#This Row],[Difference in Construction Cost]]*0.085)</f>
        <v>-240.08039999999977</v>
      </c>
      <c r="AV711" s="1525" t="s">
        <v>709</v>
      </c>
      <c r="AW711" s="1526"/>
      <c r="AX711" s="1525">
        <v>-240.08039999999977</v>
      </c>
      <c r="AY711" s="1518">
        <v>45200</v>
      </c>
      <c r="AZ711" s="333"/>
      <c r="BA711" s="859" t="s">
        <v>4763</v>
      </c>
      <c r="BB711" s="644" t="s">
        <v>120</v>
      </c>
      <c r="BC711" s="544" t="s">
        <v>4764</v>
      </c>
      <c r="BD711" s="544" t="s">
        <v>3507</v>
      </c>
      <c r="BE711" s="544" t="s">
        <v>115</v>
      </c>
      <c r="BF711" s="544" t="s">
        <v>115</v>
      </c>
      <c r="BG711" s="544" t="s">
        <v>3995</v>
      </c>
      <c r="BH711" s="741" t="s">
        <v>4765</v>
      </c>
      <c r="BI711" s="547" t="s">
        <v>709</v>
      </c>
      <c r="BJ711" s="547" t="s">
        <v>709</v>
      </c>
      <c r="BK711" s="547" t="s">
        <v>709</v>
      </c>
      <c r="BL711" s="547" t="s">
        <v>116</v>
      </c>
      <c r="BM711" s="547">
        <v>0</v>
      </c>
      <c r="BN711" s="549">
        <v>0</v>
      </c>
      <c r="BO711" s="547">
        <v>0</v>
      </c>
      <c r="BP711" s="547">
        <v>25</v>
      </c>
      <c r="BQ711" s="547">
        <v>0</v>
      </c>
      <c r="BR711" s="547">
        <v>0</v>
      </c>
      <c r="BS711" s="547">
        <v>1235</v>
      </c>
      <c r="BT711" s="547">
        <v>0</v>
      </c>
      <c r="BU711" s="547">
        <v>0</v>
      </c>
      <c r="BV711" s="547">
        <v>0</v>
      </c>
      <c r="BW711" s="547">
        <v>0</v>
      </c>
      <c r="BX711" s="547">
        <v>0</v>
      </c>
      <c r="BY711" s="547">
        <v>0</v>
      </c>
      <c r="BZ711" s="547" t="s">
        <v>709</v>
      </c>
      <c r="CA711" s="483"/>
      <c r="CB711" s="547">
        <v>709</v>
      </c>
      <c r="CC711" s="1481" t="b">
        <v>1</v>
      </c>
      <c r="CD711" t="str">
        <f>Table15[[#This Row],[Engineering Number]]&amp;Table15[[#This Row],[WO Number]]&amp;Table15[[#This Row],[Date Assigned to Designer]]&amp;Table15[[#This Row],[Date Completed]]</f>
        <v>BS19812115484473244804</v>
      </c>
    </row>
    <row r="712" spans="1:82" customFormat="1" ht="15" customHeight="1" x14ac:dyDescent="0.25">
      <c r="A712">
        <v>2022</v>
      </c>
      <c r="B712" s="8" t="s">
        <v>771</v>
      </c>
      <c r="C712" s="8" t="s">
        <v>231</v>
      </c>
      <c r="D712" s="8">
        <v>1410691</v>
      </c>
      <c r="E712" s="8" t="s">
        <v>232</v>
      </c>
      <c r="F712" s="8" t="s">
        <v>747</v>
      </c>
      <c r="G712" s="8" t="s">
        <v>22</v>
      </c>
      <c r="H712" s="8" t="s">
        <v>3178</v>
      </c>
      <c r="I712" s="642">
        <v>44802</v>
      </c>
      <c r="J712" s="175" t="s">
        <v>2052</v>
      </c>
      <c r="K712" s="97">
        <v>44806</v>
      </c>
      <c r="L712" s="16">
        <f>IF(ISTEXT(Table15[[#This Row],[Engineering Approved Design Date]]),Table15[[#This Row],[Date Completed]]-Table15[[#This Row],[Date Assigned to Designer]],Table15[[#This Row],[Engineering Approved Design Date]]-Table15[[#This Row],[Date Completed]])</f>
        <v>4</v>
      </c>
      <c r="M712" t="s">
        <v>4767</v>
      </c>
      <c r="N712" s="642" t="s">
        <v>120</v>
      </c>
      <c r="O712" s="1025">
        <v>44835</v>
      </c>
      <c r="P712" s="21" t="s">
        <v>120</v>
      </c>
      <c r="Q712" s="1151">
        <f>Table15[[#This Row],[KH Hourly Effort]]</f>
        <v>3855</v>
      </c>
      <c r="R712" s="1026" t="s">
        <v>1922</v>
      </c>
      <c r="S712" s="538"/>
      <c r="T712" s="538"/>
      <c r="U712" s="87">
        <v>3855</v>
      </c>
      <c r="V712" s="858"/>
      <c r="W712" s="437"/>
      <c r="X712" s="538"/>
      <c r="Y712" s="551"/>
      <c r="Z712" s="538"/>
      <c r="AA712" s="538"/>
      <c r="AB712" s="341" t="s">
        <v>29</v>
      </c>
      <c r="AC712" s="569" t="s">
        <v>709</v>
      </c>
      <c r="AD712" s="1149" t="s">
        <v>709</v>
      </c>
      <c r="AE712" s="569"/>
      <c r="AF712" s="569"/>
      <c r="AG712" s="569"/>
      <c r="AH712" s="536"/>
      <c r="AI712" s="1028"/>
      <c r="AJ712" s="1029"/>
      <c r="AK712" s="1029"/>
      <c r="AL712" s="1030"/>
      <c r="AM712" s="542" t="s">
        <v>709</v>
      </c>
      <c r="AN712" s="924"/>
      <c r="AO712" s="925"/>
      <c r="AP712" s="926"/>
      <c r="AQ712" s="926"/>
      <c r="AR712" s="926"/>
      <c r="AS712" s="926"/>
      <c r="AT712" s="926"/>
      <c r="AU712" s="926"/>
      <c r="AV712" s="926"/>
      <c r="AW712" s="927"/>
      <c r="AX712" s="926"/>
      <c r="AY712" s="1538" t="s">
        <v>29</v>
      </c>
      <c r="AZ712" s="1530"/>
      <c r="BA712" s="1031">
        <v>7</v>
      </c>
      <c r="BB712" s="644"/>
      <c r="BC712" s="544"/>
      <c r="BD712" s="544"/>
      <c r="BE712" s="544"/>
      <c r="BF712" s="544"/>
      <c r="BG712" s="544"/>
      <c r="BH712" s="741"/>
      <c r="BI712" s="547" t="s">
        <v>709</v>
      </c>
      <c r="BJ712" s="547" t="s">
        <v>709</v>
      </c>
      <c r="BK712" s="547" t="s">
        <v>709</v>
      </c>
      <c r="BL712" s="547" t="s">
        <v>116</v>
      </c>
      <c r="BM712" s="547" t="s">
        <v>709</v>
      </c>
      <c r="BN712" s="547" t="s">
        <v>709</v>
      </c>
      <c r="BO712" s="547" t="s">
        <v>709</v>
      </c>
      <c r="BP712" s="547">
        <v>5289</v>
      </c>
      <c r="BQ712" s="547" t="s">
        <v>709</v>
      </c>
      <c r="BR712" s="547">
        <v>127</v>
      </c>
      <c r="BS712" s="547">
        <v>1375</v>
      </c>
      <c r="BT712" s="547" t="s">
        <v>745</v>
      </c>
      <c r="BU712" s="547" t="s">
        <v>709</v>
      </c>
      <c r="BV712" s="547" t="s">
        <v>745</v>
      </c>
      <c r="BW712" s="547" t="s">
        <v>709</v>
      </c>
      <c r="BX712" s="547" t="s">
        <v>745</v>
      </c>
      <c r="BY712" s="547" t="s">
        <v>745</v>
      </c>
      <c r="BZ712" s="547" t="s">
        <v>709</v>
      </c>
      <c r="CA712" s="483"/>
      <c r="CB712" s="547">
        <v>710</v>
      </c>
      <c r="CC712" s="1481" t="b">
        <v>1</v>
      </c>
      <c r="CD712" t="str">
        <f>Table15[[#This Row],[Engineering Number]]&amp;Table15[[#This Row],[WO Number]]&amp;Table15[[#This Row],[Date Assigned to Designer]]&amp;Table15[[#This Row],[Date Completed]]</f>
        <v>BS20814106914480244806</v>
      </c>
    </row>
    <row r="713" spans="1:82" customFormat="1" ht="15" customHeight="1" x14ac:dyDescent="0.25">
      <c r="A713">
        <v>2022</v>
      </c>
      <c r="B713" s="8" t="s">
        <v>2994</v>
      </c>
      <c r="C713" s="8" t="s">
        <v>4218</v>
      </c>
      <c r="D713" s="8">
        <v>1210876</v>
      </c>
      <c r="E713" s="8" t="s">
        <v>155</v>
      </c>
      <c r="F713" s="8" t="s">
        <v>4769</v>
      </c>
      <c r="G713" s="8" t="s">
        <v>4770</v>
      </c>
      <c r="H713" s="8" t="s">
        <v>4189</v>
      </c>
      <c r="I713" s="642">
        <v>44782</v>
      </c>
      <c r="J713" s="175" t="s">
        <v>2052</v>
      </c>
      <c r="K713" s="97">
        <v>44806</v>
      </c>
      <c r="L713" s="16">
        <f>IF(ISTEXT(Table15[[#This Row],[Engineering Approved Design Date]]),Table15[[#This Row],[Date Completed]]-Table15[[#This Row],[Date Assigned to Designer]],Table15[[#This Row],[Engineering Approved Design Date]]-Table15[[#This Row],[Date Completed]])</f>
        <v>24</v>
      </c>
      <c r="M713" t="s">
        <v>4771</v>
      </c>
      <c r="N713" s="642" t="s">
        <v>120</v>
      </c>
      <c r="O713" s="1025">
        <v>44835</v>
      </c>
      <c r="P713" s="21" t="s">
        <v>739</v>
      </c>
      <c r="Q713" s="1151">
        <f>Table15[[#This Row],[KH Hourly Effort]]</f>
        <v>9452.5</v>
      </c>
      <c r="R713" s="1026" t="s">
        <v>1922</v>
      </c>
      <c r="S713" s="538"/>
      <c r="T713" s="538"/>
      <c r="U713" s="87">
        <v>9452.5</v>
      </c>
      <c r="V713" s="858"/>
      <c r="W713" s="437"/>
      <c r="X713" s="538"/>
      <c r="Y713" s="551"/>
      <c r="Z713" s="538"/>
      <c r="AA713" s="538"/>
      <c r="AB713" s="341" t="s">
        <v>29</v>
      </c>
      <c r="AC713" s="569" t="s">
        <v>709</v>
      </c>
      <c r="AD713" s="1149" t="s">
        <v>116</v>
      </c>
      <c r="AE713" s="580"/>
      <c r="AF713" s="580"/>
      <c r="AG713" s="580"/>
      <c r="AH713" s="542"/>
      <c r="AI713" s="1028"/>
      <c r="AJ713" s="1029"/>
      <c r="AK713" s="1029"/>
      <c r="AL713" s="1030"/>
      <c r="AM713" s="542" t="s">
        <v>709</v>
      </c>
      <c r="AN713" s="924"/>
      <c r="AO713" s="925"/>
      <c r="AP713" s="926"/>
      <c r="AQ713" s="926"/>
      <c r="AR713" s="926"/>
      <c r="AS713" s="926"/>
      <c r="AT713" s="926"/>
      <c r="AU713" s="926"/>
      <c r="AV713" s="926"/>
      <c r="AW713" s="927"/>
      <c r="AX713" s="926"/>
      <c r="AY713" s="1538" t="s">
        <v>29</v>
      </c>
      <c r="AZ713" s="1532"/>
      <c r="BA713" s="1031">
        <v>3</v>
      </c>
      <c r="BB713" s="644"/>
      <c r="BC713" s="544"/>
      <c r="BD713" s="544"/>
      <c r="BE713" s="544"/>
      <c r="BF713" s="544"/>
      <c r="BG713" s="544"/>
      <c r="BH713" s="741"/>
      <c r="BI713" s="547" t="s">
        <v>709</v>
      </c>
      <c r="BJ713" s="547" t="s">
        <v>709</v>
      </c>
      <c r="BK713" s="547" t="s">
        <v>709</v>
      </c>
      <c r="BL713" s="547" t="s">
        <v>116</v>
      </c>
      <c r="BM713" s="547" t="s">
        <v>709</v>
      </c>
      <c r="BN713" s="547" t="s">
        <v>709</v>
      </c>
      <c r="BO713" s="547" t="s">
        <v>709</v>
      </c>
      <c r="BP713" s="547" t="s">
        <v>709</v>
      </c>
      <c r="BQ713" s="547" t="s">
        <v>709</v>
      </c>
      <c r="BR713" s="547">
        <v>23</v>
      </c>
      <c r="BS713" s="547">
        <v>32</v>
      </c>
      <c r="BT713" s="547" t="s">
        <v>745</v>
      </c>
      <c r="BU713" s="547" t="s">
        <v>709</v>
      </c>
      <c r="BV713" s="547">
        <v>2</v>
      </c>
      <c r="BW713" s="547" t="s">
        <v>709</v>
      </c>
      <c r="BX713" s="547" t="s">
        <v>745</v>
      </c>
      <c r="BY713" s="547" t="s">
        <v>745</v>
      </c>
      <c r="BZ713" s="547" t="s">
        <v>709</v>
      </c>
      <c r="CA713" s="483" t="s">
        <v>2</v>
      </c>
      <c r="CB713" s="547">
        <v>711</v>
      </c>
      <c r="CC713" s="1481" t="b">
        <v>1</v>
      </c>
      <c r="CD713" t="str">
        <f>Table15[[#This Row],[Engineering Number]]&amp;Table15[[#This Row],[WO Number]]&amp;Table15[[#This Row],[Date Assigned to Designer]]&amp;Table15[[#This Row],[Date Completed]]</f>
        <v>MR182612108764478244806</v>
      </c>
    </row>
    <row r="714" spans="1:82" customFormat="1" ht="15" customHeight="1" x14ac:dyDescent="0.25">
      <c r="A714">
        <v>2022</v>
      </c>
      <c r="B714" s="8" t="s">
        <v>4</v>
      </c>
      <c r="C714" s="8" t="s">
        <v>4773</v>
      </c>
      <c r="D714" s="8" t="s">
        <v>4774</v>
      </c>
      <c r="E714" s="8" t="s">
        <v>2032</v>
      </c>
      <c r="F714" s="8" t="s">
        <v>784</v>
      </c>
      <c r="G714" s="8" t="s">
        <v>27</v>
      </c>
      <c r="H714" s="8" t="s">
        <v>59</v>
      </c>
      <c r="I714" s="642">
        <v>44672</v>
      </c>
      <c r="J714" s="18">
        <v>44819</v>
      </c>
      <c r="K714" s="97">
        <v>44810</v>
      </c>
      <c r="L714" s="16">
        <f>IF(ISTEXT(Table15[[#This Row],[Engineering Approved Design Date]]),Table15[[#This Row],[Date Completed]]-Table15[[#This Row],[Date Assigned to Designer]],Table15[[#This Row],[Engineering Approved Design Date]]-Table15[[#This Row],[Date Completed]])</f>
        <v>9</v>
      </c>
      <c r="M714" s="642"/>
      <c r="N714" s="642" t="s">
        <v>120</v>
      </c>
      <c r="O714" s="1025">
        <v>44835</v>
      </c>
      <c r="P714" s="21" t="s">
        <v>739</v>
      </c>
      <c r="Q714" s="1061">
        <f>R714*AA714</f>
        <v>19579.274000000001</v>
      </c>
      <c r="R714" s="1026">
        <v>0.1</v>
      </c>
      <c r="S714" s="538"/>
      <c r="T714" s="538"/>
      <c r="U714" s="87"/>
      <c r="V714" s="858">
        <v>177</v>
      </c>
      <c r="W714" s="437"/>
      <c r="X714" s="550">
        <v>161957.38</v>
      </c>
      <c r="Y714" s="551"/>
      <c r="Z714" s="570">
        <v>33835.360000000001</v>
      </c>
      <c r="AA714" s="552">
        <f>Table15[[#This Row],[PCTS Investment Amount]]+Table15[[#This Row],[PCTS Retirement Amount]]</f>
        <v>195792.74</v>
      </c>
      <c r="AB714" s="341" t="s">
        <v>29</v>
      </c>
      <c r="AC714" s="568" t="s">
        <v>709</v>
      </c>
      <c r="AD714" s="1157"/>
      <c r="AE714" s="579"/>
      <c r="AF714" s="579"/>
      <c r="AG714" s="579"/>
      <c r="AH714" s="553"/>
      <c r="AI714" s="1036"/>
      <c r="AJ714" s="1037"/>
      <c r="AK714" s="1037"/>
      <c r="AL714" s="1038"/>
      <c r="AM714" s="1522" t="s">
        <v>116</v>
      </c>
      <c r="AN714" s="1523">
        <v>44915</v>
      </c>
      <c r="AO714" s="1524">
        <v>11042444</v>
      </c>
      <c r="AP714" s="1525">
        <v>161907.16</v>
      </c>
      <c r="AQ714" s="1525"/>
      <c r="AR714" s="1525">
        <v>33835.360000000001</v>
      </c>
      <c r="AS714" s="1525">
        <f>IF(Table15[[#This Row],[PCTS Approved]]="N",0,Table15[[#This Row],[Investment Amount (1'#'#'#'#'#)]]+Table15[[#This Row],[Retirement Amount (3'#'#'#'#'#)]])</f>
        <v>195742.52000000002</v>
      </c>
      <c r="AT714" s="1525">
        <f>IF(Table15[[#This Row],[Approved Construction Cost]]=0,0,Table15[[#This Row],[Approved Construction Cost]]-Table15[[#This Row],[Construction Cost to Bill From]])</f>
        <v>-50.21999999997206</v>
      </c>
      <c r="AU714" s="1525">
        <f>IFERROR(Table15[[#This Row],[Difference in Construction Cost]]*Table15[[#This Row],[Rate]],Table15[[#This Row],[Difference in Construction Cost]]*0.085)</f>
        <v>-5.021999999997206</v>
      </c>
      <c r="AV714" s="1525" t="s">
        <v>709</v>
      </c>
      <c r="AW714" s="1526"/>
      <c r="AX714" s="1525">
        <f>Table15[[#This Row],[Reconcile Amount]]</f>
        <v>-5.021999999997206</v>
      </c>
      <c r="AY714" s="1518">
        <v>45008</v>
      </c>
      <c r="AZ714" s="333"/>
      <c r="BA714" s="1031" t="s">
        <v>4775</v>
      </c>
      <c r="BB714" s="644" t="s">
        <v>877</v>
      </c>
      <c r="BC714" s="544" t="s">
        <v>116</v>
      </c>
      <c r="BD714" s="544" t="s">
        <v>115</v>
      </c>
      <c r="BE714" s="544" t="s">
        <v>115</v>
      </c>
      <c r="BF714" s="544" t="s">
        <v>2892</v>
      </c>
      <c r="BG714" s="544" t="s">
        <v>115</v>
      </c>
      <c r="BH714" s="741"/>
      <c r="BI714" s="547" t="s">
        <v>709</v>
      </c>
      <c r="BJ714" s="547" t="s">
        <v>709</v>
      </c>
      <c r="BK714" s="547" t="s">
        <v>709</v>
      </c>
      <c r="BL714" s="547" t="s">
        <v>116</v>
      </c>
      <c r="BM714" s="547" t="s">
        <v>709</v>
      </c>
      <c r="BN714" s="547" t="s">
        <v>709</v>
      </c>
      <c r="BO714" s="547" t="s">
        <v>709</v>
      </c>
      <c r="BP714" s="547" t="s">
        <v>709</v>
      </c>
      <c r="BQ714" s="547" t="s">
        <v>709</v>
      </c>
      <c r="BR714" s="547" t="s">
        <v>709</v>
      </c>
      <c r="BS714" s="547">
        <v>177</v>
      </c>
      <c r="BT714" s="547" t="s">
        <v>745</v>
      </c>
      <c r="BU714" s="547" t="s">
        <v>709</v>
      </c>
      <c r="BV714" s="547" t="s">
        <v>745</v>
      </c>
      <c r="BW714" s="547" t="s">
        <v>709</v>
      </c>
      <c r="BX714" s="547" t="s">
        <v>745</v>
      </c>
      <c r="BY714" s="547" t="s">
        <v>745</v>
      </c>
      <c r="BZ714" s="547" t="s">
        <v>709</v>
      </c>
      <c r="CA714" s="483"/>
      <c r="CB714" s="547">
        <v>712</v>
      </c>
      <c r="CC714" s="1481" t="b">
        <v>1</v>
      </c>
      <c r="CD714" t="str">
        <f>Table15[[#This Row],[Engineering Number]]&amp;Table15[[#This Row],[WO Number]]&amp;Table15[[#This Row],[Date Assigned to Designer]]&amp;Table15[[#This Row],[Date Completed]]</f>
        <v>SC2087413113674467244810</v>
      </c>
    </row>
    <row r="715" spans="1:82" customFormat="1" ht="15" customHeight="1" x14ac:dyDescent="0.25">
      <c r="A715">
        <v>2023</v>
      </c>
      <c r="B715" s="8" t="s">
        <v>771</v>
      </c>
      <c r="C715" s="8" t="s">
        <v>258</v>
      </c>
      <c r="D715" s="8" t="s">
        <v>4777</v>
      </c>
      <c r="E715" s="8" t="s">
        <v>259</v>
      </c>
      <c r="F715" s="8" t="s">
        <v>784</v>
      </c>
      <c r="G715" s="8" t="s">
        <v>36</v>
      </c>
      <c r="H715" s="8" t="s">
        <v>59</v>
      </c>
      <c r="I715" s="642">
        <v>44666</v>
      </c>
      <c r="J715" s="18">
        <v>44816</v>
      </c>
      <c r="K715" s="97">
        <v>44811</v>
      </c>
      <c r="L715" s="16">
        <f>IF(ISTEXT(Table15[[#This Row],[Engineering Approved Design Date]]),Table15[[#This Row],[Date Completed]]-Table15[[#This Row],[Date Assigned to Designer]],Table15[[#This Row],[Engineering Approved Design Date]]-Table15[[#This Row],[Date Completed]])</f>
        <v>5</v>
      </c>
      <c r="M715" s="642"/>
      <c r="N715" s="642" t="s">
        <v>120</v>
      </c>
      <c r="O715" s="1058">
        <f>Table15[[#This Row],[Date Completed]]</f>
        <v>44811</v>
      </c>
      <c r="P715" s="21" t="s">
        <v>120</v>
      </c>
      <c r="Q715" s="1151">
        <f>1.55*Table15[[#This Row],[LF of Main]]</f>
        <v>11846.65</v>
      </c>
      <c r="R715" s="1026" t="s">
        <v>2087</v>
      </c>
      <c r="S715" s="538"/>
      <c r="T715" s="538"/>
      <c r="U715" s="87"/>
      <c r="V715" s="858">
        <v>7643</v>
      </c>
      <c r="W715" s="437"/>
      <c r="X715" s="552">
        <v>1936900.78</v>
      </c>
      <c r="Y715" s="551"/>
      <c r="Z715" s="552">
        <v>75192.960000000006</v>
      </c>
      <c r="AA715" s="552">
        <f>Table15[[#This Row],[PCTS Investment Amount]]+Table15[[#This Row],[PCTS Retirement Amount]]</f>
        <v>2012093.74</v>
      </c>
      <c r="AB715" s="341">
        <v>44818</v>
      </c>
      <c r="AC715" s="568" t="s">
        <v>116</v>
      </c>
      <c r="AD715" s="1157" t="s">
        <v>116</v>
      </c>
      <c r="AE715" s="568"/>
      <c r="AF715" s="568"/>
      <c r="AG715" s="568"/>
      <c r="AH715" s="183"/>
      <c r="AI715" s="1036"/>
      <c r="AJ715" s="1037"/>
      <c r="AK715" s="1037"/>
      <c r="AL715" s="1038"/>
      <c r="AM715" s="542" t="s">
        <v>709</v>
      </c>
      <c r="AN715" s="924"/>
      <c r="AO715" s="925"/>
      <c r="AP715" s="926"/>
      <c r="AQ715" s="926"/>
      <c r="AR715" s="926"/>
      <c r="AS715" s="926"/>
      <c r="AT715" s="926"/>
      <c r="AU715" s="926"/>
      <c r="AV715" s="926"/>
      <c r="AW715" s="927"/>
      <c r="AX715" s="926"/>
      <c r="AY715" s="1538" t="s">
        <v>29</v>
      </c>
      <c r="AZ715" s="1530"/>
      <c r="BA715" s="1031" t="s">
        <v>4778</v>
      </c>
      <c r="BB715" s="644" t="s">
        <v>1436</v>
      </c>
      <c r="BC715" s="544" t="s">
        <v>116</v>
      </c>
      <c r="BD715" s="544" t="s">
        <v>115</v>
      </c>
      <c r="BE715" s="544" t="s">
        <v>744</v>
      </c>
      <c r="BF715" s="544" t="s">
        <v>115</v>
      </c>
      <c r="BG715" s="544" t="s">
        <v>115</v>
      </c>
      <c r="BH715" s="741"/>
      <c r="BI715" s="547" t="s">
        <v>709</v>
      </c>
      <c r="BJ715" s="547" t="s">
        <v>709</v>
      </c>
      <c r="BK715" s="547" t="s">
        <v>709</v>
      </c>
      <c r="BL715" s="547" t="s">
        <v>116</v>
      </c>
      <c r="BM715" s="547" t="s">
        <v>709</v>
      </c>
      <c r="BN715" s="547" t="s">
        <v>709</v>
      </c>
      <c r="BO715" s="547" t="s">
        <v>709</v>
      </c>
      <c r="BP715" s="547">
        <v>2794</v>
      </c>
      <c r="BQ715" s="547" t="s">
        <v>709</v>
      </c>
      <c r="BR715" s="547">
        <v>688</v>
      </c>
      <c r="BS715" s="547">
        <v>4161</v>
      </c>
      <c r="BT715" s="547" t="s">
        <v>745</v>
      </c>
      <c r="BU715" s="547" t="s">
        <v>709</v>
      </c>
      <c r="BV715" s="547" t="s">
        <v>745</v>
      </c>
      <c r="BW715" s="547" t="s">
        <v>709</v>
      </c>
      <c r="BX715" s="547" t="s">
        <v>745</v>
      </c>
      <c r="BY715" s="547" t="s">
        <v>745</v>
      </c>
      <c r="BZ715" s="547" t="s">
        <v>709</v>
      </c>
      <c r="CA715" s="483"/>
      <c r="CB715" s="547">
        <v>713</v>
      </c>
      <c r="CC715" s="1481" t="b">
        <v>1</v>
      </c>
      <c r="CD715" t="str">
        <f>Table15[[#This Row],[Engineering Number]]&amp;Table15[[#This Row],[WO Number]]&amp;Table15[[#This Row],[Date Assigned to Designer]]&amp;Table15[[#This Row],[Date Completed]]</f>
        <v>BS38112113344466644811</v>
      </c>
    </row>
    <row r="716" spans="1:82" customFormat="1" ht="15" customHeight="1" x14ac:dyDescent="0.25">
      <c r="A716">
        <v>2022</v>
      </c>
      <c r="B716" s="8" t="s">
        <v>1073</v>
      </c>
      <c r="C716" s="8" t="s">
        <v>4780</v>
      </c>
      <c r="D716" s="8" t="s">
        <v>4781</v>
      </c>
      <c r="E716" s="8" t="s">
        <v>4246</v>
      </c>
      <c r="F716" s="8" t="s">
        <v>784</v>
      </c>
      <c r="G716" s="8" t="s">
        <v>23</v>
      </c>
      <c r="H716" s="8" t="s">
        <v>59</v>
      </c>
      <c r="I716" s="642">
        <v>44732</v>
      </c>
      <c r="J716" s="18">
        <v>44816</v>
      </c>
      <c r="K716" s="97">
        <v>44812</v>
      </c>
      <c r="L716" s="16">
        <f>IF(ISTEXT(Table15[[#This Row],[Engineering Approved Design Date]]),Table15[[#This Row],[Date Completed]]-Table15[[#This Row],[Date Assigned to Designer]],Table15[[#This Row],[Engineering Approved Design Date]]-Table15[[#This Row],[Date Completed]])</f>
        <v>4</v>
      </c>
      <c r="M716" s="642"/>
      <c r="N716" s="642" t="s">
        <v>120</v>
      </c>
      <c r="O716" s="1025">
        <v>44835</v>
      </c>
      <c r="P716" s="21" t="s">
        <v>739</v>
      </c>
      <c r="Q716" s="1061">
        <f>R716*AA716</f>
        <v>66068.0965</v>
      </c>
      <c r="R716" s="1026">
        <v>7.0000000000000007E-2</v>
      </c>
      <c r="S716" s="538"/>
      <c r="T716" s="538"/>
      <c r="U716" s="87"/>
      <c r="V716" s="858">
        <v>8250</v>
      </c>
      <c r="W716" s="437"/>
      <c r="X716" s="570">
        <v>943829.95</v>
      </c>
      <c r="Y716" s="551"/>
      <c r="Z716" s="552">
        <v>0</v>
      </c>
      <c r="AA716" s="552">
        <f>Table15[[#This Row],[PCTS Investment Amount]]+Table15[[#This Row],[PCTS Retirement Amount]]</f>
        <v>943829.95</v>
      </c>
      <c r="AB716" s="341">
        <v>44824</v>
      </c>
      <c r="AC716" s="568" t="s">
        <v>116</v>
      </c>
      <c r="AD716" s="1157" t="s">
        <v>116</v>
      </c>
      <c r="AE716" s="568"/>
      <c r="AF716" s="568"/>
      <c r="AG716" s="568"/>
      <c r="AH716" s="183"/>
      <c r="AI716" s="1036"/>
      <c r="AJ716" s="1037"/>
      <c r="AK716" s="1037"/>
      <c r="AL716" s="1038"/>
      <c r="AM716" s="1522" t="s">
        <v>116</v>
      </c>
      <c r="AN716" s="1523">
        <v>44886</v>
      </c>
      <c r="AO716" s="1524">
        <v>11049516</v>
      </c>
      <c r="AP716" s="1525">
        <v>947460.45</v>
      </c>
      <c r="AQ716" s="1525"/>
      <c r="AR716" s="1525">
        <v>0</v>
      </c>
      <c r="AS716" s="1525">
        <f>IF(Table15[[#This Row],[PCTS Approved]]="N",0,Table15[[#This Row],[Investment Amount (1'#'#'#'#'#)]]+Table15[[#This Row],[Retirement Amount (3'#'#'#'#'#)]])</f>
        <v>947460.45</v>
      </c>
      <c r="AT716" s="1525">
        <f>IF(Table15[[#This Row],[Approved Construction Cost]]=0,0,Table15[[#This Row],[Approved Construction Cost]]-Table15[[#This Row],[Construction Cost to Bill From]])</f>
        <v>3630.5</v>
      </c>
      <c r="AU716" s="1525">
        <f>IFERROR(Table15[[#This Row],[Difference in Construction Cost]]*Table15[[#This Row],[Rate]],Table15[[#This Row],[Difference in Construction Cost]]*0.085)</f>
        <v>254.13500000000002</v>
      </c>
      <c r="AV716" s="1525">
        <v>10445</v>
      </c>
      <c r="AW716" s="1526" t="s">
        <v>4782</v>
      </c>
      <c r="AX716" s="1525">
        <v>0</v>
      </c>
      <c r="AY716" s="1518">
        <v>45008</v>
      </c>
      <c r="AZ716" s="333"/>
      <c r="BA716" s="1031" t="s">
        <v>4783</v>
      </c>
      <c r="BB716" s="644" t="s">
        <v>969</v>
      </c>
      <c r="BC716" s="544" t="s">
        <v>115</v>
      </c>
      <c r="BD716" s="544" t="s">
        <v>1167</v>
      </c>
      <c r="BE716" s="544" t="s">
        <v>115</v>
      </c>
      <c r="BF716" s="544" t="s">
        <v>115</v>
      </c>
      <c r="BG716" s="544" t="s">
        <v>1078</v>
      </c>
      <c r="BH716" s="741"/>
      <c r="BI716" s="547" t="s">
        <v>709</v>
      </c>
      <c r="BJ716" s="547" t="s">
        <v>709</v>
      </c>
      <c r="BK716" s="547" t="s">
        <v>709</v>
      </c>
      <c r="BL716" s="547" t="s">
        <v>116</v>
      </c>
      <c r="BM716" s="547" t="s">
        <v>709</v>
      </c>
      <c r="BN716" s="547" t="s">
        <v>709</v>
      </c>
      <c r="BO716" s="547" t="s">
        <v>709</v>
      </c>
      <c r="BP716" s="547">
        <v>180</v>
      </c>
      <c r="BQ716" s="547">
        <v>5504</v>
      </c>
      <c r="BR716" s="547">
        <v>3116</v>
      </c>
      <c r="BS716" s="547" t="s">
        <v>709</v>
      </c>
      <c r="BT716" s="547" t="s">
        <v>745</v>
      </c>
      <c r="BU716" s="547" t="s">
        <v>709</v>
      </c>
      <c r="BV716" s="547" t="s">
        <v>745</v>
      </c>
      <c r="BW716" s="547" t="s">
        <v>709</v>
      </c>
      <c r="BX716" s="547" t="s">
        <v>745</v>
      </c>
      <c r="BY716" s="547" t="s">
        <v>745</v>
      </c>
      <c r="BZ716" s="547" t="s">
        <v>709</v>
      </c>
      <c r="CA716" s="483"/>
      <c r="CB716" s="547">
        <v>714</v>
      </c>
      <c r="CC716" s="1481" t="b">
        <v>1</v>
      </c>
      <c r="CD716" t="str">
        <f>Table15[[#This Row],[Engineering Number]]&amp;Table15[[#This Row],[WO Number]]&amp;Table15[[#This Row],[Date Assigned to Designer]]&amp;Table15[[#This Row],[Date Completed]]</f>
        <v>NBA1000664316114344473244812</v>
      </c>
    </row>
    <row r="717" spans="1:82" customFormat="1" ht="15" customHeight="1" x14ac:dyDescent="0.25">
      <c r="A717">
        <v>2022</v>
      </c>
      <c r="B717" s="8" t="s">
        <v>759</v>
      </c>
      <c r="C717" s="8" t="s">
        <v>224</v>
      </c>
      <c r="D717" s="8" t="s">
        <v>1270</v>
      </c>
      <c r="E717" s="8" t="s">
        <v>225</v>
      </c>
      <c r="F717" s="8" t="s">
        <v>784</v>
      </c>
      <c r="G717" s="8" t="s">
        <v>4785</v>
      </c>
      <c r="H717" s="8" t="s">
        <v>2611</v>
      </c>
      <c r="I717" s="642">
        <v>44813</v>
      </c>
      <c r="J717" s="175" t="s">
        <v>2612</v>
      </c>
      <c r="K717" s="97">
        <v>44816</v>
      </c>
      <c r="L717" s="16">
        <f>IF(ISTEXT(Table15[[#This Row],[Engineering Approved Design Date]]),Table15[[#This Row],[Date Completed]]-Table15[[#This Row],[Date Assigned to Designer]],Table15[[#This Row],[Engineering Approved Design Date]]-Table15[[#This Row],[Date Completed]])</f>
        <v>3</v>
      </c>
      <c r="M717" t="s">
        <v>4786</v>
      </c>
      <c r="N717" s="642" t="s">
        <v>120</v>
      </c>
      <c r="O717" s="1058">
        <f>Table15[[#This Row],[Date Completed]]</f>
        <v>44816</v>
      </c>
      <c r="P717" s="21" t="s">
        <v>120</v>
      </c>
      <c r="Q717" s="1151">
        <f>Table15[[#This Row],[KH Hourly Effort]]</f>
        <v>2620</v>
      </c>
      <c r="R717" s="1026" t="s">
        <v>1922</v>
      </c>
      <c r="S717" s="538"/>
      <c r="T717" s="538"/>
      <c r="U717" s="87">
        <v>2620</v>
      </c>
      <c r="V717" s="858"/>
      <c r="W717" s="437"/>
      <c r="X717" s="538"/>
      <c r="Y717" s="551"/>
      <c r="Z717" s="538"/>
      <c r="AA717" s="552"/>
      <c r="AB717" s="21"/>
      <c r="AC717" s="569" t="s">
        <v>709</v>
      </c>
      <c r="AD717" s="1149"/>
      <c r="AE717" s="580"/>
      <c r="AF717" s="580"/>
      <c r="AG717" s="580"/>
      <c r="AH717" s="542"/>
      <c r="AI717" s="1028"/>
      <c r="AJ717" s="1029"/>
      <c r="AK717" s="1029"/>
      <c r="AL717" s="1030"/>
      <c r="AM717" s="542" t="s">
        <v>709</v>
      </c>
      <c r="AN717" s="924"/>
      <c r="AO717" s="925"/>
      <c r="AP717" s="926"/>
      <c r="AQ717" s="926"/>
      <c r="AR717" s="926"/>
      <c r="AS717" s="926"/>
      <c r="AT717" s="926"/>
      <c r="AU717" s="926"/>
      <c r="AV717" s="926"/>
      <c r="AW717" s="927"/>
      <c r="AX717" s="926"/>
      <c r="AY717" s="1538" t="s">
        <v>29</v>
      </c>
      <c r="AZ717" s="1530"/>
      <c r="BA717" s="1031"/>
      <c r="BB717" s="644"/>
      <c r="BC717" s="544"/>
      <c r="BD717" s="544"/>
      <c r="BE717" s="544"/>
      <c r="BF717" s="544"/>
      <c r="BG717" s="544"/>
      <c r="BH717" s="741"/>
      <c r="BI717" s="547" t="s">
        <v>709</v>
      </c>
      <c r="BJ717" s="547" t="s">
        <v>709</v>
      </c>
      <c r="BK717" s="547" t="s">
        <v>709</v>
      </c>
      <c r="BL717" s="547" t="s">
        <v>116</v>
      </c>
      <c r="BM717" s="547" t="s">
        <v>709</v>
      </c>
      <c r="BN717" s="547" t="s">
        <v>709</v>
      </c>
      <c r="BO717" s="547">
        <v>73</v>
      </c>
      <c r="BP717" s="547">
        <v>557</v>
      </c>
      <c r="BQ717" s="547">
        <v>75</v>
      </c>
      <c r="BR717" s="547">
        <v>159</v>
      </c>
      <c r="BS717" s="547">
        <v>5</v>
      </c>
      <c r="BT717" s="547">
        <v>1</v>
      </c>
      <c r="BU717" s="547" t="s">
        <v>709</v>
      </c>
      <c r="BV717" s="547" t="s">
        <v>745</v>
      </c>
      <c r="BW717" s="547" t="s">
        <v>709</v>
      </c>
      <c r="BX717" s="547">
        <v>1</v>
      </c>
      <c r="BY717" s="547" t="s">
        <v>745</v>
      </c>
      <c r="BZ717" s="547" t="s">
        <v>709</v>
      </c>
      <c r="CA717" s="483" t="s">
        <v>769</v>
      </c>
      <c r="CB717" s="547">
        <v>715</v>
      </c>
      <c r="CC717" s="1481" t="b">
        <v>1</v>
      </c>
      <c r="CD717" t="str">
        <f>Table15[[#This Row],[Engineering Number]]&amp;Table15[[#This Row],[WO Number]]&amp;Table15[[#This Row],[Date Assigned to Designer]]&amp;Table15[[#This Row],[Date Completed]]</f>
        <v>RS5001020834481344816</v>
      </c>
    </row>
    <row r="718" spans="1:82" customFormat="1" ht="15" customHeight="1" x14ac:dyDescent="0.25">
      <c r="A718">
        <v>2022</v>
      </c>
      <c r="B718" s="8" t="s">
        <v>4</v>
      </c>
      <c r="C718" s="8" t="s">
        <v>4788</v>
      </c>
      <c r="D718" s="8" t="s">
        <v>4789</v>
      </c>
      <c r="E718" s="8" t="s">
        <v>354</v>
      </c>
      <c r="F718" s="8" t="s">
        <v>784</v>
      </c>
      <c r="G718" s="8" t="s">
        <v>25</v>
      </c>
      <c r="H718" s="8" t="s">
        <v>59</v>
      </c>
      <c r="I718" s="642">
        <v>44718</v>
      </c>
      <c r="J718" s="18">
        <v>44820</v>
      </c>
      <c r="K718" s="97">
        <v>44816</v>
      </c>
      <c r="L718" s="16">
        <f>IF(ISTEXT(Table15[[#This Row],[Engineering Approved Design Date]]),Table15[[#This Row],[Date Completed]]-Table15[[#This Row],[Date Assigned to Designer]],Table15[[#This Row],[Engineering Approved Design Date]]-Table15[[#This Row],[Date Completed]])</f>
        <v>4</v>
      </c>
      <c r="M718" s="642"/>
      <c r="N718" s="642" t="s">
        <v>120</v>
      </c>
      <c r="O718" s="1025">
        <v>44835</v>
      </c>
      <c r="P718" s="21" t="s">
        <v>739</v>
      </c>
      <c r="Q718" s="1061">
        <f>R718*AA718</f>
        <v>70192.245999999999</v>
      </c>
      <c r="R718" s="1026">
        <v>0.1</v>
      </c>
      <c r="S718" s="538"/>
      <c r="T718" s="538"/>
      <c r="U718" s="87"/>
      <c r="V718" s="858">
        <v>1736</v>
      </c>
      <c r="W718" s="437"/>
      <c r="X718" s="550">
        <v>658135.18999999994</v>
      </c>
      <c r="Y718" s="551"/>
      <c r="Z718" s="570">
        <v>43787.27</v>
      </c>
      <c r="AA718" s="552">
        <f>Table15[[#This Row],[PCTS Investment Amount]]+Table15[[#This Row],[PCTS Retirement Amount]]</f>
        <v>701922.46</v>
      </c>
      <c r="AB718" s="341">
        <v>44831</v>
      </c>
      <c r="AC718" s="568" t="s">
        <v>116</v>
      </c>
      <c r="AD718" s="1157" t="s">
        <v>29</v>
      </c>
      <c r="AE718" s="579"/>
      <c r="AF718" s="579"/>
      <c r="AG718" s="579"/>
      <c r="AH718" s="553"/>
      <c r="AI718" s="1036"/>
      <c r="AJ718" s="1037"/>
      <c r="AK718" s="1037"/>
      <c r="AL718" s="1038"/>
      <c r="AM718" s="1522" t="s">
        <v>116</v>
      </c>
      <c r="AN718" s="1523">
        <v>44952</v>
      </c>
      <c r="AO718" s="1524">
        <v>11052744</v>
      </c>
      <c r="AP718" s="1525">
        <v>672102.06</v>
      </c>
      <c r="AQ718" s="1525"/>
      <c r="AR718" s="1525">
        <v>45926.47</v>
      </c>
      <c r="AS718" s="1525">
        <f>IF(Table15[[#This Row],[PCTS Approved]]="N",0,Table15[[#This Row],[Investment Amount (1'#'#'#'#'#)]]+Table15[[#This Row],[Retirement Amount (3'#'#'#'#'#)]])</f>
        <v>718028.53</v>
      </c>
      <c r="AT718" s="1525">
        <f>IF(Table15[[#This Row],[Approved Construction Cost]]=0,0,Table15[[#This Row],[Approved Construction Cost]]-Table15[[#This Row],[Construction Cost to Bill From]])</f>
        <v>16106.070000000065</v>
      </c>
      <c r="AU718" s="1525">
        <f>IFERROR(Table15[[#This Row],[Difference in Construction Cost]]*Table15[[#This Row],[Rate]],Table15[[#This Row],[Difference in Construction Cost]]*0.085)</f>
        <v>1610.6070000000066</v>
      </c>
      <c r="AV718" s="1525" t="s">
        <v>709</v>
      </c>
      <c r="AW718" s="1526"/>
      <c r="AX718" s="1525">
        <v>1610.6070000000066</v>
      </c>
      <c r="AY718" s="1518">
        <v>45200</v>
      </c>
      <c r="AZ718" s="333"/>
      <c r="BA718" s="859" t="s">
        <v>4790</v>
      </c>
      <c r="BB718" s="644" t="s">
        <v>986</v>
      </c>
      <c r="BC718" s="544" t="s">
        <v>115</v>
      </c>
      <c r="BD718" s="544" t="s">
        <v>115</v>
      </c>
      <c r="BE718" s="544" t="s">
        <v>588</v>
      </c>
      <c r="BF718" s="544" t="s">
        <v>115</v>
      </c>
      <c r="BG718" s="544" t="s">
        <v>115</v>
      </c>
      <c r="BH718" s="741"/>
      <c r="BI718" s="547" t="s">
        <v>709</v>
      </c>
      <c r="BJ718" s="547" t="s">
        <v>709</v>
      </c>
      <c r="BK718" s="547" t="s">
        <v>709</v>
      </c>
      <c r="BL718" s="547" t="s">
        <v>116</v>
      </c>
      <c r="BM718" s="547" t="s">
        <v>709</v>
      </c>
      <c r="BN718" s="547" t="s">
        <v>709</v>
      </c>
      <c r="BO718" s="547" t="s">
        <v>709</v>
      </c>
      <c r="BP718" s="547">
        <v>296</v>
      </c>
      <c r="BQ718" s="547" t="s">
        <v>709</v>
      </c>
      <c r="BR718" s="547">
        <v>672</v>
      </c>
      <c r="BS718" s="547">
        <v>768</v>
      </c>
      <c r="BT718" s="547" t="s">
        <v>745</v>
      </c>
      <c r="BU718" s="547" t="s">
        <v>709</v>
      </c>
      <c r="BV718" s="547" t="s">
        <v>745</v>
      </c>
      <c r="BW718" s="547" t="s">
        <v>709</v>
      </c>
      <c r="BX718" s="547" t="s">
        <v>745</v>
      </c>
      <c r="BY718" s="547" t="s">
        <v>745</v>
      </c>
      <c r="BZ718" s="547" t="s">
        <v>709</v>
      </c>
      <c r="CA718" s="483"/>
      <c r="CB718" s="547">
        <v>716</v>
      </c>
      <c r="CC718" s="1481" t="b">
        <v>1</v>
      </c>
      <c r="CD718" t="str">
        <f>Table15[[#This Row],[Engineering Number]]&amp;Table15[[#This Row],[WO Number]]&amp;Table15[[#This Row],[Date Assigned to Designer]]&amp;Table15[[#This Row],[Date Completed]]</f>
        <v>N1480012115894471844816</v>
      </c>
    </row>
    <row r="719" spans="1:82" customFormat="1" ht="15" customHeight="1" x14ac:dyDescent="0.25">
      <c r="A719">
        <v>2022</v>
      </c>
      <c r="B719" s="8" t="s">
        <v>4</v>
      </c>
      <c r="C719" s="8" t="s">
        <v>1341</v>
      </c>
      <c r="D719" s="8" t="s">
        <v>1342</v>
      </c>
      <c r="E719" s="8" t="s">
        <v>1136</v>
      </c>
      <c r="F719" s="8" t="s">
        <v>784</v>
      </c>
      <c r="G719" s="8" t="s">
        <v>35</v>
      </c>
      <c r="H719" s="8" t="s">
        <v>59</v>
      </c>
      <c r="I719" s="642">
        <v>44718</v>
      </c>
      <c r="J719" s="18">
        <v>44819</v>
      </c>
      <c r="K719" s="97">
        <v>44817</v>
      </c>
      <c r="L719" s="16">
        <f>IF(ISTEXT(Table15[[#This Row],[Engineering Approved Design Date]]),Table15[[#This Row],[Date Completed]]-Table15[[#This Row],[Date Assigned to Designer]],Table15[[#This Row],[Engineering Approved Design Date]]-Table15[[#This Row],[Date Completed]])</f>
        <v>2</v>
      </c>
      <c r="M719" s="642"/>
      <c r="N719" s="642" t="s">
        <v>120</v>
      </c>
      <c r="O719" s="1025">
        <v>44835</v>
      </c>
      <c r="P719" s="21" t="s">
        <v>739</v>
      </c>
      <c r="Q719" s="1061">
        <f>R719*AA719</f>
        <v>83840.455000000016</v>
      </c>
      <c r="R719" s="1026">
        <v>0.1</v>
      </c>
      <c r="S719" s="538"/>
      <c r="T719" s="538"/>
      <c r="U719" s="87"/>
      <c r="V719" s="858">
        <v>2909</v>
      </c>
      <c r="W719" s="437"/>
      <c r="X719" s="571">
        <v>798419.77</v>
      </c>
      <c r="Y719" s="551"/>
      <c r="Z719" s="571">
        <v>39984.78</v>
      </c>
      <c r="AA719" s="552">
        <f>Table15[[#This Row],[PCTS Investment Amount]]+Table15[[#This Row],[PCTS Retirement Amount]]</f>
        <v>838404.55</v>
      </c>
      <c r="AB719" s="341">
        <v>44853</v>
      </c>
      <c r="AC719" s="568" t="s">
        <v>709</v>
      </c>
      <c r="AD719" s="1157" t="s">
        <v>29</v>
      </c>
      <c r="AE719" s="579"/>
      <c r="AF719" s="579"/>
      <c r="AG719" s="579"/>
      <c r="AH719" s="553"/>
      <c r="AI719" s="1036"/>
      <c r="AJ719" s="1037"/>
      <c r="AK719" s="1037"/>
      <c r="AL719" s="1038"/>
      <c r="AM719" s="536" t="s">
        <v>116</v>
      </c>
      <c r="AN719" s="903" t="s">
        <v>709</v>
      </c>
      <c r="AO719" s="1536" t="s">
        <v>115</v>
      </c>
      <c r="AP719" s="1537"/>
      <c r="AQ719" s="1537"/>
      <c r="AR719" s="1537"/>
      <c r="AS719" s="888">
        <f>IF(Table15[[#This Row],[PCTS Approved]]="N",0,Table15[[#This Row],[Investment Amount (1'#'#'#'#'#)]]+Table15[[#This Row],[Retirement Amount (3'#'#'#'#'#)]])</f>
        <v>0</v>
      </c>
      <c r="AT719" s="888">
        <f>IF(Table15[[#This Row],[Approved Construction Cost]]=0,0,Table15[[#This Row],[Approved Construction Cost]]-Table15[[#This Row],[Construction Cost to Bill From]])</f>
        <v>0</v>
      </c>
      <c r="AU719" s="888">
        <f>IFERROR(Table15[[#This Row],[Difference in Construction Cost]]*Table15[[#This Row],[Rate]],Table15[[#This Row],[Difference in Construction Cost]]*0.085)</f>
        <v>0</v>
      </c>
      <c r="AV719" s="905"/>
      <c r="AW719" s="1509"/>
      <c r="AX719" s="888"/>
      <c r="AY719" s="636" t="s">
        <v>709</v>
      </c>
      <c r="AZ719" s="333">
        <v>71</v>
      </c>
      <c r="BA719" s="859" t="s">
        <v>1343</v>
      </c>
      <c r="BB719" s="644" t="s">
        <v>1344</v>
      </c>
      <c r="BC719" s="544" t="s">
        <v>115</v>
      </c>
      <c r="BD719" s="544" t="s">
        <v>115</v>
      </c>
      <c r="BE719" s="544" t="s">
        <v>115</v>
      </c>
      <c r="BF719" s="544" t="s">
        <v>1028</v>
      </c>
      <c r="BG719" s="544" t="s">
        <v>115</v>
      </c>
      <c r="BH719" s="741"/>
      <c r="BI719" s="547" t="s">
        <v>709</v>
      </c>
      <c r="BJ719" s="547" t="s">
        <v>709</v>
      </c>
      <c r="BK719" s="547" t="s">
        <v>709</v>
      </c>
      <c r="BL719" s="547" t="s">
        <v>116</v>
      </c>
      <c r="BM719" s="547" t="s">
        <v>709</v>
      </c>
      <c r="BN719" s="547" t="s">
        <v>709</v>
      </c>
      <c r="BO719" s="547" t="s">
        <v>709</v>
      </c>
      <c r="BP719" s="547" t="s">
        <v>709</v>
      </c>
      <c r="BQ719" s="547">
        <v>133</v>
      </c>
      <c r="BR719" s="547" t="s">
        <v>709</v>
      </c>
      <c r="BS719" s="547">
        <v>2027</v>
      </c>
      <c r="BT719" s="547" t="s">
        <v>745</v>
      </c>
      <c r="BU719" s="547" t="s">
        <v>709</v>
      </c>
      <c r="BV719" s="547" t="s">
        <v>745</v>
      </c>
      <c r="BW719" s="547" t="s">
        <v>709</v>
      </c>
      <c r="BX719" s="547" t="s">
        <v>745</v>
      </c>
      <c r="BY719" s="547" t="s">
        <v>745</v>
      </c>
      <c r="BZ719" s="547" t="s">
        <v>709</v>
      </c>
      <c r="CA719" s="483"/>
      <c r="CB719" s="547">
        <v>717</v>
      </c>
      <c r="CC719" s="1481" t="b">
        <v>1</v>
      </c>
      <c r="CD719" t="str">
        <f>Table15[[#This Row],[Engineering Number]]&amp;Table15[[#This Row],[WO Number]]&amp;Table15[[#This Row],[Date Assigned to Designer]]&amp;Table15[[#This Row],[Date Completed]]</f>
        <v>N1341012116164471844817</v>
      </c>
    </row>
    <row r="720" spans="1:82" customFormat="1" ht="15" customHeight="1" x14ac:dyDescent="0.25">
      <c r="A720">
        <v>2022</v>
      </c>
      <c r="B720" s="8" t="s">
        <v>4</v>
      </c>
      <c r="C720" s="8" t="s">
        <v>4793</v>
      </c>
      <c r="D720" s="8" t="s">
        <v>4794</v>
      </c>
      <c r="E720" s="8" t="s">
        <v>426</v>
      </c>
      <c r="F720" s="8" t="s">
        <v>747</v>
      </c>
      <c r="G720" s="8" t="s">
        <v>35</v>
      </c>
      <c r="H720" s="8" t="s">
        <v>59</v>
      </c>
      <c r="I720" s="642">
        <v>44631</v>
      </c>
      <c r="J720" s="18">
        <v>44834</v>
      </c>
      <c r="K720" s="97">
        <v>44817</v>
      </c>
      <c r="L720" s="16">
        <f>IF(ISTEXT(Table15[[#This Row],[Engineering Approved Design Date]]),Table15[[#This Row],[Date Completed]]-Table15[[#This Row],[Date Assigned to Designer]],Table15[[#This Row],[Engineering Approved Design Date]]-Table15[[#This Row],[Date Completed]])</f>
        <v>17</v>
      </c>
      <c r="M720" s="642"/>
      <c r="N720" s="642" t="s">
        <v>120</v>
      </c>
      <c r="O720" s="1025">
        <v>44835</v>
      </c>
      <c r="P720" s="21" t="s">
        <v>739</v>
      </c>
      <c r="Q720" s="1061">
        <f>R720*AA720</f>
        <v>5000.1959999999999</v>
      </c>
      <c r="R720" s="1026">
        <v>0.1</v>
      </c>
      <c r="S720" s="538"/>
      <c r="T720" s="538"/>
      <c r="U720" s="87"/>
      <c r="V720" s="858">
        <v>0</v>
      </c>
      <c r="W720" s="437"/>
      <c r="X720" s="552">
        <v>0</v>
      </c>
      <c r="Y720" s="551"/>
      <c r="Z720" s="561">
        <v>50001.96</v>
      </c>
      <c r="AA720" s="552">
        <f>Table15[[#This Row],[PCTS Investment Amount]]+Table15[[#This Row],[PCTS Retirement Amount]]</f>
        <v>50001.96</v>
      </c>
      <c r="AB720" s="341">
        <v>44854</v>
      </c>
      <c r="AC720" s="568" t="s">
        <v>709</v>
      </c>
      <c r="AD720" s="1157" t="s">
        <v>29</v>
      </c>
      <c r="AE720" s="579"/>
      <c r="AF720" s="579"/>
      <c r="AG720" s="569"/>
      <c r="AH720" s="553"/>
      <c r="AI720" s="1036"/>
      <c r="AJ720" s="1037"/>
      <c r="AK720" s="1037"/>
      <c r="AL720" s="1038"/>
      <c r="AM720" s="1522" t="s">
        <v>116</v>
      </c>
      <c r="AN720" s="1523">
        <v>44833</v>
      </c>
      <c r="AO720" s="1524">
        <v>11046600</v>
      </c>
      <c r="AP720" s="1525">
        <v>0</v>
      </c>
      <c r="AQ720" s="1525"/>
      <c r="AR720" s="1525">
        <v>11614.09</v>
      </c>
      <c r="AS720" s="1525">
        <f>IF(Table15[[#This Row],[PCTS Approved]]="N",0,Table15[[#This Row],[Investment Amount (1'#'#'#'#'#)]]+Table15[[#This Row],[Retirement Amount (3'#'#'#'#'#)]])</f>
        <v>11614.09</v>
      </c>
      <c r="AT720" s="1525">
        <f>IF(Table15[[#This Row],[Approved Construction Cost]]=0,0,Table15[[#This Row],[Approved Construction Cost]]-Table15[[#This Row],[Construction Cost to Bill From]])</f>
        <v>-38387.869999999995</v>
      </c>
      <c r="AU720" s="1525">
        <f>IFERROR(Table15[[#This Row],[Difference in Construction Cost]]*Table15[[#This Row],[Rate]],Table15[[#This Row],[Difference in Construction Cost]]*0.085)</f>
        <v>-3838.7869999999998</v>
      </c>
      <c r="AV720" s="1525" t="s">
        <v>709</v>
      </c>
      <c r="AW720" s="1526" t="s">
        <v>4795</v>
      </c>
      <c r="AX720" s="1525">
        <v>0</v>
      </c>
      <c r="AY720" s="1518">
        <v>45008</v>
      </c>
      <c r="AZ720" s="333"/>
      <c r="BA720" s="1031" t="s">
        <v>4796</v>
      </c>
      <c r="BB720" s="644" t="s">
        <v>1071</v>
      </c>
      <c r="BC720" s="544" t="s">
        <v>115</v>
      </c>
      <c r="BD720" s="544" t="s">
        <v>115</v>
      </c>
      <c r="BE720" s="544" t="s">
        <v>1396</v>
      </c>
      <c r="BF720" s="544" t="s">
        <v>115</v>
      </c>
      <c r="BG720" s="544" t="s">
        <v>115</v>
      </c>
      <c r="BH720" s="741"/>
      <c r="BI720" s="547" t="s">
        <v>709</v>
      </c>
      <c r="BJ720" s="547" t="s">
        <v>709</v>
      </c>
      <c r="BK720" s="547" t="s">
        <v>709</v>
      </c>
      <c r="BL720" s="547" t="s">
        <v>116</v>
      </c>
      <c r="BM720" s="547" t="s">
        <v>709</v>
      </c>
      <c r="BN720" s="547" t="s">
        <v>709</v>
      </c>
      <c r="BO720" s="547" t="s">
        <v>709</v>
      </c>
      <c r="BP720" s="547" t="s">
        <v>709</v>
      </c>
      <c r="BQ720" s="547" t="s">
        <v>709</v>
      </c>
      <c r="BR720" s="547">
        <v>769</v>
      </c>
      <c r="BS720" s="547" t="s">
        <v>709</v>
      </c>
      <c r="BT720" s="547" t="s">
        <v>745</v>
      </c>
      <c r="BU720" s="547" t="s">
        <v>709</v>
      </c>
      <c r="BV720" s="547" t="s">
        <v>745</v>
      </c>
      <c r="BW720" s="547" t="s">
        <v>709</v>
      </c>
      <c r="BX720" s="547" t="s">
        <v>745</v>
      </c>
      <c r="BY720" s="547" t="s">
        <v>745</v>
      </c>
      <c r="BZ720" s="547" t="s">
        <v>709</v>
      </c>
      <c r="CA720" s="483" t="s">
        <v>1146</v>
      </c>
      <c r="CB720" s="547">
        <v>719</v>
      </c>
      <c r="CC720" s="1481" t="b">
        <v>1</v>
      </c>
      <c r="CD720" t="str">
        <f>Table15[[#This Row],[Engineering Number]]&amp;Table15[[#This Row],[WO Number]]&amp;Table15[[#This Row],[Date Assigned to Designer]]&amp;Table15[[#This Row],[Date Completed]]</f>
        <v>N1555432112884463144817</v>
      </c>
    </row>
    <row r="721" spans="1:82" customFormat="1" ht="15" customHeight="1" x14ac:dyDescent="0.25">
      <c r="A721">
        <v>2022</v>
      </c>
      <c r="B721" s="8" t="s">
        <v>4</v>
      </c>
      <c r="C721" s="8" t="s">
        <v>4798</v>
      </c>
      <c r="D721" s="8" t="s">
        <v>4799</v>
      </c>
      <c r="E721" s="8" t="s">
        <v>426</v>
      </c>
      <c r="F721" s="8" t="s">
        <v>747</v>
      </c>
      <c r="G721" s="8" t="s">
        <v>35</v>
      </c>
      <c r="H721" s="8" t="s">
        <v>59</v>
      </c>
      <c r="I721" s="642">
        <v>44631</v>
      </c>
      <c r="J721" s="18">
        <v>44834</v>
      </c>
      <c r="K721" s="97">
        <v>44817</v>
      </c>
      <c r="L721" s="16">
        <f>IF(ISTEXT(Table15[[#This Row],[Engineering Approved Design Date]]),Table15[[#This Row],[Date Completed]]-Table15[[#This Row],[Date Assigned to Designer]],Table15[[#This Row],[Engineering Approved Design Date]]-Table15[[#This Row],[Date Completed]])</f>
        <v>17</v>
      </c>
      <c r="M721" s="642"/>
      <c r="N721" s="642" t="s">
        <v>120</v>
      </c>
      <c r="O721" s="1025">
        <v>44835</v>
      </c>
      <c r="P721" s="21" t="s">
        <v>739</v>
      </c>
      <c r="Q721" s="1061">
        <f>R721*AA721</f>
        <v>20034.053</v>
      </c>
      <c r="R721" s="1026">
        <v>0.1</v>
      </c>
      <c r="S721" s="538"/>
      <c r="T721" s="538"/>
      <c r="U721" s="87"/>
      <c r="V721" s="858">
        <v>769</v>
      </c>
      <c r="W721" s="437"/>
      <c r="X721" s="570">
        <v>200340.53</v>
      </c>
      <c r="Y721" s="551"/>
      <c r="Z721" s="552">
        <v>0</v>
      </c>
      <c r="AA721" s="552">
        <f>Table15[[#This Row],[PCTS Investment Amount]]+Table15[[#This Row],[PCTS Retirement Amount]]</f>
        <v>200340.53</v>
      </c>
      <c r="AB721" s="341">
        <v>44854</v>
      </c>
      <c r="AC721" s="568" t="s">
        <v>709</v>
      </c>
      <c r="AD721" s="1157" t="s">
        <v>29</v>
      </c>
      <c r="AE721" s="579"/>
      <c r="AF721" s="579"/>
      <c r="AG721" s="579"/>
      <c r="AH721" s="553"/>
      <c r="AI721" s="1036"/>
      <c r="AJ721" s="1037"/>
      <c r="AK721" s="1037"/>
      <c r="AL721" s="1038"/>
      <c r="AM721" s="1522" t="s">
        <v>116</v>
      </c>
      <c r="AN721" s="1523">
        <v>44833</v>
      </c>
      <c r="AO721" s="1524">
        <v>11046599</v>
      </c>
      <c r="AP721" s="1525">
        <v>200372.07</v>
      </c>
      <c r="AQ721" s="1525"/>
      <c r="AR721" s="1525">
        <v>0</v>
      </c>
      <c r="AS721" s="1525">
        <f>IF(Table15[[#This Row],[PCTS Approved]]="N",0,Table15[[#This Row],[Investment Amount (1'#'#'#'#'#)]]+Table15[[#This Row],[Retirement Amount (3'#'#'#'#'#)]])</f>
        <v>200372.07</v>
      </c>
      <c r="AT721" s="1525">
        <f>IF(Table15[[#This Row],[Approved Construction Cost]]=0,0,Table15[[#This Row],[Approved Construction Cost]]-Table15[[#This Row],[Construction Cost to Bill From]])</f>
        <v>31.540000000008149</v>
      </c>
      <c r="AU721" s="1525">
        <f>IFERROR(Table15[[#This Row],[Difference in Construction Cost]]*Table15[[#This Row],[Rate]],Table15[[#This Row],[Difference in Construction Cost]]*0.085)</f>
        <v>3.1540000000008153</v>
      </c>
      <c r="AV721" s="1525" t="s">
        <v>709</v>
      </c>
      <c r="AW721" s="1526"/>
      <c r="AX721" s="1525">
        <f>Table15[[#This Row],[Reconcile Amount]]</f>
        <v>3.1540000000008153</v>
      </c>
      <c r="AY721" s="1518">
        <v>45008</v>
      </c>
      <c r="AZ721" s="333"/>
      <c r="BA721" s="1031" t="s">
        <v>4800</v>
      </c>
      <c r="BB721" s="644" t="s">
        <v>4801</v>
      </c>
      <c r="BC721" s="544" t="s">
        <v>115</v>
      </c>
      <c r="BD721" s="544" t="s">
        <v>115</v>
      </c>
      <c r="BE721" s="544" t="s">
        <v>1396</v>
      </c>
      <c r="BF721" s="544" t="s">
        <v>115</v>
      </c>
      <c r="BG721" s="544" t="s">
        <v>115</v>
      </c>
      <c r="BH721" s="741"/>
      <c r="BI721" s="547"/>
      <c r="BJ721" s="547"/>
      <c r="BK721" s="547"/>
      <c r="BL721" s="547"/>
      <c r="BM721" s="547"/>
      <c r="BN721" s="547"/>
      <c r="BO721" s="547"/>
      <c r="BP721" s="547"/>
      <c r="BQ721" s="547"/>
      <c r="BR721" s="547"/>
      <c r="BS721" s="547"/>
      <c r="BT721" s="547"/>
      <c r="BU721" s="547"/>
      <c r="BV721" s="547"/>
      <c r="BW721" s="547"/>
      <c r="BX721" s="547"/>
      <c r="BY721" s="547"/>
      <c r="BZ721" s="547" t="s">
        <v>709</v>
      </c>
      <c r="CA721" s="483" t="s">
        <v>1053</v>
      </c>
      <c r="CB721" s="547">
        <v>718</v>
      </c>
      <c r="CC721" s="1481" t="b">
        <v>1</v>
      </c>
      <c r="CD721" t="str">
        <f>Table15[[#This Row],[Engineering Number]]&amp;Table15[[#This Row],[WO Number]]&amp;Table15[[#This Row],[Date Assigned to Designer]]&amp;Table15[[#This Row],[Date Completed]]</f>
        <v>NBA1000776016116524463144817</v>
      </c>
    </row>
    <row r="722" spans="1:82" customFormat="1" ht="15" customHeight="1" x14ac:dyDescent="0.25">
      <c r="A722">
        <v>2023</v>
      </c>
      <c r="B722" s="8" t="s">
        <v>771</v>
      </c>
      <c r="C722" s="8" t="s">
        <v>248</v>
      </c>
      <c r="D722" s="8" t="s">
        <v>4810</v>
      </c>
      <c r="E722" s="8" t="s">
        <v>249</v>
      </c>
      <c r="F722" s="8" t="s">
        <v>784</v>
      </c>
      <c r="G722" s="8" t="s">
        <v>36</v>
      </c>
      <c r="H722" s="8" t="s">
        <v>59</v>
      </c>
      <c r="I722" s="642">
        <v>44666</v>
      </c>
      <c r="J722" s="18">
        <v>44819</v>
      </c>
      <c r="K722" s="97">
        <v>44818</v>
      </c>
      <c r="L722" s="16">
        <f>IF(ISTEXT(Table15[[#This Row],[Engineering Approved Design Date]]),Table15[[#This Row],[Date Completed]]-Table15[[#This Row],[Date Assigned to Designer]],Table15[[#This Row],[Engineering Approved Design Date]]-Table15[[#This Row],[Date Completed]])</f>
        <v>1</v>
      </c>
      <c r="M722" s="642"/>
      <c r="N722" s="642" t="s">
        <v>120</v>
      </c>
      <c r="O722" s="1025">
        <v>44835</v>
      </c>
      <c r="P722" s="21" t="s">
        <v>120</v>
      </c>
      <c r="Q722" s="1061">
        <f>R722*AA722</f>
        <v>181996.1955</v>
      </c>
      <c r="R722" s="1026">
        <v>0.09</v>
      </c>
      <c r="S722" s="538"/>
      <c r="T722" s="538"/>
      <c r="U722" s="87"/>
      <c r="V722" s="858">
        <v>3040</v>
      </c>
      <c r="W722" s="437"/>
      <c r="X722" s="570">
        <v>1946891.67</v>
      </c>
      <c r="Y722" s="551"/>
      <c r="Z722" s="570">
        <v>75288.28</v>
      </c>
      <c r="AA722" s="552">
        <f>Table15[[#This Row],[PCTS Investment Amount]]+Table15[[#This Row],[PCTS Retirement Amount]]</f>
        <v>2022179.95</v>
      </c>
      <c r="AB722" s="341">
        <v>44823</v>
      </c>
      <c r="AC722" s="568" t="s">
        <v>116</v>
      </c>
      <c r="AD722" s="1157"/>
      <c r="AE722" s="568"/>
      <c r="AF722" s="568"/>
      <c r="AG722" s="568"/>
      <c r="AH722" s="183"/>
      <c r="AI722" s="1036"/>
      <c r="AJ722" s="1037"/>
      <c r="AK722" s="1037"/>
      <c r="AL722" s="1038"/>
      <c r="AM722" s="1522" t="s">
        <v>116</v>
      </c>
      <c r="AN722" s="1523">
        <v>44998</v>
      </c>
      <c r="AO722" s="1524">
        <v>11042172</v>
      </c>
      <c r="AP722" s="1525">
        <v>1960808.67</v>
      </c>
      <c r="AQ722" s="1525"/>
      <c r="AR722" s="1525">
        <v>54804.23</v>
      </c>
      <c r="AS722" s="1525">
        <f>IF(Table15[[#This Row],[PCTS Approved]]="N",0,Table15[[#This Row],[Investment Amount (1'#'#'#'#'#)]]+Table15[[#This Row],[Retirement Amount (3'#'#'#'#'#)]])</f>
        <v>2015612.9</v>
      </c>
      <c r="AT722" s="1525">
        <f>IF(Table15[[#This Row],[Approved Construction Cost]]=0,0,Table15[[#This Row],[Approved Construction Cost]]-Table15[[#This Row],[Construction Cost to Bill From]])</f>
        <v>-6567.0500000000466</v>
      </c>
      <c r="AU722" s="1525">
        <f>IFERROR(Table15[[#This Row],[Difference in Construction Cost]]*Table15[[#This Row],[Rate]],Table15[[#This Row],[Difference in Construction Cost]]*0.085)</f>
        <v>-591.03450000000419</v>
      </c>
      <c r="AV722" s="1525">
        <v>4350</v>
      </c>
      <c r="AW722" s="1526" t="s">
        <v>4811</v>
      </c>
      <c r="AX722" s="1525">
        <v>0</v>
      </c>
      <c r="AY722" s="1518">
        <v>45200</v>
      </c>
      <c r="AZ722" s="333"/>
      <c r="BA722" s="859" t="s">
        <v>4812</v>
      </c>
      <c r="BB722" s="644" t="s">
        <v>4813</v>
      </c>
      <c r="BC722" s="544" t="s">
        <v>115</v>
      </c>
      <c r="BD722" s="544" t="s">
        <v>115</v>
      </c>
      <c r="BE722" s="544" t="s">
        <v>4814</v>
      </c>
      <c r="BF722" s="544" t="s">
        <v>115</v>
      </c>
      <c r="BG722" s="544" t="s">
        <v>1335</v>
      </c>
      <c r="BH722" s="741" t="s">
        <v>4815</v>
      </c>
      <c r="BI722" s="547" t="s">
        <v>709</v>
      </c>
      <c r="BJ722" s="547" t="s">
        <v>709</v>
      </c>
      <c r="BK722" s="547" t="s">
        <v>116</v>
      </c>
      <c r="BL722" s="547" t="s">
        <v>709</v>
      </c>
      <c r="BM722" s="547">
        <v>135</v>
      </c>
      <c r="BN722" s="547">
        <v>2870</v>
      </c>
      <c r="BO722" s="547" t="s">
        <v>709</v>
      </c>
      <c r="BP722" s="547" t="s">
        <v>709</v>
      </c>
      <c r="BQ722" s="547">
        <v>87</v>
      </c>
      <c r="BR722" s="547" t="s">
        <v>709</v>
      </c>
      <c r="BS722" s="547" t="s">
        <v>709</v>
      </c>
      <c r="BT722" s="547" t="s">
        <v>709</v>
      </c>
      <c r="BU722" s="547" t="s">
        <v>709</v>
      </c>
      <c r="BV722" s="547" t="s">
        <v>709</v>
      </c>
      <c r="BW722" s="547" t="s">
        <v>709</v>
      </c>
      <c r="BX722" s="547">
        <v>1</v>
      </c>
      <c r="BY722" s="547" t="s">
        <v>709</v>
      </c>
      <c r="BZ722" s="547" t="s">
        <v>709</v>
      </c>
      <c r="CA722" s="483"/>
      <c r="CB722" s="547">
        <v>721</v>
      </c>
      <c r="CC722" s="1481" t="b">
        <v>1</v>
      </c>
      <c r="CD722" t="str">
        <f>Table15[[#This Row],[Engineering Number]]&amp;Table15[[#This Row],[WO Number]]&amp;Table15[[#This Row],[Date Assigned to Designer]]&amp;Table15[[#This Row],[Date Completed]]</f>
        <v>BS41912113324466644818</v>
      </c>
    </row>
    <row r="723" spans="1:82" customFormat="1" ht="15" customHeight="1" x14ac:dyDescent="0.25">
      <c r="A723">
        <v>2022</v>
      </c>
      <c r="B723" s="8" t="s">
        <v>4</v>
      </c>
      <c r="C723" s="8" t="s">
        <v>4146</v>
      </c>
      <c r="D723" s="8">
        <v>129277</v>
      </c>
      <c r="E723" s="8" t="s">
        <v>4148</v>
      </c>
      <c r="F723" s="8" t="s">
        <v>784</v>
      </c>
      <c r="G723" s="8" t="s">
        <v>36</v>
      </c>
      <c r="H723" s="8" t="s">
        <v>4001</v>
      </c>
      <c r="I723" s="642">
        <v>44781</v>
      </c>
      <c r="J723" s="175" t="s">
        <v>2052</v>
      </c>
      <c r="K723" s="97">
        <v>44818</v>
      </c>
      <c r="L723" s="16">
        <f>IF(ISTEXT(Table15[[#This Row],[Engineering Approved Design Date]]),Table15[[#This Row],[Date Completed]]-Table15[[#This Row],[Date Assigned to Designer]],Table15[[#This Row],[Engineering Approved Design Date]]-Table15[[#This Row],[Date Completed]])</f>
        <v>37</v>
      </c>
      <c r="M723" t="s">
        <v>4803</v>
      </c>
      <c r="N723" s="642" t="s">
        <v>120</v>
      </c>
      <c r="O723" s="1058">
        <f>Table15[[#This Row],[Date Completed]]</f>
        <v>44818</v>
      </c>
      <c r="P723" s="21" t="s">
        <v>739</v>
      </c>
      <c r="Q723" s="1151">
        <f>Table15[[#This Row],[KH Hourly Effort]]</f>
        <v>9470</v>
      </c>
      <c r="R723" s="1026" t="s">
        <v>1922</v>
      </c>
      <c r="S723" s="538"/>
      <c r="T723" s="538"/>
      <c r="U723" s="87">
        <v>9470</v>
      </c>
      <c r="V723" s="858"/>
      <c r="W723" s="437"/>
      <c r="X723" s="538"/>
      <c r="Y723" s="551"/>
      <c r="Z723" s="538"/>
      <c r="AA723" s="552"/>
      <c r="AB723" s="21"/>
      <c r="AC723" s="569"/>
      <c r="AD723" s="1149" t="s">
        <v>709</v>
      </c>
      <c r="AE723" s="580"/>
      <c r="AF723" s="580"/>
      <c r="AG723" s="580"/>
      <c r="AH723" s="542"/>
      <c r="AI723" s="1028"/>
      <c r="AJ723" s="1029"/>
      <c r="AK723" s="1029"/>
      <c r="AL723" s="1030"/>
      <c r="AM723" s="542" t="s">
        <v>709</v>
      </c>
      <c r="AN723" s="924"/>
      <c r="AO723" s="925"/>
      <c r="AP723" s="926"/>
      <c r="AQ723" s="926"/>
      <c r="AR723" s="926"/>
      <c r="AS723" s="926"/>
      <c r="AT723" s="926"/>
      <c r="AU723" s="926"/>
      <c r="AV723" s="926"/>
      <c r="AW723" s="927"/>
      <c r="AX723" s="926"/>
      <c r="AY723" s="1538" t="s">
        <v>29</v>
      </c>
      <c r="AZ723" s="1530"/>
      <c r="BA723" s="1031">
        <v>4</v>
      </c>
      <c r="BB723" s="644"/>
      <c r="BC723" s="544"/>
      <c r="BD723" s="544"/>
      <c r="BE723" s="544"/>
      <c r="BF723" s="544"/>
      <c r="BG723" s="544"/>
      <c r="BH723" s="741"/>
      <c r="BI723" s="547" t="s">
        <v>709</v>
      </c>
      <c r="BJ723" s="547" t="s">
        <v>709</v>
      </c>
      <c r="BK723" s="547" t="s">
        <v>709</v>
      </c>
      <c r="BL723" s="547" t="s">
        <v>116</v>
      </c>
      <c r="BM723" s="547" t="s">
        <v>709</v>
      </c>
      <c r="BN723" s="547" t="s">
        <v>709</v>
      </c>
      <c r="BO723" s="547" t="s">
        <v>709</v>
      </c>
      <c r="BP723" s="547">
        <v>2296</v>
      </c>
      <c r="BQ723" s="547">
        <v>32</v>
      </c>
      <c r="BR723" s="547">
        <v>3</v>
      </c>
      <c r="BS723" s="547">
        <v>846</v>
      </c>
      <c r="BT723" s="547" t="s">
        <v>745</v>
      </c>
      <c r="BU723" s="547" t="s">
        <v>709</v>
      </c>
      <c r="BV723" s="547" t="s">
        <v>745</v>
      </c>
      <c r="BW723" s="547" t="s">
        <v>709</v>
      </c>
      <c r="BX723" s="547" t="s">
        <v>745</v>
      </c>
      <c r="BY723" s="547" t="s">
        <v>745</v>
      </c>
      <c r="BZ723" s="547" t="s">
        <v>709</v>
      </c>
      <c r="CA723" s="483"/>
      <c r="CB723" s="547">
        <v>720</v>
      </c>
      <c r="CC723" s="1481" t="b">
        <v>1</v>
      </c>
      <c r="CD723" t="str">
        <f>Table15[[#This Row],[Engineering Number]]&amp;Table15[[#This Row],[WO Number]]&amp;Table15[[#This Row],[Date Assigned to Designer]]&amp;Table15[[#This Row],[Date Completed]]</f>
        <v>N132641292774478144818</v>
      </c>
    </row>
    <row r="724" spans="1:82" customFormat="1" ht="15" customHeight="1" x14ac:dyDescent="0.25">
      <c r="A724">
        <v>2022</v>
      </c>
      <c r="B724" s="8" t="s">
        <v>4</v>
      </c>
      <c r="C724" s="8" t="s">
        <v>4805</v>
      </c>
      <c r="D724" s="8" t="s">
        <v>4806</v>
      </c>
      <c r="E724" s="8" t="s">
        <v>2311</v>
      </c>
      <c r="F724" s="8" t="s">
        <v>747</v>
      </c>
      <c r="G724" s="8" t="s">
        <v>39</v>
      </c>
      <c r="H724" s="647" t="s">
        <v>1681</v>
      </c>
      <c r="I724" s="642">
        <v>44544</v>
      </c>
      <c r="J724" s="18">
        <v>44866</v>
      </c>
      <c r="K724" s="18">
        <v>44818</v>
      </c>
      <c r="L724" s="16">
        <f>IF(ISTEXT(Table15[[#This Row],[Engineering Approved Design Date]]),Table15[[#This Row],[Date Completed]]-Table15[[#This Row],[Date Assigned to Designer]],Table15[[#This Row],[Engineering Approved Design Date]]-Table15[[#This Row],[Date Completed]])</f>
        <v>48</v>
      </c>
      <c r="M724" s="642"/>
      <c r="N724" s="642" t="s">
        <v>120</v>
      </c>
      <c r="O724" s="1025">
        <v>44835</v>
      </c>
      <c r="P724" s="21" t="s">
        <v>739</v>
      </c>
      <c r="Q724" s="1061" t="s">
        <v>115</v>
      </c>
      <c r="R724" s="1026" t="s">
        <v>115</v>
      </c>
      <c r="S724" s="538"/>
      <c r="T724" s="538"/>
      <c r="U724" s="87"/>
      <c r="V724" s="857"/>
      <c r="W724" s="440"/>
      <c r="X724" s="550"/>
      <c r="Y724" s="550"/>
      <c r="Z724" s="550"/>
      <c r="AA724" s="551"/>
      <c r="AB724" s="341" t="s">
        <v>29</v>
      </c>
      <c r="AC724" s="568" t="s">
        <v>709</v>
      </c>
      <c r="AD724" s="1158" t="s">
        <v>29</v>
      </c>
      <c r="AE724" s="581"/>
      <c r="AF724" s="581"/>
      <c r="AG724" s="581"/>
      <c r="AH724" s="583"/>
      <c r="AI724" s="1047"/>
      <c r="AJ724" s="1048"/>
      <c r="AK724" s="1048"/>
      <c r="AL724" s="1049"/>
      <c r="AM724" s="542" t="s">
        <v>709</v>
      </c>
      <c r="AN724" s="924"/>
      <c r="AO724" s="925"/>
      <c r="AP724" s="926"/>
      <c r="AQ724" s="926"/>
      <c r="AR724" s="926"/>
      <c r="AS724" s="926"/>
      <c r="AT724" s="926"/>
      <c r="AU724" s="926"/>
      <c r="AV724" s="926"/>
      <c r="AW724" s="927"/>
      <c r="AX724" s="926"/>
      <c r="AY724" s="1538" t="s">
        <v>29</v>
      </c>
      <c r="AZ724" s="1530"/>
      <c r="BA724" s="1031" t="s">
        <v>4807</v>
      </c>
      <c r="BB724" s="644" t="s">
        <v>4808</v>
      </c>
      <c r="BC724" s="544" t="s">
        <v>115</v>
      </c>
      <c r="BD724" s="544" t="s">
        <v>1036</v>
      </c>
      <c r="BE724" s="544" t="s">
        <v>115</v>
      </c>
      <c r="BF724" s="544" t="s">
        <v>115</v>
      </c>
      <c r="BG724" s="544" t="s">
        <v>115</v>
      </c>
      <c r="BH724" s="741"/>
      <c r="BI724" s="1032"/>
      <c r="BJ724" s="1032"/>
      <c r="BK724" s="1032"/>
      <c r="BL724" s="1032"/>
      <c r="BM724" s="1032"/>
      <c r="BN724" s="1032"/>
      <c r="BO724" s="1032"/>
      <c r="BP724" s="1032"/>
      <c r="BQ724" s="1032"/>
      <c r="BR724" s="1032"/>
      <c r="BS724" s="1032"/>
      <c r="BT724" s="1032"/>
      <c r="BU724" s="1032"/>
      <c r="BV724" s="1032"/>
      <c r="BW724" s="1032"/>
      <c r="BX724" s="1032"/>
      <c r="BY724" s="1032"/>
      <c r="BZ724" s="1032"/>
      <c r="CA724" s="485"/>
      <c r="CB724" s="547">
        <v>722</v>
      </c>
      <c r="CC724" s="1481" t="b">
        <v>1</v>
      </c>
      <c r="CD724" t="str">
        <f>Table15[[#This Row],[Engineering Number]]&amp;Table15[[#This Row],[WO Number]]&amp;Table15[[#This Row],[Date Assigned to Designer]]&amp;Table15[[#This Row],[Date Completed]]</f>
        <v>SC1998910109414454444818</v>
      </c>
    </row>
    <row r="725" spans="1:82" customFormat="1" ht="15" customHeight="1" x14ac:dyDescent="0.25">
      <c r="A725">
        <v>2022</v>
      </c>
      <c r="B725" s="8" t="s">
        <v>4</v>
      </c>
      <c r="C725" s="8" t="s">
        <v>4018</v>
      </c>
      <c r="D725" s="8">
        <v>1310813</v>
      </c>
      <c r="E725" s="8" t="s">
        <v>818</v>
      </c>
      <c r="F725" s="8" t="s">
        <v>919</v>
      </c>
      <c r="G725" s="8" t="s">
        <v>39</v>
      </c>
      <c r="H725" s="8" t="s">
        <v>4462</v>
      </c>
      <c r="I725" s="642">
        <v>44818</v>
      </c>
      <c r="J725" s="175" t="s">
        <v>2052</v>
      </c>
      <c r="K725" s="97">
        <v>44824</v>
      </c>
      <c r="L725" s="16">
        <f>IF(ISTEXT(Table15[[#This Row],[Engineering Approved Design Date]]),Table15[[#This Row],[Date Completed]]-Table15[[#This Row],[Date Assigned to Designer]],Table15[[#This Row],[Engineering Approved Design Date]]-Table15[[#This Row],[Date Completed]])</f>
        <v>6</v>
      </c>
      <c r="M725" t="s">
        <v>4817</v>
      </c>
      <c r="N725" s="642" t="s">
        <v>120</v>
      </c>
      <c r="O725" s="1060">
        <v>44835</v>
      </c>
      <c r="P725" s="21" t="s">
        <v>739</v>
      </c>
      <c r="Q725" s="1151" t="s">
        <v>115</v>
      </c>
      <c r="R725" s="1026" t="s">
        <v>115</v>
      </c>
      <c r="S725" s="538"/>
      <c r="T725" s="538"/>
      <c r="U725" s="1057"/>
      <c r="V725" s="858"/>
      <c r="W725" s="437"/>
      <c r="X725" s="538"/>
      <c r="Y725" s="551"/>
      <c r="Z725" s="538"/>
      <c r="AA725" s="552"/>
      <c r="AB725" s="341" t="s">
        <v>29</v>
      </c>
      <c r="AC725" s="569"/>
      <c r="AD725" s="1149"/>
      <c r="AE725" s="580"/>
      <c r="AF725" s="580"/>
      <c r="AG725" s="580"/>
      <c r="AH725" s="542"/>
      <c r="AI725" s="1028"/>
      <c r="AJ725" s="1029"/>
      <c r="AK725" s="1029"/>
      <c r="AL725" s="1030"/>
      <c r="AM725" s="542" t="s">
        <v>709</v>
      </c>
      <c r="AN725" s="924"/>
      <c r="AO725" s="925"/>
      <c r="AP725" s="926"/>
      <c r="AQ725" s="926"/>
      <c r="AR725" s="926"/>
      <c r="AS725" s="926"/>
      <c r="AT725" s="926"/>
      <c r="AU725" s="926"/>
      <c r="AV725" s="926"/>
      <c r="AW725" s="927"/>
      <c r="AX725" s="926"/>
      <c r="AY725" s="1538" t="s">
        <v>29</v>
      </c>
      <c r="AZ725" s="1530"/>
      <c r="BA725" s="1031" t="s">
        <v>709</v>
      </c>
      <c r="BB725" s="644" t="s">
        <v>4818</v>
      </c>
      <c r="BC725" s="544"/>
      <c r="BD725" s="544"/>
      <c r="BE725" s="544"/>
      <c r="BF725" s="544"/>
      <c r="BG725" s="544"/>
      <c r="BH725" s="741"/>
      <c r="BI725" s="1032" t="s">
        <v>709</v>
      </c>
      <c r="BJ725" s="1032" t="s">
        <v>709</v>
      </c>
      <c r="BK725" s="1032" t="s">
        <v>709</v>
      </c>
      <c r="BL725" s="1032" t="s">
        <v>116</v>
      </c>
      <c r="BM725" s="1032" t="s">
        <v>709</v>
      </c>
      <c r="BN725" s="1032" t="s">
        <v>709</v>
      </c>
      <c r="BO725" s="1032" t="s">
        <v>709</v>
      </c>
      <c r="BP725" s="1032" t="s">
        <v>116</v>
      </c>
      <c r="BQ725" s="1032" t="s">
        <v>116</v>
      </c>
      <c r="BR725" s="1032" t="s">
        <v>709</v>
      </c>
      <c r="BS725" s="1032" t="s">
        <v>116</v>
      </c>
      <c r="BT725" s="1032" t="s">
        <v>745</v>
      </c>
      <c r="BU725" s="1032" t="s">
        <v>709</v>
      </c>
      <c r="BV725" s="547" t="s">
        <v>745</v>
      </c>
      <c r="BW725" s="1032" t="s">
        <v>709</v>
      </c>
      <c r="BX725" s="1032" t="s">
        <v>745</v>
      </c>
      <c r="BY725" s="1032" t="s">
        <v>745</v>
      </c>
      <c r="BZ725" s="1032"/>
      <c r="CA725" s="485"/>
      <c r="CB725" s="547">
        <v>726</v>
      </c>
      <c r="CC725" s="1481" t="b">
        <v>1</v>
      </c>
      <c r="CD725" t="str">
        <f>Table15[[#This Row],[Engineering Number]]&amp;Table15[[#This Row],[WO Number]]&amp;Table15[[#This Row],[Date Assigned to Designer]]&amp;Table15[[#This Row],[Date Completed]]</f>
        <v>SC1906413108134481844824</v>
      </c>
    </row>
    <row r="726" spans="1:82" customFormat="1" ht="15" customHeight="1" x14ac:dyDescent="0.25">
      <c r="A726">
        <v>2023</v>
      </c>
      <c r="B726" s="8" t="s">
        <v>730</v>
      </c>
      <c r="C726" s="8" t="s">
        <v>4820</v>
      </c>
      <c r="D726" s="8" t="s">
        <v>4821</v>
      </c>
      <c r="E726" s="8" t="s">
        <v>1352</v>
      </c>
      <c r="F726" s="8" t="s">
        <v>752</v>
      </c>
      <c r="G726" s="8" t="s">
        <v>32</v>
      </c>
      <c r="H726" s="8" t="s">
        <v>59</v>
      </c>
      <c r="I726" s="642">
        <v>44733</v>
      </c>
      <c r="J726" s="18">
        <v>44825</v>
      </c>
      <c r="K726" s="97">
        <v>44824</v>
      </c>
      <c r="L726" s="16">
        <f>IF(ISTEXT(Table15[[#This Row],[Engineering Approved Design Date]]),Table15[[#This Row],[Date Completed]]-Table15[[#This Row],[Date Assigned to Designer]],Table15[[#This Row],[Engineering Approved Design Date]]-Table15[[#This Row],[Date Completed]])</f>
        <v>1</v>
      </c>
      <c r="M726" s="642"/>
      <c r="N726" s="642" t="s">
        <v>120</v>
      </c>
      <c r="O726" s="1058">
        <f>Table15[[#This Row],[Date Completed]]</f>
        <v>44824</v>
      </c>
      <c r="P726" s="21" t="s">
        <v>120</v>
      </c>
      <c r="Q726" s="1061">
        <f>R726*AA726</f>
        <v>20211.992999999999</v>
      </c>
      <c r="R726" s="1026">
        <v>0.09</v>
      </c>
      <c r="S726" s="538"/>
      <c r="T726" s="538"/>
      <c r="U726" s="87"/>
      <c r="V726" s="858">
        <v>434</v>
      </c>
      <c r="W726" s="437"/>
      <c r="X726" s="552">
        <v>155937.78</v>
      </c>
      <c r="Y726" s="551"/>
      <c r="Z726" s="552">
        <v>68639.92</v>
      </c>
      <c r="AA726" s="552">
        <f>Table15[[#This Row],[PCTS Investment Amount]]+Table15[[#This Row],[PCTS Retirement Amount]]</f>
        <v>224577.7</v>
      </c>
      <c r="AB726" s="341">
        <v>44825</v>
      </c>
      <c r="AC726" s="568" t="s">
        <v>709</v>
      </c>
      <c r="AD726" s="1157" t="s">
        <v>29</v>
      </c>
      <c r="AE726" s="579"/>
      <c r="AF726" s="579"/>
      <c r="AG726" s="579"/>
      <c r="AH726" s="553"/>
      <c r="AI726" s="1036"/>
      <c r="AJ726" s="1037"/>
      <c r="AK726" s="1037"/>
      <c r="AL726" s="1038"/>
      <c r="AM726" s="1522" t="s">
        <v>116</v>
      </c>
      <c r="AN726" s="1523">
        <v>45036</v>
      </c>
      <c r="AO726" s="1524">
        <v>11042565</v>
      </c>
      <c r="AP726" s="1525">
        <v>158556.1</v>
      </c>
      <c r="AQ726" s="1525"/>
      <c r="AR726" s="1525">
        <v>69597.27</v>
      </c>
      <c r="AS726" s="1525">
        <f>IF(Table15[[#This Row],[PCTS Approved]]="N",0,Table15[[#This Row],[Investment Amount (1'#'#'#'#'#)]]+Table15[[#This Row],[Retirement Amount (3'#'#'#'#'#)]])</f>
        <v>228153.37</v>
      </c>
      <c r="AT726" s="1525">
        <f>IF(Table15[[#This Row],[Approved Construction Cost]]=0,0,Table15[[#This Row],[Approved Construction Cost]]-Table15[[#This Row],[Construction Cost to Bill From]])</f>
        <v>3575.6699999999837</v>
      </c>
      <c r="AU726" s="1525">
        <f>IFERROR(Table15[[#This Row],[Difference in Construction Cost]]*Table15[[#This Row],[Rate]],Table15[[#This Row],[Difference in Construction Cost]]*0.085)</f>
        <v>321.81029999999851</v>
      </c>
      <c r="AV726" s="1525">
        <v>11025</v>
      </c>
      <c r="AW726" s="1526" t="s">
        <v>4822</v>
      </c>
      <c r="AX726" s="1525">
        <v>0</v>
      </c>
      <c r="AY726" s="1518">
        <v>45200</v>
      </c>
      <c r="AZ726" s="333"/>
      <c r="BA726" s="859" t="s">
        <v>4823</v>
      </c>
      <c r="BB726" s="644" t="s">
        <v>4824</v>
      </c>
      <c r="BC726" s="544" t="s">
        <v>116</v>
      </c>
      <c r="BD726" s="544" t="s">
        <v>115</v>
      </c>
      <c r="BE726" s="544" t="s">
        <v>1355</v>
      </c>
      <c r="BF726" s="544" t="s">
        <v>115</v>
      </c>
      <c r="BG726" s="544" t="s">
        <v>115</v>
      </c>
      <c r="BH726" s="741" t="s">
        <v>4825</v>
      </c>
      <c r="BI726" s="547" t="s">
        <v>709</v>
      </c>
      <c r="BJ726" s="547" t="s">
        <v>709</v>
      </c>
      <c r="BK726" s="547" t="s">
        <v>709</v>
      </c>
      <c r="BL726" s="547" t="s">
        <v>116</v>
      </c>
      <c r="BM726" s="547">
        <v>0</v>
      </c>
      <c r="BN726" s="549">
        <v>0</v>
      </c>
      <c r="BO726" s="547">
        <v>0</v>
      </c>
      <c r="BP726" s="547">
        <v>0</v>
      </c>
      <c r="BQ726" s="547">
        <v>0</v>
      </c>
      <c r="BR726" s="547">
        <v>0</v>
      </c>
      <c r="BS726" s="547">
        <v>434</v>
      </c>
      <c r="BT726" s="547">
        <v>0</v>
      </c>
      <c r="BU726" s="547">
        <v>0</v>
      </c>
      <c r="BV726" s="547">
        <v>0</v>
      </c>
      <c r="BW726" s="547">
        <v>0</v>
      </c>
      <c r="BX726" s="547">
        <v>1</v>
      </c>
      <c r="BY726" s="547">
        <v>0</v>
      </c>
      <c r="BZ726" s="547" t="s">
        <v>709</v>
      </c>
      <c r="CA726" s="483" t="s">
        <v>2</v>
      </c>
      <c r="CB726" s="547">
        <v>724</v>
      </c>
      <c r="CC726" s="1481" t="b">
        <v>1</v>
      </c>
      <c r="CD726" t="str">
        <f>Table15[[#This Row],[Engineering Number]]&amp;Table15[[#This Row],[WO Number]]&amp;Table15[[#This Row],[Date Assigned to Designer]]&amp;Table15[[#This Row],[Date Completed]]</f>
        <v>RS101110115524473344824</v>
      </c>
    </row>
    <row r="727" spans="1:82" customFormat="1" ht="15" customHeight="1" x14ac:dyDescent="0.25">
      <c r="A727">
        <v>2023</v>
      </c>
      <c r="B727" s="8" t="s">
        <v>730</v>
      </c>
      <c r="C727" s="8" t="s">
        <v>304</v>
      </c>
      <c r="D727" s="8" t="s">
        <v>1351</v>
      </c>
      <c r="E727" s="8" t="s">
        <v>1352</v>
      </c>
      <c r="F727" s="8" t="s">
        <v>752</v>
      </c>
      <c r="G727" s="8" t="s">
        <v>24</v>
      </c>
      <c r="H727" s="8" t="s">
        <v>59</v>
      </c>
      <c r="I727" s="642">
        <v>44733</v>
      </c>
      <c r="J727" s="18">
        <v>44825</v>
      </c>
      <c r="K727" s="97">
        <v>44824</v>
      </c>
      <c r="L727" s="16">
        <f>IF(ISTEXT(Table15[[#This Row],[Engineering Approved Design Date]]),Table15[[#This Row],[Date Completed]]-Table15[[#This Row],[Date Assigned to Designer]],Table15[[#This Row],[Engineering Approved Design Date]]-Table15[[#This Row],[Date Completed]])</f>
        <v>1</v>
      </c>
      <c r="M727" s="642"/>
      <c r="N727" s="642" t="s">
        <v>120</v>
      </c>
      <c r="O727" s="1059">
        <f>Table15[[#This Row],[Date Completed]]</f>
        <v>44824</v>
      </c>
      <c r="P727" s="21" t="s">
        <v>120</v>
      </c>
      <c r="Q727" s="1061">
        <f>(Table15[[#This Row],[Construction Cost to Bill From]]*0.085)+(5250*1)</f>
        <v>30110.493150000002</v>
      </c>
      <c r="R727" s="1026" t="s">
        <v>794</v>
      </c>
      <c r="S727" s="538"/>
      <c r="T727" s="538"/>
      <c r="U727" s="87"/>
      <c r="V727" s="858">
        <v>562</v>
      </c>
      <c r="W727" s="437"/>
      <c r="X727" s="552">
        <v>245071.24</v>
      </c>
      <c r="Y727" s="551"/>
      <c r="Z727" s="552">
        <v>47405.15</v>
      </c>
      <c r="AA727" s="552">
        <f>Table15[[#This Row],[PCTS Investment Amount]]+Table15[[#This Row],[PCTS Retirement Amount]]</f>
        <v>292476.39</v>
      </c>
      <c r="AB727" s="341">
        <v>44830</v>
      </c>
      <c r="AC727" s="568" t="s">
        <v>1056</v>
      </c>
      <c r="AD727" s="1157" t="s">
        <v>29</v>
      </c>
      <c r="AE727" s="579" t="s">
        <v>29</v>
      </c>
      <c r="AF727" s="579" t="s">
        <v>29</v>
      </c>
      <c r="AG727" s="579" t="s">
        <v>29</v>
      </c>
      <c r="AH727" s="553" t="s">
        <v>29</v>
      </c>
      <c r="AI727" s="1036"/>
      <c r="AJ727" s="1037"/>
      <c r="AK727" s="1037"/>
      <c r="AL727" s="1038"/>
      <c r="AM727" s="536" t="s">
        <v>116</v>
      </c>
      <c r="AN727" s="903" t="s">
        <v>709</v>
      </c>
      <c r="AO727" s="1536">
        <v>11042622</v>
      </c>
      <c r="AP727" s="1537"/>
      <c r="AQ727" s="1537"/>
      <c r="AR727" s="1537"/>
      <c r="AS727" s="888">
        <f>IF(Table15[[#This Row],[PCTS Approved]]="N",0,Table15[[#This Row],[Investment Amount (1'#'#'#'#'#)]]+Table15[[#This Row],[Retirement Amount (3'#'#'#'#'#)]])</f>
        <v>0</v>
      </c>
      <c r="AT727" s="888">
        <f>IF(Table15[[#This Row],[Approved Construction Cost]]=0,0,Table15[[#This Row],[Approved Construction Cost]]-Table15[[#This Row],[Construction Cost to Bill From]])</f>
        <v>0</v>
      </c>
      <c r="AU727" s="888">
        <f>IFERROR(Table15[[#This Row],[Difference in Construction Cost]]*Table15[[#This Row],[Rate]],Table15[[#This Row],[Difference in Construction Cost]]*0.085)</f>
        <v>0</v>
      </c>
      <c r="AV727" s="905"/>
      <c r="AW727" s="1509"/>
      <c r="AX727" s="888"/>
      <c r="AY727" s="636" t="s">
        <v>709</v>
      </c>
      <c r="AZ727" s="333">
        <v>175</v>
      </c>
      <c r="BA727" s="859" t="s">
        <v>1353</v>
      </c>
      <c r="BB727" s="644" t="s">
        <v>1354</v>
      </c>
      <c r="BC727" s="544" t="s">
        <v>116</v>
      </c>
      <c r="BD727" s="544" t="s">
        <v>115</v>
      </c>
      <c r="BE727" s="544" t="s">
        <v>1355</v>
      </c>
      <c r="BF727" s="544" t="s">
        <v>115</v>
      </c>
      <c r="BG727" s="544" t="s">
        <v>115</v>
      </c>
      <c r="BH727" s="741" t="s">
        <v>1356</v>
      </c>
      <c r="BI727" s="547" t="s">
        <v>709</v>
      </c>
      <c r="BJ727" s="547" t="s">
        <v>709</v>
      </c>
      <c r="BK727" s="547" t="s">
        <v>116</v>
      </c>
      <c r="BL727" s="547" t="s">
        <v>116</v>
      </c>
      <c r="BM727" s="547" t="s">
        <v>709</v>
      </c>
      <c r="BN727" s="547" t="s">
        <v>709</v>
      </c>
      <c r="BO727" s="547" t="s">
        <v>709</v>
      </c>
      <c r="BP727" s="547" t="s">
        <v>709</v>
      </c>
      <c r="BQ727" s="547" t="s">
        <v>709</v>
      </c>
      <c r="BR727" s="547">
        <v>406</v>
      </c>
      <c r="BS727" s="547">
        <v>156</v>
      </c>
      <c r="BT727" s="547" t="s">
        <v>709</v>
      </c>
      <c r="BU727" s="547">
        <v>1</v>
      </c>
      <c r="BV727" s="547" t="s">
        <v>709</v>
      </c>
      <c r="BW727" s="547" t="s">
        <v>709</v>
      </c>
      <c r="BX727" s="547">
        <v>1</v>
      </c>
      <c r="BY727" s="547" t="s">
        <v>709</v>
      </c>
      <c r="BZ727" s="547" t="s">
        <v>709</v>
      </c>
      <c r="CA727" s="483" t="s">
        <v>2</v>
      </c>
      <c r="CB727" s="547">
        <v>723</v>
      </c>
      <c r="CC727" s="1481" t="b">
        <v>1</v>
      </c>
      <c r="CD727" t="str">
        <f>Table15[[#This Row],[Engineering Number]]&amp;Table15[[#This Row],[WO Number]]&amp;Table15[[#This Row],[Date Assigned to Designer]]&amp;Table15[[#This Row],[Date Completed]]</f>
        <v>RS102610115584473344824</v>
      </c>
    </row>
    <row r="728" spans="1:82" customFormat="1" ht="15" customHeight="1" x14ac:dyDescent="0.25">
      <c r="A728">
        <v>2023</v>
      </c>
      <c r="B728" s="8" t="s">
        <v>730</v>
      </c>
      <c r="C728" s="8" t="s">
        <v>1345</v>
      </c>
      <c r="D728" s="8" t="s">
        <v>1346</v>
      </c>
      <c r="E728" s="8" t="s">
        <v>1347</v>
      </c>
      <c r="F728" s="8" t="s">
        <v>752</v>
      </c>
      <c r="G728" s="8" t="s">
        <v>24</v>
      </c>
      <c r="H728" s="8" t="s">
        <v>59</v>
      </c>
      <c r="I728" s="642">
        <v>44739</v>
      </c>
      <c r="J728" s="18">
        <v>44834</v>
      </c>
      <c r="K728" s="97">
        <v>44824</v>
      </c>
      <c r="L728" s="16">
        <f>IF(ISTEXT(Table15[[#This Row],[Engineering Approved Design Date]]),Table15[[#This Row],[Date Completed]]-Table15[[#This Row],[Date Assigned to Designer]],Table15[[#This Row],[Engineering Approved Design Date]]-Table15[[#This Row],[Date Completed]])</f>
        <v>10</v>
      </c>
      <c r="M728" s="642"/>
      <c r="N728" s="642" t="s">
        <v>120</v>
      </c>
      <c r="O728" s="1025">
        <v>44835</v>
      </c>
      <c r="P728" s="21" t="s">
        <v>120</v>
      </c>
      <c r="Q728" s="1061">
        <f>R728*AA728</f>
        <v>25770.5658</v>
      </c>
      <c r="R728" s="1026">
        <v>0.09</v>
      </c>
      <c r="S728" s="538"/>
      <c r="T728" s="538"/>
      <c r="U728" s="87"/>
      <c r="V728" s="858">
        <v>2147</v>
      </c>
      <c r="W728" s="437"/>
      <c r="X728" s="570">
        <v>271016.56</v>
      </c>
      <c r="Y728" s="551"/>
      <c r="Z728" s="570">
        <v>15323.06</v>
      </c>
      <c r="AA728" s="552">
        <f>Table15[[#This Row],[PCTS Investment Amount]]+Table15[[#This Row],[PCTS Retirement Amount]]</f>
        <v>286339.62</v>
      </c>
      <c r="AB728" s="341">
        <v>44831</v>
      </c>
      <c r="AC728" s="568" t="s">
        <v>709</v>
      </c>
      <c r="AD728" s="1157" t="s">
        <v>29</v>
      </c>
      <c r="AE728" s="579" t="s">
        <v>29</v>
      </c>
      <c r="AF728" s="579" t="s">
        <v>29</v>
      </c>
      <c r="AG728" s="579" t="s">
        <v>29</v>
      </c>
      <c r="AH728" s="553" t="s">
        <v>29</v>
      </c>
      <c r="AI728" s="1036"/>
      <c r="AJ728" s="1037"/>
      <c r="AK728" s="1037"/>
      <c r="AL728" s="1038"/>
      <c r="AM728" s="536" t="s">
        <v>116</v>
      </c>
      <c r="AN728" s="903" t="s">
        <v>709</v>
      </c>
      <c r="AO728" s="1536" t="s">
        <v>115</v>
      </c>
      <c r="AP728" s="1537"/>
      <c r="AQ728" s="1537"/>
      <c r="AR728" s="1537"/>
      <c r="AS728" s="888">
        <f>IF(Table15[[#This Row],[PCTS Approved]]="N",0,Table15[[#This Row],[Investment Amount (1'#'#'#'#'#)]]+Table15[[#This Row],[Retirement Amount (3'#'#'#'#'#)]])</f>
        <v>0</v>
      </c>
      <c r="AT728" s="888">
        <f>IF(Table15[[#This Row],[Approved Construction Cost]]=0,0,Table15[[#This Row],[Approved Construction Cost]]-Table15[[#This Row],[Construction Cost to Bill From]])</f>
        <v>0</v>
      </c>
      <c r="AU728" s="888">
        <f>IFERROR(Table15[[#This Row],[Difference in Construction Cost]]*Table15[[#This Row],[Rate]],Table15[[#This Row],[Difference in Construction Cost]]*0.085)</f>
        <v>0</v>
      </c>
      <c r="AV728" s="905"/>
      <c r="AW728" s="1509"/>
      <c r="AX728" s="888"/>
      <c r="AY728" s="636" t="s">
        <v>709</v>
      </c>
      <c r="AZ728" s="333">
        <v>26</v>
      </c>
      <c r="BA728" s="859" t="s">
        <v>1348</v>
      </c>
      <c r="BB728" s="644" t="s">
        <v>1349</v>
      </c>
      <c r="BC728" s="544" t="s">
        <v>115</v>
      </c>
      <c r="BD728" s="544" t="s">
        <v>837</v>
      </c>
      <c r="BE728" s="544" t="s">
        <v>1350</v>
      </c>
      <c r="BF728" s="544" t="s">
        <v>115</v>
      </c>
      <c r="BG728" s="544" t="s">
        <v>115</v>
      </c>
      <c r="BH728" s="741"/>
      <c r="BI728" s="547" t="s">
        <v>709</v>
      </c>
      <c r="BJ728" s="547" t="s">
        <v>709</v>
      </c>
      <c r="BK728" s="547" t="s">
        <v>709</v>
      </c>
      <c r="BL728" s="547" t="s">
        <v>116</v>
      </c>
      <c r="BM728" s="547" t="s">
        <v>709</v>
      </c>
      <c r="BN728" s="547" t="s">
        <v>709</v>
      </c>
      <c r="BO728" s="547" t="s">
        <v>709</v>
      </c>
      <c r="BP728" s="547" t="s">
        <v>709</v>
      </c>
      <c r="BQ728" s="547" t="s">
        <v>709</v>
      </c>
      <c r="BR728" s="547">
        <v>2174</v>
      </c>
      <c r="BS728" s="547" t="s">
        <v>709</v>
      </c>
      <c r="BT728" s="547" t="s">
        <v>745</v>
      </c>
      <c r="BU728" s="547" t="s">
        <v>709</v>
      </c>
      <c r="BV728" s="547" t="s">
        <v>745</v>
      </c>
      <c r="BW728" s="547" t="s">
        <v>709</v>
      </c>
      <c r="BX728" s="547" t="s">
        <v>709</v>
      </c>
      <c r="BY728" s="547" t="s">
        <v>745</v>
      </c>
      <c r="BZ728" s="547" t="s">
        <v>709</v>
      </c>
      <c r="CA728" s="483"/>
      <c r="CB728" s="547">
        <v>725</v>
      </c>
      <c r="CC728" s="1481" t="b">
        <v>1</v>
      </c>
      <c r="CD728" t="str">
        <f>Table15[[#This Row],[Engineering Number]]&amp;Table15[[#This Row],[WO Number]]&amp;Table15[[#This Row],[Date Assigned to Designer]]&amp;Table15[[#This Row],[Date Completed]]</f>
        <v>RS105310115654473944824</v>
      </c>
    </row>
    <row r="729" spans="1:82" customFormat="1" ht="15" customHeight="1" x14ac:dyDescent="0.25">
      <c r="A729">
        <v>2022</v>
      </c>
      <c r="B729" s="8" t="s">
        <v>771</v>
      </c>
      <c r="C729" s="8" t="s">
        <v>258</v>
      </c>
      <c r="D729" s="8">
        <v>1211334</v>
      </c>
      <c r="E729" s="8" t="s">
        <v>259</v>
      </c>
      <c r="F729" s="8" t="s">
        <v>784</v>
      </c>
      <c r="G729" s="8" t="s">
        <v>36</v>
      </c>
      <c r="H729" s="8" t="s">
        <v>3178</v>
      </c>
      <c r="I729" s="642">
        <v>44818</v>
      </c>
      <c r="J729" s="175" t="s">
        <v>2052</v>
      </c>
      <c r="K729" s="97">
        <v>44825</v>
      </c>
      <c r="L729" s="16">
        <f>IF(ISTEXT(Table15[[#This Row],[Engineering Approved Design Date]]),Table15[[#This Row],[Date Completed]]-Table15[[#This Row],[Date Assigned to Designer]],Table15[[#This Row],[Engineering Approved Design Date]]-Table15[[#This Row],[Date Completed]])</f>
        <v>7</v>
      </c>
      <c r="M729" t="s">
        <v>4829</v>
      </c>
      <c r="N729" s="642" t="s">
        <v>120</v>
      </c>
      <c r="O729" s="1060">
        <v>44835</v>
      </c>
      <c r="P729" s="21" t="s">
        <v>120</v>
      </c>
      <c r="Q729" s="1151">
        <f>Table15[[#This Row],[KH Hourly Effort]]</f>
        <v>1660</v>
      </c>
      <c r="R729" s="1026" t="s">
        <v>1922</v>
      </c>
      <c r="S729" s="538"/>
      <c r="T729" s="538"/>
      <c r="U729" s="87">
        <v>1660</v>
      </c>
      <c r="V729" s="858"/>
      <c r="W729" s="437"/>
      <c r="X729" s="538"/>
      <c r="Y729" s="551"/>
      <c r="Z729" s="538"/>
      <c r="AA729" s="552"/>
      <c r="AB729" s="341" t="s">
        <v>29</v>
      </c>
      <c r="AC729" s="569"/>
      <c r="AD729" s="1149" t="s">
        <v>116</v>
      </c>
      <c r="AE729" s="569"/>
      <c r="AF729" s="569"/>
      <c r="AG729" s="569"/>
      <c r="AH729" s="536"/>
      <c r="AI729" s="1028"/>
      <c r="AJ729" s="1029"/>
      <c r="AK729" s="1029"/>
      <c r="AL729" s="1030"/>
      <c r="AM729" s="542" t="s">
        <v>709</v>
      </c>
      <c r="AN729" s="924"/>
      <c r="AO729" s="925"/>
      <c r="AP729" s="926"/>
      <c r="AQ729" s="926"/>
      <c r="AR729" s="926"/>
      <c r="AS729" s="926"/>
      <c r="AT729" s="926"/>
      <c r="AU729" s="926"/>
      <c r="AV729" s="926"/>
      <c r="AW729" s="927"/>
      <c r="AX729" s="926"/>
      <c r="AY729" s="1538" t="s">
        <v>29</v>
      </c>
      <c r="AZ729" s="1530"/>
      <c r="BA729" s="1031">
        <v>4</v>
      </c>
      <c r="BB729" s="644" t="s">
        <v>4830</v>
      </c>
      <c r="BC729" s="544"/>
      <c r="BD729" s="544"/>
      <c r="BE729" s="544"/>
      <c r="BF729" s="544"/>
      <c r="BG729" s="544"/>
      <c r="BH729" s="741"/>
      <c r="BI729" s="547" t="s">
        <v>709</v>
      </c>
      <c r="BJ729" s="547" t="s">
        <v>709</v>
      </c>
      <c r="BK729" s="547" t="s">
        <v>709</v>
      </c>
      <c r="BL729" s="547" t="s">
        <v>116</v>
      </c>
      <c r="BM729" s="547" t="s">
        <v>709</v>
      </c>
      <c r="BN729" s="547" t="s">
        <v>709</v>
      </c>
      <c r="BO729" s="547" t="s">
        <v>709</v>
      </c>
      <c r="BP729" s="547">
        <v>2794</v>
      </c>
      <c r="BQ729" s="547" t="s">
        <v>709</v>
      </c>
      <c r="BR729" s="547">
        <v>688</v>
      </c>
      <c r="BS729" s="547">
        <v>4161</v>
      </c>
      <c r="BT729" s="547" t="s">
        <v>745</v>
      </c>
      <c r="BU729" s="547" t="s">
        <v>709</v>
      </c>
      <c r="BV729" s="547" t="s">
        <v>745</v>
      </c>
      <c r="BW729" s="547" t="s">
        <v>709</v>
      </c>
      <c r="BX729" s="547" t="s">
        <v>745</v>
      </c>
      <c r="BY729" s="547" t="s">
        <v>745</v>
      </c>
      <c r="BZ729" s="547" t="s">
        <v>709</v>
      </c>
      <c r="CA729" s="483"/>
      <c r="CB729" s="547">
        <v>727</v>
      </c>
      <c r="CC729" s="1481" t="b">
        <v>1</v>
      </c>
      <c r="CD729" t="str">
        <f>Table15[[#This Row],[Engineering Number]]&amp;Table15[[#This Row],[WO Number]]&amp;Table15[[#This Row],[Date Assigned to Designer]]&amp;Table15[[#This Row],[Date Completed]]</f>
        <v>BS38112113344481844825</v>
      </c>
    </row>
    <row r="730" spans="1:82" customFormat="1" ht="15" customHeight="1" x14ac:dyDescent="0.25">
      <c r="A730">
        <v>2023</v>
      </c>
      <c r="B730" s="8" t="s">
        <v>771</v>
      </c>
      <c r="C730" s="8" t="s">
        <v>4846</v>
      </c>
      <c r="D730" s="8" t="s">
        <v>4847</v>
      </c>
      <c r="E730" s="8" t="s">
        <v>4848</v>
      </c>
      <c r="F730" s="8" t="s">
        <v>4835</v>
      </c>
      <c r="G730" s="8" t="s">
        <v>36</v>
      </c>
      <c r="H730" s="8" t="s">
        <v>59</v>
      </c>
      <c r="I730" s="642">
        <v>44671</v>
      </c>
      <c r="J730" s="175">
        <v>44827</v>
      </c>
      <c r="K730" s="97">
        <v>44826</v>
      </c>
      <c r="L730" s="16">
        <f>IF(ISTEXT(Table15[[#This Row],[Engineering Approved Design Date]]),Table15[[#This Row],[Date Completed]]-Table15[[#This Row],[Date Assigned to Designer]],Table15[[#This Row],[Engineering Approved Design Date]]-Table15[[#This Row],[Date Completed]])</f>
        <v>1</v>
      </c>
      <c r="N730" s="642" t="s">
        <v>120</v>
      </c>
      <c r="O730" s="1060">
        <v>44866</v>
      </c>
      <c r="P730" s="21" t="s">
        <v>120</v>
      </c>
      <c r="Q730" s="300">
        <v>115700</v>
      </c>
      <c r="R730" s="1026" t="s">
        <v>4843</v>
      </c>
      <c r="S730" s="538"/>
      <c r="T730" s="538"/>
      <c r="U730" s="1057"/>
      <c r="V730" s="858">
        <v>23182</v>
      </c>
      <c r="W730" s="437"/>
      <c r="X730" s="538">
        <v>1648851.6</v>
      </c>
      <c r="Y730" s="551"/>
      <c r="Z730" s="538">
        <v>7113.68</v>
      </c>
      <c r="AA730" s="552"/>
      <c r="AB730" s="341" t="s">
        <v>29</v>
      </c>
      <c r="AC730" s="569" t="s">
        <v>116</v>
      </c>
      <c r="AD730" s="1149"/>
      <c r="AE730" s="569"/>
      <c r="AF730" s="569"/>
      <c r="AG730" s="569"/>
      <c r="AH730" s="536"/>
      <c r="AI730" s="1028"/>
      <c r="AJ730" s="1029"/>
      <c r="AK730" s="1029"/>
      <c r="AL730" s="1030"/>
      <c r="AM730" s="542" t="s">
        <v>709</v>
      </c>
      <c r="AN730" s="924"/>
      <c r="AO730" s="925"/>
      <c r="AP730" s="926"/>
      <c r="AQ730" s="926"/>
      <c r="AR730" s="926"/>
      <c r="AS730" s="926"/>
      <c r="AT730" s="926"/>
      <c r="AU730" s="926"/>
      <c r="AV730" s="926"/>
      <c r="AW730" s="927"/>
      <c r="AX730" s="926"/>
      <c r="AY730" s="1538" t="s">
        <v>29</v>
      </c>
      <c r="AZ730" s="1530"/>
      <c r="BA730" s="1031" t="s">
        <v>4849</v>
      </c>
      <c r="BB730" s="644" t="s">
        <v>4850</v>
      </c>
      <c r="BC730" s="544" t="s">
        <v>115</v>
      </c>
      <c r="BD730" s="544" t="s">
        <v>837</v>
      </c>
      <c r="BE730" s="544" t="s">
        <v>115</v>
      </c>
      <c r="BF730" s="544" t="s">
        <v>4851</v>
      </c>
      <c r="BG730" s="544" t="s">
        <v>4852</v>
      </c>
      <c r="BH730" s="741"/>
      <c r="BI730" s="547" t="s">
        <v>116</v>
      </c>
      <c r="BJ730" s="547" t="s">
        <v>709</v>
      </c>
      <c r="BK730" s="547" t="s">
        <v>709</v>
      </c>
      <c r="BL730" s="547" t="s">
        <v>116</v>
      </c>
      <c r="BM730" s="547" t="s">
        <v>709</v>
      </c>
      <c r="BN730" s="547">
        <v>22879</v>
      </c>
      <c r="BO730" s="547" t="s">
        <v>709</v>
      </c>
      <c r="BP730" s="547" t="s">
        <v>709</v>
      </c>
      <c r="BQ730" s="547" t="s">
        <v>709</v>
      </c>
      <c r="BR730" s="547">
        <v>218</v>
      </c>
      <c r="BS730" s="547">
        <v>85</v>
      </c>
      <c r="BT730" s="547" t="s">
        <v>709</v>
      </c>
      <c r="BU730" s="547" t="s">
        <v>709</v>
      </c>
      <c r="BV730" s="547" t="s">
        <v>745</v>
      </c>
      <c r="BW730" s="547" t="s">
        <v>709</v>
      </c>
      <c r="BX730" s="547">
        <v>4</v>
      </c>
      <c r="BY730" s="547" t="s">
        <v>745</v>
      </c>
      <c r="BZ730" s="547" t="s">
        <v>709</v>
      </c>
      <c r="CA730" s="483"/>
      <c r="CB730" s="547">
        <v>729</v>
      </c>
      <c r="CC730" s="1481" t="b">
        <v>1</v>
      </c>
      <c r="CD730" t="str">
        <f>Table15[[#This Row],[Engineering Number]]&amp;Table15[[#This Row],[WO Number]]&amp;Table15[[#This Row],[Date Assigned to Designer]]&amp;Table15[[#This Row],[Date Completed]]</f>
        <v>BS44112113244467144826</v>
      </c>
    </row>
    <row r="731" spans="1:82" customFormat="1" ht="15" customHeight="1" x14ac:dyDescent="0.25">
      <c r="A731">
        <v>2023</v>
      </c>
      <c r="B731" s="8" t="s">
        <v>771</v>
      </c>
      <c r="C731" s="8" t="s">
        <v>4854</v>
      </c>
      <c r="D731" s="8" t="s">
        <v>4855</v>
      </c>
      <c r="E731" s="8" t="s">
        <v>825</v>
      </c>
      <c r="F731" s="8" t="s">
        <v>4835</v>
      </c>
      <c r="G731" s="8" t="s">
        <v>22</v>
      </c>
      <c r="H731" s="8" t="s">
        <v>59</v>
      </c>
      <c r="I731" s="642">
        <v>44671</v>
      </c>
      <c r="J731" s="175">
        <v>44827</v>
      </c>
      <c r="K731" s="97">
        <v>44826</v>
      </c>
      <c r="L731" s="16">
        <f>IF(ISTEXT(Table15[[#This Row],[Engineering Approved Design Date]]),Table15[[#This Row],[Date Completed]]-Table15[[#This Row],[Date Assigned to Designer]],Table15[[#This Row],[Engineering Approved Design Date]]-Table15[[#This Row],[Date Completed]])</f>
        <v>1</v>
      </c>
      <c r="N731" s="642" t="s">
        <v>120</v>
      </c>
      <c r="O731" s="1060">
        <v>44866</v>
      </c>
      <c r="P731" s="21" t="s">
        <v>120</v>
      </c>
      <c r="Q731" s="300">
        <v>149100</v>
      </c>
      <c r="R731" s="1026" t="s">
        <v>4843</v>
      </c>
      <c r="S731" s="538"/>
      <c r="T731" s="538"/>
      <c r="U731" s="1057"/>
      <c r="V731" s="858">
        <v>32305</v>
      </c>
      <c r="W731" s="437"/>
      <c r="X731" s="538">
        <v>2288758.37</v>
      </c>
      <c r="Y731" s="551"/>
      <c r="Z731" s="538">
        <v>18945.919999999998</v>
      </c>
      <c r="AA731" s="552"/>
      <c r="AB731" s="341" t="s">
        <v>29</v>
      </c>
      <c r="AC731" s="569" t="s">
        <v>4856</v>
      </c>
      <c r="AD731" s="1149"/>
      <c r="AE731" s="569"/>
      <c r="AF731" s="569"/>
      <c r="AG731" s="569"/>
      <c r="AH731" s="536"/>
      <c r="AI731" s="1028"/>
      <c r="AJ731" s="1029"/>
      <c r="AK731" s="1029"/>
      <c r="AL731" s="1030"/>
      <c r="AM731" s="542" t="s">
        <v>709</v>
      </c>
      <c r="AN731" s="924"/>
      <c r="AO731" s="925"/>
      <c r="AP731" s="926"/>
      <c r="AQ731" s="926"/>
      <c r="AR731" s="926"/>
      <c r="AS731" s="926"/>
      <c r="AT731" s="926"/>
      <c r="AU731" s="926"/>
      <c r="AV731" s="926"/>
      <c r="AW731" s="927"/>
      <c r="AX731" s="926"/>
      <c r="AY731" s="1538" t="s">
        <v>29</v>
      </c>
      <c r="AZ731" s="1530"/>
      <c r="BA731" s="1031" t="s">
        <v>4857</v>
      </c>
      <c r="BB731" s="644" t="s">
        <v>4858</v>
      </c>
      <c r="BC731" s="544" t="s">
        <v>116</v>
      </c>
      <c r="BD731" s="544" t="s">
        <v>757</v>
      </c>
      <c r="BE731" s="544" t="s">
        <v>829</v>
      </c>
      <c r="BF731" s="544" t="s">
        <v>830</v>
      </c>
      <c r="BG731" s="544" t="s">
        <v>4859</v>
      </c>
      <c r="BH731" s="741"/>
      <c r="BI731" s="547" t="s">
        <v>709</v>
      </c>
      <c r="BJ731" s="547" t="s">
        <v>116</v>
      </c>
      <c r="BK731" s="547" t="s">
        <v>116</v>
      </c>
      <c r="BL731" s="547" t="s">
        <v>709</v>
      </c>
      <c r="BM731" s="547" t="s">
        <v>709</v>
      </c>
      <c r="BN731" s="547">
        <v>32199</v>
      </c>
      <c r="BO731" s="547" t="s">
        <v>709</v>
      </c>
      <c r="BP731" s="547" t="s">
        <v>709</v>
      </c>
      <c r="BQ731" s="547">
        <v>41</v>
      </c>
      <c r="BR731" s="547" t="s">
        <v>709</v>
      </c>
      <c r="BS731" s="547" t="s">
        <v>709</v>
      </c>
      <c r="BT731" s="547" t="s">
        <v>709</v>
      </c>
      <c r="BU731" s="547" t="s">
        <v>709</v>
      </c>
      <c r="BV731" s="547" t="s">
        <v>709</v>
      </c>
      <c r="BW731" s="547" t="s">
        <v>709</v>
      </c>
      <c r="BX731" s="547">
        <v>1</v>
      </c>
      <c r="BY731" s="547" t="s">
        <v>709</v>
      </c>
      <c r="BZ731" s="547" t="s">
        <v>709</v>
      </c>
      <c r="CA731" s="483"/>
      <c r="CB731" s="547">
        <v>730</v>
      </c>
      <c r="CC731" s="1481" t="b">
        <v>1</v>
      </c>
      <c r="CD731" t="str">
        <f>Table15[[#This Row],[Engineering Number]]&amp;Table15[[#This Row],[WO Number]]&amp;Table15[[#This Row],[Date Assigned to Designer]]&amp;Table15[[#This Row],[Date Completed]]</f>
        <v>BS45014113234467144826</v>
      </c>
    </row>
    <row r="732" spans="1:82" customFormat="1" ht="15" customHeight="1" x14ac:dyDescent="0.25">
      <c r="A732">
        <v>2022</v>
      </c>
      <c r="B732" s="8" t="s">
        <v>771</v>
      </c>
      <c r="C732" s="8" t="s">
        <v>4832</v>
      </c>
      <c r="D732" s="8" t="s">
        <v>4833</v>
      </c>
      <c r="E732" s="8" t="s">
        <v>4834</v>
      </c>
      <c r="F732" s="8" t="s">
        <v>4835</v>
      </c>
      <c r="G732" s="8" t="s">
        <v>34</v>
      </c>
      <c r="H732" s="8" t="s">
        <v>4836</v>
      </c>
      <c r="I732" s="642">
        <v>44784</v>
      </c>
      <c r="J732" s="175" t="s">
        <v>4837</v>
      </c>
      <c r="K732" s="97">
        <v>44826</v>
      </c>
      <c r="L732" s="16">
        <f>IF(ISTEXT(Table15[[#This Row],[Engineering Approved Design Date]]),Table15[[#This Row],[Date Completed]]-Table15[[#This Row],[Date Assigned to Designer]],Table15[[#This Row],[Engineering Approved Design Date]]-Table15[[#This Row],[Date Completed]])</f>
        <v>42</v>
      </c>
      <c r="M732" t="s">
        <v>4838</v>
      </c>
      <c r="N732" s="642" t="s">
        <v>120</v>
      </c>
      <c r="O732" s="1060">
        <v>44835</v>
      </c>
      <c r="P732" s="21" t="s">
        <v>120</v>
      </c>
      <c r="Q732" s="1151">
        <f>Table15[[#This Row],[KH Hourly Effort]]</f>
        <v>12437.5</v>
      </c>
      <c r="R732" s="1026" t="s">
        <v>1922</v>
      </c>
      <c r="S732" s="538"/>
      <c r="T732" s="538"/>
      <c r="U732" s="87">
        <v>12437.5</v>
      </c>
      <c r="V732" s="858"/>
      <c r="W732" s="437"/>
      <c r="X732" s="538"/>
      <c r="Y732" s="551"/>
      <c r="Z732" s="538"/>
      <c r="AA732" s="552">
        <f>23365+0</f>
        <v>23365</v>
      </c>
      <c r="AB732" s="341" t="s">
        <v>29</v>
      </c>
      <c r="AC732" s="569"/>
      <c r="AD732" s="1149"/>
      <c r="AE732" s="569"/>
      <c r="AF732" s="569"/>
      <c r="AG732" s="569"/>
      <c r="AH732" s="536"/>
      <c r="AI732" s="1028"/>
      <c r="AJ732" s="1029"/>
      <c r="AK732" s="1029"/>
      <c r="AL732" s="1030"/>
      <c r="AM732" s="542" t="s">
        <v>709</v>
      </c>
      <c r="AN732" s="924"/>
      <c r="AO732" s="925"/>
      <c r="AP732" s="926"/>
      <c r="AQ732" s="926"/>
      <c r="AR732" s="926"/>
      <c r="AS732" s="926"/>
      <c r="AT732" s="926"/>
      <c r="AU732" s="926"/>
      <c r="AV732" s="926"/>
      <c r="AW732" s="927"/>
      <c r="AX732" s="926"/>
      <c r="AY732" s="1538" t="s">
        <v>29</v>
      </c>
      <c r="AZ732" s="1530"/>
      <c r="BA732" s="1031"/>
      <c r="BB732" s="644"/>
      <c r="BC732" s="544"/>
      <c r="BD732" s="544"/>
      <c r="BE732" s="544"/>
      <c r="BF732" s="544"/>
      <c r="BG732" s="544" t="s">
        <v>4275</v>
      </c>
      <c r="BH732" s="741"/>
      <c r="BI732" s="547" t="s">
        <v>709</v>
      </c>
      <c r="BJ732" s="547" t="s">
        <v>116</v>
      </c>
      <c r="BK732" s="547" t="s">
        <v>709</v>
      </c>
      <c r="BL732" s="547" t="s">
        <v>116</v>
      </c>
      <c r="BM732" s="547" t="s">
        <v>709</v>
      </c>
      <c r="BN732" s="547">
        <v>19808</v>
      </c>
      <c r="BO732" s="547" t="s">
        <v>709</v>
      </c>
      <c r="BP732" s="547" t="s">
        <v>709</v>
      </c>
      <c r="BQ732" s="547" t="s">
        <v>709</v>
      </c>
      <c r="BR732" s="547">
        <v>58</v>
      </c>
      <c r="BS732" s="547">
        <v>317</v>
      </c>
      <c r="BT732" s="547" t="s">
        <v>745</v>
      </c>
      <c r="BU732" s="547" t="s">
        <v>709</v>
      </c>
      <c r="BV732" s="547" t="s">
        <v>745</v>
      </c>
      <c r="BW732" s="547" t="s">
        <v>709</v>
      </c>
      <c r="BX732" s="547">
        <v>2</v>
      </c>
      <c r="BY732" s="547" t="s">
        <v>745</v>
      </c>
      <c r="BZ732" s="547" t="s">
        <v>709</v>
      </c>
      <c r="CA732" s="483"/>
      <c r="CB732" s="547">
        <v>728</v>
      </c>
      <c r="CC732" s="1481" t="b">
        <v>1</v>
      </c>
      <c r="CD732" t="str">
        <f>Table15[[#This Row],[Engineering Number]]&amp;Table15[[#This Row],[WO Number]]&amp;Table15[[#This Row],[Date Assigned to Designer]]&amp;Table15[[#This Row],[Date Completed]]</f>
        <v>MR946/A119965/
1199754478444826</v>
      </c>
    </row>
    <row r="733" spans="1:82" customFormat="1" ht="15" customHeight="1" x14ac:dyDescent="0.25">
      <c r="A733">
        <v>2022</v>
      </c>
      <c r="B733" s="8" t="s">
        <v>771</v>
      </c>
      <c r="C733" s="8" t="s">
        <v>4832</v>
      </c>
      <c r="D733" s="8" t="s">
        <v>4833</v>
      </c>
      <c r="E733" s="8" t="s">
        <v>4842</v>
      </c>
      <c r="F733" s="8" t="s">
        <v>4835</v>
      </c>
      <c r="G733" s="8" t="s">
        <v>34</v>
      </c>
      <c r="H733" s="8" t="s">
        <v>59</v>
      </c>
      <c r="I733" s="642">
        <v>44784</v>
      </c>
      <c r="J733" s="175">
        <v>44827</v>
      </c>
      <c r="K733" s="97">
        <v>44826</v>
      </c>
      <c r="L733" s="16">
        <f>IF(ISTEXT(Table15[[#This Row],[Engineering Approved Design Date]]),Table15[[#This Row],[Date Completed]]-Table15[[#This Row],[Date Assigned to Designer]],Table15[[#This Row],[Engineering Approved Design Date]]-Table15[[#This Row],[Date Completed]])</f>
        <v>1</v>
      </c>
      <c r="N733" s="642" t="s">
        <v>120</v>
      </c>
      <c r="O733" s="1060">
        <v>44866</v>
      </c>
      <c r="P733" s="21" t="s">
        <v>120</v>
      </c>
      <c r="Q733" s="300">
        <v>57100</v>
      </c>
      <c r="R733" s="1026" t="s">
        <v>4843</v>
      </c>
      <c r="S733" s="538"/>
      <c r="T733" s="538"/>
      <c r="U733" s="1057"/>
      <c r="V733" s="858">
        <v>30807</v>
      </c>
      <c r="W733" s="437"/>
      <c r="X733" s="538">
        <f>4216472.86+2393929.07</f>
        <v>6610401.9299999997</v>
      </c>
      <c r="Y733" s="551"/>
      <c r="Z733" s="538">
        <f>817808.82+37842.76</f>
        <v>855651.58</v>
      </c>
      <c r="AA733" s="552"/>
      <c r="AB733" s="341" t="s">
        <v>29</v>
      </c>
      <c r="AC733" s="569"/>
      <c r="AD733" s="1149"/>
      <c r="AE733" s="569"/>
      <c r="AF733" s="569"/>
      <c r="AG733" s="569"/>
      <c r="AH733" s="536"/>
      <c r="AI733" s="1028"/>
      <c r="AJ733" s="1029"/>
      <c r="AK733" s="1029"/>
      <c r="AL733" s="1030"/>
      <c r="AM733" s="542" t="s">
        <v>709</v>
      </c>
      <c r="AN733" s="924"/>
      <c r="AO733" s="925"/>
      <c r="AP733" s="926"/>
      <c r="AQ733" s="926"/>
      <c r="AR733" s="926"/>
      <c r="AS733" s="926"/>
      <c r="AT733" s="926"/>
      <c r="AU733" s="926"/>
      <c r="AV733" s="926"/>
      <c r="AW733" s="927"/>
      <c r="AX733" s="926"/>
      <c r="AY733" s="1538" t="s">
        <v>29</v>
      </c>
      <c r="AZ733" s="1530"/>
      <c r="BA733" s="1031" t="s">
        <v>4844</v>
      </c>
      <c r="BB733" s="644" t="s">
        <v>4845</v>
      </c>
      <c r="BC733" s="544" t="s">
        <v>115</v>
      </c>
      <c r="BD733" s="544" t="s">
        <v>1333</v>
      </c>
      <c r="BE733" s="544" t="s">
        <v>115</v>
      </c>
      <c r="BF733" s="544" t="s">
        <v>1333</v>
      </c>
      <c r="BG733" s="544" t="s">
        <v>4275</v>
      </c>
      <c r="BH733" s="741"/>
      <c r="BI733" s="547" t="s">
        <v>709</v>
      </c>
      <c r="BJ733" s="547" t="s">
        <v>116</v>
      </c>
      <c r="BK733" s="547" t="s">
        <v>709</v>
      </c>
      <c r="BL733" s="547" t="s">
        <v>116</v>
      </c>
      <c r="BM733" s="547" t="s">
        <v>709</v>
      </c>
      <c r="BN733" s="547">
        <v>10581</v>
      </c>
      <c r="BO733" s="547" t="s">
        <v>709</v>
      </c>
      <c r="BP733" s="547" t="s">
        <v>709</v>
      </c>
      <c r="BQ733" s="547" t="s">
        <v>709</v>
      </c>
      <c r="BR733" s="547" t="s">
        <v>709</v>
      </c>
      <c r="BS733" s="547">
        <v>43</v>
      </c>
      <c r="BT733" s="547" t="s">
        <v>745</v>
      </c>
      <c r="BU733" s="547" t="s">
        <v>709</v>
      </c>
      <c r="BV733" s="547" t="s">
        <v>745</v>
      </c>
      <c r="BW733" s="547" t="s">
        <v>709</v>
      </c>
      <c r="BX733" s="547">
        <v>1</v>
      </c>
      <c r="BY733" s="547" t="s">
        <v>745</v>
      </c>
      <c r="BZ733" s="547" t="s">
        <v>709</v>
      </c>
      <c r="CA733" s="483"/>
      <c r="CB733" s="547">
        <v>731</v>
      </c>
      <c r="CC733" s="1481" t="b">
        <v>1</v>
      </c>
      <c r="CD733" t="str">
        <f>Table15[[#This Row],[Engineering Number]]&amp;Table15[[#This Row],[WO Number]]&amp;Table15[[#This Row],[Date Assigned to Designer]]&amp;Table15[[#This Row],[Date Completed]]</f>
        <v>MR946/A119965/
1199754478444826</v>
      </c>
    </row>
    <row r="734" spans="1:82" customFormat="1" ht="15" customHeight="1" x14ac:dyDescent="0.25">
      <c r="A734">
        <v>2022</v>
      </c>
      <c r="B734" s="8" t="s">
        <v>771</v>
      </c>
      <c r="C734" s="8" t="s">
        <v>4832</v>
      </c>
      <c r="D734" s="8" t="s">
        <v>4833</v>
      </c>
      <c r="E734" s="8" t="s">
        <v>4834</v>
      </c>
      <c r="F734" s="8" t="s">
        <v>4835</v>
      </c>
      <c r="G734" s="8" t="s">
        <v>34</v>
      </c>
      <c r="H734" s="8" t="s">
        <v>4840</v>
      </c>
      <c r="I734" s="642">
        <v>44784</v>
      </c>
      <c r="J734" s="175" t="s">
        <v>4110</v>
      </c>
      <c r="K734" s="97">
        <v>44826</v>
      </c>
      <c r="L734" s="16">
        <f>IF(ISTEXT(Table15[[#This Row],[Engineering Approved Design Date]]),Table15[[#This Row],[Date Completed]]-Table15[[#This Row],[Date Assigned to Designer]],Table15[[#This Row],[Engineering Approved Design Date]]-Table15[[#This Row],[Date Completed]])</f>
        <v>42</v>
      </c>
      <c r="M734" t="s">
        <v>4841</v>
      </c>
      <c r="N734" s="642" t="s">
        <v>120</v>
      </c>
      <c r="O734" s="1060">
        <v>44926</v>
      </c>
      <c r="P734" s="21" t="s">
        <v>120</v>
      </c>
      <c r="Q734" s="1151">
        <f>Table15[[#This Row],[KH Hourly Effort]]</f>
        <v>2260</v>
      </c>
      <c r="R734" s="1026" t="s">
        <v>1922</v>
      </c>
      <c r="S734" s="538"/>
      <c r="T734" s="538"/>
      <c r="U734" s="87">
        <v>2260</v>
      </c>
      <c r="V734" s="858"/>
      <c r="W734" s="437"/>
      <c r="X734" s="538"/>
      <c r="Y734" s="551"/>
      <c r="Z734" s="538"/>
      <c r="AA734" s="552">
        <f>23365+0</f>
        <v>23365</v>
      </c>
      <c r="AB734" s="341" t="s">
        <v>29</v>
      </c>
      <c r="AC734" s="569" t="s">
        <v>29</v>
      </c>
      <c r="AD734" s="1149" t="s">
        <v>29</v>
      </c>
      <c r="AE734" s="569"/>
      <c r="AF734" s="569"/>
      <c r="AG734" s="569"/>
      <c r="AH734" s="536"/>
      <c r="AI734" s="1028"/>
      <c r="AJ734" s="1029"/>
      <c r="AK734" s="1029"/>
      <c r="AL734" s="1030"/>
      <c r="AM734" s="542" t="s">
        <v>709</v>
      </c>
      <c r="AN734" s="924"/>
      <c r="AO734" s="925"/>
      <c r="AP734" s="926"/>
      <c r="AQ734" s="926"/>
      <c r="AR734" s="926"/>
      <c r="AS734" s="926"/>
      <c r="AT734" s="926"/>
      <c r="AU734" s="926"/>
      <c r="AV734" s="926"/>
      <c r="AW734" s="927"/>
      <c r="AX734" s="926"/>
      <c r="AY734" s="1538" t="s">
        <v>29</v>
      </c>
      <c r="AZ734" s="1530"/>
      <c r="BA734" s="1031"/>
      <c r="BB734" s="644"/>
      <c r="BC734" s="544"/>
      <c r="BD734" s="544"/>
      <c r="BE734" s="544"/>
      <c r="BF734" s="544"/>
      <c r="BG734" s="544" t="s">
        <v>4275</v>
      </c>
      <c r="BH734" s="741"/>
      <c r="BI734" s="547" t="s">
        <v>709</v>
      </c>
      <c r="BJ734" s="547" t="s">
        <v>116</v>
      </c>
      <c r="BK734" s="547" t="s">
        <v>709</v>
      </c>
      <c r="BL734" s="547" t="s">
        <v>116</v>
      </c>
      <c r="BM734" s="547" t="s">
        <v>709</v>
      </c>
      <c r="BN734" s="547">
        <v>19808</v>
      </c>
      <c r="BO734" s="547" t="s">
        <v>709</v>
      </c>
      <c r="BP734" s="547" t="s">
        <v>709</v>
      </c>
      <c r="BQ734" s="547" t="s">
        <v>709</v>
      </c>
      <c r="BR734" s="547">
        <v>58</v>
      </c>
      <c r="BS734" s="547">
        <v>317</v>
      </c>
      <c r="BT734" s="547" t="s">
        <v>745</v>
      </c>
      <c r="BU734" s="547" t="s">
        <v>709</v>
      </c>
      <c r="BV734" s="547" t="s">
        <v>745</v>
      </c>
      <c r="BW734" s="547" t="s">
        <v>709</v>
      </c>
      <c r="BX734" s="547">
        <v>2</v>
      </c>
      <c r="BY734" s="547" t="s">
        <v>745</v>
      </c>
      <c r="BZ734" s="547" t="s">
        <v>709</v>
      </c>
      <c r="CA734" s="483"/>
      <c r="CB734" s="547">
        <v>732</v>
      </c>
      <c r="CC734" s="1481" t="b">
        <v>1</v>
      </c>
      <c r="CD734" t="str">
        <f>Table15[[#This Row],[Engineering Number]]&amp;Table15[[#This Row],[WO Number]]&amp;Table15[[#This Row],[Date Assigned to Designer]]&amp;Table15[[#This Row],[Date Completed]]</f>
        <v>MR946/A119965/
1199754478444826</v>
      </c>
    </row>
    <row r="735" spans="1:82" customFormat="1" ht="15" customHeight="1" x14ac:dyDescent="0.25">
      <c r="A735">
        <v>2022</v>
      </c>
      <c r="B735" s="8" t="s">
        <v>769</v>
      </c>
      <c r="C735" s="8" t="s">
        <v>4056</v>
      </c>
      <c r="D735" s="8" t="s">
        <v>4057</v>
      </c>
      <c r="E735" s="8" t="s">
        <v>2144</v>
      </c>
      <c r="F735" s="8" t="s">
        <v>747</v>
      </c>
      <c r="G735" s="8" t="s">
        <v>4785</v>
      </c>
      <c r="H735" s="8" t="s">
        <v>3178</v>
      </c>
      <c r="I735" s="642">
        <v>44810</v>
      </c>
      <c r="J735" s="175" t="s">
        <v>2052</v>
      </c>
      <c r="K735" s="97">
        <v>44827</v>
      </c>
      <c r="L735" s="16">
        <f>IF(ISTEXT(Table15[[#This Row],[Engineering Approved Design Date]]),Table15[[#This Row],[Date Completed]]-Table15[[#This Row],[Date Assigned to Designer]],Table15[[#This Row],[Engineering Approved Design Date]]-Table15[[#This Row],[Date Completed]])</f>
        <v>17</v>
      </c>
      <c r="M735" t="s">
        <v>4861</v>
      </c>
      <c r="N735" s="642" t="s">
        <v>120</v>
      </c>
      <c r="O735" s="1060">
        <v>44835</v>
      </c>
      <c r="P735" s="21" t="s">
        <v>120</v>
      </c>
      <c r="Q735" s="1151">
        <f>Table15[[#This Row],[KH Hourly Effort]]</f>
        <v>5070</v>
      </c>
      <c r="R735" s="1026" t="s">
        <v>1922</v>
      </c>
      <c r="S735" s="538"/>
      <c r="T735" s="538"/>
      <c r="U735" s="87">
        <v>5070</v>
      </c>
      <c r="V735" s="858"/>
      <c r="W735" s="437"/>
      <c r="X735" s="538"/>
      <c r="Y735" s="551"/>
      <c r="Z735" s="538"/>
      <c r="AA735" s="552"/>
      <c r="AB735" s="341" t="s">
        <v>29</v>
      </c>
      <c r="AC735" s="569" t="s">
        <v>1056</v>
      </c>
      <c r="AD735" s="1149" t="s">
        <v>116</v>
      </c>
      <c r="AE735" s="580"/>
      <c r="AF735" s="580"/>
      <c r="AG735" s="580"/>
      <c r="AH735" s="542"/>
      <c r="AI735" s="1028"/>
      <c r="AJ735" s="1029"/>
      <c r="AK735" s="1029"/>
      <c r="AL735" s="1030"/>
      <c r="AM735" s="542" t="s">
        <v>709</v>
      </c>
      <c r="AN735" s="924"/>
      <c r="AO735" s="925"/>
      <c r="AP735" s="926"/>
      <c r="AQ735" s="926"/>
      <c r="AR735" s="926"/>
      <c r="AS735" s="926"/>
      <c r="AT735" s="926"/>
      <c r="AU735" s="926"/>
      <c r="AV735" s="926"/>
      <c r="AW735" s="927"/>
      <c r="AX735" s="926"/>
      <c r="AY735" s="1538" t="s">
        <v>29</v>
      </c>
      <c r="AZ735" s="1530"/>
      <c r="BA735" s="1031" t="s">
        <v>709</v>
      </c>
      <c r="BB735" s="644" t="s">
        <v>4862</v>
      </c>
      <c r="BC735" s="544"/>
      <c r="BD735" s="544"/>
      <c r="BE735" s="544"/>
      <c r="BF735" s="544"/>
      <c r="BG735" s="544"/>
      <c r="BH735" s="741"/>
      <c r="BI735" s="547" t="s">
        <v>709</v>
      </c>
      <c r="BJ735" s="547" t="s">
        <v>709</v>
      </c>
      <c r="BK735" s="547" t="s">
        <v>116</v>
      </c>
      <c r="BL735" s="547" t="s">
        <v>116</v>
      </c>
      <c r="BM735" s="547" t="s">
        <v>709</v>
      </c>
      <c r="BN735" s="547" t="s">
        <v>709</v>
      </c>
      <c r="BO735" s="547" t="s">
        <v>709</v>
      </c>
      <c r="BP735" s="547">
        <v>152</v>
      </c>
      <c r="BQ735" s="547">
        <v>395</v>
      </c>
      <c r="BR735" s="547">
        <v>45</v>
      </c>
      <c r="BS735" s="547">
        <v>5</v>
      </c>
      <c r="BT735" s="547">
        <v>1</v>
      </c>
      <c r="BU735" s="547" t="s">
        <v>709</v>
      </c>
      <c r="BV735" s="547" t="s">
        <v>745</v>
      </c>
      <c r="BW735" s="547">
        <v>1</v>
      </c>
      <c r="BX735" s="547" t="s">
        <v>745</v>
      </c>
      <c r="BY735" s="547" t="s">
        <v>745</v>
      </c>
      <c r="BZ735" s="547" t="s">
        <v>709</v>
      </c>
      <c r="CA735" s="483" t="s">
        <v>1022</v>
      </c>
      <c r="CB735" s="547">
        <v>733</v>
      </c>
      <c r="CC735" s="1481" t="b">
        <v>1</v>
      </c>
      <c r="CD735" t="str">
        <f>Table15[[#This Row],[Engineering Number]]&amp;Table15[[#This Row],[WO Number]]&amp;Table15[[#This Row],[Date Assigned to Designer]]&amp;Table15[[#This Row],[Date Completed]]</f>
        <v>RS92610107334481044827</v>
      </c>
    </row>
    <row r="736" spans="1:82" customFormat="1" ht="15" customHeight="1" x14ac:dyDescent="0.25">
      <c r="A736">
        <v>2023</v>
      </c>
      <c r="B736" s="8" t="s">
        <v>771</v>
      </c>
      <c r="C736" s="8" t="s">
        <v>4864</v>
      </c>
      <c r="D736" s="8" t="s">
        <v>4865</v>
      </c>
      <c r="E736" s="8" t="s">
        <v>4866</v>
      </c>
      <c r="F736" s="8" t="s">
        <v>747</v>
      </c>
      <c r="G736" s="8" t="s">
        <v>32</v>
      </c>
      <c r="H736" s="8" t="s">
        <v>59</v>
      </c>
      <c r="I736" s="642">
        <v>44666</v>
      </c>
      <c r="J736" s="18">
        <v>44830</v>
      </c>
      <c r="K736" s="97">
        <v>44830</v>
      </c>
      <c r="L736" s="16">
        <f>IF(ISTEXT(Table15[[#This Row],[Engineering Approved Design Date]]),Table15[[#This Row],[Date Completed]]-Table15[[#This Row],[Date Assigned to Designer]],Table15[[#This Row],[Engineering Approved Design Date]]-Table15[[#This Row],[Date Completed]])</f>
        <v>0</v>
      </c>
      <c r="M736" s="642"/>
      <c r="N736" s="642" t="s">
        <v>120</v>
      </c>
      <c r="O736" s="1060">
        <v>44835</v>
      </c>
      <c r="P736" s="21" t="s">
        <v>120</v>
      </c>
      <c r="Q736" s="1151">
        <f>1.55*Table15[[#This Row],[LF of Main]]</f>
        <v>21620.95</v>
      </c>
      <c r="R736" s="1026" t="s">
        <v>2087</v>
      </c>
      <c r="S736" s="538"/>
      <c r="T736" s="538"/>
      <c r="U736" s="87"/>
      <c r="V736" s="858">
        <v>13949</v>
      </c>
      <c r="W736" s="437"/>
      <c r="X736" s="552">
        <v>2876665.35</v>
      </c>
      <c r="Y736" s="551"/>
      <c r="Z736" s="552">
        <v>106237.49</v>
      </c>
      <c r="AA736" s="552">
        <f>Table15[[#This Row],[PCTS Investment Amount]]+Table15[[#This Row],[PCTS Retirement Amount]]</f>
        <v>2982902.8400000003</v>
      </c>
      <c r="AB736" s="341">
        <v>44833</v>
      </c>
      <c r="AC736" s="568" t="s">
        <v>709</v>
      </c>
      <c r="AD736" s="1157" t="s">
        <v>29</v>
      </c>
      <c r="AE736" s="568"/>
      <c r="AF736" s="568"/>
      <c r="AG736" s="568"/>
      <c r="AH736" s="183"/>
      <c r="AI736" s="1036"/>
      <c r="AJ736" s="1037"/>
      <c r="AK736" s="1037"/>
      <c r="AL736" s="1038"/>
      <c r="AM736" s="542" t="s">
        <v>709</v>
      </c>
      <c r="AN736" s="924"/>
      <c r="AO736" s="925"/>
      <c r="AP736" s="926"/>
      <c r="AQ736" s="926"/>
      <c r="AR736" s="926"/>
      <c r="AS736" s="926"/>
      <c r="AT736" s="926"/>
      <c r="AU736" s="926"/>
      <c r="AV736" s="926"/>
      <c r="AW736" s="927"/>
      <c r="AX736" s="926"/>
      <c r="AY736" s="1538" t="s">
        <v>29</v>
      </c>
      <c r="AZ736" s="1530"/>
      <c r="BA736" s="1031" t="s">
        <v>4867</v>
      </c>
      <c r="BB736" s="644" t="s">
        <v>4868</v>
      </c>
      <c r="BC736" s="544" t="s">
        <v>116</v>
      </c>
      <c r="BD736" s="544" t="s">
        <v>115</v>
      </c>
      <c r="BE736" s="544" t="s">
        <v>4869</v>
      </c>
      <c r="BF736" s="544" t="s">
        <v>115</v>
      </c>
      <c r="BG736" s="544" t="s">
        <v>115</v>
      </c>
      <c r="BH736" s="741" t="s">
        <v>4870</v>
      </c>
      <c r="BI736" s="547" t="s">
        <v>709</v>
      </c>
      <c r="BJ736" s="547" t="s">
        <v>709</v>
      </c>
      <c r="BK736" s="547" t="s">
        <v>709</v>
      </c>
      <c r="BL736" s="547" t="s">
        <v>116</v>
      </c>
      <c r="BM736" s="547">
        <v>0</v>
      </c>
      <c r="BN736" s="549">
        <v>0</v>
      </c>
      <c r="BO736" s="547">
        <v>0</v>
      </c>
      <c r="BP736" s="547">
        <v>0</v>
      </c>
      <c r="BQ736" s="547">
        <v>556</v>
      </c>
      <c r="BR736" s="547">
        <v>2753</v>
      </c>
      <c r="BS736" s="547">
        <v>10640</v>
      </c>
      <c r="BT736" s="547">
        <v>0</v>
      </c>
      <c r="BU736" s="547">
        <v>0</v>
      </c>
      <c r="BV736" s="547">
        <v>0</v>
      </c>
      <c r="BW736" s="547">
        <v>0</v>
      </c>
      <c r="BX736" s="547">
        <v>0</v>
      </c>
      <c r="BY736" s="547">
        <v>0</v>
      </c>
      <c r="BZ736" s="547" t="s">
        <v>709</v>
      </c>
      <c r="CA736" s="483"/>
      <c r="CB736" s="547">
        <v>734</v>
      </c>
      <c r="CC736" s="1481" t="b">
        <v>1</v>
      </c>
      <c r="CD736" t="str">
        <f>Table15[[#This Row],[Engineering Number]]&amp;Table15[[#This Row],[WO Number]]&amp;Table15[[#This Row],[Date Assigned to Designer]]&amp;Table15[[#This Row],[Date Completed]]</f>
        <v>VW28412113354466644830</v>
      </c>
    </row>
    <row r="737" spans="1:82" customFormat="1" ht="15" customHeight="1" x14ac:dyDescent="0.25">
      <c r="A737">
        <v>2023</v>
      </c>
      <c r="B737" s="8" t="s">
        <v>759</v>
      </c>
      <c r="C737" s="8" t="s">
        <v>462</v>
      </c>
      <c r="D737" s="8" t="s">
        <v>1054</v>
      </c>
      <c r="E737" s="8" t="s">
        <v>1049</v>
      </c>
      <c r="F737" s="8" t="s">
        <v>752</v>
      </c>
      <c r="G737" s="8" t="s">
        <v>34</v>
      </c>
      <c r="H737" s="8" t="s">
        <v>59</v>
      </c>
      <c r="I737" s="642">
        <v>44733</v>
      </c>
      <c r="J737" s="18">
        <v>44834</v>
      </c>
      <c r="K737" s="175">
        <v>44834</v>
      </c>
      <c r="L737" s="16">
        <f>IF(ISTEXT(Table15[[#This Row],[Engineering Approved Design Date]]),Table15[[#This Row],[Date Completed]]-Table15[[#This Row],[Date Assigned to Designer]],Table15[[#This Row],[Engineering Approved Design Date]]-Table15[[#This Row],[Date Completed]])</f>
        <v>0</v>
      </c>
      <c r="M737" s="642"/>
      <c r="N737" s="642" t="s">
        <v>120</v>
      </c>
      <c r="O737" s="1060">
        <v>44835</v>
      </c>
      <c r="P737" s="21" t="s">
        <v>120</v>
      </c>
      <c r="Q737" s="1151">
        <f>(Table15[[#This Row],[Construction Cost to Bill From]]*0.085)+7750</f>
        <v>66628.344849999994</v>
      </c>
      <c r="R737" s="1026" t="s">
        <v>1055</v>
      </c>
      <c r="S737" s="538"/>
      <c r="T737" s="538"/>
      <c r="U737" s="87" t="s">
        <v>709</v>
      </c>
      <c r="V737" s="858">
        <v>1549</v>
      </c>
      <c r="W737" s="437"/>
      <c r="X737" s="570">
        <v>581607.93999999994</v>
      </c>
      <c r="Y737" s="551"/>
      <c r="Z737" s="570">
        <v>111078.47</v>
      </c>
      <c r="AA737" s="552">
        <f>Table15[[#This Row],[PCTS Investment Amount]]+Table15[[#This Row],[PCTS Retirement Amount]]</f>
        <v>692686.40999999992</v>
      </c>
      <c r="AB737" s="341">
        <v>44841</v>
      </c>
      <c r="AC737" s="568" t="s">
        <v>1056</v>
      </c>
      <c r="AD737" s="1157" t="s">
        <v>29</v>
      </c>
      <c r="AE737" s="579"/>
      <c r="AF737" s="579"/>
      <c r="AG737" s="579"/>
      <c r="AH737" s="553"/>
      <c r="AI737" s="1036"/>
      <c r="AJ737" s="1037"/>
      <c r="AK737" s="1037"/>
      <c r="AL737" s="1038"/>
      <c r="AM737" s="1522" t="s">
        <v>116</v>
      </c>
      <c r="AN737" s="1523">
        <v>45448</v>
      </c>
      <c r="AO737" s="1524">
        <v>11058432</v>
      </c>
      <c r="AP737" s="1525">
        <v>601264.84</v>
      </c>
      <c r="AQ737" s="1525"/>
      <c r="AR737" s="1525">
        <v>116373.11</v>
      </c>
      <c r="AS737" s="1525">
        <v>717637.95</v>
      </c>
      <c r="AT737" s="1525">
        <v>24951.540000000037</v>
      </c>
      <c r="AU737" s="1525">
        <v>2120.8809000000033</v>
      </c>
      <c r="AV737" s="1525" t="s">
        <v>29</v>
      </c>
      <c r="AW737" s="1526" t="s">
        <v>1057</v>
      </c>
      <c r="AX737" s="1525">
        <v>2120.88</v>
      </c>
      <c r="AY737" s="1518">
        <v>45566</v>
      </c>
      <c r="AZ737" s="333">
        <v>188</v>
      </c>
      <c r="BA737" s="859" t="s">
        <v>1058</v>
      </c>
      <c r="BB737" s="644" t="s">
        <v>1059</v>
      </c>
      <c r="BC737" s="544" t="s">
        <v>116</v>
      </c>
      <c r="BD737" s="544" t="s">
        <v>115</v>
      </c>
      <c r="BE737" s="544" t="s">
        <v>463</v>
      </c>
      <c r="BF737" s="544" t="s">
        <v>115</v>
      </c>
      <c r="BG737" s="544" t="s">
        <v>115</v>
      </c>
      <c r="BH737" s="741"/>
      <c r="BI737" s="547"/>
      <c r="BJ737" s="547"/>
      <c r="BK737" s="547"/>
      <c r="BL737" s="547"/>
      <c r="BM737" s="547"/>
      <c r="BN737" s="547"/>
      <c r="BO737" s="547"/>
      <c r="BP737" s="547"/>
      <c r="BQ737" s="547"/>
      <c r="BR737" s="547"/>
      <c r="BS737" s="547"/>
      <c r="BT737" s="547"/>
      <c r="BU737" s="547"/>
      <c r="BV737" s="547"/>
      <c r="BW737" s="547"/>
      <c r="BX737" s="547"/>
      <c r="BY737" s="547"/>
      <c r="BZ737" s="547" t="s">
        <v>709</v>
      </c>
      <c r="CA737" s="483" t="s">
        <v>915</v>
      </c>
      <c r="CB737" s="547">
        <v>735</v>
      </c>
      <c r="CC737" s="1481" t="b">
        <v>1</v>
      </c>
      <c r="CD737" t="str">
        <f>Table15[[#This Row],[Engineering Number]]&amp;Table15[[#This Row],[WO Number]]&amp;Table15[[#This Row],[Date Assigned to Designer]]&amp;Table15[[#This Row],[Date Completed]]</f>
        <v>RS100810115614473344834</v>
      </c>
    </row>
    <row r="738" spans="1:82" customFormat="1" ht="15" customHeight="1" x14ac:dyDescent="0.25">
      <c r="A738">
        <v>2023</v>
      </c>
      <c r="B738" s="8" t="s">
        <v>730</v>
      </c>
      <c r="C738" s="8" t="s">
        <v>1047</v>
      </c>
      <c r="D738" s="8" t="s">
        <v>1048</v>
      </c>
      <c r="E738" s="8" t="s">
        <v>1049</v>
      </c>
      <c r="F738" s="8" t="s">
        <v>752</v>
      </c>
      <c r="G738" s="8" t="s">
        <v>34</v>
      </c>
      <c r="H738" s="8" t="s">
        <v>59</v>
      </c>
      <c r="I738" s="642">
        <v>44735</v>
      </c>
      <c r="J738" s="18">
        <v>44834</v>
      </c>
      <c r="K738" s="175">
        <v>44834</v>
      </c>
      <c r="L738" s="16">
        <f>IF(ISTEXT(Table15[[#This Row],[Engineering Approved Design Date]]),Table15[[#This Row],[Date Completed]]-Table15[[#This Row],[Date Assigned to Designer]],Table15[[#This Row],[Engineering Approved Design Date]]-Table15[[#This Row],[Date Completed]])</f>
        <v>0</v>
      </c>
      <c r="M738" s="642"/>
      <c r="N738" s="642" t="s">
        <v>120</v>
      </c>
      <c r="O738" s="1060">
        <v>44866</v>
      </c>
      <c r="P738" s="21" t="s">
        <v>120</v>
      </c>
      <c r="Q738" s="87">
        <f>(Table15[[#This Row],[Construction Cost to Bill From]]*0.085)+(5250*1)</f>
        <v>10805.4555</v>
      </c>
      <c r="R738" s="1026" t="s">
        <v>794</v>
      </c>
      <c r="S738" s="538"/>
      <c r="T738" s="538"/>
      <c r="U738" s="87"/>
      <c r="V738" s="858">
        <v>0</v>
      </c>
      <c r="W738" s="437"/>
      <c r="X738" s="552">
        <v>0</v>
      </c>
      <c r="Y738" s="551"/>
      <c r="Z738" s="570">
        <v>65358.3</v>
      </c>
      <c r="AA738" s="552">
        <f>Table15[[#This Row],[PCTS Investment Amount]]+Table15[[#This Row],[PCTS Retirement Amount]]</f>
        <v>65358.3</v>
      </c>
      <c r="AB738" s="341">
        <v>44841</v>
      </c>
      <c r="AC738" s="568" t="s">
        <v>709</v>
      </c>
      <c r="AD738" s="1157" t="s">
        <v>29</v>
      </c>
      <c r="AE738" s="579"/>
      <c r="AF738" s="579"/>
      <c r="AG738" s="579"/>
      <c r="AH738" s="553"/>
      <c r="AI738" s="1036"/>
      <c r="AJ738" s="1037"/>
      <c r="AK738" s="1037"/>
      <c r="AL738" s="1038"/>
      <c r="AM738" s="1522" t="s">
        <v>116</v>
      </c>
      <c r="AN738" s="1523">
        <v>45448</v>
      </c>
      <c r="AO738" s="1524">
        <v>11083546</v>
      </c>
      <c r="AP738" s="1525">
        <v>0</v>
      </c>
      <c r="AQ738" s="1525"/>
      <c r="AR738" s="1525">
        <v>68571.92</v>
      </c>
      <c r="AS738" s="1525">
        <v>68571.92</v>
      </c>
      <c r="AT738" s="1525">
        <v>3213.6199999999953</v>
      </c>
      <c r="AU738" s="1525">
        <v>273.15769999999964</v>
      </c>
      <c r="AV738" s="1525" t="s">
        <v>29</v>
      </c>
      <c r="AW738" s="1526" t="s">
        <v>1050</v>
      </c>
      <c r="AX738" s="1525">
        <v>273.16000000000003</v>
      </c>
      <c r="AY738" s="1518">
        <v>45566</v>
      </c>
      <c r="AZ738" s="333">
        <v>176</v>
      </c>
      <c r="BA738" s="859" t="s">
        <v>1051</v>
      </c>
      <c r="BB738" s="644" t="s">
        <v>1052</v>
      </c>
      <c r="BC738" s="544" t="s">
        <v>115</v>
      </c>
      <c r="BD738" s="544" t="s">
        <v>115</v>
      </c>
      <c r="BE738" s="544" t="s">
        <v>463</v>
      </c>
      <c r="BF738" s="544" t="s">
        <v>115</v>
      </c>
      <c r="BG738" s="544" t="s">
        <v>115</v>
      </c>
      <c r="BH738" s="741"/>
      <c r="BI738" s="547"/>
      <c r="BJ738" s="547"/>
      <c r="BK738" s="547"/>
      <c r="BL738" s="547"/>
      <c r="BM738" s="547"/>
      <c r="BN738" s="547"/>
      <c r="BO738" s="547"/>
      <c r="BP738" s="547"/>
      <c r="BQ738" s="547"/>
      <c r="BR738" s="547"/>
      <c r="BS738" s="547"/>
      <c r="BT738" s="547"/>
      <c r="BU738" s="547"/>
      <c r="BV738" s="547"/>
      <c r="BW738" s="547"/>
      <c r="BX738" s="547"/>
      <c r="BY738" s="547"/>
      <c r="BZ738" s="547" t="s">
        <v>709</v>
      </c>
      <c r="CA738" s="483" t="s">
        <v>1053</v>
      </c>
      <c r="CB738" s="547">
        <v>736</v>
      </c>
      <c r="CC738" s="1481" t="b">
        <v>1</v>
      </c>
      <c r="CD738" t="str">
        <f>Table15[[#This Row],[Engineering Number]]&amp;Table15[[#This Row],[WO Number]]&amp;Table15[[#This Row],[Date Assigned to Designer]]&amp;Table15[[#This Row],[Date Completed]]</f>
        <v>RS105010115624473544834</v>
      </c>
    </row>
    <row r="739" spans="1:82" customFormat="1" ht="15" customHeight="1" x14ac:dyDescent="0.25">
      <c r="A739">
        <v>2023</v>
      </c>
      <c r="B739" s="8" t="s">
        <v>769</v>
      </c>
      <c r="C739" s="8" t="s">
        <v>4881</v>
      </c>
      <c r="D739" s="8" t="s">
        <v>115</v>
      </c>
      <c r="E739" s="8" t="s">
        <v>1004</v>
      </c>
      <c r="F739" s="8" t="s">
        <v>747</v>
      </c>
      <c r="G739" s="8" t="s">
        <v>23</v>
      </c>
      <c r="H739" s="8" t="s">
        <v>2127</v>
      </c>
      <c r="I739" s="642">
        <v>44774</v>
      </c>
      <c r="J739" s="175">
        <v>44866</v>
      </c>
      <c r="K739" s="97">
        <v>44837</v>
      </c>
      <c r="L739" s="16">
        <f>IF(ISTEXT(Table15[[#This Row],[Engineering Approved Design Date]]),Table15[[#This Row],[Date Completed]]-Table15[[#This Row],[Date Assigned to Designer]],Table15[[#This Row],[Engineering Approved Design Date]]-Table15[[#This Row],[Date Completed]])</f>
        <v>29</v>
      </c>
      <c r="N739" s="642" t="s">
        <v>120</v>
      </c>
      <c r="O739" s="1025">
        <f>Table15[[#This Row],[Date Completed]]</f>
        <v>44837</v>
      </c>
      <c r="P739" s="21" t="s">
        <v>120</v>
      </c>
      <c r="Q739" s="1151" t="s">
        <v>115</v>
      </c>
      <c r="R739" s="1026" t="s">
        <v>115</v>
      </c>
      <c r="S739" s="538"/>
      <c r="T739" s="538"/>
      <c r="U739" s="87"/>
      <c r="V739" s="858"/>
      <c r="W739" s="437"/>
      <c r="X739" s="538"/>
      <c r="Y739" s="551"/>
      <c r="Z739" s="538"/>
      <c r="AA739" s="538"/>
      <c r="AB739" s="341" t="s">
        <v>29</v>
      </c>
      <c r="AC739" s="569" t="s">
        <v>29</v>
      </c>
      <c r="AD739" s="1149"/>
      <c r="AE739" s="580"/>
      <c r="AF739" s="580"/>
      <c r="AG739" s="580"/>
      <c r="AH739" s="542"/>
      <c r="AI739" s="1028"/>
      <c r="AJ739" s="1029"/>
      <c r="AK739" s="1029"/>
      <c r="AL739" s="1030"/>
      <c r="AM739" s="542" t="s">
        <v>709</v>
      </c>
      <c r="AN739" s="924"/>
      <c r="AO739" s="925"/>
      <c r="AP739" s="926"/>
      <c r="AQ739" s="926"/>
      <c r="AR739" s="926"/>
      <c r="AS739" s="926"/>
      <c r="AT739" s="926"/>
      <c r="AU739" s="926"/>
      <c r="AV739" s="926"/>
      <c r="AW739" s="927"/>
      <c r="AX739" s="926"/>
      <c r="AY739" s="1538" t="s">
        <v>29</v>
      </c>
      <c r="AZ739" s="1530"/>
      <c r="BA739" s="1031" t="s">
        <v>4882</v>
      </c>
      <c r="BB739" s="644" t="s">
        <v>787</v>
      </c>
      <c r="BC739" s="544" t="s">
        <v>115</v>
      </c>
      <c r="BD739" s="544" t="s">
        <v>788</v>
      </c>
      <c r="BE739" s="544" t="s">
        <v>495</v>
      </c>
      <c r="BF739" s="544" t="s">
        <v>115</v>
      </c>
      <c r="BG739" s="544" t="s">
        <v>115</v>
      </c>
      <c r="BH739" s="741"/>
      <c r="BI739" s="547"/>
      <c r="BJ739" s="547"/>
      <c r="BK739" s="547"/>
      <c r="BL739" s="547"/>
      <c r="BM739" s="547"/>
      <c r="BN739" s="547"/>
      <c r="BO739" s="547"/>
      <c r="BP739" s="547"/>
      <c r="BQ739" s="547"/>
      <c r="BR739" s="547"/>
      <c r="BS739" s="547"/>
      <c r="BT739" s="547"/>
      <c r="BU739" s="547"/>
      <c r="BV739" s="547"/>
      <c r="BW739" s="547"/>
      <c r="BX739" s="547"/>
      <c r="BY739" s="547"/>
      <c r="BZ739" s="547" t="s">
        <v>709</v>
      </c>
      <c r="CA739" s="483" t="s">
        <v>769</v>
      </c>
      <c r="CB739" s="547">
        <v>738</v>
      </c>
      <c r="CC739" s="1481" t="b">
        <v>1</v>
      </c>
      <c r="CD739" t="str">
        <f>Table15[[#This Row],[Engineering Number]]&amp;Table15[[#This Row],[WO Number]]&amp;Table15[[#This Row],[Date Assigned to Designer]]&amp;Table15[[#This Row],[Date Completed]]</f>
        <v>RS1065-4477444837</v>
      </c>
    </row>
    <row r="740" spans="1:82" customFormat="1" ht="15" customHeight="1" x14ac:dyDescent="0.25">
      <c r="A740">
        <v>2023</v>
      </c>
      <c r="B740" s="8" t="s">
        <v>4</v>
      </c>
      <c r="C740" s="8" t="s">
        <v>3343</v>
      </c>
      <c r="D740" s="8" t="s">
        <v>3344</v>
      </c>
      <c r="E740" s="8" t="s">
        <v>4876</v>
      </c>
      <c r="F740" s="8" t="s">
        <v>919</v>
      </c>
      <c r="G740" s="8" t="s">
        <v>25</v>
      </c>
      <c r="H740" s="8" t="s">
        <v>4436</v>
      </c>
      <c r="I740" s="642">
        <v>44760</v>
      </c>
      <c r="J740" s="175" t="s">
        <v>2052</v>
      </c>
      <c r="K740" s="97">
        <v>44837</v>
      </c>
      <c r="L740" s="16">
        <f>IF(ISTEXT(Table15[[#This Row],[Engineering Approved Design Date]]),Table15[[#This Row],[Date Completed]]-Table15[[#This Row],[Date Assigned to Designer]],Table15[[#This Row],[Engineering Approved Design Date]]-Table15[[#This Row],[Date Completed]])</f>
        <v>77</v>
      </c>
      <c r="M740" t="s">
        <v>4877</v>
      </c>
      <c r="N740" s="642" t="s">
        <v>120</v>
      </c>
      <c r="O740" s="1060">
        <v>44866</v>
      </c>
      <c r="P740" s="21" t="s">
        <v>739</v>
      </c>
      <c r="Q740" s="1151">
        <f>Table15[[#This Row],[KH Hourly Effort]]</f>
        <v>3955</v>
      </c>
      <c r="R740" s="1026" t="s">
        <v>1922</v>
      </c>
      <c r="S740" s="538"/>
      <c r="T740" s="538"/>
      <c r="U740" s="1061">
        <v>3955</v>
      </c>
      <c r="V740" s="858"/>
      <c r="W740" s="437"/>
      <c r="X740" s="538"/>
      <c r="Y740" s="551"/>
      <c r="Z740" s="538"/>
      <c r="AA740" s="552"/>
      <c r="AB740" s="341" t="s">
        <v>29</v>
      </c>
      <c r="AC740" s="569"/>
      <c r="AD740" s="1149" t="s">
        <v>116</v>
      </c>
      <c r="AE740" s="580"/>
      <c r="AF740" s="580"/>
      <c r="AG740" s="580"/>
      <c r="AH740" s="542"/>
      <c r="AI740" s="1028"/>
      <c r="AJ740" s="1029"/>
      <c r="AK740" s="1029"/>
      <c r="AL740" s="1030"/>
      <c r="AM740" s="542" t="s">
        <v>709</v>
      </c>
      <c r="AN740" s="924"/>
      <c r="AO740" s="925"/>
      <c r="AP740" s="926"/>
      <c r="AQ740" s="926"/>
      <c r="AR740" s="926"/>
      <c r="AS740" s="926"/>
      <c r="AT740" s="926"/>
      <c r="AU740" s="926"/>
      <c r="AV740" s="926"/>
      <c r="AW740" s="927"/>
      <c r="AX740" s="926"/>
      <c r="AY740" s="1538" t="s">
        <v>29</v>
      </c>
      <c r="AZ740" s="1530"/>
      <c r="BA740" s="1031">
        <v>3</v>
      </c>
      <c r="BB740" s="644" t="s">
        <v>4878</v>
      </c>
      <c r="BC740" s="544" t="s">
        <v>709</v>
      </c>
      <c r="BD740" s="544" t="s">
        <v>882</v>
      </c>
      <c r="BE740" s="544" t="s">
        <v>1106</v>
      </c>
      <c r="BF740" s="544" t="s">
        <v>709</v>
      </c>
      <c r="BG740" s="544" t="s">
        <v>709</v>
      </c>
      <c r="BH740" s="741" t="s">
        <v>4879</v>
      </c>
      <c r="BI740" s="547" t="s">
        <v>709</v>
      </c>
      <c r="BJ740" s="547" t="s">
        <v>709</v>
      </c>
      <c r="BK740" s="547" t="s">
        <v>709</v>
      </c>
      <c r="BL740" s="547" t="s">
        <v>116</v>
      </c>
      <c r="BM740" s="547" t="s">
        <v>709</v>
      </c>
      <c r="BN740" s="547" t="s">
        <v>709</v>
      </c>
      <c r="BO740" s="547" t="s">
        <v>709</v>
      </c>
      <c r="BP740" s="547" t="s">
        <v>709</v>
      </c>
      <c r="BQ740" s="547" t="s">
        <v>709</v>
      </c>
      <c r="BR740" s="547" t="s">
        <v>709</v>
      </c>
      <c r="BS740" s="547">
        <v>725</v>
      </c>
      <c r="BT740" s="547" t="s">
        <v>709</v>
      </c>
      <c r="BU740" s="547" t="s">
        <v>709</v>
      </c>
      <c r="BV740" s="547" t="s">
        <v>745</v>
      </c>
      <c r="BW740" s="547" t="s">
        <v>709</v>
      </c>
      <c r="BX740" s="547" t="s">
        <v>709</v>
      </c>
      <c r="BY740" s="547" t="s">
        <v>745</v>
      </c>
      <c r="BZ740" s="547" t="s">
        <v>709</v>
      </c>
      <c r="CA740" s="483" t="s">
        <v>1237</v>
      </c>
      <c r="CB740" s="547">
        <v>739</v>
      </c>
      <c r="CC740" s="1481" t="b">
        <v>1</v>
      </c>
      <c r="CD740" t="str">
        <f>Table15[[#This Row],[Engineering Number]]&amp;Table15[[#This Row],[WO Number]]&amp;Table15[[#This Row],[Date Assigned to Designer]]&amp;Table15[[#This Row],[Date Completed]]</f>
        <v>M10905-11205584476044837</v>
      </c>
    </row>
    <row r="741" spans="1:82" customFormat="1" ht="15" customHeight="1" x14ac:dyDescent="0.25">
      <c r="A741">
        <v>2021</v>
      </c>
      <c r="B741" s="8" t="s">
        <v>771</v>
      </c>
      <c r="C741" s="8" t="s">
        <v>772</v>
      </c>
      <c r="D741" s="8" t="s">
        <v>773</v>
      </c>
      <c r="E741" s="8" t="s">
        <v>774</v>
      </c>
      <c r="F741" s="8" t="s">
        <v>747</v>
      </c>
      <c r="G741" s="8" t="s">
        <v>22</v>
      </c>
      <c r="H741" s="8" t="s">
        <v>59</v>
      </c>
      <c r="I741" s="642">
        <v>44522</v>
      </c>
      <c r="J741" s="18">
        <v>44862</v>
      </c>
      <c r="K741" s="97">
        <v>44837</v>
      </c>
      <c r="L741" s="16">
        <f>IF(ISTEXT(Table15[[#This Row],[Engineering Approved Design Date]]),Table15[[#This Row],[Date Completed]]-Table15[[#This Row],[Date Assigned to Designer]],Table15[[#This Row],[Engineering Approved Design Date]]-Table15[[#This Row],[Date Completed]])</f>
        <v>25</v>
      </c>
      <c r="M741" s="642"/>
      <c r="N741" s="642" t="s">
        <v>120</v>
      </c>
      <c r="O741" s="1025">
        <f>Table15[[#This Row],[Date Completed]]</f>
        <v>44837</v>
      </c>
      <c r="P741" s="21" t="s">
        <v>120</v>
      </c>
      <c r="Q741" s="1061">
        <f>R741*AA741</f>
        <v>108539.11349999999</v>
      </c>
      <c r="R741" s="1026">
        <v>0.09</v>
      </c>
      <c r="S741" s="538"/>
      <c r="T741" s="538"/>
      <c r="U741" s="87"/>
      <c r="V741" s="858">
        <v>3925</v>
      </c>
      <c r="W741" s="437"/>
      <c r="X741" s="570">
        <v>1159057.98</v>
      </c>
      <c r="Y741" s="551"/>
      <c r="Z741" s="570">
        <v>46932.17</v>
      </c>
      <c r="AA741" s="552">
        <f>Table15[[#This Row],[PCTS Investment Amount]]+Table15[[#This Row],[PCTS Retirement Amount]]</f>
        <v>1205990.1499999999</v>
      </c>
      <c r="AB741" s="341">
        <v>44845</v>
      </c>
      <c r="AC741" s="568" t="s">
        <v>709</v>
      </c>
      <c r="AD741" s="1157" t="s">
        <v>116</v>
      </c>
      <c r="AE741" s="568"/>
      <c r="AF741" s="568"/>
      <c r="AG741" s="568"/>
      <c r="AH741" s="183"/>
      <c r="AI741" s="1036"/>
      <c r="AJ741" s="1037"/>
      <c r="AK741" s="1037"/>
      <c r="AL741" s="1038"/>
      <c r="AM741" s="1522" t="s">
        <v>116</v>
      </c>
      <c r="AN741" s="1523">
        <v>45315</v>
      </c>
      <c r="AO741" s="1524">
        <v>11039385</v>
      </c>
      <c r="AP741" s="1525">
        <v>1194474.69</v>
      </c>
      <c r="AQ741" s="1525"/>
      <c r="AR741" s="1525">
        <v>49558.21</v>
      </c>
      <c r="AS741" s="1525">
        <v>1244032.8999999999</v>
      </c>
      <c r="AT741" s="1525">
        <v>38042.75</v>
      </c>
      <c r="AU741" s="1525">
        <v>3423.8474999999999</v>
      </c>
      <c r="AV741" s="1525">
        <v>4632.5</v>
      </c>
      <c r="AW741" s="1526" t="s">
        <v>4874</v>
      </c>
      <c r="AX741" s="1525">
        <v>0</v>
      </c>
      <c r="AY741" s="1518">
        <v>45566</v>
      </c>
      <c r="AZ741" s="333">
        <v>27</v>
      </c>
      <c r="BA741" s="859" t="s">
        <v>776</v>
      </c>
      <c r="BB741" s="644" t="s">
        <v>777</v>
      </c>
      <c r="BC741" s="544" t="s">
        <v>116</v>
      </c>
      <c r="BD741" s="544" t="s">
        <v>115</v>
      </c>
      <c r="BE741" s="544" t="s">
        <v>778</v>
      </c>
      <c r="BF741" s="544" t="s">
        <v>779</v>
      </c>
      <c r="BG741" s="544" t="s">
        <v>115</v>
      </c>
      <c r="BH741" s="741" t="s">
        <v>780</v>
      </c>
      <c r="BI741" s="549" t="s">
        <v>709</v>
      </c>
      <c r="BJ741" s="549" t="s">
        <v>709</v>
      </c>
      <c r="BK741" s="549" t="s">
        <v>116</v>
      </c>
      <c r="BL741" s="549" t="s">
        <v>116</v>
      </c>
      <c r="BM741" s="549" t="s">
        <v>709</v>
      </c>
      <c r="BN741" s="549" t="s">
        <v>709</v>
      </c>
      <c r="BO741" s="549" t="s">
        <v>709</v>
      </c>
      <c r="BP741" s="549">
        <v>3435</v>
      </c>
      <c r="BQ741" s="549">
        <v>10</v>
      </c>
      <c r="BR741" s="549" t="s">
        <v>709</v>
      </c>
      <c r="BS741" s="549">
        <v>480</v>
      </c>
      <c r="BT741" s="549" t="s">
        <v>709</v>
      </c>
      <c r="BU741" s="549" t="s">
        <v>709</v>
      </c>
      <c r="BV741" s="549" t="s">
        <v>709</v>
      </c>
      <c r="BW741" s="549" t="s">
        <v>709</v>
      </c>
      <c r="BX741" s="549" t="s">
        <v>745</v>
      </c>
      <c r="BY741" s="549" t="s">
        <v>709</v>
      </c>
      <c r="BZ741" s="547" t="s">
        <v>709</v>
      </c>
      <c r="CA741" s="483"/>
      <c r="CB741" s="547">
        <v>737</v>
      </c>
      <c r="CC741" s="1481" t="b">
        <v>1</v>
      </c>
      <c r="CD741" t="str">
        <f>Table15[[#This Row],[Engineering Number]]&amp;Table15[[#This Row],[WO Number]]&amp;Table15[[#This Row],[Date Assigned to Designer]]&amp;Table15[[#This Row],[Date Completed]]</f>
        <v>BS45614107974452244837</v>
      </c>
    </row>
    <row r="742" spans="1:82" customFormat="1" ht="15" customHeight="1" x14ac:dyDescent="0.25">
      <c r="A742">
        <v>2022</v>
      </c>
      <c r="B742" s="8" t="s">
        <v>4</v>
      </c>
      <c r="C742" s="8" t="s">
        <v>4884</v>
      </c>
      <c r="D742" s="8" t="s">
        <v>4885</v>
      </c>
      <c r="E742" s="8" t="s">
        <v>4886</v>
      </c>
      <c r="F742" s="8" t="s">
        <v>747</v>
      </c>
      <c r="G742" s="8" t="s">
        <v>35</v>
      </c>
      <c r="H742" s="8" t="s">
        <v>59</v>
      </c>
      <c r="I742" s="642">
        <v>44628</v>
      </c>
      <c r="J742" s="18">
        <v>44869</v>
      </c>
      <c r="K742" s="97">
        <v>44838</v>
      </c>
      <c r="L742" s="16">
        <f>IF(ISTEXT(Table15[[#This Row],[Engineering Approved Design Date]]),Table15[[#This Row],[Date Completed]]-Table15[[#This Row],[Date Assigned to Designer]],Table15[[#This Row],[Engineering Approved Design Date]]-Table15[[#This Row],[Date Completed]])</f>
        <v>31</v>
      </c>
      <c r="M742" s="642" t="s">
        <v>4887</v>
      </c>
      <c r="N742" s="642" t="s">
        <v>120</v>
      </c>
      <c r="O742" s="1060">
        <v>44866</v>
      </c>
      <c r="P742" s="21" t="s">
        <v>739</v>
      </c>
      <c r="Q742" s="1061">
        <f>R742*AA742</f>
        <v>20327.959000000003</v>
      </c>
      <c r="R742" s="1026">
        <v>0.1</v>
      </c>
      <c r="S742" s="538"/>
      <c r="T742" s="538"/>
      <c r="U742" s="87"/>
      <c r="V742" s="858">
        <v>1310</v>
      </c>
      <c r="W742" s="437"/>
      <c r="X742" s="550">
        <v>165011.54999999999</v>
      </c>
      <c r="Y742" s="551"/>
      <c r="Z742" s="550">
        <v>38268.04</v>
      </c>
      <c r="AA742" s="552">
        <f>Table15[[#This Row],[PCTS Investment Amount]]+Table15[[#This Row],[PCTS Retirement Amount]]</f>
        <v>203279.59</v>
      </c>
      <c r="AB742" s="341" t="s">
        <v>29</v>
      </c>
      <c r="AC742" s="568" t="s">
        <v>709</v>
      </c>
      <c r="AD742" s="1157" t="s">
        <v>709</v>
      </c>
      <c r="AE742" s="579"/>
      <c r="AF742" s="579"/>
      <c r="AG742" s="579"/>
      <c r="AH742" s="553"/>
      <c r="AI742" s="1036"/>
      <c r="AJ742" s="1037"/>
      <c r="AK742" s="1037"/>
      <c r="AL742" s="1038"/>
      <c r="AM742" s="542" t="s">
        <v>116</v>
      </c>
      <c r="AN742" s="1508">
        <v>44847</v>
      </c>
      <c r="AO742" s="925">
        <v>11047306</v>
      </c>
      <c r="AP742" s="926">
        <v>165011.54999999999</v>
      </c>
      <c r="AQ742" s="926"/>
      <c r="AR742" s="926">
        <v>38268.04</v>
      </c>
      <c r="AS742" s="926">
        <f>IF(Table15[[#This Row],[PCTS Approved]]="N",0,Table15[[#This Row],[Investment Amount (1'#'#'#'#'#)]]+Table15[[#This Row],[Retirement Amount (3'#'#'#'#'#)]])</f>
        <v>203279.59</v>
      </c>
      <c r="AT742" s="926">
        <f>IF(Table15[[#This Row],[Approved Construction Cost]]=0,0,Table15[[#This Row],[Approved Construction Cost]]-Table15[[#This Row],[Construction Cost to Bill From]])</f>
        <v>0</v>
      </c>
      <c r="AU742" s="926">
        <f>IFERROR(Table15[[#This Row],[Difference in Construction Cost]]*Table15[[#This Row],[Rate]],Table15[[#This Row],[Difference in Construction Cost]]*0.085)</f>
        <v>0</v>
      </c>
      <c r="AV742" s="926" t="s">
        <v>709</v>
      </c>
      <c r="AW742" s="927" t="s">
        <v>4888</v>
      </c>
      <c r="AX742" s="926"/>
      <c r="AY742" s="636" t="s">
        <v>1935</v>
      </c>
      <c r="AZ742" s="1531"/>
      <c r="BA742" s="859" t="s">
        <v>4889</v>
      </c>
      <c r="BB742" s="644" t="s">
        <v>1071</v>
      </c>
      <c r="BC742" s="544" t="s">
        <v>115</v>
      </c>
      <c r="BD742" s="544" t="s">
        <v>115</v>
      </c>
      <c r="BE742" s="544" t="s">
        <v>4890</v>
      </c>
      <c r="BF742" s="544" t="s">
        <v>115</v>
      </c>
      <c r="BG742" s="544" t="s">
        <v>115</v>
      </c>
      <c r="BH742" s="741"/>
      <c r="BI742" s="547" t="s">
        <v>709</v>
      </c>
      <c r="BJ742" s="547" t="s">
        <v>709</v>
      </c>
      <c r="BK742" s="547" t="s">
        <v>709</v>
      </c>
      <c r="BL742" s="547" t="s">
        <v>116</v>
      </c>
      <c r="BM742" s="547" t="s">
        <v>709</v>
      </c>
      <c r="BN742" s="547" t="s">
        <v>709</v>
      </c>
      <c r="BO742" s="547" t="s">
        <v>709</v>
      </c>
      <c r="BP742" s="547" t="s">
        <v>709</v>
      </c>
      <c r="BQ742" s="547" t="s">
        <v>709</v>
      </c>
      <c r="BR742" s="547" t="s">
        <v>709</v>
      </c>
      <c r="BS742" s="547">
        <v>1310</v>
      </c>
      <c r="BT742" s="547" t="s">
        <v>745</v>
      </c>
      <c r="BU742" s="547" t="s">
        <v>709</v>
      </c>
      <c r="BV742" s="547" t="s">
        <v>745</v>
      </c>
      <c r="BW742" s="547" t="s">
        <v>709</v>
      </c>
      <c r="BX742" s="547" t="s">
        <v>745</v>
      </c>
      <c r="BY742" s="547" t="s">
        <v>745</v>
      </c>
      <c r="BZ742" s="547" t="s">
        <v>709</v>
      </c>
      <c r="CA742" s="483"/>
      <c r="CB742" s="547">
        <v>740</v>
      </c>
      <c r="CC742" s="1481" t="b">
        <v>1</v>
      </c>
      <c r="CD742" t="str">
        <f>Table15[[#This Row],[Engineering Number]]&amp;Table15[[#This Row],[WO Number]]&amp;Table15[[#This Row],[Date Assigned to Designer]]&amp;Table15[[#This Row],[Date Completed]]</f>
        <v>M1345712112694462844838</v>
      </c>
    </row>
    <row r="743" spans="1:82" customFormat="1" ht="15" customHeight="1" x14ac:dyDescent="0.25">
      <c r="A743">
        <v>2022</v>
      </c>
      <c r="B743" s="8" t="s">
        <v>4</v>
      </c>
      <c r="C743" s="8" t="s">
        <v>4892</v>
      </c>
      <c r="D743" s="8" t="s">
        <v>115</v>
      </c>
      <c r="E743" s="8" t="s">
        <v>354</v>
      </c>
      <c r="F743" s="8" t="s">
        <v>784</v>
      </c>
      <c r="G743" s="8" t="s">
        <v>25</v>
      </c>
      <c r="H743" s="8" t="s">
        <v>1681</v>
      </c>
      <c r="I743" s="642">
        <v>44783</v>
      </c>
      <c r="J743" s="18">
        <v>44904</v>
      </c>
      <c r="K743" s="97">
        <v>44840</v>
      </c>
      <c r="L743" s="16">
        <f>IF(ISTEXT(Table15[[#This Row],[Engineering Approved Design Date]]),Table15[[#This Row],[Date Completed]]-Table15[[#This Row],[Date Assigned to Designer]],Table15[[#This Row],[Engineering Approved Design Date]]-Table15[[#This Row],[Date Completed]])</f>
        <v>64</v>
      </c>
      <c r="M743" s="642"/>
      <c r="N743" s="642" t="s">
        <v>120</v>
      </c>
      <c r="O743" s="1025">
        <f>Table15[[#This Row],[Date Completed]]</f>
        <v>44840</v>
      </c>
      <c r="P743" s="21" t="s">
        <v>739</v>
      </c>
      <c r="Q743" s="1061" t="s">
        <v>115</v>
      </c>
      <c r="R743" s="1026" t="s">
        <v>115</v>
      </c>
      <c r="S743" s="538"/>
      <c r="T743" s="538"/>
      <c r="U743" s="87"/>
      <c r="V743" s="858"/>
      <c r="W743" s="437"/>
      <c r="X743" s="552"/>
      <c r="Y743" s="551"/>
      <c r="Z743" s="552"/>
      <c r="AA743" s="552"/>
      <c r="AB743" s="341" t="s">
        <v>29</v>
      </c>
      <c r="AC743" s="568" t="s">
        <v>709</v>
      </c>
      <c r="AD743" s="1158" t="s">
        <v>29</v>
      </c>
      <c r="AE743" s="581"/>
      <c r="AF743" s="581"/>
      <c r="AG743" s="581"/>
      <c r="AH743" s="583"/>
      <c r="AI743" s="1047"/>
      <c r="AJ743" s="1048"/>
      <c r="AK743" s="1048"/>
      <c r="AL743" s="1049"/>
      <c r="AM743" s="542" t="s">
        <v>709</v>
      </c>
      <c r="AN743" s="924"/>
      <c r="AO743" s="925"/>
      <c r="AP743" s="926"/>
      <c r="AQ743" s="926"/>
      <c r="AR743" s="926"/>
      <c r="AS743" s="926"/>
      <c r="AT743" s="926"/>
      <c r="AU743" s="926"/>
      <c r="AV743" s="926"/>
      <c r="AW743" s="927"/>
      <c r="AX743" s="926"/>
      <c r="AY743" s="1538" t="s">
        <v>29</v>
      </c>
      <c r="AZ743" s="1530"/>
      <c r="BA743" s="1031" t="s">
        <v>4893</v>
      </c>
      <c r="BB743" s="644" t="s">
        <v>986</v>
      </c>
      <c r="BC743" s="544" t="s">
        <v>116</v>
      </c>
      <c r="BD743" s="544" t="s">
        <v>743</v>
      </c>
      <c r="BE743" s="544" t="s">
        <v>588</v>
      </c>
      <c r="BF743" s="544" t="s">
        <v>588</v>
      </c>
      <c r="BG743" s="544" t="s">
        <v>115</v>
      </c>
      <c r="BH743" s="741"/>
      <c r="BI743" s="1032"/>
      <c r="BJ743" s="1032"/>
      <c r="BK743" s="1032"/>
      <c r="BL743" s="1032"/>
      <c r="BM743" s="1032"/>
      <c r="BN743" s="1032"/>
      <c r="BO743" s="1032"/>
      <c r="BP743" s="1032"/>
      <c r="BQ743" s="1032"/>
      <c r="BR743" s="1032"/>
      <c r="BS743" s="1032"/>
      <c r="BT743" s="1032"/>
      <c r="BU743" s="1032"/>
      <c r="BV743" s="547"/>
      <c r="BW743" s="1032"/>
      <c r="BX743" s="1032"/>
      <c r="BY743" s="1032"/>
      <c r="BZ743" s="1032"/>
      <c r="CA743" s="485"/>
      <c r="CB743" s="547">
        <v>741</v>
      </c>
      <c r="CC743" s="1481" t="b">
        <v>1</v>
      </c>
      <c r="CD743" t="str">
        <f>Table15[[#This Row],[Engineering Number]]&amp;Table15[[#This Row],[WO Number]]&amp;Table15[[#This Row],[Date Assigned to Designer]]&amp;Table15[[#This Row],[Date Completed]]</f>
        <v>N14207-4478344840</v>
      </c>
    </row>
    <row r="744" spans="1:82" customFormat="1" ht="15" customHeight="1" x14ac:dyDescent="0.25">
      <c r="A744">
        <v>2022</v>
      </c>
      <c r="B744" s="8" t="s">
        <v>4</v>
      </c>
      <c r="C744" s="8" t="s">
        <v>3590</v>
      </c>
      <c r="D744" s="8" t="s">
        <v>3591</v>
      </c>
      <c r="E744" s="8" t="s">
        <v>1428</v>
      </c>
      <c r="F744" s="8" t="s">
        <v>784</v>
      </c>
      <c r="G744" s="8" t="s">
        <v>23</v>
      </c>
      <c r="H744" s="8" t="s">
        <v>3178</v>
      </c>
      <c r="I744" s="642">
        <v>44834</v>
      </c>
      <c r="J744" s="175" t="s">
        <v>2052</v>
      </c>
      <c r="K744" s="97">
        <v>44840</v>
      </c>
      <c r="L744" s="16">
        <f>IF(ISTEXT(Table15[[#This Row],[Engineering Approved Design Date]]),Table15[[#This Row],[Date Completed]]-Table15[[#This Row],[Date Assigned to Designer]],Table15[[#This Row],[Engineering Approved Design Date]]-Table15[[#This Row],[Date Completed]])</f>
        <v>6</v>
      </c>
      <c r="M744" t="s">
        <v>4895</v>
      </c>
      <c r="N744" s="642" t="s">
        <v>120</v>
      </c>
      <c r="O744" s="1060">
        <v>44866</v>
      </c>
      <c r="P744" s="21" t="s">
        <v>739</v>
      </c>
      <c r="Q744" s="1151">
        <f>Table15[[#This Row],[KH Hourly Effort]]</f>
        <v>3555</v>
      </c>
      <c r="R744" s="1026" t="s">
        <v>1922</v>
      </c>
      <c r="S744" s="538"/>
      <c r="T744" s="538"/>
      <c r="U744" s="1061">
        <v>3555</v>
      </c>
      <c r="V744" s="858"/>
      <c r="W744" s="437"/>
      <c r="X744" s="538"/>
      <c r="Y744" s="551"/>
      <c r="Z744" s="538"/>
      <c r="AA744" s="552"/>
      <c r="AB744" s="341" t="s">
        <v>29</v>
      </c>
      <c r="AC744" s="569" t="s">
        <v>709</v>
      </c>
      <c r="AD744" s="1149" t="s">
        <v>29</v>
      </c>
      <c r="AE744" s="580"/>
      <c r="AF744" s="580"/>
      <c r="AG744" s="580"/>
      <c r="AH744" s="542"/>
      <c r="AI744" s="1028"/>
      <c r="AJ744" s="1029"/>
      <c r="AK744" s="1029"/>
      <c r="AL744" s="1030"/>
      <c r="AM744" s="542" t="s">
        <v>709</v>
      </c>
      <c r="AN744" s="924"/>
      <c r="AO744" s="925"/>
      <c r="AP744" s="926"/>
      <c r="AQ744" s="926"/>
      <c r="AR744" s="926"/>
      <c r="AS744" s="926"/>
      <c r="AT744" s="926"/>
      <c r="AU744" s="926"/>
      <c r="AV744" s="926"/>
      <c r="AW744" s="927"/>
      <c r="AX744" s="926"/>
      <c r="AY744" s="1538" t="s">
        <v>29</v>
      </c>
      <c r="AZ744" s="1530"/>
      <c r="BA744" s="1031">
        <v>12</v>
      </c>
      <c r="BB744" s="644"/>
      <c r="BC744" s="544"/>
      <c r="BD744" s="544"/>
      <c r="BE744" s="544"/>
      <c r="BF744" s="544"/>
      <c r="BG744" s="544"/>
      <c r="BH744" s="741"/>
      <c r="BI744" s="547" t="s">
        <v>709</v>
      </c>
      <c r="BJ744" s="547" t="s">
        <v>709</v>
      </c>
      <c r="BK744" s="547" t="s">
        <v>709</v>
      </c>
      <c r="BL744" s="547" t="s">
        <v>116</v>
      </c>
      <c r="BM744" s="547" t="s">
        <v>709</v>
      </c>
      <c r="BN744" s="547" t="s">
        <v>709</v>
      </c>
      <c r="BO744" s="547" t="s">
        <v>709</v>
      </c>
      <c r="BP744" s="547" t="s">
        <v>709</v>
      </c>
      <c r="BQ744" s="547" t="s">
        <v>709</v>
      </c>
      <c r="BR744" s="547">
        <v>793</v>
      </c>
      <c r="BS744" s="547" t="s">
        <v>709</v>
      </c>
      <c r="BT744" s="547" t="s">
        <v>709</v>
      </c>
      <c r="BU744" s="547" t="s">
        <v>709</v>
      </c>
      <c r="BV744" s="547" t="s">
        <v>745</v>
      </c>
      <c r="BW744" s="547" t="s">
        <v>709</v>
      </c>
      <c r="BX744" s="547" t="s">
        <v>745</v>
      </c>
      <c r="BY744" s="547" t="s">
        <v>745</v>
      </c>
      <c r="BZ744" s="547" t="s">
        <v>709</v>
      </c>
      <c r="CA744" s="483"/>
      <c r="CB744" s="547">
        <v>742</v>
      </c>
      <c r="CC744" s="1481" t="b">
        <v>1</v>
      </c>
      <c r="CD744" t="str">
        <f>Table15[[#This Row],[Engineering Number]]&amp;Table15[[#This Row],[WO Number]]&amp;Table15[[#This Row],[Date Assigned to Designer]]&amp;Table15[[#This Row],[Date Completed]]</f>
        <v>N1467612105114483444840</v>
      </c>
    </row>
    <row r="745" spans="1:82" customFormat="1" ht="15" customHeight="1" x14ac:dyDescent="0.25">
      <c r="A745">
        <v>2022</v>
      </c>
      <c r="B745" s="8" t="s">
        <v>2994</v>
      </c>
      <c r="C745" s="8" t="s">
        <v>4287</v>
      </c>
      <c r="D745" s="8">
        <v>3210897</v>
      </c>
      <c r="E745" s="8" t="s">
        <v>1763</v>
      </c>
      <c r="F745" s="8" t="s">
        <v>4899</v>
      </c>
      <c r="G745" s="8" t="s">
        <v>35</v>
      </c>
      <c r="H745" s="8" t="s">
        <v>4189</v>
      </c>
      <c r="I745" s="642">
        <v>44834</v>
      </c>
      <c r="J745" s="175" t="s">
        <v>2052</v>
      </c>
      <c r="K745" s="97">
        <v>44841</v>
      </c>
      <c r="L745" s="16">
        <f>IF(ISTEXT(Table15[[#This Row],[Engineering Approved Design Date]]),Table15[[#This Row],[Date Completed]]-Table15[[#This Row],[Date Assigned to Designer]],Table15[[#This Row],[Engineering Approved Design Date]]-Table15[[#This Row],[Date Completed]])</f>
        <v>7</v>
      </c>
      <c r="M745" t="s">
        <v>4900</v>
      </c>
      <c r="N745" s="642" t="s">
        <v>120</v>
      </c>
      <c r="O745" s="1060">
        <v>44866</v>
      </c>
      <c r="P745" s="21" t="s">
        <v>739</v>
      </c>
      <c r="Q745" s="300">
        <f>Table15[[#This Row],[KH Hourly Effort]]</f>
        <v>3185</v>
      </c>
      <c r="R745" s="1026" t="s">
        <v>1922</v>
      </c>
      <c r="S745" s="538"/>
      <c r="T745" s="538"/>
      <c r="U745" s="1061">
        <v>3185</v>
      </c>
      <c r="V745" s="858"/>
      <c r="W745" s="437"/>
      <c r="X745" s="538"/>
      <c r="Y745" s="551"/>
      <c r="Z745" s="538"/>
      <c r="AA745" s="552"/>
      <c r="AB745" s="341" t="s">
        <v>29</v>
      </c>
      <c r="AC745" s="569" t="s">
        <v>709</v>
      </c>
      <c r="AD745" s="1149" t="s">
        <v>709</v>
      </c>
      <c r="AE745" s="580"/>
      <c r="AF745" s="580"/>
      <c r="AG745" s="580"/>
      <c r="AH745" s="542"/>
      <c r="AI745" s="1028"/>
      <c r="AJ745" s="1029"/>
      <c r="AK745" s="1029"/>
      <c r="AL745" s="1030"/>
      <c r="AM745" s="542" t="s">
        <v>709</v>
      </c>
      <c r="AN745" s="924"/>
      <c r="AO745" s="925"/>
      <c r="AP745" s="926"/>
      <c r="AQ745" s="926"/>
      <c r="AR745" s="926"/>
      <c r="AS745" s="926"/>
      <c r="AT745" s="926"/>
      <c r="AU745" s="926"/>
      <c r="AV745" s="926"/>
      <c r="AW745" s="927"/>
      <c r="AX745" s="926"/>
      <c r="AY745" s="1538" t="s">
        <v>29</v>
      </c>
      <c r="AZ745" s="1532"/>
      <c r="BA745" s="1031">
        <v>3</v>
      </c>
      <c r="BB745" s="644" t="s">
        <v>4878</v>
      </c>
      <c r="BC745" s="544"/>
      <c r="BD745" s="544"/>
      <c r="BE745" s="544"/>
      <c r="BF745" s="544"/>
      <c r="BG745" s="544"/>
      <c r="BH745" s="741" t="s">
        <v>4901</v>
      </c>
      <c r="BI745" s="547" t="s">
        <v>709</v>
      </c>
      <c r="BJ745" s="547" t="s">
        <v>709</v>
      </c>
      <c r="BK745" s="547" t="s">
        <v>709</v>
      </c>
      <c r="BL745" s="547" t="s">
        <v>709</v>
      </c>
      <c r="BM745" s="547" t="s">
        <v>709</v>
      </c>
      <c r="BN745" s="547" t="s">
        <v>709</v>
      </c>
      <c r="BO745" s="547" t="s">
        <v>709</v>
      </c>
      <c r="BP745" s="547" t="s">
        <v>709</v>
      </c>
      <c r="BQ745" s="547" t="s">
        <v>709</v>
      </c>
      <c r="BR745" s="547" t="s">
        <v>709</v>
      </c>
      <c r="BS745" s="547" t="s">
        <v>709</v>
      </c>
      <c r="BT745" s="547" t="s">
        <v>745</v>
      </c>
      <c r="BU745" s="547" t="s">
        <v>709</v>
      </c>
      <c r="BV745" s="547">
        <v>1</v>
      </c>
      <c r="BW745" s="547" t="s">
        <v>709</v>
      </c>
      <c r="BX745" s="547" t="s">
        <v>745</v>
      </c>
      <c r="BY745" s="547" t="s">
        <v>745</v>
      </c>
      <c r="BZ745" s="547" t="s">
        <v>709</v>
      </c>
      <c r="CA745" s="483" t="s">
        <v>1146</v>
      </c>
      <c r="CB745" s="547">
        <v>745</v>
      </c>
      <c r="CC745" s="1481" t="b">
        <v>1</v>
      </c>
      <c r="CD745" t="str">
        <f>Table15[[#This Row],[Engineering Number]]&amp;Table15[[#This Row],[WO Number]]&amp;Table15[[#This Row],[Date Assigned to Designer]]&amp;Table15[[#This Row],[Date Completed]]</f>
        <v>MR184032108974483444841</v>
      </c>
    </row>
    <row r="746" spans="1:82" customFormat="1" ht="15" customHeight="1" x14ac:dyDescent="0.25">
      <c r="A746">
        <v>2022</v>
      </c>
      <c r="B746" s="8" t="s">
        <v>4</v>
      </c>
      <c r="C746" s="8" t="s">
        <v>244</v>
      </c>
      <c r="D746" s="8" t="s">
        <v>4903</v>
      </c>
      <c r="E746" s="8" t="s">
        <v>245</v>
      </c>
      <c r="F746" s="8" t="s">
        <v>784</v>
      </c>
      <c r="G746" s="8" t="s">
        <v>35</v>
      </c>
      <c r="H746" s="8" t="s">
        <v>59</v>
      </c>
      <c r="I746" s="642">
        <v>44732</v>
      </c>
      <c r="J746" s="18">
        <v>44848</v>
      </c>
      <c r="K746" s="97">
        <v>44841</v>
      </c>
      <c r="L746" s="16">
        <f>IF(ISTEXT(Table15[[#This Row],[Engineering Approved Design Date]]),Table15[[#This Row],[Date Completed]]-Table15[[#This Row],[Date Assigned to Designer]],Table15[[#This Row],[Engineering Approved Design Date]]-Table15[[#This Row],[Date Completed]])</f>
        <v>7</v>
      </c>
      <c r="M746" s="642"/>
      <c r="N746" s="642" t="s">
        <v>120</v>
      </c>
      <c r="O746" s="1060">
        <v>44866</v>
      </c>
      <c r="P746" s="21" t="s">
        <v>739</v>
      </c>
      <c r="Q746" s="1061">
        <f>R746*AA746</f>
        <v>142620.01200000002</v>
      </c>
      <c r="R746" s="1026">
        <v>0.1</v>
      </c>
      <c r="S746" s="538"/>
      <c r="T746" s="538"/>
      <c r="U746" s="87"/>
      <c r="V746" s="858">
        <f>2204+287</f>
        <v>2491</v>
      </c>
      <c r="W746" s="437"/>
      <c r="X746" s="570">
        <v>1373684.03</v>
      </c>
      <c r="Y746" s="551"/>
      <c r="Z746" s="570">
        <v>52516.09</v>
      </c>
      <c r="AA746" s="552">
        <f>Table15[[#This Row],[PCTS Investment Amount]]+Table15[[#This Row],[PCTS Retirement Amount]]</f>
        <v>1426200.12</v>
      </c>
      <c r="AB746" s="341">
        <v>44851</v>
      </c>
      <c r="AC746" s="568" t="s">
        <v>116</v>
      </c>
      <c r="AD746" s="1157" t="s">
        <v>29</v>
      </c>
      <c r="AE746" s="579"/>
      <c r="AF746" s="579"/>
      <c r="AG746" s="579"/>
      <c r="AH746" s="553"/>
      <c r="AI746" s="1036"/>
      <c r="AJ746" s="1037"/>
      <c r="AK746" s="1037"/>
      <c r="AL746" s="1038"/>
      <c r="AM746" s="1522" t="s">
        <v>116</v>
      </c>
      <c r="AN746" s="1523">
        <v>45000</v>
      </c>
      <c r="AO746" s="1524">
        <v>11049643</v>
      </c>
      <c r="AP746" s="1525">
        <v>1375154.93</v>
      </c>
      <c r="AQ746" s="1525"/>
      <c r="AR746" s="1525">
        <v>52516.09</v>
      </c>
      <c r="AS746" s="1525">
        <f>IF(Table15[[#This Row],[PCTS Approved]]="N",0,Table15[[#This Row],[Investment Amount (1'#'#'#'#'#)]]+Table15[[#This Row],[Retirement Amount (3'#'#'#'#'#)]])</f>
        <v>1427671.02</v>
      </c>
      <c r="AT746" s="1525">
        <f>IF(Table15[[#This Row],[Approved Construction Cost]]=0,0,Table15[[#This Row],[Approved Construction Cost]]-Table15[[#This Row],[Construction Cost to Bill From]])</f>
        <v>1470.8999999999069</v>
      </c>
      <c r="AU746" s="1525">
        <f>IFERROR(Table15[[#This Row],[Difference in Construction Cost]]*Table15[[#This Row],[Rate]],Table15[[#This Row],[Difference in Construction Cost]]*0.085)</f>
        <v>147.08999999999068</v>
      </c>
      <c r="AV746" s="1525" t="s">
        <v>709</v>
      </c>
      <c r="AW746" s="1526" t="s">
        <v>4904</v>
      </c>
      <c r="AX746" s="1525">
        <v>147.08999999999068</v>
      </c>
      <c r="AY746" s="1518">
        <v>45200</v>
      </c>
      <c r="AZ746" s="333"/>
      <c r="BA746" s="859" t="s">
        <v>4905</v>
      </c>
      <c r="BB746" s="644" t="s">
        <v>1027</v>
      </c>
      <c r="BC746" s="544" t="s">
        <v>4906</v>
      </c>
      <c r="BD746" s="544" t="s">
        <v>115</v>
      </c>
      <c r="BE746" s="544" t="s">
        <v>1028</v>
      </c>
      <c r="BF746" s="544" t="s">
        <v>115</v>
      </c>
      <c r="BG746" s="544" t="s">
        <v>4907</v>
      </c>
      <c r="BH746" s="741"/>
      <c r="BI746" s="547" t="s">
        <v>709</v>
      </c>
      <c r="BJ746" s="547" t="s">
        <v>709</v>
      </c>
      <c r="BK746" s="547" t="s">
        <v>116</v>
      </c>
      <c r="BL746" s="547" t="s">
        <v>116</v>
      </c>
      <c r="BM746" s="547" t="s">
        <v>709</v>
      </c>
      <c r="BN746" s="547">
        <v>287</v>
      </c>
      <c r="BO746" s="547" t="s">
        <v>709</v>
      </c>
      <c r="BP746" s="547">
        <v>2206</v>
      </c>
      <c r="BQ746" s="547" t="s">
        <v>709</v>
      </c>
      <c r="BR746" s="547" t="s">
        <v>709</v>
      </c>
      <c r="BS746" s="547" t="s">
        <v>709</v>
      </c>
      <c r="BT746" s="547" t="s">
        <v>745</v>
      </c>
      <c r="BU746" s="547" t="s">
        <v>709</v>
      </c>
      <c r="BV746" s="547" t="s">
        <v>745</v>
      </c>
      <c r="BW746" s="547" t="s">
        <v>709</v>
      </c>
      <c r="BX746" s="547" t="s">
        <v>745</v>
      </c>
      <c r="BY746" s="547" t="s">
        <v>745</v>
      </c>
      <c r="BZ746" s="547" t="s">
        <v>709</v>
      </c>
      <c r="CA746" s="483"/>
      <c r="CB746" s="547">
        <v>744</v>
      </c>
      <c r="CC746" s="1481" t="b">
        <v>1</v>
      </c>
      <c r="CD746" t="str">
        <f>Table15[[#This Row],[Engineering Number]]&amp;Table15[[#This Row],[WO Number]]&amp;Table15[[#This Row],[Date Assigned to Designer]]&amp;Table15[[#This Row],[Date Completed]]</f>
        <v>N1580912116384473244841</v>
      </c>
    </row>
    <row r="747" spans="1:82" customFormat="1" ht="15" customHeight="1" x14ac:dyDescent="0.25">
      <c r="A747">
        <v>2021</v>
      </c>
      <c r="B747" s="8" t="s">
        <v>771</v>
      </c>
      <c r="C747" s="8" t="s">
        <v>3782</v>
      </c>
      <c r="D747" s="8">
        <v>1210389</v>
      </c>
      <c r="E747" s="8" t="s">
        <v>3643</v>
      </c>
      <c r="F747" s="8" t="s">
        <v>747</v>
      </c>
      <c r="G747" s="8" t="s">
        <v>36</v>
      </c>
      <c r="H747" s="8" t="s">
        <v>4189</v>
      </c>
      <c r="I747" s="642">
        <v>44678</v>
      </c>
      <c r="J747" s="175" t="s">
        <v>2052</v>
      </c>
      <c r="K747" s="97">
        <v>44841</v>
      </c>
      <c r="L747" s="16">
        <f>IF(ISTEXT(Table15[[#This Row],[Engineering Approved Design Date]]),Table15[[#This Row],[Date Completed]]-Table15[[#This Row],[Date Assigned to Designer]],Table15[[#This Row],[Engineering Approved Design Date]]-Table15[[#This Row],[Date Completed]])</f>
        <v>163</v>
      </c>
      <c r="M747" t="s">
        <v>4897</v>
      </c>
      <c r="N747" s="642" t="s">
        <v>120</v>
      </c>
      <c r="O747" s="1060">
        <v>44866</v>
      </c>
      <c r="P747" s="21" t="s">
        <v>120</v>
      </c>
      <c r="Q747" s="300">
        <f>Table15[[#This Row],[KH Hourly Effort]]</f>
        <v>10480</v>
      </c>
      <c r="R747" s="1026" t="s">
        <v>1922</v>
      </c>
      <c r="S747" s="538"/>
      <c r="T747" s="538"/>
      <c r="U747" s="1061">
        <v>10480</v>
      </c>
      <c r="V747" s="858"/>
      <c r="W747" s="437"/>
      <c r="X747" s="538"/>
      <c r="Y747" s="551"/>
      <c r="Z747" s="538"/>
      <c r="AA747" s="552"/>
      <c r="AB747" s="341" t="s">
        <v>29</v>
      </c>
      <c r="AC747" s="569"/>
      <c r="AD747" s="1149" t="s">
        <v>116</v>
      </c>
      <c r="AE747" s="569"/>
      <c r="AF747" s="569"/>
      <c r="AG747" s="569"/>
      <c r="AH747" s="536"/>
      <c r="AI747" s="1028"/>
      <c r="AJ747" s="1029"/>
      <c r="AK747" s="1029"/>
      <c r="AL747" s="1030"/>
      <c r="AM747" s="542" t="s">
        <v>709</v>
      </c>
      <c r="AN747" s="924"/>
      <c r="AO747" s="925"/>
      <c r="AP747" s="926"/>
      <c r="AQ747" s="926"/>
      <c r="AR747" s="926"/>
      <c r="AS747" s="926"/>
      <c r="AT747" s="926"/>
      <c r="AU747" s="926"/>
      <c r="AV747" s="926"/>
      <c r="AW747" s="927"/>
      <c r="AX747" s="926"/>
      <c r="AY747" s="1538" t="s">
        <v>29</v>
      </c>
      <c r="AZ747" s="1530"/>
      <c r="BA747" s="1031">
        <v>3</v>
      </c>
      <c r="BB747" s="644" t="s">
        <v>4878</v>
      </c>
      <c r="BC747" s="544"/>
      <c r="BD747" s="544"/>
      <c r="BE747" s="544"/>
      <c r="BF747" s="544"/>
      <c r="BG747" s="544"/>
      <c r="BH747" s="741"/>
      <c r="BI747" s="547" t="s">
        <v>709</v>
      </c>
      <c r="BJ747" s="547" t="s">
        <v>709</v>
      </c>
      <c r="BK747" s="547" t="s">
        <v>709</v>
      </c>
      <c r="BL747" s="547" t="s">
        <v>116</v>
      </c>
      <c r="BM747" s="547" t="s">
        <v>709</v>
      </c>
      <c r="BN747" s="547" t="s">
        <v>709</v>
      </c>
      <c r="BO747" s="547" t="s">
        <v>709</v>
      </c>
      <c r="BP747" s="547" t="s">
        <v>709</v>
      </c>
      <c r="BQ747" s="547">
        <v>114</v>
      </c>
      <c r="BR747" s="547">
        <v>6596</v>
      </c>
      <c r="BS747" s="547">
        <v>10450</v>
      </c>
      <c r="BT747" s="547" t="s">
        <v>745</v>
      </c>
      <c r="BU747" s="547" t="s">
        <v>709</v>
      </c>
      <c r="BV747" s="547" t="s">
        <v>745</v>
      </c>
      <c r="BW747" s="547" t="s">
        <v>709</v>
      </c>
      <c r="BX747" s="547" t="s">
        <v>745</v>
      </c>
      <c r="BY747" s="547" t="s">
        <v>745</v>
      </c>
      <c r="BZ747" s="547" t="s">
        <v>709</v>
      </c>
      <c r="CA747" s="483"/>
      <c r="CB747" s="547">
        <v>743</v>
      </c>
      <c r="CC747" s="1481" t="b">
        <v>1</v>
      </c>
      <c r="CD747" t="str">
        <f>Table15[[#This Row],[Engineering Number]]&amp;Table15[[#This Row],[WO Number]]&amp;Table15[[#This Row],[Date Assigned to Designer]]&amp;Table15[[#This Row],[Date Completed]]</f>
        <v>VW12212103894467844841</v>
      </c>
    </row>
    <row r="748" spans="1:82" customFormat="1" ht="15" customHeight="1" x14ac:dyDescent="0.25">
      <c r="A748">
        <v>2022</v>
      </c>
      <c r="B748" s="8" t="s">
        <v>769</v>
      </c>
      <c r="C748" s="8" t="s">
        <v>4911</v>
      </c>
      <c r="D748" s="8" t="s">
        <v>115</v>
      </c>
      <c r="E748" s="8" t="s">
        <v>887</v>
      </c>
      <c r="F748" s="8" t="s">
        <v>784</v>
      </c>
      <c r="G748" s="8" t="s">
        <v>24</v>
      </c>
      <c r="H748" s="8" t="s">
        <v>59</v>
      </c>
      <c r="I748" s="642">
        <v>44756</v>
      </c>
      <c r="J748" s="175">
        <v>44848</v>
      </c>
      <c r="K748" s="97">
        <v>44848</v>
      </c>
      <c r="L748" s="16">
        <f>IF(ISTEXT(Table15[[#This Row],[Engineering Approved Design Date]]),Table15[[#This Row],[Date Completed]]-Table15[[#This Row],[Date Assigned to Designer]],Table15[[#This Row],[Engineering Approved Design Date]]-Table15[[#This Row],[Date Completed]])</f>
        <v>0</v>
      </c>
      <c r="N748" s="642" t="s">
        <v>120</v>
      </c>
      <c r="O748" s="1060">
        <v>44866</v>
      </c>
      <c r="P748" s="21" t="s">
        <v>739</v>
      </c>
      <c r="Q748" s="300">
        <f>Table15[[#This Row],[KH Hourly Effort]]</f>
        <v>21990</v>
      </c>
      <c r="R748" s="1026" t="s">
        <v>1922</v>
      </c>
      <c r="S748" s="538"/>
      <c r="T748" s="538"/>
      <c r="U748" s="1061">
        <v>21990</v>
      </c>
      <c r="V748" s="858"/>
      <c r="W748" s="437"/>
      <c r="X748" s="538"/>
      <c r="Y748" s="551"/>
      <c r="Z748" s="538"/>
      <c r="AA748" s="552"/>
      <c r="AB748" s="341" t="s">
        <v>29</v>
      </c>
      <c r="AC748" s="569" t="s">
        <v>709</v>
      </c>
      <c r="AD748" s="1149"/>
      <c r="AE748" s="580"/>
      <c r="AF748" s="580"/>
      <c r="AG748" s="580"/>
      <c r="AH748" s="542"/>
      <c r="AI748" s="1028"/>
      <c r="AJ748" s="1029"/>
      <c r="AK748" s="1029"/>
      <c r="AL748" s="1030"/>
      <c r="AM748" s="542" t="s">
        <v>709</v>
      </c>
      <c r="AN748" s="924"/>
      <c r="AO748" s="925"/>
      <c r="AP748" s="926"/>
      <c r="AQ748" s="926"/>
      <c r="AR748" s="926"/>
      <c r="AS748" s="926"/>
      <c r="AT748" s="926"/>
      <c r="AU748" s="926"/>
      <c r="AV748" s="926"/>
      <c r="AW748" s="927"/>
      <c r="AX748" s="926"/>
      <c r="AY748" s="1538" t="s">
        <v>29</v>
      </c>
      <c r="AZ748" s="1530"/>
      <c r="BA748" s="1062">
        <v>4</v>
      </c>
      <c r="BB748" s="644" t="s">
        <v>1078</v>
      </c>
      <c r="BC748" s="544" t="s">
        <v>115</v>
      </c>
      <c r="BD748" s="544" t="s">
        <v>115</v>
      </c>
      <c r="BE748" s="544" t="s">
        <v>115</v>
      </c>
      <c r="BF748" s="544" t="s">
        <v>115</v>
      </c>
      <c r="BG748" s="544" t="s">
        <v>1078</v>
      </c>
      <c r="BH748" s="741"/>
      <c r="BI748" s="547" t="s">
        <v>709</v>
      </c>
      <c r="BJ748" s="547" t="s">
        <v>709</v>
      </c>
      <c r="BK748" s="547" t="s">
        <v>709</v>
      </c>
      <c r="BL748" s="547" t="s">
        <v>709</v>
      </c>
      <c r="BM748" s="547" t="s">
        <v>709</v>
      </c>
      <c r="BN748" s="547" t="s">
        <v>709</v>
      </c>
      <c r="BO748" s="547" t="s">
        <v>709</v>
      </c>
      <c r="BP748" s="547" t="s">
        <v>709</v>
      </c>
      <c r="BQ748" s="547" t="s">
        <v>709</v>
      </c>
      <c r="BR748" s="547" t="s">
        <v>709</v>
      </c>
      <c r="BS748" s="547" t="s">
        <v>709</v>
      </c>
      <c r="BT748" s="547" t="s">
        <v>745</v>
      </c>
      <c r="BU748" s="547" t="s">
        <v>709</v>
      </c>
      <c r="BV748" s="547" t="s">
        <v>745</v>
      </c>
      <c r="BW748" s="547" t="s">
        <v>709</v>
      </c>
      <c r="BX748" s="547" t="s">
        <v>745</v>
      </c>
      <c r="BY748" s="547">
        <v>1</v>
      </c>
      <c r="BZ748" s="547" t="s">
        <v>709</v>
      </c>
      <c r="CA748" s="483" t="s">
        <v>4912</v>
      </c>
      <c r="CB748" s="547">
        <v>746</v>
      </c>
      <c r="CC748" s="1481" t="b">
        <v>1</v>
      </c>
      <c r="CD748" t="str">
        <f>Table15[[#This Row],[Engineering Number]]&amp;Table15[[#This Row],[WO Number]]&amp;Table15[[#This Row],[Date Assigned to Designer]]&amp;Table15[[#This Row],[Date Completed]]</f>
        <v>RS962-4475644848</v>
      </c>
    </row>
    <row r="749" spans="1:82" customFormat="1" ht="15" customHeight="1" x14ac:dyDescent="0.25">
      <c r="A749">
        <v>2021</v>
      </c>
      <c r="B749" s="8" t="s">
        <v>4</v>
      </c>
      <c r="C749" s="8" t="s">
        <v>213</v>
      </c>
      <c r="D749" s="8">
        <v>140862</v>
      </c>
      <c r="E749" s="8" t="s">
        <v>141</v>
      </c>
      <c r="F749" s="8" t="s">
        <v>747</v>
      </c>
      <c r="G749" s="8" t="s">
        <v>25</v>
      </c>
      <c r="H749" s="8" t="s">
        <v>4001</v>
      </c>
      <c r="I749" s="642">
        <v>44838</v>
      </c>
      <c r="J749" s="175" t="s">
        <v>2958</v>
      </c>
      <c r="K749" s="97">
        <v>44848</v>
      </c>
      <c r="L749" s="16">
        <f>IF(ISTEXT(Table15[[#This Row],[Engineering Approved Design Date]]),Table15[[#This Row],[Date Completed]]-Table15[[#This Row],[Date Assigned to Designer]],Table15[[#This Row],[Engineering Approved Design Date]]-Table15[[#This Row],[Date Completed]])</f>
        <v>10</v>
      </c>
      <c r="M749" t="s">
        <v>4356</v>
      </c>
      <c r="N749" s="99" t="s">
        <v>120</v>
      </c>
      <c r="O749" s="1060">
        <v>44866</v>
      </c>
      <c r="P749" s="21" t="s">
        <v>739</v>
      </c>
      <c r="Q749" s="1151">
        <f>Table15[[#This Row],[KH Hourly Effort]]</f>
        <v>9420</v>
      </c>
      <c r="R749" s="1026" t="s">
        <v>1922</v>
      </c>
      <c r="S749" s="538"/>
      <c r="T749" s="538"/>
      <c r="U749" s="1061">
        <v>9420</v>
      </c>
      <c r="V749" s="858"/>
      <c r="W749" s="437"/>
      <c r="X749" s="538"/>
      <c r="Y749" s="551"/>
      <c r="Z749" s="538"/>
      <c r="AA749" s="552"/>
      <c r="AB749" s="341" t="s">
        <v>29</v>
      </c>
      <c r="AC749" s="569"/>
      <c r="AD749" s="1149" t="s">
        <v>116</v>
      </c>
      <c r="AE749" s="580"/>
      <c r="AF749" s="580"/>
      <c r="AG749" s="580"/>
      <c r="AH749" s="542"/>
      <c r="AI749" s="1028"/>
      <c r="AJ749" s="1029"/>
      <c r="AK749" s="1029"/>
      <c r="AL749" s="1030"/>
      <c r="AM749" s="542" t="s">
        <v>709</v>
      </c>
      <c r="AN749" s="924"/>
      <c r="AO749" s="925"/>
      <c r="AP749" s="926"/>
      <c r="AQ749" s="926"/>
      <c r="AR749" s="926"/>
      <c r="AS749" s="926"/>
      <c r="AT749" s="926"/>
      <c r="AU749" s="926"/>
      <c r="AV749" s="926"/>
      <c r="AW749" s="927"/>
      <c r="AX749" s="926"/>
      <c r="AY749" s="1538" t="s">
        <v>29</v>
      </c>
      <c r="AZ749" s="1530"/>
      <c r="BA749" s="1031">
        <v>1</v>
      </c>
      <c r="BB749" s="644" t="s">
        <v>4909</v>
      </c>
      <c r="BC749" s="544"/>
      <c r="BD749" s="544"/>
      <c r="BE749" s="544"/>
      <c r="BF749" s="544"/>
      <c r="BG749" s="544"/>
      <c r="BH749" s="741" t="s">
        <v>29</v>
      </c>
      <c r="BI749" s="547" t="s">
        <v>709</v>
      </c>
      <c r="BJ749" s="547" t="s">
        <v>709</v>
      </c>
      <c r="BK749" s="547" t="s">
        <v>709</v>
      </c>
      <c r="BL749" s="547" t="s">
        <v>116</v>
      </c>
      <c r="BM749" s="547" t="s">
        <v>709</v>
      </c>
      <c r="BN749" s="547" t="s">
        <v>709</v>
      </c>
      <c r="BO749" s="547" t="s">
        <v>709</v>
      </c>
      <c r="BP749" s="547">
        <v>2695</v>
      </c>
      <c r="BQ749" s="547">
        <v>173</v>
      </c>
      <c r="BR749" s="547">
        <v>12</v>
      </c>
      <c r="BS749" s="547">
        <v>1066</v>
      </c>
      <c r="BT749" s="547" t="s">
        <v>745</v>
      </c>
      <c r="BU749" s="547" t="s">
        <v>709</v>
      </c>
      <c r="BV749" s="547" t="s">
        <v>745</v>
      </c>
      <c r="BW749" s="547" t="s">
        <v>709</v>
      </c>
      <c r="BX749" s="547" t="s">
        <v>745</v>
      </c>
      <c r="BY749" s="547" t="s">
        <v>745</v>
      </c>
      <c r="BZ749" s="547" t="s">
        <v>709</v>
      </c>
      <c r="CA749" s="483"/>
      <c r="CB749" s="547">
        <v>747</v>
      </c>
      <c r="CC749" s="1481" t="b">
        <v>1</v>
      </c>
      <c r="CD749" t="str">
        <f>Table15[[#This Row],[Engineering Number]]&amp;Table15[[#This Row],[WO Number]]&amp;Table15[[#This Row],[Date Assigned to Designer]]&amp;Table15[[#This Row],[Date Completed]]</f>
        <v>SC170611408624483844848</v>
      </c>
    </row>
    <row r="750" spans="1:82" customFormat="1" ht="15" customHeight="1" x14ac:dyDescent="0.25">
      <c r="A750">
        <v>2022</v>
      </c>
      <c r="B750" s="8" t="s">
        <v>1073</v>
      </c>
      <c r="C750" s="8" t="s">
        <v>4780</v>
      </c>
      <c r="D750" s="8">
        <v>1611434</v>
      </c>
      <c r="E750" s="8" t="s">
        <v>4246</v>
      </c>
      <c r="F750" s="8" t="s">
        <v>784</v>
      </c>
      <c r="G750" s="8" t="s">
        <v>23</v>
      </c>
      <c r="H750" s="8" t="s">
        <v>4189</v>
      </c>
      <c r="I750" s="642">
        <v>44844</v>
      </c>
      <c r="J750" s="175" t="s">
        <v>2052</v>
      </c>
      <c r="K750" s="97">
        <v>44851</v>
      </c>
      <c r="L750" s="16">
        <f>IF(ISTEXT(Table15[[#This Row],[Engineering Approved Design Date]]),Table15[[#This Row],[Date Completed]]-Table15[[#This Row],[Date Assigned to Designer]],Table15[[#This Row],[Engineering Approved Design Date]]-Table15[[#This Row],[Date Completed]])</f>
        <v>7</v>
      </c>
      <c r="M750" t="s">
        <v>4914</v>
      </c>
      <c r="N750" s="642" t="s">
        <v>120</v>
      </c>
      <c r="O750" s="1025">
        <v>44866</v>
      </c>
      <c r="P750" s="21" t="s">
        <v>739</v>
      </c>
      <c r="Q750" s="300">
        <f>Table15[[#This Row],[KH Hourly Effort]]</f>
        <v>8905</v>
      </c>
      <c r="R750" s="1026" t="s">
        <v>1922</v>
      </c>
      <c r="S750" s="538"/>
      <c r="T750" s="538"/>
      <c r="U750" s="1061">
        <v>8905</v>
      </c>
      <c r="V750" s="858"/>
      <c r="W750" s="437"/>
      <c r="X750" s="538"/>
      <c r="Y750" s="551"/>
      <c r="Z750" s="538"/>
      <c r="AA750" s="552"/>
      <c r="AB750" s="341" t="s">
        <v>29</v>
      </c>
      <c r="AC750" s="569"/>
      <c r="AD750" s="1149" t="s">
        <v>116</v>
      </c>
      <c r="AE750" s="569"/>
      <c r="AF750" s="569"/>
      <c r="AG750" s="569"/>
      <c r="AH750" s="536"/>
      <c r="AI750" s="1028"/>
      <c r="AJ750" s="1029"/>
      <c r="AK750" s="1029"/>
      <c r="AL750" s="1030"/>
      <c r="AM750" s="542" t="s">
        <v>709</v>
      </c>
      <c r="AN750" s="924"/>
      <c r="AO750" s="925"/>
      <c r="AP750" s="926"/>
      <c r="AQ750" s="926"/>
      <c r="AR750" s="926"/>
      <c r="AS750" s="926"/>
      <c r="AT750" s="926"/>
      <c r="AU750" s="926"/>
      <c r="AV750" s="926"/>
      <c r="AW750" s="927"/>
      <c r="AX750" s="926"/>
      <c r="AY750" s="1538" t="s">
        <v>29</v>
      </c>
      <c r="AZ750" s="1530"/>
      <c r="BA750" s="1063">
        <v>3</v>
      </c>
      <c r="BB750" s="644"/>
      <c r="BC750" s="544"/>
      <c r="BD750" s="544"/>
      <c r="BE750" s="544"/>
      <c r="BF750" s="544"/>
      <c r="BG750" s="544"/>
      <c r="BH750" s="741"/>
      <c r="BI750" s="547" t="s">
        <v>709</v>
      </c>
      <c r="BJ750" s="547" t="s">
        <v>709</v>
      </c>
      <c r="BK750" s="547" t="s">
        <v>709</v>
      </c>
      <c r="BL750" s="547" t="s">
        <v>116</v>
      </c>
      <c r="BM750" s="547" t="s">
        <v>709</v>
      </c>
      <c r="BN750" s="547" t="s">
        <v>709</v>
      </c>
      <c r="BO750" s="547" t="s">
        <v>709</v>
      </c>
      <c r="BP750" s="547">
        <v>245</v>
      </c>
      <c r="BQ750" s="547">
        <v>5519</v>
      </c>
      <c r="BR750" s="547">
        <v>3143</v>
      </c>
      <c r="BS750" s="547" t="s">
        <v>709</v>
      </c>
      <c r="BT750" s="547" t="s">
        <v>745</v>
      </c>
      <c r="BU750" s="547" t="s">
        <v>709</v>
      </c>
      <c r="BV750" s="547" t="s">
        <v>745</v>
      </c>
      <c r="BW750" s="547" t="s">
        <v>709</v>
      </c>
      <c r="BX750" s="547" t="s">
        <v>745</v>
      </c>
      <c r="BY750" s="547" t="s">
        <v>745</v>
      </c>
      <c r="BZ750" s="547" t="s">
        <v>709</v>
      </c>
      <c r="CA750" s="483"/>
      <c r="CB750" s="547">
        <v>748</v>
      </c>
      <c r="CC750" s="1481" t="b">
        <v>1</v>
      </c>
      <c r="CD750" t="str">
        <f>Table15[[#This Row],[Engineering Number]]&amp;Table15[[#This Row],[WO Number]]&amp;Table15[[#This Row],[Date Assigned to Designer]]&amp;Table15[[#This Row],[Date Completed]]</f>
        <v>NBA1000664316114344484444851</v>
      </c>
    </row>
    <row r="751" spans="1:82" customFormat="1" ht="15" customHeight="1" x14ac:dyDescent="0.25">
      <c r="A751">
        <v>2022</v>
      </c>
      <c r="B751" s="8" t="s">
        <v>4</v>
      </c>
      <c r="C751" s="8" t="s">
        <v>4916</v>
      </c>
      <c r="D751" s="8" t="s">
        <v>4917</v>
      </c>
      <c r="E751" s="8" t="s">
        <v>2298</v>
      </c>
      <c r="F751" s="8" t="s">
        <v>747</v>
      </c>
      <c r="G751" s="8" t="s">
        <v>35</v>
      </c>
      <c r="H751" s="8" t="s">
        <v>59</v>
      </c>
      <c r="I751" s="642">
        <v>44666</v>
      </c>
      <c r="J751" s="18">
        <v>44862</v>
      </c>
      <c r="K751" s="97">
        <v>44852</v>
      </c>
      <c r="L751" s="16">
        <f>IF(ISTEXT(Table15[[#This Row],[Engineering Approved Design Date]]),Table15[[#This Row],[Date Completed]]-Table15[[#This Row],[Date Assigned to Designer]],Table15[[#This Row],[Engineering Approved Design Date]]-Table15[[#This Row],[Date Completed]])</f>
        <v>10</v>
      </c>
      <c r="M751" s="642"/>
      <c r="N751" s="642" t="s">
        <v>120</v>
      </c>
      <c r="O751" s="1060">
        <v>44866</v>
      </c>
      <c r="P751" s="21" t="s">
        <v>739</v>
      </c>
      <c r="Q751" s="1061">
        <f>R751*AA751</f>
        <v>3962.2627000000002</v>
      </c>
      <c r="R751" s="1026">
        <v>0.1</v>
      </c>
      <c r="S751" s="538"/>
      <c r="T751" s="538"/>
      <c r="U751" s="87"/>
      <c r="V751" s="858">
        <v>0</v>
      </c>
      <c r="W751" s="437"/>
      <c r="X751" s="552">
        <v>0</v>
      </c>
      <c r="Y751" s="551"/>
      <c r="Z751" s="561">
        <v>39622.627</v>
      </c>
      <c r="AA751" s="552">
        <f>Table15[[#This Row],[PCTS Investment Amount]]+Table15[[#This Row],[PCTS Retirement Amount]]</f>
        <v>39622.627</v>
      </c>
      <c r="AB751" s="341" t="s">
        <v>29</v>
      </c>
      <c r="AC751" s="568" t="s">
        <v>709</v>
      </c>
      <c r="AD751" s="1157" t="s">
        <v>709</v>
      </c>
      <c r="AE751" s="579"/>
      <c r="AF751" s="579"/>
      <c r="AG751" s="569"/>
      <c r="AH751" s="553"/>
      <c r="AI751" s="1036"/>
      <c r="AJ751" s="1037"/>
      <c r="AK751" s="1037"/>
      <c r="AL751" s="1038"/>
      <c r="AM751" s="1522" t="s">
        <v>116</v>
      </c>
      <c r="AN751" s="1523">
        <v>44854</v>
      </c>
      <c r="AO751" s="1524">
        <v>11047816</v>
      </c>
      <c r="AP751" s="1525">
        <v>0</v>
      </c>
      <c r="AQ751" s="1525">
        <v>17246.37</v>
      </c>
      <c r="AR751" s="1525">
        <v>17246.37</v>
      </c>
      <c r="AS751" s="1525">
        <f>IF(Table15[[#This Row],[PCTS Approved]]="N",0,Table15[[#This Row],[Investment Amount (1'#'#'#'#'#)]]+Table15[[#This Row],[Retirement Amount (3'#'#'#'#'#)]])</f>
        <v>17246.37</v>
      </c>
      <c r="AT751" s="1525">
        <f>IF(Table15[[#This Row],[Approved Construction Cost]]=0,0,Table15[[#This Row],[Approved Construction Cost]]-Table15[[#This Row],[Construction Cost to Bill From]])</f>
        <v>-22376.257000000001</v>
      </c>
      <c r="AU751" s="1525">
        <f>IFERROR(Table15[[#This Row],[Difference in Construction Cost]]*Table15[[#This Row],[Rate]],Table15[[#This Row],[Difference in Construction Cost]]*0.085)</f>
        <v>-2237.6257000000001</v>
      </c>
      <c r="AV751" s="1525" t="s">
        <v>709</v>
      </c>
      <c r="AW751" s="1526" t="s">
        <v>4918</v>
      </c>
      <c r="AX751" s="1525">
        <v>0</v>
      </c>
      <c r="AY751" s="1518">
        <v>45008</v>
      </c>
      <c r="AZ751" s="333"/>
      <c r="BA751" s="1062" t="s">
        <v>4919</v>
      </c>
      <c r="BB751" s="644" t="s">
        <v>1071</v>
      </c>
      <c r="BC751" s="544" t="s">
        <v>116</v>
      </c>
      <c r="BD751" s="544" t="s">
        <v>882</v>
      </c>
      <c r="BE751" s="544" t="s">
        <v>3119</v>
      </c>
      <c r="BF751" s="544" t="s">
        <v>115</v>
      </c>
      <c r="BG751" s="544" t="s">
        <v>115</v>
      </c>
      <c r="BH751" s="741"/>
      <c r="BI751" s="547" t="s">
        <v>709</v>
      </c>
      <c r="BJ751" s="547" t="s">
        <v>709</v>
      </c>
      <c r="BK751" s="547" t="s">
        <v>709</v>
      </c>
      <c r="BL751" s="547" t="s">
        <v>709</v>
      </c>
      <c r="BM751" s="547" t="s">
        <v>709</v>
      </c>
      <c r="BN751" s="547" t="s">
        <v>709</v>
      </c>
      <c r="BO751" s="547" t="s">
        <v>709</v>
      </c>
      <c r="BP751" s="547" t="s">
        <v>709</v>
      </c>
      <c r="BQ751" s="547" t="s">
        <v>709</v>
      </c>
      <c r="BR751" s="547" t="s">
        <v>709</v>
      </c>
      <c r="BS751" s="547" t="s">
        <v>709</v>
      </c>
      <c r="BT751" s="547" t="s">
        <v>745</v>
      </c>
      <c r="BU751" s="547" t="s">
        <v>709</v>
      </c>
      <c r="BV751" s="547" t="s">
        <v>745</v>
      </c>
      <c r="BW751" s="547" t="s">
        <v>709</v>
      </c>
      <c r="BX751" s="547" t="s">
        <v>745</v>
      </c>
      <c r="BY751" s="547" t="s">
        <v>745</v>
      </c>
      <c r="BZ751" s="547" t="s">
        <v>709</v>
      </c>
      <c r="CA751" s="483" t="s">
        <v>1146</v>
      </c>
      <c r="CB751" s="547">
        <v>749</v>
      </c>
      <c r="CC751" s="1481" t="b">
        <v>1</v>
      </c>
      <c r="CD751" t="str">
        <f>Table15[[#This Row],[Engineering Number]]&amp;Table15[[#This Row],[WO Number]]&amp;Table15[[#This Row],[Date Assigned to Designer]]&amp;Table15[[#This Row],[Date Completed]]</f>
        <v>M1356032116994466644852</v>
      </c>
    </row>
    <row r="752" spans="1:82" customFormat="1" ht="15" customHeight="1" x14ac:dyDescent="0.25">
      <c r="A752">
        <v>2022</v>
      </c>
      <c r="B752" s="8" t="s">
        <v>4</v>
      </c>
      <c r="C752" s="8" t="s">
        <v>1357</v>
      </c>
      <c r="D752" s="8" t="s">
        <v>1358</v>
      </c>
      <c r="E752" s="8" t="s">
        <v>958</v>
      </c>
      <c r="F752" s="8" t="s">
        <v>784</v>
      </c>
      <c r="G752" s="8" t="s">
        <v>35</v>
      </c>
      <c r="H752" s="8" t="s">
        <v>59</v>
      </c>
      <c r="I752" s="642">
        <v>44774</v>
      </c>
      <c r="J752" s="18">
        <v>44862</v>
      </c>
      <c r="K752" s="97">
        <v>44852</v>
      </c>
      <c r="L752" s="16">
        <f>IF(ISTEXT(Table15[[#This Row],[Engineering Approved Design Date]]),Table15[[#This Row],[Date Completed]]-Table15[[#This Row],[Date Assigned to Designer]],Table15[[#This Row],[Engineering Approved Design Date]]-Table15[[#This Row],[Date Completed]])</f>
        <v>10</v>
      </c>
      <c r="M752" s="642"/>
      <c r="N752" s="642" t="s">
        <v>120</v>
      </c>
      <c r="O752" s="1060">
        <v>44896</v>
      </c>
      <c r="P752" s="21" t="s">
        <v>739</v>
      </c>
      <c r="Q752" s="1061">
        <f>R752*AA752</f>
        <v>77940.687000000005</v>
      </c>
      <c r="R752" s="1026">
        <v>0.1</v>
      </c>
      <c r="S752" s="538"/>
      <c r="T752" s="538"/>
      <c r="U752" s="87"/>
      <c r="V752" s="858">
        <f>1052+1889</f>
        <v>2941</v>
      </c>
      <c r="W752" s="437"/>
      <c r="X752" s="570">
        <v>747426.32</v>
      </c>
      <c r="Y752" s="551"/>
      <c r="Z752" s="570">
        <v>31980.55</v>
      </c>
      <c r="AA752" s="552">
        <f>Table15[[#This Row],[PCTS Investment Amount]]+Table15[[#This Row],[PCTS Retirement Amount]]</f>
        <v>779406.87</v>
      </c>
      <c r="AB752" s="341">
        <v>44886</v>
      </c>
      <c r="AC752" s="568" t="s">
        <v>709</v>
      </c>
      <c r="AD752" s="1157" t="s">
        <v>709</v>
      </c>
      <c r="AE752" s="579"/>
      <c r="AF752" s="579"/>
      <c r="AG752" s="579"/>
      <c r="AH752" s="553"/>
      <c r="AI752" s="1036"/>
      <c r="AJ752" s="1037"/>
      <c r="AK752" s="1037"/>
      <c r="AL752" s="1038"/>
      <c r="AM752" s="536" t="s">
        <v>116</v>
      </c>
      <c r="AN752" s="903" t="s">
        <v>709</v>
      </c>
      <c r="AO752" s="1536" t="s">
        <v>115</v>
      </c>
      <c r="AP752" s="1537"/>
      <c r="AQ752" s="1537"/>
      <c r="AR752" s="1537"/>
      <c r="AS752" s="888">
        <f>IF(Table15[[#This Row],[PCTS Approved]]="N",0,Table15[[#This Row],[Investment Amount (1'#'#'#'#'#)]]+Table15[[#This Row],[Retirement Amount (3'#'#'#'#'#)]])</f>
        <v>0</v>
      </c>
      <c r="AT752" s="888">
        <f>IF(Table15[[#This Row],[Approved Construction Cost]]=0,0,Table15[[#This Row],[Approved Construction Cost]]-Table15[[#This Row],[Construction Cost to Bill From]])</f>
        <v>0</v>
      </c>
      <c r="AU752" s="888">
        <f>IFERROR(Table15[[#This Row],[Difference in Construction Cost]]*Table15[[#This Row],[Rate]],Table15[[#This Row],[Difference in Construction Cost]]*0.085)</f>
        <v>0</v>
      </c>
      <c r="AV752" s="905"/>
      <c r="AW752" s="1509"/>
      <c r="AX752" s="888"/>
      <c r="AY752" s="636" t="s">
        <v>709</v>
      </c>
      <c r="AZ752" s="333">
        <v>72</v>
      </c>
      <c r="BA752" s="1063">
        <v>7</v>
      </c>
      <c r="BB752" s="650" t="s">
        <v>1359</v>
      </c>
      <c r="BC752" s="544" t="s">
        <v>116</v>
      </c>
      <c r="BD752" s="544" t="s">
        <v>115</v>
      </c>
      <c r="BE752" s="544" t="s">
        <v>592</v>
      </c>
      <c r="BF752" s="544" t="s">
        <v>115</v>
      </c>
      <c r="BG752" s="544" t="s">
        <v>115</v>
      </c>
      <c r="BH752" s="741"/>
      <c r="BI752" s="547" t="s">
        <v>709</v>
      </c>
      <c r="BJ752" s="547" t="s">
        <v>709</v>
      </c>
      <c r="BK752" s="547" t="s">
        <v>709</v>
      </c>
      <c r="BL752" s="547" t="s">
        <v>116</v>
      </c>
      <c r="BM752" s="547" t="s">
        <v>709</v>
      </c>
      <c r="BN752" s="547" t="s">
        <v>709</v>
      </c>
      <c r="BO752" s="547" t="s">
        <v>709</v>
      </c>
      <c r="BP752" s="547" t="s">
        <v>709</v>
      </c>
      <c r="BQ752" s="547" t="s">
        <v>709</v>
      </c>
      <c r="BR752" s="547">
        <v>1889</v>
      </c>
      <c r="BS752" s="547">
        <v>1052</v>
      </c>
      <c r="BT752" s="547" t="s">
        <v>745</v>
      </c>
      <c r="BU752" s="547" t="s">
        <v>709</v>
      </c>
      <c r="BV752" s="547" t="s">
        <v>745</v>
      </c>
      <c r="BW752" s="547" t="s">
        <v>709</v>
      </c>
      <c r="BX752" s="547" t="s">
        <v>745</v>
      </c>
      <c r="BY752" s="547" t="s">
        <v>745</v>
      </c>
      <c r="BZ752" s="547" t="s">
        <v>709</v>
      </c>
      <c r="CA752" s="483"/>
      <c r="CB752" s="547">
        <v>750</v>
      </c>
      <c r="CC752" s="1481" t="b">
        <v>1</v>
      </c>
      <c r="CD752" t="str">
        <f>Table15[[#This Row],[Engineering Number]]&amp;Table15[[#This Row],[WO Number]]&amp;Table15[[#This Row],[Date Assigned to Designer]]&amp;Table15[[#This Row],[Date Completed]]</f>
        <v>N1221912116884477444852</v>
      </c>
    </row>
    <row r="753" spans="1:82" customFormat="1" ht="15" customHeight="1" x14ac:dyDescent="0.25">
      <c r="A753">
        <v>2022</v>
      </c>
      <c r="B753" s="8" t="s">
        <v>771</v>
      </c>
      <c r="C753" s="8" t="s">
        <v>258</v>
      </c>
      <c r="D753" s="8">
        <v>1211334</v>
      </c>
      <c r="E753" s="8" t="s">
        <v>259</v>
      </c>
      <c r="F753" s="8" t="s">
        <v>784</v>
      </c>
      <c r="G753" s="8" t="s">
        <v>36</v>
      </c>
      <c r="H753" s="8" t="s">
        <v>4001</v>
      </c>
      <c r="I753" s="642">
        <v>44839</v>
      </c>
      <c r="J753" s="175" t="s">
        <v>2052</v>
      </c>
      <c r="K753" s="97">
        <v>44853</v>
      </c>
      <c r="L753" s="16">
        <f>IF(ISTEXT(Table15[[#This Row],[Engineering Approved Design Date]]),Table15[[#This Row],[Date Completed]]-Table15[[#This Row],[Date Assigned to Designer]],Table15[[#This Row],[Engineering Approved Design Date]]-Table15[[#This Row],[Date Completed]])</f>
        <v>14</v>
      </c>
      <c r="M753" t="s">
        <v>4926</v>
      </c>
      <c r="N753" s="642" t="s">
        <v>120</v>
      </c>
      <c r="O753" s="1025">
        <v>44866</v>
      </c>
      <c r="P753" s="21" t="s">
        <v>120</v>
      </c>
      <c r="Q753" s="300">
        <f>Table15[[#This Row],[KH Hourly Effort]]</f>
        <v>6152.5</v>
      </c>
      <c r="R753" s="1026" t="s">
        <v>1922</v>
      </c>
      <c r="S753" s="538"/>
      <c r="T753" s="538"/>
      <c r="U753" s="1061">
        <v>6152.5</v>
      </c>
      <c r="V753" s="858"/>
      <c r="W753" s="437"/>
      <c r="X753" s="538"/>
      <c r="Y753" s="551"/>
      <c r="Z753" s="538"/>
      <c r="AA753" s="552"/>
      <c r="AB753" s="341" t="s">
        <v>29</v>
      </c>
      <c r="AC753" s="569"/>
      <c r="AD753" s="1149" t="s">
        <v>116</v>
      </c>
      <c r="AE753" s="569"/>
      <c r="AF753" s="569"/>
      <c r="AG753" s="569"/>
      <c r="AH753" s="536"/>
      <c r="AI753" s="1028"/>
      <c r="AJ753" s="1029"/>
      <c r="AK753" s="1029"/>
      <c r="AL753" s="1030"/>
      <c r="AM753" s="542" t="s">
        <v>709</v>
      </c>
      <c r="AN753" s="924"/>
      <c r="AO753" s="925"/>
      <c r="AP753" s="926"/>
      <c r="AQ753" s="926"/>
      <c r="AR753" s="926"/>
      <c r="AS753" s="926"/>
      <c r="AT753" s="926"/>
      <c r="AU753" s="926"/>
      <c r="AV753" s="926"/>
      <c r="AW753" s="927"/>
      <c r="AX753" s="926"/>
      <c r="AY753" s="1538" t="s">
        <v>29</v>
      </c>
      <c r="AZ753" s="1530"/>
      <c r="BA753" s="1031">
        <v>2</v>
      </c>
      <c r="BB753" s="644" t="s">
        <v>4927</v>
      </c>
      <c r="BC753" s="544"/>
      <c r="BD753" s="544"/>
      <c r="BE753" s="544"/>
      <c r="BF753" s="544"/>
      <c r="BG753" s="544"/>
      <c r="BH753" s="741"/>
      <c r="BI753" s="547" t="s">
        <v>709</v>
      </c>
      <c r="BJ753" s="547" t="s">
        <v>709</v>
      </c>
      <c r="BK753" s="547" t="s">
        <v>709</v>
      </c>
      <c r="BL753" s="547" t="s">
        <v>116</v>
      </c>
      <c r="BM753" s="547" t="s">
        <v>709</v>
      </c>
      <c r="BN753" s="547" t="s">
        <v>709</v>
      </c>
      <c r="BO753" s="547" t="s">
        <v>709</v>
      </c>
      <c r="BP753" s="547">
        <v>2794</v>
      </c>
      <c r="BQ753" s="547" t="s">
        <v>709</v>
      </c>
      <c r="BR753" s="547">
        <v>688</v>
      </c>
      <c r="BS753" s="547">
        <v>4161</v>
      </c>
      <c r="BT753" s="547" t="s">
        <v>745</v>
      </c>
      <c r="BU753" s="547" t="s">
        <v>709</v>
      </c>
      <c r="BV753" s="547" t="s">
        <v>745</v>
      </c>
      <c r="BW753" s="547" t="s">
        <v>709</v>
      </c>
      <c r="BX753" s="547" t="s">
        <v>745</v>
      </c>
      <c r="BY753" s="547" t="s">
        <v>745</v>
      </c>
      <c r="BZ753" s="547" t="s">
        <v>709</v>
      </c>
      <c r="CA753" s="483"/>
      <c r="CB753" s="547">
        <v>751</v>
      </c>
      <c r="CC753" s="1481" t="b">
        <v>1</v>
      </c>
      <c r="CD753" t="str">
        <f>Table15[[#This Row],[Engineering Number]]&amp;Table15[[#This Row],[WO Number]]&amp;Table15[[#This Row],[Date Assigned to Designer]]&amp;Table15[[#This Row],[Date Completed]]</f>
        <v>BS38112113344483944853</v>
      </c>
    </row>
    <row r="754" spans="1:82" customFormat="1" ht="15" customHeight="1" x14ac:dyDescent="0.25">
      <c r="A754">
        <v>2022</v>
      </c>
      <c r="B754" s="8" t="s">
        <v>1981</v>
      </c>
      <c r="C754" s="8" t="s">
        <v>2527</v>
      </c>
      <c r="D754" s="8" t="s">
        <v>115</v>
      </c>
      <c r="E754" s="8" t="s">
        <v>4922</v>
      </c>
      <c r="F754" s="8" t="s">
        <v>747</v>
      </c>
      <c r="G754" s="8" t="s">
        <v>32</v>
      </c>
      <c r="H754" s="8" t="s">
        <v>3178</v>
      </c>
      <c r="I754" s="642">
        <v>44804</v>
      </c>
      <c r="J754" s="175" t="s">
        <v>2052</v>
      </c>
      <c r="K754" s="97">
        <v>44853</v>
      </c>
      <c r="L754" s="16">
        <f>IF(ISTEXT(Table15[[#This Row],[Engineering Approved Design Date]]),Table15[[#This Row],[Date Completed]]-Table15[[#This Row],[Date Assigned to Designer]],Table15[[#This Row],[Engineering Approved Design Date]]-Table15[[#This Row],[Date Completed]])</f>
        <v>49</v>
      </c>
      <c r="M754" t="s">
        <v>4923</v>
      </c>
      <c r="N754" s="642" t="s">
        <v>120</v>
      </c>
      <c r="O754" s="1025">
        <v>44866</v>
      </c>
      <c r="P754" s="21" t="s">
        <v>739</v>
      </c>
      <c r="Q754" s="300">
        <f>Table15[[#This Row],[KH Hourly Effort]]</f>
        <v>12822.5</v>
      </c>
      <c r="R754" s="1026" t="s">
        <v>1922</v>
      </c>
      <c r="S754" s="538"/>
      <c r="T754" s="538"/>
      <c r="U754" s="1061">
        <v>12822.5</v>
      </c>
      <c r="V754" s="858"/>
      <c r="W754" s="437"/>
      <c r="X754" s="538"/>
      <c r="Y754" s="551"/>
      <c r="Z754" s="538"/>
      <c r="AA754" s="552"/>
      <c r="AB754" s="341" t="s">
        <v>29</v>
      </c>
      <c r="AC754" s="569" t="s">
        <v>709</v>
      </c>
      <c r="AD754" s="1149" t="s">
        <v>116</v>
      </c>
      <c r="AE754" s="580"/>
      <c r="AF754" s="580"/>
      <c r="AG754" s="580"/>
      <c r="AH754" s="542"/>
      <c r="AI754" s="1028"/>
      <c r="AJ754" s="1029"/>
      <c r="AK754" s="1029"/>
      <c r="AL754" s="1030"/>
      <c r="AM754" s="542" t="s">
        <v>709</v>
      </c>
      <c r="AN754" s="924"/>
      <c r="AO754" s="925"/>
      <c r="AP754" s="926"/>
      <c r="AQ754" s="926"/>
      <c r="AR754" s="926"/>
      <c r="AS754" s="926"/>
      <c r="AT754" s="926"/>
      <c r="AU754" s="926"/>
      <c r="AV754" s="926"/>
      <c r="AW754" s="927"/>
      <c r="AX754" s="926"/>
      <c r="AY754" s="1538" t="s">
        <v>29</v>
      </c>
      <c r="AZ754" s="1530"/>
      <c r="BA754" s="1031">
        <v>2</v>
      </c>
      <c r="BB754" s="644" t="s">
        <v>4924</v>
      </c>
      <c r="BC754" s="544"/>
      <c r="BD754" s="544"/>
      <c r="BE754" s="544"/>
      <c r="BF754" s="544"/>
      <c r="BG754" s="544"/>
      <c r="BH754" s="741"/>
      <c r="BI754" s="547" t="s">
        <v>709</v>
      </c>
      <c r="BJ754" s="547" t="s">
        <v>709</v>
      </c>
      <c r="BK754" s="547" t="s">
        <v>709</v>
      </c>
      <c r="BL754" s="547" t="s">
        <v>709</v>
      </c>
      <c r="BM754" s="547">
        <v>0</v>
      </c>
      <c r="BN754" s="549">
        <v>0</v>
      </c>
      <c r="BO754" s="547">
        <v>0</v>
      </c>
      <c r="BP754" s="547">
        <v>0</v>
      </c>
      <c r="BQ754" s="547">
        <v>0</v>
      </c>
      <c r="BR754" s="547">
        <v>0</v>
      </c>
      <c r="BS754" s="547">
        <v>0</v>
      </c>
      <c r="BT754" s="547">
        <v>0</v>
      </c>
      <c r="BU754" s="547">
        <v>0</v>
      </c>
      <c r="BV754" s="547">
        <v>0</v>
      </c>
      <c r="BW754" s="547">
        <v>0</v>
      </c>
      <c r="BX754" s="547">
        <v>0</v>
      </c>
      <c r="BY754" s="547">
        <v>0</v>
      </c>
      <c r="BZ754" s="547" t="s">
        <v>709</v>
      </c>
      <c r="CA754" s="483" t="s">
        <v>2531</v>
      </c>
      <c r="CB754" s="547">
        <v>754</v>
      </c>
      <c r="CC754" s="1481" t="b">
        <v>1</v>
      </c>
      <c r="CD754" t="str">
        <f>Table15[[#This Row],[Engineering Number]]&amp;Table15[[#This Row],[WO Number]]&amp;Table15[[#This Row],[Date Assigned to Designer]]&amp;Table15[[#This Row],[Date Completed]]</f>
        <v>COR435-4480444853</v>
      </c>
    </row>
    <row r="755" spans="1:82" customFormat="1" ht="15" customHeight="1" x14ac:dyDescent="0.25">
      <c r="A755">
        <v>2022</v>
      </c>
      <c r="B755" s="8" t="s">
        <v>4</v>
      </c>
      <c r="C755" s="8" t="s">
        <v>4929</v>
      </c>
      <c r="D755" s="8" t="s">
        <v>4930</v>
      </c>
      <c r="E755" s="8" t="s">
        <v>232</v>
      </c>
      <c r="F755" s="8" t="s">
        <v>747</v>
      </c>
      <c r="G755" s="8" t="s">
        <v>23</v>
      </c>
      <c r="H755" s="8" t="s">
        <v>59</v>
      </c>
      <c r="I755" s="642">
        <v>44788</v>
      </c>
      <c r="J755" s="18">
        <v>44865</v>
      </c>
      <c r="K755" s="97">
        <v>44853</v>
      </c>
      <c r="L755" s="16">
        <f>IF(ISTEXT(Table15[[#This Row],[Engineering Approved Design Date]]),Table15[[#This Row],[Date Completed]]-Table15[[#This Row],[Date Assigned to Designer]],Table15[[#This Row],[Engineering Approved Design Date]]-Table15[[#This Row],[Date Completed]])</f>
        <v>12</v>
      </c>
      <c r="M755" s="642"/>
      <c r="N755" s="642" t="s">
        <v>120</v>
      </c>
      <c r="O755" s="1060">
        <v>44866</v>
      </c>
      <c r="P755" s="21" t="s">
        <v>739</v>
      </c>
      <c r="Q755" s="1061">
        <f t="shared" ref="Q755:Q760" si="12">R755*AA755</f>
        <v>26261.4202</v>
      </c>
      <c r="R755" s="1026">
        <v>0.1</v>
      </c>
      <c r="S755" s="538"/>
      <c r="T755" s="538"/>
      <c r="U755" s="87"/>
      <c r="V755" s="858">
        <v>682</v>
      </c>
      <c r="W755" s="437"/>
      <c r="X755" s="570">
        <v>232819.27</v>
      </c>
      <c r="Y755" s="551"/>
      <c r="Z755" s="552">
        <v>29794.932000000001</v>
      </c>
      <c r="AA755" s="552">
        <f>Table15[[#This Row],[PCTS Investment Amount]]+Table15[[#This Row],[PCTS Retirement Amount]]</f>
        <v>262614.20199999999</v>
      </c>
      <c r="AB755" s="341">
        <v>44861</v>
      </c>
      <c r="AC755" s="568" t="s">
        <v>709</v>
      </c>
      <c r="AD755" s="1157" t="s">
        <v>29</v>
      </c>
      <c r="AE755" s="579"/>
      <c r="AF755" s="579"/>
      <c r="AG755" s="579"/>
      <c r="AH755" s="553"/>
      <c r="AI755" s="1036"/>
      <c r="AJ755" s="1037"/>
      <c r="AK755" s="1037"/>
      <c r="AL755" s="1038"/>
      <c r="AM755" s="1522" t="s">
        <v>116</v>
      </c>
      <c r="AN755" s="1523">
        <v>44903</v>
      </c>
      <c r="AO755" s="1524">
        <v>11050414</v>
      </c>
      <c r="AP755" s="1525">
        <v>233193.41</v>
      </c>
      <c r="AQ755" s="1525"/>
      <c r="AR755" s="1525">
        <v>29794.93</v>
      </c>
      <c r="AS755" s="1525">
        <f>IF(Table15[[#This Row],[PCTS Approved]]="N",0,Table15[[#This Row],[Investment Amount (1'#'#'#'#'#)]]+Table15[[#This Row],[Retirement Amount (3'#'#'#'#'#)]])</f>
        <v>262988.34000000003</v>
      </c>
      <c r="AT755" s="1525">
        <f>IF(Table15[[#This Row],[Approved Construction Cost]]=0,0,Table15[[#This Row],[Approved Construction Cost]]-Table15[[#This Row],[Construction Cost to Bill From]])</f>
        <v>374.13800000003539</v>
      </c>
      <c r="AU755" s="1525">
        <f>IFERROR(Table15[[#This Row],[Difference in Construction Cost]]*Table15[[#This Row],[Rate]],Table15[[#This Row],[Difference in Construction Cost]]*0.085)</f>
        <v>37.41380000000354</v>
      </c>
      <c r="AV755" s="1525" t="s">
        <v>709</v>
      </c>
      <c r="AW755" s="1526"/>
      <c r="AX755" s="1525">
        <f>Table15[[#This Row],[Reconcile Amount]]</f>
        <v>37.41380000000354</v>
      </c>
      <c r="AY755" s="1518">
        <v>45008</v>
      </c>
      <c r="AZ755" s="333"/>
      <c r="BA755" s="1031" t="s">
        <v>4931</v>
      </c>
      <c r="BB755" s="644" t="s">
        <v>1045</v>
      </c>
      <c r="BC755" s="544" t="s">
        <v>115</v>
      </c>
      <c r="BD755" s="544" t="s">
        <v>115</v>
      </c>
      <c r="BE755" s="544" t="s">
        <v>595</v>
      </c>
      <c r="BF755" s="544" t="s">
        <v>115</v>
      </c>
      <c r="BG755" s="544" t="s">
        <v>115</v>
      </c>
      <c r="BH755" s="741"/>
      <c r="BI755" s="547" t="s">
        <v>709</v>
      </c>
      <c r="BJ755" s="547" t="s">
        <v>709</v>
      </c>
      <c r="BK755" s="547" t="s">
        <v>709</v>
      </c>
      <c r="BL755" s="547" t="s">
        <v>116</v>
      </c>
      <c r="BM755" s="547" t="s">
        <v>709</v>
      </c>
      <c r="BN755" s="547" t="s">
        <v>709</v>
      </c>
      <c r="BO755" s="547" t="s">
        <v>709</v>
      </c>
      <c r="BP755" s="547" t="s">
        <v>709</v>
      </c>
      <c r="BQ755" s="547">
        <v>682</v>
      </c>
      <c r="BR755" s="547" t="s">
        <v>709</v>
      </c>
      <c r="BS755" s="547" t="s">
        <v>709</v>
      </c>
      <c r="BT755" s="547" t="s">
        <v>745</v>
      </c>
      <c r="BU755" s="547" t="s">
        <v>709</v>
      </c>
      <c r="BV755" s="547" t="s">
        <v>745</v>
      </c>
      <c r="BW755" s="547" t="s">
        <v>709</v>
      </c>
      <c r="BX755" s="547" t="s">
        <v>745</v>
      </c>
      <c r="BY755" s="547" t="s">
        <v>745</v>
      </c>
      <c r="BZ755" s="547" t="s">
        <v>709</v>
      </c>
      <c r="CA755" s="483"/>
      <c r="CB755" s="547">
        <v>752</v>
      </c>
      <c r="CC755" s="1481" t="b">
        <v>1</v>
      </c>
      <c r="CD755" t="str">
        <f>Table15[[#This Row],[Engineering Number]]&amp;Table15[[#This Row],[WO Number]]&amp;Table15[[#This Row],[Date Assigned to Designer]]&amp;Table15[[#This Row],[Date Completed]]</f>
        <v>SC1955814117114478844853</v>
      </c>
    </row>
    <row r="756" spans="1:82" customFormat="1" ht="15" customHeight="1" x14ac:dyDescent="0.25">
      <c r="A756">
        <v>2022</v>
      </c>
      <c r="B756" s="8" t="s">
        <v>4</v>
      </c>
      <c r="C756" s="8" t="s">
        <v>4933</v>
      </c>
      <c r="D756" s="8" t="s">
        <v>4934</v>
      </c>
      <c r="E756" s="8" t="s">
        <v>1920</v>
      </c>
      <c r="F756" s="8" t="s">
        <v>747</v>
      </c>
      <c r="G756" s="8" t="s">
        <v>27</v>
      </c>
      <c r="H756" s="8" t="s">
        <v>59</v>
      </c>
      <c r="I756" s="642">
        <v>44756</v>
      </c>
      <c r="J756" s="18">
        <v>44866</v>
      </c>
      <c r="K756" s="97">
        <v>44853</v>
      </c>
      <c r="L756" s="16">
        <f>IF(ISTEXT(Table15[[#This Row],[Engineering Approved Design Date]]),Table15[[#This Row],[Date Completed]]-Table15[[#This Row],[Date Assigned to Designer]],Table15[[#This Row],[Engineering Approved Design Date]]-Table15[[#This Row],[Date Completed]])</f>
        <v>13</v>
      </c>
      <c r="M756" s="642"/>
      <c r="N756" s="642" t="s">
        <v>120</v>
      </c>
      <c r="O756" s="1060">
        <v>44866</v>
      </c>
      <c r="P756" s="21" t="s">
        <v>739</v>
      </c>
      <c r="Q756" s="1061">
        <f t="shared" si="12"/>
        <v>23827.620000000003</v>
      </c>
      <c r="R756" s="1026">
        <v>0.1</v>
      </c>
      <c r="S756" s="538"/>
      <c r="T756" s="538"/>
      <c r="U756" s="87"/>
      <c r="V756" s="858">
        <v>650</v>
      </c>
      <c r="W756" s="437"/>
      <c r="X756" s="570">
        <v>221682.03</v>
      </c>
      <c r="Y756" s="551"/>
      <c r="Z756" s="570">
        <v>16594.169999999998</v>
      </c>
      <c r="AA756" s="552">
        <f>Table15[[#This Row],[PCTS Investment Amount]]+Table15[[#This Row],[PCTS Retirement Amount]]</f>
        <v>238276.2</v>
      </c>
      <c r="AB756" s="341">
        <v>44865</v>
      </c>
      <c r="AC756" s="568" t="s">
        <v>709</v>
      </c>
      <c r="AD756" s="1157" t="s">
        <v>29</v>
      </c>
      <c r="AE756" s="579"/>
      <c r="AF756" s="579"/>
      <c r="AG756" s="579"/>
      <c r="AH756" s="553"/>
      <c r="AI756" s="1036"/>
      <c r="AJ756" s="1037"/>
      <c r="AK756" s="1037"/>
      <c r="AL756" s="1038"/>
      <c r="AM756" s="1522" t="s">
        <v>116</v>
      </c>
      <c r="AN756" s="1523">
        <v>44915</v>
      </c>
      <c r="AO756" s="1524">
        <v>11050999</v>
      </c>
      <c r="AP756" s="1525">
        <v>182078.99</v>
      </c>
      <c r="AQ756" s="1525"/>
      <c r="AR756" s="1525">
        <v>16594.169999999998</v>
      </c>
      <c r="AS756" s="1525">
        <f>IF(Table15[[#This Row],[PCTS Approved]]="N",0,Table15[[#This Row],[Investment Amount (1'#'#'#'#'#)]]+Table15[[#This Row],[Retirement Amount (3'#'#'#'#'#)]])</f>
        <v>198673.15999999997</v>
      </c>
      <c r="AT756" s="1525">
        <f>IF(Table15[[#This Row],[Approved Construction Cost]]=0,0,Table15[[#This Row],[Approved Construction Cost]]-Table15[[#This Row],[Construction Cost to Bill From]])</f>
        <v>-39603.040000000037</v>
      </c>
      <c r="AU756" s="1525">
        <f>IFERROR(Table15[[#This Row],[Difference in Construction Cost]]*Table15[[#This Row],[Rate]],Table15[[#This Row],[Difference in Construction Cost]]*0.085)</f>
        <v>-3960.3040000000037</v>
      </c>
      <c r="AV756" s="1525" t="s">
        <v>709</v>
      </c>
      <c r="AW756" s="1526" t="s">
        <v>4935</v>
      </c>
      <c r="AX756" s="1525">
        <f>Table15[[#This Row],[Reconcile Amount]]</f>
        <v>-3960.3040000000037</v>
      </c>
      <c r="AY756" s="1518">
        <v>45008</v>
      </c>
      <c r="AZ756" s="333"/>
      <c r="BA756" s="1031" t="s">
        <v>4936</v>
      </c>
      <c r="BB756" s="644" t="s">
        <v>4937</v>
      </c>
      <c r="BC756" s="544" t="s">
        <v>115</v>
      </c>
      <c r="BD756" s="544" t="s">
        <v>115</v>
      </c>
      <c r="BE756" s="544" t="s">
        <v>4937</v>
      </c>
      <c r="BF756" s="544" t="s">
        <v>115</v>
      </c>
      <c r="BG756" s="544" t="s">
        <v>115</v>
      </c>
      <c r="BH756" s="741"/>
      <c r="BI756" s="547" t="s">
        <v>709</v>
      </c>
      <c r="BJ756" s="547" t="s">
        <v>709</v>
      </c>
      <c r="BK756" s="547" t="s">
        <v>709</v>
      </c>
      <c r="BL756" s="547" t="s">
        <v>116</v>
      </c>
      <c r="BM756" s="547" t="s">
        <v>709</v>
      </c>
      <c r="BN756" s="547" t="s">
        <v>709</v>
      </c>
      <c r="BO756" s="547" t="s">
        <v>709</v>
      </c>
      <c r="BP756" s="547" t="s">
        <v>709</v>
      </c>
      <c r="BQ756" s="547" t="s">
        <v>709</v>
      </c>
      <c r="BR756" s="547" t="s">
        <v>709</v>
      </c>
      <c r="BS756" s="547">
        <v>650</v>
      </c>
      <c r="BT756" s="547" t="s">
        <v>745</v>
      </c>
      <c r="BU756" s="547" t="s">
        <v>709</v>
      </c>
      <c r="BV756" s="547" t="s">
        <v>745</v>
      </c>
      <c r="BW756" s="547" t="s">
        <v>709</v>
      </c>
      <c r="BX756" s="547" t="s">
        <v>745</v>
      </c>
      <c r="BY756" s="547" t="s">
        <v>745</v>
      </c>
      <c r="BZ756" s="547" t="s">
        <v>709</v>
      </c>
      <c r="CA756" s="483"/>
      <c r="CB756" s="547">
        <v>753</v>
      </c>
      <c r="CC756" s="1481" t="b">
        <v>1</v>
      </c>
      <c r="CD756" t="str">
        <f>Table15[[#This Row],[Engineering Number]]&amp;Table15[[#This Row],[WO Number]]&amp;Table15[[#This Row],[Date Assigned to Designer]]&amp;Table15[[#This Row],[Date Completed]]</f>
        <v>SC2043512117444475644853</v>
      </c>
    </row>
    <row r="757" spans="1:82" customFormat="1" ht="15" customHeight="1" x14ac:dyDescent="0.25">
      <c r="A757">
        <v>2022</v>
      </c>
      <c r="B757" s="8" t="s">
        <v>1205</v>
      </c>
      <c r="C757" s="8" t="s">
        <v>268</v>
      </c>
      <c r="D757" s="8" t="s">
        <v>4939</v>
      </c>
      <c r="E757" s="8" t="s">
        <v>111</v>
      </c>
      <c r="F757" s="8" t="s">
        <v>784</v>
      </c>
      <c r="G757" s="8" t="s">
        <v>32</v>
      </c>
      <c r="H757" s="8" t="s">
        <v>59</v>
      </c>
      <c r="I757" s="642">
        <v>44817</v>
      </c>
      <c r="J757" s="18">
        <v>44859</v>
      </c>
      <c r="K757" s="97">
        <v>44858</v>
      </c>
      <c r="L757" s="16">
        <f>IF(ISTEXT(Table15[[#This Row],[Engineering Approved Design Date]]),Table15[[#This Row],[Date Completed]]-Table15[[#This Row],[Date Assigned to Designer]],Table15[[#This Row],[Engineering Approved Design Date]]-Table15[[#This Row],[Date Completed]])</f>
        <v>1</v>
      </c>
      <c r="M757" s="642"/>
      <c r="N757" s="642" t="s">
        <v>120</v>
      </c>
      <c r="O757" s="1060">
        <v>44896</v>
      </c>
      <c r="P757" s="21" t="s">
        <v>739</v>
      </c>
      <c r="Q757" s="1061">
        <f t="shared" si="12"/>
        <v>17452.165499999999</v>
      </c>
      <c r="R757" s="1026">
        <v>0.09</v>
      </c>
      <c r="S757" s="538"/>
      <c r="T757" s="538"/>
      <c r="U757" s="87"/>
      <c r="V757" s="858">
        <v>338</v>
      </c>
      <c r="W757" s="437"/>
      <c r="X757" s="570">
        <v>171924.63</v>
      </c>
      <c r="Y757" s="551"/>
      <c r="Z757" s="570">
        <v>21988.32</v>
      </c>
      <c r="AA757" s="552">
        <f>Table15[[#This Row],[PCTS Investment Amount]]+Table15[[#This Row],[PCTS Retirement Amount]]</f>
        <v>193912.95</v>
      </c>
      <c r="AB757" s="341">
        <v>44893</v>
      </c>
      <c r="AC757" s="568" t="s">
        <v>1516</v>
      </c>
      <c r="AD757" s="1157" t="s">
        <v>709</v>
      </c>
      <c r="AE757" s="568"/>
      <c r="AF757" s="568"/>
      <c r="AG757" s="568"/>
      <c r="AH757" s="183"/>
      <c r="AI757" s="1036"/>
      <c r="AJ757" s="1037"/>
      <c r="AK757" s="1037"/>
      <c r="AL757" s="1038"/>
      <c r="AM757" s="1522" t="s">
        <v>116</v>
      </c>
      <c r="AN757" s="1523">
        <v>44978</v>
      </c>
      <c r="AO757" s="1524">
        <v>11054255</v>
      </c>
      <c r="AP757" s="1525">
        <v>180638.53</v>
      </c>
      <c r="AQ757" s="1525"/>
      <c r="AR757" s="1525">
        <v>23083.46</v>
      </c>
      <c r="AS757" s="1525">
        <f>IF(Table15[[#This Row],[PCTS Approved]]="N",0,Table15[[#This Row],[Investment Amount (1'#'#'#'#'#)]]+Table15[[#This Row],[Retirement Amount (3'#'#'#'#'#)]])</f>
        <v>203721.99</v>
      </c>
      <c r="AT757" s="1525">
        <f>IF(Table15[[#This Row],[Approved Construction Cost]]=0,0,Table15[[#This Row],[Approved Construction Cost]]-Table15[[#This Row],[Construction Cost to Bill From]])</f>
        <v>9809.039999999979</v>
      </c>
      <c r="AU757" s="1525">
        <f>IFERROR(Table15[[#This Row],[Difference in Construction Cost]]*Table15[[#This Row],[Rate]],Table15[[#This Row],[Difference in Construction Cost]]*0.085)</f>
        <v>882.81359999999813</v>
      </c>
      <c r="AV757" s="1525" t="s">
        <v>709</v>
      </c>
      <c r="AW757" s="1526" t="s">
        <v>4940</v>
      </c>
      <c r="AX757" s="1525">
        <v>882.81359999999813</v>
      </c>
      <c r="AY757" s="1518">
        <v>45200</v>
      </c>
      <c r="AZ757" s="333"/>
      <c r="BA757" s="859" t="s">
        <v>4941</v>
      </c>
      <c r="BB757" s="644" t="s">
        <v>4942</v>
      </c>
      <c r="BC757" s="544" t="s">
        <v>709</v>
      </c>
      <c r="BD757" s="544" t="s">
        <v>115</v>
      </c>
      <c r="BE757" s="544" t="s">
        <v>1114</v>
      </c>
      <c r="BF757" s="544" t="s">
        <v>115</v>
      </c>
      <c r="BG757" s="544" t="s">
        <v>115</v>
      </c>
      <c r="BH757" s="741" t="s">
        <v>4943</v>
      </c>
      <c r="BI757" s="547" t="s">
        <v>709</v>
      </c>
      <c r="BJ757" s="547" t="s">
        <v>709</v>
      </c>
      <c r="BK757" s="547" t="s">
        <v>709</v>
      </c>
      <c r="BL757" s="547" t="s">
        <v>116</v>
      </c>
      <c r="BM757" s="547">
        <v>0</v>
      </c>
      <c r="BN757" s="549">
        <v>0</v>
      </c>
      <c r="BO757" s="547">
        <v>0</v>
      </c>
      <c r="BP757" s="547">
        <v>0</v>
      </c>
      <c r="BQ757" s="547">
        <v>0</v>
      </c>
      <c r="BR757" s="547">
        <v>195</v>
      </c>
      <c r="BS757" s="547">
        <v>143</v>
      </c>
      <c r="BT757" s="547">
        <v>0</v>
      </c>
      <c r="BU757" s="547">
        <v>0</v>
      </c>
      <c r="BV757" s="547">
        <v>0</v>
      </c>
      <c r="BW757" s="547">
        <v>0</v>
      </c>
      <c r="BX757" s="547">
        <v>0</v>
      </c>
      <c r="BY757" s="547">
        <v>0</v>
      </c>
      <c r="BZ757" s="547" t="s">
        <v>709</v>
      </c>
      <c r="CA757" s="483"/>
      <c r="CB757" s="547">
        <v>755</v>
      </c>
      <c r="CC757" s="1481" t="b">
        <v>1</v>
      </c>
      <c r="CD757" t="str">
        <f>Table15[[#This Row],[Engineering Number]]&amp;Table15[[#This Row],[WO Number]]&amp;Table15[[#This Row],[Date Assigned to Designer]]&amp;Table15[[#This Row],[Date Completed]]</f>
        <v>MR193412118224481744858</v>
      </c>
    </row>
    <row r="758" spans="1:82" customFormat="1" ht="15" customHeight="1" x14ac:dyDescent="0.25">
      <c r="A758">
        <v>2022</v>
      </c>
      <c r="B758" s="8" t="s">
        <v>4</v>
      </c>
      <c r="C758" s="8" t="s">
        <v>4951</v>
      </c>
      <c r="D758" s="8" t="s">
        <v>4952</v>
      </c>
      <c r="E758" s="8" t="s">
        <v>3259</v>
      </c>
      <c r="F758" s="8" t="s">
        <v>784</v>
      </c>
      <c r="G758" s="8" t="s">
        <v>27</v>
      </c>
      <c r="H758" s="8" t="s">
        <v>59</v>
      </c>
      <c r="I758" s="642">
        <v>44806</v>
      </c>
      <c r="J758" s="18">
        <v>44862</v>
      </c>
      <c r="K758" s="97">
        <v>44859</v>
      </c>
      <c r="L758" s="16">
        <f>IF(ISTEXT(Table15[[#This Row],[Engineering Approved Design Date]]),Table15[[#This Row],[Date Completed]]-Table15[[#This Row],[Date Assigned to Designer]],Table15[[#This Row],[Engineering Approved Design Date]]-Table15[[#This Row],[Date Completed]])</f>
        <v>3</v>
      </c>
      <c r="M758" s="642"/>
      <c r="N758" s="642" t="s">
        <v>120</v>
      </c>
      <c r="O758" s="1025">
        <v>44866</v>
      </c>
      <c r="P758" s="21" t="s">
        <v>739</v>
      </c>
      <c r="Q758" s="1061">
        <f t="shared" si="12"/>
        <v>5367.4610000000002</v>
      </c>
      <c r="R758" s="1026">
        <v>0.1</v>
      </c>
      <c r="S758" s="538"/>
      <c r="T758" s="538"/>
      <c r="U758" s="87"/>
      <c r="V758" s="858">
        <v>0</v>
      </c>
      <c r="W758" s="437"/>
      <c r="X758" s="552">
        <v>0</v>
      </c>
      <c r="Y758" s="551"/>
      <c r="Z758" s="561">
        <v>53674.61</v>
      </c>
      <c r="AA758" s="552">
        <f>Table15[[#This Row],[PCTS Investment Amount]]+Table15[[#This Row],[PCTS Retirement Amount]]</f>
        <v>53674.61</v>
      </c>
      <c r="AB758" s="341" t="s">
        <v>29</v>
      </c>
      <c r="AC758" s="568" t="s">
        <v>709</v>
      </c>
      <c r="AD758" s="1157" t="s">
        <v>709</v>
      </c>
      <c r="AE758" s="579"/>
      <c r="AF758" s="579"/>
      <c r="AG758" s="569"/>
      <c r="AH758" s="553"/>
      <c r="AI758" s="1036"/>
      <c r="AJ758" s="1037"/>
      <c r="AK758" s="1037"/>
      <c r="AL758" s="1038"/>
      <c r="AM758" s="1522" t="s">
        <v>116</v>
      </c>
      <c r="AN758" s="1523">
        <v>44888</v>
      </c>
      <c r="AO758" s="1524">
        <v>11049632</v>
      </c>
      <c r="AP758" s="1525">
        <v>0</v>
      </c>
      <c r="AQ758" s="1525"/>
      <c r="AR758" s="1525">
        <v>30028.639999999999</v>
      </c>
      <c r="AS758" s="1525">
        <f>IF(Table15[[#This Row],[PCTS Approved]]="N",0,Table15[[#This Row],[Investment Amount (1'#'#'#'#'#)]]+Table15[[#This Row],[Retirement Amount (3'#'#'#'#'#)]])</f>
        <v>30028.639999999999</v>
      </c>
      <c r="AT758" s="1525">
        <f>IF(Table15[[#This Row],[Approved Construction Cost]]=0,0,Table15[[#This Row],[Approved Construction Cost]]-Table15[[#This Row],[Construction Cost to Bill From]])</f>
        <v>-23645.97</v>
      </c>
      <c r="AU758" s="1525">
        <f>IFERROR(Table15[[#This Row],[Difference in Construction Cost]]*Table15[[#This Row],[Rate]],Table15[[#This Row],[Difference in Construction Cost]]*0.085)</f>
        <v>-2364.5970000000002</v>
      </c>
      <c r="AV758" s="1525" t="s">
        <v>709</v>
      </c>
      <c r="AW758" s="1526" t="s">
        <v>4795</v>
      </c>
      <c r="AX758" s="1525">
        <v>0</v>
      </c>
      <c r="AY758" s="1518">
        <v>45008</v>
      </c>
      <c r="AZ758" s="333"/>
      <c r="BA758" s="1031" t="s">
        <v>4953</v>
      </c>
      <c r="BB758" s="644" t="s">
        <v>961</v>
      </c>
      <c r="BC758" s="544" t="s">
        <v>116</v>
      </c>
      <c r="BD758" s="544" t="s">
        <v>115</v>
      </c>
      <c r="BE758" s="544" t="s">
        <v>3262</v>
      </c>
      <c r="BF758" s="544" t="s">
        <v>115</v>
      </c>
      <c r="BG758" s="544" t="s">
        <v>115</v>
      </c>
      <c r="BH758" s="741"/>
      <c r="BI758" s="547" t="s">
        <v>709</v>
      </c>
      <c r="BJ758" s="547" t="s">
        <v>709</v>
      </c>
      <c r="BK758" s="547" t="s">
        <v>709</v>
      </c>
      <c r="BL758" s="547" t="s">
        <v>709</v>
      </c>
      <c r="BM758" s="547" t="s">
        <v>709</v>
      </c>
      <c r="BN758" s="547" t="s">
        <v>709</v>
      </c>
      <c r="BO758" s="547" t="s">
        <v>709</v>
      </c>
      <c r="BP758" s="547" t="s">
        <v>709</v>
      </c>
      <c r="BQ758" s="547" t="s">
        <v>709</v>
      </c>
      <c r="BR758" s="547" t="s">
        <v>709</v>
      </c>
      <c r="BS758" s="547" t="s">
        <v>709</v>
      </c>
      <c r="BT758" s="547" t="s">
        <v>745</v>
      </c>
      <c r="BU758" s="547" t="s">
        <v>709</v>
      </c>
      <c r="BV758" s="547" t="s">
        <v>745</v>
      </c>
      <c r="BW758" s="547" t="s">
        <v>709</v>
      </c>
      <c r="BX758" s="547" t="s">
        <v>745</v>
      </c>
      <c r="BY758" s="547" t="s">
        <v>745</v>
      </c>
      <c r="BZ758" s="547" t="s">
        <v>709</v>
      </c>
      <c r="CA758" s="483" t="s">
        <v>1146</v>
      </c>
      <c r="CB758" s="547">
        <v>757</v>
      </c>
      <c r="CC758" s="1481" t="b">
        <v>1</v>
      </c>
      <c r="CD758" t="str">
        <f>Table15[[#This Row],[Engineering Number]]&amp;Table15[[#This Row],[WO Number]]&amp;Table15[[#This Row],[Date Assigned to Designer]]&amp;Table15[[#This Row],[Date Completed]]</f>
        <v>N1599932118354480644859</v>
      </c>
    </row>
    <row r="759" spans="1:82" customFormat="1" ht="15" customHeight="1" x14ac:dyDescent="0.25">
      <c r="A759">
        <v>2022</v>
      </c>
      <c r="B759" s="8" t="s">
        <v>1073</v>
      </c>
      <c r="C759" s="8" t="s">
        <v>1360</v>
      </c>
      <c r="D759" s="8" t="s">
        <v>1361</v>
      </c>
      <c r="E759" s="8" t="s">
        <v>281</v>
      </c>
      <c r="F759" s="8" t="s">
        <v>784</v>
      </c>
      <c r="G759" s="8" t="s">
        <v>23</v>
      </c>
      <c r="H759" s="8" t="s">
        <v>59</v>
      </c>
      <c r="I759" s="642">
        <v>44818</v>
      </c>
      <c r="J759" s="18">
        <v>44876</v>
      </c>
      <c r="K759" s="97">
        <v>44859</v>
      </c>
      <c r="L759" s="16">
        <f>IF(ISTEXT(Table15[[#This Row],[Engineering Approved Design Date]]),Table15[[#This Row],[Date Completed]]-Table15[[#This Row],[Date Assigned to Designer]],Table15[[#This Row],[Engineering Approved Design Date]]-Table15[[#This Row],[Date Completed]])</f>
        <v>17</v>
      </c>
      <c r="M759" s="642"/>
      <c r="N759" s="642" t="s">
        <v>120</v>
      </c>
      <c r="O759" s="1025">
        <v>44866</v>
      </c>
      <c r="P759" s="21" t="s">
        <v>739</v>
      </c>
      <c r="Q759" s="87">
        <f t="shared" si="12"/>
        <v>18768.990100000003</v>
      </c>
      <c r="R759" s="1026">
        <v>7.0000000000000007E-2</v>
      </c>
      <c r="S759" s="538"/>
      <c r="T759" s="538"/>
      <c r="U759" s="87"/>
      <c r="V759" s="858">
        <v>1175</v>
      </c>
      <c r="W759" s="437"/>
      <c r="X759" s="570">
        <v>254704.24</v>
      </c>
      <c r="Y759" s="551"/>
      <c r="Z759" s="570">
        <v>13424.19</v>
      </c>
      <c r="AA759" s="552">
        <f>Table15[[#This Row],[PCTS Investment Amount]]+Table15[[#This Row],[PCTS Retirement Amount]]</f>
        <v>268128.43</v>
      </c>
      <c r="AB759" s="341">
        <v>44860</v>
      </c>
      <c r="AC759" s="568" t="s">
        <v>709</v>
      </c>
      <c r="AD759" s="1157" t="s">
        <v>116</v>
      </c>
      <c r="AE759" s="568"/>
      <c r="AF759" s="568"/>
      <c r="AG759" s="568"/>
      <c r="AH759" s="183"/>
      <c r="AI759" s="1036"/>
      <c r="AJ759" s="1037"/>
      <c r="AK759" s="1037"/>
      <c r="AL759" s="1038"/>
      <c r="AM759" s="536" t="s">
        <v>116</v>
      </c>
      <c r="AN759" s="903" t="s">
        <v>709</v>
      </c>
      <c r="AO759" s="1536" t="s">
        <v>115</v>
      </c>
      <c r="AP759" s="1537"/>
      <c r="AQ759" s="1537"/>
      <c r="AR759" s="1537"/>
      <c r="AS759" s="888">
        <f>IF(Table15[[#This Row],[PCTS Approved]]="N",0,Table15[[#This Row],[Investment Amount (1'#'#'#'#'#)]]+Table15[[#This Row],[Retirement Amount (3'#'#'#'#'#)]])</f>
        <v>0</v>
      </c>
      <c r="AT759" s="888">
        <f>IF(Table15[[#This Row],[Approved Construction Cost]]=0,0,Table15[[#This Row],[Approved Construction Cost]]-Table15[[#This Row],[Construction Cost to Bill From]])</f>
        <v>0</v>
      </c>
      <c r="AU759" s="888">
        <f>IFERROR(Table15[[#This Row],[Difference in Construction Cost]]*Table15[[#This Row],[Rate]],Table15[[#This Row],[Difference in Construction Cost]]*0.085)</f>
        <v>0</v>
      </c>
      <c r="AV759" s="905"/>
      <c r="AW759" s="1509"/>
      <c r="AX759" s="888"/>
      <c r="AY759" s="636" t="s">
        <v>709</v>
      </c>
      <c r="AZ759" s="333">
        <v>11</v>
      </c>
      <c r="BA759" s="859" t="s">
        <v>1362</v>
      </c>
      <c r="BB759" s="644" t="s">
        <v>1363</v>
      </c>
      <c r="BC759" s="544" t="s">
        <v>115</v>
      </c>
      <c r="BD759" s="544" t="s">
        <v>115</v>
      </c>
      <c r="BE759" s="544" t="s">
        <v>1364</v>
      </c>
      <c r="BF759" s="544" t="s">
        <v>1364</v>
      </c>
      <c r="BG759" s="544" t="s">
        <v>115</v>
      </c>
      <c r="BH759" s="741"/>
      <c r="BI759" s="547" t="s">
        <v>709</v>
      </c>
      <c r="BJ759" s="547" t="s">
        <v>709</v>
      </c>
      <c r="BK759" s="547" t="s">
        <v>709</v>
      </c>
      <c r="BL759" s="547" t="s">
        <v>116</v>
      </c>
      <c r="BM759" s="547" t="s">
        <v>709</v>
      </c>
      <c r="BN759" s="547" t="s">
        <v>709</v>
      </c>
      <c r="BO759" s="547" t="s">
        <v>709</v>
      </c>
      <c r="BP759" s="547" t="s">
        <v>709</v>
      </c>
      <c r="BQ759" s="547" t="s">
        <v>709</v>
      </c>
      <c r="BR759" s="547">
        <v>1175</v>
      </c>
      <c r="BS759" s="547" t="s">
        <v>709</v>
      </c>
      <c r="BT759" s="547" t="s">
        <v>745</v>
      </c>
      <c r="BU759" s="547" t="s">
        <v>709</v>
      </c>
      <c r="BV759" s="547" t="s">
        <v>709</v>
      </c>
      <c r="BW759" s="547" t="s">
        <v>709</v>
      </c>
      <c r="BX759" s="547" t="s">
        <v>745</v>
      </c>
      <c r="BY759" s="547" t="s">
        <v>745</v>
      </c>
      <c r="BZ759" s="547" t="s">
        <v>709</v>
      </c>
      <c r="CA759" s="483"/>
      <c r="CB759" s="547">
        <v>756</v>
      </c>
      <c r="CC759" s="1481" t="b">
        <v>1</v>
      </c>
      <c r="CD759" t="str">
        <f>Table15[[#This Row],[Engineering Number]]&amp;Table15[[#This Row],[WO Number]]&amp;Table15[[#This Row],[Date Assigned to Designer]]&amp;Table15[[#This Row],[Date Completed]]</f>
        <v>NBA1000648916117914481844859</v>
      </c>
    </row>
    <row r="760" spans="1:82" customFormat="1" ht="15" customHeight="1" x14ac:dyDescent="0.25">
      <c r="A760">
        <v>2022</v>
      </c>
      <c r="B760" s="8" t="s">
        <v>4</v>
      </c>
      <c r="C760" s="8" t="s">
        <v>4945</v>
      </c>
      <c r="D760" s="8" t="s">
        <v>4946</v>
      </c>
      <c r="E760" s="8" t="s">
        <v>1650</v>
      </c>
      <c r="F760" s="8" t="s">
        <v>784</v>
      </c>
      <c r="G760" s="8" t="s">
        <v>25</v>
      </c>
      <c r="H760" s="8" t="s">
        <v>59</v>
      </c>
      <c r="I760" s="642">
        <v>44774</v>
      </c>
      <c r="J760" s="18">
        <v>44876</v>
      </c>
      <c r="K760" s="97">
        <v>44859</v>
      </c>
      <c r="L760" s="16">
        <f>IF(ISTEXT(Table15[[#This Row],[Engineering Approved Design Date]]),Table15[[#This Row],[Date Completed]]-Table15[[#This Row],[Date Assigned to Designer]],Table15[[#This Row],[Engineering Approved Design Date]]-Table15[[#This Row],[Date Completed]])</f>
        <v>17</v>
      </c>
      <c r="M760" s="642"/>
      <c r="N760" s="642" t="s">
        <v>120</v>
      </c>
      <c r="O760" s="1060">
        <v>44896</v>
      </c>
      <c r="P760" s="21" t="s">
        <v>739</v>
      </c>
      <c r="Q760" s="1061">
        <f t="shared" si="12"/>
        <v>41143.829000000005</v>
      </c>
      <c r="R760" s="1026">
        <v>0.1</v>
      </c>
      <c r="S760" s="538"/>
      <c r="T760" s="538"/>
      <c r="U760" s="87"/>
      <c r="V760" s="858">
        <v>2656</v>
      </c>
      <c r="W760" s="437"/>
      <c r="X760" s="570">
        <v>383143.77</v>
      </c>
      <c r="Y760" s="551"/>
      <c r="Z760" s="570">
        <v>28294.52</v>
      </c>
      <c r="AA760" s="552">
        <f>Table15[[#This Row],[PCTS Investment Amount]]+Table15[[#This Row],[PCTS Retirement Amount]]</f>
        <v>411438.29000000004</v>
      </c>
      <c r="AB760" s="341" t="s">
        <v>115</v>
      </c>
      <c r="AC760" s="568" t="s">
        <v>709</v>
      </c>
      <c r="AD760" s="1157" t="s">
        <v>709</v>
      </c>
      <c r="AE760" s="579"/>
      <c r="AF760" s="579"/>
      <c r="AG760" s="579"/>
      <c r="AH760" s="553"/>
      <c r="AI760" s="1036"/>
      <c r="AJ760" s="1037"/>
      <c r="AK760" s="1037"/>
      <c r="AL760" s="1038"/>
      <c r="AM760" s="542" t="s">
        <v>116</v>
      </c>
      <c r="AN760" s="1508">
        <v>44915</v>
      </c>
      <c r="AO760" s="925">
        <v>11049642</v>
      </c>
      <c r="AP760" s="926">
        <v>383143.77</v>
      </c>
      <c r="AQ760" s="926"/>
      <c r="AR760" s="926">
        <v>28294.52</v>
      </c>
      <c r="AS760" s="926">
        <f>IF(Table15[[#This Row],[PCTS Approved]]="N",0,Table15[[#This Row],[Investment Amount (1'#'#'#'#'#)]]+Table15[[#This Row],[Retirement Amount (3'#'#'#'#'#)]])</f>
        <v>411438.29000000004</v>
      </c>
      <c r="AT760" s="926">
        <f>IF(Table15[[#This Row],[Approved Construction Cost]]=0,0,Table15[[#This Row],[Approved Construction Cost]]-Table15[[#This Row],[Construction Cost to Bill From]])</f>
        <v>0</v>
      </c>
      <c r="AU760" s="926">
        <f>IFERROR(Table15[[#This Row],[Difference in Construction Cost]]*Table15[[#This Row],[Rate]],Table15[[#This Row],[Difference in Construction Cost]]*0.085)</f>
        <v>0</v>
      </c>
      <c r="AV760" s="926" t="s">
        <v>709</v>
      </c>
      <c r="AW760" s="927"/>
      <c r="AX760" s="926"/>
      <c r="AY760" s="636" t="s">
        <v>1935</v>
      </c>
      <c r="AZ760" s="1531"/>
      <c r="BA760" s="859" t="s">
        <v>4947</v>
      </c>
      <c r="BB760" s="644" t="s">
        <v>4948</v>
      </c>
      <c r="BC760" s="544" t="s">
        <v>4949</v>
      </c>
      <c r="BD760" s="544" t="s">
        <v>788</v>
      </c>
      <c r="BE760" s="544" t="s">
        <v>605</v>
      </c>
      <c r="BF760" s="544" t="s">
        <v>3609</v>
      </c>
      <c r="BG760" s="544" t="s">
        <v>4949</v>
      </c>
      <c r="BH760" s="741"/>
      <c r="BI760" s="547" t="s">
        <v>709</v>
      </c>
      <c r="BJ760" s="547" t="s">
        <v>709</v>
      </c>
      <c r="BK760" s="547" t="s">
        <v>709</v>
      </c>
      <c r="BL760" s="547" t="s">
        <v>116</v>
      </c>
      <c r="BM760" s="547" t="s">
        <v>709</v>
      </c>
      <c r="BN760" s="547" t="s">
        <v>709</v>
      </c>
      <c r="BO760" s="547" t="s">
        <v>709</v>
      </c>
      <c r="BP760" s="547" t="s">
        <v>709</v>
      </c>
      <c r="BQ760" s="547" t="s">
        <v>709</v>
      </c>
      <c r="BR760" s="547">
        <v>1777</v>
      </c>
      <c r="BS760" s="547">
        <v>879</v>
      </c>
      <c r="BT760" s="547" t="s">
        <v>745</v>
      </c>
      <c r="BU760" s="547" t="s">
        <v>709</v>
      </c>
      <c r="BV760" s="547" t="s">
        <v>745</v>
      </c>
      <c r="BW760" s="547" t="s">
        <v>709</v>
      </c>
      <c r="BX760" s="547" t="s">
        <v>745</v>
      </c>
      <c r="BY760" s="547" t="s">
        <v>745</v>
      </c>
      <c r="BZ760" s="547" t="s">
        <v>709</v>
      </c>
      <c r="CA760" s="483"/>
      <c r="CB760" s="547">
        <v>758</v>
      </c>
      <c r="CC760" s="1481" t="b">
        <v>1</v>
      </c>
      <c r="CD760" t="str">
        <f>Table15[[#This Row],[Engineering Number]]&amp;Table15[[#This Row],[WO Number]]&amp;Table15[[#This Row],[Date Assigned to Designer]]&amp;Table15[[#This Row],[Date Completed]]</f>
        <v>SC1925113117884477444859</v>
      </c>
    </row>
    <row r="761" spans="1:82" customFormat="1" ht="15" customHeight="1" x14ac:dyDescent="0.25">
      <c r="A761">
        <v>2022</v>
      </c>
      <c r="B761" s="8" t="s">
        <v>1073</v>
      </c>
      <c r="C761" s="8" t="s">
        <v>4780</v>
      </c>
      <c r="D761" s="8">
        <v>1611434</v>
      </c>
      <c r="E761" s="8" t="s">
        <v>4246</v>
      </c>
      <c r="F761" s="8" t="s">
        <v>784</v>
      </c>
      <c r="G761" s="8" t="s">
        <v>23</v>
      </c>
      <c r="H761" s="8" t="s">
        <v>4001</v>
      </c>
      <c r="I761" s="642">
        <v>44858</v>
      </c>
      <c r="J761" s="175" t="s">
        <v>2052</v>
      </c>
      <c r="K761" s="97">
        <v>44860</v>
      </c>
      <c r="L761" s="16">
        <f>IF(ISTEXT(Table15[[#This Row],[Engineering Approved Design Date]]),Table15[[#This Row],[Date Completed]]-Table15[[#This Row],[Date Assigned to Designer]],Table15[[#This Row],[Engineering Approved Design Date]]-Table15[[#This Row],[Date Completed]])</f>
        <v>2</v>
      </c>
      <c r="M761" t="s">
        <v>4956</v>
      </c>
      <c r="N761" s="642" t="s">
        <v>120</v>
      </c>
      <c r="O761" s="1025">
        <v>44866</v>
      </c>
      <c r="P761" s="21" t="s">
        <v>739</v>
      </c>
      <c r="Q761" s="300">
        <f>Table15[[#This Row],[KH Hourly Effort]]</f>
        <v>1540</v>
      </c>
      <c r="R761" s="1026" t="s">
        <v>1922</v>
      </c>
      <c r="S761" s="538"/>
      <c r="T761" s="538"/>
      <c r="U761" s="1061">
        <v>1540</v>
      </c>
      <c r="V761" s="858"/>
      <c r="W761" s="437"/>
      <c r="X761" s="538"/>
      <c r="Y761" s="551"/>
      <c r="Z761" s="538"/>
      <c r="AA761" s="552"/>
      <c r="AB761" s="341" t="s">
        <v>29</v>
      </c>
      <c r="AC761" s="569"/>
      <c r="AD761" s="1149" t="s">
        <v>116</v>
      </c>
      <c r="AE761" s="569"/>
      <c r="AF761" s="569"/>
      <c r="AG761" s="569"/>
      <c r="AH761" s="536"/>
      <c r="AI761" s="1028"/>
      <c r="AJ761" s="1029"/>
      <c r="AK761" s="1029"/>
      <c r="AL761" s="1030"/>
      <c r="AM761" s="542" t="s">
        <v>709</v>
      </c>
      <c r="AN761" s="924"/>
      <c r="AO761" s="925"/>
      <c r="AP761" s="926"/>
      <c r="AQ761" s="926"/>
      <c r="AR761" s="926"/>
      <c r="AS761" s="926"/>
      <c r="AT761" s="926"/>
      <c r="AU761" s="926"/>
      <c r="AV761" s="926"/>
      <c r="AW761" s="927"/>
      <c r="AX761" s="926"/>
      <c r="AY761" s="1538" t="s">
        <v>29</v>
      </c>
      <c r="AZ761" s="1530"/>
      <c r="BA761" s="1031">
        <v>4</v>
      </c>
      <c r="BB761" s="644"/>
      <c r="BC761" s="544"/>
      <c r="BD761" s="544"/>
      <c r="BE761" s="544"/>
      <c r="BF761" s="544"/>
      <c r="BG761" s="544"/>
      <c r="BH761" s="741"/>
      <c r="BI761" s="547" t="s">
        <v>709</v>
      </c>
      <c r="BJ761" s="547" t="s">
        <v>709</v>
      </c>
      <c r="BK761" s="547" t="s">
        <v>709</v>
      </c>
      <c r="BL761" s="547" t="s">
        <v>116</v>
      </c>
      <c r="BM761" s="547" t="s">
        <v>709</v>
      </c>
      <c r="BN761" s="547" t="s">
        <v>709</v>
      </c>
      <c r="BO761" s="547" t="s">
        <v>709</v>
      </c>
      <c r="BP761" s="547">
        <v>245</v>
      </c>
      <c r="BQ761" s="547">
        <v>5519</v>
      </c>
      <c r="BR761" s="547">
        <v>3143</v>
      </c>
      <c r="BS761" s="547" t="s">
        <v>709</v>
      </c>
      <c r="BT761" s="547" t="s">
        <v>745</v>
      </c>
      <c r="BU761" s="547" t="s">
        <v>709</v>
      </c>
      <c r="BV761" s="547" t="s">
        <v>745</v>
      </c>
      <c r="BW761" s="547" t="s">
        <v>709</v>
      </c>
      <c r="BX761" s="547" t="s">
        <v>745</v>
      </c>
      <c r="BY761" s="547" t="s">
        <v>745</v>
      </c>
      <c r="BZ761" s="547" t="s">
        <v>709</v>
      </c>
      <c r="CA761" s="483"/>
      <c r="CB761" s="547">
        <v>759</v>
      </c>
      <c r="CC761" s="1481" t="b">
        <v>1</v>
      </c>
      <c r="CD761" t="str">
        <f>Table15[[#This Row],[Engineering Number]]&amp;Table15[[#This Row],[WO Number]]&amp;Table15[[#This Row],[Date Assigned to Designer]]&amp;Table15[[#This Row],[Date Completed]]</f>
        <v>NBA1000664316114344485844860</v>
      </c>
    </row>
    <row r="762" spans="1:82" customFormat="1" ht="15" customHeight="1" x14ac:dyDescent="0.25">
      <c r="A762">
        <v>2022</v>
      </c>
      <c r="B762" s="8" t="s">
        <v>4</v>
      </c>
      <c r="C762" s="8" t="s">
        <v>1365</v>
      </c>
      <c r="D762" s="8" t="s">
        <v>1366</v>
      </c>
      <c r="E762" s="8" t="s">
        <v>1004</v>
      </c>
      <c r="F762" s="8" t="s">
        <v>747</v>
      </c>
      <c r="G762" s="8" t="s">
        <v>23</v>
      </c>
      <c r="H762" s="8" t="s">
        <v>59</v>
      </c>
      <c r="I762" s="642">
        <v>44631</v>
      </c>
      <c r="J762" s="18">
        <v>44862</v>
      </c>
      <c r="K762" s="97">
        <v>44860</v>
      </c>
      <c r="L762" s="16">
        <f>IF(ISTEXT(Table15[[#This Row],[Engineering Approved Design Date]]),Table15[[#This Row],[Date Completed]]-Table15[[#This Row],[Date Assigned to Designer]],Table15[[#This Row],[Engineering Approved Design Date]]-Table15[[#This Row],[Date Completed]])</f>
        <v>2</v>
      </c>
      <c r="M762" s="642"/>
      <c r="N762" s="642" t="s">
        <v>120</v>
      </c>
      <c r="O762" s="1060">
        <v>44896</v>
      </c>
      <c r="P762" s="21" t="s">
        <v>739</v>
      </c>
      <c r="Q762" s="1061">
        <f>R762*AA762</f>
        <v>162589.47100000002</v>
      </c>
      <c r="R762" s="1026">
        <v>0.1</v>
      </c>
      <c r="S762" s="538"/>
      <c r="T762" s="538"/>
      <c r="U762" s="87"/>
      <c r="V762" s="858">
        <v>6132</v>
      </c>
      <c r="W762" s="437"/>
      <c r="X762" s="570">
        <v>1560406.45</v>
      </c>
      <c r="Y762" s="551"/>
      <c r="Z762" s="570">
        <v>65488.26</v>
      </c>
      <c r="AA762" s="552">
        <f>Table15[[#This Row],[PCTS Investment Amount]]+Table15[[#This Row],[PCTS Retirement Amount]]</f>
        <v>1625894.71</v>
      </c>
      <c r="AB762" s="341">
        <v>44881</v>
      </c>
      <c r="AC762" s="568" t="s">
        <v>709</v>
      </c>
      <c r="AD762" s="1157" t="s">
        <v>29</v>
      </c>
      <c r="AE762" s="579"/>
      <c r="AF762" s="579"/>
      <c r="AG762" s="579"/>
      <c r="AH762" s="553"/>
      <c r="AI762" s="1036"/>
      <c r="AJ762" s="1037"/>
      <c r="AK762" s="1037"/>
      <c r="AL762" s="1038"/>
      <c r="AM762" s="536" t="s">
        <v>116</v>
      </c>
      <c r="AN762" s="903" t="s">
        <v>709</v>
      </c>
      <c r="AO762" s="1536">
        <v>11051711</v>
      </c>
      <c r="AP762" s="1537"/>
      <c r="AQ762" s="1537"/>
      <c r="AR762" s="1537"/>
      <c r="AS762" s="888">
        <f>IF(Table15[[#This Row],[PCTS Approved]]="N",0,Table15[[#This Row],[Investment Amount (1'#'#'#'#'#)]]+Table15[[#This Row],[Retirement Amount (3'#'#'#'#'#)]])</f>
        <v>0</v>
      </c>
      <c r="AT762" s="888">
        <f>IF(Table15[[#This Row],[Approved Construction Cost]]=0,0,Table15[[#This Row],[Approved Construction Cost]]-Table15[[#This Row],[Construction Cost to Bill From]])</f>
        <v>0</v>
      </c>
      <c r="AU762" s="888">
        <f>IFERROR(Table15[[#This Row],[Difference in Construction Cost]]*Table15[[#This Row],[Rate]],Table15[[#This Row],[Difference in Construction Cost]]*0.085)</f>
        <v>0</v>
      </c>
      <c r="AV762" s="905"/>
      <c r="AW762" s="1509"/>
      <c r="AX762" s="888"/>
      <c r="AY762" s="636" t="s">
        <v>709</v>
      </c>
      <c r="AZ762" s="333">
        <v>73</v>
      </c>
      <c r="BA762" s="859" t="s">
        <v>1367</v>
      </c>
      <c r="BB762" s="644" t="s">
        <v>787</v>
      </c>
      <c r="BC762" s="544" t="s">
        <v>116</v>
      </c>
      <c r="BD762" s="544" t="s">
        <v>788</v>
      </c>
      <c r="BE762" s="544" t="s">
        <v>495</v>
      </c>
      <c r="BF762" s="544" t="s">
        <v>115</v>
      </c>
      <c r="BG762" s="544" t="s">
        <v>115</v>
      </c>
      <c r="BH762" s="741"/>
      <c r="BI762" s="547" t="s">
        <v>709</v>
      </c>
      <c r="BJ762" s="547" t="s">
        <v>709</v>
      </c>
      <c r="BK762" s="547" t="s">
        <v>116</v>
      </c>
      <c r="BL762" s="547" t="s">
        <v>116</v>
      </c>
      <c r="BM762" s="547" t="s">
        <v>709</v>
      </c>
      <c r="BN762" s="547">
        <v>189</v>
      </c>
      <c r="BO762" s="547" t="s">
        <v>709</v>
      </c>
      <c r="BP762" s="547" t="s">
        <v>709</v>
      </c>
      <c r="BQ762" s="547" t="s">
        <v>709</v>
      </c>
      <c r="BR762" s="547">
        <v>3731</v>
      </c>
      <c r="BS762" s="547">
        <v>2212</v>
      </c>
      <c r="BT762" s="547" t="s">
        <v>745</v>
      </c>
      <c r="BU762" s="547" t="s">
        <v>709</v>
      </c>
      <c r="BV762" s="547" t="s">
        <v>745</v>
      </c>
      <c r="BW762" s="547" t="s">
        <v>709</v>
      </c>
      <c r="BX762" s="547" t="s">
        <v>709</v>
      </c>
      <c r="BY762" s="547" t="s">
        <v>745</v>
      </c>
      <c r="BZ762" s="547" t="s">
        <v>709</v>
      </c>
      <c r="CA762" s="483"/>
      <c r="CB762" s="547">
        <v>760</v>
      </c>
      <c r="CC762" s="1481" t="b">
        <v>1</v>
      </c>
      <c r="CD762" t="str">
        <f>Table15[[#This Row],[Engineering Number]]&amp;Table15[[#This Row],[WO Number]]&amp;Table15[[#This Row],[Date Assigned to Designer]]&amp;Table15[[#This Row],[Date Completed]]</f>
        <v>SC1434613112704463144860</v>
      </c>
    </row>
    <row r="763" spans="1:82" customFormat="1" ht="15" customHeight="1" x14ac:dyDescent="0.25">
      <c r="A763">
        <v>2023</v>
      </c>
      <c r="B763" s="8" t="s">
        <v>759</v>
      </c>
      <c r="C763" s="8" t="s">
        <v>326</v>
      </c>
      <c r="D763" s="8" t="s">
        <v>1368</v>
      </c>
      <c r="E763" s="8" t="s">
        <v>327</v>
      </c>
      <c r="F763" s="8" t="s">
        <v>752</v>
      </c>
      <c r="G763" s="8" t="s">
        <v>32</v>
      </c>
      <c r="H763" s="8" t="s">
        <v>59</v>
      </c>
      <c r="I763" s="642">
        <v>44788</v>
      </c>
      <c r="J763" s="18">
        <v>44865</v>
      </c>
      <c r="K763" s="97">
        <v>44861</v>
      </c>
      <c r="L763" s="16">
        <f>IF(ISTEXT(Table15[[#This Row],[Engineering Approved Design Date]]),Table15[[#This Row],[Date Completed]]-Table15[[#This Row],[Date Assigned to Designer]],Table15[[#This Row],[Engineering Approved Design Date]]-Table15[[#This Row],[Date Completed]])</f>
        <v>4</v>
      </c>
      <c r="M763" s="642"/>
      <c r="N763" s="642" t="s">
        <v>120</v>
      </c>
      <c r="O763" s="1025">
        <v>44866</v>
      </c>
      <c r="P763" s="21" t="s">
        <v>739</v>
      </c>
      <c r="Q763" s="300">
        <f>(Table15[[#This Row],[Construction Cost to Bill From]]*0.085)+7750</f>
        <v>25950.77375</v>
      </c>
      <c r="R763" s="1026" t="s">
        <v>1055</v>
      </c>
      <c r="S763" s="538"/>
      <c r="T763" s="538"/>
      <c r="U763" s="87"/>
      <c r="V763" s="858">
        <v>6</v>
      </c>
      <c r="W763" s="437">
        <v>2</v>
      </c>
      <c r="X763" s="570">
        <v>173326.94</v>
      </c>
      <c r="Y763" s="551"/>
      <c r="Z763" s="570">
        <v>40799.81</v>
      </c>
      <c r="AA763" s="552">
        <f>Table15[[#This Row],[PCTS Investment Amount]]+Table15[[#This Row],[PCTS Retirement Amount]]</f>
        <v>214126.75</v>
      </c>
      <c r="AB763" s="341">
        <v>44887</v>
      </c>
      <c r="AC763" s="568" t="s">
        <v>116</v>
      </c>
      <c r="AD763" s="1157" t="s">
        <v>709</v>
      </c>
      <c r="AE763" s="579" t="s">
        <v>29</v>
      </c>
      <c r="AF763" s="579" t="s">
        <v>29</v>
      </c>
      <c r="AG763" s="579" t="s">
        <v>29</v>
      </c>
      <c r="AH763" s="553" t="s">
        <v>29</v>
      </c>
      <c r="AI763" s="1036"/>
      <c r="AJ763" s="1037"/>
      <c r="AK763" s="1037"/>
      <c r="AL763" s="1038"/>
      <c r="AM763" s="536" t="s">
        <v>116</v>
      </c>
      <c r="AN763" s="903" t="s">
        <v>709</v>
      </c>
      <c r="AO763" s="1536" t="s">
        <v>115</v>
      </c>
      <c r="AP763" s="1537"/>
      <c r="AQ763" s="1537"/>
      <c r="AR763" s="1537"/>
      <c r="AS763" s="888">
        <f>IF(Table15[[#This Row],[PCTS Approved]]="N",0,Table15[[#This Row],[Investment Amount (1'#'#'#'#'#)]]+Table15[[#This Row],[Retirement Amount (3'#'#'#'#'#)]])</f>
        <v>0</v>
      </c>
      <c r="AT763" s="888">
        <f>IF(Table15[[#This Row],[Approved Construction Cost]]=0,0,Table15[[#This Row],[Approved Construction Cost]]-Table15[[#This Row],[Construction Cost to Bill From]])</f>
        <v>0</v>
      </c>
      <c r="AU763" s="888">
        <f>IFERROR(Table15[[#This Row],[Difference in Construction Cost]]*Table15[[#This Row],[Rate]],Table15[[#This Row],[Difference in Construction Cost]]*0.085)</f>
        <v>0</v>
      </c>
      <c r="AV763" s="905"/>
      <c r="AW763" s="1509"/>
      <c r="AX763" s="888"/>
      <c r="AY763" s="636" t="s">
        <v>709</v>
      </c>
      <c r="AZ763" s="333">
        <v>189</v>
      </c>
      <c r="BA763" s="859" t="s">
        <v>1369</v>
      </c>
      <c r="BB763" s="644" t="s">
        <v>1370</v>
      </c>
      <c r="BC763" s="544" t="s">
        <v>709</v>
      </c>
      <c r="BD763" s="544" t="s">
        <v>882</v>
      </c>
      <c r="BE763" s="544" t="s">
        <v>448</v>
      </c>
      <c r="BF763" s="544" t="s">
        <v>115</v>
      </c>
      <c r="BG763" s="544" t="s">
        <v>115</v>
      </c>
      <c r="BH763" s="741" t="s">
        <v>4959</v>
      </c>
      <c r="BI763" s="547" t="s">
        <v>709</v>
      </c>
      <c r="BJ763" s="547" t="s">
        <v>709</v>
      </c>
      <c r="BK763" s="547" t="s">
        <v>116</v>
      </c>
      <c r="BL763" s="547" t="s">
        <v>709</v>
      </c>
      <c r="BM763" s="547">
        <v>0</v>
      </c>
      <c r="BN763" s="549">
        <v>0</v>
      </c>
      <c r="BO763" s="547">
        <v>0</v>
      </c>
      <c r="BP763" s="547">
        <v>0</v>
      </c>
      <c r="BQ763" s="547">
        <v>0</v>
      </c>
      <c r="BR763" s="547">
        <v>6</v>
      </c>
      <c r="BS763" s="547">
        <v>0</v>
      </c>
      <c r="BT763" s="547">
        <v>0</v>
      </c>
      <c r="BU763" s="547">
        <v>0</v>
      </c>
      <c r="BV763" s="547">
        <v>0</v>
      </c>
      <c r="BW763" s="547">
        <v>1</v>
      </c>
      <c r="BX763" s="547">
        <v>1</v>
      </c>
      <c r="BY763" s="547">
        <v>0</v>
      </c>
      <c r="BZ763" s="547" t="s">
        <v>709</v>
      </c>
      <c r="CA763" s="483" t="s">
        <v>2</v>
      </c>
      <c r="CB763" s="547">
        <v>761</v>
      </c>
      <c r="CC763" s="1481" t="b">
        <v>1</v>
      </c>
      <c r="CD763" t="str">
        <f>Table15[[#This Row],[Engineering Number]]&amp;Table15[[#This Row],[WO Number]]&amp;Table15[[#This Row],[Date Assigned to Designer]]&amp;Table15[[#This Row],[Date Completed]]</f>
        <v>RS107710117104478844861</v>
      </c>
    </row>
    <row r="764" spans="1:82" customFormat="1" ht="15" customHeight="1" x14ac:dyDescent="0.25">
      <c r="A764">
        <v>2023</v>
      </c>
      <c r="B764" s="8" t="s">
        <v>730</v>
      </c>
      <c r="C764" s="8" t="s">
        <v>1371</v>
      </c>
      <c r="D764" s="8" t="s">
        <v>1372</v>
      </c>
      <c r="E764" s="8" t="s">
        <v>1373</v>
      </c>
      <c r="F764" s="8" t="s">
        <v>752</v>
      </c>
      <c r="G764" s="8" t="s">
        <v>34</v>
      </c>
      <c r="H764" s="8" t="s">
        <v>59</v>
      </c>
      <c r="I764" s="642">
        <v>44750</v>
      </c>
      <c r="J764" s="18">
        <v>44862</v>
      </c>
      <c r="K764" s="97">
        <v>44862</v>
      </c>
      <c r="L764" s="16">
        <f>IF(ISTEXT(Table15[[#This Row],[Engineering Approved Design Date]]),Table15[[#This Row],[Date Completed]]-Table15[[#This Row],[Date Assigned to Designer]],Table15[[#This Row],[Engineering Approved Design Date]]-Table15[[#This Row],[Date Completed]])</f>
        <v>0</v>
      </c>
      <c r="M764" s="642"/>
      <c r="N764" s="642" t="s">
        <v>120</v>
      </c>
      <c r="O764" s="1025">
        <v>44866</v>
      </c>
      <c r="P764" s="21" t="s">
        <v>120</v>
      </c>
      <c r="Q764" s="87">
        <f>R764*AA764</f>
        <v>40167.617399999996</v>
      </c>
      <c r="R764" s="1026">
        <v>0.09</v>
      </c>
      <c r="S764" s="538"/>
      <c r="T764" s="538"/>
      <c r="U764" s="87"/>
      <c r="V764" s="858">
        <v>1949</v>
      </c>
      <c r="W764" s="437"/>
      <c r="X764" s="570">
        <v>405369.01</v>
      </c>
      <c r="Y764" s="551"/>
      <c r="Z764" s="570">
        <v>40937.85</v>
      </c>
      <c r="AA764" s="552">
        <f>Table15[[#This Row],[PCTS Investment Amount]]+Table15[[#This Row],[PCTS Retirement Amount]]</f>
        <v>446306.86</v>
      </c>
      <c r="AB764" s="341">
        <v>44867</v>
      </c>
      <c r="AC764" s="568" t="s">
        <v>709</v>
      </c>
      <c r="AD764" s="1157" t="s">
        <v>709</v>
      </c>
      <c r="AE764" s="579"/>
      <c r="AF764" s="579"/>
      <c r="AG764" s="579"/>
      <c r="AH764" s="553"/>
      <c r="AI764" s="1036"/>
      <c r="AJ764" s="1037"/>
      <c r="AK764" s="1037"/>
      <c r="AL764" s="1038"/>
      <c r="AM764" s="1522" t="s">
        <v>116</v>
      </c>
      <c r="AN764" s="1523">
        <v>45573</v>
      </c>
      <c r="AO764" s="1524">
        <v>11091536</v>
      </c>
      <c r="AP764" s="1525">
        <v>351493.28</v>
      </c>
      <c r="AQ764" s="1525"/>
      <c r="AR764" s="1525">
        <v>40937.85</v>
      </c>
      <c r="AS764" s="1525">
        <f>IF(Table15[[#This Row],[PCTS Approved]]="N",0,Table15[[#This Row],[Investment Amount (1'#'#'#'#'#)]]+Table15[[#This Row],[Retirement Amount (3'#'#'#'#'#)]])</f>
        <v>392431.13</v>
      </c>
      <c r="AT764" s="1525">
        <f>IF(Table15[[#This Row],[Approved Construction Cost]]=0,0,Table15[[#This Row],[Approved Construction Cost]]-Table15[[#This Row],[Construction Cost to Bill From]])</f>
        <v>-53875.729999999981</v>
      </c>
      <c r="AU764" s="1525">
        <f>IFERROR(Table15[[#This Row],[Difference in Construction Cost]]*Table15[[#This Row],[Rate]],Table15[[#This Row],[Difference in Construction Cost]]*0.085)</f>
        <v>-4848.8156999999983</v>
      </c>
      <c r="AV764" s="1525">
        <v>0</v>
      </c>
      <c r="AW764" s="1526" t="s">
        <v>4974</v>
      </c>
      <c r="AX764" s="1525">
        <v>0</v>
      </c>
      <c r="AY764" s="1518">
        <v>45901</v>
      </c>
      <c r="AZ764" s="333">
        <v>28</v>
      </c>
      <c r="BA764" s="859" t="s">
        <v>1374</v>
      </c>
      <c r="BB764" s="644" t="s">
        <v>1375</v>
      </c>
      <c r="BC764" s="544" t="s">
        <v>116</v>
      </c>
      <c r="BD764" s="544" t="s">
        <v>115</v>
      </c>
      <c r="BE764" s="544" t="s">
        <v>115</v>
      </c>
      <c r="BF764" s="544" t="s">
        <v>1376</v>
      </c>
      <c r="BG764" s="544" t="s">
        <v>115</v>
      </c>
      <c r="BH764" s="741"/>
      <c r="BI764" s="547" t="s">
        <v>709</v>
      </c>
      <c r="BJ764" s="547" t="s">
        <v>709</v>
      </c>
      <c r="BK764" s="547" t="s">
        <v>709</v>
      </c>
      <c r="BL764" s="547" t="s">
        <v>116</v>
      </c>
      <c r="BM764" s="547" t="s">
        <v>709</v>
      </c>
      <c r="BN764" s="547" t="s">
        <v>709</v>
      </c>
      <c r="BO764" s="547" t="s">
        <v>709</v>
      </c>
      <c r="BP764" s="547" t="s">
        <v>709</v>
      </c>
      <c r="BQ764" s="547" t="s">
        <v>709</v>
      </c>
      <c r="BR764" s="547" t="s">
        <v>709</v>
      </c>
      <c r="BS764" s="547">
        <v>1949</v>
      </c>
      <c r="BT764" s="547" t="s">
        <v>709</v>
      </c>
      <c r="BU764" s="547" t="s">
        <v>709</v>
      </c>
      <c r="BV764" s="547" t="s">
        <v>745</v>
      </c>
      <c r="BW764" s="547" t="s">
        <v>709</v>
      </c>
      <c r="BX764" s="547" t="s">
        <v>709</v>
      </c>
      <c r="BY764" s="547" t="s">
        <v>745</v>
      </c>
      <c r="BZ764" s="547" t="s">
        <v>709</v>
      </c>
      <c r="CA764" s="483"/>
      <c r="CB764" s="547">
        <v>762</v>
      </c>
      <c r="CC764" s="1481" t="b">
        <v>1</v>
      </c>
      <c r="CD764" t="str">
        <f>Table15[[#This Row],[Engineering Number]]&amp;Table15[[#This Row],[WO Number]]&amp;Table15[[#This Row],[Date Assigned to Designer]]&amp;Table15[[#This Row],[Date Completed]]</f>
        <v>RS106210116184475044862</v>
      </c>
    </row>
    <row r="765" spans="1:82" customFormat="1" ht="15" customHeight="1" x14ac:dyDescent="0.25">
      <c r="A765">
        <v>2022</v>
      </c>
      <c r="B765" s="8" t="s">
        <v>769</v>
      </c>
      <c r="C765" s="8" t="s">
        <v>4964</v>
      </c>
      <c r="D765" s="8" t="s">
        <v>4965</v>
      </c>
      <c r="E765" s="8" t="s">
        <v>2375</v>
      </c>
      <c r="F765" s="8" t="s">
        <v>784</v>
      </c>
      <c r="G765" s="8" t="s">
        <v>24</v>
      </c>
      <c r="H765" s="8" t="s">
        <v>59</v>
      </c>
      <c r="I765" s="642">
        <v>44817</v>
      </c>
      <c r="J765" s="18">
        <v>44867</v>
      </c>
      <c r="K765" s="97">
        <v>44862</v>
      </c>
      <c r="L765" s="16">
        <f>IF(ISTEXT(Table15[[#This Row],[Engineering Approved Design Date]]),Table15[[#This Row],[Date Completed]]-Table15[[#This Row],[Date Assigned to Designer]],Table15[[#This Row],[Engineering Approved Design Date]]-Table15[[#This Row],[Date Completed]])</f>
        <v>5</v>
      </c>
      <c r="M765" s="642"/>
      <c r="N765" s="642" t="s">
        <v>120</v>
      </c>
      <c r="O765" s="1025">
        <v>44866</v>
      </c>
      <c r="P765" s="21" t="s">
        <v>739</v>
      </c>
      <c r="Q765" s="87">
        <f>R765*AA765</f>
        <v>8549.6845000000012</v>
      </c>
      <c r="R765" s="1026">
        <v>7.0000000000000007E-2</v>
      </c>
      <c r="S765" s="538"/>
      <c r="T765" s="538"/>
      <c r="U765" s="87"/>
      <c r="V765" s="858">
        <v>0</v>
      </c>
      <c r="W765" s="437"/>
      <c r="X765" s="570">
        <v>94445.52</v>
      </c>
      <c r="Y765" s="551"/>
      <c r="Z765" s="570">
        <v>27692.83</v>
      </c>
      <c r="AA765" s="552">
        <f>Table15[[#This Row],[PCTS Investment Amount]]+Table15[[#This Row],[PCTS Retirement Amount]]</f>
        <v>122138.35</v>
      </c>
      <c r="AB765" s="341">
        <v>44872</v>
      </c>
      <c r="AC765" s="568" t="s">
        <v>1056</v>
      </c>
      <c r="AD765" s="1157" t="s">
        <v>709</v>
      </c>
      <c r="AE765" s="579" t="s">
        <v>29</v>
      </c>
      <c r="AF765" s="579" t="s">
        <v>29</v>
      </c>
      <c r="AG765" s="579" t="s">
        <v>29</v>
      </c>
      <c r="AH765" s="553" t="s">
        <v>29</v>
      </c>
      <c r="AI765" s="1036"/>
      <c r="AJ765" s="1037"/>
      <c r="AK765" s="1037"/>
      <c r="AL765" s="1038"/>
      <c r="AM765" s="542" t="s">
        <v>116</v>
      </c>
      <c r="AN765" s="1508">
        <v>44936</v>
      </c>
      <c r="AO765" s="925">
        <v>11051801</v>
      </c>
      <c r="AP765" s="926">
        <v>94445.52</v>
      </c>
      <c r="AQ765" s="926"/>
      <c r="AR765" s="926">
        <v>27692.83</v>
      </c>
      <c r="AS765" s="926">
        <f>IF(Table15[[#This Row],[PCTS Approved]]="N",0,Table15[[#This Row],[Investment Amount (1'#'#'#'#'#)]]+Table15[[#This Row],[Retirement Amount (3'#'#'#'#'#)]])</f>
        <v>122138.35</v>
      </c>
      <c r="AT765" s="926">
        <f>IF(Table15[[#This Row],[Approved Construction Cost]]=0,0,Table15[[#This Row],[Approved Construction Cost]]-Table15[[#This Row],[Construction Cost to Bill From]])</f>
        <v>0</v>
      </c>
      <c r="AU765" s="926">
        <f>IFERROR(Table15[[#This Row],[Difference in Construction Cost]]*Table15[[#This Row],[Rate]],Table15[[#This Row],[Difference in Construction Cost]]*0.085)</f>
        <v>0</v>
      </c>
      <c r="AV765" s="926" t="s">
        <v>709</v>
      </c>
      <c r="AW765" s="927"/>
      <c r="AX765" s="926"/>
      <c r="AY765" s="636" t="s">
        <v>1935</v>
      </c>
      <c r="AZ765" s="1531"/>
      <c r="BA765" s="859" t="s">
        <v>4966</v>
      </c>
      <c r="BB765" s="644" t="s">
        <v>4967</v>
      </c>
      <c r="BC765" s="544" t="s">
        <v>115</v>
      </c>
      <c r="BD765" s="544" t="s">
        <v>115</v>
      </c>
      <c r="BE765" s="544" t="s">
        <v>3205</v>
      </c>
      <c r="BF765" s="544" t="s">
        <v>115</v>
      </c>
      <c r="BG765" s="544" t="s">
        <v>4968</v>
      </c>
      <c r="BH765" s="741"/>
      <c r="BI765" s="547" t="s">
        <v>709</v>
      </c>
      <c r="BJ765" s="547" t="s">
        <v>709</v>
      </c>
      <c r="BK765" s="547" t="s">
        <v>116</v>
      </c>
      <c r="BL765" s="547" t="s">
        <v>116</v>
      </c>
      <c r="BM765" s="547" t="s">
        <v>709</v>
      </c>
      <c r="BN765" s="547" t="s">
        <v>709</v>
      </c>
      <c r="BO765" s="547" t="s">
        <v>709</v>
      </c>
      <c r="BP765" s="547" t="s">
        <v>709</v>
      </c>
      <c r="BQ765" s="547" t="s">
        <v>709</v>
      </c>
      <c r="BR765" s="547">
        <v>214</v>
      </c>
      <c r="BS765" s="547" t="s">
        <v>709</v>
      </c>
      <c r="BT765" s="547" t="s">
        <v>745</v>
      </c>
      <c r="BU765" s="547" t="s">
        <v>709</v>
      </c>
      <c r="BV765" s="547" t="s">
        <v>745</v>
      </c>
      <c r="BW765" s="547" t="s">
        <v>709</v>
      </c>
      <c r="BX765" s="547" t="s">
        <v>745</v>
      </c>
      <c r="BY765" s="547">
        <v>1</v>
      </c>
      <c r="BZ765" s="547" t="s">
        <v>709</v>
      </c>
      <c r="CA765" s="483" t="s">
        <v>769</v>
      </c>
      <c r="CB765" s="547">
        <v>764</v>
      </c>
      <c r="CC765" s="1481" t="b">
        <v>1</v>
      </c>
      <c r="CD765" t="str">
        <f>Table15[[#This Row],[Engineering Number]]&amp;Table15[[#This Row],[WO Number]]&amp;Table15[[#This Row],[Date Assigned to Designer]]&amp;Table15[[#This Row],[Date Completed]]</f>
        <v>RS104810118254481744862</v>
      </c>
    </row>
    <row r="766" spans="1:82" customFormat="1" ht="15" customHeight="1" x14ac:dyDescent="0.25">
      <c r="A766">
        <v>2022</v>
      </c>
      <c r="B766" s="8" t="s">
        <v>769</v>
      </c>
      <c r="C766" s="8" t="s">
        <v>4970</v>
      </c>
      <c r="D766" s="8" t="s">
        <v>4971</v>
      </c>
      <c r="E766" s="8" t="s">
        <v>2375</v>
      </c>
      <c r="F766" s="8" t="s">
        <v>784</v>
      </c>
      <c r="G766" s="8" t="s">
        <v>24</v>
      </c>
      <c r="H766" s="8" t="s">
        <v>59</v>
      </c>
      <c r="I766" s="642">
        <v>44817</v>
      </c>
      <c r="J766" s="18">
        <v>44867</v>
      </c>
      <c r="K766" s="97">
        <v>44862</v>
      </c>
      <c r="L766" s="16">
        <f>IF(ISTEXT(Table15[[#This Row],[Engineering Approved Design Date]]),Table15[[#This Row],[Date Completed]]-Table15[[#This Row],[Date Assigned to Designer]],Table15[[#This Row],[Engineering Approved Design Date]]-Table15[[#This Row],[Date Completed]])</f>
        <v>5</v>
      </c>
      <c r="M766" s="642"/>
      <c r="N766" s="642" t="s">
        <v>120</v>
      </c>
      <c r="O766" s="1025">
        <v>44866</v>
      </c>
      <c r="P766" s="21" t="s">
        <v>739</v>
      </c>
      <c r="Q766" s="87">
        <f>R766*AA766</f>
        <v>5542.4292000000005</v>
      </c>
      <c r="R766" s="1026">
        <v>7.0000000000000007E-2</v>
      </c>
      <c r="S766" s="538"/>
      <c r="T766" s="538"/>
      <c r="U766" s="87"/>
      <c r="V766" s="858">
        <v>0</v>
      </c>
      <c r="W766" s="437"/>
      <c r="X766" s="570">
        <v>48090.79</v>
      </c>
      <c r="Y766" s="551"/>
      <c r="Z766" s="570">
        <v>31086.77</v>
      </c>
      <c r="AA766" s="552">
        <f>Table15[[#This Row],[PCTS Investment Amount]]+Table15[[#This Row],[PCTS Retirement Amount]]</f>
        <v>79177.56</v>
      </c>
      <c r="AB766" s="341">
        <v>44872</v>
      </c>
      <c r="AC766" s="568" t="s">
        <v>1056</v>
      </c>
      <c r="AD766" s="1157" t="s">
        <v>709</v>
      </c>
      <c r="AE766" s="579" t="s">
        <v>29</v>
      </c>
      <c r="AF766" s="579" t="s">
        <v>29</v>
      </c>
      <c r="AG766" s="579" t="s">
        <v>29</v>
      </c>
      <c r="AH766" s="553" t="s">
        <v>29</v>
      </c>
      <c r="AI766" s="1036"/>
      <c r="AJ766" s="1037"/>
      <c r="AK766" s="1037"/>
      <c r="AL766" s="1038"/>
      <c r="AM766" s="542" t="s">
        <v>116</v>
      </c>
      <c r="AN766" s="1508">
        <v>44936</v>
      </c>
      <c r="AO766" s="925">
        <v>11051800</v>
      </c>
      <c r="AP766" s="926">
        <v>48090.79</v>
      </c>
      <c r="AQ766" s="926"/>
      <c r="AR766" s="926">
        <v>31086.77</v>
      </c>
      <c r="AS766" s="926">
        <f>IF(Table15[[#This Row],[PCTS Approved]]="N",0,Table15[[#This Row],[Investment Amount (1'#'#'#'#'#)]]+Table15[[#This Row],[Retirement Amount (3'#'#'#'#'#)]])</f>
        <v>79177.56</v>
      </c>
      <c r="AT766" s="926">
        <f>IF(Table15[[#This Row],[Approved Construction Cost]]=0,0,Table15[[#This Row],[Approved Construction Cost]]-Table15[[#This Row],[Construction Cost to Bill From]])</f>
        <v>0</v>
      </c>
      <c r="AU766" s="926">
        <f>IFERROR(Table15[[#This Row],[Difference in Construction Cost]]*Table15[[#This Row],[Rate]],Table15[[#This Row],[Difference in Construction Cost]]*0.085)</f>
        <v>0</v>
      </c>
      <c r="AV766" s="926" t="s">
        <v>709</v>
      </c>
      <c r="AW766" s="927"/>
      <c r="AX766" s="926"/>
      <c r="AY766" s="636" t="s">
        <v>1935</v>
      </c>
      <c r="AZ766" s="1531"/>
      <c r="BA766" s="859" t="s">
        <v>4972</v>
      </c>
      <c r="BB766" s="644" t="s">
        <v>4967</v>
      </c>
      <c r="BC766" s="544" t="s">
        <v>115</v>
      </c>
      <c r="BD766" s="544" t="s">
        <v>115</v>
      </c>
      <c r="BE766" s="544" t="s">
        <v>3205</v>
      </c>
      <c r="BF766" s="544" t="s">
        <v>115</v>
      </c>
      <c r="BG766" s="544" t="s">
        <v>4968</v>
      </c>
      <c r="BH766" s="741"/>
      <c r="BI766" s="547" t="s">
        <v>709</v>
      </c>
      <c r="BJ766" s="547" t="s">
        <v>709</v>
      </c>
      <c r="BK766" s="547" t="s">
        <v>116</v>
      </c>
      <c r="BL766" s="547" t="s">
        <v>116</v>
      </c>
      <c r="BM766" s="547" t="s">
        <v>709</v>
      </c>
      <c r="BN766" s="547" t="s">
        <v>709</v>
      </c>
      <c r="BO766" s="547" t="s">
        <v>709</v>
      </c>
      <c r="BP766" s="547" t="s">
        <v>709</v>
      </c>
      <c r="BQ766" s="547" t="s">
        <v>709</v>
      </c>
      <c r="BR766" s="547">
        <v>214</v>
      </c>
      <c r="BS766" s="547" t="s">
        <v>709</v>
      </c>
      <c r="BT766" s="547" t="s">
        <v>745</v>
      </c>
      <c r="BU766" s="547" t="s">
        <v>709</v>
      </c>
      <c r="BV766" s="547" t="s">
        <v>745</v>
      </c>
      <c r="BW766" s="547" t="s">
        <v>709</v>
      </c>
      <c r="BX766" s="547" t="s">
        <v>745</v>
      </c>
      <c r="BY766" s="547">
        <v>1</v>
      </c>
      <c r="BZ766" s="547" t="s">
        <v>709</v>
      </c>
      <c r="CA766" s="483" t="s">
        <v>769</v>
      </c>
      <c r="CB766" s="547">
        <v>765</v>
      </c>
      <c r="CC766" s="1481" t="b">
        <v>1</v>
      </c>
      <c r="CD766" t="str">
        <f>Table15[[#This Row],[Engineering Number]]&amp;Table15[[#This Row],[WO Number]]&amp;Table15[[#This Row],[Date Assigned to Designer]]&amp;Table15[[#This Row],[Date Completed]]</f>
        <v>RS104910118264481744862</v>
      </c>
    </row>
    <row r="767" spans="1:82" customFormat="1" ht="15" customHeight="1" x14ac:dyDescent="0.25">
      <c r="A767">
        <v>2021</v>
      </c>
      <c r="B767" s="8" t="s">
        <v>771</v>
      </c>
      <c r="C767" s="8" t="s">
        <v>1238</v>
      </c>
      <c r="D767" s="8" t="s">
        <v>1239</v>
      </c>
      <c r="E767" s="8" t="s">
        <v>272</v>
      </c>
      <c r="F767" s="8" t="s">
        <v>919</v>
      </c>
      <c r="G767" s="8" t="s">
        <v>1882</v>
      </c>
      <c r="H767" s="8" t="s">
        <v>3178</v>
      </c>
      <c r="I767" s="642">
        <v>44827</v>
      </c>
      <c r="J767" s="175" t="s">
        <v>2052</v>
      </c>
      <c r="K767" s="97">
        <v>44862</v>
      </c>
      <c r="L767" s="16">
        <f>IF(ISTEXT(Table15[[#This Row],[Engineering Approved Design Date]]),Table15[[#This Row],[Date Completed]]-Table15[[#This Row],[Date Assigned to Designer]],Table15[[#This Row],[Engineering Approved Design Date]]-Table15[[#This Row],[Date Completed]])</f>
        <v>35</v>
      </c>
      <c r="M767" t="s">
        <v>4961</v>
      </c>
      <c r="N767" s="642" t="s">
        <v>120</v>
      </c>
      <c r="O767" s="1025">
        <v>44866</v>
      </c>
      <c r="P767" s="21" t="s">
        <v>120</v>
      </c>
      <c r="Q767" s="300">
        <f>Table15[[#This Row],[KH Hourly Effort]]</f>
        <v>9517.5</v>
      </c>
      <c r="R767" s="1026" t="s">
        <v>1922</v>
      </c>
      <c r="S767" s="538"/>
      <c r="T767" s="538"/>
      <c r="U767" s="1061">
        <v>9517.5</v>
      </c>
      <c r="V767" s="858"/>
      <c r="W767" s="437"/>
      <c r="X767" s="538"/>
      <c r="Y767" s="551"/>
      <c r="Z767" s="538"/>
      <c r="AA767" s="552"/>
      <c r="AB767" s="341" t="s">
        <v>29</v>
      </c>
      <c r="AC767" s="569"/>
      <c r="AD767" s="1149" t="s">
        <v>709</v>
      </c>
      <c r="AE767" s="569"/>
      <c r="AF767" s="569"/>
      <c r="AG767" s="569"/>
      <c r="AH767" s="536"/>
      <c r="AI767" s="1028"/>
      <c r="AJ767" s="1029"/>
      <c r="AK767" s="1029"/>
      <c r="AL767" s="1030"/>
      <c r="AM767" s="542" t="s">
        <v>709</v>
      </c>
      <c r="AN767" s="924"/>
      <c r="AO767" s="925"/>
      <c r="AP767" s="926"/>
      <c r="AQ767" s="926"/>
      <c r="AR767" s="926"/>
      <c r="AS767" s="926"/>
      <c r="AT767" s="926"/>
      <c r="AU767" s="926"/>
      <c r="AV767" s="926"/>
      <c r="AW767" s="927"/>
      <c r="AX767" s="926"/>
      <c r="AY767" s="1538" t="s">
        <v>29</v>
      </c>
      <c r="AZ767" s="1530"/>
      <c r="BA767" s="1031">
        <v>11</v>
      </c>
      <c r="BB767" s="644" t="s">
        <v>4962</v>
      </c>
      <c r="BC767" s="544"/>
      <c r="BD767" s="544"/>
      <c r="BE767" s="544"/>
      <c r="BF767" s="544"/>
      <c r="BG767" s="544"/>
      <c r="BH767" s="741"/>
      <c r="BI767" s="547" t="s">
        <v>709</v>
      </c>
      <c r="BJ767" s="547" t="s">
        <v>709</v>
      </c>
      <c r="BK767" s="547" t="s">
        <v>709</v>
      </c>
      <c r="BL767" s="547" t="s">
        <v>116</v>
      </c>
      <c r="BM767" s="547" t="s">
        <v>709</v>
      </c>
      <c r="BN767" s="547" t="s">
        <v>709</v>
      </c>
      <c r="BO767" s="547" t="s">
        <v>709</v>
      </c>
      <c r="BP767" s="547" t="s">
        <v>709</v>
      </c>
      <c r="BQ767" s="547">
        <v>1164</v>
      </c>
      <c r="BR767" s="547" t="s">
        <v>709</v>
      </c>
      <c r="BS767" s="547">
        <v>789</v>
      </c>
      <c r="BT767" s="547" t="s">
        <v>745</v>
      </c>
      <c r="BU767" s="547" t="s">
        <v>709</v>
      </c>
      <c r="BV767" s="547" t="s">
        <v>745</v>
      </c>
      <c r="BW767" s="547" t="s">
        <v>709</v>
      </c>
      <c r="BX767" s="547" t="s">
        <v>745</v>
      </c>
      <c r="BY767" s="547" t="s">
        <v>745</v>
      </c>
      <c r="BZ767" s="547" t="s">
        <v>709</v>
      </c>
      <c r="CA767" s="483"/>
      <c r="CB767" s="547">
        <v>763</v>
      </c>
      <c r="CC767" s="1481" t="b">
        <v>1</v>
      </c>
      <c r="CD767" t="str">
        <f>Table15[[#This Row],[Engineering Number]]&amp;Table15[[#This Row],[WO Number]]&amp;Table15[[#This Row],[Date Assigned to Designer]]&amp;Table15[[#This Row],[Date Completed]]</f>
        <v>BS194D-112104604482744862</v>
      </c>
    </row>
    <row r="768" spans="1:82" customFormat="1" ht="15" customHeight="1" x14ac:dyDescent="0.25">
      <c r="A768">
        <v>2023</v>
      </c>
      <c r="B768" s="8" t="s">
        <v>769</v>
      </c>
      <c r="C768" s="8" t="s">
        <v>314</v>
      </c>
      <c r="D768" s="8" t="s">
        <v>115</v>
      </c>
      <c r="E768" s="8" t="s">
        <v>312</v>
      </c>
      <c r="F768" s="8" t="s">
        <v>752</v>
      </c>
      <c r="G768" s="8" t="s">
        <v>40</v>
      </c>
      <c r="H768" s="647" t="s">
        <v>2127</v>
      </c>
      <c r="I768" s="642">
        <v>44865</v>
      </c>
      <c r="J768" s="18">
        <v>44957</v>
      </c>
      <c r="K768" s="18">
        <v>44865</v>
      </c>
      <c r="L768" s="16">
        <f>IF(ISTEXT(Table15[[#This Row],[Engineering Approved Design Date]]),Table15[[#This Row],[Date Completed]]-Table15[[#This Row],[Date Assigned to Designer]],Table15[[#This Row],[Engineering Approved Design Date]]-Table15[[#This Row],[Date Completed]])</f>
        <v>92</v>
      </c>
      <c r="M768" s="642" t="s">
        <v>4989</v>
      </c>
      <c r="N768" s="642" t="s">
        <v>120</v>
      </c>
      <c r="O768" s="1025">
        <v>44866</v>
      </c>
      <c r="P768" s="21" t="s">
        <v>120</v>
      </c>
      <c r="Q768" s="87" t="s">
        <v>115</v>
      </c>
      <c r="R768" s="1026" t="s">
        <v>115</v>
      </c>
      <c r="S768" s="538"/>
      <c r="T768" s="538"/>
      <c r="U768" s="87"/>
      <c r="V768" s="857"/>
      <c r="W768" s="440"/>
      <c r="X768" s="550"/>
      <c r="Y768" s="550"/>
      <c r="Z768" s="550"/>
      <c r="AA768" s="551"/>
      <c r="AB768" s="341" t="s">
        <v>29</v>
      </c>
      <c r="AC768" s="568" t="s">
        <v>29</v>
      </c>
      <c r="AD768" s="1157"/>
      <c r="AE768" s="579"/>
      <c r="AF768" s="579"/>
      <c r="AG768" s="579"/>
      <c r="AH768" s="553"/>
      <c r="AI768" s="1036"/>
      <c r="AJ768" s="1037"/>
      <c r="AK768" s="1037"/>
      <c r="AL768" s="1038"/>
      <c r="AM768" s="542" t="s">
        <v>709</v>
      </c>
      <c r="AN768" s="924"/>
      <c r="AO768" s="925"/>
      <c r="AP768" s="926"/>
      <c r="AQ768" s="926"/>
      <c r="AR768" s="926"/>
      <c r="AS768" s="926"/>
      <c r="AT768" s="926"/>
      <c r="AU768" s="926"/>
      <c r="AV768" s="926"/>
      <c r="AW768" s="927"/>
      <c r="AX768" s="926"/>
      <c r="AY768" s="1538" t="s">
        <v>29</v>
      </c>
      <c r="AZ768" s="1530"/>
      <c r="BA768" s="1031" t="s">
        <v>4990</v>
      </c>
      <c r="BB768" s="644" t="s">
        <v>4991</v>
      </c>
      <c r="BC768" s="544"/>
      <c r="BD768" s="544"/>
      <c r="BE768" s="544"/>
      <c r="BF768" s="544"/>
      <c r="BG768" s="544"/>
      <c r="BH768" s="741"/>
      <c r="BI768" s="547"/>
      <c r="BJ768" s="547"/>
      <c r="BK768" s="547"/>
      <c r="BL768" s="547"/>
      <c r="BM768" s="547"/>
      <c r="BN768" s="547"/>
      <c r="BO768" s="547"/>
      <c r="BP768" s="547"/>
      <c r="BQ768" s="547"/>
      <c r="BR768" s="547"/>
      <c r="BS768" s="547"/>
      <c r="BT768" s="547"/>
      <c r="BU768" s="547"/>
      <c r="BV768" s="547"/>
      <c r="BW768" s="547"/>
      <c r="BX768" s="547"/>
      <c r="BY768" s="547"/>
      <c r="BZ768" s="547" t="s">
        <v>709</v>
      </c>
      <c r="CA768" s="483" t="s">
        <v>769</v>
      </c>
      <c r="CB768" s="547">
        <v>767</v>
      </c>
      <c r="CC768" s="1481" t="b">
        <v>1</v>
      </c>
      <c r="CD768" t="str">
        <f>Table15[[#This Row],[Engineering Number]]&amp;Table15[[#This Row],[WO Number]]&amp;Table15[[#This Row],[Date Assigned to Designer]]&amp;Table15[[#This Row],[Date Completed]]</f>
        <v>RS1103-4486544865</v>
      </c>
    </row>
    <row r="769" spans="1:82" customFormat="1" ht="15" customHeight="1" x14ac:dyDescent="0.25">
      <c r="A769">
        <v>2022</v>
      </c>
      <c r="B769" s="8" t="s">
        <v>1205</v>
      </c>
      <c r="C769" s="8" t="s">
        <v>4976</v>
      </c>
      <c r="D769" s="8" t="s">
        <v>4977</v>
      </c>
      <c r="E769" s="8" t="s">
        <v>2000</v>
      </c>
      <c r="F769" s="8" t="s">
        <v>784</v>
      </c>
      <c r="G769" s="8" t="s">
        <v>22</v>
      </c>
      <c r="H769" s="8" t="s">
        <v>59</v>
      </c>
      <c r="I769" s="642">
        <v>44826</v>
      </c>
      <c r="J769" s="18">
        <v>44868</v>
      </c>
      <c r="K769" s="97">
        <v>44865</v>
      </c>
      <c r="L769" s="16">
        <f>IF(ISTEXT(Table15[[#This Row],[Engineering Approved Design Date]]),Table15[[#This Row],[Date Completed]]-Table15[[#This Row],[Date Assigned to Designer]],Table15[[#This Row],[Engineering Approved Design Date]]-Table15[[#This Row],[Date Completed]])</f>
        <v>3</v>
      </c>
      <c r="M769" s="642"/>
      <c r="N769" s="642" t="s">
        <v>120</v>
      </c>
      <c r="O769" s="1025">
        <v>44866</v>
      </c>
      <c r="P769" s="21" t="s">
        <v>739</v>
      </c>
      <c r="Q769" s="87">
        <f>R769*AA769</f>
        <v>20247.030900000002</v>
      </c>
      <c r="R769" s="1026">
        <v>0.09</v>
      </c>
      <c r="S769" s="538"/>
      <c r="T769" s="538"/>
      <c r="U769" s="87"/>
      <c r="V769" s="858">
        <v>602</v>
      </c>
      <c r="W769" s="437"/>
      <c r="X769" s="570">
        <v>199938.94</v>
      </c>
      <c r="Y769" s="551"/>
      <c r="Z769" s="552">
        <v>25028.07</v>
      </c>
      <c r="AA769" s="552">
        <f>Table15[[#This Row],[PCTS Investment Amount]]+Table15[[#This Row],[PCTS Retirement Amount]]</f>
        <v>224967.01</v>
      </c>
      <c r="AB769" s="341">
        <v>44881</v>
      </c>
      <c r="AC769" s="568" t="s">
        <v>709</v>
      </c>
      <c r="AD769" s="1157" t="s">
        <v>29</v>
      </c>
      <c r="AE769" s="568"/>
      <c r="AF769" s="568"/>
      <c r="AG769" s="568"/>
      <c r="AH769" s="183"/>
      <c r="AI769" s="1036"/>
      <c r="AJ769" s="1037"/>
      <c r="AK769" s="1037"/>
      <c r="AL769" s="1038"/>
      <c r="AM769" s="1522" t="s">
        <v>116</v>
      </c>
      <c r="AN769" s="1523">
        <v>44965</v>
      </c>
      <c r="AO769" s="1524">
        <v>11053531</v>
      </c>
      <c r="AP769" s="1525">
        <v>212250.89</v>
      </c>
      <c r="AQ769" s="1525"/>
      <c r="AR769" s="1525">
        <v>25610.47</v>
      </c>
      <c r="AS769" s="1525">
        <f>IF(Table15[[#This Row],[PCTS Approved]]="N",0,Table15[[#This Row],[Investment Amount (1'#'#'#'#'#)]]+Table15[[#This Row],[Retirement Amount (3'#'#'#'#'#)]])</f>
        <v>237861.36000000002</v>
      </c>
      <c r="AT769" s="1525">
        <f>IF(Table15[[#This Row],[Approved Construction Cost]]=0,0,Table15[[#This Row],[Approved Construction Cost]]-Table15[[#This Row],[Construction Cost to Bill From]])</f>
        <v>12894.350000000006</v>
      </c>
      <c r="AU769" s="1525">
        <f>IFERROR(Table15[[#This Row],[Difference in Construction Cost]]*Table15[[#This Row],[Rate]],Table15[[#This Row],[Difference in Construction Cost]]*0.085)</f>
        <v>1160.4915000000005</v>
      </c>
      <c r="AV769" s="1525">
        <v>3780</v>
      </c>
      <c r="AW769" s="1526" t="s">
        <v>4978</v>
      </c>
      <c r="AX769" s="1525">
        <v>0</v>
      </c>
      <c r="AY769" s="1518">
        <v>45200</v>
      </c>
      <c r="AZ769" s="333"/>
      <c r="BA769" s="859" t="s">
        <v>4979</v>
      </c>
      <c r="BB769" s="644" t="s">
        <v>4980</v>
      </c>
      <c r="BC769" s="544" t="s">
        <v>709</v>
      </c>
      <c r="BD769" s="544" t="s">
        <v>115</v>
      </c>
      <c r="BE769" s="544" t="s">
        <v>4667</v>
      </c>
      <c r="BF769" s="544" t="s">
        <v>115</v>
      </c>
      <c r="BG769" s="544" t="s">
        <v>115</v>
      </c>
      <c r="BH769" s="741"/>
      <c r="BI769" s="547" t="s">
        <v>709</v>
      </c>
      <c r="BJ769" s="547" t="s">
        <v>709</v>
      </c>
      <c r="BK769" s="547" t="s">
        <v>709</v>
      </c>
      <c r="BL769" s="547" t="s">
        <v>116</v>
      </c>
      <c r="BM769" s="547" t="s">
        <v>709</v>
      </c>
      <c r="BN769" s="547" t="s">
        <v>709</v>
      </c>
      <c r="BO769" s="547" t="s">
        <v>709</v>
      </c>
      <c r="BP769" s="547" t="s">
        <v>709</v>
      </c>
      <c r="BQ769" s="547" t="s">
        <v>709</v>
      </c>
      <c r="BR769" s="547" t="s">
        <v>709</v>
      </c>
      <c r="BS769" s="547">
        <v>602</v>
      </c>
      <c r="BT769" s="547" t="s">
        <v>745</v>
      </c>
      <c r="BU769" s="547" t="s">
        <v>709</v>
      </c>
      <c r="BV769" s="547" t="s">
        <v>745</v>
      </c>
      <c r="BW769" s="547" t="s">
        <v>709</v>
      </c>
      <c r="BX769" s="547" t="s">
        <v>745</v>
      </c>
      <c r="BY769" s="547" t="s">
        <v>745</v>
      </c>
      <c r="BZ769" s="547" t="s">
        <v>709</v>
      </c>
      <c r="CA769" s="483"/>
      <c r="CB769" s="547">
        <v>766</v>
      </c>
      <c r="CC769" s="1481" t="b">
        <v>1</v>
      </c>
      <c r="CD769" t="str">
        <f>Table15[[#This Row],[Engineering Number]]&amp;Table15[[#This Row],[WO Number]]&amp;Table15[[#This Row],[Date Assigned to Designer]]&amp;Table15[[#This Row],[Date Completed]]</f>
        <v>MR193712118604482644865</v>
      </c>
    </row>
    <row r="770" spans="1:82" customFormat="1" ht="15" customHeight="1" x14ac:dyDescent="0.25">
      <c r="A770">
        <v>2022</v>
      </c>
      <c r="B770" s="8" t="s">
        <v>4</v>
      </c>
      <c r="C770" s="8" t="s">
        <v>4982</v>
      </c>
      <c r="D770" s="8" t="s">
        <v>4983</v>
      </c>
      <c r="E770" s="8" t="s">
        <v>232</v>
      </c>
      <c r="F770" s="8" t="s">
        <v>747</v>
      </c>
      <c r="G770" s="8" t="s">
        <v>25</v>
      </c>
      <c r="H770" s="8" t="s">
        <v>59</v>
      </c>
      <c r="I770" s="642">
        <v>44784</v>
      </c>
      <c r="J770" s="18">
        <v>44897</v>
      </c>
      <c r="K770" s="97">
        <v>44865</v>
      </c>
      <c r="L770" s="16">
        <f>IF(ISTEXT(Table15[[#This Row],[Engineering Approved Design Date]]),Table15[[#This Row],[Date Completed]]-Table15[[#This Row],[Date Assigned to Designer]],Table15[[#This Row],[Engineering Approved Design Date]]-Table15[[#This Row],[Date Completed]])</f>
        <v>32</v>
      </c>
      <c r="M770" s="642"/>
      <c r="N770" s="642" t="s">
        <v>120</v>
      </c>
      <c r="O770" s="1025">
        <v>44866</v>
      </c>
      <c r="P770" s="21" t="s">
        <v>739</v>
      </c>
      <c r="Q770" s="1061">
        <f>R770*AA770</f>
        <v>11657.741000000002</v>
      </c>
      <c r="R770" s="1026">
        <v>0.1</v>
      </c>
      <c r="S770" s="538"/>
      <c r="T770" s="538"/>
      <c r="U770" s="87"/>
      <c r="V770" s="858">
        <v>265</v>
      </c>
      <c r="W770" s="437"/>
      <c r="X770" s="570">
        <v>100100.08</v>
      </c>
      <c r="Y770" s="551"/>
      <c r="Z770" s="552">
        <v>16477.330000000002</v>
      </c>
      <c r="AA770" s="552">
        <f>Table15[[#This Row],[PCTS Investment Amount]]+Table15[[#This Row],[PCTS Retirement Amount]]</f>
        <v>116577.41</v>
      </c>
      <c r="AB770" s="341" t="s">
        <v>29</v>
      </c>
      <c r="AC770" s="568" t="s">
        <v>709</v>
      </c>
      <c r="AD770" s="1157" t="s">
        <v>709</v>
      </c>
      <c r="AE770" s="579"/>
      <c r="AF770" s="579"/>
      <c r="AG770" s="569"/>
      <c r="AH770" s="553"/>
      <c r="AI770" s="1036"/>
      <c r="AJ770" s="1037"/>
      <c r="AK770" s="1037"/>
      <c r="AL770" s="1038"/>
      <c r="AM770" s="1522" t="s">
        <v>116</v>
      </c>
      <c r="AN770" s="1523">
        <v>44924</v>
      </c>
      <c r="AO770" s="1524">
        <v>11051319</v>
      </c>
      <c r="AP770" s="1525">
        <v>89934.09</v>
      </c>
      <c r="AQ770" s="1525"/>
      <c r="AR770" s="1525">
        <v>16893.810000000001</v>
      </c>
      <c r="AS770" s="1525">
        <f>IF(Table15[[#This Row],[PCTS Approved]]="N",0,Table15[[#This Row],[Investment Amount (1'#'#'#'#'#)]]+Table15[[#This Row],[Retirement Amount (3'#'#'#'#'#)]])</f>
        <v>106827.9</v>
      </c>
      <c r="AT770" s="1525">
        <f>IF(Table15[[#This Row],[Approved Construction Cost]]=0,0,Table15[[#This Row],[Approved Construction Cost]]-Table15[[#This Row],[Construction Cost to Bill From]])</f>
        <v>-9749.5100000000093</v>
      </c>
      <c r="AU770" s="1525">
        <f>IFERROR(Table15[[#This Row],[Difference in Construction Cost]]*Table15[[#This Row],[Rate]],Table15[[#This Row],[Difference in Construction Cost]]*0.085)</f>
        <v>-974.95100000000093</v>
      </c>
      <c r="AV770" s="1525" t="s">
        <v>709</v>
      </c>
      <c r="AW770" s="1526" t="s">
        <v>4984</v>
      </c>
      <c r="AX770" s="1525">
        <f>Table15[[#This Row],[Reconcile Amount]]</f>
        <v>-974.95100000000093</v>
      </c>
      <c r="AY770" s="1518">
        <v>45008</v>
      </c>
      <c r="AZ770" s="333"/>
      <c r="BA770" s="1031" t="s">
        <v>4985</v>
      </c>
      <c r="BB770" s="644" t="s">
        <v>4986</v>
      </c>
      <c r="BC770" s="544" t="s">
        <v>115</v>
      </c>
      <c r="BD770" s="544" t="s">
        <v>837</v>
      </c>
      <c r="BE770" s="544" t="s">
        <v>4987</v>
      </c>
      <c r="BF770" s="544" t="s">
        <v>595</v>
      </c>
      <c r="BG770" s="544" t="s">
        <v>115</v>
      </c>
      <c r="BH770" s="741"/>
      <c r="BI770" s="547" t="s">
        <v>709</v>
      </c>
      <c r="BJ770" s="547" t="s">
        <v>709</v>
      </c>
      <c r="BK770" s="547" t="s">
        <v>709</v>
      </c>
      <c r="BL770" s="547" t="s">
        <v>116</v>
      </c>
      <c r="BM770" s="547" t="s">
        <v>709</v>
      </c>
      <c r="BN770" s="547" t="s">
        <v>709</v>
      </c>
      <c r="BO770" s="547" t="s">
        <v>709</v>
      </c>
      <c r="BP770" s="547" t="s">
        <v>709</v>
      </c>
      <c r="BQ770" s="547" t="s">
        <v>709</v>
      </c>
      <c r="BR770" s="547" t="s">
        <v>709</v>
      </c>
      <c r="BS770" s="547">
        <v>265</v>
      </c>
      <c r="BT770" s="547" t="s">
        <v>745</v>
      </c>
      <c r="BU770" s="547" t="s">
        <v>709</v>
      </c>
      <c r="BV770" s="547" t="s">
        <v>745</v>
      </c>
      <c r="BW770" s="547" t="s">
        <v>709</v>
      </c>
      <c r="BX770" s="547" t="s">
        <v>745</v>
      </c>
      <c r="BY770" s="547" t="s">
        <v>745</v>
      </c>
      <c r="BZ770" s="547" t="s">
        <v>709</v>
      </c>
      <c r="CA770" s="483"/>
      <c r="CB770" s="547">
        <v>768</v>
      </c>
      <c r="CC770" s="1481" t="b">
        <v>1</v>
      </c>
      <c r="CD770" t="str">
        <f>Table15[[#This Row],[Engineering Number]]&amp;Table15[[#This Row],[WO Number]]&amp;Table15[[#This Row],[Date Assigned to Designer]]&amp;Table15[[#This Row],[Date Completed]]</f>
        <v>SC2123414118544478444865</v>
      </c>
    </row>
    <row r="771" spans="1:82" customFormat="1" ht="15" customHeight="1" x14ac:dyDescent="0.25">
      <c r="A771">
        <v>2022</v>
      </c>
      <c r="B771" s="8" t="s">
        <v>4</v>
      </c>
      <c r="C771" s="8" t="s">
        <v>4993</v>
      </c>
      <c r="D771" s="8" t="s">
        <v>4994</v>
      </c>
      <c r="E771" s="8" t="s">
        <v>76</v>
      </c>
      <c r="F771" s="8" t="s">
        <v>784</v>
      </c>
      <c r="G771" s="8" t="s">
        <v>27</v>
      </c>
      <c r="H771" s="8" t="s">
        <v>59</v>
      </c>
      <c r="I771" s="642">
        <v>44718</v>
      </c>
      <c r="J771" s="18">
        <v>44869</v>
      </c>
      <c r="K771" s="97">
        <v>44868</v>
      </c>
      <c r="L771" s="16">
        <f>IF(ISTEXT(Table15[[#This Row],[Engineering Approved Design Date]]),Table15[[#This Row],[Date Completed]]-Table15[[#This Row],[Date Assigned to Designer]],Table15[[#This Row],[Engineering Approved Design Date]]-Table15[[#This Row],[Date Completed]])</f>
        <v>1</v>
      </c>
      <c r="M771" s="642"/>
      <c r="N771" s="642" t="s">
        <v>120</v>
      </c>
      <c r="O771" s="1060">
        <v>44896</v>
      </c>
      <c r="P771" s="21" t="s">
        <v>739</v>
      </c>
      <c r="Q771" s="1061">
        <f>R771*AA771</f>
        <v>60948.31700000001</v>
      </c>
      <c r="R771" s="1026">
        <v>0.1</v>
      </c>
      <c r="S771" s="538"/>
      <c r="T771" s="538"/>
      <c r="U771" s="87"/>
      <c r="V771" s="858">
        <v>3566</v>
      </c>
      <c r="W771" s="437"/>
      <c r="X771" s="570">
        <v>592642.12</v>
      </c>
      <c r="Y771" s="551"/>
      <c r="Z771" s="570">
        <v>16841.05</v>
      </c>
      <c r="AA771" s="552">
        <f>Table15[[#This Row],[PCTS Investment Amount]]+Table15[[#This Row],[PCTS Retirement Amount]]</f>
        <v>609483.17000000004</v>
      </c>
      <c r="AB771" s="341">
        <v>44881</v>
      </c>
      <c r="AC771" s="568" t="s">
        <v>709</v>
      </c>
      <c r="AD771" s="1157" t="s">
        <v>709</v>
      </c>
      <c r="AE771" s="579"/>
      <c r="AF771" s="579"/>
      <c r="AG771" s="579"/>
      <c r="AH771" s="553"/>
      <c r="AI771" s="1036"/>
      <c r="AJ771" s="1037"/>
      <c r="AK771" s="1037"/>
      <c r="AL771" s="1038"/>
      <c r="AM771" s="1522" t="s">
        <v>116</v>
      </c>
      <c r="AN771" s="1523">
        <v>45006</v>
      </c>
      <c r="AO771" s="1524">
        <v>11055878</v>
      </c>
      <c r="AP771" s="1525">
        <v>685425.94</v>
      </c>
      <c r="AQ771" s="1525"/>
      <c r="AR771" s="1525">
        <v>17367.62</v>
      </c>
      <c r="AS771" s="1525">
        <f>IF(Table15[[#This Row],[PCTS Approved]]="N",0,Table15[[#This Row],[Investment Amount (1'#'#'#'#'#)]]+Table15[[#This Row],[Retirement Amount (3'#'#'#'#'#)]])</f>
        <v>702793.55999999994</v>
      </c>
      <c r="AT771" s="1525">
        <f>IF(Table15[[#This Row],[Approved Construction Cost]]=0,0,Table15[[#This Row],[Approved Construction Cost]]-Table15[[#This Row],[Construction Cost to Bill From]])</f>
        <v>93310.389999999898</v>
      </c>
      <c r="AU771" s="1525">
        <f>IFERROR(Table15[[#This Row],[Difference in Construction Cost]]*Table15[[#This Row],[Rate]],Table15[[#This Row],[Difference in Construction Cost]]*0.085)</f>
        <v>9331.0389999999898</v>
      </c>
      <c r="AV771" s="1525" t="s">
        <v>709</v>
      </c>
      <c r="AW771" s="1526" t="s">
        <v>4995</v>
      </c>
      <c r="AX771" s="1525">
        <v>9331.0389999999898</v>
      </c>
      <c r="AY771" s="1518">
        <v>45200</v>
      </c>
      <c r="AZ771" s="333"/>
      <c r="BA771" s="859" t="s">
        <v>4996</v>
      </c>
      <c r="BB771" s="644" t="s">
        <v>4997</v>
      </c>
      <c r="BC771" s="544" t="s">
        <v>115</v>
      </c>
      <c r="BD771" s="544" t="s">
        <v>115</v>
      </c>
      <c r="BE771" s="544" t="s">
        <v>4997</v>
      </c>
      <c r="BF771" s="544" t="s">
        <v>115</v>
      </c>
      <c r="BG771" s="544" t="s">
        <v>115</v>
      </c>
      <c r="BH771" s="741"/>
      <c r="BI771" s="547" t="s">
        <v>709</v>
      </c>
      <c r="BJ771" s="547" t="s">
        <v>709</v>
      </c>
      <c r="BK771" s="547" t="s">
        <v>709</v>
      </c>
      <c r="BL771" s="547" t="s">
        <v>116</v>
      </c>
      <c r="BM771" s="547" t="s">
        <v>709</v>
      </c>
      <c r="BN771" s="547" t="s">
        <v>709</v>
      </c>
      <c r="BO771" s="547" t="s">
        <v>709</v>
      </c>
      <c r="BP771" s="547" t="s">
        <v>709</v>
      </c>
      <c r="BQ771" s="547" t="s">
        <v>709</v>
      </c>
      <c r="BR771" s="547" t="s">
        <v>709</v>
      </c>
      <c r="BS771" s="547">
        <v>3566</v>
      </c>
      <c r="BT771" s="547" t="s">
        <v>745</v>
      </c>
      <c r="BU771" s="547" t="s">
        <v>709</v>
      </c>
      <c r="BV771" s="547" t="s">
        <v>745</v>
      </c>
      <c r="BW771" s="547" t="s">
        <v>709</v>
      </c>
      <c r="BX771" s="547" t="s">
        <v>745</v>
      </c>
      <c r="BY771" s="547" t="s">
        <v>745</v>
      </c>
      <c r="BZ771" s="547" t="s">
        <v>709</v>
      </c>
      <c r="CA771" s="483"/>
      <c r="CB771" s="547">
        <v>769</v>
      </c>
      <c r="CC771" s="1481" t="b">
        <v>1</v>
      </c>
      <c r="CD771" t="str">
        <f>Table15[[#This Row],[Engineering Number]]&amp;Table15[[#This Row],[WO Number]]&amp;Table15[[#This Row],[Date Assigned to Designer]]&amp;Table15[[#This Row],[Date Completed]]</f>
        <v>N1469112117794471844868</v>
      </c>
    </row>
    <row r="772" spans="1:82" customFormat="1" ht="15" customHeight="1" x14ac:dyDescent="0.25">
      <c r="A772">
        <v>2022</v>
      </c>
      <c r="B772" s="8" t="s">
        <v>4</v>
      </c>
      <c r="C772" s="8" t="s">
        <v>4999</v>
      </c>
      <c r="D772" s="8" t="s">
        <v>5000</v>
      </c>
      <c r="E772" s="8" t="s">
        <v>2092</v>
      </c>
      <c r="F772" s="8" t="s">
        <v>747</v>
      </c>
      <c r="G772" s="8" t="s">
        <v>27</v>
      </c>
      <c r="H772" s="8" t="s">
        <v>59</v>
      </c>
      <c r="I772" s="642">
        <v>44721</v>
      </c>
      <c r="J772" s="18">
        <v>44896</v>
      </c>
      <c r="K772" s="97">
        <v>44872</v>
      </c>
      <c r="L772" s="16">
        <f>IF(ISTEXT(Table15[[#This Row],[Engineering Approved Design Date]]),Table15[[#This Row],[Date Completed]]-Table15[[#This Row],[Date Assigned to Designer]],Table15[[#This Row],[Engineering Approved Design Date]]-Table15[[#This Row],[Date Completed]])</f>
        <v>24</v>
      </c>
      <c r="M772" s="642"/>
      <c r="N772" s="642" t="s">
        <v>120</v>
      </c>
      <c r="O772" s="1025">
        <f>Table15[[#This Row],[Date Completed]]</f>
        <v>44872</v>
      </c>
      <c r="P772" s="21" t="s">
        <v>739</v>
      </c>
      <c r="Q772" s="1061">
        <f>R772*AA772</f>
        <v>14060.824000000001</v>
      </c>
      <c r="R772" s="1026">
        <v>0.1</v>
      </c>
      <c r="S772" s="538"/>
      <c r="T772" s="538"/>
      <c r="U772" s="87"/>
      <c r="V772" s="858">
        <v>529</v>
      </c>
      <c r="W772" s="437"/>
      <c r="X772" s="570">
        <v>121412.82</v>
      </c>
      <c r="Y772" s="551"/>
      <c r="Z772" s="552">
        <v>19195.419999999998</v>
      </c>
      <c r="AA772" s="552">
        <f>Table15[[#This Row],[PCTS Investment Amount]]+Table15[[#This Row],[PCTS Retirement Amount]]</f>
        <v>140608.24</v>
      </c>
      <c r="AB772" s="341" t="s">
        <v>29</v>
      </c>
      <c r="AC772" s="568" t="s">
        <v>709</v>
      </c>
      <c r="AD772" s="1157" t="s">
        <v>29</v>
      </c>
      <c r="AE772" s="579" t="s">
        <v>29</v>
      </c>
      <c r="AF772" s="579" t="s">
        <v>29</v>
      </c>
      <c r="AG772" s="569" t="s">
        <v>29</v>
      </c>
      <c r="AH772" s="553" t="s">
        <v>29</v>
      </c>
      <c r="AI772" s="1036"/>
      <c r="AJ772" s="1037"/>
      <c r="AK772" s="1037"/>
      <c r="AL772" s="1038"/>
      <c r="AM772" s="1522" t="s">
        <v>116</v>
      </c>
      <c r="AN772" s="1523">
        <v>45022</v>
      </c>
      <c r="AO772" s="1524">
        <v>11057013</v>
      </c>
      <c r="AP772" s="1525">
        <v>123377.34</v>
      </c>
      <c r="AQ772" s="1525"/>
      <c r="AR772" s="1525">
        <v>20396.79</v>
      </c>
      <c r="AS772" s="1525">
        <f>IF(Table15[[#This Row],[PCTS Approved]]="N",0,Table15[[#This Row],[Investment Amount (1'#'#'#'#'#)]]+Table15[[#This Row],[Retirement Amount (3'#'#'#'#'#)]])</f>
        <v>143774.13</v>
      </c>
      <c r="AT772" s="1525">
        <f>IF(Table15[[#This Row],[Approved Construction Cost]]=0,0,Table15[[#This Row],[Approved Construction Cost]]-Table15[[#This Row],[Construction Cost to Bill From]])</f>
        <v>3165.890000000014</v>
      </c>
      <c r="AU772" s="1525">
        <f>IFERROR(Table15[[#This Row],[Difference in Construction Cost]]*Table15[[#This Row],[Rate]],Table15[[#This Row],[Difference in Construction Cost]]*0.085)</f>
        <v>316.58900000000142</v>
      </c>
      <c r="AV772" s="1525" t="s">
        <v>709</v>
      </c>
      <c r="AW772" s="1526"/>
      <c r="AX772" s="1525">
        <v>316.58900000000142</v>
      </c>
      <c r="AY772" s="1518">
        <v>45200</v>
      </c>
      <c r="AZ772" s="333"/>
      <c r="BA772" s="859" t="s">
        <v>5001</v>
      </c>
      <c r="BB772" s="644" t="s">
        <v>5002</v>
      </c>
      <c r="BC772" s="544" t="s">
        <v>115</v>
      </c>
      <c r="BD772" s="544" t="s">
        <v>115</v>
      </c>
      <c r="BE772" s="544" t="s">
        <v>5003</v>
      </c>
      <c r="BF772" s="544" t="s">
        <v>115</v>
      </c>
      <c r="BG772" s="544" t="s">
        <v>115</v>
      </c>
      <c r="BH772" s="741"/>
      <c r="BI772" s="547" t="s">
        <v>709</v>
      </c>
      <c r="BJ772" s="547" t="s">
        <v>709</v>
      </c>
      <c r="BK772" s="547" t="s">
        <v>709</v>
      </c>
      <c r="BL772" s="547" t="s">
        <v>116</v>
      </c>
      <c r="BM772" s="547" t="s">
        <v>709</v>
      </c>
      <c r="BN772" s="547" t="s">
        <v>709</v>
      </c>
      <c r="BO772" s="547" t="s">
        <v>709</v>
      </c>
      <c r="BP772" s="547" t="s">
        <v>709</v>
      </c>
      <c r="BQ772" s="547" t="s">
        <v>709</v>
      </c>
      <c r="BR772" s="547" t="s">
        <v>709</v>
      </c>
      <c r="BS772" s="547">
        <v>529</v>
      </c>
      <c r="BT772" s="547" t="s">
        <v>745</v>
      </c>
      <c r="BU772" s="547" t="s">
        <v>709</v>
      </c>
      <c r="BV772" s="547" t="s">
        <v>745</v>
      </c>
      <c r="BW772" s="547" t="s">
        <v>709</v>
      </c>
      <c r="BX772" s="547" t="s">
        <v>745</v>
      </c>
      <c r="BY772" s="547" t="s">
        <v>745</v>
      </c>
      <c r="BZ772" s="547" t="s">
        <v>709</v>
      </c>
      <c r="CA772" s="483"/>
      <c r="CB772" s="547">
        <v>770</v>
      </c>
      <c r="CC772" s="1481" t="b">
        <v>1</v>
      </c>
      <c r="CD772" t="str">
        <f>Table15[[#This Row],[Engineering Number]]&amp;Table15[[#This Row],[WO Number]]&amp;Table15[[#This Row],[Date Assigned to Designer]]&amp;Table15[[#This Row],[Date Completed]]</f>
        <v>SC2080413116594472144872</v>
      </c>
    </row>
    <row r="773" spans="1:82" customFormat="1" ht="15" customHeight="1" x14ac:dyDescent="0.25">
      <c r="A773">
        <v>2023</v>
      </c>
      <c r="B773" s="8" t="s">
        <v>730</v>
      </c>
      <c r="C773" s="8" t="s">
        <v>5005</v>
      </c>
      <c r="D773" s="8" t="s">
        <v>5006</v>
      </c>
      <c r="E773" s="8" t="s">
        <v>1159</v>
      </c>
      <c r="F773" s="8" t="s">
        <v>752</v>
      </c>
      <c r="G773" s="8" t="s">
        <v>24</v>
      </c>
      <c r="H773" s="8" t="s">
        <v>4354</v>
      </c>
      <c r="I773" s="642">
        <v>44865</v>
      </c>
      <c r="J773" s="17" t="s">
        <v>4354</v>
      </c>
      <c r="K773" s="97">
        <v>44873</v>
      </c>
      <c r="L773" s="16">
        <f>IF(ISTEXT(Table15[[#This Row],[Engineering Approved Design Date]]),Table15[[#This Row],[Date Completed]]-Table15[[#This Row],[Date Assigned to Designer]],Table15[[#This Row],[Engineering Approved Design Date]]-Table15[[#This Row],[Date Completed]])</f>
        <v>8</v>
      </c>
      <c r="M773" s="642"/>
      <c r="N773" s="99" t="s">
        <v>120</v>
      </c>
      <c r="O773" s="1025">
        <f>Table15[[#This Row],[Date Completed]]</f>
        <v>44873</v>
      </c>
      <c r="P773" s="21" t="s">
        <v>120</v>
      </c>
      <c r="Q773" s="300">
        <f>Table15[[#This Row],[KH Hourly Effort]]</f>
        <v>5690</v>
      </c>
      <c r="R773" s="1026" t="s">
        <v>1922</v>
      </c>
      <c r="S773" s="538"/>
      <c r="T773" s="538"/>
      <c r="U773" s="1061">
        <v>5690</v>
      </c>
      <c r="V773" s="857"/>
      <c r="W773" s="440"/>
      <c r="X773" s="550"/>
      <c r="Y773" s="550"/>
      <c r="Z773" s="550"/>
      <c r="AA773" s="551"/>
      <c r="AB773" s="341" t="s">
        <v>29</v>
      </c>
      <c r="AC773" s="568" t="s">
        <v>709</v>
      </c>
      <c r="AD773" s="1157"/>
      <c r="AE773" s="579" t="s">
        <v>29</v>
      </c>
      <c r="AF773" s="579" t="s">
        <v>29</v>
      </c>
      <c r="AG773" s="579" t="s">
        <v>29</v>
      </c>
      <c r="AH773" s="553" t="s">
        <v>29</v>
      </c>
      <c r="AI773" s="1036"/>
      <c r="AJ773" s="1037"/>
      <c r="AK773" s="1037"/>
      <c r="AL773" s="1038"/>
      <c r="AM773" s="542" t="s">
        <v>709</v>
      </c>
      <c r="AN773" s="924"/>
      <c r="AO773" s="925"/>
      <c r="AP773" s="926"/>
      <c r="AQ773" s="926"/>
      <c r="AR773" s="926"/>
      <c r="AS773" s="926"/>
      <c r="AT773" s="926"/>
      <c r="AU773" s="926"/>
      <c r="AV773" s="926"/>
      <c r="AW773" s="927"/>
      <c r="AX773" s="926"/>
      <c r="AY773" s="1538" t="s">
        <v>29</v>
      </c>
      <c r="AZ773" s="1530"/>
      <c r="BA773" s="1031"/>
      <c r="BB773" s="644"/>
      <c r="BC773" s="544"/>
      <c r="BD773" s="544"/>
      <c r="BE773" s="544"/>
      <c r="BF773" s="544"/>
      <c r="BG773" s="544"/>
      <c r="BH773" s="741"/>
      <c r="BI773" s="547" t="s">
        <v>709</v>
      </c>
      <c r="BJ773" s="547" t="s">
        <v>709</v>
      </c>
      <c r="BK773" s="547" t="s">
        <v>709</v>
      </c>
      <c r="BL773" s="547" t="s">
        <v>116</v>
      </c>
      <c r="BM773" s="547" t="s">
        <v>709</v>
      </c>
      <c r="BN773" s="547" t="s">
        <v>709</v>
      </c>
      <c r="BO773" s="547" t="s">
        <v>709</v>
      </c>
      <c r="BP773" s="547" t="s">
        <v>709</v>
      </c>
      <c r="BQ773" s="547" t="s">
        <v>709</v>
      </c>
      <c r="BR773" s="547" t="s">
        <v>116</v>
      </c>
      <c r="BS773" s="547" t="s">
        <v>709</v>
      </c>
      <c r="BT773" s="547" t="s">
        <v>745</v>
      </c>
      <c r="BU773" s="547" t="s">
        <v>116</v>
      </c>
      <c r="BV773" s="547" t="s">
        <v>745</v>
      </c>
      <c r="BW773" s="547" t="s">
        <v>709</v>
      </c>
      <c r="BX773" s="547" t="s">
        <v>116</v>
      </c>
      <c r="BY773" s="547" t="s">
        <v>745</v>
      </c>
      <c r="BZ773" s="547" t="s">
        <v>709</v>
      </c>
      <c r="CA773" s="483"/>
      <c r="CB773" s="547">
        <v>771</v>
      </c>
      <c r="CC773" s="1481" t="b">
        <v>1</v>
      </c>
      <c r="CD773" t="str">
        <f>Table15[[#This Row],[Engineering Number]]&amp;Table15[[#This Row],[WO Number]]&amp;Table15[[#This Row],[Date Assigned to Designer]]&amp;Table15[[#This Row],[Date Completed]]</f>
        <v>RS109110119944486544873</v>
      </c>
    </row>
    <row r="774" spans="1:82" customFormat="1" ht="15" customHeight="1" x14ac:dyDescent="0.25">
      <c r="A774">
        <v>2022</v>
      </c>
      <c r="B774" s="8" t="s">
        <v>4</v>
      </c>
      <c r="C774" s="8" t="s">
        <v>5014</v>
      </c>
      <c r="D774" s="8" t="s">
        <v>5015</v>
      </c>
      <c r="E774" s="8" t="s">
        <v>5016</v>
      </c>
      <c r="F774" s="8" t="s">
        <v>747</v>
      </c>
      <c r="G774" s="8" t="s">
        <v>25</v>
      </c>
      <c r="H774" s="647" t="s">
        <v>1681</v>
      </c>
      <c r="I774" s="642">
        <v>44684</v>
      </c>
      <c r="J774" s="18">
        <v>44946</v>
      </c>
      <c r="K774" s="18">
        <v>44875</v>
      </c>
      <c r="L774" s="16">
        <f>IF(ISTEXT(Table15[[#This Row],[Engineering Approved Design Date]]),Table15[[#This Row],[Date Completed]]-Table15[[#This Row],[Date Assigned to Designer]],Table15[[#This Row],[Engineering Approved Design Date]]-Table15[[#This Row],[Date Completed]])</f>
        <v>71</v>
      </c>
      <c r="M774" s="642"/>
      <c r="N774" s="642" t="s">
        <v>120</v>
      </c>
      <c r="O774" s="1025">
        <f>Table15[[#This Row],[Date Completed]]</f>
        <v>44875</v>
      </c>
      <c r="P774" s="21" t="s">
        <v>739</v>
      </c>
      <c r="Q774" s="1061" t="s">
        <v>115</v>
      </c>
      <c r="R774" s="1026" t="s">
        <v>115</v>
      </c>
      <c r="S774" s="538"/>
      <c r="T774" s="538"/>
      <c r="U774" s="87"/>
      <c r="V774" s="857"/>
      <c r="W774" s="440"/>
      <c r="X774" s="550"/>
      <c r="Y774" s="550"/>
      <c r="Z774" s="550"/>
      <c r="AA774" s="551"/>
      <c r="AB774" s="341" t="s">
        <v>29</v>
      </c>
      <c r="AC774" s="568" t="s">
        <v>709</v>
      </c>
      <c r="AD774" s="1158" t="s">
        <v>29</v>
      </c>
      <c r="AE774" s="581"/>
      <c r="AF774" s="581"/>
      <c r="AG774" s="581"/>
      <c r="AH774" s="583"/>
      <c r="AI774" s="1047"/>
      <c r="AJ774" s="1048"/>
      <c r="AK774" s="1048"/>
      <c r="AL774" s="1049"/>
      <c r="AM774" s="542" t="s">
        <v>709</v>
      </c>
      <c r="AN774" s="924"/>
      <c r="AO774" s="925"/>
      <c r="AP774" s="926"/>
      <c r="AQ774" s="926"/>
      <c r="AR774" s="926"/>
      <c r="AS774" s="926"/>
      <c r="AT774" s="926"/>
      <c r="AU774" s="926"/>
      <c r="AV774" s="926"/>
      <c r="AW774" s="927"/>
      <c r="AX774" s="926"/>
      <c r="AY774" s="1538" t="s">
        <v>29</v>
      </c>
      <c r="AZ774" s="1530"/>
      <c r="BA774" s="1031" t="s">
        <v>5017</v>
      </c>
      <c r="BB774" s="644" t="s">
        <v>980</v>
      </c>
      <c r="BC774" s="544" t="s">
        <v>116</v>
      </c>
      <c r="BD774" s="544" t="s">
        <v>882</v>
      </c>
      <c r="BE774" s="544" t="s">
        <v>115</v>
      </c>
      <c r="BF774" s="544" t="s">
        <v>115</v>
      </c>
      <c r="BG774" s="544" t="s">
        <v>115</v>
      </c>
      <c r="BH774" s="741"/>
      <c r="BI774" s="1032"/>
      <c r="BJ774" s="1032"/>
      <c r="BK774" s="1032"/>
      <c r="BL774" s="1032"/>
      <c r="BM774" s="1032"/>
      <c r="BN774" s="1032"/>
      <c r="BO774" s="1032"/>
      <c r="BP774" s="1032"/>
      <c r="BQ774" s="1032"/>
      <c r="BR774" s="1032"/>
      <c r="BS774" s="1032"/>
      <c r="BT774" s="1032"/>
      <c r="BU774" s="1032"/>
      <c r="BV774" s="547"/>
      <c r="BW774" s="1032"/>
      <c r="BX774" s="1032"/>
      <c r="BY774" s="1032"/>
      <c r="BZ774" s="1032"/>
      <c r="CA774" s="485"/>
      <c r="CB774" s="547">
        <v>772</v>
      </c>
      <c r="CC774" s="1481" t="b">
        <v>1</v>
      </c>
      <c r="CD774" t="str">
        <f>Table15[[#This Row],[Engineering Number]]&amp;Table15[[#This Row],[WO Number]]&amp;Table15[[#This Row],[Date Assigned to Designer]]&amp;Table15[[#This Row],[Date Completed]]</f>
        <v>M1357812114554468444875</v>
      </c>
    </row>
    <row r="775" spans="1:82" customFormat="1" ht="15" customHeight="1" x14ac:dyDescent="0.25">
      <c r="A775">
        <v>2022</v>
      </c>
      <c r="B775" s="8" t="s">
        <v>1073</v>
      </c>
      <c r="C775" s="8" t="s">
        <v>5008</v>
      </c>
      <c r="D775" s="8" t="s">
        <v>5009</v>
      </c>
      <c r="E775" s="8" t="s">
        <v>918</v>
      </c>
      <c r="F775" s="8" t="s">
        <v>747</v>
      </c>
      <c r="G775" s="8" t="s">
        <v>36</v>
      </c>
      <c r="H775" s="8" t="s">
        <v>59</v>
      </c>
      <c r="I775" s="642">
        <v>44742</v>
      </c>
      <c r="J775" s="18">
        <v>44883</v>
      </c>
      <c r="K775" s="97">
        <v>44875</v>
      </c>
      <c r="L775" s="16">
        <f>IF(ISTEXT(Table15[[#This Row],[Engineering Approved Design Date]]),Table15[[#This Row],[Date Completed]]-Table15[[#This Row],[Date Assigned to Designer]],Table15[[#This Row],[Engineering Approved Design Date]]-Table15[[#This Row],[Date Completed]])</f>
        <v>8</v>
      </c>
      <c r="M775" s="642"/>
      <c r="N775" s="642" t="s">
        <v>120</v>
      </c>
      <c r="O775" s="1060">
        <v>44896</v>
      </c>
      <c r="P775" s="21" t="s">
        <v>739</v>
      </c>
      <c r="Q775" s="1061">
        <f>R775*AA775</f>
        <v>49765.461200000005</v>
      </c>
      <c r="R775" s="1026">
        <v>7.0000000000000007E-2</v>
      </c>
      <c r="S775" s="538"/>
      <c r="T775" s="538"/>
      <c r="U775" s="87"/>
      <c r="V775" s="858">
        <v>7893</v>
      </c>
      <c r="W775" s="437"/>
      <c r="X775" s="14">
        <v>681919.64</v>
      </c>
      <c r="Y775" s="551"/>
      <c r="Z775" s="552">
        <v>29015.52</v>
      </c>
      <c r="AA775" s="552">
        <f>Table15[[#This Row],[PCTS Investment Amount]]+Table15[[#This Row],[PCTS Retirement Amount]]</f>
        <v>710935.16</v>
      </c>
      <c r="AB775" s="341">
        <v>44880</v>
      </c>
      <c r="AC775" s="568" t="s">
        <v>709</v>
      </c>
      <c r="AD775" s="1157" t="s">
        <v>29</v>
      </c>
      <c r="AE775" s="568"/>
      <c r="AF775" s="568"/>
      <c r="AG775" s="568"/>
      <c r="AH775" s="183"/>
      <c r="AI775" s="1036"/>
      <c r="AJ775" s="1037"/>
      <c r="AK775" s="1037"/>
      <c r="AL775" s="1038"/>
      <c r="AM775" s="1522" t="s">
        <v>116</v>
      </c>
      <c r="AN775" s="1523">
        <v>44937</v>
      </c>
      <c r="AO775" s="1524">
        <v>11042286</v>
      </c>
      <c r="AP775" s="1525">
        <v>531919.69999999995</v>
      </c>
      <c r="AQ775" s="1525"/>
      <c r="AR775" s="1525">
        <v>29681.35</v>
      </c>
      <c r="AS775" s="1525">
        <f>IF(Table15[[#This Row],[PCTS Approved]]="N",0,Table15[[#This Row],[Investment Amount (1'#'#'#'#'#)]]+Table15[[#This Row],[Retirement Amount (3'#'#'#'#'#)]])</f>
        <v>561601.04999999993</v>
      </c>
      <c r="AT775" s="1525">
        <f>IF(Table15[[#This Row],[Approved Construction Cost]]=0,0,Table15[[#This Row],[Approved Construction Cost]]-Table15[[#This Row],[Construction Cost to Bill From]])</f>
        <v>-149334.1100000001</v>
      </c>
      <c r="AU775" s="1525">
        <f>IFERROR(Table15[[#This Row],[Difference in Construction Cost]]*Table15[[#This Row],[Rate]],Table15[[#This Row],[Difference in Construction Cost]]*0.085)</f>
        <v>-10453.387700000008</v>
      </c>
      <c r="AV775" s="1525" t="s">
        <v>709</v>
      </c>
      <c r="AW775" s="1526" t="s">
        <v>5010</v>
      </c>
      <c r="AX775" s="1525">
        <v>-10453.387700000008</v>
      </c>
      <c r="AY775" s="1518">
        <v>45200</v>
      </c>
      <c r="AZ775" s="333"/>
      <c r="BA775" s="859" t="s">
        <v>5011</v>
      </c>
      <c r="BB775" s="644" t="s">
        <v>5012</v>
      </c>
      <c r="BC775" s="544" t="s">
        <v>116</v>
      </c>
      <c r="BD775" s="544" t="s">
        <v>115</v>
      </c>
      <c r="BE775" s="544" t="s">
        <v>923</v>
      </c>
      <c r="BF775" s="544" t="s">
        <v>115</v>
      </c>
      <c r="BG775" s="544" t="s">
        <v>4968</v>
      </c>
      <c r="BH775" s="741"/>
      <c r="BI775" s="547" t="s">
        <v>709</v>
      </c>
      <c r="BJ775" s="547" t="s">
        <v>709</v>
      </c>
      <c r="BK775" s="547" t="s">
        <v>709</v>
      </c>
      <c r="BL775" s="547" t="s">
        <v>116</v>
      </c>
      <c r="BM775" s="547" t="s">
        <v>709</v>
      </c>
      <c r="BN775" s="547" t="s">
        <v>709</v>
      </c>
      <c r="BO775" s="547" t="s">
        <v>709</v>
      </c>
      <c r="BP775" s="547" t="s">
        <v>709</v>
      </c>
      <c r="BQ775" s="547" t="s">
        <v>709</v>
      </c>
      <c r="BR775" s="547">
        <v>2942</v>
      </c>
      <c r="BS775" s="547">
        <v>4951</v>
      </c>
      <c r="BT775" s="547" t="s">
        <v>709</v>
      </c>
      <c r="BU775" s="547" t="s">
        <v>709</v>
      </c>
      <c r="BV775" s="547" t="s">
        <v>745</v>
      </c>
      <c r="BW775" s="547" t="s">
        <v>709</v>
      </c>
      <c r="BX775" s="547" t="s">
        <v>709</v>
      </c>
      <c r="BY775" s="547" t="s">
        <v>745</v>
      </c>
      <c r="BZ775" s="547" t="s">
        <v>709</v>
      </c>
      <c r="CA775" s="483"/>
      <c r="CB775" s="547">
        <v>774</v>
      </c>
      <c r="CC775" s="1481" t="b">
        <v>1</v>
      </c>
      <c r="CD775" t="str">
        <f>Table15[[#This Row],[Engineering Number]]&amp;Table15[[#This Row],[WO Number]]&amp;Table15[[#This Row],[Date Assigned to Designer]]&amp;Table15[[#This Row],[Date Completed]]</f>
        <v>NBA1000742219116114474244875</v>
      </c>
    </row>
    <row r="776" spans="1:82" customFormat="1" ht="15" customHeight="1" x14ac:dyDescent="0.25">
      <c r="A776">
        <v>2022</v>
      </c>
      <c r="B776" s="8" t="s">
        <v>4</v>
      </c>
      <c r="C776" s="8" t="s">
        <v>5019</v>
      </c>
      <c r="D776" s="8" t="s">
        <v>5020</v>
      </c>
      <c r="E776" s="8" t="s">
        <v>783</v>
      </c>
      <c r="F776" s="8" t="s">
        <v>784</v>
      </c>
      <c r="G776" s="8" t="s">
        <v>25</v>
      </c>
      <c r="H776" s="8" t="s">
        <v>59</v>
      </c>
      <c r="I776" s="642">
        <v>44691</v>
      </c>
      <c r="J776" s="18">
        <v>44880</v>
      </c>
      <c r="K776" s="97">
        <v>44875</v>
      </c>
      <c r="L776" s="16">
        <f>IF(ISTEXT(Table15[[#This Row],[Engineering Approved Design Date]]),Table15[[#This Row],[Date Completed]]-Table15[[#This Row],[Date Assigned to Designer]],Table15[[#This Row],[Engineering Approved Design Date]]-Table15[[#This Row],[Date Completed]])</f>
        <v>5</v>
      </c>
      <c r="M776" s="642"/>
      <c r="N776" s="642" t="s">
        <v>120</v>
      </c>
      <c r="O776" s="1060">
        <v>44896</v>
      </c>
      <c r="P776" s="21" t="s">
        <v>739</v>
      </c>
      <c r="Q776" s="1061">
        <f>R776*AA776</f>
        <v>371918.56199999998</v>
      </c>
      <c r="R776" s="1026">
        <v>0.1</v>
      </c>
      <c r="S776" s="538"/>
      <c r="T776" s="538"/>
      <c r="U776" s="87"/>
      <c r="V776" s="858">
        <v>5875</v>
      </c>
      <c r="W776" s="437"/>
      <c r="X776" s="570">
        <v>3645727.28</v>
      </c>
      <c r="Y776" s="551"/>
      <c r="Z776" s="570">
        <v>73458.34</v>
      </c>
      <c r="AA776" s="552">
        <f>Table15[[#This Row],[PCTS Investment Amount]]+Table15[[#This Row],[PCTS Retirement Amount]]</f>
        <v>3719185.6199999996</v>
      </c>
      <c r="AB776" s="341">
        <v>44902</v>
      </c>
      <c r="AC776" s="568" t="s">
        <v>709</v>
      </c>
      <c r="AD776" s="1157" t="s">
        <v>29</v>
      </c>
      <c r="AE776" s="579" t="s">
        <v>29</v>
      </c>
      <c r="AF776" s="579" t="s">
        <v>29</v>
      </c>
      <c r="AG776" s="579" t="s">
        <v>29</v>
      </c>
      <c r="AH776" s="553" t="s">
        <v>29</v>
      </c>
      <c r="AI776" s="1036"/>
      <c r="AJ776" s="1037"/>
      <c r="AK776" s="1037"/>
      <c r="AL776" s="1038"/>
      <c r="AM776" s="1522" t="s">
        <v>116</v>
      </c>
      <c r="AN776" s="1523">
        <v>44998</v>
      </c>
      <c r="AO776" s="1524">
        <v>11054011</v>
      </c>
      <c r="AP776" s="1525">
        <v>3294650.89</v>
      </c>
      <c r="AQ776" s="1525"/>
      <c r="AR776" s="1525">
        <v>75247.89</v>
      </c>
      <c r="AS776" s="1525">
        <f>IF(Table15[[#This Row],[PCTS Approved]]="N",0,Table15[[#This Row],[Investment Amount (1'#'#'#'#'#)]]+Table15[[#This Row],[Retirement Amount (3'#'#'#'#'#)]])</f>
        <v>3369898.7800000003</v>
      </c>
      <c r="AT776" s="1525">
        <f>IF(Table15[[#This Row],[Approved Construction Cost]]=0,0,Table15[[#This Row],[Approved Construction Cost]]-Table15[[#This Row],[Construction Cost to Bill From]])</f>
        <v>-349286.83999999939</v>
      </c>
      <c r="AU776" s="1525">
        <f>IFERROR(Table15[[#This Row],[Difference in Construction Cost]]*Table15[[#This Row],[Rate]],Table15[[#This Row],[Difference in Construction Cost]]*0.085)</f>
        <v>-34928.683999999943</v>
      </c>
      <c r="AV776" s="1525">
        <v>9197.5</v>
      </c>
      <c r="AW776" s="1526" t="s">
        <v>5021</v>
      </c>
      <c r="AX776" s="1525">
        <v>0</v>
      </c>
      <c r="AY776" s="1518">
        <v>45200</v>
      </c>
      <c r="AZ776" s="333"/>
      <c r="BA776" s="859" t="s">
        <v>5022</v>
      </c>
      <c r="BB776" s="644" t="s">
        <v>4455</v>
      </c>
      <c r="BC776" s="544" t="s">
        <v>115</v>
      </c>
      <c r="BD776" s="544" t="s">
        <v>115</v>
      </c>
      <c r="BE776" s="544" t="s">
        <v>789</v>
      </c>
      <c r="BF776" s="544" t="s">
        <v>115</v>
      </c>
      <c r="BG776" s="544" t="s">
        <v>115</v>
      </c>
      <c r="BH776" s="741"/>
      <c r="BI776" s="547" t="s">
        <v>709</v>
      </c>
      <c r="BJ776" s="547" t="s">
        <v>709</v>
      </c>
      <c r="BK776" s="547" t="s">
        <v>709</v>
      </c>
      <c r="BL776" s="547" t="s">
        <v>116</v>
      </c>
      <c r="BM776" s="547" t="s">
        <v>709</v>
      </c>
      <c r="BN776" s="547" t="s">
        <v>709</v>
      </c>
      <c r="BO776" s="547" t="s">
        <v>709</v>
      </c>
      <c r="BP776" s="547" t="s">
        <v>709</v>
      </c>
      <c r="BQ776" s="547">
        <v>3045</v>
      </c>
      <c r="BR776" s="547">
        <v>913</v>
      </c>
      <c r="BS776" s="547">
        <v>1917</v>
      </c>
      <c r="BT776" s="547" t="s">
        <v>745</v>
      </c>
      <c r="BU776" s="547" t="s">
        <v>709</v>
      </c>
      <c r="BV776" s="547" t="s">
        <v>745</v>
      </c>
      <c r="BW776" s="547" t="s">
        <v>709</v>
      </c>
      <c r="BX776" s="547" t="s">
        <v>745</v>
      </c>
      <c r="BY776" s="547" t="s">
        <v>745</v>
      </c>
      <c r="BZ776" s="547" t="s">
        <v>709</v>
      </c>
      <c r="CA776" s="483"/>
      <c r="CB776" s="547">
        <v>773</v>
      </c>
      <c r="CC776" s="1481" t="b">
        <v>1</v>
      </c>
      <c r="CD776" t="str">
        <f>Table15[[#This Row],[Engineering Number]]&amp;Table15[[#This Row],[WO Number]]&amp;Table15[[#This Row],[Date Assigned to Designer]]&amp;Table15[[#This Row],[Date Completed]]</f>
        <v>SC2117613114804469144875</v>
      </c>
    </row>
    <row r="777" spans="1:82" customFormat="1" ht="15" customHeight="1" x14ac:dyDescent="0.25">
      <c r="A777">
        <v>2022</v>
      </c>
      <c r="B777" s="8" t="s">
        <v>4</v>
      </c>
      <c r="C777" s="8" t="s">
        <v>4511</v>
      </c>
      <c r="D777" s="8">
        <v>1211202</v>
      </c>
      <c r="E777" s="8" t="s">
        <v>2375</v>
      </c>
      <c r="F777" s="8" t="s">
        <v>738</v>
      </c>
      <c r="G777" s="8" t="s">
        <v>35</v>
      </c>
      <c r="H777" s="8" t="s">
        <v>5024</v>
      </c>
      <c r="I777" s="642">
        <v>44718</v>
      </c>
      <c r="J777" s="175" t="s">
        <v>4110</v>
      </c>
      <c r="K777" s="97">
        <v>44880</v>
      </c>
      <c r="L777" s="16">
        <f>IF(ISTEXT(Table15[[#This Row],[Engineering Approved Design Date]]),Table15[[#This Row],[Date Completed]]-Table15[[#This Row],[Date Assigned to Designer]],Table15[[#This Row],[Engineering Approved Design Date]]-Table15[[#This Row],[Date Completed]])</f>
        <v>162</v>
      </c>
      <c r="M777" t="s">
        <v>5025</v>
      </c>
      <c r="N777" s="642" t="s">
        <v>120</v>
      </c>
      <c r="O777" s="1060">
        <v>44896</v>
      </c>
      <c r="P777" s="21" t="s">
        <v>739</v>
      </c>
      <c r="Q777" s="1151">
        <f>Table15[[#This Row],[KH Hourly Effort]]</f>
        <v>17727.5</v>
      </c>
      <c r="R777" s="1026" t="s">
        <v>1922</v>
      </c>
      <c r="S777" s="538"/>
      <c r="T777" s="538"/>
      <c r="U777" s="1061">
        <v>17727.5</v>
      </c>
      <c r="V777" s="858"/>
      <c r="W777" s="437"/>
      <c r="X777" s="538"/>
      <c r="Y777" s="551"/>
      <c r="Z777" s="538"/>
      <c r="AA777" s="552"/>
      <c r="AB777" s="341" t="s">
        <v>29</v>
      </c>
      <c r="AC777" s="569"/>
      <c r="AD777" s="1149"/>
      <c r="AE777" s="580"/>
      <c r="AF777" s="580"/>
      <c r="AG777" s="580"/>
      <c r="AH777" s="542"/>
      <c r="AI777" s="1028"/>
      <c r="AJ777" s="1029"/>
      <c r="AK777" s="1029"/>
      <c r="AL777" s="1030"/>
      <c r="AM777" s="542" t="s">
        <v>709</v>
      </c>
      <c r="AN777" s="924"/>
      <c r="AO777" s="925"/>
      <c r="AP777" s="926"/>
      <c r="AQ777" s="926"/>
      <c r="AR777" s="926"/>
      <c r="AS777" s="926"/>
      <c r="AT777" s="926"/>
      <c r="AU777" s="926"/>
      <c r="AV777" s="926"/>
      <c r="AW777" s="927"/>
      <c r="AX777" s="926"/>
      <c r="AY777" s="1538" t="s">
        <v>29</v>
      </c>
      <c r="AZ777" s="1530"/>
      <c r="BA777" s="1031" t="s">
        <v>709</v>
      </c>
      <c r="BB777" s="644" t="s">
        <v>5026</v>
      </c>
      <c r="BC777" s="544"/>
      <c r="BD777" s="544"/>
      <c r="BE777" s="544"/>
      <c r="BF777" s="544"/>
      <c r="BG777" s="544"/>
      <c r="BH777" s="741"/>
      <c r="BI777" s="1032" t="s">
        <v>709</v>
      </c>
      <c r="BJ777" s="1032" t="s">
        <v>709</v>
      </c>
      <c r="BK777" s="1032" t="s">
        <v>709</v>
      </c>
      <c r="BL777" s="1032" t="s">
        <v>116</v>
      </c>
      <c r="BM777" s="1032" t="s">
        <v>709</v>
      </c>
      <c r="BN777" s="1032" t="s">
        <v>709</v>
      </c>
      <c r="BO777" s="1032" t="s">
        <v>709</v>
      </c>
      <c r="BP777" s="1032" t="s">
        <v>709</v>
      </c>
      <c r="BQ777" s="1032" t="s">
        <v>709</v>
      </c>
      <c r="BR777" s="1032" t="s">
        <v>709</v>
      </c>
      <c r="BS777" s="1032" t="s">
        <v>116</v>
      </c>
      <c r="BT777" s="1032" t="s">
        <v>745</v>
      </c>
      <c r="BU777" s="1032" t="s">
        <v>709</v>
      </c>
      <c r="BV777" s="547" t="s">
        <v>745</v>
      </c>
      <c r="BW777" s="1032" t="s">
        <v>709</v>
      </c>
      <c r="BX777" s="1032" t="s">
        <v>745</v>
      </c>
      <c r="BY777" s="1032" t="s">
        <v>745</v>
      </c>
      <c r="BZ777" s="1032" t="s">
        <v>709</v>
      </c>
      <c r="CA777" s="485"/>
      <c r="CB777" s="547">
        <v>775</v>
      </c>
      <c r="CC777" s="1481" t="b">
        <v>1</v>
      </c>
      <c r="CD777" t="str">
        <f>Table15[[#This Row],[Engineering Number]]&amp;Table15[[#This Row],[WO Number]]&amp;Table15[[#This Row],[Date Assigned to Designer]]&amp;Table15[[#This Row],[Date Completed]]</f>
        <v>N1522612112024471844880</v>
      </c>
    </row>
    <row r="778" spans="1:82" customFormat="1" ht="15" customHeight="1" x14ac:dyDescent="0.25">
      <c r="A778">
        <v>2022</v>
      </c>
      <c r="B778" s="8" t="s">
        <v>2</v>
      </c>
      <c r="C778" s="8" t="s">
        <v>4820</v>
      </c>
      <c r="D778" s="8" t="s">
        <v>4821</v>
      </c>
      <c r="E778" s="8" t="s">
        <v>1352</v>
      </c>
      <c r="F778" s="8" t="s">
        <v>752</v>
      </c>
      <c r="G778" s="8" t="s">
        <v>32</v>
      </c>
      <c r="H778" s="8" t="s">
        <v>4189</v>
      </c>
      <c r="I778" s="642">
        <v>44873</v>
      </c>
      <c r="J778" s="175" t="s">
        <v>2052</v>
      </c>
      <c r="K778" s="97">
        <v>44880</v>
      </c>
      <c r="L778" s="16">
        <f>IF(ISTEXT(Table15[[#This Row],[Engineering Approved Design Date]]),Table15[[#This Row],[Date Completed]]-Table15[[#This Row],[Date Assigned to Designer]],Table15[[#This Row],[Engineering Approved Design Date]]-Table15[[#This Row],[Date Completed]])</f>
        <v>7</v>
      </c>
      <c r="M778" t="s">
        <v>5028</v>
      </c>
      <c r="N778" s="642" t="s">
        <v>120</v>
      </c>
      <c r="O778" s="1060">
        <v>44896</v>
      </c>
      <c r="P778" s="21" t="s">
        <v>120</v>
      </c>
      <c r="Q778" s="1151">
        <f>Table15[[#This Row],[KH Hourly Effort]]</f>
        <v>1850</v>
      </c>
      <c r="R778" s="1026" t="s">
        <v>1922</v>
      </c>
      <c r="S778" s="538"/>
      <c r="T778" s="538"/>
      <c r="U778" s="1061">
        <v>1850</v>
      </c>
      <c r="V778" s="858"/>
      <c r="W778" s="437"/>
      <c r="X778" s="538"/>
      <c r="Y778" s="551"/>
      <c r="Z778" s="538"/>
      <c r="AA778" s="552"/>
      <c r="AB778" s="341"/>
      <c r="AC778" s="568" t="s">
        <v>709</v>
      </c>
      <c r="AD778" s="1149" t="s">
        <v>116</v>
      </c>
      <c r="AE778" s="580" t="s">
        <v>29</v>
      </c>
      <c r="AF778" s="580" t="s">
        <v>29</v>
      </c>
      <c r="AG778" s="580" t="s">
        <v>29</v>
      </c>
      <c r="AH778" s="542" t="s">
        <v>29</v>
      </c>
      <c r="AI778" s="1028"/>
      <c r="AJ778" s="1029"/>
      <c r="AK778" s="1029"/>
      <c r="AL778" s="1030"/>
      <c r="AM778" s="542" t="s">
        <v>709</v>
      </c>
      <c r="AN778" s="924"/>
      <c r="AO778" s="925"/>
      <c r="AP778" s="926"/>
      <c r="AQ778" s="926"/>
      <c r="AR778" s="926"/>
      <c r="AS778" s="926"/>
      <c r="AT778" s="926"/>
      <c r="AU778" s="926"/>
      <c r="AV778" s="926"/>
      <c r="AW778" s="927"/>
      <c r="AX778" s="926"/>
      <c r="AY778" s="1538" t="s">
        <v>29</v>
      </c>
      <c r="AZ778" s="1530"/>
      <c r="BA778" s="1031"/>
      <c r="BB778" s="644"/>
      <c r="BC778" s="544"/>
      <c r="BD778" s="544"/>
      <c r="BE778" s="544"/>
      <c r="BF778" s="544"/>
      <c r="BG778" s="544"/>
      <c r="BH778" s="741"/>
      <c r="BI778" s="547" t="s">
        <v>709</v>
      </c>
      <c r="BJ778" s="547" t="s">
        <v>709</v>
      </c>
      <c r="BK778" s="547" t="s">
        <v>709</v>
      </c>
      <c r="BL778" s="547" t="s">
        <v>116</v>
      </c>
      <c r="BM778" s="547">
        <v>0</v>
      </c>
      <c r="BN778" s="549">
        <v>0</v>
      </c>
      <c r="BO778" s="547">
        <v>0</v>
      </c>
      <c r="BP778" s="547">
        <v>0</v>
      </c>
      <c r="BQ778" s="547">
        <v>0</v>
      </c>
      <c r="BR778" s="547">
        <v>0</v>
      </c>
      <c r="BS778" s="547">
        <v>434</v>
      </c>
      <c r="BT778" s="547">
        <v>0</v>
      </c>
      <c r="BU778" s="547">
        <v>0</v>
      </c>
      <c r="BV778" s="547">
        <v>0</v>
      </c>
      <c r="BW778" s="547">
        <v>0</v>
      </c>
      <c r="BX778" s="547">
        <v>1</v>
      </c>
      <c r="BY778" s="547">
        <v>0</v>
      </c>
      <c r="BZ778" s="547" t="s">
        <v>709</v>
      </c>
      <c r="CA778" s="483" t="s">
        <v>2</v>
      </c>
      <c r="CB778" s="547">
        <v>776</v>
      </c>
      <c r="CC778" s="1481" t="b">
        <v>1</v>
      </c>
      <c r="CD778" t="str">
        <f>Table15[[#This Row],[Engineering Number]]&amp;Table15[[#This Row],[WO Number]]&amp;Table15[[#This Row],[Date Assigned to Designer]]&amp;Table15[[#This Row],[Date Completed]]</f>
        <v>RS101110115524487344880</v>
      </c>
    </row>
    <row r="779" spans="1:82" customFormat="1" ht="15" customHeight="1" x14ac:dyDescent="0.25">
      <c r="A779">
        <v>2022</v>
      </c>
      <c r="B779" s="8" t="s">
        <v>771</v>
      </c>
      <c r="C779" s="8" t="s">
        <v>4864</v>
      </c>
      <c r="D779" s="8" t="s">
        <v>4865</v>
      </c>
      <c r="E779" s="8" t="s">
        <v>4866</v>
      </c>
      <c r="F779" s="8" t="s">
        <v>747</v>
      </c>
      <c r="G779" s="8" t="s">
        <v>32</v>
      </c>
      <c r="H779" s="8" t="s">
        <v>3178</v>
      </c>
      <c r="I779" s="642">
        <v>44869</v>
      </c>
      <c r="J779" s="175" t="s">
        <v>2052</v>
      </c>
      <c r="K779" s="97">
        <v>44880</v>
      </c>
      <c r="L779" s="16">
        <f>IF(ISTEXT(Table15[[#This Row],[Engineering Approved Design Date]]),Table15[[#This Row],[Date Completed]]-Table15[[#This Row],[Date Assigned to Designer]],Table15[[#This Row],[Engineering Approved Design Date]]-Table15[[#This Row],[Date Completed]])</f>
        <v>11</v>
      </c>
      <c r="M779" t="s">
        <v>5030</v>
      </c>
      <c r="N779" s="642" t="s">
        <v>120</v>
      </c>
      <c r="O779" s="1060">
        <v>44896</v>
      </c>
      <c r="P779" s="21" t="s">
        <v>120</v>
      </c>
      <c r="Q779" s="1151">
        <f>Table15[[#This Row],[KH Hourly Effort]]</f>
        <v>4805</v>
      </c>
      <c r="R779" s="1026" t="s">
        <v>1922</v>
      </c>
      <c r="S779" s="538"/>
      <c r="T779" s="538"/>
      <c r="U779" s="1061">
        <v>4805</v>
      </c>
      <c r="V779" s="858"/>
      <c r="W779" s="437"/>
      <c r="X779" s="538"/>
      <c r="Y779" s="551"/>
      <c r="Z779" s="538"/>
      <c r="AA779" s="552"/>
      <c r="AB779" s="341"/>
      <c r="AC779" s="569" t="s">
        <v>709</v>
      </c>
      <c r="AD779" s="1149" t="s">
        <v>116</v>
      </c>
      <c r="AE779" s="569"/>
      <c r="AF779" s="569"/>
      <c r="AG779" s="569"/>
      <c r="AH779" s="536"/>
      <c r="AI779" s="1028"/>
      <c r="AJ779" s="1029"/>
      <c r="AK779" s="1029"/>
      <c r="AL779" s="1030"/>
      <c r="AM779" s="542" t="s">
        <v>709</v>
      </c>
      <c r="AN779" s="924"/>
      <c r="AO779" s="925"/>
      <c r="AP779" s="926"/>
      <c r="AQ779" s="926"/>
      <c r="AR779" s="926"/>
      <c r="AS779" s="926"/>
      <c r="AT779" s="926"/>
      <c r="AU779" s="926"/>
      <c r="AV779" s="926"/>
      <c r="AW779" s="927"/>
      <c r="AX779" s="926"/>
      <c r="AY779" s="1538" t="s">
        <v>29</v>
      </c>
      <c r="AZ779" s="1530"/>
      <c r="BA779" s="1031">
        <v>2</v>
      </c>
      <c r="BB779" s="644"/>
      <c r="BC779" s="544"/>
      <c r="BD779" s="544"/>
      <c r="BE779" s="544"/>
      <c r="BF779" s="544"/>
      <c r="BG779" s="544"/>
      <c r="BH779" s="741"/>
      <c r="BI779" s="547" t="s">
        <v>709</v>
      </c>
      <c r="BJ779" s="547" t="s">
        <v>709</v>
      </c>
      <c r="BK779" s="547" t="s">
        <v>709</v>
      </c>
      <c r="BL779" s="547" t="s">
        <v>116</v>
      </c>
      <c r="BM779" s="547">
        <v>0</v>
      </c>
      <c r="BN779" s="549">
        <v>0</v>
      </c>
      <c r="BO779" s="547">
        <v>0</v>
      </c>
      <c r="BP779" s="547">
        <v>0</v>
      </c>
      <c r="BQ779" s="547">
        <v>556</v>
      </c>
      <c r="BR779" s="547">
        <v>2753</v>
      </c>
      <c r="BS779" s="547">
        <v>10640</v>
      </c>
      <c r="BT779" s="547">
        <v>0</v>
      </c>
      <c r="BU779" s="547">
        <v>0</v>
      </c>
      <c r="BV779" s="547">
        <v>0</v>
      </c>
      <c r="BW779" s="547">
        <v>0</v>
      </c>
      <c r="BX779" s="547">
        <v>0</v>
      </c>
      <c r="BY779" s="547">
        <v>0</v>
      </c>
      <c r="BZ779" s="547" t="s">
        <v>709</v>
      </c>
      <c r="CA779" s="483"/>
      <c r="CB779" s="547">
        <v>777</v>
      </c>
      <c r="CC779" s="1481" t="b">
        <v>1</v>
      </c>
      <c r="CD779" t="str">
        <f>Table15[[#This Row],[Engineering Number]]&amp;Table15[[#This Row],[WO Number]]&amp;Table15[[#This Row],[Date Assigned to Designer]]&amp;Table15[[#This Row],[Date Completed]]</f>
        <v>VW28412113354486944880</v>
      </c>
    </row>
    <row r="780" spans="1:82" customFormat="1" ht="15" customHeight="1" x14ac:dyDescent="0.25">
      <c r="A780">
        <v>2023</v>
      </c>
      <c r="B780" s="8" t="s">
        <v>759</v>
      </c>
      <c r="C780" s="8" t="s">
        <v>299</v>
      </c>
      <c r="D780" s="8" t="s">
        <v>5035</v>
      </c>
      <c r="E780" s="8" t="s">
        <v>300</v>
      </c>
      <c r="F780" s="8" t="s">
        <v>752</v>
      </c>
      <c r="G780" s="8" t="s">
        <v>24</v>
      </c>
      <c r="H780" s="8" t="s">
        <v>59</v>
      </c>
      <c r="I780" s="642">
        <v>44784</v>
      </c>
      <c r="J780" s="18">
        <v>44888</v>
      </c>
      <c r="K780" s="97">
        <v>44881</v>
      </c>
      <c r="L780" s="16">
        <f>IF(ISTEXT(Table15[[#This Row],[Engineering Approved Design Date]]),Table15[[#This Row],[Date Completed]]-Table15[[#This Row],[Date Assigned to Designer]],Table15[[#This Row],[Engineering Approved Design Date]]-Table15[[#This Row],[Date Completed]])</f>
        <v>7</v>
      </c>
      <c r="M780" s="642"/>
      <c r="N780" s="642" t="s">
        <v>120</v>
      </c>
      <c r="O780" s="1025">
        <f>Table15[[#This Row],[Date Completed]]</f>
        <v>44881</v>
      </c>
      <c r="P780" s="21" t="s">
        <v>120</v>
      </c>
      <c r="Q780" s="300">
        <f>(Table15[[#This Row],[Construction Cost to Bill From]]*0.085)+7750</f>
        <v>50127.113800000006</v>
      </c>
      <c r="R780" s="1026" t="s">
        <v>1055</v>
      </c>
      <c r="S780" s="538"/>
      <c r="T780" s="538"/>
      <c r="U780" s="87"/>
      <c r="V780" s="858">
        <v>312</v>
      </c>
      <c r="W780" s="437"/>
      <c r="X780" s="1064">
        <v>438584.58</v>
      </c>
      <c r="Y780" s="34">
        <v>59969.7</v>
      </c>
      <c r="Z780" s="570">
        <v>59969.7</v>
      </c>
      <c r="AA780" s="552">
        <f>Table15[[#This Row],[PCTS Investment Amount]]+Table15[[#This Row],[PCTS Retirement Amount]]</f>
        <v>498554.28</v>
      </c>
      <c r="AB780" s="341">
        <v>44883</v>
      </c>
      <c r="AC780" s="568" t="s">
        <v>1056</v>
      </c>
      <c r="AD780" s="1157" t="s">
        <v>116</v>
      </c>
      <c r="AE780" s="579" t="s">
        <v>29</v>
      </c>
      <c r="AF780" s="579" t="s">
        <v>29</v>
      </c>
      <c r="AG780" s="579" t="s">
        <v>29</v>
      </c>
      <c r="AH780" s="553" t="s">
        <v>29</v>
      </c>
      <c r="AI780" s="1036"/>
      <c r="AJ780" s="1037"/>
      <c r="AK780" s="1037"/>
      <c r="AL780" s="1038"/>
      <c r="AM780" s="1522" t="s">
        <v>116</v>
      </c>
      <c r="AN780" s="1523">
        <v>45068</v>
      </c>
      <c r="AO780" s="1524">
        <v>11050919</v>
      </c>
      <c r="AP780" s="1525">
        <v>444987.02</v>
      </c>
      <c r="AQ780" s="1525"/>
      <c r="AR780" s="1525">
        <v>60988.37</v>
      </c>
      <c r="AS780" s="1525">
        <f>IF(Table15[[#This Row],[PCTS Approved]]="N",0,Table15[[#This Row],[Investment Amount (1'#'#'#'#'#)]]+Table15[[#This Row],[Retirement Amount (3'#'#'#'#'#)]])</f>
        <v>505975.39</v>
      </c>
      <c r="AT780" s="1525">
        <f>IF(Table15[[#This Row],[Approved Construction Cost]]=0,0,Table15[[#This Row],[Approved Construction Cost]]-Table15[[#This Row],[Construction Cost to Bill From]])</f>
        <v>7421.109999999986</v>
      </c>
      <c r="AU780" s="1525">
        <f>IFERROR(Table15[[#This Row],[Difference in Construction Cost]]*Table15[[#This Row],[Rate]],Table15[[#This Row],[Difference in Construction Cost]]*0.085)</f>
        <v>630.79434999999887</v>
      </c>
      <c r="AV780" s="1525" t="s">
        <v>709</v>
      </c>
      <c r="AW780" s="1526"/>
      <c r="AX780" s="1525">
        <v>630.79434999999887</v>
      </c>
      <c r="AY780" s="1518">
        <v>45200</v>
      </c>
      <c r="AZ780" s="333"/>
      <c r="BA780" s="859" t="s">
        <v>5036</v>
      </c>
      <c r="BB780" s="644" t="s">
        <v>5037</v>
      </c>
      <c r="BC780" s="544" t="s">
        <v>709</v>
      </c>
      <c r="BD780" s="544" t="s">
        <v>115</v>
      </c>
      <c r="BE780" s="544" t="s">
        <v>4242</v>
      </c>
      <c r="BF780" s="544" t="s">
        <v>115</v>
      </c>
      <c r="BG780" s="544" t="s">
        <v>115</v>
      </c>
      <c r="BH780" s="741"/>
      <c r="BI780" s="547" t="s">
        <v>709</v>
      </c>
      <c r="BJ780" s="547" t="s">
        <v>709</v>
      </c>
      <c r="BK780" s="547" t="s">
        <v>709</v>
      </c>
      <c r="BL780" s="547" t="s">
        <v>116</v>
      </c>
      <c r="BM780" s="547" t="s">
        <v>709</v>
      </c>
      <c r="BN780" s="547" t="s">
        <v>709</v>
      </c>
      <c r="BO780" s="547" t="s">
        <v>709</v>
      </c>
      <c r="BP780" s="547" t="s">
        <v>709</v>
      </c>
      <c r="BQ780" s="547">
        <v>89</v>
      </c>
      <c r="BR780" s="547">
        <v>83</v>
      </c>
      <c r="BS780" s="547">
        <v>50</v>
      </c>
      <c r="BT780" s="547">
        <v>1</v>
      </c>
      <c r="BU780" s="547" t="s">
        <v>709</v>
      </c>
      <c r="BV780" s="547" t="s">
        <v>745</v>
      </c>
      <c r="BW780" s="547">
        <v>1</v>
      </c>
      <c r="BX780" s="547">
        <v>1</v>
      </c>
      <c r="BY780" s="547" t="s">
        <v>745</v>
      </c>
      <c r="BZ780" s="547" t="s">
        <v>709</v>
      </c>
      <c r="CA780" s="483"/>
      <c r="CB780" s="547">
        <v>779</v>
      </c>
      <c r="CC780" s="1481" t="b">
        <v>1</v>
      </c>
      <c r="CD780" t="str">
        <f>Table15[[#This Row],[Engineering Number]]&amp;Table15[[#This Row],[WO Number]]&amp;Table15[[#This Row],[Date Assigned to Designer]]&amp;Table15[[#This Row],[Date Completed]]</f>
        <v>RS95610117224478444881</v>
      </c>
    </row>
    <row r="781" spans="1:82" customFormat="1" ht="15" customHeight="1" x14ac:dyDescent="0.25">
      <c r="A781">
        <v>2022</v>
      </c>
      <c r="B781" s="8" t="s">
        <v>4</v>
      </c>
      <c r="C781" s="8" t="s">
        <v>5032</v>
      </c>
      <c r="D781" s="8" t="s">
        <v>115</v>
      </c>
      <c r="E781" s="8" t="s">
        <v>783</v>
      </c>
      <c r="F781" s="8" t="s">
        <v>784</v>
      </c>
      <c r="G781" s="8" t="s">
        <v>25</v>
      </c>
      <c r="H781" s="647" t="s">
        <v>1903</v>
      </c>
      <c r="I781" s="642">
        <v>44620</v>
      </c>
      <c r="J781" s="18">
        <v>44883</v>
      </c>
      <c r="K781" s="18">
        <v>44881</v>
      </c>
      <c r="L781" s="16">
        <f>IF(ISTEXT(Table15[[#This Row],[Engineering Approved Design Date]]),Table15[[#This Row],[Date Completed]]-Table15[[#This Row],[Date Assigned to Designer]],Table15[[#This Row],[Engineering Approved Design Date]]-Table15[[#This Row],[Date Completed]])</f>
        <v>2</v>
      </c>
      <c r="M781" s="642"/>
      <c r="N781" s="642" t="s">
        <v>120</v>
      </c>
      <c r="O781" s="1025">
        <f>Table15[[#This Row],[Date Completed]]</f>
        <v>44881</v>
      </c>
      <c r="P781" s="21" t="s">
        <v>739</v>
      </c>
      <c r="Q781" s="1061" t="s">
        <v>115</v>
      </c>
      <c r="R781" s="1026" t="s">
        <v>115</v>
      </c>
      <c r="S781" s="538"/>
      <c r="T781" s="538"/>
      <c r="U781" s="87"/>
      <c r="V781" s="857"/>
      <c r="W781" s="440"/>
      <c r="X781" s="550"/>
      <c r="Y781" s="550"/>
      <c r="Z781" s="550"/>
      <c r="AA781" s="551"/>
      <c r="AB781" s="341"/>
      <c r="AC781" s="568"/>
      <c r="AD781" s="1157"/>
      <c r="AE781" s="579"/>
      <c r="AF781" s="579"/>
      <c r="AG781" s="579"/>
      <c r="AH781" s="553"/>
      <c r="AI781" s="1036"/>
      <c r="AJ781" s="1037"/>
      <c r="AK781" s="1037"/>
      <c r="AL781" s="1038"/>
      <c r="AM781" s="542" t="s">
        <v>709</v>
      </c>
      <c r="AN781" s="924"/>
      <c r="AO781" s="925"/>
      <c r="AP781" s="926"/>
      <c r="AQ781" s="926"/>
      <c r="AR781" s="926"/>
      <c r="AS781" s="926"/>
      <c r="AT781" s="926"/>
      <c r="AU781" s="926"/>
      <c r="AV781" s="926"/>
      <c r="AW781" s="927"/>
      <c r="AX781" s="926"/>
      <c r="AY781" s="1538" t="s">
        <v>29</v>
      </c>
      <c r="AZ781" s="1530"/>
      <c r="BA781" s="1031" t="s">
        <v>5033</v>
      </c>
      <c r="BB781" s="644" t="s">
        <v>3994</v>
      </c>
      <c r="BC781" s="544" t="s">
        <v>116</v>
      </c>
      <c r="BD781" s="544" t="s">
        <v>115</v>
      </c>
      <c r="BE781" s="544" t="s">
        <v>789</v>
      </c>
      <c r="BF781" s="544" t="s">
        <v>4070</v>
      </c>
      <c r="BG781" s="544" t="s">
        <v>115</v>
      </c>
      <c r="BH781" s="741"/>
      <c r="BI781" s="1032"/>
      <c r="BJ781" s="1032"/>
      <c r="BK781" s="1032"/>
      <c r="BL781" s="1032"/>
      <c r="BM781" s="1032"/>
      <c r="BN781" s="1032"/>
      <c r="BO781" s="1032"/>
      <c r="BP781" s="1032"/>
      <c r="BQ781" s="1032"/>
      <c r="BR781" s="1032"/>
      <c r="BS781" s="1032"/>
      <c r="BT781" s="1032"/>
      <c r="BU781" s="1032"/>
      <c r="BV781" s="547"/>
      <c r="BW781" s="1032"/>
      <c r="BX781" s="1032"/>
      <c r="BY781" s="1032"/>
      <c r="BZ781" s="1032"/>
      <c r="CA781" s="485"/>
      <c r="CB781" s="547">
        <v>778</v>
      </c>
      <c r="CC781" s="1481" t="b">
        <v>1</v>
      </c>
      <c r="CD781" t="str">
        <f>Table15[[#This Row],[Engineering Number]]&amp;Table15[[#This Row],[WO Number]]&amp;Table15[[#This Row],[Date Assigned to Designer]]&amp;Table15[[#This Row],[Date Completed]]</f>
        <v>SC18849-4462044881</v>
      </c>
    </row>
    <row r="782" spans="1:82" customFormat="1" ht="15" customHeight="1" x14ac:dyDescent="0.25">
      <c r="A782">
        <v>2022</v>
      </c>
      <c r="B782" s="8" t="s">
        <v>4</v>
      </c>
      <c r="C782" s="8" t="s">
        <v>4929</v>
      </c>
      <c r="D782" s="8" t="s">
        <v>4930</v>
      </c>
      <c r="E782" s="8" t="s">
        <v>232</v>
      </c>
      <c r="F782" s="8" t="s">
        <v>747</v>
      </c>
      <c r="G782" s="8" t="s">
        <v>23</v>
      </c>
      <c r="H782" s="8" t="s">
        <v>4462</v>
      </c>
      <c r="I782" s="642">
        <v>44882</v>
      </c>
      <c r="J782" s="175" t="s">
        <v>2052</v>
      </c>
      <c r="K782" s="97">
        <v>44886</v>
      </c>
      <c r="L782" s="16">
        <f>IF(ISTEXT(Table15[[#This Row],[Engineering Approved Design Date]]),Table15[[#This Row],[Date Completed]]-Table15[[#This Row],[Date Assigned to Designer]],Table15[[#This Row],[Engineering Approved Design Date]]-Table15[[#This Row],[Date Completed]])</f>
        <v>4</v>
      </c>
      <c r="M782" t="s">
        <v>5039</v>
      </c>
      <c r="N782" s="642" t="s">
        <v>120</v>
      </c>
      <c r="O782" s="1060">
        <f>Table15[[#This Row],[Date Completed]]</f>
        <v>44886</v>
      </c>
      <c r="P782" s="21" t="s">
        <v>739</v>
      </c>
      <c r="Q782" s="1151" t="s">
        <v>115</v>
      </c>
      <c r="R782" s="1026" t="s">
        <v>115</v>
      </c>
      <c r="S782" s="538"/>
      <c r="T782" s="538"/>
      <c r="U782" s="1057"/>
      <c r="V782" s="858"/>
      <c r="W782" s="437"/>
      <c r="X782" s="538"/>
      <c r="Y782" s="551"/>
      <c r="Z782" s="538"/>
      <c r="AA782" s="552"/>
      <c r="AB782" s="341"/>
      <c r="AC782" s="569" t="s">
        <v>709</v>
      </c>
      <c r="AD782" s="1149"/>
      <c r="AE782" s="580"/>
      <c r="AF782" s="580"/>
      <c r="AG782" s="580"/>
      <c r="AH782" s="542"/>
      <c r="AI782" s="1028"/>
      <c r="AJ782" s="1029"/>
      <c r="AK782" s="1029"/>
      <c r="AL782" s="1030"/>
      <c r="AM782" s="542" t="s">
        <v>709</v>
      </c>
      <c r="AN782" s="924"/>
      <c r="AO782" s="925"/>
      <c r="AP782" s="926"/>
      <c r="AQ782" s="926"/>
      <c r="AR782" s="926"/>
      <c r="AS782" s="926"/>
      <c r="AT782" s="926"/>
      <c r="AU782" s="926"/>
      <c r="AV782" s="926"/>
      <c r="AW782" s="927"/>
      <c r="AX782" s="926"/>
      <c r="AY782" s="1538" t="s">
        <v>29</v>
      </c>
      <c r="AZ782" s="1530"/>
      <c r="BA782" s="1031">
        <v>4</v>
      </c>
      <c r="BB782" s="644" t="s">
        <v>5040</v>
      </c>
      <c r="BC782" s="544"/>
      <c r="BD782" s="544"/>
      <c r="BE782" s="544"/>
      <c r="BF782" s="544"/>
      <c r="BG782" s="544"/>
      <c r="BH782" s="741"/>
      <c r="BI782" s="1032" t="s">
        <v>709</v>
      </c>
      <c r="BJ782" s="1032" t="s">
        <v>709</v>
      </c>
      <c r="BK782" s="1032" t="s">
        <v>709</v>
      </c>
      <c r="BL782" s="1032" t="s">
        <v>116</v>
      </c>
      <c r="BM782" s="1032" t="s">
        <v>709</v>
      </c>
      <c r="BN782" s="1032" t="s">
        <v>709</v>
      </c>
      <c r="BO782" s="1032" t="s">
        <v>709</v>
      </c>
      <c r="BP782" s="1032" t="s">
        <v>709</v>
      </c>
      <c r="BQ782" s="1032" t="s">
        <v>116</v>
      </c>
      <c r="BR782" s="1032" t="s">
        <v>709</v>
      </c>
      <c r="BS782" s="1032" t="s">
        <v>709</v>
      </c>
      <c r="BT782" s="1032" t="s">
        <v>745</v>
      </c>
      <c r="BU782" s="1032" t="s">
        <v>709</v>
      </c>
      <c r="BV782" s="547" t="s">
        <v>745</v>
      </c>
      <c r="BW782" s="1032" t="s">
        <v>709</v>
      </c>
      <c r="BX782" s="1032" t="s">
        <v>745</v>
      </c>
      <c r="BY782" s="1032" t="s">
        <v>745</v>
      </c>
      <c r="BZ782" s="1032" t="s">
        <v>709</v>
      </c>
      <c r="CA782" s="485"/>
      <c r="CB782" s="547">
        <v>780</v>
      </c>
      <c r="CC782" s="1481" t="b">
        <v>1</v>
      </c>
      <c r="CD782" t="str">
        <f>Table15[[#This Row],[Engineering Number]]&amp;Table15[[#This Row],[WO Number]]&amp;Table15[[#This Row],[Date Assigned to Designer]]&amp;Table15[[#This Row],[Date Completed]]</f>
        <v>SC1955814117114488244886</v>
      </c>
    </row>
    <row r="783" spans="1:82" customFormat="1" ht="15" customHeight="1" x14ac:dyDescent="0.25">
      <c r="A783">
        <v>2023</v>
      </c>
      <c r="B783" s="8" t="s">
        <v>4</v>
      </c>
      <c r="C783" s="8" t="s">
        <v>5042</v>
      </c>
      <c r="D783" s="8" t="s">
        <v>115</v>
      </c>
      <c r="E783" s="8" t="s">
        <v>5043</v>
      </c>
      <c r="F783" s="8" t="s">
        <v>747</v>
      </c>
      <c r="G783" s="8" t="s">
        <v>5044</v>
      </c>
      <c r="H783" s="647" t="s">
        <v>1681</v>
      </c>
      <c r="I783" s="642">
        <v>44851</v>
      </c>
      <c r="J783" s="18">
        <v>44932</v>
      </c>
      <c r="K783" s="18">
        <v>44886</v>
      </c>
      <c r="L783" s="16">
        <f>IF(ISTEXT(Table15[[#This Row],[Engineering Approved Design Date]]),Table15[[#This Row],[Date Completed]]-Table15[[#This Row],[Date Assigned to Designer]],Table15[[#This Row],[Engineering Approved Design Date]]-Table15[[#This Row],[Date Completed]])</f>
        <v>46</v>
      </c>
      <c r="M783" s="642"/>
      <c r="N783" s="642" t="s">
        <v>120</v>
      </c>
      <c r="O783" s="1025">
        <v>44886</v>
      </c>
      <c r="P783" s="21" t="s">
        <v>739</v>
      </c>
      <c r="Q783" s="1061" t="s">
        <v>115</v>
      </c>
      <c r="R783" s="1026" t="s">
        <v>115</v>
      </c>
      <c r="S783" s="538"/>
      <c r="T783" s="538"/>
      <c r="U783" s="87"/>
      <c r="V783" s="857"/>
      <c r="W783" s="440"/>
      <c r="X783" s="550"/>
      <c r="Y783" s="550"/>
      <c r="Z783" s="550"/>
      <c r="AA783" s="551"/>
      <c r="AB783" s="341" t="s">
        <v>29</v>
      </c>
      <c r="AC783" s="568" t="s">
        <v>709</v>
      </c>
      <c r="AD783" s="1158" t="s">
        <v>29</v>
      </c>
      <c r="AE783" s="581"/>
      <c r="AF783" s="581"/>
      <c r="AG783" s="581"/>
      <c r="AH783" s="583"/>
      <c r="AI783" s="1047"/>
      <c r="AJ783" s="1048"/>
      <c r="AK783" s="1048"/>
      <c r="AL783" s="1049"/>
      <c r="AM783" s="542" t="s">
        <v>709</v>
      </c>
      <c r="AN783" s="924"/>
      <c r="AO783" s="925"/>
      <c r="AP783" s="926"/>
      <c r="AQ783" s="926"/>
      <c r="AR783" s="926"/>
      <c r="AS783" s="926"/>
      <c r="AT783" s="926"/>
      <c r="AU783" s="926"/>
      <c r="AV783" s="926"/>
      <c r="AW783" s="927"/>
      <c r="AX783" s="926"/>
      <c r="AY783" s="1538" t="s">
        <v>29</v>
      </c>
      <c r="AZ783" s="1530"/>
      <c r="BA783" s="1031" t="s">
        <v>5045</v>
      </c>
      <c r="BB783" s="644" t="s">
        <v>1617</v>
      </c>
      <c r="BC783" s="544" t="s">
        <v>116</v>
      </c>
      <c r="BD783" s="544" t="s">
        <v>115</v>
      </c>
      <c r="BE783" s="544" t="s">
        <v>115</v>
      </c>
      <c r="BF783" s="544" t="s">
        <v>115</v>
      </c>
      <c r="BG783" s="544" t="s">
        <v>115</v>
      </c>
      <c r="BH783" s="741"/>
      <c r="BI783" s="1032"/>
      <c r="BJ783" s="1032"/>
      <c r="BK783" s="1032"/>
      <c r="BL783" s="1032"/>
      <c r="BM783" s="1032"/>
      <c r="BN783" s="1032"/>
      <c r="BO783" s="1032"/>
      <c r="BP783" s="1032"/>
      <c r="BQ783" s="1032"/>
      <c r="BR783" s="1032"/>
      <c r="BS783" s="1032"/>
      <c r="BT783" s="1032"/>
      <c r="BU783" s="1032"/>
      <c r="BV783" s="547"/>
      <c r="BW783" s="1032"/>
      <c r="BX783" s="1032"/>
      <c r="BY783" s="1032"/>
      <c r="BZ783" s="1032"/>
      <c r="CA783" s="485"/>
      <c r="CB783" s="547">
        <v>781</v>
      </c>
      <c r="CC783" s="1481" t="b">
        <v>1</v>
      </c>
      <c r="CD783" t="str">
        <f>Table15[[#This Row],[Engineering Number]]&amp;Table15[[#This Row],[WO Number]]&amp;Table15[[#This Row],[Date Assigned to Designer]]&amp;Table15[[#This Row],[Date Completed]]</f>
        <v>SC21399-4485144886</v>
      </c>
    </row>
    <row r="784" spans="1:82" customFormat="1" ht="15" customHeight="1" x14ac:dyDescent="0.25">
      <c r="A784">
        <v>2023</v>
      </c>
      <c r="B784" s="8" t="s">
        <v>730</v>
      </c>
      <c r="C784" s="8" t="s">
        <v>750</v>
      </c>
      <c r="D784" s="8" t="s">
        <v>751</v>
      </c>
      <c r="E784" s="8" t="s">
        <v>218</v>
      </c>
      <c r="F784" s="8" t="s">
        <v>752</v>
      </c>
      <c r="G784" s="8" t="s">
        <v>34</v>
      </c>
      <c r="H784" s="8" t="s">
        <v>59</v>
      </c>
      <c r="I784" s="642">
        <v>44784</v>
      </c>
      <c r="J784" s="18">
        <v>44888</v>
      </c>
      <c r="K784" s="97">
        <v>44886</v>
      </c>
      <c r="L784" s="16">
        <f>IF(ISTEXT(Table15[[#This Row],[Engineering Approved Design Date]]),Table15[[#This Row],[Date Completed]]-Table15[[#This Row],[Date Assigned to Designer]],Table15[[#This Row],[Engineering Approved Design Date]]-Table15[[#This Row],[Date Completed]])</f>
        <v>2</v>
      </c>
      <c r="M784" s="642"/>
      <c r="N784" s="642" t="s">
        <v>120</v>
      </c>
      <c r="O784" s="1060">
        <v>44896</v>
      </c>
      <c r="P784" s="21" t="s">
        <v>120</v>
      </c>
      <c r="Q784" s="1061">
        <f>R784*AA784</f>
        <v>19590.898500000003</v>
      </c>
      <c r="R784" s="1026">
        <v>0.09</v>
      </c>
      <c r="S784" s="538"/>
      <c r="T784" s="538"/>
      <c r="U784" s="87"/>
      <c r="V784" s="858">
        <v>1090</v>
      </c>
      <c r="W784" s="437"/>
      <c r="X784" s="570">
        <v>179966.26</v>
      </c>
      <c r="Y784" s="551"/>
      <c r="Z784" s="570">
        <v>37710.39</v>
      </c>
      <c r="AA784" s="552">
        <f>Table15[[#This Row],[PCTS Investment Amount]]+Table15[[#This Row],[PCTS Retirement Amount]]</f>
        <v>217676.65000000002</v>
      </c>
      <c r="AB784" s="341">
        <v>44900</v>
      </c>
      <c r="AC784" s="568" t="s">
        <v>709</v>
      </c>
      <c r="AD784" s="1157" t="s">
        <v>29</v>
      </c>
      <c r="AE784" s="579"/>
      <c r="AF784" s="579"/>
      <c r="AG784" s="579"/>
      <c r="AH784" s="553"/>
      <c r="AI784" s="1036"/>
      <c r="AJ784" s="1037"/>
      <c r="AK784" s="1037"/>
      <c r="AL784" s="1038"/>
      <c r="AM784" s="1522" t="s">
        <v>116</v>
      </c>
      <c r="AN784" s="1523">
        <v>45309</v>
      </c>
      <c r="AO784" s="1524">
        <v>11050947</v>
      </c>
      <c r="AP784" s="1525">
        <v>185200.89</v>
      </c>
      <c r="AQ784" s="1525"/>
      <c r="AR784" s="1525">
        <v>39072.379999999997</v>
      </c>
      <c r="AS784" s="1525">
        <v>224273.27000000002</v>
      </c>
      <c r="AT784" s="1525">
        <v>6596.6199999999953</v>
      </c>
      <c r="AU784" s="1525">
        <v>593.69579999999951</v>
      </c>
      <c r="AV784" s="1525" t="s">
        <v>29</v>
      </c>
      <c r="AW784" s="1526" t="s">
        <v>753</v>
      </c>
      <c r="AX784" s="1525">
        <v>593.70000000000005</v>
      </c>
      <c r="AY784" s="1518">
        <v>45566</v>
      </c>
      <c r="AZ784" s="333">
        <v>29</v>
      </c>
      <c r="BA784" s="859" t="s">
        <v>754</v>
      </c>
      <c r="BB784" s="644" t="s">
        <v>755</v>
      </c>
      <c r="BC784" s="544" t="s">
        <v>756</v>
      </c>
      <c r="BD784" s="544" t="s">
        <v>757</v>
      </c>
      <c r="BE784" s="544" t="s">
        <v>115</v>
      </c>
      <c r="BF784" s="544" t="s">
        <v>758</v>
      </c>
      <c r="BG784" s="544" t="s">
        <v>115</v>
      </c>
      <c r="BH784" s="741"/>
      <c r="BI784" s="547" t="s">
        <v>709</v>
      </c>
      <c r="BJ784" s="547" t="s">
        <v>709</v>
      </c>
      <c r="BK784" s="547" t="s">
        <v>709</v>
      </c>
      <c r="BL784" s="547" t="s">
        <v>116</v>
      </c>
      <c r="BM784" s="547" t="s">
        <v>709</v>
      </c>
      <c r="BN784" s="547" t="s">
        <v>709</v>
      </c>
      <c r="BO784" s="547" t="s">
        <v>709</v>
      </c>
      <c r="BP784" s="547" t="s">
        <v>709</v>
      </c>
      <c r="BQ784" s="547" t="s">
        <v>709</v>
      </c>
      <c r="BR784" s="547" t="s">
        <v>709</v>
      </c>
      <c r="BS784" s="547">
        <v>1090</v>
      </c>
      <c r="BT784" s="547" t="s">
        <v>709</v>
      </c>
      <c r="BU784" s="547" t="s">
        <v>709</v>
      </c>
      <c r="BV784" s="547" t="s">
        <v>745</v>
      </c>
      <c r="BW784" s="547" t="s">
        <v>709</v>
      </c>
      <c r="BX784" s="547" t="s">
        <v>709</v>
      </c>
      <c r="BY784" s="547" t="s">
        <v>745</v>
      </c>
      <c r="BZ784" s="547" t="s">
        <v>709</v>
      </c>
      <c r="CA784" s="483"/>
      <c r="CB784" s="547">
        <v>782</v>
      </c>
      <c r="CC784" s="1481" t="b">
        <v>1</v>
      </c>
      <c r="CD784" t="str">
        <f>Table15[[#This Row],[Engineering Number]]&amp;Table15[[#This Row],[WO Number]]&amp;Table15[[#This Row],[Date Assigned to Designer]]&amp;Table15[[#This Row],[Date Completed]]</f>
        <v>RS107510117164478444886</v>
      </c>
    </row>
    <row r="785" spans="1:82" customFormat="1" ht="15" customHeight="1" x14ac:dyDescent="0.25">
      <c r="A785">
        <v>2023</v>
      </c>
      <c r="B785" s="8" t="s">
        <v>4</v>
      </c>
      <c r="C785" s="8" t="s">
        <v>1377</v>
      </c>
      <c r="D785" s="8" t="s">
        <v>1378</v>
      </c>
      <c r="E785" s="8" t="s">
        <v>1154</v>
      </c>
      <c r="F785" s="8" t="s">
        <v>747</v>
      </c>
      <c r="G785" s="8" t="s">
        <v>23</v>
      </c>
      <c r="H785" s="8" t="s">
        <v>59</v>
      </c>
      <c r="I785" s="642">
        <v>44806</v>
      </c>
      <c r="J785" s="18">
        <v>44897</v>
      </c>
      <c r="K785" s="97">
        <v>44886</v>
      </c>
      <c r="L785" s="16">
        <f>IF(ISTEXT(Table15[[#This Row],[Engineering Approved Design Date]]),Table15[[#This Row],[Date Completed]]-Table15[[#This Row],[Date Assigned to Designer]],Table15[[#This Row],[Engineering Approved Design Date]]-Table15[[#This Row],[Date Completed]])</f>
        <v>11</v>
      </c>
      <c r="M785" s="642"/>
      <c r="N785" s="642" t="s">
        <v>120</v>
      </c>
      <c r="O785" s="1060">
        <v>44896</v>
      </c>
      <c r="P785" s="21" t="s">
        <v>739</v>
      </c>
      <c r="Q785" s="1061">
        <f>R785*AA785</f>
        <v>34386.415000000001</v>
      </c>
      <c r="R785" s="1026">
        <v>0.1</v>
      </c>
      <c r="S785" s="538"/>
      <c r="T785" s="538"/>
      <c r="U785" s="87"/>
      <c r="V785" s="858">
        <v>1494</v>
      </c>
      <c r="W785" s="437"/>
      <c r="X785" s="552">
        <v>288923.75</v>
      </c>
      <c r="Y785" s="551"/>
      <c r="Z785" s="552">
        <v>54940.4</v>
      </c>
      <c r="AA785" s="552">
        <f>Table15[[#This Row],[PCTS Investment Amount]]+Table15[[#This Row],[PCTS Retirement Amount]]</f>
        <v>343864.15</v>
      </c>
      <c r="AB785" s="341">
        <v>44888</v>
      </c>
      <c r="AC785" s="568" t="s">
        <v>709</v>
      </c>
      <c r="AD785" s="1157" t="s">
        <v>116</v>
      </c>
      <c r="AE785" s="579"/>
      <c r="AF785" s="579"/>
      <c r="AG785" s="579"/>
      <c r="AH785" s="553"/>
      <c r="AI785" s="1036"/>
      <c r="AJ785" s="1037"/>
      <c r="AK785" s="1037"/>
      <c r="AL785" s="1038"/>
      <c r="AM785" s="536" t="s">
        <v>116</v>
      </c>
      <c r="AN785" s="903" t="s">
        <v>709</v>
      </c>
      <c r="AO785" s="1536" t="s">
        <v>115</v>
      </c>
      <c r="AP785" s="1537"/>
      <c r="AQ785" s="1537"/>
      <c r="AR785" s="1537"/>
      <c r="AS785" s="888">
        <f>IF(Table15[[#This Row],[PCTS Approved]]="N",0,Table15[[#This Row],[Investment Amount (1'#'#'#'#'#)]]+Table15[[#This Row],[Retirement Amount (3'#'#'#'#'#)]])</f>
        <v>0</v>
      </c>
      <c r="AT785" s="888">
        <f>IF(Table15[[#This Row],[Approved Construction Cost]]=0,0,Table15[[#This Row],[Approved Construction Cost]]-Table15[[#This Row],[Construction Cost to Bill From]])</f>
        <v>0</v>
      </c>
      <c r="AU785" s="888">
        <f>IFERROR(Table15[[#This Row],[Difference in Construction Cost]]*Table15[[#This Row],[Rate]],Table15[[#This Row],[Difference in Construction Cost]]*0.085)</f>
        <v>0</v>
      </c>
      <c r="AV785" s="905"/>
      <c r="AW785" s="1509"/>
      <c r="AX785" s="888"/>
      <c r="AY785" s="636" t="s">
        <v>709</v>
      </c>
      <c r="AZ785" s="333">
        <v>74</v>
      </c>
      <c r="BA785" s="859" t="s">
        <v>1379</v>
      </c>
      <c r="BB785" s="644" t="s">
        <v>1380</v>
      </c>
      <c r="BC785" s="544" t="s">
        <v>115</v>
      </c>
      <c r="BD785" s="544" t="s">
        <v>115</v>
      </c>
      <c r="BE785" s="544" t="s">
        <v>1381</v>
      </c>
      <c r="BF785" s="544" t="s">
        <v>1157</v>
      </c>
      <c r="BG785" s="544" t="s">
        <v>115</v>
      </c>
      <c r="BH785" s="741"/>
      <c r="BI785" s="547" t="s">
        <v>709</v>
      </c>
      <c r="BJ785" s="547" t="s">
        <v>709</v>
      </c>
      <c r="BK785" s="547" t="s">
        <v>709</v>
      </c>
      <c r="BL785" s="547" t="s">
        <v>116</v>
      </c>
      <c r="BM785" s="547" t="s">
        <v>709</v>
      </c>
      <c r="BN785" s="547" t="s">
        <v>709</v>
      </c>
      <c r="BO785" s="547" t="s">
        <v>709</v>
      </c>
      <c r="BP785" s="547" t="s">
        <v>709</v>
      </c>
      <c r="BQ785" s="547">
        <v>1189</v>
      </c>
      <c r="BR785" s="547">
        <v>287</v>
      </c>
      <c r="BS785" s="547">
        <v>18</v>
      </c>
      <c r="BT785" s="547" t="s">
        <v>745</v>
      </c>
      <c r="BU785" s="547" t="s">
        <v>709</v>
      </c>
      <c r="BV785" s="547" t="s">
        <v>745</v>
      </c>
      <c r="BW785" s="547" t="s">
        <v>709</v>
      </c>
      <c r="BX785" s="547" t="s">
        <v>745</v>
      </c>
      <c r="BY785" s="547" t="s">
        <v>745</v>
      </c>
      <c r="BZ785" s="547" t="s">
        <v>709</v>
      </c>
      <c r="CA785" s="483"/>
      <c r="CB785" s="547">
        <v>783</v>
      </c>
      <c r="CC785" s="1481" t="b">
        <v>1</v>
      </c>
      <c r="CD785" t="str">
        <f>Table15[[#This Row],[Engineering Number]]&amp;Table15[[#This Row],[WO Number]]&amp;Table15[[#This Row],[Date Assigned to Designer]]&amp;Table15[[#This Row],[Date Completed]]</f>
        <v>SC2130314119214480644886</v>
      </c>
    </row>
    <row r="786" spans="1:82" customFormat="1" ht="15" customHeight="1" x14ac:dyDescent="0.25">
      <c r="A786">
        <v>2022</v>
      </c>
      <c r="B786" s="8" t="s">
        <v>2</v>
      </c>
      <c r="C786" s="8" t="s">
        <v>1319</v>
      </c>
      <c r="D786" s="8">
        <v>1010971</v>
      </c>
      <c r="E786" s="8" t="s">
        <v>5049</v>
      </c>
      <c r="F786" s="8" t="s">
        <v>752</v>
      </c>
      <c r="G786" s="8" t="s">
        <v>4770</v>
      </c>
      <c r="H786" s="8" t="s">
        <v>4189</v>
      </c>
      <c r="I786" s="642">
        <v>44873</v>
      </c>
      <c r="J786" s="175" t="s">
        <v>2052</v>
      </c>
      <c r="K786" s="97">
        <v>44887</v>
      </c>
      <c r="L786" s="16">
        <f>IF(ISTEXT(Table15[[#This Row],[Engineering Approved Design Date]]),Table15[[#This Row],[Date Completed]]-Table15[[#This Row],[Date Assigned to Designer]],Table15[[#This Row],[Engineering Approved Design Date]]-Table15[[#This Row],[Date Completed]])</f>
        <v>14</v>
      </c>
      <c r="M786" t="s">
        <v>5050</v>
      </c>
      <c r="N786" s="642" t="s">
        <v>120</v>
      </c>
      <c r="O786" s="1060">
        <v>44896</v>
      </c>
      <c r="P786" s="21" t="s">
        <v>120</v>
      </c>
      <c r="Q786" s="1151">
        <f>Table15[[#This Row],[KH Hourly Effort]]</f>
        <v>6420</v>
      </c>
      <c r="R786" s="1026" t="s">
        <v>1922</v>
      </c>
      <c r="S786" s="538"/>
      <c r="T786" s="538"/>
      <c r="U786" s="1061">
        <v>6420</v>
      </c>
      <c r="V786" s="858"/>
      <c r="W786" s="437"/>
      <c r="X786" s="538"/>
      <c r="Y786" s="551"/>
      <c r="Z786" s="538"/>
      <c r="AA786" s="552">
        <f>Table15[[#This Row],[PCTS Investment Amount]]+Table15[[#This Row],[PCTS Retirement Amount]]</f>
        <v>0</v>
      </c>
      <c r="AB786" s="341"/>
      <c r="AC786" s="569" t="s">
        <v>29</v>
      </c>
      <c r="AD786" s="1149" t="s">
        <v>116</v>
      </c>
      <c r="AE786" s="580"/>
      <c r="AF786" s="580"/>
      <c r="AG786" s="580"/>
      <c r="AH786" s="542"/>
      <c r="AI786" s="1028"/>
      <c r="AJ786" s="1029"/>
      <c r="AK786" s="1029"/>
      <c r="AL786" s="1030"/>
      <c r="AM786" s="542" t="s">
        <v>709</v>
      </c>
      <c r="AN786" s="924"/>
      <c r="AO786" s="925"/>
      <c r="AP786" s="926"/>
      <c r="AQ786" s="926"/>
      <c r="AR786" s="926"/>
      <c r="AS786" s="926"/>
      <c r="AT786" s="926"/>
      <c r="AU786" s="926"/>
      <c r="AV786" s="926"/>
      <c r="AW786" s="927"/>
      <c r="AX786" s="926"/>
      <c r="AY786" s="1538" t="s">
        <v>29</v>
      </c>
      <c r="AZ786" s="1530"/>
      <c r="BA786" s="1031">
        <v>2</v>
      </c>
      <c r="BB786" s="644" t="s">
        <v>5051</v>
      </c>
      <c r="BC786" s="544"/>
      <c r="BD786" s="544"/>
      <c r="BE786" s="544"/>
      <c r="BF786" s="544"/>
      <c r="BG786" s="544"/>
      <c r="BH786" s="741"/>
      <c r="BI786" s="547" t="s">
        <v>709</v>
      </c>
      <c r="BJ786" s="547" t="s">
        <v>709</v>
      </c>
      <c r="BK786" s="547" t="s">
        <v>116</v>
      </c>
      <c r="BL786" s="547" t="s">
        <v>709</v>
      </c>
      <c r="BM786" s="547" t="s">
        <v>709</v>
      </c>
      <c r="BN786" s="547" t="s">
        <v>709</v>
      </c>
      <c r="BO786" s="547" t="s">
        <v>709</v>
      </c>
      <c r="BP786" s="547">
        <v>604</v>
      </c>
      <c r="BQ786" s="547">
        <v>395</v>
      </c>
      <c r="BR786" s="547">
        <v>74</v>
      </c>
      <c r="BS786" s="547" t="s">
        <v>709</v>
      </c>
      <c r="BT786" s="547">
        <v>1</v>
      </c>
      <c r="BU786" s="547" t="s">
        <v>709</v>
      </c>
      <c r="BV786" s="547" t="s">
        <v>745</v>
      </c>
      <c r="BW786" s="547">
        <v>2</v>
      </c>
      <c r="BX786" s="547">
        <v>1</v>
      </c>
      <c r="BY786" s="547" t="s">
        <v>745</v>
      </c>
      <c r="BZ786" s="547" t="s">
        <v>709</v>
      </c>
      <c r="CA786" s="483" t="s">
        <v>2</v>
      </c>
      <c r="CB786" s="547">
        <v>784</v>
      </c>
      <c r="CC786" s="1481" t="b">
        <v>1</v>
      </c>
      <c r="CD786" t="str">
        <f>Table15[[#This Row],[Engineering Number]]&amp;Table15[[#This Row],[WO Number]]&amp;Table15[[#This Row],[Date Assigned to Designer]]&amp;Table15[[#This Row],[Date Completed]]</f>
        <v>RS93910109714487344887</v>
      </c>
    </row>
    <row r="787" spans="1:82" customFormat="1" ht="15" customHeight="1" x14ac:dyDescent="0.25">
      <c r="A787">
        <v>2022</v>
      </c>
      <c r="B787" s="8" t="s">
        <v>4</v>
      </c>
      <c r="C787" s="8" t="s">
        <v>5053</v>
      </c>
      <c r="D787" s="8" t="s">
        <v>5054</v>
      </c>
      <c r="E787" s="8" t="s">
        <v>4834</v>
      </c>
      <c r="F787" s="8" t="s">
        <v>747</v>
      </c>
      <c r="G787" s="8" t="s">
        <v>39</v>
      </c>
      <c r="H787" s="8" t="s">
        <v>1681</v>
      </c>
      <c r="I787" s="642">
        <v>44644</v>
      </c>
      <c r="J787" s="18">
        <v>44896</v>
      </c>
      <c r="K787" s="97">
        <v>44893</v>
      </c>
      <c r="L787" s="16">
        <f>IF(ISTEXT(Table15[[#This Row],[Engineering Approved Design Date]]),Table15[[#This Row],[Date Completed]]-Table15[[#This Row],[Date Assigned to Designer]],Table15[[#This Row],[Engineering Approved Design Date]]-Table15[[#This Row],[Date Completed]])</f>
        <v>3</v>
      </c>
      <c r="M787" s="642"/>
      <c r="N787" s="642" t="s">
        <v>120</v>
      </c>
      <c r="O787" s="1060">
        <v>44896</v>
      </c>
      <c r="P787" s="21" t="s">
        <v>739</v>
      </c>
      <c r="Q787" s="1061" t="s">
        <v>115</v>
      </c>
      <c r="R787" s="1026" t="s">
        <v>115</v>
      </c>
      <c r="S787" s="538"/>
      <c r="T787" s="538"/>
      <c r="U787" s="87"/>
      <c r="V787" s="858"/>
      <c r="W787" s="437"/>
      <c r="X787" s="552"/>
      <c r="Y787" s="551"/>
      <c r="Z787" s="552"/>
      <c r="AA787" s="552"/>
      <c r="AB787" s="341" t="s">
        <v>29</v>
      </c>
      <c r="AC787" s="568" t="s">
        <v>709</v>
      </c>
      <c r="AD787" s="1158" t="s">
        <v>29</v>
      </c>
      <c r="AE787" s="581"/>
      <c r="AF787" s="581"/>
      <c r="AG787" s="581"/>
      <c r="AH787" s="583"/>
      <c r="AI787" s="1047"/>
      <c r="AJ787" s="1048"/>
      <c r="AK787" s="1048"/>
      <c r="AL787" s="1049"/>
      <c r="AM787" s="542" t="s">
        <v>709</v>
      </c>
      <c r="AN787" s="924"/>
      <c r="AO787" s="925"/>
      <c r="AP787" s="926"/>
      <c r="AQ787" s="926"/>
      <c r="AR787" s="926"/>
      <c r="AS787" s="926"/>
      <c r="AT787" s="926"/>
      <c r="AU787" s="926"/>
      <c r="AV787" s="926"/>
      <c r="AW787" s="927"/>
      <c r="AX787" s="926"/>
      <c r="AY787" s="1538" t="s">
        <v>29</v>
      </c>
      <c r="AZ787" s="1530"/>
      <c r="BA787" s="1031" t="s">
        <v>5055</v>
      </c>
      <c r="BB787" s="644" t="s">
        <v>1071</v>
      </c>
      <c r="BC787" s="544" t="s">
        <v>376</v>
      </c>
      <c r="BD787" s="544" t="s">
        <v>115</v>
      </c>
      <c r="BE787" s="544" t="s">
        <v>5056</v>
      </c>
      <c r="BF787" s="544" t="s">
        <v>115</v>
      </c>
      <c r="BG787" s="544" t="s">
        <v>115</v>
      </c>
      <c r="BH787" s="741"/>
      <c r="BI787" s="1032"/>
      <c r="BJ787" s="1032"/>
      <c r="BK787" s="1032"/>
      <c r="BL787" s="1032"/>
      <c r="BM787" s="1032"/>
      <c r="BN787" s="1032"/>
      <c r="BO787" s="1032"/>
      <c r="BP787" s="1032"/>
      <c r="BQ787" s="1032"/>
      <c r="BR787" s="1032"/>
      <c r="BS787" s="1032"/>
      <c r="BT787" s="1032"/>
      <c r="BU787" s="1032"/>
      <c r="BV787" s="547"/>
      <c r="BW787" s="1032"/>
      <c r="BX787" s="1032"/>
      <c r="BY787" s="1032"/>
      <c r="BZ787" s="1032"/>
      <c r="CA787" s="485"/>
      <c r="CB787" s="547">
        <v>786</v>
      </c>
      <c r="CC787" s="1481" t="b">
        <v>1</v>
      </c>
      <c r="CD787" t="str">
        <f>Table15[[#This Row],[Engineering Number]]&amp;Table15[[#This Row],[WO Number]]&amp;Table15[[#This Row],[Date Assigned to Designer]]&amp;Table15[[#This Row],[Date Completed]]</f>
        <v>SC1998112119014464444893</v>
      </c>
    </row>
    <row r="788" spans="1:82" customFormat="1" ht="15" customHeight="1" x14ac:dyDescent="0.25">
      <c r="A788">
        <v>2022</v>
      </c>
      <c r="B788" s="8" t="s">
        <v>4</v>
      </c>
      <c r="C788" s="8" t="s">
        <v>1382</v>
      </c>
      <c r="D788" s="8" t="s">
        <v>1383</v>
      </c>
      <c r="E788" s="8" t="s">
        <v>1384</v>
      </c>
      <c r="F788" s="8" t="s">
        <v>747</v>
      </c>
      <c r="G788" s="8" t="s">
        <v>35</v>
      </c>
      <c r="H788" s="8" t="s">
        <v>59</v>
      </c>
      <c r="I788" s="642">
        <v>44721</v>
      </c>
      <c r="J788" s="18">
        <v>44895</v>
      </c>
      <c r="K788" s="97">
        <v>44893</v>
      </c>
      <c r="L788" s="16">
        <f>IF(ISTEXT(Table15[[#This Row],[Engineering Approved Design Date]]),Table15[[#This Row],[Date Completed]]-Table15[[#This Row],[Date Assigned to Designer]],Table15[[#This Row],[Engineering Approved Design Date]]-Table15[[#This Row],[Date Completed]])</f>
        <v>2</v>
      </c>
      <c r="M788" s="642"/>
      <c r="N788" s="642" t="s">
        <v>120</v>
      </c>
      <c r="O788" s="1060">
        <v>44896</v>
      </c>
      <c r="P788" s="21" t="s">
        <v>739</v>
      </c>
      <c r="Q788" s="1061">
        <f>R788*AA788</f>
        <v>57646.325000000004</v>
      </c>
      <c r="R788" s="1026">
        <v>0.1</v>
      </c>
      <c r="S788" s="538"/>
      <c r="T788" s="538"/>
      <c r="U788" s="87"/>
      <c r="V788" s="858">
        <f>2081+25+4</f>
        <v>2110</v>
      </c>
      <c r="W788" s="437"/>
      <c r="X788" s="570">
        <v>534271.6</v>
      </c>
      <c r="Y788" s="551"/>
      <c r="Z788" s="570">
        <v>42191.65</v>
      </c>
      <c r="AA788" s="552">
        <f>Table15[[#This Row],[PCTS Investment Amount]]+Table15[[#This Row],[PCTS Retirement Amount]]</f>
        <v>576463.25</v>
      </c>
      <c r="AB788" s="341" t="s">
        <v>709</v>
      </c>
      <c r="AC788" s="568" t="s">
        <v>709</v>
      </c>
      <c r="AD788" s="1157" t="s">
        <v>29</v>
      </c>
      <c r="AE788" s="579"/>
      <c r="AF788" s="579"/>
      <c r="AG788" s="579"/>
      <c r="AH788" s="553"/>
      <c r="AI788" s="1036"/>
      <c r="AJ788" s="1037"/>
      <c r="AK788" s="1037"/>
      <c r="AL788" s="1038"/>
      <c r="AM788" s="536" t="s">
        <v>116</v>
      </c>
      <c r="AN788" s="903" t="s">
        <v>709</v>
      </c>
      <c r="AO788" s="1536" t="s">
        <v>115</v>
      </c>
      <c r="AP788" s="1537"/>
      <c r="AQ788" s="1537"/>
      <c r="AR788" s="1537"/>
      <c r="AS788" s="888">
        <f>IF(Table15[[#This Row],[PCTS Approved]]="N",0,Table15[[#This Row],[Investment Amount (1'#'#'#'#'#)]]+Table15[[#This Row],[Retirement Amount (3'#'#'#'#'#)]])</f>
        <v>0</v>
      </c>
      <c r="AT788" s="888">
        <f>IF(Table15[[#This Row],[Approved Construction Cost]]=0,0,Table15[[#This Row],[Approved Construction Cost]]-Table15[[#This Row],[Construction Cost to Bill From]])</f>
        <v>0</v>
      </c>
      <c r="AU788" s="888">
        <f>IFERROR(Table15[[#This Row],[Difference in Construction Cost]]*Table15[[#This Row],[Rate]],Table15[[#This Row],[Difference in Construction Cost]]*0.085)</f>
        <v>0</v>
      </c>
      <c r="AV788" s="905"/>
      <c r="AW788" s="1509"/>
      <c r="AX788" s="888"/>
      <c r="AY788" s="636" t="s">
        <v>709</v>
      </c>
      <c r="AZ788" s="333">
        <v>75</v>
      </c>
      <c r="BA788" s="859" t="s">
        <v>1385</v>
      </c>
      <c r="BB788" s="644" t="s">
        <v>1386</v>
      </c>
      <c r="BC788" s="544" t="s">
        <v>709</v>
      </c>
      <c r="BD788" s="544" t="s">
        <v>115</v>
      </c>
      <c r="BE788" s="544" t="s">
        <v>1387</v>
      </c>
      <c r="BF788" s="544" t="s">
        <v>115</v>
      </c>
      <c r="BG788" s="544" t="s">
        <v>115</v>
      </c>
      <c r="BH788" s="741"/>
      <c r="BI788" s="547" t="s">
        <v>709</v>
      </c>
      <c r="BJ788" s="547" t="s">
        <v>709</v>
      </c>
      <c r="BK788" s="547" t="s">
        <v>709</v>
      </c>
      <c r="BL788" s="547" t="s">
        <v>116</v>
      </c>
      <c r="BM788" s="547" t="s">
        <v>709</v>
      </c>
      <c r="BN788" s="547" t="s">
        <v>709</v>
      </c>
      <c r="BO788" s="547" t="s">
        <v>709</v>
      </c>
      <c r="BP788" s="547" t="s">
        <v>709</v>
      </c>
      <c r="BQ788" s="547">
        <v>2081</v>
      </c>
      <c r="BR788" s="547">
        <v>4</v>
      </c>
      <c r="BS788" s="547">
        <v>25</v>
      </c>
      <c r="BT788" s="547" t="s">
        <v>745</v>
      </c>
      <c r="BU788" s="547" t="s">
        <v>709</v>
      </c>
      <c r="BV788" s="547" t="s">
        <v>745</v>
      </c>
      <c r="BW788" s="547" t="s">
        <v>709</v>
      </c>
      <c r="BX788" s="547" t="s">
        <v>745</v>
      </c>
      <c r="BY788" s="547" t="s">
        <v>745</v>
      </c>
      <c r="BZ788" s="547" t="s">
        <v>709</v>
      </c>
      <c r="CA788" s="483"/>
      <c r="CB788" s="547">
        <v>785</v>
      </c>
      <c r="CC788" s="1481" t="b">
        <v>1</v>
      </c>
      <c r="CD788" t="str">
        <f>Table15[[#This Row],[Engineering Number]]&amp;Table15[[#This Row],[WO Number]]&amp;Table15[[#This Row],[Date Assigned to Designer]]&amp;Table15[[#This Row],[Date Completed]]</f>
        <v>SC2113514116574472144893</v>
      </c>
    </row>
    <row r="789" spans="1:82" customFormat="1" ht="15" customHeight="1" x14ac:dyDescent="0.25">
      <c r="A789">
        <v>2023</v>
      </c>
      <c r="B789" s="8" t="s">
        <v>4</v>
      </c>
      <c r="C789" s="8" t="s">
        <v>1087</v>
      </c>
      <c r="D789" s="8" t="s">
        <v>1088</v>
      </c>
      <c r="E789" s="8" t="s">
        <v>309</v>
      </c>
      <c r="F789" s="8" t="s">
        <v>747</v>
      </c>
      <c r="G789" s="8" t="s">
        <v>27</v>
      </c>
      <c r="H789" s="8" t="s">
        <v>59</v>
      </c>
      <c r="I789" s="642">
        <v>44637</v>
      </c>
      <c r="J789" s="18">
        <v>44895</v>
      </c>
      <c r="K789" s="97">
        <v>44894</v>
      </c>
      <c r="L789" s="16">
        <f>IF(ISTEXT(Table15[[#This Row],[Engineering Approved Design Date]]),Table15[[#This Row],[Date Completed]]-Table15[[#This Row],[Date Assigned to Designer]],Table15[[#This Row],[Engineering Approved Design Date]]-Table15[[#This Row],[Date Completed]])</f>
        <v>1</v>
      </c>
      <c r="M789" s="642"/>
      <c r="N789" s="642" t="s">
        <v>120</v>
      </c>
      <c r="O789" s="1060">
        <v>44896</v>
      </c>
      <c r="P789" s="21" t="s">
        <v>739</v>
      </c>
      <c r="Q789" s="1061">
        <f>R789*AA789</f>
        <v>171948.44900000002</v>
      </c>
      <c r="R789" s="1026">
        <v>0.1</v>
      </c>
      <c r="S789" s="538"/>
      <c r="T789" s="538"/>
      <c r="U789" s="87"/>
      <c r="V789" s="858">
        <v>3234</v>
      </c>
      <c r="W789" s="437"/>
      <c r="X789" s="570">
        <v>980442.02</v>
      </c>
      <c r="Y789" s="551"/>
      <c r="Z789" s="570">
        <v>739042.47</v>
      </c>
      <c r="AA789" s="552">
        <f>Table15[[#This Row],[PCTS Investment Amount]]+Table15[[#This Row],[PCTS Retirement Amount]]</f>
        <v>1719484.49</v>
      </c>
      <c r="AB789" s="341" t="s">
        <v>1089</v>
      </c>
      <c r="AC789" s="568" t="s">
        <v>709</v>
      </c>
      <c r="AD789" s="1157" t="s">
        <v>116</v>
      </c>
      <c r="AE789" s="579"/>
      <c r="AF789" s="579"/>
      <c r="AG789" s="579"/>
      <c r="AH789" s="553"/>
      <c r="AI789" s="1036"/>
      <c r="AJ789" s="1037"/>
      <c r="AK789" s="1037"/>
      <c r="AL789" s="1038"/>
      <c r="AM789" s="1522" t="s">
        <v>116</v>
      </c>
      <c r="AN789" s="1523">
        <v>45776</v>
      </c>
      <c r="AO789" s="1524">
        <v>11085682</v>
      </c>
      <c r="AP789" s="1525">
        <v>996204.6</v>
      </c>
      <c r="AQ789" s="1525"/>
      <c r="AR789" s="1525">
        <v>754936.91</v>
      </c>
      <c r="AS789" s="1525">
        <f>IF(Table15[[#This Row],[PCTS Approved]]="N",0,Table15[[#This Row],[Investment Amount (1'#'#'#'#'#)]]+Table15[[#This Row],[Retirement Amount (3'#'#'#'#'#)]])</f>
        <v>1751141.51</v>
      </c>
      <c r="AT789" s="1525">
        <f>IF(Table15[[#This Row],[Approved Construction Cost]]=0,0,Table15[[#This Row],[Approved Construction Cost]]-Table15[[#This Row],[Construction Cost to Bill From]])</f>
        <v>31657.020000000019</v>
      </c>
      <c r="AU789" s="1525">
        <f>IFERROR(Table15[[#This Row],[Difference in Construction Cost]]*Table15[[#This Row],[Rate]],Table15[[#This Row],[Difference in Construction Cost]]*0.085)</f>
        <v>3165.702000000002</v>
      </c>
      <c r="AV789" s="1525">
        <v>5045</v>
      </c>
      <c r="AW789" s="1526" t="s">
        <v>5064</v>
      </c>
      <c r="AX789" s="1525">
        <v>0</v>
      </c>
      <c r="AY789" s="1518">
        <v>45901</v>
      </c>
      <c r="AZ789" s="333">
        <v>77</v>
      </c>
      <c r="BA789" s="859" t="s">
        <v>1091</v>
      </c>
      <c r="BB789" s="644" t="s">
        <v>1092</v>
      </c>
      <c r="BC789" s="544" t="s">
        <v>116</v>
      </c>
      <c r="BD789" s="544" t="s">
        <v>837</v>
      </c>
      <c r="BE789" s="544" t="s">
        <v>1093</v>
      </c>
      <c r="BF789" s="544" t="s">
        <v>115</v>
      </c>
      <c r="BG789" s="544" t="s">
        <v>115</v>
      </c>
      <c r="BH789" s="741" t="s">
        <v>1094</v>
      </c>
      <c r="BI789" s="547" t="s">
        <v>709</v>
      </c>
      <c r="BJ789" s="547" t="s">
        <v>709</v>
      </c>
      <c r="BK789" s="547" t="s">
        <v>709</v>
      </c>
      <c r="BL789" s="547" t="s">
        <v>116</v>
      </c>
      <c r="BM789" s="547" t="s">
        <v>709</v>
      </c>
      <c r="BN789" s="547" t="s">
        <v>709</v>
      </c>
      <c r="BO789" s="547" t="s">
        <v>709</v>
      </c>
      <c r="BP789" s="547" t="s">
        <v>709</v>
      </c>
      <c r="BQ789" s="547" t="s">
        <v>709</v>
      </c>
      <c r="BR789" s="547">
        <v>3138</v>
      </c>
      <c r="BS789" s="547">
        <v>96</v>
      </c>
      <c r="BT789" s="547" t="s">
        <v>709</v>
      </c>
      <c r="BU789" s="547" t="s">
        <v>709</v>
      </c>
      <c r="BV789" s="547" t="s">
        <v>709</v>
      </c>
      <c r="BW789" s="547" t="s">
        <v>709</v>
      </c>
      <c r="BX789" s="547" t="s">
        <v>745</v>
      </c>
      <c r="BY789" s="547" t="s">
        <v>709</v>
      </c>
      <c r="BZ789" s="547" t="s">
        <v>709</v>
      </c>
      <c r="CA789" s="483"/>
      <c r="CB789" s="547">
        <v>787</v>
      </c>
      <c r="CC789" s="1481" t="b">
        <v>1</v>
      </c>
      <c r="CD789" t="str">
        <f>Table15[[#This Row],[Engineering Number]]&amp;Table15[[#This Row],[WO Number]]&amp;Table15[[#This Row],[Date Assigned to Designer]]&amp;Table15[[#This Row],[Date Completed]]</f>
        <v>SC1849814114104463744894</v>
      </c>
    </row>
    <row r="790" spans="1:82" customFormat="1" ht="15" customHeight="1" x14ac:dyDescent="0.25">
      <c r="A790">
        <v>2023</v>
      </c>
      <c r="B790" s="8" t="s">
        <v>4</v>
      </c>
      <c r="C790" s="8" t="s">
        <v>1095</v>
      </c>
      <c r="D790" s="8" t="s">
        <v>1096</v>
      </c>
      <c r="E790" s="8" t="s">
        <v>309</v>
      </c>
      <c r="F790" s="8" t="s">
        <v>747</v>
      </c>
      <c r="G790" s="8" t="s">
        <v>27</v>
      </c>
      <c r="H790" s="8" t="s">
        <v>59</v>
      </c>
      <c r="I790" s="642">
        <v>44791</v>
      </c>
      <c r="J790" s="18">
        <v>44895</v>
      </c>
      <c r="K790" s="97">
        <v>44894</v>
      </c>
      <c r="L790" s="16">
        <f>IF(ISTEXT(Table15[[#This Row],[Engineering Approved Design Date]]),Table15[[#This Row],[Date Completed]]-Table15[[#This Row],[Date Assigned to Designer]],Table15[[#This Row],[Engineering Approved Design Date]]-Table15[[#This Row],[Date Completed]])</f>
        <v>1</v>
      </c>
      <c r="M790" s="642"/>
      <c r="N790" s="642" t="s">
        <v>120</v>
      </c>
      <c r="O790" s="1060">
        <v>44896</v>
      </c>
      <c r="P790" s="21" t="s">
        <v>739</v>
      </c>
      <c r="Q790" s="1061">
        <f>R790*AA790</f>
        <v>103641.395</v>
      </c>
      <c r="R790" s="1026">
        <v>0.1</v>
      </c>
      <c r="S790" s="538"/>
      <c r="T790" s="538"/>
      <c r="U790" s="87"/>
      <c r="V790" s="858">
        <v>2473</v>
      </c>
      <c r="W790" s="437"/>
      <c r="X790" s="570">
        <v>688510.01</v>
      </c>
      <c r="Y790" s="551"/>
      <c r="Z790" s="570">
        <v>347903.94</v>
      </c>
      <c r="AA790" s="552">
        <f>Table15[[#This Row],[PCTS Investment Amount]]+Table15[[#This Row],[PCTS Retirement Amount]]</f>
        <v>1036413.95</v>
      </c>
      <c r="AB790" s="341" t="s">
        <v>1089</v>
      </c>
      <c r="AC790" s="568" t="s">
        <v>709</v>
      </c>
      <c r="AD790" s="1157" t="s">
        <v>116</v>
      </c>
      <c r="AE790" s="579"/>
      <c r="AF790" s="579"/>
      <c r="AG790" s="579"/>
      <c r="AH790" s="553"/>
      <c r="AI790" s="1036"/>
      <c r="AJ790" s="1037"/>
      <c r="AK790" s="1037"/>
      <c r="AL790" s="1038"/>
      <c r="AM790" s="1522" t="s">
        <v>116</v>
      </c>
      <c r="AN790" s="1523">
        <v>45776</v>
      </c>
      <c r="AO790" s="1524">
        <v>11082174</v>
      </c>
      <c r="AP790" s="1525">
        <v>742927.88</v>
      </c>
      <c r="AQ790" s="1525"/>
      <c r="AR790" s="1525">
        <v>416914.29</v>
      </c>
      <c r="AS790" s="1525">
        <f>IF(Table15[[#This Row],[PCTS Approved]]="N",0,Table15[[#This Row],[Investment Amount (1'#'#'#'#'#)]]+Table15[[#This Row],[Retirement Amount (3'#'#'#'#'#)]])</f>
        <v>1159842.17</v>
      </c>
      <c r="AT790" s="1525">
        <f>IF(Table15[[#This Row],[Approved Construction Cost]]=0,0,Table15[[#This Row],[Approved Construction Cost]]-Table15[[#This Row],[Construction Cost to Bill From]])</f>
        <v>123428.21999999997</v>
      </c>
      <c r="AU790" s="1525">
        <f>IFERROR(Table15[[#This Row],[Difference in Construction Cost]]*Table15[[#This Row],[Rate]],Table15[[#This Row],[Difference in Construction Cost]]*0.085)</f>
        <v>12342.821999999998</v>
      </c>
      <c r="AV790" s="1525">
        <v>5045</v>
      </c>
      <c r="AW790" s="1526" t="s">
        <v>5064</v>
      </c>
      <c r="AX790" s="1525">
        <v>0</v>
      </c>
      <c r="AY790" s="1518">
        <v>45901</v>
      </c>
      <c r="AZ790" s="333">
        <v>76</v>
      </c>
      <c r="BA790" s="859" t="s">
        <v>1098</v>
      </c>
      <c r="BB790" s="644" t="s">
        <v>1092</v>
      </c>
      <c r="BC790" s="544" t="s">
        <v>116</v>
      </c>
      <c r="BD790" s="544" t="s">
        <v>837</v>
      </c>
      <c r="BE790" s="544" t="s">
        <v>1093</v>
      </c>
      <c r="BF790" s="544" t="s">
        <v>115</v>
      </c>
      <c r="BG790" s="544" t="s">
        <v>115</v>
      </c>
      <c r="BH790" s="741" t="s">
        <v>1094</v>
      </c>
      <c r="BI790" s="547" t="s">
        <v>709</v>
      </c>
      <c r="BJ790" s="547" t="s">
        <v>709</v>
      </c>
      <c r="BK790" s="547" t="s">
        <v>709</v>
      </c>
      <c r="BL790" s="547" t="s">
        <v>116</v>
      </c>
      <c r="BM790" s="547" t="s">
        <v>709</v>
      </c>
      <c r="BN790" s="547" t="s">
        <v>709</v>
      </c>
      <c r="BO790" s="547" t="s">
        <v>709</v>
      </c>
      <c r="BP790" s="547" t="s">
        <v>709</v>
      </c>
      <c r="BQ790" s="547" t="s">
        <v>709</v>
      </c>
      <c r="BR790" s="547">
        <v>2473</v>
      </c>
      <c r="BS790" s="547" t="s">
        <v>709</v>
      </c>
      <c r="BT790" s="547" t="s">
        <v>745</v>
      </c>
      <c r="BU790" s="547" t="s">
        <v>709</v>
      </c>
      <c r="BV790" s="547" t="s">
        <v>745</v>
      </c>
      <c r="BW790" s="547" t="s">
        <v>709</v>
      </c>
      <c r="BX790" s="547" t="s">
        <v>745</v>
      </c>
      <c r="BY790" s="547" t="s">
        <v>745</v>
      </c>
      <c r="BZ790" s="547" t="s">
        <v>709</v>
      </c>
      <c r="CA790" s="483"/>
      <c r="CB790" s="547">
        <v>788</v>
      </c>
      <c r="CC790" s="1481" t="b">
        <v>1</v>
      </c>
      <c r="CD790" t="str">
        <f>Table15[[#This Row],[Engineering Number]]&amp;Table15[[#This Row],[WO Number]]&amp;Table15[[#This Row],[Date Assigned to Designer]]&amp;Table15[[#This Row],[Date Completed]]</f>
        <v>SC18498-114117254479144894</v>
      </c>
    </row>
    <row r="791" spans="1:82" customFormat="1" ht="15" customHeight="1" x14ac:dyDescent="0.25">
      <c r="A791">
        <v>2022</v>
      </c>
      <c r="B791" s="8" t="s">
        <v>4</v>
      </c>
      <c r="C791" s="8" t="s">
        <v>3795</v>
      </c>
      <c r="D791" s="8">
        <v>1210614</v>
      </c>
      <c r="E791" s="8" t="s">
        <v>2298</v>
      </c>
      <c r="F791" s="8" t="s">
        <v>747</v>
      </c>
      <c r="G791" s="8" t="s">
        <v>39</v>
      </c>
      <c r="H791" s="8" t="s">
        <v>4189</v>
      </c>
      <c r="I791" s="642">
        <v>44888</v>
      </c>
      <c r="J791" s="175" t="s">
        <v>2052</v>
      </c>
      <c r="K791" s="97">
        <v>44894</v>
      </c>
      <c r="L791" s="16">
        <f>IF(ISTEXT(Table15[[#This Row],[Engineering Approved Design Date]]),Table15[[#This Row],[Date Completed]]-Table15[[#This Row],[Date Assigned to Designer]],Table15[[#This Row],[Engineering Approved Design Date]]-Table15[[#This Row],[Date Completed]])</f>
        <v>6</v>
      </c>
      <c r="M791" t="s">
        <v>5059</v>
      </c>
      <c r="N791" s="642" t="s">
        <v>120</v>
      </c>
      <c r="O791" s="1060">
        <v>44896</v>
      </c>
      <c r="P791" s="21" t="s">
        <v>739</v>
      </c>
      <c r="Q791" s="1151">
        <f>Table15[[#This Row],[KH Hourly Effort]]</f>
        <v>1750</v>
      </c>
      <c r="R791" s="1026" t="s">
        <v>1922</v>
      </c>
      <c r="S791" s="538"/>
      <c r="T791" s="538"/>
      <c r="U791" s="1061">
        <v>1750</v>
      </c>
      <c r="V791" s="858"/>
      <c r="W791" s="437"/>
      <c r="X791" s="538"/>
      <c r="Y791" s="551"/>
      <c r="Z791" s="538"/>
      <c r="AA791" s="552"/>
      <c r="AB791" s="341"/>
      <c r="AC791" s="569"/>
      <c r="AD791" s="1149" t="s">
        <v>116</v>
      </c>
      <c r="AE791" s="580"/>
      <c r="AF791" s="580"/>
      <c r="AG791" s="580"/>
      <c r="AH791" s="542"/>
      <c r="AI791" s="1028"/>
      <c r="AJ791" s="1029"/>
      <c r="AK791" s="1029"/>
      <c r="AL791" s="1030"/>
      <c r="AM791" s="542" t="s">
        <v>709</v>
      </c>
      <c r="AN791" s="924"/>
      <c r="AO791" s="925"/>
      <c r="AP791" s="926"/>
      <c r="AQ791" s="926"/>
      <c r="AR791" s="926"/>
      <c r="AS791" s="926"/>
      <c r="AT791" s="926"/>
      <c r="AU791" s="926"/>
      <c r="AV791" s="926"/>
      <c r="AW791" s="927"/>
      <c r="AX791" s="926"/>
      <c r="AY791" s="1538" t="s">
        <v>29</v>
      </c>
      <c r="AZ791" s="1530"/>
      <c r="BA791" s="1031">
        <v>3</v>
      </c>
      <c r="BB791" s="644" t="s">
        <v>5060</v>
      </c>
      <c r="BC791" s="544"/>
      <c r="BD791" s="544"/>
      <c r="BE791" s="544"/>
      <c r="BF791" s="544"/>
      <c r="BG791" s="544"/>
      <c r="BH791" s="741"/>
      <c r="BI791" s="547" t="s">
        <v>709</v>
      </c>
      <c r="BJ791" s="547" t="s">
        <v>709</v>
      </c>
      <c r="BK791" s="547" t="s">
        <v>709</v>
      </c>
      <c r="BL791" s="547" t="s">
        <v>116</v>
      </c>
      <c r="BM791" s="547" t="s">
        <v>709</v>
      </c>
      <c r="BN791" s="547" t="s">
        <v>709</v>
      </c>
      <c r="BO791" s="547" t="s">
        <v>709</v>
      </c>
      <c r="BP791" s="547" t="s">
        <v>709</v>
      </c>
      <c r="BQ791" s="547">
        <v>173</v>
      </c>
      <c r="BR791" s="547" t="s">
        <v>709</v>
      </c>
      <c r="BS791" s="547">
        <v>365</v>
      </c>
      <c r="BT791" s="547" t="s">
        <v>745</v>
      </c>
      <c r="BU791" s="547" t="s">
        <v>709</v>
      </c>
      <c r="BV791" s="547" t="s">
        <v>745</v>
      </c>
      <c r="BW791" s="547" t="s">
        <v>709</v>
      </c>
      <c r="BX791" s="547" t="s">
        <v>745</v>
      </c>
      <c r="BY791" s="547" t="s">
        <v>745</v>
      </c>
      <c r="BZ791" s="547" t="s">
        <v>709</v>
      </c>
      <c r="CA791" s="483"/>
      <c r="CB791" s="547">
        <v>789</v>
      </c>
      <c r="CC791" s="1481" t="b">
        <v>1</v>
      </c>
      <c r="CD791" t="str">
        <f>Table15[[#This Row],[Engineering Number]]&amp;Table15[[#This Row],[WO Number]]&amp;Table15[[#This Row],[Date Assigned to Designer]]&amp;Table15[[#This Row],[Date Completed]]</f>
        <v>M1206012106144488844894</v>
      </c>
    </row>
    <row r="792" spans="1:82" customFormat="1" ht="15" customHeight="1" x14ac:dyDescent="0.25">
      <c r="A792">
        <v>2022</v>
      </c>
      <c r="B792" s="8" t="s">
        <v>759</v>
      </c>
      <c r="C792" s="8" t="s">
        <v>224</v>
      </c>
      <c r="D792" s="8" t="s">
        <v>1270</v>
      </c>
      <c r="E792" s="8" t="s">
        <v>225</v>
      </c>
      <c r="F792" s="8" t="s">
        <v>784</v>
      </c>
      <c r="G792" s="8" t="s">
        <v>24</v>
      </c>
      <c r="H792" s="8" t="s">
        <v>4001</v>
      </c>
      <c r="I792" s="642">
        <v>44886</v>
      </c>
      <c r="J792" s="175" t="s">
        <v>2052</v>
      </c>
      <c r="K792" s="97">
        <v>44894</v>
      </c>
      <c r="L792" s="16">
        <f>IF(ISTEXT(Table15[[#This Row],[Engineering Approved Design Date]]),Table15[[#This Row],[Date Completed]]-Table15[[#This Row],[Date Assigned to Designer]],Table15[[#This Row],[Engineering Approved Design Date]]-Table15[[#This Row],[Date Completed]])</f>
        <v>8</v>
      </c>
      <c r="M792" t="s">
        <v>5062</v>
      </c>
      <c r="N792" s="642" t="s">
        <v>120</v>
      </c>
      <c r="O792" s="1060">
        <v>44896</v>
      </c>
      <c r="P792" s="21" t="s">
        <v>120</v>
      </c>
      <c r="Q792" s="1151">
        <f>Table15[[#This Row],[KH Hourly Effort]]</f>
        <v>3807.5</v>
      </c>
      <c r="R792" s="1026" t="s">
        <v>1922</v>
      </c>
      <c r="S792" s="538"/>
      <c r="T792" s="538"/>
      <c r="U792" s="1061">
        <v>3807.5</v>
      </c>
      <c r="V792" s="858"/>
      <c r="W792" s="437"/>
      <c r="X792" s="538"/>
      <c r="Y792" s="551"/>
      <c r="Z792" s="538"/>
      <c r="AA792" s="552"/>
      <c r="AB792" s="341"/>
      <c r="AC792" s="569" t="s">
        <v>1056</v>
      </c>
      <c r="AD792" s="1149" t="s">
        <v>116</v>
      </c>
      <c r="AE792" s="580"/>
      <c r="AF792" s="580"/>
      <c r="AG792" s="580"/>
      <c r="AH792" s="542"/>
      <c r="AI792" s="1028"/>
      <c r="AJ792" s="1029"/>
      <c r="AK792" s="1029"/>
      <c r="AL792" s="1030"/>
      <c r="AM792" s="542" t="s">
        <v>709</v>
      </c>
      <c r="AN792" s="924"/>
      <c r="AO792" s="925"/>
      <c r="AP792" s="926"/>
      <c r="AQ792" s="926"/>
      <c r="AR792" s="926"/>
      <c r="AS792" s="926"/>
      <c r="AT792" s="926"/>
      <c r="AU792" s="926"/>
      <c r="AV792" s="926"/>
      <c r="AW792" s="927"/>
      <c r="AX792" s="926"/>
      <c r="AY792" s="1538" t="s">
        <v>29</v>
      </c>
      <c r="AZ792" s="1530"/>
      <c r="BA792" s="1031">
        <v>3</v>
      </c>
      <c r="BB792" s="644" t="s">
        <v>29</v>
      </c>
      <c r="BC792" s="544"/>
      <c r="BD792" s="544"/>
      <c r="BE792" s="544"/>
      <c r="BF792" s="544"/>
      <c r="BG792" s="544"/>
      <c r="BH792" s="741"/>
      <c r="BI792" s="547" t="s">
        <v>709</v>
      </c>
      <c r="BJ792" s="547" t="s">
        <v>709</v>
      </c>
      <c r="BK792" s="547" t="s">
        <v>116</v>
      </c>
      <c r="BL792" s="547" t="s">
        <v>116</v>
      </c>
      <c r="BM792" s="547" t="s">
        <v>709</v>
      </c>
      <c r="BN792" s="547" t="s">
        <v>709</v>
      </c>
      <c r="BO792" s="547" t="s">
        <v>709</v>
      </c>
      <c r="BP792" s="547">
        <v>724</v>
      </c>
      <c r="BQ792" s="547">
        <v>70</v>
      </c>
      <c r="BR792" s="547">
        <v>45</v>
      </c>
      <c r="BS792" s="547">
        <v>10</v>
      </c>
      <c r="BT792" s="547">
        <v>1</v>
      </c>
      <c r="BU792" s="547" t="s">
        <v>709</v>
      </c>
      <c r="BV792" s="547" t="s">
        <v>745</v>
      </c>
      <c r="BW792" s="547">
        <v>1</v>
      </c>
      <c r="BX792" s="547" t="s">
        <v>709</v>
      </c>
      <c r="BY792" s="547" t="s">
        <v>745</v>
      </c>
      <c r="BZ792" s="547" t="s">
        <v>709</v>
      </c>
      <c r="CA792" s="483" t="s">
        <v>2</v>
      </c>
      <c r="CB792" s="547">
        <v>790</v>
      </c>
      <c r="CC792" s="1481" t="b">
        <v>1</v>
      </c>
      <c r="CD792" t="str">
        <f>Table15[[#This Row],[Engineering Number]]&amp;Table15[[#This Row],[WO Number]]&amp;Table15[[#This Row],[Date Assigned to Designer]]&amp;Table15[[#This Row],[Date Completed]]</f>
        <v>RS5001020834488644894</v>
      </c>
    </row>
    <row r="793" spans="1:82" customFormat="1" ht="15" customHeight="1" x14ac:dyDescent="0.25">
      <c r="A793">
        <v>2022</v>
      </c>
      <c r="B793" s="8" t="s">
        <v>4</v>
      </c>
      <c r="C793" s="8" t="s">
        <v>5067</v>
      </c>
      <c r="D793" s="8" t="s">
        <v>5068</v>
      </c>
      <c r="E793" s="8" t="s">
        <v>5069</v>
      </c>
      <c r="F793" s="8" t="s">
        <v>747</v>
      </c>
      <c r="G793" s="8" t="s">
        <v>25</v>
      </c>
      <c r="H793" s="8" t="s">
        <v>59</v>
      </c>
      <c r="I793" s="642">
        <v>44783</v>
      </c>
      <c r="J793" s="18">
        <v>44897</v>
      </c>
      <c r="K793" s="97">
        <v>44896</v>
      </c>
      <c r="L793" s="16">
        <f>IF(ISTEXT(Table15[[#This Row],[Engineering Approved Design Date]]),Table15[[#This Row],[Date Completed]]-Table15[[#This Row],[Date Assigned to Designer]],Table15[[#This Row],[Engineering Approved Design Date]]-Table15[[#This Row],[Date Completed]])</f>
        <v>1</v>
      </c>
      <c r="M793" s="642"/>
      <c r="N793" s="642" t="s">
        <v>120</v>
      </c>
      <c r="O793" s="1060">
        <f>Table15[[#This Row],[Date Completed]]</f>
        <v>44896</v>
      </c>
      <c r="P793" s="21" t="s">
        <v>739</v>
      </c>
      <c r="Q793" s="1061">
        <f>R793*AA793</f>
        <v>60050.242000000006</v>
      </c>
      <c r="R793" s="1026">
        <v>0.1</v>
      </c>
      <c r="S793" s="538"/>
      <c r="T793" s="538"/>
      <c r="U793" s="87"/>
      <c r="V793" s="858">
        <v>1780</v>
      </c>
      <c r="W793" s="437"/>
      <c r="X793" s="570">
        <v>503592.01</v>
      </c>
      <c r="Y793" s="551"/>
      <c r="Z793" s="570">
        <v>96910.41</v>
      </c>
      <c r="AA793" s="552">
        <f>Table15[[#This Row],[PCTS Investment Amount]]+Table15[[#This Row],[PCTS Retirement Amount]]</f>
        <v>600502.42000000004</v>
      </c>
      <c r="AB793" s="341">
        <v>44942</v>
      </c>
      <c r="AC793" s="568" t="s">
        <v>709</v>
      </c>
      <c r="AD793" s="1157" t="s">
        <v>29</v>
      </c>
      <c r="AE793" s="579" t="s">
        <v>29</v>
      </c>
      <c r="AF793" s="579" t="s">
        <v>29</v>
      </c>
      <c r="AG793" s="579" t="s">
        <v>29</v>
      </c>
      <c r="AH793" s="553" t="s">
        <v>29</v>
      </c>
      <c r="AI793" s="1036"/>
      <c r="AJ793" s="1037"/>
      <c r="AK793" s="1037"/>
      <c r="AL793" s="1038"/>
      <c r="AM793" s="1522" t="s">
        <v>116</v>
      </c>
      <c r="AN793" s="1523">
        <v>45107</v>
      </c>
      <c r="AO793" s="1524">
        <v>11064607</v>
      </c>
      <c r="AP793" s="1525">
        <v>286790</v>
      </c>
      <c r="AQ793" s="1525"/>
      <c r="AR793" s="1525">
        <v>67766.62</v>
      </c>
      <c r="AS793" s="1525">
        <f>IF(Table15[[#This Row],[PCTS Approved]]="N",0,Table15[[#This Row],[Investment Amount (1'#'#'#'#'#)]]+Table15[[#This Row],[Retirement Amount (3'#'#'#'#'#)]])</f>
        <v>354556.62</v>
      </c>
      <c r="AT793" s="1525">
        <f>IF(Table15[[#This Row],[Approved Construction Cost]]=0,0,Table15[[#This Row],[Approved Construction Cost]]-Table15[[#This Row],[Construction Cost to Bill From]])</f>
        <v>-245945.80000000005</v>
      </c>
      <c r="AU793" s="1525">
        <f>IFERROR(Table15[[#This Row],[Difference in Construction Cost]]*Table15[[#This Row],[Rate]],Table15[[#This Row],[Difference in Construction Cost]]*0.085)</f>
        <v>-24594.580000000005</v>
      </c>
      <c r="AV793" s="1525">
        <v>6027.5</v>
      </c>
      <c r="AW793" s="1526" t="s">
        <v>5070</v>
      </c>
      <c r="AX793" s="1525">
        <v>0</v>
      </c>
      <c r="AY793" s="1518">
        <v>45200</v>
      </c>
      <c r="AZ793" s="333"/>
      <c r="BA793" s="859" t="s">
        <v>5071</v>
      </c>
      <c r="BB793" s="644" t="s">
        <v>5072</v>
      </c>
      <c r="BC793" s="544" t="s">
        <v>116</v>
      </c>
      <c r="BD793" s="544" t="s">
        <v>882</v>
      </c>
      <c r="BE793" s="544" t="s">
        <v>5073</v>
      </c>
      <c r="BF793" s="544" t="s">
        <v>5073</v>
      </c>
      <c r="BG793" s="544" t="s">
        <v>115</v>
      </c>
      <c r="BH793" s="741"/>
      <c r="BI793" s="547" t="s">
        <v>709</v>
      </c>
      <c r="BJ793" s="547" t="s">
        <v>709</v>
      </c>
      <c r="BK793" s="547" t="s">
        <v>709</v>
      </c>
      <c r="BL793" s="547" t="s">
        <v>116</v>
      </c>
      <c r="BM793" s="547" t="s">
        <v>709</v>
      </c>
      <c r="BN793" s="547" t="s">
        <v>709</v>
      </c>
      <c r="BO793" s="547" t="s">
        <v>709</v>
      </c>
      <c r="BP793" s="547" t="s">
        <v>709</v>
      </c>
      <c r="BQ793" s="547" t="s">
        <v>709</v>
      </c>
      <c r="BR793" s="547">
        <v>581</v>
      </c>
      <c r="BS793" s="547">
        <v>1199</v>
      </c>
      <c r="BT793" s="547" t="s">
        <v>745</v>
      </c>
      <c r="BU793" s="547" t="s">
        <v>709</v>
      </c>
      <c r="BV793" s="547" t="s">
        <v>745</v>
      </c>
      <c r="BW793" s="547" t="s">
        <v>709</v>
      </c>
      <c r="BX793" s="547" t="s">
        <v>745</v>
      </c>
      <c r="BY793" s="547" t="s">
        <v>745</v>
      </c>
      <c r="BZ793" s="547" t="s">
        <v>709</v>
      </c>
      <c r="CA793" s="483"/>
      <c r="CB793" s="547">
        <v>791</v>
      </c>
      <c r="CC793" s="1481" t="b">
        <v>1</v>
      </c>
      <c r="CD793" t="str">
        <f>Table15[[#This Row],[Engineering Number]]&amp;Table15[[#This Row],[WO Number]]&amp;Table15[[#This Row],[Date Assigned to Designer]]&amp;Table15[[#This Row],[Date Completed]]</f>
        <v>SC2117212118464478344896</v>
      </c>
    </row>
    <row r="794" spans="1:82" customFormat="1" ht="15" customHeight="1" x14ac:dyDescent="0.25">
      <c r="A794">
        <v>2023</v>
      </c>
      <c r="B794" s="8" t="s">
        <v>730</v>
      </c>
      <c r="C794" s="8" t="s">
        <v>5082</v>
      </c>
      <c r="D794" s="8" t="s">
        <v>115</v>
      </c>
      <c r="E794" s="8" t="s">
        <v>2000</v>
      </c>
      <c r="F794" s="8" t="s">
        <v>752</v>
      </c>
      <c r="G794" s="8" t="s">
        <v>34</v>
      </c>
      <c r="H794" s="647" t="s">
        <v>2127</v>
      </c>
      <c r="I794" s="642">
        <v>44888</v>
      </c>
      <c r="J794" s="18">
        <v>44988</v>
      </c>
      <c r="K794" s="18">
        <v>44900</v>
      </c>
      <c r="L794" s="16">
        <f>IF(ISTEXT(Table15[[#This Row],[Engineering Approved Design Date]]),Table15[[#This Row],[Date Completed]]-Table15[[#This Row],[Date Assigned to Designer]],Table15[[#This Row],[Engineering Approved Design Date]]-Table15[[#This Row],[Date Completed]])</f>
        <v>88</v>
      </c>
      <c r="M794" s="642" t="s">
        <v>5083</v>
      </c>
      <c r="N794" s="642" t="s">
        <v>120</v>
      </c>
      <c r="O794" s="1060">
        <v>44928</v>
      </c>
      <c r="P794" s="1152" t="s">
        <v>120</v>
      </c>
      <c r="Q794" s="87" t="s">
        <v>115</v>
      </c>
      <c r="R794" s="1026" t="s">
        <v>115</v>
      </c>
      <c r="S794" s="538"/>
      <c r="T794" s="538"/>
      <c r="U794" s="87"/>
      <c r="V794" s="857"/>
      <c r="W794" s="440"/>
      <c r="X794" s="550"/>
      <c r="Y794" s="550"/>
      <c r="Z794" s="550"/>
      <c r="AA794" s="552">
        <f>Table15[[#This Row],[PCTS Investment Amount]]+Table15[[#This Row],[PCTS Retirement Amount]]</f>
        <v>0</v>
      </c>
      <c r="AB794" s="341"/>
      <c r="AC794" s="568" t="s">
        <v>29</v>
      </c>
      <c r="AD794" s="1157" t="s">
        <v>29</v>
      </c>
      <c r="AE794" s="579"/>
      <c r="AF794" s="579"/>
      <c r="AG794" s="579"/>
      <c r="AH794" s="553"/>
      <c r="AI794" s="1036"/>
      <c r="AJ794" s="1037"/>
      <c r="AK794" s="1037"/>
      <c r="AL794" s="1038"/>
      <c r="AM794" s="542" t="s">
        <v>709</v>
      </c>
      <c r="AN794" s="924"/>
      <c r="AO794" s="925"/>
      <c r="AP794" s="926"/>
      <c r="AQ794" s="926"/>
      <c r="AR794" s="926"/>
      <c r="AS794" s="926"/>
      <c r="AT794" s="926"/>
      <c r="AU794" s="926"/>
      <c r="AV794" s="926"/>
      <c r="AW794" s="927"/>
      <c r="AX794" s="926"/>
      <c r="AY794" s="1538" t="s">
        <v>29</v>
      </c>
      <c r="AZ794" s="1530"/>
      <c r="BA794" s="1031" t="s">
        <v>5084</v>
      </c>
      <c r="BB794" s="644" t="s">
        <v>5085</v>
      </c>
      <c r="BC794" s="544" t="s">
        <v>709</v>
      </c>
      <c r="BD794" s="544" t="s">
        <v>115</v>
      </c>
      <c r="BE794" s="544" t="s">
        <v>115</v>
      </c>
      <c r="BF794" s="544" t="s">
        <v>5086</v>
      </c>
      <c r="BG794" s="544" t="s">
        <v>115</v>
      </c>
      <c r="BH794" s="741"/>
      <c r="BI794" s="547"/>
      <c r="BJ794" s="547"/>
      <c r="BK794" s="547"/>
      <c r="BL794" s="547"/>
      <c r="BM794" s="547"/>
      <c r="BN794" s="547"/>
      <c r="BO794" s="547"/>
      <c r="BP794" s="547"/>
      <c r="BQ794" s="547"/>
      <c r="BR794" s="547"/>
      <c r="BS794" s="547"/>
      <c r="BT794" s="547"/>
      <c r="BU794" s="547"/>
      <c r="BV794" s="547"/>
      <c r="BW794" s="547"/>
      <c r="BX794" s="547"/>
      <c r="BY794" s="547"/>
      <c r="BZ794" s="547" t="s">
        <v>709</v>
      </c>
      <c r="CA794" s="483" t="s">
        <v>915</v>
      </c>
      <c r="CB794" s="547">
        <v>794</v>
      </c>
      <c r="CC794" s="1481" t="b">
        <v>1</v>
      </c>
      <c r="CD794" t="str">
        <f>Table15[[#This Row],[Engineering Number]]&amp;Table15[[#This Row],[WO Number]]&amp;Table15[[#This Row],[Date Assigned to Designer]]&amp;Table15[[#This Row],[Date Completed]]</f>
        <v>RS1120-4488844900</v>
      </c>
    </row>
    <row r="795" spans="1:82" customFormat="1" ht="15" customHeight="1" x14ac:dyDescent="0.25">
      <c r="A795">
        <v>2022</v>
      </c>
      <c r="B795" s="8" t="s">
        <v>4</v>
      </c>
      <c r="C795" s="8" t="s">
        <v>873</v>
      </c>
      <c r="D795" s="8" t="s">
        <v>874</v>
      </c>
      <c r="E795" s="8" t="s">
        <v>104</v>
      </c>
      <c r="F795" s="8" t="s">
        <v>738</v>
      </c>
      <c r="G795" s="8" t="s">
        <v>39</v>
      </c>
      <c r="H795" s="8" t="s">
        <v>3178</v>
      </c>
      <c r="I795" s="642">
        <v>44868</v>
      </c>
      <c r="J795" s="175" t="s">
        <v>2052</v>
      </c>
      <c r="K795" s="97">
        <v>44900</v>
      </c>
      <c r="L795" s="16">
        <f>IF(ISTEXT(Table15[[#This Row],[Engineering Approved Design Date]]),Table15[[#This Row],[Date Completed]]-Table15[[#This Row],[Date Assigned to Designer]],Table15[[#This Row],[Engineering Approved Design Date]]-Table15[[#This Row],[Date Completed]])</f>
        <v>32</v>
      </c>
      <c r="M795" t="s">
        <v>5079</v>
      </c>
      <c r="N795" s="642" t="s">
        <v>120</v>
      </c>
      <c r="O795" s="1060">
        <f>Table15[[#This Row],[Date Completed]]</f>
        <v>44900</v>
      </c>
      <c r="P795" s="21" t="s">
        <v>739</v>
      </c>
      <c r="Q795" s="1151">
        <f>Table15[[#This Row],[KH Hourly Effort]]</f>
        <v>7347.5</v>
      </c>
      <c r="R795" s="1026" t="s">
        <v>1922</v>
      </c>
      <c r="S795" s="538"/>
      <c r="T795" s="538"/>
      <c r="U795" s="1061">
        <v>7347.5</v>
      </c>
      <c r="V795" s="857"/>
      <c r="W795" s="440"/>
      <c r="X795" s="538"/>
      <c r="Y795" s="551"/>
      <c r="Z795" s="538"/>
      <c r="AA795" s="552">
        <f>Table15[[#This Row],[PCTS Investment Amount]]+Table15[[#This Row],[PCTS Retirement Amount]]</f>
        <v>0</v>
      </c>
      <c r="AB795" s="341"/>
      <c r="AC795" s="569"/>
      <c r="AD795" s="1149" t="s">
        <v>29</v>
      </c>
      <c r="AE795" s="580"/>
      <c r="AF795" s="580"/>
      <c r="AG795" s="580"/>
      <c r="AH795" s="542"/>
      <c r="AI795" s="1028"/>
      <c r="AJ795" s="1029"/>
      <c r="AK795" s="1029"/>
      <c r="AL795" s="1030"/>
      <c r="AM795" s="542" t="s">
        <v>709</v>
      </c>
      <c r="AN795" s="924"/>
      <c r="AO795" s="925"/>
      <c r="AP795" s="926"/>
      <c r="AQ795" s="926"/>
      <c r="AR795" s="926"/>
      <c r="AS795" s="926"/>
      <c r="AT795" s="926"/>
      <c r="AU795" s="926"/>
      <c r="AV795" s="926"/>
      <c r="AW795" s="927"/>
      <c r="AX795" s="926"/>
      <c r="AY795" s="1538" t="s">
        <v>29</v>
      </c>
      <c r="AZ795" s="1530"/>
      <c r="BA795" s="1031">
        <v>12</v>
      </c>
      <c r="BB795" s="644" t="s">
        <v>5080</v>
      </c>
      <c r="BC795" s="544"/>
      <c r="BD795" s="544"/>
      <c r="BE795" s="544"/>
      <c r="BF795" s="544"/>
      <c r="BG795" s="544"/>
      <c r="BH795" s="741"/>
      <c r="BI795" s="547" t="s">
        <v>709</v>
      </c>
      <c r="BJ795" s="547" t="s">
        <v>709</v>
      </c>
      <c r="BK795" s="547" t="s">
        <v>709</v>
      </c>
      <c r="BL795" s="547" t="s">
        <v>116</v>
      </c>
      <c r="BM795" s="547" t="s">
        <v>709</v>
      </c>
      <c r="BN795" s="547" t="s">
        <v>709</v>
      </c>
      <c r="BO795" s="547" t="s">
        <v>709</v>
      </c>
      <c r="BP795" s="547">
        <v>1708</v>
      </c>
      <c r="BQ795" s="547" t="s">
        <v>709</v>
      </c>
      <c r="BR795" s="547" t="s">
        <v>709</v>
      </c>
      <c r="BS795" s="547">
        <v>562</v>
      </c>
      <c r="BT795" s="547" t="s">
        <v>745</v>
      </c>
      <c r="BU795" s="547" t="s">
        <v>709</v>
      </c>
      <c r="BV795" s="547" t="s">
        <v>745</v>
      </c>
      <c r="BW795" s="547" t="s">
        <v>709</v>
      </c>
      <c r="BX795" s="547" t="s">
        <v>745</v>
      </c>
      <c r="BY795" s="547" t="s">
        <v>745</v>
      </c>
      <c r="BZ795" s="547" t="s">
        <v>709</v>
      </c>
      <c r="CA795" s="483"/>
      <c r="CB795" s="547">
        <v>792</v>
      </c>
      <c r="CC795" s="1481" t="b">
        <v>1</v>
      </c>
      <c r="CD795" t="str">
        <f>Table15[[#This Row],[Engineering Number]]&amp;Table15[[#This Row],[WO Number]]&amp;Table15[[#This Row],[Date Assigned to Designer]]&amp;Table15[[#This Row],[Date Completed]]</f>
        <v>N132571292564486844900</v>
      </c>
    </row>
    <row r="796" spans="1:82" customFormat="1" ht="15" customHeight="1" x14ac:dyDescent="0.25">
      <c r="A796">
        <v>2022</v>
      </c>
      <c r="B796" s="8" t="s">
        <v>4</v>
      </c>
      <c r="C796" s="8" t="s">
        <v>5075</v>
      </c>
      <c r="D796" s="8" t="s">
        <v>5076</v>
      </c>
      <c r="E796" s="8" t="s">
        <v>354</v>
      </c>
      <c r="F796" s="8" t="s">
        <v>784</v>
      </c>
      <c r="G796" s="8" t="s">
        <v>27</v>
      </c>
      <c r="H796" s="647" t="s">
        <v>1903</v>
      </c>
      <c r="I796" s="642">
        <v>44774</v>
      </c>
      <c r="J796" s="18">
        <v>44935</v>
      </c>
      <c r="K796" s="18">
        <v>44900</v>
      </c>
      <c r="L796" s="16">
        <f>IF(ISTEXT(Table15[[#This Row],[Engineering Approved Design Date]]),Table15[[#This Row],[Date Completed]]-Table15[[#This Row],[Date Assigned to Designer]],Table15[[#This Row],[Engineering Approved Design Date]]-Table15[[#This Row],[Date Completed]])</f>
        <v>35</v>
      </c>
      <c r="M796" s="642"/>
      <c r="N796" s="642" t="s">
        <v>120</v>
      </c>
      <c r="O796" s="1060">
        <f>Table15[[#This Row],[Date Completed]]</f>
        <v>44900</v>
      </c>
      <c r="P796" s="21" t="s">
        <v>739</v>
      </c>
      <c r="Q796" s="87" t="s">
        <v>115</v>
      </c>
      <c r="R796" s="1026" t="s">
        <v>115</v>
      </c>
      <c r="S796" s="538"/>
      <c r="T796" s="538"/>
      <c r="U796" s="87"/>
      <c r="V796" s="857"/>
      <c r="W796" s="440"/>
      <c r="X796" s="550"/>
      <c r="Y796" s="550"/>
      <c r="Z796" s="550"/>
      <c r="AA796" s="552"/>
      <c r="AB796" s="341" t="s">
        <v>29</v>
      </c>
      <c r="AC796" s="568" t="s">
        <v>709</v>
      </c>
      <c r="AD796" s="1158" t="s">
        <v>29</v>
      </c>
      <c r="AE796" s="581"/>
      <c r="AF796" s="581"/>
      <c r="AG796" s="581"/>
      <c r="AH796" s="583"/>
      <c r="AI796" s="1047"/>
      <c r="AJ796" s="1048"/>
      <c r="AK796" s="1048"/>
      <c r="AL796" s="1049"/>
      <c r="AM796" s="542" t="s">
        <v>709</v>
      </c>
      <c r="AN796" s="924"/>
      <c r="AO796" s="925"/>
      <c r="AP796" s="926"/>
      <c r="AQ796" s="926"/>
      <c r="AR796" s="926"/>
      <c r="AS796" s="926"/>
      <c r="AT796" s="926"/>
      <c r="AU796" s="926"/>
      <c r="AV796" s="926"/>
      <c r="AW796" s="927"/>
      <c r="AX796" s="926"/>
      <c r="AY796" s="1538" t="s">
        <v>29</v>
      </c>
      <c r="AZ796" s="1530"/>
      <c r="BA796" s="1031" t="s">
        <v>5077</v>
      </c>
      <c r="BB796" s="644" t="s">
        <v>1494</v>
      </c>
      <c r="BC796" s="544" t="s">
        <v>4949</v>
      </c>
      <c r="BD796" s="544" t="s">
        <v>4949</v>
      </c>
      <c r="BE796" s="544" t="s">
        <v>588</v>
      </c>
      <c r="BF796" s="544" t="s">
        <v>588</v>
      </c>
      <c r="BG796" s="544" t="s">
        <v>4949</v>
      </c>
      <c r="BH796" s="741"/>
      <c r="BI796" s="1032"/>
      <c r="BJ796" s="1032"/>
      <c r="BK796" s="1032"/>
      <c r="BL796" s="1032"/>
      <c r="BM796" s="1032"/>
      <c r="BN796" s="1032"/>
      <c r="BO796" s="1032"/>
      <c r="BP796" s="1032"/>
      <c r="BQ796" s="1032"/>
      <c r="BR796" s="1032"/>
      <c r="BS796" s="1032"/>
      <c r="BT796" s="1032"/>
      <c r="BU796" s="1032"/>
      <c r="BV796" s="547"/>
      <c r="BW796" s="1032"/>
      <c r="BX796" s="1032"/>
      <c r="BY796" s="1032"/>
      <c r="BZ796" s="1032"/>
      <c r="CA796" s="485"/>
      <c r="CB796" s="547">
        <v>793</v>
      </c>
      <c r="CC796" s="1481" t="b">
        <v>1</v>
      </c>
      <c r="CD796" t="str">
        <f>Table15[[#This Row],[Engineering Number]]&amp;Table15[[#This Row],[WO Number]]&amp;Table15[[#This Row],[Date Assigned to Designer]]&amp;Table15[[#This Row],[Date Completed]]</f>
        <v>N1533212119544477444900</v>
      </c>
    </row>
    <row r="797" spans="1:82" customFormat="1" ht="15" customHeight="1" x14ac:dyDescent="0.25">
      <c r="A797">
        <v>2023</v>
      </c>
      <c r="B797" s="8" t="s">
        <v>1205</v>
      </c>
      <c r="C797" s="8" t="s">
        <v>271</v>
      </c>
      <c r="D797" s="8" t="s">
        <v>1388</v>
      </c>
      <c r="E797" s="8" t="s">
        <v>272</v>
      </c>
      <c r="F797" s="8" t="s">
        <v>747</v>
      </c>
      <c r="G797" s="8" t="s">
        <v>32</v>
      </c>
      <c r="H797" s="8" t="s">
        <v>59</v>
      </c>
      <c r="I797" s="642">
        <v>44795</v>
      </c>
      <c r="J797" s="18">
        <v>44909</v>
      </c>
      <c r="K797" s="97">
        <v>44901</v>
      </c>
      <c r="L797" s="16">
        <f>IF(ISTEXT(Table15[[#This Row],[Engineering Approved Design Date]]),Table15[[#This Row],[Date Completed]]-Table15[[#This Row],[Date Assigned to Designer]],Table15[[#This Row],[Engineering Approved Design Date]]-Table15[[#This Row],[Date Completed]])</f>
        <v>8</v>
      </c>
      <c r="M797" s="642"/>
      <c r="N797" s="642" t="s">
        <v>120</v>
      </c>
      <c r="O797" s="1060">
        <f>Table15[[#This Row],[Date Completed]]</f>
        <v>44901</v>
      </c>
      <c r="P797" s="21" t="s">
        <v>120</v>
      </c>
      <c r="Q797" s="1061">
        <f>R797*AA797</f>
        <v>39511.660499999998</v>
      </c>
      <c r="R797" s="1026">
        <v>0.09</v>
      </c>
      <c r="S797" s="538"/>
      <c r="T797" s="538"/>
      <c r="U797" s="87"/>
      <c r="V797" s="857">
        <v>279</v>
      </c>
      <c r="W797" s="440"/>
      <c r="X797" s="570">
        <v>406784.84</v>
      </c>
      <c r="Y797" s="551"/>
      <c r="Z797" s="570">
        <v>32233.61</v>
      </c>
      <c r="AA797" s="552">
        <f>Table15[[#This Row],[PCTS Investment Amount]]+Table15[[#This Row],[PCTS Retirement Amount]]</f>
        <v>439018.45</v>
      </c>
      <c r="AB797" s="341">
        <v>44902</v>
      </c>
      <c r="AC797" s="568" t="s">
        <v>1177</v>
      </c>
      <c r="AD797" s="1157" t="s">
        <v>709</v>
      </c>
      <c r="AE797" s="568"/>
      <c r="AF797" s="568"/>
      <c r="AG797" s="568"/>
      <c r="AH797" s="183"/>
      <c r="AI797" s="1036"/>
      <c r="AJ797" s="1037"/>
      <c r="AK797" s="1037"/>
      <c r="AL797" s="1038"/>
      <c r="AM797" s="1522" t="s">
        <v>116</v>
      </c>
      <c r="AN797" s="1523">
        <v>45582</v>
      </c>
      <c r="AO797" s="1524">
        <v>11050949</v>
      </c>
      <c r="AP797" s="1525">
        <v>422454.2</v>
      </c>
      <c r="AQ797" s="1525"/>
      <c r="AR797" s="1525">
        <v>36314.230000000003</v>
      </c>
      <c r="AS797" s="1525">
        <f>IF(Table15[[#This Row],[PCTS Approved]]="N",0,Table15[[#This Row],[Investment Amount (1'#'#'#'#'#)]]+Table15[[#This Row],[Retirement Amount (3'#'#'#'#'#)]])</f>
        <v>458768.43</v>
      </c>
      <c r="AT797" s="1525">
        <f>IF(Table15[[#This Row],[Approved Construction Cost]]=0,0,Table15[[#This Row],[Approved Construction Cost]]-Table15[[#This Row],[Construction Cost to Bill From]])</f>
        <v>19749.979999999981</v>
      </c>
      <c r="AU797" s="1525">
        <f>IFERROR(Table15[[#This Row],[Difference in Construction Cost]]*Table15[[#This Row],[Rate]],Table15[[#This Row],[Difference in Construction Cost]]*0.085)</f>
        <v>1777.4981999999982</v>
      </c>
      <c r="AV797" s="1525">
        <v>2125</v>
      </c>
      <c r="AW797" s="1526" t="s">
        <v>5088</v>
      </c>
      <c r="AX797" s="1525">
        <v>0</v>
      </c>
      <c r="AY797" s="1518">
        <v>45901</v>
      </c>
      <c r="AZ797" s="333">
        <v>30</v>
      </c>
      <c r="BA797" s="859" t="s">
        <v>1389</v>
      </c>
      <c r="BB797" s="644" t="s">
        <v>1390</v>
      </c>
      <c r="BC797" s="544" t="s">
        <v>116</v>
      </c>
      <c r="BD797" s="544" t="s">
        <v>115</v>
      </c>
      <c r="BE797" s="544" t="s">
        <v>1242</v>
      </c>
      <c r="BF797" s="544" t="s">
        <v>115</v>
      </c>
      <c r="BG797" s="544" t="s">
        <v>1391</v>
      </c>
      <c r="BH797" s="741" t="s">
        <v>5089</v>
      </c>
      <c r="BI797" s="547" t="s">
        <v>709</v>
      </c>
      <c r="BJ797" s="547" t="s">
        <v>709</v>
      </c>
      <c r="BK797" s="547" t="s">
        <v>709</v>
      </c>
      <c r="BL797" s="547" t="s">
        <v>116</v>
      </c>
      <c r="BM797" s="547">
        <v>0</v>
      </c>
      <c r="BN797" s="549">
        <v>0</v>
      </c>
      <c r="BO797" s="547">
        <v>0</v>
      </c>
      <c r="BP797" s="547">
        <v>0</v>
      </c>
      <c r="BQ797" s="547">
        <v>0</v>
      </c>
      <c r="BR797" s="547">
        <v>261</v>
      </c>
      <c r="BS797" s="547">
        <v>18</v>
      </c>
      <c r="BT797" s="547">
        <v>0</v>
      </c>
      <c r="BU797" s="547">
        <v>0</v>
      </c>
      <c r="BV797" s="547">
        <v>0</v>
      </c>
      <c r="BW797" s="547">
        <v>0</v>
      </c>
      <c r="BX797" s="547">
        <v>0</v>
      </c>
      <c r="BY797" s="547">
        <v>0</v>
      </c>
      <c r="BZ797" s="547" t="s">
        <v>709</v>
      </c>
      <c r="CA797" s="483"/>
      <c r="CB797" s="547">
        <v>795</v>
      </c>
      <c r="CC797" s="1481" t="b">
        <v>1</v>
      </c>
      <c r="CD797" t="str">
        <f>Table15[[#This Row],[Engineering Number]]&amp;Table15[[#This Row],[WO Number]]&amp;Table15[[#This Row],[Date Assigned to Designer]]&amp;Table15[[#This Row],[Date Completed]]</f>
        <v>MR192812117404479544901</v>
      </c>
    </row>
    <row r="798" spans="1:82" customFormat="1" ht="15" customHeight="1" x14ac:dyDescent="0.25">
      <c r="A798">
        <v>2023</v>
      </c>
      <c r="B798" s="8" t="s">
        <v>771</v>
      </c>
      <c r="C798" s="8" t="s">
        <v>5091</v>
      </c>
      <c r="D798" s="8" t="s">
        <v>5092</v>
      </c>
      <c r="E798" s="8" t="s">
        <v>5093</v>
      </c>
      <c r="F798" s="8" t="s">
        <v>747</v>
      </c>
      <c r="G798" s="8" t="s">
        <v>32</v>
      </c>
      <c r="H798" s="8" t="s">
        <v>59</v>
      </c>
      <c r="I798" s="642">
        <v>44831</v>
      </c>
      <c r="J798" s="18">
        <v>44925</v>
      </c>
      <c r="K798" s="97">
        <v>44903</v>
      </c>
      <c r="L798" s="16">
        <f>IF(ISTEXT(Table15[[#This Row],[Engineering Approved Design Date]]),Table15[[#This Row],[Date Completed]]-Table15[[#This Row],[Date Assigned to Designer]],Table15[[#This Row],[Engineering Approved Design Date]]-Table15[[#This Row],[Date Completed]])</f>
        <v>22</v>
      </c>
      <c r="M798" s="642"/>
      <c r="N798" s="642" t="s">
        <v>120</v>
      </c>
      <c r="O798" s="1060">
        <f>Table15[[#This Row],[Date Completed]]</f>
        <v>44903</v>
      </c>
      <c r="P798" s="21" t="s">
        <v>120</v>
      </c>
      <c r="Q798" s="1061">
        <f>R798*AA798</f>
        <v>69626.997000000003</v>
      </c>
      <c r="R798" s="1026">
        <v>0.09</v>
      </c>
      <c r="S798" s="538"/>
      <c r="T798" s="538"/>
      <c r="U798" s="87"/>
      <c r="V798" s="858">
        <v>4215</v>
      </c>
      <c r="W798" s="437"/>
      <c r="X798" s="570">
        <v>739874.87</v>
      </c>
      <c r="Y798" s="551"/>
      <c r="Z798" s="570">
        <v>33758.43</v>
      </c>
      <c r="AA798" s="552">
        <f>Table15[[#This Row],[PCTS Investment Amount]]+Table15[[#This Row],[PCTS Retirement Amount]]</f>
        <v>773633.3</v>
      </c>
      <c r="AB798" s="341">
        <v>44903</v>
      </c>
      <c r="AC798" s="568" t="s">
        <v>709</v>
      </c>
      <c r="AD798" s="1157" t="s">
        <v>116</v>
      </c>
      <c r="AE798" s="568"/>
      <c r="AF798" s="568"/>
      <c r="AG798" s="568"/>
      <c r="AH798" s="183"/>
      <c r="AI798" s="1036"/>
      <c r="AJ798" s="1037"/>
      <c r="AK798" s="1037"/>
      <c r="AL798" s="1038"/>
      <c r="AM798" s="1522" t="s">
        <v>116</v>
      </c>
      <c r="AN798" s="1523">
        <v>44950</v>
      </c>
      <c r="AO798" s="1524">
        <v>11052562</v>
      </c>
      <c r="AP798" s="1525">
        <v>747076.77</v>
      </c>
      <c r="AQ798" s="1525"/>
      <c r="AR798" s="1525">
        <v>34590.43</v>
      </c>
      <c r="AS798" s="1525">
        <f>IF(Table15[[#This Row],[PCTS Approved]]="N",0,Table15[[#This Row],[Investment Amount (1'#'#'#'#'#)]]+Table15[[#This Row],[Retirement Amount (3'#'#'#'#'#)]])</f>
        <v>781667.20000000007</v>
      </c>
      <c r="AT798" s="1525">
        <f>IF(Table15[[#This Row],[Approved Construction Cost]]=0,0,Table15[[#This Row],[Approved Construction Cost]]-Table15[[#This Row],[Construction Cost to Bill From]])</f>
        <v>8033.9000000000233</v>
      </c>
      <c r="AU798" s="1525">
        <f>IFERROR(Table15[[#This Row],[Difference in Construction Cost]]*Table15[[#This Row],[Rate]],Table15[[#This Row],[Difference in Construction Cost]]*0.085)</f>
        <v>723.05100000000209</v>
      </c>
      <c r="AV798" s="1525" t="s">
        <v>709</v>
      </c>
      <c r="AW798" s="1526"/>
      <c r="AX798" s="1525">
        <v>723.05100000000209</v>
      </c>
      <c r="AY798" s="1518">
        <v>45200</v>
      </c>
      <c r="AZ798" s="333"/>
      <c r="BA798" s="859" t="s">
        <v>5094</v>
      </c>
      <c r="BB798" s="644" t="s">
        <v>5095</v>
      </c>
      <c r="BC798" s="544" t="s">
        <v>709</v>
      </c>
      <c r="BD798" s="544" t="s">
        <v>115</v>
      </c>
      <c r="BE798" s="544" t="s">
        <v>5096</v>
      </c>
      <c r="BF798" s="544" t="s">
        <v>115</v>
      </c>
      <c r="BG798" s="544" t="s">
        <v>115</v>
      </c>
      <c r="BH798" s="741" t="s">
        <v>5097</v>
      </c>
      <c r="BI798" s="547" t="s">
        <v>709</v>
      </c>
      <c r="BJ798" s="547" t="s">
        <v>709</v>
      </c>
      <c r="BK798" s="547" t="s">
        <v>709</v>
      </c>
      <c r="BL798" s="547" t="s">
        <v>116</v>
      </c>
      <c r="BM798" s="547">
        <v>0</v>
      </c>
      <c r="BN798" s="549">
        <v>0</v>
      </c>
      <c r="BO798" s="547">
        <v>0</v>
      </c>
      <c r="BP798" s="547">
        <v>0</v>
      </c>
      <c r="BQ798" s="547">
        <v>0</v>
      </c>
      <c r="BR798" s="547">
        <v>0</v>
      </c>
      <c r="BS798" s="547">
        <v>4215</v>
      </c>
      <c r="BT798" s="547">
        <v>0</v>
      </c>
      <c r="BU798" s="547">
        <v>0</v>
      </c>
      <c r="BV798" s="547">
        <v>0</v>
      </c>
      <c r="BW798" s="547">
        <v>0</v>
      </c>
      <c r="BX798" s="547">
        <v>0</v>
      </c>
      <c r="BY798" s="547">
        <v>0</v>
      </c>
      <c r="BZ798" s="547" t="s">
        <v>709</v>
      </c>
      <c r="CA798" s="483"/>
      <c r="CB798" s="547">
        <v>796</v>
      </c>
      <c r="CC798" s="1481" t="b">
        <v>1</v>
      </c>
      <c r="CD798" t="str">
        <f>Table15[[#This Row],[Engineering Number]]&amp;Table15[[#This Row],[WO Number]]&amp;Table15[[#This Row],[Date Assigned to Designer]]&amp;Table15[[#This Row],[Date Completed]]</f>
        <v>BS29512118704483144903</v>
      </c>
    </row>
    <row r="799" spans="1:82" customFormat="1" ht="15" customHeight="1" x14ac:dyDescent="0.25">
      <c r="A799">
        <v>2022</v>
      </c>
      <c r="B799" s="8" t="s">
        <v>1073</v>
      </c>
      <c r="C799" s="8" t="s">
        <v>276</v>
      </c>
      <c r="D799" s="8" t="s">
        <v>5102</v>
      </c>
      <c r="E799" s="8" t="s">
        <v>277</v>
      </c>
      <c r="F799" s="8" t="s">
        <v>784</v>
      </c>
      <c r="G799" s="8" t="s">
        <v>22</v>
      </c>
      <c r="H799" s="8" t="s">
        <v>59</v>
      </c>
      <c r="I799" s="642">
        <v>44844</v>
      </c>
      <c r="J799" s="18">
        <v>44911</v>
      </c>
      <c r="K799" s="97">
        <v>44910</v>
      </c>
      <c r="L799" s="16">
        <f>IF(ISTEXT(Table15[[#This Row],[Engineering Approved Design Date]]),Table15[[#This Row],[Date Completed]]-Table15[[#This Row],[Date Assigned to Designer]],Table15[[#This Row],[Engineering Approved Design Date]]-Table15[[#This Row],[Date Completed]])</f>
        <v>1</v>
      </c>
      <c r="M799" s="642"/>
      <c r="N799" s="642" t="s">
        <v>120</v>
      </c>
      <c r="O799" s="1060">
        <f>Table15[[#This Row],[Date Completed]]</f>
        <v>44910</v>
      </c>
      <c r="P799" s="21" t="s">
        <v>739</v>
      </c>
      <c r="Q799" s="1061">
        <f>R799*AA799</f>
        <v>9948.7430000000004</v>
      </c>
      <c r="R799" s="1026">
        <v>7.0000000000000007E-2</v>
      </c>
      <c r="S799" s="538"/>
      <c r="T799" s="538"/>
      <c r="U799" s="87"/>
      <c r="V799" s="858">
        <v>462</v>
      </c>
      <c r="W799" s="437"/>
      <c r="X799" s="570">
        <v>142124.9</v>
      </c>
      <c r="Y799" s="551"/>
      <c r="Z799" s="552">
        <v>0</v>
      </c>
      <c r="AA799" s="552">
        <f>Table15[[#This Row],[PCTS Investment Amount]]+Table15[[#This Row],[PCTS Retirement Amount]]</f>
        <v>142124.9</v>
      </c>
      <c r="AB799" s="341" t="s">
        <v>5103</v>
      </c>
      <c r="AC799" s="568" t="s">
        <v>709</v>
      </c>
      <c r="AD799" s="1157" t="s">
        <v>116</v>
      </c>
      <c r="AE799" s="568"/>
      <c r="AF799" s="568"/>
      <c r="AG799" s="568"/>
      <c r="AH799" s="183"/>
      <c r="AI799" s="1036"/>
      <c r="AJ799" s="1037"/>
      <c r="AK799" s="1037"/>
      <c r="AL799" s="1038"/>
      <c r="AM799" s="1522" t="s">
        <v>116</v>
      </c>
      <c r="AN799" s="1523">
        <v>45001</v>
      </c>
      <c r="AO799" s="1524">
        <v>11055690</v>
      </c>
      <c r="AP799" s="1525">
        <v>144474.15</v>
      </c>
      <c r="AQ799" s="1525"/>
      <c r="AR799" s="1525">
        <v>0</v>
      </c>
      <c r="AS799" s="1525">
        <f>IF(Table15[[#This Row],[PCTS Approved]]="N",0,Table15[[#This Row],[Investment Amount (1'#'#'#'#'#)]]+Table15[[#This Row],[Retirement Amount (3'#'#'#'#'#)]])</f>
        <v>144474.15</v>
      </c>
      <c r="AT799" s="1525">
        <f>IF(Table15[[#This Row],[Approved Construction Cost]]=0,0,Table15[[#This Row],[Approved Construction Cost]]-Table15[[#This Row],[Construction Cost to Bill From]])</f>
        <v>2349.25</v>
      </c>
      <c r="AU799" s="1525">
        <f>IFERROR(Table15[[#This Row],[Difference in Construction Cost]]*Table15[[#This Row],[Rate]],Table15[[#This Row],[Difference in Construction Cost]]*0.085)</f>
        <v>164.44750000000002</v>
      </c>
      <c r="AV799" s="1525">
        <v>830</v>
      </c>
      <c r="AW799" s="1526" t="s">
        <v>5104</v>
      </c>
      <c r="AX799" s="1525">
        <v>0</v>
      </c>
      <c r="AY799" s="1518">
        <v>45200</v>
      </c>
      <c r="AZ799" s="333"/>
      <c r="BA799" s="859" t="s">
        <v>5105</v>
      </c>
      <c r="BB799" s="644" t="s">
        <v>5106</v>
      </c>
      <c r="BC799" s="544" t="s">
        <v>709</v>
      </c>
      <c r="BD799" s="544" t="s">
        <v>115</v>
      </c>
      <c r="BE799" s="544" t="s">
        <v>115</v>
      </c>
      <c r="BF799" s="544" t="s">
        <v>115</v>
      </c>
      <c r="BG799" s="544" t="s">
        <v>1078</v>
      </c>
      <c r="BH799" s="741"/>
      <c r="BI799" s="547" t="s">
        <v>709</v>
      </c>
      <c r="BJ799" s="547" t="s">
        <v>709</v>
      </c>
      <c r="BK799" s="547" t="s">
        <v>116</v>
      </c>
      <c r="BL799" s="547" t="s">
        <v>709</v>
      </c>
      <c r="BM799" s="547" t="s">
        <v>709</v>
      </c>
      <c r="BN799" s="547" t="s">
        <v>709</v>
      </c>
      <c r="BO799" s="547" t="s">
        <v>709</v>
      </c>
      <c r="BP799" s="547" t="s">
        <v>709</v>
      </c>
      <c r="BQ799" s="547" t="s">
        <v>709</v>
      </c>
      <c r="BR799" s="547">
        <v>457</v>
      </c>
      <c r="BS799" s="547">
        <v>5</v>
      </c>
      <c r="BT799" s="547" t="s">
        <v>745</v>
      </c>
      <c r="BU799" s="547" t="s">
        <v>709</v>
      </c>
      <c r="BV799" s="547" t="s">
        <v>745</v>
      </c>
      <c r="BW799" s="547" t="s">
        <v>709</v>
      </c>
      <c r="BX799" s="547" t="s">
        <v>745</v>
      </c>
      <c r="BY799" s="547">
        <v>1</v>
      </c>
      <c r="BZ799" s="547" t="s">
        <v>709</v>
      </c>
      <c r="CA799" s="483"/>
      <c r="CB799" s="547">
        <v>797</v>
      </c>
      <c r="CC799" s="1481" t="b">
        <v>1</v>
      </c>
      <c r="CD799" t="str">
        <f>Table15[[#This Row],[Engineering Number]]&amp;Table15[[#This Row],[WO Number]]&amp;Table15[[#This Row],[Date Assigned to Designer]]&amp;Table15[[#This Row],[Date Completed]]</f>
        <v>NBA1000621215119064484444910</v>
      </c>
    </row>
    <row r="800" spans="1:82" customFormat="1" ht="15" customHeight="1" x14ac:dyDescent="0.25">
      <c r="A800">
        <v>2022</v>
      </c>
      <c r="B800" s="8" t="s">
        <v>1073</v>
      </c>
      <c r="C800" s="8" t="s">
        <v>276</v>
      </c>
      <c r="D800" s="8" t="s">
        <v>5108</v>
      </c>
      <c r="E800" s="8" t="s">
        <v>277</v>
      </c>
      <c r="F800" s="8" t="s">
        <v>784</v>
      </c>
      <c r="G800" s="8" t="s">
        <v>22</v>
      </c>
      <c r="H800" s="8" t="s">
        <v>59</v>
      </c>
      <c r="I800" s="642">
        <v>44844</v>
      </c>
      <c r="J800" s="18">
        <v>44911</v>
      </c>
      <c r="K800" s="97">
        <v>44910</v>
      </c>
      <c r="L800" s="16">
        <f>IF(ISTEXT(Table15[[#This Row],[Engineering Approved Design Date]]),Table15[[#This Row],[Date Completed]]-Table15[[#This Row],[Date Assigned to Designer]],Table15[[#This Row],[Engineering Approved Design Date]]-Table15[[#This Row],[Date Completed]])</f>
        <v>1</v>
      </c>
      <c r="M800" s="642"/>
      <c r="N800" s="642" t="s">
        <v>120</v>
      </c>
      <c r="O800" s="1060">
        <f>Table15[[#This Row],[Date Completed]]</f>
        <v>44910</v>
      </c>
      <c r="P800" s="21" t="s">
        <v>739</v>
      </c>
      <c r="Q800" s="1061">
        <f>R800*AA800</f>
        <v>5111.7731000000003</v>
      </c>
      <c r="R800" s="1026">
        <v>7.0000000000000007E-2</v>
      </c>
      <c r="S800" s="538"/>
      <c r="T800" s="538"/>
      <c r="U800" s="87"/>
      <c r="V800" s="858">
        <v>0</v>
      </c>
      <c r="W800" s="437"/>
      <c r="X800" s="570">
        <v>73025.33</v>
      </c>
      <c r="Y800" s="551"/>
      <c r="Z800" s="552">
        <v>0</v>
      </c>
      <c r="AA800" s="552">
        <f>Table15[[#This Row],[PCTS Investment Amount]]+Table15[[#This Row],[PCTS Retirement Amount]]</f>
        <v>73025.33</v>
      </c>
      <c r="AB800" s="341" t="s">
        <v>5103</v>
      </c>
      <c r="AC800" s="568" t="s">
        <v>3919</v>
      </c>
      <c r="AD800" s="1157" t="s">
        <v>116</v>
      </c>
      <c r="AE800" s="568"/>
      <c r="AF800" s="568"/>
      <c r="AG800" s="568"/>
      <c r="AH800" s="183"/>
      <c r="AI800" s="1036"/>
      <c r="AJ800" s="1037"/>
      <c r="AK800" s="1037"/>
      <c r="AL800" s="1038"/>
      <c r="AM800" s="1522" t="s">
        <v>116</v>
      </c>
      <c r="AN800" s="1523">
        <v>45001</v>
      </c>
      <c r="AO800" s="1524">
        <v>11055691</v>
      </c>
      <c r="AP800" s="1525">
        <v>66153.47</v>
      </c>
      <c r="AQ800" s="1525"/>
      <c r="AR800" s="1525">
        <v>0</v>
      </c>
      <c r="AS800" s="1525">
        <f>IF(Table15[[#This Row],[PCTS Approved]]="N",0,Table15[[#This Row],[Investment Amount (1'#'#'#'#'#)]]+Table15[[#This Row],[Retirement Amount (3'#'#'#'#'#)]])</f>
        <v>66153.47</v>
      </c>
      <c r="AT800" s="1525">
        <f>IF(Table15[[#This Row],[Approved Construction Cost]]=0,0,Table15[[#This Row],[Approved Construction Cost]]-Table15[[#This Row],[Construction Cost to Bill From]])</f>
        <v>-6871.8600000000006</v>
      </c>
      <c r="AU800" s="1525">
        <f>IFERROR(Table15[[#This Row],[Difference in Construction Cost]]*Table15[[#This Row],[Rate]],Table15[[#This Row],[Difference in Construction Cost]]*0.085)</f>
        <v>-481.03020000000009</v>
      </c>
      <c r="AV800" s="1525" t="s">
        <v>709</v>
      </c>
      <c r="AW800" s="1526" t="s">
        <v>5109</v>
      </c>
      <c r="AX800" s="1525">
        <v>-481.03020000000009</v>
      </c>
      <c r="AY800" s="1518">
        <v>45200</v>
      </c>
      <c r="AZ800" s="333"/>
      <c r="BA800" s="859" t="s">
        <v>5110</v>
      </c>
      <c r="BB800" s="644" t="s">
        <v>5106</v>
      </c>
      <c r="BC800" s="544" t="s">
        <v>709</v>
      </c>
      <c r="BD800" s="544" t="s">
        <v>115</v>
      </c>
      <c r="BE800" s="544" t="s">
        <v>115</v>
      </c>
      <c r="BF800" s="544" t="s">
        <v>115</v>
      </c>
      <c r="BG800" s="544" t="s">
        <v>115</v>
      </c>
      <c r="BH800" s="741"/>
      <c r="BI800" s="547" t="s">
        <v>709</v>
      </c>
      <c r="BJ800" s="547" t="s">
        <v>709</v>
      </c>
      <c r="BK800" s="547" t="s">
        <v>116</v>
      </c>
      <c r="BL800" s="547" t="s">
        <v>709</v>
      </c>
      <c r="BM800" s="547" t="s">
        <v>709</v>
      </c>
      <c r="BN800" s="547" t="s">
        <v>709</v>
      </c>
      <c r="BO800" s="547" t="s">
        <v>709</v>
      </c>
      <c r="BP800" s="547" t="s">
        <v>709</v>
      </c>
      <c r="BQ800" s="547" t="s">
        <v>709</v>
      </c>
      <c r="BR800" s="547">
        <v>457</v>
      </c>
      <c r="BS800" s="547">
        <v>5</v>
      </c>
      <c r="BT800" s="547" t="s">
        <v>745</v>
      </c>
      <c r="BU800" s="547" t="s">
        <v>709</v>
      </c>
      <c r="BV800" s="547" t="s">
        <v>745</v>
      </c>
      <c r="BW800" s="547" t="s">
        <v>709</v>
      </c>
      <c r="BX800" s="547" t="s">
        <v>745</v>
      </c>
      <c r="BY800" s="547">
        <v>1</v>
      </c>
      <c r="BZ800" s="547" t="s">
        <v>709</v>
      </c>
      <c r="CA800" s="483"/>
      <c r="CB800" s="547">
        <v>798</v>
      </c>
      <c r="CC800" s="1481" t="b">
        <v>1</v>
      </c>
      <c r="CD800" t="str">
        <f>Table15[[#This Row],[Engineering Number]]&amp;Table15[[#This Row],[WO Number]]&amp;Table15[[#This Row],[Date Assigned to Designer]]&amp;Table15[[#This Row],[Date Completed]]</f>
        <v>NBA1000621215119084484444910</v>
      </c>
    </row>
    <row r="801" spans="1:82" customFormat="1" ht="15" customHeight="1" x14ac:dyDescent="0.25">
      <c r="A801">
        <v>2022</v>
      </c>
      <c r="B801" s="8" t="s">
        <v>771</v>
      </c>
      <c r="C801" s="8" t="s">
        <v>68</v>
      </c>
      <c r="D801" s="8">
        <v>120405</v>
      </c>
      <c r="E801" s="8" t="s">
        <v>70</v>
      </c>
      <c r="F801" s="8" t="s">
        <v>747</v>
      </c>
      <c r="G801" s="8" t="s">
        <v>36</v>
      </c>
      <c r="H801" s="1056" t="s">
        <v>2723</v>
      </c>
      <c r="I801" s="642">
        <v>44893</v>
      </c>
      <c r="J801" s="175" t="s">
        <v>2724</v>
      </c>
      <c r="K801" s="97">
        <v>44910</v>
      </c>
      <c r="L801" s="16">
        <f>IF(ISTEXT(Table15[[#This Row],[Engineering Approved Design Date]]),Table15[[#This Row],[Date Completed]]-Table15[[#This Row],[Date Assigned to Designer]],Table15[[#This Row],[Engineering Approved Design Date]]-Table15[[#This Row],[Date Completed]])</f>
        <v>17</v>
      </c>
      <c r="M801" t="s">
        <v>5099</v>
      </c>
      <c r="N801" s="642" t="s">
        <v>120</v>
      </c>
      <c r="O801" s="1060">
        <v>44927</v>
      </c>
      <c r="P801" s="21" t="s">
        <v>120</v>
      </c>
      <c r="Q801" s="1151">
        <f>Table15[[#This Row],[KH Hourly Effort]]</f>
        <v>6090</v>
      </c>
      <c r="R801" s="1026" t="s">
        <v>1922</v>
      </c>
      <c r="S801" s="538"/>
      <c r="T801" s="538"/>
      <c r="U801" s="87">
        <v>6090</v>
      </c>
      <c r="V801" s="858"/>
      <c r="W801" s="437"/>
      <c r="X801" s="538"/>
      <c r="Y801" s="551"/>
      <c r="Z801" s="538"/>
      <c r="AA801" s="552"/>
      <c r="AB801" s="341"/>
      <c r="AC801" s="569"/>
      <c r="AD801" s="1149"/>
      <c r="AE801" s="569"/>
      <c r="AF801" s="569"/>
      <c r="AG801" s="569"/>
      <c r="AH801" s="536"/>
      <c r="AI801" s="1028"/>
      <c r="AJ801" s="1029"/>
      <c r="AK801" s="1029"/>
      <c r="AL801" s="1030"/>
      <c r="AM801" s="542" t="s">
        <v>709</v>
      </c>
      <c r="AN801" s="924"/>
      <c r="AO801" s="925"/>
      <c r="AP801" s="926"/>
      <c r="AQ801" s="926"/>
      <c r="AR801" s="926"/>
      <c r="AS801" s="926"/>
      <c r="AT801" s="926"/>
      <c r="AU801" s="926"/>
      <c r="AV801" s="926"/>
      <c r="AW801" s="927"/>
      <c r="AX801" s="926"/>
      <c r="AY801" s="1538" t="s">
        <v>29</v>
      </c>
      <c r="AZ801" s="1530"/>
      <c r="BA801" s="1031">
        <v>2</v>
      </c>
      <c r="BB801" s="644" t="s">
        <v>5100</v>
      </c>
      <c r="BC801" s="544"/>
      <c r="BD801" s="544"/>
      <c r="BE801" s="544"/>
      <c r="BF801" s="544"/>
      <c r="BG801" s="544"/>
      <c r="BH801" s="741"/>
      <c r="BI801" s="547" t="s">
        <v>709</v>
      </c>
      <c r="BJ801" s="547" t="s">
        <v>709</v>
      </c>
      <c r="BK801" s="547" t="s">
        <v>709</v>
      </c>
      <c r="BL801" s="547" t="s">
        <v>116</v>
      </c>
      <c r="BM801" s="547" t="s">
        <v>709</v>
      </c>
      <c r="BN801" s="547" t="s">
        <v>709</v>
      </c>
      <c r="BO801" s="547" t="s">
        <v>709</v>
      </c>
      <c r="BP801" s="547" t="s">
        <v>116</v>
      </c>
      <c r="BQ801" s="547" t="s">
        <v>116</v>
      </c>
      <c r="BR801" s="547" t="s">
        <v>116</v>
      </c>
      <c r="BS801" s="547" t="s">
        <v>116</v>
      </c>
      <c r="BT801" s="547" t="s">
        <v>116</v>
      </c>
      <c r="BU801" s="547" t="s">
        <v>709</v>
      </c>
      <c r="BV801" s="547" t="s">
        <v>745</v>
      </c>
      <c r="BW801" s="547" t="s">
        <v>709</v>
      </c>
      <c r="BX801" s="547" t="s">
        <v>745</v>
      </c>
      <c r="BY801" s="547" t="s">
        <v>745</v>
      </c>
      <c r="BZ801" s="547" t="s">
        <v>709</v>
      </c>
      <c r="CA801" s="483"/>
      <c r="CB801" s="547">
        <v>799</v>
      </c>
      <c r="CC801" s="1481" t="b">
        <v>1</v>
      </c>
      <c r="CD801" t="str">
        <f>Table15[[#This Row],[Engineering Number]]&amp;Table15[[#This Row],[WO Number]]&amp;Table15[[#This Row],[Date Assigned to Designer]]&amp;Table15[[#This Row],[Date Completed]]</f>
        <v>BS2291204054489344910</v>
      </c>
    </row>
    <row r="802" spans="1:82" customFormat="1" ht="15" customHeight="1" x14ac:dyDescent="0.25">
      <c r="A802">
        <v>2023</v>
      </c>
      <c r="B802" s="8" t="s">
        <v>730</v>
      </c>
      <c r="C802" s="8" t="s">
        <v>816</v>
      </c>
      <c r="D802" s="8" t="s">
        <v>817</v>
      </c>
      <c r="E802" s="8" t="s">
        <v>818</v>
      </c>
      <c r="F802" s="8" t="s">
        <v>752</v>
      </c>
      <c r="G802" s="8" t="s">
        <v>34</v>
      </c>
      <c r="H802" s="8" t="s">
        <v>59</v>
      </c>
      <c r="I802" s="642">
        <v>44831</v>
      </c>
      <c r="J802" s="18">
        <v>44925</v>
      </c>
      <c r="K802" s="97">
        <v>44916</v>
      </c>
      <c r="L802" s="16">
        <f>IF(ISTEXT(Table15[[#This Row],[Engineering Approved Design Date]]),Table15[[#This Row],[Date Completed]]-Table15[[#This Row],[Date Assigned to Designer]],Table15[[#This Row],[Engineering Approved Design Date]]-Table15[[#This Row],[Date Completed]])</f>
        <v>9</v>
      </c>
      <c r="M802" s="642"/>
      <c r="N802" s="642" t="s">
        <v>120</v>
      </c>
      <c r="O802" s="1060">
        <v>44927</v>
      </c>
      <c r="P802" s="21" t="s">
        <v>120</v>
      </c>
      <c r="Q802" s="1061">
        <f>R802*AA802</f>
        <v>26163.556200000003</v>
      </c>
      <c r="R802" s="1026">
        <v>0.09</v>
      </c>
      <c r="S802" s="538"/>
      <c r="T802" s="538"/>
      <c r="U802" s="87"/>
      <c r="V802" s="858">
        <v>1228</v>
      </c>
      <c r="W802" s="437"/>
      <c r="X802" s="552">
        <v>262991.71000000002</v>
      </c>
      <c r="Y802" s="551"/>
      <c r="Z802" s="552">
        <v>27714.47</v>
      </c>
      <c r="AA802" s="552">
        <f>Table15[[#This Row],[PCTS Investment Amount]]+Table15[[#This Row],[PCTS Retirement Amount]]</f>
        <v>290706.18000000005</v>
      </c>
      <c r="AB802" s="341">
        <v>44922</v>
      </c>
      <c r="AC802" s="568" t="s">
        <v>709</v>
      </c>
      <c r="AD802" s="1157" t="s">
        <v>29</v>
      </c>
      <c r="AE802" s="579"/>
      <c r="AF802" s="579"/>
      <c r="AG802" s="579"/>
      <c r="AH802" s="553"/>
      <c r="AI802" s="1036"/>
      <c r="AJ802" s="1037"/>
      <c r="AK802" s="1037"/>
      <c r="AL802" s="1038"/>
      <c r="AM802" s="1522" t="s">
        <v>116</v>
      </c>
      <c r="AN802" s="1523">
        <v>45316</v>
      </c>
      <c r="AO802" s="1524">
        <v>11050945</v>
      </c>
      <c r="AP802" s="1525">
        <v>272022.90000000002</v>
      </c>
      <c r="AQ802" s="1525"/>
      <c r="AR802" s="1525">
        <v>28525.24</v>
      </c>
      <c r="AS802" s="1525">
        <v>300548.14</v>
      </c>
      <c r="AT802" s="1525">
        <v>9841.9599999999627</v>
      </c>
      <c r="AU802" s="1525">
        <v>885.77639999999667</v>
      </c>
      <c r="AV802" s="1525">
        <v>2522.5</v>
      </c>
      <c r="AW802" s="1526" t="s">
        <v>5112</v>
      </c>
      <c r="AX802" s="1525">
        <v>0</v>
      </c>
      <c r="AY802" s="1518">
        <v>45566</v>
      </c>
      <c r="AZ802" s="333">
        <v>31</v>
      </c>
      <c r="BA802" s="859" t="s">
        <v>820</v>
      </c>
      <c r="BB802" s="644" t="s">
        <v>821</v>
      </c>
      <c r="BC802" s="544" t="s">
        <v>116</v>
      </c>
      <c r="BD802" s="544" t="s">
        <v>115</v>
      </c>
      <c r="BE802" s="544" t="s">
        <v>822</v>
      </c>
      <c r="BF802" s="544" t="s">
        <v>115</v>
      </c>
      <c r="BG802" s="544" t="s">
        <v>115</v>
      </c>
      <c r="BH802" s="741"/>
      <c r="BI802" s="547" t="s">
        <v>709</v>
      </c>
      <c r="BJ802" s="547" t="s">
        <v>709</v>
      </c>
      <c r="BK802" s="547" t="s">
        <v>709</v>
      </c>
      <c r="BL802" s="547" t="s">
        <v>116</v>
      </c>
      <c r="BM802" s="547" t="s">
        <v>709</v>
      </c>
      <c r="BN802" s="547" t="s">
        <v>709</v>
      </c>
      <c r="BO802" s="547" t="s">
        <v>709</v>
      </c>
      <c r="BP802" s="547" t="s">
        <v>709</v>
      </c>
      <c r="BQ802" s="547" t="s">
        <v>709</v>
      </c>
      <c r="BR802" s="547" t="s">
        <v>709</v>
      </c>
      <c r="BS802" s="547">
        <v>1228</v>
      </c>
      <c r="BT802" s="547" t="s">
        <v>709</v>
      </c>
      <c r="BU802" s="547" t="s">
        <v>709</v>
      </c>
      <c r="BV802" s="547" t="s">
        <v>709</v>
      </c>
      <c r="BW802" s="547" t="s">
        <v>709</v>
      </c>
      <c r="BX802" s="547" t="s">
        <v>709</v>
      </c>
      <c r="BY802" s="547" t="s">
        <v>709</v>
      </c>
      <c r="BZ802" s="547" t="s">
        <v>709</v>
      </c>
      <c r="CA802" s="483" t="s">
        <v>2</v>
      </c>
      <c r="CB802" s="547">
        <v>800</v>
      </c>
      <c r="CC802" s="1481" t="b">
        <v>1</v>
      </c>
      <c r="CD802" t="str">
        <f>Table15[[#This Row],[Engineering Number]]&amp;Table15[[#This Row],[WO Number]]&amp;Table15[[#This Row],[Date Assigned to Designer]]&amp;Table15[[#This Row],[Date Completed]]</f>
        <v>RS108210118854483144916</v>
      </c>
    </row>
    <row r="803" spans="1:82" customFormat="1" ht="15" customHeight="1" x14ac:dyDescent="0.25">
      <c r="A803">
        <v>2023</v>
      </c>
      <c r="B803" s="8" t="s">
        <v>730</v>
      </c>
      <c r="C803" s="8" t="s">
        <v>5114</v>
      </c>
      <c r="D803" s="8" t="s">
        <v>5115</v>
      </c>
      <c r="E803" s="8" t="s">
        <v>818</v>
      </c>
      <c r="F803" s="8" t="s">
        <v>752</v>
      </c>
      <c r="G803" s="8" t="s">
        <v>24</v>
      </c>
      <c r="H803" s="8" t="s">
        <v>59</v>
      </c>
      <c r="I803" s="642">
        <v>44831</v>
      </c>
      <c r="J803" s="18">
        <v>44925</v>
      </c>
      <c r="K803" s="97">
        <v>44917</v>
      </c>
      <c r="L803" s="16">
        <f>IF(ISTEXT(Table15[[#This Row],[Engineering Approved Design Date]]),Table15[[#This Row],[Date Completed]]-Table15[[#This Row],[Date Assigned to Designer]],Table15[[#This Row],[Engineering Approved Design Date]]-Table15[[#This Row],[Date Completed]])</f>
        <v>8</v>
      </c>
      <c r="M803" s="642"/>
      <c r="N803" s="642" t="s">
        <v>120</v>
      </c>
      <c r="O803" s="1060">
        <v>44928</v>
      </c>
      <c r="P803" s="1152" t="s">
        <v>120</v>
      </c>
      <c r="Q803" s="1061">
        <f>R803*AA803</f>
        <v>23372.295300000002</v>
      </c>
      <c r="R803" s="1026">
        <v>0.09</v>
      </c>
      <c r="S803" s="538"/>
      <c r="T803" s="538"/>
      <c r="U803" s="87"/>
      <c r="V803" s="858">
        <v>778</v>
      </c>
      <c r="W803" s="437"/>
      <c r="X803" s="552">
        <v>241582.72</v>
      </c>
      <c r="Y803" s="551"/>
      <c r="Z803" s="552">
        <v>18109.45</v>
      </c>
      <c r="AA803" s="552">
        <f>Table15[[#This Row],[PCTS Investment Amount]]+Table15[[#This Row],[PCTS Retirement Amount]]</f>
        <v>259692.17</v>
      </c>
      <c r="AB803" s="341">
        <v>45287</v>
      </c>
      <c r="AC803" s="568" t="s">
        <v>709</v>
      </c>
      <c r="AD803" s="1157" t="s">
        <v>116</v>
      </c>
      <c r="AE803" s="579"/>
      <c r="AF803" s="579"/>
      <c r="AG803" s="579"/>
      <c r="AH803" s="553"/>
      <c r="AI803" s="1036"/>
      <c r="AJ803" s="1037"/>
      <c r="AK803" s="1037"/>
      <c r="AL803" s="1038"/>
      <c r="AM803" s="1522" t="s">
        <v>116</v>
      </c>
      <c r="AN803" s="1523">
        <v>45133</v>
      </c>
      <c r="AO803" s="1524">
        <v>11050943</v>
      </c>
      <c r="AP803" s="1525">
        <v>240554.47</v>
      </c>
      <c r="AQ803" s="1525"/>
      <c r="AR803" s="1525">
        <v>18564.669999999998</v>
      </c>
      <c r="AS803" s="1525">
        <f>IF(Table15[[#This Row],[PCTS Approved]]="N",0,Table15[[#This Row],[Investment Amount (1'#'#'#'#'#)]]+Table15[[#This Row],[Retirement Amount (3'#'#'#'#'#)]])</f>
        <v>259119.14</v>
      </c>
      <c r="AT803" s="1525">
        <f>IF(Table15[[#This Row],[Approved Construction Cost]]=0,0,Table15[[#This Row],[Approved Construction Cost]]-Table15[[#This Row],[Construction Cost to Bill From]])</f>
        <v>-573.02999999999884</v>
      </c>
      <c r="AU803" s="1525">
        <f>IFERROR(Table15[[#This Row],[Difference in Construction Cost]]*Table15[[#This Row],[Rate]],Table15[[#This Row],[Difference in Construction Cost]]*0.085)</f>
        <v>-51.572699999999891</v>
      </c>
      <c r="AV803" s="1525">
        <v>4112.5</v>
      </c>
      <c r="AW803" s="1526" t="s">
        <v>5116</v>
      </c>
      <c r="AX803" s="1525">
        <v>0</v>
      </c>
      <c r="AY803" s="1518">
        <v>45375</v>
      </c>
      <c r="AZ803" s="1532"/>
      <c r="BA803" s="859" t="s">
        <v>5117</v>
      </c>
      <c r="BB803" s="644" t="s">
        <v>5118</v>
      </c>
      <c r="BC803" s="544" t="s">
        <v>756</v>
      </c>
      <c r="BD803" s="544" t="s">
        <v>115</v>
      </c>
      <c r="BE803" s="544" t="s">
        <v>822</v>
      </c>
      <c r="BF803" s="544" t="s">
        <v>115</v>
      </c>
      <c r="BG803" s="544" t="s">
        <v>115</v>
      </c>
      <c r="BH803" s="741"/>
      <c r="BI803" s="547" t="s">
        <v>709</v>
      </c>
      <c r="BJ803" s="547" t="s">
        <v>709</v>
      </c>
      <c r="BK803" s="547" t="s">
        <v>709</v>
      </c>
      <c r="BL803" s="547" t="s">
        <v>116</v>
      </c>
      <c r="BM803" s="547" t="s">
        <v>709</v>
      </c>
      <c r="BN803" s="547" t="s">
        <v>709</v>
      </c>
      <c r="BO803" s="547" t="s">
        <v>709</v>
      </c>
      <c r="BP803" s="547" t="s">
        <v>709</v>
      </c>
      <c r="BQ803" s="547" t="s">
        <v>709</v>
      </c>
      <c r="BR803" s="547">
        <v>778</v>
      </c>
      <c r="BS803" s="547" t="s">
        <v>709</v>
      </c>
      <c r="BT803" s="547" t="s">
        <v>745</v>
      </c>
      <c r="BU803" s="547" t="s">
        <v>709</v>
      </c>
      <c r="BV803" s="547" t="s">
        <v>745</v>
      </c>
      <c r="BW803" s="547" t="s">
        <v>709</v>
      </c>
      <c r="BX803" s="547" t="s">
        <v>745</v>
      </c>
      <c r="BY803" s="547" t="s">
        <v>745</v>
      </c>
      <c r="BZ803" s="547" t="s">
        <v>709</v>
      </c>
      <c r="CA803" s="483" t="s">
        <v>2</v>
      </c>
      <c r="CB803" s="547">
        <v>801</v>
      </c>
      <c r="CC803" s="1481" t="b">
        <v>1</v>
      </c>
      <c r="CD803" t="str">
        <f>Table15[[#This Row],[Engineering Number]]&amp;Table15[[#This Row],[WO Number]]&amp;Table15[[#This Row],[Date Assigned to Designer]]&amp;Table15[[#This Row],[Date Completed]]</f>
        <v>RS108310118694483144917</v>
      </c>
    </row>
    <row r="804" spans="1:82" customFormat="1" ht="15" customHeight="1" x14ac:dyDescent="0.25">
      <c r="A804">
        <v>2023</v>
      </c>
      <c r="B804" s="8" t="s">
        <v>771</v>
      </c>
      <c r="C804" s="8" t="s">
        <v>885</v>
      </c>
      <c r="D804" s="8" t="s">
        <v>886</v>
      </c>
      <c r="E804" s="8" t="s">
        <v>887</v>
      </c>
      <c r="F804" s="8" t="s">
        <v>784</v>
      </c>
      <c r="G804" s="8" t="s">
        <v>32</v>
      </c>
      <c r="H804" s="8" t="s">
        <v>59</v>
      </c>
      <c r="I804" s="642">
        <v>44862</v>
      </c>
      <c r="J804" s="18">
        <v>44926</v>
      </c>
      <c r="K804" s="97">
        <v>44922</v>
      </c>
      <c r="L804" s="16">
        <f>IF(ISTEXT(Table15[[#This Row],[Engineering Approved Design Date]]),Table15[[#This Row],[Date Completed]]-Table15[[#This Row],[Date Assigned to Designer]],Table15[[#This Row],[Engineering Approved Design Date]]-Table15[[#This Row],[Date Completed]])</f>
        <v>4</v>
      </c>
      <c r="M804" s="642"/>
      <c r="N804" s="642" t="s">
        <v>120</v>
      </c>
      <c r="O804" s="1060">
        <v>44928</v>
      </c>
      <c r="P804" s="1152" t="s">
        <v>120</v>
      </c>
      <c r="Q804" s="1061">
        <f>R804*AA804</f>
        <v>19625.104800000001</v>
      </c>
      <c r="R804" s="1026">
        <v>0.09</v>
      </c>
      <c r="S804" s="538"/>
      <c r="T804" s="538"/>
      <c r="U804" s="87"/>
      <c r="V804" s="858">
        <v>780</v>
      </c>
      <c r="W804" s="437"/>
      <c r="X804" s="552">
        <v>196578</v>
      </c>
      <c r="Y804" s="551"/>
      <c r="Z804" s="552">
        <v>21478.720000000001</v>
      </c>
      <c r="AA804" s="552">
        <f>Table15[[#This Row],[PCTS Investment Amount]]+Table15[[#This Row],[PCTS Retirement Amount]]</f>
        <v>218056.72</v>
      </c>
      <c r="AB804" s="341">
        <v>44929</v>
      </c>
      <c r="AC804" s="568" t="s">
        <v>709</v>
      </c>
      <c r="AD804" s="1157" t="s">
        <v>116</v>
      </c>
      <c r="AE804" s="568"/>
      <c r="AF804" s="568"/>
      <c r="AG804" s="568"/>
      <c r="AH804" s="183"/>
      <c r="AI804" s="1036"/>
      <c r="AJ804" s="1037"/>
      <c r="AK804" s="1037"/>
      <c r="AL804" s="1038"/>
      <c r="AM804" s="1522" t="s">
        <v>116</v>
      </c>
      <c r="AN804" s="1523">
        <v>45365</v>
      </c>
      <c r="AO804" s="1524">
        <v>11079905</v>
      </c>
      <c r="AP804" s="1525">
        <v>205113.92</v>
      </c>
      <c r="AQ804" s="1525"/>
      <c r="AR804" s="1525">
        <v>23188.47</v>
      </c>
      <c r="AS804" s="1525">
        <v>228302.39</v>
      </c>
      <c r="AT804" s="1525">
        <v>10245.670000000013</v>
      </c>
      <c r="AU804" s="1525">
        <v>922.11030000000108</v>
      </c>
      <c r="AV804" s="1525">
        <v>4252.5</v>
      </c>
      <c r="AW804" s="1526" t="s">
        <v>5122</v>
      </c>
      <c r="AX804" s="1525">
        <v>0</v>
      </c>
      <c r="AY804" s="1518">
        <v>45566</v>
      </c>
      <c r="AZ804" s="333">
        <v>32</v>
      </c>
      <c r="BA804" s="859" t="s">
        <v>889</v>
      </c>
      <c r="BB804" s="644" t="s">
        <v>890</v>
      </c>
      <c r="BC804" s="544" t="s">
        <v>709</v>
      </c>
      <c r="BD804" s="544" t="s">
        <v>115</v>
      </c>
      <c r="BE804" s="544" t="s">
        <v>891</v>
      </c>
      <c r="BF804" s="544" t="s">
        <v>115</v>
      </c>
      <c r="BG804" s="544" t="s">
        <v>115</v>
      </c>
      <c r="BH804" s="741" t="s">
        <v>5123</v>
      </c>
      <c r="BI804" s="547" t="s">
        <v>709</v>
      </c>
      <c r="BJ804" s="547" t="s">
        <v>709</v>
      </c>
      <c r="BK804" s="547" t="s">
        <v>709</v>
      </c>
      <c r="BL804" s="547" t="s">
        <v>116</v>
      </c>
      <c r="BM804" s="547">
        <v>0</v>
      </c>
      <c r="BN804" s="549">
        <v>0</v>
      </c>
      <c r="BO804" s="547">
        <v>0</v>
      </c>
      <c r="BP804" s="547">
        <v>0</v>
      </c>
      <c r="BQ804" s="547">
        <v>0</v>
      </c>
      <c r="BR804" s="547">
        <v>136</v>
      </c>
      <c r="BS804" s="547">
        <v>644</v>
      </c>
      <c r="BT804" s="547">
        <v>0</v>
      </c>
      <c r="BU804" s="547">
        <v>0</v>
      </c>
      <c r="BV804" s="547">
        <v>0</v>
      </c>
      <c r="BW804" s="547">
        <v>0</v>
      </c>
      <c r="BX804" s="547">
        <v>0</v>
      </c>
      <c r="BY804" s="547">
        <v>0</v>
      </c>
      <c r="BZ804" s="547" t="s">
        <v>709</v>
      </c>
      <c r="CA804" s="483"/>
      <c r="CB804" s="547">
        <v>802</v>
      </c>
      <c r="CC804" s="1481" t="b">
        <v>1</v>
      </c>
      <c r="CD804" t="str">
        <f>Table15[[#This Row],[Engineering Number]]&amp;Table15[[#This Row],[WO Number]]&amp;Table15[[#This Row],[Date Assigned to Designer]]&amp;Table15[[#This Row],[Date Completed]]</f>
        <v>BS631-113120604486244922</v>
      </c>
    </row>
    <row r="805" spans="1:82" customFormat="1" ht="15" customHeight="1" x14ac:dyDescent="0.25">
      <c r="A805">
        <v>2023</v>
      </c>
      <c r="B805" s="8" t="s">
        <v>1205</v>
      </c>
      <c r="C805" s="8" t="s">
        <v>1392</v>
      </c>
      <c r="D805" s="8" t="s">
        <v>1393</v>
      </c>
      <c r="E805" s="8" t="s">
        <v>426</v>
      </c>
      <c r="F805" s="8" t="s">
        <v>784</v>
      </c>
      <c r="G805" s="8" t="s">
        <v>32</v>
      </c>
      <c r="H805" s="8" t="s">
        <v>59</v>
      </c>
      <c r="I805" s="642">
        <v>44832</v>
      </c>
      <c r="J805" s="18">
        <v>44925</v>
      </c>
      <c r="K805" s="97">
        <v>44922</v>
      </c>
      <c r="L805" s="16">
        <f>IF(ISTEXT(Table15[[#This Row],[Engineering Approved Design Date]]),Table15[[#This Row],[Date Completed]]-Table15[[#This Row],[Date Assigned to Designer]],Table15[[#This Row],[Engineering Approved Design Date]]-Table15[[#This Row],[Date Completed]])</f>
        <v>3</v>
      </c>
      <c r="M805" s="642"/>
      <c r="N805" s="642" t="s">
        <v>120</v>
      </c>
      <c r="O805" s="1060">
        <v>44928</v>
      </c>
      <c r="P805" s="1152" t="s">
        <v>120</v>
      </c>
      <c r="Q805" s="1061">
        <f>R805*AA805</f>
        <v>76364.406900000002</v>
      </c>
      <c r="R805" s="1026">
        <v>0.09</v>
      </c>
      <c r="S805" s="538"/>
      <c r="T805" s="538"/>
      <c r="U805" s="87"/>
      <c r="V805" s="858">
        <v>568</v>
      </c>
      <c r="W805" s="437"/>
      <c r="X805" s="552">
        <v>659699.77</v>
      </c>
      <c r="Y805" s="551"/>
      <c r="Z805" s="552">
        <v>188793.64</v>
      </c>
      <c r="AA805" s="552">
        <f>Table15[[#This Row],[PCTS Investment Amount]]+Table15[[#This Row],[PCTS Retirement Amount]]</f>
        <v>848493.41</v>
      </c>
      <c r="AB805" s="341">
        <v>44930</v>
      </c>
      <c r="AC805" s="568" t="s">
        <v>709</v>
      </c>
      <c r="AD805" s="1157" t="s">
        <v>116</v>
      </c>
      <c r="AE805" s="568"/>
      <c r="AF805" s="568"/>
      <c r="AG805" s="568"/>
      <c r="AH805" s="183"/>
      <c r="AI805" s="1036"/>
      <c r="AJ805" s="1037"/>
      <c r="AK805" s="1037"/>
      <c r="AL805" s="1038"/>
      <c r="AM805" s="536" t="s">
        <v>116</v>
      </c>
      <c r="AN805" s="903" t="s">
        <v>709</v>
      </c>
      <c r="AO805" s="1536">
        <v>11050935</v>
      </c>
      <c r="AP805" s="1537"/>
      <c r="AQ805" s="1537"/>
      <c r="AR805" s="1537"/>
      <c r="AS805" s="888">
        <f>IF(Table15[[#This Row],[PCTS Approved]]="N",0,Table15[[#This Row],[Investment Amount (1'#'#'#'#'#)]]+Table15[[#This Row],[Retirement Amount (3'#'#'#'#'#)]])</f>
        <v>0</v>
      </c>
      <c r="AT805" s="888">
        <f>IF(Table15[[#This Row],[Approved Construction Cost]]=0,0,Table15[[#This Row],[Approved Construction Cost]]-Table15[[#This Row],[Construction Cost to Bill From]])</f>
        <v>0</v>
      </c>
      <c r="AU805" s="888">
        <f>IFERROR(Table15[[#This Row],[Difference in Construction Cost]]*Table15[[#This Row],[Rate]],Table15[[#This Row],[Difference in Construction Cost]]*0.085)</f>
        <v>0</v>
      </c>
      <c r="AV805" s="905"/>
      <c r="AW805" s="1509"/>
      <c r="AX805" s="888"/>
      <c r="AY805" s="636" t="s">
        <v>709</v>
      </c>
      <c r="AZ805" s="1532">
        <v>33</v>
      </c>
      <c r="BA805" s="859" t="s">
        <v>1394</v>
      </c>
      <c r="BB805" s="644" t="s">
        <v>1395</v>
      </c>
      <c r="BC805" s="544" t="s">
        <v>709</v>
      </c>
      <c r="BD805" s="544" t="s">
        <v>115</v>
      </c>
      <c r="BE805" s="544" t="s">
        <v>1396</v>
      </c>
      <c r="BF805" s="544" t="s">
        <v>115</v>
      </c>
      <c r="BG805" s="544" t="s">
        <v>1397</v>
      </c>
      <c r="BH805" s="741" t="s">
        <v>5120</v>
      </c>
      <c r="BI805" s="547" t="s">
        <v>709</v>
      </c>
      <c r="BJ805" s="547" t="s">
        <v>709</v>
      </c>
      <c r="BK805" s="547" t="s">
        <v>709</v>
      </c>
      <c r="BL805" s="547" t="s">
        <v>116</v>
      </c>
      <c r="BM805" s="547">
        <v>0</v>
      </c>
      <c r="BN805" s="549">
        <v>0</v>
      </c>
      <c r="BO805" s="547">
        <v>0</v>
      </c>
      <c r="BP805" s="547">
        <v>0</v>
      </c>
      <c r="BQ805" s="547">
        <v>473</v>
      </c>
      <c r="BR805" s="547">
        <v>13</v>
      </c>
      <c r="BS805" s="547">
        <v>82</v>
      </c>
      <c r="BT805" s="547">
        <v>0</v>
      </c>
      <c r="BU805" s="547">
        <v>0</v>
      </c>
      <c r="BV805" s="547">
        <v>0</v>
      </c>
      <c r="BW805" s="547">
        <v>0</v>
      </c>
      <c r="BX805" s="547">
        <v>0</v>
      </c>
      <c r="BY805" s="547">
        <v>0</v>
      </c>
      <c r="BZ805" s="547" t="s">
        <v>709</v>
      </c>
      <c r="CA805" s="483"/>
      <c r="CB805" s="547">
        <v>803</v>
      </c>
      <c r="CC805" s="1481" t="b">
        <v>1</v>
      </c>
      <c r="CD805" t="str">
        <f>Table15[[#This Row],[Engineering Number]]&amp;Table15[[#This Row],[WO Number]]&amp;Table15[[#This Row],[Date Assigned to Designer]]&amp;Table15[[#This Row],[Date Completed]]</f>
        <v>MR194012118994483244922</v>
      </c>
    </row>
    <row r="806" spans="1:82" customFormat="1" ht="15" customHeight="1" x14ac:dyDescent="0.25">
      <c r="A806">
        <v>2023</v>
      </c>
      <c r="B806" s="8" t="s">
        <v>4</v>
      </c>
      <c r="C806" s="8" t="s">
        <v>5125</v>
      </c>
      <c r="D806" s="8" t="s">
        <v>115</v>
      </c>
      <c r="E806" s="8" t="s">
        <v>1004</v>
      </c>
      <c r="F806" s="8" t="s">
        <v>747</v>
      </c>
      <c r="G806" s="8" t="s">
        <v>33</v>
      </c>
      <c r="H806" s="647" t="s">
        <v>1903</v>
      </c>
      <c r="I806" s="642">
        <v>44851</v>
      </c>
      <c r="J806" s="18">
        <v>44946</v>
      </c>
      <c r="K806" s="18">
        <v>44923</v>
      </c>
      <c r="L806" s="16">
        <f>IF(ISTEXT(Table15[[#This Row],[Engineering Approved Design Date]]),Table15[[#This Row],[Date Completed]]-Table15[[#This Row],[Date Assigned to Designer]],Table15[[#This Row],[Engineering Approved Design Date]]-Table15[[#This Row],[Date Completed]])</f>
        <v>23</v>
      </c>
      <c r="M806" s="642"/>
      <c r="N806" s="642" t="s">
        <v>120</v>
      </c>
      <c r="O806" s="1060">
        <v>44928</v>
      </c>
      <c r="P806" s="1152" t="s">
        <v>739</v>
      </c>
      <c r="Q806" s="87" t="s">
        <v>115</v>
      </c>
      <c r="R806" s="1026" t="s">
        <v>115</v>
      </c>
      <c r="S806" s="538"/>
      <c r="T806" s="538"/>
      <c r="U806" s="87"/>
      <c r="V806" s="857"/>
      <c r="W806" s="440"/>
      <c r="X806" s="550"/>
      <c r="Y806" s="550"/>
      <c r="Z806" s="550"/>
      <c r="AA806" s="552"/>
      <c r="AB806" s="341" t="s">
        <v>29</v>
      </c>
      <c r="AC806" s="568" t="s">
        <v>709</v>
      </c>
      <c r="AD806" s="1158" t="s">
        <v>29</v>
      </c>
      <c r="AE806" s="581"/>
      <c r="AF806" s="581"/>
      <c r="AG806" s="581"/>
      <c r="AH806" s="583"/>
      <c r="AI806" s="1047"/>
      <c r="AJ806" s="1048"/>
      <c r="AK806" s="1048"/>
      <c r="AL806" s="1049"/>
      <c r="AM806" s="542" t="s">
        <v>709</v>
      </c>
      <c r="AN806" s="924"/>
      <c r="AO806" s="925"/>
      <c r="AP806" s="926"/>
      <c r="AQ806" s="926"/>
      <c r="AR806" s="926"/>
      <c r="AS806" s="926"/>
      <c r="AT806" s="926"/>
      <c r="AU806" s="926"/>
      <c r="AV806" s="926"/>
      <c r="AW806" s="927"/>
      <c r="AX806" s="926"/>
      <c r="AY806" s="1538" t="s">
        <v>29</v>
      </c>
      <c r="AZ806" s="1530"/>
      <c r="BA806" s="1031" t="s">
        <v>5126</v>
      </c>
      <c r="BB806" s="644" t="s">
        <v>870</v>
      </c>
      <c r="BC806" s="544" t="s">
        <v>116</v>
      </c>
      <c r="BD806" s="544" t="s">
        <v>115</v>
      </c>
      <c r="BE806" s="544" t="s">
        <v>115</v>
      </c>
      <c r="BF806" s="544" t="s">
        <v>115</v>
      </c>
      <c r="BG806" s="544" t="s">
        <v>115</v>
      </c>
      <c r="BH806" s="741"/>
      <c r="BI806" s="1032"/>
      <c r="BJ806" s="1032"/>
      <c r="BK806" s="1032"/>
      <c r="BL806" s="1032"/>
      <c r="BM806" s="1032"/>
      <c r="BN806" s="1032"/>
      <c r="BO806" s="1032"/>
      <c r="BP806" s="1032"/>
      <c r="BQ806" s="1032"/>
      <c r="BR806" s="1032"/>
      <c r="BS806" s="1032"/>
      <c r="BT806" s="1032"/>
      <c r="BU806" s="1032"/>
      <c r="BV806" s="547"/>
      <c r="BW806" s="1032"/>
      <c r="BX806" s="1032"/>
      <c r="BY806" s="1032"/>
      <c r="BZ806" s="1032"/>
      <c r="CA806" s="485"/>
      <c r="CB806" s="547">
        <v>804</v>
      </c>
      <c r="CC806" s="1481" t="b">
        <v>1</v>
      </c>
      <c r="CD806" t="str">
        <f>Table15[[#This Row],[Engineering Number]]&amp;Table15[[#This Row],[WO Number]]&amp;Table15[[#This Row],[Date Assigned to Designer]]&amp;Table15[[#This Row],[Date Completed]]</f>
        <v>SC21748-1-4485144923</v>
      </c>
    </row>
    <row r="807" spans="1:82" customFormat="1" ht="15" customHeight="1" x14ac:dyDescent="0.25">
      <c r="A807">
        <v>2022</v>
      </c>
      <c r="B807" s="8" t="s">
        <v>1073</v>
      </c>
      <c r="C807" s="8" t="s">
        <v>276</v>
      </c>
      <c r="D807" s="8">
        <v>1511906</v>
      </c>
      <c r="E807" s="8" t="s">
        <v>277</v>
      </c>
      <c r="F807" s="8" t="s">
        <v>784</v>
      </c>
      <c r="G807" s="8" t="s">
        <v>22</v>
      </c>
      <c r="H807" s="8" t="s">
        <v>4189</v>
      </c>
      <c r="I807" s="642">
        <v>44924</v>
      </c>
      <c r="J807" s="175" t="s">
        <v>2052</v>
      </c>
      <c r="K807" s="97">
        <v>44929</v>
      </c>
      <c r="L807" s="16">
        <f>IF(ISTEXT(Table15[[#This Row],[Engineering Approved Design Date]]),Table15[[#This Row],[Date Completed]]-Table15[[#This Row],[Date Assigned to Designer]],Table15[[#This Row],[Engineering Approved Design Date]]-Table15[[#This Row],[Date Completed]])</f>
        <v>5</v>
      </c>
      <c r="M807" t="s">
        <v>5128</v>
      </c>
      <c r="N807" s="642" t="s">
        <v>120</v>
      </c>
      <c r="O807" s="1060">
        <v>44928</v>
      </c>
      <c r="P807" s="21" t="s">
        <v>739</v>
      </c>
      <c r="Q807" s="1151">
        <f>Table15[[#This Row],[KH Hourly Effort]]</f>
        <v>830</v>
      </c>
      <c r="R807" s="1026" t="s">
        <v>1922</v>
      </c>
      <c r="S807" s="538"/>
      <c r="T807" s="538"/>
      <c r="U807" s="87">
        <v>830</v>
      </c>
      <c r="V807" s="857"/>
      <c r="W807" s="440"/>
      <c r="X807" s="538"/>
      <c r="Y807" s="551"/>
      <c r="Z807" s="538"/>
      <c r="AA807" s="552">
        <f>Table15[[#This Row],[PCTS Investment Amount]]+Table15[[#This Row],[PCTS Retirement Amount]]</f>
        <v>0</v>
      </c>
      <c r="AB807" s="341"/>
      <c r="AC807" s="569" t="s">
        <v>709</v>
      </c>
      <c r="AD807" s="1149" t="s">
        <v>116</v>
      </c>
      <c r="AE807" s="569"/>
      <c r="AF807" s="569"/>
      <c r="AG807" s="569"/>
      <c r="AH807" s="536"/>
      <c r="AI807" s="1028"/>
      <c r="AJ807" s="1029"/>
      <c r="AK807" s="1029"/>
      <c r="AL807" s="1030"/>
      <c r="AM807" s="542" t="s">
        <v>709</v>
      </c>
      <c r="AN807" s="924"/>
      <c r="AO807" s="925"/>
      <c r="AP807" s="926"/>
      <c r="AQ807" s="926"/>
      <c r="AR807" s="926"/>
      <c r="AS807" s="926"/>
      <c r="AT807" s="926"/>
      <c r="AU807" s="926"/>
      <c r="AV807" s="926"/>
      <c r="AW807" s="927"/>
      <c r="AX807" s="926"/>
      <c r="AY807" s="1538" t="s">
        <v>29</v>
      </c>
      <c r="AZ807" s="1530"/>
      <c r="BA807" s="1031">
        <v>4</v>
      </c>
      <c r="BB807" s="644"/>
      <c r="BC807" s="544"/>
      <c r="BD807" s="544"/>
      <c r="BE807" s="544"/>
      <c r="BF807" s="544"/>
      <c r="BG807" s="544"/>
      <c r="BH807" s="741"/>
      <c r="BI807" s="547" t="s">
        <v>709</v>
      </c>
      <c r="BJ807" s="547" t="s">
        <v>709</v>
      </c>
      <c r="BK807" s="547" t="s">
        <v>116</v>
      </c>
      <c r="BL807" s="547" t="s">
        <v>709</v>
      </c>
      <c r="BM807" s="547" t="s">
        <v>709</v>
      </c>
      <c r="BN807" s="547" t="s">
        <v>709</v>
      </c>
      <c r="BO807" s="547" t="s">
        <v>709</v>
      </c>
      <c r="BP807" s="547" t="s">
        <v>709</v>
      </c>
      <c r="BQ807" s="547" t="s">
        <v>709</v>
      </c>
      <c r="BR807" s="547">
        <v>457</v>
      </c>
      <c r="BS807" s="547">
        <v>5</v>
      </c>
      <c r="BT807" s="547" t="s">
        <v>745</v>
      </c>
      <c r="BU807" s="547" t="s">
        <v>709</v>
      </c>
      <c r="BV807" s="547" t="s">
        <v>745</v>
      </c>
      <c r="BW807" s="547" t="s">
        <v>709</v>
      </c>
      <c r="BX807" s="547" t="s">
        <v>745</v>
      </c>
      <c r="BY807" s="547">
        <v>1</v>
      </c>
      <c r="BZ807" s="547" t="s">
        <v>709</v>
      </c>
      <c r="CA807" s="483"/>
      <c r="CB807" s="547">
        <v>805</v>
      </c>
      <c r="CC807" s="1481" t="b">
        <v>1</v>
      </c>
      <c r="CD807" t="str">
        <f>Table15[[#This Row],[Engineering Number]]&amp;Table15[[#This Row],[WO Number]]&amp;Table15[[#This Row],[Date Assigned to Designer]]&amp;Table15[[#This Row],[Date Completed]]</f>
        <v>NBA1000621215119064492444929</v>
      </c>
    </row>
    <row r="808" spans="1:82" customFormat="1" ht="15" customHeight="1" x14ac:dyDescent="0.25">
      <c r="A808">
        <v>2022</v>
      </c>
      <c r="B808" s="8" t="s">
        <v>4</v>
      </c>
      <c r="C808" s="8" t="s">
        <v>5130</v>
      </c>
      <c r="D808" s="8" t="s">
        <v>115</v>
      </c>
      <c r="E808" s="8" t="s">
        <v>1164</v>
      </c>
      <c r="F808" s="8" t="s">
        <v>784</v>
      </c>
      <c r="G808" s="8" t="s">
        <v>33</v>
      </c>
      <c r="H808" s="647" t="s">
        <v>2127</v>
      </c>
      <c r="I808" s="642">
        <v>44873</v>
      </c>
      <c r="J808" s="18">
        <v>44972</v>
      </c>
      <c r="K808" s="18">
        <v>44931</v>
      </c>
      <c r="L808" s="16">
        <f>IF(ISTEXT(Table15[[#This Row],[Engineering Approved Design Date]]),Table15[[#This Row],[Date Completed]]-Table15[[#This Row],[Date Assigned to Designer]],Table15[[#This Row],[Engineering Approved Design Date]]-Table15[[#This Row],[Date Completed]])</f>
        <v>41</v>
      </c>
      <c r="M808" s="642" t="s">
        <v>5131</v>
      </c>
      <c r="N808" s="642" t="s">
        <v>120</v>
      </c>
      <c r="O808" s="1060">
        <v>44928</v>
      </c>
      <c r="P808" s="1152" t="s">
        <v>739</v>
      </c>
      <c r="Q808" s="87" t="s">
        <v>115</v>
      </c>
      <c r="R808" s="1026" t="s">
        <v>115</v>
      </c>
      <c r="S808" s="538"/>
      <c r="T808" s="538"/>
      <c r="U808" s="87"/>
      <c r="V808" s="857"/>
      <c r="W808" s="440"/>
      <c r="X808" s="550"/>
      <c r="Y808" s="550"/>
      <c r="Z808" s="550"/>
      <c r="AA808" s="552">
        <f>Table15[[#This Row],[PCTS Investment Amount]]+Table15[[#This Row],[PCTS Retirement Amount]]</f>
        <v>0</v>
      </c>
      <c r="AB808" s="341" t="s">
        <v>29</v>
      </c>
      <c r="AC808" s="568" t="s">
        <v>709</v>
      </c>
      <c r="AD808" s="1158" t="s">
        <v>29</v>
      </c>
      <c r="AE808" s="581" t="s">
        <v>29</v>
      </c>
      <c r="AF808" s="581" t="s">
        <v>29</v>
      </c>
      <c r="AG808" s="581" t="s">
        <v>29</v>
      </c>
      <c r="AH808" s="583" t="s">
        <v>29</v>
      </c>
      <c r="AI808" s="1047"/>
      <c r="AJ808" s="1048"/>
      <c r="AK808" s="1048"/>
      <c r="AL808" s="1049"/>
      <c r="AM808" s="542" t="s">
        <v>709</v>
      </c>
      <c r="AN808" s="924"/>
      <c r="AO808" s="925"/>
      <c r="AP808" s="926"/>
      <c r="AQ808" s="926"/>
      <c r="AR808" s="926"/>
      <c r="AS808" s="926"/>
      <c r="AT808" s="926"/>
      <c r="AU808" s="926"/>
      <c r="AV808" s="926"/>
      <c r="AW808" s="927"/>
      <c r="AX808" s="926"/>
      <c r="AY808" s="1538" t="s">
        <v>29</v>
      </c>
      <c r="AZ808" s="1530"/>
      <c r="BA808" s="1031" t="s">
        <v>5132</v>
      </c>
      <c r="BB808" s="644" t="s">
        <v>5133</v>
      </c>
      <c r="BC808" s="544" t="s">
        <v>115</v>
      </c>
      <c r="BD808" s="544" t="s">
        <v>115</v>
      </c>
      <c r="BE808" s="544" t="s">
        <v>5134</v>
      </c>
      <c r="BF808" s="544" t="s">
        <v>115</v>
      </c>
      <c r="BG808" s="544" t="s">
        <v>115</v>
      </c>
      <c r="BH808" s="741"/>
      <c r="BI808" s="547"/>
      <c r="BJ808" s="547"/>
      <c r="BK808" s="547"/>
      <c r="BL808" s="547"/>
      <c r="BM808" s="547"/>
      <c r="BN808" s="547"/>
      <c r="BO808" s="547"/>
      <c r="BP808" s="547"/>
      <c r="BQ808" s="547"/>
      <c r="BR808" s="547"/>
      <c r="BS808" s="547"/>
      <c r="BT808" s="547"/>
      <c r="BU808" s="547"/>
      <c r="BV808" s="547"/>
      <c r="BW808" s="547"/>
      <c r="BX808" s="547"/>
      <c r="BY808" s="547"/>
      <c r="BZ808" s="547" t="s">
        <v>709</v>
      </c>
      <c r="CA808" s="483" t="s">
        <v>915</v>
      </c>
      <c r="CB808" s="547">
        <v>806</v>
      </c>
      <c r="CC808" s="1481" t="b">
        <v>1</v>
      </c>
      <c r="CD808" t="str">
        <f>Table15[[#This Row],[Engineering Number]]&amp;Table15[[#This Row],[WO Number]]&amp;Table15[[#This Row],[Date Assigned to Designer]]&amp;Table15[[#This Row],[Date Completed]]</f>
        <v>SC19668-4487344931</v>
      </c>
    </row>
    <row r="809" spans="1:82" customFormat="1" ht="15" customHeight="1" x14ac:dyDescent="0.25">
      <c r="A809">
        <v>2022</v>
      </c>
      <c r="B809" s="8" t="s">
        <v>771</v>
      </c>
      <c r="C809" s="8" t="s">
        <v>4846</v>
      </c>
      <c r="D809" s="8">
        <v>1211324</v>
      </c>
      <c r="E809" s="8" t="s">
        <v>4848</v>
      </c>
      <c r="F809" s="8" t="s">
        <v>5136</v>
      </c>
      <c r="G809" s="8" t="s">
        <v>36</v>
      </c>
      <c r="H809" s="8" t="s">
        <v>3178</v>
      </c>
      <c r="I809" s="642">
        <v>44873</v>
      </c>
      <c r="J809" s="175" t="s">
        <v>2052</v>
      </c>
      <c r="K809" s="97">
        <v>44935</v>
      </c>
      <c r="L809" s="16">
        <f>IF(ISTEXT(Table15[[#This Row],[Engineering Approved Design Date]]),Table15[[#This Row],[Date Completed]]-Table15[[#This Row],[Date Assigned to Designer]],Table15[[#This Row],[Engineering Approved Design Date]]-Table15[[#This Row],[Date Completed]])</f>
        <v>62</v>
      </c>
      <c r="M809" t="s">
        <v>5137</v>
      </c>
      <c r="N809" s="642" t="s">
        <v>120</v>
      </c>
      <c r="O809" s="1060">
        <v>44928</v>
      </c>
      <c r="P809" s="21" t="s">
        <v>120</v>
      </c>
      <c r="Q809" s="1151">
        <f>Table15[[#This Row],[KH Hourly Effort]]</f>
        <v>15562.5</v>
      </c>
      <c r="R809" s="1026" t="s">
        <v>1922</v>
      </c>
      <c r="S809" s="538"/>
      <c r="T809" s="538"/>
      <c r="U809" s="87">
        <v>15562.5</v>
      </c>
      <c r="V809" s="857"/>
      <c r="W809" s="440"/>
      <c r="X809" s="538"/>
      <c r="Y809" s="551"/>
      <c r="Z809" s="538"/>
      <c r="AA809" s="552"/>
      <c r="AB809" s="341"/>
      <c r="AC809" s="569"/>
      <c r="AD809" s="1149" t="s">
        <v>29</v>
      </c>
      <c r="AE809" s="569"/>
      <c r="AF809" s="569"/>
      <c r="AG809" s="569"/>
      <c r="AH809" s="536"/>
      <c r="AI809" s="1028"/>
      <c r="AJ809" s="1029"/>
      <c r="AK809" s="1029"/>
      <c r="AL809" s="1030"/>
      <c r="AM809" s="542" t="s">
        <v>709</v>
      </c>
      <c r="AN809" s="924"/>
      <c r="AO809" s="925"/>
      <c r="AP809" s="926"/>
      <c r="AQ809" s="926"/>
      <c r="AR809" s="926"/>
      <c r="AS809" s="926"/>
      <c r="AT809" s="926"/>
      <c r="AU809" s="926"/>
      <c r="AV809" s="926"/>
      <c r="AW809" s="927"/>
      <c r="AX809" s="926"/>
      <c r="AY809" s="1538" t="s">
        <v>29</v>
      </c>
      <c r="AZ809" s="1530"/>
      <c r="BA809" s="1031">
        <v>1</v>
      </c>
      <c r="BB809" s="644" t="s">
        <v>5138</v>
      </c>
      <c r="BC809" s="544"/>
      <c r="BD809" s="544"/>
      <c r="BE809" s="544"/>
      <c r="BF809" s="544"/>
      <c r="BG809" s="544"/>
      <c r="BH809" s="741"/>
      <c r="BI809" s="547" t="s">
        <v>116</v>
      </c>
      <c r="BJ809" s="547" t="s">
        <v>709</v>
      </c>
      <c r="BK809" s="547" t="s">
        <v>709</v>
      </c>
      <c r="BL809" s="547" t="s">
        <v>116</v>
      </c>
      <c r="BM809" s="547" t="s">
        <v>709</v>
      </c>
      <c r="BN809" s="547">
        <v>22879</v>
      </c>
      <c r="BO809" s="547" t="s">
        <v>709</v>
      </c>
      <c r="BP809" s="547" t="s">
        <v>709</v>
      </c>
      <c r="BQ809" s="547" t="s">
        <v>709</v>
      </c>
      <c r="BR809" s="547">
        <v>218</v>
      </c>
      <c r="BS809" s="547">
        <v>83</v>
      </c>
      <c r="BT809" s="547" t="s">
        <v>709</v>
      </c>
      <c r="BU809" s="547" t="s">
        <v>709</v>
      </c>
      <c r="BV809" s="547" t="s">
        <v>745</v>
      </c>
      <c r="BW809" s="547" t="s">
        <v>709</v>
      </c>
      <c r="BX809" s="547">
        <v>5</v>
      </c>
      <c r="BY809" s="547" t="s">
        <v>745</v>
      </c>
      <c r="BZ809" s="547" t="s">
        <v>709</v>
      </c>
      <c r="CA809" s="483"/>
      <c r="CB809" s="547">
        <v>807</v>
      </c>
      <c r="CC809" s="1481" t="b">
        <v>1</v>
      </c>
      <c r="CD809" t="str">
        <f>Table15[[#This Row],[Engineering Number]]&amp;Table15[[#This Row],[WO Number]]&amp;Table15[[#This Row],[Date Assigned to Designer]]&amp;Table15[[#This Row],[Date Completed]]</f>
        <v>BS44112113244487344935</v>
      </c>
    </row>
    <row r="810" spans="1:82" customFormat="1" ht="15" customHeight="1" x14ac:dyDescent="0.25">
      <c r="A810">
        <v>2022</v>
      </c>
      <c r="B810" s="8" t="s">
        <v>771</v>
      </c>
      <c r="C810" s="8" t="s">
        <v>4854</v>
      </c>
      <c r="D810" s="8">
        <v>1411323</v>
      </c>
      <c r="E810" s="8" t="s">
        <v>825</v>
      </c>
      <c r="F810" s="8" t="s">
        <v>5136</v>
      </c>
      <c r="G810" s="8" t="s">
        <v>22</v>
      </c>
      <c r="H810" s="8" t="s">
        <v>3178</v>
      </c>
      <c r="I810" s="642">
        <v>44851</v>
      </c>
      <c r="J810" s="175" t="s">
        <v>2052</v>
      </c>
      <c r="K810" s="97">
        <v>44935</v>
      </c>
      <c r="L810" s="16">
        <f>IF(ISTEXT(Table15[[#This Row],[Engineering Approved Design Date]]),Table15[[#This Row],[Date Completed]]-Table15[[#This Row],[Date Assigned to Designer]],Table15[[#This Row],[Engineering Approved Design Date]]-Table15[[#This Row],[Date Completed]])</f>
        <v>84</v>
      </c>
      <c r="M810" t="s">
        <v>5140</v>
      </c>
      <c r="N810" s="642" t="s">
        <v>120</v>
      </c>
      <c r="O810" s="1060">
        <v>44928</v>
      </c>
      <c r="P810" s="21" t="s">
        <v>120</v>
      </c>
      <c r="Q810" s="1151">
        <f>Table15[[#This Row],[KH Hourly Effort]]</f>
        <v>21980</v>
      </c>
      <c r="R810" s="1026" t="s">
        <v>1922</v>
      </c>
      <c r="S810" s="538"/>
      <c r="T810" s="538"/>
      <c r="U810" s="87">
        <v>21980</v>
      </c>
      <c r="V810" s="857"/>
      <c r="W810" s="440"/>
      <c r="X810" s="538"/>
      <c r="Y810" s="551"/>
      <c r="Z810" s="538"/>
      <c r="AA810" s="552"/>
      <c r="AB810" s="341"/>
      <c r="AC810" s="569" t="s">
        <v>709</v>
      </c>
      <c r="AD810" s="1149" t="s">
        <v>29</v>
      </c>
      <c r="AE810" s="569"/>
      <c r="AF810" s="569"/>
      <c r="AG810" s="569"/>
      <c r="AH810" s="536"/>
      <c r="AI810" s="1028"/>
      <c r="AJ810" s="1029"/>
      <c r="AK810" s="1029"/>
      <c r="AL810" s="1030"/>
      <c r="AM810" s="542" t="s">
        <v>709</v>
      </c>
      <c r="AN810" s="924"/>
      <c r="AO810" s="925"/>
      <c r="AP810" s="926"/>
      <c r="AQ810" s="926"/>
      <c r="AR810" s="926"/>
      <c r="AS810" s="926"/>
      <c r="AT810" s="926"/>
      <c r="AU810" s="926"/>
      <c r="AV810" s="926"/>
      <c r="AW810" s="927"/>
      <c r="AX810" s="926"/>
      <c r="AY810" s="1538" t="s">
        <v>29</v>
      </c>
      <c r="AZ810" s="1530"/>
      <c r="BA810" s="1031">
        <v>2</v>
      </c>
      <c r="BB810" s="644" t="s">
        <v>5141</v>
      </c>
      <c r="BC810" s="544"/>
      <c r="BD810" s="544"/>
      <c r="BE810" s="544"/>
      <c r="BF810" s="544"/>
      <c r="BG810" s="544"/>
      <c r="BH810" s="741" t="s">
        <v>5142</v>
      </c>
      <c r="BI810" s="547" t="s">
        <v>709</v>
      </c>
      <c r="BJ810" s="547" t="s">
        <v>116</v>
      </c>
      <c r="BK810" s="547" t="s">
        <v>709</v>
      </c>
      <c r="BL810" s="547" t="s">
        <v>709</v>
      </c>
      <c r="BM810" s="547" t="s">
        <v>709</v>
      </c>
      <c r="BN810" s="547">
        <v>32168</v>
      </c>
      <c r="BO810" s="547" t="s">
        <v>709</v>
      </c>
      <c r="BP810" s="547" t="s">
        <v>709</v>
      </c>
      <c r="BQ810" s="547">
        <v>41</v>
      </c>
      <c r="BR810" s="547" t="s">
        <v>709</v>
      </c>
      <c r="BS810" s="547">
        <v>99</v>
      </c>
      <c r="BT810" s="547" t="s">
        <v>709</v>
      </c>
      <c r="BU810" s="547" t="s">
        <v>709</v>
      </c>
      <c r="BV810" s="547" t="s">
        <v>709</v>
      </c>
      <c r="BW810" s="547" t="s">
        <v>709</v>
      </c>
      <c r="BX810" s="547">
        <v>1</v>
      </c>
      <c r="BY810" s="547" t="s">
        <v>709</v>
      </c>
      <c r="BZ810" s="547" t="s">
        <v>709</v>
      </c>
      <c r="CA810" s="483"/>
      <c r="CB810" s="547">
        <v>808</v>
      </c>
      <c r="CC810" s="1481" t="b">
        <v>1</v>
      </c>
      <c r="CD810" t="str">
        <f>Table15[[#This Row],[Engineering Number]]&amp;Table15[[#This Row],[WO Number]]&amp;Table15[[#This Row],[Date Assigned to Designer]]&amp;Table15[[#This Row],[Date Completed]]</f>
        <v>BS45014113234485144935</v>
      </c>
    </row>
    <row r="811" spans="1:82" customFormat="1" ht="15" customHeight="1" x14ac:dyDescent="0.25">
      <c r="A811">
        <v>2022</v>
      </c>
      <c r="B811" s="8" t="s">
        <v>771</v>
      </c>
      <c r="C811" s="8" t="s">
        <v>5144</v>
      </c>
      <c r="D811" s="8">
        <v>119965</v>
      </c>
      <c r="E811" s="8" t="s">
        <v>5145</v>
      </c>
      <c r="F811" s="8" t="s">
        <v>4835</v>
      </c>
      <c r="G811" s="8" t="s">
        <v>4770</v>
      </c>
      <c r="H811" s="8" t="s">
        <v>4189</v>
      </c>
      <c r="I811" s="642">
        <v>44873</v>
      </c>
      <c r="J811" s="175" t="s">
        <v>2052</v>
      </c>
      <c r="K811" s="97">
        <v>44935</v>
      </c>
      <c r="L811" s="16">
        <f>IF(ISTEXT(Table15[[#This Row],[Engineering Approved Design Date]]),Table15[[#This Row],[Date Completed]]-Table15[[#This Row],[Date Assigned to Designer]],Table15[[#This Row],[Engineering Approved Design Date]]-Table15[[#This Row],[Date Completed]])</f>
        <v>62</v>
      </c>
      <c r="M811" t="s">
        <v>5137</v>
      </c>
      <c r="N811" s="642" t="s">
        <v>120</v>
      </c>
      <c r="O811" s="1060">
        <v>44928</v>
      </c>
      <c r="P811" s="21" t="s">
        <v>120</v>
      </c>
      <c r="Q811" s="1151">
        <f>Table15[[#This Row],[KH Hourly Effort]]</f>
        <v>21020</v>
      </c>
      <c r="R811" s="1026" t="s">
        <v>1922</v>
      </c>
      <c r="S811" s="538"/>
      <c r="T811" s="538"/>
      <c r="U811" s="87">
        <v>21020</v>
      </c>
      <c r="V811" s="857"/>
      <c r="W811" s="440"/>
      <c r="X811" s="538"/>
      <c r="Y811" s="551"/>
      <c r="Z811" s="538"/>
      <c r="AA811" s="552"/>
      <c r="AB811" s="341"/>
      <c r="AC811" s="569" t="s">
        <v>1177</v>
      </c>
      <c r="AD811" s="1149" t="s">
        <v>29</v>
      </c>
      <c r="AE811" s="569"/>
      <c r="AF811" s="569"/>
      <c r="AG811" s="569"/>
      <c r="AH811" s="536"/>
      <c r="AI811" s="1028"/>
      <c r="AJ811" s="1029"/>
      <c r="AK811" s="1029"/>
      <c r="AL811" s="1030"/>
      <c r="AM811" s="542" t="s">
        <v>709</v>
      </c>
      <c r="AN811" s="924"/>
      <c r="AO811" s="925"/>
      <c r="AP811" s="926"/>
      <c r="AQ811" s="926"/>
      <c r="AR811" s="926"/>
      <c r="AS811" s="926"/>
      <c r="AT811" s="926"/>
      <c r="AU811" s="926"/>
      <c r="AV811" s="926"/>
      <c r="AW811" s="927"/>
      <c r="AX811" s="926"/>
      <c r="AY811" s="1538" t="s">
        <v>29</v>
      </c>
      <c r="AZ811" s="1530"/>
      <c r="BA811" s="1031">
        <v>1</v>
      </c>
      <c r="BB811" s="644" t="s">
        <v>5138</v>
      </c>
      <c r="BC811" s="544"/>
      <c r="BD811" s="544"/>
      <c r="BE811" s="544"/>
      <c r="BF811" s="544"/>
      <c r="BG811" s="544"/>
      <c r="BH811" s="741"/>
      <c r="BI811" s="547" t="s">
        <v>709</v>
      </c>
      <c r="BJ811" s="547" t="s">
        <v>116</v>
      </c>
      <c r="BK811" s="547" t="s">
        <v>709</v>
      </c>
      <c r="BL811" s="547" t="s">
        <v>116</v>
      </c>
      <c r="BM811" s="547" t="s">
        <v>709</v>
      </c>
      <c r="BN811" s="547">
        <v>19808</v>
      </c>
      <c r="BO811" s="547" t="s">
        <v>709</v>
      </c>
      <c r="BP811" s="547" t="s">
        <v>709</v>
      </c>
      <c r="BQ811" s="547" t="s">
        <v>709</v>
      </c>
      <c r="BR811" s="547">
        <v>58</v>
      </c>
      <c r="BS811" s="547">
        <v>317</v>
      </c>
      <c r="BT811" s="547" t="s">
        <v>745</v>
      </c>
      <c r="BU811" s="547" t="s">
        <v>709</v>
      </c>
      <c r="BV811" s="547" t="s">
        <v>745</v>
      </c>
      <c r="BW811" s="547" t="s">
        <v>709</v>
      </c>
      <c r="BX811" s="547">
        <v>2</v>
      </c>
      <c r="BY811" s="547" t="s">
        <v>745</v>
      </c>
      <c r="BZ811" s="547" t="s">
        <v>709</v>
      </c>
      <c r="CA811" s="483"/>
      <c r="CB811" s="547">
        <v>809</v>
      </c>
      <c r="CC811" s="1481" t="b">
        <v>1</v>
      </c>
      <c r="CD811" t="str">
        <f>Table15[[#This Row],[Engineering Number]]&amp;Table15[[#This Row],[WO Number]]&amp;Table15[[#This Row],[Date Assigned to Designer]]&amp;Table15[[#This Row],[Date Completed]]</f>
        <v>MR946 1199654487344935</v>
      </c>
    </row>
    <row r="812" spans="1:82" customFormat="1" ht="15" customHeight="1" x14ac:dyDescent="0.25">
      <c r="A812">
        <v>2023</v>
      </c>
      <c r="B812" s="8" t="s">
        <v>4</v>
      </c>
      <c r="C812" s="8" t="s">
        <v>5150</v>
      </c>
      <c r="D812" s="8" t="s">
        <v>115</v>
      </c>
      <c r="E812" s="8" t="s">
        <v>4198</v>
      </c>
      <c r="F812" s="8" t="s">
        <v>784</v>
      </c>
      <c r="G812" s="8" t="s">
        <v>27</v>
      </c>
      <c r="H812" s="647" t="s">
        <v>1681</v>
      </c>
      <c r="I812" s="642">
        <v>44893</v>
      </c>
      <c r="J812" s="18">
        <v>44988</v>
      </c>
      <c r="K812" s="18">
        <v>44936</v>
      </c>
      <c r="L812" s="16">
        <f>IF(ISTEXT(Table15[[#This Row],[Engineering Approved Design Date]]),Table15[[#This Row],[Date Completed]]-Table15[[#This Row],[Date Assigned to Designer]],Table15[[#This Row],[Engineering Approved Design Date]]-Table15[[#This Row],[Date Completed]])</f>
        <v>52</v>
      </c>
      <c r="M812" s="642"/>
      <c r="N812" s="642" t="s">
        <v>120</v>
      </c>
      <c r="O812" s="1060">
        <f>Table15[[#This Row],[Date Completed]]</f>
        <v>44936</v>
      </c>
      <c r="P812" s="1152" t="s">
        <v>739</v>
      </c>
      <c r="Q812" s="87" t="s">
        <v>115</v>
      </c>
      <c r="R812" s="1026" t="s">
        <v>115</v>
      </c>
      <c r="S812" s="538"/>
      <c r="T812" s="538"/>
      <c r="U812" s="87"/>
      <c r="V812" s="857"/>
      <c r="W812" s="440"/>
      <c r="X812" s="550"/>
      <c r="Y812" s="550"/>
      <c r="Z812" s="550"/>
      <c r="AA812" s="552"/>
      <c r="AB812" s="341" t="s">
        <v>29</v>
      </c>
      <c r="AC812" s="568" t="s">
        <v>709</v>
      </c>
      <c r="AD812" s="1158" t="s">
        <v>29</v>
      </c>
      <c r="AE812" s="581"/>
      <c r="AF812" s="581"/>
      <c r="AG812" s="581"/>
      <c r="AH812" s="583"/>
      <c r="AI812" s="1047"/>
      <c r="AJ812" s="1048"/>
      <c r="AK812" s="1048"/>
      <c r="AL812" s="1049"/>
      <c r="AM812" s="542" t="s">
        <v>709</v>
      </c>
      <c r="AN812" s="924"/>
      <c r="AO812" s="925"/>
      <c r="AP812" s="926"/>
      <c r="AQ812" s="926"/>
      <c r="AR812" s="926"/>
      <c r="AS812" s="926"/>
      <c r="AT812" s="926"/>
      <c r="AU812" s="926"/>
      <c r="AV812" s="926"/>
      <c r="AW812" s="927"/>
      <c r="AX812" s="926"/>
      <c r="AY812" s="1538" t="s">
        <v>29</v>
      </c>
      <c r="AZ812" s="1530"/>
      <c r="BA812" s="1031" t="s">
        <v>5151</v>
      </c>
      <c r="BB812" s="644" t="s">
        <v>5152</v>
      </c>
      <c r="BC812" s="544" t="s">
        <v>115</v>
      </c>
      <c r="BD812" s="544" t="s">
        <v>115</v>
      </c>
      <c r="BE812" s="544" t="s">
        <v>5153</v>
      </c>
      <c r="BF812" s="544" t="s">
        <v>115</v>
      </c>
      <c r="BG812" s="544" t="s">
        <v>115</v>
      </c>
      <c r="BH812" s="741"/>
      <c r="BI812" s="1032"/>
      <c r="BJ812" s="1032"/>
      <c r="BK812" s="1032"/>
      <c r="BL812" s="1032"/>
      <c r="BM812" s="1032"/>
      <c r="BN812" s="1032"/>
      <c r="BO812" s="1032"/>
      <c r="BP812" s="1032"/>
      <c r="BQ812" s="1032"/>
      <c r="BR812" s="1032"/>
      <c r="BS812" s="1032"/>
      <c r="BT812" s="1032"/>
      <c r="BU812" s="1032"/>
      <c r="BV812" s="547"/>
      <c r="BW812" s="1032"/>
      <c r="BX812" s="1032"/>
      <c r="BY812" s="1032"/>
      <c r="BZ812" s="1032"/>
      <c r="CA812" s="485"/>
      <c r="CB812" s="547">
        <v>811</v>
      </c>
      <c r="CC812" s="1481" t="b">
        <v>1</v>
      </c>
      <c r="CD812" t="str">
        <f>Table15[[#This Row],[Engineering Number]]&amp;Table15[[#This Row],[WO Number]]&amp;Table15[[#This Row],[Date Assigned to Designer]]&amp;Table15[[#This Row],[Date Completed]]</f>
        <v>N10863-4489344936</v>
      </c>
    </row>
    <row r="813" spans="1:82" customFormat="1" ht="15" customHeight="1" x14ac:dyDescent="0.25">
      <c r="A813">
        <v>2022</v>
      </c>
      <c r="B813" s="8" t="s">
        <v>771</v>
      </c>
      <c r="C813" s="8" t="s">
        <v>5147</v>
      </c>
      <c r="D813" s="8">
        <v>119975</v>
      </c>
      <c r="E813" s="8" t="s">
        <v>5148</v>
      </c>
      <c r="F813" s="8" t="s">
        <v>4835</v>
      </c>
      <c r="G813" s="8" t="s">
        <v>4770</v>
      </c>
      <c r="H813" s="8" t="s">
        <v>4189</v>
      </c>
      <c r="I813" s="642">
        <v>44873</v>
      </c>
      <c r="J813" s="175" t="s">
        <v>2052</v>
      </c>
      <c r="K813" s="97">
        <v>44936</v>
      </c>
      <c r="L813" s="16">
        <f>IF(ISTEXT(Table15[[#This Row],[Engineering Approved Design Date]]),Table15[[#This Row],[Date Completed]]-Table15[[#This Row],[Date Assigned to Designer]],Table15[[#This Row],[Engineering Approved Design Date]]-Table15[[#This Row],[Date Completed]])</f>
        <v>63</v>
      </c>
      <c r="M813" t="s">
        <v>5137</v>
      </c>
      <c r="N813" s="642" t="s">
        <v>120</v>
      </c>
      <c r="O813" s="1060">
        <f>Table15[[#This Row],[Date Completed]]</f>
        <v>44936</v>
      </c>
      <c r="P813" s="21" t="s">
        <v>120</v>
      </c>
      <c r="Q813" s="1151">
        <f>Table15[[#This Row],[KH Hourly Effort]]</f>
        <v>13967.5</v>
      </c>
      <c r="R813" s="1026" t="s">
        <v>1922</v>
      </c>
      <c r="S813" s="538"/>
      <c r="T813" s="538"/>
      <c r="U813" s="87">
        <v>13967.5</v>
      </c>
      <c r="V813" s="857"/>
      <c r="W813" s="440"/>
      <c r="X813" s="538"/>
      <c r="Y813" s="551"/>
      <c r="Z813" s="538"/>
      <c r="AA813" s="552"/>
      <c r="AB813" s="341"/>
      <c r="AC813" s="569" t="s">
        <v>1177</v>
      </c>
      <c r="AD813" s="1149" t="s">
        <v>29</v>
      </c>
      <c r="AE813" s="569"/>
      <c r="AF813" s="569"/>
      <c r="AG813" s="569"/>
      <c r="AH813" s="536"/>
      <c r="AI813" s="1028"/>
      <c r="AJ813" s="1029"/>
      <c r="AK813" s="1029"/>
      <c r="AL813" s="1030"/>
      <c r="AM813" s="542" t="s">
        <v>709</v>
      </c>
      <c r="AN813" s="924"/>
      <c r="AO813" s="925"/>
      <c r="AP813" s="926"/>
      <c r="AQ813" s="926"/>
      <c r="AR813" s="926"/>
      <c r="AS813" s="926"/>
      <c r="AT813" s="926"/>
      <c r="AU813" s="926"/>
      <c r="AV813" s="926"/>
      <c r="AW813" s="927"/>
      <c r="AX813" s="926"/>
      <c r="AY813" s="1538" t="s">
        <v>29</v>
      </c>
      <c r="AZ813" s="1530"/>
      <c r="BA813" s="1031">
        <v>1</v>
      </c>
      <c r="BB813" s="644" t="s">
        <v>5138</v>
      </c>
      <c r="BC813" s="544"/>
      <c r="BD813" s="544"/>
      <c r="BE813" s="544"/>
      <c r="BF813" s="544"/>
      <c r="BG813" s="544"/>
      <c r="BH813" s="741"/>
      <c r="BI813" s="547" t="s">
        <v>709</v>
      </c>
      <c r="BJ813" s="547" t="s">
        <v>116</v>
      </c>
      <c r="BK813" s="547" t="s">
        <v>709</v>
      </c>
      <c r="BL813" s="547" t="s">
        <v>709</v>
      </c>
      <c r="BM813" s="547" t="s">
        <v>709</v>
      </c>
      <c r="BN813" s="547">
        <v>10581</v>
      </c>
      <c r="BO813" s="547" t="s">
        <v>709</v>
      </c>
      <c r="BP813" s="547" t="s">
        <v>709</v>
      </c>
      <c r="BQ813" s="547" t="s">
        <v>709</v>
      </c>
      <c r="BR813" s="547" t="s">
        <v>709</v>
      </c>
      <c r="BS813" s="547">
        <v>43</v>
      </c>
      <c r="BT813" s="547" t="s">
        <v>709</v>
      </c>
      <c r="BU813" s="547" t="s">
        <v>709</v>
      </c>
      <c r="BV813" s="547" t="s">
        <v>745</v>
      </c>
      <c r="BW813" s="547" t="s">
        <v>709</v>
      </c>
      <c r="BX813" s="547">
        <v>1</v>
      </c>
      <c r="BY813" s="547" t="s">
        <v>745</v>
      </c>
      <c r="BZ813" s="547" t="s">
        <v>709</v>
      </c>
      <c r="CA813" s="483"/>
      <c r="CB813" s="547">
        <v>810</v>
      </c>
      <c r="CC813" s="1481" t="b">
        <v>1</v>
      </c>
      <c r="CD813" t="str">
        <f>Table15[[#This Row],[Engineering Number]]&amp;Table15[[#This Row],[WO Number]]&amp;Table15[[#This Row],[Date Assigned to Designer]]&amp;Table15[[#This Row],[Date Completed]]</f>
        <v>MR946A1199754487344936</v>
      </c>
    </row>
    <row r="814" spans="1:82" customFormat="1" ht="15" customHeight="1" x14ac:dyDescent="0.25">
      <c r="A814">
        <v>2023</v>
      </c>
      <c r="B814" s="8" t="s">
        <v>771</v>
      </c>
      <c r="C814" s="8" t="s">
        <v>5173</v>
      </c>
      <c r="D814" s="8" t="s">
        <v>5174</v>
      </c>
      <c r="E814" s="8" t="s">
        <v>818</v>
      </c>
      <c r="F814" s="8" t="s">
        <v>747</v>
      </c>
      <c r="G814" s="8" t="s">
        <v>23</v>
      </c>
      <c r="H814" s="8" t="s">
        <v>59</v>
      </c>
      <c r="I814" s="642">
        <v>44862</v>
      </c>
      <c r="J814" s="18">
        <v>44953</v>
      </c>
      <c r="K814" s="97">
        <v>44937</v>
      </c>
      <c r="L814" s="16">
        <f>IF(ISTEXT(Table15[[#This Row],[Engineering Approved Design Date]]),Table15[[#This Row],[Date Completed]]-Table15[[#This Row],[Date Assigned to Designer]],Table15[[#This Row],[Engineering Approved Design Date]]-Table15[[#This Row],[Date Completed]])</f>
        <v>16</v>
      </c>
      <c r="M814" s="642"/>
      <c r="N814" s="642" t="s">
        <v>120</v>
      </c>
      <c r="O814" s="1060">
        <f>Table15[[#This Row],[Date Completed]]</f>
        <v>44937</v>
      </c>
      <c r="P814" s="1152" t="s">
        <v>120</v>
      </c>
      <c r="Q814" s="1061">
        <f>R814*AA814</f>
        <v>23373.409499999998</v>
      </c>
      <c r="R814" s="1026">
        <v>0.09</v>
      </c>
      <c r="S814" s="538"/>
      <c r="T814" s="538"/>
      <c r="U814" s="87"/>
      <c r="V814" s="858">
        <v>916</v>
      </c>
      <c r="W814" s="437"/>
      <c r="X814" s="552">
        <v>237516.31</v>
      </c>
      <c r="Y814" s="551"/>
      <c r="Z814" s="552">
        <v>22188.240000000002</v>
      </c>
      <c r="AA814" s="552">
        <f>Table15[[#This Row],[PCTS Investment Amount]]+Table15[[#This Row],[PCTS Retirement Amount]]</f>
        <v>259704.55</v>
      </c>
      <c r="AB814" s="341">
        <v>44938</v>
      </c>
      <c r="AC814" s="568" t="s">
        <v>709</v>
      </c>
      <c r="AD814" s="1157" t="s">
        <v>29</v>
      </c>
      <c r="AE814" s="568"/>
      <c r="AF814" s="568"/>
      <c r="AG814" s="568"/>
      <c r="AH814" s="183"/>
      <c r="AI814" s="1036"/>
      <c r="AJ814" s="1037"/>
      <c r="AK814" s="1037"/>
      <c r="AL814" s="1038"/>
      <c r="AM814" s="1522" t="s">
        <v>116</v>
      </c>
      <c r="AN814" s="1523">
        <v>44959</v>
      </c>
      <c r="AO814" s="1524">
        <v>11053214</v>
      </c>
      <c r="AP814" s="1525">
        <v>212401.73</v>
      </c>
      <c r="AQ814" s="1525"/>
      <c r="AR814" s="1525">
        <v>22188.240000000002</v>
      </c>
      <c r="AS814" s="1525">
        <f>IF(Table15[[#This Row],[PCTS Approved]]="N",0,Table15[[#This Row],[Investment Amount (1'#'#'#'#'#)]]+Table15[[#This Row],[Retirement Amount (3'#'#'#'#'#)]])</f>
        <v>234589.97</v>
      </c>
      <c r="AT814" s="1525">
        <f>IF(Table15[[#This Row],[Approved Construction Cost]]=0,0,Table15[[#This Row],[Approved Construction Cost]]-Table15[[#This Row],[Construction Cost to Bill From]])</f>
        <v>-25114.579999999987</v>
      </c>
      <c r="AU814" s="1525">
        <f>IFERROR(Table15[[#This Row],[Difference in Construction Cost]]*Table15[[#This Row],[Rate]],Table15[[#This Row],[Difference in Construction Cost]]*0.085)</f>
        <v>-2260.3121999999989</v>
      </c>
      <c r="AV814" s="1525">
        <v>2870</v>
      </c>
      <c r="AW814" s="1526" t="s">
        <v>5175</v>
      </c>
      <c r="AX814" s="1525">
        <v>0</v>
      </c>
      <c r="AY814" s="1518">
        <v>45200</v>
      </c>
      <c r="AZ814" s="333"/>
      <c r="BA814" s="859" t="s">
        <v>5176</v>
      </c>
      <c r="BB814" s="644" t="s">
        <v>5177</v>
      </c>
      <c r="BC814" s="544" t="s">
        <v>116</v>
      </c>
      <c r="BD814" s="544" t="s">
        <v>709</v>
      </c>
      <c r="BE814" s="544" t="s">
        <v>822</v>
      </c>
      <c r="BF814" s="544" t="s">
        <v>115</v>
      </c>
      <c r="BG814" s="544" t="s">
        <v>115</v>
      </c>
      <c r="BH814" s="741"/>
      <c r="BI814" s="547" t="s">
        <v>709</v>
      </c>
      <c r="BJ814" s="547" t="s">
        <v>709</v>
      </c>
      <c r="BK814" s="547" t="s">
        <v>709</v>
      </c>
      <c r="BL814" s="547" t="s">
        <v>116</v>
      </c>
      <c r="BM814" s="547" t="s">
        <v>709</v>
      </c>
      <c r="BN814" s="547" t="s">
        <v>709</v>
      </c>
      <c r="BO814" s="547" t="s">
        <v>709</v>
      </c>
      <c r="BP814" s="547" t="s">
        <v>709</v>
      </c>
      <c r="BQ814" s="547" t="s">
        <v>709</v>
      </c>
      <c r="BR814" s="547">
        <v>394</v>
      </c>
      <c r="BS814" s="547">
        <v>522</v>
      </c>
      <c r="BT814" s="547" t="s">
        <v>745</v>
      </c>
      <c r="BU814" s="547" t="s">
        <v>709</v>
      </c>
      <c r="BV814" s="547" t="s">
        <v>745</v>
      </c>
      <c r="BW814" s="547" t="s">
        <v>709</v>
      </c>
      <c r="BX814" s="547" t="s">
        <v>745</v>
      </c>
      <c r="BY814" s="547" t="s">
        <v>745</v>
      </c>
      <c r="BZ814" s="547" t="s">
        <v>709</v>
      </c>
      <c r="CA814" s="483"/>
      <c r="CB814" s="547">
        <v>816</v>
      </c>
      <c r="CC814" s="1481" t="b">
        <v>1</v>
      </c>
      <c r="CD814" t="str">
        <f>Table15[[#This Row],[Engineering Number]]&amp;Table15[[#This Row],[WO Number]]&amp;Table15[[#This Row],[Date Assigned to Designer]]&amp;Table15[[#This Row],[Date Completed]]</f>
        <v>BS20913120094486244937</v>
      </c>
    </row>
    <row r="815" spans="1:82" customFormat="1" ht="15" customHeight="1" x14ac:dyDescent="0.25">
      <c r="A815">
        <v>2023</v>
      </c>
      <c r="B815" s="8" t="s">
        <v>4</v>
      </c>
      <c r="C815" s="8" t="s">
        <v>5167</v>
      </c>
      <c r="D815" s="8" t="s">
        <v>115</v>
      </c>
      <c r="E815" s="8" t="s">
        <v>5168</v>
      </c>
      <c r="F815" s="8" t="s">
        <v>784</v>
      </c>
      <c r="G815" s="8" t="s">
        <v>27</v>
      </c>
      <c r="H815" s="647" t="s">
        <v>1681</v>
      </c>
      <c r="I815" s="642">
        <v>44893</v>
      </c>
      <c r="J815" s="18">
        <v>44988</v>
      </c>
      <c r="K815" s="18">
        <v>44937</v>
      </c>
      <c r="L815" s="16">
        <f>IF(ISTEXT(Table15[[#This Row],[Engineering Approved Design Date]]),Table15[[#This Row],[Date Completed]]-Table15[[#This Row],[Date Assigned to Designer]],Table15[[#This Row],[Engineering Approved Design Date]]-Table15[[#This Row],[Date Completed]])</f>
        <v>51</v>
      </c>
      <c r="M815" s="642"/>
      <c r="N815" s="642" t="s">
        <v>120</v>
      </c>
      <c r="O815" s="1060">
        <f>Table15[[#This Row],[Date Completed]]</f>
        <v>44937</v>
      </c>
      <c r="P815" s="1152" t="s">
        <v>739</v>
      </c>
      <c r="Q815" s="87" t="s">
        <v>115</v>
      </c>
      <c r="R815" s="1026" t="s">
        <v>115</v>
      </c>
      <c r="S815" s="538"/>
      <c r="T815" s="538"/>
      <c r="U815" s="87"/>
      <c r="V815" s="857"/>
      <c r="W815" s="440"/>
      <c r="X815" s="550"/>
      <c r="Y815" s="550"/>
      <c r="Z815" s="550"/>
      <c r="AA815" s="552"/>
      <c r="AB815" s="341" t="s">
        <v>29</v>
      </c>
      <c r="AC815" s="568" t="s">
        <v>709</v>
      </c>
      <c r="AD815" s="1158" t="s">
        <v>29</v>
      </c>
      <c r="AE815" s="581"/>
      <c r="AF815" s="581"/>
      <c r="AG815" s="581"/>
      <c r="AH815" s="583"/>
      <c r="AI815" s="1047"/>
      <c r="AJ815" s="1048"/>
      <c r="AK815" s="1048"/>
      <c r="AL815" s="1049"/>
      <c r="AM815" s="542" t="s">
        <v>709</v>
      </c>
      <c r="AN815" s="924"/>
      <c r="AO815" s="925"/>
      <c r="AP815" s="926"/>
      <c r="AQ815" s="926"/>
      <c r="AR815" s="926"/>
      <c r="AS815" s="926"/>
      <c r="AT815" s="926"/>
      <c r="AU815" s="926"/>
      <c r="AV815" s="926"/>
      <c r="AW815" s="927"/>
      <c r="AX815" s="926"/>
      <c r="AY815" s="1538" t="s">
        <v>29</v>
      </c>
      <c r="AZ815" s="1530"/>
      <c r="BA815" s="1031" t="s">
        <v>5169</v>
      </c>
      <c r="BB815" s="644" t="s">
        <v>5170</v>
      </c>
      <c r="BC815" s="544" t="s">
        <v>376</v>
      </c>
      <c r="BD815" s="544" t="s">
        <v>115</v>
      </c>
      <c r="BE815" s="544" t="s">
        <v>5171</v>
      </c>
      <c r="BF815" s="544" t="s">
        <v>115</v>
      </c>
      <c r="BG815" s="544" t="s">
        <v>115</v>
      </c>
      <c r="BH815" s="741"/>
      <c r="BI815" s="1032"/>
      <c r="BJ815" s="1032"/>
      <c r="BK815" s="1032"/>
      <c r="BL815" s="1032"/>
      <c r="BM815" s="1032"/>
      <c r="BN815" s="1032"/>
      <c r="BO815" s="1032"/>
      <c r="BP815" s="1032"/>
      <c r="BQ815" s="1032"/>
      <c r="BR815" s="1032"/>
      <c r="BS815" s="1032"/>
      <c r="BT815" s="1032"/>
      <c r="BU815" s="1032"/>
      <c r="BV815" s="547"/>
      <c r="BW815" s="1032"/>
      <c r="BX815" s="1032"/>
      <c r="BY815" s="1032"/>
      <c r="BZ815" s="1032"/>
      <c r="CA815" s="485"/>
      <c r="CB815" s="547">
        <v>813</v>
      </c>
      <c r="CC815" s="1481" t="b">
        <v>1</v>
      </c>
      <c r="CD815" t="str">
        <f>Table15[[#This Row],[Engineering Number]]&amp;Table15[[#This Row],[WO Number]]&amp;Table15[[#This Row],[Date Assigned to Designer]]&amp;Table15[[#This Row],[Date Completed]]</f>
        <v>N16298-4489344937</v>
      </c>
    </row>
    <row r="816" spans="1:82" customFormat="1" ht="15" customHeight="1" x14ac:dyDescent="0.25">
      <c r="A816">
        <v>2023</v>
      </c>
      <c r="B816" s="8" t="s">
        <v>4</v>
      </c>
      <c r="C816" s="8" t="s">
        <v>5179</v>
      </c>
      <c r="D816" s="8" t="s">
        <v>5180</v>
      </c>
      <c r="E816" s="8" t="s">
        <v>1522</v>
      </c>
      <c r="F816" s="8" t="s">
        <v>747</v>
      </c>
      <c r="G816" s="8" t="s">
        <v>25</v>
      </c>
      <c r="H816" s="8" t="s">
        <v>59</v>
      </c>
      <c r="I816" s="642">
        <v>44784</v>
      </c>
      <c r="J816" s="18">
        <v>44942</v>
      </c>
      <c r="K816" s="97">
        <v>44937</v>
      </c>
      <c r="L816" s="16">
        <f>IF(ISTEXT(Table15[[#This Row],[Engineering Approved Design Date]]),Table15[[#This Row],[Date Completed]]-Table15[[#This Row],[Date Assigned to Designer]],Table15[[#This Row],[Engineering Approved Design Date]]-Table15[[#This Row],[Date Completed]])</f>
        <v>5</v>
      </c>
      <c r="M816" s="642"/>
      <c r="N816" s="642" t="s">
        <v>120</v>
      </c>
      <c r="O816" s="1060">
        <f>Table15[[#This Row],[Date Completed]]</f>
        <v>44937</v>
      </c>
      <c r="P816" s="1152" t="s">
        <v>739</v>
      </c>
      <c r="Q816" s="1061">
        <f>R816*AA816</f>
        <v>25321.765000000003</v>
      </c>
      <c r="R816" s="1026">
        <v>0.1</v>
      </c>
      <c r="S816" s="538"/>
      <c r="T816" s="538"/>
      <c r="U816" s="87"/>
      <c r="V816" s="858">
        <v>646</v>
      </c>
      <c r="W816" s="437"/>
      <c r="X816" s="552">
        <v>240743.23</v>
      </c>
      <c r="Y816" s="551"/>
      <c r="Z816" s="552">
        <v>12474.42</v>
      </c>
      <c r="AA816" s="552">
        <f>Table15[[#This Row],[PCTS Investment Amount]]+Table15[[#This Row],[PCTS Retirement Amount]]</f>
        <v>253217.65000000002</v>
      </c>
      <c r="AB816" s="341">
        <v>44944</v>
      </c>
      <c r="AC816" s="568" t="s">
        <v>709</v>
      </c>
      <c r="AD816" s="1157" t="s">
        <v>29</v>
      </c>
      <c r="AE816" s="579" t="s">
        <v>29</v>
      </c>
      <c r="AF816" s="579" t="s">
        <v>29</v>
      </c>
      <c r="AG816" s="579" t="s">
        <v>29</v>
      </c>
      <c r="AH816" s="553" t="s">
        <v>29</v>
      </c>
      <c r="AI816" s="1036"/>
      <c r="AJ816" s="1037"/>
      <c r="AK816" s="1037"/>
      <c r="AL816" s="1038"/>
      <c r="AM816" s="1522" t="s">
        <v>116</v>
      </c>
      <c r="AN816" s="1523">
        <v>45082</v>
      </c>
      <c r="AO816" s="1524">
        <v>11050941</v>
      </c>
      <c r="AP816" s="1525">
        <v>244230.16</v>
      </c>
      <c r="AQ816" s="1525"/>
      <c r="AR816" s="1525">
        <v>13165.88</v>
      </c>
      <c r="AS816" s="1525">
        <f>IF(Table15[[#This Row],[PCTS Approved]]="N",0,Table15[[#This Row],[Investment Amount (1'#'#'#'#'#)]]+Table15[[#This Row],[Retirement Amount (3'#'#'#'#'#)]])</f>
        <v>257396.04</v>
      </c>
      <c r="AT816" s="1525">
        <f>IF(Table15[[#This Row],[Approved Construction Cost]]=0,0,Table15[[#This Row],[Approved Construction Cost]]-Table15[[#This Row],[Construction Cost to Bill From]])</f>
        <v>4178.3899999999849</v>
      </c>
      <c r="AU816" s="1525">
        <f>IFERROR(Table15[[#This Row],[Difference in Construction Cost]]*Table15[[#This Row],[Rate]],Table15[[#This Row],[Difference in Construction Cost]]*0.085)</f>
        <v>417.83899999999852</v>
      </c>
      <c r="AV816" s="1525" t="s">
        <v>709</v>
      </c>
      <c r="AW816" s="1526"/>
      <c r="AX816" s="1525">
        <v>417.83899999999852</v>
      </c>
      <c r="AY816" s="1518">
        <v>45200</v>
      </c>
      <c r="AZ816" s="333"/>
      <c r="BA816" s="859" t="s">
        <v>5181</v>
      </c>
      <c r="BB816" s="644" t="s">
        <v>5182</v>
      </c>
      <c r="BC816" s="544" t="s">
        <v>116</v>
      </c>
      <c r="BD816" s="544" t="s">
        <v>3836</v>
      </c>
      <c r="BE816" s="544" t="s">
        <v>526</v>
      </c>
      <c r="BF816" s="544" t="s">
        <v>526</v>
      </c>
      <c r="BG816" s="544" t="s">
        <v>115</v>
      </c>
      <c r="BH816" s="741"/>
      <c r="BI816" s="547" t="s">
        <v>709</v>
      </c>
      <c r="BJ816" s="547" t="s">
        <v>709</v>
      </c>
      <c r="BK816" s="547" t="s">
        <v>709</v>
      </c>
      <c r="BL816" s="547" t="s">
        <v>116</v>
      </c>
      <c r="BM816" s="547" t="s">
        <v>709</v>
      </c>
      <c r="BN816" s="547" t="s">
        <v>709</v>
      </c>
      <c r="BO816" s="547" t="s">
        <v>709</v>
      </c>
      <c r="BP816" s="547" t="s">
        <v>709</v>
      </c>
      <c r="BQ816" s="547" t="s">
        <v>709</v>
      </c>
      <c r="BR816" s="547">
        <v>646</v>
      </c>
      <c r="BS816" s="547" t="s">
        <v>709</v>
      </c>
      <c r="BT816" s="547" t="s">
        <v>745</v>
      </c>
      <c r="BU816" s="547" t="s">
        <v>709</v>
      </c>
      <c r="BV816" s="547" t="s">
        <v>745</v>
      </c>
      <c r="BW816" s="547" t="s">
        <v>709</v>
      </c>
      <c r="BX816" s="547" t="s">
        <v>745</v>
      </c>
      <c r="BY816" s="547" t="s">
        <v>745</v>
      </c>
      <c r="BZ816" s="547" t="s">
        <v>709</v>
      </c>
      <c r="CA816" s="483"/>
      <c r="CB816" s="547">
        <v>817</v>
      </c>
      <c r="CC816" s="1481" t="b">
        <v>1</v>
      </c>
      <c r="CD816" t="str">
        <f>Table15[[#This Row],[Engineering Number]]&amp;Table15[[#This Row],[WO Number]]&amp;Table15[[#This Row],[Date Assigned to Designer]]&amp;Table15[[#This Row],[Date Completed]]</f>
        <v>SC2146013118454478444937</v>
      </c>
    </row>
    <row r="817" spans="1:82" customFormat="1" ht="15" customHeight="1" x14ac:dyDescent="0.25">
      <c r="A817">
        <v>2023</v>
      </c>
      <c r="B817" s="8" t="s">
        <v>4</v>
      </c>
      <c r="C817" s="8" t="s">
        <v>5184</v>
      </c>
      <c r="D817" s="8" t="s">
        <v>5185</v>
      </c>
      <c r="E817" s="8" t="s">
        <v>1522</v>
      </c>
      <c r="F817" s="8" t="s">
        <v>747</v>
      </c>
      <c r="G817" s="8" t="s">
        <v>25</v>
      </c>
      <c r="H817" s="8" t="s">
        <v>59</v>
      </c>
      <c r="I817" s="642">
        <v>44784</v>
      </c>
      <c r="J817" s="18">
        <v>44942</v>
      </c>
      <c r="K817" s="97">
        <v>44937</v>
      </c>
      <c r="L817" s="16">
        <f>IF(ISTEXT(Table15[[#This Row],[Engineering Approved Design Date]]),Table15[[#This Row],[Date Completed]]-Table15[[#This Row],[Date Assigned to Designer]],Table15[[#This Row],[Engineering Approved Design Date]]-Table15[[#This Row],[Date Completed]])</f>
        <v>5</v>
      </c>
      <c r="M817" s="642"/>
      <c r="N817" s="642" t="s">
        <v>120</v>
      </c>
      <c r="O817" s="1060">
        <f>Table15[[#This Row],[Date Completed]]</f>
        <v>44937</v>
      </c>
      <c r="P817" s="1152" t="s">
        <v>739</v>
      </c>
      <c r="Q817" s="1061">
        <f>R817*AA817</f>
        <v>20016.609</v>
      </c>
      <c r="R817" s="1026">
        <v>0.1</v>
      </c>
      <c r="S817" s="538"/>
      <c r="T817" s="538"/>
      <c r="U817" s="87"/>
      <c r="V817" s="858">
        <v>726</v>
      </c>
      <c r="W817" s="437"/>
      <c r="X817" s="552">
        <v>157087.71</v>
      </c>
      <c r="Y817" s="551"/>
      <c r="Z817" s="552">
        <v>43078.38</v>
      </c>
      <c r="AA817" s="552">
        <f>Table15[[#This Row],[PCTS Investment Amount]]+Table15[[#This Row],[PCTS Retirement Amount]]</f>
        <v>200166.09</v>
      </c>
      <c r="AB817" s="341">
        <v>44944</v>
      </c>
      <c r="AC817" s="568" t="s">
        <v>709</v>
      </c>
      <c r="AD817" s="1157" t="s">
        <v>29</v>
      </c>
      <c r="AE817" s="579" t="s">
        <v>29</v>
      </c>
      <c r="AF817" s="579" t="s">
        <v>29</v>
      </c>
      <c r="AG817" s="579" t="s">
        <v>29</v>
      </c>
      <c r="AH817" s="553" t="s">
        <v>29</v>
      </c>
      <c r="AI817" s="1036"/>
      <c r="AJ817" s="1037"/>
      <c r="AK817" s="1037"/>
      <c r="AL817" s="1038"/>
      <c r="AM817" s="1522" t="s">
        <v>116</v>
      </c>
      <c r="AN817" s="1523">
        <v>45091</v>
      </c>
      <c r="AO817" s="1524">
        <v>11060385</v>
      </c>
      <c r="AP817" s="1525">
        <v>161683.04</v>
      </c>
      <c r="AQ817" s="1525"/>
      <c r="AR817" s="1525">
        <v>44619.61</v>
      </c>
      <c r="AS817" s="1525">
        <f>IF(Table15[[#This Row],[PCTS Approved]]="N",0,Table15[[#This Row],[Investment Amount (1'#'#'#'#'#)]]+Table15[[#This Row],[Retirement Amount (3'#'#'#'#'#)]])</f>
        <v>206302.65000000002</v>
      </c>
      <c r="AT817" s="1525">
        <f>IF(Table15[[#This Row],[Approved Construction Cost]]=0,0,Table15[[#This Row],[Approved Construction Cost]]-Table15[[#This Row],[Construction Cost to Bill From]])</f>
        <v>6136.5600000000268</v>
      </c>
      <c r="AU817" s="1525">
        <f>IFERROR(Table15[[#This Row],[Difference in Construction Cost]]*Table15[[#This Row],[Rate]],Table15[[#This Row],[Difference in Construction Cost]]*0.085)</f>
        <v>613.65600000000268</v>
      </c>
      <c r="AV817" s="1525" t="s">
        <v>709</v>
      </c>
      <c r="AW817" s="1526"/>
      <c r="AX817" s="1525">
        <v>613.65600000000268</v>
      </c>
      <c r="AY817" s="1518">
        <v>45200</v>
      </c>
      <c r="AZ817" s="333"/>
      <c r="BA817" s="859" t="s">
        <v>5181</v>
      </c>
      <c r="BB817" s="644" t="s">
        <v>5182</v>
      </c>
      <c r="BC817" s="544" t="s">
        <v>116</v>
      </c>
      <c r="BD817" s="544" t="s">
        <v>3836</v>
      </c>
      <c r="BE817" s="544" t="s">
        <v>526</v>
      </c>
      <c r="BF817" s="544" t="s">
        <v>526</v>
      </c>
      <c r="BG817" s="544" t="s">
        <v>115</v>
      </c>
      <c r="BH817" s="741"/>
      <c r="BI817" s="547" t="s">
        <v>709</v>
      </c>
      <c r="BJ817" s="547" t="s">
        <v>709</v>
      </c>
      <c r="BK817" s="547" t="s">
        <v>709</v>
      </c>
      <c r="BL817" s="547" t="s">
        <v>116</v>
      </c>
      <c r="BM817" s="547" t="s">
        <v>709</v>
      </c>
      <c r="BN817" s="547" t="s">
        <v>709</v>
      </c>
      <c r="BO817" s="547" t="s">
        <v>709</v>
      </c>
      <c r="BP817" s="547" t="s">
        <v>709</v>
      </c>
      <c r="BQ817" s="547" t="s">
        <v>709</v>
      </c>
      <c r="BR817" s="547">
        <v>646</v>
      </c>
      <c r="BS817" s="547" t="s">
        <v>709</v>
      </c>
      <c r="BT817" s="547" t="s">
        <v>745</v>
      </c>
      <c r="BU817" s="547" t="s">
        <v>709</v>
      </c>
      <c r="BV817" s="547" t="s">
        <v>745</v>
      </c>
      <c r="BW817" s="547" t="s">
        <v>709</v>
      </c>
      <c r="BX817" s="547" t="s">
        <v>745</v>
      </c>
      <c r="BY817" s="547" t="s">
        <v>745</v>
      </c>
      <c r="BZ817" s="547" t="s">
        <v>709</v>
      </c>
      <c r="CA817" s="483"/>
      <c r="CB817" s="547">
        <v>818</v>
      </c>
      <c r="CC817" s="1481" t="b">
        <v>1</v>
      </c>
      <c r="CD817" t="str">
        <f>Table15[[#This Row],[Engineering Number]]&amp;Table15[[#This Row],[WO Number]]&amp;Table15[[#This Row],[Date Assigned to Designer]]&amp;Table15[[#This Row],[Date Completed]]</f>
        <v>SC21460-113121364478444937</v>
      </c>
    </row>
    <row r="818" spans="1:82" customFormat="1" ht="15" customHeight="1" x14ac:dyDescent="0.25">
      <c r="A818">
        <v>2022</v>
      </c>
      <c r="B818" s="8" t="s">
        <v>1205</v>
      </c>
      <c r="C818" s="8" t="s">
        <v>4976</v>
      </c>
      <c r="D818" s="8" t="s">
        <v>4977</v>
      </c>
      <c r="E818" s="8" t="s">
        <v>2000</v>
      </c>
      <c r="F818" s="8" t="s">
        <v>784</v>
      </c>
      <c r="G818" s="8" t="s">
        <v>22</v>
      </c>
      <c r="H818" s="8" t="s">
        <v>4189</v>
      </c>
      <c r="I818" s="642">
        <v>44930</v>
      </c>
      <c r="J818" s="175" t="s">
        <v>2052</v>
      </c>
      <c r="K818" s="97">
        <v>44937</v>
      </c>
      <c r="L818" s="16">
        <f>IF(ISTEXT(Table15[[#This Row],[Engineering Approved Design Date]]),Table15[[#This Row],[Date Completed]]-Table15[[#This Row],[Date Assigned to Designer]],Table15[[#This Row],[Engineering Approved Design Date]]-Table15[[#This Row],[Date Completed]])</f>
        <v>7</v>
      </c>
      <c r="M818" t="s">
        <v>4704</v>
      </c>
      <c r="N818" s="642" t="s">
        <v>120</v>
      </c>
      <c r="O818" s="1060">
        <f>Table15[[#This Row],[Date Completed]]</f>
        <v>44937</v>
      </c>
      <c r="P818" s="21" t="s">
        <v>739</v>
      </c>
      <c r="Q818" s="1151">
        <f>Table15[[#This Row],[KH Hourly Effort]]</f>
        <v>3780</v>
      </c>
      <c r="R818" s="1026" t="s">
        <v>1922</v>
      </c>
      <c r="S818" s="538"/>
      <c r="T818" s="538"/>
      <c r="U818" s="87">
        <v>3780</v>
      </c>
      <c r="V818" s="857"/>
      <c r="W818" s="440"/>
      <c r="X818" s="538"/>
      <c r="Y818" s="551"/>
      <c r="Z818" s="538"/>
      <c r="AA818" s="552"/>
      <c r="AB818" s="341"/>
      <c r="AC818" s="569" t="s">
        <v>709</v>
      </c>
      <c r="AD818" s="1149" t="s">
        <v>29</v>
      </c>
      <c r="AE818" s="569"/>
      <c r="AF818" s="569"/>
      <c r="AG818" s="569"/>
      <c r="AH818" s="536"/>
      <c r="AI818" s="1028"/>
      <c r="AJ818" s="1029"/>
      <c r="AK818" s="1029"/>
      <c r="AL818" s="1030"/>
      <c r="AM818" s="542" t="s">
        <v>709</v>
      </c>
      <c r="AN818" s="924"/>
      <c r="AO818" s="925"/>
      <c r="AP818" s="926"/>
      <c r="AQ818" s="926"/>
      <c r="AR818" s="926"/>
      <c r="AS818" s="926"/>
      <c r="AT818" s="926"/>
      <c r="AU818" s="926"/>
      <c r="AV818" s="926"/>
      <c r="AW818" s="927"/>
      <c r="AX818" s="926"/>
      <c r="AY818" s="1538" t="s">
        <v>29</v>
      </c>
      <c r="AZ818" s="1532"/>
      <c r="BA818" s="1031">
        <v>9</v>
      </c>
      <c r="BB818" s="644"/>
      <c r="BC818" s="544"/>
      <c r="BD818" s="544"/>
      <c r="BE818" s="544"/>
      <c r="BF818" s="544"/>
      <c r="BG818" s="544"/>
      <c r="BH818" s="741"/>
      <c r="BI818" s="547" t="s">
        <v>709</v>
      </c>
      <c r="BJ818" s="547" t="s">
        <v>709</v>
      </c>
      <c r="BK818" s="547" t="s">
        <v>709</v>
      </c>
      <c r="BL818" s="547" t="s">
        <v>116</v>
      </c>
      <c r="BM818" s="547" t="s">
        <v>709</v>
      </c>
      <c r="BN818" s="547" t="s">
        <v>709</v>
      </c>
      <c r="BO818" s="547" t="s">
        <v>709</v>
      </c>
      <c r="BP818" s="547" t="s">
        <v>709</v>
      </c>
      <c r="BQ818" s="547" t="s">
        <v>709</v>
      </c>
      <c r="BR818" s="547" t="s">
        <v>709</v>
      </c>
      <c r="BS818" s="547">
        <v>605</v>
      </c>
      <c r="BT818" s="547" t="s">
        <v>745</v>
      </c>
      <c r="BU818" s="547" t="s">
        <v>709</v>
      </c>
      <c r="BV818" s="547" t="s">
        <v>745</v>
      </c>
      <c r="BW818" s="547" t="s">
        <v>709</v>
      </c>
      <c r="BX818" s="547" t="s">
        <v>745</v>
      </c>
      <c r="BY818" s="547" t="s">
        <v>745</v>
      </c>
      <c r="BZ818" s="547" t="s">
        <v>709</v>
      </c>
      <c r="CA818" s="483"/>
      <c r="CB818" s="547">
        <v>814</v>
      </c>
      <c r="CC818" s="1481" t="b">
        <v>1</v>
      </c>
      <c r="CD818" t="str">
        <f>Table15[[#This Row],[Engineering Number]]&amp;Table15[[#This Row],[WO Number]]&amp;Table15[[#This Row],[Date Assigned to Designer]]&amp;Table15[[#This Row],[Date Completed]]</f>
        <v>MR193712118604493044937</v>
      </c>
    </row>
    <row r="819" spans="1:82" customFormat="1" ht="15" customHeight="1" x14ac:dyDescent="0.25">
      <c r="A819">
        <v>2022</v>
      </c>
      <c r="B819" s="8" t="s">
        <v>1073</v>
      </c>
      <c r="C819" s="8" t="s">
        <v>280</v>
      </c>
      <c r="D819" s="8" t="s">
        <v>5160</v>
      </c>
      <c r="E819" s="8" t="s">
        <v>281</v>
      </c>
      <c r="F819" s="8" t="s">
        <v>784</v>
      </c>
      <c r="G819" s="8" t="s">
        <v>23</v>
      </c>
      <c r="H819" s="8" t="s">
        <v>59</v>
      </c>
      <c r="I819" s="642">
        <v>44806</v>
      </c>
      <c r="J819" s="18">
        <v>44942</v>
      </c>
      <c r="K819" s="97">
        <v>44937</v>
      </c>
      <c r="L819" s="16">
        <f>IF(ISTEXT(Table15[[#This Row],[Engineering Approved Design Date]]),Table15[[#This Row],[Date Completed]]-Table15[[#This Row],[Date Assigned to Designer]],Table15[[#This Row],[Engineering Approved Design Date]]-Table15[[#This Row],[Date Completed]])</f>
        <v>5</v>
      </c>
      <c r="M819" s="1065"/>
      <c r="N819" s="642" t="s">
        <v>120</v>
      </c>
      <c r="O819" s="1060">
        <f>Table15[[#This Row],[Date Completed]]</f>
        <v>44937</v>
      </c>
      <c r="P819" s="1152" t="s">
        <v>739</v>
      </c>
      <c r="Q819" s="1061">
        <f>R819*AA819</f>
        <v>115290.94959999999</v>
      </c>
      <c r="R819" s="1026">
        <v>0.08</v>
      </c>
      <c r="S819" s="538"/>
      <c r="T819" s="538"/>
      <c r="U819" s="87"/>
      <c r="V819" s="858">
        <v>12080</v>
      </c>
      <c r="W819" s="437"/>
      <c r="X819" s="552">
        <v>1419000.64</v>
      </c>
      <c r="Y819" s="551"/>
      <c r="Z819" s="552">
        <v>22136.23</v>
      </c>
      <c r="AA819" s="552">
        <f>Table15[[#This Row],[PCTS Investment Amount]]+Table15[[#This Row],[PCTS Retirement Amount]]</f>
        <v>1441136.8699999999</v>
      </c>
      <c r="AB819" s="341">
        <v>44945</v>
      </c>
      <c r="AC819" s="568" t="s">
        <v>1516</v>
      </c>
      <c r="AD819" s="1157" t="s">
        <v>116</v>
      </c>
      <c r="AE819" s="568"/>
      <c r="AF819" s="568"/>
      <c r="AG819" s="568"/>
      <c r="AH819" s="183"/>
      <c r="AI819" s="1036"/>
      <c r="AJ819" s="1037"/>
      <c r="AK819" s="1037"/>
      <c r="AL819" s="1038"/>
      <c r="AM819" s="1522" t="s">
        <v>116</v>
      </c>
      <c r="AN819" s="1523">
        <v>45238</v>
      </c>
      <c r="AO819" s="1524">
        <v>11050940</v>
      </c>
      <c r="AP819" s="1525">
        <v>1375454.59</v>
      </c>
      <c r="AQ819" s="1525"/>
      <c r="AR819" s="1525">
        <v>22136.23</v>
      </c>
      <c r="AS819" s="1525">
        <f>IF(Table15[[#This Row],[PCTS Approved]]="N",0,Table15[[#This Row],[Investment Amount (1'#'#'#'#'#)]]+Table15[[#This Row],[Retirement Amount (3'#'#'#'#'#)]])</f>
        <v>1397590.82</v>
      </c>
      <c r="AT819" s="1525">
        <f>IF(Table15[[#This Row],[Approved Construction Cost]]=0,0,Table15[[#This Row],[Approved Construction Cost]]-Table15[[#This Row],[Construction Cost to Bill From]])</f>
        <v>-43546.049999999814</v>
      </c>
      <c r="AU819" s="1525">
        <f>IFERROR(Table15[[#This Row],[Difference in Construction Cost]]*Table15[[#This Row],[Rate]],Table15[[#This Row],[Difference in Construction Cost]]*0.085)</f>
        <v>-3483.6839999999852</v>
      </c>
      <c r="AV819" s="1525">
        <v>5680</v>
      </c>
      <c r="AW819" s="1526" t="s">
        <v>5161</v>
      </c>
      <c r="AX819" s="1525">
        <v>0</v>
      </c>
      <c r="AY819" s="1518">
        <v>45352</v>
      </c>
      <c r="AZ819" s="333"/>
      <c r="BA819" s="859" t="s">
        <v>5162</v>
      </c>
      <c r="BB819" s="644" t="s">
        <v>5163</v>
      </c>
      <c r="BC819" s="544" t="s">
        <v>116</v>
      </c>
      <c r="BD819" s="544" t="s">
        <v>2965</v>
      </c>
      <c r="BE819" s="544" t="s">
        <v>115</v>
      </c>
      <c r="BF819" s="544" t="s">
        <v>1364</v>
      </c>
      <c r="BG819" s="544" t="s">
        <v>5164</v>
      </c>
      <c r="BH819" s="741" t="s">
        <v>5165</v>
      </c>
      <c r="BI819" s="547" t="s">
        <v>709</v>
      </c>
      <c r="BJ819" s="547" t="s">
        <v>709</v>
      </c>
      <c r="BK819" s="547" t="s">
        <v>116</v>
      </c>
      <c r="BL819" s="547" t="s">
        <v>116</v>
      </c>
      <c r="BM819" s="547" t="s">
        <v>709</v>
      </c>
      <c r="BN819" s="547" t="s">
        <v>709</v>
      </c>
      <c r="BO819" s="547" t="s">
        <v>709</v>
      </c>
      <c r="BP819" s="547" t="s">
        <v>709</v>
      </c>
      <c r="BQ819" s="547">
        <v>1212</v>
      </c>
      <c r="BR819" s="547">
        <v>10651</v>
      </c>
      <c r="BS819" s="547">
        <v>217</v>
      </c>
      <c r="BT819" s="547" t="s">
        <v>745</v>
      </c>
      <c r="BU819" s="547">
        <v>1</v>
      </c>
      <c r="BV819" s="547" t="s">
        <v>745</v>
      </c>
      <c r="BW819" s="547" t="s">
        <v>709</v>
      </c>
      <c r="BX819" s="547">
        <v>1</v>
      </c>
      <c r="BY819" s="547" t="s">
        <v>745</v>
      </c>
      <c r="BZ819" s="547" t="s">
        <v>709</v>
      </c>
      <c r="CA819" s="483"/>
      <c r="CB819" s="547">
        <v>815</v>
      </c>
      <c r="CC819" s="1481" t="b">
        <v>1</v>
      </c>
      <c r="CD819" t="str">
        <f>Table15[[#This Row],[Engineering Number]]&amp;Table15[[#This Row],[WO Number]]&amp;Table15[[#This Row],[Date Assigned to Designer]]&amp;Table15[[#This Row],[Date Completed]]</f>
        <v>NBA1000207316114164480644937</v>
      </c>
    </row>
    <row r="820" spans="1:82" customFormat="1" ht="15" customHeight="1" x14ac:dyDescent="0.25">
      <c r="A820">
        <v>2021</v>
      </c>
      <c r="B820" s="8" t="s">
        <v>4</v>
      </c>
      <c r="C820" s="8" t="s">
        <v>3159</v>
      </c>
      <c r="D820" s="8" t="s">
        <v>3160</v>
      </c>
      <c r="E820" s="8" t="s">
        <v>393</v>
      </c>
      <c r="F820" s="8" t="s">
        <v>784</v>
      </c>
      <c r="G820" s="8" t="s">
        <v>39</v>
      </c>
      <c r="H820" s="8" t="s">
        <v>3852</v>
      </c>
      <c r="I820" s="642">
        <v>44854</v>
      </c>
      <c r="J820" s="175" t="s">
        <v>2052</v>
      </c>
      <c r="K820" s="97">
        <v>44937</v>
      </c>
      <c r="L820" s="16">
        <f>IF(ISTEXT(Table15[[#This Row],[Engineering Approved Design Date]]),Table15[[#This Row],[Date Completed]]-Table15[[#This Row],[Date Assigned to Designer]],Table15[[#This Row],[Engineering Approved Design Date]]-Table15[[#This Row],[Date Completed]])</f>
        <v>83</v>
      </c>
      <c r="M820" t="s">
        <v>5155</v>
      </c>
      <c r="N820" s="642" t="s">
        <v>120</v>
      </c>
      <c r="O820" s="1060">
        <f>Table15[[#This Row],[Date Completed]]</f>
        <v>44937</v>
      </c>
      <c r="P820" s="21" t="s">
        <v>120</v>
      </c>
      <c r="Q820" s="1151">
        <f>Table15[[#This Row],[KH Hourly Effort]]</f>
        <v>15995</v>
      </c>
      <c r="R820" s="1026" t="s">
        <v>1922</v>
      </c>
      <c r="S820" s="538">
        <v>0</v>
      </c>
      <c r="T820" s="538"/>
      <c r="U820" s="87">
        <v>15995</v>
      </c>
      <c r="V820" s="857"/>
      <c r="W820" s="440"/>
      <c r="X820" s="538"/>
      <c r="Y820" s="551"/>
      <c r="Z820" s="538"/>
      <c r="AA820" s="552"/>
      <c r="AB820" s="341" t="s">
        <v>29</v>
      </c>
      <c r="AC820" s="568" t="s">
        <v>709</v>
      </c>
      <c r="AD820" s="1149" t="s">
        <v>709</v>
      </c>
      <c r="AE820" s="580"/>
      <c r="AF820" s="580"/>
      <c r="AG820" s="580"/>
      <c r="AH820" s="542"/>
      <c r="AI820" s="1028"/>
      <c r="AJ820" s="1029"/>
      <c r="AK820" s="1029"/>
      <c r="AL820" s="1030"/>
      <c r="AM820" s="542" t="s">
        <v>709</v>
      </c>
      <c r="AN820" s="924"/>
      <c r="AO820" s="925"/>
      <c r="AP820" s="926"/>
      <c r="AQ820" s="926"/>
      <c r="AR820" s="926"/>
      <c r="AS820" s="926"/>
      <c r="AT820" s="926"/>
      <c r="AU820" s="926"/>
      <c r="AV820" s="926"/>
      <c r="AW820" s="927"/>
      <c r="AX820" s="926"/>
      <c r="AY820" s="1538" t="s">
        <v>29</v>
      </c>
      <c r="AZ820" s="1530"/>
      <c r="BA820" s="1031" t="s">
        <v>5156</v>
      </c>
      <c r="BB820" s="644" t="s">
        <v>5157</v>
      </c>
      <c r="BC820" s="544"/>
      <c r="BD820" s="544"/>
      <c r="BE820" s="544"/>
      <c r="BF820" s="544"/>
      <c r="BG820" s="544"/>
      <c r="BH820" s="741"/>
      <c r="BI820" s="547" t="s">
        <v>709</v>
      </c>
      <c r="BJ820" s="547" t="s">
        <v>709</v>
      </c>
      <c r="BK820" s="547" t="s">
        <v>709</v>
      </c>
      <c r="BL820" s="547" t="s">
        <v>116</v>
      </c>
      <c r="BM820" s="547">
        <v>55</v>
      </c>
      <c r="BN820" s="547">
        <v>4125</v>
      </c>
      <c r="BO820" s="547" t="s">
        <v>709</v>
      </c>
      <c r="BP820" s="547" t="s">
        <v>709</v>
      </c>
      <c r="BQ820" s="547">
        <v>93</v>
      </c>
      <c r="BR820" s="547">
        <v>367</v>
      </c>
      <c r="BS820" s="547">
        <v>630</v>
      </c>
      <c r="BT820" s="547" t="s">
        <v>709</v>
      </c>
      <c r="BU820" s="547" t="s">
        <v>709</v>
      </c>
      <c r="BV820" s="547" t="s">
        <v>709</v>
      </c>
      <c r="BW820" s="547" t="s">
        <v>709</v>
      </c>
      <c r="BX820" s="547" t="s">
        <v>745</v>
      </c>
      <c r="BY820" s="547" t="s">
        <v>709</v>
      </c>
      <c r="BZ820" s="547" t="s">
        <v>709</v>
      </c>
      <c r="CA820" s="483"/>
      <c r="CB820" s="547">
        <v>812</v>
      </c>
      <c r="CC820" s="1481" t="b">
        <v>1</v>
      </c>
      <c r="CD820" t="str">
        <f>Table15[[#This Row],[Engineering Number]]&amp;Table15[[#This Row],[WO Number]]&amp;Table15[[#This Row],[Date Assigned to Designer]]&amp;Table15[[#This Row],[Date Completed]]</f>
        <v>N133361292784485444937</v>
      </c>
    </row>
    <row r="821" spans="1:82" customFormat="1" ht="15" customHeight="1" x14ac:dyDescent="0.25">
      <c r="A821">
        <v>2023</v>
      </c>
      <c r="B821" s="8" t="s">
        <v>1073</v>
      </c>
      <c r="C821" s="8" t="s">
        <v>265</v>
      </c>
      <c r="D821" s="8">
        <v>1911012</v>
      </c>
      <c r="E821" s="8" t="s">
        <v>232</v>
      </c>
      <c r="F821" s="8" t="s">
        <v>747</v>
      </c>
      <c r="G821" s="8" t="s">
        <v>36</v>
      </c>
      <c r="H821" s="1056" t="s">
        <v>3759</v>
      </c>
      <c r="I821" s="642">
        <v>44944</v>
      </c>
      <c r="J821" s="175" t="s">
        <v>2724</v>
      </c>
      <c r="K821" s="97">
        <v>44945</v>
      </c>
      <c r="L821" s="16">
        <f>IF(ISTEXT(Table15[[#This Row],[Engineering Approved Design Date]]),Table15[[#This Row],[Date Completed]]-Table15[[#This Row],[Date Assigned to Designer]],Table15[[#This Row],[Engineering Approved Design Date]]-Table15[[#This Row],[Date Completed]])</f>
        <v>1</v>
      </c>
      <c r="M821" s="16" t="s">
        <v>5187</v>
      </c>
      <c r="N821" s="642" t="s">
        <v>120</v>
      </c>
      <c r="O821" s="1060">
        <v>44995</v>
      </c>
      <c r="P821" s="21" t="s">
        <v>739</v>
      </c>
      <c r="Q821" s="1061">
        <f>Table15[[#This Row],[KH Hourly Effort]]</f>
        <v>1380</v>
      </c>
      <c r="R821" s="1026" t="s">
        <v>1922</v>
      </c>
      <c r="S821" s="538"/>
      <c r="T821" s="538"/>
      <c r="U821" s="300">
        <v>1380</v>
      </c>
      <c r="V821" s="857"/>
      <c r="W821" s="440"/>
      <c r="X821" s="538"/>
      <c r="Y821" s="551"/>
      <c r="Z821" s="538"/>
      <c r="AA821" s="552"/>
      <c r="AB821" s="341"/>
      <c r="AC821" s="569"/>
      <c r="AD821" s="1149"/>
      <c r="AE821" s="569"/>
      <c r="AF821" s="569"/>
      <c r="AG821" s="569"/>
      <c r="AH821" s="536"/>
      <c r="AI821" s="1028"/>
      <c r="AJ821" s="1029"/>
      <c r="AK821" s="1029"/>
      <c r="AL821" s="1030"/>
      <c r="AM821" s="542" t="s">
        <v>709</v>
      </c>
      <c r="AN821" s="924"/>
      <c r="AO821" s="925"/>
      <c r="AP821" s="926"/>
      <c r="AQ821" s="926"/>
      <c r="AR821" s="926"/>
      <c r="AS821" s="926"/>
      <c r="AT821" s="926"/>
      <c r="AU821" s="926"/>
      <c r="AV821" s="926"/>
      <c r="AW821" s="927"/>
      <c r="AX821" s="926"/>
      <c r="AY821" s="1538" t="s">
        <v>29</v>
      </c>
      <c r="AZ821" s="1530"/>
      <c r="BA821" s="1031"/>
      <c r="BB821" s="644"/>
      <c r="BC821" s="544"/>
      <c r="BD821" s="544"/>
      <c r="BE821" s="544"/>
      <c r="BF821" s="544"/>
      <c r="BG821" s="544"/>
      <c r="BH821" s="741"/>
      <c r="BI821" s="547" t="s">
        <v>709</v>
      </c>
      <c r="BJ821" s="547" t="s">
        <v>116</v>
      </c>
      <c r="BK821" s="547" t="s">
        <v>709</v>
      </c>
      <c r="BL821" s="547" t="s">
        <v>116</v>
      </c>
      <c r="BM821" s="547" t="s">
        <v>709</v>
      </c>
      <c r="BN821" s="547" t="s">
        <v>709</v>
      </c>
      <c r="BO821" s="547" t="s">
        <v>709</v>
      </c>
      <c r="BP821" s="547" t="s">
        <v>116</v>
      </c>
      <c r="BQ821" s="547" t="s">
        <v>116</v>
      </c>
      <c r="BR821" s="547" t="s">
        <v>116</v>
      </c>
      <c r="BS821" s="547" t="s">
        <v>116</v>
      </c>
      <c r="BT821" s="547" t="s">
        <v>116</v>
      </c>
      <c r="BU821" s="547" t="s">
        <v>709</v>
      </c>
      <c r="BV821" s="547" t="s">
        <v>745</v>
      </c>
      <c r="BW821" s="547" t="s">
        <v>709</v>
      </c>
      <c r="BX821" s="547" t="s">
        <v>116</v>
      </c>
      <c r="BY821" s="547" t="s">
        <v>745</v>
      </c>
      <c r="BZ821" s="547" t="s">
        <v>709</v>
      </c>
      <c r="CA821" s="483"/>
      <c r="CB821" s="547">
        <v>819</v>
      </c>
      <c r="CC821" s="1481" t="b">
        <v>1</v>
      </c>
      <c r="CD821" t="str">
        <f>Table15[[#This Row],[Engineering Number]]&amp;Table15[[#This Row],[WO Number]]&amp;Table15[[#This Row],[Date Assigned to Designer]]&amp;Table15[[#This Row],[Date Completed]]</f>
        <v>NBA1000410419110124494444945</v>
      </c>
    </row>
    <row r="822" spans="1:82" customFormat="1" ht="15" customHeight="1" x14ac:dyDescent="0.25">
      <c r="A822">
        <v>2023</v>
      </c>
      <c r="B822" s="8" t="s">
        <v>730</v>
      </c>
      <c r="C822" s="8" t="s">
        <v>332</v>
      </c>
      <c r="D822" s="8" t="s">
        <v>5193</v>
      </c>
      <c r="E822" s="8" t="s">
        <v>239</v>
      </c>
      <c r="F822" s="8" t="s">
        <v>752</v>
      </c>
      <c r="G822" s="8" t="s">
        <v>32</v>
      </c>
      <c r="H822" s="8" t="s">
        <v>59</v>
      </c>
      <c r="I822" s="642">
        <v>44865</v>
      </c>
      <c r="J822" s="18">
        <v>44957</v>
      </c>
      <c r="K822" s="97">
        <v>44949</v>
      </c>
      <c r="L822" s="16">
        <f>IF(ISTEXT(Table15[[#This Row],[Engineering Approved Design Date]]),Table15[[#This Row],[Date Completed]]-Table15[[#This Row],[Date Assigned to Designer]],Table15[[#This Row],[Engineering Approved Design Date]]-Table15[[#This Row],[Date Completed]])</f>
        <v>8</v>
      </c>
      <c r="M822" s="642"/>
      <c r="N822" s="642" t="s">
        <v>120</v>
      </c>
      <c r="O822" s="1060">
        <f>Table15[[#This Row],[Date Completed]]</f>
        <v>44949</v>
      </c>
      <c r="P822" s="1152" t="s">
        <v>120</v>
      </c>
      <c r="Q822" s="1061">
        <v>12750</v>
      </c>
      <c r="R822" s="1026" t="s">
        <v>5194</v>
      </c>
      <c r="S822" s="538"/>
      <c r="T822" s="538"/>
      <c r="U822" s="87"/>
      <c r="V822" s="858">
        <v>384</v>
      </c>
      <c r="W822" s="437">
        <v>1</v>
      </c>
      <c r="X822" s="552">
        <v>239042.66</v>
      </c>
      <c r="Y822" s="551"/>
      <c r="Z822" s="552">
        <v>42530.77</v>
      </c>
      <c r="AA822" s="552">
        <f>Table15[[#This Row],[PCTS Investment Amount]]+Table15[[#This Row],[PCTS Retirement Amount]]</f>
        <v>281573.43</v>
      </c>
      <c r="AB822" s="341">
        <v>44953</v>
      </c>
      <c r="AC822" s="568" t="s">
        <v>1056</v>
      </c>
      <c r="AD822" s="1157" t="s">
        <v>29</v>
      </c>
      <c r="AE822" s="579"/>
      <c r="AF822" s="579"/>
      <c r="AG822" s="579"/>
      <c r="AH822" s="553"/>
      <c r="AI822" s="1036"/>
      <c r="AJ822" s="1037"/>
      <c r="AK822" s="1037"/>
      <c r="AL822" s="1038"/>
      <c r="AM822" s="542" t="s">
        <v>709</v>
      </c>
      <c r="AN822" s="924"/>
      <c r="AO822" s="925"/>
      <c r="AP822" s="926"/>
      <c r="AQ822" s="926"/>
      <c r="AR822" s="926"/>
      <c r="AS822" s="926"/>
      <c r="AT822" s="926"/>
      <c r="AU822" s="926"/>
      <c r="AV822" s="926"/>
      <c r="AW822" s="927"/>
      <c r="AX822" s="926"/>
      <c r="AY822" s="1538" t="s">
        <v>29</v>
      </c>
      <c r="AZ822" s="1530"/>
      <c r="BA822" s="1031" t="s">
        <v>5195</v>
      </c>
      <c r="BB822" s="644" t="s">
        <v>5196</v>
      </c>
      <c r="BC822" s="544" t="s">
        <v>756</v>
      </c>
      <c r="BD822" s="544" t="s">
        <v>1462</v>
      </c>
      <c r="BE822" s="544" t="s">
        <v>115</v>
      </c>
      <c r="BF822" s="544" t="s">
        <v>807</v>
      </c>
      <c r="BG822" s="544" t="s">
        <v>115</v>
      </c>
      <c r="BH822" s="741" t="s">
        <v>5197</v>
      </c>
      <c r="BI822" s="547" t="s">
        <v>709</v>
      </c>
      <c r="BJ822" s="547" t="s">
        <v>116</v>
      </c>
      <c r="BK822" s="547" t="s">
        <v>709</v>
      </c>
      <c r="BL822" s="547" t="s">
        <v>116</v>
      </c>
      <c r="BM822" s="547">
        <v>0</v>
      </c>
      <c r="BN822" s="549">
        <v>0</v>
      </c>
      <c r="BO822" s="547">
        <v>0</v>
      </c>
      <c r="BP822" s="547">
        <v>0</v>
      </c>
      <c r="BQ822" s="547">
        <v>0</v>
      </c>
      <c r="BR822" s="547">
        <v>0</v>
      </c>
      <c r="BS822" s="547">
        <v>384</v>
      </c>
      <c r="BT822" s="547">
        <v>0</v>
      </c>
      <c r="BU822" s="547">
        <v>1</v>
      </c>
      <c r="BV822" s="547">
        <v>0</v>
      </c>
      <c r="BW822" s="547">
        <v>0</v>
      </c>
      <c r="BX822" s="547">
        <v>1</v>
      </c>
      <c r="BY822" s="547">
        <v>0</v>
      </c>
      <c r="BZ822" s="547" t="s">
        <v>709</v>
      </c>
      <c r="CA822" s="483"/>
      <c r="CB822" s="547">
        <v>821</v>
      </c>
      <c r="CC822" s="1481" t="b">
        <v>1</v>
      </c>
      <c r="CD822" t="str">
        <f>Table15[[#This Row],[Engineering Number]]&amp;Table15[[#This Row],[WO Number]]&amp;Table15[[#This Row],[Date Assigned to Designer]]&amp;Table15[[#This Row],[Date Completed]]</f>
        <v>RS109310120084486544949</v>
      </c>
    </row>
    <row r="823" spans="1:82" customFormat="1" ht="15" customHeight="1" x14ac:dyDescent="0.25">
      <c r="A823">
        <v>2023</v>
      </c>
      <c r="B823" s="8" t="s">
        <v>730</v>
      </c>
      <c r="C823" s="8" t="s">
        <v>311</v>
      </c>
      <c r="D823" s="8" t="s">
        <v>5199</v>
      </c>
      <c r="E823" s="8" t="s">
        <v>312</v>
      </c>
      <c r="F823" s="8" t="s">
        <v>752</v>
      </c>
      <c r="G823" s="8" t="s">
        <v>24</v>
      </c>
      <c r="H823" s="8" t="s">
        <v>59</v>
      </c>
      <c r="I823" s="642">
        <v>44865</v>
      </c>
      <c r="J823" s="18">
        <v>44957</v>
      </c>
      <c r="K823" s="97">
        <v>44949</v>
      </c>
      <c r="L823" s="16">
        <f>IF(ISTEXT(Table15[[#This Row],[Engineering Approved Design Date]]),Table15[[#This Row],[Date Completed]]-Table15[[#This Row],[Date Assigned to Designer]],Table15[[#This Row],[Engineering Approved Design Date]]-Table15[[#This Row],[Date Completed]])</f>
        <v>8</v>
      </c>
      <c r="M823" s="642"/>
      <c r="N823" s="642" t="s">
        <v>120</v>
      </c>
      <c r="O823" s="1060">
        <f>Table15[[#This Row],[Date Completed]]</f>
        <v>44949</v>
      </c>
      <c r="P823" s="1152" t="s">
        <v>120</v>
      </c>
      <c r="Q823" s="1061">
        <v>12750</v>
      </c>
      <c r="R823" s="1026" t="s">
        <v>5194</v>
      </c>
      <c r="S823" s="538"/>
      <c r="T823" s="538"/>
      <c r="U823" s="87"/>
      <c r="V823" s="858">
        <v>194</v>
      </c>
      <c r="W823" s="437">
        <v>1</v>
      </c>
      <c r="X823" s="570">
        <v>192978.97</v>
      </c>
      <c r="Y823" s="551"/>
      <c r="Z823" s="570">
        <v>19464.580000000002</v>
      </c>
      <c r="AA823" s="552">
        <f>Table15[[#This Row],[PCTS Investment Amount]]+Table15[[#This Row],[PCTS Retirement Amount]]</f>
        <v>212443.55</v>
      </c>
      <c r="AB823" s="341">
        <v>44952</v>
      </c>
      <c r="AC823" s="568" t="s">
        <v>1056</v>
      </c>
      <c r="AD823" s="1157" t="s">
        <v>116</v>
      </c>
      <c r="AE823" s="579"/>
      <c r="AF823" s="579"/>
      <c r="AG823" s="579"/>
      <c r="AH823" s="553"/>
      <c r="AI823" s="1036"/>
      <c r="AJ823" s="1037"/>
      <c r="AK823" s="1037"/>
      <c r="AL823" s="1038"/>
      <c r="AM823" s="542" t="s">
        <v>709</v>
      </c>
      <c r="AN823" s="924"/>
      <c r="AO823" s="925"/>
      <c r="AP823" s="926"/>
      <c r="AQ823" s="926"/>
      <c r="AR823" s="926"/>
      <c r="AS823" s="926"/>
      <c r="AT823" s="926"/>
      <c r="AU823" s="926"/>
      <c r="AV823" s="926"/>
      <c r="AW823" s="927"/>
      <c r="AX823" s="926"/>
      <c r="AY823" s="1538" t="s">
        <v>29</v>
      </c>
      <c r="AZ823" s="1530"/>
      <c r="BA823" s="1031" t="s">
        <v>5200</v>
      </c>
      <c r="BB823" s="644" t="s">
        <v>5201</v>
      </c>
      <c r="BC823" s="544" t="s">
        <v>709</v>
      </c>
      <c r="BD823" s="544" t="s">
        <v>115</v>
      </c>
      <c r="BE823" s="544" t="s">
        <v>567</v>
      </c>
      <c r="BF823" s="544" t="s">
        <v>115</v>
      </c>
      <c r="BG823" s="544" t="s">
        <v>115</v>
      </c>
      <c r="BH823" s="741"/>
      <c r="BI823" s="547" t="s">
        <v>709</v>
      </c>
      <c r="BJ823" s="547" t="s">
        <v>116</v>
      </c>
      <c r="BK823" s="547" t="s">
        <v>709</v>
      </c>
      <c r="BL823" s="547" t="s">
        <v>116</v>
      </c>
      <c r="BM823" s="547" t="s">
        <v>709</v>
      </c>
      <c r="BN823" s="547" t="s">
        <v>709</v>
      </c>
      <c r="BO823" s="547" t="s">
        <v>709</v>
      </c>
      <c r="BP823" s="547" t="s">
        <v>709</v>
      </c>
      <c r="BQ823" s="547" t="s">
        <v>709</v>
      </c>
      <c r="BR823" s="547" t="s">
        <v>709</v>
      </c>
      <c r="BS823" s="547">
        <v>194</v>
      </c>
      <c r="BT823" s="547" t="s">
        <v>745</v>
      </c>
      <c r="BU823" s="547">
        <v>1</v>
      </c>
      <c r="BV823" s="547" t="s">
        <v>745</v>
      </c>
      <c r="BW823" s="547" t="s">
        <v>709</v>
      </c>
      <c r="BX823" s="547">
        <v>1</v>
      </c>
      <c r="BY823" s="547" t="s">
        <v>745</v>
      </c>
      <c r="BZ823" s="547" t="s">
        <v>709</v>
      </c>
      <c r="CA823" s="483"/>
      <c r="CB823" s="547">
        <v>820</v>
      </c>
      <c r="CC823" s="1481" t="b">
        <v>1</v>
      </c>
      <c r="CD823" t="str">
        <f>Table15[[#This Row],[Engineering Number]]&amp;Table15[[#This Row],[WO Number]]&amp;Table15[[#This Row],[Date Assigned to Designer]]&amp;Table15[[#This Row],[Date Completed]]</f>
        <v>RS110210119934486544949</v>
      </c>
    </row>
    <row r="824" spans="1:82" customFormat="1" ht="15" customHeight="1" x14ac:dyDescent="0.25">
      <c r="A824">
        <v>2022</v>
      </c>
      <c r="B824" s="8" t="s">
        <v>2994</v>
      </c>
      <c r="C824" s="8" t="s">
        <v>4287</v>
      </c>
      <c r="D824" s="8">
        <v>3210897</v>
      </c>
      <c r="E824" s="8" t="s">
        <v>1763</v>
      </c>
      <c r="F824" s="8" t="s">
        <v>4899</v>
      </c>
      <c r="G824" s="8" t="s">
        <v>35</v>
      </c>
      <c r="H824" s="8" t="s">
        <v>4001</v>
      </c>
      <c r="I824" s="642">
        <v>44910</v>
      </c>
      <c r="J824" s="175" t="s">
        <v>2052</v>
      </c>
      <c r="K824" s="97">
        <v>44949</v>
      </c>
      <c r="L824" s="16">
        <f>IF(ISTEXT(Table15[[#This Row],[Engineering Approved Design Date]]),Table15[[#This Row],[Date Completed]]-Table15[[#This Row],[Date Assigned to Designer]],Table15[[#This Row],[Engineering Approved Design Date]]-Table15[[#This Row],[Date Completed]])</f>
        <v>39</v>
      </c>
      <c r="M824" t="s">
        <v>5189</v>
      </c>
      <c r="N824" s="642" t="s">
        <v>120</v>
      </c>
      <c r="O824" s="1060">
        <v>44958</v>
      </c>
      <c r="P824" s="21" t="s">
        <v>739</v>
      </c>
      <c r="Q824" s="1151">
        <f>Table15[[#This Row],[KH Hourly Effort]]</f>
        <v>935</v>
      </c>
      <c r="R824" s="1026" t="s">
        <v>1922</v>
      </c>
      <c r="S824" s="538">
        <v>0</v>
      </c>
      <c r="T824" s="538">
        <v>0</v>
      </c>
      <c r="U824" s="87">
        <v>935</v>
      </c>
      <c r="V824" s="857"/>
      <c r="W824" s="440"/>
      <c r="X824" s="538"/>
      <c r="Y824" s="551"/>
      <c r="Z824" s="538"/>
      <c r="AA824" s="552"/>
      <c r="AB824" s="341"/>
      <c r="AC824" s="569" t="s">
        <v>709</v>
      </c>
      <c r="AD824" s="1149" t="s">
        <v>116</v>
      </c>
      <c r="AE824" s="580"/>
      <c r="AF824" s="580"/>
      <c r="AG824" s="580"/>
      <c r="AH824" s="542"/>
      <c r="AI824" s="1028"/>
      <c r="AJ824" s="1029"/>
      <c r="AK824" s="1029"/>
      <c r="AL824" s="1030"/>
      <c r="AM824" s="542" t="s">
        <v>709</v>
      </c>
      <c r="AN824" s="924"/>
      <c r="AO824" s="925"/>
      <c r="AP824" s="926"/>
      <c r="AQ824" s="926"/>
      <c r="AR824" s="926"/>
      <c r="AS824" s="926"/>
      <c r="AT824" s="926"/>
      <c r="AU824" s="926"/>
      <c r="AV824" s="926"/>
      <c r="AW824" s="927"/>
      <c r="AX824" s="926"/>
      <c r="AY824" s="1538" t="s">
        <v>29</v>
      </c>
      <c r="AZ824" s="1532"/>
      <c r="BA824" s="1031">
        <v>3</v>
      </c>
      <c r="BB824" s="644" t="s">
        <v>5190</v>
      </c>
      <c r="BC824" s="544"/>
      <c r="BD824" s="544"/>
      <c r="BE824" s="544"/>
      <c r="BF824" s="544"/>
      <c r="BG824" s="544"/>
      <c r="BH824" s="741" t="s">
        <v>5191</v>
      </c>
      <c r="BI824" s="547" t="s">
        <v>709</v>
      </c>
      <c r="BJ824" s="547" t="s">
        <v>709</v>
      </c>
      <c r="BK824" s="547" t="s">
        <v>709</v>
      </c>
      <c r="BL824" s="547" t="s">
        <v>709</v>
      </c>
      <c r="BM824" s="547" t="s">
        <v>709</v>
      </c>
      <c r="BN824" s="547" t="s">
        <v>709</v>
      </c>
      <c r="BO824" s="547" t="s">
        <v>709</v>
      </c>
      <c r="BP824" s="547" t="s">
        <v>709</v>
      </c>
      <c r="BQ824" s="547" t="s">
        <v>709</v>
      </c>
      <c r="BR824" s="547" t="s">
        <v>709</v>
      </c>
      <c r="BS824" s="547" t="s">
        <v>709</v>
      </c>
      <c r="BT824" s="547" t="s">
        <v>745</v>
      </c>
      <c r="BU824" s="547" t="s">
        <v>709</v>
      </c>
      <c r="BV824" s="547">
        <v>1</v>
      </c>
      <c r="BW824" s="547" t="s">
        <v>709</v>
      </c>
      <c r="BX824" s="547" t="s">
        <v>745</v>
      </c>
      <c r="BY824" s="547" t="s">
        <v>745</v>
      </c>
      <c r="BZ824" s="547" t="s">
        <v>709</v>
      </c>
      <c r="CA824" s="483" t="s">
        <v>1146</v>
      </c>
      <c r="CB824" s="547">
        <v>822</v>
      </c>
      <c r="CC824" s="1481" t="b">
        <v>1</v>
      </c>
      <c r="CD824" t="str">
        <f>Table15[[#This Row],[Engineering Number]]&amp;Table15[[#This Row],[WO Number]]&amp;Table15[[#This Row],[Date Assigned to Designer]]&amp;Table15[[#This Row],[Date Completed]]</f>
        <v>MR184032108974491044949</v>
      </c>
    </row>
    <row r="825" spans="1:82" customFormat="1" ht="15" customHeight="1" x14ac:dyDescent="0.25">
      <c r="A825">
        <v>2023</v>
      </c>
      <c r="B825" s="8" t="s">
        <v>4</v>
      </c>
      <c r="C825" s="8" t="s">
        <v>5203</v>
      </c>
      <c r="D825" s="8" t="s">
        <v>115</v>
      </c>
      <c r="E825" s="8" t="s">
        <v>1920</v>
      </c>
      <c r="F825" s="8" t="s">
        <v>747</v>
      </c>
      <c r="G825" s="8" t="s">
        <v>25</v>
      </c>
      <c r="H825" s="647" t="s">
        <v>1903</v>
      </c>
      <c r="I825" s="642">
        <v>44893</v>
      </c>
      <c r="J825" s="18">
        <v>44985</v>
      </c>
      <c r="K825" s="18">
        <v>44953</v>
      </c>
      <c r="L825" s="16">
        <f>IF(ISTEXT(Table15[[#This Row],[Engineering Approved Design Date]]),Table15[[#This Row],[Date Completed]]-Table15[[#This Row],[Date Assigned to Designer]],Table15[[#This Row],[Engineering Approved Design Date]]-Table15[[#This Row],[Date Completed]])</f>
        <v>32</v>
      </c>
      <c r="M825" s="642"/>
      <c r="N825" s="642" t="s">
        <v>120</v>
      </c>
      <c r="O825" s="1060">
        <f>Table15[[#This Row],[Date Completed]]</f>
        <v>44953</v>
      </c>
      <c r="P825" s="1152" t="s">
        <v>739</v>
      </c>
      <c r="Q825" s="87" t="s">
        <v>115</v>
      </c>
      <c r="R825" s="1026" t="s">
        <v>115</v>
      </c>
      <c r="S825" s="538"/>
      <c r="T825" s="538"/>
      <c r="U825" s="87"/>
      <c r="V825" s="857"/>
      <c r="W825" s="440"/>
      <c r="X825" s="550"/>
      <c r="Y825" s="550"/>
      <c r="Z825" s="550"/>
      <c r="AA825" s="552"/>
      <c r="AB825" s="341" t="s">
        <v>29</v>
      </c>
      <c r="AC825" s="569" t="s">
        <v>709</v>
      </c>
      <c r="AD825" s="1149" t="s">
        <v>29</v>
      </c>
      <c r="AE825" s="580"/>
      <c r="AF825" s="580"/>
      <c r="AG825" s="580"/>
      <c r="AH825" s="542"/>
      <c r="AI825" s="1028"/>
      <c r="AJ825" s="1029"/>
      <c r="AK825" s="1029"/>
      <c r="AL825" s="1030"/>
      <c r="AM825" s="542" t="s">
        <v>709</v>
      </c>
      <c r="AN825" s="924"/>
      <c r="AO825" s="925"/>
      <c r="AP825" s="926"/>
      <c r="AQ825" s="926"/>
      <c r="AR825" s="926"/>
      <c r="AS825" s="926"/>
      <c r="AT825" s="926"/>
      <c r="AU825" s="926"/>
      <c r="AV825" s="926"/>
      <c r="AW825" s="927"/>
      <c r="AX825" s="926"/>
      <c r="AY825" s="1538" t="s">
        <v>29</v>
      </c>
      <c r="AZ825" s="1530"/>
      <c r="BA825" s="1031" t="s">
        <v>5204</v>
      </c>
      <c r="BB825" s="644" t="s">
        <v>4937</v>
      </c>
      <c r="BC825" s="544" t="s">
        <v>115</v>
      </c>
      <c r="BD825" s="544" t="s">
        <v>837</v>
      </c>
      <c r="BE825" s="544" t="s">
        <v>5205</v>
      </c>
      <c r="BF825" s="544" t="s">
        <v>115</v>
      </c>
      <c r="BG825" s="544" t="s">
        <v>115</v>
      </c>
      <c r="BH825" s="741"/>
      <c r="BI825" s="1032"/>
      <c r="BJ825" s="1032"/>
      <c r="BK825" s="1032"/>
      <c r="BL825" s="1032"/>
      <c r="BM825" s="1032"/>
      <c r="BN825" s="1032"/>
      <c r="BO825" s="1032"/>
      <c r="BP825" s="1032"/>
      <c r="BQ825" s="1032"/>
      <c r="BR825" s="1032"/>
      <c r="BS825" s="1032"/>
      <c r="BT825" s="1032"/>
      <c r="BU825" s="1032"/>
      <c r="BV825" s="547"/>
      <c r="BW825" s="1032"/>
      <c r="BX825" s="1032"/>
      <c r="BY825" s="1032"/>
      <c r="BZ825" s="1032"/>
      <c r="CA825" s="485"/>
      <c r="CB825" s="547">
        <v>823</v>
      </c>
      <c r="CC825" s="1481" t="b">
        <v>1</v>
      </c>
      <c r="CD825" t="str">
        <f>Table15[[#This Row],[Engineering Number]]&amp;Table15[[#This Row],[WO Number]]&amp;Table15[[#This Row],[Date Assigned to Designer]]&amp;Table15[[#This Row],[Date Completed]]</f>
        <v>SC21015-4489344953</v>
      </c>
    </row>
    <row r="826" spans="1:82" customFormat="1" ht="15" customHeight="1" x14ac:dyDescent="0.25">
      <c r="A826">
        <v>2023</v>
      </c>
      <c r="B826" s="8" t="s">
        <v>771</v>
      </c>
      <c r="C826" s="8" t="s">
        <v>5207</v>
      </c>
      <c r="D826" s="8" t="s">
        <v>5208</v>
      </c>
      <c r="E826" s="8" t="s">
        <v>2217</v>
      </c>
      <c r="F826" s="8" t="s">
        <v>747</v>
      </c>
      <c r="G826" s="8" t="s">
        <v>24</v>
      </c>
      <c r="H826" s="8" t="s">
        <v>59</v>
      </c>
      <c r="I826" s="642">
        <v>44806</v>
      </c>
      <c r="J826" s="18">
        <v>44967</v>
      </c>
      <c r="K826" s="97">
        <v>44956</v>
      </c>
      <c r="L826" s="16">
        <f>IF(ISTEXT(Table15[[#This Row],[Engineering Approved Design Date]]),Table15[[#This Row],[Date Completed]]-Table15[[#This Row],[Date Assigned to Designer]],Table15[[#This Row],[Engineering Approved Design Date]]-Table15[[#This Row],[Date Completed]])</f>
        <v>11</v>
      </c>
      <c r="M826" s="642"/>
      <c r="N826" s="642" t="s">
        <v>120</v>
      </c>
      <c r="O826" s="1060">
        <v>44958</v>
      </c>
      <c r="P826" s="1152" t="s">
        <v>120</v>
      </c>
      <c r="Q826" s="1061">
        <f>R826*AA826</f>
        <v>61304.04359999999</v>
      </c>
      <c r="R826" s="1026">
        <v>0.09</v>
      </c>
      <c r="S826" s="538"/>
      <c r="T826" s="538"/>
      <c r="U826" s="87"/>
      <c r="V826" s="858">
        <v>4732</v>
      </c>
      <c r="W826" s="437"/>
      <c r="X826" s="552">
        <v>656237.96</v>
      </c>
      <c r="Y826" s="551"/>
      <c r="Z826" s="552">
        <v>24918.080000000002</v>
      </c>
      <c r="AA826" s="552">
        <f>Table15[[#This Row],[PCTS Investment Amount]]+Table15[[#This Row],[PCTS Retirement Amount]]</f>
        <v>681156.03999999992</v>
      </c>
      <c r="AB826" s="341">
        <v>44963</v>
      </c>
      <c r="AC826" s="568" t="s">
        <v>709</v>
      </c>
      <c r="AD826" s="1157" t="s">
        <v>29</v>
      </c>
      <c r="AE826" s="568"/>
      <c r="AF826" s="568"/>
      <c r="AG826" s="568"/>
      <c r="AH826" s="183"/>
      <c r="AI826" s="1036"/>
      <c r="AJ826" s="1037"/>
      <c r="AK826" s="1037"/>
      <c r="AL826" s="1038"/>
      <c r="AM826" s="1522" t="s">
        <v>116</v>
      </c>
      <c r="AN826" s="1523">
        <v>45007</v>
      </c>
      <c r="AO826" s="1524">
        <v>11050954</v>
      </c>
      <c r="AP826" s="1525">
        <v>664748.01</v>
      </c>
      <c r="AQ826" s="1525"/>
      <c r="AR826" s="1525">
        <v>34642.49</v>
      </c>
      <c r="AS826" s="1525">
        <f>IF(Table15[[#This Row],[PCTS Approved]]="N",0,Table15[[#This Row],[Investment Amount (1'#'#'#'#'#)]]+Table15[[#This Row],[Retirement Amount (3'#'#'#'#'#)]])</f>
        <v>699390.5</v>
      </c>
      <c r="AT826" s="1525">
        <f>IF(Table15[[#This Row],[Approved Construction Cost]]=0,0,Table15[[#This Row],[Approved Construction Cost]]-Table15[[#This Row],[Construction Cost to Bill From]])</f>
        <v>18234.460000000079</v>
      </c>
      <c r="AU826" s="1525">
        <f>IFERROR(Table15[[#This Row],[Difference in Construction Cost]]*Table15[[#This Row],[Rate]],Table15[[#This Row],[Difference in Construction Cost]]*0.085)</f>
        <v>1641.1014000000071</v>
      </c>
      <c r="AV826" s="1525" t="s">
        <v>709</v>
      </c>
      <c r="AW826" s="1526"/>
      <c r="AX826" s="1525">
        <v>1641.1014000000071</v>
      </c>
      <c r="AY826" s="1518">
        <v>45200</v>
      </c>
      <c r="AZ826" s="333"/>
      <c r="BA826" s="859" t="s">
        <v>5210</v>
      </c>
      <c r="BB826" s="644" t="s">
        <v>5211</v>
      </c>
      <c r="BC826" s="544" t="s">
        <v>116</v>
      </c>
      <c r="BD826" s="544" t="s">
        <v>1333</v>
      </c>
      <c r="BE826" s="544" t="s">
        <v>5212</v>
      </c>
      <c r="BF826" s="544" t="s">
        <v>115</v>
      </c>
      <c r="BG826" s="544" t="s">
        <v>115</v>
      </c>
      <c r="BH826" s="741" t="s">
        <v>5214</v>
      </c>
      <c r="BI826" s="547" t="s">
        <v>709</v>
      </c>
      <c r="BJ826" s="547" t="s">
        <v>709</v>
      </c>
      <c r="BK826" s="547" t="s">
        <v>709</v>
      </c>
      <c r="BL826" s="547" t="s">
        <v>116</v>
      </c>
      <c r="BM826" s="547" t="s">
        <v>709</v>
      </c>
      <c r="BN826" s="547" t="s">
        <v>709</v>
      </c>
      <c r="BO826" s="547" t="s">
        <v>709</v>
      </c>
      <c r="BP826" s="547" t="s">
        <v>709</v>
      </c>
      <c r="BQ826" s="547" t="s">
        <v>709</v>
      </c>
      <c r="BR826" s="547" t="s">
        <v>709</v>
      </c>
      <c r="BS826" s="547">
        <v>4732</v>
      </c>
      <c r="BT826" s="547" t="s">
        <v>745</v>
      </c>
      <c r="BU826" s="547" t="s">
        <v>709</v>
      </c>
      <c r="BV826" s="547" t="s">
        <v>745</v>
      </c>
      <c r="BW826" s="547" t="s">
        <v>709</v>
      </c>
      <c r="BX826" s="547" t="s">
        <v>745</v>
      </c>
      <c r="BY826" s="547" t="s">
        <v>745</v>
      </c>
      <c r="BZ826" s="547" t="s">
        <v>709</v>
      </c>
      <c r="CA826" s="483"/>
      <c r="CB826" s="547">
        <v>825</v>
      </c>
      <c r="CC826" s="1481" t="b">
        <v>1</v>
      </c>
      <c r="CD826" t="str">
        <f>Table15[[#This Row],[Engineering Number]]&amp;Table15[[#This Row],[WO Number]]&amp;Table15[[#This Row],[Date Assigned to Designer]]&amp;Table15[[#This Row],[Date Completed]]</f>
        <v>BS43514118014480644956</v>
      </c>
    </row>
    <row r="827" spans="1:82" customFormat="1" ht="15" customHeight="1" x14ac:dyDescent="0.25">
      <c r="A827">
        <v>2023</v>
      </c>
      <c r="B827" s="8" t="s">
        <v>759</v>
      </c>
      <c r="C827" s="8" t="s">
        <v>368</v>
      </c>
      <c r="D827" s="8" t="s">
        <v>1398</v>
      </c>
      <c r="E827" s="8" t="s">
        <v>369</v>
      </c>
      <c r="F827" s="8" t="s">
        <v>752</v>
      </c>
      <c r="G827" s="8" t="s">
        <v>27</v>
      </c>
      <c r="H827" s="8" t="s">
        <v>59</v>
      </c>
      <c r="I827" s="642">
        <v>44838</v>
      </c>
      <c r="J827" s="18">
        <v>44964</v>
      </c>
      <c r="K827" s="97">
        <v>44956</v>
      </c>
      <c r="L827" s="16">
        <f>IF(ISTEXT(Table15[[#This Row],[Engineering Approved Design Date]]),Table15[[#This Row],[Date Completed]]-Table15[[#This Row],[Date Assigned to Designer]],Table15[[#This Row],[Engineering Approved Design Date]]-Table15[[#This Row],[Date Completed]])</f>
        <v>8</v>
      </c>
      <c r="M827" s="642"/>
      <c r="N827" s="642" t="s">
        <v>120</v>
      </c>
      <c r="O827" s="1060">
        <v>44958</v>
      </c>
      <c r="P827" s="1152" t="s">
        <v>120</v>
      </c>
      <c r="Q827" s="1061">
        <f>R827*AA827</f>
        <v>51070.6394</v>
      </c>
      <c r="R827" s="1026">
        <v>0.11</v>
      </c>
      <c r="S827" s="538"/>
      <c r="T827" s="538">
        <v>5000</v>
      </c>
      <c r="U827" s="87">
        <v>0</v>
      </c>
      <c r="V827" s="858">
        <v>840</v>
      </c>
      <c r="W827" s="437"/>
      <c r="X827" s="552">
        <v>411073.66</v>
      </c>
      <c r="Y827" s="551"/>
      <c r="Z827" s="552">
        <v>53204.88</v>
      </c>
      <c r="AA827" s="552">
        <f>Table15[[#This Row],[PCTS Investment Amount]]+Table15[[#This Row],[PCTS Retirement Amount]]</f>
        <v>464278.54</v>
      </c>
      <c r="AB827" s="341" t="s">
        <v>709</v>
      </c>
      <c r="AC827" s="568" t="s">
        <v>1177</v>
      </c>
      <c r="AD827" s="1157" t="s">
        <v>29</v>
      </c>
      <c r="AE827" s="579"/>
      <c r="AF827" s="579"/>
      <c r="AG827" s="579"/>
      <c r="AH827" s="553"/>
      <c r="AI827" s="1036"/>
      <c r="AJ827" s="1037"/>
      <c r="AK827" s="1037"/>
      <c r="AL827" s="1038"/>
      <c r="AM827" s="536" t="s">
        <v>116</v>
      </c>
      <c r="AN827" s="903" t="s">
        <v>709</v>
      </c>
      <c r="AO827" s="1536" t="s">
        <v>115</v>
      </c>
      <c r="AP827" s="1537"/>
      <c r="AQ827" s="1537"/>
      <c r="AR827" s="1537"/>
      <c r="AS827" s="888">
        <f>IF(Table15[[#This Row],[PCTS Approved]]="N",0,Table15[[#This Row],[Investment Amount (1'#'#'#'#'#)]]+Table15[[#This Row],[Retirement Amount (3'#'#'#'#'#)]])</f>
        <v>0</v>
      </c>
      <c r="AT827" s="888">
        <f>IF(Table15[[#This Row],[Approved Construction Cost]]=0,0,Table15[[#This Row],[Approved Construction Cost]]-Table15[[#This Row],[Construction Cost to Bill From]])</f>
        <v>0</v>
      </c>
      <c r="AU827" s="888">
        <f>IFERROR(Table15[[#This Row],[Difference in Construction Cost]]*Table15[[#This Row],[Rate]],Table15[[#This Row],[Difference in Construction Cost]]*0.085)</f>
        <v>0</v>
      </c>
      <c r="AV827" s="905"/>
      <c r="AW827" s="1509"/>
      <c r="AX827" s="888"/>
      <c r="AY827" s="636" t="s">
        <v>709</v>
      </c>
      <c r="AZ827" s="333">
        <v>149</v>
      </c>
      <c r="BA827" s="859" t="s">
        <v>1399</v>
      </c>
      <c r="BB827" s="644" t="s">
        <v>1400</v>
      </c>
      <c r="BC827" s="544" t="s">
        <v>709</v>
      </c>
      <c r="BD827" s="544" t="s">
        <v>115</v>
      </c>
      <c r="BE827" s="544" t="s">
        <v>1401</v>
      </c>
      <c r="BF827" s="544" t="s">
        <v>115</v>
      </c>
      <c r="BG827" s="544" t="s">
        <v>115</v>
      </c>
      <c r="BH827" s="741"/>
      <c r="BI827" s="547" t="s">
        <v>709</v>
      </c>
      <c r="BJ827" s="547" t="s">
        <v>116</v>
      </c>
      <c r="BK827" s="547" t="s">
        <v>709</v>
      </c>
      <c r="BL827" s="547" t="s">
        <v>116</v>
      </c>
      <c r="BM827" s="547" t="s">
        <v>709</v>
      </c>
      <c r="BN827" s="547" t="s">
        <v>709</v>
      </c>
      <c r="BO827" s="547" t="s">
        <v>709</v>
      </c>
      <c r="BP827" s="547" t="s">
        <v>709</v>
      </c>
      <c r="BQ827" s="547" t="s">
        <v>709</v>
      </c>
      <c r="BR827" s="547" t="s">
        <v>709</v>
      </c>
      <c r="BS827" s="547">
        <v>750</v>
      </c>
      <c r="BT827" s="547">
        <v>1</v>
      </c>
      <c r="BU827" s="547" t="s">
        <v>709</v>
      </c>
      <c r="BV827" s="547" t="s">
        <v>745</v>
      </c>
      <c r="BW827" s="547">
        <v>1</v>
      </c>
      <c r="BX827" s="547">
        <v>1</v>
      </c>
      <c r="BY827" s="547" t="s">
        <v>745</v>
      </c>
      <c r="BZ827" s="547" t="s">
        <v>709</v>
      </c>
      <c r="CA827" s="483"/>
      <c r="CB827" s="547">
        <v>826</v>
      </c>
      <c r="CC827" s="1481" t="b">
        <v>1</v>
      </c>
      <c r="CD827" t="str">
        <f>Table15[[#This Row],[Engineering Number]]&amp;Table15[[#This Row],[WO Number]]&amp;Table15[[#This Row],[Date Assigned to Designer]]&amp;Table15[[#This Row],[Date Completed]]</f>
        <v>RS96010119374483844956</v>
      </c>
    </row>
    <row r="828" spans="1:82" customFormat="1" ht="15" customHeight="1" x14ac:dyDescent="0.25">
      <c r="A828">
        <v>2023</v>
      </c>
      <c r="B828" s="8" t="s">
        <v>4</v>
      </c>
      <c r="C828" s="8" t="s">
        <v>5215</v>
      </c>
      <c r="D828" s="8" t="s">
        <v>5216</v>
      </c>
      <c r="E828" s="8" t="s">
        <v>3635</v>
      </c>
      <c r="F828" s="8" t="s">
        <v>784</v>
      </c>
      <c r="G828" s="8" t="s">
        <v>35</v>
      </c>
      <c r="H828" s="8" t="s">
        <v>59</v>
      </c>
      <c r="I828" s="642">
        <v>44844</v>
      </c>
      <c r="J828" s="18">
        <v>44957</v>
      </c>
      <c r="K828" s="97">
        <v>44956</v>
      </c>
      <c r="L828" s="16">
        <f>IF(ISTEXT(Table15[[#This Row],[Engineering Approved Design Date]]),Table15[[#This Row],[Date Completed]]-Table15[[#This Row],[Date Assigned to Designer]],Table15[[#This Row],[Engineering Approved Design Date]]-Table15[[#This Row],[Date Completed]])</f>
        <v>1</v>
      </c>
      <c r="M828" s="642"/>
      <c r="N828" s="642" t="s">
        <v>120</v>
      </c>
      <c r="O828" s="1060">
        <v>44958</v>
      </c>
      <c r="P828" s="1152" t="s">
        <v>739</v>
      </c>
      <c r="Q828" s="1061">
        <f>R828*AA828</f>
        <v>97851.749000000011</v>
      </c>
      <c r="R828" s="1026">
        <v>0.1</v>
      </c>
      <c r="S828" s="538"/>
      <c r="T828" s="538"/>
      <c r="U828" s="87"/>
      <c r="V828" s="858">
        <v>3702</v>
      </c>
      <c r="W828" s="437"/>
      <c r="X828" s="552">
        <v>945368.84</v>
      </c>
      <c r="Y828" s="551"/>
      <c r="Z828" s="552">
        <v>33148.65</v>
      </c>
      <c r="AA828" s="552">
        <f>Table15[[#This Row],[PCTS Retirement Amount]]+Table15[[#This Row],[PCTS Investment Amount]]</f>
        <v>978517.49</v>
      </c>
      <c r="AB828" s="341" t="s">
        <v>709</v>
      </c>
      <c r="AC828" s="568" t="s">
        <v>709</v>
      </c>
      <c r="AD828" s="1157" t="s">
        <v>29</v>
      </c>
      <c r="AE828" s="579" t="s">
        <v>29</v>
      </c>
      <c r="AF828" s="579" t="s">
        <v>29</v>
      </c>
      <c r="AG828" s="579" t="s">
        <v>29</v>
      </c>
      <c r="AH828" s="553" t="s">
        <v>29</v>
      </c>
      <c r="AI828" s="1036"/>
      <c r="AJ828" s="1037"/>
      <c r="AK828" s="1037"/>
      <c r="AL828" s="1038"/>
      <c r="AM828" s="1522" t="s">
        <v>116</v>
      </c>
      <c r="AN828" s="1523">
        <v>45006</v>
      </c>
      <c r="AO828" s="1524">
        <v>11055876</v>
      </c>
      <c r="AP828" s="1525">
        <v>180234.13</v>
      </c>
      <c r="AQ828" s="1525"/>
      <c r="AR828" s="1525">
        <v>34188.94</v>
      </c>
      <c r="AS828" s="1525">
        <f>IF(Table15[[#This Row],[PCTS Approved]]="N",0,Table15[[#This Row],[Investment Amount (1'#'#'#'#'#)]]+Table15[[#This Row],[Retirement Amount (3'#'#'#'#'#)]])</f>
        <v>214423.07</v>
      </c>
      <c r="AT828" s="1525">
        <f>IF(Table15[[#This Row],[Approved Construction Cost]]=0,0,Table15[[#This Row],[Approved Construction Cost]]-Table15[[#This Row],[Construction Cost to Bill From]])</f>
        <v>-764094.41999999993</v>
      </c>
      <c r="AU828" s="1525">
        <f>IFERROR(Table15[[#This Row],[Difference in Construction Cost]]*Table15[[#This Row],[Rate]],Table15[[#This Row],[Difference in Construction Cost]]*0.085)</f>
        <v>-76409.441999999995</v>
      </c>
      <c r="AV828" s="1525">
        <v>7040</v>
      </c>
      <c r="AW828" s="1526" t="s">
        <v>5217</v>
      </c>
      <c r="AX828" s="1525">
        <v>0</v>
      </c>
      <c r="AY828" s="1518">
        <v>45200</v>
      </c>
      <c r="AZ828" s="333"/>
      <c r="BA828" s="859" t="s">
        <v>5218</v>
      </c>
      <c r="BB828" s="644" t="s">
        <v>5219</v>
      </c>
      <c r="BC828" s="544" t="s">
        <v>115</v>
      </c>
      <c r="BD828" s="544" t="s">
        <v>115</v>
      </c>
      <c r="BE828" s="544" t="s">
        <v>5219</v>
      </c>
      <c r="BF828" s="544" t="s">
        <v>115</v>
      </c>
      <c r="BG828" s="544" t="s">
        <v>115</v>
      </c>
      <c r="BH828" s="741"/>
      <c r="BI828" s="547" t="s">
        <v>709</v>
      </c>
      <c r="BJ828" s="547" t="s">
        <v>709</v>
      </c>
      <c r="BK828" s="547" t="s">
        <v>709</v>
      </c>
      <c r="BL828" s="547" t="s">
        <v>116</v>
      </c>
      <c r="BM828" s="547" t="s">
        <v>709</v>
      </c>
      <c r="BN828" s="547" t="s">
        <v>709</v>
      </c>
      <c r="BO828" s="547" t="s">
        <v>709</v>
      </c>
      <c r="BP828" s="547" t="s">
        <v>709</v>
      </c>
      <c r="BQ828" s="547" t="s">
        <v>709</v>
      </c>
      <c r="BR828" s="547" t="s">
        <v>709</v>
      </c>
      <c r="BS828" s="547">
        <v>3702</v>
      </c>
      <c r="BT828" s="547" t="s">
        <v>709</v>
      </c>
      <c r="BU828" s="547" t="s">
        <v>709</v>
      </c>
      <c r="BV828" s="547" t="s">
        <v>745</v>
      </c>
      <c r="BW828" s="547" t="s">
        <v>709</v>
      </c>
      <c r="BX828" s="547" t="s">
        <v>709</v>
      </c>
      <c r="BY828" s="547" t="s">
        <v>745</v>
      </c>
      <c r="BZ828" s="547" t="s">
        <v>709</v>
      </c>
      <c r="CA828" s="483"/>
      <c r="CB828" s="547">
        <v>824</v>
      </c>
      <c r="CC828" s="1481" t="b">
        <v>1</v>
      </c>
      <c r="CD828" t="str">
        <f>Table15[[#This Row],[Engineering Number]]&amp;Table15[[#This Row],[WO Number]]&amp;Table15[[#This Row],[Date Assigned to Designer]]&amp;Table15[[#This Row],[Date Completed]]</f>
        <v>SC2104713120874484444956</v>
      </c>
    </row>
    <row r="829" spans="1:82" customFormat="1" ht="15" customHeight="1" x14ac:dyDescent="0.25">
      <c r="A829">
        <v>2023</v>
      </c>
      <c r="B829" t="s">
        <v>771</v>
      </c>
      <c r="C829" t="s">
        <v>5207</v>
      </c>
      <c r="D829" s="8" t="s">
        <v>5208</v>
      </c>
      <c r="E829" s="8" t="s">
        <v>2217</v>
      </c>
      <c r="F829" s="8" t="s">
        <v>747</v>
      </c>
      <c r="G829" s="8" t="s">
        <v>24</v>
      </c>
      <c r="H829" t="s">
        <v>4354</v>
      </c>
      <c r="I829" s="642">
        <v>44806</v>
      </c>
      <c r="J829" s="18" t="s">
        <v>4354</v>
      </c>
      <c r="K829" s="97">
        <v>44956</v>
      </c>
      <c r="L829" s="16">
        <f>IF(ISTEXT(Table15[[#This Row],[Engineering Approved Design Date]]),Table15[[#This Row],[Date Completed]]-Table15[[#This Row],[Date Assigned to Designer]],Table15[[#This Row],[Engineering Approved Design Date]]-Table15[[#This Row],[Date Completed]])</f>
        <v>150</v>
      </c>
      <c r="M829" t="s">
        <v>5209</v>
      </c>
      <c r="N829" s="99" t="s">
        <v>120</v>
      </c>
      <c r="O829" s="1060">
        <v>45261</v>
      </c>
      <c r="P829" s="21" t="s">
        <v>120</v>
      </c>
      <c r="Q829" s="1061">
        <v>0</v>
      </c>
      <c r="R829" s="1039" t="s">
        <v>115</v>
      </c>
      <c r="S829" s="538">
        <v>0</v>
      </c>
      <c r="T829" s="538">
        <v>0</v>
      </c>
      <c r="U829" s="28">
        <v>5440</v>
      </c>
      <c r="V829" s="858"/>
      <c r="W829" s="437"/>
      <c r="X829" s="538"/>
      <c r="Y829" s="550"/>
      <c r="Z829" s="538"/>
      <c r="AA829" s="561"/>
      <c r="AB829" s="341"/>
      <c r="AC829" s="568"/>
      <c r="AD829" s="1156"/>
      <c r="AE829" s="574"/>
      <c r="AF829" s="574"/>
      <c r="AG829" s="574"/>
      <c r="AH829" s="566"/>
      <c r="AI829" s="1042"/>
      <c r="AJ829" s="1043"/>
      <c r="AK829" s="1043"/>
      <c r="AL829" s="1044"/>
      <c r="AM829" s="542" t="s">
        <v>709</v>
      </c>
      <c r="AN829" s="924"/>
      <c r="AO829" s="925"/>
      <c r="AP829" s="926"/>
      <c r="AQ829" s="926"/>
      <c r="AR829" s="926"/>
      <c r="AS829" s="926"/>
      <c r="AT829" s="926"/>
      <c r="AU829" s="926"/>
      <c r="AV829" s="926"/>
      <c r="AW829" s="927"/>
      <c r="AX829" s="926"/>
      <c r="AY829" s="1538" t="s">
        <v>29</v>
      </c>
      <c r="AZ829" s="1530"/>
      <c r="BA829" s="859" t="s">
        <v>5210</v>
      </c>
      <c r="BB829" s="644" t="s">
        <v>5211</v>
      </c>
      <c r="BC829" s="544" t="s">
        <v>116</v>
      </c>
      <c r="BD829" s="544" t="s">
        <v>1333</v>
      </c>
      <c r="BE829" s="544" t="s">
        <v>5212</v>
      </c>
      <c r="BF829" s="544" t="s">
        <v>115</v>
      </c>
      <c r="BG829" s="544" t="s">
        <v>115</v>
      </c>
      <c r="BH829" s="741"/>
      <c r="BI829" s="547" t="s">
        <v>709</v>
      </c>
      <c r="BJ829" s="547" t="s">
        <v>709</v>
      </c>
      <c r="BK829" s="547" t="s">
        <v>709</v>
      </c>
      <c r="BL829" s="547" t="s">
        <v>116</v>
      </c>
      <c r="BM829" s="547" t="s">
        <v>709</v>
      </c>
      <c r="BN829" s="547" t="s">
        <v>709</v>
      </c>
      <c r="BO829" s="547" t="s">
        <v>709</v>
      </c>
      <c r="BP829" s="547" t="s">
        <v>709</v>
      </c>
      <c r="BQ829" s="547" t="s">
        <v>709</v>
      </c>
      <c r="BR829" s="547" t="s">
        <v>709</v>
      </c>
      <c r="BS829" s="547">
        <v>4575</v>
      </c>
      <c r="BT829" s="547" t="s">
        <v>745</v>
      </c>
      <c r="BU829" s="547" t="s">
        <v>709</v>
      </c>
      <c r="BV829" s="547" t="s">
        <v>745</v>
      </c>
      <c r="BW829" s="547" t="s">
        <v>709</v>
      </c>
      <c r="BX829" s="547" t="s">
        <v>745</v>
      </c>
      <c r="BY829" s="547" t="s">
        <v>745</v>
      </c>
      <c r="BZ829" s="547" t="s">
        <v>709</v>
      </c>
      <c r="CA829" s="483"/>
      <c r="CB829" s="547">
        <v>827</v>
      </c>
      <c r="CC829" s="1481" t="b">
        <v>1</v>
      </c>
      <c r="CD829" t="str">
        <f>Table15[[#This Row],[Engineering Number]]&amp;Table15[[#This Row],[WO Number]]&amp;Table15[[#This Row],[Date Assigned to Designer]]&amp;Table15[[#This Row],[Date Completed]]</f>
        <v>BS43514118014480644956</v>
      </c>
    </row>
    <row r="830" spans="1:82" customFormat="1" ht="15" customHeight="1" x14ac:dyDescent="0.25">
      <c r="A830">
        <v>2023</v>
      </c>
      <c r="B830" s="8" t="s">
        <v>759</v>
      </c>
      <c r="C830" s="8" t="s">
        <v>336</v>
      </c>
      <c r="D830" s="8" t="s">
        <v>5222</v>
      </c>
      <c r="E830" s="8" t="s">
        <v>1352</v>
      </c>
      <c r="F830" s="8" t="s">
        <v>752</v>
      </c>
      <c r="G830" s="8" t="s">
        <v>32</v>
      </c>
      <c r="H830" s="8" t="s">
        <v>59</v>
      </c>
      <c r="I830" s="642">
        <v>44837</v>
      </c>
      <c r="J830" s="18">
        <v>44957</v>
      </c>
      <c r="K830" s="97">
        <v>44957</v>
      </c>
      <c r="L830" s="16">
        <f>IF(ISTEXT(Table15[[#This Row],[Engineering Approved Design Date]]),Table15[[#This Row],[Date Completed]]-Table15[[#This Row],[Date Assigned to Designer]],Table15[[#This Row],[Engineering Approved Design Date]]-Table15[[#This Row],[Date Completed]])</f>
        <v>0</v>
      </c>
      <c r="M830" s="642"/>
      <c r="N830" s="642" t="s">
        <v>120</v>
      </c>
      <c r="O830" s="1060">
        <v>44958</v>
      </c>
      <c r="P830" s="1152" t="s">
        <v>120</v>
      </c>
      <c r="Q830" s="1061">
        <v>14750</v>
      </c>
      <c r="R830" s="1026" t="s">
        <v>5223</v>
      </c>
      <c r="S830" s="538"/>
      <c r="T830" s="538">
        <v>15220</v>
      </c>
      <c r="U830" s="87">
        <v>0</v>
      </c>
      <c r="V830" s="858">
        <v>318</v>
      </c>
      <c r="W830" s="437">
        <v>1</v>
      </c>
      <c r="X830" s="1066">
        <v>667180.67000000004</v>
      </c>
      <c r="Y830" s="551"/>
      <c r="Z830" s="1066">
        <v>102930.85</v>
      </c>
      <c r="AA830" s="552">
        <f>Table15[[#This Row],[PCTS Investment Amount]]+Table15[[#This Row],[PCTS Retirement Amount]]</f>
        <v>770111.52</v>
      </c>
      <c r="AB830" s="341">
        <v>44967</v>
      </c>
      <c r="AC830" s="568" t="s">
        <v>1441</v>
      </c>
      <c r="AD830" s="1157" t="s">
        <v>29</v>
      </c>
      <c r="AE830" s="579"/>
      <c r="AF830" s="579"/>
      <c r="AG830" s="579"/>
      <c r="AH830" s="553"/>
      <c r="AI830" s="1036"/>
      <c r="AJ830" s="1037"/>
      <c r="AK830" s="1037"/>
      <c r="AL830" s="1038"/>
      <c r="AM830" s="542" t="s">
        <v>709</v>
      </c>
      <c r="AN830" s="924"/>
      <c r="AO830" s="925"/>
      <c r="AP830" s="926"/>
      <c r="AQ830" s="926"/>
      <c r="AR830" s="926"/>
      <c r="AS830" s="926"/>
      <c r="AT830" s="926"/>
      <c r="AU830" s="926"/>
      <c r="AV830" s="926"/>
      <c r="AW830" s="927"/>
      <c r="AX830" s="926"/>
      <c r="AY830" s="1538" t="s">
        <v>29</v>
      </c>
      <c r="AZ830" s="1530"/>
      <c r="BA830" s="1031" t="s">
        <v>5224</v>
      </c>
      <c r="BB830" s="644" t="s">
        <v>756</v>
      </c>
      <c r="BC830" s="544" t="s">
        <v>1790</v>
      </c>
      <c r="BD830" s="544" t="s">
        <v>1355</v>
      </c>
      <c r="BE830" s="544" t="s">
        <v>115</v>
      </c>
      <c r="BF830" s="544" t="s">
        <v>115</v>
      </c>
      <c r="BG830" s="544"/>
      <c r="BH830" s="741" t="s">
        <v>5225</v>
      </c>
      <c r="BI830" s="547" t="s">
        <v>709</v>
      </c>
      <c r="BJ830" s="547" t="s">
        <v>709</v>
      </c>
      <c r="BK830" s="547" t="s">
        <v>116</v>
      </c>
      <c r="BL830" s="547" t="s">
        <v>116</v>
      </c>
      <c r="BM830" s="547">
        <v>0</v>
      </c>
      <c r="BN830" s="549">
        <v>0</v>
      </c>
      <c r="BO830" s="547">
        <v>0</v>
      </c>
      <c r="BP830" s="547">
        <v>94</v>
      </c>
      <c r="BQ830" s="547">
        <v>84</v>
      </c>
      <c r="BR830" s="547">
        <v>45</v>
      </c>
      <c r="BS830" s="547">
        <v>5</v>
      </c>
      <c r="BT830" s="547">
        <v>1</v>
      </c>
      <c r="BU830" s="547">
        <v>0</v>
      </c>
      <c r="BV830" s="547">
        <v>0</v>
      </c>
      <c r="BW830" s="547">
        <v>1</v>
      </c>
      <c r="BX830" s="547">
        <v>1</v>
      </c>
      <c r="BY830" s="547">
        <v>0</v>
      </c>
      <c r="BZ830" s="547" t="s">
        <v>709</v>
      </c>
      <c r="CA830" s="483"/>
      <c r="CB830" s="547">
        <v>828</v>
      </c>
      <c r="CC830" s="1481" t="b">
        <v>1</v>
      </c>
      <c r="CD830" t="str">
        <f>Table15[[#This Row],[Engineering Number]]&amp;Table15[[#This Row],[WO Number]]&amp;Table15[[#This Row],[Date Assigned to Designer]]&amp;Table15[[#This Row],[Date Completed]]</f>
        <v>RS94110119134483744957</v>
      </c>
    </row>
    <row r="831" spans="1:82" customFormat="1" ht="15" customHeight="1" x14ac:dyDescent="0.25">
      <c r="A831">
        <v>2023</v>
      </c>
      <c r="B831" s="8" t="s">
        <v>759</v>
      </c>
      <c r="C831" s="8" t="s">
        <v>5227</v>
      </c>
      <c r="D831" s="8" t="s">
        <v>5228</v>
      </c>
      <c r="E831" s="8" t="s">
        <v>155</v>
      </c>
      <c r="F831" s="8" t="s">
        <v>752</v>
      </c>
      <c r="G831" s="8" t="s">
        <v>32</v>
      </c>
      <c r="H831" s="8" t="s">
        <v>59</v>
      </c>
      <c r="I831" s="642">
        <v>44837</v>
      </c>
      <c r="J831" s="18">
        <v>44957</v>
      </c>
      <c r="K831" s="97">
        <v>44957</v>
      </c>
      <c r="L831" s="16">
        <f>IF(ISTEXT(Table15[[#This Row],[Engineering Approved Design Date]]),Table15[[#This Row],[Date Completed]]-Table15[[#This Row],[Date Assigned to Designer]],Table15[[#This Row],[Engineering Approved Design Date]]-Table15[[#This Row],[Date Completed]])</f>
        <v>0</v>
      </c>
      <c r="M831" s="642"/>
      <c r="N831" s="642" t="s">
        <v>120</v>
      </c>
      <c r="O831" s="1060">
        <v>44958</v>
      </c>
      <c r="P831" s="1152" t="s">
        <v>120</v>
      </c>
      <c r="Q831" s="1061">
        <v>14750</v>
      </c>
      <c r="R831" s="1026" t="s">
        <v>5223</v>
      </c>
      <c r="S831" s="538"/>
      <c r="T831" s="538">
        <v>18010</v>
      </c>
      <c r="U831" s="87">
        <v>0</v>
      </c>
      <c r="V831" s="858">
        <v>217</v>
      </c>
      <c r="W831" s="437">
        <v>1</v>
      </c>
      <c r="X831" s="1066">
        <v>407123.68</v>
      </c>
      <c r="Y831" s="551"/>
      <c r="Z831" s="1066">
        <v>64840.91</v>
      </c>
      <c r="AA831" s="552">
        <f>Table15[[#This Row],[PCTS Investment Amount]]+Table15[[#This Row],[PCTS Retirement Amount]]</f>
        <v>471964.58999999997</v>
      </c>
      <c r="AB831" s="341">
        <v>44973</v>
      </c>
      <c r="AC831" s="568" t="s">
        <v>1177</v>
      </c>
      <c r="AD831" s="1157" t="s">
        <v>29</v>
      </c>
      <c r="AE831" s="579"/>
      <c r="AF831" s="579"/>
      <c r="AG831" s="579"/>
      <c r="AH831" s="553"/>
      <c r="AI831" s="1036"/>
      <c r="AJ831" s="1037"/>
      <c r="AK831" s="1037"/>
      <c r="AL831" s="1038"/>
      <c r="AM831" s="542" t="s">
        <v>709</v>
      </c>
      <c r="AN831" s="924"/>
      <c r="AO831" s="925"/>
      <c r="AP831" s="926"/>
      <c r="AQ831" s="926"/>
      <c r="AR831" s="926"/>
      <c r="AS831" s="926"/>
      <c r="AT831" s="926"/>
      <c r="AU831" s="926"/>
      <c r="AV831" s="926"/>
      <c r="AW831" s="927"/>
      <c r="AX831" s="926"/>
      <c r="AY831" s="1538" t="s">
        <v>29</v>
      </c>
      <c r="AZ831" s="1530"/>
      <c r="BA831" s="1031" t="s">
        <v>5229</v>
      </c>
      <c r="BB831" s="644" t="s">
        <v>756</v>
      </c>
      <c r="BC831" s="544" t="s">
        <v>1790</v>
      </c>
      <c r="BD831" s="544" t="s">
        <v>1085</v>
      </c>
      <c r="BE831" s="544" t="s">
        <v>115</v>
      </c>
      <c r="BF831" s="544" t="s">
        <v>115</v>
      </c>
      <c r="BG831" s="544"/>
      <c r="BH831" s="741" t="s">
        <v>5230</v>
      </c>
      <c r="BI831" s="547" t="s">
        <v>709</v>
      </c>
      <c r="BJ831" s="547" t="s">
        <v>709</v>
      </c>
      <c r="BK831" s="547" t="s">
        <v>709</v>
      </c>
      <c r="BL831" s="547" t="s">
        <v>116</v>
      </c>
      <c r="BM831" s="547">
        <v>0</v>
      </c>
      <c r="BN831" s="549">
        <v>0</v>
      </c>
      <c r="BO831" s="547">
        <v>0</v>
      </c>
      <c r="BP831" s="547">
        <v>0</v>
      </c>
      <c r="BQ831" s="547">
        <v>47</v>
      </c>
      <c r="BR831" s="547">
        <v>35</v>
      </c>
      <c r="BS831" s="547">
        <v>45</v>
      </c>
      <c r="BT831" s="547">
        <v>1</v>
      </c>
      <c r="BU831" s="547">
        <v>0</v>
      </c>
      <c r="BV831" s="547">
        <v>0</v>
      </c>
      <c r="BW831" s="547">
        <v>1</v>
      </c>
      <c r="BX831" s="547">
        <v>1</v>
      </c>
      <c r="BY831" s="547">
        <v>0</v>
      </c>
      <c r="BZ831" s="547" t="s">
        <v>709</v>
      </c>
      <c r="CA831" s="483"/>
      <c r="CB831" s="547">
        <v>829</v>
      </c>
      <c r="CC831" s="1481" t="b">
        <v>1</v>
      </c>
      <c r="CD831" t="str">
        <f>Table15[[#This Row],[Engineering Number]]&amp;Table15[[#This Row],[WO Number]]&amp;Table15[[#This Row],[Date Assigned to Designer]]&amp;Table15[[#This Row],[Date Completed]]</f>
        <v>RS94210119144483744957</v>
      </c>
    </row>
    <row r="832" spans="1:82" customFormat="1" ht="15" customHeight="1" x14ac:dyDescent="0.25">
      <c r="A832">
        <v>2023</v>
      </c>
      <c r="B832" s="8" t="s">
        <v>731</v>
      </c>
      <c r="C832" s="8" t="s">
        <v>5253</v>
      </c>
      <c r="D832" s="8" t="s">
        <v>5254</v>
      </c>
      <c r="E832" s="8" t="s">
        <v>5255</v>
      </c>
      <c r="F832" s="8" t="s">
        <v>4899</v>
      </c>
      <c r="G832" s="8" t="s">
        <v>31</v>
      </c>
      <c r="H832" s="8" t="s">
        <v>59</v>
      </c>
      <c r="I832" s="642">
        <v>44893</v>
      </c>
      <c r="J832" s="18">
        <v>44974</v>
      </c>
      <c r="K832" s="97">
        <v>44964</v>
      </c>
      <c r="L832" s="16">
        <f>IF(ISTEXT(Table15[[#This Row],[Engineering Approved Design Date]]),Table15[[#This Row],[Date Completed]]-Table15[[#This Row],[Date Assigned to Designer]],Table15[[#This Row],[Engineering Approved Design Date]]-Table15[[#This Row],[Date Completed]])</f>
        <v>10</v>
      </c>
      <c r="M832" s="642"/>
      <c r="N832" s="642" t="s">
        <v>120</v>
      </c>
      <c r="O832" s="1060">
        <f>Table15[[#This Row],[Date Completed]]</f>
        <v>44964</v>
      </c>
      <c r="P832" s="1152" t="s">
        <v>739</v>
      </c>
      <c r="Q832" s="1061">
        <f>5750*Table15[[#This Row],['# of PV/STR/FV/TW/VLT]]</f>
        <v>17250</v>
      </c>
      <c r="R832" s="1026" t="s">
        <v>5256</v>
      </c>
      <c r="S832" s="538"/>
      <c r="T832" s="538">
        <v>0</v>
      </c>
      <c r="U832" s="87">
        <v>0</v>
      </c>
      <c r="V832" s="858"/>
      <c r="W832" s="437">
        <v>3</v>
      </c>
      <c r="X832" s="1066">
        <v>0</v>
      </c>
      <c r="Y832" s="551"/>
      <c r="Z832" s="1066">
        <v>87372.32</v>
      </c>
      <c r="AA832" s="552">
        <f>Table15[[#This Row],[PCTS Retirement Amount]]</f>
        <v>87372.32</v>
      </c>
      <c r="AB832" s="341" t="s">
        <v>29</v>
      </c>
      <c r="AC832" s="568" t="s">
        <v>709</v>
      </c>
      <c r="AD832" s="1157" t="s">
        <v>29</v>
      </c>
      <c r="AE832" s="579"/>
      <c r="AF832" s="579"/>
      <c r="AG832" s="579"/>
      <c r="AH832" s="553"/>
      <c r="AI832" s="1036"/>
      <c r="AJ832" s="1037"/>
      <c r="AK832" s="1037"/>
      <c r="AL832" s="1038"/>
      <c r="AM832" s="542" t="s">
        <v>709</v>
      </c>
      <c r="AN832" s="924"/>
      <c r="AO832" s="925"/>
      <c r="AP832" s="926"/>
      <c r="AQ832" s="926"/>
      <c r="AR832" s="926"/>
      <c r="AS832" s="926"/>
      <c r="AT832" s="926"/>
      <c r="AU832" s="926"/>
      <c r="AV832" s="926"/>
      <c r="AW832" s="927"/>
      <c r="AX832" s="926"/>
      <c r="AY832" s="1538" t="s">
        <v>29</v>
      </c>
      <c r="AZ832" s="1530"/>
      <c r="BA832" s="1031" t="s">
        <v>5257</v>
      </c>
      <c r="BB832" s="644" t="s">
        <v>5258</v>
      </c>
      <c r="BC832" s="544" t="s">
        <v>709</v>
      </c>
      <c r="BD832" s="544" t="s">
        <v>115</v>
      </c>
      <c r="BE832" s="544" t="s">
        <v>5259</v>
      </c>
      <c r="BF832" s="544" t="s">
        <v>115</v>
      </c>
      <c r="BG832" s="544" t="s">
        <v>115</v>
      </c>
      <c r="BH832" s="741"/>
      <c r="BI832" s="547" t="s">
        <v>709</v>
      </c>
      <c r="BJ832" s="547" t="s">
        <v>709</v>
      </c>
      <c r="BK832" s="547" t="s">
        <v>709</v>
      </c>
      <c r="BL832" s="547" t="s">
        <v>709</v>
      </c>
      <c r="BM832" s="547" t="s">
        <v>709</v>
      </c>
      <c r="BN832" s="547" t="s">
        <v>709</v>
      </c>
      <c r="BO832" s="547" t="s">
        <v>709</v>
      </c>
      <c r="BP832" s="547" t="s">
        <v>709</v>
      </c>
      <c r="BQ832" s="547" t="s">
        <v>709</v>
      </c>
      <c r="BR832" s="547" t="s">
        <v>709</v>
      </c>
      <c r="BS832" s="547" t="s">
        <v>709</v>
      </c>
      <c r="BT832" s="547" t="s">
        <v>745</v>
      </c>
      <c r="BU832" s="547" t="s">
        <v>709</v>
      </c>
      <c r="BV832" s="547">
        <v>3</v>
      </c>
      <c r="BW832" s="547" t="s">
        <v>709</v>
      </c>
      <c r="BX832" s="547" t="s">
        <v>745</v>
      </c>
      <c r="BY832" s="547" t="s">
        <v>745</v>
      </c>
      <c r="BZ832" s="547" t="s">
        <v>709</v>
      </c>
      <c r="CA832" s="483" t="s">
        <v>1146</v>
      </c>
      <c r="CB832" s="547">
        <v>834</v>
      </c>
      <c r="CC832" s="1481" t="b">
        <v>1</v>
      </c>
      <c r="CD832" t="str">
        <f>Table15[[#This Row],[Engineering Number]]&amp;Table15[[#This Row],[WO Number]]&amp;Table15[[#This Row],[Date Assigned to Designer]]&amp;Table15[[#This Row],[Date Completed]]</f>
        <v>MR196132121074489344964</v>
      </c>
    </row>
    <row r="833" spans="1:82" customFormat="1" ht="15" customHeight="1" x14ac:dyDescent="0.25">
      <c r="A833">
        <v>2023</v>
      </c>
      <c r="B833" s="8" t="s">
        <v>1073</v>
      </c>
      <c r="C833" s="8" t="s">
        <v>5239</v>
      </c>
      <c r="D833" s="8" t="s">
        <v>5240</v>
      </c>
      <c r="E833" s="8" t="s">
        <v>3673</v>
      </c>
      <c r="F833" s="8" t="s">
        <v>747</v>
      </c>
      <c r="G833" s="8" t="s">
        <v>22</v>
      </c>
      <c r="H833" s="8" t="s">
        <v>59</v>
      </c>
      <c r="I833" s="642">
        <v>44908</v>
      </c>
      <c r="J833" s="18">
        <v>44967</v>
      </c>
      <c r="K833" s="97">
        <v>44964</v>
      </c>
      <c r="L833" s="16">
        <f>IF(ISTEXT(Table15[[#This Row],[Engineering Approved Design Date]]),Table15[[#This Row],[Date Completed]]-Table15[[#This Row],[Date Assigned to Designer]],Table15[[#This Row],[Engineering Approved Design Date]]-Table15[[#This Row],[Date Completed]])</f>
        <v>3</v>
      </c>
      <c r="M833" s="642"/>
      <c r="N833" s="642" t="s">
        <v>120</v>
      </c>
      <c r="O833" s="1060">
        <f>Table15[[#This Row],[Date Completed]]</f>
        <v>44964</v>
      </c>
      <c r="P833" s="1152" t="s">
        <v>739</v>
      </c>
      <c r="Q833" s="1061">
        <f>R833*AA833</f>
        <v>31111.163200000003</v>
      </c>
      <c r="R833" s="1026">
        <v>0.08</v>
      </c>
      <c r="S833" s="538"/>
      <c r="T833" s="538"/>
      <c r="U833" s="87"/>
      <c r="V833" s="858">
        <v>1619</v>
      </c>
      <c r="W833" s="437"/>
      <c r="X833" s="552">
        <v>359313.9</v>
      </c>
      <c r="Y833" s="551"/>
      <c r="Z833" s="552">
        <v>29575.64</v>
      </c>
      <c r="AA833" s="552">
        <f>Table15[[#This Row],[PCTS Investment Amount]]+Table15[[#This Row],[PCTS Retirement Amount]]</f>
        <v>388889.54000000004</v>
      </c>
      <c r="AB833" s="341">
        <v>44965</v>
      </c>
      <c r="AC833" s="568" t="s">
        <v>709</v>
      </c>
      <c r="AD833" s="1157" t="s">
        <v>29</v>
      </c>
      <c r="AE833" s="568"/>
      <c r="AF833" s="568"/>
      <c r="AG833" s="568"/>
      <c r="AH833" s="183"/>
      <c r="AI833" s="1036"/>
      <c r="AJ833" s="1037"/>
      <c r="AK833" s="1037"/>
      <c r="AL833" s="1038"/>
      <c r="AM833" s="1522" t="s">
        <v>116</v>
      </c>
      <c r="AN833" s="1523">
        <v>45036</v>
      </c>
      <c r="AO833" s="1524">
        <v>11057577</v>
      </c>
      <c r="AP833" s="1525">
        <v>359816.85</v>
      </c>
      <c r="AQ833" s="1525"/>
      <c r="AR833" s="1525">
        <v>29789.78</v>
      </c>
      <c r="AS833" s="1525">
        <f>IF(Table15[[#This Row],[PCTS Approved]]="N",0,Table15[[#This Row],[Investment Amount (1'#'#'#'#'#)]]+Table15[[#This Row],[Retirement Amount (3'#'#'#'#'#)]])</f>
        <v>389606.63</v>
      </c>
      <c r="AT833" s="1525">
        <f>IF(Table15[[#This Row],[Approved Construction Cost]]=0,0,Table15[[#This Row],[Approved Construction Cost]]-Table15[[#This Row],[Construction Cost to Bill From]])</f>
        <v>717.0899999999674</v>
      </c>
      <c r="AU833" s="1525">
        <f>IFERROR(Table15[[#This Row],[Difference in Construction Cost]]*Table15[[#This Row],[Rate]],Table15[[#This Row],[Difference in Construction Cost]]*0.085)</f>
        <v>57.367199999997396</v>
      </c>
      <c r="AV833" s="1525" t="s">
        <v>709</v>
      </c>
      <c r="AW833" s="1526"/>
      <c r="AX833" s="1525">
        <v>57.367199999997396</v>
      </c>
      <c r="AY833" s="1518">
        <v>45200</v>
      </c>
      <c r="AZ833" s="333"/>
      <c r="BA833" s="859" t="s">
        <v>5241</v>
      </c>
      <c r="BB833" s="644" t="s">
        <v>5242</v>
      </c>
      <c r="BC833" s="544" t="s">
        <v>116</v>
      </c>
      <c r="BD833" s="544" t="s">
        <v>2820</v>
      </c>
      <c r="BE833" s="544" t="s">
        <v>709</v>
      </c>
      <c r="BF833" s="544" t="s">
        <v>709</v>
      </c>
      <c r="BG833" s="544" t="s">
        <v>709</v>
      </c>
      <c r="BH833" s="741"/>
      <c r="BI833" s="547" t="s">
        <v>709</v>
      </c>
      <c r="BJ833" s="547" t="s">
        <v>709</v>
      </c>
      <c r="BK833" s="547" t="s">
        <v>116</v>
      </c>
      <c r="BL833" s="547" t="s">
        <v>116</v>
      </c>
      <c r="BM833" s="547" t="s">
        <v>709</v>
      </c>
      <c r="BN833" s="547" t="s">
        <v>709</v>
      </c>
      <c r="BO833" s="547" t="s">
        <v>709</v>
      </c>
      <c r="BP833" s="547" t="s">
        <v>709</v>
      </c>
      <c r="BQ833" s="547" t="s">
        <v>709</v>
      </c>
      <c r="BR833" s="547">
        <v>1599</v>
      </c>
      <c r="BS833" s="547">
        <v>20</v>
      </c>
      <c r="BT833" s="547" t="s">
        <v>745</v>
      </c>
      <c r="BU833" s="547" t="s">
        <v>709</v>
      </c>
      <c r="BV833" s="547" t="s">
        <v>745</v>
      </c>
      <c r="BW833" s="547" t="s">
        <v>709</v>
      </c>
      <c r="BX833" s="547" t="s">
        <v>745</v>
      </c>
      <c r="BY833" s="547">
        <v>1</v>
      </c>
      <c r="BZ833" s="547" t="s">
        <v>709</v>
      </c>
      <c r="CA833" s="483"/>
      <c r="CB833" s="547">
        <v>830</v>
      </c>
      <c r="CC833" s="1481" t="b">
        <v>1</v>
      </c>
      <c r="CD833" t="str">
        <f>Table15[[#This Row],[Engineering Number]]&amp;Table15[[#This Row],[WO Number]]&amp;Table15[[#This Row],[Date Assigned to Designer]]&amp;Table15[[#This Row],[Date Completed]]</f>
        <v>NBA1000694819121404490844964</v>
      </c>
    </row>
    <row r="834" spans="1:82" customFormat="1" ht="15" customHeight="1" x14ac:dyDescent="0.25">
      <c r="A834">
        <v>2023</v>
      </c>
      <c r="B834" s="8" t="s">
        <v>1073</v>
      </c>
      <c r="C834" s="8" t="s">
        <v>5239</v>
      </c>
      <c r="D834" s="8" t="s">
        <v>5244</v>
      </c>
      <c r="E834" s="8" t="s">
        <v>3673</v>
      </c>
      <c r="F834" s="8" t="s">
        <v>747</v>
      </c>
      <c r="G834" s="8" t="s">
        <v>22</v>
      </c>
      <c r="H834" s="8" t="s">
        <v>59</v>
      </c>
      <c r="I834" s="642">
        <v>44908</v>
      </c>
      <c r="J834" s="18">
        <v>44967</v>
      </c>
      <c r="K834" s="97">
        <v>44964</v>
      </c>
      <c r="L834" s="16">
        <f>IF(ISTEXT(Table15[[#This Row],[Engineering Approved Design Date]]),Table15[[#This Row],[Date Completed]]-Table15[[#This Row],[Date Assigned to Designer]],Table15[[#This Row],[Engineering Approved Design Date]]-Table15[[#This Row],[Date Completed]])</f>
        <v>3</v>
      </c>
      <c r="M834" s="642"/>
      <c r="N834" s="642" t="s">
        <v>120</v>
      </c>
      <c r="O834" s="1060">
        <f>Table15[[#This Row],[Date Completed]]</f>
        <v>44964</v>
      </c>
      <c r="P834" s="1152" t="s">
        <v>739</v>
      </c>
      <c r="Q834" s="1061">
        <f>R834*AA834</f>
        <v>5995.1671999999999</v>
      </c>
      <c r="R834" s="1026">
        <v>0.08</v>
      </c>
      <c r="S834" s="538"/>
      <c r="T834" s="538"/>
      <c r="U834" s="87"/>
      <c r="V834" s="858">
        <v>120</v>
      </c>
      <c r="W834" s="437"/>
      <c r="X834" s="552">
        <v>66429.78</v>
      </c>
      <c r="Y834" s="551"/>
      <c r="Z834" s="552">
        <v>8509.81</v>
      </c>
      <c r="AA834" s="552">
        <f>Table15[[#This Row],[PCTS Investment Amount]]+Table15[[#This Row],[PCTS Retirement Amount]]</f>
        <v>74939.59</v>
      </c>
      <c r="AB834" s="341">
        <v>44965</v>
      </c>
      <c r="AC834" s="568" t="s">
        <v>709</v>
      </c>
      <c r="AD834" s="1157" t="s">
        <v>29</v>
      </c>
      <c r="AE834" s="568"/>
      <c r="AF834" s="568"/>
      <c r="AG834" s="568"/>
      <c r="AH834" s="183"/>
      <c r="AI834" s="1036"/>
      <c r="AJ834" s="1037"/>
      <c r="AK834" s="1037"/>
      <c r="AL834" s="1038"/>
      <c r="AM834" s="1522" t="s">
        <v>116</v>
      </c>
      <c r="AN834" s="1523">
        <v>45036</v>
      </c>
      <c r="AO834" s="1524">
        <v>11057578</v>
      </c>
      <c r="AP834" s="1525">
        <v>66537.350000000006</v>
      </c>
      <c r="AQ834" s="1525"/>
      <c r="AR834" s="1525">
        <v>0</v>
      </c>
      <c r="AS834" s="1525">
        <f>IF(Table15[[#This Row],[PCTS Approved]]="N",0,Table15[[#This Row],[Investment Amount (1'#'#'#'#'#)]]+Table15[[#This Row],[Retirement Amount (3'#'#'#'#'#)]])</f>
        <v>66537.350000000006</v>
      </c>
      <c r="AT834" s="1525">
        <f>IF(Table15[[#This Row],[Approved Construction Cost]]=0,0,Table15[[#This Row],[Approved Construction Cost]]-Table15[[#This Row],[Construction Cost to Bill From]])</f>
        <v>-8402.2399999999907</v>
      </c>
      <c r="AU834" s="1525">
        <f>IFERROR(Table15[[#This Row],[Difference in Construction Cost]]*Table15[[#This Row],[Rate]],Table15[[#This Row],[Difference in Construction Cost]]*0.085)</f>
        <v>-672.17919999999924</v>
      </c>
      <c r="AV834" s="1525" t="s">
        <v>709</v>
      </c>
      <c r="AW834" s="1526" t="s">
        <v>5245</v>
      </c>
      <c r="AX834" s="1525">
        <v>-672.17919999999924</v>
      </c>
      <c r="AY834" s="1518">
        <v>45200</v>
      </c>
      <c r="AZ834" s="333"/>
      <c r="BA834" s="859" t="s">
        <v>5246</v>
      </c>
      <c r="BB834" s="644" t="s">
        <v>5247</v>
      </c>
      <c r="BC834" s="544" t="s">
        <v>709</v>
      </c>
      <c r="BD834" s="544" t="s">
        <v>709</v>
      </c>
      <c r="BE834" s="544" t="s">
        <v>5248</v>
      </c>
      <c r="BF834" s="544" t="s">
        <v>709</v>
      </c>
      <c r="BG834" s="544" t="s">
        <v>1078</v>
      </c>
      <c r="BH834" s="741"/>
      <c r="BI834" s="547" t="s">
        <v>709</v>
      </c>
      <c r="BJ834" s="547" t="s">
        <v>709</v>
      </c>
      <c r="BK834" s="547" t="s">
        <v>116</v>
      </c>
      <c r="BL834" s="547" t="s">
        <v>116</v>
      </c>
      <c r="BM834" s="547" t="s">
        <v>709</v>
      </c>
      <c r="BN834" s="547" t="s">
        <v>709</v>
      </c>
      <c r="BO834" s="547" t="s">
        <v>709</v>
      </c>
      <c r="BP834" s="547" t="s">
        <v>709</v>
      </c>
      <c r="BQ834" s="547" t="s">
        <v>709</v>
      </c>
      <c r="BR834" s="547">
        <v>1599</v>
      </c>
      <c r="BS834" s="547">
        <v>20</v>
      </c>
      <c r="BT834" s="547" t="s">
        <v>745</v>
      </c>
      <c r="BU834" s="547" t="s">
        <v>709</v>
      </c>
      <c r="BV834" s="547" t="s">
        <v>745</v>
      </c>
      <c r="BW834" s="547" t="s">
        <v>709</v>
      </c>
      <c r="BX834" s="547" t="s">
        <v>745</v>
      </c>
      <c r="BY834" s="547">
        <v>1</v>
      </c>
      <c r="BZ834" s="547" t="s">
        <v>709</v>
      </c>
      <c r="CA834" s="483"/>
      <c r="CB834" s="547">
        <v>831</v>
      </c>
      <c r="CC834" s="1481" t="b">
        <v>1</v>
      </c>
      <c r="CD834" t="str">
        <f>Table15[[#This Row],[Engineering Number]]&amp;Table15[[#This Row],[WO Number]]&amp;Table15[[#This Row],[Date Assigned to Designer]]&amp;Table15[[#This Row],[Date Completed]]</f>
        <v>NBA1000694819121414490844964</v>
      </c>
    </row>
    <row r="835" spans="1:82" customFormat="1" ht="15" customHeight="1" x14ac:dyDescent="0.25">
      <c r="A835">
        <v>2023</v>
      </c>
      <c r="B835" s="8" t="s">
        <v>1073</v>
      </c>
      <c r="C835" s="8" t="s">
        <v>5239</v>
      </c>
      <c r="D835" s="8" t="s">
        <v>5250</v>
      </c>
      <c r="E835" s="8" t="s">
        <v>3673</v>
      </c>
      <c r="F835" s="8" t="s">
        <v>747</v>
      </c>
      <c r="G835" s="8" t="s">
        <v>22</v>
      </c>
      <c r="H835" s="8" t="s">
        <v>59</v>
      </c>
      <c r="I835" s="642">
        <v>44908</v>
      </c>
      <c r="J835" s="18">
        <v>44967</v>
      </c>
      <c r="K835" s="97">
        <v>44964</v>
      </c>
      <c r="L835" s="16">
        <f>IF(ISTEXT(Table15[[#This Row],[Engineering Approved Design Date]]),Table15[[#This Row],[Date Completed]]-Table15[[#This Row],[Date Assigned to Designer]],Table15[[#This Row],[Engineering Approved Design Date]]-Table15[[#This Row],[Date Completed]])</f>
        <v>3</v>
      </c>
      <c r="M835" s="642"/>
      <c r="N835" s="642" t="s">
        <v>120</v>
      </c>
      <c r="O835" s="1060">
        <f>Table15[[#This Row],[Date Completed]]</f>
        <v>44964</v>
      </c>
      <c r="P835" s="1152" t="s">
        <v>739</v>
      </c>
      <c r="Q835" s="1061">
        <f>R835*AA835</f>
        <v>3947.788</v>
      </c>
      <c r="R835" s="1026">
        <v>0.08</v>
      </c>
      <c r="S835" s="538"/>
      <c r="T835" s="538"/>
      <c r="U835" s="87"/>
      <c r="V835" s="858">
        <v>0</v>
      </c>
      <c r="W835" s="437"/>
      <c r="X835" s="552">
        <v>49347.35</v>
      </c>
      <c r="Y835" s="551"/>
      <c r="Z835" s="552">
        <v>0</v>
      </c>
      <c r="AA835" s="552">
        <f>Table15[[#This Row],[PCTS Investment Amount]]+Table15[[#This Row],[PCTS Retirement Amount]]</f>
        <v>49347.35</v>
      </c>
      <c r="AB835" s="341">
        <v>44965</v>
      </c>
      <c r="AC835" s="568" t="s">
        <v>709</v>
      </c>
      <c r="AD835" s="1157" t="s">
        <v>29</v>
      </c>
      <c r="AE835" s="568"/>
      <c r="AF835" s="568"/>
      <c r="AG835" s="568"/>
      <c r="AH835" s="183"/>
      <c r="AI835" s="1036"/>
      <c r="AJ835" s="1037"/>
      <c r="AK835" s="1037"/>
      <c r="AL835" s="1038"/>
      <c r="AM835" s="1522" t="s">
        <v>116</v>
      </c>
      <c r="AN835" s="1523">
        <v>45036</v>
      </c>
      <c r="AO835" s="1524">
        <v>11057579</v>
      </c>
      <c r="AP835" s="1525">
        <v>49528.88</v>
      </c>
      <c r="AQ835" s="1525"/>
      <c r="AR835" s="1525">
        <v>0</v>
      </c>
      <c r="AS835" s="1525">
        <f>IF(Table15[[#This Row],[PCTS Approved]]="N",0,Table15[[#This Row],[Investment Amount (1'#'#'#'#'#)]]+Table15[[#This Row],[Retirement Amount (3'#'#'#'#'#)]])</f>
        <v>49528.88</v>
      </c>
      <c r="AT835" s="1525">
        <f>IF(Table15[[#This Row],[Approved Construction Cost]]=0,0,Table15[[#This Row],[Approved Construction Cost]]-Table15[[#This Row],[Construction Cost to Bill From]])</f>
        <v>181.52999999999884</v>
      </c>
      <c r="AU835" s="1525">
        <f>IFERROR(Table15[[#This Row],[Difference in Construction Cost]]*Table15[[#This Row],[Rate]],Table15[[#This Row],[Difference in Construction Cost]]*0.085)</f>
        <v>14.522399999999907</v>
      </c>
      <c r="AV835" s="1525" t="s">
        <v>709</v>
      </c>
      <c r="AW835" s="1526"/>
      <c r="AX835" s="1525">
        <v>14.522399999999907</v>
      </c>
      <c r="AY835" s="1518">
        <v>45200</v>
      </c>
      <c r="AZ835" s="333"/>
      <c r="BA835" s="859" t="s">
        <v>5251</v>
      </c>
      <c r="BB835" s="644" t="s">
        <v>5247</v>
      </c>
      <c r="BC835" s="544" t="s">
        <v>709</v>
      </c>
      <c r="BD835" s="544" t="s">
        <v>709</v>
      </c>
      <c r="BE835" s="544" t="s">
        <v>5248</v>
      </c>
      <c r="BF835" s="544" t="s">
        <v>709</v>
      </c>
      <c r="BG835" s="544" t="s">
        <v>1078</v>
      </c>
      <c r="BH835" s="741"/>
      <c r="BI835" s="547" t="s">
        <v>709</v>
      </c>
      <c r="BJ835" s="547" t="s">
        <v>709</v>
      </c>
      <c r="BK835" s="547" t="s">
        <v>116</v>
      </c>
      <c r="BL835" s="547" t="s">
        <v>116</v>
      </c>
      <c r="BM835" s="547" t="s">
        <v>709</v>
      </c>
      <c r="BN835" s="547" t="s">
        <v>709</v>
      </c>
      <c r="BO835" s="547" t="s">
        <v>709</v>
      </c>
      <c r="BP835" s="547" t="s">
        <v>709</v>
      </c>
      <c r="BQ835" s="547" t="s">
        <v>709</v>
      </c>
      <c r="BR835" s="547">
        <v>1599</v>
      </c>
      <c r="BS835" s="547">
        <v>20</v>
      </c>
      <c r="BT835" s="547" t="s">
        <v>745</v>
      </c>
      <c r="BU835" s="547" t="s">
        <v>709</v>
      </c>
      <c r="BV835" s="547" t="s">
        <v>745</v>
      </c>
      <c r="BW835" s="547" t="s">
        <v>709</v>
      </c>
      <c r="BX835" s="547" t="s">
        <v>745</v>
      </c>
      <c r="BY835" s="547">
        <v>1</v>
      </c>
      <c r="BZ835" s="547" t="s">
        <v>709</v>
      </c>
      <c r="CA835" s="483"/>
      <c r="CB835" s="547">
        <v>832</v>
      </c>
      <c r="CC835" s="1481" t="b">
        <v>1</v>
      </c>
      <c r="CD835" t="str">
        <f>Table15[[#This Row],[Engineering Number]]&amp;Table15[[#This Row],[WO Number]]&amp;Table15[[#This Row],[Date Assigned to Designer]]&amp;Table15[[#This Row],[Date Completed]]</f>
        <v>NBA1000694819121434490844964</v>
      </c>
    </row>
    <row r="836" spans="1:82" customFormat="1" ht="15" customHeight="1" x14ac:dyDescent="0.25">
      <c r="A836">
        <v>2022</v>
      </c>
      <c r="B836" s="8" t="s">
        <v>2</v>
      </c>
      <c r="C836" s="8" t="s">
        <v>326</v>
      </c>
      <c r="D836" s="8" t="s">
        <v>1368</v>
      </c>
      <c r="E836" s="8" t="s">
        <v>327</v>
      </c>
      <c r="F836" s="8" t="s">
        <v>752</v>
      </c>
      <c r="G836" s="8" t="s">
        <v>32</v>
      </c>
      <c r="H836" s="8" t="s">
        <v>4189</v>
      </c>
      <c r="I836" s="642">
        <v>44957</v>
      </c>
      <c r="J836" s="175" t="s">
        <v>2052</v>
      </c>
      <c r="K836" s="97">
        <v>44964</v>
      </c>
      <c r="L836" s="16">
        <f>IF(ISTEXT(Table15[[#This Row],[Engineering Approved Design Date]]),Table15[[#This Row],[Date Completed]]-Table15[[#This Row],[Date Assigned to Designer]],Table15[[#This Row],[Engineering Approved Design Date]]-Table15[[#This Row],[Date Completed]])</f>
        <v>7</v>
      </c>
      <c r="M836" t="s">
        <v>5237</v>
      </c>
      <c r="N836" s="642" t="s">
        <v>120</v>
      </c>
      <c r="O836" s="1060">
        <f>Table15[[#This Row],[Date Completed]]</f>
        <v>44964</v>
      </c>
      <c r="P836" s="21" t="s">
        <v>739</v>
      </c>
      <c r="Q836" s="1061">
        <f>Table15[[#This Row],[KH Hourly Effort]]</f>
        <v>3035</v>
      </c>
      <c r="R836" s="1026" t="s">
        <v>1922</v>
      </c>
      <c r="S836" s="538"/>
      <c r="T836" s="538">
        <v>0</v>
      </c>
      <c r="U836" s="87">
        <v>3035</v>
      </c>
      <c r="V836" s="857"/>
      <c r="W836" s="440"/>
      <c r="X836" s="538"/>
      <c r="Y836" s="551"/>
      <c r="Z836" s="538"/>
      <c r="AA836" s="552">
        <f>Table15[[#This Row],[PCTS Investment Amount]]+Table15[[#This Row],[PCTS Retirement Amount]]</f>
        <v>0</v>
      </c>
      <c r="AB836" s="341"/>
      <c r="AC836" s="569" t="s">
        <v>116</v>
      </c>
      <c r="AD836" s="1149" t="s">
        <v>116</v>
      </c>
      <c r="AE836" s="580" t="s">
        <v>29</v>
      </c>
      <c r="AF836" s="580" t="s">
        <v>29</v>
      </c>
      <c r="AG836" s="580" t="s">
        <v>29</v>
      </c>
      <c r="AH836" s="542" t="s">
        <v>29</v>
      </c>
      <c r="AI836" s="1028"/>
      <c r="AJ836" s="1029"/>
      <c r="AK836" s="1029"/>
      <c r="AL836" s="1030"/>
      <c r="AM836" s="542" t="s">
        <v>709</v>
      </c>
      <c r="AN836" s="924"/>
      <c r="AO836" s="925"/>
      <c r="AP836" s="926"/>
      <c r="AQ836" s="926"/>
      <c r="AR836" s="926"/>
      <c r="AS836" s="926"/>
      <c r="AT836" s="926"/>
      <c r="AU836" s="926"/>
      <c r="AV836" s="926"/>
      <c r="AW836" s="927"/>
      <c r="AX836" s="926"/>
      <c r="AY836" s="1538" t="s">
        <v>29</v>
      </c>
      <c r="AZ836" s="1530"/>
      <c r="BA836" s="1031">
        <v>3</v>
      </c>
      <c r="BB836" s="644" t="s">
        <v>116</v>
      </c>
      <c r="BC836" s="544"/>
      <c r="BD836" s="544" t="s">
        <v>882</v>
      </c>
      <c r="BE836" s="544"/>
      <c r="BF836" s="544"/>
      <c r="BG836" s="544"/>
      <c r="BH836" s="741"/>
      <c r="BI836" s="547" t="s">
        <v>709</v>
      </c>
      <c r="BJ836" s="547" t="s">
        <v>709</v>
      </c>
      <c r="BK836" s="547" t="s">
        <v>116</v>
      </c>
      <c r="BL836" s="547" t="s">
        <v>709</v>
      </c>
      <c r="BM836" s="547">
        <v>0</v>
      </c>
      <c r="BN836" s="549">
        <v>0</v>
      </c>
      <c r="BO836" s="547">
        <v>0</v>
      </c>
      <c r="BP836" s="547">
        <v>0</v>
      </c>
      <c r="BQ836" s="547">
        <v>0</v>
      </c>
      <c r="BR836" s="547">
        <v>6</v>
      </c>
      <c r="BS836" s="547">
        <v>0</v>
      </c>
      <c r="BT836" s="547">
        <v>0</v>
      </c>
      <c r="BU836" s="547">
        <v>0</v>
      </c>
      <c r="BV836" s="547">
        <v>0</v>
      </c>
      <c r="BW836" s="547">
        <v>1</v>
      </c>
      <c r="BX836" s="547">
        <v>1</v>
      </c>
      <c r="BY836" s="547">
        <v>0</v>
      </c>
      <c r="BZ836" s="547" t="s">
        <v>709</v>
      </c>
      <c r="CA836" s="483" t="s">
        <v>2</v>
      </c>
      <c r="CB836" s="547">
        <v>833</v>
      </c>
      <c r="CC836" s="1481" t="b">
        <v>1</v>
      </c>
      <c r="CD836" t="str">
        <f>Table15[[#This Row],[Engineering Number]]&amp;Table15[[#This Row],[WO Number]]&amp;Table15[[#This Row],[Date Assigned to Designer]]&amp;Table15[[#This Row],[Date Completed]]</f>
        <v>RS107710117104495744964</v>
      </c>
    </row>
    <row r="837" spans="1:82" customFormat="1" ht="15" customHeight="1" x14ac:dyDescent="0.25">
      <c r="A837">
        <v>2022</v>
      </c>
      <c r="B837" s="8" t="s">
        <v>4</v>
      </c>
      <c r="C837" s="8" t="s">
        <v>5232</v>
      </c>
      <c r="D837" s="8" t="s">
        <v>5233</v>
      </c>
      <c r="E837" s="8" t="s">
        <v>232</v>
      </c>
      <c r="F837" s="8" t="s">
        <v>747</v>
      </c>
      <c r="G837" s="8" t="s">
        <v>27</v>
      </c>
      <c r="H837" s="8" t="s">
        <v>59</v>
      </c>
      <c r="I837" s="642">
        <v>44602</v>
      </c>
      <c r="J837" s="18">
        <v>44972</v>
      </c>
      <c r="K837" s="97">
        <v>44964</v>
      </c>
      <c r="L837" s="16">
        <f>IF(ISTEXT(Table15[[#This Row],[Engineering Approved Design Date]]),Table15[[#This Row],[Date Completed]]-Table15[[#This Row],[Date Assigned to Designer]],Table15[[#This Row],[Engineering Approved Design Date]]-Table15[[#This Row],[Date Completed]])</f>
        <v>8</v>
      </c>
      <c r="M837" s="642"/>
      <c r="N837" s="642" t="s">
        <v>120</v>
      </c>
      <c r="O837" s="1060">
        <v>44986</v>
      </c>
      <c r="P837" s="1152" t="s">
        <v>739</v>
      </c>
      <c r="Q837" s="340">
        <f>Table15[[#This Row],[Rate]]*Table15[[#This Row],[Construction Cost to Bill From]]</f>
        <v>38456.464</v>
      </c>
      <c r="R837" s="1026">
        <v>0.1</v>
      </c>
      <c r="S837" s="538"/>
      <c r="T837" s="538"/>
      <c r="U837" s="87"/>
      <c r="V837" s="858">
        <v>553</v>
      </c>
      <c r="W837" s="437"/>
      <c r="X837" s="552">
        <v>339138.08</v>
      </c>
      <c r="Y837" s="551"/>
      <c r="Z837" s="552">
        <v>45426.559999999998</v>
      </c>
      <c r="AA837" s="552">
        <f>Table15[[#This Row],[PCTS Investment Amount]]+Table15[[#This Row],[PCTS Retirement Amount]]</f>
        <v>384564.64</v>
      </c>
      <c r="AB837" s="341">
        <v>45009</v>
      </c>
      <c r="AC837" s="568" t="s">
        <v>709</v>
      </c>
      <c r="AD837" s="1157" t="s">
        <v>29</v>
      </c>
      <c r="AE837" s="579" t="s">
        <v>29</v>
      </c>
      <c r="AF837" s="579" t="s">
        <v>29</v>
      </c>
      <c r="AG837" s="579" t="s">
        <v>29</v>
      </c>
      <c r="AH837" s="553" t="s">
        <v>29</v>
      </c>
      <c r="AI837" s="1036"/>
      <c r="AJ837" s="1037"/>
      <c r="AK837" s="1037"/>
      <c r="AL837" s="1038"/>
      <c r="AM837" s="1522" t="s">
        <v>116</v>
      </c>
      <c r="AN837" s="1523">
        <v>45036</v>
      </c>
      <c r="AO837" s="1524">
        <v>11054513</v>
      </c>
      <c r="AP837" s="1525">
        <v>213737.82</v>
      </c>
      <c r="AQ837" s="1525"/>
      <c r="AR837" s="1525">
        <v>45428.56</v>
      </c>
      <c r="AS837" s="1525">
        <f>IF(Table15[[#This Row],[PCTS Approved]]="N",0,Table15[[#This Row],[Investment Amount (1'#'#'#'#'#)]]+Table15[[#This Row],[Retirement Amount (3'#'#'#'#'#)]])</f>
        <v>259166.38</v>
      </c>
      <c r="AT837" s="1525">
        <f>IF(Table15[[#This Row],[Approved Construction Cost]]=0,0,Table15[[#This Row],[Approved Construction Cost]]-Table15[[#This Row],[Construction Cost to Bill From]])</f>
        <v>-125398.26000000001</v>
      </c>
      <c r="AU837" s="1525">
        <f>IFERROR(Table15[[#This Row],[Difference in Construction Cost]]*Table15[[#This Row],[Rate]],Table15[[#This Row],[Difference in Construction Cost]]*0.085)</f>
        <v>-12539.826000000001</v>
      </c>
      <c r="AV837" s="1525" t="s">
        <v>709</v>
      </c>
      <c r="AW837" s="1526" t="s">
        <v>5234</v>
      </c>
      <c r="AX837" s="1525">
        <v>0</v>
      </c>
      <c r="AY837" s="1518">
        <v>45200</v>
      </c>
      <c r="AZ837" s="333"/>
      <c r="BA837" s="859" t="s">
        <v>5235</v>
      </c>
      <c r="BB837" s="644" t="s">
        <v>870</v>
      </c>
      <c r="BC837" s="544" t="s">
        <v>116</v>
      </c>
      <c r="BD837" s="544" t="s">
        <v>115</v>
      </c>
      <c r="BE837" s="544" t="s">
        <v>595</v>
      </c>
      <c r="BF837" s="544" t="s">
        <v>115</v>
      </c>
      <c r="BG837" s="544" t="s">
        <v>115</v>
      </c>
      <c r="BH837" s="741"/>
      <c r="BI837" s="547" t="s">
        <v>709</v>
      </c>
      <c r="BJ837" s="547" t="s">
        <v>709</v>
      </c>
      <c r="BK837" s="547" t="s">
        <v>709</v>
      </c>
      <c r="BL837" s="547" t="s">
        <v>116</v>
      </c>
      <c r="BM837" s="547" t="s">
        <v>709</v>
      </c>
      <c r="BN837" s="547" t="s">
        <v>709</v>
      </c>
      <c r="BO837" s="547" t="s">
        <v>709</v>
      </c>
      <c r="BP837" s="547" t="s">
        <v>709</v>
      </c>
      <c r="BQ837" s="547" t="s">
        <v>709</v>
      </c>
      <c r="BR837" s="547">
        <v>220</v>
      </c>
      <c r="BS837" s="547">
        <v>333</v>
      </c>
      <c r="BT837" s="547" t="s">
        <v>745</v>
      </c>
      <c r="BU837" s="547" t="s">
        <v>709</v>
      </c>
      <c r="BV837" s="547" t="s">
        <v>745</v>
      </c>
      <c r="BW837" s="547" t="s">
        <v>709</v>
      </c>
      <c r="BX837" s="547" t="s">
        <v>745</v>
      </c>
      <c r="BY837" s="547" t="s">
        <v>745</v>
      </c>
      <c r="BZ837" s="547" t="s">
        <v>709</v>
      </c>
      <c r="CA837" s="483"/>
      <c r="CB837" s="547">
        <v>835</v>
      </c>
      <c r="CC837" s="1481" t="b">
        <v>1</v>
      </c>
      <c r="CD837" t="str">
        <f>Table15[[#This Row],[Engineering Number]]&amp;Table15[[#This Row],[WO Number]]&amp;Table15[[#This Row],[Date Assigned to Designer]]&amp;Table15[[#This Row],[Date Completed]]</f>
        <v>SC2052714112664460244964</v>
      </c>
    </row>
    <row r="838" spans="1:82" customFormat="1" ht="15" customHeight="1" x14ac:dyDescent="0.25">
      <c r="A838">
        <v>2023</v>
      </c>
      <c r="B838" s="8" t="s">
        <v>731</v>
      </c>
      <c r="C838" s="8" t="s">
        <v>5267</v>
      </c>
      <c r="D838" s="8" t="s">
        <v>5268</v>
      </c>
      <c r="E838" s="8" t="s">
        <v>1117</v>
      </c>
      <c r="F838" s="8" t="s">
        <v>4899</v>
      </c>
      <c r="G838" s="8" t="s">
        <v>37</v>
      </c>
      <c r="H838" s="8" t="s">
        <v>59</v>
      </c>
      <c r="I838" s="642">
        <v>44888</v>
      </c>
      <c r="J838" s="18">
        <v>44967</v>
      </c>
      <c r="K838" s="97">
        <v>44965</v>
      </c>
      <c r="L838" s="16">
        <f>IF(ISTEXT(Table15[[#This Row],[Engineering Approved Design Date]]),Table15[[#This Row],[Date Completed]]-Table15[[#This Row],[Date Assigned to Designer]],Table15[[#This Row],[Engineering Approved Design Date]]-Table15[[#This Row],[Date Completed]])</f>
        <v>2</v>
      </c>
      <c r="M838" s="642"/>
      <c r="N838" s="642" t="s">
        <v>120</v>
      </c>
      <c r="O838" s="1060">
        <f>Table15[[#This Row],[Date Completed]]</f>
        <v>44965</v>
      </c>
      <c r="P838" s="1152" t="s">
        <v>739</v>
      </c>
      <c r="Q838" s="1061">
        <f>5750*Table15[[#This Row],['# of PV/STR/FV/TW/VLT]]</f>
        <v>5750</v>
      </c>
      <c r="R838" s="1026" t="s">
        <v>5256</v>
      </c>
      <c r="S838" s="538"/>
      <c r="T838" s="538">
        <v>0</v>
      </c>
      <c r="U838" s="87"/>
      <c r="V838" s="858"/>
      <c r="W838" s="437">
        <v>1</v>
      </c>
      <c r="X838" s="552">
        <v>0</v>
      </c>
      <c r="Y838" s="551"/>
      <c r="Z838" s="552">
        <v>52041.48</v>
      </c>
      <c r="AA838" s="1080">
        <f>Table15[[#This Row],[PCTS Retirement Amount]]</f>
        <v>52041.48</v>
      </c>
      <c r="AB838" s="341" t="s">
        <v>29</v>
      </c>
      <c r="AC838" s="568" t="s">
        <v>709</v>
      </c>
      <c r="AD838" s="1157" t="s">
        <v>116</v>
      </c>
      <c r="AE838" s="579"/>
      <c r="AF838" s="579"/>
      <c r="AG838" s="579"/>
      <c r="AH838" s="553"/>
      <c r="AI838" s="1036"/>
      <c r="AJ838" s="1037"/>
      <c r="AK838" s="1037"/>
      <c r="AL838" s="1038"/>
      <c r="AM838" s="542" t="s">
        <v>709</v>
      </c>
      <c r="AN838" s="924"/>
      <c r="AO838" s="925"/>
      <c r="AP838" s="926"/>
      <c r="AQ838" s="926"/>
      <c r="AR838" s="926"/>
      <c r="AS838" s="926"/>
      <c r="AT838" s="926"/>
      <c r="AU838" s="926"/>
      <c r="AV838" s="926"/>
      <c r="AW838" s="927"/>
      <c r="AX838" s="926"/>
      <c r="AY838" s="1538" t="s">
        <v>29</v>
      </c>
      <c r="AZ838" s="1530"/>
      <c r="BA838" s="1031" t="s">
        <v>5269</v>
      </c>
      <c r="BB838" s="644" t="s">
        <v>5270</v>
      </c>
      <c r="BC838" s="544" t="s">
        <v>116</v>
      </c>
      <c r="BD838" s="544" t="s">
        <v>1790</v>
      </c>
      <c r="BE838" s="544" t="s">
        <v>5271</v>
      </c>
      <c r="BF838" s="544" t="s">
        <v>115</v>
      </c>
      <c r="BG838" s="544" t="s">
        <v>5272</v>
      </c>
      <c r="BH838" s="741"/>
      <c r="BI838" s="547" t="s">
        <v>709</v>
      </c>
      <c r="BJ838" s="547" t="s">
        <v>709</v>
      </c>
      <c r="BK838" s="547" t="s">
        <v>709</v>
      </c>
      <c r="BL838" s="547" t="s">
        <v>709</v>
      </c>
      <c r="BM838" s="547" t="s">
        <v>709</v>
      </c>
      <c r="BN838" s="547" t="s">
        <v>709</v>
      </c>
      <c r="BO838" s="547" t="s">
        <v>709</v>
      </c>
      <c r="BP838" s="547" t="s">
        <v>709</v>
      </c>
      <c r="BQ838" s="547" t="s">
        <v>709</v>
      </c>
      <c r="BR838" s="547" t="s">
        <v>709</v>
      </c>
      <c r="BS838" s="547" t="s">
        <v>709</v>
      </c>
      <c r="BT838" s="547" t="s">
        <v>745</v>
      </c>
      <c r="BU838" s="547" t="s">
        <v>709</v>
      </c>
      <c r="BV838" s="547">
        <v>1</v>
      </c>
      <c r="BW838" s="547" t="s">
        <v>709</v>
      </c>
      <c r="BX838" s="547" t="s">
        <v>745</v>
      </c>
      <c r="BY838" s="547" t="s">
        <v>745</v>
      </c>
      <c r="BZ838" s="547" t="s">
        <v>709</v>
      </c>
      <c r="CA838" s="483" t="s">
        <v>1146</v>
      </c>
      <c r="CB838" s="547">
        <v>838</v>
      </c>
      <c r="CC838" s="1481" t="b">
        <v>1</v>
      </c>
      <c r="CD838" t="str">
        <f>Table15[[#This Row],[Engineering Number]]&amp;Table15[[#This Row],[WO Number]]&amp;Table15[[#This Row],[Date Assigned to Designer]]&amp;Table15[[#This Row],[Date Completed]]</f>
        <v>MR196832121154488844965</v>
      </c>
    </row>
    <row r="839" spans="1:82" customFormat="1" ht="15" customHeight="1" x14ac:dyDescent="0.25">
      <c r="A839">
        <v>2023</v>
      </c>
      <c r="B839" s="8" t="s">
        <v>730</v>
      </c>
      <c r="C839" s="8" t="s">
        <v>5005</v>
      </c>
      <c r="D839" s="8" t="s">
        <v>5006</v>
      </c>
      <c r="E839" s="8" t="s">
        <v>1159</v>
      </c>
      <c r="F839" s="8" t="s">
        <v>752</v>
      </c>
      <c r="G839" s="8" t="s">
        <v>24</v>
      </c>
      <c r="H839" s="8" t="s">
        <v>59</v>
      </c>
      <c r="I839" s="642">
        <v>44865</v>
      </c>
      <c r="J839" s="18">
        <v>44967</v>
      </c>
      <c r="K839" s="97">
        <v>44965</v>
      </c>
      <c r="L839" s="16">
        <f>IF(ISTEXT(Table15[[#This Row],[Engineering Approved Design Date]]),Table15[[#This Row],[Date Completed]]-Table15[[#This Row],[Date Assigned to Designer]],Table15[[#This Row],[Engineering Approved Design Date]]-Table15[[#This Row],[Date Completed]])</f>
        <v>2</v>
      </c>
      <c r="M839" s="642"/>
      <c r="N839" s="642" t="s">
        <v>120</v>
      </c>
      <c r="O839" s="1060">
        <f>Table15[[#This Row],[Date Completed]]</f>
        <v>44965</v>
      </c>
      <c r="P839" s="1152" t="s">
        <v>120</v>
      </c>
      <c r="Q839" s="1061">
        <f>R839*AA839</f>
        <v>19533.407399999996</v>
      </c>
      <c r="R839" s="1026">
        <v>0.09</v>
      </c>
      <c r="S839" s="538"/>
      <c r="T839" s="538">
        <v>17200</v>
      </c>
      <c r="U839" s="87"/>
      <c r="V839" s="858">
        <v>717</v>
      </c>
      <c r="W839" s="437"/>
      <c r="X839" s="552">
        <v>193293.36</v>
      </c>
      <c r="Y839" s="551"/>
      <c r="Z839" s="552">
        <v>23744.5</v>
      </c>
      <c r="AA839" s="552">
        <f>Table15[[#This Row],[PCTS Investment Amount]]+Table15[[#This Row],[PCTS Retirement Amount]]</f>
        <v>217037.86</v>
      </c>
      <c r="AB839" s="341">
        <v>44967</v>
      </c>
      <c r="AC839" s="568" t="s">
        <v>709</v>
      </c>
      <c r="AD839" s="1157" t="s">
        <v>116</v>
      </c>
      <c r="AE839" s="579"/>
      <c r="AF839" s="579"/>
      <c r="AG839" s="579"/>
      <c r="AH839" s="553"/>
      <c r="AI839" s="1036"/>
      <c r="AJ839" s="1037"/>
      <c r="AK839" s="1037"/>
      <c r="AL839" s="1038"/>
      <c r="AM839" s="1522" t="s">
        <v>116</v>
      </c>
      <c r="AN839" s="1523">
        <v>45215</v>
      </c>
      <c r="AO839" s="1524">
        <v>11060566</v>
      </c>
      <c r="AP839" s="1525">
        <v>193298.29</v>
      </c>
      <c r="AQ839" s="1525"/>
      <c r="AR839" s="1525">
        <v>23744.5</v>
      </c>
      <c r="AS839" s="1525">
        <f>IF(Table15[[#This Row],[PCTS Approved]]="N",0,Table15[[#This Row],[Investment Amount (1'#'#'#'#'#)]]+Table15[[#This Row],[Retirement Amount (3'#'#'#'#'#)]])</f>
        <v>217042.79</v>
      </c>
      <c r="AT839" s="1525">
        <f>IF(Table15[[#This Row],[Approved Construction Cost]]=0,0,Table15[[#This Row],[Approved Construction Cost]]-Table15[[#This Row],[Construction Cost to Bill From]])</f>
        <v>4.9300000000221189</v>
      </c>
      <c r="AU839" s="1525">
        <f>IFERROR(Table15[[#This Row],[Difference in Construction Cost]]*Table15[[#This Row],[Rate]],Table15[[#This Row],[Difference in Construction Cost]]*0.085)</f>
        <v>0.44370000000199067</v>
      </c>
      <c r="AV839" s="1525" t="s">
        <v>709</v>
      </c>
      <c r="AW839" s="1526"/>
      <c r="AX839" s="1525">
        <v>0.44</v>
      </c>
      <c r="AY839" s="1518">
        <v>45375</v>
      </c>
      <c r="AZ839" s="1532"/>
      <c r="BA839" s="859" t="s">
        <v>5264</v>
      </c>
      <c r="BB839" s="644" t="s">
        <v>5265</v>
      </c>
      <c r="BC839" s="544" t="s">
        <v>756</v>
      </c>
      <c r="BD839" s="544" t="s">
        <v>115</v>
      </c>
      <c r="BE839" s="544" t="s">
        <v>1210</v>
      </c>
      <c r="BF839" s="544" t="s">
        <v>115</v>
      </c>
      <c r="BG839" s="544" t="s">
        <v>115</v>
      </c>
      <c r="BH839" s="741"/>
      <c r="BI839" s="547" t="s">
        <v>709</v>
      </c>
      <c r="BJ839" s="547" t="s">
        <v>709</v>
      </c>
      <c r="BK839" s="547" t="s">
        <v>709</v>
      </c>
      <c r="BL839" s="547" t="s">
        <v>116</v>
      </c>
      <c r="BM839" s="547" t="s">
        <v>709</v>
      </c>
      <c r="BN839" s="547" t="s">
        <v>709</v>
      </c>
      <c r="BO839" s="547" t="s">
        <v>709</v>
      </c>
      <c r="BP839" s="547" t="s">
        <v>709</v>
      </c>
      <c r="BQ839" s="547" t="s">
        <v>709</v>
      </c>
      <c r="BR839" s="547">
        <v>717</v>
      </c>
      <c r="BS839" s="547" t="s">
        <v>709</v>
      </c>
      <c r="BT839" s="547" t="s">
        <v>745</v>
      </c>
      <c r="BU839" s="547" t="s">
        <v>709</v>
      </c>
      <c r="BV839" s="547" t="s">
        <v>745</v>
      </c>
      <c r="BW839" s="547" t="s">
        <v>709</v>
      </c>
      <c r="BX839" s="547" t="s">
        <v>709</v>
      </c>
      <c r="BY839" s="547" t="s">
        <v>745</v>
      </c>
      <c r="BZ839" s="547" t="s">
        <v>709</v>
      </c>
      <c r="CA839" s="483"/>
      <c r="CB839" s="547">
        <v>836</v>
      </c>
      <c r="CC839" s="1481" t="b">
        <v>1</v>
      </c>
      <c r="CD839" t="str">
        <f>Table15[[#This Row],[Engineering Number]]&amp;Table15[[#This Row],[WO Number]]&amp;Table15[[#This Row],[Date Assigned to Designer]]&amp;Table15[[#This Row],[Date Completed]]</f>
        <v>RS109110119944486544965</v>
      </c>
    </row>
    <row r="840" spans="1:82" customFormat="1" ht="15" customHeight="1" x14ac:dyDescent="0.25">
      <c r="A840">
        <v>2022</v>
      </c>
      <c r="B840" s="8" t="s">
        <v>2</v>
      </c>
      <c r="C840" s="8" t="s">
        <v>4820</v>
      </c>
      <c r="D840" s="8" t="s">
        <v>4821</v>
      </c>
      <c r="E840" s="8" t="s">
        <v>1352</v>
      </c>
      <c r="F840" s="8" t="s">
        <v>752</v>
      </c>
      <c r="G840" s="8" t="s">
        <v>32</v>
      </c>
      <c r="H840" s="8" t="s">
        <v>4001</v>
      </c>
      <c r="I840" s="642">
        <v>44935</v>
      </c>
      <c r="J840" s="175" t="s">
        <v>2052</v>
      </c>
      <c r="K840" s="97">
        <v>44965</v>
      </c>
      <c r="L840" s="16">
        <f>IF(ISTEXT(Table15[[#This Row],[Engineering Approved Design Date]]),Table15[[#This Row],[Date Completed]]-Table15[[#This Row],[Date Assigned to Designer]],Table15[[#This Row],[Engineering Approved Design Date]]-Table15[[#This Row],[Date Completed]])</f>
        <v>30</v>
      </c>
      <c r="M840" s="16" t="s">
        <v>5261</v>
      </c>
      <c r="N840" s="642" t="s">
        <v>120</v>
      </c>
      <c r="O840" s="1060">
        <f>Table15[[#This Row],[Date Completed]]</f>
        <v>44965</v>
      </c>
      <c r="P840" s="21" t="s">
        <v>120</v>
      </c>
      <c r="Q840" s="1061">
        <f>Table15[[#This Row],[KH Hourly Effort]]</f>
        <v>9175</v>
      </c>
      <c r="R840" s="1026" t="s">
        <v>1922</v>
      </c>
      <c r="S840" s="538"/>
      <c r="T840" s="538">
        <v>0</v>
      </c>
      <c r="U840" s="87">
        <v>9175</v>
      </c>
      <c r="V840" s="857"/>
      <c r="W840" s="440"/>
      <c r="X840" s="552"/>
      <c r="Y840" s="551"/>
      <c r="Z840" s="552"/>
      <c r="AA840" s="552">
        <f>Table15[[#This Row],[PCTS Investment Amount]]+Table15[[#This Row],[PCTS Retirement Amount]]</f>
        <v>0</v>
      </c>
      <c r="AB840" s="341"/>
      <c r="AC840" s="568" t="s">
        <v>709</v>
      </c>
      <c r="AD840" s="1149" t="s">
        <v>116</v>
      </c>
      <c r="AE840" s="580" t="s">
        <v>29</v>
      </c>
      <c r="AF840" s="580" t="s">
        <v>29</v>
      </c>
      <c r="AG840" s="580" t="s">
        <v>29</v>
      </c>
      <c r="AH840" s="542" t="s">
        <v>29</v>
      </c>
      <c r="AI840" s="1028"/>
      <c r="AJ840" s="1029"/>
      <c r="AK840" s="1029"/>
      <c r="AL840" s="1030"/>
      <c r="AM840" s="542" t="s">
        <v>709</v>
      </c>
      <c r="AN840" s="924"/>
      <c r="AO840" s="925"/>
      <c r="AP840" s="926"/>
      <c r="AQ840" s="926"/>
      <c r="AR840" s="926"/>
      <c r="AS840" s="926"/>
      <c r="AT840" s="926"/>
      <c r="AU840" s="926"/>
      <c r="AV840" s="926"/>
      <c r="AW840" s="927"/>
      <c r="AX840" s="926"/>
      <c r="AY840" s="1538" t="s">
        <v>29</v>
      </c>
      <c r="AZ840" s="1530"/>
      <c r="BA840" s="1031">
        <v>2</v>
      </c>
      <c r="BB840" s="644" t="s">
        <v>5262</v>
      </c>
      <c r="BC840" s="544"/>
      <c r="BD840" s="544"/>
      <c r="BE840" s="544"/>
      <c r="BF840" s="544"/>
      <c r="BG840" s="544"/>
      <c r="BH840" s="741"/>
      <c r="BI840" s="547" t="s">
        <v>709</v>
      </c>
      <c r="BJ840" s="547" t="s">
        <v>709</v>
      </c>
      <c r="BK840" s="547" t="s">
        <v>709</v>
      </c>
      <c r="BL840" s="547" t="s">
        <v>116</v>
      </c>
      <c r="BM840" s="547">
        <v>0</v>
      </c>
      <c r="BN840" s="549">
        <v>0</v>
      </c>
      <c r="BO840" s="547">
        <v>0</v>
      </c>
      <c r="BP840" s="547">
        <v>0</v>
      </c>
      <c r="BQ840" s="547">
        <v>0</v>
      </c>
      <c r="BR840" s="547">
        <v>0</v>
      </c>
      <c r="BS840" s="547">
        <v>434</v>
      </c>
      <c r="BT840" s="547">
        <v>0</v>
      </c>
      <c r="BU840" s="547">
        <v>0</v>
      </c>
      <c r="BV840" s="547">
        <v>0</v>
      </c>
      <c r="BW840" s="547">
        <v>0</v>
      </c>
      <c r="BX840" s="547">
        <v>1</v>
      </c>
      <c r="BY840" s="547">
        <v>0</v>
      </c>
      <c r="BZ840" s="547" t="s">
        <v>709</v>
      </c>
      <c r="CA840" s="483" t="s">
        <v>2</v>
      </c>
      <c r="CB840" s="547">
        <v>837</v>
      </c>
      <c r="CC840" s="1481" t="b">
        <v>1</v>
      </c>
      <c r="CD840" t="str">
        <f>Table15[[#This Row],[Engineering Number]]&amp;Table15[[#This Row],[WO Number]]&amp;Table15[[#This Row],[Date Assigned to Designer]]&amp;Table15[[#This Row],[Date Completed]]</f>
        <v>RS101110115524493544965</v>
      </c>
    </row>
    <row r="841" spans="1:82" customFormat="1" ht="15" customHeight="1" x14ac:dyDescent="0.25">
      <c r="A841">
        <v>2023</v>
      </c>
      <c r="B841" s="8" t="s">
        <v>731</v>
      </c>
      <c r="C841" s="8" t="s">
        <v>5274</v>
      </c>
      <c r="D841" s="8" t="s">
        <v>5275</v>
      </c>
      <c r="E841" s="8" t="s">
        <v>155</v>
      </c>
      <c r="F841" s="8" t="s">
        <v>4899</v>
      </c>
      <c r="G841" s="8" t="s">
        <v>26</v>
      </c>
      <c r="H841" s="8" t="s">
        <v>59</v>
      </c>
      <c r="I841" s="642">
        <v>44888</v>
      </c>
      <c r="J841" s="18">
        <v>44967</v>
      </c>
      <c r="K841" s="97">
        <v>44966</v>
      </c>
      <c r="L841" s="16">
        <f>IF(ISTEXT(Table15[[#This Row],[Engineering Approved Design Date]]),Table15[[#This Row],[Date Completed]]-Table15[[#This Row],[Date Assigned to Designer]],Table15[[#This Row],[Engineering Approved Design Date]]-Table15[[#This Row],[Date Completed]])</f>
        <v>1</v>
      </c>
      <c r="M841" s="642"/>
      <c r="N841" s="642" t="s">
        <v>120</v>
      </c>
      <c r="O841" s="1060">
        <f>Table15[[#This Row],[Date Completed]]</f>
        <v>44966</v>
      </c>
      <c r="P841" s="1152" t="s">
        <v>739</v>
      </c>
      <c r="Q841" s="1061">
        <f>5750*Table15[[#This Row],['# of PV/STR/FV/TW/VLT]]</f>
        <v>5750</v>
      </c>
      <c r="R841" s="1026" t="s">
        <v>5256</v>
      </c>
      <c r="S841" s="538"/>
      <c r="T841" s="538">
        <v>6900</v>
      </c>
      <c r="U841" s="87"/>
      <c r="V841" s="858"/>
      <c r="W841" s="437">
        <v>1</v>
      </c>
      <c r="X841" s="552">
        <v>0</v>
      </c>
      <c r="Y841" s="551"/>
      <c r="Z841" s="552">
        <v>142045.82</v>
      </c>
      <c r="AA841" s="552">
        <f>Table15[[#This Row],[PCTS Retirement Amount]]+Table15[[#This Row],[PCTS Investment Amount]]</f>
        <v>142045.82</v>
      </c>
      <c r="AB841" s="341"/>
      <c r="AC841" s="568" t="s">
        <v>709</v>
      </c>
      <c r="AD841" s="1157"/>
      <c r="AE841" s="579"/>
      <c r="AF841" s="579"/>
      <c r="AG841" s="579"/>
      <c r="AH841" s="553"/>
      <c r="AI841" s="1036"/>
      <c r="AJ841" s="1037"/>
      <c r="AK841" s="1037"/>
      <c r="AL841" s="1038"/>
      <c r="AM841" s="542" t="s">
        <v>709</v>
      </c>
      <c r="AN841" s="924"/>
      <c r="AO841" s="925"/>
      <c r="AP841" s="926"/>
      <c r="AQ841" s="926"/>
      <c r="AR841" s="926"/>
      <c r="AS841" s="926"/>
      <c r="AT841" s="926"/>
      <c r="AU841" s="926"/>
      <c r="AV841" s="926"/>
      <c r="AW841" s="927"/>
      <c r="AX841" s="926"/>
      <c r="AY841" s="1538" t="s">
        <v>29</v>
      </c>
      <c r="AZ841" s="1530"/>
      <c r="BA841" s="1031" t="s">
        <v>5276</v>
      </c>
      <c r="BB841" s="644" t="s">
        <v>5277</v>
      </c>
      <c r="BC841" s="544" t="s">
        <v>709</v>
      </c>
      <c r="BD841" s="544" t="s">
        <v>882</v>
      </c>
      <c r="BE841" s="544" t="s">
        <v>1085</v>
      </c>
      <c r="BF841" s="544" t="s">
        <v>115</v>
      </c>
      <c r="BG841" s="544" t="s">
        <v>115</v>
      </c>
      <c r="BH841" s="741"/>
      <c r="BI841" s="547" t="s">
        <v>709</v>
      </c>
      <c r="BJ841" s="547" t="s">
        <v>709</v>
      </c>
      <c r="BK841" s="547" t="s">
        <v>709</v>
      </c>
      <c r="BL841" s="547" t="s">
        <v>709</v>
      </c>
      <c r="BM841" s="547" t="s">
        <v>709</v>
      </c>
      <c r="BN841" s="547" t="s">
        <v>709</v>
      </c>
      <c r="BO841" s="547" t="s">
        <v>709</v>
      </c>
      <c r="BP841" s="547" t="s">
        <v>709</v>
      </c>
      <c r="BQ841" s="547" t="s">
        <v>709</v>
      </c>
      <c r="BR841" s="547" t="s">
        <v>709</v>
      </c>
      <c r="BS841" s="547" t="s">
        <v>709</v>
      </c>
      <c r="BT841" s="547" t="s">
        <v>745</v>
      </c>
      <c r="BU841" s="547" t="s">
        <v>709</v>
      </c>
      <c r="BV841" s="547">
        <v>1</v>
      </c>
      <c r="BW841" s="547" t="s">
        <v>709</v>
      </c>
      <c r="BX841" s="547" t="s">
        <v>745</v>
      </c>
      <c r="BY841" s="547" t="s">
        <v>745</v>
      </c>
      <c r="BZ841" s="547" t="s">
        <v>709</v>
      </c>
      <c r="CA841" s="483" t="s">
        <v>1146</v>
      </c>
      <c r="CB841" s="547">
        <v>839</v>
      </c>
      <c r="CC841" s="1481" t="b">
        <v>1</v>
      </c>
      <c r="CD841" t="str">
        <f>Table15[[#This Row],[Engineering Number]]&amp;Table15[[#This Row],[WO Number]]&amp;Table15[[#This Row],[Date Assigned to Designer]]&amp;Table15[[#This Row],[Date Completed]]</f>
        <v>MR196632121134488844966</v>
      </c>
    </row>
    <row r="842" spans="1:82" customFormat="1" ht="15" customHeight="1" x14ac:dyDescent="0.25">
      <c r="A842">
        <v>2023</v>
      </c>
      <c r="B842" s="8" t="s">
        <v>731</v>
      </c>
      <c r="C842" s="8" t="s">
        <v>5274</v>
      </c>
      <c r="D842" s="8" t="s">
        <v>5275</v>
      </c>
      <c r="E842" s="8" t="s">
        <v>155</v>
      </c>
      <c r="F842" s="8" t="s">
        <v>4899</v>
      </c>
      <c r="G842" s="8" t="s">
        <v>26</v>
      </c>
      <c r="H842" s="8" t="s">
        <v>3661</v>
      </c>
      <c r="I842" s="642">
        <v>44888</v>
      </c>
      <c r="J842" s="18" t="s">
        <v>3662</v>
      </c>
      <c r="K842" s="97">
        <v>44966</v>
      </c>
      <c r="L842" s="16">
        <f>IF(ISTEXT(Table15[[#This Row],[Engineering Approved Design Date]]),Table15[[#This Row],[Date Completed]]-Table15[[#This Row],[Date Assigned to Designer]],Table15[[#This Row],[Engineering Approved Design Date]]-Table15[[#This Row],[Date Completed]])</f>
        <v>78</v>
      </c>
      <c r="M842" t="s">
        <v>5279</v>
      </c>
      <c r="N842" s="642" t="s">
        <v>120</v>
      </c>
      <c r="O842" s="1025">
        <v>44986</v>
      </c>
      <c r="P842" s="21" t="s">
        <v>739</v>
      </c>
      <c r="Q842" s="340">
        <f>Table15[[#This Row],[KH Hourly Effort]]</f>
        <v>4250</v>
      </c>
      <c r="R842" s="1026" t="s">
        <v>1922</v>
      </c>
      <c r="S842" s="538" t="s">
        <v>709</v>
      </c>
      <c r="T842" s="538" t="s">
        <v>709</v>
      </c>
      <c r="U842" s="87">
        <v>4250</v>
      </c>
      <c r="V842" s="858"/>
      <c r="W842" s="437"/>
      <c r="X842" s="538"/>
      <c r="Y842" s="551"/>
      <c r="Z842" s="538"/>
      <c r="AA842" s="538"/>
      <c r="AB842" s="341" t="s">
        <v>29</v>
      </c>
      <c r="AC842" s="569" t="s">
        <v>29</v>
      </c>
      <c r="AD842" s="1149" t="s">
        <v>29</v>
      </c>
      <c r="AE842" s="580"/>
      <c r="AF842" s="580"/>
      <c r="AG842" s="580"/>
      <c r="AH842" s="542"/>
      <c r="AI842" s="1028"/>
      <c r="AJ842" s="1029"/>
      <c r="AK842" s="1029"/>
      <c r="AL842" s="1030"/>
      <c r="AM842" s="542" t="s">
        <v>709</v>
      </c>
      <c r="AN842" s="924"/>
      <c r="AO842" s="925"/>
      <c r="AP842" s="926"/>
      <c r="AQ842" s="926"/>
      <c r="AR842" s="926"/>
      <c r="AS842" s="926"/>
      <c r="AT842" s="926"/>
      <c r="AU842" s="926"/>
      <c r="AV842" s="926"/>
      <c r="AW842" s="927"/>
      <c r="AX842" s="926"/>
      <c r="AY842" s="1538" t="s">
        <v>29</v>
      </c>
      <c r="AZ842" s="1532"/>
      <c r="BA842" s="1031"/>
      <c r="BB842" s="644"/>
      <c r="BC842" s="544"/>
      <c r="BD842" s="544"/>
      <c r="BE842" s="544"/>
      <c r="BF842" s="544"/>
      <c r="BG842" s="544"/>
      <c r="BH842" s="741"/>
      <c r="BI842" s="547" t="s">
        <v>709</v>
      </c>
      <c r="BJ842" s="547" t="s">
        <v>709</v>
      </c>
      <c r="BK842" s="547" t="s">
        <v>709</v>
      </c>
      <c r="BL842" s="547" t="s">
        <v>709</v>
      </c>
      <c r="BM842" s="547" t="s">
        <v>709</v>
      </c>
      <c r="BN842" s="547" t="s">
        <v>709</v>
      </c>
      <c r="BO842" s="547" t="s">
        <v>709</v>
      </c>
      <c r="BP842" s="547" t="s">
        <v>709</v>
      </c>
      <c r="BQ842" s="547" t="s">
        <v>709</v>
      </c>
      <c r="BR842" s="547" t="s">
        <v>709</v>
      </c>
      <c r="BS842" s="547" t="s">
        <v>709</v>
      </c>
      <c r="BT842" s="547" t="s">
        <v>745</v>
      </c>
      <c r="BU842" s="547" t="s">
        <v>709</v>
      </c>
      <c r="BV842" s="547">
        <v>1</v>
      </c>
      <c r="BW842" s="547" t="s">
        <v>709</v>
      </c>
      <c r="BX842" s="547" t="s">
        <v>745</v>
      </c>
      <c r="BY842" s="547" t="s">
        <v>745</v>
      </c>
      <c r="BZ842" s="547" t="s">
        <v>709</v>
      </c>
      <c r="CA842" s="483" t="s">
        <v>1146</v>
      </c>
      <c r="CB842" s="547">
        <v>840</v>
      </c>
      <c r="CC842" s="1481" t="b">
        <v>1</v>
      </c>
      <c r="CD842" t="str">
        <f>Table15[[#This Row],[Engineering Number]]&amp;Table15[[#This Row],[WO Number]]&amp;Table15[[#This Row],[Date Assigned to Designer]]&amp;Table15[[#This Row],[Date Completed]]</f>
        <v>MR196632121134488844966</v>
      </c>
    </row>
    <row r="843" spans="1:82" customFormat="1" ht="15" customHeight="1" x14ac:dyDescent="0.25">
      <c r="A843">
        <v>2023</v>
      </c>
      <c r="B843" s="8" t="s">
        <v>731</v>
      </c>
      <c r="C843" s="8" t="s">
        <v>5284</v>
      </c>
      <c r="D843" s="8" t="s">
        <v>5285</v>
      </c>
      <c r="E843" s="8" t="s">
        <v>1352</v>
      </c>
      <c r="F843" s="8" t="s">
        <v>4899</v>
      </c>
      <c r="G843" s="8" t="s">
        <v>33</v>
      </c>
      <c r="H843" s="8" t="s">
        <v>59</v>
      </c>
      <c r="I843" s="642">
        <v>44888</v>
      </c>
      <c r="J843" s="18">
        <v>44967</v>
      </c>
      <c r="K843" s="18">
        <v>44967</v>
      </c>
      <c r="L843" s="16">
        <f>IF(ISTEXT(Table15[[#This Row],[Engineering Approved Design Date]]),Table15[[#This Row],[Date Completed]]-Table15[[#This Row],[Date Assigned to Designer]],Table15[[#This Row],[Engineering Approved Design Date]]-Table15[[#This Row],[Date Completed]])</f>
        <v>0</v>
      </c>
      <c r="M843" s="642"/>
      <c r="N843" s="642" t="s">
        <v>120</v>
      </c>
      <c r="O843" s="1060">
        <f>Table15[[#This Row],[Date Completed]]</f>
        <v>44967</v>
      </c>
      <c r="P843" s="1152" t="s">
        <v>739</v>
      </c>
      <c r="Q843" s="1061">
        <f>5750*Table15[[#This Row],['# of PV/STR/FV/TW/VLT]]</f>
        <v>5750</v>
      </c>
      <c r="R843" s="1026" t="s">
        <v>5256</v>
      </c>
      <c r="S843" s="538"/>
      <c r="T843" s="538">
        <v>10500</v>
      </c>
      <c r="U843" s="87"/>
      <c r="V843" s="858"/>
      <c r="W843" s="437">
        <v>1</v>
      </c>
      <c r="X843" s="552">
        <v>0</v>
      </c>
      <c r="Y843" s="551"/>
      <c r="Z843" s="552">
        <v>139465.21</v>
      </c>
      <c r="AA843" s="552">
        <v>157683.38</v>
      </c>
      <c r="AB843" s="341" t="s">
        <v>709</v>
      </c>
      <c r="AC843" s="568" t="s">
        <v>709</v>
      </c>
      <c r="AD843" s="1157" t="s">
        <v>709</v>
      </c>
      <c r="AE843" s="579"/>
      <c r="AF843" s="579"/>
      <c r="AG843" s="579"/>
      <c r="AH843" s="553"/>
      <c r="AI843" s="1036"/>
      <c r="AJ843" s="1037"/>
      <c r="AK843" s="1037"/>
      <c r="AL843" s="1038"/>
      <c r="AM843" s="542" t="s">
        <v>709</v>
      </c>
      <c r="AN843" s="924"/>
      <c r="AO843" s="925"/>
      <c r="AP843" s="926"/>
      <c r="AQ843" s="926"/>
      <c r="AR843" s="926"/>
      <c r="AS843" s="926"/>
      <c r="AT843" s="926"/>
      <c r="AU843" s="926"/>
      <c r="AV843" s="926"/>
      <c r="AW843" s="927"/>
      <c r="AX843" s="926"/>
      <c r="AY843" s="1538" t="s">
        <v>29</v>
      </c>
      <c r="AZ843" s="1530"/>
      <c r="BA843" s="1031" t="s">
        <v>5286</v>
      </c>
      <c r="BB843" s="644" t="s">
        <v>5287</v>
      </c>
      <c r="BC843" s="544" t="s">
        <v>116</v>
      </c>
      <c r="BD843" s="544" t="s">
        <v>882</v>
      </c>
      <c r="BE843" s="544" t="s">
        <v>115</v>
      </c>
      <c r="BF843" s="544" t="s">
        <v>115</v>
      </c>
      <c r="BG843" s="544" t="s">
        <v>115</v>
      </c>
      <c r="BH843" s="741"/>
      <c r="BI843" s="547" t="s">
        <v>709</v>
      </c>
      <c r="BJ843" s="547" t="s">
        <v>709</v>
      </c>
      <c r="BK843" s="547" t="s">
        <v>709</v>
      </c>
      <c r="BL843" s="547" t="s">
        <v>709</v>
      </c>
      <c r="BM843" s="547" t="s">
        <v>709</v>
      </c>
      <c r="BN843" s="547" t="s">
        <v>709</v>
      </c>
      <c r="BO843" s="547" t="s">
        <v>709</v>
      </c>
      <c r="BP843" s="547" t="s">
        <v>709</v>
      </c>
      <c r="BQ843" s="547" t="s">
        <v>709</v>
      </c>
      <c r="BR843" s="547" t="s">
        <v>709</v>
      </c>
      <c r="BS843" s="547" t="s">
        <v>709</v>
      </c>
      <c r="BT843" s="547" t="s">
        <v>745</v>
      </c>
      <c r="BU843" s="547" t="s">
        <v>709</v>
      </c>
      <c r="BV843" s="547">
        <v>1</v>
      </c>
      <c r="BW843" s="547" t="s">
        <v>709</v>
      </c>
      <c r="BX843" s="547" t="s">
        <v>745</v>
      </c>
      <c r="BY843" s="547" t="s">
        <v>745</v>
      </c>
      <c r="BZ843" s="547" t="s">
        <v>709</v>
      </c>
      <c r="CA843" s="483"/>
      <c r="CB843" s="547">
        <v>842</v>
      </c>
      <c r="CC843" s="1481" t="b">
        <v>1</v>
      </c>
      <c r="CD843" t="str">
        <f>Table15[[#This Row],[Engineering Number]]&amp;Table15[[#This Row],[WO Number]]&amp;Table15[[#This Row],[Date Assigned to Designer]]&amp;Table15[[#This Row],[Date Completed]]</f>
        <v>MR196532121174488844967</v>
      </c>
    </row>
    <row r="844" spans="1:82" customFormat="1" ht="15" customHeight="1" x14ac:dyDescent="0.25">
      <c r="A844">
        <v>2023</v>
      </c>
      <c r="B844" s="8" t="s">
        <v>731</v>
      </c>
      <c r="C844" s="8" t="s">
        <v>5284</v>
      </c>
      <c r="D844" s="8" t="s">
        <v>5285</v>
      </c>
      <c r="E844" s="8" t="s">
        <v>1352</v>
      </c>
      <c r="F844" s="8" t="s">
        <v>4899</v>
      </c>
      <c r="G844" s="8" t="s">
        <v>33</v>
      </c>
      <c r="H844" s="8" t="s">
        <v>3661</v>
      </c>
      <c r="I844" s="642">
        <v>44888</v>
      </c>
      <c r="J844" s="18" t="s">
        <v>3662</v>
      </c>
      <c r="K844" s="97">
        <v>44967</v>
      </c>
      <c r="L844" s="16">
        <f>IF(ISTEXT(Table15[[#This Row],[Engineering Approved Design Date]]),Table15[[#This Row],[Date Completed]]-Table15[[#This Row],[Date Assigned to Designer]],Table15[[#This Row],[Engineering Approved Design Date]]-Table15[[#This Row],[Date Completed]])</f>
        <v>79</v>
      </c>
      <c r="M844" t="s">
        <v>5279</v>
      </c>
      <c r="N844" s="642" t="s">
        <v>120</v>
      </c>
      <c r="O844" s="1025">
        <v>44986</v>
      </c>
      <c r="P844" s="21" t="s">
        <v>739</v>
      </c>
      <c r="Q844" s="340">
        <f>Table15[[#This Row],[KH Hourly Effort]]</f>
        <v>2560</v>
      </c>
      <c r="R844" s="1026" t="s">
        <v>1922</v>
      </c>
      <c r="S844" s="538" t="s">
        <v>709</v>
      </c>
      <c r="T844" s="538" t="s">
        <v>709</v>
      </c>
      <c r="U844" s="87">
        <v>2560</v>
      </c>
      <c r="V844" s="858"/>
      <c r="W844" s="437"/>
      <c r="X844" s="538"/>
      <c r="Y844" s="551"/>
      <c r="Z844" s="538"/>
      <c r="AA844" s="538"/>
      <c r="AB844" s="341" t="s">
        <v>29</v>
      </c>
      <c r="AC844" s="569" t="s">
        <v>29</v>
      </c>
      <c r="AD844" s="1149" t="s">
        <v>29</v>
      </c>
      <c r="AE844" s="580"/>
      <c r="AF844" s="580"/>
      <c r="AG844" s="580"/>
      <c r="AH844" s="542"/>
      <c r="AI844" s="1028"/>
      <c r="AJ844" s="1029"/>
      <c r="AK844" s="1029"/>
      <c r="AL844" s="1030"/>
      <c r="AM844" s="542" t="s">
        <v>709</v>
      </c>
      <c r="AN844" s="924"/>
      <c r="AO844" s="925"/>
      <c r="AP844" s="926"/>
      <c r="AQ844" s="926"/>
      <c r="AR844" s="926"/>
      <c r="AS844" s="926"/>
      <c r="AT844" s="926"/>
      <c r="AU844" s="926"/>
      <c r="AV844" s="926"/>
      <c r="AW844" s="927"/>
      <c r="AX844" s="926"/>
      <c r="AY844" s="1538" t="s">
        <v>29</v>
      </c>
      <c r="AZ844" s="1532"/>
      <c r="BA844" s="1031"/>
      <c r="BB844" s="644"/>
      <c r="BC844" s="544"/>
      <c r="BD844" s="544"/>
      <c r="BE844" s="544"/>
      <c r="BF844" s="544"/>
      <c r="BG844" s="544"/>
      <c r="BH844" s="741"/>
      <c r="BI844" s="547" t="s">
        <v>709</v>
      </c>
      <c r="BJ844" s="547" t="s">
        <v>709</v>
      </c>
      <c r="BK844" s="547" t="s">
        <v>709</v>
      </c>
      <c r="BL844" s="547" t="s">
        <v>709</v>
      </c>
      <c r="BM844" s="547" t="s">
        <v>709</v>
      </c>
      <c r="BN844" s="547" t="s">
        <v>709</v>
      </c>
      <c r="BO844" s="547" t="s">
        <v>709</v>
      </c>
      <c r="BP844" s="547" t="s">
        <v>709</v>
      </c>
      <c r="BQ844" s="547" t="s">
        <v>709</v>
      </c>
      <c r="BR844" s="547" t="s">
        <v>709</v>
      </c>
      <c r="BS844" s="547" t="s">
        <v>709</v>
      </c>
      <c r="BT844" s="547" t="s">
        <v>745</v>
      </c>
      <c r="BU844" s="547" t="s">
        <v>709</v>
      </c>
      <c r="BV844" s="547">
        <v>1</v>
      </c>
      <c r="BW844" s="547" t="s">
        <v>709</v>
      </c>
      <c r="BX844" s="547" t="s">
        <v>745</v>
      </c>
      <c r="BY844" s="547" t="s">
        <v>745</v>
      </c>
      <c r="BZ844" s="547" t="s">
        <v>709</v>
      </c>
      <c r="CA844" s="483" t="s">
        <v>1146</v>
      </c>
      <c r="CB844" s="547">
        <v>843</v>
      </c>
      <c r="CC844" s="1481" t="b">
        <v>1</v>
      </c>
      <c r="CD844" t="str">
        <f>Table15[[#This Row],[Engineering Number]]&amp;Table15[[#This Row],[WO Number]]&amp;Table15[[#This Row],[Date Assigned to Designer]]&amp;Table15[[#This Row],[Date Completed]]</f>
        <v>MR196532121174488844967</v>
      </c>
    </row>
    <row r="845" spans="1:82" customFormat="1" ht="15" customHeight="1" x14ac:dyDescent="0.25">
      <c r="A845">
        <v>2022</v>
      </c>
      <c r="B845" s="8" t="s">
        <v>4</v>
      </c>
      <c r="C845" s="8" t="s">
        <v>5019</v>
      </c>
      <c r="D845" s="8">
        <v>1311480</v>
      </c>
      <c r="E845" s="8" t="s">
        <v>783</v>
      </c>
      <c r="F845" s="8" t="s">
        <v>784</v>
      </c>
      <c r="G845" s="8" t="s">
        <v>25</v>
      </c>
      <c r="H845" s="8" t="s">
        <v>4189</v>
      </c>
      <c r="I845" s="642">
        <v>44949</v>
      </c>
      <c r="J845" s="175" t="s">
        <v>2052</v>
      </c>
      <c r="K845" s="97">
        <v>44967</v>
      </c>
      <c r="L845" s="16">
        <f>IF(ISTEXT(Table15[[#This Row],[Engineering Approved Design Date]]),Table15[[#This Row],[Date Completed]]-Table15[[#This Row],[Date Assigned to Designer]],Table15[[#This Row],[Engineering Approved Design Date]]-Table15[[#This Row],[Date Completed]])</f>
        <v>18</v>
      </c>
      <c r="M845" s="16" t="s">
        <v>5280</v>
      </c>
      <c r="N845" s="642" t="s">
        <v>120</v>
      </c>
      <c r="O845" s="1060">
        <f>Table15[[#This Row],[Date Completed]]</f>
        <v>44967</v>
      </c>
      <c r="P845" s="21" t="s">
        <v>739</v>
      </c>
      <c r="Q845" s="1061">
        <f>Table15[[#This Row],[KH Hourly Effort]]</f>
        <v>9197.5</v>
      </c>
      <c r="R845" s="1026" t="s">
        <v>1922</v>
      </c>
      <c r="S845" s="538">
        <v>0</v>
      </c>
      <c r="T845" s="538"/>
      <c r="U845" s="87">
        <v>9197.5</v>
      </c>
      <c r="V845" s="857"/>
      <c r="W845" s="440"/>
      <c r="X845" s="552"/>
      <c r="Y845" s="551"/>
      <c r="Z845" s="552"/>
      <c r="AA845" s="552"/>
      <c r="AB845" s="341" t="s">
        <v>29</v>
      </c>
      <c r="AC845" s="568" t="s">
        <v>709</v>
      </c>
      <c r="AD845" s="1149" t="s">
        <v>29</v>
      </c>
      <c r="AE845" s="580"/>
      <c r="AF845" s="580"/>
      <c r="AG845" s="580"/>
      <c r="AH845" s="542"/>
      <c r="AI845" s="1028"/>
      <c r="AJ845" s="1029"/>
      <c r="AK845" s="1029"/>
      <c r="AL845" s="1030"/>
      <c r="AM845" s="542" t="s">
        <v>709</v>
      </c>
      <c r="AN845" s="924"/>
      <c r="AO845" s="925"/>
      <c r="AP845" s="926"/>
      <c r="AQ845" s="926"/>
      <c r="AR845" s="926"/>
      <c r="AS845" s="926"/>
      <c r="AT845" s="926"/>
      <c r="AU845" s="926"/>
      <c r="AV845" s="926"/>
      <c r="AW845" s="927"/>
      <c r="AX845" s="926"/>
      <c r="AY845" s="1538" t="s">
        <v>29</v>
      </c>
      <c r="AZ845" s="1530"/>
      <c r="BA845" s="1031" t="s">
        <v>4919</v>
      </c>
      <c r="BB845" s="644" t="s">
        <v>5281</v>
      </c>
      <c r="BC845" s="544"/>
      <c r="BD845" s="544"/>
      <c r="BE845" s="544"/>
      <c r="BF845" s="544"/>
      <c r="BG845" s="544"/>
      <c r="BH845" s="741" t="s">
        <v>5282</v>
      </c>
      <c r="BI845" s="547" t="s">
        <v>709</v>
      </c>
      <c r="BJ845" s="547" t="s">
        <v>709</v>
      </c>
      <c r="BK845" s="547" t="s">
        <v>709</v>
      </c>
      <c r="BL845" s="547" t="s">
        <v>116</v>
      </c>
      <c r="BM845" s="547" t="s">
        <v>709</v>
      </c>
      <c r="BN845" s="547" t="s">
        <v>709</v>
      </c>
      <c r="BO845" s="547" t="s">
        <v>709</v>
      </c>
      <c r="BP845" s="547" t="s">
        <v>709</v>
      </c>
      <c r="BQ845" s="547">
        <v>3054</v>
      </c>
      <c r="BR845" s="547">
        <v>913</v>
      </c>
      <c r="BS845" s="547">
        <v>1917</v>
      </c>
      <c r="BT845" s="547" t="s">
        <v>745</v>
      </c>
      <c r="BU845" s="547" t="s">
        <v>709</v>
      </c>
      <c r="BV845" s="547" t="s">
        <v>745</v>
      </c>
      <c r="BW845" s="547" t="s">
        <v>709</v>
      </c>
      <c r="BX845" s="547" t="s">
        <v>745</v>
      </c>
      <c r="BY845" s="547" t="s">
        <v>745</v>
      </c>
      <c r="BZ845" s="547" t="s">
        <v>709</v>
      </c>
      <c r="CA845" s="483"/>
      <c r="CB845" s="547">
        <v>841</v>
      </c>
      <c r="CC845" s="1481" t="b">
        <v>1</v>
      </c>
      <c r="CD845" t="str">
        <f>Table15[[#This Row],[Engineering Number]]&amp;Table15[[#This Row],[WO Number]]&amp;Table15[[#This Row],[Date Assigned to Designer]]&amp;Table15[[#This Row],[Date Completed]]</f>
        <v>SC2117613114804494944967</v>
      </c>
    </row>
    <row r="846" spans="1:82" customFormat="1" ht="15" customHeight="1" x14ac:dyDescent="0.25">
      <c r="A846">
        <v>2023</v>
      </c>
      <c r="B846" s="8" t="s">
        <v>771</v>
      </c>
      <c r="C846" s="8" t="s">
        <v>283</v>
      </c>
      <c r="D846" s="8" t="s">
        <v>878</v>
      </c>
      <c r="E846" s="8" t="s">
        <v>284</v>
      </c>
      <c r="F846" s="8" t="s">
        <v>747</v>
      </c>
      <c r="G846" s="8" t="s">
        <v>24</v>
      </c>
      <c r="H846" s="8" t="s">
        <v>59</v>
      </c>
      <c r="I846" s="642">
        <v>44875</v>
      </c>
      <c r="J846" s="18">
        <v>44981</v>
      </c>
      <c r="K846" s="97">
        <v>44970</v>
      </c>
      <c r="L846" s="16">
        <f>IF(ISTEXT(Table15[[#This Row],[Engineering Approved Design Date]]),Table15[[#This Row],[Date Completed]]-Table15[[#This Row],[Date Assigned to Designer]],Table15[[#This Row],[Engineering Approved Design Date]]-Table15[[#This Row],[Date Completed]])</f>
        <v>11</v>
      </c>
      <c r="M846" s="642"/>
      <c r="N846" s="642" t="s">
        <v>120</v>
      </c>
      <c r="O846" s="1060">
        <f>Table15[[#This Row],[Date Completed]]</f>
        <v>44970</v>
      </c>
      <c r="P846" s="1152" t="s">
        <v>120</v>
      </c>
      <c r="Q846" s="1061">
        <f>R846*AA846</f>
        <v>39204.328500000003</v>
      </c>
      <c r="R846" s="1039">
        <v>0.09</v>
      </c>
      <c r="S846" s="538"/>
      <c r="T846" s="538"/>
      <c r="U846" s="87"/>
      <c r="V846" s="858">
        <v>962</v>
      </c>
      <c r="W846" s="437"/>
      <c r="X846" s="552">
        <v>412849.09</v>
      </c>
      <c r="Y846" s="551"/>
      <c r="Z846" s="552">
        <v>22754.560000000001</v>
      </c>
      <c r="AA846" s="552">
        <f>Table15[[#This Row],[PCTS Investment Amount]]+Table15[[#This Row],[PCTS Retirement Amount]]</f>
        <v>435603.65</v>
      </c>
      <c r="AB846" s="341">
        <v>44977</v>
      </c>
      <c r="AC846" s="568" t="s">
        <v>116</v>
      </c>
      <c r="AD846" s="1157" t="s">
        <v>116</v>
      </c>
      <c r="AE846" s="568"/>
      <c r="AF846" s="568"/>
      <c r="AG846" s="568"/>
      <c r="AH846" s="183"/>
      <c r="AI846" s="1036"/>
      <c r="AJ846" s="1037"/>
      <c r="AK846" s="1037"/>
      <c r="AL846" s="1038"/>
      <c r="AM846" s="1522" t="s">
        <v>116</v>
      </c>
      <c r="AN846" s="1523">
        <v>45364</v>
      </c>
      <c r="AO846" s="1524">
        <v>11079903</v>
      </c>
      <c r="AP846" s="1525">
        <v>473425.15</v>
      </c>
      <c r="AQ846" s="1525"/>
      <c r="AR846" s="1525">
        <v>23426.91</v>
      </c>
      <c r="AS846" s="1525">
        <v>496852.06</v>
      </c>
      <c r="AT846" s="1525">
        <v>61248.409999999974</v>
      </c>
      <c r="AU846" s="1525">
        <v>5512.356899999997</v>
      </c>
      <c r="AV846" s="1525">
        <v>21680</v>
      </c>
      <c r="AW846" s="1526" t="s">
        <v>5291</v>
      </c>
      <c r="AX846" s="1525">
        <v>0</v>
      </c>
      <c r="AY846" s="1518">
        <v>45566</v>
      </c>
      <c r="AZ846" s="333">
        <v>34</v>
      </c>
      <c r="BA846" s="859" t="s">
        <v>880</v>
      </c>
      <c r="BB846" s="644" t="s">
        <v>881</v>
      </c>
      <c r="BC846" s="544" t="s">
        <v>709</v>
      </c>
      <c r="BD846" s="544" t="s">
        <v>882</v>
      </c>
      <c r="BE846" s="544" t="s">
        <v>883</v>
      </c>
      <c r="BF846" s="544" t="s">
        <v>115</v>
      </c>
      <c r="BG846" s="544" t="s">
        <v>115</v>
      </c>
      <c r="BH846" s="741" t="s">
        <v>884</v>
      </c>
      <c r="BI846" s="547" t="s">
        <v>709</v>
      </c>
      <c r="BJ846" s="547" t="s">
        <v>709</v>
      </c>
      <c r="BK846" s="547" t="s">
        <v>709</v>
      </c>
      <c r="BL846" s="547" t="s">
        <v>116</v>
      </c>
      <c r="BM846" s="547" t="s">
        <v>709</v>
      </c>
      <c r="BN846" s="547" t="s">
        <v>709</v>
      </c>
      <c r="BO846" s="547" t="s">
        <v>709</v>
      </c>
      <c r="BP846" s="547">
        <v>962</v>
      </c>
      <c r="BQ846" s="547" t="s">
        <v>709</v>
      </c>
      <c r="BR846" s="547" t="s">
        <v>709</v>
      </c>
      <c r="BS846" s="547" t="s">
        <v>709</v>
      </c>
      <c r="BT846" s="547" t="s">
        <v>709</v>
      </c>
      <c r="BU846" s="547" t="s">
        <v>709</v>
      </c>
      <c r="BV846" s="547" t="s">
        <v>709</v>
      </c>
      <c r="BW846" s="547" t="s">
        <v>709</v>
      </c>
      <c r="BX846" s="547" t="s">
        <v>745</v>
      </c>
      <c r="BY846" s="547" t="s">
        <v>709</v>
      </c>
      <c r="BZ846" s="547" t="s">
        <v>709</v>
      </c>
      <c r="CA846" s="483"/>
      <c r="CB846" s="547">
        <v>845</v>
      </c>
      <c r="CC846" s="1481" t="b">
        <v>1</v>
      </c>
      <c r="CD846" t="str">
        <f>Table15[[#This Row],[Engineering Number]]&amp;Table15[[#This Row],[WO Number]]&amp;Table15[[#This Row],[Date Assigned to Designer]]&amp;Table15[[#This Row],[Date Completed]]</f>
        <v>BS40212130624487544970</v>
      </c>
    </row>
    <row r="847" spans="1:82" customFormat="1" ht="15" customHeight="1" x14ac:dyDescent="0.25">
      <c r="A847">
        <v>2023</v>
      </c>
      <c r="B847" s="8" t="s">
        <v>771</v>
      </c>
      <c r="C847" s="8" t="s">
        <v>1402</v>
      </c>
      <c r="D847" s="8" t="s">
        <v>1403</v>
      </c>
      <c r="E847" s="8" t="s">
        <v>1404</v>
      </c>
      <c r="F847" s="8" t="s">
        <v>784</v>
      </c>
      <c r="G847" s="8" t="s">
        <v>23</v>
      </c>
      <c r="H847" s="8" t="s">
        <v>59</v>
      </c>
      <c r="I847" s="642">
        <v>44875</v>
      </c>
      <c r="J847" s="18">
        <v>44981</v>
      </c>
      <c r="K847" s="97">
        <v>44970</v>
      </c>
      <c r="L847" s="16">
        <f>IF(ISTEXT(Table15[[#This Row],[Engineering Approved Design Date]]),Table15[[#This Row],[Date Completed]]-Table15[[#This Row],[Date Assigned to Designer]],Table15[[#This Row],[Engineering Approved Design Date]]-Table15[[#This Row],[Date Completed]])</f>
        <v>11</v>
      </c>
      <c r="M847" s="642"/>
      <c r="N847" s="642" t="s">
        <v>120</v>
      </c>
      <c r="O847" s="1060">
        <f>Table15[[#This Row],[Date Completed]]</f>
        <v>44970</v>
      </c>
      <c r="P847" s="1152" t="s">
        <v>120</v>
      </c>
      <c r="Q847" s="1061">
        <f>R847*AA847</f>
        <v>26265.086100000004</v>
      </c>
      <c r="R847" s="1039">
        <v>0.09</v>
      </c>
      <c r="S847" s="538"/>
      <c r="T847" s="538"/>
      <c r="U847" s="87"/>
      <c r="V847" s="858">
        <v>1197</v>
      </c>
      <c r="W847" s="437"/>
      <c r="X847" s="552">
        <v>254931.95</v>
      </c>
      <c r="Y847" s="551"/>
      <c r="Z847" s="552">
        <v>36902.339999999997</v>
      </c>
      <c r="AA847" s="552">
        <f>SUM(Table15[[#This Row],[PCTS Investment Amount]:[PCTS Retirement Amount]])</f>
        <v>291834.29000000004</v>
      </c>
      <c r="AB847" s="341">
        <v>44965</v>
      </c>
      <c r="AC847" s="568" t="s">
        <v>709</v>
      </c>
      <c r="AD847" s="1157" t="s">
        <v>29</v>
      </c>
      <c r="AE847" s="568"/>
      <c r="AF847" s="568"/>
      <c r="AG847" s="568"/>
      <c r="AH847" s="183"/>
      <c r="AI847" s="1036"/>
      <c r="AJ847" s="1037"/>
      <c r="AK847" s="1037"/>
      <c r="AL847" s="1038"/>
      <c r="AM847" s="536" t="s">
        <v>116</v>
      </c>
      <c r="AN847" s="903" t="s">
        <v>709</v>
      </c>
      <c r="AO847" s="1536" t="s">
        <v>115</v>
      </c>
      <c r="AP847" s="1537"/>
      <c r="AQ847" s="1537"/>
      <c r="AR847" s="1537"/>
      <c r="AS847" s="888">
        <f>IF(Table15[[#This Row],[PCTS Approved]]="N",0,Table15[[#This Row],[Investment Amount (1'#'#'#'#'#)]]+Table15[[#This Row],[Retirement Amount (3'#'#'#'#'#)]])</f>
        <v>0</v>
      </c>
      <c r="AT847" s="888">
        <f>IF(Table15[[#This Row],[Approved Construction Cost]]=0,0,Table15[[#This Row],[Approved Construction Cost]]-Table15[[#This Row],[Construction Cost to Bill From]])</f>
        <v>0</v>
      </c>
      <c r="AU847" s="888">
        <f>IFERROR(Table15[[#This Row],[Difference in Construction Cost]]*Table15[[#This Row],[Rate]],Table15[[#This Row],[Difference in Construction Cost]]*0.085)</f>
        <v>0</v>
      </c>
      <c r="AV847" s="905"/>
      <c r="AW847" s="1509"/>
      <c r="AX847" s="888"/>
      <c r="AY847" s="636" t="s">
        <v>709</v>
      </c>
      <c r="AZ847" s="333">
        <v>35</v>
      </c>
      <c r="BA847" s="859" t="s">
        <v>1405</v>
      </c>
      <c r="BB847" s="644" t="s">
        <v>1406</v>
      </c>
      <c r="BC847" s="544" t="s">
        <v>116</v>
      </c>
      <c r="BD847" s="544" t="s">
        <v>115</v>
      </c>
      <c r="BE847" s="544" t="s">
        <v>115</v>
      </c>
      <c r="BF847" s="544" t="s">
        <v>1407</v>
      </c>
      <c r="BG847" s="544" t="s">
        <v>115</v>
      </c>
      <c r="BH847" s="741"/>
      <c r="BI847" s="547" t="s">
        <v>709</v>
      </c>
      <c r="BJ847" s="547" t="s">
        <v>709</v>
      </c>
      <c r="BK847" s="547" t="s">
        <v>709</v>
      </c>
      <c r="BL847" s="547" t="s">
        <v>116</v>
      </c>
      <c r="BM847" s="547" t="s">
        <v>709</v>
      </c>
      <c r="BN847" s="547" t="s">
        <v>709</v>
      </c>
      <c r="BO847" s="547" t="s">
        <v>709</v>
      </c>
      <c r="BP847" s="547" t="s">
        <v>709</v>
      </c>
      <c r="BQ847" s="547" t="s">
        <v>709</v>
      </c>
      <c r="BR847" s="547">
        <v>1197</v>
      </c>
      <c r="BS847" s="547" t="s">
        <v>709</v>
      </c>
      <c r="BT847" s="547" t="s">
        <v>745</v>
      </c>
      <c r="BU847" s="547" t="s">
        <v>709</v>
      </c>
      <c r="BV847" s="547" t="s">
        <v>745</v>
      </c>
      <c r="BW847" s="547" t="s">
        <v>709</v>
      </c>
      <c r="BX847" s="547" t="s">
        <v>745</v>
      </c>
      <c r="BY847" s="547" t="s">
        <v>745</v>
      </c>
      <c r="BZ847" s="547" t="s">
        <v>709</v>
      </c>
      <c r="CA847" s="483"/>
      <c r="CB847" s="547">
        <v>844</v>
      </c>
      <c r="CC847" s="1481" t="b">
        <v>1</v>
      </c>
      <c r="CD847" t="str">
        <f>Table15[[#This Row],[Engineering Number]]&amp;Table15[[#This Row],[WO Number]]&amp;Table15[[#This Row],[Date Assigned to Designer]]&amp;Table15[[#This Row],[Date Completed]]</f>
        <v>BS7212120544487544970</v>
      </c>
    </row>
    <row r="848" spans="1:82" customFormat="1" ht="15" customHeight="1" x14ac:dyDescent="0.25">
      <c r="A848">
        <v>2023</v>
      </c>
      <c r="B848" s="8" t="s">
        <v>771</v>
      </c>
      <c r="C848" s="8" t="s">
        <v>283</v>
      </c>
      <c r="D848" s="8" t="s">
        <v>878</v>
      </c>
      <c r="E848" s="8" t="s">
        <v>284</v>
      </c>
      <c r="F848" s="8" t="s">
        <v>747</v>
      </c>
      <c r="G848" s="8" t="s">
        <v>24</v>
      </c>
      <c r="H848" s="8" t="s">
        <v>3661</v>
      </c>
      <c r="I848" s="642">
        <v>44875</v>
      </c>
      <c r="J848" s="18" t="s">
        <v>3662</v>
      </c>
      <c r="K848" s="97">
        <v>44970</v>
      </c>
      <c r="L848" s="16">
        <f>IF(ISTEXT(Table15[[#This Row],[Engineering Approved Design Date]]),Table15[[#This Row],[Date Completed]]-Table15[[#This Row],[Date Assigned to Designer]],Table15[[#This Row],[Engineering Approved Design Date]]-Table15[[#This Row],[Date Completed]])</f>
        <v>95</v>
      </c>
      <c r="M848" t="s">
        <v>5289</v>
      </c>
      <c r="N848" s="642" t="s">
        <v>120</v>
      </c>
      <c r="O848" s="1025">
        <v>44986</v>
      </c>
      <c r="P848" s="21" t="s">
        <v>120</v>
      </c>
      <c r="Q848" s="340">
        <f>Table15[[#This Row],[KH Hourly Effort]]</f>
        <v>1900</v>
      </c>
      <c r="R848" s="1026" t="s">
        <v>1922</v>
      </c>
      <c r="S848" s="538" t="s">
        <v>709</v>
      </c>
      <c r="T848" s="538" t="s">
        <v>709</v>
      </c>
      <c r="U848" s="87">
        <v>1900</v>
      </c>
      <c r="V848" s="858"/>
      <c r="W848" s="437"/>
      <c r="X848" s="538"/>
      <c r="Y848" s="551">
        <v>22254.9</v>
      </c>
      <c r="Z848" s="538"/>
      <c r="AA848" s="538"/>
      <c r="AB848" s="341" t="s">
        <v>29</v>
      </c>
      <c r="AC848" s="569" t="s">
        <v>29</v>
      </c>
      <c r="AD848" s="1149" t="s">
        <v>29</v>
      </c>
      <c r="AE848" s="569"/>
      <c r="AF848" s="569"/>
      <c r="AG848" s="569"/>
      <c r="AH848" s="536"/>
      <c r="AI848" s="1028"/>
      <c r="AJ848" s="1029"/>
      <c r="AK848" s="1029"/>
      <c r="AL848" s="1030"/>
      <c r="AM848" s="542" t="s">
        <v>709</v>
      </c>
      <c r="AN848" s="924"/>
      <c r="AO848" s="925"/>
      <c r="AP848" s="926"/>
      <c r="AQ848" s="926"/>
      <c r="AR848" s="926"/>
      <c r="AS848" s="926"/>
      <c r="AT848" s="926"/>
      <c r="AU848" s="926"/>
      <c r="AV848" s="926"/>
      <c r="AW848" s="927"/>
      <c r="AX848" s="926"/>
      <c r="AY848" s="1538" t="s">
        <v>29</v>
      </c>
      <c r="AZ848" s="1530"/>
      <c r="BA848" s="1031"/>
      <c r="BB848" s="644"/>
      <c r="BC848" s="544"/>
      <c r="BD848" s="544"/>
      <c r="BE848" s="544"/>
      <c r="BF848" s="544"/>
      <c r="BG848" s="544"/>
      <c r="BH848" s="741"/>
      <c r="BI848" s="547" t="s">
        <v>709</v>
      </c>
      <c r="BJ848" s="547" t="s">
        <v>709</v>
      </c>
      <c r="BK848" s="547" t="s">
        <v>709</v>
      </c>
      <c r="BL848" s="547" t="s">
        <v>116</v>
      </c>
      <c r="BM848" s="547" t="s">
        <v>709</v>
      </c>
      <c r="BN848" s="547" t="s">
        <v>709</v>
      </c>
      <c r="BO848" s="547" t="s">
        <v>709</v>
      </c>
      <c r="BP848" s="547">
        <v>962</v>
      </c>
      <c r="BQ848" s="547" t="s">
        <v>709</v>
      </c>
      <c r="BR848" s="547" t="s">
        <v>709</v>
      </c>
      <c r="BS848" s="547" t="s">
        <v>709</v>
      </c>
      <c r="BT848" s="547" t="s">
        <v>709</v>
      </c>
      <c r="BU848" s="547" t="s">
        <v>709</v>
      </c>
      <c r="BV848" s="547" t="s">
        <v>709</v>
      </c>
      <c r="BW848" s="547" t="s">
        <v>709</v>
      </c>
      <c r="BX848" s="547" t="s">
        <v>745</v>
      </c>
      <c r="BY848" s="547" t="s">
        <v>709</v>
      </c>
      <c r="BZ848" s="547" t="s">
        <v>709</v>
      </c>
      <c r="CA848" s="483"/>
      <c r="CB848" s="547">
        <v>846</v>
      </c>
      <c r="CC848" s="1481" t="b">
        <v>1</v>
      </c>
      <c r="CD848" t="str">
        <f>Table15[[#This Row],[Engineering Number]]&amp;Table15[[#This Row],[WO Number]]&amp;Table15[[#This Row],[Date Assigned to Designer]]&amp;Table15[[#This Row],[Date Completed]]</f>
        <v>BS40212130624487544970</v>
      </c>
    </row>
    <row r="849" spans="1:82" customFormat="1" ht="15" customHeight="1" x14ac:dyDescent="0.25">
      <c r="A849">
        <v>2023</v>
      </c>
      <c r="B849" s="8" t="s">
        <v>4</v>
      </c>
      <c r="C849" s="8" t="s">
        <v>5297</v>
      </c>
      <c r="D849" s="8" t="s">
        <v>5298</v>
      </c>
      <c r="E849" s="8" t="s">
        <v>1164</v>
      </c>
      <c r="F849" s="8" t="s">
        <v>784</v>
      </c>
      <c r="G849" s="8" t="s">
        <v>33</v>
      </c>
      <c r="H849" s="8" t="s">
        <v>59</v>
      </c>
      <c r="I849" s="642">
        <v>44426</v>
      </c>
      <c r="J849" s="18">
        <v>44972</v>
      </c>
      <c r="K849" s="97">
        <v>44971</v>
      </c>
      <c r="L849" s="16">
        <f>IF(ISTEXT(Table15[[#This Row],[Engineering Approved Design Date]]),Table15[[#This Row],[Date Completed]]-Table15[[#This Row],[Date Assigned to Designer]],Table15[[#This Row],[Engineering Approved Design Date]]-Table15[[#This Row],[Date Completed]])</f>
        <v>1</v>
      </c>
      <c r="M849" s="642"/>
      <c r="N849" s="642" t="s">
        <v>120</v>
      </c>
      <c r="O849" s="1060">
        <f>Table15[[#This Row],[Date Completed]]</f>
        <v>44971</v>
      </c>
      <c r="P849" s="1152" t="s">
        <v>739</v>
      </c>
      <c r="Q849" s="1061">
        <f>R849*AA849</f>
        <v>11225.172</v>
      </c>
      <c r="R849" s="1026">
        <v>0.1</v>
      </c>
      <c r="S849" s="538"/>
      <c r="T849" s="538"/>
      <c r="U849" s="87"/>
      <c r="V849" s="858">
        <v>90</v>
      </c>
      <c r="W849" s="437"/>
      <c r="X849" s="552">
        <v>87297.72</v>
      </c>
      <c r="Y849" s="551"/>
      <c r="Z849" s="552">
        <v>24954</v>
      </c>
      <c r="AA849" s="552">
        <f>Table15[[#This Row],[PCTS Investment Amount]]+Table15[[#This Row],[PCTS Retirement Amount]]</f>
        <v>112251.72</v>
      </c>
      <c r="AB849" s="341" t="s">
        <v>709</v>
      </c>
      <c r="AC849" s="568" t="s">
        <v>709</v>
      </c>
      <c r="AD849" s="1157" t="s">
        <v>29</v>
      </c>
      <c r="AE849" s="579"/>
      <c r="AF849" s="579"/>
      <c r="AG849" s="579"/>
      <c r="AH849" s="553"/>
      <c r="AI849" s="1036"/>
      <c r="AJ849" s="1037"/>
      <c r="AK849" s="1037"/>
      <c r="AL849" s="1038"/>
      <c r="AM849" s="1522" t="s">
        <v>116</v>
      </c>
      <c r="AN849" s="1523">
        <v>45288</v>
      </c>
      <c r="AO849" s="1524">
        <v>11076232</v>
      </c>
      <c r="AP849" s="1525">
        <v>68493.33</v>
      </c>
      <c r="AQ849" s="1525"/>
      <c r="AR849" s="1525">
        <v>8771.01</v>
      </c>
      <c r="AS849" s="1525">
        <f>IF(Table15[[#This Row],[PCTS Approved]]="N",0,Table15[[#This Row],[Investment Amount (1'#'#'#'#'#)]]+Table15[[#This Row],[Retirement Amount (3'#'#'#'#'#)]])</f>
        <v>77264.34</v>
      </c>
      <c r="AT849" s="1525">
        <f>IF(Table15[[#This Row],[Approved Construction Cost]]=0,0,Table15[[#This Row],[Approved Construction Cost]]-Table15[[#This Row],[Construction Cost to Bill From]])</f>
        <v>-34987.380000000005</v>
      </c>
      <c r="AU849" s="1525">
        <f>IFERROR(Table15[[#This Row],[Difference in Construction Cost]]*Table15[[#This Row],[Rate]],Table15[[#This Row],[Difference in Construction Cost]]*0.085)</f>
        <v>-3498.7380000000007</v>
      </c>
      <c r="AV849" s="1525" t="s">
        <v>709</v>
      </c>
      <c r="AW849" s="1526" t="s">
        <v>5299</v>
      </c>
      <c r="AX849" s="1525">
        <v>-3498.7380000000007</v>
      </c>
      <c r="AY849" s="1518">
        <v>45352</v>
      </c>
      <c r="AZ849" s="333"/>
      <c r="BA849" s="859" t="s">
        <v>5300</v>
      </c>
      <c r="BB849" s="644" t="s">
        <v>5133</v>
      </c>
      <c r="BC849" s="544" t="s">
        <v>115</v>
      </c>
      <c r="BD849" s="544" t="s">
        <v>1167</v>
      </c>
      <c r="BE849" s="544" t="s">
        <v>5134</v>
      </c>
      <c r="BF849" s="544" t="s">
        <v>5134</v>
      </c>
      <c r="BG849" s="544" t="s">
        <v>115</v>
      </c>
      <c r="BH849" s="741"/>
      <c r="BI849" s="547" t="s">
        <v>709</v>
      </c>
      <c r="BJ849" s="547" t="s">
        <v>709</v>
      </c>
      <c r="BK849" s="547" t="s">
        <v>709</v>
      </c>
      <c r="BL849" s="547" t="s">
        <v>116</v>
      </c>
      <c r="BM849" s="547" t="s">
        <v>709</v>
      </c>
      <c r="BN849" s="547" t="s">
        <v>709</v>
      </c>
      <c r="BO849" s="547" t="s">
        <v>709</v>
      </c>
      <c r="BP849" s="547" t="s">
        <v>709</v>
      </c>
      <c r="BQ849" s="547" t="s">
        <v>709</v>
      </c>
      <c r="BR849" s="547" t="s">
        <v>709</v>
      </c>
      <c r="BS849" s="547">
        <v>90</v>
      </c>
      <c r="BT849" s="547" t="s">
        <v>745</v>
      </c>
      <c r="BU849" s="547" t="s">
        <v>709</v>
      </c>
      <c r="BV849" s="547" t="s">
        <v>745</v>
      </c>
      <c r="BW849" s="547" t="s">
        <v>709</v>
      </c>
      <c r="BX849" s="547" t="s">
        <v>745</v>
      </c>
      <c r="BY849" s="547" t="s">
        <v>745</v>
      </c>
      <c r="BZ849" s="547" t="s">
        <v>709</v>
      </c>
      <c r="CA849" s="483"/>
      <c r="CB849" s="547">
        <v>848</v>
      </c>
      <c r="CC849" s="1481" t="b">
        <v>1</v>
      </c>
      <c r="CD849" t="str">
        <f>Table15[[#This Row],[Engineering Number]]&amp;Table15[[#This Row],[WO Number]]&amp;Table15[[#This Row],[Date Assigned to Designer]]&amp;Table15[[#This Row],[Date Completed]]</f>
        <v>SC1965213122184442644971</v>
      </c>
    </row>
    <row r="850" spans="1:82" customFormat="1" ht="15" customHeight="1" x14ac:dyDescent="0.25">
      <c r="A850">
        <v>2022</v>
      </c>
      <c r="B850" s="8" t="s">
        <v>2</v>
      </c>
      <c r="C850" s="8" t="s">
        <v>816</v>
      </c>
      <c r="D850" s="8">
        <v>1011885</v>
      </c>
      <c r="E850" s="8" t="s">
        <v>5293</v>
      </c>
      <c r="F850" s="8" t="s">
        <v>752</v>
      </c>
      <c r="G850" s="8" t="s">
        <v>34</v>
      </c>
      <c r="H850" s="8" t="s">
        <v>4189</v>
      </c>
      <c r="I850" s="642">
        <v>44959</v>
      </c>
      <c r="J850" s="175" t="s">
        <v>2052</v>
      </c>
      <c r="K850" s="97">
        <v>44971</v>
      </c>
      <c r="L850" s="16">
        <f>IF(ISTEXT(Table15[[#This Row],[Engineering Approved Design Date]]),Table15[[#This Row],[Date Completed]]-Table15[[#This Row],[Date Assigned to Designer]],Table15[[#This Row],[Engineering Approved Design Date]]-Table15[[#This Row],[Date Completed]])</f>
        <v>12</v>
      </c>
      <c r="M850" s="16" t="s">
        <v>5294</v>
      </c>
      <c r="N850" s="642" t="s">
        <v>120</v>
      </c>
      <c r="O850" s="1060">
        <f>Table15[[#This Row],[Date Completed]]</f>
        <v>44971</v>
      </c>
      <c r="P850" s="21" t="s">
        <v>120</v>
      </c>
      <c r="Q850" s="1061">
        <f>Table15[[#This Row],[KH Hourly Effort]]</f>
        <v>2522.5</v>
      </c>
      <c r="R850" s="1026" t="s">
        <v>1922</v>
      </c>
      <c r="S850" s="538"/>
      <c r="T850" s="538">
        <v>0</v>
      </c>
      <c r="U850" s="87">
        <v>2522.5</v>
      </c>
      <c r="V850" s="857"/>
      <c r="W850" s="440"/>
      <c r="X850" s="552"/>
      <c r="Y850" s="551"/>
      <c r="Z850" s="552"/>
      <c r="AA850" s="552"/>
      <c r="AB850" s="341"/>
      <c r="AC850" s="569" t="s">
        <v>709</v>
      </c>
      <c r="AD850" s="1149" t="s">
        <v>116</v>
      </c>
      <c r="AE850" s="580" t="s">
        <v>29</v>
      </c>
      <c r="AF850" s="580" t="s">
        <v>29</v>
      </c>
      <c r="AG850" s="580" t="s">
        <v>29</v>
      </c>
      <c r="AH850" s="542" t="s">
        <v>29</v>
      </c>
      <c r="AI850" s="1028"/>
      <c r="AJ850" s="1029"/>
      <c r="AK850" s="1029"/>
      <c r="AL850" s="1030"/>
      <c r="AM850" s="542" t="s">
        <v>709</v>
      </c>
      <c r="AN850" s="924"/>
      <c r="AO850" s="925"/>
      <c r="AP850" s="926"/>
      <c r="AQ850" s="926"/>
      <c r="AR850" s="926"/>
      <c r="AS850" s="926"/>
      <c r="AT850" s="926"/>
      <c r="AU850" s="926"/>
      <c r="AV850" s="926"/>
      <c r="AW850" s="927"/>
      <c r="AX850" s="926"/>
      <c r="AY850" s="1538" t="s">
        <v>29</v>
      </c>
      <c r="AZ850" s="1530"/>
      <c r="BA850" s="1031">
        <v>4</v>
      </c>
      <c r="BB850" s="644" t="s">
        <v>5295</v>
      </c>
      <c r="BC850" s="544"/>
      <c r="BD850" s="544"/>
      <c r="BE850" s="544"/>
      <c r="BF850" s="544"/>
      <c r="BG850" s="544"/>
      <c r="BH850" s="741"/>
      <c r="BI850" s="547" t="s">
        <v>709</v>
      </c>
      <c r="BJ850" s="547" t="s">
        <v>709</v>
      </c>
      <c r="BK850" s="547" t="s">
        <v>709</v>
      </c>
      <c r="BL850" s="547" t="s">
        <v>116</v>
      </c>
      <c r="BM850" s="547" t="s">
        <v>709</v>
      </c>
      <c r="BN850" s="547" t="s">
        <v>709</v>
      </c>
      <c r="BO850" s="547" t="s">
        <v>709</v>
      </c>
      <c r="BP850" s="547" t="s">
        <v>709</v>
      </c>
      <c r="BQ850" s="547" t="s">
        <v>709</v>
      </c>
      <c r="BR850" s="547" t="s">
        <v>709</v>
      </c>
      <c r="BS850" s="547">
        <v>1228</v>
      </c>
      <c r="BT850" s="547" t="s">
        <v>745</v>
      </c>
      <c r="BU850" s="547" t="s">
        <v>709</v>
      </c>
      <c r="BV850" s="547" t="s">
        <v>745</v>
      </c>
      <c r="BW850" s="547" t="s">
        <v>709</v>
      </c>
      <c r="BX850" s="547" t="s">
        <v>745</v>
      </c>
      <c r="BY850" s="547" t="s">
        <v>745</v>
      </c>
      <c r="BZ850" s="547" t="s">
        <v>709</v>
      </c>
      <c r="CA850" s="483" t="s">
        <v>2</v>
      </c>
      <c r="CB850" s="547">
        <v>847</v>
      </c>
      <c r="CC850" s="1481" t="b">
        <v>1</v>
      </c>
      <c r="CD850" t="str">
        <f>Table15[[#This Row],[Engineering Number]]&amp;Table15[[#This Row],[WO Number]]&amp;Table15[[#This Row],[Date Assigned to Designer]]&amp;Table15[[#This Row],[Date Completed]]</f>
        <v>RS108210118854495944971</v>
      </c>
    </row>
    <row r="851" spans="1:82" customFormat="1" ht="15" customHeight="1" x14ac:dyDescent="0.25">
      <c r="A851">
        <v>2023</v>
      </c>
      <c r="B851" s="8" t="s">
        <v>4</v>
      </c>
      <c r="C851" s="8" t="s">
        <v>5308</v>
      </c>
      <c r="D851" s="8" t="s">
        <v>5309</v>
      </c>
      <c r="E851" s="8" t="s">
        <v>245</v>
      </c>
      <c r="F851" s="8" t="s">
        <v>784</v>
      </c>
      <c r="G851" s="8" t="s">
        <v>27</v>
      </c>
      <c r="H851" s="647" t="s">
        <v>1681</v>
      </c>
      <c r="I851" s="642">
        <v>44939</v>
      </c>
      <c r="J851" s="18">
        <v>45016</v>
      </c>
      <c r="K851" s="18">
        <v>44972</v>
      </c>
      <c r="L851" s="16">
        <f>IF(ISTEXT(Table15[[#This Row],[Engineering Approved Design Date]]),Table15[[#This Row],[Date Completed]]-Table15[[#This Row],[Date Assigned to Designer]],Table15[[#This Row],[Engineering Approved Design Date]]-Table15[[#This Row],[Date Completed]])</f>
        <v>44</v>
      </c>
      <c r="M851" s="642"/>
      <c r="N851" s="642" t="s">
        <v>120</v>
      </c>
      <c r="O851" s="1060">
        <v>44958</v>
      </c>
      <c r="P851" s="1152" t="s">
        <v>739</v>
      </c>
      <c r="Q851" s="87" t="s">
        <v>115</v>
      </c>
      <c r="R851" s="1026" t="s">
        <v>115</v>
      </c>
      <c r="S851" s="538"/>
      <c r="T851" s="538"/>
      <c r="U851" s="87"/>
      <c r="V851" s="857"/>
      <c r="W851" s="440"/>
      <c r="X851" s="550"/>
      <c r="Y851" s="550"/>
      <c r="Z851" s="550"/>
      <c r="AA851" s="552"/>
      <c r="AB851" s="341" t="s">
        <v>29</v>
      </c>
      <c r="AC851" s="568" t="s">
        <v>709</v>
      </c>
      <c r="AD851" s="1157" t="s">
        <v>29</v>
      </c>
      <c r="AE851" s="579"/>
      <c r="AF851" s="579"/>
      <c r="AG851" s="579"/>
      <c r="AH851" s="553"/>
      <c r="AI851" s="1036"/>
      <c r="AJ851" s="1037"/>
      <c r="AK851" s="1037"/>
      <c r="AL851" s="1038"/>
      <c r="AM851" s="542" t="s">
        <v>709</v>
      </c>
      <c r="AN851" s="924"/>
      <c r="AO851" s="925"/>
      <c r="AP851" s="926"/>
      <c r="AQ851" s="926"/>
      <c r="AR851" s="926"/>
      <c r="AS851" s="926"/>
      <c r="AT851" s="926"/>
      <c r="AU851" s="926"/>
      <c r="AV851" s="926"/>
      <c r="AW851" s="927"/>
      <c r="AX851" s="926"/>
      <c r="AY851" s="1538" t="s">
        <v>29</v>
      </c>
      <c r="AZ851" s="1530"/>
      <c r="BA851" s="1031" t="s">
        <v>5310</v>
      </c>
      <c r="BB851" s="644" t="s">
        <v>877</v>
      </c>
      <c r="BC851" s="544" t="s">
        <v>116</v>
      </c>
      <c r="BD851" s="544" t="s">
        <v>709</v>
      </c>
      <c r="BE851" s="544" t="s">
        <v>709</v>
      </c>
      <c r="BF851" s="544" t="s">
        <v>1028</v>
      </c>
      <c r="BG851" s="544" t="s">
        <v>709</v>
      </c>
      <c r="BH851" s="741"/>
      <c r="BI851" s="1032"/>
      <c r="BJ851" s="1032"/>
      <c r="BK851" s="1032"/>
      <c r="BL851" s="1032"/>
      <c r="BM851" s="1032"/>
      <c r="BN851" s="1032"/>
      <c r="BO851" s="1032"/>
      <c r="BP851" s="1032"/>
      <c r="BQ851" s="1032"/>
      <c r="BR851" s="1032"/>
      <c r="BS851" s="1032"/>
      <c r="BT851" s="1032"/>
      <c r="BU851" s="1032"/>
      <c r="BV851" s="1032"/>
      <c r="BW851" s="1032"/>
      <c r="BX851" s="1032"/>
      <c r="BY851" s="1032"/>
      <c r="BZ851" s="1032"/>
      <c r="CA851" s="485"/>
      <c r="CB851" s="547">
        <v>849</v>
      </c>
      <c r="CC851" s="1481" t="b">
        <v>1</v>
      </c>
      <c r="CD851" t="str">
        <f>Table15[[#This Row],[Engineering Number]]&amp;Table15[[#This Row],[WO Number]]&amp;Table15[[#This Row],[Date Assigned to Designer]]&amp;Table15[[#This Row],[Date Completed]]</f>
        <v>N1516412122764493944972</v>
      </c>
    </row>
    <row r="852" spans="1:82" customFormat="1" ht="15" customHeight="1" x14ac:dyDescent="0.25">
      <c r="A852">
        <v>2023</v>
      </c>
      <c r="B852" s="8" t="s">
        <v>771</v>
      </c>
      <c r="C852" s="8" t="s">
        <v>5302</v>
      </c>
      <c r="D852" s="8" t="s">
        <v>5303</v>
      </c>
      <c r="E852" s="8" t="s">
        <v>300</v>
      </c>
      <c r="F852" s="8" t="s">
        <v>747</v>
      </c>
      <c r="G852" s="8" t="s">
        <v>36</v>
      </c>
      <c r="H852" s="8" t="s">
        <v>59</v>
      </c>
      <c r="I852" s="642">
        <v>44945</v>
      </c>
      <c r="J852" s="18">
        <v>44973</v>
      </c>
      <c r="K852" s="97">
        <v>44972</v>
      </c>
      <c r="L852" s="16">
        <f>IF(ISTEXT(Table15[[#This Row],[Engineering Approved Design Date]]),Table15[[#This Row],[Date Completed]]-Table15[[#This Row],[Date Assigned to Designer]],Table15[[#This Row],[Engineering Approved Design Date]]-Table15[[#This Row],[Date Completed]])</f>
        <v>1</v>
      </c>
      <c r="M852" s="642"/>
      <c r="N852" s="642" t="s">
        <v>120</v>
      </c>
      <c r="O852" s="1060">
        <f>Table15[[#This Row],[Date Completed]]</f>
        <v>44972</v>
      </c>
      <c r="P852" s="1152" t="s">
        <v>120</v>
      </c>
      <c r="Q852" s="1061">
        <f>Table15[[#This Row],[KH Hourly Effort]]+Table15[[#This Row],[Shactee Effort]]</f>
        <v>7998</v>
      </c>
      <c r="R852" s="1026" t="s">
        <v>1922</v>
      </c>
      <c r="S852" s="538">
        <v>325.5</v>
      </c>
      <c r="T852" s="538"/>
      <c r="U852" s="87">
        <v>7672.5</v>
      </c>
      <c r="V852" s="858">
        <v>256</v>
      </c>
      <c r="W852" s="437"/>
      <c r="X852" s="552">
        <v>85692.12</v>
      </c>
      <c r="Y852" s="551"/>
      <c r="Z852" s="552">
        <v>11182.44</v>
      </c>
      <c r="AA852" s="552"/>
      <c r="AB852" s="341"/>
      <c r="AC852" s="568" t="s">
        <v>709</v>
      </c>
      <c r="AD852" s="1157" t="s">
        <v>29</v>
      </c>
      <c r="AE852" s="568" t="s">
        <v>29</v>
      </c>
      <c r="AF852" s="568" t="s">
        <v>29</v>
      </c>
      <c r="AG852" s="568" t="s">
        <v>29</v>
      </c>
      <c r="AH852" s="183" t="s">
        <v>29</v>
      </c>
      <c r="AI852" s="1036"/>
      <c r="AJ852" s="1037"/>
      <c r="AK852" s="1037"/>
      <c r="AL852" s="1038"/>
      <c r="AM852" s="542" t="s">
        <v>709</v>
      </c>
      <c r="AN852" s="924"/>
      <c r="AO852" s="925"/>
      <c r="AP852" s="926"/>
      <c r="AQ852" s="926"/>
      <c r="AR852" s="926"/>
      <c r="AS852" s="926"/>
      <c r="AT852" s="926"/>
      <c r="AU852" s="926"/>
      <c r="AV852" s="926"/>
      <c r="AW852" s="927"/>
      <c r="AX852" s="926"/>
      <c r="AY852" s="1538" t="s">
        <v>29</v>
      </c>
      <c r="AZ852" s="1530"/>
      <c r="BA852" s="1031" t="s">
        <v>5304</v>
      </c>
      <c r="BB852" s="644" t="s">
        <v>5305</v>
      </c>
      <c r="BC852" s="544" t="s">
        <v>709</v>
      </c>
      <c r="BD852" s="544" t="s">
        <v>115</v>
      </c>
      <c r="BE852" s="544" t="s">
        <v>4242</v>
      </c>
      <c r="BF852" s="544" t="s">
        <v>115</v>
      </c>
      <c r="BG852" s="544" t="s">
        <v>5306</v>
      </c>
      <c r="BH852" s="741"/>
      <c r="BI852" s="547" t="s">
        <v>709</v>
      </c>
      <c r="BJ852" s="547" t="s">
        <v>709</v>
      </c>
      <c r="BK852" s="547" t="s">
        <v>709</v>
      </c>
      <c r="BL852" s="547" t="s">
        <v>116</v>
      </c>
      <c r="BM852" s="547" t="s">
        <v>709</v>
      </c>
      <c r="BN852" s="547" t="s">
        <v>709</v>
      </c>
      <c r="BO852" s="547" t="s">
        <v>709</v>
      </c>
      <c r="BP852" s="547" t="s">
        <v>709</v>
      </c>
      <c r="BQ852" s="547" t="s">
        <v>709</v>
      </c>
      <c r="BR852" s="547" t="s">
        <v>709</v>
      </c>
      <c r="BS852" s="547">
        <v>256</v>
      </c>
      <c r="BT852" s="547" t="s">
        <v>745</v>
      </c>
      <c r="BU852" s="547" t="s">
        <v>709</v>
      </c>
      <c r="BV852" s="547" t="s">
        <v>745</v>
      </c>
      <c r="BW852" s="547" t="s">
        <v>709</v>
      </c>
      <c r="BX852" s="547" t="s">
        <v>745</v>
      </c>
      <c r="BY852" s="547" t="s">
        <v>745</v>
      </c>
      <c r="BZ852" s="547" t="s">
        <v>709</v>
      </c>
      <c r="CA852" s="483"/>
      <c r="CB852" s="547">
        <v>850</v>
      </c>
      <c r="CC852" s="1481" t="b">
        <v>1</v>
      </c>
      <c r="CD852" t="str">
        <f>Table15[[#This Row],[Engineering Number]]&amp;Table15[[#This Row],[WO Number]]&amp;Table15[[#This Row],[Date Assigned to Designer]]&amp;Table15[[#This Row],[Date Completed]]</f>
        <v>BS511-113122524494544972</v>
      </c>
    </row>
    <row r="853" spans="1:82" customFormat="1" ht="15" customHeight="1" x14ac:dyDescent="0.25">
      <c r="A853">
        <v>2023</v>
      </c>
      <c r="B853" s="8" t="s">
        <v>4</v>
      </c>
      <c r="C853" s="8" t="s">
        <v>5312</v>
      </c>
      <c r="D853" s="8" t="s">
        <v>5313</v>
      </c>
      <c r="E853" s="8" t="s">
        <v>1957</v>
      </c>
      <c r="F853" s="8" t="s">
        <v>784</v>
      </c>
      <c r="G853" s="8" t="s">
        <v>25</v>
      </c>
      <c r="H853" s="8" t="s">
        <v>59</v>
      </c>
      <c r="I853" s="642">
        <v>44882</v>
      </c>
      <c r="J853" s="18">
        <v>44973</v>
      </c>
      <c r="K853" s="97">
        <v>44972</v>
      </c>
      <c r="L853" s="16">
        <f>IF(ISTEXT(Table15[[#This Row],[Engineering Approved Design Date]]),Table15[[#This Row],[Date Completed]]-Table15[[#This Row],[Date Assigned to Designer]],Table15[[#This Row],[Engineering Approved Design Date]]-Table15[[#This Row],[Date Completed]])</f>
        <v>1</v>
      </c>
      <c r="M853" s="642"/>
      <c r="N853" s="642" t="s">
        <v>120</v>
      </c>
      <c r="O853" s="1060">
        <f>Table15[[#This Row],[Date Completed]]</f>
        <v>44972</v>
      </c>
      <c r="P853" s="1152" t="s">
        <v>739</v>
      </c>
      <c r="Q853" s="1061">
        <f>R853*AA853</f>
        <v>26876.712</v>
      </c>
      <c r="R853" s="1026">
        <v>0.1</v>
      </c>
      <c r="S853" s="538"/>
      <c r="T853" s="538"/>
      <c r="U853" s="87"/>
      <c r="V853" s="858">
        <v>840</v>
      </c>
      <c r="W853" s="437"/>
      <c r="X853" s="552">
        <v>249982.29</v>
      </c>
      <c r="Y853" s="551"/>
      <c r="Z853" s="552">
        <v>18784.830000000002</v>
      </c>
      <c r="AA853" s="552">
        <f>Table15[[#This Row],[PCTS Investment Amount]]+Table15[[#This Row],[PCTS Retirement Amount]]</f>
        <v>268767.12</v>
      </c>
      <c r="AB853" s="341">
        <v>44965</v>
      </c>
      <c r="AC853" s="568" t="s">
        <v>709</v>
      </c>
      <c r="AD853" s="1157" t="s">
        <v>116</v>
      </c>
      <c r="AE853" s="579"/>
      <c r="AF853" s="579"/>
      <c r="AG853" s="579"/>
      <c r="AH853" s="553"/>
      <c r="AI853" s="1036"/>
      <c r="AJ853" s="1037"/>
      <c r="AK853" s="1037"/>
      <c r="AL853" s="1038"/>
      <c r="AM853" s="1522" t="s">
        <v>116</v>
      </c>
      <c r="AN853" s="1523">
        <v>45288</v>
      </c>
      <c r="AO853" s="1524">
        <v>11076233</v>
      </c>
      <c r="AP853" s="1525">
        <v>254092.13</v>
      </c>
      <c r="AQ853" s="1525"/>
      <c r="AR853" s="1525">
        <v>19395.23</v>
      </c>
      <c r="AS853" s="1525">
        <f>IF(Table15[[#This Row],[PCTS Approved]]="N",0,Table15[[#This Row],[Investment Amount (1'#'#'#'#'#)]]+Table15[[#This Row],[Retirement Amount (3'#'#'#'#'#)]])</f>
        <v>273487.35999999999</v>
      </c>
      <c r="AT853" s="1525">
        <f>IF(Table15[[#This Row],[Approved Construction Cost]]=0,0,Table15[[#This Row],[Approved Construction Cost]]-Table15[[#This Row],[Construction Cost to Bill From]])</f>
        <v>4720.2399999999907</v>
      </c>
      <c r="AU853" s="1525">
        <f>IFERROR(Table15[[#This Row],[Difference in Construction Cost]]*Table15[[#This Row],[Rate]],Table15[[#This Row],[Difference in Construction Cost]]*0.085)</f>
        <v>472.02399999999909</v>
      </c>
      <c r="AV853" s="1525">
        <v>6285</v>
      </c>
      <c r="AW853" s="1526" t="s">
        <v>5314</v>
      </c>
      <c r="AX853" s="1525">
        <v>0</v>
      </c>
      <c r="AY853" s="1518">
        <v>45352</v>
      </c>
      <c r="AZ853" s="333"/>
      <c r="BA853" s="859" t="s">
        <v>5315</v>
      </c>
      <c r="BB853" s="644" t="s">
        <v>5316</v>
      </c>
      <c r="BC853" s="544" t="s">
        <v>115</v>
      </c>
      <c r="BD853" s="544" t="s">
        <v>115</v>
      </c>
      <c r="BE853" s="544" t="s">
        <v>5317</v>
      </c>
      <c r="BF853" s="544" t="s">
        <v>115</v>
      </c>
      <c r="BG853" s="544" t="s">
        <v>115</v>
      </c>
      <c r="BH853" s="741" t="s">
        <v>5318</v>
      </c>
      <c r="BI853" s="549" t="s">
        <v>709</v>
      </c>
      <c r="BJ853" s="549" t="s">
        <v>709</v>
      </c>
      <c r="BK853" s="549" t="s">
        <v>709</v>
      </c>
      <c r="BL853" s="549" t="s">
        <v>116</v>
      </c>
      <c r="BM853" s="549" t="s">
        <v>709</v>
      </c>
      <c r="BN853" s="549" t="s">
        <v>709</v>
      </c>
      <c r="BO853" s="549" t="s">
        <v>709</v>
      </c>
      <c r="BP853" s="549" t="s">
        <v>709</v>
      </c>
      <c r="BQ853" s="549" t="s">
        <v>709</v>
      </c>
      <c r="BR853" s="549" t="s">
        <v>709</v>
      </c>
      <c r="BS853" s="549">
        <v>840</v>
      </c>
      <c r="BT853" s="549" t="s">
        <v>709</v>
      </c>
      <c r="BU853" s="549" t="s">
        <v>709</v>
      </c>
      <c r="BV853" s="549" t="s">
        <v>709</v>
      </c>
      <c r="BW853" s="549" t="s">
        <v>709</v>
      </c>
      <c r="BX853" s="549" t="s">
        <v>745</v>
      </c>
      <c r="BY853" s="549" t="s">
        <v>709</v>
      </c>
      <c r="BZ853" s="547" t="s">
        <v>709</v>
      </c>
      <c r="CA853" s="483"/>
      <c r="CB853" s="547">
        <v>851</v>
      </c>
      <c r="CC853" s="1481" t="b">
        <v>1</v>
      </c>
      <c r="CD853" t="str">
        <f>Table15[[#This Row],[Engineering Number]]&amp;Table15[[#This Row],[WO Number]]&amp;Table15[[#This Row],[Date Assigned to Designer]]&amp;Table15[[#This Row],[Date Completed]]</f>
        <v>SC1901113122124488244972</v>
      </c>
    </row>
    <row r="854" spans="1:82" customFormat="1" ht="15" customHeight="1" x14ac:dyDescent="0.25">
      <c r="A854">
        <v>2024</v>
      </c>
      <c r="B854" s="8" t="s">
        <v>2</v>
      </c>
      <c r="C854" s="8" t="s">
        <v>1109</v>
      </c>
      <c r="D854" s="8">
        <v>103074</v>
      </c>
      <c r="E854" s="8" t="s">
        <v>762</v>
      </c>
      <c r="F854" s="8" t="s">
        <v>752</v>
      </c>
      <c r="G854" s="8" t="s">
        <v>34</v>
      </c>
      <c r="H854" s="8" t="s">
        <v>2724</v>
      </c>
      <c r="I854" s="642">
        <v>44965</v>
      </c>
      <c r="J854" s="175" t="s">
        <v>4110</v>
      </c>
      <c r="K854" s="97">
        <v>44973</v>
      </c>
      <c r="L854" s="16">
        <f>IF(ISTEXT(Table15[[#This Row],[Engineering Approved Design Date]]),Table15[[#This Row],[Date Completed]]-Table15[[#This Row],[Date Assigned to Designer]],Table15[[#This Row],[Engineering Approved Design Date]]-Table15[[#This Row],[Date Completed]])</f>
        <v>8</v>
      </c>
      <c r="M854" s="16" t="s">
        <v>5333</v>
      </c>
      <c r="N854" s="642" t="s">
        <v>120</v>
      </c>
      <c r="O854" s="1060">
        <v>44986</v>
      </c>
      <c r="P854" s="21" t="s">
        <v>120</v>
      </c>
      <c r="Q854" s="1061">
        <f>Table15[[#This Row],[KH Hourly Effort]]</f>
        <v>1412.5</v>
      </c>
      <c r="R854" s="1026" t="s">
        <v>1922</v>
      </c>
      <c r="S854" s="538"/>
      <c r="T854" s="538"/>
      <c r="U854" s="87">
        <v>1412.5</v>
      </c>
      <c r="V854" s="858" t="s">
        <v>29</v>
      </c>
      <c r="W854" s="425" t="s">
        <v>29</v>
      </c>
      <c r="X854" s="538" t="s">
        <v>29</v>
      </c>
      <c r="Y854" s="551" t="s">
        <v>915</v>
      </c>
      <c r="Z854" s="538" t="s">
        <v>29</v>
      </c>
      <c r="AA854" s="552" t="s">
        <v>29</v>
      </c>
      <c r="AB854" s="341" t="s">
        <v>29</v>
      </c>
      <c r="AC854" s="569" t="s">
        <v>29</v>
      </c>
      <c r="AD854" s="1149" t="s">
        <v>29</v>
      </c>
      <c r="AE854" s="580"/>
      <c r="AF854" s="580"/>
      <c r="AG854" s="580"/>
      <c r="AH854" s="542" t="s">
        <v>29</v>
      </c>
      <c r="AI854" s="1028"/>
      <c r="AJ854" s="1029"/>
      <c r="AK854" s="1029"/>
      <c r="AL854" s="1030"/>
      <c r="AM854" s="542" t="s">
        <v>709</v>
      </c>
      <c r="AN854" s="924"/>
      <c r="AO854" s="925"/>
      <c r="AP854" s="926"/>
      <c r="AQ854" s="926"/>
      <c r="AR854" s="926"/>
      <c r="AS854" s="926"/>
      <c r="AT854" s="926"/>
      <c r="AU854" s="926"/>
      <c r="AV854" s="926"/>
      <c r="AW854" s="927"/>
      <c r="AX854" s="926"/>
      <c r="AY854" s="1538" t="s">
        <v>29</v>
      </c>
      <c r="AZ854" s="1530"/>
      <c r="BA854" s="1031">
        <v>9</v>
      </c>
      <c r="BB854" s="644" t="s">
        <v>5334</v>
      </c>
      <c r="BC854" s="544"/>
      <c r="BD854" s="544"/>
      <c r="BE854" s="544"/>
      <c r="BF854" s="544"/>
      <c r="BG854" s="544"/>
      <c r="BH854" s="741"/>
      <c r="BI854" s="547" t="s">
        <v>709</v>
      </c>
      <c r="BJ854" s="547" t="s">
        <v>709</v>
      </c>
      <c r="BK854" s="547" t="s">
        <v>116</v>
      </c>
      <c r="BL854" s="547" t="s">
        <v>116</v>
      </c>
      <c r="BM854" s="547" t="s">
        <v>709</v>
      </c>
      <c r="BN854" s="547" t="s">
        <v>709</v>
      </c>
      <c r="BO854" s="547" t="s">
        <v>709</v>
      </c>
      <c r="BP854" s="547" t="s">
        <v>709</v>
      </c>
      <c r="BQ854" s="547" t="s">
        <v>116</v>
      </c>
      <c r="BR854" s="547" t="s">
        <v>116</v>
      </c>
      <c r="BS854" s="547" t="s">
        <v>116</v>
      </c>
      <c r="BT854" s="547">
        <v>1</v>
      </c>
      <c r="BU854" s="547" t="s">
        <v>709</v>
      </c>
      <c r="BV854" s="547" t="s">
        <v>709</v>
      </c>
      <c r="BW854" s="547">
        <v>1</v>
      </c>
      <c r="BX854" s="547">
        <v>1</v>
      </c>
      <c r="BY854" s="547" t="s">
        <v>709</v>
      </c>
      <c r="BZ854" s="547" t="s">
        <v>709</v>
      </c>
      <c r="CA854" s="483" t="s">
        <v>2</v>
      </c>
      <c r="CB854" s="547">
        <v>855</v>
      </c>
      <c r="CC854" s="1481" t="b">
        <v>1</v>
      </c>
      <c r="CD854" t="str">
        <f>Table15[[#This Row],[Engineering Number]]&amp;Table15[[#This Row],[WO Number]]&amp;Table15[[#This Row],[Date Assigned to Designer]]&amp;Table15[[#This Row],[Date Completed]]</f>
        <v>RS6681030744496544973</v>
      </c>
    </row>
    <row r="855" spans="1:82" customFormat="1" ht="15" customHeight="1" x14ac:dyDescent="0.25">
      <c r="A855">
        <v>2023</v>
      </c>
      <c r="B855" s="8" t="s">
        <v>731</v>
      </c>
      <c r="C855" s="8" t="s">
        <v>5328</v>
      </c>
      <c r="D855" s="8" t="s">
        <v>5329</v>
      </c>
      <c r="E855" s="8" t="s">
        <v>1605</v>
      </c>
      <c r="F855" s="8" t="s">
        <v>4899</v>
      </c>
      <c r="G855" s="8" t="s">
        <v>24</v>
      </c>
      <c r="H855" s="8" t="s">
        <v>59</v>
      </c>
      <c r="I855" s="642">
        <v>44908</v>
      </c>
      <c r="J855" s="18">
        <v>44985</v>
      </c>
      <c r="K855" s="97">
        <v>44973</v>
      </c>
      <c r="L855" s="16">
        <f>IF(ISTEXT(Table15[[#This Row],[Engineering Approved Design Date]]),Table15[[#This Row],[Date Completed]]-Table15[[#This Row],[Date Assigned to Designer]],Table15[[#This Row],[Engineering Approved Design Date]]-Table15[[#This Row],[Date Completed]])</f>
        <v>12</v>
      </c>
      <c r="M855" s="642"/>
      <c r="N855" s="642" t="s">
        <v>120</v>
      </c>
      <c r="O855" s="1060">
        <f>Table15[[#This Row],[Date Completed]]</f>
        <v>44973</v>
      </c>
      <c r="P855" s="1152" t="s">
        <v>739</v>
      </c>
      <c r="Q855" s="1061">
        <f>5750*Table15[[#This Row],['# of PV/STR/FV/TW/VLT]]</f>
        <v>17250</v>
      </c>
      <c r="R855" s="1026" t="s">
        <v>5256</v>
      </c>
      <c r="S855" s="538"/>
      <c r="T855" s="538">
        <v>0</v>
      </c>
      <c r="U855" s="87"/>
      <c r="V855" s="858"/>
      <c r="W855" s="437">
        <v>3</v>
      </c>
      <c r="X855" s="552">
        <v>0</v>
      </c>
      <c r="Y855" s="551"/>
      <c r="Z855" s="552">
        <v>162853.26</v>
      </c>
      <c r="AA855" s="552">
        <f>Table15[[#This Row],[PCTS Investment Amount]]+Table15[[#This Row],[PCTS Retirement Amount]]</f>
        <v>162853.26</v>
      </c>
      <c r="AB855" s="341" t="s">
        <v>29</v>
      </c>
      <c r="AC855" s="568" t="s">
        <v>709</v>
      </c>
      <c r="AD855" s="1157" t="s">
        <v>116</v>
      </c>
      <c r="AE855" s="579"/>
      <c r="AF855" s="579"/>
      <c r="AG855" s="579"/>
      <c r="AH855" s="553"/>
      <c r="AI855" s="1036"/>
      <c r="AJ855" s="1037"/>
      <c r="AK855" s="1037"/>
      <c r="AL855" s="1038"/>
      <c r="AM855" s="542" t="s">
        <v>709</v>
      </c>
      <c r="AN855" s="924"/>
      <c r="AO855" s="925"/>
      <c r="AP855" s="926"/>
      <c r="AQ855" s="926"/>
      <c r="AR855" s="926"/>
      <c r="AS855" s="926"/>
      <c r="AT855" s="926"/>
      <c r="AU855" s="926"/>
      <c r="AV855" s="926"/>
      <c r="AW855" s="927"/>
      <c r="AX855" s="926"/>
      <c r="AY855" s="1538" t="s">
        <v>29</v>
      </c>
      <c r="AZ855" s="1530"/>
      <c r="BA855" s="1031" t="s">
        <v>5330</v>
      </c>
      <c r="BB855" s="644" t="s">
        <v>5331</v>
      </c>
      <c r="BC855" s="544" t="s">
        <v>709</v>
      </c>
      <c r="BD855" s="544" t="s">
        <v>837</v>
      </c>
      <c r="BE855" s="544" t="s">
        <v>615</v>
      </c>
      <c r="BF855" s="544" t="s">
        <v>923</v>
      </c>
      <c r="BG855" s="544" t="s">
        <v>115</v>
      </c>
      <c r="BH855" s="741"/>
      <c r="BI855" s="547" t="s">
        <v>709</v>
      </c>
      <c r="BJ855" s="547" t="s">
        <v>709</v>
      </c>
      <c r="BK855" s="547" t="s">
        <v>709</v>
      </c>
      <c r="BL855" s="547" t="s">
        <v>709</v>
      </c>
      <c r="BM855" s="547" t="s">
        <v>709</v>
      </c>
      <c r="BN855" s="547" t="s">
        <v>709</v>
      </c>
      <c r="BO855" s="547" t="s">
        <v>709</v>
      </c>
      <c r="BP855" s="547" t="s">
        <v>709</v>
      </c>
      <c r="BQ855" s="547" t="s">
        <v>709</v>
      </c>
      <c r="BR855" s="547" t="s">
        <v>709</v>
      </c>
      <c r="BS855" s="547" t="s">
        <v>709</v>
      </c>
      <c r="BT855" s="547" t="s">
        <v>745</v>
      </c>
      <c r="BU855" s="547" t="s">
        <v>709</v>
      </c>
      <c r="BV855" s="547">
        <v>3</v>
      </c>
      <c r="BW855" s="547" t="s">
        <v>709</v>
      </c>
      <c r="BX855" s="547" t="s">
        <v>745</v>
      </c>
      <c r="BY855" s="547" t="s">
        <v>745</v>
      </c>
      <c r="BZ855" s="547" t="s">
        <v>709</v>
      </c>
      <c r="CA855" s="483" t="s">
        <v>1146</v>
      </c>
      <c r="CB855" s="547">
        <v>852</v>
      </c>
      <c r="CC855" s="1481" t="b">
        <v>1</v>
      </c>
      <c r="CD855" t="str">
        <f>Table15[[#This Row],[Engineering Number]]&amp;Table15[[#This Row],[WO Number]]&amp;Table15[[#This Row],[Date Assigned to Designer]]&amp;Table15[[#This Row],[Date Completed]]</f>
        <v>MR197634121454490844973</v>
      </c>
    </row>
    <row r="856" spans="1:82" customFormat="1" ht="15" customHeight="1" x14ac:dyDescent="0.25">
      <c r="A856">
        <v>2023</v>
      </c>
      <c r="B856" s="8" t="s">
        <v>2</v>
      </c>
      <c r="C856" s="8" t="s">
        <v>5114</v>
      </c>
      <c r="D856" s="8">
        <v>1011869</v>
      </c>
      <c r="E856" s="8" t="s">
        <v>818</v>
      </c>
      <c r="F856" s="8" t="s">
        <v>752</v>
      </c>
      <c r="G856" s="8" t="s">
        <v>24</v>
      </c>
      <c r="H856" s="8" t="s">
        <v>4189</v>
      </c>
      <c r="I856" s="642">
        <v>44959</v>
      </c>
      <c r="J856" s="175" t="s">
        <v>2052</v>
      </c>
      <c r="K856" s="97">
        <v>44973</v>
      </c>
      <c r="L856" s="16">
        <f>IF(ISTEXT(Table15[[#This Row],[Engineering Approved Design Date]]),Table15[[#This Row],[Date Completed]]-Table15[[#This Row],[Date Assigned to Designer]],Table15[[#This Row],[Engineering Approved Design Date]]-Table15[[#This Row],[Date Completed]])</f>
        <v>14</v>
      </c>
      <c r="M856" s="16" t="s">
        <v>5326</v>
      </c>
      <c r="N856" s="642" t="s">
        <v>120</v>
      </c>
      <c r="O856" s="1060">
        <f>Table15[[#This Row],[Date Completed]]</f>
        <v>44973</v>
      </c>
      <c r="P856" s="21" t="s">
        <v>120</v>
      </c>
      <c r="Q856" s="1061">
        <f>Table15[[#This Row],[KH Hourly Effort]]</f>
        <v>4112.5</v>
      </c>
      <c r="R856" s="1026" t="s">
        <v>1922</v>
      </c>
      <c r="S856" s="538"/>
      <c r="T856" s="538">
        <v>0</v>
      </c>
      <c r="U856" s="87">
        <v>4112.5</v>
      </c>
      <c r="V856" s="857"/>
      <c r="W856" s="440"/>
      <c r="X856" s="538"/>
      <c r="Y856" s="551"/>
      <c r="Z856" s="538"/>
      <c r="AA856" s="552"/>
      <c r="AB856" s="341"/>
      <c r="AC856" s="569" t="s">
        <v>709</v>
      </c>
      <c r="AD856" s="1149" t="s">
        <v>116</v>
      </c>
      <c r="AE856" s="580" t="s">
        <v>29</v>
      </c>
      <c r="AF856" s="580" t="s">
        <v>29</v>
      </c>
      <c r="AG856" s="580" t="s">
        <v>29</v>
      </c>
      <c r="AH856" s="542" t="s">
        <v>29</v>
      </c>
      <c r="AI856" s="1028"/>
      <c r="AJ856" s="1029"/>
      <c r="AK856" s="1029"/>
      <c r="AL856" s="1030"/>
      <c r="AM856" s="542" t="s">
        <v>709</v>
      </c>
      <c r="AN856" s="924"/>
      <c r="AO856" s="925"/>
      <c r="AP856" s="926"/>
      <c r="AQ856" s="926"/>
      <c r="AR856" s="926"/>
      <c r="AS856" s="926"/>
      <c r="AT856" s="926"/>
      <c r="AU856" s="926"/>
      <c r="AV856" s="926"/>
      <c r="AW856" s="927"/>
      <c r="AX856" s="926"/>
      <c r="AY856" s="1538" t="s">
        <v>29</v>
      </c>
      <c r="AZ856" s="1530"/>
      <c r="BA856" s="1031">
        <v>4</v>
      </c>
      <c r="BB856" s="644" t="s">
        <v>5295</v>
      </c>
      <c r="BC856" s="544"/>
      <c r="BD856" s="544"/>
      <c r="BE856" s="544"/>
      <c r="BF856" s="544"/>
      <c r="BG856" s="544"/>
      <c r="BH856" s="741"/>
      <c r="BI856" s="547" t="s">
        <v>709</v>
      </c>
      <c r="BJ856" s="547" t="s">
        <v>709</v>
      </c>
      <c r="BK856" s="547" t="s">
        <v>709</v>
      </c>
      <c r="BL856" s="547" t="s">
        <v>116</v>
      </c>
      <c r="BM856" s="547" t="s">
        <v>709</v>
      </c>
      <c r="BN856" s="547" t="s">
        <v>709</v>
      </c>
      <c r="BO856" s="547" t="s">
        <v>709</v>
      </c>
      <c r="BP856" s="547" t="s">
        <v>709</v>
      </c>
      <c r="BQ856" s="547" t="s">
        <v>709</v>
      </c>
      <c r="BR856" s="547">
        <v>809</v>
      </c>
      <c r="BS856" s="547" t="s">
        <v>709</v>
      </c>
      <c r="BT856" s="547" t="s">
        <v>745</v>
      </c>
      <c r="BU856" s="547" t="s">
        <v>709</v>
      </c>
      <c r="BV856" s="547" t="s">
        <v>745</v>
      </c>
      <c r="BW856" s="547" t="s">
        <v>709</v>
      </c>
      <c r="BX856" s="547" t="s">
        <v>745</v>
      </c>
      <c r="BY856" s="547" t="s">
        <v>745</v>
      </c>
      <c r="BZ856" s="547" t="s">
        <v>709</v>
      </c>
      <c r="CA856" s="483" t="s">
        <v>2</v>
      </c>
      <c r="CB856" s="547">
        <v>854</v>
      </c>
      <c r="CC856" s="1481" t="b">
        <v>1</v>
      </c>
      <c r="CD856" t="str">
        <f>Table15[[#This Row],[Engineering Number]]&amp;Table15[[#This Row],[WO Number]]&amp;Table15[[#This Row],[Date Assigned to Designer]]&amp;Table15[[#This Row],[Date Completed]]</f>
        <v>RS108310118694495944973</v>
      </c>
    </row>
    <row r="857" spans="1:82" customFormat="1" ht="15" customHeight="1" x14ac:dyDescent="0.25">
      <c r="A857">
        <v>2022</v>
      </c>
      <c r="B857" s="8" t="s">
        <v>1073</v>
      </c>
      <c r="C857" s="8" t="s">
        <v>286</v>
      </c>
      <c r="D857" s="8" t="s">
        <v>5320</v>
      </c>
      <c r="E857" s="8" t="s">
        <v>277</v>
      </c>
      <c r="F857" s="8" t="s">
        <v>784</v>
      </c>
      <c r="G857" s="8" t="s">
        <v>22</v>
      </c>
      <c r="H857" s="8" t="s">
        <v>59</v>
      </c>
      <c r="I857" s="642">
        <v>44844</v>
      </c>
      <c r="J857" s="18">
        <v>44974</v>
      </c>
      <c r="K857" s="97">
        <v>44973</v>
      </c>
      <c r="L857" s="16">
        <f>IF(ISTEXT(Table15[[#This Row],[Engineering Approved Design Date]]),Table15[[#This Row],[Date Completed]]-Table15[[#This Row],[Date Assigned to Designer]],Table15[[#This Row],[Engineering Approved Design Date]]-Table15[[#This Row],[Date Completed]])</f>
        <v>1</v>
      </c>
      <c r="M857" s="642"/>
      <c r="N857" s="642" t="s">
        <v>120</v>
      </c>
      <c r="O857" s="1060">
        <f>Table15[[#This Row],[Date Completed]]</f>
        <v>44973</v>
      </c>
      <c r="P857" s="1152" t="s">
        <v>739</v>
      </c>
      <c r="Q857" s="1061">
        <f>R857*AA857</f>
        <v>113343.42</v>
      </c>
      <c r="R857" s="1026">
        <v>0.08</v>
      </c>
      <c r="S857" s="538"/>
      <c r="T857" s="538"/>
      <c r="U857" s="87"/>
      <c r="V857" s="858">
        <v>5387</v>
      </c>
      <c r="W857" s="437"/>
      <c r="X857" s="552">
        <v>1416792.75</v>
      </c>
      <c r="Y857" s="551"/>
      <c r="Z857" s="552">
        <v>0</v>
      </c>
      <c r="AA857" s="552">
        <f>Table15[[#This Row],[PCTS Investment Amount]]+Table15[[#This Row],[PCTS Retirement Amount]]</f>
        <v>1416792.75</v>
      </c>
      <c r="AB857" s="341">
        <v>44978</v>
      </c>
      <c r="AC857" s="568" t="s">
        <v>1177</v>
      </c>
      <c r="AD857" s="1157" t="s">
        <v>116</v>
      </c>
      <c r="AE857" s="568"/>
      <c r="AF857" s="568"/>
      <c r="AG857" s="568"/>
      <c r="AH857" s="183"/>
      <c r="AI857" s="1036"/>
      <c r="AJ857" s="1037"/>
      <c r="AK857" s="1037"/>
      <c r="AL857" s="1038"/>
      <c r="AM857" s="1522" t="s">
        <v>116</v>
      </c>
      <c r="AN857" s="1523">
        <v>45050</v>
      </c>
      <c r="AO857" s="1524">
        <v>11050932</v>
      </c>
      <c r="AP857" s="1525">
        <v>1419493.72</v>
      </c>
      <c r="AQ857" s="1525"/>
      <c r="AR857" s="1525">
        <v>0</v>
      </c>
      <c r="AS857" s="1525">
        <f>IF(Table15[[#This Row],[PCTS Approved]]="N",0,Table15[[#This Row],[Investment Amount (1'#'#'#'#'#)]]+Table15[[#This Row],[Retirement Amount (3'#'#'#'#'#)]])</f>
        <v>1419493.72</v>
      </c>
      <c r="AT857" s="1525">
        <f>IF(Table15[[#This Row],[Approved Construction Cost]]=0,0,Table15[[#This Row],[Approved Construction Cost]]-Table15[[#This Row],[Construction Cost to Bill From]])</f>
        <v>2700.9699999999721</v>
      </c>
      <c r="AU857" s="1525">
        <f>IFERROR(Table15[[#This Row],[Difference in Construction Cost]]*Table15[[#This Row],[Rate]],Table15[[#This Row],[Difference in Construction Cost]]*0.085)</f>
        <v>216.07759999999777</v>
      </c>
      <c r="AV857" s="1525">
        <v>2700</v>
      </c>
      <c r="AW857" s="1526" t="s">
        <v>5321</v>
      </c>
      <c r="AX857" s="1525">
        <v>0</v>
      </c>
      <c r="AY857" s="1518">
        <v>45200</v>
      </c>
      <c r="AZ857" s="333"/>
      <c r="BA857" s="859" t="s">
        <v>5322</v>
      </c>
      <c r="BB857" s="644" t="s">
        <v>5323</v>
      </c>
      <c r="BC857" s="544" t="s">
        <v>116</v>
      </c>
      <c r="BD857" s="544" t="s">
        <v>709</v>
      </c>
      <c r="BE857" s="544" t="s">
        <v>5324</v>
      </c>
      <c r="BF857" s="544" t="s">
        <v>115</v>
      </c>
      <c r="BG857" s="544" t="s">
        <v>1078</v>
      </c>
      <c r="BH857" s="741"/>
      <c r="BI857" s="547" t="s">
        <v>709</v>
      </c>
      <c r="BJ857" s="547" t="s">
        <v>709</v>
      </c>
      <c r="BK857" s="547" t="s">
        <v>116</v>
      </c>
      <c r="BL857" s="547" t="s">
        <v>709</v>
      </c>
      <c r="BM857" s="547" t="s">
        <v>709</v>
      </c>
      <c r="BN857" s="547" t="s">
        <v>709</v>
      </c>
      <c r="BO857" s="547" t="s">
        <v>709</v>
      </c>
      <c r="BP857" s="547" t="s">
        <v>709</v>
      </c>
      <c r="BQ857" s="547" t="s">
        <v>709</v>
      </c>
      <c r="BR857" s="547">
        <v>5387</v>
      </c>
      <c r="BS857" s="547" t="s">
        <v>709</v>
      </c>
      <c r="BT857" s="547" t="s">
        <v>745</v>
      </c>
      <c r="BU857" s="547" t="s">
        <v>709</v>
      </c>
      <c r="BV857" s="547" t="s">
        <v>745</v>
      </c>
      <c r="BW857" s="547" t="s">
        <v>709</v>
      </c>
      <c r="BX857" s="547" t="s">
        <v>745</v>
      </c>
      <c r="BY857" s="547">
        <v>1</v>
      </c>
      <c r="BZ857" s="547" t="s">
        <v>709</v>
      </c>
      <c r="CA857" s="483"/>
      <c r="CB857" s="547">
        <v>853</v>
      </c>
      <c r="CC857" s="1481" t="b">
        <v>1</v>
      </c>
      <c r="CD857" t="str">
        <f>Table15[[#This Row],[Engineering Number]]&amp;Table15[[#This Row],[WO Number]]&amp;Table15[[#This Row],[Date Assigned to Designer]]&amp;Table15[[#This Row],[Date Completed]]</f>
        <v>NBA10006212-115119074484444973</v>
      </c>
    </row>
    <row r="858" spans="1:82" customFormat="1" ht="15" customHeight="1" x14ac:dyDescent="0.25">
      <c r="A858">
        <v>2023</v>
      </c>
      <c r="B858" s="8" t="s">
        <v>759</v>
      </c>
      <c r="C858" s="8" t="s">
        <v>224</v>
      </c>
      <c r="D858" s="8" t="s">
        <v>1270</v>
      </c>
      <c r="E858" s="8" t="s">
        <v>225</v>
      </c>
      <c r="F858" s="8" t="s">
        <v>752</v>
      </c>
      <c r="G858" s="8" t="s">
        <v>24</v>
      </c>
      <c r="H858" s="8" t="s">
        <v>2724</v>
      </c>
      <c r="I858" s="642">
        <v>44965</v>
      </c>
      <c r="J858" s="175" t="s">
        <v>4110</v>
      </c>
      <c r="K858" s="97">
        <v>44974</v>
      </c>
      <c r="L858" s="16">
        <f>IF(ISTEXT(Table15[[#This Row],[Engineering Approved Design Date]]),Table15[[#This Row],[Date Completed]]-Table15[[#This Row],[Date Assigned to Designer]],Table15[[#This Row],[Engineering Approved Design Date]]-Table15[[#This Row],[Date Completed]])</f>
        <v>9</v>
      </c>
      <c r="M858" s="16" t="s">
        <v>5333</v>
      </c>
      <c r="N858" s="642" t="s">
        <v>120</v>
      </c>
      <c r="O858" s="1060">
        <v>44986</v>
      </c>
      <c r="P858" s="21" t="s">
        <v>120</v>
      </c>
      <c r="Q858" s="1061">
        <f>Table15[[#This Row],[KH Hourly Effort]]</f>
        <v>4655</v>
      </c>
      <c r="R858" s="1026" t="s">
        <v>1922</v>
      </c>
      <c r="S858" s="538"/>
      <c r="T858" s="538"/>
      <c r="U858" s="87">
        <v>4655</v>
      </c>
      <c r="V858" s="858" t="s">
        <v>29</v>
      </c>
      <c r="W858" s="425" t="s">
        <v>29</v>
      </c>
      <c r="X858" s="538" t="s">
        <v>29</v>
      </c>
      <c r="Y858" s="551" t="s">
        <v>915</v>
      </c>
      <c r="Z858" s="538" t="s">
        <v>29</v>
      </c>
      <c r="AA858" s="552" t="s">
        <v>29</v>
      </c>
      <c r="AB858" s="341" t="s">
        <v>29</v>
      </c>
      <c r="AC858" s="569" t="s">
        <v>709</v>
      </c>
      <c r="AD858" s="1149" t="s">
        <v>29</v>
      </c>
      <c r="AE858" s="580"/>
      <c r="AF858" s="580"/>
      <c r="AG858" s="580"/>
      <c r="AH858" s="542"/>
      <c r="AI858" s="1028"/>
      <c r="AJ858" s="1029"/>
      <c r="AK858" s="1029"/>
      <c r="AL858" s="1030"/>
      <c r="AM858" s="542" t="s">
        <v>709</v>
      </c>
      <c r="AN858" s="924"/>
      <c r="AO858" s="925"/>
      <c r="AP858" s="926"/>
      <c r="AQ858" s="926"/>
      <c r="AR858" s="926"/>
      <c r="AS858" s="926"/>
      <c r="AT858" s="926"/>
      <c r="AU858" s="926"/>
      <c r="AV858" s="926"/>
      <c r="AW858" s="927"/>
      <c r="AX858" s="926"/>
      <c r="AY858" s="1538" t="s">
        <v>29</v>
      </c>
      <c r="AZ858" s="1530"/>
      <c r="BA858" s="1031">
        <v>9</v>
      </c>
      <c r="BB858" s="644" t="s">
        <v>5334</v>
      </c>
      <c r="BC858" s="544"/>
      <c r="BD858" s="544"/>
      <c r="BE858" s="544"/>
      <c r="BF858" s="544"/>
      <c r="BG858" s="544"/>
      <c r="BH858" s="741"/>
      <c r="BI858" s="547" t="s">
        <v>709</v>
      </c>
      <c r="BJ858" s="547" t="s">
        <v>709</v>
      </c>
      <c r="BK858" s="547" t="s">
        <v>709</v>
      </c>
      <c r="BL858" s="547" t="s">
        <v>116</v>
      </c>
      <c r="BM858" s="547" t="s">
        <v>709</v>
      </c>
      <c r="BN858" s="547" t="s">
        <v>709</v>
      </c>
      <c r="BO858" s="547">
        <v>73</v>
      </c>
      <c r="BP858" s="547">
        <v>557</v>
      </c>
      <c r="BQ858" s="547">
        <v>75</v>
      </c>
      <c r="BR858" s="547">
        <v>159</v>
      </c>
      <c r="BS858" s="547">
        <v>5</v>
      </c>
      <c r="BT858" s="547">
        <v>1</v>
      </c>
      <c r="BU858" s="547" t="s">
        <v>709</v>
      </c>
      <c r="BV858" s="547" t="s">
        <v>745</v>
      </c>
      <c r="BW858" s="547" t="s">
        <v>709</v>
      </c>
      <c r="BX858" s="547">
        <v>1</v>
      </c>
      <c r="BY858" s="547" t="s">
        <v>745</v>
      </c>
      <c r="BZ858" s="547" t="s">
        <v>709</v>
      </c>
      <c r="CA858" s="483" t="s">
        <v>2</v>
      </c>
      <c r="CB858" s="547">
        <v>856</v>
      </c>
      <c r="CC858" s="1481" t="b">
        <v>1</v>
      </c>
      <c r="CD858" t="str">
        <f>Table15[[#This Row],[Engineering Number]]&amp;Table15[[#This Row],[WO Number]]&amp;Table15[[#This Row],[Date Assigned to Designer]]&amp;Table15[[#This Row],[Date Completed]]</f>
        <v>RS5001020834496544974</v>
      </c>
    </row>
    <row r="859" spans="1:82" customFormat="1" ht="15" customHeight="1" x14ac:dyDescent="0.25">
      <c r="A859">
        <v>2023</v>
      </c>
      <c r="B859" s="8" t="s">
        <v>731</v>
      </c>
      <c r="C859" s="8" t="s">
        <v>341</v>
      </c>
      <c r="D859" s="8" t="s">
        <v>5340</v>
      </c>
      <c r="E859" s="8" t="s">
        <v>342</v>
      </c>
      <c r="F859" s="8" t="s">
        <v>4899</v>
      </c>
      <c r="G859" s="8" t="s">
        <v>32</v>
      </c>
      <c r="H859" s="8" t="s">
        <v>59</v>
      </c>
      <c r="I859" s="642">
        <v>44888</v>
      </c>
      <c r="J859" s="18">
        <v>44981</v>
      </c>
      <c r="K859" s="97">
        <v>44978</v>
      </c>
      <c r="L859" s="16">
        <f>IF(ISTEXT(Table15[[#This Row],[Engineering Approved Design Date]]),Table15[[#This Row],[Date Completed]]-Table15[[#This Row],[Date Assigned to Designer]],Table15[[#This Row],[Engineering Approved Design Date]]-Table15[[#This Row],[Date Completed]])</f>
        <v>3</v>
      </c>
      <c r="M859" s="642"/>
      <c r="N859" s="642" t="s">
        <v>120</v>
      </c>
      <c r="O859" s="1060">
        <v>44986</v>
      </c>
      <c r="P859" s="1152" t="s">
        <v>739</v>
      </c>
      <c r="Q859" s="1061">
        <v>20250</v>
      </c>
      <c r="R859" s="1026" t="s">
        <v>5341</v>
      </c>
      <c r="S859" s="538"/>
      <c r="T859" s="538"/>
      <c r="U859" s="87"/>
      <c r="V859" s="858">
        <v>69</v>
      </c>
      <c r="W859" s="437">
        <v>3</v>
      </c>
      <c r="X859" s="552">
        <v>194076.88</v>
      </c>
      <c r="Y859" s="551"/>
      <c r="Z859" s="552">
        <v>33293.230000000003</v>
      </c>
      <c r="AA859" s="552">
        <f>Table15[[#This Row],[PCTS Investment Amount]]+Table15[[#This Row],[PCTS Retirement Amount]]</f>
        <v>227370.11000000002</v>
      </c>
      <c r="AB859" s="341">
        <v>44967</v>
      </c>
      <c r="AC859" s="568" t="s">
        <v>116</v>
      </c>
      <c r="AD859" s="1157" t="s">
        <v>29</v>
      </c>
      <c r="AE859" s="579"/>
      <c r="AF859" s="579"/>
      <c r="AG859" s="579"/>
      <c r="AH859" s="553"/>
      <c r="AI859" s="1036"/>
      <c r="AJ859" s="1037"/>
      <c r="AK859" s="1037"/>
      <c r="AL859" s="1038"/>
      <c r="AM859" s="542" t="s">
        <v>709</v>
      </c>
      <c r="AN859" s="924"/>
      <c r="AO859" s="925"/>
      <c r="AP859" s="926"/>
      <c r="AQ859" s="926"/>
      <c r="AR859" s="926"/>
      <c r="AS859" s="926"/>
      <c r="AT859" s="926"/>
      <c r="AU859" s="926"/>
      <c r="AV859" s="926"/>
      <c r="AW859" s="927"/>
      <c r="AX859" s="926"/>
      <c r="AY859" s="1538" t="s">
        <v>29</v>
      </c>
      <c r="AZ859" s="1530"/>
      <c r="BA859" s="1031" t="s">
        <v>5342</v>
      </c>
      <c r="BB859" s="644" t="s">
        <v>5343</v>
      </c>
      <c r="BC859" s="544" t="s">
        <v>709</v>
      </c>
      <c r="BD859" s="544" t="s">
        <v>115</v>
      </c>
      <c r="BE859" s="544" t="s">
        <v>3988</v>
      </c>
      <c r="BF859" s="544" t="s">
        <v>115</v>
      </c>
      <c r="BG859" s="544" t="s">
        <v>115</v>
      </c>
      <c r="BH859" s="741" t="s">
        <v>5344</v>
      </c>
      <c r="BI859" s="547" t="s">
        <v>709</v>
      </c>
      <c r="BJ859" s="547" t="s">
        <v>709</v>
      </c>
      <c r="BK859" s="547" t="s">
        <v>709</v>
      </c>
      <c r="BL859" s="547" t="s">
        <v>116</v>
      </c>
      <c r="BM859" s="547">
        <v>0</v>
      </c>
      <c r="BN859" s="549">
        <v>0</v>
      </c>
      <c r="BO859" s="547">
        <v>0</v>
      </c>
      <c r="BP859" s="547">
        <v>0</v>
      </c>
      <c r="BQ859" s="547">
        <v>63</v>
      </c>
      <c r="BR859" s="547">
        <v>6</v>
      </c>
      <c r="BS859" s="547">
        <v>0</v>
      </c>
      <c r="BT859" s="547">
        <v>0</v>
      </c>
      <c r="BU859" s="547">
        <v>0</v>
      </c>
      <c r="BV859" s="547">
        <v>1</v>
      </c>
      <c r="BW859" s="547">
        <v>1</v>
      </c>
      <c r="BX859" s="547">
        <v>1</v>
      </c>
      <c r="BY859" s="547">
        <v>0</v>
      </c>
      <c r="BZ859" s="547" t="s">
        <v>709</v>
      </c>
      <c r="CA859" s="483"/>
      <c r="CB859" s="547">
        <v>858</v>
      </c>
      <c r="CC859" s="1481" t="b">
        <v>1</v>
      </c>
      <c r="CD859" t="str">
        <f>Table15[[#This Row],[Engineering Number]]&amp;Table15[[#This Row],[WO Number]]&amp;Table15[[#This Row],[Date Assigned to Designer]]&amp;Table15[[#This Row],[Date Completed]]</f>
        <v>MR196412120944488844978</v>
      </c>
    </row>
    <row r="860" spans="1:82" customFormat="1" ht="15" customHeight="1" x14ac:dyDescent="0.25">
      <c r="A860">
        <v>2022</v>
      </c>
      <c r="B860" s="8" t="s">
        <v>4</v>
      </c>
      <c r="C860" s="8" t="s">
        <v>873</v>
      </c>
      <c r="D860" s="8" t="s">
        <v>874</v>
      </c>
      <c r="E860" s="8" t="s">
        <v>104</v>
      </c>
      <c r="F860" s="8" t="s">
        <v>784</v>
      </c>
      <c r="G860" s="8" t="s">
        <v>39</v>
      </c>
      <c r="H860" s="8" t="s">
        <v>4001</v>
      </c>
      <c r="I860" s="642">
        <v>44939</v>
      </c>
      <c r="J860" s="175" t="s">
        <v>2052</v>
      </c>
      <c r="K860" s="97">
        <v>44978</v>
      </c>
      <c r="L860" s="16">
        <f>IF(ISTEXT(Table15[[#This Row],[Engineering Approved Design Date]]),Table15[[#This Row],[Date Completed]]-Table15[[#This Row],[Date Assigned to Designer]],Table15[[#This Row],[Engineering Approved Design Date]]-Table15[[#This Row],[Date Completed]])</f>
        <v>39</v>
      </c>
      <c r="M860" s="16" t="s">
        <v>5337</v>
      </c>
      <c r="N860" s="642" t="s">
        <v>120</v>
      </c>
      <c r="O860" s="1060">
        <v>44986</v>
      </c>
      <c r="P860" s="21" t="s">
        <v>739</v>
      </c>
      <c r="Q860" s="1061">
        <f>Table15[[#This Row],[KH Hourly Effort]]</f>
        <v>5237.5</v>
      </c>
      <c r="R860" s="1026" t="s">
        <v>1922</v>
      </c>
      <c r="S860" s="538">
        <v>0</v>
      </c>
      <c r="T860" s="538"/>
      <c r="U860" s="87">
        <v>5237.5</v>
      </c>
      <c r="V860" s="857"/>
      <c r="W860" s="440"/>
      <c r="X860" s="538"/>
      <c r="Y860" s="551"/>
      <c r="Z860" s="538"/>
      <c r="AA860" s="552"/>
      <c r="AB860" s="341" t="s">
        <v>29</v>
      </c>
      <c r="AC860" s="568" t="s">
        <v>709</v>
      </c>
      <c r="AD860" s="1158" t="s">
        <v>29</v>
      </c>
      <c r="AE860" s="581"/>
      <c r="AF860" s="581"/>
      <c r="AG860" s="581"/>
      <c r="AH860" s="583"/>
      <c r="AI860" s="1047"/>
      <c r="AJ860" s="1048"/>
      <c r="AK860" s="1048"/>
      <c r="AL860" s="1049"/>
      <c r="AM860" s="542" t="s">
        <v>709</v>
      </c>
      <c r="AN860" s="924"/>
      <c r="AO860" s="925"/>
      <c r="AP860" s="926"/>
      <c r="AQ860" s="926"/>
      <c r="AR860" s="926"/>
      <c r="AS860" s="926"/>
      <c r="AT860" s="926"/>
      <c r="AU860" s="926"/>
      <c r="AV860" s="926"/>
      <c r="AW860" s="927"/>
      <c r="AX860" s="926"/>
      <c r="AY860" s="1538" t="s">
        <v>29</v>
      </c>
      <c r="AZ860" s="1530"/>
      <c r="BA860" s="1031" t="s">
        <v>5156</v>
      </c>
      <c r="BB860" s="644" t="s">
        <v>5338</v>
      </c>
      <c r="BC860" s="544"/>
      <c r="BD860" s="544"/>
      <c r="BE860" s="544"/>
      <c r="BF860" s="544"/>
      <c r="BG860" s="544"/>
      <c r="BH860" s="741"/>
      <c r="BI860" s="547" t="s">
        <v>709</v>
      </c>
      <c r="BJ860" s="547" t="s">
        <v>709</v>
      </c>
      <c r="BK860" s="547" t="s">
        <v>709</v>
      </c>
      <c r="BL860" s="547" t="s">
        <v>116</v>
      </c>
      <c r="BM860" s="547" t="s">
        <v>709</v>
      </c>
      <c r="BN860" s="547" t="s">
        <v>709</v>
      </c>
      <c r="BO860" s="547" t="s">
        <v>709</v>
      </c>
      <c r="BP860" s="547">
        <v>1708</v>
      </c>
      <c r="BQ860" s="547" t="s">
        <v>709</v>
      </c>
      <c r="BR860" s="547" t="s">
        <v>709</v>
      </c>
      <c r="BS860" s="547">
        <v>562</v>
      </c>
      <c r="BT860" s="547" t="s">
        <v>745</v>
      </c>
      <c r="BU860" s="547" t="s">
        <v>709</v>
      </c>
      <c r="BV860" s="547" t="s">
        <v>745</v>
      </c>
      <c r="BW860" s="547" t="s">
        <v>709</v>
      </c>
      <c r="BX860" s="547" t="s">
        <v>745</v>
      </c>
      <c r="BY860" s="547" t="s">
        <v>745</v>
      </c>
      <c r="BZ860" s="547" t="s">
        <v>709</v>
      </c>
      <c r="CA860" s="483"/>
      <c r="CB860" s="547">
        <v>857</v>
      </c>
      <c r="CC860" s="1481" t="b">
        <v>1</v>
      </c>
      <c r="CD860" t="str">
        <f>Table15[[#This Row],[Engineering Number]]&amp;Table15[[#This Row],[WO Number]]&amp;Table15[[#This Row],[Date Assigned to Designer]]&amp;Table15[[#This Row],[Date Completed]]</f>
        <v>N132571292564493944978</v>
      </c>
    </row>
    <row r="861" spans="1:82" customFormat="1" ht="15" customHeight="1" x14ac:dyDescent="0.25">
      <c r="A861">
        <v>2023</v>
      </c>
      <c r="B861" s="8" t="s">
        <v>4</v>
      </c>
      <c r="C861" s="8" t="s">
        <v>1233</v>
      </c>
      <c r="D861" s="8" t="s">
        <v>1234</v>
      </c>
      <c r="E861" s="8" t="s">
        <v>1101</v>
      </c>
      <c r="F861" s="8" t="s">
        <v>747</v>
      </c>
      <c r="G861" s="8" t="s">
        <v>23</v>
      </c>
      <c r="H861" s="8" t="s">
        <v>4001</v>
      </c>
      <c r="I861" s="642">
        <v>44974</v>
      </c>
      <c r="J861" s="175" t="s">
        <v>2052</v>
      </c>
      <c r="K861" s="97">
        <v>44979</v>
      </c>
      <c r="L861" s="16">
        <f>IF(ISTEXT(Table15[[#This Row],[Engineering Approved Design Date]]),Table15[[#This Row],[Date Completed]]-Table15[[#This Row],[Date Assigned to Designer]],Table15[[#This Row],[Engineering Approved Design Date]]-Table15[[#This Row],[Date Completed]])</f>
        <v>5</v>
      </c>
      <c r="M861" s="16" t="s">
        <v>5346</v>
      </c>
      <c r="N861" s="642" t="s">
        <v>120</v>
      </c>
      <c r="O861" s="1060">
        <v>44986</v>
      </c>
      <c r="P861" s="21" t="s">
        <v>739</v>
      </c>
      <c r="Q861" s="1061">
        <f>Table15[[#This Row],[KH Hourly Effort]]</f>
        <v>3750</v>
      </c>
      <c r="R861" s="1026" t="s">
        <v>1922</v>
      </c>
      <c r="S861" s="538">
        <v>0</v>
      </c>
      <c r="T861" s="538"/>
      <c r="U861" s="87">
        <v>3750</v>
      </c>
      <c r="V861" s="857"/>
      <c r="W861" s="440"/>
      <c r="X861" s="538"/>
      <c r="Y861" s="551"/>
      <c r="Z861" s="538"/>
      <c r="AA861" s="552"/>
      <c r="AB861" s="341" t="s">
        <v>29</v>
      </c>
      <c r="AC861" s="569" t="s">
        <v>709</v>
      </c>
      <c r="AD861" s="1149" t="s">
        <v>709</v>
      </c>
      <c r="AE861" s="580"/>
      <c r="AF861" s="580"/>
      <c r="AG861" s="580"/>
      <c r="AH861" s="542"/>
      <c r="AI861" s="1028"/>
      <c r="AJ861" s="1029"/>
      <c r="AK861" s="1029"/>
      <c r="AL861" s="1030"/>
      <c r="AM861" s="542" t="s">
        <v>709</v>
      </c>
      <c r="AN861" s="924"/>
      <c r="AO861" s="925"/>
      <c r="AP861" s="926"/>
      <c r="AQ861" s="926"/>
      <c r="AR861" s="926"/>
      <c r="AS861" s="926"/>
      <c r="AT861" s="926"/>
      <c r="AU861" s="926"/>
      <c r="AV861" s="926"/>
      <c r="AW861" s="927"/>
      <c r="AX861" s="926"/>
      <c r="AY861" s="1538" t="s">
        <v>29</v>
      </c>
      <c r="AZ861" s="1530"/>
      <c r="BA861" s="1031" t="s">
        <v>4650</v>
      </c>
      <c r="BB861" s="644"/>
      <c r="BC861" s="544" t="s">
        <v>709</v>
      </c>
      <c r="BD861" s="544" t="s">
        <v>882</v>
      </c>
      <c r="BE861" s="544" t="s">
        <v>1106</v>
      </c>
      <c r="BF861" s="544" t="s">
        <v>709</v>
      </c>
      <c r="BG861" s="544" t="s">
        <v>709</v>
      </c>
      <c r="BH861" s="741"/>
      <c r="BI861" s="547" t="s">
        <v>709</v>
      </c>
      <c r="BJ861" s="547" t="s">
        <v>709</v>
      </c>
      <c r="BK861" s="547" t="s">
        <v>709</v>
      </c>
      <c r="BL861" s="547" t="s">
        <v>116</v>
      </c>
      <c r="BM861" s="547" t="s">
        <v>709</v>
      </c>
      <c r="BN861" s="547" t="s">
        <v>709</v>
      </c>
      <c r="BO861" s="547" t="s">
        <v>709</v>
      </c>
      <c r="BP861" s="547">
        <v>1747</v>
      </c>
      <c r="BQ861" s="547">
        <v>498</v>
      </c>
      <c r="BR861" s="547">
        <v>1564</v>
      </c>
      <c r="BS861" s="547">
        <v>1588</v>
      </c>
      <c r="BT861" s="547">
        <v>1</v>
      </c>
      <c r="BU861" s="547" t="s">
        <v>709</v>
      </c>
      <c r="BV861" s="547" t="s">
        <v>745</v>
      </c>
      <c r="BW861" s="547" t="s">
        <v>709</v>
      </c>
      <c r="BX861" s="547">
        <v>1</v>
      </c>
      <c r="BY861" s="547" t="s">
        <v>745</v>
      </c>
      <c r="BZ861" s="547" t="s">
        <v>709</v>
      </c>
      <c r="CA861" s="483" t="s">
        <v>1237</v>
      </c>
      <c r="CB861" s="547">
        <v>859</v>
      </c>
      <c r="CC861" s="1481" t="b">
        <v>1</v>
      </c>
      <c r="CD861" t="str">
        <f>Table15[[#This Row],[Engineering Number]]&amp;Table15[[#This Row],[WO Number]]&amp;Table15[[#This Row],[Date Assigned to Designer]]&amp;Table15[[#This Row],[Date Completed]]</f>
        <v>M109051205854497444979</v>
      </c>
    </row>
    <row r="862" spans="1:82" customFormat="1" ht="15" customHeight="1" x14ac:dyDescent="0.25">
      <c r="A862">
        <v>2023</v>
      </c>
      <c r="B862" s="8" t="s">
        <v>4</v>
      </c>
      <c r="C862" s="8" t="s">
        <v>5349</v>
      </c>
      <c r="D862" s="8" t="s">
        <v>5350</v>
      </c>
      <c r="E862" s="8" t="s">
        <v>3579</v>
      </c>
      <c r="F862" s="8" t="s">
        <v>747</v>
      </c>
      <c r="G862" s="8" t="s">
        <v>25</v>
      </c>
      <c r="H862" s="8" t="s">
        <v>59</v>
      </c>
      <c r="I862" s="642">
        <v>44908</v>
      </c>
      <c r="J862" s="18">
        <v>44985</v>
      </c>
      <c r="K862" s="97">
        <v>44980</v>
      </c>
      <c r="L862" s="16">
        <f>IF(ISTEXT(Table15[[#This Row],[Engineering Approved Design Date]]),Table15[[#This Row],[Date Completed]]-Table15[[#This Row],[Date Assigned to Designer]],Table15[[#This Row],[Engineering Approved Design Date]]-Table15[[#This Row],[Date Completed]])</f>
        <v>5</v>
      </c>
      <c r="M862" s="642"/>
      <c r="N862" s="642" t="s">
        <v>120</v>
      </c>
      <c r="O862" s="1060">
        <v>44986</v>
      </c>
      <c r="P862" s="1152" t="s">
        <v>739</v>
      </c>
      <c r="Q862" s="340">
        <f>Table15[[#This Row],[Rate]]*Table15[[#This Row],[Construction Cost to Bill From]]</f>
        <v>26227.814000000002</v>
      </c>
      <c r="R862" s="1026">
        <v>0.1</v>
      </c>
      <c r="S862" s="538"/>
      <c r="T862" s="538"/>
      <c r="U862" s="87"/>
      <c r="V862" s="858">
        <v>237</v>
      </c>
      <c r="W862" s="437">
        <v>0</v>
      </c>
      <c r="X862" s="552">
        <v>235861.54</v>
      </c>
      <c r="Y862" s="551"/>
      <c r="Z862" s="552">
        <v>26416.6</v>
      </c>
      <c r="AA862" s="552">
        <f>Table15[[#This Row],[PCTS Investment Amount]]+Table15[[#This Row],[PCTS Retirement Amount]]</f>
        <v>262278.14</v>
      </c>
      <c r="AB862" s="341">
        <v>44986</v>
      </c>
      <c r="AC862" s="568" t="s">
        <v>709</v>
      </c>
      <c r="AD862" s="1157" t="s">
        <v>29</v>
      </c>
      <c r="AE862" s="579"/>
      <c r="AF862" s="579"/>
      <c r="AG862" s="579"/>
      <c r="AH862" s="553"/>
      <c r="AI862" s="1036"/>
      <c r="AJ862" s="1037"/>
      <c r="AK862" s="1037"/>
      <c r="AL862" s="1038"/>
      <c r="AM862" s="1522" t="s">
        <v>116</v>
      </c>
      <c r="AN862" s="1523">
        <v>45189</v>
      </c>
      <c r="AO862" s="1524">
        <v>11071524</v>
      </c>
      <c r="AP862" s="1525">
        <v>236963.66</v>
      </c>
      <c r="AQ862" s="1525"/>
      <c r="AR862" s="1525">
        <v>26416.6</v>
      </c>
      <c r="AS862" s="1525">
        <f>IF(Table15[[#This Row],[PCTS Approved]]="N",0,Table15[[#This Row],[Investment Amount (1'#'#'#'#'#)]]+Table15[[#This Row],[Retirement Amount (3'#'#'#'#'#)]])</f>
        <v>263380.26</v>
      </c>
      <c r="AT862" s="1525">
        <f>IF(Table15[[#This Row],[Approved Construction Cost]]=0,0,Table15[[#This Row],[Approved Construction Cost]]-Table15[[#This Row],[Construction Cost to Bill From]])</f>
        <v>1102.1199999999953</v>
      </c>
      <c r="AU862" s="1525">
        <f>IFERROR(Table15[[#This Row],[Difference in Construction Cost]]*Table15[[#This Row],[Rate]],Table15[[#This Row],[Difference in Construction Cost]]*0.085)</f>
        <v>110.21199999999953</v>
      </c>
      <c r="AV862" s="1525" t="s">
        <v>709</v>
      </c>
      <c r="AW862" s="1526"/>
      <c r="AX862" s="1525">
        <v>110.21199999999953</v>
      </c>
      <c r="AY862" s="1518">
        <v>45352</v>
      </c>
      <c r="AZ862" s="333"/>
      <c r="BA862" s="859" t="s">
        <v>5351</v>
      </c>
      <c r="BB862" s="644" t="s">
        <v>5352</v>
      </c>
      <c r="BC862" s="544" t="s">
        <v>116</v>
      </c>
      <c r="BD862" s="544" t="s">
        <v>115</v>
      </c>
      <c r="BE862" s="544" t="s">
        <v>3581</v>
      </c>
      <c r="BF862" s="544" t="s">
        <v>115</v>
      </c>
      <c r="BG862" s="544" t="s">
        <v>115</v>
      </c>
      <c r="BH862" s="741"/>
      <c r="BI862" s="547" t="s">
        <v>709</v>
      </c>
      <c r="BJ862" s="547" t="s">
        <v>709</v>
      </c>
      <c r="BK862" s="547" t="s">
        <v>709</v>
      </c>
      <c r="BL862" s="547" t="s">
        <v>116</v>
      </c>
      <c r="BM862" s="547" t="s">
        <v>709</v>
      </c>
      <c r="BN862" s="547" t="s">
        <v>709</v>
      </c>
      <c r="BO862" s="547" t="s">
        <v>709</v>
      </c>
      <c r="BP862" s="547" t="s">
        <v>709</v>
      </c>
      <c r="BQ862" s="547" t="s">
        <v>709</v>
      </c>
      <c r="BR862" s="547">
        <v>237</v>
      </c>
      <c r="BS862" s="547" t="s">
        <v>709</v>
      </c>
      <c r="BT862" s="547" t="s">
        <v>745</v>
      </c>
      <c r="BU862" s="547" t="s">
        <v>709</v>
      </c>
      <c r="BV862" s="547" t="s">
        <v>745</v>
      </c>
      <c r="BW862" s="547" t="s">
        <v>709</v>
      </c>
      <c r="BX862" s="547" t="s">
        <v>745</v>
      </c>
      <c r="BY862" s="547" t="s">
        <v>745</v>
      </c>
      <c r="BZ862" s="547" t="s">
        <v>709</v>
      </c>
      <c r="CA862" s="483"/>
      <c r="CB862" s="547">
        <v>862</v>
      </c>
      <c r="CC862" s="1481" t="b">
        <v>1</v>
      </c>
      <c r="CD862" t="str">
        <f>Table15[[#This Row],[Engineering Number]]&amp;Table15[[#This Row],[WO Number]]&amp;Table15[[#This Row],[Date Assigned to Designer]]&amp;Table15[[#This Row],[Date Completed]]</f>
        <v>SC1842612122384490844980</v>
      </c>
    </row>
    <row r="863" spans="1:82" customFormat="1" ht="15" customHeight="1" x14ac:dyDescent="0.25">
      <c r="A863">
        <v>2023</v>
      </c>
      <c r="B863" s="8" t="s">
        <v>4</v>
      </c>
      <c r="C863" s="8" t="s">
        <v>5360</v>
      </c>
      <c r="D863" s="8" t="s">
        <v>5361</v>
      </c>
      <c r="E863" s="8" t="s">
        <v>4848</v>
      </c>
      <c r="F863" s="8" t="s">
        <v>747</v>
      </c>
      <c r="G863" s="8" t="s">
        <v>35</v>
      </c>
      <c r="H863" s="8" t="s">
        <v>59</v>
      </c>
      <c r="I863" s="642">
        <v>44798</v>
      </c>
      <c r="J863" s="18">
        <v>44981</v>
      </c>
      <c r="K863" s="97">
        <v>44980</v>
      </c>
      <c r="L863" s="16">
        <f>IF(ISTEXT(Table15[[#This Row],[Engineering Approved Design Date]]),Table15[[#This Row],[Date Completed]]-Table15[[#This Row],[Date Assigned to Designer]],Table15[[#This Row],[Engineering Approved Design Date]]-Table15[[#This Row],[Date Completed]])</f>
        <v>1</v>
      </c>
      <c r="M863" s="642"/>
      <c r="N863" s="642" t="s">
        <v>120</v>
      </c>
      <c r="O863" s="1060">
        <v>44986</v>
      </c>
      <c r="P863" s="1152" t="s">
        <v>739</v>
      </c>
      <c r="Q863" s="340">
        <f>Table15[[#This Row],[Rate]]*Table15[[#This Row],[Construction Cost to Bill From]]</f>
        <v>220865.26399999997</v>
      </c>
      <c r="R863" s="1026">
        <v>0.1</v>
      </c>
      <c r="S863" s="538"/>
      <c r="T863" s="538"/>
      <c r="U863" s="87"/>
      <c r="V863" s="858">
        <f>157+435+1784+1128</f>
        <v>3504</v>
      </c>
      <c r="W863" s="437">
        <v>0</v>
      </c>
      <c r="X863" s="552">
        <v>1099201.51</v>
      </c>
      <c r="Y863" s="551"/>
      <c r="Z863" s="552">
        <v>1109451.1299999999</v>
      </c>
      <c r="AA863" s="552">
        <f>Table15[[#This Row],[PCTS Investment Amount]]+Table15[[#This Row],[PCTS Retirement Amount]]</f>
        <v>2208652.6399999997</v>
      </c>
      <c r="AB863" s="341">
        <v>44984</v>
      </c>
      <c r="AC863" s="568" t="s">
        <v>709</v>
      </c>
      <c r="AD863" s="1157" t="s">
        <v>116</v>
      </c>
      <c r="AE863" s="579"/>
      <c r="AF863" s="579"/>
      <c r="AG863" s="579"/>
      <c r="AH863" s="553"/>
      <c r="AI863" s="1036"/>
      <c r="AJ863" s="1037"/>
      <c r="AK863" s="1037"/>
      <c r="AL863" s="1038"/>
      <c r="AM863" s="1522" t="s">
        <v>116</v>
      </c>
      <c r="AN863" s="1523">
        <v>45189</v>
      </c>
      <c r="AO863" s="1524">
        <v>11071516</v>
      </c>
      <c r="AP863" s="1525">
        <v>1095732.51</v>
      </c>
      <c r="AQ863" s="1525"/>
      <c r="AR863" s="1525">
        <v>1131847.92</v>
      </c>
      <c r="AS863" s="1525">
        <f>IF(Table15[[#This Row],[PCTS Approved]]="N",0,Table15[[#This Row],[Investment Amount (1'#'#'#'#'#)]]+Table15[[#This Row],[Retirement Amount (3'#'#'#'#'#)]])</f>
        <v>2227580.4299999997</v>
      </c>
      <c r="AT863" s="1525">
        <f>IF(Table15[[#This Row],[Approved Construction Cost]]=0,0,Table15[[#This Row],[Approved Construction Cost]]-Table15[[#This Row],[Construction Cost to Bill From]])</f>
        <v>18927.790000000037</v>
      </c>
      <c r="AU863" s="1525">
        <f>IFERROR(Table15[[#This Row],[Difference in Construction Cost]]*Table15[[#This Row],[Rate]],Table15[[#This Row],[Difference in Construction Cost]]*0.085)</f>
        <v>1892.7790000000039</v>
      </c>
      <c r="AV863" s="1525" t="s">
        <v>709</v>
      </c>
      <c r="AW863" s="1526"/>
      <c r="AX863" s="1525">
        <v>1892.7790000000039</v>
      </c>
      <c r="AY863" s="1518">
        <v>45352</v>
      </c>
      <c r="AZ863" s="1532"/>
      <c r="BA863" s="859" t="s">
        <v>5362</v>
      </c>
      <c r="BB863" s="644" t="s">
        <v>1092</v>
      </c>
      <c r="BC863" s="544" t="s">
        <v>116</v>
      </c>
      <c r="BD863" s="544" t="s">
        <v>1092</v>
      </c>
      <c r="BE863" s="544" t="s">
        <v>5363</v>
      </c>
      <c r="BF863" s="544" t="s">
        <v>5363</v>
      </c>
      <c r="BG863" s="544" t="s">
        <v>115</v>
      </c>
      <c r="BH863" s="741"/>
      <c r="BI863" s="547" t="s">
        <v>709</v>
      </c>
      <c r="BJ863" s="547" t="s">
        <v>709</v>
      </c>
      <c r="BK863" s="547" t="s">
        <v>709</v>
      </c>
      <c r="BL863" s="547" t="s">
        <v>116</v>
      </c>
      <c r="BM863" s="547" t="s">
        <v>709</v>
      </c>
      <c r="BN863" s="547" t="s">
        <v>709</v>
      </c>
      <c r="BO863" s="547" t="s">
        <v>709</v>
      </c>
      <c r="BP863" s="547" t="s">
        <v>709</v>
      </c>
      <c r="BQ863" s="547">
        <v>1784</v>
      </c>
      <c r="BR863" s="547">
        <v>1563</v>
      </c>
      <c r="BS863" s="547">
        <v>157</v>
      </c>
      <c r="BT863" s="547" t="s">
        <v>745</v>
      </c>
      <c r="BU863" s="547" t="s">
        <v>709</v>
      </c>
      <c r="BV863" s="547" t="s">
        <v>745</v>
      </c>
      <c r="BW863" s="547" t="s">
        <v>709</v>
      </c>
      <c r="BX863" s="547" t="s">
        <v>745</v>
      </c>
      <c r="BY863" s="547" t="s">
        <v>745</v>
      </c>
      <c r="BZ863" s="547" t="s">
        <v>709</v>
      </c>
      <c r="CA863" s="483"/>
      <c r="CB863" s="547">
        <v>860</v>
      </c>
      <c r="CC863" s="1481" t="b">
        <v>1</v>
      </c>
      <c r="CD863" t="str">
        <f>Table15[[#This Row],[Engineering Number]]&amp;Table15[[#This Row],[WO Number]]&amp;Table15[[#This Row],[Date Assigned to Designer]]&amp;Table15[[#This Row],[Date Completed]]</f>
        <v>SC2108912119314479844980</v>
      </c>
    </row>
    <row r="864" spans="1:82" customFormat="1" ht="15" customHeight="1" x14ac:dyDescent="0.25">
      <c r="A864">
        <v>2023</v>
      </c>
      <c r="B864" s="8" t="s">
        <v>4</v>
      </c>
      <c r="C864" s="8" t="s">
        <v>5354</v>
      </c>
      <c r="D864" s="8" t="s">
        <v>5355</v>
      </c>
      <c r="E864" s="8" t="s">
        <v>2144</v>
      </c>
      <c r="F864" s="8" t="s">
        <v>747</v>
      </c>
      <c r="G864" s="8" t="s">
        <v>33</v>
      </c>
      <c r="H864" s="8" t="s">
        <v>59</v>
      </c>
      <c r="I864" s="642">
        <v>44851</v>
      </c>
      <c r="J864" s="18">
        <v>44985</v>
      </c>
      <c r="K864" s="97">
        <v>44980</v>
      </c>
      <c r="L864" s="16">
        <f>IF(ISTEXT(Table15[[#This Row],[Engineering Approved Design Date]]),Table15[[#This Row],[Date Completed]]-Table15[[#This Row],[Date Assigned to Designer]],Table15[[#This Row],[Engineering Approved Design Date]]-Table15[[#This Row],[Date Completed]])</f>
        <v>5</v>
      </c>
      <c r="M864" s="642"/>
      <c r="N864" s="642" t="s">
        <v>120</v>
      </c>
      <c r="O864" s="1060">
        <v>44986</v>
      </c>
      <c r="P864" s="1152" t="s">
        <v>739</v>
      </c>
      <c r="Q864" s="340">
        <f>Table15[[#This Row],[Rate]]*Table15[[#This Row],[Construction Cost to Bill From]]</f>
        <v>66404.373000000007</v>
      </c>
      <c r="R864" s="1026">
        <v>0.1</v>
      </c>
      <c r="S864" s="538"/>
      <c r="T864" s="538"/>
      <c r="U864" s="87"/>
      <c r="V864" s="858">
        <v>1483</v>
      </c>
      <c r="W864" s="437">
        <v>0</v>
      </c>
      <c r="X864" s="552">
        <v>629617.54</v>
      </c>
      <c r="Y864" s="551"/>
      <c r="Z864" s="552">
        <v>34426.19</v>
      </c>
      <c r="AA864" s="552">
        <f>Table15[[#This Row],[PCTS Investment Amount]]+Table15[[#This Row],[PCTS Retirement Amount]]</f>
        <v>664043.73</v>
      </c>
      <c r="AB864" s="341">
        <v>44984</v>
      </c>
      <c r="AC864" s="568" t="s">
        <v>709</v>
      </c>
      <c r="AD864" s="1157" t="s">
        <v>29</v>
      </c>
      <c r="AE864" s="579"/>
      <c r="AF864" s="579"/>
      <c r="AG864" s="579"/>
      <c r="AH864" s="553"/>
      <c r="AI864" s="1036"/>
      <c r="AJ864" s="1037"/>
      <c r="AK864" s="1037"/>
      <c r="AL864" s="1038"/>
      <c r="AM864" s="542" t="s">
        <v>116</v>
      </c>
      <c r="AN864" s="1508">
        <v>45022</v>
      </c>
      <c r="AO864" s="925">
        <v>11057014</v>
      </c>
      <c r="AP864" s="926">
        <v>629617.54</v>
      </c>
      <c r="AQ864" s="926"/>
      <c r="AR864" s="926">
        <v>34426.19</v>
      </c>
      <c r="AS864" s="926">
        <f>IF(Table15[[#This Row],[PCTS Approved]]="N",0,Table15[[#This Row],[Investment Amount (1'#'#'#'#'#)]]+Table15[[#This Row],[Retirement Amount (3'#'#'#'#'#)]])</f>
        <v>664043.73</v>
      </c>
      <c r="AT864" s="926">
        <f>IF(Table15[[#This Row],[Approved Construction Cost]]=0,0,Table15[[#This Row],[Approved Construction Cost]]-Table15[[#This Row],[Construction Cost to Bill From]])</f>
        <v>0</v>
      </c>
      <c r="AU864" s="926">
        <f>IFERROR(Table15[[#This Row],[Difference in Construction Cost]]*Table15[[#This Row],[Rate]],Table15[[#This Row],[Difference in Construction Cost]]*0.085)</f>
        <v>0</v>
      </c>
      <c r="AV864" s="926" t="s">
        <v>376</v>
      </c>
      <c r="AW864" s="927"/>
      <c r="AX864" s="926"/>
      <c r="AY864" s="636" t="s">
        <v>1935</v>
      </c>
      <c r="AZ864" s="1531"/>
      <c r="BA864" s="859" t="s">
        <v>5356</v>
      </c>
      <c r="BB864" s="644" t="s">
        <v>870</v>
      </c>
      <c r="BC864" s="544" t="s">
        <v>116</v>
      </c>
      <c r="BD864" s="544" t="s">
        <v>115</v>
      </c>
      <c r="BE864" s="544" t="s">
        <v>115</v>
      </c>
      <c r="BF864" s="544" t="s">
        <v>115</v>
      </c>
      <c r="BG864" s="544" t="s">
        <v>5357</v>
      </c>
      <c r="BH864" s="741" t="s">
        <v>5358</v>
      </c>
      <c r="BI864" s="547" t="s">
        <v>709</v>
      </c>
      <c r="BJ864" s="547" t="s">
        <v>709</v>
      </c>
      <c r="BK864" s="547" t="s">
        <v>709</v>
      </c>
      <c r="BL864" s="547" t="s">
        <v>116</v>
      </c>
      <c r="BM864" s="547" t="s">
        <v>709</v>
      </c>
      <c r="BN864" s="547" t="s">
        <v>709</v>
      </c>
      <c r="BO864" s="547" t="s">
        <v>709</v>
      </c>
      <c r="BP864" s="547" t="s">
        <v>709</v>
      </c>
      <c r="BQ864" s="547">
        <v>1004</v>
      </c>
      <c r="BR864" s="547" t="s">
        <v>709</v>
      </c>
      <c r="BS864" s="547">
        <v>479</v>
      </c>
      <c r="BT864" s="547" t="s">
        <v>745</v>
      </c>
      <c r="BU864" s="547" t="s">
        <v>709</v>
      </c>
      <c r="BV864" s="547" t="s">
        <v>745</v>
      </c>
      <c r="BW864" s="547" t="s">
        <v>709</v>
      </c>
      <c r="BX864" s="547" t="s">
        <v>745</v>
      </c>
      <c r="BY864" s="547" t="s">
        <v>745</v>
      </c>
      <c r="BZ864" s="547" t="s">
        <v>709</v>
      </c>
      <c r="CA864" s="483"/>
      <c r="CB864" s="547">
        <v>861</v>
      </c>
      <c r="CC864" s="1481" t="b">
        <v>1</v>
      </c>
      <c r="CD864" t="str">
        <f>Table15[[#This Row],[Engineering Number]]&amp;Table15[[#This Row],[WO Number]]&amp;Table15[[#This Row],[Date Assigned to Designer]]&amp;Table15[[#This Row],[Date Completed]]</f>
        <v>SC21748-213121534485144980</v>
      </c>
    </row>
    <row r="865" spans="1:82" customFormat="1" ht="15" customHeight="1" x14ac:dyDescent="0.25">
      <c r="A865">
        <v>2023</v>
      </c>
      <c r="B865" s="8" t="s">
        <v>4</v>
      </c>
      <c r="C865" s="8" t="s">
        <v>1408</v>
      </c>
      <c r="D865" s="8" t="s">
        <v>1409</v>
      </c>
      <c r="E865" s="8" t="s">
        <v>164</v>
      </c>
      <c r="F865" s="8" t="s">
        <v>784</v>
      </c>
      <c r="G865" s="8" t="s">
        <v>23</v>
      </c>
      <c r="H865" s="8" t="s">
        <v>59</v>
      </c>
      <c r="I865" s="642">
        <v>44778</v>
      </c>
      <c r="J865" s="18">
        <v>44981</v>
      </c>
      <c r="K865" s="97">
        <v>44980</v>
      </c>
      <c r="L865" s="16">
        <f>IF(ISTEXT(Table15[[#This Row],[Engineering Approved Design Date]]),Table15[[#This Row],[Date Completed]]-Table15[[#This Row],[Date Assigned to Designer]],Table15[[#This Row],[Engineering Approved Design Date]]-Table15[[#This Row],[Date Completed]])</f>
        <v>1</v>
      </c>
      <c r="M865" s="642"/>
      <c r="N865" s="642" t="s">
        <v>120</v>
      </c>
      <c r="O865" s="1060">
        <v>45017</v>
      </c>
      <c r="P865" s="1152" t="s">
        <v>739</v>
      </c>
      <c r="Q865" s="340">
        <f>Table15[[#This Row],[Rate]]*Table15[[#This Row],[Construction Cost to Bill From]]</f>
        <v>126536.67300000001</v>
      </c>
      <c r="R865" s="1026">
        <v>0.1</v>
      </c>
      <c r="S865" s="538"/>
      <c r="T865" s="538"/>
      <c r="U865" s="87"/>
      <c r="V865" s="858">
        <v>3291</v>
      </c>
      <c r="W865" s="437"/>
      <c r="X865" s="552">
        <v>1230812.25</v>
      </c>
      <c r="Y865" s="551"/>
      <c r="Z865" s="552">
        <v>34554.480000000003</v>
      </c>
      <c r="AA865" s="552">
        <f>Table15[[#This Row],[PCTS Investment Amount]]+Table15[[#This Row],[PCTS Retirement Amount]]</f>
        <v>1265366.73</v>
      </c>
      <c r="AB865" s="341">
        <v>45033</v>
      </c>
      <c r="AC865" s="568" t="s">
        <v>709</v>
      </c>
      <c r="AD865" s="1157" t="s">
        <v>29</v>
      </c>
      <c r="AE865" s="579"/>
      <c r="AF865" s="579"/>
      <c r="AG865" s="579"/>
      <c r="AH865" s="553"/>
      <c r="AI865" s="1036"/>
      <c r="AJ865" s="1037"/>
      <c r="AK865" s="1037"/>
      <c r="AL865" s="1038"/>
      <c r="AM865" s="536" t="s">
        <v>116</v>
      </c>
      <c r="AN865" s="903" t="s">
        <v>709</v>
      </c>
      <c r="AO865" s="1536" t="s">
        <v>115</v>
      </c>
      <c r="AP865" s="1537"/>
      <c r="AQ865" s="1537"/>
      <c r="AR865" s="1537"/>
      <c r="AS865" s="888">
        <f>IF(Table15[[#This Row],[PCTS Approved]]="N",0,Table15[[#This Row],[Investment Amount (1'#'#'#'#'#)]]+Table15[[#This Row],[Retirement Amount (3'#'#'#'#'#)]])</f>
        <v>0</v>
      </c>
      <c r="AT865" s="888">
        <f>IF(Table15[[#This Row],[Approved Construction Cost]]=0,0,Table15[[#This Row],[Approved Construction Cost]]-Table15[[#This Row],[Construction Cost to Bill From]])</f>
        <v>0</v>
      </c>
      <c r="AU865" s="888">
        <f>IFERROR(Table15[[#This Row],[Difference in Construction Cost]]*Table15[[#This Row],[Rate]],Table15[[#This Row],[Difference in Construction Cost]]*0.085)</f>
        <v>0</v>
      </c>
      <c r="AV865" s="905"/>
      <c r="AW865" s="1509"/>
      <c r="AX865" s="888"/>
      <c r="AY865" s="636" t="s">
        <v>709</v>
      </c>
      <c r="AZ865" s="333">
        <v>78</v>
      </c>
      <c r="BA865" s="859" t="s">
        <v>1410</v>
      </c>
      <c r="BB865" s="644" t="s">
        <v>1411</v>
      </c>
      <c r="BC865" s="544" t="s">
        <v>115</v>
      </c>
      <c r="BD865" s="544" t="s">
        <v>115</v>
      </c>
      <c r="BE865" s="544" t="s">
        <v>1411</v>
      </c>
      <c r="BF865" s="544" t="s">
        <v>115</v>
      </c>
      <c r="BG865" s="544" t="s">
        <v>115</v>
      </c>
      <c r="BH865" s="741"/>
      <c r="BI865" s="547" t="s">
        <v>709</v>
      </c>
      <c r="BJ865" s="547" t="s">
        <v>709</v>
      </c>
      <c r="BK865" s="547" t="s">
        <v>709</v>
      </c>
      <c r="BL865" s="547" t="s">
        <v>116</v>
      </c>
      <c r="BM865" s="547" t="s">
        <v>709</v>
      </c>
      <c r="BN865" s="547" t="s">
        <v>709</v>
      </c>
      <c r="BO865" s="547" t="s">
        <v>709</v>
      </c>
      <c r="BP865" s="547" t="s">
        <v>709</v>
      </c>
      <c r="BQ865" s="547" t="s">
        <v>709</v>
      </c>
      <c r="BR865" s="547">
        <v>2067</v>
      </c>
      <c r="BS865" s="547">
        <v>1224</v>
      </c>
      <c r="BT865" s="547" t="s">
        <v>745</v>
      </c>
      <c r="BU865" s="547" t="s">
        <v>709</v>
      </c>
      <c r="BV865" s="547" t="s">
        <v>745</v>
      </c>
      <c r="BW865" s="547" t="s">
        <v>709</v>
      </c>
      <c r="BX865" s="547" t="s">
        <v>745</v>
      </c>
      <c r="BY865" s="547" t="s">
        <v>745</v>
      </c>
      <c r="BZ865" s="547" t="s">
        <v>709</v>
      </c>
      <c r="CA865" s="483"/>
      <c r="CB865" s="547">
        <v>863</v>
      </c>
      <c r="CC865" s="1481" t="b">
        <v>1</v>
      </c>
      <c r="CD865" t="str">
        <f>Table15[[#This Row],[Engineering Number]]&amp;Table15[[#This Row],[WO Number]]&amp;Table15[[#This Row],[Date Assigned to Designer]]&amp;Table15[[#This Row],[Date Completed]]</f>
        <v>M1382112118504477844980</v>
      </c>
    </row>
    <row r="866" spans="1:82" customFormat="1" ht="15" customHeight="1" x14ac:dyDescent="0.25">
      <c r="A866">
        <v>2023</v>
      </c>
      <c r="B866" s="8" t="s">
        <v>731</v>
      </c>
      <c r="C866" s="8" t="s">
        <v>5373</v>
      </c>
      <c r="D866" s="8" t="s">
        <v>5374</v>
      </c>
      <c r="E866" s="8" t="s">
        <v>354</v>
      </c>
      <c r="F866" s="8" t="s">
        <v>4899</v>
      </c>
      <c r="G866" s="8" t="s">
        <v>24</v>
      </c>
      <c r="H866" s="8" t="s">
        <v>59</v>
      </c>
      <c r="I866" s="642">
        <v>44888</v>
      </c>
      <c r="J866" s="18">
        <v>44999</v>
      </c>
      <c r="K866" s="97">
        <v>44984</v>
      </c>
      <c r="L866" s="16">
        <f>IF(ISTEXT(Table15[[#This Row],[Engineering Approved Design Date]]),Table15[[#This Row],[Date Completed]]-Table15[[#This Row],[Date Assigned to Designer]],Table15[[#This Row],[Engineering Approved Design Date]]-Table15[[#This Row],[Date Completed]])</f>
        <v>15</v>
      </c>
      <c r="M866" s="642"/>
      <c r="N866" s="642" t="s">
        <v>120</v>
      </c>
      <c r="O866" s="1060">
        <v>44986</v>
      </c>
      <c r="P866" s="1152" t="s">
        <v>739</v>
      </c>
      <c r="Q866" s="1061">
        <f>5750*Table15[[#This Row],['# of PV/STR/FV/TW/VLT]]</f>
        <v>28750</v>
      </c>
      <c r="R866" s="1026" t="s">
        <v>5256</v>
      </c>
      <c r="S866" s="538"/>
      <c r="T866" s="538"/>
      <c r="U866" s="87"/>
      <c r="V866" s="858">
        <v>0</v>
      </c>
      <c r="W866" s="437">
        <v>5</v>
      </c>
      <c r="X866" s="552">
        <v>0</v>
      </c>
      <c r="Y866" s="551"/>
      <c r="Z866" s="552">
        <v>295532.46999999997</v>
      </c>
      <c r="AA866" s="552">
        <f>Table15[[#This Row],[PCTS Investment Amount]]+Table15[[#This Row],[PCTS Retirement Amount]]</f>
        <v>295532.46999999997</v>
      </c>
      <c r="AB866" s="341" t="s">
        <v>29</v>
      </c>
      <c r="AC866" s="568" t="s">
        <v>709</v>
      </c>
      <c r="AD866" s="1157" t="s">
        <v>709</v>
      </c>
      <c r="AE866" s="579"/>
      <c r="AF866" s="579"/>
      <c r="AG866" s="579"/>
      <c r="AH866" s="553"/>
      <c r="AI866" s="1036"/>
      <c r="AJ866" s="1037"/>
      <c r="AK866" s="1037"/>
      <c r="AL866" s="1038"/>
      <c r="AM866" s="542" t="s">
        <v>709</v>
      </c>
      <c r="AN866" s="924"/>
      <c r="AO866" s="925"/>
      <c r="AP866" s="926"/>
      <c r="AQ866" s="926"/>
      <c r="AR866" s="926"/>
      <c r="AS866" s="926"/>
      <c r="AT866" s="926"/>
      <c r="AU866" s="926"/>
      <c r="AV866" s="926"/>
      <c r="AW866" s="927"/>
      <c r="AX866" s="926"/>
      <c r="AY866" s="1538" t="s">
        <v>29</v>
      </c>
      <c r="AZ866" s="1530"/>
      <c r="BA866" s="1031" t="s">
        <v>5375</v>
      </c>
      <c r="BB866" s="644" t="s">
        <v>5376</v>
      </c>
      <c r="BC866" s="544" t="s">
        <v>5377</v>
      </c>
      <c r="BD866" s="544" t="s">
        <v>5378</v>
      </c>
      <c r="BE866" s="544" t="s">
        <v>588</v>
      </c>
      <c r="BF866" s="544" t="s">
        <v>115</v>
      </c>
      <c r="BG866" s="544" t="s">
        <v>5379</v>
      </c>
      <c r="BH866" s="741" t="s">
        <v>5380</v>
      </c>
      <c r="BI866" s="547" t="s">
        <v>709</v>
      </c>
      <c r="BJ866" s="547" t="s">
        <v>709</v>
      </c>
      <c r="BK866" s="547" t="s">
        <v>709</v>
      </c>
      <c r="BL866" s="547" t="s">
        <v>709</v>
      </c>
      <c r="BM866" s="547" t="s">
        <v>709</v>
      </c>
      <c r="BN866" s="547" t="s">
        <v>709</v>
      </c>
      <c r="BO866" s="547" t="s">
        <v>709</v>
      </c>
      <c r="BP866" s="547" t="s">
        <v>709</v>
      </c>
      <c r="BQ866" s="547" t="s">
        <v>709</v>
      </c>
      <c r="BR866" s="547" t="s">
        <v>709</v>
      </c>
      <c r="BS866" s="547" t="s">
        <v>709</v>
      </c>
      <c r="BT866" s="547" t="s">
        <v>745</v>
      </c>
      <c r="BU866" s="547" t="s">
        <v>709</v>
      </c>
      <c r="BV866" s="547">
        <v>5</v>
      </c>
      <c r="BW866" s="547" t="s">
        <v>709</v>
      </c>
      <c r="BX866" s="547" t="s">
        <v>745</v>
      </c>
      <c r="BY866" s="547" t="s">
        <v>745</v>
      </c>
      <c r="BZ866" s="547" t="s">
        <v>709</v>
      </c>
      <c r="CA866" s="483" t="s">
        <v>1146</v>
      </c>
      <c r="CB866" s="547">
        <v>866</v>
      </c>
      <c r="CC866" s="1481" t="b">
        <v>1</v>
      </c>
      <c r="CD866" t="str">
        <f>Table15[[#This Row],[Engineering Number]]&amp;Table15[[#This Row],[WO Number]]&amp;Table15[[#This Row],[Date Assigned to Designer]]&amp;Table15[[#This Row],[Date Completed]]</f>
        <v>MR196332121014488844984</v>
      </c>
    </row>
    <row r="867" spans="1:82" customFormat="1" ht="15" customHeight="1" x14ac:dyDescent="0.25">
      <c r="A867">
        <v>2023</v>
      </c>
      <c r="B867" s="8" t="s">
        <v>771</v>
      </c>
      <c r="C867" s="8" t="s">
        <v>5382</v>
      </c>
      <c r="D867" s="8" t="s">
        <v>5383</v>
      </c>
      <c r="E867" s="8" t="s">
        <v>141</v>
      </c>
      <c r="F867" s="8" t="s">
        <v>747</v>
      </c>
      <c r="G867" s="8" t="s">
        <v>36</v>
      </c>
      <c r="H867" s="8" t="s">
        <v>59</v>
      </c>
      <c r="I867" s="642">
        <v>44896</v>
      </c>
      <c r="J867" s="18">
        <v>44985</v>
      </c>
      <c r="K867" s="97">
        <v>44984</v>
      </c>
      <c r="L867" s="16">
        <f>IF(ISTEXT(Table15[[#This Row],[Engineering Approved Design Date]]),Table15[[#This Row],[Date Completed]]-Table15[[#This Row],[Date Assigned to Designer]],Table15[[#This Row],[Engineering Approved Design Date]]-Table15[[#This Row],[Date Completed]])</f>
        <v>1</v>
      </c>
      <c r="M867" s="642"/>
      <c r="N867" s="642" t="s">
        <v>120</v>
      </c>
      <c r="O867" s="1060">
        <v>44986</v>
      </c>
      <c r="P867" s="1152" t="s">
        <v>120</v>
      </c>
      <c r="Q867" s="1061">
        <f>Table15[[#This Row],[Shactee Effort]]+Table15[[#This Row],[KH Hourly Effort]]</f>
        <v>16176.25</v>
      </c>
      <c r="R867" s="1026" t="s">
        <v>1922</v>
      </c>
      <c r="S867" s="538">
        <v>523.75</v>
      </c>
      <c r="T867" s="538"/>
      <c r="U867" s="1027">
        <v>15652.5</v>
      </c>
      <c r="V867" s="858">
        <v>1083</v>
      </c>
      <c r="W867" s="437">
        <v>0</v>
      </c>
      <c r="X867" s="552">
        <v>463530.5</v>
      </c>
      <c r="Y867" s="551"/>
      <c r="Z867" s="552">
        <v>48017.84</v>
      </c>
      <c r="AA867" s="552">
        <f>Table15[[#This Row],[PCTS Investment Amount]]+Table15[[#This Row],[PCTS Retirement Amount]]</f>
        <v>511548.33999999997</v>
      </c>
      <c r="AB867" s="341" t="s">
        <v>116</v>
      </c>
      <c r="AC867" s="568" t="s">
        <v>1516</v>
      </c>
      <c r="AD867" s="1157" t="s">
        <v>116</v>
      </c>
      <c r="AE867" s="568"/>
      <c r="AF867" s="568"/>
      <c r="AG867" s="568"/>
      <c r="AH867" s="183"/>
      <c r="AI867" s="1036"/>
      <c r="AJ867" s="1037"/>
      <c r="AK867" s="1037"/>
      <c r="AL867" s="1038"/>
      <c r="AM867" s="542" t="s">
        <v>709</v>
      </c>
      <c r="AN867" s="924"/>
      <c r="AO867" s="925"/>
      <c r="AP867" s="926"/>
      <c r="AQ867" s="926"/>
      <c r="AR867" s="926"/>
      <c r="AS867" s="926"/>
      <c r="AT867" s="926"/>
      <c r="AU867" s="926"/>
      <c r="AV867" s="926"/>
      <c r="AW867" s="927"/>
      <c r="AX867" s="926"/>
      <c r="AY867" s="1538" t="s">
        <v>29</v>
      </c>
      <c r="AZ867" s="1530"/>
      <c r="BA867" s="1031" t="s">
        <v>5384</v>
      </c>
      <c r="BB867" s="644" t="s">
        <v>5385</v>
      </c>
      <c r="BC867" s="544" t="s">
        <v>116</v>
      </c>
      <c r="BD867" s="544" t="s">
        <v>115</v>
      </c>
      <c r="BE867" s="544" t="s">
        <v>757</v>
      </c>
      <c r="BF867" s="544" t="s">
        <v>115</v>
      </c>
      <c r="BG867" s="544" t="s">
        <v>5386</v>
      </c>
      <c r="BH867" s="741" t="s">
        <v>5387</v>
      </c>
      <c r="BI867" s="547" t="s">
        <v>709</v>
      </c>
      <c r="BJ867" s="547" t="s">
        <v>709</v>
      </c>
      <c r="BK867" s="547" t="s">
        <v>709</v>
      </c>
      <c r="BL867" s="547" t="s">
        <v>116</v>
      </c>
      <c r="BM867" s="547" t="s">
        <v>709</v>
      </c>
      <c r="BN867" s="547" t="s">
        <v>709</v>
      </c>
      <c r="BO867" s="547" t="s">
        <v>709</v>
      </c>
      <c r="BP867" s="547">
        <v>361</v>
      </c>
      <c r="BQ867" s="547">
        <v>595</v>
      </c>
      <c r="BR867" s="547" t="s">
        <v>709</v>
      </c>
      <c r="BS867" s="547">
        <v>127</v>
      </c>
      <c r="BT867" s="547" t="s">
        <v>709</v>
      </c>
      <c r="BU867" s="547" t="s">
        <v>709</v>
      </c>
      <c r="BV867" s="547" t="s">
        <v>709</v>
      </c>
      <c r="BW867" s="547" t="s">
        <v>709</v>
      </c>
      <c r="BX867" s="547" t="s">
        <v>745</v>
      </c>
      <c r="BY867" s="547" t="s">
        <v>709</v>
      </c>
      <c r="BZ867" s="547" t="s">
        <v>709</v>
      </c>
      <c r="CA867" s="483"/>
      <c r="CB867" s="547">
        <v>864</v>
      </c>
      <c r="CC867" s="1481" t="b">
        <v>1</v>
      </c>
      <c r="CD867" t="str">
        <f>Table15[[#This Row],[Engineering Number]]&amp;Table15[[#This Row],[WO Number]]&amp;Table15[[#This Row],[Date Assigned to Designer]]&amp;Table15[[#This Row],[Date Completed]]</f>
        <v>VW84-1A14121114489644984</v>
      </c>
    </row>
    <row r="868" spans="1:82" customFormat="1" ht="15" customHeight="1" x14ac:dyDescent="0.25">
      <c r="A868">
        <v>2023</v>
      </c>
      <c r="B868" s="8" t="s">
        <v>771</v>
      </c>
      <c r="C868" s="8" t="s">
        <v>5367</v>
      </c>
      <c r="D868" s="8" t="s">
        <v>5368</v>
      </c>
      <c r="E868" s="8" t="s">
        <v>141</v>
      </c>
      <c r="F868" s="8" t="s">
        <v>747</v>
      </c>
      <c r="G868" s="8" t="s">
        <v>36</v>
      </c>
      <c r="H868" s="8" t="s">
        <v>59</v>
      </c>
      <c r="I868" s="642">
        <v>44896</v>
      </c>
      <c r="J868" s="18">
        <v>44985</v>
      </c>
      <c r="K868" s="97">
        <v>44984</v>
      </c>
      <c r="L868" s="16">
        <f>IF(ISTEXT(Table15[[#This Row],[Engineering Approved Design Date]]),Table15[[#This Row],[Date Completed]]-Table15[[#This Row],[Date Assigned to Designer]],Table15[[#This Row],[Engineering Approved Design Date]]-Table15[[#This Row],[Date Completed]])</f>
        <v>1</v>
      </c>
      <c r="M868" s="642"/>
      <c r="N868" s="642" t="s">
        <v>120</v>
      </c>
      <c r="O868" s="1060">
        <v>44986</v>
      </c>
      <c r="P868" s="1152" t="s">
        <v>120</v>
      </c>
      <c r="Q868" s="1061">
        <f>Table15[[#This Row],[Shactee Effort]]+Table15[[#This Row],[KH Hourly Effort]]</f>
        <v>15815</v>
      </c>
      <c r="R868" s="1026" t="s">
        <v>1922</v>
      </c>
      <c r="S868" s="538">
        <v>552.5</v>
      </c>
      <c r="T868" s="538"/>
      <c r="U868" s="1027">
        <v>15262.5</v>
      </c>
      <c r="V868" s="858">
        <v>1102</v>
      </c>
      <c r="W868" s="437">
        <v>0</v>
      </c>
      <c r="X868" s="552">
        <v>507185.56</v>
      </c>
      <c r="Y868" s="551"/>
      <c r="Z868" s="552">
        <v>26867.54</v>
      </c>
      <c r="AA868" s="552">
        <f>Table15[[#This Row],[PCTS Investment Amount]]+Table15[[#This Row],[PCTS Retirement Amount]]</f>
        <v>534053.1</v>
      </c>
      <c r="AB868" s="341" t="s">
        <v>116</v>
      </c>
      <c r="AC868" s="568" t="s">
        <v>1516</v>
      </c>
      <c r="AD868" s="1157" t="s">
        <v>116</v>
      </c>
      <c r="AE868" s="568"/>
      <c r="AF868" s="568"/>
      <c r="AG868" s="568"/>
      <c r="AH868" s="183"/>
      <c r="AI868" s="1036"/>
      <c r="AJ868" s="1037"/>
      <c r="AK868" s="1037"/>
      <c r="AL868" s="1038"/>
      <c r="AM868" s="542" t="s">
        <v>709</v>
      </c>
      <c r="AN868" s="924"/>
      <c r="AO868" s="925"/>
      <c r="AP868" s="926"/>
      <c r="AQ868" s="926"/>
      <c r="AR868" s="926"/>
      <c r="AS868" s="926"/>
      <c r="AT868" s="926"/>
      <c r="AU868" s="926"/>
      <c r="AV868" s="926"/>
      <c r="AW868" s="927"/>
      <c r="AX868" s="926"/>
      <c r="AY868" s="1538" t="s">
        <v>29</v>
      </c>
      <c r="AZ868" s="1530"/>
      <c r="BA868" s="1031" t="s">
        <v>5369</v>
      </c>
      <c r="BB868" s="644" t="s">
        <v>5370</v>
      </c>
      <c r="BC868" s="544" t="s">
        <v>709</v>
      </c>
      <c r="BD868" s="544" t="s">
        <v>115</v>
      </c>
      <c r="BE868" s="544" t="s">
        <v>757</v>
      </c>
      <c r="BF868" s="544" t="s">
        <v>115</v>
      </c>
      <c r="BG868" s="544" t="s">
        <v>5371</v>
      </c>
      <c r="BH868" s="741"/>
      <c r="BI868" s="547" t="s">
        <v>709</v>
      </c>
      <c r="BJ868" s="547" t="s">
        <v>709</v>
      </c>
      <c r="BK868" s="547" t="s">
        <v>709</v>
      </c>
      <c r="BL868" s="547" t="s">
        <v>116</v>
      </c>
      <c r="BM868" s="547" t="s">
        <v>709</v>
      </c>
      <c r="BN868" s="547" t="s">
        <v>709</v>
      </c>
      <c r="BO868" s="547" t="s">
        <v>709</v>
      </c>
      <c r="BP868" s="547" t="s">
        <v>709</v>
      </c>
      <c r="BQ868" s="547">
        <v>708</v>
      </c>
      <c r="BR868" s="547" t="s">
        <v>709</v>
      </c>
      <c r="BS868" s="547">
        <v>394</v>
      </c>
      <c r="BT868" s="547" t="s">
        <v>745</v>
      </c>
      <c r="BU868" s="547" t="s">
        <v>709</v>
      </c>
      <c r="BV868" s="547" t="s">
        <v>745</v>
      </c>
      <c r="BW868" s="547" t="s">
        <v>709</v>
      </c>
      <c r="BX868" s="547" t="s">
        <v>745</v>
      </c>
      <c r="BY868" s="547" t="s">
        <v>745</v>
      </c>
      <c r="BZ868" s="547" t="s">
        <v>709</v>
      </c>
      <c r="CA868" s="483"/>
      <c r="CB868" s="547">
        <v>865</v>
      </c>
      <c r="CC868" s="1481" t="b">
        <v>1</v>
      </c>
      <c r="CD868" t="str">
        <f>Table15[[#This Row],[Engineering Number]]&amp;Table15[[#This Row],[WO Number]]&amp;Table15[[#This Row],[Date Assigned to Designer]]&amp;Table15[[#This Row],[Date Completed]]</f>
        <v>VW84-1B14121124489644984</v>
      </c>
    </row>
    <row r="869" spans="1:82" customFormat="1" ht="15" customHeight="1" x14ac:dyDescent="0.25">
      <c r="A869">
        <v>2022</v>
      </c>
      <c r="B869" s="8" t="s">
        <v>4</v>
      </c>
      <c r="C869" s="8" t="s">
        <v>385</v>
      </c>
      <c r="D869" s="8" t="s">
        <v>782</v>
      </c>
      <c r="E869" s="8" t="s">
        <v>386</v>
      </c>
      <c r="F869" s="8" t="s">
        <v>784</v>
      </c>
      <c r="G869" s="8" t="s">
        <v>39</v>
      </c>
      <c r="H869" s="8" t="s">
        <v>4354</v>
      </c>
      <c r="I869" s="642">
        <v>44090</v>
      </c>
      <c r="J869" s="175" t="s">
        <v>4354</v>
      </c>
      <c r="K869" s="97">
        <v>44984</v>
      </c>
      <c r="L869" s="16">
        <f>IF(ISTEXT(Table15[[#This Row],[Engineering Approved Design Date]]),Table15[[#This Row],[Date Completed]]-Table15[[#This Row],[Date Assigned to Designer]],Table15[[#This Row],[Engineering Approved Design Date]]-Table15[[#This Row],[Date Completed]])</f>
        <v>894</v>
      </c>
      <c r="M869" s="16" t="s">
        <v>5365</v>
      </c>
      <c r="N869" s="99" t="s">
        <v>120</v>
      </c>
      <c r="O869" s="1060">
        <v>45016</v>
      </c>
      <c r="P869" s="21" t="s">
        <v>739</v>
      </c>
      <c r="Q869" s="1061">
        <f>Table15[[#This Row],[Shactee Effort]]+Table15[[#This Row],[KH Hourly Effort]]</f>
        <v>38796</v>
      </c>
      <c r="R869" s="1026" t="s">
        <v>1922</v>
      </c>
      <c r="S869" s="538">
        <v>721</v>
      </c>
      <c r="T869" s="538"/>
      <c r="U869" s="300">
        <v>38075</v>
      </c>
      <c r="V869" s="857"/>
      <c r="W869" s="440"/>
      <c r="X869" s="538"/>
      <c r="Y869" s="551"/>
      <c r="Z869" s="538"/>
      <c r="AA869" s="552"/>
      <c r="AB869" s="341" t="s">
        <v>29</v>
      </c>
      <c r="AC869" s="569" t="s">
        <v>709</v>
      </c>
      <c r="AD869" s="1149" t="s">
        <v>29</v>
      </c>
      <c r="AE869" s="580"/>
      <c r="AF869" s="580"/>
      <c r="AG869" s="580"/>
      <c r="AH869" s="542"/>
      <c r="AI869" s="1028"/>
      <c r="AJ869" s="1029"/>
      <c r="AK869" s="1029"/>
      <c r="AL869" s="1030"/>
      <c r="AM869" s="542" t="s">
        <v>709</v>
      </c>
      <c r="AN869" s="924"/>
      <c r="AO869" s="925"/>
      <c r="AP869" s="926"/>
      <c r="AQ869" s="926"/>
      <c r="AR869" s="926"/>
      <c r="AS869" s="926"/>
      <c r="AT869" s="926"/>
      <c r="AU869" s="926"/>
      <c r="AV869" s="926"/>
      <c r="AW869" s="927"/>
      <c r="AX869" s="926"/>
      <c r="AY869" s="1538" t="s">
        <v>29</v>
      </c>
      <c r="AZ869" s="1530"/>
      <c r="BA869" s="1031" t="s">
        <v>786</v>
      </c>
      <c r="BB869" s="644" t="s">
        <v>787</v>
      </c>
      <c r="BC869" s="544" t="s">
        <v>709</v>
      </c>
      <c r="BD869" s="544" t="s">
        <v>788</v>
      </c>
      <c r="BE869" s="544" t="s">
        <v>115</v>
      </c>
      <c r="BF869" s="544" t="s">
        <v>789</v>
      </c>
      <c r="BG869" s="544" t="s">
        <v>115</v>
      </c>
      <c r="BH869" s="741"/>
      <c r="BI869" s="547" t="s">
        <v>709</v>
      </c>
      <c r="BJ869" s="547" t="s">
        <v>709</v>
      </c>
      <c r="BK869" s="547" t="s">
        <v>709</v>
      </c>
      <c r="BL869" s="547" t="s">
        <v>116</v>
      </c>
      <c r="BM869" s="547" t="s">
        <v>709</v>
      </c>
      <c r="BN869" s="547" t="s">
        <v>116</v>
      </c>
      <c r="BO869" s="547" t="s">
        <v>709</v>
      </c>
      <c r="BP869" s="547" t="s">
        <v>116</v>
      </c>
      <c r="BQ869" s="547" t="s">
        <v>116</v>
      </c>
      <c r="BR869" s="547" t="s">
        <v>116</v>
      </c>
      <c r="BS869" s="547" t="s">
        <v>116</v>
      </c>
      <c r="BT869" s="547" t="s">
        <v>745</v>
      </c>
      <c r="BU869" s="547" t="s">
        <v>709</v>
      </c>
      <c r="BV869" s="547" t="s">
        <v>745</v>
      </c>
      <c r="BW869" s="547" t="s">
        <v>709</v>
      </c>
      <c r="BX869" s="547" t="s">
        <v>745</v>
      </c>
      <c r="BY869" s="547" t="s">
        <v>745</v>
      </c>
      <c r="BZ869" s="547" t="s">
        <v>709</v>
      </c>
      <c r="CA869" s="483"/>
      <c r="CB869" s="547">
        <v>867</v>
      </c>
      <c r="CC869" s="1481" t="b">
        <v>1</v>
      </c>
      <c r="CD869" t="str">
        <f>Table15[[#This Row],[Engineering Number]]&amp;Table15[[#This Row],[WO Number]]&amp;Table15[[#This Row],[Date Assigned to Designer]]&amp;Table15[[#This Row],[Date Completed]]</f>
        <v>SC179321357404409044984</v>
      </c>
    </row>
    <row r="870" spans="1:82" customFormat="1" ht="15" customHeight="1" x14ac:dyDescent="0.25">
      <c r="A870">
        <v>2023</v>
      </c>
      <c r="B870" s="8" t="s">
        <v>4</v>
      </c>
      <c r="C870" s="8" t="s">
        <v>5403</v>
      </c>
      <c r="D870" s="8" t="s">
        <v>115</v>
      </c>
      <c r="E870" s="8" t="s">
        <v>183</v>
      </c>
      <c r="F870" s="8" t="s">
        <v>784</v>
      </c>
      <c r="G870" s="8" t="s">
        <v>28</v>
      </c>
      <c r="H870" s="647" t="s">
        <v>1681</v>
      </c>
      <c r="I870" s="642">
        <v>44826</v>
      </c>
      <c r="J870" s="18">
        <v>45016</v>
      </c>
      <c r="K870" s="18">
        <v>44985</v>
      </c>
      <c r="L870" s="16">
        <f>IF(ISTEXT(Table15[[#This Row],[Engineering Approved Design Date]]),Table15[[#This Row],[Date Completed]]-Table15[[#This Row],[Date Assigned to Designer]],Table15[[#This Row],[Engineering Approved Design Date]]-Table15[[#This Row],[Date Completed]])</f>
        <v>31</v>
      </c>
      <c r="M870" s="642"/>
      <c r="N870" s="642" t="s">
        <v>120</v>
      </c>
      <c r="O870" s="1060">
        <f>Table15[[#This Row],[Date Completed]]</f>
        <v>44985</v>
      </c>
      <c r="P870" s="1152" t="s">
        <v>739</v>
      </c>
      <c r="Q870" s="87" t="s">
        <v>115</v>
      </c>
      <c r="R870" s="1026" t="s">
        <v>115</v>
      </c>
      <c r="S870" s="538"/>
      <c r="T870" s="538"/>
      <c r="U870" s="87"/>
      <c r="V870" s="857"/>
      <c r="W870" s="440"/>
      <c r="X870" s="550"/>
      <c r="Y870" s="550"/>
      <c r="Z870" s="550"/>
      <c r="AA870" s="552"/>
      <c r="AB870" s="341" t="s">
        <v>29</v>
      </c>
      <c r="AC870" s="569" t="s">
        <v>709</v>
      </c>
      <c r="AD870" s="1149" t="s">
        <v>29</v>
      </c>
      <c r="AE870" s="580"/>
      <c r="AF870" s="580"/>
      <c r="AG870" s="580"/>
      <c r="AH870" s="542"/>
      <c r="AI870" s="1028"/>
      <c r="AJ870" s="1029"/>
      <c r="AK870" s="1029"/>
      <c r="AL870" s="1030"/>
      <c r="AM870" s="542" t="s">
        <v>709</v>
      </c>
      <c r="AN870" s="924"/>
      <c r="AO870" s="925"/>
      <c r="AP870" s="926"/>
      <c r="AQ870" s="926"/>
      <c r="AR870" s="926"/>
      <c r="AS870" s="926"/>
      <c r="AT870" s="926"/>
      <c r="AU870" s="926"/>
      <c r="AV870" s="926"/>
      <c r="AW870" s="927"/>
      <c r="AX870" s="926"/>
      <c r="AY870" s="1538" t="s">
        <v>29</v>
      </c>
      <c r="AZ870" s="1530"/>
      <c r="BA870" s="1031" t="s">
        <v>5404</v>
      </c>
      <c r="BB870" s="644" t="s">
        <v>1313</v>
      </c>
      <c r="BC870" s="544" t="s">
        <v>115</v>
      </c>
      <c r="BD870" s="544" t="s">
        <v>115</v>
      </c>
      <c r="BE870" s="544" t="s">
        <v>1313</v>
      </c>
      <c r="BF870" s="544" t="s">
        <v>115</v>
      </c>
      <c r="BG870" s="544" t="s">
        <v>115</v>
      </c>
      <c r="BH870" s="741"/>
      <c r="BI870" s="1032"/>
      <c r="BJ870" s="1032"/>
      <c r="BK870" s="1032"/>
      <c r="BL870" s="1032"/>
      <c r="BM870" s="1032"/>
      <c r="BN870" s="1032"/>
      <c r="BO870" s="1032"/>
      <c r="BP870" s="1032"/>
      <c r="BQ870" s="1032"/>
      <c r="BR870" s="1032"/>
      <c r="BS870" s="1032"/>
      <c r="BT870" s="1032"/>
      <c r="BU870" s="1032"/>
      <c r="BV870" s="1032"/>
      <c r="BW870" s="1032"/>
      <c r="BX870" s="1032"/>
      <c r="BY870" s="1032"/>
      <c r="BZ870" s="1032"/>
      <c r="CA870" s="485"/>
      <c r="CB870" s="547">
        <v>868</v>
      </c>
      <c r="CC870" s="1481" t="b">
        <v>1</v>
      </c>
      <c r="CD870" t="str">
        <f>Table15[[#This Row],[Engineering Number]]&amp;Table15[[#This Row],[WO Number]]&amp;Table15[[#This Row],[Date Assigned to Designer]]&amp;Table15[[#This Row],[Date Completed]]</f>
        <v>M13940-4482644985</v>
      </c>
    </row>
    <row r="871" spans="1:82" customFormat="1" ht="15" customHeight="1" x14ac:dyDescent="0.25">
      <c r="A871">
        <v>2023</v>
      </c>
      <c r="B871" s="8" t="s">
        <v>730</v>
      </c>
      <c r="C871" s="8" t="s">
        <v>466</v>
      </c>
      <c r="D871" s="8" t="s">
        <v>5392</v>
      </c>
      <c r="E871" s="8" t="s">
        <v>3731</v>
      </c>
      <c r="F871" s="8" t="s">
        <v>752</v>
      </c>
      <c r="G871" s="8" t="s">
        <v>34</v>
      </c>
      <c r="H871" s="8" t="s">
        <v>59</v>
      </c>
      <c r="I871" s="642">
        <v>44865</v>
      </c>
      <c r="J871" s="18">
        <v>44985</v>
      </c>
      <c r="K871" s="97">
        <v>44985</v>
      </c>
      <c r="L871" s="16">
        <f>IF(ISTEXT(Table15[[#This Row],[Engineering Approved Design Date]]),Table15[[#This Row],[Date Completed]]-Table15[[#This Row],[Date Assigned to Designer]],Table15[[#This Row],[Engineering Approved Design Date]]-Table15[[#This Row],[Date Completed]])</f>
        <v>0</v>
      </c>
      <c r="M871" s="642"/>
      <c r="N871" s="642" t="s">
        <v>120</v>
      </c>
      <c r="O871" s="1060">
        <v>44986</v>
      </c>
      <c r="P871" s="1152" t="s">
        <v>120</v>
      </c>
      <c r="Q871" s="1061">
        <f>12750*Table15[[#This Row],['# of PV/STR/FV/TW/VLT]]</f>
        <v>12750</v>
      </c>
      <c r="R871" s="1026" t="s">
        <v>5194</v>
      </c>
      <c r="S871" s="538"/>
      <c r="T871" s="538"/>
      <c r="U871" s="87"/>
      <c r="V871" s="858">
        <v>178</v>
      </c>
      <c r="W871" s="437">
        <v>1</v>
      </c>
      <c r="X871" s="570">
        <v>185153.63</v>
      </c>
      <c r="Y871" s="551"/>
      <c r="Z871" s="570">
        <v>32382.69</v>
      </c>
      <c r="AA871" s="552">
        <f>Table15[[#This Row],[PCTS Investment Amount]]+Table15[[#This Row],[PCTS Retirement Amount]]</f>
        <v>217536.32</v>
      </c>
      <c r="AB871" s="341" t="s">
        <v>116</v>
      </c>
      <c r="AC871" s="568" t="s">
        <v>1056</v>
      </c>
      <c r="AD871" s="1157" t="s">
        <v>29</v>
      </c>
      <c r="AE871" s="579"/>
      <c r="AF871" s="579"/>
      <c r="AG871" s="579"/>
      <c r="AH871" s="553"/>
      <c r="AI871" s="1036"/>
      <c r="AJ871" s="1037"/>
      <c r="AK871" s="1037"/>
      <c r="AL871" s="1038"/>
      <c r="AM871" s="542" t="s">
        <v>709</v>
      </c>
      <c r="AN871" s="924"/>
      <c r="AO871" s="925"/>
      <c r="AP871" s="926"/>
      <c r="AQ871" s="926"/>
      <c r="AR871" s="926"/>
      <c r="AS871" s="926"/>
      <c r="AT871" s="926"/>
      <c r="AU871" s="926"/>
      <c r="AV871" s="926"/>
      <c r="AW871" s="927"/>
      <c r="AX871" s="926"/>
      <c r="AY871" s="1538" t="s">
        <v>29</v>
      </c>
      <c r="AZ871" s="1530"/>
      <c r="BA871" s="1031" t="s">
        <v>5393</v>
      </c>
      <c r="BB871" s="644" t="s">
        <v>5394</v>
      </c>
      <c r="BC871" s="544" t="s">
        <v>115</v>
      </c>
      <c r="BD871" s="544" t="s">
        <v>115</v>
      </c>
      <c r="BE871" s="544" t="s">
        <v>115</v>
      </c>
      <c r="BF871" s="544" t="s">
        <v>5395</v>
      </c>
      <c r="BG871" s="544" t="s">
        <v>115</v>
      </c>
      <c r="BH871" s="741"/>
      <c r="BI871" s="547" t="s">
        <v>116</v>
      </c>
      <c r="BJ871" s="547" t="s">
        <v>709</v>
      </c>
      <c r="BK871" s="547" t="s">
        <v>709</v>
      </c>
      <c r="BL871" s="547" t="s">
        <v>116</v>
      </c>
      <c r="BM871" s="547" t="s">
        <v>709</v>
      </c>
      <c r="BN871" s="547" t="s">
        <v>709</v>
      </c>
      <c r="BO871" s="547" t="s">
        <v>709</v>
      </c>
      <c r="BP871" s="547" t="s">
        <v>709</v>
      </c>
      <c r="BQ871" s="547" t="s">
        <v>709</v>
      </c>
      <c r="BR871" s="547" t="s">
        <v>709</v>
      </c>
      <c r="BS871" s="547">
        <v>178</v>
      </c>
      <c r="BT871" s="547" t="s">
        <v>745</v>
      </c>
      <c r="BU871" s="547">
        <v>1</v>
      </c>
      <c r="BV871" s="547" t="s">
        <v>745</v>
      </c>
      <c r="BW871" s="547" t="s">
        <v>709</v>
      </c>
      <c r="BX871" s="547">
        <v>1</v>
      </c>
      <c r="BY871" s="547" t="s">
        <v>745</v>
      </c>
      <c r="BZ871" s="547" t="s">
        <v>709</v>
      </c>
      <c r="CA871" s="483"/>
      <c r="CB871" s="547">
        <v>869</v>
      </c>
      <c r="CC871" s="1481" t="b">
        <v>1</v>
      </c>
      <c r="CD871" t="str">
        <f>Table15[[#This Row],[Engineering Number]]&amp;Table15[[#This Row],[WO Number]]&amp;Table15[[#This Row],[Date Assigned to Designer]]&amp;Table15[[#This Row],[Date Completed]]</f>
        <v>RS109810119344486544985</v>
      </c>
    </row>
    <row r="872" spans="1:82" customFormat="1" ht="15" customHeight="1" x14ac:dyDescent="0.25">
      <c r="A872">
        <v>2023</v>
      </c>
      <c r="B872" s="8" t="s">
        <v>730</v>
      </c>
      <c r="C872" s="8" t="s">
        <v>5397</v>
      </c>
      <c r="D872" s="8" t="s">
        <v>5398</v>
      </c>
      <c r="E872" s="8" t="s">
        <v>2013</v>
      </c>
      <c r="F872" s="8" t="s">
        <v>752</v>
      </c>
      <c r="G872" s="8" t="s">
        <v>34</v>
      </c>
      <c r="H872" s="8" t="s">
        <v>59</v>
      </c>
      <c r="I872" s="642">
        <v>44865</v>
      </c>
      <c r="J872" s="18">
        <v>44985</v>
      </c>
      <c r="K872" s="97">
        <v>44985</v>
      </c>
      <c r="L872" s="16">
        <f>IF(ISTEXT(Table15[[#This Row],[Engineering Approved Design Date]]),Table15[[#This Row],[Date Completed]]-Table15[[#This Row],[Date Assigned to Designer]],Table15[[#This Row],[Engineering Approved Design Date]]-Table15[[#This Row],[Date Completed]])</f>
        <v>0</v>
      </c>
      <c r="M872" s="642"/>
      <c r="N872" s="642" t="s">
        <v>120</v>
      </c>
      <c r="O872" s="1060">
        <v>44986</v>
      </c>
      <c r="P872" s="1152" t="s">
        <v>120</v>
      </c>
      <c r="Q872" s="1061">
        <f>12750*Table15[[#This Row],['# of PV/STR/FV/TW/VLT]]</f>
        <v>12750</v>
      </c>
      <c r="R872" s="1026" t="s">
        <v>5194</v>
      </c>
      <c r="S872" s="538"/>
      <c r="T872" s="538"/>
      <c r="U872" s="87"/>
      <c r="V872" s="858">
        <v>471</v>
      </c>
      <c r="W872" s="437">
        <v>1</v>
      </c>
      <c r="X872" s="570">
        <v>274251.57</v>
      </c>
      <c r="Y872" s="551"/>
      <c r="Z872" s="570">
        <v>45008.88</v>
      </c>
      <c r="AA872" s="552">
        <f>Table15[[#This Row],[PCTS Investment Amount]]+Table15[[#This Row],[PCTS Retirement Amount]]</f>
        <v>319260.45</v>
      </c>
      <c r="AB872" s="341" t="s">
        <v>116</v>
      </c>
      <c r="AC872" s="568" t="s">
        <v>1177</v>
      </c>
      <c r="AD872" s="1157" t="s">
        <v>29</v>
      </c>
      <c r="AE872" s="579"/>
      <c r="AF872" s="579"/>
      <c r="AG872" s="579"/>
      <c r="AH872" s="553"/>
      <c r="AI872" s="1036"/>
      <c r="AJ872" s="1037"/>
      <c r="AK872" s="1037"/>
      <c r="AL872" s="1038"/>
      <c r="AM872" s="542" t="s">
        <v>709</v>
      </c>
      <c r="AN872" s="924"/>
      <c r="AO872" s="925"/>
      <c r="AP872" s="926"/>
      <c r="AQ872" s="926"/>
      <c r="AR872" s="926"/>
      <c r="AS872" s="926"/>
      <c r="AT872" s="926"/>
      <c r="AU872" s="926"/>
      <c r="AV872" s="926"/>
      <c r="AW872" s="927"/>
      <c r="AX872" s="926"/>
      <c r="AY872" s="1538" t="s">
        <v>29</v>
      </c>
      <c r="AZ872" s="1530"/>
      <c r="BA872" s="1031" t="s">
        <v>5399</v>
      </c>
      <c r="BB872" s="644" t="s">
        <v>5400</v>
      </c>
      <c r="BC872" s="544" t="s">
        <v>756</v>
      </c>
      <c r="BD872" s="544" t="s">
        <v>115</v>
      </c>
      <c r="BE872" s="544" t="s">
        <v>5401</v>
      </c>
      <c r="BF872" s="544" t="s">
        <v>115</v>
      </c>
      <c r="BG872" s="544" t="s">
        <v>115</v>
      </c>
      <c r="BH872" s="741"/>
      <c r="BI872" s="547" t="s">
        <v>709</v>
      </c>
      <c r="BJ872" s="547" t="s">
        <v>116</v>
      </c>
      <c r="BK872" s="547" t="s">
        <v>709</v>
      </c>
      <c r="BL872" s="547" t="s">
        <v>116</v>
      </c>
      <c r="BM872" s="547" t="s">
        <v>709</v>
      </c>
      <c r="BN872" s="547" t="s">
        <v>709</v>
      </c>
      <c r="BO872" s="547" t="s">
        <v>709</v>
      </c>
      <c r="BP872" s="547" t="s">
        <v>709</v>
      </c>
      <c r="BQ872" s="547" t="s">
        <v>709</v>
      </c>
      <c r="BR872" s="547" t="s">
        <v>709</v>
      </c>
      <c r="BS872" s="547">
        <v>471</v>
      </c>
      <c r="BT872" s="547" t="s">
        <v>745</v>
      </c>
      <c r="BU872" s="547">
        <v>1</v>
      </c>
      <c r="BV872" s="547" t="s">
        <v>745</v>
      </c>
      <c r="BW872" s="547" t="s">
        <v>709</v>
      </c>
      <c r="BX872" s="547">
        <v>1</v>
      </c>
      <c r="BY872" s="547" t="s">
        <v>745</v>
      </c>
      <c r="BZ872" s="547" t="s">
        <v>709</v>
      </c>
      <c r="CA872" s="483"/>
      <c r="CB872" s="547">
        <v>871</v>
      </c>
      <c r="CC872" s="1481" t="b">
        <v>1</v>
      </c>
      <c r="CD872" t="str">
        <f>Table15[[#This Row],[Engineering Number]]&amp;Table15[[#This Row],[WO Number]]&amp;Table15[[#This Row],[Date Assigned to Designer]]&amp;Table15[[#This Row],[Date Completed]]</f>
        <v>RS109910120034486544985</v>
      </c>
    </row>
    <row r="873" spans="1:82" customFormat="1" ht="15" customHeight="1" x14ac:dyDescent="0.25">
      <c r="A873">
        <v>2023</v>
      </c>
      <c r="B873" s="8" t="s">
        <v>4</v>
      </c>
      <c r="C873" s="8" t="s">
        <v>5067</v>
      </c>
      <c r="D873" s="8">
        <v>1211846</v>
      </c>
      <c r="E873" s="8" t="s">
        <v>5069</v>
      </c>
      <c r="F873" s="8" t="s">
        <v>747</v>
      </c>
      <c r="G873" s="8" t="s">
        <v>25</v>
      </c>
      <c r="H873" s="8" t="s">
        <v>4189</v>
      </c>
      <c r="I873" s="642">
        <v>44971</v>
      </c>
      <c r="J873" s="175" t="s">
        <v>2052</v>
      </c>
      <c r="K873" s="97">
        <v>44985</v>
      </c>
      <c r="L873" s="16">
        <f>IF(ISTEXT(Table15[[#This Row],[Engineering Approved Design Date]]),Table15[[#This Row],[Date Completed]]-Table15[[#This Row],[Date Assigned to Designer]],Table15[[#This Row],[Engineering Approved Design Date]]-Table15[[#This Row],[Date Completed]])</f>
        <v>14</v>
      </c>
      <c r="M873" s="16" t="s">
        <v>5389</v>
      </c>
      <c r="N873" s="642" t="s">
        <v>120</v>
      </c>
      <c r="O873" s="1060">
        <v>44986</v>
      </c>
      <c r="P873" s="21" t="s">
        <v>739</v>
      </c>
      <c r="Q873" s="1061">
        <f>Table15[[#This Row],[KH Hourly Effort]]</f>
        <v>6027.5</v>
      </c>
      <c r="R873" s="1026" t="s">
        <v>1922</v>
      </c>
      <c r="S873" s="538">
        <v>0</v>
      </c>
      <c r="T873" s="538"/>
      <c r="U873" s="87">
        <v>6027.5</v>
      </c>
      <c r="V873" s="857"/>
      <c r="W873" s="440"/>
      <c r="X873" s="538"/>
      <c r="Y873" s="551"/>
      <c r="Z873" s="538"/>
      <c r="AA873" s="552"/>
      <c r="AB873" s="341" t="s">
        <v>29</v>
      </c>
      <c r="AC873" s="568" t="s">
        <v>709</v>
      </c>
      <c r="AD873" s="1149" t="s">
        <v>29</v>
      </c>
      <c r="AE873" s="580"/>
      <c r="AF873" s="580"/>
      <c r="AG873" s="580"/>
      <c r="AH873" s="542"/>
      <c r="AI873" s="1028"/>
      <c r="AJ873" s="1029"/>
      <c r="AK873" s="1029"/>
      <c r="AL873" s="1030"/>
      <c r="AM873" s="542" t="s">
        <v>709</v>
      </c>
      <c r="AN873" s="924"/>
      <c r="AO873" s="925"/>
      <c r="AP873" s="926"/>
      <c r="AQ873" s="926"/>
      <c r="AR873" s="926"/>
      <c r="AS873" s="926"/>
      <c r="AT873" s="926"/>
      <c r="AU873" s="926"/>
      <c r="AV873" s="926"/>
      <c r="AW873" s="927"/>
      <c r="AX873" s="926"/>
      <c r="AY873" s="1538" t="s">
        <v>29</v>
      </c>
      <c r="AZ873" s="1530"/>
      <c r="BA873" s="1031" t="s">
        <v>4919</v>
      </c>
      <c r="BB873" s="644" t="s">
        <v>5281</v>
      </c>
      <c r="BC873" s="544"/>
      <c r="BD873" s="544"/>
      <c r="BE873" s="544"/>
      <c r="BF873" s="544"/>
      <c r="BG873" s="544"/>
      <c r="BH873" s="741" t="s">
        <v>5390</v>
      </c>
      <c r="BI873" s="547" t="s">
        <v>709</v>
      </c>
      <c r="BJ873" s="547" t="s">
        <v>709</v>
      </c>
      <c r="BK873" s="547" t="s">
        <v>709</v>
      </c>
      <c r="BL873" s="547" t="s">
        <v>116</v>
      </c>
      <c r="BM873" s="547" t="s">
        <v>709</v>
      </c>
      <c r="BN873" s="547" t="s">
        <v>709</v>
      </c>
      <c r="BO873" s="547" t="s">
        <v>709</v>
      </c>
      <c r="BP873" s="547" t="s">
        <v>709</v>
      </c>
      <c r="BQ873" s="547" t="s">
        <v>709</v>
      </c>
      <c r="BR873" s="547">
        <v>252</v>
      </c>
      <c r="BS873" s="547">
        <v>854</v>
      </c>
      <c r="BT873" s="547" t="s">
        <v>745</v>
      </c>
      <c r="BU873" s="547" t="s">
        <v>709</v>
      </c>
      <c r="BV873" s="547" t="s">
        <v>745</v>
      </c>
      <c r="BW873" s="547" t="s">
        <v>709</v>
      </c>
      <c r="BX873" s="547" t="s">
        <v>745</v>
      </c>
      <c r="BY873" s="547" t="s">
        <v>745</v>
      </c>
      <c r="BZ873" s="547" t="s">
        <v>709</v>
      </c>
      <c r="CA873" s="483"/>
      <c r="CB873" s="547">
        <v>870</v>
      </c>
      <c r="CC873" s="1481" t="b">
        <v>1</v>
      </c>
      <c r="CD873" t="str">
        <f>Table15[[#This Row],[Engineering Number]]&amp;Table15[[#This Row],[WO Number]]&amp;Table15[[#This Row],[Date Assigned to Designer]]&amp;Table15[[#This Row],[Date Completed]]</f>
        <v>SC2117212118464497144985</v>
      </c>
    </row>
    <row r="874" spans="1:82" customFormat="1" ht="15" customHeight="1" x14ac:dyDescent="0.25">
      <c r="A874">
        <v>2023</v>
      </c>
      <c r="B874" s="8" t="s">
        <v>4</v>
      </c>
      <c r="C874" s="8" t="s">
        <v>5409</v>
      </c>
      <c r="D874" s="8" t="s">
        <v>115</v>
      </c>
      <c r="E874" s="8" t="s">
        <v>2114</v>
      </c>
      <c r="F874" s="8" t="s">
        <v>784</v>
      </c>
      <c r="G874" s="8" t="s">
        <v>26</v>
      </c>
      <c r="H874" s="647" t="s">
        <v>1681</v>
      </c>
      <c r="I874" s="642">
        <v>44963</v>
      </c>
      <c r="J874" s="18">
        <v>45023</v>
      </c>
      <c r="K874" s="18">
        <v>44986</v>
      </c>
      <c r="L874" s="16">
        <f>IF(ISTEXT(Table15[[#This Row],[Engineering Approved Design Date]]),Table15[[#This Row],[Date Completed]]-Table15[[#This Row],[Date Assigned to Designer]],Table15[[#This Row],[Engineering Approved Design Date]]-Table15[[#This Row],[Date Completed]])</f>
        <v>37</v>
      </c>
      <c r="M874" s="642"/>
      <c r="N874" s="642" t="s">
        <v>120</v>
      </c>
      <c r="O874" s="1060">
        <v>44986</v>
      </c>
      <c r="P874" s="1152" t="s">
        <v>739</v>
      </c>
      <c r="Q874" s="87" t="s">
        <v>115</v>
      </c>
      <c r="R874" s="1026" t="s">
        <v>115</v>
      </c>
      <c r="S874" s="538"/>
      <c r="T874" s="538"/>
      <c r="U874" s="87"/>
      <c r="V874" s="857"/>
      <c r="W874" s="440"/>
      <c r="X874" s="550"/>
      <c r="Y874" s="550"/>
      <c r="Z874" s="550"/>
      <c r="AA874" s="552"/>
      <c r="AB874" s="341" t="s">
        <v>29</v>
      </c>
      <c r="AC874" s="568" t="s">
        <v>709</v>
      </c>
      <c r="AD874" s="1149" t="s">
        <v>29</v>
      </c>
      <c r="AE874" s="580"/>
      <c r="AF874" s="580"/>
      <c r="AG874" s="580"/>
      <c r="AH874" s="542"/>
      <c r="AI874" s="1028"/>
      <c r="AJ874" s="1029"/>
      <c r="AK874" s="1029"/>
      <c r="AL874" s="1030"/>
      <c r="AM874" s="542" t="s">
        <v>709</v>
      </c>
      <c r="AN874" s="924"/>
      <c r="AO874" s="925"/>
      <c r="AP874" s="926"/>
      <c r="AQ874" s="926"/>
      <c r="AR874" s="926"/>
      <c r="AS874" s="926"/>
      <c r="AT874" s="926"/>
      <c r="AU874" s="926"/>
      <c r="AV874" s="926"/>
      <c r="AW874" s="927"/>
      <c r="AX874" s="926"/>
      <c r="AY874" s="1538" t="s">
        <v>29</v>
      </c>
      <c r="AZ874" s="1530"/>
      <c r="BA874" s="1031" t="s">
        <v>5410</v>
      </c>
      <c r="BB874" s="644" t="s">
        <v>5411</v>
      </c>
      <c r="BC874" s="544" t="s">
        <v>709</v>
      </c>
      <c r="BD874" s="544" t="s">
        <v>709</v>
      </c>
      <c r="BE874" s="544" t="s">
        <v>522</v>
      </c>
      <c r="BF874" s="544" t="s">
        <v>709</v>
      </c>
      <c r="BG874" s="544" t="s">
        <v>709</v>
      </c>
      <c r="BH874" s="741"/>
      <c r="BI874" s="1032"/>
      <c r="BJ874" s="1032"/>
      <c r="BK874" s="1032"/>
      <c r="BL874" s="1032"/>
      <c r="BM874" s="1032"/>
      <c r="BN874" s="1032"/>
      <c r="BO874" s="1032"/>
      <c r="BP874" s="1032"/>
      <c r="BQ874" s="1032"/>
      <c r="BR874" s="1032"/>
      <c r="BS874" s="1032"/>
      <c r="BT874" s="1032"/>
      <c r="BU874" s="1032"/>
      <c r="BV874" s="1032"/>
      <c r="BW874" s="1032"/>
      <c r="BX874" s="1032"/>
      <c r="BY874" s="1032"/>
      <c r="BZ874" s="1032"/>
      <c r="CA874" s="485"/>
      <c r="CB874" s="547">
        <v>872</v>
      </c>
      <c r="CC874" s="1481" t="b">
        <v>1</v>
      </c>
      <c r="CD874" t="str">
        <f>Table15[[#This Row],[Engineering Number]]&amp;Table15[[#This Row],[WO Number]]&amp;Table15[[#This Row],[Date Assigned to Designer]]&amp;Table15[[#This Row],[Date Completed]]</f>
        <v>M13975-4496344986</v>
      </c>
    </row>
    <row r="875" spans="1:82" customFormat="1" ht="15" customHeight="1" x14ac:dyDescent="0.25">
      <c r="A875">
        <v>2023</v>
      </c>
      <c r="B875" s="8" t="s">
        <v>4</v>
      </c>
      <c r="C875" s="8" t="s">
        <v>5215</v>
      </c>
      <c r="D875" s="8" t="s">
        <v>5216</v>
      </c>
      <c r="E875" s="8" t="s">
        <v>3635</v>
      </c>
      <c r="F875" s="8" t="s">
        <v>784</v>
      </c>
      <c r="G875" s="8" t="s">
        <v>35</v>
      </c>
      <c r="H875" s="8" t="s">
        <v>4189</v>
      </c>
      <c r="I875" s="642">
        <v>44964</v>
      </c>
      <c r="J875" s="175" t="s">
        <v>2052</v>
      </c>
      <c r="K875" s="97">
        <v>44986</v>
      </c>
      <c r="L875" s="16">
        <f>IF(ISTEXT(Table15[[#This Row],[Engineering Approved Design Date]]),Table15[[#This Row],[Date Completed]]-Table15[[#This Row],[Date Assigned to Designer]],Table15[[#This Row],[Engineering Approved Design Date]]-Table15[[#This Row],[Date Completed]])</f>
        <v>22</v>
      </c>
      <c r="M875" s="16" t="s">
        <v>5406</v>
      </c>
      <c r="N875" s="642" t="s">
        <v>120</v>
      </c>
      <c r="O875" s="1060">
        <v>44986</v>
      </c>
      <c r="P875" s="21" t="s">
        <v>739</v>
      </c>
      <c r="Q875" s="1061">
        <f>Table15[[#This Row],[KH Hourly Effort]]</f>
        <v>7040</v>
      </c>
      <c r="R875" s="1026" t="s">
        <v>1922</v>
      </c>
      <c r="S875" s="538">
        <v>0</v>
      </c>
      <c r="T875" s="538"/>
      <c r="U875" s="87">
        <v>7040</v>
      </c>
      <c r="V875" s="857"/>
      <c r="W875" s="440"/>
      <c r="X875" s="538"/>
      <c r="Y875" s="551"/>
      <c r="Z875" s="538"/>
      <c r="AA875" s="552"/>
      <c r="AB875" s="341" t="s">
        <v>29</v>
      </c>
      <c r="AC875" s="568" t="s">
        <v>709</v>
      </c>
      <c r="AD875" s="1149" t="s">
        <v>29</v>
      </c>
      <c r="AE875" s="580"/>
      <c r="AF875" s="580"/>
      <c r="AG875" s="580"/>
      <c r="AH875" s="542"/>
      <c r="AI875" s="1028"/>
      <c r="AJ875" s="1029"/>
      <c r="AK875" s="1029"/>
      <c r="AL875" s="1030"/>
      <c r="AM875" s="542" t="s">
        <v>709</v>
      </c>
      <c r="AN875" s="924"/>
      <c r="AO875" s="925"/>
      <c r="AP875" s="926"/>
      <c r="AQ875" s="926"/>
      <c r="AR875" s="926"/>
      <c r="AS875" s="926"/>
      <c r="AT875" s="926"/>
      <c r="AU875" s="926"/>
      <c r="AV875" s="926"/>
      <c r="AW875" s="927"/>
      <c r="AX875" s="926"/>
      <c r="AY875" s="1538" t="s">
        <v>29</v>
      </c>
      <c r="AZ875" s="1530"/>
      <c r="BA875" s="1031">
        <v>1</v>
      </c>
      <c r="BB875" s="644" t="s">
        <v>5407</v>
      </c>
      <c r="BC875" s="544"/>
      <c r="BD875" s="544"/>
      <c r="BE875" s="544"/>
      <c r="BF875" s="544"/>
      <c r="BG875" s="544"/>
      <c r="BH875" s="741"/>
      <c r="BI875" s="547" t="s">
        <v>709</v>
      </c>
      <c r="BJ875" s="547" t="s">
        <v>709</v>
      </c>
      <c r="BK875" s="547" t="s">
        <v>709</v>
      </c>
      <c r="BL875" s="547" t="s">
        <v>116</v>
      </c>
      <c r="BM875" s="547" t="s">
        <v>709</v>
      </c>
      <c r="BN875" s="547" t="s">
        <v>709</v>
      </c>
      <c r="BO875" s="547" t="s">
        <v>709</v>
      </c>
      <c r="BP875" s="547" t="s">
        <v>709</v>
      </c>
      <c r="BQ875" s="547" t="s">
        <v>709</v>
      </c>
      <c r="BR875" s="547" t="s">
        <v>709</v>
      </c>
      <c r="BS875" s="547">
        <v>166</v>
      </c>
      <c r="BT875" s="547" t="s">
        <v>709</v>
      </c>
      <c r="BU875" s="547" t="s">
        <v>709</v>
      </c>
      <c r="BV875" s="547" t="s">
        <v>745</v>
      </c>
      <c r="BW875" s="547" t="s">
        <v>709</v>
      </c>
      <c r="BX875" s="547" t="s">
        <v>709</v>
      </c>
      <c r="BY875" s="547" t="s">
        <v>745</v>
      </c>
      <c r="BZ875" s="547" t="s">
        <v>709</v>
      </c>
      <c r="CA875" s="483"/>
      <c r="CB875" s="547">
        <v>873</v>
      </c>
      <c r="CC875" s="1481" t="b">
        <v>1</v>
      </c>
      <c r="CD875" t="str">
        <f>Table15[[#This Row],[Engineering Number]]&amp;Table15[[#This Row],[WO Number]]&amp;Table15[[#This Row],[Date Assigned to Designer]]&amp;Table15[[#This Row],[Date Completed]]</f>
        <v>SC2104713120874496444986</v>
      </c>
    </row>
    <row r="876" spans="1:82" customFormat="1" ht="15" customHeight="1" x14ac:dyDescent="0.25">
      <c r="A876">
        <v>2023</v>
      </c>
      <c r="B876" s="8" t="s">
        <v>2</v>
      </c>
      <c r="C876" s="8" t="s">
        <v>304</v>
      </c>
      <c r="D876" s="8">
        <v>1011558</v>
      </c>
      <c r="E876" s="8" t="s">
        <v>305</v>
      </c>
      <c r="F876" s="8" t="s">
        <v>784</v>
      </c>
      <c r="G876" s="8" t="s">
        <v>24</v>
      </c>
      <c r="H876" s="8" t="s">
        <v>4189</v>
      </c>
      <c r="I876" s="642">
        <v>44958</v>
      </c>
      <c r="J876" s="175" t="s">
        <v>2052</v>
      </c>
      <c r="K876" s="97">
        <v>44987</v>
      </c>
      <c r="L876" s="16">
        <f>IF(ISTEXT(Table15[[#This Row],[Engineering Approved Design Date]]),Table15[[#This Row],[Date Completed]]-Table15[[#This Row],[Date Assigned to Designer]],Table15[[#This Row],[Engineering Approved Design Date]]-Table15[[#This Row],[Date Completed]])</f>
        <v>29</v>
      </c>
      <c r="M876" s="16" t="s">
        <v>5413</v>
      </c>
      <c r="N876" s="642" t="s">
        <v>120</v>
      </c>
      <c r="O876" s="1060">
        <v>44986</v>
      </c>
      <c r="P876" s="21" t="s">
        <v>120</v>
      </c>
      <c r="Q876" s="1061">
        <f>Table15[[#This Row],[KH Hourly Effort]]</f>
        <v>9805</v>
      </c>
      <c r="R876" s="1026" t="s">
        <v>1922</v>
      </c>
      <c r="S876" s="538"/>
      <c r="T876" s="538"/>
      <c r="U876" s="87">
        <v>9805</v>
      </c>
      <c r="V876" s="857"/>
      <c r="W876" s="440"/>
      <c r="X876" s="538"/>
      <c r="Y876" s="551"/>
      <c r="Z876" s="538"/>
      <c r="AA876" s="552"/>
      <c r="AB876" s="341"/>
      <c r="AC876" s="569" t="s">
        <v>29</v>
      </c>
      <c r="AD876" s="1149"/>
      <c r="AE876" s="580" t="s">
        <v>29</v>
      </c>
      <c r="AF876" s="580" t="s">
        <v>29</v>
      </c>
      <c r="AG876" s="580" t="s">
        <v>29</v>
      </c>
      <c r="AH876" s="542" t="s">
        <v>29</v>
      </c>
      <c r="AI876" s="1028"/>
      <c r="AJ876" s="1029"/>
      <c r="AK876" s="1029"/>
      <c r="AL876" s="1030"/>
      <c r="AM876" s="542" t="s">
        <v>709</v>
      </c>
      <c r="AN876" s="924"/>
      <c r="AO876" s="925"/>
      <c r="AP876" s="926"/>
      <c r="AQ876" s="926"/>
      <c r="AR876" s="926"/>
      <c r="AS876" s="926"/>
      <c r="AT876" s="926"/>
      <c r="AU876" s="926"/>
      <c r="AV876" s="926"/>
      <c r="AW876" s="927"/>
      <c r="AX876" s="926"/>
      <c r="AY876" s="1538" t="s">
        <v>29</v>
      </c>
      <c r="AZ876" s="1530"/>
      <c r="BA876" s="1031">
        <v>2</v>
      </c>
      <c r="BB876" s="644" t="s">
        <v>5281</v>
      </c>
      <c r="BC876" s="544"/>
      <c r="BD876" s="544"/>
      <c r="BE876" s="544"/>
      <c r="BF876" s="544"/>
      <c r="BG876" s="544"/>
      <c r="BH876" s="741"/>
      <c r="BI876" s="547" t="s">
        <v>709</v>
      </c>
      <c r="BJ876" s="547" t="s">
        <v>709</v>
      </c>
      <c r="BK876" s="547" t="s">
        <v>116</v>
      </c>
      <c r="BL876" s="547" t="s">
        <v>116</v>
      </c>
      <c r="BM876" s="547" t="s">
        <v>709</v>
      </c>
      <c r="BN876" s="547" t="s">
        <v>709</v>
      </c>
      <c r="BO876" s="547" t="s">
        <v>709</v>
      </c>
      <c r="BP876" s="547" t="s">
        <v>709</v>
      </c>
      <c r="BQ876" s="547" t="s">
        <v>709</v>
      </c>
      <c r="BR876" s="547">
        <v>406</v>
      </c>
      <c r="BS876" s="547">
        <v>156</v>
      </c>
      <c r="BT876" s="547" t="s">
        <v>709</v>
      </c>
      <c r="BU876" s="547">
        <v>1</v>
      </c>
      <c r="BV876" s="547" t="s">
        <v>709</v>
      </c>
      <c r="BW876" s="547" t="s">
        <v>709</v>
      </c>
      <c r="BX876" s="547">
        <v>1</v>
      </c>
      <c r="BY876" s="547" t="s">
        <v>709</v>
      </c>
      <c r="BZ876" s="547" t="s">
        <v>709</v>
      </c>
      <c r="CA876" s="483" t="s">
        <v>2</v>
      </c>
      <c r="CB876" s="547">
        <v>874</v>
      </c>
      <c r="CC876" s="1481" t="b">
        <v>1</v>
      </c>
      <c r="CD876" t="str">
        <f>Table15[[#This Row],[Engineering Number]]&amp;Table15[[#This Row],[WO Number]]&amp;Table15[[#This Row],[Date Assigned to Designer]]&amp;Table15[[#This Row],[Date Completed]]</f>
        <v>RS102610115584495844987</v>
      </c>
    </row>
    <row r="877" spans="1:82" customFormat="1" ht="15" customHeight="1" x14ac:dyDescent="0.25">
      <c r="A877">
        <v>2023</v>
      </c>
      <c r="B877" s="8" t="s">
        <v>730</v>
      </c>
      <c r="C877" s="8" t="s">
        <v>5415</v>
      </c>
      <c r="D877" s="8" t="s">
        <v>5416</v>
      </c>
      <c r="E877" s="8" t="s">
        <v>2000</v>
      </c>
      <c r="F877" s="8" t="s">
        <v>752</v>
      </c>
      <c r="G877" s="8" t="s">
        <v>34</v>
      </c>
      <c r="H877" s="8" t="s">
        <v>59</v>
      </c>
      <c r="I877" s="642">
        <v>44888</v>
      </c>
      <c r="J877" s="18">
        <v>44988</v>
      </c>
      <c r="K877" s="97">
        <v>44988</v>
      </c>
      <c r="L877" s="16">
        <f>IF(ISTEXT(Table15[[#This Row],[Engineering Approved Design Date]]),Table15[[#This Row],[Date Completed]]-Table15[[#This Row],[Date Assigned to Designer]],Table15[[#This Row],[Engineering Approved Design Date]]-Table15[[#This Row],[Date Completed]])</f>
        <v>0</v>
      </c>
      <c r="M877" s="642"/>
      <c r="N877" s="642" t="s">
        <v>120</v>
      </c>
      <c r="O877" s="1060">
        <f>Table15[[#This Row],[Date Completed]]</f>
        <v>44988</v>
      </c>
      <c r="P877" s="1152" t="s">
        <v>120</v>
      </c>
      <c r="Q877" s="340">
        <f>Table15[[#This Row],[Rate]]*Table15[[#This Row],[Construction Cost to Bill From]]</f>
        <v>34453.468499999995</v>
      </c>
      <c r="R877" s="1026">
        <v>0.11</v>
      </c>
      <c r="S877" s="538"/>
      <c r="T877" s="538"/>
      <c r="U877" s="87"/>
      <c r="V877" s="858">
        <v>1151</v>
      </c>
      <c r="W877" s="437">
        <v>1</v>
      </c>
      <c r="X877" s="552">
        <v>263808.03999999998</v>
      </c>
      <c r="Y877" s="551"/>
      <c r="Z877" s="552">
        <v>49405.31</v>
      </c>
      <c r="AA877" s="552">
        <f>Table15[[#This Row],[PCTS Investment Amount]]+Table15[[#This Row],[PCTS Retirement Amount]]</f>
        <v>313213.34999999998</v>
      </c>
      <c r="AB877" s="341" t="s">
        <v>116</v>
      </c>
      <c r="AC877" s="568" t="s">
        <v>1177</v>
      </c>
      <c r="AD877" s="1157" t="s">
        <v>29</v>
      </c>
      <c r="AE877" s="579"/>
      <c r="AF877" s="579"/>
      <c r="AG877" s="579"/>
      <c r="AH877" s="553"/>
      <c r="AI877" s="1036"/>
      <c r="AJ877" s="1037"/>
      <c r="AK877" s="1037"/>
      <c r="AL877" s="1038"/>
      <c r="AM877" s="1522" t="s">
        <v>116</v>
      </c>
      <c r="AN877" s="1523">
        <v>45078</v>
      </c>
      <c r="AO877" s="1524">
        <v>11059260</v>
      </c>
      <c r="AP877" s="1525">
        <v>264149.57</v>
      </c>
      <c r="AQ877" s="1525"/>
      <c r="AR877" s="1525">
        <v>49405.31</v>
      </c>
      <c r="AS877" s="1525">
        <f>IF(Table15[[#This Row],[PCTS Approved]]="N",0,Table15[[#This Row],[Investment Amount (1'#'#'#'#'#)]]+Table15[[#This Row],[Retirement Amount (3'#'#'#'#'#)]])</f>
        <v>313554.88</v>
      </c>
      <c r="AT877" s="1525">
        <f>IF(Table15[[#This Row],[Approved Construction Cost]]=0,0,Table15[[#This Row],[Approved Construction Cost]]-Table15[[#This Row],[Construction Cost to Bill From]])</f>
        <v>341.53000000002794</v>
      </c>
      <c r="AU877" s="1525">
        <f>IFERROR(Table15[[#This Row],[Difference in Construction Cost]]*Table15[[#This Row],[Rate]],Table15[[#This Row],[Difference in Construction Cost]]*0.085)</f>
        <v>37.56830000000307</v>
      </c>
      <c r="AV877" s="1525" t="s">
        <v>709</v>
      </c>
      <c r="AW877" s="1526"/>
      <c r="AX877" s="1525">
        <v>37.56830000000307</v>
      </c>
      <c r="AY877" s="1518">
        <v>45200</v>
      </c>
      <c r="AZ877" s="333"/>
      <c r="BA877" s="859" t="s">
        <v>5417</v>
      </c>
      <c r="BB877" s="644" t="s">
        <v>5418</v>
      </c>
      <c r="BC877" s="544" t="s">
        <v>115</v>
      </c>
      <c r="BD877" s="544" t="s">
        <v>115</v>
      </c>
      <c r="BE877" s="544" t="s">
        <v>4667</v>
      </c>
      <c r="BF877" s="544" t="s">
        <v>5086</v>
      </c>
      <c r="BG877" s="544" t="s">
        <v>115</v>
      </c>
      <c r="BH877" s="741"/>
      <c r="BI877" s="547" t="s">
        <v>709</v>
      </c>
      <c r="BJ877" s="547" t="s">
        <v>709</v>
      </c>
      <c r="BK877" s="547" t="s">
        <v>116</v>
      </c>
      <c r="BL877" s="547" t="s">
        <v>116</v>
      </c>
      <c r="BM877" s="547" t="s">
        <v>709</v>
      </c>
      <c r="BN877" s="547" t="s">
        <v>709</v>
      </c>
      <c r="BO877" s="547" t="s">
        <v>709</v>
      </c>
      <c r="BP877" s="547" t="s">
        <v>709</v>
      </c>
      <c r="BQ877" s="547" t="s">
        <v>709</v>
      </c>
      <c r="BR877" s="547" t="s">
        <v>709</v>
      </c>
      <c r="BS877" s="547">
        <v>1151</v>
      </c>
      <c r="BT877" s="547" t="s">
        <v>745</v>
      </c>
      <c r="BU877" s="547">
        <v>1</v>
      </c>
      <c r="BV877" s="547" t="s">
        <v>745</v>
      </c>
      <c r="BW877" s="547" t="s">
        <v>709</v>
      </c>
      <c r="BX877" s="547">
        <v>1</v>
      </c>
      <c r="BY877" s="547" t="s">
        <v>745</v>
      </c>
      <c r="BZ877" s="547" t="s">
        <v>709</v>
      </c>
      <c r="CA877" s="483"/>
      <c r="CB877" s="547">
        <v>875</v>
      </c>
      <c r="CC877" s="1481" t="b">
        <v>1</v>
      </c>
      <c r="CD877" t="str">
        <f>Table15[[#This Row],[Engineering Number]]&amp;Table15[[#This Row],[WO Number]]&amp;Table15[[#This Row],[Date Assigned to Designer]]&amp;Table15[[#This Row],[Date Completed]]</f>
        <v>RS111910120974488844988</v>
      </c>
    </row>
    <row r="878" spans="1:82" customFormat="1" ht="15" customHeight="1" x14ac:dyDescent="0.25">
      <c r="A878">
        <v>2023</v>
      </c>
      <c r="B878" s="8" t="s">
        <v>771</v>
      </c>
      <c r="C878" s="8" t="s">
        <v>5425</v>
      </c>
      <c r="D878" s="8" t="s">
        <v>5426</v>
      </c>
      <c r="E878" s="8" t="s">
        <v>2350</v>
      </c>
      <c r="F878" s="8" t="s">
        <v>784</v>
      </c>
      <c r="G878" s="8" t="s">
        <v>31</v>
      </c>
      <c r="H878" s="8" t="s">
        <v>59</v>
      </c>
      <c r="I878" s="642">
        <v>44883</v>
      </c>
      <c r="J878" s="18">
        <v>44995</v>
      </c>
      <c r="K878" s="97">
        <v>44993</v>
      </c>
      <c r="L878" s="16">
        <f>IF(ISTEXT(Table15[[#This Row],[Engineering Approved Design Date]]),Table15[[#This Row],[Date Completed]]-Table15[[#This Row],[Date Assigned to Designer]],Table15[[#This Row],[Engineering Approved Design Date]]-Table15[[#This Row],[Date Completed]])</f>
        <v>2</v>
      </c>
      <c r="M878" s="642"/>
      <c r="N878" s="642" t="s">
        <v>120</v>
      </c>
      <c r="O878" s="1060">
        <f>Table15[[#This Row],[Date Completed]]</f>
        <v>44993</v>
      </c>
      <c r="P878" s="1152" t="s">
        <v>120</v>
      </c>
      <c r="Q878" s="340">
        <f>Table15[[#This Row],[Rate]]*Table15[[#This Row],[Construction Cost to Bill From]]</f>
        <v>93246.596999999994</v>
      </c>
      <c r="R878" s="1026">
        <v>0.09</v>
      </c>
      <c r="S878" s="538"/>
      <c r="T878" s="538"/>
      <c r="U878" s="87"/>
      <c r="V878" s="858">
        <v>3492</v>
      </c>
      <c r="W878" s="437"/>
      <c r="X878" s="552">
        <v>1002837.09</v>
      </c>
      <c r="Y878" s="551"/>
      <c r="Z878" s="552">
        <v>33236.21</v>
      </c>
      <c r="AA878" s="552">
        <f>SUM(Table15[[#This Row],[PCTS Investment Amount]:[PCTS Retirement Amount]])</f>
        <v>1036073.2999999999</v>
      </c>
      <c r="AB878" s="341">
        <v>45000</v>
      </c>
      <c r="AC878" s="568" t="s">
        <v>709</v>
      </c>
      <c r="AD878" s="1157" t="s">
        <v>29</v>
      </c>
      <c r="AE878" s="568" t="s">
        <v>29</v>
      </c>
      <c r="AF878" s="568" t="s">
        <v>29</v>
      </c>
      <c r="AG878" s="568" t="s">
        <v>29</v>
      </c>
      <c r="AH878" s="183" t="s">
        <v>29</v>
      </c>
      <c r="AI878" s="1036"/>
      <c r="AJ878" s="1037"/>
      <c r="AK878" s="1037"/>
      <c r="AL878" s="1038"/>
      <c r="AM878" s="1522" t="s">
        <v>116</v>
      </c>
      <c r="AN878" s="1523">
        <v>45288</v>
      </c>
      <c r="AO878" s="1524">
        <v>11056665</v>
      </c>
      <c r="AP878" s="1525">
        <v>741619.24</v>
      </c>
      <c r="AQ878" s="1525"/>
      <c r="AR878" s="1525">
        <v>33234.870000000003</v>
      </c>
      <c r="AS878" s="1525">
        <f>IF(Table15[[#This Row],[PCTS Approved]]="N",0,Table15[[#This Row],[Investment Amount (1'#'#'#'#'#)]]+Table15[[#This Row],[Retirement Amount (3'#'#'#'#'#)]])</f>
        <v>774854.11</v>
      </c>
      <c r="AT878" s="1525">
        <f>IF(Table15[[#This Row],[Approved Construction Cost]]=0,0,Table15[[#This Row],[Approved Construction Cost]]-Table15[[#This Row],[Construction Cost to Bill From]])</f>
        <v>-261219.18999999994</v>
      </c>
      <c r="AU878" s="1525">
        <f>IFERROR(Table15[[#This Row],[Difference in Construction Cost]]*Table15[[#This Row],[Rate]],Table15[[#This Row],[Difference in Construction Cost]]*0.085)</f>
        <v>-23509.727099999993</v>
      </c>
      <c r="AV878" s="1525">
        <v>8200</v>
      </c>
      <c r="AW878" s="1526" t="s">
        <v>5427</v>
      </c>
      <c r="AX878" s="1525">
        <v>0</v>
      </c>
      <c r="AY878" s="1518">
        <v>45352</v>
      </c>
      <c r="AZ878" s="333"/>
      <c r="BA878" s="859" t="s">
        <v>5428</v>
      </c>
      <c r="BB878" s="644" t="s">
        <v>5429</v>
      </c>
      <c r="BC878" s="544" t="s">
        <v>116</v>
      </c>
      <c r="BD878" s="544" t="s">
        <v>1626</v>
      </c>
      <c r="BE878" s="544" t="s">
        <v>1626</v>
      </c>
      <c r="BF878" s="544" t="s">
        <v>115</v>
      </c>
      <c r="BG878" s="544" t="s">
        <v>1480</v>
      </c>
      <c r="BH878" s="741" t="s">
        <v>5430</v>
      </c>
      <c r="BI878" s="547" t="s">
        <v>709</v>
      </c>
      <c r="BJ878" s="547" t="s">
        <v>709</v>
      </c>
      <c r="BK878" s="547" t="s">
        <v>709</v>
      </c>
      <c r="BL878" s="547" t="s">
        <v>116</v>
      </c>
      <c r="BM878" s="547" t="s">
        <v>709</v>
      </c>
      <c r="BN878" s="547" t="s">
        <v>709</v>
      </c>
      <c r="BO878" s="547" t="s">
        <v>709</v>
      </c>
      <c r="BP878" s="547" t="s">
        <v>709</v>
      </c>
      <c r="BQ878" s="547" t="s">
        <v>709</v>
      </c>
      <c r="BR878" s="547" t="s">
        <v>709</v>
      </c>
      <c r="BS878" s="547">
        <v>3492</v>
      </c>
      <c r="BT878" s="547" t="s">
        <v>709</v>
      </c>
      <c r="BU878" s="547" t="s">
        <v>709</v>
      </c>
      <c r="BV878" s="547" t="s">
        <v>709</v>
      </c>
      <c r="BW878" s="547" t="s">
        <v>709</v>
      </c>
      <c r="BX878" s="547" t="s">
        <v>745</v>
      </c>
      <c r="BY878" s="547" t="s">
        <v>709</v>
      </c>
      <c r="BZ878" s="547" t="s">
        <v>709</v>
      </c>
      <c r="CA878" s="483"/>
      <c r="CB878" s="547">
        <v>876</v>
      </c>
      <c r="CC878" s="1481" t="b">
        <v>1</v>
      </c>
      <c r="CD878" t="str">
        <f>Table15[[#This Row],[Engineering Number]]&amp;Table15[[#This Row],[WO Number]]&amp;Table15[[#This Row],[Date Assigned to Designer]]&amp;Table15[[#This Row],[Date Completed]]</f>
        <v>BS34012120674488344993</v>
      </c>
    </row>
    <row r="879" spans="1:82" customFormat="1" ht="15" customHeight="1" x14ac:dyDescent="0.25">
      <c r="A879">
        <v>2023</v>
      </c>
      <c r="B879" s="8" t="s">
        <v>4</v>
      </c>
      <c r="C879" s="8" t="s">
        <v>5420</v>
      </c>
      <c r="D879" s="8" t="s">
        <v>115</v>
      </c>
      <c r="E879" s="8" t="s">
        <v>3053</v>
      </c>
      <c r="F879" s="8" t="s">
        <v>784</v>
      </c>
      <c r="G879" s="8" t="s">
        <v>27</v>
      </c>
      <c r="H879" s="647" t="s">
        <v>1903</v>
      </c>
      <c r="I879" s="642">
        <v>44974</v>
      </c>
      <c r="J879" s="18">
        <v>45044</v>
      </c>
      <c r="K879" s="18">
        <v>44993</v>
      </c>
      <c r="L879" s="16">
        <f>IF(ISTEXT(Table15[[#This Row],[Engineering Approved Design Date]]),Table15[[#This Row],[Date Completed]]-Table15[[#This Row],[Date Assigned to Designer]],Table15[[#This Row],[Engineering Approved Design Date]]-Table15[[#This Row],[Date Completed]])</f>
        <v>51</v>
      </c>
      <c r="M879" s="642"/>
      <c r="N879" s="642" t="s">
        <v>120</v>
      </c>
      <c r="O879" s="1060">
        <f>Table15[[#This Row],[Date Completed]]</f>
        <v>44993</v>
      </c>
      <c r="P879" s="1152" t="s">
        <v>739</v>
      </c>
      <c r="Q879" s="87" t="s">
        <v>115</v>
      </c>
      <c r="R879" s="1026" t="s">
        <v>115</v>
      </c>
      <c r="S879" s="538"/>
      <c r="T879" s="538"/>
      <c r="U879" s="87"/>
      <c r="V879" s="857"/>
      <c r="W879" s="440"/>
      <c r="X879" s="550"/>
      <c r="Y879" s="550"/>
      <c r="Z879" s="550"/>
      <c r="AA879" s="552"/>
      <c r="AB879" s="341" t="s">
        <v>29</v>
      </c>
      <c r="AC879" s="568" t="s">
        <v>709</v>
      </c>
      <c r="AD879" s="1157" t="s">
        <v>29</v>
      </c>
      <c r="AE879" s="579"/>
      <c r="AF879" s="579"/>
      <c r="AG879" s="579"/>
      <c r="AH879" s="553"/>
      <c r="AI879" s="1036"/>
      <c r="AJ879" s="1037"/>
      <c r="AK879" s="1037"/>
      <c r="AL879" s="1038"/>
      <c r="AM879" s="542" t="s">
        <v>709</v>
      </c>
      <c r="AN879" s="924"/>
      <c r="AO879" s="925"/>
      <c r="AP879" s="926"/>
      <c r="AQ879" s="926"/>
      <c r="AR879" s="926"/>
      <c r="AS879" s="926"/>
      <c r="AT879" s="926"/>
      <c r="AU879" s="926"/>
      <c r="AV879" s="926"/>
      <c r="AW879" s="927"/>
      <c r="AX879" s="926"/>
      <c r="AY879" s="1538" t="s">
        <v>29</v>
      </c>
      <c r="AZ879" s="1530"/>
      <c r="BA879" s="1031" t="s">
        <v>5421</v>
      </c>
      <c r="BB879" s="644" t="s">
        <v>5422</v>
      </c>
      <c r="BC879" s="544" t="s">
        <v>116</v>
      </c>
      <c r="BD879" s="544" t="s">
        <v>709</v>
      </c>
      <c r="BE879" s="544" t="s">
        <v>5423</v>
      </c>
      <c r="BF879" s="544" t="s">
        <v>709</v>
      </c>
      <c r="BG879" s="544" t="s">
        <v>709</v>
      </c>
      <c r="BH879" s="741"/>
      <c r="BI879" s="1032"/>
      <c r="BJ879" s="1032"/>
      <c r="BK879" s="1032"/>
      <c r="BL879" s="1032"/>
      <c r="BM879" s="1032"/>
      <c r="BN879" s="1032"/>
      <c r="BO879" s="1032"/>
      <c r="BP879" s="1032"/>
      <c r="BQ879" s="1032"/>
      <c r="BR879" s="1032"/>
      <c r="BS879" s="1032"/>
      <c r="BT879" s="1032"/>
      <c r="BU879" s="1032"/>
      <c r="BV879" s="1032"/>
      <c r="BW879" s="1032"/>
      <c r="BX879" s="1032"/>
      <c r="BY879" s="1032"/>
      <c r="BZ879" s="1032"/>
      <c r="CA879" s="485"/>
      <c r="CB879" s="547">
        <v>877</v>
      </c>
      <c r="CC879" s="1481" t="b">
        <v>1</v>
      </c>
      <c r="CD879" t="str">
        <f>Table15[[#This Row],[Engineering Number]]&amp;Table15[[#This Row],[WO Number]]&amp;Table15[[#This Row],[Date Assigned to Designer]]&amp;Table15[[#This Row],[Date Completed]]</f>
        <v>N16529-4497444993</v>
      </c>
    </row>
    <row r="880" spans="1:82" customFormat="1" ht="15" customHeight="1" x14ac:dyDescent="0.25">
      <c r="A880">
        <v>2023</v>
      </c>
      <c r="B880" s="8" t="s">
        <v>771</v>
      </c>
      <c r="C880" s="8" t="s">
        <v>5432</v>
      </c>
      <c r="D880" s="8" t="s">
        <v>5433</v>
      </c>
      <c r="E880" s="8" t="s">
        <v>1373</v>
      </c>
      <c r="F880" s="8" t="s">
        <v>784</v>
      </c>
      <c r="G880" s="8" t="s">
        <v>22</v>
      </c>
      <c r="H880" s="8" t="s">
        <v>59</v>
      </c>
      <c r="I880" s="642">
        <v>44883</v>
      </c>
      <c r="J880" s="18">
        <v>44995</v>
      </c>
      <c r="K880" s="97">
        <v>44994</v>
      </c>
      <c r="L880" s="16">
        <f>IF(ISTEXT(Table15[[#This Row],[Engineering Approved Design Date]]),Table15[[#This Row],[Date Completed]]-Table15[[#This Row],[Date Assigned to Designer]],Table15[[#This Row],[Engineering Approved Design Date]]-Table15[[#This Row],[Date Completed]])</f>
        <v>1</v>
      </c>
      <c r="M880" s="642"/>
      <c r="N880" s="642" t="s">
        <v>120</v>
      </c>
      <c r="O880" s="1060">
        <f>Table15[[#This Row],[Date Completed]]</f>
        <v>44994</v>
      </c>
      <c r="P880" s="1152" t="s">
        <v>120</v>
      </c>
      <c r="Q880" s="340">
        <f>Table15[[#This Row],[Rate]]*Table15[[#This Row],[Construction Cost to Bill From]]</f>
        <v>72708.988499999992</v>
      </c>
      <c r="R880" s="1026">
        <v>0.09</v>
      </c>
      <c r="S880" s="538"/>
      <c r="T880" s="538"/>
      <c r="U880" s="87"/>
      <c r="V880" s="858">
        <v>2774</v>
      </c>
      <c r="W880" s="437"/>
      <c r="X880" s="552">
        <v>723907.98</v>
      </c>
      <c r="Y880" s="551"/>
      <c r="Z880" s="552">
        <v>83969.67</v>
      </c>
      <c r="AA880" s="552">
        <f>Table15[[#This Row],[PCTS Investment Amount]]+Table15[[#This Row],[PCTS Retirement Amount]]</f>
        <v>807877.65</v>
      </c>
      <c r="AB880" s="341">
        <v>45006</v>
      </c>
      <c r="AC880" s="568" t="s">
        <v>709</v>
      </c>
      <c r="AD880" s="1157" t="s">
        <v>116</v>
      </c>
      <c r="AE880" s="568"/>
      <c r="AF880" s="568"/>
      <c r="AG880" s="568"/>
      <c r="AH880" s="183"/>
      <c r="AI880" s="1036"/>
      <c r="AJ880" s="1037"/>
      <c r="AK880" s="1037"/>
      <c r="AL880" s="1038"/>
      <c r="AM880" s="1522" t="s">
        <v>116</v>
      </c>
      <c r="AN880" s="1523">
        <v>45068</v>
      </c>
      <c r="AO880" s="1524">
        <v>11059581</v>
      </c>
      <c r="AP880" s="1525">
        <v>723873.53</v>
      </c>
      <c r="AQ880" s="1525"/>
      <c r="AR880" s="1525">
        <v>83972.22</v>
      </c>
      <c r="AS880" s="1525">
        <f>IF(Table15[[#This Row],[PCTS Approved]]="N",0,Table15[[#This Row],[Investment Amount (1'#'#'#'#'#)]]+Table15[[#This Row],[Retirement Amount (3'#'#'#'#'#)]])</f>
        <v>807845.75</v>
      </c>
      <c r="AT880" s="1525">
        <f>IF(Table15[[#This Row],[Approved Construction Cost]]=0,0,Table15[[#This Row],[Approved Construction Cost]]-Table15[[#This Row],[Construction Cost to Bill From]])</f>
        <v>-31.900000000023283</v>
      </c>
      <c r="AU880" s="1525">
        <f>IFERROR(Table15[[#This Row],[Difference in Construction Cost]]*Table15[[#This Row],[Rate]],Table15[[#This Row],[Difference in Construction Cost]]*0.085)</f>
        <v>-2.8710000000020952</v>
      </c>
      <c r="AV880" s="1525" t="s">
        <v>709</v>
      </c>
      <c r="AW880" s="1526"/>
      <c r="AX880" s="1525">
        <v>-2.8710000000020952</v>
      </c>
      <c r="AY880" s="1518">
        <v>45200</v>
      </c>
      <c r="AZ880" s="333"/>
      <c r="BA880" s="859" t="s">
        <v>5434</v>
      </c>
      <c r="BB880" s="644" t="s">
        <v>5435</v>
      </c>
      <c r="BC880" s="544" t="s">
        <v>116</v>
      </c>
      <c r="BD880" s="544" t="s">
        <v>709</v>
      </c>
      <c r="BE880" s="544" t="s">
        <v>1376</v>
      </c>
      <c r="BF880" s="544" t="s">
        <v>709</v>
      </c>
      <c r="BG880" s="544" t="s">
        <v>115</v>
      </c>
      <c r="BH880" s="741"/>
      <c r="BI880" s="547" t="s">
        <v>709</v>
      </c>
      <c r="BJ880" s="547" t="s">
        <v>709</v>
      </c>
      <c r="BK880" s="547" t="s">
        <v>709</v>
      </c>
      <c r="BL880" s="547" t="s">
        <v>116</v>
      </c>
      <c r="BM880" s="547" t="s">
        <v>709</v>
      </c>
      <c r="BN880" s="547" t="s">
        <v>709</v>
      </c>
      <c r="BO880" s="547" t="s">
        <v>709</v>
      </c>
      <c r="BP880" s="547" t="s">
        <v>709</v>
      </c>
      <c r="BQ880" s="547" t="s">
        <v>709</v>
      </c>
      <c r="BR880" s="547">
        <v>152</v>
      </c>
      <c r="BS880" s="547">
        <v>2622</v>
      </c>
      <c r="BT880" s="547" t="s">
        <v>745</v>
      </c>
      <c r="BU880" s="547" t="s">
        <v>709</v>
      </c>
      <c r="BV880" s="547" t="s">
        <v>745</v>
      </c>
      <c r="BW880" s="547" t="s">
        <v>709</v>
      </c>
      <c r="BX880" s="547" t="s">
        <v>709</v>
      </c>
      <c r="BY880" s="547" t="s">
        <v>745</v>
      </c>
      <c r="BZ880" s="547" t="s">
        <v>709</v>
      </c>
      <c r="CA880" s="483"/>
      <c r="CB880" s="547">
        <v>878</v>
      </c>
      <c r="CC880" s="1481" t="b">
        <v>1</v>
      </c>
      <c r="CD880" t="str">
        <f>Table15[[#This Row],[Engineering Number]]&amp;Table15[[#This Row],[WO Number]]&amp;Table15[[#This Row],[Date Assigned to Designer]]&amp;Table15[[#This Row],[Date Completed]]</f>
        <v>BS2491212063 4488344994</v>
      </c>
    </row>
    <row r="881" spans="1:82" customFormat="1" ht="15" customHeight="1" x14ac:dyDescent="0.25">
      <c r="A881" s="13">
        <v>2023</v>
      </c>
      <c r="B881" s="13" t="s">
        <v>4</v>
      </c>
      <c r="C881" s="13" t="s">
        <v>746</v>
      </c>
      <c r="D881" s="13">
        <v>1412152</v>
      </c>
      <c r="E881" s="13" t="s">
        <v>309</v>
      </c>
      <c r="F881" s="452" t="s">
        <v>747</v>
      </c>
      <c r="G881" s="13" t="s">
        <v>33</v>
      </c>
      <c r="H881" s="13" t="s">
        <v>59</v>
      </c>
      <c r="I881" s="642">
        <v>44851</v>
      </c>
      <c r="J881" s="18">
        <v>45002</v>
      </c>
      <c r="K881" s="642">
        <v>44999</v>
      </c>
      <c r="L881" s="649">
        <f>IF(ISTEXT(Table15[[#This Row],[Engineering Approved Design Date]]),Table15[[#This Row],[Date Completed]]-Table15[[#This Row],[Date Assigned to Designer]],Table15[[#This Row],[Engineering Approved Design Date]]-Table15[[#This Row],[Date Completed]])</f>
        <v>3</v>
      </c>
      <c r="N881" s="642" t="s">
        <v>120</v>
      </c>
      <c r="O881" s="1060">
        <v>44995</v>
      </c>
      <c r="P881" s="21" t="s">
        <v>739</v>
      </c>
      <c r="Q881" s="340">
        <f>Table15[[#This Row],[Rate]]*Table15[[#This Row],[Construction Cost to Bill From]]</f>
        <v>30439.990999999998</v>
      </c>
      <c r="R881" s="1039">
        <v>0.1</v>
      </c>
      <c r="S881" s="538"/>
      <c r="T881" s="538"/>
      <c r="U881" s="28"/>
      <c r="V881" s="858">
        <v>1498</v>
      </c>
      <c r="W881" s="437">
        <v>0</v>
      </c>
      <c r="X881" s="538">
        <v>293021.40999999997</v>
      </c>
      <c r="Y881" s="550"/>
      <c r="Z881" s="538">
        <v>11378.5</v>
      </c>
      <c r="AA881" s="552">
        <f>Table15[[#This Row],[PCTS Investment Amount]]+Table15[[#This Row],[PCTS Retirement Amount]]</f>
        <v>304399.90999999997</v>
      </c>
      <c r="AB881" s="341">
        <v>45008</v>
      </c>
      <c r="AC881" s="568" t="s">
        <v>709</v>
      </c>
      <c r="AD881" s="1158" t="s">
        <v>29</v>
      </c>
      <c r="AE881" s="581"/>
      <c r="AF881" s="581"/>
      <c r="AG881" s="581"/>
      <c r="AH881" s="583"/>
      <c r="AI881" s="1047"/>
      <c r="AJ881" s="1048"/>
      <c r="AK881" s="1048"/>
      <c r="AL881" s="1049"/>
      <c r="AM881" s="1522" t="s">
        <v>116</v>
      </c>
      <c r="AN881" s="1523">
        <v>45154</v>
      </c>
      <c r="AO881" s="1524">
        <v>11069143</v>
      </c>
      <c r="AP881" s="1525">
        <v>298544.57</v>
      </c>
      <c r="AQ881" s="1525"/>
      <c r="AR881" s="1525">
        <v>11378.5</v>
      </c>
      <c r="AS881" s="1525">
        <v>309923.07</v>
      </c>
      <c r="AT881" s="1525">
        <v>5523.1600000000326</v>
      </c>
      <c r="AU881" s="1525">
        <v>552.31600000000333</v>
      </c>
      <c r="AV881" s="1525">
        <v>0</v>
      </c>
      <c r="AW881" s="1526" t="s">
        <v>748</v>
      </c>
      <c r="AX881" s="1525">
        <v>552.32000000000005</v>
      </c>
      <c r="AY881" s="1518">
        <v>45566</v>
      </c>
      <c r="AZ881" s="333">
        <v>79</v>
      </c>
      <c r="BA881" s="859"/>
      <c r="BB881" s="543"/>
      <c r="BC881" s="544"/>
      <c r="BD881" s="544"/>
      <c r="BE881" s="544"/>
      <c r="BF881" s="544"/>
      <c r="BG881" s="544"/>
      <c r="BH881" s="741"/>
      <c r="BI881" s="547" t="s">
        <v>709</v>
      </c>
      <c r="BJ881" s="547" t="s">
        <v>709</v>
      </c>
      <c r="BK881" s="547" t="s">
        <v>709</v>
      </c>
      <c r="BL881" s="547" t="s">
        <v>116</v>
      </c>
      <c r="BM881" s="547" t="s">
        <v>709</v>
      </c>
      <c r="BN881" s="547" t="s">
        <v>709</v>
      </c>
      <c r="BO881" s="547" t="s">
        <v>709</v>
      </c>
      <c r="BP881" s="547" t="s">
        <v>709</v>
      </c>
      <c r="BQ881" s="547" t="s">
        <v>709</v>
      </c>
      <c r="BR881" s="547">
        <v>1498</v>
      </c>
      <c r="BS881" s="547" t="s">
        <v>709</v>
      </c>
      <c r="BT881" s="547" t="s">
        <v>745</v>
      </c>
      <c r="BU881" s="547" t="s">
        <v>709</v>
      </c>
      <c r="BV881" s="547" t="s">
        <v>745</v>
      </c>
      <c r="BW881" s="547" t="s">
        <v>709</v>
      </c>
      <c r="BX881" s="547" t="s">
        <v>745</v>
      </c>
      <c r="BY881" s="547" t="s">
        <v>745</v>
      </c>
      <c r="BZ881" s="547" t="s">
        <v>709</v>
      </c>
      <c r="CA881" s="483"/>
      <c r="CB881" s="547">
        <v>879</v>
      </c>
      <c r="CC881" s="1481" t="b">
        <v>1</v>
      </c>
      <c r="CD881" t="str">
        <f>Table15[[#This Row],[Engineering Number]]&amp;Table15[[#This Row],[WO Number]]&amp;Table15[[#This Row],[Date Assigned to Designer]]&amp;Table15[[#This Row],[Date Completed]]</f>
        <v>SC2174814121524485144999</v>
      </c>
    </row>
    <row r="882" spans="1:82" customFormat="1" ht="15" customHeight="1" x14ac:dyDescent="0.25">
      <c r="A882">
        <v>2023</v>
      </c>
      <c r="B882" s="8" t="s">
        <v>759</v>
      </c>
      <c r="C882" s="8" t="s">
        <v>441</v>
      </c>
      <c r="D882" s="8" t="s">
        <v>5438</v>
      </c>
      <c r="E882" s="8" t="s">
        <v>277</v>
      </c>
      <c r="F882" s="8" t="s">
        <v>752</v>
      </c>
      <c r="G882" s="8" t="s">
        <v>34</v>
      </c>
      <c r="H882" s="8" t="s">
        <v>59</v>
      </c>
      <c r="I882" s="642">
        <v>44806</v>
      </c>
      <c r="J882" s="18">
        <v>45000</v>
      </c>
      <c r="K882" s="97">
        <v>45000</v>
      </c>
      <c r="L882" s="16">
        <f>IF(ISTEXT(Table15[[#This Row],[Engineering Approved Design Date]]),Table15[[#This Row],[Date Completed]]-Table15[[#This Row],[Date Assigned to Designer]],Table15[[#This Row],[Engineering Approved Design Date]]-Table15[[#This Row],[Date Completed]])</f>
        <v>0</v>
      </c>
      <c r="M882" s="642"/>
      <c r="N882" s="642" t="s">
        <v>120</v>
      </c>
      <c r="O882" s="1060">
        <v>44995</v>
      </c>
      <c r="P882" s="1152" t="s">
        <v>120</v>
      </c>
      <c r="Q882" s="1061">
        <f>Table15[[#This Row],['# of PV/STR/FV/TW/VLT]]*14750</f>
        <v>14750</v>
      </c>
      <c r="R882" s="1026" t="s">
        <v>5223</v>
      </c>
      <c r="S882" s="538"/>
      <c r="T882" s="538"/>
      <c r="U882" s="87"/>
      <c r="V882" s="858">
        <v>327</v>
      </c>
      <c r="W882" s="437">
        <v>1</v>
      </c>
      <c r="X882" s="570">
        <v>414878.16</v>
      </c>
      <c r="Y882" s="551"/>
      <c r="Z882" s="570">
        <v>42739.82</v>
      </c>
      <c r="AA882" s="552">
        <f>Table15[[#This Row],[PCTS Investment Amount]]+Table15[[#This Row],[PCTS Retirement Amount]]</f>
        <v>457617.98</v>
      </c>
      <c r="AB882" s="341">
        <v>45033</v>
      </c>
      <c r="AC882" s="568" t="s">
        <v>811</v>
      </c>
      <c r="AD882" s="1157" t="s">
        <v>29</v>
      </c>
      <c r="AE882" s="579"/>
      <c r="AF882" s="579"/>
      <c r="AG882" s="579"/>
      <c r="AH882" s="553"/>
      <c r="AI882" s="1036"/>
      <c r="AJ882" s="1037"/>
      <c r="AK882" s="1037"/>
      <c r="AL882" s="1038"/>
      <c r="AM882" s="542" t="s">
        <v>709</v>
      </c>
      <c r="AN882" s="924"/>
      <c r="AO882" s="925"/>
      <c r="AP882" s="926"/>
      <c r="AQ882" s="926"/>
      <c r="AR882" s="926"/>
      <c r="AS882" s="926"/>
      <c r="AT882" s="926"/>
      <c r="AU882" s="926"/>
      <c r="AV882" s="926"/>
      <c r="AW882" s="927"/>
      <c r="AX882" s="926"/>
      <c r="AY882" s="1538" t="s">
        <v>29</v>
      </c>
      <c r="AZ882" s="1530"/>
      <c r="BA882" s="1031" t="s">
        <v>5439</v>
      </c>
      <c r="BB882" s="644" t="s">
        <v>5440</v>
      </c>
      <c r="BC882" s="544" t="s">
        <v>116</v>
      </c>
      <c r="BD882" s="544" t="s">
        <v>115</v>
      </c>
      <c r="BE882" s="544" t="s">
        <v>5441</v>
      </c>
      <c r="BF882" s="544" t="s">
        <v>115</v>
      </c>
      <c r="BG882" s="544" t="s">
        <v>115</v>
      </c>
      <c r="BH882" s="741"/>
      <c r="BI882" s="547" t="s">
        <v>709</v>
      </c>
      <c r="BJ882" s="547" t="s">
        <v>709</v>
      </c>
      <c r="BK882" s="547" t="s">
        <v>116</v>
      </c>
      <c r="BL882" s="547" t="s">
        <v>116</v>
      </c>
      <c r="BM882" s="547" t="s">
        <v>709</v>
      </c>
      <c r="BN882" s="547" t="s">
        <v>709</v>
      </c>
      <c r="BO882" s="547" t="s">
        <v>709</v>
      </c>
      <c r="BP882" s="547" t="s">
        <v>709</v>
      </c>
      <c r="BQ882" s="547">
        <v>108</v>
      </c>
      <c r="BR882" s="547">
        <v>79</v>
      </c>
      <c r="BS882" s="547">
        <v>50</v>
      </c>
      <c r="BT882" s="547">
        <v>1</v>
      </c>
      <c r="BU882" s="547" t="s">
        <v>709</v>
      </c>
      <c r="BV882" s="547" t="s">
        <v>709</v>
      </c>
      <c r="BW882" s="547" t="s">
        <v>709</v>
      </c>
      <c r="BX882" s="547">
        <v>1</v>
      </c>
      <c r="BY882" s="547" t="s">
        <v>709</v>
      </c>
      <c r="BZ882" s="547" t="s">
        <v>709</v>
      </c>
      <c r="CA882" s="483" t="s">
        <v>1022</v>
      </c>
      <c r="CB882" s="547">
        <v>880</v>
      </c>
      <c r="CC882" s="1481" t="b">
        <v>1</v>
      </c>
      <c r="CD882" t="str">
        <f>Table15[[#This Row],[Engineering Number]]&amp;Table15[[#This Row],[WO Number]]&amp;Table15[[#This Row],[Date Assigned to Designer]]&amp;Table15[[#This Row],[Date Completed]]</f>
        <v>RS107910118034480645000</v>
      </c>
    </row>
    <row r="883" spans="1:82" customFormat="1" ht="15" customHeight="1" x14ac:dyDescent="0.25">
      <c r="A883">
        <v>2023</v>
      </c>
      <c r="B883" s="13" t="s">
        <v>759</v>
      </c>
      <c r="C883" s="13" t="s">
        <v>1412</v>
      </c>
      <c r="D883" s="13">
        <v>1011916</v>
      </c>
      <c r="E883" s="13" t="s">
        <v>361</v>
      </c>
      <c r="F883" s="452" t="s">
        <v>752</v>
      </c>
      <c r="G883" s="13" t="s">
        <v>34</v>
      </c>
      <c r="H883" s="13" t="s">
        <v>59</v>
      </c>
      <c r="I883" s="642">
        <v>44837</v>
      </c>
      <c r="J883" s="18">
        <v>45000</v>
      </c>
      <c r="K883" s="642">
        <v>45000</v>
      </c>
      <c r="L883" s="649">
        <f>IF(ISTEXT(Table15[[#This Row],[Engineering Approved Design Date]]),Table15[[#This Row],[Date Completed]]-Table15[[#This Row],[Date Assigned to Designer]],Table15[[#This Row],[Engineering Approved Design Date]]-Table15[[#This Row],[Date Completed]])</f>
        <v>0</v>
      </c>
      <c r="N883" s="642" t="s">
        <v>120</v>
      </c>
      <c r="O883" s="1060">
        <v>45017</v>
      </c>
      <c r="P883" s="21" t="s">
        <v>120</v>
      </c>
      <c r="Q883" s="340">
        <f>Table15[[#This Row],[Rate]]*Table15[[#This Row],[Construction Cost to Bill From]]</f>
        <v>116426.8501</v>
      </c>
      <c r="R883" s="1039">
        <v>0.11</v>
      </c>
      <c r="S883" s="538"/>
      <c r="T883" s="538"/>
      <c r="U883" s="28"/>
      <c r="V883" s="1190">
        <v>1904</v>
      </c>
      <c r="W883" s="442">
        <v>1</v>
      </c>
      <c r="X883" s="552">
        <v>972576.23</v>
      </c>
      <c r="Y883" s="550"/>
      <c r="Z883" s="552">
        <v>85849.68</v>
      </c>
      <c r="AA883" s="552">
        <f>Table15[[#This Row],[PCTS Investment Amount]]+Table15[[#This Row],[PCTS Retirement Amount]]</f>
        <v>1058425.9099999999</v>
      </c>
      <c r="AB883" s="476">
        <v>45029</v>
      </c>
      <c r="AC883" s="576" t="s">
        <v>1177</v>
      </c>
      <c r="AD883" s="1158" t="s">
        <v>29</v>
      </c>
      <c r="AE883" s="581"/>
      <c r="AF883" s="581"/>
      <c r="AG883" s="581"/>
      <c r="AH883" s="583"/>
      <c r="AI883" s="1047"/>
      <c r="AJ883" s="1048"/>
      <c r="AK883" s="1048"/>
      <c r="AL883" s="1049"/>
      <c r="AM883" s="536" t="s">
        <v>116</v>
      </c>
      <c r="AN883" s="903" t="s">
        <v>709</v>
      </c>
      <c r="AO883" s="1536" t="s">
        <v>115</v>
      </c>
      <c r="AP883" s="1537"/>
      <c r="AQ883" s="1537"/>
      <c r="AR883" s="1537"/>
      <c r="AS883" s="888">
        <f>IF(Table15[[#This Row],[PCTS Approved]]="N",0,Table15[[#This Row],[Investment Amount (1'#'#'#'#'#)]]+Table15[[#This Row],[Retirement Amount (3'#'#'#'#'#)]])</f>
        <v>0</v>
      </c>
      <c r="AT883" s="888">
        <f>IF(Table15[[#This Row],[Approved Construction Cost]]=0,0,Table15[[#This Row],[Approved Construction Cost]]-Table15[[#This Row],[Construction Cost to Bill From]])</f>
        <v>0</v>
      </c>
      <c r="AU883" s="888">
        <f>IFERROR(Table15[[#This Row],[Difference in Construction Cost]]*Table15[[#This Row],[Rate]],Table15[[#This Row],[Difference in Construction Cost]]*0.085)</f>
        <v>0</v>
      </c>
      <c r="AV883" s="905"/>
      <c r="AW883" s="1509"/>
      <c r="AX883" s="888"/>
      <c r="AY883" s="636" t="s">
        <v>709</v>
      </c>
      <c r="AZ883" s="333">
        <v>150</v>
      </c>
      <c r="BA883" s="859" t="s">
        <v>1413</v>
      </c>
      <c r="BB883" s="543" t="s">
        <v>1414</v>
      </c>
      <c r="BC883" s="544" t="s">
        <v>116</v>
      </c>
      <c r="BD883" s="544" t="s">
        <v>115</v>
      </c>
      <c r="BE883" s="544" t="s">
        <v>1415</v>
      </c>
      <c r="BF883" s="544" t="s">
        <v>115</v>
      </c>
      <c r="BG883" s="544" t="s">
        <v>115</v>
      </c>
      <c r="BH883" s="741"/>
      <c r="BI883" s="547" t="s">
        <v>709</v>
      </c>
      <c r="BJ883" s="547" t="s">
        <v>709</v>
      </c>
      <c r="BK883" s="547" t="s">
        <v>116</v>
      </c>
      <c r="BL883" s="547" t="s">
        <v>116</v>
      </c>
      <c r="BM883" s="547" t="s">
        <v>709</v>
      </c>
      <c r="BN883" s="547" t="s">
        <v>709</v>
      </c>
      <c r="BO883" s="547" t="s">
        <v>709</v>
      </c>
      <c r="BP883" s="547" t="s">
        <v>709</v>
      </c>
      <c r="BQ883" s="547">
        <v>1631</v>
      </c>
      <c r="BR883" s="547">
        <v>133</v>
      </c>
      <c r="BS883" s="547">
        <v>50</v>
      </c>
      <c r="BT883" s="547">
        <v>1</v>
      </c>
      <c r="BU883" s="547" t="s">
        <v>709</v>
      </c>
      <c r="BV883" s="547" t="s">
        <v>745</v>
      </c>
      <c r="BW883" s="547">
        <v>1</v>
      </c>
      <c r="BX883" s="547" t="s">
        <v>709</v>
      </c>
      <c r="BY883" s="547" t="s">
        <v>745</v>
      </c>
      <c r="BZ883" s="547" t="s">
        <v>709</v>
      </c>
      <c r="CA883" s="483"/>
      <c r="CB883" s="547">
        <v>881</v>
      </c>
      <c r="CC883" s="1481" t="b">
        <v>1</v>
      </c>
      <c r="CD883" t="str">
        <f>Table15[[#This Row],[Engineering Number]]&amp;Table15[[#This Row],[WO Number]]&amp;Table15[[#This Row],[Date Assigned to Designer]]&amp;Table15[[#This Row],[Date Completed]]</f>
        <v>RS94410119164483745000</v>
      </c>
    </row>
    <row r="884" spans="1:82" customFormat="1" ht="15" customHeight="1" x14ac:dyDescent="0.25">
      <c r="A884">
        <v>2023</v>
      </c>
      <c r="B884" s="8" t="s">
        <v>771</v>
      </c>
      <c r="C884" s="8" t="s">
        <v>353</v>
      </c>
      <c r="D884" s="8" t="s">
        <v>1416</v>
      </c>
      <c r="E884" s="8" t="s">
        <v>354</v>
      </c>
      <c r="F884" s="8" t="s">
        <v>784</v>
      </c>
      <c r="G884" s="8" t="s">
        <v>25</v>
      </c>
      <c r="H884" s="13" t="s">
        <v>59</v>
      </c>
      <c r="I884" s="642">
        <v>44875</v>
      </c>
      <c r="J884" s="18">
        <v>45002</v>
      </c>
      <c r="K884" s="97">
        <v>45001</v>
      </c>
      <c r="L884" s="16">
        <f>IF(ISTEXT(Table15[[#This Row],[Engineering Approved Design Date]]),Table15[[#This Row],[Date Completed]]-Table15[[#This Row],[Date Assigned to Designer]],Table15[[#This Row],[Engineering Approved Design Date]]-Table15[[#This Row],[Date Completed]])</f>
        <v>1</v>
      </c>
      <c r="M884" s="642"/>
      <c r="N884" s="642" t="s">
        <v>120</v>
      </c>
      <c r="O884" s="1060">
        <v>44995</v>
      </c>
      <c r="P884" s="1152" t="s">
        <v>120</v>
      </c>
      <c r="Q884" s="340">
        <f>Table15[[#This Row],[Rate]]*Table15[[#This Row],[Construction Cost to Bill From]]</f>
        <v>153674.31689999998</v>
      </c>
      <c r="R884" s="1026">
        <v>0.09</v>
      </c>
      <c r="S884" s="538"/>
      <c r="T884" s="538"/>
      <c r="U884" s="87"/>
      <c r="V884" s="858">
        <v>2383</v>
      </c>
      <c r="W884" s="437">
        <v>0</v>
      </c>
      <c r="X884" s="552">
        <v>1636616.73</v>
      </c>
      <c r="Y884" s="551"/>
      <c r="Z884" s="552">
        <v>70875.679999999993</v>
      </c>
      <c r="AA884" s="552">
        <f>Table15[[#This Row],[PCTS Investment Amount]]+Table15[[#This Row],[PCTS Retirement Amount]]</f>
        <v>1707492.41</v>
      </c>
      <c r="AB884" s="341">
        <v>45006</v>
      </c>
      <c r="AC884" s="568" t="s">
        <v>116</v>
      </c>
      <c r="AD884" s="1157" t="s">
        <v>29</v>
      </c>
      <c r="AE884" s="568"/>
      <c r="AF884" s="568"/>
      <c r="AG884" s="568"/>
      <c r="AH884" s="183"/>
      <c r="AI884" s="1036"/>
      <c r="AJ884" s="1037"/>
      <c r="AK884" s="1037"/>
      <c r="AL884" s="1038"/>
      <c r="AM884" s="536" t="s">
        <v>116</v>
      </c>
      <c r="AN884" s="903" t="s">
        <v>709</v>
      </c>
      <c r="AO884" s="1536" t="s">
        <v>115</v>
      </c>
      <c r="AP884" s="1537"/>
      <c r="AQ884" s="1537"/>
      <c r="AR884" s="1537"/>
      <c r="AS884" s="888">
        <f>IF(Table15[[#This Row],[PCTS Approved]]="N",0,Table15[[#This Row],[Investment Amount (1'#'#'#'#'#)]]+Table15[[#This Row],[Retirement Amount (3'#'#'#'#'#)]])</f>
        <v>0</v>
      </c>
      <c r="AT884" s="888">
        <f>IF(Table15[[#This Row],[Approved Construction Cost]]=0,0,Table15[[#This Row],[Approved Construction Cost]]-Table15[[#This Row],[Construction Cost to Bill From]])</f>
        <v>0</v>
      </c>
      <c r="AU884" s="888">
        <f>IFERROR(Table15[[#This Row],[Difference in Construction Cost]]*Table15[[#This Row],[Rate]],Table15[[#This Row],[Difference in Construction Cost]]*0.085)</f>
        <v>0</v>
      </c>
      <c r="AV884" s="905"/>
      <c r="AW884" s="1509"/>
      <c r="AX884" s="888"/>
      <c r="AY884" s="636" t="s">
        <v>709</v>
      </c>
      <c r="AZ884" s="333">
        <v>36</v>
      </c>
      <c r="BA884" s="859" t="s">
        <v>1417</v>
      </c>
      <c r="BB884" s="644" t="s">
        <v>1418</v>
      </c>
      <c r="BC884" s="544" t="s">
        <v>116</v>
      </c>
      <c r="BD884" s="544" t="s">
        <v>115</v>
      </c>
      <c r="BE884" s="544" t="s">
        <v>588</v>
      </c>
      <c r="BF884" s="544" t="s">
        <v>115</v>
      </c>
      <c r="BG884" s="544" t="s">
        <v>1419</v>
      </c>
      <c r="BH884" s="741"/>
      <c r="BI884" s="547" t="s">
        <v>709</v>
      </c>
      <c r="BJ884" s="547" t="s">
        <v>709</v>
      </c>
      <c r="BK884" s="547" t="s">
        <v>116</v>
      </c>
      <c r="BL884" s="547" t="s">
        <v>709</v>
      </c>
      <c r="BM884" s="547" t="s">
        <v>709</v>
      </c>
      <c r="BN884" s="547">
        <v>1616</v>
      </c>
      <c r="BO884" s="547" t="s">
        <v>709</v>
      </c>
      <c r="BP884" s="547">
        <v>285</v>
      </c>
      <c r="BQ884" s="547">
        <v>482</v>
      </c>
      <c r="BR884" s="547" t="s">
        <v>709</v>
      </c>
      <c r="BS884" s="547" t="s">
        <v>709</v>
      </c>
      <c r="BT884" s="547" t="s">
        <v>745</v>
      </c>
      <c r="BU884" s="547" t="s">
        <v>709</v>
      </c>
      <c r="BV884" s="547" t="s">
        <v>745</v>
      </c>
      <c r="BW884" s="547" t="s">
        <v>709</v>
      </c>
      <c r="BX884" s="547" t="s">
        <v>745</v>
      </c>
      <c r="BY884" s="547" t="s">
        <v>745</v>
      </c>
      <c r="BZ884" s="547" t="s">
        <v>709</v>
      </c>
      <c r="CA884" s="483"/>
      <c r="CB884" s="547">
        <v>882</v>
      </c>
      <c r="CC884" s="1481" t="b">
        <v>1</v>
      </c>
      <c r="CD884" t="str">
        <f>Table15[[#This Row],[Engineering Number]]&amp;Table15[[#This Row],[WO Number]]&amp;Table15[[#This Row],[Date Assigned to Designer]]&amp;Table15[[#This Row],[Date Completed]]</f>
        <v>BS38812120444487545001</v>
      </c>
    </row>
    <row r="885" spans="1:82" customFormat="1" ht="15" customHeight="1" x14ac:dyDescent="0.25">
      <c r="A885">
        <v>2023</v>
      </c>
      <c r="B885" s="8" t="s">
        <v>4</v>
      </c>
      <c r="C885" s="8" t="s">
        <v>1420</v>
      </c>
      <c r="D885" s="8" t="s">
        <v>1421</v>
      </c>
      <c r="E885" s="8" t="s">
        <v>1422</v>
      </c>
      <c r="F885" s="8" t="s">
        <v>784</v>
      </c>
      <c r="G885" s="8" t="s">
        <v>25</v>
      </c>
      <c r="H885" s="13" t="s">
        <v>59</v>
      </c>
      <c r="I885" s="642">
        <v>44907</v>
      </c>
      <c r="J885" s="18">
        <v>45016</v>
      </c>
      <c r="K885" s="97">
        <v>45002</v>
      </c>
      <c r="L885" s="16">
        <f>IF(ISTEXT(Table15[[#This Row],[Engineering Approved Design Date]]),Table15[[#This Row],[Date Completed]]-Table15[[#This Row],[Date Assigned to Designer]],Table15[[#This Row],[Engineering Approved Design Date]]-Table15[[#This Row],[Date Completed]])</f>
        <v>14</v>
      </c>
      <c r="M885" s="642"/>
      <c r="N885" s="642" t="s">
        <v>120</v>
      </c>
      <c r="O885" s="1060">
        <v>45017</v>
      </c>
      <c r="P885" s="1152" t="s">
        <v>739</v>
      </c>
      <c r="Q885" s="340">
        <f>Table15[[#This Row],[Rate]]*Table15[[#This Row],[Construction Cost to Bill From]]</f>
        <v>10427.678</v>
      </c>
      <c r="R885" s="1026">
        <v>0.1</v>
      </c>
      <c r="S885" s="538"/>
      <c r="T885" s="538"/>
      <c r="U885" s="87"/>
      <c r="V885" s="858">
        <v>131</v>
      </c>
      <c r="W885" s="437">
        <v>0</v>
      </c>
      <c r="X885" s="552">
        <v>95628.03</v>
      </c>
      <c r="Y885" s="551"/>
      <c r="Z885" s="552">
        <v>8648.75</v>
      </c>
      <c r="AA885" s="552">
        <f>Table15[[#This Row],[PCTS Investment Amount]]+Table15[[#This Row],[PCTS Retirement Amount]]</f>
        <v>104276.78</v>
      </c>
      <c r="AB885" s="341" t="s">
        <v>709</v>
      </c>
      <c r="AC885" s="568" t="s">
        <v>709</v>
      </c>
      <c r="AD885" s="1157" t="s">
        <v>29</v>
      </c>
      <c r="AE885" s="579"/>
      <c r="AF885" s="579"/>
      <c r="AG885" s="569"/>
      <c r="AH885" s="553"/>
      <c r="AI885" s="1036"/>
      <c r="AJ885" s="1037"/>
      <c r="AK885" s="1037"/>
      <c r="AL885" s="1038"/>
      <c r="AM885" s="536" t="s">
        <v>116</v>
      </c>
      <c r="AN885" s="903" t="s">
        <v>709</v>
      </c>
      <c r="AO885" s="1536" t="s">
        <v>115</v>
      </c>
      <c r="AP885" s="1537"/>
      <c r="AQ885" s="1537"/>
      <c r="AR885" s="1537"/>
      <c r="AS885" s="888">
        <f>IF(Table15[[#This Row],[PCTS Approved]]="N",0,Table15[[#This Row],[Investment Amount (1'#'#'#'#'#)]]+Table15[[#This Row],[Retirement Amount (3'#'#'#'#'#)]])</f>
        <v>0</v>
      </c>
      <c r="AT885" s="888">
        <f>IF(Table15[[#This Row],[Approved Construction Cost]]=0,0,Table15[[#This Row],[Approved Construction Cost]]-Table15[[#This Row],[Construction Cost to Bill From]])</f>
        <v>0</v>
      </c>
      <c r="AU885" s="888">
        <f>IFERROR(Table15[[#This Row],[Difference in Construction Cost]]*Table15[[#This Row],[Rate]],Table15[[#This Row],[Difference in Construction Cost]]*0.085)</f>
        <v>0</v>
      </c>
      <c r="AV885" s="905"/>
      <c r="AW885" s="1509"/>
      <c r="AX885" s="888"/>
      <c r="AY885" s="636" t="s">
        <v>709</v>
      </c>
      <c r="AZ885" s="333">
        <v>80</v>
      </c>
      <c r="BA885" s="859" t="s">
        <v>1423</v>
      </c>
      <c r="BB885" s="644" t="s">
        <v>1424</v>
      </c>
      <c r="BC885" s="544" t="s">
        <v>116</v>
      </c>
      <c r="BD885" s="544" t="s">
        <v>115</v>
      </c>
      <c r="BE885" s="544" t="s">
        <v>1425</v>
      </c>
      <c r="BF885" s="544" t="s">
        <v>115</v>
      </c>
      <c r="BG885" s="544" t="s">
        <v>115</v>
      </c>
      <c r="BH885" s="741"/>
      <c r="BI885" s="547" t="s">
        <v>709</v>
      </c>
      <c r="BJ885" s="547" t="s">
        <v>709</v>
      </c>
      <c r="BK885" s="547" t="s">
        <v>709</v>
      </c>
      <c r="BL885" s="547" t="s">
        <v>116</v>
      </c>
      <c r="BM885" s="547" t="s">
        <v>709</v>
      </c>
      <c r="BN885" s="547" t="s">
        <v>709</v>
      </c>
      <c r="BO885" s="547" t="s">
        <v>709</v>
      </c>
      <c r="BP885" s="547" t="s">
        <v>709</v>
      </c>
      <c r="BQ885" s="547" t="s">
        <v>709</v>
      </c>
      <c r="BR885" s="547" t="s">
        <v>709</v>
      </c>
      <c r="BS885" s="547">
        <v>131</v>
      </c>
      <c r="BT885" s="547" t="s">
        <v>745</v>
      </c>
      <c r="BU885" s="547" t="s">
        <v>709</v>
      </c>
      <c r="BV885" s="547" t="s">
        <v>745</v>
      </c>
      <c r="BW885" s="547" t="s">
        <v>709</v>
      </c>
      <c r="BX885" s="547" t="s">
        <v>745</v>
      </c>
      <c r="BY885" s="547" t="s">
        <v>745</v>
      </c>
      <c r="BZ885" s="547" t="s">
        <v>709</v>
      </c>
      <c r="CA885" s="483"/>
      <c r="CB885" s="547">
        <v>884</v>
      </c>
      <c r="CC885" s="1481" t="b">
        <v>1</v>
      </c>
      <c r="CD885" t="str">
        <f>Table15[[#This Row],[Engineering Number]]&amp;Table15[[#This Row],[WO Number]]&amp;Table15[[#This Row],[Date Assigned to Designer]]&amp;Table15[[#This Row],[Date Completed]]</f>
        <v>M14134 12123264490745002</v>
      </c>
    </row>
    <row r="886" spans="1:82" customFormat="1" ht="15" customHeight="1" x14ac:dyDescent="0.25">
      <c r="A886">
        <v>2022</v>
      </c>
      <c r="B886" s="8" t="s">
        <v>730</v>
      </c>
      <c r="C886" s="8" t="s">
        <v>451</v>
      </c>
      <c r="D886" s="8" t="s">
        <v>4637</v>
      </c>
      <c r="E886" s="8" t="s">
        <v>5445</v>
      </c>
      <c r="F886" s="8" t="s">
        <v>752</v>
      </c>
      <c r="G886" s="8" t="s">
        <v>34</v>
      </c>
      <c r="H886" s="8" t="s">
        <v>59</v>
      </c>
      <c r="I886" s="642">
        <v>44874</v>
      </c>
      <c r="J886" s="18">
        <v>45002</v>
      </c>
      <c r="K886" s="97">
        <v>45002</v>
      </c>
      <c r="L886" s="16">
        <f>IF(ISTEXT(Table15[[#This Row],[Engineering Approved Design Date]]),Table15[[#This Row],[Date Completed]]-Table15[[#This Row],[Date Assigned to Designer]],Table15[[#This Row],[Engineering Approved Design Date]]-Table15[[#This Row],[Date Completed]])</f>
        <v>0</v>
      </c>
      <c r="M886" s="642"/>
      <c r="N886" s="642" t="s">
        <v>120</v>
      </c>
      <c r="O886" s="1060">
        <f>Table15[[#This Row],[Date Completed]]</f>
        <v>45002</v>
      </c>
      <c r="P886" s="1152" t="s">
        <v>120</v>
      </c>
      <c r="Q886" s="1061">
        <v>12750</v>
      </c>
      <c r="R886" s="1026" t="s">
        <v>5194</v>
      </c>
      <c r="S886" s="538"/>
      <c r="T886" s="538"/>
      <c r="U886" s="87"/>
      <c r="V886" s="858">
        <v>383</v>
      </c>
      <c r="W886" s="437">
        <v>1</v>
      </c>
      <c r="X886" s="570">
        <v>311266.88</v>
      </c>
      <c r="Y886" s="551"/>
      <c r="Z886" s="570">
        <v>58156.81</v>
      </c>
      <c r="AA886" s="552">
        <f>Table15[[#This Row],[PCTS Investment Amount]]+Table15[[#This Row],[PCTS Retirement Amount]]</f>
        <v>369423.69</v>
      </c>
      <c r="AB886" s="341">
        <v>45013</v>
      </c>
      <c r="AC886" s="568" t="s">
        <v>1056</v>
      </c>
      <c r="AD886" s="1157" t="s">
        <v>29</v>
      </c>
      <c r="AE886" s="579"/>
      <c r="AF886" s="579"/>
      <c r="AG886" s="579"/>
      <c r="AH886" s="553"/>
      <c r="AI886" s="1036"/>
      <c r="AJ886" s="1037"/>
      <c r="AK886" s="1037"/>
      <c r="AL886" s="1038"/>
      <c r="AM886" s="542" t="s">
        <v>709</v>
      </c>
      <c r="AN886" s="924"/>
      <c r="AO886" s="925"/>
      <c r="AP886" s="926"/>
      <c r="AQ886" s="926"/>
      <c r="AR886" s="926"/>
      <c r="AS886" s="926"/>
      <c r="AT886" s="926"/>
      <c r="AU886" s="926"/>
      <c r="AV886" s="926"/>
      <c r="AW886" s="927"/>
      <c r="AX886" s="926"/>
      <c r="AY886" s="1538" t="s">
        <v>29</v>
      </c>
      <c r="AZ886" s="1530"/>
      <c r="BA886" s="1031" t="s">
        <v>5446</v>
      </c>
      <c r="BB886" s="644" t="s">
        <v>5447</v>
      </c>
      <c r="BC886" s="544" t="s">
        <v>115</v>
      </c>
      <c r="BD886" s="544" t="s">
        <v>1328</v>
      </c>
      <c r="BE886" s="544" t="s">
        <v>115</v>
      </c>
      <c r="BF886" s="544" t="s">
        <v>115</v>
      </c>
      <c r="BG886" s="544" t="s">
        <v>115</v>
      </c>
      <c r="BH886" s="741"/>
      <c r="BI886" s="547" t="s">
        <v>709</v>
      </c>
      <c r="BJ886" s="547" t="s">
        <v>116</v>
      </c>
      <c r="BK886" s="547" t="s">
        <v>116</v>
      </c>
      <c r="BL886" s="547" t="s">
        <v>709</v>
      </c>
      <c r="BM886" s="547" t="s">
        <v>709</v>
      </c>
      <c r="BN886" s="547" t="s">
        <v>709</v>
      </c>
      <c r="BO886" s="547" t="s">
        <v>709</v>
      </c>
      <c r="BP886" s="547" t="s">
        <v>709</v>
      </c>
      <c r="BQ886" s="547" t="s">
        <v>709</v>
      </c>
      <c r="BR886" s="547">
        <v>145</v>
      </c>
      <c r="BS886" s="547">
        <v>238</v>
      </c>
      <c r="BT886" s="547" t="s">
        <v>745</v>
      </c>
      <c r="BU886" s="547">
        <v>1</v>
      </c>
      <c r="BV886" s="547" t="s">
        <v>745</v>
      </c>
      <c r="BW886" s="547" t="s">
        <v>709</v>
      </c>
      <c r="BX886" s="547">
        <v>1</v>
      </c>
      <c r="BY886" s="547" t="s">
        <v>745</v>
      </c>
      <c r="BZ886" s="547" t="s">
        <v>709</v>
      </c>
      <c r="CA886" s="483"/>
      <c r="CB886" s="547">
        <v>883</v>
      </c>
      <c r="CC886" s="1481" t="b">
        <v>1</v>
      </c>
      <c r="CD886" t="str">
        <f>Table15[[#This Row],[Engineering Number]]&amp;Table15[[#This Row],[WO Number]]&amp;Table15[[#This Row],[Date Assigned to Designer]]&amp;Table15[[#This Row],[Date Completed]]</f>
        <v>RS10311021694487445002</v>
      </c>
    </row>
    <row r="887" spans="1:82" customFormat="1" ht="15" customHeight="1" x14ac:dyDescent="0.25">
      <c r="A887">
        <v>2023</v>
      </c>
      <c r="B887" s="8" t="s">
        <v>4</v>
      </c>
      <c r="C887" s="8" t="s">
        <v>5450</v>
      </c>
      <c r="D887" s="8" t="s">
        <v>115</v>
      </c>
      <c r="E887" s="8" t="s">
        <v>1159</v>
      </c>
      <c r="F887" s="8" t="s">
        <v>747</v>
      </c>
      <c r="G887" s="8" t="s">
        <v>33</v>
      </c>
      <c r="H887" s="647" t="s">
        <v>1681</v>
      </c>
      <c r="I887" s="642">
        <v>44946</v>
      </c>
      <c r="J887" s="18">
        <v>45023</v>
      </c>
      <c r="K887" s="18">
        <v>45005</v>
      </c>
      <c r="L887" s="16">
        <f>IF(ISTEXT(Table15[[#This Row],[Engineering Approved Design Date]]),Table15[[#This Row],[Date Completed]]-Table15[[#This Row],[Date Assigned to Designer]],Table15[[#This Row],[Engineering Approved Design Date]]-Table15[[#This Row],[Date Completed]])</f>
        <v>18</v>
      </c>
      <c r="M887" s="642"/>
      <c r="N887" s="642" t="s">
        <v>120</v>
      </c>
      <c r="O887" s="1060">
        <f>Table15[[#This Row],[Date Completed]]</f>
        <v>45005</v>
      </c>
      <c r="P887" s="1152" t="s">
        <v>739</v>
      </c>
      <c r="Q887" s="87" t="s">
        <v>115</v>
      </c>
      <c r="R887" s="1026" t="s">
        <v>115</v>
      </c>
      <c r="S887" s="538"/>
      <c r="T887" s="538"/>
      <c r="U887" s="87"/>
      <c r="V887" s="857"/>
      <c r="W887" s="440"/>
      <c r="X887" s="550"/>
      <c r="Y887" s="550"/>
      <c r="Z887" s="550"/>
      <c r="AA887" s="552"/>
      <c r="AB887" s="341" t="s">
        <v>29</v>
      </c>
      <c r="AC887" s="568" t="s">
        <v>709</v>
      </c>
      <c r="AD887" s="1157" t="s">
        <v>29</v>
      </c>
      <c r="AE887" s="579"/>
      <c r="AF887" s="579"/>
      <c r="AG887" s="579"/>
      <c r="AH887" s="553"/>
      <c r="AI887" s="1036"/>
      <c r="AJ887" s="1037"/>
      <c r="AK887" s="1037"/>
      <c r="AL887" s="1038"/>
      <c r="AM887" s="542" t="s">
        <v>709</v>
      </c>
      <c r="AN887" s="924"/>
      <c r="AO887" s="925"/>
      <c r="AP887" s="926"/>
      <c r="AQ887" s="926"/>
      <c r="AR887" s="926"/>
      <c r="AS887" s="926"/>
      <c r="AT887" s="926"/>
      <c r="AU887" s="926"/>
      <c r="AV887" s="926"/>
      <c r="AW887" s="927"/>
      <c r="AX887" s="926"/>
      <c r="AY887" s="1538" t="s">
        <v>29</v>
      </c>
      <c r="AZ887" s="1530"/>
      <c r="BA887" s="1031" t="s">
        <v>5451</v>
      </c>
      <c r="BB887" s="644" t="s">
        <v>5452</v>
      </c>
      <c r="BC887" s="544" t="s">
        <v>709</v>
      </c>
      <c r="BD887" s="544" t="s">
        <v>709</v>
      </c>
      <c r="BE887" s="544" t="s">
        <v>1210</v>
      </c>
      <c r="BF887" s="544" t="s">
        <v>709</v>
      </c>
      <c r="BG887" s="544" t="s">
        <v>709</v>
      </c>
      <c r="BH887" s="741"/>
      <c r="BI887" s="1032"/>
      <c r="BJ887" s="1032"/>
      <c r="BK887" s="1032"/>
      <c r="BL887" s="1032"/>
      <c r="BM887" s="1032"/>
      <c r="BN887" s="1032"/>
      <c r="BO887" s="1032"/>
      <c r="BP887" s="1032"/>
      <c r="BQ887" s="1032"/>
      <c r="BR887" s="1032"/>
      <c r="BS887" s="1032"/>
      <c r="BT887" s="1032"/>
      <c r="BU887" s="1032"/>
      <c r="BV887" s="1032"/>
      <c r="BW887" s="1032"/>
      <c r="BX887" s="1032"/>
      <c r="BY887" s="1032"/>
      <c r="BZ887" s="1032"/>
      <c r="CA887" s="485"/>
      <c r="CB887" s="547">
        <v>885</v>
      </c>
      <c r="CC887" s="1481" t="b">
        <v>1</v>
      </c>
      <c r="CD887" t="str">
        <f>Table15[[#This Row],[Engineering Number]]&amp;Table15[[#This Row],[WO Number]]&amp;Table15[[#This Row],[Date Assigned to Designer]]&amp;Table15[[#This Row],[Date Completed]]</f>
        <v>SC21980-4494645005</v>
      </c>
    </row>
    <row r="888" spans="1:82" customFormat="1" ht="15" customHeight="1" x14ac:dyDescent="0.25">
      <c r="A888">
        <v>2023</v>
      </c>
      <c r="B888" s="8" t="s">
        <v>730</v>
      </c>
      <c r="C888" s="8" t="s">
        <v>1426</v>
      </c>
      <c r="D888" s="8" t="s">
        <v>1427</v>
      </c>
      <c r="E888" s="8" t="s">
        <v>1428</v>
      </c>
      <c r="F888" s="8" t="s">
        <v>752</v>
      </c>
      <c r="G888" s="8" t="s">
        <v>24</v>
      </c>
      <c r="H888" s="8" t="s">
        <v>59</v>
      </c>
      <c r="I888" s="642">
        <v>44888</v>
      </c>
      <c r="J888" s="18">
        <v>45009</v>
      </c>
      <c r="K888" s="97">
        <v>45005</v>
      </c>
      <c r="L888" s="16">
        <f>IF(ISTEXT(Table15[[#This Row],[Engineering Approved Design Date]]),Table15[[#This Row],[Date Completed]]-Table15[[#This Row],[Date Assigned to Designer]],Table15[[#This Row],[Engineering Approved Design Date]]-Table15[[#This Row],[Date Completed]])</f>
        <v>4</v>
      </c>
      <c r="M888" s="642"/>
      <c r="N888" s="642" t="s">
        <v>120</v>
      </c>
      <c r="O888" s="1060">
        <v>45017</v>
      </c>
      <c r="P888" s="1152" t="s">
        <v>120</v>
      </c>
      <c r="Q888" s="340">
        <f>Table15[[#This Row],[Rate]]*Table15[[#This Row],[Construction Cost to Bill From]]</f>
        <v>46794.15</v>
      </c>
      <c r="R888" s="1026">
        <v>0.09</v>
      </c>
      <c r="S888" s="538"/>
      <c r="T888" s="538"/>
      <c r="U888" s="87"/>
      <c r="V888" s="858">
        <v>3077</v>
      </c>
      <c r="W888" s="437">
        <v>2</v>
      </c>
      <c r="X888" s="538">
        <v>452148.43</v>
      </c>
      <c r="Y888" s="551"/>
      <c r="Z888" s="552">
        <v>67786.570000000007</v>
      </c>
      <c r="AA888" s="552">
        <f>Table15[[#This Row],[PCTS Investment Amount]]+Table15[[#This Row],[PCTS Retirement Amount]]</f>
        <v>519935</v>
      </c>
      <c r="AB888" s="341" t="s">
        <v>709</v>
      </c>
      <c r="AC888" s="568" t="s">
        <v>709</v>
      </c>
      <c r="AD888" s="1157" t="s">
        <v>29</v>
      </c>
      <c r="AE888" s="579"/>
      <c r="AF888" s="579"/>
      <c r="AG888" s="579"/>
      <c r="AH888" s="553"/>
      <c r="AI888" s="1036"/>
      <c r="AJ888" s="1037"/>
      <c r="AK888" s="1037"/>
      <c r="AL888" s="1038"/>
      <c r="AM888" s="1522" t="s">
        <v>116</v>
      </c>
      <c r="AN888" s="1523">
        <v>45566</v>
      </c>
      <c r="AO888" s="1524">
        <v>11056677</v>
      </c>
      <c r="AP888" s="1525">
        <v>492625.96</v>
      </c>
      <c r="AQ888" s="1525"/>
      <c r="AR888" s="1525">
        <v>70857.600000000006</v>
      </c>
      <c r="AS888" s="1525">
        <f>IF(Table15[[#This Row],[PCTS Approved]]="N",0,Table15[[#This Row],[Investment Amount (1'#'#'#'#'#)]]+Table15[[#This Row],[Retirement Amount (3'#'#'#'#'#)]])</f>
        <v>563483.56000000006</v>
      </c>
      <c r="AT888" s="1525">
        <f>IF(Table15[[#This Row],[Approved Construction Cost]]=0,0,Table15[[#This Row],[Approved Construction Cost]]-Table15[[#This Row],[Construction Cost to Bill From]])</f>
        <v>43548.560000000056</v>
      </c>
      <c r="AU888" s="1525">
        <f>IFERROR(Table15[[#This Row],[Difference in Construction Cost]]*Table15[[#This Row],[Rate]],Table15[[#This Row],[Difference in Construction Cost]]*0.085)</f>
        <v>3919.3704000000048</v>
      </c>
      <c r="AV888" s="1525">
        <v>6685</v>
      </c>
      <c r="AW888" s="1526" t="s">
        <v>5454</v>
      </c>
      <c r="AX888" s="1525">
        <v>0</v>
      </c>
      <c r="AY888" s="1518">
        <v>45901</v>
      </c>
      <c r="AZ888" s="333">
        <v>37</v>
      </c>
      <c r="BA888" s="859" t="s">
        <v>1429</v>
      </c>
      <c r="BB888" s="644" t="s">
        <v>1430</v>
      </c>
      <c r="BC888" s="544" t="s">
        <v>115</v>
      </c>
      <c r="BD888" s="544" t="s">
        <v>1066</v>
      </c>
      <c r="BE888" s="544" t="s">
        <v>1431</v>
      </c>
      <c r="BF888" s="544" t="s">
        <v>1432</v>
      </c>
      <c r="BG888" s="544" t="s">
        <v>115</v>
      </c>
      <c r="BH888" s="741" t="s">
        <v>1433</v>
      </c>
      <c r="BI888" s="547" t="s">
        <v>709</v>
      </c>
      <c r="BJ888" s="547" t="s">
        <v>709</v>
      </c>
      <c r="BK888" s="547" t="s">
        <v>709</v>
      </c>
      <c r="BL888" s="547" t="s">
        <v>116</v>
      </c>
      <c r="BM888" s="547" t="s">
        <v>709</v>
      </c>
      <c r="BN888" s="547" t="s">
        <v>709</v>
      </c>
      <c r="BO888" s="547" t="s">
        <v>709</v>
      </c>
      <c r="BP888" s="547" t="s">
        <v>709</v>
      </c>
      <c r="BQ888" s="547" t="s">
        <v>709</v>
      </c>
      <c r="BR888" s="547">
        <v>3047</v>
      </c>
      <c r="BS888" s="547">
        <v>30</v>
      </c>
      <c r="BT888" s="547" t="s">
        <v>709</v>
      </c>
      <c r="BU888" s="547" t="s">
        <v>709</v>
      </c>
      <c r="BV888" s="547" t="s">
        <v>709</v>
      </c>
      <c r="BW888" s="547" t="s">
        <v>709</v>
      </c>
      <c r="BX888" s="547" t="s">
        <v>709</v>
      </c>
      <c r="BY888" s="547" t="s">
        <v>709</v>
      </c>
      <c r="BZ888" s="547" t="s">
        <v>709</v>
      </c>
      <c r="CA888" s="483"/>
      <c r="CB888" s="547">
        <v>886</v>
      </c>
      <c r="CC888" s="1481" t="b">
        <v>1</v>
      </c>
      <c r="CD888" t="str">
        <f>Table15[[#This Row],[Engineering Number]]&amp;Table15[[#This Row],[WO Number]]&amp;Table15[[#This Row],[Date Assigned to Designer]]&amp;Table15[[#This Row],[Date Completed]]</f>
        <v>RS112312120884488845005</v>
      </c>
    </row>
    <row r="889" spans="1:82" customFormat="1" ht="15" customHeight="1" x14ac:dyDescent="0.25">
      <c r="A889">
        <v>2023</v>
      </c>
      <c r="B889" s="8" t="s">
        <v>771</v>
      </c>
      <c r="C889" s="8" t="s">
        <v>5460</v>
      </c>
      <c r="D889" s="8" t="s">
        <v>5461</v>
      </c>
      <c r="E889" s="8" t="s">
        <v>1373</v>
      </c>
      <c r="F889" s="8" t="s">
        <v>784</v>
      </c>
      <c r="G889" s="8" t="s">
        <v>22</v>
      </c>
      <c r="H889" s="13" t="s">
        <v>59</v>
      </c>
      <c r="I889" s="642">
        <v>44946</v>
      </c>
      <c r="J889" s="18">
        <v>45009</v>
      </c>
      <c r="K889" s="97">
        <v>45008</v>
      </c>
      <c r="L889" s="16">
        <f>IF(ISTEXT(Table15[[#This Row],[Engineering Approved Design Date]]),Table15[[#This Row],[Date Completed]]-Table15[[#This Row],[Date Assigned to Designer]],Table15[[#This Row],[Engineering Approved Design Date]]-Table15[[#This Row],[Date Completed]])</f>
        <v>1</v>
      </c>
      <c r="M889" s="642"/>
      <c r="N889" s="642" t="s">
        <v>120</v>
      </c>
      <c r="O889" s="1060">
        <f>Table15[[#This Row],[Date Completed]]</f>
        <v>45008</v>
      </c>
      <c r="P889" s="1152" t="s">
        <v>120</v>
      </c>
      <c r="Q889" s="340">
        <f>Table15[[#This Row],[Rate]]*Table15[[#This Row],[Construction Cost to Bill From]]</f>
        <v>164773.37099999998</v>
      </c>
      <c r="R889" s="1026">
        <v>0.06</v>
      </c>
      <c r="S889" s="538"/>
      <c r="T889" s="538"/>
      <c r="U889" s="87"/>
      <c r="V889" s="858">
        <v>9640</v>
      </c>
      <c r="W889" s="437">
        <v>0</v>
      </c>
      <c r="X889" s="552">
        <v>2600126.2599999998</v>
      </c>
      <c r="Y889" s="551"/>
      <c r="Z889" s="552">
        <v>146096.59</v>
      </c>
      <c r="AA889" s="552">
        <f>Table15[[#This Row],[PCTS Investment Amount]]+Table15[[#This Row],[PCTS Retirement Amount]]</f>
        <v>2746222.8499999996</v>
      </c>
      <c r="AB889" s="341">
        <v>45009</v>
      </c>
      <c r="AC889" s="568" t="s">
        <v>709</v>
      </c>
      <c r="AD889" s="1157" t="s">
        <v>116</v>
      </c>
      <c r="AE889" s="568"/>
      <c r="AF889" s="568"/>
      <c r="AG889" s="568"/>
      <c r="AH889" s="183"/>
      <c r="AI889" s="1036"/>
      <c r="AJ889" s="1037"/>
      <c r="AK889" s="1037"/>
      <c r="AL889" s="1038"/>
      <c r="AM889" s="1522" t="s">
        <v>116</v>
      </c>
      <c r="AN889" s="1523">
        <v>45082</v>
      </c>
      <c r="AO889" s="1524">
        <v>11060395</v>
      </c>
      <c r="AP889" s="1525">
        <v>2604497.41</v>
      </c>
      <c r="AQ889" s="1525"/>
      <c r="AR889" s="1525">
        <v>146406.49</v>
      </c>
      <c r="AS889" s="1525">
        <f>IF(Table15[[#This Row],[PCTS Approved]]="N",0,Table15[[#This Row],[Investment Amount (1'#'#'#'#'#)]]+Table15[[#This Row],[Retirement Amount (3'#'#'#'#'#)]])</f>
        <v>2750903.9000000004</v>
      </c>
      <c r="AT889" s="1525">
        <f>IF(Table15[[#This Row],[Approved Construction Cost]]=0,0,Table15[[#This Row],[Approved Construction Cost]]-Table15[[#This Row],[Construction Cost to Bill From]])</f>
        <v>4681.0500000007451</v>
      </c>
      <c r="AU889" s="1525">
        <f>IFERROR(Table15[[#This Row],[Difference in Construction Cost]]*Table15[[#This Row],[Rate]],Table15[[#This Row],[Difference in Construction Cost]]*0.085)</f>
        <v>280.86300000004468</v>
      </c>
      <c r="AV889" s="1525" t="s">
        <v>709</v>
      </c>
      <c r="AW889" s="1526"/>
      <c r="AX889" s="1525">
        <v>280.86300000004468</v>
      </c>
      <c r="AY889" s="1518">
        <v>45200</v>
      </c>
      <c r="AZ889" s="333"/>
      <c r="BA889" s="859" t="s">
        <v>5462</v>
      </c>
      <c r="BB889" s="644" t="s">
        <v>5435</v>
      </c>
      <c r="BC889" s="544" t="s">
        <v>116</v>
      </c>
      <c r="BD889" s="544" t="s">
        <v>709</v>
      </c>
      <c r="BE889" s="544" t="s">
        <v>1376</v>
      </c>
      <c r="BF889" s="544" t="s">
        <v>709</v>
      </c>
      <c r="BG889" s="544" t="s">
        <v>115</v>
      </c>
      <c r="BH889" s="741"/>
      <c r="BI889" s="547" t="s">
        <v>709</v>
      </c>
      <c r="BJ889" s="547" t="s">
        <v>709</v>
      </c>
      <c r="BK889" s="547" t="s">
        <v>709</v>
      </c>
      <c r="BL889" s="547" t="s">
        <v>116</v>
      </c>
      <c r="BM889" s="547" t="s">
        <v>709</v>
      </c>
      <c r="BN889" s="547" t="s">
        <v>709</v>
      </c>
      <c r="BO889" s="547" t="s">
        <v>709</v>
      </c>
      <c r="BP889" s="547" t="s">
        <v>709</v>
      </c>
      <c r="BQ889" s="547" t="s">
        <v>709</v>
      </c>
      <c r="BR889" s="547">
        <v>2223</v>
      </c>
      <c r="BS889" s="547">
        <v>7417</v>
      </c>
      <c r="BT889" s="547" t="s">
        <v>745</v>
      </c>
      <c r="BU889" s="547" t="s">
        <v>709</v>
      </c>
      <c r="BV889" s="547" t="s">
        <v>745</v>
      </c>
      <c r="BW889" s="547" t="s">
        <v>709</v>
      </c>
      <c r="BX889" s="547" t="s">
        <v>745</v>
      </c>
      <c r="BY889" s="547" t="s">
        <v>745</v>
      </c>
      <c r="BZ889" s="547" t="s">
        <v>709</v>
      </c>
      <c r="CA889" s="483"/>
      <c r="CB889" s="547">
        <v>887</v>
      </c>
      <c r="CC889" s="1481" t="b">
        <v>1</v>
      </c>
      <c r="CD889" t="str">
        <f>Table15[[#This Row],[Engineering Number]]&amp;Table15[[#This Row],[WO Number]]&amp;Table15[[#This Row],[Date Assigned to Designer]]&amp;Table15[[#This Row],[Date Completed]]</f>
        <v>BS249-112122784494645008</v>
      </c>
    </row>
    <row r="890" spans="1:82" customFormat="1" ht="15" customHeight="1" x14ac:dyDescent="0.25">
      <c r="A890">
        <v>2023</v>
      </c>
      <c r="B890" s="8" t="s">
        <v>771</v>
      </c>
      <c r="C890" s="8" t="s">
        <v>931</v>
      </c>
      <c r="D890" s="8" t="s">
        <v>932</v>
      </c>
      <c r="E890" s="8" t="s">
        <v>887</v>
      </c>
      <c r="F890" s="8" t="s">
        <v>784</v>
      </c>
      <c r="G890" s="8" t="s">
        <v>32</v>
      </c>
      <c r="H890" s="13" t="s">
        <v>59</v>
      </c>
      <c r="I890" s="642">
        <v>44862</v>
      </c>
      <c r="J890" s="18">
        <v>45009</v>
      </c>
      <c r="K890" s="97">
        <v>45008</v>
      </c>
      <c r="L890" s="16">
        <f>IF(ISTEXT(Table15[[#This Row],[Engineering Approved Design Date]]),Table15[[#This Row],[Date Completed]]-Table15[[#This Row],[Date Assigned to Designer]],Table15[[#This Row],[Engineering Approved Design Date]]-Table15[[#This Row],[Date Completed]])</f>
        <v>1</v>
      </c>
      <c r="M890" s="642"/>
      <c r="N890" s="642" t="s">
        <v>120</v>
      </c>
      <c r="O890" s="1060">
        <v>45017</v>
      </c>
      <c r="P890" s="1152" t="s">
        <v>120</v>
      </c>
      <c r="Q890" s="340">
        <f>Table15[[#This Row],[Rate]]*Table15[[#This Row],[Construction Cost to Bill From]]</f>
        <v>212873.31899999999</v>
      </c>
      <c r="R890" s="1026">
        <v>0.06</v>
      </c>
      <c r="S890" s="538"/>
      <c r="T890" s="538"/>
      <c r="U890" s="87"/>
      <c r="V890" s="858">
        <v>9968</v>
      </c>
      <c r="W890" s="437">
        <v>0</v>
      </c>
      <c r="X890" s="552">
        <v>3091707.63</v>
      </c>
      <c r="Y890" s="551"/>
      <c r="Z890" s="552">
        <v>456181.02</v>
      </c>
      <c r="AA890" s="552">
        <f>Table15[[#This Row],[PCTS Investment Amount]]+Table15[[#This Row],[PCTS Retirement Amount]]</f>
        <v>3547888.65</v>
      </c>
      <c r="AB890" s="341">
        <v>45020</v>
      </c>
      <c r="AC890" s="568" t="s">
        <v>709</v>
      </c>
      <c r="AD890" s="1157" t="s">
        <v>29</v>
      </c>
      <c r="AE890" s="568"/>
      <c r="AF890" s="568"/>
      <c r="AG890" s="568"/>
      <c r="AH890" s="183"/>
      <c r="AI890" s="1036"/>
      <c r="AJ890" s="1037"/>
      <c r="AK890" s="1037"/>
      <c r="AL890" s="1038"/>
      <c r="AM890" s="1522" t="s">
        <v>116</v>
      </c>
      <c r="AN890" s="1523">
        <v>45373</v>
      </c>
      <c r="AO890" s="1524">
        <v>11080213</v>
      </c>
      <c r="AP890" s="1525">
        <v>3211918.08</v>
      </c>
      <c r="AQ890" s="1525"/>
      <c r="AR890" s="1525">
        <v>482952.38</v>
      </c>
      <c r="AS890" s="1525">
        <v>3694870.46</v>
      </c>
      <c r="AT890" s="1525">
        <v>146981.81000000006</v>
      </c>
      <c r="AU890" s="1525">
        <v>8818.9086000000025</v>
      </c>
      <c r="AV890" s="1525">
        <v>20005</v>
      </c>
      <c r="AW890" s="1526" t="s">
        <v>5457</v>
      </c>
      <c r="AX890" s="1525">
        <v>0</v>
      </c>
      <c r="AY890" s="1518">
        <v>45566</v>
      </c>
      <c r="AZ890" s="333">
        <v>5</v>
      </c>
      <c r="BA890" s="859" t="s">
        <v>934</v>
      </c>
      <c r="BB890" s="644" t="s">
        <v>935</v>
      </c>
      <c r="BC890" s="544" t="s">
        <v>116</v>
      </c>
      <c r="BD890" s="544" t="s">
        <v>115</v>
      </c>
      <c r="BE890" s="544" t="s">
        <v>891</v>
      </c>
      <c r="BF890" s="544" t="s">
        <v>115</v>
      </c>
      <c r="BG890" s="544" t="s">
        <v>115</v>
      </c>
      <c r="BH890" s="741" t="s">
        <v>5458</v>
      </c>
      <c r="BI890" s="547" t="s">
        <v>709</v>
      </c>
      <c r="BJ890" s="547" t="s">
        <v>709</v>
      </c>
      <c r="BK890" s="547" t="s">
        <v>709</v>
      </c>
      <c r="BL890" s="547" t="s">
        <v>116</v>
      </c>
      <c r="BM890" s="547">
        <v>0</v>
      </c>
      <c r="BN890" s="549">
        <v>0</v>
      </c>
      <c r="BO890" s="547">
        <v>0</v>
      </c>
      <c r="BP890" s="547">
        <v>0</v>
      </c>
      <c r="BQ890" s="547">
        <v>6338</v>
      </c>
      <c r="BR890" s="547">
        <v>103</v>
      </c>
      <c r="BS890" s="547">
        <v>3527</v>
      </c>
      <c r="BT890" s="547">
        <v>0</v>
      </c>
      <c r="BU890" s="547">
        <v>0</v>
      </c>
      <c r="BV890" s="547">
        <v>0</v>
      </c>
      <c r="BW890" s="547">
        <v>0</v>
      </c>
      <c r="BX890" s="547">
        <v>0</v>
      </c>
      <c r="BY890" s="547">
        <v>0</v>
      </c>
      <c r="BZ890" s="547" t="s">
        <v>709</v>
      </c>
      <c r="CA890" s="483"/>
      <c r="CB890" s="547">
        <v>889</v>
      </c>
      <c r="CC890" s="1481" t="b">
        <v>1</v>
      </c>
      <c r="CD890" t="str">
        <f>Table15[[#This Row],[Engineering Number]]&amp;Table15[[#This Row],[WO Number]]&amp;Table15[[#This Row],[Date Assigned to Designer]]&amp;Table15[[#This Row],[Date Completed]]</f>
        <v>BS63113120074486245008</v>
      </c>
    </row>
    <row r="891" spans="1:82" customFormat="1" ht="15" customHeight="1" x14ac:dyDescent="0.25">
      <c r="A891">
        <v>2021</v>
      </c>
      <c r="B891" s="8" t="s">
        <v>771</v>
      </c>
      <c r="C891" s="8" t="s">
        <v>383</v>
      </c>
      <c r="D891" s="8" t="s">
        <v>1434</v>
      </c>
      <c r="E891" s="8" t="s">
        <v>104</v>
      </c>
      <c r="F891" s="8" t="s">
        <v>784</v>
      </c>
      <c r="G891" s="8" t="s">
        <v>36</v>
      </c>
      <c r="H891" s="13" t="s">
        <v>59</v>
      </c>
      <c r="I891" s="642">
        <v>44250</v>
      </c>
      <c r="J891" s="18">
        <v>45016</v>
      </c>
      <c r="K891" s="97">
        <v>45008</v>
      </c>
      <c r="L891" s="16">
        <f>IF(ISTEXT(Table15[[#This Row],[Engineering Approved Design Date]]),Table15[[#This Row],[Date Completed]]-Table15[[#This Row],[Date Assigned to Designer]],Table15[[#This Row],[Engineering Approved Design Date]]-Table15[[#This Row],[Date Completed]])</f>
        <v>8</v>
      </c>
      <c r="M891" s="642"/>
      <c r="N891" s="642" t="s">
        <v>120</v>
      </c>
      <c r="O891" s="1060">
        <v>45017</v>
      </c>
      <c r="P891" s="1152" t="s">
        <v>120</v>
      </c>
      <c r="Q891" s="340">
        <f>Table15[[#This Row],[Rate]]*Table15[[#This Row],[Construction Cost to Bill From]]</f>
        <v>148271.67179999998</v>
      </c>
      <c r="R891" s="1026">
        <v>0.09</v>
      </c>
      <c r="S891" s="538"/>
      <c r="T891" s="538"/>
      <c r="U891" s="87"/>
      <c r="V891" s="858">
        <v>1626</v>
      </c>
      <c r="W891" s="437">
        <v>0</v>
      </c>
      <c r="X891" s="552">
        <v>1586798.2</v>
      </c>
      <c r="Y891" s="551"/>
      <c r="Z891" s="552">
        <v>60664.82</v>
      </c>
      <c r="AA891" s="552">
        <f>Table15[[#This Row],[PCTS Investment Amount]]+Table15[[#This Row],[PCTS Retirement Amount]]</f>
        <v>1647463.02</v>
      </c>
      <c r="AB891" s="341">
        <v>45040</v>
      </c>
      <c r="AC891" s="568" t="s">
        <v>1177</v>
      </c>
      <c r="AD891" s="1157" t="s">
        <v>29</v>
      </c>
      <c r="AE891" s="568"/>
      <c r="AF891" s="568"/>
      <c r="AG891" s="568"/>
      <c r="AH891" s="183"/>
      <c r="AI891" s="1036"/>
      <c r="AJ891" s="1037"/>
      <c r="AK891" s="1037"/>
      <c r="AL891" s="1038"/>
      <c r="AM891" s="536" t="s">
        <v>116</v>
      </c>
      <c r="AN891" s="903" t="s">
        <v>709</v>
      </c>
      <c r="AO891" s="1536">
        <v>11037256</v>
      </c>
      <c r="AP891" s="1537"/>
      <c r="AQ891" s="1537"/>
      <c r="AR891" s="1537"/>
      <c r="AS891" s="888">
        <f>IF(Table15[[#This Row],[PCTS Approved]]="N",0,Table15[[#This Row],[Investment Amount (1'#'#'#'#'#)]]+Table15[[#This Row],[Retirement Amount (3'#'#'#'#'#)]])</f>
        <v>0</v>
      </c>
      <c r="AT891" s="888">
        <f>IF(Table15[[#This Row],[Approved Construction Cost]]=0,0,Table15[[#This Row],[Approved Construction Cost]]-Table15[[#This Row],[Construction Cost to Bill From]])</f>
        <v>0</v>
      </c>
      <c r="AU891" s="888">
        <f>IFERROR(Table15[[#This Row],[Difference in Construction Cost]]*Table15[[#This Row],[Rate]],Table15[[#This Row],[Difference in Construction Cost]]*0.085)</f>
        <v>0</v>
      </c>
      <c r="AV891" s="905"/>
      <c r="AW891" s="1509"/>
      <c r="AX891" s="888"/>
      <c r="AY891" s="636" t="s">
        <v>709</v>
      </c>
      <c r="AZ891" s="333">
        <v>38</v>
      </c>
      <c r="BA891" s="859" t="s">
        <v>1435</v>
      </c>
      <c r="BB891" s="644" t="s">
        <v>1436</v>
      </c>
      <c r="BC891" s="544" t="s">
        <v>116</v>
      </c>
      <c r="BD891" s="544" t="s">
        <v>115</v>
      </c>
      <c r="BE891" s="544" t="s">
        <v>1232</v>
      </c>
      <c r="BF891" s="544" t="s">
        <v>115</v>
      </c>
      <c r="BG891" s="544"/>
      <c r="BH891" s="741"/>
      <c r="BI891" s="547" t="s">
        <v>709</v>
      </c>
      <c r="BJ891" s="547" t="s">
        <v>709</v>
      </c>
      <c r="BK891" s="547" t="s">
        <v>709</v>
      </c>
      <c r="BL891" s="547" t="s">
        <v>116</v>
      </c>
      <c r="BM891" s="547" t="s">
        <v>709</v>
      </c>
      <c r="BN891" s="547">
        <v>533</v>
      </c>
      <c r="BO891" s="547" t="s">
        <v>709</v>
      </c>
      <c r="BP891" s="547">
        <v>228</v>
      </c>
      <c r="BQ891" s="547">
        <v>422</v>
      </c>
      <c r="BR891" s="547">
        <v>414</v>
      </c>
      <c r="BS891" s="547">
        <v>22</v>
      </c>
      <c r="BT891" s="547" t="s">
        <v>745</v>
      </c>
      <c r="BU891" s="547" t="s">
        <v>709</v>
      </c>
      <c r="BV891" s="547" t="s">
        <v>745</v>
      </c>
      <c r="BW891" s="547" t="s">
        <v>709</v>
      </c>
      <c r="BX891" s="547" t="s">
        <v>745</v>
      </c>
      <c r="BY891" s="547" t="s">
        <v>745</v>
      </c>
      <c r="BZ891" s="547" t="s">
        <v>709</v>
      </c>
      <c r="CA891" s="483"/>
      <c r="CB891" s="547">
        <v>888</v>
      </c>
      <c r="CC891" s="1481" t="b">
        <v>1</v>
      </c>
      <c r="CD891" t="str">
        <f>Table15[[#This Row],[Engineering Number]]&amp;Table15[[#This Row],[WO Number]]&amp;Table15[[#This Row],[Date Assigned to Designer]]&amp;Table15[[#This Row],[Date Completed]]</f>
        <v>BS5501293274425045008</v>
      </c>
    </row>
    <row r="892" spans="1:82" customFormat="1" ht="15" customHeight="1" x14ac:dyDescent="0.25">
      <c r="A892">
        <v>2023</v>
      </c>
      <c r="B892" s="8" t="s">
        <v>1205</v>
      </c>
      <c r="C892" s="8" t="s">
        <v>271</v>
      </c>
      <c r="D892" s="8">
        <v>1211740</v>
      </c>
      <c r="E892" s="8" t="s">
        <v>272</v>
      </c>
      <c r="F892" s="8" t="s">
        <v>747</v>
      </c>
      <c r="G892" s="8" t="s">
        <v>32</v>
      </c>
      <c r="H892" s="8" t="s">
        <v>4189</v>
      </c>
      <c r="I892" s="642">
        <v>45005</v>
      </c>
      <c r="J892" s="175" t="s">
        <v>2052</v>
      </c>
      <c r="K892" s="97">
        <v>45012</v>
      </c>
      <c r="L892" s="16">
        <f>IF(ISTEXT(Table15[[#This Row],[Engineering Approved Design Date]]),Table15[[#This Row],[Date Completed]]-Table15[[#This Row],[Date Assigned to Designer]],Table15[[#This Row],[Engineering Approved Design Date]]-Table15[[#This Row],[Date Completed]])</f>
        <v>7</v>
      </c>
      <c r="M892" s="16" t="s">
        <v>5464</v>
      </c>
      <c r="N892" s="642" t="s">
        <v>120</v>
      </c>
      <c r="O892" s="1060">
        <v>45017</v>
      </c>
      <c r="P892" s="21" t="s">
        <v>120</v>
      </c>
      <c r="Q892" s="1061">
        <f>Table15[[#This Row],[KH Hourly Effort]]</f>
        <v>2125</v>
      </c>
      <c r="R892" s="1026" t="s">
        <v>1922</v>
      </c>
      <c r="S892" s="538">
        <v>0</v>
      </c>
      <c r="T892" s="538"/>
      <c r="U892" s="87">
        <v>2125</v>
      </c>
      <c r="V892" s="857"/>
      <c r="W892" s="440"/>
      <c r="X892" s="538"/>
      <c r="Y892" s="551"/>
      <c r="Z892" s="538"/>
      <c r="AA892" s="552"/>
      <c r="AB892" s="341" t="s">
        <v>29</v>
      </c>
      <c r="AC892" s="569" t="s">
        <v>709</v>
      </c>
      <c r="AD892" s="1149" t="s">
        <v>116</v>
      </c>
      <c r="AE892" s="569"/>
      <c r="AF892" s="569"/>
      <c r="AG892" s="569"/>
      <c r="AH892" s="536"/>
      <c r="AI892" s="1028"/>
      <c r="AJ892" s="1029"/>
      <c r="AK892" s="1029"/>
      <c r="AL892" s="1030"/>
      <c r="AM892" s="542" t="s">
        <v>709</v>
      </c>
      <c r="AN892" s="924"/>
      <c r="AO892" s="925"/>
      <c r="AP892" s="926"/>
      <c r="AQ892" s="926"/>
      <c r="AR892" s="926"/>
      <c r="AS892" s="926"/>
      <c r="AT892" s="926"/>
      <c r="AU892" s="926"/>
      <c r="AV892" s="926"/>
      <c r="AW892" s="927"/>
      <c r="AX892" s="926"/>
      <c r="AY892" s="1538" t="s">
        <v>29</v>
      </c>
      <c r="AZ892" s="1532"/>
      <c r="BA892" s="1031">
        <v>8</v>
      </c>
      <c r="BB892" s="644"/>
      <c r="BC892" s="544"/>
      <c r="BD892" s="544"/>
      <c r="BE892" s="544"/>
      <c r="BF892" s="544"/>
      <c r="BG892" s="544"/>
      <c r="BH892" s="741"/>
      <c r="BI892" s="547" t="s">
        <v>709</v>
      </c>
      <c r="BJ892" s="547" t="s">
        <v>709</v>
      </c>
      <c r="BK892" s="547" t="s">
        <v>709</v>
      </c>
      <c r="BL892" s="547" t="s">
        <v>116</v>
      </c>
      <c r="BM892" s="547">
        <v>0</v>
      </c>
      <c r="BN892" s="549">
        <v>0</v>
      </c>
      <c r="BO892" s="547">
        <v>0</v>
      </c>
      <c r="BP892" s="547">
        <v>0</v>
      </c>
      <c r="BQ892" s="547">
        <v>0</v>
      </c>
      <c r="BR892" s="547">
        <v>261</v>
      </c>
      <c r="BS892" s="547">
        <v>18</v>
      </c>
      <c r="BT892" s="547">
        <v>0</v>
      </c>
      <c r="BU892" s="547">
        <v>0</v>
      </c>
      <c r="BV892" s="547">
        <v>0</v>
      </c>
      <c r="BW892" s="547">
        <v>0</v>
      </c>
      <c r="BX892" s="547">
        <v>0</v>
      </c>
      <c r="BY892" s="547">
        <v>0</v>
      </c>
      <c r="BZ892" s="547" t="s">
        <v>709</v>
      </c>
      <c r="CA892" s="483"/>
      <c r="CB892" s="547">
        <v>890</v>
      </c>
      <c r="CC892" s="1481" t="b">
        <v>1</v>
      </c>
      <c r="CD892" t="str">
        <f>Table15[[#This Row],[Engineering Number]]&amp;Table15[[#This Row],[WO Number]]&amp;Table15[[#This Row],[Date Assigned to Designer]]&amp;Table15[[#This Row],[Date Completed]]</f>
        <v>MR192812117404500545012</v>
      </c>
    </row>
    <row r="893" spans="1:82" customFormat="1" ht="15" customHeight="1" x14ac:dyDescent="0.25">
      <c r="A893">
        <v>2023</v>
      </c>
      <c r="B893" s="8" t="s">
        <v>759</v>
      </c>
      <c r="C893" s="8" t="s">
        <v>5466</v>
      </c>
      <c r="D893" s="8" t="s">
        <v>5467</v>
      </c>
      <c r="E893" s="8" t="s">
        <v>3315</v>
      </c>
      <c r="F893" s="8" t="s">
        <v>752</v>
      </c>
      <c r="G893" s="8" t="s">
        <v>23</v>
      </c>
      <c r="H893" s="8" t="s">
        <v>4354</v>
      </c>
      <c r="I893" s="642">
        <v>44837</v>
      </c>
      <c r="J893" s="175" t="s">
        <v>4354</v>
      </c>
      <c r="K893" s="97">
        <v>45013</v>
      </c>
      <c r="L893" s="16">
        <f>IF(ISTEXT(Table15[[#This Row],[Engineering Approved Design Date]]),Table15[[#This Row],[Date Completed]]-Table15[[#This Row],[Date Assigned to Designer]],Table15[[#This Row],[Engineering Approved Design Date]]-Table15[[#This Row],[Date Completed]])</f>
        <v>176</v>
      </c>
      <c r="M893" s="16" t="s">
        <v>5468</v>
      </c>
      <c r="N893" s="99" t="s">
        <v>120</v>
      </c>
      <c r="O893" s="1060">
        <v>45017</v>
      </c>
      <c r="P893" s="21" t="s">
        <v>120</v>
      </c>
      <c r="Q893" s="1061">
        <f>Table15[[#This Row],[Shactee Effort]]+Table15[[#This Row],[KH Hourly Effort]]</f>
        <v>15754.5</v>
      </c>
      <c r="R893" s="1026" t="s">
        <v>1922</v>
      </c>
      <c r="S893" s="538">
        <v>17</v>
      </c>
      <c r="T893" s="538"/>
      <c r="U893" s="300">
        <v>15737.5</v>
      </c>
      <c r="V893" s="857"/>
      <c r="W893" s="440"/>
      <c r="X893" s="538"/>
      <c r="Y893" s="551"/>
      <c r="Z893" s="538"/>
      <c r="AA893" s="552"/>
      <c r="AB893" s="341"/>
      <c r="AC893" s="569" t="s">
        <v>29</v>
      </c>
      <c r="AD893" s="1149"/>
      <c r="AE893" s="580"/>
      <c r="AF893" s="580"/>
      <c r="AG893" s="580"/>
      <c r="AH893" s="542"/>
      <c r="AI893" s="1028"/>
      <c r="AJ893" s="1029"/>
      <c r="AK893" s="1029"/>
      <c r="AL893" s="1030"/>
      <c r="AM893" s="542" t="s">
        <v>709</v>
      </c>
      <c r="AN893" s="924"/>
      <c r="AO893" s="925"/>
      <c r="AP893" s="926"/>
      <c r="AQ893" s="926"/>
      <c r="AR893" s="926"/>
      <c r="AS893" s="926"/>
      <c r="AT893" s="926"/>
      <c r="AU893" s="926"/>
      <c r="AV893" s="926"/>
      <c r="AW893" s="927"/>
      <c r="AX893" s="926"/>
      <c r="AY893" s="1538" t="s">
        <v>29</v>
      </c>
      <c r="AZ893" s="1530"/>
      <c r="BA893" s="1031" t="s">
        <v>5469</v>
      </c>
      <c r="BB893" s="644" t="s">
        <v>5470</v>
      </c>
      <c r="BC893" s="544" t="s">
        <v>115</v>
      </c>
      <c r="BD893" s="544" t="s">
        <v>882</v>
      </c>
      <c r="BE893" s="544" t="s">
        <v>5471</v>
      </c>
      <c r="BF893" s="544" t="s">
        <v>115</v>
      </c>
      <c r="BG893" s="544" t="s">
        <v>115</v>
      </c>
      <c r="BH893" s="741"/>
      <c r="BI893" s="547" t="s">
        <v>709</v>
      </c>
      <c r="BJ893" s="547" t="s">
        <v>709</v>
      </c>
      <c r="BK893" s="547" t="s">
        <v>709</v>
      </c>
      <c r="BL893" s="547" t="s">
        <v>116</v>
      </c>
      <c r="BM893" s="547" t="s">
        <v>709</v>
      </c>
      <c r="BN893" s="547" t="s">
        <v>709</v>
      </c>
      <c r="BO893" s="547" t="s">
        <v>709</v>
      </c>
      <c r="BP893" s="547" t="s">
        <v>116</v>
      </c>
      <c r="BQ893" s="547" t="s">
        <v>116</v>
      </c>
      <c r="BR893" s="547" t="s">
        <v>709</v>
      </c>
      <c r="BS893" s="547" t="s">
        <v>116</v>
      </c>
      <c r="BT893" s="547" t="s">
        <v>116</v>
      </c>
      <c r="BU893" s="547" t="s">
        <v>709</v>
      </c>
      <c r="BV893" s="547" t="s">
        <v>745</v>
      </c>
      <c r="BW893" s="547" t="s">
        <v>709</v>
      </c>
      <c r="BX893" s="547" t="s">
        <v>116</v>
      </c>
      <c r="BY893" s="547" t="s">
        <v>745</v>
      </c>
      <c r="BZ893" s="547" t="s">
        <v>709</v>
      </c>
      <c r="CA893" s="483"/>
      <c r="CB893" s="547">
        <v>891</v>
      </c>
      <c r="CC893" s="1481" t="b">
        <v>1</v>
      </c>
      <c r="CD893" t="str">
        <f>Table15[[#This Row],[Engineering Number]]&amp;Table15[[#This Row],[WO Number]]&amp;Table15[[#This Row],[Date Assigned to Designer]]&amp;Table15[[#This Row],[Date Completed]]</f>
        <v>RS94010119124483745013</v>
      </c>
    </row>
    <row r="894" spans="1:82" customFormat="1" ht="15" customHeight="1" x14ac:dyDescent="0.25">
      <c r="A894">
        <v>2023</v>
      </c>
      <c r="B894" s="8" t="s">
        <v>771</v>
      </c>
      <c r="C894" s="8" t="s">
        <v>1060</v>
      </c>
      <c r="D894" s="8" t="s">
        <v>1061</v>
      </c>
      <c r="E894" s="8" t="s">
        <v>1062</v>
      </c>
      <c r="F894" s="8" t="s">
        <v>784</v>
      </c>
      <c r="G894" s="8" t="s">
        <v>31</v>
      </c>
      <c r="H894" s="13" t="s">
        <v>59</v>
      </c>
      <c r="I894" s="642">
        <v>44943</v>
      </c>
      <c r="J894" s="18">
        <v>45020</v>
      </c>
      <c r="K894" s="97">
        <v>45014</v>
      </c>
      <c r="L894" s="16">
        <f>IF(ISTEXT(Table15[[#This Row],[Engineering Approved Design Date]]),Table15[[#This Row],[Date Completed]]-Table15[[#This Row],[Date Assigned to Designer]],Table15[[#This Row],[Engineering Approved Design Date]]-Table15[[#This Row],[Date Completed]])</f>
        <v>6</v>
      </c>
      <c r="M894" s="642"/>
      <c r="N894" s="642" t="s">
        <v>120</v>
      </c>
      <c r="O894" s="1060">
        <v>45017</v>
      </c>
      <c r="P894" s="1152" t="s">
        <v>120</v>
      </c>
      <c r="Q894" s="340">
        <f>Table15[[#This Row],[Rate]]*Table15[[#This Row],[Construction Cost to Bill From]]</f>
        <v>36352.372499999998</v>
      </c>
      <c r="R894" s="1026">
        <v>0.09</v>
      </c>
      <c r="S894" s="538"/>
      <c r="T894" s="538"/>
      <c r="U894" s="87"/>
      <c r="V894" s="858">
        <v>322</v>
      </c>
      <c r="W894" s="437">
        <v>0</v>
      </c>
      <c r="X894" s="552">
        <v>357790.75</v>
      </c>
      <c r="Y894" s="551"/>
      <c r="Z894" s="552">
        <v>46124.5</v>
      </c>
      <c r="AA894" s="552">
        <f>Table15[[#This Row],[PCTS Investment Amount]]+Table15[[#This Row],[PCTS Retirement Amount]]</f>
        <v>403915.25</v>
      </c>
      <c r="AB894" s="341">
        <v>45015</v>
      </c>
      <c r="AC894" s="568" t="s">
        <v>709</v>
      </c>
      <c r="AD894" s="1157" t="s">
        <v>29</v>
      </c>
      <c r="AE894" s="568"/>
      <c r="AF894" s="568"/>
      <c r="AG894" s="568"/>
      <c r="AH894" s="183"/>
      <c r="AI894" s="1036"/>
      <c r="AJ894" s="1037"/>
      <c r="AK894" s="1037"/>
      <c r="AL894" s="1038"/>
      <c r="AM894" s="1522" t="s">
        <v>116</v>
      </c>
      <c r="AN894" s="1523">
        <v>45462</v>
      </c>
      <c r="AO894" s="1524">
        <v>11084647</v>
      </c>
      <c r="AP894" s="1525">
        <v>370552.83</v>
      </c>
      <c r="AQ894" s="1525"/>
      <c r="AR894" s="1525">
        <v>47519.26</v>
      </c>
      <c r="AS894" s="1525">
        <v>418072.09</v>
      </c>
      <c r="AT894" s="1525">
        <v>14156.840000000026</v>
      </c>
      <c r="AU894" s="1525">
        <v>1274.1156000000024</v>
      </c>
      <c r="AV894" s="1525">
        <v>0</v>
      </c>
      <c r="AW894" s="1526" t="s">
        <v>1063</v>
      </c>
      <c r="AX894" s="1525">
        <v>1274.1199999999999</v>
      </c>
      <c r="AY894" s="1518">
        <v>45566</v>
      </c>
      <c r="AZ894" s="333">
        <v>39</v>
      </c>
      <c r="BA894" s="859" t="s">
        <v>1064</v>
      </c>
      <c r="BB894" s="644" t="s">
        <v>1065</v>
      </c>
      <c r="BC894" s="544" t="s">
        <v>709</v>
      </c>
      <c r="BD894" s="544" t="s">
        <v>1066</v>
      </c>
      <c r="BE894" s="544" t="s">
        <v>115</v>
      </c>
      <c r="BF894" s="544" t="s">
        <v>115</v>
      </c>
      <c r="BG894" s="544" t="s">
        <v>1067</v>
      </c>
      <c r="BH894" s="741"/>
      <c r="BI894" s="547" t="s">
        <v>709</v>
      </c>
      <c r="BJ894" s="547" t="s">
        <v>709</v>
      </c>
      <c r="BK894" s="547" t="s">
        <v>709</v>
      </c>
      <c r="BL894" s="547" t="s">
        <v>116</v>
      </c>
      <c r="BM894" s="547" t="s">
        <v>709</v>
      </c>
      <c r="BN894" s="547" t="s">
        <v>709</v>
      </c>
      <c r="BO894" s="547" t="s">
        <v>709</v>
      </c>
      <c r="BP894" s="547" t="s">
        <v>709</v>
      </c>
      <c r="BQ894" s="547">
        <v>322</v>
      </c>
      <c r="BR894" s="547" t="s">
        <v>709</v>
      </c>
      <c r="BS894" s="547" t="s">
        <v>709</v>
      </c>
      <c r="BT894" s="547" t="s">
        <v>745</v>
      </c>
      <c r="BU894" s="547" t="s">
        <v>709</v>
      </c>
      <c r="BV894" s="547" t="s">
        <v>745</v>
      </c>
      <c r="BW894" s="547" t="s">
        <v>709</v>
      </c>
      <c r="BX894" s="547" t="s">
        <v>745</v>
      </c>
      <c r="BY894" s="547" t="s">
        <v>745</v>
      </c>
      <c r="BZ894" s="547" t="s">
        <v>709</v>
      </c>
      <c r="CA894" s="483"/>
      <c r="CB894" s="547">
        <v>892</v>
      </c>
      <c r="CC894" s="1481" t="b">
        <v>1</v>
      </c>
      <c r="CD894" t="str">
        <f>Table15[[#This Row],[Engineering Number]]&amp;Table15[[#This Row],[WO Number]]&amp;Table15[[#This Row],[Date Assigned to Designer]]&amp;Table15[[#This Row],[Date Completed]]</f>
        <v>BS34812122484494345014</v>
      </c>
    </row>
    <row r="895" spans="1:82" customFormat="1" ht="15" customHeight="1" x14ac:dyDescent="0.25">
      <c r="A895">
        <v>2023</v>
      </c>
      <c r="B895" s="8" t="s">
        <v>730</v>
      </c>
      <c r="C895" s="8" t="s">
        <v>366</v>
      </c>
      <c r="D895" s="8" t="s">
        <v>5474</v>
      </c>
      <c r="E895" s="8" t="s">
        <v>367</v>
      </c>
      <c r="F895" s="8" t="s">
        <v>752</v>
      </c>
      <c r="G895" s="8" t="s">
        <v>32</v>
      </c>
      <c r="H895" s="8" t="s">
        <v>59</v>
      </c>
      <c r="I895" s="642">
        <v>44888</v>
      </c>
      <c r="J895" s="18">
        <v>45019</v>
      </c>
      <c r="K895" s="97">
        <v>45014</v>
      </c>
      <c r="L895" s="16">
        <f>IF(ISTEXT(Table15[[#This Row],[Engineering Approved Design Date]]),Table15[[#This Row],[Date Completed]]-Table15[[#This Row],[Date Assigned to Designer]],Table15[[#This Row],[Engineering Approved Design Date]]-Table15[[#This Row],[Date Completed]])</f>
        <v>5</v>
      </c>
      <c r="M895" s="642"/>
      <c r="N895" s="642" t="s">
        <v>120</v>
      </c>
      <c r="O895" s="1060">
        <v>45017</v>
      </c>
      <c r="P895" s="1152" t="s">
        <v>120</v>
      </c>
      <c r="Q895" s="1061">
        <f>12750*Table15[[#This Row],['# of PV/STR/FV/TW/VLT]]</f>
        <v>12750</v>
      </c>
      <c r="R895" s="1026" t="s">
        <v>5194</v>
      </c>
      <c r="S895" s="538"/>
      <c r="T895" s="538"/>
      <c r="U895" s="87"/>
      <c r="V895" s="858">
        <v>43</v>
      </c>
      <c r="W895" s="437">
        <v>1</v>
      </c>
      <c r="X895" s="552">
        <v>130351.47</v>
      </c>
      <c r="Y895" s="551"/>
      <c r="Z895" s="552">
        <v>31721.95</v>
      </c>
      <c r="AA895" s="552">
        <f>Table15[[#This Row],[PCTS Investment Amount]]+Table15[[#This Row],[PCTS Retirement Amount]]</f>
        <v>162073.42000000001</v>
      </c>
      <c r="AB895" s="341">
        <v>45029</v>
      </c>
      <c r="AC895" s="568" t="s">
        <v>1056</v>
      </c>
      <c r="AD895" s="1157" t="s">
        <v>29</v>
      </c>
      <c r="AE895" s="579"/>
      <c r="AF895" s="579"/>
      <c r="AG895" s="579"/>
      <c r="AH895" s="553"/>
      <c r="AI895" s="1036"/>
      <c r="AJ895" s="1037"/>
      <c r="AK895" s="1037"/>
      <c r="AL895" s="1038"/>
      <c r="AM895" s="542" t="s">
        <v>709</v>
      </c>
      <c r="AN895" s="924"/>
      <c r="AO895" s="925"/>
      <c r="AP895" s="926"/>
      <c r="AQ895" s="926"/>
      <c r="AR895" s="926"/>
      <c r="AS895" s="926"/>
      <c r="AT895" s="926"/>
      <c r="AU895" s="926"/>
      <c r="AV895" s="926"/>
      <c r="AW895" s="927"/>
      <c r="AX895" s="926"/>
      <c r="AY895" s="1538" t="s">
        <v>29</v>
      </c>
      <c r="AZ895" s="1530"/>
      <c r="BA895" s="1031" t="s">
        <v>5475</v>
      </c>
      <c r="BB895" s="644" t="s">
        <v>5476</v>
      </c>
      <c r="BC895" s="544" t="s">
        <v>116</v>
      </c>
      <c r="BD895" s="544" t="s">
        <v>115</v>
      </c>
      <c r="BE895" s="544" t="s">
        <v>5477</v>
      </c>
      <c r="BF895" s="544" t="s">
        <v>1431</v>
      </c>
      <c r="BG895" s="544" t="s">
        <v>5272</v>
      </c>
      <c r="BH895" s="741" t="s">
        <v>5478</v>
      </c>
      <c r="BI895" s="547" t="s">
        <v>709</v>
      </c>
      <c r="BJ895" s="547" t="s">
        <v>709</v>
      </c>
      <c r="BK895" s="547" t="s">
        <v>116</v>
      </c>
      <c r="BL895" s="547" t="s">
        <v>116</v>
      </c>
      <c r="BM895" s="547">
        <v>0</v>
      </c>
      <c r="BN895" s="549">
        <v>0</v>
      </c>
      <c r="BO895" s="547">
        <v>0</v>
      </c>
      <c r="BP895" s="547">
        <v>0</v>
      </c>
      <c r="BQ895" s="547">
        <v>0</v>
      </c>
      <c r="BR895" s="547">
        <v>0</v>
      </c>
      <c r="BS895" s="547">
        <v>43</v>
      </c>
      <c r="BT895" s="547">
        <v>0</v>
      </c>
      <c r="BU895" s="547">
        <v>1</v>
      </c>
      <c r="BV895" s="547">
        <v>0</v>
      </c>
      <c r="BW895" s="547">
        <v>0</v>
      </c>
      <c r="BX895" s="547">
        <v>1</v>
      </c>
      <c r="BY895" s="547">
        <v>0</v>
      </c>
      <c r="BZ895" s="547" t="s">
        <v>709</v>
      </c>
      <c r="CA895" s="483"/>
      <c r="CB895" s="547">
        <v>894</v>
      </c>
      <c r="CC895" s="1481" t="b">
        <v>1</v>
      </c>
      <c r="CD895" t="str">
        <f>Table15[[#This Row],[Engineering Number]]&amp;Table15[[#This Row],[WO Number]]&amp;Table15[[#This Row],[Date Assigned to Designer]]&amp;Table15[[#This Row],[Date Completed]]</f>
        <v>RS112412120904488845014</v>
      </c>
    </row>
    <row r="896" spans="1:82" customFormat="1" ht="15" customHeight="1" x14ac:dyDescent="0.25">
      <c r="A896">
        <v>2023</v>
      </c>
      <c r="B896" s="8" t="s">
        <v>4</v>
      </c>
      <c r="C896" s="8" t="s">
        <v>5480</v>
      </c>
      <c r="D896" s="8" t="s">
        <v>5481</v>
      </c>
      <c r="E896" s="8" t="s">
        <v>3731</v>
      </c>
      <c r="F896" s="8" t="s">
        <v>747</v>
      </c>
      <c r="G896" s="8" t="s">
        <v>28</v>
      </c>
      <c r="H896" s="13" t="s">
        <v>59</v>
      </c>
      <c r="I896" s="642">
        <v>44939</v>
      </c>
      <c r="J896" s="18">
        <v>45019</v>
      </c>
      <c r="K896" s="175">
        <v>45014</v>
      </c>
      <c r="L896" s="16">
        <f>IF(ISTEXT(Table15[[#This Row],[Engineering Approved Design Date]]),Table15[[#This Row],[Date Completed]]-Table15[[#This Row],[Date Assigned to Designer]],Table15[[#This Row],[Engineering Approved Design Date]]-Table15[[#This Row],[Date Completed]])</f>
        <v>5</v>
      </c>
      <c r="M896" s="642"/>
      <c r="N896" s="642" t="s">
        <v>120</v>
      </c>
      <c r="O896" s="1060">
        <v>45017</v>
      </c>
      <c r="P896" s="1152" t="s">
        <v>120</v>
      </c>
      <c r="Q896" s="340">
        <f>Table15[[#This Row],[Rate]]*Table15[[#This Row],[Construction Cost to Bill From]]</f>
        <v>26620.856</v>
      </c>
      <c r="R896" s="1026">
        <v>0.1</v>
      </c>
      <c r="S896" s="538"/>
      <c r="T896" s="538"/>
      <c r="U896" s="87"/>
      <c r="V896" s="858">
        <v>1441</v>
      </c>
      <c r="W896" s="437">
        <v>0</v>
      </c>
      <c r="X896" s="552">
        <v>249271.95</v>
      </c>
      <c r="Y896" s="551"/>
      <c r="Z896" s="552">
        <v>16936.61</v>
      </c>
      <c r="AA896" s="552">
        <f>Table15[[#This Row],[PCTS Investment Amount]]+Table15[[#This Row],[PCTS Retirement Amount]]</f>
        <v>266208.56</v>
      </c>
      <c r="AB896" s="341">
        <v>45030</v>
      </c>
      <c r="AC896" s="568" t="s">
        <v>709</v>
      </c>
      <c r="AD896" s="1157" t="s">
        <v>29</v>
      </c>
      <c r="AE896" s="579" t="s">
        <v>29</v>
      </c>
      <c r="AF896" s="579" t="s">
        <v>29</v>
      </c>
      <c r="AG896" s="579" t="s">
        <v>29</v>
      </c>
      <c r="AH896" s="553" t="s">
        <v>29</v>
      </c>
      <c r="AI896" s="1036"/>
      <c r="AJ896" s="1037"/>
      <c r="AK896" s="1037"/>
      <c r="AL896" s="1038"/>
      <c r="AM896" s="1522" t="s">
        <v>116</v>
      </c>
      <c r="AN896" s="1523">
        <v>45104</v>
      </c>
      <c r="AO896" s="1524">
        <v>11063788</v>
      </c>
      <c r="AP896" s="1525">
        <v>249343.78</v>
      </c>
      <c r="AQ896" s="1525"/>
      <c r="AR896" s="1525">
        <v>17230.560000000001</v>
      </c>
      <c r="AS896" s="1525">
        <f>IF(Table15[[#This Row],[PCTS Approved]]="N",0,Table15[[#This Row],[Investment Amount (1'#'#'#'#'#)]]+Table15[[#This Row],[Retirement Amount (3'#'#'#'#'#)]])</f>
        <v>266574.34000000003</v>
      </c>
      <c r="AT896" s="1525">
        <f>IF(Table15[[#This Row],[Approved Construction Cost]]=0,0,Table15[[#This Row],[Approved Construction Cost]]-Table15[[#This Row],[Construction Cost to Bill From]])</f>
        <v>365.78000000002794</v>
      </c>
      <c r="AU896" s="1525">
        <f>IFERROR(Table15[[#This Row],[Difference in Construction Cost]]*Table15[[#This Row],[Rate]],Table15[[#This Row],[Difference in Construction Cost]]*0.085)</f>
        <v>36.578000000002795</v>
      </c>
      <c r="AV896" s="1525" t="s">
        <v>709</v>
      </c>
      <c r="AW896" s="1526"/>
      <c r="AX896" s="1525">
        <v>36.578000000002795</v>
      </c>
      <c r="AY896" s="1518">
        <v>45200</v>
      </c>
      <c r="AZ896" s="333"/>
      <c r="BA896" s="859" t="s">
        <v>5482</v>
      </c>
      <c r="BB896" s="644" t="s">
        <v>5483</v>
      </c>
      <c r="BC896" s="544" t="s">
        <v>709</v>
      </c>
      <c r="BD896" s="544" t="s">
        <v>709</v>
      </c>
      <c r="BE896" s="544" t="s">
        <v>467</v>
      </c>
      <c r="BF896" s="544" t="s">
        <v>709</v>
      </c>
      <c r="BG896" s="544" t="s">
        <v>709</v>
      </c>
      <c r="BH896" s="741"/>
      <c r="BI896" s="547" t="s">
        <v>709</v>
      </c>
      <c r="BJ896" s="547" t="s">
        <v>709</v>
      </c>
      <c r="BK896" s="547" t="s">
        <v>709</v>
      </c>
      <c r="BL896" s="547" t="s">
        <v>116</v>
      </c>
      <c r="BM896" s="547" t="s">
        <v>709</v>
      </c>
      <c r="BN896" s="547" t="s">
        <v>709</v>
      </c>
      <c r="BO896" s="547" t="s">
        <v>709</v>
      </c>
      <c r="BP896" s="547" t="s">
        <v>709</v>
      </c>
      <c r="BQ896" s="547" t="s">
        <v>709</v>
      </c>
      <c r="BR896" s="547" t="s">
        <v>709</v>
      </c>
      <c r="BS896" s="547">
        <v>1441</v>
      </c>
      <c r="BT896" s="547" t="s">
        <v>745</v>
      </c>
      <c r="BU896" s="547" t="s">
        <v>709</v>
      </c>
      <c r="BV896" s="547" t="s">
        <v>745</v>
      </c>
      <c r="BW896" s="547" t="s">
        <v>709</v>
      </c>
      <c r="BX896" s="547" t="s">
        <v>745</v>
      </c>
      <c r="BY896" s="547" t="s">
        <v>745</v>
      </c>
      <c r="BZ896" s="547" t="s">
        <v>709</v>
      </c>
      <c r="CA896" s="483"/>
      <c r="CB896" s="547">
        <v>893</v>
      </c>
      <c r="CC896" s="1481" t="b">
        <v>1</v>
      </c>
      <c r="CD896" t="str">
        <f>Table15[[#This Row],[Engineering Number]]&amp;Table15[[#This Row],[WO Number]]&amp;Table15[[#This Row],[Date Assigned to Designer]]&amp;Table15[[#This Row],[Date Completed]]</f>
        <v>SC1855214123934493945014</v>
      </c>
    </row>
    <row r="897" spans="1:82" customFormat="1" ht="15" customHeight="1" x14ac:dyDescent="0.25">
      <c r="A897">
        <v>2023</v>
      </c>
      <c r="B897" s="8" t="s">
        <v>1073</v>
      </c>
      <c r="C897" s="8" t="s">
        <v>286</v>
      </c>
      <c r="D897" s="8">
        <v>1511907</v>
      </c>
      <c r="E897" s="8" t="s">
        <v>277</v>
      </c>
      <c r="F897" s="8" t="s">
        <v>784</v>
      </c>
      <c r="G897" s="8" t="s">
        <v>22</v>
      </c>
      <c r="H897" s="8" t="s">
        <v>4189</v>
      </c>
      <c r="I897" s="642">
        <v>45005</v>
      </c>
      <c r="J897" s="175" t="s">
        <v>2052</v>
      </c>
      <c r="K897" s="97">
        <v>45015</v>
      </c>
      <c r="L897" s="16">
        <f>IF(ISTEXT(Table15[[#This Row],[Engineering Approved Design Date]]),Table15[[#This Row],[Date Completed]]-Table15[[#This Row],[Date Assigned to Designer]],Table15[[#This Row],[Engineering Approved Design Date]]-Table15[[#This Row],[Date Completed]])</f>
        <v>10</v>
      </c>
      <c r="M897" s="16" t="s">
        <v>5488</v>
      </c>
      <c r="N897" s="642" t="s">
        <v>120</v>
      </c>
      <c r="O897" s="1060">
        <v>45017</v>
      </c>
      <c r="P897" s="21" t="s">
        <v>739</v>
      </c>
      <c r="Q897" s="1061">
        <f>Table15[[#This Row],[KH Hourly Effort]]</f>
        <v>2700</v>
      </c>
      <c r="R897" s="1026" t="s">
        <v>1922</v>
      </c>
      <c r="S897" s="538">
        <v>0</v>
      </c>
      <c r="T897" s="538"/>
      <c r="U897" s="87">
        <v>2700</v>
      </c>
      <c r="V897" s="857"/>
      <c r="W897" s="440"/>
      <c r="X897" s="538"/>
      <c r="Y897" s="551"/>
      <c r="Z897" s="538"/>
      <c r="AA897" s="552"/>
      <c r="AB897" s="341"/>
      <c r="AC897" s="569" t="s">
        <v>709</v>
      </c>
      <c r="AD897" s="1149" t="s">
        <v>116</v>
      </c>
      <c r="AE897" s="569"/>
      <c r="AF897" s="569"/>
      <c r="AG897" s="569"/>
      <c r="AH897" s="536"/>
      <c r="AI897" s="1028"/>
      <c r="AJ897" s="1029"/>
      <c r="AK897" s="1029"/>
      <c r="AL897" s="1030"/>
      <c r="AM897" s="542" t="s">
        <v>709</v>
      </c>
      <c r="AN897" s="924"/>
      <c r="AO897" s="925"/>
      <c r="AP897" s="926"/>
      <c r="AQ897" s="926"/>
      <c r="AR897" s="926"/>
      <c r="AS897" s="926"/>
      <c r="AT897" s="926"/>
      <c r="AU897" s="926"/>
      <c r="AV897" s="926"/>
      <c r="AW897" s="927"/>
      <c r="AX897" s="926"/>
      <c r="AY897" s="1538" t="s">
        <v>29</v>
      </c>
      <c r="AZ897" s="1530"/>
      <c r="BA897" s="1031">
        <v>4</v>
      </c>
      <c r="BB897" s="644" t="s">
        <v>5489</v>
      </c>
      <c r="BC897" s="544"/>
      <c r="BD897" s="544"/>
      <c r="BE897" s="544"/>
      <c r="BF897" s="544"/>
      <c r="BG897" s="544"/>
      <c r="BH897" s="741"/>
      <c r="BI897" s="547" t="s">
        <v>709</v>
      </c>
      <c r="BJ897" s="547" t="s">
        <v>709</v>
      </c>
      <c r="BK897" s="547" t="s">
        <v>116</v>
      </c>
      <c r="BL897" s="547" t="s">
        <v>116</v>
      </c>
      <c r="BM897" s="547" t="s">
        <v>709</v>
      </c>
      <c r="BN897" s="547" t="s">
        <v>709</v>
      </c>
      <c r="BO897" s="547" t="s">
        <v>709</v>
      </c>
      <c r="BP897" s="547" t="s">
        <v>709</v>
      </c>
      <c r="BQ897" s="547" t="s">
        <v>709</v>
      </c>
      <c r="BR897" s="547">
        <v>5387</v>
      </c>
      <c r="BS897" s="547" t="s">
        <v>709</v>
      </c>
      <c r="BT897" s="547" t="s">
        <v>745</v>
      </c>
      <c r="BU897" s="547" t="s">
        <v>709</v>
      </c>
      <c r="BV897" s="547" t="s">
        <v>745</v>
      </c>
      <c r="BW897" s="547" t="s">
        <v>709</v>
      </c>
      <c r="BX897" s="547" t="s">
        <v>745</v>
      </c>
      <c r="BY897" s="547">
        <v>1</v>
      </c>
      <c r="BZ897" s="547" t="s">
        <v>709</v>
      </c>
      <c r="CA897" s="483"/>
      <c r="CB897" s="547">
        <v>895</v>
      </c>
      <c r="CC897" s="1481" t="b">
        <v>1</v>
      </c>
      <c r="CD897" t="str">
        <f>Table15[[#This Row],[Engineering Number]]&amp;Table15[[#This Row],[WO Number]]&amp;Table15[[#This Row],[Date Assigned to Designer]]&amp;Table15[[#This Row],[Date Completed]]</f>
        <v>NBA10006212-115119074500545015</v>
      </c>
    </row>
    <row r="898" spans="1:82" customFormat="1" ht="15" customHeight="1" x14ac:dyDescent="0.25">
      <c r="A898" s="13">
        <v>2023</v>
      </c>
      <c r="B898" s="13" t="s">
        <v>759</v>
      </c>
      <c r="C898" s="13" t="s">
        <v>416</v>
      </c>
      <c r="D898" s="13">
        <v>1011926</v>
      </c>
      <c r="E898" s="13" t="s">
        <v>309</v>
      </c>
      <c r="F898" s="452" t="s">
        <v>752</v>
      </c>
      <c r="G898" s="13" t="s">
        <v>22</v>
      </c>
      <c r="H898" s="13" t="s">
        <v>59</v>
      </c>
      <c r="I898" s="642">
        <v>44838</v>
      </c>
      <c r="J898" s="18">
        <v>45016</v>
      </c>
      <c r="K898" s="642">
        <v>45015</v>
      </c>
      <c r="L898" s="649">
        <f>IF(ISTEXT(Table15[[#This Row],[Engineering Approved Design Date]]),Table15[[#This Row],[Date Completed]]-Table15[[#This Row],[Date Assigned to Designer]],Table15[[#This Row],[Engineering Approved Design Date]]-Table15[[#This Row],[Date Completed]])</f>
        <v>1</v>
      </c>
      <c r="N898" s="642" t="s">
        <v>120</v>
      </c>
      <c r="O898" s="1060">
        <v>45047</v>
      </c>
      <c r="P898" s="21" t="s">
        <v>120</v>
      </c>
      <c r="Q898" s="340">
        <f>Table15[[#This Row],[Rate]]*Table15[[#This Row],[Construction Cost to Bill From]]</f>
        <v>92865.143799999991</v>
      </c>
      <c r="R898" s="1039">
        <v>0.11</v>
      </c>
      <c r="S898" s="538"/>
      <c r="T898" s="538"/>
      <c r="U898" s="28"/>
      <c r="V898" s="1190">
        <v>403</v>
      </c>
      <c r="W898" s="442">
        <v>2</v>
      </c>
      <c r="X898" s="570">
        <v>737349.19</v>
      </c>
      <c r="Y898" s="550"/>
      <c r="Z898" s="570">
        <v>106879.39</v>
      </c>
      <c r="AA898" s="552">
        <f>Table15[[#This Row],[PCTS Investment Amount]]+Table15[[#This Row],[PCTS Retirement Amount]]</f>
        <v>844228.58</v>
      </c>
      <c r="AB898" s="476">
        <v>45028</v>
      </c>
      <c r="AC898" s="576" t="s">
        <v>1296</v>
      </c>
      <c r="AD898" s="1158" t="s">
        <v>29</v>
      </c>
      <c r="AE898" s="581" t="s">
        <v>29</v>
      </c>
      <c r="AF898" s="581" t="s">
        <v>29</v>
      </c>
      <c r="AG898" s="581" t="s">
        <v>29</v>
      </c>
      <c r="AH898" s="583" t="s">
        <v>29</v>
      </c>
      <c r="AI898" s="1047"/>
      <c r="AJ898" s="1048"/>
      <c r="AK898" s="1048"/>
      <c r="AL898" s="1049"/>
      <c r="AM898" s="536" t="s">
        <v>116</v>
      </c>
      <c r="AN898" s="903" t="s">
        <v>709</v>
      </c>
      <c r="AO898" s="1536">
        <v>11050929</v>
      </c>
      <c r="AP898" s="1537"/>
      <c r="AQ898" s="1537"/>
      <c r="AR898" s="1537"/>
      <c r="AS898" s="888">
        <f>IF(Table15[[#This Row],[PCTS Approved]]="N",0,Table15[[#This Row],[Investment Amount (1'#'#'#'#'#)]]+Table15[[#This Row],[Retirement Amount (3'#'#'#'#'#)]])</f>
        <v>0</v>
      </c>
      <c r="AT898" s="888">
        <f>IF(Table15[[#This Row],[Approved Construction Cost]]=0,0,Table15[[#This Row],[Approved Construction Cost]]-Table15[[#This Row],[Construction Cost to Bill From]])</f>
        <v>0</v>
      </c>
      <c r="AU898" s="888">
        <f>IFERROR(Table15[[#This Row],[Difference in Construction Cost]]*Table15[[#This Row],[Rate]],Table15[[#This Row],[Difference in Construction Cost]]*0.085)</f>
        <v>0</v>
      </c>
      <c r="AV898" s="905"/>
      <c r="AW898" s="1509"/>
      <c r="AX898" s="888"/>
      <c r="AY898" s="636" t="s">
        <v>709</v>
      </c>
      <c r="AZ898" s="333">
        <v>151</v>
      </c>
      <c r="BA898" s="859" t="s">
        <v>1437</v>
      </c>
      <c r="BB898" s="543" t="s">
        <v>1438</v>
      </c>
      <c r="BC898" s="544" t="s">
        <v>115</v>
      </c>
      <c r="BD898" s="544" t="s">
        <v>709</v>
      </c>
      <c r="BE898" s="544" t="s">
        <v>709</v>
      </c>
      <c r="BF898" s="544" t="s">
        <v>1439</v>
      </c>
      <c r="BG898" s="544" t="s">
        <v>115</v>
      </c>
      <c r="BH898" s="741"/>
      <c r="BI898" s="549" t="s">
        <v>709</v>
      </c>
      <c r="BJ898" s="549" t="s">
        <v>709</v>
      </c>
      <c r="BK898" s="549" t="s">
        <v>116</v>
      </c>
      <c r="BL898" s="549" t="s">
        <v>116</v>
      </c>
      <c r="BM898" s="549" t="s">
        <v>709</v>
      </c>
      <c r="BN898" s="549" t="s">
        <v>709</v>
      </c>
      <c r="BO898" s="549" t="s">
        <v>709</v>
      </c>
      <c r="BP898" s="549" t="s">
        <v>709</v>
      </c>
      <c r="BQ898" s="549">
        <v>139</v>
      </c>
      <c r="BR898" s="549">
        <v>140</v>
      </c>
      <c r="BS898" s="549">
        <v>54</v>
      </c>
      <c r="BT898" s="549" t="s">
        <v>709</v>
      </c>
      <c r="BU898" s="549" t="s">
        <v>709</v>
      </c>
      <c r="BV898" s="549" t="s">
        <v>709</v>
      </c>
      <c r="BW898" s="549">
        <v>1</v>
      </c>
      <c r="BX898" s="549">
        <v>1</v>
      </c>
      <c r="BY898" s="549" t="s">
        <v>709</v>
      </c>
      <c r="BZ898" s="547" t="s">
        <v>709</v>
      </c>
      <c r="CA898" s="484" t="s">
        <v>1440</v>
      </c>
      <c r="CB898" s="547">
        <v>897</v>
      </c>
      <c r="CC898" s="1481" t="b">
        <v>1</v>
      </c>
      <c r="CD898" t="str">
        <f>Table15[[#This Row],[Engineering Number]]&amp;Table15[[#This Row],[WO Number]]&amp;Table15[[#This Row],[Date Assigned to Designer]]&amp;Table15[[#This Row],[Date Completed]]</f>
        <v>RS108010119264483845015</v>
      </c>
    </row>
    <row r="899" spans="1:82" customFormat="1" ht="15" customHeight="1" x14ac:dyDescent="0.25">
      <c r="A899">
        <v>2022</v>
      </c>
      <c r="B899" s="8" t="s">
        <v>2</v>
      </c>
      <c r="C899" s="8" t="s">
        <v>1259</v>
      </c>
      <c r="D899" s="8" t="s">
        <v>1260</v>
      </c>
      <c r="E899" s="8" t="s">
        <v>1261</v>
      </c>
      <c r="F899" s="8" t="s">
        <v>752</v>
      </c>
      <c r="G899" s="8" t="s">
        <v>24</v>
      </c>
      <c r="H899" s="8" t="s">
        <v>2724</v>
      </c>
      <c r="I899" s="642">
        <v>44727</v>
      </c>
      <c r="J899" s="175" t="s">
        <v>4110</v>
      </c>
      <c r="K899" s="97">
        <v>45015</v>
      </c>
      <c r="L899" s="649">
        <f>IF(ISTEXT(Table15[[#This Row],[Engineering Approved Design Date]]),Table15[[#This Row],[Date Completed]]-Table15[[#This Row],[Date Assigned to Designer]],Table15[[#This Row],[Engineering Approved Design Date]]-Table15[[#This Row],[Date Completed]])</f>
        <v>288</v>
      </c>
      <c r="M899" s="16" t="s">
        <v>5485</v>
      </c>
      <c r="N899" s="642" t="s">
        <v>120</v>
      </c>
      <c r="O899" s="1060">
        <v>45047</v>
      </c>
      <c r="P899" s="21" t="s">
        <v>120</v>
      </c>
      <c r="Q899" s="340">
        <f>Table15[[#This Row],[KH Hourly Effort]]</f>
        <v>8485</v>
      </c>
      <c r="R899" s="1026" t="s">
        <v>1922</v>
      </c>
      <c r="S899" s="538">
        <v>0</v>
      </c>
      <c r="T899" s="538"/>
      <c r="U899" s="87">
        <v>8485</v>
      </c>
      <c r="V899" s="858" t="s">
        <v>29</v>
      </c>
      <c r="W899" s="425" t="s">
        <v>29</v>
      </c>
      <c r="X899" s="538" t="s">
        <v>29</v>
      </c>
      <c r="Y899" s="551" t="s">
        <v>915</v>
      </c>
      <c r="Z899" s="538" t="s">
        <v>29</v>
      </c>
      <c r="AA899" s="552" t="s">
        <v>29</v>
      </c>
      <c r="AB899" s="341" t="s">
        <v>29</v>
      </c>
      <c r="AC899" s="569" t="s">
        <v>29</v>
      </c>
      <c r="AD899" s="1149" t="s">
        <v>29</v>
      </c>
      <c r="AE899" s="580"/>
      <c r="AF899" s="580"/>
      <c r="AG899" s="580"/>
      <c r="AH899" s="542"/>
      <c r="AI899" s="1028"/>
      <c r="AJ899" s="1029"/>
      <c r="AK899" s="1029"/>
      <c r="AL899" s="1030"/>
      <c r="AM899" s="542" t="s">
        <v>709</v>
      </c>
      <c r="AN899" s="924"/>
      <c r="AO899" s="925"/>
      <c r="AP899" s="926"/>
      <c r="AQ899" s="926"/>
      <c r="AR899" s="926"/>
      <c r="AS899" s="926"/>
      <c r="AT899" s="926"/>
      <c r="AU899" s="926"/>
      <c r="AV899" s="926"/>
      <c r="AW899" s="927"/>
      <c r="AX899" s="926"/>
      <c r="AY899" s="1538" t="s">
        <v>29</v>
      </c>
      <c r="AZ899" s="1530"/>
      <c r="BA899" s="1031">
        <v>4</v>
      </c>
      <c r="BB899" s="644" t="s">
        <v>5486</v>
      </c>
      <c r="BC899" s="544"/>
      <c r="BD899" s="544"/>
      <c r="BE899" s="544"/>
      <c r="BF899" s="544"/>
      <c r="BG899" s="544"/>
      <c r="BH899" s="741"/>
      <c r="BI899" s="547" t="s">
        <v>709</v>
      </c>
      <c r="BJ899" s="547" t="s">
        <v>709</v>
      </c>
      <c r="BK899" s="547" t="s">
        <v>116</v>
      </c>
      <c r="BL899" s="547" t="s">
        <v>116</v>
      </c>
      <c r="BM899" s="547" t="s">
        <v>709</v>
      </c>
      <c r="BN899" s="547" t="s">
        <v>709</v>
      </c>
      <c r="BO899" s="547" t="s">
        <v>709</v>
      </c>
      <c r="BP899" s="547" t="s">
        <v>709</v>
      </c>
      <c r="BQ899" s="547" t="s">
        <v>116</v>
      </c>
      <c r="BR899" s="547" t="s">
        <v>116</v>
      </c>
      <c r="BS899" s="547" t="s">
        <v>116</v>
      </c>
      <c r="BT899" s="547" t="s">
        <v>116</v>
      </c>
      <c r="BU899" s="547" t="s">
        <v>709</v>
      </c>
      <c r="BV899" s="547" t="s">
        <v>745</v>
      </c>
      <c r="BW899" s="547" t="s">
        <v>709</v>
      </c>
      <c r="BX899" s="547" t="s">
        <v>745</v>
      </c>
      <c r="BY899" s="547" t="s">
        <v>745</v>
      </c>
      <c r="BZ899" s="547" t="s">
        <v>709</v>
      </c>
      <c r="CA899" s="483" t="s">
        <v>2</v>
      </c>
      <c r="CB899" s="547">
        <v>896</v>
      </c>
      <c r="CC899" s="1481" t="b">
        <v>1</v>
      </c>
      <c r="CD899" t="str">
        <f>Table15[[#This Row],[Engineering Number]]&amp;Table15[[#This Row],[WO Number]]&amp;Table15[[#This Row],[Date Assigned to Designer]]&amp;Table15[[#This Row],[Date Completed]]</f>
        <v>RS98810109604472745015</v>
      </c>
    </row>
    <row r="900" spans="1:82" customFormat="1" ht="15" customHeight="1" x14ac:dyDescent="0.25">
      <c r="A900">
        <v>2023</v>
      </c>
      <c r="B900" s="13" t="s">
        <v>759</v>
      </c>
      <c r="C900" s="13" t="s">
        <v>437</v>
      </c>
      <c r="D900" s="13">
        <v>1011935</v>
      </c>
      <c r="E900" s="13" t="s">
        <v>438</v>
      </c>
      <c r="F900" s="452" t="s">
        <v>752</v>
      </c>
      <c r="G900" s="13" t="s">
        <v>34</v>
      </c>
      <c r="H900" s="13" t="s">
        <v>59</v>
      </c>
      <c r="I900" s="642">
        <v>44838</v>
      </c>
      <c r="J900" s="175">
        <v>45016</v>
      </c>
      <c r="K900" s="642">
        <v>45016</v>
      </c>
      <c r="L900" s="649">
        <f>IF(ISTEXT(Table15[[#This Row],[Engineering Approved Design Date]]),Table15[[#This Row],[Date Completed]]-Table15[[#This Row],[Date Assigned to Designer]],Table15[[#This Row],[Engineering Approved Design Date]]-Table15[[#This Row],[Date Completed]])</f>
        <v>0</v>
      </c>
      <c r="N900" s="642" t="s">
        <v>120</v>
      </c>
      <c r="O900" s="1060">
        <v>45017</v>
      </c>
      <c r="P900" s="21" t="s">
        <v>120</v>
      </c>
      <c r="Q900" s="340">
        <f>Table15[[#This Row],[Rate]]*Table15[[#This Row],[Construction Cost to Bill From]]</f>
        <v>102706.21130000001</v>
      </c>
      <c r="R900" s="1039">
        <v>0.11</v>
      </c>
      <c r="S900" s="538"/>
      <c r="T900" s="538"/>
      <c r="U900" s="28"/>
      <c r="V900" s="1190">
        <v>1253</v>
      </c>
      <c r="W900" s="442">
        <v>3</v>
      </c>
      <c r="X900" s="552">
        <v>818002.56</v>
      </c>
      <c r="Y900" s="550"/>
      <c r="Z900" s="552">
        <v>115690.27</v>
      </c>
      <c r="AA900" s="552">
        <f>Table15[[#This Row],[PCTS Investment Amount]]+Table15[[#This Row],[PCTS Retirement Amount]]</f>
        <v>933692.83000000007</v>
      </c>
      <c r="AB900" s="476">
        <v>45028</v>
      </c>
      <c r="AC900" s="576" t="s">
        <v>1441</v>
      </c>
      <c r="AD900" s="1158" t="s">
        <v>29</v>
      </c>
      <c r="AE900" s="581"/>
      <c r="AF900" s="581"/>
      <c r="AG900" s="581"/>
      <c r="AH900" s="583"/>
      <c r="AI900" s="1047"/>
      <c r="AJ900" s="1048"/>
      <c r="AK900" s="1048"/>
      <c r="AL900" s="1049"/>
      <c r="AM900" s="536" t="s">
        <v>116</v>
      </c>
      <c r="AN900" s="903" t="s">
        <v>709</v>
      </c>
      <c r="AO900" s="1536">
        <v>11056663</v>
      </c>
      <c r="AP900" s="1537"/>
      <c r="AQ900" s="1537"/>
      <c r="AR900" s="1537"/>
      <c r="AS900" s="888">
        <f>IF(Table15[[#This Row],[PCTS Approved]]="N",0,Table15[[#This Row],[Investment Amount (1'#'#'#'#'#)]]+Table15[[#This Row],[Retirement Amount (3'#'#'#'#'#)]])</f>
        <v>0</v>
      </c>
      <c r="AT900" s="888">
        <f>IF(Table15[[#This Row],[Approved Construction Cost]]=0,0,Table15[[#This Row],[Approved Construction Cost]]-Table15[[#This Row],[Construction Cost to Bill From]])</f>
        <v>0</v>
      </c>
      <c r="AU900" s="888">
        <f>IFERROR(Table15[[#This Row],[Difference in Construction Cost]]*Table15[[#This Row],[Rate]],Table15[[#This Row],[Difference in Construction Cost]]*0.085)</f>
        <v>0</v>
      </c>
      <c r="AV900" s="905"/>
      <c r="AW900" s="1509"/>
      <c r="AX900" s="888"/>
      <c r="AY900" s="636" t="s">
        <v>709</v>
      </c>
      <c r="AZ900" s="333">
        <v>152</v>
      </c>
      <c r="BA900" s="859" t="s">
        <v>1442</v>
      </c>
      <c r="BB900" s="543" t="s">
        <v>1443</v>
      </c>
      <c r="BC900" s="544" t="s">
        <v>115</v>
      </c>
      <c r="BD900" s="544" t="s">
        <v>115</v>
      </c>
      <c r="BE900" s="544" t="s">
        <v>1444</v>
      </c>
      <c r="BF900" s="544" t="s">
        <v>115</v>
      </c>
      <c r="BG900" s="544" t="s">
        <v>115</v>
      </c>
      <c r="BH900" s="741" t="s">
        <v>1445</v>
      </c>
      <c r="BI900" s="547" t="s">
        <v>709</v>
      </c>
      <c r="BJ900" s="547" t="s">
        <v>709</v>
      </c>
      <c r="BK900" s="547" t="s">
        <v>709</v>
      </c>
      <c r="BL900" s="547" t="s">
        <v>116</v>
      </c>
      <c r="BM900" s="547" t="s">
        <v>709</v>
      </c>
      <c r="BN900" s="547" t="s">
        <v>709</v>
      </c>
      <c r="BO900" s="547" t="s">
        <v>709</v>
      </c>
      <c r="BP900" s="547">
        <v>354</v>
      </c>
      <c r="BQ900" s="547">
        <v>759</v>
      </c>
      <c r="BR900" s="547">
        <v>45</v>
      </c>
      <c r="BS900" s="547">
        <v>5</v>
      </c>
      <c r="BT900" s="547">
        <v>1</v>
      </c>
      <c r="BU900" s="547" t="s">
        <v>709</v>
      </c>
      <c r="BV900" s="547" t="s">
        <v>709</v>
      </c>
      <c r="BW900" s="547">
        <v>1</v>
      </c>
      <c r="BX900" s="547">
        <v>1</v>
      </c>
      <c r="BY900" s="547" t="s">
        <v>709</v>
      </c>
      <c r="BZ900" s="547" t="s">
        <v>709</v>
      </c>
      <c r="CA900" s="483" t="s">
        <v>1022</v>
      </c>
      <c r="CB900" s="547">
        <v>898</v>
      </c>
      <c r="CC900" s="1481" t="b">
        <v>1</v>
      </c>
      <c r="CD900" t="str">
        <f>Table15[[#This Row],[Engineering Number]]&amp;Table15[[#This Row],[WO Number]]&amp;Table15[[#This Row],[Date Assigned to Designer]]&amp;Table15[[#This Row],[Date Completed]]</f>
        <v>RS95910119354483845016</v>
      </c>
    </row>
    <row r="901" spans="1:82" customFormat="1" ht="15" customHeight="1" x14ac:dyDescent="0.25">
      <c r="A901">
        <v>2022</v>
      </c>
      <c r="B901" s="8" t="s">
        <v>4</v>
      </c>
      <c r="C901" s="8" t="s">
        <v>5493</v>
      </c>
      <c r="D901" s="8" t="s">
        <v>5494</v>
      </c>
      <c r="E901" s="8" t="s">
        <v>1384</v>
      </c>
      <c r="F901" s="8" t="s">
        <v>5495</v>
      </c>
      <c r="G901" s="8" t="s">
        <v>35</v>
      </c>
      <c r="H901" s="647" t="s">
        <v>1903</v>
      </c>
      <c r="I901" s="642">
        <v>44769</v>
      </c>
      <c r="J901" s="18">
        <v>45078</v>
      </c>
      <c r="K901" s="18">
        <v>45020</v>
      </c>
      <c r="L901" s="16">
        <f>IF(ISTEXT(Table15[[#This Row],[Engineering Approved Design Date]]),Table15[[#This Row],[Date Completed]]-Table15[[#This Row],[Date Assigned to Designer]],Table15[[#This Row],[Engineering Approved Design Date]]-Table15[[#This Row],[Date Completed]])</f>
        <v>58</v>
      </c>
      <c r="M901" s="642"/>
      <c r="N901" s="642" t="s">
        <v>120</v>
      </c>
      <c r="O901" s="1060">
        <f>Table15[[#This Row],[Date Completed]]</f>
        <v>45020</v>
      </c>
      <c r="P901" s="1152" t="s">
        <v>739</v>
      </c>
      <c r="Q901" s="87" t="s">
        <v>115</v>
      </c>
      <c r="R901" s="1026" t="s">
        <v>115</v>
      </c>
      <c r="S901" s="538"/>
      <c r="T901" s="538"/>
      <c r="U901" s="87"/>
      <c r="V901" s="857"/>
      <c r="W901" s="440"/>
      <c r="X901" s="550"/>
      <c r="Y901" s="550"/>
      <c r="Z901" s="550"/>
      <c r="AA901" s="552"/>
      <c r="AB901" s="341" t="s">
        <v>29</v>
      </c>
      <c r="AC901" s="568" t="s">
        <v>709</v>
      </c>
      <c r="AD901" s="1157" t="s">
        <v>29</v>
      </c>
      <c r="AE901" s="579"/>
      <c r="AF901" s="579"/>
      <c r="AG901" s="579"/>
      <c r="AH901" s="553"/>
      <c r="AI901" s="1036"/>
      <c r="AJ901" s="1037"/>
      <c r="AK901" s="1037"/>
      <c r="AL901" s="1038"/>
      <c r="AM901" s="542" t="s">
        <v>709</v>
      </c>
      <c r="AN901" s="924"/>
      <c r="AO901" s="925"/>
      <c r="AP901" s="926"/>
      <c r="AQ901" s="926"/>
      <c r="AR901" s="926"/>
      <c r="AS901" s="926"/>
      <c r="AT901" s="926"/>
      <c r="AU901" s="926"/>
      <c r="AV901" s="926"/>
      <c r="AW901" s="927"/>
      <c r="AX901" s="926"/>
      <c r="AY901" s="1538" t="s">
        <v>29</v>
      </c>
      <c r="AZ901" s="1530"/>
      <c r="BA901" s="1031" t="s">
        <v>5496</v>
      </c>
      <c r="BB901" s="644" t="s">
        <v>1386</v>
      </c>
      <c r="BC901" s="544" t="s">
        <v>116</v>
      </c>
      <c r="BD901" s="544" t="s">
        <v>115</v>
      </c>
      <c r="BE901" s="544" t="s">
        <v>1387</v>
      </c>
      <c r="BF901" s="544" t="s">
        <v>115</v>
      </c>
      <c r="BG901" s="544" t="s">
        <v>115</v>
      </c>
      <c r="BH901" s="741"/>
      <c r="BI901" s="1032"/>
      <c r="BJ901" s="1032"/>
      <c r="BK901" s="1032"/>
      <c r="BL901" s="1032"/>
      <c r="BM901" s="1032"/>
      <c r="BN901" s="1032"/>
      <c r="BO901" s="1032"/>
      <c r="BP901" s="1032"/>
      <c r="BQ901" s="1032"/>
      <c r="BR901" s="1032"/>
      <c r="BS901" s="1032"/>
      <c r="BT901" s="1032"/>
      <c r="BU901" s="1032"/>
      <c r="BV901" s="1032"/>
      <c r="BW901" s="1032"/>
      <c r="BX901" s="1032"/>
      <c r="BY901" s="1032"/>
      <c r="BZ901" s="1032"/>
      <c r="CA901" s="485"/>
      <c r="CB901" s="547">
        <v>899</v>
      </c>
      <c r="CC901" s="1481" t="b">
        <v>1</v>
      </c>
      <c r="CD901" t="str">
        <f>Table15[[#This Row],[Engineering Number]]&amp;Table15[[#This Row],[WO Number]]&amp;Table15[[#This Row],[Date Assigned to Designer]]&amp;Table15[[#This Row],[Date Completed]]</f>
        <v>SC21135-111117234476945020</v>
      </c>
    </row>
    <row r="902" spans="1:82" customFormat="1" ht="15" customHeight="1" x14ac:dyDescent="0.25">
      <c r="A902">
        <v>2023</v>
      </c>
      <c r="B902" s="8" t="s">
        <v>771</v>
      </c>
      <c r="C902" s="8" t="s">
        <v>360</v>
      </c>
      <c r="D902" s="8" t="s">
        <v>5498</v>
      </c>
      <c r="E902" s="8" t="s">
        <v>361</v>
      </c>
      <c r="F902" s="8" t="s">
        <v>784</v>
      </c>
      <c r="G902" s="8" t="s">
        <v>23</v>
      </c>
      <c r="H902" s="13" t="s">
        <v>59</v>
      </c>
      <c r="I902" s="642">
        <v>44883</v>
      </c>
      <c r="J902" s="18">
        <v>45023</v>
      </c>
      <c r="K902" s="97">
        <v>45022</v>
      </c>
      <c r="L902" s="16">
        <f>IF(ISTEXT(Table15[[#This Row],[Engineering Approved Design Date]]),Table15[[#This Row],[Date Completed]]-Table15[[#This Row],[Date Assigned to Designer]],Table15[[#This Row],[Engineering Approved Design Date]]-Table15[[#This Row],[Date Completed]])</f>
        <v>1</v>
      </c>
      <c r="M902" s="642"/>
      <c r="N902" s="642" t="s">
        <v>120</v>
      </c>
      <c r="O902" s="1060">
        <f>Table15[[#This Row],[Date Completed]]</f>
        <v>45022</v>
      </c>
      <c r="P902" s="1152" t="s">
        <v>120</v>
      </c>
      <c r="Q902" s="340">
        <f>Table15[[#This Row],[Rate]]*Table15[[#This Row],[Construction Cost to Bill From]]</f>
        <v>265439.826</v>
      </c>
      <c r="R902" s="1026">
        <v>0.06</v>
      </c>
      <c r="S902" s="538"/>
      <c r="T902" s="538"/>
      <c r="U902" s="87"/>
      <c r="V902" s="858">
        <v>7544</v>
      </c>
      <c r="W902" s="437">
        <v>1</v>
      </c>
      <c r="X902" s="552">
        <v>4347670.95</v>
      </c>
      <c r="Y902" s="551"/>
      <c r="Z902" s="552">
        <v>76326.149999999994</v>
      </c>
      <c r="AA902" s="552">
        <f>Table15[[#This Row],[PCTS Investment Amount]]+Z902</f>
        <v>4423997.1000000006</v>
      </c>
      <c r="AB902" s="341">
        <v>45035</v>
      </c>
      <c r="AC902" s="568" t="s">
        <v>116</v>
      </c>
      <c r="AD902" s="1157" t="s">
        <v>29</v>
      </c>
      <c r="AE902" s="568" t="s">
        <v>29</v>
      </c>
      <c r="AF902" s="568" t="s">
        <v>29</v>
      </c>
      <c r="AG902" s="568" t="s">
        <v>29</v>
      </c>
      <c r="AH902" s="183" t="s">
        <v>29</v>
      </c>
      <c r="AI902" s="1036"/>
      <c r="AJ902" s="1037"/>
      <c r="AK902" s="1037"/>
      <c r="AL902" s="1038"/>
      <c r="AM902" s="1522" t="s">
        <v>116</v>
      </c>
      <c r="AN902" s="1523">
        <v>45153</v>
      </c>
      <c r="AO902" s="1524">
        <v>11056671</v>
      </c>
      <c r="AP902" s="1525">
        <v>4348239.54</v>
      </c>
      <c r="AQ902" s="1525"/>
      <c r="AR902" s="1525">
        <v>76326.39</v>
      </c>
      <c r="AS902" s="1525">
        <f>IF(Table15[[#This Row],[PCTS Approved]]="N",0,Table15[[#This Row],[Investment Amount (1'#'#'#'#'#)]]+Table15[[#This Row],[Retirement Amount (3'#'#'#'#'#)]])</f>
        <v>4424565.93</v>
      </c>
      <c r="AT902" s="1525">
        <f>IF(Table15[[#This Row],[Approved Construction Cost]]=0,0,Table15[[#This Row],[Approved Construction Cost]]-Table15[[#This Row],[Construction Cost to Bill From]])</f>
        <v>568.82999999914318</v>
      </c>
      <c r="AU902" s="1525">
        <f>IFERROR(Table15[[#This Row],[Difference in Construction Cost]]*Table15[[#This Row],[Rate]],Table15[[#This Row],[Difference in Construction Cost]]*0.085)</f>
        <v>34.129799999948588</v>
      </c>
      <c r="AV902" s="1525" t="s">
        <v>709</v>
      </c>
      <c r="AW902" s="1526"/>
      <c r="AX902" s="1525">
        <v>34.130000000000003</v>
      </c>
      <c r="AY902" s="1518">
        <v>45352</v>
      </c>
      <c r="AZ902" s="333"/>
      <c r="BA902" s="859" t="s">
        <v>5500</v>
      </c>
      <c r="BB902" s="644" t="s">
        <v>5501</v>
      </c>
      <c r="BC902" s="544" t="s">
        <v>116</v>
      </c>
      <c r="BD902" s="544" t="s">
        <v>882</v>
      </c>
      <c r="BE902" s="544" t="s">
        <v>1415</v>
      </c>
      <c r="BF902" s="544" t="s">
        <v>115</v>
      </c>
      <c r="BG902" s="544" t="s">
        <v>115</v>
      </c>
      <c r="BH902" s="741" t="s">
        <v>5502</v>
      </c>
      <c r="BI902" s="547" t="s">
        <v>709</v>
      </c>
      <c r="BJ902" s="547" t="s">
        <v>709</v>
      </c>
      <c r="BK902" s="547" t="s">
        <v>709</v>
      </c>
      <c r="BL902" s="547" t="s">
        <v>116</v>
      </c>
      <c r="BM902" s="547" t="s">
        <v>709</v>
      </c>
      <c r="BN902" s="547">
        <v>6818</v>
      </c>
      <c r="BO902" s="547" t="s">
        <v>709</v>
      </c>
      <c r="BP902" s="547" t="s">
        <v>709</v>
      </c>
      <c r="BQ902" s="547">
        <v>48</v>
      </c>
      <c r="BR902" s="547">
        <v>31</v>
      </c>
      <c r="BS902" s="547">
        <v>647</v>
      </c>
      <c r="BT902" s="547" t="s">
        <v>709</v>
      </c>
      <c r="BU902" s="547" t="s">
        <v>709</v>
      </c>
      <c r="BV902" s="547" t="s">
        <v>709</v>
      </c>
      <c r="BW902" s="547" t="s">
        <v>709</v>
      </c>
      <c r="BX902" s="547">
        <v>1</v>
      </c>
      <c r="BY902" s="547" t="s">
        <v>709</v>
      </c>
      <c r="BZ902" s="547" t="s">
        <v>709</v>
      </c>
      <c r="CA902" s="483"/>
      <c r="CB902" s="547">
        <v>900</v>
      </c>
      <c r="CC902" s="1481" t="b">
        <v>1</v>
      </c>
      <c r="CD902" t="str">
        <f>Table15[[#This Row],[Engineering Number]]&amp;Table15[[#This Row],[WO Number]]&amp;Table15[[#This Row],[Date Assigned to Designer]]&amp;Table15[[#This Row],[Date Completed]]</f>
        <v>BS18712120644488345022</v>
      </c>
    </row>
    <row r="903" spans="1:82" customFormat="1" ht="15" customHeight="1" x14ac:dyDescent="0.25">
      <c r="A903">
        <v>2023</v>
      </c>
      <c r="B903" s="8" t="s">
        <v>771</v>
      </c>
      <c r="C903" s="8" t="s">
        <v>360</v>
      </c>
      <c r="D903" s="8" t="s">
        <v>5498</v>
      </c>
      <c r="E903" s="8" t="s">
        <v>361</v>
      </c>
      <c r="F903" s="8" t="s">
        <v>784</v>
      </c>
      <c r="G903" s="8" t="s">
        <v>23</v>
      </c>
      <c r="H903" s="8" t="s">
        <v>3661</v>
      </c>
      <c r="I903" s="642">
        <v>44979</v>
      </c>
      <c r="J903" s="18" t="s">
        <v>3662</v>
      </c>
      <c r="K903" s="97">
        <v>45022</v>
      </c>
      <c r="L903" s="16">
        <f>IF(ISTEXT(Table15[[#This Row],[Engineering Approved Design Date]]),Table15[[#This Row],[Date Completed]]-Table15[[#This Row],[Date Assigned to Designer]],Table15[[#This Row],[Engineering Approved Design Date]]-Table15[[#This Row],[Date Completed]])</f>
        <v>43</v>
      </c>
      <c r="M903" t="s">
        <v>3847</v>
      </c>
      <c r="N903" s="642" t="s">
        <v>120</v>
      </c>
      <c r="O903" s="1025">
        <v>45047</v>
      </c>
      <c r="P903" s="21" t="s">
        <v>120</v>
      </c>
      <c r="Q903" s="340">
        <f>Table15[[#This Row],[KH Hourly Effort]]</f>
        <v>4300</v>
      </c>
      <c r="R903" s="1026" t="s">
        <v>1922</v>
      </c>
      <c r="S903" s="538" t="s">
        <v>709</v>
      </c>
      <c r="T903" s="538" t="s">
        <v>709</v>
      </c>
      <c r="U903" s="87">
        <v>4300</v>
      </c>
      <c r="V903" s="858"/>
      <c r="W903" s="437"/>
      <c r="X903" s="538"/>
      <c r="Y903" s="551"/>
      <c r="Z903" s="538"/>
      <c r="AA903" s="538"/>
      <c r="AB903" s="341" t="s">
        <v>29</v>
      </c>
      <c r="AC903" s="569" t="s">
        <v>29</v>
      </c>
      <c r="AD903" s="1149" t="s">
        <v>29</v>
      </c>
      <c r="AE903" s="569"/>
      <c r="AF903" s="569"/>
      <c r="AG903" s="569"/>
      <c r="AH903" s="536"/>
      <c r="AI903" s="1028"/>
      <c r="AJ903" s="1029"/>
      <c r="AK903" s="1029"/>
      <c r="AL903" s="1030"/>
      <c r="AM903" s="542" t="s">
        <v>709</v>
      </c>
      <c r="AN903" s="924"/>
      <c r="AO903" s="925"/>
      <c r="AP903" s="926"/>
      <c r="AQ903" s="926"/>
      <c r="AR903" s="926"/>
      <c r="AS903" s="926"/>
      <c r="AT903" s="926"/>
      <c r="AU903" s="926"/>
      <c r="AV903" s="926"/>
      <c r="AW903" s="927"/>
      <c r="AX903" s="926"/>
      <c r="AY903" s="1538" t="s">
        <v>29</v>
      </c>
      <c r="AZ903" s="1530"/>
      <c r="BA903" s="1031"/>
      <c r="BB903" s="644"/>
      <c r="BC903" s="544"/>
      <c r="BD903" s="544"/>
      <c r="BE903" s="544"/>
      <c r="BF903" s="544"/>
      <c r="BG903" s="544"/>
      <c r="BH903" s="741"/>
      <c r="BI903" s="547" t="s">
        <v>709</v>
      </c>
      <c r="BJ903" s="547" t="s">
        <v>709</v>
      </c>
      <c r="BK903" s="547" t="s">
        <v>709</v>
      </c>
      <c r="BL903" s="547" t="s">
        <v>116</v>
      </c>
      <c r="BM903" s="547" t="s">
        <v>709</v>
      </c>
      <c r="BN903" s="547">
        <v>6818</v>
      </c>
      <c r="BO903" s="547" t="s">
        <v>709</v>
      </c>
      <c r="BP903" s="547" t="s">
        <v>709</v>
      </c>
      <c r="BQ903" s="547">
        <v>48</v>
      </c>
      <c r="BR903" s="547">
        <v>31</v>
      </c>
      <c r="BS903" s="547">
        <v>647</v>
      </c>
      <c r="BT903" s="547" t="s">
        <v>709</v>
      </c>
      <c r="BU903" s="547" t="s">
        <v>709</v>
      </c>
      <c r="BV903" s="547" t="s">
        <v>709</v>
      </c>
      <c r="BW903" s="547" t="s">
        <v>709</v>
      </c>
      <c r="BX903" s="547">
        <v>1</v>
      </c>
      <c r="BY903" s="547" t="s">
        <v>709</v>
      </c>
      <c r="BZ903" s="547" t="s">
        <v>709</v>
      </c>
      <c r="CA903" s="483"/>
      <c r="CB903" s="547">
        <v>901</v>
      </c>
      <c r="CC903" s="1481" t="b">
        <v>1</v>
      </c>
      <c r="CD903" t="str">
        <f>Table15[[#This Row],[Engineering Number]]&amp;Table15[[#This Row],[WO Number]]&amp;Table15[[#This Row],[Date Assigned to Designer]]&amp;Table15[[#This Row],[Date Completed]]</f>
        <v>BS18712120644497945022</v>
      </c>
    </row>
    <row r="904" spans="1:82" customFormat="1" ht="15" customHeight="1" x14ac:dyDescent="0.25">
      <c r="A904">
        <v>2023</v>
      </c>
      <c r="B904" s="8" t="s">
        <v>771</v>
      </c>
      <c r="C904" s="8" t="s">
        <v>1127</v>
      </c>
      <c r="D904" s="8" t="s">
        <v>1128</v>
      </c>
      <c r="E904" s="8" t="s">
        <v>1129</v>
      </c>
      <c r="F904" s="8" t="s">
        <v>784</v>
      </c>
      <c r="G904" s="8" t="s">
        <v>32</v>
      </c>
      <c r="H904" s="13" t="s">
        <v>59</v>
      </c>
      <c r="I904" s="642">
        <v>44946</v>
      </c>
      <c r="J904" s="18">
        <v>45036</v>
      </c>
      <c r="K904" s="97">
        <v>45023</v>
      </c>
      <c r="L904" s="16">
        <f>IF(ISTEXT(Table15[[#This Row],[Engineering Approved Design Date]]),Table15[[#This Row],[Date Completed]]-Table15[[#This Row],[Date Assigned to Designer]],Table15[[#This Row],[Engineering Approved Design Date]]-Table15[[#This Row],[Date Completed]])</f>
        <v>13</v>
      </c>
      <c r="M904" s="642"/>
      <c r="N904" s="642" t="s">
        <v>120</v>
      </c>
      <c r="O904" s="1060">
        <v>45047</v>
      </c>
      <c r="P904" s="1152" t="s">
        <v>120</v>
      </c>
      <c r="Q904" s="340">
        <f>Table15[[#This Row],[Rate]]*Table15[[#This Row],[Construction Cost to Bill From]]</f>
        <v>38230.177499999998</v>
      </c>
      <c r="R904" s="1026">
        <v>0.09</v>
      </c>
      <c r="S904" s="538"/>
      <c r="T904" s="538"/>
      <c r="U904" s="87"/>
      <c r="V904" s="858">
        <v>1538</v>
      </c>
      <c r="W904" s="437">
        <v>0</v>
      </c>
      <c r="X904" s="552">
        <v>393521.83</v>
      </c>
      <c r="Y904" s="551"/>
      <c r="Z904" s="552">
        <v>31257.919999999998</v>
      </c>
      <c r="AA904" s="552">
        <f>SUM(Table15[[#This Row],[PCTS Investment Amount]:[PCTS Retirement Amount]])</f>
        <v>424779.75</v>
      </c>
      <c r="AB904" s="341">
        <v>45028</v>
      </c>
      <c r="AC904" s="568" t="s">
        <v>709</v>
      </c>
      <c r="AD904" s="1157" t="s">
        <v>116</v>
      </c>
      <c r="AE904" s="568"/>
      <c r="AF904" s="568"/>
      <c r="AG904" s="568"/>
      <c r="AH904" s="183"/>
      <c r="AI904" s="1036"/>
      <c r="AJ904" s="1037"/>
      <c r="AK904" s="1037"/>
      <c r="AL904" s="1038"/>
      <c r="AM904" s="1522" t="s">
        <v>116</v>
      </c>
      <c r="AN904" s="1523">
        <v>45483</v>
      </c>
      <c r="AO904" s="1524">
        <v>11086005</v>
      </c>
      <c r="AP904" s="1525">
        <v>437457.65</v>
      </c>
      <c r="AQ904" s="1525"/>
      <c r="AR904" s="1525">
        <v>81907.31</v>
      </c>
      <c r="AS904" s="1525">
        <f>IF(Table15[[#This Row],[PCTS Approved]]="N",0,Table15[[#This Row],[Investment Amount (1'#'#'#'#'#)]]+Table15[[#This Row],[Retirement Amount (3'#'#'#'#'#)]])</f>
        <v>519364.96</v>
      </c>
      <c r="AT904" s="1525">
        <f>IF(Table15[[#This Row],[Approved Construction Cost]]=0,0,Table15[[#This Row],[Approved Construction Cost]]-Table15[[#This Row],[Construction Cost to Bill From]])</f>
        <v>94585.210000000021</v>
      </c>
      <c r="AU904" s="1525">
        <f>IFERROR(Table15[[#This Row],[Difference in Construction Cost]]*Table15[[#This Row],[Rate]],Table15[[#This Row],[Difference in Construction Cost]]*0.085)</f>
        <v>8512.6689000000024</v>
      </c>
      <c r="AV904" s="1525">
        <v>0</v>
      </c>
      <c r="AW904" s="1526" t="s">
        <v>5504</v>
      </c>
      <c r="AX904" s="1525">
        <f>Table15[[#This Row],[Reconcile Amount]]</f>
        <v>8512.6689000000024</v>
      </c>
      <c r="AY904" s="1518">
        <v>45901</v>
      </c>
      <c r="AZ904" s="333">
        <v>40</v>
      </c>
      <c r="BA904" s="859" t="s">
        <v>1131</v>
      </c>
      <c r="BB904" s="644" t="s">
        <v>1132</v>
      </c>
      <c r="BC904" s="544" t="s">
        <v>116</v>
      </c>
      <c r="BD904" s="544" t="s">
        <v>1066</v>
      </c>
      <c r="BE904" s="544" t="s">
        <v>1133</v>
      </c>
      <c r="BF904" s="544" t="s">
        <v>1133</v>
      </c>
      <c r="BG904" s="544" t="s">
        <v>115</v>
      </c>
      <c r="BH904" s="741" t="s">
        <v>5505</v>
      </c>
      <c r="BI904" s="547" t="s">
        <v>709</v>
      </c>
      <c r="BJ904" s="547" t="s">
        <v>709</v>
      </c>
      <c r="BK904" s="547" t="s">
        <v>709</v>
      </c>
      <c r="BL904" s="547" t="s">
        <v>116</v>
      </c>
      <c r="BM904" s="547">
        <v>0</v>
      </c>
      <c r="BN904" s="549">
        <v>0</v>
      </c>
      <c r="BO904" s="547">
        <v>0</v>
      </c>
      <c r="BP904" s="547">
        <v>0</v>
      </c>
      <c r="BQ904" s="547">
        <v>0</v>
      </c>
      <c r="BR904" s="547">
        <v>1054</v>
      </c>
      <c r="BS904" s="547">
        <v>484</v>
      </c>
      <c r="BT904" s="547">
        <v>0</v>
      </c>
      <c r="BU904" s="549">
        <v>0</v>
      </c>
      <c r="BV904" s="547">
        <v>0</v>
      </c>
      <c r="BW904" s="547">
        <v>0</v>
      </c>
      <c r="BX904" s="547">
        <v>0</v>
      </c>
      <c r="BY904" s="547">
        <v>0</v>
      </c>
      <c r="BZ904" s="547" t="s">
        <v>709</v>
      </c>
      <c r="CA904" s="483"/>
      <c r="CB904" s="547">
        <v>902</v>
      </c>
      <c r="CC904" s="1481" t="b">
        <v>1</v>
      </c>
      <c r="CD904" t="str">
        <f>Table15[[#This Row],[Engineering Number]]&amp;Table15[[#This Row],[WO Number]]&amp;Table15[[#This Row],[Date Assigned to Designer]]&amp;Table15[[#This Row],[Date Completed]]</f>
        <v>BS30012122824494645023</v>
      </c>
    </row>
    <row r="905" spans="1:82" customFormat="1" ht="15" customHeight="1" x14ac:dyDescent="0.25">
      <c r="A905">
        <v>2023</v>
      </c>
      <c r="B905" s="8" t="s">
        <v>4</v>
      </c>
      <c r="C905" s="8" t="s">
        <v>5507</v>
      </c>
      <c r="D905" s="8" t="s">
        <v>5508</v>
      </c>
      <c r="E905" s="8" t="s">
        <v>859</v>
      </c>
      <c r="F905" s="8" t="s">
        <v>747</v>
      </c>
      <c r="G905" s="8" t="s">
        <v>25</v>
      </c>
      <c r="H905" s="8" t="s">
        <v>59</v>
      </c>
      <c r="I905" s="642">
        <v>44886</v>
      </c>
      <c r="J905" s="18">
        <v>45030</v>
      </c>
      <c r="K905" s="97">
        <v>45026</v>
      </c>
      <c r="L905" s="16">
        <f>IF(ISTEXT(Table15[[#This Row],[Engineering Approved Design Date]]),Table15[[#This Row],[Date Completed]]-Table15[[#This Row],[Date Assigned to Designer]],Table15[[#This Row],[Engineering Approved Design Date]]-Table15[[#This Row],[Date Completed]])</f>
        <v>4</v>
      </c>
      <c r="M905" s="642"/>
      <c r="N905" s="642" t="s">
        <v>120</v>
      </c>
      <c r="O905" s="1060">
        <v>45047</v>
      </c>
      <c r="P905" s="1152" t="s">
        <v>739</v>
      </c>
      <c r="Q905" s="28">
        <f>Table15[[#This Row],[Rate]]*Table15[[#This Row],[Construction Cost to Bill From]]</f>
        <v>83448.323000000019</v>
      </c>
      <c r="R905" s="1026">
        <v>0.1</v>
      </c>
      <c r="S905" s="538"/>
      <c r="T905" s="538"/>
      <c r="U905" s="87"/>
      <c r="V905" s="858">
        <v>2718</v>
      </c>
      <c r="W905" s="437">
        <v>0</v>
      </c>
      <c r="X905" s="538">
        <v>784742.43</v>
      </c>
      <c r="Y905" s="551"/>
      <c r="Z905" s="552">
        <v>49740.800000000003</v>
      </c>
      <c r="AA905" s="552">
        <f>SUM(Table15[[#This Row],[PCTS Investment Amount]:[PCTS Retirement Amount]])</f>
        <v>834483.2300000001</v>
      </c>
      <c r="AB905" s="341" t="s">
        <v>709</v>
      </c>
      <c r="AC905" s="568" t="s">
        <v>709</v>
      </c>
      <c r="AD905" s="1157" t="s">
        <v>29</v>
      </c>
      <c r="AE905" s="579"/>
      <c r="AF905" s="579"/>
      <c r="AG905" s="579"/>
      <c r="AH905" s="553"/>
      <c r="AI905" s="1036"/>
      <c r="AJ905" s="1037"/>
      <c r="AK905" s="1037"/>
      <c r="AL905" s="1038"/>
      <c r="AM905" s="542" t="s">
        <v>116</v>
      </c>
      <c r="AN905" s="1508">
        <v>45068</v>
      </c>
      <c r="AO905" s="925">
        <v>11059559</v>
      </c>
      <c r="AP905" s="926">
        <v>784742.43</v>
      </c>
      <c r="AQ905" s="926"/>
      <c r="AR905" s="926">
        <v>49740.800000000003</v>
      </c>
      <c r="AS905" s="926">
        <f>IF(Table15[[#This Row],[PCTS Approved]]="N",0,Table15[[#This Row],[Investment Amount (1'#'#'#'#'#)]]+Table15[[#This Row],[Retirement Amount (3'#'#'#'#'#)]])</f>
        <v>834483.2300000001</v>
      </c>
      <c r="AT905" s="926">
        <f>IF(Table15[[#This Row],[Approved Construction Cost]]=0,0,Table15[[#This Row],[Approved Construction Cost]]-Table15[[#This Row],[Construction Cost to Bill From]])</f>
        <v>0</v>
      </c>
      <c r="AU905" s="926">
        <f>IFERROR(Table15[[#This Row],[Difference in Construction Cost]]*Table15[[#This Row],[Rate]],Table15[[#This Row],[Difference in Construction Cost]]*0.085)</f>
        <v>0</v>
      </c>
      <c r="AV905" s="926" t="s">
        <v>376</v>
      </c>
      <c r="AW905" s="927"/>
      <c r="AX905" s="926"/>
      <c r="AY905" s="636" t="s">
        <v>1935</v>
      </c>
      <c r="AZ905" s="1531"/>
      <c r="BA905" s="859" t="s">
        <v>5509</v>
      </c>
      <c r="BB905" s="644" t="s">
        <v>861</v>
      </c>
      <c r="BC905" s="544" t="s">
        <v>709</v>
      </c>
      <c r="BD905" s="544" t="s">
        <v>788</v>
      </c>
      <c r="BE905" s="544" t="s">
        <v>861</v>
      </c>
      <c r="BF905" s="544" t="s">
        <v>709</v>
      </c>
      <c r="BG905" s="544" t="s">
        <v>709</v>
      </c>
      <c r="BH905" s="741" t="s">
        <v>5510</v>
      </c>
      <c r="BI905" s="547" t="s">
        <v>709</v>
      </c>
      <c r="BJ905" s="547" t="s">
        <v>709</v>
      </c>
      <c r="BK905" s="547" t="s">
        <v>116</v>
      </c>
      <c r="BL905" s="547" t="s">
        <v>116</v>
      </c>
      <c r="BM905" s="547" t="s">
        <v>709</v>
      </c>
      <c r="BN905" s="547" t="s">
        <v>709</v>
      </c>
      <c r="BO905" s="547" t="s">
        <v>709</v>
      </c>
      <c r="BP905" s="547" t="s">
        <v>709</v>
      </c>
      <c r="BQ905" s="547" t="s">
        <v>709</v>
      </c>
      <c r="BR905" s="547" t="s">
        <v>709</v>
      </c>
      <c r="BS905" s="547">
        <v>601</v>
      </c>
      <c r="BT905" s="547" t="s">
        <v>709</v>
      </c>
      <c r="BU905" s="547" t="s">
        <v>709</v>
      </c>
      <c r="BV905" s="547" t="s">
        <v>709</v>
      </c>
      <c r="BW905" s="547" t="s">
        <v>709</v>
      </c>
      <c r="BX905" s="547" t="s">
        <v>745</v>
      </c>
      <c r="BY905" s="547" t="s">
        <v>709</v>
      </c>
      <c r="BZ905" s="547" t="s">
        <v>709</v>
      </c>
      <c r="CA905" s="483"/>
      <c r="CB905" s="547">
        <v>903</v>
      </c>
      <c r="CC905" s="1481" t="b">
        <v>1</v>
      </c>
      <c r="CD905" t="str">
        <f>Table15[[#This Row],[Engineering Number]]&amp;Table15[[#This Row],[WO Number]]&amp;Table15[[#This Row],[Date Assigned to Designer]]&amp;Table15[[#This Row],[Date Completed]]</f>
        <v>SC2182513123074488645026</v>
      </c>
    </row>
    <row r="906" spans="1:82" customFormat="1" ht="15" customHeight="1" x14ac:dyDescent="0.25">
      <c r="A906">
        <v>2023</v>
      </c>
      <c r="B906" s="8" t="s">
        <v>4</v>
      </c>
      <c r="C906" s="8" t="s">
        <v>5297</v>
      </c>
      <c r="D906" s="8" t="s">
        <v>5298</v>
      </c>
      <c r="E906" s="8" t="s">
        <v>1164</v>
      </c>
      <c r="F906" s="8" t="s">
        <v>784</v>
      </c>
      <c r="G906" s="8" t="s">
        <v>33</v>
      </c>
      <c r="H906" s="8" t="s">
        <v>5512</v>
      </c>
      <c r="I906" s="642">
        <v>45000</v>
      </c>
      <c r="J906" s="175" t="s">
        <v>4110</v>
      </c>
      <c r="K906" s="97">
        <v>45027</v>
      </c>
      <c r="L906" s="16">
        <f>IF(ISTEXT(Table15[[#This Row],[Engineering Approved Design Date]]),Table15[[#This Row],[Date Completed]]-Table15[[#This Row],[Date Assigned to Designer]],Table15[[#This Row],[Engineering Approved Design Date]]-Table15[[#This Row],[Date Completed]])</f>
        <v>27</v>
      </c>
      <c r="M906" s="16" t="s">
        <v>5513</v>
      </c>
      <c r="N906" s="642" t="s">
        <v>120</v>
      </c>
      <c r="O906" s="1060">
        <v>45047</v>
      </c>
      <c r="P906" s="21" t="s">
        <v>739</v>
      </c>
      <c r="Q906" s="1061">
        <f>Table15[[#This Row],[Shactee Effort]]+Table15[[#This Row],[KH Hourly Effort]]</f>
        <v>5705.75</v>
      </c>
      <c r="R906" s="1026" t="s">
        <v>1922</v>
      </c>
      <c r="S906" s="538">
        <v>3378.25</v>
      </c>
      <c r="T906" s="538"/>
      <c r="U906" s="87">
        <v>2327.5</v>
      </c>
      <c r="V906" s="857"/>
      <c r="W906" s="440"/>
      <c r="X906" s="538"/>
      <c r="Y906" s="551"/>
      <c r="Z906" s="538"/>
      <c r="AA906" s="552"/>
      <c r="AB906" s="341" t="s">
        <v>29</v>
      </c>
      <c r="AC906" s="568" t="s">
        <v>709</v>
      </c>
      <c r="AD906" s="1157" t="s">
        <v>29</v>
      </c>
      <c r="AE906" s="579"/>
      <c r="AF906" s="579"/>
      <c r="AG906" s="579"/>
      <c r="AH906" s="553"/>
      <c r="AI906" s="1036"/>
      <c r="AJ906" s="1037"/>
      <c r="AK906" s="1037"/>
      <c r="AL906" s="1038"/>
      <c r="AM906" s="542" t="s">
        <v>709</v>
      </c>
      <c r="AN906" s="924"/>
      <c r="AO906" s="925"/>
      <c r="AP906" s="926"/>
      <c r="AQ906" s="926"/>
      <c r="AR906" s="926"/>
      <c r="AS906" s="926"/>
      <c r="AT906" s="926"/>
      <c r="AU906" s="926"/>
      <c r="AV906" s="926"/>
      <c r="AW906" s="927"/>
      <c r="AX906" s="926"/>
      <c r="AY906" s="1538" t="s">
        <v>29</v>
      </c>
      <c r="AZ906" s="1530"/>
      <c r="BA906" s="1031" t="s">
        <v>29</v>
      </c>
      <c r="BB906" s="644" t="s">
        <v>29</v>
      </c>
      <c r="BC906" s="544" t="s">
        <v>29</v>
      </c>
      <c r="BD906" s="544"/>
      <c r="BE906" s="544"/>
      <c r="BF906" s="544"/>
      <c r="BG906" s="544"/>
      <c r="BH906" s="741"/>
      <c r="BI906" s="1032" t="s">
        <v>709</v>
      </c>
      <c r="BJ906" s="1032" t="s">
        <v>709</v>
      </c>
      <c r="BK906" s="1032" t="s">
        <v>709</v>
      </c>
      <c r="BL906" s="1032" t="s">
        <v>116</v>
      </c>
      <c r="BM906" s="1032" t="s">
        <v>709</v>
      </c>
      <c r="BN906" s="1032" t="s">
        <v>709</v>
      </c>
      <c r="BO906" s="1032" t="s">
        <v>709</v>
      </c>
      <c r="BP906" s="1032" t="s">
        <v>709</v>
      </c>
      <c r="BQ906" s="1032" t="s">
        <v>709</v>
      </c>
      <c r="BR906" s="1032" t="s">
        <v>709</v>
      </c>
      <c r="BS906" s="1032" t="s">
        <v>116</v>
      </c>
      <c r="BT906" s="1032" t="s">
        <v>745</v>
      </c>
      <c r="BU906" s="1032" t="s">
        <v>709</v>
      </c>
      <c r="BV906" s="1032" t="s">
        <v>745</v>
      </c>
      <c r="BW906" s="1032" t="s">
        <v>709</v>
      </c>
      <c r="BX906" s="1032" t="s">
        <v>745</v>
      </c>
      <c r="BY906" s="1032" t="s">
        <v>745</v>
      </c>
      <c r="BZ906" s="1032" t="s">
        <v>709</v>
      </c>
      <c r="CA906" s="485"/>
      <c r="CB906" s="547">
        <v>904</v>
      </c>
      <c r="CC906" s="1481" t="b">
        <v>1</v>
      </c>
      <c r="CD906" t="str">
        <f>Table15[[#This Row],[Engineering Number]]&amp;Table15[[#This Row],[WO Number]]&amp;Table15[[#This Row],[Date Assigned to Designer]]&amp;Table15[[#This Row],[Date Completed]]</f>
        <v>SC1965213122184500045027</v>
      </c>
    </row>
    <row r="907" spans="1:82" customFormat="1" ht="15" customHeight="1" x14ac:dyDescent="0.25">
      <c r="A907">
        <v>2022</v>
      </c>
      <c r="B907" s="8" t="s">
        <v>4</v>
      </c>
      <c r="C907" s="8" t="s">
        <v>5515</v>
      </c>
      <c r="D907" s="8" t="s">
        <v>5516</v>
      </c>
      <c r="E907" s="8" t="s">
        <v>5517</v>
      </c>
      <c r="F907" s="8" t="s">
        <v>747</v>
      </c>
      <c r="G907" s="8" t="s">
        <v>25</v>
      </c>
      <c r="H907" s="647" t="s">
        <v>1681</v>
      </c>
      <c r="I907" s="642">
        <v>44756</v>
      </c>
      <c r="J907" s="18">
        <v>45072</v>
      </c>
      <c r="K907" s="18">
        <v>45035</v>
      </c>
      <c r="L907" s="16">
        <f>IF(ISTEXT(Table15[[#This Row],[Engineering Approved Design Date]]),Table15[[#This Row],[Date Completed]]-Table15[[#This Row],[Date Assigned to Designer]],Table15[[#This Row],[Engineering Approved Design Date]]-Table15[[#This Row],[Date Completed]])</f>
        <v>37</v>
      </c>
      <c r="M907" s="642"/>
      <c r="N907" s="642" t="s">
        <v>120</v>
      </c>
      <c r="O907" s="1060">
        <f>Table15[[#This Row],[Date Completed]]</f>
        <v>45035</v>
      </c>
      <c r="P907" s="1152" t="s">
        <v>739</v>
      </c>
      <c r="Q907" s="87" t="s">
        <v>115</v>
      </c>
      <c r="R907" s="1026" t="s">
        <v>115</v>
      </c>
      <c r="S907" s="538"/>
      <c r="T907" s="538"/>
      <c r="U907" s="87"/>
      <c r="V907" s="857"/>
      <c r="W907" s="440"/>
      <c r="X907" s="550"/>
      <c r="Y907" s="550"/>
      <c r="Z907" s="550"/>
      <c r="AA907" s="552"/>
      <c r="AB907" s="341" t="s">
        <v>29</v>
      </c>
      <c r="AC907" s="568" t="s">
        <v>709</v>
      </c>
      <c r="AD907" s="1157" t="s">
        <v>29</v>
      </c>
      <c r="AE907" s="579"/>
      <c r="AF907" s="579"/>
      <c r="AG907" s="579"/>
      <c r="AH907" s="553"/>
      <c r="AI907" s="1036"/>
      <c r="AJ907" s="1037"/>
      <c r="AK907" s="1037"/>
      <c r="AL907" s="1038"/>
      <c r="AM907" s="542" t="s">
        <v>709</v>
      </c>
      <c r="AN907" s="924"/>
      <c r="AO907" s="925"/>
      <c r="AP907" s="926"/>
      <c r="AQ907" s="926"/>
      <c r="AR907" s="926"/>
      <c r="AS907" s="926"/>
      <c r="AT907" s="926"/>
      <c r="AU907" s="926"/>
      <c r="AV907" s="926"/>
      <c r="AW907" s="927"/>
      <c r="AX907" s="926"/>
      <c r="AY907" s="1538" t="s">
        <v>29</v>
      </c>
      <c r="AZ907" s="1530"/>
      <c r="BA907" s="1031" t="s">
        <v>5518</v>
      </c>
      <c r="BB907" s="644" t="s">
        <v>1071</v>
      </c>
      <c r="BC907" s="544" t="s">
        <v>116</v>
      </c>
      <c r="BD907" s="544" t="s">
        <v>709</v>
      </c>
      <c r="BE907" s="544" t="s">
        <v>5519</v>
      </c>
      <c r="BF907" s="544" t="s">
        <v>709</v>
      </c>
      <c r="BG907" s="544" t="s">
        <v>5520</v>
      </c>
      <c r="BH907" s="741"/>
      <c r="BI907" s="1032"/>
      <c r="BJ907" s="1032"/>
      <c r="BK907" s="1032"/>
      <c r="BL907" s="1032"/>
      <c r="BM907" s="1032"/>
      <c r="BN907" s="1032"/>
      <c r="BO907" s="1032"/>
      <c r="BP907" s="1032"/>
      <c r="BQ907" s="1032"/>
      <c r="BR907" s="1032"/>
      <c r="BS907" s="1032"/>
      <c r="BT907" s="1032"/>
      <c r="BU907" s="1032"/>
      <c r="BV907" s="1032"/>
      <c r="BW907" s="1032"/>
      <c r="BX907" s="1032"/>
      <c r="BY907" s="1032"/>
      <c r="BZ907" s="1032"/>
      <c r="CA907" s="485"/>
      <c r="CB907" s="547">
        <v>905</v>
      </c>
      <c r="CC907" s="1481" t="b">
        <v>1</v>
      </c>
      <c r="CD907" t="str">
        <f>Table15[[#This Row],[Engineering Number]]&amp;Table15[[#This Row],[WO Number]]&amp;Table15[[#This Row],[Date Assigned to Designer]]&amp;Table15[[#This Row],[Date Completed]]</f>
        <v>SC2145613119044475645035</v>
      </c>
    </row>
    <row r="908" spans="1:82" customFormat="1" ht="15" customHeight="1" x14ac:dyDescent="0.25">
      <c r="A908">
        <v>2024</v>
      </c>
      <c r="B908" s="8" t="s">
        <v>4</v>
      </c>
      <c r="C908" s="8" t="s">
        <v>372</v>
      </c>
      <c r="D908" s="8" t="s">
        <v>1451</v>
      </c>
      <c r="E908" s="8" t="s">
        <v>373</v>
      </c>
      <c r="F908" s="8" t="s">
        <v>784</v>
      </c>
      <c r="G908" s="8" t="s">
        <v>27</v>
      </c>
      <c r="H908" s="8" t="s">
        <v>59</v>
      </c>
      <c r="I908" s="642">
        <v>44784</v>
      </c>
      <c r="J908" s="18">
        <v>45077</v>
      </c>
      <c r="K908" s="97">
        <v>45037</v>
      </c>
      <c r="L908" s="16">
        <f>IF(ISTEXT(Table15[[#This Row],[Engineering Approved Design Date]]),Table15[[#This Row],[Date Completed]]-Table15[[#This Row],[Date Assigned to Designer]],Table15[[#This Row],[Engineering Approved Design Date]]-Table15[[#This Row],[Date Completed]])</f>
        <v>40</v>
      </c>
      <c r="M908" s="642"/>
      <c r="N908" s="642" t="s">
        <v>120</v>
      </c>
      <c r="O908" s="1060">
        <f>Table15[[#This Row],[Date Completed]]</f>
        <v>45037</v>
      </c>
      <c r="P908" s="1152" t="s">
        <v>739</v>
      </c>
      <c r="Q908" s="340">
        <f>Table15[[#This Row],[Rate]]*Table15[[#This Row],[Construction Cost to Bill From]]</f>
        <v>17358.519</v>
      </c>
      <c r="R908" s="1026">
        <v>0.1</v>
      </c>
      <c r="S908" s="538"/>
      <c r="T908" s="538"/>
      <c r="U908" s="87"/>
      <c r="V908" s="858">
        <f>928+50</f>
        <v>978</v>
      </c>
      <c r="W908" s="437">
        <v>0</v>
      </c>
      <c r="X908" s="538">
        <v>161986.32</v>
      </c>
      <c r="Y908" s="551"/>
      <c r="Z908" s="552">
        <v>11598.87</v>
      </c>
      <c r="AA908" s="552">
        <f>Table15[[#This Row],[PCTS Investment Amount]]+Table15[[#This Row],[PCTS Retirement Amount]]</f>
        <v>173585.19</v>
      </c>
      <c r="AB908" s="341" t="s">
        <v>709</v>
      </c>
      <c r="AC908" s="568" t="s">
        <v>116</v>
      </c>
      <c r="AD908" s="1157" t="s">
        <v>29</v>
      </c>
      <c r="AE908" s="579"/>
      <c r="AF908" s="579"/>
      <c r="AG908" s="579"/>
      <c r="AH908" s="553">
        <v>45000</v>
      </c>
      <c r="AI908" s="1036"/>
      <c r="AJ908" s="1037"/>
      <c r="AK908" s="1037"/>
      <c r="AL908" s="1038"/>
      <c r="AM908" s="536" t="s">
        <v>116</v>
      </c>
      <c r="AN908" s="903" t="s">
        <v>709</v>
      </c>
      <c r="AO908" s="1536"/>
      <c r="AP908" s="1537"/>
      <c r="AQ908" s="1537"/>
      <c r="AR908" s="1537"/>
      <c r="AS908" s="888">
        <f>IF(Table15[[#This Row],[PCTS Approved]]="N",0,Table15[[#This Row],[Investment Amount (1'#'#'#'#'#)]]+Table15[[#This Row],[Retirement Amount (3'#'#'#'#'#)]])</f>
        <v>0</v>
      </c>
      <c r="AT908" s="888">
        <f>IF(Table15[[#This Row],[Approved Construction Cost]]=0,0,Table15[[#This Row],[Approved Construction Cost]]-Table15[[#This Row],[Construction Cost to Bill From]])</f>
        <v>0</v>
      </c>
      <c r="AU908" s="888">
        <f>IFERROR(Table15[[#This Row],[Difference in Construction Cost]]*Table15[[#This Row],[Rate]],Table15[[#This Row],[Difference in Construction Cost]]*0.085)</f>
        <v>0</v>
      </c>
      <c r="AV908" s="905"/>
      <c r="AW908" s="1509"/>
      <c r="AX908" s="888"/>
      <c r="AY908" s="636" t="s">
        <v>709</v>
      </c>
      <c r="AZ908" s="333">
        <v>82</v>
      </c>
      <c r="BA908" s="859" t="s">
        <v>1452</v>
      </c>
      <c r="BB908" s="644" t="s">
        <v>905</v>
      </c>
      <c r="BC908" s="544" t="s">
        <v>116</v>
      </c>
      <c r="BD908" s="544" t="s">
        <v>1448</v>
      </c>
      <c r="BE908" s="544" t="s">
        <v>1449</v>
      </c>
      <c r="BF908" s="544" t="s">
        <v>1450</v>
      </c>
      <c r="BG908" s="544" t="s">
        <v>709</v>
      </c>
      <c r="BH908" s="741"/>
      <c r="BI908" s="547" t="s">
        <v>709</v>
      </c>
      <c r="BJ908" s="547" t="s">
        <v>116</v>
      </c>
      <c r="BK908" s="547" t="s">
        <v>709</v>
      </c>
      <c r="BL908" s="547" t="s">
        <v>709</v>
      </c>
      <c r="BM908" s="547" t="s">
        <v>709</v>
      </c>
      <c r="BN908" s="547" t="s">
        <v>709</v>
      </c>
      <c r="BO908" s="547" t="s">
        <v>709</v>
      </c>
      <c r="BP908" s="547" t="s">
        <v>709</v>
      </c>
      <c r="BQ908" s="547" t="s">
        <v>709</v>
      </c>
      <c r="BR908" s="547">
        <v>978</v>
      </c>
      <c r="BS908" s="547" t="s">
        <v>709</v>
      </c>
      <c r="BT908" s="547" t="s">
        <v>745</v>
      </c>
      <c r="BU908" s="547" t="s">
        <v>709</v>
      </c>
      <c r="BV908" s="547" t="s">
        <v>745</v>
      </c>
      <c r="BW908" s="547" t="s">
        <v>709</v>
      </c>
      <c r="BX908" s="547" t="s">
        <v>745</v>
      </c>
      <c r="BY908" s="547" t="s">
        <v>745</v>
      </c>
      <c r="BZ908" s="547" t="s">
        <v>709</v>
      </c>
      <c r="CA908" s="483"/>
      <c r="CB908" s="547">
        <v>909</v>
      </c>
      <c r="CC908" s="1481" t="b">
        <v>1</v>
      </c>
      <c r="CD908" t="str">
        <f>Table15[[#This Row],[Engineering Number]]&amp;Table15[[#This Row],[WO Number]]&amp;Table15[[#This Row],[Date Assigned to Designer]]&amp;Table15[[#This Row],[Date Completed]]</f>
        <v>N1360612121324478445037</v>
      </c>
    </row>
    <row r="909" spans="1:82" customFormat="1" ht="15" customHeight="1" x14ac:dyDescent="0.25">
      <c r="A909">
        <v>2024</v>
      </c>
      <c r="B909" s="8" t="s">
        <v>4</v>
      </c>
      <c r="C909" s="8" t="s">
        <v>377</v>
      </c>
      <c r="D909" s="8" t="s">
        <v>1446</v>
      </c>
      <c r="E909" s="8" t="s">
        <v>373</v>
      </c>
      <c r="F909" s="8" t="s">
        <v>784</v>
      </c>
      <c r="G909" s="8" t="s">
        <v>27</v>
      </c>
      <c r="H909" s="8" t="s">
        <v>59</v>
      </c>
      <c r="I909" s="642">
        <v>44784</v>
      </c>
      <c r="J909" s="18">
        <v>45077</v>
      </c>
      <c r="K909" s="97">
        <v>45037</v>
      </c>
      <c r="L909" s="16">
        <f>IF(ISTEXT(Table15[[#This Row],[Engineering Approved Design Date]]),Table15[[#This Row],[Date Completed]]-Table15[[#This Row],[Date Assigned to Designer]],Table15[[#This Row],[Engineering Approved Design Date]]-Table15[[#This Row],[Date Completed]])</f>
        <v>40</v>
      </c>
      <c r="M909" s="642"/>
      <c r="N909" s="642" t="s">
        <v>120</v>
      </c>
      <c r="O909" s="1060">
        <f>Table15[[#This Row],[Date Completed]]</f>
        <v>45037</v>
      </c>
      <c r="P909" s="1152" t="s">
        <v>739</v>
      </c>
      <c r="Q909" s="340">
        <f>Table15[[#This Row],[Rate]]*Table15[[#This Row],[Construction Cost to Bill From]]</f>
        <v>165330.28700000001</v>
      </c>
      <c r="R909" s="1026">
        <v>0.1</v>
      </c>
      <c r="S909" s="538"/>
      <c r="T909" s="538"/>
      <c r="U909" s="87"/>
      <c r="V909" s="858">
        <f>9+6289+692</f>
        <v>6990</v>
      </c>
      <c r="W909" s="437">
        <v>0</v>
      </c>
      <c r="X909" s="538">
        <v>1623644.96</v>
      </c>
      <c r="Y909" s="551"/>
      <c r="Z909" s="552">
        <v>29657.91</v>
      </c>
      <c r="AA909" s="552">
        <f>Table15[[#This Row],[PCTS Investment Amount]]+Table15[[#This Row],[PCTS Retirement Amount]]</f>
        <v>1653302.8699999999</v>
      </c>
      <c r="AB909" s="341" t="s">
        <v>709</v>
      </c>
      <c r="AC909" s="568" t="s">
        <v>116</v>
      </c>
      <c r="AD909" s="1157" t="s">
        <v>29</v>
      </c>
      <c r="AE909" s="579"/>
      <c r="AF909" s="579"/>
      <c r="AG909" s="579"/>
      <c r="AH909" s="553">
        <v>45000</v>
      </c>
      <c r="AI909" s="1036"/>
      <c r="AJ909" s="1037"/>
      <c r="AK909" s="1037"/>
      <c r="AL909" s="1038"/>
      <c r="AM909" s="536" t="s">
        <v>116</v>
      </c>
      <c r="AN909" s="903" t="s">
        <v>709</v>
      </c>
      <c r="AO909" s="1536"/>
      <c r="AP909" s="1537"/>
      <c r="AQ909" s="1537"/>
      <c r="AR909" s="1537"/>
      <c r="AS909" s="888">
        <f>IF(Table15[[#This Row],[PCTS Approved]]="N",0,Table15[[#This Row],[Investment Amount (1'#'#'#'#'#)]]+Table15[[#This Row],[Retirement Amount (3'#'#'#'#'#)]])</f>
        <v>0</v>
      </c>
      <c r="AT909" s="888">
        <f>IF(Table15[[#This Row],[Approved Construction Cost]]=0,0,Table15[[#This Row],[Approved Construction Cost]]-Table15[[#This Row],[Construction Cost to Bill From]])</f>
        <v>0</v>
      </c>
      <c r="AU909" s="888">
        <f>IFERROR(Table15[[#This Row],[Difference in Construction Cost]]*Table15[[#This Row],[Rate]],Table15[[#This Row],[Difference in Construction Cost]]*0.085)</f>
        <v>0</v>
      </c>
      <c r="AV909" s="905"/>
      <c r="AW909" s="1509"/>
      <c r="AX909" s="888"/>
      <c r="AY909" s="636" t="s">
        <v>709</v>
      </c>
      <c r="AZ909" s="333">
        <v>81</v>
      </c>
      <c r="BA909" s="859" t="s">
        <v>1447</v>
      </c>
      <c r="BB909" s="644" t="s">
        <v>905</v>
      </c>
      <c r="BC909" s="544" t="s">
        <v>116</v>
      </c>
      <c r="BD909" s="544" t="s">
        <v>1448</v>
      </c>
      <c r="BE909" s="544" t="s">
        <v>1449</v>
      </c>
      <c r="BF909" s="544" t="s">
        <v>1450</v>
      </c>
      <c r="BG909" s="544" t="s">
        <v>709</v>
      </c>
      <c r="BH909" s="741"/>
      <c r="BI909" s="547" t="s">
        <v>709</v>
      </c>
      <c r="BJ909" s="547" t="s">
        <v>116</v>
      </c>
      <c r="BK909" s="547" t="s">
        <v>709</v>
      </c>
      <c r="BL909" s="547" t="s">
        <v>709</v>
      </c>
      <c r="BM909" s="547" t="s">
        <v>709</v>
      </c>
      <c r="BN909" s="547" t="s">
        <v>709</v>
      </c>
      <c r="BO909" s="547" t="s">
        <v>709</v>
      </c>
      <c r="BP909" s="547" t="s">
        <v>709</v>
      </c>
      <c r="BQ909" s="547" t="s">
        <v>709</v>
      </c>
      <c r="BR909" s="547">
        <v>978</v>
      </c>
      <c r="BS909" s="547" t="s">
        <v>709</v>
      </c>
      <c r="BT909" s="547" t="s">
        <v>745</v>
      </c>
      <c r="BU909" s="547" t="s">
        <v>709</v>
      </c>
      <c r="BV909" s="547" t="s">
        <v>745</v>
      </c>
      <c r="BW909" s="547" t="s">
        <v>709</v>
      </c>
      <c r="BX909" s="547" t="s">
        <v>745</v>
      </c>
      <c r="BY909" s="547" t="s">
        <v>745</v>
      </c>
      <c r="BZ909" s="547" t="s">
        <v>709</v>
      </c>
      <c r="CA909" s="483"/>
      <c r="CB909" s="547">
        <v>908</v>
      </c>
      <c r="CC909" s="1481" t="b">
        <v>1</v>
      </c>
      <c r="CD909" t="str">
        <f>Table15[[#This Row],[Engineering Number]]&amp;Table15[[#This Row],[WO Number]]&amp;Table15[[#This Row],[Date Assigned to Designer]]&amp;Table15[[#This Row],[Date Completed]]</f>
        <v>N13606-112119674478445037</v>
      </c>
    </row>
    <row r="910" spans="1:82" customFormat="1" ht="15" customHeight="1" x14ac:dyDescent="0.25">
      <c r="A910">
        <v>2022</v>
      </c>
      <c r="B910" s="8" t="s">
        <v>4</v>
      </c>
      <c r="C910" s="8" t="s">
        <v>916</v>
      </c>
      <c r="D910" s="8" t="s">
        <v>917</v>
      </c>
      <c r="E910" s="8" t="s">
        <v>918</v>
      </c>
      <c r="F910" s="8" t="s">
        <v>919</v>
      </c>
      <c r="G910" s="8" t="s">
        <v>25</v>
      </c>
      <c r="H910" s="8" t="s">
        <v>4462</v>
      </c>
      <c r="I910" s="642">
        <v>45034</v>
      </c>
      <c r="J910" s="175" t="s">
        <v>2052</v>
      </c>
      <c r="K910" s="97">
        <v>45037</v>
      </c>
      <c r="L910" s="16">
        <f>IF(ISTEXT(Table15[[#This Row],[Engineering Approved Design Date]]),Table15[[#This Row],[Date Completed]]-Table15[[#This Row],[Date Assigned to Designer]],Table15[[#This Row],[Engineering Approved Design Date]]-Table15[[#This Row],[Date Completed]])</f>
        <v>3</v>
      </c>
      <c r="M910" s="16" t="s">
        <v>5522</v>
      </c>
      <c r="N910" s="642" t="s">
        <v>120</v>
      </c>
      <c r="O910" s="1060">
        <f>Table15[[#This Row],[Date Completed]]</f>
        <v>45037</v>
      </c>
      <c r="P910" s="21" t="s">
        <v>739</v>
      </c>
      <c r="Q910" s="1061" t="s">
        <v>115</v>
      </c>
      <c r="R910" s="1026" t="s">
        <v>115</v>
      </c>
      <c r="S910" s="538"/>
      <c r="T910" s="538"/>
      <c r="U910" s="87"/>
      <c r="V910" s="857"/>
      <c r="W910" s="440"/>
      <c r="X910" s="538"/>
      <c r="Y910" s="551"/>
      <c r="Z910" s="538"/>
      <c r="AA910" s="552"/>
      <c r="AB910" s="341" t="s">
        <v>29</v>
      </c>
      <c r="AC910" s="568" t="s">
        <v>709</v>
      </c>
      <c r="AD910" s="1149" t="s">
        <v>116</v>
      </c>
      <c r="AE910" s="580"/>
      <c r="AF910" s="580"/>
      <c r="AG910" s="580"/>
      <c r="AH910" s="542"/>
      <c r="AI910" s="1028"/>
      <c r="AJ910" s="1029"/>
      <c r="AK910" s="1029"/>
      <c r="AL910" s="1030"/>
      <c r="AM910" s="542" t="s">
        <v>709</v>
      </c>
      <c r="AN910" s="924"/>
      <c r="AO910" s="925"/>
      <c r="AP910" s="926"/>
      <c r="AQ910" s="926"/>
      <c r="AR910" s="926"/>
      <c r="AS910" s="926"/>
      <c r="AT910" s="926"/>
      <c r="AU910" s="926"/>
      <c r="AV910" s="926"/>
      <c r="AW910" s="927"/>
      <c r="AX910" s="926"/>
      <c r="AY910" s="1538" t="s">
        <v>29</v>
      </c>
      <c r="AZ910" s="1530"/>
      <c r="BA910" s="1031">
        <v>4</v>
      </c>
      <c r="BB910" s="644"/>
      <c r="BC910" s="544"/>
      <c r="BD910" s="544"/>
      <c r="BE910" s="544"/>
      <c r="BF910" s="544"/>
      <c r="BG910" s="544"/>
      <c r="BH910" s="741"/>
      <c r="BI910" s="1032" t="s">
        <v>709</v>
      </c>
      <c r="BJ910" s="1032" t="s">
        <v>709</v>
      </c>
      <c r="BK910" s="1032" t="s">
        <v>709</v>
      </c>
      <c r="BL910" s="1032" t="s">
        <v>116</v>
      </c>
      <c r="BM910" s="1032" t="s">
        <v>709</v>
      </c>
      <c r="BN910" s="1032" t="s">
        <v>709</v>
      </c>
      <c r="BO910" s="1032" t="s">
        <v>709</v>
      </c>
      <c r="BP910" s="1032" t="s">
        <v>709</v>
      </c>
      <c r="BQ910" s="1032" t="s">
        <v>709</v>
      </c>
      <c r="BR910" s="1032" t="s">
        <v>116</v>
      </c>
      <c r="BS910" s="1032" t="s">
        <v>116</v>
      </c>
      <c r="BT910" s="1032" t="s">
        <v>745</v>
      </c>
      <c r="BU910" s="1032" t="s">
        <v>709</v>
      </c>
      <c r="BV910" s="1032" t="s">
        <v>745</v>
      </c>
      <c r="BW910" s="1032" t="s">
        <v>709</v>
      </c>
      <c r="BX910" s="1032" t="s">
        <v>745</v>
      </c>
      <c r="BY910" s="1032" t="s">
        <v>745</v>
      </c>
      <c r="BZ910" s="1032" t="s">
        <v>709</v>
      </c>
      <c r="CA910" s="485"/>
      <c r="CB910" s="547">
        <v>907</v>
      </c>
      <c r="CC910" s="1481" t="b">
        <v>1</v>
      </c>
      <c r="CD910" t="str">
        <f>Table15[[#This Row],[Engineering Number]]&amp;Table15[[#This Row],[WO Number]]&amp;Table15[[#This Row],[Date Assigned to Designer]]&amp;Table15[[#This Row],[Date Completed]]</f>
        <v>SC1481914103604503445037</v>
      </c>
    </row>
    <row r="911" spans="1:82" customFormat="1" ht="15" customHeight="1" x14ac:dyDescent="0.25">
      <c r="A911">
        <v>2023</v>
      </c>
      <c r="B911" s="8" t="s">
        <v>4</v>
      </c>
      <c r="C911" s="8" t="s">
        <v>5527</v>
      </c>
      <c r="D911" s="8" t="s">
        <v>115</v>
      </c>
      <c r="E911" s="8" t="s">
        <v>1306</v>
      </c>
      <c r="F911" s="8" t="s">
        <v>784</v>
      </c>
      <c r="G911" s="8" t="s">
        <v>27</v>
      </c>
      <c r="H911" s="647" t="s">
        <v>1681</v>
      </c>
      <c r="I911" s="642">
        <v>44907</v>
      </c>
      <c r="J911" s="18">
        <v>45070</v>
      </c>
      <c r="K911" s="18">
        <v>45037</v>
      </c>
      <c r="L911" s="16">
        <f>IF(ISTEXT(Table15[[#This Row],[Engineering Approved Design Date]]),Table15[[#This Row],[Date Completed]]-Table15[[#This Row],[Date Assigned to Designer]],Table15[[#This Row],[Engineering Approved Design Date]]-Table15[[#This Row],[Date Completed]])</f>
        <v>33</v>
      </c>
      <c r="M911" s="642"/>
      <c r="N911" s="642" t="s">
        <v>120</v>
      </c>
      <c r="O911" s="1060">
        <f>Table15[[#This Row],[Date Completed]]</f>
        <v>45037</v>
      </c>
      <c r="P911" s="1152" t="s">
        <v>739</v>
      </c>
      <c r="Q911" s="87" t="s">
        <v>115</v>
      </c>
      <c r="R911" s="1026" t="s">
        <v>115</v>
      </c>
      <c r="S911" s="538"/>
      <c r="T911" s="538"/>
      <c r="U911" s="87"/>
      <c r="V911" s="857"/>
      <c r="W911" s="440"/>
      <c r="X911" s="550"/>
      <c r="Y911" s="550"/>
      <c r="Z911" s="550"/>
      <c r="AA911" s="552"/>
      <c r="AB911" s="341" t="s">
        <v>29</v>
      </c>
      <c r="AC911" s="568" t="s">
        <v>709</v>
      </c>
      <c r="AD911" s="1157" t="s">
        <v>29</v>
      </c>
      <c r="AE911" s="579"/>
      <c r="AF911" s="579"/>
      <c r="AG911" s="579"/>
      <c r="AH911" s="553"/>
      <c r="AI911" s="1036"/>
      <c r="AJ911" s="1037"/>
      <c r="AK911" s="1037"/>
      <c r="AL911" s="1038"/>
      <c r="AM911" s="542" t="s">
        <v>709</v>
      </c>
      <c r="AN911" s="924"/>
      <c r="AO911" s="925"/>
      <c r="AP911" s="926"/>
      <c r="AQ911" s="926"/>
      <c r="AR911" s="926"/>
      <c r="AS911" s="926"/>
      <c r="AT911" s="926"/>
      <c r="AU911" s="926"/>
      <c r="AV911" s="926"/>
      <c r="AW911" s="927"/>
      <c r="AX911" s="926"/>
      <c r="AY911" s="1538" t="s">
        <v>29</v>
      </c>
      <c r="AZ911" s="1530"/>
      <c r="BA911" s="1031" t="s">
        <v>5528</v>
      </c>
      <c r="BB911" s="644" t="s">
        <v>1071</v>
      </c>
      <c r="BC911" s="544" t="s">
        <v>709</v>
      </c>
      <c r="BD911" s="544" t="s">
        <v>709</v>
      </c>
      <c r="BE911" s="544" t="s">
        <v>5529</v>
      </c>
      <c r="BF911" s="544" t="s">
        <v>709</v>
      </c>
      <c r="BG911" s="544" t="s">
        <v>709</v>
      </c>
      <c r="BH911" s="741"/>
      <c r="BI911" s="1032"/>
      <c r="BJ911" s="1032"/>
      <c r="BK911" s="1032"/>
      <c r="BL911" s="1032"/>
      <c r="BM911" s="1032"/>
      <c r="BN911" s="1032"/>
      <c r="BO911" s="1032"/>
      <c r="BP911" s="1032"/>
      <c r="BQ911" s="1032"/>
      <c r="BR911" s="1032"/>
      <c r="BS911" s="1032"/>
      <c r="BT911" s="1032"/>
      <c r="BU911" s="1032"/>
      <c r="BV911" s="1032"/>
      <c r="BW911" s="1032"/>
      <c r="BX911" s="1032"/>
      <c r="BY911" s="1032"/>
      <c r="BZ911" s="1032"/>
      <c r="CA911" s="485"/>
      <c r="CB911" s="547">
        <v>906</v>
      </c>
      <c r="CC911" s="1481" t="b">
        <v>1</v>
      </c>
      <c r="CD911" t="str">
        <f>Table15[[#This Row],[Engineering Number]]&amp;Table15[[#This Row],[WO Number]]&amp;Table15[[#This Row],[Date Assigned to Designer]]&amp;Table15[[#This Row],[Date Completed]]</f>
        <v>N16360-4490745037</v>
      </c>
    </row>
    <row r="912" spans="1:82" customFormat="1" ht="15" customHeight="1" x14ac:dyDescent="0.25">
      <c r="A912">
        <v>2023</v>
      </c>
      <c r="B912" s="8" t="s">
        <v>731</v>
      </c>
      <c r="C912" s="8" t="s">
        <v>5274</v>
      </c>
      <c r="D912" s="8" t="s">
        <v>5275</v>
      </c>
      <c r="E912" s="8" t="s">
        <v>155</v>
      </c>
      <c r="F912" s="8" t="s">
        <v>4899</v>
      </c>
      <c r="G912" s="8" t="s">
        <v>26</v>
      </c>
      <c r="H912" s="8" t="s">
        <v>3178</v>
      </c>
      <c r="I912" s="642">
        <v>45034</v>
      </c>
      <c r="J912" s="175" t="s">
        <v>2052</v>
      </c>
      <c r="K912" s="97">
        <v>45037</v>
      </c>
      <c r="L912" s="16">
        <f>IF(ISTEXT(Table15[[#This Row],[Engineering Approved Design Date]]),Table15[[#This Row],[Date Completed]]-Table15[[#This Row],[Date Assigned to Designer]],Table15[[#This Row],[Engineering Approved Design Date]]-Table15[[#This Row],[Date Completed]])</f>
        <v>3</v>
      </c>
      <c r="M912" s="16" t="s">
        <v>5524</v>
      </c>
      <c r="N912" s="642" t="s">
        <v>120</v>
      </c>
      <c r="O912" s="1060">
        <v>45047</v>
      </c>
      <c r="P912" s="21" t="s">
        <v>120</v>
      </c>
      <c r="Q912" s="340">
        <f>Table15[[#This Row],[KH Hourly Effort]]</f>
        <v>2480</v>
      </c>
      <c r="R912" s="1039" t="s">
        <v>1922</v>
      </c>
      <c r="S912" s="538">
        <v>0</v>
      </c>
      <c r="T912" s="538"/>
      <c r="U912" s="87">
        <v>2480</v>
      </c>
      <c r="V912" s="857"/>
      <c r="W912" s="440"/>
      <c r="X912" s="538"/>
      <c r="Y912" s="551"/>
      <c r="Z912" s="538"/>
      <c r="AA912" s="552"/>
      <c r="AB912" s="341" t="s">
        <v>29</v>
      </c>
      <c r="AC912" s="569" t="s">
        <v>29</v>
      </c>
      <c r="AD912" s="1149"/>
      <c r="AE912" s="580"/>
      <c r="AF912" s="580"/>
      <c r="AG912" s="580"/>
      <c r="AH912" s="542"/>
      <c r="AI912" s="1028"/>
      <c r="AJ912" s="1029"/>
      <c r="AK912" s="1029"/>
      <c r="AL912" s="1030"/>
      <c r="AM912" s="542" t="s">
        <v>709</v>
      </c>
      <c r="AN912" s="924"/>
      <c r="AO912" s="925"/>
      <c r="AP912" s="926"/>
      <c r="AQ912" s="926"/>
      <c r="AR912" s="926"/>
      <c r="AS912" s="926"/>
      <c r="AT912" s="926"/>
      <c r="AU912" s="926"/>
      <c r="AV912" s="926"/>
      <c r="AW912" s="927"/>
      <c r="AX912" s="926"/>
      <c r="AY912" s="1538" t="s">
        <v>29</v>
      </c>
      <c r="AZ912" s="1532"/>
      <c r="BA912" s="1031">
        <v>3</v>
      </c>
      <c r="BB912" s="644" t="s">
        <v>29</v>
      </c>
      <c r="BC912" s="544"/>
      <c r="BD912" s="544" t="s">
        <v>882</v>
      </c>
      <c r="BE912" s="544"/>
      <c r="BF912" s="544"/>
      <c r="BG912" s="544"/>
      <c r="BH912" s="741" t="s">
        <v>5525</v>
      </c>
      <c r="BI912" s="547" t="s">
        <v>709</v>
      </c>
      <c r="BJ912" s="547" t="s">
        <v>709</v>
      </c>
      <c r="BK912" s="547" t="s">
        <v>709</v>
      </c>
      <c r="BL912" s="547" t="s">
        <v>709</v>
      </c>
      <c r="BM912" s="547" t="s">
        <v>709</v>
      </c>
      <c r="BN912" s="547" t="s">
        <v>709</v>
      </c>
      <c r="BO912" s="547" t="s">
        <v>709</v>
      </c>
      <c r="BP912" s="547" t="s">
        <v>709</v>
      </c>
      <c r="BQ912" s="547" t="s">
        <v>709</v>
      </c>
      <c r="BR912" s="547" t="s">
        <v>709</v>
      </c>
      <c r="BS912" s="547" t="s">
        <v>709</v>
      </c>
      <c r="BT912" s="547" t="s">
        <v>745</v>
      </c>
      <c r="BU912" s="547" t="s">
        <v>709</v>
      </c>
      <c r="BV912" s="547">
        <v>1</v>
      </c>
      <c r="BW912" s="547" t="s">
        <v>709</v>
      </c>
      <c r="BX912" s="547" t="s">
        <v>745</v>
      </c>
      <c r="BY912" s="547" t="s">
        <v>745</v>
      </c>
      <c r="BZ912" s="547" t="s">
        <v>709</v>
      </c>
      <c r="CA912" s="483" t="s">
        <v>1146</v>
      </c>
      <c r="CB912" s="547">
        <v>910</v>
      </c>
      <c r="CC912" s="1481" t="b">
        <v>1</v>
      </c>
      <c r="CD912" t="str">
        <f>Table15[[#This Row],[Engineering Number]]&amp;Table15[[#This Row],[WO Number]]&amp;Table15[[#This Row],[Date Assigned to Designer]]&amp;Table15[[#This Row],[Date Completed]]</f>
        <v>MR196632121134503445037</v>
      </c>
    </row>
    <row r="913" spans="1:82" customFormat="1" ht="15" customHeight="1" x14ac:dyDescent="0.25">
      <c r="A913">
        <v>2023</v>
      </c>
      <c r="B913" s="8" t="s">
        <v>4</v>
      </c>
      <c r="C913" s="8" t="s">
        <v>1453</v>
      </c>
      <c r="D913" s="8" t="s">
        <v>1454</v>
      </c>
      <c r="E913" s="8" t="s">
        <v>342</v>
      </c>
      <c r="F913" s="8" t="s">
        <v>784</v>
      </c>
      <c r="G913" s="8" t="s">
        <v>27</v>
      </c>
      <c r="H913" s="8" t="s">
        <v>59</v>
      </c>
      <c r="I913" s="642">
        <v>44959</v>
      </c>
      <c r="J913" s="18">
        <v>45047</v>
      </c>
      <c r="K913" s="97">
        <v>45040</v>
      </c>
      <c r="L913" s="16">
        <f>IF(ISTEXT(Table15[[#This Row],[Engineering Approved Design Date]]),Table15[[#This Row],[Date Completed]]-Table15[[#This Row],[Date Assigned to Designer]],Table15[[#This Row],[Engineering Approved Design Date]]-Table15[[#This Row],[Date Completed]])</f>
        <v>7</v>
      </c>
      <c r="M913" s="642"/>
      <c r="N913" s="642" t="s">
        <v>120</v>
      </c>
      <c r="O913" s="1060">
        <f>Table15[[#This Row],[Date Completed]]</f>
        <v>45040</v>
      </c>
      <c r="P913" s="1152" t="s">
        <v>739</v>
      </c>
      <c r="Q913" s="340">
        <f>Table15[[#This Row],[Rate]]*Table15[[#This Row],[Construction Cost to Bill From]]</f>
        <v>26887.298999999999</v>
      </c>
      <c r="R913" s="1026">
        <v>0.1</v>
      </c>
      <c r="S913" s="538"/>
      <c r="T913" s="538"/>
      <c r="U913" s="87"/>
      <c r="V913" s="858">
        <v>294</v>
      </c>
      <c r="W913" s="437">
        <v>0</v>
      </c>
      <c r="X913" s="538">
        <v>245464.03</v>
      </c>
      <c r="Y913" s="551"/>
      <c r="Z913" s="552">
        <v>23408.959999999999</v>
      </c>
      <c r="AA913" s="552">
        <f>Table15[[#This Row],[PCTS Investment Amount]]+Table15[[#This Row],[PCTS Retirement Amount]]</f>
        <v>268872.99</v>
      </c>
      <c r="AB913" s="341">
        <v>45041</v>
      </c>
      <c r="AC913" s="568" t="s">
        <v>709</v>
      </c>
      <c r="AD913" s="1157" t="s">
        <v>116</v>
      </c>
      <c r="AE913" s="568" t="s">
        <v>756</v>
      </c>
      <c r="AF913" s="568" t="s">
        <v>29</v>
      </c>
      <c r="AG913" s="568" t="s">
        <v>116</v>
      </c>
      <c r="AH913" s="183">
        <v>45160</v>
      </c>
      <c r="AI913" s="1036"/>
      <c r="AJ913" s="1037"/>
      <c r="AK913" s="1037"/>
      <c r="AL913" s="1038"/>
      <c r="AM913" s="536" t="s">
        <v>116</v>
      </c>
      <c r="AN913" s="903" t="s">
        <v>709</v>
      </c>
      <c r="AO913" s="1536"/>
      <c r="AP913" s="1537"/>
      <c r="AQ913" s="1537"/>
      <c r="AR913" s="1537"/>
      <c r="AS913" s="888">
        <f>IF(Table15[[#This Row],[PCTS Approved]]="N",0,Table15[[#This Row],[Investment Amount (1'#'#'#'#'#)]]+Table15[[#This Row],[Retirement Amount (3'#'#'#'#'#)]])</f>
        <v>0</v>
      </c>
      <c r="AT913" s="888">
        <f>IF(Table15[[#This Row],[Approved Construction Cost]]=0,0,Table15[[#This Row],[Approved Construction Cost]]-Table15[[#This Row],[Construction Cost to Bill From]])</f>
        <v>0</v>
      </c>
      <c r="AU913" s="888">
        <f>IFERROR(Table15[[#This Row],[Difference in Construction Cost]]*Table15[[#This Row],[Rate]],Table15[[#This Row],[Difference in Construction Cost]]*0.085)</f>
        <v>0</v>
      </c>
      <c r="AV913" s="905"/>
      <c r="AW913" s="1509"/>
      <c r="AX913" s="888"/>
      <c r="AY913" s="636" t="s">
        <v>709</v>
      </c>
      <c r="AZ913" s="333">
        <v>83</v>
      </c>
      <c r="BA913" s="859" t="s">
        <v>1455</v>
      </c>
      <c r="BB913" s="644" t="s">
        <v>1456</v>
      </c>
      <c r="BC913" s="544" t="s">
        <v>709</v>
      </c>
      <c r="BD913" s="544" t="s">
        <v>709</v>
      </c>
      <c r="BE913" s="544" t="s">
        <v>1456</v>
      </c>
      <c r="BF913" s="544" t="s">
        <v>709</v>
      </c>
      <c r="BG913" s="544" t="s">
        <v>709</v>
      </c>
      <c r="BH913" s="741"/>
      <c r="BI913" s="547" t="s">
        <v>709</v>
      </c>
      <c r="BJ913" s="547" t="s">
        <v>709</v>
      </c>
      <c r="BK913" s="547" t="s">
        <v>709</v>
      </c>
      <c r="BL913" s="547" t="s">
        <v>116</v>
      </c>
      <c r="BM913" s="547" t="s">
        <v>709</v>
      </c>
      <c r="BN913" s="547" t="s">
        <v>709</v>
      </c>
      <c r="BO913" s="547" t="s">
        <v>709</v>
      </c>
      <c r="BP913" s="547" t="s">
        <v>709</v>
      </c>
      <c r="BQ913" s="547" t="s">
        <v>709</v>
      </c>
      <c r="BR913" s="547">
        <v>183</v>
      </c>
      <c r="BS913" s="547">
        <v>111</v>
      </c>
      <c r="BT913" s="547" t="s">
        <v>709</v>
      </c>
      <c r="BU913" s="547" t="s">
        <v>709</v>
      </c>
      <c r="BV913" s="547" t="s">
        <v>745</v>
      </c>
      <c r="BW913" s="547" t="s">
        <v>709</v>
      </c>
      <c r="BX913" s="547" t="s">
        <v>745</v>
      </c>
      <c r="BY913" s="547" t="s">
        <v>745</v>
      </c>
      <c r="BZ913" s="547" t="s">
        <v>709</v>
      </c>
      <c r="CA913" s="483"/>
      <c r="CB913" s="547">
        <v>911</v>
      </c>
      <c r="CC913" s="1481" t="b">
        <v>1</v>
      </c>
      <c r="CD913" t="str">
        <f>Table15[[#This Row],[Engineering Number]]&amp;Table15[[#This Row],[WO Number]]&amp;Table15[[#This Row],[Date Assigned to Designer]]&amp;Table15[[#This Row],[Date Completed]]</f>
        <v>N1474112125084495945040</v>
      </c>
    </row>
    <row r="914" spans="1:82" customFormat="1" ht="15" customHeight="1" x14ac:dyDescent="0.25">
      <c r="A914">
        <v>2023</v>
      </c>
      <c r="B914" s="8" t="s">
        <v>1205</v>
      </c>
      <c r="C914" s="8" t="s">
        <v>409</v>
      </c>
      <c r="D914" s="8" t="s">
        <v>5534</v>
      </c>
      <c r="E914" s="8" t="s">
        <v>141</v>
      </c>
      <c r="F914" s="8" t="s">
        <v>747</v>
      </c>
      <c r="G914" s="8" t="s">
        <v>22</v>
      </c>
      <c r="H914" s="8" t="s">
        <v>59</v>
      </c>
      <c r="I914" s="642">
        <v>44930</v>
      </c>
      <c r="J914" s="18">
        <v>45044</v>
      </c>
      <c r="K914" s="97">
        <v>45040</v>
      </c>
      <c r="L914" s="16">
        <f>IF(ISTEXT(Table15[[#This Row],[Engineering Approved Design Date]]),Table15[[#This Row],[Date Completed]]-Table15[[#This Row],[Date Assigned to Designer]],Table15[[#This Row],[Engineering Approved Design Date]]-Table15[[#This Row],[Date Completed]])</f>
        <v>4</v>
      </c>
      <c r="M914" s="642"/>
      <c r="N914" s="642" t="s">
        <v>120</v>
      </c>
      <c r="O914" s="1060">
        <v>45047</v>
      </c>
      <c r="P914" s="1152" t="s">
        <v>120</v>
      </c>
      <c r="Q914" s="340">
        <f>Table15[[#This Row],[Rate]]*Table15[[#This Row],[Construction Cost to Bill From]]</f>
        <v>38844.520199999999</v>
      </c>
      <c r="R914" s="1026">
        <v>0.09</v>
      </c>
      <c r="S914" s="538"/>
      <c r="T914" s="538"/>
      <c r="U914" s="87"/>
      <c r="V914" s="858">
        <v>463</v>
      </c>
      <c r="W914" s="437">
        <v>0</v>
      </c>
      <c r="X914" s="538">
        <v>377158.64</v>
      </c>
      <c r="Y914" s="551"/>
      <c r="Z914" s="552">
        <v>54447.14</v>
      </c>
      <c r="AA914" s="552">
        <f>SUM(Table15[[#This Row],[PCTS Investment Amount]:[PCTS Retirement Amount]])</f>
        <v>431605.78</v>
      </c>
      <c r="AB914" s="341">
        <v>45042</v>
      </c>
      <c r="AC914" s="568" t="s">
        <v>1441</v>
      </c>
      <c r="AD914" s="1157" t="s">
        <v>29</v>
      </c>
      <c r="AE914" s="568" t="s">
        <v>29</v>
      </c>
      <c r="AF914" s="568" t="s">
        <v>29</v>
      </c>
      <c r="AG914" s="568" t="s">
        <v>29</v>
      </c>
      <c r="AH914" s="183" t="s">
        <v>29</v>
      </c>
      <c r="AI914" s="1036"/>
      <c r="AJ914" s="1037"/>
      <c r="AK914" s="1037"/>
      <c r="AL914" s="1038"/>
      <c r="AM914" s="1522" t="s">
        <v>116</v>
      </c>
      <c r="AN914" s="1523">
        <v>45217</v>
      </c>
      <c r="AO914" s="1524">
        <v>11056678</v>
      </c>
      <c r="AP914" s="1525">
        <v>377745.06</v>
      </c>
      <c r="AQ914" s="1525"/>
      <c r="AR914" s="1525">
        <v>54447.14</v>
      </c>
      <c r="AS914" s="1525">
        <f>IF(Table15[[#This Row],[PCTS Approved]]="N",0,Table15[[#This Row],[Investment Amount (1'#'#'#'#'#)]]+Table15[[#This Row],[Retirement Amount (3'#'#'#'#'#)]])</f>
        <v>432192.2</v>
      </c>
      <c r="AT914" s="1525">
        <f>IF(Table15[[#This Row],[Approved Construction Cost]]=0,0,Table15[[#This Row],[Approved Construction Cost]]-Table15[[#This Row],[Construction Cost to Bill From]])</f>
        <v>586.4199999999837</v>
      </c>
      <c r="AU914" s="1525">
        <f>IFERROR(Table15[[#This Row],[Difference in Construction Cost]]*Table15[[#This Row],[Rate]],Table15[[#This Row],[Difference in Construction Cost]]*0.085)</f>
        <v>52.777799999998528</v>
      </c>
      <c r="AV914" s="1525">
        <v>26095</v>
      </c>
      <c r="AW914" s="1526" t="s">
        <v>5535</v>
      </c>
      <c r="AX914" s="1525">
        <v>0</v>
      </c>
      <c r="AY914" s="1518">
        <v>45352</v>
      </c>
      <c r="AZ914" s="333"/>
      <c r="BA914" s="859" t="s">
        <v>5536</v>
      </c>
      <c r="BB914" s="644" t="s">
        <v>5537</v>
      </c>
      <c r="BC914" s="544" t="s">
        <v>116</v>
      </c>
      <c r="BD914" s="544" t="s">
        <v>709</v>
      </c>
      <c r="BE914" s="544" t="s">
        <v>757</v>
      </c>
      <c r="BF914" s="544" t="s">
        <v>115</v>
      </c>
      <c r="BG914" s="544" t="s">
        <v>5538</v>
      </c>
      <c r="BH914" s="741" t="s">
        <v>5539</v>
      </c>
      <c r="BI914" s="549" t="s">
        <v>709</v>
      </c>
      <c r="BJ914" s="549" t="s">
        <v>709</v>
      </c>
      <c r="BK914" s="549" t="s">
        <v>709</v>
      </c>
      <c r="BL914" s="549" t="s">
        <v>116</v>
      </c>
      <c r="BM914" s="549" t="s">
        <v>709</v>
      </c>
      <c r="BN914" s="549" t="s">
        <v>709</v>
      </c>
      <c r="BO914" s="549" t="s">
        <v>709</v>
      </c>
      <c r="BP914" s="549">
        <v>463</v>
      </c>
      <c r="BQ914" s="549" t="s">
        <v>709</v>
      </c>
      <c r="BR914" s="549" t="s">
        <v>709</v>
      </c>
      <c r="BS914" s="549" t="s">
        <v>709</v>
      </c>
      <c r="BT914" s="549" t="s">
        <v>709</v>
      </c>
      <c r="BU914" s="549" t="s">
        <v>709</v>
      </c>
      <c r="BV914" s="549" t="s">
        <v>709</v>
      </c>
      <c r="BW914" s="549" t="s">
        <v>709</v>
      </c>
      <c r="BX914" s="549" t="s">
        <v>745</v>
      </c>
      <c r="BY914" s="549" t="s">
        <v>709</v>
      </c>
      <c r="BZ914" s="547" t="s">
        <v>709</v>
      </c>
      <c r="CA914" s="483"/>
      <c r="CB914" s="547">
        <v>912</v>
      </c>
      <c r="CC914" s="1481" t="b">
        <v>1</v>
      </c>
      <c r="CD914" t="str">
        <f>Table15[[#This Row],[Engineering Number]]&amp;Table15[[#This Row],[WO Number]]&amp;Table15[[#This Row],[Date Assigned to Designer]]&amp;Table15[[#This Row],[Date Completed]]</f>
        <v>MR198414122004493045040</v>
      </c>
    </row>
    <row r="915" spans="1:82" customFormat="1" ht="15" customHeight="1" x14ac:dyDescent="0.25">
      <c r="A915">
        <v>2023</v>
      </c>
      <c r="B915" s="8" t="s">
        <v>771</v>
      </c>
      <c r="C915" s="8" t="s">
        <v>5549</v>
      </c>
      <c r="D915" s="8" t="s">
        <v>5550</v>
      </c>
      <c r="E915" s="8" t="s">
        <v>361</v>
      </c>
      <c r="F915" s="8" t="s">
        <v>784</v>
      </c>
      <c r="G915" s="8" t="s">
        <v>23</v>
      </c>
      <c r="H915" s="8" t="s">
        <v>59</v>
      </c>
      <c r="I915" s="642">
        <v>44946</v>
      </c>
      <c r="J915" s="18">
        <v>45043</v>
      </c>
      <c r="K915" s="97">
        <v>45041</v>
      </c>
      <c r="L915" s="16">
        <f>IF(ISTEXT(Table15[[#This Row],[Engineering Approved Design Date]]),Table15[[#This Row],[Date Completed]]-Table15[[#This Row],[Date Assigned to Designer]],Table15[[#This Row],[Engineering Approved Design Date]]-Table15[[#This Row],[Date Completed]])</f>
        <v>2</v>
      </c>
      <c r="M915" s="642"/>
      <c r="N915" s="642" t="s">
        <v>120</v>
      </c>
      <c r="O915" s="1060">
        <v>45047</v>
      </c>
      <c r="P915" s="1152" t="s">
        <v>120</v>
      </c>
      <c r="Q915" s="340">
        <f>Table15[[#This Row],[Rate]]*Table15[[#This Row],[Construction Cost to Bill From]]</f>
        <v>157955.12840000002</v>
      </c>
      <c r="R915" s="1026">
        <v>0.04</v>
      </c>
      <c r="S915" s="538"/>
      <c r="T915" s="538"/>
      <c r="U915" s="87"/>
      <c r="V915" s="858">
        <v>15890</v>
      </c>
      <c r="W915" s="437">
        <v>0</v>
      </c>
      <c r="X915" s="538">
        <v>3824720.13</v>
      </c>
      <c r="Y915" s="551"/>
      <c r="Z915" s="552">
        <v>124158.08</v>
      </c>
      <c r="AA915" s="552">
        <f>SUM(Table15[[#This Row],[PCTS Investment Amount]:[PCTS Retirement Amount]])</f>
        <v>3948878.21</v>
      </c>
      <c r="AB915" s="341">
        <v>45043</v>
      </c>
      <c r="AC915" s="568" t="s">
        <v>811</v>
      </c>
      <c r="AD915" s="1157" t="s">
        <v>29</v>
      </c>
      <c r="AE915" s="568" t="s">
        <v>29</v>
      </c>
      <c r="AF915" s="568" t="s">
        <v>29</v>
      </c>
      <c r="AG915" s="568" t="s">
        <v>29</v>
      </c>
      <c r="AH915" s="183" t="s">
        <v>29</v>
      </c>
      <c r="AI915" s="1036"/>
      <c r="AJ915" s="1037"/>
      <c r="AK915" s="1037"/>
      <c r="AL915" s="1038"/>
      <c r="AM915" s="1522" t="s">
        <v>116</v>
      </c>
      <c r="AN915" s="1523">
        <v>45168</v>
      </c>
      <c r="AO915" s="1524">
        <v>11069828</v>
      </c>
      <c r="AP915" s="1525">
        <v>3826985.61</v>
      </c>
      <c r="AQ915" s="1525"/>
      <c r="AR915" s="1525">
        <v>124158.08</v>
      </c>
      <c r="AS915" s="1525">
        <f>IF(Table15[[#This Row],[PCTS Approved]]="N",0,Table15[[#This Row],[Investment Amount (1'#'#'#'#'#)]]+Table15[[#This Row],[Retirement Amount (3'#'#'#'#'#)]])</f>
        <v>3951143.69</v>
      </c>
      <c r="AT915" s="1525">
        <f>IF(Table15[[#This Row],[Approved Construction Cost]]=0,0,Table15[[#This Row],[Approved Construction Cost]]-Table15[[#This Row],[Construction Cost to Bill From]])</f>
        <v>2265.4799999999814</v>
      </c>
      <c r="AU915" s="1525">
        <f>IFERROR(Table15[[#This Row],[Difference in Construction Cost]]*Table15[[#This Row],[Rate]],Table15[[#This Row],[Difference in Construction Cost]]*0.085)</f>
        <v>90.619199999999253</v>
      </c>
      <c r="AV915" s="1525">
        <v>9435</v>
      </c>
      <c r="AW915" s="1526" t="s">
        <v>5551</v>
      </c>
      <c r="AX915" s="1525">
        <v>0</v>
      </c>
      <c r="AY915" s="1518">
        <v>45352</v>
      </c>
      <c r="AZ915" s="333"/>
      <c r="BA915" s="859" t="s">
        <v>5552</v>
      </c>
      <c r="BB915" s="644" t="s">
        <v>5553</v>
      </c>
      <c r="BC915" s="544" t="s">
        <v>116</v>
      </c>
      <c r="BD915" s="544" t="s">
        <v>882</v>
      </c>
      <c r="BE915" s="544" t="s">
        <v>1415</v>
      </c>
      <c r="BF915" s="544" t="s">
        <v>115</v>
      </c>
      <c r="BG915" s="544" t="s">
        <v>115</v>
      </c>
      <c r="BH915" s="741" t="s">
        <v>5554</v>
      </c>
      <c r="BI915" s="549" t="s">
        <v>709</v>
      </c>
      <c r="BJ915" s="549" t="s">
        <v>709</v>
      </c>
      <c r="BK915" s="549" t="s">
        <v>709</v>
      </c>
      <c r="BL915" s="549" t="s">
        <v>116</v>
      </c>
      <c r="BM915" s="549" t="s">
        <v>709</v>
      </c>
      <c r="BN915" s="549" t="s">
        <v>709</v>
      </c>
      <c r="BO915" s="549" t="s">
        <v>709</v>
      </c>
      <c r="BP915" s="549">
        <v>872</v>
      </c>
      <c r="BQ915" s="549" t="s">
        <v>709</v>
      </c>
      <c r="BR915" s="549" t="s">
        <v>709</v>
      </c>
      <c r="BS915" s="549">
        <v>15018</v>
      </c>
      <c r="BT915" s="549" t="s">
        <v>709</v>
      </c>
      <c r="BU915" s="549" t="s">
        <v>709</v>
      </c>
      <c r="BV915" s="549" t="s">
        <v>709</v>
      </c>
      <c r="BW915" s="549" t="s">
        <v>709</v>
      </c>
      <c r="BX915" s="549" t="s">
        <v>745</v>
      </c>
      <c r="BY915" s="549" t="s">
        <v>709</v>
      </c>
      <c r="BZ915" s="547" t="s">
        <v>709</v>
      </c>
      <c r="CA915" s="483"/>
      <c r="CB915" s="547">
        <v>913</v>
      </c>
      <c r="CC915" s="1481" t="b">
        <v>1</v>
      </c>
      <c r="CD915" t="str">
        <f>Table15[[#This Row],[Engineering Number]]&amp;Table15[[#This Row],[WO Number]]&amp;Table15[[#This Row],[Date Assigned to Designer]]&amp;Table15[[#This Row],[Date Completed]]</f>
        <v>BS187-112122754494645041</v>
      </c>
    </row>
    <row r="916" spans="1:82" customFormat="1" ht="15" customHeight="1" x14ac:dyDescent="0.25">
      <c r="A916">
        <v>2023</v>
      </c>
      <c r="B916" s="8" t="s">
        <v>771</v>
      </c>
      <c r="C916" s="8" t="s">
        <v>5541</v>
      </c>
      <c r="D916" s="8" t="s">
        <v>5542</v>
      </c>
      <c r="E916" s="8" t="s">
        <v>774</v>
      </c>
      <c r="F916" s="8" t="s">
        <v>747</v>
      </c>
      <c r="G916" s="8" t="s">
        <v>32</v>
      </c>
      <c r="H916" s="8" t="s">
        <v>59</v>
      </c>
      <c r="I916" s="642">
        <v>44957</v>
      </c>
      <c r="J916" s="18">
        <v>45044</v>
      </c>
      <c r="K916" s="97">
        <v>45041</v>
      </c>
      <c r="L916" s="16">
        <f>IF(ISTEXT(Table15[[#This Row],[Engineering Approved Design Date]]),Table15[[#This Row],[Date Completed]]-Table15[[#This Row],[Date Assigned to Designer]],Table15[[#This Row],[Engineering Approved Design Date]]-Table15[[#This Row],[Date Completed]])</f>
        <v>3</v>
      </c>
      <c r="M916" s="642"/>
      <c r="N916" s="642" t="s">
        <v>120</v>
      </c>
      <c r="O916" s="1060">
        <v>45047</v>
      </c>
      <c r="P916" s="1152" t="s">
        <v>120</v>
      </c>
      <c r="Q916" s="340">
        <f>Table15[[#This Row],[Rate]]*Table15[[#This Row],[Construction Cost to Bill From]]</f>
        <v>45618.837299999999</v>
      </c>
      <c r="R916" s="1026">
        <v>0.09</v>
      </c>
      <c r="S916" s="538"/>
      <c r="T916" s="538"/>
      <c r="U916" s="87"/>
      <c r="V916" s="858">
        <v>1365</v>
      </c>
      <c r="W916" s="437">
        <v>0</v>
      </c>
      <c r="X916" s="538">
        <v>469691.25</v>
      </c>
      <c r="Y916" s="551"/>
      <c r="Z916" s="552">
        <v>37184.720000000001</v>
      </c>
      <c r="AA916" s="552">
        <f>SUM(Table15[[#This Row],[PCTS Investment Amount]:[PCTS Retirement Amount]])</f>
        <v>506875.97</v>
      </c>
      <c r="AB916" s="341">
        <v>45047</v>
      </c>
      <c r="AC916" s="568" t="s">
        <v>709</v>
      </c>
      <c r="AD916" s="1157" t="s">
        <v>29</v>
      </c>
      <c r="AE916" s="568" t="s">
        <v>29</v>
      </c>
      <c r="AF916" s="568" t="s">
        <v>29</v>
      </c>
      <c r="AG916" s="568" t="s">
        <v>29</v>
      </c>
      <c r="AH916" s="183" t="s">
        <v>29</v>
      </c>
      <c r="AI916" s="1036"/>
      <c r="AJ916" s="1037"/>
      <c r="AK916" s="1037"/>
      <c r="AL916" s="1038"/>
      <c r="AM916" s="1522" t="s">
        <v>116</v>
      </c>
      <c r="AN916" s="1523">
        <v>45113</v>
      </c>
      <c r="AO916" s="1524">
        <v>11059546</v>
      </c>
      <c r="AP916" s="1525">
        <v>470324.36</v>
      </c>
      <c r="AQ916" s="1525"/>
      <c r="AR916" s="1525">
        <v>37184.720000000001</v>
      </c>
      <c r="AS916" s="1525">
        <f>IF(Table15[[#This Row],[PCTS Approved]]="N",0,Table15[[#This Row],[Investment Amount (1'#'#'#'#'#)]]+Table15[[#This Row],[Retirement Amount (3'#'#'#'#'#)]])</f>
        <v>507509.07999999996</v>
      </c>
      <c r="AT916" s="1525">
        <f>IF(Table15[[#This Row],[Approved Construction Cost]]=0,0,Table15[[#This Row],[Approved Construction Cost]]-Table15[[#This Row],[Construction Cost to Bill From]])</f>
        <v>633.10999999998603</v>
      </c>
      <c r="AU916" s="1525">
        <f>IFERROR(Table15[[#This Row],[Difference in Construction Cost]]*Table15[[#This Row],[Rate]],Table15[[#This Row],[Difference in Construction Cost]]*0.085)</f>
        <v>56.979899999998743</v>
      </c>
      <c r="AV916" s="1525" t="s">
        <v>709</v>
      </c>
      <c r="AW916" s="1526"/>
      <c r="AX916" s="1525">
        <v>56.98</v>
      </c>
      <c r="AY916" s="1518">
        <v>45352</v>
      </c>
      <c r="AZ916" s="333"/>
      <c r="BA916" s="859" t="s">
        <v>5543</v>
      </c>
      <c r="BB916" s="644" t="s">
        <v>5544</v>
      </c>
      <c r="BC916" s="544" t="s">
        <v>116</v>
      </c>
      <c r="BD916" s="544" t="s">
        <v>757</v>
      </c>
      <c r="BE916" s="544" t="s">
        <v>778</v>
      </c>
      <c r="BF916" s="544" t="s">
        <v>758</v>
      </c>
      <c r="BG916" s="544" t="s">
        <v>115</v>
      </c>
      <c r="BH916" s="741" t="s">
        <v>5545</v>
      </c>
      <c r="BI916" s="547" t="s">
        <v>709</v>
      </c>
      <c r="BJ916" s="547" t="s">
        <v>709</v>
      </c>
      <c r="BK916" s="547" t="s">
        <v>709</v>
      </c>
      <c r="BL916" s="547" t="s">
        <v>116</v>
      </c>
      <c r="BM916" s="547">
        <v>0</v>
      </c>
      <c r="BN916" s="549">
        <v>0</v>
      </c>
      <c r="BO916" s="547">
        <v>0</v>
      </c>
      <c r="BP916" s="547">
        <v>1334</v>
      </c>
      <c r="BQ916" s="547">
        <v>0</v>
      </c>
      <c r="BR916" s="547">
        <v>0</v>
      </c>
      <c r="BS916" s="547">
        <v>31</v>
      </c>
      <c r="BT916" s="547">
        <v>0</v>
      </c>
      <c r="BU916" s="549">
        <v>0</v>
      </c>
      <c r="BV916" s="547">
        <v>0</v>
      </c>
      <c r="BW916" s="547">
        <v>0</v>
      </c>
      <c r="BX916" s="547">
        <v>0</v>
      </c>
      <c r="BY916" s="547">
        <v>0</v>
      </c>
      <c r="BZ916" s="547" t="s">
        <v>709</v>
      </c>
      <c r="CA916" s="483"/>
      <c r="CB916" s="547">
        <v>914</v>
      </c>
      <c r="CC916" s="1481" t="b">
        <v>1</v>
      </c>
      <c r="CD916" t="str">
        <f>Table15[[#This Row],[Engineering Number]]&amp;Table15[[#This Row],[WO Number]]&amp;Table15[[#This Row],[Date Assigned to Designer]]&amp;Table15[[#This Row],[Date Completed]]</f>
        <v>BS45514123284495745041</v>
      </c>
    </row>
    <row r="917" spans="1:82" customFormat="1" ht="15" customHeight="1" x14ac:dyDescent="0.25">
      <c r="A917">
        <v>2023</v>
      </c>
      <c r="B917" s="8" t="s">
        <v>4</v>
      </c>
      <c r="C917" s="8" t="s">
        <v>1482</v>
      </c>
      <c r="D917" s="8" t="s">
        <v>1483</v>
      </c>
      <c r="E917" s="8" t="s">
        <v>354</v>
      </c>
      <c r="F917" s="8" t="s">
        <v>784</v>
      </c>
      <c r="G917" s="8" t="s">
        <v>27</v>
      </c>
      <c r="H917" s="8" t="s">
        <v>4646</v>
      </c>
      <c r="I917" s="642">
        <v>45034</v>
      </c>
      <c r="J917" s="175" t="s">
        <v>4110</v>
      </c>
      <c r="K917" s="97">
        <v>45041</v>
      </c>
      <c r="L917" s="16">
        <f>IF(ISTEXT(Table15[[#This Row],[Engineering Approved Design Date]]),Table15[[#This Row],[Date Completed]]-Table15[[#This Row],[Date Assigned to Designer]],Table15[[#This Row],[Engineering Approved Design Date]]-Table15[[#This Row],[Date Completed]])</f>
        <v>7</v>
      </c>
      <c r="M917" s="16" t="s">
        <v>5547</v>
      </c>
      <c r="N917" s="642" t="s">
        <v>120</v>
      </c>
      <c r="O917" s="1060">
        <v>45061</v>
      </c>
      <c r="P917" s="21" t="s">
        <v>739</v>
      </c>
      <c r="Q917" s="340">
        <f>Table15[[#This Row],[KH Hourly Effort]]</f>
        <v>4952.5</v>
      </c>
      <c r="R917" s="1026" t="s">
        <v>1922</v>
      </c>
      <c r="S917" s="538">
        <v>0</v>
      </c>
      <c r="T917" s="538"/>
      <c r="U917" s="87">
        <v>4952.5</v>
      </c>
      <c r="V917" s="857"/>
      <c r="W917" s="440"/>
      <c r="X917" s="538"/>
      <c r="Y917" s="551"/>
      <c r="Z917" s="538"/>
      <c r="AA917" s="552"/>
      <c r="AB917" s="341" t="s">
        <v>29</v>
      </c>
      <c r="AC917" s="568" t="s">
        <v>709</v>
      </c>
      <c r="AD917" s="1157" t="s">
        <v>29</v>
      </c>
      <c r="AE917" s="579"/>
      <c r="AF917" s="579"/>
      <c r="AG917" s="579"/>
      <c r="AH917" s="553"/>
      <c r="AI917" s="1036"/>
      <c r="AJ917" s="1037"/>
      <c r="AK917" s="1037"/>
      <c r="AL917" s="1038"/>
      <c r="AM917" s="542" t="s">
        <v>709</v>
      </c>
      <c r="AN917" s="924"/>
      <c r="AO917" s="925"/>
      <c r="AP917" s="926"/>
      <c r="AQ917" s="926"/>
      <c r="AR917" s="926"/>
      <c r="AS917" s="926"/>
      <c r="AT917" s="926"/>
      <c r="AU917" s="926"/>
      <c r="AV917" s="926"/>
      <c r="AW917" s="927"/>
      <c r="AX917" s="926"/>
      <c r="AY917" s="1538" t="s">
        <v>29</v>
      </c>
      <c r="AZ917" s="1530"/>
      <c r="BA917" s="1031" t="s">
        <v>29</v>
      </c>
      <c r="BB917" s="644" t="s">
        <v>29</v>
      </c>
      <c r="BC917" s="544" t="s">
        <v>29</v>
      </c>
      <c r="BD917" s="544"/>
      <c r="BE917" s="544"/>
      <c r="BF917" s="544"/>
      <c r="BG917" s="544"/>
      <c r="BH917" s="741"/>
      <c r="BI917" s="547" t="s">
        <v>709</v>
      </c>
      <c r="BJ917" s="547" t="s">
        <v>709</v>
      </c>
      <c r="BK917" s="547" t="s">
        <v>709</v>
      </c>
      <c r="BL917" s="547" t="s">
        <v>709</v>
      </c>
      <c r="BM917" s="547" t="s">
        <v>709</v>
      </c>
      <c r="BN917" s="547" t="s">
        <v>709</v>
      </c>
      <c r="BO917" s="547" t="s">
        <v>709</v>
      </c>
      <c r="BP917" s="547" t="s">
        <v>709</v>
      </c>
      <c r="BQ917" s="547" t="s">
        <v>709</v>
      </c>
      <c r="BR917" s="547" t="s">
        <v>709</v>
      </c>
      <c r="BS917" s="547" t="s">
        <v>709</v>
      </c>
      <c r="BT917" s="547" t="s">
        <v>745</v>
      </c>
      <c r="BU917" s="547" t="s">
        <v>709</v>
      </c>
      <c r="BV917" s="547" t="s">
        <v>745</v>
      </c>
      <c r="BW917" s="547" t="s">
        <v>709</v>
      </c>
      <c r="BX917" s="547" t="s">
        <v>745</v>
      </c>
      <c r="BY917" s="547" t="s">
        <v>745</v>
      </c>
      <c r="BZ917" s="547" t="s">
        <v>709</v>
      </c>
      <c r="CA917" s="483" t="s">
        <v>1146</v>
      </c>
      <c r="CB917" s="547">
        <v>915</v>
      </c>
      <c r="CC917" s="1481" t="b">
        <v>1</v>
      </c>
      <c r="CD917" t="str">
        <f>Table15[[#This Row],[Engineering Number]]&amp;Table15[[#This Row],[WO Number]]&amp;Table15[[#This Row],[Date Assigned to Designer]]&amp;Table15[[#This Row],[Date Completed]]</f>
        <v>N1672232126314503445041</v>
      </c>
    </row>
    <row r="918" spans="1:82" customFormat="1" ht="15" customHeight="1" x14ac:dyDescent="0.25">
      <c r="A918">
        <v>2023</v>
      </c>
      <c r="B918" s="8" t="s">
        <v>4</v>
      </c>
      <c r="C918" s="8" t="s">
        <v>5360</v>
      </c>
      <c r="D918" s="8" t="s">
        <v>5361</v>
      </c>
      <c r="E918" s="8" t="s">
        <v>4848</v>
      </c>
      <c r="F918" s="8" t="s">
        <v>747</v>
      </c>
      <c r="G918" s="8" t="s">
        <v>35</v>
      </c>
      <c r="H918" s="8" t="s">
        <v>4462</v>
      </c>
      <c r="I918" s="642">
        <v>45036</v>
      </c>
      <c r="J918" s="175" t="s">
        <v>2052</v>
      </c>
      <c r="K918" s="97">
        <v>45042</v>
      </c>
      <c r="L918" s="16">
        <f>IF(ISTEXT(Table15[[#This Row],[Engineering Approved Design Date]]),Table15[[#This Row],[Date Completed]]-Table15[[#This Row],[Date Assigned to Designer]],Table15[[#This Row],[Engineering Approved Design Date]]-Table15[[#This Row],[Date Completed]])</f>
        <v>6</v>
      </c>
      <c r="M918" s="16" t="s">
        <v>5566</v>
      </c>
      <c r="N918" s="642" t="s">
        <v>120</v>
      </c>
      <c r="O918" s="1060">
        <f>Table15[[#This Row],[Date Completed]]</f>
        <v>45042</v>
      </c>
      <c r="P918" s="21" t="s">
        <v>739</v>
      </c>
      <c r="Q918" s="1061" t="s">
        <v>115</v>
      </c>
      <c r="R918" s="1026" t="s">
        <v>115</v>
      </c>
      <c r="S918" s="538"/>
      <c r="T918" s="538"/>
      <c r="U918" s="87"/>
      <c r="V918" s="857"/>
      <c r="W918" s="440"/>
      <c r="X918" s="538"/>
      <c r="Y918" s="551"/>
      <c r="Z918" s="538"/>
      <c r="AA918" s="552"/>
      <c r="AB918" s="341" t="s">
        <v>29</v>
      </c>
      <c r="AC918" s="568" t="s">
        <v>29</v>
      </c>
      <c r="AD918" s="1149" t="s">
        <v>116</v>
      </c>
      <c r="AE918" s="580"/>
      <c r="AF918" s="580"/>
      <c r="AG918" s="580"/>
      <c r="AH918" s="542"/>
      <c r="AI918" s="1028"/>
      <c r="AJ918" s="1029"/>
      <c r="AK918" s="1029"/>
      <c r="AL918" s="1030"/>
      <c r="AM918" s="542" t="s">
        <v>709</v>
      </c>
      <c r="AN918" s="924"/>
      <c r="AO918" s="925"/>
      <c r="AP918" s="926"/>
      <c r="AQ918" s="926"/>
      <c r="AR918" s="926"/>
      <c r="AS918" s="926"/>
      <c r="AT918" s="926"/>
      <c r="AU918" s="926"/>
      <c r="AV918" s="926"/>
      <c r="AW918" s="927"/>
      <c r="AX918" s="926"/>
      <c r="AY918" s="1538" t="s">
        <v>29</v>
      </c>
      <c r="AZ918" s="1530"/>
      <c r="BA918" s="1031" t="s">
        <v>4650</v>
      </c>
      <c r="BB918" s="644"/>
      <c r="BC918" s="544"/>
      <c r="BD918" s="544"/>
      <c r="BE918" s="544"/>
      <c r="BF918" s="544"/>
      <c r="BG918" s="544"/>
      <c r="BH918" s="741"/>
      <c r="BI918" s="1032" t="s">
        <v>709</v>
      </c>
      <c r="BJ918" s="1032" t="s">
        <v>709</v>
      </c>
      <c r="BK918" s="1032" t="s">
        <v>709</v>
      </c>
      <c r="BL918" s="1032" t="s">
        <v>116</v>
      </c>
      <c r="BM918" s="1032" t="s">
        <v>709</v>
      </c>
      <c r="BN918" s="1032" t="s">
        <v>709</v>
      </c>
      <c r="BO918" s="1032" t="s">
        <v>709</v>
      </c>
      <c r="BP918" s="1032" t="s">
        <v>709</v>
      </c>
      <c r="BQ918" s="1032" t="s">
        <v>116</v>
      </c>
      <c r="BR918" s="1032" t="s">
        <v>116</v>
      </c>
      <c r="BS918" s="1032" t="s">
        <v>116</v>
      </c>
      <c r="BT918" s="1032" t="s">
        <v>745</v>
      </c>
      <c r="BU918" s="1032" t="s">
        <v>709</v>
      </c>
      <c r="BV918" s="1032" t="s">
        <v>745</v>
      </c>
      <c r="BW918" s="1032" t="s">
        <v>709</v>
      </c>
      <c r="BX918" s="1032" t="s">
        <v>745</v>
      </c>
      <c r="BY918" s="1032" t="s">
        <v>745</v>
      </c>
      <c r="BZ918" s="1032" t="s">
        <v>709</v>
      </c>
      <c r="CA918" s="485"/>
      <c r="CB918" s="547">
        <v>917</v>
      </c>
      <c r="CC918" s="1481" t="b">
        <v>1</v>
      </c>
      <c r="CD918" t="str">
        <f>Table15[[#This Row],[Engineering Number]]&amp;Table15[[#This Row],[WO Number]]&amp;Table15[[#This Row],[Date Assigned to Designer]]&amp;Table15[[#This Row],[Date Completed]]</f>
        <v>SC2108912119314503645042</v>
      </c>
    </row>
    <row r="919" spans="1:82" customFormat="1" ht="15" customHeight="1" x14ac:dyDescent="0.25">
      <c r="A919">
        <v>2023</v>
      </c>
      <c r="B919" s="8" t="s">
        <v>4</v>
      </c>
      <c r="C919" s="8" t="s">
        <v>5562</v>
      </c>
      <c r="D919" s="8" t="s">
        <v>115</v>
      </c>
      <c r="E919" s="8" t="s">
        <v>2074</v>
      </c>
      <c r="F919" s="8" t="s">
        <v>747</v>
      </c>
      <c r="G919" s="8" t="s">
        <v>25</v>
      </c>
      <c r="H919" s="8" t="s">
        <v>1681</v>
      </c>
      <c r="I919" s="642">
        <v>45006</v>
      </c>
      <c r="J919" s="18">
        <v>45072</v>
      </c>
      <c r="K919" s="97">
        <v>45042</v>
      </c>
      <c r="L919" s="16">
        <f>IF(ISTEXT(Table15[[#This Row],[Engineering Approved Design Date]]),Table15[[#This Row],[Date Completed]]-Table15[[#This Row],[Date Assigned to Designer]],Table15[[#This Row],[Engineering Approved Design Date]]-Table15[[#This Row],[Date Completed]])</f>
        <v>30</v>
      </c>
      <c r="M919" s="642"/>
      <c r="N919" s="642" t="s">
        <v>120</v>
      </c>
      <c r="O919" s="1060">
        <f>Table15[[#This Row],[Date Completed]]</f>
        <v>45042</v>
      </c>
      <c r="P919" s="1152" t="s">
        <v>739</v>
      </c>
      <c r="Q919" s="340" t="s">
        <v>115</v>
      </c>
      <c r="R919" s="1026" t="s">
        <v>115</v>
      </c>
      <c r="S919" s="538"/>
      <c r="T919" s="538"/>
      <c r="U919" s="87"/>
      <c r="V919" s="858"/>
      <c r="W919" s="437"/>
      <c r="X919" s="538"/>
      <c r="Y919" s="551"/>
      <c r="Z919" s="552"/>
      <c r="AA919" s="552"/>
      <c r="AB919" s="341" t="s">
        <v>29</v>
      </c>
      <c r="AC919" s="568" t="s">
        <v>709</v>
      </c>
      <c r="AD919" s="1157" t="s">
        <v>29</v>
      </c>
      <c r="AE919" s="579"/>
      <c r="AF919" s="579"/>
      <c r="AG919" s="579"/>
      <c r="AH919" s="553"/>
      <c r="AI919" s="1036"/>
      <c r="AJ919" s="1037"/>
      <c r="AK919" s="1037"/>
      <c r="AL919" s="1038"/>
      <c r="AM919" s="542" t="s">
        <v>709</v>
      </c>
      <c r="AN919" s="924"/>
      <c r="AO919" s="925"/>
      <c r="AP919" s="926"/>
      <c r="AQ919" s="926"/>
      <c r="AR919" s="926"/>
      <c r="AS919" s="926"/>
      <c r="AT919" s="926"/>
      <c r="AU919" s="926"/>
      <c r="AV919" s="926"/>
      <c r="AW919" s="927"/>
      <c r="AX919" s="926"/>
      <c r="AY919" s="1538" t="s">
        <v>29</v>
      </c>
      <c r="AZ919" s="1530"/>
      <c r="BA919" s="1031" t="s">
        <v>5563</v>
      </c>
      <c r="BB919" s="644" t="s">
        <v>1071</v>
      </c>
      <c r="BC919" s="544" t="s">
        <v>709</v>
      </c>
      <c r="BD919" s="544" t="s">
        <v>1092</v>
      </c>
      <c r="BE919" s="544" t="s">
        <v>5564</v>
      </c>
      <c r="BF919" s="544" t="s">
        <v>709</v>
      </c>
      <c r="BG919" s="544" t="s">
        <v>709</v>
      </c>
      <c r="BH919" s="741"/>
      <c r="BI919" s="1032"/>
      <c r="BJ919" s="1032"/>
      <c r="BK919" s="1032"/>
      <c r="BL919" s="1032"/>
      <c r="BM919" s="1032"/>
      <c r="BN919" s="1032"/>
      <c r="BO919" s="1032"/>
      <c r="BP919" s="1032"/>
      <c r="BQ919" s="1032"/>
      <c r="BR919" s="1032"/>
      <c r="BS919" s="1032"/>
      <c r="BT919" s="1032"/>
      <c r="BU919" s="1032"/>
      <c r="BV919" s="1032"/>
      <c r="BW919" s="1032"/>
      <c r="BX919" s="1032"/>
      <c r="BY919" s="1032"/>
      <c r="BZ919" s="1032"/>
      <c r="CA919" s="485"/>
      <c r="CB919" s="547">
        <v>916</v>
      </c>
      <c r="CC919" s="1481" t="b">
        <v>1</v>
      </c>
      <c r="CD919" t="str">
        <f>Table15[[#This Row],[Engineering Number]]&amp;Table15[[#This Row],[WO Number]]&amp;Table15[[#This Row],[Date Assigned to Designer]]&amp;Table15[[#This Row],[Date Completed]]</f>
        <v>SC22436-4500645042</v>
      </c>
    </row>
    <row r="920" spans="1:82" customFormat="1" ht="15" customHeight="1" x14ac:dyDescent="0.25">
      <c r="A920">
        <v>2022</v>
      </c>
      <c r="B920" s="8" t="s">
        <v>769</v>
      </c>
      <c r="C920" s="8" t="s">
        <v>469</v>
      </c>
      <c r="D920" s="8" t="s">
        <v>1464</v>
      </c>
      <c r="E920" s="8" t="s">
        <v>1459</v>
      </c>
      <c r="F920" s="8" t="s">
        <v>747</v>
      </c>
      <c r="G920" s="8" t="s">
        <v>22</v>
      </c>
      <c r="H920" s="13" t="s">
        <v>59</v>
      </c>
      <c r="I920" s="642">
        <v>44439</v>
      </c>
      <c r="J920" s="18">
        <v>45044</v>
      </c>
      <c r="K920" s="97">
        <v>45042</v>
      </c>
      <c r="L920" s="16">
        <f>IF(ISTEXT(Table15[[#This Row],[Engineering Approved Design Date]]),Table15[[#This Row],[Date Completed]]-Table15[[#This Row],[Date Assigned to Designer]],Table15[[#This Row],[Engineering Approved Design Date]]-Table15[[#This Row],[Date Completed]])</f>
        <v>2</v>
      </c>
      <c r="M920" s="642"/>
      <c r="N920" s="642" t="s">
        <v>120</v>
      </c>
      <c r="O920" s="1060">
        <v>45047</v>
      </c>
      <c r="P920" s="1152" t="s">
        <v>739</v>
      </c>
      <c r="Q920" s="340">
        <f>Table15[[#This Row],[Rate]]*Table15[[#This Row],[Construction Cost to Bill From]]</f>
        <v>16797.376799999998</v>
      </c>
      <c r="R920" s="1026">
        <v>0.08</v>
      </c>
      <c r="S920" s="538"/>
      <c r="T920" s="538"/>
      <c r="U920" s="87"/>
      <c r="V920" s="858">
        <v>51</v>
      </c>
      <c r="W920" s="437"/>
      <c r="X920" s="552">
        <v>184560.22</v>
      </c>
      <c r="Y920" s="551"/>
      <c r="Z920" s="552">
        <v>25406.99</v>
      </c>
      <c r="AA920" s="552">
        <f>SUM(Table15[[#This Row],[PCTS Investment Amount]:[PCTS Retirement Amount]])</f>
        <v>209967.21</v>
      </c>
      <c r="AB920" s="341">
        <v>45054</v>
      </c>
      <c r="AC920" s="568" t="s">
        <v>1441</v>
      </c>
      <c r="AD920" s="1157" t="s">
        <v>29</v>
      </c>
      <c r="AE920" s="579"/>
      <c r="AF920" s="579"/>
      <c r="AG920" s="579"/>
      <c r="AH920" s="553"/>
      <c r="AI920" s="1036"/>
      <c r="AJ920" s="1037"/>
      <c r="AK920" s="1037"/>
      <c r="AL920" s="1038"/>
      <c r="AM920" s="1522" t="s">
        <v>116</v>
      </c>
      <c r="AN920" s="1523">
        <v>45601</v>
      </c>
      <c r="AO920" s="1524">
        <v>11065639</v>
      </c>
      <c r="AP920" s="1525">
        <v>191157.06</v>
      </c>
      <c r="AQ920" s="1525"/>
      <c r="AR920" s="1525">
        <v>34432.49</v>
      </c>
      <c r="AS920" s="1525">
        <f>IF(Table15[[#This Row],[PCTS Approved]]="N",0,Table15[[#This Row],[Investment Amount (1'#'#'#'#'#)]]+Table15[[#This Row],[Retirement Amount (3'#'#'#'#'#)]])</f>
        <v>225589.55</v>
      </c>
      <c r="AT920" s="1525">
        <f>IF(Table15[[#This Row],[Approved Construction Cost]]=0,0,Table15[[#This Row],[Approved Construction Cost]]-Table15[[#This Row],[Construction Cost to Bill From]])</f>
        <v>15622.339999999997</v>
      </c>
      <c r="AU920" s="1525">
        <f>IFERROR(Table15[[#This Row],[Difference in Construction Cost]]*Table15[[#This Row],[Rate]],Table15[[#This Row],[Difference in Construction Cost]]*0.085)</f>
        <v>1249.7871999999998</v>
      </c>
      <c r="AV920" s="1525">
        <v>0</v>
      </c>
      <c r="AW920" s="1526" t="s">
        <v>5556</v>
      </c>
      <c r="AX920" s="1525">
        <f>Table15[[#This Row],[Reconcile Amount]]</f>
        <v>1249.7871999999998</v>
      </c>
      <c r="AY920" s="1518">
        <v>45901</v>
      </c>
      <c r="AZ920" s="333">
        <v>13</v>
      </c>
      <c r="BA920" s="859" t="s">
        <v>1465</v>
      </c>
      <c r="BB920" s="644" t="s">
        <v>1461</v>
      </c>
      <c r="BC920" s="544" t="s">
        <v>115</v>
      </c>
      <c r="BD920" s="544" t="s">
        <v>1462</v>
      </c>
      <c r="BE920" s="544" t="s">
        <v>115</v>
      </c>
      <c r="BF920" s="544" t="s">
        <v>115</v>
      </c>
      <c r="BG920" s="544" t="s">
        <v>1463</v>
      </c>
      <c r="BH920" s="741"/>
      <c r="BI920" s="547" t="s">
        <v>709</v>
      </c>
      <c r="BJ920" s="547" t="s">
        <v>116</v>
      </c>
      <c r="BK920" s="547" t="s">
        <v>116</v>
      </c>
      <c r="BL920" s="547" t="s">
        <v>116</v>
      </c>
      <c r="BM920" s="547" t="s">
        <v>709</v>
      </c>
      <c r="BN920" s="547" t="s">
        <v>709</v>
      </c>
      <c r="BO920" s="547" t="s">
        <v>709</v>
      </c>
      <c r="BP920" s="547" t="s">
        <v>709</v>
      </c>
      <c r="BQ920" s="547" t="s">
        <v>709</v>
      </c>
      <c r="BR920" s="547">
        <v>3</v>
      </c>
      <c r="BS920" s="547">
        <v>43</v>
      </c>
      <c r="BT920" s="547" t="s">
        <v>745</v>
      </c>
      <c r="BU920" s="547" t="s">
        <v>709</v>
      </c>
      <c r="BV920" s="547" t="s">
        <v>745</v>
      </c>
      <c r="BW920" s="547" t="s">
        <v>709</v>
      </c>
      <c r="BX920" s="547" t="s">
        <v>745</v>
      </c>
      <c r="BY920" s="547">
        <v>1</v>
      </c>
      <c r="BZ920" s="547" t="s">
        <v>709</v>
      </c>
      <c r="CA920" s="483" t="s">
        <v>769</v>
      </c>
      <c r="CB920" s="547">
        <v>919</v>
      </c>
      <c r="CC920" s="1481" t="b">
        <v>1</v>
      </c>
      <c r="CD920" t="str">
        <f>Table15[[#This Row],[Engineering Number]]&amp;Table15[[#This Row],[WO Number]]&amp;Table15[[#This Row],[Date Assigned to Designer]]&amp;Table15[[#This Row],[Date Completed]]</f>
        <v>RS90410105824443945042</v>
      </c>
    </row>
    <row r="921" spans="1:82" customFormat="1" ht="15" customHeight="1" x14ac:dyDescent="0.25">
      <c r="A921">
        <v>2022</v>
      </c>
      <c r="B921" s="8" t="s">
        <v>769</v>
      </c>
      <c r="C921" s="8" t="s">
        <v>1457</v>
      </c>
      <c r="D921" s="8" t="s">
        <v>1458</v>
      </c>
      <c r="E921" s="8" t="s">
        <v>1459</v>
      </c>
      <c r="F921" s="8" t="s">
        <v>747</v>
      </c>
      <c r="G921" s="8" t="s">
        <v>22</v>
      </c>
      <c r="H921" s="8" t="s">
        <v>59</v>
      </c>
      <c r="I921" s="642">
        <v>45020</v>
      </c>
      <c r="J921" s="18">
        <v>45044</v>
      </c>
      <c r="K921" s="97">
        <v>45042</v>
      </c>
      <c r="L921" s="16">
        <f>IF(ISTEXT(Table15[[#This Row],[Engineering Approved Design Date]]),Table15[[#This Row],[Date Completed]]-Table15[[#This Row],[Date Assigned to Designer]],Table15[[#This Row],[Engineering Approved Design Date]]-Table15[[#This Row],[Date Completed]])</f>
        <v>2</v>
      </c>
      <c r="M921" s="642"/>
      <c r="N921" s="642" t="s">
        <v>120</v>
      </c>
      <c r="O921" s="1060">
        <v>45047</v>
      </c>
      <c r="P921" s="1152" t="s">
        <v>739</v>
      </c>
      <c r="Q921" s="340">
        <f>Table15[[#This Row],[Rate]]*Table15[[#This Row],[Construction Cost to Bill From]]</f>
        <v>39668.469600000004</v>
      </c>
      <c r="R921" s="1026">
        <v>0.08</v>
      </c>
      <c r="S921" s="538"/>
      <c r="T921" s="538"/>
      <c r="U921" s="87"/>
      <c r="V921" s="858">
        <v>1832</v>
      </c>
      <c r="W921" s="437"/>
      <c r="X921" s="538">
        <v>470513.43</v>
      </c>
      <c r="Y921" s="551"/>
      <c r="Z921" s="552">
        <v>25342.44</v>
      </c>
      <c r="AA921" s="552">
        <f>SUM(Table15[[#This Row],[PCTS Investment Amount]:[PCTS Retirement Amount]])</f>
        <v>495855.87</v>
      </c>
      <c r="AB921" s="341">
        <v>45054</v>
      </c>
      <c r="AC921" s="568" t="s">
        <v>1441</v>
      </c>
      <c r="AD921" s="1157" t="s">
        <v>29</v>
      </c>
      <c r="AE921" s="579"/>
      <c r="AF921" s="579"/>
      <c r="AG921" s="579"/>
      <c r="AH921" s="553"/>
      <c r="AI921" s="1036"/>
      <c r="AJ921" s="1037"/>
      <c r="AK921" s="1037"/>
      <c r="AL921" s="1038"/>
      <c r="AM921" s="1522" t="s">
        <v>116</v>
      </c>
      <c r="AN921" s="1523">
        <v>45601</v>
      </c>
      <c r="AO921" s="1524">
        <v>11093187</v>
      </c>
      <c r="AP921" s="1525">
        <v>526526.31999999995</v>
      </c>
      <c r="AQ921" s="1525"/>
      <c r="AR921" s="1525">
        <v>34367.94</v>
      </c>
      <c r="AS921" s="1525">
        <f>IF(Table15[[#This Row],[PCTS Approved]]="N",0,Table15[[#This Row],[Investment Amount (1'#'#'#'#'#)]]+Table15[[#This Row],[Retirement Amount (3'#'#'#'#'#)]])</f>
        <v>560894.26</v>
      </c>
      <c r="AT921" s="1525">
        <f>IF(Table15[[#This Row],[Approved Construction Cost]]=0,0,Table15[[#This Row],[Approved Construction Cost]]-Table15[[#This Row],[Construction Cost to Bill From]])</f>
        <v>65038.390000000014</v>
      </c>
      <c r="AU921" s="1525">
        <f>IFERROR(Table15[[#This Row],[Difference in Construction Cost]]*Table15[[#This Row],[Rate]],Table15[[#This Row],[Difference in Construction Cost]]*0.085)</f>
        <v>5203.0712000000012</v>
      </c>
      <c r="AV921" s="1525">
        <v>0</v>
      </c>
      <c r="AW921" s="1526" t="s">
        <v>5558</v>
      </c>
      <c r="AX921" s="1525">
        <f>Table15[[#This Row],[Reconcile Amount]]</f>
        <v>5203.0712000000012</v>
      </c>
      <c r="AY921" s="1518">
        <v>45901</v>
      </c>
      <c r="AZ921" s="333">
        <v>12</v>
      </c>
      <c r="BA921" s="859" t="s">
        <v>1460</v>
      </c>
      <c r="BB921" s="644" t="s">
        <v>1461</v>
      </c>
      <c r="BC921" s="544" t="s">
        <v>115</v>
      </c>
      <c r="BD921" s="544" t="s">
        <v>1462</v>
      </c>
      <c r="BE921" s="544" t="s">
        <v>115</v>
      </c>
      <c r="BF921" s="544" t="s">
        <v>115</v>
      </c>
      <c r="BG921" s="544" t="s">
        <v>1463</v>
      </c>
      <c r="BH921" s="741"/>
      <c r="BI921" s="547" t="s">
        <v>709</v>
      </c>
      <c r="BJ921" s="547" t="s">
        <v>116</v>
      </c>
      <c r="BK921" s="547" t="s">
        <v>116</v>
      </c>
      <c r="BL921" s="547" t="s">
        <v>116</v>
      </c>
      <c r="BM921" s="547" t="s">
        <v>709</v>
      </c>
      <c r="BN921" s="547" t="s">
        <v>709</v>
      </c>
      <c r="BO921" s="547" t="s">
        <v>709</v>
      </c>
      <c r="BP921" s="547" t="s">
        <v>709</v>
      </c>
      <c r="BQ921" s="547" t="s">
        <v>709</v>
      </c>
      <c r="BR921" s="547">
        <v>3</v>
      </c>
      <c r="BS921" s="547">
        <v>43</v>
      </c>
      <c r="BT921" s="547" t="s">
        <v>745</v>
      </c>
      <c r="BU921" s="547" t="s">
        <v>709</v>
      </c>
      <c r="BV921" s="547" t="s">
        <v>745</v>
      </c>
      <c r="BW921" s="547" t="s">
        <v>709</v>
      </c>
      <c r="BX921" s="547" t="s">
        <v>745</v>
      </c>
      <c r="BY921" s="547">
        <v>1</v>
      </c>
      <c r="BZ921" s="547" t="s">
        <v>709</v>
      </c>
      <c r="CA921" s="483" t="s">
        <v>769</v>
      </c>
      <c r="CB921" s="547">
        <v>918</v>
      </c>
      <c r="CC921" s="1481" t="b">
        <v>1</v>
      </c>
      <c r="CD921" t="str">
        <f>Table15[[#This Row],[Engineering Number]]&amp;Table15[[#This Row],[WO Number]]&amp;Table15[[#This Row],[Date Assigned to Designer]]&amp;Table15[[#This Row],[Date Completed]]</f>
        <v>RS904-110126254502045042</v>
      </c>
    </row>
    <row r="922" spans="1:82" customFormat="1" ht="15" customHeight="1" x14ac:dyDescent="0.25">
      <c r="A922">
        <v>2022</v>
      </c>
      <c r="B922" s="8" t="s">
        <v>769</v>
      </c>
      <c r="C922" s="8" t="s">
        <v>1466</v>
      </c>
      <c r="D922" s="8" t="s">
        <v>1467</v>
      </c>
      <c r="E922" s="8" t="s">
        <v>1459</v>
      </c>
      <c r="F922" s="8" t="s">
        <v>747</v>
      </c>
      <c r="G922" s="8" t="s">
        <v>22</v>
      </c>
      <c r="H922" s="13" t="s">
        <v>59</v>
      </c>
      <c r="I922" s="642">
        <v>45020</v>
      </c>
      <c r="J922" s="18">
        <v>45044</v>
      </c>
      <c r="K922" s="97">
        <v>45042</v>
      </c>
      <c r="L922" s="16">
        <f>IF(ISTEXT(Table15[[#This Row],[Engineering Approved Design Date]]),Table15[[#This Row],[Date Completed]]-Table15[[#This Row],[Date Assigned to Designer]],Table15[[#This Row],[Engineering Approved Design Date]]-Table15[[#This Row],[Date Completed]])</f>
        <v>2</v>
      </c>
      <c r="M922" s="642"/>
      <c r="N922" s="642" t="s">
        <v>120</v>
      </c>
      <c r="O922" s="1060">
        <v>45047</v>
      </c>
      <c r="P922" s="1152" t="s">
        <v>739</v>
      </c>
      <c r="Q922" s="340">
        <f>Table15[[#This Row],[Rate]]*Table15[[#This Row],[Construction Cost to Bill From]]</f>
        <v>8425.1904000000013</v>
      </c>
      <c r="R922" s="1026">
        <v>0.08</v>
      </c>
      <c r="S922" s="538"/>
      <c r="T922" s="538"/>
      <c r="U922" s="87"/>
      <c r="V922" s="858">
        <v>0</v>
      </c>
      <c r="W922" s="437"/>
      <c r="X922" s="552">
        <v>79103.53</v>
      </c>
      <c r="Y922" s="551"/>
      <c r="Z922" s="552">
        <v>26211.35</v>
      </c>
      <c r="AA922" s="552">
        <f>SUM(Table15[[#This Row],[PCTS Investment Amount]:[PCTS Retirement Amount]])</f>
        <v>105314.88</v>
      </c>
      <c r="AB922" s="341">
        <v>45054</v>
      </c>
      <c r="AC922" s="568" t="s">
        <v>1441</v>
      </c>
      <c r="AD922" s="1157" t="s">
        <v>29</v>
      </c>
      <c r="AE922" s="579"/>
      <c r="AF922" s="579"/>
      <c r="AG922" s="579"/>
      <c r="AH922" s="553"/>
      <c r="AI922" s="1036"/>
      <c r="AJ922" s="1037"/>
      <c r="AK922" s="1037"/>
      <c r="AL922" s="1038"/>
      <c r="AM922" s="1522" t="s">
        <v>116</v>
      </c>
      <c r="AN922" s="1523">
        <v>45601</v>
      </c>
      <c r="AO922" s="1524">
        <v>11093186</v>
      </c>
      <c r="AP922" s="1525">
        <v>130794.03</v>
      </c>
      <c r="AQ922" s="1525"/>
      <c r="AR922" s="1525">
        <v>36750.800000000003</v>
      </c>
      <c r="AS922" s="1525">
        <f>IF(Table15[[#This Row],[PCTS Approved]]="N",0,Table15[[#This Row],[Investment Amount (1'#'#'#'#'#)]]+Table15[[#This Row],[Retirement Amount (3'#'#'#'#'#)]])</f>
        <v>167544.83000000002</v>
      </c>
      <c r="AT922" s="1525">
        <f>IF(Table15[[#This Row],[Approved Construction Cost]]=0,0,Table15[[#This Row],[Approved Construction Cost]]-Table15[[#This Row],[Construction Cost to Bill From]])</f>
        <v>62229.950000000012</v>
      </c>
      <c r="AU922" s="1525">
        <f>IFERROR(Table15[[#This Row],[Difference in Construction Cost]]*Table15[[#This Row],[Rate]],Table15[[#This Row],[Difference in Construction Cost]]*0.085)</f>
        <v>4978.3960000000006</v>
      </c>
      <c r="AV922" s="1525">
        <v>0</v>
      </c>
      <c r="AW922" s="1526" t="s">
        <v>5560</v>
      </c>
      <c r="AX922" s="1525">
        <f>Table15[[#This Row],[Reconcile Amount]]</f>
        <v>4978.3960000000006</v>
      </c>
      <c r="AY922" s="1518">
        <v>45901</v>
      </c>
      <c r="AZ922" s="333">
        <v>14</v>
      </c>
      <c r="BA922" s="859" t="s">
        <v>1468</v>
      </c>
      <c r="BB922" s="644" t="s">
        <v>1461</v>
      </c>
      <c r="BC922" s="544" t="s">
        <v>115</v>
      </c>
      <c r="BD922" s="544" t="s">
        <v>1462</v>
      </c>
      <c r="BE922" s="544" t="s">
        <v>115</v>
      </c>
      <c r="BF922" s="544" t="s">
        <v>115</v>
      </c>
      <c r="BG922" s="544" t="s">
        <v>1463</v>
      </c>
      <c r="BH922" s="741"/>
      <c r="BI922" s="547" t="s">
        <v>709</v>
      </c>
      <c r="BJ922" s="547" t="s">
        <v>116</v>
      </c>
      <c r="BK922" s="547" t="s">
        <v>116</v>
      </c>
      <c r="BL922" s="547" t="s">
        <v>116</v>
      </c>
      <c r="BM922" s="547" t="s">
        <v>709</v>
      </c>
      <c r="BN922" s="547" t="s">
        <v>709</v>
      </c>
      <c r="BO922" s="547" t="s">
        <v>709</v>
      </c>
      <c r="BP922" s="547" t="s">
        <v>709</v>
      </c>
      <c r="BQ922" s="547" t="s">
        <v>709</v>
      </c>
      <c r="BR922" s="547">
        <v>3</v>
      </c>
      <c r="BS922" s="547">
        <v>43</v>
      </c>
      <c r="BT922" s="547" t="s">
        <v>745</v>
      </c>
      <c r="BU922" s="547" t="s">
        <v>709</v>
      </c>
      <c r="BV922" s="547" t="s">
        <v>745</v>
      </c>
      <c r="BW922" s="547" t="s">
        <v>709</v>
      </c>
      <c r="BX922" s="547" t="s">
        <v>745</v>
      </c>
      <c r="BY922" s="547">
        <v>1</v>
      </c>
      <c r="BZ922" s="547" t="s">
        <v>709</v>
      </c>
      <c r="CA922" s="483" t="s">
        <v>769</v>
      </c>
      <c r="CB922" s="547">
        <v>920</v>
      </c>
      <c r="CC922" s="1481" t="b">
        <v>1</v>
      </c>
      <c r="CD922" t="str">
        <f>Table15[[#This Row],[Engineering Number]]&amp;Table15[[#This Row],[WO Number]]&amp;Table15[[#This Row],[Date Assigned to Designer]]&amp;Table15[[#This Row],[Date Completed]]</f>
        <v>RS904-210126264502045042</v>
      </c>
    </row>
    <row r="923" spans="1:82" customFormat="1" ht="15" customHeight="1" x14ac:dyDescent="0.25">
      <c r="A923">
        <v>2023</v>
      </c>
      <c r="B923" s="8" t="s">
        <v>4</v>
      </c>
      <c r="C923" s="8" t="s">
        <v>5570</v>
      </c>
      <c r="D923" s="8" t="s">
        <v>115</v>
      </c>
      <c r="E923" s="8" t="s">
        <v>149</v>
      </c>
      <c r="F923" s="8" t="s">
        <v>784</v>
      </c>
      <c r="G923" s="8" t="s">
        <v>26</v>
      </c>
      <c r="H923" s="8" t="s">
        <v>1681</v>
      </c>
      <c r="I923" s="642">
        <v>44958</v>
      </c>
      <c r="J923" s="18">
        <v>45100</v>
      </c>
      <c r="K923" s="97">
        <v>45043</v>
      </c>
      <c r="L923" s="16">
        <f>IF(ISTEXT(Table15[[#This Row],[Engineering Approved Design Date]]),Table15[[#This Row],[Date Completed]]-Table15[[#This Row],[Date Assigned to Designer]],Table15[[#This Row],[Engineering Approved Design Date]]-Table15[[#This Row],[Date Completed]])</f>
        <v>57</v>
      </c>
      <c r="M923" s="642"/>
      <c r="N923" s="642" t="s">
        <v>120</v>
      </c>
      <c r="O923" s="1060">
        <f>Table15[[#This Row],[Date Completed]]</f>
        <v>45043</v>
      </c>
      <c r="P923" s="1152" t="s">
        <v>739</v>
      </c>
      <c r="Q923" s="340" t="s">
        <v>115</v>
      </c>
      <c r="R923" s="1026" t="s">
        <v>115</v>
      </c>
      <c r="S923" s="538"/>
      <c r="T923" s="538"/>
      <c r="U923" s="87"/>
      <c r="V923" s="858"/>
      <c r="W923" s="437"/>
      <c r="X923" s="538"/>
      <c r="Y923" s="551"/>
      <c r="Z923" s="552"/>
      <c r="AA923" s="552"/>
      <c r="AB923" s="341" t="s">
        <v>29</v>
      </c>
      <c r="AC923" s="568" t="s">
        <v>709</v>
      </c>
      <c r="AD923" s="1157" t="s">
        <v>29</v>
      </c>
      <c r="AE923" s="579"/>
      <c r="AF923" s="579"/>
      <c r="AG923" s="579"/>
      <c r="AH923" s="553"/>
      <c r="AI923" s="1036"/>
      <c r="AJ923" s="1037"/>
      <c r="AK923" s="1037"/>
      <c r="AL923" s="1038"/>
      <c r="AM923" s="542" t="s">
        <v>709</v>
      </c>
      <c r="AN923" s="924"/>
      <c r="AO923" s="925"/>
      <c r="AP923" s="926"/>
      <c r="AQ923" s="926"/>
      <c r="AR923" s="926"/>
      <c r="AS923" s="926"/>
      <c r="AT923" s="926"/>
      <c r="AU923" s="926"/>
      <c r="AV923" s="926"/>
      <c r="AW923" s="927"/>
      <c r="AX923" s="926"/>
      <c r="AY923" s="1538" t="s">
        <v>29</v>
      </c>
      <c r="AZ923" s="1530"/>
      <c r="BA923" s="1031" t="s">
        <v>5571</v>
      </c>
      <c r="BB923" s="644" t="s">
        <v>5572</v>
      </c>
      <c r="BC923" s="544" t="s">
        <v>116</v>
      </c>
      <c r="BD923" s="544" t="s">
        <v>882</v>
      </c>
      <c r="BE923" s="544" t="s">
        <v>5573</v>
      </c>
      <c r="BF923" s="544" t="s">
        <v>5574</v>
      </c>
      <c r="BG923" s="544" t="s">
        <v>709</v>
      </c>
      <c r="BH923" s="741"/>
      <c r="BI923" s="1032"/>
      <c r="BJ923" s="1032"/>
      <c r="BK923" s="1032"/>
      <c r="BL923" s="1032"/>
      <c r="BM923" s="1032"/>
      <c r="BN923" s="1032"/>
      <c r="BO923" s="1032"/>
      <c r="BP923" s="1032"/>
      <c r="BQ923" s="1032"/>
      <c r="BR923" s="1032"/>
      <c r="BS923" s="1032"/>
      <c r="BT923" s="1032"/>
      <c r="BU923" s="1032"/>
      <c r="BV923" s="1032"/>
      <c r="BW923" s="1032"/>
      <c r="BX923" s="1032"/>
      <c r="BY923" s="1032"/>
      <c r="BZ923" s="1032"/>
      <c r="CA923" s="485"/>
      <c r="CB923" s="547">
        <v>922</v>
      </c>
      <c r="CC923" s="1481" t="b">
        <v>1</v>
      </c>
      <c r="CD923" t="str">
        <f>Table15[[#This Row],[Engineering Number]]&amp;Table15[[#This Row],[WO Number]]&amp;Table15[[#This Row],[Date Assigned to Designer]]&amp;Table15[[#This Row],[Date Completed]]</f>
        <v>M13754-4495845043</v>
      </c>
    </row>
    <row r="924" spans="1:82" customFormat="1" ht="15" customHeight="1" x14ac:dyDescent="0.25">
      <c r="A924">
        <v>2023</v>
      </c>
      <c r="B924" s="8" t="s">
        <v>4</v>
      </c>
      <c r="C924" s="8" t="s">
        <v>5583</v>
      </c>
      <c r="D924" s="8" t="s">
        <v>115</v>
      </c>
      <c r="E924" s="8" t="s">
        <v>5584</v>
      </c>
      <c r="F924" s="8" t="s">
        <v>784</v>
      </c>
      <c r="G924" s="8" t="s">
        <v>33</v>
      </c>
      <c r="H924" s="8" t="s">
        <v>1681</v>
      </c>
      <c r="I924" s="642">
        <v>45005</v>
      </c>
      <c r="J924" s="18">
        <v>45051</v>
      </c>
      <c r="K924" s="97">
        <v>45043</v>
      </c>
      <c r="L924" s="16">
        <f>IF(ISTEXT(Table15[[#This Row],[Engineering Approved Design Date]]),Table15[[#This Row],[Date Completed]]-Table15[[#This Row],[Date Assigned to Designer]],Table15[[#This Row],[Engineering Approved Design Date]]-Table15[[#This Row],[Date Completed]])</f>
        <v>8</v>
      </c>
      <c r="M924" s="642"/>
      <c r="N924" s="642" t="s">
        <v>120</v>
      </c>
      <c r="O924" s="1060">
        <f>Table15[[#This Row],[Date Completed]]</f>
        <v>45043</v>
      </c>
      <c r="P924" s="1152" t="s">
        <v>739</v>
      </c>
      <c r="Q924" s="340" t="s">
        <v>115</v>
      </c>
      <c r="R924" s="1026" t="s">
        <v>115</v>
      </c>
      <c r="S924" s="538"/>
      <c r="T924" s="538"/>
      <c r="U924" s="87"/>
      <c r="V924" s="858"/>
      <c r="W924" s="437"/>
      <c r="X924" s="538"/>
      <c r="Y924" s="551"/>
      <c r="Z924" s="552"/>
      <c r="AA924" s="552"/>
      <c r="AB924" s="341" t="s">
        <v>29</v>
      </c>
      <c r="AC924" s="568" t="s">
        <v>709</v>
      </c>
      <c r="AD924" s="1157" t="s">
        <v>29</v>
      </c>
      <c r="AE924" s="579"/>
      <c r="AF924" s="579"/>
      <c r="AG924" s="579"/>
      <c r="AH924" s="553"/>
      <c r="AI924" s="1036"/>
      <c r="AJ924" s="1037"/>
      <c r="AK924" s="1037"/>
      <c r="AL924" s="1038"/>
      <c r="AM924" s="542" t="s">
        <v>709</v>
      </c>
      <c r="AN924" s="924"/>
      <c r="AO924" s="925"/>
      <c r="AP924" s="926"/>
      <c r="AQ924" s="926"/>
      <c r="AR924" s="926"/>
      <c r="AS924" s="926"/>
      <c r="AT924" s="926"/>
      <c r="AU924" s="926"/>
      <c r="AV924" s="926"/>
      <c r="AW924" s="927"/>
      <c r="AX924" s="926"/>
      <c r="AY924" s="1538" t="s">
        <v>29</v>
      </c>
      <c r="AZ924" s="1530"/>
      <c r="BA924" s="1031" t="s">
        <v>5585</v>
      </c>
      <c r="BB924" s="644" t="s">
        <v>870</v>
      </c>
      <c r="BC924" s="544" t="s">
        <v>116</v>
      </c>
      <c r="BD924" s="544" t="s">
        <v>709</v>
      </c>
      <c r="BE924" s="544" t="s">
        <v>1704</v>
      </c>
      <c r="BF924" s="544" t="s">
        <v>709</v>
      </c>
      <c r="BG924" s="544" t="s">
        <v>5586</v>
      </c>
      <c r="BH924" s="741"/>
      <c r="BI924" s="1032"/>
      <c r="BJ924" s="1032"/>
      <c r="BK924" s="1032"/>
      <c r="BL924" s="1032"/>
      <c r="BM924" s="1032"/>
      <c r="BN924" s="1032"/>
      <c r="BO924" s="1032"/>
      <c r="BP924" s="1032"/>
      <c r="BQ924" s="1032"/>
      <c r="BR924" s="1032"/>
      <c r="BS924" s="1032"/>
      <c r="BT924" s="1032"/>
      <c r="BU924" s="1032"/>
      <c r="BV924" s="1032"/>
      <c r="BW924" s="1032"/>
      <c r="BX924" s="1032"/>
      <c r="BY924" s="1032"/>
      <c r="BZ924" s="1032"/>
      <c r="CA924" s="485"/>
      <c r="CB924" s="547">
        <v>921</v>
      </c>
      <c r="CC924" s="1481" t="b">
        <v>1</v>
      </c>
      <c r="CD924" t="str">
        <f>Table15[[#This Row],[Engineering Number]]&amp;Table15[[#This Row],[WO Number]]&amp;Table15[[#This Row],[Date Assigned to Designer]]&amp;Table15[[#This Row],[Date Completed]]</f>
        <v>N16404-4500545043</v>
      </c>
    </row>
    <row r="925" spans="1:82" customFormat="1" ht="15" customHeight="1" x14ac:dyDescent="0.25">
      <c r="A925">
        <v>2023</v>
      </c>
      <c r="B925" s="8" t="s">
        <v>771</v>
      </c>
      <c r="C925" s="8" t="s">
        <v>5173</v>
      </c>
      <c r="D925" s="8">
        <v>1312009</v>
      </c>
      <c r="E925" s="8" t="s">
        <v>818</v>
      </c>
      <c r="F925" s="8" t="s">
        <v>747</v>
      </c>
      <c r="G925" s="8" t="s">
        <v>23</v>
      </c>
      <c r="H925" s="8" t="s">
        <v>3178</v>
      </c>
      <c r="I925" s="642">
        <v>45041</v>
      </c>
      <c r="J925" s="175" t="s">
        <v>2052</v>
      </c>
      <c r="K925" s="97">
        <v>45043</v>
      </c>
      <c r="L925" s="16">
        <f>IF(ISTEXT(Table15[[#This Row],[Engineering Approved Design Date]]),Table15[[#This Row],[Date Completed]]-Table15[[#This Row],[Date Assigned to Designer]],Table15[[#This Row],[Engineering Approved Design Date]]-Table15[[#This Row],[Date Completed]])</f>
        <v>2</v>
      </c>
      <c r="M925" s="16" t="s">
        <v>5568</v>
      </c>
      <c r="N925" s="642" t="s">
        <v>120</v>
      </c>
      <c r="O925" s="1060">
        <v>45047</v>
      </c>
      <c r="P925" s="21" t="s">
        <v>120</v>
      </c>
      <c r="Q925" s="1061">
        <f>Table15[[#This Row],[Shactee Effort]]+Table15[[#This Row],[KH Hourly Effort]]</f>
        <v>2870</v>
      </c>
      <c r="R925" s="1039" t="s">
        <v>1922</v>
      </c>
      <c r="S925" s="538">
        <v>0</v>
      </c>
      <c r="T925" s="538">
        <v>0</v>
      </c>
      <c r="U925" s="87">
        <v>2870</v>
      </c>
      <c r="V925" s="857"/>
      <c r="W925" s="440"/>
      <c r="X925" s="538"/>
      <c r="Y925" s="551"/>
      <c r="Z925" s="538"/>
      <c r="AA925" s="552"/>
      <c r="AB925" s="341" t="s">
        <v>29</v>
      </c>
      <c r="AC925" s="894" t="s">
        <v>1177</v>
      </c>
      <c r="AD925" s="1149" t="s">
        <v>116</v>
      </c>
      <c r="AE925" s="569"/>
      <c r="AF925" s="569"/>
      <c r="AG925" s="569"/>
      <c r="AH925" s="536"/>
      <c r="AI925" s="1028"/>
      <c r="AJ925" s="1029"/>
      <c r="AK925" s="1029"/>
      <c r="AL925" s="1030"/>
      <c r="AM925" s="542" t="s">
        <v>709</v>
      </c>
      <c r="AN925" s="924"/>
      <c r="AO925" s="925"/>
      <c r="AP925" s="926"/>
      <c r="AQ925" s="926"/>
      <c r="AR925" s="926"/>
      <c r="AS925" s="926"/>
      <c r="AT925" s="926"/>
      <c r="AU925" s="926"/>
      <c r="AV925" s="926"/>
      <c r="AW925" s="927"/>
      <c r="AX925" s="926"/>
      <c r="AY925" s="1538" t="s">
        <v>29</v>
      </c>
      <c r="AZ925" s="1530"/>
      <c r="BA925" s="1031">
        <v>4</v>
      </c>
      <c r="BB925" s="644" t="s">
        <v>29</v>
      </c>
      <c r="BC925" s="544"/>
      <c r="BD925" s="544"/>
      <c r="BE925" s="544"/>
      <c r="BF925" s="544"/>
      <c r="BG925" s="544"/>
      <c r="BH925" s="741"/>
      <c r="BI925" s="547" t="s">
        <v>709</v>
      </c>
      <c r="BJ925" s="547" t="s">
        <v>709</v>
      </c>
      <c r="BK925" s="547" t="s">
        <v>709</v>
      </c>
      <c r="BL925" s="547" t="s">
        <v>116</v>
      </c>
      <c r="BM925" s="547" t="s">
        <v>709</v>
      </c>
      <c r="BN925" s="547" t="s">
        <v>709</v>
      </c>
      <c r="BO925" s="547" t="s">
        <v>709</v>
      </c>
      <c r="BP925" s="547" t="s">
        <v>709</v>
      </c>
      <c r="BQ925" s="547" t="s">
        <v>709</v>
      </c>
      <c r="BR925" s="547">
        <v>394</v>
      </c>
      <c r="BS925" s="547">
        <v>522</v>
      </c>
      <c r="BT925" s="547" t="s">
        <v>745</v>
      </c>
      <c r="BU925" s="547" t="s">
        <v>709</v>
      </c>
      <c r="BV925" s="547" t="s">
        <v>745</v>
      </c>
      <c r="BW925" s="547" t="s">
        <v>709</v>
      </c>
      <c r="BX925" s="547" t="s">
        <v>745</v>
      </c>
      <c r="BY925" s="547" t="s">
        <v>745</v>
      </c>
      <c r="BZ925" s="547" t="s">
        <v>709</v>
      </c>
      <c r="CA925" s="483"/>
      <c r="CB925" s="547">
        <v>923</v>
      </c>
      <c r="CC925" s="1481" t="b">
        <v>1</v>
      </c>
      <c r="CD925" t="str">
        <f>Table15[[#This Row],[Engineering Number]]&amp;Table15[[#This Row],[WO Number]]&amp;Table15[[#This Row],[Date Assigned to Designer]]&amp;Table15[[#This Row],[Date Completed]]</f>
        <v>BS20913120094504145043</v>
      </c>
    </row>
    <row r="926" spans="1:82" customFormat="1" ht="15" customHeight="1" x14ac:dyDescent="0.25">
      <c r="A926">
        <v>2023</v>
      </c>
      <c r="B926" s="8" t="s">
        <v>4</v>
      </c>
      <c r="C926" s="8" t="s">
        <v>5588</v>
      </c>
      <c r="D926" s="8" t="s">
        <v>5589</v>
      </c>
      <c r="E926" s="8" t="s">
        <v>910</v>
      </c>
      <c r="F926" s="8" t="s">
        <v>784</v>
      </c>
      <c r="G926" s="8" t="s">
        <v>28</v>
      </c>
      <c r="H926" s="8" t="s">
        <v>59</v>
      </c>
      <c r="I926" s="642">
        <v>44943</v>
      </c>
      <c r="J926" s="18">
        <v>45044</v>
      </c>
      <c r="K926" s="97">
        <v>45043</v>
      </c>
      <c r="L926" s="16">
        <f>IF(ISTEXT(Table15[[#This Row],[Engineering Approved Design Date]]),Table15[[#This Row],[Date Completed]]-Table15[[#This Row],[Date Assigned to Designer]],Table15[[#This Row],[Engineering Approved Design Date]]-Table15[[#This Row],[Date Completed]])</f>
        <v>1</v>
      </c>
      <c r="M926" s="642"/>
      <c r="N926" s="642" t="s">
        <v>120</v>
      </c>
      <c r="O926" s="1060">
        <v>45047</v>
      </c>
      <c r="P926" s="1152" t="s">
        <v>739</v>
      </c>
      <c r="Q926" s="340">
        <f>Table15[[#This Row],[Rate]]*Table15[[#This Row],[Construction Cost to Bill From]]</f>
        <v>43104.551000000007</v>
      </c>
      <c r="R926" s="1026">
        <v>0.1</v>
      </c>
      <c r="S926" s="538"/>
      <c r="T926" s="538"/>
      <c r="U926" s="87"/>
      <c r="V926" s="858">
        <v>910</v>
      </c>
      <c r="W926" s="437">
        <v>0</v>
      </c>
      <c r="X926" s="538">
        <v>392116.01</v>
      </c>
      <c r="Y926" s="551"/>
      <c r="Z926" s="552">
        <v>38929.5</v>
      </c>
      <c r="AA926" s="552">
        <f>Table15[[#This Row],[PCTS Investment Amount]]+Table15[[#This Row],[PCTS Retirement Amount]]</f>
        <v>431045.51</v>
      </c>
      <c r="AB926" s="341">
        <v>45069</v>
      </c>
      <c r="AC926" s="894" t="s">
        <v>1177</v>
      </c>
      <c r="AD926" s="1157" t="s">
        <v>29</v>
      </c>
      <c r="AE926" s="579"/>
      <c r="AF926" s="579"/>
      <c r="AG926" s="579"/>
      <c r="AH926" s="553"/>
      <c r="AI926" s="1036"/>
      <c r="AJ926" s="1037"/>
      <c r="AK926" s="1037"/>
      <c r="AL926" s="1038"/>
      <c r="AM926" s="1522" t="s">
        <v>116</v>
      </c>
      <c r="AN926" s="1523">
        <v>45082</v>
      </c>
      <c r="AO926" s="1524">
        <v>11060212</v>
      </c>
      <c r="AP926" s="1525">
        <v>392856.17</v>
      </c>
      <c r="AQ926" s="1525"/>
      <c r="AR926" s="1525">
        <v>38929.5</v>
      </c>
      <c r="AS926" s="1525">
        <f>IF(Table15[[#This Row],[PCTS Approved]]="N",0,Table15[[#This Row],[Investment Amount (1'#'#'#'#'#)]]+Table15[[#This Row],[Retirement Amount (3'#'#'#'#'#)]])</f>
        <v>431785.67</v>
      </c>
      <c r="AT926" s="1525">
        <f>IF(Table15[[#This Row],[Approved Construction Cost]]=0,0,Table15[[#This Row],[Approved Construction Cost]]-Table15[[#This Row],[Construction Cost to Bill From]])</f>
        <v>740.15999999997439</v>
      </c>
      <c r="AU926" s="1525">
        <f>IFERROR(Table15[[#This Row],[Difference in Construction Cost]]*Table15[[#This Row],[Rate]],Table15[[#This Row],[Difference in Construction Cost]]*0.085)</f>
        <v>74.015999999997447</v>
      </c>
      <c r="AV926" s="1525" t="s">
        <v>709</v>
      </c>
      <c r="AW926" s="1526"/>
      <c r="AX926" s="1525">
        <v>74.015999999997447</v>
      </c>
      <c r="AY926" s="1518">
        <v>45200</v>
      </c>
      <c r="AZ926" s="333"/>
      <c r="BA926" s="859" t="s">
        <v>5590</v>
      </c>
      <c r="BB926" s="644" t="s">
        <v>912</v>
      </c>
      <c r="BC926" s="544" t="s">
        <v>709</v>
      </c>
      <c r="BD926" s="544" t="s">
        <v>882</v>
      </c>
      <c r="BE926" s="544" t="s">
        <v>913</v>
      </c>
      <c r="BF926" s="544" t="s">
        <v>709</v>
      </c>
      <c r="BG926" s="544" t="s">
        <v>709</v>
      </c>
      <c r="BH926" s="741"/>
      <c r="BI926" s="547" t="s">
        <v>709</v>
      </c>
      <c r="BJ926" s="547" t="s">
        <v>709</v>
      </c>
      <c r="BK926" s="547" t="s">
        <v>709</v>
      </c>
      <c r="BL926" s="547" t="s">
        <v>116</v>
      </c>
      <c r="BM926" s="547" t="s">
        <v>709</v>
      </c>
      <c r="BN926" s="547" t="s">
        <v>709</v>
      </c>
      <c r="BO926" s="547" t="s">
        <v>709</v>
      </c>
      <c r="BP926" s="547" t="s">
        <v>709</v>
      </c>
      <c r="BQ926" s="547">
        <v>140</v>
      </c>
      <c r="BR926" s="547" t="s">
        <v>709</v>
      </c>
      <c r="BS926" s="547">
        <v>770</v>
      </c>
      <c r="BT926" s="547" t="s">
        <v>745</v>
      </c>
      <c r="BU926" s="547" t="s">
        <v>709</v>
      </c>
      <c r="BV926" s="547" t="s">
        <v>745</v>
      </c>
      <c r="BW926" s="547" t="s">
        <v>709</v>
      </c>
      <c r="BX926" s="547" t="s">
        <v>745</v>
      </c>
      <c r="BY926" s="547" t="s">
        <v>745</v>
      </c>
      <c r="BZ926" s="547" t="s">
        <v>709</v>
      </c>
      <c r="CA926" s="483"/>
      <c r="CB926" s="547">
        <v>924</v>
      </c>
      <c r="CC926" s="1481" t="b">
        <v>1</v>
      </c>
      <c r="CD926" t="str">
        <f>Table15[[#This Row],[Engineering Number]]&amp;Table15[[#This Row],[WO Number]]&amp;Table15[[#This Row],[Date Assigned to Designer]]&amp;Table15[[#This Row],[Date Completed]]</f>
        <v>N1646212125184494345043</v>
      </c>
    </row>
    <row r="927" spans="1:82" customFormat="1" ht="15" customHeight="1" x14ac:dyDescent="0.25">
      <c r="A927">
        <v>2023</v>
      </c>
      <c r="B927" s="8" t="s">
        <v>759</v>
      </c>
      <c r="C927" s="8" t="s">
        <v>521</v>
      </c>
      <c r="D927" s="8" t="s">
        <v>5577</v>
      </c>
      <c r="E927" s="8" t="s">
        <v>2114</v>
      </c>
      <c r="F927" s="8" t="s">
        <v>752</v>
      </c>
      <c r="G927" s="8" t="s">
        <v>24</v>
      </c>
      <c r="H927" s="8" t="s">
        <v>59</v>
      </c>
      <c r="I927" s="642">
        <v>44964</v>
      </c>
      <c r="J927" s="18">
        <v>45044</v>
      </c>
      <c r="K927" s="97">
        <v>45043</v>
      </c>
      <c r="L927" s="16">
        <f>IF(ISTEXT(Table15[[#This Row],[Engineering Approved Design Date]]),Table15[[#This Row],[Date Completed]]-Table15[[#This Row],[Date Assigned to Designer]],Table15[[#This Row],[Engineering Approved Design Date]]-Table15[[#This Row],[Date Completed]])</f>
        <v>1</v>
      </c>
      <c r="M927" s="642"/>
      <c r="N927" s="642" t="s">
        <v>120</v>
      </c>
      <c r="O927" s="1060">
        <v>45047</v>
      </c>
      <c r="P927" s="1152" t="s">
        <v>120</v>
      </c>
      <c r="Q927" s="1151">
        <v>14750</v>
      </c>
      <c r="R927" s="1026" t="s">
        <v>5223</v>
      </c>
      <c r="S927" s="538"/>
      <c r="T927" s="538"/>
      <c r="U927" s="87"/>
      <c r="V927" s="858">
        <v>428</v>
      </c>
      <c r="W927" s="437">
        <v>1</v>
      </c>
      <c r="X927" s="552">
        <v>493727.01</v>
      </c>
      <c r="Y927" s="551"/>
      <c r="Z927" s="552">
        <v>155301.22</v>
      </c>
      <c r="AA927" s="552">
        <f>SUM(Table15[[#This Row],[PCTS Investment Amount]:[PCTS Retirement Amount]])</f>
        <v>649028.23</v>
      </c>
      <c r="AB927" s="341" t="s">
        <v>116</v>
      </c>
      <c r="AC927" s="568" t="s">
        <v>1441</v>
      </c>
      <c r="AD927" s="1157"/>
      <c r="AE927" s="579"/>
      <c r="AF927" s="579"/>
      <c r="AG927" s="579"/>
      <c r="AH927" s="553"/>
      <c r="AI927" s="1036"/>
      <c r="AJ927" s="1037"/>
      <c r="AK927" s="1037"/>
      <c r="AL927" s="1038"/>
      <c r="AM927" s="542" t="s">
        <v>709</v>
      </c>
      <c r="AN927" s="924"/>
      <c r="AO927" s="925"/>
      <c r="AP927" s="926"/>
      <c r="AQ927" s="926"/>
      <c r="AR927" s="926"/>
      <c r="AS927" s="926"/>
      <c r="AT927" s="926"/>
      <c r="AU927" s="926"/>
      <c r="AV927" s="926"/>
      <c r="AW927" s="927"/>
      <c r="AX927" s="926"/>
      <c r="AY927" s="1538" t="s">
        <v>29</v>
      </c>
      <c r="AZ927" s="1530"/>
      <c r="BA927" s="1031" t="s">
        <v>5578</v>
      </c>
      <c r="BB927" s="644" t="s">
        <v>5579</v>
      </c>
      <c r="BC927" s="544" t="s">
        <v>115</v>
      </c>
      <c r="BD927" s="544" t="s">
        <v>788</v>
      </c>
      <c r="BE927" s="544" t="s">
        <v>522</v>
      </c>
      <c r="BF927" s="544" t="s">
        <v>115</v>
      </c>
      <c r="BG927" s="544" t="s">
        <v>115</v>
      </c>
      <c r="BH927" s="741" t="s">
        <v>5580</v>
      </c>
      <c r="BI927" s="547" t="s">
        <v>709</v>
      </c>
      <c r="BJ927" s="547" t="s">
        <v>709</v>
      </c>
      <c r="BK927" s="547" t="s">
        <v>709</v>
      </c>
      <c r="BL927" s="547" t="s">
        <v>116</v>
      </c>
      <c r="BM927" s="547" t="s">
        <v>709</v>
      </c>
      <c r="BN927" s="547" t="s">
        <v>709</v>
      </c>
      <c r="BO927" s="547" t="s">
        <v>709</v>
      </c>
      <c r="BP927" s="547">
        <v>29</v>
      </c>
      <c r="BQ927" s="547">
        <v>259</v>
      </c>
      <c r="BR927" s="547">
        <v>45</v>
      </c>
      <c r="BS927" s="547">
        <v>5</v>
      </c>
      <c r="BT927" s="547">
        <v>1</v>
      </c>
      <c r="BU927" s="547" t="s">
        <v>709</v>
      </c>
      <c r="BV927" s="547" t="s">
        <v>745</v>
      </c>
      <c r="BW927" s="547">
        <v>1</v>
      </c>
      <c r="BX927" s="547">
        <v>1</v>
      </c>
      <c r="BY927" s="547" t="s">
        <v>745</v>
      </c>
      <c r="BZ927" s="547" t="s">
        <v>709</v>
      </c>
      <c r="CA927" s="483"/>
      <c r="CB927" s="547">
        <v>925</v>
      </c>
      <c r="CC927" s="1481" t="b">
        <v>1</v>
      </c>
      <c r="CD927" t="str">
        <f>Table15[[#This Row],[Engineering Number]]&amp;Table15[[#This Row],[WO Number]]&amp;Table15[[#This Row],[Date Assigned to Designer]]&amp;Table15[[#This Row],[Date Completed]]</f>
        <v>RS113612123834496445043</v>
      </c>
    </row>
    <row r="928" spans="1:82" customFormat="1" ht="15" customHeight="1" x14ac:dyDescent="0.25">
      <c r="A928">
        <v>2023</v>
      </c>
      <c r="B928" s="8" t="s">
        <v>759</v>
      </c>
      <c r="C928" s="8" t="s">
        <v>5466</v>
      </c>
      <c r="D928" s="8" t="s">
        <v>5467</v>
      </c>
      <c r="E928" s="8" t="s">
        <v>3315</v>
      </c>
      <c r="F928" s="8" t="s">
        <v>752</v>
      </c>
      <c r="G928" s="8" t="s">
        <v>23</v>
      </c>
      <c r="H928" s="8" t="s">
        <v>59</v>
      </c>
      <c r="I928" s="642">
        <v>44837</v>
      </c>
      <c r="J928" s="18">
        <v>45044</v>
      </c>
      <c r="K928" s="97">
        <v>45043</v>
      </c>
      <c r="L928" s="16">
        <f>IF(ISTEXT(Table15[[#This Row],[Engineering Approved Design Date]]),Table15[[#This Row],[Date Completed]]-Table15[[#This Row],[Date Assigned to Designer]],Table15[[#This Row],[Engineering Approved Design Date]]-Table15[[#This Row],[Date Completed]])</f>
        <v>1</v>
      </c>
      <c r="M928" s="642"/>
      <c r="N928" s="642" t="s">
        <v>120</v>
      </c>
      <c r="O928" s="1060">
        <v>45047</v>
      </c>
      <c r="P928" s="1152" t="s">
        <v>120</v>
      </c>
      <c r="Q928" s="1151">
        <v>14750</v>
      </c>
      <c r="R928" s="1026" t="s">
        <v>5223</v>
      </c>
      <c r="S928" s="538"/>
      <c r="T928" s="538"/>
      <c r="U928" s="87"/>
      <c r="V928" s="858">
        <v>351</v>
      </c>
      <c r="W928" s="437">
        <v>1</v>
      </c>
      <c r="X928" s="552">
        <v>447973.09</v>
      </c>
      <c r="Y928" s="551"/>
      <c r="Z928" s="552">
        <v>76281.259999999995</v>
      </c>
      <c r="AA928" s="552">
        <f>Table15[[#This Row],[PCTS Investment Amount]]+Table15[[#This Row],[PCTS Retirement Amount]]</f>
        <v>524254.35000000003</v>
      </c>
      <c r="AB928" s="341" t="s">
        <v>709</v>
      </c>
      <c r="AC928" s="568" t="s">
        <v>811</v>
      </c>
      <c r="AD928" s="1157" t="s">
        <v>29</v>
      </c>
      <c r="AE928" s="579"/>
      <c r="AF928" s="579"/>
      <c r="AG928" s="579"/>
      <c r="AH928" s="553"/>
      <c r="AI928" s="1036"/>
      <c r="AJ928" s="1037"/>
      <c r="AK928" s="1037"/>
      <c r="AL928" s="1038"/>
      <c r="AM928" s="542" t="s">
        <v>709</v>
      </c>
      <c r="AN928" s="924"/>
      <c r="AO928" s="925"/>
      <c r="AP928" s="926"/>
      <c r="AQ928" s="926"/>
      <c r="AR928" s="926"/>
      <c r="AS928" s="926"/>
      <c r="AT928" s="926"/>
      <c r="AU928" s="926"/>
      <c r="AV928" s="926"/>
      <c r="AW928" s="927"/>
      <c r="AX928" s="926"/>
      <c r="AY928" s="1538" t="s">
        <v>29</v>
      </c>
      <c r="AZ928" s="1530"/>
      <c r="BA928" s="1031" t="s">
        <v>5469</v>
      </c>
      <c r="BB928" s="644" t="s">
        <v>5470</v>
      </c>
      <c r="BC928" s="544" t="s">
        <v>115</v>
      </c>
      <c r="BD928" s="544" t="s">
        <v>882</v>
      </c>
      <c r="BE928" s="544" t="s">
        <v>5471</v>
      </c>
      <c r="BF928" s="544" t="s">
        <v>115</v>
      </c>
      <c r="BG928" s="544" t="s">
        <v>115</v>
      </c>
      <c r="BH928" s="741"/>
      <c r="BI928" s="547" t="s">
        <v>709</v>
      </c>
      <c r="BJ928" s="547" t="s">
        <v>709</v>
      </c>
      <c r="BK928" s="547" t="s">
        <v>709</v>
      </c>
      <c r="BL928" s="547" t="s">
        <v>116</v>
      </c>
      <c r="BM928" s="547" t="s">
        <v>709</v>
      </c>
      <c r="BN928" s="547" t="s">
        <v>709</v>
      </c>
      <c r="BO928" s="547" t="s">
        <v>709</v>
      </c>
      <c r="BP928" s="547">
        <v>130</v>
      </c>
      <c r="BQ928" s="547">
        <v>60</v>
      </c>
      <c r="BR928" s="547">
        <v>45</v>
      </c>
      <c r="BS928" s="547">
        <v>31</v>
      </c>
      <c r="BT928" s="547">
        <v>1</v>
      </c>
      <c r="BU928" s="547" t="s">
        <v>709</v>
      </c>
      <c r="BV928" s="547" t="s">
        <v>745</v>
      </c>
      <c r="BW928" s="547">
        <v>1</v>
      </c>
      <c r="BX928" s="547" t="s">
        <v>709</v>
      </c>
      <c r="BY928" s="547" t="s">
        <v>745</v>
      </c>
      <c r="BZ928" s="547" t="s">
        <v>709</v>
      </c>
      <c r="CA928" s="483"/>
      <c r="CB928" s="547">
        <v>926</v>
      </c>
      <c r="CC928" s="1481" t="b">
        <v>1</v>
      </c>
      <c r="CD928" t="str">
        <f>Table15[[#This Row],[Engineering Number]]&amp;Table15[[#This Row],[WO Number]]&amp;Table15[[#This Row],[Date Assigned to Designer]]&amp;Table15[[#This Row],[Date Completed]]</f>
        <v>RS94010119124483745043</v>
      </c>
    </row>
    <row r="929" spans="1:82" customFormat="1" ht="15" customHeight="1" x14ac:dyDescent="0.25">
      <c r="A929">
        <v>2023</v>
      </c>
      <c r="B929" s="8" t="s">
        <v>771</v>
      </c>
      <c r="C929" s="8" t="s">
        <v>1469</v>
      </c>
      <c r="D929" s="8" t="s">
        <v>1470</v>
      </c>
      <c r="E929" s="8" t="s">
        <v>1129</v>
      </c>
      <c r="F929" s="8" t="s">
        <v>784</v>
      </c>
      <c r="G929" s="8" t="s">
        <v>32</v>
      </c>
      <c r="H929" s="13" t="s">
        <v>59</v>
      </c>
      <c r="I929" s="642">
        <v>44946</v>
      </c>
      <c r="J929" s="18">
        <v>45065</v>
      </c>
      <c r="K929" s="97">
        <v>45043</v>
      </c>
      <c r="L929" s="16">
        <f>IF(ISTEXT(Table15[[#This Row],[Engineering Approved Design Date]]),Table15[[#This Row],[Date Completed]]-Table15[[#This Row],[Date Assigned to Designer]],Table15[[#This Row],[Engineering Approved Design Date]]-Table15[[#This Row],[Date Completed]])</f>
        <v>22</v>
      </c>
      <c r="M929" s="642"/>
      <c r="N929" s="642" t="s">
        <v>120</v>
      </c>
      <c r="O929" s="1060">
        <v>45061</v>
      </c>
      <c r="P929" s="1152" t="s">
        <v>120</v>
      </c>
      <c r="Q929" s="340">
        <f>Table15[[#This Row],[Rate]]*Table15[[#This Row],[Construction Cost to Bill From]]</f>
        <v>62958.712499999994</v>
      </c>
      <c r="R929" s="1026">
        <v>0.09</v>
      </c>
      <c r="S929" s="538"/>
      <c r="T929" s="538"/>
      <c r="U929" s="87"/>
      <c r="V929" s="858">
        <v>3016</v>
      </c>
      <c r="W929" s="437">
        <v>0</v>
      </c>
      <c r="X929" s="552">
        <v>670013.47</v>
      </c>
      <c r="Y929" s="551"/>
      <c r="Z929" s="552">
        <v>29527.78</v>
      </c>
      <c r="AA929" s="552">
        <f>SUM(Table15[[#This Row],[PCTS Investment Amount]:[PCTS Retirement Amount]])</f>
        <v>699541.25</v>
      </c>
      <c r="AB929" s="341">
        <v>45047</v>
      </c>
      <c r="AC929" s="568" t="s">
        <v>709</v>
      </c>
      <c r="AD929" s="1157" t="s">
        <v>116</v>
      </c>
      <c r="AE929" s="568"/>
      <c r="AF929" s="568"/>
      <c r="AG929" s="568"/>
      <c r="AH929" s="183"/>
      <c r="AI929" s="1036"/>
      <c r="AJ929" s="1037"/>
      <c r="AK929" s="1037"/>
      <c r="AL929" s="1038"/>
      <c r="AM929" s="1522" t="s">
        <v>116</v>
      </c>
      <c r="AN929" s="1523">
        <v>45490</v>
      </c>
      <c r="AO929" s="1524">
        <v>11086409</v>
      </c>
      <c r="AP929" s="1525">
        <v>713470.35</v>
      </c>
      <c r="AQ929" s="1525"/>
      <c r="AR929" s="1525">
        <v>74452.259999999995</v>
      </c>
      <c r="AS929" s="1525">
        <f>IF(Table15[[#This Row],[PCTS Approved]]="N",0,Table15[[#This Row],[Investment Amount (1'#'#'#'#'#)]]+Table15[[#This Row],[Retirement Amount (3'#'#'#'#'#)]])</f>
        <v>787922.61</v>
      </c>
      <c r="AT929" s="1525">
        <f>IF(Table15[[#This Row],[Approved Construction Cost]]=0,0,Table15[[#This Row],[Approved Construction Cost]]-Table15[[#This Row],[Construction Cost to Bill From]])</f>
        <v>88381.359999999986</v>
      </c>
      <c r="AU929" s="1525">
        <f>IFERROR(Table15[[#This Row],[Difference in Construction Cost]]*Table15[[#This Row],[Rate]],Table15[[#This Row],[Difference in Construction Cost]]*0.085)</f>
        <v>7954.3223999999982</v>
      </c>
      <c r="AV929" s="1525">
        <v>0</v>
      </c>
      <c r="AW929" s="1526" t="s">
        <v>5504</v>
      </c>
      <c r="AX929" s="1525">
        <f>Table15[[#This Row],[Reconcile Amount]]</f>
        <v>7954.3223999999982</v>
      </c>
      <c r="AY929" s="1518">
        <v>45901</v>
      </c>
      <c r="AZ929" s="333">
        <v>41</v>
      </c>
      <c r="BA929" s="859" t="s">
        <v>1471</v>
      </c>
      <c r="BB929" s="644" t="s">
        <v>1132</v>
      </c>
      <c r="BC929" s="544" t="s">
        <v>116</v>
      </c>
      <c r="BD929" s="544" t="s">
        <v>1066</v>
      </c>
      <c r="BE929" s="544" t="s">
        <v>1133</v>
      </c>
      <c r="BF929" s="544" t="s">
        <v>1133</v>
      </c>
      <c r="BG929" s="544" t="s">
        <v>115</v>
      </c>
      <c r="BH929" s="741" t="s">
        <v>1472</v>
      </c>
      <c r="BI929" s="547" t="s">
        <v>709</v>
      </c>
      <c r="BJ929" s="547" t="s">
        <v>709</v>
      </c>
      <c r="BK929" s="547" t="s">
        <v>709</v>
      </c>
      <c r="BL929" s="547" t="s">
        <v>116</v>
      </c>
      <c r="BM929" s="547">
        <v>0</v>
      </c>
      <c r="BN929" s="549">
        <v>0</v>
      </c>
      <c r="BO929" s="547">
        <v>0</v>
      </c>
      <c r="BP929" s="547">
        <v>0</v>
      </c>
      <c r="BQ929" s="547">
        <v>0</v>
      </c>
      <c r="BR929" s="547">
        <v>762</v>
      </c>
      <c r="BS929" s="547">
        <v>2290</v>
      </c>
      <c r="BT929" s="547">
        <v>0</v>
      </c>
      <c r="BU929" s="549">
        <v>0</v>
      </c>
      <c r="BV929" s="547">
        <v>0</v>
      </c>
      <c r="BW929" s="547">
        <v>0</v>
      </c>
      <c r="BX929" s="547">
        <v>0</v>
      </c>
      <c r="BY929" s="547">
        <v>0</v>
      </c>
      <c r="BZ929" s="547" t="s">
        <v>709</v>
      </c>
      <c r="CA929" s="483"/>
      <c r="CB929" s="547">
        <v>927</v>
      </c>
      <c r="CC929" s="1481" t="b">
        <v>1</v>
      </c>
      <c r="CD929" t="str">
        <f>Table15[[#This Row],[Engineering Number]]&amp;Table15[[#This Row],[WO Number]]&amp;Table15[[#This Row],[Date Assigned to Designer]]&amp;Table15[[#This Row],[Date Completed]]</f>
        <v>BS300-112122834494645043</v>
      </c>
    </row>
    <row r="930" spans="1:82" customFormat="1" ht="15" customHeight="1" x14ac:dyDescent="0.25">
      <c r="A930">
        <v>2023</v>
      </c>
      <c r="B930" s="8" t="s">
        <v>4</v>
      </c>
      <c r="C930" s="8" t="s">
        <v>1473</v>
      </c>
      <c r="D930" s="8" t="s">
        <v>1474</v>
      </c>
      <c r="E930" s="8" t="s">
        <v>1154</v>
      </c>
      <c r="F930" s="8" t="s">
        <v>747</v>
      </c>
      <c r="G930" s="8" t="s">
        <v>28</v>
      </c>
      <c r="H930" s="8" t="s">
        <v>59</v>
      </c>
      <c r="I930" s="642">
        <v>44939</v>
      </c>
      <c r="J930" s="18">
        <v>45044</v>
      </c>
      <c r="K930" s="97">
        <v>45044</v>
      </c>
      <c r="L930" s="16">
        <f>IF(ISTEXT(Table15[[#This Row],[Engineering Approved Design Date]]),Table15[[#This Row],[Date Completed]]-Table15[[#This Row],[Date Assigned to Designer]],Table15[[#This Row],[Engineering Approved Design Date]]-Table15[[#This Row],[Date Completed]])</f>
        <v>0</v>
      </c>
      <c r="M930" s="642"/>
      <c r="N930" s="642" t="s">
        <v>120</v>
      </c>
      <c r="O930" s="1060">
        <v>45047</v>
      </c>
      <c r="P930" s="1152" t="s">
        <v>739</v>
      </c>
      <c r="Q930" s="340">
        <f>Table15[[#This Row],[Rate]]*Table15[[#This Row],[Construction Cost to Bill From]]</f>
        <v>82497.73000000001</v>
      </c>
      <c r="R930" s="1026">
        <v>0.1</v>
      </c>
      <c r="S930" s="538"/>
      <c r="T930" s="538"/>
      <c r="U930" s="87"/>
      <c r="V930" s="858">
        <v>2410</v>
      </c>
      <c r="W930" s="437">
        <v>0</v>
      </c>
      <c r="X930" s="538">
        <v>756203.8</v>
      </c>
      <c r="Y930" s="551"/>
      <c r="Z930" s="552">
        <v>68773.5</v>
      </c>
      <c r="AA930" s="552">
        <f>Table15[[#This Row],[PCTS Investment Amount]]+Table15[[#This Row],[PCTS Retirement Amount]]</f>
        <v>824977.3</v>
      </c>
      <c r="AB930" s="341">
        <v>45054</v>
      </c>
      <c r="AC930" s="894" t="s">
        <v>1177</v>
      </c>
      <c r="AD930" s="1157" t="s">
        <v>116</v>
      </c>
      <c r="AE930" s="579"/>
      <c r="AF930" s="579"/>
      <c r="AG930" s="579"/>
      <c r="AH930" s="553"/>
      <c r="AI930" s="1036"/>
      <c r="AJ930" s="1037"/>
      <c r="AK930" s="1037"/>
      <c r="AL930" s="1038"/>
      <c r="AM930" s="536" t="s">
        <v>116</v>
      </c>
      <c r="AN930" s="903" t="s">
        <v>709</v>
      </c>
      <c r="AO930" s="1536" t="s">
        <v>115</v>
      </c>
      <c r="AP930" s="1537"/>
      <c r="AQ930" s="1537"/>
      <c r="AR930" s="1537"/>
      <c r="AS930" s="888">
        <f>IF(Table15[[#This Row],[PCTS Approved]]="N",0,Table15[[#This Row],[Investment Amount (1'#'#'#'#'#)]]+Table15[[#This Row],[Retirement Amount (3'#'#'#'#'#)]])</f>
        <v>0</v>
      </c>
      <c r="AT930" s="888">
        <f>IF(Table15[[#This Row],[Approved Construction Cost]]=0,0,Table15[[#This Row],[Approved Construction Cost]]-Table15[[#This Row],[Construction Cost to Bill From]])</f>
        <v>0</v>
      </c>
      <c r="AU930" s="888">
        <f>IFERROR(Table15[[#This Row],[Difference in Construction Cost]]*Table15[[#This Row],[Rate]],Table15[[#This Row],[Difference in Construction Cost]]*0.085)</f>
        <v>0</v>
      </c>
      <c r="AV930" s="905"/>
      <c r="AW930" s="1509"/>
      <c r="AX930" s="888"/>
      <c r="AY930" s="636" t="s">
        <v>709</v>
      </c>
      <c r="AZ930" s="333">
        <v>84</v>
      </c>
      <c r="BA930" s="859" t="s">
        <v>1475</v>
      </c>
      <c r="BB930" s="644" t="s">
        <v>1380</v>
      </c>
      <c r="BC930" s="544" t="s">
        <v>116</v>
      </c>
      <c r="BD930" s="544" t="s">
        <v>709</v>
      </c>
      <c r="BE930" s="544" t="s">
        <v>1381</v>
      </c>
      <c r="BF930" s="544" t="s">
        <v>709</v>
      </c>
      <c r="BG930" s="544" t="s">
        <v>709</v>
      </c>
      <c r="BH930" s="741" t="s">
        <v>1476</v>
      </c>
      <c r="BI930" s="547" t="s">
        <v>709</v>
      </c>
      <c r="BJ930" s="547" t="s">
        <v>709</v>
      </c>
      <c r="BK930" s="547" t="s">
        <v>709</v>
      </c>
      <c r="BL930" s="547" t="s">
        <v>116</v>
      </c>
      <c r="BM930" s="547" t="s">
        <v>709</v>
      </c>
      <c r="BN930" s="547" t="s">
        <v>709</v>
      </c>
      <c r="BO930" s="547" t="s">
        <v>709</v>
      </c>
      <c r="BP930" s="547" t="s">
        <v>709</v>
      </c>
      <c r="BQ930" s="547">
        <v>733</v>
      </c>
      <c r="BR930" s="547">
        <v>904</v>
      </c>
      <c r="BS930" s="547">
        <v>773</v>
      </c>
      <c r="BT930" s="547" t="s">
        <v>745</v>
      </c>
      <c r="BU930" s="547" t="s">
        <v>709</v>
      </c>
      <c r="BV930" s="547" t="s">
        <v>745</v>
      </c>
      <c r="BW930" s="547" t="s">
        <v>709</v>
      </c>
      <c r="BX930" s="547" t="s">
        <v>745</v>
      </c>
      <c r="BY930" s="547" t="s">
        <v>745</v>
      </c>
      <c r="BZ930" s="547" t="s">
        <v>709</v>
      </c>
      <c r="CA930" s="483"/>
      <c r="CB930" s="547">
        <v>928</v>
      </c>
      <c r="CC930" s="1481" t="b">
        <v>1</v>
      </c>
      <c r="CD930" t="str">
        <f>Table15[[#This Row],[Engineering Number]]&amp;Table15[[#This Row],[WO Number]]&amp;Table15[[#This Row],[Date Assigned to Designer]]&amp;Table15[[#This Row],[Date Completed]]</f>
        <v>SC2210214124114493945044</v>
      </c>
    </row>
    <row r="931" spans="1:82" customFormat="1" ht="15" customHeight="1" x14ac:dyDescent="0.25">
      <c r="A931">
        <v>2023</v>
      </c>
      <c r="B931" s="8" t="s">
        <v>4</v>
      </c>
      <c r="C931" s="8" t="s">
        <v>5593</v>
      </c>
      <c r="D931" s="8" t="s">
        <v>5594</v>
      </c>
      <c r="E931" s="8" t="s">
        <v>4500</v>
      </c>
      <c r="F931" s="8" t="s">
        <v>784</v>
      </c>
      <c r="G931" s="8" t="s">
        <v>33</v>
      </c>
      <c r="H931" s="8" t="s">
        <v>59</v>
      </c>
      <c r="I931" s="642">
        <v>44977</v>
      </c>
      <c r="J931" s="18">
        <v>45051</v>
      </c>
      <c r="K931" s="97">
        <v>45050</v>
      </c>
      <c r="L931" s="16">
        <f>IF(ISTEXT(Table15[[#This Row],[Engineering Approved Design Date]]),Table15[[#This Row],[Date Completed]]-Table15[[#This Row],[Date Assigned to Designer]],Table15[[#This Row],[Engineering Approved Design Date]]-Table15[[#This Row],[Date Completed]])</f>
        <v>1</v>
      </c>
      <c r="M931" s="642"/>
      <c r="N931" s="642" t="s">
        <v>120</v>
      </c>
      <c r="O931" s="1060">
        <v>45047</v>
      </c>
      <c r="P931" s="1152" t="s">
        <v>739</v>
      </c>
      <c r="Q931" s="340">
        <f>Table15[[#This Row],[Rate]]*Table15[[#This Row],[Construction Cost to Bill From]]</f>
        <v>15410.507000000001</v>
      </c>
      <c r="R931" s="1026">
        <v>0.1</v>
      </c>
      <c r="S931" s="538"/>
      <c r="T931" s="538"/>
      <c r="U931" s="87"/>
      <c r="V931" s="858">
        <v>559</v>
      </c>
      <c r="W931" s="437">
        <v>0</v>
      </c>
      <c r="X931" s="538">
        <v>145298.94</v>
      </c>
      <c r="Y931" s="551"/>
      <c r="Z931" s="552">
        <v>8806.1299999999992</v>
      </c>
      <c r="AA931" s="552">
        <f>Table15[[#This Row],[PCTS Investment Amount]]+Table15[[#This Row],[PCTS Retirement Amount]]</f>
        <v>154105.07</v>
      </c>
      <c r="AB931" s="341">
        <v>45054</v>
      </c>
      <c r="AC931" s="894" t="s">
        <v>1177</v>
      </c>
      <c r="AD931" s="1157" t="s">
        <v>29</v>
      </c>
      <c r="AE931" s="579" t="s">
        <v>29</v>
      </c>
      <c r="AF931" s="579" t="s">
        <v>29</v>
      </c>
      <c r="AG931" s="569" t="s">
        <v>29</v>
      </c>
      <c r="AH931" s="553" t="s">
        <v>29</v>
      </c>
      <c r="AI931" s="1036"/>
      <c r="AJ931" s="1037"/>
      <c r="AK931" s="1037"/>
      <c r="AL931" s="1038"/>
      <c r="AM931" s="1522" t="s">
        <v>116</v>
      </c>
      <c r="AN931" s="1523">
        <v>45068</v>
      </c>
      <c r="AO931" s="1524">
        <v>11059596</v>
      </c>
      <c r="AP931" s="1525">
        <v>145298.94</v>
      </c>
      <c r="AQ931" s="1525"/>
      <c r="AR931" s="1525">
        <v>9089.0400000000009</v>
      </c>
      <c r="AS931" s="1525">
        <f>IF(Table15[[#This Row],[PCTS Approved]]="N",0,Table15[[#This Row],[Investment Amount (1'#'#'#'#'#)]]+Table15[[#This Row],[Retirement Amount (3'#'#'#'#'#)]])</f>
        <v>154387.98000000001</v>
      </c>
      <c r="AT931" s="1525">
        <f>IF(Table15[[#This Row],[Approved Construction Cost]]=0,0,Table15[[#This Row],[Approved Construction Cost]]-Table15[[#This Row],[Construction Cost to Bill From]])</f>
        <v>282.91000000000349</v>
      </c>
      <c r="AU931" s="1525">
        <f>IFERROR(Table15[[#This Row],[Difference in Construction Cost]]*Table15[[#This Row],[Rate]],Table15[[#This Row],[Difference in Construction Cost]]*0.085)</f>
        <v>28.291000000000352</v>
      </c>
      <c r="AV931" s="1525" t="s">
        <v>709</v>
      </c>
      <c r="AW931" s="1526"/>
      <c r="AX931" s="1525">
        <v>28.291000000000352</v>
      </c>
      <c r="AY931" s="1518">
        <v>45200</v>
      </c>
      <c r="AZ931" s="333"/>
      <c r="BA931" s="859" t="s">
        <v>5595</v>
      </c>
      <c r="BB931" s="644" t="s">
        <v>5596</v>
      </c>
      <c r="BC931" s="544" t="s">
        <v>709</v>
      </c>
      <c r="BD931" s="544" t="s">
        <v>1227</v>
      </c>
      <c r="BE931" s="544" t="s">
        <v>5597</v>
      </c>
      <c r="BF931" s="544" t="s">
        <v>709</v>
      </c>
      <c r="BG931" s="544" t="s">
        <v>709</v>
      </c>
      <c r="BH931" s="741" t="s">
        <v>5598</v>
      </c>
      <c r="BI931" s="547" t="s">
        <v>709</v>
      </c>
      <c r="BJ931" s="547" t="s">
        <v>709</v>
      </c>
      <c r="BK931" s="547" t="s">
        <v>709</v>
      </c>
      <c r="BL931" s="547" t="s">
        <v>116</v>
      </c>
      <c r="BM931" s="547" t="s">
        <v>709</v>
      </c>
      <c r="BN931" s="547" t="s">
        <v>709</v>
      </c>
      <c r="BO931" s="547" t="s">
        <v>709</v>
      </c>
      <c r="BP931" s="547" t="s">
        <v>709</v>
      </c>
      <c r="BQ931" s="547" t="s">
        <v>709</v>
      </c>
      <c r="BR931" s="547" t="s">
        <v>709</v>
      </c>
      <c r="BS931" s="547">
        <v>559</v>
      </c>
      <c r="BT931" s="547" t="s">
        <v>745</v>
      </c>
      <c r="BU931" s="547" t="s">
        <v>709</v>
      </c>
      <c r="BV931" s="547" t="s">
        <v>745</v>
      </c>
      <c r="BW931" s="547" t="s">
        <v>709</v>
      </c>
      <c r="BX931" s="547" t="s">
        <v>709</v>
      </c>
      <c r="BY931" s="547" t="s">
        <v>745</v>
      </c>
      <c r="BZ931" s="547" t="s">
        <v>709</v>
      </c>
      <c r="CA931" s="483"/>
      <c r="CB931" s="547">
        <v>929</v>
      </c>
      <c r="CC931" s="1481" t="b">
        <v>1</v>
      </c>
      <c r="CD931" t="str">
        <f>Table15[[#This Row],[Engineering Number]]&amp;Table15[[#This Row],[WO Number]]&amp;Table15[[#This Row],[Date Assigned to Designer]]&amp;Table15[[#This Row],[Date Completed]]</f>
        <v>SC2176012124484497745050</v>
      </c>
    </row>
    <row r="932" spans="1:82" customFormat="1" ht="15" customHeight="1" x14ac:dyDescent="0.25">
      <c r="A932">
        <v>2024</v>
      </c>
      <c r="B932" s="8" t="s">
        <v>4</v>
      </c>
      <c r="C932" s="8" t="s">
        <v>5600</v>
      </c>
      <c r="D932" s="8" t="s">
        <v>5601</v>
      </c>
      <c r="E932" s="8" t="s">
        <v>373</v>
      </c>
      <c r="F932" s="8" t="s">
        <v>784</v>
      </c>
      <c r="G932" s="8" t="s">
        <v>27</v>
      </c>
      <c r="H932" s="647" t="s">
        <v>1903</v>
      </c>
      <c r="I932" s="642">
        <v>44784</v>
      </c>
      <c r="J932" s="18">
        <v>45107</v>
      </c>
      <c r="K932" s="18">
        <v>45054</v>
      </c>
      <c r="L932" s="16">
        <f>IF(ISTEXT(Table15[[#This Row],[Engineering Approved Design Date]]),Table15[[#This Row],[Date Completed]]-Table15[[#This Row],[Date Assigned to Designer]],Table15[[#This Row],[Engineering Approved Design Date]]-Table15[[#This Row],[Date Completed]])</f>
        <v>53</v>
      </c>
      <c r="M932" s="642"/>
      <c r="N932" s="642" t="s">
        <v>120</v>
      </c>
      <c r="O932" s="1060">
        <v>45047</v>
      </c>
      <c r="P932" s="1152" t="s">
        <v>739</v>
      </c>
      <c r="Q932" s="28" t="s">
        <v>115</v>
      </c>
      <c r="R932" s="1026" t="s">
        <v>115</v>
      </c>
      <c r="S932" s="538"/>
      <c r="T932" s="538"/>
      <c r="U932" s="87"/>
      <c r="V932" s="857"/>
      <c r="W932" s="440"/>
      <c r="X932" s="550"/>
      <c r="Y932" s="550"/>
      <c r="Z932" s="550"/>
      <c r="AA932" s="552"/>
      <c r="AB932" s="341" t="s">
        <v>29</v>
      </c>
      <c r="AC932" s="894" t="s">
        <v>1177</v>
      </c>
      <c r="AD932" s="1157" t="s">
        <v>29</v>
      </c>
      <c r="AE932" s="579"/>
      <c r="AF932" s="579"/>
      <c r="AG932" s="579"/>
      <c r="AH932" s="553">
        <v>45000</v>
      </c>
      <c r="AI932" s="1036"/>
      <c r="AJ932" s="1037"/>
      <c r="AK932" s="1037"/>
      <c r="AL932" s="1038"/>
      <c r="AM932" s="542" t="s">
        <v>709</v>
      </c>
      <c r="AN932" s="924"/>
      <c r="AO932" s="925"/>
      <c r="AP932" s="926"/>
      <c r="AQ932" s="926"/>
      <c r="AR932" s="926"/>
      <c r="AS932" s="926"/>
      <c r="AT932" s="926"/>
      <c r="AU932" s="926"/>
      <c r="AV932" s="926"/>
      <c r="AW932" s="927"/>
      <c r="AX932" s="926"/>
      <c r="AY932" s="1538" t="s">
        <v>29</v>
      </c>
      <c r="AZ932" s="1530"/>
      <c r="BA932" s="867" t="s">
        <v>1447</v>
      </c>
      <c r="BB932" s="644" t="s">
        <v>905</v>
      </c>
      <c r="BC932" s="544" t="s">
        <v>116</v>
      </c>
      <c r="BD932" s="544" t="s">
        <v>1448</v>
      </c>
      <c r="BE932" s="544" t="s">
        <v>1449</v>
      </c>
      <c r="BF932" s="544" t="s">
        <v>1450</v>
      </c>
      <c r="BG932" s="544" t="s">
        <v>709</v>
      </c>
      <c r="BH932" s="741"/>
      <c r="BI932" s="1032" t="s">
        <v>709</v>
      </c>
      <c r="BJ932" s="1032" t="s">
        <v>116</v>
      </c>
      <c r="BK932" s="1032" t="s">
        <v>709</v>
      </c>
      <c r="BL932" s="1032" t="s">
        <v>709</v>
      </c>
      <c r="BM932" s="1032" t="s">
        <v>709</v>
      </c>
      <c r="BN932" s="1032" t="s">
        <v>709</v>
      </c>
      <c r="BO932" s="1032" t="s">
        <v>709</v>
      </c>
      <c r="BP932" s="1032" t="s">
        <v>709</v>
      </c>
      <c r="BQ932" s="1032" t="s">
        <v>709</v>
      </c>
      <c r="BR932" s="1032">
        <v>978</v>
      </c>
      <c r="BS932" s="1032" t="s">
        <v>709</v>
      </c>
      <c r="BT932" s="1032" t="s">
        <v>745</v>
      </c>
      <c r="BU932" s="1032" t="s">
        <v>709</v>
      </c>
      <c r="BV932" s="1032" t="s">
        <v>745</v>
      </c>
      <c r="BW932" s="1032" t="s">
        <v>709</v>
      </c>
      <c r="BX932" s="1032" t="s">
        <v>745</v>
      </c>
      <c r="BY932" s="1032" t="s">
        <v>745</v>
      </c>
      <c r="BZ932" s="1032"/>
      <c r="CA932" s="485"/>
      <c r="CB932" s="547">
        <v>930</v>
      </c>
      <c r="CC932" s="1481" t="b">
        <v>1</v>
      </c>
      <c r="CD932" t="str">
        <f>Table15[[#This Row],[Engineering Number]]&amp;Table15[[#This Row],[WO Number]]&amp;Table15[[#This Row],[Date Assigned to Designer]]&amp;Table15[[#This Row],[Date Completed]]</f>
        <v>N13606-2T12123414478445054</v>
      </c>
    </row>
    <row r="933" spans="1:82" customFormat="1" ht="15" customHeight="1" x14ac:dyDescent="0.25">
      <c r="A933">
        <v>2024</v>
      </c>
      <c r="B933" s="8" t="s">
        <v>4</v>
      </c>
      <c r="C933" s="8" t="s">
        <v>5600</v>
      </c>
      <c r="D933" s="8" t="s">
        <v>1451</v>
      </c>
      <c r="E933" s="8" t="s">
        <v>373</v>
      </c>
      <c r="F933" s="8" t="s">
        <v>784</v>
      </c>
      <c r="G933" s="8" t="s">
        <v>27</v>
      </c>
      <c r="H933" s="8" t="s">
        <v>4646</v>
      </c>
      <c r="I933" s="642">
        <v>44991</v>
      </c>
      <c r="J933" s="175" t="s">
        <v>4110</v>
      </c>
      <c r="K933" s="97">
        <v>45054</v>
      </c>
      <c r="L933" s="16">
        <f>IF(ISTEXT(Table15[[#This Row],[Engineering Approved Design Date]]),Table15[[#This Row],[Date Completed]]-Table15[[#This Row],[Date Assigned to Designer]],Table15[[#This Row],[Engineering Approved Design Date]]-Table15[[#This Row],[Date Completed]])</f>
        <v>63</v>
      </c>
      <c r="M933" s="16" t="s">
        <v>5547</v>
      </c>
      <c r="N933" s="642" t="s">
        <v>120</v>
      </c>
      <c r="O933" s="1060">
        <v>45047</v>
      </c>
      <c r="P933" s="1152" t="s">
        <v>739</v>
      </c>
      <c r="Q933" s="1061">
        <f>Table15[[#This Row],[KH Hourly Effort]]</f>
        <v>3370</v>
      </c>
      <c r="R933" s="1026" t="s">
        <v>1922</v>
      </c>
      <c r="S933" s="538">
        <v>0</v>
      </c>
      <c r="T933" s="538"/>
      <c r="U933" s="87">
        <v>3370</v>
      </c>
      <c r="V933" s="857"/>
      <c r="W933" s="440"/>
      <c r="X933" s="538"/>
      <c r="Y933" s="551"/>
      <c r="Z933" s="538"/>
      <c r="AA933" s="552"/>
      <c r="AB933" s="341" t="s">
        <v>29</v>
      </c>
      <c r="AC933" s="894" t="s">
        <v>1177</v>
      </c>
      <c r="AD933" s="1157" t="s">
        <v>29</v>
      </c>
      <c r="AE933" s="579"/>
      <c r="AF933" s="579"/>
      <c r="AG933" s="579"/>
      <c r="AH933" s="553">
        <v>45000</v>
      </c>
      <c r="AI933" s="1036"/>
      <c r="AJ933" s="1037"/>
      <c r="AK933" s="1037"/>
      <c r="AL933" s="1038"/>
      <c r="AM933" s="542" t="s">
        <v>709</v>
      </c>
      <c r="AN933" s="924"/>
      <c r="AO933" s="925"/>
      <c r="AP933" s="926"/>
      <c r="AQ933" s="926"/>
      <c r="AR933" s="926"/>
      <c r="AS933" s="926"/>
      <c r="AT933" s="926"/>
      <c r="AU933" s="926"/>
      <c r="AV933" s="926"/>
      <c r="AW933" s="927"/>
      <c r="AX933" s="926"/>
      <c r="AY933" s="1538" t="s">
        <v>29</v>
      </c>
      <c r="AZ933" s="1530"/>
      <c r="BA933" s="1031" t="s">
        <v>29</v>
      </c>
      <c r="BB933" s="644" t="s">
        <v>29</v>
      </c>
      <c r="BC933" s="544" t="s">
        <v>29</v>
      </c>
      <c r="BD933" s="544"/>
      <c r="BE933" s="544"/>
      <c r="BF933" s="544"/>
      <c r="BG933" s="544"/>
      <c r="BH933" s="741"/>
      <c r="BI933" s="547" t="s">
        <v>709</v>
      </c>
      <c r="BJ933" s="547" t="s">
        <v>116</v>
      </c>
      <c r="BK933" s="547" t="s">
        <v>709</v>
      </c>
      <c r="BL933" s="547" t="s">
        <v>709</v>
      </c>
      <c r="BM933" s="547" t="s">
        <v>709</v>
      </c>
      <c r="BN933" s="547" t="s">
        <v>709</v>
      </c>
      <c r="BO933" s="547" t="s">
        <v>709</v>
      </c>
      <c r="BP933" s="547" t="s">
        <v>709</v>
      </c>
      <c r="BQ933" s="547" t="s">
        <v>709</v>
      </c>
      <c r="BR933" s="547">
        <v>978</v>
      </c>
      <c r="BS933" s="547" t="s">
        <v>709</v>
      </c>
      <c r="BT933" s="547" t="s">
        <v>745</v>
      </c>
      <c r="BU933" s="547" t="s">
        <v>709</v>
      </c>
      <c r="BV933" s="547" t="s">
        <v>745</v>
      </c>
      <c r="BW933" s="547" t="s">
        <v>709</v>
      </c>
      <c r="BX933" s="547" t="s">
        <v>745</v>
      </c>
      <c r="BY933" s="547" t="s">
        <v>745</v>
      </c>
      <c r="BZ933" s="547" t="s">
        <v>709</v>
      </c>
      <c r="CA933" s="483"/>
      <c r="CB933" s="547">
        <v>931</v>
      </c>
      <c r="CC933" s="1481" t="b">
        <v>1</v>
      </c>
      <c r="CD933" t="str">
        <f>Table15[[#This Row],[Engineering Number]]&amp;Table15[[#This Row],[WO Number]]&amp;Table15[[#This Row],[Date Assigned to Designer]]&amp;Table15[[#This Row],[Date Completed]]</f>
        <v>N13606-2T12121324499145054</v>
      </c>
    </row>
    <row r="934" spans="1:82" customFormat="1" ht="15" customHeight="1" x14ac:dyDescent="0.25">
      <c r="A934">
        <v>2023</v>
      </c>
      <c r="B934" s="8" t="s">
        <v>771</v>
      </c>
      <c r="C934" s="8" t="s">
        <v>447</v>
      </c>
      <c r="D934" s="8" t="s">
        <v>1477</v>
      </c>
      <c r="E934" s="8" t="s">
        <v>327</v>
      </c>
      <c r="F934" s="8" t="s">
        <v>784</v>
      </c>
      <c r="G934" s="8" t="s">
        <v>23</v>
      </c>
      <c r="H934" s="13" t="s">
        <v>59</v>
      </c>
      <c r="I934" s="642">
        <v>44939</v>
      </c>
      <c r="J934" s="18">
        <v>45056</v>
      </c>
      <c r="K934" s="97">
        <v>45055</v>
      </c>
      <c r="L934" s="16">
        <f>IF(ISTEXT(Table15[[#This Row],[Engineering Approved Design Date]]),Table15[[#This Row],[Date Completed]]-Table15[[#This Row],[Date Assigned to Designer]],Table15[[#This Row],[Engineering Approved Design Date]]-Table15[[#This Row],[Date Completed]])</f>
        <v>1</v>
      </c>
      <c r="M934" s="642"/>
      <c r="N934" s="642" t="s">
        <v>120</v>
      </c>
      <c r="O934" s="1060">
        <v>45047</v>
      </c>
      <c r="P934" s="1152" t="s">
        <v>120</v>
      </c>
      <c r="Q934" s="340">
        <f>Table15[[#This Row],[Rate]]*Table15[[#This Row],[Construction Cost to Bill From]]</f>
        <v>113072.59349999999</v>
      </c>
      <c r="R934" s="1026">
        <v>0.09</v>
      </c>
      <c r="S934" s="538"/>
      <c r="T934" s="538"/>
      <c r="U934" s="87"/>
      <c r="V934" s="858">
        <v>1338</v>
      </c>
      <c r="W934" s="437">
        <v>0</v>
      </c>
      <c r="X934" s="552">
        <v>1222821.21</v>
      </c>
      <c r="Y934" s="551"/>
      <c r="Z934" s="552">
        <v>33540.94</v>
      </c>
      <c r="AA934" s="552">
        <f>SUM(Table15[[#This Row],[PCTS Investment Amount]:[PCTS Retirement Amount]])</f>
        <v>1256362.1499999999</v>
      </c>
      <c r="AB934" s="341">
        <v>45056</v>
      </c>
      <c r="AC934" s="894" t="s">
        <v>1177</v>
      </c>
      <c r="AD934" s="1157" t="s">
        <v>116</v>
      </c>
      <c r="AE934" s="568"/>
      <c r="AF934" s="568"/>
      <c r="AG934" s="568"/>
      <c r="AH934" s="183"/>
      <c r="AI934" s="1036"/>
      <c r="AJ934" s="1037"/>
      <c r="AK934" s="1037"/>
      <c r="AL934" s="1038"/>
      <c r="AM934" s="1522" t="s">
        <v>116</v>
      </c>
      <c r="AN934" s="1523">
        <v>45547</v>
      </c>
      <c r="AO934" s="1524">
        <v>11058971</v>
      </c>
      <c r="AP934" s="1525">
        <v>2216288.62</v>
      </c>
      <c r="AQ934" s="1525"/>
      <c r="AR934" s="1525">
        <v>157300.5</v>
      </c>
      <c r="AS934" s="1525">
        <f>IF(Table15[[#This Row],[PCTS Approved]]="N",0,Table15[[#This Row],[Investment Amount (1'#'#'#'#'#)]]+Table15[[#This Row],[Retirement Amount (3'#'#'#'#'#)]])</f>
        <v>2373589.12</v>
      </c>
      <c r="AT934" s="1525">
        <f>IF(Table15[[#This Row],[Approved Construction Cost]]=0,0,Table15[[#This Row],[Approved Construction Cost]]-Table15[[#This Row],[Construction Cost to Bill From]])</f>
        <v>1117226.9700000002</v>
      </c>
      <c r="AU934" s="1525">
        <f>IFERROR(Table15[[#This Row],[Difference in Construction Cost]]*Table15[[#This Row],[Rate]],Table15[[#This Row],[Difference in Construction Cost]]*0.085)</f>
        <v>100550.42730000001</v>
      </c>
      <c r="AV934" s="1525">
        <v>9070</v>
      </c>
      <c r="AW934" s="1526" t="s">
        <v>5607</v>
      </c>
      <c r="AX934" s="1525">
        <v>0</v>
      </c>
      <c r="AY934" s="1518">
        <v>45901</v>
      </c>
      <c r="AZ934" s="333">
        <v>42</v>
      </c>
      <c r="BA934" s="859" t="s">
        <v>1478</v>
      </c>
      <c r="BB934" s="644" t="s">
        <v>1479</v>
      </c>
      <c r="BC934" s="544" t="s">
        <v>709</v>
      </c>
      <c r="BD934" s="544" t="s">
        <v>115</v>
      </c>
      <c r="BE934" s="544" t="s">
        <v>448</v>
      </c>
      <c r="BF934" s="544" t="s">
        <v>115</v>
      </c>
      <c r="BG934" s="544" t="s">
        <v>1480</v>
      </c>
      <c r="BH934" s="741" t="s">
        <v>1481</v>
      </c>
      <c r="BI934" s="547" t="s">
        <v>709</v>
      </c>
      <c r="BJ934" s="547" t="s">
        <v>709</v>
      </c>
      <c r="BK934" s="547" t="s">
        <v>709</v>
      </c>
      <c r="BL934" s="547" t="s">
        <v>116</v>
      </c>
      <c r="BM934" s="547" t="s">
        <v>709</v>
      </c>
      <c r="BN934" s="547" t="s">
        <v>709</v>
      </c>
      <c r="BO934" s="547" t="s">
        <v>709</v>
      </c>
      <c r="BP934" s="547">
        <v>1309</v>
      </c>
      <c r="BQ934" s="547" t="s">
        <v>709</v>
      </c>
      <c r="BR934" s="547" t="s">
        <v>709</v>
      </c>
      <c r="BS934" s="547">
        <v>29</v>
      </c>
      <c r="BT934" s="547" t="s">
        <v>709</v>
      </c>
      <c r="BU934" s="547" t="s">
        <v>709</v>
      </c>
      <c r="BV934" s="547" t="s">
        <v>745</v>
      </c>
      <c r="BW934" s="547" t="s">
        <v>709</v>
      </c>
      <c r="BX934" s="547" t="s">
        <v>709</v>
      </c>
      <c r="BY934" s="547" t="s">
        <v>745</v>
      </c>
      <c r="BZ934" s="547" t="s">
        <v>709</v>
      </c>
      <c r="CA934" s="483"/>
      <c r="CB934" s="547">
        <v>932</v>
      </c>
      <c r="CC934" s="1481" t="b">
        <v>1</v>
      </c>
      <c r="CD934" t="str">
        <f>Table15[[#This Row],[Engineering Number]]&amp;Table15[[#This Row],[WO Number]]&amp;Table15[[#This Row],[Date Assigned to Designer]]&amp;Table15[[#This Row],[Date Completed]]</f>
        <v>BS11112122544493945055</v>
      </c>
    </row>
    <row r="935" spans="1:82" customFormat="1" ht="15" customHeight="1" x14ac:dyDescent="0.25">
      <c r="A935">
        <v>2023</v>
      </c>
      <c r="B935" s="8" t="s">
        <v>771</v>
      </c>
      <c r="C935" s="8" t="s">
        <v>5425</v>
      </c>
      <c r="D935" s="8">
        <v>1212067</v>
      </c>
      <c r="E935" s="8" t="s">
        <v>2350</v>
      </c>
      <c r="F935" s="8" t="s">
        <v>5604</v>
      </c>
      <c r="G935" s="8" t="s">
        <v>31</v>
      </c>
      <c r="H935" s="8" t="s">
        <v>4462</v>
      </c>
      <c r="I935" s="642">
        <v>45054</v>
      </c>
      <c r="J935" s="175" t="s">
        <v>2052</v>
      </c>
      <c r="K935" s="97">
        <v>45055</v>
      </c>
      <c r="L935" s="16">
        <f>IF(ISTEXT(Table15[[#This Row],[Engineering Approved Design Date]]),Table15[[#This Row],[Date Completed]]-Table15[[#This Row],[Date Assigned to Designer]],Table15[[#This Row],[Engineering Approved Design Date]]-Table15[[#This Row],[Date Completed]])</f>
        <v>1</v>
      </c>
      <c r="M935" s="16" t="s">
        <v>5605</v>
      </c>
      <c r="N935" s="642" t="s">
        <v>120</v>
      </c>
      <c r="O935" s="1060">
        <v>45055</v>
      </c>
      <c r="P935" s="21" t="s">
        <v>120</v>
      </c>
      <c r="Q935" s="1061" t="s">
        <v>115</v>
      </c>
      <c r="R935" s="1039" t="s">
        <v>115</v>
      </c>
      <c r="S935" s="538"/>
      <c r="T935" s="538"/>
      <c r="U935" s="87"/>
      <c r="V935" s="857"/>
      <c r="W935" s="440"/>
      <c r="X935" s="538"/>
      <c r="Y935" s="551"/>
      <c r="Z935" s="538"/>
      <c r="AA935" s="552"/>
      <c r="AB935" s="341" t="s">
        <v>29</v>
      </c>
      <c r="AC935" s="569" t="s">
        <v>29</v>
      </c>
      <c r="AD935" s="1149" t="s">
        <v>29</v>
      </c>
      <c r="AE935" s="569"/>
      <c r="AF935" s="569"/>
      <c r="AG935" s="569"/>
      <c r="AH935" s="536"/>
      <c r="AI935" s="1028"/>
      <c r="AJ935" s="1029"/>
      <c r="AK935" s="1029"/>
      <c r="AL935" s="1030"/>
      <c r="AM935" s="542" t="s">
        <v>709</v>
      </c>
      <c r="AN935" s="924"/>
      <c r="AO935" s="925"/>
      <c r="AP935" s="926"/>
      <c r="AQ935" s="926"/>
      <c r="AR935" s="926"/>
      <c r="AS935" s="926"/>
      <c r="AT935" s="926"/>
      <c r="AU935" s="926"/>
      <c r="AV935" s="926"/>
      <c r="AW935" s="927"/>
      <c r="AX935" s="926"/>
      <c r="AY935" s="1538" t="s">
        <v>29</v>
      </c>
      <c r="AZ935" s="1530"/>
      <c r="BA935" s="1031">
        <v>1</v>
      </c>
      <c r="BB935" s="644" t="s">
        <v>29</v>
      </c>
      <c r="BC935" s="544"/>
      <c r="BD935" s="544"/>
      <c r="BE935" s="544"/>
      <c r="BF935" s="544"/>
      <c r="BG935" s="544"/>
      <c r="BH935" s="741"/>
      <c r="BI935" s="547" t="s">
        <v>709</v>
      </c>
      <c r="BJ935" s="547" t="s">
        <v>709</v>
      </c>
      <c r="BK935" s="547" t="s">
        <v>709</v>
      </c>
      <c r="BL935" s="547" t="s">
        <v>116</v>
      </c>
      <c r="BM935" s="547" t="s">
        <v>709</v>
      </c>
      <c r="BN935" s="547" t="s">
        <v>709</v>
      </c>
      <c r="BO935" s="547" t="s">
        <v>709</v>
      </c>
      <c r="BP935" s="547" t="s">
        <v>709</v>
      </c>
      <c r="BQ935" s="547" t="s">
        <v>709</v>
      </c>
      <c r="BR935" s="547" t="s">
        <v>709</v>
      </c>
      <c r="BS935" s="547">
        <v>2620</v>
      </c>
      <c r="BT935" s="547" t="s">
        <v>709</v>
      </c>
      <c r="BU935" s="547" t="s">
        <v>709</v>
      </c>
      <c r="BV935" s="547" t="s">
        <v>709</v>
      </c>
      <c r="BW935" s="547" t="s">
        <v>709</v>
      </c>
      <c r="BX935" s="547" t="s">
        <v>745</v>
      </c>
      <c r="BY935" s="547" t="s">
        <v>709</v>
      </c>
      <c r="BZ935" s="547" t="s">
        <v>709</v>
      </c>
      <c r="CA935" s="483"/>
      <c r="CB935" s="547">
        <v>933</v>
      </c>
      <c r="CC935" s="1481" t="b">
        <v>1</v>
      </c>
      <c r="CD935" t="str">
        <f>Table15[[#This Row],[Engineering Number]]&amp;Table15[[#This Row],[WO Number]]&amp;Table15[[#This Row],[Date Assigned to Designer]]&amp;Table15[[#This Row],[Date Completed]]</f>
        <v>BS34012120674505445055</v>
      </c>
    </row>
    <row r="936" spans="1:82" customFormat="1" ht="15" customHeight="1" x14ac:dyDescent="0.25">
      <c r="A936">
        <v>2023</v>
      </c>
      <c r="B936" s="8" t="s">
        <v>771</v>
      </c>
      <c r="C936" s="8" t="s">
        <v>5609</v>
      </c>
      <c r="D936" s="8" t="s">
        <v>5610</v>
      </c>
      <c r="E936" s="8" t="s">
        <v>1404</v>
      </c>
      <c r="F936" s="8" t="s">
        <v>784</v>
      </c>
      <c r="G936" s="8" t="s">
        <v>36</v>
      </c>
      <c r="H936" s="13" t="s">
        <v>59</v>
      </c>
      <c r="I936" s="642">
        <v>44875</v>
      </c>
      <c r="J936" s="18">
        <v>45058</v>
      </c>
      <c r="K936" s="97">
        <v>45056</v>
      </c>
      <c r="L936" s="16">
        <f>IF(ISTEXT(Table15[[#This Row],[Engineering Approved Design Date]]),Table15[[#This Row],[Date Completed]]-Table15[[#This Row],[Date Assigned to Designer]],Table15[[#This Row],[Engineering Approved Design Date]]-Table15[[#This Row],[Date Completed]])</f>
        <v>2</v>
      </c>
      <c r="M936" s="642"/>
      <c r="N936" s="642" t="s">
        <v>120</v>
      </c>
      <c r="O936" s="1060">
        <v>45047</v>
      </c>
      <c r="P936" s="1152" t="s">
        <v>120</v>
      </c>
      <c r="Q936" s="340">
        <f>Table15[[#This Row],[Rate]]*Table15[[#This Row],[Construction Cost to Bill From]]</f>
        <v>34500.995999999999</v>
      </c>
      <c r="R936" s="1026">
        <v>0.09</v>
      </c>
      <c r="S936" s="538"/>
      <c r="T936" s="538"/>
      <c r="U936" s="87"/>
      <c r="V936" s="858">
        <v>2621</v>
      </c>
      <c r="W936" s="437">
        <v>0</v>
      </c>
      <c r="X936" s="552">
        <v>329415.33</v>
      </c>
      <c r="Y936" s="551"/>
      <c r="Z936" s="552">
        <v>53929.07</v>
      </c>
      <c r="AA936" s="552">
        <f>SUM(Table15[[#This Row],[PCTS Investment Amount]:[PCTS Retirement Amount]])</f>
        <v>383344.4</v>
      </c>
      <c r="AB936" s="341">
        <v>45057</v>
      </c>
      <c r="AC936" s="894" t="s">
        <v>1177</v>
      </c>
      <c r="AD936" s="1157" t="s">
        <v>116</v>
      </c>
      <c r="AE936" s="568" t="s">
        <v>29</v>
      </c>
      <c r="AF936" s="568" t="s">
        <v>29</v>
      </c>
      <c r="AG936" s="568" t="s">
        <v>29</v>
      </c>
      <c r="AH936" s="183" t="s">
        <v>29</v>
      </c>
      <c r="AI936" s="1036"/>
      <c r="AJ936" s="1037"/>
      <c r="AK936" s="1037"/>
      <c r="AL936" s="1038"/>
      <c r="AM936" s="1522" t="s">
        <v>116</v>
      </c>
      <c r="AN936" s="1523">
        <v>45133</v>
      </c>
      <c r="AO936" s="1524">
        <v>11067806</v>
      </c>
      <c r="AP936" s="1525">
        <v>329479.89</v>
      </c>
      <c r="AQ936" s="1525"/>
      <c r="AR936" s="1525">
        <v>56548.07</v>
      </c>
      <c r="AS936" s="1525">
        <f>IF(Table15[[#This Row],[PCTS Approved]]="N",0,Table15[[#This Row],[Investment Amount (1'#'#'#'#'#)]]+Table15[[#This Row],[Retirement Amount (3'#'#'#'#'#)]])</f>
        <v>386027.96</v>
      </c>
      <c r="AT936" s="1525">
        <f>IF(Table15[[#This Row],[Approved Construction Cost]]=0,0,Table15[[#This Row],[Approved Construction Cost]]-Table15[[#This Row],[Construction Cost to Bill From]])</f>
        <v>2683.5599999999977</v>
      </c>
      <c r="AU936" s="1525">
        <f>IFERROR(Table15[[#This Row],[Difference in Construction Cost]]*Table15[[#This Row],[Rate]],Table15[[#This Row],[Difference in Construction Cost]]*0.085)</f>
        <v>241.52039999999977</v>
      </c>
      <c r="AV936" s="1525" t="s">
        <v>709</v>
      </c>
      <c r="AW936" s="1526"/>
      <c r="AX936" s="1525">
        <v>241.52039999999977</v>
      </c>
      <c r="AY936" s="1518">
        <v>45352</v>
      </c>
      <c r="AZ936" s="333"/>
      <c r="BA936" s="859" t="s">
        <v>5611</v>
      </c>
      <c r="BB936" s="644" t="s">
        <v>5612</v>
      </c>
      <c r="BC936" s="544" t="s">
        <v>709</v>
      </c>
      <c r="BD936" s="544" t="s">
        <v>115</v>
      </c>
      <c r="BE936" s="544" t="s">
        <v>115</v>
      </c>
      <c r="BF936" s="544" t="s">
        <v>5613</v>
      </c>
      <c r="BG936" s="544" t="s">
        <v>115</v>
      </c>
      <c r="BH936" s="741" t="s">
        <v>5614</v>
      </c>
      <c r="BI936" s="547" t="s">
        <v>709</v>
      </c>
      <c r="BJ936" s="547" t="s">
        <v>709</v>
      </c>
      <c r="BK936" s="547" t="s">
        <v>709</v>
      </c>
      <c r="BL936" s="547" t="s">
        <v>116</v>
      </c>
      <c r="BM936" s="547" t="s">
        <v>709</v>
      </c>
      <c r="BN936" s="547" t="s">
        <v>709</v>
      </c>
      <c r="BO936" s="547" t="s">
        <v>709</v>
      </c>
      <c r="BP936" s="547" t="s">
        <v>709</v>
      </c>
      <c r="BQ936" s="547" t="s">
        <v>709</v>
      </c>
      <c r="BR936" s="547" t="s">
        <v>709</v>
      </c>
      <c r="BS936" s="547">
        <v>2621</v>
      </c>
      <c r="BT936" s="547" t="s">
        <v>745</v>
      </c>
      <c r="BU936" s="547" t="s">
        <v>709</v>
      </c>
      <c r="BV936" s="547" t="s">
        <v>745</v>
      </c>
      <c r="BW936" s="547" t="s">
        <v>709</v>
      </c>
      <c r="BX936" s="547" t="s">
        <v>745</v>
      </c>
      <c r="BY936" s="547" t="s">
        <v>745</v>
      </c>
      <c r="BZ936" s="547" t="s">
        <v>709</v>
      </c>
      <c r="CA936" s="483"/>
      <c r="CB936" s="547">
        <v>934</v>
      </c>
      <c r="CC936" s="1481" t="b">
        <v>1</v>
      </c>
      <c r="CD936" t="str">
        <f>Table15[[#This Row],[Engineering Number]]&amp;Table15[[#This Row],[WO Number]]&amp;Table15[[#This Row],[Date Assigned to Designer]]&amp;Table15[[#This Row],[Date Completed]]</f>
        <v>BS35912120414487545056</v>
      </c>
    </row>
    <row r="937" spans="1:82" customFormat="1" ht="15" customHeight="1" x14ac:dyDescent="0.25">
      <c r="A937">
        <v>2023</v>
      </c>
      <c r="B937" s="8" t="s">
        <v>4</v>
      </c>
      <c r="C937" s="8" t="s">
        <v>5616</v>
      </c>
      <c r="D937" s="8" t="s">
        <v>115</v>
      </c>
      <c r="E937" s="8" t="s">
        <v>1149</v>
      </c>
      <c r="F937" s="8" t="s">
        <v>747</v>
      </c>
      <c r="G937" s="8" t="s">
        <v>33</v>
      </c>
      <c r="H937" s="8" t="s">
        <v>1681</v>
      </c>
      <c r="I937" s="642">
        <v>44914</v>
      </c>
      <c r="J937" s="18">
        <v>45063</v>
      </c>
      <c r="K937" s="97">
        <v>45056</v>
      </c>
      <c r="L937" s="16">
        <f>IF(ISTEXT(Table15[[#This Row],[Engineering Approved Design Date]]),Table15[[#This Row],[Date Completed]]-Table15[[#This Row],[Date Assigned to Designer]],Table15[[#This Row],[Engineering Approved Design Date]]-Table15[[#This Row],[Date Completed]])</f>
        <v>7</v>
      </c>
      <c r="N937" s="642" t="s">
        <v>120</v>
      </c>
      <c r="O937" s="1060">
        <v>45047</v>
      </c>
      <c r="P937" s="1152" t="s">
        <v>739</v>
      </c>
      <c r="Q937" s="28" t="s">
        <v>115</v>
      </c>
      <c r="R937" s="1026" t="s">
        <v>115</v>
      </c>
      <c r="S937" s="538"/>
      <c r="T937" s="538"/>
      <c r="U937" s="28"/>
      <c r="V937" s="858"/>
      <c r="W937" s="437"/>
      <c r="X937" s="538"/>
      <c r="Y937" s="550"/>
      <c r="Z937" s="538"/>
      <c r="AA937" s="561"/>
      <c r="AB937" s="341" t="s">
        <v>29</v>
      </c>
      <c r="AC937" s="894" t="s">
        <v>1177</v>
      </c>
      <c r="AD937" s="1157" t="s">
        <v>29</v>
      </c>
      <c r="AE937" s="579"/>
      <c r="AF937" s="579"/>
      <c r="AG937" s="579"/>
      <c r="AH937" s="553"/>
      <c r="AI937" s="1036"/>
      <c r="AJ937" s="1037"/>
      <c r="AK937" s="1037"/>
      <c r="AL937" s="1038"/>
      <c r="AM937" s="542" t="s">
        <v>709</v>
      </c>
      <c r="AN937" s="924"/>
      <c r="AO937" s="925"/>
      <c r="AP937" s="926"/>
      <c r="AQ937" s="926"/>
      <c r="AR937" s="926"/>
      <c r="AS937" s="926"/>
      <c r="AT937" s="926"/>
      <c r="AU937" s="926"/>
      <c r="AV937" s="926"/>
      <c r="AW937" s="927"/>
      <c r="AX937" s="926"/>
      <c r="AY937" s="1538" t="s">
        <v>29</v>
      </c>
      <c r="AZ937" s="1530"/>
      <c r="BA937" s="1031" t="s">
        <v>5617</v>
      </c>
      <c r="BB937" s="648" t="s">
        <v>5618</v>
      </c>
      <c r="BC937" s="544" t="s">
        <v>709</v>
      </c>
      <c r="BD937" s="544" t="s">
        <v>788</v>
      </c>
      <c r="BE937" s="544" t="s">
        <v>1835</v>
      </c>
      <c r="BF937" s="544" t="s">
        <v>1835</v>
      </c>
      <c r="BG937" s="544" t="s">
        <v>5619</v>
      </c>
      <c r="BH937" s="741"/>
      <c r="BI937" s="1032"/>
      <c r="BJ937" s="1032"/>
      <c r="BK937" s="1032"/>
      <c r="BL937" s="1032"/>
      <c r="BM937" s="1032"/>
      <c r="BN937" s="1032"/>
      <c r="BO937" s="1032"/>
      <c r="BP937" s="1032"/>
      <c r="BQ937" s="1032"/>
      <c r="BR937" s="1032"/>
      <c r="BS937" s="1032"/>
      <c r="BT937" s="1032"/>
      <c r="BU937" s="1032"/>
      <c r="BV937" s="1032"/>
      <c r="BW937" s="1032"/>
      <c r="BX937" s="1032"/>
      <c r="BY937" s="1032"/>
      <c r="BZ937" s="1032"/>
      <c r="CA937" s="485" t="s">
        <v>915</v>
      </c>
      <c r="CB937" s="547">
        <v>935</v>
      </c>
      <c r="CC937" s="1481" t="b">
        <v>1</v>
      </c>
      <c r="CD937" t="str">
        <f>Table15[[#This Row],[Engineering Number]]&amp;Table15[[#This Row],[WO Number]]&amp;Table15[[#This Row],[Date Assigned to Designer]]&amp;Table15[[#This Row],[Date Completed]]</f>
        <v>SC21945-4491445056</v>
      </c>
    </row>
    <row r="938" spans="1:82" customFormat="1" ht="15" customHeight="1" x14ac:dyDescent="0.25">
      <c r="A938">
        <v>2023</v>
      </c>
      <c r="B938" s="8" t="s">
        <v>4</v>
      </c>
      <c r="C938" s="8" t="s">
        <v>1482</v>
      </c>
      <c r="D938" s="8" t="s">
        <v>1483</v>
      </c>
      <c r="E938" s="8" t="s">
        <v>354</v>
      </c>
      <c r="F938" s="8" t="s">
        <v>784</v>
      </c>
      <c r="G938" s="8" t="s">
        <v>27</v>
      </c>
      <c r="H938" s="8" t="s">
        <v>59</v>
      </c>
      <c r="I938" s="642">
        <v>44974</v>
      </c>
      <c r="J938" s="18">
        <v>45058</v>
      </c>
      <c r="K938" s="97">
        <v>45057</v>
      </c>
      <c r="L938" s="16">
        <f>IF(ISTEXT(Table15[[#This Row],[Engineering Approved Design Date]]),Table15[[#This Row],[Date Completed]]-Table15[[#This Row],[Date Assigned to Designer]],Table15[[#This Row],[Engineering Approved Design Date]]-Table15[[#This Row],[Date Completed]])</f>
        <v>1</v>
      </c>
      <c r="M938" s="642"/>
      <c r="N938" s="642" t="s">
        <v>120</v>
      </c>
      <c r="O938" s="1060">
        <v>45061</v>
      </c>
      <c r="P938" s="1152" t="s">
        <v>739</v>
      </c>
      <c r="Q938" s="340">
        <f>Table15[[#This Row],[Rate]]*Table15[[#This Row],[Construction Cost to Bill From]]</f>
        <v>5264.8130000000001</v>
      </c>
      <c r="R938" s="1026">
        <v>0.1</v>
      </c>
      <c r="S938" s="538"/>
      <c r="T938" s="538"/>
      <c r="U938" s="87"/>
      <c r="V938" s="858">
        <v>0</v>
      </c>
      <c r="W938" s="437">
        <v>0</v>
      </c>
      <c r="X938" s="538">
        <v>0</v>
      </c>
      <c r="Y938" s="551"/>
      <c r="Z938" s="552">
        <v>52648.13</v>
      </c>
      <c r="AA938" s="552">
        <f>SUM(Table15[[#This Row],[PCTS Investment Amount]:[PCTS Retirement Amount]])</f>
        <v>52648.13</v>
      </c>
      <c r="AB938" s="341" t="s">
        <v>29</v>
      </c>
      <c r="AC938" s="568" t="s">
        <v>709</v>
      </c>
      <c r="AD938" s="1157" t="s">
        <v>29</v>
      </c>
      <c r="AE938" s="568" t="s">
        <v>116</v>
      </c>
      <c r="AF938" s="568" t="s">
        <v>29</v>
      </c>
      <c r="AG938" s="569" t="s">
        <v>29</v>
      </c>
      <c r="AH938" s="183">
        <v>45160</v>
      </c>
      <c r="AI938" s="1036"/>
      <c r="AJ938" s="1037"/>
      <c r="AK938" s="1037"/>
      <c r="AL938" s="1038"/>
      <c r="AM938" s="1522" t="s">
        <v>116</v>
      </c>
      <c r="AN938" s="1523">
        <v>45784</v>
      </c>
      <c r="AO938" s="1524">
        <v>11058546</v>
      </c>
      <c r="AP938" s="1525">
        <v>0</v>
      </c>
      <c r="AQ938" s="1525"/>
      <c r="AR938" s="1525">
        <v>83623.070000000007</v>
      </c>
      <c r="AS938" s="1525">
        <f>IF(Table15[[#This Row],[PCTS Approved]]="N",0,Table15[[#This Row],[Investment Amount (1'#'#'#'#'#)]]+Table15[[#This Row],[Retirement Amount (3'#'#'#'#'#)]])</f>
        <v>83623.070000000007</v>
      </c>
      <c r="AT938" s="1525">
        <f>IF(Table15[[#This Row],[Approved Construction Cost]]=0,0,Table15[[#This Row],[Approved Construction Cost]]-Table15[[#This Row],[Construction Cost to Bill From]])</f>
        <v>30974.94000000001</v>
      </c>
      <c r="AU938" s="1525">
        <f>IFERROR(Table15[[#This Row],[Difference in Construction Cost]]*Table15[[#This Row],[Rate]],Table15[[#This Row],[Difference in Construction Cost]]*0.085)</f>
        <v>3097.4940000000011</v>
      </c>
      <c r="AV938" s="1525">
        <v>0</v>
      </c>
      <c r="AW938" s="1526" t="s">
        <v>5621</v>
      </c>
      <c r="AX938" s="1525">
        <f>Table15[[#This Row],[Reconcile Amount]]</f>
        <v>3097.4940000000011</v>
      </c>
      <c r="AY938" s="1518">
        <v>45901</v>
      </c>
      <c r="AZ938" s="333">
        <v>85</v>
      </c>
      <c r="BA938" s="859" t="s">
        <v>1484</v>
      </c>
      <c r="BB938" s="644" t="s">
        <v>1485</v>
      </c>
      <c r="BC938" s="544" t="s">
        <v>709</v>
      </c>
      <c r="BD938" s="544" t="s">
        <v>709</v>
      </c>
      <c r="BE938" s="544" t="s">
        <v>588</v>
      </c>
      <c r="BF938" s="544" t="s">
        <v>709</v>
      </c>
      <c r="BG938" s="544" t="s">
        <v>709</v>
      </c>
      <c r="BH938" s="741" t="s">
        <v>1486</v>
      </c>
      <c r="BI938" s="547" t="s">
        <v>709</v>
      </c>
      <c r="BJ938" s="547" t="s">
        <v>709</v>
      </c>
      <c r="BK938" s="547" t="s">
        <v>709</v>
      </c>
      <c r="BL938" s="547" t="s">
        <v>709</v>
      </c>
      <c r="BM938" s="547" t="s">
        <v>709</v>
      </c>
      <c r="BN938" s="547" t="s">
        <v>709</v>
      </c>
      <c r="BO938" s="547" t="s">
        <v>709</v>
      </c>
      <c r="BP938" s="547" t="s">
        <v>709</v>
      </c>
      <c r="BQ938" s="547" t="s">
        <v>709</v>
      </c>
      <c r="BR938" s="547" t="s">
        <v>709</v>
      </c>
      <c r="BS938" s="547" t="s">
        <v>709</v>
      </c>
      <c r="BT938" s="547" t="s">
        <v>745</v>
      </c>
      <c r="BU938" s="547" t="s">
        <v>709</v>
      </c>
      <c r="BV938" s="547" t="s">
        <v>745</v>
      </c>
      <c r="BW938" s="547" t="s">
        <v>709</v>
      </c>
      <c r="BX938" s="547" t="s">
        <v>745</v>
      </c>
      <c r="BY938" s="547" t="s">
        <v>745</v>
      </c>
      <c r="BZ938" s="547" t="s">
        <v>709</v>
      </c>
      <c r="CA938" s="483" t="s">
        <v>1146</v>
      </c>
      <c r="CB938" s="547">
        <v>936</v>
      </c>
      <c r="CC938" s="1481" t="b">
        <v>1</v>
      </c>
      <c r="CD938" t="str">
        <f>Table15[[#This Row],[Engineering Number]]&amp;Table15[[#This Row],[WO Number]]&amp;Table15[[#This Row],[Date Assigned to Designer]]&amp;Table15[[#This Row],[Date Completed]]</f>
        <v>N1672232126314497445057</v>
      </c>
    </row>
    <row r="939" spans="1:82" customFormat="1" ht="15" customHeight="1" x14ac:dyDescent="0.25">
      <c r="A939">
        <v>2023</v>
      </c>
      <c r="B939" s="8" t="s">
        <v>771</v>
      </c>
      <c r="C939" s="8" t="s">
        <v>931</v>
      </c>
      <c r="D939" s="8">
        <v>1312007</v>
      </c>
      <c r="E939" s="8" t="s">
        <v>887</v>
      </c>
      <c r="F939" s="8" t="s">
        <v>784</v>
      </c>
      <c r="G939" s="8" t="s">
        <v>32</v>
      </c>
      <c r="H939" s="8" t="s">
        <v>4189</v>
      </c>
      <c r="I939" s="642">
        <v>45034</v>
      </c>
      <c r="J939" s="175" t="s">
        <v>2052</v>
      </c>
      <c r="K939" s="97">
        <v>45058</v>
      </c>
      <c r="L939" s="16">
        <f>IF(ISTEXT(Table15[[#This Row],[Engineering Approved Design Date]]),Table15[[#This Row],[Date Completed]]-Table15[[#This Row],[Date Assigned to Designer]],Table15[[#This Row],[Engineering Approved Design Date]]-Table15[[#This Row],[Date Completed]])</f>
        <v>24</v>
      </c>
      <c r="M939" s="16" t="s">
        <v>5623</v>
      </c>
      <c r="N939" s="642" t="s">
        <v>120</v>
      </c>
      <c r="O939" s="1060">
        <v>45047</v>
      </c>
      <c r="P939" s="21" t="s">
        <v>120</v>
      </c>
      <c r="Q939" s="1061">
        <f>Table15[[#This Row],[KH Hourly Effort]]</f>
        <v>19435</v>
      </c>
      <c r="R939" s="1039" t="s">
        <v>1922</v>
      </c>
      <c r="S939" s="538">
        <v>0</v>
      </c>
      <c r="T939" s="538"/>
      <c r="U939" s="87">
        <v>19435</v>
      </c>
      <c r="V939" s="857">
        <v>9968</v>
      </c>
      <c r="W939" s="440">
        <v>0</v>
      </c>
      <c r="X939" s="538"/>
      <c r="Y939" s="551"/>
      <c r="Z939" s="538"/>
      <c r="AA939" s="552"/>
      <c r="AB939" s="341" t="s">
        <v>29</v>
      </c>
      <c r="AC939" s="894" t="s">
        <v>1177</v>
      </c>
      <c r="AD939" s="1149" t="s">
        <v>116</v>
      </c>
      <c r="AE939" s="569"/>
      <c r="AF939" s="569"/>
      <c r="AG939" s="569"/>
      <c r="AH939" s="536"/>
      <c r="AI939" s="1028"/>
      <c r="AJ939" s="1029"/>
      <c r="AK939" s="1029"/>
      <c r="AL939" s="1030"/>
      <c r="AM939" s="542" t="s">
        <v>709</v>
      </c>
      <c r="AN939" s="924"/>
      <c r="AO939" s="925"/>
      <c r="AP939" s="926"/>
      <c r="AQ939" s="926"/>
      <c r="AR939" s="926"/>
      <c r="AS939" s="926"/>
      <c r="AT939" s="926"/>
      <c r="AU939" s="926"/>
      <c r="AV939" s="926"/>
      <c r="AW939" s="927"/>
      <c r="AX939" s="926"/>
      <c r="AY939" s="1538" t="s">
        <v>29</v>
      </c>
      <c r="AZ939" s="1530"/>
      <c r="BA939" s="1031">
        <v>4</v>
      </c>
      <c r="BB939" s="644" t="s">
        <v>5624</v>
      </c>
      <c r="BC939" s="544"/>
      <c r="BD939" s="544"/>
      <c r="BE939" s="544"/>
      <c r="BF939" s="544"/>
      <c r="BG939" s="544"/>
      <c r="BH939" s="741"/>
      <c r="BI939" s="547" t="s">
        <v>709</v>
      </c>
      <c r="BJ939" s="547" t="s">
        <v>709</v>
      </c>
      <c r="BK939" s="547" t="s">
        <v>709</v>
      </c>
      <c r="BL939" s="547" t="s">
        <v>116</v>
      </c>
      <c r="BM939" s="547">
        <v>0</v>
      </c>
      <c r="BN939" s="549">
        <v>0</v>
      </c>
      <c r="BO939" s="547">
        <v>0</v>
      </c>
      <c r="BP939" s="547">
        <v>0</v>
      </c>
      <c r="BQ939" s="547">
        <v>6343</v>
      </c>
      <c r="BR939" s="547">
        <v>103</v>
      </c>
      <c r="BS939" s="547">
        <v>3638</v>
      </c>
      <c r="BT939" s="547">
        <v>0</v>
      </c>
      <c r="BU939" s="549">
        <v>0</v>
      </c>
      <c r="BV939" s="547">
        <v>0</v>
      </c>
      <c r="BW939" s="547">
        <v>0</v>
      </c>
      <c r="BX939" s="547">
        <v>0</v>
      </c>
      <c r="BY939" s="547">
        <v>0</v>
      </c>
      <c r="BZ939" s="547" t="s">
        <v>709</v>
      </c>
      <c r="CA939" s="483"/>
      <c r="CB939" s="547">
        <v>937</v>
      </c>
      <c r="CC939" s="1481" t="b">
        <v>1</v>
      </c>
      <c r="CD939" t="str">
        <f>Table15[[#This Row],[Engineering Number]]&amp;Table15[[#This Row],[WO Number]]&amp;Table15[[#This Row],[Date Assigned to Designer]]&amp;Table15[[#This Row],[Date Completed]]</f>
        <v>BS63113120074503445058</v>
      </c>
    </row>
    <row r="940" spans="1:82" customFormat="1" ht="15" customHeight="1" x14ac:dyDescent="0.25">
      <c r="A940">
        <v>2023</v>
      </c>
      <c r="B940" s="8" t="s">
        <v>4</v>
      </c>
      <c r="C940" s="8" t="s">
        <v>5628</v>
      </c>
      <c r="D940" s="8" t="s">
        <v>115</v>
      </c>
      <c r="E940" s="8" t="s">
        <v>1957</v>
      </c>
      <c r="F940" s="8" t="s">
        <v>747</v>
      </c>
      <c r="G940" s="8" t="s">
        <v>25</v>
      </c>
      <c r="H940" s="8" t="s">
        <v>1681</v>
      </c>
      <c r="I940" s="642">
        <v>44994</v>
      </c>
      <c r="J940" s="18">
        <v>45093</v>
      </c>
      <c r="K940" s="97">
        <v>45061</v>
      </c>
      <c r="L940" s="16">
        <f>IF(ISTEXT(Table15[[#This Row],[Engineering Approved Design Date]]),Table15[[#This Row],[Date Completed]]-Table15[[#This Row],[Date Assigned to Designer]],Table15[[#This Row],[Engineering Approved Design Date]]-Table15[[#This Row],[Date Completed]])</f>
        <v>32</v>
      </c>
      <c r="N940" s="642" t="s">
        <v>120</v>
      </c>
      <c r="O940" s="1060">
        <v>45061</v>
      </c>
      <c r="P940" s="1152" t="s">
        <v>739</v>
      </c>
      <c r="Q940" s="340" t="s">
        <v>115</v>
      </c>
      <c r="R940" s="1026" t="s">
        <v>115</v>
      </c>
      <c r="S940" s="538"/>
      <c r="T940" s="538"/>
      <c r="U940" s="28"/>
      <c r="V940" s="858"/>
      <c r="W940" s="437"/>
      <c r="X940" s="538"/>
      <c r="Y940" s="550"/>
      <c r="Z940" s="538"/>
      <c r="AA940" s="552"/>
      <c r="AB940" s="341" t="s">
        <v>29</v>
      </c>
      <c r="AC940" s="183" t="s">
        <v>29</v>
      </c>
      <c r="AD940" s="1157" t="s">
        <v>29</v>
      </c>
      <c r="AE940" s="568" t="s">
        <v>116</v>
      </c>
      <c r="AF940" s="568" t="s">
        <v>116</v>
      </c>
      <c r="AG940" s="568" t="s">
        <v>116</v>
      </c>
      <c r="AH940" s="183">
        <v>45086</v>
      </c>
      <c r="AI940" s="1036"/>
      <c r="AJ940" s="1037"/>
      <c r="AK940" s="1037"/>
      <c r="AL940" s="1038"/>
      <c r="AM940" s="542" t="s">
        <v>709</v>
      </c>
      <c r="AN940" s="924"/>
      <c r="AO940" s="925"/>
      <c r="AP940" s="926"/>
      <c r="AQ940" s="926"/>
      <c r="AR940" s="926"/>
      <c r="AS940" s="926"/>
      <c r="AT940" s="926"/>
      <c r="AU940" s="926"/>
      <c r="AV940" s="926"/>
      <c r="AW940" s="927"/>
      <c r="AX940" s="926"/>
      <c r="AY940" s="1538" t="s">
        <v>29</v>
      </c>
      <c r="AZ940" s="1530"/>
      <c r="BA940" s="1031" t="s">
        <v>5629</v>
      </c>
      <c r="BB940" s="648" t="s">
        <v>969</v>
      </c>
      <c r="BC940" s="544" t="s">
        <v>709</v>
      </c>
      <c r="BD940" s="544" t="s">
        <v>969</v>
      </c>
      <c r="BE940" s="544" t="s">
        <v>5317</v>
      </c>
      <c r="BF940" s="544" t="s">
        <v>5630</v>
      </c>
      <c r="BG940" s="544" t="s">
        <v>709</v>
      </c>
      <c r="BH940" s="741"/>
      <c r="BI940" s="1032"/>
      <c r="BJ940" s="1032"/>
      <c r="BK940" s="1032"/>
      <c r="BL940" s="1032"/>
      <c r="BM940" s="1032"/>
      <c r="BN940" s="1032"/>
      <c r="BO940" s="1032"/>
      <c r="BP940" s="1032"/>
      <c r="BQ940" s="1032"/>
      <c r="BR940" s="1032"/>
      <c r="BS940" s="1032"/>
      <c r="BT940" s="1032"/>
      <c r="BU940" s="1032"/>
      <c r="BV940" s="1032"/>
      <c r="BW940" s="1032"/>
      <c r="BX940" s="1032"/>
      <c r="BY940" s="1032"/>
      <c r="BZ940" s="1032"/>
      <c r="CA940" s="485" t="s">
        <v>915</v>
      </c>
      <c r="CB940" s="547">
        <v>938</v>
      </c>
      <c r="CC940" s="1481" t="b">
        <v>1</v>
      </c>
      <c r="CD940" t="str">
        <f>Table15[[#This Row],[Engineering Number]]&amp;Table15[[#This Row],[WO Number]]&amp;Table15[[#This Row],[Date Assigned to Designer]]&amp;Table15[[#This Row],[Date Completed]]</f>
        <v>SC22321-4499445061</v>
      </c>
    </row>
    <row r="941" spans="1:82" customFormat="1" ht="15" customHeight="1" x14ac:dyDescent="0.25">
      <c r="A941">
        <v>2023</v>
      </c>
      <c r="B941" s="8" t="s">
        <v>771</v>
      </c>
      <c r="C941" s="8" t="s">
        <v>449</v>
      </c>
      <c r="D941" s="8" t="s">
        <v>1487</v>
      </c>
      <c r="E941" s="8" t="s">
        <v>327</v>
      </c>
      <c r="F941" s="8" t="s">
        <v>784</v>
      </c>
      <c r="G941" s="8" t="s">
        <v>23</v>
      </c>
      <c r="H941" s="8" t="s">
        <v>59</v>
      </c>
      <c r="I941" s="642">
        <v>44939</v>
      </c>
      <c r="J941" s="18">
        <v>45065</v>
      </c>
      <c r="K941" s="97">
        <v>45061</v>
      </c>
      <c r="L941" s="16">
        <f>IF(ISTEXT(Table15[[#This Row],[Engineering Approved Design Date]]),Table15[[#This Row],[Date Completed]]-Table15[[#This Row],[Date Assigned to Designer]],Table15[[#This Row],[Engineering Approved Design Date]]-Table15[[#This Row],[Date Completed]])</f>
        <v>4</v>
      </c>
      <c r="M941" s="642"/>
      <c r="N941" s="642" t="s">
        <v>120</v>
      </c>
      <c r="O941" s="1060">
        <v>45078</v>
      </c>
      <c r="P941" s="1152" t="s">
        <v>120</v>
      </c>
      <c r="Q941" s="340">
        <f>Table15[[#This Row],[Rate]]*Table15[[#This Row],[Construction Cost to Bill From]]</f>
        <v>161460.64619999999</v>
      </c>
      <c r="R941" s="1026">
        <v>0.06</v>
      </c>
      <c r="S941" s="538"/>
      <c r="T941" s="538"/>
      <c r="U941" s="87"/>
      <c r="V941" s="858">
        <v>10511</v>
      </c>
      <c r="W941" s="437">
        <v>0</v>
      </c>
      <c r="X941" s="538">
        <v>2575270.17</v>
      </c>
      <c r="Y941" s="551"/>
      <c r="Z941" s="552">
        <v>115740.6</v>
      </c>
      <c r="AA941" s="552">
        <f>SUM(Table15[[#This Row],[PCTS Investment Amount]:[PCTS Retirement Amount]])</f>
        <v>2691010.77</v>
      </c>
      <c r="AB941" s="341">
        <v>45068</v>
      </c>
      <c r="AC941" s="568" t="s">
        <v>1441</v>
      </c>
      <c r="AD941" s="1157" t="s">
        <v>116</v>
      </c>
      <c r="AE941" s="568"/>
      <c r="AF941" s="568"/>
      <c r="AG941" s="568"/>
      <c r="AH941" s="183"/>
      <c r="AI941" s="1036"/>
      <c r="AJ941" s="1037"/>
      <c r="AK941" s="1037"/>
      <c r="AL941" s="1038"/>
      <c r="AM941" s="1522" t="s">
        <v>116</v>
      </c>
      <c r="AN941" s="1523">
        <v>45819</v>
      </c>
      <c r="AO941" s="1524">
        <v>11060024</v>
      </c>
      <c r="AP941" s="1525">
        <v>3048308.01</v>
      </c>
      <c r="AQ941" s="1525"/>
      <c r="AR941" s="1525">
        <v>276373.34999999998</v>
      </c>
      <c r="AS941" s="1525">
        <f>IF(Table15[[#This Row],[PCTS Approved]]="N",0,Table15[[#This Row],[Investment Amount (1'#'#'#'#'#)]]+Table15[[#This Row],[Retirement Amount (3'#'#'#'#'#)]])</f>
        <v>3324681.36</v>
      </c>
      <c r="AT941" s="1525">
        <f>IF(Table15[[#This Row],[Approved Construction Cost]]=0,0,Table15[[#This Row],[Approved Construction Cost]]-Table15[[#This Row],[Construction Cost to Bill From]])</f>
        <v>633670.58999999985</v>
      </c>
      <c r="AU941" s="1525">
        <f>IFERROR(Table15[[#This Row],[Difference in Construction Cost]]*Table15[[#This Row],[Rate]],Table15[[#This Row],[Difference in Construction Cost]]*0.085)</f>
        <v>38020.23539999999</v>
      </c>
      <c r="AV941" s="1525">
        <v>9227.5</v>
      </c>
      <c r="AW941" s="1526" t="s">
        <v>5626</v>
      </c>
      <c r="AX941" s="1525">
        <v>0</v>
      </c>
      <c r="AY941" s="1518">
        <v>45901</v>
      </c>
      <c r="AZ941" s="333">
        <v>6</v>
      </c>
      <c r="BA941" s="859" t="s">
        <v>1488</v>
      </c>
      <c r="BB941" s="644" t="s">
        <v>1479</v>
      </c>
      <c r="BC941" s="544" t="s">
        <v>709</v>
      </c>
      <c r="BD941" s="544" t="s">
        <v>115</v>
      </c>
      <c r="BE941" s="544" t="s">
        <v>448</v>
      </c>
      <c r="BF941" s="544" t="s">
        <v>115</v>
      </c>
      <c r="BG941" s="544" t="s">
        <v>115</v>
      </c>
      <c r="BH941" s="741" t="s">
        <v>1489</v>
      </c>
      <c r="BI941" s="547" t="s">
        <v>709</v>
      </c>
      <c r="BJ941" s="547" t="s">
        <v>709</v>
      </c>
      <c r="BK941" s="547" t="s">
        <v>709</v>
      </c>
      <c r="BL941" s="547" t="s">
        <v>116</v>
      </c>
      <c r="BM941" s="547" t="s">
        <v>709</v>
      </c>
      <c r="BN941" s="547" t="s">
        <v>709</v>
      </c>
      <c r="BO941" s="547" t="s">
        <v>709</v>
      </c>
      <c r="BP941" s="547" t="s">
        <v>709</v>
      </c>
      <c r="BQ941" s="547">
        <v>1240</v>
      </c>
      <c r="BR941" s="547">
        <v>1503</v>
      </c>
      <c r="BS941" s="547">
        <v>7768</v>
      </c>
      <c r="BT941" s="547" t="s">
        <v>745</v>
      </c>
      <c r="BU941" s="547" t="s">
        <v>709</v>
      </c>
      <c r="BV941" s="547" t="s">
        <v>745</v>
      </c>
      <c r="BW941" s="547" t="s">
        <v>709</v>
      </c>
      <c r="BX941" s="547" t="s">
        <v>745</v>
      </c>
      <c r="BY941" s="547" t="s">
        <v>745</v>
      </c>
      <c r="BZ941" s="547" t="s">
        <v>709</v>
      </c>
      <c r="CA941" s="483"/>
      <c r="CB941" s="547">
        <v>939</v>
      </c>
      <c r="CC941" s="1481" t="b">
        <v>1</v>
      </c>
      <c r="CD941" t="str">
        <f>Table15[[#This Row],[Engineering Number]]&amp;Table15[[#This Row],[WO Number]]&amp;Table15[[#This Row],[Date Assigned to Designer]]&amp;Table15[[#This Row],[Date Completed]]</f>
        <v>BS111-112122584493945061</v>
      </c>
    </row>
    <row r="942" spans="1:82" customFormat="1" ht="15" customHeight="1" x14ac:dyDescent="0.25">
      <c r="A942">
        <v>2023</v>
      </c>
      <c r="B942" s="8" t="s">
        <v>4</v>
      </c>
      <c r="C942" s="8" t="s">
        <v>1490</v>
      </c>
      <c r="D942" s="8" t="s">
        <v>1491</v>
      </c>
      <c r="E942" s="8" t="s">
        <v>1492</v>
      </c>
      <c r="F942" s="8" t="s">
        <v>784</v>
      </c>
      <c r="G942" s="8" t="s">
        <v>25</v>
      </c>
      <c r="H942" s="13" t="s">
        <v>59</v>
      </c>
      <c r="I942" s="642">
        <v>44966</v>
      </c>
      <c r="J942" s="18">
        <v>45077</v>
      </c>
      <c r="K942" s="175">
        <v>45062</v>
      </c>
      <c r="L942" s="16">
        <f>IF(ISTEXT(Table15[[#This Row],[Engineering Approved Design Date]]),Table15[[#This Row],[Date Completed]]-Table15[[#This Row],[Date Assigned to Designer]],Table15[[#This Row],[Engineering Approved Design Date]]-Table15[[#This Row],[Date Completed]])</f>
        <v>15</v>
      </c>
      <c r="M942" s="642"/>
      <c r="N942" s="642" t="s">
        <v>120</v>
      </c>
      <c r="O942" s="1060">
        <v>45061</v>
      </c>
      <c r="P942" s="1152" t="s">
        <v>739</v>
      </c>
      <c r="Q942" s="340">
        <f>Table15[[#This Row],[Rate]]*Table15[[#This Row],[Construction Cost to Bill From]]</f>
        <v>17623.817000000003</v>
      </c>
      <c r="R942" s="1026">
        <v>0.1</v>
      </c>
      <c r="S942" s="538"/>
      <c r="T942" s="538"/>
      <c r="U942" s="87"/>
      <c r="V942" s="858">
        <v>601</v>
      </c>
      <c r="W942" s="437">
        <v>0</v>
      </c>
      <c r="X942" s="552">
        <v>157687.95000000001</v>
      </c>
      <c r="Y942" s="551"/>
      <c r="Z942" s="552">
        <v>18550.22</v>
      </c>
      <c r="AA942" s="552">
        <f>SUM(Table15[[#This Row],[PCTS Investment Amount]:[PCTS Retirement Amount]])</f>
        <v>176238.17</v>
      </c>
      <c r="AB942" s="341">
        <v>45047</v>
      </c>
      <c r="AC942" s="568" t="s">
        <v>709</v>
      </c>
      <c r="AD942" s="1157" t="s">
        <v>29</v>
      </c>
      <c r="AE942" s="568" t="s">
        <v>116</v>
      </c>
      <c r="AF942" s="568" t="s">
        <v>116</v>
      </c>
      <c r="AG942" s="568" t="s">
        <v>116</v>
      </c>
      <c r="AH942" s="183">
        <v>45086</v>
      </c>
      <c r="AI942" s="1036"/>
      <c r="AJ942" s="1037"/>
      <c r="AK942" s="1037"/>
      <c r="AL942" s="1038"/>
      <c r="AM942" s="536" t="s">
        <v>116</v>
      </c>
      <c r="AN942" s="903" t="s">
        <v>709</v>
      </c>
      <c r="AO942" s="1536" t="s">
        <v>115</v>
      </c>
      <c r="AP942" s="1537"/>
      <c r="AQ942" s="1537"/>
      <c r="AR942" s="1537"/>
      <c r="AS942" s="888">
        <f>IF(Table15[[#This Row],[PCTS Approved]]="N",0,Table15[[#This Row],[Investment Amount (1'#'#'#'#'#)]]+Table15[[#This Row],[Retirement Amount (3'#'#'#'#'#)]])</f>
        <v>0</v>
      </c>
      <c r="AT942" s="888">
        <f>IF(Table15[[#This Row],[Approved Construction Cost]]=0,0,Table15[[#This Row],[Approved Construction Cost]]-Table15[[#This Row],[Construction Cost to Bill From]])</f>
        <v>0</v>
      </c>
      <c r="AU942" s="888">
        <f>IFERROR(Table15[[#This Row],[Difference in Construction Cost]]*Table15[[#This Row],[Rate]],Table15[[#This Row],[Difference in Construction Cost]]*0.085)</f>
        <v>0</v>
      </c>
      <c r="AV942" s="905"/>
      <c r="AW942" s="1509"/>
      <c r="AX942" s="888"/>
      <c r="AY942" s="636" t="s">
        <v>709</v>
      </c>
      <c r="AZ942" s="333">
        <v>86</v>
      </c>
      <c r="BA942" s="859" t="s">
        <v>1493</v>
      </c>
      <c r="BB942" s="644" t="s">
        <v>1494</v>
      </c>
      <c r="BC942" s="544" t="s">
        <v>116</v>
      </c>
      <c r="BD942" s="544" t="s">
        <v>743</v>
      </c>
      <c r="BE942" s="544" t="s">
        <v>545</v>
      </c>
      <c r="BF942" s="544" t="s">
        <v>1495</v>
      </c>
      <c r="BG942" s="544" t="s">
        <v>1496</v>
      </c>
      <c r="BH942" s="741" t="s">
        <v>1497</v>
      </c>
      <c r="BI942" s="547" t="s">
        <v>709</v>
      </c>
      <c r="BJ942" s="547" t="s">
        <v>709</v>
      </c>
      <c r="BK942" s="547" t="s">
        <v>709</v>
      </c>
      <c r="BL942" s="547" t="s">
        <v>116</v>
      </c>
      <c r="BM942" s="547" t="s">
        <v>709</v>
      </c>
      <c r="BN942" s="547" t="s">
        <v>709</v>
      </c>
      <c r="BO942" s="547" t="s">
        <v>709</v>
      </c>
      <c r="BP942" s="547" t="s">
        <v>709</v>
      </c>
      <c r="BQ942" s="547">
        <v>601</v>
      </c>
      <c r="BR942" s="547" t="s">
        <v>709</v>
      </c>
      <c r="BS942" s="547" t="s">
        <v>709</v>
      </c>
      <c r="BT942" s="547" t="s">
        <v>745</v>
      </c>
      <c r="BU942" s="547" t="s">
        <v>709</v>
      </c>
      <c r="BV942" s="547" t="s">
        <v>745</v>
      </c>
      <c r="BW942" s="547" t="s">
        <v>709</v>
      </c>
      <c r="BX942" s="547" t="s">
        <v>745</v>
      </c>
      <c r="BY942" s="547" t="s">
        <v>745</v>
      </c>
      <c r="BZ942" s="547" t="s">
        <v>709</v>
      </c>
      <c r="CA942" s="483"/>
      <c r="CB942" s="547">
        <v>940</v>
      </c>
      <c r="CC942" s="1481" t="b">
        <v>1</v>
      </c>
      <c r="CD942" t="str">
        <f>Table15[[#This Row],[Engineering Number]]&amp;Table15[[#This Row],[WO Number]]&amp;Table15[[#This Row],[Date Assigned to Designer]]&amp;Table15[[#This Row],[Date Completed]]</f>
        <v>N1661712126054496645062</v>
      </c>
    </row>
    <row r="943" spans="1:82" customFormat="1" ht="15" customHeight="1" x14ac:dyDescent="0.25">
      <c r="A943">
        <v>2023</v>
      </c>
      <c r="B943" s="8" t="s">
        <v>4</v>
      </c>
      <c r="C943" s="8" t="s">
        <v>5633</v>
      </c>
      <c r="D943" s="8" t="s">
        <v>5634</v>
      </c>
      <c r="E943" s="8" t="s">
        <v>1159</v>
      </c>
      <c r="F943" s="8" t="s">
        <v>747</v>
      </c>
      <c r="G943" s="8" t="s">
        <v>25</v>
      </c>
      <c r="H943" s="13" t="s">
        <v>59</v>
      </c>
      <c r="I943" s="642">
        <v>44914</v>
      </c>
      <c r="J943" s="18">
        <v>45065</v>
      </c>
      <c r="K943" s="175">
        <v>45063</v>
      </c>
      <c r="L943" s="16">
        <f>IF(ISTEXT(Table15[[#This Row],[Engineering Approved Design Date]]),Table15[[#This Row],[Date Completed]]-Table15[[#This Row],[Date Assigned to Designer]],Table15[[#This Row],[Engineering Approved Design Date]]-Table15[[#This Row],[Date Completed]])</f>
        <v>2</v>
      </c>
      <c r="M943" s="642"/>
      <c r="N943" s="642" t="s">
        <v>120</v>
      </c>
      <c r="O943" s="1060">
        <v>45061</v>
      </c>
      <c r="P943" s="1152" t="s">
        <v>739</v>
      </c>
      <c r="Q943" s="340">
        <f>Table15[[#This Row],[Rate]]*Table15[[#This Row],[Construction Cost to Bill From]]</f>
        <v>73446.634000000005</v>
      </c>
      <c r="R943" s="1026">
        <v>0.1</v>
      </c>
      <c r="S943" s="538"/>
      <c r="T943" s="538"/>
      <c r="U943" s="87"/>
      <c r="V943" s="858">
        <v>3128</v>
      </c>
      <c r="W943" s="437">
        <v>0</v>
      </c>
      <c r="X943" s="552">
        <v>706025.69</v>
      </c>
      <c r="Y943" s="551"/>
      <c r="Z943" s="552">
        <v>28440.65</v>
      </c>
      <c r="AA943" s="552">
        <f>SUM(Table15[[#This Row],[PCTS Investment Amount]:[PCTS Retirement Amount]])</f>
        <v>734466.34</v>
      </c>
      <c r="AB943" s="341">
        <v>45054</v>
      </c>
      <c r="AC943" s="568" t="s">
        <v>709</v>
      </c>
      <c r="AD943" s="1157" t="s">
        <v>29</v>
      </c>
      <c r="AE943" s="568" t="s">
        <v>116</v>
      </c>
      <c r="AF943" s="568" t="s">
        <v>116</v>
      </c>
      <c r="AG943" s="568" t="s">
        <v>116</v>
      </c>
      <c r="AH943" s="183">
        <v>45086</v>
      </c>
      <c r="AI943" s="1036"/>
      <c r="AJ943" s="1037"/>
      <c r="AK943" s="1037"/>
      <c r="AL943" s="1038"/>
      <c r="AM943" s="1522" t="s">
        <v>116</v>
      </c>
      <c r="AN943" s="1523">
        <v>45260</v>
      </c>
      <c r="AO943" s="1524">
        <v>11074942</v>
      </c>
      <c r="AP943" s="1525">
        <v>706505.89</v>
      </c>
      <c r="AQ943" s="1525"/>
      <c r="AR943" s="1525">
        <v>30087.83</v>
      </c>
      <c r="AS943" s="1525">
        <f>IF(Table15[[#This Row],[PCTS Approved]]="N",0,Table15[[#This Row],[Investment Amount (1'#'#'#'#'#)]]+Table15[[#This Row],[Retirement Amount (3'#'#'#'#'#)]])</f>
        <v>736593.72</v>
      </c>
      <c r="AT943" s="1525">
        <f>IF(Table15[[#This Row],[Approved Construction Cost]]=0,0,Table15[[#This Row],[Approved Construction Cost]]-Table15[[#This Row],[Construction Cost to Bill From]])</f>
        <v>2127.3800000000047</v>
      </c>
      <c r="AU943" s="1525">
        <f>IFERROR(Table15[[#This Row],[Difference in Construction Cost]]*Table15[[#This Row],[Rate]],Table15[[#This Row],[Difference in Construction Cost]]*0.085)</f>
        <v>212.73800000000048</v>
      </c>
      <c r="AV943" s="1525" t="s">
        <v>709</v>
      </c>
      <c r="AW943" s="1526"/>
      <c r="AX943" s="1525">
        <v>212.73800000000048</v>
      </c>
      <c r="AY943" s="1518">
        <v>45352</v>
      </c>
      <c r="AZ943" s="333"/>
      <c r="BA943" s="859" t="s">
        <v>5635</v>
      </c>
      <c r="BB943" s="644" t="s">
        <v>5452</v>
      </c>
      <c r="BC943" s="544" t="s">
        <v>709</v>
      </c>
      <c r="BD943" s="544" t="s">
        <v>1036</v>
      </c>
      <c r="BE943" s="544" t="s">
        <v>1210</v>
      </c>
      <c r="BF943" s="544" t="s">
        <v>5636</v>
      </c>
      <c r="BG943" s="544" t="s">
        <v>709</v>
      </c>
      <c r="BH943" s="741" t="s">
        <v>5637</v>
      </c>
      <c r="BI943" s="547" t="s">
        <v>709</v>
      </c>
      <c r="BJ943" s="547" t="s">
        <v>709</v>
      </c>
      <c r="BK943" s="547" t="s">
        <v>709</v>
      </c>
      <c r="BL943" s="547" t="s">
        <v>116</v>
      </c>
      <c r="BM943" s="547" t="s">
        <v>709</v>
      </c>
      <c r="BN943" s="547" t="s">
        <v>709</v>
      </c>
      <c r="BO943" s="547" t="s">
        <v>709</v>
      </c>
      <c r="BP943" s="547" t="s">
        <v>709</v>
      </c>
      <c r="BQ943" s="547" t="s">
        <v>709</v>
      </c>
      <c r="BR943" s="547" t="s">
        <v>709</v>
      </c>
      <c r="BS943" s="547">
        <v>3128</v>
      </c>
      <c r="BT943" s="547" t="s">
        <v>745</v>
      </c>
      <c r="BU943" s="547" t="s">
        <v>709</v>
      </c>
      <c r="BV943" s="547" t="s">
        <v>745</v>
      </c>
      <c r="BW943" s="547" t="s">
        <v>709</v>
      </c>
      <c r="BX943" s="547" t="s">
        <v>745</v>
      </c>
      <c r="BY943" s="547" t="s">
        <v>745</v>
      </c>
      <c r="BZ943" s="547" t="s">
        <v>709</v>
      </c>
      <c r="CA943" s="483"/>
      <c r="CB943" s="547">
        <v>941</v>
      </c>
      <c r="CC943" s="1481" t="b">
        <v>1</v>
      </c>
      <c r="CD943" t="str">
        <f>Table15[[#This Row],[Engineering Number]]&amp;Table15[[#This Row],[WO Number]]&amp;Table15[[#This Row],[Date Assigned to Designer]]&amp;Table15[[#This Row],[Date Completed]]</f>
        <v>SC2013614123784491445063</v>
      </c>
    </row>
    <row r="944" spans="1:82" customFormat="1" ht="15" customHeight="1" x14ac:dyDescent="0.25">
      <c r="A944">
        <v>2024</v>
      </c>
      <c r="B944" s="8" t="s">
        <v>1205</v>
      </c>
      <c r="C944" s="8" t="s">
        <v>1498</v>
      </c>
      <c r="D944" s="8" t="s">
        <v>1499</v>
      </c>
      <c r="E944" s="8" t="s">
        <v>1500</v>
      </c>
      <c r="F944" s="8" t="s">
        <v>1501</v>
      </c>
      <c r="G944" s="8" t="s">
        <v>22</v>
      </c>
      <c r="H944" s="13" t="s">
        <v>59</v>
      </c>
      <c r="I944" s="642">
        <v>44704</v>
      </c>
      <c r="J944" s="18">
        <v>45065</v>
      </c>
      <c r="K944" s="97">
        <v>45064</v>
      </c>
      <c r="L944" s="16">
        <f>IF(ISTEXT(Table15[[#This Row],[Engineering Approved Design Date]]),Table15[[#This Row],[Date Completed]]-Table15[[#This Row],[Date Assigned to Designer]],Table15[[#This Row],[Engineering Approved Design Date]]-Table15[[#This Row],[Date Completed]])</f>
        <v>1</v>
      </c>
      <c r="M944" s="642"/>
      <c r="N944" s="642" t="s">
        <v>120</v>
      </c>
      <c r="O944" s="1060">
        <f>Table15[[#This Row],[Date Completed]]</f>
        <v>45064</v>
      </c>
      <c r="P944" s="1152" t="s">
        <v>120</v>
      </c>
      <c r="Q944" s="340">
        <f>Table15[[#This Row],[Rate]]*Table15[[#This Row],[Construction Cost to Bill From]]</f>
        <v>302998.19759999996</v>
      </c>
      <c r="R944" s="1026">
        <v>0.09</v>
      </c>
      <c r="S944" s="538"/>
      <c r="T944" s="538"/>
      <c r="U944" s="87"/>
      <c r="V944" s="858">
        <v>1030</v>
      </c>
      <c r="W944" s="437">
        <v>0</v>
      </c>
      <c r="X944" s="552">
        <v>3121172.84</v>
      </c>
      <c r="Y944" s="551"/>
      <c r="Z944" s="552">
        <v>245473.8</v>
      </c>
      <c r="AA944" s="552">
        <f>SUM(Table15[[#This Row],[PCTS Investment Amount]:[PCTS Retirement Amount]])</f>
        <v>3366646.6399999997</v>
      </c>
      <c r="AB944" s="341">
        <v>45069</v>
      </c>
      <c r="AC944" s="568" t="s">
        <v>709</v>
      </c>
      <c r="AD944" s="1157" t="s">
        <v>116</v>
      </c>
      <c r="AE944" s="568"/>
      <c r="AF944" s="568"/>
      <c r="AG944" s="568"/>
      <c r="AH944" s="183"/>
      <c r="AI944" s="1036"/>
      <c r="AJ944" s="1037"/>
      <c r="AK944" s="1037"/>
      <c r="AL944" s="1038"/>
      <c r="AM944" s="536" t="s">
        <v>116</v>
      </c>
      <c r="AN944" s="903" t="s">
        <v>709</v>
      </c>
      <c r="AO944" s="1536">
        <v>11043653</v>
      </c>
      <c r="AP944" s="1537"/>
      <c r="AQ944" s="1537"/>
      <c r="AR944" s="1537"/>
      <c r="AS944" s="888">
        <f>IF(Table15[[#This Row],[PCTS Approved]]="N",0,Table15[[#This Row],[Investment Amount (1'#'#'#'#'#)]]+Table15[[#This Row],[Retirement Amount (3'#'#'#'#'#)]])</f>
        <v>0</v>
      </c>
      <c r="AT944" s="888">
        <f>IF(Table15[[#This Row],[Approved Construction Cost]]=0,0,Table15[[#This Row],[Approved Construction Cost]]-Table15[[#This Row],[Construction Cost to Bill From]])</f>
        <v>0</v>
      </c>
      <c r="AU944" s="888">
        <f>IFERROR(Table15[[#This Row],[Difference in Construction Cost]]*Table15[[#This Row],[Rate]],Table15[[#This Row],[Difference in Construction Cost]]*0.085)</f>
        <v>0</v>
      </c>
      <c r="AV944" s="905"/>
      <c r="AW944" s="1509"/>
      <c r="AX944" s="888"/>
      <c r="AY944" s="636" t="s">
        <v>709</v>
      </c>
      <c r="AZ944" s="1532">
        <v>43</v>
      </c>
      <c r="BA944" s="859" t="s">
        <v>1502</v>
      </c>
      <c r="BB944" s="644" t="s">
        <v>1503</v>
      </c>
      <c r="BC944" s="544" t="s">
        <v>116</v>
      </c>
      <c r="BD944" s="544" t="s">
        <v>115</v>
      </c>
      <c r="BE944" s="544" t="s">
        <v>1504</v>
      </c>
      <c r="BF944" s="544" t="s">
        <v>115</v>
      </c>
      <c r="BG944" s="544" t="s">
        <v>1505</v>
      </c>
      <c r="BH944" s="741" t="s">
        <v>1506</v>
      </c>
      <c r="BI944" s="547" t="s">
        <v>709</v>
      </c>
      <c r="BJ944" s="547" t="s">
        <v>709</v>
      </c>
      <c r="BK944" s="547" t="s">
        <v>116</v>
      </c>
      <c r="BL944" s="547" t="s">
        <v>709</v>
      </c>
      <c r="BM944" s="547" t="s">
        <v>709</v>
      </c>
      <c r="BN944" s="547" t="s">
        <v>709</v>
      </c>
      <c r="BO944" s="547" t="s">
        <v>709</v>
      </c>
      <c r="BP944" s="547" t="s">
        <v>709</v>
      </c>
      <c r="BQ944" s="547" t="s">
        <v>709</v>
      </c>
      <c r="BR944" s="547" t="s">
        <v>709</v>
      </c>
      <c r="BS944" s="547" t="s">
        <v>709</v>
      </c>
      <c r="BT944" s="547" t="s">
        <v>745</v>
      </c>
      <c r="BU944" s="547" t="s">
        <v>709</v>
      </c>
      <c r="BV944" s="547" t="s">
        <v>745</v>
      </c>
      <c r="BW944" s="547" t="s">
        <v>709</v>
      </c>
      <c r="BX944" s="547" t="s">
        <v>745</v>
      </c>
      <c r="BY944" s="547" t="s">
        <v>745</v>
      </c>
      <c r="BZ944" s="547" t="s">
        <v>709</v>
      </c>
      <c r="CA944" s="483" t="s">
        <v>1507</v>
      </c>
      <c r="CB944" s="547">
        <v>942</v>
      </c>
      <c r="CC944" s="1481" t="b">
        <v>1</v>
      </c>
      <c r="CD944" t="str">
        <f>Table15[[#This Row],[Engineering Number]]&amp;Table15[[#This Row],[WO Number]]&amp;Table15[[#This Row],[Date Assigned to Designer]]&amp;Table15[[#This Row],[Date Completed]]</f>
        <v>MR189912115704470445064</v>
      </c>
    </row>
    <row r="945" spans="1:82" customFormat="1" ht="15" customHeight="1" x14ac:dyDescent="0.25">
      <c r="A945">
        <v>2023</v>
      </c>
      <c r="B945" s="8" t="s">
        <v>759</v>
      </c>
      <c r="C945" s="8" t="s">
        <v>5645</v>
      </c>
      <c r="D945" s="8" t="s">
        <v>5651</v>
      </c>
      <c r="E945" s="8" t="s">
        <v>361</v>
      </c>
      <c r="F945" s="8" t="s">
        <v>752</v>
      </c>
      <c r="G945" s="8" t="s">
        <v>34</v>
      </c>
      <c r="H945" s="8" t="s">
        <v>59</v>
      </c>
      <c r="I945" s="642">
        <v>44837</v>
      </c>
      <c r="J945" s="175">
        <v>45064</v>
      </c>
      <c r="K945" s="97">
        <v>45064</v>
      </c>
      <c r="L945" s="16">
        <f>IF(ISTEXT(Table15[[#This Row],[Engineering Approved Design Date]]),Table15[[#This Row],[Date Completed]]-Table15[[#This Row],[Date Assigned to Designer]],Table15[[#This Row],[Engineering Approved Design Date]]-Table15[[#This Row],[Date Completed]])</f>
        <v>0</v>
      </c>
      <c r="N945" s="642" t="s">
        <v>120</v>
      </c>
      <c r="O945" s="1060">
        <f>Table15[[#This Row],[Date Completed]]</f>
        <v>45064</v>
      </c>
      <c r="P945" s="1152" t="s">
        <v>120</v>
      </c>
      <c r="Q945" s="1151">
        <v>14750</v>
      </c>
      <c r="R945" s="1026" t="s">
        <v>5223</v>
      </c>
      <c r="S945" s="538"/>
      <c r="T945" s="538"/>
      <c r="U945" s="28"/>
      <c r="V945" s="858">
        <f>90+50+43+152</f>
        <v>335</v>
      </c>
      <c r="W945" s="437">
        <v>1</v>
      </c>
      <c r="X945" s="538">
        <v>413161.06</v>
      </c>
      <c r="Y945" s="551">
        <v>94755.91</v>
      </c>
      <c r="Z945" s="552">
        <v>94755.91</v>
      </c>
      <c r="AA945" s="538">
        <f>Table15[[#This Row],[PCTS Investment Amount]]+Table15[[#This Row],[PCTS Retirement Amount]]</f>
        <v>507916.97</v>
      </c>
      <c r="AB945" s="341">
        <v>45090</v>
      </c>
      <c r="AC945" s="568" t="s">
        <v>709</v>
      </c>
      <c r="AD945" s="1149" t="s">
        <v>29</v>
      </c>
      <c r="AE945" s="580"/>
      <c r="AF945" s="580"/>
      <c r="AG945" s="580"/>
      <c r="AH945" s="542"/>
      <c r="AI945" s="1028"/>
      <c r="AJ945" s="1029"/>
      <c r="AK945" s="1029"/>
      <c r="AL945" s="1030"/>
      <c r="AM945" s="542" t="s">
        <v>709</v>
      </c>
      <c r="AN945" s="924"/>
      <c r="AO945" s="925"/>
      <c r="AP945" s="926"/>
      <c r="AQ945" s="926"/>
      <c r="AR945" s="926"/>
      <c r="AS945" s="926"/>
      <c r="AT945" s="926"/>
      <c r="AU945" s="926"/>
      <c r="AV945" s="926"/>
      <c r="AW945" s="927"/>
      <c r="AX945" s="926"/>
      <c r="AY945" s="1538" t="s">
        <v>29</v>
      </c>
      <c r="AZ945" s="1530"/>
      <c r="BA945" s="1031" t="s">
        <v>5652</v>
      </c>
      <c r="BB945" s="644" t="s">
        <v>5653</v>
      </c>
      <c r="BC945" s="544" t="s">
        <v>115</v>
      </c>
      <c r="BD945" s="544" t="s">
        <v>882</v>
      </c>
      <c r="BE945" s="544" t="s">
        <v>1415</v>
      </c>
      <c r="BF945" s="544" t="s">
        <v>115</v>
      </c>
      <c r="BG945" s="544" t="s">
        <v>115</v>
      </c>
      <c r="BH945" s="741" t="s">
        <v>5654</v>
      </c>
      <c r="BI945" s="547" t="s">
        <v>709</v>
      </c>
      <c r="BJ945" s="547" t="s">
        <v>709</v>
      </c>
      <c r="BK945" s="547" t="s">
        <v>709</v>
      </c>
      <c r="BL945" s="547" t="s">
        <v>116</v>
      </c>
      <c r="BM945" s="547" t="s">
        <v>709</v>
      </c>
      <c r="BN945" s="547" t="s">
        <v>709</v>
      </c>
      <c r="BO945" s="547" t="s">
        <v>709</v>
      </c>
      <c r="BP945" s="547" t="s">
        <v>709</v>
      </c>
      <c r="BQ945" s="547">
        <v>152</v>
      </c>
      <c r="BR945" s="547">
        <v>43</v>
      </c>
      <c r="BS945" s="547">
        <v>50</v>
      </c>
      <c r="BT945" s="547">
        <v>1</v>
      </c>
      <c r="BU945" s="547" t="s">
        <v>709</v>
      </c>
      <c r="BV945" s="547" t="s">
        <v>745</v>
      </c>
      <c r="BW945" s="547">
        <v>1</v>
      </c>
      <c r="BX945" s="547">
        <v>1</v>
      </c>
      <c r="BY945" s="547" t="s">
        <v>745</v>
      </c>
      <c r="BZ945" s="547" t="s">
        <v>709</v>
      </c>
      <c r="CA945" s="483" t="s">
        <v>2</v>
      </c>
      <c r="CB945" s="547">
        <v>943</v>
      </c>
      <c r="CC945" s="1481" t="b">
        <v>1</v>
      </c>
      <c r="CD945" t="str">
        <f>Table15[[#This Row],[Engineering Number]]&amp;Table15[[#This Row],[WO Number]]&amp;Table15[[#This Row],[Date Assigned to Designer]]&amp;Table15[[#This Row],[Date Completed]]</f>
        <v>RS94310119154483745064</v>
      </c>
    </row>
    <row r="946" spans="1:82" customFormat="1" ht="15" customHeight="1" x14ac:dyDescent="0.25">
      <c r="A946">
        <v>2023</v>
      </c>
      <c r="B946" s="8" t="s">
        <v>771</v>
      </c>
      <c r="C946" s="8" t="s">
        <v>2302</v>
      </c>
      <c r="D946" s="8">
        <v>120302</v>
      </c>
      <c r="E946" s="8" t="s">
        <v>2304</v>
      </c>
      <c r="F946" s="8" t="s">
        <v>747</v>
      </c>
      <c r="G946" s="8" t="s">
        <v>36</v>
      </c>
      <c r="H946" s="8" t="s">
        <v>3852</v>
      </c>
      <c r="I946" s="642">
        <v>45055</v>
      </c>
      <c r="J946" s="175" t="s">
        <v>2052</v>
      </c>
      <c r="K946" s="97">
        <v>45064</v>
      </c>
      <c r="L946" s="16">
        <f>IF(ISTEXT(Table15[[#This Row],[Engineering Approved Design Date]]),Table15[[#This Row],[Date Completed]]-Table15[[#This Row],[Date Assigned to Designer]],Table15[[#This Row],[Engineering Approved Design Date]]-Table15[[#This Row],[Date Completed]])</f>
        <v>9</v>
      </c>
      <c r="M946" s="16" t="s">
        <v>5639</v>
      </c>
      <c r="N946" s="642" t="s">
        <v>120</v>
      </c>
      <c r="O946" s="1060">
        <v>45078</v>
      </c>
      <c r="P946" s="1152" t="s">
        <v>120</v>
      </c>
      <c r="Q946" s="1061">
        <f>Table15[[#This Row],[KH Hourly Effort]]</f>
        <v>6695</v>
      </c>
      <c r="R946" s="1039" t="s">
        <v>1922</v>
      </c>
      <c r="S946" s="538">
        <v>0</v>
      </c>
      <c r="T946" s="538">
        <v>0</v>
      </c>
      <c r="U946" s="87">
        <v>6695</v>
      </c>
      <c r="V946" s="857">
        <v>21749</v>
      </c>
      <c r="W946" s="440">
        <v>0</v>
      </c>
      <c r="X946" s="538"/>
      <c r="Y946" s="551"/>
      <c r="Z946" s="538"/>
      <c r="AA946" s="552"/>
      <c r="AB946" s="341" t="s">
        <v>29</v>
      </c>
      <c r="AC946" s="569" t="s">
        <v>29</v>
      </c>
      <c r="AD946" s="1149" t="s">
        <v>116</v>
      </c>
      <c r="AE946" s="569"/>
      <c r="AF946" s="569"/>
      <c r="AG946" s="569"/>
      <c r="AH946" s="536"/>
      <c r="AI946" s="1028"/>
      <c r="AJ946" s="1029"/>
      <c r="AK946" s="1029"/>
      <c r="AL946" s="1030"/>
      <c r="AM946" s="542" t="s">
        <v>709</v>
      </c>
      <c r="AN946" s="924"/>
      <c r="AO946" s="925"/>
      <c r="AP946" s="926"/>
      <c r="AQ946" s="926"/>
      <c r="AR946" s="926"/>
      <c r="AS946" s="926"/>
      <c r="AT946" s="926"/>
      <c r="AU946" s="926"/>
      <c r="AV946" s="926"/>
      <c r="AW946" s="927"/>
      <c r="AX946" s="926"/>
      <c r="AY946" s="1538" t="s">
        <v>29</v>
      </c>
      <c r="AZ946" s="1530"/>
      <c r="BA946" s="1031">
        <v>3</v>
      </c>
      <c r="BB946" s="644" t="s">
        <v>5640</v>
      </c>
      <c r="BC946" s="544"/>
      <c r="BD946" s="544" t="s">
        <v>882</v>
      </c>
      <c r="BE946" s="544"/>
      <c r="BF946" s="544"/>
      <c r="BG946" s="544"/>
      <c r="BH946" s="741"/>
      <c r="BI946" s="547" t="s">
        <v>709</v>
      </c>
      <c r="BJ946" s="547" t="s">
        <v>709</v>
      </c>
      <c r="BK946" s="547" t="s">
        <v>709</v>
      </c>
      <c r="BL946" s="547" t="s">
        <v>116</v>
      </c>
      <c r="BM946" s="547" t="s">
        <v>709</v>
      </c>
      <c r="BN946" s="547" t="s">
        <v>709</v>
      </c>
      <c r="BO946" s="547" t="s">
        <v>709</v>
      </c>
      <c r="BP946" s="547">
        <v>4592</v>
      </c>
      <c r="BQ946" s="547">
        <v>1768</v>
      </c>
      <c r="BR946" s="547">
        <v>22</v>
      </c>
      <c r="BS946" s="547">
        <v>15367</v>
      </c>
      <c r="BT946" s="547" t="s">
        <v>709</v>
      </c>
      <c r="BU946" s="547" t="s">
        <v>709</v>
      </c>
      <c r="BV946" s="547" t="s">
        <v>745</v>
      </c>
      <c r="BW946" s="547" t="s">
        <v>709</v>
      </c>
      <c r="BX946" s="547" t="s">
        <v>745</v>
      </c>
      <c r="BY946" s="547" t="s">
        <v>745</v>
      </c>
      <c r="BZ946" s="547" t="s">
        <v>709</v>
      </c>
      <c r="CA946" s="483"/>
      <c r="CB946" s="547">
        <v>946</v>
      </c>
      <c r="CC946" s="1481" t="b">
        <v>1</v>
      </c>
      <c r="CD946" t="str">
        <f>Table15[[#This Row],[Engineering Number]]&amp;Table15[[#This Row],[WO Number]]&amp;Table15[[#This Row],[Date Assigned to Designer]]&amp;Table15[[#This Row],[Date Completed]]</f>
        <v>BS4031203024505545064</v>
      </c>
    </row>
    <row r="947" spans="1:82" customFormat="1" ht="15" customHeight="1" x14ac:dyDescent="0.25">
      <c r="A947">
        <v>2023</v>
      </c>
      <c r="B947" s="8" t="s">
        <v>1205</v>
      </c>
      <c r="C947" s="8" t="s">
        <v>515</v>
      </c>
      <c r="D947" s="8" t="s">
        <v>1508</v>
      </c>
      <c r="E947" s="8" t="s">
        <v>1509</v>
      </c>
      <c r="F947" s="8" t="s">
        <v>747</v>
      </c>
      <c r="G947" s="8" t="s">
        <v>22</v>
      </c>
      <c r="H947" s="13" t="s">
        <v>59</v>
      </c>
      <c r="I947" s="642">
        <v>44790</v>
      </c>
      <c r="J947" s="18">
        <v>45107</v>
      </c>
      <c r="K947" s="97">
        <v>45064</v>
      </c>
      <c r="L947" s="16">
        <f>IF(ISTEXT(Table15[[#This Row],[Engineering Approved Design Date]]),Table15[[#This Row],[Date Completed]]-Table15[[#This Row],[Date Assigned to Designer]],Table15[[#This Row],[Engineering Approved Design Date]]-Table15[[#This Row],[Date Completed]])</f>
        <v>43</v>
      </c>
      <c r="M947" s="642"/>
      <c r="N947" s="642" t="s">
        <v>120</v>
      </c>
      <c r="O947" s="1060">
        <v>45078</v>
      </c>
      <c r="P947" s="1152" t="s">
        <v>120</v>
      </c>
      <c r="Q947" s="340">
        <f>Table15[[#This Row],[Rate]]*Table15[[#This Row],[Construction Cost to Bill From]]</f>
        <v>61998.634799999993</v>
      </c>
      <c r="R947" s="1026">
        <v>0.09</v>
      </c>
      <c r="S947" s="538"/>
      <c r="T947" s="538"/>
      <c r="U947" s="87"/>
      <c r="V947" s="858">
        <v>2082</v>
      </c>
      <c r="W947" s="437">
        <v>0</v>
      </c>
      <c r="X947" s="552">
        <v>581681.93999999994</v>
      </c>
      <c r="Y947" s="551"/>
      <c r="Z947" s="552">
        <v>107191.78</v>
      </c>
      <c r="AA947" s="552">
        <f>SUM(Table15[[#This Row],[PCTS Investment Amount]:[PCTS Retirement Amount]])</f>
        <v>688873.72</v>
      </c>
      <c r="AB947" s="341">
        <v>45091</v>
      </c>
      <c r="AC947" s="568" t="s">
        <v>1441</v>
      </c>
      <c r="AD947" s="1157" t="s">
        <v>29</v>
      </c>
      <c r="AE947" s="568"/>
      <c r="AF947" s="568"/>
      <c r="AG947" s="568"/>
      <c r="AH947" s="183"/>
      <c r="AI947" s="1036"/>
      <c r="AJ947" s="1037"/>
      <c r="AK947" s="1037"/>
      <c r="AL947" s="1038"/>
      <c r="AM947" s="1522" t="s">
        <v>116</v>
      </c>
      <c r="AN947" s="1523">
        <v>45839</v>
      </c>
      <c r="AO947" s="1524">
        <v>11033946</v>
      </c>
      <c r="AP947" s="1525">
        <v>814682.29</v>
      </c>
      <c r="AQ947" s="1525"/>
      <c r="AR947" s="1525">
        <v>90127.87</v>
      </c>
      <c r="AS947" s="1525">
        <f>IF(Table15[[#This Row],[PCTS Approved]]="N",0,Table15[[#This Row],[Investment Amount (1'#'#'#'#'#)]]+Table15[[#This Row],[Retirement Amount (3'#'#'#'#'#)]])</f>
        <v>904810.16</v>
      </c>
      <c r="AT947" s="1525">
        <f>IF(Table15[[#This Row],[Approved Construction Cost]]=0,0,Table15[[#This Row],[Approved Construction Cost]]-Table15[[#This Row],[Construction Cost to Bill From]])</f>
        <v>215936.44000000006</v>
      </c>
      <c r="AU947" s="1525">
        <f>IFERROR(Table15[[#This Row],[Difference in Construction Cost]]*Table15[[#This Row],[Rate]],Table15[[#This Row],[Difference in Construction Cost]]*0.085)</f>
        <v>19434.279600000005</v>
      </c>
      <c r="AV947" s="1525">
        <v>16587.5</v>
      </c>
      <c r="AW947" s="1526" t="s">
        <v>5649</v>
      </c>
      <c r="AX947" s="1525">
        <v>0</v>
      </c>
      <c r="AY947" s="1518">
        <v>45901</v>
      </c>
      <c r="AZ947" s="333">
        <v>44</v>
      </c>
      <c r="BA947" s="859" t="s">
        <v>1510</v>
      </c>
      <c r="BB947" s="644" t="s">
        <v>1511</v>
      </c>
      <c r="BC947" s="544" t="s">
        <v>709</v>
      </c>
      <c r="BD947" s="544" t="s">
        <v>115</v>
      </c>
      <c r="BE947" s="544" t="s">
        <v>115</v>
      </c>
      <c r="BF947" s="544" t="s">
        <v>1512</v>
      </c>
      <c r="BG947" s="544" t="s">
        <v>115</v>
      </c>
      <c r="BH947" s="741" t="s">
        <v>1513</v>
      </c>
      <c r="BI947" s="547" t="s">
        <v>709</v>
      </c>
      <c r="BJ947" s="547" t="s">
        <v>116</v>
      </c>
      <c r="BK947" s="547" t="s">
        <v>709</v>
      </c>
      <c r="BL947" s="547" t="s">
        <v>709</v>
      </c>
      <c r="BM947" s="547" t="s">
        <v>709</v>
      </c>
      <c r="BN947" s="547" t="s">
        <v>709</v>
      </c>
      <c r="BO947" s="547" t="s">
        <v>709</v>
      </c>
      <c r="BP947" s="547">
        <v>2082</v>
      </c>
      <c r="BQ947" s="547" t="s">
        <v>709</v>
      </c>
      <c r="BR947" s="547" t="s">
        <v>709</v>
      </c>
      <c r="BS947" s="547" t="s">
        <v>709</v>
      </c>
      <c r="BT947" s="547" t="s">
        <v>745</v>
      </c>
      <c r="BU947" s="547" t="s">
        <v>709</v>
      </c>
      <c r="BV947" s="547" t="s">
        <v>745</v>
      </c>
      <c r="BW947" s="547" t="s">
        <v>709</v>
      </c>
      <c r="BX947" s="547" t="s">
        <v>745</v>
      </c>
      <c r="BY947" s="547" t="s">
        <v>745</v>
      </c>
      <c r="BZ947" s="547" t="s">
        <v>709</v>
      </c>
      <c r="CA947" s="483"/>
      <c r="CB947" s="547">
        <v>945</v>
      </c>
      <c r="CC947" s="1481" t="b">
        <v>1</v>
      </c>
      <c r="CD947" t="str">
        <f>Table15[[#This Row],[Engineering Number]]&amp;Table15[[#This Row],[WO Number]]&amp;Table15[[#This Row],[Date Assigned to Designer]]&amp;Table15[[#This Row],[Date Completed]]</f>
        <v>MR10491405854479045064</v>
      </c>
    </row>
    <row r="948" spans="1:82" customFormat="1" ht="15" customHeight="1" x14ac:dyDescent="0.25">
      <c r="A948">
        <v>2023</v>
      </c>
      <c r="B948" s="8" t="s">
        <v>759</v>
      </c>
      <c r="C948" s="8" t="s">
        <v>224</v>
      </c>
      <c r="D948" s="8" t="s">
        <v>1270</v>
      </c>
      <c r="E948" s="8" t="s">
        <v>225</v>
      </c>
      <c r="F948" s="8" t="s">
        <v>752</v>
      </c>
      <c r="G948" s="8" t="s">
        <v>34</v>
      </c>
      <c r="H948" s="8" t="s">
        <v>4354</v>
      </c>
      <c r="I948" s="642">
        <v>44965</v>
      </c>
      <c r="J948" s="175" t="s">
        <v>4354</v>
      </c>
      <c r="K948" s="97">
        <v>45064</v>
      </c>
      <c r="L948" s="649">
        <f>IF(ISTEXT(Table15[[#This Row],[Engineering Approved Design Date]]),Table15[[#This Row],[Date Completed]]-Table15[[#This Row],[Date Assigned to Designer]],Table15[[#This Row],[Engineering Approved Design Date]]-Table15[[#This Row],[Date Completed]])</f>
        <v>99</v>
      </c>
      <c r="M948" t="s">
        <v>5642</v>
      </c>
      <c r="N948" s="99" t="s">
        <v>120</v>
      </c>
      <c r="O948" s="1060">
        <v>45078</v>
      </c>
      <c r="P948" s="1152" t="s">
        <v>120</v>
      </c>
      <c r="Q948" s="1151">
        <v>14750</v>
      </c>
      <c r="R948" s="1039" t="s">
        <v>1922</v>
      </c>
      <c r="S948" s="538">
        <f>1231.5</f>
        <v>1231.5</v>
      </c>
      <c r="T948" s="538"/>
      <c r="U948" s="28">
        <v>28062.5</v>
      </c>
      <c r="V948" s="858"/>
      <c r="W948" s="437"/>
      <c r="X948" s="538"/>
      <c r="Y948" s="551"/>
      <c r="Z948" s="538"/>
      <c r="AA948" s="538"/>
      <c r="AB948" s="341" t="s">
        <v>29</v>
      </c>
      <c r="AC948" s="568" t="s">
        <v>29</v>
      </c>
      <c r="AD948" s="1149" t="s">
        <v>29</v>
      </c>
      <c r="AE948" s="580"/>
      <c r="AF948" s="580"/>
      <c r="AG948" s="580"/>
      <c r="AH948" s="542"/>
      <c r="AI948" s="1028"/>
      <c r="AJ948" s="1029"/>
      <c r="AK948" s="1029"/>
      <c r="AL948" s="1030"/>
      <c r="AM948" s="542" t="s">
        <v>709</v>
      </c>
      <c r="AN948" s="924"/>
      <c r="AO948" s="925"/>
      <c r="AP948" s="926"/>
      <c r="AQ948" s="926"/>
      <c r="AR948" s="926"/>
      <c r="AS948" s="926"/>
      <c r="AT948" s="926"/>
      <c r="AU948" s="926"/>
      <c r="AV948" s="926"/>
      <c r="AW948" s="927"/>
      <c r="AX948" s="926"/>
      <c r="AY948" s="1538" t="s">
        <v>29</v>
      </c>
      <c r="AZ948" s="1530"/>
      <c r="BA948" s="1031" t="s">
        <v>1613</v>
      </c>
      <c r="BB948" s="644" t="s">
        <v>1614</v>
      </c>
      <c r="BC948" s="544" t="s">
        <v>116</v>
      </c>
      <c r="BD948" s="544" t="s">
        <v>1066</v>
      </c>
      <c r="BE948" s="544" t="s">
        <v>115</v>
      </c>
      <c r="BF948" s="544" t="s">
        <v>115</v>
      </c>
      <c r="BG948" s="544" t="s">
        <v>115</v>
      </c>
      <c r="BH948" s="741" t="s">
        <v>5643</v>
      </c>
      <c r="BI948" s="547" t="s">
        <v>709</v>
      </c>
      <c r="BJ948" s="547" t="s">
        <v>709</v>
      </c>
      <c r="BK948" s="547" t="s">
        <v>709</v>
      </c>
      <c r="BL948" s="547" t="s">
        <v>116</v>
      </c>
      <c r="BM948" s="547" t="s">
        <v>709</v>
      </c>
      <c r="BN948" s="547" t="s">
        <v>709</v>
      </c>
      <c r="BO948" s="547">
        <v>73</v>
      </c>
      <c r="BP948" s="547">
        <v>557</v>
      </c>
      <c r="BQ948" s="547">
        <v>75</v>
      </c>
      <c r="BR948" s="547">
        <v>159</v>
      </c>
      <c r="BS948" s="547">
        <v>5</v>
      </c>
      <c r="BT948" s="547">
        <v>1</v>
      </c>
      <c r="BU948" s="547" t="s">
        <v>709</v>
      </c>
      <c r="BV948" s="547" t="s">
        <v>745</v>
      </c>
      <c r="BW948" s="547" t="s">
        <v>709</v>
      </c>
      <c r="BX948" s="547">
        <v>1</v>
      </c>
      <c r="BY948" s="547" t="s">
        <v>745</v>
      </c>
      <c r="BZ948" s="547" t="s">
        <v>709</v>
      </c>
      <c r="CA948" s="483"/>
      <c r="CB948" s="547">
        <v>947</v>
      </c>
      <c r="CC948" s="1481" t="b">
        <v>1</v>
      </c>
      <c r="CD948" t="str">
        <f>Table15[[#This Row],[Engineering Number]]&amp;Table15[[#This Row],[WO Number]]&amp;Table15[[#This Row],[Date Assigned to Designer]]&amp;Table15[[#This Row],[Date Completed]]</f>
        <v>RS5001020834496545064</v>
      </c>
    </row>
    <row r="949" spans="1:82" customFormat="1" ht="15" customHeight="1" x14ac:dyDescent="0.25">
      <c r="A949">
        <v>2023</v>
      </c>
      <c r="B949" s="8" t="s">
        <v>2</v>
      </c>
      <c r="C949" s="8" t="s">
        <v>5645</v>
      </c>
      <c r="D949" s="8">
        <v>1011915</v>
      </c>
      <c r="E949" s="8" t="s">
        <v>5646</v>
      </c>
      <c r="F949" s="8" t="s">
        <v>752</v>
      </c>
      <c r="G949" s="8" t="s">
        <v>34</v>
      </c>
      <c r="H949" s="8" t="s">
        <v>5647</v>
      </c>
      <c r="I949" s="642">
        <v>44837</v>
      </c>
      <c r="J949" s="175" t="s">
        <v>3662</v>
      </c>
      <c r="K949" s="97">
        <v>45064</v>
      </c>
      <c r="L949" s="16">
        <f>IF(ISTEXT(Table15[[#This Row],[Engineering Approved Design Date]]),Table15[[#This Row],[Date Completed]]-Table15[[#This Row],[Date Assigned to Designer]],Table15[[#This Row],[Engineering Approved Design Date]]-Table15[[#This Row],[Date Completed]])</f>
        <v>227</v>
      </c>
      <c r="M949" t="s">
        <v>5279</v>
      </c>
      <c r="N949" s="642" t="s">
        <v>120</v>
      </c>
      <c r="O949" s="1060">
        <v>45078</v>
      </c>
      <c r="P949" s="1152" t="s">
        <v>120</v>
      </c>
      <c r="Q949" s="1151">
        <f>Table15[[#This Row],[KH Hourly Effort]]</f>
        <v>1800</v>
      </c>
      <c r="R949" s="1026" t="s">
        <v>1922</v>
      </c>
      <c r="S949" s="538" t="s">
        <v>709</v>
      </c>
      <c r="T949" s="538" t="s">
        <v>709</v>
      </c>
      <c r="U949" s="300">
        <v>1800</v>
      </c>
      <c r="V949" s="858"/>
      <c r="W949" s="437"/>
      <c r="X949" s="538"/>
      <c r="Y949" s="551"/>
      <c r="Z949" s="538"/>
      <c r="AA949" s="552"/>
      <c r="AB949" s="341" t="s">
        <v>29</v>
      </c>
      <c r="AC949" s="569" t="s">
        <v>29</v>
      </c>
      <c r="AD949" s="1149" t="s">
        <v>29</v>
      </c>
      <c r="AE949" s="580"/>
      <c r="AF949" s="580"/>
      <c r="AG949" s="580"/>
      <c r="AH949" s="542"/>
      <c r="AI949" s="1028"/>
      <c r="AJ949" s="1029"/>
      <c r="AK949" s="1029"/>
      <c r="AL949" s="1030"/>
      <c r="AM949" s="542" t="s">
        <v>709</v>
      </c>
      <c r="AN949" s="924"/>
      <c r="AO949" s="925"/>
      <c r="AP949" s="926"/>
      <c r="AQ949" s="926"/>
      <c r="AR949" s="926"/>
      <c r="AS949" s="926"/>
      <c r="AT949" s="926"/>
      <c r="AU949" s="926"/>
      <c r="AV949" s="926"/>
      <c r="AW949" s="927"/>
      <c r="AX949" s="926"/>
      <c r="AY949" s="1538" t="s">
        <v>29</v>
      </c>
      <c r="AZ949" s="1530"/>
      <c r="BA949" s="1031"/>
      <c r="BB949" s="644"/>
      <c r="BC949" s="544"/>
      <c r="BD949" s="544"/>
      <c r="BE949" s="544"/>
      <c r="BF949" s="544"/>
      <c r="BG949" s="544"/>
      <c r="BH949" s="741"/>
      <c r="BI949" s="547" t="s">
        <v>709</v>
      </c>
      <c r="BJ949" s="547" t="s">
        <v>709</v>
      </c>
      <c r="BK949" s="547" t="s">
        <v>709</v>
      </c>
      <c r="BL949" s="547" t="s">
        <v>116</v>
      </c>
      <c r="BM949" s="547" t="s">
        <v>709</v>
      </c>
      <c r="BN949" s="547" t="s">
        <v>709</v>
      </c>
      <c r="BO949" s="547" t="s">
        <v>709</v>
      </c>
      <c r="BP949" s="547" t="s">
        <v>709</v>
      </c>
      <c r="BQ949" s="547">
        <v>141</v>
      </c>
      <c r="BR949" s="547">
        <v>46</v>
      </c>
      <c r="BS949" s="547">
        <v>50</v>
      </c>
      <c r="BT949" s="547">
        <v>1</v>
      </c>
      <c r="BU949" s="547" t="s">
        <v>709</v>
      </c>
      <c r="BV949" s="547" t="s">
        <v>745</v>
      </c>
      <c r="BW949" s="547">
        <v>1</v>
      </c>
      <c r="BX949" s="547">
        <v>1</v>
      </c>
      <c r="BY949" s="547" t="s">
        <v>745</v>
      </c>
      <c r="BZ949" s="547" t="s">
        <v>709</v>
      </c>
      <c r="CA949" s="483" t="s">
        <v>2</v>
      </c>
      <c r="CB949" s="547">
        <v>944</v>
      </c>
      <c r="CC949" s="1481" t="b">
        <v>1</v>
      </c>
      <c r="CD949" t="str">
        <f>Table15[[#This Row],[Engineering Number]]&amp;Table15[[#This Row],[WO Number]]&amp;Table15[[#This Row],[Date Assigned to Designer]]&amp;Table15[[#This Row],[Date Completed]]</f>
        <v>RS94310119154483745064</v>
      </c>
    </row>
    <row r="950" spans="1:82" customFormat="1" ht="15" customHeight="1" x14ac:dyDescent="0.25">
      <c r="A950">
        <v>2023</v>
      </c>
      <c r="B950" s="8" t="s">
        <v>759</v>
      </c>
      <c r="C950" s="8" t="s">
        <v>1566</v>
      </c>
      <c r="D950" s="8" t="s">
        <v>4367</v>
      </c>
      <c r="E950" s="8" t="s">
        <v>108</v>
      </c>
      <c r="F950" s="8" t="s">
        <v>752</v>
      </c>
      <c r="G950" s="8" t="s">
        <v>23</v>
      </c>
      <c r="H950" s="8" t="s">
        <v>4354</v>
      </c>
      <c r="I950" s="642">
        <v>44582</v>
      </c>
      <c r="J950" s="175" t="s">
        <v>4354</v>
      </c>
      <c r="K950" s="97">
        <v>45064</v>
      </c>
      <c r="L950" s="649">
        <f>IF(ISTEXT(Table15[[#This Row],[Engineering Approved Design Date]]),Table15[[#This Row],[Date Completed]]-Table15[[#This Row],[Date Assigned to Designer]],Table15[[#This Row],[Engineering Approved Design Date]]-Table15[[#This Row],[Date Completed]])</f>
        <v>482</v>
      </c>
      <c r="M950" t="s">
        <v>5655</v>
      </c>
      <c r="N950" s="99" t="s">
        <v>120</v>
      </c>
      <c r="O950" s="1060">
        <v>45078</v>
      </c>
      <c r="P950" s="1152" t="s">
        <v>120</v>
      </c>
      <c r="Q950" s="1151">
        <v>14750</v>
      </c>
      <c r="R950" s="1039" t="s">
        <v>1922</v>
      </c>
      <c r="S950" s="538">
        <f>4507.95</f>
        <v>4507.95</v>
      </c>
      <c r="T950" s="538"/>
      <c r="U950" s="28">
        <v>63015</v>
      </c>
      <c r="V950" s="858"/>
      <c r="W950" s="437"/>
      <c r="X950" s="538"/>
      <c r="Y950" s="551"/>
      <c r="Z950" s="538"/>
      <c r="AA950" s="538"/>
      <c r="AB950" s="341" t="s">
        <v>29</v>
      </c>
      <c r="AC950" s="568" t="s">
        <v>709</v>
      </c>
      <c r="AD950" s="1149" t="s">
        <v>29</v>
      </c>
      <c r="AE950" s="580"/>
      <c r="AF950" s="580"/>
      <c r="AG950" s="580"/>
      <c r="AH950" s="542"/>
      <c r="AI950" s="1028"/>
      <c r="AJ950" s="1029"/>
      <c r="AK950" s="1029"/>
      <c r="AL950" s="1030"/>
      <c r="AM950" s="542" t="s">
        <v>709</v>
      </c>
      <c r="AN950" s="924"/>
      <c r="AO950" s="925"/>
      <c r="AP950" s="926"/>
      <c r="AQ950" s="926"/>
      <c r="AR950" s="926"/>
      <c r="AS950" s="926"/>
      <c r="AT950" s="926"/>
      <c r="AU950" s="926"/>
      <c r="AV950" s="926"/>
      <c r="AW950" s="927"/>
      <c r="AX950" s="926"/>
      <c r="AY950" s="1538" t="s">
        <v>29</v>
      </c>
      <c r="AZ950" s="1530"/>
      <c r="BA950" s="867" t="s">
        <v>1567</v>
      </c>
      <c r="BB950" s="644" t="s">
        <v>1568</v>
      </c>
      <c r="BC950" s="544" t="s">
        <v>116</v>
      </c>
      <c r="BD950" s="544" t="s">
        <v>115</v>
      </c>
      <c r="BE950" s="544" t="s">
        <v>1569</v>
      </c>
      <c r="BF950" s="544" t="s">
        <v>115</v>
      </c>
      <c r="BG950" s="544" t="s">
        <v>115</v>
      </c>
      <c r="BH950" s="741" t="s">
        <v>5656</v>
      </c>
      <c r="BI950" s="549" t="s">
        <v>709</v>
      </c>
      <c r="BJ950" s="549" t="s">
        <v>709</v>
      </c>
      <c r="BK950" s="549" t="s">
        <v>709</v>
      </c>
      <c r="BL950" s="549" t="s">
        <v>116</v>
      </c>
      <c r="BM950" s="549" t="s">
        <v>709</v>
      </c>
      <c r="BN950" s="549" t="s">
        <v>709</v>
      </c>
      <c r="BO950" s="549" t="s">
        <v>709</v>
      </c>
      <c r="BP950" s="549" t="s">
        <v>709</v>
      </c>
      <c r="BQ950" s="549">
        <v>3967</v>
      </c>
      <c r="BR950" s="549">
        <v>95</v>
      </c>
      <c r="BS950" s="549">
        <v>590</v>
      </c>
      <c r="BT950" s="549">
        <v>1</v>
      </c>
      <c r="BU950" s="549" t="s">
        <v>709</v>
      </c>
      <c r="BV950" s="549" t="s">
        <v>709</v>
      </c>
      <c r="BW950" s="549">
        <v>1</v>
      </c>
      <c r="BX950" s="549">
        <v>1</v>
      </c>
      <c r="BY950" s="549" t="s">
        <v>709</v>
      </c>
      <c r="BZ950" s="547" t="s">
        <v>709</v>
      </c>
      <c r="CA950" s="484" t="s">
        <v>1022</v>
      </c>
      <c r="CB950" s="547">
        <v>948</v>
      </c>
      <c r="CC950" s="1481" t="b">
        <v>1</v>
      </c>
      <c r="CD950" t="str">
        <f>Table15[[#This Row],[Engineering Number]]&amp;Table15[[#This Row],[WO Number]]&amp;Table15[[#This Row],[Date Assigned to Designer]]&amp;Table15[[#This Row],[Date Completed]]</f>
        <v>RS99110109764458245064</v>
      </c>
    </row>
    <row r="951" spans="1:82" customFormat="1" ht="15" customHeight="1" x14ac:dyDescent="0.25">
      <c r="A951">
        <v>2023</v>
      </c>
      <c r="B951" s="8" t="s">
        <v>4</v>
      </c>
      <c r="C951" s="8" t="s">
        <v>5659</v>
      </c>
      <c r="D951" s="8" t="s">
        <v>5660</v>
      </c>
      <c r="E951" s="8" t="s">
        <v>354</v>
      </c>
      <c r="F951" s="8" t="s">
        <v>5661</v>
      </c>
      <c r="G951" s="8" t="s">
        <v>27</v>
      </c>
      <c r="H951" s="8" t="s">
        <v>2724</v>
      </c>
      <c r="I951" s="642">
        <v>44739</v>
      </c>
      <c r="J951" s="175" t="s">
        <v>3662</v>
      </c>
      <c r="K951" s="97">
        <v>45068</v>
      </c>
      <c r="L951" s="649">
        <f>IF(ISTEXT(Table15[[#This Row],[Engineering Approved Design Date]]),Table15[[#This Row],[Date Completed]]-Table15[[#This Row],[Date Assigned to Designer]],Table15[[#This Row],[Engineering Approved Design Date]]-Table15[[#This Row],[Date Completed]])</f>
        <v>329</v>
      </c>
      <c r="M951" t="s">
        <v>5662</v>
      </c>
      <c r="N951" s="642" t="s">
        <v>120</v>
      </c>
      <c r="O951" s="1060">
        <v>45078</v>
      </c>
      <c r="P951" s="1152" t="s">
        <v>739</v>
      </c>
      <c r="Q951" s="1151">
        <f>SUM(S951:U951)</f>
        <v>74747.5</v>
      </c>
      <c r="R951" s="1039" t="s">
        <v>1922</v>
      </c>
      <c r="S951" s="538">
        <v>0</v>
      </c>
      <c r="T951" s="538"/>
      <c r="U951" s="28">
        <v>74747.5</v>
      </c>
      <c r="V951" s="858" t="s">
        <v>29</v>
      </c>
      <c r="W951" s="425" t="s">
        <v>29</v>
      </c>
      <c r="X951" s="538" t="s">
        <v>29</v>
      </c>
      <c r="Y951" s="551" t="s">
        <v>915</v>
      </c>
      <c r="Z951" s="538" t="s">
        <v>29</v>
      </c>
      <c r="AA951" s="552" t="s">
        <v>29</v>
      </c>
      <c r="AB951" s="341" t="s">
        <v>29</v>
      </c>
      <c r="AC951" s="568" t="s">
        <v>709</v>
      </c>
      <c r="AD951" s="1149" t="s">
        <v>29</v>
      </c>
      <c r="AE951" s="580"/>
      <c r="AF951" s="580"/>
      <c r="AG951" s="580"/>
      <c r="AH951" s="542"/>
      <c r="AI951" s="1028"/>
      <c r="AJ951" s="1029"/>
      <c r="AK951" s="1029"/>
      <c r="AL951" s="1030"/>
      <c r="AM951" s="542" t="s">
        <v>709</v>
      </c>
      <c r="AN951" s="924"/>
      <c r="AO951" s="925"/>
      <c r="AP951" s="926"/>
      <c r="AQ951" s="926"/>
      <c r="AR951" s="926"/>
      <c r="AS951" s="926"/>
      <c r="AT951" s="926"/>
      <c r="AU951" s="926"/>
      <c r="AV951" s="926"/>
      <c r="AW951" s="927"/>
      <c r="AX951" s="926"/>
      <c r="AY951" s="1538" t="s">
        <v>29</v>
      </c>
      <c r="AZ951" s="1530"/>
      <c r="BA951" s="1031"/>
      <c r="BB951" s="644"/>
      <c r="BC951" s="544"/>
      <c r="BD951" s="544"/>
      <c r="BE951" s="544"/>
      <c r="BF951" s="544"/>
      <c r="BG951" s="544"/>
      <c r="BH951" s="741"/>
      <c r="BI951" s="1032" t="s">
        <v>709</v>
      </c>
      <c r="BJ951" s="1032" t="s">
        <v>116</v>
      </c>
      <c r="BK951" s="1032" t="s">
        <v>709</v>
      </c>
      <c r="BL951" s="1032" t="s">
        <v>116</v>
      </c>
      <c r="BM951" s="1032">
        <v>293</v>
      </c>
      <c r="BN951" s="1032" t="s">
        <v>709</v>
      </c>
      <c r="BO951" s="1032" t="s">
        <v>709</v>
      </c>
      <c r="BP951" s="1032" t="s">
        <v>709</v>
      </c>
      <c r="BQ951" s="1032">
        <v>297</v>
      </c>
      <c r="BR951" s="1032" t="s">
        <v>709</v>
      </c>
      <c r="BS951" s="1032" t="s">
        <v>709</v>
      </c>
      <c r="BT951" s="1032" t="s">
        <v>709</v>
      </c>
      <c r="BU951" s="1032" t="s">
        <v>709</v>
      </c>
      <c r="BV951" s="1032" t="s">
        <v>709</v>
      </c>
      <c r="BW951" s="1032" t="s">
        <v>709</v>
      </c>
      <c r="BX951" s="1032" t="s">
        <v>745</v>
      </c>
      <c r="BY951" s="1032" t="s">
        <v>709</v>
      </c>
      <c r="BZ951" s="1032"/>
      <c r="CA951" s="485"/>
      <c r="CB951" s="547">
        <v>949</v>
      </c>
      <c r="CC951" s="1481" t="b">
        <v>1</v>
      </c>
      <c r="CD951" t="str">
        <f>Table15[[#This Row],[Engineering Number]]&amp;Table15[[#This Row],[WO Number]]&amp;Table15[[#This Row],[Date Assigned to Designer]]&amp;Table15[[#This Row],[Date Completed]]</f>
        <v>N1583712119664473945068</v>
      </c>
    </row>
    <row r="952" spans="1:82" customFormat="1" ht="15" customHeight="1" x14ac:dyDescent="0.25">
      <c r="A952">
        <v>2023</v>
      </c>
      <c r="B952" s="8" t="s">
        <v>759</v>
      </c>
      <c r="C952" s="8" t="s">
        <v>1014</v>
      </c>
      <c r="D952" s="8" t="s">
        <v>1015</v>
      </c>
      <c r="E952" s="8" t="s">
        <v>1016</v>
      </c>
      <c r="F952" s="8" t="s">
        <v>752</v>
      </c>
      <c r="G952" s="8" t="s">
        <v>34</v>
      </c>
      <c r="H952" s="13" t="s">
        <v>59</v>
      </c>
      <c r="I952" s="642">
        <v>44978</v>
      </c>
      <c r="J952" s="18">
        <v>45068</v>
      </c>
      <c r="K952" s="97">
        <v>45068</v>
      </c>
      <c r="L952" s="16">
        <f>IF(ISTEXT(Table15[[#This Row],[Engineering Approved Design Date]]),Table15[[#This Row],[Date Completed]]-Table15[[#This Row],[Date Assigned to Designer]],Table15[[#This Row],[Engineering Approved Design Date]]-Table15[[#This Row],[Date Completed]])</f>
        <v>0</v>
      </c>
      <c r="M952" s="642"/>
      <c r="N952" s="642" t="s">
        <v>120</v>
      </c>
      <c r="O952" s="1060">
        <v>45078</v>
      </c>
      <c r="P952" s="1152" t="s">
        <v>120</v>
      </c>
      <c r="Q952" s="340">
        <f>Table15[[#This Row],[Rate]]*Table15[[#This Row],[Construction Cost to Bill From]]</f>
        <v>80082.852299999999</v>
      </c>
      <c r="R952" s="1026">
        <v>0.11</v>
      </c>
      <c r="S952" s="538"/>
      <c r="T952" s="538"/>
      <c r="U952" s="87"/>
      <c r="V952" s="858">
        <v>529</v>
      </c>
      <c r="W952" s="437">
        <v>1</v>
      </c>
      <c r="X952" s="552">
        <v>622486.57999999996</v>
      </c>
      <c r="Y952" s="551"/>
      <c r="Z952" s="552">
        <v>105539.35</v>
      </c>
      <c r="AA952" s="552">
        <f>Table15[[#This Row],[PCTS Investment Amount]]+Table15[[#This Row],[PCTS Retirement Amount]]</f>
        <v>728025.92999999993</v>
      </c>
      <c r="AB952" s="341">
        <v>45099</v>
      </c>
      <c r="AC952" s="568" t="s">
        <v>709</v>
      </c>
      <c r="AD952" s="1157" t="s">
        <v>29</v>
      </c>
      <c r="AE952" s="579"/>
      <c r="AF952" s="579"/>
      <c r="AG952" s="579"/>
      <c r="AH952" s="553"/>
      <c r="AI952" s="1036"/>
      <c r="AJ952" s="1037"/>
      <c r="AK952" s="1037"/>
      <c r="AL952" s="1038"/>
      <c r="AM952" s="1522" t="s">
        <v>116</v>
      </c>
      <c r="AN952" s="1523">
        <v>45441</v>
      </c>
      <c r="AO952" s="1524">
        <v>11059511</v>
      </c>
      <c r="AP952" s="1525">
        <v>668746.32999999996</v>
      </c>
      <c r="AQ952" s="1525"/>
      <c r="AR952" s="1525">
        <v>107669.85</v>
      </c>
      <c r="AS952" s="1525">
        <v>776416.17999999993</v>
      </c>
      <c r="AT952" s="1525">
        <v>48390.25</v>
      </c>
      <c r="AU952" s="1525">
        <v>5322.9274999999998</v>
      </c>
      <c r="AV952" s="1525">
        <v>7257.5</v>
      </c>
      <c r="AW952" s="1526" t="s">
        <v>1017</v>
      </c>
      <c r="AX952" s="1525">
        <v>0</v>
      </c>
      <c r="AY952" s="1518">
        <v>45566</v>
      </c>
      <c r="AZ952" s="333">
        <v>153</v>
      </c>
      <c r="BA952" s="859" t="s">
        <v>1018</v>
      </c>
      <c r="BB952" s="644" t="s">
        <v>1019</v>
      </c>
      <c r="BC952" s="544" t="s">
        <v>115</v>
      </c>
      <c r="BD952" s="544" t="s">
        <v>788</v>
      </c>
      <c r="BE952" s="544" t="s">
        <v>1020</v>
      </c>
      <c r="BF952" s="544" t="s">
        <v>115</v>
      </c>
      <c r="BG952" s="544" t="s">
        <v>115</v>
      </c>
      <c r="BH952" s="741" t="s">
        <v>1021</v>
      </c>
      <c r="BI952" s="547" t="s">
        <v>709</v>
      </c>
      <c r="BJ952" s="547" t="s">
        <v>709</v>
      </c>
      <c r="BK952" s="547" t="s">
        <v>116</v>
      </c>
      <c r="BL952" s="547" t="s">
        <v>116</v>
      </c>
      <c r="BM952" s="547" t="s">
        <v>709</v>
      </c>
      <c r="BN952" s="547" t="s">
        <v>709</v>
      </c>
      <c r="BO952" s="547" t="s">
        <v>709</v>
      </c>
      <c r="BP952" s="547" t="s">
        <v>709</v>
      </c>
      <c r="BQ952" s="547">
        <v>202</v>
      </c>
      <c r="BR952" s="547">
        <v>187</v>
      </c>
      <c r="BS952" s="547">
        <v>50</v>
      </c>
      <c r="BT952" s="547">
        <v>1</v>
      </c>
      <c r="BU952" s="547" t="s">
        <v>709</v>
      </c>
      <c r="BV952" s="547" t="s">
        <v>709</v>
      </c>
      <c r="BW952" s="547">
        <v>1</v>
      </c>
      <c r="BX952" s="547">
        <v>1</v>
      </c>
      <c r="BY952" s="547" t="s">
        <v>709</v>
      </c>
      <c r="BZ952" s="547" t="s">
        <v>709</v>
      </c>
      <c r="CA952" s="483" t="s">
        <v>1022</v>
      </c>
      <c r="CB952" s="547">
        <v>950</v>
      </c>
      <c r="CC952" s="1481" t="b">
        <v>1</v>
      </c>
      <c r="CD952" t="str">
        <f>Table15[[#This Row],[Engineering Number]]&amp;Table15[[#This Row],[WO Number]]&amp;Table15[[#This Row],[Date Assigned to Designer]]&amp;Table15[[#This Row],[Date Completed]]</f>
        <v>RS113810100164497845068</v>
      </c>
    </row>
    <row r="953" spans="1:82" customFormat="1" ht="15" customHeight="1" x14ac:dyDescent="0.25">
      <c r="A953">
        <v>2023</v>
      </c>
      <c r="B953" s="8" t="s">
        <v>731</v>
      </c>
      <c r="C953" s="8" t="s">
        <v>5274</v>
      </c>
      <c r="D953" s="8" t="s">
        <v>5275</v>
      </c>
      <c r="E953" s="8" t="s">
        <v>155</v>
      </c>
      <c r="F953" s="8" t="s">
        <v>4899</v>
      </c>
      <c r="G953" s="8" t="s">
        <v>26</v>
      </c>
      <c r="H953" s="8" t="s">
        <v>4462</v>
      </c>
      <c r="I953" s="642">
        <v>45034</v>
      </c>
      <c r="J953" s="175" t="s">
        <v>2052</v>
      </c>
      <c r="K953" s="97">
        <v>45069</v>
      </c>
      <c r="L953" s="16">
        <f>IF(ISTEXT(Table15[[#This Row],[Engineering Approved Design Date]]),Table15[[#This Row],[Date Completed]]-Table15[[#This Row],[Date Assigned to Designer]],Table15[[#This Row],[Engineering Approved Design Date]]-Table15[[#This Row],[Date Completed]])</f>
        <v>35</v>
      </c>
      <c r="M953" s="16" t="s">
        <v>5665</v>
      </c>
      <c r="N953" s="642" t="s">
        <v>120</v>
      </c>
      <c r="O953" s="1060">
        <v>45047</v>
      </c>
      <c r="P953" s="21" t="s">
        <v>120</v>
      </c>
      <c r="Q953" s="340" t="s">
        <v>115</v>
      </c>
      <c r="R953" s="1039" t="s">
        <v>115</v>
      </c>
      <c r="S953" s="538"/>
      <c r="T953" s="538"/>
      <c r="U953" s="87"/>
      <c r="V953" s="857"/>
      <c r="W953" s="440"/>
      <c r="X953" s="538"/>
      <c r="Y953" s="551"/>
      <c r="Z953" s="538"/>
      <c r="AA953" s="552"/>
      <c r="AB953" s="341" t="s">
        <v>29</v>
      </c>
      <c r="AC953" s="569" t="s">
        <v>29</v>
      </c>
      <c r="AD953" s="1149" t="s">
        <v>709</v>
      </c>
      <c r="AE953" s="580"/>
      <c r="AF953" s="580"/>
      <c r="AG953" s="580"/>
      <c r="AH953" s="542"/>
      <c r="AI953" s="1028"/>
      <c r="AJ953" s="1029"/>
      <c r="AK953" s="1029"/>
      <c r="AL953" s="1030"/>
      <c r="AM953" s="542" t="s">
        <v>709</v>
      </c>
      <c r="AN953" s="924"/>
      <c r="AO953" s="925"/>
      <c r="AP953" s="926"/>
      <c r="AQ953" s="926"/>
      <c r="AR953" s="926"/>
      <c r="AS953" s="926"/>
      <c r="AT953" s="926"/>
      <c r="AU953" s="926"/>
      <c r="AV953" s="926"/>
      <c r="AW953" s="927"/>
      <c r="AX953" s="926"/>
      <c r="AY953" s="1538" t="s">
        <v>29</v>
      </c>
      <c r="AZ953" s="1532"/>
      <c r="BA953" s="1031">
        <v>3</v>
      </c>
      <c r="BB953" s="644" t="s">
        <v>29</v>
      </c>
      <c r="BC953" s="544"/>
      <c r="BD953" s="544"/>
      <c r="BE953" s="544"/>
      <c r="BF953" s="544"/>
      <c r="BG953" s="544"/>
      <c r="BH953" s="741"/>
      <c r="BI953" s="547" t="s">
        <v>709</v>
      </c>
      <c r="BJ953" s="547" t="s">
        <v>709</v>
      </c>
      <c r="BK953" s="547" t="s">
        <v>709</v>
      </c>
      <c r="BL953" s="547" t="s">
        <v>709</v>
      </c>
      <c r="BM953" s="547" t="s">
        <v>709</v>
      </c>
      <c r="BN953" s="547" t="s">
        <v>709</v>
      </c>
      <c r="BO953" s="547" t="s">
        <v>709</v>
      </c>
      <c r="BP953" s="547" t="s">
        <v>709</v>
      </c>
      <c r="BQ953" s="547" t="s">
        <v>709</v>
      </c>
      <c r="BR953" s="547" t="s">
        <v>709</v>
      </c>
      <c r="BS953" s="547" t="s">
        <v>709</v>
      </c>
      <c r="BT953" s="547" t="s">
        <v>745</v>
      </c>
      <c r="BU953" s="547" t="s">
        <v>709</v>
      </c>
      <c r="BV953" s="547">
        <v>1</v>
      </c>
      <c r="BW953" s="547" t="s">
        <v>709</v>
      </c>
      <c r="BX953" s="547" t="s">
        <v>745</v>
      </c>
      <c r="BY953" s="547" t="s">
        <v>745</v>
      </c>
      <c r="BZ953" s="547" t="s">
        <v>709</v>
      </c>
      <c r="CA953" s="483" t="s">
        <v>1146</v>
      </c>
      <c r="CB953" s="547">
        <v>951</v>
      </c>
      <c r="CC953" s="1481" t="b">
        <v>1</v>
      </c>
      <c r="CD953" t="str">
        <f>Table15[[#This Row],[Engineering Number]]&amp;Table15[[#This Row],[WO Number]]&amp;Table15[[#This Row],[Date Assigned to Designer]]&amp;Table15[[#This Row],[Date Completed]]</f>
        <v>MR196632121134503445069</v>
      </c>
    </row>
    <row r="954" spans="1:82" customFormat="1" ht="15" customHeight="1" x14ac:dyDescent="0.25">
      <c r="A954">
        <v>2023</v>
      </c>
      <c r="B954" s="8" t="s">
        <v>4</v>
      </c>
      <c r="C954" s="8" t="s">
        <v>5354</v>
      </c>
      <c r="D954" s="8">
        <v>1312153</v>
      </c>
      <c r="E954" s="8" t="s">
        <v>2144</v>
      </c>
      <c r="F954" s="8" t="s">
        <v>747</v>
      </c>
      <c r="G954" s="8" t="s">
        <v>31</v>
      </c>
      <c r="H954" s="8" t="s">
        <v>4462</v>
      </c>
      <c r="I954" s="642">
        <v>45047</v>
      </c>
      <c r="J954" s="175" t="s">
        <v>2052</v>
      </c>
      <c r="K954" s="97">
        <v>45070</v>
      </c>
      <c r="L954" s="16">
        <f>IF(ISTEXT(Table15[[#This Row],[Engineering Approved Design Date]]),Table15[[#This Row],[Date Completed]]-Table15[[#This Row],[Date Assigned to Designer]],Table15[[#This Row],[Engineering Approved Design Date]]-Table15[[#This Row],[Date Completed]])</f>
        <v>23</v>
      </c>
      <c r="M954" s="16" t="s">
        <v>5669</v>
      </c>
      <c r="N954" s="642" t="s">
        <v>120</v>
      </c>
      <c r="O954" s="1060">
        <f>Table15[[#This Row],[Date Completed]]</f>
        <v>45070</v>
      </c>
      <c r="P954" s="1152" t="s">
        <v>739</v>
      </c>
      <c r="Q954" s="340" t="s">
        <v>115</v>
      </c>
      <c r="R954" s="1039" t="s">
        <v>115</v>
      </c>
      <c r="S954" s="538"/>
      <c r="T954" s="538"/>
      <c r="U954" s="87"/>
      <c r="V954" s="857"/>
      <c r="W954" s="440"/>
      <c r="X954" s="538"/>
      <c r="Y954" s="551"/>
      <c r="Z954" s="538"/>
      <c r="AA954" s="552"/>
      <c r="AB954" s="341" t="s">
        <v>29</v>
      </c>
      <c r="AC954" s="569" t="s">
        <v>29</v>
      </c>
      <c r="AD954" s="1149" t="s">
        <v>709</v>
      </c>
      <c r="AE954" s="580"/>
      <c r="AF954" s="580"/>
      <c r="AG954" s="580"/>
      <c r="AH954" s="542"/>
      <c r="AI954" s="1028"/>
      <c r="AJ954" s="1029"/>
      <c r="AK954" s="1029"/>
      <c r="AL954" s="1030"/>
      <c r="AM954" s="542" t="s">
        <v>709</v>
      </c>
      <c r="AN954" s="924"/>
      <c r="AO954" s="925"/>
      <c r="AP954" s="926"/>
      <c r="AQ954" s="926"/>
      <c r="AR954" s="926"/>
      <c r="AS954" s="926"/>
      <c r="AT954" s="926"/>
      <c r="AU954" s="926"/>
      <c r="AV954" s="926"/>
      <c r="AW954" s="927"/>
      <c r="AX954" s="926"/>
      <c r="AY954" s="1538" t="s">
        <v>29</v>
      </c>
      <c r="AZ954" s="1530"/>
      <c r="BA954" s="1031">
        <v>2</v>
      </c>
      <c r="BB954" s="644" t="s">
        <v>5670</v>
      </c>
      <c r="BC954" s="544"/>
      <c r="BD954" s="544"/>
      <c r="BE954" s="544"/>
      <c r="BF954" s="544"/>
      <c r="BG954" s="544"/>
      <c r="BH954" s="741"/>
      <c r="BI954" s="1032" t="s">
        <v>709</v>
      </c>
      <c r="BJ954" s="1032" t="s">
        <v>709</v>
      </c>
      <c r="BK954" s="1032" t="s">
        <v>709</v>
      </c>
      <c r="BL954" s="1032" t="s">
        <v>116</v>
      </c>
      <c r="BM954" s="1032" t="s">
        <v>709</v>
      </c>
      <c r="BN954" s="1032" t="s">
        <v>709</v>
      </c>
      <c r="BO954" s="1032" t="s">
        <v>709</v>
      </c>
      <c r="BP954" s="1032" t="s">
        <v>709</v>
      </c>
      <c r="BQ954" s="1032">
        <v>916</v>
      </c>
      <c r="BR954" s="1032" t="s">
        <v>709</v>
      </c>
      <c r="BS954" s="1032">
        <v>479</v>
      </c>
      <c r="BT954" s="1032" t="s">
        <v>745</v>
      </c>
      <c r="BU954" s="1032" t="s">
        <v>709</v>
      </c>
      <c r="BV954" s="1032" t="s">
        <v>745</v>
      </c>
      <c r="BW954" s="1032" t="s">
        <v>709</v>
      </c>
      <c r="BX954" s="1032" t="s">
        <v>745</v>
      </c>
      <c r="BY954" s="1032" t="s">
        <v>745</v>
      </c>
      <c r="BZ954" s="1032" t="s">
        <v>709</v>
      </c>
      <c r="CA954" s="485"/>
      <c r="CB954" s="547">
        <v>952</v>
      </c>
      <c r="CC954" s="1481" t="b">
        <v>1</v>
      </c>
      <c r="CD954" t="str">
        <f>Table15[[#This Row],[Engineering Number]]&amp;Table15[[#This Row],[WO Number]]&amp;Table15[[#This Row],[Date Assigned to Designer]]&amp;Table15[[#This Row],[Date Completed]]</f>
        <v>SC21748-213121534504745070</v>
      </c>
    </row>
    <row r="955" spans="1:82" customFormat="1" ht="15" customHeight="1" x14ac:dyDescent="0.25">
      <c r="A955">
        <v>2023</v>
      </c>
      <c r="B955" s="8" t="s">
        <v>4</v>
      </c>
      <c r="C955" s="8" t="s">
        <v>5681</v>
      </c>
      <c r="D955" s="8" t="s">
        <v>115</v>
      </c>
      <c r="E955" s="8" t="s">
        <v>1214</v>
      </c>
      <c r="F955" s="8" t="s">
        <v>747</v>
      </c>
      <c r="G955" s="8" t="s">
        <v>26</v>
      </c>
      <c r="H955" s="8" t="s">
        <v>1681</v>
      </c>
      <c r="I955" s="642">
        <v>45006</v>
      </c>
      <c r="J955" s="18">
        <v>45100</v>
      </c>
      <c r="K955" s="175">
        <v>45070</v>
      </c>
      <c r="L955" s="649">
        <f>IF(ISTEXT(Table15[[#This Row],[Engineering Approved Design Date]]),Table15[[#This Row],[Date Completed]]-Table15[[#This Row],[Date Assigned to Designer]],Table15[[#This Row],[Engineering Approved Design Date]]-Table15[[#This Row],[Date Completed]])</f>
        <v>30</v>
      </c>
      <c r="N955" s="642" t="s">
        <v>120</v>
      </c>
      <c r="O955" s="1060">
        <f>Table15[[#This Row],[Date Completed]]</f>
        <v>45070</v>
      </c>
      <c r="P955" s="1152" t="s">
        <v>739</v>
      </c>
      <c r="Q955" s="28" t="s">
        <v>115</v>
      </c>
      <c r="R955" s="1026" t="s">
        <v>115</v>
      </c>
      <c r="S955" s="538"/>
      <c r="T955" s="538"/>
      <c r="U955" s="28"/>
      <c r="V955" s="858"/>
      <c r="W955" s="437"/>
      <c r="X955" s="538"/>
      <c r="Y955" s="550"/>
      <c r="Z955" s="538"/>
      <c r="AA955" s="552"/>
      <c r="AB955" s="341" t="s">
        <v>29</v>
      </c>
      <c r="AC955" s="568" t="s">
        <v>29</v>
      </c>
      <c r="AD955" s="1157" t="s">
        <v>29</v>
      </c>
      <c r="AE955" s="579"/>
      <c r="AF955" s="579"/>
      <c r="AG955" s="579"/>
      <c r="AH955" s="553"/>
      <c r="AI955" s="1036"/>
      <c r="AJ955" s="1037"/>
      <c r="AK955" s="1037"/>
      <c r="AL955" s="1038"/>
      <c r="AM955" s="542" t="s">
        <v>709</v>
      </c>
      <c r="AN955" s="924"/>
      <c r="AO955" s="925"/>
      <c r="AP955" s="926"/>
      <c r="AQ955" s="926"/>
      <c r="AR955" s="926"/>
      <c r="AS955" s="926"/>
      <c r="AT955" s="926"/>
      <c r="AU955" s="926"/>
      <c r="AV955" s="926"/>
      <c r="AW955" s="927"/>
      <c r="AX955" s="926"/>
      <c r="AY955" s="1538" t="s">
        <v>29</v>
      </c>
      <c r="AZ955" s="1530"/>
      <c r="BA955" s="1031" t="s">
        <v>5682</v>
      </c>
      <c r="BB955" s="648" t="s">
        <v>5683</v>
      </c>
      <c r="BC955" s="544" t="s">
        <v>709</v>
      </c>
      <c r="BD955" s="544" t="s">
        <v>3836</v>
      </c>
      <c r="BE955" s="544" t="s">
        <v>5684</v>
      </c>
      <c r="BF955" s="544" t="s">
        <v>709</v>
      </c>
      <c r="BG955" s="544" t="s">
        <v>709</v>
      </c>
      <c r="BH955" s="741"/>
      <c r="BI955" s="1032"/>
      <c r="BJ955" s="1032"/>
      <c r="BK955" s="1032"/>
      <c r="BL955" s="1032"/>
      <c r="BM955" s="1032"/>
      <c r="BN955" s="1032"/>
      <c r="BO955" s="1032"/>
      <c r="BP955" s="1032"/>
      <c r="BQ955" s="1032"/>
      <c r="BR955" s="1032"/>
      <c r="BS955" s="1032"/>
      <c r="BT955" s="1032"/>
      <c r="BU955" s="1032"/>
      <c r="BV955" s="1032"/>
      <c r="BW955" s="1032"/>
      <c r="BX955" s="1032"/>
      <c r="BY955" s="1032"/>
      <c r="BZ955" s="1032"/>
      <c r="CA955" s="485" t="s">
        <v>915</v>
      </c>
      <c r="CB955" s="547">
        <v>953</v>
      </c>
      <c r="CC955" s="1481" t="b">
        <v>1</v>
      </c>
      <c r="CD955" t="str">
        <f>Table15[[#This Row],[Engineering Number]]&amp;Table15[[#This Row],[WO Number]]&amp;Table15[[#This Row],[Date Assigned to Designer]]&amp;Table15[[#This Row],[Date Completed]]</f>
        <v>SC20807-4500645070</v>
      </c>
    </row>
    <row r="956" spans="1:82" customFormat="1" ht="15" customHeight="1" x14ac:dyDescent="0.25">
      <c r="A956">
        <v>2023</v>
      </c>
      <c r="B956" s="8" t="s">
        <v>4</v>
      </c>
      <c r="C956" s="8" t="s">
        <v>5672</v>
      </c>
      <c r="D956" s="8" t="s">
        <v>5673</v>
      </c>
      <c r="E956" s="8" t="s">
        <v>5674</v>
      </c>
      <c r="F956" s="8" t="s">
        <v>784</v>
      </c>
      <c r="G956" s="8" t="s">
        <v>26</v>
      </c>
      <c r="H956" s="13" t="s">
        <v>59</v>
      </c>
      <c r="I956" s="642">
        <v>45036</v>
      </c>
      <c r="J956" s="18">
        <v>45077</v>
      </c>
      <c r="K956" s="175">
        <v>45070</v>
      </c>
      <c r="L956" s="649">
        <f>IF(ISTEXT(Table15[[#This Row],[Engineering Approved Design Date]]),Table15[[#This Row],[Date Completed]]-Table15[[#This Row],[Date Assigned to Designer]],Table15[[#This Row],[Engineering Approved Design Date]]-Table15[[#This Row],[Date Completed]])</f>
        <v>7</v>
      </c>
      <c r="M956" s="642"/>
      <c r="N956" s="642" t="s">
        <v>120</v>
      </c>
      <c r="O956" s="1060">
        <v>45078</v>
      </c>
      <c r="P956" s="1152" t="s">
        <v>739</v>
      </c>
      <c r="Q956" s="340">
        <f>Table15[[#This Row],[Rate]]*Table15[[#This Row],[Construction Cost to Bill From]]</f>
        <v>13807.676000000001</v>
      </c>
      <c r="R956" s="1026">
        <v>0.1</v>
      </c>
      <c r="S956" s="538"/>
      <c r="T956" s="538"/>
      <c r="U956" s="87"/>
      <c r="V956" s="858">
        <v>146</v>
      </c>
      <c r="W956" s="437">
        <v>0</v>
      </c>
      <c r="X956" s="552">
        <v>112584.77</v>
      </c>
      <c r="Y956" s="551"/>
      <c r="Z956" s="552">
        <v>25491.99</v>
      </c>
      <c r="AA956" s="552">
        <f>SUM(Table15[[#This Row],[PCTS Investment Amount]:[PCTS Retirement Amount]])</f>
        <v>138076.76</v>
      </c>
      <c r="AB956" s="341">
        <v>45076</v>
      </c>
      <c r="AC956" s="568" t="s">
        <v>709</v>
      </c>
      <c r="AD956" s="1149" t="s">
        <v>29</v>
      </c>
      <c r="AE956" s="580"/>
      <c r="AF956" s="580"/>
      <c r="AG956" s="569"/>
      <c r="AH956" s="542"/>
      <c r="AI956" s="1028"/>
      <c r="AJ956" s="1029"/>
      <c r="AK956" s="1029"/>
      <c r="AL956" s="1030"/>
      <c r="AM956" s="1522" t="s">
        <v>116</v>
      </c>
      <c r="AN956" s="1523">
        <v>45104</v>
      </c>
      <c r="AO956" s="1524">
        <v>11063726</v>
      </c>
      <c r="AP956" s="1525">
        <v>116374.09</v>
      </c>
      <c r="AQ956" s="1525"/>
      <c r="AR956" s="1525">
        <v>26261.93</v>
      </c>
      <c r="AS956" s="1525">
        <f>IF(Table15[[#This Row],[PCTS Approved]]="N",0,Table15[[#This Row],[Investment Amount (1'#'#'#'#'#)]]+Table15[[#This Row],[Retirement Amount (3'#'#'#'#'#)]])</f>
        <v>142636.01999999999</v>
      </c>
      <c r="AT956" s="1525">
        <f>IF(Table15[[#This Row],[Approved Construction Cost]]=0,0,Table15[[#This Row],[Approved Construction Cost]]-Table15[[#This Row],[Construction Cost to Bill From]])</f>
        <v>4559.2599999999802</v>
      </c>
      <c r="AU956" s="1525">
        <f>IFERROR(Table15[[#This Row],[Difference in Construction Cost]]*Table15[[#This Row],[Rate]],Table15[[#This Row],[Difference in Construction Cost]]*0.085)</f>
        <v>455.92599999999806</v>
      </c>
      <c r="AV956" s="1525" t="s">
        <v>709</v>
      </c>
      <c r="AW956" s="1526"/>
      <c r="AX956" s="1525">
        <v>455.92599999999806</v>
      </c>
      <c r="AY956" s="1518">
        <v>45200</v>
      </c>
      <c r="AZ956" s="333"/>
      <c r="BA956" s="859" t="s">
        <v>5675</v>
      </c>
      <c r="BB956" s="644" t="s">
        <v>5676</v>
      </c>
      <c r="BC956" s="544" t="s">
        <v>709</v>
      </c>
      <c r="BD956" s="544" t="s">
        <v>1167</v>
      </c>
      <c r="BE956" s="544" t="s">
        <v>5677</v>
      </c>
      <c r="BF956" s="544" t="s">
        <v>5678</v>
      </c>
      <c r="BG956" s="544" t="s">
        <v>709</v>
      </c>
      <c r="BH956" s="741" t="s">
        <v>5679</v>
      </c>
      <c r="BI956" s="547" t="s">
        <v>709</v>
      </c>
      <c r="BJ956" s="547" t="s">
        <v>709</v>
      </c>
      <c r="BK956" s="547" t="s">
        <v>709</v>
      </c>
      <c r="BL956" s="547" t="s">
        <v>116</v>
      </c>
      <c r="BM956" s="547" t="s">
        <v>709</v>
      </c>
      <c r="BN956" s="547" t="s">
        <v>709</v>
      </c>
      <c r="BO956" s="547" t="s">
        <v>709</v>
      </c>
      <c r="BP956" s="547" t="s">
        <v>709</v>
      </c>
      <c r="BQ956" s="547">
        <v>146</v>
      </c>
      <c r="BR956" s="547" t="s">
        <v>709</v>
      </c>
      <c r="BS956" s="547" t="s">
        <v>709</v>
      </c>
      <c r="BT956" s="547" t="s">
        <v>745</v>
      </c>
      <c r="BU956" s="547" t="s">
        <v>709</v>
      </c>
      <c r="BV956" s="547" t="s">
        <v>745</v>
      </c>
      <c r="BW956" s="547" t="s">
        <v>709</v>
      </c>
      <c r="BX956" s="547" t="s">
        <v>745</v>
      </c>
      <c r="BY956" s="547" t="s">
        <v>745</v>
      </c>
      <c r="BZ956" s="547" t="s">
        <v>709</v>
      </c>
      <c r="CA956" s="483"/>
      <c r="CB956" s="547">
        <v>954</v>
      </c>
      <c r="CC956" s="1481" t="b">
        <v>1</v>
      </c>
      <c r="CD956" t="str">
        <f>Table15[[#This Row],[Engineering Number]]&amp;Table15[[#This Row],[WO Number]]&amp;Table15[[#This Row],[Date Assigned to Designer]]&amp;Table15[[#This Row],[Date Completed]]</f>
        <v>N1693512127244503645070</v>
      </c>
    </row>
    <row r="957" spans="1:82" customFormat="1" ht="15" customHeight="1" x14ac:dyDescent="0.25">
      <c r="A957">
        <v>2022</v>
      </c>
      <c r="B957" s="8" t="s">
        <v>4</v>
      </c>
      <c r="C957" s="8" t="s">
        <v>385</v>
      </c>
      <c r="D957" s="8" t="s">
        <v>782</v>
      </c>
      <c r="E957" s="8" t="s">
        <v>783</v>
      </c>
      <c r="F957" s="8" t="s">
        <v>784</v>
      </c>
      <c r="G957" s="8" t="s">
        <v>5667</v>
      </c>
      <c r="H957" s="13" t="s">
        <v>59</v>
      </c>
      <c r="I957" s="642">
        <v>44090</v>
      </c>
      <c r="J957" s="18">
        <v>45077</v>
      </c>
      <c r="K957" s="175">
        <v>45070</v>
      </c>
      <c r="L957" s="649">
        <f>IF(ISTEXT(Table15[[#This Row],[Engineering Approved Design Date]]),Table15[[#This Row],[Date Completed]]-Table15[[#This Row],[Date Assigned to Designer]],Table15[[#This Row],[Engineering Approved Design Date]]-Table15[[#This Row],[Date Completed]])</f>
        <v>7</v>
      </c>
      <c r="M957" s="642"/>
      <c r="N957" s="642" t="s">
        <v>120</v>
      </c>
      <c r="O957" s="1060">
        <v>45108</v>
      </c>
      <c r="P957" s="1152" t="s">
        <v>739</v>
      </c>
      <c r="Q957" s="340">
        <f>Table15[[#This Row],[Rate]]*Table15[[#This Row],[Construction Cost to Bill From]]</f>
        <v>142900.239</v>
      </c>
      <c r="R957" s="1026">
        <v>0.1</v>
      </c>
      <c r="S957" s="538"/>
      <c r="T957" s="538"/>
      <c r="U957" s="87"/>
      <c r="V957" s="858">
        <v>1538</v>
      </c>
      <c r="W957" s="437">
        <v>0</v>
      </c>
      <c r="X957" s="552">
        <v>1202937.49</v>
      </c>
      <c r="Y957" s="551"/>
      <c r="Z957" s="552">
        <v>226064.9</v>
      </c>
      <c r="AA957" s="552">
        <f>SUM(Table15[[#This Row],[PCTS Investment Amount]:[PCTS Retirement Amount]])</f>
        <v>1429002.39</v>
      </c>
      <c r="AB957" s="341">
        <v>45105</v>
      </c>
      <c r="AC957" s="568" t="s">
        <v>116</v>
      </c>
      <c r="AD957" s="1157" t="s">
        <v>116</v>
      </c>
      <c r="AE957" s="568" t="s">
        <v>116</v>
      </c>
      <c r="AF957" s="568" t="s">
        <v>756</v>
      </c>
      <c r="AG957" s="568" t="s">
        <v>116</v>
      </c>
      <c r="AH957" s="183">
        <v>45222</v>
      </c>
      <c r="AI957" s="1036"/>
      <c r="AJ957" s="1037"/>
      <c r="AK957" s="1037"/>
      <c r="AL957" s="1038"/>
      <c r="AM957" s="1522" t="s">
        <v>116</v>
      </c>
      <c r="AN957" s="1523">
        <v>45315</v>
      </c>
      <c r="AO957" s="1524">
        <v>11042302</v>
      </c>
      <c r="AP957" s="1525">
        <v>1203788.45</v>
      </c>
      <c r="AQ957" s="1525"/>
      <c r="AR957" s="1525">
        <v>226066.57</v>
      </c>
      <c r="AS957" s="1525">
        <v>1429855.02</v>
      </c>
      <c r="AT957" s="1525">
        <v>852.63000000012107</v>
      </c>
      <c r="AU957" s="1525">
        <v>85.263000000012113</v>
      </c>
      <c r="AV957" s="1525">
        <v>0</v>
      </c>
      <c r="AW957" s="1526" t="s">
        <v>785</v>
      </c>
      <c r="AX957" s="1525">
        <v>85.26</v>
      </c>
      <c r="AY957" s="1518">
        <v>45566</v>
      </c>
      <c r="AZ957" s="333">
        <v>87</v>
      </c>
      <c r="BA957" s="859" t="s">
        <v>786</v>
      </c>
      <c r="BB957" s="644" t="s">
        <v>787</v>
      </c>
      <c r="BC957" s="544" t="s">
        <v>709</v>
      </c>
      <c r="BD957" s="544" t="s">
        <v>788</v>
      </c>
      <c r="BE957" s="544" t="s">
        <v>115</v>
      </c>
      <c r="BF957" s="544" t="s">
        <v>789</v>
      </c>
      <c r="BG957" s="544" t="s">
        <v>709</v>
      </c>
      <c r="BH957" s="741" t="s">
        <v>790</v>
      </c>
      <c r="BI957" s="547" t="s">
        <v>709</v>
      </c>
      <c r="BJ957" s="547" t="s">
        <v>709</v>
      </c>
      <c r="BK957" s="547" t="s">
        <v>709</v>
      </c>
      <c r="BL957" s="547" t="s">
        <v>116</v>
      </c>
      <c r="BM957" s="547" t="s">
        <v>709</v>
      </c>
      <c r="BN957" s="547">
        <v>1222</v>
      </c>
      <c r="BO957" s="547" t="s">
        <v>709</v>
      </c>
      <c r="BP957" s="547" t="s">
        <v>709</v>
      </c>
      <c r="BQ957" s="547">
        <v>63</v>
      </c>
      <c r="BR957" s="547">
        <v>100</v>
      </c>
      <c r="BS957" s="547">
        <v>153</v>
      </c>
      <c r="BT957" s="547" t="s">
        <v>745</v>
      </c>
      <c r="BU957" s="547" t="s">
        <v>709</v>
      </c>
      <c r="BV957" s="547" t="s">
        <v>745</v>
      </c>
      <c r="BW957" s="547" t="s">
        <v>709</v>
      </c>
      <c r="BX957" s="547" t="s">
        <v>745</v>
      </c>
      <c r="BY957" s="547" t="s">
        <v>745</v>
      </c>
      <c r="BZ957" s="547" t="s">
        <v>709</v>
      </c>
      <c r="CA957" s="483"/>
      <c r="CB957" s="547">
        <v>955</v>
      </c>
      <c r="CC957" s="1481" t="b">
        <v>1</v>
      </c>
      <c r="CD957" t="str">
        <f>Table15[[#This Row],[Engineering Number]]&amp;Table15[[#This Row],[WO Number]]&amp;Table15[[#This Row],[Date Assigned to Designer]]&amp;Table15[[#This Row],[Date Completed]]</f>
        <v>SC179321357404409045070</v>
      </c>
    </row>
    <row r="958" spans="1:82" customFormat="1" ht="15" customHeight="1" x14ac:dyDescent="0.25">
      <c r="A958">
        <v>2024</v>
      </c>
      <c r="B958" s="8" t="s">
        <v>1205</v>
      </c>
      <c r="C958" s="8" t="s">
        <v>5700</v>
      </c>
      <c r="D958" s="8" t="s">
        <v>5701</v>
      </c>
      <c r="E958" s="8" t="s">
        <v>354</v>
      </c>
      <c r="F958" s="8" t="s">
        <v>784</v>
      </c>
      <c r="G958" s="8" t="s">
        <v>31</v>
      </c>
      <c r="H958" s="13" t="s">
        <v>59</v>
      </c>
      <c r="I958" s="642">
        <v>44957</v>
      </c>
      <c r="J958" s="18">
        <v>45077</v>
      </c>
      <c r="K958" s="97">
        <v>45071</v>
      </c>
      <c r="L958" s="16">
        <f>IF(ISTEXT(Table15[[#This Row],[Engineering Approved Design Date]]),Table15[[#This Row],[Date Completed]]-Table15[[#This Row],[Date Assigned to Designer]],Table15[[#This Row],[Engineering Approved Design Date]]-Table15[[#This Row],[Date Completed]])</f>
        <v>6</v>
      </c>
      <c r="M958" s="642"/>
      <c r="N958" s="642" t="s">
        <v>120</v>
      </c>
      <c r="O958" s="1060">
        <v>45078</v>
      </c>
      <c r="P958" s="1152" t="s">
        <v>120</v>
      </c>
      <c r="Q958" s="340">
        <f>Table15[[#This Row],[Rate]]*Table15[[#This Row],[Construction Cost to Bill From]]</f>
        <v>142061.82759999999</v>
      </c>
      <c r="R958" s="1026">
        <v>0.04</v>
      </c>
      <c r="S958" s="538"/>
      <c r="T958" s="538"/>
      <c r="U958" s="87"/>
      <c r="V958" s="858">
        <v>17673</v>
      </c>
      <c r="W958" s="437">
        <v>0</v>
      </c>
      <c r="X958" s="552">
        <v>3397762.35</v>
      </c>
      <c r="Y958" s="551"/>
      <c r="Z958" s="552">
        <v>153783.34</v>
      </c>
      <c r="AA958" s="538">
        <f>Table15[[#This Row],[PCTS Investment Amount]]+Table15[[#This Row],[PCTS Retirement Amount]]</f>
        <v>3551545.69</v>
      </c>
      <c r="AB958" s="341">
        <v>45072</v>
      </c>
      <c r="AC958" s="568" t="s">
        <v>709</v>
      </c>
      <c r="AD958" s="1157" t="s">
        <v>29</v>
      </c>
      <c r="AE958" s="568" t="s">
        <v>29</v>
      </c>
      <c r="AF958" s="568" t="s">
        <v>29</v>
      </c>
      <c r="AG958" s="568" t="s">
        <v>29</v>
      </c>
      <c r="AH958" s="183" t="s">
        <v>29</v>
      </c>
      <c r="AI958" s="1036"/>
      <c r="AJ958" s="1037"/>
      <c r="AK958" s="1037"/>
      <c r="AL958" s="1038"/>
      <c r="AM958" s="1522" t="s">
        <v>116</v>
      </c>
      <c r="AN958" s="1523">
        <v>45180</v>
      </c>
      <c r="AO958" s="1524">
        <v>11070285</v>
      </c>
      <c r="AP958" s="1525">
        <v>3398065.86</v>
      </c>
      <c r="AQ958" s="1525"/>
      <c r="AR958" s="1525">
        <v>153784.46</v>
      </c>
      <c r="AS958" s="1525">
        <f>IF(Table15[[#This Row],[PCTS Approved]]="N",0,Table15[[#This Row],[Investment Amount (1'#'#'#'#'#)]]+Table15[[#This Row],[Retirement Amount (3'#'#'#'#'#)]])</f>
        <v>3551850.32</v>
      </c>
      <c r="AT958" s="1525">
        <f>IF(Table15[[#This Row],[Approved Construction Cost]]=0,0,Table15[[#This Row],[Approved Construction Cost]]-Table15[[#This Row],[Construction Cost to Bill From]])</f>
        <v>304.62999999988824</v>
      </c>
      <c r="AU958" s="1525">
        <f>IFERROR(Table15[[#This Row],[Difference in Construction Cost]]*Table15[[#This Row],[Rate]],Table15[[#This Row],[Difference in Construction Cost]]*0.085)</f>
        <v>12.185199999995531</v>
      </c>
      <c r="AV958" s="1525" t="s">
        <v>709</v>
      </c>
      <c r="AW958" s="1526"/>
      <c r="AX958" s="1525">
        <v>12.19</v>
      </c>
      <c r="AY958" s="1518">
        <v>45352</v>
      </c>
      <c r="AZ958" s="333"/>
      <c r="BA958" s="859" t="s">
        <v>5702</v>
      </c>
      <c r="BB958" s="644" t="s">
        <v>5703</v>
      </c>
      <c r="BC958" s="544" t="s">
        <v>709</v>
      </c>
      <c r="BD958" s="544" t="s">
        <v>115</v>
      </c>
      <c r="BE958" s="544" t="s">
        <v>588</v>
      </c>
      <c r="BF958" s="544" t="s">
        <v>115</v>
      </c>
      <c r="BG958" s="544" t="s">
        <v>115</v>
      </c>
      <c r="BH958" s="741" t="s">
        <v>5704</v>
      </c>
      <c r="BI958" s="547" t="s">
        <v>709</v>
      </c>
      <c r="BJ958" s="547" t="s">
        <v>709</v>
      </c>
      <c r="BK958" s="547" t="s">
        <v>709</v>
      </c>
      <c r="BL958" s="547" t="s">
        <v>116</v>
      </c>
      <c r="BM958" s="547" t="s">
        <v>709</v>
      </c>
      <c r="BN958" s="547" t="s">
        <v>709</v>
      </c>
      <c r="BO958" s="547" t="s">
        <v>709</v>
      </c>
      <c r="BP958" s="547" t="s">
        <v>709</v>
      </c>
      <c r="BQ958" s="547">
        <v>3453</v>
      </c>
      <c r="BR958" s="547">
        <v>860</v>
      </c>
      <c r="BS958" s="547">
        <v>13360</v>
      </c>
      <c r="BT958" s="547" t="s">
        <v>745</v>
      </c>
      <c r="BU958" s="547" t="s">
        <v>709</v>
      </c>
      <c r="BV958" s="547" t="s">
        <v>745</v>
      </c>
      <c r="BW958" s="547" t="s">
        <v>709</v>
      </c>
      <c r="BX958" s="547" t="s">
        <v>745</v>
      </c>
      <c r="BY958" s="547" t="s">
        <v>745</v>
      </c>
      <c r="BZ958" s="547" t="s">
        <v>709</v>
      </c>
      <c r="CA958" s="483"/>
      <c r="CB958" s="547">
        <v>957</v>
      </c>
      <c r="CC958" s="1481" t="b">
        <v>1</v>
      </c>
      <c r="CD958" t="str">
        <f>Table15[[#This Row],[Engineering Number]]&amp;Table15[[#This Row],[WO Number]]&amp;Table15[[#This Row],[Date Assigned to Designer]]&amp;Table15[[#This Row],[Date Completed]]</f>
        <v>MR178812123294495745071</v>
      </c>
    </row>
    <row r="959" spans="1:82" customFormat="1" ht="15" customHeight="1" x14ac:dyDescent="0.25">
      <c r="A959">
        <v>2023</v>
      </c>
      <c r="B959" s="8" t="s">
        <v>4</v>
      </c>
      <c r="C959" s="8" t="s">
        <v>380</v>
      </c>
      <c r="D959" s="8" t="s">
        <v>5695</v>
      </c>
      <c r="E959" s="8" t="s">
        <v>111</v>
      </c>
      <c r="F959" s="8" t="s">
        <v>784</v>
      </c>
      <c r="G959" s="8" t="s">
        <v>27</v>
      </c>
      <c r="H959" s="13" t="s">
        <v>59</v>
      </c>
      <c r="I959" s="642">
        <v>44739</v>
      </c>
      <c r="J959" s="18">
        <v>45072</v>
      </c>
      <c r="K959" s="175">
        <v>45071</v>
      </c>
      <c r="L959" s="649">
        <f>IF(ISTEXT(Table15[[#This Row],[Engineering Approved Design Date]]),Table15[[#This Row],[Date Completed]]-Table15[[#This Row],[Date Assigned to Designer]],Table15[[#This Row],[Engineering Approved Design Date]]-Table15[[#This Row],[Date Completed]])</f>
        <v>1</v>
      </c>
      <c r="M959" s="642"/>
      <c r="N959" s="642" t="s">
        <v>120</v>
      </c>
      <c r="O959" s="1060">
        <v>45078</v>
      </c>
      <c r="P959" s="1152" t="s">
        <v>739</v>
      </c>
      <c r="Q959" s="340">
        <f>Table15[[#This Row],[Rate]]*Table15[[#This Row],[Construction Cost to Bill From]]</f>
        <v>231516.60900000005</v>
      </c>
      <c r="R959" s="1026">
        <v>0.1</v>
      </c>
      <c r="S959" s="538"/>
      <c r="T959" s="538"/>
      <c r="U959" s="87"/>
      <c r="V959" s="858">
        <v>5687</v>
      </c>
      <c r="W959" s="437">
        <v>0</v>
      </c>
      <c r="X959" s="552">
        <v>2138892.66</v>
      </c>
      <c r="Y959" s="551"/>
      <c r="Z959" s="552">
        <v>176273.43</v>
      </c>
      <c r="AA959" s="552">
        <f>SUM(Table15[[#This Row],[PCTS Investment Amount]:[PCTS Retirement Amount]])</f>
        <v>2315166.0900000003</v>
      </c>
      <c r="AB959" s="341">
        <v>45064</v>
      </c>
      <c r="AC959" s="568" t="s">
        <v>116</v>
      </c>
      <c r="AD959" s="1157" t="s">
        <v>116</v>
      </c>
      <c r="AE959" s="568" t="s">
        <v>29</v>
      </c>
      <c r="AF959" s="568" t="s">
        <v>29</v>
      </c>
      <c r="AG959" s="568" t="s">
        <v>29</v>
      </c>
      <c r="AH959" s="183" t="s">
        <v>29</v>
      </c>
      <c r="AI959" s="1036"/>
      <c r="AJ959" s="1037"/>
      <c r="AK959" s="1037"/>
      <c r="AL959" s="1038"/>
      <c r="AM959" s="1522" t="s">
        <v>116</v>
      </c>
      <c r="AN959" s="1523">
        <v>45148</v>
      </c>
      <c r="AO959" s="1524">
        <v>11050938</v>
      </c>
      <c r="AP959" s="1525">
        <v>2139471.94</v>
      </c>
      <c r="AQ959" s="1525"/>
      <c r="AR959" s="1525">
        <v>176273.43</v>
      </c>
      <c r="AS959" s="1525">
        <f>IF(Table15[[#This Row],[PCTS Approved]]="N",0,Table15[[#This Row],[Investment Amount (1'#'#'#'#'#)]]+Table15[[#This Row],[Retirement Amount (3'#'#'#'#'#)]])</f>
        <v>2315745.37</v>
      </c>
      <c r="AT959" s="1525">
        <f>IF(Table15[[#This Row],[Approved Construction Cost]]=0,0,Table15[[#This Row],[Approved Construction Cost]]-Table15[[#This Row],[Construction Cost to Bill From]])</f>
        <v>579.27999999979511</v>
      </c>
      <c r="AU959" s="1525">
        <f>IFERROR(Table15[[#This Row],[Difference in Construction Cost]]*Table15[[#This Row],[Rate]],Table15[[#This Row],[Difference in Construction Cost]]*0.085)</f>
        <v>57.927999999979512</v>
      </c>
      <c r="AV959" s="1525" t="s">
        <v>709</v>
      </c>
      <c r="AW959" s="1526"/>
      <c r="AX959" s="1525">
        <v>57.927999999979512</v>
      </c>
      <c r="AY959" s="1518">
        <v>45352</v>
      </c>
      <c r="AZ959" s="333"/>
      <c r="BA959" s="859" t="s">
        <v>5696</v>
      </c>
      <c r="BB959" s="644" t="s">
        <v>5697</v>
      </c>
      <c r="BC959" s="544" t="s">
        <v>116</v>
      </c>
      <c r="BD959" s="544" t="s">
        <v>709</v>
      </c>
      <c r="BE959" s="544" t="s">
        <v>1114</v>
      </c>
      <c r="BF959" s="544" t="s">
        <v>709</v>
      </c>
      <c r="BG959" s="544" t="s">
        <v>709</v>
      </c>
      <c r="BH959" s="741" t="s">
        <v>5698</v>
      </c>
      <c r="BI959" s="547" t="s">
        <v>709</v>
      </c>
      <c r="BJ959" s="547" t="s">
        <v>709</v>
      </c>
      <c r="BK959" s="547" t="s">
        <v>116</v>
      </c>
      <c r="BL959" s="547" t="s">
        <v>116</v>
      </c>
      <c r="BM959" s="547" t="s">
        <v>709</v>
      </c>
      <c r="BN959" s="547" t="s">
        <v>709</v>
      </c>
      <c r="BO959" s="547" t="s">
        <v>709</v>
      </c>
      <c r="BP959" s="547">
        <v>2291</v>
      </c>
      <c r="BQ959" s="547">
        <v>1043</v>
      </c>
      <c r="BR959" s="547">
        <v>45</v>
      </c>
      <c r="BS959" s="547">
        <v>2218</v>
      </c>
      <c r="BT959" s="547">
        <v>1</v>
      </c>
      <c r="BU959" s="547" t="s">
        <v>709</v>
      </c>
      <c r="BV959" s="547" t="s">
        <v>745</v>
      </c>
      <c r="BW959" s="547" t="s">
        <v>709</v>
      </c>
      <c r="BX959" s="547">
        <v>1</v>
      </c>
      <c r="BY959" s="547" t="s">
        <v>745</v>
      </c>
      <c r="BZ959" s="547" t="s">
        <v>709</v>
      </c>
      <c r="CA959" s="483"/>
      <c r="CB959" s="547">
        <v>958</v>
      </c>
      <c r="CC959" s="1481" t="b">
        <v>1</v>
      </c>
      <c r="CD959" t="str">
        <f>Table15[[#This Row],[Engineering Number]]&amp;Table15[[#This Row],[WO Number]]&amp;Table15[[#This Row],[Date Assigned to Designer]]&amp;Table15[[#This Row],[Date Completed]]</f>
        <v>N1491512116814473945071</v>
      </c>
    </row>
    <row r="960" spans="1:82" customFormat="1" ht="15" customHeight="1" x14ac:dyDescent="0.25">
      <c r="A960">
        <v>2023</v>
      </c>
      <c r="B960" s="8" t="s">
        <v>1073</v>
      </c>
      <c r="C960" s="8" t="s">
        <v>280</v>
      </c>
      <c r="D960" s="8" t="s">
        <v>5160</v>
      </c>
      <c r="E960" s="8" t="s">
        <v>281</v>
      </c>
      <c r="F960" s="8" t="s">
        <v>784</v>
      </c>
      <c r="G960" s="8" t="s">
        <v>23</v>
      </c>
      <c r="H960" s="8" t="s">
        <v>3178</v>
      </c>
      <c r="I960" s="642">
        <v>45001</v>
      </c>
      <c r="J960" s="175" t="s">
        <v>2052</v>
      </c>
      <c r="K960" s="97">
        <v>45071</v>
      </c>
      <c r="L960" s="16">
        <f>IF(ISTEXT(Table15[[#This Row],[Engineering Approved Design Date]]),Table15[[#This Row],[Date Completed]]-Table15[[#This Row],[Date Assigned to Designer]],Table15[[#This Row],[Engineering Approved Design Date]]-Table15[[#This Row],[Date Completed]])</f>
        <v>70</v>
      </c>
      <c r="M960" s="16" t="s">
        <v>5692</v>
      </c>
      <c r="N960" s="642" t="s">
        <v>120</v>
      </c>
      <c r="O960" s="1060">
        <v>45078</v>
      </c>
      <c r="P960" s="1152" t="s">
        <v>739</v>
      </c>
      <c r="Q960" s="1061">
        <f>Table15[[#This Row],[KH Hourly Effort]]</f>
        <v>5680</v>
      </c>
      <c r="R960" s="1039" t="s">
        <v>1922</v>
      </c>
      <c r="S960" s="538">
        <v>0</v>
      </c>
      <c r="T960" s="538">
        <v>0</v>
      </c>
      <c r="U960" s="87">
        <v>5680</v>
      </c>
      <c r="V960" s="857">
        <v>12080</v>
      </c>
      <c r="W960" s="440">
        <v>0</v>
      </c>
      <c r="X960" s="538"/>
      <c r="Y960" s="551"/>
      <c r="Z960" s="538"/>
      <c r="AA960" s="552"/>
      <c r="AB960" s="341" t="s">
        <v>29</v>
      </c>
      <c r="AC960" s="569" t="s">
        <v>29</v>
      </c>
      <c r="AD960" s="1149" t="s">
        <v>116</v>
      </c>
      <c r="AE960" s="569"/>
      <c r="AF960" s="569"/>
      <c r="AG960" s="569"/>
      <c r="AH960" s="536"/>
      <c r="AI960" s="1028"/>
      <c r="AJ960" s="1029"/>
      <c r="AK960" s="1029"/>
      <c r="AL960" s="1030"/>
      <c r="AM960" s="542" t="s">
        <v>709</v>
      </c>
      <c r="AN960" s="924"/>
      <c r="AO960" s="925"/>
      <c r="AP960" s="926"/>
      <c r="AQ960" s="926"/>
      <c r="AR960" s="926"/>
      <c r="AS960" s="926"/>
      <c r="AT960" s="926"/>
      <c r="AU960" s="926"/>
      <c r="AV960" s="926"/>
      <c r="AW960" s="927"/>
      <c r="AX960" s="926"/>
      <c r="AY960" s="1538" t="s">
        <v>29</v>
      </c>
      <c r="AZ960" s="1530"/>
      <c r="BA960" s="1031">
        <v>3</v>
      </c>
      <c r="BB960" s="644" t="s">
        <v>5693</v>
      </c>
      <c r="BC960" s="544"/>
      <c r="BD960" s="544"/>
      <c r="BE960" s="544"/>
      <c r="BF960" s="544"/>
      <c r="BG960" s="544"/>
      <c r="BH960" s="741"/>
      <c r="BI960" s="547" t="s">
        <v>709</v>
      </c>
      <c r="BJ960" s="547" t="s">
        <v>709</v>
      </c>
      <c r="BK960" s="547" t="s">
        <v>116</v>
      </c>
      <c r="BL960" s="547" t="s">
        <v>116</v>
      </c>
      <c r="BM960" s="547" t="s">
        <v>709</v>
      </c>
      <c r="BN960" s="547" t="s">
        <v>709</v>
      </c>
      <c r="BO960" s="547" t="s">
        <v>709</v>
      </c>
      <c r="BP960" s="547" t="s">
        <v>709</v>
      </c>
      <c r="BQ960" s="547">
        <v>1212</v>
      </c>
      <c r="BR960" s="547">
        <v>10651</v>
      </c>
      <c r="BS960" s="547">
        <v>217</v>
      </c>
      <c r="BT960" s="547" t="s">
        <v>745</v>
      </c>
      <c r="BU960" s="547">
        <v>1</v>
      </c>
      <c r="BV960" s="547" t="s">
        <v>745</v>
      </c>
      <c r="BW960" s="547" t="s">
        <v>709</v>
      </c>
      <c r="BX960" s="547">
        <v>1</v>
      </c>
      <c r="BY960" s="547" t="s">
        <v>745</v>
      </c>
      <c r="BZ960" s="547" t="s">
        <v>709</v>
      </c>
      <c r="CA960" s="483"/>
      <c r="CB960" s="547">
        <v>956</v>
      </c>
      <c r="CC960" s="1481" t="b">
        <v>1</v>
      </c>
      <c r="CD960" t="str">
        <f>Table15[[#This Row],[Engineering Number]]&amp;Table15[[#This Row],[WO Number]]&amp;Table15[[#This Row],[Date Assigned to Designer]]&amp;Table15[[#This Row],[Date Completed]]</f>
        <v>NBA1000207316114164500145071</v>
      </c>
    </row>
    <row r="961" spans="1:82" customFormat="1" ht="15" customHeight="1" x14ac:dyDescent="0.25">
      <c r="A961">
        <v>2023</v>
      </c>
      <c r="B961" s="8" t="s">
        <v>4</v>
      </c>
      <c r="C961" s="8" t="s">
        <v>5686</v>
      </c>
      <c r="D961" s="8" t="s">
        <v>5687</v>
      </c>
      <c r="E961" s="8" t="s">
        <v>5688</v>
      </c>
      <c r="F961" s="8" t="s">
        <v>747</v>
      </c>
      <c r="G961" s="8" t="s">
        <v>28</v>
      </c>
      <c r="H961" s="13" t="s">
        <v>59</v>
      </c>
      <c r="I961" s="642">
        <v>45008</v>
      </c>
      <c r="J961" s="18">
        <v>45072</v>
      </c>
      <c r="K961" s="175">
        <v>45071</v>
      </c>
      <c r="L961" s="649">
        <f>IF(ISTEXT(Table15[[#This Row],[Engineering Approved Design Date]]),Table15[[#This Row],[Date Completed]]-Table15[[#This Row],[Date Assigned to Designer]],Table15[[#This Row],[Engineering Approved Design Date]]-Table15[[#This Row],[Date Completed]])</f>
        <v>1</v>
      </c>
      <c r="M961" s="642"/>
      <c r="N961" s="642" t="s">
        <v>120</v>
      </c>
      <c r="O961" s="1060">
        <v>45078</v>
      </c>
      <c r="P961" s="1152" t="s">
        <v>739</v>
      </c>
      <c r="Q961" s="340">
        <f>Table15[[#This Row],[Rate]]*Table15[[#This Row],[Construction Cost to Bill From]]</f>
        <v>23963.936000000002</v>
      </c>
      <c r="R961" s="1026">
        <v>0.1</v>
      </c>
      <c r="S961" s="538"/>
      <c r="T961" s="538"/>
      <c r="U961" s="87"/>
      <c r="V961" s="1191" t="s">
        <v>5689</v>
      </c>
      <c r="W961" s="437">
        <v>0</v>
      </c>
      <c r="X961" s="552">
        <v>147604.85999999999</v>
      </c>
      <c r="Y961" s="551"/>
      <c r="Z961" s="552">
        <v>92034.5</v>
      </c>
      <c r="AA961" s="552">
        <f>SUM(Table15[[#This Row],[PCTS Investment Amount]:[PCTS Retirement Amount]])</f>
        <v>239639.36</v>
      </c>
      <c r="AB961" s="341">
        <v>45082</v>
      </c>
      <c r="AC961" s="568" t="s">
        <v>709</v>
      </c>
      <c r="AD961" s="1157" t="s">
        <v>116</v>
      </c>
      <c r="AE961" s="579"/>
      <c r="AF961" s="579"/>
      <c r="AG961" s="579"/>
      <c r="AH961" s="553"/>
      <c r="AI961" s="1036"/>
      <c r="AJ961" s="1037"/>
      <c r="AK961" s="1037"/>
      <c r="AL961" s="1038"/>
      <c r="AM961" s="1522" t="s">
        <v>116</v>
      </c>
      <c r="AN961" s="1523">
        <v>45133</v>
      </c>
      <c r="AO961" s="1524">
        <v>11067843</v>
      </c>
      <c r="AP961" s="1525">
        <v>147604.85999999999</v>
      </c>
      <c r="AQ961" s="1525"/>
      <c r="AR961" s="1525">
        <v>92034.5</v>
      </c>
      <c r="AS961" s="1525">
        <f>IF(Table15[[#This Row],[PCTS Approved]]="N",0,Table15[[#This Row],[Investment Amount (1'#'#'#'#'#)]]+Table15[[#This Row],[Retirement Amount (3'#'#'#'#'#)]])</f>
        <v>239639.36</v>
      </c>
      <c r="AT961" s="1525">
        <f>IF(Table15[[#This Row],[Approved Construction Cost]]=0,0,Table15[[#This Row],[Approved Construction Cost]]-Table15[[#This Row],[Construction Cost to Bill From]])</f>
        <v>0</v>
      </c>
      <c r="AU961" s="1525">
        <f>IFERROR(Table15[[#This Row],[Difference in Construction Cost]]*Table15[[#This Row],[Rate]],Table15[[#This Row],[Difference in Construction Cost]]*0.085)</f>
        <v>0</v>
      </c>
      <c r="AV961" s="1525" t="s">
        <v>709</v>
      </c>
      <c r="AW961" s="1526"/>
      <c r="AX961" s="1525">
        <v>0</v>
      </c>
      <c r="AY961" s="1518">
        <v>45352</v>
      </c>
      <c r="AZ961" s="1532"/>
      <c r="BA961" s="859" t="s">
        <v>5690</v>
      </c>
      <c r="BB961" s="644" t="s">
        <v>896</v>
      </c>
      <c r="BC961" s="544" t="s">
        <v>115</v>
      </c>
      <c r="BD961" s="544" t="s">
        <v>115</v>
      </c>
      <c r="BE961" s="544" t="s">
        <v>1462</v>
      </c>
      <c r="BF961" s="544" t="s">
        <v>115</v>
      </c>
      <c r="BG961" s="544" t="s">
        <v>115</v>
      </c>
      <c r="BH961" s="741" t="s">
        <v>115</v>
      </c>
      <c r="BI961" s="547" t="s">
        <v>709</v>
      </c>
      <c r="BJ961" s="547" t="s">
        <v>709</v>
      </c>
      <c r="BK961" s="547" t="s">
        <v>709</v>
      </c>
      <c r="BL961" s="547" t="s">
        <v>116</v>
      </c>
      <c r="BM961" s="547" t="s">
        <v>709</v>
      </c>
      <c r="BN961" s="547" t="s">
        <v>709</v>
      </c>
      <c r="BO961" s="547" t="s">
        <v>709</v>
      </c>
      <c r="BP961" s="547" t="s">
        <v>709</v>
      </c>
      <c r="BQ961" s="547">
        <v>404</v>
      </c>
      <c r="BR961" s="547" t="s">
        <v>709</v>
      </c>
      <c r="BS961" s="547" t="s">
        <v>709</v>
      </c>
      <c r="BT961" s="547" t="s">
        <v>745</v>
      </c>
      <c r="BU961" s="547" t="s">
        <v>709</v>
      </c>
      <c r="BV961" s="547" t="s">
        <v>745</v>
      </c>
      <c r="BW961" s="547" t="s">
        <v>709</v>
      </c>
      <c r="BX961" s="547" t="s">
        <v>709</v>
      </c>
      <c r="BY961" s="547" t="s">
        <v>745</v>
      </c>
      <c r="BZ961" s="547" t="s">
        <v>709</v>
      </c>
      <c r="CA961" s="483"/>
      <c r="CB961" s="547">
        <v>959</v>
      </c>
      <c r="CC961" s="1481" t="b">
        <v>1</v>
      </c>
      <c r="CD961" t="str">
        <f>Table15[[#This Row],[Engineering Number]]&amp;Table15[[#This Row],[WO Number]]&amp;Table15[[#This Row],[Date Assigned to Designer]]&amp;Table15[[#This Row],[Date Completed]]</f>
        <v>SC2157713127304500845071</v>
      </c>
    </row>
    <row r="962" spans="1:82" customFormat="1" ht="15" customHeight="1" x14ac:dyDescent="0.25">
      <c r="A962">
        <v>2023</v>
      </c>
      <c r="B962" s="8" t="s">
        <v>771</v>
      </c>
      <c r="C962" s="8" t="s">
        <v>494</v>
      </c>
      <c r="D962" s="8" t="s">
        <v>1514</v>
      </c>
      <c r="E962" s="8" t="s">
        <v>1004</v>
      </c>
      <c r="F962" s="8" t="s">
        <v>1515</v>
      </c>
      <c r="G962" s="8" t="s">
        <v>22</v>
      </c>
      <c r="H962" s="8" t="s">
        <v>59</v>
      </c>
      <c r="I962" s="642">
        <v>44957</v>
      </c>
      <c r="J962" s="18">
        <v>45072</v>
      </c>
      <c r="K962" s="97">
        <v>45072</v>
      </c>
      <c r="L962" s="16">
        <f>IF(ISTEXT(Table15[[#This Row],[Engineering Approved Design Date]]),Table15[[#This Row],[Date Completed]]-Table15[[#This Row],[Date Assigned to Designer]],Table15[[#This Row],[Engineering Approved Design Date]]-Table15[[#This Row],[Date Completed]])</f>
        <v>0</v>
      </c>
      <c r="M962" s="642"/>
      <c r="N962" s="642" t="s">
        <v>120</v>
      </c>
      <c r="O962" s="1060">
        <v>45078</v>
      </c>
      <c r="P962" s="1152" t="s">
        <v>120</v>
      </c>
      <c r="Q962" s="340">
        <f>Table15[[#This Row],[Rate]]*Table15[[#This Row],[Construction Cost to Bill From]]</f>
        <v>143735.7726</v>
      </c>
      <c r="R962" s="1026">
        <v>0.09</v>
      </c>
      <c r="S962" s="538"/>
      <c r="T962" s="538"/>
      <c r="U962" s="87"/>
      <c r="V962" s="858">
        <v>1021</v>
      </c>
      <c r="W962" s="437">
        <v>0</v>
      </c>
      <c r="X962" s="538">
        <v>1139019.48</v>
      </c>
      <c r="Y962" s="551"/>
      <c r="Z962" s="552">
        <v>458044.66</v>
      </c>
      <c r="AA962" s="552">
        <f>SUM(Table15[[#This Row],[PCTS Investment Amount]:[PCTS Retirement Amount]])</f>
        <v>1597064.14</v>
      </c>
      <c r="AB962" s="341">
        <v>45077</v>
      </c>
      <c r="AC962" s="568" t="s">
        <v>1516</v>
      </c>
      <c r="AD962" s="1157" t="s">
        <v>29</v>
      </c>
      <c r="AE962" s="568"/>
      <c r="AF962" s="568"/>
      <c r="AG962" s="568"/>
      <c r="AH962" s="183"/>
      <c r="AI962" s="1036"/>
      <c r="AJ962" s="1037"/>
      <c r="AK962" s="1037"/>
      <c r="AL962" s="1038"/>
      <c r="AM962" s="1522" t="s">
        <v>116</v>
      </c>
      <c r="AN962" s="1523">
        <v>45805</v>
      </c>
      <c r="AO962" s="1524">
        <v>11057162</v>
      </c>
      <c r="AP962" s="1525">
        <v>1156965.3600000001</v>
      </c>
      <c r="AQ962" s="1525"/>
      <c r="AR962" s="1525">
        <v>465894.16</v>
      </c>
      <c r="AS962" s="1525">
        <f>IF(Table15[[#This Row],[PCTS Approved]]="N",0,Table15[[#This Row],[Investment Amount (1'#'#'#'#'#)]]+Table15[[#This Row],[Retirement Amount (3'#'#'#'#'#)]])</f>
        <v>1622859.52</v>
      </c>
      <c r="AT962" s="1525">
        <f>IF(Table15[[#This Row],[Approved Construction Cost]]=0,0,Table15[[#This Row],[Approved Construction Cost]]-Table15[[#This Row],[Construction Cost to Bill From]])</f>
        <v>25795.380000000121</v>
      </c>
      <c r="AU962" s="1525">
        <f>IFERROR(Table15[[#This Row],[Difference in Construction Cost]]*Table15[[#This Row],[Rate]],Table15[[#This Row],[Difference in Construction Cost]]*0.085)</f>
        <v>2321.5842000000107</v>
      </c>
      <c r="AV962" s="1525">
        <v>5807.5</v>
      </c>
      <c r="AW962" s="1526" t="s">
        <v>5706</v>
      </c>
      <c r="AX962" s="1525">
        <v>0</v>
      </c>
      <c r="AY962" s="1518">
        <v>45901</v>
      </c>
      <c r="AZ962" s="333">
        <v>45</v>
      </c>
      <c r="BA962" s="1081" t="s">
        <v>1517</v>
      </c>
      <c r="BB962" s="644" t="s">
        <v>1518</v>
      </c>
      <c r="BC962" s="544" t="s">
        <v>116</v>
      </c>
      <c r="BD962" s="544" t="s">
        <v>862</v>
      </c>
      <c r="BE962" s="544" t="s">
        <v>495</v>
      </c>
      <c r="BF962" s="544" t="s">
        <v>709</v>
      </c>
      <c r="BG962" s="544" t="s">
        <v>1519</v>
      </c>
      <c r="BH962" s="741" t="s">
        <v>1520</v>
      </c>
      <c r="BI962" s="547" t="s">
        <v>709</v>
      </c>
      <c r="BJ962" s="547" t="s">
        <v>709</v>
      </c>
      <c r="BK962" s="547" t="s">
        <v>116</v>
      </c>
      <c r="BL962" s="547" t="s">
        <v>709</v>
      </c>
      <c r="BM962" s="547">
        <v>1016</v>
      </c>
      <c r="BN962" s="547">
        <v>5</v>
      </c>
      <c r="BO962" s="547" t="s">
        <v>709</v>
      </c>
      <c r="BP962" s="547" t="s">
        <v>709</v>
      </c>
      <c r="BQ962" s="547" t="s">
        <v>709</v>
      </c>
      <c r="BR962" s="547" t="s">
        <v>709</v>
      </c>
      <c r="BS962" s="547" t="s">
        <v>709</v>
      </c>
      <c r="BT962" s="547" t="s">
        <v>709</v>
      </c>
      <c r="BU962" s="547" t="s">
        <v>709</v>
      </c>
      <c r="BV962" s="547" t="s">
        <v>709</v>
      </c>
      <c r="BW962" s="547" t="s">
        <v>709</v>
      </c>
      <c r="BX962" s="547" t="s">
        <v>709</v>
      </c>
      <c r="BY962" s="547" t="s">
        <v>709</v>
      </c>
      <c r="BZ962" s="547" t="s">
        <v>709</v>
      </c>
      <c r="CA962" s="483"/>
      <c r="CB962" s="547">
        <v>960</v>
      </c>
      <c r="CC962" s="1481" t="b">
        <v>1</v>
      </c>
      <c r="CD962" t="str">
        <f>Table15[[#This Row],[Engineering Number]]&amp;Table15[[#This Row],[WO Number]]&amp;Table15[[#This Row],[Date Assigned to Designer]]&amp;Table15[[#This Row],[Date Completed]]</f>
        <v>BS52013123674495745072</v>
      </c>
    </row>
    <row r="963" spans="1:82" customFormat="1" ht="15" customHeight="1" x14ac:dyDescent="0.25">
      <c r="A963">
        <v>2024</v>
      </c>
      <c r="B963" s="8" t="s">
        <v>759</v>
      </c>
      <c r="C963" s="8" t="s">
        <v>525</v>
      </c>
      <c r="D963" s="8" t="s">
        <v>1521</v>
      </c>
      <c r="E963" s="8" t="s">
        <v>1522</v>
      </c>
      <c r="F963" s="8" t="s">
        <v>752</v>
      </c>
      <c r="G963" s="8" t="s">
        <v>37</v>
      </c>
      <c r="H963" s="13" t="s">
        <v>59</v>
      </c>
      <c r="I963" s="642">
        <v>44979</v>
      </c>
      <c r="J963" s="18">
        <v>45079</v>
      </c>
      <c r="K963" s="175">
        <v>45079</v>
      </c>
      <c r="L963" s="16">
        <f>IF(ISTEXT(Table15[[#This Row],[Engineering Approved Design Date]]),Table15[[#This Row],[Date Completed]]-Table15[[#This Row],[Date Assigned to Designer]],Table15[[#This Row],[Engineering Approved Design Date]]-Table15[[#This Row],[Date Completed]])</f>
        <v>0</v>
      </c>
      <c r="M963" s="642"/>
      <c r="N963" s="642" t="s">
        <v>120</v>
      </c>
      <c r="O963" s="1060">
        <f>Table15[[#This Row],[Date Completed]]</f>
        <v>45079</v>
      </c>
      <c r="P963" s="1152" t="s">
        <v>120</v>
      </c>
      <c r="Q963" s="340">
        <f>Table15[[#This Row],[Rate]]*Table15[[#This Row],[Construction Cost to Bill From]]</f>
        <v>66982.895100000009</v>
      </c>
      <c r="R963" s="1026">
        <v>0.11</v>
      </c>
      <c r="S963" s="538"/>
      <c r="T963" s="538"/>
      <c r="U963" s="87"/>
      <c r="V963" s="858">
        <v>267</v>
      </c>
      <c r="W963" s="437">
        <v>1</v>
      </c>
      <c r="X963" s="552">
        <v>517133.74</v>
      </c>
      <c r="Y963" s="551"/>
      <c r="Z963" s="552">
        <v>91801.67</v>
      </c>
      <c r="AA963" s="552">
        <f>Table15[[#This Row],[PCTS Investment Amount]]+Table15[[#This Row],[PCTS Retirement Amount]]</f>
        <v>608935.41</v>
      </c>
      <c r="AB963" s="341">
        <v>45091</v>
      </c>
      <c r="AC963" s="568" t="s">
        <v>1523</v>
      </c>
      <c r="AD963" s="1157" t="s">
        <v>29</v>
      </c>
      <c r="AE963" s="579"/>
      <c r="AF963" s="579"/>
      <c r="AG963" s="579"/>
      <c r="AH963" s="553">
        <v>45609</v>
      </c>
      <c r="AI963" s="1036"/>
      <c r="AJ963" s="1037"/>
      <c r="AK963" s="1037"/>
      <c r="AL963" s="1038"/>
      <c r="AM963" s="1522" t="s">
        <v>116</v>
      </c>
      <c r="AN963" s="1523">
        <v>45496</v>
      </c>
      <c r="AO963" s="1524">
        <v>11070082</v>
      </c>
      <c r="AP963" s="1525">
        <v>532671.96</v>
      </c>
      <c r="AQ963" s="1525"/>
      <c r="AR963" s="1525">
        <v>96042.03</v>
      </c>
      <c r="AS963" s="1525">
        <f>IF(Table15[[#This Row],[PCTS Approved]]="N",0,Table15[[#This Row],[Investment Amount (1'#'#'#'#'#)]]+Table15[[#This Row],[Retirement Amount (3'#'#'#'#'#)]])</f>
        <v>628713.99</v>
      </c>
      <c r="AT963" s="1525">
        <f>IF(Table15[[#This Row],[Approved Construction Cost]]=0,0,Table15[[#This Row],[Approved Construction Cost]]-Table15[[#This Row],[Construction Cost to Bill From]])</f>
        <v>19778.579999999958</v>
      </c>
      <c r="AU963" s="1525">
        <f>IFERROR(Table15[[#This Row],[Difference in Construction Cost]]*Table15[[#This Row],[Rate]],Table15[[#This Row],[Difference in Construction Cost]]*0.085)</f>
        <v>2175.6437999999953</v>
      </c>
      <c r="AV963" s="1525">
        <v>0</v>
      </c>
      <c r="AW963" s="1526" t="s">
        <v>5708</v>
      </c>
      <c r="AX963" s="1525">
        <f>Table15[[#This Row],[Reconcile Amount]]</f>
        <v>2175.6437999999953</v>
      </c>
      <c r="AY963" s="1518">
        <v>45901</v>
      </c>
      <c r="AZ963" s="333">
        <v>154</v>
      </c>
      <c r="BA963" s="859" t="s">
        <v>1524</v>
      </c>
      <c r="BB963" s="644" t="s">
        <v>1525</v>
      </c>
      <c r="BC963" s="544" t="s">
        <v>115</v>
      </c>
      <c r="BD963" s="544" t="s">
        <v>115</v>
      </c>
      <c r="BE963" s="544" t="s">
        <v>115</v>
      </c>
      <c r="BF963" s="544" t="s">
        <v>526</v>
      </c>
      <c r="BG963" s="544" t="s">
        <v>115</v>
      </c>
      <c r="BH963" s="741" t="s">
        <v>1526</v>
      </c>
      <c r="BI963" s="547" t="s">
        <v>709</v>
      </c>
      <c r="BJ963" s="547" t="s">
        <v>709</v>
      </c>
      <c r="BK963" s="547" t="s">
        <v>116</v>
      </c>
      <c r="BL963" s="547" t="s">
        <v>116</v>
      </c>
      <c r="BM963" s="547" t="s">
        <v>709</v>
      </c>
      <c r="BN963" s="547" t="s">
        <v>709</v>
      </c>
      <c r="BO963" s="547" t="s">
        <v>709</v>
      </c>
      <c r="BP963" s="547">
        <v>128</v>
      </c>
      <c r="BQ963" s="547" t="s">
        <v>709</v>
      </c>
      <c r="BR963" s="547">
        <v>9</v>
      </c>
      <c r="BS963" s="547" t="s">
        <v>709</v>
      </c>
      <c r="BT963" s="547" t="s">
        <v>709</v>
      </c>
      <c r="BU963" s="547" t="s">
        <v>709</v>
      </c>
      <c r="BV963" s="547" t="s">
        <v>709</v>
      </c>
      <c r="BW963" s="547">
        <v>1</v>
      </c>
      <c r="BX963" s="547" t="s">
        <v>745</v>
      </c>
      <c r="BY963" s="547" t="s">
        <v>709</v>
      </c>
      <c r="BZ963" s="547" t="s">
        <v>709</v>
      </c>
      <c r="CA963" s="483" t="s">
        <v>1022</v>
      </c>
      <c r="CB963" s="547">
        <v>961</v>
      </c>
      <c r="CC963" s="1481" t="b">
        <v>1</v>
      </c>
      <c r="CD963" t="str">
        <f>Table15[[#This Row],[Engineering Number]]&amp;Table15[[#This Row],[WO Number]]&amp;Table15[[#This Row],[Date Assigned to Designer]]&amp;Table15[[#This Row],[Date Completed]]</f>
        <v>RS90510124174497945079</v>
      </c>
    </row>
    <row r="964" spans="1:82" customFormat="1" ht="15" customHeight="1" x14ac:dyDescent="0.25">
      <c r="A964">
        <v>2023</v>
      </c>
      <c r="B964" s="8" t="s">
        <v>4</v>
      </c>
      <c r="C964" s="8" t="s">
        <v>3159</v>
      </c>
      <c r="D964" s="8">
        <v>129278</v>
      </c>
      <c r="E964" s="8" t="s">
        <v>393</v>
      </c>
      <c r="F964" s="8" t="s">
        <v>784</v>
      </c>
      <c r="G964" s="8" t="s">
        <v>23</v>
      </c>
      <c r="H964" s="8" t="s">
        <v>5710</v>
      </c>
      <c r="I964" s="642">
        <v>45078</v>
      </c>
      <c r="J964" s="175" t="s">
        <v>2052</v>
      </c>
      <c r="K964" s="97">
        <v>45085</v>
      </c>
      <c r="L964" s="16">
        <f>IF(ISTEXT(Table15[[#This Row],[Engineering Approved Design Date]]),Table15[[#This Row],[Date Completed]]-Table15[[#This Row],[Date Assigned to Designer]],Table15[[#This Row],[Engineering Approved Design Date]]-Table15[[#This Row],[Date Completed]])</f>
        <v>7</v>
      </c>
      <c r="M964" s="16" t="s">
        <v>5711</v>
      </c>
      <c r="N964" s="642" t="s">
        <v>120</v>
      </c>
      <c r="O964" s="1060">
        <f>Table15[[#This Row],[Date Completed]]</f>
        <v>45085</v>
      </c>
      <c r="P964" s="1152" t="s">
        <v>120</v>
      </c>
      <c r="Q964" s="1061">
        <f>Table15[[#This Row],[KH Hourly Effort]]</f>
        <v>5195</v>
      </c>
      <c r="R964" s="1039" t="s">
        <v>1922</v>
      </c>
      <c r="S964" s="538">
        <v>0</v>
      </c>
      <c r="T964" s="538">
        <v>0</v>
      </c>
      <c r="U964" s="87">
        <v>5195</v>
      </c>
      <c r="V964" s="857">
        <v>5379</v>
      </c>
      <c r="W964" s="440">
        <v>0</v>
      </c>
      <c r="X964" s="538"/>
      <c r="Y964" s="551"/>
      <c r="Z964" s="538"/>
      <c r="AA964" s="552"/>
      <c r="AB964" s="341" t="s">
        <v>29</v>
      </c>
      <c r="AC964" s="569" t="s">
        <v>29</v>
      </c>
      <c r="AD964" s="1149" t="s">
        <v>29</v>
      </c>
      <c r="AE964" s="580"/>
      <c r="AF964" s="580"/>
      <c r="AG964" s="580"/>
      <c r="AH964" s="542"/>
      <c r="AI964" s="1028"/>
      <c r="AJ964" s="1029"/>
      <c r="AK964" s="1029"/>
      <c r="AL964" s="1030"/>
      <c r="AM964" s="542" t="s">
        <v>709</v>
      </c>
      <c r="AN964" s="924"/>
      <c r="AO964" s="925"/>
      <c r="AP964" s="926"/>
      <c r="AQ964" s="926"/>
      <c r="AR964" s="926"/>
      <c r="AS964" s="926"/>
      <c r="AT964" s="926"/>
      <c r="AU964" s="926"/>
      <c r="AV964" s="926"/>
      <c r="AW964" s="927"/>
      <c r="AX964" s="926"/>
      <c r="AY964" s="1538" t="s">
        <v>29</v>
      </c>
      <c r="AZ964" s="1530"/>
      <c r="BA964" s="1031">
        <v>1</v>
      </c>
      <c r="BB964" s="644" t="s">
        <v>116</v>
      </c>
      <c r="BC964" s="544"/>
      <c r="BD964" s="544"/>
      <c r="BE964" s="544"/>
      <c r="BF964" s="544"/>
      <c r="BG964" s="544"/>
      <c r="BH964" s="741"/>
      <c r="BI964" s="547" t="s">
        <v>709</v>
      </c>
      <c r="BJ964" s="547" t="s">
        <v>709</v>
      </c>
      <c r="BK964" s="547" t="s">
        <v>709</v>
      </c>
      <c r="BL964" s="547" t="s">
        <v>116</v>
      </c>
      <c r="BM964" s="547">
        <v>55</v>
      </c>
      <c r="BN964" s="547">
        <v>4125</v>
      </c>
      <c r="BO964" s="547" t="s">
        <v>709</v>
      </c>
      <c r="BP964" s="547" t="s">
        <v>709</v>
      </c>
      <c r="BQ964" s="547">
        <v>93</v>
      </c>
      <c r="BR964" s="547">
        <v>367</v>
      </c>
      <c r="BS964" s="547">
        <v>630</v>
      </c>
      <c r="BT964" s="547" t="s">
        <v>709</v>
      </c>
      <c r="BU964" s="547" t="s">
        <v>709</v>
      </c>
      <c r="BV964" s="547" t="s">
        <v>709</v>
      </c>
      <c r="BW964" s="547" t="s">
        <v>709</v>
      </c>
      <c r="BX964" s="547" t="s">
        <v>745</v>
      </c>
      <c r="BY964" s="547" t="s">
        <v>709</v>
      </c>
      <c r="BZ964" s="547" t="s">
        <v>709</v>
      </c>
      <c r="CA964" s="483"/>
      <c r="CB964" s="547">
        <v>964</v>
      </c>
      <c r="CC964" s="1481" t="b">
        <v>1</v>
      </c>
      <c r="CD964" t="str">
        <f>Table15[[#This Row],[Engineering Number]]&amp;Table15[[#This Row],[WO Number]]&amp;Table15[[#This Row],[Date Assigned to Designer]]&amp;Table15[[#This Row],[Date Completed]]</f>
        <v>N133361292784507845085</v>
      </c>
    </row>
    <row r="965" spans="1:82" customFormat="1" ht="15" customHeight="1" x14ac:dyDescent="0.25">
      <c r="A965">
        <v>2023</v>
      </c>
      <c r="B965" s="8" t="s">
        <v>769</v>
      </c>
      <c r="C965" s="8" t="s">
        <v>1186</v>
      </c>
      <c r="D965" s="8">
        <v>102131</v>
      </c>
      <c r="E965" s="8" t="s">
        <v>393</v>
      </c>
      <c r="F965" s="8" t="s">
        <v>784</v>
      </c>
      <c r="G965" s="8" t="s">
        <v>23</v>
      </c>
      <c r="H965" s="8" t="s">
        <v>3852</v>
      </c>
      <c r="I965" s="642">
        <v>45078</v>
      </c>
      <c r="J965" s="175" t="s">
        <v>2052</v>
      </c>
      <c r="K965" s="97">
        <v>45085</v>
      </c>
      <c r="L965" s="16">
        <f>IF(ISTEXT(Table15[[#This Row],[Engineering Approved Design Date]]),Table15[[#This Row],[Date Completed]]-Table15[[#This Row],[Date Assigned to Designer]],Table15[[#This Row],[Engineering Approved Design Date]]-Table15[[#This Row],[Date Completed]])</f>
        <v>7</v>
      </c>
      <c r="M965" s="16" t="s">
        <v>5713</v>
      </c>
      <c r="N965" s="642" t="s">
        <v>120</v>
      </c>
      <c r="O965" s="1060">
        <f>Table15[[#This Row],[Date Completed]]</f>
        <v>45085</v>
      </c>
      <c r="P965" s="1152" t="s">
        <v>120</v>
      </c>
      <c r="Q965" s="1061">
        <f>Table15[[#This Row],[KH Hourly Effort]]</f>
        <v>4395</v>
      </c>
      <c r="R965" s="1039" t="s">
        <v>1922</v>
      </c>
      <c r="S965" s="538">
        <v>0</v>
      </c>
      <c r="T965" s="538">
        <v>0</v>
      </c>
      <c r="U965" s="1078">
        <v>4395</v>
      </c>
      <c r="V965" s="857">
        <v>2623</v>
      </c>
      <c r="W965" s="440">
        <v>0</v>
      </c>
      <c r="X965" s="538"/>
      <c r="Y965" s="551"/>
      <c r="Z965" s="538"/>
      <c r="AA965" s="552"/>
      <c r="AB965" s="341" t="s">
        <v>29</v>
      </c>
      <c r="AC965" s="569" t="s">
        <v>29</v>
      </c>
      <c r="AD965" s="1149" t="s">
        <v>29</v>
      </c>
      <c r="AE965" s="580"/>
      <c r="AF965" s="580"/>
      <c r="AG965" s="580"/>
      <c r="AH965" s="542"/>
      <c r="AI965" s="1028"/>
      <c r="AJ965" s="1029"/>
      <c r="AK965" s="1029"/>
      <c r="AL965" s="1030"/>
      <c r="AM965" s="542" t="s">
        <v>709</v>
      </c>
      <c r="AN965" s="924"/>
      <c r="AO965" s="925"/>
      <c r="AP965" s="926"/>
      <c r="AQ965" s="926"/>
      <c r="AR965" s="926"/>
      <c r="AS965" s="926"/>
      <c r="AT965" s="926"/>
      <c r="AU965" s="926"/>
      <c r="AV965" s="926"/>
      <c r="AW965" s="927"/>
      <c r="AX965" s="926"/>
      <c r="AY965" s="1538" t="s">
        <v>29</v>
      </c>
      <c r="AZ965" s="1530"/>
      <c r="BA965" s="1031">
        <v>1</v>
      </c>
      <c r="BB965" s="644" t="s">
        <v>116</v>
      </c>
      <c r="BC965" s="544"/>
      <c r="BD965" s="544"/>
      <c r="BE965" s="544"/>
      <c r="BF965" s="544"/>
      <c r="BG965" s="544"/>
      <c r="BH965" s="741"/>
      <c r="BI965" s="547" t="s">
        <v>709</v>
      </c>
      <c r="BJ965" s="547" t="s">
        <v>709</v>
      </c>
      <c r="BK965" s="547" t="s">
        <v>709</v>
      </c>
      <c r="BL965" s="547" t="s">
        <v>116</v>
      </c>
      <c r="BM965" s="547" t="s">
        <v>709</v>
      </c>
      <c r="BN965" s="547">
        <v>17</v>
      </c>
      <c r="BO965" s="547" t="s">
        <v>709</v>
      </c>
      <c r="BP965" s="547" t="s">
        <v>709</v>
      </c>
      <c r="BQ965" s="547">
        <v>546</v>
      </c>
      <c r="BR965" s="547">
        <v>507</v>
      </c>
      <c r="BS965" s="547">
        <v>1553</v>
      </c>
      <c r="BT965" s="547" t="s">
        <v>709</v>
      </c>
      <c r="BU965" s="547" t="s">
        <v>709</v>
      </c>
      <c r="BV965" s="547" t="s">
        <v>709</v>
      </c>
      <c r="BW965" s="547" t="s">
        <v>709</v>
      </c>
      <c r="BX965" s="547" t="s">
        <v>709</v>
      </c>
      <c r="BY965" s="547" t="s">
        <v>709</v>
      </c>
      <c r="BZ965" s="547" t="s">
        <v>709</v>
      </c>
      <c r="CA965" s="483" t="s">
        <v>769</v>
      </c>
      <c r="CB965" s="547">
        <v>962</v>
      </c>
      <c r="CC965" s="1481" t="b">
        <v>1</v>
      </c>
      <c r="CD965" t="str">
        <f>Table15[[#This Row],[Engineering Number]]&amp;Table15[[#This Row],[WO Number]]&amp;Table15[[#This Row],[Date Assigned to Designer]]&amp;Table15[[#This Row],[Date Completed]]</f>
        <v>RS6621021314507845085</v>
      </c>
    </row>
    <row r="966" spans="1:82" customFormat="1" ht="15" customHeight="1" x14ac:dyDescent="0.25">
      <c r="A966">
        <v>2023</v>
      </c>
      <c r="B966" s="8" t="s">
        <v>771</v>
      </c>
      <c r="C966" s="8" t="s">
        <v>1527</v>
      </c>
      <c r="D966" s="8" t="s">
        <v>1528</v>
      </c>
      <c r="E966" s="8" t="s">
        <v>1529</v>
      </c>
      <c r="F966" s="8" t="s">
        <v>784</v>
      </c>
      <c r="G966" s="8" t="s">
        <v>32</v>
      </c>
      <c r="H966" s="8" t="s">
        <v>59</v>
      </c>
      <c r="I966" s="642">
        <v>45006</v>
      </c>
      <c r="J966" s="18">
        <v>45098</v>
      </c>
      <c r="K966" s="97">
        <v>45085</v>
      </c>
      <c r="L966" s="16">
        <f>IF(ISTEXT(Table15[[#This Row],[Engineering Approved Design Date]]),Table15[[#This Row],[Date Completed]]-Table15[[#This Row],[Date Assigned to Designer]],Table15[[#This Row],[Engineering Approved Design Date]]-Table15[[#This Row],[Date Completed]])</f>
        <v>13</v>
      </c>
      <c r="M966" s="642"/>
      <c r="N966" s="642" t="s">
        <v>120</v>
      </c>
      <c r="O966" s="1060">
        <f>Table15[[#This Row],[Date Completed]]</f>
        <v>45085</v>
      </c>
      <c r="P966" s="1152" t="s">
        <v>120</v>
      </c>
      <c r="Q966" s="340">
        <f>Table15[[#This Row],[Rate]]*Table15[[#This Row],[Construction Cost to Bill From]]</f>
        <v>44915.480100000001</v>
      </c>
      <c r="R966" s="1026">
        <v>0.09</v>
      </c>
      <c r="S966" s="538"/>
      <c r="T966" s="538"/>
      <c r="U966" s="87"/>
      <c r="V966" s="858">
        <v>1694</v>
      </c>
      <c r="W966" s="437">
        <v>0</v>
      </c>
      <c r="X966" s="538">
        <v>456922.55</v>
      </c>
      <c r="Y966" s="551"/>
      <c r="Z966" s="552">
        <v>42138.34</v>
      </c>
      <c r="AA966" s="552">
        <f>SUM(Table15[[#This Row],[PCTS Investment Amount]:[PCTS Retirement Amount]])</f>
        <v>499060.89</v>
      </c>
      <c r="AB966" s="341">
        <v>45086</v>
      </c>
      <c r="AC966" s="568" t="s">
        <v>29</v>
      </c>
      <c r="AD966" s="1157" t="s">
        <v>116</v>
      </c>
      <c r="AE966" s="568"/>
      <c r="AF966" s="568" t="s">
        <v>116</v>
      </c>
      <c r="AG966" s="568" t="s">
        <v>116</v>
      </c>
      <c r="AH966" s="183"/>
      <c r="AI966" s="1036"/>
      <c r="AJ966" s="1037"/>
      <c r="AK966" s="1037"/>
      <c r="AL966" s="1038"/>
      <c r="AM966" s="536" t="s">
        <v>116</v>
      </c>
      <c r="AN966" s="903" t="s">
        <v>709</v>
      </c>
      <c r="AO966" s="1536" t="s">
        <v>115</v>
      </c>
      <c r="AP966" s="1537"/>
      <c r="AQ966" s="1537"/>
      <c r="AR966" s="1537"/>
      <c r="AS966" s="888">
        <f>IF(Table15[[#This Row],[PCTS Approved]]="N",0,Table15[[#This Row],[Investment Amount (1'#'#'#'#'#)]]+Table15[[#This Row],[Retirement Amount (3'#'#'#'#'#)]])</f>
        <v>0</v>
      </c>
      <c r="AT966" s="888">
        <f>IF(Table15[[#This Row],[Approved Construction Cost]]=0,0,Table15[[#This Row],[Approved Construction Cost]]-Table15[[#This Row],[Construction Cost to Bill From]])</f>
        <v>0</v>
      </c>
      <c r="AU966" s="888">
        <f>IFERROR(Table15[[#This Row],[Difference in Construction Cost]]*Table15[[#This Row],[Rate]],Table15[[#This Row],[Difference in Construction Cost]]*0.085)</f>
        <v>0</v>
      </c>
      <c r="AV966" s="905"/>
      <c r="AW966" s="1509"/>
      <c r="AX966" s="888"/>
      <c r="AY966" s="636" t="s">
        <v>709</v>
      </c>
      <c r="AZ966" s="333">
        <v>46</v>
      </c>
      <c r="BA966" s="859" t="s">
        <v>1530</v>
      </c>
      <c r="BB966" s="644" t="s">
        <v>1531</v>
      </c>
      <c r="BC966" s="544" t="s">
        <v>709</v>
      </c>
      <c r="BD966" s="544" t="s">
        <v>882</v>
      </c>
      <c r="BE966" s="544" t="s">
        <v>581</v>
      </c>
      <c r="BF966" s="544" t="s">
        <v>115</v>
      </c>
      <c r="BG966" s="544" t="s">
        <v>115</v>
      </c>
      <c r="BH966" s="741" t="s">
        <v>1532</v>
      </c>
      <c r="BI966" s="547" t="s">
        <v>709</v>
      </c>
      <c r="BJ966" s="547" t="s">
        <v>709</v>
      </c>
      <c r="BK966" s="547" t="s">
        <v>709</v>
      </c>
      <c r="BL966" s="547" t="s">
        <v>116</v>
      </c>
      <c r="BM966" s="547">
        <v>0</v>
      </c>
      <c r="BN966" s="549">
        <v>0</v>
      </c>
      <c r="BO966" s="547">
        <v>0</v>
      </c>
      <c r="BP966" s="547">
        <v>0</v>
      </c>
      <c r="BQ966" s="547">
        <v>0</v>
      </c>
      <c r="BR966" s="547">
        <v>0</v>
      </c>
      <c r="BS966" s="547">
        <v>1694</v>
      </c>
      <c r="BT966" s="547">
        <v>0</v>
      </c>
      <c r="BU966" s="549">
        <v>0</v>
      </c>
      <c r="BV966" s="547">
        <v>0</v>
      </c>
      <c r="BW966" s="547">
        <v>0</v>
      </c>
      <c r="BX966" s="547">
        <v>0</v>
      </c>
      <c r="BY966" s="547">
        <v>0</v>
      </c>
      <c r="BZ966" s="547" t="s">
        <v>709</v>
      </c>
      <c r="CA966" s="483"/>
      <c r="CB966" s="547">
        <v>963</v>
      </c>
      <c r="CC966" s="1481" t="b">
        <v>1</v>
      </c>
      <c r="CD966" t="str">
        <f>Table15[[#This Row],[Engineering Number]]&amp;Table15[[#This Row],[WO Number]]&amp;Table15[[#This Row],[Date Assigned to Designer]]&amp;Table15[[#This Row],[Date Completed]]</f>
        <v>VW240/ VW24112125854500645085</v>
      </c>
    </row>
    <row r="967" spans="1:82" customFormat="1" ht="15" customHeight="1" x14ac:dyDescent="0.25">
      <c r="A967">
        <v>2023</v>
      </c>
      <c r="B967" s="8" t="s">
        <v>771</v>
      </c>
      <c r="C967" s="8" t="s">
        <v>4854</v>
      </c>
      <c r="D967" s="8">
        <v>1411323</v>
      </c>
      <c r="E967" s="8" t="s">
        <v>825</v>
      </c>
      <c r="F967" s="8" t="s">
        <v>4835</v>
      </c>
      <c r="G967" s="8" t="s">
        <v>219</v>
      </c>
      <c r="H967" s="8" t="s">
        <v>4001</v>
      </c>
      <c r="I967" s="642">
        <v>44992</v>
      </c>
      <c r="J967" s="175" t="s">
        <v>2052</v>
      </c>
      <c r="K967" s="97">
        <v>45091</v>
      </c>
      <c r="L967" s="16">
        <f>IF(ISTEXT(Table15[[#This Row],[Engineering Approved Design Date]]),Table15[[#This Row],[Date Completed]]-Table15[[#This Row],[Date Assigned to Designer]],Table15[[#This Row],[Engineering Approved Design Date]]-Table15[[#This Row],[Date Completed]])</f>
        <v>99</v>
      </c>
      <c r="M967" s="16" t="s">
        <v>5716</v>
      </c>
      <c r="N967" s="642" t="s">
        <v>120</v>
      </c>
      <c r="O967" s="1060">
        <v>45108</v>
      </c>
      <c r="P967" s="21" t="s">
        <v>120</v>
      </c>
      <c r="Q967" s="1061">
        <f>Table15[[#This Row],[KH Hourly Effort]]</f>
        <v>18755</v>
      </c>
      <c r="R967" s="1039" t="s">
        <v>1922</v>
      </c>
      <c r="S967" s="538">
        <v>0</v>
      </c>
      <c r="T967" s="538">
        <v>0</v>
      </c>
      <c r="U967" s="1073">
        <v>18755</v>
      </c>
      <c r="V967" s="857">
        <v>32313</v>
      </c>
      <c r="W967" s="440">
        <v>0</v>
      </c>
      <c r="X967" s="538"/>
      <c r="Y967" s="551"/>
      <c r="Z967" s="538"/>
      <c r="AA967" s="552"/>
      <c r="AB967" s="341" t="s">
        <v>29</v>
      </c>
      <c r="AC967" s="569" t="s">
        <v>29</v>
      </c>
      <c r="AD967" s="1149" t="s">
        <v>116</v>
      </c>
      <c r="AE967" s="569" t="s">
        <v>756</v>
      </c>
      <c r="AF967" s="569" t="s">
        <v>116</v>
      </c>
      <c r="AG967" s="569" t="s">
        <v>116</v>
      </c>
      <c r="AH967" s="536" t="s">
        <v>116</v>
      </c>
      <c r="AI967" s="1028"/>
      <c r="AJ967" s="1029"/>
      <c r="AK967" s="1029"/>
      <c r="AL967" s="1030"/>
      <c r="AM967" s="542" t="s">
        <v>709</v>
      </c>
      <c r="AN967" s="924"/>
      <c r="AO967" s="925"/>
      <c r="AP967" s="926"/>
      <c r="AQ967" s="926"/>
      <c r="AR967" s="926"/>
      <c r="AS967" s="926"/>
      <c r="AT967" s="926"/>
      <c r="AU967" s="926"/>
      <c r="AV967" s="926"/>
      <c r="AW967" s="927"/>
      <c r="AX967" s="926"/>
      <c r="AY967" s="1538" t="s">
        <v>29</v>
      </c>
      <c r="AZ967" s="1530"/>
      <c r="BA967" s="1031">
        <v>3</v>
      </c>
      <c r="BB967" s="644" t="s">
        <v>709</v>
      </c>
      <c r="BC967" s="544"/>
      <c r="BD967" s="544"/>
      <c r="BE967" s="544"/>
      <c r="BF967" s="544"/>
      <c r="BG967" s="544"/>
      <c r="BH967" s="741" t="s">
        <v>5142</v>
      </c>
      <c r="BI967" s="547" t="s">
        <v>709</v>
      </c>
      <c r="BJ967" s="547" t="s">
        <v>116</v>
      </c>
      <c r="BK967" s="547" t="s">
        <v>709</v>
      </c>
      <c r="BL967" s="547" t="s">
        <v>709</v>
      </c>
      <c r="BM967" s="547" t="s">
        <v>709</v>
      </c>
      <c r="BN967" s="547">
        <v>32173</v>
      </c>
      <c r="BO967" s="547" t="s">
        <v>709</v>
      </c>
      <c r="BP967" s="547" t="s">
        <v>709</v>
      </c>
      <c r="BQ967" s="547">
        <v>41</v>
      </c>
      <c r="BR967" s="547" t="s">
        <v>709</v>
      </c>
      <c r="BS967" s="547">
        <v>99</v>
      </c>
      <c r="BT967" s="547" t="s">
        <v>709</v>
      </c>
      <c r="BU967" s="547" t="s">
        <v>709</v>
      </c>
      <c r="BV967" s="547" t="s">
        <v>709</v>
      </c>
      <c r="BW967" s="547" t="s">
        <v>709</v>
      </c>
      <c r="BX967" s="547">
        <v>1</v>
      </c>
      <c r="BY967" s="547" t="s">
        <v>709</v>
      </c>
      <c r="BZ967" s="547" t="s">
        <v>709</v>
      </c>
      <c r="CA967" s="483"/>
      <c r="CB967" s="547">
        <v>966</v>
      </c>
      <c r="CC967" s="1481" t="b">
        <v>1</v>
      </c>
      <c r="CD967" t="str">
        <f>Table15[[#This Row],[Engineering Number]]&amp;Table15[[#This Row],[WO Number]]&amp;Table15[[#This Row],[Date Assigned to Designer]]&amp;Table15[[#This Row],[Date Completed]]</f>
        <v>BS45014113234499245091</v>
      </c>
    </row>
    <row r="968" spans="1:82" customFormat="1" ht="15" customHeight="1" x14ac:dyDescent="0.25">
      <c r="A968">
        <v>2023</v>
      </c>
      <c r="B968" s="8" t="s">
        <v>771</v>
      </c>
      <c r="C968" s="8" t="s">
        <v>494</v>
      </c>
      <c r="D968" s="8">
        <v>1312367</v>
      </c>
      <c r="E968" s="8" t="s">
        <v>1004</v>
      </c>
      <c r="F968" s="8" t="s">
        <v>1515</v>
      </c>
      <c r="G968" s="8" t="s">
        <v>219</v>
      </c>
      <c r="H968" s="8" t="s">
        <v>3178</v>
      </c>
      <c r="I968" s="642">
        <v>45090</v>
      </c>
      <c r="J968" s="175" t="s">
        <v>2052</v>
      </c>
      <c r="K968" s="97">
        <v>45091</v>
      </c>
      <c r="L968" s="16">
        <f>IF(ISTEXT(Table15[[#This Row],[Engineering Approved Design Date]]),Table15[[#This Row],[Date Completed]]-Table15[[#This Row],[Date Assigned to Designer]],Table15[[#This Row],[Engineering Approved Design Date]]-Table15[[#This Row],[Date Completed]])</f>
        <v>1</v>
      </c>
      <c r="M968" s="16" t="s">
        <v>5718</v>
      </c>
      <c r="N968" s="642" t="s">
        <v>120</v>
      </c>
      <c r="O968" s="1060">
        <v>45108</v>
      </c>
      <c r="P968" s="1152" t="s">
        <v>120</v>
      </c>
      <c r="Q968" s="1061">
        <f>Table15[[#This Row],[KH Hourly Effort]]</f>
        <v>1635</v>
      </c>
      <c r="R968" s="1039" t="s">
        <v>1922</v>
      </c>
      <c r="S968" s="538">
        <v>0</v>
      </c>
      <c r="T968" s="538">
        <v>0</v>
      </c>
      <c r="U968" s="1073">
        <v>1635</v>
      </c>
      <c r="V968" s="857">
        <v>1021</v>
      </c>
      <c r="W968" s="440">
        <v>0</v>
      </c>
      <c r="X968" s="538"/>
      <c r="Y968" s="551"/>
      <c r="Z968" s="538"/>
      <c r="AA968" s="552"/>
      <c r="AB968" s="341"/>
      <c r="AC968" s="569"/>
      <c r="AD968" s="1149" t="s">
        <v>116</v>
      </c>
      <c r="AE968" s="569" t="s">
        <v>756</v>
      </c>
      <c r="AF968" s="569" t="s">
        <v>116</v>
      </c>
      <c r="AG968" s="569" t="s">
        <v>116</v>
      </c>
      <c r="AH968" s="536" t="s">
        <v>116</v>
      </c>
      <c r="AI968" s="1028"/>
      <c r="AJ968" s="1029"/>
      <c r="AK968" s="1029"/>
      <c r="AL968" s="1030"/>
      <c r="AM968" s="542" t="s">
        <v>709</v>
      </c>
      <c r="AN968" s="924"/>
      <c r="AO968" s="925"/>
      <c r="AP968" s="926"/>
      <c r="AQ968" s="926"/>
      <c r="AR968" s="926"/>
      <c r="AS968" s="926"/>
      <c r="AT968" s="926"/>
      <c r="AU968" s="926"/>
      <c r="AV968" s="926"/>
      <c r="AW968" s="927"/>
      <c r="AX968" s="926"/>
      <c r="AY968" s="1538" t="s">
        <v>29</v>
      </c>
      <c r="AZ968" s="1530"/>
      <c r="BA968" s="1031">
        <v>9</v>
      </c>
      <c r="BB968" s="644" t="s">
        <v>116</v>
      </c>
      <c r="BC968" s="544"/>
      <c r="BD968" s="544"/>
      <c r="BE968" s="544"/>
      <c r="BF968" s="544"/>
      <c r="BG968" s="544"/>
      <c r="BH968" s="741" t="s">
        <v>5719</v>
      </c>
      <c r="BI968" s="547" t="s">
        <v>709</v>
      </c>
      <c r="BJ968" s="547" t="s">
        <v>709</v>
      </c>
      <c r="BK968" s="547" t="s">
        <v>116</v>
      </c>
      <c r="BL968" s="547" t="s">
        <v>709</v>
      </c>
      <c r="BM968" s="547">
        <v>1016</v>
      </c>
      <c r="BN968" s="547">
        <v>5</v>
      </c>
      <c r="BO968" s="547" t="s">
        <v>709</v>
      </c>
      <c r="BP968" s="547" t="s">
        <v>709</v>
      </c>
      <c r="BQ968" s="547" t="s">
        <v>709</v>
      </c>
      <c r="BR968" s="547" t="s">
        <v>709</v>
      </c>
      <c r="BS968" s="547" t="s">
        <v>709</v>
      </c>
      <c r="BT968" s="547" t="s">
        <v>709</v>
      </c>
      <c r="BU968" s="547" t="s">
        <v>709</v>
      </c>
      <c r="BV968" s="547" t="s">
        <v>709</v>
      </c>
      <c r="BW968" s="547" t="s">
        <v>709</v>
      </c>
      <c r="BX968" s="547" t="s">
        <v>709</v>
      </c>
      <c r="BY968" s="547" t="s">
        <v>709</v>
      </c>
      <c r="BZ968" s="547" t="s">
        <v>709</v>
      </c>
      <c r="CA968" s="483"/>
      <c r="CB968" s="547">
        <v>965</v>
      </c>
      <c r="CC968" s="1481" t="b">
        <v>1</v>
      </c>
      <c r="CD968" t="str">
        <f>Table15[[#This Row],[Engineering Number]]&amp;Table15[[#This Row],[WO Number]]&amp;Table15[[#This Row],[Date Assigned to Designer]]&amp;Table15[[#This Row],[Date Completed]]</f>
        <v>BS52013123674509045091</v>
      </c>
    </row>
    <row r="969" spans="1:82" customFormat="1" ht="15" customHeight="1" x14ac:dyDescent="0.25">
      <c r="A969">
        <v>2023</v>
      </c>
      <c r="B969" s="8" t="s">
        <v>4</v>
      </c>
      <c r="C969" s="8" t="s">
        <v>5721</v>
      </c>
      <c r="D969" s="8" t="s">
        <v>115</v>
      </c>
      <c r="E969" s="8" t="s">
        <v>272</v>
      </c>
      <c r="F969" s="8" t="s">
        <v>747</v>
      </c>
      <c r="G969" s="8" t="s">
        <v>26</v>
      </c>
      <c r="H969" s="8" t="s">
        <v>1681</v>
      </c>
      <c r="I969" s="642">
        <v>45064</v>
      </c>
      <c r="J969" s="18">
        <v>45114</v>
      </c>
      <c r="K969" s="175">
        <v>45092</v>
      </c>
      <c r="L969" s="16">
        <f>IF(ISTEXT(Table15[[#This Row],[Engineering Approved Design Date]]),Table15[[#This Row],[Date Completed]]-Table15[[#This Row],[Date Assigned to Designer]],Table15[[#This Row],[Engineering Approved Design Date]]-Table15[[#This Row],[Date Completed]])</f>
        <v>22</v>
      </c>
      <c r="N969" s="642" t="s">
        <v>120</v>
      </c>
      <c r="O969" s="1060">
        <v>45100</v>
      </c>
      <c r="P969" s="1152" t="s">
        <v>739</v>
      </c>
      <c r="Q969" s="28" t="s">
        <v>115</v>
      </c>
      <c r="R969" s="1026" t="s">
        <v>115</v>
      </c>
      <c r="S969" s="538"/>
      <c r="T969" s="538"/>
      <c r="U969" s="28"/>
      <c r="V969" s="858"/>
      <c r="W969" s="437"/>
      <c r="X969" s="538"/>
      <c r="Y969" s="550"/>
      <c r="Z969" s="538"/>
      <c r="AA969" s="552"/>
      <c r="AB969" s="341" t="s">
        <v>29</v>
      </c>
      <c r="AC969" s="183" t="s">
        <v>29</v>
      </c>
      <c r="AD969" s="1157" t="s">
        <v>29</v>
      </c>
      <c r="AE969" s="579"/>
      <c r="AF969" s="579"/>
      <c r="AG969" s="579"/>
      <c r="AH969" s="553"/>
      <c r="AI969" s="1036"/>
      <c r="AJ969" s="1037"/>
      <c r="AK969" s="1037"/>
      <c r="AL969" s="1038"/>
      <c r="AM969" s="542" t="s">
        <v>709</v>
      </c>
      <c r="AN969" s="924"/>
      <c r="AO969" s="925"/>
      <c r="AP969" s="926"/>
      <c r="AQ969" s="926"/>
      <c r="AR969" s="926"/>
      <c r="AS969" s="926"/>
      <c r="AT969" s="926"/>
      <c r="AU969" s="926"/>
      <c r="AV969" s="926"/>
      <c r="AW969" s="927"/>
      <c r="AX969" s="926"/>
      <c r="AY969" s="1538" t="s">
        <v>29</v>
      </c>
      <c r="AZ969" s="1530"/>
      <c r="BA969" s="1031" t="s">
        <v>5722</v>
      </c>
      <c r="BB969" s="648" t="s">
        <v>5723</v>
      </c>
      <c r="BC969" s="544" t="s">
        <v>116</v>
      </c>
      <c r="BD969" s="544" t="s">
        <v>709</v>
      </c>
      <c r="BE969" s="544" t="s">
        <v>1242</v>
      </c>
      <c r="BF969" s="544" t="s">
        <v>709</v>
      </c>
      <c r="BG969" s="544" t="s">
        <v>709</v>
      </c>
      <c r="BH969" s="741"/>
      <c r="BI969" s="1032"/>
      <c r="BJ969" s="1032"/>
      <c r="BK969" s="1032"/>
      <c r="BL969" s="1032"/>
      <c r="BM969" s="1032"/>
      <c r="BN969" s="1032"/>
      <c r="BO969" s="1032"/>
      <c r="BP969" s="1032"/>
      <c r="BQ969" s="1032"/>
      <c r="BR969" s="1032"/>
      <c r="BS969" s="1032"/>
      <c r="BT969" s="1032"/>
      <c r="BU969" s="1032"/>
      <c r="BV969" s="1032"/>
      <c r="BW969" s="1032"/>
      <c r="BX969" s="1032"/>
      <c r="BY969" s="1032"/>
      <c r="BZ969" s="1032"/>
      <c r="CA969" s="485" t="s">
        <v>915</v>
      </c>
      <c r="CB969" s="547">
        <v>967</v>
      </c>
      <c r="CC969" s="1481" t="b">
        <v>1</v>
      </c>
      <c r="CD969" t="str">
        <f>Table15[[#This Row],[Engineering Number]]&amp;Table15[[#This Row],[WO Number]]&amp;Table15[[#This Row],[Date Assigned to Designer]]&amp;Table15[[#This Row],[Date Completed]]</f>
        <v>SC23064-4506445092</v>
      </c>
    </row>
    <row r="970" spans="1:82" customFormat="1" ht="15" customHeight="1" x14ac:dyDescent="0.25">
      <c r="A970">
        <v>2023</v>
      </c>
      <c r="B970" s="8" t="s">
        <v>4</v>
      </c>
      <c r="C970" s="8" t="s">
        <v>390</v>
      </c>
      <c r="D970" s="8" t="s">
        <v>941</v>
      </c>
      <c r="E970" s="8" t="s">
        <v>391</v>
      </c>
      <c r="F970" s="8" t="s">
        <v>784</v>
      </c>
      <c r="G970" s="8" t="s">
        <v>28</v>
      </c>
      <c r="H970" s="13" t="s">
        <v>59</v>
      </c>
      <c r="I970" s="642">
        <v>45006</v>
      </c>
      <c r="J970" s="18">
        <v>45107</v>
      </c>
      <c r="K970" s="175">
        <v>45098</v>
      </c>
      <c r="L970" s="649">
        <f>IF(ISTEXT(Table15[[#This Row],[Engineering Approved Design Date]]),Table15[[#This Row],[Date Completed]]-Table15[[#This Row],[Date Assigned to Designer]],Table15[[#This Row],[Engineering Approved Design Date]]-Table15[[#This Row],[Date Completed]])</f>
        <v>9</v>
      </c>
      <c r="M970" s="642"/>
      <c r="N970" s="642" t="s">
        <v>120</v>
      </c>
      <c r="O970" s="1060">
        <f>Table15[[#This Row],[Date Completed]]</f>
        <v>45098</v>
      </c>
      <c r="P970" s="1152" t="s">
        <v>739</v>
      </c>
      <c r="Q970" s="340">
        <f>Table15[[#This Row],[Rate]]*Table15[[#This Row],[Construction Cost to Bill From]]</f>
        <v>38837.469000000005</v>
      </c>
      <c r="R970" s="1026">
        <v>0.1</v>
      </c>
      <c r="S970" s="538"/>
      <c r="T970" s="538"/>
      <c r="U970" s="87"/>
      <c r="V970" s="555">
        <v>413</v>
      </c>
      <c r="W970" s="443">
        <v>0</v>
      </c>
      <c r="X970" s="552">
        <v>366075.82</v>
      </c>
      <c r="Y970" s="551"/>
      <c r="Z970" s="552">
        <v>22298.87</v>
      </c>
      <c r="AA970" s="552">
        <f>SUM(Table15[[#This Row],[PCTS Investment Amount]:[PCTS Retirement Amount]])</f>
        <v>388374.69</v>
      </c>
      <c r="AB970" s="341">
        <v>45090</v>
      </c>
      <c r="AC970" s="568" t="s">
        <v>116</v>
      </c>
      <c r="AD970" s="1157" t="s">
        <v>29</v>
      </c>
      <c r="AE970" s="579"/>
      <c r="AF970" s="579"/>
      <c r="AG970" s="579"/>
      <c r="AH970" s="553"/>
      <c r="AI970" s="1036"/>
      <c r="AJ970" s="1037"/>
      <c r="AK970" s="1037"/>
      <c r="AL970" s="1038"/>
      <c r="AM970" s="1522" t="s">
        <v>116</v>
      </c>
      <c r="AN970" s="1523">
        <v>45377</v>
      </c>
      <c r="AO970" s="1524">
        <v>11080464</v>
      </c>
      <c r="AP970" s="1525">
        <v>400878.68</v>
      </c>
      <c r="AQ970" s="1525"/>
      <c r="AR970" s="1525">
        <v>23468.15</v>
      </c>
      <c r="AS970" s="1525">
        <v>424346.83</v>
      </c>
      <c r="AT970" s="1525">
        <v>35972.140000000014</v>
      </c>
      <c r="AU970" s="1525">
        <v>3597.2140000000018</v>
      </c>
      <c r="AV970" s="1525">
        <v>0</v>
      </c>
      <c r="AW970" s="1526" t="s">
        <v>942</v>
      </c>
      <c r="AX970" s="1525">
        <v>3597.21</v>
      </c>
      <c r="AY970" s="1518">
        <v>45566</v>
      </c>
      <c r="AZ970" s="333">
        <v>88</v>
      </c>
      <c r="BA970" s="859" t="s">
        <v>943</v>
      </c>
      <c r="BB970" s="644" t="s">
        <v>944</v>
      </c>
      <c r="BC970" s="544" t="s">
        <v>116</v>
      </c>
      <c r="BD970" s="544" t="s">
        <v>709</v>
      </c>
      <c r="BE970" s="544" t="s">
        <v>944</v>
      </c>
      <c r="BF970" s="544" t="s">
        <v>945</v>
      </c>
      <c r="BG970" s="544" t="s">
        <v>709</v>
      </c>
      <c r="BH970" s="741" t="s">
        <v>946</v>
      </c>
      <c r="BI970" s="547" t="s">
        <v>709</v>
      </c>
      <c r="BJ970" s="547" t="s">
        <v>709</v>
      </c>
      <c r="BK970" s="547" t="s">
        <v>709</v>
      </c>
      <c r="BL970" s="547" t="s">
        <v>116</v>
      </c>
      <c r="BM970" s="547" t="s">
        <v>709</v>
      </c>
      <c r="BN970" s="547" t="s">
        <v>709</v>
      </c>
      <c r="BO970" s="547" t="s">
        <v>709</v>
      </c>
      <c r="BP970" s="547">
        <v>413</v>
      </c>
      <c r="BQ970" s="547" t="s">
        <v>709</v>
      </c>
      <c r="BR970" s="547" t="s">
        <v>709</v>
      </c>
      <c r="BS970" s="547" t="s">
        <v>709</v>
      </c>
      <c r="BT970" s="547" t="s">
        <v>709</v>
      </c>
      <c r="BU970" s="547" t="s">
        <v>709</v>
      </c>
      <c r="BV970" s="547" t="s">
        <v>709</v>
      </c>
      <c r="BW970" s="547" t="s">
        <v>709</v>
      </c>
      <c r="BX970" s="547" t="s">
        <v>745</v>
      </c>
      <c r="BY970" s="547" t="s">
        <v>709</v>
      </c>
      <c r="BZ970" s="547" t="s">
        <v>709</v>
      </c>
      <c r="CA970" s="483"/>
      <c r="CB970" s="547">
        <v>968</v>
      </c>
      <c r="CC970" s="1481" t="b">
        <v>1</v>
      </c>
      <c r="CD970" t="str">
        <f>Table15[[#This Row],[Engineering Number]]&amp;Table15[[#This Row],[WO Number]]&amp;Table15[[#This Row],[Date Assigned to Designer]]&amp;Table15[[#This Row],[Date Completed]]</f>
        <v>M1436512127454500645098</v>
      </c>
    </row>
    <row r="971" spans="1:82" customFormat="1" ht="15" customHeight="1" x14ac:dyDescent="0.25">
      <c r="A971">
        <v>2023</v>
      </c>
      <c r="B971" s="8" t="s">
        <v>771</v>
      </c>
      <c r="C971" s="8" t="s">
        <v>248</v>
      </c>
      <c r="D971" s="8">
        <v>1211332</v>
      </c>
      <c r="E971" s="8" t="s">
        <v>249</v>
      </c>
      <c r="F971" s="8" t="s">
        <v>784</v>
      </c>
      <c r="G971" s="8" t="s">
        <v>36</v>
      </c>
      <c r="H971" s="8" t="s">
        <v>3178</v>
      </c>
      <c r="I971" s="642">
        <v>45096</v>
      </c>
      <c r="J971" s="175" t="s">
        <v>2052</v>
      </c>
      <c r="K971" s="97">
        <v>45098</v>
      </c>
      <c r="L971" s="16">
        <f>IF(ISTEXT(Table15[[#This Row],[Engineering Approved Design Date]]),Table15[[#This Row],[Date Completed]]-Table15[[#This Row],[Date Assigned to Designer]],Table15[[#This Row],[Engineering Approved Design Date]]-Table15[[#This Row],[Date Completed]])</f>
        <v>2</v>
      </c>
      <c r="M971" s="16" t="s">
        <v>5725</v>
      </c>
      <c r="N971" s="642" t="s">
        <v>120</v>
      </c>
      <c r="O971" s="1060">
        <v>45108</v>
      </c>
      <c r="P971" s="21" t="s">
        <v>120</v>
      </c>
      <c r="Q971" s="1061">
        <f>Table15[[#This Row],[KH Hourly Effort]]</f>
        <v>4350</v>
      </c>
      <c r="R971" s="1039" t="s">
        <v>1922</v>
      </c>
      <c r="S971" s="538">
        <v>0</v>
      </c>
      <c r="T971" s="538">
        <v>0</v>
      </c>
      <c r="U971" s="1073">
        <v>4350</v>
      </c>
      <c r="V971" s="857">
        <v>3092</v>
      </c>
      <c r="W971" s="440">
        <v>0</v>
      </c>
      <c r="X971" s="538"/>
      <c r="Y971" s="551"/>
      <c r="Z971" s="538"/>
      <c r="AA971" s="552"/>
      <c r="AB971" s="341"/>
      <c r="AC971" s="569"/>
      <c r="AD971" s="1149" t="s">
        <v>29</v>
      </c>
      <c r="AE971" s="569" t="s">
        <v>116</v>
      </c>
      <c r="AF971" s="569" t="s">
        <v>116</v>
      </c>
      <c r="AG971" s="569" t="s">
        <v>709</v>
      </c>
      <c r="AH971" s="536" t="s">
        <v>709</v>
      </c>
      <c r="AI971" s="1028"/>
      <c r="AJ971" s="1029"/>
      <c r="AK971" s="1029"/>
      <c r="AL971" s="1030"/>
      <c r="AM971" s="542" t="s">
        <v>709</v>
      </c>
      <c r="AN971" s="924"/>
      <c r="AO971" s="925"/>
      <c r="AP971" s="926"/>
      <c r="AQ971" s="926"/>
      <c r="AR971" s="926"/>
      <c r="AS971" s="926"/>
      <c r="AT971" s="926"/>
      <c r="AU971" s="926"/>
      <c r="AV971" s="926"/>
      <c r="AW971" s="927"/>
      <c r="AX971" s="926"/>
      <c r="AY971" s="1538" t="s">
        <v>29</v>
      </c>
      <c r="AZ971" s="1530"/>
      <c r="BA971" s="1031">
        <v>4</v>
      </c>
      <c r="BB971" s="644" t="s">
        <v>116</v>
      </c>
      <c r="BC971" s="544"/>
      <c r="BD971" s="544"/>
      <c r="BE971" s="544"/>
      <c r="BF971" s="544"/>
      <c r="BG971" s="544"/>
      <c r="BH971" s="741" t="s">
        <v>4815</v>
      </c>
      <c r="BI971" s="547" t="s">
        <v>709</v>
      </c>
      <c r="BJ971" s="547" t="s">
        <v>709</v>
      </c>
      <c r="BK971" s="547" t="s">
        <v>116</v>
      </c>
      <c r="BL971" s="547" t="s">
        <v>709</v>
      </c>
      <c r="BM971" s="547">
        <v>135</v>
      </c>
      <c r="BN971" s="547">
        <v>2870</v>
      </c>
      <c r="BO971" s="547" t="s">
        <v>709</v>
      </c>
      <c r="BP971" s="547" t="s">
        <v>709</v>
      </c>
      <c r="BQ971" s="547">
        <v>87</v>
      </c>
      <c r="BR971" s="547" t="s">
        <v>709</v>
      </c>
      <c r="BS971" s="547" t="s">
        <v>709</v>
      </c>
      <c r="BT971" s="547" t="s">
        <v>709</v>
      </c>
      <c r="BU971" s="547" t="s">
        <v>709</v>
      </c>
      <c r="BV971" s="547" t="s">
        <v>709</v>
      </c>
      <c r="BW971" s="547" t="s">
        <v>709</v>
      </c>
      <c r="BX971" s="547">
        <v>1</v>
      </c>
      <c r="BY971" s="547" t="s">
        <v>709</v>
      </c>
      <c r="BZ971" s="547" t="s">
        <v>709</v>
      </c>
      <c r="CA971" s="483"/>
      <c r="CB971" s="547">
        <v>969</v>
      </c>
      <c r="CC971" s="1481" t="b">
        <v>1</v>
      </c>
      <c r="CD971" t="str">
        <f>Table15[[#This Row],[Engineering Number]]&amp;Table15[[#This Row],[WO Number]]&amp;Table15[[#This Row],[Date Assigned to Designer]]&amp;Table15[[#This Row],[Date Completed]]</f>
        <v>BS41912113324509645098</v>
      </c>
    </row>
    <row r="972" spans="1:82" customFormat="1" ht="15" customHeight="1" x14ac:dyDescent="0.25">
      <c r="A972">
        <v>2023</v>
      </c>
      <c r="B972" s="8" t="s">
        <v>771</v>
      </c>
      <c r="C972" s="8" t="s">
        <v>3984</v>
      </c>
      <c r="D972" s="8" t="s">
        <v>3985</v>
      </c>
      <c r="E972" s="8" t="s">
        <v>342</v>
      </c>
      <c r="F972" s="8" t="s">
        <v>784</v>
      </c>
      <c r="G972" s="8" t="s">
        <v>23</v>
      </c>
      <c r="H972" s="1056" t="s">
        <v>2723</v>
      </c>
      <c r="I972" s="642">
        <v>45068</v>
      </c>
      <c r="J972" s="175" t="s">
        <v>2724</v>
      </c>
      <c r="K972" s="97">
        <v>45099</v>
      </c>
      <c r="L972" s="649">
        <f>IF(ISTEXT(Table15[[#This Row],[Engineering Approved Design Date]]),Table15[[#This Row],[Date Completed]]-Table15[[#This Row],[Date Assigned to Designer]],Table15[[#This Row],[Engineering Approved Design Date]]-Table15[[#This Row],[Date Completed]])</f>
        <v>31</v>
      </c>
      <c r="M972" t="s">
        <v>5728</v>
      </c>
      <c r="N972" s="642" t="s">
        <v>120</v>
      </c>
      <c r="O972" s="1060">
        <v>45108</v>
      </c>
      <c r="P972" s="21" t="s">
        <v>120</v>
      </c>
      <c r="Q972" s="1061">
        <f>Table15[[#This Row],[KH Hourly Effort]]</f>
        <v>3180</v>
      </c>
      <c r="R972" s="1039" t="s">
        <v>1922</v>
      </c>
      <c r="S972" s="538">
        <v>0</v>
      </c>
      <c r="T972" s="538">
        <v>0</v>
      </c>
      <c r="U972" s="340">
        <v>3180</v>
      </c>
      <c r="V972" s="858">
        <v>10653</v>
      </c>
      <c r="W972" s="437">
        <v>0</v>
      </c>
      <c r="X972" s="538"/>
      <c r="Y972" s="551"/>
      <c r="Z972" s="538"/>
      <c r="AA972" s="538"/>
      <c r="AB972" s="341" t="s">
        <v>29</v>
      </c>
      <c r="AC972" s="568" t="s">
        <v>29</v>
      </c>
      <c r="AD972" s="1149" t="s">
        <v>116</v>
      </c>
      <c r="AE972" s="569" t="s">
        <v>116</v>
      </c>
      <c r="AF972" s="569" t="s">
        <v>116</v>
      </c>
      <c r="AG972" s="569" t="s">
        <v>709</v>
      </c>
      <c r="AH972" s="536" t="s">
        <v>709</v>
      </c>
      <c r="AI972" s="1028"/>
      <c r="AJ972" s="1029"/>
      <c r="AK972" s="1029"/>
      <c r="AL972" s="1030"/>
      <c r="AM972" s="542" t="s">
        <v>709</v>
      </c>
      <c r="AN972" s="924"/>
      <c r="AO972" s="925"/>
      <c r="AP972" s="926"/>
      <c r="AQ972" s="926"/>
      <c r="AR972" s="926"/>
      <c r="AS972" s="926"/>
      <c r="AT972" s="926"/>
      <c r="AU972" s="926"/>
      <c r="AV972" s="926"/>
      <c r="AW972" s="927"/>
      <c r="AX972" s="926"/>
      <c r="AY972" s="1538" t="s">
        <v>29</v>
      </c>
      <c r="AZ972" s="1530"/>
      <c r="BA972" s="1031"/>
      <c r="BB972" s="644"/>
      <c r="BC972" s="544"/>
      <c r="BD972" s="544"/>
      <c r="BE972" s="544"/>
      <c r="BF972" s="544"/>
      <c r="BG972" s="544"/>
      <c r="BH972" s="741" t="s">
        <v>5729</v>
      </c>
      <c r="BI972" s="547" t="s">
        <v>709</v>
      </c>
      <c r="BJ972" s="547" t="s">
        <v>709</v>
      </c>
      <c r="BK972" s="547" t="s">
        <v>709</v>
      </c>
      <c r="BL972" s="547" t="s">
        <v>116</v>
      </c>
      <c r="BM972" s="547" t="s">
        <v>709</v>
      </c>
      <c r="BN972" s="547" t="s">
        <v>709</v>
      </c>
      <c r="BO972" s="547" t="s">
        <v>709</v>
      </c>
      <c r="BP972" s="547">
        <v>3715</v>
      </c>
      <c r="BQ972" s="547">
        <v>450</v>
      </c>
      <c r="BR972" s="547">
        <v>326</v>
      </c>
      <c r="BS972" s="547">
        <v>6089</v>
      </c>
      <c r="BT972" s="547" t="s">
        <v>709</v>
      </c>
      <c r="BU972" s="547" t="s">
        <v>709</v>
      </c>
      <c r="BV972" s="547">
        <v>1</v>
      </c>
      <c r="BW972" s="547" t="s">
        <v>709</v>
      </c>
      <c r="BX972" s="547" t="s">
        <v>745</v>
      </c>
      <c r="BY972" s="547" t="s">
        <v>709</v>
      </c>
      <c r="BZ972" s="547" t="s">
        <v>709</v>
      </c>
      <c r="CA972" s="483"/>
      <c r="CB972" s="547">
        <v>970</v>
      </c>
      <c r="CC972" s="1481" t="b">
        <v>1</v>
      </c>
      <c r="CD972" t="str">
        <f>Table15[[#This Row],[Engineering Number]]&amp;Table15[[#This Row],[WO Number]]&amp;Table15[[#This Row],[Date Assigned to Designer]]&amp;Table15[[#This Row],[Date Completed]]</f>
        <v>BS26012107214506845099</v>
      </c>
    </row>
    <row r="973" spans="1:82" customFormat="1" ht="15" customHeight="1" x14ac:dyDescent="0.25">
      <c r="A973">
        <v>2023</v>
      </c>
      <c r="B973" s="8" t="s">
        <v>730</v>
      </c>
      <c r="C973" s="8" t="s">
        <v>816</v>
      </c>
      <c r="D973" s="8">
        <v>1011885</v>
      </c>
      <c r="E973" s="8" t="s">
        <v>818</v>
      </c>
      <c r="F973" s="8" t="s">
        <v>752</v>
      </c>
      <c r="G973" s="8" t="s">
        <v>34</v>
      </c>
      <c r="H973" s="8" t="s">
        <v>2611</v>
      </c>
      <c r="I973" s="642">
        <v>45091</v>
      </c>
      <c r="J973" s="175" t="s">
        <v>2612</v>
      </c>
      <c r="K973" s="97">
        <v>45103</v>
      </c>
      <c r="L973" s="16">
        <f>IF(ISTEXT(Table15[[#This Row],[Engineering Approved Design Date]]),Table15[[#This Row],[Date Completed]]-Table15[[#This Row],[Date Assigned to Designer]],Table15[[#This Row],[Engineering Approved Design Date]]-Table15[[#This Row],[Date Completed]])</f>
        <v>12</v>
      </c>
      <c r="M973" s="16" t="s">
        <v>5732</v>
      </c>
      <c r="N973" s="642" t="s">
        <v>120</v>
      </c>
      <c r="O973" s="1060">
        <v>45108</v>
      </c>
      <c r="P973" s="1152" t="s">
        <v>120</v>
      </c>
      <c r="Q973" s="1151">
        <f>Table15[[#This Row],[KH Hourly Effort]]</f>
        <v>1820</v>
      </c>
      <c r="R973" s="1039" t="s">
        <v>1922</v>
      </c>
      <c r="S973" s="538">
        <v>0</v>
      </c>
      <c r="T973" s="538">
        <v>0</v>
      </c>
      <c r="U973" s="1078">
        <v>1820</v>
      </c>
      <c r="V973" s="857" t="s">
        <v>29</v>
      </c>
      <c r="W973" s="440" t="s">
        <v>29</v>
      </c>
      <c r="X973" s="538"/>
      <c r="Y973" s="551"/>
      <c r="Z973" s="538"/>
      <c r="AA973" s="552"/>
      <c r="AB973" s="341" t="s">
        <v>29</v>
      </c>
      <c r="AC973" s="569" t="s">
        <v>29</v>
      </c>
      <c r="AD973" s="1149" t="s">
        <v>29</v>
      </c>
      <c r="AE973" s="580" t="s">
        <v>29</v>
      </c>
      <c r="AF973" s="580" t="s">
        <v>29</v>
      </c>
      <c r="AG973" s="580" t="s">
        <v>29</v>
      </c>
      <c r="AH973" s="542" t="s">
        <v>29</v>
      </c>
      <c r="AI973" s="1028"/>
      <c r="AJ973" s="1029"/>
      <c r="AK973" s="1029"/>
      <c r="AL973" s="1030"/>
      <c r="AM973" s="542" t="s">
        <v>709</v>
      </c>
      <c r="AN973" s="924"/>
      <c r="AO973" s="925"/>
      <c r="AP973" s="926"/>
      <c r="AQ973" s="926"/>
      <c r="AR973" s="926"/>
      <c r="AS973" s="926"/>
      <c r="AT973" s="926"/>
      <c r="AU973" s="926"/>
      <c r="AV973" s="926"/>
      <c r="AW973" s="927"/>
      <c r="AX973" s="926"/>
      <c r="AY973" s="1538" t="s">
        <v>29</v>
      </c>
      <c r="AZ973" s="1530"/>
      <c r="BA973" s="1031" t="s">
        <v>29</v>
      </c>
      <c r="BB973" s="644" t="s">
        <v>116</v>
      </c>
      <c r="BC973" s="544"/>
      <c r="BD973" s="544"/>
      <c r="BE973" s="544"/>
      <c r="BF973" s="544"/>
      <c r="BG973" s="544"/>
      <c r="BH973" s="741" t="s">
        <v>5733</v>
      </c>
      <c r="BI973" s="547" t="s">
        <v>709</v>
      </c>
      <c r="BJ973" s="547" t="s">
        <v>709</v>
      </c>
      <c r="BK973" s="547" t="s">
        <v>709</v>
      </c>
      <c r="BL973" s="547" t="s">
        <v>116</v>
      </c>
      <c r="BM973" s="547" t="s">
        <v>709</v>
      </c>
      <c r="BN973" s="547" t="s">
        <v>709</v>
      </c>
      <c r="BO973" s="547" t="s">
        <v>709</v>
      </c>
      <c r="BP973" s="547" t="s">
        <v>709</v>
      </c>
      <c r="BQ973" s="547" t="s">
        <v>709</v>
      </c>
      <c r="BR973" s="547" t="s">
        <v>709</v>
      </c>
      <c r="BS973" s="547">
        <v>1228</v>
      </c>
      <c r="BT973" s="547" t="s">
        <v>709</v>
      </c>
      <c r="BU973" s="547" t="s">
        <v>709</v>
      </c>
      <c r="BV973" s="547" t="s">
        <v>709</v>
      </c>
      <c r="BW973" s="547" t="s">
        <v>709</v>
      </c>
      <c r="BX973" s="547" t="s">
        <v>709</v>
      </c>
      <c r="BY973" s="547" t="s">
        <v>709</v>
      </c>
      <c r="BZ973" s="547" t="s">
        <v>709</v>
      </c>
      <c r="CA973" s="483" t="s">
        <v>2</v>
      </c>
      <c r="CB973" s="547">
        <v>971</v>
      </c>
      <c r="CC973" s="1481" t="b">
        <v>1</v>
      </c>
      <c r="CD973" t="str">
        <f>Table15[[#This Row],[Engineering Number]]&amp;Table15[[#This Row],[WO Number]]&amp;Table15[[#This Row],[Date Assigned to Designer]]&amp;Table15[[#This Row],[Date Completed]]</f>
        <v>RS108210118854509145103</v>
      </c>
    </row>
    <row r="974" spans="1:82" customFormat="1" ht="15" customHeight="1" x14ac:dyDescent="0.25">
      <c r="A974">
        <v>2024</v>
      </c>
      <c r="B974" s="8" t="s">
        <v>730</v>
      </c>
      <c r="C974" s="8" t="s">
        <v>5744</v>
      </c>
      <c r="D974" s="8" t="s">
        <v>5745</v>
      </c>
      <c r="E974" s="8" t="s">
        <v>2511</v>
      </c>
      <c r="F974" s="8" t="s">
        <v>752</v>
      </c>
      <c r="G974" s="8" t="s">
        <v>37</v>
      </c>
      <c r="H974" s="8" t="s">
        <v>59</v>
      </c>
      <c r="I974" s="642">
        <v>44981</v>
      </c>
      <c r="J974" s="18">
        <v>45107</v>
      </c>
      <c r="K974" s="97">
        <v>45104</v>
      </c>
      <c r="L974" s="16">
        <f>IF(ISTEXT(Table15[[#This Row],[Engineering Approved Design Date]]),Table15[[#This Row],[Date Completed]]-Table15[[#This Row],[Date Assigned to Designer]],Table15[[#This Row],[Engineering Approved Design Date]]-Table15[[#This Row],[Date Completed]])</f>
        <v>3</v>
      </c>
      <c r="M974" s="642"/>
      <c r="N974" s="642" t="s">
        <v>120</v>
      </c>
      <c r="O974" s="1060">
        <f>Table15[[#This Row],[Date Completed]]</f>
        <v>45104</v>
      </c>
      <c r="P974" s="1152" t="s">
        <v>120</v>
      </c>
      <c r="Q974" s="1061">
        <v>12750</v>
      </c>
      <c r="R974" s="1026" t="s">
        <v>5194</v>
      </c>
      <c r="S974" s="538"/>
      <c r="T974" s="538"/>
      <c r="U974" s="87"/>
      <c r="V974" s="858">
        <v>80</v>
      </c>
      <c r="W974" s="437">
        <v>1</v>
      </c>
      <c r="X974" s="552">
        <v>159216.1</v>
      </c>
      <c r="Y974" s="551">
        <v>45042</v>
      </c>
      <c r="Z974" s="552">
        <v>58093.45</v>
      </c>
      <c r="AA974" s="552">
        <f>Table15[[#This Row],[PCTS Investment Amount]]+Table15[[#This Row],[PCTS Retirement Amount]]</f>
        <v>217309.55</v>
      </c>
      <c r="AB974" s="341">
        <v>45112</v>
      </c>
      <c r="AC974" s="568" t="s">
        <v>709</v>
      </c>
      <c r="AD974" s="1157"/>
      <c r="AE974" s="579"/>
      <c r="AF974" s="579"/>
      <c r="AG974" s="579"/>
      <c r="AH974" s="553"/>
      <c r="AI974" s="1036"/>
      <c r="AJ974" s="1037"/>
      <c r="AK974" s="1037"/>
      <c r="AL974" s="1038"/>
      <c r="AM974" s="542" t="s">
        <v>709</v>
      </c>
      <c r="AN974" s="924"/>
      <c r="AO974" s="925"/>
      <c r="AP974" s="926"/>
      <c r="AQ974" s="926"/>
      <c r="AR974" s="926"/>
      <c r="AS974" s="926"/>
      <c r="AT974" s="926"/>
      <c r="AU974" s="926"/>
      <c r="AV974" s="926"/>
      <c r="AW974" s="927"/>
      <c r="AX974" s="926"/>
      <c r="AY974" s="1538" t="s">
        <v>29</v>
      </c>
      <c r="AZ974" s="1530"/>
      <c r="BA974" s="1031" t="s">
        <v>5746</v>
      </c>
      <c r="BB974" s="644" t="s">
        <v>5747</v>
      </c>
      <c r="BC974" s="544" t="s">
        <v>115</v>
      </c>
      <c r="BD974" s="544" t="s">
        <v>1066</v>
      </c>
      <c r="BE974" s="544" t="s">
        <v>115</v>
      </c>
      <c r="BF974" s="544" t="s">
        <v>3685</v>
      </c>
      <c r="BG974" s="544" t="s">
        <v>115</v>
      </c>
      <c r="BH974" s="741" t="s">
        <v>5748</v>
      </c>
      <c r="BI974" s="547" t="s">
        <v>709</v>
      </c>
      <c r="BJ974" s="547" t="s">
        <v>709</v>
      </c>
      <c r="BK974" s="547" t="s">
        <v>116</v>
      </c>
      <c r="BL974" s="547" t="s">
        <v>116</v>
      </c>
      <c r="BM974" s="547" t="s">
        <v>709</v>
      </c>
      <c r="BN974" s="547" t="s">
        <v>709</v>
      </c>
      <c r="BO974" s="547" t="s">
        <v>709</v>
      </c>
      <c r="BP974" s="547" t="s">
        <v>709</v>
      </c>
      <c r="BQ974" s="547" t="s">
        <v>709</v>
      </c>
      <c r="BR974" s="547" t="s">
        <v>709</v>
      </c>
      <c r="BS974" s="547">
        <v>80</v>
      </c>
      <c r="BT974" s="547" t="s">
        <v>709</v>
      </c>
      <c r="BU974" s="547">
        <v>1</v>
      </c>
      <c r="BV974" s="547" t="s">
        <v>709</v>
      </c>
      <c r="BW974" s="547" t="s">
        <v>709</v>
      </c>
      <c r="BX974" s="547">
        <v>1</v>
      </c>
      <c r="BY974" s="547" t="s">
        <v>709</v>
      </c>
      <c r="BZ974" s="547" t="s">
        <v>709</v>
      </c>
      <c r="CA974" s="483"/>
      <c r="CB974" s="547">
        <v>973</v>
      </c>
      <c r="CC974" s="1481" t="b">
        <v>1</v>
      </c>
      <c r="CD974" t="str">
        <f>Table15[[#This Row],[Engineering Number]]&amp;Table15[[#This Row],[WO Number]]&amp;Table15[[#This Row],[Date Assigned to Designer]]&amp;Table15[[#This Row],[Date Completed]]</f>
        <v>RS114412124304498145104</v>
      </c>
    </row>
    <row r="975" spans="1:82" customFormat="1" ht="15" customHeight="1" x14ac:dyDescent="0.25">
      <c r="A975">
        <v>2023</v>
      </c>
      <c r="B975" s="8" t="s">
        <v>759</v>
      </c>
      <c r="C975" s="8" t="s">
        <v>604</v>
      </c>
      <c r="D975" s="8" t="s">
        <v>5735</v>
      </c>
      <c r="E975" s="8" t="s">
        <v>160</v>
      </c>
      <c r="F975" s="8" t="s">
        <v>752</v>
      </c>
      <c r="G975" s="8" t="s">
        <v>37</v>
      </c>
      <c r="H975" s="8" t="s">
        <v>59</v>
      </c>
      <c r="I975" s="642">
        <v>45012</v>
      </c>
      <c r="J975" s="18">
        <v>45107</v>
      </c>
      <c r="K975" s="97">
        <v>45104</v>
      </c>
      <c r="L975" s="16">
        <f>IF(ISTEXT(Table15[[#This Row],[Engineering Approved Design Date]]),Table15[[#This Row],[Date Completed]]-Table15[[#This Row],[Date Assigned to Designer]],Table15[[#This Row],[Engineering Approved Design Date]]-Table15[[#This Row],[Date Completed]])</f>
        <v>3</v>
      </c>
      <c r="M975" s="642"/>
      <c r="N975" s="642" t="s">
        <v>120</v>
      </c>
      <c r="O975" s="1060">
        <f>Table15[[#This Row],[Date Completed]]</f>
        <v>45104</v>
      </c>
      <c r="P975" s="1152" t="s">
        <v>120</v>
      </c>
      <c r="Q975" s="1061">
        <v>14750</v>
      </c>
      <c r="R975" s="1026" t="s">
        <v>5223</v>
      </c>
      <c r="S975" s="538"/>
      <c r="T975" s="538"/>
      <c r="U975" s="87"/>
      <c r="V975" s="858">
        <v>313</v>
      </c>
      <c r="W975" s="437">
        <v>1</v>
      </c>
      <c r="X975" s="552">
        <v>525202.22</v>
      </c>
      <c r="Y975" s="551">
        <v>45070</v>
      </c>
      <c r="Z975" s="552">
        <v>69393.89</v>
      </c>
      <c r="AA975" s="552">
        <f>Table15[[#This Row],[PCTS Investment Amount]]+Table15[[#This Row],[PCTS Retirement Amount]]</f>
        <v>594596.11</v>
      </c>
      <c r="AB975" s="341">
        <v>45118</v>
      </c>
      <c r="AC975" s="568" t="s">
        <v>1441</v>
      </c>
      <c r="AD975" s="1157" t="s">
        <v>29</v>
      </c>
      <c r="AE975" s="579"/>
      <c r="AF975" s="579"/>
      <c r="AG975" s="579"/>
      <c r="AH975" s="553"/>
      <c r="AI975" s="1036"/>
      <c r="AJ975" s="1037"/>
      <c r="AK975" s="1037"/>
      <c r="AL975" s="1038"/>
      <c r="AM975" s="542" t="s">
        <v>709</v>
      </c>
      <c r="AN975" s="924"/>
      <c r="AO975" s="925"/>
      <c r="AP975" s="926"/>
      <c r="AQ975" s="926"/>
      <c r="AR975" s="926"/>
      <c r="AS975" s="926"/>
      <c r="AT975" s="926"/>
      <c r="AU975" s="926"/>
      <c r="AV975" s="926"/>
      <c r="AW975" s="927"/>
      <c r="AX975" s="926"/>
      <c r="AY975" s="1538" t="s">
        <v>29</v>
      </c>
      <c r="AZ975" s="1530"/>
      <c r="BA975" s="1031" t="s">
        <v>5736</v>
      </c>
      <c r="BB975" s="644" t="s">
        <v>5737</v>
      </c>
      <c r="BC975" s="544" t="s">
        <v>709</v>
      </c>
      <c r="BD975" s="544" t="s">
        <v>4949</v>
      </c>
      <c r="BE975" s="544" t="s">
        <v>605</v>
      </c>
      <c r="BF975" s="544" t="s">
        <v>115</v>
      </c>
      <c r="BG975" s="544" t="s">
        <v>115</v>
      </c>
      <c r="BH975" s="741" t="s">
        <v>5738</v>
      </c>
      <c r="BI975" s="547" t="s">
        <v>709</v>
      </c>
      <c r="BJ975" s="547" t="s">
        <v>709</v>
      </c>
      <c r="BK975" s="547" t="s">
        <v>116</v>
      </c>
      <c r="BL975" s="547" t="s">
        <v>709</v>
      </c>
      <c r="BM975" s="547" t="s">
        <v>709</v>
      </c>
      <c r="BN975" s="547" t="s">
        <v>709</v>
      </c>
      <c r="BO975" s="547" t="s">
        <v>709</v>
      </c>
      <c r="BP975" s="547">
        <v>28</v>
      </c>
      <c r="BQ975" s="547">
        <v>145</v>
      </c>
      <c r="BR975" s="547">
        <v>45</v>
      </c>
      <c r="BS975" s="547">
        <v>5</v>
      </c>
      <c r="BT975" s="547">
        <v>1</v>
      </c>
      <c r="BU975" s="547" t="s">
        <v>709</v>
      </c>
      <c r="BV975" s="547" t="s">
        <v>709</v>
      </c>
      <c r="BW975" s="547">
        <v>1</v>
      </c>
      <c r="BX975" s="547">
        <v>1</v>
      </c>
      <c r="BY975" s="547" t="s">
        <v>709</v>
      </c>
      <c r="BZ975" s="547" t="s">
        <v>709</v>
      </c>
      <c r="CA975" s="483"/>
      <c r="CB975" s="547">
        <v>972</v>
      </c>
      <c r="CC975" s="1481" t="b">
        <v>1</v>
      </c>
      <c r="CD975" t="str">
        <f>Table15[[#This Row],[Engineering Number]]&amp;Table15[[#This Row],[WO Number]]&amp;Table15[[#This Row],[Date Assigned to Designer]]&amp;Table15[[#This Row],[Date Completed]]</f>
        <v>RS115110125734501245104</v>
      </c>
    </row>
    <row r="976" spans="1:82" customFormat="1" ht="15" customHeight="1" x14ac:dyDescent="0.25">
      <c r="A976">
        <v>2023</v>
      </c>
      <c r="B976" s="8" t="s">
        <v>730</v>
      </c>
      <c r="C976" s="8" t="s">
        <v>823</v>
      </c>
      <c r="D976" s="8" t="s">
        <v>824</v>
      </c>
      <c r="E976" s="8" t="s">
        <v>825</v>
      </c>
      <c r="F976" s="8" t="s">
        <v>752</v>
      </c>
      <c r="G976" s="8" t="s">
        <v>37</v>
      </c>
      <c r="H976" s="8" t="s">
        <v>59</v>
      </c>
      <c r="I976" s="642">
        <v>44981</v>
      </c>
      <c r="J976" s="18">
        <v>45107</v>
      </c>
      <c r="K976" s="175">
        <v>45104</v>
      </c>
      <c r="L976" s="16">
        <f>IF(ISTEXT(Table15[[#This Row],[Engineering Approved Design Date]]),Table15[[#This Row],[Date Completed]]-Table15[[#This Row],[Date Assigned to Designer]],Table15[[#This Row],[Engineering Approved Design Date]]-Table15[[#This Row],[Date Completed]])</f>
        <v>3</v>
      </c>
      <c r="M976" s="642"/>
      <c r="N976" s="642" t="s">
        <v>120</v>
      </c>
      <c r="O976" s="1060">
        <v>45108</v>
      </c>
      <c r="P976" s="1152" t="s">
        <v>120</v>
      </c>
      <c r="Q976" s="340">
        <f>Table15[[#This Row],[Rate]]*Table15[[#This Row],[Construction Cost to Bill From]]</f>
        <v>30697.238699999998</v>
      </c>
      <c r="R976" s="1026">
        <v>0.09</v>
      </c>
      <c r="S976" s="538"/>
      <c r="T976" s="538"/>
      <c r="U976" s="87"/>
      <c r="V976" s="858">
        <v>698</v>
      </c>
      <c r="W976" s="437">
        <v>0</v>
      </c>
      <c r="X976" s="538">
        <v>264573.13</v>
      </c>
      <c r="Y976" s="551">
        <v>45051</v>
      </c>
      <c r="Z976" s="552">
        <v>76507.3</v>
      </c>
      <c r="AA976" s="552">
        <f>Table15[[#This Row],[PCTS Investment Amount]]+Table15[[#This Row],[PCTS Retirement Amount]]</f>
        <v>341080.43</v>
      </c>
      <c r="AB976" s="341">
        <v>45117</v>
      </c>
      <c r="AC976" s="568" t="s">
        <v>29</v>
      </c>
      <c r="AD976" s="1157" t="s">
        <v>29</v>
      </c>
      <c r="AE976" s="568" t="s">
        <v>116</v>
      </c>
      <c r="AF976" s="568" t="s">
        <v>756</v>
      </c>
      <c r="AG976" s="568" t="s">
        <v>116</v>
      </c>
      <c r="AH976" s="183" t="s">
        <v>116</v>
      </c>
      <c r="AI976" s="1036"/>
      <c r="AJ976" s="1037"/>
      <c r="AK976" s="1037"/>
      <c r="AL976" s="1038"/>
      <c r="AM976" s="1522" t="s">
        <v>116</v>
      </c>
      <c r="AN976" s="1523">
        <v>45316</v>
      </c>
      <c r="AO976" s="1524">
        <v>11059512</v>
      </c>
      <c r="AP976" s="1525">
        <v>264599.78000000003</v>
      </c>
      <c r="AQ976" s="1525"/>
      <c r="AR976" s="1525">
        <v>76507.3</v>
      </c>
      <c r="AS976" s="1525">
        <v>341107.08</v>
      </c>
      <c r="AT976" s="1525">
        <v>26.650000000023283</v>
      </c>
      <c r="AU976" s="1525">
        <v>2.3985000000020955</v>
      </c>
      <c r="AV976" s="1525">
        <v>3182.5</v>
      </c>
      <c r="AW976" s="1526" t="s">
        <v>5742</v>
      </c>
      <c r="AX976" s="1525">
        <v>0</v>
      </c>
      <c r="AY976" s="1518">
        <v>45566</v>
      </c>
      <c r="AZ976" s="333">
        <v>48</v>
      </c>
      <c r="BA976" s="859" t="s">
        <v>827</v>
      </c>
      <c r="BB976" s="644" t="s">
        <v>828</v>
      </c>
      <c r="BC976" s="544" t="s">
        <v>992</v>
      </c>
      <c r="BD976" s="544" t="s">
        <v>757</v>
      </c>
      <c r="BE976" s="544" t="s">
        <v>829</v>
      </c>
      <c r="BF976" s="544" t="s">
        <v>830</v>
      </c>
      <c r="BG976" s="544" t="s">
        <v>115</v>
      </c>
      <c r="BH976" s="741" t="s">
        <v>831</v>
      </c>
      <c r="BI976" s="549" t="s">
        <v>709</v>
      </c>
      <c r="BJ976" s="549" t="s">
        <v>709</v>
      </c>
      <c r="BK976" s="549" t="s">
        <v>709</v>
      </c>
      <c r="BL976" s="549" t="s">
        <v>116</v>
      </c>
      <c r="BM976" s="549" t="s">
        <v>709</v>
      </c>
      <c r="BN976" s="549" t="s">
        <v>709</v>
      </c>
      <c r="BO976" s="549" t="s">
        <v>709</v>
      </c>
      <c r="BP976" s="549" t="s">
        <v>709</v>
      </c>
      <c r="BQ976" s="549" t="s">
        <v>709</v>
      </c>
      <c r="BR976" s="549">
        <v>698</v>
      </c>
      <c r="BS976" s="549" t="s">
        <v>709</v>
      </c>
      <c r="BT976" s="549" t="s">
        <v>709</v>
      </c>
      <c r="BU976" s="549" t="s">
        <v>709</v>
      </c>
      <c r="BV976" s="549" t="s">
        <v>709</v>
      </c>
      <c r="BW976" s="549" t="s">
        <v>709</v>
      </c>
      <c r="BX976" s="549" t="s">
        <v>745</v>
      </c>
      <c r="BY976" s="549" t="s">
        <v>709</v>
      </c>
      <c r="BZ976" s="547" t="s">
        <v>709</v>
      </c>
      <c r="CA976" s="484" t="s">
        <v>769</v>
      </c>
      <c r="CB976" s="547">
        <v>975</v>
      </c>
      <c r="CC976" s="1481" t="b">
        <v>1</v>
      </c>
      <c r="CD976" t="str">
        <f>Table15[[#This Row],[Engineering Number]]&amp;Table15[[#This Row],[WO Number]]&amp;Table15[[#This Row],[Date Assigned to Designer]]&amp;Table15[[#This Row],[Date Completed]]</f>
        <v>RS112814124384498145104</v>
      </c>
    </row>
    <row r="977" spans="1:82" customFormat="1" ht="15" customHeight="1" x14ac:dyDescent="0.25">
      <c r="A977">
        <v>2023</v>
      </c>
      <c r="B977" s="8" t="s">
        <v>730</v>
      </c>
      <c r="C977" s="8" t="s">
        <v>1533</v>
      </c>
      <c r="D977" s="8" t="s">
        <v>1534</v>
      </c>
      <c r="E977" s="8" t="s">
        <v>1535</v>
      </c>
      <c r="F977" s="8" t="s">
        <v>752</v>
      </c>
      <c r="G977" s="8" t="s">
        <v>24</v>
      </c>
      <c r="H977" s="8" t="s">
        <v>59</v>
      </c>
      <c r="I977" s="642">
        <v>44980</v>
      </c>
      <c r="J977" s="18">
        <v>45107</v>
      </c>
      <c r="K977" s="175">
        <v>45104</v>
      </c>
      <c r="L977" s="16">
        <f>IF(ISTEXT(Table15[[#This Row],[Engineering Approved Design Date]]),Table15[[#This Row],[Date Completed]]-Table15[[#This Row],[Date Assigned to Designer]],Table15[[#This Row],[Engineering Approved Design Date]]-Table15[[#This Row],[Date Completed]])</f>
        <v>3</v>
      </c>
      <c r="M977" s="642"/>
      <c r="N977" s="642" t="s">
        <v>120</v>
      </c>
      <c r="O977" s="1060">
        <v>45108</v>
      </c>
      <c r="P977" s="1152" t="s">
        <v>120</v>
      </c>
      <c r="Q977" s="340">
        <f>Table15[[#This Row],[Rate]]*Table15[[#This Row],[Construction Cost to Bill From]]</f>
        <v>62040.957299999995</v>
      </c>
      <c r="R977" s="1026">
        <v>0.09</v>
      </c>
      <c r="S977" s="538"/>
      <c r="T977" s="538"/>
      <c r="U977" s="87"/>
      <c r="V977" s="858">
        <v>1876</v>
      </c>
      <c r="W977" s="437">
        <v>2</v>
      </c>
      <c r="X977" s="538">
        <v>595893.63</v>
      </c>
      <c r="Y977" s="551">
        <v>45049</v>
      </c>
      <c r="Z977" s="552">
        <v>93450.34</v>
      </c>
      <c r="AA977" s="552">
        <f>Table15[[#This Row],[PCTS Investment Amount]]+Table15[[#This Row],[PCTS Retirement Amount]]</f>
        <v>689343.97</v>
      </c>
      <c r="AB977" s="341">
        <v>45083</v>
      </c>
      <c r="AC977" s="568" t="s">
        <v>29</v>
      </c>
      <c r="AD977" s="1157" t="s">
        <v>29</v>
      </c>
      <c r="AE977" s="568" t="s">
        <v>116</v>
      </c>
      <c r="AF977" s="568" t="s">
        <v>756</v>
      </c>
      <c r="AG977" s="568" t="s">
        <v>116</v>
      </c>
      <c r="AH977" s="183" t="s">
        <v>116</v>
      </c>
      <c r="AI977" s="1036"/>
      <c r="AJ977" s="1037"/>
      <c r="AK977" s="1037"/>
      <c r="AL977" s="1038"/>
      <c r="AM977" s="536" t="s">
        <v>116</v>
      </c>
      <c r="AN977" s="903" t="s">
        <v>709</v>
      </c>
      <c r="AO977" s="1536">
        <v>11059557</v>
      </c>
      <c r="AP977" s="1537"/>
      <c r="AQ977" s="1537"/>
      <c r="AR977" s="1537"/>
      <c r="AS977" s="888">
        <f>IF(Table15[[#This Row],[PCTS Approved]]="N",0,Table15[[#This Row],[Investment Amount (1'#'#'#'#'#)]]+Table15[[#This Row],[Retirement Amount (3'#'#'#'#'#)]])</f>
        <v>0</v>
      </c>
      <c r="AT977" s="888">
        <f>IF(Table15[[#This Row],[Approved Construction Cost]]=0,0,Table15[[#This Row],[Approved Construction Cost]]-Table15[[#This Row],[Construction Cost to Bill From]])</f>
        <v>0</v>
      </c>
      <c r="AU977" s="888">
        <f>IFERROR(Table15[[#This Row],[Difference in Construction Cost]]*Table15[[#This Row],[Rate]],Table15[[#This Row],[Difference in Construction Cost]]*0.085)</f>
        <v>0</v>
      </c>
      <c r="AV977" s="905"/>
      <c r="AW977" s="1509"/>
      <c r="AX977" s="888"/>
      <c r="AY977" s="636" t="s">
        <v>709</v>
      </c>
      <c r="AZ977" s="333">
        <v>47</v>
      </c>
      <c r="BA977" s="859" t="s">
        <v>5740</v>
      </c>
      <c r="BB977" s="644" t="s">
        <v>1537</v>
      </c>
      <c r="BC977" s="544" t="s">
        <v>115</v>
      </c>
      <c r="BD977" s="544" t="s">
        <v>115</v>
      </c>
      <c r="BE977" s="544" t="s">
        <v>1538</v>
      </c>
      <c r="BF977" s="544" t="s">
        <v>115</v>
      </c>
      <c r="BG977" s="544" t="s">
        <v>115</v>
      </c>
      <c r="BH977" s="741" t="s">
        <v>1539</v>
      </c>
      <c r="BI977" s="547" t="s">
        <v>709</v>
      </c>
      <c r="BJ977" s="547" t="s">
        <v>709</v>
      </c>
      <c r="BK977" s="547" t="s">
        <v>709</v>
      </c>
      <c r="BL977" s="547" t="s">
        <v>116</v>
      </c>
      <c r="BM977" s="547" t="s">
        <v>709</v>
      </c>
      <c r="BN977" s="547" t="s">
        <v>709</v>
      </c>
      <c r="BO977" s="547" t="s">
        <v>709</v>
      </c>
      <c r="BP977" s="547" t="s">
        <v>709</v>
      </c>
      <c r="BQ977" s="547" t="s">
        <v>709</v>
      </c>
      <c r="BR977" s="547">
        <v>1287</v>
      </c>
      <c r="BS977" s="547">
        <v>589</v>
      </c>
      <c r="BT977" s="547" t="s">
        <v>709</v>
      </c>
      <c r="BU977" s="547" t="s">
        <v>709</v>
      </c>
      <c r="BV977" s="547" t="s">
        <v>709</v>
      </c>
      <c r="BW977" s="547" t="s">
        <v>709</v>
      </c>
      <c r="BX977" s="547" t="s">
        <v>745</v>
      </c>
      <c r="BY977" s="547" t="s">
        <v>709</v>
      </c>
      <c r="BZ977" s="547" t="s">
        <v>709</v>
      </c>
      <c r="CA977" s="483"/>
      <c r="CB977" s="547">
        <v>974</v>
      </c>
      <c r="CC977" s="1481" t="b">
        <v>1</v>
      </c>
      <c r="CD977" t="str">
        <f>Table15[[#This Row],[Engineering Number]]&amp;Table15[[#This Row],[WO Number]]&amp;Table15[[#This Row],[Date Assigned to Designer]]&amp;Table15[[#This Row],[Date Completed]]</f>
        <v>RS114214124184498045104</v>
      </c>
    </row>
    <row r="978" spans="1:82" customFormat="1" ht="15" customHeight="1" x14ac:dyDescent="0.25">
      <c r="A978">
        <v>2023</v>
      </c>
      <c r="B978" s="8" t="s">
        <v>730</v>
      </c>
      <c r="C978" s="8" t="s">
        <v>1426</v>
      </c>
      <c r="D978" s="8">
        <v>1212088</v>
      </c>
      <c r="E978" s="8" t="s">
        <v>1428</v>
      </c>
      <c r="F978" s="8" t="s">
        <v>752</v>
      </c>
      <c r="G978" s="8" t="s">
        <v>24</v>
      </c>
      <c r="H978" s="8" t="s">
        <v>4189</v>
      </c>
      <c r="I978" s="642">
        <v>45099</v>
      </c>
      <c r="J978" s="175" t="s">
        <v>2052</v>
      </c>
      <c r="K978" s="97">
        <v>45105</v>
      </c>
      <c r="L978" s="16">
        <f>IF(ISTEXT(Table15[[#This Row],[Engineering Approved Design Date]]),Table15[[#This Row],[Date Completed]]-Table15[[#This Row],[Date Assigned to Designer]],Table15[[#This Row],[Engineering Approved Design Date]]-Table15[[#This Row],[Date Completed]])</f>
        <v>6</v>
      </c>
      <c r="M978" s="16" t="s">
        <v>5750</v>
      </c>
      <c r="N978" s="642" t="s">
        <v>120</v>
      </c>
      <c r="O978" s="1060">
        <v>45108</v>
      </c>
      <c r="P978" s="1152" t="s">
        <v>120</v>
      </c>
      <c r="Q978" s="1061">
        <f>Table15[[#This Row],[KH Hourly Effort]]</f>
        <v>1925</v>
      </c>
      <c r="R978" s="1039" t="s">
        <v>1922</v>
      </c>
      <c r="S978" s="538">
        <v>0</v>
      </c>
      <c r="T978" s="538">
        <v>0</v>
      </c>
      <c r="U978" s="28">
        <v>1925</v>
      </c>
      <c r="V978" s="857" t="s">
        <v>29</v>
      </c>
      <c r="W978" s="440" t="s">
        <v>29</v>
      </c>
      <c r="X978" s="538"/>
      <c r="Y978" s="551"/>
      <c r="Z978" s="538"/>
      <c r="AA978" s="552"/>
      <c r="AB978" s="341" t="s">
        <v>29</v>
      </c>
      <c r="AC978" s="569" t="s">
        <v>29</v>
      </c>
      <c r="AD978" s="1149" t="s">
        <v>29</v>
      </c>
      <c r="AE978" s="580"/>
      <c r="AF978" s="580"/>
      <c r="AG978" s="580"/>
      <c r="AH978" s="542"/>
      <c r="AI978" s="1028"/>
      <c r="AJ978" s="1029"/>
      <c r="AK978" s="1029"/>
      <c r="AL978" s="1030"/>
      <c r="AM978" s="542" t="s">
        <v>709</v>
      </c>
      <c r="AN978" s="924"/>
      <c r="AO978" s="925"/>
      <c r="AP978" s="926"/>
      <c r="AQ978" s="926"/>
      <c r="AR978" s="926"/>
      <c r="AS978" s="926"/>
      <c r="AT978" s="926"/>
      <c r="AU978" s="926"/>
      <c r="AV978" s="926"/>
      <c r="AW978" s="927"/>
      <c r="AX978" s="926"/>
      <c r="AY978" s="1538" t="s">
        <v>29</v>
      </c>
      <c r="AZ978" s="1530"/>
      <c r="BA978" s="1031">
        <v>10</v>
      </c>
      <c r="BB978" s="644" t="s">
        <v>116</v>
      </c>
      <c r="BC978" s="544"/>
      <c r="BD978" s="544"/>
      <c r="BE978" s="544"/>
      <c r="BF978" s="544"/>
      <c r="BG978" s="544"/>
      <c r="BH978" s="741" t="s">
        <v>5751</v>
      </c>
      <c r="BI978" s="547" t="s">
        <v>709</v>
      </c>
      <c r="BJ978" s="547" t="s">
        <v>709</v>
      </c>
      <c r="BK978" s="547" t="s">
        <v>709</v>
      </c>
      <c r="BL978" s="547" t="s">
        <v>116</v>
      </c>
      <c r="BM978" s="547" t="s">
        <v>709</v>
      </c>
      <c r="BN978" s="547" t="s">
        <v>709</v>
      </c>
      <c r="BO978" s="547" t="s">
        <v>709</v>
      </c>
      <c r="BP978" s="547" t="s">
        <v>709</v>
      </c>
      <c r="BQ978" s="547" t="s">
        <v>709</v>
      </c>
      <c r="BR978" s="547">
        <v>3047</v>
      </c>
      <c r="BS978" s="547">
        <v>30</v>
      </c>
      <c r="BT978" s="547" t="s">
        <v>709</v>
      </c>
      <c r="BU978" s="547" t="s">
        <v>709</v>
      </c>
      <c r="BV978" s="547" t="s">
        <v>709</v>
      </c>
      <c r="BW978" s="547" t="s">
        <v>709</v>
      </c>
      <c r="BX978" s="547" t="s">
        <v>709</v>
      </c>
      <c r="BY978" s="547" t="s">
        <v>709</v>
      </c>
      <c r="BZ978" s="547" t="s">
        <v>709</v>
      </c>
      <c r="CA978" s="483"/>
      <c r="CB978" s="547">
        <v>977</v>
      </c>
      <c r="CC978" s="1481" t="b">
        <v>1</v>
      </c>
      <c r="CD978" t="str">
        <f>Table15[[#This Row],[Engineering Number]]&amp;Table15[[#This Row],[WO Number]]&amp;Table15[[#This Row],[Date Assigned to Designer]]&amp;Table15[[#This Row],[Date Completed]]</f>
        <v>RS112312120884509945105</v>
      </c>
    </row>
    <row r="979" spans="1:82" customFormat="1" ht="15" customHeight="1" x14ac:dyDescent="0.25">
      <c r="A979">
        <v>2023</v>
      </c>
      <c r="B979" s="8" t="s">
        <v>759</v>
      </c>
      <c r="C979" s="8" t="s">
        <v>760</v>
      </c>
      <c r="D979" s="8" t="s">
        <v>761</v>
      </c>
      <c r="E979" s="8" t="s">
        <v>762</v>
      </c>
      <c r="F979" s="8" t="s">
        <v>752</v>
      </c>
      <c r="G979" s="8" t="s">
        <v>34</v>
      </c>
      <c r="H979" s="13" t="s">
        <v>59</v>
      </c>
      <c r="I979" s="642">
        <v>44965</v>
      </c>
      <c r="J979" s="18">
        <v>45107</v>
      </c>
      <c r="K979" s="175">
        <v>45105</v>
      </c>
      <c r="L979" s="649">
        <f>IF(ISTEXT(Table15[[#This Row],[Engineering Approved Design Date]]),Table15[[#This Row],[Date Completed]]-Table15[[#This Row],[Date Assigned to Designer]],Table15[[#This Row],[Engineering Approved Design Date]]-Table15[[#This Row],[Date Completed]])</f>
        <v>2</v>
      </c>
      <c r="M979" s="673"/>
      <c r="N979" s="642" t="s">
        <v>120</v>
      </c>
      <c r="O979" s="1060">
        <v>45108</v>
      </c>
      <c r="P979" s="1152" t="s">
        <v>120</v>
      </c>
      <c r="Q979" s="340">
        <f>Table15[[#This Row],[Rate]]*Table15[[#This Row],[Construction Cost to Bill From]]</f>
        <v>100782.07699999999</v>
      </c>
      <c r="R979" s="1026">
        <v>0.11</v>
      </c>
      <c r="S979" s="538"/>
      <c r="T979" s="538"/>
      <c r="U979" s="87"/>
      <c r="V979" s="858">
        <v>682</v>
      </c>
      <c r="W979" s="437">
        <v>1</v>
      </c>
      <c r="X979" s="552">
        <v>759209.61</v>
      </c>
      <c r="Y979" s="551">
        <v>45049</v>
      </c>
      <c r="Z979" s="552">
        <v>156991.09</v>
      </c>
      <c r="AA979" s="552">
        <f>Table15[[#This Row],[PCTS Investment Amount]]+Table15[[#This Row],[PCTS Retirement Amount]]</f>
        <v>916200.7</v>
      </c>
      <c r="AB979" s="341">
        <v>45125</v>
      </c>
      <c r="AC979" s="568" t="s">
        <v>763</v>
      </c>
      <c r="AD979" s="1157" t="s">
        <v>29</v>
      </c>
      <c r="AE979" s="568" t="s">
        <v>116</v>
      </c>
      <c r="AF979" s="568" t="s">
        <v>756</v>
      </c>
      <c r="AG979" s="568" t="s">
        <v>116</v>
      </c>
      <c r="AH979" s="183" t="s">
        <v>116</v>
      </c>
      <c r="AI979" s="1036"/>
      <c r="AJ979" s="1037"/>
      <c r="AK979" s="1037"/>
      <c r="AL979" s="1038"/>
      <c r="AM979" s="1522" t="s">
        <v>116</v>
      </c>
      <c r="AN979" s="1523">
        <v>45309</v>
      </c>
      <c r="AO979" s="1524">
        <v>11031821</v>
      </c>
      <c r="AP979" s="1525">
        <v>759339.67</v>
      </c>
      <c r="AQ979" s="1525"/>
      <c r="AR979" s="1525">
        <v>156991.09</v>
      </c>
      <c r="AS979" s="1525">
        <v>916330.76</v>
      </c>
      <c r="AT979" s="1525">
        <v>130.06000000005588</v>
      </c>
      <c r="AU979" s="1525">
        <v>14.306600000006148</v>
      </c>
      <c r="AV979" s="1525" t="s">
        <v>29</v>
      </c>
      <c r="AW979" s="1526" t="s">
        <v>764</v>
      </c>
      <c r="AX979" s="1525">
        <v>14.31</v>
      </c>
      <c r="AY979" s="1518">
        <v>45566</v>
      </c>
      <c r="AZ979" s="333">
        <v>155</v>
      </c>
      <c r="BA979" s="1076" t="s">
        <v>765</v>
      </c>
      <c r="BB979" s="644" t="s">
        <v>766</v>
      </c>
      <c r="BC979" s="544" t="s">
        <v>115</v>
      </c>
      <c r="BD979" s="544" t="s">
        <v>115</v>
      </c>
      <c r="BE979" s="544" t="s">
        <v>767</v>
      </c>
      <c r="BF979" s="548" t="s">
        <v>115</v>
      </c>
      <c r="BG979" s="548" t="s">
        <v>115</v>
      </c>
      <c r="BH979" s="741" t="s">
        <v>768</v>
      </c>
      <c r="BI979" s="547" t="s">
        <v>709</v>
      </c>
      <c r="BJ979" s="547" t="s">
        <v>709</v>
      </c>
      <c r="BK979" s="547" t="s">
        <v>116</v>
      </c>
      <c r="BL979" s="547" t="s">
        <v>116</v>
      </c>
      <c r="BM979" s="547" t="s">
        <v>709</v>
      </c>
      <c r="BN979" s="547" t="s">
        <v>709</v>
      </c>
      <c r="BO979" s="547" t="s">
        <v>709</v>
      </c>
      <c r="BP979" s="547" t="s">
        <v>709</v>
      </c>
      <c r="BQ979" s="547">
        <v>69</v>
      </c>
      <c r="BR979" s="547">
        <v>435</v>
      </c>
      <c r="BS979" s="547">
        <v>10</v>
      </c>
      <c r="BT979" s="547">
        <v>1</v>
      </c>
      <c r="BU979" s="547" t="s">
        <v>709</v>
      </c>
      <c r="BV979" s="547" t="s">
        <v>709</v>
      </c>
      <c r="BW979" s="547" t="s">
        <v>709</v>
      </c>
      <c r="BX979" s="547">
        <v>1</v>
      </c>
      <c r="BY979" s="547" t="s">
        <v>709</v>
      </c>
      <c r="BZ979" s="547" t="s">
        <v>709</v>
      </c>
      <c r="CA979" s="483" t="s">
        <v>769</v>
      </c>
      <c r="CB979" s="547">
        <v>976</v>
      </c>
      <c r="CC979" s="1481" t="b">
        <v>1</v>
      </c>
      <c r="CD979" t="str">
        <f>Table15[[#This Row],[Engineering Number]]&amp;Table15[[#This Row],[WO Number]]&amp;Table15[[#This Row],[Date Assigned to Designer]]&amp;Table15[[#This Row],[Date Completed]]</f>
        <v>RS9281030744496545105</v>
      </c>
    </row>
    <row r="980" spans="1:82" customFormat="1" ht="15" customHeight="1" x14ac:dyDescent="0.25">
      <c r="A980">
        <v>2023</v>
      </c>
      <c r="B980" s="8" t="s">
        <v>771</v>
      </c>
      <c r="C980" s="8" t="s">
        <v>931</v>
      </c>
      <c r="D980" s="8">
        <v>1312007</v>
      </c>
      <c r="E980" s="8" t="s">
        <v>887</v>
      </c>
      <c r="F980" s="8" t="s">
        <v>784</v>
      </c>
      <c r="G980" s="8" t="s">
        <v>5754</v>
      </c>
      <c r="H980" s="8" t="s">
        <v>4001</v>
      </c>
      <c r="I980" s="642">
        <v>45099</v>
      </c>
      <c r="J980" s="175" t="s">
        <v>2052</v>
      </c>
      <c r="K980" s="97">
        <v>45106</v>
      </c>
      <c r="L980" s="16">
        <f>IF(ISTEXT(Table15[[#This Row],[Engineering Approved Design Date]]),Table15[[#This Row],[Date Completed]]-Table15[[#This Row],[Date Assigned to Designer]],Table15[[#This Row],[Engineering Approved Design Date]]-Table15[[#This Row],[Date Completed]])</f>
        <v>7</v>
      </c>
      <c r="M980" s="16" t="s">
        <v>5755</v>
      </c>
      <c r="N980" s="642" t="s">
        <v>120</v>
      </c>
      <c r="O980" s="1060">
        <v>45108</v>
      </c>
      <c r="P980" s="1152" t="s">
        <v>120</v>
      </c>
      <c r="Q980" s="1061">
        <f>Table15[[#This Row],[KH Hourly Effort]]</f>
        <v>570</v>
      </c>
      <c r="R980" s="1039" t="s">
        <v>1922</v>
      </c>
      <c r="S980" s="538">
        <v>0</v>
      </c>
      <c r="T980" s="538">
        <v>0</v>
      </c>
      <c r="U980" s="1078">
        <v>570</v>
      </c>
      <c r="V980" s="857">
        <v>10084</v>
      </c>
      <c r="W980" s="440">
        <v>0</v>
      </c>
      <c r="X980" s="538"/>
      <c r="Y980" s="551"/>
      <c r="Z980" s="538"/>
      <c r="AA980" s="552"/>
      <c r="AB980" s="341" t="s">
        <v>29</v>
      </c>
      <c r="AC980" s="569" t="s">
        <v>29</v>
      </c>
      <c r="AD980" s="1149" t="s">
        <v>29</v>
      </c>
      <c r="AE980" s="569" t="s">
        <v>709</v>
      </c>
      <c r="AF980" s="569" t="s">
        <v>756</v>
      </c>
      <c r="AG980" s="569" t="s">
        <v>116</v>
      </c>
      <c r="AH980" s="536" t="s">
        <v>709</v>
      </c>
      <c r="AI980" s="1028"/>
      <c r="AJ980" s="1029"/>
      <c r="AK980" s="1029"/>
      <c r="AL980" s="1030"/>
      <c r="AM980" s="542" t="s">
        <v>709</v>
      </c>
      <c r="AN980" s="924"/>
      <c r="AO980" s="925"/>
      <c r="AP980" s="926"/>
      <c r="AQ980" s="926"/>
      <c r="AR980" s="926"/>
      <c r="AS980" s="926"/>
      <c r="AT980" s="926"/>
      <c r="AU980" s="926"/>
      <c r="AV980" s="926"/>
      <c r="AW980" s="927"/>
      <c r="AX980" s="926"/>
      <c r="AY980" s="1538" t="s">
        <v>29</v>
      </c>
      <c r="AZ980" s="1530"/>
      <c r="BA980" s="1031">
        <v>4</v>
      </c>
      <c r="BB980" s="644" t="s">
        <v>116</v>
      </c>
      <c r="BC980" s="544"/>
      <c r="BD980" s="544"/>
      <c r="BE980" s="544"/>
      <c r="BF980" s="544"/>
      <c r="BG980" s="544"/>
      <c r="BH980" s="741" t="s">
        <v>5458</v>
      </c>
      <c r="BI980" s="547" t="s">
        <v>709</v>
      </c>
      <c r="BJ980" s="547" t="s">
        <v>709</v>
      </c>
      <c r="BK980" s="547" t="s">
        <v>709</v>
      </c>
      <c r="BL980" s="547" t="s">
        <v>116</v>
      </c>
      <c r="BM980" s="547">
        <v>0</v>
      </c>
      <c r="BN980" s="549">
        <v>0</v>
      </c>
      <c r="BO980" s="547">
        <v>0</v>
      </c>
      <c r="BP980" s="547">
        <v>0</v>
      </c>
      <c r="BQ980" s="547">
        <v>6343</v>
      </c>
      <c r="BR980" s="547">
        <v>103</v>
      </c>
      <c r="BS980" s="547">
        <v>3638</v>
      </c>
      <c r="BT980" s="547">
        <v>0</v>
      </c>
      <c r="BU980" s="549">
        <v>0</v>
      </c>
      <c r="BV980" s="547">
        <v>0</v>
      </c>
      <c r="BW980" s="547">
        <v>0</v>
      </c>
      <c r="BX980" s="547">
        <v>0</v>
      </c>
      <c r="BY980" s="547">
        <v>0</v>
      </c>
      <c r="BZ980" s="547" t="s">
        <v>709</v>
      </c>
      <c r="CA980" s="483"/>
      <c r="CB980" s="547">
        <v>978</v>
      </c>
      <c r="CC980" s="1481" t="b">
        <v>1</v>
      </c>
      <c r="CD980" t="str">
        <f>Table15[[#This Row],[Engineering Number]]&amp;Table15[[#This Row],[WO Number]]&amp;Table15[[#This Row],[Date Assigned to Designer]]&amp;Table15[[#This Row],[Date Completed]]</f>
        <v>BS63113120074509945106</v>
      </c>
    </row>
    <row r="981" spans="1:82" customFormat="1" ht="15" customHeight="1" x14ac:dyDescent="0.25">
      <c r="A981">
        <v>2023</v>
      </c>
      <c r="B981" s="8" t="s">
        <v>1073</v>
      </c>
      <c r="C981" s="8" t="s">
        <v>544</v>
      </c>
      <c r="D981" s="8" t="s">
        <v>1540</v>
      </c>
      <c r="E981" s="8" t="s">
        <v>1492</v>
      </c>
      <c r="F981" s="8" t="s">
        <v>784</v>
      </c>
      <c r="G981" s="8" t="s">
        <v>31</v>
      </c>
      <c r="H981" s="13" t="s">
        <v>59</v>
      </c>
      <c r="I981" s="642">
        <v>44978</v>
      </c>
      <c r="J981" s="18">
        <v>45106</v>
      </c>
      <c r="K981" s="97">
        <v>45106</v>
      </c>
      <c r="L981" s="16">
        <f>IF(ISTEXT(Table15[[#This Row],[Engineering Approved Design Date]]),Table15[[#This Row],[Date Completed]]-Table15[[#This Row],[Date Assigned to Designer]],Table15[[#This Row],[Engineering Approved Design Date]]-Table15[[#This Row],[Date Completed]])</f>
        <v>0</v>
      </c>
      <c r="M981" s="642"/>
      <c r="N981" s="642" t="s">
        <v>120</v>
      </c>
      <c r="O981" s="1060">
        <v>45108</v>
      </c>
      <c r="P981" s="1152" t="s">
        <v>739</v>
      </c>
      <c r="Q981" s="340">
        <f>Table15[[#This Row],[Rate]]*Table15[[#This Row],[Construction Cost to Bill From]]</f>
        <v>217618.17120000001</v>
      </c>
      <c r="R981" s="1026">
        <v>0.08</v>
      </c>
      <c r="S981" s="538"/>
      <c r="T981" s="538"/>
      <c r="U981" s="87"/>
      <c r="V981" s="858">
        <v>7379</v>
      </c>
      <c r="W981" s="437">
        <v>1</v>
      </c>
      <c r="X981" s="552">
        <v>2642675.2400000002</v>
      </c>
      <c r="Y981" s="551"/>
      <c r="Z981" s="552">
        <v>77551.899999999994</v>
      </c>
      <c r="AA981" s="552">
        <f>SUM(Table15[[#This Row],[PCTS Investment Amount]:[PCTS Retirement Amount]])</f>
        <v>2720227.14</v>
      </c>
      <c r="AB981" s="341">
        <v>45107</v>
      </c>
      <c r="AC981" s="568" t="s">
        <v>116</v>
      </c>
      <c r="AD981" s="1157" t="s">
        <v>29</v>
      </c>
      <c r="AE981" s="568" t="s">
        <v>756</v>
      </c>
      <c r="AF981" s="568" t="s">
        <v>29</v>
      </c>
      <c r="AG981" s="568" t="s">
        <v>116</v>
      </c>
      <c r="AH981" s="183" t="s">
        <v>29</v>
      </c>
      <c r="AI981" s="1036"/>
      <c r="AJ981" s="1037"/>
      <c r="AK981" s="1037"/>
      <c r="AL981" s="1038"/>
      <c r="AM981" s="1522" t="s">
        <v>116</v>
      </c>
      <c r="AN981" s="1523">
        <v>45657</v>
      </c>
      <c r="AO981" s="1524">
        <v>11060045</v>
      </c>
      <c r="AP981" s="1525">
        <v>1082126.52</v>
      </c>
      <c r="AQ981" s="1525"/>
      <c r="AR981" s="1525">
        <v>0</v>
      </c>
      <c r="AS981" s="1525">
        <f>IF(Table15[[#This Row],[PCTS Approved]]="N",0,Table15[[#This Row],[Investment Amount (1'#'#'#'#'#)]]+Table15[[#This Row],[Retirement Amount (3'#'#'#'#'#)]])</f>
        <v>1082126.52</v>
      </c>
      <c r="AT981" s="1525">
        <f>IF(Table15[[#This Row],[Approved Construction Cost]]=0,0,Table15[[#This Row],[Approved Construction Cost]]-Table15[[#This Row],[Construction Cost to Bill From]])</f>
        <v>-1638100.62</v>
      </c>
      <c r="AU981" s="1525">
        <f>IFERROR(Table15[[#This Row],[Difference in Construction Cost]]*Table15[[#This Row],[Rate]],Table15[[#This Row],[Difference in Construction Cost]]*0.085)</f>
        <v>-131048.04960000001</v>
      </c>
      <c r="AV981" s="1525">
        <v>24035</v>
      </c>
      <c r="AW981" s="1526" t="s">
        <v>5757</v>
      </c>
      <c r="AX981" s="1525">
        <v>0</v>
      </c>
      <c r="AY981" s="1518">
        <v>45901</v>
      </c>
      <c r="AZ981" s="333">
        <v>15</v>
      </c>
      <c r="BA981" s="859" t="s">
        <v>1541</v>
      </c>
      <c r="BB981" s="644" t="s">
        <v>1542</v>
      </c>
      <c r="BC981" s="544" t="s">
        <v>116</v>
      </c>
      <c r="BD981" s="544" t="s">
        <v>115</v>
      </c>
      <c r="BE981" s="544" t="s">
        <v>545</v>
      </c>
      <c r="BF981" s="544" t="s">
        <v>115</v>
      </c>
      <c r="BG981" s="544" t="s">
        <v>1543</v>
      </c>
      <c r="BH981" s="741" t="s">
        <v>1544</v>
      </c>
      <c r="BI981" s="549" t="s">
        <v>116</v>
      </c>
      <c r="BJ981" s="549" t="s">
        <v>709</v>
      </c>
      <c r="BK981" s="549" t="s">
        <v>709</v>
      </c>
      <c r="BL981" s="549" t="s">
        <v>116</v>
      </c>
      <c r="BM981" s="549" t="s">
        <v>709</v>
      </c>
      <c r="BN981" s="549" t="s">
        <v>709</v>
      </c>
      <c r="BO981" s="549" t="s">
        <v>709</v>
      </c>
      <c r="BP981" s="549">
        <v>4800</v>
      </c>
      <c r="BQ981" s="549">
        <v>2447</v>
      </c>
      <c r="BR981" s="549">
        <v>45</v>
      </c>
      <c r="BS981" s="549">
        <v>5</v>
      </c>
      <c r="BT981" s="549">
        <v>1</v>
      </c>
      <c r="BU981" s="549" t="s">
        <v>709</v>
      </c>
      <c r="BV981" s="549" t="s">
        <v>709</v>
      </c>
      <c r="BW981" s="549" t="s">
        <v>709</v>
      </c>
      <c r="BX981" s="549">
        <v>1</v>
      </c>
      <c r="BY981" s="549" t="s">
        <v>709</v>
      </c>
      <c r="BZ981" s="547" t="s">
        <v>709</v>
      </c>
      <c r="CA981" s="483"/>
      <c r="CB981" s="547">
        <v>982</v>
      </c>
      <c r="CC981" s="1481" t="b">
        <v>1</v>
      </c>
      <c r="CD981" t="str">
        <f>Table15[[#This Row],[Engineering Number]]&amp;Table15[[#This Row],[WO Number]]&amp;Table15[[#This Row],[Date Assigned to Designer]]&amp;Table15[[#This Row],[Date Completed]]</f>
        <v>NBA1000544016124214497845106</v>
      </c>
    </row>
    <row r="982" spans="1:82" customFormat="1" ht="15" customHeight="1" x14ac:dyDescent="0.25">
      <c r="A982">
        <v>2023</v>
      </c>
      <c r="B982" s="8" t="s">
        <v>4</v>
      </c>
      <c r="C982" s="8" t="s">
        <v>5769</v>
      </c>
      <c r="D982" s="8" t="s">
        <v>5770</v>
      </c>
      <c r="E982" s="8" t="s">
        <v>2457</v>
      </c>
      <c r="F982" s="8" t="s">
        <v>747</v>
      </c>
      <c r="G982" s="8" t="s">
        <v>39</v>
      </c>
      <c r="H982" s="8" t="s">
        <v>5771</v>
      </c>
      <c r="I982" s="642">
        <v>45097</v>
      </c>
      <c r="J982" s="18">
        <v>45169</v>
      </c>
      <c r="K982" s="175">
        <v>45106</v>
      </c>
      <c r="L982" s="16">
        <f>IF(ISTEXT(Table15[[#This Row],[Engineering Approved Design Date]]),Table15[[#This Row],[Date Completed]]-Table15[[#This Row],[Date Assigned to Designer]],Table15[[#This Row],[Engineering Approved Design Date]]-Table15[[#This Row],[Date Completed]])</f>
        <v>63</v>
      </c>
      <c r="N982" s="642" t="s">
        <v>120</v>
      </c>
      <c r="O982" s="1060">
        <v>45108</v>
      </c>
      <c r="P982" s="1152" t="s">
        <v>739</v>
      </c>
      <c r="Q982" s="28" t="s">
        <v>115</v>
      </c>
      <c r="R982" s="1026" t="s">
        <v>115</v>
      </c>
      <c r="S982" s="538"/>
      <c r="T982" s="538"/>
      <c r="U982" s="28"/>
      <c r="V982" s="858"/>
      <c r="W982" s="437"/>
      <c r="X982" s="538"/>
      <c r="Y982" s="550"/>
      <c r="Z982" s="538"/>
      <c r="AA982" s="552"/>
      <c r="AB982" s="341" t="s">
        <v>29</v>
      </c>
      <c r="AC982" s="568" t="s">
        <v>29</v>
      </c>
      <c r="AD982" s="1157" t="s">
        <v>29</v>
      </c>
      <c r="AE982" s="568" t="s">
        <v>29</v>
      </c>
      <c r="AF982" s="568" t="s">
        <v>29</v>
      </c>
      <c r="AG982" s="568" t="s">
        <v>29</v>
      </c>
      <c r="AH982" s="183" t="s">
        <v>29</v>
      </c>
      <c r="AI982" s="1036"/>
      <c r="AJ982" s="1037"/>
      <c r="AK982" s="1037"/>
      <c r="AL982" s="1038"/>
      <c r="AM982" s="542" t="s">
        <v>709</v>
      </c>
      <c r="AN982" s="924"/>
      <c r="AO982" s="925"/>
      <c r="AP982" s="926"/>
      <c r="AQ982" s="926"/>
      <c r="AR982" s="926"/>
      <c r="AS982" s="926"/>
      <c r="AT982" s="926"/>
      <c r="AU982" s="926"/>
      <c r="AV982" s="926"/>
      <c r="AW982" s="927"/>
      <c r="AX982" s="926"/>
      <c r="AY982" s="1538" t="s">
        <v>29</v>
      </c>
      <c r="AZ982" s="1530"/>
      <c r="BA982" s="1031" t="s">
        <v>5772</v>
      </c>
      <c r="BB982" s="648" t="s">
        <v>877</v>
      </c>
      <c r="BC982" s="544" t="s">
        <v>915</v>
      </c>
      <c r="BD982" s="544" t="s">
        <v>915</v>
      </c>
      <c r="BE982" s="1082" t="s">
        <v>915</v>
      </c>
      <c r="BF982" s="1082" t="s">
        <v>915</v>
      </c>
      <c r="BG982" s="544" t="s">
        <v>915</v>
      </c>
      <c r="BH982" s="741"/>
      <c r="BI982" s="1032"/>
      <c r="BJ982" s="1032"/>
      <c r="BK982" s="1032"/>
      <c r="BL982" s="1032"/>
      <c r="BM982" s="1032"/>
      <c r="BN982" s="1032"/>
      <c r="BO982" s="1032"/>
      <c r="BP982" s="1032"/>
      <c r="BQ982" s="1032"/>
      <c r="BR982" s="1032"/>
      <c r="BS982" s="1032"/>
      <c r="BT982" s="1032"/>
      <c r="BU982" s="1032"/>
      <c r="BV982" s="1032"/>
      <c r="BW982" s="1032"/>
      <c r="BX982" s="1032"/>
      <c r="BY982" s="1032"/>
      <c r="BZ982" s="1032"/>
      <c r="CA982" s="485" t="s">
        <v>915</v>
      </c>
      <c r="CB982" s="547">
        <v>980</v>
      </c>
      <c r="CC982" s="1481" t="b">
        <v>1</v>
      </c>
      <c r="CD982" t="str">
        <f>Table15[[#This Row],[Engineering Number]]&amp;Table15[[#This Row],[WO Number]]&amp;Table15[[#This Row],[Date Assigned to Designer]]&amp;Table15[[#This Row],[Date Completed]]</f>
        <v>SC17070-132128884509745106</v>
      </c>
    </row>
    <row r="983" spans="1:82" customFormat="1" ht="15" customHeight="1" x14ac:dyDescent="0.25">
      <c r="A983">
        <v>2023</v>
      </c>
      <c r="B983" s="8" t="s">
        <v>4</v>
      </c>
      <c r="C983" s="8" t="s">
        <v>5759</v>
      </c>
      <c r="D983" s="8" t="s">
        <v>5760</v>
      </c>
      <c r="E983" s="8" t="s">
        <v>232</v>
      </c>
      <c r="F983" s="8" t="s">
        <v>747</v>
      </c>
      <c r="G983" s="8" t="s">
        <v>28</v>
      </c>
      <c r="H983" s="13" t="s">
        <v>59</v>
      </c>
      <c r="I983" s="642">
        <v>44631</v>
      </c>
      <c r="J983" s="18">
        <v>45107</v>
      </c>
      <c r="K983" s="175">
        <v>45106</v>
      </c>
      <c r="L983" s="649">
        <f>IF(ISTEXT(Table15[[#This Row],[Engineering Approved Design Date]]),Table15[[#This Row],[Date Completed]]-Table15[[#This Row],[Date Assigned to Designer]],Table15[[#This Row],[Engineering Approved Design Date]]-Table15[[#This Row],[Date Completed]])</f>
        <v>1</v>
      </c>
      <c r="M983" s="642"/>
      <c r="N983" s="642" t="s">
        <v>120</v>
      </c>
      <c r="O983" s="1060">
        <v>45108</v>
      </c>
      <c r="P983" s="1152" t="s">
        <v>739</v>
      </c>
      <c r="Q983" s="340">
        <f>Table15[[#This Row],[Rate]]*Table15[[#This Row],[Construction Cost to Bill From]]</f>
        <v>227123.80200000003</v>
      </c>
      <c r="R983" s="1026">
        <v>0.1</v>
      </c>
      <c r="S983" s="538"/>
      <c r="T983" s="538"/>
      <c r="U983" s="87"/>
      <c r="V983" s="858">
        <v>5187</v>
      </c>
      <c r="W983" s="437">
        <v>0</v>
      </c>
      <c r="X983" s="552">
        <v>1144369.94</v>
      </c>
      <c r="Y983" s="551"/>
      <c r="Z983" s="552">
        <v>1126868.08</v>
      </c>
      <c r="AA983" s="552">
        <f>SUM(Table15[[#This Row],[PCTS Investment Amount]:[PCTS Retirement Amount]])</f>
        <v>2271238.02</v>
      </c>
      <c r="AB983" s="341">
        <v>45105</v>
      </c>
      <c r="AC983" s="568" t="s">
        <v>709</v>
      </c>
      <c r="AD983" s="1157" t="s">
        <v>116</v>
      </c>
      <c r="AE983" s="568" t="s">
        <v>756</v>
      </c>
      <c r="AF983" s="568" t="s">
        <v>756</v>
      </c>
      <c r="AG983" s="568" t="s">
        <v>116</v>
      </c>
      <c r="AH983" s="183">
        <v>45222</v>
      </c>
      <c r="AI983" s="1036"/>
      <c r="AJ983" s="1037"/>
      <c r="AK983" s="1037"/>
      <c r="AL983" s="1038"/>
      <c r="AM983" s="1522" t="s">
        <v>116</v>
      </c>
      <c r="AN983" s="1523">
        <v>45187</v>
      </c>
      <c r="AO983" s="1524">
        <v>11069130</v>
      </c>
      <c r="AP983" s="1525">
        <v>1144512.71</v>
      </c>
      <c r="AQ983" s="1525">
        <v>45043</v>
      </c>
      <c r="AR983" s="1525">
        <v>1126868.5</v>
      </c>
      <c r="AS983" s="1525">
        <f>IF(Table15[[#This Row],[PCTS Approved]]="N",0,Table15[[#This Row],[Investment Amount (1'#'#'#'#'#)]]+Table15[[#This Row],[Retirement Amount (3'#'#'#'#'#)]])</f>
        <v>2271381.21</v>
      </c>
      <c r="AT983" s="1525">
        <f>IF(Table15[[#This Row],[Approved Construction Cost]]=0,0,Table15[[#This Row],[Approved Construction Cost]]-Table15[[#This Row],[Construction Cost to Bill From]])</f>
        <v>143.18999999994412</v>
      </c>
      <c r="AU983" s="1525">
        <f>IFERROR(Table15[[#This Row],[Difference in Construction Cost]]*Table15[[#This Row],[Rate]],Table15[[#This Row],[Difference in Construction Cost]]*0.085)</f>
        <v>14.318999999994412</v>
      </c>
      <c r="AV983" s="1525">
        <f>6225+4357.5</f>
        <v>10582.5</v>
      </c>
      <c r="AW983" s="1526" t="s">
        <v>5761</v>
      </c>
      <c r="AX983" s="1525">
        <v>0</v>
      </c>
      <c r="AY983" s="1518">
        <v>45352</v>
      </c>
      <c r="AZ983" s="333"/>
      <c r="BA983" s="1076" t="s">
        <v>5762</v>
      </c>
      <c r="BB983" s="644" t="s">
        <v>1045</v>
      </c>
      <c r="BC983" s="544" t="s">
        <v>116</v>
      </c>
      <c r="BD983" s="544" t="s">
        <v>837</v>
      </c>
      <c r="BE983" s="544" t="s">
        <v>595</v>
      </c>
      <c r="BF983" s="544" t="s">
        <v>745</v>
      </c>
      <c r="BG983" s="544" t="s">
        <v>709</v>
      </c>
      <c r="BH983" s="741" t="s">
        <v>5763</v>
      </c>
      <c r="BI983" s="626" t="s">
        <v>709</v>
      </c>
      <c r="BJ983" s="547" t="s">
        <v>709</v>
      </c>
      <c r="BK983" s="547" t="s">
        <v>709</v>
      </c>
      <c r="BL983" s="1083" t="s">
        <v>116</v>
      </c>
      <c r="BM983" s="549" t="s">
        <v>709</v>
      </c>
      <c r="BN983" s="549" t="s">
        <v>709</v>
      </c>
      <c r="BO983" s="547" t="s">
        <v>709</v>
      </c>
      <c r="BP983" s="549" t="s">
        <v>709</v>
      </c>
      <c r="BQ983" s="547" t="s">
        <v>709</v>
      </c>
      <c r="BR983" s="626">
        <v>4883</v>
      </c>
      <c r="BS983" s="549">
        <v>304</v>
      </c>
      <c r="BT983" s="547" t="s">
        <v>709</v>
      </c>
      <c r="BU983" s="547" t="s">
        <v>709</v>
      </c>
      <c r="BV983" s="547" t="s">
        <v>709</v>
      </c>
      <c r="BW983" s="547" t="s">
        <v>709</v>
      </c>
      <c r="BX983" s="547" t="s">
        <v>745</v>
      </c>
      <c r="BY983" s="547" t="s">
        <v>709</v>
      </c>
      <c r="BZ983" s="547" t="s">
        <v>709</v>
      </c>
      <c r="CA983" s="483"/>
      <c r="CB983" s="547">
        <v>979</v>
      </c>
      <c r="CC983" s="1481" t="b">
        <v>1</v>
      </c>
      <c r="CD983" t="str">
        <f>Table15[[#This Row],[Engineering Number]]&amp;Table15[[#This Row],[WO Number]]&amp;Table15[[#This Row],[Date Assigned to Designer]]&amp;Table15[[#This Row],[Date Completed]]</f>
        <v>SC1987914124124463145106</v>
      </c>
    </row>
    <row r="984" spans="1:82" customFormat="1" ht="15" customHeight="1" x14ac:dyDescent="0.25">
      <c r="A984">
        <v>2023</v>
      </c>
      <c r="B984" s="8" t="s">
        <v>4</v>
      </c>
      <c r="C984" s="8" t="s">
        <v>5765</v>
      </c>
      <c r="D984" s="8" t="s">
        <v>115</v>
      </c>
      <c r="E984" s="8" t="s">
        <v>918</v>
      </c>
      <c r="F984" s="8" t="s">
        <v>747</v>
      </c>
      <c r="G984" s="8" t="s">
        <v>27</v>
      </c>
      <c r="H984" s="8" t="s">
        <v>1681</v>
      </c>
      <c r="I984" s="642">
        <v>45056</v>
      </c>
      <c r="J984" s="18">
        <v>45156</v>
      </c>
      <c r="K984" s="97">
        <v>45106</v>
      </c>
      <c r="L984" s="16">
        <f>IF(ISTEXT(Table15[[#This Row],[Engineering Approved Design Date]]),Table15[[#This Row],[Date Completed]]-Table15[[#This Row],[Date Assigned to Designer]],Table15[[#This Row],[Engineering Approved Design Date]]-Table15[[#This Row],[Date Completed]])</f>
        <v>50</v>
      </c>
      <c r="N984" s="642" t="s">
        <v>120</v>
      </c>
      <c r="O984" s="1060">
        <v>45108</v>
      </c>
      <c r="P984" s="1152" t="s">
        <v>739</v>
      </c>
      <c r="Q984" s="28" t="s">
        <v>115</v>
      </c>
      <c r="R984" s="1026" t="s">
        <v>115</v>
      </c>
      <c r="S984" s="538"/>
      <c r="T984" s="538"/>
      <c r="U984" s="28"/>
      <c r="V984" s="858"/>
      <c r="W984" s="437"/>
      <c r="X984" s="538"/>
      <c r="Y984" s="550"/>
      <c r="Z984" s="538"/>
      <c r="AA984" s="552"/>
      <c r="AB984" s="341" t="s">
        <v>29</v>
      </c>
      <c r="AC984" s="183" t="s">
        <v>29</v>
      </c>
      <c r="AD984" s="1157" t="s">
        <v>29</v>
      </c>
      <c r="AE984" s="568" t="s">
        <v>756</v>
      </c>
      <c r="AF984" s="568" t="s">
        <v>29</v>
      </c>
      <c r="AG984" s="568" t="s">
        <v>29</v>
      </c>
      <c r="AH984" s="183">
        <v>45163</v>
      </c>
      <c r="AI984" s="1036"/>
      <c r="AJ984" s="1037"/>
      <c r="AK984" s="1037"/>
      <c r="AL984" s="1038"/>
      <c r="AM984" s="542" t="s">
        <v>709</v>
      </c>
      <c r="AN984" s="924"/>
      <c r="AO984" s="925"/>
      <c r="AP984" s="926"/>
      <c r="AQ984" s="926"/>
      <c r="AR984" s="926"/>
      <c r="AS984" s="926"/>
      <c r="AT984" s="926"/>
      <c r="AU984" s="926"/>
      <c r="AV984" s="926"/>
      <c r="AW984" s="927"/>
      <c r="AX984" s="926"/>
      <c r="AY984" s="1538" t="s">
        <v>29</v>
      </c>
      <c r="AZ984" s="1530"/>
      <c r="BA984" s="1031" t="s">
        <v>5766</v>
      </c>
      <c r="BB984" s="648" t="s">
        <v>5767</v>
      </c>
      <c r="BC984" s="544" t="s">
        <v>116</v>
      </c>
      <c r="BD984" s="544" t="s">
        <v>837</v>
      </c>
      <c r="BE984" s="544" t="s">
        <v>115</v>
      </c>
      <c r="BF984" s="544" t="s">
        <v>923</v>
      </c>
      <c r="BG984" s="544" t="s">
        <v>115</v>
      </c>
      <c r="BH984" s="741"/>
      <c r="BI984" s="1032"/>
      <c r="BJ984" s="1032"/>
      <c r="BK984" s="1032"/>
      <c r="BL984" s="1032"/>
      <c r="BM984" s="1032"/>
      <c r="BN984" s="1032"/>
      <c r="BO984" s="1032"/>
      <c r="BP984" s="1032"/>
      <c r="BQ984" s="1032"/>
      <c r="BR984" s="1032"/>
      <c r="BS984" s="1032"/>
      <c r="BT984" s="1032"/>
      <c r="BU984" s="1032"/>
      <c r="BV984" s="1032"/>
      <c r="BW984" s="1032"/>
      <c r="BX984" s="1032"/>
      <c r="BY984" s="1032"/>
      <c r="BZ984" s="1032"/>
      <c r="CA984" s="485" t="s">
        <v>915</v>
      </c>
      <c r="CB984" s="547">
        <v>981</v>
      </c>
      <c r="CC984" s="1481" t="b">
        <v>1</v>
      </c>
      <c r="CD984" t="str">
        <f>Table15[[#This Row],[Engineering Number]]&amp;Table15[[#This Row],[WO Number]]&amp;Table15[[#This Row],[Date Assigned to Designer]]&amp;Table15[[#This Row],[Date Completed]]</f>
        <v>SC22128-4505645106</v>
      </c>
    </row>
    <row r="985" spans="1:82" customFormat="1" ht="15" customHeight="1" x14ac:dyDescent="0.25">
      <c r="A985">
        <v>2023</v>
      </c>
      <c r="B985" s="8" t="s">
        <v>4</v>
      </c>
      <c r="C985" s="8" t="s">
        <v>5774</v>
      </c>
      <c r="D985" s="8" t="s">
        <v>115</v>
      </c>
      <c r="E985" s="8" t="s">
        <v>818</v>
      </c>
      <c r="F985" s="8" t="s">
        <v>851</v>
      </c>
      <c r="G985" s="8" t="s">
        <v>25</v>
      </c>
      <c r="H985" s="647" t="s">
        <v>1903</v>
      </c>
      <c r="I985" s="642">
        <v>45041</v>
      </c>
      <c r="J985" s="18">
        <v>45135</v>
      </c>
      <c r="K985" s="18">
        <v>45112</v>
      </c>
      <c r="L985" s="16">
        <f>IF(ISTEXT(Table15[[#This Row],[Engineering Approved Design Date]]),Table15[[#This Row],[Date Completed]]-Table15[[#This Row],[Date Assigned to Designer]],Table15[[#This Row],[Engineering Approved Design Date]]-Table15[[#This Row],[Date Completed]])</f>
        <v>23</v>
      </c>
      <c r="M985" s="642"/>
      <c r="N985" s="642" t="s">
        <v>120</v>
      </c>
      <c r="O985" s="1060">
        <v>45108</v>
      </c>
      <c r="P985" s="1152" t="s">
        <v>739</v>
      </c>
      <c r="Q985" s="28" t="s">
        <v>115</v>
      </c>
      <c r="R985" s="1026" t="s">
        <v>115</v>
      </c>
      <c r="S985" s="538"/>
      <c r="T985" s="538"/>
      <c r="U985" s="87"/>
      <c r="V985" s="857"/>
      <c r="W985" s="440"/>
      <c r="X985" s="550"/>
      <c r="Y985" s="550"/>
      <c r="Z985" s="550"/>
      <c r="AA985" s="552"/>
      <c r="AB985" s="341" t="s">
        <v>29</v>
      </c>
      <c r="AC985" s="183" t="s">
        <v>29</v>
      </c>
      <c r="AD985" s="1157" t="s">
        <v>29</v>
      </c>
      <c r="AE985" s="568" t="s">
        <v>116</v>
      </c>
      <c r="AF985" s="568" t="s">
        <v>116</v>
      </c>
      <c r="AG985" s="568" t="s">
        <v>116</v>
      </c>
      <c r="AH985" s="183">
        <v>45097</v>
      </c>
      <c r="AI985" s="1036"/>
      <c r="AJ985" s="1037"/>
      <c r="AK985" s="1037"/>
      <c r="AL985" s="1038"/>
      <c r="AM985" s="542" t="s">
        <v>709</v>
      </c>
      <c r="AN985" s="924"/>
      <c r="AO985" s="925"/>
      <c r="AP985" s="926"/>
      <c r="AQ985" s="926"/>
      <c r="AR985" s="926"/>
      <c r="AS985" s="926"/>
      <c r="AT985" s="926"/>
      <c r="AU985" s="926"/>
      <c r="AV985" s="926"/>
      <c r="AW985" s="927"/>
      <c r="AX985" s="926"/>
      <c r="AY985" s="1538" t="s">
        <v>29</v>
      </c>
      <c r="AZ985" s="1530"/>
      <c r="BA985" s="1031" t="s">
        <v>5775</v>
      </c>
      <c r="BB985" s="644" t="s">
        <v>5776</v>
      </c>
      <c r="BC985" s="544" t="s">
        <v>709</v>
      </c>
      <c r="BD985" s="544" t="s">
        <v>709</v>
      </c>
      <c r="BE985" s="544" t="s">
        <v>822</v>
      </c>
      <c r="BF985" s="544" t="s">
        <v>709</v>
      </c>
      <c r="BG985" s="544" t="s">
        <v>709</v>
      </c>
      <c r="BH985" s="741"/>
      <c r="BI985" s="1032"/>
      <c r="BJ985" s="1032"/>
      <c r="BK985" s="1032"/>
      <c r="BL985" s="1032"/>
      <c r="BM985" s="1032"/>
      <c r="BN985" s="1032"/>
      <c r="BO985" s="1032"/>
      <c r="BP985" s="1032"/>
      <c r="BQ985" s="1032"/>
      <c r="BR985" s="1032"/>
      <c r="BS985" s="1032"/>
      <c r="BT985" s="1032"/>
      <c r="BU985" s="1032"/>
      <c r="BV985" s="1032"/>
      <c r="BW985" s="1032"/>
      <c r="BX985" s="1032"/>
      <c r="BY985" s="1032"/>
      <c r="BZ985" s="1032"/>
      <c r="CA985" s="485" t="s">
        <v>915</v>
      </c>
      <c r="CB985" s="547">
        <v>983</v>
      </c>
      <c r="CC985" s="1481" t="b">
        <v>1</v>
      </c>
      <c r="CD985" t="str">
        <f>Table15[[#This Row],[Engineering Number]]&amp;Table15[[#This Row],[WO Number]]&amp;Table15[[#This Row],[Date Assigned to Designer]]&amp;Table15[[#This Row],[Date Completed]]</f>
        <v>SC22582-4504145112</v>
      </c>
    </row>
    <row r="986" spans="1:82" customFormat="1" ht="15" customHeight="1" x14ac:dyDescent="0.25">
      <c r="A986">
        <v>2024</v>
      </c>
      <c r="B986" s="8" t="s">
        <v>771</v>
      </c>
      <c r="C986" s="8" t="s">
        <v>1552</v>
      </c>
      <c r="D986" s="8" t="s">
        <v>1553</v>
      </c>
      <c r="E986" s="8" t="s">
        <v>1554</v>
      </c>
      <c r="F986" s="8" t="s">
        <v>784</v>
      </c>
      <c r="G986" s="8" t="s">
        <v>23</v>
      </c>
      <c r="H986" s="13" t="s">
        <v>59</v>
      </c>
      <c r="I986" s="642">
        <v>44838</v>
      </c>
      <c r="J986" s="18">
        <v>45119</v>
      </c>
      <c r="K986" s="97">
        <v>45118</v>
      </c>
      <c r="L986" s="649">
        <f>IF(ISTEXT(Table15[[#This Row],[Engineering Approved Design Date]]),Table15[[#This Row],[Date Completed]]-Table15[[#This Row],[Date Assigned to Designer]],Table15[[#This Row],[Engineering Approved Design Date]]-Table15[[#This Row],[Date Completed]])</f>
        <v>1</v>
      </c>
      <c r="M986" s="642"/>
      <c r="N986" s="642" t="s">
        <v>120</v>
      </c>
      <c r="O986" s="1060">
        <v>45108</v>
      </c>
      <c r="P986" s="1152" t="s">
        <v>120</v>
      </c>
      <c r="Q986" s="28">
        <f>Table15[[#This Row],[Rate]]*Table15[[#This Row],[Construction Cost to Bill From]]</f>
        <v>200595.49109999998</v>
      </c>
      <c r="R986" s="1026">
        <v>0.09</v>
      </c>
      <c r="S986" s="538"/>
      <c r="T986" s="538"/>
      <c r="U986" s="87"/>
      <c r="V986" s="858">
        <v>3200</v>
      </c>
      <c r="W986" s="443">
        <v>0</v>
      </c>
      <c r="X986" s="552">
        <v>2198073.4900000002</v>
      </c>
      <c r="Y986" s="551"/>
      <c r="Z986" s="552">
        <v>30765.3</v>
      </c>
      <c r="AA986" s="552">
        <f>SUM(Table15[[#This Row],[PCTS Investment Amount]]+Table15[[#This Row],[PCTS Retirement Amount]])</f>
        <v>2228838.79</v>
      </c>
      <c r="AB986" s="341">
        <v>45131</v>
      </c>
      <c r="AC986" s="568" t="s">
        <v>116</v>
      </c>
      <c r="AD986" s="1157" t="s">
        <v>116</v>
      </c>
      <c r="AE986" s="568" t="s">
        <v>116</v>
      </c>
      <c r="AF986" s="568" t="s">
        <v>116</v>
      </c>
      <c r="AG986" s="568" t="s">
        <v>116</v>
      </c>
      <c r="AH986" s="183" t="s">
        <v>116</v>
      </c>
      <c r="AI986" s="1036"/>
      <c r="AJ986" s="1037"/>
      <c r="AK986" s="1037"/>
      <c r="AL986" s="1038"/>
      <c r="AM986" s="536" t="s">
        <v>116</v>
      </c>
      <c r="AN986" s="903" t="s">
        <v>709</v>
      </c>
      <c r="AO986" s="1536">
        <v>11050933</v>
      </c>
      <c r="AP986" s="1537"/>
      <c r="AQ986" s="1537"/>
      <c r="AR986" s="1537"/>
      <c r="AS986" s="888">
        <f>IF(Table15[[#This Row],[PCTS Approved]]="N",0,Table15[[#This Row],[Investment Amount (1'#'#'#'#'#)]]+Table15[[#This Row],[Retirement Amount (3'#'#'#'#'#)]])</f>
        <v>0</v>
      </c>
      <c r="AT986" s="888">
        <f>IF(Table15[[#This Row],[Approved Construction Cost]]=0,0,Table15[[#This Row],[Approved Construction Cost]]-Table15[[#This Row],[Construction Cost to Bill From]])</f>
        <v>0</v>
      </c>
      <c r="AU986" s="888">
        <f>IFERROR(Table15[[#This Row],[Difference in Construction Cost]]*Table15[[#This Row],[Rate]],Table15[[#This Row],[Difference in Construction Cost]]*0.085)</f>
        <v>0</v>
      </c>
      <c r="AV986" s="905"/>
      <c r="AW986" s="1509"/>
      <c r="AX986" s="888"/>
      <c r="AY986" s="636" t="s">
        <v>709</v>
      </c>
      <c r="AZ986" s="1532">
        <v>49</v>
      </c>
      <c r="BA986" s="859" t="s">
        <v>1555</v>
      </c>
      <c r="BB986" s="644" t="s">
        <v>1556</v>
      </c>
      <c r="BC986" s="544" t="s">
        <v>116</v>
      </c>
      <c r="BD986" s="544" t="s">
        <v>115</v>
      </c>
      <c r="BE986" s="544" t="s">
        <v>1557</v>
      </c>
      <c r="BF986" s="544" t="s">
        <v>115</v>
      </c>
      <c r="BG986" s="1084" t="s">
        <v>115</v>
      </c>
      <c r="BH986" s="741" t="s">
        <v>1559</v>
      </c>
      <c r="BI986" s="547" t="s">
        <v>709</v>
      </c>
      <c r="BJ986" s="547" t="s">
        <v>709</v>
      </c>
      <c r="BK986" s="547" t="s">
        <v>709</v>
      </c>
      <c r="BL986" s="547" t="s">
        <v>116</v>
      </c>
      <c r="BM986" s="547" t="s">
        <v>709</v>
      </c>
      <c r="BN986" s="547" t="s">
        <v>709</v>
      </c>
      <c r="BO986" s="547" t="s">
        <v>709</v>
      </c>
      <c r="BP986" s="547">
        <v>1492</v>
      </c>
      <c r="BQ986" s="547">
        <v>1374</v>
      </c>
      <c r="BR986" s="547">
        <v>44</v>
      </c>
      <c r="BS986" s="547">
        <v>290</v>
      </c>
      <c r="BT986" s="547" t="s">
        <v>709</v>
      </c>
      <c r="BU986" s="547" t="s">
        <v>709</v>
      </c>
      <c r="BV986" s="547" t="s">
        <v>709</v>
      </c>
      <c r="BW986" s="547" t="s">
        <v>709</v>
      </c>
      <c r="BX986" s="547" t="s">
        <v>709</v>
      </c>
      <c r="BY986" s="547" t="s">
        <v>709</v>
      </c>
      <c r="BZ986" s="547" t="s">
        <v>709</v>
      </c>
      <c r="CA986" s="483"/>
      <c r="CB986" s="547">
        <v>985</v>
      </c>
      <c r="CC986" s="1481" t="b">
        <v>1</v>
      </c>
      <c r="CD986" t="str">
        <f>Table15[[#This Row],[Engineering Number]]&amp;Table15[[#This Row],[WO Number]]&amp;Table15[[#This Row],[Date Assigned to Designer]]&amp;Table15[[#This Row],[Date Completed]]</f>
        <v>MR191312119334483845118</v>
      </c>
    </row>
    <row r="987" spans="1:82" customFormat="1" ht="15" customHeight="1" x14ac:dyDescent="0.25">
      <c r="A987">
        <v>2024</v>
      </c>
      <c r="B987" s="8" t="s">
        <v>771</v>
      </c>
      <c r="C987" s="8" t="s">
        <v>1545</v>
      </c>
      <c r="D987" s="8" t="s">
        <v>1546</v>
      </c>
      <c r="E987" s="8" t="s">
        <v>1200</v>
      </c>
      <c r="F987" s="8" t="s">
        <v>784</v>
      </c>
      <c r="G987" s="8" t="s">
        <v>23</v>
      </c>
      <c r="H987" s="13" t="s">
        <v>59</v>
      </c>
      <c r="I987" s="642">
        <v>44838</v>
      </c>
      <c r="J987" s="18">
        <v>45119</v>
      </c>
      <c r="K987" s="97">
        <v>45118</v>
      </c>
      <c r="L987" s="649">
        <f>IF(ISTEXT(Table15[[#This Row],[Engineering Approved Design Date]]),Table15[[#This Row],[Date Completed]]-Table15[[#This Row],[Date Assigned to Designer]],Table15[[#This Row],[Engineering Approved Design Date]]-Table15[[#This Row],[Date Completed]])</f>
        <v>1</v>
      </c>
      <c r="M987" s="642"/>
      <c r="N987" s="642" t="s">
        <v>120</v>
      </c>
      <c r="O987" s="1060">
        <v>45108</v>
      </c>
      <c r="P987" s="1152" t="s">
        <v>120</v>
      </c>
      <c r="Q987" s="28">
        <f>Table15[[#This Row],[Rate]]*Table15[[#This Row],[Construction Cost to Bill From]]</f>
        <v>247260.61259999999</v>
      </c>
      <c r="R987" s="1026">
        <v>0.06</v>
      </c>
      <c r="S987" s="538"/>
      <c r="T987" s="538"/>
      <c r="U987" s="87"/>
      <c r="V987" s="858">
        <v>5676</v>
      </c>
      <c r="W987" s="443">
        <v>0</v>
      </c>
      <c r="X987" s="552">
        <v>4068856.64</v>
      </c>
      <c r="Y987" s="551"/>
      <c r="Z987" s="552">
        <v>52153.57</v>
      </c>
      <c r="AA987" s="552">
        <f>SUM(Table15[[#This Row],[PCTS Investment Amount]]+Table15[[#This Row],[PCTS Retirement Amount]])</f>
        <v>4121010.21</v>
      </c>
      <c r="AB987" s="341">
        <v>45131</v>
      </c>
      <c r="AC987" s="568" t="s">
        <v>116</v>
      </c>
      <c r="AD987" s="1157" t="s">
        <v>116</v>
      </c>
      <c r="AE987" s="568" t="s">
        <v>116</v>
      </c>
      <c r="AF987" s="568" t="s">
        <v>116</v>
      </c>
      <c r="AG987" s="568" t="s">
        <v>116</v>
      </c>
      <c r="AH987" s="183" t="s">
        <v>116</v>
      </c>
      <c r="AI987" s="1036"/>
      <c r="AJ987" s="1037"/>
      <c r="AK987" s="1037"/>
      <c r="AL987" s="1038"/>
      <c r="AM987" s="536" t="s">
        <v>116</v>
      </c>
      <c r="AN987" s="903" t="s">
        <v>709</v>
      </c>
      <c r="AO987" s="1536">
        <v>11067715</v>
      </c>
      <c r="AP987" s="1537"/>
      <c r="AQ987" s="1537"/>
      <c r="AR987" s="1537"/>
      <c r="AS987" s="888">
        <f>IF(Table15[[#This Row],[PCTS Approved]]="N",0,Table15[[#This Row],[Investment Amount (1'#'#'#'#'#)]]+Table15[[#This Row],[Retirement Amount (3'#'#'#'#'#)]])</f>
        <v>0</v>
      </c>
      <c r="AT987" s="888">
        <f>IF(Table15[[#This Row],[Approved Construction Cost]]=0,0,Table15[[#This Row],[Approved Construction Cost]]-Table15[[#This Row],[Construction Cost to Bill From]])</f>
        <v>0</v>
      </c>
      <c r="AU987" s="888">
        <f>IFERROR(Table15[[#This Row],[Difference in Construction Cost]]*Table15[[#This Row],[Rate]],Table15[[#This Row],[Difference in Construction Cost]]*0.085)</f>
        <v>0</v>
      </c>
      <c r="AV987" s="905"/>
      <c r="AW987" s="1509"/>
      <c r="AX987" s="888"/>
      <c r="AY987" s="636" t="s">
        <v>709</v>
      </c>
      <c r="AZ987" s="1532">
        <v>7</v>
      </c>
      <c r="BA987" s="859" t="s">
        <v>1547</v>
      </c>
      <c r="BB987" s="644" t="s">
        <v>1548</v>
      </c>
      <c r="BC987" s="544" t="s">
        <v>116</v>
      </c>
      <c r="BD987" s="544" t="s">
        <v>115</v>
      </c>
      <c r="BE987" s="544" t="s">
        <v>1549</v>
      </c>
      <c r="BF987" s="544" t="s">
        <v>115</v>
      </c>
      <c r="BG987" s="544" t="s">
        <v>1550</v>
      </c>
      <c r="BH987" s="741" t="s">
        <v>1551</v>
      </c>
      <c r="BI987" s="547" t="s">
        <v>709</v>
      </c>
      <c r="BJ987" s="547" t="s">
        <v>709</v>
      </c>
      <c r="BK987" s="547" t="s">
        <v>709</v>
      </c>
      <c r="BL987" s="547" t="s">
        <v>116</v>
      </c>
      <c r="BM987" s="547" t="s">
        <v>709</v>
      </c>
      <c r="BN987" s="547" t="s">
        <v>709</v>
      </c>
      <c r="BO987" s="547" t="s">
        <v>709</v>
      </c>
      <c r="BP987" s="547">
        <v>704</v>
      </c>
      <c r="BQ987" s="547">
        <v>3943</v>
      </c>
      <c r="BR987" s="547">
        <v>74</v>
      </c>
      <c r="BS987" s="547">
        <v>954</v>
      </c>
      <c r="BT987" s="547" t="s">
        <v>709</v>
      </c>
      <c r="BU987" s="547" t="s">
        <v>709</v>
      </c>
      <c r="BV987" s="547" t="s">
        <v>709</v>
      </c>
      <c r="BW987" s="547" t="s">
        <v>709</v>
      </c>
      <c r="BX987" s="547" t="s">
        <v>745</v>
      </c>
      <c r="BY987" s="547" t="s">
        <v>709</v>
      </c>
      <c r="BZ987" s="547" t="s">
        <v>709</v>
      </c>
      <c r="CA987" s="483"/>
      <c r="CB987" s="547">
        <v>987</v>
      </c>
      <c r="CC987" s="1481" t="b">
        <v>1</v>
      </c>
      <c r="CD987" t="str">
        <f>Table15[[#This Row],[Engineering Number]]&amp;Table15[[#This Row],[WO Number]]&amp;Table15[[#This Row],[Date Assigned to Designer]]&amp;Table15[[#This Row],[Date Completed]]</f>
        <v>MR192612119324483845118</v>
      </c>
    </row>
    <row r="988" spans="1:82" customFormat="1" ht="15" customHeight="1" x14ac:dyDescent="0.25">
      <c r="A988">
        <v>2024</v>
      </c>
      <c r="B988" s="8" t="s">
        <v>771</v>
      </c>
      <c r="C988" s="8" t="s">
        <v>1560</v>
      </c>
      <c r="D988" s="8" t="s">
        <v>1561</v>
      </c>
      <c r="E988" s="8" t="s">
        <v>1200</v>
      </c>
      <c r="F988" s="8" t="s">
        <v>784</v>
      </c>
      <c r="G988" s="8" t="s">
        <v>22</v>
      </c>
      <c r="H988" s="13" t="s">
        <v>59</v>
      </c>
      <c r="I988" s="642">
        <v>44838</v>
      </c>
      <c r="J988" s="18">
        <v>45119</v>
      </c>
      <c r="K988" s="97">
        <v>45118</v>
      </c>
      <c r="L988" s="649">
        <f>IF(ISTEXT(Table15[[#This Row],[Engineering Approved Design Date]]),Table15[[#This Row],[Date Completed]]-Table15[[#This Row],[Date Assigned to Designer]],Table15[[#This Row],[Engineering Approved Design Date]]-Table15[[#This Row],[Date Completed]])</f>
        <v>1</v>
      </c>
      <c r="M988" s="642"/>
      <c r="N988" s="642" t="s">
        <v>120</v>
      </c>
      <c r="O988" s="1060">
        <v>45108</v>
      </c>
      <c r="P988" s="1152" t="s">
        <v>120</v>
      </c>
      <c r="Q988" s="28">
        <f>Table15[[#This Row],[Rate]]*Table15[[#This Row],[Construction Cost to Bill From]]</f>
        <v>265496.85680000001</v>
      </c>
      <c r="R988" s="1026">
        <v>0.04</v>
      </c>
      <c r="S988" s="538"/>
      <c r="T988" s="538"/>
      <c r="U988" s="87"/>
      <c r="V988" s="1190">
        <v>10571</v>
      </c>
      <c r="W988" s="444">
        <v>0</v>
      </c>
      <c r="X988" s="552">
        <v>6496699.1200000001</v>
      </c>
      <c r="Y988" s="551"/>
      <c r="Z988" s="552">
        <v>140722.29999999999</v>
      </c>
      <c r="AA988" s="552">
        <f>SUM(Table15[[#This Row],[PCTS Investment Amount]]+Table15[[#This Row],[PCTS Retirement Amount]])</f>
        <v>6637421.4199999999</v>
      </c>
      <c r="AB988" s="341">
        <v>45131</v>
      </c>
      <c r="AC988" s="576" t="s">
        <v>116</v>
      </c>
      <c r="AD988" s="1158" t="s">
        <v>116</v>
      </c>
      <c r="AE988" s="576" t="s">
        <v>116</v>
      </c>
      <c r="AF988" s="576" t="s">
        <v>116</v>
      </c>
      <c r="AG988" s="576" t="s">
        <v>116</v>
      </c>
      <c r="AH988" s="573" t="s">
        <v>116</v>
      </c>
      <c r="AI988" s="1047"/>
      <c r="AJ988" s="1048"/>
      <c r="AK988" s="1048"/>
      <c r="AL988" s="1049"/>
      <c r="AM988" s="536" t="s">
        <v>116</v>
      </c>
      <c r="AN988" s="903" t="s">
        <v>709</v>
      </c>
      <c r="AO988" s="1536">
        <v>11056658</v>
      </c>
      <c r="AP988" s="1537"/>
      <c r="AQ988" s="1537"/>
      <c r="AR988" s="1537"/>
      <c r="AS988" s="888">
        <f>IF(Table15[[#This Row],[PCTS Approved]]="N",0,Table15[[#This Row],[Investment Amount (1'#'#'#'#'#)]]+Table15[[#This Row],[Retirement Amount (3'#'#'#'#'#)]])</f>
        <v>0</v>
      </c>
      <c r="AT988" s="888">
        <f>IF(Table15[[#This Row],[Approved Construction Cost]]=0,0,Table15[[#This Row],[Approved Construction Cost]]-Table15[[#This Row],[Construction Cost to Bill From]])</f>
        <v>0</v>
      </c>
      <c r="AU988" s="888">
        <f>IFERROR(Table15[[#This Row],[Difference in Construction Cost]]*Table15[[#This Row],[Rate]],Table15[[#This Row],[Difference in Construction Cost]]*0.085)</f>
        <v>0</v>
      </c>
      <c r="AV988" s="905"/>
      <c r="AW988" s="1509"/>
      <c r="AX988" s="888"/>
      <c r="AY988" s="636" t="s">
        <v>709</v>
      </c>
      <c r="AZ988" s="333">
        <v>1</v>
      </c>
      <c r="BA988" s="859" t="s">
        <v>1562</v>
      </c>
      <c r="BB988" s="644" t="s">
        <v>1563</v>
      </c>
      <c r="BC988" s="544" t="s">
        <v>116</v>
      </c>
      <c r="BD988" s="544" t="s">
        <v>115</v>
      </c>
      <c r="BE988" s="544" t="s">
        <v>1203</v>
      </c>
      <c r="BF988" s="544" t="s">
        <v>115</v>
      </c>
      <c r="BG988" s="544" t="s">
        <v>1564</v>
      </c>
      <c r="BH988" s="741" t="s">
        <v>1565</v>
      </c>
      <c r="BI988" s="547" t="s">
        <v>709</v>
      </c>
      <c r="BJ988" s="547" t="s">
        <v>709</v>
      </c>
      <c r="BK988" s="547" t="s">
        <v>709</v>
      </c>
      <c r="BL988" s="547" t="s">
        <v>116</v>
      </c>
      <c r="BM988" s="547" t="s">
        <v>709</v>
      </c>
      <c r="BN988" s="547" t="s">
        <v>709</v>
      </c>
      <c r="BO988" s="547" t="s">
        <v>709</v>
      </c>
      <c r="BP988" s="547">
        <v>4375</v>
      </c>
      <c r="BQ988" s="547">
        <v>1866</v>
      </c>
      <c r="BR988" s="547" t="s">
        <v>709</v>
      </c>
      <c r="BS988" s="547">
        <v>4330</v>
      </c>
      <c r="BT988" s="547" t="s">
        <v>709</v>
      </c>
      <c r="BU988" s="547" t="s">
        <v>709</v>
      </c>
      <c r="BV988" s="547" t="s">
        <v>709</v>
      </c>
      <c r="BW988" s="547" t="s">
        <v>709</v>
      </c>
      <c r="BX988" s="547" t="s">
        <v>745</v>
      </c>
      <c r="BY988" s="547" t="s">
        <v>709</v>
      </c>
      <c r="BZ988" s="547" t="s">
        <v>709</v>
      </c>
      <c r="CA988" s="483"/>
      <c r="CB988" s="547">
        <v>986</v>
      </c>
      <c r="CC988" s="1481" t="b">
        <v>1</v>
      </c>
      <c r="CD988" t="str">
        <f>Table15[[#This Row],[Engineering Number]]&amp;Table15[[#This Row],[WO Number]]&amp;Table15[[#This Row],[Date Assigned to Designer]]&amp;Table15[[#This Row],[Date Completed]]</f>
        <v>VW5012119244483845118</v>
      </c>
    </row>
    <row r="989" spans="1:82" customFormat="1" ht="15" customHeight="1" x14ac:dyDescent="0.25">
      <c r="A989">
        <v>2023</v>
      </c>
      <c r="B989" s="8" t="s">
        <v>759</v>
      </c>
      <c r="C989" s="8" t="s">
        <v>437</v>
      </c>
      <c r="D989" s="8" t="s">
        <v>5778</v>
      </c>
      <c r="E989" s="8" t="s">
        <v>438</v>
      </c>
      <c r="F989" s="8" t="s">
        <v>752</v>
      </c>
      <c r="G989" s="8" t="s">
        <v>34</v>
      </c>
      <c r="H989" s="8" t="s">
        <v>3178</v>
      </c>
      <c r="I989" s="642">
        <v>44838</v>
      </c>
      <c r="J989" s="175" t="s">
        <v>2052</v>
      </c>
      <c r="K989" s="97">
        <v>45118</v>
      </c>
      <c r="L989" s="16">
        <f>IF(ISTEXT(Table15[[#This Row],[Engineering Approved Design Date]]),Table15[[#This Row],[Date Completed]]-Table15[[#This Row],[Date Assigned to Designer]],Table15[[#This Row],[Engineering Approved Design Date]]-Table15[[#This Row],[Date Completed]])</f>
        <v>280</v>
      </c>
      <c r="M989" t="s">
        <v>5779</v>
      </c>
      <c r="N989" s="642" t="s">
        <v>120</v>
      </c>
      <c r="O989" s="1025">
        <v>45108</v>
      </c>
      <c r="P989" s="1152" t="s">
        <v>120</v>
      </c>
      <c r="Q989" s="1151">
        <f>Table15[[#This Row],[KH Hourly Effort]]</f>
        <v>11715</v>
      </c>
      <c r="R989" s="1026" t="s">
        <v>1922</v>
      </c>
      <c r="S989" s="538">
        <v>0</v>
      </c>
      <c r="T989" s="538">
        <v>0</v>
      </c>
      <c r="U989" s="87">
        <v>11715</v>
      </c>
      <c r="V989" s="858">
        <v>1127</v>
      </c>
      <c r="W989" s="437">
        <v>3</v>
      </c>
      <c r="X989" s="538"/>
      <c r="Y989" s="551"/>
      <c r="Z989" s="538"/>
      <c r="AA989" s="552"/>
      <c r="AB989" s="21"/>
      <c r="AC989" s="569" t="s">
        <v>29</v>
      </c>
      <c r="AD989" s="1149" t="s">
        <v>29</v>
      </c>
      <c r="AE989" s="580"/>
      <c r="AF989" s="580"/>
      <c r="AG989" s="580"/>
      <c r="AH989" s="542"/>
      <c r="AI989" s="1028"/>
      <c r="AJ989" s="1029"/>
      <c r="AK989" s="1029"/>
      <c r="AL989" s="1030"/>
      <c r="AM989" s="542" t="s">
        <v>709</v>
      </c>
      <c r="AN989" s="924"/>
      <c r="AO989" s="925"/>
      <c r="AP989" s="926"/>
      <c r="AQ989" s="926"/>
      <c r="AR989" s="926"/>
      <c r="AS989" s="926"/>
      <c r="AT989" s="926"/>
      <c r="AU989" s="926"/>
      <c r="AV989" s="926"/>
      <c r="AW989" s="927"/>
      <c r="AX989" s="926"/>
      <c r="AY989" s="1538" t="s">
        <v>29</v>
      </c>
      <c r="AZ989" s="1530"/>
      <c r="BA989" s="1031">
        <v>9</v>
      </c>
      <c r="BB989" s="644" t="s">
        <v>709</v>
      </c>
      <c r="BC989" s="544"/>
      <c r="BD989" s="544"/>
      <c r="BE989" s="544"/>
      <c r="BF989" s="544"/>
      <c r="BG989" s="544"/>
      <c r="BH989" s="741" t="s">
        <v>5780</v>
      </c>
      <c r="BI989" s="547" t="s">
        <v>709</v>
      </c>
      <c r="BJ989" s="547" t="s">
        <v>709</v>
      </c>
      <c r="BK989" s="547" t="s">
        <v>709</v>
      </c>
      <c r="BL989" s="547" t="s">
        <v>116</v>
      </c>
      <c r="BM989" s="547" t="s">
        <v>709</v>
      </c>
      <c r="BN989" s="547" t="s">
        <v>709</v>
      </c>
      <c r="BO989" s="547" t="s">
        <v>709</v>
      </c>
      <c r="BP989" s="547">
        <v>311</v>
      </c>
      <c r="BQ989" s="547">
        <v>676</v>
      </c>
      <c r="BR989" s="547">
        <v>45</v>
      </c>
      <c r="BS989" s="547">
        <v>5</v>
      </c>
      <c r="BT989" s="547">
        <v>1</v>
      </c>
      <c r="BU989" s="547" t="s">
        <v>709</v>
      </c>
      <c r="BV989" s="547" t="s">
        <v>709</v>
      </c>
      <c r="BW989" s="547">
        <v>1</v>
      </c>
      <c r="BX989" s="547">
        <v>1</v>
      </c>
      <c r="BY989" s="547" t="s">
        <v>709</v>
      </c>
      <c r="BZ989" s="547" t="s">
        <v>709</v>
      </c>
      <c r="CA989" s="483" t="s">
        <v>1022</v>
      </c>
      <c r="CB989" s="547">
        <v>984</v>
      </c>
      <c r="CC989" s="1481" t="b">
        <v>1</v>
      </c>
      <c r="CD989" t="str">
        <f>Table15[[#This Row],[Engineering Number]]&amp;Table15[[#This Row],[WO Number]]&amp;Table15[[#This Row],[Date Assigned to Designer]]&amp;Table15[[#This Row],[Date Completed]]</f>
        <v>RS95910119354483845118</v>
      </c>
    </row>
    <row r="990" spans="1:82" customFormat="1" ht="15" customHeight="1" x14ac:dyDescent="0.25">
      <c r="A990">
        <v>2023</v>
      </c>
      <c r="B990" s="8" t="s">
        <v>769</v>
      </c>
      <c r="C990" s="8" t="s">
        <v>4403</v>
      </c>
      <c r="D990" s="8" t="s">
        <v>4404</v>
      </c>
      <c r="E990" s="8" t="s">
        <v>137</v>
      </c>
      <c r="F990" s="8" t="s">
        <v>752</v>
      </c>
      <c r="G990" s="8" t="s">
        <v>23</v>
      </c>
      <c r="H990" s="8" t="s">
        <v>3178</v>
      </c>
      <c r="I990" s="642">
        <v>45113</v>
      </c>
      <c r="J990" s="175" t="s">
        <v>2052</v>
      </c>
      <c r="K990" s="97">
        <v>45119</v>
      </c>
      <c r="L990" s="16">
        <f>IF(ISTEXT(Table15[[#This Row],[Engineering Approved Design Date]]),Table15[[#This Row],[Date Completed]]-Table15[[#This Row],[Date Assigned to Designer]],Table15[[#This Row],[Engineering Approved Design Date]]-Table15[[#This Row],[Date Completed]])</f>
        <v>6</v>
      </c>
      <c r="M990" s="16" t="s">
        <v>5785</v>
      </c>
      <c r="N990" s="642" t="s">
        <v>120</v>
      </c>
      <c r="O990" s="1060">
        <v>45108</v>
      </c>
      <c r="P990" s="1152" t="s">
        <v>120</v>
      </c>
      <c r="Q990" s="1061">
        <f>Table15[[#This Row],[KH Hourly Effort]]</f>
        <v>2210</v>
      </c>
      <c r="R990" s="1039" t="s">
        <v>1922</v>
      </c>
      <c r="S990" s="538">
        <v>0</v>
      </c>
      <c r="T990" s="538">
        <v>0</v>
      </c>
      <c r="U990" s="28">
        <v>2210</v>
      </c>
      <c r="V990" s="857">
        <v>4632</v>
      </c>
      <c r="W990" s="440">
        <v>1</v>
      </c>
      <c r="X990" s="538"/>
      <c r="Y990" s="551"/>
      <c r="Z990" s="538"/>
      <c r="AA990" s="552"/>
      <c r="AB990" s="341" t="s">
        <v>29</v>
      </c>
      <c r="AC990" s="569" t="s">
        <v>29</v>
      </c>
      <c r="AD990" s="1149" t="s">
        <v>116</v>
      </c>
      <c r="AE990" s="580"/>
      <c r="AF990" s="580"/>
      <c r="AG990" s="580"/>
      <c r="AH990" s="542"/>
      <c r="AI990" s="1028"/>
      <c r="AJ990" s="1029"/>
      <c r="AK990" s="1029"/>
      <c r="AL990" s="1030"/>
      <c r="AM990" s="542" t="s">
        <v>709</v>
      </c>
      <c r="AN990" s="924"/>
      <c r="AO990" s="925"/>
      <c r="AP990" s="926"/>
      <c r="AQ990" s="926"/>
      <c r="AR990" s="926"/>
      <c r="AS990" s="926"/>
      <c r="AT990" s="926"/>
      <c r="AU990" s="926"/>
      <c r="AV990" s="926"/>
      <c r="AW990" s="927"/>
      <c r="AX990" s="926"/>
      <c r="AY990" s="1538" t="s">
        <v>29</v>
      </c>
      <c r="AZ990" s="1530"/>
      <c r="BA990" s="1031">
        <v>4</v>
      </c>
      <c r="BB990" s="644" t="s">
        <v>116</v>
      </c>
      <c r="BC990" s="544"/>
      <c r="BD990" s="544"/>
      <c r="BE990" s="544"/>
      <c r="BF990" s="544"/>
      <c r="BG990" s="544"/>
      <c r="BH990" s="741" t="s">
        <v>5786</v>
      </c>
      <c r="BI990" s="547" t="s">
        <v>709</v>
      </c>
      <c r="BJ990" s="547" t="s">
        <v>709</v>
      </c>
      <c r="BK990" s="547" t="s">
        <v>709</v>
      </c>
      <c r="BL990" s="547" t="s">
        <v>116</v>
      </c>
      <c r="BM990" s="547" t="s">
        <v>709</v>
      </c>
      <c r="BN990" s="547" t="s">
        <v>709</v>
      </c>
      <c r="BO990" s="547" t="s">
        <v>709</v>
      </c>
      <c r="BP990" s="547" t="s">
        <v>709</v>
      </c>
      <c r="BQ990" s="547" t="s">
        <v>709</v>
      </c>
      <c r="BR990" s="547">
        <v>3599</v>
      </c>
      <c r="BS990" s="547">
        <v>1033</v>
      </c>
      <c r="BT990" s="547" t="s">
        <v>709</v>
      </c>
      <c r="BU990" s="547" t="s">
        <v>709</v>
      </c>
      <c r="BV990" s="547" t="s">
        <v>709</v>
      </c>
      <c r="BW990" s="547">
        <v>1</v>
      </c>
      <c r="BX990" s="547" t="s">
        <v>709</v>
      </c>
      <c r="BY990" s="547" t="s">
        <v>709</v>
      </c>
      <c r="BZ990" s="547" t="s">
        <v>709</v>
      </c>
      <c r="CA990" s="483" t="s">
        <v>769</v>
      </c>
      <c r="CB990" s="547">
        <v>989</v>
      </c>
      <c r="CC990" s="1481" t="b">
        <v>1</v>
      </c>
      <c r="CD990" t="str">
        <f>Table15[[#This Row],[Engineering Number]]&amp;Table15[[#This Row],[WO Number]]&amp;Table15[[#This Row],[Date Assigned to Designer]]&amp;Table15[[#This Row],[Date Completed]]</f>
        <v>RS92710107284511345119</v>
      </c>
    </row>
    <row r="991" spans="1:82" customFormat="1" ht="15" customHeight="1" x14ac:dyDescent="0.25">
      <c r="A991">
        <v>2023</v>
      </c>
      <c r="B991" s="8" t="s">
        <v>4</v>
      </c>
      <c r="C991" s="8" t="s">
        <v>892</v>
      </c>
      <c r="D991" s="8" t="s">
        <v>893</v>
      </c>
      <c r="E991" s="8" t="s">
        <v>402</v>
      </c>
      <c r="F991" s="8" t="s">
        <v>747</v>
      </c>
      <c r="G991" s="8" t="s">
        <v>25</v>
      </c>
      <c r="H991" s="13" t="s">
        <v>59</v>
      </c>
      <c r="I991" s="642">
        <v>45012</v>
      </c>
      <c r="J991" s="18">
        <v>45121</v>
      </c>
      <c r="K991" s="175">
        <v>45119</v>
      </c>
      <c r="L991" s="649">
        <f>IF(ISTEXT(Table15[[#This Row],[Engineering Approved Design Date]]),Table15[[#This Row],[Date Completed]]-Table15[[#This Row],[Date Assigned to Designer]],Table15[[#This Row],[Engineering Approved Design Date]]-Table15[[#This Row],[Date Completed]])</f>
        <v>2</v>
      </c>
      <c r="M991" s="642"/>
      <c r="N991" s="642" t="s">
        <v>120</v>
      </c>
      <c r="O991" s="1060">
        <v>45108</v>
      </c>
      <c r="P991" s="1152" t="s">
        <v>739</v>
      </c>
      <c r="Q991" s="340">
        <f>Table15[[#This Row],[Rate]]*Table15[[#This Row],[Construction Cost to Bill From]]</f>
        <v>89531.521000000008</v>
      </c>
      <c r="R991" s="1026">
        <v>0.1</v>
      </c>
      <c r="S991" s="538"/>
      <c r="T991" s="538"/>
      <c r="U991" s="87"/>
      <c r="V991" s="858">
        <v>2738</v>
      </c>
      <c r="W991" s="437">
        <v>0</v>
      </c>
      <c r="X991" s="552">
        <v>427610.51</v>
      </c>
      <c r="Y991" s="551"/>
      <c r="Z991" s="552">
        <v>467704.7</v>
      </c>
      <c r="AA991" s="552">
        <f>SUM(Table15[[#This Row],[PCTS Investment Amount]:[PCTS Retirement Amount]])</f>
        <v>895315.21</v>
      </c>
      <c r="AB991" s="341">
        <v>45105</v>
      </c>
      <c r="AC991" s="568" t="s">
        <v>116</v>
      </c>
      <c r="AD991" s="1157" t="s">
        <v>116</v>
      </c>
      <c r="AE991" s="568" t="s">
        <v>116</v>
      </c>
      <c r="AF991" s="568" t="s">
        <v>116</v>
      </c>
      <c r="AG991" s="568" t="s">
        <v>116</v>
      </c>
      <c r="AH991" s="183">
        <v>45097</v>
      </c>
      <c r="AI991" s="1036"/>
      <c r="AJ991" s="1037"/>
      <c r="AK991" s="1037"/>
      <c r="AL991" s="1038"/>
      <c r="AM991" s="1522" t="s">
        <v>116</v>
      </c>
      <c r="AN991" s="1523">
        <v>45365</v>
      </c>
      <c r="AO991" s="1524">
        <v>11079930</v>
      </c>
      <c r="AP991" s="1525">
        <v>440744.45</v>
      </c>
      <c r="AQ991" s="1525"/>
      <c r="AR991" s="1525">
        <v>472375.89</v>
      </c>
      <c r="AS991" s="1525">
        <v>913120.34000000008</v>
      </c>
      <c r="AT991" s="1525">
        <v>17805.130000000121</v>
      </c>
      <c r="AU991" s="1525">
        <v>1780.5130000000122</v>
      </c>
      <c r="AV991" s="1525">
        <v>0</v>
      </c>
      <c r="AW991" s="1526" t="s">
        <v>894</v>
      </c>
      <c r="AX991" s="1525">
        <v>1780.51</v>
      </c>
      <c r="AY991" s="1518">
        <v>45566</v>
      </c>
      <c r="AZ991" s="333">
        <v>89</v>
      </c>
      <c r="BA991" s="859" t="s">
        <v>895</v>
      </c>
      <c r="BB991" s="644" t="s">
        <v>896</v>
      </c>
      <c r="BC991" s="544" t="s">
        <v>709</v>
      </c>
      <c r="BD991" s="544" t="s">
        <v>1462</v>
      </c>
      <c r="BE991" s="544" t="s">
        <v>897</v>
      </c>
      <c r="BF991" s="544" t="s">
        <v>898</v>
      </c>
      <c r="BG991" s="548" t="s">
        <v>709</v>
      </c>
      <c r="BH991" s="749" t="s">
        <v>899</v>
      </c>
      <c r="BI991" s="547" t="s">
        <v>709</v>
      </c>
      <c r="BJ991" s="547" t="s">
        <v>709</v>
      </c>
      <c r="BK991" s="547" t="s">
        <v>709</v>
      </c>
      <c r="BL991" s="547" t="s">
        <v>116</v>
      </c>
      <c r="BM991" s="547" t="s">
        <v>709</v>
      </c>
      <c r="BN991" s="547" t="s">
        <v>709</v>
      </c>
      <c r="BO991" s="547" t="s">
        <v>709</v>
      </c>
      <c r="BP991" s="547" t="s">
        <v>709</v>
      </c>
      <c r="BQ991" s="547" t="s">
        <v>709</v>
      </c>
      <c r="BR991" s="547">
        <v>2705</v>
      </c>
      <c r="BS991" s="547">
        <v>33</v>
      </c>
      <c r="BT991" s="547" t="s">
        <v>709</v>
      </c>
      <c r="BU991" s="547" t="s">
        <v>709</v>
      </c>
      <c r="BV991" s="547" t="s">
        <v>709</v>
      </c>
      <c r="BW991" s="547" t="s">
        <v>709</v>
      </c>
      <c r="BX991" s="547" t="s">
        <v>709</v>
      </c>
      <c r="BY991" s="547" t="s">
        <v>709</v>
      </c>
      <c r="BZ991" s="547" t="s">
        <v>709</v>
      </c>
      <c r="CA991" s="483"/>
      <c r="CB991" s="547">
        <v>988</v>
      </c>
      <c r="CC991" s="1481" t="b">
        <v>1</v>
      </c>
      <c r="CD991" t="str">
        <f>Table15[[#This Row],[Engineering Number]]&amp;Table15[[#This Row],[WO Number]]&amp;Table15[[#This Row],[Date Assigned to Designer]]&amp;Table15[[#This Row],[Date Completed]]</f>
        <v>SC2172512127234501245119</v>
      </c>
    </row>
    <row r="992" spans="1:82" customFormat="1" ht="15" customHeight="1" x14ac:dyDescent="0.25">
      <c r="A992">
        <v>2023</v>
      </c>
      <c r="B992" s="8" t="s">
        <v>769</v>
      </c>
      <c r="C992" s="8" t="s">
        <v>441</v>
      </c>
      <c r="D992" s="8" t="s">
        <v>5438</v>
      </c>
      <c r="E992" s="8" t="s">
        <v>277</v>
      </c>
      <c r="F992" s="8" t="s">
        <v>752</v>
      </c>
      <c r="G992" s="8" t="s">
        <v>34</v>
      </c>
      <c r="H992" s="8" t="s">
        <v>4189</v>
      </c>
      <c r="I992" s="642">
        <v>45114</v>
      </c>
      <c r="J992" s="175" t="s">
        <v>2052</v>
      </c>
      <c r="K992" s="97">
        <v>45121</v>
      </c>
      <c r="L992" s="16">
        <f>IF(ISTEXT(Table15[[#This Row],[Engineering Approved Design Date]]),Table15[[#This Row],[Date Completed]]-Table15[[#This Row],[Date Assigned to Designer]],Table15[[#This Row],[Engineering Approved Design Date]]-Table15[[#This Row],[Date Completed]])</f>
        <v>7</v>
      </c>
      <c r="M992" s="16" t="s">
        <v>5789</v>
      </c>
      <c r="N992" s="642" t="s">
        <v>120</v>
      </c>
      <c r="O992" s="1060">
        <v>45108</v>
      </c>
      <c r="P992" s="1152" t="s">
        <v>120</v>
      </c>
      <c r="Q992" s="1061">
        <f>Table15[[#This Row],[KH Hourly Effort]]</f>
        <v>2132.5</v>
      </c>
      <c r="R992" s="1039" t="s">
        <v>1922</v>
      </c>
      <c r="S992" s="538">
        <v>0</v>
      </c>
      <c r="T992" s="538">
        <v>0</v>
      </c>
      <c r="U992" s="28">
        <v>2132.5</v>
      </c>
      <c r="V992" s="857">
        <v>327</v>
      </c>
      <c r="W992" s="440">
        <v>1</v>
      </c>
      <c r="X992" s="538"/>
      <c r="Y992" s="551"/>
      <c r="Z992" s="538"/>
      <c r="AA992" s="552"/>
      <c r="AB992" s="341"/>
      <c r="AC992" s="569" t="s">
        <v>29</v>
      </c>
      <c r="AD992" s="1149" t="s">
        <v>116</v>
      </c>
      <c r="AE992" s="580" t="s">
        <v>29</v>
      </c>
      <c r="AF992" s="580" t="s">
        <v>29</v>
      </c>
      <c r="AG992" s="580" t="s">
        <v>29</v>
      </c>
      <c r="AH992" s="542" t="s">
        <v>29</v>
      </c>
      <c r="AI992" s="1028"/>
      <c r="AJ992" s="1029"/>
      <c r="AK992" s="1029"/>
      <c r="AL992" s="1030"/>
      <c r="AM992" s="542" t="s">
        <v>709</v>
      </c>
      <c r="AN992" s="924"/>
      <c r="AO992" s="925"/>
      <c r="AP992" s="926"/>
      <c r="AQ992" s="926"/>
      <c r="AR992" s="926"/>
      <c r="AS992" s="926"/>
      <c r="AT992" s="926"/>
      <c r="AU992" s="926"/>
      <c r="AV992" s="926"/>
      <c r="AW992" s="927"/>
      <c r="AX992" s="926"/>
      <c r="AY992" s="1538" t="s">
        <v>29</v>
      </c>
      <c r="AZ992" s="1530"/>
      <c r="BA992" s="1031">
        <v>4</v>
      </c>
      <c r="BB992" s="644" t="s">
        <v>116</v>
      </c>
      <c r="BC992" s="544"/>
      <c r="BD992" s="544"/>
      <c r="BE992" s="544"/>
      <c r="BF992" s="544"/>
      <c r="BG992" s="544"/>
      <c r="BH992" s="741" t="s">
        <v>5790</v>
      </c>
      <c r="BI992" s="547" t="s">
        <v>709</v>
      </c>
      <c r="BJ992" s="547" t="s">
        <v>709</v>
      </c>
      <c r="BK992" s="547" t="s">
        <v>116</v>
      </c>
      <c r="BL992" s="547" t="s">
        <v>116</v>
      </c>
      <c r="BM992" s="547" t="s">
        <v>709</v>
      </c>
      <c r="BN992" s="547" t="s">
        <v>709</v>
      </c>
      <c r="BO992" s="547" t="s">
        <v>709</v>
      </c>
      <c r="BP992" s="547" t="s">
        <v>709</v>
      </c>
      <c r="BQ992" s="547">
        <v>108</v>
      </c>
      <c r="BR992" s="547">
        <v>79</v>
      </c>
      <c r="BS992" s="547">
        <v>50</v>
      </c>
      <c r="BT992" s="547">
        <v>1</v>
      </c>
      <c r="BU992" s="547" t="s">
        <v>709</v>
      </c>
      <c r="BV992" s="547" t="s">
        <v>709</v>
      </c>
      <c r="BW992" s="547">
        <v>1</v>
      </c>
      <c r="BX992" s="547">
        <v>1</v>
      </c>
      <c r="BY992" s="547" t="s">
        <v>709</v>
      </c>
      <c r="BZ992" s="547" t="s">
        <v>709</v>
      </c>
      <c r="CA992" s="483" t="s">
        <v>1022</v>
      </c>
      <c r="CB992" s="547">
        <v>990</v>
      </c>
      <c r="CC992" s="1481" t="b">
        <v>1</v>
      </c>
      <c r="CD992" t="str">
        <f>Table15[[#This Row],[Engineering Number]]&amp;Table15[[#This Row],[WO Number]]&amp;Table15[[#This Row],[Date Assigned to Designer]]&amp;Table15[[#This Row],[Date Completed]]</f>
        <v>RS107910118034511445121</v>
      </c>
    </row>
    <row r="993" spans="1:82" customFormat="1" ht="15" customHeight="1" x14ac:dyDescent="0.25">
      <c r="A993">
        <v>2023</v>
      </c>
      <c r="B993" s="8" t="s">
        <v>1073</v>
      </c>
      <c r="C993" s="8" t="s">
        <v>5792</v>
      </c>
      <c r="D993" s="8" t="s">
        <v>5793</v>
      </c>
      <c r="E993" s="8" t="s">
        <v>958</v>
      </c>
      <c r="F993" s="8" t="s">
        <v>784</v>
      </c>
      <c r="G993" s="8" t="s">
        <v>31</v>
      </c>
      <c r="H993" s="13" t="s">
        <v>413</v>
      </c>
      <c r="I993" s="642">
        <v>45041</v>
      </c>
      <c r="J993" s="18">
        <v>45133</v>
      </c>
      <c r="K993" s="175">
        <v>45124</v>
      </c>
      <c r="L993" s="16">
        <f>IF(ISTEXT(Table15[[#This Row],[Engineering Approved Design Date]]),Table15[[#This Row],[Date Completed]]-Table15[[#This Row],[Date Assigned to Designer]],Table15[[#This Row],[Engineering Approved Design Date]]-Table15[[#This Row],[Date Completed]])</f>
        <v>9</v>
      </c>
      <c r="M993" s="642"/>
      <c r="N993" s="642" t="s">
        <v>120</v>
      </c>
      <c r="O993" s="1060">
        <v>45108</v>
      </c>
      <c r="P993" s="1152" t="s">
        <v>739</v>
      </c>
      <c r="Q993" s="28">
        <f>Table15[[#This Row],[Rate]]*Table15[[#This Row],[Construction Cost to Bill From]]</f>
        <v>14073.0568</v>
      </c>
      <c r="R993" s="1026">
        <v>0.08</v>
      </c>
      <c r="S993" s="538"/>
      <c r="T993" s="538"/>
      <c r="U993" s="87"/>
      <c r="V993" s="858">
        <v>1302</v>
      </c>
      <c r="W993" s="437">
        <v>0</v>
      </c>
      <c r="X993" s="552">
        <v>175913.21</v>
      </c>
      <c r="Y993" s="551"/>
      <c r="Z993" s="552">
        <v>0</v>
      </c>
      <c r="AA993" s="552">
        <f>Table15[[#This Row],[PCTS Investment Amount]]</f>
        <v>175913.21</v>
      </c>
      <c r="AB993" s="341">
        <v>45131</v>
      </c>
      <c r="AC993" s="568" t="s">
        <v>709</v>
      </c>
      <c r="AD993" s="1157" t="s">
        <v>29</v>
      </c>
      <c r="AE993" s="568" t="s">
        <v>756</v>
      </c>
      <c r="AF993" s="568" t="s">
        <v>116</v>
      </c>
      <c r="AG993" s="568" t="s">
        <v>116</v>
      </c>
      <c r="AH993" s="183" t="s">
        <v>29</v>
      </c>
      <c r="AI993" s="1036"/>
      <c r="AJ993" s="1037"/>
      <c r="AK993" s="1037"/>
      <c r="AL993" s="1038"/>
      <c r="AM993" s="1522" t="s">
        <v>116</v>
      </c>
      <c r="AN993" s="1523">
        <v>45156</v>
      </c>
      <c r="AO993" s="1524">
        <v>11069343</v>
      </c>
      <c r="AP993" s="1525">
        <v>175914.33</v>
      </c>
      <c r="AQ993" s="1525"/>
      <c r="AR993" s="1525">
        <v>0</v>
      </c>
      <c r="AS993" s="1525">
        <f>IF(Table15[[#This Row],[PCTS Approved]]="N",0,Table15[[#This Row],[Investment Amount (1'#'#'#'#'#)]]+Table15[[#This Row],[Retirement Amount (3'#'#'#'#'#)]])</f>
        <v>175914.33</v>
      </c>
      <c r="AT993" s="1525">
        <f>IF(Table15[[#This Row],[Approved Construction Cost]]=0,0,Table15[[#This Row],[Approved Construction Cost]]-Table15[[#This Row],[Construction Cost to Bill From]])</f>
        <v>1.1199999999953434</v>
      </c>
      <c r="AU993" s="1525">
        <f>IFERROR(Table15[[#This Row],[Difference in Construction Cost]]*Table15[[#This Row],[Rate]],Table15[[#This Row],[Difference in Construction Cost]]*0.085)</f>
        <v>8.9599999999627478E-2</v>
      </c>
      <c r="AV993" s="1525" t="s">
        <v>709</v>
      </c>
      <c r="AW993" s="1526"/>
      <c r="AX993" s="1525">
        <v>8.9599999999627478E-2</v>
      </c>
      <c r="AY993" s="1518">
        <v>45352</v>
      </c>
      <c r="AZ993" s="333"/>
      <c r="BA993" s="859" t="s">
        <v>5794</v>
      </c>
      <c r="BB993" s="644" t="s">
        <v>5795</v>
      </c>
      <c r="BC993" s="544"/>
      <c r="BD993" s="544"/>
      <c r="BE993" s="544" t="s">
        <v>592</v>
      </c>
      <c r="BF993" s="544" t="s">
        <v>5796</v>
      </c>
      <c r="BG993" s="544" t="s">
        <v>115</v>
      </c>
      <c r="BH993" s="741" t="s">
        <v>5797</v>
      </c>
      <c r="BI993" s="547" t="s">
        <v>709</v>
      </c>
      <c r="BJ993" s="547" t="s">
        <v>709</v>
      </c>
      <c r="BK993" s="547" t="s">
        <v>116</v>
      </c>
      <c r="BL993" s="547" t="s">
        <v>116</v>
      </c>
      <c r="BM993" s="547" t="s">
        <v>709</v>
      </c>
      <c r="BN993" s="547" t="s">
        <v>709</v>
      </c>
      <c r="BO993" s="547" t="s">
        <v>709</v>
      </c>
      <c r="BP993" s="547" t="s">
        <v>709</v>
      </c>
      <c r="BQ993" s="547" t="s">
        <v>709</v>
      </c>
      <c r="BR993" s="547">
        <v>1302</v>
      </c>
      <c r="BS993" s="547" t="s">
        <v>709</v>
      </c>
      <c r="BT993" s="547" t="s">
        <v>709</v>
      </c>
      <c r="BU993" s="547" t="s">
        <v>709</v>
      </c>
      <c r="BV993" s="547" t="s">
        <v>709</v>
      </c>
      <c r="BW993" s="547" t="s">
        <v>709</v>
      </c>
      <c r="BX993" s="547" t="s">
        <v>709</v>
      </c>
      <c r="BY993" s="547">
        <v>1</v>
      </c>
      <c r="BZ993" s="547" t="s">
        <v>709</v>
      </c>
      <c r="CA993" s="483" t="s">
        <v>2739</v>
      </c>
      <c r="CB993" s="547">
        <v>991</v>
      </c>
      <c r="CC993" s="1481" t="b">
        <v>1</v>
      </c>
      <c r="CD993" t="str">
        <f>Table15[[#This Row],[Engineering Number]]&amp;Table15[[#This Row],[WO Number]]&amp;Table15[[#This Row],[Date Assigned to Designer]]&amp;Table15[[#This Row],[Date Completed]]</f>
        <v>NBA1001027016126224504145124</v>
      </c>
    </row>
    <row r="994" spans="1:82" customFormat="1" ht="15" customHeight="1" x14ac:dyDescent="0.25">
      <c r="A994">
        <v>2023</v>
      </c>
      <c r="B994" s="8" t="s">
        <v>1073</v>
      </c>
      <c r="C994" s="8" t="s">
        <v>5792</v>
      </c>
      <c r="D994" s="8" t="s">
        <v>5799</v>
      </c>
      <c r="E994" s="8" t="s">
        <v>958</v>
      </c>
      <c r="F994" s="8" t="s">
        <v>784</v>
      </c>
      <c r="G994" s="8" t="s">
        <v>31</v>
      </c>
      <c r="H994" s="13" t="s">
        <v>413</v>
      </c>
      <c r="I994" s="642">
        <v>45056</v>
      </c>
      <c r="J994" s="18">
        <v>45133</v>
      </c>
      <c r="K994" s="175">
        <v>45124</v>
      </c>
      <c r="L994" s="16">
        <f>IF(ISTEXT(Table15[[#This Row],[Engineering Approved Design Date]]),Table15[[#This Row],[Date Completed]]-Table15[[#This Row],[Date Assigned to Designer]],Table15[[#This Row],[Engineering Approved Design Date]]-Table15[[#This Row],[Date Completed]])</f>
        <v>9</v>
      </c>
      <c r="M994" s="642"/>
      <c r="N994" s="642" t="s">
        <v>120</v>
      </c>
      <c r="O994" s="1060">
        <v>45108</v>
      </c>
      <c r="P994" s="1152" t="s">
        <v>739</v>
      </c>
      <c r="Q994" s="28">
        <f>Table15[[#This Row],[Rate]]*Table15[[#This Row],[Construction Cost to Bill From]]</f>
        <v>2381.1007999999997</v>
      </c>
      <c r="R994" s="1026">
        <v>0.08</v>
      </c>
      <c r="S994" s="538"/>
      <c r="T994" s="538"/>
      <c r="U994" s="87"/>
      <c r="V994" s="858" t="s">
        <v>29</v>
      </c>
      <c r="W994" s="437">
        <v>1</v>
      </c>
      <c r="X994" s="552">
        <v>29763.759999999998</v>
      </c>
      <c r="Y994" s="551"/>
      <c r="Z994" s="552">
        <v>0</v>
      </c>
      <c r="AA994" s="552">
        <f>Table15[[#This Row],[PCTS Investment Amount]]</f>
        <v>29763.759999999998</v>
      </c>
      <c r="AB994" s="341">
        <v>45131</v>
      </c>
      <c r="AC994" s="568" t="s">
        <v>1177</v>
      </c>
      <c r="AD994" s="1157" t="s">
        <v>29</v>
      </c>
      <c r="AE994" s="568" t="s">
        <v>756</v>
      </c>
      <c r="AF994" s="568" t="s">
        <v>116</v>
      </c>
      <c r="AG994" s="568" t="s">
        <v>116</v>
      </c>
      <c r="AH994" s="183" t="s">
        <v>29</v>
      </c>
      <c r="AI994" s="1036"/>
      <c r="AJ994" s="1037"/>
      <c r="AK994" s="1037"/>
      <c r="AL994" s="1038"/>
      <c r="AM994" s="1522" t="s">
        <v>116</v>
      </c>
      <c r="AN994" s="1523">
        <v>45174</v>
      </c>
      <c r="AO994" s="1524">
        <v>11070686</v>
      </c>
      <c r="AP994" s="1525">
        <v>29763.759999999998</v>
      </c>
      <c r="AQ994" s="1525"/>
      <c r="AR994" s="1525">
        <v>0</v>
      </c>
      <c r="AS994" s="1525">
        <f>IF(Table15[[#This Row],[PCTS Approved]]="N",0,Table15[[#This Row],[Investment Amount (1'#'#'#'#'#)]]+Table15[[#This Row],[Retirement Amount (3'#'#'#'#'#)]])</f>
        <v>29763.759999999998</v>
      </c>
      <c r="AT994" s="1525">
        <f>IF(Table15[[#This Row],[Approved Construction Cost]]=0,0,Table15[[#This Row],[Approved Construction Cost]]-Table15[[#This Row],[Construction Cost to Bill From]])</f>
        <v>0</v>
      </c>
      <c r="AU994" s="1525">
        <f>IFERROR(Table15[[#This Row],[Difference in Construction Cost]]*Table15[[#This Row],[Rate]],Table15[[#This Row],[Difference in Construction Cost]]*0.085)</f>
        <v>0</v>
      </c>
      <c r="AV994" s="1525" t="s">
        <v>709</v>
      </c>
      <c r="AW994" s="1526"/>
      <c r="AX994" s="1525">
        <v>0</v>
      </c>
      <c r="AY994" s="1518">
        <v>45352</v>
      </c>
      <c r="AZ994" s="333"/>
      <c r="BA994" s="859" t="s">
        <v>5800</v>
      </c>
      <c r="BB994" s="644" t="s">
        <v>5801</v>
      </c>
      <c r="BC994" s="544"/>
      <c r="BD994" s="544"/>
      <c r="BE994" s="544" t="s">
        <v>592</v>
      </c>
      <c r="BF994" s="544" t="s">
        <v>5802</v>
      </c>
      <c r="BG994" s="544" t="s">
        <v>115</v>
      </c>
      <c r="BH994" s="741" t="s">
        <v>5797</v>
      </c>
      <c r="BI994" s="547" t="s">
        <v>709</v>
      </c>
      <c r="BJ994" s="547" t="s">
        <v>709</v>
      </c>
      <c r="BK994" s="547" t="s">
        <v>116</v>
      </c>
      <c r="BL994" s="547" t="s">
        <v>116</v>
      </c>
      <c r="BM994" s="547" t="s">
        <v>709</v>
      </c>
      <c r="BN994" s="547" t="s">
        <v>709</v>
      </c>
      <c r="BO994" s="547" t="s">
        <v>709</v>
      </c>
      <c r="BP994" s="547" t="s">
        <v>709</v>
      </c>
      <c r="BQ994" s="547" t="s">
        <v>709</v>
      </c>
      <c r="BR994" s="547">
        <v>1302</v>
      </c>
      <c r="BS994" s="547" t="s">
        <v>709</v>
      </c>
      <c r="BT994" s="547" t="s">
        <v>709</v>
      </c>
      <c r="BU994" s="547" t="s">
        <v>709</v>
      </c>
      <c r="BV994" s="547" t="s">
        <v>709</v>
      </c>
      <c r="BW994" s="547" t="s">
        <v>709</v>
      </c>
      <c r="BX994" s="547" t="s">
        <v>709</v>
      </c>
      <c r="BY994" s="547">
        <v>1</v>
      </c>
      <c r="BZ994" s="547" t="s">
        <v>709</v>
      </c>
      <c r="CA994" s="483" t="s">
        <v>2739</v>
      </c>
      <c r="CB994" s="547">
        <v>992</v>
      </c>
      <c r="CC994" s="1481" t="b">
        <v>1</v>
      </c>
      <c r="CD994" t="str">
        <f>Table15[[#This Row],[Engineering Number]]&amp;Table15[[#This Row],[WO Number]]&amp;Table15[[#This Row],[Date Assigned to Designer]]&amp;Table15[[#This Row],[Date Completed]]</f>
        <v>NBA1001027016126084505645124</v>
      </c>
    </row>
    <row r="995" spans="1:82" customFormat="1" ht="15" customHeight="1" x14ac:dyDescent="0.25">
      <c r="A995">
        <v>2023</v>
      </c>
      <c r="B995" s="13" t="s">
        <v>759</v>
      </c>
      <c r="C995" s="13" t="s">
        <v>1566</v>
      </c>
      <c r="D995" s="13">
        <v>1010976</v>
      </c>
      <c r="E995" s="13" t="s">
        <v>108</v>
      </c>
      <c r="F995" s="452" t="s">
        <v>752</v>
      </c>
      <c r="G995" s="13" t="s">
        <v>23</v>
      </c>
      <c r="H995" s="13" t="s">
        <v>59</v>
      </c>
      <c r="I995" s="642">
        <v>44582</v>
      </c>
      <c r="J995" s="18">
        <v>45135</v>
      </c>
      <c r="K995" s="642">
        <v>45124</v>
      </c>
      <c r="L995" s="649">
        <f>IF(ISTEXT(Table15[[#This Row],[Engineering Approved Design Date]]),Table15[[#This Row],[Date Completed]]-Table15[[#This Row],[Date Assigned to Designer]],Table15[[#This Row],[Engineering Approved Design Date]]-Table15[[#This Row],[Date Completed]])</f>
        <v>11</v>
      </c>
      <c r="M995" s="673"/>
      <c r="N995" s="642" t="s">
        <v>120</v>
      </c>
      <c r="O995" s="1060">
        <v>45139</v>
      </c>
      <c r="P995" s="1152" t="s">
        <v>120</v>
      </c>
      <c r="Q995" s="340">
        <f>Table15[[#This Row],[Rate]]*Table15[[#This Row],[Construction Cost to Bill From]]</f>
        <v>217852.57560000001</v>
      </c>
      <c r="R995" s="1039">
        <v>0.11</v>
      </c>
      <c r="S995" s="538"/>
      <c r="T995" s="538"/>
      <c r="U995" s="28"/>
      <c r="V995" s="1190">
        <v>4735</v>
      </c>
      <c r="W995" s="442">
        <v>1</v>
      </c>
      <c r="X995" s="570">
        <v>1876996.96</v>
      </c>
      <c r="Y995" s="550">
        <v>45019</v>
      </c>
      <c r="Z995" s="552">
        <v>103481</v>
      </c>
      <c r="AA995" s="552">
        <f>Table15[[#This Row],[PCTS Retirement Amount]]+Table15[[#This Row],[PCTS Investment Amount]]</f>
        <v>1980477.96</v>
      </c>
      <c r="AB995" s="476">
        <v>45141</v>
      </c>
      <c r="AC995" s="576" t="s">
        <v>1441</v>
      </c>
      <c r="AD995" s="1158" t="s">
        <v>29</v>
      </c>
      <c r="AE995" s="568" t="s">
        <v>116</v>
      </c>
      <c r="AF995" s="568" t="s">
        <v>756</v>
      </c>
      <c r="AG995" s="568" t="s">
        <v>116</v>
      </c>
      <c r="AH995" s="183" t="s">
        <v>116</v>
      </c>
      <c r="AI995" s="1047"/>
      <c r="AJ995" s="1048"/>
      <c r="AK995" s="1048"/>
      <c r="AL995" s="1049"/>
      <c r="AM995" s="1522" t="s">
        <v>116</v>
      </c>
      <c r="AN995" s="1523">
        <v>45516</v>
      </c>
      <c r="AO995" s="1524">
        <v>11039437</v>
      </c>
      <c r="AP995" s="1525">
        <v>1905701.58</v>
      </c>
      <c r="AQ995" s="1525"/>
      <c r="AR995" s="1525">
        <v>105617.83</v>
      </c>
      <c r="AS995" s="1525">
        <f>IF(Table15[[#This Row],[PCTS Approved]]="N",0,Table15[[#This Row],[Investment Amount (1'#'#'#'#'#)]]+Table15[[#This Row],[Retirement Amount (3'#'#'#'#'#)]])</f>
        <v>2011319.4100000001</v>
      </c>
      <c r="AT995" s="1525">
        <f>IF(Table15[[#This Row],[Approved Construction Cost]]=0,0,Table15[[#This Row],[Approved Construction Cost]]-Table15[[#This Row],[Construction Cost to Bill From]])</f>
        <v>30841.450000000186</v>
      </c>
      <c r="AU995" s="1525">
        <f>IFERROR(Table15[[#This Row],[Difference in Construction Cost]]*Table15[[#This Row],[Rate]],Table15[[#This Row],[Difference in Construction Cost]]*0.085)</f>
        <v>3392.5595000000203</v>
      </c>
      <c r="AV995" s="1525">
        <v>20490</v>
      </c>
      <c r="AW995" s="1526" t="s">
        <v>5804</v>
      </c>
      <c r="AX995" s="1525">
        <v>0</v>
      </c>
      <c r="AY995" s="1518">
        <v>45901</v>
      </c>
      <c r="AZ995" s="333">
        <v>156</v>
      </c>
      <c r="BA995" s="859" t="s">
        <v>1567</v>
      </c>
      <c r="BB995" s="543" t="s">
        <v>1568</v>
      </c>
      <c r="BC995" s="544" t="s">
        <v>116</v>
      </c>
      <c r="BD995" s="544" t="s">
        <v>115</v>
      </c>
      <c r="BE995" s="544" t="s">
        <v>1569</v>
      </c>
      <c r="BF995" s="544" t="s">
        <v>115</v>
      </c>
      <c r="BG995" s="544" t="s">
        <v>115</v>
      </c>
      <c r="BH995" s="741" t="s">
        <v>1570</v>
      </c>
      <c r="BI995" s="549" t="s">
        <v>709</v>
      </c>
      <c r="BJ995" s="549" t="s">
        <v>709</v>
      </c>
      <c r="BK995" s="549" t="s">
        <v>709</v>
      </c>
      <c r="BL995" s="549" t="s">
        <v>116</v>
      </c>
      <c r="BM995" s="549" t="s">
        <v>709</v>
      </c>
      <c r="BN995" s="549" t="s">
        <v>709</v>
      </c>
      <c r="BO995" s="549" t="s">
        <v>709</v>
      </c>
      <c r="BP995" s="549" t="s">
        <v>709</v>
      </c>
      <c r="BQ995" s="549">
        <v>3960</v>
      </c>
      <c r="BR995" s="549">
        <v>95</v>
      </c>
      <c r="BS995" s="549">
        <v>590</v>
      </c>
      <c r="BT995" s="549">
        <v>1</v>
      </c>
      <c r="BU995" s="549" t="s">
        <v>709</v>
      </c>
      <c r="BV995" s="549" t="s">
        <v>709</v>
      </c>
      <c r="BW995" s="549">
        <v>1</v>
      </c>
      <c r="BX995" s="549">
        <v>1</v>
      </c>
      <c r="BY995" s="549" t="s">
        <v>709</v>
      </c>
      <c r="BZ995" s="547" t="s">
        <v>709</v>
      </c>
      <c r="CA995" s="484" t="s">
        <v>1022</v>
      </c>
      <c r="CB995" s="547">
        <v>993</v>
      </c>
      <c r="CC995" s="1481" t="b">
        <v>1</v>
      </c>
      <c r="CD995" t="str">
        <f>Table15[[#This Row],[Engineering Number]]&amp;Table15[[#This Row],[WO Number]]&amp;Table15[[#This Row],[Date Assigned to Designer]]&amp;Table15[[#This Row],[Date Completed]]</f>
        <v>RS99110109764458245124</v>
      </c>
    </row>
    <row r="996" spans="1:82" customFormat="1" ht="15" customHeight="1" x14ac:dyDescent="0.25">
      <c r="A996">
        <v>2023</v>
      </c>
      <c r="B996" s="8" t="s">
        <v>1073</v>
      </c>
      <c r="C996" s="8" t="s">
        <v>591</v>
      </c>
      <c r="D996" s="8" t="s">
        <v>5806</v>
      </c>
      <c r="E996" s="8" t="s">
        <v>958</v>
      </c>
      <c r="F996" s="8" t="s">
        <v>784</v>
      </c>
      <c r="G996" s="8" t="s">
        <v>31</v>
      </c>
      <c r="H996" s="13" t="s">
        <v>413</v>
      </c>
      <c r="I996" s="642">
        <v>45020</v>
      </c>
      <c r="J996" s="18">
        <v>45125</v>
      </c>
      <c r="K996" s="175">
        <v>45125</v>
      </c>
      <c r="L996" s="16">
        <f>IF(ISTEXT(Table15[[#This Row],[Engineering Approved Design Date]]),Table15[[#This Row],[Date Completed]]-Table15[[#This Row],[Date Assigned to Designer]],Table15[[#This Row],[Engineering Approved Design Date]]-Table15[[#This Row],[Date Completed]])</f>
        <v>0</v>
      </c>
      <c r="M996" s="642"/>
      <c r="N996" s="642" t="s">
        <v>120</v>
      </c>
      <c r="O996" s="1060">
        <v>45108</v>
      </c>
      <c r="P996" s="1152" t="s">
        <v>739</v>
      </c>
      <c r="Q996" s="28">
        <f>Table15[[#This Row],[Rate]]*Table15[[#This Row],[Construction Cost to Bill From]]</f>
        <v>75528.053599999999</v>
      </c>
      <c r="R996" s="1026">
        <v>0.08</v>
      </c>
      <c r="S996" s="538"/>
      <c r="T996" s="538"/>
      <c r="U996" s="87"/>
      <c r="V996" s="858">
        <v>3302</v>
      </c>
      <c r="W996" s="437">
        <v>0</v>
      </c>
      <c r="X996" s="552">
        <v>838759.05</v>
      </c>
      <c r="Y996" s="551"/>
      <c r="Z996" s="552">
        <v>105341.62</v>
      </c>
      <c r="AA996" s="552">
        <f>Table15[[#This Row],[PCTS Retirement Amount]]+Table15[[#This Row],[PCTS Investment Amount]]</f>
        <v>944100.67</v>
      </c>
      <c r="AB996" s="341">
        <v>45131</v>
      </c>
      <c r="AC996" s="568" t="s">
        <v>116</v>
      </c>
      <c r="AD996" s="1157" t="s">
        <v>29</v>
      </c>
      <c r="AE996" s="568" t="s">
        <v>756</v>
      </c>
      <c r="AF996" s="568" t="s">
        <v>116</v>
      </c>
      <c r="AG996" s="568" t="s">
        <v>116</v>
      </c>
      <c r="AH996" s="183" t="s">
        <v>29</v>
      </c>
      <c r="AI996" s="1036"/>
      <c r="AJ996" s="1037"/>
      <c r="AK996" s="1037"/>
      <c r="AL996" s="1038"/>
      <c r="AM996" s="1522" t="s">
        <v>116</v>
      </c>
      <c r="AN996" s="1523">
        <v>45176</v>
      </c>
      <c r="AO996" s="1524">
        <v>11065452</v>
      </c>
      <c r="AP996" s="1525">
        <v>840447.62</v>
      </c>
      <c r="AQ996" s="1525"/>
      <c r="AR996" s="1525">
        <v>120602.81</v>
      </c>
      <c r="AS996" s="1525">
        <f>IF(Table15[[#This Row],[PCTS Approved]]="N",0,Table15[[#This Row],[Investment Amount (1'#'#'#'#'#)]]+Table15[[#This Row],[Retirement Amount (3'#'#'#'#'#)]])</f>
        <v>961050.42999999993</v>
      </c>
      <c r="AT996" s="1525">
        <f>IF(Table15[[#This Row],[Approved Construction Cost]]=0,0,Table15[[#This Row],[Approved Construction Cost]]-Table15[[#This Row],[Construction Cost to Bill From]])</f>
        <v>16949.759999999893</v>
      </c>
      <c r="AU996" s="1525">
        <f>IFERROR(Table15[[#This Row],[Difference in Construction Cost]]*Table15[[#This Row],[Rate]],Table15[[#This Row],[Difference in Construction Cost]]*0.085)</f>
        <v>1355.9807999999914</v>
      </c>
      <c r="AV996" s="1525" t="s">
        <v>709</v>
      </c>
      <c r="AW996" s="1526"/>
      <c r="AX996" s="1525">
        <v>1355.98</v>
      </c>
      <c r="AY996" s="1518">
        <v>45352</v>
      </c>
      <c r="AZ996" s="333"/>
      <c r="BA996" s="859" t="s">
        <v>5807</v>
      </c>
      <c r="BB996" s="644" t="s">
        <v>5808</v>
      </c>
      <c r="BC996" s="544"/>
      <c r="BD996" s="544"/>
      <c r="BE996" s="544" t="s">
        <v>592</v>
      </c>
      <c r="BF996" s="544" t="s">
        <v>5809</v>
      </c>
      <c r="BG996" s="544" t="s">
        <v>5810</v>
      </c>
      <c r="BH996" s="741" t="s">
        <v>5811</v>
      </c>
      <c r="BI996" s="547" t="s">
        <v>709</v>
      </c>
      <c r="BJ996" s="547" t="s">
        <v>116</v>
      </c>
      <c r="BK996" s="547" t="s">
        <v>709</v>
      </c>
      <c r="BL996" s="547" t="s">
        <v>116</v>
      </c>
      <c r="BM996" s="547" t="s">
        <v>709</v>
      </c>
      <c r="BN996" s="547" t="s">
        <v>709</v>
      </c>
      <c r="BO996" s="547" t="s">
        <v>709</v>
      </c>
      <c r="BP996" s="547">
        <v>447</v>
      </c>
      <c r="BQ996" s="547">
        <v>2855</v>
      </c>
      <c r="BR996" s="547" t="s">
        <v>709</v>
      </c>
      <c r="BS996" s="547" t="s">
        <v>709</v>
      </c>
      <c r="BT996" s="547" t="s">
        <v>709</v>
      </c>
      <c r="BU996" s="547" t="s">
        <v>709</v>
      </c>
      <c r="BV996" s="547" t="s">
        <v>709</v>
      </c>
      <c r="BW996" s="547" t="s">
        <v>709</v>
      </c>
      <c r="BX996" s="547" t="s">
        <v>709</v>
      </c>
      <c r="BY996" s="547" t="s">
        <v>709</v>
      </c>
      <c r="BZ996" s="547" t="s">
        <v>709</v>
      </c>
      <c r="CA996" s="483"/>
      <c r="CB996" s="547">
        <v>994</v>
      </c>
      <c r="CC996" s="1481" t="b">
        <v>1</v>
      </c>
      <c r="CD996" t="str">
        <f>Table15[[#This Row],[Engineering Number]]&amp;Table15[[#This Row],[WO Number]]&amp;Table15[[#This Row],[Date Assigned to Designer]]&amp;Table15[[#This Row],[Date Completed]]</f>
        <v>NBA1001026916126184502045125</v>
      </c>
    </row>
    <row r="997" spans="1:82" customFormat="1" ht="15" customHeight="1" x14ac:dyDescent="0.25">
      <c r="A997">
        <v>2023</v>
      </c>
      <c r="B997" s="8" t="s">
        <v>1073</v>
      </c>
      <c r="C997" s="8" t="s">
        <v>591</v>
      </c>
      <c r="D997" s="8" t="s">
        <v>5813</v>
      </c>
      <c r="E997" s="8" t="s">
        <v>958</v>
      </c>
      <c r="F997" s="8" t="s">
        <v>784</v>
      </c>
      <c r="G997" s="8" t="s">
        <v>31</v>
      </c>
      <c r="H997" s="13" t="s">
        <v>413</v>
      </c>
      <c r="I997" s="642">
        <v>45041</v>
      </c>
      <c r="J997" s="18">
        <v>45125</v>
      </c>
      <c r="K997" s="175">
        <v>45125</v>
      </c>
      <c r="L997" s="16">
        <f>IF(ISTEXT(Table15[[#This Row],[Engineering Approved Design Date]]),Table15[[#This Row],[Date Completed]]-Table15[[#This Row],[Date Assigned to Designer]],Table15[[#This Row],[Engineering Approved Design Date]]-Table15[[#This Row],[Date Completed]])</f>
        <v>0</v>
      </c>
      <c r="M997" s="642"/>
      <c r="N997" s="642" t="s">
        <v>120</v>
      </c>
      <c r="O997" s="1060">
        <v>45108</v>
      </c>
      <c r="P997" s="1152" t="s">
        <v>739</v>
      </c>
      <c r="Q997" s="28">
        <f>Table15[[#This Row],[Rate]]*Table15[[#This Row],[Construction Cost to Bill From]]</f>
        <v>30892.315200000001</v>
      </c>
      <c r="R997" s="1026">
        <v>0.08</v>
      </c>
      <c r="S997" s="538"/>
      <c r="T997" s="538"/>
      <c r="U997" s="87"/>
      <c r="V997" s="858">
        <v>193</v>
      </c>
      <c r="W997" s="437">
        <v>1</v>
      </c>
      <c r="X997" s="552">
        <v>338558.04</v>
      </c>
      <c r="Y997" s="551"/>
      <c r="Z997" s="552">
        <v>47595.9</v>
      </c>
      <c r="AA997" s="552">
        <f>Table15[[#This Row],[PCTS Retirement Amount]]+Table15[[#This Row],[PCTS Investment Amount]]</f>
        <v>386153.94</v>
      </c>
      <c r="AB997" s="341">
        <v>45131</v>
      </c>
      <c r="AC997" s="568" t="s">
        <v>709</v>
      </c>
      <c r="AD997" s="1157" t="s">
        <v>29</v>
      </c>
      <c r="AE997" s="568" t="s">
        <v>756</v>
      </c>
      <c r="AF997" s="568" t="s">
        <v>116</v>
      </c>
      <c r="AG997" s="568" t="s">
        <v>116</v>
      </c>
      <c r="AH997" s="183" t="s">
        <v>29</v>
      </c>
      <c r="AI997" s="1036"/>
      <c r="AJ997" s="1037"/>
      <c r="AK997" s="1037"/>
      <c r="AL997" s="1038"/>
      <c r="AM997" s="1522" t="s">
        <v>116</v>
      </c>
      <c r="AN997" s="1523">
        <v>45176</v>
      </c>
      <c r="AO997" s="1524">
        <v>11070834</v>
      </c>
      <c r="AP997" s="1525">
        <v>338560.3</v>
      </c>
      <c r="AQ997" s="1525"/>
      <c r="AR997" s="1525">
        <v>47595.9</v>
      </c>
      <c r="AS997" s="1525">
        <f>IF(Table15[[#This Row],[PCTS Approved]]="N",0,Table15[[#This Row],[Investment Amount (1'#'#'#'#'#)]]+Table15[[#This Row],[Retirement Amount (3'#'#'#'#'#)]])</f>
        <v>386156.2</v>
      </c>
      <c r="AT997" s="1525">
        <f>IF(Table15[[#This Row],[Approved Construction Cost]]=0,0,Table15[[#This Row],[Approved Construction Cost]]-Table15[[#This Row],[Construction Cost to Bill From]])</f>
        <v>2.2600000000093132</v>
      </c>
      <c r="AU997" s="1525">
        <f>IFERROR(Table15[[#This Row],[Difference in Construction Cost]]*Table15[[#This Row],[Rate]],Table15[[#This Row],[Difference in Construction Cost]]*0.085)</f>
        <v>0.18080000000074506</v>
      </c>
      <c r="AV997" s="1525" t="s">
        <v>709</v>
      </c>
      <c r="AW997" s="1526"/>
      <c r="AX997" s="1525">
        <v>0.18</v>
      </c>
      <c r="AY997" s="1518">
        <v>45352</v>
      </c>
      <c r="AZ997" s="333"/>
      <c r="BA997" s="859" t="s">
        <v>5814</v>
      </c>
      <c r="BB997" s="644" t="s">
        <v>5808</v>
      </c>
      <c r="BC997" s="544"/>
      <c r="BD997" s="544"/>
      <c r="BE997" s="544" t="s">
        <v>592</v>
      </c>
      <c r="BF997" s="544" t="s">
        <v>5809</v>
      </c>
      <c r="BG997" s="544" t="s">
        <v>115</v>
      </c>
      <c r="BH997" s="741" t="s">
        <v>5811</v>
      </c>
      <c r="BI997" s="547" t="s">
        <v>709</v>
      </c>
      <c r="BJ997" s="547" t="s">
        <v>116</v>
      </c>
      <c r="BK997" s="547" t="s">
        <v>709</v>
      </c>
      <c r="BL997" s="547" t="s">
        <v>116</v>
      </c>
      <c r="BM997" s="547" t="s">
        <v>709</v>
      </c>
      <c r="BN997" s="547" t="s">
        <v>709</v>
      </c>
      <c r="BO997" s="547" t="s">
        <v>709</v>
      </c>
      <c r="BP997" s="547">
        <v>447</v>
      </c>
      <c r="BQ997" s="547">
        <v>2855</v>
      </c>
      <c r="BR997" s="547" t="s">
        <v>709</v>
      </c>
      <c r="BS997" s="547" t="s">
        <v>709</v>
      </c>
      <c r="BT997" s="547" t="s">
        <v>709</v>
      </c>
      <c r="BU997" s="547" t="s">
        <v>709</v>
      </c>
      <c r="BV997" s="547" t="s">
        <v>709</v>
      </c>
      <c r="BW997" s="547" t="s">
        <v>709</v>
      </c>
      <c r="BX997" s="547" t="s">
        <v>709</v>
      </c>
      <c r="BY997" s="547" t="s">
        <v>709</v>
      </c>
      <c r="BZ997" s="547" t="s">
        <v>709</v>
      </c>
      <c r="CA997" s="483"/>
      <c r="CB997" s="547">
        <v>995</v>
      </c>
      <c r="CC997" s="1481" t="b">
        <v>1</v>
      </c>
      <c r="CD997" t="str">
        <f>Table15[[#This Row],[Engineering Number]]&amp;Table15[[#This Row],[WO Number]]&amp;Table15[[#This Row],[Date Assigned to Designer]]&amp;Table15[[#This Row],[Date Completed]]</f>
        <v>NBA1001026916126244504145125</v>
      </c>
    </row>
    <row r="998" spans="1:82" customFormat="1" ht="15" customHeight="1" x14ac:dyDescent="0.25">
      <c r="A998">
        <v>2023</v>
      </c>
      <c r="B998" s="8" t="s">
        <v>759</v>
      </c>
      <c r="C998" s="8" t="s">
        <v>445</v>
      </c>
      <c r="D998" s="8" t="s">
        <v>1604</v>
      </c>
      <c r="E998" s="8" t="s">
        <v>1605</v>
      </c>
      <c r="F998" s="8" t="s">
        <v>752</v>
      </c>
      <c r="G998" s="8" t="s">
        <v>34</v>
      </c>
      <c r="H998" s="8" t="s">
        <v>4450</v>
      </c>
      <c r="I998" s="642">
        <v>44838</v>
      </c>
      <c r="J998" s="175" t="s">
        <v>2612</v>
      </c>
      <c r="K998" s="97">
        <v>45127</v>
      </c>
      <c r="L998" s="16">
        <f>IF(ISTEXT(Table15[[#This Row],[Engineering Approved Design Date]]),Table15[[#This Row],[Date Completed]]-Table15[[#This Row],[Date Assigned to Designer]],Table15[[#This Row],[Engineering Approved Design Date]]-Table15[[#This Row],[Date Completed]])</f>
        <v>289</v>
      </c>
      <c r="M998" t="s">
        <v>5816</v>
      </c>
      <c r="N998" s="642" t="s">
        <v>120</v>
      </c>
      <c r="O998" s="1025">
        <v>45108</v>
      </c>
      <c r="P998" s="1152" t="s">
        <v>120</v>
      </c>
      <c r="Q998" s="1151">
        <f>Table15[[#This Row],[KH Hourly Effort]]</f>
        <v>13332.5</v>
      </c>
      <c r="R998" s="1026" t="s">
        <v>1922</v>
      </c>
      <c r="S998" s="538">
        <v>0</v>
      </c>
      <c r="T998" s="538">
        <v>0</v>
      </c>
      <c r="U998" s="87">
        <v>13332.5</v>
      </c>
      <c r="V998" s="858" t="s">
        <v>29</v>
      </c>
      <c r="W998" s="437">
        <v>0</v>
      </c>
      <c r="X998" s="538"/>
      <c r="Y998" s="551"/>
      <c r="Z998" s="538"/>
      <c r="AA998" s="552">
        <f>Table15[[#This Row],[PCTS Retirement Amount]]+Table15[[#This Row],[PCTS Investment Amount]]</f>
        <v>0</v>
      </c>
      <c r="AB998" s="21"/>
      <c r="AC998" s="569" t="s">
        <v>29</v>
      </c>
      <c r="AD998" s="1149" t="s">
        <v>29</v>
      </c>
      <c r="AE998" s="580" t="s">
        <v>29</v>
      </c>
      <c r="AF998" s="580" t="s">
        <v>29</v>
      </c>
      <c r="AG998" s="580" t="s">
        <v>29</v>
      </c>
      <c r="AH998" s="542" t="s">
        <v>29</v>
      </c>
      <c r="AI998" s="1028"/>
      <c r="AJ998" s="1029"/>
      <c r="AK998" s="1029"/>
      <c r="AL998" s="1030"/>
      <c r="AM998" s="542" t="s">
        <v>709</v>
      </c>
      <c r="AN998" s="924"/>
      <c r="AO998" s="925"/>
      <c r="AP998" s="926"/>
      <c r="AQ998" s="926"/>
      <c r="AR998" s="926"/>
      <c r="AS998" s="926"/>
      <c r="AT998" s="926"/>
      <c r="AU998" s="926"/>
      <c r="AV998" s="926"/>
      <c r="AW998" s="927"/>
      <c r="AX998" s="926"/>
      <c r="AY998" s="1538" t="s">
        <v>29</v>
      </c>
      <c r="AZ998" s="1530"/>
      <c r="BA998" s="1031" t="s">
        <v>29</v>
      </c>
      <c r="BB998" s="644" t="s">
        <v>29</v>
      </c>
      <c r="BC998" s="544"/>
      <c r="BD998" s="544"/>
      <c r="BE998" s="544"/>
      <c r="BF998" s="544"/>
      <c r="BG998" s="544"/>
      <c r="BH998" s="741" t="s">
        <v>5817</v>
      </c>
      <c r="BI998" s="549" t="s">
        <v>709</v>
      </c>
      <c r="BJ998" s="549" t="s">
        <v>709</v>
      </c>
      <c r="BK998" s="549" t="s">
        <v>116</v>
      </c>
      <c r="BL998" s="549" t="s">
        <v>116</v>
      </c>
      <c r="BM998" s="549" t="s">
        <v>709</v>
      </c>
      <c r="BN998" s="549">
        <v>583</v>
      </c>
      <c r="BO998" s="549" t="s">
        <v>709</v>
      </c>
      <c r="BP998" s="549">
        <v>451</v>
      </c>
      <c r="BQ998" s="549">
        <v>1148</v>
      </c>
      <c r="BR998" s="549">
        <v>86</v>
      </c>
      <c r="BS998" s="549">
        <v>55</v>
      </c>
      <c r="BT998" s="549">
        <v>2</v>
      </c>
      <c r="BU998" s="549" t="s">
        <v>709</v>
      </c>
      <c r="BV998" s="549" t="s">
        <v>709</v>
      </c>
      <c r="BW998" s="549">
        <v>2</v>
      </c>
      <c r="BX998" s="549">
        <v>2</v>
      </c>
      <c r="BY998" s="549" t="s">
        <v>709</v>
      </c>
      <c r="BZ998" s="547" t="s">
        <v>709</v>
      </c>
      <c r="CA998" s="484" t="s">
        <v>1022</v>
      </c>
      <c r="CB998" s="547">
        <v>996</v>
      </c>
      <c r="CC998" s="1481" t="b">
        <v>1</v>
      </c>
      <c r="CD998" t="str">
        <f>Table15[[#This Row],[Engineering Number]]&amp;Table15[[#This Row],[WO Number]]&amp;Table15[[#This Row],[Date Assigned to Designer]]&amp;Table15[[#This Row],[Date Completed]]</f>
        <v>RS108110119254483845127</v>
      </c>
    </row>
    <row r="999" spans="1:82" customFormat="1" ht="15" customHeight="1" x14ac:dyDescent="0.25">
      <c r="A999">
        <v>2023</v>
      </c>
      <c r="B999" s="8" t="s">
        <v>769</v>
      </c>
      <c r="C999" s="8" t="s">
        <v>1578</v>
      </c>
      <c r="D999" s="8" t="s">
        <v>1579</v>
      </c>
      <c r="E999" s="8" t="s">
        <v>232</v>
      </c>
      <c r="F999" s="8" t="s">
        <v>747</v>
      </c>
      <c r="G999" s="8" t="s">
        <v>32</v>
      </c>
      <c r="H999" s="13" t="s">
        <v>59</v>
      </c>
      <c r="I999" s="642">
        <v>45056</v>
      </c>
      <c r="J999" s="18">
        <v>45145</v>
      </c>
      <c r="K999" s="175">
        <v>45128</v>
      </c>
      <c r="L999" s="16">
        <f>IF(ISTEXT(Table15[[#This Row],[Engineering Approved Design Date]]),Table15[[#This Row],[Date Completed]]-Table15[[#This Row],[Date Assigned to Designer]],Table15[[#This Row],[Engineering Approved Design Date]]-Table15[[#This Row],[Date Completed]])</f>
        <v>17</v>
      </c>
      <c r="M999" s="642"/>
      <c r="N999" s="642" t="s">
        <v>120</v>
      </c>
      <c r="O999" s="1060">
        <v>45108</v>
      </c>
      <c r="P999" s="1152" t="s">
        <v>739</v>
      </c>
      <c r="Q999" s="340">
        <f>Table15[[#This Row],[Rate]]*Table15[[#This Row],[Construction Cost to Bill From]]</f>
        <v>18842.86</v>
      </c>
      <c r="R999" s="1026">
        <v>0.08</v>
      </c>
      <c r="S999" s="538"/>
      <c r="T999" s="538"/>
      <c r="U999" s="87"/>
      <c r="V999" s="858">
        <v>27</v>
      </c>
      <c r="W999" s="437">
        <v>0</v>
      </c>
      <c r="X999" s="552">
        <v>188113.79</v>
      </c>
      <c r="Y999" s="551"/>
      <c r="Z999" s="552">
        <v>47421.96</v>
      </c>
      <c r="AA999" s="552">
        <f>Table15[[#This Row],[PCTS Retirement Amount]]+Table15[[#This Row],[PCTS Investment Amount]]</f>
        <v>235535.75</v>
      </c>
      <c r="AB999" s="341">
        <v>45132</v>
      </c>
      <c r="AC999" s="568" t="s">
        <v>1177</v>
      </c>
      <c r="AD999" s="1157" t="s">
        <v>29</v>
      </c>
      <c r="AE999" s="568" t="s">
        <v>709</v>
      </c>
      <c r="AF999" s="568" t="s">
        <v>116</v>
      </c>
      <c r="AG999" s="568" t="s">
        <v>116</v>
      </c>
      <c r="AH999" s="183" t="s">
        <v>116</v>
      </c>
      <c r="AI999" s="1036"/>
      <c r="AJ999" s="1037"/>
      <c r="AK999" s="1037"/>
      <c r="AL999" s="1038"/>
      <c r="AM999" s="536" t="s">
        <v>116</v>
      </c>
      <c r="AN999" s="903" t="s">
        <v>709</v>
      </c>
      <c r="AO999" s="1536" t="s">
        <v>115</v>
      </c>
      <c r="AP999" s="1537"/>
      <c r="AQ999" s="1537"/>
      <c r="AR999" s="1537"/>
      <c r="AS999" s="888">
        <f>IF(Table15[[#This Row],[PCTS Approved]]="N",0,Table15[[#This Row],[Investment Amount (1'#'#'#'#'#)]]+Table15[[#This Row],[Retirement Amount (3'#'#'#'#'#)]])</f>
        <v>0</v>
      </c>
      <c r="AT999" s="888">
        <f>IF(Table15[[#This Row],[Approved Construction Cost]]=0,0,Table15[[#This Row],[Approved Construction Cost]]-Table15[[#This Row],[Construction Cost to Bill From]])</f>
        <v>0</v>
      </c>
      <c r="AU999" s="888">
        <f>IFERROR(Table15[[#This Row],[Difference in Construction Cost]]*Table15[[#This Row],[Rate]],Table15[[#This Row],[Difference in Construction Cost]]*0.085)</f>
        <v>0</v>
      </c>
      <c r="AV999" s="905"/>
      <c r="AW999" s="1509"/>
      <c r="AX999" s="888"/>
      <c r="AY999" s="636" t="s">
        <v>709</v>
      </c>
      <c r="AZ999" s="333">
        <v>16</v>
      </c>
      <c r="BA999" s="859" t="s">
        <v>1580</v>
      </c>
      <c r="BB999" s="644" t="s">
        <v>1581</v>
      </c>
      <c r="BC999" s="544" t="s">
        <v>709</v>
      </c>
      <c r="BD999" s="544" t="s">
        <v>837</v>
      </c>
      <c r="BE999" s="544" t="s">
        <v>595</v>
      </c>
      <c r="BF999" s="544" t="s">
        <v>595</v>
      </c>
      <c r="BG999" s="544" t="s">
        <v>1582</v>
      </c>
      <c r="BH999" s="741" t="s">
        <v>1583</v>
      </c>
      <c r="BI999" s="547" t="s">
        <v>709</v>
      </c>
      <c r="BJ999" s="547" t="s">
        <v>709</v>
      </c>
      <c r="BK999" s="547" t="s">
        <v>116</v>
      </c>
      <c r="BL999" s="547" t="s">
        <v>116</v>
      </c>
      <c r="BM999" s="547">
        <v>0</v>
      </c>
      <c r="BN999" s="549">
        <v>0</v>
      </c>
      <c r="BO999" s="547">
        <v>0</v>
      </c>
      <c r="BP999" s="547">
        <v>0</v>
      </c>
      <c r="BQ999" s="547">
        <v>0</v>
      </c>
      <c r="BR999" s="547">
        <v>27</v>
      </c>
      <c r="BS999" s="547">
        <v>0</v>
      </c>
      <c r="BT999" s="547">
        <v>0</v>
      </c>
      <c r="BU999" s="549">
        <v>0</v>
      </c>
      <c r="BV999" s="547">
        <v>0</v>
      </c>
      <c r="BW999" s="547">
        <v>0</v>
      </c>
      <c r="BX999" s="547">
        <v>0</v>
      </c>
      <c r="BY999" s="547">
        <v>1</v>
      </c>
      <c r="BZ999" s="547" t="s">
        <v>709</v>
      </c>
      <c r="CA999" s="483" t="s">
        <v>769</v>
      </c>
      <c r="CB999" s="547">
        <v>997</v>
      </c>
      <c r="CC999" s="1481" t="b">
        <v>1</v>
      </c>
      <c r="CD999" t="str">
        <f>Table15[[#This Row],[Engineering Number]]&amp;Table15[[#This Row],[WO Number]]&amp;Table15[[#This Row],[Date Assigned to Designer]]&amp;Table15[[#This Row],[Date Completed]]</f>
        <v>RS115310127694505645128</v>
      </c>
    </row>
    <row r="1000" spans="1:82" customFormat="1" ht="15" customHeight="1" x14ac:dyDescent="0.25">
      <c r="A1000">
        <v>2023</v>
      </c>
      <c r="B1000" s="8" t="s">
        <v>4</v>
      </c>
      <c r="C1000" s="8" t="s">
        <v>1571</v>
      </c>
      <c r="D1000" s="8" t="s">
        <v>1572</v>
      </c>
      <c r="E1000" s="8" t="s">
        <v>1573</v>
      </c>
      <c r="F1000" s="8" t="s">
        <v>747</v>
      </c>
      <c r="G1000" s="8" t="s">
        <v>26</v>
      </c>
      <c r="H1000" s="13" t="s">
        <v>59</v>
      </c>
      <c r="I1000" s="642">
        <v>44994</v>
      </c>
      <c r="J1000" s="18">
        <v>45128</v>
      </c>
      <c r="K1000" s="175">
        <v>45128</v>
      </c>
      <c r="L1000" s="649">
        <f>IF(ISTEXT(Table15[[#This Row],[Engineering Approved Design Date]]),Table15[[#This Row],[Date Completed]]-Table15[[#This Row],[Date Assigned to Designer]],Table15[[#This Row],[Engineering Approved Design Date]]-Table15[[#This Row],[Date Completed]])</f>
        <v>0</v>
      </c>
      <c r="M1000" s="642"/>
      <c r="N1000" s="642" t="s">
        <v>120</v>
      </c>
      <c r="O1000" s="1060">
        <v>45139</v>
      </c>
      <c r="P1000" s="1152" t="s">
        <v>739</v>
      </c>
      <c r="Q1000" s="340">
        <f>Table15[[#This Row],[Rate]]*Table15[[#This Row],[Construction Cost to Bill From]]</f>
        <v>59941.532000000007</v>
      </c>
      <c r="R1000" s="1026">
        <v>0.1</v>
      </c>
      <c r="S1000" s="538"/>
      <c r="T1000" s="538"/>
      <c r="U1000" s="87"/>
      <c r="V1000" s="858">
        <v>1748</v>
      </c>
      <c r="W1000" s="437">
        <v>0</v>
      </c>
      <c r="X1000" s="552">
        <v>581279.28</v>
      </c>
      <c r="Y1000" s="551"/>
      <c r="Z1000" s="552">
        <v>18136.04</v>
      </c>
      <c r="AA1000" s="552">
        <f>SUM(Table15[[#This Row],[PCTS Investment Amount]:[PCTS Retirement Amount]])</f>
        <v>599415.32000000007</v>
      </c>
      <c r="AB1000" s="341">
        <v>45134</v>
      </c>
      <c r="AC1000" s="568" t="s">
        <v>709</v>
      </c>
      <c r="AD1000" s="1157" t="s">
        <v>29</v>
      </c>
      <c r="AE1000" s="568" t="s">
        <v>116</v>
      </c>
      <c r="AF1000" s="568" t="s">
        <v>116</v>
      </c>
      <c r="AG1000" s="568" t="s">
        <v>116</v>
      </c>
      <c r="AH1000" s="183">
        <v>45160</v>
      </c>
      <c r="AI1000" s="1036"/>
      <c r="AJ1000" s="1037"/>
      <c r="AK1000" s="1037"/>
      <c r="AL1000" s="1038"/>
      <c r="AM1000" s="536" t="s">
        <v>116</v>
      </c>
      <c r="AN1000" s="903" t="s">
        <v>709</v>
      </c>
      <c r="AO1000" s="1536" t="s">
        <v>115</v>
      </c>
      <c r="AP1000" s="1537"/>
      <c r="AQ1000" s="1537"/>
      <c r="AR1000" s="1537"/>
      <c r="AS1000" s="888">
        <f>IF(Table15[[#This Row],[PCTS Approved]]="N",0,Table15[[#This Row],[Investment Amount (1'#'#'#'#'#)]]+Table15[[#This Row],[Retirement Amount (3'#'#'#'#'#)]])</f>
        <v>0</v>
      </c>
      <c r="AT1000" s="888">
        <f>IF(Table15[[#This Row],[Approved Construction Cost]]=0,0,Table15[[#This Row],[Approved Construction Cost]]-Table15[[#This Row],[Construction Cost to Bill From]])</f>
        <v>0</v>
      </c>
      <c r="AU1000" s="888">
        <f>IFERROR(Table15[[#This Row],[Difference in Construction Cost]]*Table15[[#This Row],[Rate]],Table15[[#This Row],[Difference in Construction Cost]]*0.085)</f>
        <v>0</v>
      </c>
      <c r="AV1000" s="905"/>
      <c r="AW1000" s="1509"/>
      <c r="AX1000" s="888"/>
      <c r="AY1000" s="636" t="s">
        <v>709</v>
      </c>
      <c r="AZ1000" s="333">
        <v>90</v>
      </c>
      <c r="BA1000" s="1094" t="s">
        <v>1574</v>
      </c>
      <c r="BB1000" s="644" t="s">
        <v>870</v>
      </c>
      <c r="BC1000" s="544" t="s">
        <v>709</v>
      </c>
      <c r="BD1000" s="544" t="s">
        <v>837</v>
      </c>
      <c r="BE1000" s="544" t="s">
        <v>1575</v>
      </c>
      <c r="BF1000" s="544" t="s">
        <v>839</v>
      </c>
      <c r="BG1000" s="548" t="s">
        <v>1576</v>
      </c>
      <c r="BH1000" s="749" t="s">
        <v>1577</v>
      </c>
      <c r="BI1000" s="547" t="s">
        <v>709</v>
      </c>
      <c r="BJ1000" s="547" t="s">
        <v>709</v>
      </c>
      <c r="BK1000" s="547" t="s">
        <v>709</v>
      </c>
      <c r="BL1000" s="547" t="s">
        <v>116</v>
      </c>
      <c r="BM1000" s="547" t="s">
        <v>709</v>
      </c>
      <c r="BN1000" s="547" t="s">
        <v>709</v>
      </c>
      <c r="BO1000" s="547" t="s">
        <v>709</v>
      </c>
      <c r="BP1000" s="547" t="s">
        <v>709</v>
      </c>
      <c r="BQ1000" s="547" t="s">
        <v>709</v>
      </c>
      <c r="BR1000" s="547" t="s">
        <v>709</v>
      </c>
      <c r="BS1000" s="547">
        <v>1748</v>
      </c>
      <c r="BT1000" s="547" t="s">
        <v>709</v>
      </c>
      <c r="BU1000" s="547" t="s">
        <v>709</v>
      </c>
      <c r="BV1000" s="547" t="s">
        <v>709</v>
      </c>
      <c r="BW1000" s="547" t="s">
        <v>709</v>
      </c>
      <c r="BX1000" s="547" t="s">
        <v>745</v>
      </c>
      <c r="BY1000" s="547" t="s">
        <v>709</v>
      </c>
      <c r="BZ1000" s="547" t="s">
        <v>709</v>
      </c>
      <c r="CA1000" s="483"/>
      <c r="CB1000" s="547">
        <v>998</v>
      </c>
      <c r="CC1000" s="1481" t="b">
        <v>1</v>
      </c>
      <c r="CD1000" t="str">
        <f>Table15[[#This Row],[Engineering Number]]&amp;Table15[[#This Row],[WO Number]]&amp;Table15[[#This Row],[Date Assigned to Designer]]&amp;Table15[[#This Row],[Date Completed]]</f>
        <v>SC1950014127374499445128</v>
      </c>
    </row>
    <row r="1001" spans="1:82" customFormat="1" ht="15" customHeight="1" x14ac:dyDescent="0.25">
      <c r="A1001">
        <v>2023</v>
      </c>
      <c r="B1001" s="8" t="s">
        <v>771</v>
      </c>
      <c r="C1001" s="8" t="s">
        <v>580</v>
      </c>
      <c r="D1001" s="8" t="s">
        <v>1584</v>
      </c>
      <c r="E1001" s="8" t="s">
        <v>1529</v>
      </c>
      <c r="F1001" s="8" t="s">
        <v>784</v>
      </c>
      <c r="G1001" s="8" t="s">
        <v>32</v>
      </c>
      <c r="H1001" s="13" t="s">
        <v>59</v>
      </c>
      <c r="I1001" s="642">
        <v>45006</v>
      </c>
      <c r="J1001" s="18">
        <v>45128</v>
      </c>
      <c r="K1001" s="175">
        <v>45128</v>
      </c>
      <c r="L1001" s="16">
        <f>IF(ISTEXT(Table15[[#This Row],[Engineering Approved Design Date]]),Table15[[#This Row],[Date Completed]]-Table15[[#This Row],[Date Assigned to Designer]],Table15[[#This Row],[Engineering Approved Design Date]]-Table15[[#This Row],[Date Completed]])</f>
        <v>0</v>
      </c>
      <c r="M1001" s="642"/>
      <c r="N1001" s="642" t="s">
        <v>120</v>
      </c>
      <c r="O1001" s="1060">
        <v>45139</v>
      </c>
      <c r="P1001" s="1152" t="s">
        <v>120</v>
      </c>
      <c r="Q1001" s="340">
        <f>Table15[[#This Row],[Rate]]*Table15[[#This Row],[Construction Cost to Bill From]]</f>
        <v>172700.64400000003</v>
      </c>
      <c r="R1001" s="1026">
        <v>0.04</v>
      </c>
      <c r="S1001" s="538"/>
      <c r="T1001" s="538"/>
      <c r="U1001" s="87"/>
      <c r="V1001" s="858">
        <v>16406</v>
      </c>
      <c r="W1001" s="437">
        <v>0</v>
      </c>
      <c r="X1001" s="570">
        <v>4176248.62</v>
      </c>
      <c r="Y1001" s="551"/>
      <c r="Z1001" s="552">
        <v>141267.48000000001</v>
      </c>
      <c r="AA1001" s="552">
        <f>Table15[[#This Row],[PCTS Retirement Amount]]+Table15[[#This Row],[PCTS Investment Amount]]</f>
        <v>4317516.1000000006</v>
      </c>
      <c r="AB1001" s="341">
        <v>45133</v>
      </c>
      <c r="AC1001" s="568" t="s">
        <v>1441</v>
      </c>
      <c r="AD1001" s="1157" t="s">
        <v>116</v>
      </c>
      <c r="AE1001" s="568" t="s">
        <v>756</v>
      </c>
      <c r="AF1001" s="568" t="s">
        <v>116</v>
      </c>
      <c r="AG1001" s="568" t="s">
        <v>709</v>
      </c>
      <c r="AH1001" s="183" t="s">
        <v>709</v>
      </c>
      <c r="AI1001" s="1036"/>
      <c r="AJ1001" s="1037"/>
      <c r="AK1001" s="1037"/>
      <c r="AL1001" s="1038"/>
      <c r="AM1001" s="536" t="s">
        <v>116</v>
      </c>
      <c r="AN1001" s="903" t="s">
        <v>709</v>
      </c>
      <c r="AO1001" s="1536">
        <v>11068638</v>
      </c>
      <c r="AP1001" s="1537"/>
      <c r="AQ1001" s="1537"/>
      <c r="AR1001" s="1537"/>
      <c r="AS1001" s="888">
        <f>IF(Table15[[#This Row],[PCTS Approved]]="N",0,Table15[[#This Row],[Investment Amount (1'#'#'#'#'#)]]+Table15[[#This Row],[Retirement Amount (3'#'#'#'#'#)]])</f>
        <v>0</v>
      </c>
      <c r="AT1001" s="888">
        <f>IF(Table15[[#This Row],[Approved Construction Cost]]=0,0,Table15[[#This Row],[Approved Construction Cost]]-Table15[[#This Row],[Construction Cost to Bill From]])</f>
        <v>0</v>
      </c>
      <c r="AU1001" s="888">
        <f>IFERROR(Table15[[#This Row],[Difference in Construction Cost]]*Table15[[#This Row],[Rate]],Table15[[#This Row],[Difference in Construction Cost]]*0.085)</f>
        <v>0</v>
      </c>
      <c r="AV1001" s="905"/>
      <c r="AW1001" s="1509"/>
      <c r="AX1001" s="888"/>
      <c r="AY1001" s="636" t="s">
        <v>709</v>
      </c>
      <c r="AZ1001" s="333">
        <v>2</v>
      </c>
      <c r="BA1001" s="859" t="s">
        <v>1585</v>
      </c>
      <c r="BB1001" s="644" t="s">
        <v>1586</v>
      </c>
      <c r="BC1001" s="544" t="s">
        <v>116</v>
      </c>
      <c r="BD1001" s="544" t="s">
        <v>882</v>
      </c>
      <c r="BE1001" s="544" t="s">
        <v>581</v>
      </c>
      <c r="BF1001" s="544" t="s">
        <v>115</v>
      </c>
      <c r="BG1001" s="544" t="s">
        <v>1496</v>
      </c>
      <c r="BH1001" s="741" t="s">
        <v>1587</v>
      </c>
      <c r="BI1001" s="549" t="s">
        <v>709</v>
      </c>
      <c r="BJ1001" s="549" t="s">
        <v>709</v>
      </c>
      <c r="BK1001" s="549" t="s">
        <v>709</v>
      </c>
      <c r="BL1001" s="549" t="s">
        <v>116</v>
      </c>
      <c r="BM1001" s="549">
        <v>0</v>
      </c>
      <c r="BN1001" s="549">
        <v>0</v>
      </c>
      <c r="BO1001" s="547">
        <v>0</v>
      </c>
      <c r="BP1001" s="549">
        <v>3073</v>
      </c>
      <c r="BQ1001" s="549">
        <v>1001</v>
      </c>
      <c r="BR1001" s="549">
        <v>1733</v>
      </c>
      <c r="BS1001" s="549">
        <v>10602</v>
      </c>
      <c r="BT1001" s="549">
        <v>0</v>
      </c>
      <c r="BU1001" s="549">
        <v>0</v>
      </c>
      <c r="BV1001" s="547">
        <v>0</v>
      </c>
      <c r="BW1001" s="547">
        <v>0</v>
      </c>
      <c r="BX1001" s="547">
        <v>0</v>
      </c>
      <c r="BY1001" s="549">
        <v>0</v>
      </c>
      <c r="BZ1001" s="547" t="s">
        <v>709</v>
      </c>
      <c r="CA1001" s="483"/>
      <c r="CB1001" s="547">
        <v>999</v>
      </c>
      <c r="CC1001" s="1481" t="b">
        <v>1</v>
      </c>
      <c r="CD1001" t="str">
        <f>Table15[[#This Row],[Engineering Number]]&amp;Table15[[#This Row],[WO Number]]&amp;Table15[[#This Row],[Date Assigned to Designer]]&amp;Table15[[#This Row],[Date Completed]]</f>
        <v>VW240/VW241-112125844500645128</v>
      </c>
    </row>
    <row r="1002" spans="1:82" customFormat="1" ht="15" customHeight="1" x14ac:dyDescent="0.25">
      <c r="A1002">
        <v>2023</v>
      </c>
      <c r="B1002" s="8" t="s">
        <v>1205</v>
      </c>
      <c r="C1002" s="8" t="s">
        <v>587</v>
      </c>
      <c r="D1002" s="8" t="s">
        <v>5822</v>
      </c>
      <c r="E1002" s="8" t="s">
        <v>354</v>
      </c>
      <c r="F1002" s="8" t="s">
        <v>784</v>
      </c>
      <c r="G1002" s="8" t="s">
        <v>23</v>
      </c>
      <c r="H1002" s="13" t="s">
        <v>59</v>
      </c>
      <c r="I1002" s="642">
        <v>45069</v>
      </c>
      <c r="J1002" s="18">
        <v>45138</v>
      </c>
      <c r="K1002" s="175">
        <v>45132</v>
      </c>
      <c r="L1002" s="16">
        <f>IF(ISTEXT(Table15[[#This Row],[Engineering Approved Design Date]]),Table15[[#This Row],[Date Completed]]-Table15[[#This Row],[Date Assigned to Designer]],Table15[[#This Row],[Engineering Approved Design Date]]-Table15[[#This Row],[Date Completed]])</f>
        <v>6</v>
      </c>
      <c r="M1002" s="642"/>
      <c r="N1002" s="642" t="s">
        <v>120</v>
      </c>
      <c r="O1002" s="1060">
        <v>45108</v>
      </c>
      <c r="P1002" s="1152" t="s">
        <v>739</v>
      </c>
      <c r="Q1002" s="28">
        <f>Table15[[#This Row],[Rate]]*Table15[[#This Row],[Construction Cost to Bill From]]</f>
        <v>62184.850200000001</v>
      </c>
      <c r="R1002" s="1026">
        <v>0.09</v>
      </c>
      <c r="S1002" s="538"/>
      <c r="T1002" s="538"/>
      <c r="U1002" s="87"/>
      <c r="V1002" s="858">
        <v>437</v>
      </c>
      <c r="W1002" s="437">
        <v>0</v>
      </c>
      <c r="X1002" s="552">
        <v>658285.41</v>
      </c>
      <c r="Y1002" s="551"/>
      <c r="Z1002" s="552">
        <v>32657.37</v>
      </c>
      <c r="AA1002" s="552">
        <f>SUM(Table15[[#This Row],[PCTS Investment Amount]:[PCTS Retirement Amount]])</f>
        <v>690942.78</v>
      </c>
      <c r="AB1002" s="341">
        <v>45133</v>
      </c>
      <c r="AC1002" s="568" t="s">
        <v>1441</v>
      </c>
      <c r="AD1002" s="1157" t="s">
        <v>116</v>
      </c>
      <c r="AE1002" s="568" t="s">
        <v>29</v>
      </c>
      <c r="AF1002" s="568" t="s">
        <v>29</v>
      </c>
      <c r="AG1002" s="568" t="s">
        <v>29</v>
      </c>
      <c r="AH1002" s="183" t="s">
        <v>29</v>
      </c>
      <c r="AI1002" s="1036"/>
      <c r="AJ1002" s="1037"/>
      <c r="AK1002" s="1037"/>
      <c r="AL1002" s="1038"/>
      <c r="AM1002" s="1522" t="s">
        <v>116</v>
      </c>
      <c r="AN1002" s="1523">
        <v>45209</v>
      </c>
      <c r="AO1002" s="1524">
        <v>11065462</v>
      </c>
      <c r="AP1002" s="1525">
        <v>662213.36</v>
      </c>
      <c r="AQ1002" s="1525"/>
      <c r="AR1002" s="1525">
        <v>44571.66</v>
      </c>
      <c r="AS1002" s="1525">
        <f>IF(Table15[[#This Row],[PCTS Approved]]="N",0,Table15[[#This Row],[Investment Amount (1'#'#'#'#'#)]]+Table15[[#This Row],[Retirement Amount (3'#'#'#'#'#)]])</f>
        <v>706785.02</v>
      </c>
      <c r="AT1002" s="1525">
        <f>IF(Table15[[#This Row],[Approved Construction Cost]]=0,0,Table15[[#This Row],[Approved Construction Cost]]-Table15[[#This Row],[Construction Cost to Bill From]])</f>
        <v>15842.239999999991</v>
      </c>
      <c r="AU1002" s="1525">
        <f>IFERROR(Table15[[#This Row],[Difference in Construction Cost]]*Table15[[#This Row],[Rate]],Table15[[#This Row],[Difference in Construction Cost]]*0.085)</f>
        <v>1425.8015999999991</v>
      </c>
      <c r="AV1002" s="1525">
        <v>5660</v>
      </c>
      <c r="AW1002" s="1526" t="s">
        <v>5823</v>
      </c>
      <c r="AX1002" s="1525">
        <v>0</v>
      </c>
      <c r="AY1002" s="1518">
        <v>45352</v>
      </c>
      <c r="AZ1002" s="333"/>
      <c r="BA1002" s="859" t="s">
        <v>5824</v>
      </c>
      <c r="BB1002" s="644" t="s">
        <v>5825</v>
      </c>
      <c r="BC1002" s="544" t="s">
        <v>116</v>
      </c>
      <c r="BD1002" s="544" t="s">
        <v>115</v>
      </c>
      <c r="BE1002" s="544" t="s">
        <v>588</v>
      </c>
      <c r="BF1002" s="544" t="s">
        <v>115</v>
      </c>
      <c r="BG1002" s="544" t="s">
        <v>3021</v>
      </c>
      <c r="BH1002" s="741" t="s">
        <v>5826</v>
      </c>
      <c r="BI1002" s="549" t="s">
        <v>709</v>
      </c>
      <c r="BJ1002" s="549" t="s">
        <v>709</v>
      </c>
      <c r="BK1002" s="549" t="s">
        <v>709</v>
      </c>
      <c r="BL1002" s="549" t="s">
        <v>116</v>
      </c>
      <c r="BM1002" s="549" t="s">
        <v>709</v>
      </c>
      <c r="BN1002" s="549" t="s">
        <v>709</v>
      </c>
      <c r="BO1002" s="549" t="s">
        <v>709</v>
      </c>
      <c r="BP1002" s="549">
        <v>437</v>
      </c>
      <c r="BQ1002" s="549" t="s">
        <v>709</v>
      </c>
      <c r="BR1002" s="549" t="s">
        <v>709</v>
      </c>
      <c r="BS1002" s="549" t="s">
        <v>709</v>
      </c>
      <c r="BT1002" s="549" t="s">
        <v>709</v>
      </c>
      <c r="BU1002" s="549" t="s">
        <v>709</v>
      </c>
      <c r="BV1002" s="549" t="s">
        <v>709</v>
      </c>
      <c r="BW1002" s="549" t="s">
        <v>709</v>
      </c>
      <c r="BX1002" s="549" t="s">
        <v>709</v>
      </c>
      <c r="BY1002" s="549" t="s">
        <v>709</v>
      </c>
      <c r="BZ1002" s="547" t="s">
        <v>709</v>
      </c>
      <c r="CA1002" s="484"/>
      <c r="CB1002" s="547">
        <v>1001</v>
      </c>
      <c r="CC1002" s="1481" t="b">
        <v>1</v>
      </c>
      <c r="CD1002" t="str">
        <f>Table15[[#This Row],[Engineering Number]]&amp;Table15[[#This Row],[WO Number]]&amp;Table15[[#This Row],[Date Assigned to Designer]]&amp;Table15[[#This Row],[Date Completed]]</f>
        <v>MR202712128184506945132</v>
      </c>
    </row>
    <row r="1003" spans="1:82" customFormat="1" ht="15" customHeight="1" x14ac:dyDescent="0.25">
      <c r="A1003">
        <v>2023</v>
      </c>
      <c r="B1003" s="8" t="s">
        <v>4</v>
      </c>
      <c r="C1003" s="8" t="s">
        <v>5828</v>
      </c>
      <c r="D1003" s="8" t="s">
        <v>5829</v>
      </c>
      <c r="E1003" s="8" t="s">
        <v>1117</v>
      </c>
      <c r="F1003" s="8" t="s">
        <v>784</v>
      </c>
      <c r="G1003" s="8" t="s">
        <v>26</v>
      </c>
      <c r="H1003" s="13" t="s">
        <v>59</v>
      </c>
      <c r="I1003" s="642">
        <v>45041</v>
      </c>
      <c r="J1003" s="18">
        <v>45135</v>
      </c>
      <c r="K1003" s="175">
        <v>45132</v>
      </c>
      <c r="L1003" s="649">
        <f>IF(ISTEXT(Table15[[#This Row],[Engineering Approved Design Date]]),Table15[[#This Row],[Date Completed]]-Table15[[#This Row],[Date Assigned to Designer]],Table15[[#This Row],[Engineering Approved Design Date]]-Table15[[#This Row],[Date Completed]])</f>
        <v>3</v>
      </c>
      <c r="M1003" s="642"/>
      <c r="N1003" s="642" t="s">
        <v>120</v>
      </c>
      <c r="O1003" s="1060">
        <v>45108</v>
      </c>
      <c r="P1003" s="1152" t="s">
        <v>739</v>
      </c>
      <c r="Q1003" s="340">
        <f>Table15[[#This Row],[Rate]]*Table15[[#This Row],[Construction Cost to Bill From]]</f>
        <v>47627.058000000005</v>
      </c>
      <c r="R1003" s="1026">
        <v>0.1</v>
      </c>
      <c r="S1003" s="538"/>
      <c r="T1003" s="538"/>
      <c r="U1003" s="87"/>
      <c r="V1003" s="858">
        <v>781</v>
      </c>
      <c r="W1003" s="437">
        <v>0</v>
      </c>
      <c r="X1003" s="552">
        <v>395785.94</v>
      </c>
      <c r="Y1003" s="551"/>
      <c r="Z1003" s="552">
        <v>80484.639999999999</v>
      </c>
      <c r="AA1003" s="552">
        <f>SUM(Table15[[#This Row],[PCTS Investment Amount]:[PCTS Retirement Amount]])</f>
        <v>476270.58</v>
      </c>
      <c r="AB1003" s="341">
        <v>45132</v>
      </c>
      <c r="AC1003" s="568" t="s">
        <v>709</v>
      </c>
      <c r="AD1003" s="1157" t="s">
        <v>29</v>
      </c>
      <c r="AE1003" s="568" t="s">
        <v>29</v>
      </c>
      <c r="AF1003" s="568" t="s">
        <v>29</v>
      </c>
      <c r="AG1003" s="568" t="s">
        <v>29</v>
      </c>
      <c r="AH1003" s="183" t="s">
        <v>29</v>
      </c>
      <c r="AI1003" s="1036"/>
      <c r="AJ1003" s="1037"/>
      <c r="AK1003" s="1037"/>
      <c r="AL1003" s="1038"/>
      <c r="AM1003" s="1522" t="s">
        <v>116</v>
      </c>
      <c r="AN1003" s="1523">
        <v>45288</v>
      </c>
      <c r="AO1003" s="1524">
        <v>11076234</v>
      </c>
      <c r="AP1003" s="1525">
        <v>401966.93</v>
      </c>
      <c r="AQ1003" s="1525"/>
      <c r="AR1003" s="1525">
        <v>81526.28</v>
      </c>
      <c r="AS1003" s="1525">
        <f>IF(Table15[[#This Row],[PCTS Approved]]="N",0,Table15[[#This Row],[Investment Amount (1'#'#'#'#'#)]]+Table15[[#This Row],[Retirement Amount (3'#'#'#'#'#)]])</f>
        <v>483493.20999999996</v>
      </c>
      <c r="AT1003" s="1525">
        <f>IF(Table15[[#This Row],[Approved Construction Cost]]=0,0,Table15[[#This Row],[Approved Construction Cost]]-Table15[[#This Row],[Construction Cost to Bill From]])</f>
        <v>7222.6299999999464</v>
      </c>
      <c r="AU1003" s="1525">
        <f>IFERROR(Table15[[#This Row],[Difference in Construction Cost]]*Table15[[#This Row],[Rate]],Table15[[#This Row],[Difference in Construction Cost]]*0.085)</f>
        <v>722.26299999999469</v>
      </c>
      <c r="AV1003" s="1525">
        <v>1737.5</v>
      </c>
      <c r="AW1003" s="1526" t="s">
        <v>5830</v>
      </c>
      <c r="AX1003" s="1525">
        <v>0</v>
      </c>
      <c r="AY1003" s="1518">
        <v>45352</v>
      </c>
      <c r="AZ1003" s="333"/>
      <c r="BA1003" s="859" t="s">
        <v>5831</v>
      </c>
      <c r="BB1003" s="644" t="s">
        <v>1120</v>
      </c>
      <c r="BC1003" s="544" t="s">
        <v>115</v>
      </c>
      <c r="BD1003" s="544" t="s">
        <v>882</v>
      </c>
      <c r="BE1003" s="544" t="s">
        <v>5832</v>
      </c>
      <c r="BF1003" s="544" t="s">
        <v>1396</v>
      </c>
      <c r="BG1003" s="548" t="s">
        <v>115</v>
      </c>
      <c r="BH1003" s="749" t="s">
        <v>5833</v>
      </c>
      <c r="BI1003" s="626" t="s">
        <v>709</v>
      </c>
      <c r="BJ1003" s="547" t="s">
        <v>709</v>
      </c>
      <c r="BK1003" s="547" t="s">
        <v>709</v>
      </c>
      <c r="BL1003" s="1083" t="s">
        <v>116</v>
      </c>
      <c r="BM1003" s="549" t="s">
        <v>709</v>
      </c>
      <c r="BN1003" s="549" t="s">
        <v>709</v>
      </c>
      <c r="BO1003" s="547" t="s">
        <v>709</v>
      </c>
      <c r="BP1003" s="549" t="s">
        <v>709</v>
      </c>
      <c r="BQ1003" s="547" t="s">
        <v>709</v>
      </c>
      <c r="BR1003" s="626">
        <v>709</v>
      </c>
      <c r="BS1003" s="549">
        <v>72</v>
      </c>
      <c r="BT1003" s="547" t="s">
        <v>709</v>
      </c>
      <c r="BU1003" s="547" t="s">
        <v>709</v>
      </c>
      <c r="BV1003" s="547" t="s">
        <v>709</v>
      </c>
      <c r="BW1003" s="547" t="s">
        <v>709</v>
      </c>
      <c r="BX1003" s="547" t="s">
        <v>709</v>
      </c>
      <c r="BY1003" s="547" t="s">
        <v>709</v>
      </c>
      <c r="BZ1003" s="547" t="s">
        <v>709</v>
      </c>
      <c r="CA1003" s="483"/>
      <c r="CB1003" s="547">
        <v>1000</v>
      </c>
      <c r="CC1003" s="1481" t="b">
        <v>1</v>
      </c>
      <c r="CD1003" t="str">
        <f>Table15[[#This Row],[Engineering Number]]&amp;Table15[[#This Row],[WO Number]]&amp;Table15[[#This Row],[Date Assigned to Designer]]&amp;Table15[[#This Row],[Date Completed]]</f>
        <v>N1629112128434504145132</v>
      </c>
    </row>
    <row r="1004" spans="1:82" customFormat="1" ht="15" customHeight="1" x14ac:dyDescent="0.25">
      <c r="A1004">
        <v>2023</v>
      </c>
      <c r="B1004" s="8" t="s">
        <v>769</v>
      </c>
      <c r="C1004" s="8" t="s">
        <v>1595</v>
      </c>
      <c r="D1004" s="8" t="s">
        <v>1596</v>
      </c>
      <c r="E1004" s="8" t="s">
        <v>1597</v>
      </c>
      <c r="F1004" s="8" t="s">
        <v>747</v>
      </c>
      <c r="G1004" s="8" t="s">
        <v>32</v>
      </c>
      <c r="H1004" s="13" t="s">
        <v>59</v>
      </c>
      <c r="I1004" s="642">
        <v>45056</v>
      </c>
      <c r="J1004" s="18">
        <v>45145</v>
      </c>
      <c r="K1004" s="175">
        <v>45133</v>
      </c>
      <c r="L1004" s="16">
        <f>IF(ISTEXT(Table15[[#This Row],[Engineering Approved Design Date]]),Table15[[#This Row],[Date Completed]]-Table15[[#This Row],[Date Assigned to Designer]],Table15[[#This Row],[Engineering Approved Design Date]]-Table15[[#This Row],[Date Completed]])</f>
        <v>12</v>
      </c>
      <c r="M1004" s="642"/>
      <c r="N1004" s="642" t="s">
        <v>120</v>
      </c>
      <c r="O1004" s="1060">
        <v>45139</v>
      </c>
      <c r="P1004" s="1152" t="s">
        <v>739</v>
      </c>
      <c r="Q1004" s="340">
        <f>Table15[[#This Row],[Rate]]*Table15[[#This Row],[Construction Cost to Bill From]]</f>
        <v>10081.120800000001</v>
      </c>
      <c r="R1004" s="1026">
        <v>0.08</v>
      </c>
      <c r="S1004" s="538"/>
      <c r="T1004" s="538"/>
      <c r="U1004" s="87"/>
      <c r="V1004" s="858">
        <v>17</v>
      </c>
      <c r="W1004" s="437">
        <v>0</v>
      </c>
      <c r="X1004" s="552">
        <f>80666.59</f>
        <v>80666.59</v>
      </c>
      <c r="Y1004" s="551"/>
      <c r="Z1004" s="552">
        <f>45347.42</f>
        <v>45347.42</v>
      </c>
      <c r="AA1004" s="552">
        <f>SUM(Table15[[#This Row],[PCTS Investment Amount]:[PCTS Retirement Amount]])</f>
        <v>126014.01</v>
      </c>
      <c r="AB1004" s="341">
        <v>45142</v>
      </c>
      <c r="AC1004" s="568" t="s">
        <v>1177</v>
      </c>
      <c r="AD1004" s="1157" t="s">
        <v>29</v>
      </c>
      <c r="AE1004" s="568" t="s">
        <v>709</v>
      </c>
      <c r="AF1004" s="568" t="s">
        <v>116</v>
      </c>
      <c r="AG1004" s="568" t="s">
        <v>116</v>
      </c>
      <c r="AH1004" s="183" t="s">
        <v>116</v>
      </c>
      <c r="AI1004" s="1036"/>
      <c r="AJ1004" s="1037"/>
      <c r="AK1004" s="1037"/>
      <c r="AL1004" s="1038"/>
      <c r="AM1004" s="536" t="s">
        <v>116</v>
      </c>
      <c r="AN1004" s="903" t="s">
        <v>709</v>
      </c>
      <c r="AO1004" s="1536" t="s">
        <v>115</v>
      </c>
      <c r="AP1004" s="1537"/>
      <c r="AQ1004" s="1537"/>
      <c r="AR1004" s="1537"/>
      <c r="AS1004" s="888">
        <f>IF(Table15[[#This Row],[PCTS Approved]]="N",0,Table15[[#This Row],[Investment Amount (1'#'#'#'#'#)]]+Table15[[#This Row],[Retirement Amount (3'#'#'#'#'#)]])</f>
        <v>0</v>
      </c>
      <c r="AT1004" s="888">
        <f>IF(Table15[[#This Row],[Approved Construction Cost]]=0,0,Table15[[#This Row],[Approved Construction Cost]]-Table15[[#This Row],[Construction Cost to Bill From]])</f>
        <v>0</v>
      </c>
      <c r="AU1004" s="888">
        <f>IFERROR(Table15[[#This Row],[Difference in Construction Cost]]*Table15[[#This Row],[Rate]],Table15[[#This Row],[Difference in Construction Cost]]*0.085)</f>
        <v>0</v>
      </c>
      <c r="AV1004" s="905"/>
      <c r="AW1004" s="1509"/>
      <c r="AX1004" s="888"/>
      <c r="AY1004" s="636" t="s">
        <v>709</v>
      </c>
      <c r="AZ1004" s="333">
        <v>17</v>
      </c>
      <c r="BA1004" s="859" t="s">
        <v>1598</v>
      </c>
      <c r="BB1004" s="644" t="s">
        <v>1599</v>
      </c>
      <c r="BC1004" s="544" t="s">
        <v>709</v>
      </c>
      <c r="BD1004" s="544" t="s">
        <v>837</v>
      </c>
      <c r="BE1004" s="544" t="s">
        <v>1600</v>
      </c>
      <c r="BF1004" s="544" t="s">
        <v>1600</v>
      </c>
      <c r="BG1004" s="544" t="s">
        <v>1582</v>
      </c>
      <c r="BH1004" s="741" t="s">
        <v>1601</v>
      </c>
      <c r="BI1004" s="547" t="s">
        <v>709</v>
      </c>
      <c r="BJ1004" s="547" t="s">
        <v>709</v>
      </c>
      <c r="BK1004" s="547" t="s">
        <v>116</v>
      </c>
      <c r="BL1004" s="547" t="s">
        <v>116</v>
      </c>
      <c r="BM1004" s="547">
        <v>0</v>
      </c>
      <c r="BN1004" s="549">
        <v>0</v>
      </c>
      <c r="BO1004" s="547">
        <v>0</v>
      </c>
      <c r="BP1004" s="547">
        <v>0</v>
      </c>
      <c r="BQ1004" s="547">
        <v>0</v>
      </c>
      <c r="BR1004" s="547">
        <v>17</v>
      </c>
      <c r="BS1004" s="547">
        <v>0</v>
      </c>
      <c r="BT1004" s="547">
        <v>0</v>
      </c>
      <c r="BU1004" s="549">
        <v>0</v>
      </c>
      <c r="BV1004" s="547">
        <v>0</v>
      </c>
      <c r="BW1004" s="547">
        <v>0</v>
      </c>
      <c r="BX1004" s="547">
        <v>0</v>
      </c>
      <c r="BY1004" s="547">
        <v>1</v>
      </c>
      <c r="BZ1004" s="547" t="s">
        <v>709</v>
      </c>
      <c r="CA1004" s="483" t="s">
        <v>769</v>
      </c>
      <c r="CB1004" s="547">
        <v>1004</v>
      </c>
      <c r="CC1004" s="1481" t="b">
        <v>1</v>
      </c>
      <c r="CD1004" t="str">
        <f>Table15[[#This Row],[Engineering Number]]&amp;Table15[[#This Row],[WO Number]]&amp;Table15[[#This Row],[Date Assigned to Designer]]&amp;Table15[[#This Row],[Date Completed]]</f>
        <v>RS115410127704505645133</v>
      </c>
    </row>
    <row r="1005" spans="1:82" customFormat="1" ht="15" customHeight="1" x14ac:dyDescent="0.25">
      <c r="A1005">
        <v>2023</v>
      </c>
      <c r="B1005" s="8" t="s">
        <v>769</v>
      </c>
      <c r="C1005" s="8" t="s">
        <v>1595</v>
      </c>
      <c r="D1005" s="8" t="s">
        <v>1603</v>
      </c>
      <c r="E1005" s="8" t="s">
        <v>1597</v>
      </c>
      <c r="F1005" s="8" t="s">
        <v>747</v>
      </c>
      <c r="G1005" s="8" t="s">
        <v>32</v>
      </c>
      <c r="H1005" s="13" t="s">
        <v>59</v>
      </c>
      <c r="I1005" s="642">
        <v>45056</v>
      </c>
      <c r="J1005" s="18">
        <v>45145</v>
      </c>
      <c r="K1005" s="175">
        <v>45133</v>
      </c>
      <c r="L1005" s="16">
        <f>IF(ISTEXT(Table15[[#This Row],[Engineering Approved Design Date]]),Table15[[#This Row],[Date Completed]]-Table15[[#This Row],[Date Assigned to Designer]],Table15[[#This Row],[Engineering Approved Design Date]]-Table15[[#This Row],[Date Completed]])</f>
        <v>12</v>
      </c>
      <c r="M1005" s="642"/>
      <c r="N1005" s="642" t="s">
        <v>120</v>
      </c>
      <c r="O1005" s="1060">
        <v>45139</v>
      </c>
      <c r="P1005" s="1152" t="s">
        <v>739</v>
      </c>
      <c r="Q1005" s="340">
        <f>Table15[[#This Row],[Rate]]*Table15[[#This Row],[Construction Cost to Bill From]]</f>
        <v>8924.6623999999993</v>
      </c>
      <c r="R1005" s="1026">
        <v>0.08</v>
      </c>
      <c r="S1005" s="538"/>
      <c r="T1005" s="538"/>
      <c r="U1005" s="87"/>
      <c r="V1005" s="858">
        <v>17</v>
      </c>
      <c r="W1005" s="437">
        <v>0</v>
      </c>
      <c r="X1005" s="552">
        <v>93106.99</v>
      </c>
      <c r="Y1005" s="551"/>
      <c r="Z1005" s="552">
        <v>18451.29</v>
      </c>
      <c r="AA1005" s="552">
        <f>SUM(Table15[[#This Row],[PCTS Investment Amount]:[PCTS Retirement Amount]])</f>
        <v>111558.28</v>
      </c>
      <c r="AB1005" s="341">
        <v>45142</v>
      </c>
      <c r="AC1005" s="568" t="s">
        <v>1177</v>
      </c>
      <c r="AD1005" s="1157" t="s">
        <v>29</v>
      </c>
      <c r="AE1005" s="568" t="s">
        <v>709</v>
      </c>
      <c r="AF1005" s="568" t="s">
        <v>116</v>
      </c>
      <c r="AG1005" s="568" t="s">
        <v>116</v>
      </c>
      <c r="AH1005" s="183" t="s">
        <v>116</v>
      </c>
      <c r="AI1005" s="1036"/>
      <c r="AJ1005" s="1037"/>
      <c r="AK1005" s="1037"/>
      <c r="AL1005" s="1038"/>
      <c r="AM1005" s="536" t="s">
        <v>116</v>
      </c>
      <c r="AN1005" s="903" t="s">
        <v>709</v>
      </c>
      <c r="AO1005" s="1536"/>
      <c r="AP1005" s="1537"/>
      <c r="AQ1005" s="1537"/>
      <c r="AR1005" s="1537"/>
      <c r="AS1005" s="888">
        <f>IF(Table15[[#This Row],[PCTS Approved]]="N",0,Table15[[#This Row],[Investment Amount (1'#'#'#'#'#)]]+Table15[[#This Row],[Retirement Amount (3'#'#'#'#'#)]])</f>
        <v>0</v>
      </c>
      <c r="AT1005" s="888">
        <f>IF(Table15[[#This Row],[Approved Construction Cost]]=0,0,Table15[[#This Row],[Approved Construction Cost]]-Table15[[#This Row],[Construction Cost to Bill From]])</f>
        <v>0</v>
      </c>
      <c r="AU1005" s="888">
        <f>IFERROR(Table15[[#This Row],[Difference in Construction Cost]]*Table15[[#This Row],[Rate]],Table15[[#This Row],[Difference in Construction Cost]]*0.085)</f>
        <v>0</v>
      </c>
      <c r="AV1005" s="905"/>
      <c r="AW1005" s="1509"/>
      <c r="AX1005" s="888"/>
      <c r="AY1005" s="636" t="s">
        <v>709</v>
      </c>
      <c r="AZ1005" s="333">
        <v>18</v>
      </c>
      <c r="BA1005" s="859" t="s">
        <v>1598</v>
      </c>
      <c r="BB1005" s="644" t="s">
        <v>1599</v>
      </c>
      <c r="BC1005" s="544" t="s">
        <v>709</v>
      </c>
      <c r="BD1005" s="544" t="s">
        <v>837</v>
      </c>
      <c r="BE1005" s="544" t="s">
        <v>1600</v>
      </c>
      <c r="BF1005" s="544" t="s">
        <v>1600</v>
      </c>
      <c r="BG1005" s="544" t="s">
        <v>1582</v>
      </c>
      <c r="BH1005" s="741" t="s">
        <v>1601</v>
      </c>
      <c r="BI1005" s="547" t="s">
        <v>709</v>
      </c>
      <c r="BJ1005" s="547" t="s">
        <v>709</v>
      </c>
      <c r="BK1005" s="547" t="s">
        <v>116</v>
      </c>
      <c r="BL1005" s="547" t="s">
        <v>116</v>
      </c>
      <c r="BM1005" s="547">
        <v>0</v>
      </c>
      <c r="BN1005" s="549">
        <v>0</v>
      </c>
      <c r="BO1005" s="547">
        <v>0</v>
      </c>
      <c r="BP1005" s="547">
        <v>0</v>
      </c>
      <c r="BQ1005" s="547">
        <v>0</v>
      </c>
      <c r="BR1005" s="547">
        <v>17</v>
      </c>
      <c r="BS1005" s="547">
        <v>0</v>
      </c>
      <c r="BT1005" s="547">
        <v>0</v>
      </c>
      <c r="BU1005" s="549">
        <v>0</v>
      </c>
      <c r="BV1005" s="547">
        <v>0</v>
      </c>
      <c r="BW1005" s="547">
        <v>0</v>
      </c>
      <c r="BX1005" s="547">
        <v>0</v>
      </c>
      <c r="BY1005" s="547">
        <v>1</v>
      </c>
      <c r="BZ1005" s="547" t="s">
        <v>709</v>
      </c>
      <c r="CA1005" s="483" t="s">
        <v>769</v>
      </c>
      <c r="CB1005" s="547">
        <v>1005</v>
      </c>
      <c r="CC1005" s="1481" t="b">
        <v>1</v>
      </c>
      <c r="CD1005" t="str">
        <f>Table15[[#This Row],[Engineering Number]]&amp;Table15[[#This Row],[WO Number]]&amp;Table15[[#This Row],[Date Assigned to Designer]]&amp;Table15[[#This Row],[Date Completed]]</f>
        <v>RS115410129594505645133</v>
      </c>
    </row>
    <row r="1006" spans="1:82" customFormat="1" ht="15" customHeight="1" x14ac:dyDescent="0.25">
      <c r="A1006">
        <v>2023</v>
      </c>
      <c r="B1006" s="8" t="s">
        <v>4</v>
      </c>
      <c r="C1006" s="8" t="s">
        <v>387</v>
      </c>
      <c r="D1006" s="8" t="s">
        <v>1593</v>
      </c>
      <c r="E1006" s="8" t="s">
        <v>388</v>
      </c>
      <c r="F1006" s="8" t="s">
        <v>747</v>
      </c>
      <c r="G1006" s="8" t="s">
        <v>28</v>
      </c>
      <c r="H1006" s="13" t="s">
        <v>59</v>
      </c>
      <c r="I1006" s="642">
        <v>44915</v>
      </c>
      <c r="J1006" s="18">
        <v>45135</v>
      </c>
      <c r="K1006" s="175">
        <v>45133</v>
      </c>
      <c r="L1006" s="649">
        <f>IF(ISTEXT(Table15[[#This Row],[Engineering Approved Design Date]]),Table15[[#This Row],[Date Completed]]-Table15[[#This Row],[Date Assigned to Designer]],Table15[[#This Row],[Engineering Approved Design Date]]-Table15[[#This Row],[Date Completed]])</f>
        <v>2</v>
      </c>
      <c r="M1006" s="642"/>
      <c r="N1006" s="642" t="s">
        <v>120</v>
      </c>
      <c r="O1006" s="1060">
        <v>45139</v>
      </c>
      <c r="P1006" s="1152" t="s">
        <v>739</v>
      </c>
      <c r="Q1006" s="340">
        <f>Table15[[#This Row],[Rate]]*Table15[[#This Row],[Construction Cost to Bill From]]</f>
        <v>101276.04000000001</v>
      </c>
      <c r="R1006" s="1026">
        <v>0.1</v>
      </c>
      <c r="S1006" s="538"/>
      <c r="T1006" s="538"/>
      <c r="U1006" s="87"/>
      <c r="V1006" s="858">
        <v>1670</v>
      </c>
      <c r="W1006" s="437">
        <v>0</v>
      </c>
      <c r="X1006" s="552">
        <v>910834.15</v>
      </c>
      <c r="Y1006" s="551"/>
      <c r="Z1006" s="552">
        <v>101926.25</v>
      </c>
      <c r="AA1006" s="552">
        <f>SUM(Table15[[#This Row],[PCTS Investment Amount]:[PCTS Retirement Amount]])</f>
        <v>1012760.4</v>
      </c>
      <c r="AB1006" s="341">
        <v>45124</v>
      </c>
      <c r="AC1006" s="568" t="s">
        <v>116</v>
      </c>
      <c r="AD1006" s="1157" t="s">
        <v>29</v>
      </c>
      <c r="AE1006" s="568" t="s">
        <v>756</v>
      </c>
      <c r="AF1006" s="568" t="s">
        <v>756</v>
      </c>
      <c r="AG1006" s="568" t="s">
        <v>116</v>
      </c>
      <c r="AH1006" s="183">
        <v>45163</v>
      </c>
      <c r="AI1006" s="1036"/>
      <c r="AJ1006" s="1037"/>
      <c r="AK1006" s="1037"/>
      <c r="AL1006" s="1038"/>
      <c r="AM1006" s="536" t="s">
        <v>116</v>
      </c>
      <c r="AN1006" s="903" t="s">
        <v>709</v>
      </c>
      <c r="AO1006" s="1536" t="s">
        <v>115</v>
      </c>
      <c r="AP1006" s="1537"/>
      <c r="AQ1006" s="1537"/>
      <c r="AR1006" s="1537"/>
      <c r="AS1006" s="888">
        <f>IF(Table15[[#This Row],[PCTS Approved]]="N",0,Table15[[#This Row],[Investment Amount (1'#'#'#'#'#)]]+Table15[[#This Row],[Retirement Amount (3'#'#'#'#'#)]])</f>
        <v>0</v>
      </c>
      <c r="AT1006" s="888">
        <f>IF(Table15[[#This Row],[Approved Construction Cost]]=0,0,Table15[[#This Row],[Approved Construction Cost]]-Table15[[#This Row],[Construction Cost to Bill From]])</f>
        <v>0</v>
      </c>
      <c r="AU1006" s="888">
        <f>IFERROR(Table15[[#This Row],[Difference in Construction Cost]]*Table15[[#This Row],[Rate]],Table15[[#This Row],[Difference in Construction Cost]]*0.085)</f>
        <v>0</v>
      </c>
      <c r="AV1006" s="905"/>
      <c r="AW1006" s="1509"/>
      <c r="AX1006" s="888"/>
      <c r="AY1006" s="636" t="s">
        <v>709</v>
      </c>
      <c r="AZ1006" s="333">
        <v>92</v>
      </c>
      <c r="BA1006" s="859" t="s">
        <v>1590</v>
      </c>
      <c r="BB1006" s="644" t="s">
        <v>870</v>
      </c>
      <c r="BC1006" s="544" t="s">
        <v>116</v>
      </c>
      <c r="BD1006" s="544" t="s">
        <v>709</v>
      </c>
      <c r="BE1006" s="544" t="s">
        <v>1591</v>
      </c>
      <c r="BF1006" s="544" t="s">
        <v>709</v>
      </c>
      <c r="BG1006" s="548" t="s">
        <v>709</v>
      </c>
      <c r="BH1006" s="749" t="s">
        <v>1594</v>
      </c>
      <c r="BI1006" s="547" t="s">
        <v>709</v>
      </c>
      <c r="BJ1006" s="547" t="s">
        <v>709</v>
      </c>
      <c r="BK1006" s="547" t="s">
        <v>709</v>
      </c>
      <c r="BL1006" s="547" t="s">
        <v>116</v>
      </c>
      <c r="BM1006" s="547" t="s">
        <v>709</v>
      </c>
      <c r="BN1006" s="547" t="s">
        <v>709</v>
      </c>
      <c r="BO1006" s="547" t="s">
        <v>709</v>
      </c>
      <c r="BP1006" s="547">
        <v>1187</v>
      </c>
      <c r="BQ1006" s="547">
        <v>14</v>
      </c>
      <c r="BR1006" s="547">
        <v>280</v>
      </c>
      <c r="BS1006" s="547">
        <v>189</v>
      </c>
      <c r="BT1006" s="547" t="s">
        <v>709</v>
      </c>
      <c r="BU1006" s="547" t="s">
        <v>709</v>
      </c>
      <c r="BV1006" s="547" t="s">
        <v>709</v>
      </c>
      <c r="BW1006" s="547" t="s">
        <v>709</v>
      </c>
      <c r="BX1006" s="547" t="s">
        <v>745</v>
      </c>
      <c r="BY1006" s="547" t="s">
        <v>709</v>
      </c>
      <c r="BZ1006" s="547" t="s">
        <v>709</v>
      </c>
      <c r="CA1006" s="483"/>
      <c r="CB1006" s="547">
        <v>1002</v>
      </c>
      <c r="CC1006" s="1481" t="b">
        <v>1</v>
      </c>
      <c r="CD1006" t="str">
        <f>Table15[[#This Row],[Engineering Number]]&amp;Table15[[#This Row],[WO Number]]&amp;Table15[[#This Row],[Date Assigned to Designer]]&amp;Table15[[#This Row],[Date Completed]]</f>
        <v>SC1954112127054491545133</v>
      </c>
    </row>
    <row r="1007" spans="1:82" customFormat="1" ht="15" customHeight="1" x14ac:dyDescent="0.25">
      <c r="A1007">
        <v>2023</v>
      </c>
      <c r="B1007" s="8" t="s">
        <v>4</v>
      </c>
      <c r="C1007" s="8" t="s">
        <v>1588</v>
      </c>
      <c r="D1007" s="8" t="s">
        <v>1589</v>
      </c>
      <c r="E1007" s="8" t="s">
        <v>388</v>
      </c>
      <c r="F1007" s="8" t="s">
        <v>747</v>
      </c>
      <c r="G1007" s="8" t="s">
        <v>28</v>
      </c>
      <c r="H1007" s="13" t="s">
        <v>59</v>
      </c>
      <c r="I1007" s="642">
        <v>44915</v>
      </c>
      <c r="J1007" s="18">
        <v>45135</v>
      </c>
      <c r="K1007" s="175">
        <v>45133</v>
      </c>
      <c r="L1007" s="649">
        <f>IF(ISTEXT(Table15[[#This Row],[Engineering Approved Design Date]]),Table15[[#This Row],[Date Completed]]-Table15[[#This Row],[Date Assigned to Designer]],Table15[[#This Row],[Engineering Approved Design Date]]-Table15[[#This Row],[Date Completed]])</f>
        <v>2</v>
      </c>
      <c r="M1007" s="642"/>
      <c r="N1007" s="642" t="s">
        <v>120</v>
      </c>
      <c r="O1007" s="1060">
        <v>45139</v>
      </c>
      <c r="P1007" s="1152" t="s">
        <v>739</v>
      </c>
      <c r="Q1007" s="340">
        <f>Table15[[#This Row],[Rate]]*Table15[[#This Row],[Construction Cost to Bill From]]</f>
        <v>25017.435000000001</v>
      </c>
      <c r="R1007" s="1026">
        <v>0.1</v>
      </c>
      <c r="S1007" s="538"/>
      <c r="T1007" s="538"/>
      <c r="U1007" s="87"/>
      <c r="V1007" s="858">
        <v>485</v>
      </c>
      <c r="W1007" s="437">
        <v>0</v>
      </c>
      <c r="X1007" s="552">
        <v>250174.35</v>
      </c>
      <c r="Y1007" s="551"/>
      <c r="Z1007" s="552">
        <v>0</v>
      </c>
      <c r="AA1007" s="552">
        <f>SUM(Table15[[#This Row],[PCTS Investment Amount]:[PCTS Retirement Amount]])</f>
        <v>250174.35</v>
      </c>
      <c r="AB1007" s="341">
        <v>45028</v>
      </c>
      <c r="AC1007" s="568" t="s">
        <v>116</v>
      </c>
      <c r="AD1007" s="1157" t="s">
        <v>29</v>
      </c>
      <c r="AE1007" s="568" t="s">
        <v>756</v>
      </c>
      <c r="AF1007" s="568" t="s">
        <v>756</v>
      </c>
      <c r="AG1007" s="568" t="s">
        <v>116</v>
      </c>
      <c r="AH1007" s="183">
        <v>45163</v>
      </c>
      <c r="AI1007" s="1036"/>
      <c r="AJ1007" s="1037"/>
      <c r="AK1007" s="1037"/>
      <c r="AL1007" s="1038"/>
      <c r="AM1007" s="536" t="s">
        <v>116</v>
      </c>
      <c r="AN1007" s="903" t="s">
        <v>709</v>
      </c>
      <c r="AO1007" s="1536" t="s">
        <v>115</v>
      </c>
      <c r="AP1007" s="1537"/>
      <c r="AQ1007" s="1537"/>
      <c r="AR1007" s="1537"/>
      <c r="AS1007" s="888">
        <f>IF(Table15[[#This Row],[PCTS Approved]]="N",0,Table15[[#This Row],[Investment Amount (1'#'#'#'#'#)]]+Table15[[#This Row],[Retirement Amount (3'#'#'#'#'#)]])</f>
        <v>0</v>
      </c>
      <c r="AT1007" s="888">
        <f>IF(Table15[[#This Row],[Approved Construction Cost]]=0,0,Table15[[#This Row],[Approved Construction Cost]]-Table15[[#This Row],[Construction Cost to Bill From]])</f>
        <v>0</v>
      </c>
      <c r="AU1007" s="888">
        <f>IFERROR(Table15[[#This Row],[Difference in Construction Cost]]*Table15[[#This Row],[Rate]],Table15[[#This Row],[Difference in Construction Cost]]*0.085)</f>
        <v>0</v>
      </c>
      <c r="AV1007" s="905"/>
      <c r="AW1007" s="1509"/>
      <c r="AX1007" s="888"/>
      <c r="AY1007" s="636" t="s">
        <v>709</v>
      </c>
      <c r="AZ1007" s="333">
        <v>91</v>
      </c>
      <c r="BA1007" s="859" t="s">
        <v>1590</v>
      </c>
      <c r="BB1007" s="644" t="s">
        <v>870</v>
      </c>
      <c r="BC1007" s="544" t="s">
        <v>116</v>
      </c>
      <c r="BD1007" s="544" t="s">
        <v>709</v>
      </c>
      <c r="BE1007" s="544" t="s">
        <v>1591</v>
      </c>
      <c r="BF1007" s="544" t="s">
        <v>709</v>
      </c>
      <c r="BG1007" s="548" t="s">
        <v>709</v>
      </c>
      <c r="BH1007" s="749" t="s">
        <v>1592</v>
      </c>
      <c r="BI1007" s="547" t="s">
        <v>709</v>
      </c>
      <c r="BJ1007" s="547" t="s">
        <v>709</v>
      </c>
      <c r="BK1007" s="547" t="s">
        <v>709</v>
      </c>
      <c r="BL1007" s="547" t="s">
        <v>116</v>
      </c>
      <c r="BM1007" s="547" t="s">
        <v>709</v>
      </c>
      <c r="BN1007" s="547" t="s">
        <v>709</v>
      </c>
      <c r="BO1007" s="547" t="s">
        <v>709</v>
      </c>
      <c r="BP1007" s="547">
        <v>1187</v>
      </c>
      <c r="BQ1007" s="547">
        <v>14</v>
      </c>
      <c r="BR1007" s="547">
        <v>280</v>
      </c>
      <c r="BS1007" s="547">
        <v>189</v>
      </c>
      <c r="BT1007" s="547" t="s">
        <v>709</v>
      </c>
      <c r="BU1007" s="547" t="s">
        <v>709</v>
      </c>
      <c r="BV1007" s="547" t="s">
        <v>709</v>
      </c>
      <c r="BW1007" s="547" t="s">
        <v>709</v>
      </c>
      <c r="BX1007" s="547" t="s">
        <v>745</v>
      </c>
      <c r="BY1007" s="547" t="s">
        <v>709</v>
      </c>
      <c r="BZ1007" s="547" t="s">
        <v>709</v>
      </c>
      <c r="CA1007" s="483"/>
      <c r="CB1007" s="547">
        <v>1003</v>
      </c>
      <c r="CC1007" s="1481" t="b">
        <v>1</v>
      </c>
      <c r="CD1007" t="str">
        <f>Table15[[#This Row],[Engineering Number]]&amp;Table15[[#This Row],[WO Number]]&amp;Table15[[#This Row],[Date Assigned to Designer]]&amp;Table15[[#This Row],[Date Completed]]</f>
        <v>SC19541-112123754491545133</v>
      </c>
    </row>
    <row r="1008" spans="1:82" customFormat="1" ht="15" customHeight="1" x14ac:dyDescent="0.25">
      <c r="A1008">
        <v>2023</v>
      </c>
      <c r="B1008" s="8" t="s">
        <v>759</v>
      </c>
      <c r="C1008" s="8" t="s">
        <v>445</v>
      </c>
      <c r="D1008" s="8" t="s">
        <v>1604</v>
      </c>
      <c r="E1008" s="8" t="s">
        <v>1605</v>
      </c>
      <c r="F1008" s="8" t="s">
        <v>752</v>
      </c>
      <c r="G1008" s="8" t="s">
        <v>34</v>
      </c>
      <c r="H1008" s="13" t="s">
        <v>59</v>
      </c>
      <c r="I1008" s="642">
        <v>44838</v>
      </c>
      <c r="J1008" s="18">
        <v>45138</v>
      </c>
      <c r="K1008" s="175">
        <v>45135</v>
      </c>
      <c r="L1008" s="16">
        <f>IF(ISTEXT(Table15[[#This Row],[Engineering Approved Design Date]]),Table15[[#This Row],[Date Completed]]-Table15[[#This Row],[Date Assigned to Designer]],Table15[[#This Row],[Engineering Approved Design Date]]-Table15[[#This Row],[Date Completed]])</f>
        <v>3</v>
      </c>
      <c r="M1008" s="642"/>
      <c r="N1008" s="642" t="s">
        <v>120</v>
      </c>
      <c r="O1008" s="1060">
        <v>45139</v>
      </c>
      <c r="P1008" s="1152" t="s">
        <v>120</v>
      </c>
      <c r="Q1008" s="340">
        <f>Table15[[#This Row],[Rate]]*Table15[[#This Row],[Construction Cost to Bill From]]</f>
        <v>240051.9682</v>
      </c>
      <c r="R1008" s="1026">
        <v>0.11</v>
      </c>
      <c r="S1008" s="538"/>
      <c r="T1008" s="538"/>
      <c r="U1008" s="87"/>
      <c r="V1008" s="858">
        <v>2503</v>
      </c>
      <c r="W1008" s="437">
        <v>2</v>
      </c>
      <c r="X1008" s="570">
        <v>1835781.07</v>
      </c>
      <c r="Y1008" s="551"/>
      <c r="Z1008" s="552">
        <v>346509.55</v>
      </c>
      <c r="AA1008" s="552">
        <f>SUM(Table15[[#This Row],[PCTS Investment Amount]:[PCTS Retirement Amount]])</f>
        <v>2182290.62</v>
      </c>
      <c r="AB1008" s="341">
        <v>45141</v>
      </c>
      <c r="AC1008" s="568" t="s">
        <v>1441</v>
      </c>
      <c r="AD1008" s="1157" t="s">
        <v>29</v>
      </c>
      <c r="AE1008" s="568" t="s">
        <v>29</v>
      </c>
      <c r="AF1008" s="568" t="s">
        <v>29</v>
      </c>
      <c r="AG1008" s="568" t="s">
        <v>29</v>
      </c>
      <c r="AH1008" s="183" t="s">
        <v>29</v>
      </c>
      <c r="AI1008" s="1036"/>
      <c r="AJ1008" s="1037"/>
      <c r="AK1008" s="1037"/>
      <c r="AL1008" s="1038"/>
      <c r="AM1008" s="536" t="s">
        <v>116</v>
      </c>
      <c r="AN1008" s="903" t="s">
        <v>709</v>
      </c>
      <c r="AO1008" s="1536">
        <v>11058963</v>
      </c>
      <c r="AP1008" s="1537"/>
      <c r="AQ1008" s="1537"/>
      <c r="AR1008" s="1537"/>
      <c r="AS1008" s="888">
        <f>IF(Table15[[#This Row],[PCTS Approved]]="N",0,Table15[[#This Row],[Investment Amount (1'#'#'#'#'#)]]+Table15[[#This Row],[Retirement Amount (3'#'#'#'#'#)]])</f>
        <v>0</v>
      </c>
      <c r="AT1008" s="888">
        <f>IF(Table15[[#This Row],[Approved Construction Cost]]=0,0,Table15[[#This Row],[Approved Construction Cost]]-Table15[[#This Row],[Construction Cost to Bill From]])</f>
        <v>0</v>
      </c>
      <c r="AU1008" s="888">
        <f>IFERROR(Table15[[#This Row],[Difference in Construction Cost]]*Table15[[#This Row],[Rate]],Table15[[#This Row],[Difference in Construction Cost]]*0.085)</f>
        <v>0</v>
      </c>
      <c r="AV1008" s="905"/>
      <c r="AW1008" s="1509"/>
      <c r="AX1008" s="888"/>
      <c r="AY1008" s="636" t="s">
        <v>709</v>
      </c>
      <c r="AZ1008" s="333">
        <v>157</v>
      </c>
      <c r="BA1008" s="1076" t="s">
        <v>1606</v>
      </c>
      <c r="BB1008" s="648" t="s">
        <v>1607</v>
      </c>
      <c r="BC1008" s="544" t="s">
        <v>116</v>
      </c>
      <c r="BD1008" s="544" t="s">
        <v>837</v>
      </c>
      <c r="BE1008" s="544" t="s">
        <v>615</v>
      </c>
      <c r="BF1008" s="544" t="s">
        <v>115</v>
      </c>
      <c r="BG1008" s="544" t="s">
        <v>115</v>
      </c>
      <c r="BH1008" s="741"/>
      <c r="BI1008" s="549" t="s">
        <v>709</v>
      </c>
      <c r="BJ1008" s="549" t="s">
        <v>709</v>
      </c>
      <c r="BK1008" s="549" t="s">
        <v>116</v>
      </c>
      <c r="BL1008" s="549" t="s">
        <v>116</v>
      </c>
      <c r="BM1008" s="549" t="s">
        <v>709</v>
      </c>
      <c r="BN1008" s="549">
        <v>583</v>
      </c>
      <c r="BO1008" s="549" t="s">
        <v>709</v>
      </c>
      <c r="BP1008" s="549">
        <v>451</v>
      </c>
      <c r="BQ1008" s="549">
        <v>1148</v>
      </c>
      <c r="BR1008" s="549">
        <v>86</v>
      </c>
      <c r="BS1008" s="549">
        <v>55</v>
      </c>
      <c r="BT1008" s="549">
        <v>2</v>
      </c>
      <c r="BU1008" s="549" t="s">
        <v>709</v>
      </c>
      <c r="BV1008" s="549" t="s">
        <v>709</v>
      </c>
      <c r="BW1008" s="549">
        <v>2</v>
      </c>
      <c r="BX1008" s="549">
        <v>2</v>
      </c>
      <c r="BY1008" s="549" t="s">
        <v>709</v>
      </c>
      <c r="BZ1008" s="547" t="s">
        <v>709</v>
      </c>
      <c r="CA1008" s="484" t="s">
        <v>1022</v>
      </c>
      <c r="CB1008" s="547">
        <v>1006</v>
      </c>
      <c r="CC1008" s="1481" t="b">
        <v>1</v>
      </c>
      <c r="CD1008" t="str">
        <f>Table15[[#This Row],[Engineering Number]]&amp;Table15[[#This Row],[WO Number]]&amp;Table15[[#This Row],[Date Assigned to Designer]]&amp;Table15[[#This Row],[Date Completed]]</f>
        <v>RS108110119254483845135</v>
      </c>
    </row>
    <row r="1009" spans="1:82" customFormat="1" ht="15" customHeight="1" x14ac:dyDescent="0.25">
      <c r="A1009">
        <v>2024</v>
      </c>
      <c r="B1009" s="8" t="s">
        <v>4</v>
      </c>
      <c r="C1009" s="8" t="s">
        <v>5850</v>
      </c>
      <c r="D1009" s="8" t="s">
        <v>115</v>
      </c>
      <c r="E1009" s="8" t="s">
        <v>118</v>
      </c>
      <c r="F1009" s="8" t="s">
        <v>784</v>
      </c>
      <c r="G1009" s="8" t="s">
        <v>27</v>
      </c>
      <c r="H1009" s="8" t="s">
        <v>1681</v>
      </c>
      <c r="I1009" s="642">
        <v>45082</v>
      </c>
      <c r="J1009" s="18">
        <v>45169</v>
      </c>
      <c r="K1009" s="97">
        <v>45138</v>
      </c>
      <c r="L1009" s="16">
        <f>IF(ISTEXT(Table15[[#This Row],[Engineering Approved Design Date]]),Table15[[#This Row],[Date Completed]]-Table15[[#This Row],[Date Assigned to Designer]],Table15[[#This Row],[Engineering Approved Design Date]]-Table15[[#This Row],[Date Completed]])</f>
        <v>31</v>
      </c>
      <c r="N1009" s="642" t="s">
        <v>120</v>
      </c>
      <c r="O1009" s="1060">
        <v>45108</v>
      </c>
      <c r="P1009" s="1152" t="s">
        <v>739</v>
      </c>
      <c r="Q1009" s="340" t="s">
        <v>115</v>
      </c>
      <c r="R1009" s="1026" t="s">
        <v>115</v>
      </c>
      <c r="S1009" s="538"/>
      <c r="T1009" s="538"/>
      <c r="U1009" s="28"/>
      <c r="V1009" s="858"/>
      <c r="W1009" s="437"/>
      <c r="X1009" s="538"/>
      <c r="Y1009" s="550"/>
      <c r="Z1009" s="538"/>
      <c r="AA1009" s="552"/>
      <c r="AB1009" s="341" t="s">
        <v>29</v>
      </c>
      <c r="AC1009" s="568" t="s">
        <v>29</v>
      </c>
      <c r="AD1009" s="1157" t="s">
        <v>29</v>
      </c>
      <c r="AE1009" s="568" t="s">
        <v>756</v>
      </c>
      <c r="AF1009" s="568" t="s">
        <v>29</v>
      </c>
      <c r="AG1009" s="568" t="s">
        <v>29</v>
      </c>
      <c r="AH1009" s="183">
        <v>45163</v>
      </c>
      <c r="AI1009" s="1036"/>
      <c r="AJ1009" s="1037"/>
      <c r="AK1009" s="1037"/>
      <c r="AL1009" s="1038"/>
      <c r="AM1009" s="542" t="s">
        <v>709</v>
      </c>
      <c r="AN1009" s="924"/>
      <c r="AO1009" s="925"/>
      <c r="AP1009" s="926"/>
      <c r="AQ1009" s="926"/>
      <c r="AR1009" s="926"/>
      <c r="AS1009" s="926"/>
      <c r="AT1009" s="926"/>
      <c r="AU1009" s="926"/>
      <c r="AV1009" s="926"/>
      <c r="AW1009" s="927"/>
      <c r="AX1009" s="926"/>
      <c r="AY1009" s="1538" t="s">
        <v>29</v>
      </c>
      <c r="AZ1009" s="1530"/>
      <c r="BA1009" s="1031" t="s">
        <v>5851</v>
      </c>
      <c r="BB1009" s="648" t="s">
        <v>1071</v>
      </c>
      <c r="BC1009" s="544" t="s">
        <v>709</v>
      </c>
      <c r="BD1009" s="544" t="s">
        <v>1167</v>
      </c>
      <c r="BE1009" s="544" t="s">
        <v>2898</v>
      </c>
      <c r="BF1009" s="544" t="s">
        <v>709</v>
      </c>
      <c r="BG1009" s="544" t="s">
        <v>709</v>
      </c>
      <c r="BH1009" s="741"/>
      <c r="BI1009" s="1032"/>
      <c r="BJ1009" s="1032"/>
      <c r="BK1009" s="1032"/>
      <c r="BL1009" s="1032"/>
      <c r="BM1009" s="1032"/>
      <c r="BN1009" s="1032"/>
      <c r="BO1009" s="1032"/>
      <c r="BP1009" s="1032"/>
      <c r="BQ1009" s="1032"/>
      <c r="BR1009" s="1032"/>
      <c r="BS1009" s="1032"/>
      <c r="BT1009" s="1032"/>
      <c r="BU1009" s="1032"/>
      <c r="BV1009" s="1032"/>
      <c r="BW1009" s="1032"/>
      <c r="BX1009" s="1032"/>
      <c r="BY1009" s="1032"/>
      <c r="BZ1009" s="1032"/>
      <c r="CA1009" s="485" t="s">
        <v>915</v>
      </c>
      <c r="CB1009" s="547">
        <v>1007</v>
      </c>
      <c r="CC1009" s="1481" t="b">
        <v>1</v>
      </c>
      <c r="CD1009" t="str">
        <f>Table15[[#This Row],[Engineering Number]]&amp;Table15[[#This Row],[WO Number]]&amp;Table15[[#This Row],[Date Assigned to Designer]]&amp;Table15[[#This Row],[Date Completed]]</f>
        <v>N17085-4508245138</v>
      </c>
    </row>
    <row r="1010" spans="1:82" customFormat="1" ht="15" customHeight="1" x14ac:dyDescent="0.25">
      <c r="A1010">
        <v>2023</v>
      </c>
      <c r="B1010" s="8" t="s">
        <v>4</v>
      </c>
      <c r="C1010" s="8" t="s">
        <v>5840</v>
      </c>
      <c r="D1010" s="8" t="s">
        <v>115</v>
      </c>
      <c r="E1010" s="8" t="s">
        <v>118</v>
      </c>
      <c r="F1010" s="8" t="s">
        <v>5136</v>
      </c>
      <c r="G1010" s="8" t="s">
        <v>27</v>
      </c>
      <c r="H1010" s="647" t="s">
        <v>1903</v>
      </c>
      <c r="I1010" s="642">
        <v>45112</v>
      </c>
      <c r="J1010" s="18">
        <v>45184</v>
      </c>
      <c r="K1010" s="18">
        <v>45138</v>
      </c>
      <c r="L1010" s="16">
        <f>IF(ISTEXT(Table15[[#This Row],[Engineering Approved Design Date]]),Table15[[#This Row],[Date Completed]]-Table15[[#This Row],[Date Assigned to Designer]],Table15[[#This Row],[Engineering Approved Design Date]]-Table15[[#This Row],[Date Completed]])</f>
        <v>46</v>
      </c>
      <c r="M1010" s="642"/>
      <c r="N1010" s="642" t="s">
        <v>120</v>
      </c>
      <c r="O1010" s="1060">
        <v>45108</v>
      </c>
      <c r="P1010" s="1152" t="s">
        <v>739</v>
      </c>
      <c r="Q1010" s="340" t="s">
        <v>115</v>
      </c>
      <c r="R1010" s="1026" t="s">
        <v>115</v>
      </c>
      <c r="S1010" s="538"/>
      <c r="T1010" s="538"/>
      <c r="U1010" s="87"/>
      <c r="V1010" s="857"/>
      <c r="W1010" s="440"/>
      <c r="X1010" s="550"/>
      <c r="Y1010" s="550"/>
      <c r="Z1010" s="550"/>
      <c r="AA1010" s="552"/>
      <c r="AB1010" s="341" t="s">
        <v>29</v>
      </c>
      <c r="AC1010" s="568" t="s">
        <v>29</v>
      </c>
      <c r="AD1010" s="1157" t="s">
        <v>29</v>
      </c>
      <c r="AE1010" s="568" t="s">
        <v>756</v>
      </c>
      <c r="AF1010" s="568" t="s">
        <v>29</v>
      </c>
      <c r="AG1010" s="568" t="s">
        <v>29</v>
      </c>
      <c r="AH1010" s="183">
        <v>45163</v>
      </c>
      <c r="AI1010" s="1036"/>
      <c r="AJ1010" s="1037"/>
      <c r="AK1010" s="1037"/>
      <c r="AL1010" s="1038"/>
      <c r="AM1010" s="542" t="s">
        <v>709</v>
      </c>
      <c r="AN1010" s="924"/>
      <c r="AO1010" s="925"/>
      <c r="AP1010" s="926"/>
      <c r="AQ1010" s="926"/>
      <c r="AR1010" s="926"/>
      <c r="AS1010" s="926"/>
      <c r="AT1010" s="926"/>
      <c r="AU1010" s="926"/>
      <c r="AV1010" s="926"/>
      <c r="AW1010" s="927"/>
      <c r="AX1010" s="926"/>
      <c r="AY1010" s="1538" t="s">
        <v>29</v>
      </c>
      <c r="AZ1010" s="1530"/>
      <c r="BA1010" s="1031" t="s">
        <v>5841</v>
      </c>
      <c r="BB1010" s="644" t="s">
        <v>961</v>
      </c>
      <c r="BC1010" s="544" t="s">
        <v>709</v>
      </c>
      <c r="BD1010" s="544" t="s">
        <v>1167</v>
      </c>
      <c r="BE1010" s="544" t="s">
        <v>709</v>
      </c>
      <c r="BF1010" s="544" t="s">
        <v>709</v>
      </c>
      <c r="BG1010" s="544" t="s">
        <v>709</v>
      </c>
      <c r="BH1010" s="741"/>
      <c r="BI1010" s="1032"/>
      <c r="BJ1010" s="1032"/>
      <c r="BK1010" s="1032"/>
      <c r="BL1010" s="1032"/>
      <c r="BM1010" s="1032"/>
      <c r="BN1010" s="1032"/>
      <c r="BO1010" s="1032"/>
      <c r="BP1010" s="1032"/>
      <c r="BQ1010" s="1032"/>
      <c r="BR1010" s="1032"/>
      <c r="BS1010" s="1032"/>
      <c r="BT1010" s="1032"/>
      <c r="BU1010" s="1032"/>
      <c r="BV1010" s="1032"/>
      <c r="BW1010" s="1032"/>
      <c r="BX1010" s="1032"/>
      <c r="BY1010" s="1032"/>
      <c r="BZ1010" s="1032"/>
      <c r="CA1010" s="485" t="s">
        <v>915</v>
      </c>
      <c r="CB1010" s="547">
        <v>1008</v>
      </c>
      <c r="CC1010" s="1481" t="b">
        <v>1</v>
      </c>
      <c r="CD1010" t="str">
        <f>Table15[[#This Row],[Engineering Number]]&amp;Table15[[#This Row],[WO Number]]&amp;Table15[[#This Row],[Date Assigned to Designer]]&amp;Table15[[#This Row],[Date Completed]]</f>
        <v>N17137-4511245138</v>
      </c>
    </row>
    <row r="1011" spans="1:82" customFormat="1" ht="15" customHeight="1" x14ac:dyDescent="0.25">
      <c r="A1011">
        <v>2023</v>
      </c>
      <c r="B1011" s="8" t="s">
        <v>4</v>
      </c>
      <c r="C1011" s="8" t="s">
        <v>5843</v>
      </c>
      <c r="D1011" s="452" t="s">
        <v>5844</v>
      </c>
      <c r="E1011" s="654" t="s">
        <v>2114</v>
      </c>
      <c r="F1011" s="8" t="s">
        <v>784</v>
      </c>
      <c r="G1011" s="8" t="s">
        <v>26</v>
      </c>
      <c r="H1011" s="8" t="s">
        <v>59</v>
      </c>
      <c r="I1011" s="642">
        <v>45056</v>
      </c>
      <c r="J1011" s="1085">
        <v>45156</v>
      </c>
      <c r="K1011" s="175">
        <v>45138</v>
      </c>
      <c r="L1011" s="16">
        <f>IF(ISTEXT(Table15[[#This Row],[Engineering Approved Design Date]]),Table15[[#This Row],[Date Completed]]-Table15[[#This Row],[Date Assigned to Designer]],Table15[[#This Row],[Engineering Approved Design Date]]-Table15[[#This Row],[Date Completed]])</f>
        <v>18</v>
      </c>
      <c r="M1011" s="642"/>
      <c r="N1011" s="642" t="s">
        <v>120</v>
      </c>
      <c r="O1011" s="1060">
        <v>45139</v>
      </c>
      <c r="P1011" s="1152" t="s">
        <v>739</v>
      </c>
      <c r="Q1011" s="340">
        <f>Table15[[#This Row],[Rate]]*Table15[[#This Row],[Construction Cost to Bill From]]</f>
        <v>71812.311000000002</v>
      </c>
      <c r="R1011" s="1026">
        <v>0.1</v>
      </c>
      <c r="S1011" s="538"/>
      <c r="T1011" s="538"/>
      <c r="U1011" s="87"/>
      <c r="V1011" s="858">
        <v>2576</v>
      </c>
      <c r="W1011" s="437">
        <v>0</v>
      </c>
      <c r="X1011" s="552">
        <v>615850.37</v>
      </c>
      <c r="Y1011" s="551"/>
      <c r="Z1011" s="552">
        <v>102272.74</v>
      </c>
      <c r="AA1011" s="552">
        <f>SUM(Table15[[#This Row],[PCTS Investment Amount]:[PCTS Retirement Amount]])</f>
        <v>718123.11</v>
      </c>
      <c r="AB1011" s="341">
        <v>45140</v>
      </c>
      <c r="AC1011" s="568" t="s">
        <v>709</v>
      </c>
      <c r="AD1011" s="1157" t="s">
        <v>29</v>
      </c>
      <c r="AE1011" s="568" t="s">
        <v>29</v>
      </c>
      <c r="AF1011" s="568" t="s">
        <v>29</v>
      </c>
      <c r="AG1011" s="568" t="s">
        <v>29</v>
      </c>
      <c r="AH1011" s="183" t="s">
        <v>29</v>
      </c>
      <c r="AI1011" s="1036"/>
      <c r="AJ1011" s="1037"/>
      <c r="AK1011" s="1037"/>
      <c r="AL1011" s="1038"/>
      <c r="AM1011" s="1522" t="s">
        <v>116</v>
      </c>
      <c r="AN1011" s="1523">
        <v>45182</v>
      </c>
      <c r="AO1011" s="1524">
        <v>11071057</v>
      </c>
      <c r="AP1011" s="1525">
        <v>601788.6</v>
      </c>
      <c r="AQ1011" s="1525"/>
      <c r="AR1011" s="1525">
        <v>35718.129999999997</v>
      </c>
      <c r="AS1011" s="1525">
        <f>IF(Table15[[#This Row],[PCTS Approved]]="N",0,Table15[[#This Row],[Investment Amount (1'#'#'#'#'#)]]+Table15[[#This Row],[Retirement Amount (3'#'#'#'#'#)]])</f>
        <v>637506.73</v>
      </c>
      <c r="AT1011" s="1525">
        <f>IF(Table15[[#This Row],[Approved Construction Cost]]=0,0,Table15[[#This Row],[Approved Construction Cost]]-Table15[[#This Row],[Construction Cost to Bill From]])</f>
        <v>-80616.38</v>
      </c>
      <c r="AU1011" s="1525">
        <f>IFERROR(Table15[[#This Row],[Difference in Construction Cost]]*Table15[[#This Row],[Rate]],Table15[[#This Row],[Difference in Construction Cost]]*0.085)</f>
        <v>-8061.6380000000008</v>
      </c>
      <c r="AV1011" s="1525" t="s">
        <v>709</v>
      </c>
      <c r="AW1011" s="1526" t="s">
        <v>5845</v>
      </c>
      <c r="AX1011" s="1525">
        <v>-8061.6380000000008</v>
      </c>
      <c r="AY1011" s="1518">
        <v>45352</v>
      </c>
      <c r="AZ1011" s="333"/>
      <c r="BA1011" s="1076" t="s">
        <v>5846</v>
      </c>
      <c r="BB1011" s="644" t="s">
        <v>5411</v>
      </c>
      <c r="BC1011" s="664" t="s">
        <v>116</v>
      </c>
      <c r="BD1011" s="664" t="s">
        <v>788</v>
      </c>
      <c r="BE1011" s="664" t="s">
        <v>115</v>
      </c>
      <c r="BF1011" s="664" t="s">
        <v>3561</v>
      </c>
      <c r="BG1011" s="664" t="s">
        <v>5847</v>
      </c>
      <c r="BH1011" s="1170" t="s">
        <v>5848</v>
      </c>
      <c r="BI1011" s="1086" t="s">
        <v>709</v>
      </c>
      <c r="BJ1011" s="1086" t="s">
        <v>709</v>
      </c>
      <c r="BK1011" s="1086" t="s">
        <v>709</v>
      </c>
      <c r="BL1011" s="1086" t="s">
        <v>116</v>
      </c>
      <c r="BM1011" s="1086" t="s">
        <v>709</v>
      </c>
      <c r="BN1011" s="1086" t="s">
        <v>709</v>
      </c>
      <c r="BO1011" s="1086" t="s">
        <v>709</v>
      </c>
      <c r="BP1011" s="1086" t="s">
        <v>709</v>
      </c>
      <c r="BQ1011" s="1086" t="s">
        <v>709</v>
      </c>
      <c r="BR1011" s="1086">
        <v>1814</v>
      </c>
      <c r="BS1011" s="1086">
        <v>762</v>
      </c>
      <c r="BT1011" s="1086" t="s">
        <v>709</v>
      </c>
      <c r="BU1011" s="1086" t="s">
        <v>709</v>
      </c>
      <c r="BV1011" s="1086" t="s">
        <v>709</v>
      </c>
      <c r="BW1011" s="1086" t="s">
        <v>709</v>
      </c>
      <c r="BX1011" s="1086" t="s">
        <v>745</v>
      </c>
      <c r="BY1011" s="1086" t="s">
        <v>709</v>
      </c>
      <c r="BZ1011" s="547" t="s">
        <v>709</v>
      </c>
      <c r="CA1011" s="1087"/>
      <c r="CB1011" s="547">
        <v>1009</v>
      </c>
      <c r="CC1011" s="1481" t="b">
        <v>1</v>
      </c>
      <c r="CD1011" t="str">
        <f>Table15[[#This Row],[Engineering Number]]&amp;Table15[[#This Row],[WO Number]]&amp;Table15[[#This Row],[Date Assigned to Designer]]&amp;Table15[[#This Row],[Date Completed]]</f>
        <v>M1418212128834505645138</v>
      </c>
    </row>
    <row r="1012" spans="1:82" customFormat="1" ht="15" customHeight="1" x14ac:dyDescent="0.25">
      <c r="A1012">
        <v>2023</v>
      </c>
      <c r="B1012" s="8" t="s">
        <v>771</v>
      </c>
      <c r="C1012" s="8" t="s">
        <v>5382</v>
      </c>
      <c r="D1012" s="8">
        <v>1412111</v>
      </c>
      <c r="E1012" s="8" t="s">
        <v>141</v>
      </c>
      <c r="F1012" s="8" t="s">
        <v>747</v>
      </c>
      <c r="G1012" s="8" t="s">
        <v>36</v>
      </c>
      <c r="H1012" s="8" t="s">
        <v>3178</v>
      </c>
      <c r="I1012" s="642">
        <v>45048</v>
      </c>
      <c r="J1012" s="175" t="s">
        <v>2052</v>
      </c>
      <c r="K1012" s="97">
        <v>45139</v>
      </c>
      <c r="L1012" s="16">
        <f>IF(ISTEXT(Table15[[#This Row],[Engineering Approved Design Date]]),Table15[[#This Row],[Date Completed]]-Table15[[#This Row],[Date Assigned to Designer]],Table15[[#This Row],[Engineering Approved Design Date]]-Table15[[#This Row],[Date Completed]])</f>
        <v>91</v>
      </c>
      <c r="M1012" s="16" t="s">
        <v>5853</v>
      </c>
      <c r="N1012" s="642" t="s">
        <v>120</v>
      </c>
      <c r="O1012" s="1060">
        <v>45139</v>
      </c>
      <c r="P1012" s="1152" t="s">
        <v>120</v>
      </c>
      <c r="Q1012" s="1061">
        <f>Table15[[#This Row],[KH Hourly Effort]]</f>
        <v>9230</v>
      </c>
      <c r="R1012" s="1039" t="s">
        <v>1922</v>
      </c>
      <c r="S1012" s="538">
        <v>0</v>
      </c>
      <c r="T1012" s="538">
        <v>0</v>
      </c>
      <c r="U1012" s="1073">
        <v>9230</v>
      </c>
      <c r="V1012" s="857">
        <v>1083</v>
      </c>
      <c r="W1012" s="440">
        <v>0</v>
      </c>
      <c r="X1012" s="538"/>
      <c r="Y1012" s="551"/>
      <c r="Z1012" s="538"/>
      <c r="AA1012" s="552"/>
      <c r="AB1012" s="341" t="s">
        <v>29</v>
      </c>
      <c r="AC1012" s="569" t="s">
        <v>29</v>
      </c>
      <c r="AD1012" s="1149" t="s">
        <v>29</v>
      </c>
      <c r="AE1012" s="569" t="s">
        <v>116</v>
      </c>
      <c r="AF1012" s="569" t="s">
        <v>116</v>
      </c>
      <c r="AG1012" s="569" t="s">
        <v>29</v>
      </c>
      <c r="AH1012" s="536" t="s">
        <v>29</v>
      </c>
      <c r="AI1012" s="1028"/>
      <c r="AJ1012" s="1029"/>
      <c r="AK1012" s="1029"/>
      <c r="AL1012" s="1030"/>
      <c r="AM1012" s="542" t="s">
        <v>709</v>
      </c>
      <c r="AN1012" s="924"/>
      <c r="AO1012" s="925"/>
      <c r="AP1012" s="926"/>
      <c r="AQ1012" s="926"/>
      <c r="AR1012" s="926"/>
      <c r="AS1012" s="926"/>
      <c r="AT1012" s="926"/>
      <c r="AU1012" s="926"/>
      <c r="AV1012" s="926"/>
      <c r="AW1012" s="927"/>
      <c r="AX1012" s="926"/>
      <c r="AY1012" s="1538" t="s">
        <v>29</v>
      </c>
      <c r="AZ1012" s="1530"/>
      <c r="BA1012" s="1031">
        <v>2</v>
      </c>
      <c r="BB1012" s="644" t="s">
        <v>709</v>
      </c>
      <c r="BC1012" s="544"/>
      <c r="BD1012" s="544"/>
      <c r="BE1012" s="544"/>
      <c r="BF1012" s="544"/>
      <c r="BG1012" s="544"/>
      <c r="BH1012" s="741"/>
      <c r="BI1012" s="547" t="s">
        <v>709</v>
      </c>
      <c r="BJ1012" s="547" t="s">
        <v>709</v>
      </c>
      <c r="BK1012" s="547" t="s">
        <v>709</v>
      </c>
      <c r="BL1012" s="547" t="s">
        <v>116</v>
      </c>
      <c r="BM1012" s="547" t="s">
        <v>709</v>
      </c>
      <c r="BN1012" s="547" t="s">
        <v>709</v>
      </c>
      <c r="BO1012" s="547" t="s">
        <v>709</v>
      </c>
      <c r="BP1012" s="547">
        <v>361</v>
      </c>
      <c r="BQ1012" s="547">
        <v>595</v>
      </c>
      <c r="BR1012" s="547" t="s">
        <v>709</v>
      </c>
      <c r="BS1012" s="547">
        <v>127</v>
      </c>
      <c r="BT1012" s="547" t="s">
        <v>709</v>
      </c>
      <c r="BU1012" s="547" t="s">
        <v>709</v>
      </c>
      <c r="BV1012" s="547" t="s">
        <v>709</v>
      </c>
      <c r="BW1012" s="547" t="s">
        <v>709</v>
      </c>
      <c r="BX1012" s="547" t="s">
        <v>745</v>
      </c>
      <c r="BY1012" s="547" t="s">
        <v>709</v>
      </c>
      <c r="BZ1012" s="547" t="s">
        <v>709</v>
      </c>
      <c r="CA1012" s="483"/>
      <c r="CB1012" s="547">
        <v>1010</v>
      </c>
      <c r="CC1012" s="1481" t="b">
        <v>1</v>
      </c>
      <c r="CD1012" t="str">
        <f>Table15[[#This Row],[Engineering Number]]&amp;Table15[[#This Row],[WO Number]]&amp;Table15[[#This Row],[Date Assigned to Designer]]&amp;Table15[[#This Row],[Date Completed]]</f>
        <v>VW84-1A14121114504845139</v>
      </c>
    </row>
    <row r="1013" spans="1:82" customFormat="1" ht="15" customHeight="1" x14ac:dyDescent="0.25">
      <c r="A1013">
        <v>2023</v>
      </c>
      <c r="B1013" s="8" t="s">
        <v>4</v>
      </c>
      <c r="C1013" s="8" t="s">
        <v>3159</v>
      </c>
      <c r="D1013" s="8" t="s">
        <v>3160</v>
      </c>
      <c r="E1013" s="8" t="s">
        <v>393</v>
      </c>
      <c r="F1013" s="8" t="s">
        <v>784</v>
      </c>
      <c r="G1013" s="8" t="s">
        <v>5855</v>
      </c>
      <c r="H1013" s="1056" t="s">
        <v>3759</v>
      </c>
      <c r="I1013" s="642">
        <v>45127</v>
      </c>
      <c r="J1013" s="175" t="s">
        <v>2724</v>
      </c>
      <c r="K1013" s="97">
        <v>45140</v>
      </c>
      <c r="L1013" s="16">
        <f>IF(ISTEXT(Table15[[#This Row],[Engineering Approved Design Date]]),Table15[[#This Row],[Date Completed]]-Table15[[#This Row],[Date Assigned to Designer]],Table15[[#This Row],[Engineering Approved Design Date]]-Table15[[#This Row],[Date Completed]])</f>
        <v>13</v>
      </c>
      <c r="M1013" s="16" t="s">
        <v>5856</v>
      </c>
      <c r="N1013" s="642" t="s">
        <v>120</v>
      </c>
      <c r="O1013" s="1060">
        <v>45200</v>
      </c>
      <c r="P1013" s="1152" t="s">
        <v>120</v>
      </c>
      <c r="Q1013" s="1061">
        <f>Table15[[#This Row],[KH Hourly Effort]]</f>
        <v>8245</v>
      </c>
      <c r="R1013" s="1039" t="s">
        <v>1922</v>
      </c>
      <c r="S1013" s="538">
        <v>0</v>
      </c>
      <c r="T1013" s="538">
        <v>0</v>
      </c>
      <c r="U1013" s="1078">
        <v>8245</v>
      </c>
      <c r="V1013" s="857">
        <v>5379</v>
      </c>
      <c r="W1013" s="440">
        <v>0</v>
      </c>
      <c r="X1013" s="538"/>
      <c r="Y1013" s="551"/>
      <c r="Z1013" s="538"/>
      <c r="AA1013" s="552"/>
      <c r="AB1013" s="341" t="s">
        <v>29</v>
      </c>
      <c r="AC1013" s="569" t="s">
        <v>29</v>
      </c>
      <c r="AD1013" s="1149" t="s">
        <v>29</v>
      </c>
      <c r="AE1013" s="568" t="s">
        <v>756</v>
      </c>
      <c r="AF1013" s="569" t="s">
        <v>756</v>
      </c>
      <c r="AG1013" s="569" t="s">
        <v>29</v>
      </c>
      <c r="AH1013" s="569" t="s">
        <v>29</v>
      </c>
      <c r="AI1013" s="1096"/>
      <c r="AJ1013" s="1097"/>
      <c r="AK1013" s="1097"/>
      <c r="AL1013" s="1030"/>
      <c r="AM1013" s="542" t="s">
        <v>709</v>
      </c>
      <c r="AN1013" s="924"/>
      <c r="AO1013" s="925"/>
      <c r="AP1013" s="926"/>
      <c r="AQ1013" s="926"/>
      <c r="AR1013" s="926"/>
      <c r="AS1013" s="926"/>
      <c r="AT1013" s="926"/>
      <c r="AU1013" s="926"/>
      <c r="AV1013" s="926"/>
      <c r="AW1013" s="927"/>
      <c r="AX1013" s="926"/>
      <c r="AY1013" s="1538" t="s">
        <v>29</v>
      </c>
      <c r="AZ1013" s="1530"/>
      <c r="BA1013" s="1031">
        <v>7</v>
      </c>
      <c r="BB1013" s="644" t="s">
        <v>709</v>
      </c>
      <c r="BC1013" s="544"/>
      <c r="BD1013" s="544"/>
      <c r="BE1013" s="544"/>
      <c r="BF1013" s="544"/>
      <c r="BG1013" s="544"/>
      <c r="BH1013" s="741"/>
      <c r="BI1013" s="547" t="s">
        <v>709</v>
      </c>
      <c r="BJ1013" s="547" t="s">
        <v>709</v>
      </c>
      <c r="BK1013" s="547" t="s">
        <v>709</v>
      </c>
      <c r="BL1013" s="547" t="s">
        <v>116</v>
      </c>
      <c r="BM1013" s="547">
        <v>55</v>
      </c>
      <c r="BN1013" s="547">
        <v>4125</v>
      </c>
      <c r="BO1013" s="547" t="s">
        <v>709</v>
      </c>
      <c r="BP1013" s="547" t="s">
        <v>709</v>
      </c>
      <c r="BQ1013" s="547">
        <v>93</v>
      </c>
      <c r="BR1013" s="547">
        <v>367</v>
      </c>
      <c r="BS1013" s="547">
        <v>630</v>
      </c>
      <c r="BT1013" s="547" t="s">
        <v>709</v>
      </c>
      <c r="BU1013" s="547" t="s">
        <v>709</v>
      </c>
      <c r="BV1013" s="547" t="s">
        <v>709</v>
      </c>
      <c r="BW1013" s="547" t="s">
        <v>709</v>
      </c>
      <c r="BX1013" s="547" t="s">
        <v>745</v>
      </c>
      <c r="BY1013" s="547" t="s">
        <v>709</v>
      </c>
      <c r="BZ1013" s="547" t="s">
        <v>709</v>
      </c>
      <c r="CA1013" s="483"/>
      <c r="CB1013" s="547">
        <v>1011</v>
      </c>
      <c r="CC1013" s="1481" t="b">
        <v>1</v>
      </c>
      <c r="CD1013" t="str">
        <f>Table15[[#This Row],[Engineering Number]]&amp;Table15[[#This Row],[WO Number]]&amp;Table15[[#This Row],[Date Assigned to Designer]]&amp;Table15[[#This Row],[Date Completed]]</f>
        <v>N133361292784512745140</v>
      </c>
    </row>
    <row r="1014" spans="1:82" customFormat="1" ht="15" customHeight="1" x14ac:dyDescent="0.25">
      <c r="A1014">
        <v>2023</v>
      </c>
      <c r="B1014" s="8" t="s">
        <v>4</v>
      </c>
      <c r="C1014" s="8" t="s">
        <v>5858</v>
      </c>
      <c r="D1014" s="8" t="s">
        <v>5859</v>
      </c>
      <c r="E1014" s="8" t="s">
        <v>232</v>
      </c>
      <c r="F1014" s="8" t="s">
        <v>747</v>
      </c>
      <c r="G1014" s="8" t="s">
        <v>23</v>
      </c>
      <c r="H1014" s="13" t="s">
        <v>59</v>
      </c>
      <c r="I1014" s="642">
        <v>45020</v>
      </c>
      <c r="J1014" s="18">
        <v>45142</v>
      </c>
      <c r="K1014" s="175">
        <v>45141</v>
      </c>
      <c r="L1014" s="649">
        <f>IF(ISTEXT(Table15[[#This Row],[Engineering Approved Design Date]]),Table15[[#This Row],[Date Completed]]-Table15[[#This Row],[Date Assigned to Designer]],Table15[[#This Row],[Engineering Approved Design Date]]-Table15[[#This Row],[Date Completed]])</f>
        <v>1</v>
      </c>
      <c r="M1014" s="642"/>
      <c r="N1014" s="642" t="s">
        <v>120</v>
      </c>
      <c r="O1014" s="1060">
        <v>45139</v>
      </c>
      <c r="P1014" s="1152" t="s">
        <v>739</v>
      </c>
      <c r="Q1014" s="340">
        <f>Table15[[#This Row],[Rate]]*Table15[[#This Row],[Construction Cost to Bill From]]</f>
        <v>40928.18</v>
      </c>
      <c r="R1014" s="1026">
        <v>0.1</v>
      </c>
      <c r="S1014" s="538"/>
      <c r="T1014" s="538"/>
      <c r="U1014" s="87"/>
      <c r="V1014" s="858">
        <v>273</v>
      </c>
      <c r="W1014" s="437"/>
      <c r="X1014" s="552">
        <v>331458.46999999997</v>
      </c>
      <c r="Y1014" s="551"/>
      <c r="Z1014" s="552">
        <v>77823.33</v>
      </c>
      <c r="AA1014" s="552">
        <f>SUM(Table15[[#This Row],[PCTS Investment Amount]:[PCTS Retirement Amount]])</f>
        <v>409281.8</v>
      </c>
      <c r="AB1014" s="341">
        <v>45155</v>
      </c>
      <c r="AC1014" s="568" t="s">
        <v>709</v>
      </c>
      <c r="AD1014" s="1157" t="s">
        <v>29</v>
      </c>
      <c r="AE1014" s="568" t="s">
        <v>116</v>
      </c>
      <c r="AF1014" s="568" t="s">
        <v>29</v>
      </c>
      <c r="AG1014" s="568" t="s">
        <v>116</v>
      </c>
      <c r="AH1014" s="183">
        <v>45163</v>
      </c>
      <c r="AI1014" s="1036"/>
      <c r="AJ1014" s="1037"/>
      <c r="AK1014" s="1037"/>
      <c r="AL1014" s="1038"/>
      <c r="AM1014" s="1522" t="s">
        <v>116</v>
      </c>
      <c r="AN1014" s="1523">
        <v>45188</v>
      </c>
      <c r="AO1014" s="1524">
        <v>11071368</v>
      </c>
      <c r="AP1014" s="1525">
        <v>331473.13</v>
      </c>
      <c r="AQ1014" s="1525"/>
      <c r="AR1014" s="1525">
        <v>77823.33</v>
      </c>
      <c r="AS1014" s="1525">
        <f>IF(Table15[[#This Row],[PCTS Approved]]="N",0,Table15[[#This Row],[Investment Amount (1'#'#'#'#'#)]]+Table15[[#This Row],[Retirement Amount (3'#'#'#'#'#)]])</f>
        <v>409296.46</v>
      </c>
      <c r="AT1014" s="1525">
        <f>IF(Table15[[#This Row],[Approved Construction Cost]]=0,0,Table15[[#This Row],[Approved Construction Cost]]-Table15[[#This Row],[Construction Cost to Bill From]])</f>
        <v>14.660000000032596</v>
      </c>
      <c r="AU1014" s="1525">
        <f>IFERROR(Table15[[#This Row],[Difference in Construction Cost]]*Table15[[#This Row],[Rate]],Table15[[#This Row],[Difference in Construction Cost]]*0.085)</f>
        <v>1.4660000000032598</v>
      </c>
      <c r="AV1014" s="1525" t="s">
        <v>709</v>
      </c>
      <c r="AW1014" s="1526"/>
      <c r="AX1014" s="1525">
        <v>1.4660000000032598</v>
      </c>
      <c r="AY1014" s="1518">
        <v>45352</v>
      </c>
      <c r="AZ1014" s="1532"/>
      <c r="BA1014" s="859" t="s">
        <v>5860</v>
      </c>
      <c r="BB1014" s="644" t="s">
        <v>1045</v>
      </c>
      <c r="BC1014" s="544" t="s">
        <v>116</v>
      </c>
      <c r="BD1014" s="544" t="s">
        <v>115</v>
      </c>
      <c r="BE1014" s="544" t="s">
        <v>595</v>
      </c>
      <c r="BF1014" s="544" t="s">
        <v>115</v>
      </c>
      <c r="BG1014" s="548" t="s">
        <v>115</v>
      </c>
      <c r="BH1014" s="749" t="s">
        <v>5861</v>
      </c>
      <c r="BI1014" s="547" t="s">
        <v>709</v>
      </c>
      <c r="BJ1014" s="547" t="s">
        <v>709</v>
      </c>
      <c r="BK1014" s="547" t="s">
        <v>709</v>
      </c>
      <c r="BL1014" s="547" t="s">
        <v>116</v>
      </c>
      <c r="BM1014" s="547" t="s">
        <v>709</v>
      </c>
      <c r="BN1014" s="547" t="s">
        <v>709</v>
      </c>
      <c r="BO1014" s="547" t="s">
        <v>709</v>
      </c>
      <c r="BP1014" s="547">
        <v>192</v>
      </c>
      <c r="BQ1014" s="547" t="s">
        <v>709</v>
      </c>
      <c r="BR1014" s="547" t="s">
        <v>709</v>
      </c>
      <c r="BS1014" s="547">
        <v>81</v>
      </c>
      <c r="BT1014" s="547" t="s">
        <v>709</v>
      </c>
      <c r="BU1014" s="547" t="s">
        <v>709</v>
      </c>
      <c r="BV1014" s="547" t="s">
        <v>709</v>
      </c>
      <c r="BW1014" s="547" t="s">
        <v>709</v>
      </c>
      <c r="BX1014" s="547" t="s">
        <v>745</v>
      </c>
      <c r="BY1014" s="547" t="s">
        <v>709</v>
      </c>
      <c r="BZ1014" s="547" t="s">
        <v>709</v>
      </c>
      <c r="CA1014" s="483"/>
      <c r="CB1014" s="547">
        <v>1012</v>
      </c>
      <c r="CC1014" s="1481" t="b">
        <v>1</v>
      </c>
      <c r="CD1014" t="str">
        <f>Table15[[#This Row],[Engineering Number]]&amp;Table15[[#This Row],[WO Number]]&amp;Table15[[#This Row],[Date Assigned to Designer]]&amp;Table15[[#This Row],[Date Completed]]</f>
        <v>SC2255914128474502045141</v>
      </c>
    </row>
    <row r="1015" spans="1:82" customFormat="1" ht="15" customHeight="1" x14ac:dyDescent="0.25">
      <c r="A1015" s="13">
        <v>2023</v>
      </c>
      <c r="B1015" s="13" t="s">
        <v>759</v>
      </c>
      <c r="C1015" s="13" t="s">
        <v>224</v>
      </c>
      <c r="D1015" s="13">
        <v>102083</v>
      </c>
      <c r="E1015" s="13" t="s">
        <v>225</v>
      </c>
      <c r="F1015" s="452" t="s">
        <v>752</v>
      </c>
      <c r="G1015" s="13" t="s">
        <v>34</v>
      </c>
      <c r="H1015" s="13" t="s">
        <v>59</v>
      </c>
      <c r="I1015" s="642">
        <v>44965</v>
      </c>
      <c r="J1015" s="18">
        <v>45142</v>
      </c>
      <c r="K1015" s="175">
        <v>45142</v>
      </c>
      <c r="L1015" s="649">
        <f>IF(ISTEXT(Table15[[#This Row],[Engineering Approved Design Date]]),Table15[[#This Row],[Date Completed]]-Table15[[#This Row],[Date Assigned to Designer]],Table15[[#This Row],[Engineering Approved Design Date]]-Table15[[#This Row],[Date Completed]])</f>
        <v>0</v>
      </c>
      <c r="N1015" s="642" t="s">
        <v>120</v>
      </c>
      <c r="O1015" s="1059">
        <v>45170</v>
      </c>
      <c r="P1015" s="1152" t="s">
        <v>120</v>
      </c>
      <c r="Q1015" s="340">
        <f>Table15[[#This Row],[Rate]]*Table15[[#This Row],[Construction Cost to Bill From]]</f>
        <v>150646.77649999998</v>
      </c>
      <c r="R1015" s="1039">
        <v>0.11</v>
      </c>
      <c r="S1015" s="538"/>
      <c r="T1015" s="538"/>
      <c r="U1015" s="28"/>
      <c r="V1015" s="1190">
        <v>776</v>
      </c>
      <c r="W1015" s="442">
        <v>1</v>
      </c>
      <c r="X1015" s="552">
        <v>1256808.9099999999</v>
      </c>
      <c r="Y1015" s="550"/>
      <c r="Z1015" s="552">
        <v>112707.24</v>
      </c>
      <c r="AA1015" s="552">
        <f>SUM(Table15[[#This Row],[PCTS Investment Amount]:[PCTS Retirement Amount]])</f>
        <v>1369516.15</v>
      </c>
      <c r="AB1015" s="476">
        <v>45166</v>
      </c>
      <c r="AC1015" s="576" t="s">
        <v>1441</v>
      </c>
      <c r="AD1015" s="1158" t="s">
        <v>29</v>
      </c>
      <c r="AE1015" s="568" t="s">
        <v>116</v>
      </c>
      <c r="AF1015" s="568" t="s">
        <v>756</v>
      </c>
      <c r="AG1015" s="568" t="s">
        <v>116</v>
      </c>
      <c r="AH1015" s="183" t="s">
        <v>116</v>
      </c>
      <c r="AI1015" s="1047"/>
      <c r="AJ1015" s="1048"/>
      <c r="AK1015" s="1048"/>
      <c r="AL1015" s="1049"/>
      <c r="AM1015" s="536" t="s">
        <v>116</v>
      </c>
      <c r="AN1015" s="903" t="s">
        <v>709</v>
      </c>
      <c r="AO1015" s="1536">
        <v>11015976</v>
      </c>
      <c r="AP1015" s="1537"/>
      <c r="AQ1015" s="1537"/>
      <c r="AR1015" s="1537"/>
      <c r="AS1015" s="888">
        <f>IF(Table15[[#This Row],[PCTS Approved]]="N",0,Table15[[#This Row],[Investment Amount (1'#'#'#'#'#)]]+Table15[[#This Row],[Retirement Amount (3'#'#'#'#'#)]])</f>
        <v>0</v>
      </c>
      <c r="AT1015" s="888">
        <f>IF(Table15[[#This Row],[Approved Construction Cost]]=0,0,Table15[[#This Row],[Approved Construction Cost]]-Table15[[#This Row],[Construction Cost to Bill From]])</f>
        <v>0</v>
      </c>
      <c r="AU1015" s="888">
        <f>IFERROR(Table15[[#This Row],[Difference in Construction Cost]]*Table15[[#This Row],[Rate]],Table15[[#This Row],[Difference in Construction Cost]]*0.085)</f>
        <v>0</v>
      </c>
      <c r="AV1015" s="905"/>
      <c r="AW1015" s="1509"/>
      <c r="AX1015" s="888"/>
      <c r="AY1015" s="636" t="s">
        <v>709</v>
      </c>
      <c r="AZ1015" s="333">
        <v>158</v>
      </c>
      <c r="BA1015" s="859" t="s">
        <v>1613</v>
      </c>
      <c r="BB1015" s="543" t="s">
        <v>1614</v>
      </c>
      <c r="BC1015" s="544" t="s">
        <v>116</v>
      </c>
      <c r="BD1015" s="544" t="s">
        <v>1066</v>
      </c>
      <c r="BE1015" s="544" t="s">
        <v>115</v>
      </c>
      <c r="BF1015" s="544" t="s">
        <v>115</v>
      </c>
      <c r="BG1015" s="544" t="s">
        <v>115</v>
      </c>
      <c r="BH1015" s="741" t="s">
        <v>1273</v>
      </c>
      <c r="BI1015" s="547" t="s">
        <v>709</v>
      </c>
      <c r="BJ1015" s="547" t="s">
        <v>709</v>
      </c>
      <c r="BK1015" s="547" t="s">
        <v>709</v>
      </c>
      <c r="BL1015" s="547" t="s">
        <v>116</v>
      </c>
      <c r="BM1015" s="547" t="s">
        <v>709</v>
      </c>
      <c r="BN1015" s="547" t="s">
        <v>709</v>
      </c>
      <c r="BO1015" s="547" t="s">
        <v>709</v>
      </c>
      <c r="BP1015" s="547">
        <v>547</v>
      </c>
      <c r="BQ1015" s="547">
        <v>41</v>
      </c>
      <c r="BR1015" s="547">
        <v>73</v>
      </c>
      <c r="BS1015" s="547">
        <v>25</v>
      </c>
      <c r="BT1015" s="547">
        <v>1</v>
      </c>
      <c r="BU1015" s="547" t="s">
        <v>709</v>
      </c>
      <c r="BV1015" s="547" t="s">
        <v>745</v>
      </c>
      <c r="BW1015" s="547">
        <v>1</v>
      </c>
      <c r="BX1015" s="547" t="s">
        <v>709</v>
      </c>
      <c r="BY1015" s="547" t="s">
        <v>745</v>
      </c>
      <c r="BZ1015" s="547" t="s">
        <v>709</v>
      </c>
      <c r="CA1015" s="483" t="s">
        <v>1022</v>
      </c>
      <c r="CB1015" s="547">
        <v>1013</v>
      </c>
      <c r="CC1015" s="1481" t="b">
        <v>1</v>
      </c>
      <c r="CD1015" t="str">
        <f>Table15[[#This Row],[Engineering Number]]&amp;Table15[[#This Row],[WO Number]]&amp;Table15[[#This Row],[Date Assigned to Designer]]&amp;Table15[[#This Row],[Date Completed]]</f>
        <v>RS5001020834496545142</v>
      </c>
    </row>
    <row r="1016" spans="1:82" customFormat="1" ht="15" customHeight="1" x14ac:dyDescent="0.25">
      <c r="A1016">
        <v>2023</v>
      </c>
      <c r="B1016" s="8" t="s">
        <v>4</v>
      </c>
      <c r="C1016" s="8" t="s">
        <v>1608</v>
      </c>
      <c r="D1016" s="8" t="s">
        <v>1609</v>
      </c>
      <c r="E1016" s="8" t="s">
        <v>232</v>
      </c>
      <c r="F1016" s="8" t="s">
        <v>747</v>
      </c>
      <c r="G1016" s="8" t="s">
        <v>33</v>
      </c>
      <c r="H1016" s="13" t="s">
        <v>59</v>
      </c>
      <c r="I1016" s="642">
        <v>44977</v>
      </c>
      <c r="J1016" s="18">
        <v>45142</v>
      </c>
      <c r="K1016" s="175">
        <v>45142</v>
      </c>
      <c r="L1016" s="649">
        <f>IF(ISTEXT(Table15[[#This Row],[Engineering Approved Design Date]]),Table15[[#This Row],[Date Completed]]-Table15[[#This Row],[Date Assigned to Designer]],Table15[[#This Row],[Engineering Approved Design Date]]-Table15[[#This Row],[Date Completed]])</f>
        <v>0</v>
      </c>
      <c r="M1016" s="642" t="s">
        <v>1610</v>
      </c>
      <c r="N1016" s="642" t="s">
        <v>120</v>
      </c>
      <c r="O1016" s="1060">
        <v>45200</v>
      </c>
      <c r="P1016" s="1152" t="s">
        <v>739</v>
      </c>
      <c r="Q1016" s="340">
        <f>Table15[[#This Row],[Rate]]*Table15[[#This Row],[Construction Cost to Bill From]]</f>
        <v>24659.753000000001</v>
      </c>
      <c r="R1016" s="1026">
        <v>0.1</v>
      </c>
      <c r="S1016" s="538"/>
      <c r="T1016" s="538"/>
      <c r="U1016" s="87"/>
      <c r="V1016" s="858">
        <v>905</v>
      </c>
      <c r="W1016" s="437">
        <v>0</v>
      </c>
      <c r="X1016" s="552">
        <v>213292.88</v>
      </c>
      <c r="Y1016" s="551"/>
      <c r="Z1016" s="552">
        <v>33304.65</v>
      </c>
      <c r="AA1016" s="552">
        <f>SUM(Table15[[#This Row],[PCTS Investment Amount]:[PCTS Retirement Amount]])</f>
        <v>246597.53</v>
      </c>
      <c r="AB1016" s="341">
        <v>45026</v>
      </c>
      <c r="AC1016" s="568" t="s">
        <v>709</v>
      </c>
      <c r="AD1016" s="1157" t="s">
        <v>29</v>
      </c>
      <c r="AE1016" s="568" t="s">
        <v>756</v>
      </c>
      <c r="AF1016" s="568" t="s">
        <v>29</v>
      </c>
      <c r="AG1016" s="568" t="s">
        <v>29</v>
      </c>
      <c r="AH1016" s="183" t="s">
        <v>29</v>
      </c>
      <c r="AI1016" s="1036"/>
      <c r="AJ1016" s="1037"/>
      <c r="AK1016" s="1037"/>
      <c r="AL1016" s="1038"/>
      <c r="AM1016" s="1522" t="s">
        <v>116</v>
      </c>
      <c r="AN1016" s="1523">
        <v>45496</v>
      </c>
      <c r="AO1016" s="1524">
        <v>11086823</v>
      </c>
      <c r="AP1016" s="1525">
        <v>156209.79</v>
      </c>
      <c r="AQ1016" s="1525"/>
      <c r="AR1016" s="1525">
        <v>26312.77</v>
      </c>
      <c r="AS1016" s="1525">
        <f>IF(Table15[[#This Row],[PCTS Approved]]="N",0,Table15[[#This Row],[Investment Amount (1'#'#'#'#'#)]]+Table15[[#This Row],[Retirement Amount (3'#'#'#'#'#)]])</f>
        <v>182522.56</v>
      </c>
      <c r="AT1016" s="1525">
        <f>IF(Table15[[#This Row],[Approved Construction Cost]]=0,0,Table15[[#This Row],[Approved Construction Cost]]-Table15[[#This Row],[Construction Cost to Bill From]])</f>
        <v>-64074.97</v>
      </c>
      <c r="AU1016" s="1525">
        <f>IFERROR(Table15[[#This Row],[Difference in Construction Cost]]*Table15[[#This Row],[Rate]],Table15[[#This Row],[Difference in Construction Cost]]*0.085)</f>
        <v>-6407.4970000000003</v>
      </c>
      <c r="AV1016" s="1525">
        <v>7367.5</v>
      </c>
      <c r="AW1016" s="1526" t="s">
        <v>5864</v>
      </c>
      <c r="AX1016" s="1525">
        <v>0</v>
      </c>
      <c r="AY1016" s="1518">
        <v>45901</v>
      </c>
      <c r="AZ1016" s="333">
        <v>93</v>
      </c>
      <c r="BA1016" s="859" t="s">
        <v>1611</v>
      </c>
      <c r="BB1016" s="644" t="s">
        <v>1045</v>
      </c>
      <c r="BC1016" s="544" t="s">
        <v>709</v>
      </c>
      <c r="BD1016" s="544" t="s">
        <v>1092</v>
      </c>
      <c r="BE1016" s="544" t="s">
        <v>595</v>
      </c>
      <c r="BF1016" s="544" t="s">
        <v>595</v>
      </c>
      <c r="BG1016" s="548" t="s">
        <v>709</v>
      </c>
      <c r="BH1016" s="749" t="s">
        <v>1612</v>
      </c>
      <c r="BI1016" s="547" t="s">
        <v>709</v>
      </c>
      <c r="BJ1016" s="547" t="s">
        <v>709</v>
      </c>
      <c r="BK1016" s="547" t="s">
        <v>709</v>
      </c>
      <c r="BL1016" s="547" t="s">
        <v>116</v>
      </c>
      <c r="BM1016" s="547" t="s">
        <v>709</v>
      </c>
      <c r="BN1016" s="547" t="s">
        <v>709</v>
      </c>
      <c r="BO1016" s="547" t="s">
        <v>709</v>
      </c>
      <c r="BP1016" s="547" t="s">
        <v>709</v>
      </c>
      <c r="BQ1016" s="547" t="s">
        <v>709</v>
      </c>
      <c r="BR1016" s="547">
        <v>535</v>
      </c>
      <c r="BS1016" s="547">
        <v>370</v>
      </c>
      <c r="BT1016" s="547" t="s">
        <v>709</v>
      </c>
      <c r="BU1016" s="547" t="s">
        <v>709</v>
      </c>
      <c r="BV1016" s="547" t="s">
        <v>709</v>
      </c>
      <c r="BW1016" s="547" t="s">
        <v>709</v>
      </c>
      <c r="BX1016" s="547" t="s">
        <v>745</v>
      </c>
      <c r="BY1016" s="547" t="s">
        <v>709</v>
      </c>
      <c r="BZ1016" s="547" t="s">
        <v>709</v>
      </c>
      <c r="CA1016" s="483"/>
      <c r="CB1016" s="547">
        <v>1014</v>
      </c>
      <c r="CC1016" s="1481" t="b">
        <v>1</v>
      </c>
      <c r="CD1016" t="str">
        <f>Table15[[#This Row],[Engineering Number]]&amp;Table15[[#This Row],[WO Number]]&amp;Table15[[#This Row],[Date Assigned to Designer]]&amp;Table15[[#This Row],[Date Completed]]</f>
        <v>SC2170114125974497745142</v>
      </c>
    </row>
    <row r="1017" spans="1:82" customFormat="1" ht="15" customHeight="1" x14ac:dyDescent="0.25">
      <c r="A1017">
        <v>2023</v>
      </c>
      <c r="B1017" s="8" t="s">
        <v>4</v>
      </c>
      <c r="C1017" s="8" t="s">
        <v>5866</v>
      </c>
      <c r="D1017" s="8" t="s">
        <v>115</v>
      </c>
      <c r="E1017" s="8" t="s">
        <v>155</v>
      </c>
      <c r="F1017" s="8" t="s">
        <v>784</v>
      </c>
      <c r="G1017" s="8" t="s">
        <v>26</v>
      </c>
      <c r="H1017" s="647" t="s">
        <v>1903</v>
      </c>
      <c r="I1017" s="642">
        <v>45103</v>
      </c>
      <c r="J1017" s="18">
        <v>45170</v>
      </c>
      <c r="K1017" s="18">
        <v>45145</v>
      </c>
      <c r="L1017" s="16">
        <f>IF(ISTEXT(Table15[[#This Row],[Engineering Approved Design Date]]),Table15[[#This Row],[Date Completed]]-Table15[[#This Row],[Date Assigned to Designer]],Table15[[#This Row],[Engineering Approved Design Date]]-Table15[[#This Row],[Date Completed]])</f>
        <v>25</v>
      </c>
      <c r="M1017" s="642">
        <f>M1023</f>
        <v>0</v>
      </c>
      <c r="N1017" s="642" t="s">
        <v>120</v>
      </c>
      <c r="O1017" s="1060">
        <v>45139</v>
      </c>
      <c r="P1017" s="1152" t="s">
        <v>739</v>
      </c>
      <c r="Q1017" s="340" t="s">
        <v>115</v>
      </c>
      <c r="R1017" s="1026" t="s">
        <v>115</v>
      </c>
      <c r="S1017" s="538"/>
      <c r="T1017" s="538"/>
      <c r="U1017" s="87"/>
      <c r="V1017" s="857"/>
      <c r="W1017" s="440"/>
      <c r="X1017" s="550"/>
      <c r="Y1017" s="550"/>
      <c r="Z1017" s="550"/>
      <c r="AA1017" s="552"/>
      <c r="AB1017" s="341" t="s">
        <v>29</v>
      </c>
      <c r="AC1017" s="568" t="s">
        <v>29</v>
      </c>
      <c r="AD1017" s="1157" t="s">
        <v>29</v>
      </c>
      <c r="AE1017" s="568" t="s">
        <v>116</v>
      </c>
      <c r="AF1017" s="568" t="s">
        <v>116</v>
      </c>
      <c r="AG1017" s="568" t="s">
        <v>116</v>
      </c>
      <c r="AH1017" s="183">
        <v>45163</v>
      </c>
      <c r="AI1017" s="1036"/>
      <c r="AJ1017" s="1037"/>
      <c r="AK1017" s="1037"/>
      <c r="AL1017" s="1038"/>
      <c r="AM1017" s="542" t="s">
        <v>709</v>
      </c>
      <c r="AN1017" s="924"/>
      <c r="AO1017" s="925"/>
      <c r="AP1017" s="926"/>
      <c r="AQ1017" s="926"/>
      <c r="AR1017" s="926"/>
      <c r="AS1017" s="926"/>
      <c r="AT1017" s="926"/>
      <c r="AU1017" s="926"/>
      <c r="AV1017" s="926"/>
      <c r="AW1017" s="927"/>
      <c r="AX1017" s="926"/>
      <c r="AY1017" s="1538" t="s">
        <v>29</v>
      </c>
      <c r="AZ1017" s="1530"/>
      <c r="BA1017" s="1088" t="s">
        <v>5867</v>
      </c>
      <c r="BB1017" s="650" t="s">
        <v>5868</v>
      </c>
      <c r="BC1017" s="1089" t="s">
        <v>709</v>
      </c>
      <c r="BD1017" s="1089" t="s">
        <v>882</v>
      </c>
      <c r="BE1017" s="1089" t="s">
        <v>1085</v>
      </c>
      <c r="BF1017" s="1089" t="s">
        <v>709</v>
      </c>
      <c r="BG1017" s="1089" t="s">
        <v>709</v>
      </c>
      <c r="BH1017" s="1171"/>
      <c r="BI1017" s="1090"/>
      <c r="BJ1017" s="1090"/>
      <c r="BK1017" s="1090"/>
      <c r="BL1017" s="1090"/>
      <c r="BM1017" s="1090"/>
      <c r="BN1017" s="1090"/>
      <c r="BO1017" s="1090"/>
      <c r="BP1017" s="1090"/>
      <c r="BQ1017" s="1090"/>
      <c r="BR1017" s="1090"/>
      <c r="BS1017" s="1090"/>
      <c r="BT1017" s="1090"/>
      <c r="BU1017" s="1090"/>
      <c r="BV1017" s="1090"/>
      <c r="BW1017" s="1090"/>
      <c r="BX1017" s="1090"/>
      <c r="BY1017" s="1090"/>
      <c r="BZ1017" s="1032"/>
      <c r="CA1017" s="1091" t="s">
        <v>915</v>
      </c>
      <c r="CB1017" s="547">
        <v>1015</v>
      </c>
      <c r="CC1017" s="1481" t="b">
        <v>1</v>
      </c>
      <c r="CD1017" t="str">
        <f>Table15[[#This Row],[Engineering Number]]&amp;Table15[[#This Row],[WO Number]]&amp;Table15[[#This Row],[Date Assigned to Designer]]&amp;Table15[[#This Row],[Date Completed]]</f>
        <v>N15990-4510345145</v>
      </c>
    </row>
    <row r="1018" spans="1:82" customFormat="1" ht="15" customHeight="1" x14ac:dyDescent="0.25">
      <c r="A1018">
        <v>2023</v>
      </c>
      <c r="B1018" s="8" t="s">
        <v>4</v>
      </c>
      <c r="C1018" s="8" t="s">
        <v>5870</v>
      </c>
      <c r="D1018" s="8" t="s">
        <v>5871</v>
      </c>
      <c r="E1018" s="8" t="s">
        <v>2258</v>
      </c>
      <c r="F1018" s="8" t="s">
        <v>784</v>
      </c>
      <c r="G1018" s="8" t="s">
        <v>25</v>
      </c>
      <c r="H1018" s="647" t="s">
        <v>543</v>
      </c>
      <c r="I1018" s="642">
        <v>44893</v>
      </c>
      <c r="J1018" s="18">
        <v>45177</v>
      </c>
      <c r="K1018" s="18">
        <v>45146</v>
      </c>
      <c r="L1018" s="16">
        <f>IF(ISTEXT(Table15[[#This Row],[Engineering Approved Design Date]]),Table15[[#This Row],[Date Completed]]-Table15[[#This Row],[Date Assigned to Designer]],Table15[[#This Row],[Engineering Approved Design Date]]-Table15[[#This Row],[Date Completed]])</f>
        <v>31</v>
      </c>
      <c r="M1018" s="642"/>
      <c r="N1018" s="642" t="s">
        <v>120</v>
      </c>
      <c r="O1018" s="1060">
        <v>45139</v>
      </c>
      <c r="P1018" s="1152" t="s">
        <v>739</v>
      </c>
      <c r="Q1018" s="340" t="s">
        <v>115</v>
      </c>
      <c r="R1018" s="1026" t="s">
        <v>115</v>
      </c>
      <c r="S1018" s="538"/>
      <c r="T1018" s="538"/>
      <c r="U1018" s="87"/>
      <c r="V1018" s="857"/>
      <c r="W1018" s="440"/>
      <c r="X1018" s="550"/>
      <c r="Y1018" s="550"/>
      <c r="Z1018" s="550"/>
      <c r="AA1018" s="552"/>
      <c r="AB1018" s="341" t="s">
        <v>29</v>
      </c>
      <c r="AC1018" s="568" t="s">
        <v>29</v>
      </c>
      <c r="AD1018" s="1157" t="s">
        <v>29</v>
      </c>
      <c r="AE1018" s="569" t="s">
        <v>756</v>
      </c>
      <c r="AF1018" s="568" t="s">
        <v>116</v>
      </c>
      <c r="AG1018" s="569" t="s">
        <v>29</v>
      </c>
      <c r="AH1018" s="183">
        <v>45160</v>
      </c>
      <c r="AI1018" s="1036"/>
      <c r="AJ1018" s="1037"/>
      <c r="AK1018" s="1037"/>
      <c r="AL1018" s="1038"/>
      <c r="AM1018" s="542" t="s">
        <v>709</v>
      </c>
      <c r="AN1018" s="924"/>
      <c r="AO1018" s="925"/>
      <c r="AP1018" s="926"/>
      <c r="AQ1018" s="926"/>
      <c r="AR1018" s="926"/>
      <c r="AS1018" s="926"/>
      <c r="AT1018" s="926"/>
      <c r="AU1018" s="926"/>
      <c r="AV1018" s="926"/>
      <c r="AW1018" s="927"/>
      <c r="AX1018" s="926"/>
      <c r="AY1018" s="1538" t="s">
        <v>29</v>
      </c>
      <c r="AZ1018" s="1530"/>
      <c r="BA1018" s="1074" t="s">
        <v>5872</v>
      </c>
      <c r="BB1018" s="648" t="s">
        <v>1071</v>
      </c>
      <c r="BC1018" s="544" t="s">
        <v>709</v>
      </c>
      <c r="BD1018" s="554" t="s">
        <v>1167</v>
      </c>
      <c r="BE1018" s="1092" t="s">
        <v>5873</v>
      </c>
      <c r="BF1018" s="1093" t="s">
        <v>709</v>
      </c>
      <c r="BG1018" s="588" t="s">
        <v>5874</v>
      </c>
      <c r="BH1018" s="1172"/>
      <c r="BI1018" s="1032"/>
      <c r="BJ1018" s="1032"/>
      <c r="BK1018" s="1032"/>
      <c r="BL1018" s="1032"/>
      <c r="BM1018" s="1032"/>
      <c r="BN1018" s="1032"/>
      <c r="BO1018" s="1032"/>
      <c r="BP1018" s="1032"/>
      <c r="BQ1018" s="1032"/>
      <c r="BR1018" s="1032"/>
      <c r="BS1018" s="1032"/>
      <c r="BT1018" s="1032"/>
      <c r="BU1018" s="1032"/>
      <c r="BV1018" s="1032"/>
      <c r="BW1018" s="1032"/>
      <c r="BX1018" s="1032"/>
      <c r="BY1018" s="1032"/>
      <c r="BZ1018" s="1032"/>
      <c r="CA1018" s="485" t="s">
        <v>915</v>
      </c>
      <c r="CB1018" s="547">
        <v>1016</v>
      </c>
      <c r="CC1018" s="1481" t="b">
        <v>1</v>
      </c>
      <c r="CD1018" t="str">
        <f>Table15[[#This Row],[Engineering Number]]&amp;Table15[[#This Row],[WO Number]]&amp;Table15[[#This Row],[Date Assigned to Designer]]&amp;Table15[[#This Row],[Date Completed]]</f>
        <v>N1633812123954489345146</v>
      </c>
    </row>
    <row r="1019" spans="1:82" customFormat="1" ht="15" customHeight="1" x14ac:dyDescent="0.25">
      <c r="A1019">
        <v>2023</v>
      </c>
      <c r="B1019" s="8" t="s">
        <v>4</v>
      </c>
      <c r="C1019" s="8" t="s">
        <v>5507</v>
      </c>
      <c r="D1019" s="8" t="s">
        <v>5508</v>
      </c>
      <c r="E1019" s="8" t="s">
        <v>859</v>
      </c>
      <c r="F1019" s="8" t="s">
        <v>851</v>
      </c>
      <c r="G1019" s="8" t="s">
        <v>25</v>
      </c>
      <c r="H1019" s="8" t="s">
        <v>3178</v>
      </c>
      <c r="I1019" s="642">
        <v>45096</v>
      </c>
      <c r="J1019" s="175" t="s">
        <v>2052</v>
      </c>
      <c r="K1019" s="97">
        <v>45146</v>
      </c>
      <c r="L1019" s="649">
        <f>IF(ISTEXT(Table15[[#This Row],[Engineering Approved Design Date]]),Table15[[#This Row],[Date Completed]]-Table15[[#This Row],[Date Assigned to Designer]],Table15[[#This Row],[Engineering Approved Design Date]]-Table15[[#This Row],[Date Completed]])</f>
        <v>50</v>
      </c>
      <c r="M1019" s="16" t="s">
        <v>5876</v>
      </c>
      <c r="N1019" s="642" t="s">
        <v>120</v>
      </c>
      <c r="O1019" s="1060">
        <v>45139</v>
      </c>
      <c r="P1019" s="1152" t="s">
        <v>739</v>
      </c>
      <c r="Q1019" s="1061">
        <f>Table15[[#This Row],[KH Hourly Effort]]</f>
        <v>17477.5</v>
      </c>
      <c r="R1019" s="1039" t="s">
        <v>1922</v>
      </c>
      <c r="S1019" s="538" t="s">
        <v>709</v>
      </c>
      <c r="T1019" s="538" t="s">
        <v>709</v>
      </c>
      <c r="U1019" s="1073">
        <v>17477.5</v>
      </c>
      <c r="V1019" s="857">
        <v>5420</v>
      </c>
      <c r="W1019" s="440">
        <v>0</v>
      </c>
      <c r="X1019" s="538"/>
      <c r="Y1019" s="551"/>
      <c r="Z1019" s="538"/>
      <c r="AA1019" s="552"/>
      <c r="AB1019" s="341" t="s">
        <v>29</v>
      </c>
      <c r="AC1019" s="569" t="s">
        <v>29</v>
      </c>
      <c r="AD1019" s="1149" t="s">
        <v>29</v>
      </c>
      <c r="AE1019" s="569" t="s">
        <v>756</v>
      </c>
      <c r="AF1019" s="569" t="s">
        <v>116</v>
      </c>
      <c r="AG1019" s="569" t="s">
        <v>29</v>
      </c>
      <c r="AH1019" s="183">
        <v>45160</v>
      </c>
      <c r="AI1019" s="1036"/>
      <c r="AJ1019" s="1037"/>
      <c r="AK1019" s="1037"/>
      <c r="AL1019" s="1038"/>
      <c r="AM1019" s="542" t="s">
        <v>709</v>
      </c>
      <c r="AN1019" s="924"/>
      <c r="AO1019" s="925"/>
      <c r="AP1019" s="926"/>
      <c r="AQ1019" s="926"/>
      <c r="AR1019" s="926"/>
      <c r="AS1019" s="926"/>
      <c r="AT1019" s="926"/>
      <c r="AU1019" s="926"/>
      <c r="AV1019" s="926"/>
      <c r="AW1019" s="927"/>
      <c r="AX1019" s="926"/>
      <c r="AY1019" s="1538" t="s">
        <v>29</v>
      </c>
      <c r="AZ1019" s="1530"/>
      <c r="BA1019" s="1031">
        <v>7</v>
      </c>
      <c r="BB1019" s="644" t="s">
        <v>709</v>
      </c>
      <c r="BC1019" s="544"/>
      <c r="BD1019" s="544"/>
      <c r="BE1019" s="544"/>
      <c r="BF1019" s="544"/>
      <c r="BG1019" s="544"/>
      <c r="BH1019" s="741" t="s">
        <v>5877</v>
      </c>
      <c r="BI1019" s="547" t="s">
        <v>709</v>
      </c>
      <c r="BJ1019" s="547" t="s">
        <v>709</v>
      </c>
      <c r="BK1019" s="547" t="s">
        <v>116</v>
      </c>
      <c r="BL1019" s="547" t="s">
        <v>116</v>
      </c>
      <c r="BM1019" s="547" t="s">
        <v>709</v>
      </c>
      <c r="BN1019" s="547" t="s">
        <v>709</v>
      </c>
      <c r="BO1019" s="547" t="s">
        <v>709</v>
      </c>
      <c r="BP1019" s="547" t="s">
        <v>709</v>
      </c>
      <c r="BQ1019" s="547" t="s">
        <v>709</v>
      </c>
      <c r="BR1019" s="547" t="s">
        <v>709</v>
      </c>
      <c r="BS1019" s="547">
        <v>601</v>
      </c>
      <c r="BT1019" s="547" t="s">
        <v>709</v>
      </c>
      <c r="BU1019" s="547" t="s">
        <v>709</v>
      </c>
      <c r="BV1019" s="547" t="s">
        <v>709</v>
      </c>
      <c r="BW1019" s="547" t="s">
        <v>709</v>
      </c>
      <c r="BX1019" s="547" t="s">
        <v>745</v>
      </c>
      <c r="BY1019" s="547" t="s">
        <v>709</v>
      </c>
      <c r="BZ1019" s="547" t="s">
        <v>709</v>
      </c>
      <c r="CA1019" s="483"/>
      <c r="CB1019" s="547">
        <v>1017</v>
      </c>
      <c r="CC1019" s="1481" t="b">
        <v>1</v>
      </c>
      <c r="CD1019" t="str">
        <f>Table15[[#This Row],[Engineering Number]]&amp;Table15[[#This Row],[WO Number]]&amp;Table15[[#This Row],[Date Assigned to Designer]]&amp;Table15[[#This Row],[Date Completed]]</f>
        <v>SC2182513123074509645146</v>
      </c>
    </row>
    <row r="1020" spans="1:82" customFormat="1" ht="15" customHeight="1" x14ac:dyDescent="0.25">
      <c r="A1020">
        <v>2023</v>
      </c>
      <c r="B1020" s="8" t="s">
        <v>4</v>
      </c>
      <c r="C1020" s="8" t="s">
        <v>4250</v>
      </c>
      <c r="D1020" s="8" t="s">
        <v>5885</v>
      </c>
      <c r="E1020" s="8" t="s">
        <v>2280</v>
      </c>
      <c r="F1020" s="8" t="s">
        <v>747</v>
      </c>
      <c r="G1020" s="8" t="s">
        <v>23</v>
      </c>
      <c r="H1020" s="8" t="s">
        <v>1681</v>
      </c>
      <c r="I1020" s="642">
        <v>44621</v>
      </c>
      <c r="J1020" s="175">
        <v>45156</v>
      </c>
      <c r="K1020" s="97">
        <v>45147</v>
      </c>
      <c r="L1020" s="649">
        <f>IF(ISTEXT(Table15[[#This Row],[Engineering Approved Design Date]]),Table15[[#This Row],[Date Completed]]-Table15[[#This Row],[Date Assigned to Designer]],Table15[[#This Row],[Engineering Approved Design Date]]-Table15[[#This Row],[Date Completed]])</f>
        <v>9</v>
      </c>
      <c r="N1020" s="642" t="s">
        <v>120</v>
      </c>
      <c r="O1020" s="1060">
        <v>45139</v>
      </c>
      <c r="P1020" s="1152" t="s">
        <v>739</v>
      </c>
      <c r="Q1020" s="340" t="s">
        <v>115</v>
      </c>
      <c r="R1020" s="1026" t="s">
        <v>115</v>
      </c>
      <c r="S1020" s="538"/>
      <c r="T1020" s="538"/>
      <c r="U1020" s="28"/>
      <c r="V1020" s="858"/>
      <c r="W1020" s="437"/>
      <c r="X1020" s="538"/>
      <c r="Y1020" s="550"/>
      <c r="Z1020" s="538"/>
      <c r="AA1020" s="552"/>
      <c r="AB1020" s="341" t="s">
        <v>29</v>
      </c>
      <c r="AC1020" s="568" t="s">
        <v>29</v>
      </c>
      <c r="AD1020" s="1157" t="s">
        <v>29</v>
      </c>
      <c r="AE1020" s="568" t="s">
        <v>116</v>
      </c>
      <c r="AF1020" s="568" t="s">
        <v>29</v>
      </c>
      <c r="AG1020" s="568" t="s">
        <v>29</v>
      </c>
      <c r="AH1020" s="183">
        <v>45163</v>
      </c>
      <c r="AI1020" s="1036"/>
      <c r="AJ1020" s="1037"/>
      <c r="AK1020" s="1037"/>
      <c r="AL1020" s="1038"/>
      <c r="AM1020" s="542" t="s">
        <v>709</v>
      </c>
      <c r="AN1020" s="924"/>
      <c r="AO1020" s="925"/>
      <c r="AP1020" s="926"/>
      <c r="AQ1020" s="926"/>
      <c r="AR1020" s="926"/>
      <c r="AS1020" s="926"/>
      <c r="AT1020" s="926"/>
      <c r="AU1020" s="926"/>
      <c r="AV1020" s="926"/>
      <c r="AW1020" s="927"/>
      <c r="AX1020" s="926"/>
      <c r="AY1020" s="1538" t="s">
        <v>29</v>
      </c>
      <c r="AZ1020" s="1530"/>
      <c r="BA1020" s="1031" t="s">
        <v>5886</v>
      </c>
      <c r="BB1020" s="648" t="s">
        <v>1617</v>
      </c>
      <c r="BC1020" s="544" t="s">
        <v>116</v>
      </c>
      <c r="BD1020" s="544" t="s">
        <v>709</v>
      </c>
      <c r="BE1020" s="544" t="s">
        <v>4528</v>
      </c>
      <c r="BF1020" s="544" t="s">
        <v>709</v>
      </c>
      <c r="BG1020" s="544" t="s">
        <v>709</v>
      </c>
      <c r="BH1020" s="741"/>
      <c r="BI1020" s="1032"/>
      <c r="BJ1020" s="1032"/>
      <c r="BK1020" s="1032"/>
      <c r="BL1020" s="1032"/>
      <c r="BM1020" s="1032"/>
      <c r="BN1020" s="1032"/>
      <c r="BO1020" s="1032"/>
      <c r="BP1020" s="1032"/>
      <c r="BQ1020" s="1032"/>
      <c r="BR1020" s="1032"/>
      <c r="BS1020" s="1032"/>
      <c r="BT1020" s="1032"/>
      <c r="BU1020" s="1032"/>
      <c r="BV1020" s="1032"/>
      <c r="BW1020" s="1032"/>
      <c r="BX1020" s="1032"/>
      <c r="BY1020" s="1032"/>
      <c r="BZ1020" s="1032"/>
      <c r="CA1020" s="485" t="s">
        <v>915</v>
      </c>
      <c r="CB1020" s="547">
        <v>1018</v>
      </c>
      <c r="CC1020" s="1481" t="b">
        <v>1</v>
      </c>
      <c r="CD1020" t="str">
        <f>Table15[[#This Row],[Engineering Number]]&amp;Table15[[#This Row],[WO Number]]&amp;Table15[[#This Row],[Date Assigned to Designer]]&amp;Table15[[#This Row],[Date Completed]]</f>
        <v>SC2008414118024462145147</v>
      </c>
    </row>
    <row r="1021" spans="1:82" customFormat="1" ht="15" customHeight="1" x14ac:dyDescent="0.25">
      <c r="A1021">
        <v>2023</v>
      </c>
      <c r="B1021" s="8" t="s">
        <v>4</v>
      </c>
      <c r="C1021" s="8" t="s">
        <v>404</v>
      </c>
      <c r="D1021" s="8" t="s">
        <v>1615</v>
      </c>
      <c r="E1021" s="8" t="s">
        <v>405</v>
      </c>
      <c r="F1021" s="8" t="s">
        <v>747</v>
      </c>
      <c r="G1021" s="8" t="s">
        <v>28</v>
      </c>
      <c r="H1021" s="13" t="s">
        <v>59</v>
      </c>
      <c r="I1021" s="642">
        <v>44963</v>
      </c>
      <c r="J1021" s="18">
        <v>45148</v>
      </c>
      <c r="K1021" s="175">
        <v>45147</v>
      </c>
      <c r="L1021" s="649">
        <f>IF(ISTEXT(Table15[[#This Row],[Engineering Approved Design Date]]),Table15[[#This Row],[Date Completed]]-Table15[[#This Row],[Date Assigned to Designer]],Table15[[#This Row],[Engineering Approved Design Date]]-Table15[[#This Row],[Date Completed]])</f>
        <v>1</v>
      </c>
      <c r="M1021" s="642"/>
      <c r="N1021" s="642" t="s">
        <v>120</v>
      </c>
      <c r="O1021" s="1060">
        <v>45139</v>
      </c>
      <c r="P1021" s="1152" t="s">
        <v>739</v>
      </c>
      <c r="Q1021" s="340">
        <f>Table15[[#This Row],[Rate]]*Table15[[#This Row],[Construction Cost to Bill From]]</f>
        <v>65280.822</v>
      </c>
      <c r="R1021" s="1026">
        <v>0.1</v>
      </c>
      <c r="S1021" s="538"/>
      <c r="T1021" s="538"/>
      <c r="U1021" s="87"/>
      <c r="V1021" s="858">
        <v>5576</v>
      </c>
      <c r="W1021" s="437">
        <v>0</v>
      </c>
      <c r="X1021" s="552">
        <v>626842.82999999996</v>
      </c>
      <c r="Y1021" s="551"/>
      <c r="Z1021" s="552">
        <v>25965.39</v>
      </c>
      <c r="AA1021" s="552">
        <f>SUM(Table15[[#This Row],[PCTS Investment Amount]:[PCTS Retirement Amount]])</f>
        <v>652808.22</v>
      </c>
      <c r="AB1021" s="341">
        <v>45141</v>
      </c>
      <c r="AC1021" s="568" t="s">
        <v>116</v>
      </c>
      <c r="AD1021" s="1157" t="s">
        <v>29</v>
      </c>
      <c r="AE1021" s="568" t="s">
        <v>756</v>
      </c>
      <c r="AF1021" s="568" t="s">
        <v>756</v>
      </c>
      <c r="AG1021" s="568" t="s">
        <v>116</v>
      </c>
      <c r="AH1021" s="183">
        <v>45163</v>
      </c>
      <c r="AI1021" s="1036"/>
      <c r="AJ1021" s="1037"/>
      <c r="AK1021" s="1037"/>
      <c r="AL1021" s="1038"/>
      <c r="AM1021" s="536" t="s">
        <v>116</v>
      </c>
      <c r="AN1021" s="903" t="s">
        <v>709</v>
      </c>
      <c r="AO1021" s="1536"/>
      <c r="AP1021" s="1537"/>
      <c r="AQ1021" s="1537"/>
      <c r="AR1021" s="1537"/>
      <c r="AS1021" s="888">
        <f>IF(Table15[[#This Row],[PCTS Approved]]="N",0,Table15[[#This Row],[Investment Amount (1'#'#'#'#'#)]]+Table15[[#This Row],[Retirement Amount (3'#'#'#'#'#)]])</f>
        <v>0</v>
      </c>
      <c r="AT1021" s="888">
        <f>IF(Table15[[#This Row],[Approved Construction Cost]]=0,0,Table15[[#This Row],[Approved Construction Cost]]-Table15[[#This Row],[Construction Cost to Bill From]])</f>
        <v>0</v>
      </c>
      <c r="AU1021" s="888">
        <f>IFERROR(Table15[[#This Row],[Difference in Construction Cost]]*Table15[[#This Row],[Rate]],Table15[[#This Row],[Difference in Construction Cost]]*0.085)</f>
        <v>0</v>
      </c>
      <c r="AV1021" s="905"/>
      <c r="AW1021" s="1509"/>
      <c r="AX1021" s="888"/>
      <c r="AY1021" s="636" t="s">
        <v>709</v>
      </c>
      <c r="AZ1021" s="333">
        <v>94</v>
      </c>
      <c r="BA1021" s="859" t="s">
        <v>1616</v>
      </c>
      <c r="BB1021" s="644" t="s">
        <v>1617</v>
      </c>
      <c r="BC1021" s="544" t="s">
        <v>116</v>
      </c>
      <c r="BD1021" s="544" t="s">
        <v>709</v>
      </c>
      <c r="BE1021" s="544" t="s">
        <v>115</v>
      </c>
      <c r="BF1021" s="544" t="s">
        <v>115</v>
      </c>
      <c r="BG1021" s="548" t="s">
        <v>1618</v>
      </c>
      <c r="BH1021" s="749" t="s">
        <v>1619</v>
      </c>
      <c r="BI1021" s="547" t="s">
        <v>709</v>
      </c>
      <c r="BJ1021" s="547" t="s">
        <v>116</v>
      </c>
      <c r="BK1021" s="547" t="s">
        <v>709</v>
      </c>
      <c r="BL1021" s="547" t="s">
        <v>709</v>
      </c>
      <c r="BM1021" s="547" t="s">
        <v>709</v>
      </c>
      <c r="BN1021" s="547" t="s">
        <v>709</v>
      </c>
      <c r="BO1021" s="547" t="s">
        <v>709</v>
      </c>
      <c r="BP1021" s="547" t="s">
        <v>709</v>
      </c>
      <c r="BQ1021" s="547" t="s">
        <v>709</v>
      </c>
      <c r="BR1021" s="547" t="s">
        <v>709</v>
      </c>
      <c r="BS1021" s="547">
        <v>5576</v>
      </c>
      <c r="BT1021" s="547" t="s">
        <v>709</v>
      </c>
      <c r="BU1021" s="547" t="s">
        <v>709</v>
      </c>
      <c r="BV1021" s="547" t="s">
        <v>709</v>
      </c>
      <c r="BW1021" s="547" t="s">
        <v>709</v>
      </c>
      <c r="BX1021" s="547" t="s">
        <v>745</v>
      </c>
      <c r="BY1021" s="547" t="s">
        <v>709</v>
      </c>
      <c r="BZ1021" s="547" t="s">
        <v>709</v>
      </c>
      <c r="CA1021" s="483"/>
      <c r="CB1021" s="547">
        <v>1019</v>
      </c>
      <c r="CC1021" s="1481" t="b">
        <v>1</v>
      </c>
      <c r="CD1021" t="str">
        <f>Table15[[#This Row],[Engineering Number]]&amp;Table15[[#This Row],[WO Number]]&amp;Table15[[#This Row],[Date Assigned to Designer]]&amp;Table15[[#This Row],[Date Completed]]</f>
        <v>SC2218614126274496345147</v>
      </c>
    </row>
    <row r="1022" spans="1:82" customFormat="1" ht="15" customHeight="1" x14ac:dyDescent="0.25">
      <c r="A1022">
        <v>2023</v>
      </c>
      <c r="B1022" s="8" t="s">
        <v>4</v>
      </c>
      <c r="C1022" s="8" t="s">
        <v>5879</v>
      </c>
      <c r="D1022" s="8" t="s">
        <v>5880</v>
      </c>
      <c r="E1022" s="8" t="s">
        <v>61</v>
      </c>
      <c r="F1022" s="8" t="s">
        <v>784</v>
      </c>
      <c r="G1022" s="8" t="s">
        <v>25</v>
      </c>
      <c r="H1022" s="8" t="s">
        <v>1681</v>
      </c>
      <c r="I1022" s="642">
        <v>45005</v>
      </c>
      <c r="J1022" s="18">
        <v>45163</v>
      </c>
      <c r="K1022" s="97">
        <v>45147</v>
      </c>
      <c r="L1022" s="649">
        <f>IF(ISTEXT(Table15[[#This Row],[Engineering Approved Design Date]]),Table15[[#This Row],[Date Completed]]-Table15[[#This Row],[Date Assigned to Designer]],Table15[[#This Row],[Engineering Approved Design Date]]-Table15[[#This Row],[Date Completed]])</f>
        <v>16</v>
      </c>
      <c r="M1022" t="s">
        <v>5881</v>
      </c>
      <c r="N1022" s="642" t="s">
        <v>120</v>
      </c>
      <c r="O1022" s="1059">
        <v>45170</v>
      </c>
      <c r="P1022" s="1152" t="s">
        <v>739</v>
      </c>
      <c r="Q1022" s="1061">
        <f>Table15[[#This Row],[KH Hourly Effort]]</f>
        <v>21457.5</v>
      </c>
      <c r="R1022" s="1039" t="s">
        <v>1922</v>
      </c>
      <c r="S1022" s="538">
        <v>0</v>
      </c>
      <c r="T1022" s="538" t="s">
        <v>709</v>
      </c>
      <c r="U1022" s="28">
        <v>21457.5</v>
      </c>
      <c r="V1022" s="858"/>
      <c r="W1022" s="437"/>
      <c r="X1022" s="538"/>
      <c r="Y1022" s="550"/>
      <c r="Z1022" s="538"/>
      <c r="AA1022" s="552"/>
      <c r="AB1022" s="341" t="s">
        <v>29</v>
      </c>
      <c r="AC1022" s="569" t="s">
        <v>29</v>
      </c>
      <c r="AD1022" s="1149" t="s">
        <v>29</v>
      </c>
      <c r="AE1022" s="569" t="s">
        <v>116</v>
      </c>
      <c r="AF1022" s="568" t="s">
        <v>116</v>
      </c>
      <c r="AG1022" s="569" t="s">
        <v>29</v>
      </c>
      <c r="AH1022" s="183">
        <v>45160</v>
      </c>
      <c r="AI1022" s="1036"/>
      <c r="AJ1022" s="1037"/>
      <c r="AK1022" s="1037"/>
      <c r="AL1022" s="1038"/>
      <c r="AM1022" s="542" t="s">
        <v>709</v>
      </c>
      <c r="AN1022" s="924"/>
      <c r="AO1022" s="925"/>
      <c r="AP1022" s="926"/>
      <c r="AQ1022" s="926"/>
      <c r="AR1022" s="926"/>
      <c r="AS1022" s="926"/>
      <c r="AT1022" s="926"/>
      <c r="AU1022" s="926"/>
      <c r="AV1022" s="926"/>
      <c r="AW1022" s="927"/>
      <c r="AX1022" s="926"/>
      <c r="AY1022" s="1538" t="s">
        <v>29</v>
      </c>
      <c r="AZ1022" s="1530"/>
      <c r="BA1022" s="1031" t="s">
        <v>5882</v>
      </c>
      <c r="BB1022" s="648" t="s">
        <v>1617</v>
      </c>
      <c r="BC1022" s="544" t="s">
        <v>709</v>
      </c>
      <c r="BD1022" s="544" t="s">
        <v>709</v>
      </c>
      <c r="BE1022" s="544" t="s">
        <v>5883</v>
      </c>
      <c r="BF1022" s="544" t="s">
        <v>709</v>
      </c>
      <c r="BG1022" s="544" t="s">
        <v>709</v>
      </c>
      <c r="BH1022" s="741"/>
      <c r="BI1022" s="1032"/>
      <c r="BJ1022" s="1032"/>
      <c r="BK1022" s="1032"/>
      <c r="BL1022" s="1032"/>
      <c r="BM1022" s="1032"/>
      <c r="BN1022" s="1032"/>
      <c r="BO1022" s="1032"/>
      <c r="BP1022" s="1032"/>
      <c r="BQ1022" s="1032"/>
      <c r="BR1022" s="1032"/>
      <c r="BS1022" s="1032"/>
      <c r="BT1022" s="1032"/>
      <c r="BU1022" s="1032"/>
      <c r="BV1022" s="1032"/>
      <c r="BW1022" s="1032"/>
      <c r="BX1022" s="1032"/>
      <c r="BY1022" s="1032"/>
      <c r="BZ1022" s="1032"/>
      <c r="CA1022" s="485" t="s">
        <v>915</v>
      </c>
      <c r="CB1022" s="547">
        <v>1020</v>
      </c>
      <c r="CC1022" s="1481" t="b">
        <v>1</v>
      </c>
      <c r="CD1022" t="str">
        <f>Table15[[#This Row],[Engineering Number]]&amp;Table15[[#This Row],[WO Number]]&amp;Table15[[#This Row],[Date Assigned to Designer]]&amp;Table15[[#This Row],[Date Completed]]</f>
        <v>N1359812125554500545147</v>
      </c>
    </row>
    <row r="1023" spans="1:82" customFormat="1" ht="15" customHeight="1" x14ac:dyDescent="0.25">
      <c r="A1023">
        <v>2024</v>
      </c>
      <c r="B1023" s="8" t="s">
        <v>1073</v>
      </c>
      <c r="C1023" s="8" t="s">
        <v>594</v>
      </c>
      <c r="D1023" s="8" t="s">
        <v>5889</v>
      </c>
      <c r="E1023" s="8" t="s">
        <v>232</v>
      </c>
      <c r="F1023" s="8" t="s">
        <v>851</v>
      </c>
      <c r="G1023" s="8" t="s">
        <v>32</v>
      </c>
      <c r="H1023" s="13" t="s">
        <v>59</v>
      </c>
      <c r="I1023" s="642">
        <v>45090</v>
      </c>
      <c r="J1023" s="18">
        <v>45152</v>
      </c>
      <c r="K1023" s="175">
        <v>45148</v>
      </c>
      <c r="L1023" s="16">
        <f>IF(ISTEXT(Table15[[#This Row],[Engineering Approved Design Date]]),Table15[[#This Row],[Date Completed]]-Table15[[#This Row],[Date Assigned to Designer]],Table15[[#This Row],[Engineering Approved Design Date]]-Table15[[#This Row],[Date Completed]])</f>
        <v>4</v>
      </c>
      <c r="M1023" s="642"/>
      <c r="N1023" s="642" t="s">
        <v>120</v>
      </c>
      <c r="O1023" s="1060">
        <v>45139</v>
      </c>
      <c r="P1023" s="1152" t="s">
        <v>739</v>
      </c>
      <c r="Q1023" s="340">
        <f>Table15[[#This Row],[Rate]]*Table15[[#This Row],[Construction Cost to Bill From]]</f>
        <v>6767.3528000000006</v>
      </c>
      <c r="R1023" s="1026">
        <v>0.08</v>
      </c>
      <c r="S1023" s="538"/>
      <c r="T1023" s="538"/>
      <c r="U1023" s="87"/>
      <c r="V1023" s="858">
        <v>0</v>
      </c>
      <c r="W1023" s="437">
        <v>0</v>
      </c>
      <c r="X1023" s="570">
        <v>84591.91</v>
      </c>
      <c r="Y1023" s="551"/>
      <c r="Z1023" s="552">
        <v>0</v>
      </c>
      <c r="AA1023" s="552">
        <f>SUM(Table15[[#This Row],[PCTS Investment Amount]:[PCTS Retirement Amount]])</f>
        <v>84591.91</v>
      </c>
      <c r="AB1023" s="341">
        <v>45149</v>
      </c>
      <c r="AC1023" s="568" t="s">
        <v>1441</v>
      </c>
      <c r="AD1023" s="1157" t="s">
        <v>29</v>
      </c>
      <c r="AE1023" s="568" t="s">
        <v>709</v>
      </c>
      <c r="AF1023" s="568" t="s">
        <v>756</v>
      </c>
      <c r="AG1023" s="568" t="s">
        <v>116</v>
      </c>
      <c r="AH1023" s="183" t="s">
        <v>709</v>
      </c>
      <c r="AI1023" s="1036"/>
      <c r="AJ1023" s="1037"/>
      <c r="AK1023" s="1037"/>
      <c r="AL1023" s="1038"/>
      <c r="AM1023" s="1522" t="s">
        <v>116</v>
      </c>
      <c r="AN1023" s="1523">
        <v>45238</v>
      </c>
      <c r="AO1023" s="1524">
        <v>11068210</v>
      </c>
      <c r="AP1023" s="1525">
        <v>94592.27</v>
      </c>
      <c r="AQ1023" s="1525"/>
      <c r="AR1023" s="1525">
        <v>0</v>
      </c>
      <c r="AS1023" s="1525">
        <f>IF(Table15[[#This Row],[PCTS Approved]]="N",0,Table15[[#This Row],[Investment Amount (1'#'#'#'#'#)]]+Table15[[#This Row],[Retirement Amount (3'#'#'#'#'#)]])</f>
        <v>94592.27</v>
      </c>
      <c r="AT1023" s="1525">
        <f>IF(Table15[[#This Row],[Approved Construction Cost]]=0,0,Table15[[#This Row],[Approved Construction Cost]]-Table15[[#This Row],[Construction Cost to Bill From]])</f>
        <v>10000.36</v>
      </c>
      <c r="AU1023" s="1525">
        <f>IFERROR(Table15[[#This Row],[Difference in Construction Cost]]*Table15[[#This Row],[Rate]],Table15[[#This Row],[Difference in Construction Cost]]*0.085)</f>
        <v>800.02880000000005</v>
      </c>
      <c r="AV1023" s="1525">
        <v>887.5</v>
      </c>
      <c r="AW1023" s="1526" t="s">
        <v>5890</v>
      </c>
      <c r="AX1023" s="1525">
        <v>0</v>
      </c>
      <c r="AY1023" s="1518">
        <v>45352</v>
      </c>
      <c r="AZ1023" s="333"/>
      <c r="BA1023" s="859" t="s">
        <v>5891</v>
      </c>
      <c r="BB1023" s="644" t="s">
        <v>5892</v>
      </c>
      <c r="BC1023" s="544" t="s">
        <v>709</v>
      </c>
      <c r="BD1023" s="544" t="s">
        <v>837</v>
      </c>
      <c r="BE1023" s="544" t="s">
        <v>595</v>
      </c>
      <c r="BF1023" s="544" t="s">
        <v>838</v>
      </c>
      <c r="BG1023" s="544" t="s">
        <v>1582</v>
      </c>
      <c r="BH1023" s="741" t="s">
        <v>5893</v>
      </c>
      <c r="BI1023" s="549" t="s">
        <v>709</v>
      </c>
      <c r="BJ1023" s="549" t="s">
        <v>709</v>
      </c>
      <c r="BK1023" s="549" t="s">
        <v>116</v>
      </c>
      <c r="BL1023" s="549" t="s">
        <v>116</v>
      </c>
      <c r="BM1023" s="549">
        <v>0</v>
      </c>
      <c r="BN1023" s="549">
        <v>0</v>
      </c>
      <c r="BO1023" s="547">
        <v>0</v>
      </c>
      <c r="BP1023" s="549">
        <v>0</v>
      </c>
      <c r="BQ1023" s="549">
        <v>0</v>
      </c>
      <c r="BR1023" s="549">
        <v>169</v>
      </c>
      <c r="BS1023" s="549">
        <v>0</v>
      </c>
      <c r="BT1023" s="549">
        <v>0</v>
      </c>
      <c r="BU1023" s="549">
        <v>0</v>
      </c>
      <c r="BV1023" s="547">
        <v>0</v>
      </c>
      <c r="BW1023" s="547">
        <v>0</v>
      </c>
      <c r="BX1023" s="547">
        <v>0</v>
      </c>
      <c r="BY1023" s="549">
        <v>1</v>
      </c>
      <c r="BZ1023" s="547" t="s">
        <v>709</v>
      </c>
      <c r="CA1023" s="483"/>
      <c r="CB1023" s="547">
        <v>1021</v>
      </c>
      <c r="CC1023" s="1481" t="b">
        <v>1</v>
      </c>
      <c r="CD1023" t="str">
        <f>Table15[[#This Row],[Engineering Number]]&amp;Table15[[#This Row],[WO Number]]&amp;Table15[[#This Row],[Date Assigned to Designer]]&amp;Table15[[#This Row],[Date Completed]]</f>
        <v>NBA1001136619128674509045148</v>
      </c>
    </row>
    <row r="1024" spans="1:82" customFormat="1" ht="15" customHeight="1" x14ac:dyDescent="0.25">
      <c r="A1024">
        <v>2024</v>
      </c>
      <c r="B1024" s="8" t="s">
        <v>1073</v>
      </c>
      <c r="C1024" s="8" t="s">
        <v>594</v>
      </c>
      <c r="D1024" s="8" t="s">
        <v>5895</v>
      </c>
      <c r="E1024" s="8" t="s">
        <v>232</v>
      </c>
      <c r="F1024" s="8" t="s">
        <v>851</v>
      </c>
      <c r="G1024" s="8" t="s">
        <v>32</v>
      </c>
      <c r="H1024" s="13" t="s">
        <v>59</v>
      </c>
      <c r="I1024" s="642">
        <v>45090</v>
      </c>
      <c r="J1024" s="18">
        <v>45152</v>
      </c>
      <c r="K1024" s="175">
        <v>45148</v>
      </c>
      <c r="L1024" s="16">
        <f>IF(ISTEXT(Table15[[#This Row],[Engineering Approved Design Date]]),Table15[[#This Row],[Date Completed]]-Table15[[#This Row],[Date Assigned to Designer]],Table15[[#This Row],[Engineering Approved Design Date]]-Table15[[#This Row],[Date Completed]])</f>
        <v>4</v>
      </c>
      <c r="M1024" s="642"/>
      <c r="N1024" s="642" t="s">
        <v>120</v>
      </c>
      <c r="O1024" s="1060">
        <v>45139</v>
      </c>
      <c r="P1024" s="1152" t="s">
        <v>739</v>
      </c>
      <c r="Q1024" s="340">
        <f>Table15[[#This Row],[Rate]]*Table15[[#This Row],[Construction Cost to Bill From]]</f>
        <v>5044.8648000000003</v>
      </c>
      <c r="R1024" s="1026">
        <v>0.08</v>
      </c>
      <c r="S1024" s="538"/>
      <c r="T1024" s="538"/>
      <c r="U1024" s="87"/>
      <c r="V1024" s="858">
        <v>196</v>
      </c>
      <c r="W1024" s="437">
        <v>0</v>
      </c>
      <c r="X1024" s="570">
        <v>63060.81</v>
      </c>
      <c r="Y1024" s="551"/>
      <c r="Z1024" s="552">
        <v>0</v>
      </c>
      <c r="AA1024" s="552">
        <f>SUM(Table15[[#This Row],[PCTS Investment Amount]:[PCTS Retirement Amount]])</f>
        <v>63060.81</v>
      </c>
      <c r="AB1024" s="341">
        <v>45149</v>
      </c>
      <c r="AC1024" s="568" t="s">
        <v>709</v>
      </c>
      <c r="AD1024" s="1157" t="s">
        <v>29</v>
      </c>
      <c r="AE1024" s="568" t="s">
        <v>709</v>
      </c>
      <c r="AF1024" s="568" t="s">
        <v>756</v>
      </c>
      <c r="AG1024" s="568" t="s">
        <v>116</v>
      </c>
      <c r="AH1024" s="183" t="s">
        <v>709</v>
      </c>
      <c r="AI1024" s="1036"/>
      <c r="AJ1024" s="1037"/>
      <c r="AK1024" s="1037"/>
      <c r="AL1024" s="1038"/>
      <c r="AM1024" s="1522" t="s">
        <v>116</v>
      </c>
      <c r="AN1024" s="1523">
        <v>45238</v>
      </c>
      <c r="AO1024" s="1524">
        <v>11068211</v>
      </c>
      <c r="AP1024" s="1525">
        <v>75090.52</v>
      </c>
      <c r="AQ1024" s="1525"/>
      <c r="AR1024" s="1525">
        <v>0</v>
      </c>
      <c r="AS1024" s="1525">
        <f>IF(Table15[[#This Row],[PCTS Approved]]="N",0,Table15[[#This Row],[Investment Amount (1'#'#'#'#'#)]]+Table15[[#This Row],[Retirement Amount (3'#'#'#'#'#)]])</f>
        <v>75090.52</v>
      </c>
      <c r="AT1024" s="1525">
        <f>IF(Table15[[#This Row],[Approved Construction Cost]]=0,0,Table15[[#This Row],[Approved Construction Cost]]-Table15[[#This Row],[Construction Cost to Bill From]])</f>
        <v>12029.710000000006</v>
      </c>
      <c r="AU1024" s="1525">
        <f>IFERROR(Table15[[#This Row],[Difference in Construction Cost]]*Table15[[#This Row],[Rate]],Table15[[#This Row],[Difference in Construction Cost]]*0.085)</f>
        <v>962.37680000000057</v>
      </c>
      <c r="AV1024" s="1525">
        <v>887.5</v>
      </c>
      <c r="AW1024" s="1526" t="s">
        <v>5896</v>
      </c>
      <c r="AX1024" s="1525">
        <v>0</v>
      </c>
      <c r="AY1024" s="1518">
        <v>45352</v>
      </c>
      <c r="AZ1024" s="333"/>
      <c r="BA1024" s="859" t="s">
        <v>5897</v>
      </c>
      <c r="BB1024" s="644" t="s">
        <v>5892</v>
      </c>
      <c r="BC1024" s="544" t="s">
        <v>709</v>
      </c>
      <c r="BD1024" s="544" t="s">
        <v>837</v>
      </c>
      <c r="BE1024" s="544" t="s">
        <v>595</v>
      </c>
      <c r="BF1024" s="544" t="s">
        <v>838</v>
      </c>
      <c r="BG1024" s="544" t="s">
        <v>5898</v>
      </c>
      <c r="BH1024" s="741" t="s">
        <v>5899</v>
      </c>
      <c r="BI1024" s="549" t="s">
        <v>709</v>
      </c>
      <c r="BJ1024" s="549" t="s">
        <v>709</v>
      </c>
      <c r="BK1024" s="549" t="s">
        <v>116</v>
      </c>
      <c r="BL1024" s="549" t="s">
        <v>116</v>
      </c>
      <c r="BM1024" s="549">
        <v>0</v>
      </c>
      <c r="BN1024" s="549">
        <v>0</v>
      </c>
      <c r="BO1024" s="547">
        <v>0</v>
      </c>
      <c r="BP1024" s="549">
        <v>0</v>
      </c>
      <c r="BQ1024" s="549">
        <v>0</v>
      </c>
      <c r="BR1024" s="549">
        <v>196</v>
      </c>
      <c r="BS1024" s="549">
        <v>0</v>
      </c>
      <c r="BT1024" s="549">
        <v>0</v>
      </c>
      <c r="BU1024" s="549">
        <v>0</v>
      </c>
      <c r="BV1024" s="547">
        <v>0</v>
      </c>
      <c r="BW1024" s="547">
        <v>0</v>
      </c>
      <c r="BX1024" s="547">
        <v>0</v>
      </c>
      <c r="BY1024" s="549">
        <v>1</v>
      </c>
      <c r="BZ1024" s="547" t="s">
        <v>709</v>
      </c>
      <c r="CA1024" s="483"/>
      <c r="CB1024" s="547">
        <v>1022</v>
      </c>
      <c r="CC1024" s="1481" t="b">
        <v>1</v>
      </c>
      <c r="CD1024" t="str">
        <f>Table15[[#This Row],[Engineering Number]]&amp;Table15[[#This Row],[WO Number]]&amp;Table15[[#This Row],[Date Assigned to Designer]]&amp;Table15[[#This Row],[Date Completed]]</f>
        <v>NBA1001136619128684509045148</v>
      </c>
    </row>
    <row r="1025" spans="1:82" customFormat="1" ht="15" customHeight="1" x14ac:dyDescent="0.25">
      <c r="A1025">
        <v>2023</v>
      </c>
      <c r="B1025" s="8" t="s">
        <v>4</v>
      </c>
      <c r="C1025" s="8" t="s">
        <v>1087</v>
      </c>
      <c r="D1025" s="8" t="s">
        <v>1088</v>
      </c>
      <c r="E1025" s="8" t="s">
        <v>309</v>
      </c>
      <c r="F1025" s="8" t="s">
        <v>747</v>
      </c>
      <c r="G1025" s="8" t="s">
        <v>27</v>
      </c>
      <c r="H1025" s="8" t="s">
        <v>4462</v>
      </c>
      <c r="I1025" s="642">
        <v>45107</v>
      </c>
      <c r="J1025" s="175" t="s">
        <v>2052</v>
      </c>
      <c r="K1025" s="97">
        <v>45153</v>
      </c>
      <c r="L1025" s="16">
        <f>IF(ISTEXT(Table15[[#This Row],[Engineering Approved Design Date]]),Table15[[#This Row],[Date Completed]]-Table15[[#This Row],[Date Assigned to Designer]],Table15[[#This Row],[Engineering Approved Design Date]]-Table15[[#This Row],[Date Completed]])</f>
        <v>46</v>
      </c>
      <c r="M1025" s="16"/>
      <c r="N1025" s="642" t="s">
        <v>120</v>
      </c>
      <c r="O1025" s="1060">
        <v>45139</v>
      </c>
      <c r="P1025" s="1152" t="s">
        <v>739</v>
      </c>
      <c r="Q1025" s="340" t="s">
        <v>115</v>
      </c>
      <c r="R1025" s="1039" t="s">
        <v>115</v>
      </c>
      <c r="S1025" s="538"/>
      <c r="T1025" s="538"/>
      <c r="U1025" s="87"/>
      <c r="V1025" s="857"/>
      <c r="W1025" s="440"/>
      <c r="X1025" s="538"/>
      <c r="Y1025" s="551"/>
      <c r="Z1025" s="538"/>
      <c r="AA1025" s="552"/>
      <c r="AB1025" s="341" t="s">
        <v>29</v>
      </c>
      <c r="AC1025" s="569" t="s">
        <v>29</v>
      </c>
      <c r="AD1025" s="1149" t="s">
        <v>116</v>
      </c>
      <c r="AE1025" s="568" t="s">
        <v>756</v>
      </c>
      <c r="AF1025" s="569" t="s">
        <v>756</v>
      </c>
      <c r="AG1025" s="569" t="s">
        <v>29</v>
      </c>
      <c r="AH1025" s="536" t="s">
        <v>29</v>
      </c>
      <c r="AI1025" s="1028"/>
      <c r="AJ1025" s="1029"/>
      <c r="AK1025" s="1029"/>
      <c r="AL1025" s="1030"/>
      <c r="AM1025" s="542" t="s">
        <v>709</v>
      </c>
      <c r="AN1025" s="924"/>
      <c r="AO1025" s="925"/>
      <c r="AP1025" s="926"/>
      <c r="AQ1025" s="926"/>
      <c r="AR1025" s="926"/>
      <c r="AS1025" s="926"/>
      <c r="AT1025" s="926"/>
      <c r="AU1025" s="926"/>
      <c r="AV1025" s="926"/>
      <c r="AW1025" s="927"/>
      <c r="AX1025" s="926"/>
      <c r="AY1025" s="1538" t="s">
        <v>29</v>
      </c>
      <c r="AZ1025" s="1530"/>
      <c r="BA1025" s="1031" t="s">
        <v>5909</v>
      </c>
      <c r="BB1025" s="644" t="s">
        <v>5910</v>
      </c>
      <c r="BC1025" s="544"/>
      <c r="BD1025" s="544"/>
      <c r="BE1025" s="544"/>
      <c r="BF1025" s="544"/>
      <c r="BG1025" s="544"/>
      <c r="BH1025" s="741"/>
      <c r="BI1025" s="1032" t="s">
        <v>709</v>
      </c>
      <c r="BJ1025" s="1032" t="s">
        <v>709</v>
      </c>
      <c r="BK1025" s="1032" t="s">
        <v>709</v>
      </c>
      <c r="BL1025" s="1032" t="s">
        <v>116</v>
      </c>
      <c r="BM1025" s="1032" t="s">
        <v>709</v>
      </c>
      <c r="BN1025" s="1032" t="s">
        <v>709</v>
      </c>
      <c r="BO1025" s="1032" t="s">
        <v>709</v>
      </c>
      <c r="BP1025" s="1032" t="s">
        <v>709</v>
      </c>
      <c r="BQ1025" s="1032" t="s">
        <v>709</v>
      </c>
      <c r="BR1025" s="1032">
        <v>3556</v>
      </c>
      <c r="BS1025" s="1032">
        <v>86</v>
      </c>
      <c r="BT1025" s="1032" t="s">
        <v>709</v>
      </c>
      <c r="BU1025" s="1032" t="s">
        <v>709</v>
      </c>
      <c r="BV1025" s="1032" t="s">
        <v>709</v>
      </c>
      <c r="BW1025" s="1032" t="s">
        <v>709</v>
      </c>
      <c r="BX1025" s="1032" t="s">
        <v>745</v>
      </c>
      <c r="BY1025" s="1032" t="s">
        <v>709</v>
      </c>
      <c r="BZ1025" s="1032" t="s">
        <v>709</v>
      </c>
      <c r="CA1025" s="485"/>
      <c r="CB1025" s="547">
        <v>1024</v>
      </c>
      <c r="CC1025" s="1481" t="b">
        <v>1</v>
      </c>
      <c r="CD1025" t="str">
        <f>Table15[[#This Row],[Engineering Number]]&amp;Table15[[#This Row],[WO Number]]&amp;Table15[[#This Row],[Date Assigned to Designer]]&amp;Table15[[#This Row],[Date Completed]]</f>
        <v>SC1849814114104510745153</v>
      </c>
    </row>
    <row r="1026" spans="1:82" customFormat="1" ht="15" customHeight="1" x14ac:dyDescent="0.25">
      <c r="A1026">
        <v>2023</v>
      </c>
      <c r="B1026" s="8" t="s">
        <v>4</v>
      </c>
      <c r="C1026" s="8" t="s">
        <v>5901</v>
      </c>
      <c r="D1026" s="8" t="s">
        <v>5902</v>
      </c>
      <c r="E1026" s="8" t="s">
        <v>178</v>
      </c>
      <c r="F1026" s="8" t="s">
        <v>851</v>
      </c>
      <c r="G1026" s="8" t="s">
        <v>26</v>
      </c>
      <c r="H1026" s="13" t="s">
        <v>59</v>
      </c>
      <c r="I1026" s="642">
        <v>45093</v>
      </c>
      <c r="J1026" s="18">
        <v>45154</v>
      </c>
      <c r="K1026" s="175">
        <v>45153</v>
      </c>
      <c r="L1026" s="16">
        <f>IF(ISTEXT(Table15[[#This Row],[Engineering Approved Design Date]]),Table15[[#This Row],[Date Completed]]-Table15[[#This Row],[Date Assigned to Designer]],Table15[[#This Row],[Engineering Approved Design Date]]-Table15[[#This Row],[Date Completed]])</f>
        <v>1</v>
      </c>
      <c r="M1026" s="642"/>
      <c r="N1026" s="642" t="s">
        <v>120</v>
      </c>
      <c r="O1026" s="1060">
        <v>45139</v>
      </c>
      <c r="P1026" s="1152" t="s">
        <v>739</v>
      </c>
      <c r="Q1026" s="340">
        <f>Table15[[#This Row],[Rate]]*Table15[[#This Row],[Construction Cost to Bill From]]</f>
        <v>25882.338000000003</v>
      </c>
      <c r="R1026" s="1026">
        <v>0.1</v>
      </c>
      <c r="S1026" s="538"/>
      <c r="T1026" s="538"/>
      <c r="U1026" s="87"/>
      <c r="V1026" s="858">
        <v>388</v>
      </c>
      <c r="W1026" s="437">
        <v>0</v>
      </c>
      <c r="X1026" s="552">
        <v>198640.51</v>
      </c>
      <c r="Y1026" s="551"/>
      <c r="Z1026" s="552">
        <v>60182.87</v>
      </c>
      <c r="AA1026" s="552">
        <f>SUM(Table15[[#This Row],[PCTS Investment Amount]:[PCTS Retirement Amount]])</f>
        <v>258823.38</v>
      </c>
      <c r="AB1026" s="341">
        <v>45146</v>
      </c>
      <c r="AC1026" s="568" t="s">
        <v>709</v>
      </c>
      <c r="AD1026" s="1157" t="s">
        <v>29</v>
      </c>
      <c r="AE1026" s="568" t="s">
        <v>116</v>
      </c>
      <c r="AF1026" s="568" t="s">
        <v>116</v>
      </c>
      <c r="AG1026" s="568" t="s">
        <v>116</v>
      </c>
      <c r="AH1026" s="183">
        <v>45160</v>
      </c>
      <c r="AI1026" s="1036"/>
      <c r="AJ1026" s="1037"/>
      <c r="AK1026" s="1037"/>
      <c r="AL1026" s="1038"/>
      <c r="AM1026" s="1522" t="s">
        <v>116</v>
      </c>
      <c r="AN1026" s="1523">
        <v>45230</v>
      </c>
      <c r="AO1026" s="1524">
        <v>11073633</v>
      </c>
      <c r="AP1026" s="1525">
        <v>194174.46</v>
      </c>
      <c r="AQ1026" s="1525"/>
      <c r="AR1026" s="1525">
        <v>59592.45</v>
      </c>
      <c r="AS1026" s="1525">
        <f>IF(Table15[[#This Row],[PCTS Approved]]="N",0,Table15[[#This Row],[Investment Amount (1'#'#'#'#'#)]]+Table15[[#This Row],[Retirement Amount (3'#'#'#'#'#)]])</f>
        <v>253766.90999999997</v>
      </c>
      <c r="AT1026" s="1525">
        <f>IF(Table15[[#This Row],[Approved Construction Cost]]=0,0,Table15[[#This Row],[Approved Construction Cost]]-Table15[[#This Row],[Construction Cost to Bill From]])</f>
        <v>-5056.4700000000303</v>
      </c>
      <c r="AU1026" s="1525">
        <f>IFERROR(Table15[[#This Row],[Difference in Construction Cost]]*Table15[[#This Row],[Rate]],Table15[[#This Row],[Difference in Construction Cost]]*0.085)</f>
        <v>-505.64700000000306</v>
      </c>
      <c r="AV1026" s="1525" t="s">
        <v>709</v>
      </c>
      <c r="AW1026" s="1526"/>
      <c r="AX1026" s="1525">
        <v>-505.64700000000306</v>
      </c>
      <c r="AY1026" s="1518">
        <v>45352</v>
      </c>
      <c r="AZ1026" s="1532"/>
      <c r="BA1026" s="859" t="s">
        <v>5903</v>
      </c>
      <c r="BB1026" s="644" t="s">
        <v>5904</v>
      </c>
      <c r="BC1026" s="544" t="s">
        <v>116</v>
      </c>
      <c r="BD1026" s="544" t="s">
        <v>709</v>
      </c>
      <c r="BE1026" s="544" t="s">
        <v>5134</v>
      </c>
      <c r="BF1026" s="544" t="s">
        <v>709</v>
      </c>
      <c r="BG1026" s="548" t="s">
        <v>5905</v>
      </c>
      <c r="BH1026" s="749" t="s">
        <v>5906</v>
      </c>
      <c r="BI1026" s="547" t="s">
        <v>709</v>
      </c>
      <c r="BJ1026" s="547" t="s">
        <v>709</v>
      </c>
      <c r="BK1026" s="547" t="s">
        <v>709</v>
      </c>
      <c r="BL1026" s="547" t="s">
        <v>116</v>
      </c>
      <c r="BM1026" s="547" t="s">
        <v>709</v>
      </c>
      <c r="BN1026" s="547" t="s">
        <v>709</v>
      </c>
      <c r="BO1026" s="547" t="s">
        <v>709</v>
      </c>
      <c r="BP1026" s="547" t="s">
        <v>709</v>
      </c>
      <c r="BQ1026" s="547" t="s">
        <v>709</v>
      </c>
      <c r="BR1026" s="547" t="s">
        <v>709</v>
      </c>
      <c r="BS1026" s="547">
        <v>388</v>
      </c>
      <c r="BT1026" s="547" t="s">
        <v>709</v>
      </c>
      <c r="BU1026" s="547" t="s">
        <v>709</v>
      </c>
      <c r="BV1026" s="547" t="s">
        <v>709</v>
      </c>
      <c r="BW1026" s="547" t="s">
        <v>709</v>
      </c>
      <c r="BX1026" s="547" t="s">
        <v>745</v>
      </c>
      <c r="BY1026" s="547" t="s">
        <v>709</v>
      </c>
      <c r="BZ1026" s="547" t="s">
        <v>709</v>
      </c>
      <c r="CA1026" s="483"/>
      <c r="CB1026" s="547">
        <v>1023</v>
      </c>
      <c r="CC1026" s="1481" t="b">
        <v>1</v>
      </c>
      <c r="CD1026" t="str">
        <f>Table15[[#This Row],[Engineering Number]]&amp;Table15[[#This Row],[WO Number]]&amp;Table15[[#This Row],[Date Assigned to Designer]]&amp;Table15[[#This Row],[Date Completed]]</f>
        <v>SC2136413129204509345153</v>
      </c>
    </row>
    <row r="1027" spans="1:82" customFormat="1" ht="15" customHeight="1" x14ac:dyDescent="0.25">
      <c r="A1027">
        <v>2023</v>
      </c>
      <c r="B1027" s="8" t="s">
        <v>4</v>
      </c>
      <c r="C1027" s="8" t="s">
        <v>964</v>
      </c>
      <c r="D1027" s="8" t="s">
        <v>965</v>
      </c>
      <c r="E1027" s="8" t="s">
        <v>966</v>
      </c>
      <c r="F1027" s="8" t="s">
        <v>784</v>
      </c>
      <c r="G1027" s="8" t="s">
        <v>25</v>
      </c>
      <c r="H1027" s="13" t="s">
        <v>59</v>
      </c>
      <c r="I1027" s="642">
        <v>45005</v>
      </c>
      <c r="J1027" s="18">
        <v>45163</v>
      </c>
      <c r="K1027" s="175">
        <v>45153</v>
      </c>
      <c r="L1027" s="16">
        <f>IF(ISTEXT(Table15[[#This Row],[Engineering Approved Design Date]]),Table15[[#This Row],[Date Completed]]-Table15[[#This Row],[Date Assigned to Designer]],Table15[[#This Row],[Engineering Approved Design Date]]-Table15[[#This Row],[Date Completed]])</f>
        <v>10</v>
      </c>
      <c r="M1027" s="642"/>
      <c r="N1027" s="642" t="s">
        <v>120</v>
      </c>
      <c r="O1027" s="1060">
        <v>45170</v>
      </c>
      <c r="P1027" s="1152" t="s">
        <v>739</v>
      </c>
      <c r="Q1027" s="340">
        <f>Table15[[#This Row],[Rate]]*Table15[[#This Row],[Construction Cost to Bill From]]</f>
        <v>358660.56700000004</v>
      </c>
      <c r="R1027" s="1026">
        <v>0.1</v>
      </c>
      <c r="S1027" s="538"/>
      <c r="T1027" s="538"/>
      <c r="U1027" s="87"/>
      <c r="V1027" s="858">
        <v>5546</v>
      </c>
      <c r="W1027" s="437">
        <v>0</v>
      </c>
      <c r="X1027" s="570">
        <v>2051036.21</v>
      </c>
      <c r="Y1027" s="551"/>
      <c r="Z1027" s="552">
        <v>1535569.46</v>
      </c>
      <c r="AA1027" s="552">
        <f>SUM(Table15[[#This Row],[PCTS Investment Amount]:[PCTS Retirement Amount]])</f>
        <v>3586605.67</v>
      </c>
      <c r="AB1027" s="341">
        <v>45159</v>
      </c>
      <c r="AC1027" s="568" t="s">
        <v>709</v>
      </c>
      <c r="AD1027" s="1157" t="s">
        <v>116</v>
      </c>
      <c r="AE1027" s="568" t="s">
        <v>756</v>
      </c>
      <c r="AF1027" s="568" t="s">
        <v>116</v>
      </c>
      <c r="AG1027" s="568" t="s">
        <v>116</v>
      </c>
      <c r="AH1027" s="183">
        <v>45160</v>
      </c>
      <c r="AI1027" s="1036"/>
      <c r="AJ1027" s="1037"/>
      <c r="AK1027" s="1037"/>
      <c r="AL1027" s="1038"/>
      <c r="AM1027" s="1522" t="s">
        <v>116</v>
      </c>
      <c r="AN1027" s="1523">
        <v>45398</v>
      </c>
      <c r="AO1027" s="1524">
        <v>11080446</v>
      </c>
      <c r="AP1027" s="1525">
        <v>2069755.83</v>
      </c>
      <c r="AQ1027" s="1525"/>
      <c r="AR1027" s="1525">
        <v>1535578.54</v>
      </c>
      <c r="AS1027" s="1525">
        <v>3605334.37</v>
      </c>
      <c r="AT1027" s="1525">
        <v>18728.700000000186</v>
      </c>
      <c r="AU1027" s="1525">
        <v>1872.8700000000188</v>
      </c>
      <c r="AV1027" s="1525">
        <v>0</v>
      </c>
      <c r="AW1027" s="1526" t="s">
        <v>967</v>
      </c>
      <c r="AX1027" s="1525">
        <v>1872.87</v>
      </c>
      <c r="AY1027" s="1518">
        <v>45566</v>
      </c>
      <c r="AZ1027" s="333">
        <v>95</v>
      </c>
      <c r="BA1027" s="859" t="s">
        <v>968</v>
      </c>
      <c r="BB1027" s="644" t="s">
        <v>870</v>
      </c>
      <c r="BC1027" s="544" t="s">
        <v>116</v>
      </c>
      <c r="BD1027" s="544" t="s">
        <v>969</v>
      </c>
      <c r="BE1027" s="544" t="s">
        <v>970</v>
      </c>
      <c r="BF1027" s="544" t="s">
        <v>709</v>
      </c>
      <c r="BG1027" s="548" t="s">
        <v>971</v>
      </c>
      <c r="BH1027" s="749" t="s">
        <v>972</v>
      </c>
      <c r="BI1027" s="547" t="s">
        <v>709</v>
      </c>
      <c r="BJ1027" s="547" t="s">
        <v>709</v>
      </c>
      <c r="BK1027" s="547" t="s">
        <v>709</v>
      </c>
      <c r="BL1027" s="547" t="s">
        <v>116</v>
      </c>
      <c r="BM1027" s="547" t="s">
        <v>709</v>
      </c>
      <c r="BN1027" s="547" t="s">
        <v>709</v>
      </c>
      <c r="BO1027" s="547" t="s">
        <v>709</v>
      </c>
      <c r="BP1027" s="547" t="s">
        <v>709</v>
      </c>
      <c r="BQ1027" s="547">
        <v>4733</v>
      </c>
      <c r="BR1027" s="547">
        <v>384</v>
      </c>
      <c r="BS1027" s="547">
        <v>429</v>
      </c>
      <c r="BT1027" s="547" t="s">
        <v>709</v>
      </c>
      <c r="BU1027" s="547" t="s">
        <v>709</v>
      </c>
      <c r="BV1027" s="547" t="s">
        <v>709</v>
      </c>
      <c r="BW1027" s="547" t="s">
        <v>709</v>
      </c>
      <c r="BX1027" s="547" t="s">
        <v>745</v>
      </c>
      <c r="BY1027" s="547" t="s">
        <v>709</v>
      </c>
      <c r="BZ1027" s="547" t="s">
        <v>709</v>
      </c>
      <c r="CA1027" s="483"/>
      <c r="CB1027" s="547">
        <v>1025</v>
      </c>
      <c r="CC1027" s="1481" t="b">
        <v>1</v>
      </c>
      <c r="CD1027" t="str">
        <f>Table15[[#This Row],[Engineering Number]]&amp;Table15[[#This Row],[WO Number]]&amp;Table15[[#This Row],[Date Assigned to Designer]]&amp;Table15[[#This Row],[Date Completed]]</f>
        <v>N1476612127864500545153</v>
      </c>
    </row>
    <row r="1028" spans="1:82" customFormat="1" ht="15" customHeight="1" x14ac:dyDescent="0.25">
      <c r="A1028">
        <v>2023</v>
      </c>
      <c r="B1028" s="8" t="s">
        <v>4</v>
      </c>
      <c r="C1028" s="8" t="s">
        <v>643</v>
      </c>
      <c r="D1028" s="8" t="s">
        <v>5912</v>
      </c>
      <c r="E1028" s="8" t="s">
        <v>5913</v>
      </c>
      <c r="F1028" s="8" t="s">
        <v>747</v>
      </c>
      <c r="G1028" s="8" t="s">
        <v>31</v>
      </c>
      <c r="H1028" s="8" t="s">
        <v>59</v>
      </c>
      <c r="I1028" s="642">
        <v>45100</v>
      </c>
      <c r="J1028" s="18">
        <v>45155</v>
      </c>
      <c r="K1028" s="97">
        <v>45154</v>
      </c>
      <c r="L1028" s="16">
        <f>IF(ISTEXT(Table15[[#This Row],[Engineering Approved Design Date]]),Table15[[#This Row],[Date Completed]]-Table15[[#This Row],[Date Assigned to Designer]],Table15[[#This Row],[Engineering Approved Design Date]]-Table15[[#This Row],[Date Completed]])</f>
        <v>1</v>
      </c>
      <c r="M1028" s="642"/>
      <c r="N1028" s="642" t="s">
        <v>120</v>
      </c>
      <c r="O1028" s="1060">
        <v>45170</v>
      </c>
      <c r="P1028" s="1152" t="s">
        <v>739</v>
      </c>
      <c r="Q1028" s="340">
        <f>Table15[[#This Row],[Rate]]*Table15[[#This Row],[Construction Cost to Bill From]]</f>
        <v>14183</v>
      </c>
      <c r="R1028" s="1026">
        <v>0.1</v>
      </c>
      <c r="S1028" s="538"/>
      <c r="T1028" s="538"/>
      <c r="U1028" s="87"/>
      <c r="V1028" s="858">
        <v>434</v>
      </c>
      <c r="W1028" s="437">
        <v>0</v>
      </c>
      <c r="X1028" s="538">
        <v>130178.27</v>
      </c>
      <c r="Y1028" s="551"/>
      <c r="Z1028" s="570">
        <v>11651.73</v>
      </c>
      <c r="AA1028" s="552">
        <f>SUM(Table15[[#This Row],[PCTS Investment Amount]:[PCTS Retirement Amount]])</f>
        <v>141830</v>
      </c>
      <c r="AB1028" s="341">
        <v>45156</v>
      </c>
      <c r="AC1028" s="568" t="s">
        <v>116</v>
      </c>
      <c r="AD1028" s="1157" t="s">
        <v>29</v>
      </c>
      <c r="AE1028" s="568" t="s">
        <v>756</v>
      </c>
      <c r="AF1028" s="568" t="s">
        <v>116</v>
      </c>
      <c r="AG1028" s="569" t="s">
        <v>116</v>
      </c>
      <c r="AH1028" s="183">
        <v>45162</v>
      </c>
      <c r="AI1028" s="1036"/>
      <c r="AJ1028" s="1037"/>
      <c r="AK1028" s="1037"/>
      <c r="AL1028" s="1038"/>
      <c r="AM1028" s="1522" t="s">
        <v>116</v>
      </c>
      <c r="AN1028" s="1523">
        <v>45187</v>
      </c>
      <c r="AO1028" s="1524">
        <v>11071362</v>
      </c>
      <c r="AP1028" s="1525">
        <v>130178.27</v>
      </c>
      <c r="AQ1028" s="1525"/>
      <c r="AR1028" s="1525">
        <v>11651.73</v>
      </c>
      <c r="AS1028" s="1525">
        <f>IF(Table15[[#This Row],[PCTS Approved]]="N",0,Table15[[#This Row],[Investment Amount (1'#'#'#'#'#)]]+Table15[[#This Row],[Retirement Amount (3'#'#'#'#'#)]])</f>
        <v>141830</v>
      </c>
      <c r="AT1028" s="1525">
        <f>IF(Table15[[#This Row],[Approved Construction Cost]]=0,0,Table15[[#This Row],[Approved Construction Cost]]-Table15[[#This Row],[Construction Cost to Bill From]])</f>
        <v>0</v>
      </c>
      <c r="AU1028" s="1525">
        <f>IFERROR(Table15[[#This Row],[Difference in Construction Cost]]*Table15[[#This Row],[Rate]],Table15[[#This Row],[Difference in Construction Cost]]*0.085)</f>
        <v>0</v>
      </c>
      <c r="AV1028" s="1525" t="s">
        <v>709</v>
      </c>
      <c r="AW1028" s="1526"/>
      <c r="AX1028" s="1525">
        <v>0</v>
      </c>
      <c r="AY1028" s="1518">
        <v>45352</v>
      </c>
      <c r="AZ1028" s="1532"/>
      <c r="BA1028" s="1076" t="s">
        <v>5914</v>
      </c>
      <c r="BB1028" s="653" t="s">
        <v>5915</v>
      </c>
      <c r="BC1028" s="544" t="s">
        <v>709</v>
      </c>
      <c r="BD1028" s="544" t="s">
        <v>709</v>
      </c>
      <c r="BE1028" s="559" t="s">
        <v>641</v>
      </c>
      <c r="BF1028" s="554" t="s">
        <v>709</v>
      </c>
      <c r="BG1028" s="548" t="s">
        <v>709</v>
      </c>
      <c r="BH1028" s="749" t="s">
        <v>5916</v>
      </c>
      <c r="BI1028" s="547" t="s">
        <v>709</v>
      </c>
      <c r="BJ1028" s="547" t="s">
        <v>709</v>
      </c>
      <c r="BK1028" s="547" t="s">
        <v>709</v>
      </c>
      <c r="BL1028" s="547" t="s">
        <v>116</v>
      </c>
      <c r="BM1028" s="547" t="s">
        <v>709</v>
      </c>
      <c r="BN1028" s="547" t="s">
        <v>709</v>
      </c>
      <c r="BO1028" s="547" t="s">
        <v>709</v>
      </c>
      <c r="BP1028" s="547" t="s">
        <v>709</v>
      </c>
      <c r="BQ1028" s="547" t="s">
        <v>709</v>
      </c>
      <c r="BR1028" s="547" t="s">
        <v>709</v>
      </c>
      <c r="BS1028" s="547">
        <v>434</v>
      </c>
      <c r="BT1028" s="547" t="s">
        <v>709</v>
      </c>
      <c r="BU1028" s="547" t="s">
        <v>709</v>
      </c>
      <c r="BV1028" s="547" t="s">
        <v>709</v>
      </c>
      <c r="BW1028" s="547" t="s">
        <v>709</v>
      </c>
      <c r="BX1028" s="547" t="s">
        <v>745</v>
      </c>
      <c r="BY1028" s="547" t="s">
        <v>709</v>
      </c>
      <c r="BZ1028" s="547" t="s">
        <v>709</v>
      </c>
      <c r="CA1028" s="483"/>
      <c r="CB1028" s="547">
        <v>1026</v>
      </c>
      <c r="CC1028" s="1481" t="b">
        <v>1</v>
      </c>
      <c r="CD1028" t="str">
        <f>Table15[[#This Row],[Engineering Number]]&amp;Table15[[#This Row],[WO Number]]&amp;Table15[[#This Row],[Date Assigned to Designer]]&amp;Table15[[#This Row],[Date Completed]]</f>
        <v>SC2329014129484510045154</v>
      </c>
    </row>
    <row r="1029" spans="1:82" customFormat="1" ht="15" customHeight="1" x14ac:dyDescent="0.25">
      <c r="A1029">
        <v>2023</v>
      </c>
      <c r="B1029" s="8" t="s">
        <v>4</v>
      </c>
      <c r="C1029" s="8" t="s">
        <v>414</v>
      </c>
      <c r="D1029" s="8" t="s">
        <v>1620</v>
      </c>
      <c r="E1029" s="8" t="s">
        <v>415</v>
      </c>
      <c r="F1029" s="8" t="s">
        <v>784</v>
      </c>
      <c r="G1029" s="8" t="s">
        <v>25</v>
      </c>
      <c r="H1029" s="8" t="s">
        <v>59</v>
      </c>
      <c r="I1029" s="642">
        <v>44946</v>
      </c>
      <c r="J1029" s="18">
        <v>45156</v>
      </c>
      <c r="K1029" s="97">
        <v>45155</v>
      </c>
      <c r="L1029" s="16">
        <f>IF(ISTEXT(Table15[[#This Row],[Engineering Approved Design Date]]),Table15[[#This Row],[Date Completed]]-Table15[[#This Row],[Date Assigned to Designer]],Table15[[#This Row],[Engineering Approved Design Date]]-Table15[[#This Row],[Date Completed]])</f>
        <v>1</v>
      </c>
      <c r="M1029" s="642"/>
      <c r="N1029" s="642" t="s">
        <v>120</v>
      </c>
      <c r="O1029" s="1060">
        <v>45170</v>
      </c>
      <c r="P1029" s="1152" t="s">
        <v>739</v>
      </c>
      <c r="Q1029" s="340">
        <f>Table15[[#This Row],[Rate]]*Table15[[#This Row],[Construction Cost to Bill From]]</f>
        <v>125752.53700000001</v>
      </c>
      <c r="R1029" s="1026">
        <v>0.1</v>
      </c>
      <c r="S1029" s="538"/>
      <c r="T1029" s="538"/>
      <c r="U1029" s="87"/>
      <c r="V1029" s="858">
        <v>1441</v>
      </c>
      <c r="W1029" s="437">
        <v>0</v>
      </c>
      <c r="X1029" s="538">
        <v>1112669.8700000001</v>
      </c>
      <c r="Y1029" s="551"/>
      <c r="Z1029" s="570">
        <v>144855.5</v>
      </c>
      <c r="AA1029" s="552">
        <f>SUM(Table15[[#This Row],[PCTS Investment Amount]:[PCTS Retirement Amount]])</f>
        <v>1257525.3700000001</v>
      </c>
      <c r="AB1029" s="341">
        <v>45125</v>
      </c>
      <c r="AC1029" s="568" t="s">
        <v>116</v>
      </c>
      <c r="AD1029" s="1157" t="s">
        <v>29</v>
      </c>
      <c r="AE1029" s="568" t="s">
        <v>756</v>
      </c>
      <c r="AF1029" s="568" t="s">
        <v>116</v>
      </c>
      <c r="AG1029" s="568" t="s">
        <v>116</v>
      </c>
      <c r="AH1029" s="183">
        <v>45160</v>
      </c>
      <c r="AI1029" s="1036"/>
      <c r="AJ1029" s="1037"/>
      <c r="AK1029" s="1037"/>
      <c r="AL1029" s="1038"/>
      <c r="AM1029" s="1522" t="s">
        <v>116</v>
      </c>
      <c r="AN1029" s="1523">
        <v>45642</v>
      </c>
      <c r="AO1029" s="1524">
        <v>11092315</v>
      </c>
      <c r="AP1029" s="1525">
        <v>1087444.94</v>
      </c>
      <c r="AQ1029" s="1525"/>
      <c r="AR1029" s="1525">
        <v>146759.64000000001</v>
      </c>
      <c r="AS1029" s="1525">
        <f>IF(Table15[[#This Row],[PCTS Approved]]="N",0,Table15[[#This Row],[Investment Amount (1'#'#'#'#'#)]]+Table15[[#This Row],[Retirement Amount (3'#'#'#'#'#)]])</f>
        <v>1234204.58</v>
      </c>
      <c r="AT1029" s="1525">
        <f>IF(Table15[[#This Row],[Approved Construction Cost]]=0,0,Table15[[#This Row],[Approved Construction Cost]]-Table15[[#This Row],[Construction Cost to Bill From]])</f>
        <v>-23320.790000000037</v>
      </c>
      <c r="AU1029" s="1525">
        <f>IFERROR(Table15[[#This Row],[Difference in Construction Cost]]*Table15[[#This Row],[Rate]],Table15[[#This Row],[Difference in Construction Cost]]*0.085)</f>
        <v>-2332.0790000000038</v>
      </c>
      <c r="AV1029" s="1525">
        <v>4732.5</v>
      </c>
      <c r="AW1029" s="1526" t="s">
        <v>5918</v>
      </c>
      <c r="AX1029" s="1525">
        <v>0</v>
      </c>
      <c r="AY1029" s="1518">
        <v>45901</v>
      </c>
      <c r="AZ1029" s="333">
        <v>96</v>
      </c>
      <c r="BA1029" s="1076" t="s">
        <v>1621</v>
      </c>
      <c r="BB1029" s="653" t="s">
        <v>870</v>
      </c>
      <c r="BC1029" s="544" t="s">
        <v>116</v>
      </c>
      <c r="BD1029" s="544" t="s">
        <v>709</v>
      </c>
      <c r="BE1029" s="559" t="s">
        <v>1622</v>
      </c>
      <c r="BF1029" s="554" t="s">
        <v>709</v>
      </c>
      <c r="BG1029" s="548" t="s">
        <v>709</v>
      </c>
      <c r="BH1029" s="749"/>
      <c r="BI1029" s="547" t="s">
        <v>709</v>
      </c>
      <c r="BJ1029" s="547" t="s">
        <v>709</v>
      </c>
      <c r="BK1029" s="547" t="s">
        <v>709</v>
      </c>
      <c r="BL1029" s="547" t="s">
        <v>116</v>
      </c>
      <c r="BM1029" s="547" t="s">
        <v>709</v>
      </c>
      <c r="BN1029" s="547" t="s">
        <v>709</v>
      </c>
      <c r="BO1029" s="547" t="s">
        <v>709</v>
      </c>
      <c r="BP1029" s="547">
        <v>723</v>
      </c>
      <c r="BQ1029" s="547">
        <v>591</v>
      </c>
      <c r="BR1029" s="547" t="s">
        <v>709</v>
      </c>
      <c r="BS1029" s="547">
        <v>127</v>
      </c>
      <c r="BT1029" s="547" t="s">
        <v>709</v>
      </c>
      <c r="BU1029" s="547" t="s">
        <v>709</v>
      </c>
      <c r="BV1029" s="547" t="s">
        <v>745</v>
      </c>
      <c r="BW1029" s="547" t="s">
        <v>709</v>
      </c>
      <c r="BX1029" s="547" t="s">
        <v>709</v>
      </c>
      <c r="BY1029" s="547" t="s">
        <v>709</v>
      </c>
      <c r="BZ1029" s="547" t="s">
        <v>709</v>
      </c>
      <c r="CA1029" s="483"/>
      <c r="CB1029" s="547">
        <v>1027</v>
      </c>
      <c r="CC1029" s="1481" t="b">
        <v>1</v>
      </c>
      <c r="CD1029" t="str">
        <f>Table15[[#This Row],[Engineering Number]]&amp;Table15[[#This Row],[WO Number]]&amp;Table15[[#This Row],[Date Assigned to Designer]]&amp;Table15[[#This Row],[Date Completed]]</f>
        <v>M1419412125264494645155</v>
      </c>
    </row>
    <row r="1030" spans="1:82" customFormat="1" ht="15" customHeight="1" x14ac:dyDescent="0.25">
      <c r="A1030">
        <v>2023</v>
      </c>
      <c r="B1030" s="8" t="s">
        <v>1073</v>
      </c>
      <c r="C1030" s="8" t="s">
        <v>5920</v>
      </c>
      <c r="D1030" s="8" t="s">
        <v>5921</v>
      </c>
      <c r="E1030" s="8" t="s">
        <v>232</v>
      </c>
      <c r="F1030" s="8" t="s">
        <v>851</v>
      </c>
      <c r="G1030" s="8" t="s">
        <v>32</v>
      </c>
      <c r="H1030" s="13" t="s">
        <v>59</v>
      </c>
      <c r="I1030" s="642">
        <v>45103</v>
      </c>
      <c r="J1030" s="18">
        <v>45163</v>
      </c>
      <c r="K1030" s="175">
        <v>45156</v>
      </c>
      <c r="L1030" s="16">
        <f>IF(ISTEXT(Table15[[#This Row],[Engineering Approved Design Date]]),Table15[[#This Row],[Date Completed]]-Table15[[#This Row],[Date Assigned to Designer]],Table15[[#This Row],[Engineering Approved Design Date]]-Table15[[#This Row],[Date Completed]])</f>
        <v>7</v>
      </c>
      <c r="M1030" s="642"/>
      <c r="N1030" s="642" t="s">
        <v>120</v>
      </c>
      <c r="O1030" s="1060">
        <v>45139</v>
      </c>
      <c r="P1030" s="1152" t="s">
        <v>739</v>
      </c>
      <c r="Q1030" s="340">
        <f>Table15[[#This Row],[Rate]]*Table15[[#This Row],[Construction Cost to Bill From]]</f>
        <v>7453.4656000000004</v>
      </c>
      <c r="R1030" s="1026">
        <v>0.08</v>
      </c>
      <c r="S1030" s="538"/>
      <c r="T1030" s="538"/>
      <c r="U1030" s="87"/>
      <c r="V1030" s="858">
        <v>0</v>
      </c>
      <c r="W1030" s="437">
        <v>0</v>
      </c>
      <c r="X1030" s="570">
        <v>93168.320000000007</v>
      </c>
      <c r="Y1030" s="551"/>
      <c r="Z1030" s="552">
        <v>0</v>
      </c>
      <c r="AA1030" s="552">
        <f>SUM(Table15[[#This Row],[PCTS Investment Amount]:[PCTS Retirement Amount]])</f>
        <v>93168.320000000007</v>
      </c>
      <c r="AB1030" s="341">
        <v>45157</v>
      </c>
      <c r="AC1030" s="568" t="s">
        <v>1177</v>
      </c>
      <c r="AD1030" s="1157" t="s">
        <v>29</v>
      </c>
      <c r="AE1030" s="568" t="s">
        <v>709</v>
      </c>
      <c r="AF1030" s="568" t="s">
        <v>756</v>
      </c>
      <c r="AG1030" s="568" t="s">
        <v>116</v>
      </c>
      <c r="AH1030" s="183" t="s">
        <v>709</v>
      </c>
      <c r="AI1030" s="1036"/>
      <c r="AJ1030" s="1037"/>
      <c r="AK1030" s="1037"/>
      <c r="AL1030" s="1038"/>
      <c r="AM1030" s="1522" t="s">
        <v>116</v>
      </c>
      <c r="AN1030" s="1523">
        <v>45223</v>
      </c>
      <c r="AO1030" s="1524">
        <v>11072999</v>
      </c>
      <c r="AP1030" s="1525">
        <v>95540.83</v>
      </c>
      <c r="AQ1030" s="1525"/>
      <c r="AR1030" s="1525">
        <v>0</v>
      </c>
      <c r="AS1030" s="1525">
        <f>IF(Table15[[#This Row],[PCTS Approved]]="N",0,Table15[[#This Row],[Investment Amount (1'#'#'#'#'#)]]+Table15[[#This Row],[Retirement Amount (3'#'#'#'#'#)]])</f>
        <v>95540.83</v>
      </c>
      <c r="AT1030" s="1525">
        <f>IF(Table15[[#This Row],[Approved Construction Cost]]=0,0,Table15[[#This Row],[Approved Construction Cost]]-Table15[[#This Row],[Construction Cost to Bill From]])</f>
        <v>2372.5099999999948</v>
      </c>
      <c r="AU1030" s="1525">
        <f>IFERROR(Table15[[#This Row],[Difference in Construction Cost]]*Table15[[#This Row],[Rate]],Table15[[#This Row],[Difference in Construction Cost]]*0.085)</f>
        <v>189.80079999999958</v>
      </c>
      <c r="AV1030" s="1525" t="s">
        <v>709</v>
      </c>
      <c r="AW1030" s="1526"/>
      <c r="AX1030" s="1525">
        <v>189.8</v>
      </c>
      <c r="AY1030" s="1518">
        <v>45352</v>
      </c>
      <c r="AZ1030" s="333"/>
      <c r="BA1030" s="859" t="s">
        <v>5922</v>
      </c>
      <c r="BB1030" s="644" t="s">
        <v>5892</v>
      </c>
      <c r="BC1030" s="544" t="s">
        <v>709</v>
      </c>
      <c r="BD1030" s="544" t="s">
        <v>837</v>
      </c>
      <c r="BE1030" s="544" t="s">
        <v>595</v>
      </c>
      <c r="BF1030" s="544" t="s">
        <v>838</v>
      </c>
      <c r="BG1030" s="544" t="s">
        <v>1582</v>
      </c>
      <c r="BH1030" s="741" t="s">
        <v>5797</v>
      </c>
      <c r="BI1030" s="547" t="s">
        <v>709</v>
      </c>
      <c r="BJ1030" s="547" t="s">
        <v>709</v>
      </c>
      <c r="BK1030" s="547" t="s">
        <v>116</v>
      </c>
      <c r="BL1030" s="547" t="s">
        <v>116</v>
      </c>
      <c r="BM1030" s="547">
        <v>0</v>
      </c>
      <c r="BN1030" s="549">
        <v>0</v>
      </c>
      <c r="BO1030" s="547">
        <v>0</v>
      </c>
      <c r="BP1030" s="547">
        <v>0</v>
      </c>
      <c r="BQ1030" s="547">
        <v>0</v>
      </c>
      <c r="BR1030" s="547">
        <v>326</v>
      </c>
      <c r="BS1030" s="547">
        <v>0</v>
      </c>
      <c r="BT1030" s="547">
        <v>0</v>
      </c>
      <c r="BU1030" s="549">
        <v>0</v>
      </c>
      <c r="BV1030" s="547">
        <v>0</v>
      </c>
      <c r="BW1030" s="547">
        <v>0</v>
      </c>
      <c r="BX1030" s="547">
        <v>0</v>
      </c>
      <c r="BY1030" s="547">
        <v>1</v>
      </c>
      <c r="BZ1030" s="547" t="s">
        <v>709</v>
      </c>
      <c r="CA1030" s="483" t="s">
        <v>2739</v>
      </c>
      <c r="CB1030" s="547">
        <v>1028</v>
      </c>
      <c r="CC1030" s="1481" t="b">
        <v>1</v>
      </c>
      <c r="CD1030" t="str">
        <f>Table15[[#This Row],[Engineering Number]]&amp;Table15[[#This Row],[WO Number]]&amp;Table15[[#This Row],[Date Assigned to Designer]]&amp;Table15[[#This Row],[Date Completed]]</f>
        <v>NBA1001207019129964510345156</v>
      </c>
    </row>
    <row r="1031" spans="1:82" customFormat="1" ht="15" customHeight="1" x14ac:dyDescent="0.25">
      <c r="A1031">
        <v>2023</v>
      </c>
      <c r="B1031" s="8" t="s">
        <v>1073</v>
      </c>
      <c r="C1031" s="8" t="s">
        <v>5920</v>
      </c>
      <c r="D1031" s="8" t="s">
        <v>5924</v>
      </c>
      <c r="E1031" s="8" t="s">
        <v>232</v>
      </c>
      <c r="F1031" s="8" t="s">
        <v>851</v>
      </c>
      <c r="G1031" s="8" t="s">
        <v>32</v>
      </c>
      <c r="H1031" s="13" t="s">
        <v>59</v>
      </c>
      <c r="I1031" s="642">
        <v>45103</v>
      </c>
      <c r="J1031" s="18">
        <v>45163</v>
      </c>
      <c r="K1031" s="175">
        <v>45156</v>
      </c>
      <c r="L1031" s="16">
        <f>IF(ISTEXT(Table15[[#This Row],[Engineering Approved Design Date]]),Table15[[#This Row],[Date Completed]]-Table15[[#This Row],[Date Assigned to Designer]],Table15[[#This Row],[Engineering Approved Design Date]]-Table15[[#This Row],[Date Completed]])</f>
        <v>7</v>
      </c>
      <c r="M1031" s="642"/>
      <c r="N1031" s="642" t="s">
        <v>120</v>
      </c>
      <c r="O1031" s="1060">
        <v>45139</v>
      </c>
      <c r="P1031" s="1152" t="s">
        <v>739</v>
      </c>
      <c r="Q1031" s="340">
        <f>Table15[[#This Row],[Rate]]*Table15[[#This Row],[Construction Cost to Bill From]]</f>
        <v>5938.0631999999996</v>
      </c>
      <c r="R1031" s="1026">
        <v>0.08</v>
      </c>
      <c r="S1031" s="538"/>
      <c r="T1031" s="538"/>
      <c r="U1031" s="87"/>
      <c r="V1031" s="858">
        <v>326</v>
      </c>
      <c r="W1031" s="437">
        <v>0</v>
      </c>
      <c r="X1031" s="570">
        <v>74225.789999999994</v>
      </c>
      <c r="Y1031" s="551"/>
      <c r="Z1031" s="552">
        <v>0</v>
      </c>
      <c r="AA1031" s="552">
        <f>SUM(Table15[[#This Row],[PCTS Investment Amount]:[PCTS Retirement Amount]])</f>
        <v>74225.789999999994</v>
      </c>
      <c r="AB1031" s="341">
        <v>45157</v>
      </c>
      <c r="AC1031" s="568" t="s">
        <v>709</v>
      </c>
      <c r="AD1031" s="1157" t="s">
        <v>29</v>
      </c>
      <c r="AE1031" s="568" t="s">
        <v>709</v>
      </c>
      <c r="AF1031" s="568" t="s">
        <v>756</v>
      </c>
      <c r="AG1031" s="568" t="s">
        <v>116</v>
      </c>
      <c r="AH1031" s="183" t="s">
        <v>709</v>
      </c>
      <c r="AI1031" s="1036"/>
      <c r="AJ1031" s="1037"/>
      <c r="AK1031" s="1037"/>
      <c r="AL1031" s="1038"/>
      <c r="AM1031" s="1522" t="s">
        <v>116</v>
      </c>
      <c r="AN1031" s="1523">
        <v>45223</v>
      </c>
      <c r="AO1031" s="1524">
        <v>11072998</v>
      </c>
      <c r="AP1031" s="1525">
        <v>74770.91</v>
      </c>
      <c r="AQ1031" s="1525"/>
      <c r="AR1031" s="1525">
        <v>0</v>
      </c>
      <c r="AS1031" s="1525">
        <f>IF(Table15[[#This Row],[PCTS Approved]]="N",0,Table15[[#This Row],[Investment Amount (1'#'#'#'#'#)]]+Table15[[#This Row],[Retirement Amount (3'#'#'#'#'#)]])</f>
        <v>74770.91</v>
      </c>
      <c r="AT1031" s="1525">
        <f>IF(Table15[[#This Row],[Approved Construction Cost]]=0,0,Table15[[#This Row],[Approved Construction Cost]]-Table15[[#This Row],[Construction Cost to Bill From]])</f>
        <v>545.1200000000099</v>
      </c>
      <c r="AU1031" s="1525">
        <f>IFERROR(Table15[[#This Row],[Difference in Construction Cost]]*Table15[[#This Row],[Rate]],Table15[[#This Row],[Difference in Construction Cost]]*0.085)</f>
        <v>43.609600000000789</v>
      </c>
      <c r="AV1031" s="1525" t="s">
        <v>709</v>
      </c>
      <c r="AW1031" s="1526"/>
      <c r="AX1031" s="1525">
        <v>43.61</v>
      </c>
      <c r="AY1031" s="1518">
        <v>45352</v>
      </c>
      <c r="AZ1031" s="333"/>
      <c r="BA1031" s="859" t="s">
        <v>5925</v>
      </c>
      <c r="BB1031" s="644" t="s">
        <v>5892</v>
      </c>
      <c r="BC1031" s="544" t="s">
        <v>709</v>
      </c>
      <c r="BD1031" s="544" t="s">
        <v>837</v>
      </c>
      <c r="BE1031" s="544" t="s">
        <v>595</v>
      </c>
      <c r="BF1031" s="544" t="s">
        <v>838</v>
      </c>
      <c r="BG1031" s="544" t="s">
        <v>5898</v>
      </c>
      <c r="BH1031" s="741" t="s">
        <v>5797</v>
      </c>
      <c r="BI1031" s="547" t="s">
        <v>709</v>
      </c>
      <c r="BJ1031" s="547" t="s">
        <v>709</v>
      </c>
      <c r="BK1031" s="547" t="s">
        <v>116</v>
      </c>
      <c r="BL1031" s="547" t="s">
        <v>116</v>
      </c>
      <c r="BM1031" s="547">
        <v>0</v>
      </c>
      <c r="BN1031" s="549">
        <v>0</v>
      </c>
      <c r="BO1031" s="547">
        <v>0</v>
      </c>
      <c r="BP1031" s="547">
        <v>0</v>
      </c>
      <c r="BQ1031" s="547">
        <v>0</v>
      </c>
      <c r="BR1031" s="547">
        <v>326</v>
      </c>
      <c r="BS1031" s="547">
        <v>0</v>
      </c>
      <c r="BT1031" s="547">
        <v>0</v>
      </c>
      <c r="BU1031" s="549">
        <v>0</v>
      </c>
      <c r="BV1031" s="547">
        <v>0</v>
      </c>
      <c r="BW1031" s="547">
        <v>0</v>
      </c>
      <c r="BX1031" s="547">
        <v>0</v>
      </c>
      <c r="BY1031" s="547">
        <v>1</v>
      </c>
      <c r="BZ1031" s="547" t="s">
        <v>709</v>
      </c>
      <c r="CA1031" s="483" t="s">
        <v>2739</v>
      </c>
      <c r="CB1031" s="547">
        <v>1029</v>
      </c>
      <c r="CC1031" s="1481" t="b">
        <v>1</v>
      </c>
      <c r="CD1031" t="str">
        <f>Table15[[#This Row],[Engineering Number]]&amp;Table15[[#This Row],[WO Number]]&amp;Table15[[#This Row],[Date Assigned to Designer]]&amp;Table15[[#This Row],[Date Completed]]</f>
        <v>NBA1001207019129954510345156</v>
      </c>
    </row>
    <row r="1032" spans="1:82" customFormat="1" ht="15" customHeight="1" x14ac:dyDescent="0.25">
      <c r="A1032">
        <v>2023</v>
      </c>
      <c r="B1032" s="8" t="s">
        <v>771</v>
      </c>
      <c r="C1032" s="8" t="s">
        <v>5425</v>
      </c>
      <c r="D1032" s="8">
        <v>1212067</v>
      </c>
      <c r="E1032" s="8" t="s">
        <v>2350</v>
      </c>
      <c r="F1032" s="8" t="s">
        <v>784</v>
      </c>
      <c r="G1032" s="8" t="s">
        <v>31</v>
      </c>
      <c r="H1032" s="8" t="s">
        <v>4189</v>
      </c>
      <c r="I1032" s="642">
        <v>45106</v>
      </c>
      <c r="J1032" s="175" t="s">
        <v>2052</v>
      </c>
      <c r="K1032" s="97">
        <v>45159</v>
      </c>
      <c r="L1032" s="16">
        <f>IF(ISTEXT(Table15[[#This Row],[Engineering Approved Design Date]]),Table15[[#This Row],[Date Completed]]-Table15[[#This Row],[Date Assigned to Designer]],Table15[[#This Row],[Engineering Approved Design Date]]-Table15[[#This Row],[Date Completed]])</f>
        <v>53</v>
      </c>
      <c r="M1032" s="16" t="s">
        <v>5927</v>
      </c>
      <c r="N1032" s="642" t="s">
        <v>120</v>
      </c>
      <c r="O1032" s="1060">
        <v>45170</v>
      </c>
      <c r="P1032" s="1152" t="s">
        <v>120</v>
      </c>
      <c r="Q1032" s="1061">
        <f>Table15[[#This Row],[KH Hourly Effort]]</f>
        <v>7447.5</v>
      </c>
      <c r="R1032" s="1039" t="s">
        <v>1922</v>
      </c>
      <c r="S1032" s="538"/>
      <c r="T1032" s="538"/>
      <c r="U1032" s="1078">
        <v>7447.5</v>
      </c>
      <c r="V1032" s="857">
        <v>2620</v>
      </c>
      <c r="W1032" s="440"/>
      <c r="X1032" s="538"/>
      <c r="Y1032" s="551"/>
      <c r="Z1032" s="538"/>
      <c r="AA1032" s="552">
        <f>SUM(Table15[[#This Row],[PCTS Investment Amount]:[PCTS Retirement Amount]])</f>
        <v>0</v>
      </c>
      <c r="AB1032" s="341" t="s">
        <v>29</v>
      </c>
      <c r="AC1032" s="569" t="s">
        <v>29</v>
      </c>
      <c r="AD1032" s="1149" t="s">
        <v>29</v>
      </c>
      <c r="AE1032" s="569" t="s">
        <v>756</v>
      </c>
      <c r="AF1032" s="569" t="s">
        <v>756</v>
      </c>
      <c r="AG1032" s="569" t="s">
        <v>29</v>
      </c>
      <c r="AH1032" s="536" t="s">
        <v>29</v>
      </c>
      <c r="AI1032" s="1028"/>
      <c r="AJ1032" s="1029"/>
      <c r="AK1032" s="1029"/>
      <c r="AL1032" s="1030"/>
      <c r="AM1032" s="542" t="s">
        <v>709</v>
      </c>
      <c r="AN1032" s="924"/>
      <c r="AO1032" s="925"/>
      <c r="AP1032" s="926"/>
      <c r="AQ1032" s="926"/>
      <c r="AR1032" s="926"/>
      <c r="AS1032" s="926"/>
      <c r="AT1032" s="926"/>
      <c r="AU1032" s="926"/>
      <c r="AV1032" s="926"/>
      <c r="AW1032" s="927"/>
      <c r="AX1032" s="926"/>
      <c r="AY1032" s="1538" t="s">
        <v>29</v>
      </c>
      <c r="AZ1032" s="1530"/>
      <c r="BA1032" s="1031">
        <v>2</v>
      </c>
      <c r="BB1032" s="644" t="s">
        <v>745</v>
      </c>
      <c r="BC1032" s="544"/>
      <c r="BD1032" s="544"/>
      <c r="BE1032" s="544"/>
      <c r="BF1032" s="544"/>
      <c r="BG1032" s="544"/>
      <c r="BH1032" s="741"/>
      <c r="BI1032" s="547" t="s">
        <v>709</v>
      </c>
      <c r="BJ1032" s="547" t="s">
        <v>709</v>
      </c>
      <c r="BK1032" s="547" t="s">
        <v>709</v>
      </c>
      <c r="BL1032" s="547" t="s">
        <v>116</v>
      </c>
      <c r="BM1032" s="547" t="s">
        <v>709</v>
      </c>
      <c r="BN1032" s="547" t="s">
        <v>709</v>
      </c>
      <c r="BO1032" s="547" t="s">
        <v>709</v>
      </c>
      <c r="BP1032" s="547" t="s">
        <v>709</v>
      </c>
      <c r="BQ1032" s="547" t="s">
        <v>709</v>
      </c>
      <c r="BR1032" s="547" t="s">
        <v>709</v>
      </c>
      <c r="BS1032" s="547">
        <v>2620</v>
      </c>
      <c r="BT1032" s="547" t="s">
        <v>709</v>
      </c>
      <c r="BU1032" s="547" t="s">
        <v>709</v>
      </c>
      <c r="BV1032" s="547" t="s">
        <v>709</v>
      </c>
      <c r="BW1032" s="547" t="s">
        <v>709</v>
      </c>
      <c r="BX1032" s="547" t="s">
        <v>745</v>
      </c>
      <c r="BY1032" s="547" t="s">
        <v>709</v>
      </c>
      <c r="BZ1032" s="547" t="s">
        <v>709</v>
      </c>
      <c r="CA1032" s="483"/>
      <c r="CB1032" s="547">
        <v>1030</v>
      </c>
      <c r="CC1032" s="1481" t="b">
        <v>1</v>
      </c>
      <c r="CD1032" t="str">
        <f>Table15[[#This Row],[Engineering Number]]&amp;Table15[[#This Row],[WO Number]]&amp;Table15[[#This Row],[Date Assigned to Designer]]&amp;Table15[[#This Row],[Date Completed]]</f>
        <v>BS34012120674510645159</v>
      </c>
    </row>
    <row r="1033" spans="1:82" customFormat="1" ht="15" customHeight="1" x14ac:dyDescent="0.25">
      <c r="A1033">
        <v>2023</v>
      </c>
      <c r="B1033" s="8" t="s">
        <v>771</v>
      </c>
      <c r="C1033" s="8" t="s">
        <v>283</v>
      </c>
      <c r="D1033" s="8">
        <v>1213062</v>
      </c>
      <c r="E1033" s="8" t="s">
        <v>284</v>
      </c>
      <c r="F1033" s="8" t="s">
        <v>747</v>
      </c>
      <c r="G1033" s="8" t="s">
        <v>24</v>
      </c>
      <c r="H1033" s="8" t="s">
        <v>3178</v>
      </c>
      <c r="I1033" s="642">
        <v>45071</v>
      </c>
      <c r="J1033" s="175" t="s">
        <v>2052</v>
      </c>
      <c r="K1033" s="97">
        <v>45159</v>
      </c>
      <c r="L1033" s="16">
        <f>IF(ISTEXT(Table15[[#This Row],[Engineering Approved Design Date]]),Table15[[#This Row],[Date Completed]]-Table15[[#This Row],[Date Assigned to Designer]],Table15[[#This Row],[Engineering Approved Design Date]]-Table15[[#This Row],[Date Completed]])</f>
        <v>88</v>
      </c>
      <c r="M1033" s="16" t="s">
        <v>5929</v>
      </c>
      <c r="N1033" s="642" t="s">
        <v>120</v>
      </c>
      <c r="O1033" s="1060">
        <v>45170</v>
      </c>
      <c r="P1033" s="1152" t="s">
        <v>120</v>
      </c>
      <c r="Q1033" s="1061">
        <f>Table15[[#This Row],[KH Hourly Effort]]</f>
        <v>15845</v>
      </c>
      <c r="R1033" s="1039" t="s">
        <v>1922</v>
      </c>
      <c r="S1033" s="538"/>
      <c r="T1033" s="538"/>
      <c r="U1033" s="1078">
        <v>15845</v>
      </c>
      <c r="V1033" s="857">
        <v>962</v>
      </c>
      <c r="W1033" s="440"/>
      <c r="X1033" s="538"/>
      <c r="Y1033" s="551"/>
      <c r="Z1033" s="538"/>
      <c r="AA1033" s="552">
        <f>SUM(Table15[[#This Row],[PCTS Investment Amount]:[PCTS Retirement Amount]])</f>
        <v>0</v>
      </c>
      <c r="AB1033" s="341"/>
      <c r="AC1033" s="569"/>
      <c r="AD1033" s="1149" t="s">
        <v>116</v>
      </c>
      <c r="AE1033" s="569" t="s">
        <v>116</v>
      </c>
      <c r="AF1033" s="569" t="s">
        <v>116</v>
      </c>
      <c r="AG1033" s="569" t="s">
        <v>29</v>
      </c>
      <c r="AH1033" s="536" t="s">
        <v>29</v>
      </c>
      <c r="AI1033" s="1028"/>
      <c r="AJ1033" s="1029"/>
      <c r="AK1033" s="1029"/>
      <c r="AL1033" s="1030"/>
      <c r="AM1033" s="542" t="s">
        <v>709</v>
      </c>
      <c r="AN1033" s="924"/>
      <c r="AO1033" s="925"/>
      <c r="AP1033" s="926"/>
      <c r="AQ1033" s="926"/>
      <c r="AR1033" s="926"/>
      <c r="AS1033" s="926"/>
      <c r="AT1033" s="926"/>
      <c r="AU1033" s="926"/>
      <c r="AV1033" s="926"/>
      <c r="AW1033" s="927"/>
      <c r="AX1033" s="926"/>
      <c r="AY1033" s="1538" t="s">
        <v>29</v>
      </c>
      <c r="AZ1033" s="1530"/>
      <c r="BA1033" s="1031">
        <v>3</v>
      </c>
      <c r="BB1033" s="644" t="s">
        <v>116</v>
      </c>
      <c r="BC1033" s="544"/>
      <c r="BD1033" s="544" t="s">
        <v>882</v>
      </c>
      <c r="BE1033" s="544"/>
      <c r="BF1033" s="544"/>
      <c r="BG1033" s="544"/>
      <c r="BH1033" s="741"/>
      <c r="BI1033" s="547" t="s">
        <v>709</v>
      </c>
      <c r="BJ1033" s="547" t="s">
        <v>709</v>
      </c>
      <c r="BK1033" s="547" t="s">
        <v>709</v>
      </c>
      <c r="BL1033" s="547" t="s">
        <v>116</v>
      </c>
      <c r="BM1033" s="547" t="s">
        <v>709</v>
      </c>
      <c r="BN1033" s="547" t="s">
        <v>709</v>
      </c>
      <c r="BO1033" s="547" t="s">
        <v>709</v>
      </c>
      <c r="BP1033" s="547">
        <v>962</v>
      </c>
      <c r="BQ1033" s="547" t="s">
        <v>709</v>
      </c>
      <c r="BR1033" s="547" t="s">
        <v>709</v>
      </c>
      <c r="BS1033" s="547" t="s">
        <v>709</v>
      </c>
      <c r="BT1033" s="547" t="s">
        <v>709</v>
      </c>
      <c r="BU1033" s="547" t="s">
        <v>709</v>
      </c>
      <c r="BV1033" s="547" t="s">
        <v>709</v>
      </c>
      <c r="BW1033" s="547" t="s">
        <v>709</v>
      </c>
      <c r="BX1033" s="547" t="s">
        <v>745</v>
      </c>
      <c r="BY1033" s="547" t="s">
        <v>709</v>
      </c>
      <c r="BZ1033" s="547" t="s">
        <v>709</v>
      </c>
      <c r="CA1033" s="483"/>
      <c r="CB1033" s="547">
        <v>1031</v>
      </c>
      <c r="CC1033" s="1481" t="b">
        <v>1</v>
      </c>
      <c r="CD1033" t="str">
        <f>Table15[[#This Row],[Engineering Number]]&amp;Table15[[#This Row],[WO Number]]&amp;Table15[[#This Row],[Date Assigned to Designer]]&amp;Table15[[#This Row],[Date Completed]]</f>
        <v>BS40212130624507145159</v>
      </c>
    </row>
    <row r="1034" spans="1:82" customFormat="1" ht="15" customHeight="1" x14ac:dyDescent="0.25">
      <c r="A1034">
        <v>2023</v>
      </c>
      <c r="B1034" s="8" t="s">
        <v>4</v>
      </c>
      <c r="C1034" s="8" t="s">
        <v>5759</v>
      </c>
      <c r="D1034" s="8" t="s">
        <v>5760</v>
      </c>
      <c r="E1034" s="8" t="s">
        <v>232</v>
      </c>
      <c r="F1034" s="8" t="s">
        <v>747</v>
      </c>
      <c r="G1034" s="8" t="s">
        <v>28</v>
      </c>
      <c r="H1034" s="8" t="s">
        <v>4189</v>
      </c>
      <c r="I1034" s="642">
        <v>45154</v>
      </c>
      <c r="J1034" s="175" t="s">
        <v>2052</v>
      </c>
      <c r="K1034" s="97">
        <v>45161</v>
      </c>
      <c r="L1034" s="16">
        <f>IF(ISTEXT(Table15[[#This Row],[Engineering Approved Design Date]]),Table15[[#This Row],[Date Completed]]-Table15[[#This Row],[Date Assigned to Designer]],Table15[[#This Row],[Engineering Approved Design Date]]-Table15[[#This Row],[Date Completed]])</f>
        <v>7</v>
      </c>
      <c r="M1034" s="16" t="s">
        <v>5931</v>
      </c>
      <c r="N1034" s="642" t="s">
        <v>120</v>
      </c>
      <c r="O1034" s="1060">
        <v>45170</v>
      </c>
      <c r="P1034" s="1152" t="s">
        <v>739</v>
      </c>
      <c r="Q1034" s="1061">
        <f>Table15[[#This Row],[KH Hourly Effort]]</f>
        <v>4357.5</v>
      </c>
      <c r="R1034" s="1039" t="s">
        <v>1922</v>
      </c>
      <c r="S1034" s="538"/>
      <c r="T1034" s="538"/>
      <c r="U1034" s="1073">
        <v>4357.5</v>
      </c>
      <c r="V1034" s="857"/>
      <c r="W1034" s="440"/>
      <c r="X1034" s="538"/>
      <c r="Y1034" s="551"/>
      <c r="Z1034" s="538"/>
      <c r="AA1034" s="552"/>
      <c r="AB1034" s="341" t="s">
        <v>29</v>
      </c>
      <c r="AC1034" s="569" t="s">
        <v>29</v>
      </c>
      <c r="AD1034" s="1149" t="s">
        <v>29</v>
      </c>
      <c r="AE1034" s="569" t="s">
        <v>756</v>
      </c>
      <c r="AF1034" s="569" t="s">
        <v>756</v>
      </c>
      <c r="AG1034" s="569" t="s">
        <v>29</v>
      </c>
      <c r="AH1034" s="536">
        <v>45222</v>
      </c>
      <c r="AI1034" s="1028"/>
      <c r="AJ1034" s="1029"/>
      <c r="AK1034" s="1029"/>
      <c r="AL1034" s="1030"/>
      <c r="AM1034" s="542" t="s">
        <v>709</v>
      </c>
      <c r="AN1034" s="924"/>
      <c r="AO1034" s="925"/>
      <c r="AP1034" s="926"/>
      <c r="AQ1034" s="926"/>
      <c r="AR1034" s="926"/>
      <c r="AS1034" s="926"/>
      <c r="AT1034" s="926"/>
      <c r="AU1034" s="926"/>
      <c r="AV1034" s="926"/>
      <c r="AW1034" s="927"/>
      <c r="AX1034" s="926"/>
      <c r="AY1034" s="1538" t="s">
        <v>29</v>
      </c>
      <c r="AZ1034" s="1530"/>
      <c r="BA1034" s="1031">
        <v>1</v>
      </c>
      <c r="BB1034" s="653" t="s">
        <v>709</v>
      </c>
      <c r="BC1034" s="544" t="s">
        <v>116</v>
      </c>
      <c r="BD1034" s="544" t="s">
        <v>837</v>
      </c>
      <c r="BE1034" s="544" t="s">
        <v>595</v>
      </c>
      <c r="BF1034" s="544" t="s">
        <v>745</v>
      </c>
      <c r="BG1034" s="544" t="s">
        <v>709</v>
      </c>
      <c r="BH1034" s="741" t="s">
        <v>5932</v>
      </c>
      <c r="BI1034" s="626" t="s">
        <v>709</v>
      </c>
      <c r="BJ1034" s="547" t="s">
        <v>709</v>
      </c>
      <c r="BK1034" s="547" t="s">
        <v>709</v>
      </c>
      <c r="BL1034" s="1083" t="s">
        <v>116</v>
      </c>
      <c r="BM1034" s="549" t="s">
        <v>709</v>
      </c>
      <c r="BN1034" s="549" t="s">
        <v>709</v>
      </c>
      <c r="BO1034" s="547" t="s">
        <v>709</v>
      </c>
      <c r="BP1034" s="549" t="s">
        <v>709</v>
      </c>
      <c r="BQ1034" s="547" t="s">
        <v>709</v>
      </c>
      <c r="BR1034" s="626">
        <v>4981</v>
      </c>
      <c r="BS1034" s="549">
        <v>304</v>
      </c>
      <c r="BT1034" s="547" t="s">
        <v>709</v>
      </c>
      <c r="BU1034" s="547" t="s">
        <v>709</v>
      </c>
      <c r="BV1034" s="547" t="s">
        <v>709</v>
      </c>
      <c r="BW1034" s="547" t="s">
        <v>709</v>
      </c>
      <c r="BX1034" s="547" t="s">
        <v>745</v>
      </c>
      <c r="BY1034" s="547" t="s">
        <v>709</v>
      </c>
      <c r="BZ1034" s="547" t="s">
        <v>709</v>
      </c>
      <c r="CA1034" s="483" t="s">
        <v>915</v>
      </c>
      <c r="CB1034" s="547">
        <v>1032</v>
      </c>
      <c r="CC1034" s="1481" t="b">
        <v>1</v>
      </c>
      <c r="CD1034" t="str">
        <f>Table15[[#This Row],[Engineering Number]]&amp;Table15[[#This Row],[WO Number]]&amp;Table15[[#This Row],[Date Assigned to Designer]]&amp;Table15[[#This Row],[Date Completed]]</f>
        <v>SC1987914124124515445161</v>
      </c>
    </row>
    <row r="1035" spans="1:82" customFormat="1" ht="15" customHeight="1" x14ac:dyDescent="0.25">
      <c r="A1035">
        <v>2023</v>
      </c>
      <c r="B1035" s="8" t="s">
        <v>4</v>
      </c>
      <c r="C1035" s="8" t="s">
        <v>5937</v>
      </c>
      <c r="D1035" s="8" t="s">
        <v>5938</v>
      </c>
      <c r="E1035" s="8" t="s">
        <v>2573</v>
      </c>
      <c r="F1035" s="8" t="s">
        <v>784</v>
      </c>
      <c r="G1035" s="8" t="s">
        <v>28</v>
      </c>
      <c r="H1035" s="8" t="s">
        <v>59</v>
      </c>
      <c r="I1035" s="642">
        <v>44939</v>
      </c>
      <c r="J1035" s="18">
        <v>45170</v>
      </c>
      <c r="K1035" s="97">
        <v>45162</v>
      </c>
      <c r="L1035" s="16">
        <f>IF(ISTEXT(Table15[[#This Row],[Engineering Approved Design Date]]),Table15[[#This Row],[Date Completed]]-Table15[[#This Row],[Date Assigned to Designer]],Table15[[#This Row],[Engineering Approved Design Date]]-Table15[[#This Row],[Date Completed]])</f>
        <v>8</v>
      </c>
      <c r="M1035" s="642"/>
      <c r="N1035" s="642" t="s">
        <v>120</v>
      </c>
      <c r="O1035" s="1060">
        <v>45139</v>
      </c>
      <c r="P1035" s="1152" t="s">
        <v>739</v>
      </c>
      <c r="Q1035" s="340">
        <f>Table15[[#This Row],[Rate]]*Table15[[#This Row],[Construction Cost to Bill From]]</f>
        <v>5899.6930000000002</v>
      </c>
      <c r="R1035" s="1026">
        <v>0.1</v>
      </c>
      <c r="S1035" s="538" t="s">
        <v>29</v>
      </c>
      <c r="T1035" s="538" t="s">
        <v>29</v>
      </c>
      <c r="U1035" s="87" t="s">
        <v>29</v>
      </c>
      <c r="V1035" s="858">
        <v>0</v>
      </c>
      <c r="W1035" s="437">
        <v>0</v>
      </c>
      <c r="X1035" s="538">
        <v>0</v>
      </c>
      <c r="Y1035" s="551"/>
      <c r="Z1035" s="570">
        <v>58996.93</v>
      </c>
      <c r="AA1035" s="552">
        <f>SUM(Table15[[#This Row],[PCTS Investment Amount]:[PCTS Retirement Amount]])</f>
        <v>58996.93</v>
      </c>
      <c r="AB1035" s="341">
        <v>45147</v>
      </c>
      <c r="AC1035" s="568" t="s">
        <v>29</v>
      </c>
      <c r="AD1035" s="1157" t="s">
        <v>29</v>
      </c>
      <c r="AE1035" s="568" t="s">
        <v>756</v>
      </c>
      <c r="AF1035" s="568" t="s">
        <v>756</v>
      </c>
      <c r="AG1035" s="569" t="s">
        <v>116</v>
      </c>
      <c r="AH1035" s="183">
        <v>45222</v>
      </c>
      <c r="AI1035" s="1036"/>
      <c r="AJ1035" s="1037"/>
      <c r="AK1035" s="1037"/>
      <c r="AL1035" s="1038"/>
      <c r="AM1035" s="1522" t="s">
        <v>116</v>
      </c>
      <c r="AN1035" s="1523">
        <v>45166</v>
      </c>
      <c r="AO1035" s="1524">
        <v>11070265</v>
      </c>
      <c r="AP1035" s="1525">
        <v>0</v>
      </c>
      <c r="AQ1035" s="1525"/>
      <c r="AR1035" s="1525">
        <v>58996.93</v>
      </c>
      <c r="AS1035" s="1525">
        <f>IF(Table15[[#This Row],[PCTS Approved]]="N",0,Table15[[#This Row],[Investment Amount (1'#'#'#'#'#)]]+Table15[[#This Row],[Retirement Amount (3'#'#'#'#'#)]])</f>
        <v>58996.93</v>
      </c>
      <c r="AT1035" s="1525">
        <f>IF(Table15[[#This Row],[Approved Construction Cost]]=0,0,Table15[[#This Row],[Approved Construction Cost]]-Table15[[#This Row],[Construction Cost to Bill From]])</f>
        <v>0</v>
      </c>
      <c r="AU1035" s="1525">
        <f>IFERROR(Table15[[#This Row],[Difference in Construction Cost]]*Table15[[#This Row],[Rate]],Table15[[#This Row],[Difference in Construction Cost]]*0.085)</f>
        <v>0</v>
      </c>
      <c r="AV1035" s="1525" t="s">
        <v>709</v>
      </c>
      <c r="AW1035" s="1526"/>
      <c r="AX1035" s="1525">
        <v>0</v>
      </c>
      <c r="AY1035" s="1518">
        <v>45352</v>
      </c>
      <c r="AZ1035" s="333"/>
      <c r="BA1035" s="1076" t="s">
        <v>5939</v>
      </c>
      <c r="BB1035" s="653" t="s">
        <v>1071</v>
      </c>
      <c r="BC1035" s="544" t="s">
        <v>116</v>
      </c>
      <c r="BD1035" s="544" t="s">
        <v>709</v>
      </c>
      <c r="BE1035" s="559" t="s">
        <v>115</v>
      </c>
      <c r="BF1035" s="554" t="s">
        <v>709</v>
      </c>
      <c r="BG1035" s="548" t="s">
        <v>29</v>
      </c>
      <c r="BH1035" s="749" t="s">
        <v>5940</v>
      </c>
      <c r="BI1035" s="547" t="s">
        <v>709</v>
      </c>
      <c r="BJ1035" s="547" t="s">
        <v>709</v>
      </c>
      <c r="BK1035" s="547" t="s">
        <v>709</v>
      </c>
      <c r="BL1035" s="547" t="s">
        <v>709</v>
      </c>
      <c r="BM1035" s="547" t="s">
        <v>709</v>
      </c>
      <c r="BN1035" s="547" t="s">
        <v>709</v>
      </c>
      <c r="BO1035" s="547" t="s">
        <v>709</v>
      </c>
      <c r="BP1035" s="547" t="s">
        <v>709</v>
      </c>
      <c r="BQ1035" s="547" t="s">
        <v>709</v>
      </c>
      <c r="BR1035" s="547" t="s">
        <v>709</v>
      </c>
      <c r="BS1035" s="547" t="s">
        <v>709</v>
      </c>
      <c r="BT1035" s="547" t="s">
        <v>709</v>
      </c>
      <c r="BU1035" s="547" t="s">
        <v>709</v>
      </c>
      <c r="BV1035" s="547" t="s">
        <v>709</v>
      </c>
      <c r="BW1035" s="547" t="s">
        <v>709</v>
      </c>
      <c r="BX1035" s="547" t="s">
        <v>709</v>
      </c>
      <c r="BY1035" s="547" t="s">
        <v>709</v>
      </c>
      <c r="BZ1035" s="547" t="s">
        <v>709</v>
      </c>
      <c r="CA1035" s="483" t="s">
        <v>1146</v>
      </c>
      <c r="CB1035" s="547">
        <v>1033</v>
      </c>
      <c r="CC1035" s="1481" t="b">
        <v>1</v>
      </c>
      <c r="CD1035" t="str">
        <f>Table15[[#This Row],[Engineering Number]]&amp;Table15[[#This Row],[WO Number]]&amp;Table15[[#This Row],[Date Assigned to Designer]]&amp;Table15[[#This Row],[Date Completed]]</f>
        <v>N1649132124014493945162</v>
      </c>
    </row>
    <row r="1036" spans="1:82" customFormat="1" ht="15" customHeight="1" x14ac:dyDescent="0.25">
      <c r="A1036">
        <v>2023</v>
      </c>
      <c r="B1036" s="8" t="s">
        <v>769</v>
      </c>
      <c r="C1036" s="8" t="s">
        <v>304</v>
      </c>
      <c r="D1036" s="8" t="s">
        <v>1351</v>
      </c>
      <c r="E1036" s="8" t="s">
        <v>305</v>
      </c>
      <c r="F1036" s="8" t="s">
        <v>752</v>
      </c>
      <c r="G1036" s="8" t="s">
        <v>24</v>
      </c>
      <c r="H1036" s="8" t="s">
        <v>4001</v>
      </c>
      <c r="I1036" s="642">
        <v>45133</v>
      </c>
      <c r="J1036" s="175" t="s">
        <v>2052</v>
      </c>
      <c r="K1036" s="97">
        <v>45162</v>
      </c>
      <c r="L1036" s="16">
        <f>IF(ISTEXT(Table15[[#This Row],[Engineering Approved Design Date]]),Table15[[#This Row],[Date Completed]]-Table15[[#This Row],[Date Assigned to Designer]],Table15[[#This Row],[Engineering Approved Design Date]]-Table15[[#This Row],[Date Completed]])</f>
        <v>29</v>
      </c>
      <c r="M1036" s="16" t="s">
        <v>5934</v>
      </c>
      <c r="N1036" s="642" t="s">
        <v>120</v>
      </c>
      <c r="O1036" s="1060">
        <v>45170</v>
      </c>
      <c r="P1036" s="1152" t="s">
        <v>120</v>
      </c>
      <c r="Q1036" s="1061">
        <v>15045</v>
      </c>
      <c r="R1036" s="1039" t="s">
        <v>1922</v>
      </c>
      <c r="S1036" s="538"/>
      <c r="T1036" s="538"/>
      <c r="U1036" s="1073">
        <v>15045</v>
      </c>
      <c r="V1036" s="857"/>
      <c r="W1036" s="440"/>
      <c r="X1036" s="538"/>
      <c r="Y1036" s="551"/>
      <c r="Z1036" s="538"/>
      <c r="AA1036" s="552"/>
      <c r="AB1036" s="341"/>
      <c r="AC1036" s="569"/>
      <c r="AD1036" s="1149" t="s">
        <v>709</v>
      </c>
      <c r="AE1036" s="569" t="s">
        <v>29</v>
      </c>
      <c r="AF1036" s="569" t="s">
        <v>29</v>
      </c>
      <c r="AG1036" s="569" t="s">
        <v>29</v>
      </c>
      <c r="AH1036" s="536" t="s">
        <v>29</v>
      </c>
      <c r="AI1036" s="1028"/>
      <c r="AJ1036" s="1029"/>
      <c r="AK1036" s="1029"/>
      <c r="AL1036" s="1030"/>
      <c r="AM1036" s="542" t="s">
        <v>709</v>
      </c>
      <c r="AN1036" s="924"/>
      <c r="AO1036" s="925"/>
      <c r="AP1036" s="926"/>
      <c r="AQ1036" s="926"/>
      <c r="AR1036" s="926"/>
      <c r="AS1036" s="926"/>
      <c r="AT1036" s="926"/>
      <c r="AU1036" s="926"/>
      <c r="AV1036" s="926"/>
      <c r="AW1036" s="927"/>
      <c r="AX1036" s="926"/>
      <c r="AY1036" s="1538" t="s">
        <v>29</v>
      </c>
      <c r="AZ1036" s="1530"/>
      <c r="BA1036" s="1031">
        <v>2</v>
      </c>
      <c r="BB1036" s="644"/>
      <c r="BC1036" s="544"/>
      <c r="BD1036" s="544"/>
      <c r="BE1036" s="544"/>
      <c r="BF1036" s="544"/>
      <c r="BG1036" s="544"/>
      <c r="BH1036" s="741" t="s">
        <v>5935</v>
      </c>
      <c r="BI1036" s="547" t="s">
        <v>709</v>
      </c>
      <c r="BJ1036" s="547" t="s">
        <v>709</v>
      </c>
      <c r="BK1036" s="547" t="s">
        <v>116</v>
      </c>
      <c r="BL1036" s="547" t="s">
        <v>116</v>
      </c>
      <c r="BM1036" s="547" t="s">
        <v>709</v>
      </c>
      <c r="BN1036" s="547" t="s">
        <v>709</v>
      </c>
      <c r="BO1036" s="547" t="s">
        <v>709</v>
      </c>
      <c r="BP1036" s="547" t="s">
        <v>709</v>
      </c>
      <c r="BQ1036" s="547" t="s">
        <v>709</v>
      </c>
      <c r="BR1036" s="547">
        <v>406</v>
      </c>
      <c r="BS1036" s="547">
        <v>156</v>
      </c>
      <c r="BT1036" s="547" t="s">
        <v>709</v>
      </c>
      <c r="BU1036" s="547">
        <v>1</v>
      </c>
      <c r="BV1036" s="547" t="s">
        <v>709</v>
      </c>
      <c r="BW1036" s="547" t="s">
        <v>709</v>
      </c>
      <c r="BX1036" s="547">
        <v>1</v>
      </c>
      <c r="BY1036" s="547" t="s">
        <v>709</v>
      </c>
      <c r="BZ1036" s="547" t="s">
        <v>709</v>
      </c>
      <c r="CA1036" s="483" t="s">
        <v>2</v>
      </c>
      <c r="CB1036" s="547">
        <v>1034</v>
      </c>
      <c r="CC1036" s="1481" t="b">
        <v>1</v>
      </c>
      <c r="CD1036" t="str">
        <f>Table15[[#This Row],[Engineering Number]]&amp;Table15[[#This Row],[WO Number]]&amp;Table15[[#This Row],[Date Assigned to Designer]]&amp;Table15[[#This Row],[Date Completed]]</f>
        <v>RS102610115584513345162</v>
      </c>
    </row>
    <row r="1037" spans="1:82" customFormat="1" ht="15" customHeight="1" x14ac:dyDescent="0.25">
      <c r="A1037">
        <v>2024</v>
      </c>
      <c r="B1037" s="8" t="s">
        <v>759</v>
      </c>
      <c r="C1037" s="8" t="s">
        <v>525</v>
      </c>
      <c r="D1037" s="8" t="s">
        <v>1521</v>
      </c>
      <c r="E1037" s="8" t="s">
        <v>1522</v>
      </c>
      <c r="F1037" s="8" t="s">
        <v>752</v>
      </c>
      <c r="G1037" s="8" t="s">
        <v>37</v>
      </c>
      <c r="H1037" s="8" t="s">
        <v>4462</v>
      </c>
      <c r="I1037" s="642">
        <v>45125</v>
      </c>
      <c r="J1037" s="175" t="s">
        <v>2052</v>
      </c>
      <c r="K1037" s="97">
        <v>45168</v>
      </c>
      <c r="L1037" s="649">
        <f>IF(ISTEXT(Table15[[#This Row],[Engineering Approved Design Date]]),Table15[[#This Row],[Date Completed]]-Table15[[#This Row],[Date Assigned to Designer]],Table15[[#This Row],[Engineering Approved Design Date]]-Table15[[#This Row],[Date Completed]])</f>
        <v>43</v>
      </c>
      <c r="M1037" t="s">
        <v>5951</v>
      </c>
      <c r="N1037" s="642" t="s">
        <v>120</v>
      </c>
      <c r="O1037" s="1060">
        <v>45170</v>
      </c>
      <c r="P1037" s="1152" t="s">
        <v>120</v>
      </c>
      <c r="Q1037" s="1151" t="s">
        <v>115</v>
      </c>
      <c r="R1037" s="1039" t="s">
        <v>115</v>
      </c>
      <c r="S1037" s="538"/>
      <c r="T1037" s="538"/>
      <c r="U1037" s="28"/>
      <c r="V1037" s="858"/>
      <c r="W1037" s="437"/>
      <c r="X1037" s="538"/>
      <c r="Y1037" s="551"/>
      <c r="Z1037" s="538"/>
      <c r="AA1037" s="538">
        <f>SUM(Table15[[#This Row],[PCTS Investment Amount]:[PCTS Retirement Amount]])</f>
        <v>0</v>
      </c>
      <c r="AB1037" s="341" t="s">
        <v>29</v>
      </c>
      <c r="AC1037" s="569" t="s">
        <v>29</v>
      </c>
      <c r="AD1037" s="1149"/>
      <c r="AE1037" s="580"/>
      <c r="AF1037" s="580"/>
      <c r="AG1037" s="580"/>
      <c r="AH1037" s="553">
        <v>45609</v>
      </c>
      <c r="AI1037" s="1028"/>
      <c r="AJ1037" s="1029"/>
      <c r="AK1037" s="1029"/>
      <c r="AL1037" s="1030"/>
      <c r="AM1037" s="542" t="s">
        <v>709</v>
      </c>
      <c r="AN1037" s="924"/>
      <c r="AO1037" s="925"/>
      <c r="AP1037" s="926"/>
      <c r="AQ1037" s="926"/>
      <c r="AR1037" s="926"/>
      <c r="AS1037" s="926"/>
      <c r="AT1037" s="926"/>
      <c r="AU1037" s="926"/>
      <c r="AV1037" s="926"/>
      <c r="AW1037" s="927"/>
      <c r="AX1037" s="926"/>
      <c r="AY1037" s="1538" t="s">
        <v>29</v>
      </c>
      <c r="AZ1037" s="1530"/>
      <c r="BA1037" s="1031"/>
      <c r="BB1037" s="644"/>
      <c r="BC1037" s="544" t="s">
        <v>992</v>
      </c>
      <c r="BD1037" s="544"/>
      <c r="BE1037" s="544"/>
      <c r="BF1037" s="544"/>
      <c r="BG1037" s="544"/>
      <c r="BH1037" s="741"/>
      <c r="BI1037" s="547" t="s">
        <v>709</v>
      </c>
      <c r="BJ1037" s="547" t="s">
        <v>709</v>
      </c>
      <c r="BK1037" s="547" t="s">
        <v>116</v>
      </c>
      <c r="BL1037" s="547" t="s">
        <v>116</v>
      </c>
      <c r="BM1037" s="547" t="s">
        <v>709</v>
      </c>
      <c r="BN1037" s="547" t="s">
        <v>709</v>
      </c>
      <c r="BO1037" s="547" t="s">
        <v>709</v>
      </c>
      <c r="BP1037" s="547">
        <v>128</v>
      </c>
      <c r="BQ1037" s="547" t="s">
        <v>709</v>
      </c>
      <c r="BR1037" s="547">
        <v>9</v>
      </c>
      <c r="BS1037" s="547" t="s">
        <v>709</v>
      </c>
      <c r="BT1037" s="547" t="s">
        <v>709</v>
      </c>
      <c r="BU1037" s="547" t="s">
        <v>709</v>
      </c>
      <c r="BV1037" s="547" t="s">
        <v>709</v>
      </c>
      <c r="BW1037" s="547">
        <v>1</v>
      </c>
      <c r="BX1037" s="547" t="s">
        <v>745</v>
      </c>
      <c r="BY1037" s="547" t="s">
        <v>709</v>
      </c>
      <c r="BZ1037" s="547" t="s">
        <v>709</v>
      </c>
      <c r="CA1037" s="483" t="s">
        <v>1022</v>
      </c>
      <c r="CB1037" s="547">
        <v>1035</v>
      </c>
      <c r="CC1037" s="1481" t="b">
        <v>1</v>
      </c>
      <c r="CD1037" t="str">
        <f>Table15[[#This Row],[Engineering Number]]&amp;Table15[[#This Row],[WO Number]]&amp;Table15[[#This Row],[Date Assigned to Designer]]&amp;Table15[[#This Row],[Date Completed]]</f>
        <v>RS90510124174512545168</v>
      </c>
    </row>
    <row r="1038" spans="1:82" customFormat="1" ht="15" customHeight="1" x14ac:dyDescent="0.25">
      <c r="A1038">
        <v>2023</v>
      </c>
      <c r="B1038" s="8" t="s">
        <v>771</v>
      </c>
      <c r="C1038" s="8" t="s">
        <v>360</v>
      </c>
      <c r="D1038" s="8">
        <v>1212064</v>
      </c>
      <c r="E1038" s="8" t="s">
        <v>361</v>
      </c>
      <c r="F1038" s="8" t="s">
        <v>784</v>
      </c>
      <c r="G1038" s="8" t="s">
        <v>23</v>
      </c>
      <c r="H1038" s="8" t="s">
        <v>2396</v>
      </c>
      <c r="I1038" s="642">
        <v>45163</v>
      </c>
      <c r="J1038" s="175" t="s">
        <v>2397</v>
      </c>
      <c r="K1038" s="97">
        <v>45168</v>
      </c>
      <c r="L1038" s="16">
        <f>IF(ISTEXT(Table15[[#This Row],[Engineering Approved Design Date]]),Table15[[#This Row],[Date Completed]]-Table15[[#This Row],[Date Assigned to Designer]],Table15[[#This Row],[Engineering Approved Design Date]]-Table15[[#This Row],[Date Completed]])</f>
        <v>5</v>
      </c>
      <c r="M1038" s="16" t="s">
        <v>5942</v>
      </c>
      <c r="N1038" s="642" t="s">
        <v>120</v>
      </c>
      <c r="O1038" s="1060">
        <v>45170</v>
      </c>
      <c r="P1038" s="1152" t="s">
        <v>120</v>
      </c>
      <c r="Q1038" s="1061">
        <f>Table15[[#This Row],[KH Hourly Effort]]</f>
        <v>3272.5</v>
      </c>
      <c r="R1038" s="1039" t="s">
        <v>1922</v>
      </c>
      <c r="S1038" s="538" t="s">
        <v>709</v>
      </c>
      <c r="T1038" s="538" t="s">
        <v>709</v>
      </c>
      <c r="U1038" s="1078">
        <v>3272.5</v>
      </c>
      <c r="V1038" s="857"/>
      <c r="W1038" s="440"/>
      <c r="X1038" s="538"/>
      <c r="Y1038" s="551"/>
      <c r="Z1038" s="538"/>
      <c r="AA1038" s="552"/>
      <c r="AB1038" s="341" t="s">
        <v>29</v>
      </c>
      <c r="AC1038" s="569"/>
      <c r="AD1038" s="1149"/>
      <c r="AE1038" s="569" t="s">
        <v>116</v>
      </c>
      <c r="AF1038" s="569" t="s">
        <v>116</v>
      </c>
      <c r="AG1038" s="569" t="s">
        <v>29</v>
      </c>
      <c r="AH1038" s="536">
        <v>45169</v>
      </c>
      <c r="AI1038" s="1028"/>
      <c r="AJ1038" s="1029"/>
      <c r="AK1038" s="1029"/>
      <c r="AL1038" s="1030"/>
      <c r="AM1038" s="542" t="s">
        <v>709</v>
      </c>
      <c r="AN1038" s="924"/>
      <c r="AO1038" s="925"/>
      <c r="AP1038" s="926"/>
      <c r="AQ1038" s="926"/>
      <c r="AR1038" s="926"/>
      <c r="AS1038" s="926"/>
      <c r="AT1038" s="926"/>
      <c r="AU1038" s="926"/>
      <c r="AV1038" s="926"/>
      <c r="AW1038" s="927"/>
      <c r="AX1038" s="926"/>
      <c r="AY1038" s="1538" t="s">
        <v>29</v>
      </c>
      <c r="AZ1038" s="1530"/>
      <c r="BA1038" s="1031">
        <v>1</v>
      </c>
      <c r="BB1038" s="644" t="s">
        <v>116</v>
      </c>
      <c r="BC1038" s="544"/>
      <c r="BD1038" s="544"/>
      <c r="BE1038" s="544"/>
      <c r="BF1038" s="544"/>
      <c r="BG1038" s="544"/>
      <c r="BH1038" s="741"/>
      <c r="BI1038" s="547" t="s">
        <v>709</v>
      </c>
      <c r="BJ1038" s="547" t="s">
        <v>709</v>
      </c>
      <c r="BK1038" s="547" t="s">
        <v>709</v>
      </c>
      <c r="BL1038" s="547" t="s">
        <v>116</v>
      </c>
      <c r="BM1038" s="547" t="s">
        <v>709</v>
      </c>
      <c r="BN1038" s="547">
        <v>458</v>
      </c>
      <c r="BO1038" s="547" t="s">
        <v>709</v>
      </c>
      <c r="BP1038" s="547" t="s">
        <v>709</v>
      </c>
      <c r="BQ1038" s="547">
        <v>48</v>
      </c>
      <c r="BR1038" s="547" t="s">
        <v>709</v>
      </c>
      <c r="BS1038" s="547" t="s">
        <v>709</v>
      </c>
      <c r="BT1038" s="547" t="s">
        <v>709</v>
      </c>
      <c r="BU1038" s="547" t="s">
        <v>709</v>
      </c>
      <c r="BV1038" s="547" t="s">
        <v>709</v>
      </c>
      <c r="BW1038" s="547" t="s">
        <v>709</v>
      </c>
      <c r="BX1038" s="547">
        <v>1</v>
      </c>
      <c r="BY1038" s="547" t="s">
        <v>709</v>
      </c>
      <c r="BZ1038" s="547" t="s">
        <v>709</v>
      </c>
      <c r="CA1038" s="483"/>
      <c r="CB1038" s="547">
        <v>1037</v>
      </c>
      <c r="CC1038" s="1481" t="b">
        <v>1</v>
      </c>
      <c r="CD1038" t="str">
        <f>Table15[[#This Row],[Engineering Number]]&amp;Table15[[#This Row],[WO Number]]&amp;Table15[[#This Row],[Date Assigned to Designer]]&amp;Table15[[#This Row],[Date Completed]]</f>
        <v>BS18712120644516345168</v>
      </c>
    </row>
    <row r="1039" spans="1:82" customFormat="1" ht="15" customHeight="1" x14ac:dyDescent="0.25">
      <c r="A1039">
        <v>2023</v>
      </c>
      <c r="B1039" s="8" t="s">
        <v>771</v>
      </c>
      <c r="C1039" s="8" t="s">
        <v>5549</v>
      </c>
      <c r="D1039" s="8">
        <v>1212275</v>
      </c>
      <c r="E1039" s="8" t="s">
        <v>361</v>
      </c>
      <c r="F1039" s="8" t="s">
        <v>784</v>
      </c>
      <c r="G1039" s="8" t="s">
        <v>23</v>
      </c>
      <c r="H1039" s="8" t="s">
        <v>2396</v>
      </c>
      <c r="I1039" s="642">
        <v>45163</v>
      </c>
      <c r="J1039" s="175" t="s">
        <v>2397</v>
      </c>
      <c r="K1039" s="97">
        <v>45168</v>
      </c>
      <c r="L1039" s="16">
        <f>IF(ISTEXT(Table15[[#This Row],[Engineering Approved Design Date]]),Table15[[#This Row],[Date Completed]]-Table15[[#This Row],[Date Assigned to Designer]],Table15[[#This Row],[Engineering Approved Design Date]]-Table15[[#This Row],[Date Completed]])</f>
        <v>5</v>
      </c>
      <c r="M1039" s="16" t="s">
        <v>5944</v>
      </c>
      <c r="N1039" s="642" t="s">
        <v>120</v>
      </c>
      <c r="O1039" s="1060">
        <v>45170</v>
      </c>
      <c r="P1039" s="1152" t="s">
        <v>120</v>
      </c>
      <c r="Q1039" s="1061">
        <f>Table15[[#This Row],[KH Hourly Effort]]</f>
        <v>3365</v>
      </c>
      <c r="R1039" s="1039" t="s">
        <v>1922</v>
      </c>
      <c r="S1039" s="538" t="s">
        <v>709</v>
      </c>
      <c r="T1039" s="538" t="s">
        <v>709</v>
      </c>
      <c r="U1039" s="87">
        <v>3365</v>
      </c>
      <c r="V1039" s="857"/>
      <c r="W1039" s="440">
        <v>0</v>
      </c>
      <c r="X1039" s="538"/>
      <c r="Y1039" s="551"/>
      <c r="Z1039" s="538"/>
      <c r="AA1039" s="552"/>
      <c r="AB1039" s="341" t="s">
        <v>29</v>
      </c>
      <c r="AC1039" s="569"/>
      <c r="AD1039" s="1149"/>
      <c r="AE1039" s="569" t="s">
        <v>116</v>
      </c>
      <c r="AF1039" s="569" t="s">
        <v>116</v>
      </c>
      <c r="AG1039" s="569" t="s">
        <v>29</v>
      </c>
      <c r="AH1039" s="536">
        <v>45169</v>
      </c>
      <c r="AI1039" s="1028"/>
      <c r="AJ1039" s="1029"/>
      <c r="AK1039" s="1029"/>
      <c r="AL1039" s="1030"/>
      <c r="AM1039" s="542" t="s">
        <v>709</v>
      </c>
      <c r="AN1039" s="924"/>
      <c r="AO1039" s="925"/>
      <c r="AP1039" s="926"/>
      <c r="AQ1039" s="926"/>
      <c r="AR1039" s="926"/>
      <c r="AS1039" s="926"/>
      <c r="AT1039" s="926"/>
      <c r="AU1039" s="926"/>
      <c r="AV1039" s="926"/>
      <c r="AW1039" s="927"/>
      <c r="AX1039" s="926"/>
      <c r="AY1039" s="1538" t="s">
        <v>29</v>
      </c>
      <c r="AZ1039" s="1530"/>
      <c r="BA1039" s="1031">
        <v>1</v>
      </c>
      <c r="BB1039" s="644" t="s">
        <v>116</v>
      </c>
      <c r="BC1039" s="544"/>
      <c r="BD1039" s="544"/>
      <c r="BE1039" s="544"/>
      <c r="BF1039" s="544"/>
      <c r="BG1039" s="544"/>
      <c r="BH1039" s="741"/>
      <c r="BI1039" s="549" t="s">
        <v>709</v>
      </c>
      <c r="BJ1039" s="549" t="s">
        <v>709</v>
      </c>
      <c r="BK1039" s="549" t="s">
        <v>709</v>
      </c>
      <c r="BL1039" s="549" t="s">
        <v>116</v>
      </c>
      <c r="BM1039" s="549" t="s">
        <v>709</v>
      </c>
      <c r="BN1039" s="549" t="s">
        <v>709</v>
      </c>
      <c r="BO1039" s="549" t="s">
        <v>709</v>
      </c>
      <c r="BP1039" s="549">
        <v>505</v>
      </c>
      <c r="BQ1039" s="549" t="s">
        <v>709</v>
      </c>
      <c r="BR1039" s="549" t="s">
        <v>709</v>
      </c>
      <c r="BS1039" s="549" t="s">
        <v>709</v>
      </c>
      <c r="BT1039" s="549" t="s">
        <v>709</v>
      </c>
      <c r="BU1039" s="549" t="s">
        <v>709</v>
      </c>
      <c r="BV1039" s="549" t="s">
        <v>709</v>
      </c>
      <c r="BW1039" s="549" t="s">
        <v>709</v>
      </c>
      <c r="BX1039" s="549" t="s">
        <v>745</v>
      </c>
      <c r="BY1039" s="549" t="s">
        <v>709</v>
      </c>
      <c r="BZ1039" s="547" t="s">
        <v>709</v>
      </c>
      <c r="CA1039" s="483"/>
      <c r="CB1039" s="547">
        <v>1036</v>
      </c>
      <c r="CC1039" s="1481" t="b">
        <v>1</v>
      </c>
      <c r="CD1039" t="str">
        <f>Table15[[#This Row],[Engineering Number]]&amp;Table15[[#This Row],[WO Number]]&amp;Table15[[#This Row],[Date Assigned to Designer]]&amp;Table15[[#This Row],[Date Completed]]</f>
        <v>BS187-112122754516345168</v>
      </c>
    </row>
    <row r="1040" spans="1:82" customFormat="1" ht="15" customHeight="1" x14ac:dyDescent="0.25">
      <c r="A1040">
        <v>2023</v>
      </c>
      <c r="B1040" s="8" t="s">
        <v>4</v>
      </c>
      <c r="C1040" s="8" t="s">
        <v>399</v>
      </c>
      <c r="D1040" s="8" t="s">
        <v>1628</v>
      </c>
      <c r="E1040" s="8" t="s">
        <v>400</v>
      </c>
      <c r="F1040" s="8" t="s">
        <v>784</v>
      </c>
      <c r="G1040" s="8" t="s">
        <v>35</v>
      </c>
      <c r="H1040" s="8" t="s">
        <v>59</v>
      </c>
      <c r="I1040" s="642">
        <v>45027</v>
      </c>
      <c r="J1040" s="18">
        <v>45173</v>
      </c>
      <c r="K1040" s="97">
        <v>45168</v>
      </c>
      <c r="L1040" s="16">
        <f>IF(ISTEXT(Table15[[#This Row],[Engineering Approved Design Date]]),Table15[[#This Row],[Date Completed]]-Table15[[#This Row],[Date Assigned to Designer]],Table15[[#This Row],[Engineering Approved Design Date]]-Table15[[#This Row],[Date Completed]])</f>
        <v>5</v>
      </c>
      <c r="M1040" s="642"/>
      <c r="N1040" s="642" t="s">
        <v>120</v>
      </c>
      <c r="O1040" s="1060">
        <v>45170</v>
      </c>
      <c r="P1040" s="1152" t="s">
        <v>739</v>
      </c>
      <c r="Q1040" s="340">
        <f>Table15[[#This Row],[Rate]]*Table15[[#This Row],[Construction Cost to Bill From]]</f>
        <v>22244.629000000001</v>
      </c>
      <c r="R1040" s="1026">
        <v>0.1</v>
      </c>
      <c r="S1040" s="538"/>
      <c r="T1040" s="538"/>
      <c r="U1040" s="87"/>
      <c r="V1040" s="858">
        <v>600</v>
      </c>
      <c r="W1040" s="437">
        <v>0</v>
      </c>
      <c r="X1040" s="538">
        <v>210973.81</v>
      </c>
      <c r="Y1040" s="551"/>
      <c r="Z1040" s="570">
        <v>11472.48</v>
      </c>
      <c r="AA1040" s="552">
        <f>SUM(Table15[[#This Row],[PCTS Investment Amount]:[PCTS Retirement Amount]])</f>
        <v>222446.29</v>
      </c>
      <c r="AB1040" s="341">
        <v>45107</v>
      </c>
      <c r="AC1040" s="568" t="s">
        <v>116</v>
      </c>
      <c r="AD1040" s="1157" t="s">
        <v>29</v>
      </c>
      <c r="AE1040" s="568" t="s">
        <v>756</v>
      </c>
      <c r="AF1040" s="568" t="s">
        <v>29</v>
      </c>
      <c r="AG1040" s="569" t="s">
        <v>756</v>
      </c>
      <c r="AH1040" s="183" t="s">
        <v>29</v>
      </c>
      <c r="AI1040" s="1036"/>
      <c r="AJ1040" s="1037"/>
      <c r="AK1040" s="1037"/>
      <c r="AL1040" s="1038"/>
      <c r="AM1040" s="536" t="s">
        <v>116</v>
      </c>
      <c r="AN1040" s="903" t="s">
        <v>709</v>
      </c>
      <c r="AO1040" s="1536"/>
      <c r="AP1040" s="1537"/>
      <c r="AQ1040" s="1537"/>
      <c r="AR1040" s="1537"/>
      <c r="AS1040" s="888">
        <f>IF(Table15[[#This Row],[PCTS Approved]]="N",0,Table15[[#This Row],[Investment Amount (1'#'#'#'#'#)]]+Table15[[#This Row],[Retirement Amount (3'#'#'#'#'#)]])</f>
        <v>0</v>
      </c>
      <c r="AT1040" s="888">
        <f>IF(Table15[[#This Row],[Approved Construction Cost]]=0,0,Table15[[#This Row],[Approved Construction Cost]]-Table15[[#This Row],[Construction Cost to Bill From]])</f>
        <v>0</v>
      </c>
      <c r="AU1040" s="888">
        <f>IFERROR(Table15[[#This Row],[Difference in Construction Cost]]*Table15[[#This Row],[Rate]],Table15[[#This Row],[Difference in Construction Cost]]*0.085)</f>
        <v>0</v>
      </c>
      <c r="AV1040" s="905"/>
      <c r="AW1040" s="1509"/>
      <c r="AX1040" s="888"/>
      <c r="AY1040" s="636" t="s">
        <v>709</v>
      </c>
      <c r="AZ1040" s="333">
        <v>98</v>
      </c>
      <c r="BA1040" s="1076" t="s">
        <v>1629</v>
      </c>
      <c r="BB1040" s="653" t="s">
        <v>870</v>
      </c>
      <c r="BC1040" s="544" t="s">
        <v>115</v>
      </c>
      <c r="BD1040" s="544" t="s">
        <v>1626</v>
      </c>
      <c r="BE1040" s="559" t="s">
        <v>1627</v>
      </c>
      <c r="BF1040" s="554" t="s">
        <v>709</v>
      </c>
      <c r="BG1040" s="548" t="s">
        <v>709</v>
      </c>
      <c r="BH1040" s="749" t="s">
        <v>1630</v>
      </c>
      <c r="BI1040" s="547" t="s">
        <v>709</v>
      </c>
      <c r="BJ1040" s="547" t="s">
        <v>709</v>
      </c>
      <c r="BK1040" s="547" t="s">
        <v>116</v>
      </c>
      <c r="BL1040" s="547" t="s">
        <v>709</v>
      </c>
      <c r="BM1040" s="547" t="s">
        <v>709</v>
      </c>
      <c r="BN1040" s="547" t="s">
        <v>709</v>
      </c>
      <c r="BO1040" s="547" t="s">
        <v>709</v>
      </c>
      <c r="BP1040" s="547">
        <v>600</v>
      </c>
      <c r="BQ1040" s="547" t="s">
        <v>709</v>
      </c>
      <c r="BR1040" s="547" t="s">
        <v>709</v>
      </c>
      <c r="BS1040" s="547" t="s">
        <v>709</v>
      </c>
      <c r="BT1040" s="547" t="s">
        <v>709</v>
      </c>
      <c r="BU1040" s="547" t="s">
        <v>709</v>
      </c>
      <c r="BV1040" s="547" t="s">
        <v>745</v>
      </c>
      <c r="BW1040" s="547" t="s">
        <v>709</v>
      </c>
      <c r="BX1040" s="547" t="s">
        <v>709</v>
      </c>
      <c r="BY1040" s="547" t="s">
        <v>709</v>
      </c>
      <c r="BZ1040" s="547" t="s">
        <v>709</v>
      </c>
      <c r="CA1040" s="483"/>
      <c r="CB1040" s="547">
        <v>1039</v>
      </c>
      <c r="CC1040" s="1481" t="b">
        <v>1</v>
      </c>
      <c r="CD1040" t="str">
        <f>Table15[[#This Row],[Engineering Number]]&amp;Table15[[#This Row],[WO Number]]&amp;Table15[[#This Row],[Date Assigned to Designer]]&amp;Table15[[#This Row],[Date Completed]]</f>
        <v>N1359212128744502745168</v>
      </c>
    </row>
    <row r="1041" spans="1:82" customFormat="1" ht="15" customHeight="1" x14ac:dyDescent="0.25">
      <c r="A1041">
        <v>2023</v>
      </c>
      <c r="B1041" s="8" t="s">
        <v>4</v>
      </c>
      <c r="C1041" s="8" t="s">
        <v>1623</v>
      </c>
      <c r="D1041" s="8" t="s">
        <v>1624</v>
      </c>
      <c r="E1041" s="8" t="s">
        <v>400</v>
      </c>
      <c r="F1041" s="8" t="s">
        <v>784</v>
      </c>
      <c r="G1041" s="8" t="s">
        <v>35</v>
      </c>
      <c r="H1041" s="8" t="s">
        <v>59</v>
      </c>
      <c r="I1041" s="642">
        <v>45027</v>
      </c>
      <c r="J1041" s="18">
        <v>45173</v>
      </c>
      <c r="K1041" s="97">
        <v>45168</v>
      </c>
      <c r="L1041" s="16">
        <f>IF(ISTEXT(Table15[[#This Row],[Engineering Approved Design Date]]),Table15[[#This Row],[Date Completed]]-Table15[[#This Row],[Date Assigned to Designer]],Table15[[#This Row],[Engineering Approved Design Date]]-Table15[[#This Row],[Date Completed]])</f>
        <v>5</v>
      </c>
      <c r="M1041" s="642"/>
      <c r="N1041" s="642" t="s">
        <v>120</v>
      </c>
      <c r="O1041" s="1060">
        <v>45170</v>
      </c>
      <c r="P1041" s="1152" t="s">
        <v>739</v>
      </c>
      <c r="Q1041" s="340">
        <f>Table15[[#This Row],[Rate]]*Table15[[#This Row],[Construction Cost to Bill From]]</f>
        <v>80882.487000000008</v>
      </c>
      <c r="R1041" s="1026">
        <v>0.1</v>
      </c>
      <c r="S1041" s="538"/>
      <c r="T1041" s="538"/>
      <c r="U1041" s="87"/>
      <c r="V1041" s="858">
        <v>1531</v>
      </c>
      <c r="W1041" s="437">
        <v>0</v>
      </c>
      <c r="X1041" s="538">
        <v>766647.95</v>
      </c>
      <c r="Y1041" s="551"/>
      <c r="Z1041" s="570">
        <v>42176.92</v>
      </c>
      <c r="AA1041" s="552">
        <f>SUM(Table15[[#This Row],[PCTS Investment Amount]:[PCTS Retirement Amount]])</f>
        <v>808824.87</v>
      </c>
      <c r="AB1041" s="341">
        <v>45107</v>
      </c>
      <c r="AC1041" s="568" t="s">
        <v>116</v>
      </c>
      <c r="AD1041" s="1157" t="s">
        <v>29</v>
      </c>
      <c r="AE1041" s="568" t="s">
        <v>756</v>
      </c>
      <c r="AF1041" s="568" t="s">
        <v>29</v>
      </c>
      <c r="AG1041" s="569" t="s">
        <v>756</v>
      </c>
      <c r="AH1041" s="183" t="s">
        <v>29</v>
      </c>
      <c r="AI1041" s="1036"/>
      <c r="AJ1041" s="1037"/>
      <c r="AK1041" s="1037"/>
      <c r="AL1041" s="1038"/>
      <c r="AM1041" s="536" t="s">
        <v>116</v>
      </c>
      <c r="AN1041" s="903" t="s">
        <v>709</v>
      </c>
      <c r="AO1041" s="1536"/>
      <c r="AP1041" s="1537"/>
      <c r="AQ1041" s="1537"/>
      <c r="AR1041" s="1537"/>
      <c r="AS1041" s="888">
        <f>IF(Table15[[#This Row],[PCTS Approved]]="N",0,Table15[[#This Row],[Investment Amount (1'#'#'#'#'#)]]+Table15[[#This Row],[Retirement Amount (3'#'#'#'#'#)]])</f>
        <v>0</v>
      </c>
      <c r="AT1041" s="888">
        <f>IF(Table15[[#This Row],[Approved Construction Cost]]=0,0,Table15[[#This Row],[Approved Construction Cost]]-Table15[[#This Row],[Construction Cost to Bill From]])</f>
        <v>0</v>
      </c>
      <c r="AU1041" s="888">
        <f>IFERROR(Table15[[#This Row],[Difference in Construction Cost]]*Table15[[#This Row],[Rate]],Table15[[#This Row],[Difference in Construction Cost]]*0.085)</f>
        <v>0</v>
      </c>
      <c r="AV1041" s="905"/>
      <c r="AW1041" s="1509"/>
      <c r="AX1041" s="888"/>
      <c r="AY1041" s="636" t="s">
        <v>709</v>
      </c>
      <c r="AZ1041" s="333">
        <v>97</v>
      </c>
      <c r="BA1041" s="1076" t="s">
        <v>1625</v>
      </c>
      <c r="BB1041" s="653" t="s">
        <v>870</v>
      </c>
      <c r="BC1041" s="544" t="s">
        <v>115</v>
      </c>
      <c r="BD1041" s="544" t="s">
        <v>1626</v>
      </c>
      <c r="BE1041" s="559" t="s">
        <v>1627</v>
      </c>
      <c r="BF1041" s="554" t="s">
        <v>709</v>
      </c>
      <c r="BG1041" s="548" t="s">
        <v>709</v>
      </c>
      <c r="BH1041" s="749"/>
      <c r="BI1041" s="547" t="s">
        <v>709</v>
      </c>
      <c r="BJ1041" s="547" t="s">
        <v>709</v>
      </c>
      <c r="BK1041" s="547" t="s">
        <v>116</v>
      </c>
      <c r="BL1041" s="547" t="s">
        <v>709</v>
      </c>
      <c r="BM1041" s="547" t="s">
        <v>709</v>
      </c>
      <c r="BN1041" s="547" t="s">
        <v>709</v>
      </c>
      <c r="BO1041" s="547" t="s">
        <v>709</v>
      </c>
      <c r="BP1041" s="547">
        <v>600</v>
      </c>
      <c r="BQ1041" s="547" t="s">
        <v>709</v>
      </c>
      <c r="BR1041" s="547" t="s">
        <v>709</v>
      </c>
      <c r="BS1041" s="547" t="s">
        <v>709</v>
      </c>
      <c r="BT1041" s="547" t="s">
        <v>709</v>
      </c>
      <c r="BU1041" s="547" t="s">
        <v>709</v>
      </c>
      <c r="BV1041" s="547" t="s">
        <v>745</v>
      </c>
      <c r="BW1041" s="547" t="s">
        <v>709</v>
      </c>
      <c r="BX1041" s="547" t="s">
        <v>709</v>
      </c>
      <c r="BY1041" s="547" t="s">
        <v>709</v>
      </c>
      <c r="BZ1041" s="547" t="s">
        <v>709</v>
      </c>
      <c r="CA1041" s="483"/>
      <c r="CB1041" s="547">
        <v>1038</v>
      </c>
      <c r="CC1041" s="1481" t="b">
        <v>1</v>
      </c>
      <c r="CD1041" t="str">
        <f>Table15[[#This Row],[Engineering Number]]&amp;Table15[[#This Row],[WO Number]]&amp;Table15[[#This Row],[Date Assigned to Designer]]&amp;Table15[[#This Row],[Date Completed]]</f>
        <v>N13592-112128334502745168</v>
      </c>
    </row>
    <row r="1042" spans="1:82" customFormat="1" ht="15" customHeight="1" x14ac:dyDescent="0.25">
      <c r="A1042">
        <v>2023</v>
      </c>
      <c r="B1042" s="8" t="s">
        <v>769</v>
      </c>
      <c r="C1042" s="8" t="s">
        <v>1014</v>
      </c>
      <c r="D1042" s="8" t="s">
        <v>1015</v>
      </c>
      <c r="E1042" s="8" t="s">
        <v>1016</v>
      </c>
      <c r="F1042" s="8" t="s">
        <v>752</v>
      </c>
      <c r="G1042" s="8" t="s">
        <v>4770</v>
      </c>
      <c r="H1042" s="8" t="s">
        <v>3178</v>
      </c>
      <c r="I1042" s="642">
        <v>45097</v>
      </c>
      <c r="J1042" s="175" t="s">
        <v>2052</v>
      </c>
      <c r="K1042" s="97">
        <v>45168</v>
      </c>
      <c r="L1042" s="16">
        <f>IF(ISTEXT(Table15[[#This Row],[Engineering Approved Design Date]]),Table15[[#This Row],[Date Completed]]-Table15[[#This Row],[Date Assigned to Designer]],Table15[[#This Row],[Engineering Approved Design Date]]-Table15[[#This Row],[Date Completed]])</f>
        <v>71</v>
      </c>
      <c r="M1042" s="8" t="s">
        <v>5946</v>
      </c>
      <c r="N1042" s="642" t="s">
        <v>120</v>
      </c>
      <c r="O1042" s="1060">
        <v>45170</v>
      </c>
      <c r="P1042" s="1152" t="s">
        <v>120</v>
      </c>
      <c r="Q1042" s="1061">
        <v>7257.5</v>
      </c>
      <c r="R1042" s="1039" t="s">
        <v>1922</v>
      </c>
      <c r="S1042" s="538"/>
      <c r="T1042" s="538"/>
      <c r="U1042" s="1073">
        <v>7257.5</v>
      </c>
      <c r="V1042" s="857"/>
      <c r="W1042" s="440"/>
      <c r="X1042" s="538"/>
      <c r="Y1042" s="551"/>
      <c r="Z1042" s="538"/>
      <c r="AA1042" s="552"/>
      <c r="AB1042" s="341"/>
      <c r="AC1042" s="569"/>
      <c r="AD1042" s="1149" t="s">
        <v>116</v>
      </c>
      <c r="AE1042" s="569" t="s">
        <v>756</v>
      </c>
      <c r="AF1042" s="569" t="s">
        <v>756</v>
      </c>
      <c r="AG1042" s="569" t="s">
        <v>116</v>
      </c>
      <c r="AH1042" s="536" t="s">
        <v>116</v>
      </c>
      <c r="AI1042" s="1028"/>
      <c r="AJ1042" s="1029"/>
      <c r="AK1042" s="1029"/>
      <c r="AL1042" s="1030"/>
      <c r="AM1042" s="542" t="s">
        <v>709</v>
      </c>
      <c r="AN1042" s="924"/>
      <c r="AO1042" s="925"/>
      <c r="AP1042" s="926"/>
      <c r="AQ1042" s="926"/>
      <c r="AR1042" s="926"/>
      <c r="AS1042" s="926"/>
      <c r="AT1042" s="926"/>
      <c r="AU1042" s="926"/>
      <c r="AV1042" s="926"/>
      <c r="AW1042" s="927"/>
      <c r="AX1042" s="926"/>
      <c r="AY1042" s="1538" t="s">
        <v>29</v>
      </c>
      <c r="AZ1042" s="1530"/>
      <c r="BA1042" s="1031">
        <v>4</v>
      </c>
      <c r="BB1042" s="644"/>
      <c r="BC1042" s="544"/>
      <c r="BD1042" s="544"/>
      <c r="BE1042" s="544"/>
      <c r="BF1042" s="544"/>
      <c r="BG1042" s="544"/>
      <c r="BH1042" s="741" t="s">
        <v>5947</v>
      </c>
      <c r="BI1042" s="547" t="s">
        <v>709</v>
      </c>
      <c r="BJ1042" s="547" t="s">
        <v>709</v>
      </c>
      <c r="BK1042" s="547" t="s">
        <v>116</v>
      </c>
      <c r="BL1042" s="547" t="s">
        <v>116</v>
      </c>
      <c r="BM1042" s="547" t="s">
        <v>709</v>
      </c>
      <c r="BN1042" s="547" t="s">
        <v>709</v>
      </c>
      <c r="BO1042" s="547" t="s">
        <v>709</v>
      </c>
      <c r="BP1042" s="547" t="s">
        <v>709</v>
      </c>
      <c r="BQ1042" s="547">
        <v>204</v>
      </c>
      <c r="BR1042" s="547">
        <v>187</v>
      </c>
      <c r="BS1042" s="547">
        <v>50</v>
      </c>
      <c r="BT1042" s="547">
        <v>1</v>
      </c>
      <c r="BU1042" s="547" t="s">
        <v>709</v>
      </c>
      <c r="BV1042" s="547" t="s">
        <v>709</v>
      </c>
      <c r="BW1042" s="547">
        <v>1</v>
      </c>
      <c r="BX1042" s="547">
        <v>1</v>
      </c>
      <c r="BY1042" s="547" t="s">
        <v>709</v>
      </c>
      <c r="BZ1042" s="547" t="s">
        <v>709</v>
      </c>
      <c r="CA1042" s="483" t="s">
        <v>1022</v>
      </c>
      <c r="CB1042" s="547">
        <v>1040</v>
      </c>
      <c r="CC1042" s="1481" t="b">
        <v>1</v>
      </c>
      <c r="CD1042" t="str">
        <f>Table15[[#This Row],[Engineering Number]]&amp;Table15[[#This Row],[WO Number]]&amp;Table15[[#This Row],[Date Assigned to Designer]]&amp;Table15[[#This Row],[Date Completed]]</f>
        <v>RS113810100164509745168</v>
      </c>
    </row>
    <row r="1043" spans="1:82" customFormat="1" ht="15" customHeight="1" x14ac:dyDescent="0.25">
      <c r="A1043">
        <v>2023</v>
      </c>
      <c r="B1043" s="8" t="s">
        <v>4</v>
      </c>
      <c r="C1043" s="8" t="s">
        <v>5937</v>
      </c>
      <c r="D1043" s="8">
        <v>1212401</v>
      </c>
      <c r="E1043" s="8" t="s">
        <v>2573</v>
      </c>
      <c r="F1043" s="8" t="s">
        <v>784</v>
      </c>
      <c r="G1043" s="8" t="s">
        <v>28</v>
      </c>
      <c r="H1043" s="8" t="s">
        <v>4646</v>
      </c>
      <c r="I1043" s="642">
        <v>45078</v>
      </c>
      <c r="J1043" s="175" t="s">
        <v>4110</v>
      </c>
      <c r="K1043" s="97">
        <v>45174</v>
      </c>
      <c r="L1043" s="16">
        <f>IF(ISTEXT(Table15[[#This Row],[Engineering Approved Design Date]]),Table15[[#This Row],[Date Completed]]-Table15[[#This Row],[Date Assigned to Designer]],Table15[[#This Row],[Engineering Approved Design Date]]-Table15[[#This Row],[Date Completed]])</f>
        <v>96</v>
      </c>
      <c r="M1043" s="16" t="s">
        <v>5953</v>
      </c>
      <c r="N1043" s="642" t="s">
        <v>120</v>
      </c>
      <c r="O1043" s="1060">
        <v>45170</v>
      </c>
      <c r="P1043" s="1152" t="s">
        <v>739</v>
      </c>
      <c r="Q1043" s="1061">
        <f>Table15[[#This Row],[KH Hourly Effort]]</f>
        <v>5020</v>
      </c>
      <c r="R1043" s="1039" t="s">
        <v>1922</v>
      </c>
      <c r="S1043" s="538"/>
      <c r="T1043" s="538"/>
      <c r="U1043" s="1073">
        <f>5020</f>
        <v>5020</v>
      </c>
      <c r="V1043" s="857"/>
      <c r="W1043" s="440"/>
      <c r="X1043" s="538"/>
      <c r="Y1043" s="551"/>
      <c r="Z1043" s="538"/>
      <c r="AA1043" s="552"/>
      <c r="AB1043" s="341" t="s">
        <v>29</v>
      </c>
      <c r="AC1043" s="569" t="s">
        <v>29</v>
      </c>
      <c r="AD1043" s="1149" t="s">
        <v>29</v>
      </c>
      <c r="AE1043" s="569" t="s">
        <v>756</v>
      </c>
      <c r="AF1043" s="569" t="s">
        <v>756</v>
      </c>
      <c r="AG1043" s="569" t="s">
        <v>29</v>
      </c>
      <c r="AH1043" s="536">
        <v>45222</v>
      </c>
      <c r="AI1043" s="1028"/>
      <c r="AJ1043" s="1029"/>
      <c r="AK1043" s="1029"/>
      <c r="AL1043" s="1030"/>
      <c r="AM1043" s="542" t="s">
        <v>709</v>
      </c>
      <c r="AN1043" s="924"/>
      <c r="AO1043" s="925"/>
      <c r="AP1043" s="926"/>
      <c r="AQ1043" s="926"/>
      <c r="AR1043" s="926"/>
      <c r="AS1043" s="926"/>
      <c r="AT1043" s="926"/>
      <c r="AU1043" s="926"/>
      <c r="AV1043" s="926"/>
      <c r="AW1043" s="927"/>
      <c r="AX1043" s="926"/>
      <c r="AY1043" s="1538" t="s">
        <v>29</v>
      </c>
      <c r="AZ1043" s="1530"/>
      <c r="BA1043" s="1031" t="s">
        <v>4646</v>
      </c>
      <c r="BB1043" s="644"/>
      <c r="BC1043" s="544"/>
      <c r="BD1043" s="544"/>
      <c r="BE1043" s="544"/>
      <c r="BF1043" s="544"/>
      <c r="BG1043" s="544"/>
      <c r="BH1043" s="741"/>
      <c r="BI1043" s="547" t="s">
        <v>709</v>
      </c>
      <c r="BJ1043" s="547" t="s">
        <v>116</v>
      </c>
      <c r="BK1043" s="547" t="s">
        <v>709</v>
      </c>
      <c r="BL1043" s="547" t="s">
        <v>116</v>
      </c>
      <c r="BM1043" s="547" t="s">
        <v>709</v>
      </c>
      <c r="BN1043" s="547" t="s">
        <v>709</v>
      </c>
      <c r="BO1043" s="547" t="s">
        <v>709</v>
      </c>
      <c r="BP1043" s="547" t="s">
        <v>709</v>
      </c>
      <c r="BQ1043" s="547" t="s">
        <v>709</v>
      </c>
      <c r="BR1043" s="547" t="s">
        <v>709</v>
      </c>
      <c r="BS1043" s="547" t="s">
        <v>709</v>
      </c>
      <c r="BT1043" s="547" t="s">
        <v>709</v>
      </c>
      <c r="BU1043" s="547" t="s">
        <v>709</v>
      </c>
      <c r="BV1043" s="547" t="s">
        <v>709</v>
      </c>
      <c r="BW1043" s="547" t="s">
        <v>709</v>
      </c>
      <c r="BX1043" s="547" t="s">
        <v>709</v>
      </c>
      <c r="BY1043" s="547" t="s">
        <v>709</v>
      </c>
      <c r="BZ1043" s="547" t="s">
        <v>709</v>
      </c>
      <c r="CA1043" s="483" t="s">
        <v>915</v>
      </c>
      <c r="CB1043" s="547">
        <v>1041</v>
      </c>
      <c r="CC1043" s="1481" t="b">
        <v>1</v>
      </c>
      <c r="CD1043" t="str">
        <f>Table15[[#This Row],[Engineering Number]]&amp;Table15[[#This Row],[WO Number]]&amp;Table15[[#This Row],[Date Assigned to Designer]]&amp;Table15[[#This Row],[Date Completed]]</f>
        <v>N1649112124014507845174</v>
      </c>
    </row>
    <row r="1044" spans="1:82" customFormat="1" ht="15" customHeight="1" x14ac:dyDescent="0.25">
      <c r="A1044">
        <v>2023</v>
      </c>
      <c r="B1044" s="8" t="s">
        <v>4</v>
      </c>
      <c r="C1044" s="8" t="s">
        <v>5955</v>
      </c>
      <c r="D1044" s="8" t="s">
        <v>115</v>
      </c>
      <c r="E1044" s="8" t="s">
        <v>111</v>
      </c>
      <c r="F1044" s="8" t="s">
        <v>784</v>
      </c>
      <c r="G1044" s="8" t="s">
        <v>39</v>
      </c>
      <c r="H1044" s="8" t="s">
        <v>1681</v>
      </c>
      <c r="I1044" s="642">
        <v>44958</v>
      </c>
      <c r="J1044" s="18">
        <v>45184</v>
      </c>
      <c r="K1044" s="175">
        <v>45175</v>
      </c>
      <c r="L1044" s="16">
        <f>IF(ISTEXT(Table15[[#This Row],[Engineering Approved Design Date]]),Table15[[#This Row],[Date Completed]]-Table15[[#This Row],[Date Assigned to Designer]],Table15[[#This Row],[Engineering Approved Design Date]]-Table15[[#This Row],[Date Completed]])</f>
        <v>9</v>
      </c>
      <c r="N1044" s="642" t="s">
        <v>120</v>
      </c>
      <c r="O1044" s="1060">
        <v>45170</v>
      </c>
      <c r="P1044" s="1152" t="s">
        <v>739</v>
      </c>
      <c r="Q1044" s="340" t="s">
        <v>115</v>
      </c>
      <c r="R1044" s="1026" t="s">
        <v>115</v>
      </c>
      <c r="S1044" s="538"/>
      <c r="T1044" s="538"/>
      <c r="U1044" s="28"/>
      <c r="V1044" s="858"/>
      <c r="W1044" s="437"/>
      <c r="X1044" s="538"/>
      <c r="Y1044" s="550"/>
      <c r="Z1044" s="538"/>
      <c r="AA1044" s="552"/>
      <c r="AB1044" s="341" t="s">
        <v>29</v>
      </c>
      <c r="AC1044" s="183" t="s">
        <v>29</v>
      </c>
      <c r="AD1044" s="1157" t="s">
        <v>29</v>
      </c>
      <c r="AE1044" s="568" t="s">
        <v>116</v>
      </c>
      <c r="AF1044" s="568" t="s">
        <v>29</v>
      </c>
      <c r="AG1044" s="568" t="s">
        <v>29</v>
      </c>
      <c r="AH1044" s="183">
        <v>45222</v>
      </c>
      <c r="AI1044" s="1036"/>
      <c r="AJ1044" s="1037"/>
      <c r="AK1044" s="1037"/>
      <c r="AL1044" s="1038"/>
      <c r="AM1044" s="542" t="s">
        <v>709</v>
      </c>
      <c r="AN1044" s="924"/>
      <c r="AO1044" s="925"/>
      <c r="AP1044" s="926"/>
      <c r="AQ1044" s="926"/>
      <c r="AR1044" s="926"/>
      <c r="AS1044" s="926"/>
      <c r="AT1044" s="926"/>
      <c r="AU1044" s="926"/>
      <c r="AV1044" s="926"/>
      <c r="AW1044" s="927"/>
      <c r="AX1044" s="926"/>
      <c r="AY1044" s="1538" t="s">
        <v>29</v>
      </c>
      <c r="AZ1044" s="1530"/>
      <c r="BA1044" s="1068" t="s">
        <v>5956</v>
      </c>
      <c r="BB1044" s="644" t="s">
        <v>1071</v>
      </c>
      <c r="BC1044" s="1099" t="s">
        <v>116</v>
      </c>
      <c r="BD1044" s="544" t="s">
        <v>709</v>
      </c>
      <c r="BE1044" s="544" t="s">
        <v>1114</v>
      </c>
      <c r="BF1044" s="544"/>
      <c r="BG1044" s="544"/>
      <c r="BH1044" s="741"/>
      <c r="BI1044" s="1032"/>
      <c r="BJ1044" s="1032"/>
      <c r="BK1044" s="1032"/>
      <c r="BL1044" s="1032"/>
      <c r="BM1044" s="1032"/>
      <c r="BN1044" s="1032"/>
      <c r="BO1044" s="1032"/>
      <c r="BP1044" s="1032"/>
      <c r="BQ1044" s="1032"/>
      <c r="BR1044" s="1032"/>
      <c r="BS1044" s="1032"/>
      <c r="BT1044" s="1032"/>
      <c r="BU1044" s="1032"/>
      <c r="BV1044" s="1032"/>
      <c r="BW1044" s="1032"/>
      <c r="BX1044" s="1032"/>
      <c r="BY1044" s="1032"/>
      <c r="BZ1044" s="1032"/>
      <c r="CA1044" s="485" t="s">
        <v>915</v>
      </c>
      <c r="CB1044" s="547">
        <v>1043</v>
      </c>
      <c r="CC1044" s="1481" t="b">
        <v>1</v>
      </c>
      <c r="CD1044" t="str">
        <f>Table15[[#This Row],[Engineering Number]]&amp;Table15[[#This Row],[WO Number]]&amp;Table15[[#This Row],[Date Assigned to Designer]]&amp;Table15[[#This Row],[Date Completed]]</f>
        <v>N16629-4495845175</v>
      </c>
    </row>
    <row r="1045" spans="1:82" customFormat="1" ht="15" customHeight="1" x14ac:dyDescent="0.25">
      <c r="A1045">
        <v>2023</v>
      </c>
      <c r="B1045" s="8" t="s">
        <v>769</v>
      </c>
      <c r="C1045" s="8" t="s">
        <v>1566</v>
      </c>
      <c r="D1045" s="8">
        <v>1010976</v>
      </c>
      <c r="E1045" s="8" t="s">
        <v>3315</v>
      </c>
      <c r="F1045" s="8" t="s">
        <v>752</v>
      </c>
      <c r="G1045" s="8" t="s">
        <v>23</v>
      </c>
      <c r="H1045" s="8" t="s">
        <v>4189</v>
      </c>
      <c r="I1045" s="642">
        <v>45167</v>
      </c>
      <c r="J1045" s="175" t="s">
        <v>2052</v>
      </c>
      <c r="K1045" s="97">
        <v>45175</v>
      </c>
      <c r="L1045" s="16">
        <f>IF(ISTEXT(Table15[[#This Row],[Engineering Approved Design Date]]),Table15[[#This Row],[Date Completed]]-Table15[[#This Row],[Date Assigned to Designer]],Table15[[#This Row],[Engineering Approved Design Date]]-Table15[[#This Row],[Date Completed]])</f>
        <v>8</v>
      </c>
      <c r="M1045" s="16" t="s">
        <v>5958</v>
      </c>
      <c r="N1045" s="642" t="s">
        <v>120</v>
      </c>
      <c r="O1045" s="1060">
        <v>45170</v>
      </c>
      <c r="P1045" s="1152" t="s">
        <v>120</v>
      </c>
      <c r="Q1045" s="1061">
        <f>Table15[[#This Row],[KH Hourly Effort]]</f>
        <v>9150</v>
      </c>
      <c r="R1045" s="1039" t="s">
        <v>1922</v>
      </c>
      <c r="S1045" s="538">
        <v>0</v>
      </c>
      <c r="T1045" s="538">
        <v>0</v>
      </c>
      <c r="U1045" s="1073">
        <v>9150</v>
      </c>
      <c r="V1045" s="857"/>
      <c r="W1045" s="440"/>
      <c r="X1045" s="538"/>
      <c r="Y1045" s="551"/>
      <c r="Z1045" s="538"/>
      <c r="AA1045" s="552"/>
      <c r="AB1045" s="341"/>
      <c r="AC1045" s="569"/>
      <c r="AD1045" s="1149" t="s">
        <v>29</v>
      </c>
      <c r="AE1045" s="569" t="s">
        <v>116</v>
      </c>
      <c r="AF1045" s="569" t="s">
        <v>116</v>
      </c>
      <c r="AG1045" s="569" t="s">
        <v>29</v>
      </c>
      <c r="AH1045" s="536" t="s">
        <v>29</v>
      </c>
      <c r="AI1045" s="1028"/>
      <c r="AJ1045" s="1029"/>
      <c r="AK1045" s="1029"/>
      <c r="AL1045" s="1030"/>
      <c r="AM1045" s="542" t="s">
        <v>709</v>
      </c>
      <c r="AN1045" s="924"/>
      <c r="AO1045" s="925"/>
      <c r="AP1045" s="926"/>
      <c r="AQ1045" s="926"/>
      <c r="AR1045" s="926"/>
      <c r="AS1045" s="926"/>
      <c r="AT1045" s="926"/>
      <c r="AU1045" s="926"/>
      <c r="AV1045" s="926"/>
      <c r="AW1045" s="927"/>
      <c r="AX1045" s="926"/>
      <c r="AY1045" s="1538" t="s">
        <v>29</v>
      </c>
      <c r="AZ1045" s="1530"/>
      <c r="BA1045" s="1098" t="s">
        <v>4919</v>
      </c>
      <c r="BB1045" s="653"/>
      <c r="BC1045" s="544"/>
      <c r="BD1045" s="544"/>
      <c r="BE1045" s="544"/>
      <c r="BF1045" s="544"/>
      <c r="BG1045" s="544"/>
      <c r="BH1045" s="741" t="s">
        <v>5959</v>
      </c>
      <c r="BI1045" s="549" t="s">
        <v>709</v>
      </c>
      <c r="BJ1045" s="549" t="s">
        <v>709</v>
      </c>
      <c r="BK1045" s="549" t="s">
        <v>709</v>
      </c>
      <c r="BL1045" s="549" t="s">
        <v>116</v>
      </c>
      <c r="BM1045" s="549" t="s">
        <v>709</v>
      </c>
      <c r="BN1045" s="549" t="s">
        <v>709</v>
      </c>
      <c r="BO1045" s="549" t="s">
        <v>709</v>
      </c>
      <c r="BP1045" s="549" t="s">
        <v>709</v>
      </c>
      <c r="BQ1045" s="549">
        <v>3967</v>
      </c>
      <c r="BR1045" s="549">
        <v>95</v>
      </c>
      <c r="BS1045" s="549">
        <v>590</v>
      </c>
      <c r="BT1045" s="549">
        <v>1</v>
      </c>
      <c r="BU1045" s="549" t="s">
        <v>709</v>
      </c>
      <c r="BV1045" s="549" t="s">
        <v>709</v>
      </c>
      <c r="BW1045" s="549">
        <v>1</v>
      </c>
      <c r="BX1045" s="549">
        <v>1</v>
      </c>
      <c r="BY1045" s="549" t="s">
        <v>709</v>
      </c>
      <c r="BZ1045" s="547" t="s">
        <v>709</v>
      </c>
      <c r="CA1045" s="484" t="s">
        <v>1022</v>
      </c>
      <c r="CB1045" s="547">
        <v>1042</v>
      </c>
      <c r="CC1045" s="1481" t="b">
        <v>1</v>
      </c>
      <c r="CD1045" t="str">
        <f>Table15[[#This Row],[Engineering Number]]&amp;Table15[[#This Row],[WO Number]]&amp;Table15[[#This Row],[Date Assigned to Designer]]&amp;Table15[[#This Row],[Date Completed]]</f>
        <v>RS99110109764516745175</v>
      </c>
    </row>
    <row r="1046" spans="1:82" customFormat="1" ht="15" customHeight="1" x14ac:dyDescent="0.25">
      <c r="A1046">
        <v>2023</v>
      </c>
      <c r="B1046" s="8" t="s">
        <v>771</v>
      </c>
      <c r="C1046" s="8" t="s">
        <v>5425</v>
      </c>
      <c r="D1046" s="8">
        <v>1212067</v>
      </c>
      <c r="E1046" s="8" t="s">
        <v>2350</v>
      </c>
      <c r="F1046" s="8" t="s">
        <v>5604</v>
      </c>
      <c r="G1046" t="s">
        <v>31</v>
      </c>
      <c r="H1046" s="8" t="s">
        <v>4001</v>
      </c>
      <c r="I1046" s="642">
        <v>45167</v>
      </c>
      <c r="J1046" s="175" t="s">
        <v>2052</v>
      </c>
      <c r="K1046" s="97">
        <v>45176</v>
      </c>
      <c r="L1046" s="16">
        <f>IF(ISTEXT(Table15[[#This Row],[Engineering Approved Design Date]]),Table15[[#This Row],[Date Completed]]-Table15[[#This Row],[Date Assigned to Designer]],Table15[[#This Row],[Engineering Approved Design Date]]-Table15[[#This Row],[Date Completed]])</f>
        <v>9</v>
      </c>
      <c r="M1046" s="16" t="s">
        <v>5961</v>
      </c>
      <c r="N1046" s="642" t="s">
        <v>120</v>
      </c>
      <c r="O1046" s="1060">
        <v>45170</v>
      </c>
      <c r="P1046" s="1152" t="s">
        <v>120</v>
      </c>
      <c r="Q1046" s="1061">
        <v>752.5</v>
      </c>
      <c r="R1046" s="1039" t="s">
        <v>1922</v>
      </c>
      <c r="S1046" s="538">
        <v>0</v>
      </c>
      <c r="T1046" s="538">
        <v>0</v>
      </c>
      <c r="U1046" s="1078">
        <v>752.5</v>
      </c>
      <c r="V1046" s="857"/>
      <c r="W1046" s="440"/>
      <c r="X1046" s="538"/>
      <c r="Y1046" s="551"/>
      <c r="Z1046" s="538"/>
      <c r="AA1046" s="552"/>
      <c r="AB1046" s="341"/>
      <c r="AC1046" s="569"/>
      <c r="AD1046" s="1149" t="s">
        <v>29</v>
      </c>
      <c r="AE1046" s="569" t="s">
        <v>29</v>
      </c>
      <c r="AF1046" s="569" t="s">
        <v>756</v>
      </c>
      <c r="AG1046" s="569" t="s">
        <v>29</v>
      </c>
      <c r="AH1046" s="536" t="s">
        <v>29</v>
      </c>
      <c r="AI1046" s="1028"/>
      <c r="AJ1046" s="1029"/>
      <c r="AK1046" s="1029"/>
      <c r="AL1046" s="1030"/>
      <c r="AM1046" s="542" t="s">
        <v>709</v>
      </c>
      <c r="AN1046" s="924"/>
      <c r="AO1046" s="925"/>
      <c r="AP1046" s="926"/>
      <c r="AQ1046" s="926"/>
      <c r="AR1046" s="926"/>
      <c r="AS1046" s="926"/>
      <c r="AT1046" s="926"/>
      <c r="AU1046" s="926"/>
      <c r="AV1046" s="926"/>
      <c r="AW1046" s="927"/>
      <c r="AX1046" s="926"/>
      <c r="AY1046" s="1538" t="s">
        <v>29</v>
      </c>
      <c r="AZ1046" s="1530"/>
      <c r="BA1046" s="1031">
        <v>2</v>
      </c>
      <c r="BB1046" s="644" t="s">
        <v>745</v>
      </c>
      <c r="BC1046" s="544"/>
      <c r="BD1046" s="544"/>
      <c r="BE1046" s="544"/>
      <c r="BF1046" s="544"/>
      <c r="BG1046" s="544"/>
      <c r="BH1046" s="741"/>
      <c r="BI1046" s="547" t="s">
        <v>709</v>
      </c>
      <c r="BJ1046" s="547" t="s">
        <v>709</v>
      </c>
      <c r="BK1046" s="547" t="s">
        <v>709</v>
      </c>
      <c r="BL1046" s="547" t="s">
        <v>116</v>
      </c>
      <c r="BM1046" s="547" t="s">
        <v>709</v>
      </c>
      <c r="BN1046" s="547" t="s">
        <v>709</v>
      </c>
      <c r="BO1046" s="547" t="s">
        <v>709</v>
      </c>
      <c r="BP1046" s="547" t="s">
        <v>709</v>
      </c>
      <c r="BQ1046" s="547" t="s">
        <v>709</v>
      </c>
      <c r="BR1046" s="547" t="s">
        <v>709</v>
      </c>
      <c r="BS1046" s="547">
        <v>2620</v>
      </c>
      <c r="BT1046" s="547" t="s">
        <v>709</v>
      </c>
      <c r="BU1046" s="547" t="s">
        <v>709</v>
      </c>
      <c r="BV1046" s="547" t="s">
        <v>709</v>
      </c>
      <c r="BW1046" s="547" t="s">
        <v>709</v>
      </c>
      <c r="BX1046" s="547" t="s">
        <v>745</v>
      </c>
      <c r="BY1046" s="547" t="s">
        <v>709</v>
      </c>
      <c r="BZ1046" s="547" t="s">
        <v>709</v>
      </c>
      <c r="CA1046" s="483"/>
      <c r="CB1046" s="547">
        <v>1044</v>
      </c>
      <c r="CC1046" s="1481" t="b">
        <v>1</v>
      </c>
      <c r="CD1046" t="str">
        <f>Table15[[#This Row],[Engineering Number]]&amp;Table15[[#This Row],[WO Number]]&amp;Table15[[#This Row],[Date Assigned to Designer]]&amp;Table15[[#This Row],[Date Completed]]</f>
        <v>BS34012120674516745176</v>
      </c>
    </row>
    <row r="1047" spans="1:82" customFormat="1" ht="15" customHeight="1" x14ac:dyDescent="0.25">
      <c r="A1047">
        <v>2023</v>
      </c>
      <c r="B1047" s="8" t="s">
        <v>4</v>
      </c>
      <c r="C1047" s="8" t="s">
        <v>5963</v>
      </c>
      <c r="D1047" s="8" t="s">
        <v>115</v>
      </c>
      <c r="E1047" s="8" t="s">
        <v>342</v>
      </c>
      <c r="F1047" s="8" t="s">
        <v>5495</v>
      </c>
      <c r="G1047" s="8" t="s">
        <v>28</v>
      </c>
      <c r="H1047" s="8" t="s">
        <v>1681</v>
      </c>
      <c r="I1047" s="642">
        <v>44917</v>
      </c>
      <c r="J1047" s="18">
        <v>45184</v>
      </c>
      <c r="K1047" s="175">
        <v>45180</v>
      </c>
      <c r="L1047" s="16">
        <f>IF(ISTEXT(Table15[[#This Row],[Engineering Approved Design Date]]),Table15[[#This Row],[Date Completed]]-Table15[[#This Row],[Date Assigned to Designer]],Table15[[#This Row],[Engineering Approved Design Date]]-Table15[[#This Row],[Date Completed]])</f>
        <v>4</v>
      </c>
      <c r="N1047" s="642" t="s">
        <v>120</v>
      </c>
      <c r="O1047" s="1060">
        <v>45170</v>
      </c>
      <c r="P1047" s="1152" t="s">
        <v>739</v>
      </c>
      <c r="Q1047" s="340" t="s">
        <v>115</v>
      </c>
      <c r="R1047" s="1026" t="s">
        <v>115</v>
      </c>
      <c r="S1047" s="538"/>
      <c r="T1047" s="538"/>
      <c r="U1047" s="28"/>
      <c r="V1047" s="858"/>
      <c r="W1047" s="437"/>
      <c r="X1047" s="538"/>
      <c r="Y1047" s="550"/>
      <c r="Z1047" s="538"/>
      <c r="AA1047" s="552"/>
      <c r="AB1047" s="341" t="s">
        <v>29</v>
      </c>
      <c r="AC1047" s="183" t="s">
        <v>29</v>
      </c>
      <c r="AD1047" s="1157" t="s">
        <v>29</v>
      </c>
      <c r="AE1047" s="568" t="s">
        <v>756</v>
      </c>
      <c r="AF1047" s="568" t="s">
        <v>756</v>
      </c>
      <c r="AG1047" s="568" t="s">
        <v>29</v>
      </c>
      <c r="AH1047" s="183">
        <v>45222</v>
      </c>
      <c r="AI1047" s="1036"/>
      <c r="AJ1047" s="1037"/>
      <c r="AK1047" s="1037"/>
      <c r="AL1047" s="1038"/>
      <c r="AM1047" s="542" t="s">
        <v>709</v>
      </c>
      <c r="AN1047" s="924"/>
      <c r="AO1047" s="925"/>
      <c r="AP1047" s="926"/>
      <c r="AQ1047" s="926"/>
      <c r="AR1047" s="926"/>
      <c r="AS1047" s="926"/>
      <c r="AT1047" s="926"/>
      <c r="AU1047" s="926"/>
      <c r="AV1047" s="926"/>
      <c r="AW1047" s="927"/>
      <c r="AX1047" s="926"/>
      <c r="AY1047" s="1538" t="s">
        <v>29</v>
      </c>
      <c r="AZ1047" s="1532"/>
      <c r="BA1047" s="1068" t="s">
        <v>5964</v>
      </c>
      <c r="BB1047" s="644" t="s">
        <v>1071</v>
      </c>
      <c r="BC1047" s="1099" t="s">
        <v>709</v>
      </c>
      <c r="BD1047" s="544" t="s">
        <v>1066</v>
      </c>
      <c r="BE1047" s="544" t="s">
        <v>115</v>
      </c>
      <c r="BF1047" s="544"/>
      <c r="BG1047" s="544"/>
      <c r="BH1047" s="741"/>
      <c r="BI1047" s="1032"/>
      <c r="BJ1047" s="1032"/>
      <c r="BK1047" s="1032"/>
      <c r="BL1047" s="1032"/>
      <c r="BM1047" s="1032"/>
      <c r="BN1047" s="1032"/>
      <c r="BO1047" s="1032"/>
      <c r="BP1047" s="1032"/>
      <c r="BQ1047" s="1032"/>
      <c r="BR1047" s="1032"/>
      <c r="BS1047" s="1032"/>
      <c r="BT1047" s="1032"/>
      <c r="BU1047" s="1032"/>
      <c r="BV1047" s="1032"/>
      <c r="BW1047" s="1032"/>
      <c r="BX1047" s="1032"/>
      <c r="BY1047" s="1032"/>
      <c r="BZ1047" s="1032"/>
      <c r="CA1047" s="485" t="s">
        <v>915</v>
      </c>
      <c r="CB1047" s="547">
        <v>1045</v>
      </c>
      <c r="CC1047" s="1481" t="b">
        <v>1</v>
      </c>
      <c r="CD1047" t="str">
        <f>Table15[[#This Row],[Engineering Number]]&amp;Table15[[#This Row],[WO Number]]&amp;Table15[[#This Row],[Date Assigned to Designer]]&amp;Table15[[#This Row],[Date Completed]]</f>
        <v>N13396-4491745180</v>
      </c>
    </row>
    <row r="1048" spans="1:82" customFormat="1" ht="15" customHeight="1" x14ac:dyDescent="0.25">
      <c r="A1048">
        <v>2023</v>
      </c>
      <c r="B1048" s="8" t="s">
        <v>4</v>
      </c>
      <c r="C1048" s="8" t="s">
        <v>5963</v>
      </c>
      <c r="D1048" s="8" t="s">
        <v>115</v>
      </c>
      <c r="E1048" s="8" t="s">
        <v>342</v>
      </c>
      <c r="F1048" s="8" t="s">
        <v>5495</v>
      </c>
      <c r="G1048" s="8" t="s">
        <v>28</v>
      </c>
      <c r="H1048" s="8" t="s">
        <v>4646</v>
      </c>
      <c r="I1048" s="642">
        <v>45035</v>
      </c>
      <c r="J1048" s="175" t="s">
        <v>4110</v>
      </c>
      <c r="K1048" s="97">
        <v>45180</v>
      </c>
      <c r="L1048" s="16">
        <f>IF(ISTEXT(Table15[[#This Row],[Engineering Approved Design Date]]),Table15[[#This Row],[Date Completed]]-Table15[[#This Row],[Date Assigned to Designer]],Table15[[#This Row],[Engineering Approved Design Date]]-Table15[[#This Row],[Date Completed]])</f>
        <v>145</v>
      </c>
      <c r="M1048" s="16" t="s">
        <v>5966</v>
      </c>
      <c r="N1048" s="642" t="s">
        <v>120</v>
      </c>
      <c r="O1048" s="1060">
        <v>45170</v>
      </c>
      <c r="P1048" s="1152" t="s">
        <v>739</v>
      </c>
      <c r="Q1048" s="1061">
        <f>Table15[[#This Row],[KH Hourly Effort]]</f>
        <v>6990</v>
      </c>
      <c r="R1048" s="1039" t="s">
        <v>1922</v>
      </c>
      <c r="S1048" s="538"/>
      <c r="T1048" s="538"/>
      <c r="U1048" s="1073">
        <v>6990</v>
      </c>
      <c r="V1048" s="857"/>
      <c r="W1048" s="440"/>
      <c r="X1048" s="538"/>
      <c r="Y1048" s="551"/>
      <c r="Z1048" s="538"/>
      <c r="AA1048" s="552"/>
      <c r="AB1048" s="341" t="s">
        <v>29</v>
      </c>
      <c r="AC1048" s="569" t="s">
        <v>29</v>
      </c>
      <c r="AD1048" s="1149" t="s">
        <v>29</v>
      </c>
      <c r="AE1048" s="569" t="s">
        <v>756</v>
      </c>
      <c r="AF1048" s="569" t="s">
        <v>29</v>
      </c>
      <c r="AG1048" s="569" t="s">
        <v>29</v>
      </c>
      <c r="AH1048" s="536">
        <v>45222</v>
      </c>
      <c r="AI1048" s="1028"/>
      <c r="AJ1048" s="1029"/>
      <c r="AK1048" s="1029"/>
      <c r="AL1048" s="1030"/>
      <c r="AM1048" s="542" t="s">
        <v>709</v>
      </c>
      <c r="AN1048" s="924"/>
      <c r="AO1048" s="925"/>
      <c r="AP1048" s="926"/>
      <c r="AQ1048" s="926"/>
      <c r="AR1048" s="926"/>
      <c r="AS1048" s="926"/>
      <c r="AT1048" s="926"/>
      <c r="AU1048" s="926"/>
      <c r="AV1048" s="926"/>
      <c r="AW1048" s="927"/>
      <c r="AX1048" s="926"/>
      <c r="AY1048" s="1538" t="s">
        <v>29</v>
      </c>
      <c r="AZ1048" s="1530"/>
      <c r="BA1048" s="1031" t="s">
        <v>5967</v>
      </c>
      <c r="BB1048" s="658"/>
      <c r="BC1048" s="554"/>
      <c r="BD1048" s="554"/>
      <c r="BE1048" s="544"/>
      <c r="BF1048" s="559"/>
      <c r="BG1048" s="554"/>
      <c r="BH1048" s="1173"/>
      <c r="BI1048" s="1032"/>
      <c r="BJ1048" s="1071"/>
      <c r="BK1048" s="1032"/>
      <c r="BL1048" s="1032"/>
      <c r="BM1048" s="1100"/>
      <c r="BN1048" s="1070"/>
      <c r="BO1048" s="1070"/>
      <c r="BP1048" s="1032"/>
      <c r="BQ1048" s="1070"/>
      <c r="BR1048" s="1032"/>
      <c r="BS1048" s="1071"/>
      <c r="BT1048" s="1070"/>
      <c r="BU1048" s="1032"/>
      <c r="BV1048" s="1032"/>
      <c r="BW1048" s="1032"/>
      <c r="BX1048" s="1032"/>
      <c r="BY1048" s="1032"/>
      <c r="BZ1048" s="1032"/>
      <c r="CA1048" s="485" t="s">
        <v>915</v>
      </c>
      <c r="CB1048" s="547">
        <v>1046</v>
      </c>
      <c r="CC1048" s="1481" t="b">
        <v>1</v>
      </c>
      <c r="CD1048" t="str">
        <f>Table15[[#This Row],[Engineering Number]]&amp;Table15[[#This Row],[WO Number]]&amp;Table15[[#This Row],[Date Assigned to Designer]]&amp;Table15[[#This Row],[Date Completed]]</f>
        <v>N13396-4503545180</v>
      </c>
    </row>
    <row r="1049" spans="1:82" customFormat="1" ht="15" customHeight="1" x14ac:dyDescent="0.25">
      <c r="A1049">
        <v>2023</v>
      </c>
      <c r="B1049" s="8" t="s">
        <v>4</v>
      </c>
      <c r="C1049" s="8" t="s">
        <v>1023</v>
      </c>
      <c r="D1049" s="8" t="s">
        <v>1024</v>
      </c>
      <c r="E1049" s="8" t="s">
        <v>245</v>
      </c>
      <c r="F1049" s="8" t="s">
        <v>784</v>
      </c>
      <c r="G1049" s="8" t="s">
        <v>784</v>
      </c>
      <c r="H1049" s="8" t="s">
        <v>413</v>
      </c>
      <c r="I1049" s="642">
        <v>45041</v>
      </c>
      <c r="J1049" s="18">
        <v>45184</v>
      </c>
      <c r="K1049" s="97">
        <v>45181</v>
      </c>
      <c r="L1049" s="16">
        <f>IF(ISTEXT(Table15[[#This Row],[Engineering Approved Design Date]]),Table15[[#This Row],[Date Completed]]-Table15[[#This Row],[Date Assigned to Designer]],Table15[[#This Row],[Engineering Approved Design Date]]-Table15[[#This Row],[Date Completed]])</f>
        <v>3</v>
      </c>
      <c r="M1049" s="642"/>
      <c r="N1049" s="642" t="s">
        <v>120</v>
      </c>
      <c r="O1049" s="1060">
        <v>45200</v>
      </c>
      <c r="P1049" s="1152" t="s">
        <v>739</v>
      </c>
      <c r="Q1049" s="340">
        <f>Table15[[#This Row],[Rate]]*Table15[[#This Row],[Construction Cost to Bill From]]</f>
        <v>162543.111</v>
      </c>
      <c r="R1049" s="1026">
        <v>0.1</v>
      </c>
      <c r="S1049" s="538"/>
      <c r="T1049" s="538"/>
      <c r="U1049" s="87"/>
      <c r="V1049" s="858">
        <v>5390</v>
      </c>
      <c r="W1049" s="437">
        <v>1</v>
      </c>
      <c r="X1049" s="538">
        <v>1456392.16</v>
      </c>
      <c r="Y1049" s="551"/>
      <c r="Z1049" s="570">
        <v>169038.95</v>
      </c>
      <c r="AA1049" s="552">
        <f>SUM(Table15[[#This Row],[PCTS Investment Amount]:[PCTS Retirement Amount]])</f>
        <v>1625431.1099999999</v>
      </c>
      <c r="AB1049" s="341">
        <v>45159</v>
      </c>
      <c r="AC1049" s="568" t="s">
        <v>745</v>
      </c>
      <c r="AD1049" s="1157" t="s">
        <v>29</v>
      </c>
      <c r="AE1049" s="568" t="s">
        <v>756</v>
      </c>
      <c r="AF1049" s="568" t="s">
        <v>756</v>
      </c>
      <c r="AG1049" s="568" t="s">
        <v>116</v>
      </c>
      <c r="AH1049" s="183">
        <v>45222</v>
      </c>
      <c r="AI1049" s="1036"/>
      <c r="AJ1049" s="1037"/>
      <c r="AK1049" s="1037"/>
      <c r="AL1049" s="1038"/>
      <c r="AM1049" s="1522" t="s">
        <v>116</v>
      </c>
      <c r="AN1049" s="1523">
        <v>45442</v>
      </c>
      <c r="AO1049" s="1524">
        <v>11083250</v>
      </c>
      <c r="AP1049" s="1525">
        <v>1479075.05</v>
      </c>
      <c r="AQ1049" s="1525"/>
      <c r="AR1049" s="1525">
        <v>171367.36</v>
      </c>
      <c r="AS1049" s="1525">
        <v>1650442.4100000001</v>
      </c>
      <c r="AT1049" s="1525">
        <v>25011.300000000279</v>
      </c>
      <c r="AU1049" s="1525">
        <v>2501.1300000000283</v>
      </c>
      <c r="AV1049" s="1525">
        <v>0</v>
      </c>
      <c r="AW1049" s="1526" t="s">
        <v>1025</v>
      </c>
      <c r="AX1049" s="1525">
        <v>2501.13</v>
      </c>
      <c r="AY1049" s="1518">
        <v>45566</v>
      </c>
      <c r="AZ1049" s="333">
        <v>99</v>
      </c>
      <c r="BA1049" s="1076" t="s">
        <v>1026</v>
      </c>
      <c r="BB1049" s="653" t="s">
        <v>1027</v>
      </c>
      <c r="BC1049" s="544" t="s">
        <v>709</v>
      </c>
      <c r="BD1049" s="544" t="s">
        <v>115</v>
      </c>
      <c r="BE1049" s="559" t="s">
        <v>1028</v>
      </c>
      <c r="BF1049" s="554" t="s">
        <v>709</v>
      </c>
      <c r="BG1049" s="548" t="s">
        <v>709</v>
      </c>
      <c r="BH1049" s="749" t="s">
        <v>1029</v>
      </c>
      <c r="BI1049" s="547" t="s">
        <v>709</v>
      </c>
      <c r="BJ1049" s="547" t="s">
        <v>709</v>
      </c>
      <c r="BK1049" s="547" t="s">
        <v>709</v>
      </c>
      <c r="BL1049" s="547" t="s">
        <v>116</v>
      </c>
      <c r="BM1049" s="547" t="s">
        <v>709</v>
      </c>
      <c r="BN1049" s="547" t="s">
        <v>709</v>
      </c>
      <c r="BO1049" s="547" t="s">
        <v>709</v>
      </c>
      <c r="BP1049" s="547" t="s">
        <v>709</v>
      </c>
      <c r="BQ1049" s="547">
        <v>2812</v>
      </c>
      <c r="BR1049" s="547" t="s">
        <v>709</v>
      </c>
      <c r="BS1049" s="547">
        <v>2578</v>
      </c>
      <c r="BT1049" s="547" t="s">
        <v>709</v>
      </c>
      <c r="BU1049" s="547" t="s">
        <v>709</v>
      </c>
      <c r="BV1049" s="547">
        <v>1</v>
      </c>
      <c r="BW1049" s="547" t="s">
        <v>709</v>
      </c>
      <c r="BX1049" s="547" t="s">
        <v>709</v>
      </c>
      <c r="BY1049" s="547" t="s">
        <v>709</v>
      </c>
      <c r="BZ1049" s="547" t="s">
        <v>709</v>
      </c>
      <c r="CA1049" s="483"/>
      <c r="CB1049" s="547">
        <v>1047</v>
      </c>
      <c r="CC1049" s="1481" t="b">
        <v>1</v>
      </c>
      <c r="CD1049" t="str">
        <f>Table15[[#This Row],[Engineering Number]]&amp;Table15[[#This Row],[WO Number]]&amp;Table15[[#This Row],[Date Assigned to Designer]]&amp;Table15[[#This Row],[Date Completed]]</f>
        <v>N1684412129014504145181</v>
      </c>
    </row>
    <row r="1050" spans="1:82" customFormat="1" ht="15" customHeight="1" x14ac:dyDescent="0.25">
      <c r="A1050">
        <v>2023</v>
      </c>
      <c r="B1050" s="8" t="s">
        <v>730</v>
      </c>
      <c r="C1050" s="8" t="s">
        <v>823</v>
      </c>
      <c r="D1050" s="8" t="s">
        <v>824</v>
      </c>
      <c r="E1050" s="8" t="s">
        <v>825</v>
      </c>
      <c r="F1050" s="8" t="s">
        <v>752</v>
      </c>
      <c r="G1050" s="8" t="s">
        <v>37</v>
      </c>
      <c r="H1050" s="8" t="s">
        <v>4189</v>
      </c>
      <c r="I1050" s="642">
        <v>45149</v>
      </c>
      <c r="J1050" s="175" t="s">
        <v>2052</v>
      </c>
      <c r="K1050" s="97">
        <v>45183</v>
      </c>
      <c r="L1050" s="16">
        <f>IF(ISTEXT(Table15[[#This Row],[Engineering Approved Design Date]]),Table15[[#This Row],[Date Completed]]-Table15[[#This Row],[Date Assigned to Designer]],Table15[[#This Row],[Engineering Approved Design Date]]-Table15[[#This Row],[Date Completed]])</f>
        <v>34</v>
      </c>
      <c r="M1050" s="16" t="s">
        <v>5970</v>
      </c>
      <c r="N1050" s="642" t="s">
        <v>120</v>
      </c>
      <c r="O1050" s="1060">
        <v>45170</v>
      </c>
      <c r="P1050" s="1152" t="s">
        <v>120</v>
      </c>
      <c r="Q1050" s="1061">
        <v>3182.5</v>
      </c>
      <c r="R1050" s="1039" t="s">
        <v>1922</v>
      </c>
      <c r="S1050" s="538" t="s">
        <v>709</v>
      </c>
      <c r="T1050" s="538">
        <v>0</v>
      </c>
      <c r="U1050" s="1073">
        <v>3182.5</v>
      </c>
      <c r="V1050" s="857">
        <v>689</v>
      </c>
      <c r="W1050" s="440">
        <v>0</v>
      </c>
      <c r="X1050" s="538"/>
      <c r="Y1050" s="551"/>
      <c r="Z1050" s="538"/>
      <c r="AA1050" s="552">
        <f>SUM(Table15[[#This Row],[PCTS Investment Amount]:[PCTS Retirement Amount]])</f>
        <v>0</v>
      </c>
      <c r="AB1050" s="341"/>
      <c r="AC1050" s="569"/>
      <c r="AD1050" s="1149" t="s">
        <v>116</v>
      </c>
      <c r="AE1050" s="569" t="s">
        <v>756</v>
      </c>
      <c r="AF1050" s="569" t="s">
        <v>756</v>
      </c>
      <c r="AG1050" s="569" t="s">
        <v>29</v>
      </c>
      <c r="AH1050" s="536" t="s">
        <v>29</v>
      </c>
      <c r="AI1050" s="1028"/>
      <c r="AJ1050" s="1029"/>
      <c r="AK1050" s="1029"/>
      <c r="AL1050" s="1030"/>
      <c r="AM1050" s="542" t="s">
        <v>709</v>
      </c>
      <c r="AN1050" s="924"/>
      <c r="AO1050" s="925"/>
      <c r="AP1050" s="926"/>
      <c r="AQ1050" s="926"/>
      <c r="AR1050" s="926"/>
      <c r="AS1050" s="926"/>
      <c r="AT1050" s="926"/>
      <c r="AU1050" s="926"/>
      <c r="AV1050" s="926"/>
      <c r="AW1050" s="927"/>
      <c r="AX1050" s="926"/>
      <c r="AY1050" s="1538" t="s">
        <v>29</v>
      </c>
      <c r="AZ1050" s="1530"/>
      <c r="BA1050" s="1031">
        <v>2</v>
      </c>
      <c r="BB1050" s="653" t="s">
        <v>709</v>
      </c>
      <c r="BC1050" s="544" t="s">
        <v>992</v>
      </c>
      <c r="BD1050" s="544"/>
      <c r="BE1050" s="559"/>
      <c r="BF1050" s="554"/>
      <c r="BG1050" s="1095"/>
      <c r="BH1050" s="615" t="s">
        <v>5971</v>
      </c>
      <c r="BI1050" s="549" t="s">
        <v>709</v>
      </c>
      <c r="BJ1050" s="549" t="s">
        <v>709</v>
      </c>
      <c r="BK1050" s="549" t="s">
        <v>709</v>
      </c>
      <c r="BL1050" s="549" t="s">
        <v>116</v>
      </c>
      <c r="BM1050" s="549" t="s">
        <v>709</v>
      </c>
      <c r="BN1050" s="549" t="s">
        <v>709</v>
      </c>
      <c r="BO1050" s="549" t="s">
        <v>709</v>
      </c>
      <c r="BP1050" s="549" t="s">
        <v>709</v>
      </c>
      <c r="BQ1050" s="549" t="s">
        <v>709</v>
      </c>
      <c r="BR1050" s="549">
        <v>698</v>
      </c>
      <c r="BS1050" s="549" t="s">
        <v>709</v>
      </c>
      <c r="BT1050" s="549" t="s">
        <v>709</v>
      </c>
      <c r="BU1050" s="549" t="s">
        <v>709</v>
      </c>
      <c r="BV1050" s="549" t="s">
        <v>709</v>
      </c>
      <c r="BW1050" s="549" t="s">
        <v>709</v>
      </c>
      <c r="BX1050" s="549" t="s">
        <v>745</v>
      </c>
      <c r="BY1050" s="549" t="s">
        <v>709</v>
      </c>
      <c r="BZ1050" s="547" t="s">
        <v>709</v>
      </c>
      <c r="CA1050" s="484" t="s">
        <v>769</v>
      </c>
      <c r="CB1050" s="547">
        <v>1048</v>
      </c>
      <c r="CC1050" s="1481" t="b">
        <v>1</v>
      </c>
      <c r="CD1050" t="str">
        <f>Table15[[#This Row],[Engineering Number]]&amp;Table15[[#This Row],[WO Number]]&amp;Table15[[#This Row],[Date Assigned to Designer]]&amp;Table15[[#This Row],[Date Completed]]</f>
        <v>RS112814124384514945183</v>
      </c>
    </row>
    <row r="1051" spans="1:82" customFormat="1" ht="15" customHeight="1" x14ac:dyDescent="0.25">
      <c r="A1051">
        <v>2023</v>
      </c>
      <c r="B1051" s="8" t="s">
        <v>4</v>
      </c>
      <c r="C1051" s="8" t="s">
        <v>5312</v>
      </c>
      <c r="D1051" s="8" t="s">
        <v>5313</v>
      </c>
      <c r="E1051" s="8" t="s">
        <v>1957</v>
      </c>
      <c r="F1051" s="8" t="s">
        <v>784</v>
      </c>
      <c r="G1051" s="8" t="s">
        <v>25</v>
      </c>
      <c r="H1051" s="8" t="s">
        <v>4189</v>
      </c>
      <c r="I1051" s="642">
        <v>45049</v>
      </c>
      <c r="J1051" s="175" t="s">
        <v>2052</v>
      </c>
      <c r="K1051" s="97">
        <v>45183</v>
      </c>
      <c r="L1051" s="16">
        <f>IF(ISTEXT(Table15[[#This Row],[Engineering Approved Design Date]]),Table15[[#This Row],[Date Completed]]-Table15[[#This Row],[Date Assigned to Designer]],Table15[[#This Row],[Engineering Approved Design Date]]-Table15[[#This Row],[Date Completed]])</f>
        <v>134</v>
      </c>
      <c r="M1051" s="16" t="s">
        <v>5973</v>
      </c>
      <c r="N1051" s="642" t="s">
        <v>120</v>
      </c>
      <c r="O1051" s="1060">
        <v>45170</v>
      </c>
      <c r="P1051" s="1152" t="s">
        <v>739</v>
      </c>
      <c r="Q1051" s="1061">
        <f>Table15[[#This Row],[KH Hourly Effort]]</f>
        <v>6285</v>
      </c>
      <c r="R1051" s="1039" t="s">
        <v>1922</v>
      </c>
      <c r="S1051" s="552">
        <v>0</v>
      </c>
      <c r="T1051" s="538"/>
      <c r="U1051" s="1073">
        <v>6285</v>
      </c>
      <c r="V1051" s="857">
        <v>840</v>
      </c>
      <c r="W1051" s="440"/>
      <c r="X1051" s="538"/>
      <c r="Y1051" s="551"/>
      <c r="Z1051" s="538"/>
      <c r="AA1051" s="552"/>
      <c r="AB1051" s="341" t="s">
        <v>29</v>
      </c>
      <c r="AC1051" s="569" t="s">
        <v>709</v>
      </c>
      <c r="AD1051" s="1149" t="s">
        <v>116</v>
      </c>
      <c r="AE1051" s="569" t="s">
        <v>756</v>
      </c>
      <c r="AF1051" s="569" t="s">
        <v>756</v>
      </c>
      <c r="AG1051" s="569" t="s">
        <v>29</v>
      </c>
      <c r="AH1051" s="536">
        <v>45222</v>
      </c>
      <c r="AI1051" s="1028"/>
      <c r="AJ1051" s="1029"/>
      <c r="AK1051" s="1029"/>
      <c r="AL1051" s="1030"/>
      <c r="AM1051" s="542" t="s">
        <v>709</v>
      </c>
      <c r="AN1051" s="924"/>
      <c r="AO1051" s="925"/>
      <c r="AP1051" s="926"/>
      <c r="AQ1051" s="926"/>
      <c r="AR1051" s="926"/>
      <c r="AS1051" s="926"/>
      <c r="AT1051" s="926"/>
      <c r="AU1051" s="926"/>
      <c r="AV1051" s="926"/>
      <c r="AW1051" s="927"/>
      <c r="AX1051" s="926"/>
      <c r="AY1051" s="1538" t="s">
        <v>29</v>
      </c>
      <c r="AZ1051" s="1530"/>
      <c r="BA1051" s="1031">
        <v>4</v>
      </c>
      <c r="BB1051" s="653" t="s">
        <v>709</v>
      </c>
      <c r="BC1051" s="544"/>
      <c r="BD1051" s="544"/>
      <c r="BE1051" s="544"/>
      <c r="BF1051" s="544"/>
      <c r="BG1051" s="544"/>
      <c r="BH1051" s="741" t="s">
        <v>5974</v>
      </c>
      <c r="BI1051" s="549" t="s">
        <v>709</v>
      </c>
      <c r="BJ1051" s="549" t="s">
        <v>709</v>
      </c>
      <c r="BK1051" s="549" t="s">
        <v>709</v>
      </c>
      <c r="BL1051" s="549" t="s">
        <v>116</v>
      </c>
      <c r="BM1051" s="549" t="s">
        <v>709</v>
      </c>
      <c r="BN1051" s="549" t="s">
        <v>709</v>
      </c>
      <c r="BO1051" s="549" t="s">
        <v>709</v>
      </c>
      <c r="BP1051" s="549" t="s">
        <v>709</v>
      </c>
      <c r="BQ1051" s="549" t="s">
        <v>709</v>
      </c>
      <c r="BR1051" s="549" t="s">
        <v>709</v>
      </c>
      <c r="BS1051" s="549">
        <v>840</v>
      </c>
      <c r="BT1051" s="549" t="s">
        <v>709</v>
      </c>
      <c r="BU1051" s="549" t="s">
        <v>709</v>
      </c>
      <c r="BV1051" s="549" t="s">
        <v>709</v>
      </c>
      <c r="BW1051" s="549" t="s">
        <v>709</v>
      </c>
      <c r="BX1051" s="549" t="s">
        <v>745</v>
      </c>
      <c r="BY1051" s="549" t="s">
        <v>709</v>
      </c>
      <c r="BZ1051" s="547" t="s">
        <v>709</v>
      </c>
      <c r="CA1051" s="483" t="s">
        <v>915</v>
      </c>
      <c r="CB1051" s="547">
        <v>1049</v>
      </c>
      <c r="CC1051" s="1481" t="b">
        <v>1</v>
      </c>
      <c r="CD1051" t="str">
        <f>Table15[[#This Row],[Engineering Number]]&amp;Table15[[#This Row],[WO Number]]&amp;Table15[[#This Row],[Date Assigned to Designer]]&amp;Table15[[#This Row],[Date Completed]]</f>
        <v>SC1901113122124504945183</v>
      </c>
    </row>
    <row r="1052" spans="1:82" customFormat="1" ht="15" customHeight="1" x14ac:dyDescent="0.25">
      <c r="A1052">
        <v>2023</v>
      </c>
      <c r="B1052" s="8" t="s">
        <v>4</v>
      </c>
      <c r="C1052" s="8" t="s">
        <v>5659</v>
      </c>
      <c r="D1052" s="8" t="s">
        <v>5976</v>
      </c>
      <c r="E1052" s="8" t="s">
        <v>354</v>
      </c>
      <c r="F1052" s="8" t="s">
        <v>5661</v>
      </c>
      <c r="G1052" s="8" t="s">
        <v>27</v>
      </c>
      <c r="H1052" s="8" t="s">
        <v>59</v>
      </c>
      <c r="I1052" s="642">
        <v>44739</v>
      </c>
      <c r="J1052" s="18">
        <v>45177</v>
      </c>
      <c r="K1052" s="97">
        <v>45187</v>
      </c>
      <c r="L1052" s="16">
        <f>IF(ISTEXT(Table15[[#This Row],[Engineering Approved Design Date]]),Table15[[#This Row],[Date Completed]]-Table15[[#This Row],[Date Assigned to Designer]],Table15[[#This Row],[Engineering Approved Design Date]]-Table15[[#This Row],[Date Completed]])</f>
        <v>-10</v>
      </c>
      <c r="M1052" s="642" t="s">
        <v>5977</v>
      </c>
      <c r="N1052" s="642" t="s">
        <v>120</v>
      </c>
      <c r="O1052" s="1060">
        <v>45231</v>
      </c>
      <c r="P1052" s="1152" t="s">
        <v>739</v>
      </c>
      <c r="Q1052" s="340">
        <f>Table15[[#This Row],[KH Hourly Effort]]</f>
        <v>167252.5</v>
      </c>
      <c r="R1052" s="1026" t="s">
        <v>1922</v>
      </c>
      <c r="S1052" s="538" t="s">
        <v>709</v>
      </c>
      <c r="T1052" s="538" t="s">
        <v>709</v>
      </c>
      <c r="U1052" s="87">
        <v>167252.5</v>
      </c>
      <c r="V1052" s="858">
        <v>608</v>
      </c>
      <c r="W1052" s="437">
        <v>0</v>
      </c>
      <c r="X1052" s="538">
        <v>1792377.31</v>
      </c>
      <c r="Y1052" s="551"/>
      <c r="Z1052" s="570">
        <v>200369.4</v>
      </c>
      <c r="AA1052" s="552" t="s">
        <v>915</v>
      </c>
      <c r="AB1052" s="341">
        <v>45187</v>
      </c>
      <c r="AC1052" s="568" t="s">
        <v>745</v>
      </c>
      <c r="AD1052" s="1157" t="s">
        <v>29</v>
      </c>
      <c r="AE1052" s="568" t="s">
        <v>116</v>
      </c>
      <c r="AF1052" s="568" t="s">
        <v>756</v>
      </c>
      <c r="AG1052" s="568" t="s">
        <v>116</v>
      </c>
      <c r="AH1052" s="183">
        <v>45239</v>
      </c>
      <c r="AI1052" s="1036"/>
      <c r="AJ1052" s="1037"/>
      <c r="AK1052" s="1037"/>
      <c r="AL1052" s="1038"/>
      <c r="AM1052" s="542" t="s">
        <v>709</v>
      </c>
      <c r="AN1052" s="924"/>
      <c r="AO1052" s="925"/>
      <c r="AP1052" s="926"/>
      <c r="AQ1052" s="926"/>
      <c r="AR1052" s="926"/>
      <c r="AS1052" s="926"/>
      <c r="AT1052" s="926"/>
      <c r="AU1052" s="926"/>
      <c r="AV1052" s="926"/>
      <c r="AW1052" s="927"/>
      <c r="AX1052" s="926"/>
      <c r="AY1052" s="1538" t="s">
        <v>29</v>
      </c>
      <c r="AZ1052" s="1530"/>
      <c r="BA1052" s="1076" t="s">
        <v>5978</v>
      </c>
      <c r="BB1052" s="653" t="s">
        <v>905</v>
      </c>
      <c r="BC1052" s="544" t="s">
        <v>116</v>
      </c>
      <c r="BD1052" s="544" t="s">
        <v>709</v>
      </c>
      <c r="BE1052" s="559" t="s">
        <v>115</v>
      </c>
      <c r="BF1052" s="554" t="s">
        <v>5979</v>
      </c>
      <c r="BG1052" s="548" t="s">
        <v>709</v>
      </c>
      <c r="BH1052" s="749" t="s">
        <v>5980</v>
      </c>
      <c r="BI1052" s="547" t="s">
        <v>116</v>
      </c>
      <c r="BJ1052" s="547" t="s">
        <v>709</v>
      </c>
      <c r="BK1052" s="547" t="s">
        <v>709</v>
      </c>
      <c r="BL1052" s="547" t="s">
        <v>116</v>
      </c>
      <c r="BM1052" s="547">
        <v>308</v>
      </c>
      <c r="BN1052" s="547" t="s">
        <v>709</v>
      </c>
      <c r="BO1052" s="547" t="s">
        <v>709</v>
      </c>
      <c r="BP1052" s="547" t="s">
        <v>709</v>
      </c>
      <c r="BQ1052" s="547">
        <v>313</v>
      </c>
      <c r="BR1052" s="547" t="s">
        <v>709</v>
      </c>
      <c r="BS1052" s="547" t="s">
        <v>709</v>
      </c>
      <c r="BT1052" s="547" t="s">
        <v>709</v>
      </c>
      <c r="BU1052" s="547" t="s">
        <v>709</v>
      </c>
      <c r="BV1052" s="547" t="s">
        <v>709</v>
      </c>
      <c r="BW1052" s="547" t="s">
        <v>709</v>
      </c>
      <c r="BX1052" s="547" t="s">
        <v>745</v>
      </c>
      <c r="BY1052" s="547" t="s">
        <v>709</v>
      </c>
      <c r="BZ1052" s="547" t="s">
        <v>709</v>
      </c>
      <c r="CA1052" s="483"/>
      <c r="CB1052" s="547">
        <v>1050</v>
      </c>
      <c r="CC1052" s="1481" t="b">
        <v>1</v>
      </c>
      <c r="CD1052" t="str">
        <f>Table15[[#This Row],[Engineering Number]]&amp;Table15[[#This Row],[WO Number]]&amp;Table15[[#This Row],[Date Assigned to Designer]]&amp;Table15[[#This Row],[Date Completed]]</f>
        <v>N1583712129454473945187</v>
      </c>
    </row>
    <row r="1053" spans="1:82" customFormat="1" ht="15" customHeight="1" x14ac:dyDescent="0.25">
      <c r="A1053">
        <v>2023</v>
      </c>
      <c r="B1053" s="8" t="s">
        <v>771</v>
      </c>
      <c r="C1053" s="8" t="s">
        <v>924</v>
      </c>
      <c r="D1053" s="8" t="s">
        <v>925</v>
      </c>
      <c r="E1053" s="8" t="s">
        <v>926</v>
      </c>
      <c r="F1053" s="8" t="s">
        <v>784</v>
      </c>
      <c r="G1053" s="8" t="s">
        <v>31</v>
      </c>
      <c r="H1053" s="8" t="s">
        <v>59</v>
      </c>
      <c r="I1053" s="642">
        <v>45100</v>
      </c>
      <c r="J1053" s="18">
        <v>45190</v>
      </c>
      <c r="K1053" s="97">
        <v>45188</v>
      </c>
      <c r="L1053" s="16">
        <f>IF(ISTEXT(Table15[[#This Row],[Engineering Approved Design Date]]),Table15[[#This Row],[Date Completed]]-Table15[[#This Row],[Date Assigned to Designer]],Table15[[#This Row],[Engineering Approved Design Date]]-Table15[[#This Row],[Date Completed]])</f>
        <v>2</v>
      </c>
      <c r="M1053" s="642"/>
      <c r="N1053" s="642" t="s">
        <v>120</v>
      </c>
      <c r="O1053" s="1060">
        <v>45200</v>
      </c>
      <c r="P1053" s="1152" t="s">
        <v>120</v>
      </c>
      <c r="Q1053" s="340">
        <f>Table15[[#This Row],[Rate]]*Table15[[#This Row],[Construction Cost to Bill From]]</f>
        <v>33379.236900000004</v>
      </c>
      <c r="R1053" s="1026">
        <v>0.09</v>
      </c>
      <c r="S1053" s="538"/>
      <c r="T1053" s="538"/>
      <c r="U1053" s="87"/>
      <c r="V1053" s="858">
        <v>1867</v>
      </c>
      <c r="W1053" s="437">
        <v>0</v>
      </c>
      <c r="X1053" s="556">
        <v>356049.77</v>
      </c>
      <c r="Y1053" s="551"/>
      <c r="Z1053" s="570">
        <v>14830.64</v>
      </c>
      <c r="AA1053" s="552">
        <f>Table15[[#This Row],[PCTS Retirement Amount]]+Table15[[#This Row],[PCTS Investment Amount]]</f>
        <v>370880.41000000003</v>
      </c>
      <c r="AB1053" s="341">
        <v>45190</v>
      </c>
      <c r="AC1053" s="568" t="s">
        <v>709</v>
      </c>
      <c r="AD1053" s="1157" t="s">
        <v>29</v>
      </c>
      <c r="AE1053" s="568" t="s">
        <v>756</v>
      </c>
      <c r="AF1053" s="568" t="s">
        <v>29</v>
      </c>
      <c r="AG1053" s="568" t="s">
        <v>116</v>
      </c>
      <c r="AH1053" s="183" t="s">
        <v>29</v>
      </c>
      <c r="AI1053" s="1036"/>
      <c r="AJ1053" s="1037"/>
      <c r="AK1053" s="1037"/>
      <c r="AL1053" s="1038"/>
      <c r="AM1053" s="1522" t="s">
        <v>116</v>
      </c>
      <c r="AN1053" s="1523">
        <v>45372</v>
      </c>
      <c r="AO1053" s="1524">
        <v>11070337</v>
      </c>
      <c r="AP1053" s="1525">
        <v>356161.13</v>
      </c>
      <c r="AQ1053" s="1525"/>
      <c r="AR1053" s="1525">
        <v>17521.46</v>
      </c>
      <c r="AS1053" s="1525">
        <v>373682.59</v>
      </c>
      <c r="AT1053" s="1525">
        <v>2802.179999999993</v>
      </c>
      <c r="AU1053" s="1525">
        <v>252.19619999999935</v>
      </c>
      <c r="AV1053" s="1525">
        <v>2900</v>
      </c>
      <c r="AW1053" s="1526" t="s">
        <v>5982</v>
      </c>
      <c r="AX1053" s="1525">
        <v>0</v>
      </c>
      <c r="AY1053" s="1518">
        <v>45566</v>
      </c>
      <c r="AZ1053" s="333">
        <v>50</v>
      </c>
      <c r="BA1053" s="1076" t="s">
        <v>928</v>
      </c>
      <c r="BB1053" s="653" t="s">
        <v>929</v>
      </c>
      <c r="BC1053" s="544"/>
      <c r="BD1053" s="544"/>
      <c r="BE1053" s="544"/>
      <c r="BF1053" s="544"/>
      <c r="BG1053" s="544"/>
      <c r="BH1053" s="741" t="s">
        <v>930</v>
      </c>
      <c r="BI1053" s="547" t="s">
        <v>709</v>
      </c>
      <c r="BJ1053" s="547" t="s">
        <v>709</v>
      </c>
      <c r="BK1053" s="547" t="s">
        <v>709</v>
      </c>
      <c r="BL1053" s="547" t="s">
        <v>116</v>
      </c>
      <c r="BM1053" s="547" t="s">
        <v>709</v>
      </c>
      <c r="BN1053" s="547" t="s">
        <v>709</v>
      </c>
      <c r="BO1053" s="547" t="s">
        <v>709</v>
      </c>
      <c r="BP1053" s="547" t="s">
        <v>709</v>
      </c>
      <c r="BQ1053" s="547" t="s">
        <v>709</v>
      </c>
      <c r="BR1053" s="547">
        <v>1867</v>
      </c>
      <c r="BS1053" s="547" t="s">
        <v>709</v>
      </c>
      <c r="BT1053" s="547" t="s">
        <v>709</v>
      </c>
      <c r="BU1053" s="547" t="s">
        <v>709</v>
      </c>
      <c r="BV1053" s="547" t="s">
        <v>709</v>
      </c>
      <c r="BW1053" s="547" t="s">
        <v>709</v>
      </c>
      <c r="BX1053" s="547" t="s">
        <v>745</v>
      </c>
      <c r="BY1053" s="547" t="s">
        <v>709</v>
      </c>
      <c r="BZ1053" s="547" t="s">
        <v>709</v>
      </c>
      <c r="CA1053" s="483"/>
      <c r="CB1053" s="547">
        <v>1051</v>
      </c>
      <c r="CC1053" s="1481" t="b">
        <v>1</v>
      </c>
      <c r="CD1053" t="str">
        <f>Table15[[#This Row],[Engineering Number]]&amp;Table15[[#This Row],[WO Number]]&amp;Table15[[#This Row],[Date Assigned to Designer]]&amp;Table15[[#This Row],[Date Completed]]</f>
        <v>BS36112129064510045188</v>
      </c>
    </row>
    <row r="1054" spans="1:82" customFormat="1" ht="15" customHeight="1" x14ac:dyDescent="0.25">
      <c r="A1054">
        <v>2023</v>
      </c>
      <c r="B1054" s="8" t="s">
        <v>4</v>
      </c>
      <c r="C1054" s="8" t="s">
        <v>1631</v>
      </c>
      <c r="D1054" s="8" t="s">
        <v>1632</v>
      </c>
      <c r="E1054" s="8" t="s">
        <v>1633</v>
      </c>
      <c r="F1054" s="8" t="s">
        <v>784</v>
      </c>
      <c r="G1054" s="8" t="s">
        <v>25</v>
      </c>
      <c r="H1054" s="8" t="s">
        <v>59</v>
      </c>
      <c r="I1054" s="642">
        <v>44966</v>
      </c>
      <c r="J1054" s="18">
        <v>45191</v>
      </c>
      <c r="K1054" s="97">
        <v>45188</v>
      </c>
      <c r="L1054" s="16">
        <f>IF(ISTEXT(Table15[[#This Row],[Engineering Approved Design Date]]),Table15[[#This Row],[Date Completed]]-Table15[[#This Row],[Date Assigned to Designer]],Table15[[#This Row],[Engineering Approved Design Date]]-Table15[[#This Row],[Date Completed]])</f>
        <v>3</v>
      </c>
      <c r="M1054" s="642"/>
      <c r="N1054" s="642" t="s">
        <v>120</v>
      </c>
      <c r="O1054" s="1060">
        <v>45200</v>
      </c>
      <c r="P1054" s="1152" t="s">
        <v>739</v>
      </c>
      <c r="Q1054" s="340">
        <f>Table15[[#This Row],[Rate]]*Table15[[#This Row],[Construction Cost to Bill From]]</f>
        <v>70945.646999999997</v>
      </c>
      <c r="R1054" s="1026">
        <v>0.1</v>
      </c>
      <c r="S1054" s="538"/>
      <c r="T1054" s="538"/>
      <c r="U1054" s="87"/>
      <c r="V1054" s="858">
        <v>2830</v>
      </c>
      <c r="W1054" s="437">
        <v>0</v>
      </c>
      <c r="X1054" s="538">
        <v>680056.27</v>
      </c>
      <c r="Y1054" s="551"/>
      <c r="Z1054" s="570">
        <v>29400.2</v>
      </c>
      <c r="AA1054" s="552">
        <f>Table15[[#This Row],[PCTS Retirement Amount]]+Table15[[#This Row],[PCTS Investment Amount]]</f>
        <v>709456.47</v>
      </c>
      <c r="AB1054" s="341">
        <v>45175</v>
      </c>
      <c r="AC1054" s="568" t="s">
        <v>709</v>
      </c>
      <c r="AD1054" s="1157" t="s">
        <v>29</v>
      </c>
      <c r="AE1054" s="568" t="s">
        <v>756</v>
      </c>
      <c r="AF1054" s="568" t="s">
        <v>756</v>
      </c>
      <c r="AG1054" s="568" t="s">
        <v>116</v>
      </c>
      <c r="AH1054" s="183">
        <v>45222</v>
      </c>
      <c r="AI1054" s="1036"/>
      <c r="AJ1054" s="1037"/>
      <c r="AK1054" s="1037"/>
      <c r="AL1054" s="1038"/>
      <c r="AM1054" s="536" t="s">
        <v>116</v>
      </c>
      <c r="AN1054" s="903" t="s">
        <v>709</v>
      </c>
      <c r="AO1054" s="1536"/>
      <c r="AP1054" s="1537"/>
      <c r="AQ1054" s="1537"/>
      <c r="AR1054" s="1537"/>
      <c r="AS1054" s="888">
        <f>IF(Table15[[#This Row],[PCTS Approved]]="N",0,Table15[[#This Row],[Investment Amount (1'#'#'#'#'#)]]+Table15[[#This Row],[Retirement Amount (3'#'#'#'#'#)]])</f>
        <v>0</v>
      </c>
      <c r="AT1054" s="888">
        <f>IF(Table15[[#This Row],[Approved Construction Cost]]=0,0,Table15[[#This Row],[Approved Construction Cost]]-Table15[[#This Row],[Construction Cost to Bill From]])</f>
        <v>0</v>
      </c>
      <c r="AU1054" s="888">
        <f>IFERROR(Table15[[#This Row],[Difference in Construction Cost]]*Table15[[#This Row],[Rate]],Table15[[#This Row],[Difference in Construction Cost]]*0.085)</f>
        <v>0</v>
      </c>
      <c r="AV1054" s="905"/>
      <c r="AW1054" s="1509"/>
      <c r="AX1054" s="888"/>
      <c r="AY1054" s="636" t="s">
        <v>709</v>
      </c>
      <c r="AZ1054" s="333">
        <v>100</v>
      </c>
      <c r="BA1054" s="1076" t="s">
        <v>1634</v>
      </c>
      <c r="BB1054" s="653" t="s">
        <v>1635</v>
      </c>
      <c r="BC1054" s="544" t="s">
        <v>709</v>
      </c>
      <c r="BD1054" s="544" t="s">
        <v>788</v>
      </c>
      <c r="BE1054" s="559" t="s">
        <v>1636</v>
      </c>
      <c r="BF1054" s="554" t="s">
        <v>709</v>
      </c>
      <c r="BG1054" s="548" t="s">
        <v>709</v>
      </c>
      <c r="BH1054" s="749" t="s">
        <v>1637</v>
      </c>
      <c r="BI1054" s="547" t="s">
        <v>709</v>
      </c>
      <c r="BJ1054" s="547" t="s">
        <v>709</v>
      </c>
      <c r="BK1054" s="547" t="s">
        <v>709</v>
      </c>
      <c r="BL1054" s="547" t="s">
        <v>116</v>
      </c>
      <c r="BM1054" s="547" t="s">
        <v>709</v>
      </c>
      <c r="BN1054" s="547" t="s">
        <v>709</v>
      </c>
      <c r="BO1054" s="547" t="s">
        <v>709</v>
      </c>
      <c r="BP1054" s="547" t="s">
        <v>709</v>
      </c>
      <c r="BQ1054" s="547" t="s">
        <v>709</v>
      </c>
      <c r="BR1054" s="547">
        <v>1359</v>
      </c>
      <c r="BS1054" s="547">
        <v>1473</v>
      </c>
      <c r="BT1054" s="547" t="s">
        <v>709</v>
      </c>
      <c r="BU1054" s="547" t="s">
        <v>709</v>
      </c>
      <c r="BV1054" s="547" t="s">
        <v>745</v>
      </c>
      <c r="BW1054" s="547" t="s">
        <v>709</v>
      </c>
      <c r="BX1054" s="547" t="s">
        <v>709</v>
      </c>
      <c r="BY1054" s="547" t="s">
        <v>709</v>
      </c>
      <c r="BZ1054" s="547" t="s">
        <v>709</v>
      </c>
      <c r="CA1054" s="483"/>
      <c r="CB1054" s="547">
        <v>1052</v>
      </c>
      <c r="CC1054" s="1481" t="b">
        <v>1</v>
      </c>
      <c r="CD1054" t="str">
        <f>Table15[[#This Row],[Engineering Number]]&amp;Table15[[#This Row],[WO Number]]&amp;Table15[[#This Row],[Date Assigned to Designer]]&amp;Table15[[#This Row],[Date Completed]]</f>
        <v>SC2067313129244496645188</v>
      </c>
    </row>
    <row r="1055" spans="1:82" customFormat="1" ht="15" customHeight="1" x14ac:dyDescent="0.25">
      <c r="A1055">
        <v>2023</v>
      </c>
      <c r="B1055" s="8" t="s">
        <v>1205</v>
      </c>
      <c r="C1055" s="8" t="s">
        <v>409</v>
      </c>
      <c r="D1055" s="8">
        <v>1412200</v>
      </c>
      <c r="E1055" s="8" t="s">
        <v>141</v>
      </c>
      <c r="F1055" s="8" t="s">
        <v>747</v>
      </c>
      <c r="G1055" s="8" t="s">
        <v>219</v>
      </c>
      <c r="H1055" s="8" t="s">
        <v>3178</v>
      </c>
      <c r="I1055" s="642">
        <v>45071</v>
      </c>
      <c r="J1055" s="175" t="s">
        <v>2052</v>
      </c>
      <c r="K1055" s="97">
        <v>45189</v>
      </c>
      <c r="L1055" s="16">
        <f>IF(ISTEXT(Table15[[#This Row],[Engineering Approved Design Date]]),Table15[[#This Row],[Date Completed]]-Table15[[#This Row],[Date Assigned to Designer]],Table15[[#This Row],[Engineering Approved Design Date]]-Table15[[#This Row],[Date Completed]])</f>
        <v>118</v>
      </c>
      <c r="M1055" s="16" t="s">
        <v>5987</v>
      </c>
      <c r="N1055" s="642" t="s">
        <v>120</v>
      </c>
      <c r="O1055" s="1060">
        <v>45200</v>
      </c>
      <c r="P1055" s="1152" t="s">
        <v>120</v>
      </c>
      <c r="Q1055" s="1061">
        <f>Table15[[#This Row],[KH Hourly Effort]]</f>
        <v>23040</v>
      </c>
      <c r="R1055" s="1039" t="s">
        <v>1922</v>
      </c>
      <c r="S1055" s="538">
        <v>0</v>
      </c>
      <c r="T1055" s="538" t="s">
        <v>709</v>
      </c>
      <c r="U1055" s="1078">
        <v>23040</v>
      </c>
      <c r="V1055" s="857">
        <v>0</v>
      </c>
      <c r="W1055" s="440">
        <v>0</v>
      </c>
      <c r="X1055" s="538"/>
      <c r="Y1055" s="551"/>
      <c r="Z1055" s="538"/>
      <c r="AA1055" s="552"/>
      <c r="AB1055" s="341" t="s">
        <v>29</v>
      </c>
      <c r="AC1055" s="569" t="s">
        <v>709</v>
      </c>
      <c r="AD1055" s="1149" t="s">
        <v>116</v>
      </c>
      <c r="AE1055" s="569" t="s">
        <v>756</v>
      </c>
      <c r="AF1055" s="569" t="s">
        <v>116</v>
      </c>
      <c r="AG1055" s="569" t="s">
        <v>29</v>
      </c>
      <c r="AH1055" s="536" t="s">
        <v>376</v>
      </c>
      <c r="AI1055" s="1028"/>
      <c r="AJ1055" s="1029"/>
      <c r="AK1055" s="1029"/>
      <c r="AL1055" s="1030"/>
      <c r="AM1055" s="542" t="s">
        <v>709</v>
      </c>
      <c r="AN1055" s="924"/>
      <c r="AO1055" s="925"/>
      <c r="AP1055" s="926"/>
      <c r="AQ1055" s="926"/>
      <c r="AR1055" s="926"/>
      <c r="AS1055" s="926"/>
      <c r="AT1055" s="926"/>
      <c r="AU1055" s="926"/>
      <c r="AV1055" s="926"/>
      <c r="AW1055" s="927"/>
      <c r="AX1055" s="926"/>
      <c r="AY1055" s="1538" t="s">
        <v>29</v>
      </c>
      <c r="AZ1055" s="1532"/>
      <c r="BA1055" s="1031">
        <v>2</v>
      </c>
      <c r="BB1055" s="653" t="s">
        <v>709</v>
      </c>
      <c r="BC1055" s="544"/>
      <c r="BD1055" s="544"/>
      <c r="BE1055" s="544"/>
      <c r="BF1055" s="544"/>
      <c r="BG1055" s="544"/>
      <c r="BH1055" s="741"/>
      <c r="BI1055" s="549" t="s">
        <v>709</v>
      </c>
      <c r="BJ1055" s="549" t="s">
        <v>709</v>
      </c>
      <c r="BK1055" s="549" t="s">
        <v>709</v>
      </c>
      <c r="BL1055" s="549" t="s">
        <v>116</v>
      </c>
      <c r="BM1055" s="549" t="s">
        <v>709</v>
      </c>
      <c r="BN1055" s="549" t="s">
        <v>709</v>
      </c>
      <c r="BO1055" s="549" t="s">
        <v>709</v>
      </c>
      <c r="BP1055" s="549">
        <v>463</v>
      </c>
      <c r="BQ1055" s="549" t="s">
        <v>709</v>
      </c>
      <c r="BR1055" s="549" t="s">
        <v>709</v>
      </c>
      <c r="BS1055" s="549" t="s">
        <v>709</v>
      </c>
      <c r="BT1055" s="549" t="s">
        <v>709</v>
      </c>
      <c r="BU1055" s="549" t="s">
        <v>709</v>
      </c>
      <c r="BV1055" s="549" t="s">
        <v>709</v>
      </c>
      <c r="BW1055" s="549" t="s">
        <v>709</v>
      </c>
      <c r="BX1055" s="549" t="s">
        <v>745</v>
      </c>
      <c r="BY1055" s="549" t="s">
        <v>709</v>
      </c>
      <c r="BZ1055" s="547" t="s">
        <v>709</v>
      </c>
      <c r="CA1055" s="484"/>
      <c r="CB1055" s="547">
        <v>1053</v>
      </c>
      <c r="CC1055" s="1481" t="b">
        <v>1</v>
      </c>
      <c r="CD1055" t="str">
        <f>Table15[[#This Row],[Engineering Number]]&amp;Table15[[#This Row],[WO Number]]&amp;Table15[[#This Row],[Date Assigned to Designer]]&amp;Table15[[#This Row],[Date Completed]]</f>
        <v>MR198414122004507145189</v>
      </c>
    </row>
    <row r="1056" spans="1:82" customFormat="1" ht="15" customHeight="1" x14ac:dyDescent="0.25">
      <c r="A1056">
        <v>2023</v>
      </c>
      <c r="B1056" s="8" t="s">
        <v>4</v>
      </c>
      <c r="C1056" s="8" t="s">
        <v>5759</v>
      </c>
      <c r="D1056" s="8" t="s">
        <v>5760</v>
      </c>
      <c r="E1056" s="8" t="s">
        <v>232</v>
      </c>
      <c r="F1056" s="8" t="s">
        <v>747</v>
      </c>
      <c r="G1056" s="8" t="s">
        <v>28</v>
      </c>
      <c r="H1056" s="8" t="s">
        <v>4001</v>
      </c>
      <c r="I1056" s="642">
        <v>45169</v>
      </c>
      <c r="J1056" s="175" t="s">
        <v>2052</v>
      </c>
      <c r="K1056" s="97">
        <v>45189</v>
      </c>
      <c r="L1056" s="16">
        <f>IF(ISTEXT(Table15[[#This Row],[Engineering Approved Design Date]]),Table15[[#This Row],[Date Completed]]-Table15[[#This Row],[Date Assigned to Designer]],Table15[[#This Row],[Engineering Approved Design Date]]-Table15[[#This Row],[Date Completed]])</f>
        <v>20</v>
      </c>
      <c r="M1056" s="16" t="s">
        <v>5989</v>
      </c>
      <c r="N1056" s="642" t="s">
        <v>120</v>
      </c>
      <c r="O1056" s="1060">
        <v>45200</v>
      </c>
      <c r="P1056" s="1152" t="s">
        <v>739</v>
      </c>
      <c r="Q1056" s="1151">
        <f>Table15[[#This Row],[KH Hourly Effort]]</f>
        <v>6225</v>
      </c>
      <c r="R1056" s="1039" t="s">
        <v>1922</v>
      </c>
      <c r="S1056" s="538">
        <v>0</v>
      </c>
      <c r="T1056" s="538" t="s">
        <v>709</v>
      </c>
      <c r="U1056" s="1078">
        <v>6225</v>
      </c>
      <c r="V1056" s="857">
        <v>5293</v>
      </c>
      <c r="W1056" s="440">
        <v>0</v>
      </c>
      <c r="X1056" s="538"/>
      <c r="Y1056" s="551"/>
      <c r="Z1056" s="538"/>
      <c r="AA1056" s="552"/>
      <c r="AB1056" s="341" t="s">
        <v>29</v>
      </c>
      <c r="AC1056" s="569" t="s">
        <v>29</v>
      </c>
      <c r="AD1056" s="1149" t="s">
        <v>29</v>
      </c>
      <c r="AE1056" s="569" t="s">
        <v>116</v>
      </c>
      <c r="AF1056" s="569" t="s">
        <v>116</v>
      </c>
      <c r="AG1056" s="569" t="s">
        <v>29</v>
      </c>
      <c r="AH1056" s="536">
        <v>45222</v>
      </c>
      <c r="AI1056" s="1028"/>
      <c r="AJ1056" s="1029"/>
      <c r="AK1056" s="1029"/>
      <c r="AL1056" s="1030"/>
      <c r="AM1056" s="542" t="s">
        <v>709</v>
      </c>
      <c r="AN1056" s="924"/>
      <c r="AO1056" s="925"/>
      <c r="AP1056" s="926"/>
      <c r="AQ1056" s="926"/>
      <c r="AR1056" s="926"/>
      <c r="AS1056" s="926"/>
      <c r="AT1056" s="926"/>
      <c r="AU1056" s="926"/>
      <c r="AV1056" s="926"/>
      <c r="AW1056" s="927"/>
      <c r="AX1056" s="926"/>
      <c r="AY1056" s="1538" t="s">
        <v>29</v>
      </c>
      <c r="AZ1056" s="1530"/>
      <c r="BA1056" s="1031">
        <v>3</v>
      </c>
      <c r="BB1056" s="653" t="s">
        <v>5990</v>
      </c>
      <c r="BC1056" s="544" t="s">
        <v>116</v>
      </c>
      <c r="BD1056" s="544" t="s">
        <v>837</v>
      </c>
      <c r="BE1056" s="544" t="s">
        <v>595</v>
      </c>
      <c r="BF1056" s="544" t="s">
        <v>745</v>
      </c>
      <c r="BG1056" s="544" t="s">
        <v>709</v>
      </c>
      <c r="BH1056" s="741" t="s">
        <v>5991</v>
      </c>
      <c r="BI1056" s="626" t="s">
        <v>709</v>
      </c>
      <c r="BJ1056" s="547" t="s">
        <v>709</v>
      </c>
      <c r="BK1056" s="547" t="s">
        <v>709</v>
      </c>
      <c r="BL1056" s="1083" t="s">
        <v>116</v>
      </c>
      <c r="BM1056" s="549" t="s">
        <v>709</v>
      </c>
      <c r="BN1056" s="549" t="s">
        <v>709</v>
      </c>
      <c r="BO1056" s="547" t="s">
        <v>709</v>
      </c>
      <c r="BP1056" s="549" t="s">
        <v>709</v>
      </c>
      <c r="BQ1056" s="547" t="s">
        <v>709</v>
      </c>
      <c r="BR1056" s="626">
        <v>4989</v>
      </c>
      <c r="BS1056" s="549">
        <v>304</v>
      </c>
      <c r="BT1056" s="547" t="s">
        <v>709</v>
      </c>
      <c r="BU1056" s="547" t="s">
        <v>709</v>
      </c>
      <c r="BV1056" s="547" t="s">
        <v>709</v>
      </c>
      <c r="BW1056" s="547" t="s">
        <v>709</v>
      </c>
      <c r="BX1056" s="547" t="s">
        <v>745</v>
      </c>
      <c r="BY1056" s="547" t="s">
        <v>709</v>
      </c>
      <c r="BZ1056" s="547" t="s">
        <v>709</v>
      </c>
      <c r="CA1056" s="483" t="s">
        <v>915</v>
      </c>
      <c r="CB1056" s="547">
        <v>1055</v>
      </c>
      <c r="CC1056" s="1481" t="b">
        <v>1</v>
      </c>
      <c r="CD1056" t="str">
        <f>Table15[[#This Row],[Engineering Number]]&amp;Table15[[#This Row],[WO Number]]&amp;Table15[[#This Row],[Date Assigned to Designer]]&amp;Table15[[#This Row],[Date Completed]]</f>
        <v>SC1987914124124516945189</v>
      </c>
    </row>
    <row r="1057" spans="1:82" customFormat="1" ht="15" customHeight="1" x14ac:dyDescent="0.25">
      <c r="A1057">
        <v>2022</v>
      </c>
      <c r="B1057" s="8" t="s">
        <v>771</v>
      </c>
      <c r="C1057" s="8" t="s">
        <v>772</v>
      </c>
      <c r="D1057" s="8">
        <v>1410797</v>
      </c>
      <c r="E1057" s="8" t="s">
        <v>774</v>
      </c>
      <c r="F1057" s="8" t="s">
        <v>747</v>
      </c>
      <c r="G1057" s="8" t="s">
        <v>219</v>
      </c>
      <c r="H1057" s="8" t="s">
        <v>4189</v>
      </c>
      <c r="I1057" s="642">
        <v>44895</v>
      </c>
      <c r="J1057" s="175" t="s">
        <v>2052</v>
      </c>
      <c r="K1057" s="97">
        <v>45189</v>
      </c>
      <c r="L1057" s="16">
        <f>IF(ISTEXT(Table15[[#This Row],[Engineering Approved Design Date]]),Table15[[#This Row],[Date Completed]]-Table15[[#This Row],[Date Assigned to Designer]],Table15[[#This Row],[Engineering Approved Design Date]]-Table15[[#This Row],[Date Completed]])</f>
        <v>294</v>
      </c>
      <c r="M1057" s="16" t="s">
        <v>5985</v>
      </c>
      <c r="N1057" s="642" t="s">
        <v>120</v>
      </c>
      <c r="O1057" s="1060">
        <v>45200</v>
      </c>
      <c r="P1057" s="1152" t="s">
        <v>120</v>
      </c>
      <c r="Q1057" s="1061">
        <f>Table15[[#This Row],[KH Hourly Effort]]</f>
        <v>4632.5</v>
      </c>
      <c r="R1057" s="1039" t="s">
        <v>1922</v>
      </c>
      <c r="S1057" s="538">
        <v>0</v>
      </c>
      <c r="T1057" s="538" t="s">
        <v>709</v>
      </c>
      <c r="U1057" s="1078">
        <v>4632.5</v>
      </c>
      <c r="V1057" s="857">
        <v>0</v>
      </c>
      <c r="W1057" s="440">
        <v>0</v>
      </c>
      <c r="X1057" s="538"/>
      <c r="Y1057" s="551"/>
      <c r="Z1057" s="538"/>
      <c r="AA1057" s="552"/>
      <c r="AB1057" s="341" t="s">
        <v>29</v>
      </c>
      <c r="AC1057" s="569" t="s">
        <v>709</v>
      </c>
      <c r="AD1057" s="1149" t="s">
        <v>116</v>
      </c>
      <c r="AE1057" s="569" t="s">
        <v>756</v>
      </c>
      <c r="AF1057" s="569" t="s">
        <v>116</v>
      </c>
      <c r="AG1057" s="569" t="s">
        <v>29</v>
      </c>
      <c r="AH1057" s="536" t="s">
        <v>376</v>
      </c>
      <c r="AI1057" s="1028"/>
      <c r="AJ1057" s="1029"/>
      <c r="AK1057" s="1029"/>
      <c r="AL1057" s="1030"/>
      <c r="AM1057" s="542" t="s">
        <v>709</v>
      </c>
      <c r="AN1057" s="924"/>
      <c r="AO1057" s="925"/>
      <c r="AP1057" s="926"/>
      <c r="AQ1057" s="926"/>
      <c r="AR1057" s="926"/>
      <c r="AS1057" s="926"/>
      <c r="AT1057" s="926"/>
      <c r="AU1057" s="926"/>
      <c r="AV1057" s="926"/>
      <c r="AW1057" s="927"/>
      <c r="AX1057" s="926"/>
      <c r="AY1057" s="1538" t="s">
        <v>29</v>
      </c>
      <c r="AZ1057" s="1530"/>
      <c r="BA1057" s="1031">
        <v>2</v>
      </c>
      <c r="BB1057" s="653" t="s">
        <v>709</v>
      </c>
      <c r="BC1057" s="544"/>
      <c r="BD1057" s="544"/>
      <c r="BE1057" s="544"/>
      <c r="BF1057" s="544"/>
      <c r="BG1057" s="544"/>
      <c r="BH1057" s="741"/>
      <c r="BI1057" s="549" t="s">
        <v>709</v>
      </c>
      <c r="BJ1057" s="549" t="s">
        <v>709</v>
      </c>
      <c r="BK1057" s="549" t="s">
        <v>116</v>
      </c>
      <c r="BL1057" s="549" t="s">
        <v>116</v>
      </c>
      <c r="BM1057" s="549" t="s">
        <v>709</v>
      </c>
      <c r="BN1057" s="549" t="s">
        <v>709</v>
      </c>
      <c r="BO1057" s="549" t="s">
        <v>709</v>
      </c>
      <c r="BP1057" s="549">
        <v>3435</v>
      </c>
      <c r="BQ1057" s="549">
        <v>10</v>
      </c>
      <c r="BR1057" s="549" t="s">
        <v>709</v>
      </c>
      <c r="BS1057" s="549">
        <v>480</v>
      </c>
      <c r="BT1057" s="549" t="s">
        <v>709</v>
      </c>
      <c r="BU1057" s="549" t="s">
        <v>709</v>
      </c>
      <c r="BV1057" s="549" t="s">
        <v>709</v>
      </c>
      <c r="BW1057" s="549" t="s">
        <v>709</v>
      </c>
      <c r="BX1057" s="549" t="s">
        <v>745</v>
      </c>
      <c r="BY1057" s="549" t="s">
        <v>709</v>
      </c>
      <c r="BZ1057" s="547" t="s">
        <v>709</v>
      </c>
      <c r="CA1057" s="484"/>
      <c r="CB1057" s="547">
        <v>1054</v>
      </c>
      <c r="CC1057" s="1481" t="b">
        <v>1</v>
      </c>
      <c r="CD1057" t="str">
        <f>Table15[[#This Row],[Engineering Number]]&amp;Table15[[#This Row],[WO Number]]&amp;Table15[[#This Row],[Date Assigned to Designer]]&amp;Table15[[#This Row],[Date Completed]]</f>
        <v>BS45614107974489545189</v>
      </c>
    </row>
    <row r="1058" spans="1:82" customFormat="1" ht="15" customHeight="1" x14ac:dyDescent="0.25">
      <c r="A1058">
        <v>2023</v>
      </c>
      <c r="B1058" s="8" t="s">
        <v>1073</v>
      </c>
      <c r="C1058" s="8" t="s">
        <v>544</v>
      </c>
      <c r="D1058" s="8">
        <v>1612421</v>
      </c>
      <c r="E1058" s="8" t="s">
        <v>1492</v>
      </c>
      <c r="F1058" s="8" t="s">
        <v>784</v>
      </c>
      <c r="G1058" s="8" t="s">
        <v>31</v>
      </c>
      <c r="H1058" s="8" t="s">
        <v>3178</v>
      </c>
      <c r="I1058" s="642">
        <v>45182</v>
      </c>
      <c r="J1058" s="175" t="s">
        <v>2052</v>
      </c>
      <c r="K1058" s="97">
        <v>45190</v>
      </c>
      <c r="L1058" s="16">
        <f>IF(ISTEXT(Table15[[#This Row],[Engineering Approved Design Date]]),Table15[[#This Row],[Date Completed]]-Table15[[#This Row],[Date Assigned to Designer]],Table15[[#This Row],[Engineering Approved Design Date]]-Table15[[#This Row],[Date Completed]])</f>
        <v>8</v>
      </c>
      <c r="M1058" s="16" t="s">
        <v>5995</v>
      </c>
      <c r="N1058" s="642" t="s">
        <v>120</v>
      </c>
      <c r="O1058" s="1060">
        <v>45200</v>
      </c>
      <c r="P1058" s="1152" t="s">
        <v>739</v>
      </c>
      <c r="Q1058" s="1061">
        <f>Table15[[#This Row],[KH Hourly Effort]]</f>
        <v>1882.5</v>
      </c>
      <c r="R1058" s="1039" t="s">
        <v>1922</v>
      </c>
      <c r="S1058" s="538">
        <v>0</v>
      </c>
      <c r="T1058" s="538" t="s">
        <v>709</v>
      </c>
      <c r="U1058" s="1078">
        <v>1882.5</v>
      </c>
      <c r="V1058" s="857">
        <v>0</v>
      </c>
      <c r="W1058" s="440">
        <v>0</v>
      </c>
      <c r="X1058" s="538"/>
      <c r="Y1058" s="551"/>
      <c r="Z1058" s="538"/>
      <c r="AA1058" s="552"/>
      <c r="AB1058" s="341" t="s">
        <v>29</v>
      </c>
      <c r="AC1058" s="569" t="s">
        <v>709</v>
      </c>
      <c r="AD1058" s="1149" t="s">
        <v>29</v>
      </c>
      <c r="AE1058" s="569" t="s">
        <v>29</v>
      </c>
      <c r="AF1058" s="569" t="s">
        <v>116</v>
      </c>
      <c r="AG1058" s="569" t="s">
        <v>29</v>
      </c>
      <c r="AH1058" s="536" t="s">
        <v>29</v>
      </c>
      <c r="AI1058" s="1028"/>
      <c r="AJ1058" s="1029"/>
      <c r="AK1058" s="1029"/>
      <c r="AL1058" s="1030"/>
      <c r="AM1058" s="542" t="s">
        <v>709</v>
      </c>
      <c r="AN1058" s="924"/>
      <c r="AO1058" s="925"/>
      <c r="AP1058" s="926"/>
      <c r="AQ1058" s="926"/>
      <c r="AR1058" s="926"/>
      <c r="AS1058" s="926"/>
      <c r="AT1058" s="926"/>
      <c r="AU1058" s="926"/>
      <c r="AV1058" s="926"/>
      <c r="AW1058" s="927"/>
      <c r="AX1058" s="926"/>
      <c r="AY1058" s="1538" t="s">
        <v>29</v>
      </c>
      <c r="AZ1058" s="1530"/>
      <c r="BA1058" s="1031">
        <v>8</v>
      </c>
      <c r="BB1058" s="653" t="s">
        <v>745</v>
      </c>
      <c r="BC1058" s="544"/>
      <c r="BD1058" s="544"/>
      <c r="BE1058" s="544"/>
      <c r="BF1058" s="544"/>
      <c r="BG1058" s="544"/>
      <c r="BH1058" s="741"/>
      <c r="BI1058" s="549" t="s">
        <v>709</v>
      </c>
      <c r="BJ1058" s="549" t="s">
        <v>116</v>
      </c>
      <c r="BK1058" s="549" t="s">
        <v>709</v>
      </c>
      <c r="BL1058" s="549" t="s">
        <v>116</v>
      </c>
      <c r="BM1058" s="549" t="s">
        <v>709</v>
      </c>
      <c r="BN1058" s="549" t="s">
        <v>709</v>
      </c>
      <c r="BO1058" s="549" t="s">
        <v>709</v>
      </c>
      <c r="BP1058" s="549">
        <v>4800</v>
      </c>
      <c r="BQ1058" s="549">
        <v>2447</v>
      </c>
      <c r="BR1058" s="549">
        <v>45</v>
      </c>
      <c r="BS1058" s="549">
        <v>5</v>
      </c>
      <c r="BT1058" s="549">
        <v>1</v>
      </c>
      <c r="BU1058" s="549" t="s">
        <v>709</v>
      </c>
      <c r="BV1058" s="549" t="s">
        <v>709</v>
      </c>
      <c r="BW1058" s="549" t="s">
        <v>709</v>
      </c>
      <c r="BX1058" s="549">
        <v>1</v>
      </c>
      <c r="BY1058" s="549" t="s">
        <v>709</v>
      </c>
      <c r="BZ1058" s="547" t="s">
        <v>709</v>
      </c>
      <c r="CA1058" s="484"/>
      <c r="CB1058" s="547">
        <v>1056</v>
      </c>
      <c r="CC1058" s="1481" t="b">
        <v>1</v>
      </c>
      <c r="CD1058" t="str">
        <f>Table15[[#This Row],[Engineering Number]]&amp;Table15[[#This Row],[WO Number]]&amp;Table15[[#This Row],[Date Assigned to Designer]]&amp;Table15[[#This Row],[Date Completed]]</f>
        <v>NBA1000544016124214518245190</v>
      </c>
    </row>
    <row r="1059" spans="1:82" customFormat="1" ht="15" customHeight="1" x14ac:dyDescent="0.25">
      <c r="A1059">
        <v>2022</v>
      </c>
      <c r="B1059" s="8" t="s">
        <v>1981</v>
      </c>
      <c r="C1059" s="8" t="s">
        <v>2572</v>
      </c>
      <c r="D1059" s="1054">
        <v>1013300080007</v>
      </c>
      <c r="E1059" s="8" t="s">
        <v>426</v>
      </c>
      <c r="F1059" s="8" t="s">
        <v>747</v>
      </c>
      <c r="G1059" s="8" t="s">
        <v>5754</v>
      </c>
      <c r="H1059" s="1056" t="s">
        <v>2723</v>
      </c>
      <c r="I1059" s="642">
        <v>44894</v>
      </c>
      <c r="J1059" s="175" t="s">
        <v>2724</v>
      </c>
      <c r="K1059" s="97">
        <v>45190</v>
      </c>
      <c r="L1059" s="649">
        <f>IF(ISTEXT(Table15[[#This Row],[Engineering Approved Design Date]]),Table15[[#This Row],[Date Completed]]-Table15[[#This Row],[Date Assigned to Designer]],Table15[[#This Row],[Engineering Approved Design Date]]-Table15[[#This Row],[Date Completed]])</f>
        <v>296</v>
      </c>
      <c r="M1059" t="s">
        <v>5993</v>
      </c>
      <c r="N1059" s="642" t="s">
        <v>120</v>
      </c>
      <c r="O1059" s="1060">
        <v>45200</v>
      </c>
      <c r="P1059" s="1152" t="s">
        <v>739</v>
      </c>
      <c r="Q1059" s="1151">
        <f>Table15[[#This Row],[KH Hourly Effort]]</f>
        <v>10460</v>
      </c>
      <c r="R1059" s="1039" t="s">
        <v>1922</v>
      </c>
      <c r="S1059" s="538"/>
      <c r="T1059" s="538"/>
      <c r="U1059" s="28">
        <f>2275+8185</f>
        <v>10460</v>
      </c>
      <c r="V1059" s="858" t="s">
        <v>29</v>
      </c>
      <c r="W1059" s="437" t="s">
        <v>29</v>
      </c>
      <c r="X1059" s="538"/>
      <c r="Y1059" s="551"/>
      <c r="Z1059" s="538"/>
      <c r="AA1059" s="538"/>
      <c r="AB1059" s="341"/>
      <c r="AC1059" s="568"/>
      <c r="AD1059" s="1149"/>
      <c r="AE1059" s="580"/>
      <c r="AF1059" s="580"/>
      <c r="AG1059" s="580"/>
      <c r="AH1059" s="542"/>
      <c r="AI1059" s="1028"/>
      <c r="AJ1059" s="1029"/>
      <c r="AK1059" s="1029"/>
      <c r="AL1059" s="1030"/>
      <c r="AM1059" s="542" t="s">
        <v>709</v>
      </c>
      <c r="AN1059" s="924"/>
      <c r="AO1059" s="925"/>
      <c r="AP1059" s="926"/>
      <c r="AQ1059" s="926"/>
      <c r="AR1059" s="926"/>
      <c r="AS1059" s="926"/>
      <c r="AT1059" s="926"/>
      <c r="AU1059" s="926"/>
      <c r="AV1059" s="926"/>
      <c r="AW1059" s="927"/>
      <c r="AX1059" s="926"/>
      <c r="AY1059" s="1538" t="s">
        <v>29</v>
      </c>
      <c r="AZ1059" s="1530"/>
      <c r="BA1059" s="1031">
        <v>2</v>
      </c>
      <c r="BB1059" s="644" t="s">
        <v>709</v>
      </c>
      <c r="BC1059" s="544"/>
      <c r="BD1059" s="544"/>
      <c r="BE1059" s="544"/>
      <c r="BF1059" s="544"/>
      <c r="BG1059" s="544"/>
      <c r="BH1059" s="741"/>
      <c r="BI1059" s="547" t="s">
        <v>709</v>
      </c>
      <c r="BJ1059" s="547" t="s">
        <v>709</v>
      </c>
      <c r="BK1059" s="547" t="s">
        <v>709</v>
      </c>
      <c r="BL1059" s="547" t="s">
        <v>709</v>
      </c>
      <c r="BM1059" s="547">
        <v>0</v>
      </c>
      <c r="BN1059" s="549">
        <v>0</v>
      </c>
      <c r="BO1059" s="547">
        <v>0</v>
      </c>
      <c r="BP1059" s="547">
        <v>0</v>
      </c>
      <c r="BQ1059" s="547">
        <v>0</v>
      </c>
      <c r="BR1059" s="547">
        <v>0</v>
      </c>
      <c r="BS1059" s="547">
        <v>0</v>
      </c>
      <c r="BT1059" s="547">
        <v>0</v>
      </c>
      <c r="BU1059" s="549">
        <v>0</v>
      </c>
      <c r="BV1059" s="547">
        <v>0</v>
      </c>
      <c r="BW1059" s="547">
        <v>0</v>
      </c>
      <c r="BX1059" s="547">
        <v>0</v>
      </c>
      <c r="BY1059" s="547">
        <v>0</v>
      </c>
      <c r="BZ1059" s="547" t="s">
        <v>709</v>
      </c>
      <c r="CA1059" s="483" t="s">
        <v>2531</v>
      </c>
      <c r="CB1059" s="547">
        <v>1057</v>
      </c>
      <c r="CC1059" s="1481" t="b">
        <v>1</v>
      </c>
      <c r="CD1059" t="str">
        <f>Table15[[#This Row],[Engineering Number]]&amp;Table15[[#This Row],[WO Number]]&amp;Table15[[#This Row],[Date Assigned to Designer]]&amp;Table15[[#This Row],[Date Completed]]</f>
        <v>COR44610133000800074489445190</v>
      </c>
    </row>
    <row r="1060" spans="1:82" customFormat="1" ht="15" customHeight="1" x14ac:dyDescent="0.25">
      <c r="A1060">
        <v>2024</v>
      </c>
      <c r="B1060" s="8" t="s">
        <v>730</v>
      </c>
      <c r="C1060" s="8" t="s">
        <v>1638</v>
      </c>
      <c r="D1060" s="8" t="s">
        <v>1639</v>
      </c>
      <c r="E1060" s="8" t="s">
        <v>232</v>
      </c>
      <c r="F1060" s="8" t="s">
        <v>752</v>
      </c>
      <c r="G1060" s="8" t="s">
        <v>37</v>
      </c>
      <c r="H1060" s="13" t="s">
        <v>59</v>
      </c>
      <c r="I1060" s="642">
        <v>45089</v>
      </c>
      <c r="J1060" s="18">
        <v>45211</v>
      </c>
      <c r="K1060" s="175">
        <v>45194</v>
      </c>
      <c r="L1060" s="649">
        <f>IF(ISTEXT(Table15[[#This Row],[Engineering Approved Design Date]]),Table15[[#This Row],[Date Completed]]-Table15[[#This Row],[Date Assigned to Designer]],Table15[[#This Row],[Engineering Approved Design Date]]-Table15[[#This Row],[Date Completed]])</f>
        <v>17</v>
      </c>
      <c r="M1060" s="642"/>
      <c r="N1060" s="642" t="s">
        <v>120</v>
      </c>
      <c r="O1060" s="1060">
        <v>45231</v>
      </c>
      <c r="P1060" s="1152" t="s">
        <v>120</v>
      </c>
      <c r="Q1060" s="340">
        <f>Table15[[#This Row],[Rate]]*Table15[[#This Row],[Construction Cost to Bill From]]</f>
        <v>124640.64630000001</v>
      </c>
      <c r="R1060" s="1026">
        <v>0.09</v>
      </c>
      <c r="S1060" s="538"/>
      <c r="T1060" s="538"/>
      <c r="U1060" s="87"/>
      <c r="V1060" s="858">
        <v>3831</v>
      </c>
      <c r="W1060" s="437">
        <v>0</v>
      </c>
      <c r="X1060" s="552">
        <v>1261547.47</v>
      </c>
      <c r="Y1060" s="551"/>
      <c r="Z1060" s="552">
        <v>123348.6</v>
      </c>
      <c r="AA1060" s="552">
        <f>Table15[[#This Row],[PCTS Retirement Amount]]+Table15[[#This Row],[PCTS Investment Amount]]</f>
        <v>1384896.07</v>
      </c>
      <c r="AB1060" s="341">
        <v>45194</v>
      </c>
      <c r="AC1060" s="568" t="s">
        <v>709</v>
      </c>
      <c r="AD1060" s="1157" t="s">
        <v>29</v>
      </c>
      <c r="AE1060" s="568" t="s">
        <v>116</v>
      </c>
      <c r="AF1060" s="568" t="s">
        <v>756</v>
      </c>
      <c r="AG1060" s="568" t="s">
        <v>116</v>
      </c>
      <c r="AH1060" s="183" t="s">
        <v>116</v>
      </c>
      <c r="AI1060" s="1036"/>
      <c r="AJ1060" s="1037"/>
      <c r="AK1060" s="1037"/>
      <c r="AL1060" s="1038"/>
      <c r="AM1060" s="536" t="s">
        <v>116</v>
      </c>
      <c r="AN1060" s="903" t="s">
        <v>709</v>
      </c>
      <c r="AO1060" s="1536"/>
      <c r="AP1060" s="1537"/>
      <c r="AQ1060" s="1537"/>
      <c r="AR1060" s="1537"/>
      <c r="AS1060" s="888">
        <f>IF(Table15[[#This Row],[PCTS Approved]]="N",0,Table15[[#This Row],[Investment Amount (1'#'#'#'#'#)]]+Table15[[#This Row],[Retirement Amount (3'#'#'#'#'#)]])</f>
        <v>0</v>
      </c>
      <c r="AT1060" s="888">
        <f>IF(Table15[[#This Row],[Approved Construction Cost]]=0,0,Table15[[#This Row],[Approved Construction Cost]]-Table15[[#This Row],[Construction Cost to Bill From]])</f>
        <v>0</v>
      </c>
      <c r="AU1060" s="888">
        <f>IFERROR(Table15[[#This Row],[Difference in Construction Cost]]*Table15[[#This Row],[Rate]],Table15[[#This Row],[Difference in Construction Cost]]*0.085)</f>
        <v>0</v>
      </c>
      <c r="AV1060" s="905"/>
      <c r="AW1060" s="1509"/>
      <c r="AX1060" s="888"/>
      <c r="AY1060" s="636" t="s">
        <v>709</v>
      </c>
      <c r="AZ1060" s="333">
        <v>51</v>
      </c>
      <c r="BA1060" s="1076" t="s">
        <v>1640</v>
      </c>
      <c r="BB1060" s="644" t="s">
        <v>1641</v>
      </c>
      <c r="BC1060" s="544" t="s">
        <v>756</v>
      </c>
      <c r="BD1060" s="1084" t="s">
        <v>115</v>
      </c>
      <c r="BE1060" s="544" t="s">
        <v>595</v>
      </c>
      <c r="BF1060" s="1084" t="s">
        <v>115</v>
      </c>
      <c r="BG1060" s="544"/>
      <c r="BH1060" s="741" t="s">
        <v>5997</v>
      </c>
      <c r="BI1060" s="547" t="s">
        <v>709</v>
      </c>
      <c r="BJ1060" s="547" t="s">
        <v>709</v>
      </c>
      <c r="BK1060" s="547" t="s">
        <v>709</v>
      </c>
      <c r="BL1060" s="547" t="s">
        <v>116</v>
      </c>
      <c r="BM1060" s="547" t="s">
        <v>709</v>
      </c>
      <c r="BN1060" s="547" t="s">
        <v>709</v>
      </c>
      <c r="BO1060" s="547" t="s">
        <v>709</v>
      </c>
      <c r="BP1060" s="547" t="s">
        <v>709</v>
      </c>
      <c r="BQ1060" s="547" t="s">
        <v>709</v>
      </c>
      <c r="BR1060" s="547">
        <v>3831</v>
      </c>
      <c r="BS1060" s="547" t="s">
        <v>709</v>
      </c>
      <c r="BT1060" s="547" t="s">
        <v>709</v>
      </c>
      <c r="BU1060" s="547" t="s">
        <v>709</v>
      </c>
      <c r="BV1060" s="547" t="s">
        <v>709</v>
      </c>
      <c r="BW1060" s="547" t="s">
        <v>709</v>
      </c>
      <c r="BX1060" s="547">
        <v>1</v>
      </c>
      <c r="BY1060" s="547" t="s">
        <v>709</v>
      </c>
      <c r="BZ1060" s="547" t="s">
        <v>709</v>
      </c>
      <c r="CA1060" s="483"/>
      <c r="CB1060" s="547">
        <v>1058</v>
      </c>
      <c r="CC1060" s="1481" t="b">
        <v>1</v>
      </c>
      <c r="CD1060" t="str">
        <f>Table15[[#This Row],[Engineering Number]]&amp;Table15[[#This Row],[WO Number]]&amp;Table15[[#This Row],[Date Assigned to Designer]]&amp;Table15[[#This Row],[Date Completed]]</f>
        <v>RS115714128584508945194</v>
      </c>
    </row>
    <row r="1061" spans="1:82" customFormat="1" ht="15" customHeight="1" x14ac:dyDescent="0.25">
      <c r="A1061">
        <v>2024</v>
      </c>
      <c r="B1061" s="8" t="s">
        <v>1205</v>
      </c>
      <c r="C1061" s="8" t="s">
        <v>6001</v>
      </c>
      <c r="D1061" s="8" t="s">
        <v>6002</v>
      </c>
      <c r="E1061" s="8" t="s">
        <v>108</v>
      </c>
      <c r="F1061" s="8" t="s">
        <v>784</v>
      </c>
      <c r="G1061" s="8" t="s">
        <v>32</v>
      </c>
      <c r="H1061" s="8" t="s">
        <v>59</v>
      </c>
      <c r="I1061" s="642">
        <v>45153</v>
      </c>
      <c r="J1061" s="18">
        <v>45212</v>
      </c>
      <c r="K1061" s="97">
        <v>45198</v>
      </c>
      <c r="L1061" s="649">
        <f>IF(ISTEXT(Table15[[#This Row],[Engineering Approved Design Date]]),Table15[[#This Row],[Date Completed]]-Table15[[#This Row],[Date Assigned to Designer]],Table15[[#This Row],[Engineering Approved Design Date]]-Table15[[#This Row],[Date Completed]])</f>
        <v>14</v>
      </c>
      <c r="M1061" s="642"/>
      <c r="N1061" s="642" t="s">
        <v>120</v>
      </c>
      <c r="O1061" s="1060">
        <v>45200</v>
      </c>
      <c r="P1061" s="1152" t="s">
        <v>120</v>
      </c>
      <c r="Q1061" s="340">
        <f>Table15[[#This Row],[Rate]]*Table15[[#This Row],[Construction Cost to Bill From]]</f>
        <v>63075.036599999999</v>
      </c>
      <c r="R1061" s="1026">
        <v>0.09</v>
      </c>
      <c r="S1061" s="538"/>
      <c r="T1061" s="538"/>
      <c r="U1061" s="87"/>
      <c r="V1061" s="858">
        <v>1508</v>
      </c>
      <c r="W1061" s="437"/>
      <c r="X1061" s="538">
        <v>645130.21</v>
      </c>
      <c r="Y1061" s="551"/>
      <c r="Z1061" s="570">
        <v>55703.53</v>
      </c>
      <c r="AA1061" s="552">
        <f>Table15[[#This Row],[PCTS Retirement Amount]]+Table15[[#This Row],[PCTS Investment Amount]]</f>
        <v>700833.74</v>
      </c>
      <c r="AB1061" s="341">
        <v>45202</v>
      </c>
      <c r="AC1061" s="568" t="s">
        <v>709</v>
      </c>
      <c r="AD1061" s="1157" t="s">
        <v>116</v>
      </c>
      <c r="AE1061" s="568" t="s">
        <v>29</v>
      </c>
      <c r="AF1061" s="568" t="s">
        <v>29</v>
      </c>
      <c r="AG1061" s="568" t="s">
        <v>29</v>
      </c>
      <c r="AH1061" s="183" t="s">
        <v>29</v>
      </c>
      <c r="AI1061" s="1036"/>
      <c r="AJ1061" s="1037"/>
      <c r="AK1061" s="1037"/>
      <c r="AL1061" s="1038"/>
      <c r="AM1061" s="1522" t="s">
        <v>116</v>
      </c>
      <c r="AN1061" s="1523">
        <v>45245</v>
      </c>
      <c r="AO1061" s="1524">
        <v>11074363</v>
      </c>
      <c r="AP1061" s="1525">
        <v>645129.91</v>
      </c>
      <c r="AQ1061" s="1525"/>
      <c r="AR1061" s="1525">
        <v>55703.53</v>
      </c>
      <c r="AS1061" s="1525">
        <f>IF(Table15[[#This Row],[PCTS Approved]]="N",0,Table15[[#This Row],[Investment Amount (1'#'#'#'#'#)]]+Table15[[#This Row],[Retirement Amount (3'#'#'#'#'#)]])</f>
        <v>700833.44000000006</v>
      </c>
      <c r="AT1061" s="1525">
        <f>IF(Table15[[#This Row],[Approved Construction Cost]]=0,0,Table15[[#This Row],[Approved Construction Cost]]-Table15[[#This Row],[Construction Cost to Bill From]])</f>
        <v>-0.29999999993015081</v>
      </c>
      <c r="AU1061" s="1525">
        <f>IFERROR(Table15[[#This Row],[Difference in Construction Cost]]*Table15[[#This Row],[Rate]],Table15[[#This Row],[Difference in Construction Cost]]*0.085)</f>
        <v>-2.699999999371357E-2</v>
      </c>
      <c r="AV1061" s="1525">
        <v>3795</v>
      </c>
      <c r="AW1061" s="1526" t="s">
        <v>6003</v>
      </c>
      <c r="AX1061" s="1525">
        <v>0</v>
      </c>
      <c r="AY1061" s="1518">
        <v>45352</v>
      </c>
      <c r="AZ1061" s="333"/>
      <c r="BA1061" s="1076" t="s">
        <v>6004</v>
      </c>
      <c r="BB1061" s="653" t="s">
        <v>6005</v>
      </c>
      <c r="BC1061" s="544"/>
      <c r="BD1061" s="544"/>
      <c r="BE1061" s="544"/>
      <c r="BF1061" s="544"/>
      <c r="BG1061" s="544"/>
      <c r="BH1061" s="741" t="s">
        <v>6006</v>
      </c>
      <c r="BI1061" s="547" t="s">
        <v>709</v>
      </c>
      <c r="BJ1061" s="547" t="s">
        <v>709</v>
      </c>
      <c r="BK1061" s="547" t="s">
        <v>709</v>
      </c>
      <c r="BL1061" s="547" t="s">
        <v>116</v>
      </c>
      <c r="BM1061" s="547">
        <v>0</v>
      </c>
      <c r="BN1061" s="549">
        <v>0</v>
      </c>
      <c r="BO1061" s="547">
        <v>0</v>
      </c>
      <c r="BP1061" s="547">
        <v>0</v>
      </c>
      <c r="BQ1061" s="547">
        <v>1327</v>
      </c>
      <c r="BR1061" s="547">
        <v>141</v>
      </c>
      <c r="BS1061" s="547">
        <v>40</v>
      </c>
      <c r="BT1061" s="547">
        <v>0</v>
      </c>
      <c r="BU1061" s="549">
        <v>0</v>
      </c>
      <c r="BV1061" s="547">
        <v>0</v>
      </c>
      <c r="BW1061" s="547">
        <v>0</v>
      </c>
      <c r="BX1061" s="547">
        <v>0</v>
      </c>
      <c r="BY1061" s="547">
        <v>0</v>
      </c>
      <c r="BZ1061" s="547" t="s">
        <v>709</v>
      </c>
      <c r="CA1061" s="483"/>
      <c r="CB1061" s="547">
        <v>1059</v>
      </c>
      <c r="CC1061" s="1481" t="b">
        <v>1</v>
      </c>
      <c r="CD1061" t="str">
        <f>Table15[[#This Row],[Engineering Number]]&amp;Table15[[#This Row],[WO Number]]&amp;Table15[[#This Row],[Date Assigned to Designer]]&amp;Table15[[#This Row],[Date Completed]]</f>
        <v>MR203012130454515345198</v>
      </c>
    </row>
    <row r="1062" spans="1:82" customFormat="1" ht="15" customHeight="1" x14ac:dyDescent="0.25">
      <c r="A1062">
        <v>2023</v>
      </c>
      <c r="B1062" s="8" t="s">
        <v>1205</v>
      </c>
      <c r="C1062" s="8" t="s">
        <v>580</v>
      </c>
      <c r="D1062" s="8">
        <v>1212584</v>
      </c>
      <c r="E1062" s="8" t="s">
        <v>1529</v>
      </c>
      <c r="F1062" s="8" t="s">
        <v>784</v>
      </c>
      <c r="G1062" s="8" t="s">
        <v>5754</v>
      </c>
      <c r="H1062" s="8" t="s">
        <v>4189</v>
      </c>
      <c r="I1062" s="642">
        <v>45195</v>
      </c>
      <c r="J1062" s="175" t="s">
        <v>2052</v>
      </c>
      <c r="K1062" s="97">
        <v>45198</v>
      </c>
      <c r="L1062" s="16">
        <f>IF(ISTEXT(Table15[[#This Row],[Engineering Approved Design Date]]),Table15[[#This Row],[Date Completed]]-Table15[[#This Row],[Date Assigned to Designer]],Table15[[#This Row],[Engineering Approved Design Date]]-Table15[[#This Row],[Date Completed]])</f>
        <v>3</v>
      </c>
      <c r="M1062" s="16" t="s">
        <v>5999</v>
      </c>
      <c r="N1062" s="642" t="s">
        <v>120</v>
      </c>
      <c r="O1062" s="1060">
        <v>45200</v>
      </c>
      <c r="P1062" s="1152" t="s">
        <v>120</v>
      </c>
      <c r="Q1062" s="1151">
        <f>Table15[[#This Row],[KH Hourly Effort]]</f>
        <v>4645</v>
      </c>
      <c r="R1062" s="1039" t="s">
        <v>1922</v>
      </c>
      <c r="S1062" s="538">
        <v>0</v>
      </c>
      <c r="T1062" s="538">
        <v>0</v>
      </c>
      <c r="U1062" s="1078">
        <v>4645</v>
      </c>
      <c r="V1062" s="857">
        <v>16409</v>
      </c>
      <c r="W1062" s="440">
        <v>0</v>
      </c>
      <c r="X1062" s="538"/>
      <c r="Y1062" s="551"/>
      <c r="Z1062" s="538"/>
      <c r="AA1062" s="552"/>
      <c r="AB1062" s="341" t="s">
        <v>29</v>
      </c>
      <c r="AC1062" s="569" t="s">
        <v>709</v>
      </c>
      <c r="AD1062" s="1149" t="s">
        <v>116</v>
      </c>
      <c r="AE1062" s="569" t="s">
        <v>709</v>
      </c>
      <c r="AF1062" s="569" t="s">
        <v>116</v>
      </c>
      <c r="AG1062" s="569" t="s">
        <v>29</v>
      </c>
      <c r="AH1062" s="536" t="s">
        <v>29</v>
      </c>
      <c r="AI1062" s="1028"/>
      <c r="AJ1062" s="1029"/>
      <c r="AK1062" s="1029"/>
      <c r="AL1062" s="1030"/>
      <c r="AM1062" s="542" t="s">
        <v>709</v>
      </c>
      <c r="AN1062" s="924"/>
      <c r="AO1062" s="925"/>
      <c r="AP1062" s="926"/>
      <c r="AQ1062" s="926"/>
      <c r="AR1062" s="926"/>
      <c r="AS1062" s="926"/>
      <c r="AT1062" s="926"/>
      <c r="AU1062" s="926"/>
      <c r="AV1062" s="926"/>
      <c r="AW1062" s="927"/>
      <c r="AX1062" s="926"/>
      <c r="AY1062" s="1538" t="s">
        <v>29</v>
      </c>
      <c r="AZ1062" s="1530"/>
      <c r="BA1062" s="1031">
        <v>3</v>
      </c>
      <c r="BB1062" s="653" t="s">
        <v>116</v>
      </c>
      <c r="BC1062" s="544"/>
      <c r="BD1062" s="544" t="s">
        <v>882</v>
      </c>
      <c r="BE1062" s="544"/>
      <c r="BF1062" s="544"/>
      <c r="BG1062" s="544"/>
      <c r="BH1062" s="741"/>
      <c r="BI1062" s="549" t="s">
        <v>709</v>
      </c>
      <c r="BJ1062" s="549" t="s">
        <v>709</v>
      </c>
      <c r="BK1062" s="549" t="s">
        <v>709</v>
      </c>
      <c r="BL1062" s="549" t="s">
        <v>116</v>
      </c>
      <c r="BM1062" s="549">
        <v>0</v>
      </c>
      <c r="BN1062" s="549">
        <v>0</v>
      </c>
      <c r="BO1062" s="547">
        <v>0</v>
      </c>
      <c r="BP1062" s="549">
        <v>3073</v>
      </c>
      <c r="BQ1062" s="549">
        <v>1001</v>
      </c>
      <c r="BR1062" s="549">
        <v>1733</v>
      </c>
      <c r="BS1062" s="549">
        <v>10602</v>
      </c>
      <c r="BT1062" s="549">
        <v>0</v>
      </c>
      <c r="BU1062" s="549">
        <v>0</v>
      </c>
      <c r="BV1062" s="547">
        <v>0</v>
      </c>
      <c r="BW1062" s="547">
        <v>0</v>
      </c>
      <c r="BX1062" s="547">
        <v>0</v>
      </c>
      <c r="BY1062" s="549">
        <v>0</v>
      </c>
      <c r="BZ1062" s="547" t="s">
        <v>709</v>
      </c>
      <c r="CA1062" s="484"/>
      <c r="CB1062" s="547">
        <v>1060</v>
      </c>
      <c r="CC1062" s="1481" t="b">
        <v>1</v>
      </c>
      <c r="CD1062" t="str">
        <f>Table15[[#This Row],[Engineering Number]]&amp;Table15[[#This Row],[WO Number]]&amp;Table15[[#This Row],[Date Assigned to Designer]]&amp;Table15[[#This Row],[Date Completed]]</f>
        <v>VW240/VW241-112125844519545198</v>
      </c>
    </row>
    <row r="1063" spans="1:82" customFormat="1" ht="15" customHeight="1" x14ac:dyDescent="0.25">
      <c r="A1063">
        <v>2023</v>
      </c>
      <c r="B1063" s="8" t="s">
        <v>1205</v>
      </c>
      <c r="C1063" s="8" t="s">
        <v>587</v>
      </c>
      <c r="D1063" s="8">
        <v>1212818</v>
      </c>
      <c r="E1063" s="8" t="s">
        <v>354</v>
      </c>
      <c r="F1063" s="8" t="s">
        <v>784</v>
      </c>
      <c r="G1063" s="8" t="s">
        <v>23</v>
      </c>
      <c r="H1063" s="1056" t="s">
        <v>2723</v>
      </c>
      <c r="I1063" s="642">
        <v>45180</v>
      </c>
      <c r="J1063" s="175" t="s">
        <v>2724</v>
      </c>
      <c r="K1063" s="97">
        <v>45202</v>
      </c>
      <c r="L1063" s="16">
        <f>IF(ISTEXT(Table15[[#This Row],[Engineering Approved Design Date]]),Table15[[#This Row],[Date Completed]]-Table15[[#This Row],[Date Assigned to Designer]],Table15[[#This Row],[Engineering Approved Design Date]]-Table15[[#This Row],[Date Completed]])</f>
        <v>22</v>
      </c>
      <c r="M1063" s="16" t="s">
        <v>6008</v>
      </c>
      <c r="N1063" s="642" t="s">
        <v>120</v>
      </c>
      <c r="O1063" s="1060">
        <v>45200</v>
      </c>
      <c r="P1063" s="1152" t="s">
        <v>739</v>
      </c>
      <c r="Q1063" s="340">
        <f>Table15[[#This Row],[KH Hourly Effort]]</f>
        <v>3162.5</v>
      </c>
      <c r="R1063" s="1039" t="s">
        <v>1922</v>
      </c>
      <c r="S1063" s="538">
        <v>0</v>
      </c>
      <c r="T1063" s="538">
        <v>0</v>
      </c>
      <c r="U1063" s="1078">
        <v>3162.5</v>
      </c>
      <c r="V1063" s="857">
        <v>437</v>
      </c>
      <c r="W1063" s="440">
        <v>0</v>
      </c>
      <c r="X1063" s="538"/>
      <c r="Y1063" s="551"/>
      <c r="Z1063" s="538"/>
      <c r="AA1063" s="552"/>
      <c r="AB1063" s="341" t="s">
        <v>29</v>
      </c>
      <c r="AC1063" s="569" t="s">
        <v>29</v>
      </c>
      <c r="AD1063" s="1149" t="s">
        <v>29</v>
      </c>
      <c r="AE1063" s="569" t="s">
        <v>116</v>
      </c>
      <c r="AF1063" s="569" t="s">
        <v>756</v>
      </c>
      <c r="AG1063" s="569" t="s">
        <v>29</v>
      </c>
      <c r="AH1063" s="569" t="s">
        <v>29</v>
      </c>
      <c r="AI1063" s="1096"/>
      <c r="AJ1063" s="1097"/>
      <c r="AK1063" s="1097"/>
      <c r="AL1063" s="1030"/>
      <c r="AM1063" s="542" t="s">
        <v>709</v>
      </c>
      <c r="AN1063" s="924"/>
      <c r="AO1063" s="925"/>
      <c r="AP1063" s="926"/>
      <c r="AQ1063" s="926"/>
      <c r="AR1063" s="926"/>
      <c r="AS1063" s="926"/>
      <c r="AT1063" s="926"/>
      <c r="AU1063" s="926"/>
      <c r="AV1063" s="926"/>
      <c r="AW1063" s="927"/>
      <c r="AX1063" s="926"/>
      <c r="AY1063" s="1538" t="s">
        <v>29</v>
      </c>
      <c r="AZ1063" s="1532"/>
      <c r="BA1063" s="1031" t="s">
        <v>29</v>
      </c>
      <c r="BB1063" s="644"/>
      <c r="BC1063" s="544" t="s">
        <v>116</v>
      </c>
      <c r="BD1063" s="544" t="s">
        <v>115</v>
      </c>
      <c r="BE1063" s="544" t="s">
        <v>588</v>
      </c>
      <c r="BF1063" s="544" t="s">
        <v>115</v>
      </c>
      <c r="BG1063" s="544" t="s">
        <v>3021</v>
      </c>
      <c r="BH1063" s="741"/>
      <c r="BI1063" s="549" t="s">
        <v>709</v>
      </c>
      <c r="BJ1063" s="549" t="s">
        <v>709</v>
      </c>
      <c r="BK1063" s="549" t="s">
        <v>709</v>
      </c>
      <c r="BL1063" s="549" t="s">
        <v>116</v>
      </c>
      <c r="BM1063" s="549" t="s">
        <v>709</v>
      </c>
      <c r="BN1063" s="549" t="s">
        <v>709</v>
      </c>
      <c r="BO1063" s="549" t="s">
        <v>709</v>
      </c>
      <c r="BP1063" s="549">
        <v>456</v>
      </c>
      <c r="BQ1063" s="549" t="s">
        <v>709</v>
      </c>
      <c r="BR1063" s="549" t="s">
        <v>709</v>
      </c>
      <c r="BS1063" s="549" t="s">
        <v>709</v>
      </c>
      <c r="BT1063" s="549" t="s">
        <v>709</v>
      </c>
      <c r="BU1063" s="549" t="s">
        <v>709</v>
      </c>
      <c r="BV1063" s="549" t="s">
        <v>709</v>
      </c>
      <c r="BW1063" s="549" t="s">
        <v>709</v>
      </c>
      <c r="BX1063" s="549" t="s">
        <v>709</v>
      </c>
      <c r="BY1063" s="549" t="s">
        <v>709</v>
      </c>
      <c r="BZ1063" s="547" t="s">
        <v>709</v>
      </c>
      <c r="CA1063" s="484"/>
      <c r="CB1063" s="547">
        <v>1061</v>
      </c>
      <c r="CC1063" s="1481" t="b">
        <v>1</v>
      </c>
      <c r="CD1063" t="str">
        <f>Table15[[#This Row],[Engineering Number]]&amp;Table15[[#This Row],[WO Number]]&amp;Table15[[#This Row],[Date Assigned to Designer]]&amp;Table15[[#This Row],[Date Completed]]</f>
        <v>MR202712128184518045202</v>
      </c>
    </row>
    <row r="1064" spans="1:82" customFormat="1" ht="15" customHeight="1" x14ac:dyDescent="0.25">
      <c r="A1064">
        <v>2023</v>
      </c>
      <c r="B1064" s="8" t="s">
        <v>771</v>
      </c>
      <c r="C1064" s="8" t="s">
        <v>6010</v>
      </c>
      <c r="D1064" s="8">
        <v>1211022</v>
      </c>
      <c r="E1064" s="8" t="s">
        <v>415</v>
      </c>
      <c r="F1064" s="8" t="s">
        <v>6011</v>
      </c>
      <c r="G1064" s="8" t="s">
        <v>36</v>
      </c>
      <c r="H1064" s="99" t="s">
        <v>2723</v>
      </c>
      <c r="I1064" s="642">
        <v>44953</v>
      </c>
      <c r="J1064" s="175" t="s">
        <v>2724</v>
      </c>
      <c r="K1064" s="642">
        <v>45204</v>
      </c>
      <c r="L1064" s="16">
        <f>IF(ISTEXT(Table15[[#This Row],[Engineering Approved Design Date]]),Table15[[#This Row],[Date Completed]]-Table15[[#This Row],[Date Assigned to Designer]],Table15[[#This Row],[Engineering Approved Design Date]]-Table15[[#This Row],[Date Completed]])</f>
        <v>251</v>
      </c>
      <c r="M1064" s="16" t="s">
        <v>6012</v>
      </c>
      <c r="N1064" s="642" t="s">
        <v>120</v>
      </c>
      <c r="O1064" s="1025">
        <v>45200</v>
      </c>
      <c r="P1064" s="21" t="s">
        <v>120</v>
      </c>
      <c r="Q1064" s="340">
        <f>Table15[[#This Row],[KH Hourly Effort]]</f>
        <v>4697.5</v>
      </c>
      <c r="R1064" s="1026" t="s">
        <v>1922</v>
      </c>
      <c r="S1064" s="538">
        <v>0</v>
      </c>
      <c r="T1064" s="538">
        <v>0</v>
      </c>
      <c r="U1064" s="28">
        <v>4697.5</v>
      </c>
      <c r="V1064" s="858"/>
      <c r="W1064" s="437"/>
      <c r="X1064" s="538"/>
      <c r="Y1064" s="550"/>
      <c r="Z1064" s="538"/>
      <c r="AA1064" s="561"/>
      <c r="AB1064" s="474"/>
      <c r="AC1064" s="574"/>
      <c r="AD1064" s="1156"/>
      <c r="AE1064" s="574"/>
      <c r="AF1064" s="574"/>
      <c r="AG1064" s="574"/>
      <c r="AH1064" s="566"/>
      <c r="AI1064" s="1042"/>
      <c r="AJ1064" s="1043"/>
      <c r="AK1064" s="1043"/>
      <c r="AL1064" s="1044"/>
      <c r="AM1064" s="542" t="s">
        <v>709</v>
      </c>
      <c r="AN1064" s="924"/>
      <c r="AO1064" s="925"/>
      <c r="AP1064" s="926"/>
      <c r="AQ1064" s="926"/>
      <c r="AR1064" s="926"/>
      <c r="AS1064" s="926"/>
      <c r="AT1064" s="926"/>
      <c r="AU1064" s="926"/>
      <c r="AV1064" s="926"/>
      <c r="AW1064" s="927"/>
      <c r="AX1064" s="926"/>
      <c r="AY1064" s="1538" t="s">
        <v>29</v>
      </c>
      <c r="AZ1064" s="1530"/>
      <c r="BA1064" s="1031" t="s">
        <v>29</v>
      </c>
      <c r="BB1064" s="543" t="s">
        <v>29</v>
      </c>
      <c r="BC1064" s="544"/>
      <c r="BD1064" s="544"/>
      <c r="BE1064" s="544"/>
      <c r="BF1064" s="544"/>
      <c r="BG1064" s="544"/>
      <c r="BH1064" s="741"/>
      <c r="BI1064" s="547"/>
      <c r="BJ1064" s="547"/>
      <c r="BK1064" s="547"/>
      <c r="BL1064" s="547"/>
      <c r="BM1064" s="547"/>
      <c r="BN1064" s="547"/>
      <c r="BO1064" s="547"/>
      <c r="BP1064" s="547"/>
      <c r="BQ1064" s="547"/>
      <c r="BR1064" s="547"/>
      <c r="BS1064" s="547"/>
      <c r="BT1064" s="547"/>
      <c r="BU1064" s="547"/>
      <c r="BV1064" s="547"/>
      <c r="BW1064" s="547"/>
      <c r="BX1064" s="547"/>
      <c r="BY1064" s="547"/>
      <c r="BZ1064" s="547" t="s">
        <v>709</v>
      </c>
      <c r="CA1064" s="483" t="s">
        <v>915</v>
      </c>
      <c r="CB1064" s="547">
        <v>1062</v>
      </c>
      <c r="CC1064" s="1481" t="b">
        <v>1</v>
      </c>
      <c r="CD1064" t="str">
        <f>Table15[[#This Row],[Engineering Number]]&amp;Table15[[#This Row],[WO Number]]&amp;Table15[[#This Row],[Date Assigned to Designer]]&amp;Table15[[#This Row],[Date Completed]]</f>
        <v>BS28412110224495345204</v>
      </c>
    </row>
    <row r="1065" spans="1:82" customFormat="1" ht="15" customHeight="1" x14ac:dyDescent="0.25">
      <c r="A1065">
        <v>2023</v>
      </c>
      <c r="B1065" s="8" t="s">
        <v>771</v>
      </c>
      <c r="C1065" s="8" t="s">
        <v>5549</v>
      </c>
      <c r="D1065" s="8">
        <v>1212275</v>
      </c>
      <c r="E1065" s="8" t="s">
        <v>361</v>
      </c>
      <c r="F1065" s="8" t="s">
        <v>784</v>
      </c>
      <c r="G1065" s="8" t="s">
        <v>23</v>
      </c>
      <c r="H1065" s="8" t="s">
        <v>4189</v>
      </c>
      <c r="I1065" s="642">
        <v>45170</v>
      </c>
      <c r="J1065" s="175" t="s">
        <v>2052</v>
      </c>
      <c r="K1065" s="97">
        <v>45209</v>
      </c>
      <c r="L1065" s="16">
        <f>IF(ISTEXT(Table15[[#This Row],[Engineering Approved Design Date]]),Table15[[#This Row],[Date Completed]]-Table15[[#This Row],[Date Assigned to Designer]],Table15[[#This Row],[Engineering Approved Design Date]]-Table15[[#This Row],[Date Completed]])</f>
        <v>39</v>
      </c>
      <c r="M1065" s="16" t="s">
        <v>6014</v>
      </c>
      <c r="N1065" s="642" t="s">
        <v>120</v>
      </c>
      <c r="O1065" s="1060">
        <v>45231</v>
      </c>
      <c r="P1065" s="1152" t="s">
        <v>120</v>
      </c>
      <c r="Q1065" s="1061">
        <f>Table15[[#This Row],[KH Hourly Effort]]</f>
        <v>9435</v>
      </c>
      <c r="R1065" s="1039" t="s">
        <v>1922</v>
      </c>
      <c r="S1065" s="538">
        <v>0</v>
      </c>
      <c r="T1065" s="538">
        <v>0</v>
      </c>
      <c r="U1065" s="1078">
        <v>9435</v>
      </c>
      <c r="V1065" s="857"/>
      <c r="W1065" s="440"/>
      <c r="X1065" s="538"/>
      <c r="Y1065" s="551"/>
      <c r="Z1065" s="538"/>
      <c r="AA1065" s="552"/>
      <c r="AB1065" s="341" t="s">
        <v>29</v>
      </c>
      <c r="AC1065" s="569"/>
      <c r="AD1065" s="1149" t="s">
        <v>29</v>
      </c>
      <c r="AE1065" s="569" t="s">
        <v>756</v>
      </c>
      <c r="AF1065" s="569" t="s">
        <v>756</v>
      </c>
      <c r="AG1065" s="569" t="s">
        <v>29</v>
      </c>
      <c r="AH1065" s="536" t="s">
        <v>29</v>
      </c>
      <c r="AI1065" s="1028"/>
      <c r="AJ1065" s="1029"/>
      <c r="AK1065" s="1029"/>
      <c r="AL1065" s="1030"/>
      <c r="AM1065" s="542" t="s">
        <v>709</v>
      </c>
      <c r="AN1065" s="924"/>
      <c r="AO1065" s="925"/>
      <c r="AP1065" s="926"/>
      <c r="AQ1065" s="926"/>
      <c r="AR1065" s="926"/>
      <c r="AS1065" s="926"/>
      <c r="AT1065" s="926"/>
      <c r="AU1065" s="926"/>
      <c r="AV1065" s="926"/>
      <c r="AW1065" s="927"/>
      <c r="AX1065" s="926"/>
      <c r="AY1065" s="1538" t="s">
        <v>29</v>
      </c>
      <c r="AZ1065" s="1530"/>
      <c r="BA1065" s="1031">
        <v>4</v>
      </c>
      <c r="BB1065" s="653" t="s">
        <v>709</v>
      </c>
      <c r="BC1065" s="544"/>
      <c r="BD1065" s="544"/>
      <c r="BE1065" s="544"/>
      <c r="BF1065" s="544"/>
      <c r="BG1065" s="544"/>
      <c r="BH1065" s="741"/>
      <c r="BI1065" s="549" t="s">
        <v>709</v>
      </c>
      <c r="BJ1065" s="549" t="s">
        <v>709</v>
      </c>
      <c r="BK1065" s="549" t="s">
        <v>709</v>
      </c>
      <c r="BL1065" s="549" t="s">
        <v>116</v>
      </c>
      <c r="BM1065" s="549" t="s">
        <v>709</v>
      </c>
      <c r="BN1065" s="549" t="s">
        <v>709</v>
      </c>
      <c r="BO1065" s="549" t="s">
        <v>709</v>
      </c>
      <c r="BP1065" s="549">
        <v>916</v>
      </c>
      <c r="BQ1065" s="549" t="s">
        <v>709</v>
      </c>
      <c r="BR1065" s="549" t="s">
        <v>709</v>
      </c>
      <c r="BS1065" s="549">
        <v>15007</v>
      </c>
      <c r="BT1065" s="549" t="s">
        <v>709</v>
      </c>
      <c r="BU1065" s="549" t="s">
        <v>709</v>
      </c>
      <c r="BV1065" s="549" t="s">
        <v>709</v>
      </c>
      <c r="BW1065" s="549" t="s">
        <v>709</v>
      </c>
      <c r="BX1065" s="549" t="s">
        <v>745</v>
      </c>
      <c r="BY1065" s="549" t="s">
        <v>709</v>
      </c>
      <c r="BZ1065" s="547" t="s">
        <v>709</v>
      </c>
      <c r="CA1065" s="484"/>
      <c r="CB1065" s="547">
        <v>1063</v>
      </c>
      <c r="CC1065" s="1481" t="b">
        <v>1</v>
      </c>
      <c r="CD1065" t="str">
        <f>Table15[[#This Row],[Engineering Number]]&amp;Table15[[#This Row],[WO Number]]&amp;Table15[[#This Row],[Date Assigned to Designer]]&amp;Table15[[#This Row],[Date Completed]]</f>
        <v>BS187-112122754517045209</v>
      </c>
    </row>
    <row r="1066" spans="1:82" customFormat="1" ht="15" customHeight="1" x14ac:dyDescent="0.25">
      <c r="A1066">
        <v>2024</v>
      </c>
      <c r="B1066" s="8" t="s">
        <v>4</v>
      </c>
      <c r="C1066" s="8" t="s">
        <v>801</v>
      </c>
      <c r="D1066" s="8" t="s">
        <v>802</v>
      </c>
      <c r="E1066" s="8" t="s">
        <v>239</v>
      </c>
      <c r="F1066" s="8" t="s">
        <v>747</v>
      </c>
      <c r="G1066" s="8" t="s">
        <v>26</v>
      </c>
      <c r="H1066" s="8" t="s">
        <v>59</v>
      </c>
      <c r="I1066" s="642">
        <v>45027</v>
      </c>
      <c r="J1066" s="18">
        <v>45260</v>
      </c>
      <c r="K1066" s="97">
        <v>45218</v>
      </c>
      <c r="L1066" s="16">
        <f>IF(ISTEXT(Table15[[#This Row],[Engineering Approved Design Date]]),Table15[[#This Row],[Date Completed]]-Table15[[#This Row],[Date Assigned to Designer]],Table15[[#This Row],[Engineering Approved Design Date]]-Table15[[#This Row],[Date Completed]])</f>
        <v>42</v>
      </c>
      <c r="M1066" s="642"/>
      <c r="N1066" s="642" t="s">
        <v>120</v>
      </c>
      <c r="O1066" s="1060">
        <v>45231</v>
      </c>
      <c r="P1066" s="1152" t="s">
        <v>739</v>
      </c>
      <c r="Q1066" s="340">
        <f>Table15[[#This Row],[Rate]]*Table15[[#This Row],[Construction Cost to Bill From]]</f>
        <v>77333.657000000007</v>
      </c>
      <c r="R1066" s="1026">
        <v>0.1</v>
      </c>
      <c r="S1066" s="538"/>
      <c r="T1066" s="538"/>
      <c r="U1066" s="87"/>
      <c r="V1066" s="858">
        <v>2014</v>
      </c>
      <c r="W1066" s="437">
        <v>0</v>
      </c>
      <c r="X1066" s="538">
        <v>680014.29</v>
      </c>
      <c r="Y1066" s="551"/>
      <c r="Z1066" s="552">
        <v>93322.28</v>
      </c>
      <c r="AA1066" s="552">
        <f>Table15[[#This Row],[PCTS Retirement Amount]]+Table15[[#This Row],[PCTS Investment Amount]]</f>
        <v>773336.57000000007</v>
      </c>
      <c r="AB1066" s="341">
        <v>45212</v>
      </c>
      <c r="AC1066" s="568" t="s">
        <v>709</v>
      </c>
      <c r="AD1066" s="1157" t="s">
        <v>29</v>
      </c>
      <c r="AE1066" s="568" t="s">
        <v>756</v>
      </c>
      <c r="AF1066" s="568" t="s">
        <v>116</v>
      </c>
      <c r="AG1066" s="568" t="s">
        <v>116</v>
      </c>
      <c r="AH1066" s="183">
        <v>45308</v>
      </c>
      <c r="AI1066" s="1036"/>
      <c r="AJ1066" s="1037"/>
      <c r="AK1066" s="1037"/>
      <c r="AL1066" s="1038"/>
      <c r="AM1066" s="1522" t="s">
        <v>116</v>
      </c>
      <c r="AN1066" s="1523">
        <v>45316</v>
      </c>
      <c r="AO1066" s="1524">
        <v>11077599</v>
      </c>
      <c r="AP1066" s="1525">
        <v>693761.18</v>
      </c>
      <c r="AQ1066" s="1525"/>
      <c r="AR1066" s="1525">
        <v>93331.88</v>
      </c>
      <c r="AS1066" s="1525">
        <v>787093.06</v>
      </c>
      <c r="AT1066" s="1525">
        <v>13756.489999999991</v>
      </c>
      <c r="AU1066" s="1525">
        <v>1375.6489999999992</v>
      </c>
      <c r="AV1066" s="1525">
        <v>0</v>
      </c>
      <c r="AW1066" s="1526" t="s">
        <v>803</v>
      </c>
      <c r="AX1066" s="1525">
        <v>1375.65</v>
      </c>
      <c r="AY1066" s="1518">
        <v>45566</v>
      </c>
      <c r="AZ1066" s="333">
        <v>101</v>
      </c>
      <c r="BA1066" s="1076" t="s">
        <v>804</v>
      </c>
      <c r="BB1066" s="653" t="s">
        <v>805</v>
      </c>
      <c r="BC1066" s="544" t="s">
        <v>709</v>
      </c>
      <c r="BD1066" s="544" t="s">
        <v>806</v>
      </c>
      <c r="BE1066" s="559" t="s">
        <v>807</v>
      </c>
      <c r="BF1066" s="554" t="s">
        <v>807</v>
      </c>
      <c r="BG1066" s="548" t="s">
        <v>709</v>
      </c>
      <c r="BH1066" s="749"/>
      <c r="BI1066" s="547" t="s">
        <v>709</v>
      </c>
      <c r="BJ1066" s="547" t="s">
        <v>709</v>
      </c>
      <c r="BK1066" s="547" t="s">
        <v>709</v>
      </c>
      <c r="BL1066" s="547" t="s">
        <v>116</v>
      </c>
      <c r="BM1066" s="547" t="s">
        <v>709</v>
      </c>
      <c r="BN1066" s="547" t="s">
        <v>709</v>
      </c>
      <c r="BO1066" s="547" t="s">
        <v>709</v>
      </c>
      <c r="BP1066" s="547" t="s">
        <v>709</v>
      </c>
      <c r="BQ1066" s="547" t="s">
        <v>709</v>
      </c>
      <c r="BR1066" s="547">
        <v>918</v>
      </c>
      <c r="BS1066" s="547">
        <v>1096</v>
      </c>
      <c r="BT1066" s="547" t="s">
        <v>709</v>
      </c>
      <c r="BU1066" s="547" t="s">
        <v>709</v>
      </c>
      <c r="BV1066" s="547" t="s">
        <v>709</v>
      </c>
      <c r="BW1066" s="547" t="s">
        <v>709</v>
      </c>
      <c r="BX1066" s="547" t="s">
        <v>745</v>
      </c>
      <c r="BY1066" s="547" t="s">
        <v>709</v>
      </c>
      <c r="BZ1066" s="547" t="s">
        <v>709</v>
      </c>
      <c r="CA1066" s="483"/>
      <c r="CB1066" s="547">
        <v>1064</v>
      </c>
      <c r="CC1066" s="1481" t="b">
        <v>1</v>
      </c>
      <c r="CD1066" t="str">
        <f>Table15[[#This Row],[Engineering Number]]&amp;Table15[[#This Row],[WO Number]]&amp;Table15[[#This Row],[Date Assigned to Designer]]&amp;Table15[[#This Row],[Date Completed]]</f>
        <v>SC2216212131204502745218</v>
      </c>
    </row>
    <row r="1067" spans="1:82" customFormat="1" ht="15" customHeight="1" x14ac:dyDescent="0.25">
      <c r="A1067">
        <v>2023</v>
      </c>
      <c r="B1067" s="8" t="s">
        <v>1073</v>
      </c>
      <c r="C1067" s="8" t="s">
        <v>594</v>
      </c>
      <c r="D1067" s="8" t="s">
        <v>6017</v>
      </c>
      <c r="E1067" s="8" t="s">
        <v>232</v>
      </c>
      <c r="F1067" s="8" t="s">
        <v>851</v>
      </c>
      <c r="G1067" s="8" t="s">
        <v>32</v>
      </c>
      <c r="H1067" s="8" t="s">
        <v>4189</v>
      </c>
      <c r="I1067" s="642">
        <v>45216</v>
      </c>
      <c r="J1067" s="175" t="s">
        <v>2052</v>
      </c>
      <c r="K1067" s="97">
        <v>45222</v>
      </c>
      <c r="L1067" s="16">
        <f>IF(ISTEXT(Table15[[#This Row],[Engineering Approved Design Date]]),Table15[[#This Row],[Date Completed]]-Table15[[#This Row],[Date Assigned to Designer]],Table15[[#This Row],[Engineering Approved Design Date]]-Table15[[#This Row],[Date Completed]])</f>
        <v>6</v>
      </c>
      <c r="M1067" s="16" t="s">
        <v>6018</v>
      </c>
      <c r="N1067" s="642" t="s">
        <v>120</v>
      </c>
      <c r="O1067" s="1060">
        <v>45231</v>
      </c>
      <c r="P1067" s="1152" t="s">
        <v>739</v>
      </c>
      <c r="Q1067" s="1061">
        <f>Table15[[#This Row],[KH Hourly Effort]]</f>
        <v>1775</v>
      </c>
      <c r="R1067" s="1039" t="s">
        <v>1922</v>
      </c>
      <c r="S1067" s="538">
        <v>0</v>
      </c>
      <c r="T1067" s="538">
        <v>0</v>
      </c>
      <c r="U1067" s="1078">
        <v>1775</v>
      </c>
      <c r="V1067" s="857">
        <v>169</v>
      </c>
      <c r="W1067" s="440">
        <v>0</v>
      </c>
      <c r="X1067" s="538"/>
      <c r="Y1067" s="551"/>
      <c r="Z1067" s="538"/>
      <c r="AA1067" s="552"/>
      <c r="AB1067" s="341"/>
      <c r="AC1067" s="569" t="s">
        <v>709</v>
      </c>
      <c r="AD1067" s="1149" t="s">
        <v>116</v>
      </c>
      <c r="AE1067" s="569" t="s">
        <v>709</v>
      </c>
      <c r="AF1067" s="569" t="s">
        <v>756</v>
      </c>
      <c r="AG1067" s="569" t="s">
        <v>29</v>
      </c>
      <c r="AH1067" s="536" t="s">
        <v>709</v>
      </c>
      <c r="AI1067" s="1028"/>
      <c r="AJ1067" s="1029"/>
      <c r="AK1067" s="1029"/>
      <c r="AL1067" s="1030"/>
      <c r="AM1067" s="542" t="s">
        <v>709</v>
      </c>
      <c r="AN1067" s="924"/>
      <c r="AO1067" s="925"/>
      <c r="AP1067" s="926"/>
      <c r="AQ1067" s="926"/>
      <c r="AR1067" s="926"/>
      <c r="AS1067" s="926"/>
      <c r="AT1067" s="926"/>
      <c r="AU1067" s="926"/>
      <c r="AV1067" s="926"/>
      <c r="AW1067" s="927"/>
      <c r="AX1067" s="926"/>
      <c r="AY1067" s="1538" t="s">
        <v>29</v>
      </c>
      <c r="AZ1067" s="1530"/>
      <c r="BA1067" s="1031">
        <v>11</v>
      </c>
      <c r="BB1067" s="653" t="s">
        <v>116</v>
      </c>
      <c r="BC1067" s="544"/>
      <c r="BD1067" s="544"/>
      <c r="BE1067" s="544"/>
      <c r="BF1067" s="544"/>
      <c r="BG1067" s="544"/>
      <c r="BH1067" s="741"/>
      <c r="BI1067" s="549" t="s">
        <v>709</v>
      </c>
      <c r="BJ1067" s="549" t="s">
        <v>709</v>
      </c>
      <c r="BK1067" s="549" t="s">
        <v>116</v>
      </c>
      <c r="BL1067" s="549" t="s">
        <v>116</v>
      </c>
      <c r="BM1067" s="549">
        <v>0</v>
      </c>
      <c r="BN1067" s="549">
        <v>0</v>
      </c>
      <c r="BO1067" s="547">
        <v>0</v>
      </c>
      <c r="BP1067" s="549">
        <v>0</v>
      </c>
      <c r="BQ1067" s="549">
        <v>0</v>
      </c>
      <c r="BR1067" s="549">
        <v>169</v>
      </c>
      <c r="BS1067" s="549">
        <v>0</v>
      </c>
      <c r="BT1067" s="549">
        <v>0</v>
      </c>
      <c r="BU1067" s="549">
        <v>0</v>
      </c>
      <c r="BV1067" s="547">
        <v>0</v>
      </c>
      <c r="BW1067" s="547">
        <v>0</v>
      </c>
      <c r="BX1067" s="547">
        <v>0</v>
      </c>
      <c r="BY1067" s="549">
        <v>1</v>
      </c>
      <c r="BZ1067" s="547" t="s">
        <v>709</v>
      </c>
      <c r="CA1067" s="484"/>
      <c r="CB1067" s="547">
        <v>1065</v>
      </c>
      <c r="CC1067" s="1481" t="b">
        <v>1</v>
      </c>
      <c r="CD1067" t="str">
        <f>Table15[[#This Row],[Engineering Number]]&amp;Table15[[#This Row],[WO Number]]&amp;Table15[[#This Row],[Date Assigned to Designer]]&amp;Table15[[#This Row],[Date Completed]]</f>
        <v>NBA100113661912867/19128684521645222</v>
      </c>
    </row>
    <row r="1068" spans="1:82" customFormat="1" ht="15" customHeight="1" x14ac:dyDescent="0.25">
      <c r="A1068">
        <v>2023</v>
      </c>
      <c r="B1068" s="8" t="s">
        <v>4</v>
      </c>
      <c r="C1068" s="8" t="s">
        <v>900</v>
      </c>
      <c r="D1068" s="8" t="s">
        <v>901</v>
      </c>
      <c r="E1068" s="8" t="s">
        <v>902</v>
      </c>
      <c r="F1068" s="8" t="s">
        <v>784</v>
      </c>
      <c r="G1068" s="8" t="s">
        <v>27</v>
      </c>
      <c r="H1068" s="8" t="s">
        <v>59</v>
      </c>
      <c r="I1068" s="642">
        <v>45103</v>
      </c>
      <c r="J1068" s="18">
        <v>45230</v>
      </c>
      <c r="K1068" s="97">
        <v>45225</v>
      </c>
      <c r="L1068" s="16">
        <f>IF(ISTEXT(Table15[[#This Row],[Engineering Approved Design Date]]),Table15[[#This Row],[Date Completed]]-Table15[[#This Row],[Date Assigned to Designer]],Table15[[#This Row],[Engineering Approved Design Date]]-Table15[[#This Row],[Date Completed]])</f>
        <v>5</v>
      </c>
      <c r="M1068" s="642"/>
      <c r="N1068" s="642" t="s">
        <v>120</v>
      </c>
      <c r="O1068" s="1060">
        <v>45231</v>
      </c>
      <c r="P1068" s="1152" t="s">
        <v>739</v>
      </c>
      <c r="Q1068" s="340">
        <f>Table15[[#This Row],[Rate]]*Table15[[#This Row],[Construction Cost to Bill From]]</f>
        <v>82182.983000000007</v>
      </c>
      <c r="R1068" s="1026">
        <v>0.1</v>
      </c>
      <c r="S1068" s="538"/>
      <c r="T1068" s="538"/>
      <c r="U1068" s="87"/>
      <c r="V1068" s="858">
        <v>2174</v>
      </c>
      <c r="W1068" s="437">
        <v>0</v>
      </c>
      <c r="X1068" s="538">
        <v>714309.61</v>
      </c>
      <c r="Y1068" s="551"/>
      <c r="Z1068" s="552">
        <v>107520.22</v>
      </c>
      <c r="AA1068" s="552">
        <f>SUM(Table15[[#This Row],[PCTS Investment Amount]:[PCTS Retirement Amount]])</f>
        <v>821829.83</v>
      </c>
      <c r="AB1068" s="341">
        <v>45217</v>
      </c>
      <c r="AC1068" s="568" t="s">
        <v>116</v>
      </c>
      <c r="AD1068" s="1157" t="s">
        <v>29</v>
      </c>
      <c r="AE1068" s="568" t="s">
        <v>116</v>
      </c>
      <c r="AF1068" s="568" t="s">
        <v>756</v>
      </c>
      <c r="AG1068" s="183">
        <v>45371</v>
      </c>
      <c r="AH1068" s="183">
        <v>45371</v>
      </c>
      <c r="AI1068" s="1036"/>
      <c r="AJ1068" s="1037"/>
      <c r="AK1068" s="1037"/>
      <c r="AL1068" s="1038"/>
      <c r="AM1068" s="1522" t="s">
        <v>116</v>
      </c>
      <c r="AN1068" s="1523">
        <v>45369</v>
      </c>
      <c r="AO1068" s="1524">
        <v>11080052</v>
      </c>
      <c r="AP1068" s="1525">
        <v>685524.31</v>
      </c>
      <c r="AQ1068" s="1525"/>
      <c r="AR1068" s="1525">
        <v>107524.76</v>
      </c>
      <c r="AS1068" s="1525">
        <v>793049.07000000007</v>
      </c>
      <c r="AT1068" s="1525">
        <v>-28780.759999999893</v>
      </c>
      <c r="AU1068" s="1525">
        <v>-2878.0759999999896</v>
      </c>
      <c r="AV1068" s="1525">
        <v>0</v>
      </c>
      <c r="AW1068" s="1526" t="s">
        <v>903</v>
      </c>
      <c r="AX1068" s="1525">
        <v>-2878.08</v>
      </c>
      <c r="AY1068" s="1518">
        <v>45566</v>
      </c>
      <c r="AZ1068" s="333">
        <v>102</v>
      </c>
      <c r="BA1068" s="1076" t="s">
        <v>904</v>
      </c>
      <c r="BB1068" s="653" t="s">
        <v>905</v>
      </c>
      <c r="BC1068" s="544" t="s">
        <v>116</v>
      </c>
      <c r="BD1068" s="544" t="s">
        <v>906</v>
      </c>
      <c r="BE1068" s="559" t="s">
        <v>907</v>
      </c>
      <c r="BF1068" s="554" t="s">
        <v>709</v>
      </c>
      <c r="BG1068" s="548" t="s">
        <v>709</v>
      </c>
      <c r="BH1068" s="749"/>
      <c r="BI1068" s="547" t="s">
        <v>709</v>
      </c>
      <c r="BJ1068" s="547" t="s">
        <v>709</v>
      </c>
      <c r="BK1068" s="547" t="s">
        <v>709</v>
      </c>
      <c r="BL1068" s="547" t="s">
        <v>116</v>
      </c>
      <c r="BM1068" s="547" t="s">
        <v>709</v>
      </c>
      <c r="BN1068" s="547" t="s">
        <v>709</v>
      </c>
      <c r="BO1068" s="547" t="s">
        <v>709</v>
      </c>
      <c r="BP1068" s="547" t="s">
        <v>709</v>
      </c>
      <c r="BQ1068" s="547" t="s">
        <v>709</v>
      </c>
      <c r="BR1068" s="547" t="s">
        <v>709</v>
      </c>
      <c r="BS1068" s="547">
        <v>2174</v>
      </c>
      <c r="BT1068" s="547" t="s">
        <v>709</v>
      </c>
      <c r="BU1068" s="547" t="s">
        <v>709</v>
      </c>
      <c r="BV1068" s="547" t="s">
        <v>709</v>
      </c>
      <c r="BW1068" s="547" t="s">
        <v>709</v>
      </c>
      <c r="BX1068" s="547" t="s">
        <v>745</v>
      </c>
      <c r="BY1068" s="547" t="s">
        <v>709</v>
      </c>
      <c r="BZ1068" s="547" t="s">
        <v>709</v>
      </c>
      <c r="CA1068" s="483"/>
      <c r="CB1068" s="547">
        <v>1066</v>
      </c>
      <c r="CC1068" s="1481" t="b">
        <v>1</v>
      </c>
      <c r="CD1068" t="str">
        <f>Table15[[#This Row],[Engineering Number]]&amp;Table15[[#This Row],[WO Number]]&amp;Table15[[#This Row],[Date Assigned to Designer]]&amp;Table15[[#This Row],[Date Completed]]</f>
        <v>N1570812130884510345225</v>
      </c>
    </row>
    <row r="1069" spans="1:82" customFormat="1" ht="15" customHeight="1" x14ac:dyDescent="0.25">
      <c r="A1069">
        <v>2023</v>
      </c>
      <c r="B1069" s="8" t="s">
        <v>769</v>
      </c>
      <c r="C1069" s="8" t="s">
        <v>416</v>
      </c>
      <c r="D1069" s="8" t="s">
        <v>6020</v>
      </c>
      <c r="E1069" s="8" t="s">
        <v>309</v>
      </c>
      <c r="F1069" s="8" t="s">
        <v>752</v>
      </c>
      <c r="G1069" s="8" t="s">
        <v>219</v>
      </c>
      <c r="H1069" s="8" t="s">
        <v>4189</v>
      </c>
      <c r="I1069" s="642">
        <v>45155</v>
      </c>
      <c r="J1069" s="175" t="s">
        <v>2052</v>
      </c>
      <c r="K1069" s="97">
        <v>45225</v>
      </c>
      <c r="L1069" s="16">
        <f>IF(ISTEXT(Table15[[#This Row],[Engineering Approved Design Date]]),Table15[[#This Row],[Date Completed]]-Table15[[#This Row],[Date Assigned to Designer]],Table15[[#This Row],[Engineering Approved Design Date]]-Table15[[#This Row],[Date Completed]])</f>
        <v>70</v>
      </c>
      <c r="M1069" s="16" t="s">
        <v>6021</v>
      </c>
      <c r="N1069" s="642" t="s">
        <v>120</v>
      </c>
      <c r="O1069" s="1060">
        <v>45231</v>
      </c>
      <c r="P1069" s="1152" t="s">
        <v>120</v>
      </c>
      <c r="Q1069" s="1061">
        <f>Table15[[#This Row],[KH Hourly Effort]]</f>
        <v>5002.5</v>
      </c>
      <c r="R1069" s="1039" t="s">
        <v>1922</v>
      </c>
      <c r="S1069" s="538">
        <v>0</v>
      </c>
      <c r="T1069" s="538">
        <v>0</v>
      </c>
      <c r="U1069" s="1078">
        <v>5002.5</v>
      </c>
      <c r="V1069" s="857"/>
      <c r="W1069" s="440"/>
      <c r="X1069" s="538"/>
      <c r="Y1069" s="551"/>
      <c r="Z1069" s="538"/>
      <c r="AA1069" s="552">
        <f>SUM(Table15[[#This Row],[PCTS Investment Amount]:[PCTS Retirement Amount]])</f>
        <v>0</v>
      </c>
      <c r="AB1069" s="341" t="s">
        <v>29</v>
      </c>
      <c r="AC1069" s="569"/>
      <c r="AD1069" s="1149" t="s">
        <v>29</v>
      </c>
      <c r="AE1069" s="569" t="s">
        <v>29</v>
      </c>
      <c r="AF1069" s="569" t="s">
        <v>29</v>
      </c>
      <c r="AG1069" s="569" t="s">
        <v>29</v>
      </c>
      <c r="AH1069" s="536" t="s">
        <v>29</v>
      </c>
      <c r="AI1069" s="1028"/>
      <c r="AJ1069" s="1029"/>
      <c r="AK1069" s="1029"/>
      <c r="AL1069" s="1030"/>
      <c r="AM1069" s="542" t="s">
        <v>709</v>
      </c>
      <c r="AN1069" s="924"/>
      <c r="AO1069" s="925"/>
      <c r="AP1069" s="926"/>
      <c r="AQ1069" s="926"/>
      <c r="AR1069" s="926"/>
      <c r="AS1069" s="926"/>
      <c r="AT1069" s="926"/>
      <c r="AU1069" s="926"/>
      <c r="AV1069" s="926"/>
      <c r="AW1069" s="927"/>
      <c r="AX1069" s="926"/>
      <c r="AY1069" s="1538" t="s">
        <v>29</v>
      </c>
      <c r="AZ1069" s="1530"/>
      <c r="BA1069" s="1031">
        <v>10</v>
      </c>
      <c r="BB1069" s="653" t="s">
        <v>709</v>
      </c>
      <c r="BC1069" s="544"/>
      <c r="BD1069" s="544"/>
      <c r="BE1069" s="544"/>
      <c r="BF1069" s="544"/>
      <c r="BG1069" s="544"/>
      <c r="BH1069" s="741" t="s">
        <v>6022</v>
      </c>
      <c r="BI1069" s="549" t="s">
        <v>709</v>
      </c>
      <c r="BJ1069" s="549" t="s">
        <v>709</v>
      </c>
      <c r="BK1069" s="549" t="s">
        <v>116</v>
      </c>
      <c r="BL1069" s="549" t="s">
        <v>116</v>
      </c>
      <c r="BM1069" s="549" t="s">
        <v>709</v>
      </c>
      <c r="BN1069" s="549" t="s">
        <v>709</v>
      </c>
      <c r="BO1069" s="549" t="s">
        <v>709</v>
      </c>
      <c r="BP1069" s="549" t="s">
        <v>709</v>
      </c>
      <c r="BQ1069" s="549">
        <v>139</v>
      </c>
      <c r="BR1069" s="549">
        <v>140</v>
      </c>
      <c r="BS1069" s="549">
        <v>54</v>
      </c>
      <c r="BT1069" s="549" t="s">
        <v>709</v>
      </c>
      <c r="BU1069" s="549" t="s">
        <v>709</v>
      </c>
      <c r="BV1069" s="549" t="s">
        <v>709</v>
      </c>
      <c r="BW1069" s="549">
        <v>1</v>
      </c>
      <c r="BX1069" s="549">
        <v>1</v>
      </c>
      <c r="BY1069" s="549" t="s">
        <v>709</v>
      </c>
      <c r="BZ1069" s="547" t="s">
        <v>709</v>
      </c>
      <c r="CA1069" s="484" t="s">
        <v>1440</v>
      </c>
      <c r="CB1069" s="547">
        <v>1068</v>
      </c>
      <c r="CC1069" s="1481" t="b">
        <v>1</v>
      </c>
      <c r="CD1069" t="str">
        <f>Table15[[#This Row],[Engineering Number]]&amp;Table15[[#This Row],[WO Number]]&amp;Table15[[#This Row],[Date Assigned to Designer]]&amp;Table15[[#This Row],[Date Completed]]</f>
        <v>RS108010119264515545225</v>
      </c>
    </row>
    <row r="1070" spans="1:82" customFormat="1" ht="15" customHeight="1" x14ac:dyDescent="0.25">
      <c r="A1070">
        <v>2023</v>
      </c>
      <c r="B1070" s="8" t="s">
        <v>4</v>
      </c>
      <c r="C1070" s="8" t="s">
        <v>6025</v>
      </c>
      <c r="D1070" s="8" t="s">
        <v>115</v>
      </c>
      <c r="E1070" s="8" t="s">
        <v>141</v>
      </c>
      <c r="F1070" s="8" t="s">
        <v>747</v>
      </c>
      <c r="G1070" s="8" t="s">
        <v>25</v>
      </c>
      <c r="H1070" s="8" t="s">
        <v>1681</v>
      </c>
      <c r="I1070" s="642">
        <v>45118</v>
      </c>
      <c r="J1070" s="18">
        <v>45226</v>
      </c>
      <c r="K1070" s="175">
        <v>45225</v>
      </c>
      <c r="L1070" s="16">
        <f>IF(ISTEXT(Table15[[#This Row],[Engineering Approved Design Date]]),Table15[[#This Row],[Date Completed]]-Table15[[#This Row],[Date Assigned to Designer]],Table15[[#This Row],[Engineering Approved Design Date]]-Table15[[#This Row],[Date Completed]])</f>
        <v>1</v>
      </c>
      <c r="N1070" s="642" t="s">
        <v>120</v>
      </c>
      <c r="O1070" s="1060">
        <v>45231</v>
      </c>
      <c r="P1070" s="1152" t="s">
        <v>739</v>
      </c>
      <c r="Q1070" s="340" t="s">
        <v>115</v>
      </c>
      <c r="R1070" s="1026" t="s">
        <v>115</v>
      </c>
      <c r="S1070" s="538"/>
      <c r="T1070" s="538"/>
      <c r="U1070" s="28"/>
      <c r="V1070" s="858"/>
      <c r="W1070" s="437"/>
      <c r="X1070" s="538"/>
      <c r="Y1070" s="550"/>
      <c r="Z1070" s="538"/>
      <c r="AA1070" s="552">
        <f>SUM(Table15[[#This Row],[PCTS Investment Amount]:[PCTS Retirement Amount]])</f>
        <v>0</v>
      </c>
      <c r="AB1070" s="341" t="s">
        <v>29</v>
      </c>
      <c r="AC1070" s="183" t="s">
        <v>29</v>
      </c>
      <c r="AD1070" s="1157" t="s">
        <v>29</v>
      </c>
      <c r="AE1070" s="568" t="s">
        <v>116</v>
      </c>
      <c r="AF1070" s="568" t="s">
        <v>29</v>
      </c>
      <c r="AG1070" s="568" t="s">
        <v>29</v>
      </c>
      <c r="AH1070" s="183">
        <v>45447</v>
      </c>
      <c r="AI1070" s="1036"/>
      <c r="AJ1070" s="1037"/>
      <c r="AK1070" s="1037"/>
      <c r="AL1070" s="1038"/>
      <c r="AM1070" s="542" t="s">
        <v>709</v>
      </c>
      <c r="AN1070" s="924"/>
      <c r="AO1070" s="925"/>
      <c r="AP1070" s="926"/>
      <c r="AQ1070" s="926"/>
      <c r="AR1070" s="926"/>
      <c r="AS1070" s="926"/>
      <c r="AT1070" s="926"/>
      <c r="AU1070" s="926"/>
      <c r="AV1070" s="926"/>
      <c r="AW1070" s="927"/>
      <c r="AX1070" s="926"/>
      <c r="AY1070" s="1538" t="s">
        <v>29</v>
      </c>
      <c r="AZ1070" s="1530"/>
      <c r="BA1070" s="1068" t="s">
        <v>6026</v>
      </c>
      <c r="BB1070" s="644" t="s">
        <v>961</v>
      </c>
      <c r="BC1070" s="559" t="s">
        <v>116</v>
      </c>
      <c r="BD1070" s="554" t="s">
        <v>757</v>
      </c>
      <c r="BE1070" s="588" t="s">
        <v>757</v>
      </c>
      <c r="BF1070" s="1069" t="s">
        <v>757</v>
      </c>
      <c r="BG1070" s="588" t="s">
        <v>709</v>
      </c>
      <c r="BH1070" s="1172"/>
      <c r="BI1070" s="1032"/>
      <c r="BJ1070" s="1032"/>
      <c r="BK1070" s="1032"/>
      <c r="BL1070" s="1032"/>
      <c r="BM1070" s="1032"/>
      <c r="BN1070" s="1070"/>
      <c r="BO1070" s="1032"/>
      <c r="BP1070" s="1071"/>
      <c r="BQ1070" s="1070"/>
      <c r="BR1070" s="1070"/>
      <c r="BS1070" s="1070"/>
      <c r="BT1070" s="1070"/>
      <c r="BU1070" s="1070"/>
      <c r="BV1070" s="1070"/>
      <c r="BW1070" s="1070"/>
      <c r="BX1070" s="1032"/>
      <c r="BY1070" s="1072"/>
      <c r="BZ1070" s="1072"/>
      <c r="CA1070" s="485" t="s">
        <v>915</v>
      </c>
      <c r="CB1070" s="547">
        <v>1067</v>
      </c>
      <c r="CC1070" s="1481" t="b">
        <v>1</v>
      </c>
      <c r="CD1070" t="str">
        <f>Table15[[#This Row],[Engineering Number]]&amp;Table15[[#This Row],[WO Number]]&amp;Table15[[#This Row],[Date Assigned to Designer]]&amp;Table15[[#This Row],[Date Completed]]</f>
        <v>SC23339-4511845225</v>
      </c>
    </row>
    <row r="1071" spans="1:82" customFormat="1" ht="15" customHeight="1" x14ac:dyDescent="0.25">
      <c r="A1071">
        <v>2023</v>
      </c>
      <c r="B1071" s="8" t="s">
        <v>1205</v>
      </c>
      <c r="C1071" s="8" t="s">
        <v>409</v>
      </c>
      <c r="D1071" s="8">
        <v>1412200</v>
      </c>
      <c r="E1071" s="8" t="s">
        <v>141</v>
      </c>
      <c r="F1071" s="8" t="s">
        <v>6028</v>
      </c>
      <c r="G1071" s="8" t="s">
        <v>219</v>
      </c>
      <c r="H1071" s="8" t="s">
        <v>4001</v>
      </c>
      <c r="I1071" s="642">
        <v>45226</v>
      </c>
      <c r="J1071" s="175" t="s">
        <v>2052</v>
      </c>
      <c r="K1071" s="97">
        <v>45231</v>
      </c>
      <c r="L1071" s="16">
        <f>IF(ISTEXT(Table15[[#This Row],[Engineering Approved Design Date]]),Table15[[#This Row],[Date Completed]]-Table15[[#This Row],[Date Assigned to Designer]],Table15[[#This Row],[Engineering Approved Design Date]]-Table15[[#This Row],[Date Completed]])</f>
        <v>5</v>
      </c>
      <c r="M1071" s="16" t="s">
        <v>6029</v>
      </c>
      <c r="N1071" s="642" t="s">
        <v>120</v>
      </c>
      <c r="O1071" s="1060">
        <v>45261</v>
      </c>
      <c r="P1071" s="1152" t="s">
        <v>120</v>
      </c>
      <c r="Q1071" s="1061">
        <f>Table15[[#This Row],[KH Hourly Effort]]</f>
        <v>3055</v>
      </c>
      <c r="R1071" s="1039" t="s">
        <v>1922</v>
      </c>
      <c r="S1071" s="538">
        <v>0</v>
      </c>
      <c r="T1071" s="538">
        <v>0</v>
      </c>
      <c r="U1071" s="1073">
        <v>3055</v>
      </c>
      <c r="V1071" s="857" t="s">
        <v>29</v>
      </c>
      <c r="W1071" s="440" t="s">
        <v>29</v>
      </c>
      <c r="X1071" s="538"/>
      <c r="Y1071" s="551"/>
      <c r="Z1071" s="538"/>
      <c r="AA1071" s="552">
        <f>SUM(Table15[[#This Row],[PCTS Investment Amount]:[PCTS Retirement Amount]])</f>
        <v>0</v>
      </c>
      <c r="AB1071" s="341" t="s">
        <v>29</v>
      </c>
      <c r="AC1071" s="569"/>
      <c r="AD1071" s="1149" t="s">
        <v>116</v>
      </c>
      <c r="AE1071" s="569" t="s">
        <v>756</v>
      </c>
      <c r="AF1071" s="569" t="s">
        <v>116</v>
      </c>
      <c r="AG1071" s="569" t="s">
        <v>29</v>
      </c>
      <c r="AH1071" s="536" t="s">
        <v>709</v>
      </c>
      <c r="AI1071" s="1028"/>
      <c r="AJ1071" s="1029"/>
      <c r="AK1071" s="1029"/>
      <c r="AL1071" s="1030"/>
      <c r="AM1071" s="542" t="s">
        <v>709</v>
      </c>
      <c r="AN1071" s="924"/>
      <c r="AO1071" s="925"/>
      <c r="AP1071" s="926"/>
      <c r="AQ1071" s="926"/>
      <c r="AR1071" s="926"/>
      <c r="AS1071" s="926"/>
      <c r="AT1071" s="926"/>
      <c r="AU1071" s="926"/>
      <c r="AV1071" s="926"/>
      <c r="AW1071" s="927"/>
      <c r="AX1071" s="926"/>
      <c r="AY1071" s="1538" t="s">
        <v>29</v>
      </c>
      <c r="AZ1071" s="1532"/>
      <c r="BA1071" s="1031">
        <v>2</v>
      </c>
      <c r="BB1071" s="653" t="s">
        <v>116</v>
      </c>
      <c r="BC1071" s="559"/>
      <c r="BD1071" s="554"/>
      <c r="BE1071" s="588"/>
      <c r="BF1071" s="588"/>
      <c r="BG1071" s="548"/>
      <c r="BH1071" s="741"/>
      <c r="BI1071" s="549" t="s">
        <v>709</v>
      </c>
      <c r="BJ1071" s="549" t="s">
        <v>709</v>
      </c>
      <c r="BK1071" s="549" t="s">
        <v>709</v>
      </c>
      <c r="BL1071" s="549" t="s">
        <v>116</v>
      </c>
      <c r="BM1071" s="549" t="s">
        <v>709</v>
      </c>
      <c r="BN1071" s="549" t="s">
        <v>709</v>
      </c>
      <c r="BO1071" s="549" t="s">
        <v>709</v>
      </c>
      <c r="BP1071" s="549">
        <v>463</v>
      </c>
      <c r="BQ1071" s="549" t="s">
        <v>709</v>
      </c>
      <c r="BR1071" s="549" t="s">
        <v>709</v>
      </c>
      <c r="BS1071" s="549" t="s">
        <v>709</v>
      </c>
      <c r="BT1071" s="549" t="s">
        <v>709</v>
      </c>
      <c r="BU1071" s="549" t="s">
        <v>709</v>
      </c>
      <c r="BV1071" s="549" t="s">
        <v>709</v>
      </c>
      <c r="BW1071" s="549" t="s">
        <v>709</v>
      </c>
      <c r="BX1071" s="549" t="s">
        <v>745</v>
      </c>
      <c r="BY1071" s="549" t="s">
        <v>709</v>
      </c>
      <c r="BZ1071" s="547" t="s">
        <v>709</v>
      </c>
      <c r="CA1071" s="484"/>
      <c r="CB1071" s="547">
        <v>1069</v>
      </c>
      <c r="CC1071" s="1481" t="b">
        <v>1</v>
      </c>
      <c r="CD1071" t="str">
        <f>Table15[[#This Row],[Engineering Number]]&amp;Table15[[#This Row],[WO Number]]&amp;Table15[[#This Row],[Date Assigned to Designer]]&amp;Table15[[#This Row],[Date Completed]]</f>
        <v>MR198414122004522645231</v>
      </c>
    </row>
    <row r="1072" spans="1:82" customFormat="1" ht="15" customHeight="1" x14ac:dyDescent="0.25">
      <c r="A1072">
        <v>2024</v>
      </c>
      <c r="B1072" s="8" t="s">
        <v>771</v>
      </c>
      <c r="C1072" s="8" t="s">
        <v>1642</v>
      </c>
      <c r="D1072" s="8" t="s">
        <v>1643</v>
      </c>
      <c r="E1072" s="8" t="s">
        <v>1644</v>
      </c>
      <c r="F1072" s="8" t="s">
        <v>747</v>
      </c>
      <c r="G1072" s="8" t="s">
        <v>32</v>
      </c>
      <c r="H1072" s="8" t="s">
        <v>59</v>
      </c>
      <c r="I1072" s="642">
        <v>44977</v>
      </c>
      <c r="J1072" s="175">
        <v>45233</v>
      </c>
      <c r="K1072" s="97">
        <v>45232</v>
      </c>
      <c r="L1072" s="649">
        <f>IF(ISTEXT(Table15[[#This Row],[Engineering Approved Design Date]]),Table15[[#This Row],[Date Completed]]-Table15[[#This Row],[Date Assigned to Designer]],Table15[[#This Row],[Engineering Approved Design Date]]-Table15[[#This Row],[Date Completed]])</f>
        <v>1</v>
      </c>
      <c r="M1072" s="16"/>
      <c r="N1072" s="642" t="s">
        <v>120</v>
      </c>
      <c r="O1072" s="1060">
        <v>45292</v>
      </c>
      <c r="P1072" s="21" t="s">
        <v>120</v>
      </c>
      <c r="Q1072" s="340">
        <f>Table15[[#This Row],[Rate]]*Table15[[#This Row],[Construction Cost to Bill From]]</f>
        <v>488768.6764</v>
      </c>
      <c r="R1072" s="1039">
        <v>0.04</v>
      </c>
      <c r="S1072" s="538"/>
      <c r="T1072" s="538"/>
      <c r="U1072" s="1101"/>
      <c r="V1072" s="858">
        <v>13516</v>
      </c>
      <c r="W1072" s="437">
        <v>0</v>
      </c>
      <c r="X1072" s="538">
        <v>11635927.51</v>
      </c>
      <c r="Y1072" s="551"/>
      <c r="Z1072" s="556">
        <v>583289.4</v>
      </c>
      <c r="AA1072" s="552">
        <f>SUM(Table15[[#This Row],[PCTS Investment Amount]:[PCTS Retirement Amount]])</f>
        <v>12219216.91</v>
      </c>
      <c r="AB1072" s="341" t="s">
        <v>709</v>
      </c>
      <c r="AC1072" s="568" t="s">
        <v>116</v>
      </c>
      <c r="AD1072" s="1149" t="s">
        <v>116</v>
      </c>
      <c r="AE1072" s="569" t="s">
        <v>709</v>
      </c>
      <c r="AF1072" s="569" t="s">
        <v>116</v>
      </c>
      <c r="AG1072" s="569" t="s">
        <v>709</v>
      </c>
      <c r="AH1072" s="536" t="s">
        <v>709</v>
      </c>
      <c r="AI1072" s="1102"/>
      <c r="AJ1072" s="1103"/>
      <c r="AK1072" s="1103"/>
      <c r="AL1072" s="1104">
        <f>SUM(Table15[[#This Row],[Nicor Initiated DBE]:[Staffing]])/(Table15[[#This Row],[Amount Invoiced]])</f>
        <v>0</v>
      </c>
      <c r="AM1072" s="536" t="s">
        <v>116</v>
      </c>
      <c r="AN1072" s="903" t="s">
        <v>709</v>
      </c>
      <c r="AO1072" s="1536">
        <v>11065457</v>
      </c>
      <c r="AP1072" s="1537"/>
      <c r="AQ1072" s="1537"/>
      <c r="AR1072" s="1537"/>
      <c r="AS1072" s="888">
        <f>IF(Table15[[#This Row],[PCTS Approved]]="N",0,Table15[[#This Row],[Investment Amount (1'#'#'#'#'#)]]+Table15[[#This Row],[Retirement Amount (3'#'#'#'#'#)]])</f>
        <v>0</v>
      </c>
      <c r="AT1072" s="888">
        <f>IF(Table15[[#This Row],[Approved Construction Cost]]=0,0,Table15[[#This Row],[Approved Construction Cost]]-Table15[[#This Row],[Construction Cost to Bill From]])</f>
        <v>0</v>
      </c>
      <c r="AU1072" s="888">
        <f>IFERROR(Table15[[#This Row],[Difference in Construction Cost]]*Table15[[#This Row],[Rate]],Table15[[#This Row],[Difference in Construction Cost]]*0.085)</f>
        <v>0</v>
      </c>
      <c r="AV1072" s="905"/>
      <c r="AW1072" s="1509"/>
      <c r="AX1072" s="888"/>
      <c r="AY1072" s="636" t="s">
        <v>709</v>
      </c>
      <c r="AZ1072" s="333">
        <v>3</v>
      </c>
      <c r="BA1072" s="1031" t="s">
        <v>1645</v>
      </c>
      <c r="BB1072" s="653" t="s">
        <v>1646</v>
      </c>
      <c r="BC1072" s="544"/>
      <c r="BD1072" s="544"/>
      <c r="BE1072" s="544"/>
      <c r="BF1072" s="544"/>
      <c r="BG1072" s="544"/>
      <c r="BH1072" s="741" t="s">
        <v>1647</v>
      </c>
      <c r="BI1072" s="547" t="s">
        <v>709</v>
      </c>
      <c r="BJ1072" s="547" t="s">
        <v>709</v>
      </c>
      <c r="BK1072" s="547" t="s">
        <v>709</v>
      </c>
      <c r="BL1072" s="547" t="s">
        <v>116</v>
      </c>
      <c r="BM1072" s="547">
        <v>0</v>
      </c>
      <c r="BN1072" s="547">
        <v>9540</v>
      </c>
      <c r="BO1072" s="547">
        <v>0</v>
      </c>
      <c r="BP1072" s="547">
        <v>10</v>
      </c>
      <c r="BQ1072" s="547">
        <v>388</v>
      </c>
      <c r="BR1072" s="547">
        <v>2788</v>
      </c>
      <c r="BS1072" s="547">
        <v>790</v>
      </c>
      <c r="BT1072" s="547">
        <v>0</v>
      </c>
      <c r="BU1072" s="549">
        <v>0</v>
      </c>
      <c r="BV1072" s="547">
        <v>0</v>
      </c>
      <c r="BW1072" s="547">
        <v>0</v>
      </c>
      <c r="BX1072" s="547">
        <v>0</v>
      </c>
      <c r="BY1072" s="547">
        <v>0</v>
      </c>
      <c r="BZ1072" s="547" t="s">
        <v>709</v>
      </c>
      <c r="CA1072" s="484"/>
      <c r="CB1072" s="547">
        <v>1070</v>
      </c>
      <c r="CC1072" s="1481" t="b">
        <v>1</v>
      </c>
      <c r="CD1072" t="str">
        <f>Table15[[#This Row],[Engineering Number]]&amp;Table15[[#This Row],[WO Number]]&amp;Table15[[#This Row],[Date Assigned to Designer]]&amp;Table15[[#This Row],[Date Completed]]</f>
        <v>BS58812124134497745232</v>
      </c>
    </row>
    <row r="1073" spans="1:82" customFormat="1" ht="15" customHeight="1" x14ac:dyDescent="0.25">
      <c r="A1073" s="13">
        <v>2023</v>
      </c>
      <c r="B1073" t="s">
        <v>771</v>
      </c>
      <c r="C1073" t="s">
        <v>1642</v>
      </c>
      <c r="D1073" s="8" t="s">
        <v>1643</v>
      </c>
      <c r="E1073" t="s">
        <v>1644</v>
      </c>
      <c r="F1073" s="8" t="s">
        <v>747</v>
      </c>
      <c r="G1073" s="8" t="s">
        <v>32</v>
      </c>
      <c r="H1073" t="s">
        <v>4450</v>
      </c>
      <c r="I1073" s="642">
        <v>45119</v>
      </c>
      <c r="J1073" s="11" t="s">
        <v>2612</v>
      </c>
      <c r="K1073" s="642">
        <v>45232</v>
      </c>
      <c r="L1073" s="649">
        <f>IF(ISTEXT(Table15[[#This Row],[Engineering Approved Design Date]]),Table15[[#This Row],[Date Completed]]-Table15[[#This Row],[Date Assigned to Designer]],Table15[[#This Row],[Engineering Approved Design Date]]-Table15[[#This Row],[Date Completed]])</f>
        <v>113</v>
      </c>
      <c r="M1073" t="s">
        <v>6031</v>
      </c>
      <c r="N1073" s="642" t="s">
        <v>120</v>
      </c>
      <c r="O1073" s="1060">
        <v>45323</v>
      </c>
      <c r="P1073" s="21" t="s">
        <v>120</v>
      </c>
      <c r="Q1073" s="1061">
        <f>Table15[[#This Row],[KH Hourly Effort]]</f>
        <v>44895</v>
      </c>
      <c r="R1073" s="1039" t="s">
        <v>1922</v>
      </c>
      <c r="S1073" s="538">
        <v>0</v>
      </c>
      <c r="T1073" s="538">
        <v>0</v>
      </c>
      <c r="U1073" s="28">
        <v>44895</v>
      </c>
      <c r="V1073" s="857"/>
      <c r="W1073" s="440"/>
      <c r="X1073" s="538"/>
      <c r="Y1073" s="550"/>
      <c r="Z1073" s="538"/>
      <c r="AA1073" s="561"/>
      <c r="AB1073" s="341"/>
      <c r="AC1073" s="568"/>
      <c r="AD1073" s="1158" t="s">
        <v>29</v>
      </c>
      <c r="AE1073" s="576" t="s">
        <v>709</v>
      </c>
      <c r="AF1073" s="574"/>
      <c r="AG1073" s="574"/>
      <c r="AH1073" s="566"/>
      <c r="AI1073" s="1116"/>
      <c r="AJ1073" s="1117"/>
      <c r="AK1073" s="1117"/>
      <c r="AL1073" s="1118">
        <f>SUM(Table15[[#This Row],[Nicor Initiated DBE]:[Staffing]])/(Table15[[#This Row],[Amount Invoiced]])</f>
        <v>0</v>
      </c>
      <c r="AM1073" s="542" t="s">
        <v>709</v>
      </c>
      <c r="AN1073" s="924"/>
      <c r="AO1073" s="925"/>
      <c r="AP1073" s="926"/>
      <c r="AQ1073" s="926"/>
      <c r="AR1073" s="926"/>
      <c r="AS1073" s="926"/>
      <c r="AT1073" s="926"/>
      <c r="AU1073" s="926"/>
      <c r="AV1073" s="926"/>
      <c r="AW1073" s="927"/>
      <c r="AX1073" s="926"/>
      <c r="AY1073" s="1538" t="s">
        <v>29</v>
      </c>
      <c r="AZ1073" s="1530"/>
      <c r="BA1073" s="1031"/>
      <c r="BB1073" s="543"/>
      <c r="BC1073" s="544"/>
      <c r="BD1073" s="544"/>
      <c r="BE1073" s="544"/>
      <c r="BF1073" s="544"/>
      <c r="BG1073" s="544"/>
      <c r="BH1073" s="741"/>
      <c r="BI1073" s="547" t="s">
        <v>709</v>
      </c>
      <c r="BJ1073" s="547" t="s">
        <v>709</v>
      </c>
      <c r="BK1073" s="547" t="s">
        <v>709</v>
      </c>
      <c r="BL1073" s="547" t="s">
        <v>116</v>
      </c>
      <c r="BM1073" s="547">
        <v>0</v>
      </c>
      <c r="BN1073" s="547">
        <v>9557</v>
      </c>
      <c r="BO1073" s="547">
        <v>0</v>
      </c>
      <c r="BP1073" s="547">
        <v>0</v>
      </c>
      <c r="BQ1073" s="547">
        <v>203</v>
      </c>
      <c r="BR1073" s="547">
        <v>2955</v>
      </c>
      <c r="BS1073" s="547">
        <v>801</v>
      </c>
      <c r="BT1073" s="547">
        <v>0</v>
      </c>
      <c r="BU1073" s="549">
        <v>0</v>
      </c>
      <c r="BV1073" s="547">
        <v>0</v>
      </c>
      <c r="BW1073" s="547">
        <v>0</v>
      </c>
      <c r="BX1073" s="547">
        <v>0</v>
      </c>
      <c r="BY1073" s="547">
        <v>0</v>
      </c>
      <c r="BZ1073" s="547" t="s">
        <v>709</v>
      </c>
      <c r="CA1073" s="483"/>
      <c r="CB1073" s="547">
        <v>1071</v>
      </c>
      <c r="CC1073" s="1481" t="b">
        <v>1</v>
      </c>
      <c r="CD1073" t="str">
        <f>Table15[[#This Row],[Engineering Number]]&amp;Table15[[#This Row],[WO Number]]&amp;Table15[[#This Row],[Date Assigned to Designer]]&amp;Table15[[#This Row],[Date Completed]]</f>
        <v>BS58812124134511945232</v>
      </c>
    </row>
    <row r="1074" spans="1:82" customFormat="1" ht="15" customHeight="1" x14ac:dyDescent="0.25">
      <c r="A1074">
        <v>2023</v>
      </c>
      <c r="B1074" s="8" t="s">
        <v>4</v>
      </c>
      <c r="C1074" s="8" t="s">
        <v>6034</v>
      </c>
      <c r="D1074" s="8" t="s">
        <v>6035</v>
      </c>
      <c r="E1074" s="8" t="s">
        <v>232</v>
      </c>
      <c r="F1074" s="8" t="s">
        <v>747</v>
      </c>
      <c r="G1074" s="8" t="s">
        <v>27</v>
      </c>
      <c r="H1074" s="8" t="s">
        <v>59</v>
      </c>
      <c r="I1074" s="642">
        <v>45120</v>
      </c>
      <c r="J1074" s="18">
        <v>45237</v>
      </c>
      <c r="K1074" s="97">
        <v>45237</v>
      </c>
      <c r="L1074" s="649">
        <f>IF(ISTEXT(Table15[[#This Row],[Engineering Approved Design Date]]),Table15[[#This Row],[Date Completed]]-Table15[[#This Row],[Date Assigned to Designer]],Table15[[#This Row],[Engineering Approved Design Date]]-Table15[[#This Row],[Date Completed]])</f>
        <v>0</v>
      </c>
      <c r="M1074" s="642"/>
      <c r="N1074" s="642" t="s">
        <v>120</v>
      </c>
      <c r="O1074" s="1060">
        <v>45261</v>
      </c>
      <c r="P1074" s="1152" t="s">
        <v>739</v>
      </c>
      <c r="Q1074" s="340">
        <f>Table15[[#This Row],[Rate]]*Table15[[#This Row],[Construction Cost to Bill From]]</f>
        <v>105830.48299999999</v>
      </c>
      <c r="R1074" s="1026">
        <v>0.1</v>
      </c>
      <c r="S1074" s="538"/>
      <c r="T1074" s="538"/>
      <c r="U1074" s="87"/>
      <c r="V1074" s="858">
        <v>3107</v>
      </c>
      <c r="W1074" s="437">
        <v>0</v>
      </c>
      <c r="X1074" s="538">
        <v>956487.19</v>
      </c>
      <c r="Y1074" s="551"/>
      <c r="Z1074" s="552">
        <v>101817.64</v>
      </c>
      <c r="AA1074" s="552">
        <f>SUM(Table15[[#This Row],[PCTS Investment Amount]:[PCTS Retirement Amount]])</f>
        <v>1058304.8299999998</v>
      </c>
      <c r="AB1074" s="341">
        <v>45224</v>
      </c>
      <c r="AC1074" s="568" t="s">
        <v>29</v>
      </c>
      <c r="AD1074" s="1157" t="s">
        <v>29</v>
      </c>
      <c r="AE1074" s="568" t="s">
        <v>116</v>
      </c>
      <c r="AF1074" s="568" t="s">
        <v>756</v>
      </c>
      <c r="AG1074" s="183" t="s">
        <v>116</v>
      </c>
      <c r="AH1074" s="183">
        <v>45366</v>
      </c>
      <c r="AI1074" s="1036"/>
      <c r="AJ1074" s="1037"/>
      <c r="AK1074" s="1037"/>
      <c r="AL1074" s="1038"/>
      <c r="AM1074" s="1522" t="s">
        <v>116</v>
      </c>
      <c r="AN1074" s="1523">
        <v>45288</v>
      </c>
      <c r="AO1074" s="1524">
        <v>1413063</v>
      </c>
      <c r="AP1074" s="1525">
        <v>956487.19</v>
      </c>
      <c r="AQ1074" s="1525"/>
      <c r="AR1074" s="1525">
        <v>101817.64</v>
      </c>
      <c r="AS1074" s="1525">
        <f>IF(Table15[[#This Row],[PCTS Approved]]="N",0,Table15[[#This Row],[Investment Amount (1'#'#'#'#'#)]]+Table15[[#This Row],[Retirement Amount (3'#'#'#'#'#)]])</f>
        <v>1058304.8299999998</v>
      </c>
      <c r="AT1074" s="1525">
        <f>IF(Table15[[#This Row],[Approved Construction Cost]]=0,0,Table15[[#This Row],[Approved Construction Cost]]-Table15[[#This Row],[Construction Cost to Bill From]])</f>
        <v>0</v>
      </c>
      <c r="AU1074" s="1525">
        <f>IFERROR(Table15[[#This Row],[Difference in Construction Cost]]*Table15[[#This Row],[Rate]],Table15[[#This Row],[Difference in Construction Cost]]*0.085)</f>
        <v>0</v>
      </c>
      <c r="AV1074" s="1525" t="s">
        <v>709</v>
      </c>
      <c r="AW1074" s="1526"/>
      <c r="AX1074" s="1525">
        <v>0</v>
      </c>
      <c r="AY1074" s="1518">
        <v>45352</v>
      </c>
      <c r="AZ1074" s="1532"/>
      <c r="BA1074" s="1074" t="s">
        <v>6036</v>
      </c>
      <c r="BB1074" s="644" t="s">
        <v>1045</v>
      </c>
      <c r="BC1074" s="559" t="s">
        <v>709</v>
      </c>
      <c r="BD1074" s="554" t="s">
        <v>709</v>
      </c>
      <c r="BE1074" s="588" t="s">
        <v>595</v>
      </c>
      <c r="BF1074" s="588" t="s">
        <v>709</v>
      </c>
      <c r="BG1074" s="548" t="s">
        <v>709</v>
      </c>
      <c r="BH1074" s="749" t="s">
        <v>6037</v>
      </c>
      <c r="BI1074" s="547" t="s">
        <v>709</v>
      </c>
      <c r="BJ1074" s="547" t="s">
        <v>709</v>
      </c>
      <c r="BK1074" s="547" t="s">
        <v>709</v>
      </c>
      <c r="BL1074" s="547" t="s">
        <v>116</v>
      </c>
      <c r="BM1074" s="547" t="s">
        <v>709</v>
      </c>
      <c r="BN1074" s="547" t="s">
        <v>709</v>
      </c>
      <c r="BO1074" s="547" t="s">
        <v>709</v>
      </c>
      <c r="BP1074" s="547" t="s">
        <v>709</v>
      </c>
      <c r="BQ1074" s="547">
        <v>2860</v>
      </c>
      <c r="BR1074" s="547">
        <v>217</v>
      </c>
      <c r="BS1074" s="547">
        <v>17</v>
      </c>
      <c r="BT1074" s="547" t="s">
        <v>709</v>
      </c>
      <c r="BU1074" s="547" t="s">
        <v>709</v>
      </c>
      <c r="BV1074" s="547" t="s">
        <v>709</v>
      </c>
      <c r="BW1074" s="547" t="s">
        <v>709</v>
      </c>
      <c r="BX1074" s="547" t="s">
        <v>745</v>
      </c>
      <c r="BY1074" s="547" t="s">
        <v>709</v>
      </c>
      <c r="BZ1074" s="547" t="s">
        <v>709</v>
      </c>
      <c r="CA1074" s="483"/>
      <c r="CB1074" s="547">
        <v>1072</v>
      </c>
      <c r="CC1074" s="1481" t="b">
        <v>1</v>
      </c>
      <c r="CD1074" t="str">
        <f>Table15[[#This Row],[Engineering Number]]&amp;Table15[[#This Row],[WO Number]]&amp;Table15[[#This Row],[Date Assigned to Designer]]&amp;Table15[[#This Row],[Date Completed]]</f>
        <v>SC2328114130634512045237</v>
      </c>
    </row>
    <row r="1075" spans="1:82" customFormat="1" ht="15" customHeight="1" x14ac:dyDescent="0.25">
      <c r="A1075">
        <v>2023</v>
      </c>
      <c r="B1075" s="8" t="s">
        <v>4</v>
      </c>
      <c r="C1075" s="8" t="s">
        <v>6039</v>
      </c>
      <c r="D1075" s="8" t="s">
        <v>6040</v>
      </c>
      <c r="E1075" s="8" t="s">
        <v>232</v>
      </c>
      <c r="F1075" s="8" t="s">
        <v>747</v>
      </c>
      <c r="G1075" s="8" t="s">
        <v>27</v>
      </c>
      <c r="H1075" s="8" t="s">
        <v>59</v>
      </c>
      <c r="I1075" s="642">
        <v>45120</v>
      </c>
      <c r="J1075" s="18">
        <v>45237</v>
      </c>
      <c r="K1075" s="97">
        <v>45237</v>
      </c>
      <c r="L1075" s="16">
        <f>IF(ISTEXT(Table15[[#This Row],[Engineering Approved Design Date]]),Table15[[#This Row],[Date Completed]]-Table15[[#This Row],[Date Assigned to Designer]],Table15[[#This Row],[Engineering Approved Design Date]]-Table15[[#This Row],[Date Completed]])</f>
        <v>0</v>
      </c>
      <c r="M1075" s="642"/>
      <c r="N1075" s="642" t="s">
        <v>120</v>
      </c>
      <c r="O1075" s="1060">
        <v>45261</v>
      </c>
      <c r="P1075" s="1152" t="s">
        <v>739</v>
      </c>
      <c r="Q1075" s="340">
        <f>Table15[[#This Row],[Rate]]*Table15[[#This Row],[Construction Cost to Bill From]]</f>
        <v>15888.843000000001</v>
      </c>
      <c r="R1075" s="1026">
        <v>0.1</v>
      </c>
      <c r="S1075" s="538"/>
      <c r="T1075" s="538"/>
      <c r="U1075" s="87"/>
      <c r="V1075" s="858">
        <v>150</v>
      </c>
      <c r="W1075" s="437">
        <v>0</v>
      </c>
      <c r="X1075" s="538">
        <v>83397.8</v>
      </c>
      <c r="Y1075" s="551"/>
      <c r="Z1075" s="552">
        <v>75490.63</v>
      </c>
      <c r="AA1075" s="552">
        <f>SUM(Table15[[#This Row],[PCTS Investment Amount]:[PCTS Retirement Amount]])</f>
        <v>158888.43</v>
      </c>
      <c r="AB1075" s="341">
        <v>45224</v>
      </c>
      <c r="AC1075" s="568" t="s">
        <v>29</v>
      </c>
      <c r="AD1075" s="1157" t="s">
        <v>29</v>
      </c>
      <c r="AE1075" s="568" t="s">
        <v>116</v>
      </c>
      <c r="AF1075" s="568" t="s">
        <v>756</v>
      </c>
      <c r="AG1075" s="569" t="s">
        <v>116</v>
      </c>
      <c r="AH1075" s="183">
        <v>45366</v>
      </c>
      <c r="AI1075" s="1036"/>
      <c r="AJ1075" s="1037"/>
      <c r="AK1075" s="1037"/>
      <c r="AL1075" s="1038"/>
      <c r="AM1075" s="1522" t="s">
        <v>116</v>
      </c>
      <c r="AN1075" s="1523">
        <v>45288</v>
      </c>
      <c r="AO1075" s="1524">
        <v>1413064</v>
      </c>
      <c r="AP1075" s="1525">
        <v>83397.8</v>
      </c>
      <c r="AQ1075" s="1525"/>
      <c r="AR1075" s="1525">
        <v>75490.63</v>
      </c>
      <c r="AS1075" s="1525">
        <f>IF(Table15[[#This Row],[PCTS Approved]]="N",0,Table15[[#This Row],[Investment Amount (1'#'#'#'#'#)]]+Table15[[#This Row],[Retirement Amount (3'#'#'#'#'#)]])</f>
        <v>158888.43</v>
      </c>
      <c r="AT1075" s="1525">
        <f>IF(Table15[[#This Row],[Approved Construction Cost]]=0,0,Table15[[#This Row],[Approved Construction Cost]]-Table15[[#This Row],[Construction Cost to Bill From]])</f>
        <v>0</v>
      </c>
      <c r="AU1075" s="1525">
        <f>IFERROR(Table15[[#This Row],[Difference in Construction Cost]]*Table15[[#This Row],[Rate]],Table15[[#This Row],[Difference in Construction Cost]]*0.085)</f>
        <v>0</v>
      </c>
      <c r="AV1075" s="1525" t="s">
        <v>709</v>
      </c>
      <c r="AW1075" s="1526"/>
      <c r="AX1075" s="1525">
        <v>0</v>
      </c>
      <c r="AY1075" s="1518">
        <v>45352</v>
      </c>
      <c r="AZ1075" s="1532"/>
      <c r="BA1075" s="1074" t="s">
        <v>6041</v>
      </c>
      <c r="BB1075" s="644" t="s">
        <v>1045</v>
      </c>
      <c r="BC1075" s="559" t="s">
        <v>709</v>
      </c>
      <c r="BD1075" s="554" t="s">
        <v>709</v>
      </c>
      <c r="BE1075" s="588" t="s">
        <v>595</v>
      </c>
      <c r="BF1075" s="588" t="s">
        <v>709</v>
      </c>
      <c r="BG1075" s="548" t="s">
        <v>709</v>
      </c>
      <c r="BH1075" s="749" t="s">
        <v>6037</v>
      </c>
      <c r="BI1075" s="547" t="s">
        <v>709</v>
      </c>
      <c r="BJ1075" s="547" t="s">
        <v>709</v>
      </c>
      <c r="BK1075" s="547" t="s">
        <v>709</v>
      </c>
      <c r="BL1075" s="547" t="s">
        <v>116</v>
      </c>
      <c r="BM1075" s="547" t="s">
        <v>709</v>
      </c>
      <c r="BN1075" s="547" t="s">
        <v>709</v>
      </c>
      <c r="BO1075" s="547" t="s">
        <v>709</v>
      </c>
      <c r="BP1075" s="547" t="s">
        <v>709</v>
      </c>
      <c r="BQ1075" s="547">
        <v>150</v>
      </c>
      <c r="BR1075" s="547" t="s">
        <v>709</v>
      </c>
      <c r="BS1075" s="547" t="s">
        <v>709</v>
      </c>
      <c r="BT1075" s="547" t="s">
        <v>709</v>
      </c>
      <c r="BU1075" s="547" t="s">
        <v>709</v>
      </c>
      <c r="BV1075" s="547" t="s">
        <v>709</v>
      </c>
      <c r="BW1075" s="547" t="s">
        <v>709</v>
      </c>
      <c r="BX1075" s="547" t="s">
        <v>745</v>
      </c>
      <c r="BY1075" s="547" t="s">
        <v>709</v>
      </c>
      <c r="BZ1075" s="547" t="s">
        <v>709</v>
      </c>
      <c r="CA1075" s="483"/>
      <c r="CB1075" s="547">
        <v>1073</v>
      </c>
      <c r="CC1075" s="1481" t="b">
        <v>1</v>
      </c>
      <c r="CD1075" t="str">
        <f>Table15[[#This Row],[Engineering Number]]&amp;Table15[[#This Row],[WO Number]]&amp;Table15[[#This Row],[Date Assigned to Designer]]&amp;Table15[[#This Row],[Date Completed]]</f>
        <v>SC23281-114130644512045237</v>
      </c>
    </row>
    <row r="1076" spans="1:82" customFormat="1" ht="15" customHeight="1" x14ac:dyDescent="0.25">
      <c r="A1076" s="13">
        <v>2023</v>
      </c>
      <c r="B1076" t="s">
        <v>1205</v>
      </c>
      <c r="C1076" t="s">
        <v>6001</v>
      </c>
      <c r="D1076" s="13">
        <v>1213045</v>
      </c>
      <c r="E1076" t="s">
        <v>108</v>
      </c>
      <c r="F1076" t="s">
        <v>784</v>
      </c>
      <c r="G1076" t="s">
        <v>32</v>
      </c>
      <c r="H1076" t="s">
        <v>4189</v>
      </c>
      <c r="I1076" s="642">
        <v>45230</v>
      </c>
      <c r="J1076" s="175" t="s">
        <v>2052</v>
      </c>
      <c r="K1076" s="97">
        <v>45238</v>
      </c>
      <c r="L1076" s="16">
        <f>IF(ISTEXT(Table15[[#This Row],[Engineering Approved Design Date]]),Table15[[#This Row],[Date Completed]]-Table15[[#This Row],[Date Assigned to Designer]],Table15[[#This Row],[Engineering Approved Design Date]]-Table15[[#This Row],[Date Completed]])</f>
        <v>8</v>
      </c>
      <c r="M1076" s="13" t="s">
        <v>6043</v>
      </c>
      <c r="N1076" s="642" t="s">
        <v>120</v>
      </c>
      <c r="O1076" s="1060">
        <v>45261</v>
      </c>
      <c r="P1076" s="1152" t="s">
        <v>120</v>
      </c>
      <c r="Q1076" s="1061">
        <f>Table15[[#This Row],[KH Hourly Effort]]</f>
        <v>3795</v>
      </c>
      <c r="R1076" s="1039" t="s">
        <v>1922</v>
      </c>
      <c r="S1076" s="552">
        <v>0</v>
      </c>
      <c r="T1076" s="552">
        <v>0</v>
      </c>
      <c r="U1076" s="300">
        <v>3795</v>
      </c>
      <c r="V1076" s="1190">
        <v>1508</v>
      </c>
      <c r="W1076" s="442">
        <v>0</v>
      </c>
      <c r="X1076" s="552"/>
      <c r="Y1076" s="570"/>
      <c r="Z1076" s="552"/>
      <c r="AA1076" s="552"/>
      <c r="AB1076" s="476" t="s">
        <v>29</v>
      </c>
      <c r="AC1076" s="576" t="s">
        <v>709</v>
      </c>
      <c r="AD1076" s="1158" t="s">
        <v>709</v>
      </c>
      <c r="AE1076" s="576" t="s">
        <v>709</v>
      </c>
      <c r="AF1076" s="576"/>
      <c r="AG1076" s="576" t="s">
        <v>29</v>
      </c>
      <c r="AH1076" s="573" t="s">
        <v>29</v>
      </c>
      <c r="AI1076" s="1047"/>
      <c r="AJ1076" s="1048"/>
      <c r="AK1076" s="1048"/>
      <c r="AL1076" s="1049"/>
      <c r="AM1076" s="542" t="s">
        <v>709</v>
      </c>
      <c r="AN1076" s="924"/>
      <c r="AO1076" s="925"/>
      <c r="AP1076" s="926"/>
      <c r="AQ1076" s="926"/>
      <c r="AR1076" s="926"/>
      <c r="AS1076" s="926"/>
      <c r="AT1076" s="926"/>
      <c r="AU1076" s="926"/>
      <c r="AV1076" s="926"/>
      <c r="AW1076" s="927"/>
      <c r="AX1076" s="926"/>
      <c r="AY1076" s="1538" t="s">
        <v>29</v>
      </c>
      <c r="AZ1076" s="1532"/>
      <c r="BA1076" s="1075">
        <v>4</v>
      </c>
      <c r="BB1076" s="543"/>
      <c r="BC1076" s="559"/>
      <c r="BD1076" s="554"/>
      <c r="BE1076" s="588"/>
      <c r="BF1076" s="588"/>
      <c r="BG1076" s="548"/>
      <c r="BH1076" s="741"/>
      <c r="BI1076" s="547" t="s">
        <v>709</v>
      </c>
      <c r="BJ1076" s="547" t="s">
        <v>709</v>
      </c>
      <c r="BK1076" s="547" t="s">
        <v>709</v>
      </c>
      <c r="BL1076" s="547" t="s">
        <v>116</v>
      </c>
      <c r="BM1076" s="547">
        <v>0</v>
      </c>
      <c r="BN1076" s="547">
        <v>0</v>
      </c>
      <c r="BO1076" s="547">
        <v>0</v>
      </c>
      <c r="BP1076" s="547">
        <v>0</v>
      </c>
      <c r="BQ1076" s="547">
        <v>1327</v>
      </c>
      <c r="BR1076" s="547">
        <v>141</v>
      </c>
      <c r="BS1076" s="547">
        <v>40</v>
      </c>
      <c r="BT1076" s="547">
        <v>0</v>
      </c>
      <c r="BU1076" s="549">
        <v>0</v>
      </c>
      <c r="BV1076" s="547">
        <v>0</v>
      </c>
      <c r="BW1076" s="547">
        <v>0</v>
      </c>
      <c r="BX1076" s="547">
        <v>0</v>
      </c>
      <c r="BY1076" s="547">
        <v>0</v>
      </c>
      <c r="BZ1076" s="547" t="s">
        <v>709</v>
      </c>
      <c r="CA1076" s="483"/>
      <c r="CB1076" s="547">
        <v>1074</v>
      </c>
      <c r="CC1076" s="1481" t="b">
        <v>1</v>
      </c>
      <c r="CD1076" t="str">
        <f>Table15[[#This Row],[Engineering Number]]&amp;Table15[[#This Row],[WO Number]]&amp;Table15[[#This Row],[Date Assigned to Designer]]&amp;Table15[[#This Row],[Date Completed]]</f>
        <v>MR203012130454523045238</v>
      </c>
    </row>
    <row r="1077" spans="1:82" customFormat="1" ht="15" customHeight="1" x14ac:dyDescent="0.25">
      <c r="A1077">
        <v>2024</v>
      </c>
      <c r="B1077" s="8" t="s">
        <v>4</v>
      </c>
      <c r="C1077" s="8" t="s">
        <v>6048</v>
      </c>
      <c r="D1077" s="8" t="s">
        <v>6049</v>
      </c>
      <c r="E1077" s="8" t="s">
        <v>354</v>
      </c>
      <c r="F1077" s="8" t="s">
        <v>5661</v>
      </c>
      <c r="G1077" s="8" t="s">
        <v>27</v>
      </c>
      <c r="H1077" s="13" t="s">
        <v>59</v>
      </c>
      <c r="I1077" s="642">
        <v>45104</v>
      </c>
      <c r="J1077" s="18">
        <v>45239</v>
      </c>
      <c r="K1077" s="175">
        <v>45239</v>
      </c>
      <c r="L1077" s="649">
        <f>IF(ISTEXT(Table15[[#This Row],[Engineering Approved Design Date]]),Table15[[#This Row],[Date Completed]]-Table15[[#This Row],[Date Assigned to Designer]],Table15[[#This Row],[Engineering Approved Design Date]]-Table15[[#This Row],[Date Completed]])</f>
        <v>0</v>
      </c>
      <c r="M1077" s="642" t="s">
        <v>6050</v>
      </c>
      <c r="N1077" s="642" t="s">
        <v>120</v>
      </c>
      <c r="O1077" s="1060">
        <v>45261</v>
      </c>
      <c r="P1077" s="1152" t="s">
        <v>739</v>
      </c>
      <c r="Q1077" s="340">
        <f>Table15[[#This Row],[KH Hourly Effort]]</f>
        <v>82322.5</v>
      </c>
      <c r="R1077" s="1026" t="s">
        <v>1922</v>
      </c>
      <c r="S1077" s="538" t="s">
        <v>709</v>
      </c>
      <c r="T1077" s="538">
        <v>0</v>
      </c>
      <c r="U1077" s="87">
        <v>82322.5</v>
      </c>
      <c r="V1077" s="858">
        <v>797</v>
      </c>
      <c r="W1077" s="437">
        <v>0</v>
      </c>
      <c r="X1077" s="552">
        <v>527328.43000000005</v>
      </c>
      <c r="Y1077" s="551"/>
      <c r="Z1077" s="552">
        <v>50157</v>
      </c>
      <c r="AA1077" s="552" t="s">
        <v>915</v>
      </c>
      <c r="AB1077" s="341">
        <v>45236</v>
      </c>
      <c r="AC1077" s="568" t="s">
        <v>116</v>
      </c>
      <c r="AD1077" s="1157" t="s">
        <v>29</v>
      </c>
      <c r="AE1077" s="568" t="s">
        <v>116</v>
      </c>
      <c r="AF1077" s="568" t="s">
        <v>756</v>
      </c>
      <c r="AG1077" s="568" t="s">
        <v>116</v>
      </c>
      <c r="AH1077" s="183">
        <v>45272</v>
      </c>
      <c r="AI1077" s="1036"/>
      <c r="AJ1077" s="1037"/>
      <c r="AK1077" s="1037"/>
      <c r="AL1077" s="1038"/>
      <c r="AM1077" s="542" t="s">
        <v>709</v>
      </c>
      <c r="AN1077" s="924"/>
      <c r="AO1077" s="925"/>
      <c r="AP1077" s="926"/>
      <c r="AQ1077" s="926"/>
      <c r="AR1077" s="926"/>
      <c r="AS1077" s="926"/>
      <c r="AT1077" s="926"/>
      <c r="AU1077" s="926"/>
      <c r="AV1077" s="926"/>
      <c r="AW1077" s="927"/>
      <c r="AX1077" s="926"/>
      <c r="AY1077" s="1538" t="s">
        <v>29</v>
      </c>
      <c r="AZ1077" s="1530"/>
      <c r="BA1077" s="859" t="s">
        <v>6051</v>
      </c>
      <c r="BB1077" s="644" t="s">
        <v>6052</v>
      </c>
      <c r="BC1077" s="544" t="s">
        <v>116</v>
      </c>
      <c r="BD1077" s="544" t="s">
        <v>709</v>
      </c>
      <c r="BE1077" s="544" t="s">
        <v>116</v>
      </c>
      <c r="BF1077" s="544" t="s">
        <v>709</v>
      </c>
      <c r="BG1077" s="548" t="s">
        <v>709</v>
      </c>
      <c r="BH1077" s="749" t="s">
        <v>6053</v>
      </c>
      <c r="BI1077" s="547" t="s">
        <v>116</v>
      </c>
      <c r="BJ1077" s="547" t="s">
        <v>709</v>
      </c>
      <c r="BK1077" s="547" t="s">
        <v>709</v>
      </c>
      <c r="BL1077" s="547" t="s">
        <v>709</v>
      </c>
      <c r="BM1077" s="547" t="s">
        <v>709</v>
      </c>
      <c r="BN1077" s="547">
        <v>797</v>
      </c>
      <c r="BO1077" s="547" t="s">
        <v>709</v>
      </c>
      <c r="BP1077" s="547" t="s">
        <v>709</v>
      </c>
      <c r="BQ1077" s="547" t="s">
        <v>709</v>
      </c>
      <c r="BR1077" s="547" t="s">
        <v>709</v>
      </c>
      <c r="BS1077" s="547" t="s">
        <v>709</v>
      </c>
      <c r="BT1077" s="547" t="s">
        <v>745</v>
      </c>
      <c r="BU1077" s="547" t="s">
        <v>709</v>
      </c>
      <c r="BV1077" s="547" t="s">
        <v>709</v>
      </c>
      <c r="BW1077" s="547" t="s">
        <v>709</v>
      </c>
      <c r="BX1077" s="547" t="s">
        <v>709</v>
      </c>
      <c r="BY1077" s="547" t="s">
        <v>745</v>
      </c>
      <c r="BZ1077" s="547" t="s">
        <v>709</v>
      </c>
      <c r="CA1077" s="483"/>
      <c r="CB1077" s="547">
        <v>1077</v>
      </c>
      <c r="CC1077" s="1481" t="b">
        <v>1</v>
      </c>
      <c r="CD1077" t="str">
        <f>Table15[[#This Row],[Engineering Number]]&amp;Table15[[#This Row],[WO Number]]&amp;Table15[[#This Row],[Date Assigned to Designer]]&amp;Table15[[#This Row],[Date Completed]]</f>
        <v>N15837-112132244510445239</v>
      </c>
    </row>
    <row r="1078" spans="1:82" customFormat="1" ht="15" customHeight="1" x14ac:dyDescent="0.25">
      <c r="A1078">
        <v>2024</v>
      </c>
      <c r="B1078" s="8" t="s">
        <v>759</v>
      </c>
      <c r="C1078" s="8" t="s">
        <v>1654</v>
      </c>
      <c r="D1078" s="8" t="s">
        <v>1655</v>
      </c>
      <c r="E1078" s="8" t="s">
        <v>1149</v>
      </c>
      <c r="F1078" s="8" t="s">
        <v>752</v>
      </c>
      <c r="G1078" s="8" t="s">
        <v>34</v>
      </c>
      <c r="H1078" s="13" t="s">
        <v>59</v>
      </c>
      <c r="I1078" s="642">
        <v>45103</v>
      </c>
      <c r="J1078" s="18">
        <v>45240</v>
      </c>
      <c r="K1078" s="97">
        <v>45239</v>
      </c>
      <c r="L1078" s="16">
        <f>IF(ISTEXT(Table15[[#This Row],[Engineering Approved Design Date]]),Table15[[#This Row],[Date Completed]]-Table15[[#This Row],[Date Assigned to Designer]],Table15[[#This Row],[Engineering Approved Design Date]]-Table15[[#This Row],[Date Completed]])</f>
        <v>1</v>
      </c>
      <c r="M1078" s="642"/>
      <c r="N1078" s="642" t="s">
        <v>120</v>
      </c>
      <c r="O1078" s="1060">
        <v>45261</v>
      </c>
      <c r="P1078" s="1152" t="s">
        <v>120</v>
      </c>
      <c r="Q1078" s="340">
        <f>Table15[[#This Row],[Rate]]*Table15[[#This Row],[Construction Cost to Bill From]]</f>
        <v>141816.94339999999</v>
      </c>
      <c r="R1078" s="1026">
        <v>0.11</v>
      </c>
      <c r="S1078" s="538"/>
      <c r="T1078" s="538"/>
      <c r="U1078" s="87"/>
      <c r="V1078" s="858">
        <v>1578</v>
      </c>
      <c r="W1078" s="437">
        <v>3</v>
      </c>
      <c r="X1078" s="552">
        <v>1112237.6399999999</v>
      </c>
      <c r="Y1078" s="551"/>
      <c r="Z1078" s="552">
        <v>177007.3</v>
      </c>
      <c r="AA1078" s="552">
        <f>SUM(Table15[[#This Row],[PCTS Investment Amount]:[PCTS Retirement Amount]])</f>
        <v>1289244.94</v>
      </c>
      <c r="AB1078" s="341">
        <v>45245</v>
      </c>
      <c r="AC1078" s="568" t="s">
        <v>811</v>
      </c>
      <c r="AD1078" s="1157" t="s">
        <v>29</v>
      </c>
      <c r="AE1078" s="183">
        <v>45239</v>
      </c>
      <c r="AF1078" s="183">
        <v>45240</v>
      </c>
      <c r="AG1078" s="183">
        <v>45245</v>
      </c>
      <c r="AH1078" s="183">
        <v>45245</v>
      </c>
      <c r="AI1078" s="1036"/>
      <c r="AJ1078" s="1037"/>
      <c r="AK1078" s="1037"/>
      <c r="AL1078" s="1038"/>
      <c r="AM1078" s="536" t="s">
        <v>116</v>
      </c>
      <c r="AN1078" s="903" t="s">
        <v>709</v>
      </c>
      <c r="AO1078" s="1536">
        <v>11071464</v>
      </c>
      <c r="AP1078" s="1537"/>
      <c r="AQ1078" s="1537"/>
      <c r="AR1078" s="1537"/>
      <c r="AS1078" s="888">
        <f>IF(Table15[[#This Row],[PCTS Approved]]="N",0,Table15[[#This Row],[Investment Amount (1'#'#'#'#'#)]]+Table15[[#This Row],[Retirement Amount (3'#'#'#'#'#)]])</f>
        <v>0</v>
      </c>
      <c r="AT1078" s="888">
        <f>IF(Table15[[#This Row],[Approved Construction Cost]]=0,0,Table15[[#This Row],[Approved Construction Cost]]-Table15[[#This Row],[Construction Cost to Bill From]])</f>
        <v>0</v>
      </c>
      <c r="AU1078" s="888">
        <f>IFERROR(Table15[[#This Row],[Difference in Construction Cost]]*Table15[[#This Row],[Rate]],Table15[[#This Row],[Difference in Construction Cost]]*0.085)</f>
        <v>0</v>
      </c>
      <c r="AV1078" s="905"/>
      <c r="AW1078" s="1509"/>
      <c r="AX1078" s="888"/>
      <c r="AY1078" s="636" t="s">
        <v>709</v>
      </c>
      <c r="AZ1078" s="333">
        <v>160</v>
      </c>
      <c r="BA1078" s="1076" t="s">
        <v>1656</v>
      </c>
      <c r="BB1078" s="648" t="s">
        <v>1657</v>
      </c>
      <c r="BC1078" s="559" t="s">
        <v>115</v>
      </c>
      <c r="BD1078" s="554" t="s">
        <v>115</v>
      </c>
      <c r="BE1078" s="588" t="s">
        <v>3609</v>
      </c>
      <c r="BF1078" s="588" t="s">
        <v>115</v>
      </c>
      <c r="BG1078" s="548" t="s">
        <v>115</v>
      </c>
      <c r="BH1078" s="741" t="s">
        <v>1658</v>
      </c>
      <c r="BI1078" s="547" t="s">
        <v>709</v>
      </c>
      <c r="BJ1078" s="549" t="s">
        <v>709</v>
      </c>
      <c r="BK1078" s="547" t="s">
        <v>116</v>
      </c>
      <c r="BL1078" s="547" t="s">
        <v>116</v>
      </c>
      <c r="BM1078" s="547" t="s">
        <v>709</v>
      </c>
      <c r="BN1078" s="547">
        <v>248</v>
      </c>
      <c r="BO1078" s="547" t="s">
        <v>709</v>
      </c>
      <c r="BP1078" s="547">
        <v>26</v>
      </c>
      <c r="BQ1078" s="547">
        <v>1169</v>
      </c>
      <c r="BR1078" s="547">
        <v>40</v>
      </c>
      <c r="BS1078" s="547">
        <v>5</v>
      </c>
      <c r="BT1078" s="547">
        <v>1</v>
      </c>
      <c r="BU1078" s="547" t="s">
        <v>709</v>
      </c>
      <c r="BV1078" s="547" t="s">
        <v>709</v>
      </c>
      <c r="BW1078" s="547" t="s">
        <v>709</v>
      </c>
      <c r="BX1078" s="547">
        <v>1</v>
      </c>
      <c r="BY1078" s="547" t="s">
        <v>709</v>
      </c>
      <c r="BZ1078" s="547" t="s">
        <v>709</v>
      </c>
      <c r="CA1078" s="483" t="s">
        <v>769</v>
      </c>
      <c r="CB1078" s="547">
        <v>1075</v>
      </c>
      <c r="CC1078" s="1481" t="b">
        <v>1</v>
      </c>
      <c r="CD1078" t="str">
        <f>Table15[[#This Row],[Engineering Number]]&amp;Table15[[#This Row],[WO Number]]&amp;Table15[[#This Row],[Date Assigned to Designer]]&amp;Table15[[#This Row],[Date Completed]]</f>
        <v>RS117310129134510345239</v>
      </c>
    </row>
    <row r="1079" spans="1:82" customFormat="1" ht="15" customHeight="1" x14ac:dyDescent="0.25">
      <c r="A1079">
        <v>2024</v>
      </c>
      <c r="B1079" s="8" t="s">
        <v>759</v>
      </c>
      <c r="C1079" s="8" t="s">
        <v>1648</v>
      </c>
      <c r="D1079" s="8" t="s">
        <v>1649</v>
      </c>
      <c r="E1079" s="8" t="s">
        <v>1650</v>
      </c>
      <c r="F1079" s="8" t="s">
        <v>752</v>
      </c>
      <c r="G1079" s="8" t="s">
        <v>37</v>
      </c>
      <c r="H1079" s="13" t="s">
        <v>59</v>
      </c>
      <c r="I1079" s="642">
        <v>45103</v>
      </c>
      <c r="J1079" s="18">
        <v>45239</v>
      </c>
      <c r="K1079" s="97">
        <v>45239</v>
      </c>
      <c r="L1079" s="16">
        <f>IF(ISTEXT(Table15[[#This Row],[Engineering Approved Design Date]]),Table15[[#This Row],[Date Completed]]-Table15[[#This Row],[Date Assigned to Designer]],Table15[[#This Row],[Engineering Approved Design Date]]-Table15[[#This Row],[Date Completed]])</f>
        <v>0</v>
      </c>
      <c r="M1079" s="642"/>
      <c r="N1079" s="642" t="s">
        <v>120</v>
      </c>
      <c r="O1079" s="1060">
        <v>45261</v>
      </c>
      <c r="P1079" s="1152" t="s">
        <v>120</v>
      </c>
      <c r="Q1079" s="340">
        <f>Table15[[#This Row],[Rate]]*Table15[[#This Row],[Construction Cost to Bill From]]</f>
        <v>113917.20450000001</v>
      </c>
      <c r="R1079" s="1026">
        <v>0.11</v>
      </c>
      <c r="S1079" s="538"/>
      <c r="T1079" s="538"/>
      <c r="U1079" s="87"/>
      <c r="V1079" s="858">
        <v>2092</v>
      </c>
      <c r="W1079" s="437">
        <v>3</v>
      </c>
      <c r="X1079" s="552">
        <v>940183.43</v>
      </c>
      <c r="Y1079" s="551"/>
      <c r="Z1079" s="552">
        <v>95427.520000000004</v>
      </c>
      <c r="AA1079" s="552">
        <f>SUM(Table15[[#This Row],[PCTS Investment Amount]:[PCTS Retirement Amount]])</f>
        <v>1035610.9500000001</v>
      </c>
      <c r="AB1079" s="341">
        <v>45245</v>
      </c>
      <c r="AC1079" s="568" t="s">
        <v>811</v>
      </c>
      <c r="AD1079" s="1157" t="s">
        <v>116</v>
      </c>
      <c r="AE1079" s="183">
        <v>45239</v>
      </c>
      <c r="AF1079" s="183">
        <v>45240</v>
      </c>
      <c r="AG1079" s="183">
        <v>45245</v>
      </c>
      <c r="AH1079" s="183">
        <v>45245</v>
      </c>
      <c r="AI1079" s="1036"/>
      <c r="AJ1079" s="1037"/>
      <c r="AK1079" s="1037"/>
      <c r="AL1079" s="1038"/>
      <c r="AM1079" s="536" t="s">
        <v>116</v>
      </c>
      <c r="AN1079" s="903" t="s">
        <v>709</v>
      </c>
      <c r="AO1079" s="1536"/>
      <c r="AP1079" s="1537"/>
      <c r="AQ1079" s="1537"/>
      <c r="AR1079" s="1537"/>
      <c r="AS1079" s="888">
        <f>IF(Table15[[#This Row],[PCTS Approved]]="N",0,Table15[[#This Row],[Investment Amount (1'#'#'#'#'#)]]+Table15[[#This Row],[Retirement Amount (3'#'#'#'#'#)]])</f>
        <v>0</v>
      </c>
      <c r="AT1079" s="888">
        <f>IF(Table15[[#This Row],[Approved Construction Cost]]=0,0,Table15[[#This Row],[Approved Construction Cost]]-Table15[[#This Row],[Construction Cost to Bill From]])</f>
        <v>0</v>
      </c>
      <c r="AU1079" s="888">
        <f>IFERROR(Table15[[#This Row],[Difference in Construction Cost]]*Table15[[#This Row],[Rate]],Table15[[#This Row],[Difference in Construction Cost]]*0.085)</f>
        <v>0</v>
      </c>
      <c r="AV1079" s="905"/>
      <c r="AW1079" s="1509"/>
      <c r="AX1079" s="888"/>
      <c r="AY1079" s="636" t="s">
        <v>709</v>
      </c>
      <c r="AZ1079" s="333">
        <v>159</v>
      </c>
      <c r="BA1079" s="1076" t="s">
        <v>1651</v>
      </c>
      <c r="BB1079" s="648" t="s">
        <v>1652</v>
      </c>
      <c r="BC1079" s="559" t="s">
        <v>709</v>
      </c>
      <c r="BD1079" s="554" t="s">
        <v>6046</v>
      </c>
      <c r="BE1079" s="588" t="s">
        <v>3609</v>
      </c>
      <c r="BF1079" s="588" t="s">
        <v>709</v>
      </c>
      <c r="BG1079" s="548" t="s">
        <v>709</v>
      </c>
      <c r="BH1079" s="741" t="s">
        <v>1653</v>
      </c>
      <c r="BI1079" s="547" t="s">
        <v>709</v>
      </c>
      <c r="BJ1079" s="547" t="s">
        <v>709</v>
      </c>
      <c r="BK1079" s="547" t="s">
        <v>116</v>
      </c>
      <c r="BL1079" s="547" t="s">
        <v>116</v>
      </c>
      <c r="BM1079" s="547" t="s">
        <v>709</v>
      </c>
      <c r="BN1079" s="547" t="s">
        <v>709</v>
      </c>
      <c r="BO1079" s="547" t="s">
        <v>709</v>
      </c>
      <c r="BP1079" s="547">
        <v>125</v>
      </c>
      <c r="BQ1079" s="547">
        <v>1883</v>
      </c>
      <c r="BR1079" s="547">
        <v>164</v>
      </c>
      <c r="BS1079" s="547">
        <v>45</v>
      </c>
      <c r="BT1079" s="547">
        <v>1</v>
      </c>
      <c r="BU1079" s="547" t="s">
        <v>709</v>
      </c>
      <c r="BV1079" s="547" t="s">
        <v>709</v>
      </c>
      <c r="BW1079" s="547">
        <v>1</v>
      </c>
      <c r="BX1079" s="547" t="s">
        <v>709</v>
      </c>
      <c r="BY1079" s="547" t="s">
        <v>709</v>
      </c>
      <c r="BZ1079" s="547" t="s">
        <v>709</v>
      </c>
      <c r="CA1079" s="483" t="s">
        <v>769</v>
      </c>
      <c r="CB1079" s="547">
        <v>1076</v>
      </c>
      <c r="CC1079" s="1481" t="b">
        <v>1</v>
      </c>
      <c r="CD1079" t="str">
        <f>Table15[[#This Row],[Engineering Number]]&amp;Table15[[#This Row],[WO Number]]&amp;Table15[[#This Row],[Date Assigned to Designer]]&amp;Table15[[#This Row],[Date Completed]]</f>
        <v>RS118010129084510345239</v>
      </c>
    </row>
    <row r="1080" spans="1:82" customFormat="1" ht="15" customHeight="1" x14ac:dyDescent="0.25">
      <c r="A1080">
        <v>2023</v>
      </c>
      <c r="B1080" s="8" t="s">
        <v>4</v>
      </c>
      <c r="C1080" s="8" t="s">
        <v>842</v>
      </c>
      <c r="D1080" s="8" t="s">
        <v>843</v>
      </c>
      <c r="E1080" s="8" t="s">
        <v>844</v>
      </c>
      <c r="F1080" s="8" t="s">
        <v>784</v>
      </c>
      <c r="G1080" s="8" t="s">
        <v>31</v>
      </c>
      <c r="H1080" s="8" t="s">
        <v>413</v>
      </c>
      <c r="I1080" s="642">
        <v>45202</v>
      </c>
      <c r="J1080" s="18">
        <v>45247</v>
      </c>
      <c r="K1080" s="97">
        <v>45243</v>
      </c>
      <c r="L1080" s="649">
        <f>IF(ISTEXT(Table15[[#This Row],[Engineering Approved Design Date]]),Table15[[#This Row],[Date Completed]]-Table15[[#This Row],[Date Assigned to Designer]],Table15[[#This Row],[Engineering Approved Design Date]]-Table15[[#This Row],[Date Completed]])</f>
        <v>4</v>
      </c>
      <c r="M1080" s="642"/>
      <c r="N1080" s="642" t="s">
        <v>120</v>
      </c>
      <c r="O1080" s="1060">
        <v>45261</v>
      </c>
      <c r="P1080" s="1152" t="s">
        <v>739</v>
      </c>
      <c r="Q1080" s="340">
        <f>Table15[[#This Row],[Rate]]*Table15[[#This Row],[Construction Cost to Bill From]]</f>
        <v>12350.125</v>
      </c>
      <c r="R1080" s="1026">
        <v>0.1</v>
      </c>
      <c r="S1080" s="538"/>
      <c r="T1080" s="538"/>
      <c r="U1080" s="87"/>
      <c r="V1080" s="858">
        <v>196</v>
      </c>
      <c r="W1080" s="437">
        <v>0</v>
      </c>
      <c r="X1080" s="552">
        <v>98117.29</v>
      </c>
      <c r="Y1080" s="551"/>
      <c r="Z1080" s="552">
        <v>25383.96</v>
      </c>
      <c r="AA1080" s="552">
        <f>SUM(Table15[[#This Row],[PCTS Investment Amount]:[PCTS Retirement Amount]])</f>
        <v>123501.25</v>
      </c>
      <c r="AB1080" s="341">
        <v>45257</v>
      </c>
      <c r="AC1080" s="568" t="s">
        <v>709</v>
      </c>
      <c r="AD1080" s="1157" t="s">
        <v>29</v>
      </c>
      <c r="AE1080" s="568" t="s">
        <v>116</v>
      </c>
      <c r="AF1080" s="568" t="s">
        <v>756</v>
      </c>
      <c r="AG1080" s="569">
        <v>45308</v>
      </c>
      <c r="AH1080" s="183">
        <v>45308</v>
      </c>
      <c r="AI1080" s="1036"/>
      <c r="AJ1080" s="1037"/>
      <c r="AK1080" s="1037"/>
      <c r="AL1080" s="1038"/>
      <c r="AM1080" s="1522" t="s">
        <v>116</v>
      </c>
      <c r="AN1080" s="1523">
        <v>45348</v>
      </c>
      <c r="AO1080" s="1524">
        <v>11079101</v>
      </c>
      <c r="AP1080" s="1525">
        <v>98117.29</v>
      </c>
      <c r="AQ1080" s="1525"/>
      <c r="AR1080" s="1525">
        <v>25384.51</v>
      </c>
      <c r="AS1080" s="1525">
        <v>123501.79999999999</v>
      </c>
      <c r="AT1080" s="1525">
        <v>0.54999999998835847</v>
      </c>
      <c r="AU1080" s="1525">
        <v>5.4999999998835848E-2</v>
      </c>
      <c r="AV1080" s="1525">
        <v>0</v>
      </c>
      <c r="AW1080" s="1526"/>
      <c r="AX1080" s="1525">
        <v>0.05</v>
      </c>
      <c r="AY1080" s="1518">
        <v>45566</v>
      </c>
      <c r="AZ1080" s="333">
        <v>103</v>
      </c>
      <c r="BA1080" s="1074" t="s">
        <v>845</v>
      </c>
      <c r="BB1080" s="644" t="s">
        <v>846</v>
      </c>
      <c r="BC1080" s="544" t="s">
        <v>709</v>
      </c>
      <c r="BD1080" s="544" t="s">
        <v>115</v>
      </c>
      <c r="BE1080" s="544" t="s">
        <v>846</v>
      </c>
      <c r="BF1080" s="544" t="s">
        <v>115</v>
      </c>
      <c r="BG1080" s="548" t="s">
        <v>115</v>
      </c>
      <c r="BH1080" s="749" t="s">
        <v>847</v>
      </c>
      <c r="BI1080" s="547" t="s">
        <v>709</v>
      </c>
      <c r="BJ1080" s="549" t="s">
        <v>709</v>
      </c>
      <c r="BK1080" s="547" t="s">
        <v>709</v>
      </c>
      <c r="BL1080" s="547" t="s">
        <v>116</v>
      </c>
      <c r="BM1080" s="626" t="s">
        <v>709</v>
      </c>
      <c r="BN1080" s="549" t="s">
        <v>709</v>
      </c>
      <c r="BO1080" s="626" t="s">
        <v>709</v>
      </c>
      <c r="BP1080" s="626" t="s">
        <v>709</v>
      </c>
      <c r="BQ1080" s="549" t="s">
        <v>709</v>
      </c>
      <c r="BR1080" s="549" t="s">
        <v>709</v>
      </c>
      <c r="BS1080" s="549">
        <v>196</v>
      </c>
      <c r="BT1080" s="549" t="s">
        <v>709</v>
      </c>
      <c r="BU1080" s="549" t="s">
        <v>709</v>
      </c>
      <c r="BV1080" s="549" t="s">
        <v>709</v>
      </c>
      <c r="BW1080" s="549" t="s">
        <v>709</v>
      </c>
      <c r="BX1080" s="547" t="s">
        <v>745</v>
      </c>
      <c r="BY1080" s="549" t="s">
        <v>709</v>
      </c>
      <c r="BZ1080" s="547" t="s">
        <v>709</v>
      </c>
      <c r="CA1080" s="483"/>
      <c r="CB1080" s="547">
        <v>1079</v>
      </c>
      <c r="CC1080" s="1481" t="b">
        <v>1</v>
      </c>
      <c r="CD1080" t="str">
        <f>Table15[[#This Row],[Engineering Number]]&amp;Table15[[#This Row],[WO Number]]&amp;Table15[[#This Row],[Date Assigned to Designer]]&amp;Table15[[#This Row],[Date Completed]]</f>
        <v>N1702812132174520245243</v>
      </c>
    </row>
    <row r="1081" spans="1:82" customFormat="1" ht="15" customHeight="1" x14ac:dyDescent="0.25">
      <c r="A1081">
        <v>2023</v>
      </c>
      <c r="B1081" s="8" t="s">
        <v>759</v>
      </c>
      <c r="C1081" s="8" t="s">
        <v>1259</v>
      </c>
      <c r="D1081" s="8" t="s">
        <v>1260</v>
      </c>
      <c r="E1081" s="8" t="s">
        <v>1261</v>
      </c>
      <c r="F1081" s="8" t="s">
        <v>752</v>
      </c>
      <c r="G1081" s="8" t="s">
        <v>34</v>
      </c>
      <c r="H1081" s="13" t="s">
        <v>59</v>
      </c>
      <c r="I1081" s="642">
        <v>45015</v>
      </c>
      <c r="J1081" s="18">
        <v>45247</v>
      </c>
      <c r="K1081" s="175">
        <v>45243</v>
      </c>
      <c r="L1081" s="16">
        <f>IF(ISTEXT(Table15[[#This Row],[Engineering Approved Design Date]]),Table15[[#This Row],[Date Completed]]-Table15[[#This Row],[Date Assigned to Designer]],Table15[[#This Row],[Engineering Approved Design Date]]-Table15[[#This Row],[Date Completed]])</f>
        <v>4</v>
      </c>
      <c r="M1081" s="642"/>
      <c r="N1081" s="642" t="s">
        <v>120</v>
      </c>
      <c r="O1081" s="1060">
        <v>45261</v>
      </c>
      <c r="P1081" s="1152" t="s">
        <v>120</v>
      </c>
      <c r="Q1081" s="340">
        <f>Table15[[#This Row],[Rate]]*Table15[[#This Row],[Construction Cost to Bill From]]</f>
        <v>98159.153399999996</v>
      </c>
      <c r="R1081" s="1026">
        <v>0.11</v>
      </c>
      <c r="S1081" s="538"/>
      <c r="T1081" s="538"/>
      <c r="U1081" s="87"/>
      <c r="V1081" s="858">
        <v>1146</v>
      </c>
      <c r="W1081" s="437">
        <v>3</v>
      </c>
      <c r="X1081" s="552">
        <v>808862.07</v>
      </c>
      <c r="Y1081" s="551"/>
      <c r="Z1081" s="552">
        <v>83493.87</v>
      </c>
      <c r="AA1081" s="552">
        <f>SUM(Table15[[#This Row],[PCTS Investment Amount]:[PCTS Retirement Amount]])</f>
        <v>892355.94</v>
      </c>
      <c r="AB1081" s="341">
        <v>45257</v>
      </c>
      <c r="AC1081" s="568" t="s">
        <v>1659</v>
      </c>
      <c r="AD1081" s="1157" t="s">
        <v>29</v>
      </c>
      <c r="AE1081" s="183" t="s">
        <v>756</v>
      </c>
      <c r="AF1081" s="183" t="s">
        <v>29</v>
      </c>
      <c r="AG1081" s="183" t="s">
        <v>116</v>
      </c>
      <c r="AH1081" s="183" t="s">
        <v>116</v>
      </c>
      <c r="AI1081" s="1036"/>
      <c r="AJ1081" s="1037"/>
      <c r="AK1081" s="1037"/>
      <c r="AL1081" s="1038"/>
      <c r="AM1081" s="536" t="s">
        <v>116</v>
      </c>
      <c r="AN1081" s="903" t="s">
        <v>709</v>
      </c>
      <c r="AO1081" s="1536">
        <v>11039510</v>
      </c>
      <c r="AP1081" s="1537"/>
      <c r="AQ1081" s="1537"/>
      <c r="AR1081" s="1537"/>
      <c r="AS1081" s="888">
        <f>IF(Table15[[#This Row],[PCTS Approved]]="N",0,Table15[[#This Row],[Investment Amount (1'#'#'#'#'#)]]+Table15[[#This Row],[Retirement Amount (3'#'#'#'#'#)]])</f>
        <v>0</v>
      </c>
      <c r="AT1081" s="888">
        <f>IF(Table15[[#This Row],[Approved Construction Cost]]=0,0,Table15[[#This Row],[Approved Construction Cost]]-Table15[[#This Row],[Construction Cost to Bill From]])</f>
        <v>0</v>
      </c>
      <c r="AU1081" s="888">
        <f>IFERROR(Table15[[#This Row],[Difference in Construction Cost]]*Table15[[#This Row],[Rate]],Table15[[#This Row],[Difference in Construction Cost]]*0.085)</f>
        <v>0</v>
      </c>
      <c r="AV1081" s="905"/>
      <c r="AW1081" s="1509"/>
      <c r="AX1081" s="888"/>
      <c r="AY1081" s="636" t="s">
        <v>709</v>
      </c>
      <c r="AZ1081" s="333">
        <v>161</v>
      </c>
      <c r="BA1081" s="1076" t="s">
        <v>1660</v>
      </c>
      <c r="BB1081" s="648" t="s">
        <v>1661</v>
      </c>
      <c r="BC1081" s="544" t="s">
        <v>115</v>
      </c>
      <c r="BD1081" s="544" t="s">
        <v>1066</v>
      </c>
      <c r="BE1081" s="544" t="s">
        <v>115</v>
      </c>
      <c r="BF1081" s="544" t="s">
        <v>115</v>
      </c>
      <c r="BG1081" s="544" t="s">
        <v>115</v>
      </c>
      <c r="BH1081" s="741" t="s">
        <v>1662</v>
      </c>
      <c r="BI1081" s="547" t="s">
        <v>709</v>
      </c>
      <c r="BJ1081" s="547" t="s">
        <v>709</v>
      </c>
      <c r="BK1081" s="547" t="s">
        <v>116</v>
      </c>
      <c r="BL1081" s="547" t="s">
        <v>116</v>
      </c>
      <c r="BM1081" s="547" t="s">
        <v>709</v>
      </c>
      <c r="BN1081" s="547" t="s">
        <v>709</v>
      </c>
      <c r="BO1081" s="547" t="s">
        <v>709</v>
      </c>
      <c r="BP1081" s="547">
        <v>789</v>
      </c>
      <c r="BQ1081" s="547">
        <v>164</v>
      </c>
      <c r="BR1081" s="547">
        <v>45</v>
      </c>
      <c r="BS1081" s="547">
        <v>5</v>
      </c>
      <c r="BT1081" s="547">
        <v>1</v>
      </c>
      <c r="BU1081" s="547" t="s">
        <v>709</v>
      </c>
      <c r="BV1081" s="547" t="s">
        <v>709</v>
      </c>
      <c r="BW1081" s="547">
        <v>1</v>
      </c>
      <c r="BX1081" s="547">
        <v>1</v>
      </c>
      <c r="BY1081" s="547" t="s">
        <v>709</v>
      </c>
      <c r="BZ1081" s="547" t="s">
        <v>709</v>
      </c>
      <c r="CA1081" s="483" t="s">
        <v>769</v>
      </c>
      <c r="CB1081" s="547">
        <v>1078</v>
      </c>
      <c r="CC1081" s="1481" t="b">
        <v>1</v>
      </c>
      <c r="CD1081" t="str">
        <f>Table15[[#This Row],[Engineering Number]]&amp;Table15[[#This Row],[WO Number]]&amp;Table15[[#This Row],[Date Assigned to Designer]]&amp;Table15[[#This Row],[Date Completed]]</f>
        <v>RS98810109604501545243</v>
      </c>
    </row>
    <row r="1082" spans="1:82" customFormat="1" ht="15" customHeight="1" x14ac:dyDescent="0.25">
      <c r="A1082">
        <v>2023</v>
      </c>
      <c r="B1082" s="8" t="s">
        <v>4</v>
      </c>
      <c r="C1082" s="8" t="s">
        <v>1023</v>
      </c>
      <c r="D1082" s="8">
        <v>1212901</v>
      </c>
      <c r="E1082" s="8" t="s">
        <v>245</v>
      </c>
      <c r="F1082" s="8" t="s">
        <v>784</v>
      </c>
      <c r="G1082" s="8" t="s">
        <v>31</v>
      </c>
      <c r="H1082" s="8" t="s">
        <v>4109</v>
      </c>
      <c r="I1082" s="642">
        <v>45226</v>
      </c>
      <c r="J1082" s="175" t="s">
        <v>4110</v>
      </c>
      <c r="K1082" s="97">
        <v>45244</v>
      </c>
      <c r="L1082" s="16">
        <f>IF(ISTEXT(Table15[[#This Row],[Engineering Approved Design Date]]),Table15[[#This Row],[Date Completed]]-Table15[[#This Row],[Date Assigned to Designer]],Table15[[#This Row],[Engineering Approved Design Date]]-Table15[[#This Row],[Date Completed]])</f>
        <v>18</v>
      </c>
      <c r="M1082" s="16" t="s">
        <v>6057</v>
      </c>
      <c r="N1082" s="642" t="s">
        <v>120</v>
      </c>
      <c r="O1082" s="1060">
        <v>45261</v>
      </c>
      <c r="P1082" s="1152" t="s">
        <v>739</v>
      </c>
      <c r="Q1082" s="1061">
        <f>Table15[[#This Row],[KH Hourly Effort]]</f>
        <v>4330</v>
      </c>
      <c r="R1082" s="1039" t="s">
        <v>1922</v>
      </c>
      <c r="S1082" s="538">
        <v>0</v>
      </c>
      <c r="T1082" s="538">
        <v>0</v>
      </c>
      <c r="U1082" s="1078">
        <v>4330</v>
      </c>
      <c r="V1082" s="857"/>
      <c r="W1082" s="437"/>
      <c r="X1082" s="538"/>
      <c r="Y1082" s="551"/>
      <c r="Z1082" s="538"/>
      <c r="AA1082" s="552"/>
      <c r="AB1082" s="341" t="s">
        <v>29</v>
      </c>
      <c r="AC1082" s="569" t="s">
        <v>29</v>
      </c>
      <c r="AD1082" s="1149" t="s">
        <v>29</v>
      </c>
      <c r="AE1082" s="568" t="s">
        <v>756</v>
      </c>
      <c r="AF1082" s="568" t="s">
        <v>756</v>
      </c>
      <c r="AG1082" s="569" t="s">
        <v>29</v>
      </c>
      <c r="AH1082" s="536" t="s">
        <v>29</v>
      </c>
      <c r="AI1082" s="1028"/>
      <c r="AJ1082" s="1029"/>
      <c r="AK1082" s="1029"/>
      <c r="AL1082" s="1030"/>
      <c r="AM1082" s="542" t="s">
        <v>709</v>
      </c>
      <c r="AN1082" s="924"/>
      <c r="AO1082" s="925"/>
      <c r="AP1082" s="926"/>
      <c r="AQ1082" s="926"/>
      <c r="AR1082" s="926"/>
      <c r="AS1082" s="926"/>
      <c r="AT1082" s="926"/>
      <c r="AU1082" s="926"/>
      <c r="AV1082" s="926"/>
      <c r="AW1082" s="927"/>
      <c r="AX1082" s="926"/>
      <c r="AY1082" s="1538" t="s">
        <v>29</v>
      </c>
      <c r="AZ1082" s="1530"/>
      <c r="BA1082" s="1031" t="s">
        <v>6058</v>
      </c>
      <c r="BB1082" s="653" t="s">
        <v>6059</v>
      </c>
      <c r="BC1082" s="544"/>
      <c r="BD1082" s="544"/>
      <c r="BE1082" s="544"/>
      <c r="BF1082" s="544"/>
      <c r="BG1082" s="544"/>
      <c r="BH1082" s="741"/>
      <c r="BI1082" s="549" t="s">
        <v>709</v>
      </c>
      <c r="BJ1082" s="549" t="s">
        <v>709</v>
      </c>
      <c r="BK1082" s="549" t="s">
        <v>709</v>
      </c>
      <c r="BL1082" s="549" t="s">
        <v>116</v>
      </c>
      <c r="BM1082" s="549" t="s">
        <v>709</v>
      </c>
      <c r="BN1082" s="549" t="s">
        <v>709</v>
      </c>
      <c r="BO1082" s="549" t="s">
        <v>709</v>
      </c>
      <c r="BP1082" s="549" t="s">
        <v>709</v>
      </c>
      <c r="BQ1082" s="549">
        <v>2712</v>
      </c>
      <c r="BR1082" s="549" t="s">
        <v>709</v>
      </c>
      <c r="BS1082" s="549">
        <v>2578</v>
      </c>
      <c r="BT1082" s="549" t="s">
        <v>709</v>
      </c>
      <c r="BU1082" s="549" t="s">
        <v>709</v>
      </c>
      <c r="BV1082" s="549">
        <v>1</v>
      </c>
      <c r="BW1082" s="549" t="s">
        <v>709</v>
      </c>
      <c r="BX1082" s="549" t="s">
        <v>745</v>
      </c>
      <c r="BY1082" s="549" t="s">
        <v>709</v>
      </c>
      <c r="BZ1082" s="547" t="s">
        <v>709</v>
      </c>
      <c r="CA1082" s="483" t="s">
        <v>915</v>
      </c>
      <c r="CB1082" s="547">
        <v>1081</v>
      </c>
      <c r="CC1082" s="1481" t="b">
        <v>1</v>
      </c>
      <c r="CD1082" t="str">
        <f>Table15[[#This Row],[Engineering Number]]&amp;Table15[[#This Row],[WO Number]]&amp;Table15[[#This Row],[Date Assigned to Designer]]&amp;Table15[[#This Row],[Date Completed]]</f>
        <v>N1684412129014522645244</v>
      </c>
    </row>
    <row r="1083" spans="1:82" customFormat="1" ht="15" customHeight="1" x14ac:dyDescent="0.25">
      <c r="A1083">
        <v>2023</v>
      </c>
      <c r="B1083" s="8" t="s">
        <v>4</v>
      </c>
      <c r="C1083" s="8" t="s">
        <v>1068</v>
      </c>
      <c r="D1083" s="8" t="s">
        <v>1069</v>
      </c>
      <c r="E1083" s="8" t="s">
        <v>818</v>
      </c>
      <c r="F1083" s="8" t="s">
        <v>851</v>
      </c>
      <c r="G1083" s="8" t="s">
        <v>26</v>
      </c>
      <c r="H1083" s="8" t="s">
        <v>413</v>
      </c>
      <c r="I1083" s="642">
        <v>45153</v>
      </c>
      <c r="J1083" s="18">
        <v>45245</v>
      </c>
      <c r="K1083" s="97">
        <v>45244</v>
      </c>
      <c r="L1083" s="649">
        <f>IF(ISTEXT(Table15[[#This Row],[Engineering Approved Design Date]]),Table15[[#This Row],[Date Completed]]-Table15[[#This Row],[Date Assigned to Designer]],Table15[[#This Row],[Engineering Approved Design Date]]-Table15[[#This Row],[Date Completed]])</f>
        <v>1</v>
      </c>
      <c r="M1083" s="642"/>
      <c r="N1083" s="642" t="s">
        <v>120</v>
      </c>
      <c r="O1083" s="1060">
        <v>45261</v>
      </c>
      <c r="P1083" s="1152" t="s">
        <v>739</v>
      </c>
      <c r="Q1083" s="340">
        <f>Table15[[#This Row],[Rate]]*Table15[[#This Row],[Construction Cost to Bill From]]</f>
        <v>14673.89</v>
      </c>
      <c r="R1083" s="1026">
        <v>0.1</v>
      </c>
      <c r="S1083" s="538"/>
      <c r="T1083" s="538"/>
      <c r="U1083" s="87"/>
      <c r="V1083" s="858">
        <v>515</v>
      </c>
      <c r="W1083" s="437"/>
      <c r="X1083" s="552">
        <v>135816.75</v>
      </c>
      <c r="Y1083" s="551"/>
      <c r="Z1083" s="552">
        <v>10922.15</v>
      </c>
      <c r="AA1083" s="552">
        <f>SUM(Table15[[#This Row],[PCTS Investment Amount]:[PCTS Retirement Amount]])</f>
        <v>146738.9</v>
      </c>
      <c r="AB1083" s="341">
        <v>45210</v>
      </c>
      <c r="AC1083" s="568" t="s">
        <v>709</v>
      </c>
      <c r="AD1083" s="1157" t="s">
        <v>29</v>
      </c>
      <c r="AE1083" s="568" t="s">
        <v>116</v>
      </c>
      <c r="AF1083" s="568" t="s">
        <v>756</v>
      </c>
      <c r="AG1083" s="569" t="s">
        <v>116</v>
      </c>
      <c r="AH1083" s="183">
        <v>45308</v>
      </c>
      <c r="AI1083" s="1036"/>
      <c r="AJ1083" s="1037"/>
      <c r="AK1083" s="1037"/>
      <c r="AL1083" s="1038"/>
      <c r="AM1083" s="1522" t="s">
        <v>116</v>
      </c>
      <c r="AN1083" s="1523">
        <v>45468</v>
      </c>
      <c r="AO1083" s="1524">
        <v>11084991</v>
      </c>
      <c r="AP1083" s="1525">
        <v>135820.13</v>
      </c>
      <c r="AQ1083" s="1525"/>
      <c r="AR1083" s="1525">
        <v>10922.15</v>
      </c>
      <c r="AS1083" s="1525">
        <v>146742.28</v>
      </c>
      <c r="AT1083" s="1525">
        <v>3.3800000000046566</v>
      </c>
      <c r="AU1083" s="1525">
        <v>0.33800000000046571</v>
      </c>
      <c r="AV1083" s="1525">
        <v>0</v>
      </c>
      <c r="AW1083" s="1526" t="s">
        <v>1005</v>
      </c>
      <c r="AX1083" s="1525">
        <v>0.34</v>
      </c>
      <c r="AY1083" s="1518">
        <v>45566</v>
      </c>
      <c r="AZ1083" s="333">
        <v>104</v>
      </c>
      <c r="BA1083" s="1074" t="s">
        <v>1070</v>
      </c>
      <c r="BB1083" s="644" t="s">
        <v>1071</v>
      </c>
      <c r="BC1083" s="559" t="s">
        <v>116</v>
      </c>
      <c r="BD1083" s="554" t="s">
        <v>862</v>
      </c>
      <c r="BE1083" s="588" t="s">
        <v>822</v>
      </c>
      <c r="BF1083" s="588" t="s">
        <v>709</v>
      </c>
      <c r="BG1083" s="548" t="s">
        <v>709</v>
      </c>
      <c r="BH1083" s="749" t="s">
        <v>1072</v>
      </c>
      <c r="BI1083" s="547" t="s">
        <v>709</v>
      </c>
      <c r="BJ1083" s="549" t="s">
        <v>709</v>
      </c>
      <c r="BK1083" s="547" t="s">
        <v>709</v>
      </c>
      <c r="BL1083" s="547" t="s">
        <v>116</v>
      </c>
      <c r="BM1083" s="626" t="s">
        <v>709</v>
      </c>
      <c r="BN1083" s="549" t="s">
        <v>709</v>
      </c>
      <c r="BO1083" s="626" t="s">
        <v>709</v>
      </c>
      <c r="BP1083" s="626" t="s">
        <v>709</v>
      </c>
      <c r="BQ1083" s="549" t="s">
        <v>709</v>
      </c>
      <c r="BR1083" s="549" t="s">
        <v>709</v>
      </c>
      <c r="BS1083" s="549">
        <v>515</v>
      </c>
      <c r="BT1083" s="549" t="s">
        <v>709</v>
      </c>
      <c r="BU1083" s="549" t="s">
        <v>709</v>
      </c>
      <c r="BV1083" s="549" t="s">
        <v>709</v>
      </c>
      <c r="BW1083" s="549" t="s">
        <v>709</v>
      </c>
      <c r="BX1083" s="547" t="s">
        <v>745</v>
      </c>
      <c r="BY1083" s="549" t="s">
        <v>709</v>
      </c>
      <c r="BZ1083" s="547" t="s">
        <v>709</v>
      </c>
      <c r="CA1083" s="483"/>
      <c r="CB1083" s="547">
        <v>1080</v>
      </c>
      <c r="CC1083" s="1481" t="b">
        <v>1</v>
      </c>
      <c r="CD1083" t="str">
        <f>Table15[[#This Row],[Engineering Number]]&amp;Table15[[#This Row],[WO Number]]&amp;Table15[[#This Row],[Date Assigned to Designer]]&amp;Table15[[#This Row],[Date Completed]]</f>
        <v>SC2349213131164515345244</v>
      </c>
    </row>
    <row r="1084" spans="1:82" customFormat="1" ht="15" customHeight="1" x14ac:dyDescent="0.25">
      <c r="A1084">
        <v>2023</v>
      </c>
      <c r="B1084" s="8" t="s">
        <v>4</v>
      </c>
      <c r="C1084" s="8" t="s">
        <v>1663</v>
      </c>
      <c r="D1084" s="8" t="s">
        <v>1664</v>
      </c>
      <c r="E1084" s="8" t="s">
        <v>1665</v>
      </c>
      <c r="F1084" s="8" t="s">
        <v>784</v>
      </c>
      <c r="G1084" s="8" t="s">
        <v>25</v>
      </c>
      <c r="H1084" s="8" t="s">
        <v>413</v>
      </c>
      <c r="I1084" s="642">
        <v>45064</v>
      </c>
      <c r="J1084" s="18">
        <v>45247</v>
      </c>
      <c r="K1084" s="97">
        <v>45246</v>
      </c>
      <c r="L1084" s="649">
        <f>IF(ISTEXT(Table15[[#This Row],[Engineering Approved Design Date]]),Table15[[#This Row],[Date Completed]]-Table15[[#This Row],[Date Assigned to Designer]],Table15[[#This Row],[Engineering Approved Design Date]]-Table15[[#This Row],[Date Completed]])</f>
        <v>1</v>
      </c>
      <c r="M1084" s="642"/>
      <c r="N1084" s="642" t="s">
        <v>120</v>
      </c>
      <c r="O1084" s="1060">
        <v>45261</v>
      </c>
      <c r="P1084" s="1152" t="s">
        <v>739</v>
      </c>
      <c r="Q1084" s="340">
        <f>Table15[[#This Row],[Rate]]*Table15[[#This Row],[Construction Cost to Bill From]]</f>
        <v>69581.989000000001</v>
      </c>
      <c r="R1084" s="1026">
        <v>0.1</v>
      </c>
      <c r="S1084" s="538"/>
      <c r="T1084" s="538"/>
      <c r="U1084" s="87"/>
      <c r="V1084" s="858">
        <v>1144</v>
      </c>
      <c r="W1084" s="437">
        <v>0</v>
      </c>
      <c r="X1084" s="538">
        <v>256271.07</v>
      </c>
      <c r="Y1084" s="551"/>
      <c r="Z1084" s="552">
        <v>439548.82</v>
      </c>
      <c r="AA1084" s="552">
        <f>SUM(Table15[[#This Row],[PCTS Investment Amount]:[PCTS Retirement Amount]])</f>
        <v>695819.89</v>
      </c>
      <c r="AB1084" s="341">
        <v>45180</v>
      </c>
      <c r="AC1084" s="568" t="s">
        <v>709</v>
      </c>
      <c r="AD1084" s="1157" t="s">
        <v>29</v>
      </c>
      <c r="AE1084" s="568" t="s">
        <v>116</v>
      </c>
      <c r="AF1084" s="568" t="s">
        <v>756</v>
      </c>
      <c r="AG1084" s="568" t="s">
        <v>376</v>
      </c>
      <c r="AH1084" s="183">
        <v>45308</v>
      </c>
      <c r="AI1084" s="1036"/>
      <c r="AJ1084" s="1037"/>
      <c r="AK1084" s="1037"/>
      <c r="AL1084" s="1038"/>
      <c r="AM1084" s="1522" t="s">
        <v>116</v>
      </c>
      <c r="AN1084" s="1523">
        <v>45581</v>
      </c>
      <c r="AO1084" s="1524">
        <v>11092386</v>
      </c>
      <c r="AP1084" s="1525">
        <v>71911.88</v>
      </c>
      <c r="AQ1084" s="1525"/>
      <c r="AR1084" s="1525">
        <v>72890.320000000007</v>
      </c>
      <c r="AS1084" s="1525">
        <f>IF(Table15[[#This Row],[PCTS Approved]]="N",0,Table15[[#This Row],[Investment Amount (1'#'#'#'#'#)]]+Table15[[#This Row],[Retirement Amount (3'#'#'#'#'#)]])</f>
        <v>144802.20000000001</v>
      </c>
      <c r="AT1084" s="1525">
        <f>IF(Table15[[#This Row],[Approved Construction Cost]]=0,0,Table15[[#This Row],[Approved Construction Cost]]-Table15[[#This Row],[Construction Cost to Bill From]])</f>
        <v>-551017.68999999994</v>
      </c>
      <c r="AU1084" s="1525">
        <f>IFERROR(Table15[[#This Row],[Difference in Construction Cost]]*Table15[[#This Row],[Rate]],Table15[[#This Row],[Difference in Construction Cost]]*0.085)</f>
        <v>-55101.769</v>
      </c>
      <c r="AV1084" s="1525">
        <v>13248.75</v>
      </c>
      <c r="AW1084" s="1526" t="s">
        <v>6064</v>
      </c>
      <c r="AX1084" s="1525">
        <v>0</v>
      </c>
      <c r="AY1084" s="1518">
        <v>45901</v>
      </c>
      <c r="AZ1084" s="333">
        <v>105</v>
      </c>
      <c r="BA1084" s="1074" t="s">
        <v>1666</v>
      </c>
      <c r="BB1084" s="644" t="s">
        <v>870</v>
      </c>
      <c r="BC1084" s="559" t="s">
        <v>709</v>
      </c>
      <c r="BD1084" s="554" t="s">
        <v>1626</v>
      </c>
      <c r="BE1084" s="588" t="s">
        <v>1667</v>
      </c>
      <c r="BF1084" s="588" t="s">
        <v>709</v>
      </c>
      <c r="BG1084" s="548" t="s">
        <v>709</v>
      </c>
      <c r="BH1084" s="741" t="s">
        <v>1668</v>
      </c>
      <c r="BI1084" s="547" t="s">
        <v>709</v>
      </c>
      <c r="BJ1084" s="547" t="s">
        <v>709</v>
      </c>
      <c r="BK1084" s="547" t="s">
        <v>709</v>
      </c>
      <c r="BL1084" s="547" t="s">
        <v>116</v>
      </c>
      <c r="BM1084" s="547" t="s">
        <v>709</v>
      </c>
      <c r="BN1084" s="547" t="s">
        <v>709</v>
      </c>
      <c r="BO1084" s="547" t="s">
        <v>709</v>
      </c>
      <c r="BP1084" s="547" t="s">
        <v>709</v>
      </c>
      <c r="BQ1084" s="547">
        <v>7663</v>
      </c>
      <c r="BR1084" s="547">
        <v>1674</v>
      </c>
      <c r="BS1084" s="547">
        <v>2204</v>
      </c>
      <c r="BT1084" s="547" t="s">
        <v>709</v>
      </c>
      <c r="BU1084" s="547" t="s">
        <v>709</v>
      </c>
      <c r="BV1084" s="547" t="s">
        <v>709</v>
      </c>
      <c r="BW1084" s="547" t="s">
        <v>709</v>
      </c>
      <c r="BX1084" s="547" t="s">
        <v>745</v>
      </c>
      <c r="BY1084" s="547" t="s">
        <v>709</v>
      </c>
      <c r="BZ1084" s="547" t="s">
        <v>709</v>
      </c>
      <c r="CA1084" s="483"/>
      <c r="CB1084" s="547">
        <v>1082</v>
      </c>
      <c r="CC1084" s="1481" t="b">
        <v>1</v>
      </c>
      <c r="CD1084" t="str">
        <f>Table15[[#This Row],[Engineering Number]]&amp;Table15[[#This Row],[WO Number]]&amp;Table15[[#This Row],[Date Assigned to Designer]]&amp;Table15[[#This Row],[Date Completed]]</f>
        <v>N15462-112130014506445246</v>
      </c>
    </row>
    <row r="1085" spans="1:82" customFormat="1" ht="15" customHeight="1" x14ac:dyDescent="0.25">
      <c r="A1085">
        <v>2023</v>
      </c>
      <c r="B1085" s="8" t="s">
        <v>4</v>
      </c>
      <c r="C1085" s="8" t="s">
        <v>1669</v>
      </c>
      <c r="D1085" s="8" t="s">
        <v>1670</v>
      </c>
      <c r="E1085" s="8" t="s">
        <v>1665</v>
      </c>
      <c r="F1085" s="8" t="s">
        <v>784</v>
      </c>
      <c r="G1085" s="8" t="s">
        <v>25</v>
      </c>
      <c r="H1085" s="8" t="s">
        <v>413</v>
      </c>
      <c r="I1085" s="642">
        <v>45064</v>
      </c>
      <c r="J1085" s="18">
        <v>45247</v>
      </c>
      <c r="K1085" s="97">
        <v>45246</v>
      </c>
      <c r="L1085" s="649">
        <f>IF(ISTEXT(Table15[[#This Row],[Engineering Approved Design Date]]),Table15[[#This Row],[Date Completed]]-Table15[[#This Row],[Date Assigned to Designer]],Table15[[#This Row],[Engineering Approved Design Date]]-Table15[[#This Row],[Date Completed]])</f>
        <v>1</v>
      </c>
      <c r="M1085" s="642"/>
      <c r="N1085" s="642" t="s">
        <v>120</v>
      </c>
      <c r="O1085" s="1060">
        <v>45292</v>
      </c>
      <c r="P1085" s="1152" t="s">
        <v>739</v>
      </c>
      <c r="Q1085" s="340">
        <f>Table15[[#This Row],[Rate]]*Table15[[#This Row],[Construction Cost to Bill From]]</f>
        <v>515321.83799999999</v>
      </c>
      <c r="R1085" s="1026">
        <v>0.1</v>
      </c>
      <c r="S1085" s="538"/>
      <c r="T1085" s="538"/>
      <c r="U1085" s="87"/>
      <c r="V1085" s="858">
        <v>11549</v>
      </c>
      <c r="W1085" s="437">
        <v>0</v>
      </c>
      <c r="X1085" s="556">
        <v>3052987.02</v>
      </c>
      <c r="Y1085" s="551"/>
      <c r="Z1085" s="570">
        <v>2100231.36</v>
      </c>
      <c r="AA1085" s="552">
        <f>SUM(Table15[[#This Row],[PCTS Investment Amount]:[PCTS Retirement Amount]])</f>
        <v>5153218.38</v>
      </c>
      <c r="AB1085" s="341">
        <v>45225</v>
      </c>
      <c r="AC1085" s="568" t="s">
        <v>709</v>
      </c>
      <c r="AD1085" s="1157" t="s">
        <v>116</v>
      </c>
      <c r="AE1085" s="568" t="s">
        <v>116</v>
      </c>
      <c r="AF1085" s="568" t="s">
        <v>116</v>
      </c>
      <c r="AG1085" s="568" t="s">
        <v>376</v>
      </c>
      <c r="AH1085" s="183">
        <v>45308</v>
      </c>
      <c r="AI1085" s="1106">
        <v>9850</v>
      </c>
      <c r="AJ1085" s="1107">
        <v>9217.5</v>
      </c>
      <c r="AK1085" s="1107">
        <f>3550+1992</f>
        <v>5542</v>
      </c>
      <c r="AL1085" s="1108">
        <f>SUM(Table15[[#This Row],[Nicor Initiated DBE]:[Staffing]])/(Table15[[#This Row],[Amount Invoiced]])</f>
        <v>4.7755593078514173E-2</v>
      </c>
      <c r="AM1085" s="1522" t="s">
        <v>116</v>
      </c>
      <c r="AN1085" s="1523">
        <v>45593</v>
      </c>
      <c r="AO1085" s="1524">
        <v>11093015</v>
      </c>
      <c r="AP1085" s="1525">
        <v>3066913.73</v>
      </c>
      <c r="AQ1085" s="1525"/>
      <c r="AR1085" s="1525">
        <v>1195583.6499999999</v>
      </c>
      <c r="AS1085" s="1525">
        <f>IF(Table15[[#This Row],[PCTS Approved]]="N",0,Table15[[#This Row],[Investment Amount (1'#'#'#'#'#)]]+Table15[[#This Row],[Retirement Amount (3'#'#'#'#'#)]])</f>
        <v>4262497.38</v>
      </c>
      <c r="AT1085" s="1525">
        <f>IF(Table15[[#This Row],[Approved Construction Cost]]=0,0,Table15[[#This Row],[Approved Construction Cost]]-Table15[[#This Row],[Construction Cost to Bill From]])</f>
        <v>-890721</v>
      </c>
      <c r="AU1085" s="1525">
        <f>IFERROR(Table15[[#This Row],[Difference in Construction Cost]]*Table15[[#This Row],[Rate]],Table15[[#This Row],[Difference in Construction Cost]]*0.085)</f>
        <v>-89072.1</v>
      </c>
      <c r="AV1085" s="1525">
        <v>13248.75</v>
      </c>
      <c r="AW1085" s="1526" t="s">
        <v>6062</v>
      </c>
      <c r="AX1085" s="1525">
        <v>0</v>
      </c>
      <c r="AY1085" s="1518">
        <v>45901</v>
      </c>
      <c r="AZ1085" s="333">
        <v>106</v>
      </c>
      <c r="BA1085" s="1074" t="s">
        <v>1671</v>
      </c>
      <c r="BB1085" s="644" t="s">
        <v>870</v>
      </c>
      <c r="BC1085" s="559" t="s">
        <v>709</v>
      </c>
      <c r="BD1085" s="554" t="s">
        <v>1626</v>
      </c>
      <c r="BE1085" s="588" t="s">
        <v>1667</v>
      </c>
      <c r="BF1085" s="588" t="s">
        <v>709</v>
      </c>
      <c r="BG1085" s="548" t="s">
        <v>709</v>
      </c>
      <c r="BH1085" s="741" t="s">
        <v>1668</v>
      </c>
      <c r="BI1085" s="547" t="s">
        <v>709</v>
      </c>
      <c r="BJ1085" s="547" t="s">
        <v>709</v>
      </c>
      <c r="BK1085" s="547" t="s">
        <v>709</v>
      </c>
      <c r="BL1085" s="547" t="s">
        <v>116</v>
      </c>
      <c r="BM1085" s="547" t="s">
        <v>709</v>
      </c>
      <c r="BN1085" s="547" t="s">
        <v>709</v>
      </c>
      <c r="BO1085" s="547" t="s">
        <v>709</v>
      </c>
      <c r="BP1085" s="547" t="s">
        <v>709</v>
      </c>
      <c r="BQ1085" s="547">
        <v>7665</v>
      </c>
      <c r="BR1085" s="547">
        <v>1674</v>
      </c>
      <c r="BS1085" s="547">
        <v>2210</v>
      </c>
      <c r="BT1085" s="547" t="s">
        <v>709</v>
      </c>
      <c r="BU1085" s="547" t="s">
        <v>709</v>
      </c>
      <c r="BV1085" s="547" t="s">
        <v>709</v>
      </c>
      <c r="BW1085" s="547" t="s">
        <v>709</v>
      </c>
      <c r="BX1085" s="547" t="s">
        <v>745</v>
      </c>
      <c r="BY1085" s="547" t="s">
        <v>709</v>
      </c>
      <c r="BZ1085" s="547" t="s">
        <v>709</v>
      </c>
      <c r="CA1085" s="483"/>
      <c r="CB1085" s="547">
        <v>1083</v>
      </c>
      <c r="CC1085" s="1481" t="b">
        <v>1</v>
      </c>
      <c r="CD1085" t="str">
        <f>Table15[[#This Row],[Engineering Number]]&amp;Table15[[#This Row],[WO Number]]&amp;Table15[[#This Row],[Date Assigned to Designer]]&amp;Table15[[#This Row],[Date Completed]]</f>
        <v>N1546212128324506445246</v>
      </c>
    </row>
    <row r="1086" spans="1:82" customFormat="1" ht="15" customHeight="1" x14ac:dyDescent="0.25">
      <c r="A1086">
        <v>2023</v>
      </c>
      <c r="B1086" s="8" t="s">
        <v>4</v>
      </c>
      <c r="C1086" s="8" t="s">
        <v>5765</v>
      </c>
      <c r="D1086" s="8" t="s">
        <v>115</v>
      </c>
      <c r="E1086" s="8" t="s">
        <v>918</v>
      </c>
      <c r="F1086" s="8" t="s">
        <v>747</v>
      </c>
      <c r="G1086" s="8" t="s">
        <v>31</v>
      </c>
      <c r="H1086" s="8" t="s">
        <v>4109</v>
      </c>
      <c r="I1086" s="642">
        <v>45232</v>
      </c>
      <c r="J1086" s="175" t="s">
        <v>4110</v>
      </c>
      <c r="K1086" s="97">
        <v>45247</v>
      </c>
      <c r="L1086" s="16">
        <f>IF(ISTEXT(Table15[[#This Row],[Engineering Approved Design Date]]),Table15[[#This Row],[Date Completed]]-Table15[[#This Row],[Date Assigned to Designer]],Table15[[#This Row],[Engineering Approved Design Date]]-Table15[[#This Row],[Date Completed]])</f>
        <v>15</v>
      </c>
      <c r="M1086" s="16" t="s">
        <v>6066</v>
      </c>
      <c r="N1086" s="642" t="s">
        <v>120</v>
      </c>
      <c r="O1086" s="1060">
        <v>45261</v>
      </c>
      <c r="P1086" s="1152" t="s">
        <v>739</v>
      </c>
      <c r="Q1086" s="1061">
        <f>Table15[[#This Row],[Shactee Effort]]+Table15[[#This Row],[KH Hourly Effort]]</f>
        <v>12199.39</v>
      </c>
      <c r="R1086" s="1039" t="s">
        <v>1922</v>
      </c>
      <c r="S1086" s="538">
        <v>6336.89</v>
      </c>
      <c r="T1086" s="538">
        <v>0</v>
      </c>
      <c r="U1086" s="300">
        <v>5862.5</v>
      </c>
      <c r="V1086" s="858"/>
      <c r="W1086" s="437"/>
      <c r="X1086" s="538"/>
      <c r="Y1086" s="551"/>
      <c r="Z1086" s="538"/>
      <c r="AA1086" s="552"/>
      <c r="AB1086" s="341" t="s">
        <v>29</v>
      </c>
      <c r="AC1086" s="569" t="s">
        <v>29</v>
      </c>
      <c r="AD1086" s="1149" t="s">
        <v>29</v>
      </c>
      <c r="AE1086" s="568" t="s">
        <v>756</v>
      </c>
      <c r="AF1086" s="568" t="s">
        <v>756</v>
      </c>
      <c r="AG1086" s="569" t="s">
        <v>29</v>
      </c>
      <c r="AH1086" s="536" t="s">
        <v>29</v>
      </c>
      <c r="AI1086" s="1028"/>
      <c r="AJ1086" s="1029"/>
      <c r="AK1086" s="1029"/>
      <c r="AL1086" s="1030"/>
      <c r="AM1086" s="542" t="s">
        <v>709</v>
      </c>
      <c r="AN1086" s="924"/>
      <c r="AO1086" s="925"/>
      <c r="AP1086" s="926"/>
      <c r="AQ1086" s="926"/>
      <c r="AR1086" s="926"/>
      <c r="AS1086" s="926"/>
      <c r="AT1086" s="926"/>
      <c r="AU1086" s="926"/>
      <c r="AV1086" s="926"/>
      <c r="AW1086" s="927"/>
      <c r="AX1086" s="926"/>
      <c r="AY1086" s="1538" t="s">
        <v>29</v>
      </c>
      <c r="AZ1086" s="1530"/>
      <c r="BA1086" s="1031" t="s">
        <v>6067</v>
      </c>
      <c r="BB1086" s="527" t="s">
        <v>29</v>
      </c>
      <c r="BC1086" s="544"/>
      <c r="BD1086" s="559"/>
      <c r="BE1086" s="554"/>
      <c r="BF1086" s="1079"/>
      <c r="BG1086" s="544"/>
      <c r="BH1086" s="1174" t="s">
        <v>6068</v>
      </c>
      <c r="BI1086" s="1032"/>
      <c r="BJ1086" s="1032"/>
      <c r="BK1086" s="1032"/>
      <c r="BL1086" s="1032"/>
      <c r="BM1086" s="1032"/>
      <c r="BN1086" s="1032"/>
      <c r="BO1086" s="1032"/>
      <c r="BP1086" s="1032"/>
      <c r="BQ1086" s="1032"/>
      <c r="BR1086" s="1032"/>
      <c r="BS1086" s="1032"/>
      <c r="BT1086" s="1032"/>
      <c r="BU1086" s="1032"/>
      <c r="BV1086" s="1032"/>
      <c r="BW1086" s="1032"/>
      <c r="BX1086" s="1032"/>
      <c r="BY1086" s="1032"/>
      <c r="BZ1086" s="1032"/>
      <c r="CA1086" s="485" t="s">
        <v>915</v>
      </c>
      <c r="CB1086" s="547">
        <v>1084</v>
      </c>
      <c r="CC1086" s="1481" t="b">
        <v>1</v>
      </c>
      <c r="CD1086" t="str">
        <f>Table15[[#This Row],[Engineering Number]]&amp;Table15[[#This Row],[WO Number]]&amp;Table15[[#This Row],[Date Assigned to Designer]]&amp;Table15[[#This Row],[Date Completed]]</f>
        <v>SC22128-4523245247</v>
      </c>
    </row>
    <row r="1087" spans="1:82" customFormat="1" ht="15" customHeight="1" x14ac:dyDescent="0.25">
      <c r="A1087">
        <v>2023</v>
      </c>
      <c r="B1087" s="8" t="s">
        <v>4</v>
      </c>
      <c r="C1087" s="8" t="s">
        <v>973</v>
      </c>
      <c r="D1087" s="8" t="s">
        <v>974</v>
      </c>
      <c r="E1087" s="8" t="s">
        <v>975</v>
      </c>
      <c r="F1087" s="8" t="s">
        <v>747</v>
      </c>
      <c r="G1087" s="8" t="s">
        <v>27</v>
      </c>
      <c r="H1087" s="8" t="s">
        <v>3661</v>
      </c>
      <c r="I1087" s="642">
        <v>45237</v>
      </c>
      <c r="J1087" s="18" t="s">
        <v>3662</v>
      </c>
      <c r="K1087" s="97">
        <v>45251</v>
      </c>
      <c r="L1087" s="16">
        <f>IF(ISTEXT(Table15[[#This Row],[Engineering Approved Design Date]]),Table15[[#This Row],[Date Completed]]-Table15[[#This Row],[Date Assigned to Designer]],Table15[[#This Row],[Engineering Approved Design Date]]-Table15[[#This Row],[Date Completed]])</f>
        <v>14</v>
      </c>
      <c r="M1087" t="s">
        <v>5279</v>
      </c>
      <c r="N1087" s="642" t="s">
        <v>120</v>
      </c>
      <c r="O1087" s="1060">
        <v>45261</v>
      </c>
      <c r="P1087" s="1152" t="s">
        <v>739</v>
      </c>
      <c r="Q1087" s="1061">
        <f>Table15[[#This Row],[KH Hourly Effort]]</f>
        <v>4140</v>
      </c>
      <c r="R1087" s="1039" t="s">
        <v>1922</v>
      </c>
      <c r="S1087" s="538" t="s">
        <v>709</v>
      </c>
      <c r="T1087" s="538" t="s">
        <v>709</v>
      </c>
      <c r="U1087" s="300">
        <v>4140</v>
      </c>
      <c r="V1087" s="858"/>
      <c r="W1087" s="437"/>
      <c r="X1087" s="538"/>
      <c r="Y1087" s="551"/>
      <c r="Z1087" s="538"/>
      <c r="AA1087" s="552"/>
      <c r="AB1087" s="341" t="s">
        <v>29</v>
      </c>
      <c r="AC1087" s="569" t="s">
        <v>29</v>
      </c>
      <c r="AD1087" s="1149" t="s">
        <v>29</v>
      </c>
      <c r="AE1087" s="579"/>
      <c r="AF1087" s="579"/>
      <c r="AG1087" s="580"/>
      <c r="AH1087" s="542"/>
      <c r="AI1087" s="1028"/>
      <c r="AJ1087" s="1029"/>
      <c r="AK1087" s="1029"/>
      <c r="AL1087" s="1030"/>
      <c r="AM1087" s="542" t="s">
        <v>709</v>
      </c>
      <c r="AN1087" s="924"/>
      <c r="AO1087" s="925"/>
      <c r="AP1087" s="926"/>
      <c r="AQ1087" s="926"/>
      <c r="AR1087" s="926"/>
      <c r="AS1087" s="926"/>
      <c r="AT1087" s="926"/>
      <c r="AU1087" s="926"/>
      <c r="AV1087" s="926"/>
      <c r="AW1087" s="927"/>
      <c r="AX1087" s="926"/>
      <c r="AY1087" s="1538" t="s">
        <v>29</v>
      </c>
      <c r="AZ1087" s="1530"/>
      <c r="BA1087" s="1031" t="s">
        <v>6070</v>
      </c>
      <c r="BB1087" s="527" t="s">
        <v>29</v>
      </c>
      <c r="BC1087" s="544"/>
      <c r="BD1087" s="559"/>
      <c r="BE1087" s="554"/>
      <c r="BF1087" s="1079"/>
      <c r="BG1087" s="544"/>
      <c r="BH1087" s="1174" t="s">
        <v>6071</v>
      </c>
      <c r="BI1087" s="547" t="s">
        <v>709</v>
      </c>
      <c r="BJ1087" s="547" t="s">
        <v>709</v>
      </c>
      <c r="BK1087" s="547" t="s">
        <v>709</v>
      </c>
      <c r="BL1087" s="547" t="s">
        <v>116</v>
      </c>
      <c r="BM1087" s="547" t="s">
        <v>709</v>
      </c>
      <c r="BN1087" s="547" t="s">
        <v>709</v>
      </c>
      <c r="BO1087" s="547" t="s">
        <v>709</v>
      </c>
      <c r="BP1087" s="547" t="s">
        <v>709</v>
      </c>
      <c r="BQ1087" s="547" t="s">
        <v>709</v>
      </c>
      <c r="BR1087" s="547" t="s">
        <v>709</v>
      </c>
      <c r="BS1087" s="547">
        <v>240</v>
      </c>
      <c r="BT1087" s="547" t="s">
        <v>709</v>
      </c>
      <c r="BU1087" s="547" t="s">
        <v>709</v>
      </c>
      <c r="BV1087" s="547" t="s">
        <v>709</v>
      </c>
      <c r="BW1087" s="547" t="s">
        <v>709</v>
      </c>
      <c r="BX1087" s="547" t="s">
        <v>709</v>
      </c>
      <c r="BY1087" s="547" t="s">
        <v>709</v>
      </c>
      <c r="BZ1087" s="547" t="s">
        <v>709</v>
      </c>
      <c r="CA1087" s="483" t="s">
        <v>915</v>
      </c>
      <c r="CB1087" s="547">
        <v>1087</v>
      </c>
      <c r="CC1087" s="1481" t="b">
        <v>1</v>
      </c>
      <c r="CD1087" t="str">
        <f>Table15[[#This Row],[Engineering Number]]&amp;Table15[[#This Row],[WO Number]]&amp;Table15[[#This Row],[Date Assigned to Designer]]&amp;Table15[[#This Row],[Date Completed]]</f>
        <v>M10160-112131274523745251</v>
      </c>
    </row>
    <row r="1088" spans="1:82" customFormat="1" ht="15" customHeight="1" x14ac:dyDescent="0.25">
      <c r="A1088">
        <v>2023</v>
      </c>
      <c r="B1088" s="8" t="s">
        <v>4</v>
      </c>
      <c r="C1088" s="8" t="s">
        <v>973</v>
      </c>
      <c r="D1088" s="8" t="s">
        <v>974</v>
      </c>
      <c r="E1088" s="8" t="s">
        <v>975</v>
      </c>
      <c r="F1088" s="8" t="s">
        <v>747</v>
      </c>
      <c r="G1088" s="8" t="s">
        <v>27</v>
      </c>
      <c r="H1088" s="8" t="s">
        <v>413</v>
      </c>
      <c r="I1088" s="642">
        <v>44120</v>
      </c>
      <c r="J1088" s="18">
        <v>45260</v>
      </c>
      <c r="K1088" s="97">
        <v>45251</v>
      </c>
      <c r="L1088" s="16">
        <f>IF(ISTEXT(Table15[[#This Row],[Engineering Approved Design Date]]),Table15[[#This Row],[Date Completed]]-Table15[[#This Row],[Date Assigned to Designer]],Table15[[#This Row],[Engineering Approved Design Date]]-Table15[[#This Row],[Date Completed]])</f>
        <v>9</v>
      </c>
      <c r="M1088" s="642"/>
      <c r="N1088" s="642" t="s">
        <v>120</v>
      </c>
      <c r="O1088" s="1060">
        <v>45261</v>
      </c>
      <c r="P1088" s="1152" t="s">
        <v>739</v>
      </c>
      <c r="Q1088" s="340">
        <f>Table15[[#This Row],[Rate]]*Table15[[#This Row],[Construction Cost to Bill From]]</f>
        <v>25911.984</v>
      </c>
      <c r="R1088" s="1026">
        <v>0.1</v>
      </c>
      <c r="S1088" s="538"/>
      <c r="T1088" s="538"/>
      <c r="U1088" s="87"/>
      <c r="V1088" s="858">
        <v>240</v>
      </c>
      <c r="W1088" s="437">
        <v>0</v>
      </c>
      <c r="X1088" s="538">
        <v>221240.09</v>
      </c>
      <c r="Y1088" s="551"/>
      <c r="Z1088" s="552">
        <v>37879.75</v>
      </c>
      <c r="AA1088" s="552">
        <f>SUM(Table15[[#This Row],[PCTS Investment Amount]:[PCTS Retirement Amount]])</f>
        <v>259119.84</v>
      </c>
      <c r="AB1088" s="341">
        <v>45259</v>
      </c>
      <c r="AC1088" s="568" t="s">
        <v>29</v>
      </c>
      <c r="AD1088" s="1157" t="s">
        <v>29</v>
      </c>
      <c r="AE1088" s="568" t="s">
        <v>116</v>
      </c>
      <c r="AF1088" s="568" t="s">
        <v>756</v>
      </c>
      <c r="AG1088" s="183">
        <v>45371</v>
      </c>
      <c r="AH1088" s="183">
        <v>45371</v>
      </c>
      <c r="AI1088" s="1036"/>
      <c r="AJ1088" s="1037"/>
      <c r="AK1088" s="1037"/>
      <c r="AL1088" s="1038"/>
      <c r="AM1088" s="1522" t="s">
        <v>116</v>
      </c>
      <c r="AN1088" s="1523">
        <v>45406</v>
      </c>
      <c r="AO1088" s="1524">
        <v>11081728</v>
      </c>
      <c r="AP1088" s="1525">
        <v>221242.69</v>
      </c>
      <c r="AQ1088" s="1525"/>
      <c r="AR1088" s="1525">
        <v>38476.71</v>
      </c>
      <c r="AS1088" s="1525">
        <v>259719.4</v>
      </c>
      <c r="AT1088" s="1525">
        <v>599.55999999999767</v>
      </c>
      <c r="AU1088" s="1525">
        <v>59.955999999999769</v>
      </c>
      <c r="AV1088" s="1525">
        <v>0</v>
      </c>
      <c r="AW1088" s="1526" t="s">
        <v>976</v>
      </c>
      <c r="AX1088" s="1525">
        <v>59.96</v>
      </c>
      <c r="AY1088" s="1518">
        <v>45566</v>
      </c>
      <c r="AZ1088" s="333">
        <v>108</v>
      </c>
      <c r="BA1088" s="1074" t="s">
        <v>977</v>
      </c>
      <c r="BB1088" s="644" t="s">
        <v>978</v>
      </c>
      <c r="BC1088" s="1249" t="s">
        <v>115</v>
      </c>
      <c r="BD1088" s="1250" t="s">
        <v>882</v>
      </c>
      <c r="BE1088" s="1251" t="s">
        <v>6073</v>
      </c>
      <c r="BF1088" s="1251" t="s">
        <v>115</v>
      </c>
      <c r="BG1088" s="548" t="s">
        <v>980</v>
      </c>
      <c r="BH1088" s="749" t="s">
        <v>981</v>
      </c>
      <c r="BI1088" s="547" t="s">
        <v>709</v>
      </c>
      <c r="BJ1088" s="549" t="s">
        <v>709</v>
      </c>
      <c r="BK1088" s="547" t="s">
        <v>709</v>
      </c>
      <c r="BL1088" s="547" t="s">
        <v>116</v>
      </c>
      <c r="BM1088" s="626" t="s">
        <v>709</v>
      </c>
      <c r="BN1088" s="549" t="s">
        <v>709</v>
      </c>
      <c r="BO1088" s="626" t="s">
        <v>709</v>
      </c>
      <c r="BP1088" s="626" t="s">
        <v>709</v>
      </c>
      <c r="BQ1088" s="549" t="s">
        <v>709</v>
      </c>
      <c r="BR1088" s="549" t="s">
        <v>709</v>
      </c>
      <c r="BS1088" s="549">
        <v>240</v>
      </c>
      <c r="BT1088" s="549" t="s">
        <v>709</v>
      </c>
      <c r="BU1088" s="549" t="s">
        <v>709</v>
      </c>
      <c r="BV1088" s="549" t="s">
        <v>709</v>
      </c>
      <c r="BW1088" s="549" t="s">
        <v>709</v>
      </c>
      <c r="BX1088" s="547" t="s">
        <v>709</v>
      </c>
      <c r="BY1088" s="549" t="s">
        <v>709</v>
      </c>
      <c r="BZ1088" s="547" t="s">
        <v>709</v>
      </c>
      <c r="CA1088" s="483"/>
      <c r="CB1088" s="547">
        <v>1086</v>
      </c>
      <c r="CC1088" s="1481" t="b">
        <v>1</v>
      </c>
      <c r="CD1088" t="str">
        <f>Table15[[#This Row],[Engineering Number]]&amp;Table15[[#This Row],[WO Number]]&amp;Table15[[#This Row],[Date Assigned to Designer]]&amp;Table15[[#This Row],[Date Completed]]</f>
        <v>M10160-112131274412045251</v>
      </c>
    </row>
    <row r="1089" spans="1:82" customFormat="1" ht="15" customHeight="1" x14ac:dyDescent="0.25">
      <c r="A1089">
        <v>2023</v>
      </c>
      <c r="B1089" s="8" t="s">
        <v>4</v>
      </c>
      <c r="C1089" s="8" t="s">
        <v>1672</v>
      </c>
      <c r="D1089" s="8" t="s">
        <v>1673</v>
      </c>
      <c r="E1089" s="8" t="s">
        <v>1674</v>
      </c>
      <c r="F1089" s="8" t="s">
        <v>784</v>
      </c>
      <c r="G1089" s="8" t="s">
        <v>23</v>
      </c>
      <c r="H1089" s="8" t="s">
        <v>413</v>
      </c>
      <c r="I1089" s="642">
        <v>45027</v>
      </c>
      <c r="J1089" s="18">
        <v>45254</v>
      </c>
      <c r="K1089" s="97">
        <v>45251</v>
      </c>
      <c r="L1089" s="16">
        <f>IF(ISTEXT(Table15[[#This Row],[Engineering Approved Design Date]]),Table15[[#This Row],[Date Completed]]-Table15[[#This Row],[Date Assigned to Designer]],Table15[[#This Row],[Engineering Approved Design Date]]-Table15[[#This Row],[Date Completed]])</f>
        <v>3</v>
      </c>
      <c r="M1089" s="642"/>
      <c r="N1089" s="642" t="s">
        <v>120</v>
      </c>
      <c r="O1089" s="1060">
        <v>45261</v>
      </c>
      <c r="P1089" s="1152" t="s">
        <v>739</v>
      </c>
      <c r="Q1089" s="340">
        <f>Table15[[#This Row],[Rate]]*Table15[[#This Row],[Construction Cost to Bill From]]</f>
        <v>5355.2860000000001</v>
      </c>
      <c r="R1089" s="1026">
        <v>0.1</v>
      </c>
      <c r="S1089" s="538"/>
      <c r="T1089" s="538"/>
      <c r="U1089" s="87"/>
      <c r="V1089" s="858">
        <v>0</v>
      </c>
      <c r="W1089" s="437">
        <v>0</v>
      </c>
      <c r="X1089" s="538">
        <v>0</v>
      </c>
      <c r="Y1089" s="551"/>
      <c r="Z1089" s="552">
        <v>53552.86</v>
      </c>
      <c r="AA1089" s="552">
        <f>SUM(Table15[[#This Row],[PCTS Investment Amount]:[PCTS Retirement Amount]])</f>
        <v>53552.86</v>
      </c>
      <c r="AB1089" s="341">
        <v>45257</v>
      </c>
      <c r="AC1089" s="568" t="s">
        <v>709</v>
      </c>
      <c r="AD1089" s="1157" t="s">
        <v>29</v>
      </c>
      <c r="AE1089" s="568" t="s">
        <v>116</v>
      </c>
      <c r="AF1089" s="568" t="s">
        <v>756</v>
      </c>
      <c r="AG1089" s="569" t="s">
        <v>116</v>
      </c>
      <c r="AH1089" s="183">
        <v>45308</v>
      </c>
      <c r="AI1089" s="1036"/>
      <c r="AJ1089" s="1037"/>
      <c r="AK1089" s="1037"/>
      <c r="AL1089" s="1038"/>
      <c r="AM1089" s="536" t="s">
        <v>116</v>
      </c>
      <c r="AN1089" s="903" t="s">
        <v>709</v>
      </c>
      <c r="AO1089" s="1536"/>
      <c r="AP1089" s="1537"/>
      <c r="AQ1089" s="1537"/>
      <c r="AR1089" s="1537"/>
      <c r="AS1089" s="888">
        <f>IF(Table15[[#This Row],[PCTS Approved]]="N",0,Table15[[#This Row],[Investment Amount (1'#'#'#'#'#)]]+Table15[[#This Row],[Retirement Amount (3'#'#'#'#'#)]])</f>
        <v>0</v>
      </c>
      <c r="AT1089" s="888">
        <f>IF(Table15[[#This Row],[Approved Construction Cost]]=0,0,Table15[[#This Row],[Approved Construction Cost]]-Table15[[#This Row],[Construction Cost to Bill From]])</f>
        <v>0</v>
      </c>
      <c r="AU1089" s="888">
        <f>IFERROR(Table15[[#This Row],[Difference in Construction Cost]]*Table15[[#This Row],[Rate]],Table15[[#This Row],[Difference in Construction Cost]]*0.085)</f>
        <v>0</v>
      </c>
      <c r="AV1089" s="905"/>
      <c r="AW1089" s="1509"/>
      <c r="AX1089" s="888"/>
      <c r="AY1089" s="636" t="s">
        <v>709</v>
      </c>
      <c r="AZ1089" s="333">
        <v>107</v>
      </c>
      <c r="BA1089" s="1105" t="s">
        <v>1675</v>
      </c>
      <c r="BB1089" s="669" t="s">
        <v>1071</v>
      </c>
      <c r="BC1089" s="559" t="s">
        <v>709</v>
      </c>
      <c r="BD1089" s="554" t="s">
        <v>1167</v>
      </c>
      <c r="BE1089" s="588" t="s">
        <v>709</v>
      </c>
      <c r="BF1089" s="588" t="s">
        <v>1676</v>
      </c>
      <c r="BG1089" s="548" t="s">
        <v>709</v>
      </c>
      <c r="BH1089" s="749" t="s">
        <v>1677</v>
      </c>
      <c r="BI1089" s="547" t="s">
        <v>709</v>
      </c>
      <c r="BJ1089" s="549" t="s">
        <v>709</v>
      </c>
      <c r="BK1089" s="547" t="s">
        <v>709</v>
      </c>
      <c r="BL1089" s="547" t="s">
        <v>709</v>
      </c>
      <c r="BM1089" s="626" t="s">
        <v>709</v>
      </c>
      <c r="BN1089" s="549" t="s">
        <v>709</v>
      </c>
      <c r="BO1089" s="626" t="s">
        <v>709</v>
      </c>
      <c r="BP1089" s="626" t="s">
        <v>709</v>
      </c>
      <c r="BQ1089" s="549" t="s">
        <v>709</v>
      </c>
      <c r="BR1089" s="549" t="s">
        <v>709</v>
      </c>
      <c r="BS1089" s="549" t="s">
        <v>709</v>
      </c>
      <c r="BT1089" s="549" t="s">
        <v>709</v>
      </c>
      <c r="BU1089" s="549" t="s">
        <v>709</v>
      </c>
      <c r="BV1089" s="549" t="s">
        <v>709</v>
      </c>
      <c r="BW1089" s="549" t="s">
        <v>709</v>
      </c>
      <c r="BX1089" s="547" t="s">
        <v>709</v>
      </c>
      <c r="BY1089" s="549" t="s">
        <v>709</v>
      </c>
      <c r="BZ1089" s="547" t="s">
        <v>709</v>
      </c>
      <c r="CA1089" s="483" t="s">
        <v>1146</v>
      </c>
      <c r="CB1089" s="547">
        <v>1085</v>
      </c>
      <c r="CC1089" s="1481" t="b">
        <v>1</v>
      </c>
      <c r="CD1089" t="str">
        <f>Table15[[#This Row],[Engineering Number]]&amp;Table15[[#This Row],[WO Number]]&amp;Table15[[#This Row],[Date Assigned to Designer]]&amp;Table15[[#This Row],[Date Completed]]</f>
        <v>N1683332129744502745251</v>
      </c>
    </row>
    <row r="1090" spans="1:82" customFormat="1" ht="15" customHeight="1" x14ac:dyDescent="0.25">
      <c r="A1090">
        <v>2023</v>
      </c>
      <c r="B1090" s="8" t="s">
        <v>771</v>
      </c>
      <c r="C1090" s="8" t="s">
        <v>924</v>
      </c>
      <c r="D1090" s="8">
        <v>1212906</v>
      </c>
      <c r="E1090" s="8" t="s">
        <v>926</v>
      </c>
      <c r="F1090" s="8" t="s">
        <v>784</v>
      </c>
      <c r="G1090" s="8" t="s">
        <v>31</v>
      </c>
      <c r="H1090" s="8" t="s">
        <v>4189</v>
      </c>
      <c r="I1090" s="642">
        <v>45245</v>
      </c>
      <c r="J1090" s="175" t="s">
        <v>2052</v>
      </c>
      <c r="K1090" s="97">
        <v>45257</v>
      </c>
      <c r="L1090" s="16">
        <f>IF(ISTEXT(Table15[[#This Row],[Engineering Approved Design Date]]),Table15[[#This Row],[Date Completed]]-Table15[[#This Row],[Date Assigned to Designer]],Table15[[#This Row],[Engineering Approved Design Date]]-Table15[[#This Row],[Date Completed]])</f>
        <v>12</v>
      </c>
      <c r="M1090" s="16" t="s">
        <v>6076</v>
      </c>
      <c r="N1090" s="642" t="s">
        <v>120</v>
      </c>
      <c r="O1090" s="1060">
        <v>45261</v>
      </c>
      <c r="P1090" s="1152" t="s">
        <v>120</v>
      </c>
      <c r="Q1090" s="1061">
        <f>Table15[[#This Row],[KH Hourly Effort]]</f>
        <v>1577.5</v>
      </c>
      <c r="R1090" s="1039" t="s">
        <v>1922</v>
      </c>
      <c r="S1090" s="538">
        <v>0</v>
      </c>
      <c r="T1090" s="538">
        <v>0</v>
      </c>
      <c r="U1090" s="1078">
        <v>1577.5</v>
      </c>
      <c r="V1090" s="857">
        <v>0</v>
      </c>
      <c r="W1090" s="440">
        <v>0</v>
      </c>
      <c r="X1090" s="538"/>
      <c r="Y1090" s="551"/>
      <c r="Z1090" s="538"/>
      <c r="AA1090" s="552"/>
      <c r="AB1090" s="341"/>
      <c r="AC1090" s="569" t="s">
        <v>29</v>
      </c>
      <c r="AD1090" s="1149" t="s">
        <v>745</v>
      </c>
      <c r="AE1090" s="569" t="s">
        <v>116</v>
      </c>
      <c r="AF1090" s="569" t="s">
        <v>116</v>
      </c>
      <c r="AG1090" s="569" t="s">
        <v>29</v>
      </c>
      <c r="AH1090" s="536" t="s">
        <v>29</v>
      </c>
      <c r="AI1090" s="1028"/>
      <c r="AJ1090" s="1029"/>
      <c r="AK1090" s="1029"/>
      <c r="AL1090" s="1030"/>
      <c r="AM1090" s="542" t="s">
        <v>709</v>
      </c>
      <c r="AN1090" s="924"/>
      <c r="AO1090" s="925"/>
      <c r="AP1090" s="926"/>
      <c r="AQ1090" s="926"/>
      <c r="AR1090" s="926"/>
      <c r="AS1090" s="926"/>
      <c r="AT1090" s="926"/>
      <c r="AU1090" s="926"/>
      <c r="AV1090" s="926"/>
      <c r="AW1090" s="927"/>
      <c r="AX1090" s="926"/>
      <c r="AY1090" s="1538" t="s">
        <v>29</v>
      </c>
      <c r="AZ1090" s="1530"/>
      <c r="BA1090" s="1031">
        <v>2</v>
      </c>
      <c r="BB1090" s="653" t="s">
        <v>376</v>
      </c>
      <c r="BC1090" s="559"/>
      <c r="BD1090" s="554"/>
      <c r="BE1090" s="588"/>
      <c r="BF1090" s="588"/>
      <c r="BG1090" s="548"/>
      <c r="BH1090" s="749" t="s">
        <v>6077</v>
      </c>
      <c r="BI1090" s="549" t="s">
        <v>709</v>
      </c>
      <c r="BJ1090" s="549" t="s">
        <v>709</v>
      </c>
      <c r="BK1090" s="549" t="s">
        <v>709</v>
      </c>
      <c r="BL1090" s="549" t="s">
        <v>116</v>
      </c>
      <c r="BM1090" s="549" t="s">
        <v>709</v>
      </c>
      <c r="BN1090" s="549" t="s">
        <v>709</v>
      </c>
      <c r="BO1090" s="549" t="s">
        <v>709</v>
      </c>
      <c r="BP1090" s="549" t="s">
        <v>709</v>
      </c>
      <c r="BQ1090" s="549" t="s">
        <v>709</v>
      </c>
      <c r="BR1090" s="549">
        <v>1867</v>
      </c>
      <c r="BS1090" s="549" t="s">
        <v>709</v>
      </c>
      <c r="BT1090" s="549" t="s">
        <v>709</v>
      </c>
      <c r="BU1090" s="549" t="s">
        <v>709</v>
      </c>
      <c r="BV1090" s="549" t="s">
        <v>709</v>
      </c>
      <c r="BW1090" s="549" t="s">
        <v>709</v>
      </c>
      <c r="BX1090" s="549" t="s">
        <v>709</v>
      </c>
      <c r="BY1090" s="549" t="s">
        <v>709</v>
      </c>
      <c r="BZ1090" s="547" t="s">
        <v>709</v>
      </c>
      <c r="CA1090" s="484"/>
      <c r="CB1090" s="547">
        <v>1088</v>
      </c>
      <c r="CC1090" s="1481" t="b">
        <v>1</v>
      </c>
      <c r="CD1090" t="str">
        <f>Table15[[#This Row],[Engineering Number]]&amp;Table15[[#This Row],[WO Number]]&amp;Table15[[#This Row],[Date Assigned to Designer]]&amp;Table15[[#This Row],[Date Completed]]</f>
        <v>BS36112129064524545257</v>
      </c>
    </row>
    <row r="1091" spans="1:82" customFormat="1" ht="15" customHeight="1" x14ac:dyDescent="0.25">
      <c r="A1091">
        <v>2023</v>
      </c>
      <c r="B1091" s="8" t="s">
        <v>4</v>
      </c>
      <c r="C1091" s="8" t="s">
        <v>1678</v>
      </c>
      <c r="D1091" s="8" t="s">
        <v>1679</v>
      </c>
      <c r="E1091" s="8" t="s">
        <v>1680</v>
      </c>
      <c r="F1091" s="8" t="s">
        <v>851</v>
      </c>
      <c r="G1091" s="8" t="s">
        <v>25</v>
      </c>
      <c r="H1091" s="8" t="s">
        <v>1681</v>
      </c>
      <c r="I1091" s="642">
        <v>45135</v>
      </c>
      <c r="J1091" s="18">
        <v>45275</v>
      </c>
      <c r="K1091" s="97">
        <v>45259</v>
      </c>
      <c r="L1091" s="16">
        <f>IF(ISTEXT(Table15[[#This Row],[Engineering Approved Design Date]]),Table15[[#This Row],[Date Completed]]-Table15[[#This Row],[Date Assigned to Designer]],Table15[[#This Row],[Engineering Approved Design Date]]-Table15[[#This Row],[Date Completed]])</f>
        <v>16</v>
      </c>
      <c r="M1091" s="642" t="s">
        <v>1682</v>
      </c>
      <c r="N1091" s="642" t="s">
        <v>120</v>
      </c>
      <c r="O1091" s="1060">
        <v>45261</v>
      </c>
      <c r="P1091" s="1152" t="s">
        <v>739</v>
      </c>
      <c r="Q1091" s="340">
        <f>Table15[[#This Row],[Rate]]*Table15[[#This Row],[Construction Cost to Bill From]]</f>
        <v>10853.37</v>
      </c>
      <c r="R1091" s="1026">
        <v>0.1</v>
      </c>
      <c r="S1091" s="538"/>
      <c r="T1091" s="538"/>
      <c r="U1091" s="87"/>
      <c r="V1091" s="858">
        <v>0</v>
      </c>
      <c r="W1091" s="437">
        <v>0</v>
      </c>
      <c r="X1091" s="538">
        <v>76598.83</v>
      </c>
      <c r="Y1091" s="551"/>
      <c r="Z1091" s="552">
        <v>31934.87</v>
      </c>
      <c r="AA1091" s="552">
        <f>SUM(Table15[[#This Row],[PCTS Investment Amount]:[PCTS Retirement Amount]])</f>
        <v>108533.7</v>
      </c>
      <c r="AB1091" s="341">
        <v>45238</v>
      </c>
      <c r="AC1091" s="568" t="s">
        <v>29</v>
      </c>
      <c r="AD1091" s="1157" t="s">
        <v>29</v>
      </c>
      <c r="AE1091" s="568" t="s">
        <v>116</v>
      </c>
      <c r="AF1091" s="568" t="s">
        <v>29</v>
      </c>
      <c r="AG1091" s="568" t="s">
        <v>29</v>
      </c>
      <c r="AH1091" s="183">
        <v>45447</v>
      </c>
      <c r="AI1091" s="1036"/>
      <c r="AJ1091" s="1037"/>
      <c r="AK1091" s="1037"/>
      <c r="AL1091" s="1038"/>
      <c r="AM1091" s="536" t="s">
        <v>116</v>
      </c>
      <c r="AN1091" s="903" t="s">
        <v>709</v>
      </c>
      <c r="AO1091" s="1536"/>
      <c r="AP1091" s="1537"/>
      <c r="AQ1091" s="1537"/>
      <c r="AR1091" s="1537"/>
      <c r="AS1091" s="888">
        <f>IF(Table15[[#This Row],[PCTS Approved]]="N",0,Table15[[#This Row],[Investment Amount (1'#'#'#'#'#)]]+Table15[[#This Row],[Retirement Amount (3'#'#'#'#'#)]])</f>
        <v>0</v>
      </c>
      <c r="AT1091" s="888">
        <f>IF(Table15[[#This Row],[Approved Construction Cost]]=0,0,Table15[[#This Row],[Approved Construction Cost]]-Table15[[#This Row],[Construction Cost to Bill From]])</f>
        <v>0</v>
      </c>
      <c r="AU1091" s="888">
        <f>IFERROR(Table15[[#This Row],[Difference in Construction Cost]]*Table15[[#This Row],[Rate]],Table15[[#This Row],[Difference in Construction Cost]]*0.085)</f>
        <v>0</v>
      </c>
      <c r="AV1091" s="905"/>
      <c r="AW1091" s="1509"/>
      <c r="AX1091" s="888"/>
      <c r="AY1091" s="636" t="s">
        <v>709</v>
      </c>
      <c r="AZ1091" s="333">
        <v>109</v>
      </c>
      <c r="BA1091" s="1076" t="s">
        <v>1683</v>
      </c>
      <c r="BB1091" s="653" t="s">
        <v>1684</v>
      </c>
      <c r="BC1091" s="544" t="s">
        <v>116</v>
      </c>
      <c r="BD1091" s="544" t="s">
        <v>788</v>
      </c>
      <c r="BE1091" s="559" t="s">
        <v>1684</v>
      </c>
      <c r="BF1091" s="554" t="s">
        <v>709</v>
      </c>
      <c r="BG1091" s="548" t="s">
        <v>709</v>
      </c>
      <c r="BH1091" s="749" t="s">
        <v>1685</v>
      </c>
      <c r="BI1091" s="547" t="s">
        <v>709</v>
      </c>
      <c r="BJ1091" s="547" t="s">
        <v>709</v>
      </c>
      <c r="BK1091" s="547" t="s">
        <v>709</v>
      </c>
      <c r="BL1091" s="547" t="s">
        <v>116</v>
      </c>
      <c r="BM1091" s="547" t="s">
        <v>709</v>
      </c>
      <c r="BN1091" s="547" t="s">
        <v>709</v>
      </c>
      <c r="BO1091" s="547" t="s">
        <v>709</v>
      </c>
      <c r="BP1091" s="547" t="s">
        <v>709</v>
      </c>
      <c r="BQ1091" s="547" t="s">
        <v>709</v>
      </c>
      <c r="BR1091" s="547" t="s">
        <v>709</v>
      </c>
      <c r="BS1091" s="547">
        <v>87</v>
      </c>
      <c r="BT1091" s="547" t="s">
        <v>709</v>
      </c>
      <c r="BU1091" s="547" t="s">
        <v>709</v>
      </c>
      <c r="BV1091" s="547" t="s">
        <v>709</v>
      </c>
      <c r="BW1091" s="547" t="s">
        <v>709</v>
      </c>
      <c r="BX1091" s="547" t="s">
        <v>709</v>
      </c>
      <c r="BY1091" s="547" t="s">
        <v>709</v>
      </c>
      <c r="BZ1091" s="547" t="s">
        <v>709</v>
      </c>
      <c r="CA1091" s="483" t="s">
        <v>915</v>
      </c>
      <c r="CB1091" s="547">
        <v>1089</v>
      </c>
      <c r="CC1091" s="1481" t="b">
        <v>1</v>
      </c>
      <c r="CD1091" t="str">
        <f>Table15[[#This Row],[Engineering Number]]&amp;Table15[[#This Row],[WO Number]]&amp;Table15[[#This Row],[Date Assigned to Designer]]&amp;Table15[[#This Row],[Date Completed]]</f>
        <v>SC2231613132644513545259</v>
      </c>
    </row>
    <row r="1092" spans="1:82" customFormat="1" ht="15" customHeight="1" x14ac:dyDescent="0.25">
      <c r="A1092">
        <v>2023</v>
      </c>
      <c r="B1092" s="8" t="s">
        <v>4</v>
      </c>
      <c r="C1092" s="8" t="s">
        <v>385</v>
      </c>
      <c r="D1092" s="8">
        <v>135740</v>
      </c>
      <c r="E1092" s="8" t="s">
        <v>783</v>
      </c>
      <c r="F1092" s="8" t="s">
        <v>784</v>
      </c>
      <c r="G1092" s="8" t="s">
        <v>6080</v>
      </c>
      <c r="H1092" s="8" t="s">
        <v>4462</v>
      </c>
      <c r="I1092" s="642">
        <v>45245</v>
      </c>
      <c r="J1092" s="175" t="s">
        <v>2052</v>
      </c>
      <c r="K1092" s="97">
        <v>45260</v>
      </c>
      <c r="L1092" s="649">
        <f>IF(ISTEXT(Table15[[#This Row],[Engineering Approved Design Date]]),Table15[[#This Row],[Date Completed]]-Table15[[#This Row],[Date Assigned to Designer]],Table15[[#This Row],[Engineering Approved Design Date]]-Table15[[#This Row],[Date Completed]])</f>
        <v>15</v>
      </c>
      <c r="M1092" s="16" t="s">
        <v>6081</v>
      </c>
      <c r="N1092" s="642" t="s">
        <v>120</v>
      </c>
      <c r="O1092" s="1060">
        <v>45261</v>
      </c>
      <c r="P1092" s="1152" t="s">
        <v>739</v>
      </c>
      <c r="Q1092" s="1151" t="s">
        <v>115</v>
      </c>
      <c r="R1092" s="1039" t="s">
        <v>115</v>
      </c>
      <c r="S1092" s="538"/>
      <c r="T1092" s="538"/>
      <c r="U1092" s="87"/>
      <c r="V1092" s="857"/>
      <c r="W1092" s="440"/>
      <c r="X1092" s="538"/>
      <c r="Y1092" s="551"/>
      <c r="Z1092" s="538"/>
      <c r="AA1092" s="552"/>
      <c r="AB1092" s="341" t="s">
        <v>29</v>
      </c>
      <c r="AC1092" s="569" t="s">
        <v>29</v>
      </c>
      <c r="AD1092" s="1149" t="s">
        <v>116</v>
      </c>
      <c r="AE1092" s="580"/>
      <c r="AF1092" s="580"/>
      <c r="AG1092" s="580"/>
      <c r="AH1092" s="542"/>
      <c r="AI1092" s="1028"/>
      <c r="AJ1092" s="1029"/>
      <c r="AK1092" s="1029"/>
      <c r="AL1092" s="1030"/>
      <c r="AM1092" s="542" t="s">
        <v>709</v>
      </c>
      <c r="AN1092" s="924"/>
      <c r="AO1092" s="925"/>
      <c r="AP1092" s="926"/>
      <c r="AQ1092" s="926"/>
      <c r="AR1092" s="926"/>
      <c r="AS1092" s="926"/>
      <c r="AT1092" s="926"/>
      <c r="AU1092" s="926"/>
      <c r="AV1092" s="926"/>
      <c r="AW1092" s="927"/>
      <c r="AX1092" s="926"/>
      <c r="AY1092" s="1538" t="s">
        <v>29</v>
      </c>
      <c r="AZ1092" s="1530"/>
      <c r="BA1092" s="1031">
        <v>3</v>
      </c>
      <c r="BB1092" s="644" t="s">
        <v>376</v>
      </c>
      <c r="BC1092" s="559" t="s">
        <v>6082</v>
      </c>
      <c r="BD1092" s="554" t="s">
        <v>74</v>
      </c>
      <c r="BE1092" s="588" t="s">
        <v>376</v>
      </c>
      <c r="BF1092" s="588"/>
      <c r="BG1092" s="548"/>
      <c r="BH1092" s="615"/>
      <c r="BI1092" s="1032" t="s">
        <v>709</v>
      </c>
      <c r="BJ1092" s="1032" t="s">
        <v>709</v>
      </c>
      <c r="BK1092" s="1032" t="s">
        <v>709</v>
      </c>
      <c r="BL1092" s="1032" t="s">
        <v>116</v>
      </c>
      <c r="BM1092" s="1032" t="s">
        <v>709</v>
      </c>
      <c r="BN1092" s="1032">
        <v>1222</v>
      </c>
      <c r="BO1092" s="1032" t="s">
        <v>709</v>
      </c>
      <c r="BP1092" s="1032" t="s">
        <v>709</v>
      </c>
      <c r="BQ1092" s="1032">
        <v>63</v>
      </c>
      <c r="BR1092" s="1032">
        <v>100</v>
      </c>
      <c r="BS1092" s="1032">
        <v>153</v>
      </c>
      <c r="BT1092" s="1032" t="s">
        <v>709</v>
      </c>
      <c r="BU1092" s="1032" t="s">
        <v>709</v>
      </c>
      <c r="BV1092" s="1032" t="s">
        <v>709</v>
      </c>
      <c r="BW1092" s="1032" t="s">
        <v>709</v>
      </c>
      <c r="BX1092" s="1032" t="s">
        <v>709</v>
      </c>
      <c r="BY1092" s="1032" t="s">
        <v>709</v>
      </c>
      <c r="BZ1092" s="1032" t="s">
        <v>709</v>
      </c>
      <c r="CA1092" s="485"/>
      <c r="CB1092" s="547">
        <v>1091</v>
      </c>
      <c r="CC1092" s="1481" t="b">
        <v>1</v>
      </c>
      <c r="CD1092" t="str">
        <f>Table15[[#This Row],[Engineering Number]]&amp;Table15[[#This Row],[WO Number]]&amp;Table15[[#This Row],[Date Assigned to Designer]]&amp;Table15[[#This Row],[Date Completed]]</f>
        <v>SC179321357404524545260</v>
      </c>
    </row>
    <row r="1093" spans="1:82" customFormat="1" ht="15" customHeight="1" x14ac:dyDescent="0.25">
      <c r="A1093">
        <v>2023</v>
      </c>
      <c r="B1093" s="8" t="s">
        <v>4</v>
      </c>
      <c r="C1093" s="8" t="s">
        <v>5828</v>
      </c>
      <c r="D1093" s="8">
        <v>1212843</v>
      </c>
      <c r="E1093" s="8" t="s">
        <v>1117</v>
      </c>
      <c r="F1093" s="8" t="s">
        <v>784</v>
      </c>
      <c r="G1093" s="8" t="s">
        <v>26</v>
      </c>
      <c r="H1093" s="8" t="s">
        <v>4189</v>
      </c>
      <c r="I1093" s="642">
        <v>45257</v>
      </c>
      <c r="J1093" s="175" t="s">
        <v>2052</v>
      </c>
      <c r="K1093" s="642">
        <v>45260</v>
      </c>
      <c r="L1093" s="16">
        <f>IF(ISTEXT(Table15[[#This Row],[Engineering Approved Design Date]]),Table15[[#This Row],[Date Completed]]-Table15[[#This Row],[Date Assigned to Designer]],Table15[[#This Row],[Engineering Approved Design Date]]-Table15[[#This Row],[Date Completed]])</f>
        <v>3</v>
      </c>
      <c r="M1093" s="16" t="s">
        <v>6084</v>
      </c>
      <c r="N1093" s="642" t="s">
        <v>120</v>
      </c>
      <c r="O1093" s="1060">
        <v>45261</v>
      </c>
      <c r="P1093" s="1152" t="s">
        <v>739</v>
      </c>
      <c r="Q1093" s="1151">
        <f>Table15[[#This Row],[KH Hourly Effort]]</f>
        <v>1737.5</v>
      </c>
      <c r="R1093" s="1039" t="s">
        <v>1922</v>
      </c>
      <c r="S1093" s="538">
        <v>0</v>
      </c>
      <c r="T1093" s="538">
        <v>0</v>
      </c>
      <c r="U1093" s="1078">
        <v>1737.5</v>
      </c>
      <c r="V1093" s="857"/>
      <c r="W1093" s="440"/>
      <c r="X1093" s="538"/>
      <c r="Y1093" s="551"/>
      <c r="Z1093" s="538"/>
      <c r="AA1093" s="552"/>
      <c r="AB1093" s="341" t="s">
        <v>29</v>
      </c>
      <c r="AC1093" s="569" t="s">
        <v>29</v>
      </c>
      <c r="AD1093" s="1149" t="s">
        <v>29</v>
      </c>
      <c r="AE1093" s="568" t="s">
        <v>116</v>
      </c>
      <c r="AF1093" s="568" t="s">
        <v>116</v>
      </c>
      <c r="AG1093" s="569" t="s">
        <v>29</v>
      </c>
      <c r="AH1093" s="183">
        <v>45447</v>
      </c>
      <c r="AI1093" s="1036"/>
      <c r="AJ1093" s="1037"/>
      <c r="AK1093" s="1037"/>
      <c r="AL1093" s="1038"/>
      <c r="AM1093" s="542" t="s">
        <v>709</v>
      </c>
      <c r="AN1093" s="924"/>
      <c r="AO1093" s="925"/>
      <c r="AP1093" s="926"/>
      <c r="AQ1093" s="926"/>
      <c r="AR1093" s="926"/>
      <c r="AS1093" s="926"/>
      <c r="AT1093" s="926"/>
      <c r="AU1093" s="926"/>
      <c r="AV1093" s="926"/>
      <c r="AW1093" s="927"/>
      <c r="AX1093" s="926"/>
      <c r="AY1093" s="1538" t="s">
        <v>29</v>
      </c>
      <c r="AZ1093" s="1530"/>
      <c r="BA1093" s="1031">
        <v>3</v>
      </c>
      <c r="BB1093" s="653" t="s">
        <v>6085</v>
      </c>
      <c r="BC1093" s="544"/>
      <c r="BD1093" s="544" t="s">
        <v>882</v>
      </c>
      <c r="BE1093" s="544"/>
      <c r="BF1093" s="544"/>
      <c r="BG1093" s="544"/>
      <c r="BH1093" s="741" t="s">
        <v>6086</v>
      </c>
      <c r="BI1093" s="626" t="s">
        <v>709</v>
      </c>
      <c r="BJ1093" s="547" t="s">
        <v>709</v>
      </c>
      <c r="BK1093" s="547" t="s">
        <v>709</v>
      </c>
      <c r="BL1093" s="1083" t="s">
        <v>116</v>
      </c>
      <c r="BM1093" s="549" t="s">
        <v>709</v>
      </c>
      <c r="BN1093" s="549" t="s">
        <v>709</v>
      </c>
      <c r="BO1093" s="547" t="s">
        <v>709</v>
      </c>
      <c r="BP1093" s="549" t="s">
        <v>709</v>
      </c>
      <c r="BQ1093" s="547" t="s">
        <v>709</v>
      </c>
      <c r="BR1093" s="626">
        <v>709</v>
      </c>
      <c r="BS1093" s="549">
        <v>72</v>
      </c>
      <c r="BT1093" s="547" t="s">
        <v>709</v>
      </c>
      <c r="BU1093" s="547" t="s">
        <v>709</v>
      </c>
      <c r="BV1093" s="547" t="s">
        <v>709</v>
      </c>
      <c r="BW1093" s="547" t="s">
        <v>709</v>
      </c>
      <c r="BX1093" s="547" t="s">
        <v>709</v>
      </c>
      <c r="BY1093" s="547" t="s">
        <v>709</v>
      </c>
      <c r="BZ1093" s="547" t="s">
        <v>709</v>
      </c>
      <c r="CA1093" s="483" t="s">
        <v>915</v>
      </c>
      <c r="CB1093" s="547">
        <v>1092</v>
      </c>
      <c r="CC1093" s="1481" t="b">
        <v>1</v>
      </c>
      <c r="CD1093" t="str">
        <f>Table15[[#This Row],[Engineering Number]]&amp;Table15[[#This Row],[WO Number]]&amp;Table15[[#This Row],[Date Assigned to Designer]]&amp;Table15[[#This Row],[Date Completed]]</f>
        <v>N1629112128434525745260</v>
      </c>
    </row>
    <row r="1094" spans="1:82" customFormat="1" ht="15" customHeight="1" x14ac:dyDescent="0.25">
      <c r="A1094">
        <v>2023</v>
      </c>
      <c r="B1094" s="8" t="s">
        <v>1073</v>
      </c>
      <c r="C1094" s="8" t="s">
        <v>1686</v>
      </c>
      <c r="D1094" s="8" t="s">
        <v>1687</v>
      </c>
      <c r="E1094" s="8" t="s">
        <v>1674</v>
      </c>
      <c r="F1094" s="8" t="s">
        <v>1688</v>
      </c>
      <c r="G1094" s="8" t="s">
        <v>23</v>
      </c>
      <c r="H1094" s="8" t="s">
        <v>59</v>
      </c>
      <c r="I1094" s="642">
        <v>45190</v>
      </c>
      <c r="J1094" s="18">
        <v>45264</v>
      </c>
      <c r="K1094" s="97">
        <v>45260</v>
      </c>
      <c r="L1094" s="649">
        <f>IF(ISTEXT(Table15[[#This Row],[Engineering Approved Design Date]]),Table15[[#This Row],[Date Completed]]-Table15[[#This Row],[Date Assigned to Designer]],Table15[[#This Row],[Engineering Approved Design Date]]-Table15[[#This Row],[Date Completed]])</f>
        <v>4</v>
      </c>
      <c r="M1094" s="642"/>
      <c r="N1094" s="642" t="s">
        <v>120</v>
      </c>
      <c r="O1094" s="1060">
        <v>45261</v>
      </c>
      <c r="P1094" s="1152" t="s">
        <v>739</v>
      </c>
      <c r="Q1094" s="340">
        <f>Table15[[#This Row],[Rate]]*Table15[[#This Row],[Construction Cost to Bill From]]</f>
        <v>29967.556</v>
      </c>
      <c r="R1094" s="1026">
        <v>0.08</v>
      </c>
      <c r="S1094" s="538"/>
      <c r="T1094" s="538"/>
      <c r="U1094" s="87"/>
      <c r="V1094" s="858">
        <v>1484</v>
      </c>
      <c r="W1094" s="437">
        <v>0</v>
      </c>
      <c r="X1094" s="552">
        <v>374594.45</v>
      </c>
      <c r="Y1094" s="551"/>
      <c r="Z1094" s="552">
        <v>0</v>
      </c>
      <c r="AA1094" s="552">
        <f>SUM(Table15[[#This Row],[PCTS Investment Amount]:[PCTS Retirement Amount]])</f>
        <v>374594.45</v>
      </c>
      <c r="AB1094" s="341">
        <v>45261</v>
      </c>
      <c r="AC1094" s="568" t="s">
        <v>709</v>
      </c>
      <c r="AD1094" s="1157" t="s">
        <v>29</v>
      </c>
      <c r="AE1094" s="568" t="s">
        <v>116</v>
      </c>
      <c r="AF1094" s="568" t="s">
        <v>116</v>
      </c>
      <c r="AG1094" s="568" t="s">
        <v>376</v>
      </c>
      <c r="AH1094" s="183" t="s">
        <v>376</v>
      </c>
      <c r="AI1094" s="1036"/>
      <c r="AJ1094" s="1037"/>
      <c r="AK1094" s="1037"/>
      <c r="AL1094" s="1038"/>
      <c r="AM1094" s="536" t="s">
        <v>116</v>
      </c>
      <c r="AN1094" s="903" t="s">
        <v>709</v>
      </c>
      <c r="AO1094" s="1536"/>
      <c r="AP1094" s="1537"/>
      <c r="AQ1094" s="1537"/>
      <c r="AR1094" s="1537"/>
      <c r="AS1094" s="888">
        <f>IF(Table15[[#This Row],[PCTS Approved]]="N",0,Table15[[#This Row],[Investment Amount (1'#'#'#'#'#)]]+Table15[[#This Row],[Retirement Amount (3'#'#'#'#'#)]])</f>
        <v>0</v>
      </c>
      <c r="AT1094" s="888">
        <f>IF(Table15[[#This Row],[Approved Construction Cost]]=0,0,Table15[[#This Row],[Approved Construction Cost]]-Table15[[#This Row],[Construction Cost to Bill From]])</f>
        <v>0</v>
      </c>
      <c r="AU1094" s="888">
        <f>IFERROR(Table15[[#This Row],[Difference in Construction Cost]]*Table15[[#This Row],[Rate]],Table15[[#This Row],[Difference in Construction Cost]]*0.085)</f>
        <v>0</v>
      </c>
      <c r="AV1094" s="905"/>
      <c r="AW1094" s="1509"/>
      <c r="AX1094" s="888"/>
      <c r="AY1094" s="636" t="s">
        <v>709</v>
      </c>
      <c r="AZ1094" s="333">
        <v>19</v>
      </c>
      <c r="BA1094" s="1074" t="s">
        <v>1689</v>
      </c>
      <c r="BB1094" s="644" t="s">
        <v>1690</v>
      </c>
      <c r="BC1094" s="559" t="s">
        <v>116</v>
      </c>
      <c r="BD1094" s="554" t="s">
        <v>709</v>
      </c>
      <c r="BE1094" s="588" t="s">
        <v>1691</v>
      </c>
      <c r="BF1094" s="588" t="s">
        <v>115</v>
      </c>
      <c r="BG1094" s="548"/>
      <c r="BH1094" s="749" t="s">
        <v>1677</v>
      </c>
      <c r="BI1094" s="547" t="s">
        <v>709</v>
      </c>
      <c r="BJ1094" s="547" t="s">
        <v>709</v>
      </c>
      <c r="BK1094" s="547" t="s">
        <v>709</v>
      </c>
      <c r="BL1094" s="547" t="s">
        <v>116</v>
      </c>
      <c r="BM1094" s="547" t="s">
        <v>709</v>
      </c>
      <c r="BN1094" s="547" t="s">
        <v>709</v>
      </c>
      <c r="BO1094" s="547" t="s">
        <v>709</v>
      </c>
      <c r="BP1094" s="547" t="s">
        <v>709</v>
      </c>
      <c r="BQ1094" s="547" t="s">
        <v>709</v>
      </c>
      <c r="BR1094" s="547">
        <v>1484</v>
      </c>
      <c r="BS1094" s="547" t="s">
        <v>709</v>
      </c>
      <c r="BT1094" s="547" t="s">
        <v>709</v>
      </c>
      <c r="BU1094" s="547" t="s">
        <v>709</v>
      </c>
      <c r="BV1094" s="547" t="s">
        <v>709</v>
      </c>
      <c r="BW1094" s="547" t="s">
        <v>709</v>
      </c>
      <c r="BX1094" s="547" t="s">
        <v>709</v>
      </c>
      <c r="BY1094" s="547" t="s">
        <v>709</v>
      </c>
      <c r="BZ1094" s="547" t="s">
        <v>709</v>
      </c>
      <c r="CA1094" s="483"/>
      <c r="CB1094" s="547">
        <v>1090</v>
      </c>
      <c r="CC1094" s="1481" t="b">
        <v>1</v>
      </c>
      <c r="CD1094" t="str">
        <f>Table15[[#This Row],[Engineering Number]]&amp;Table15[[#This Row],[WO Number]]&amp;Table15[[#This Row],[Date Assigned to Designer]]&amp;Table15[[#This Row],[Date Completed]]</f>
        <v>NBA1001152115131884519045260</v>
      </c>
    </row>
    <row r="1095" spans="1:82" customFormat="1" ht="15" customHeight="1" x14ac:dyDescent="0.25">
      <c r="A1095">
        <v>2024</v>
      </c>
      <c r="B1095" s="8" t="s">
        <v>4</v>
      </c>
      <c r="C1095" s="8" t="s">
        <v>397</v>
      </c>
      <c r="D1095" s="8" t="s">
        <v>1692</v>
      </c>
      <c r="E1095" s="8" t="s">
        <v>398</v>
      </c>
      <c r="F1095" s="8" t="s">
        <v>784</v>
      </c>
      <c r="G1095" s="8" t="s">
        <v>35</v>
      </c>
      <c r="H1095" s="8" t="s">
        <v>59</v>
      </c>
      <c r="I1095" s="642">
        <v>44854</v>
      </c>
      <c r="J1095" s="18">
        <v>45267</v>
      </c>
      <c r="K1095" s="97">
        <v>45261</v>
      </c>
      <c r="L1095" s="16">
        <f>IF(ISTEXT(Table15[[#This Row],[Engineering Approved Design Date]]),Table15[[#This Row],[Date Completed]]-Table15[[#This Row],[Date Assigned to Designer]],Table15[[#This Row],[Engineering Approved Design Date]]-Table15[[#This Row],[Date Completed]])</f>
        <v>6</v>
      </c>
      <c r="M1095" s="642"/>
      <c r="N1095" s="642" t="s">
        <v>120</v>
      </c>
      <c r="O1095" s="1060">
        <v>45292</v>
      </c>
      <c r="P1095" s="1152" t="s">
        <v>739</v>
      </c>
      <c r="Q1095" s="340">
        <f>Table15[[#This Row],[Rate]]*Table15[[#This Row],[Construction Cost to Bill From]]</f>
        <v>584340.76300000004</v>
      </c>
      <c r="R1095" s="1026">
        <v>0.1</v>
      </c>
      <c r="S1095" s="538"/>
      <c r="T1095" s="538"/>
      <c r="U1095" s="87"/>
      <c r="V1095" s="858">
        <v>15156</v>
      </c>
      <c r="W1095" s="437">
        <v>0</v>
      </c>
      <c r="X1095" s="556">
        <v>4473504.66</v>
      </c>
      <c r="Y1095" s="551"/>
      <c r="Z1095" s="570">
        <v>1369902.97</v>
      </c>
      <c r="AA1095" s="552">
        <f>SUM(Table15[[#This Row],[PCTS Investment Amount]:[PCTS Retirement Amount]])</f>
        <v>5843407.6299999999</v>
      </c>
      <c r="AB1095" s="341">
        <v>45244</v>
      </c>
      <c r="AC1095" s="568" t="s">
        <v>116</v>
      </c>
      <c r="AD1095" s="1157" t="s">
        <v>29</v>
      </c>
      <c r="AE1095" s="568" t="s">
        <v>116</v>
      </c>
      <c r="AF1095" s="568" t="s">
        <v>116</v>
      </c>
      <c r="AG1095" s="568" t="s">
        <v>376</v>
      </c>
      <c r="AH1095" s="183">
        <v>45308</v>
      </c>
      <c r="AI1095" s="1106">
        <v>6220</v>
      </c>
      <c r="AJ1095" s="1037"/>
      <c r="AK1095" s="1107">
        <v>2232.5</v>
      </c>
      <c r="AL1095" s="1108">
        <f>SUM(Table15[[#This Row],[Nicor Initiated DBE]:[Staffing]])/(Table15[[#This Row],[Amount Invoiced]])</f>
        <v>1.4465018590530881E-2</v>
      </c>
      <c r="AM1095" s="1522" t="s">
        <v>116</v>
      </c>
      <c r="AN1095" s="1523">
        <v>45524</v>
      </c>
      <c r="AO1095" s="1524">
        <v>11088378</v>
      </c>
      <c r="AP1095" s="1525">
        <v>4555170.26</v>
      </c>
      <c r="AQ1095" s="1525"/>
      <c r="AR1095" s="1525">
        <v>1402767.51</v>
      </c>
      <c r="AS1095" s="1525">
        <f>IF(Table15[[#This Row],[PCTS Approved]]="N",0,Table15[[#This Row],[Investment Amount (1'#'#'#'#'#)]]+Table15[[#This Row],[Retirement Amount (3'#'#'#'#'#)]])</f>
        <v>5957937.7699999996</v>
      </c>
      <c r="AT1095" s="1525">
        <f>IF(Table15[[#This Row],[Approved Construction Cost]]=0,0,Table15[[#This Row],[Approved Construction Cost]]-Table15[[#This Row],[Construction Cost to Bill From]])</f>
        <v>114530.13999999966</v>
      </c>
      <c r="AU1095" s="1525">
        <f>IFERROR(Table15[[#This Row],[Difference in Construction Cost]]*Table15[[#This Row],[Rate]],Table15[[#This Row],[Difference in Construction Cost]]*0.085)</f>
        <v>11453.013999999966</v>
      </c>
      <c r="AV1095" s="1525">
        <v>0</v>
      </c>
      <c r="AW1095" s="1526" t="s">
        <v>6089</v>
      </c>
      <c r="AX1095" s="1525">
        <f>Table15[[#This Row],[Reconcile Amount]]</f>
        <v>11453.013999999966</v>
      </c>
      <c r="AY1095" s="1518">
        <v>45901</v>
      </c>
      <c r="AZ1095" s="333">
        <v>110</v>
      </c>
      <c r="BA1095" s="1074" t="s">
        <v>1693</v>
      </c>
      <c r="BB1095" s="644" t="s">
        <v>870</v>
      </c>
      <c r="BC1095" s="559" t="s">
        <v>116</v>
      </c>
      <c r="BD1095" s="554" t="s">
        <v>1626</v>
      </c>
      <c r="BE1095" s="588" t="s">
        <v>115</v>
      </c>
      <c r="BF1095" s="588" t="s">
        <v>709</v>
      </c>
      <c r="BG1095" s="548" t="s">
        <v>1694</v>
      </c>
      <c r="BH1095" s="749" t="s">
        <v>1695</v>
      </c>
      <c r="BI1095" s="547" t="s">
        <v>709</v>
      </c>
      <c r="BJ1095" s="549" t="s">
        <v>709</v>
      </c>
      <c r="BK1095" s="547" t="s">
        <v>116</v>
      </c>
      <c r="BL1095" s="547" t="s">
        <v>116</v>
      </c>
      <c r="BM1095" s="626" t="s">
        <v>709</v>
      </c>
      <c r="BN1095" s="549" t="s">
        <v>709</v>
      </c>
      <c r="BO1095" s="626" t="s">
        <v>709</v>
      </c>
      <c r="BP1095" s="626">
        <v>1010</v>
      </c>
      <c r="BQ1095" s="549">
        <v>6628</v>
      </c>
      <c r="BR1095" s="549">
        <v>7033</v>
      </c>
      <c r="BS1095" s="549">
        <v>485</v>
      </c>
      <c r="BT1095" s="549" t="s">
        <v>709</v>
      </c>
      <c r="BU1095" s="549" t="s">
        <v>709</v>
      </c>
      <c r="BV1095" s="549" t="s">
        <v>709</v>
      </c>
      <c r="BW1095" s="549" t="s">
        <v>709</v>
      </c>
      <c r="BX1095" s="547" t="s">
        <v>709</v>
      </c>
      <c r="BY1095" s="549" t="s">
        <v>709</v>
      </c>
      <c r="BZ1095" s="547" t="s">
        <v>709</v>
      </c>
      <c r="CA1095" s="483"/>
      <c r="CB1095" s="547">
        <v>1093</v>
      </c>
      <c r="CC1095" s="1481" t="b">
        <v>1</v>
      </c>
      <c r="CD1095" t="str">
        <f>Table15[[#This Row],[Engineering Number]]&amp;Table15[[#This Row],[WO Number]]&amp;Table15[[#This Row],[Date Assigned to Designer]]&amp;Table15[[#This Row],[Date Completed]]</f>
        <v>N1367612120654485445261</v>
      </c>
    </row>
    <row r="1096" spans="1:82" customFormat="1" ht="15" customHeight="1" x14ac:dyDescent="0.25">
      <c r="A1096">
        <v>2023</v>
      </c>
      <c r="B1096" s="8" t="s">
        <v>769</v>
      </c>
      <c r="C1096" s="8" t="s">
        <v>445</v>
      </c>
      <c r="D1096" s="8">
        <v>1011925</v>
      </c>
      <c r="E1096" s="8" t="s">
        <v>1605</v>
      </c>
      <c r="F1096" s="8" t="s">
        <v>752</v>
      </c>
      <c r="G1096" s="8" t="s">
        <v>4770</v>
      </c>
      <c r="H1096" s="8" t="s">
        <v>4189</v>
      </c>
      <c r="I1096" s="642">
        <v>45202</v>
      </c>
      <c r="J1096" s="175" t="s">
        <v>2052</v>
      </c>
      <c r="K1096" s="97">
        <v>45265</v>
      </c>
      <c r="L1096" s="16">
        <f>IF(ISTEXT(Table15[[#This Row],[Engineering Approved Design Date]]),Table15[[#This Row],[Date Completed]]-Table15[[#This Row],[Date Assigned to Designer]],Table15[[#This Row],[Engineering Approved Design Date]]-Table15[[#This Row],[Date Completed]])</f>
        <v>63</v>
      </c>
      <c r="M1096" s="16" t="s">
        <v>6091</v>
      </c>
      <c r="N1096" s="642" t="s">
        <v>120</v>
      </c>
      <c r="O1096" s="1060">
        <v>45261</v>
      </c>
      <c r="P1096" s="1152" t="s">
        <v>120</v>
      </c>
      <c r="Q1096" s="1061">
        <f>Table15[[#This Row],[KH Hourly Effort]]</f>
        <v>4740</v>
      </c>
      <c r="R1096" s="1039" t="s">
        <v>1922</v>
      </c>
      <c r="S1096" s="538">
        <v>0</v>
      </c>
      <c r="T1096" s="538">
        <v>0</v>
      </c>
      <c r="U1096" s="1078">
        <v>4740</v>
      </c>
      <c r="V1096" s="857"/>
      <c r="W1096" s="440"/>
      <c r="X1096" s="538"/>
      <c r="Y1096" s="551"/>
      <c r="Z1096" s="538"/>
      <c r="AA1096" s="552"/>
      <c r="AB1096" s="341"/>
      <c r="AC1096" s="569"/>
      <c r="AD1096" s="1149" t="s">
        <v>29</v>
      </c>
      <c r="AE1096" s="569" t="s">
        <v>29</v>
      </c>
      <c r="AF1096" s="569" t="s">
        <v>29</v>
      </c>
      <c r="AG1096" s="569" t="s">
        <v>29</v>
      </c>
      <c r="AH1096" s="536" t="s">
        <v>29</v>
      </c>
      <c r="AI1096" s="1028"/>
      <c r="AJ1096" s="1029"/>
      <c r="AK1096" s="1029"/>
      <c r="AL1096" s="1030"/>
      <c r="AM1096" s="542" t="s">
        <v>709</v>
      </c>
      <c r="AN1096" s="924"/>
      <c r="AO1096" s="925"/>
      <c r="AP1096" s="926"/>
      <c r="AQ1096" s="926"/>
      <c r="AR1096" s="926"/>
      <c r="AS1096" s="926"/>
      <c r="AT1096" s="926"/>
      <c r="AU1096" s="926"/>
      <c r="AV1096" s="926"/>
      <c r="AW1096" s="927"/>
      <c r="AX1096" s="926"/>
      <c r="AY1096" s="1538" t="s">
        <v>29</v>
      </c>
      <c r="AZ1096" s="1530"/>
      <c r="BA1096" s="1031">
        <v>2</v>
      </c>
      <c r="BB1096" s="653"/>
      <c r="BC1096" s="544"/>
      <c r="BD1096" s="544"/>
      <c r="BE1096" s="544"/>
      <c r="BF1096" s="544"/>
      <c r="BG1096" s="544"/>
      <c r="BH1096" s="749" t="s">
        <v>6092</v>
      </c>
      <c r="BI1096" s="549" t="s">
        <v>709</v>
      </c>
      <c r="BJ1096" s="549" t="s">
        <v>709</v>
      </c>
      <c r="BK1096" s="549" t="s">
        <v>116</v>
      </c>
      <c r="BL1096" s="549" t="s">
        <v>116</v>
      </c>
      <c r="BM1096" s="549" t="s">
        <v>709</v>
      </c>
      <c r="BN1096" s="549">
        <v>583</v>
      </c>
      <c r="BO1096" s="549" t="s">
        <v>709</v>
      </c>
      <c r="BP1096" s="549">
        <v>451</v>
      </c>
      <c r="BQ1096" s="549">
        <v>1148</v>
      </c>
      <c r="BR1096" s="549">
        <v>86</v>
      </c>
      <c r="BS1096" s="549">
        <v>55</v>
      </c>
      <c r="BT1096" s="549">
        <v>2</v>
      </c>
      <c r="BU1096" s="549" t="s">
        <v>709</v>
      </c>
      <c r="BV1096" s="549" t="s">
        <v>709</v>
      </c>
      <c r="BW1096" s="549">
        <v>2</v>
      </c>
      <c r="BX1096" s="549">
        <v>2</v>
      </c>
      <c r="BY1096" s="549" t="s">
        <v>709</v>
      </c>
      <c r="BZ1096" s="547" t="s">
        <v>709</v>
      </c>
      <c r="CA1096" s="484" t="s">
        <v>1022</v>
      </c>
      <c r="CB1096" s="547">
        <v>1094</v>
      </c>
      <c r="CC1096" s="1481" t="b">
        <v>1</v>
      </c>
      <c r="CD1096" t="str">
        <f>Table15[[#This Row],[Engineering Number]]&amp;Table15[[#This Row],[WO Number]]&amp;Table15[[#This Row],[Date Assigned to Designer]]&amp;Table15[[#This Row],[Date Completed]]</f>
        <v>RS108110119254520245265</v>
      </c>
    </row>
    <row r="1097" spans="1:82" customFormat="1" ht="15" customHeight="1" x14ac:dyDescent="0.25">
      <c r="A1097">
        <v>2023</v>
      </c>
      <c r="B1097" s="8" t="s">
        <v>4</v>
      </c>
      <c r="C1097" s="8" t="s">
        <v>6094</v>
      </c>
      <c r="D1097" s="8" t="s">
        <v>115</v>
      </c>
      <c r="E1097" s="8" t="s">
        <v>1032</v>
      </c>
      <c r="F1097" s="8" t="s">
        <v>747</v>
      </c>
      <c r="G1097" s="8" t="s">
        <v>31</v>
      </c>
      <c r="H1097" s="647" t="s">
        <v>1903</v>
      </c>
      <c r="I1097" s="642">
        <v>45162</v>
      </c>
      <c r="J1097" s="18">
        <v>45280</v>
      </c>
      <c r="K1097" s="18">
        <v>45265</v>
      </c>
      <c r="L1097" s="16">
        <f>IF(ISTEXT(Table15[[#This Row],[Engineering Approved Design Date]]),Table15[[#This Row],[Date Completed]]-Table15[[#This Row],[Date Assigned to Designer]],Table15[[#This Row],[Engineering Approved Design Date]]-Table15[[#This Row],[Date Completed]])</f>
        <v>15</v>
      </c>
      <c r="M1097" s="642">
        <f>M1103</f>
        <v>0</v>
      </c>
      <c r="N1097" s="642" t="s">
        <v>120</v>
      </c>
      <c r="O1097" s="1060">
        <v>45261</v>
      </c>
      <c r="P1097" s="1152" t="s">
        <v>739</v>
      </c>
      <c r="Q1097" s="340" t="s">
        <v>115</v>
      </c>
      <c r="R1097" s="1026" t="s">
        <v>115</v>
      </c>
      <c r="S1097" s="538"/>
      <c r="T1097" s="538"/>
      <c r="U1097" s="87"/>
      <c r="V1097" s="857"/>
      <c r="W1097" s="440"/>
      <c r="X1097" s="550"/>
      <c r="Y1097" s="550"/>
      <c r="Z1097" s="550"/>
      <c r="AA1097" s="552"/>
      <c r="AB1097" s="341" t="s">
        <v>29</v>
      </c>
      <c r="AC1097" s="568" t="s">
        <v>29</v>
      </c>
      <c r="AD1097" s="1157" t="s">
        <v>29</v>
      </c>
      <c r="AE1097" s="568" t="s">
        <v>116</v>
      </c>
      <c r="AF1097" s="568" t="s">
        <v>116</v>
      </c>
      <c r="AG1097" s="568" t="s">
        <v>29</v>
      </c>
      <c r="AH1097" s="183">
        <v>45447</v>
      </c>
      <c r="AI1097" s="1036"/>
      <c r="AJ1097" s="1037"/>
      <c r="AK1097" s="1037"/>
      <c r="AL1097" s="1038"/>
      <c r="AM1097" s="542" t="s">
        <v>709</v>
      </c>
      <c r="AN1097" s="924"/>
      <c r="AO1097" s="925"/>
      <c r="AP1097" s="926"/>
      <c r="AQ1097" s="926"/>
      <c r="AR1097" s="926"/>
      <c r="AS1097" s="926"/>
      <c r="AT1097" s="926"/>
      <c r="AU1097" s="926"/>
      <c r="AV1097" s="926"/>
      <c r="AW1097" s="927"/>
      <c r="AX1097" s="926"/>
      <c r="AY1097" s="1538" t="s">
        <v>29</v>
      </c>
      <c r="AZ1097" s="1530"/>
      <c r="BA1097" s="1088" t="s">
        <v>6095</v>
      </c>
      <c r="BB1097" s="650" t="s">
        <v>1035</v>
      </c>
      <c r="BC1097" s="559" t="s">
        <v>116</v>
      </c>
      <c r="BD1097" s="554" t="s">
        <v>709</v>
      </c>
      <c r="BE1097" s="588" t="s">
        <v>1841</v>
      </c>
      <c r="BF1097" s="588" t="s">
        <v>709</v>
      </c>
      <c r="BG1097" s="548" t="s">
        <v>6096</v>
      </c>
      <c r="BH1097" s="1171" t="s">
        <v>6097</v>
      </c>
      <c r="BI1097" s="1090"/>
      <c r="BJ1097" s="1090"/>
      <c r="BK1097" s="1090"/>
      <c r="BL1097" s="1090"/>
      <c r="BM1097" s="1090"/>
      <c r="BN1097" s="1090"/>
      <c r="BO1097" s="1090"/>
      <c r="BP1097" s="1090"/>
      <c r="BQ1097" s="1090"/>
      <c r="BR1097" s="1090"/>
      <c r="BS1097" s="1090"/>
      <c r="BT1097" s="1090"/>
      <c r="BU1097" s="1090"/>
      <c r="BV1097" s="1090"/>
      <c r="BW1097" s="1090"/>
      <c r="BX1097" s="1090"/>
      <c r="BY1097" s="1090"/>
      <c r="BZ1097" s="1090" t="s">
        <v>709</v>
      </c>
      <c r="CA1097" s="485" t="s">
        <v>915</v>
      </c>
      <c r="CB1097" s="547">
        <v>1095</v>
      </c>
      <c r="CC1097" s="1481" t="b">
        <v>1</v>
      </c>
      <c r="CD1097" t="str">
        <f>Table15[[#This Row],[Engineering Number]]&amp;Table15[[#This Row],[WO Number]]&amp;Table15[[#This Row],[Date Assigned to Designer]]&amp;Table15[[#This Row],[Date Completed]]</f>
        <v>SC23477-4516245265</v>
      </c>
    </row>
    <row r="1098" spans="1:82" customFormat="1" ht="15" customHeight="1" x14ac:dyDescent="0.25">
      <c r="A1098">
        <v>2023</v>
      </c>
      <c r="B1098" s="8" t="s">
        <v>4</v>
      </c>
      <c r="C1098" s="8" t="s">
        <v>414</v>
      </c>
      <c r="D1098" s="8" t="s">
        <v>1620</v>
      </c>
      <c r="E1098" s="8" t="s">
        <v>415</v>
      </c>
      <c r="F1098" s="8" t="s">
        <v>784</v>
      </c>
      <c r="G1098" s="8" t="s">
        <v>25</v>
      </c>
      <c r="H1098" s="8" t="s">
        <v>4462</v>
      </c>
      <c r="I1098" s="642">
        <v>45261</v>
      </c>
      <c r="J1098" s="175" t="s">
        <v>2052</v>
      </c>
      <c r="K1098" s="97">
        <v>45267</v>
      </c>
      <c r="L1098" s="649">
        <f>IF(ISTEXT(Table15[[#This Row],[Engineering Approved Design Date]]),Table15[[#This Row],[Date Completed]]-Table15[[#This Row],[Date Assigned to Designer]],Table15[[#This Row],[Engineering Approved Design Date]]-Table15[[#This Row],[Date Completed]])</f>
        <v>6</v>
      </c>
      <c r="M1098" s="642"/>
      <c r="N1098" s="642" t="s">
        <v>120</v>
      </c>
      <c r="O1098" s="1060">
        <v>45261</v>
      </c>
      <c r="P1098" s="1152" t="s">
        <v>739</v>
      </c>
      <c r="Q1098" s="1151" t="s">
        <v>115</v>
      </c>
      <c r="R1098" s="1039" t="s">
        <v>115</v>
      </c>
      <c r="S1098" s="538"/>
      <c r="T1098" s="538"/>
      <c r="U1098" s="87"/>
      <c r="V1098" s="857"/>
      <c r="W1098" s="440"/>
      <c r="X1098" s="538"/>
      <c r="Y1098" s="551"/>
      <c r="Z1098" s="538"/>
      <c r="AA1098" s="552"/>
      <c r="AB1098" s="341" t="s">
        <v>29</v>
      </c>
      <c r="AC1098" s="569" t="s">
        <v>29</v>
      </c>
      <c r="AD1098" s="1149" t="s">
        <v>29</v>
      </c>
      <c r="AE1098" s="569" t="s">
        <v>756</v>
      </c>
      <c r="AF1098" s="569" t="s">
        <v>29</v>
      </c>
      <c r="AG1098" s="568" t="s">
        <v>29</v>
      </c>
      <c r="AH1098" s="183">
        <v>45447</v>
      </c>
      <c r="AI1098" s="1036"/>
      <c r="AJ1098" s="1037"/>
      <c r="AK1098" s="1037"/>
      <c r="AL1098" s="1038"/>
      <c r="AM1098" s="542" t="s">
        <v>709</v>
      </c>
      <c r="AN1098" s="924"/>
      <c r="AO1098" s="925"/>
      <c r="AP1098" s="926"/>
      <c r="AQ1098" s="926"/>
      <c r="AR1098" s="926"/>
      <c r="AS1098" s="926"/>
      <c r="AT1098" s="926"/>
      <c r="AU1098" s="926"/>
      <c r="AV1098" s="926"/>
      <c r="AW1098" s="927"/>
      <c r="AX1098" s="926"/>
      <c r="AY1098" s="1538" t="s">
        <v>29</v>
      </c>
      <c r="AZ1098" s="1530"/>
      <c r="BA1098" s="1031"/>
      <c r="BB1098" s="644"/>
      <c r="BC1098" s="544" t="s">
        <v>116</v>
      </c>
      <c r="BD1098" s="544" t="s">
        <v>709</v>
      </c>
      <c r="BE1098" s="559" t="s">
        <v>1622</v>
      </c>
      <c r="BF1098" s="554" t="s">
        <v>709</v>
      </c>
      <c r="BG1098" s="548" t="s">
        <v>709</v>
      </c>
      <c r="BH1098" s="615" t="s">
        <v>6099</v>
      </c>
      <c r="BI1098" s="1032" t="s">
        <v>709</v>
      </c>
      <c r="BJ1098" s="1032" t="s">
        <v>709</v>
      </c>
      <c r="BK1098" s="1032" t="s">
        <v>709</v>
      </c>
      <c r="BL1098" s="1032" t="s">
        <v>116</v>
      </c>
      <c r="BM1098" s="1032" t="s">
        <v>709</v>
      </c>
      <c r="BN1098" s="1032" t="s">
        <v>709</v>
      </c>
      <c r="BO1098" s="1032" t="s">
        <v>709</v>
      </c>
      <c r="BP1098" s="1032">
        <v>765</v>
      </c>
      <c r="BQ1098" s="1032">
        <v>591</v>
      </c>
      <c r="BR1098" s="1032" t="s">
        <v>709</v>
      </c>
      <c r="BS1098" s="1032">
        <v>83</v>
      </c>
      <c r="BT1098" s="1032" t="s">
        <v>709</v>
      </c>
      <c r="BU1098" s="1032" t="s">
        <v>709</v>
      </c>
      <c r="BV1098" s="1032" t="s">
        <v>709</v>
      </c>
      <c r="BW1098" s="1032" t="s">
        <v>709</v>
      </c>
      <c r="BX1098" s="1032" t="s">
        <v>709</v>
      </c>
      <c r="BY1098" s="1032" t="s">
        <v>709</v>
      </c>
      <c r="BZ1098" s="1032" t="s">
        <v>709</v>
      </c>
      <c r="CA1098" s="485"/>
      <c r="CB1098" s="547">
        <v>1096</v>
      </c>
      <c r="CC1098" s="1481" t="b">
        <v>1</v>
      </c>
      <c r="CD1098" t="str">
        <f>Table15[[#This Row],[Engineering Number]]&amp;Table15[[#This Row],[WO Number]]&amp;Table15[[#This Row],[Date Assigned to Designer]]&amp;Table15[[#This Row],[Date Completed]]</f>
        <v>M1419412125264526145267</v>
      </c>
    </row>
    <row r="1099" spans="1:82" customFormat="1" ht="15" customHeight="1" x14ac:dyDescent="0.25">
      <c r="A1099">
        <v>2024</v>
      </c>
      <c r="B1099" s="8" t="s">
        <v>4</v>
      </c>
      <c r="C1099" s="8" t="s">
        <v>982</v>
      </c>
      <c r="D1099" s="8" t="s">
        <v>983</v>
      </c>
      <c r="E1099" s="8" t="s">
        <v>354</v>
      </c>
      <c r="F1099" s="8" t="s">
        <v>784</v>
      </c>
      <c r="G1099" s="8" t="s">
        <v>26</v>
      </c>
      <c r="H1099" s="8" t="s">
        <v>59</v>
      </c>
      <c r="I1099" s="642">
        <v>45177</v>
      </c>
      <c r="J1099" s="18">
        <v>45282</v>
      </c>
      <c r="K1099" s="97">
        <v>45268</v>
      </c>
      <c r="L1099" s="16">
        <f>IF(ISTEXT(Table15[[#This Row],[Engineering Approved Design Date]]),Table15[[#This Row],[Date Completed]]-Table15[[#This Row],[Date Assigned to Designer]],Table15[[#This Row],[Engineering Approved Design Date]]-Table15[[#This Row],[Date Completed]])</f>
        <v>14</v>
      </c>
      <c r="M1099" s="642"/>
      <c r="N1099" s="642" t="s">
        <v>120</v>
      </c>
      <c r="O1099" s="1060">
        <v>45292</v>
      </c>
      <c r="P1099" s="1152" t="s">
        <v>739</v>
      </c>
      <c r="Q1099" s="28">
        <f>Table15[[#This Row],[Rate]]*Table15[[#This Row],[Construction Cost to Bill From]]</f>
        <v>80522.115000000005</v>
      </c>
      <c r="R1099" s="1026">
        <v>0.1</v>
      </c>
      <c r="S1099" s="538"/>
      <c r="T1099" s="538"/>
      <c r="U1099" s="87"/>
      <c r="V1099" s="858">
        <v>934</v>
      </c>
      <c r="W1099" s="437">
        <v>0</v>
      </c>
      <c r="X1099" s="556">
        <v>713766.41</v>
      </c>
      <c r="Y1099" s="551"/>
      <c r="Z1099" s="570">
        <v>91454.74</v>
      </c>
      <c r="AA1099" s="552">
        <f>SUM(Table15[[#This Row],[PCTS Investment Amount]:[PCTS Retirement Amount]])</f>
        <v>805221.15</v>
      </c>
      <c r="AB1099" s="341">
        <v>45257</v>
      </c>
      <c r="AC1099" s="568" t="s">
        <v>709</v>
      </c>
      <c r="AD1099" s="1157" t="s">
        <v>29</v>
      </c>
      <c r="AE1099" s="568" t="s">
        <v>116</v>
      </c>
      <c r="AF1099" s="568" t="s">
        <v>116</v>
      </c>
      <c r="AG1099" s="568" t="s">
        <v>116</v>
      </c>
      <c r="AH1099" s="183">
        <v>45308</v>
      </c>
      <c r="AI1099" s="1106">
        <v>0</v>
      </c>
      <c r="AJ1099" s="1107"/>
      <c r="AK1099" s="1107">
        <v>777</v>
      </c>
      <c r="AL1099" s="1108">
        <f>SUM(Table15[[#This Row],[Nicor Initiated DBE]:[Staffing]])/(Table15[[#This Row],[Amount Invoiced]])</f>
        <v>9.6495229912925157E-3</v>
      </c>
      <c r="AM1099" s="1522" t="s">
        <v>116</v>
      </c>
      <c r="AN1099" s="1523">
        <v>45406</v>
      </c>
      <c r="AO1099" s="1524">
        <v>11081357</v>
      </c>
      <c r="AP1099" s="1525">
        <v>724927.25</v>
      </c>
      <c r="AQ1099" s="1525"/>
      <c r="AR1099" s="1525">
        <v>103189.68</v>
      </c>
      <c r="AS1099" s="1525">
        <v>828116.92999999993</v>
      </c>
      <c r="AT1099" s="1525">
        <v>22895.779999999912</v>
      </c>
      <c r="AU1099" s="1525">
        <v>2289.5779999999913</v>
      </c>
      <c r="AV1099" s="1525">
        <v>0</v>
      </c>
      <c r="AW1099" s="1526" t="s">
        <v>984</v>
      </c>
      <c r="AX1099" s="1525">
        <v>2289.58</v>
      </c>
      <c r="AY1099" s="1518">
        <v>45566</v>
      </c>
      <c r="AZ1099" s="333">
        <v>111</v>
      </c>
      <c r="BA1099" s="1105" t="s">
        <v>985</v>
      </c>
      <c r="BB1099" s="669" t="s">
        <v>986</v>
      </c>
      <c r="BC1099" s="664" t="s">
        <v>709</v>
      </c>
      <c r="BD1099" s="664" t="s">
        <v>743</v>
      </c>
      <c r="BE1099" s="664" t="s">
        <v>588</v>
      </c>
      <c r="BF1099" s="664" t="s">
        <v>709</v>
      </c>
      <c r="BG1099" s="548" t="s">
        <v>709</v>
      </c>
      <c r="BH1099" s="749" t="s">
        <v>987</v>
      </c>
      <c r="BI1099" s="547" t="s">
        <v>709</v>
      </c>
      <c r="BJ1099" s="549" t="s">
        <v>709</v>
      </c>
      <c r="BK1099" s="547" t="s">
        <v>709</v>
      </c>
      <c r="BL1099" s="547" t="s">
        <v>116</v>
      </c>
      <c r="BM1099" s="626" t="s">
        <v>709</v>
      </c>
      <c r="BN1099" s="549" t="s">
        <v>709</v>
      </c>
      <c r="BO1099" s="626" t="s">
        <v>709</v>
      </c>
      <c r="BP1099" s="626" t="s">
        <v>709</v>
      </c>
      <c r="BQ1099" s="549">
        <v>648</v>
      </c>
      <c r="BR1099" s="549" t="s">
        <v>709</v>
      </c>
      <c r="BS1099" s="549">
        <v>286</v>
      </c>
      <c r="BT1099" s="549" t="s">
        <v>709</v>
      </c>
      <c r="BU1099" s="549" t="s">
        <v>709</v>
      </c>
      <c r="BV1099" s="549" t="s">
        <v>709</v>
      </c>
      <c r="BW1099" s="549" t="s">
        <v>709</v>
      </c>
      <c r="BX1099" s="547" t="s">
        <v>709</v>
      </c>
      <c r="BY1099" s="549" t="s">
        <v>709</v>
      </c>
      <c r="BZ1099" s="547" t="s">
        <v>709</v>
      </c>
      <c r="CA1099" s="483"/>
      <c r="CB1099" s="547">
        <v>1098</v>
      </c>
      <c r="CC1099" s="1481" t="b">
        <v>1</v>
      </c>
      <c r="CD1099" t="str">
        <f>Table15[[#This Row],[Engineering Number]]&amp;Table15[[#This Row],[WO Number]]&amp;Table15[[#This Row],[Date Assigned to Designer]]&amp;Table15[[#This Row],[Date Completed]]</f>
        <v>N1660912132884517745268</v>
      </c>
    </row>
    <row r="1100" spans="1:82" customFormat="1" ht="15" customHeight="1" x14ac:dyDescent="0.25">
      <c r="A1100">
        <v>2023</v>
      </c>
      <c r="B1100" s="8" t="s">
        <v>1205</v>
      </c>
      <c r="C1100" s="8" t="s">
        <v>587</v>
      </c>
      <c r="D1100" s="8">
        <v>1212818</v>
      </c>
      <c r="E1100" s="8" t="s">
        <v>354</v>
      </c>
      <c r="F1100" s="8" t="s">
        <v>784</v>
      </c>
      <c r="G1100" s="8" t="s">
        <v>23</v>
      </c>
      <c r="H1100" s="8" t="s">
        <v>4189</v>
      </c>
      <c r="I1100" s="642">
        <v>45261</v>
      </c>
      <c r="J1100" s="175" t="s">
        <v>2052</v>
      </c>
      <c r="K1100" s="97">
        <v>45268</v>
      </c>
      <c r="L1100" s="16">
        <f>IF(ISTEXT(Table15[[#This Row],[Engineering Approved Design Date]]),Table15[[#This Row],[Date Completed]]-Table15[[#This Row],[Date Assigned to Designer]],Table15[[#This Row],[Engineering Approved Design Date]]-Table15[[#This Row],[Date Completed]])</f>
        <v>7</v>
      </c>
      <c r="M1100" s="16" t="s">
        <v>6101</v>
      </c>
      <c r="N1100" s="642" t="s">
        <v>120</v>
      </c>
      <c r="O1100" s="1060">
        <v>45261</v>
      </c>
      <c r="P1100" s="1152" t="s">
        <v>739</v>
      </c>
      <c r="Q1100" s="1061">
        <f>Table15[[#This Row],[KH Hourly Effort]]</f>
        <v>5660</v>
      </c>
      <c r="R1100" s="1039" t="s">
        <v>1922</v>
      </c>
      <c r="S1100" s="538">
        <v>0</v>
      </c>
      <c r="T1100" s="538">
        <v>0</v>
      </c>
      <c r="U1100" s="1078">
        <v>5660</v>
      </c>
      <c r="V1100" s="857">
        <v>456</v>
      </c>
      <c r="W1100" s="440">
        <v>0</v>
      </c>
      <c r="X1100" s="538"/>
      <c r="Y1100" s="551"/>
      <c r="Z1100" s="538"/>
      <c r="AA1100" s="552"/>
      <c r="AB1100" s="341" t="s">
        <v>29</v>
      </c>
      <c r="AC1100" s="569" t="s">
        <v>709</v>
      </c>
      <c r="AD1100" s="1149" t="s">
        <v>116</v>
      </c>
      <c r="AE1100" s="569" t="s">
        <v>116</v>
      </c>
      <c r="AF1100" s="569" t="s">
        <v>116</v>
      </c>
      <c r="AG1100" s="569" t="s">
        <v>29</v>
      </c>
      <c r="AH1100" s="536" t="s">
        <v>709</v>
      </c>
      <c r="AI1100" s="1028"/>
      <c r="AJ1100" s="1029"/>
      <c r="AK1100" s="1029"/>
      <c r="AL1100" s="1030"/>
      <c r="AM1100" s="542" t="s">
        <v>709</v>
      </c>
      <c r="AN1100" s="924"/>
      <c r="AO1100" s="925"/>
      <c r="AP1100" s="926"/>
      <c r="AQ1100" s="926"/>
      <c r="AR1100" s="926"/>
      <c r="AS1100" s="926"/>
      <c r="AT1100" s="926"/>
      <c r="AU1100" s="926"/>
      <c r="AV1100" s="926"/>
      <c r="AW1100" s="927"/>
      <c r="AX1100" s="926"/>
      <c r="AY1100" s="1538" t="s">
        <v>29</v>
      </c>
      <c r="AZ1100" s="1532"/>
      <c r="BA1100" s="1031">
        <v>7</v>
      </c>
      <c r="BB1100" s="653" t="s">
        <v>116</v>
      </c>
      <c r="BC1100" s="544" t="s">
        <v>116</v>
      </c>
      <c r="BD1100" s="544" t="s">
        <v>115</v>
      </c>
      <c r="BE1100" s="544" t="s">
        <v>588</v>
      </c>
      <c r="BF1100" s="544" t="s">
        <v>115</v>
      </c>
      <c r="BG1100" s="544" t="s">
        <v>3021</v>
      </c>
      <c r="BH1100" s="749" t="s">
        <v>6102</v>
      </c>
      <c r="BI1100" s="549" t="s">
        <v>709</v>
      </c>
      <c r="BJ1100" s="549" t="s">
        <v>709</v>
      </c>
      <c r="BK1100" s="549" t="s">
        <v>709</v>
      </c>
      <c r="BL1100" s="549" t="s">
        <v>116</v>
      </c>
      <c r="BM1100" s="549" t="s">
        <v>709</v>
      </c>
      <c r="BN1100" s="549" t="s">
        <v>709</v>
      </c>
      <c r="BO1100" s="549" t="s">
        <v>709</v>
      </c>
      <c r="BP1100" s="549">
        <v>456</v>
      </c>
      <c r="BQ1100" s="549" t="s">
        <v>709</v>
      </c>
      <c r="BR1100" s="549" t="s">
        <v>709</v>
      </c>
      <c r="BS1100" s="549" t="s">
        <v>709</v>
      </c>
      <c r="BT1100" s="549" t="s">
        <v>709</v>
      </c>
      <c r="BU1100" s="549" t="s">
        <v>709</v>
      </c>
      <c r="BV1100" s="549" t="s">
        <v>709</v>
      </c>
      <c r="BW1100" s="549" t="s">
        <v>709</v>
      </c>
      <c r="BX1100" s="549" t="s">
        <v>709</v>
      </c>
      <c r="BY1100" s="549" t="s">
        <v>709</v>
      </c>
      <c r="BZ1100" s="547" t="s">
        <v>709</v>
      </c>
      <c r="CA1100" s="484"/>
      <c r="CB1100" s="547">
        <v>1097</v>
      </c>
      <c r="CC1100" s="1481" t="b">
        <v>1</v>
      </c>
      <c r="CD1100" t="str">
        <f>Table15[[#This Row],[Engineering Number]]&amp;Table15[[#This Row],[WO Number]]&amp;Table15[[#This Row],[Date Assigned to Designer]]&amp;Table15[[#This Row],[Date Completed]]</f>
        <v>MR202712128184526145268</v>
      </c>
    </row>
    <row r="1101" spans="1:82" customFormat="1" ht="15" customHeight="1" x14ac:dyDescent="0.25">
      <c r="A1101">
        <v>2023</v>
      </c>
      <c r="B1101" s="8" t="s">
        <v>4</v>
      </c>
      <c r="C1101" s="8" t="s">
        <v>6105</v>
      </c>
      <c r="D1101" s="8" t="s">
        <v>115</v>
      </c>
      <c r="E1101" s="8" t="s">
        <v>1763</v>
      </c>
      <c r="F1101" s="8" t="s">
        <v>784</v>
      </c>
      <c r="G1101" s="8" t="s">
        <v>31</v>
      </c>
      <c r="H1101" s="8" t="s">
        <v>5512</v>
      </c>
      <c r="I1101" s="642">
        <v>45251</v>
      </c>
      <c r="J1101" s="175" t="s">
        <v>4110</v>
      </c>
      <c r="K1101" s="97">
        <v>45272</v>
      </c>
      <c r="L1101" s="16">
        <f>IF(ISTEXT(Table15[[#This Row],[Engineering Approved Design Date]]),Table15[[#This Row],[Date Completed]]-Table15[[#This Row],[Date Assigned to Designer]],Table15[[#This Row],[Engineering Approved Design Date]]-Table15[[#This Row],[Date Completed]])</f>
        <v>21</v>
      </c>
      <c r="M1101" s="16" t="s">
        <v>6106</v>
      </c>
      <c r="N1101" s="642" t="s">
        <v>120</v>
      </c>
      <c r="O1101" s="1060">
        <v>45261</v>
      </c>
      <c r="P1101" s="1152" t="s">
        <v>739</v>
      </c>
      <c r="Q1101" s="1061">
        <f>Table15[[#This Row],[Shactee Effort]]+Table15[[#This Row],[KH Hourly Effort]]</f>
        <v>6741.44</v>
      </c>
      <c r="R1101" s="1039" t="s">
        <v>1922</v>
      </c>
      <c r="S1101" s="538">
        <v>5478.94</v>
      </c>
      <c r="T1101" s="538"/>
      <c r="U1101" s="300">
        <v>1262.5</v>
      </c>
      <c r="V1101" s="858"/>
      <c r="W1101" s="437"/>
      <c r="X1101" s="538"/>
      <c r="Y1101" s="551"/>
      <c r="Z1101" s="538"/>
      <c r="AA1101" s="552"/>
      <c r="AB1101" s="341" t="s">
        <v>29</v>
      </c>
      <c r="AC1101" s="569" t="s">
        <v>29</v>
      </c>
      <c r="AD1101" s="1149" t="s">
        <v>29</v>
      </c>
      <c r="AE1101" s="568" t="s">
        <v>756</v>
      </c>
      <c r="AF1101" s="569" t="s">
        <v>756</v>
      </c>
      <c r="AG1101" s="569" t="s">
        <v>29</v>
      </c>
      <c r="AH1101" s="536" t="s">
        <v>29</v>
      </c>
      <c r="AI1101" s="1028"/>
      <c r="AJ1101" s="1029"/>
      <c r="AK1101" s="1029"/>
      <c r="AL1101" s="1030"/>
      <c r="AM1101" s="542" t="s">
        <v>709</v>
      </c>
      <c r="AN1101" s="924"/>
      <c r="AO1101" s="925"/>
      <c r="AP1101" s="926"/>
      <c r="AQ1101" s="926"/>
      <c r="AR1101" s="926"/>
      <c r="AS1101" s="926"/>
      <c r="AT1101" s="926"/>
      <c r="AU1101" s="926"/>
      <c r="AV1101" s="926"/>
      <c r="AW1101" s="927"/>
      <c r="AX1101" s="926"/>
      <c r="AY1101" s="1538" t="s">
        <v>29</v>
      </c>
      <c r="AZ1101" s="1530"/>
      <c r="BA1101" s="1031"/>
      <c r="BB1101" s="527"/>
      <c r="BC1101" s="559"/>
      <c r="BD1101" s="554"/>
      <c r="BE1101" s="588"/>
      <c r="BF1101" s="588"/>
      <c r="BG1101" s="548"/>
      <c r="BH1101" s="1174" t="s">
        <v>6107</v>
      </c>
      <c r="BI1101" s="1032"/>
      <c r="BJ1101" s="1032"/>
      <c r="BK1101" s="1032"/>
      <c r="BL1101" s="1032"/>
      <c r="BM1101" s="1032"/>
      <c r="BN1101" s="1032"/>
      <c r="BO1101" s="1032"/>
      <c r="BP1101" s="1032"/>
      <c r="BQ1101" s="1032"/>
      <c r="BR1101" s="1032"/>
      <c r="BS1101" s="1032"/>
      <c r="BT1101" s="1032"/>
      <c r="BU1101" s="1032"/>
      <c r="BV1101" s="1032"/>
      <c r="BW1101" s="1032"/>
      <c r="BX1101" s="1032"/>
      <c r="BY1101" s="1032"/>
      <c r="BZ1101" s="1071" t="s">
        <v>709</v>
      </c>
      <c r="CA1101" s="485" t="s">
        <v>915</v>
      </c>
      <c r="CB1101" s="547">
        <v>1100</v>
      </c>
      <c r="CC1101" s="1481" t="b">
        <v>1</v>
      </c>
      <c r="CD1101" t="str">
        <f>Table15[[#This Row],[Engineering Number]]&amp;Table15[[#This Row],[WO Number]]&amp;Table15[[#This Row],[Date Assigned to Designer]]&amp;Table15[[#This Row],[Date Completed]]</f>
        <v>M13270-4525145272</v>
      </c>
    </row>
    <row r="1102" spans="1:82" customFormat="1" ht="15" customHeight="1" x14ac:dyDescent="0.25">
      <c r="A1102">
        <v>2023</v>
      </c>
      <c r="B1102" s="8" t="s">
        <v>4</v>
      </c>
      <c r="C1102" s="8" t="s">
        <v>6109</v>
      </c>
      <c r="D1102" s="8" t="s">
        <v>6110</v>
      </c>
      <c r="E1102" s="8" t="s">
        <v>6111</v>
      </c>
      <c r="F1102" s="8" t="s">
        <v>851</v>
      </c>
      <c r="G1102" s="8" t="s">
        <v>23</v>
      </c>
      <c r="H1102" s="8" t="s">
        <v>1681</v>
      </c>
      <c r="I1102" s="642">
        <v>45027</v>
      </c>
      <c r="J1102" s="18">
        <v>45345</v>
      </c>
      <c r="K1102" s="175">
        <v>45272</v>
      </c>
      <c r="L1102" s="16">
        <f>IF(ISTEXT(Table15[[#This Row],[Engineering Approved Design Date]]),Table15[[#This Row],[Date Completed]]-Table15[[#This Row],[Date Assigned to Designer]],Table15[[#This Row],[Engineering Approved Design Date]]-Table15[[#This Row],[Date Completed]])</f>
        <v>73</v>
      </c>
      <c r="N1102" s="642" t="s">
        <v>120</v>
      </c>
      <c r="O1102" s="1060">
        <v>45261</v>
      </c>
      <c r="P1102" s="1152" t="s">
        <v>739</v>
      </c>
      <c r="Q1102" s="340" t="s">
        <v>115</v>
      </c>
      <c r="R1102" s="1026" t="s">
        <v>115</v>
      </c>
      <c r="S1102" s="538"/>
      <c r="T1102" s="538"/>
      <c r="U1102" s="28"/>
      <c r="V1102" s="858"/>
      <c r="W1102" s="437"/>
      <c r="X1102" s="538"/>
      <c r="Y1102" s="550"/>
      <c r="Z1102" s="538"/>
      <c r="AA1102" s="552"/>
      <c r="AB1102" s="341" t="s">
        <v>29</v>
      </c>
      <c r="AC1102" s="183" t="s">
        <v>29</v>
      </c>
      <c r="AD1102" s="1157" t="s">
        <v>29</v>
      </c>
      <c r="AE1102" s="568" t="s">
        <v>116</v>
      </c>
      <c r="AF1102" s="568" t="s">
        <v>29</v>
      </c>
      <c r="AG1102" s="568" t="s">
        <v>29</v>
      </c>
      <c r="AH1102" s="183">
        <v>45308</v>
      </c>
      <c r="AI1102" s="1036"/>
      <c r="AJ1102" s="1037"/>
      <c r="AK1102" s="1037"/>
      <c r="AL1102" s="1038"/>
      <c r="AM1102" s="542" t="s">
        <v>709</v>
      </c>
      <c r="AN1102" s="924"/>
      <c r="AO1102" s="925"/>
      <c r="AP1102" s="926"/>
      <c r="AQ1102" s="926"/>
      <c r="AR1102" s="926"/>
      <c r="AS1102" s="926"/>
      <c r="AT1102" s="926"/>
      <c r="AU1102" s="926"/>
      <c r="AV1102" s="926"/>
      <c r="AW1102" s="927"/>
      <c r="AX1102" s="926"/>
      <c r="AY1102" s="1538" t="s">
        <v>29</v>
      </c>
      <c r="AZ1102" s="1530"/>
      <c r="BA1102" s="1068" t="s">
        <v>6112</v>
      </c>
      <c r="BB1102" s="644" t="s">
        <v>870</v>
      </c>
      <c r="BC1102" s="559" t="s">
        <v>116</v>
      </c>
      <c r="BD1102" s="554" t="s">
        <v>709</v>
      </c>
      <c r="BE1102" s="588" t="s">
        <v>6113</v>
      </c>
      <c r="BF1102" s="1069" t="s">
        <v>709</v>
      </c>
      <c r="BG1102" s="588" t="s">
        <v>709</v>
      </c>
      <c r="BH1102" s="615" t="s">
        <v>6114</v>
      </c>
      <c r="BI1102" s="1032"/>
      <c r="BJ1102" s="1032"/>
      <c r="BK1102" s="1032"/>
      <c r="BL1102" s="1032"/>
      <c r="BM1102" s="1032"/>
      <c r="BN1102" s="1070"/>
      <c r="BO1102" s="1032"/>
      <c r="BP1102" s="1071"/>
      <c r="BQ1102" s="1070"/>
      <c r="BR1102" s="1070"/>
      <c r="BS1102" s="1070"/>
      <c r="BT1102" s="1070"/>
      <c r="BU1102" s="1070"/>
      <c r="BV1102" s="1070"/>
      <c r="BW1102" s="1070"/>
      <c r="BX1102" s="1032"/>
      <c r="BY1102" s="1072"/>
      <c r="BZ1102" s="1071" t="s">
        <v>709</v>
      </c>
      <c r="CA1102" s="485" t="s">
        <v>915</v>
      </c>
      <c r="CB1102" s="547">
        <v>1099</v>
      </c>
      <c r="CC1102" s="1481" t="b">
        <v>1</v>
      </c>
      <c r="CD1102" t="str">
        <f>Table15[[#This Row],[Engineering Number]]&amp;Table15[[#This Row],[WO Number]]&amp;Table15[[#This Row],[Date Assigned to Designer]]&amp;Table15[[#This Row],[Date Completed]]</f>
        <v>M1373512128424502745272</v>
      </c>
    </row>
    <row r="1103" spans="1:82" customFormat="1" ht="15" customHeight="1" x14ac:dyDescent="0.25">
      <c r="A1103">
        <v>2023</v>
      </c>
      <c r="B1103" s="8" t="s">
        <v>4</v>
      </c>
      <c r="C1103" s="8" t="s">
        <v>1696</v>
      </c>
      <c r="D1103" s="8" t="s">
        <v>1697</v>
      </c>
      <c r="E1103" s="8" t="s">
        <v>1698</v>
      </c>
      <c r="F1103" s="8" t="s">
        <v>784</v>
      </c>
      <c r="G1103" s="8" t="s">
        <v>27</v>
      </c>
      <c r="H1103" s="8" t="s">
        <v>59</v>
      </c>
      <c r="I1103" s="642">
        <v>45188</v>
      </c>
      <c r="J1103" s="18">
        <v>45306</v>
      </c>
      <c r="K1103" s="97">
        <v>45273</v>
      </c>
      <c r="L1103" s="16">
        <f>IF(ISTEXT(Table15[[#This Row],[Engineering Approved Design Date]]),Table15[[#This Row],[Date Completed]]-Table15[[#This Row],[Date Assigned to Designer]],Table15[[#This Row],[Engineering Approved Design Date]]-Table15[[#This Row],[Date Completed]])</f>
        <v>33</v>
      </c>
      <c r="M1103" s="642"/>
      <c r="N1103" s="642" t="s">
        <v>120</v>
      </c>
      <c r="O1103" s="1060">
        <v>45292</v>
      </c>
      <c r="P1103" s="1152" t="s">
        <v>739</v>
      </c>
      <c r="Q1103" s="340">
        <f>Table15[[#This Row],[Rate]]*Table15[[#This Row],[Construction Cost to Bill From]]</f>
        <v>85706.26400000001</v>
      </c>
      <c r="R1103" s="1026">
        <v>0.1</v>
      </c>
      <c r="S1103" s="538"/>
      <c r="T1103" s="538"/>
      <c r="U1103" s="87"/>
      <c r="V1103" s="858">
        <v>306</v>
      </c>
      <c r="W1103" s="437">
        <v>0</v>
      </c>
      <c r="X1103" s="556">
        <v>654133.12</v>
      </c>
      <c r="Y1103" s="551"/>
      <c r="Z1103" s="570">
        <v>202929.52</v>
      </c>
      <c r="AA1103" s="552">
        <f>SUM(Table15[[#This Row],[PCTS Investment Amount]:[PCTS Retirement Amount]])</f>
        <v>857062.64</v>
      </c>
      <c r="AB1103" s="341">
        <v>45264</v>
      </c>
      <c r="AC1103" s="568" t="s">
        <v>116</v>
      </c>
      <c r="AD1103" s="1157" t="s">
        <v>29</v>
      </c>
      <c r="AE1103" s="568" t="s">
        <v>116</v>
      </c>
      <c r="AF1103" s="568" t="s">
        <v>116</v>
      </c>
      <c r="AG1103" s="183">
        <v>45371</v>
      </c>
      <c r="AH1103" s="183">
        <v>45371</v>
      </c>
      <c r="AI1103" s="1109">
        <v>0</v>
      </c>
      <c r="AJ1103" s="1110">
        <v>1599.5</v>
      </c>
      <c r="AK1103" s="1110">
        <v>682</v>
      </c>
      <c r="AL1103" s="1108">
        <f>SUM(Table15[[#This Row],[Nicor Initiated DBE]:[Staffing]])/(Table15[[#This Row],[Amount Invoiced]])</f>
        <v>2.6619991276250237E-2</v>
      </c>
      <c r="AM1103" s="542" t="s">
        <v>709</v>
      </c>
      <c r="AN1103" s="924"/>
      <c r="AO1103" s="925"/>
      <c r="AP1103" s="926"/>
      <c r="AQ1103" s="926"/>
      <c r="AR1103" s="926"/>
      <c r="AS1103" s="926"/>
      <c r="AT1103" s="926"/>
      <c r="AU1103" s="926"/>
      <c r="AV1103" s="926"/>
      <c r="AW1103" s="927"/>
      <c r="AX1103" s="926"/>
      <c r="AY1103" s="1538" t="s">
        <v>29</v>
      </c>
      <c r="AZ1103" s="1530"/>
      <c r="BA1103" s="1074" t="s">
        <v>1699</v>
      </c>
      <c r="BB1103" s="644" t="s">
        <v>870</v>
      </c>
      <c r="BC1103" s="559" t="s">
        <v>116</v>
      </c>
      <c r="BD1103" s="554" t="s">
        <v>882</v>
      </c>
      <c r="BE1103" s="588" t="s">
        <v>1700</v>
      </c>
      <c r="BF1103" s="588" t="s">
        <v>709</v>
      </c>
      <c r="BG1103" s="548" t="s">
        <v>709</v>
      </c>
      <c r="BH1103" s="615" t="s">
        <v>1701</v>
      </c>
      <c r="BI1103" s="547" t="s">
        <v>709</v>
      </c>
      <c r="BJ1103" s="549" t="s">
        <v>709</v>
      </c>
      <c r="BK1103" s="547" t="s">
        <v>709</v>
      </c>
      <c r="BL1103" s="547" t="s">
        <v>116</v>
      </c>
      <c r="BM1103" s="626" t="s">
        <v>709</v>
      </c>
      <c r="BN1103" s="549">
        <v>153</v>
      </c>
      <c r="BO1103" s="626" t="s">
        <v>709</v>
      </c>
      <c r="BP1103" s="626" t="s">
        <v>709</v>
      </c>
      <c r="BQ1103" s="549">
        <v>92</v>
      </c>
      <c r="BR1103" s="549">
        <v>61</v>
      </c>
      <c r="BS1103" s="549" t="s">
        <v>709</v>
      </c>
      <c r="BT1103" s="549" t="s">
        <v>709</v>
      </c>
      <c r="BU1103" s="549" t="s">
        <v>709</v>
      </c>
      <c r="BV1103" s="549" t="s">
        <v>709</v>
      </c>
      <c r="BW1103" s="549" t="s">
        <v>709</v>
      </c>
      <c r="BX1103" s="547" t="s">
        <v>709</v>
      </c>
      <c r="BY1103" s="549" t="s">
        <v>709</v>
      </c>
      <c r="BZ1103" s="626" t="s">
        <v>709</v>
      </c>
      <c r="CA1103" s="483"/>
      <c r="CB1103" s="547">
        <v>1101</v>
      </c>
      <c r="CC1103" s="1481" t="b">
        <v>1</v>
      </c>
      <c r="CD1103" t="str">
        <f>Table15[[#This Row],[Engineering Number]]&amp;Table15[[#This Row],[WO Number]]&amp;Table15[[#This Row],[Date Assigned to Designer]]&amp;Table15[[#This Row],[Date Completed]]</f>
        <v>M1520912133004518845273</v>
      </c>
    </row>
    <row r="1104" spans="1:82" customFormat="1" ht="15" customHeight="1" x14ac:dyDescent="0.25">
      <c r="A1104">
        <v>2023</v>
      </c>
      <c r="B1104" s="8" t="s">
        <v>732</v>
      </c>
      <c r="C1104" s="8" t="s">
        <v>6117</v>
      </c>
      <c r="D1104" s="8" t="s">
        <v>6118</v>
      </c>
      <c r="E1104" s="8" t="s">
        <v>2119</v>
      </c>
      <c r="F1104" s="8" t="s">
        <v>752</v>
      </c>
      <c r="G1104" s="8" t="s">
        <v>34</v>
      </c>
      <c r="H1104" s="8" t="s">
        <v>59</v>
      </c>
      <c r="I1104" s="642">
        <v>45056</v>
      </c>
      <c r="J1104" s="18">
        <v>45282</v>
      </c>
      <c r="K1104" s="97">
        <v>45281</v>
      </c>
      <c r="L1104" s="16">
        <f>IF(ISTEXT(Table15[[#This Row],[Engineering Approved Design Date]]),Table15[[#This Row],[Date Completed]]-Table15[[#This Row],[Date Assigned to Designer]],Table15[[#This Row],[Engineering Approved Design Date]]-Table15[[#This Row],[Date Completed]])</f>
        <v>1</v>
      </c>
      <c r="M1104" s="642"/>
      <c r="N1104" s="642" t="s">
        <v>120</v>
      </c>
      <c r="O1104" s="1060">
        <v>45292</v>
      </c>
      <c r="P1104" s="1152" t="s">
        <v>120</v>
      </c>
      <c r="Q1104" s="1061">
        <f>7750+6750</f>
        <v>14500</v>
      </c>
      <c r="R1104" s="1026" t="s">
        <v>6119</v>
      </c>
      <c r="S1104" s="538"/>
      <c r="T1104" s="538"/>
      <c r="U1104" s="87"/>
      <c r="V1104" s="858">
        <v>63</v>
      </c>
      <c r="W1104" s="437">
        <v>2</v>
      </c>
      <c r="X1104" s="570">
        <v>139589</v>
      </c>
      <c r="Y1104" s="551"/>
      <c r="Z1104" s="570">
        <v>92467.09</v>
      </c>
      <c r="AA1104" s="552">
        <f>SUM(Table15[[#This Row],[PCTS Investment Amount]:[PCTS Retirement Amount]])</f>
        <v>232056.09</v>
      </c>
      <c r="AB1104" s="341">
        <v>45293</v>
      </c>
      <c r="AC1104" s="568" t="s">
        <v>1177</v>
      </c>
      <c r="AD1104" s="1157" t="s">
        <v>29</v>
      </c>
      <c r="AE1104" s="568" t="s">
        <v>756</v>
      </c>
      <c r="AF1104" s="568" t="s">
        <v>29</v>
      </c>
      <c r="AG1104" s="568" t="s">
        <v>29</v>
      </c>
      <c r="AH1104" s="183" t="s">
        <v>116</v>
      </c>
      <c r="AI1104" s="1111"/>
      <c r="AJ1104" s="1112"/>
      <c r="AK1104" s="1112"/>
      <c r="AL1104" s="1108">
        <f>SUM(Table15[[#This Row],[Nicor Initiated DBE]:[Staffing]])/(Table15[[#This Row],[Amount Invoiced]])</f>
        <v>0</v>
      </c>
      <c r="AM1104" s="542" t="s">
        <v>709</v>
      </c>
      <c r="AN1104" s="924"/>
      <c r="AO1104" s="925"/>
      <c r="AP1104" s="926"/>
      <c r="AQ1104" s="926"/>
      <c r="AR1104" s="926"/>
      <c r="AS1104" s="926"/>
      <c r="AT1104" s="926"/>
      <c r="AU1104" s="926"/>
      <c r="AV1104" s="926"/>
      <c r="AW1104" s="927"/>
      <c r="AX1104" s="926"/>
      <c r="AY1104" s="1538" t="s">
        <v>29</v>
      </c>
      <c r="AZ1104" s="1530"/>
      <c r="BA1104" s="1031" t="s">
        <v>6120</v>
      </c>
      <c r="BB1104" s="644" t="s">
        <v>6121</v>
      </c>
      <c r="BC1104" s="544" t="s">
        <v>115</v>
      </c>
      <c r="BD1104" s="544" t="s">
        <v>115</v>
      </c>
      <c r="BE1104" s="544" t="s">
        <v>6122</v>
      </c>
      <c r="BF1104" s="544" t="s">
        <v>115</v>
      </c>
      <c r="BG1104" s="544" t="s">
        <v>115</v>
      </c>
      <c r="BH1104" s="741" t="s">
        <v>6123</v>
      </c>
      <c r="BI1104" s="547" t="s">
        <v>709</v>
      </c>
      <c r="BJ1104" s="547" t="s">
        <v>709</v>
      </c>
      <c r="BK1104" s="547" t="s">
        <v>116</v>
      </c>
      <c r="BL1104" s="547" t="s">
        <v>709</v>
      </c>
      <c r="BM1104" s="547" t="s">
        <v>709</v>
      </c>
      <c r="BN1104" s="547" t="s">
        <v>709</v>
      </c>
      <c r="BO1104" s="547" t="s">
        <v>709</v>
      </c>
      <c r="BP1104" s="547" t="s">
        <v>709</v>
      </c>
      <c r="BQ1104" s="547">
        <v>41</v>
      </c>
      <c r="BR1104" s="547">
        <v>22</v>
      </c>
      <c r="BS1104" s="547" t="s">
        <v>709</v>
      </c>
      <c r="BT1104" s="547" t="s">
        <v>709</v>
      </c>
      <c r="BU1104" s="547" t="s">
        <v>709</v>
      </c>
      <c r="BV1104" s="547" t="s">
        <v>709</v>
      </c>
      <c r="BW1104" s="547">
        <v>1</v>
      </c>
      <c r="BX1104" s="547">
        <v>1</v>
      </c>
      <c r="BY1104" s="547" t="s">
        <v>709</v>
      </c>
      <c r="BZ1104" s="626" t="s">
        <v>709</v>
      </c>
      <c r="CA1104" s="483"/>
      <c r="CB1104" s="547">
        <v>1102</v>
      </c>
      <c r="CC1104" s="1481" t="b">
        <v>1</v>
      </c>
      <c r="CD1104" t="str">
        <f>Table15[[#This Row],[Engineering Number]]&amp;Table15[[#This Row],[WO Number]]&amp;Table15[[#This Row],[Date Assigned to Designer]]&amp;Table15[[#This Row],[Date Completed]]</f>
        <v>RS113510131304505645281</v>
      </c>
    </row>
    <row r="1105" spans="1:82" customFormat="1" ht="15" customHeight="1" x14ac:dyDescent="0.25">
      <c r="A1105">
        <v>2024</v>
      </c>
      <c r="B1105" s="8" t="s">
        <v>4</v>
      </c>
      <c r="C1105" s="8" t="s">
        <v>6126</v>
      </c>
      <c r="D1105" s="8" t="s">
        <v>115</v>
      </c>
      <c r="E1105" s="8" t="s">
        <v>1032</v>
      </c>
      <c r="F1105" s="8" t="s">
        <v>747</v>
      </c>
      <c r="G1105" s="8" t="s">
        <v>25</v>
      </c>
      <c r="H1105" s="8" t="s">
        <v>1681</v>
      </c>
      <c r="I1105" s="642">
        <v>45078</v>
      </c>
      <c r="J1105" s="18">
        <v>45331</v>
      </c>
      <c r="K1105" s="175">
        <v>45282</v>
      </c>
      <c r="L1105" s="16">
        <f>IF(ISTEXT(Table15[[#This Row],[Engineering Approved Design Date]]),Table15[[#This Row],[Date Completed]]-Table15[[#This Row],[Date Assigned to Designer]],Table15[[#This Row],[Engineering Approved Design Date]]-Table15[[#This Row],[Date Completed]])</f>
        <v>49</v>
      </c>
      <c r="N1105" s="642" t="s">
        <v>120</v>
      </c>
      <c r="O1105" s="1060">
        <v>45292</v>
      </c>
      <c r="P1105" s="1152" t="s">
        <v>739</v>
      </c>
      <c r="Q1105" s="340" t="s">
        <v>115</v>
      </c>
      <c r="R1105" s="1026" t="s">
        <v>115</v>
      </c>
      <c r="S1105" s="538"/>
      <c r="T1105" s="538"/>
      <c r="U1105" s="28"/>
      <c r="V1105" s="858"/>
      <c r="W1105" s="437"/>
      <c r="X1105" s="538"/>
      <c r="Y1105" s="550"/>
      <c r="Z1105" s="538"/>
      <c r="AA1105" s="552"/>
      <c r="AB1105" s="341" t="s">
        <v>29</v>
      </c>
      <c r="AC1105" s="183" t="s">
        <v>29</v>
      </c>
      <c r="AD1105" s="1157" t="s">
        <v>29</v>
      </c>
      <c r="AE1105" s="568" t="s">
        <v>756</v>
      </c>
      <c r="AF1105" s="569" t="s">
        <v>29</v>
      </c>
      <c r="AG1105" s="569" t="s">
        <v>29</v>
      </c>
      <c r="AH1105" s="183">
        <v>45308</v>
      </c>
      <c r="AI1105" s="1036"/>
      <c r="AJ1105" s="1037"/>
      <c r="AK1105" s="1037"/>
      <c r="AL1105" s="1113" t="e">
        <f>SUM(Table15[[#This Row],[Nicor Initiated DBE]:[Staffing]])/(Table15[[#This Row],[Amount Invoiced]])</f>
        <v>#VALUE!</v>
      </c>
      <c r="AM1105" s="542" t="s">
        <v>709</v>
      </c>
      <c r="AN1105" s="924"/>
      <c r="AO1105" s="925"/>
      <c r="AP1105" s="926"/>
      <c r="AQ1105" s="926"/>
      <c r="AR1105" s="926"/>
      <c r="AS1105" s="926"/>
      <c r="AT1105" s="926"/>
      <c r="AU1105" s="926"/>
      <c r="AV1105" s="926"/>
      <c r="AW1105" s="927"/>
      <c r="AX1105" s="926"/>
      <c r="AY1105" s="1538" t="s">
        <v>29</v>
      </c>
      <c r="AZ1105" s="1530"/>
      <c r="BA1105" s="1068" t="s">
        <v>6127</v>
      </c>
      <c r="BB1105" s="644" t="s">
        <v>961</v>
      </c>
      <c r="BC1105" s="559" t="s">
        <v>116</v>
      </c>
      <c r="BD1105" s="554" t="s">
        <v>1036</v>
      </c>
      <c r="BE1105" s="588" t="s">
        <v>1841</v>
      </c>
      <c r="BF1105" s="1069" t="s">
        <v>709</v>
      </c>
      <c r="BG1105" s="588" t="s">
        <v>709</v>
      </c>
      <c r="BH1105" s="615" t="s">
        <v>6128</v>
      </c>
      <c r="BI1105" s="1032"/>
      <c r="BJ1105" s="1032"/>
      <c r="BK1105" s="1032"/>
      <c r="BL1105" s="1032"/>
      <c r="BM1105" s="1032"/>
      <c r="BN1105" s="1070"/>
      <c r="BO1105" s="1032"/>
      <c r="BP1105" s="1071"/>
      <c r="BQ1105" s="1070"/>
      <c r="BR1105" s="1070"/>
      <c r="BS1105" s="1070"/>
      <c r="BT1105" s="1070"/>
      <c r="BU1105" s="1070"/>
      <c r="BV1105" s="1070"/>
      <c r="BW1105" s="1070"/>
      <c r="BX1105" s="1032"/>
      <c r="BY1105" s="1072"/>
      <c r="BZ1105" s="1071" t="s">
        <v>709</v>
      </c>
      <c r="CA1105" s="485" t="s">
        <v>915</v>
      </c>
      <c r="CB1105" s="547">
        <v>1104</v>
      </c>
      <c r="CC1105" s="1481" t="b">
        <v>1</v>
      </c>
      <c r="CD1105" t="str">
        <f>Table15[[#This Row],[Engineering Number]]&amp;Table15[[#This Row],[WO Number]]&amp;Table15[[#This Row],[Date Assigned to Designer]]&amp;Table15[[#This Row],[Date Completed]]</f>
        <v>SC23191-4507845282</v>
      </c>
    </row>
    <row r="1106" spans="1:82" customFormat="1" ht="15" customHeight="1" x14ac:dyDescent="0.25">
      <c r="A1106">
        <v>2023</v>
      </c>
      <c r="B1106" s="8" t="s">
        <v>4</v>
      </c>
      <c r="C1106" s="8" t="s">
        <v>865</v>
      </c>
      <c r="D1106" s="8" t="s">
        <v>866</v>
      </c>
      <c r="E1106" s="8" t="s">
        <v>867</v>
      </c>
      <c r="F1106" s="8" t="s">
        <v>851</v>
      </c>
      <c r="G1106" s="8" t="s">
        <v>28</v>
      </c>
      <c r="H1106" s="8" t="s">
        <v>59</v>
      </c>
      <c r="I1106" s="642">
        <v>45103</v>
      </c>
      <c r="J1106" s="175">
        <v>45299</v>
      </c>
      <c r="K1106" s="97">
        <v>45282</v>
      </c>
      <c r="L1106" s="16">
        <f>IF(ISTEXT(Table15[[#This Row],[Engineering Approved Design Date]]),Table15[[#This Row],[Date Completed]]-Table15[[#This Row],[Date Assigned to Designer]],Table15[[#This Row],[Engineering Approved Design Date]]-Table15[[#This Row],[Date Completed]])</f>
        <v>17</v>
      </c>
      <c r="M1106" s="642"/>
      <c r="N1106" s="642" t="s">
        <v>120</v>
      </c>
      <c r="O1106" s="1060">
        <v>45292</v>
      </c>
      <c r="P1106" s="1152" t="s">
        <v>739</v>
      </c>
      <c r="Q1106" s="340">
        <f>Table15[[#This Row],[Rate]]*Table15[[#This Row],[Construction Cost to Bill From]]</f>
        <v>15738.49</v>
      </c>
      <c r="R1106" s="1026">
        <v>0.1</v>
      </c>
      <c r="S1106" s="538"/>
      <c r="T1106" s="538"/>
      <c r="U1106" s="87"/>
      <c r="V1106" s="858">
        <v>458</v>
      </c>
      <c r="W1106" s="437">
        <v>0</v>
      </c>
      <c r="X1106" s="556">
        <v>127620.77</v>
      </c>
      <c r="Y1106" s="551"/>
      <c r="Z1106" s="570">
        <v>29764.13</v>
      </c>
      <c r="AA1106" s="552">
        <f>SUM(Table15[[#This Row],[PCTS Investment Amount]:[PCTS Retirement Amount]])</f>
        <v>157384.9</v>
      </c>
      <c r="AB1106" s="341">
        <v>45294</v>
      </c>
      <c r="AC1106" s="568" t="s">
        <v>709</v>
      </c>
      <c r="AD1106" s="1157" t="s">
        <v>29</v>
      </c>
      <c r="AE1106" s="568" t="s">
        <v>116</v>
      </c>
      <c r="AF1106" s="568" t="s">
        <v>116</v>
      </c>
      <c r="AG1106" s="569" t="s">
        <v>116</v>
      </c>
      <c r="AH1106" s="183">
        <v>45308</v>
      </c>
      <c r="AI1106" s="1109">
        <v>0</v>
      </c>
      <c r="AJ1106" s="1110">
        <v>849.32</v>
      </c>
      <c r="AK1106" s="1110">
        <v>492</v>
      </c>
      <c r="AL1106" s="1108">
        <f>SUM(Table15[[#This Row],[Nicor Initiated DBE]:[Staffing]])/(Table15[[#This Row],[Amount Invoiced]])</f>
        <v>8.5225456825908971E-2</v>
      </c>
      <c r="AM1106" s="1522" t="s">
        <v>116</v>
      </c>
      <c r="AN1106" s="1523">
        <v>45359</v>
      </c>
      <c r="AO1106" s="1524">
        <v>11079675</v>
      </c>
      <c r="AP1106" s="1525">
        <v>133514.34</v>
      </c>
      <c r="AQ1106" s="1525"/>
      <c r="AR1106" s="1525">
        <v>26077.23</v>
      </c>
      <c r="AS1106" s="1525">
        <v>159591.57</v>
      </c>
      <c r="AT1106" s="1525">
        <v>2206.6700000000128</v>
      </c>
      <c r="AU1106" s="1525">
        <v>220.66700000000128</v>
      </c>
      <c r="AV1106" s="1525">
        <v>1332.5</v>
      </c>
      <c r="AW1106" s="1526" t="s">
        <v>868</v>
      </c>
      <c r="AX1106" s="1525">
        <v>0</v>
      </c>
      <c r="AY1106" s="1518">
        <v>45566</v>
      </c>
      <c r="AZ1106" s="333">
        <v>113</v>
      </c>
      <c r="BA1106" s="1074" t="s">
        <v>869</v>
      </c>
      <c r="BB1106" s="644" t="s">
        <v>870</v>
      </c>
      <c r="BC1106" s="559" t="s">
        <v>116</v>
      </c>
      <c r="BD1106" s="554" t="s">
        <v>709</v>
      </c>
      <c r="BE1106" s="588" t="s">
        <v>871</v>
      </c>
      <c r="BF1106" s="588" t="s">
        <v>709</v>
      </c>
      <c r="BG1106" s="548" t="s">
        <v>709</v>
      </c>
      <c r="BH1106" s="615" t="s">
        <v>872</v>
      </c>
      <c r="BI1106" s="547" t="s">
        <v>709</v>
      </c>
      <c r="BJ1106" s="549" t="s">
        <v>709</v>
      </c>
      <c r="BK1106" s="547" t="s">
        <v>709</v>
      </c>
      <c r="BL1106" s="547" t="s">
        <v>116</v>
      </c>
      <c r="BM1106" s="626" t="s">
        <v>709</v>
      </c>
      <c r="BN1106" s="549" t="s">
        <v>709</v>
      </c>
      <c r="BO1106" s="626" t="s">
        <v>709</v>
      </c>
      <c r="BP1106" s="626" t="s">
        <v>709</v>
      </c>
      <c r="BQ1106" s="549" t="s">
        <v>709</v>
      </c>
      <c r="BR1106" s="549">
        <v>458</v>
      </c>
      <c r="BS1106" s="549" t="s">
        <v>709</v>
      </c>
      <c r="BT1106" s="549" t="s">
        <v>745</v>
      </c>
      <c r="BU1106" s="549" t="s">
        <v>709</v>
      </c>
      <c r="BV1106" s="549" t="s">
        <v>745</v>
      </c>
      <c r="BW1106" s="549" t="s">
        <v>709</v>
      </c>
      <c r="BX1106" s="547" t="s">
        <v>745</v>
      </c>
      <c r="BY1106" s="549" t="s">
        <v>745</v>
      </c>
      <c r="BZ1106" s="626" t="s">
        <v>709</v>
      </c>
      <c r="CA1106" s="483"/>
      <c r="CB1106" s="547">
        <v>1103</v>
      </c>
      <c r="CC1106" s="1481" t="b">
        <v>1</v>
      </c>
      <c r="CD1106" t="str">
        <f>Table15[[#This Row],[Engineering Number]]&amp;Table15[[#This Row],[WO Number]]&amp;Table15[[#This Row],[Date Assigned to Designer]]&amp;Table15[[#This Row],[Date Completed]]</f>
        <v>SC2222913133314510345282</v>
      </c>
    </row>
    <row r="1107" spans="1:82" customFormat="1" ht="15" customHeight="1" x14ac:dyDescent="0.25">
      <c r="A1107">
        <v>2024</v>
      </c>
      <c r="B1107" s="8" t="s">
        <v>4</v>
      </c>
      <c r="C1107" s="8" t="s">
        <v>1041</v>
      </c>
      <c r="D1107" s="8" t="s">
        <v>1042</v>
      </c>
      <c r="E1107" s="8" t="s">
        <v>232</v>
      </c>
      <c r="F1107" s="8" t="s">
        <v>747</v>
      </c>
      <c r="G1107" s="8" t="s">
        <v>25</v>
      </c>
      <c r="H1107" s="8" t="s">
        <v>59</v>
      </c>
      <c r="I1107" s="642">
        <v>44806</v>
      </c>
      <c r="J1107" s="18">
        <v>45303</v>
      </c>
      <c r="K1107" s="97">
        <v>45286</v>
      </c>
      <c r="L1107" s="16">
        <f>IF(ISTEXT(Table15[[#This Row],[Engineering Approved Design Date]]),Table15[[#This Row],[Date Completed]]-Table15[[#This Row],[Date Assigned to Designer]],Table15[[#This Row],[Engineering Approved Design Date]]-Table15[[#This Row],[Date Completed]])</f>
        <v>17</v>
      </c>
      <c r="M1107" s="642"/>
      <c r="N1107" s="642" t="s">
        <v>120</v>
      </c>
      <c r="O1107" s="1060">
        <v>45292</v>
      </c>
      <c r="P1107" s="1152" t="s">
        <v>739</v>
      </c>
      <c r="Q1107" s="28">
        <f>Table15[[#This Row],[Rate]]*Table15[[#This Row],[Construction Cost to Bill From]]</f>
        <v>196942.08200000002</v>
      </c>
      <c r="R1107" s="1026">
        <v>0.1</v>
      </c>
      <c r="S1107" s="538"/>
      <c r="T1107" s="538"/>
      <c r="U1107" s="87"/>
      <c r="V1107" s="858">
        <v>2416</v>
      </c>
      <c r="W1107" s="437">
        <v>0</v>
      </c>
      <c r="X1107" s="556">
        <v>699460.52</v>
      </c>
      <c r="Y1107" s="551"/>
      <c r="Z1107" s="570">
        <v>1269960.3</v>
      </c>
      <c r="AA1107" s="552">
        <f>SUM(Table15[[#This Row],[PCTS Investment Amount]:[PCTS Retirement Amount]])</f>
        <v>1969420.82</v>
      </c>
      <c r="AB1107" s="341">
        <v>45273</v>
      </c>
      <c r="AC1107" s="568" t="s">
        <v>116</v>
      </c>
      <c r="AD1107" s="1157" t="s">
        <v>116</v>
      </c>
      <c r="AE1107" s="568" t="s">
        <v>756</v>
      </c>
      <c r="AF1107" s="568" t="s">
        <v>116</v>
      </c>
      <c r="AG1107" s="568" t="s">
        <v>116</v>
      </c>
      <c r="AH1107" s="183">
        <v>45308</v>
      </c>
      <c r="AI1107" s="1109">
        <v>0</v>
      </c>
      <c r="AJ1107" s="1110">
        <v>8611</v>
      </c>
      <c r="AK1107" s="1110">
        <v>1513.5</v>
      </c>
      <c r="AL1107" s="1108">
        <f>SUM(Table15[[#This Row],[Nicor Initiated DBE]:[Staffing]])/(Table15[[#This Row],[Amount Invoiced]])</f>
        <v>5.1408515118673309E-2</v>
      </c>
      <c r="AM1107" s="1522" t="s">
        <v>116</v>
      </c>
      <c r="AN1107" s="1523">
        <v>45448</v>
      </c>
      <c r="AO1107" s="1524">
        <v>11079929</v>
      </c>
      <c r="AP1107" s="1525">
        <v>708091.52</v>
      </c>
      <c r="AQ1107" s="1525"/>
      <c r="AR1107" s="1525">
        <v>1331341.94</v>
      </c>
      <c r="AS1107" s="1525">
        <v>2039433.46</v>
      </c>
      <c r="AT1107" s="1525">
        <v>70012.639999999898</v>
      </c>
      <c r="AU1107" s="1525">
        <v>7001.2639999999901</v>
      </c>
      <c r="AV1107" s="1525">
        <v>0</v>
      </c>
      <c r="AW1107" s="1526" t="s">
        <v>1043</v>
      </c>
      <c r="AX1107" s="1525">
        <v>7001.26</v>
      </c>
      <c r="AY1107" s="1518">
        <v>45566</v>
      </c>
      <c r="AZ1107" s="333">
        <v>114</v>
      </c>
      <c r="BA1107" s="1074" t="s">
        <v>1044</v>
      </c>
      <c r="BB1107" s="644" t="s">
        <v>1045</v>
      </c>
      <c r="BC1107" s="559" t="s">
        <v>709</v>
      </c>
      <c r="BD1107" s="554" t="s">
        <v>709</v>
      </c>
      <c r="BE1107" s="588" t="s">
        <v>595</v>
      </c>
      <c r="BF1107" s="588" t="s">
        <v>923</v>
      </c>
      <c r="BG1107" s="548" t="s">
        <v>709</v>
      </c>
      <c r="BH1107" s="615" t="s">
        <v>1046</v>
      </c>
      <c r="BI1107" s="547" t="s">
        <v>709</v>
      </c>
      <c r="BJ1107" s="549" t="s">
        <v>709</v>
      </c>
      <c r="BK1107" s="547" t="s">
        <v>709</v>
      </c>
      <c r="BL1107" s="547" t="s">
        <v>116</v>
      </c>
      <c r="BM1107" s="626" t="s">
        <v>709</v>
      </c>
      <c r="BN1107" s="549" t="s">
        <v>709</v>
      </c>
      <c r="BO1107" s="626" t="s">
        <v>709</v>
      </c>
      <c r="BP1107" s="626" t="s">
        <v>709</v>
      </c>
      <c r="BQ1107" s="549">
        <v>2392</v>
      </c>
      <c r="BR1107" s="549" t="s">
        <v>709</v>
      </c>
      <c r="BS1107" s="549">
        <v>24</v>
      </c>
      <c r="BT1107" s="549" t="s">
        <v>745</v>
      </c>
      <c r="BU1107" s="549" t="s">
        <v>709</v>
      </c>
      <c r="BV1107" s="549" t="s">
        <v>745</v>
      </c>
      <c r="BW1107" s="549" t="s">
        <v>709</v>
      </c>
      <c r="BX1107" s="547" t="s">
        <v>745</v>
      </c>
      <c r="BY1107" s="549" t="s">
        <v>745</v>
      </c>
      <c r="BZ1107" s="626" t="s">
        <v>709</v>
      </c>
      <c r="CA1107" s="483"/>
      <c r="CB1107" s="547">
        <v>1105</v>
      </c>
      <c r="CC1107" s="1481" t="b">
        <v>1</v>
      </c>
      <c r="CD1107" t="str">
        <f>Table15[[#This Row],[Engineering Number]]&amp;Table15[[#This Row],[WO Number]]&amp;Table15[[#This Row],[Date Assigned to Designer]]&amp;Table15[[#This Row],[Date Completed]]</f>
        <v>SC1694214132864480645286</v>
      </c>
    </row>
    <row r="1108" spans="1:82" customFormat="1" ht="15" customHeight="1" x14ac:dyDescent="0.25">
      <c r="A1108">
        <v>2023</v>
      </c>
      <c r="B1108" s="8" t="s">
        <v>4</v>
      </c>
      <c r="C1108" s="8" t="s">
        <v>6130</v>
      </c>
      <c r="D1108" s="8">
        <v>1313140</v>
      </c>
      <c r="E1108" s="8" t="s">
        <v>818</v>
      </c>
      <c r="F1108" s="8" t="s">
        <v>851</v>
      </c>
      <c r="G1108" s="8" t="s">
        <v>25</v>
      </c>
      <c r="H1108" s="8" t="s">
        <v>5512</v>
      </c>
      <c r="I1108" s="642">
        <v>45279</v>
      </c>
      <c r="J1108" s="175" t="s">
        <v>4110</v>
      </c>
      <c r="K1108" s="97">
        <v>45286</v>
      </c>
      <c r="L1108" s="16">
        <f>IF(ISTEXT(Table15[[#This Row],[Engineering Approved Design Date]]),Table15[[#This Row],[Date Completed]]-Table15[[#This Row],[Date Assigned to Designer]],Table15[[#This Row],[Engineering Approved Design Date]]-Table15[[#This Row],[Date Completed]])</f>
        <v>7</v>
      </c>
      <c r="M1108" s="16" t="s">
        <v>6131</v>
      </c>
      <c r="N1108" s="642" t="s">
        <v>120</v>
      </c>
      <c r="O1108" s="1060">
        <v>45292</v>
      </c>
      <c r="P1108" s="1152" t="s">
        <v>739</v>
      </c>
      <c r="Q1108" s="1061">
        <f>Table15[[#This Row],[Shactee Effort]]+Table15[[#This Row],[KH Hourly Effort]]</f>
        <v>1161.98</v>
      </c>
      <c r="R1108" s="1039" t="s">
        <v>1922</v>
      </c>
      <c r="S1108" s="538">
        <v>696.98</v>
      </c>
      <c r="T1108" s="538" t="s">
        <v>709</v>
      </c>
      <c r="U1108" s="1078">
        <v>465</v>
      </c>
      <c r="V1108" s="857"/>
      <c r="W1108" s="437"/>
      <c r="X1108" s="538"/>
      <c r="Y1108" s="551"/>
      <c r="Z1108" s="538"/>
      <c r="AA1108" s="552"/>
      <c r="AB1108" s="341" t="s">
        <v>29</v>
      </c>
      <c r="AC1108" s="569" t="s">
        <v>29</v>
      </c>
      <c r="AD1108" s="1149" t="s">
        <v>29</v>
      </c>
      <c r="AE1108" s="568" t="s">
        <v>756</v>
      </c>
      <c r="AF1108" s="568" t="s">
        <v>116</v>
      </c>
      <c r="AG1108" s="569" t="s">
        <v>29</v>
      </c>
      <c r="AH1108" s="536" t="s">
        <v>29</v>
      </c>
      <c r="AI1108" s="1036"/>
      <c r="AJ1108" s="1037"/>
      <c r="AK1108" s="1037"/>
      <c r="AL1108" s="1108">
        <f>SUM(Table15[[#This Row],[Nicor Initiated DBE]:[Staffing]])/(Table15[[#This Row],[Amount Invoiced]])</f>
        <v>0</v>
      </c>
      <c r="AM1108" s="542" t="s">
        <v>709</v>
      </c>
      <c r="AN1108" s="924"/>
      <c r="AO1108" s="925"/>
      <c r="AP1108" s="926"/>
      <c r="AQ1108" s="926"/>
      <c r="AR1108" s="926"/>
      <c r="AS1108" s="926"/>
      <c r="AT1108" s="926"/>
      <c r="AU1108" s="926"/>
      <c r="AV1108" s="926"/>
      <c r="AW1108" s="927"/>
      <c r="AX1108" s="926"/>
      <c r="AY1108" s="1538" t="s">
        <v>29</v>
      </c>
      <c r="AZ1108" s="1530"/>
      <c r="BA1108" s="1031" t="s">
        <v>6132</v>
      </c>
      <c r="BB1108" s="653" t="s">
        <v>376</v>
      </c>
      <c r="BC1108" s="544"/>
      <c r="BD1108" s="544"/>
      <c r="BE1108" s="544"/>
      <c r="BF1108" s="544"/>
      <c r="BG1108" s="544"/>
      <c r="BH1108" s="741" t="s">
        <v>6133</v>
      </c>
      <c r="BI1108" s="1070"/>
      <c r="BJ1108" s="1070"/>
      <c r="BK1108" s="1070"/>
      <c r="BL1108" s="1070"/>
      <c r="BM1108" s="1070"/>
      <c r="BN1108" s="1070"/>
      <c r="BO1108" s="1070"/>
      <c r="BP1108" s="1070"/>
      <c r="BQ1108" s="1070"/>
      <c r="BR1108" s="1070"/>
      <c r="BS1108" s="1070"/>
      <c r="BT1108" s="1070"/>
      <c r="BU1108" s="1070"/>
      <c r="BV1108" s="1070"/>
      <c r="BW1108" s="1070"/>
      <c r="BX1108" s="1070"/>
      <c r="BY1108" s="1070"/>
      <c r="BZ1108" s="1071" t="s">
        <v>709</v>
      </c>
      <c r="CA1108" s="485" t="s">
        <v>915</v>
      </c>
      <c r="CB1108" s="547">
        <v>1106</v>
      </c>
      <c r="CC1108" s="1481" t="b">
        <v>1</v>
      </c>
      <c r="CD1108" t="str">
        <f>Table15[[#This Row],[Engineering Number]]&amp;Table15[[#This Row],[WO Number]]&amp;Table15[[#This Row],[Date Assigned to Designer]]&amp;Table15[[#This Row],[Date Completed]]</f>
        <v>SC2332313131404527945286</v>
      </c>
    </row>
    <row r="1109" spans="1:82" customFormat="1" ht="15" customHeight="1" x14ac:dyDescent="0.25">
      <c r="A1109">
        <v>2024</v>
      </c>
      <c r="B1109" s="8" t="s">
        <v>4</v>
      </c>
      <c r="C1109" s="8" t="s">
        <v>392</v>
      </c>
      <c r="D1109" s="8" t="s">
        <v>1702</v>
      </c>
      <c r="E1109" s="8" t="s">
        <v>393</v>
      </c>
      <c r="F1109" s="8" t="s">
        <v>784</v>
      </c>
      <c r="G1109" s="8" t="s">
        <v>27</v>
      </c>
      <c r="H1109" s="8" t="s">
        <v>59</v>
      </c>
      <c r="I1109" s="642">
        <v>44886</v>
      </c>
      <c r="J1109" s="18">
        <v>45289</v>
      </c>
      <c r="K1109" s="97">
        <v>45288</v>
      </c>
      <c r="L1109" s="16">
        <f>IF(ISTEXT(Table15[[#This Row],[Engineering Approved Design Date]]),Table15[[#This Row],[Date Completed]]-Table15[[#This Row],[Date Assigned to Designer]],Table15[[#This Row],[Engineering Approved Design Date]]-Table15[[#This Row],[Date Completed]])</f>
        <v>1</v>
      </c>
      <c r="M1109" s="642"/>
      <c r="N1109" s="642" t="s">
        <v>120</v>
      </c>
      <c r="O1109" s="1060">
        <v>45292</v>
      </c>
      <c r="P1109" s="1152" t="s">
        <v>739</v>
      </c>
      <c r="Q1109" s="340">
        <f>Table15[[#This Row],[Rate]]*Table15[[#This Row],[Construction Cost to Bill From]]</f>
        <v>414065.52400000003</v>
      </c>
      <c r="R1109" s="1026">
        <v>0.1</v>
      </c>
      <c r="S1109" s="538"/>
      <c r="T1109" s="538"/>
      <c r="U1109" s="87"/>
      <c r="V1109" s="858">
        <v>8446</v>
      </c>
      <c r="W1109" s="437">
        <v>0</v>
      </c>
      <c r="X1109" s="556">
        <v>3141483.87</v>
      </c>
      <c r="Y1109" s="551"/>
      <c r="Z1109" s="570">
        <v>999171.37</v>
      </c>
      <c r="AA1109" s="552">
        <f>SUM(Table15[[#This Row],[PCTS Investment Amount]:[PCTS Retirement Amount]])</f>
        <v>4140655.24</v>
      </c>
      <c r="AB1109" s="341">
        <v>45288</v>
      </c>
      <c r="AC1109" s="568" t="s">
        <v>116</v>
      </c>
      <c r="AD1109" s="1157" t="s">
        <v>116</v>
      </c>
      <c r="AE1109" s="568" t="s">
        <v>116</v>
      </c>
      <c r="AF1109" s="568" t="s">
        <v>116</v>
      </c>
      <c r="AG1109" s="568" t="s">
        <v>116</v>
      </c>
      <c r="AH1109" s="183">
        <v>45366</v>
      </c>
      <c r="AI1109" s="1109">
        <v>0</v>
      </c>
      <c r="AJ1109" s="1110">
        <v>9588.4</v>
      </c>
      <c r="AK1109" s="1110">
        <v>2448.75</v>
      </c>
      <c r="AL1109" s="1108">
        <f>SUM(Table15[[#This Row],[Nicor Initiated DBE]:[Staffing]])/(Table15[[#This Row],[Amount Invoiced]])</f>
        <v>2.9070640520170422E-2</v>
      </c>
      <c r="AM1109" s="1522" t="s">
        <v>116</v>
      </c>
      <c r="AN1109" s="1523">
        <v>45720</v>
      </c>
      <c r="AO1109" s="1524">
        <v>11099139</v>
      </c>
      <c r="AP1109" s="1525">
        <v>1475414.9</v>
      </c>
      <c r="AQ1109" s="1525"/>
      <c r="AR1109" s="1525">
        <v>552484.56000000006</v>
      </c>
      <c r="AS1109" s="1525">
        <f>IF(Table15[[#This Row],[PCTS Approved]]="N",0,Table15[[#This Row],[Investment Amount (1'#'#'#'#'#)]]+Table15[[#This Row],[Retirement Amount (3'#'#'#'#'#)]])</f>
        <v>2027899.46</v>
      </c>
      <c r="AT1109" s="1525">
        <f>IF(Table15[[#This Row],[Approved Construction Cost]]=0,0,Table15[[#This Row],[Approved Construction Cost]]-Table15[[#This Row],[Construction Cost to Bill From]])</f>
        <v>-2112755.7800000003</v>
      </c>
      <c r="AU1109" s="1525">
        <f>IFERROR(Table15[[#This Row],[Difference in Construction Cost]]*Table15[[#This Row],[Rate]],Table15[[#This Row],[Difference in Construction Cost]]*0.085)</f>
        <v>-211275.57800000004</v>
      </c>
      <c r="AV1109" s="1525">
        <v>79956.179999999993</v>
      </c>
      <c r="AW1109" s="1526" t="s">
        <v>6143</v>
      </c>
      <c r="AX1109" s="1525">
        <v>0</v>
      </c>
      <c r="AY1109" s="1518">
        <v>45901</v>
      </c>
      <c r="AZ1109" s="333">
        <v>115</v>
      </c>
      <c r="BA1109" s="1074" t="s">
        <v>1703</v>
      </c>
      <c r="BB1109" s="644" t="s">
        <v>1704</v>
      </c>
      <c r="BC1109" s="559" t="s">
        <v>116</v>
      </c>
      <c r="BD1109" s="554" t="s">
        <v>1066</v>
      </c>
      <c r="BE1109" s="588" t="s">
        <v>1705</v>
      </c>
      <c r="BF1109" s="588" t="s">
        <v>1706</v>
      </c>
      <c r="BG1109" s="548" t="s">
        <v>1707</v>
      </c>
      <c r="BH1109" s="615" t="s">
        <v>1708</v>
      </c>
      <c r="BI1109" s="547" t="s">
        <v>709</v>
      </c>
      <c r="BJ1109" s="549" t="s">
        <v>709</v>
      </c>
      <c r="BK1109" s="547" t="s">
        <v>709</v>
      </c>
      <c r="BL1109" s="547" t="s">
        <v>116</v>
      </c>
      <c r="BM1109" s="626" t="s">
        <v>709</v>
      </c>
      <c r="BN1109" s="549" t="s">
        <v>709</v>
      </c>
      <c r="BO1109" s="626" t="s">
        <v>709</v>
      </c>
      <c r="BP1109" s="626">
        <v>250</v>
      </c>
      <c r="BQ1109" s="549">
        <v>5956</v>
      </c>
      <c r="BR1109" s="549">
        <v>928</v>
      </c>
      <c r="BS1109" s="549">
        <v>1562</v>
      </c>
      <c r="BT1109" s="549" t="s">
        <v>745</v>
      </c>
      <c r="BU1109" s="549" t="s">
        <v>709</v>
      </c>
      <c r="BV1109" s="549" t="s">
        <v>745</v>
      </c>
      <c r="BW1109" s="549" t="s">
        <v>709</v>
      </c>
      <c r="BX1109" s="547" t="s">
        <v>745</v>
      </c>
      <c r="BY1109" s="549" t="s">
        <v>745</v>
      </c>
      <c r="BZ1109" s="547" t="s">
        <v>709</v>
      </c>
      <c r="CA1109" s="483"/>
      <c r="CB1109" s="547">
        <v>1108</v>
      </c>
      <c r="CC1109" s="1481" t="b">
        <v>1</v>
      </c>
      <c r="CD1109" t="str">
        <f>Table15[[#This Row],[Engineering Number]]&amp;Table15[[#This Row],[WO Number]]&amp;Table15[[#This Row],[Date Assigned to Designer]]&amp;Table15[[#This Row],[Date Completed]]</f>
        <v>N1435912123854488645288</v>
      </c>
    </row>
    <row r="1110" spans="1:82" customFormat="1" ht="15" customHeight="1" x14ac:dyDescent="0.25">
      <c r="A1110">
        <v>2023</v>
      </c>
      <c r="B1110" s="8" t="s">
        <v>769</v>
      </c>
      <c r="C1110" s="8" t="s">
        <v>6136</v>
      </c>
      <c r="D1110" s="8" t="s">
        <v>6137</v>
      </c>
      <c r="E1110" s="8" t="s">
        <v>6138</v>
      </c>
      <c r="F1110" s="8" t="s">
        <v>5604</v>
      </c>
      <c r="G1110" s="8" t="s">
        <v>34</v>
      </c>
      <c r="H1110" s="8" t="s">
        <v>59</v>
      </c>
      <c r="I1110" s="642">
        <v>45191</v>
      </c>
      <c r="J1110" s="18">
        <v>45291</v>
      </c>
      <c r="K1110" s="97">
        <v>45288</v>
      </c>
      <c r="L1110" s="16">
        <f>IF(ISTEXT(Table15[[#This Row],[Engineering Approved Design Date]]),Table15[[#This Row],[Date Completed]]-Table15[[#This Row],[Date Assigned to Designer]],Table15[[#This Row],[Engineering Approved Design Date]]-Table15[[#This Row],[Date Completed]])</f>
        <v>3</v>
      </c>
      <c r="M1110" s="642"/>
      <c r="N1110" s="642" t="s">
        <v>120</v>
      </c>
      <c r="O1110" s="1060">
        <v>45292</v>
      </c>
      <c r="P1110" s="1152" t="s">
        <v>739</v>
      </c>
      <c r="Q1110" s="1061">
        <v>12750</v>
      </c>
      <c r="R1110" s="1026" t="s">
        <v>5194</v>
      </c>
      <c r="S1110" s="538"/>
      <c r="T1110" s="538"/>
      <c r="U1110" s="87"/>
      <c r="V1110" s="858">
        <v>86</v>
      </c>
      <c r="W1110" s="437">
        <v>1</v>
      </c>
      <c r="X1110" s="570">
        <v>151886.57</v>
      </c>
      <c r="Y1110" s="551"/>
      <c r="Z1110" s="570">
        <v>56618.09</v>
      </c>
      <c r="AA1110" s="552">
        <f>SUM(Table15[[#This Row],[PCTS Investment Amount]:[PCTS Retirement Amount]])</f>
        <v>208504.66</v>
      </c>
      <c r="AB1110" s="341">
        <v>45293</v>
      </c>
      <c r="AC1110" s="568" t="s">
        <v>116</v>
      </c>
      <c r="AD1110" s="1157" t="s">
        <v>29</v>
      </c>
      <c r="AE1110" s="568" t="s">
        <v>116</v>
      </c>
      <c r="AF1110" s="568" t="s">
        <v>756</v>
      </c>
      <c r="AG1110" s="183">
        <v>45293</v>
      </c>
      <c r="AH1110" s="183">
        <v>45770</v>
      </c>
      <c r="AI1110" s="1109">
        <v>0</v>
      </c>
      <c r="AJ1110" s="1110">
        <v>0</v>
      </c>
      <c r="AK1110" s="1110">
        <v>1069</v>
      </c>
      <c r="AL1110" s="1108">
        <f>SUM(Table15[[#This Row],[Nicor Initiated DBE]:[Staffing]])/(Table15[[#This Row],[Amount Invoiced]])</f>
        <v>8.3843137254901959E-2</v>
      </c>
      <c r="AM1110" s="542" t="s">
        <v>709</v>
      </c>
      <c r="AN1110" s="924"/>
      <c r="AO1110" s="925"/>
      <c r="AP1110" s="926"/>
      <c r="AQ1110" s="926"/>
      <c r="AR1110" s="926"/>
      <c r="AS1110" s="926"/>
      <c r="AT1110" s="926"/>
      <c r="AU1110" s="926"/>
      <c r="AV1110" s="926"/>
      <c r="AW1110" s="927"/>
      <c r="AX1110" s="926"/>
      <c r="AY1110" s="1538" t="s">
        <v>29</v>
      </c>
      <c r="AZ1110" s="1530"/>
      <c r="BA1110" s="1031" t="s">
        <v>6139</v>
      </c>
      <c r="BB1110" s="644" t="s">
        <v>6140</v>
      </c>
      <c r="BC1110" s="559" t="s">
        <v>115</v>
      </c>
      <c r="BD1110" s="554" t="s">
        <v>1167</v>
      </c>
      <c r="BE1110" s="588" t="s">
        <v>115</v>
      </c>
      <c r="BF1110" s="588" t="s">
        <v>115</v>
      </c>
      <c r="BG1110" s="548" t="s">
        <v>115</v>
      </c>
      <c r="BH1110" s="741" t="s">
        <v>6141</v>
      </c>
      <c r="BI1110" s="547" t="s">
        <v>709</v>
      </c>
      <c r="BJ1110" s="547" t="s">
        <v>709</v>
      </c>
      <c r="BK1110" s="547" t="s">
        <v>116</v>
      </c>
      <c r="BL1110" s="547" t="s">
        <v>116</v>
      </c>
      <c r="BM1110" s="547" t="s">
        <v>709</v>
      </c>
      <c r="BN1110" s="547" t="s">
        <v>709</v>
      </c>
      <c r="BO1110" s="547" t="s">
        <v>709</v>
      </c>
      <c r="BP1110" s="547" t="s">
        <v>709</v>
      </c>
      <c r="BQ1110" s="547" t="s">
        <v>709</v>
      </c>
      <c r="BR1110" s="547">
        <v>4</v>
      </c>
      <c r="BS1110" s="547">
        <v>82</v>
      </c>
      <c r="BT1110" s="547" t="s">
        <v>709</v>
      </c>
      <c r="BU1110" s="547" t="s">
        <v>709</v>
      </c>
      <c r="BV1110" s="547" t="s">
        <v>709</v>
      </c>
      <c r="BW1110" s="547" t="s">
        <v>709</v>
      </c>
      <c r="BX1110" s="547">
        <v>1</v>
      </c>
      <c r="BY1110" s="547" t="s">
        <v>709</v>
      </c>
      <c r="BZ1110" s="547" t="s">
        <v>709</v>
      </c>
      <c r="CA1110" s="483"/>
      <c r="CB1110" s="547">
        <v>1107</v>
      </c>
      <c r="CC1110" s="1481" t="b">
        <v>1</v>
      </c>
      <c r="CD1110" t="str">
        <f>Table15[[#This Row],[Engineering Number]]&amp;Table15[[#This Row],[WO Number]]&amp;Table15[[#This Row],[Date Assigned to Designer]]&amp;Table15[[#This Row],[Date Completed]]</f>
        <v>RS118610131624519145288</v>
      </c>
    </row>
    <row r="1111" spans="1:82" customFormat="1" ht="15" customHeight="1" x14ac:dyDescent="0.25">
      <c r="A1111">
        <v>2024</v>
      </c>
      <c r="B1111" s="8" t="s">
        <v>4</v>
      </c>
      <c r="C1111" s="8" t="s">
        <v>857</v>
      </c>
      <c r="D1111" s="8" t="s">
        <v>858</v>
      </c>
      <c r="E1111" s="8" t="s">
        <v>859</v>
      </c>
      <c r="F1111" s="8" t="s">
        <v>851</v>
      </c>
      <c r="G1111" s="8" t="s">
        <v>25</v>
      </c>
      <c r="H1111" s="8" t="s">
        <v>59</v>
      </c>
      <c r="I1111" s="642">
        <v>45191</v>
      </c>
      <c r="J1111" s="18">
        <v>45303</v>
      </c>
      <c r="K1111" s="97">
        <v>45294</v>
      </c>
      <c r="L1111" s="16">
        <f>IF(ISTEXT(Table15[[#This Row],[Engineering Approved Design Date]]),Table15[[#This Row],[Date Completed]]-Table15[[#This Row],[Date Assigned to Designer]],Table15[[#This Row],[Engineering Approved Design Date]]-Table15[[#This Row],[Date Completed]])</f>
        <v>9</v>
      </c>
      <c r="M1111" s="642"/>
      <c r="N1111" s="642" t="s">
        <v>120</v>
      </c>
      <c r="O1111" s="1060">
        <v>45323</v>
      </c>
      <c r="P1111" s="1152" t="s">
        <v>739</v>
      </c>
      <c r="Q1111" s="340">
        <f>Table15[[#This Row],[Rate]]*Table15[[#This Row],[Construction Cost to Bill From]]</f>
        <v>128020.91400000002</v>
      </c>
      <c r="R1111" s="1026">
        <v>0.1</v>
      </c>
      <c r="S1111" s="538"/>
      <c r="T1111" s="538"/>
      <c r="U1111" s="87"/>
      <c r="V1111" s="858">
        <v>4285</v>
      </c>
      <c r="W1111" s="437">
        <v>0</v>
      </c>
      <c r="X1111" s="571">
        <v>837750.8</v>
      </c>
      <c r="Y1111" s="551"/>
      <c r="Z1111" s="570">
        <v>442458.34</v>
      </c>
      <c r="AA1111" s="552">
        <f>SUM(Table15[[#This Row],[PCTS Investment Amount]:[PCTS Retirement Amount]])</f>
        <v>1280209.1400000001</v>
      </c>
      <c r="AB1111" s="341">
        <v>45273</v>
      </c>
      <c r="AC1111" s="568" t="s">
        <v>709</v>
      </c>
      <c r="AD1111" s="1157" t="s">
        <v>116</v>
      </c>
      <c r="AE1111" s="568" t="s">
        <v>756</v>
      </c>
      <c r="AF1111" s="568" t="s">
        <v>116</v>
      </c>
      <c r="AG1111" s="568" t="s">
        <v>376</v>
      </c>
      <c r="AH1111" s="183">
        <v>45308</v>
      </c>
      <c r="AI1111" s="1109">
        <v>0</v>
      </c>
      <c r="AJ1111" s="1110">
        <v>5175.75</v>
      </c>
      <c r="AK1111" s="1110">
        <v>3424</v>
      </c>
      <c r="AL1111" s="1108">
        <f>SUM(Table15[[#This Row],[Nicor Initiated DBE]:[Staffing]])/(Table15[[#This Row],[Amount Invoiced]])</f>
        <v>6.7174571179830805E-2</v>
      </c>
      <c r="AM1111" s="1522" t="s">
        <v>116</v>
      </c>
      <c r="AN1111" s="1523">
        <v>45356</v>
      </c>
      <c r="AO1111" s="1524">
        <v>11079547</v>
      </c>
      <c r="AP1111" s="1525">
        <v>846228.66</v>
      </c>
      <c r="AQ1111" s="1525"/>
      <c r="AR1111" s="1525">
        <v>442231.03</v>
      </c>
      <c r="AS1111" s="1525">
        <v>1288459.69</v>
      </c>
      <c r="AT1111" s="1525">
        <v>8250.5499999998137</v>
      </c>
      <c r="AU1111" s="1525">
        <v>825.05499999998142</v>
      </c>
      <c r="AV1111" s="1525">
        <v>0</v>
      </c>
      <c r="AW1111" s="1526" t="s">
        <v>785</v>
      </c>
      <c r="AX1111" s="1525">
        <v>825.05</v>
      </c>
      <c r="AY1111" s="1518">
        <v>45566</v>
      </c>
      <c r="AZ1111" s="333">
        <v>116</v>
      </c>
      <c r="BA1111" s="1074" t="s">
        <v>860</v>
      </c>
      <c r="BB1111" s="644" t="s">
        <v>861</v>
      </c>
      <c r="BC1111" s="544" t="s">
        <v>115</v>
      </c>
      <c r="BD1111" s="554" t="s">
        <v>862</v>
      </c>
      <c r="BE1111" s="588" t="s">
        <v>863</v>
      </c>
      <c r="BF1111" s="588" t="s">
        <v>115</v>
      </c>
      <c r="BG1111" s="588" t="s">
        <v>115</v>
      </c>
      <c r="BH1111" s="615" t="s">
        <v>864</v>
      </c>
      <c r="BI1111" s="547" t="s">
        <v>709</v>
      </c>
      <c r="BJ1111" s="549" t="s">
        <v>709</v>
      </c>
      <c r="BK1111" s="547" t="s">
        <v>709</v>
      </c>
      <c r="BL1111" s="547" t="s">
        <v>116</v>
      </c>
      <c r="BM1111" s="626" t="s">
        <v>709</v>
      </c>
      <c r="BN1111" s="549" t="s">
        <v>709</v>
      </c>
      <c r="BO1111" s="626" t="s">
        <v>709</v>
      </c>
      <c r="BP1111" s="626" t="s">
        <v>709</v>
      </c>
      <c r="BQ1111" s="549" t="s">
        <v>709</v>
      </c>
      <c r="BR1111" s="549" t="s">
        <v>709</v>
      </c>
      <c r="BS1111" s="549">
        <v>4285</v>
      </c>
      <c r="BT1111" s="549" t="s">
        <v>745</v>
      </c>
      <c r="BU1111" s="549" t="s">
        <v>709</v>
      </c>
      <c r="BV1111" s="549" t="s">
        <v>745</v>
      </c>
      <c r="BW1111" s="549" t="s">
        <v>709</v>
      </c>
      <c r="BX1111" s="547" t="s">
        <v>745</v>
      </c>
      <c r="BY1111" s="549" t="s">
        <v>745</v>
      </c>
      <c r="BZ1111" s="547" t="s">
        <v>709</v>
      </c>
      <c r="CA1111" s="483"/>
      <c r="CB1111" s="547">
        <v>1109</v>
      </c>
      <c r="CC1111" s="1481" t="b">
        <v>1</v>
      </c>
      <c r="CD1111" t="str">
        <f>Table15[[#This Row],[Engineering Number]]&amp;Table15[[#This Row],[WO Number]]&amp;Table15[[#This Row],[Date Assigned to Designer]]&amp;Table15[[#This Row],[Date Completed]]</f>
        <v>SC2328013131774519145294</v>
      </c>
    </row>
    <row r="1112" spans="1:82" customFormat="1" ht="15" customHeight="1" x14ac:dyDescent="0.25">
      <c r="A1112">
        <v>2024</v>
      </c>
      <c r="B1112" s="8" t="s">
        <v>4</v>
      </c>
      <c r="C1112" s="8" t="s">
        <v>6146</v>
      </c>
      <c r="D1112" s="8" t="s">
        <v>115</v>
      </c>
      <c r="E1112" s="8" t="s">
        <v>2535</v>
      </c>
      <c r="F1112" s="8" t="s">
        <v>784</v>
      </c>
      <c r="G1112" s="8" t="s">
        <v>26</v>
      </c>
      <c r="H1112" s="8" t="s">
        <v>1681</v>
      </c>
      <c r="I1112" s="642">
        <v>44732</v>
      </c>
      <c r="J1112" s="18">
        <v>45322</v>
      </c>
      <c r="K1112" s="175">
        <v>45295</v>
      </c>
      <c r="L1112" s="16">
        <f>IF(ISTEXT(Table15[[#This Row],[Engineering Approved Design Date]]),Table15[[#This Row],[Date Completed]]-Table15[[#This Row],[Date Assigned to Designer]],Table15[[#This Row],[Engineering Approved Design Date]]-Table15[[#This Row],[Date Completed]])</f>
        <v>27</v>
      </c>
      <c r="N1112" s="642" t="s">
        <v>120</v>
      </c>
      <c r="O1112" s="1060">
        <v>45292</v>
      </c>
      <c r="P1112" s="1152" t="s">
        <v>739</v>
      </c>
      <c r="Q1112" s="340" t="s">
        <v>115</v>
      </c>
      <c r="R1112" s="1026" t="s">
        <v>115</v>
      </c>
      <c r="S1112" s="538"/>
      <c r="T1112" s="538"/>
      <c r="U1112" s="28"/>
      <c r="V1112" s="858"/>
      <c r="W1112" s="437"/>
      <c r="X1112" s="538"/>
      <c r="Y1112" s="550"/>
      <c r="Z1112" s="538"/>
      <c r="AA1112" s="552"/>
      <c r="AB1112" s="341" t="s">
        <v>29</v>
      </c>
      <c r="AC1112" s="183" t="s">
        <v>29</v>
      </c>
      <c r="AD1112" s="1157" t="s">
        <v>29</v>
      </c>
      <c r="AE1112" s="568" t="s">
        <v>756</v>
      </c>
      <c r="AF1112" s="569" t="s">
        <v>29</v>
      </c>
      <c r="AG1112" s="569" t="s">
        <v>29</v>
      </c>
      <c r="AH1112" s="183">
        <v>45406</v>
      </c>
      <c r="AI1112" s="1109">
        <v>0</v>
      </c>
      <c r="AJ1112" s="1110">
        <v>2459.4</v>
      </c>
      <c r="AK1112" s="1110">
        <v>0</v>
      </c>
      <c r="AL1112" s="1108" t="e">
        <f>SUM(Table15[[#This Row],[Nicor Initiated DBE]:[Staffing]])/(Table15[[#This Row],[Amount Invoiced]])</f>
        <v>#VALUE!</v>
      </c>
      <c r="AM1112" s="542" t="s">
        <v>709</v>
      </c>
      <c r="AN1112" s="924"/>
      <c r="AO1112" s="925"/>
      <c r="AP1112" s="926"/>
      <c r="AQ1112" s="926"/>
      <c r="AR1112" s="926"/>
      <c r="AS1112" s="926"/>
      <c r="AT1112" s="926"/>
      <c r="AU1112" s="926"/>
      <c r="AV1112" s="926"/>
      <c r="AW1112" s="927"/>
      <c r="AX1112" s="926"/>
      <c r="AY1112" s="1538" t="s">
        <v>29</v>
      </c>
      <c r="AZ1112" s="1530"/>
      <c r="BA1112" s="1068" t="s">
        <v>6147</v>
      </c>
      <c r="BB1112" s="644" t="s">
        <v>870</v>
      </c>
      <c r="BC1112" s="559" t="s">
        <v>709</v>
      </c>
      <c r="BD1112" s="554" t="s">
        <v>788</v>
      </c>
      <c r="BE1112" s="588" t="s">
        <v>3340</v>
      </c>
      <c r="BF1112" s="588" t="s">
        <v>3639</v>
      </c>
      <c r="BG1112" s="548" t="s">
        <v>5619</v>
      </c>
      <c r="BH1112" s="615" t="s">
        <v>6148</v>
      </c>
      <c r="BI1112" s="1032"/>
      <c r="BJ1112" s="1032"/>
      <c r="BK1112" s="1032"/>
      <c r="BL1112" s="1032"/>
      <c r="BM1112" s="1032"/>
      <c r="BN1112" s="1070"/>
      <c r="BO1112" s="1032"/>
      <c r="BP1112" s="1071"/>
      <c r="BQ1112" s="1070"/>
      <c r="BR1112" s="1070"/>
      <c r="BS1112" s="1070"/>
      <c r="BT1112" s="1070"/>
      <c r="BU1112" s="1070"/>
      <c r="BV1112" s="1070"/>
      <c r="BW1112" s="1070"/>
      <c r="BX1112" s="1032"/>
      <c r="BY1112" s="1072"/>
      <c r="BZ1112" s="1072"/>
      <c r="CA1112" s="485" t="s">
        <v>915</v>
      </c>
      <c r="CB1112" s="547">
        <v>1110</v>
      </c>
      <c r="CC1112" s="1481" t="b">
        <v>1</v>
      </c>
      <c r="CD1112" t="str">
        <f>Table15[[#This Row],[Engineering Number]]&amp;Table15[[#This Row],[WO Number]]&amp;Table15[[#This Row],[Date Assigned to Designer]]&amp;Table15[[#This Row],[Date Completed]]</f>
        <v>M13773-4473245295</v>
      </c>
    </row>
    <row r="1113" spans="1:82" customFormat="1" ht="15" customHeight="1" x14ac:dyDescent="0.25">
      <c r="A1113">
        <v>2024</v>
      </c>
      <c r="B1113" s="8" t="s">
        <v>4</v>
      </c>
      <c r="C1113" s="8" t="s">
        <v>982</v>
      </c>
      <c r="D1113" s="8">
        <v>1213288</v>
      </c>
      <c r="E1113" s="8" t="s">
        <v>354</v>
      </c>
      <c r="F1113" s="8" t="s">
        <v>784</v>
      </c>
      <c r="G1113" s="8" t="s">
        <v>26</v>
      </c>
      <c r="H1113" s="8" t="s">
        <v>4462</v>
      </c>
      <c r="I1113" s="642">
        <v>45281</v>
      </c>
      <c r="J1113" s="175" t="s">
        <v>2052</v>
      </c>
      <c r="K1113" s="97">
        <v>45299</v>
      </c>
      <c r="L1113" s="16">
        <f>IF(ISTEXT(Table15[[#This Row],[Engineering Approved Design Date]]),Table15[[#This Row],[Date Completed]]-Table15[[#This Row],[Date Assigned to Designer]],Table15[[#This Row],[Engineering Approved Design Date]]-Table15[[#This Row],[Date Completed]])</f>
        <v>18</v>
      </c>
      <c r="M1113" s="642" t="s">
        <v>6150</v>
      </c>
      <c r="N1113" s="642" t="s">
        <v>120</v>
      </c>
      <c r="O1113" s="1060">
        <v>45292</v>
      </c>
      <c r="P1113" s="1152" t="s">
        <v>739</v>
      </c>
      <c r="Q1113" s="340" t="s">
        <v>115</v>
      </c>
      <c r="R1113" s="1026" t="s">
        <v>115</v>
      </c>
      <c r="S1113" s="538"/>
      <c r="T1113" s="538"/>
      <c r="U1113" s="87"/>
      <c r="V1113" s="857"/>
      <c r="W1113" s="440"/>
      <c r="X1113" s="538"/>
      <c r="Y1113" s="551"/>
      <c r="Z1113" s="538"/>
      <c r="AA1113" s="552"/>
      <c r="AB1113" s="341" t="s">
        <v>29</v>
      </c>
      <c r="AC1113" s="569" t="s">
        <v>29</v>
      </c>
      <c r="AD1113" s="1149" t="s">
        <v>116</v>
      </c>
      <c r="AE1113" s="568" t="s">
        <v>756</v>
      </c>
      <c r="AF1113" s="568" t="s">
        <v>116</v>
      </c>
      <c r="AG1113" s="569" t="s">
        <v>29</v>
      </c>
      <c r="AH1113" s="183">
        <v>45447</v>
      </c>
      <c r="AI1113" s="1109">
        <v>0</v>
      </c>
      <c r="AJ1113" s="1110">
        <v>0</v>
      </c>
      <c r="AK1113" s="1110">
        <v>0</v>
      </c>
      <c r="AL1113" s="1108" t="e">
        <f>SUM(Table15[[#This Row],[Nicor Initiated DBE]:[Staffing]])/(Table15[[#This Row],[Amount Invoiced]])</f>
        <v>#VALUE!</v>
      </c>
      <c r="AM1113" s="542" t="s">
        <v>709</v>
      </c>
      <c r="AN1113" s="924"/>
      <c r="AO1113" s="925"/>
      <c r="AP1113" s="926"/>
      <c r="AQ1113" s="926"/>
      <c r="AR1113" s="926"/>
      <c r="AS1113" s="926"/>
      <c r="AT1113" s="926"/>
      <c r="AU1113" s="926"/>
      <c r="AV1113" s="926"/>
      <c r="AW1113" s="927"/>
      <c r="AX1113" s="926"/>
      <c r="AY1113" s="1538" t="s">
        <v>29</v>
      </c>
      <c r="AZ1113" s="1530"/>
      <c r="BA1113" s="1031" t="s">
        <v>6151</v>
      </c>
      <c r="BB1113" s="644"/>
      <c r="BC1113" s="559"/>
      <c r="BD1113" s="554"/>
      <c r="BE1113" s="588"/>
      <c r="BF1113" s="588"/>
      <c r="BG1113" s="548"/>
      <c r="BH1113" s="615"/>
      <c r="BI1113" s="1032"/>
      <c r="BJ1113" s="1032"/>
      <c r="BK1113" s="1032"/>
      <c r="BL1113" s="1032"/>
      <c r="BM1113" s="1032"/>
      <c r="BN1113" s="1032"/>
      <c r="BO1113" s="1032"/>
      <c r="BP1113" s="1032"/>
      <c r="BQ1113" s="1032"/>
      <c r="BR1113" s="1032"/>
      <c r="BS1113" s="1032"/>
      <c r="BT1113" s="1032"/>
      <c r="BU1113" s="1032"/>
      <c r="BV1113" s="1032"/>
      <c r="BW1113" s="1032"/>
      <c r="BX1113" s="1032"/>
      <c r="BY1113" s="1032"/>
      <c r="BZ1113" s="1032"/>
      <c r="CA1113" s="485"/>
      <c r="CB1113" s="547">
        <v>1111</v>
      </c>
      <c r="CC1113" s="1481" t="b">
        <v>1</v>
      </c>
      <c r="CD1113" t="str">
        <f>Table15[[#This Row],[Engineering Number]]&amp;Table15[[#This Row],[WO Number]]&amp;Table15[[#This Row],[Date Assigned to Designer]]&amp;Table15[[#This Row],[Date Completed]]</f>
        <v>N1660912132884528145299</v>
      </c>
    </row>
    <row r="1114" spans="1:82" customFormat="1" ht="15" customHeight="1" x14ac:dyDescent="0.25">
      <c r="A1114">
        <v>2024</v>
      </c>
      <c r="B1114" s="8" t="s">
        <v>4</v>
      </c>
      <c r="C1114" s="8" t="s">
        <v>1008</v>
      </c>
      <c r="D1114" s="8" t="s">
        <v>1009</v>
      </c>
      <c r="E1114" s="8" t="s">
        <v>354</v>
      </c>
      <c r="F1114" s="8" t="s">
        <v>784</v>
      </c>
      <c r="G1114" s="8" t="s">
        <v>26</v>
      </c>
      <c r="H1114" s="8" t="s">
        <v>59</v>
      </c>
      <c r="I1114" s="642">
        <v>44958</v>
      </c>
      <c r="J1114" s="18">
        <v>45310</v>
      </c>
      <c r="K1114" s="97">
        <v>45300</v>
      </c>
      <c r="L1114" s="16">
        <f>IF(ISTEXT(Table15[[#This Row],[Engineering Approved Design Date]]),Table15[[#This Row],[Date Completed]]-Table15[[#This Row],[Date Assigned to Designer]],Table15[[#This Row],[Engineering Approved Design Date]]-Table15[[#This Row],[Date Completed]])</f>
        <v>10</v>
      </c>
      <c r="M1114" s="642"/>
      <c r="N1114" s="642" t="s">
        <v>120</v>
      </c>
      <c r="O1114" s="1060">
        <v>45323</v>
      </c>
      <c r="P1114" s="1152" t="s">
        <v>739</v>
      </c>
      <c r="Q1114" s="340">
        <f>Table15[[#This Row],[Rate]]*Table15[[#This Row],[Construction Cost to Bill From]]</f>
        <v>23783.065000000002</v>
      </c>
      <c r="R1114" s="1026">
        <v>0.1</v>
      </c>
      <c r="S1114" s="538"/>
      <c r="T1114" s="538"/>
      <c r="U1114" s="87"/>
      <c r="V1114" s="858">
        <v>110</v>
      </c>
      <c r="W1114" s="437">
        <v>0</v>
      </c>
      <c r="X1114" s="571">
        <v>176508.39</v>
      </c>
      <c r="Y1114" s="551"/>
      <c r="Z1114" s="571">
        <v>61322.26</v>
      </c>
      <c r="AA1114" s="552">
        <f>SUM(Table15[[#This Row],[PCTS Investment Amount]:[PCTS Retirement Amount]])</f>
        <v>237830.65000000002</v>
      </c>
      <c r="AB1114" s="341">
        <v>45301</v>
      </c>
      <c r="AC1114" s="568" t="s">
        <v>709</v>
      </c>
      <c r="AD1114" s="1157" t="s">
        <v>29</v>
      </c>
      <c r="AE1114" s="568" t="s">
        <v>116</v>
      </c>
      <c r="AF1114" s="568" t="s">
        <v>756</v>
      </c>
      <c r="AG1114" s="183">
        <v>45366</v>
      </c>
      <c r="AH1114" s="183">
        <v>45366</v>
      </c>
      <c r="AI1114" s="1109">
        <v>0</v>
      </c>
      <c r="AJ1114" s="1110">
        <v>2547</v>
      </c>
      <c r="AK1114" s="1110">
        <v>0</v>
      </c>
      <c r="AL1114" s="1108">
        <f>SUM(Table15[[#This Row],[Nicor Initiated DBE]:[Staffing]])/(Table15[[#This Row],[Amount Invoiced]])</f>
        <v>0.10709300924838744</v>
      </c>
      <c r="AM1114" s="1522" t="s">
        <v>116</v>
      </c>
      <c r="AN1114" s="1523">
        <v>45441</v>
      </c>
      <c r="AO1114" s="1524">
        <v>11078712</v>
      </c>
      <c r="AP1114" s="1525">
        <v>326549.63</v>
      </c>
      <c r="AQ1114" s="1525"/>
      <c r="AR1114" s="1525">
        <v>74469.759999999995</v>
      </c>
      <c r="AS1114" s="1525">
        <v>401019.39</v>
      </c>
      <c r="AT1114" s="1525">
        <v>163188.74</v>
      </c>
      <c r="AU1114" s="1525">
        <v>16318.874</v>
      </c>
      <c r="AV1114" s="1525">
        <v>25615</v>
      </c>
      <c r="AW1114" s="1526" t="s">
        <v>1010</v>
      </c>
      <c r="AX1114" s="1525">
        <v>0</v>
      </c>
      <c r="AY1114" s="1518">
        <v>45566</v>
      </c>
      <c r="AZ1114" s="333">
        <v>117</v>
      </c>
      <c r="BA1114" s="1074" t="s">
        <v>1011</v>
      </c>
      <c r="BB1114" s="644" t="s">
        <v>905</v>
      </c>
      <c r="BC1114" s="559" t="s">
        <v>116</v>
      </c>
      <c r="BD1114" s="554" t="s">
        <v>115</v>
      </c>
      <c r="BE1114" s="588" t="s">
        <v>1012</v>
      </c>
      <c r="BF1114" s="588" t="s">
        <v>115</v>
      </c>
      <c r="BG1114" s="588" t="s">
        <v>115</v>
      </c>
      <c r="BH1114" s="615" t="s">
        <v>1013</v>
      </c>
      <c r="BI1114" s="547" t="s">
        <v>709</v>
      </c>
      <c r="BJ1114" s="549" t="s">
        <v>709</v>
      </c>
      <c r="BK1114" s="547" t="s">
        <v>709</v>
      </c>
      <c r="BL1114" s="547" t="s">
        <v>116</v>
      </c>
      <c r="BM1114" s="626" t="s">
        <v>709</v>
      </c>
      <c r="BN1114" s="549" t="s">
        <v>709</v>
      </c>
      <c r="BO1114" s="626" t="s">
        <v>709</v>
      </c>
      <c r="BP1114" s="626" t="s">
        <v>709</v>
      </c>
      <c r="BQ1114" s="549">
        <v>110</v>
      </c>
      <c r="BR1114" s="549" t="s">
        <v>709</v>
      </c>
      <c r="BS1114" s="549" t="s">
        <v>709</v>
      </c>
      <c r="BT1114" s="549" t="s">
        <v>745</v>
      </c>
      <c r="BU1114" s="549" t="s">
        <v>709</v>
      </c>
      <c r="BV1114" s="549" t="s">
        <v>745</v>
      </c>
      <c r="BW1114" s="549" t="s">
        <v>709</v>
      </c>
      <c r="BX1114" s="547" t="s">
        <v>745</v>
      </c>
      <c r="BY1114" s="549" t="s">
        <v>745</v>
      </c>
      <c r="BZ1114" s="547" t="s">
        <v>709</v>
      </c>
      <c r="CA1114" s="483"/>
      <c r="CB1114" s="547">
        <v>1112</v>
      </c>
      <c r="CC1114" s="1481" t="b">
        <v>1</v>
      </c>
      <c r="CD1114" t="str">
        <f>Table15[[#This Row],[Engineering Number]]&amp;Table15[[#This Row],[WO Number]]&amp;Table15[[#This Row],[Date Assigned to Designer]]&amp;Table15[[#This Row],[Date Completed]]</f>
        <v>N1654112130724495845300</v>
      </c>
    </row>
    <row r="1115" spans="1:82" customFormat="1" ht="15" customHeight="1" x14ac:dyDescent="0.25">
      <c r="A1115">
        <v>2023</v>
      </c>
      <c r="B1115" s="8" t="s">
        <v>4</v>
      </c>
      <c r="C1115" s="8" t="s">
        <v>399</v>
      </c>
      <c r="D1115" s="8" t="s">
        <v>1628</v>
      </c>
      <c r="E1115" s="8" t="s">
        <v>400</v>
      </c>
      <c r="F1115" s="8" t="s">
        <v>784</v>
      </c>
      <c r="G1115" s="8" t="s">
        <v>35</v>
      </c>
      <c r="H1115" s="1056" t="s">
        <v>2724</v>
      </c>
      <c r="I1115" s="642">
        <v>45181</v>
      </c>
      <c r="J1115" s="175" t="s">
        <v>2724</v>
      </c>
      <c r="K1115" s="642">
        <v>45302</v>
      </c>
      <c r="L1115" s="16">
        <f>IF(ISTEXT(Table15[[#This Row],[Engineering Approved Design Date]]),Table15[[#This Row],[Date Completed]]-Table15[[#This Row],[Date Assigned to Designer]],Table15[[#This Row],[Engineering Approved Design Date]]-Table15[[#This Row],[Date Completed]])</f>
        <v>121</v>
      </c>
      <c r="M1115" s="16" t="s">
        <v>6154</v>
      </c>
      <c r="N1115" s="642" t="s">
        <v>120</v>
      </c>
      <c r="O1115" s="1060">
        <v>45292</v>
      </c>
      <c r="P1115" s="1152" t="s">
        <v>739</v>
      </c>
      <c r="Q1115" s="340" t="s">
        <v>115</v>
      </c>
      <c r="R1115" s="1026" t="s">
        <v>115</v>
      </c>
      <c r="S1115" s="538"/>
      <c r="T1115" s="538"/>
      <c r="U1115" s="1078"/>
      <c r="V1115" s="858" t="s">
        <v>29</v>
      </c>
      <c r="W1115" s="425" t="s">
        <v>29</v>
      </c>
      <c r="X1115" s="538" t="s">
        <v>29</v>
      </c>
      <c r="Y1115" s="551" t="s">
        <v>915</v>
      </c>
      <c r="Z1115" s="538" t="s">
        <v>29</v>
      </c>
      <c r="AA1115" s="552" t="s">
        <v>29</v>
      </c>
      <c r="AB1115" s="341" t="s">
        <v>29</v>
      </c>
      <c r="AC1115" s="569" t="s">
        <v>29</v>
      </c>
      <c r="AD1115" s="1149" t="s">
        <v>29</v>
      </c>
      <c r="AE1115" s="568" t="s">
        <v>756</v>
      </c>
      <c r="AF1115" s="568" t="s">
        <v>29</v>
      </c>
      <c r="AG1115" s="569" t="s">
        <v>29</v>
      </c>
      <c r="AH1115" s="183" t="s">
        <v>29</v>
      </c>
      <c r="AI1115" s="1109">
        <v>17300</v>
      </c>
      <c r="AJ1115" s="1037"/>
      <c r="AK1115" s="1037"/>
      <c r="AL1115" s="1108" t="e">
        <f>SUM(Table15[[#This Row],[Nicor Initiated DBE]:[Staffing]])/(Table15[[#This Row],[Amount Invoiced]])</f>
        <v>#VALUE!</v>
      </c>
      <c r="AM1115" s="542" t="s">
        <v>709</v>
      </c>
      <c r="AN1115" s="924"/>
      <c r="AO1115" s="925"/>
      <c r="AP1115" s="926"/>
      <c r="AQ1115" s="926"/>
      <c r="AR1115" s="926"/>
      <c r="AS1115" s="926"/>
      <c r="AT1115" s="926"/>
      <c r="AU1115" s="926"/>
      <c r="AV1115" s="926"/>
      <c r="AW1115" s="927"/>
      <c r="AX1115" s="926"/>
      <c r="AY1115" s="1538" t="s">
        <v>29</v>
      </c>
      <c r="AZ1115" s="1530"/>
      <c r="BA1115" s="1031" t="s">
        <v>5156</v>
      </c>
      <c r="BB1115" s="653" t="s">
        <v>6155</v>
      </c>
      <c r="BC1115" s="559" t="s">
        <v>6156</v>
      </c>
      <c r="BD1115" s="554" t="s">
        <v>739</v>
      </c>
      <c r="BE1115" s="588"/>
      <c r="BF1115" s="588"/>
      <c r="BG1115" s="548"/>
      <c r="BH1115" s="741"/>
      <c r="BI1115" s="547"/>
      <c r="BJ1115" s="547"/>
      <c r="BK1115" s="547"/>
      <c r="BL1115" s="547"/>
      <c r="BM1115" s="547"/>
      <c r="BN1115" s="547"/>
      <c r="BO1115" s="547"/>
      <c r="BP1115" s="547"/>
      <c r="BQ1115" s="547"/>
      <c r="BR1115" s="547"/>
      <c r="BS1115" s="547"/>
      <c r="BT1115" s="547"/>
      <c r="BU1115" s="547"/>
      <c r="BV1115" s="547"/>
      <c r="BW1115" s="547"/>
      <c r="BX1115" s="547"/>
      <c r="BY1115" s="547"/>
      <c r="BZ1115" s="547" t="s">
        <v>709</v>
      </c>
      <c r="CA1115" s="483" t="s">
        <v>915</v>
      </c>
      <c r="CB1115" s="547">
        <v>1113</v>
      </c>
      <c r="CC1115" s="1481" t="b">
        <v>1</v>
      </c>
      <c r="CD1115" t="str">
        <f>Table15[[#This Row],[Engineering Number]]&amp;Table15[[#This Row],[WO Number]]&amp;Table15[[#This Row],[Date Assigned to Designer]]&amp;Table15[[#This Row],[Date Completed]]</f>
        <v>N1359212128744518145302</v>
      </c>
    </row>
    <row r="1116" spans="1:82" customFormat="1" ht="15" customHeight="1" x14ac:dyDescent="0.25">
      <c r="A1116">
        <v>2024</v>
      </c>
      <c r="B1116" s="8" t="s">
        <v>4</v>
      </c>
      <c r="C1116" s="8" t="s">
        <v>1709</v>
      </c>
      <c r="D1116" s="8" t="s">
        <v>1710</v>
      </c>
      <c r="E1116" s="8" t="s">
        <v>1605</v>
      </c>
      <c r="F1116" s="8" t="s">
        <v>747</v>
      </c>
      <c r="G1116" s="8" t="s">
        <v>25</v>
      </c>
      <c r="H1116" s="8" t="s">
        <v>59</v>
      </c>
      <c r="I1116" s="642">
        <v>45230</v>
      </c>
      <c r="J1116" s="18">
        <v>45317</v>
      </c>
      <c r="K1116" s="97">
        <v>45303</v>
      </c>
      <c r="L1116" s="16">
        <f>IF(ISTEXT(Table15[[#This Row],[Engineering Approved Design Date]]),Table15[[#This Row],[Date Completed]]-Table15[[#This Row],[Date Assigned to Designer]],Table15[[#This Row],[Engineering Approved Design Date]]-Table15[[#This Row],[Date Completed]])</f>
        <v>14</v>
      </c>
      <c r="M1116" s="642"/>
      <c r="N1116" s="642" t="s">
        <v>120</v>
      </c>
      <c r="O1116" s="1060">
        <v>45323</v>
      </c>
      <c r="P1116" s="1152" t="s">
        <v>739</v>
      </c>
      <c r="Q1116" s="340">
        <f>Table15[[#This Row],[Rate]]*Table15[[#This Row],[Construction Cost to Bill From]]</f>
        <v>32968.318999999996</v>
      </c>
      <c r="R1116" s="1026">
        <v>0.1</v>
      </c>
      <c r="S1116" s="538"/>
      <c r="T1116" s="538"/>
      <c r="U1116" s="87"/>
      <c r="V1116" s="858">
        <v>1336</v>
      </c>
      <c r="W1116" s="437">
        <v>0</v>
      </c>
      <c r="X1116" s="561">
        <v>303555.40999999997</v>
      </c>
      <c r="Y1116" s="551"/>
      <c r="Z1116" s="570">
        <v>26127.78</v>
      </c>
      <c r="AA1116" s="552">
        <f>Table15[[#This Row],[PCTS Investment Amount]]+Table15[[#This Row],[PCTS Retirement Amount]]</f>
        <v>329683.18999999994</v>
      </c>
      <c r="AB1116" s="341">
        <v>45294</v>
      </c>
      <c r="AC1116" s="568" t="s">
        <v>709</v>
      </c>
      <c r="AD1116" s="1149" t="s">
        <v>29</v>
      </c>
      <c r="AE1116" s="568" t="s">
        <v>756</v>
      </c>
      <c r="AF1116" s="568" t="s">
        <v>29</v>
      </c>
      <c r="AG1116" s="183" t="s">
        <v>116</v>
      </c>
      <c r="AH1116" s="183">
        <v>45308</v>
      </c>
      <c r="AI1116" s="1109">
        <v>58383</v>
      </c>
      <c r="AJ1116" s="1110">
        <v>4502</v>
      </c>
      <c r="AK1116" s="1110">
        <v>0</v>
      </c>
      <c r="AL1116" s="1108">
        <f>SUM(Table15[[#This Row],[Nicor Initiated DBE]:[Staffing]])/(Table15[[#This Row],[Amount Invoiced]])</f>
        <v>1.9074372581750378</v>
      </c>
      <c r="AM1116" s="1522" t="s">
        <v>116</v>
      </c>
      <c r="AN1116" s="1523">
        <v>45805</v>
      </c>
      <c r="AO1116" s="1524">
        <v>11103686</v>
      </c>
      <c r="AP1116" s="1525">
        <v>309815.05</v>
      </c>
      <c r="AQ1116" s="1525"/>
      <c r="AR1116" s="1525">
        <v>27939.74</v>
      </c>
      <c r="AS1116" s="1525">
        <f>IF(Table15[[#This Row],[PCTS Approved]]="N",0,Table15[[#This Row],[Investment Amount (1'#'#'#'#'#)]]+Table15[[#This Row],[Retirement Amount (3'#'#'#'#'#)]])</f>
        <v>337754.79</v>
      </c>
      <c r="AT1116" s="1525">
        <f>IF(Table15[[#This Row],[Approved Construction Cost]]=0,0,Table15[[#This Row],[Approved Construction Cost]]-Table15[[#This Row],[Construction Cost to Bill From]])</f>
        <v>8071.6000000000349</v>
      </c>
      <c r="AU1116" s="1525">
        <f>IFERROR(Table15[[#This Row],[Difference in Construction Cost]]*Table15[[#This Row],[Rate]],Table15[[#This Row],[Difference in Construction Cost]]*0.085)</f>
        <v>807.16000000000349</v>
      </c>
      <c r="AV1116" s="1525">
        <v>0</v>
      </c>
      <c r="AW1116" s="1526" t="s">
        <v>6158</v>
      </c>
      <c r="AX1116" s="1525">
        <f>Table15[[#This Row],[Reconcile Amount]]</f>
        <v>807.16000000000349</v>
      </c>
      <c r="AY1116" s="1518">
        <v>45901</v>
      </c>
      <c r="AZ1116" s="333">
        <v>118</v>
      </c>
      <c r="BA1116" s="1074" t="s">
        <v>1711</v>
      </c>
      <c r="BB1116" s="644" t="s">
        <v>1712</v>
      </c>
      <c r="BC1116" s="544" t="s">
        <v>115</v>
      </c>
      <c r="BD1116" s="554" t="s">
        <v>837</v>
      </c>
      <c r="BE1116" s="588" t="s">
        <v>615</v>
      </c>
      <c r="BF1116" s="588" t="s">
        <v>115</v>
      </c>
      <c r="BG1116" s="588" t="s">
        <v>115</v>
      </c>
      <c r="BH1116" s="615" t="s">
        <v>1713</v>
      </c>
      <c r="BI1116" s="547" t="s">
        <v>709</v>
      </c>
      <c r="BJ1116" s="549" t="s">
        <v>709</v>
      </c>
      <c r="BK1116" s="547" t="s">
        <v>709</v>
      </c>
      <c r="BL1116" s="547" t="s">
        <v>116</v>
      </c>
      <c r="BM1116" s="626" t="s">
        <v>709</v>
      </c>
      <c r="BN1116" s="549" t="s">
        <v>709</v>
      </c>
      <c r="BO1116" s="626" t="s">
        <v>709</v>
      </c>
      <c r="BP1116" s="626" t="s">
        <v>709</v>
      </c>
      <c r="BQ1116" s="549" t="s">
        <v>709</v>
      </c>
      <c r="BR1116" s="549" t="s">
        <v>709</v>
      </c>
      <c r="BS1116" s="549">
        <v>1336</v>
      </c>
      <c r="BT1116" s="549" t="s">
        <v>745</v>
      </c>
      <c r="BU1116" s="549" t="s">
        <v>709</v>
      </c>
      <c r="BV1116" s="549" t="s">
        <v>745</v>
      </c>
      <c r="BW1116" s="549" t="s">
        <v>709</v>
      </c>
      <c r="BX1116" s="547" t="s">
        <v>745</v>
      </c>
      <c r="BY1116" s="549" t="s">
        <v>745</v>
      </c>
      <c r="BZ1116" s="547" t="s">
        <v>709</v>
      </c>
      <c r="CA1116" s="483"/>
      <c r="CB1116" s="547">
        <v>1114</v>
      </c>
      <c r="CC1116" s="1481" t="b">
        <v>1</v>
      </c>
      <c r="CD1116" t="str">
        <f>Table15[[#This Row],[Engineering Number]]&amp;Table15[[#This Row],[WO Number]]&amp;Table15[[#This Row],[Date Assigned to Designer]]&amp;Table15[[#This Row],[Date Completed]]</f>
        <v>SC2335114133514523045303</v>
      </c>
    </row>
    <row r="1117" spans="1:82" customFormat="1" ht="15" customHeight="1" x14ac:dyDescent="0.25">
      <c r="A1117">
        <v>2024</v>
      </c>
      <c r="B1117" s="8" t="s">
        <v>769</v>
      </c>
      <c r="C1117" s="8" t="s">
        <v>1426</v>
      </c>
      <c r="D1117" s="8" t="s">
        <v>1427</v>
      </c>
      <c r="E1117" s="8" t="s">
        <v>1428</v>
      </c>
      <c r="F1117" s="8" t="s">
        <v>4769</v>
      </c>
      <c r="G1117" s="8" t="s">
        <v>4770</v>
      </c>
      <c r="H1117" s="8" t="s">
        <v>4001</v>
      </c>
      <c r="I1117" s="642">
        <v>45300</v>
      </c>
      <c r="J1117" s="175" t="s">
        <v>2052</v>
      </c>
      <c r="K1117" s="97">
        <v>45307</v>
      </c>
      <c r="L1117" s="16">
        <f>IF(ISTEXT(Table15[[#This Row],[Engineering Approved Design Date]]),Table15[[#This Row],[Date Completed]]-Table15[[#This Row],[Date Assigned to Designer]],Table15[[#This Row],[Engineering Approved Design Date]]-Table15[[#This Row],[Date Completed]])</f>
        <v>7</v>
      </c>
      <c r="M1117" s="16" t="s">
        <v>6160</v>
      </c>
      <c r="N1117" s="642" t="s">
        <v>120</v>
      </c>
      <c r="O1117" s="1060">
        <v>45292</v>
      </c>
      <c r="P1117" s="1152" t="s">
        <v>120</v>
      </c>
      <c r="Q1117" s="1061">
        <v>2330</v>
      </c>
      <c r="R1117" s="1039" t="s">
        <v>1922</v>
      </c>
      <c r="S1117" s="538">
        <v>0</v>
      </c>
      <c r="T1117" s="538">
        <v>0</v>
      </c>
      <c r="U1117" s="1114">
        <v>2330</v>
      </c>
      <c r="V1117" s="857"/>
      <c r="W1117" s="437"/>
      <c r="X1117" s="538"/>
      <c r="Y1117" s="551"/>
      <c r="Z1117" s="538"/>
      <c r="AA1117" s="552"/>
      <c r="AB1117" s="341" t="s">
        <v>29</v>
      </c>
      <c r="AC1117" s="569" t="s">
        <v>29</v>
      </c>
      <c r="AD1117" s="1149" t="s">
        <v>29</v>
      </c>
      <c r="AE1117" s="568" t="s">
        <v>116</v>
      </c>
      <c r="AF1117" s="569" t="s">
        <v>116</v>
      </c>
      <c r="AG1117" s="183" t="s">
        <v>29</v>
      </c>
      <c r="AH1117" s="536" t="s">
        <v>29</v>
      </c>
      <c r="AI1117" s="1028"/>
      <c r="AJ1117" s="1029"/>
      <c r="AK1117" s="1029"/>
      <c r="AL1117" s="1030"/>
      <c r="AM1117" s="542" t="s">
        <v>709</v>
      </c>
      <c r="AN1117" s="924"/>
      <c r="AO1117" s="925"/>
      <c r="AP1117" s="926"/>
      <c r="AQ1117" s="926"/>
      <c r="AR1117" s="926"/>
      <c r="AS1117" s="926"/>
      <c r="AT1117" s="926"/>
      <c r="AU1117" s="926"/>
      <c r="AV1117" s="926"/>
      <c r="AW1117" s="927"/>
      <c r="AX1117" s="926"/>
      <c r="AY1117" s="1538" t="s">
        <v>29</v>
      </c>
      <c r="AZ1117" s="1530"/>
      <c r="BA1117" s="1115">
        <v>10</v>
      </c>
      <c r="BB1117" s="653" t="s">
        <v>6161</v>
      </c>
      <c r="BC1117" s="559"/>
      <c r="BD1117" s="554"/>
      <c r="BE1117" s="588"/>
      <c r="BF1117" s="588"/>
      <c r="BG1117" s="548"/>
      <c r="BH1117" s="741" t="s">
        <v>6162</v>
      </c>
      <c r="BI1117" s="547" t="s">
        <v>709</v>
      </c>
      <c r="BJ1117" s="547" t="s">
        <v>709</v>
      </c>
      <c r="BK1117" s="547" t="s">
        <v>709</v>
      </c>
      <c r="BL1117" s="547" t="s">
        <v>116</v>
      </c>
      <c r="BM1117" s="547" t="s">
        <v>709</v>
      </c>
      <c r="BN1117" s="547" t="s">
        <v>709</v>
      </c>
      <c r="BO1117" s="547" t="s">
        <v>709</v>
      </c>
      <c r="BP1117" s="547" t="s">
        <v>709</v>
      </c>
      <c r="BQ1117" s="547" t="s">
        <v>709</v>
      </c>
      <c r="BR1117" s="547">
        <v>3047</v>
      </c>
      <c r="BS1117" s="547">
        <v>30</v>
      </c>
      <c r="BT1117" s="547" t="s">
        <v>709</v>
      </c>
      <c r="BU1117" s="547" t="s">
        <v>709</v>
      </c>
      <c r="BV1117" s="547" t="s">
        <v>709</v>
      </c>
      <c r="BW1117" s="547" t="s">
        <v>709</v>
      </c>
      <c r="BX1117" s="547" t="s">
        <v>709</v>
      </c>
      <c r="BY1117" s="547" t="s">
        <v>709</v>
      </c>
      <c r="BZ1117" s="547" t="s">
        <v>709</v>
      </c>
      <c r="CA1117" s="484"/>
      <c r="CB1117" s="547">
        <v>1115</v>
      </c>
      <c r="CC1117" s="1481" t="b">
        <v>1</v>
      </c>
      <c r="CD1117" t="str">
        <f>Table15[[#This Row],[Engineering Number]]&amp;Table15[[#This Row],[WO Number]]&amp;Table15[[#This Row],[Date Assigned to Designer]]&amp;Table15[[#This Row],[Date Completed]]</f>
        <v>RS112312120884530045307</v>
      </c>
    </row>
    <row r="1118" spans="1:82" customFormat="1" ht="15" customHeight="1" x14ac:dyDescent="0.25">
      <c r="A1118">
        <v>2024</v>
      </c>
      <c r="B1118" s="8" t="s">
        <v>4</v>
      </c>
      <c r="C1118" s="8" t="s">
        <v>848</v>
      </c>
      <c r="D1118" s="8" t="s">
        <v>849</v>
      </c>
      <c r="E1118" s="8" t="s">
        <v>850</v>
      </c>
      <c r="F1118" s="8" t="s">
        <v>851</v>
      </c>
      <c r="G1118" s="8" t="s">
        <v>22</v>
      </c>
      <c r="H1118" s="8" t="s">
        <v>59</v>
      </c>
      <c r="I1118" s="642">
        <v>45216</v>
      </c>
      <c r="J1118" s="18">
        <v>45309</v>
      </c>
      <c r="K1118" s="97">
        <v>45308</v>
      </c>
      <c r="L1118" s="16">
        <f>IF(ISTEXT(Table15[[#This Row],[Engineering Approved Design Date]]),Table15[[#This Row],[Date Completed]]-Table15[[#This Row],[Date Assigned to Designer]],Table15[[#This Row],[Engineering Approved Design Date]]-Table15[[#This Row],[Date Completed]])</f>
        <v>1</v>
      </c>
      <c r="M1118" s="642"/>
      <c r="N1118" s="642" t="s">
        <v>120</v>
      </c>
      <c r="O1118" s="1060">
        <v>45323</v>
      </c>
      <c r="P1118" s="1152" t="s">
        <v>739</v>
      </c>
      <c r="Q1118" s="340">
        <f>Table15[[#This Row],[Rate]]*Table15[[#This Row],[Construction Cost to Bill From]]</f>
        <v>68612.563000000009</v>
      </c>
      <c r="R1118" s="1026">
        <v>0.1</v>
      </c>
      <c r="S1118" s="538"/>
      <c r="T1118" s="538"/>
      <c r="U1118" s="87"/>
      <c r="V1118" s="858">
        <v>1090</v>
      </c>
      <c r="W1118" s="437">
        <v>0</v>
      </c>
      <c r="X1118" s="556">
        <v>456995.48</v>
      </c>
      <c r="Y1118" s="551"/>
      <c r="Z1118" s="570">
        <v>229130.15</v>
      </c>
      <c r="AA1118" s="552">
        <f>Table15[[#This Row],[PCTS Investment Amount]]+Table15[[#This Row],[PCTS Retirement Amount]]</f>
        <v>686125.63</v>
      </c>
      <c r="AB1118" s="341">
        <v>45315</v>
      </c>
      <c r="AC1118" s="568" t="s">
        <v>709</v>
      </c>
      <c r="AD1118" s="1157" t="s">
        <v>29</v>
      </c>
      <c r="AE1118" s="568" t="s">
        <v>116</v>
      </c>
      <c r="AF1118" s="568" t="s">
        <v>29</v>
      </c>
      <c r="AG1118" s="183">
        <v>45447</v>
      </c>
      <c r="AH1118" s="183">
        <v>45447</v>
      </c>
      <c r="AI1118" s="1109">
        <v>0</v>
      </c>
      <c r="AJ1118" s="1110">
        <v>4430.75</v>
      </c>
      <c r="AK1118" s="1110">
        <v>17</v>
      </c>
      <c r="AL1118" s="1108">
        <f>SUM(Table15[[#This Row],[Nicor Initiated DBE]:[Staffing]])/(Table15[[#This Row],[Amount Invoiced]])</f>
        <v>6.4824134320707411E-2</v>
      </c>
      <c r="AM1118" s="1522" t="s">
        <v>116</v>
      </c>
      <c r="AN1118" s="1523">
        <v>45349</v>
      </c>
      <c r="AO1118" s="1524">
        <v>11079278</v>
      </c>
      <c r="AP1118" s="1525">
        <v>456995.48</v>
      </c>
      <c r="AQ1118" s="1525"/>
      <c r="AR1118" s="1525">
        <v>231428.89</v>
      </c>
      <c r="AS1118" s="1525">
        <v>688424.37</v>
      </c>
      <c r="AT1118" s="1525">
        <v>2298.7399999999907</v>
      </c>
      <c r="AU1118" s="1525">
        <v>229.87399999999909</v>
      </c>
      <c r="AV1118" s="1525">
        <v>0</v>
      </c>
      <c r="AW1118" s="1526" t="s">
        <v>852</v>
      </c>
      <c r="AX1118" s="1525">
        <v>229.87</v>
      </c>
      <c r="AY1118" s="1518">
        <v>45566</v>
      </c>
      <c r="AZ1118" s="333">
        <v>119</v>
      </c>
      <c r="BA1118" s="1074" t="s">
        <v>853</v>
      </c>
      <c r="BB1118" s="644" t="s">
        <v>854</v>
      </c>
      <c r="BC1118" s="544" t="s">
        <v>115</v>
      </c>
      <c r="BD1118" s="554" t="s">
        <v>115</v>
      </c>
      <c r="BE1118" s="588" t="s">
        <v>855</v>
      </c>
      <c r="BF1118" s="588" t="s">
        <v>115</v>
      </c>
      <c r="BG1118" s="588" t="s">
        <v>115</v>
      </c>
      <c r="BH1118" s="615" t="s">
        <v>856</v>
      </c>
      <c r="BI1118" s="547" t="s">
        <v>709</v>
      </c>
      <c r="BJ1118" s="549" t="s">
        <v>709</v>
      </c>
      <c r="BK1118" s="547" t="s">
        <v>709</v>
      </c>
      <c r="BL1118" s="547" t="s">
        <v>116</v>
      </c>
      <c r="BM1118" s="626" t="s">
        <v>709</v>
      </c>
      <c r="BN1118" s="549" t="s">
        <v>709</v>
      </c>
      <c r="BO1118" s="626" t="s">
        <v>709</v>
      </c>
      <c r="BP1118" s="626" t="s">
        <v>709</v>
      </c>
      <c r="BQ1118" s="549" t="s">
        <v>709</v>
      </c>
      <c r="BR1118" s="549" t="s">
        <v>709</v>
      </c>
      <c r="BS1118" s="549">
        <v>1090</v>
      </c>
      <c r="BT1118" s="549" t="s">
        <v>745</v>
      </c>
      <c r="BU1118" s="549" t="s">
        <v>709</v>
      </c>
      <c r="BV1118" s="549" t="s">
        <v>709</v>
      </c>
      <c r="BW1118" s="549" t="s">
        <v>709</v>
      </c>
      <c r="BX1118" s="547" t="s">
        <v>745</v>
      </c>
      <c r="BY1118" s="549" t="s">
        <v>745</v>
      </c>
      <c r="BZ1118" s="547" t="s">
        <v>709</v>
      </c>
      <c r="CA1118" s="483"/>
      <c r="CB1118" s="547">
        <v>1116</v>
      </c>
      <c r="CC1118" s="1481" t="b">
        <v>1</v>
      </c>
      <c r="CD1118" t="str">
        <f>Table15[[#This Row],[Engineering Number]]&amp;Table15[[#This Row],[WO Number]]&amp;Table15[[#This Row],[Date Assigned to Designer]]&amp;Table15[[#This Row],[Date Completed]]</f>
        <v>SC2079513133554521645308</v>
      </c>
    </row>
    <row r="1119" spans="1:82" customFormat="1" ht="15" customHeight="1" x14ac:dyDescent="0.25">
      <c r="A1119">
        <v>2024</v>
      </c>
      <c r="B1119" s="8" t="s">
        <v>4</v>
      </c>
      <c r="C1119" s="8" t="s">
        <v>982</v>
      </c>
      <c r="D1119" s="8">
        <v>1213288</v>
      </c>
      <c r="E1119" s="8" t="s">
        <v>354</v>
      </c>
      <c r="F1119" s="8" t="s">
        <v>784</v>
      </c>
      <c r="G1119" s="8" t="s">
        <v>26</v>
      </c>
      <c r="H1119" s="8" t="s">
        <v>4462</v>
      </c>
      <c r="I1119" s="642">
        <v>45302</v>
      </c>
      <c r="J1119" s="175" t="s">
        <v>2052</v>
      </c>
      <c r="K1119" s="97">
        <v>45309</v>
      </c>
      <c r="L1119" s="16">
        <f>IF(ISTEXT(Table15[[#This Row],[Engineering Approved Design Date]]),Table15[[#This Row],[Date Completed]]-Table15[[#This Row],[Date Assigned to Designer]],Table15[[#This Row],[Engineering Approved Design Date]]-Table15[[#This Row],[Date Completed]])</f>
        <v>7</v>
      </c>
      <c r="M1119" s="642" t="s">
        <v>6165</v>
      </c>
      <c r="N1119" s="642" t="s">
        <v>120</v>
      </c>
      <c r="O1119" s="1060">
        <v>45292</v>
      </c>
      <c r="P1119" s="1152" t="s">
        <v>739</v>
      </c>
      <c r="Q1119" s="340" t="s">
        <v>115</v>
      </c>
      <c r="R1119" s="1026" t="s">
        <v>115</v>
      </c>
      <c r="S1119" s="538"/>
      <c r="T1119" s="538"/>
      <c r="U1119" s="87"/>
      <c r="V1119" s="857"/>
      <c r="W1119" s="440"/>
      <c r="X1119" s="538"/>
      <c r="Y1119" s="551"/>
      <c r="Z1119" s="538"/>
      <c r="AA1119" s="552"/>
      <c r="AB1119" s="341" t="s">
        <v>29</v>
      </c>
      <c r="AC1119" s="569" t="s">
        <v>29</v>
      </c>
      <c r="AD1119" s="1149" t="s">
        <v>116</v>
      </c>
      <c r="AE1119" s="568" t="s">
        <v>756</v>
      </c>
      <c r="AF1119" s="569" t="s">
        <v>756</v>
      </c>
      <c r="AG1119" s="183" t="s">
        <v>29</v>
      </c>
      <c r="AH1119" s="183">
        <v>45447</v>
      </c>
      <c r="AI1119" s="1109">
        <v>0</v>
      </c>
      <c r="AJ1119" s="1110">
        <v>0</v>
      </c>
      <c r="AK1119" s="1110">
        <v>0</v>
      </c>
      <c r="AL1119" s="1108" t="e">
        <f>SUM(Table15[[#This Row],[Nicor Initiated DBE]:[Staffing]])/(Table15[[#This Row],[Amount Invoiced]])</f>
        <v>#VALUE!</v>
      </c>
      <c r="AM1119" s="542" t="s">
        <v>709</v>
      </c>
      <c r="AN1119" s="924"/>
      <c r="AO1119" s="925"/>
      <c r="AP1119" s="926"/>
      <c r="AQ1119" s="926"/>
      <c r="AR1119" s="926"/>
      <c r="AS1119" s="926"/>
      <c r="AT1119" s="926"/>
      <c r="AU1119" s="926"/>
      <c r="AV1119" s="926"/>
      <c r="AW1119" s="927"/>
      <c r="AX1119" s="926"/>
      <c r="AY1119" s="1538" t="s">
        <v>29</v>
      </c>
      <c r="AZ1119" s="1530"/>
      <c r="BA1119" s="1031"/>
      <c r="BB1119" s="644"/>
      <c r="BC1119" s="559"/>
      <c r="BD1119" s="554"/>
      <c r="BE1119" s="588"/>
      <c r="BF1119" s="588"/>
      <c r="BG1119" s="548"/>
      <c r="BH1119" s="615"/>
      <c r="BI1119" s="1032"/>
      <c r="BJ1119" s="1032"/>
      <c r="BK1119" s="1032"/>
      <c r="BL1119" s="1032"/>
      <c r="BM1119" s="1032"/>
      <c r="BN1119" s="1032"/>
      <c r="BO1119" s="1032"/>
      <c r="BP1119" s="1032"/>
      <c r="BQ1119" s="1032"/>
      <c r="BR1119" s="1032"/>
      <c r="BS1119" s="1032"/>
      <c r="BT1119" s="1032"/>
      <c r="BU1119" s="1032"/>
      <c r="BV1119" s="1032"/>
      <c r="BW1119" s="1032"/>
      <c r="BX1119" s="1032"/>
      <c r="BY1119" s="1032"/>
      <c r="BZ1119" s="1032"/>
      <c r="CA1119" s="485"/>
      <c r="CB1119" s="547">
        <v>1117</v>
      </c>
      <c r="CC1119" s="1481" t="b">
        <v>1</v>
      </c>
      <c r="CD1119" t="str">
        <f>Table15[[#This Row],[Engineering Number]]&amp;Table15[[#This Row],[WO Number]]&amp;Table15[[#This Row],[Date Assigned to Designer]]&amp;Table15[[#This Row],[Date Completed]]</f>
        <v>N1660912132884530245309</v>
      </c>
    </row>
    <row r="1120" spans="1:82" customFormat="1" ht="15" customHeight="1" x14ac:dyDescent="0.25">
      <c r="A1120">
        <v>2024</v>
      </c>
      <c r="B1120" s="8" t="s">
        <v>4</v>
      </c>
      <c r="C1120" s="8" t="s">
        <v>1002</v>
      </c>
      <c r="D1120" s="8" t="s">
        <v>1003</v>
      </c>
      <c r="E1120" s="8" t="s">
        <v>1004</v>
      </c>
      <c r="F1120" s="8" t="s">
        <v>851</v>
      </c>
      <c r="G1120" s="8" t="s">
        <v>26</v>
      </c>
      <c r="H1120" s="8" t="s">
        <v>59</v>
      </c>
      <c r="I1120" s="642">
        <v>45148</v>
      </c>
      <c r="J1120" s="18">
        <v>45317</v>
      </c>
      <c r="K1120" s="97">
        <v>45314</v>
      </c>
      <c r="L1120" s="16">
        <f>IF(ISTEXT(Table15[[#This Row],[Engineering Approved Design Date]]),Table15[[#This Row],[Date Completed]]-Table15[[#This Row],[Date Assigned to Designer]],Table15[[#This Row],[Engineering Approved Design Date]]-Table15[[#This Row],[Date Completed]])</f>
        <v>3</v>
      </c>
      <c r="M1120" s="642"/>
      <c r="N1120" s="642" t="s">
        <v>120</v>
      </c>
      <c r="O1120" s="1060">
        <v>45352</v>
      </c>
      <c r="P1120" s="1152" t="s">
        <v>739</v>
      </c>
      <c r="Q1120" s="340">
        <f>Table15[[#This Row],[Rate]]*Table15[[#This Row],[Construction Cost to Bill From]]</f>
        <v>24982.948000000004</v>
      </c>
      <c r="R1120" s="1026">
        <v>0.1</v>
      </c>
      <c r="S1120" s="538"/>
      <c r="T1120" s="538"/>
      <c r="U1120" s="87"/>
      <c r="V1120" s="858">
        <v>470</v>
      </c>
      <c r="W1120" s="437">
        <v>0</v>
      </c>
      <c r="X1120" s="556">
        <v>178607.67</v>
      </c>
      <c r="Y1120" s="550"/>
      <c r="Z1120" s="570">
        <v>71221.81</v>
      </c>
      <c r="AA1120" s="552">
        <f>Table15[[#This Row],[PCTS Retirement Amount]]+Table15[[#This Row],[PCTS Investment Amount]]</f>
        <v>249829.48</v>
      </c>
      <c r="AB1120" s="341">
        <v>45315</v>
      </c>
      <c r="AC1120" s="568" t="s">
        <v>709</v>
      </c>
      <c r="AD1120" s="1157" t="s">
        <v>29</v>
      </c>
      <c r="AE1120" s="568" t="s">
        <v>116</v>
      </c>
      <c r="AF1120" s="568" t="s">
        <v>756</v>
      </c>
      <c r="AG1120" s="183">
        <v>45366</v>
      </c>
      <c r="AH1120" s="183">
        <v>45366</v>
      </c>
      <c r="AI1120" s="1109">
        <v>0</v>
      </c>
      <c r="AJ1120" s="1110">
        <v>1357</v>
      </c>
      <c r="AK1120" s="1110">
        <v>0</v>
      </c>
      <c r="AL1120" s="1108">
        <f>SUM(Table15[[#This Row],[Nicor Initiated DBE]:[Staffing]])/(Table15[[#This Row],[Amount Invoiced]])</f>
        <v>5.4317048572490319E-2</v>
      </c>
      <c r="AM1120" s="1522" t="s">
        <v>116</v>
      </c>
      <c r="AN1120" s="1523">
        <v>45429</v>
      </c>
      <c r="AO1120" s="1524">
        <v>11082766</v>
      </c>
      <c r="AP1120" s="1525">
        <v>178680.32000000001</v>
      </c>
      <c r="AQ1120" s="1525"/>
      <c r="AR1120" s="1525">
        <v>71221.81</v>
      </c>
      <c r="AS1120" s="1525">
        <v>249902.13</v>
      </c>
      <c r="AT1120" s="1525">
        <v>72.649999999994179</v>
      </c>
      <c r="AU1120" s="1525">
        <v>7.2649999999994179</v>
      </c>
      <c r="AV1120" s="1525">
        <v>0</v>
      </c>
      <c r="AW1120" s="1526" t="s">
        <v>1005</v>
      </c>
      <c r="AX1120" s="1525">
        <v>7.26</v>
      </c>
      <c r="AY1120" s="1518">
        <v>45566</v>
      </c>
      <c r="AZ1120" s="333">
        <v>121</v>
      </c>
      <c r="BA1120" s="642" t="s">
        <v>1006</v>
      </c>
      <c r="BB1120" s="671" t="s">
        <v>961</v>
      </c>
      <c r="BC1120" s="544" t="s">
        <v>115</v>
      </c>
      <c r="BD1120" s="554" t="s">
        <v>862</v>
      </c>
      <c r="BE1120" s="588" t="s">
        <v>495</v>
      </c>
      <c r="BF1120" s="588" t="s">
        <v>115</v>
      </c>
      <c r="BG1120" s="588" t="s">
        <v>115</v>
      </c>
      <c r="BH1120" s="615" t="s">
        <v>1007</v>
      </c>
      <c r="BI1120" s="547" t="s">
        <v>709</v>
      </c>
      <c r="BJ1120" s="549" t="s">
        <v>709</v>
      </c>
      <c r="BK1120" s="547" t="s">
        <v>709</v>
      </c>
      <c r="BL1120" s="547" t="s">
        <v>116</v>
      </c>
      <c r="BM1120" s="626" t="s">
        <v>709</v>
      </c>
      <c r="BN1120" s="549" t="s">
        <v>709</v>
      </c>
      <c r="BO1120" s="626" t="s">
        <v>709</v>
      </c>
      <c r="BP1120" s="626" t="s">
        <v>709</v>
      </c>
      <c r="BQ1120" s="549">
        <v>347</v>
      </c>
      <c r="BR1120" s="549" t="s">
        <v>709</v>
      </c>
      <c r="BS1120" s="549">
        <v>123</v>
      </c>
      <c r="BT1120" s="549" t="s">
        <v>709</v>
      </c>
      <c r="BU1120" s="549" t="s">
        <v>709</v>
      </c>
      <c r="BV1120" s="549" t="s">
        <v>709</v>
      </c>
      <c r="BW1120" s="549" t="s">
        <v>709</v>
      </c>
      <c r="BX1120" s="547" t="s">
        <v>709</v>
      </c>
      <c r="BY1120" s="549" t="s">
        <v>709</v>
      </c>
      <c r="BZ1120" s="547" t="s">
        <v>709</v>
      </c>
      <c r="CA1120" s="483"/>
      <c r="CB1120" s="547">
        <v>1119</v>
      </c>
      <c r="CC1120" s="1481" t="b">
        <v>1</v>
      </c>
      <c r="CD1120" t="str">
        <f>Table15[[#This Row],[Engineering Number]]&amp;Table15[[#This Row],[WO Number]]&amp;Table15[[#This Row],[Date Assigned to Designer]]&amp;Table15[[#This Row],[Date Completed]]</f>
        <v>SC2320013131694514845314</v>
      </c>
    </row>
    <row r="1121" spans="1:82" customFormat="1" ht="15" customHeight="1" x14ac:dyDescent="0.25">
      <c r="A1121">
        <v>2023</v>
      </c>
      <c r="B1121" s="8" t="s">
        <v>4</v>
      </c>
      <c r="C1121" s="8" t="s">
        <v>956</v>
      </c>
      <c r="D1121" s="8" t="s">
        <v>957</v>
      </c>
      <c r="E1121" s="8" t="s">
        <v>958</v>
      </c>
      <c r="F1121" s="8" t="s">
        <v>784</v>
      </c>
      <c r="G1121" s="8" t="s">
        <v>31</v>
      </c>
      <c r="H1121" s="8" t="s">
        <v>59</v>
      </c>
      <c r="I1121" s="642">
        <v>45191</v>
      </c>
      <c r="J1121" s="18">
        <v>45334</v>
      </c>
      <c r="K1121" s="97">
        <v>45314</v>
      </c>
      <c r="L1121" s="16">
        <f>IF(ISTEXT(Table15[[#This Row],[Engineering Approved Design Date]]),Table15[[#This Row],[Date Completed]]-Table15[[#This Row],[Date Assigned to Designer]],Table15[[#This Row],[Engineering Approved Design Date]]-Table15[[#This Row],[Date Completed]])</f>
        <v>20</v>
      </c>
      <c r="M1121" s="642"/>
      <c r="N1121" s="642" t="s">
        <v>120</v>
      </c>
      <c r="O1121" s="1060">
        <v>45292</v>
      </c>
      <c r="P1121" s="1152" t="s">
        <v>739</v>
      </c>
      <c r="Q1121" s="28">
        <f>Table15[[#This Row],[Rate]]*Table15[[#This Row],[Construction Cost to Bill From]]</f>
        <v>19990.944000000003</v>
      </c>
      <c r="R1121" s="1026">
        <v>0.1</v>
      </c>
      <c r="S1121" s="538"/>
      <c r="T1121" s="538"/>
      <c r="U1121" s="87"/>
      <c r="V1121" s="858">
        <v>1004</v>
      </c>
      <c r="W1121" s="437">
        <v>0</v>
      </c>
      <c r="X1121" s="556">
        <v>159361.79</v>
      </c>
      <c r="Y1121" s="551"/>
      <c r="Z1121" s="570">
        <v>40547.65</v>
      </c>
      <c r="AA1121" s="552">
        <f>Table15[[#This Row],[PCTS Retirement Amount]]+Table15[[#This Row],[PCTS Investment Amount]]</f>
        <v>199909.44</v>
      </c>
      <c r="AB1121" s="341">
        <v>45225</v>
      </c>
      <c r="AC1121" s="568" t="s">
        <v>709</v>
      </c>
      <c r="AD1121" s="1157" t="s">
        <v>29</v>
      </c>
      <c r="AE1121" s="568" t="s">
        <v>116</v>
      </c>
      <c r="AF1121" s="568" t="s">
        <v>756</v>
      </c>
      <c r="AG1121" s="183">
        <v>45371</v>
      </c>
      <c r="AH1121" s="183">
        <v>45371</v>
      </c>
      <c r="AI1121" s="1109"/>
      <c r="AJ1121" s="1110">
        <v>2255</v>
      </c>
      <c r="AK1121" s="1110">
        <v>974</v>
      </c>
      <c r="AL1121" s="1108">
        <f>SUM(Table15[[#This Row],[Nicor Initiated DBE]:[Staffing]])/(Table15[[#This Row],[Amount Invoiced]])</f>
        <v>0.16152313767674001</v>
      </c>
      <c r="AM1121" s="1522" t="s">
        <v>116</v>
      </c>
      <c r="AN1121" s="1523">
        <v>45394</v>
      </c>
      <c r="AO1121" s="1524">
        <v>11080741</v>
      </c>
      <c r="AP1121" s="1525">
        <v>149397.6</v>
      </c>
      <c r="AQ1121" s="1525"/>
      <c r="AR1121" s="1525">
        <v>44102.61</v>
      </c>
      <c r="AS1121" s="1525">
        <v>193500.21000000002</v>
      </c>
      <c r="AT1121" s="1525">
        <v>-6409.2299999999814</v>
      </c>
      <c r="AU1121" s="1525">
        <v>-640.92299999999818</v>
      </c>
      <c r="AV1121" s="1525">
        <v>0</v>
      </c>
      <c r="AW1121" s="1526" t="s">
        <v>959</v>
      </c>
      <c r="AX1121" s="1525">
        <v>-640.91999999999996</v>
      </c>
      <c r="AY1121" s="1518">
        <v>45566</v>
      </c>
      <c r="AZ1121" s="333">
        <v>120</v>
      </c>
      <c r="BA1121" s="642" t="s">
        <v>960</v>
      </c>
      <c r="BB1121" s="671" t="s">
        <v>961</v>
      </c>
      <c r="BC1121" s="544" t="s">
        <v>115</v>
      </c>
      <c r="BD1121" s="554" t="s">
        <v>115</v>
      </c>
      <c r="BE1121" s="588" t="s">
        <v>592</v>
      </c>
      <c r="BF1121" s="588" t="s">
        <v>115</v>
      </c>
      <c r="BG1121" s="548" t="s">
        <v>962</v>
      </c>
      <c r="BH1121" s="615" t="s">
        <v>963</v>
      </c>
      <c r="BI1121" s="547" t="s">
        <v>709</v>
      </c>
      <c r="BJ1121" s="549" t="s">
        <v>709</v>
      </c>
      <c r="BK1121" s="547" t="s">
        <v>116</v>
      </c>
      <c r="BL1121" s="547" t="s">
        <v>709</v>
      </c>
      <c r="BM1121" s="547" t="s">
        <v>709</v>
      </c>
      <c r="BN1121" s="547" t="s">
        <v>709</v>
      </c>
      <c r="BO1121" s="547" t="s">
        <v>709</v>
      </c>
      <c r="BP1121" s="547" t="s">
        <v>709</v>
      </c>
      <c r="BQ1121" s="547" t="s">
        <v>709</v>
      </c>
      <c r="BR1121" s="549">
        <v>1004</v>
      </c>
      <c r="BS1121" s="549" t="s">
        <v>709</v>
      </c>
      <c r="BT1121" s="549" t="s">
        <v>709</v>
      </c>
      <c r="BU1121" s="549" t="s">
        <v>709</v>
      </c>
      <c r="BV1121" s="549" t="s">
        <v>709</v>
      </c>
      <c r="BW1121" s="549" t="s">
        <v>709</v>
      </c>
      <c r="BX1121" s="549" t="s">
        <v>709</v>
      </c>
      <c r="BY1121" s="549" t="s">
        <v>709</v>
      </c>
      <c r="BZ1121" s="547" t="s">
        <v>709</v>
      </c>
      <c r="CA1121" s="483"/>
      <c r="CB1121" s="547">
        <v>1118</v>
      </c>
      <c r="CC1121" s="1481" t="b">
        <v>1</v>
      </c>
      <c r="CD1121" t="str">
        <f>Table15[[#This Row],[Engineering Number]]&amp;Table15[[#This Row],[WO Number]]&amp;Table15[[#This Row],[Date Assigned to Designer]]&amp;Table15[[#This Row],[Date Completed]]</f>
        <v>N1789112132274519145314</v>
      </c>
    </row>
    <row r="1122" spans="1:82" customFormat="1" ht="15" customHeight="1" x14ac:dyDescent="0.25">
      <c r="A1122">
        <v>2024</v>
      </c>
      <c r="B1122" s="8" t="s">
        <v>4</v>
      </c>
      <c r="C1122" s="8" t="s">
        <v>6175</v>
      </c>
      <c r="D1122" s="8" t="s">
        <v>115</v>
      </c>
      <c r="E1122" s="8" t="s">
        <v>1573</v>
      </c>
      <c r="F1122" s="8" t="s">
        <v>1757</v>
      </c>
      <c r="G1122" s="8" t="s">
        <v>36</v>
      </c>
      <c r="H1122" s="8" t="s">
        <v>1681</v>
      </c>
      <c r="I1122" s="642">
        <v>45293</v>
      </c>
      <c r="J1122" s="18">
        <v>45335</v>
      </c>
      <c r="K1122" s="175">
        <v>45321</v>
      </c>
      <c r="L1122" s="16">
        <f>IF(ISTEXT(Table15[[#This Row],[Engineering Approved Design Date]]),Table15[[#This Row],[Date Completed]]-Table15[[#This Row],[Date Assigned to Designer]],Table15[[#This Row],[Engineering Approved Design Date]]-Table15[[#This Row],[Date Completed]])</f>
        <v>14</v>
      </c>
      <c r="N1122" s="642" t="s">
        <v>120</v>
      </c>
      <c r="O1122" s="1060">
        <v>45292</v>
      </c>
      <c r="P1122" s="1152" t="s">
        <v>739</v>
      </c>
      <c r="Q1122" s="340" t="s">
        <v>115</v>
      </c>
      <c r="R1122" s="1026" t="s">
        <v>115</v>
      </c>
      <c r="S1122" s="538"/>
      <c r="T1122" s="538"/>
      <c r="U1122" s="28"/>
      <c r="V1122" s="858"/>
      <c r="W1122" s="437"/>
      <c r="X1122" s="538"/>
      <c r="Y1122" s="550"/>
      <c r="Z1122" s="538"/>
      <c r="AA1122" s="552"/>
      <c r="AB1122" s="341" t="s">
        <v>29</v>
      </c>
      <c r="AC1122" s="183" t="s">
        <v>29</v>
      </c>
      <c r="AD1122" s="1157" t="s">
        <v>29</v>
      </c>
      <c r="AE1122" s="568" t="s">
        <v>116</v>
      </c>
      <c r="AF1122" s="569" t="s">
        <v>29</v>
      </c>
      <c r="AG1122" s="183" t="s">
        <v>29</v>
      </c>
      <c r="AH1122" s="183">
        <v>45408</v>
      </c>
      <c r="AI1122" s="1109">
        <v>0</v>
      </c>
      <c r="AJ1122" s="1110"/>
      <c r="AK1122" s="1110">
        <v>0</v>
      </c>
      <c r="AL1122" s="1108" t="e">
        <f>SUM(Table15[[#This Row],[Nicor Initiated DBE]:[Staffing]])/(Table15[[#This Row],[Amount Invoiced]])</f>
        <v>#VALUE!</v>
      </c>
      <c r="AM1122" s="542" t="s">
        <v>709</v>
      </c>
      <c r="AN1122" s="924"/>
      <c r="AO1122" s="925"/>
      <c r="AP1122" s="926"/>
      <c r="AQ1122" s="926"/>
      <c r="AR1122" s="926"/>
      <c r="AS1122" s="926"/>
      <c r="AT1122" s="926"/>
      <c r="AU1122" s="926"/>
      <c r="AV1122" s="926"/>
      <c r="AW1122" s="927"/>
      <c r="AX1122" s="926"/>
      <c r="AY1122" s="1538" t="s">
        <v>29</v>
      </c>
      <c r="AZ1122" s="1530"/>
      <c r="BA1122" s="1068" t="s">
        <v>6176</v>
      </c>
      <c r="BB1122" s="644" t="s">
        <v>6177</v>
      </c>
      <c r="BC1122" s="559" t="s">
        <v>709</v>
      </c>
      <c r="BD1122" s="554" t="s">
        <v>709</v>
      </c>
      <c r="BE1122" s="588" t="s">
        <v>1575</v>
      </c>
      <c r="BF1122" s="588" t="s">
        <v>709</v>
      </c>
      <c r="BG1122" s="548" t="s">
        <v>709</v>
      </c>
      <c r="BH1122" s="615" t="s">
        <v>6178</v>
      </c>
      <c r="BI1122" s="1032"/>
      <c r="BJ1122" s="1032"/>
      <c r="BK1122" s="1032"/>
      <c r="BL1122" s="1032"/>
      <c r="BM1122" s="1032"/>
      <c r="BN1122" s="1070"/>
      <c r="BO1122" s="1032"/>
      <c r="BP1122" s="1071"/>
      <c r="BQ1122" s="1070"/>
      <c r="BR1122" s="1070"/>
      <c r="BS1122" s="1070"/>
      <c r="BT1122" s="1070"/>
      <c r="BU1122" s="1070"/>
      <c r="BV1122" s="1070"/>
      <c r="BW1122" s="1070"/>
      <c r="BX1122" s="1032"/>
      <c r="BY1122" s="1072"/>
      <c r="BZ1122" s="1032"/>
      <c r="CA1122" s="485" t="s">
        <v>915</v>
      </c>
      <c r="CB1122" s="547">
        <v>1120</v>
      </c>
      <c r="CC1122" s="1481" t="b">
        <v>1</v>
      </c>
      <c r="CD1122" t="str">
        <f>Table15[[#This Row],[Engineering Number]]&amp;Table15[[#This Row],[WO Number]]&amp;Table15[[#This Row],[Date Assigned to Designer]]&amp;Table15[[#This Row],[Date Completed]]</f>
        <v>SC22578-4529345321</v>
      </c>
    </row>
    <row r="1123" spans="1:82" customFormat="1" ht="15" customHeight="1" x14ac:dyDescent="0.25">
      <c r="A1123">
        <v>2023</v>
      </c>
      <c r="B1123" s="8" t="s">
        <v>771</v>
      </c>
      <c r="C1123" s="8" t="s">
        <v>924</v>
      </c>
      <c r="D1123" s="8">
        <v>1212906</v>
      </c>
      <c r="E1123" s="8" t="s">
        <v>6169</v>
      </c>
      <c r="F1123" s="8" t="s">
        <v>784</v>
      </c>
      <c r="G1123" s="8" t="s">
        <v>31</v>
      </c>
      <c r="H1123" s="8" t="s">
        <v>2396</v>
      </c>
      <c r="I1123" s="642">
        <v>45316</v>
      </c>
      <c r="J1123" s="175" t="s">
        <v>2397</v>
      </c>
      <c r="K1123" s="97">
        <v>45321</v>
      </c>
      <c r="L1123" s="16">
        <f>IF(ISTEXT(Table15[[#This Row],[Engineering Approved Design Date]]),Table15[[#This Row],[Date Completed]]-Table15[[#This Row],[Date Assigned to Designer]],Table15[[#This Row],[Engineering Approved Design Date]]-Table15[[#This Row],[Date Completed]])</f>
        <v>5</v>
      </c>
      <c r="M1123" s="16" t="s">
        <v>6170</v>
      </c>
      <c r="N1123" s="642" t="s">
        <v>120</v>
      </c>
      <c r="O1123" s="1060">
        <v>45323</v>
      </c>
      <c r="P1123" s="1152" t="s">
        <v>120</v>
      </c>
      <c r="Q1123" s="1061">
        <f>Table15[[#This Row],[KH Hourly Effort]]</f>
        <v>1322.5</v>
      </c>
      <c r="R1123" s="1039" t="s">
        <v>1922</v>
      </c>
      <c r="S1123" s="538" t="s">
        <v>709</v>
      </c>
      <c r="T1123" s="538" t="s">
        <v>709</v>
      </c>
      <c r="U1123" s="87">
        <v>1322.5</v>
      </c>
      <c r="V1123" s="857"/>
      <c r="W1123" s="440"/>
      <c r="X1123" s="556"/>
      <c r="Y1123" s="550"/>
      <c r="Z1123" s="556"/>
      <c r="AA1123" s="552"/>
      <c r="AB1123" s="341"/>
      <c r="AC1123" s="569"/>
      <c r="AD1123" s="1149" t="s">
        <v>29</v>
      </c>
      <c r="AE1123" s="568" t="s">
        <v>116</v>
      </c>
      <c r="AF1123" s="569" t="s">
        <v>116</v>
      </c>
      <c r="AG1123" s="183" t="s">
        <v>29</v>
      </c>
      <c r="AH1123" s="536" t="s">
        <v>29</v>
      </c>
      <c r="AI1123" s="1028"/>
      <c r="AJ1123" s="1029"/>
      <c r="AK1123" s="1029"/>
      <c r="AL1123" s="1030"/>
      <c r="AM1123" s="542" t="s">
        <v>709</v>
      </c>
      <c r="AN1123" s="924"/>
      <c r="AO1123" s="925"/>
      <c r="AP1123" s="926"/>
      <c r="AQ1123" s="926"/>
      <c r="AR1123" s="926"/>
      <c r="AS1123" s="926"/>
      <c r="AT1123" s="926"/>
      <c r="AU1123" s="926"/>
      <c r="AV1123" s="926"/>
      <c r="AW1123" s="927"/>
      <c r="AX1123" s="926"/>
      <c r="AY1123" s="1538" t="s">
        <v>29</v>
      </c>
      <c r="AZ1123" s="1530"/>
      <c r="BA1123" t="s">
        <v>6171</v>
      </c>
      <c r="BB1123" s="19" t="s">
        <v>6172</v>
      </c>
      <c r="BC1123" s="559"/>
      <c r="BD1123" s="554"/>
      <c r="BE1123" s="588"/>
      <c r="BF1123" s="588"/>
      <c r="BG1123" s="548"/>
      <c r="BH1123" s="615" t="s">
        <v>6173</v>
      </c>
      <c r="BI1123" s="549" t="s">
        <v>709</v>
      </c>
      <c r="BJ1123" s="549" t="s">
        <v>709</v>
      </c>
      <c r="BK1123" s="549" t="s">
        <v>709</v>
      </c>
      <c r="BL1123" s="549" t="s">
        <v>116</v>
      </c>
      <c r="BM1123" s="549" t="s">
        <v>709</v>
      </c>
      <c r="BN1123" s="549" t="s">
        <v>709</v>
      </c>
      <c r="BO1123" s="549" t="s">
        <v>709</v>
      </c>
      <c r="BP1123" s="549" t="s">
        <v>709</v>
      </c>
      <c r="BQ1123" s="549" t="s">
        <v>709</v>
      </c>
      <c r="BR1123" s="549">
        <v>400</v>
      </c>
      <c r="BS1123" s="549" t="s">
        <v>709</v>
      </c>
      <c r="BT1123" s="549" t="s">
        <v>709</v>
      </c>
      <c r="BU1123" s="549" t="s">
        <v>709</v>
      </c>
      <c r="BV1123" s="549" t="s">
        <v>709</v>
      </c>
      <c r="BW1123" s="549" t="s">
        <v>709</v>
      </c>
      <c r="BX1123" s="549" t="s">
        <v>709</v>
      </c>
      <c r="BY1123" s="549" t="s">
        <v>709</v>
      </c>
      <c r="BZ1123" s="547" t="s">
        <v>709</v>
      </c>
      <c r="CA1123" s="483"/>
      <c r="CB1123" s="547">
        <v>1121</v>
      </c>
      <c r="CC1123" s="1481" t="b">
        <v>1</v>
      </c>
      <c r="CD1123" t="str">
        <f>Table15[[#This Row],[Engineering Number]]&amp;Table15[[#This Row],[WO Number]]&amp;Table15[[#This Row],[Date Assigned to Designer]]&amp;Table15[[#This Row],[Date Completed]]</f>
        <v>BS36112129064531645321</v>
      </c>
    </row>
    <row r="1124" spans="1:82" customFormat="1" ht="15" customHeight="1" x14ac:dyDescent="0.25">
      <c r="A1124">
        <v>2024</v>
      </c>
      <c r="B1124" s="8" t="s">
        <v>4</v>
      </c>
      <c r="C1124" s="8" t="s">
        <v>832</v>
      </c>
      <c r="D1124" s="8" t="s">
        <v>833</v>
      </c>
      <c r="E1124" s="8" t="s">
        <v>834</v>
      </c>
      <c r="F1124" s="8" t="s">
        <v>747</v>
      </c>
      <c r="G1124" s="8" t="s">
        <v>25</v>
      </c>
      <c r="H1124" s="8" t="s">
        <v>59</v>
      </c>
      <c r="I1124" s="642">
        <v>45258</v>
      </c>
      <c r="J1124" s="18">
        <v>45345</v>
      </c>
      <c r="K1124" s="97">
        <v>45322</v>
      </c>
      <c r="L1124" s="16">
        <f>IF(ISTEXT(Table15[[#This Row],[Engineering Approved Design Date]]),Table15[[#This Row],[Date Completed]]-Table15[[#This Row],[Date Assigned to Designer]],Table15[[#This Row],[Engineering Approved Design Date]]-Table15[[#This Row],[Date Completed]])</f>
        <v>23</v>
      </c>
      <c r="M1124" s="642"/>
      <c r="N1124" s="642" t="s">
        <v>120</v>
      </c>
      <c r="O1124" s="1060">
        <v>45323</v>
      </c>
      <c r="P1124" s="1152" t="s">
        <v>739</v>
      </c>
      <c r="Q1124" s="340">
        <f>Table15[[#This Row],[Rate]]*Table15[[#This Row],[Construction Cost to Bill From]]</f>
        <v>15681.652000000002</v>
      </c>
      <c r="R1124" s="1026">
        <v>0.1</v>
      </c>
      <c r="S1124" s="538"/>
      <c r="T1124" s="538"/>
      <c r="U1124" s="87"/>
      <c r="V1124" s="858">
        <v>461</v>
      </c>
      <c r="W1124" s="437">
        <v>0</v>
      </c>
      <c r="X1124" s="556">
        <v>148130.85</v>
      </c>
      <c r="Y1124" s="551"/>
      <c r="Z1124" s="570">
        <v>8685.67</v>
      </c>
      <c r="AA1124" s="552">
        <f>Table15[[#This Row],[PCTS Retirement Amount]]+Table15[[#This Row],[PCTS Investment Amount]]</f>
        <v>156816.52000000002</v>
      </c>
      <c r="AB1124" s="341">
        <v>45321</v>
      </c>
      <c r="AC1124" s="568" t="s">
        <v>709</v>
      </c>
      <c r="AD1124" s="1157" t="s">
        <v>29</v>
      </c>
      <c r="AE1124" s="568" t="s">
        <v>116</v>
      </c>
      <c r="AF1124" s="568" t="s">
        <v>29</v>
      </c>
      <c r="AG1124" s="569">
        <v>45366</v>
      </c>
      <c r="AH1124" s="183">
        <v>45366</v>
      </c>
      <c r="AI1124" s="1109">
        <v>0</v>
      </c>
      <c r="AJ1124" s="1110">
        <v>5050.8500000000004</v>
      </c>
      <c r="AK1124" s="1110">
        <v>5712.25</v>
      </c>
      <c r="AL1124" s="1108">
        <f>SUM(Table15[[#This Row],[Nicor Initiated DBE]:[Staffing]])/(Table15[[#This Row],[Amount Invoiced]])</f>
        <v>0.68634988201498148</v>
      </c>
      <c r="AM1124" s="1522" t="s">
        <v>116</v>
      </c>
      <c r="AN1124" s="1523">
        <v>45334</v>
      </c>
      <c r="AO1124" s="1524">
        <v>11078441</v>
      </c>
      <c r="AP1124" s="1525">
        <v>148130.85</v>
      </c>
      <c r="AQ1124" s="1525"/>
      <c r="AR1124" s="1525">
        <v>8685.67</v>
      </c>
      <c r="AS1124" s="1525">
        <v>156816.52000000002</v>
      </c>
      <c r="AT1124" s="1525">
        <v>0</v>
      </c>
      <c r="AU1124" s="1525">
        <v>0</v>
      </c>
      <c r="AV1124" s="1525">
        <v>0</v>
      </c>
      <c r="AW1124" s="1526"/>
      <c r="AX1124" s="1525">
        <v>0</v>
      </c>
      <c r="AY1124" s="1518">
        <v>45566</v>
      </c>
      <c r="AZ1124" s="333">
        <v>122</v>
      </c>
      <c r="BA1124" s="1074" t="s">
        <v>835</v>
      </c>
      <c r="BB1124" s="644" t="s">
        <v>836</v>
      </c>
      <c r="BC1124" s="544" t="s">
        <v>115</v>
      </c>
      <c r="BD1124" s="554" t="s">
        <v>837</v>
      </c>
      <c r="BE1124" s="588" t="s">
        <v>838</v>
      </c>
      <c r="BF1124" s="588" t="s">
        <v>839</v>
      </c>
      <c r="BG1124" s="548" t="s">
        <v>840</v>
      </c>
      <c r="BH1124" s="615" t="s">
        <v>841</v>
      </c>
      <c r="BI1124" s="547" t="s">
        <v>709</v>
      </c>
      <c r="BJ1124" s="549" t="s">
        <v>709</v>
      </c>
      <c r="BK1124" s="547" t="s">
        <v>709</v>
      </c>
      <c r="BL1124" s="547" t="s">
        <v>116</v>
      </c>
      <c r="BM1124" s="626" t="s">
        <v>709</v>
      </c>
      <c r="BN1124" s="549" t="s">
        <v>709</v>
      </c>
      <c r="BO1124" s="626" t="s">
        <v>709</v>
      </c>
      <c r="BP1124" s="626" t="s">
        <v>709</v>
      </c>
      <c r="BQ1124" s="549" t="s">
        <v>709</v>
      </c>
      <c r="BR1124" s="549" t="s">
        <v>709</v>
      </c>
      <c r="BS1124" s="549">
        <v>461</v>
      </c>
      <c r="BT1124" s="549" t="s">
        <v>709</v>
      </c>
      <c r="BU1124" s="549" t="s">
        <v>709</v>
      </c>
      <c r="BV1124" s="549" t="s">
        <v>709</v>
      </c>
      <c r="BW1124" s="549" t="s">
        <v>709</v>
      </c>
      <c r="BX1124" s="547" t="s">
        <v>709</v>
      </c>
      <c r="BY1124" s="549" t="s">
        <v>709</v>
      </c>
      <c r="BZ1124" s="547" t="s">
        <v>709</v>
      </c>
      <c r="CA1124" s="483"/>
      <c r="CB1124" s="547">
        <v>1122</v>
      </c>
      <c r="CC1124" s="1481" t="b">
        <v>1</v>
      </c>
      <c r="CD1124" t="str">
        <f>Table15[[#This Row],[Engineering Number]]&amp;Table15[[#This Row],[WO Number]]&amp;Table15[[#This Row],[Date Assigned to Designer]]&amp;Table15[[#This Row],[Date Completed]]</f>
        <v>SC2362614134734525845322</v>
      </c>
    </row>
    <row r="1125" spans="1:82" customFormat="1" ht="15" customHeight="1" x14ac:dyDescent="0.25">
      <c r="A1125">
        <v>2023</v>
      </c>
      <c r="B1125" s="8" t="s">
        <v>771</v>
      </c>
      <c r="C1125" s="8" t="s">
        <v>1642</v>
      </c>
      <c r="D1125" s="8">
        <v>1212413</v>
      </c>
      <c r="E1125" s="8" t="s">
        <v>1644</v>
      </c>
      <c r="F1125" s="8" t="s">
        <v>747</v>
      </c>
      <c r="G1125" s="8" t="s">
        <v>32</v>
      </c>
      <c r="H1125" s="8" t="s">
        <v>4189</v>
      </c>
      <c r="I1125" s="642">
        <v>45274</v>
      </c>
      <c r="J1125" s="175" t="s">
        <v>2052</v>
      </c>
      <c r="K1125" s="97">
        <v>45335</v>
      </c>
      <c r="L1125" s="16">
        <f>IF(ISTEXT(Table15[[#This Row],[Engineering Approved Design Date]]),Table15[[#This Row],[Date Completed]]-Table15[[#This Row],[Date Assigned to Designer]],Table15[[#This Row],[Engineering Approved Design Date]]-Table15[[#This Row],[Date Completed]])</f>
        <v>61</v>
      </c>
      <c r="M1125" s="642" t="s">
        <v>6181</v>
      </c>
      <c r="N1125" s="642" t="s">
        <v>120</v>
      </c>
      <c r="O1125" s="1060">
        <v>45352</v>
      </c>
      <c r="P1125" s="1152" t="s">
        <v>120</v>
      </c>
      <c r="Q1125" s="1061">
        <f>Table15[[#This Row],[Shactee Effort]]+Table15[[#This Row],[KH Hourly Effort]]</f>
        <v>4937.5</v>
      </c>
      <c r="R1125" s="1026" t="s">
        <v>1922</v>
      </c>
      <c r="S1125" s="538">
        <v>0</v>
      </c>
      <c r="T1125" s="538">
        <v>0</v>
      </c>
      <c r="U1125" s="87">
        <v>4937.5</v>
      </c>
      <c r="V1125" s="857"/>
      <c r="W1125" s="440"/>
      <c r="X1125" s="556"/>
      <c r="Y1125" s="550"/>
      <c r="Z1125" s="556"/>
      <c r="AA1125" s="552"/>
      <c r="AB1125" s="341"/>
      <c r="AC1125" s="569"/>
      <c r="AD1125" s="1149" t="s">
        <v>116</v>
      </c>
      <c r="AE1125" s="568" t="s">
        <v>116</v>
      </c>
      <c r="AF1125" s="568" t="s">
        <v>116</v>
      </c>
      <c r="AG1125" s="183" t="s">
        <v>29</v>
      </c>
      <c r="AH1125" s="183" t="s">
        <v>709</v>
      </c>
      <c r="AI1125" s="1028"/>
      <c r="AJ1125" s="1029"/>
      <c r="AK1125" s="1029"/>
      <c r="AL1125" s="1030"/>
      <c r="AM1125" s="542" t="s">
        <v>709</v>
      </c>
      <c r="AN1125" s="924"/>
      <c r="AO1125" s="925"/>
      <c r="AP1125" s="926"/>
      <c r="AQ1125" s="926"/>
      <c r="AR1125" s="926"/>
      <c r="AS1125" s="926"/>
      <c r="AT1125" s="926"/>
      <c r="AU1125" s="926"/>
      <c r="AV1125" s="926"/>
      <c r="AW1125" s="927"/>
      <c r="AX1125" s="926"/>
      <c r="AY1125" s="1538" t="s">
        <v>29</v>
      </c>
      <c r="AZ1125" s="1530"/>
      <c r="BA1125" s="1031">
        <v>8</v>
      </c>
      <c r="BB1125" s="644" t="s">
        <v>6182</v>
      </c>
      <c r="BC1125" s="559"/>
      <c r="BD1125" s="554"/>
      <c r="BE1125" s="588"/>
      <c r="BF1125" s="588"/>
      <c r="BG1125" s="548"/>
      <c r="BH1125" s="615" t="s">
        <v>6183</v>
      </c>
      <c r="BI1125" s="547" t="s">
        <v>709</v>
      </c>
      <c r="BJ1125" s="547" t="s">
        <v>709</v>
      </c>
      <c r="BK1125" s="547" t="s">
        <v>709</v>
      </c>
      <c r="BL1125" s="547" t="s">
        <v>116</v>
      </c>
      <c r="BM1125" s="547">
        <v>0</v>
      </c>
      <c r="BN1125" s="547">
        <v>9543</v>
      </c>
      <c r="BO1125" s="547">
        <v>0</v>
      </c>
      <c r="BP1125" s="547">
        <v>10</v>
      </c>
      <c r="BQ1125" s="547">
        <v>388</v>
      </c>
      <c r="BR1125" s="547">
        <v>2788</v>
      </c>
      <c r="BS1125" s="547">
        <v>790</v>
      </c>
      <c r="BT1125" s="547">
        <v>0</v>
      </c>
      <c r="BU1125" s="549">
        <v>0</v>
      </c>
      <c r="BV1125" s="547">
        <v>0</v>
      </c>
      <c r="BW1125" s="547">
        <v>0</v>
      </c>
      <c r="BX1125" s="547">
        <v>0</v>
      </c>
      <c r="BY1125" s="547">
        <v>0</v>
      </c>
      <c r="BZ1125" s="547" t="s">
        <v>709</v>
      </c>
      <c r="CA1125" s="483"/>
      <c r="CB1125" s="547">
        <v>1123</v>
      </c>
      <c r="CC1125" s="1481" t="b">
        <v>1</v>
      </c>
      <c r="CD1125" t="str">
        <f>Table15[[#This Row],[Engineering Number]]&amp;Table15[[#This Row],[WO Number]]&amp;Table15[[#This Row],[Date Assigned to Designer]]&amp;Table15[[#This Row],[Date Completed]]</f>
        <v>BS58812124134527445335</v>
      </c>
    </row>
    <row r="1126" spans="1:82" customFormat="1" ht="15" customHeight="1" x14ac:dyDescent="0.25">
      <c r="A1126">
        <v>2024</v>
      </c>
      <c r="B1126" s="8" t="s">
        <v>4</v>
      </c>
      <c r="C1126" s="8" t="s">
        <v>947</v>
      </c>
      <c r="D1126" s="8" t="s">
        <v>948</v>
      </c>
      <c r="E1126" s="8" t="s">
        <v>949</v>
      </c>
      <c r="F1126" s="8" t="s">
        <v>784</v>
      </c>
      <c r="G1126" s="8" t="s">
        <v>26</v>
      </c>
      <c r="H1126" s="8" t="s">
        <v>59</v>
      </c>
      <c r="I1126" s="642">
        <v>45216</v>
      </c>
      <c r="J1126" s="18">
        <v>45338</v>
      </c>
      <c r="K1126" s="97">
        <v>45336</v>
      </c>
      <c r="L1126" s="16">
        <f>IF(ISTEXT(Table15[[#This Row],[Engineering Approved Design Date]]),Table15[[#This Row],[Date Completed]]-Table15[[#This Row],[Date Assigned to Designer]],Table15[[#This Row],[Engineering Approved Design Date]]-Table15[[#This Row],[Date Completed]])</f>
        <v>2</v>
      </c>
      <c r="M1126" s="642"/>
      <c r="N1126" s="642" t="s">
        <v>120</v>
      </c>
      <c r="O1126" s="1060">
        <v>45323</v>
      </c>
      <c r="P1126" s="1152" t="s">
        <v>739</v>
      </c>
      <c r="Q1126" s="340">
        <f>Table15[[#This Row],[Rate]]*Table15[[#This Row],[Construction Cost to Bill From]]</f>
        <v>36681.165000000001</v>
      </c>
      <c r="R1126" s="1026">
        <v>0.1</v>
      </c>
      <c r="S1126" s="538"/>
      <c r="T1126" s="538"/>
      <c r="U1126" s="87"/>
      <c r="V1126" s="858">
        <v>875</v>
      </c>
      <c r="W1126" s="437">
        <v>0</v>
      </c>
      <c r="X1126" s="561">
        <v>332101.24</v>
      </c>
      <c r="Y1126" s="551"/>
      <c r="Z1126" s="561">
        <v>34710.410000000003</v>
      </c>
      <c r="AA1126" s="552">
        <f>Table15[[#This Row],[PCTS Investment Amount]]+Table15[[#This Row],[PCTS Retirement Amount]]</f>
        <v>366811.65</v>
      </c>
      <c r="AB1126" s="341">
        <v>45335</v>
      </c>
      <c r="AC1126" s="568" t="s">
        <v>709</v>
      </c>
      <c r="AD1126" s="1157" t="s">
        <v>29</v>
      </c>
      <c r="AE1126" s="568" t="s">
        <v>116</v>
      </c>
      <c r="AF1126" s="568" t="s">
        <v>29</v>
      </c>
      <c r="AG1126" s="183">
        <v>45366</v>
      </c>
      <c r="AH1126" s="183">
        <v>45366</v>
      </c>
      <c r="AI1126" s="1109">
        <v>0</v>
      </c>
      <c r="AJ1126" s="1110">
        <v>3000</v>
      </c>
      <c r="AK1126" s="1119">
        <v>672</v>
      </c>
      <c r="AL1126" s="1108">
        <f>SUM(Table15[[#This Row],[Nicor Initiated DBE]:[Staffing]])/(Table15[[#This Row],[Amount Invoiced]])</f>
        <v>0.10010587177370184</v>
      </c>
      <c r="AM1126" s="1522" t="s">
        <v>116</v>
      </c>
      <c r="AN1126" s="1523">
        <v>45377</v>
      </c>
      <c r="AO1126" s="1524">
        <v>11080424</v>
      </c>
      <c r="AP1126" s="1525">
        <v>335524.99</v>
      </c>
      <c r="AQ1126" s="1525"/>
      <c r="AR1126" s="1525">
        <v>34712.800000000003</v>
      </c>
      <c r="AS1126" s="1525">
        <v>370237.79</v>
      </c>
      <c r="AT1126" s="1525">
        <v>3426.1399999999558</v>
      </c>
      <c r="AU1126" s="1525">
        <v>342.6139999999956</v>
      </c>
      <c r="AV1126" s="1525">
        <v>0</v>
      </c>
      <c r="AW1126" s="1526" t="s">
        <v>950</v>
      </c>
      <c r="AX1126" s="1525">
        <v>342.61</v>
      </c>
      <c r="AY1126" s="1518">
        <v>45566</v>
      </c>
      <c r="AZ1126" s="333">
        <v>123</v>
      </c>
      <c r="BA1126" s="1074" t="s">
        <v>951</v>
      </c>
      <c r="BB1126" s="644" t="s">
        <v>905</v>
      </c>
      <c r="BC1126" s="559" t="s">
        <v>116</v>
      </c>
      <c r="BD1126" s="554" t="s">
        <v>952</v>
      </c>
      <c r="BE1126" s="588" t="s">
        <v>953</v>
      </c>
      <c r="BF1126" s="588" t="s">
        <v>954</v>
      </c>
      <c r="BG1126" s="588" t="s">
        <v>115</v>
      </c>
      <c r="BH1126" s="615" t="s">
        <v>955</v>
      </c>
      <c r="BI1126" s="547" t="s">
        <v>709</v>
      </c>
      <c r="BJ1126" s="549" t="s">
        <v>709</v>
      </c>
      <c r="BK1126" s="547" t="s">
        <v>709</v>
      </c>
      <c r="BL1126" s="547" t="s">
        <v>116</v>
      </c>
      <c r="BM1126" s="626" t="s">
        <v>709</v>
      </c>
      <c r="BN1126" s="549" t="s">
        <v>709</v>
      </c>
      <c r="BO1126" s="626" t="s">
        <v>709</v>
      </c>
      <c r="BP1126" s="626" t="s">
        <v>709</v>
      </c>
      <c r="BQ1126" s="549">
        <v>115</v>
      </c>
      <c r="BR1126" s="549" t="s">
        <v>709</v>
      </c>
      <c r="BS1126" s="549">
        <v>760</v>
      </c>
      <c r="BT1126" s="549" t="s">
        <v>709</v>
      </c>
      <c r="BU1126" s="549" t="s">
        <v>709</v>
      </c>
      <c r="BV1126" s="549" t="s">
        <v>709</v>
      </c>
      <c r="BW1126" s="549" t="s">
        <v>709</v>
      </c>
      <c r="BX1126" s="547" t="s">
        <v>709</v>
      </c>
      <c r="BY1126" s="549" t="s">
        <v>709</v>
      </c>
      <c r="BZ1126" s="547" t="s">
        <v>709</v>
      </c>
      <c r="CA1126" s="483"/>
      <c r="CB1126" s="547">
        <v>1124</v>
      </c>
      <c r="CC1126" s="1481" t="b">
        <v>1</v>
      </c>
      <c r="CD1126" t="str">
        <f>Table15[[#This Row],[Engineering Number]]&amp;Table15[[#This Row],[WO Number]]&amp;Table15[[#This Row],[Date Assigned to Designer]]&amp;Table15[[#This Row],[Date Completed]]</f>
        <v>N1501212134884521645336</v>
      </c>
    </row>
    <row r="1127" spans="1:82" customFormat="1" ht="15" customHeight="1" x14ac:dyDescent="0.25">
      <c r="A1127">
        <v>2024</v>
      </c>
      <c r="B1127" s="8" t="s">
        <v>4</v>
      </c>
      <c r="C1127" s="8" t="s">
        <v>6186</v>
      </c>
      <c r="D1127" s="8">
        <v>1313448</v>
      </c>
      <c r="E1127" s="8" t="s">
        <v>1164</v>
      </c>
      <c r="F1127" s="8" t="s">
        <v>1515</v>
      </c>
      <c r="G1127" s="8" t="s">
        <v>22</v>
      </c>
      <c r="H1127" s="8" t="s">
        <v>4646</v>
      </c>
      <c r="I1127" s="642">
        <v>45294</v>
      </c>
      <c r="J1127" s="175" t="s">
        <v>4110</v>
      </c>
      <c r="K1127" s="97">
        <v>45342</v>
      </c>
      <c r="L1127" s="16">
        <f>IF(ISTEXT(Table15[[#This Row],[Engineering Approved Design Date]]),Table15[[#This Row],[Date Completed]]-Table15[[#This Row],[Date Assigned to Designer]],Table15[[#This Row],[Engineering Approved Design Date]]-Table15[[#This Row],[Date Completed]])</f>
        <v>48</v>
      </c>
      <c r="M1127" s="16" t="s">
        <v>5966</v>
      </c>
      <c r="N1127" s="642" t="s">
        <v>120</v>
      </c>
      <c r="O1127" s="1060">
        <v>45352</v>
      </c>
      <c r="P1127" s="1152" t="s">
        <v>739</v>
      </c>
      <c r="Q1127" s="1061">
        <f>Table15[[#This Row],[KH Hourly Effort]]</f>
        <v>3010</v>
      </c>
      <c r="R1127" s="1039" t="s">
        <v>1922</v>
      </c>
      <c r="S1127" s="538">
        <v>0</v>
      </c>
      <c r="T1127" s="552">
        <v>0</v>
      </c>
      <c r="U1127" s="300">
        <v>3010</v>
      </c>
      <c r="V1127" s="857"/>
      <c r="W1127" s="440"/>
      <c r="X1127" s="538"/>
      <c r="Y1127" s="551"/>
      <c r="Z1127" s="538"/>
      <c r="AA1127" s="552"/>
      <c r="AB1127" s="341" t="s">
        <v>29</v>
      </c>
      <c r="AC1127" s="569" t="s">
        <v>29</v>
      </c>
      <c r="AD1127" s="1149" t="s">
        <v>29</v>
      </c>
      <c r="AE1127" s="568" t="s">
        <v>116</v>
      </c>
      <c r="AF1127" s="569" t="s">
        <v>29</v>
      </c>
      <c r="AG1127" s="183" t="s">
        <v>29</v>
      </c>
      <c r="AH1127" s="536">
        <v>45475</v>
      </c>
      <c r="AI1127" s="1028"/>
      <c r="AJ1127" s="1029"/>
      <c r="AK1127" s="1029"/>
      <c r="AL1127" s="1030">
        <f>SUM(Table15[[#This Row],[Nicor Initiated DBE]:[Staffing]])/(Table15[[#This Row],[Amount Invoiced]])</f>
        <v>0</v>
      </c>
      <c r="AM1127" s="542" t="s">
        <v>709</v>
      </c>
      <c r="AN1127" s="924"/>
      <c r="AO1127" s="925"/>
      <c r="AP1127" s="926"/>
      <c r="AQ1127" s="926"/>
      <c r="AR1127" s="926"/>
      <c r="AS1127" s="926"/>
      <c r="AT1127" s="926"/>
      <c r="AU1127" s="926"/>
      <c r="AV1127" s="926"/>
      <c r="AW1127" s="927"/>
      <c r="AX1127" s="926"/>
      <c r="AY1127" s="1538" t="s">
        <v>29</v>
      </c>
      <c r="AZ1127" s="1530"/>
      <c r="BA1127" s="1031" t="s">
        <v>6187</v>
      </c>
      <c r="BB1127" s="658"/>
      <c r="BC1127" s="554"/>
      <c r="BD1127" s="554"/>
      <c r="BE1127" s="544"/>
      <c r="BF1127" s="559"/>
      <c r="BG1127" s="554"/>
      <c r="BH1127" s="615" t="s">
        <v>6188</v>
      </c>
      <c r="BI1127" s="1032"/>
      <c r="BJ1127" s="1071"/>
      <c r="BK1127" s="1032"/>
      <c r="BL1127" s="1032"/>
      <c r="BM1127" s="1100"/>
      <c r="BN1127" s="1070"/>
      <c r="BO1127" s="1070"/>
      <c r="BP1127" s="1032"/>
      <c r="BQ1127" s="1070"/>
      <c r="BR1127" s="1032"/>
      <c r="BS1127" s="1071"/>
      <c r="BT1127" s="1070"/>
      <c r="BU1127" s="1032"/>
      <c r="BV1127" s="1032"/>
      <c r="BW1127" s="1032"/>
      <c r="BX1127" s="1032"/>
      <c r="BY1127" s="1032"/>
      <c r="BZ1127" s="1032"/>
      <c r="CA1127" s="485"/>
      <c r="CB1127" s="547">
        <v>1125</v>
      </c>
      <c r="CC1127" s="1481" t="b">
        <v>1</v>
      </c>
      <c r="CD1127" t="str">
        <f>Table15[[#This Row],[Engineering Number]]&amp;Table15[[#This Row],[WO Number]]&amp;Table15[[#This Row],[Date Assigned to Designer]]&amp;Table15[[#This Row],[Date Completed]]</f>
        <v>SC2363413134484529445342</v>
      </c>
    </row>
    <row r="1128" spans="1:82" customFormat="1" ht="15" customHeight="1" x14ac:dyDescent="0.25">
      <c r="A1128">
        <v>2024</v>
      </c>
      <c r="B1128" s="8" t="s">
        <v>4</v>
      </c>
      <c r="C1128" s="8" t="s">
        <v>6193</v>
      </c>
      <c r="D1128" s="8" t="s">
        <v>1715</v>
      </c>
      <c r="E1128" s="8" t="s">
        <v>1716</v>
      </c>
      <c r="F1128" s="8" t="s">
        <v>784</v>
      </c>
      <c r="G1128" s="8" t="s">
        <v>26</v>
      </c>
      <c r="H1128" s="8" t="s">
        <v>59</v>
      </c>
      <c r="I1128" s="642">
        <v>45252</v>
      </c>
      <c r="J1128" s="18">
        <v>45345</v>
      </c>
      <c r="K1128" s="97">
        <v>45344</v>
      </c>
      <c r="L1128" s="16">
        <f>IF(ISTEXT(Table15[[#This Row],[Engineering Approved Design Date]]),Table15[[#This Row],[Date Completed]]-Table15[[#This Row],[Date Assigned to Designer]],Table15[[#This Row],[Engineering Approved Design Date]]-Table15[[#This Row],[Date Completed]])</f>
        <v>1</v>
      </c>
      <c r="M1128" s="642"/>
      <c r="N1128" s="642" t="s">
        <v>120</v>
      </c>
      <c r="O1128" s="1060">
        <v>45323</v>
      </c>
      <c r="P1128" s="1152" t="s">
        <v>739</v>
      </c>
      <c r="Q1128" s="340">
        <f>Table15[[#This Row],[Rate]]*Table15[[#This Row],[Construction Cost to Bill From]]</f>
        <v>168227.36300000001</v>
      </c>
      <c r="R1128" s="1026">
        <v>0.1</v>
      </c>
      <c r="S1128" s="538"/>
      <c r="T1128" s="538"/>
      <c r="U1128" s="87"/>
      <c r="V1128" s="858">
        <v>3635</v>
      </c>
      <c r="W1128" s="437">
        <v>0</v>
      </c>
      <c r="X1128" s="561">
        <v>1357205.65</v>
      </c>
      <c r="Y1128" s="551"/>
      <c r="Z1128" s="561">
        <v>325067.98</v>
      </c>
      <c r="AA1128" s="552">
        <f>Table15[[#This Row],[PCTS Retirement Amount]]+Table15[[#This Row],[PCTS Investment Amount]]</f>
        <v>1682273.63</v>
      </c>
      <c r="AB1128" s="341">
        <v>45348</v>
      </c>
      <c r="AC1128" s="568" t="s">
        <v>709</v>
      </c>
      <c r="AD1128" s="1157" t="s">
        <v>29</v>
      </c>
      <c r="AE1128" s="568" t="s">
        <v>116</v>
      </c>
      <c r="AF1128" s="568" t="s">
        <v>116</v>
      </c>
      <c r="AG1128" s="183">
        <v>45366</v>
      </c>
      <c r="AH1128" s="183">
        <v>45366</v>
      </c>
      <c r="AI1128" s="1109">
        <v>0</v>
      </c>
      <c r="AJ1128" s="1110">
        <v>3800</v>
      </c>
      <c r="AK1128" s="1119">
        <v>14250</v>
      </c>
      <c r="AL1128" s="1108">
        <f>SUM(Table15[[#This Row],[Nicor Initiated DBE]:[Staffing]])/(Table15[[#This Row],[Amount Invoiced]])</f>
        <v>0.10729526801177998</v>
      </c>
      <c r="AM1128" s="536" t="s">
        <v>116</v>
      </c>
      <c r="AN1128" s="903" t="s">
        <v>709</v>
      </c>
      <c r="AO1128" s="1536"/>
      <c r="AP1128" s="1537"/>
      <c r="AQ1128" s="1537"/>
      <c r="AR1128" s="1537"/>
      <c r="AS1128" s="888">
        <f>IF(Table15[[#This Row],[PCTS Approved]]="N",0,Table15[[#This Row],[Investment Amount (1'#'#'#'#'#)]]+Table15[[#This Row],[Retirement Amount (3'#'#'#'#'#)]])</f>
        <v>0</v>
      </c>
      <c r="AT1128" s="888">
        <f>IF(Table15[[#This Row],[Approved Construction Cost]]=0,0,Table15[[#This Row],[Approved Construction Cost]]-Table15[[#This Row],[Construction Cost to Bill From]])</f>
        <v>0</v>
      </c>
      <c r="AU1128" s="888">
        <f>IFERROR(Table15[[#This Row],[Difference in Construction Cost]]*Table15[[#This Row],[Rate]],Table15[[#This Row],[Difference in Construction Cost]]*0.085)</f>
        <v>0</v>
      </c>
      <c r="AV1128" s="905"/>
      <c r="AW1128" s="1509"/>
      <c r="AX1128" s="888"/>
      <c r="AY1128" s="636" t="s">
        <v>709</v>
      </c>
      <c r="AZ1128" s="333">
        <v>124</v>
      </c>
      <c r="BA1128" s="1074" t="s">
        <v>1717</v>
      </c>
      <c r="BB1128" s="644" t="s">
        <v>1718</v>
      </c>
      <c r="BC1128" s="544" t="s">
        <v>115</v>
      </c>
      <c r="BD1128" s="554" t="s">
        <v>882</v>
      </c>
      <c r="BE1128" s="588" t="s">
        <v>1719</v>
      </c>
      <c r="BF1128" s="588" t="s">
        <v>1396</v>
      </c>
      <c r="BG1128" s="588" t="s">
        <v>115</v>
      </c>
      <c r="BH1128" s="615" t="s">
        <v>1720</v>
      </c>
      <c r="BI1128" s="547" t="s">
        <v>709</v>
      </c>
      <c r="BJ1128" s="549" t="s">
        <v>709</v>
      </c>
      <c r="BK1128" s="547" t="s">
        <v>709</v>
      </c>
      <c r="BL1128" s="547" t="s">
        <v>116</v>
      </c>
      <c r="BM1128" s="626" t="s">
        <v>709</v>
      </c>
      <c r="BN1128" s="549" t="s">
        <v>709</v>
      </c>
      <c r="BO1128" s="626" t="s">
        <v>709</v>
      </c>
      <c r="BP1128" s="626" t="s">
        <v>709</v>
      </c>
      <c r="BQ1128" s="549" t="s">
        <v>709</v>
      </c>
      <c r="BR1128" s="549">
        <v>2942</v>
      </c>
      <c r="BS1128" s="549">
        <v>693</v>
      </c>
      <c r="BT1128" s="549" t="s">
        <v>709</v>
      </c>
      <c r="BU1128" s="549" t="s">
        <v>709</v>
      </c>
      <c r="BV1128" s="549" t="s">
        <v>709</v>
      </c>
      <c r="BW1128" s="549" t="s">
        <v>709</v>
      </c>
      <c r="BX1128" s="547" t="s">
        <v>709</v>
      </c>
      <c r="BY1128" s="549" t="s">
        <v>709</v>
      </c>
      <c r="BZ1128" s="547" t="s">
        <v>709</v>
      </c>
      <c r="CA1128" s="483"/>
      <c r="CB1128" s="547">
        <v>1127</v>
      </c>
      <c r="CC1128" s="1481" t="b">
        <v>1</v>
      </c>
      <c r="CD1128" t="str">
        <f>Table15[[#This Row],[Engineering Number]]&amp;Table15[[#This Row],[WO Number]]&amp;Table15[[#This Row],[Date Assigned to Designer]]&amp;Table15[[#This Row],[Date Completed]]</f>
        <v>N1805612134894525245344</v>
      </c>
    </row>
    <row r="1129" spans="1:82" customFormat="1" ht="15" customHeight="1" x14ac:dyDescent="0.25">
      <c r="A1129">
        <v>2024</v>
      </c>
      <c r="B1129" s="8" t="s">
        <v>4</v>
      </c>
      <c r="C1129" s="8" t="s">
        <v>392</v>
      </c>
      <c r="D1129" s="8" t="s">
        <v>1702</v>
      </c>
      <c r="E1129" s="8" t="s">
        <v>393</v>
      </c>
      <c r="F1129" s="8" t="s">
        <v>784</v>
      </c>
      <c r="G1129" s="8" t="s">
        <v>27</v>
      </c>
      <c r="H1129" s="8" t="s">
        <v>4462</v>
      </c>
      <c r="I1129" s="642">
        <v>45337</v>
      </c>
      <c r="J1129" s="175" t="s">
        <v>2052</v>
      </c>
      <c r="K1129" s="97">
        <v>45344</v>
      </c>
      <c r="L1129" s="16">
        <f>IF(ISTEXT(Table15[[#This Row],[Engineering Approved Design Date]]),Table15[[#This Row],[Date Completed]]-Table15[[#This Row],[Date Assigned to Designer]],Table15[[#This Row],[Engineering Approved Design Date]]-Table15[[#This Row],[Date Completed]])</f>
        <v>7</v>
      </c>
      <c r="M1129" s="642" t="s">
        <v>6190</v>
      </c>
      <c r="N1129" s="642" t="s">
        <v>120</v>
      </c>
      <c r="O1129" s="1060">
        <v>45323</v>
      </c>
      <c r="P1129" s="1152" t="s">
        <v>739</v>
      </c>
      <c r="Q1129" s="340" t="s">
        <v>115</v>
      </c>
      <c r="R1129" s="1026" t="s">
        <v>115</v>
      </c>
      <c r="S1129" s="538"/>
      <c r="T1129" s="538"/>
      <c r="U1129" s="87"/>
      <c r="V1129" s="857"/>
      <c r="W1129" s="440"/>
      <c r="X1129" s="538"/>
      <c r="Y1129" s="551"/>
      <c r="Z1129" s="538"/>
      <c r="AA1129" s="552"/>
      <c r="AB1129" s="341" t="s">
        <v>29</v>
      </c>
      <c r="AC1129" s="569" t="s">
        <v>29</v>
      </c>
      <c r="AD1129" s="1149" t="s">
        <v>116</v>
      </c>
      <c r="AE1129" s="568" t="s">
        <v>116</v>
      </c>
      <c r="AF1129" s="569" t="s">
        <v>756</v>
      </c>
      <c r="AG1129" s="183" t="s">
        <v>116</v>
      </c>
      <c r="AH1129" s="183">
        <v>45366</v>
      </c>
      <c r="AI1129" s="1036"/>
      <c r="AJ1129" s="1037"/>
      <c r="AK1129" s="1037"/>
      <c r="AL1129" s="1038" t="e">
        <f>SUM(Table15[[#This Row],[Nicor Initiated DBE]:[Staffing]])/(Table15[[#This Row],[Amount Invoiced]])</f>
        <v>#VALUE!</v>
      </c>
      <c r="AM1129" s="542" t="s">
        <v>709</v>
      </c>
      <c r="AN1129" s="924"/>
      <c r="AO1129" s="925"/>
      <c r="AP1129" s="926"/>
      <c r="AQ1129" s="926"/>
      <c r="AR1129" s="926"/>
      <c r="AS1129" s="926"/>
      <c r="AT1129" s="926"/>
      <c r="AU1129" s="926"/>
      <c r="AV1129" s="926"/>
      <c r="AW1129" s="927"/>
      <c r="AX1129" s="926"/>
      <c r="AY1129" s="1538" t="s">
        <v>29</v>
      </c>
      <c r="AZ1129" s="1530"/>
      <c r="BA1129" s="1031">
        <v>1</v>
      </c>
      <c r="BB1129" s="644" t="s">
        <v>6191</v>
      </c>
      <c r="BC1129" s="559"/>
      <c r="BD1129" s="554"/>
      <c r="BE1129" s="588"/>
      <c r="BF1129" s="588"/>
      <c r="BG1129" s="548"/>
      <c r="BH1129" s="615"/>
      <c r="BI1129" s="1032"/>
      <c r="BJ1129" s="1032"/>
      <c r="BK1129" s="1032"/>
      <c r="BL1129" s="1032"/>
      <c r="BM1129" s="1032"/>
      <c r="BN1129" s="1032"/>
      <c r="BO1129" s="1032"/>
      <c r="BP1129" s="1032"/>
      <c r="BQ1129" s="1032"/>
      <c r="BR1129" s="1032"/>
      <c r="BS1129" s="1032"/>
      <c r="BT1129" s="1032"/>
      <c r="BU1129" s="1032"/>
      <c r="BV1129" s="1032"/>
      <c r="BW1129" s="1032"/>
      <c r="BX1129" s="1032"/>
      <c r="BY1129" s="1032"/>
      <c r="BZ1129" s="1032"/>
      <c r="CA1129" s="485"/>
      <c r="CB1129" s="547">
        <v>1126</v>
      </c>
      <c r="CC1129" s="1481" t="b">
        <v>1</v>
      </c>
      <c r="CD1129" t="str">
        <f>Table15[[#This Row],[Engineering Number]]&amp;Table15[[#This Row],[WO Number]]&amp;Table15[[#This Row],[Date Assigned to Designer]]&amp;Table15[[#This Row],[Date Completed]]</f>
        <v>N1435912123854533745344</v>
      </c>
    </row>
    <row r="1130" spans="1:82" customFormat="1" ht="15" customHeight="1" x14ac:dyDescent="0.25">
      <c r="A1130">
        <v>2024</v>
      </c>
      <c r="B1130" s="8" t="s">
        <v>4</v>
      </c>
      <c r="C1130" s="8" t="s">
        <v>1721</v>
      </c>
      <c r="D1130" s="8" t="s">
        <v>1722</v>
      </c>
      <c r="E1130" s="8" t="s">
        <v>850</v>
      </c>
      <c r="F1130" s="8" t="s">
        <v>851</v>
      </c>
      <c r="G1130" s="8" t="s">
        <v>26</v>
      </c>
      <c r="H1130" s="8" t="s">
        <v>59</v>
      </c>
      <c r="I1130" s="642">
        <v>45191</v>
      </c>
      <c r="J1130" s="18">
        <v>45350</v>
      </c>
      <c r="K1130" s="97">
        <v>45348</v>
      </c>
      <c r="L1130" s="16">
        <f>IF(ISTEXT(Table15[[#This Row],[Engineering Approved Design Date]]),Table15[[#This Row],[Date Completed]]-Table15[[#This Row],[Date Assigned to Designer]],Table15[[#This Row],[Engineering Approved Design Date]]-Table15[[#This Row],[Date Completed]])</f>
        <v>2</v>
      </c>
      <c r="M1130" s="642"/>
      <c r="N1130" s="642" t="s">
        <v>120</v>
      </c>
      <c r="O1130" s="1060">
        <v>45352</v>
      </c>
      <c r="P1130" s="1152" t="s">
        <v>739</v>
      </c>
      <c r="Q1130" s="340">
        <f>Table15[[#This Row],[Rate]]*Table15[[#This Row],[Construction Cost to Bill From]]</f>
        <v>51974.387000000002</v>
      </c>
      <c r="R1130" s="1026">
        <v>0.1</v>
      </c>
      <c r="S1130" s="538"/>
      <c r="T1130" s="538"/>
      <c r="U1130" s="87"/>
      <c r="V1130" s="858">
        <v>1770</v>
      </c>
      <c r="W1130" s="437">
        <v>0</v>
      </c>
      <c r="X1130" s="556">
        <v>474635.76</v>
      </c>
      <c r="Y1130" s="550"/>
      <c r="Z1130" s="570">
        <v>45108.11</v>
      </c>
      <c r="AA1130" s="552">
        <f>Table15[[#This Row],[PCTS Investment Amount]]+Table15[[#This Row],[PCTS Retirement Amount]]</f>
        <v>519743.87</v>
      </c>
      <c r="AB1130" s="341">
        <v>45329</v>
      </c>
      <c r="AC1130" s="569" t="s">
        <v>709</v>
      </c>
      <c r="AD1130" s="1157" t="s">
        <v>29</v>
      </c>
      <c r="AE1130" s="568" t="s">
        <v>116</v>
      </c>
      <c r="AF1130" s="568" t="s">
        <v>116</v>
      </c>
      <c r="AG1130" s="183">
        <v>45366</v>
      </c>
      <c r="AH1130" s="183">
        <v>45366</v>
      </c>
      <c r="AI1130" s="1109">
        <v>0</v>
      </c>
      <c r="AJ1130" s="1110">
        <v>2142</v>
      </c>
      <c r="AK1130" s="1110">
        <v>656.625</v>
      </c>
      <c r="AL1130" s="1108">
        <f>SUM(Table15[[#This Row],[Nicor Initiated DBE]:[Staffing]])/(Table15[[#This Row],[Amount Invoiced]])</f>
        <v>5.3846233915178253E-2</v>
      </c>
      <c r="AM1130" s="1522" t="s">
        <v>116</v>
      </c>
      <c r="AN1130" s="1523">
        <v>45525</v>
      </c>
      <c r="AO1130" s="1524">
        <v>11089738</v>
      </c>
      <c r="AP1130" s="1525">
        <v>570185.64</v>
      </c>
      <c r="AQ1130" s="1525"/>
      <c r="AR1130" s="1525">
        <v>86510.31</v>
      </c>
      <c r="AS1130" s="1525">
        <f>IF(Table15[[#This Row],[PCTS Approved]]="N",0,Table15[[#This Row],[Investment Amount (1'#'#'#'#'#)]]+Table15[[#This Row],[Retirement Amount (3'#'#'#'#'#)]])</f>
        <v>656695.94999999995</v>
      </c>
      <c r="AT1130" s="1525">
        <f>IF(Table15[[#This Row],[Approved Construction Cost]]=0,0,Table15[[#This Row],[Approved Construction Cost]]-Table15[[#This Row],[Construction Cost to Bill From]])</f>
        <v>136952.07999999996</v>
      </c>
      <c r="AU1130" s="1525">
        <f>IFERROR(Table15[[#This Row],[Difference in Construction Cost]]*Table15[[#This Row],[Rate]],Table15[[#This Row],[Difference in Construction Cost]]*0.085)</f>
        <v>13695.207999999997</v>
      </c>
      <c r="AV1130" s="1525">
        <v>0</v>
      </c>
      <c r="AW1130" s="1526" t="s">
        <v>6195</v>
      </c>
      <c r="AX1130" s="1525">
        <f>Table15[[#This Row],[Reconcile Amount]]</f>
        <v>13695.207999999997</v>
      </c>
      <c r="AY1130" s="1518">
        <v>45901</v>
      </c>
      <c r="AZ1130" s="333">
        <v>125</v>
      </c>
      <c r="BA1130" s="642" t="s">
        <v>1723</v>
      </c>
      <c r="BB1130" s="671" t="s">
        <v>854</v>
      </c>
      <c r="BC1130" s="544" t="s">
        <v>115</v>
      </c>
      <c r="BD1130" s="554" t="s">
        <v>862</v>
      </c>
      <c r="BE1130" s="588" t="s">
        <v>855</v>
      </c>
      <c r="BF1130" s="588" t="s">
        <v>115</v>
      </c>
      <c r="BG1130" s="548" t="s">
        <v>1724</v>
      </c>
      <c r="BH1130" s="615" t="s">
        <v>1725</v>
      </c>
      <c r="BI1130" s="547" t="s">
        <v>709</v>
      </c>
      <c r="BJ1130" s="549" t="s">
        <v>709</v>
      </c>
      <c r="BK1130" s="547" t="s">
        <v>709</v>
      </c>
      <c r="BL1130" s="547" t="s">
        <v>116</v>
      </c>
      <c r="BM1130" s="626" t="s">
        <v>709</v>
      </c>
      <c r="BN1130" s="549" t="s">
        <v>709</v>
      </c>
      <c r="BO1130" s="626" t="s">
        <v>709</v>
      </c>
      <c r="BP1130" s="626" t="s">
        <v>709</v>
      </c>
      <c r="BQ1130" s="549">
        <v>1301</v>
      </c>
      <c r="BR1130" s="549" t="s">
        <v>709</v>
      </c>
      <c r="BS1130" s="549">
        <v>469</v>
      </c>
      <c r="BT1130" s="549" t="s">
        <v>709</v>
      </c>
      <c r="BU1130" s="549" t="s">
        <v>709</v>
      </c>
      <c r="BV1130" s="549" t="s">
        <v>709</v>
      </c>
      <c r="BW1130" s="549" t="s">
        <v>709</v>
      </c>
      <c r="BX1130" s="547" t="s">
        <v>709</v>
      </c>
      <c r="BY1130" s="549" t="s">
        <v>709</v>
      </c>
      <c r="BZ1130" s="547" t="s">
        <v>709</v>
      </c>
      <c r="CA1130" s="483"/>
      <c r="CB1130" s="547">
        <v>1128</v>
      </c>
      <c r="CC1130" s="1481" t="b">
        <v>1</v>
      </c>
      <c r="CD1130" t="str">
        <f>Table15[[#This Row],[Engineering Number]]&amp;Table15[[#This Row],[WO Number]]&amp;Table15[[#This Row],[Date Assigned to Designer]]&amp;Table15[[#This Row],[Date Completed]]</f>
        <v>SC1768013134314519145348</v>
      </c>
    </row>
    <row r="1131" spans="1:82" customFormat="1" ht="15" customHeight="1" x14ac:dyDescent="0.25">
      <c r="A1131">
        <v>2024</v>
      </c>
      <c r="B1131" s="8" t="s">
        <v>4</v>
      </c>
      <c r="C1131" s="8" t="s">
        <v>1726</v>
      </c>
      <c r="D1131" s="8" t="s">
        <v>1727</v>
      </c>
      <c r="E1131" s="8" t="s">
        <v>850</v>
      </c>
      <c r="F1131" s="8" t="s">
        <v>851</v>
      </c>
      <c r="G1131" s="8" t="s">
        <v>26</v>
      </c>
      <c r="H1131" s="8" t="s">
        <v>59</v>
      </c>
      <c r="I1131" s="642">
        <v>45191</v>
      </c>
      <c r="J1131" s="18">
        <v>45350</v>
      </c>
      <c r="K1131" s="97">
        <v>45348</v>
      </c>
      <c r="L1131" s="16">
        <f>IF(ISTEXT(Table15[[#This Row],[Engineering Approved Design Date]]),Table15[[#This Row],[Date Completed]]-Table15[[#This Row],[Date Assigned to Designer]],Table15[[#This Row],[Engineering Approved Design Date]]-Table15[[#This Row],[Date Completed]])</f>
        <v>2</v>
      </c>
      <c r="M1131" s="642"/>
      <c r="N1131" s="642" t="s">
        <v>120</v>
      </c>
      <c r="O1131" s="1060">
        <v>45352</v>
      </c>
      <c r="P1131" s="1152" t="s">
        <v>739</v>
      </c>
      <c r="Q1131" s="340">
        <f>Table15[[#This Row],[Rate]]*Table15[[#This Row],[Construction Cost to Bill From]]</f>
        <v>42993.122000000003</v>
      </c>
      <c r="R1131" s="1026">
        <v>0.1</v>
      </c>
      <c r="S1131" s="538"/>
      <c r="T1131" s="538"/>
      <c r="U1131" s="87"/>
      <c r="V1131" s="858">
        <v>1419</v>
      </c>
      <c r="W1131" s="437">
        <v>0</v>
      </c>
      <c r="X1131" s="556">
        <v>411689.63</v>
      </c>
      <c r="Y1131" s="550"/>
      <c r="Z1131" s="570">
        <v>18241.59</v>
      </c>
      <c r="AA1131" s="552">
        <f>Table15[[#This Row],[PCTS Investment Amount]]+Table15[[#This Row],[PCTS Retirement Amount]]</f>
        <v>429931.22000000003</v>
      </c>
      <c r="AB1131" s="341">
        <v>45329</v>
      </c>
      <c r="AC1131" s="569" t="s">
        <v>709</v>
      </c>
      <c r="AD1131" s="1157" t="s">
        <v>29</v>
      </c>
      <c r="AE1131" s="568" t="s">
        <v>116</v>
      </c>
      <c r="AF1131" s="568" t="s">
        <v>116</v>
      </c>
      <c r="AG1131" s="183">
        <v>45366</v>
      </c>
      <c r="AH1131" s="183">
        <v>45366</v>
      </c>
      <c r="AI1131" s="1109">
        <v>0</v>
      </c>
      <c r="AJ1131" s="1110">
        <v>2142</v>
      </c>
      <c r="AK1131" s="1110">
        <v>656.625</v>
      </c>
      <c r="AL1131" s="1108">
        <f>SUM(Table15[[#This Row],[Nicor Initiated DBE]:[Staffing]])/(Table15[[#This Row],[Amount Invoiced]])</f>
        <v>6.509471445223261E-2</v>
      </c>
      <c r="AM1131" s="1522" t="s">
        <v>116</v>
      </c>
      <c r="AN1131" s="1523">
        <v>45525</v>
      </c>
      <c r="AO1131" s="1524">
        <v>11089739</v>
      </c>
      <c r="AP1131" s="1525">
        <v>461071.23</v>
      </c>
      <c r="AQ1131" s="1525"/>
      <c r="AR1131" s="1525">
        <v>21389.64</v>
      </c>
      <c r="AS1131" s="1525">
        <f>IF(Table15[[#This Row],[PCTS Approved]]="N",0,Table15[[#This Row],[Investment Amount (1'#'#'#'#'#)]]+Table15[[#This Row],[Retirement Amount (3'#'#'#'#'#)]])</f>
        <v>482460.87</v>
      </c>
      <c r="AT1131" s="1525">
        <f>IF(Table15[[#This Row],[Approved Construction Cost]]=0,0,Table15[[#This Row],[Approved Construction Cost]]-Table15[[#This Row],[Construction Cost to Bill From]])</f>
        <v>52529.649999999965</v>
      </c>
      <c r="AU1131" s="1525">
        <f>IFERROR(Table15[[#This Row],[Difference in Construction Cost]]*Table15[[#This Row],[Rate]],Table15[[#This Row],[Difference in Construction Cost]]*0.085)</f>
        <v>5252.9649999999965</v>
      </c>
      <c r="AV1131" s="1525">
        <v>0</v>
      </c>
      <c r="AW1131" s="1526" t="s">
        <v>6195</v>
      </c>
      <c r="AX1131" s="1525">
        <f>Table15[[#This Row],[Reconcile Amount]]</f>
        <v>5252.9649999999965</v>
      </c>
      <c r="AY1131" s="1518">
        <v>45901</v>
      </c>
      <c r="AZ1131" s="333">
        <v>126</v>
      </c>
      <c r="BA1131" s="642" t="s">
        <v>1728</v>
      </c>
      <c r="BB1131" s="671" t="s">
        <v>854</v>
      </c>
      <c r="BC1131" s="544" t="s">
        <v>115</v>
      </c>
      <c r="BD1131" s="554" t="s">
        <v>862</v>
      </c>
      <c r="BE1131" s="588" t="s">
        <v>855</v>
      </c>
      <c r="BF1131" s="588" t="s">
        <v>115</v>
      </c>
      <c r="BG1131" s="548" t="s">
        <v>1724</v>
      </c>
      <c r="BH1131" s="615" t="s">
        <v>1729</v>
      </c>
      <c r="BI1131" s="547" t="s">
        <v>709</v>
      </c>
      <c r="BJ1131" s="549" t="s">
        <v>709</v>
      </c>
      <c r="BK1131" s="547" t="s">
        <v>709</v>
      </c>
      <c r="BL1131" s="547" t="s">
        <v>116</v>
      </c>
      <c r="BM1131" s="626" t="s">
        <v>709</v>
      </c>
      <c r="BN1131" s="549" t="s">
        <v>709</v>
      </c>
      <c r="BO1131" s="626" t="s">
        <v>709</v>
      </c>
      <c r="BP1131" s="626" t="s">
        <v>709</v>
      </c>
      <c r="BQ1131" s="549">
        <v>1301</v>
      </c>
      <c r="BR1131" s="549" t="s">
        <v>709</v>
      </c>
      <c r="BS1131" s="549">
        <v>469</v>
      </c>
      <c r="BT1131" s="549" t="s">
        <v>709</v>
      </c>
      <c r="BU1131" s="549" t="s">
        <v>709</v>
      </c>
      <c r="BV1131" s="549" t="s">
        <v>709</v>
      </c>
      <c r="BW1131" s="549" t="s">
        <v>709</v>
      </c>
      <c r="BX1131" s="547" t="s">
        <v>709</v>
      </c>
      <c r="BY1131" s="549" t="s">
        <v>709</v>
      </c>
      <c r="BZ1131" s="547" t="s">
        <v>709</v>
      </c>
      <c r="CA1131" s="483"/>
      <c r="CB1131" s="547">
        <v>1129</v>
      </c>
      <c r="CC1131" s="1481" t="b">
        <v>1</v>
      </c>
      <c r="CD1131" t="str">
        <f>Table15[[#This Row],[Engineering Number]]&amp;Table15[[#This Row],[WO Number]]&amp;Table15[[#This Row],[Date Assigned to Designer]]&amp;Table15[[#This Row],[Date Completed]]</f>
        <v>SC17680-113134324519145348</v>
      </c>
    </row>
    <row r="1132" spans="1:82" customFormat="1" ht="15" customHeight="1" x14ac:dyDescent="0.25">
      <c r="A1132">
        <v>2023</v>
      </c>
      <c r="B1132" s="8" t="s">
        <v>4</v>
      </c>
      <c r="C1132" s="8" t="s">
        <v>865</v>
      </c>
      <c r="D1132" s="8" t="s">
        <v>866</v>
      </c>
      <c r="E1132" s="8" t="s">
        <v>867</v>
      </c>
      <c r="F1132" s="8" t="s">
        <v>851</v>
      </c>
      <c r="G1132" s="8" t="s">
        <v>28</v>
      </c>
      <c r="H1132" s="8" t="s">
        <v>4189</v>
      </c>
      <c r="I1132" s="642">
        <v>45344</v>
      </c>
      <c r="J1132" s="175" t="s">
        <v>2052</v>
      </c>
      <c r="K1132" s="97">
        <v>45349</v>
      </c>
      <c r="L1132" s="16">
        <f>IF(ISTEXT(Table15[[#This Row],[Engineering Approved Design Date]]),Table15[[#This Row],[Date Completed]]-Table15[[#This Row],[Date Assigned to Designer]],Table15[[#This Row],[Engineering Approved Design Date]]-Table15[[#This Row],[Date Completed]])</f>
        <v>5</v>
      </c>
      <c r="M1132" s="642" t="s">
        <v>6198</v>
      </c>
      <c r="N1132" s="642" t="s">
        <v>120</v>
      </c>
      <c r="O1132" s="1060">
        <v>45352</v>
      </c>
      <c r="P1132" s="1152" t="s">
        <v>739</v>
      </c>
      <c r="Q1132" s="1061">
        <f>Table15[[#This Row],[Shactee Effort]]+Table15[[#This Row],[KH Hourly Effort]]</f>
        <v>1332.5</v>
      </c>
      <c r="R1132" s="1026" t="s">
        <v>1922</v>
      </c>
      <c r="S1132" s="538">
        <v>0</v>
      </c>
      <c r="T1132" s="538">
        <v>0</v>
      </c>
      <c r="U1132" s="87">
        <v>1332.5</v>
      </c>
      <c r="V1132" s="857"/>
      <c r="W1132" s="440"/>
      <c r="X1132" s="538"/>
      <c r="Y1132" s="551"/>
      <c r="Z1132" s="538"/>
      <c r="AA1132" s="552"/>
      <c r="AB1132" s="341" t="s">
        <v>29</v>
      </c>
      <c r="AC1132" s="569" t="s">
        <v>29</v>
      </c>
      <c r="AD1132" s="1149" t="s">
        <v>116</v>
      </c>
      <c r="AE1132" s="568" t="s">
        <v>116</v>
      </c>
      <c r="AF1132" s="568" t="s">
        <v>116</v>
      </c>
      <c r="AG1132" s="183" t="s">
        <v>29</v>
      </c>
      <c r="AH1132" s="183">
        <v>45447</v>
      </c>
      <c r="AI1132" s="1036"/>
      <c r="AJ1132" s="1037"/>
      <c r="AK1132" s="1037"/>
      <c r="AL1132" s="1038"/>
      <c r="AM1132" s="542" t="s">
        <v>709</v>
      </c>
      <c r="AN1132" s="924"/>
      <c r="AO1132" s="925"/>
      <c r="AP1132" s="926"/>
      <c r="AQ1132" s="926"/>
      <c r="AR1132" s="926"/>
      <c r="AS1132" s="926"/>
      <c r="AT1132" s="926"/>
      <c r="AU1132" s="926"/>
      <c r="AV1132" s="926"/>
      <c r="AW1132" s="927"/>
      <c r="AX1132" s="926"/>
      <c r="AY1132" s="1538" t="s">
        <v>29</v>
      </c>
      <c r="AZ1132" s="1530"/>
      <c r="BA1132" s="1098" t="s">
        <v>5156</v>
      </c>
      <c r="BB1132" s="644" t="s">
        <v>6199</v>
      </c>
      <c r="BC1132" s="559"/>
      <c r="BD1132" s="554"/>
      <c r="BE1132" s="588"/>
      <c r="BF1132" s="588"/>
      <c r="BG1132" s="548"/>
      <c r="BH1132" s="615" t="s">
        <v>6200</v>
      </c>
      <c r="BI1132" s="547" t="s">
        <v>709</v>
      </c>
      <c r="BJ1132" s="547" t="s">
        <v>709</v>
      </c>
      <c r="BK1132" s="547" t="s">
        <v>709</v>
      </c>
      <c r="BL1132" s="547" t="s">
        <v>116</v>
      </c>
      <c r="BM1132" s="547" t="s">
        <v>709</v>
      </c>
      <c r="BN1132" s="547" t="s">
        <v>709</v>
      </c>
      <c r="BO1132" s="547" t="s">
        <v>709</v>
      </c>
      <c r="BP1132" s="547" t="s">
        <v>709</v>
      </c>
      <c r="BQ1132" s="547" t="s">
        <v>709</v>
      </c>
      <c r="BR1132" s="547">
        <v>462</v>
      </c>
      <c r="BS1132" s="547" t="s">
        <v>709</v>
      </c>
      <c r="BT1132" s="547" t="s">
        <v>709</v>
      </c>
      <c r="BU1132" s="547" t="s">
        <v>709</v>
      </c>
      <c r="BV1132" s="547" t="s">
        <v>709</v>
      </c>
      <c r="BW1132" s="547" t="s">
        <v>709</v>
      </c>
      <c r="BX1132" s="547" t="s">
        <v>709</v>
      </c>
      <c r="BY1132" s="547" t="s">
        <v>709</v>
      </c>
      <c r="BZ1132" s="547" t="s">
        <v>709</v>
      </c>
      <c r="CA1132" s="483"/>
      <c r="CB1132" s="547">
        <v>1130</v>
      </c>
      <c r="CC1132" s="1481" t="b">
        <v>1</v>
      </c>
      <c r="CD1132" t="str">
        <f>Table15[[#This Row],[Engineering Number]]&amp;Table15[[#This Row],[WO Number]]&amp;Table15[[#This Row],[Date Assigned to Designer]]&amp;Table15[[#This Row],[Date Completed]]</f>
        <v>SC2222913133314534445349</v>
      </c>
    </row>
    <row r="1133" spans="1:82" customFormat="1" ht="15" customHeight="1" x14ac:dyDescent="0.25">
      <c r="A1133">
        <v>2024</v>
      </c>
      <c r="B1133" s="8" t="s">
        <v>771</v>
      </c>
      <c r="C1133" s="8" t="s">
        <v>885</v>
      </c>
      <c r="D1133" s="8">
        <v>1312060</v>
      </c>
      <c r="E1133" s="8" t="s">
        <v>887</v>
      </c>
      <c r="F1133" s="8" t="s">
        <v>784</v>
      </c>
      <c r="G1133" s="8" t="s">
        <v>36</v>
      </c>
      <c r="H1133" s="8" t="s">
        <v>4189</v>
      </c>
      <c r="I1133" s="642">
        <v>45308</v>
      </c>
      <c r="J1133" s="175" t="s">
        <v>2052</v>
      </c>
      <c r="K1133" s="97">
        <v>45350</v>
      </c>
      <c r="L1133" s="16">
        <f>IF(ISTEXT(Table15[[#This Row],[Engineering Approved Design Date]]),Table15[[#This Row],[Date Completed]]-Table15[[#This Row],[Date Assigned to Designer]],Table15[[#This Row],[Engineering Approved Design Date]]-Table15[[#This Row],[Date Completed]])</f>
        <v>42</v>
      </c>
      <c r="M1133" s="642" t="s">
        <v>6202</v>
      </c>
      <c r="N1133" s="642" t="s">
        <v>120</v>
      </c>
      <c r="O1133" s="1060">
        <v>45352</v>
      </c>
      <c r="P1133" s="1152" t="s">
        <v>120</v>
      </c>
      <c r="Q1133" s="1061">
        <f>Table15[[#This Row],[Shactee Effort]]+Table15[[#This Row],[KH Hourly Effort]]</f>
        <v>4252.5</v>
      </c>
      <c r="R1133" s="1026" t="s">
        <v>1922</v>
      </c>
      <c r="S1133" s="538">
        <v>0</v>
      </c>
      <c r="T1133" s="538">
        <v>0</v>
      </c>
      <c r="U1133" s="87">
        <v>4252.5</v>
      </c>
      <c r="V1133" s="857"/>
      <c r="W1133" s="440"/>
      <c r="X1133" s="556"/>
      <c r="Y1133" s="550"/>
      <c r="Z1133" s="556"/>
      <c r="AA1133" s="552"/>
      <c r="AB1133" s="341"/>
      <c r="AC1133" s="569"/>
      <c r="AD1133" s="1149" t="s">
        <v>116</v>
      </c>
      <c r="AE1133" s="568"/>
      <c r="AF1133" s="568"/>
      <c r="AG1133" s="569"/>
      <c r="AH1133" s="183"/>
      <c r="AI1133" s="1028"/>
      <c r="AJ1133" s="1029"/>
      <c r="AK1133" s="1029"/>
      <c r="AL1133" s="1030"/>
      <c r="AM1133" s="542" t="s">
        <v>709</v>
      </c>
      <c r="AN1133" s="924"/>
      <c r="AO1133" s="925"/>
      <c r="AP1133" s="926"/>
      <c r="AQ1133" s="926"/>
      <c r="AR1133" s="926"/>
      <c r="AS1133" s="926"/>
      <c r="AT1133" s="926"/>
      <c r="AU1133" s="926"/>
      <c r="AV1133" s="926"/>
      <c r="AW1133" s="927"/>
      <c r="AX1133" s="926"/>
      <c r="AY1133" s="1538" t="s">
        <v>29</v>
      </c>
      <c r="AZ1133" s="1530"/>
      <c r="BA1133" s="1098">
        <v>4</v>
      </c>
      <c r="BB1133" s="644" t="s">
        <v>6203</v>
      </c>
      <c r="BC1133" s="559"/>
      <c r="BD1133" s="554"/>
      <c r="BE1133" s="588"/>
      <c r="BF1133" s="588"/>
      <c r="BG1133" s="548"/>
      <c r="BH1133" s="615" t="s">
        <v>6204</v>
      </c>
      <c r="BI1133" s="547" t="s">
        <v>709</v>
      </c>
      <c r="BJ1133" s="547" t="s">
        <v>709</v>
      </c>
      <c r="BK1133" s="547" t="s">
        <v>709</v>
      </c>
      <c r="BL1133" s="547" t="s">
        <v>116</v>
      </c>
      <c r="BM1133" s="547" t="s">
        <v>709</v>
      </c>
      <c r="BN1133" s="547" t="s">
        <v>709</v>
      </c>
      <c r="BO1133" s="547" t="s">
        <v>709</v>
      </c>
      <c r="BP1133" s="547" t="s">
        <v>709</v>
      </c>
      <c r="BQ1133" s="547" t="s">
        <v>709</v>
      </c>
      <c r="BR1133" s="547">
        <v>136</v>
      </c>
      <c r="BS1133" s="547">
        <v>644</v>
      </c>
      <c r="BT1133" s="547" t="s">
        <v>745</v>
      </c>
      <c r="BU1133" s="547" t="s">
        <v>709</v>
      </c>
      <c r="BV1133" s="547" t="s">
        <v>709</v>
      </c>
      <c r="BW1133" s="547" t="s">
        <v>709</v>
      </c>
      <c r="BX1133" s="547" t="s">
        <v>745</v>
      </c>
      <c r="BY1133" s="547" t="s">
        <v>745</v>
      </c>
      <c r="BZ1133" s="547" t="s">
        <v>709</v>
      </c>
      <c r="CA1133" s="483"/>
      <c r="CB1133" s="547">
        <v>1131</v>
      </c>
      <c r="CC1133" s="1481" t="b">
        <v>1</v>
      </c>
      <c r="CD1133" t="str">
        <f>Table15[[#This Row],[Engineering Number]]&amp;Table15[[#This Row],[WO Number]]&amp;Table15[[#This Row],[Date Assigned to Designer]]&amp;Table15[[#This Row],[Date Completed]]</f>
        <v>BS631-113120604530845350</v>
      </c>
    </row>
    <row r="1134" spans="1:82" customFormat="1" ht="15" customHeight="1" x14ac:dyDescent="0.25">
      <c r="A1134">
        <v>2024</v>
      </c>
      <c r="B1134" s="8" t="s">
        <v>4</v>
      </c>
      <c r="C1134" s="8" t="s">
        <v>908</v>
      </c>
      <c r="D1134" s="8" t="s">
        <v>909</v>
      </c>
      <c r="E1134" s="8" t="s">
        <v>910</v>
      </c>
      <c r="F1134" s="8" t="s">
        <v>784</v>
      </c>
      <c r="G1134" s="8" t="s">
        <v>36</v>
      </c>
      <c r="H1134" s="8" t="s">
        <v>59</v>
      </c>
      <c r="I1134" s="642">
        <v>45293</v>
      </c>
      <c r="J1134" s="18">
        <v>45359</v>
      </c>
      <c r="K1134" s="97">
        <v>45350</v>
      </c>
      <c r="L1134" s="16">
        <f>IF(ISTEXT(Table15[[#This Row],[Engineering Approved Design Date]]),Table15[[#This Row],[Date Completed]]-Table15[[#This Row],[Date Assigned to Designer]],Table15[[#This Row],[Engineering Approved Design Date]]-Table15[[#This Row],[Date Completed]])</f>
        <v>9</v>
      </c>
      <c r="M1134" s="642"/>
      <c r="N1134" s="642" t="s">
        <v>120</v>
      </c>
      <c r="O1134" s="1060">
        <v>45352</v>
      </c>
      <c r="P1134" s="1152" t="s">
        <v>739</v>
      </c>
      <c r="Q1134" s="340">
        <f>Table15[[#This Row],[Rate]]*Table15[[#This Row],[Construction Cost to Bill From]]</f>
        <v>34371.571000000004</v>
      </c>
      <c r="R1134" s="1026">
        <v>0.1</v>
      </c>
      <c r="S1134" s="538"/>
      <c r="T1134" s="538"/>
      <c r="U1134" s="87"/>
      <c r="V1134" s="858">
        <v>846</v>
      </c>
      <c r="W1134" s="437">
        <v>0</v>
      </c>
      <c r="X1134" s="556">
        <v>254263.42</v>
      </c>
      <c r="Y1134" s="595"/>
      <c r="Z1134" s="570">
        <v>89452.29</v>
      </c>
      <c r="AA1134" s="552">
        <f>Table15[[#This Row],[PCTS Retirement Amount]]+Table15[[#This Row],[PCTS Investment Amount]]</f>
        <v>343715.71</v>
      </c>
      <c r="AB1134" s="341">
        <v>45359</v>
      </c>
      <c r="AC1134" s="569" t="s">
        <v>709</v>
      </c>
      <c r="AD1134" s="1149" t="s">
        <v>29</v>
      </c>
      <c r="AE1134" s="568" t="s">
        <v>116</v>
      </c>
      <c r="AF1134" s="568" t="s">
        <v>116</v>
      </c>
      <c r="AG1134" s="183" t="s">
        <v>29</v>
      </c>
      <c r="AH1134" s="183">
        <v>45406</v>
      </c>
      <c r="AI1134" s="1109">
        <v>0</v>
      </c>
      <c r="AJ1134" s="1110">
        <v>9474</v>
      </c>
      <c r="AK1134" s="1110">
        <v>3315</v>
      </c>
      <c r="AL1134" s="1108">
        <f>SUM(Table15[[#This Row],[Nicor Initiated DBE]:[Staffing]])/(Table15[[#This Row],[Amount Invoiced]])</f>
        <v>0.37208075243345723</v>
      </c>
      <c r="AM1134" s="1522" t="s">
        <v>116</v>
      </c>
      <c r="AN1134" s="1523">
        <v>45369</v>
      </c>
      <c r="AO1134" s="1524">
        <v>11080051</v>
      </c>
      <c r="AP1134" s="1525">
        <v>254263.42</v>
      </c>
      <c r="AQ1134" s="1525"/>
      <c r="AR1134" s="1525">
        <v>89452.29</v>
      </c>
      <c r="AS1134" s="1525">
        <v>343715.71</v>
      </c>
      <c r="AT1134" s="1525">
        <v>0</v>
      </c>
      <c r="AU1134" s="1525">
        <v>0</v>
      </c>
      <c r="AV1134" s="1525">
        <v>0</v>
      </c>
      <c r="AW1134" s="1526"/>
      <c r="AX1134" s="1525">
        <v>0</v>
      </c>
      <c r="AY1134" s="1518">
        <v>45566</v>
      </c>
      <c r="AZ1134" s="333">
        <v>127</v>
      </c>
      <c r="BA1134" s="1074" t="s">
        <v>911</v>
      </c>
      <c r="BB1134" s="644" t="s">
        <v>912</v>
      </c>
      <c r="BC1134" s="544" t="s">
        <v>115</v>
      </c>
      <c r="BD1134" s="554" t="s">
        <v>115</v>
      </c>
      <c r="BE1134" s="588" t="s">
        <v>913</v>
      </c>
      <c r="BF1134" s="588" t="s">
        <v>115</v>
      </c>
      <c r="BG1134" s="588" t="s">
        <v>115</v>
      </c>
      <c r="BH1134" s="615" t="s">
        <v>914</v>
      </c>
      <c r="BI1134" s="547" t="s">
        <v>709</v>
      </c>
      <c r="BJ1134" s="549" t="s">
        <v>709</v>
      </c>
      <c r="BK1134" s="547" t="s">
        <v>709</v>
      </c>
      <c r="BL1134" s="547" t="s">
        <v>116</v>
      </c>
      <c r="BM1134" s="626" t="s">
        <v>709</v>
      </c>
      <c r="BN1134" s="549" t="s">
        <v>709</v>
      </c>
      <c r="BO1134" s="626" t="s">
        <v>709</v>
      </c>
      <c r="BP1134" s="626" t="s">
        <v>709</v>
      </c>
      <c r="BQ1134" s="549" t="s">
        <v>709</v>
      </c>
      <c r="BR1134" s="549" t="s">
        <v>709</v>
      </c>
      <c r="BS1134" s="549">
        <v>846</v>
      </c>
      <c r="BT1134" s="549" t="s">
        <v>709</v>
      </c>
      <c r="BU1134" s="549" t="s">
        <v>709</v>
      </c>
      <c r="BV1134" s="549" t="s">
        <v>709</v>
      </c>
      <c r="BW1134" s="549" t="s">
        <v>709</v>
      </c>
      <c r="BX1134" s="547" t="s">
        <v>709</v>
      </c>
      <c r="BY1134" s="549" t="s">
        <v>709</v>
      </c>
      <c r="BZ1134" s="547" t="s">
        <v>709</v>
      </c>
      <c r="CA1134" s="483" t="s">
        <v>915</v>
      </c>
      <c r="CB1134" s="547">
        <v>1132</v>
      </c>
      <c r="CC1134" s="1481" t="b">
        <v>1</v>
      </c>
      <c r="CD1134" s="879" t="str">
        <f>Table15[[#This Row],[Engineering Number]]&amp;Table15[[#This Row],[WO Number]]&amp;Table15[[#This Row],[Date Assigned to Designer]]&amp;Table15[[#This Row],[Date Completed]]</f>
        <v>N1794212135234529345350</v>
      </c>
    </row>
    <row r="1135" spans="1:82" customFormat="1" ht="15" customHeight="1" x14ac:dyDescent="0.25">
      <c r="A1135">
        <v>2024</v>
      </c>
      <c r="B1135" s="8" t="s">
        <v>759</v>
      </c>
      <c r="C1135" s="8" t="s">
        <v>336</v>
      </c>
      <c r="D1135" s="8" t="s">
        <v>5222</v>
      </c>
      <c r="E1135" s="8" t="s">
        <v>305</v>
      </c>
      <c r="F1135" s="8" t="s">
        <v>752</v>
      </c>
      <c r="G1135" s="8" t="s">
        <v>32</v>
      </c>
      <c r="H1135" s="8" t="s">
        <v>4189</v>
      </c>
      <c r="I1135" s="642">
        <v>45338</v>
      </c>
      <c r="J1135" s="175" t="s">
        <v>2052</v>
      </c>
      <c r="K1135" s="97">
        <v>45351</v>
      </c>
      <c r="L1135" s="16">
        <f>IF(ISTEXT(Table15[[#This Row],[Engineering Approved Design Date]]),Table15[[#This Row],[Date Completed]]-Table15[[#This Row],[Date Assigned to Designer]],Table15[[#This Row],[Engineering Approved Design Date]]-Table15[[#This Row],[Date Completed]])</f>
        <v>13</v>
      </c>
      <c r="M1135" s="16" t="s">
        <v>6207</v>
      </c>
      <c r="N1135" s="642" t="s">
        <v>120</v>
      </c>
      <c r="O1135" s="1060">
        <v>45352</v>
      </c>
      <c r="P1135" s="1152" t="s">
        <v>120</v>
      </c>
      <c r="Q1135" s="1061">
        <f>Table15[[#This Row],[Shactee Effort]]+Table15[[#This Row],[KH Hourly Effort]]</f>
        <v>9062.5</v>
      </c>
      <c r="R1135" s="1039" t="s">
        <v>1922</v>
      </c>
      <c r="S1135" s="538">
        <v>0</v>
      </c>
      <c r="T1135" s="538">
        <v>0</v>
      </c>
      <c r="U1135" s="1114">
        <v>9062.5</v>
      </c>
      <c r="V1135" s="857"/>
      <c r="W1135" s="440"/>
      <c r="X1135" s="538"/>
      <c r="Y1135" s="551"/>
      <c r="Z1135" s="538"/>
      <c r="AA1135" s="552"/>
      <c r="AB1135" s="341"/>
      <c r="AC1135" s="569"/>
      <c r="AD1135" s="1149" t="s">
        <v>29</v>
      </c>
      <c r="AE1135" s="569" t="s">
        <v>756</v>
      </c>
      <c r="AF1135" s="569" t="s">
        <v>756</v>
      </c>
      <c r="AG1135" s="569" t="s">
        <v>29</v>
      </c>
      <c r="AH1135" s="536" t="s">
        <v>709</v>
      </c>
      <c r="AI1135" s="1028"/>
      <c r="AJ1135" s="1029"/>
      <c r="AK1135" s="1029"/>
      <c r="AL1135" s="1030"/>
      <c r="AM1135" s="542" t="s">
        <v>709</v>
      </c>
      <c r="AN1135" s="924"/>
      <c r="AO1135" s="925"/>
      <c r="AP1135" s="926"/>
      <c r="AQ1135" s="926"/>
      <c r="AR1135" s="926"/>
      <c r="AS1135" s="926"/>
      <c r="AT1135" s="926"/>
      <c r="AU1135" s="926"/>
      <c r="AV1135" s="926"/>
      <c r="AW1135" s="927"/>
      <c r="AX1135" s="926"/>
      <c r="AY1135" s="1538" t="s">
        <v>29</v>
      </c>
      <c r="AZ1135" s="1530"/>
      <c r="BA1135" s="1031" t="s">
        <v>4919</v>
      </c>
      <c r="BB1135" s="653" t="s">
        <v>6208</v>
      </c>
      <c r="BC1135" s="544"/>
      <c r="BD1135" s="544"/>
      <c r="BE1135" s="544"/>
      <c r="BF1135" s="544"/>
      <c r="BG1135" s="544"/>
      <c r="BH1135" s="749" t="s">
        <v>6209</v>
      </c>
      <c r="BI1135" s="549" t="s">
        <v>709</v>
      </c>
      <c r="BJ1135" s="549" t="s">
        <v>709</v>
      </c>
      <c r="BK1135" s="549" t="s">
        <v>116</v>
      </c>
      <c r="BL1135" s="549" t="s">
        <v>116</v>
      </c>
      <c r="BM1135" s="549">
        <v>0</v>
      </c>
      <c r="BN1135" s="549">
        <v>0</v>
      </c>
      <c r="BO1135" s="547">
        <v>0</v>
      </c>
      <c r="BP1135" s="549">
        <v>144</v>
      </c>
      <c r="BQ1135" s="549">
        <v>73</v>
      </c>
      <c r="BR1135" s="549">
        <v>45</v>
      </c>
      <c r="BS1135" s="549">
        <v>5</v>
      </c>
      <c r="BT1135" s="549">
        <v>1</v>
      </c>
      <c r="BU1135" s="549">
        <v>0</v>
      </c>
      <c r="BV1135" s="547">
        <v>0</v>
      </c>
      <c r="BW1135" s="549">
        <v>1</v>
      </c>
      <c r="BX1135" s="549">
        <v>1</v>
      </c>
      <c r="BY1135" s="547">
        <v>0</v>
      </c>
      <c r="BZ1135" s="547" t="s">
        <v>709</v>
      </c>
      <c r="CA1135" s="484"/>
      <c r="CB1135" s="547">
        <v>1133</v>
      </c>
      <c r="CC1135" s="1481" t="b">
        <v>1</v>
      </c>
      <c r="CD1135" s="879" t="str">
        <f>Table15[[#This Row],[Engineering Number]]&amp;Table15[[#This Row],[WO Number]]&amp;Table15[[#This Row],[Date Assigned to Designer]]&amp;Table15[[#This Row],[Date Completed]]</f>
        <v>RS94110119134533845351</v>
      </c>
    </row>
    <row r="1136" spans="1:82" customFormat="1" ht="15" customHeight="1" x14ac:dyDescent="0.25">
      <c r="A1136">
        <v>2024</v>
      </c>
      <c r="B1136" s="8" t="s">
        <v>4</v>
      </c>
      <c r="C1136" s="8" t="s">
        <v>988</v>
      </c>
      <c r="D1136" s="8" t="s">
        <v>989</v>
      </c>
      <c r="E1136" s="8" t="s">
        <v>354</v>
      </c>
      <c r="F1136" s="8" t="s">
        <v>784</v>
      </c>
      <c r="G1136" s="8" t="s">
        <v>35</v>
      </c>
      <c r="H1136" s="8" t="s">
        <v>59</v>
      </c>
      <c r="I1136" s="642">
        <v>45293</v>
      </c>
      <c r="J1136" s="18">
        <v>45357</v>
      </c>
      <c r="K1136" s="97">
        <v>45357</v>
      </c>
      <c r="L1136" s="16">
        <f>IF(ISTEXT(Table15[[#This Row],[Engineering Approved Design Date]]),Table15[[#This Row],[Date Completed]]-Table15[[#This Row],[Date Assigned to Designer]],Table15[[#This Row],[Engineering Approved Design Date]]-Table15[[#This Row],[Date Completed]])</f>
        <v>0</v>
      </c>
      <c r="M1136" s="642"/>
      <c r="N1136" s="642" t="s">
        <v>120</v>
      </c>
      <c r="O1136" s="1060">
        <v>45352</v>
      </c>
      <c r="P1136" s="1152" t="s">
        <v>739</v>
      </c>
      <c r="Q1136" s="340">
        <f>Table15[[#This Row],[Rate]]*Table15[[#This Row],[Construction Cost to Bill From]]</f>
        <v>135052.08799999999</v>
      </c>
      <c r="R1136" s="1026">
        <v>0.1</v>
      </c>
      <c r="S1136" s="538"/>
      <c r="T1136" s="538"/>
      <c r="U1136" s="87"/>
      <c r="V1136" s="858">
        <v>1129</v>
      </c>
      <c r="W1136" s="437">
        <v>0</v>
      </c>
      <c r="X1136" s="556">
        <v>942013.64</v>
      </c>
      <c r="Y1136" s="595"/>
      <c r="Z1136" s="570">
        <v>408507.24</v>
      </c>
      <c r="AA1136" s="552">
        <f>Table15[[#This Row],[PCTS Retirement Amount]]+Table15[[#This Row],[PCTS Investment Amount]]</f>
        <v>1350520.88</v>
      </c>
      <c r="AB1136" s="341">
        <v>45359</v>
      </c>
      <c r="AC1136" s="569" t="s">
        <v>116</v>
      </c>
      <c r="AD1136" s="1149" t="s">
        <v>29</v>
      </c>
      <c r="AE1136" s="568" t="s">
        <v>116</v>
      </c>
      <c r="AF1136" s="568" t="s">
        <v>116</v>
      </c>
      <c r="AG1136" s="183" t="s">
        <v>376</v>
      </c>
      <c r="AH1136" s="183">
        <v>45406</v>
      </c>
      <c r="AI1136" s="1028">
        <v>0</v>
      </c>
      <c r="AJ1136" s="1029">
        <v>9990</v>
      </c>
      <c r="AK1136" s="1029">
        <v>14813.5</v>
      </c>
      <c r="AL1136" s="1030">
        <f>SUM(Table15[[#This Row],[Nicor Initiated DBE]:[Staffing]])/(Table15[[#This Row],[Amount Invoiced]])</f>
        <v>0.18365876727503838</v>
      </c>
      <c r="AM1136" s="1522" t="s">
        <v>116</v>
      </c>
      <c r="AN1136" s="1523">
        <v>45406</v>
      </c>
      <c r="AO1136" s="1524">
        <v>11080859</v>
      </c>
      <c r="AP1136" s="1525">
        <v>940384.55</v>
      </c>
      <c r="AQ1136" s="1525"/>
      <c r="AR1136" s="1525">
        <v>417182.09</v>
      </c>
      <c r="AS1136" s="1525">
        <v>1357566.6400000001</v>
      </c>
      <c r="AT1136" s="1525">
        <v>7045.7600000002421</v>
      </c>
      <c r="AU1136" s="1525">
        <v>704.57600000002424</v>
      </c>
      <c r="AV1136" s="1525">
        <v>0</v>
      </c>
      <c r="AW1136" s="1526" t="s">
        <v>990</v>
      </c>
      <c r="AX1136" s="1525">
        <v>704.58</v>
      </c>
      <c r="AY1136" s="1518">
        <v>45566</v>
      </c>
      <c r="AZ1136" s="333">
        <v>128</v>
      </c>
      <c r="BA1136" s="1074" t="s">
        <v>991</v>
      </c>
      <c r="BB1136" s="644" t="s">
        <v>986</v>
      </c>
      <c r="BC1136" s="559" t="s">
        <v>992</v>
      </c>
      <c r="BD1136" s="554" t="s">
        <v>743</v>
      </c>
      <c r="BE1136" s="588" t="s">
        <v>588</v>
      </c>
      <c r="BF1136" s="588" t="s">
        <v>588</v>
      </c>
      <c r="BG1136" s="588" t="s">
        <v>115</v>
      </c>
      <c r="BH1136" s="615" t="s">
        <v>993</v>
      </c>
      <c r="BI1136" s="547" t="s">
        <v>709</v>
      </c>
      <c r="BJ1136" s="549" t="s">
        <v>709</v>
      </c>
      <c r="BK1136" s="547" t="s">
        <v>709</v>
      </c>
      <c r="BL1136" s="547" t="s">
        <v>116</v>
      </c>
      <c r="BM1136" s="626" t="s">
        <v>709</v>
      </c>
      <c r="BN1136" s="549">
        <v>254</v>
      </c>
      <c r="BO1136" s="626" t="s">
        <v>709</v>
      </c>
      <c r="BP1136" s="626" t="s">
        <v>709</v>
      </c>
      <c r="BQ1136" s="549" t="s">
        <v>709</v>
      </c>
      <c r="BR1136" s="549">
        <v>55</v>
      </c>
      <c r="BS1136" s="549">
        <v>820</v>
      </c>
      <c r="BT1136" s="549" t="s">
        <v>745</v>
      </c>
      <c r="BU1136" s="549" t="s">
        <v>709</v>
      </c>
      <c r="BV1136" s="549" t="s">
        <v>745</v>
      </c>
      <c r="BW1136" s="549" t="s">
        <v>709</v>
      </c>
      <c r="BX1136" s="547" t="s">
        <v>745</v>
      </c>
      <c r="BY1136" s="549" t="s">
        <v>745</v>
      </c>
      <c r="BZ1136" s="547" t="s">
        <v>709</v>
      </c>
      <c r="CA1136" s="483"/>
      <c r="CB1136" s="547">
        <v>1135</v>
      </c>
      <c r="CC1136" s="1481" t="b">
        <v>1</v>
      </c>
      <c r="CD1136" s="879" t="str">
        <f>Table15[[#This Row],[Engineering Number]]&amp;Table15[[#This Row],[WO Number]]&amp;Table15[[#This Row],[Date Assigned to Designer]]&amp;Table15[[#This Row],[Date Completed]]</f>
        <v>N1360112135974529345357</v>
      </c>
    </row>
    <row r="1137" spans="1:82" customFormat="1" ht="15" customHeight="1" x14ac:dyDescent="0.25">
      <c r="A1137">
        <v>2024</v>
      </c>
      <c r="B1137" s="8" t="s">
        <v>4</v>
      </c>
      <c r="C1137" s="8" t="s">
        <v>1730</v>
      </c>
      <c r="D1137" s="8" t="s">
        <v>1731</v>
      </c>
      <c r="E1137" s="8" t="s">
        <v>818</v>
      </c>
      <c r="F1137" s="8" t="s">
        <v>851</v>
      </c>
      <c r="G1137" s="8" t="s">
        <v>35</v>
      </c>
      <c r="H1137" s="8" t="s">
        <v>59</v>
      </c>
      <c r="I1137" s="642">
        <v>45293</v>
      </c>
      <c r="J1137" s="18">
        <v>45401</v>
      </c>
      <c r="K1137" s="97">
        <v>45357</v>
      </c>
      <c r="L1137" s="16">
        <f>IF(ISTEXT(Table15[[#This Row],[Engineering Approved Design Date]]),Table15[[#This Row],[Date Completed]]-Table15[[#This Row],[Date Assigned to Designer]],Table15[[#This Row],[Engineering Approved Design Date]]-Table15[[#This Row],[Date Completed]])</f>
        <v>44</v>
      </c>
      <c r="M1137" s="642"/>
      <c r="N1137" s="642" t="s">
        <v>120</v>
      </c>
      <c r="O1137" s="1060">
        <v>45352</v>
      </c>
      <c r="P1137" s="1152" t="s">
        <v>739</v>
      </c>
      <c r="Q1137" s="340">
        <f>Table15[[#This Row],[Rate]]*Table15[[#This Row],[Construction Cost to Bill From]]</f>
        <v>18737.776999999998</v>
      </c>
      <c r="R1137" s="1026">
        <v>0.1</v>
      </c>
      <c r="S1137" s="538"/>
      <c r="T1137" s="538"/>
      <c r="U1137" s="87"/>
      <c r="V1137" s="858">
        <v>247</v>
      </c>
      <c r="W1137" s="437">
        <v>0</v>
      </c>
      <c r="X1137" s="556">
        <v>163426.01999999999</v>
      </c>
      <c r="Y1137" s="595"/>
      <c r="Z1137" s="570">
        <v>23951.75</v>
      </c>
      <c r="AA1137" s="552">
        <f>Table15[[#This Row],[PCTS Retirement Amount]]+Table15[[#This Row],[PCTS Investment Amount]]</f>
        <v>187377.77</v>
      </c>
      <c r="AB1137" s="341">
        <v>45370</v>
      </c>
      <c r="AC1137" s="569" t="s">
        <v>709</v>
      </c>
      <c r="AD1137" s="1149" t="s">
        <v>29</v>
      </c>
      <c r="AE1137" s="568" t="s">
        <v>756</v>
      </c>
      <c r="AF1137" s="568" t="s">
        <v>29</v>
      </c>
      <c r="AG1137" s="183" t="s">
        <v>376</v>
      </c>
      <c r="AH1137" s="1120">
        <v>45406</v>
      </c>
      <c r="AI1137" s="1028">
        <v>0</v>
      </c>
      <c r="AJ1137" s="1029">
        <v>0</v>
      </c>
      <c r="AK1137" s="1029">
        <v>4399</v>
      </c>
      <c r="AL1137" s="1030">
        <f>SUM(Table15[[#This Row],[Nicor Initiated DBE]:[Staffing]])/(Table15[[#This Row],[Amount Invoiced]])</f>
        <v>0.23476637596871819</v>
      </c>
      <c r="AM1137" s="1522" t="s">
        <v>116</v>
      </c>
      <c r="AN1137" s="1523">
        <v>45553</v>
      </c>
      <c r="AO1137" s="1524">
        <v>11090968</v>
      </c>
      <c r="AP1137" s="1525">
        <v>165598.39999999999</v>
      </c>
      <c r="AQ1137" s="1525"/>
      <c r="AR1137" s="1525">
        <v>24994.65</v>
      </c>
      <c r="AS1137" s="1525">
        <f>IF(Table15[[#This Row],[PCTS Approved]]="N",0,Table15[[#This Row],[Investment Amount (1'#'#'#'#'#)]]+Table15[[#This Row],[Retirement Amount (3'#'#'#'#'#)]])</f>
        <v>190593.05</v>
      </c>
      <c r="AT1137" s="1525">
        <f>IF(Table15[[#This Row],[Approved Construction Cost]]=0,0,Table15[[#This Row],[Approved Construction Cost]]-Table15[[#This Row],[Construction Cost to Bill From]])</f>
        <v>3215.2799999999988</v>
      </c>
      <c r="AU1137" s="1525">
        <f>IFERROR(Table15[[#This Row],[Difference in Construction Cost]]*Table15[[#This Row],[Rate]],Table15[[#This Row],[Difference in Construction Cost]]*0.085)</f>
        <v>321.52799999999991</v>
      </c>
      <c r="AV1137" s="1525">
        <v>0</v>
      </c>
      <c r="AW1137" s="1526" t="s">
        <v>6089</v>
      </c>
      <c r="AX1137" s="1525">
        <f>Table15[[#This Row],[Reconcile Amount]]</f>
        <v>321.52799999999991</v>
      </c>
      <c r="AY1137" s="1518">
        <v>45901</v>
      </c>
      <c r="AZ1137" s="333">
        <v>129</v>
      </c>
      <c r="BA1137" s="1074" t="s">
        <v>1732</v>
      </c>
      <c r="BB1137" s="644" t="s">
        <v>1733</v>
      </c>
      <c r="BC1137" s="544" t="s">
        <v>115</v>
      </c>
      <c r="BD1137" s="554" t="s">
        <v>115</v>
      </c>
      <c r="BE1137" s="588" t="s">
        <v>822</v>
      </c>
      <c r="BF1137" s="588" t="s">
        <v>115</v>
      </c>
      <c r="BG1137" s="588" t="s">
        <v>115</v>
      </c>
      <c r="BH1137" s="615" t="s">
        <v>1734</v>
      </c>
      <c r="BI1137" s="547" t="s">
        <v>709</v>
      </c>
      <c r="BJ1137" s="549" t="s">
        <v>709</v>
      </c>
      <c r="BK1137" s="547" t="s">
        <v>709</v>
      </c>
      <c r="BL1137" s="547" t="s">
        <v>709</v>
      </c>
      <c r="BM1137" s="626" t="s">
        <v>709</v>
      </c>
      <c r="BN1137" s="549" t="s">
        <v>709</v>
      </c>
      <c r="BO1137" s="626" t="s">
        <v>709</v>
      </c>
      <c r="BP1137" s="626" t="s">
        <v>709</v>
      </c>
      <c r="BQ1137" s="549" t="s">
        <v>709</v>
      </c>
      <c r="BR1137" s="549" t="s">
        <v>709</v>
      </c>
      <c r="BS1137" s="549">
        <v>247</v>
      </c>
      <c r="BT1137" s="549" t="s">
        <v>745</v>
      </c>
      <c r="BU1137" s="549" t="s">
        <v>709</v>
      </c>
      <c r="BV1137" s="549" t="s">
        <v>745</v>
      </c>
      <c r="BW1137" s="549" t="s">
        <v>709</v>
      </c>
      <c r="BX1137" s="547" t="s">
        <v>745</v>
      </c>
      <c r="BY1137" s="549" t="s">
        <v>745</v>
      </c>
      <c r="BZ1137" s="547" t="s">
        <v>709</v>
      </c>
      <c r="CA1137" s="483"/>
      <c r="CB1137" s="547">
        <v>1134</v>
      </c>
      <c r="CC1137" s="1481" t="b">
        <v>1</v>
      </c>
      <c r="CD1137" s="879" t="str">
        <f>Table15[[#This Row],[Engineering Number]]&amp;Table15[[#This Row],[WO Number]]&amp;Table15[[#This Row],[Date Assigned to Designer]]&amp;Table15[[#This Row],[Date Completed]]</f>
        <v>SC2354813135994529345357</v>
      </c>
    </row>
    <row r="1138" spans="1:82" customFormat="1" ht="15" customHeight="1" x14ac:dyDescent="0.25">
      <c r="A1138">
        <v>2024</v>
      </c>
      <c r="B1138" s="8" t="s">
        <v>1205</v>
      </c>
      <c r="C1138" s="8" t="s">
        <v>1735</v>
      </c>
      <c r="D1138" s="8" t="s">
        <v>1736</v>
      </c>
      <c r="E1138" s="8" t="s">
        <v>818</v>
      </c>
      <c r="F1138" s="8" t="s">
        <v>851</v>
      </c>
      <c r="G1138" s="8" t="s">
        <v>36</v>
      </c>
      <c r="H1138" s="8" t="s">
        <v>59</v>
      </c>
      <c r="I1138" s="642">
        <v>45307</v>
      </c>
      <c r="J1138" s="18">
        <v>45377</v>
      </c>
      <c r="K1138" s="97">
        <v>45358</v>
      </c>
      <c r="L1138" s="16">
        <f>IF(ISTEXT(Table15[[#This Row],[Engineering Approved Design Date]]),Table15[[#This Row],[Date Completed]]-Table15[[#This Row],[Date Assigned to Designer]],Table15[[#This Row],[Engineering Approved Design Date]]-Table15[[#This Row],[Date Completed]])</f>
        <v>19</v>
      </c>
      <c r="M1138" s="642"/>
      <c r="N1138" s="642" t="s">
        <v>120</v>
      </c>
      <c r="O1138" s="1060">
        <v>45352</v>
      </c>
      <c r="P1138" s="1152" t="s">
        <v>739</v>
      </c>
      <c r="Q1138" s="340">
        <f>Table15[[#This Row],[Rate]]*Table15[[#This Row],[Construction Cost to Bill From]]</f>
        <v>18967.2948</v>
      </c>
      <c r="R1138" s="1026">
        <v>0.09</v>
      </c>
      <c r="S1138" s="538"/>
      <c r="T1138" s="538"/>
      <c r="U1138" s="87"/>
      <c r="V1138" s="858">
        <v>1051</v>
      </c>
      <c r="W1138" s="437">
        <v>0</v>
      </c>
      <c r="X1138" s="556">
        <v>210747.72</v>
      </c>
      <c r="Y1138" s="595">
        <v>0</v>
      </c>
      <c r="Z1138" s="570">
        <v>0</v>
      </c>
      <c r="AA1138" s="552">
        <f>Table15[[#This Row],[PCTS Retirement Amount]]+Table15[[#This Row],[PCTS Investment Amount]]</f>
        <v>210747.72</v>
      </c>
      <c r="AB1138" s="341">
        <v>45370</v>
      </c>
      <c r="AC1138" s="569" t="s">
        <v>709</v>
      </c>
      <c r="AD1138" s="1149" t="s">
        <v>116</v>
      </c>
      <c r="AE1138" s="568" t="s">
        <v>116</v>
      </c>
      <c r="AF1138" s="568" t="s">
        <v>116</v>
      </c>
      <c r="AG1138" s="569" t="s">
        <v>116</v>
      </c>
      <c r="AH1138" s="183" t="s">
        <v>116</v>
      </c>
      <c r="AI1138" s="1028">
        <v>0</v>
      </c>
      <c r="AJ1138" s="1029">
        <v>630</v>
      </c>
      <c r="AK1138" s="1029">
        <v>8249.5</v>
      </c>
      <c r="AL1138" s="1030">
        <f>SUM(Table15[[#This Row],[Nicor Initiated DBE]:[Staffing]])/(Table15[[#This Row],[Amount Invoiced]])</f>
        <v>0.46814794063305221</v>
      </c>
      <c r="AM1138" s="1522" t="s">
        <v>116</v>
      </c>
      <c r="AN1138" s="1523">
        <v>45510</v>
      </c>
      <c r="AO1138" s="1524">
        <v>11088785</v>
      </c>
      <c r="AP1138" s="1525">
        <v>209305.33</v>
      </c>
      <c r="AQ1138" s="1525"/>
      <c r="AR1138" s="1525">
        <v>0</v>
      </c>
      <c r="AS1138" s="1525">
        <f>IF(Table15[[#This Row],[PCTS Approved]]="N",0,Table15[[#This Row],[Investment Amount (1'#'#'#'#'#)]]+Table15[[#This Row],[Retirement Amount (3'#'#'#'#'#)]])</f>
        <v>209305.33</v>
      </c>
      <c r="AT1138" s="1525">
        <f>IF(Table15[[#This Row],[Approved Construction Cost]]=0,0,Table15[[#This Row],[Approved Construction Cost]]-Table15[[#This Row],[Construction Cost to Bill From]])</f>
        <v>-1442.390000000014</v>
      </c>
      <c r="AU1138" s="1525">
        <f>IFERROR(Table15[[#This Row],[Difference in Construction Cost]]*Table15[[#This Row],[Rate]],Table15[[#This Row],[Difference in Construction Cost]]*0.085)</f>
        <v>-129.81510000000125</v>
      </c>
      <c r="AV1138" s="1525">
        <v>0</v>
      </c>
      <c r="AW1138" s="1526" t="s">
        <v>6213</v>
      </c>
      <c r="AX1138" s="1525">
        <f>Table15[[#This Row],[Reconcile Amount]]</f>
        <v>-129.81510000000125</v>
      </c>
      <c r="AY1138" s="1518">
        <v>45901</v>
      </c>
      <c r="AZ1138" s="333">
        <v>52</v>
      </c>
      <c r="BA1138" s="1074" t="s">
        <v>1737</v>
      </c>
      <c r="BB1138" s="644" t="s">
        <v>1738</v>
      </c>
      <c r="BC1138" s="559" t="s">
        <v>116</v>
      </c>
      <c r="BD1138" s="554" t="s">
        <v>115</v>
      </c>
      <c r="BE1138" s="588" t="s">
        <v>822</v>
      </c>
      <c r="BF1138" s="588" t="s">
        <v>115</v>
      </c>
      <c r="BG1138" s="548" t="s">
        <v>115</v>
      </c>
      <c r="BH1138" s="615" t="s">
        <v>1739</v>
      </c>
      <c r="BI1138" s="547" t="s">
        <v>709</v>
      </c>
      <c r="BJ1138" s="549" t="s">
        <v>709</v>
      </c>
      <c r="BK1138" s="547" t="s">
        <v>709</v>
      </c>
      <c r="BL1138" s="547" t="s">
        <v>116</v>
      </c>
      <c r="BM1138" s="626" t="s">
        <v>709</v>
      </c>
      <c r="BN1138" s="549" t="s">
        <v>709</v>
      </c>
      <c r="BO1138" s="626" t="s">
        <v>709</v>
      </c>
      <c r="BP1138" s="626" t="s">
        <v>709</v>
      </c>
      <c r="BQ1138" s="549" t="s">
        <v>709</v>
      </c>
      <c r="BR1138" s="549" t="s">
        <v>709</v>
      </c>
      <c r="BS1138" s="549">
        <v>1051</v>
      </c>
      <c r="BT1138" s="549" t="s">
        <v>709</v>
      </c>
      <c r="BU1138" s="549" t="s">
        <v>709</v>
      </c>
      <c r="BV1138" s="549" t="s">
        <v>709</v>
      </c>
      <c r="BW1138" s="549" t="s">
        <v>709</v>
      </c>
      <c r="BX1138" s="547" t="s">
        <v>709</v>
      </c>
      <c r="BY1138" s="549" t="s">
        <v>709</v>
      </c>
      <c r="BZ1138" s="547" t="s">
        <v>709</v>
      </c>
      <c r="CA1138" s="483"/>
      <c r="CB1138" s="547">
        <v>1136</v>
      </c>
      <c r="CC1138" s="1481" t="b">
        <v>1</v>
      </c>
      <c r="CD1138" s="879" t="str">
        <f>Table15[[#This Row],[Engineering Number]]&amp;Table15[[#This Row],[WO Number]]&amp;Table15[[#This Row],[Date Assigned to Designer]]&amp;Table15[[#This Row],[Date Completed]]</f>
        <v>MR210713135154530745358</v>
      </c>
    </row>
    <row r="1139" spans="1:82" customFormat="1" ht="15" customHeight="1" x14ac:dyDescent="0.25">
      <c r="A1139">
        <v>2024</v>
      </c>
      <c r="B1139" s="8" t="s">
        <v>4</v>
      </c>
      <c r="C1139" s="8" t="s">
        <v>6215</v>
      </c>
      <c r="D1139" s="8" t="s">
        <v>6216</v>
      </c>
      <c r="E1139" s="8" t="s">
        <v>850</v>
      </c>
      <c r="F1139" s="8" t="s">
        <v>851</v>
      </c>
      <c r="G1139" s="8" t="s">
        <v>28</v>
      </c>
      <c r="H1139" s="8" t="s">
        <v>1681</v>
      </c>
      <c r="I1139" s="642">
        <v>45089</v>
      </c>
      <c r="J1139" s="18">
        <v>45387</v>
      </c>
      <c r="K1139" s="175">
        <v>45358</v>
      </c>
      <c r="L1139" s="16">
        <f>IF(ISTEXT(Table15[[#This Row],[Engineering Approved Design Date]]),Table15[[#This Row],[Date Completed]]-Table15[[#This Row],[Date Assigned to Designer]],Table15[[#This Row],[Engineering Approved Design Date]]-Table15[[#This Row],[Date Completed]])</f>
        <v>29</v>
      </c>
      <c r="N1139" s="642" t="s">
        <v>120</v>
      </c>
      <c r="O1139" s="1060">
        <v>45352</v>
      </c>
      <c r="P1139" s="1152" t="s">
        <v>739</v>
      </c>
      <c r="Q1139" s="340" t="s">
        <v>115</v>
      </c>
      <c r="R1139" s="1026" t="s">
        <v>115</v>
      </c>
      <c r="S1139" s="538"/>
      <c r="T1139" s="538"/>
      <c r="U1139" s="28"/>
      <c r="V1139" s="858"/>
      <c r="W1139" s="437"/>
      <c r="X1139" s="538"/>
      <c r="Y1139" s="550"/>
      <c r="Z1139" s="538"/>
      <c r="AA1139" s="552"/>
      <c r="AB1139" s="341" t="s">
        <v>29</v>
      </c>
      <c r="AC1139" s="569" t="s">
        <v>29</v>
      </c>
      <c r="AD1139" s="1157" t="s">
        <v>29</v>
      </c>
      <c r="AE1139" s="568" t="s">
        <v>116</v>
      </c>
      <c r="AF1139" s="569" t="s">
        <v>756</v>
      </c>
      <c r="AG1139" s="569" t="s">
        <v>29</v>
      </c>
      <c r="AH1139" s="183">
        <v>45406</v>
      </c>
      <c r="AI1139" s="1028"/>
      <c r="AJ1139" s="1029"/>
      <c r="AK1139" s="1029"/>
      <c r="AL1139" s="1030"/>
      <c r="AM1139" s="542" t="s">
        <v>709</v>
      </c>
      <c r="AN1139" s="924"/>
      <c r="AO1139" s="925"/>
      <c r="AP1139" s="926"/>
      <c r="AQ1139" s="926"/>
      <c r="AR1139" s="926"/>
      <c r="AS1139" s="926"/>
      <c r="AT1139" s="926"/>
      <c r="AU1139" s="926"/>
      <c r="AV1139" s="926"/>
      <c r="AW1139" s="927"/>
      <c r="AX1139" s="926"/>
      <c r="AY1139" s="1538" t="s">
        <v>29</v>
      </c>
      <c r="AZ1139" s="1530"/>
      <c r="BA1139" s="1068" t="s">
        <v>6217</v>
      </c>
      <c r="BB1139" s="644" t="s">
        <v>870</v>
      </c>
      <c r="BC1139" s="559" t="s">
        <v>116</v>
      </c>
      <c r="BD1139" s="554" t="s">
        <v>862</v>
      </c>
      <c r="BE1139" s="588" t="s">
        <v>6218</v>
      </c>
      <c r="BF1139" s="588" t="s">
        <v>3639</v>
      </c>
      <c r="BG1139" s="548" t="s">
        <v>709</v>
      </c>
      <c r="BH1139" s="615" t="s">
        <v>6219</v>
      </c>
      <c r="BI1139" s="1032"/>
      <c r="BJ1139" s="1032"/>
      <c r="BK1139" s="1032"/>
      <c r="BL1139" s="1032"/>
      <c r="BM1139" s="1032"/>
      <c r="BN1139" s="1070"/>
      <c r="BO1139" s="1032"/>
      <c r="BP1139" s="1071"/>
      <c r="BQ1139" s="1070"/>
      <c r="BR1139" s="1070"/>
      <c r="BS1139" s="1070"/>
      <c r="BT1139" s="1070"/>
      <c r="BU1139" s="1070"/>
      <c r="BV1139" s="1070"/>
      <c r="BW1139" s="1070"/>
      <c r="BX1139" s="1032"/>
      <c r="BY1139" s="1072"/>
      <c r="BZ1139" s="1072"/>
      <c r="CA1139" s="485" t="s">
        <v>915</v>
      </c>
      <c r="CB1139" s="547">
        <v>1137</v>
      </c>
      <c r="CC1139" s="1481" t="b">
        <v>1</v>
      </c>
      <c r="CD1139" s="879" t="str">
        <f>Table15[[#This Row],[Engineering Number]]&amp;Table15[[#This Row],[WO Number]]&amp;Table15[[#This Row],[Date Assigned to Designer]]&amp;Table15[[#This Row],[Date Completed]]</f>
        <v>SC2175313129564508945358</v>
      </c>
    </row>
    <row r="1140" spans="1:82" customFormat="1" ht="15" customHeight="1" x14ac:dyDescent="0.25">
      <c r="A1140">
        <v>2024</v>
      </c>
      <c r="B1140" s="8" t="s">
        <v>771</v>
      </c>
      <c r="C1140" s="8" t="s">
        <v>1740</v>
      </c>
      <c r="D1140" s="8" t="s">
        <v>1741</v>
      </c>
      <c r="E1140" s="8" t="s">
        <v>104</v>
      </c>
      <c r="F1140" s="8" t="s">
        <v>784</v>
      </c>
      <c r="G1140" s="8" t="s">
        <v>36</v>
      </c>
      <c r="H1140" s="8" t="s">
        <v>59</v>
      </c>
      <c r="I1140" s="642">
        <v>44946</v>
      </c>
      <c r="J1140" s="18">
        <v>45366</v>
      </c>
      <c r="K1140" s="97">
        <v>45359</v>
      </c>
      <c r="L1140" s="16">
        <f>IF(ISTEXT(Table15[[#This Row],[Engineering Approved Design Date]]),Table15[[#This Row],[Date Completed]]-Table15[[#This Row],[Date Assigned to Designer]],Table15[[#This Row],[Engineering Approved Design Date]]-Table15[[#This Row],[Date Completed]])</f>
        <v>7</v>
      </c>
      <c r="M1140" s="642"/>
      <c r="N1140" s="642" t="s">
        <v>120</v>
      </c>
      <c r="O1140" s="1060">
        <v>45352</v>
      </c>
      <c r="P1140" s="1152" t="s">
        <v>120</v>
      </c>
      <c r="Q1140" s="340">
        <f>Table15[[#This Row],[Rate]]*Table15[[#This Row],[Construction Cost to Bill From]]</f>
        <v>265333.7268</v>
      </c>
      <c r="R1140" s="1026">
        <v>0.06</v>
      </c>
      <c r="S1140" s="538"/>
      <c r="T1140" s="538"/>
      <c r="U1140" s="87"/>
      <c r="V1140" s="858">
        <v>8803</v>
      </c>
      <c r="W1140" s="437">
        <v>0</v>
      </c>
      <c r="X1140" s="556">
        <v>4101169.29</v>
      </c>
      <c r="Y1140" s="595"/>
      <c r="Z1140" s="570">
        <v>321059.49</v>
      </c>
      <c r="AA1140" s="552">
        <f>Table15[[#This Row],[PCTS Retirement Amount]]+Table15[[#This Row],[PCTS Investment Amount]]</f>
        <v>4422228.78</v>
      </c>
      <c r="AB1140" s="341">
        <v>45369</v>
      </c>
      <c r="AC1140" s="569" t="s">
        <v>709</v>
      </c>
      <c r="AD1140" s="1149" t="s">
        <v>116</v>
      </c>
      <c r="AE1140" s="568" t="s">
        <v>116</v>
      </c>
      <c r="AF1140" s="568" t="s">
        <v>116</v>
      </c>
      <c r="AG1140" s="569" t="s">
        <v>116</v>
      </c>
      <c r="AH1140" s="183" t="s">
        <v>116</v>
      </c>
      <c r="AI1140" s="1028">
        <v>0</v>
      </c>
      <c r="AJ1140" s="1029">
        <v>0</v>
      </c>
      <c r="AK1140" s="1029">
        <v>0</v>
      </c>
      <c r="AL1140" s="1030">
        <f>SUM(Table15[[#This Row],[Nicor Initiated DBE]:[Staffing]])/(Table15[[#This Row],[Amount Invoiced]])</f>
        <v>0</v>
      </c>
      <c r="AM1140" s="536" t="s">
        <v>116</v>
      </c>
      <c r="AN1140" s="903" t="s">
        <v>709</v>
      </c>
      <c r="AO1140" s="1536"/>
      <c r="AP1140" s="1537"/>
      <c r="AQ1140" s="1537"/>
      <c r="AR1140" s="1537"/>
      <c r="AS1140" s="888">
        <f>IF(Table15[[#This Row],[PCTS Approved]]="N",0,Table15[[#This Row],[Investment Amount (1'#'#'#'#'#)]]+Table15[[#This Row],[Retirement Amount (3'#'#'#'#'#)]])</f>
        <v>0</v>
      </c>
      <c r="AT1140" s="888">
        <f>IF(Table15[[#This Row],[Approved Construction Cost]]=0,0,Table15[[#This Row],[Approved Construction Cost]]-Table15[[#This Row],[Construction Cost to Bill From]])</f>
        <v>0</v>
      </c>
      <c r="AU1140" s="888">
        <f>IFERROR(Table15[[#This Row],[Difference in Construction Cost]]*Table15[[#This Row],[Rate]],Table15[[#This Row],[Difference in Construction Cost]]*0.085)</f>
        <v>0</v>
      </c>
      <c r="AV1140" s="905"/>
      <c r="AW1140" s="1509"/>
      <c r="AX1140" s="888"/>
      <c r="AY1140" s="636" t="s">
        <v>709</v>
      </c>
      <c r="AZ1140" s="333">
        <v>8</v>
      </c>
      <c r="BA1140" s="1074" t="s">
        <v>1742</v>
      </c>
      <c r="BB1140" s="644" t="s">
        <v>1743</v>
      </c>
      <c r="BC1140" s="559" t="s">
        <v>116</v>
      </c>
      <c r="BD1140" s="554" t="s">
        <v>115</v>
      </c>
      <c r="BE1140" s="588" t="s">
        <v>1232</v>
      </c>
      <c r="BF1140" s="588" t="s">
        <v>115</v>
      </c>
      <c r="BG1140" s="548" t="s">
        <v>1480</v>
      </c>
      <c r="BH1140" s="615" t="s">
        <v>1744</v>
      </c>
      <c r="BI1140" s="547" t="s">
        <v>709</v>
      </c>
      <c r="BJ1140" s="549" t="s">
        <v>709</v>
      </c>
      <c r="BK1140" s="547" t="s">
        <v>709</v>
      </c>
      <c r="BL1140" s="547" t="s">
        <v>116</v>
      </c>
      <c r="BM1140" s="626" t="s">
        <v>709</v>
      </c>
      <c r="BN1140" s="549">
        <v>2784</v>
      </c>
      <c r="BO1140" s="626" t="s">
        <v>709</v>
      </c>
      <c r="BP1140" s="626">
        <v>3955</v>
      </c>
      <c r="BQ1140" s="549" t="s">
        <v>709</v>
      </c>
      <c r="BR1140" s="549">
        <f>737+396+88</f>
        <v>1221</v>
      </c>
      <c r="BS1140" s="549">
        <f>81+762</f>
        <v>843</v>
      </c>
      <c r="BT1140" s="549" t="s">
        <v>709</v>
      </c>
      <c r="BU1140" s="549" t="s">
        <v>709</v>
      </c>
      <c r="BV1140" s="549" t="s">
        <v>709</v>
      </c>
      <c r="BW1140" s="549" t="s">
        <v>709</v>
      </c>
      <c r="BX1140" s="547" t="s">
        <v>709</v>
      </c>
      <c r="BY1140" s="549" t="s">
        <v>709</v>
      </c>
      <c r="BZ1140" s="547" t="s">
        <v>709</v>
      </c>
      <c r="CA1140" s="483" t="s">
        <v>1745</v>
      </c>
      <c r="CB1140" s="547">
        <v>1138</v>
      </c>
      <c r="CC1140" s="1481" t="b">
        <v>1</v>
      </c>
      <c r="CD1140" s="879" t="str">
        <f>Table15[[#This Row],[Engineering Number]]&amp;Table15[[#This Row],[WO Number]]&amp;Table15[[#This Row],[Date Assigned to Designer]]&amp;Table15[[#This Row],[Date Completed]]</f>
        <v>BS550-212122794494645359</v>
      </c>
    </row>
    <row r="1141" spans="1:82" customFormat="1" ht="15" customHeight="1" x14ac:dyDescent="0.25">
      <c r="A1141">
        <v>2024</v>
      </c>
      <c r="B1141" s="8" t="s">
        <v>4</v>
      </c>
      <c r="C1141" s="8" t="s">
        <v>1746</v>
      </c>
      <c r="D1141" s="8" t="s">
        <v>1747</v>
      </c>
      <c r="E1141" s="8" t="s">
        <v>1748</v>
      </c>
      <c r="F1141" s="8" t="s">
        <v>784</v>
      </c>
      <c r="G1141" s="8" t="s">
        <v>31</v>
      </c>
      <c r="H1141" s="8" t="s">
        <v>59</v>
      </c>
      <c r="I1141" s="642">
        <v>45252</v>
      </c>
      <c r="J1141" s="18">
        <v>45380</v>
      </c>
      <c r="K1141" s="97">
        <v>45363</v>
      </c>
      <c r="L1141" s="16">
        <f>IF(ISTEXT(Table15[[#This Row],[Engineering Approved Design Date]]),Table15[[#This Row],[Date Completed]]-Table15[[#This Row],[Date Assigned to Designer]],Table15[[#This Row],[Engineering Approved Design Date]]-Table15[[#This Row],[Date Completed]])</f>
        <v>17</v>
      </c>
      <c r="M1141" s="642"/>
      <c r="N1141" s="642" t="s">
        <v>120</v>
      </c>
      <c r="O1141" s="1060">
        <v>45352</v>
      </c>
      <c r="P1141" s="1152" t="s">
        <v>739</v>
      </c>
      <c r="Q1141" s="340">
        <f>Table15[[#This Row],[Rate]]*Table15[[#This Row],[Construction Cost to Bill From]]</f>
        <v>29913.794000000002</v>
      </c>
      <c r="R1141" s="1026">
        <v>0.1</v>
      </c>
      <c r="S1141" s="538"/>
      <c r="T1141" s="538"/>
      <c r="U1141" s="87"/>
      <c r="V1141" s="858">
        <v>285</v>
      </c>
      <c r="W1141" s="437">
        <v>0</v>
      </c>
      <c r="X1141" s="556">
        <v>211063.84</v>
      </c>
      <c r="Y1141" s="595"/>
      <c r="Z1141" s="570">
        <v>88074.1</v>
      </c>
      <c r="AA1141" s="552">
        <f>Table15[[#This Row],[PCTS Retirement Amount]]+Table15[[#This Row],[PCTS Investment Amount]]</f>
        <v>299137.94</v>
      </c>
      <c r="AB1141" s="341">
        <v>45334</v>
      </c>
      <c r="AC1141" s="569" t="s">
        <v>709</v>
      </c>
      <c r="AD1141" s="1149"/>
      <c r="AE1141" s="568" t="s">
        <v>116</v>
      </c>
      <c r="AF1141" s="568" t="s">
        <v>756</v>
      </c>
      <c r="AG1141" s="183">
        <v>45371</v>
      </c>
      <c r="AH1141" s="183">
        <v>45371</v>
      </c>
      <c r="AI1141" s="1028">
        <v>0</v>
      </c>
      <c r="AJ1141" s="1029">
        <v>2955.65</v>
      </c>
      <c r="AK1141" s="1029">
        <v>5344.5</v>
      </c>
      <c r="AL1141" s="1030">
        <f>SUM(Table15[[#This Row],[Nicor Initiated DBE]:[Staffing]])/(Table15[[#This Row],[Amount Invoiced]])</f>
        <v>0.27746898303839357</v>
      </c>
      <c r="AM1141" s="1522" t="s">
        <v>116</v>
      </c>
      <c r="AN1141" s="1523">
        <v>45588</v>
      </c>
      <c r="AO1141" s="1524">
        <v>11092776</v>
      </c>
      <c r="AP1141" s="1525">
        <v>214239.4</v>
      </c>
      <c r="AQ1141" s="1525"/>
      <c r="AR1141" s="1525">
        <v>89523.07</v>
      </c>
      <c r="AS1141" s="1525">
        <f>IF(Table15[[#This Row],[PCTS Approved]]="N",0,Table15[[#This Row],[Investment Amount (1'#'#'#'#'#)]]+Table15[[#This Row],[Retirement Amount (3'#'#'#'#'#)]])</f>
        <v>303762.46999999997</v>
      </c>
      <c r="AT1141" s="1525">
        <f>IF(Table15[[#This Row],[Approved Construction Cost]]=0,0,Table15[[#This Row],[Approved Construction Cost]]-Table15[[#This Row],[Construction Cost to Bill From]])</f>
        <v>4624.5299999999697</v>
      </c>
      <c r="AU1141" s="1525">
        <f>IFERROR(Table15[[#This Row],[Difference in Construction Cost]]*Table15[[#This Row],[Rate]],Table15[[#This Row],[Difference in Construction Cost]]*0.085)</f>
        <v>462.45299999999702</v>
      </c>
      <c r="AV1141" s="1525">
        <v>10522.5</v>
      </c>
      <c r="AW1141" s="1526" t="s">
        <v>6222</v>
      </c>
      <c r="AX1141" s="1525">
        <v>0</v>
      </c>
      <c r="AY1141" s="1518">
        <v>45901</v>
      </c>
      <c r="AZ1141" s="333">
        <v>130</v>
      </c>
      <c r="BA1141" s="1074" t="s">
        <v>1749</v>
      </c>
      <c r="BB1141" s="644" t="s">
        <v>1750</v>
      </c>
      <c r="BC1141" s="559" t="s">
        <v>116</v>
      </c>
      <c r="BD1141" s="554" t="s">
        <v>6223</v>
      </c>
      <c r="BE1141" s="588" t="s">
        <v>1752</v>
      </c>
      <c r="BF1141" s="588" t="s">
        <v>115</v>
      </c>
      <c r="BG1141" s="548" t="s">
        <v>1753</v>
      </c>
      <c r="BH1141" s="615" t="s">
        <v>1754</v>
      </c>
      <c r="BI1141" s="547" t="s">
        <v>709</v>
      </c>
      <c r="BJ1141" s="549" t="s">
        <v>709</v>
      </c>
      <c r="BK1141" s="547" t="s">
        <v>709</v>
      </c>
      <c r="BL1141" s="547" t="s">
        <v>116</v>
      </c>
      <c r="BM1141" s="626" t="s">
        <v>709</v>
      </c>
      <c r="BN1141" s="549" t="s">
        <v>709</v>
      </c>
      <c r="BO1141" s="626" t="s">
        <v>709</v>
      </c>
      <c r="BP1141" s="626" t="s">
        <v>709</v>
      </c>
      <c r="BQ1141" s="549" t="s">
        <v>709</v>
      </c>
      <c r="BR1141" s="549">
        <v>285</v>
      </c>
      <c r="BS1141" s="549" t="s">
        <v>709</v>
      </c>
      <c r="BT1141" s="549" t="s">
        <v>745</v>
      </c>
      <c r="BU1141" s="549" t="s">
        <v>709</v>
      </c>
      <c r="BV1141" s="549" t="s">
        <v>745</v>
      </c>
      <c r="BW1141" s="549" t="s">
        <v>709</v>
      </c>
      <c r="BX1141" s="547" t="s">
        <v>745</v>
      </c>
      <c r="BY1141" s="549" t="s">
        <v>745</v>
      </c>
      <c r="BZ1141" s="547" t="s">
        <v>709</v>
      </c>
      <c r="CA1141" s="483" t="s">
        <v>29</v>
      </c>
      <c r="CB1141" s="547">
        <v>1139</v>
      </c>
      <c r="CC1141" s="1481" t="b">
        <v>1</v>
      </c>
      <c r="CD1141" s="879" t="str">
        <f>Table15[[#This Row],[Engineering Number]]&amp;Table15[[#This Row],[WO Number]]&amp;Table15[[#This Row],[Date Assigned to Designer]]&amp;Table15[[#This Row],[Date Completed]]</f>
        <v>N1637912135254525245363</v>
      </c>
    </row>
    <row r="1142" spans="1:82" customFormat="1" ht="15" customHeight="1" x14ac:dyDescent="0.25">
      <c r="A1142">
        <v>2025</v>
      </c>
      <c r="B1142" s="8" t="s">
        <v>4</v>
      </c>
      <c r="C1142" s="8" t="s">
        <v>6225</v>
      </c>
      <c r="D1142" s="8" t="s">
        <v>115</v>
      </c>
      <c r="E1142" s="8" t="s">
        <v>910</v>
      </c>
      <c r="F1142" s="8" t="s">
        <v>784</v>
      </c>
      <c r="G1142" s="8" t="s">
        <v>25</v>
      </c>
      <c r="H1142" s="8" t="s">
        <v>1681</v>
      </c>
      <c r="I1142" s="642">
        <v>45321</v>
      </c>
      <c r="J1142" s="18">
        <v>45429</v>
      </c>
      <c r="K1142" s="175">
        <v>45364</v>
      </c>
      <c r="L1142" s="16">
        <f>IF(ISTEXT(Table15[[#This Row],[Engineering Approved Design Date]]),Table15[[#This Row],[Date Completed]]-Table15[[#This Row],[Date Assigned to Designer]],Table15[[#This Row],[Engineering Approved Design Date]]-Table15[[#This Row],[Date Completed]])</f>
        <v>65</v>
      </c>
      <c r="N1142" s="642" t="s">
        <v>120</v>
      </c>
      <c r="O1142" s="1060">
        <v>45352</v>
      </c>
      <c r="P1142" s="1152" t="s">
        <v>739</v>
      </c>
      <c r="Q1142" s="340" t="s">
        <v>115</v>
      </c>
      <c r="R1142" s="1026" t="s">
        <v>115</v>
      </c>
      <c r="S1142" s="538"/>
      <c r="T1142" s="538"/>
      <c r="U1142" s="28"/>
      <c r="V1142" s="858"/>
      <c r="W1142" s="437"/>
      <c r="X1142" s="538"/>
      <c r="Y1142" s="550"/>
      <c r="Z1142" s="538"/>
      <c r="AA1142" s="552"/>
      <c r="AB1142" s="341" t="s">
        <v>29</v>
      </c>
      <c r="AC1142" s="569" t="s">
        <v>29</v>
      </c>
      <c r="AD1142" s="1157" t="s">
        <v>29</v>
      </c>
      <c r="AE1142" s="568" t="s">
        <v>756</v>
      </c>
      <c r="AF1142" s="569" t="s">
        <v>29</v>
      </c>
      <c r="AG1142" s="569" t="s">
        <v>29</v>
      </c>
      <c r="AH1142" s="183">
        <v>45475</v>
      </c>
      <c r="AI1142" s="1028"/>
      <c r="AJ1142" s="1029"/>
      <c r="AK1142" s="1029"/>
      <c r="AL1142" s="1030"/>
      <c r="AM1142" s="542" t="s">
        <v>709</v>
      </c>
      <c r="AN1142" s="924"/>
      <c r="AO1142" s="925"/>
      <c r="AP1142" s="926"/>
      <c r="AQ1142" s="926"/>
      <c r="AR1142" s="926"/>
      <c r="AS1142" s="926"/>
      <c r="AT1142" s="926"/>
      <c r="AU1142" s="926"/>
      <c r="AV1142" s="926"/>
      <c r="AW1142" s="927"/>
      <c r="AX1142" s="926"/>
      <c r="AY1142" s="1538" t="s">
        <v>29</v>
      </c>
      <c r="AZ1142" s="1530"/>
      <c r="BA1142" s="1068" t="s">
        <v>1125</v>
      </c>
      <c r="BB1142" s="644" t="s">
        <v>912</v>
      </c>
      <c r="BC1142" s="559" t="s">
        <v>116</v>
      </c>
      <c r="BD1142" s="554" t="s">
        <v>709</v>
      </c>
      <c r="BE1142" s="588" t="s">
        <v>913</v>
      </c>
      <c r="BF1142" s="588" t="s">
        <v>709</v>
      </c>
      <c r="BG1142" s="548" t="s">
        <v>709</v>
      </c>
      <c r="BH1142" s="615" t="s">
        <v>6226</v>
      </c>
      <c r="BI1142" s="1032"/>
      <c r="BJ1142" s="1032"/>
      <c r="BK1142" s="1032"/>
      <c r="BL1142" s="1032"/>
      <c r="BM1142" s="1032"/>
      <c r="BN1142" s="1070"/>
      <c r="BO1142" s="1032"/>
      <c r="BP1142" s="1071"/>
      <c r="BQ1142" s="1070"/>
      <c r="BR1142" s="1070"/>
      <c r="BS1142" s="1070"/>
      <c r="BT1142" s="1070"/>
      <c r="BU1142" s="1070"/>
      <c r="BV1142" s="1070"/>
      <c r="BW1142" s="1070"/>
      <c r="BX1142" s="1032"/>
      <c r="BY1142" s="1072"/>
      <c r="BZ1142" s="1072"/>
      <c r="CA1142" s="485" t="s">
        <v>915</v>
      </c>
      <c r="CB1142" s="547">
        <v>1140</v>
      </c>
      <c r="CC1142" s="1481" t="b">
        <v>1</v>
      </c>
      <c r="CD1142" s="879" t="str">
        <f>Table15[[#This Row],[Engineering Number]]&amp;Table15[[#This Row],[WO Number]]&amp;Table15[[#This Row],[Date Assigned to Designer]]&amp;Table15[[#This Row],[Date Completed]]</f>
        <v>N18054-4532145364</v>
      </c>
    </row>
    <row r="1143" spans="1:82" customFormat="1" ht="15" customHeight="1" x14ac:dyDescent="0.25">
      <c r="A1143">
        <v>2024</v>
      </c>
      <c r="B1143" s="8" t="s">
        <v>4</v>
      </c>
      <c r="C1143" s="8" t="s">
        <v>1030</v>
      </c>
      <c r="D1143" s="8" t="s">
        <v>6228</v>
      </c>
      <c r="E1143" s="8" t="s">
        <v>1032</v>
      </c>
      <c r="F1143" s="8" t="s">
        <v>747</v>
      </c>
      <c r="G1143" s="8" t="s">
        <v>31</v>
      </c>
      <c r="H1143" s="8" t="s">
        <v>59</v>
      </c>
      <c r="I1143" s="642">
        <v>45177</v>
      </c>
      <c r="J1143" s="18">
        <v>45371</v>
      </c>
      <c r="K1143" s="97">
        <v>45369</v>
      </c>
      <c r="L1143" s="16">
        <f>IF(ISTEXT(Table15[[#This Row],[Engineering Approved Design Date]]),Table15[[#This Row],[Date Completed]]-Table15[[#This Row],[Date Assigned to Designer]],Table15[[#This Row],[Engineering Approved Design Date]]-Table15[[#This Row],[Date Completed]])</f>
        <v>2</v>
      </c>
      <c r="M1143" s="642"/>
      <c r="N1143" s="642" t="s">
        <v>120</v>
      </c>
      <c r="O1143" s="1060">
        <v>45352</v>
      </c>
      <c r="P1143" s="1152" t="s">
        <v>739</v>
      </c>
      <c r="Q1143" s="340">
        <f>Table15[[#This Row],[Rate]]*Table15[[#This Row],[Construction Cost to Bill From]]</f>
        <v>342513.63300000003</v>
      </c>
      <c r="R1143" s="1026">
        <v>0.1</v>
      </c>
      <c r="S1143" s="538"/>
      <c r="T1143" s="538"/>
      <c r="U1143" s="87"/>
      <c r="V1143" s="858">
        <v>12027</v>
      </c>
      <c r="W1143" s="437">
        <v>1</v>
      </c>
      <c r="X1143" s="556">
        <v>3142203.6</v>
      </c>
      <c r="Y1143" s="595"/>
      <c r="Z1143" s="570">
        <v>282932.73</v>
      </c>
      <c r="AA1143" s="552">
        <f>Table15[[#This Row],[PCTS Retirement Amount]]+Table15[[#This Row],[PCTS Investment Amount]]</f>
        <v>3425136.33</v>
      </c>
      <c r="AB1143" s="341">
        <v>45349</v>
      </c>
      <c r="AC1143" s="569" t="s">
        <v>116</v>
      </c>
      <c r="AD1143" s="1149" t="s">
        <v>29</v>
      </c>
      <c r="AE1143" s="568" t="s">
        <v>756</v>
      </c>
      <c r="AF1143" s="568" t="s">
        <v>756</v>
      </c>
      <c r="AG1143" s="183">
        <v>45371</v>
      </c>
      <c r="AH1143" s="183">
        <v>45371</v>
      </c>
      <c r="AI1143" s="1028">
        <v>5950</v>
      </c>
      <c r="AJ1143" s="1029">
        <v>7300</v>
      </c>
      <c r="AK1143" s="1029">
        <f>1042+1989</f>
        <v>3031</v>
      </c>
      <c r="AL1143" s="1030">
        <f>SUM(Table15[[#This Row],[Nicor Initiated DBE]:[Staffing]])/(Table15[[#This Row],[Amount Invoiced]])</f>
        <v>4.7533874366980304E-2</v>
      </c>
      <c r="AM1143" s="1522" t="s">
        <v>116</v>
      </c>
      <c r="AN1143" s="1523">
        <v>45447</v>
      </c>
      <c r="AO1143" s="1524">
        <v>11082654</v>
      </c>
      <c r="AP1143" s="1525">
        <v>3406471.77</v>
      </c>
      <c r="AQ1143" s="1525"/>
      <c r="AR1143" s="1525">
        <v>339987.06</v>
      </c>
      <c r="AS1143" s="1525">
        <v>3746458.83</v>
      </c>
      <c r="AT1143" s="1525">
        <v>321322.5</v>
      </c>
      <c r="AU1143" s="1525">
        <v>32132.25</v>
      </c>
      <c r="AV1143" s="1525">
        <v>15295</v>
      </c>
      <c r="AW1143" s="1526" t="s">
        <v>1033</v>
      </c>
      <c r="AX1143" s="1525">
        <v>0</v>
      </c>
      <c r="AY1143" s="1518">
        <v>45566</v>
      </c>
      <c r="AZ1143" s="333">
        <v>131</v>
      </c>
      <c r="BA1143" s="1074" t="s">
        <v>1034</v>
      </c>
      <c r="BB1143" s="644" t="s">
        <v>1035</v>
      </c>
      <c r="BC1143" s="559" t="s">
        <v>116</v>
      </c>
      <c r="BD1143" s="554" t="s">
        <v>1036</v>
      </c>
      <c r="BE1143" s="588" t="s">
        <v>1037</v>
      </c>
      <c r="BF1143" s="588" t="s">
        <v>115</v>
      </c>
      <c r="BG1143" s="548" t="s">
        <v>1038</v>
      </c>
      <c r="BH1143" s="615" t="s">
        <v>1039</v>
      </c>
      <c r="BI1143" s="547" t="s">
        <v>709</v>
      </c>
      <c r="BJ1143" s="549" t="s">
        <v>116</v>
      </c>
      <c r="BK1143" s="547" t="s">
        <v>709</v>
      </c>
      <c r="BL1143" s="547" t="s">
        <v>116</v>
      </c>
      <c r="BM1143" s="626" t="s">
        <v>709</v>
      </c>
      <c r="BN1143" s="549" t="s">
        <v>709</v>
      </c>
      <c r="BO1143" s="626" t="s">
        <v>709</v>
      </c>
      <c r="BP1143" s="626">
        <v>5032</v>
      </c>
      <c r="BQ1143" s="549">
        <f>434+5547</f>
        <v>5981</v>
      </c>
      <c r="BR1143" s="549">
        <f>773+99</f>
        <v>872</v>
      </c>
      <c r="BS1143" s="549">
        <f>25+5</f>
        <v>30</v>
      </c>
      <c r="BT1143" s="549" t="s">
        <v>116</v>
      </c>
      <c r="BU1143" s="549" t="s">
        <v>116</v>
      </c>
      <c r="BV1143" s="549" t="s">
        <v>116</v>
      </c>
      <c r="BW1143" s="549" t="s">
        <v>709</v>
      </c>
      <c r="BX1143" s="547" t="s">
        <v>116</v>
      </c>
      <c r="BY1143" s="549" t="s">
        <v>745</v>
      </c>
      <c r="BZ1143" s="547" t="s">
        <v>709</v>
      </c>
      <c r="CA1143" s="483" t="s">
        <v>1040</v>
      </c>
      <c r="CB1143" s="547">
        <v>1141</v>
      </c>
      <c r="CC1143" s="1481" t="b">
        <v>1</v>
      </c>
      <c r="CD1143" s="879" t="str">
        <f>Table15[[#This Row],[Engineering Number]]&amp;Table15[[#This Row],[WO Number]]&amp;Table15[[#This Row],[Date Assigned to Designer]]&amp;Table15[[#This Row],[Date Completed]]</f>
        <v>SC1861114133584517745369</v>
      </c>
    </row>
    <row r="1144" spans="1:82" customFormat="1" ht="15" customHeight="1" x14ac:dyDescent="0.25">
      <c r="A1144">
        <v>2024</v>
      </c>
      <c r="B1144" s="8" t="s">
        <v>4</v>
      </c>
      <c r="C1144" s="8" t="s">
        <v>1755</v>
      </c>
      <c r="D1144" s="8" t="s">
        <v>1756</v>
      </c>
      <c r="E1144" s="8" t="s">
        <v>239</v>
      </c>
      <c r="F1144" s="8" t="s">
        <v>1757</v>
      </c>
      <c r="G1144" s="8" t="s">
        <v>26</v>
      </c>
      <c r="H1144" s="8" t="s">
        <v>59</v>
      </c>
      <c r="I1144" s="642">
        <v>45233</v>
      </c>
      <c r="J1144" s="18">
        <v>45369</v>
      </c>
      <c r="K1144" s="97">
        <v>45369</v>
      </c>
      <c r="L1144" s="16">
        <f>IF(ISTEXT(Table15[[#This Row],[Engineering Approved Design Date]]),Table15[[#This Row],[Date Completed]]-Table15[[#This Row],[Date Assigned to Designer]],Table15[[#This Row],[Engineering Approved Design Date]]-Table15[[#This Row],[Date Completed]])</f>
        <v>0</v>
      </c>
      <c r="M1144" s="642"/>
      <c r="N1144" s="642" t="s">
        <v>120</v>
      </c>
      <c r="O1144" s="1060">
        <v>45352</v>
      </c>
      <c r="P1144" s="1152" t="s">
        <v>739</v>
      </c>
      <c r="Q1144" s="340">
        <f>Table15[[#This Row],[Rate]]*Table15[[#This Row],[Construction Cost to Bill From]]</f>
        <v>92635.680999999997</v>
      </c>
      <c r="R1144" s="1026">
        <v>0.1</v>
      </c>
      <c r="S1144" s="538"/>
      <c r="T1144" s="538"/>
      <c r="U1144" s="87"/>
      <c r="V1144" s="858">
        <v>2927</v>
      </c>
      <c r="W1144" s="437">
        <v>0</v>
      </c>
      <c r="X1144" s="556">
        <v>818439.95</v>
      </c>
      <c r="Y1144" s="595"/>
      <c r="Z1144" s="570">
        <v>107916.86</v>
      </c>
      <c r="AA1144" s="552">
        <f>Table15[[#This Row],[PCTS Retirement Amount]]+Table15[[#This Row],[PCTS Investment Amount]]</f>
        <v>926356.80999999994</v>
      </c>
      <c r="AB1144" s="341">
        <v>45366</v>
      </c>
      <c r="AC1144" s="569" t="s">
        <v>709</v>
      </c>
      <c r="AD1144" s="1149" t="s">
        <v>29</v>
      </c>
      <c r="AE1144" s="568" t="s">
        <v>756</v>
      </c>
      <c r="AF1144" s="568" t="s">
        <v>116</v>
      </c>
      <c r="AG1144" s="568" t="s">
        <v>376</v>
      </c>
      <c r="AH1144" s="183">
        <v>45406</v>
      </c>
      <c r="AI1144" s="1028" t="s">
        <v>6230</v>
      </c>
      <c r="AJ1144" s="1029">
        <v>10040</v>
      </c>
      <c r="AK1144" s="1029">
        <v>7499.5</v>
      </c>
      <c r="AL1144" s="1030">
        <f>SUM(Table15[[#This Row],[Nicor Initiated DBE]:[Staffing]])/(Table15[[#This Row],[Amount Invoiced]])</f>
        <v>0.18933849042465614</v>
      </c>
      <c r="AM1144" s="1522" t="s">
        <v>116</v>
      </c>
      <c r="AN1144" s="1523">
        <v>45741</v>
      </c>
      <c r="AO1144" s="1524">
        <v>11100501</v>
      </c>
      <c r="AP1144" s="1525">
        <v>834213.38</v>
      </c>
      <c r="AQ1144" s="1525"/>
      <c r="AR1144" s="1525">
        <v>111023.94</v>
      </c>
      <c r="AS1144" s="1525">
        <f>IF(Table15[[#This Row],[PCTS Approved]]="N",0,Table15[[#This Row],[Investment Amount (1'#'#'#'#'#)]]+Table15[[#This Row],[Retirement Amount (3'#'#'#'#'#)]])</f>
        <v>945237.32000000007</v>
      </c>
      <c r="AT1144" s="1525">
        <f>IF(Table15[[#This Row],[Approved Construction Cost]]=0,0,Table15[[#This Row],[Approved Construction Cost]]-Table15[[#This Row],[Construction Cost to Bill From]])</f>
        <v>18880.510000000126</v>
      </c>
      <c r="AU1144" s="1525">
        <f>IFERROR(Table15[[#This Row],[Difference in Construction Cost]]*Table15[[#This Row],[Rate]],Table15[[#This Row],[Difference in Construction Cost]]*0.085)</f>
        <v>1888.0510000000127</v>
      </c>
      <c r="AV1144" s="1525">
        <v>0</v>
      </c>
      <c r="AW1144" s="1526" t="s">
        <v>6231</v>
      </c>
      <c r="AX1144" s="1525">
        <f>Table15[[#This Row],[Reconcile Amount]]</f>
        <v>1888.0510000000127</v>
      </c>
      <c r="AY1144" s="1518">
        <v>45901</v>
      </c>
      <c r="AZ1144" s="333">
        <v>132</v>
      </c>
      <c r="BA1144" s="1074" t="s">
        <v>1758</v>
      </c>
      <c r="BB1144" s="644" t="s">
        <v>805</v>
      </c>
      <c r="BC1144" s="559" t="s">
        <v>116</v>
      </c>
      <c r="BD1144" s="554" t="s">
        <v>115</v>
      </c>
      <c r="BE1144" s="588" t="s">
        <v>807</v>
      </c>
      <c r="BF1144" s="588" t="s">
        <v>115</v>
      </c>
      <c r="BG1144" s="548" t="s">
        <v>1759</v>
      </c>
      <c r="BH1144" s="615" t="s">
        <v>1760</v>
      </c>
      <c r="BI1144" s="547" t="s">
        <v>709</v>
      </c>
      <c r="BJ1144" s="549" t="s">
        <v>709</v>
      </c>
      <c r="BK1144" s="547" t="s">
        <v>709</v>
      </c>
      <c r="BL1144" s="547" t="s">
        <v>116</v>
      </c>
      <c r="BM1144" s="626" t="s">
        <v>709</v>
      </c>
      <c r="BN1144" s="549" t="s">
        <v>709</v>
      </c>
      <c r="BO1144" s="626" t="s">
        <v>709</v>
      </c>
      <c r="BP1144" s="626" t="s">
        <v>709</v>
      </c>
      <c r="BQ1144" s="549">
        <v>86</v>
      </c>
      <c r="BR1144" s="549">
        <v>242</v>
      </c>
      <c r="BS1144" s="549">
        <v>2599</v>
      </c>
      <c r="BT1144" s="549" t="s">
        <v>709</v>
      </c>
      <c r="BU1144" s="549" t="s">
        <v>709</v>
      </c>
      <c r="BV1144" s="549" t="s">
        <v>709</v>
      </c>
      <c r="BW1144" s="549" t="s">
        <v>709</v>
      </c>
      <c r="BX1144" s="547" t="s">
        <v>709</v>
      </c>
      <c r="BY1144" s="549" t="s">
        <v>709</v>
      </c>
      <c r="BZ1144" s="547" t="s">
        <v>709</v>
      </c>
      <c r="CA1144" s="483"/>
      <c r="CB1144" s="547">
        <v>1142</v>
      </c>
      <c r="CC1144" s="1481" t="b">
        <v>1</v>
      </c>
      <c r="CD1144" s="879" t="str">
        <f>Table15[[#This Row],[Engineering Number]]&amp;Table15[[#This Row],[WO Number]]&amp;Table15[[#This Row],[Date Assigned to Designer]]&amp;Table15[[#This Row],[Date Completed]]</f>
        <v>SC2372812134874523345369</v>
      </c>
    </row>
    <row r="1145" spans="1:82" customFormat="1" ht="15" customHeight="1" x14ac:dyDescent="0.25">
      <c r="A1145">
        <v>2024</v>
      </c>
      <c r="B1145" s="8" t="s">
        <v>730</v>
      </c>
      <c r="C1145" s="8" t="s">
        <v>332</v>
      </c>
      <c r="D1145" s="8" t="s">
        <v>5193</v>
      </c>
      <c r="E1145" s="8" t="s">
        <v>239</v>
      </c>
      <c r="F1145" s="8" t="s">
        <v>752</v>
      </c>
      <c r="G1145" s="8" t="s">
        <v>32</v>
      </c>
      <c r="H1145" s="8" t="s">
        <v>4462</v>
      </c>
      <c r="I1145" s="642">
        <v>45364</v>
      </c>
      <c r="J1145" s="175" t="s">
        <v>2052</v>
      </c>
      <c r="K1145" s="97">
        <v>45370</v>
      </c>
      <c r="L1145" s="16">
        <f>IF(ISTEXT(Table15[[#This Row],[Engineering Approved Design Date]]),Table15[[#This Row],[Date Completed]]-Table15[[#This Row],[Date Assigned to Designer]],Table15[[#This Row],[Engineering Approved Design Date]]-Table15[[#This Row],[Date Completed]])</f>
        <v>6</v>
      </c>
      <c r="M1145" s="16" t="s">
        <v>6233</v>
      </c>
      <c r="N1145" s="642" t="s">
        <v>120</v>
      </c>
      <c r="O1145" s="1060">
        <v>45375</v>
      </c>
      <c r="P1145" s="1152" t="s">
        <v>120</v>
      </c>
      <c r="Q1145" s="1151" t="s">
        <v>115</v>
      </c>
      <c r="R1145" s="1039" t="s">
        <v>115</v>
      </c>
      <c r="S1145" s="538"/>
      <c r="T1145" s="538"/>
      <c r="U1145" s="87"/>
      <c r="V1145" s="857"/>
      <c r="W1145" s="440"/>
      <c r="X1145" s="538"/>
      <c r="Y1145" s="595"/>
      <c r="Z1145" s="538"/>
      <c r="AA1145" s="552"/>
      <c r="AB1145" s="341" t="s">
        <v>29</v>
      </c>
      <c r="AC1145" s="569" t="s">
        <v>709</v>
      </c>
      <c r="AD1145" s="1149" t="s">
        <v>29</v>
      </c>
      <c r="AE1145" s="568" t="s">
        <v>29</v>
      </c>
      <c r="AF1145" s="580" t="s">
        <v>29</v>
      </c>
      <c r="AG1145" s="569" t="s">
        <v>29</v>
      </c>
      <c r="AH1145" s="536" t="s">
        <v>29</v>
      </c>
      <c r="AI1145" s="1028"/>
      <c r="AJ1145" s="1029"/>
      <c r="AK1145" s="1029"/>
      <c r="AL1145" s="1030"/>
      <c r="AM1145" s="542" t="s">
        <v>709</v>
      </c>
      <c r="AN1145" s="924"/>
      <c r="AO1145" s="925"/>
      <c r="AP1145" s="926"/>
      <c r="AQ1145" s="926"/>
      <c r="AR1145" s="926"/>
      <c r="AS1145" s="926"/>
      <c r="AT1145" s="926"/>
      <c r="AU1145" s="926"/>
      <c r="AV1145" s="926"/>
      <c r="AW1145" s="927"/>
      <c r="AX1145" s="926"/>
      <c r="AY1145" s="1538" t="s">
        <v>29</v>
      </c>
      <c r="AZ1145" s="1530"/>
      <c r="BA1145" s="1031" t="s">
        <v>4919</v>
      </c>
      <c r="BB1145" s="644" t="s">
        <v>6234</v>
      </c>
      <c r="BC1145" s="559"/>
      <c r="BD1145" s="554"/>
      <c r="BE1145" s="588"/>
      <c r="BF1145" s="588"/>
      <c r="BG1145" s="548"/>
      <c r="BH1145" s="615" t="s">
        <v>6235</v>
      </c>
      <c r="BI1145" s="547" t="s">
        <v>709</v>
      </c>
      <c r="BJ1145" s="547" t="s">
        <v>116</v>
      </c>
      <c r="BK1145" s="547" t="s">
        <v>709</v>
      </c>
      <c r="BL1145" s="547" t="s">
        <v>116</v>
      </c>
      <c r="BM1145" s="547">
        <v>0</v>
      </c>
      <c r="BN1145" s="547">
        <v>0</v>
      </c>
      <c r="BO1145" s="547">
        <v>0</v>
      </c>
      <c r="BP1145" s="547">
        <v>0</v>
      </c>
      <c r="BQ1145" s="547">
        <v>0</v>
      </c>
      <c r="BR1145" s="547">
        <v>0</v>
      </c>
      <c r="BS1145" s="547">
        <v>384</v>
      </c>
      <c r="BT1145" s="547">
        <v>0</v>
      </c>
      <c r="BU1145" s="547">
        <v>1</v>
      </c>
      <c r="BV1145" s="547">
        <v>0</v>
      </c>
      <c r="BW1145" s="547">
        <v>0</v>
      </c>
      <c r="BX1145" s="547">
        <v>1</v>
      </c>
      <c r="BY1145" s="547">
        <v>0</v>
      </c>
      <c r="BZ1145" s="547" t="s">
        <v>709</v>
      </c>
      <c r="CA1145" s="483"/>
      <c r="CB1145" s="547">
        <v>1143</v>
      </c>
      <c r="CC1145" s="1481" t="b">
        <v>1</v>
      </c>
      <c r="CD1145" s="879" t="str">
        <f>Table15[[#This Row],[Engineering Number]]&amp;Table15[[#This Row],[WO Number]]&amp;Table15[[#This Row],[Date Assigned to Designer]]&amp;Table15[[#This Row],[Date Completed]]</f>
        <v>RS109310120084536445370</v>
      </c>
    </row>
    <row r="1146" spans="1:82" customFormat="1" ht="15" customHeight="1" x14ac:dyDescent="0.25">
      <c r="A1146">
        <v>2024</v>
      </c>
      <c r="B1146" s="8" t="s">
        <v>1073</v>
      </c>
      <c r="C1146" s="8" t="s">
        <v>1074</v>
      </c>
      <c r="D1146" s="8" t="s">
        <v>1075</v>
      </c>
      <c r="E1146" s="8" t="s">
        <v>818</v>
      </c>
      <c r="F1146" s="8" t="s">
        <v>851</v>
      </c>
      <c r="G1146" s="8" t="s">
        <v>36</v>
      </c>
      <c r="H1146" s="8" t="s">
        <v>59</v>
      </c>
      <c r="I1146" s="642">
        <v>45307</v>
      </c>
      <c r="J1146" s="18">
        <v>45377</v>
      </c>
      <c r="K1146" s="97">
        <v>45371</v>
      </c>
      <c r="L1146" s="16">
        <f>IF(ISTEXT(Table15[[#This Row],[Engineering Approved Design Date]]),Table15[[#This Row],[Date Completed]]-Table15[[#This Row],[Date Assigned to Designer]],Table15[[#This Row],[Engineering Approved Design Date]]-Table15[[#This Row],[Date Completed]])</f>
        <v>6</v>
      </c>
      <c r="M1146" s="642"/>
      <c r="N1146" s="642" t="s">
        <v>120</v>
      </c>
      <c r="O1146" s="1060">
        <v>45352</v>
      </c>
      <c r="P1146" s="1152" t="s">
        <v>739</v>
      </c>
      <c r="Q1146" s="340">
        <f>Table15[[#This Row],[Rate]]*Table15[[#This Row],[Construction Cost to Bill From]]</f>
        <v>29150.774399999998</v>
      </c>
      <c r="R1146" s="1026">
        <v>0.08</v>
      </c>
      <c r="S1146" s="538"/>
      <c r="T1146" s="538"/>
      <c r="U1146" s="87"/>
      <c r="V1146" s="858">
        <v>2138</v>
      </c>
      <c r="W1146" s="437">
        <v>0</v>
      </c>
      <c r="X1146" s="556">
        <v>364384.68</v>
      </c>
      <c r="Y1146" s="595"/>
      <c r="Z1146" s="570">
        <v>0</v>
      </c>
      <c r="AA1146" s="552">
        <f>Table15[[#This Row],[PCTS Retirement Amount]]+Table15[[#This Row],[PCTS Investment Amount]]</f>
        <v>364384.68</v>
      </c>
      <c r="AB1146" s="341">
        <v>45371</v>
      </c>
      <c r="AC1146" s="569" t="s">
        <v>709</v>
      </c>
      <c r="AD1146" s="1149" t="s">
        <v>29</v>
      </c>
      <c r="AE1146" s="568" t="s">
        <v>116</v>
      </c>
      <c r="AF1146" s="568" t="s">
        <v>116</v>
      </c>
      <c r="AG1146" s="569" t="s">
        <v>116</v>
      </c>
      <c r="AH1146" s="183" t="s">
        <v>116</v>
      </c>
      <c r="AI1146" s="1028">
        <v>0</v>
      </c>
      <c r="AJ1146" s="1029">
        <v>0</v>
      </c>
      <c r="AK1146" s="1029">
        <v>6332</v>
      </c>
      <c r="AL1146" s="1030">
        <f>SUM(Table15[[#This Row],[Nicor Initiated DBE]:[Staffing]])/(Table15[[#This Row],[Amount Invoiced]])</f>
        <v>0.21721549874160462</v>
      </c>
      <c r="AM1146" s="1522" t="s">
        <v>116</v>
      </c>
      <c r="AN1146" s="1523">
        <v>45468</v>
      </c>
      <c r="AO1146" s="1524">
        <v>11084897</v>
      </c>
      <c r="AP1146" s="1525">
        <v>364412.66</v>
      </c>
      <c r="AQ1146" s="1525"/>
      <c r="AR1146" s="1525">
        <v>0</v>
      </c>
      <c r="AS1146" s="1525">
        <v>364412.66</v>
      </c>
      <c r="AT1146" s="1525">
        <v>27.979999999981374</v>
      </c>
      <c r="AU1146" s="1525">
        <v>2.23839999999851</v>
      </c>
      <c r="AV1146" s="1525">
        <v>0</v>
      </c>
      <c r="AW1146" s="1526" t="s">
        <v>1076</v>
      </c>
      <c r="AX1146" s="1525">
        <v>2.2400000000000002</v>
      </c>
      <c r="AY1146" s="1518">
        <v>45566</v>
      </c>
      <c r="AZ1146" s="333">
        <v>20</v>
      </c>
      <c r="BA1146" s="1074" t="s">
        <v>1077</v>
      </c>
      <c r="BB1146" s="644" t="s">
        <v>1078</v>
      </c>
      <c r="BC1146" s="559" t="s">
        <v>115</v>
      </c>
      <c r="BD1146" s="554" t="s">
        <v>115</v>
      </c>
      <c r="BE1146" s="588" t="s">
        <v>822</v>
      </c>
      <c r="BF1146" s="588" t="s">
        <v>115</v>
      </c>
      <c r="BG1146" s="548" t="s">
        <v>115</v>
      </c>
      <c r="BH1146" s="615" t="s">
        <v>1079</v>
      </c>
      <c r="BI1146" s="547" t="s">
        <v>709</v>
      </c>
      <c r="BJ1146" s="547" t="s">
        <v>709</v>
      </c>
      <c r="BK1146" s="547" t="s">
        <v>709</v>
      </c>
      <c r="BL1146" s="547" t="s">
        <v>116</v>
      </c>
      <c r="BM1146" s="547" t="s">
        <v>709</v>
      </c>
      <c r="BN1146" s="547" t="s">
        <v>709</v>
      </c>
      <c r="BO1146" s="547" t="s">
        <v>709</v>
      </c>
      <c r="BP1146" s="547" t="s">
        <v>709</v>
      </c>
      <c r="BQ1146" s="547" t="s">
        <v>709</v>
      </c>
      <c r="BR1146" s="547">
        <v>1033</v>
      </c>
      <c r="BS1146" s="547">
        <v>1105</v>
      </c>
      <c r="BT1146" s="547" t="s">
        <v>709</v>
      </c>
      <c r="BU1146" s="547" t="s">
        <v>709</v>
      </c>
      <c r="BV1146" s="547" t="s">
        <v>709</v>
      </c>
      <c r="BW1146" s="547" t="s">
        <v>709</v>
      </c>
      <c r="BX1146" s="547" t="s">
        <v>709</v>
      </c>
      <c r="BY1146" s="547" t="s">
        <v>709</v>
      </c>
      <c r="BZ1146" s="547" t="s">
        <v>709</v>
      </c>
      <c r="CA1146" s="482" t="s">
        <v>1080</v>
      </c>
      <c r="CB1146" s="547">
        <v>1144</v>
      </c>
      <c r="CC1146" s="1481" t="b">
        <v>1</v>
      </c>
      <c r="CD1146" s="879" t="str">
        <f>Table15[[#This Row],[Engineering Number]]&amp;Table15[[#This Row],[WO Number]]&amp;Table15[[#This Row],[Date Assigned to Designer]]&amp;Table15[[#This Row],[Date Completed]]</f>
        <v>NBA1001308815134794530745371</v>
      </c>
    </row>
    <row r="1147" spans="1:82" customFormat="1" ht="15" customHeight="1" x14ac:dyDescent="0.25">
      <c r="A1147">
        <v>2024</v>
      </c>
      <c r="B1147" s="8" t="s">
        <v>4</v>
      </c>
      <c r="C1147" s="8" t="s">
        <v>1115</v>
      </c>
      <c r="D1147" s="8" t="s">
        <v>1116</v>
      </c>
      <c r="E1147" s="8" t="s">
        <v>1117</v>
      </c>
      <c r="F1147" s="8" t="s">
        <v>784</v>
      </c>
      <c r="G1147" s="8" t="s">
        <v>35</v>
      </c>
      <c r="H1147" s="8" t="s">
        <v>59</v>
      </c>
      <c r="I1147" s="642">
        <v>45307</v>
      </c>
      <c r="J1147" s="18">
        <v>45380</v>
      </c>
      <c r="K1147" s="97">
        <v>45376</v>
      </c>
      <c r="L1147" s="16">
        <f>IF(ISTEXT(Table15[[#This Row],[Engineering Approved Design Date]]),Table15[[#This Row],[Date Completed]]-Table15[[#This Row],[Date Assigned to Designer]],Table15[[#This Row],[Engineering Approved Design Date]]-Table15[[#This Row],[Date Completed]])</f>
        <v>4</v>
      </c>
      <c r="M1147" s="642"/>
      <c r="N1147" s="642" t="s">
        <v>120</v>
      </c>
      <c r="O1147" s="1060">
        <v>45352</v>
      </c>
      <c r="P1147" s="1152" t="s">
        <v>739</v>
      </c>
      <c r="Q1147" s="340">
        <f>Table15[[#This Row],[Rate]]*Table15[[#This Row],[Construction Cost to Bill From]]</f>
        <v>54325.762000000002</v>
      </c>
      <c r="R1147" s="1026">
        <v>0.1</v>
      </c>
      <c r="S1147" s="538"/>
      <c r="T1147" s="538"/>
      <c r="U1147" s="87"/>
      <c r="V1147" s="858">
        <f>964+48+27</f>
        <v>1039</v>
      </c>
      <c r="W1147" s="437">
        <v>0</v>
      </c>
      <c r="X1147" s="556">
        <v>457410.42</v>
      </c>
      <c r="Y1147" s="595"/>
      <c r="Z1147" s="570">
        <v>85847.2</v>
      </c>
      <c r="AA1147" s="552">
        <f>Table15[[#This Row],[PCTS Retirement Amount]]+Table15[[#This Row],[PCTS Investment Amount]]</f>
        <v>543257.62</v>
      </c>
      <c r="AB1147" s="341">
        <v>45369</v>
      </c>
      <c r="AC1147" s="569" t="s">
        <v>709</v>
      </c>
      <c r="AD1147" s="1149" t="s">
        <v>29</v>
      </c>
      <c r="AE1147" s="568" t="s">
        <v>116</v>
      </c>
      <c r="AF1147" s="568" t="s">
        <v>116</v>
      </c>
      <c r="AG1147" s="568" t="s">
        <v>376</v>
      </c>
      <c r="AH1147" s="183">
        <v>45406</v>
      </c>
      <c r="AI1147" s="1028">
        <v>0</v>
      </c>
      <c r="AJ1147" s="1029">
        <v>11870</v>
      </c>
      <c r="AK1147" s="1029">
        <v>14616.5</v>
      </c>
      <c r="AL1147" s="1030">
        <f>SUM(Table15[[#This Row],[Nicor Initiated DBE]:[Staffing]])/(Table15[[#This Row],[Amount Invoiced]])</f>
        <v>0.48754953497016756</v>
      </c>
      <c r="AM1147" s="1522" t="s">
        <v>116</v>
      </c>
      <c r="AN1147" s="1523">
        <v>45482</v>
      </c>
      <c r="AO1147" s="1524">
        <v>11085908</v>
      </c>
      <c r="AP1147" s="1525">
        <v>457231.43</v>
      </c>
      <c r="AQ1147" s="1525"/>
      <c r="AR1147" s="1525">
        <v>87246.76</v>
      </c>
      <c r="AS1147" s="1525">
        <f>IF(Table15[[#This Row],[PCTS Approved]]="N",0,Table15[[#This Row],[Investment Amount (1'#'#'#'#'#)]]+Table15[[#This Row],[Retirement Amount (3'#'#'#'#'#)]])</f>
        <v>544478.18999999994</v>
      </c>
      <c r="AT1147" s="1525">
        <f>IF(Table15[[#This Row],[Approved Construction Cost]]=0,0,Table15[[#This Row],[Approved Construction Cost]]-Table15[[#This Row],[Construction Cost to Bill From]])</f>
        <v>1220.5699999999488</v>
      </c>
      <c r="AU1147" s="1525">
        <f>IFERROR(Table15[[#This Row],[Difference in Construction Cost]]*Table15[[#This Row],[Rate]],Table15[[#This Row],[Difference in Construction Cost]]*0.085)</f>
        <v>122.05699999999489</v>
      </c>
      <c r="AV1147" s="1525">
        <v>0</v>
      </c>
      <c r="AW1147" s="1526" t="s">
        <v>6238</v>
      </c>
      <c r="AX1147" s="1525">
        <f>Table15[[#This Row],[Reconcile Amount]]</f>
        <v>122.05699999999489</v>
      </c>
      <c r="AY1147" s="1518">
        <v>45901</v>
      </c>
      <c r="AZ1147" s="333">
        <v>133</v>
      </c>
      <c r="BA1147" s="1074" t="s">
        <v>1119</v>
      </c>
      <c r="BB1147" s="644" t="s">
        <v>1120</v>
      </c>
      <c r="BC1147" s="559" t="s">
        <v>116</v>
      </c>
      <c r="BD1147" s="554" t="s">
        <v>115</v>
      </c>
      <c r="BE1147" s="588" t="s">
        <v>115</v>
      </c>
      <c r="BF1147" s="588" t="s">
        <v>115</v>
      </c>
      <c r="BG1147" s="588" t="s">
        <v>115</v>
      </c>
      <c r="BH1147" s="615" t="s">
        <v>1121</v>
      </c>
      <c r="BI1147" s="547" t="s">
        <v>709</v>
      </c>
      <c r="BJ1147" s="549" t="s">
        <v>709</v>
      </c>
      <c r="BK1147" s="547" t="s">
        <v>116</v>
      </c>
      <c r="BL1147" s="547" t="s">
        <v>116</v>
      </c>
      <c r="BM1147" s="626" t="s">
        <v>709</v>
      </c>
      <c r="BN1147" s="549" t="s">
        <v>709</v>
      </c>
      <c r="BO1147" s="626" t="s">
        <v>709</v>
      </c>
      <c r="BP1147" s="626" t="s">
        <v>709</v>
      </c>
      <c r="BQ1147" s="549">
        <v>75</v>
      </c>
      <c r="BR1147" s="549">
        <v>0</v>
      </c>
      <c r="BS1147" s="549">
        <v>964</v>
      </c>
      <c r="BT1147" s="549" t="s">
        <v>745</v>
      </c>
      <c r="BU1147" s="549" t="s">
        <v>709</v>
      </c>
      <c r="BV1147" s="549" t="s">
        <v>745</v>
      </c>
      <c r="BW1147" s="549" t="s">
        <v>709</v>
      </c>
      <c r="BX1147" s="547" t="s">
        <v>745</v>
      </c>
      <c r="BY1147" s="549" t="s">
        <v>745</v>
      </c>
      <c r="BZ1147" s="547" t="s">
        <v>709</v>
      </c>
      <c r="CA1147" s="483"/>
      <c r="CB1147" s="547">
        <v>1145</v>
      </c>
      <c r="CC1147" s="1481" t="b">
        <v>1</v>
      </c>
      <c r="CD1147" s="879" t="str">
        <f>Table15[[#This Row],[Engineering Number]]&amp;Table15[[#This Row],[WO Number]]&amp;Table15[[#This Row],[Date Assigned to Designer]]&amp;Table15[[#This Row],[Date Completed]]</f>
        <v>N1829612135964530745376</v>
      </c>
    </row>
    <row r="1148" spans="1:82" customFormat="1" ht="15" customHeight="1" x14ac:dyDescent="0.25">
      <c r="A1148">
        <v>2025</v>
      </c>
      <c r="B1148" t="s">
        <v>1205</v>
      </c>
      <c r="C1148" t="s">
        <v>1498</v>
      </c>
      <c r="D1148" s="13">
        <v>1211570</v>
      </c>
      <c r="E1148" t="s">
        <v>1500</v>
      </c>
      <c r="F1148" t="s">
        <v>1501</v>
      </c>
      <c r="G1148" t="s">
        <v>22</v>
      </c>
      <c r="H1148" s="8" t="s">
        <v>3178</v>
      </c>
      <c r="I1148" s="642">
        <v>45125</v>
      </c>
      <c r="J1148" s="11" t="s">
        <v>2052</v>
      </c>
      <c r="K1148" s="642">
        <v>45387</v>
      </c>
      <c r="L1148" s="649">
        <f>IF(ISTEXT(Table15[[#This Row],[Engineering Approved Design Date]]),Table15[[#This Row],[Date Completed]]-Table15[[#This Row],[Date Assigned to Designer]],Table15[[#This Row],[Engineering Approved Design Date]]-Table15[[#This Row],[Date Completed]])</f>
        <v>262</v>
      </c>
      <c r="M1148" t="s">
        <v>6240</v>
      </c>
      <c r="N1148" s="1121" t="s">
        <v>120</v>
      </c>
      <c r="O1148" s="1060">
        <v>45383</v>
      </c>
      <c r="P1148" s="1152" t="s">
        <v>120</v>
      </c>
      <c r="Q1148" s="1061" t="str">
        <f>Table15[[#This Row],[KH Hourly Effort]]</f>
        <v xml:space="preserve">9,887.50	</v>
      </c>
      <c r="R1148" s="1039" t="s">
        <v>1922</v>
      </c>
      <c r="S1148" s="538">
        <v>0</v>
      </c>
      <c r="T1148" s="538">
        <v>0</v>
      </c>
      <c r="U1148" s="28" t="s">
        <v>6241</v>
      </c>
      <c r="V1148" s="858">
        <v>0</v>
      </c>
      <c r="W1148" s="437">
        <v>0</v>
      </c>
      <c r="X1148" s="538"/>
      <c r="Y1148" s="550"/>
      <c r="Z1148" s="538"/>
      <c r="AA1148" s="561"/>
      <c r="AB1148" s="476" t="s">
        <v>29</v>
      </c>
      <c r="AC1148" s="576" t="s">
        <v>29</v>
      </c>
      <c r="AD1148" s="1158" t="s">
        <v>29</v>
      </c>
      <c r="AE1148" s="568" t="s">
        <v>116</v>
      </c>
      <c r="AF1148" s="576" t="s">
        <v>116</v>
      </c>
      <c r="AG1148" s="569" t="s">
        <v>29</v>
      </c>
      <c r="AH1148" s="183" t="s">
        <v>29</v>
      </c>
      <c r="AI1148" s="1028"/>
      <c r="AJ1148" s="1029"/>
      <c r="AK1148" s="1029"/>
      <c r="AL1148" s="1030"/>
      <c r="AM1148" s="542" t="s">
        <v>709</v>
      </c>
      <c r="AN1148" s="924"/>
      <c r="AO1148" s="925"/>
      <c r="AP1148" s="926"/>
      <c r="AQ1148" s="926"/>
      <c r="AR1148" s="926"/>
      <c r="AS1148" s="926"/>
      <c r="AT1148" s="926"/>
      <c r="AU1148" s="926"/>
      <c r="AV1148" s="926"/>
      <c r="AW1148" s="927"/>
      <c r="AX1148" s="926"/>
      <c r="AY1148" s="1538" t="s">
        <v>29</v>
      </c>
      <c r="AZ1148" s="1532"/>
      <c r="BA1148" s="1098">
        <v>1</v>
      </c>
      <c r="BB1148" s="543" t="s">
        <v>6242</v>
      </c>
      <c r="BC1148" s="559" t="s">
        <v>992</v>
      </c>
      <c r="BD1148" s="554" t="s">
        <v>709</v>
      </c>
      <c r="BE1148" s="588" t="s">
        <v>1504</v>
      </c>
      <c r="BF1148" s="588" t="s">
        <v>709</v>
      </c>
      <c r="BG1148" s="544" t="s">
        <v>6243</v>
      </c>
      <c r="BH1148" s="615" t="s">
        <v>6244</v>
      </c>
      <c r="BI1148" s="547" t="s">
        <v>709</v>
      </c>
      <c r="BJ1148" s="547" t="s">
        <v>709</v>
      </c>
      <c r="BK1148" s="547" t="s">
        <v>116</v>
      </c>
      <c r="BL1148" s="547" t="s">
        <v>709</v>
      </c>
      <c r="BM1148" s="547" t="s">
        <v>709</v>
      </c>
      <c r="BN1148" s="547" t="s">
        <v>709</v>
      </c>
      <c r="BO1148" s="547" t="s">
        <v>709</v>
      </c>
      <c r="BP1148" s="547" t="s">
        <v>709</v>
      </c>
      <c r="BQ1148" s="547" t="s">
        <v>709</v>
      </c>
      <c r="BR1148" s="547" t="s">
        <v>709</v>
      </c>
      <c r="BS1148" s="547" t="s">
        <v>709</v>
      </c>
      <c r="BT1148" s="547" t="s">
        <v>709</v>
      </c>
      <c r="BU1148" s="547" t="s">
        <v>709</v>
      </c>
      <c r="BV1148" s="547" t="s">
        <v>709</v>
      </c>
      <c r="BW1148" s="547" t="s">
        <v>709</v>
      </c>
      <c r="BX1148" s="547" t="s">
        <v>709</v>
      </c>
      <c r="BY1148" s="547" t="s">
        <v>709</v>
      </c>
      <c r="BZ1148" s="547" t="s">
        <v>709</v>
      </c>
      <c r="CA1148" s="482" t="s">
        <v>6245</v>
      </c>
      <c r="CB1148" s="547">
        <v>1146</v>
      </c>
      <c r="CC1148" s="1481" t="b">
        <v>1</v>
      </c>
      <c r="CD1148" s="879" t="str">
        <f>Table15[[#This Row],[Engineering Number]]&amp;Table15[[#This Row],[WO Number]]&amp;Table15[[#This Row],[Date Assigned to Designer]]&amp;Table15[[#This Row],[Date Completed]]</f>
        <v>MR189912115704512545387</v>
      </c>
    </row>
    <row r="1149" spans="1:82" customFormat="1" ht="15" customHeight="1" x14ac:dyDescent="0.25">
      <c r="A1149">
        <v>2024</v>
      </c>
      <c r="B1149" s="8" t="s">
        <v>4</v>
      </c>
      <c r="C1149" s="8" t="s">
        <v>6130</v>
      </c>
      <c r="D1149" s="8" t="s">
        <v>6247</v>
      </c>
      <c r="E1149" s="8" t="s">
        <v>818</v>
      </c>
      <c r="F1149" s="8" t="s">
        <v>851</v>
      </c>
      <c r="G1149" s="8" t="s">
        <v>25</v>
      </c>
      <c r="H1149" s="8" t="s">
        <v>1681</v>
      </c>
      <c r="I1149" s="642">
        <v>45100</v>
      </c>
      <c r="J1149" s="18">
        <v>45401</v>
      </c>
      <c r="K1149" s="175">
        <v>45392</v>
      </c>
      <c r="L1149" s="16">
        <f>IF(ISTEXT(Table15[[#This Row],[Engineering Approved Design Date]]),Table15[[#This Row],[Date Completed]]-Table15[[#This Row],[Date Assigned to Designer]],Table15[[#This Row],[Engineering Approved Design Date]]-Table15[[#This Row],[Date Completed]])</f>
        <v>9</v>
      </c>
      <c r="N1149" s="642" t="s">
        <v>120</v>
      </c>
      <c r="O1149" s="1060">
        <v>45383</v>
      </c>
      <c r="P1149" s="1152" t="s">
        <v>739</v>
      </c>
      <c r="Q1149" s="340" t="s">
        <v>115</v>
      </c>
      <c r="R1149" s="1026" t="s">
        <v>115</v>
      </c>
      <c r="S1149" s="538"/>
      <c r="T1149" s="538"/>
      <c r="U1149" s="28"/>
      <c r="V1149" s="858"/>
      <c r="W1149" s="437"/>
      <c r="X1149" s="538"/>
      <c r="Y1149" s="550"/>
      <c r="Z1149" s="538"/>
      <c r="AA1149" s="552"/>
      <c r="AB1149" s="341" t="s">
        <v>29</v>
      </c>
      <c r="AC1149" s="569" t="s">
        <v>29</v>
      </c>
      <c r="AD1149" s="1157" t="s">
        <v>29</v>
      </c>
      <c r="AE1149" s="568" t="s">
        <v>756</v>
      </c>
      <c r="AF1149" s="569" t="s">
        <v>116</v>
      </c>
      <c r="AG1149" s="569" t="s">
        <v>29</v>
      </c>
      <c r="AH1149" s="183">
        <v>45475</v>
      </c>
      <c r="AI1149" s="1028"/>
      <c r="AJ1149" s="1029"/>
      <c r="AK1149" s="1029"/>
      <c r="AL1149" s="1030"/>
      <c r="AM1149" s="542" t="s">
        <v>709</v>
      </c>
      <c r="AN1149" s="924"/>
      <c r="AO1149" s="925"/>
      <c r="AP1149" s="926"/>
      <c r="AQ1149" s="926"/>
      <c r="AR1149" s="926"/>
      <c r="AS1149" s="926"/>
      <c r="AT1149" s="926"/>
      <c r="AU1149" s="926"/>
      <c r="AV1149" s="926"/>
      <c r="AW1149" s="927"/>
      <c r="AX1149" s="926"/>
      <c r="AY1149" s="1538" t="s">
        <v>29</v>
      </c>
      <c r="AZ1149" s="1530"/>
      <c r="BA1149" s="1068" t="s">
        <v>6248</v>
      </c>
      <c r="BB1149" s="644" t="s">
        <v>961</v>
      </c>
      <c r="BC1149" s="559" t="s">
        <v>709</v>
      </c>
      <c r="BD1149" s="554" t="s">
        <v>788</v>
      </c>
      <c r="BE1149" s="588" t="s">
        <v>822</v>
      </c>
      <c r="BF1149" s="588" t="s">
        <v>822</v>
      </c>
      <c r="BG1149" s="548" t="s">
        <v>709</v>
      </c>
      <c r="BH1149" s="615" t="s">
        <v>6249</v>
      </c>
      <c r="BI1149" s="1032"/>
      <c r="BJ1149" s="1032"/>
      <c r="BK1149" s="1032"/>
      <c r="BL1149" s="1032"/>
      <c r="BM1149" s="1032"/>
      <c r="BN1149" s="1070"/>
      <c r="BO1149" s="1032"/>
      <c r="BP1149" s="1071"/>
      <c r="BQ1149" s="1070"/>
      <c r="BR1149" s="1070"/>
      <c r="BS1149" s="1070"/>
      <c r="BT1149" s="1070"/>
      <c r="BU1149" s="1070"/>
      <c r="BV1149" s="1070"/>
      <c r="BW1149" s="1070"/>
      <c r="BX1149" s="1032"/>
      <c r="BY1149" s="1072"/>
      <c r="BZ1149" s="1072"/>
      <c r="CA1149" s="485" t="s">
        <v>915</v>
      </c>
      <c r="CB1149" s="547">
        <v>1147</v>
      </c>
      <c r="CC1149" s="1481" t="b">
        <v>1</v>
      </c>
      <c r="CD1149" s="879" t="str">
        <f>Table15[[#This Row],[Engineering Number]]&amp;Table15[[#This Row],[WO Number]]&amp;Table15[[#This Row],[Date Assigned to Designer]]&amp;Table15[[#This Row],[Date Completed]]</f>
        <v>SC2332313131404510045392</v>
      </c>
    </row>
    <row r="1150" spans="1:82" customFormat="1" ht="15" customHeight="1" x14ac:dyDescent="0.25">
      <c r="A1150">
        <v>2024</v>
      </c>
      <c r="B1150" s="8" t="s">
        <v>4</v>
      </c>
      <c r="C1150" s="8" t="s">
        <v>1761</v>
      </c>
      <c r="D1150" s="8" t="s">
        <v>1762</v>
      </c>
      <c r="E1150" s="8" t="s">
        <v>1763</v>
      </c>
      <c r="F1150" s="8" t="s">
        <v>784</v>
      </c>
      <c r="G1150" s="8" t="s">
        <v>31</v>
      </c>
      <c r="H1150" s="8" t="s">
        <v>413</v>
      </c>
      <c r="I1150" s="642">
        <v>45251</v>
      </c>
      <c r="J1150" s="18">
        <v>45401</v>
      </c>
      <c r="K1150" s="97">
        <v>45399</v>
      </c>
      <c r="L1150" s="16">
        <f>IF(ISTEXT(Table15[[#This Row],[Engineering Approved Design Date]]),Table15[[#This Row],[Date Completed]]-Table15[[#This Row],[Date Assigned to Designer]],Table15[[#This Row],[Engineering Approved Design Date]]-Table15[[#This Row],[Date Completed]])</f>
        <v>2</v>
      </c>
      <c r="M1150" s="642"/>
      <c r="N1150" s="642" t="s">
        <v>120</v>
      </c>
      <c r="O1150" s="1060">
        <v>45383</v>
      </c>
      <c r="P1150" s="1152" t="s">
        <v>739</v>
      </c>
      <c r="Q1150" s="340">
        <f>Table15[[#This Row],[Rate]]*Table15[[#This Row],[Construction Cost to Bill From]]</f>
        <v>39601.827000000005</v>
      </c>
      <c r="R1150" s="1026">
        <v>0.1</v>
      </c>
      <c r="S1150" s="538"/>
      <c r="T1150" s="538"/>
      <c r="U1150" s="87"/>
      <c r="V1150" s="858">
        <v>869</v>
      </c>
      <c r="W1150" s="437">
        <v>0</v>
      </c>
      <c r="X1150" s="556">
        <v>329235.82</v>
      </c>
      <c r="Y1150" s="595"/>
      <c r="Z1150" s="570">
        <v>66782.45</v>
      </c>
      <c r="AA1150" s="552">
        <f>SUM(Table15[[#This Row],[PCTS Investment Amount]:[PCTS Retirement Amount]])</f>
        <v>396018.27</v>
      </c>
      <c r="AB1150" s="341">
        <v>45392</v>
      </c>
      <c r="AC1150" s="569" t="s">
        <v>709</v>
      </c>
      <c r="AD1150" s="1149" t="s">
        <v>29</v>
      </c>
      <c r="AE1150" s="568" t="s">
        <v>116</v>
      </c>
      <c r="AF1150" s="568" t="s">
        <v>116</v>
      </c>
      <c r="AG1150" s="568" t="s">
        <v>116</v>
      </c>
      <c r="AH1150" s="183">
        <v>45475</v>
      </c>
      <c r="AI1150" s="1028">
        <v>0</v>
      </c>
      <c r="AJ1150" s="1029">
        <f>5478.94</f>
        <v>5478.94</v>
      </c>
      <c r="AK1150" s="1029">
        <f>1975.75+3227</f>
        <v>5202.75</v>
      </c>
      <c r="AL1150" s="1030">
        <f>SUM(Table15[[#This Row],[Nicor Initiated DBE]:[Staffing]])/(Table15[[#This Row],[Amount Invoiced]])</f>
        <v>0.26972720223236157</v>
      </c>
      <c r="AM1150" s="1522" t="s">
        <v>116</v>
      </c>
      <c r="AN1150" s="1523">
        <v>45540</v>
      </c>
      <c r="AO1150" s="1524">
        <v>11090611</v>
      </c>
      <c r="AP1150" s="1525">
        <v>335487.15000000002</v>
      </c>
      <c r="AQ1150" s="1525"/>
      <c r="AR1150" s="1525">
        <v>66866.66</v>
      </c>
      <c r="AS1150" s="1525">
        <f>IF(Table15[[#This Row],[PCTS Approved]]="N",0,Table15[[#This Row],[Investment Amount (1'#'#'#'#'#)]]+Table15[[#This Row],[Retirement Amount (3'#'#'#'#'#)]])</f>
        <v>402353.81000000006</v>
      </c>
      <c r="AT1150" s="1525">
        <f>IF(Table15[[#This Row],[Approved Construction Cost]]=0,0,Table15[[#This Row],[Approved Construction Cost]]-Table15[[#This Row],[Construction Cost to Bill From]])</f>
        <v>6335.5400000000373</v>
      </c>
      <c r="AU1150" s="1525">
        <f>IFERROR(Table15[[#This Row],[Difference in Construction Cost]]*Table15[[#This Row],[Rate]],Table15[[#This Row],[Difference in Construction Cost]]*0.085)</f>
        <v>633.55400000000373</v>
      </c>
      <c r="AV1150" s="1525">
        <v>0</v>
      </c>
      <c r="AW1150" s="1526" t="s">
        <v>6251</v>
      </c>
      <c r="AX1150" s="1525">
        <f>Table15[[#This Row],[Reconcile Amount]]</f>
        <v>633.55400000000373</v>
      </c>
      <c r="AY1150" s="1518">
        <v>45901</v>
      </c>
      <c r="AZ1150" s="333">
        <v>134</v>
      </c>
      <c r="BA1150" s="1074" t="s">
        <v>1764</v>
      </c>
      <c r="BB1150" s="644" t="s">
        <v>1765</v>
      </c>
      <c r="BC1150" s="544" t="s">
        <v>115</v>
      </c>
      <c r="BD1150" s="554" t="s">
        <v>882</v>
      </c>
      <c r="BE1150" s="588" t="s">
        <v>1766</v>
      </c>
      <c r="BF1150" s="588" t="s">
        <v>1767</v>
      </c>
      <c r="BG1150" s="588" t="s">
        <v>115</v>
      </c>
      <c r="BH1150" s="615" t="s">
        <v>1768</v>
      </c>
      <c r="BI1150" s="547" t="s">
        <v>709</v>
      </c>
      <c r="BJ1150" s="549" t="s">
        <v>709</v>
      </c>
      <c r="BK1150" s="547" t="s">
        <v>709</v>
      </c>
      <c r="BL1150" s="547" t="s">
        <v>116</v>
      </c>
      <c r="BM1150" s="626" t="s">
        <v>709</v>
      </c>
      <c r="BN1150" s="626" t="s">
        <v>709</v>
      </c>
      <c r="BO1150" s="626" t="s">
        <v>709</v>
      </c>
      <c r="BP1150" s="626" t="s">
        <v>709</v>
      </c>
      <c r="BQ1150" s="626" t="s">
        <v>709</v>
      </c>
      <c r="BR1150" s="549" t="s">
        <v>709</v>
      </c>
      <c r="BS1150" s="549">
        <v>869</v>
      </c>
      <c r="BT1150" s="549" t="s">
        <v>709</v>
      </c>
      <c r="BU1150" s="549" t="s">
        <v>709</v>
      </c>
      <c r="BV1150" s="549" t="s">
        <v>709</v>
      </c>
      <c r="BW1150" s="549" t="s">
        <v>709</v>
      </c>
      <c r="BX1150" s="547" t="s">
        <v>709</v>
      </c>
      <c r="BY1150" s="549" t="s">
        <v>709</v>
      </c>
      <c r="BZ1150" s="547" t="s">
        <v>709</v>
      </c>
      <c r="CA1150" s="483"/>
      <c r="CB1150" s="547">
        <v>1148</v>
      </c>
      <c r="CC1150" s="1481" t="b">
        <v>1</v>
      </c>
      <c r="CD1150" s="879" t="str">
        <f>Table15[[#This Row],[Engineering Number]]&amp;Table15[[#This Row],[WO Number]]&amp;Table15[[#This Row],[Date Assigned to Designer]]&amp;Table15[[#This Row],[Date Completed]]</f>
        <v>M13270 12134834525145399</v>
      </c>
    </row>
    <row r="1151" spans="1:82" customFormat="1" ht="15" customHeight="1" x14ac:dyDescent="0.25">
      <c r="A1151">
        <v>2024</v>
      </c>
      <c r="B1151" s="8" t="s">
        <v>4</v>
      </c>
      <c r="C1151" s="8" t="s">
        <v>1769</v>
      </c>
      <c r="D1151" s="8" t="s">
        <v>1770</v>
      </c>
      <c r="E1151" s="8" t="s">
        <v>910</v>
      </c>
      <c r="F1151" s="8" t="s">
        <v>784</v>
      </c>
      <c r="G1151" s="8" t="s">
        <v>25</v>
      </c>
      <c r="H1151" s="8" t="s">
        <v>59</v>
      </c>
      <c r="I1151" s="642">
        <v>45293</v>
      </c>
      <c r="J1151" s="18">
        <v>45411</v>
      </c>
      <c r="K1151" s="97">
        <v>45400</v>
      </c>
      <c r="L1151" s="16">
        <f>IF(ISTEXT(Table15[[#This Row],[Engineering Approved Design Date]]),Table15[[#This Row],[Date Completed]]-Table15[[#This Row],[Date Assigned to Designer]],Table15[[#This Row],[Engineering Approved Design Date]]-Table15[[#This Row],[Date Completed]])</f>
        <v>11</v>
      </c>
      <c r="M1151" s="642"/>
      <c r="N1151" s="642" t="s">
        <v>120</v>
      </c>
      <c r="O1151" s="1060">
        <v>45383</v>
      </c>
      <c r="P1151" s="1152" t="s">
        <v>739</v>
      </c>
      <c r="Q1151" s="340">
        <f>Table15[[#This Row],[Rate]]*Table15[[#This Row],[Construction Cost to Bill From]]</f>
        <v>78947.281000000017</v>
      </c>
      <c r="R1151" s="1026">
        <v>0.1</v>
      </c>
      <c r="S1151" s="538"/>
      <c r="T1151" s="538"/>
      <c r="U1151" s="87"/>
      <c r="V1151" s="858">
        <v>1231</v>
      </c>
      <c r="W1151" s="437">
        <v>0</v>
      </c>
      <c r="X1151" s="556">
        <v>635337.11</v>
      </c>
      <c r="Y1151" s="551"/>
      <c r="Z1151" s="570">
        <v>154135.70000000001</v>
      </c>
      <c r="AA1151" s="552">
        <f>SUM(Table15[[#This Row],[PCTS Investment Amount]:[PCTS Retirement Amount]])</f>
        <v>789472.81</v>
      </c>
      <c r="AB1151" s="341">
        <v>45392</v>
      </c>
      <c r="AC1151" s="569" t="s">
        <v>709</v>
      </c>
      <c r="AD1151" s="1149" t="s">
        <v>29</v>
      </c>
      <c r="AE1151" s="568" t="s">
        <v>116</v>
      </c>
      <c r="AF1151" s="568" t="s">
        <v>29</v>
      </c>
      <c r="AG1151" s="568" t="s">
        <v>376</v>
      </c>
      <c r="AH1151" s="183">
        <v>45475</v>
      </c>
      <c r="AI1151" s="1028">
        <v>0</v>
      </c>
      <c r="AJ1151" s="1029">
        <v>5900</v>
      </c>
      <c r="AK1151" s="1029">
        <v>13415.75</v>
      </c>
      <c r="AL1151" s="1030">
        <f>SUM(Table15[[#This Row],[Nicor Initiated DBE]:[Staffing]])/(Table15[[#This Row],[Amount Invoiced]])</f>
        <v>0.2446664375939685</v>
      </c>
      <c r="AM1151" s="1522" t="s">
        <v>116</v>
      </c>
      <c r="AN1151" s="1523">
        <v>45722</v>
      </c>
      <c r="AO1151" s="1524">
        <v>11099260</v>
      </c>
      <c r="AP1151" s="1525">
        <v>647401.43999999994</v>
      </c>
      <c r="AQ1151" s="1525"/>
      <c r="AR1151" s="1525">
        <v>158661.78</v>
      </c>
      <c r="AS1151" s="1525">
        <f>IF(Table15[[#This Row],[PCTS Approved]]="N",0,Table15[[#This Row],[Investment Amount (1'#'#'#'#'#)]]+Table15[[#This Row],[Retirement Amount (3'#'#'#'#'#)]])</f>
        <v>806063.22</v>
      </c>
      <c r="AT1151" s="1525">
        <f>IF(Table15[[#This Row],[Approved Construction Cost]]=0,0,Table15[[#This Row],[Approved Construction Cost]]-Table15[[#This Row],[Construction Cost to Bill From]])</f>
        <v>16590.409999999916</v>
      </c>
      <c r="AU1151" s="1525">
        <f>IFERROR(Table15[[#This Row],[Difference in Construction Cost]]*Table15[[#This Row],[Rate]],Table15[[#This Row],[Difference in Construction Cost]]*0.085)</f>
        <v>1659.0409999999918</v>
      </c>
      <c r="AV1151" s="1525">
        <v>0</v>
      </c>
      <c r="AW1151" s="1526" t="s">
        <v>6253</v>
      </c>
      <c r="AX1151" s="1525">
        <f>Table15[[#This Row],[Reconcile Amount]]</f>
        <v>1659.0409999999918</v>
      </c>
      <c r="AY1151" s="1518">
        <v>45901</v>
      </c>
      <c r="AZ1151" s="333">
        <v>135</v>
      </c>
      <c r="BA1151" s="1074" t="s">
        <v>1771</v>
      </c>
      <c r="BB1151" s="644" t="s">
        <v>870</v>
      </c>
      <c r="BC1151" s="559" t="s">
        <v>992</v>
      </c>
      <c r="BD1151" s="554" t="s">
        <v>115</v>
      </c>
      <c r="BE1151" s="588" t="s">
        <v>115</v>
      </c>
      <c r="BF1151" s="588" t="s">
        <v>115</v>
      </c>
      <c r="BG1151" s="588" t="s">
        <v>115</v>
      </c>
      <c r="BH1151" s="615" t="s">
        <v>1772</v>
      </c>
      <c r="BI1151" s="547" t="s">
        <v>709</v>
      </c>
      <c r="BJ1151" s="547" t="s">
        <v>709</v>
      </c>
      <c r="BK1151" s="547" t="s">
        <v>709</v>
      </c>
      <c r="BL1151" s="547" t="s">
        <v>116</v>
      </c>
      <c r="BM1151" s="547" t="s">
        <v>709</v>
      </c>
      <c r="BN1151" s="547" t="s">
        <v>709</v>
      </c>
      <c r="BO1151" s="547" t="s">
        <v>709</v>
      </c>
      <c r="BP1151" s="626" t="s">
        <v>709</v>
      </c>
      <c r="BQ1151" s="626">
        <v>1231</v>
      </c>
      <c r="BR1151" s="549" t="s">
        <v>709</v>
      </c>
      <c r="BS1151" s="549" t="s">
        <v>709</v>
      </c>
      <c r="BT1151" s="549" t="s">
        <v>745</v>
      </c>
      <c r="BU1151" s="549" t="s">
        <v>709</v>
      </c>
      <c r="BV1151" s="549" t="s">
        <v>745</v>
      </c>
      <c r="BW1151" s="549" t="s">
        <v>709</v>
      </c>
      <c r="BX1151" s="547" t="s">
        <v>745</v>
      </c>
      <c r="BY1151" s="549" t="s">
        <v>745</v>
      </c>
      <c r="BZ1151" s="547" t="s">
        <v>709</v>
      </c>
      <c r="CA1151" s="483" t="s">
        <v>1773</v>
      </c>
      <c r="CB1151" s="547">
        <v>1149</v>
      </c>
      <c r="CC1151" s="1481" t="b">
        <v>1</v>
      </c>
      <c r="CD1151" s="879" t="str">
        <f>Table15[[#This Row],[Engineering Number]]&amp;Table15[[#This Row],[WO Number]]&amp;Table15[[#This Row],[Date Assigned to Designer]]&amp;Table15[[#This Row],[Date Completed]]</f>
        <v>N1654212136734529345400</v>
      </c>
    </row>
    <row r="1152" spans="1:82" customFormat="1" ht="15" customHeight="1" x14ac:dyDescent="0.25">
      <c r="A1152">
        <v>2024</v>
      </c>
      <c r="B1152" s="8" t="s">
        <v>4</v>
      </c>
      <c r="C1152" s="8" t="s">
        <v>6255</v>
      </c>
      <c r="D1152" s="8">
        <v>1313599</v>
      </c>
      <c r="E1152" s="8" t="s">
        <v>822</v>
      </c>
      <c r="F1152" s="8" t="s">
        <v>6256</v>
      </c>
      <c r="G1152" s="8" t="s">
        <v>35</v>
      </c>
      <c r="H1152" s="8" t="s">
        <v>4189</v>
      </c>
      <c r="I1152" s="18">
        <v>45398</v>
      </c>
      <c r="J1152" s="175" t="s">
        <v>2052</v>
      </c>
      <c r="K1152" s="97">
        <v>45407</v>
      </c>
      <c r="L1152" s="16">
        <f>IF(ISTEXT(Table15[[#This Row],[Engineering Approved Design Date]]),Table15[[#This Row],[Date Completed]]-Table15[[#This Row],[Date Assigned to Designer]],Table15[[#This Row],[Engineering Approved Design Date]]-Table15[[#This Row],[Date Completed]])</f>
        <v>9</v>
      </c>
      <c r="M1152" s="642" t="s">
        <v>6257</v>
      </c>
      <c r="N1152" s="642" t="s">
        <v>120</v>
      </c>
      <c r="O1152" s="1060">
        <v>45413</v>
      </c>
      <c r="P1152" s="1152" t="s">
        <v>739</v>
      </c>
      <c r="Q1152" s="1061">
        <f>Table15[[#This Row],[Shactee Effort]]+Table15[[#This Row],[KH Hourly Effort]]</f>
        <v>2777.5</v>
      </c>
      <c r="R1152" s="1026" t="s">
        <v>1922</v>
      </c>
      <c r="S1152" s="538">
        <v>0</v>
      </c>
      <c r="T1152" s="538">
        <v>0</v>
      </c>
      <c r="U1152" s="1122">
        <v>2777.5</v>
      </c>
      <c r="V1152" s="857"/>
      <c r="W1152" s="440"/>
      <c r="X1152" s="538"/>
      <c r="Y1152" s="551"/>
      <c r="Z1152" s="538"/>
      <c r="AA1152" s="552">
        <f>SUM(Table15[[#This Row],[PCTS Investment Amount]:[PCTS Retirement Amount]])</f>
        <v>0</v>
      </c>
      <c r="AB1152" s="341" t="s">
        <v>29</v>
      </c>
      <c r="AC1152" s="569" t="s">
        <v>29</v>
      </c>
      <c r="AD1152" s="1149" t="s">
        <v>29</v>
      </c>
      <c r="AE1152" s="568" t="s">
        <v>116</v>
      </c>
      <c r="AF1152" s="568" t="s">
        <v>116</v>
      </c>
      <c r="AG1152" s="569" t="s">
        <v>29</v>
      </c>
      <c r="AH1152" s="183">
        <v>45406</v>
      </c>
      <c r="AI1152" s="1028"/>
      <c r="AJ1152" s="1029"/>
      <c r="AK1152" s="1029"/>
      <c r="AL1152" s="1030"/>
      <c r="AM1152" s="542" t="s">
        <v>709</v>
      </c>
      <c r="AN1152" s="924"/>
      <c r="AO1152" s="925"/>
      <c r="AP1152" s="926"/>
      <c r="AQ1152" s="926"/>
      <c r="AR1152" s="926"/>
      <c r="AS1152" s="926"/>
      <c r="AT1152" s="926"/>
      <c r="AU1152" s="926"/>
      <c r="AV1152" s="926"/>
      <c r="AW1152" s="927"/>
      <c r="AX1152" s="926"/>
      <c r="AY1152" s="1538" t="s">
        <v>29</v>
      </c>
      <c r="AZ1152" s="1530"/>
      <c r="BA1152" s="1098">
        <v>4</v>
      </c>
      <c r="BB1152" s="644" t="s">
        <v>6258</v>
      </c>
      <c r="BC1152" s="559" t="s">
        <v>709</v>
      </c>
      <c r="BD1152" s="554" t="s">
        <v>709</v>
      </c>
      <c r="BE1152" s="588" t="s">
        <v>822</v>
      </c>
      <c r="BF1152" s="588" t="s">
        <v>745</v>
      </c>
      <c r="BG1152" s="548" t="s">
        <v>709</v>
      </c>
      <c r="BH1152" s="615" t="s">
        <v>6259</v>
      </c>
      <c r="BI1152" s="547" t="s">
        <v>709</v>
      </c>
      <c r="BJ1152" s="549" t="s">
        <v>709</v>
      </c>
      <c r="BK1152" s="547" t="s">
        <v>116</v>
      </c>
      <c r="BL1152" s="547" t="s">
        <v>709</v>
      </c>
      <c r="BM1152" s="626" t="s">
        <v>709</v>
      </c>
      <c r="BN1152" s="549" t="s">
        <v>709</v>
      </c>
      <c r="BO1152" s="626" t="s">
        <v>709</v>
      </c>
      <c r="BP1152" s="626" t="s">
        <v>709</v>
      </c>
      <c r="BQ1152" s="549" t="s">
        <v>709</v>
      </c>
      <c r="BR1152" s="549" t="s">
        <v>709</v>
      </c>
      <c r="BS1152" s="549">
        <v>247</v>
      </c>
      <c r="BT1152" s="549" t="s">
        <v>745</v>
      </c>
      <c r="BU1152" s="549" t="s">
        <v>709</v>
      </c>
      <c r="BV1152" s="549" t="s">
        <v>745</v>
      </c>
      <c r="BW1152" s="549" t="s">
        <v>709</v>
      </c>
      <c r="BX1152" s="547" t="s">
        <v>745</v>
      </c>
      <c r="BY1152" s="549" t="s">
        <v>745</v>
      </c>
      <c r="BZ1152" s="547" t="s">
        <v>709</v>
      </c>
      <c r="CA1152" s="483"/>
      <c r="CB1152" s="547">
        <v>1150</v>
      </c>
      <c r="CC1152" s="1481" t="b">
        <v>1</v>
      </c>
      <c r="CD1152" s="879" t="str">
        <f>Table15[[#This Row],[Engineering Number]]&amp;Table15[[#This Row],[WO Number]]&amp;Table15[[#This Row],[Date Assigned to Designer]]&amp;Table15[[#This Row],[Date Completed]]</f>
        <v>SC2345813135994539845407</v>
      </c>
    </row>
    <row r="1153" spans="1:82" customFormat="1" ht="15" customHeight="1" x14ac:dyDescent="0.25">
      <c r="A1153">
        <v>2024</v>
      </c>
      <c r="B1153" s="8" t="s">
        <v>759</v>
      </c>
      <c r="C1153" s="8" t="s">
        <v>224</v>
      </c>
      <c r="D1153" s="8">
        <v>102083</v>
      </c>
      <c r="E1153" s="8" t="s">
        <v>6261</v>
      </c>
      <c r="F1153" s="8" t="s">
        <v>752</v>
      </c>
      <c r="G1153" s="8" t="s">
        <v>4770</v>
      </c>
      <c r="H1153" s="8" t="s">
        <v>6262</v>
      </c>
      <c r="I1153" s="18">
        <v>45388</v>
      </c>
      <c r="J1153" s="175" t="s">
        <v>2052</v>
      </c>
      <c r="K1153" s="97">
        <v>45411</v>
      </c>
      <c r="L1153" s="16">
        <f>IF(ISTEXT(Table15[[#This Row],[Engineering Approved Design Date]]),Table15[[#This Row],[Date Completed]]-Table15[[#This Row],[Date Assigned to Designer]],Table15[[#This Row],[Engineering Approved Design Date]]-Table15[[#This Row],[Date Completed]])</f>
        <v>23</v>
      </c>
      <c r="M1153" s="642" t="s">
        <v>6263</v>
      </c>
      <c r="N1153" s="642" t="s">
        <v>120</v>
      </c>
      <c r="O1153" s="1060">
        <v>45413</v>
      </c>
      <c r="P1153" s="1152" t="s">
        <v>120</v>
      </c>
      <c r="Q1153" s="1061">
        <f>Table15[[#This Row],[Shactee Effort]]+Table15[[#This Row],[KH Hourly Effort]]</f>
        <v>16605</v>
      </c>
      <c r="R1153" s="1026" t="s">
        <v>1922</v>
      </c>
      <c r="S1153" s="538">
        <v>0</v>
      </c>
      <c r="T1153" s="538">
        <v>0</v>
      </c>
      <c r="U1153" s="87">
        <v>16605</v>
      </c>
      <c r="V1153" s="857"/>
      <c r="W1153" s="440"/>
      <c r="X1153" s="538"/>
      <c r="Y1153" s="551"/>
      <c r="Z1153" s="538"/>
      <c r="AA1153" s="552"/>
      <c r="AB1153" s="341" t="s">
        <v>29</v>
      </c>
      <c r="AC1153" s="569" t="s">
        <v>29</v>
      </c>
      <c r="AD1153" s="1149" t="s">
        <v>29</v>
      </c>
      <c r="AE1153" s="568" t="s">
        <v>116</v>
      </c>
      <c r="AF1153" s="568" t="s">
        <v>116</v>
      </c>
      <c r="AG1153" s="569" t="s">
        <v>29</v>
      </c>
      <c r="AH1153" s="183" t="s">
        <v>29</v>
      </c>
      <c r="AI1153" s="1028"/>
      <c r="AJ1153" s="1029"/>
      <c r="AK1153" s="1029"/>
      <c r="AL1153" s="1030"/>
      <c r="AM1153" s="542" t="s">
        <v>709</v>
      </c>
      <c r="AN1153" s="924"/>
      <c r="AO1153" s="925"/>
      <c r="AP1153" s="926"/>
      <c r="AQ1153" s="926"/>
      <c r="AR1153" s="926"/>
      <c r="AS1153" s="926"/>
      <c r="AT1153" s="926"/>
      <c r="AU1153" s="926"/>
      <c r="AV1153" s="926"/>
      <c r="AW1153" s="927"/>
      <c r="AX1153" s="926"/>
      <c r="AY1153" s="1538" t="s">
        <v>29</v>
      </c>
      <c r="AZ1153" s="1530"/>
      <c r="BA1153" s="1031">
        <v>2</v>
      </c>
      <c r="BB1153" s="644" t="s">
        <v>6264</v>
      </c>
      <c r="BC1153" s="559"/>
      <c r="BD1153" s="554"/>
      <c r="BE1153" s="588"/>
      <c r="BF1153" s="588"/>
      <c r="BG1153" s="548"/>
      <c r="BH1153" s="615" t="s">
        <v>6265</v>
      </c>
      <c r="BI1153" s="547" t="s">
        <v>709</v>
      </c>
      <c r="BJ1153" s="547" t="s">
        <v>709</v>
      </c>
      <c r="BK1153" s="547" t="s">
        <v>709</v>
      </c>
      <c r="BL1153" s="547" t="s">
        <v>116</v>
      </c>
      <c r="BM1153" s="547" t="s">
        <v>709</v>
      </c>
      <c r="BN1153" s="547" t="s">
        <v>709</v>
      </c>
      <c r="BO1153" s="547" t="s">
        <v>709</v>
      </c>
      <c r="BP1153" s="547">
        <v>547</v>
      </c>
      <c r="BQ1153" s="547">
        <v>41</v>
      </c>
      <c r="BR1153" s="547">
        <v>73</v>
      </c>
      <c r="BS1153" s="547">
        <v>25</v>
      </c>
      <c r="BT1153" s="547">
        <v>1</v>
      </c>
      <c r="BU1153" s="547" t="s">
        <v>709</v>
      </c>
      <c r="BV1153" s="547" t="s">
        <v>745</v>
      </c>
      <c r="BW1153" s="547">
        <v>1</v>
      </c>
      <c r="BX1153" s="547" t="s">
        <v>709</v>
      </c>
      <c r="BY1153" s="547" t="s">
        <v>745</v>
      </c>
      <c r="BZ1153" s="547" t="s">
        <v>709</v>
      </c>
      <c r="CA1153" s="483"/>
      <c r="CB1153" s="547">
        <v>1151</v>
      </c>
      <c r="CC1153" s="1481" t="b">
        <v>1</v>
      </c>
      <c r="CD1153" s="879" t="str">
        <f>Table15[[#This Row],[Engineering Number]]&amp;Table15[[#This Row],[WO Number]]&amp;Table15[[#This Row],[Date Assigned to Designer]]&amp;Table15[[#This Row],[Date Completed]]</f>
        <v>RS5001020834538845411</v>
      </c>
    </row>
    <row r="1154" spans="1:82" customFormat="1" ht="15" customHeight="1" x14ac:dyDescent="0.25">
      <c r="A1154">
        <v>2024</v>
      </c>
      <c r="B1154" s="8" t="s">
        <v>771</v>
      </c>
      <c r="C1154" s="8" t="s">
        <v>1060</v>
      </c>
      <c r="D1154" s="8">
        <v>1212248</v>
      </c>
      <c r="E1154" s="8" t="s">
        <v>1062</v>
      </c>
      <c r="F1154" s="8" t="s">
        <v>5604</v>
      </c>
      <c r="G1154" s="8" t="s">
        <v>31</v>
      </c>
      <c r="H1154" s="8" t="s">
        <v>4462</v>
      </c>
      <c r="I1154" s="642">
        <v>45399</v>
      </c>
      <c r="J1154" s="175" t="s">
        <v>2052</v>
      </c>
      <c r="K1154" s="97">
        <v>45413</v>
      </c>
      <c r="L1154" s="16">
        <f>IF(ISTEXT(Table15[[#This Row],[Engineering Approved Design Date]]),Table15[[#This Row],[Date Completed]]-Table15[[#This Row],[Date Assigned to Designer]],Table15[[#This Row],[Engineering Approved Design Date]]-Table15[[#This Row],[Date Completed]])</f>
        <v>14</v>
      </c>
      <c r="M1154" s="642" t="s">
        <v>6267</v>
      </c>
      <c r="N1154" s="642" t="s">
        <v>120</v>
      </c>
      <c r="O1154" s="1060">
        <v>45413</v>
      </c>
      <c r="P1154" s="1152" t="s">
        <v>120</v>
      </c>
      <c r="Q1154" s="340" t="s">
        <v>115</v>
      </c>
      <c r="R1154" s="1026" t="s">
        <v>115</v>
      </c>
      <c r="S1154" s="538"/>
      <c r="T1154" s="538"/>
      <c r="U1154" s="87"/>
      <c r="V1154" s="857"/>
      <c r="W1154" s="440"/>
      <c r="X1154" s="538"/>
      <c r="Y1154" s="551"/>
      <c r="Z1154" s="538"/>
      <c r="AA1154" s="552"/>
      <c r="AB1154" s="341" t="s">
        <v>29</v>
      </c>
      <c r="AC1154" s="569" t="s">
        <v>709</v>
      </c>
      <c r="AD1154" s="1149" t="s">
        <v>29</v>
      </c>
      <c r="AE1154" s="568"/>
      <c r="AF1154" s="569"/>
      <c r="AG1154" s="569"/>
      <c r="AH1154" s="536"/>
      <c r="AI1154" s="1028"/>
      <c r="AJ1154" s="1029"/>
      <c r="AK1154" s="1029"/>
      <c r="AL1154" s="1030"/>
      <c r="AM1154" s="542" t="s">
        <v>709</v>
      </c>
      <c r="AN1154" s="924"/>
      <c r="AO1154" s="925"/>
      <c r="AP1154" s="926"/>
      <c r="AQ1154" s="926"/>
      <c r="AR1154" s="926"/>
      <c r="AS1154" s="926"/>
      <c r="AT1154" s="926"/>
      <c r="AU1154" s="926"/>
      <c r="AV1154" s="926"/>
      <c r="AW1154" s="927"/>
      <c r="AX1154" s="926"/>
      <c r="AY1154" s="1538" t="s">
        <v>29</v>
      </c>
      <c r="AZ1154" s="1530"/>
      <c r="BA1154" s="1031">
        <v>3</v>
      </c>
      <c r="BB1154" s="644" t="s">
        <v>6268</v>
      </c>
      <c r="BC1154" s="559"/>
      <c r="BD1154" s="554"/>
      <c r="BE1154" s="588"/>
      <c r="BF1154" s="588"/>
      <c r="BG1154" s="548"/>
      <c r="BH1154" s="615" t="s">
        <v>6269</v>
      </c>
      <c r="BI1154" s="1032"/>
      <c r="BJ1154" s="1032"/>
      <c r="BK1154" s="1032"/>
      <c r="BL1154" s="1032"/>
      <c r="BM1154" s="1032"/>
      <c r="BN1154" s="1032"/>
      <c r="BO1154" s="1032"/>
      <c r="BP1154" s="1032"/>
      <c r="BQ1154" s="1032"/>
      <c r="BR1154" s="1032"/>
      <c r="BS1154" s="1032"/>
      <c r="BT1154" s="1032"/>
      <c r="BU1154" s="1032"/>
      <c r="BV1154" s="1032"/>
      <c r="BW1154" s="1032"/>
      <c r="BX1154" s="1032"/>
      <c r="BY1154" s="1032"/>
      <c r="BZ1154" s="1032"/>
      <c r="CA1154" s="485"/>
      <c r="CB1154" s="547">
        <v>1154</v>
      </c>
      <c r="CC1154" s="1481" t="b">
        <v>1</v>
      </c>
      <c r="CD1154" s="879" t="str">
        <f>Table15[[#This Row],[Engineering Number]]&amp;Table15[[#This Row],[WO Number]]&amp;Table15[[#This Row],[Date Assigned to Designer]]&amp;Table15[[#This Row],[Date Completed]]</f>
        <v>BS34812122484539945413</v>
      </c>
    </row>
    <row r="1155" spans="1:82" customFormat="1" ht="15" customHeight="1" x14ac:dyDescent="0.25">
      <c r="A1155">
        <v>2024</v>
      </c>
      <c r="B1155" s="8" t="s">
        <v>4</v>
      </c>
      <c r="C1155" s="8" t="s">
        <v>873</v>
      </c>
      <c r="D1155" s="8" t="s">
        <v>874</v>
      </c>
      <c r="E1155" s="8" t="s">
        <v>104</v>
      </c>
      <c r="F1155" s="8" t="s">
        <v>5604</v>
      </c>
      <c r="G1155" s="8" t="s">
        <v>39</v>
      </c>
      <c r="H1155" s="8" t="s">
        <v>3852</v>
      </c>
      <c r="I1155" s="18">
        <v>45408</v>
      </c>
      <c r="J1155" s="175" t="s">
        <v>2052</v>
      </c>
      <c r="K1155" s="97">
        <v>45413</v>
      </c>
      <c r="L1155" s="16">
        <f>IF(ISTEXT(Table15[[#This Row],[Engineering Approved Design Date]]),Table15[[#This Row],[Date Completed]]-Table15[[#This Row],[Date Assigned to Designer]],Table15[[#This Row],[Engineering Approved Design Date]]-Table15[[#This Row],[Date Completed]])</f>
        <v>5</v>
      </c>
      <c r="M1155" s="642" t="s">
        <v>6271</v>
      </c>
      <c r="N1155" s="642" t="s">
        <v>120</v>
      </c>
      <c r="O1155" s="1060">
        <v>45413</v>
      </c>
      <c r="P1155" s="1152" t="s">
        <v>739</v>
      </c>
      <c r="Q1155" s="1061">
        <f>Table15[[#This Row],[Shactee Effort]]+Table15[[#This Row],[KH Hourly Effort]]</f>
        <v>5770</v>
      </c>
      <c r="R1155" s="1026" t="s">
        <v>1922</v>
      </c>
      <c r="S1155" s="538">
        <v>0</v>
      </c>
      <c r="T1155" s="538">
        <v>0</v>
      </c>
      <c r="U1155" s="28">
        <v>5770</v>
      </c>
      <c r="V1155" s="857"/>
      <c r="W1155" s="440"/>
      <c r="X1155" s="538"/>
      <c r="Y1155" s="551"/>
      <c r="Z1155" s="538"/>
      <c r="AA1155" s="552"/>
      <c r="AB1155" s="341" t="s">
        <v>29</v>
      </c>
      <c r="AC1155" s="569" t="s">
        <v>29</v>
      </c>
      <c r="AD1155" s="1149" t="s">
        <v>29</v>
      </c>
      <c r="AE1155" s="568" t="s">
        <v>116</v>
      </c>
      <c r="AF1155" s="568" t="s">
        <v>116</v>
      </c>
      <c r="AG1155" s="569" t="s">
        <v>29</v>
      </c>
      <c r="AH1155" s="183">
        <v>45447</v>
      </c>
      <c r="AI1155" s="1028"/>
      <c r="AJ1155" s="1029"/>
      <c r="AK1155" s="1029"/>
      <c r="AL1155" s="1030"/>
      <c r="AM1155" s="542" t="s">
        <v>709</v>
      </c>
      <c r="AN1155" s="924"/>
      <c r="AO1155" s="925"/>
      <c r="AP1155" s="926"/>
      <c r="AQ1155" s="926"/>
      <c r="AR1155" s="926"/>
      <c r="AS1155" s="926"/>
      <c r="AT1155" s="926"/>
      <c r="AU1155" s="926"/>
      <c r="AV1155" s="926"/>
      <c r="AW1155" s="927"/>
      <c r="AX1155" s="926"/>
      <c r="AY1155" s="1538" t="s">
        <v>29</v>
      </c>
      <c r="AZ1155" s="1530"/>
      <c r="BA1155" s="1031">
        <v>7</v>
      </c>
      <c r="BB1155" s="644" t="s">
        <v>29</v>
      </c>
      <c r="BC1155" s="559"/>
      <c r="BD1155" s="554"/>
      <c r="BE1155" s="588"/>
      <c r="BF1155" s="588"/>
      <c r="BG1155" s="548"/>
      <c r="BH1155" s="615" t="s">
        <v>6272</v>
      </c>
      <c r="BI1155" s="547" t="s">
        <v>709</v>
      </c>
      <c r="BJ1155" s="547" t="s">
        <v>709</v>
      </c>
      <c r="BK1155" s="547" t="s">
        <v>709</v>
      </c>
      <c r="BL1155" s="547" t="s">
        <v>116</v>
      </c>
      <c r="BM1155" s="547" t="s">
        <v>709</v>
      </c>
      <c r="BN1155" s="547" t="s">
        <v>709</v>
      </c>
      <c r="BO1155" s="547" t="s">
        <v>709</v>
      </c>
      <c r="BP1155" s="547">
        <v>1441</v>
      </c>
      <c r="BQ1155" s="547" t="s">
        <v>709</v>
      </c>
      <c r="BR1155" s="547" t="s">
        <v>709</v>
      </c>
      <c r="BS1155" s="547" t="s">
        <v>709</v>
      </c>
      <c r="BT1155" s="547" t="s">
        <v>745</v>
      </c>
      <c r="BU1155" s="547" t="s">
        <v>709</v>
      </c>
      <c r="BV1155" s="547" t="s">
        <v>745</v>
      </c>
      <c r="BW1155" s="547" t="s">
        <v>709</v>
      </c>
      <c r="BX1155" s="547" t="s">
        <v>745</v>
      </c>
      <c r="BY1155" s="547" t="s">
        <v>745</v>
      </c>
      <c r="BZ1155" s="547" t="s">
        <v>709</v>
      </c>
      <c r="CA1155" s="483" t="s">
        <v>6273</v>
      </c>
      <c r="CB1155" s="547">
        <v>1152</v>
      </c>
      <c r="CC1155" s="1481" t="b">
        <v>1</v>
      </c>
      <c r="CD1155" s="879" t="str">
        <f>Table15[[#This Row],[Engineering Number]]&amp;Table15[[#This Row],[WO Number]]&amp;Table15[[#This Row],[Date Assigned to Designer]]&amp;Table15[[#This Row],[Date Completed]]</f>
        <v>N132571292564540845413</v>
      </c>
    </row>
    <row r="1156" spans="1:82" customFormat="1" ht="15" customHeight="1" x14ac:dyDescent="0.25">
      <c r="A1156">
        <v>2024</v>
      </c>
      <c r="B1156" s="8" t="s">
        <v>4</v>
      </c>
      <c r="C1156" s="8" t="s">
        <v>1774</v>
      </c>
      <c r="D1156" s="8" t="s">
        <v>1775</v>
      </c>
      <c r="E1156" s="8" t="s">
        <v>155</v>
      </c>
      <c r="F1156" s="8" t="s">
        <v>784</v>
      </c>
      <c r="G1156" s="8" t="s">
        <v>28</v>
      </c>
      <c r="H1156" s="8" t="s">
        <v>59</v>
      </c>
      <c r="I1156" s="642">
        <v>45307</v>
      </c>
      <c r="J1156" s="18">
        <v>45436</v>
      </c>
      <c r="K1156" s="97">
        <v>45413</v>
      </c>
      <c r="L1156" s="16">
        <f>IF(ISTEXT(Table15[[#This Row],[Engineering Approved Design Date]]),Table15[[#This Row],[Date Completed]]-Table15[[#This Row],[Date Assigned to Designer]],Table15[[#This Row],[Engineering Approved Design Date]]-Table15[[#This Row],[Date Completed]])</f>
        <v>23</v>
      </c>
      <c r="M1156" s="642"/>
      <c r="N1156" s="642" t="s">
        <v>120</v>
      </c>
      <c r="O1156" s="1060">
        <v>45413</v>
      </c>
      <c r="P1156" s="1152" t="s">
        <v>739</v>
      </c>
      <c r="Q1156" s="340">
        <f>Table15[[#This Row],[Rate]]*Table15[[#This Row],[Construction Cost to Bill From]]</f>
        <v>11779.631000000001</v>
      </c>
      <c r="R1156" s="1026">
        <v>0.1</v>
      </c>
      <c r="S1156" s="538"/>
      <c r="T1156" s="538"/>
      <c r="U1156" s="87"/>
      <c r="V1156" s="858">
        <v>203</v>
      </c>
      <c r="W1156" s="437">
        <v>0</v>
      </c>
      <c r="X1156" s="538">
        <v>104917.16</v>
      </c>
      <c r="Y1156" s="551"/>
      <c r="Z1156" s="552">
        <v>12879.15</v>
      </c>
      <c r="AA1156" s="552">
        <f>SUM(Table15[[#This Row],[PCTS Investment Amount]:[PCTS Retirement Amount]])</f>
        <v>117796.31</v>
      </c>
      <c r="AB1156" s="341">
        <v>45352</v>
      </c>
      <c r="AC1156" s="569" t="s">
        <v>29</v>
      </c>
      <c r="AD1156" s="1149" t="s">
        <v>29</v>
      </c>
      <c r="AE1156" s="568" t="s">
        <v>116</v>
      </c>
      <c r="AF1156" s="568" t="s">
        <v>116</v>
      </c>
      <c r="AG1156" s="569" t="s">
        <v>376</v>
      </c>
      <c r="AH1156" s="183">
        <v>45447</v>
      </c>
      <c r="AI1156" s="1028" t="s">
        <v>115</v>
      </c>
      <c r="AJ1156" s="1029">
        <v>2550</v>
      </c>
      <c r="AK1156" s="1029" t="s">
        <v>115</v>
      </c>
      <c r="AL1156" s="1030">
        <f>SUM(Table15[[#This Row],[Nicor Initiated DBE]:[Staffing]])/(Table15[[#This Row],[Amount Invoiced]])</f>
        <v>0.21647537176673867</v>
      </c>
      <c r="AM1156" s="1522" t="s">
        <v>116</v>
      </c>
      <c r="AN1156" s="1523">
        <v>45524</v>
      </c>
      <c r="AO1156" s="1524">
        <v>11089694</v>
      </c>
      <c r="AP1156" s="1525">
        <v>107241.82</v>
      </c>
      <c r="AQ1156" s="1525"/>
      <c r="AR1156" s="1525">
        <v>13259.35</v>
      </c>
      <c r="AS1156" s="1525">
        <f>IF(Table15[[#This Row],[PCTS Approved]]="N",0,Table15[[#This Row],[Investment Amount (1'#'#'#'#'#)]]+Table15[[#This Row],[Retirement Amount (3'#'#'#'#'#)]])</f>
        <v>120501.17000000001</v>
      </c>
      <c r="AT1156" s="1525">
        <f>IF(Table15[[#This Row],[Approved Construction Cost]]=0,0,Table15[[#This Row],[Approved Construction Cost]]-Table15[[#This Row],[Construction Cost to Bill From]])</f>
        <v>2704.8600000000151</v>
      </c>
      <c r="AU1156" s="1525">
        <f>IFERROR(Table15[[#This Row],[Difference in Construction Cost]]*Table15[[#This Row],[Rate]],Table15[[#This Row],[Difference in Construction Cost]]*0.085)</f>
        <v>270.48600000000152</v>
      </c>
      <c r="AV1156" s="1525">
        <v>3052.5</v>
      </c>
      <c r="AW1156" s="1526" t="s">
        <v>5454</v>
      </c>
      <c r="AX1156" s="1525">
        <v>0</v>
      </c>
      <c r="AY1156" s="1518">
        <v>45901</v>
      </c>
      <c r="AZ1156" s="333">
        <v>136</v>
      </c>
      <c r="BA1156" s="1074" t="s">
        <v>1776</v>
      </c>
      <c r="BB1156" s="644" t="s">
        <v>1750</v>
      </c>
      <c r="BC1156" s="544" t="s">
        <v>115</v>
      </c>
      <c r="BD1156" s="554" t="s">
        <v>882</v>
      </c>
      <c r="BE1156" s="588" t="s">
        <v>115</v>
      </c>
      <c r="BF1156" s="588" t="s">
        <v>115</v>
      </c>
      <c r="BG1156" s="548" t="s">
        <v>1505</v>
      </c>
      <c r="BH1156" s="615" t="s">
        <v>1777</v>
      </c>
      <c r="BI1156" s="547" t="s">
        <v>709</v>
      </c>
      <c r="BJ1156" s="549" t="s">
        <v>709</v>
      </c>
      <c r="BK1156" s="547" t="s">
        <v>709</v>
      </c>
      <c r="BL1156" s="547" t="s">
        <v>116</v>
      </c>
      <c r="BM1156" s="626" t="s">
        <v>709</v>
      </c>
      <c r="BN1156" s="626" t="s">
        <v>709</v>
      </c>
      <c r="BO1156" s="626" t="s">
        <v>709</v>
      </c>
      <c r="BP1156" s="626" t="s">
        <v>709</v>
      </c>
      <c r="BQ1156" s="626" t="s">
        <v>709</v>
      </c>
      <c r="BR1156" s="549">
        <v>203</v>
      </c>
      <c r="BS1156" s="549" t="s">
        <v>709</v>
      </c>
      <c r="BT1156" s="549" t="s">
        <v>745</v>
      </c>
      <c r="BU1156" s="549" t="s">
        <v>709</v>
      </c>
      <c r="BV1156" s="549" t="s">
        <v>745</v>
      </c>
      <c r="BW1156" s="549" t="s">
        <v>709</v>
      </c>
      <c r="BX1156" s="547" t="s">
        <v>745</v>
      </c>
      <c r="BY1156" s="549" t="s">
        <v>745</v>
      </c>
      <c r="BZ1156" s="547" t="s">
        <v>709</v>
      </c>
      <c r="CA1156" s="483" t="s">
        <v>29</v>
      </c>
      <c r="CB1156" s="547">
        <v>1153</v>
      </c>
      <c r="CC1156" s="1481" t="b">
        <v>1</v>
      </c>
      <c r="CD1156" s="879" t="str">
        <f>Table15[[#This Row],[Engineering Number]]&amp;Table15[[#This Row],[WO Number]]&amp;Table15[[#This Row],[Date Assigned to Designer]]&amp;Table15[[#This Row],[Date Completed]]</f>
        <v>N1826812136704530745413</v>
      </c>
    </row>
    <row r="1157" spans="1:82" customFormat="1" ht="15" customHeight="1" x14ac:dyDescent="0.25">
      <c r="A1157">
        <v>2024</v>
      </c>
      <c r="B1157" s="8" t="s">
        <v>4</v>
      </c>
      <c r="C1157" s="8" t="s">
        <v>5828</v>
      </c>
      <c r="D1157" s="8" t="s">
        <v>5829</v>
      </c>
      <c r="E1157" s="8" t="s">
        <v>1117</v>
      </c>
      <c r="F1157" s="8" t="s">
        <v>784</v>
      </c>
      <c r="G1157" s="8" t="s">
        <v>26</v>
      </c>
      <c r="H1157" s="8" t="s">
        <v>4001</v>
      </c>
      <c r="I1157" s="18">
        <v>45280</v>
      </c>
      <c r="J1157" s="175" t="s">
        <v>2052</v>
      </c>
      <c r="K1157" s="97">
        <v>45413</v>
      </c>
      <c r="L1157" s="16">
        <f>IF(ISTEXT(Table15[[#This Row],[Engineering Approved Design Date]]),Table15[[#This Row],[Date Completed]]-Table15[[#This Row],[Date Assigned to Designer]],Table15[[#This Row],[Engineering Approved Design Date]]-Table15[[#This Row],[Date Completed]])</f>
        <v>133</v>
      </c>
      <c r="M1157" s="642" t="s">
        <v>6275</v>
      </c>
      <c r="N1157" s="642" t="s">
        <v>120</v>
      </c>
      <c r="O1157" s="1060">
        <v>45444</v>
      </c>
      <c r="P1157" s="1152" t="s">
        <v>739</v>
      </c>
      <c r="Q1157" s="1061">
        <f>Table15[[#This Row],[Shactee Effort]]+Table15[[#This Row],[KH Hourly Effort]]+Table15[[#This Row],[3rd Party Effort]]</f>
        <v>50826.5</v>
      </c>
      <c r="R1157" s="1026" t="s">
        <v>1922</v>
      </c>
      <c r="S1157" s="538">
        <v>10896.5</v>
      </c>
      <c r="T1157" s="551">
        <v>4100</v>
      </c>
      <c r="U1157" s="87">
        <v>35830</v>
      </c>
      <c r="V1157" s="857">
        <v>3079</v>
      </c>
      <c r="W1157" s="440">
        <v>0</v>
      </c>
      <c r="X1157" s="556"/>
      <c r="Y1157" s="551"/>
      <c r="Z1157" s="556"/>
      <c r="AA1157" s="552"/>
      <c r="AB1157" s="341" t="s">
        <v>29</v>
      </c>
      <c r="AC1157" s="569" t="s">
        <v>29</v>
      </c>
      <c r="AD1157" s="1149" t="s">
        <v>29</v>
      </c>
      <c r="AE1157" s="568" t="s">
        <v>116</v>
      </c>
      <c r="AF1157" s="568" t="s">
        <v>116</v>
      </c>
      <c r="AG1157" s="569" t="s">
        <v>29</v>
      </c>
      <c r="AH1157" s="183">
        <v>45475</v>
      </c>
      <c r="AI1157" s="1125">
        <v>0</v>
      </c>
      <c r="AJ1157" s="1126">
        <v>4100</v>
      </c>
      <c r="AK1157" s="1126">
        <v>10896.5</v>
      </c>
      <c r="AL1157" s="1104">
        <f>SUM(Table15[[#This Row],[Nicor Initiated DBE]:[Staffing]])/(Table15[[#This Row],[Amount Invoiced]])</f>
        <v>0.29505277758649523</v>
      </c>
      <c r="AM1157" s="542" t="s">
        <v>709</v>
      </c>
      <c r="AN1157" s="924"/>
      <c r="AO1157" s="925"/>
      <c r="AP1157" s="926"/>
      <c r="AQ1157" s="926"/>
      <c r="AR1157" s="926"/>
      <c r="AS1157" s="926"/>
      <c r="AT1157" s="926"/>
      <c r="AU1157" s="926"/>
      <c r="AV1157" s="926"/>
      <c r="AW1157" s="927"/>
      <c r="AX1157" s="926"/>
      <c r="AY1157" s="1538" t="s">
        <v>29</v>
      </c>
      <c r="AZ1157" s="1530"/>
      <c r="BA1157" s="1098" t="s">
        <v>4650</v>
      </c>
      <c r="BB1157" s="644" t="s">
        <v>6276</v>
      </c>
      <c r="BC1157" s="559"/>
      <c r="BD1157" s="554" t="s">
        <v>882</v>
      </c>
      <c r="BE1157" s="588"/>
      <c r="BF1157" s="588"/>
      <c r="BG1157" s="548"/>
      <c r="BH1157" s="615" t="s">
        <v>6277</v>
      </c>
      <c r="BI1157" s="547" t="s">
        <v>709</v>
      </c>
      <c r="BJ1157" s="549" t="s">
        <v>709</v>
      </c>
      <c r="BK1157" s="547" t="s">
        <v>709</v>
      </c>
      <c r="BL1157" s="547" t="s">
        <v>116</v>
      </c>
      <c r="BM1157" s="626" t="s">
        <v>709</v>
      </c>
      <c r="BN1157" s="626" t="s">
        <v>709</v>
      </c>
      <c r="BO1157" s="626" t="s">
        <v>709</v>
      </c>
      <c r="BP1157" s="626" t="s">
        <v>709</v>
      </c>
      <c r="BQ1157" s="626" t="s">
        <v>709</v>
      </c>
      <c r="BR1157" s="547">
        <v>2910</v>
      </c>
      <c r="BS1157" s="547">
        <v>169</v>
      </c>
      <c r="BT1157" s="549" t="s">
        <v>745</v>
      </c>
      <c r="BU1157" s="549" t="s">
        <v>709</v>
      </c>
      <c r="BV1157" s="549" t="s">
        <v>745</v>
      </c>
      <c r="BW1157" s="549" t="s">
        <v>709</v>
      </c>
      <c r="BX1157" s="547" t="s">
        <v>745</v>
      </c>
      <c r="BY1157" s="549" t="s">
        <v>745</v>
      </c>
      <c r="BZ1157" s="547" t="s">
        <v>709</v>
      </c>
      <c r="CA1157" s="483" t="s">
        <v>29</v>
      </c>
      <c r="CB1157" s="547">
        <v>1155</v>
      </c>
      <c r="CC1157" s="1481" t="b">
        <v>1</v>
      </c>
      <c r="CD1157" s="879" t="str">
        <f>Table15[[#This Row],[Engineering Number]]&amp;Table15[[#This Row],[WO Number]]&amp;Table15[[#This Row],[Date Assigned to Designer]]&amp;Table15[[#This Row],[Date Completed]]</f>
        <v>N1629112128434528045413</v>
      </c>
    </row>
    <row r="1158" spans="1:82" customFormat="1" ht="15" customHeight="1" x14ac:dyDescent="0.25">
      <c r="A1158">
        <v>2025</v>
      </c>
      <c r="B1158" s="8" t="s">
        <v>759</v>
      </c>
      <c r="C1158" s="8" t="s">
        <v>6286</v>
      </c>
      <c r="D1158" s="8" t="s">
        <v>6287</v>
      </c>
      <c r="E1158" s="8" t="s">
        <v>2535</v>
      </c>
      <c r="F1158" s="8" t="s">
        <v>752</v>
      </c>
      <c r="G1158" s="8" t="s">
        <v>34</v>
      </c>
      <c r="H1158" s="8" t="s">
        <v>59</v>
      </c>
      <c r="I1158" s="642">
        <v>45296</v>
      </c>
      <c r="J1158" s="18">
        <v>45428</v>
      </c>
      <c r="K1158" s="642">
        <v>45418</v>
      </c>
      <c r="L1158" s="16">
        <f>IF(ISTEXT(Table15[[#This Row],[Engineering Approved Design Date]]),Table15[[#This Row],[Date Completed]]-Table15[[#This Row],[Date Assigned to Designer]],Table15[[#This Row],[Engineering Approved Design Date]]-Table15[[#This Row],[Date Completed]])</f>
        <v>10</v>
      </c>
      <c r="M1158" s="642"/>
      <c r="N1158" s="642" t="s">
        <v>120</v>
      </c>
      <c r="O1158" s="1060">
        <v>45413</v>
      </c>
      <c r="P1158" s="1152" t="s">
        <v>120</v>
      </c>
      <c r="Q1158" s="1061">
        <v>14750</v>
      </c>
      <c r="R1158" s="1026" t="s">
        <v>5223</v>
      </c>
      <c r="S1158" s="538"/>
      <c r="T1158" s="538"/>
      <c r="U1158" s="87"/>
      <c r="V1158" s="858">
        <f>90+20+40+63+31+128</f>
        <v>372</v>
      </c>
      <c r="W1158" s="437">
        <v>3</v>
      </c>
      <c r="X1158" s="538">
        <v>527370.93000000005</v>
      </c>
      <c r="Y1158" s="551"/>
      <c r="Z1158" s="552">
        <v>158378.78</v>
      </c>
      <c r="AA1158" s="552">
        <f>SUM(Table15[[#This Row],[PCTS Investment Amount]:[PCTS Retirement Amount]])</f>
        <v>685749.71000000008</v>
      </c>
      <c r="AB1158" s="341">
        <v>45429</v>
      </c>
      <c r="AC1158" s="569" t="s">
        <v>1177</v>
      </c>
      <c r="AD1158" s="1149" t="s">
        <v>29</v>
      </c>
      <c r="AE1158" s="568" t="s">
        <v>756</v>
      </c>
      <c r="AF1158" s="568" t="s">
        <v>29</v>
      </c>
      <c r="AG1158" s="569" t="s">
        <v>29</v>
      </c>
      <c r="AH1158" s="183" t="s">
        <v>116</v>
      </c>
      <c r="AI1158" s="1109">
        <v>12100</v>
      </c>
      <c r="AJ1158" s="1110">
        <v>0</v>
      </c>
      <c r="AK1158" s="1110">
        <v>0</v>
      </c>
      <c r="AL1158" s="1124">
        <f>SUM(Table15[[#This Row],[Nicor Initiated DBE]:[Staffing]])/(Table15[[#This Row],[Amount Invoiced]])</f>
        <v>0.8203389830508474</v>
      </c>
      <c r="AM1158" s="542" t="s">
        <v>709</v>
      </c>
      <c r="AN1158" s="924"/>
      <c r="AO1158" s="925"/>
      <c r="AP1158" s="926"/>
      <c r="AQ1158" s="926"/>
      <c r="AR1158" s="926"/>
      <c r="AS1158" s="926"/>
      <c r="AT1158" s="926"/>
      <c r="AU1158" s="926"/>
      <c r="AV1158" s="926"/>
      <c r="AW1158" s="927"/>
      <c r="AX1158" s="926"/>
      <c r="AY1158" s="1538" t="s">
        <v>29</v>
      </c>
      <c r="AZ1158" s="1530"/>
      <c r="BA1158" s="1074" t="s">
        <v>6288</v>
      </c>
      <c r="BB1158" s="644" t="s">
        <v>6289</v>
      </c>
      <c r="BC1158" s="559" t="s">
        <v>116</v>
      </c>
      <c r="BD1158" s="554" t="s">
        <v>115</v>
      </c>
      <c r="BE1158" s="588" t="s">
        <v>6290</v>
      </c>
      <c r="BF1158" s="588" t="s">
        <v>115</v>
      </c>
      <c r="BG1158" s="548" t="s">
        <v>115</v>
      </c>
      <c r="BH1158" s="615" t="s">
        <v>6291</v>
      </c>
      <c r="BI1158" s="547" t="s">
        <v>709</v>
      </c>
      <c r="BJ1158" s="547" t="s">
        <v>709</v>
      </c>
      <c r="BK1158" s="547" t="s">
        <v>116</v>
      </c>
      <c r="BL1158" s="547" t="s">
        <v>116</v>
      </c>
      <c r="BM1158" s="547" t="s">
        <v>709</v>
      </c>
      <c r="BN1158" s="547">
        <v>128</v>
      </c>
      <c r="BO1158" s="547" t="s">
        <v>709</v>
      </c>
      <c r="BP1158" s="626">
        <v>31</v>
      </c>
      <c r="BQ1158" s="626">
        <v>63</v>
      </c>
      <c r="BR1158" s="549">
        <v>40</v>
      </c>
      <c r="BS1158" s="549">
        <v>20</v>
      </c>
      <c r="BT1158" s="547">
        <v>1</v>
      </c>
      <c r="BU1158" s="547" t="s">
        <v>709</v>
      </c>
      <c r="BV1158" s="547" t="s">
        <v>709</v>
      </c>
      <c r="BW1158" s="547">
        <v>1</v>
      </c>
      <c r="BX1158" s="547">
        <v>1</v>
      </c>
      <c r="BY1158" s="547" t="s">
        <v>709</v>
      </c>
      <c r="BZ1158" s="547" t="s">
        <v>709</v>
      </c>
      <c r="CA1158" s="483" t="s">
        <v>1022</v>
      </c>
      <c r="CB1158" s="547">
        <v>1156</v>
      </c>
      <c r="CC1158" s="1481" t="b">
        <v>1</v>
      </c>
      <c r="CD1158" s="879" t="str">
        <f>Table15[[#This Row],[Engineering Number]]&amp;Table15[[#This Row],[WO Number]]&amp;Table15[[#This Row],[Date Assigned to Designer]]&amp;Table15[[#This Row],[Date Completed]]</f>
        <v>RS120010134824529645418</v>
      </c>
    </row>
    <row r="1159" spans="1:82" customFormat="1" ht="15" customHeight="1" x14ac:dyDescent="0.25">
      <c r="A1159">
        <v>2024</v>
      </c>
      <c r="B1159" s="8" t="s">
        <v>4</v>
      </c>
      <c r="C1159" s="8" t="s">
        <v>1746</v>
      </c>
      <c r="D1159" s="8">
        <v>1213525</v>
      </c>
      <c r="E1159" s="8" t="s">
        <v>1748</v>
      </c>
      <c r="F1159" s="8" t="s">
        <v>5604</v>
      </c>
      <c r="G1159" s="8" t="s">
        <v>31</v>
      </c>
      <c r="H1159" s="8" t="s">
        <v>4189</v>
      </c>
      <c r="I1159" s="18">
        <v>45372</v>
      </c>
      <c r="J1159" s="175" t="s">
        <v>2052</v>
      </c>
      <c r="K1159" s="97">
        <v>45418</v>
      </c>
      <c r="L1159" s="16">
        <f>IF(ISTEXT(Table15[[#This Row],[Engineering Approved Design Date]]),Table15[[#This Row],[Date Completed]]-Table15[[#This Row],[Date Assigned to Designer]],Table15[[#This Row],[Engineering Approved Design Date]]-Table15[[#This Row],[Date Completed]])</f>
        <v>46</v>
      </c>
      <c r="M1159" s="642" t="s">
        <v>6280</v>
      </c>
      <c r="N1159" s="642" t="s">
        <v>120</v>
      </c>
      <c r="O1159" s="1060">
        <v>45413</v>
      </c>
      <c r="P1159" s="1152" t="s">
        <v>739</v>
      </c>
      <c r="Q1159" s="1061">
        <f>Table15[[#This Row],[Shactee Effort]]+Table15[[#This Row],[KH Hourly Effort]]</f>
        <v>7287.5</v>
      </c>
      <c r="R1159" s="1026" t="s">
        <v>1922</v>
      </c>
      <c r="S1159" s="538">
        <v>0</v>
      </c>
      <c r="T1159" s="538">
        <v>0</v>
      </c>
      <c r="U1159" s="87">
        <v>7287.5</v>
      </c>
      <c r="V1159" s="857"/>
      <c r="W1159" s="440"/>
      <c r="X1159" s="538"/>
      <c r="Y1159" s="551"/>
      <c r="Z1159" s="538"/>
      <c r="AA1159" s="552"/>
      <c r="AB1159" s="341"/>
      <c r="AC1159" s="569"/>
      <c r="AD1159" s="1149" t="s">
        <v>116</v>
      </c>
      <c r="AE1159" s="568" t="s">
        <v>116</v>
      </c>
      <c r="AF1159" s="568" t="s">
        <v>116</v>
      </c>
      <c r="AG1159" s="569" t="s">
        <v>29</v>
      </c>
      <c r="AH1159" s="183">
        <v>45447</v>
      </c>
      <c r="AI1159" s="1028"/>
      <c r="AJ1159" s="1029"/>
      <c r="AK1159" s="1029"/>
      <c r="AL1159" s="1030"/>
      <c r="AM1159" s="542" t="s">
        <v>709</v>
      </c>
      <c r="AN1159" s="924"/>
      <c r="AO1159" s="925"/>
      <c r="AP1159" s="926"/>
      <c r="AQ1159" s="926"/>
      <c r="AR1159" s="926"/>
      <c r="AS1159" s="926"/>
      <c r="AT1159" s="926"/>
      <c r="AU1159" s="926"/>
      <c r="AV1159" s="926"/>
      <c r="AW1159" s="927"/>
      <c r="AX1159" s="926"/>
      <c r="AY1159" s="1538" t="s">
        <v>29</v>
      </c>
      <c r="AZ1159" s="1530"/>
      <c r="BA1159" s="1098">
        <v>3</v>
      </c>
      <c r="BB1159" s="644" t="s">
        <v>709</v>
      </c>
      <c r="BC1159" s="559"/>
      <c r="BD1159" s="554"/>
      <c r="BE1159" s="588"/>
      <c r="BF1159" s="588"/>
      <c r="BG1159" s="548"/>
      <c r="BH1159" s="615" t="s">
        <v>6281</v>
      </c>
      <c r="BI1159" s="547" t="s">
        <v>709</v>
      </c>
      <c r="BJ1159" s="547" t="s">
        <v>709</v>
      </c>
      <c r="BK1159" s="547" t="s">
        <v>709</v>
      </c>
      <c r="BL1159" s="547" t="s">
        <v>116</v>
      </c>
      <c r="BM1159" s="547" t="s">
        <v>709</v>
      </c>
      <c r="BN1159" s="547" t="s">
        <v>709</v>
      </c>
      <c r="BO1159" s="547" t="s">
        <v>709</v>
      </c>
      <c r="BP1159" s="547" t="s">
        <v>709</v>
      </c>
      <c r="BQ1159" s="547" t="s">
        <v>709</v>
      </c>
      <c r="BR1159" s="547">
        <v>285</v>
      </c>
      <c r="BS1159" s="547" t="s">
        <v>709</v>
      </c>
      <c r="BT1159" s="547" t="s">
        <v>709</v>
      </c>
      <c r="BU1159" s="547" t="s">
        <v>709</v>
      </c>
      <c r="BV1159" s="547" t="s">
        <v>709</v>
      </c>
      <c r="BW1159" s="547" t="s">
        <v>709</v>
      </c>
      <c r="BX1159" s="547" t="s">
        <v>709</v>
      </c>
      <c r="BY1159" s="547" t="s">
        <v>709</v>
      </c>
      <c r="BZ1159" s="547" t="s">
        <v>709</v>
      </c>
      <c r="CA1159" s="483" t="s">
        <v>6282</v>
      </c>
      <c r="CB1159" s="547">
        <v>1158</v>
      </c>
      <c r="CC1159" s="1481" t="b">
        <v>1</v>
      </c>
      <c r="CD1159" s="879" t="str">
        <f>Table15[[#This Row],[Engineering Number]]&amp;Table15[[#This Row],[WO Number]]&amp;Table15[[#This Row],[Date Assigned to Designer]]&amp;Table15[[#This Row],[Date Completed]]</f>
        <v>N1637912135254537245418</v>
      </c>
    </row>
    <row r="1160" spans="1:82" customFormat="1" ht="15" customHeight="1" x14ac:dyDescent="0.25">
      <c r="A1160">
        <v>2024</v>
      </c>
      <c r="B1160" s="8" t="s">
        <v>4</v>
      </c>
      <c r="C1160" s="8" t="s">
        <v>1122</v>
      </c>
      <c r="D1160" s="8" t="s">
        <v>1123</v>
      </c>
      <c r="E1160" s="8" t="s">
        <v>910</v>
      </c>
      <c r="F1160" s="8" t="s">
        <v>784</v>
      </c>
      <c r="G1160" s="8" t="s">
        <v>25</v>
      </c>
      <c r="H1160" s="8" t="s">
        <v>59</v>
      </c>
      <c r="I1160" s="642">
        <v>45336</v>
      </c>
      <c r="J1160" s="18">
        <v>45443</v>
      </c>
      <c r="K1160" s="97">
        <v>45418</v>
      </c>
      <c r="L1160" s="16">
        <f>IF(ISTEXT(Table15[[#This Row],[Engineering Approved Design Date]]),Table15[[#This Row],[Date Completed]]-Table15[[#This Row],[Date Assigned to Designer]],Table15[[#This Row],[Engineering Approved Design Date]]-Table15[[#This Row],[Date Completed]])</f>
        <v>25</v>
      </c>
      <c r="M1160" s="642"/>
      <c r="N1160" s="642" t="s">
        <v>120</v>
      </c>
      <c r="O1160" s="1060">
        <v>45413</v>
      </c>
      <c r="P1160" s="1152" t="s">
        <v>739</v>
      </c>
      <c r="Q1160" s="340">
        <f>Table15[[#This Row],[Rate]]*Table15[[#This Row],[Construction Cost to Bill From]]</f>
        <v>33373.732000000004</v>
      </c>
      <c r="R1160" s="1026">
        <v>0.1</v>
      </c>
      <c r="S1160" s="538"/>
      <c r="T1160" s="538"/>
      <c r="U1160" s="87"/>
      <c r="V1160" s="858">
        <v>368</v>
      </c>
      <c r="W1160" s="437">
        <v>0</v>
      </c>
      <c r="X1160" s="538">
        <v>279430.8</v>
      </c>
      <c r="Y1160" s="551"/>
      <c r="Z1160" s="552">
        <v>54306.52</v>
      </c>
      <c r="AA1160" s="552">
        <f>SUM(Table15[[#This Row],[PCTS Investment Amount]:[PCTS Retirement Amount]])</f>
        <v>333737.32</v>
      </c>
      <c r="AB1160" s="341">
        <v>45414</v>
      </c>
      <c r="AC1160" s="569" t="s">
        <v>29</v>
      </c>
      <c r="AD1160" s="1149" t="s">
        <v>29</v>
      </c>
      <c r="AE1160" s="568" t="s">
        <v>116</v>
      </c>
      <c r="AF1160" s="568" t="s">
        <v>29</v>
      </c>
      <c r="AG1160" s="568" t="s">
        <v>376</v>
      </c>
      <c r="AH1160" s="183">
        <v>45475</v>
      </c>
      <c r="AI1160" s="1028">
        <v>0</v>
      </c>
      <c r="AJ1160" s="1029">
        <f>36250+706.5</f>
        <v>36956.5</v>
      </c>
      <c r="AK1160" s="1029">
        <f>777</f>
        <v>777</v>
      </c>
      <c r="AL1160" s="1030">
        <f>SUM(Table15[[#This Row],[Nicor Initiated DBE]:[Staffing]])/(Table15[[#This Row],[Amount Invoiced]])</f>
        <v>1.1306347159496575</v>
      </c>
      <c r="AM1160" s="1522" t="s">
        <v>116</v>
      </c>
      <c r="AN1160" s="1523">
        <v>45482</v>
      </c>
      <c r="AO1160" s="1524">
        <v>11085898</v>
      </c>
      <c r="AP1160" s="1525">
        <v>284240.23</v>
      </c>
      <c r="AQ1160" s="1525"/>
      <c r="AR1160" s="1525">
        <v>55608.68</v>
      </c>
      <c r="AS1160" s="1525">
        <f>IF(Table15[[#This Row],[PCTS Approved]]="N",0,Table15[[#This Row],[Investment Amount (1'#'#'#'#'#)]]+Table15[[#This Row],[Retirement Amount (3'#'#'#'#'#)]])</f>
        <v>339848.91</v>
      </c>
      <c r="AT1160" s="1525">
        <f>IF(Table15[[#This Row],[Approved Construction Cost]]=0,0,Table15[[#This Row],[Approved Construction Cost]]-Table15[[#This Row],[Construction Cost to Bill From]])</f>
        <v>6111.5899999999674</v>
      </c>
      <c r="AU1160" s="1525">
        <f>IFERROR(Table15[[#This Row],[Difference in Construction Cost]]*Table15[[#This Row],[Rate]],Table15[[#This Row],[Difference in Construction Cost]]*0.085)</f>
        <v>611.15899999999681</v>
      </c>
      <c r="AV1160" s="1525">
        <v>0</v>
      </c>
      <c r="AW1160" s="1526" t="s">
        <v>6284</v>
      </c>
      <c r="AX1160" s="1525">
        <f>Table15[[#This Row],[Reconcile Amount]]</f>
        <v>611.15899999999681</v>
      </c>
      <c r="AY1160" s="1518">
        <v>45901</v>
      </c>
      <c r="AZ1160" s="333">
        <v>137</v>
      </c>
      <c r="BA1160" s="1074" t="s">
        <v>1125</v>
      </c>
      <c r="BB1160" s="644" t="s">
        <v>912</v>
      </c>
      <c r="BC1160" s="559" t="s">
        <v>116</v>
      </c>
      <c r="BD1160" s="554" t="s">
        <v>115</v>
      </c>
      <c r="BE1160" s="588" t="s">
        <v>913</v>
      </c>
      <c r="BF1160" s="588" t="s">
        <v>115</v>
      </c>
      <c r="BG1160" s="588" t="s">
        <v>115</v>
      </c>
      <c r="BH1160" s="615" t="s">
        <v>1126</v>
      </c>
      <c r="BI1160" s="547" t="s">
        <v>709</v>
      </c>
      <c r="BJ1160" s="547" t="s">
        <v>709</v>
      </c>
      <c r="BK1160" s="547" t="s">
        <v>709</v>
      </c>
      <c r="BL1160" s="547" t="s">
        <v>116</v>
      </c>
      <c r="BM1160" s="547" t="s">
        <v>709</v>
      </c>
      <c r="BN1160" s="547" t="s">
        <v>709</v>
      </c>
      <c r="BO1160" s="547" t="s">
        <v>709</v>
      </c>
      <c r="BP1160" s="626" t="s">
        <v>709</v>
      </c>
      <c r="BQ1160" s="626" t="s">
        <v>709</v>
      </c>
      <c r="BR1160" s="549" t="s">
        <v>709</v>
      </c>
      <c r="BS1160" s="549">
        <v>368</v>
      </c>
      <c r="BT1160" s="547" t="s">
        <v>745</v>
      </c>
      <c r="BU1160" s="547" t="s">
        <v>709</v>
      </c>
      <c r="BV1160" s="547" t="s">
        <v>745</v>
      </c>
      <c r="BW1160" s="547" t="s">
        <v>709</v>
      </c>
      <c r="BX1160" s="547" t="s">
        <v>745</v>
      </c>
      <c r="BY1160" s="547" t="s">
        <v>745</v>
      </c>
      <c r="BZ1160" s="547" t="s">
        <v>709</v>
      </c>
      <c r="CA1160" s="483"/>
      <c r="CB1160" s="547">
        <v>1157</v>
      </c>
      <c r="CC1160" s="1481" t="b">
        <v>1</v>
      </c>
      <c r="CD1160" s="879" t="str">
        <f>Table15[[#This Row],[Engineering Number]]&amp;Table15[[#This Row],[WO Number]]&amp;Table15[[#This Row],[Date Assigned to Designer]]&amp;Table15[[#This Row],[Date Completed]]</f>
        <v>N18054-112137154533645418</v>
      </c>
    </row>
    <row r="1161" spans="1:82" customFormat="1" ht="15" customHeight="1" x14ac:dyDescent="0.25">
      <c r="A1161">
        <v>2024</v>
      </c>
      <c r="B1161" s="8" t="s">
        <v>4</v>
      </c>
      <c r="C1161" s="8" t="s">
        <v>1778</v>
      </c>
      <c r="D1161" s="8" t="s">
        <v>1779</v>
      </c>
      <c r="E1161" s="8" t="s">
        <v>1780</v>
      </c>
      <c r="F1161" s="8" t="s">
        <v>747</v>
      </c>
      <c r="G1161" s="8" t="s">
        <v>25</v>
      </c>
      <c r="H1161" s="8" t="s">
        <v>59</v>
      </c>
      <c r="I1161" s="642">
        <v>45280</v>
      </c>
      <c r="J1161" s="18">
        <v>45422</v>
      </c>
      <c r="K1161" s="97">
        <v>45420</v>
      </c>
      <c r="L1161" s="16">
        <f>IF(ISTEXT(Table15[[#This Row],[Engineering Approved Design Date]]),Table15[[#This Row],[Date Completed]]-Table15[[#This Row],[Date Assigned to Designer]],Table15[[#This Row],[Engineering Approved Design Date]]-Table15[[#This Row],[Date Completed]])</f>
        <v>2</v>
      </c>
      <c r="M1161" s="642"/>
      <c r="N1161" s="642" t="s">
        <v>120</v>
      </c>
      <c r="O1161" s="1060">
        <v>45413</v>
      </c>
      <c r="P1161" s="1152" t="s">
        <v>739</v>
      </c>
      <c r="Q1161" s="340">
        <f>Table15[[#This Row],[Rate]]*Table15[[#This Row],[Construction Cost to Bill From]]</f>
        <v>130376.22600000001</v>
      </c>
      <c r="R1161" s="1026">
        <v>0.1</v>
      </c>
      <c r="S1161" s="538"/>
      <c r="T1161" s="538"/>
      <c r="U1161" s="87"/>
      <c r="V1161" s="858">
        <v>6050</v>
      </c>
      <c r="W1161" s="437">
        <v>0</v>
      </c>
      <c r="X1161" s="538">
        <v>1125658.07</v>
      </c>
      <c r="Y1161" s="551"/>
      <c r="Z1161" s="552">
        <v>178104.19</v>
      </c>
      <c r="AA1161" s="552">
        <f>SUM(Table15[[#This Row],[PCTS Investment Amount]:[PCTS Retirement Amount]])</f>
        <v>1303762.26</v>
      </c>
      <c r="AB1161" s="341">
        <v>45407</v>
      </c>
      <c r="AC1161" s="569" t="s">
        <v>29</v>
      </c>
      <c r="AD1161" s="1149" t="s">
        <v>29</v>
      </c>
      <c r="AE1161" s="568" t="s">
        <v>116</v>
      </c>
      <c r="AF1161" s="568" t="s">
        <v>116</v>
      </c>
      <c r="AG1161" s="568" t="s">
        <v>376</v>
      </c>
      <c r="AH1161" s="183">
        <v>45475</v>
      </c>
      <c r="AI1161" s="1028">
        <v>20300</v>
      </c>
      <c r="AJ1161" s="1029">
        <f>1753+10430</f>
        <v>12183</v>
      </c>
      <c r="AK1161" s="1029">
        <v>19881</v>
      </c>
      <c r="AL1161" s="1030">
        <f>SUM(Table15[[#This Row],[Nicor Initiated DBE]:[Staffing]])/(Table15[[#This Row],[Amount Invoiced]])</f>
        <v>0.40163764212656378</v>
      </c>
      <c r="AM1161" s="1522" t="s">
        <v>116</v>
      </c>
      <c r="AN1161" s="1523">
        <v>45588</v>
      </c>
      <c r="AO1161" s="1524">
        <v>11092796</v>
      </c>
      <c r="AP1161" s="1525">
        <v>1347749.09</v>
      </c>
      <c r="AQ1161" s="1525"/>
      <c r="AR1161" s="1525">
        <v>225087.4</v>
      </c>
      <c r="AS1161" s="1525">
        <f>IF(Table15[[#This Row],[PCTS Approved]]="N",0,Table15[[#This Row],[Investment Amount (1'#'#'#'#'#)]]+Table15[[#This Row],[Retirement Amount (3'#'#'#'#'#)]])</f>
        <v>1572836.49</v>
      </c>
      <c r="AT1161" s="1525">
        <f>IF(Table15[[#This Row],[Approved Construction Cost]]=0,0,Table15[[#This Row],[Approved Construction Cost]]-Table15[[#This Row],[Construction Cost to Bill From]])</f>
        <v>269074.23</v>
      </c>
      <c r="AU1161" s="1525">
        <f>IFERROR(Table15[[#This Row],[Difference in Construction Cost]]*Table15[[#This Row],[Rate]],Table15[[#This Row],[Difference in Construction Cost]]*0.085)</f>
        <v>26907.422999999999</v>
      </c>
      <c r="AV1161" s="1525">
        <v>19677.5</v>
      </c>
      <c r="AW1161" s="1526" t="s">
        <v>6298</v>
      </c>
      <c r="AX1161" s="1525">
        <v>0</v>
      </c>
      <c r="AY1161" s="1518">
        <v>45901</v>
      </c>
      <c r="AZ1161" s="333">
        <v>138</v>
      </c>
      <c r="BA1161" s="1074" t="s">
        <v>1781</v>
      </c>
      <c r="BB1161" s="644" t="s">
        <v>1782</v>
      </c>
      <c r="BC1161" s="559" t="s">
        <v>992</v>
      </c>
      <c r="BD1161" s="554" t="s">
        <v>115</v>
      </c>
      <c r="BE1161" s="588" t="s">
        <v>1783</v>
      </c>
      <c r="BF1161" s="588" t="s">
        <v>115</v>
      </c>
      <c r="BG1161" s="588" t="s">
        <v>115</v>
      </c>
      <c r="BH1161" s="615" t="s">
        <v>1784</v>
      </c>
      <c r="BI1161" s="547" t="s">
        <v>709</v>
      </c>
      <c r="BJ1161" s="547" t="s">
        <v>709</v>
      </c>
      <c r="BK1161" s="547" t="s">
        <v>709</v>
      </c>
      <c r="BL1161" s="547" t="s">
        <v>116</v>
      </c>
      <c r="BM1161" s="547" t="s">
        <v>709</v>
      </c>
      <c r="BN1161" s="547" t="s">
        <v>709</v>
      </c>
      <c r="BO1161" s="547" t="s">
        <v>709</v>
      </c>
      <c r="BP1161" s="626" t="s">
        <v>709</v>
      </c>
      <c r="BQ1161" s="626" t="s">
        <v>709</v>
      </c>
      <c r="BR1161" s="549" t="s">
        <v>116</v>
      </c>
      <c r="BS1161" s="549" t="s">
        <v>116</v>
      </c>
      <c r="BT1161" s="547" t="s">
        <v>709</v>
      </c>
      <c r="BU1161" s="547" t="s">
        <v>709</v>
      </c>
      <c r="BV1161" s="547" t="s">
        <v>709</v>
      </c>
      <c r="BW1161" s="547" t="s">
        <v>709</v>
      </c>
      <c r="BX1161" s="547" t="s">
        <v>709</v>
      </c>
      <c r="BY1161" s="547" t="s">
        <v>709</v>
      </c>
      <c r="BZ1161" s="547" t="s">
        <v>709</v>
      </c>
      <c r="CA1161" s="483"/>
      <c r="CB1161" s="547">
        <v>1160</v>
      </c>
      <c r="CC1161" s="1481" t="b">
        <v>1</v>
      </c>
      <c r="CD1161" s="879" t="str">
        <f>Table15[[#This Row],[Engineering Number]]&amp;Table15[[#This Row],[WO Number]]&amp;Table15[[#This Row],[Date Assigned to Designer]]&amp;Table15[[#This Row],[Date Completed]]</f>
        <v>SC2105112136174528045420</v>
      </c>
    </row>
    <row r="1162" spans="1:82" customFormat="1" ht="15" customHeight="1" x14ac:dyDescent="0.25">
      <c r="A1162">
        <v>2024</v>
      </c>
      <c r="B1162" s="8" t="s">
        <v>4</v>
      </c>
      <c r="C1162" s="8" t="s">
        <v>5858</v>
      </c>
      <c r="D1162" s="8">
        <v>1412847</v>
      </c>
      <c r="E1162" s="8" t="s">
        <v>232</v>
      </c>
      <c r="F1162" s="8" t="s">
        <v>5604</v>
      </c>
      <c r="G1162" s="8" t="s">
        <v>27</v>
      </c>
      <c r="H1162" s="8" t="s">
        <v>4189</v>
      </c>
      <c r="I1162" s="18">
        <v>45415</v>
      </c>
      <c r="J1162" s="175" t="s">
        <v>2052</v>
      </c>
      <c r="K1162" s="97">
        <v>45420</v>
      </c>
      <c r="L1162" s="16">
        <f>IF(ISTEXT(Table15[[#This Row],[Engineering Approved Design Date]]),Table15[[#This Row],[Date Completed]]-Table15[[#This Row],[Date Assigned to Designer]],Table15[[#This Row],[Engineering Approved Design Date]]-Table15[[#This Row],[Date Completed]])</f>
        <v>5</v>
      </c>
      <c r="M1162" s="642" t="s">
        <v>6293</v>
      </c>
      <c r="N1162" s="642" t="s">
        <v>120</v>
      </c>
      <c r="O1162" s="1060">
        <v>45413</v>
      </c>
      <c r="P1162" s="1152" t="s">
        <v>739</v>
      </c>
      <c r="Q1162" s="1061">
        <f>Table15[[#This Row],[Shactee Effort]]+Table15[[#This Row],[KH Hourly Effort]]</f>
        <v>2735</v>
      </c>
      <c r="R1162" s="1026" t="s">
        <v>1922</v>
      </c>
      <c r="S1162" s="538">
        <v>0</v>
      </c>
      <c r="T1162" s="538">
        <v>0</v>
      </c>
      <c r="U1162" s="87">
        <v>2735</v>
      </c>
      <c r="V1162" s="857"/>
      <c r="W1162" s="440"/>
      <c r="X1162" s="538"/>
      <c r="Y1162" s="551"/>
      <c r="Z1162" s="538"/>
      <c r="AA1162" s="552"/>
      <c r="AB1162" s="341" t="s">
        <v>29</v>
      </c>
      <c r="AC1162" s="569" t="s">
        <v>29</v>
      </c>
      <c r="AD1162" s="1149" t="s">
        <v>29</v>
      </c>
      <c r="AE1162" s="569" t="s">
        <v>116</v>
      </c>
      <c r="AF1162" s="568" t="s">
        <v>116</v>
      </c>
      <c r="AG1162" s="569" t="s">
        <v>29</v>
      </c>
      <c r="AH1162" s="183">
        <v>45447</v>
      </c>
      <c r="AI1162" s="1028"/>
      <c r="AJ1162" s="1029"/>
      <c r="AK1162" s="1029"/>
      <c r="AL1162" s="1030"/>
      <c r="AM1162" s="542" t="s">
        <v>709</v>
      </c>
      <c r="AN1162" s="924"/>
      <c r="AO1162" s="925"/>
      <c r="AP1162" s="926"/>
      <c r="AQ1162" s="926"/>
      <c r="AR1162" s="926"/>
      <c r="AS1162" s="926"/>
      <c r="AT1162" s="926"/>
      <c r="AU1162" s="926"/>
      <c r="AV1162" s="926"/>
      <c r="AW1162" s="927"/>
      <c r="AX1162" s="926"/>
      <c r="AY1162" s="1538" t="s">
        <v>29</v>
      </c>
      <c r="AZ1162" s="1530"/>
      <c r="BA1162" s="1098" t="s">
        <v>5156</v>
      </c>
      <c r="BB1162" s="644" t="s">
        <v>6294</v>
      </c>
      <c r="BC1162" s="559"/>
      <c r="BD1162" s="554"/>
      <c r="BE1162" s="588"/>
      <c r="BF1162" s="588"/>
      <c r="BG1162" s="548"/>
      <c r="BH1162" s="615" t="s">
        <v>6295</v>
      </c>
      <c r="BI1162" s="547" t="s">
        <v>709</v>
      </c>
      <c r="BJ1162" s="547" t="s">
        <v>709</v>
      </c>
      <c r="BK1162" s="547" t="s">
        <v>709</v>
      </c>
      <c r="BL1162" s="547" t="s">
        <v>116</v>
      </c>
      <c r="BM1162" s="547" t="s">
        <v>709</v>
      </c>
      <c r="BN1162" s="547" t="s">
        <v>709</v>
      </c>
      <c r="BO1162" s="547" t="s">
        <v>709</v>
      </c>
      <c r="BP1162" s="547" t="s">
        <v>116</v>
      </c>
      <c r="BQ1162" s="547" t="s">
        <v>709</v>
      </c>
      <c r="BR1162" s="547" t="s">
        <v>709</v>
      </c>
      <c r="BS1162" s="547" t="s">
        <v>116</v>
      </c>
      <c r="BT1162" s="547" t="s">
        <v>709</v>
      </c>
      <c r="BU1162" s="547" t="s">
        <v>709</v>
      </c>
      <c r="BV1162" s="547" t="s">
        <v>709</v>
      </c>
      <c r="BW1162" s="547" t="s">
        <v>709</v>
      </c>
      <c r="BX1162" s="547" t="s">
        <v>709</v>
      </c>
      <c r="BY1162" s="547" t="s">
        <v>709</v>
      </c>
      <c r="BZ1162" s="547" t="s">
        <v>709</v>
      </c>
      <c r="CA1162" s="483" t="s">
        <v>6296</v>
      </c>
      <c r="CB1162" s="547">
        <v>1159</v>
      </c>
      <c r="CC1162" s="1481" t="b">
        <v>1</v>
      </c>
      <c r="CD1162" s="879" t="str">
        <f>Table15[[#This Row],[Engineering Number]]&amp;Table15[[#This Row],[WO Number]]&amp;Table15[[#This Row],[Date Assigned to Designer]]&amp;Table15[[#This Row],[Date Completed]]</f>
        <v>SC2255914128474541545420</v>
      </c>
    </row>
    <row r="1163" spans="1:82" customFormat="1" ht="15" customHeight="1" x14ac:dyDescent="0.25">
      <c r="A1163">
        <v>2024</v>
      </c>
      <c r="B1163" s="8" t="s">
        <v>4</v>
      </c>
      <c r="C1163" s="8" t="s">
        <v>1081</v>
      </c>
      <c r="D1163" s="8" t="s">
        <v>1082</v>
      </c>
      <c r="E1163" s="8" t="s">
        <v>155</v>
      </c>
      <c r="F1163" s="8" t="s">
        <v>784</v>
      </c>
      <c r="G1163" s="8" t="s">
        <v>28</v>
      </c>
      <c r="H1163" s="8" t="s">
        <v>59</v>
      </c>
      <c r="I1163" s="642">
        <v>45100</v>
      </c>
      <c r="J1163" s="18">
        <v>45429</v>
      </c>
      <c r="K1163" s="97">
        <v>45425</v>
      </c>
      <c r="L1163" s="16">
        <f>IF(ISTEXT(Table15[[#This Row],[Engineering Approved Design Date]]),Table15[[#This Row],[Date Completed]]-Table15[[#This Row],[Date Assigned to Designer]],Table15[[#This Row],[Engineering Approved Design Date]]-Table15[[#This Row],[Date Completed]])</f>
        <v>4</v>
      </c>
      <c r="M1163" s="642"/>
      <c r="N1163" s="642" t="s">
        <v>120</v>
      </c>
      <c r="O1163" s="1060">
        <v>45413</v>
      </c>
      <c r="P1163" s="1152" t="s">
        <v>739</v>
      </c>
      <c r="Q1163" s="340">
        <f>Table15[[#This Row],[Rate]]*Table15[[#This Row],[Construction Cost to Bill From]]</f>
        <v>52914.180000000008</v>
      </c>
      <c r="R1163" s="1026">
        <v>0.1</v>
      </c>
      <c r="S1163" s="538"/>
      <c r="T1163" s="538"/>
      <c r="U1163" s="87"/>
      <c r="V1163" s="858">
        <v>746</v>
      </c>
      <c r="W1163" s="437">
        <v>0</v>
      </c>
      <c r="X1163" s="538">
        <v>416727.01</v>
      </c>
      <c r="Y1163" s="551"/>
      <c r="Z1163" s="552">
        <v>112414.79</v>
      </c>
      <c r="AA1163" s="552">
        <f>SUM(Table15[[#This Row],[PCTS Investment Amount]:[PCTS Retirement Amount]])</f>
        <v>529141.80000000005</v>
      </c>
      <c r="AB1163" s="341">
        <v>45411</v>
      </c>
      <c r="AC1163" s="569" t="s">
        <v>29</v>
      </c>
      <c r="AD1163" s="1149" t="s">
        <v>29</v>
      </c>
      <c r="AE1163" s="569" t="s">
        <v>116</v>
      </c>
      <c r="AF1163" s="568" t="s">
        <v>116</v>
      </c>
      <c r="AG1163" s="568" t="s">
        <v>376</v>
      </c>
      <c r="AH1163" s="183">
        <v>45475</v>
      </c>
      <c r="AI1163" s="1028">
        <v>0</v>
      </c>
      <c r="AJ1163" s="1029">
        <v>550.02</v>
      </c>
      <c r="AK1163" s="1029">
        <v>17944</v>
      </c>
      <c r="AL1163" s="1030">
        <f>SUM(Table15[[#This Row],[Nicor Initiated DBE]:[Staffing]])/(Table15[[#This Row],[Amount Invoiced]])</f>
        <v>0.34950971554316818</v>
      </c>
      <c r="AM1163" s="1522" t="s">
        <v>116</v>
      </c>
      <c r="AN1163" s="1523">
        <v>45470</v>
      </c>
      <c r="AO1163" s="1524">
        <v>11085291</v>
      </c>
      <c r="AP1163" s="1525">
        <v>424547.5</v>
      </c>
      <c r="AQ1163" s="1525"/>
      <c r="AR1163" s="1525">
        <v>115837.08</v>
      </c>
      <c r="AS1163" s="1525">
        <v>540384.57999999996</v>
      </c>
      <c r="AT1163" s="1525">
        <v>11242.779999999912</v>
      </c>
      <c r="AU1163" s="1525">
        <v>1124.2779999999912</v>
      </c>
      <c r="AV1163" s="1525">
        <v>0</v>
      </c>
      <c r="AW1163" s="1526" t="s">
        <v>1083</v>
      </c>
      <c r="AX1163" s="1525">
        <v>1124.28</v>
      </c>
      <c r="AY1163" s="1518">
        <v>45566</v>
      </c>
      <c r="AZ1163" s="333">
        <v>139</v>
      </c>
      <c r="BA1163" s="1074" t="s">
        <v>1084</v>
      </c>
      <c r="BB1163" s="644" t="s">
        <v>870</v>
      </c>
      <c r="BC1163" s="559" t="s">
        <v>116</v>
      </c>
      <c r="BD1163" s="554" t="s">
        <v>882</v>
      </c>
      <c r="BE1163" s="588" t="s">
        <v>1085</v>
      </c>
      <c r="BF1163" s="588" t="s">
        <v>115</v>
      </c>
      <c r="BG1163" s="588" t="s">
        <v>115</v>
      </c>
      <c r="BH1163" s="615" t="s">
        <v>1086</v>
      </c>
      <c r="BI1163" s="547" t="s">
        <v>709</v>
      </c>
      <c r="BJ1163" s="547" t="s">
        <v>709</v>
      </c>
      <c r="BK1163" s="547" t="s">
        <v>709</v>
      </c>
      <c r="BL1163" s="547" t="s">
        <v>116</v>
      </c>
      <c r="BM1163" s="547" t="s">
        <v>709</v>
      </c>
      <c r="BN1163" s="547" t="s">
        <v>709</v>
      </c>
      <c r="BO1163" s="547" t="s">
        <v>709</v>
      </c>
      <c r="BP1163" s="626" t="s">
        <v>709</v>
      </c>
      <c r="BQ1163" s="626">
        <v>685</v>
      </c>
      <c r="BR1163" s="549" t="s">
        <v>709</v>
      </c>
      <c r="BS1163" s="549">
        <v>61</v>
      </c>
      <c r="BT1163" s="547" t="s">
        <v>745</v>
      </c>
      <c r="BU1163" s="547" t="s">
        <v>709</v>
      </c>
      <c r="BV1163" s="547" t="s">
        <v>745</v>
      </c>
      <c r="BW1163" s="547" t="s">
        <v>709</v>
      </c>
      <c r="BX1163" s="547" t="s">
        <v>745</v>
      </c>
      <c r="BY1163" s="547" t="s">
        <v>745</v>
      </c>
      <c r="BZ1163" s="547" t="s">
        <v>709</v>
      </c>
      <c r="CA1163" s="483" t="s">
        <v>29</v>
      </c>
      <c r="CB1163" s="547">
        <v>1161</v>
      </c>
      <c r="CC1163" s="1481" t="b">
        <v>1</v>
      </c>
      <c r="CD1163" s="879" t="str">
        <f>Table15[[#This Row],[Engineering Number]]&amp;Table15[[#This Row],[WO Number]]&amp;Table15[[#This Row],[Date Assigned to Designer]]&amp;Table15[[#This Row],[Date Completed]]</f>
        <v>N1362412135574510045425</v>
      </c>
    </row>
    <row r="1164" spans="1:82" customFormat="1" ht="15" customHeight="1" x14ac:dyDescent="0.25">
      <c r="A1164">
        <v>2024</v>
      </c>
      <c r="B1164" s="8" t="s">
        <v>4</v>
      </c>
      <c r="C1164" s="8" t="s">
        <v>1008</v>
      </c>
      <c r="D1164" s="8">
        <v>1213072</v>
      </c>
      <c r="E1164" s="8" t="s">
        <v>354</v>
      </c>
      <c r="F1164" s="8" t="s">
        <v>5604</v>
      </c>
      <c r="G1164" s="8" t="s">
        <v>26</v>
      </c>
      <c r="H1164" s="8" t="s">
        <v>4189</v>
      </c>
      <c r="I1164" s="18">
        <v>45373</v>
      </c>
      <c r="J1164" s="175" t="s">
        <v>2052</v>
      </c>
      <c r="K1164" s="97">
        <v>45425</v>
      </c>
      <c r="L1164" s="16">
        <f>IF(ISTEXT(Table15[[#This Row],[Engineering Approved Design Date]]),Table15[[#This Row],[Date Completed]]-Table15[[#This Row],[Date Assigned to Designer]],Table15[[#This Row],[Engineering Approved Design Date]]-Table15[[#This Row],[Date Completed]])</f>
        <v>52</v>
      </c>
      <c r="M1164" s="642" t="s">
        <v>6300</v>
      </c>
      <c r="N1164" s="642" t="s">
        <v>120</v>
      </c>
      <c r="O1164" s="1060">
        <v>45413</v>
      </c>
      <c r="P1164" s="1152" t="s">
        <v>739</v>
      </c>
      <c r="Q1164" s="1061">
        <f>Table15[[#This Row],[Shactee Effort]]+Table15[[#This Row],[KH Hourly Effort]]</f>
        <v>25615</v>
      </c>
      <c r="R1164" s="1026" t="s">
        <v>1922</v>
      </c>
      <c r="S1164" s="538">
        <v>0</v>
      </c>
      <c r="T1164" s="538">
        <v>0</v>
      </c>
      <c r="U1164" s="87">
        <v>25615</v>
      </c>
      <c r="V1164" s="857"/>
      <c r="W1164" s="440"/>
      <c r="X1164" s="538"/>
      <c r="Y1164" s="551"/>
      <c r="Z1164" s="538"/>
      <c r="AA1164" s="552"/>
      <c r="AB1164" s="341"/>
      <c r="AC1164" s="569"/>
      <c r="AD1164" s="1149"/>
      <c r="AE1164" s="569" t="s">
        <v>116</v>
      </c>
      <c r="AF1164" s="568" t="s">
        <v>116</v>
      </c>
      <c r="AG1164" s="569" t="s">
        <v>29</v>
      </c>
      <c r="AH1164" s="183">
        <v>45475</v>
      </c>
      <c r="AI1164" s="1028"/>
      <c r="AJ1164" s="1029"/>
      <c r="AK1164" s="1029"/>
      <c r="AL1164" s="1241"/>
      <c r="AM1164" s="542" t="s">
        <v>709</v>
      </c>
      <c r="AN1164" s="924"/>
      <c r="AO1164" s="925"/>
      <c r="AP1164" s="926"/>
      <c r="AQ1164" s="926"/>
      <c r="AR1164" s="926"/>
      <c r="AS1164" s="926"/>
      <c r="AT1164" s="926"/>
      <c r="AU1164" s="926"/>
      <c r="AV1164" s="926"/>
      <c r="AW1164" s="927"/>
      <c r="AX1164" s="926"/>
      <c r="AY1164" s="1538" t="s">
        <v>29</v>
      </c>
      <c r="AZ1164" s="1530"/>
      <c r="BA1164" s="1098">
        <v>7</v>
      </c>
      <c r="BB1164" s="644" t="s">
        <v>6301</v>
      </c>
      <c r="BC1164" s="559"/>
      <c r="BD1164" s="554"/>
      <c r="BE1164" s="588"/>
      <c r="BF1164" s="588"/>
      <c r="BG1164" s="548"/>
      <c r="BH1164" s="615" t="s">
        <v>6302</v>
      </c>
      <c r="BI1164" s="547" t="s">
        <v>709</v>
      </c>
      <c r="BJ1164" s="549" t="s">
        <v>745</v>
      </c>
      <c r="BK1164" s="549" t="s">
        <v>745</v>
      </c>
      <c r="BL1164" s="549" t="s">
        <v>116</v>
      </c>
      <c r="BM1164" s="549" t="s">
        <v>745</v>
      </c>
      <c r="BN1164" s="549" t="s">
        <v>745</v>
      </c>
      <c r="BO1164" s="549" t="s">
        <v>745</v>
      </c>
      <c r="BP1164" s="549" t="s">
        <v>745</v>
      </c>
      <c r="BQ1164" s="549">
        <v>208</v>
      </c>
      <c r="BR1164" s="549" t="s">
        <v>745</v>
      </c>
      <c r="BS1164" s="549" t="s">
        <v>745</v>
      </c>
      <c r="BT1164" s="549" t="s">
        <v>745</v>
      </c>
      <c r="BU1164" s="549" t="s">
        <v>709</v>
      </c>
      <c r="BV1164" s="549" t="s">
        <v>745</v>
      </c>
      <c r="BW1164" s="549" t="s">
        <v>709</v>
      </c>
      <c r="BX1164" s="547" t="s">
        <v>745</v>
      </c>
      <c r="BY1164" s="549" t="s">
        <v>745</v>
      </c>
      <c r="BZ1164" s="547" t="s">
        <v>709</v>
      </c>
      <c r="CA1164" s="483" t="s">
        <v>6303</v>
      </c>
      <c r="CB1164" s="547">
        <v>1162</v>
      </c>
      <c r="CC1164" s="1481" t="b">
        <v>1</v>
      </c>
      <c r="CD1164" s="879" t="str">
        <f>Table15[[#This Row],[Engineering Number]]&amp;Table15[[#This Row],[WO Number]]&amp;Table15[[#This Row],[Date Assigned to Designer]]&amp;Table15[[#This Row],[Date Completed]]</f>
        <v>N1654112130724537345425</v>
      </c>
    </row>
    <row r="1165" spans="1:82" customFormat="1" ht="15" customHeight="1" x14ac:dyDescent="0.25">
      <c r="A1165">
        <v>2024</v>
      </c>
      <c r="B1165" s="8" t="s">
        <v>759</v>
      </c>
      <c r="C1165" s="8" t="s">
        <v>1785</v>
      </c>
      <c r="D1165" s="8" t="s">
        <v>1786</v>
      </c>
      <c r="E1165" s="8" t="s">
        <v>1787</v>
      </c>
      <c r="F1165" s="8" t="s">
        <v>752</v>
      </c>
      <c r="G1165" s="8" t="s">
        <v>34</v>
      </c>
      <c r="H1165" s="8" t="s">
        <v>59</v>
      </c>
      <c r="I1165" s="642">
        <v>45296</v>
      </c>
      <c r="J1165" s="18">
        <v>45428</v>
      </c>
      <c r="K1165" s="642">
        <v>45428</v>
      </c>
      <c r="L1165" s="16">
        <f>IF(ISTEXT(Table15[[#This Row],[Engineering Approved Design Date]]),Table15[[#This Row],[Date Completed]]-Table15[[#This Row],[Date Assigned to Designer]],Table15[[#This Row],[Engineering Approved Design Date]]-Table15[[#This Row],[Date Completed]])</f>
        <v>0</v>
      </c>
      <c r="M1165" s="642"/>
      <c r="N1165" s="642" t="s">
        <v>120</v>
      </c>
      <c r="O1165" s="1060">
        <v>45413</v>
      </c>
      <c r="P1165" s="1152" t="s">
        <v>120</v>
      </c>
      <c r="Q1165" s="340">
        <f>Table15[[#This Row],[Rate]]*Table15[[#This Row],[Construction Cost to Bill From]]</f>
        <v>101543.1164</v>
      </c>
      <c r="R1165" s="1039">
        <v>0.11</v>
      </c>
      <c r="S1165" s="538"/>
      <c r="T1165" s="538"/>
      <c r="U1165" s="87"/>
      <c r="V1165" s="858">
        <f>247+967+90+5+40+160+82</f>
        <v>1591</v>
      </c>
      <c r="W1165" s="437">
        <v>1</v>
      </c>
      <c r="X1165" s="538">
        <v>784377</v>
      </c>
      <c r="Y1165" s="551"/>
      <c r="Z1165" s="552">
        <v>138742.24</v>
      </c>
      <c r="AA1165" s="552">
        <f>SUM(Table15[[#This Row],[PCTS Investment Amount]:[PCTS Retirement Amount]])</f>
        <v>923119.24</v>
      </c>
      <c r="AB1165" s="341">
        <v>45429</v>
      </c>
      <c r="AC1165" s="569" t="s">
        <v>1177</v>
      </c>
      <c r="AD1165" s="1149" t="s">
        <v>29</v>
      </c>
      <c r="AE1165" s="569" t="s">
        <v>116</v>
      </c>
      <c r="AF1165" s="568" t="s">
        <v>29</v>
      </c>
      <c r="AG1165" s="569" t="s">
        <v>116</v>
      </c>
      <c r="AH1165" s="183" t="s">
        <v>116</v>
      </c>
      <c r="AI1165" s="1109">
        <v>13590</v>
      </c>
      <c r="AJ1165" s="1110">
        <v>0</v>
      </c>
      <c r="AK1165" s="1110">
        <v>4272</v>
      </c>
      <c r="AL1165" s="1104">
        <f>SUM(Table15[[#This Row],[Nicor Initiated DBE]:[Staffing]])/(Table15[[#This Row],[Amount Invoiced]])</f>
        <v>0.1759055722658518</v>
      </c>
      <c r="AM1165" s="536" t="s">
        <v>116</v>
      </c>
      <c r="AN1165" s="903" t="s">
        <v>709</v>
      </c>
      <c r="AO1165" s="1536"/>
      <c r="AP1165" s="1537"/>
      <c r="AQ1165" s="1537"/>
      <c r="AR1165" s="1537"/>
      <c r="AS1165" s="888">
        <f>IF(Table15[[#This Row],[PCTS Approved]]="N",0,Table15[[#This Row],[Investment Amount (1'#'#'#'#'#)]]+Table15[[#This Row],[Retirement Amount (3'#'#'#'#'#)]])</f>
        <v>0</v>
      </c>
      <c r="AT1165" s="888">
        <f>IF(Table15[[#This Row],[Approved Construction Cost]]=0,0,Table15[[#This Row],[Approved Construction Cost]]-Table15[[#This Row],[Construction Cost to Bill From]])</f>
        <v>0</v>
      </c>
      <c r="AU1165" s="888">
        <f>IFERROR(Table15[[#This Row],[Difference in Construction Cost]]*Table15[[#This Row],[Rate]],Table15[[#This Row],[Difference in Construction Cost]]*0.085)</f>
        <v>0</v>
      </c>
      <c r="AV1165" s="905"/>
      <c r="AW1165" s="1509"/>
      <c r="AX1165" s="888"/>
      <c r="AY1165" s="636" t="s">
        <v>709</v>
      </c>
      <c r="AZ1165" s="333">
        <v>162</v>
      </c>
      <c r="BA1165" s="1031" t="s">
        <v>1788</v>
      </c>
      <c r="BB1165" s="644" t="s">
        <v>1789</v>
      </c>
      <c r="BC1165" s="559" t="s">
        <v>115</v>
      </c>
      <c r="BD1165" s="554" t="s">
        <v>1790</v>
      </c>
      <c r="BE1165" s="588" t="s">
        <v>1791</v>
      </c>
      <c r="BF1165" s="588" t="s">
        <v>115</v>
      </c>
      <c r="BG1165" s="548" t="s">
        <v>115</v>
      </c>
      <c r="BH1165" s="615" t="s">
        <v>1792</v>
      </c>
      <c r="BI1165" s="547" t="s">
        <v>709</v>
      </c>
      <c r="BJ1165" s="547" t="s">
        <v>709</v>
      </c>
      <c r="BK1165" s="547" t="s">
        <v>709</v>
      </c>
      <c r="BL1165" s="547" t="s">
        <v>116</v>
      </c>
      <c r="BM1165" s="547" t="s">
        <v>709</v>
      </c>
      <c r="BN1165" s="547" t="s">
        <v>709</v>
      </c>
      <c r="BO1165" s="547" t="s">
        <v>709</v>
      </c>
      <c r="BP1165" s="626">
        <v>82</v>
      </c>
      <c r="BQ1165" s="626">
        <f>160+967</f>
        <v>1127</v>
      </c>
      <c r="BR1165" s="549">
        <v>40</v>
      </c>
      <c r="BS1165" s="549">
        <f>5+247</f>
        <v>252</v>
      </c>
      <c r="BT1165" s="547">
        <v>1</v>
      </c>
      <c r="BU1165" s="547" t="s">
        <v>709</v>
      </c>
      <c r="BV1165" s="547" t="s">
        <v>745</v>
      </c>
      <c r="BW1165" s="547">
        <v>1</v>
      </c>
      <c r="BX1165" s="547">
        <v>1</v>
      </c>
      <c r="BY1165" s="547" t="s">
        <v>745</v>
      </c>
      <c r="BZ1165" s="547" t="s">
        <v>709</v>
      </c>
      <c r="CA1165" s="483" t="s">
        <v>1022</v>
      </c>
      <c r="CB1165" s="547">
        <v>1163</v>
      </c>
      <c r="CC1165" s="1481" t="b">
        <v>1</v>
      </c>
      <c r="CD1165" s="879" t="str">
        <f>Table15[[#This Row],[Engineering Number]]&amp;Table15[[#This Row],[WO Number]]&amp;Table15[[#This Row],[Date Assigned to Designer]]&amp;Table15[[#This Row],[Date Completed]]</f>
        <v>RS120110134814529645428</v>
      </c>
    </row>
    <row r="1166" spans="1:82" customFormat="1" ht="15" customHeight="1" x14ac:dyDescent="0.25">
      <c r="A1166">
        <v>2024</v>
      </c>
      <c r="B1166" s="8" t="s">
        <v>4</v>
      </c>
      <c r="C1166" s="8" t="s">
        <v>6306</v>
      </c>
      <c r="D1166" s="8" t="s">
        <v>115</v>
      </c>
      <c r="E1166" s="8" t="s">
        <v>3259</v>
      </c>
      <c r="F1166" s="8" t="s">
        <v>6307</v>
      </c>
      <c r="G1166" s="8" t="s">
        <v>28</v>
      </c>
      <c r="H1166" s="8" t="s">
        <v>4646</v>
      </c>
      <c r="I1166" s="642">
        <v>45427</v>
      </c>
      <c r="J1166" s="175" t="s">
        <v>4110</v>
      </c>
      <c r="K1166" s="97">
        <v>45428</v>
      </c>
      <c r="L1166" s="16">
        <f>IF(ISTEXT(Table15[[#This Row],[Engineering Approved Design Date]]),Table15[[#This Row],[Date Completed]]-Table15[[#This Row],[Date Assigned to Designer]],Table15[[#This Row],[Engineering Approved Design Date]]-Table15[[#This Row],[Date Completed]])</f>
        <v>1</v>
      </c>
      <c r="M1166" s="16" t="s">
        <v>6308</v>
      </c>
      <c r="N1166" s="642" t="s">
        <v>120</v>
      </c>
      <c r="O1166" s="1060">
        <v>45444</v>
      </c>
      <c r="P1166" s="1152" t="s">
        <v>739</v>
      </c>
      <c r="Q1166" s="1061">
        <f>Table15[[#This Row],[KH Hourly Effort]]</f>
        <v>2072.5</v>
      </c>
      <c r="R1166" s="1039" t="s">
        <v>1922</v>
      </c>
      <c r="S1166" s="538">
        <v>0</v>
      </c>
      <c r="T1166" s="552">
        <v>0</v>
      </c>
      <c r="U1166" s="300">
        <v>2072.5</v>
      </c>
      <c r="V1166" s="857"/>
      <c r="W1166" s="440"/>
      <c r="X1166" s="538"/>
      <c r="Y1166" s="551"/>
      <c r="Z1166" s="538"/>
      <c r="AA1166" s="552"/>
      <c r="AB1166" s="341" t="s">
        <v>29</v>
      </c>
      <c r="AC1166" s="569" t="s">
        <v>29</v>
      </c>
      <c r="AD1166" s="1149" t="s">
        <v>29</v>
      </c>
      <c r="AE1166" s="569" t="s">
        <v>116</v>
      </c>
      <c r="AF1166" s="569" t="s">
        <v>116</v>
      </c>
      <c r="AG1166" s="569" t="s">
        <v>29</v>
      </c>
      <c r="AH1166" s="183">
        <v>45475</v>
      </c>
      <c r="AI1166" s="1028"/>
      <c r="AJ1166" s="1029"/>
      <c r="AK1166" s="1029"/>
      <c r="AL1166" s="1030"/>
      <c r="AM1166" s="542" t="s">
        <v>709</v>
      </c>
      <c r="AN1166" s="924"/>
      <c r="AO1166" s="925"/>
      <c r="AP1166" s="926"/>
      <c r="AQ1166" s="926"/>
      <c r="AR1166" s="926"/>
      <c r="AS1166" s="926"/>
      <c r="AT1166" s="926"/>
      <c r="AU1166" s="926"/>
      <c r="AV1166" s="926"/>
      <c r="AW1166" s="927"/>
      <c r="AX1166" s="926"/>
      <c r="AY1166" s="1538" t="s">
        <v>29</v>
      </c>
      <c r="AZ1166" s="1530"/>
      <c r="BA1166" s="1031" t="s">
        <v>6309</v>
      </c>
      <c r="BB1166" s="658" t="s">
        <v>29</v>
      </c>
      <c r="BC1166" s="554"/>
      <c r="BD1166" s="554"/>
      <c r="BE1166" s="544"/>
      <c r="BF1166" s="559"/>
      <c r="BG1166" s="554"/>
      <c r="BH1166" s="615" t="s">
        <v>6310</v>
      </c>
      <c r="BI1166" s="1032"/>
      <c r="BJ1166" s="1071"/>
      <c r="BK1166" s="1032"/>
      <c r="BL1166" s="1032"/>
      <c r="BM1166" s="1100"/>
      <c r="BN1166" s="1070"/>
      <c r="BO1166" s="1070"/>
      <c r="BP1166" s="1032"/>
      <c r="BQ1166" s="1070"/>
      <c r="BR1166" s="1032"/>
      <c r="BS1166" s="1071"/>
      <c r="BT1166" s="1070"/>
      <c r="BU1166" s="1032"/>
      <c r="BV1166" s="1032"/>
      <c r="BW1166" s="1032"/>
      <c r="BX1166" s="1032"/>
      <c r="BY1166" s="1032"/>
      <c r="BZ1166" s="1032"/>
      <c r="CA1166" s="485"/>
      <c r="CB1166" s="547">
        <v>1164</v>
      </c>
      <c r="CC1166" s="1481" t="b">
        <v>1</v>
      </c>
      <c r="CD1166" s="879" t="str">
        <f>Table15[[#This Row],[Engineering Number]]&amp;Table15[[#This Row],[WO Number]]&amp;Table15[[#This Row],[Date Assigned to Designer]]&amp;Table15[[#This Row],[Date Completed]]</f>
        <v>N18718-4542745428</v>
      </c>
    </row>
    <row r="1167" spans="1:82" customFormat="1" ht="15" customHeight="1" x14ac:dyDescent="0.25">
      <c r="A1167">
        <v>2024</v>
      </c>
      <c r="B1167" s="8" t="s">
        <v>1073</v>
      </c>
      <c r="C1167" s="8" t="s">
        <v>544</v>
      </c>
      <c r="D1167" s="8" t="s">
        <v>6312</v>
      </c>
      <c r="E1167" s="8" t="s">
        <v>1492</v>
      </c>
      <c r="F1167" s="8" t="s">
        <v>784</v>
      </c>
      <c r="G1167" s="8" t="s">
        <v>31</v>
      </c>
      <c r="H1167" s="8" t="s">
        <v>4001</v>
      </c>
      <c r="I1167" s="18">
        <v>45383</v>
      </c>
      <c r="J1167" s="175" t="s">
        <v>2052</v>
      </c>
      <c r="K1167" s="97">
        <v>45428</v>
      </c>
      <c r="L1167" s="16">
        <f>IF(ISTEXT(Table15[[#This Row],[Engineering Approved Design Date]]),Table15[[#This Row],[Date Completed]]-Table15[[#This Row],[Date Assigned to Designer]],Table15[[#This Row],[Engineering Approved Design Date]]-Table15[[#This Row],[Date Completed]])</f>
        <v>45</v>
      </c>
      <c r="M1167" s="642" t="s">
        <v>6313</v>
      </c>
      <c r="N1167" s="642" t="s">
        <v>120</v>
      </c>
      <c r="O1167" s="1060">
        <v>45444</v>
      </c>
      <c r="P1167" s="1152" t="s">
        <v>739</v>
      </c>
      <c r="Q1167" s="1061">
        <f>Table15[[#This Row],[Shactee Effort]]+Table15[[#This Row],[KH Hourly Effort]]</f>
        <v>22152.5</v>
      </c>
      <c r="R1167" s="1026" t="s">
        <v>1922</v>
      </c>
      <c r="S1167" s="538">
        <v>0</v>
      </c>
      <c r="T1167" s="538">
        <v>0</v>
      </c>
      <c r="U1167" s="87">
        <v>22152.5</v>
      </c>
      <c r="V1167" s="857"/>
      <c r="W1167" s="440"/>
      <c r="X1167" s="538"/>
      <c r="Y1167" s="551"/>
      <c r="Z1167" s="538"/>
      <c r="AA1167" s="552"/>
      <c r="AB1167" s="341">
        <v>45131</v>
      </c>
      <c r="AC1167" s="569" t="s">
        <v>756</v>
      </c>
      <c r="AD1167" s="1149" t="s">
        <v>29</v>
      </c>
      <c r="AE1167" s="569" t="s">
        <v>116</v>
      </c>
      <c r="AF1167" s="568" t="s">
        <v>116</v>
      </c>
      <c r="AG1167" s="569" t="s">
        <v>29</v>
      </c>
      <c r="AH1167" s="183" t="s">
        <v>29</v>
      </c>
      <c r="AI1167" s="1028"/>
      <c r="AJ1167" s="1029"/>
      <c r="AK1167" s="1029"/>
      <c r="AL1167" s="1030"/>
      <c r="AM1167" s="542" t="s">
        <v>709</v>
      </c>
      <c r="AN1167" s="924"/>
      <c r="AO1167" s="925"/>
      <c r="AP1167" s="926"/>
      <c r="AQ1167" s="926"/>
      <c r="AR1167" s="926"/>
      <c r="AS1167" s="926"/>
      <c r="AT1167" s="926"/>
      <c r="AU1167" s="926"/>
      <c r="AV1167" s="926"/>
      <c r="AW1167" s="927"/>
      <c r="AX1167" s="926"/>
      <c r="AY1167" s="1538" t="s">
        <v>29</v>
      </c>
      <c r="AZ1167" s="1530"/>
      <c r="BA1167" s="1031">
        <v>4</v>
      </c>
      <c r="BB1167" s="644" t="s">
        <v>6314</v>
      </c>
      <c r="BC1167" s="559"/>
      <c r="BD1167" s="554"/>
      <c r="BE1167" s="588"/>
      <c r="BF1167" s="588"/>
      <c r="BG1167" s="548"/>
      <c r="BH1167" s="615" t="s">
        <v>6315</v>
      </c>
      <c r="BI1167" s="547" t="s">
        <v>709</v>
      </c>
      <c r="BJ1167" s="547" t="s">
        <v>709</v>
      </c>
      <c r="BK1167" s="547" t="s">
        <v>709</v>
      </c>
      <c r="BL1167" s="547" t="s">
        <v>116</v>
      </c>
      <c r="BM1167" s="547" t="s">
        <v>709</v>
      </c>
      <c r="BN1167" s="547" t="s">
        <v>709</v>
      </c>
      <c r="BO1167" s="547" t="s">
        <v>709</v>
      </c>
      <c r="BP1167" s="547">
        <v>4652</v>
      </c>
      <c r="BQ1167" s="547">
        <v>10</v>
      </c>
      <c r="BR1167" s="547" t="s">
        <v>709</v>
      </c>
      <c r="BS1167" s="547" t="s">
        <v>709</v>
      </c>
      <c r="BT1167" s="547" t="s">
        <v>709</v>
      </c>
      <c r="BU1167" s="547" t="s">
        <v>709</v>
      </c>
      <c r="BV1167" s="547" t="s">
        <v>709</v>
      </c>
      <c r="BW1167" s="547" t="s">
        <v>709</v>
      </c>
      <c r="BX1167" s="547" t="s">
        <v>709</v>
      </c>
      <c r="BY1167" s="547" t="s">
        <v>709</v>
      </c>
      <c r="BZ1167" s="547" t="s">
        <v>709</v>
      </c>
      <c r="CA1167" s="483"/>
      <c r="CB1167" s="547">
        <v>1165</v>
      </c>
      <c r="CC1167" s="1481" t="b">
        <v>1</v>
      </c>
      <c r="CD1167" s="879" t="str">
        <f>Table15[[#This Row],[Engineering Number]]&amp;Table15[[#This Row],[WO Number]]&amp;Table15[[#This Row],[Date Assigned to Designer]]&amp;Table15[[#This Row],[Date Completed]]</f>
        <v>NBA100054401612421/16138904538345428</v>
      </c>
    </row>
    <row r="1168" spans="1:82" customFormat="1" ht="15" customHeight="1" x14ac:dyDescent="0.25">
      <c r="A1168">
        <v>2023</v>
      </c>
      <c r="B1168" s="8" t="s">
        <v>759</v>
      </c>
      <c r="C1168" s="8" t="s">
        <v>1793</v>
      </c>
      <c r="D1168" s="8" t="s">
        <v>1794</v>
      </c>
      <c r="E1168" s="8" t="s">
        <v>1787</v>
      </c>
      <c r="F1168" s="8" t="s">
        <v>752</v>
      </c>
      <c r="G1168" s="8" t="s">
        <v>34</v>
      </c>
      <c r="H1168" s="8" t="s">
        <v>59</v>
      </c>
      <c r="I1168" s="642">
        <v>44582</v>
      </c>
      <c r="J1168" s="18">
        <v>45429</v>
      </c>
      <c r="K1168" s="642">
        <v>45429</v>
      </c>
      <c r="L1168" s="16">
        <f>IF(ISTEXT(Table15[[#This Row],[Engineering Approved Design Date]]),Table15[[#This Row],[Date Completed]]-Table15[[#This Row],[Date Assigned to Designer]],Table15[[#This Row],[Engineering Approved Design Date]]-Table15[[#This Row],[Date Completed]])</f>
        <v>0</v>
      </c>
      <c r="M1168" s="642"/>
      <c r="N1168" s="642" t="s">
        <v>120</v>
      </c>
      <c r="O1168" s="1060">
        <v>45413</v>
      </c>
      <c r="P1168" s="1152" t="s">
        <v>120</v>
      </c>
      <c r="Q1168" s="340">
        <f>Table15[[#This Row],[Rate]]*Table15[[#This Row],[Construction Cost to Bill From]]</f>
        <v>146544.959</v>
      </c>
      <c r="R1168" s="1039">
        <v>0.11</v>
      </c>
      <c r="S1168" s="538"/>
      <c r="T1168" s="538"/>
      <c r="U1168" s="87"/>
      <c r="V1168" s="858">
        <v>1638</v>
      </c>
      <c r="W1168" s="437">
        <v>1</v>
      </c>
      <c r="X1168" s="538">
        <v>1222303.93</v>
      </c>
      <c r="Y1168" s="551"/>
      <c r="Z1168" s="552">
        <v>109922.97</v>
      </c>
      <c r="AA1168" s="552">
        <f>SUM(Table15[[#This Row],[PCTS Investment Amount]:[PCTS Retirement Amount]])</f>
        <v>1332226.8999999999</v>
      </c>
      <c r="AB1168" s="341">
        <v>45426</v>
      </c>
      <c r="AC1168" s="569" t="s">
        <v>1056</v>
      </c>
      <c r="AD1168" s="1149" t="s">
        <v>29</v>
      </c>
      <c r="AE1168" s="569" t="s">
        <v>116</v>
      </c>
      <c r="AF1168" s="568" t="s">
        <v>116</v>
      </c>
      <c r="AG1168" s="569" t="s">
        <v>116</v>
      </c>
      <c r="AH1168" s="183" t="s">
        <v>116</v>
      </c>
      <c r="AI1168" s="1109">
        <f>30900</f>
        <v>30900</v>
      </c>
      <c r="AJ1168" s="1110">
        <v>0</v>
      </c>
      <c r="AK1168" s="1110">
        <v>0</v>
      </c>
      <c r="AL1168" s="1104">
        <f>SUM(Table15[[#This Row],[Nicor Initiated DBE]:[Staffing]])/(Table15[[#This Row],[Amount Invoiced]])</f>
        <v>0.21085679241958777</v>
      </c>
      <c r="AM1168" s="536" t="s">
        <v>116</v>
      </c>
      <c r="AN1168" s="903" t="s">
        <v>709</v>
      </c>
      <c r="AO1168" s="1536"/>
      <c r="AP1168" s="1537"/>
      <c r="AQ1168" s="1537"/>
      <c r="AR1168" s="1537"/>
      <c r="AS1168" s="888">
        <f>IF(Table15[[#This Row],[PCTS Approved]]="N",0,Table15[[#This Row],[Investment Amount (1'#'#'#'#'#)]]+Table15[[#This Row],[Retirement Amount (3'#'#'#'#'#)]])</f>
        <v>0</v>
      </c>
      <c r="AT1168" s="888">
        <f>IF(Table15[[#This Row],[Approved Construction Cost]]=0,0,Table15[[#This Row],[Approved Construction Cost]]-Table15[[#This Row],[Construction Cost to Bill From]])</f>
        <v>0</v>
      </c>
      <c r="AU1168" s="888">
        <f>IFERROR(Table15[[#This Row],[Difference in Construction Cost]]*Table15[[#This Row],[Rate]],Table15[[#This Row],[Difference in Construction Cost]]*0.085)</f>
        <v>0</v>
      </c>
      <c r="AV1168" s="905"/>
      <c r="AW1168" s="1509"/>
      <c r="AX1168" s="888"/>
      <c r="AY1168" s="636" t="s">
        <v>709</v>
      </c>
      <c r="AZ1168" s="333">
        <v>163</v>
      </c>
      <c r="BA1168" s="1031" t="s">
        <v>1795</v>
      </c>
      <c r="BB1168" s="644" t="s">
        <v>1796</v>
      </c>
      <c r="BC1168" s="559" t="s">
        <v>116</v>
      </c>
      <c r="BD1168" s="554" t="s">
        <v>882</v>
      </c>
      <c r="BE1168" s="588" t="s">
        <v>1791</v>
      </c>
      <c r="BF1168" s="588" t="s">
        <v>115</v>
      </c>
      <c r="BG1168" s="548" t="s">
        <v>1496</v>
      </c>
      <c r="BH1168" s="615" t="s">
        <v>1797</v>
      </c>
      <c r="BI1168" s="547" t="s">
        <v>709</v>
      </c>
      <c r="BJ1168" s="547" t="s">
        <v>1798</v>
      </c>
      <c r="BK1168" s="547" t="s">
        <v>709</v>
      </c>
      <c r="BL1168" s="547" t="s">
        <v>116</v>
      </c>
      <c r="BM1168" s="547" t="s">
        <v>709</v>
      </c>
      <c r="BN1168" s="547" t="s">
        <v>709</v>
      </c>
      <c r="BO1168" s="547" t="s">
        <v>709</v>
      </c>
      <c r="BP1168" s="626" t="s">
        <v>709</v>
      </c>
      <c r="BQ1168" s="626">
        <f>40+1</f>
        <v>41</v>
      </c>
      <c r="BR1168" s="549">
        <f>216+1317+4</f>
        <v>1537</v>
      </c>
      <c r="BS1168" s="549">
        <v>11</v>
      </c>
      <c r="BT1168" s="547" t="s">
        <v>745</v>
      </c>
      <c r="BU1168" s="547" t="s">
        <v>709</v>
      </c>
      <c r="BV1168" s="547" t="s">
        <v>745</v>
      </c>
      <c r="BW1168" s="547">
        <v>1</v>
      </c>
      <c r="BX1168" s="547" t="s">
        <v>745</v>
      </c>
      <c r="BY1168" s="547" t="s">
        <v>745</v>
      </c>
      <c r="BZ1168" s="547" t="s">
        <v>709</v>
      </c>
      <c r="CA1168" s="483" t="s">
        <v>1799</v>
      </c>
      <c r="CB1168" s="547">
        <v>1166</v>
      </c>
      <c r="CC1168" s="1481" t="b">
        <v>1</v>
      </c>
      <c r="CD1168" s="879" t="str">
        <f>Table15[[#This Row],[Engineering Number]]&amp;Table15[[#This Row],[WO Number]]&amp;Table15[[#This Row],[Date Assigned to Designer]]&amp;Table15[[#This Row],[Date Completed]]</f>
        <v>RS98910109854458245429</v>
      </c>
    </row>
    <row r="1169" spans="1:82" customFormat="1" ht="15" customHeight="1" x14ac:dyDescent="0.25">
      <c r="A1169">
        <v>2024</v>
      </c>
      <c r="B1169" s="8" t="s">
        <v>759</v>
      </c>
      <c r="C1169" s="8" t="s">
        <v>416</v>
      </c>
      <c r="D1169" s="8" t="s">
        <v>6020</v>
      </c>
      <c r="E1169" s="8" t="s">
        <v>309</v>
      </c>
      <c r="F1169" s="8" t="s">
        <v>752</v>
      </c>
      <c r="G1169" s="8" t="s">
        <v>219</v>
      </c>
      <c r="H1169" s="8" t="s">
        <v>4001</v>
      </c>
      <c r="I1169" s="18">
        <v>45429</v>
      </c>
      <c r="J1169" s="175" t="s">
        <v>2052</v>
      </c>
      <c r="K1169" s="97">
        <v>45436</v>
      </c>
      <c r="L1169" s="16">
        <f>IF(ISTEXT(Table15[[#This Row],[Engineering Approved Design Date]]),Table15[[#This Row],[Date Completed]]-Table15[[#This Row],[Date Assigned to Designer]],Table15[[#This Row],[Engineering Approved Design Date]]-Table15[[#This Row],[Date Completed]])</f>
        <v>7</v>
      </c>
      <c r="M1169" s="642" t="s">
        <v>6319</v>
      </c>
      <c r="N1169" s="642" t="s">
        <v>120</v>
      </c>
      <c r="O1169" s="1060">
        <v>45444</v>
      </c>
      <c r="P1169" s="1152" t="s">
        <v>120</v>
      </c>
      <c r="Q1169" s="1061">
        <f>Table15[[#This Row],[KH Hourly Effort]]</f>
        <v>4175</v>
      </c>
      <c r="R1169" s="1026" t="s">
        <v>1922</v>
      </c>
      <c r="S1169" s="552">
        <v>0</v>
      </c>
      <c r="T1169" s="552">
        <v>0</v>
      </c>
      <c r="U1169" s="87">
        <v>4175</v>
      </c>
      <c r="V1169" s="857"/>
      <c r="W1169" s="440"/>
      <c r="X1169" s="538"/>
      <c r="Y1169" s="551"/>
      <c r="Z1169" s="538"/>
      <c r="AA1169" s="552"/>
      <c r="AB1169" s="341" t="s">
        <v>29</v>
      </c>
      <c r="AC1169" s="569" t="s">
        <v>756</v>
      </c>
      <c r="AD1169" s="1149" t="s">
        <v>116</v>
      </c>
      <c r="AE1169" s="569" t="s">
        <v>29</v>
      </c>
      <c r="AF1169" s="568" t="s">
        <v>29</v>
      </c>
      <c r="AG1169" s="569" t="s">
        <v>29</v>
      </c>
      <c r="AH1169" s="183" t="s">
        <v>29</v>
      </c>
      <c r="AI1169" s="1028"/>
      <c r="AJ1169" s="1029"/>
      <c r="AK1169" s="1029"/>
      <c r="AL1169" s="1030"/>
      <c r="AM1169" s="542" t="s">
        <v>709</v>
      </c>
      <c r="AN1169" s="924"/>
      <c r="AO1169" s="925"/>
      <c r="AP1169" s="926"/>
      <c r="AQ1169" s="926"/>
      <c r="AR1169" s="926"/>
      <c r="AS1169" s="926"/>
      <c r="AT1169" s="926"/>
      <c r="AU1169" s="926"/>
      <c r="AV1169" s="926"/>
      <c r="AW1169" s="927"/>
      <c r="AX1169" s="926"/>
      <c r="AY1169" s="1538" t="s">
        <v>29</v>
      </c>
      <c r="AZ1169" s="1530"/>
      <c r="BA1169" s="1031">
        <v>10</v>
      </c>
      <c r="BB1169" s="644" t="s">
        <v>6320</v>
      </c>
      <c r="BC1169" s="559"/>
      <c r="BD1169" s="554"/>
      <c r="BE1169" s="588"/>
      <c r="BF1169" s="588"/>
      <c r="BG1169" s="548"/>
      <c r="BH1169" s="615" t="s">
        <v>6321</v>
      </c>
      <c r="BI1169" s="549" t="s">
        <v>709</v>
      </c>
      <c r="BJ1169" s="549" t="s">
        <v>709</v>
      </c>
      <c r="BK1169" s="549" t="s">
        <v>116</v>
      </c>
      <c r="BL1169" s="549" t="s">
        <v>116</v>
      </c>
      <c r="BM1169" s="549" t="s">
        <v>709</v>
      </c>
      <c r="BN1169" s="549" t="s">
        <v>709</v>
      </c>
      <c r="BO1169" s="549" t="s">
        <v>709</v>
      </c>
      <c r="BP1169" s="549" t="s">
        <v>709</v>
      </c>
      <c r="BQ1169" s="549">
        <v>139</v>
      </c>
      <c r="BR1169" s="549">
        <v>140</v>
      </c>
      <c r="BS1169" s="549">
        <v>54</v>
      </c>
      <c r="BT1169" s="549" t="s">
        <v>709</v>
      </c>
      <c r="BU1169" s="549" t="s">
        <v>709</v>
      </c>
      <c r="BV1169" s="549" t="s">
        <v>709</v>
      </c>
      <c r="BW1169" s="549">
        <v>1</v>
      </c>
      <c r="BX1169" s="549">
        <v>1</v>
      </c>
      <c r="BY1169" s="549" t="s">
        <v>709</v>
      </c>
      <c r="BZ1169" s="547" t="s">
        <v>709</v>
      </c>
      <c r="CA1169" s="484" t="s">
        <v>1440</v>
      </c>
      <c r="CB1169" s="547">
        <v>1167</v>
      </c>
      <c r="CC1169" s="1481" t="b">
        <v>1</v>
      </c>
      <c r="CD1169" s="879" t="str">
        <f>Table15[[#This Row],[Engineering Number]]&amp;Table15[[#This Row],[WO Number]]&amp;Table15[[#This Row],[Date Assigned to Designer]]&amp;Table15[[#This Row],[Date Completed]]</f>
        <v>RS108010119264542945436</v>
      </c>
    </row>
    <row r="1170" spans="1:82" customFormat="1" ht="15" customHeight="1" x14ac:dyDescent="0.25">
      <c r="A1170">
        <v>2024</v>
      </c>
      <c r="B1170" s="8" t="s">
        <v>733</v>
      </c>
      <c r="C1170" s="8" t="s">
        <v>6323</v>
      </c>
      <c r="D1170" s="8" t="s">
        <v>6324</v>
      </c>
      <c r="E1170" s="8" t="s">
        <v>426</v>
      </c>
      <c r="F1170" s="8" t="s">
        <v>752</v>
      </c>
      <c r="G1170" s="8" t="s">
        <v>34</v>
      </c>
      <c r="H1170" s="8" t="s">
        <v>2724</v>
      </c>
      <c r="I1170" s="642">
        <v>45296</v>
      </c>
      <c r="J1170" s="175" t="s">
        <v>4110</v>
      </c>
      <c r="K1170" s="97">
        <v>45437</v>
      </c>
      <c r="L1170" s="16">
        <f>IF(ISTEXT(Table15[[#This Row],[Engineering Approved Design Date]]),Table15[[#This Row],[Date Completed]]-Table15[[#This Row],[Date Assigned to Designer]],Table15[[#This Row],[Engineering Approved Design Date]]-Table15[[#This Row],[Date Completed]])</f>
        <v>141</v>
      </c>
      <c r="M1170" s="16" t="s">
        <v>6325</v>
      </c>
      <c r="N1170" s="99" t="s">
        <v>120</v>
      </c>
      <c r="O1170" s="1060">
        <v>45504</v>
      </c>
      <c r="P1170" s="21" t="s">
        <v>120</v>
      </c>
      <c r="Q1170" s="1061">
        <v>14750</v>
      </c>
      <c r="R1170" s="1026" t="s">
        <v>1922</v>
      </c>
      <c r="S1170" s="538" t="s">
        <v>915</v>
      </c>
      <c r="T1170" s="538" t="s">
        <v>915</v>
      </c>
      <c r="U1170" s="87">
        <v>14750</v>
      </c>
      <c r="V1170" s="858" t="s">
        <v>29</v>
      </c>
      <c r="W1170" s="425" t="s">
        <v>29</v>
      </c>
      <c r="X1170" s="538" t="s">
        <v>29</v>
      </c>
      <c r="Y1170" s="551" t="s">
        <v>915</v>
      </c>
      <c r="Z1170" s="538" t="s">
        <v>29</v>
      </c>
      <c r="AA1170" s="552" t="s">
        <v>29</v>
      </c>
      <c r="AB1170" s="341" t="s">
        <v>29</v>
      </c>
      <c r="AC1170" s="569" t="s">
        <v>29</v>
      </c>
      <c r="AD1170" s="1149" t="s">
        <v>29</v>
      </c>
      <c r="AE1170" s="580"/>
      <c r="AF1170" s="580"/>
      <c r="AG1170" s="569"/>
      <c r="AH1170" s="536"/>
      <c r="AI1170" s="1028"/>
      <c r="AJ1170" s="1029"/>
      <c r="AK1170" s="1029"/>
      <c r="AL1170" s="1030"/>
      <c r="AM1170" s="542" t="s">
        <v>709</v>
      </c>
      <c r="AN1170" s="924"/>
      <c r="AO1170" s="925"/>
      <c r="AP1170" s="926"/>
      <c r="AQ1170" s="926"/>
      <c r="AR1170" s="926"/>
      <c r="AS1170" s="926"/>
      <c r="AT1170" s="926"/>
      <c r="AU1170" s="926"/>
      <c r="AV1170" s="926"/>
      <c r="AW1170" s="927"/>
      <c r="AX1170" s="926"/>
      <c r="AY1170" s="1538" t="s">
        <v>29</v>
      </c>
      <c r="AZ1170" s="1530"/>
      <c r="BA1170" s="1031"/>
      <c r="BB1170" s="644"/>
      <c r="BC1170" s="544"/>
      <c r="BD1170" s="544"/>
      <c r="BE1170" s="544"/>
      <c r="BF1170" s="544"/>
      <c r="BG1170" s="544"/>
      <c r="BH1170" s="741" t="s">
        <v>6326</v>
      </c>
      <c r="BI1170" s="547" t="s">
        <v>709</v>
      </c>
      <c r="BJ1170" s="547" t="s">
        <v>709</v>
      </c>
      <c r="BK1170" s="547" t="s">
        <v>709</v>
      </c>
      <c r="BL1170" s="547" t="s">
        <v>116</v>
      </c>
      <c r="BM1170" s="547" t="s">
        <v>709</v>
      </c>
      <c r="BN1170" s="547" t="s">
        <v>709</v>
      </c>
      <c r="BO1170" s="547" t="s">
        <v>709</v>
      </c>
      <c r="BP1170" s="547" t="s">
        <v>709</v>
      </c>
      <c r="BQ1170" s="547">
        <v>21</v>
      </c>
      <c r="BR1170" s="547" t="s">
        <v>709</v>
      </c>
      <c r="BS1170" s="547" t="s">
        <v>709</v>
      </c>
      <c r="BT1170" s="547" t="s">
        <v>745</v>
      </c>
      <c r="BU1170" s="547" t="s">
        <v>745</v>
      </c>
      <c r="BV1170" s="547" t="s">
        <v>745</v>
      </c>
      <c r="BW1170" s="547" t="s">
        <v>745</v>
      </c>
      <c r="BX1170" s="547">
        <v>1</v>
      </c>
      <c r="BY1170" s="547" t="s">
        <v>745</v>
      </c>
      <c r="BZ1170" s="547" t="s">
        <v>709</v>
      </c>
      <c r="CA1170" s="483"/>
      <c r="CB1170" s="547">
        <v>1168</v>
      </c>
      <c r="CC1170" s="1481" t="b">
        <v>1</v>
      </c>
      <c r="CD1170" s="879" t="str">
        <f>Table15[[#This Row],[Engineering Number]]&amp;Table15[[#This Row],[WO Number]]&amp;Table15[[#This Row],[Date Assigned to Designer]]&amp;Table15[[#This Row],[Date Completed]]</f>
        <v>RS120210134804529645437</v>
      </c>
    </row>
    <row r="1171" spans="1:82" customFormat="1" ht="15" customHeight="1" x14ac:dyDescent="0.25">
      <c r="A1171">
        <v>2024</v>
      </c>
      <c r="B1171" s="8" t="s">
        <v>4</v>
      </c>
      <c r="C1171" s="8" t="s">
        <v>392</v>
      </c>
      <c r="D1171" s="8" t="s">
        <v>1702</v>
      </c>
      <c r="E1171" s="8" t="s">
        <v>393</v>
      </c>
      <c r="F1171" s="8" t="s">
        <v>784</v>
      </c>
      <c r="G1171" s="8" t="s">
        <v>27</v>
      </c>
      <c r="H1171" s="8" t="s">
        <v>4189</v>
      </c>
      <c r="I1171" s="18">
        <v>45433</v>
      </c>
      <c r="J1171" s="175" t="s">
        <v>2052</v>
      </c>
      <c r="K1171" s="97">
        <v>45440</v>
      </c>
      <c r="L1171" s="16">
        <f>IF(ISTEXT(Table15[[#This Row],[Engineering Approved Design Date]]),Table15[[#This Row],[Date Completed]]-Table15[[#This Row],[Date Assigned to Designer]],Table15[[#This Row],[Engineering Approved Design Date]]-Table15[[#This Row],[Date Completed]])</f>
        <v>7</v>
      </c>
      <c r="M1171" s="642" t="s">
        <v>6328</v>
      </c>
      <c r="N1171" s="642" t="s">
        <v>120</v>
      </c>
      <c r="O1171" s="1060">
        <v>45444</v>
      </c>
      <c r="P1171" s="1152" t="s">
        <v>739</v>
      </c>
      <c r="Q1171" s="1061">
        <f>Table15[[#This Row],[Shactee Effort]]+Table15[[#This Row],[KH Hourly Effort]]</f>
        <v>4660</v>
      </c>
      <c r="R1171" s="1026" t="s">
        <v>1922</v>
      </c>
      <c r="S1171" s="538">
        <v>0</v>
      </c>
      <c r="T1171" s="538">
        <v>0</v>
      </c>
      <c r="U1171" s="87">
        <v>4660</v>
      </c>
      <c r="V1171" s="857"/>
      <c r="W1171" s="440"/>
      <c r="X1171" s="538"/>
      <c r="Y1171" s="551"/>
      <c r="Z1171" s="538"/>
      <c r="AA1171" s="552"/>
      <c r="AB1171" s="341" t="s">
        <v>29</v>
      </c>
      <c r="AC1171" s="569" t="s">
        <v>29</v>
      </c>
      <c r="AD1171" s="1149" t="s">
        <v>29</v>
      </c>
      <c r="AE1171" s="569" t="s">
        <v>116</v>
      </c>
      <c r="AF1171" s="568" t="s">
        <v>116</v>
      </c>
      <c r="AG1171" s="569" t="s">
        <v>29</v>
      </c>
      <c r="AH1171" s="183">
        <v>45770</v>
      </c>
      <c r="AI1171" s="1028"/>
      <c r="AJ1171" s="1029"/>
      <c r="AK1171" s="1029"/>
      <c r="AL1171" s="1030"/>
      <c r="AM1171" s="542" t="s">
        <v>709</v>
      </c>
      <c r="AN1171" s="924"/>
      <c r="AO1171" s="925"/>
      <c r="AP1171" s="926"/>
      <c r="AQ1171" s="926"/>
      <c r="AR1171" s="926"/>
      <c r="AS1171" s="926"/>
      <c r="AT1171" s="926"/>
      <c r="AU1171" s="926"/>
      <c r="AV1171" s="926"/>
      <c r="AW1171" s="927"/>
      <c r="AX1171" s="926"/>
      <c r="AY1171" s="1538" t="s">
        <v>29</v>
      </c>
      <c r="AZ1171" s="1530"/>
      <c r="BA1171" s="1098" t="s">
        <v>4919</v>
      </c>
      <c r="BB1171" s="644" t="s">
        <v>6329</v>
      </c>
      <c r="BC1171" s="559"/>
      <c r="BD1171" s="554"/>
      <c r="BE1171" s="588"/>
      <c r="BF1171" s="588"/>
      <c r="BG1171" s="548"/>
      <c r="BH1171" s="615" t="s">
        <v>6330</v>
      </c>
      <c r="BI1171" s="547" t="s">
        <v>709</v>
      </c>
      <c r="BJ1171" s="547" t="s">
        <v>709</v>
      </c>
      <c r="BK1171" s="547" t="s">
        <v>709</v>
      </c>
      <c r="BL1171" s="547" t="s">
        <v>116</v>
      </c>
      <c r="BM1171" s="547" t="s">
        <v>709</v>
      </c>
      <c r="BN1171" s="547" t="s">
        <v>709</v>
      </c>
      <c r="BO1171" s="547" t="s">
        <v>709</v>
      </c>
      <c r="BP1171" s="547" t="s">
        <v>709</v>
      </c>
      <c r="BQ1171" s="547" t="s">
        <v>116</v>
      </c>
      <c r="BR1171" s="547" t="s">
        <v>116</v>
      </c>
      <c r="BS1171" s="547" t="s">
        <v>116</v>
      </c>
      <c r="BT1171" s="547" t="s">
        <v>745</v>
      </c>
      <c r="BU1171" s="547" t="s">
        <v>709</v>
      </c>
      <c r="BV1171" s="547" t="s">
        <v>745</v>
      </c>
      <c r="BW1171" s="547" t="s">
        <v>709</v>
      </c>
      <c r="BX1171" s="547" t="s">
        <v>745</v>
      </c>
      <c r="BY1171" s="547" t="s">
        <v>745</v>
      </c>
      <c r="BZ1171" s="547" t="s">
        <v>709</v>
      </c>
      <c r="CA1171" s="483" t="s">
        <v>29</v>
      </c>
      <c r="CB1171" s="547">
        <v>1169</v>
      </c>
      <c r="CC1171" s="1481" t="b">
        <v>1</v>
      </c>
      <c r="CD1171" s="879" t="str">
        <f>Table15[[#This Row],[Engineering Number]]&amp;Table15[[#This Row],[WO Number]]&amp;Table15[[#This Row],[Date Assigned to Designer]]&amp;Table15[[#This Row],[Date Completed]]</f>
        <v>N1435912123854543345440</v>
      </c>
    </row>
    <row r="1172" spans="1:82" customFormat="1" ht="15" customHeight="1" x14ac:dyDescent="0.25">
      <c r="A1172">
        <v>2024</v>
      </c>
      <c r="B1172" s="8" t="s">
        <v>4</v>
      </c>
      <c r="C1172" s="8" t="s">
        <v>1030</v>
      </c>
      <c r="D1172" s="8">
        <v>1413358</v>
      </c>
      <c r="E1172" s="8" t="s">
        <v>1032</v>
      </c>
      <c r="F1172" s="8" t="s">
        <v>1757</v>
      </c>
      <c r="G1172" s="8" t="s">
        <v>31</v>
      </c>
      <c r="H1172" s="8" t="s">
        <v>4189</v>
      </c>
      <c r="I1172" s="18">
        <v>45433</v>
      </c>
      <c r="J1172" s="175" t="s">
        <v>2052</v>
      </c>
      <c r="K1172" s="97">
        <v>45440</v>
      </c>
      <c r="L1172" s="16">
        <f>IF(ISTEXT(Table15[[#This Row],[Engineering Approved Design Date]]),Table15[[#This Row],[Date Completed]]-Table15[[#This Row],[Date Assigned to Designer]],Table15[[#This Row],[Engineering Approved Design Date]]-Table15[[#This Row],[Date Completed]])</f>
        <v>7</v>
      </c>
      <c r="M1172" s="642" t="s">
        <v>6332</v>
      </c>
      <c r="N1172" s="642" t="s">
        <v>120</v>
      </c>
      <c r="O1172" s="1060">
        <v>45444</v>
      </c>
      <c r="P1172" s="1152" t="s">
        <v>739</v>
      </c>
      <c r="Q1172" s="1061">
        <f>Table15[[#This Row],[Shactee Effort]]+Table15[[#This Row],[KH Hourly Effort]]</f>
        <v>5790</v>
      </c>
      <c r="R1172" s="1026" t="s">
        <v>1922</v>
      </c>
      <c r="S1172" s="538">
        <v>0</v>
      </c>
      <c r="T1172" s="538">
        <v>0</v>
      </c>
      <c r="U1172" s="87">
        <v>5790</v>
      </c>
      <c r="V1172" s="857"/>
      <c r="W1172" s="440"/>
      <c r="X1172" s="538"/>
      <c r="Y1172" s="551"/>
      <c r="Z1172" s="538"/>
      <c r="AA1172" s="552"/>
      <c r="AB1172" s="341" t="s">
        <v>29</v>
      </c>
      <c r="AC1172" s="568" t="s">
        <v>29</v>
      </c>
      <c r="AD1172" s="1157" t="s">
        <v>29</v>
      </c>
      <c r="AE1172" s="569" t="s">
        <v>116</v>
      </c>
      <c r="AF1172" s="568" t="s">
        <v>116</v>
      </c>
      <c r="AG1172" s="569" t="s">
        <v>29</v>
      </c>
      <c r="AH1172" s="183">
        <v>45447</v>
      </c>
      <c r="AI1172" s="1028"/>
      <c r="AJ1172" s="1029"/>
      <c r="AK1172" s="1029"/>
      <c r="AL1172" s="1030"/>
      <c r="AM1172" s="542" t="s">
        <v>709</v>
      </c>
      <c r="AN1172" s="924"/>
      <c r="AO1172" s="925"/>
      <c r="AP1172" s="926"/>
      <c r="AQ1172" s="926"/>
      <c r="AR1172" s="926"/>
      <c r="AS1172" s="926"/>
      <c r="AT1172" s="926"/>
      <c r="AU1172" s="926"/>
      <c r="AV1172" s="926"/>
      <c r="AW1172" s="927"/>
      <c r="AX1172" s="926"/>
      <c r="AY1172" s="1538" t="s">
        <v>29</v>
      </c>
      <c r="AZ1172" s="1530"/>
      <c r="BA1172" s="1098">
        <v>1</v>
      </c>
      <c r="BB1172" s="644"/>
      <c r="BC1172" s="559"/>
      <c r="BD1172" s="554"/>
      <c r="BE1172" s="588"/>
      <c r="BF1172" s="588"/>
      <c r="BG1172" s="548"/>
      <c r="BH1172" s="615" t="s">
        <v>6333</v>
      </c>
      <c r="BI1172" s="547" t="s">
        <v>709</v>
      </c>
      <c r="BJ1172" s="547" t="s">
        <v>709</v>
      </c>
      <c r="BK1172" s="547" t="s">
        <v>709</v>
      </c>
      <c r="BL1172" s="547" t="s">
        <v>116</v>
      </c>
      <c r="BM1172" s="547" t="s">
        <v>709</v>
      </c>
      <c r="BN1172" s="547" t="s">
        <v>709</v>
      </c>
      <c r="BO1172" s="547" t="s">
        <v>709</v>
      </c>
      <c r="BP1172" s="547" t="s">
        <v>709</v>
      </c>
      <c r="BQ1172" s="547">
        <v>5165</v>
      </c>
      <c r="BR1172" s="547">
        <v>763</v>
      </c>
      <c r="BS1172" s="547">
        <v>25</v>
      </c>
      <c r="BT1172" s="547" t="s">
        <v>709</v>
      </c>
      <c r="BU1172" s="547" t="s">
        <v>709</v>
      </c>
      <c r="BV1172" s="547" t="s">
        <v>709</v>
      </c>
      <c r="BW1172" s="547" t="s">
        <v>709</v>
      </c>
      <c r="BX1172" s="547" t="s">
        <v>709</v>
      </c>
      <c r="BY1172" s="547" t="s">
        <v>709</v>
      </c>
      <c r="BZ1172" s="547" t="s">
        <v>709</v>
      </c>
      <c r="CA1172" s="483"/>
      <c r="CB1172" s="547">
        <v>1170</v>
      </c>
      <c r="CC1172" s="1481" t="b">
        <v>1</v>
      </c>
      <c r="CD1172" s="879" t="str">
        <f>Table15[[#This Row],[Engineering Number]]&amp;Table15[[#This Row],[WO Number]]&amp;Table15[[#This Row],[Date Assigned to Designer]]&amp;Table15[[#This Row],[Date Completed]]</f>
        <v>SC1861114133584543345440</v>
      </c>
    </row>
    <row r="1173" spans="1:82" customFormat="1" ht="15" customHeight="1" x14ac:dyDescent="0.25">
      <c r="A1173">
        <v>2024</v>
      </c>
      <c r="B1173" s="8" t="s">
        <v>4</v>
      </c>
      <c r="C1173" s="8" t="s">
        <v>1696</v>
      </c>
      <c r="D1173" s="8" t="s">
        <v>1697</v>
      </c>
      <c r="E1173" s="8" t="s">
        <v>1698</v>
      </c>
      <c r="F1173" s="8" t="s">
        <v>784</v>
      </c>
      <c r="G1173" s="8" t="s">
        <v>27</v>
      </c>
      <c r="H1173" s="8" t="s">
        <v>4189</v>
      </c>
      <c r="I1173" s="18">
        <v>45434</v>
      </c>
      <c r="J1173" s="175" t="s">
        <v>2052</v>
      </c>
      <c r="K1173" s="97">
        <v>45441</v>
      </c>
      <c r="L1173" s="16">
        <f>IF(ISTEXT(Table15[[#This Row],[Engineering Approved Design Date]]),Table15[[#This Row],[Date Completed]]-Table15[[#This Row],[Date Assigned to Designer]],Table15[[#This Row],[Engineering Approved Design Date]]-Table15[[#This Row],[Date Completed]])</f>
        <v>7</v>
      </c>
      <c r="M1173" s="642" t="s">
        <v>6335</v>
      </c>
      <c r="N1173" s="642" t="s">
        <v>120</v>
      </c>
      <c r="O1173" s="1060">
        <v>45444</v>
      </c>
      <c r="P1173" s="1152" t="s">
        <v>739</v>
      </c>
      <c r="Q1173" s="1061">
        <f>Table15[[#This Row],[Shactee Effort]]+Table15[[#This Row],[KH Hourly Effort]]</f>
        <v>1470</v>
      </c>
      <c r="R1173" s="1026" t="s">
        <v>1922</v>
      </c>
      <c r="S1173" s="538">
        <v>0</v>
      </c>
      <c r="T1173" s="538">
        <v>0</v>
      </c>
      <c r="U1173" s="87">
        <v>1470</v>
      </c>
      <c r="V1173" s="857"/>
      <c r="W1173" s="440"/>
      <c r="X1173" s="538"/>
      <c r="Y1173" s="551"/>
      <c r="Z1173" s="538"/>
      <c r="AA1173" s="552"/>
      <c r="AB1173" s="341">
        <v>45442</v>
      </c>
      <c r="AC1173" s="569" t="s">
        <v>29</v>
      </c>
      <c r="AD1173" s="1149" t="s">
        <v>116</v>
      </c>
      <c r="AE1173" s="569" t="s">
        <v>116</v>
      </c>
      <c r="AF1173" s="568" t="s">
        <v>116</v>
      </c>
      <c r="AG1173" s="569" t="s">
        <v>29</v>
      </c>
      <c r="AH1173" s="183">
        <v>45567</v>
      </c>
      <c r="AI1173" s="1028"/>
      <c r="AJ1173" s="1029"/>
      <c r="AK1173" s="1029"/>
      <c r="AL1173" s="1030"/>
      <c r="AM1173" s="542" t="s">
        <v>709</v>
      </c>
      <c r="AN1173" s="924"/>
      <c r="AO1173" s="925"/>
      <c r="AP1173" s="926"/>
      <c r="AQ1173" s="926"/>
      <c r="AR1173" s="926"/>
      <c r="AS1173" s="926"/>
      <c r="AT1173" s="926"/>
      <c r="AU1173" s="926"/>
      <c r="AV1173" s="926"/>
      <c r="AW1173" s="927"/>
      <c r="AX1173" s="926"/>
      <c r="AY1173" s="1538" t="s">
        <v>29</v>
      </c>
      <c r="AZ1173" s="1530"/>
      <c r="BA1173" s="1098">
        <v>4</v>
      </c>
      <c r="BB1173" s="644"/>
      <c r="BC1173" s="559"/>
      <c r="BD1173" s="554"/>
      <c r="BE1173" s="588"/>
      <c r="BF1173" s="588"/>
      <c r="BG1173" s="548"/>
      <c r="BH1173" s="615" t="s">
        <v>6336</v>
      </c>
      <c r="BI1173" s="547" t="s">
        <v>709</v>
      </c>
      <c r="BJ1173" s="547" t="s">
        <v>709</v>
      </c>
      <c r="BK1173" s="547" t="s">
        <v>709</v>
      </c>
      <c r="BL1173" s="547" t="s">
        <v>709</v>
      </c>
      <c r="BM1173" s="547" t="s">
        <v>709</v>
      </c>
      <c r="BN1173" s="547" t="s">
        <v>116</v>
      </c>
      <c r="BO1173" s="547" t="s">
        <v>709</v>
      </c>
      <c r="BP1173" s="547" t="s">
        <v>116</v>
      </c>
      <c r="BQ1173" s="547" t="s">
        <v>116</v>
      </c>
      <c r="BR1173" s="547" t="s">
        <v>116</v>
      </c>
      <c r="BS1173" s="547" t="s">
        <v>116</v>
      </c>
      <c r="BT1173" s="547" t="s">
        <v>745</v>
      </c>
      <c r="BU1173" s="547" t="s">
        <v>709</v>
      </c>
      <c r="BV1173" s="547" t="s">
        <v>745</v>
      </c>
      <c r="BW1173" s="547" t="s">
        <v>709</v>
      </c>
      <c r="BX1173" s="547" t="s">
        <v>745</v>
      </c>
      <c r="BY1173" s="547" t="s">
        <v>745</v>
      </c>
      <c r="BZ1173" s="547" t="s">
        <v>709</v>
      </c>
      <c r="CA1173" s="483" t="s">
        <v>29</v>
      </c>
      <c r="CB1173" s="547">
        <v>1171</v>
      </c>
      <c r="CC1173" s="1481" t="b">
        <v>1</v>
      </c>
      <c r="CD1173" s="879" t="str">
        <f>Table15[[#This Row],[Engineering Number]]&amp;Table15[[#This Row],[WO Number]]&amp;Table15[[#This Row],[Date Assigned to Designer]]&amp;Table15[[#This Row],[Date Completed]]</f>
        <v>M1520912133004543445441</v>
      </c>
    </row>
    <row r="1174" spans="1:82" customFormat="1" ht="15" customHeight="1" x14ac:dyDescent="0.25">
      <c r="A1174">
        <v>2024</v>
      </c>
      <c r="B1174" s="8" t="s">
        <v>4</v>
      </c>
      <c r="C1174" s="8" t="s">
        <v>1802</v>
      </c>
      <c r="D1174" s="8" t="s">
        <v>1803</v>
      </c>
      <c r="E1174" s="8" t="s">
        <v>1804</v>
      </c>
      <c r="F1174" s="8" t="s">
        <v>851</v>
      </c>
      <c r="G1174" s="8" t="s">
        <v>28</v>
      </c>
      <c r="H1174" s="8" t="s">
        <v>4450</v>
      </c>
      <c r="I1174" s="642">
        <v>45422</v>
      </c>
      <c r="J1174" s="175" t="s">
        <v>2612</v>
      </c>
      <c r="K1174" s="97">
        <v>45442</v>
      </c>
      <c r="L1174" s="16">
        <f>IF(ISTEXT(Table15[[#This Row],[Engineering Approved Design Date]]),Table15[[#This Row],[Date Completed]]-Table15[[#This Row],[Date Assigned to Designer]],Table15[[#This Row],[Engineering Approved Design Date]]-Table15[[#This Row],[Date Completed]])</f>
        <v>20</v>
      </c>
      <c r="M1174" t="s">
        <v>6338</v>
      </c>
      <c r="N1174" s="642" t="s">
        <v>120</v>
      </c>
      <c r="O1174" s="1060">
        <v>45444</v>
      </c>
      <c r="P1174" s="1152" t="s">
        <v>739</v>
      </c>
      <c r="Q1174" s="1061">
        <f>Table15[[#This Row],[KH Hourly Effort]]</f>
        <v>16280</v>
      </c>
      <c r="R1174" s="1039" t="s">
        <v>1922</v>
      </c>
      <c r="S1174" s="538">
        <v>0</v>
      </c>
      <c r="T1174" s="538">
        <v>0</v>
      </c>
      <c r="U1174" s="87">
        <v>16280</v>
      </c>
      <c r="V1174" s="858"/>
      <c r="W1174" s="437"/>
      <c r="X1174" s="538"/>
      <c r="Y1174" s="551"/>
      <c r="Z1174" s="538"/>
      <c r="AA1174" s="552"/>
      <c r="AB1174" s="341" t="s">
        <v>29</v>
      </c>
      <c r="AC1174" s="569" t="s">
        <v>29</v>
      </c>
      <c r="AD1174" s="1149" t="s">
        <v>29</v>
      </c>
      <c r="AE1174" s="569" t="s">
        <v>116</v>
      </c>
      <c r="AF1174" s="569" t="s">
        <v>116</v>
      </c>
      <c r="AG1174" s="569" t="s">
        <v>29</v>
      </c>
      <c r="AH1174" s="183">
        <v>45475</v>
      </c>
      <c r="AI1174" s="1028"/>
      <c r="AJ1174" s="1029"/>
      <c r="AK1174" s="1029"/>
      <c r="AL1174" s="1030"/>
      <c r="AM1174" s="542" t="s">
        <v>709</v>
      </c>
      <c r="AN1174" s="924"/>
      <c r="AO1174" s="925"/>
      <c r="AP1174" s="926"/>
      <c r="AQ1174" s="926"/>
      <c r="AR1174" s="926"/>
      <c r="AS1174" s="926"/>
      <c r="AT1174" s="926"/>
      <c r="AU1174" s="926"/>
      <c r="AV1174" s="926"/>
      <c r="AW1174" s="927"/>
      <c r="AX1174" s="926"/>
      <c r="AY1174" s="1538" t="s">
        <v>29</v>
      </c>
      <c r="AZ1174" s="1530"/>
      <c r="BA1174" s="1031" t="s">
        <v>6339</v>
      </c>
      <c r="BB1174" s="644" t="s">
        <v>29</v>
      </c>
      <c r="BC1174" s="544"/>
      <c r="BD1174" s="544"/>
      <c r="BE1174" s="544"/>
      <c r="BF1174" s="544"/>
      <c r="BG1174" s="544"/>
      <c r="BH1174" s="615" t="s">
        <v>6340</v>
      </c>
      <c r="BI1174" s="1032"/>
      <c r="BJ1174" s="1032"/>
      <c r="BK1174" s="1032"/>
      <c r="BL1174" s="1032"/>
      <c r="BM1174" s="1032"/>
      <c r="BN1174" s="1032"/>
      <c r="BO1174" s="1032"/>
      <c r="BP1174" s="1032"/>
      <c r="BQ1174" s="547"/>
      <c r="BR1174" s="547"/>
      <c r="BS1174" s="547"/>
      <c r="BT1174" s="547"/>
      <c r="BU1174" s="547"/>
      <c r="BV1174" s="547"/>
      <c r="BW1174" s="547"/>
      <c r="BX1174" s="547"/>
      <c r="BY1174" s="547"/>
      <c r="BZ1174" s="547"/>
      <c r="CA1174" s="485"/>
      <c r="CB1174" s="547">
        <v>1173</v>
      </c>
      <c r="CC1174" s="1481" t="b">
        <v>1</v>
      </c>
      <c r="CD1174" s="879" t="str">
        <f>Table15[[#This Row],[Engineering Number]]&amp;Table15[[#This Row],[WO Number]]&amp;Table15[[#This Row],[Date Assigned to Designer]]&amp;Table15[[#This Row],[Date Completed]]</f>
        <v>N1519312135294542245442</v>
      </c>
    </row>
    <row r="1175" spans="1:82" customFormat="1" ht="15" customHeight="1" x14ac:dyDescent="0.25">
      <c r="A1175">
        <v>2024</v>
      </c>
      <c r="B1175" s="8" t="s">
        <v>4</v>
      </c>
      <c r="C1175" s="8" t="s">
        <v>1802</v>
      </c>
      <c r="D1175" s="8" t="s">
        <v>1803</v>
      </c>
      <c r="E1175" s="8" t="s">
        <v>1804</v>
      </c>
      <c r="F1175" s="8" t="s">
        <v>851</v>
      </c>
      <c r="G1175" s="8" t="s">
        <v>28</v>
      </c>
      <c r="H1175" s="8" t="s">
        <v>59</v>
      </c>
      <c r="I1175" s="642">
        <v>45216</v>
      </c>
      <c r="J1175" s="18">
        <v>45443</v>
      </c>
      <c r="K1175" s="642">
        <v>45442</v>
      </c>
      <c r="L1175" s="16">
        <f>IF(ISTEXT(Table15[[#This Row],[Engineering Approved Design Date]]),Table15[[#This Row],[Date Completed]]-Table15[[#This Row],[Date Assigned to Designer]],Table15[[#This Row],[Engineering Approved Design Date]]-Table15[[#This Row],[Date Completed]])</f>
        <v>1</v>
      </c>
      <c r="M1175" s="642"/>
      <c r="N1175" s="642" t="s">
        <v>120</v>
      </c>
      <c r="O1175" s="1060">
        <v>45444</v>
      </c>
      <c r="P1175" s="1152" t="s">
        <v>739</v>
      </c>
      <c r="Q1175" s="340">
        <f>Table15[[#This Row],[Rate]]*Table15[[#This Row],[Construction Cost to Bill From]]</f>
        <v>297748.33100000001</v>
      </c>
      <c r="R1175" s="1026">
        <v>0.1</v>
      </c>
      <c r="S1175" s="538"/>
      <c r="T1175" s="538"/>
      <c r="U1175" s="87"/>
      <c r="V1175" s="858">
        <v>7041</v>
      </c>
      <c r="W1175" s="437">
        <v>0</v>
      </c>
      <c r="X1175" s="538">
        <v>2529591.65</v>
      </c>
      <c r="Y1175" s="551"/>
      <c r="Z1175" s="552">
        <v>447891.66</v>
      </c>
      <c r="AA1175" s="552">
        <f>SUM(Table15[[#This Row],[PCTS Investment Amount]:[PCTS Retirement Amount]])</f>
        <v>2977483.31</v>
      </c>
      <c r="AB1175" s="341">
        <v>45433</v>
      </c>
      <c r="AC1175" s="569" t="s">
        <v>116</v>
      </c>
      <c r="AD1175" s="1149" t="s">
        <v>29</v>
      </c>
      <c r="AE1175" s="569" t="s">
        <v>116</v>
      </c>
      <c r="AF1175" s="568" t="s">
        <v>116</v>
      </c>
      <c r="AG1175" s="568" t="s">
        <v>376</v>
      </c>
      <c r="AH1175" s="183">
        <v>45475</v>
      </c>
      <c r="AI1175" s="1028">
        <v>0</v>
      </c>
      <c r="AJ1175" s="1029">
        <f>12500+7300</f>
        <v>19800</v>
      </c>
      <c r="AK1175" s="1029">
        <v>7092</v>
      </c>
      <c r="AL1175" s="1030">
        <f>SUM(Table15[[#This Row],[Nicor Initiated DBE]:[Staffing]])/(Table15[[#This Row],[Amount Invoiced]])</f>
        <v>9.0317886618145313E-2</v>
      </c>
      <c r="AM1175" s="1522" t="s">
        <v>116</v>
      </c>
      <c r="AN1175" s="1523">
        <v>45593</v>
      </c>
      <c r="AO1175" s="1524">
        <v>11090345</v>
      </c>
      <c r="AP1175" s="1525">
        <v>2568392.08</v>
      </c>
      <c r="AQ1175" s="1525">
        <v>2568</v>
      </c>
      <c r="AR1175" s="1525">
        <v>453813.49</v>
      </c>
      <c r="AS1175" s="1525">
        <f>IF(Table15[[#This Row],[PCTS Approved]]="N",0,Table15[[#This Row],[Investment Amount (1'#'#'#'#'#)]]+Table15[[#This Row],[Retirement Amount (3'#'#'#'#'#)]])</f>
        <v>3022205.5700000003</v>
      </c>
      <c r="AT1175" s="1525">
        <f>IF(Table15[[#This Row],[Approved Construction Cost]]=0,0,Table15[[#This Row],[Approved Construction Cost]]-Table15[[#This Row],[Construction Cost to Bill From]])</f>
        <v>44722.260000000242</v>
      </c>
      <c r="AU1175" s="1525">
        <f>IFERROR(Table15[[#This Row],[Difference in Construction Cost]]*Table15[[#This Row],[Rate]],Table15[[#This Row],[Difference in Construction Cost]]*0.085)</f>
        <v>4472.2260000000242</v>
      </c>
      <c r="AV1175" s="1525">
        <v>0</v>
      </c>
      <c r="AW1175" s="1526" t="s">
        <v>6342</v>
      </c>
      <c r="AX1175" s="1525">
        <f>Table15[[#This Row],[Reconcile Amount]]</f>
        <v>4472.2260000000242</v>
      </c>
      <c r="AY1175" s="1518">
        <v>45901</v>
      </c>
      <c r="AZ1175" s="333">
        <v>140</v>
      </c>
      <c r="BA1175" s="1031" t="s">
        <v>1805</v>
      </c>
      <c r="BB1175" s="644" t="s">
        <v>1806</v>
      </c>
      <c r="BC1175" s="559" t="s">
        <v>992</v>
      </c>
      <c r="BD1175" s="554" t="s">
        <v>882</v>
      </c>
      <c r="BE1175" s="588" t="s">
        <v>1807</v>
      </c>
      <c r="BF1175" s="588" t="s">
        <v>907</v>
      </c>
      <c r="BG1175" s="588" t="s">
        <v>115</v>
      </c>
      <c r="BH1175" s="615" t="s">
        <v>1808</v>
      </c>
      <c r="BI1175" s="547" t="s">
        <v>709</v>
      </c>
      <c r="BJ1175" s="547" t="s">
        <v>709</v>
      </c>
      <c r="BK1175" s="547" t="s">
        <v>709</v>
      </c>
      <c r="BL1175" s="547" t="s">
        <v>116</v>
      </c>
      <c r="BM1175" s="547" t="s">
        <v>709</v>
      </c>
      <c r="BN1175" s="547" t="s">
        <v>709</v>
      </c>
      <c r="BO1175" s="547" t="s">
        <v>709</v>
      </c>
      <c r="BP1175" s="626">
        <v>6395</v>
      </c>
      <c r="BQ1175" s="626" t="s">
        <v>709</v>
      </c>
      <c r="BR1175" s="549">
        <v>209</v>
      </c>
      <c r="BS1175" s="549">
        <v>437</v>
      </c>
      <c r="BT1175" s="547" t="s">
        <v>709</v>
      </c>
      <c r="BU1175" s="547" t="s">
        <v>709</v>
      </c>
      <c r="BV1175" s="547" t="s">
        <v>709</v>
      </c>
      <c r="BW1175" s="547" t="s">
        <v>709</v>
      </c>
      <c r="BX1175" s="547" t="s">
        <v>709</v>
      </c>
      <c r="BY1175" s="547" t="s">
        <v>709</v>
      </c>
      <c r="BZ1175" s="547" t="s">
        <v>709</v>
      </c>
      <c r="CA1175" s="483"/>
      <c r="CB1175" s="547">
        <v>1172</v>
      </c>
      <c r="CC1175" s="1481" t="b">
        <v>1</v>
      </c>
      <c r="CD1175" s="879" t="str">
        <f>Table15[[#This Row],[Engineering Number]]&amp;Table15[[#This Row],[WO Number]]&amp;Table15[[#This Row],[Date Assigned to Designer]]&amp;Table15[[#This Row],[Date Completed]]</f>
        <v>N1519312135294521645442</v>
      </c>
    </row>
    <row r="1176" spans="1:82" customFormat="1" ht="15" customHeight="1" x14ac:dyDescent="0.25">
      <c r="A1176">
        <v>2024</v>
      </c>
      <c r="B1176" s="8" t="s">
        <v>771</v>
      </c>
      <c r="C1176" s="8" t="s">
        <v>1809</v>
      </c>
      <c r="D1176" s="8" t="s">
        <v>1810</v>
      </c>
      <c r="E1176" s="8" t="s">
        <v>149</v>
      </c>
      <c r="F1176" s="8" t="s">
        <v>784</v>
      </c>
      <c r="G1176" s="8" t="s">
        <v>34</v>
      </c>
      <c r="H1176" s="8" t="s">
        <v>59</v>
      </c>
      <c r="I1176" s="642">
        <v>45216</v>
      </c>
      <c r="J1176" s="18">
        <v>45450</v>
      </c>
      <c r="K1176" s="97">
        <v>45446</v>
      </c>
      <c r="L1176" s="16">
        <f>IF(ISTEXT(Table15[[#This Row],[Engineering Approved Design Date]]),Table15[[#This Row],[Date Completed]]-Table15[[#This Row],[Date Assigned to Designer]],Table15[[#This Row],[Engineering Approved Design Date]]-Table15[[#This Row],[Date Completed]])</f>
        <v>4</v>
      </c>
      <c r="M1176" s="642"/>
      <c r="N1176" s="642" t="s">
        <v>120</v>
      </c>
      <c r="O1176" s="1060">
        <v>45444</v>
      </c>
      <c r="P1176" s="1152" t="s">
        <v>120</v>
      </c>
      <c r="Q1176" s="340">
        <f>Table15[[#This Row],[Rate]]*Table15[[#This Row],[Construction Cost to Bill From]]</f>
        <v>278927.18040000001</v>
      </c>
      <c r="R1176" s="1026">
        <v>0.04</v>
      </c>
      <c r="S1176" s="538"/>
      <c r="T1176" s="538"/>
      <c r="U1176" s="87"/>
      <c r="V1176" s="858">
        <v>27260</v>
      </c>
      <c r="W1176" s="437">
        <v>0</v>
      </c>
      <c r="X1176" s="538">
        <v>6755557.0300000003</v>
      </c>
      <c r="Y1176" s="551"/>
      <c r="Z1176" s="552">
        <v>217622.48</v>
      </c>
      <c r="AA1176" s="552">
        <f>SUM(Table15[[#This Row],[PCTS Investment Amount]:[PCTS Retirement Amount]])</f>
        <v>6973179.5100000007</v>
      </c>
      <c r="AB1176" s="341">
        <v>45448</v>
      </c>
      <c r="AC1176" s="569" t="s">
        <v>116</v>
      </c>
      <c r="AD1176" s="1149" t="s">
        <v>29</v>
      </c>
      <c r="AE1176" s="569" t="s">
        <v>116</v>
      </c>
      <c r="AF1176" s="568" t="s">
        <v>116</v>
      </c>
      <c r="AG1176" s="569" t="s">
        <v>116</v>
      </c>
      <c r="AH1176" s="183" t="s">
        <v>376</v>
      </c>
      <c r="AI1176" s="1028">
        <v>65810</v>
      </c>
      <c r="AJ1176" s="1029"/>
      <c r="AK1176" s="1029">
        <v>6175.5</v>
      </c>
      <c r="AL1176" s="1030">
        <f>SUM(Table15[[#This Row],[Nicor Initiated DBE]:[Staffing]])/(Table15[[#This Row],[Amount Invoiced]])</f>
        <v>0.25807990421287746</v>
      </c>
      <c r="AM1176" s="536" t="s">
        <v>116</v>
      </c>
      <c r="AN1176" s="903" t="s">
        <v>709</v>
      </c>
      <c r="AO1176" s="1536"/>
      <c r="AP1176" s="1537"/>
      <c r="AQ1176" s="1537"/>
      <c r="AR1176" s="1537"/>
      <c r="AS1176" s="888">
        <f>IF(Table15[[#This Row],[PCTS Approved]]="N",0,Table15[[#This Row],[Investment Amount (1'#'#'#'#'#)]]+Table15[[#This Row],[Retirement Amount (3'#'#'#'#'#)]])</f>
        <v>0</v>
      </c>
      <c r="AT1176" s="888">
        <f>IF(Table15[[#This Row],[Approved Construction Cost]]=0,0,Table15[[#This Row],[Approved Construction Cost]]-Table15[[#This Row],[Construction Cost to Bill From]])</f>
        <v>0</v>
      </c>
      <c r="AU1176" s="888">
        <f>IFERROR(Table15[[#This Row],[Difference in Construction Cost]]*Table15[[#This Row],[Rate]],Table15[[#This Row],[Difference in Construction Cost]]*0.085)</f>
        <v>0</v>
      </c>
      <c r="AV1176" s="905"/>
      <c r="AW1176" s="1509"/>
      <c r="AX1176" s="888"/>
      <c r="AY1176" s="636" t="s">
        <v>709</v>
      </c>
      <c r="AZ1176" s="1532">
        <v>4</v>
      </c>
      <c r="BA1176" s="1031" t="s">
        <v>1811</v>
      </c>
      <c r="BB1176" s="644" t="s">
        <v>1812</v>
      </c>
      <c r="BC1176" s="559" t="s">
        <v>116</v>
      </c>
      <c r="BD1176" s="554" t="s">
        <v>115</v>
      </c>
      <c r="BE1176" s="588" t="s">
        <v>1813</v>
      </c>
      <c r="BF1176" s="588" t="s">
        <v>115</v>
      </c>
      <c r="BG1176" s="548" t="s">
        <v>1814</v>
      </c>
      <c r="BH1176" s="615" t="s">
        <v>1815</v>
      </c>
      <c r="BI1176" s="547" t="s">
        <v>709</v>
      </c>
      <c r="BJ1176" s="549" t="s">
        <v>709</v>
      </c>
      <c r="BK1176" s="547" t="s">
        <v>709</v>
      </c>
      <c r="BL1176" s="547" t="s">
        <v>116</v>
      </c>
      <c r="BM1176" s="626" t="s">
        <v>709</v>
      </c>
      <c r="BN1176" s="549" t="s">
        <v>709</v>
      </c>
      <c r="BO1176" s="626" t="s">
        <v>709</v>
      </c>
      <c r="BP1176" s="626" t="s">
        <v>709</v>
      </c>
      <c r="BQ1176" s="549" t="s">
        <v>709</v>
      </c>
      <c r="BR1176" s="549" t="s">
        <v>116</v>
      </c>
      <c r="BS1176" s="549" t="s">
        <v>116</v>
      </c>
      <c r="BT1176" s="549" t="s">
        <v>709</v>
      </c>
      <c r="BU1176" s="549" t="s">
        <v>709</v>
      </c>
      <c r="BV1176" s="549" t="s">
        <v>709</v>
      </c>
      <c r="BW1176" s="549" t="s">
        <v>709</v>
      </c>
      <c r="BX1176" s="547" t="s">
        <v>709</v>
      </c>
      <c r="BY1176" s="549" t="s">
        <v>709</v>
      </c>
      <c r="BZ1176" s="547" t="s">
        <v>709</v>
      </c>
      <c r="CA1176" s="483"/>
      <c r="CB1176" s="547">
        <v>1175</v>
      </c>
      <c r="CC1176" s="1481" t="b">
        <v>1</v>
      </c>
      <c r="CD1176" s="879" t="str">
        <f>Table15[[#This Row],[Engineering Number]]&amp;Table15[[#This Row],[WO Number]]&amp;Table15[[#This Row],[Date Assigned to Designer]]&amp;Table15[[#This Row],[Date Completed]]</f>
        <v>MR1C15323_C1532412132634521645446</v>
      </c>
    </row>
    <row r="1177" spans="1:82" customFormat="1" ht="15" customHeight="1" x14ac:dyDescent="0.25">
      <c r="A1177">
        <v>2024</v>
      </c>
      <c r="B1177" s="8" t="s">
        <v>4</v>
      </c>
      <c r="C1177" s="8" t="s">
        <v>6345</v>
      </c>
      <c r="D1177" s="8" t="s">
        <v>115</v>
      </c>
      <c r="E1177" s="8" t="s">
        <v>354</v>
      </c>
      <c r="F1177" s="8" t="s">
        <v>784</v>
      </c>
      <c r="G1177" s="8" t="s">
        <v>27</v>
      </c>
      <c r="H1177" s="8" t="s">
        <v>1681</v>
      </c>
      <c r="I1177" s="642">
        <v>45230</v>
      </c>
      <c r="J1177" s="18">
        <v>45464</v>
      </c>
      <c r="K1177" s="175">
        <v>45446</v>
      </c>
      <c r="L1177" s="16">
        <f>IF(ISTEXT(Table15[[#This Row],[Engineering Approved Design Date]]),Table15[[#This Row],[Date Completed]]-Table15[[#This Row],[Date Assigned to Designer]],Table15[[#This Row],[Engineering Approved Design Date]]-Table15[[#This Row],[Date Completed]])</f>
        <v>18</v>
      </c>
      <c r="N1177" s="642" t="s">
        <v>120</v>
      </c>
      <c r="O1177" s="1060">
        <v>45444</v>
      </c>
      <c r="P1177" s="1152" t="s">
        <v>739</v>
      </c>
      <c r="Q1177" s="340" t="s">
        <v>115</v>
      </c>
      <c r="R1177" s="1026" t="s">
        <v>115</v>
      </c>
      <c r="S1177" s="538"/>
      <c r="T1177" s="538"/>
      <c r="U1177" s="28"/>
      <c r="V1177" s="858"/>
      <c r="W1177" s="437"/>
      <c r="X1177" s="538"/>
      <c r="Y1177" s="550"/>
      <c r="Z1177" s="538"/>
      <c r="AA1177" s="552"/>
      <c r="AB1177" s="341" t="s">
        <v>29</v>
      </c>
      <c r="AC1177" s="569" t="s">
        <v>29</v>
      </c>
      <c r="AD1177" s="1157" t="s">
        <v>29</v>
      </c>
      <c r="AE1177" s="568" t="s">
        <v>756</v>
      </c>
      <c r="AF1177" s="569" t="s">
        <v>29</v>
      </c>
      <c r="AG1177" s="569" t="s">
        <v>29</v>
      </c>
      <c r="AH1177" s="183">
        <v>45567</v>
      </c>
      <c r="AI1177" s="1028"/>
      <c r="AJ1177" s="1029"/>
      <c r="AK1177" s="1029"/>
      <c r="AL1177" s="1030"/>
      <c r="AM1177" s="542" t="s">
        <v>709</v>
      </c>
      <c r="AN1177" s="924"/>
      <c r="AO1177" s="925"/>
      <c r="AP1177" s="926"/>
      <c r="AQ1177" s="926"/>
      <c r="AR1177" s="926"/>
      <c r="AS1177" s="926"/>
      <c r="AT1177" s="926"/>
      <c r="AU1177" s="926"/>
      <c r="AV1177" s="926"/>
      <c r="AW1177" s="927"/>
      <c r="AX1177" s="926"/>
      <c r="AY1177" s="1538" t="s">
        <v>29</v>
      </c>
      <c r="AZ1177" s="1530"/>
      <c r="BA1177" s="1031"/>
      <c r="BB1177" s="644" t="s">
        <v>905</v>
      </c>
      <c r="BC1177" s="559" t="s">
        <v>992</v>
      </c>
      <c r="BD1177" s="554" t="s">
        <v>709</v>
      </c>
      <c r="BE1177" s="588" t="s">
        <v>709</v>
      </c>
      <c r="BF1177" s="588" t="s">
        <v>709</v>
      </c>
      <c r="BG1177" s="548" t="s">
        <v>6346</v>
      </c>
      <c r="BH1177" s="615" t="s">
        <v>6347</v>
      </c>
      <c r="BI1177" s="1032"/>
      <c r="BJ1177" s="1032"/>
      <c r="BK1177" s="1032"/>
      <c r="BL1177" s="1032"/>
      <c r="BM1177" s="1032"/>
      <c r="BN1177" s="1070"/>
      <c r="BO1177" s="1032"/>
      <c r="BP1177" s="1071"/>
      <c r="BQ1177" s="549"/>
      <c r="BR1177" s="549"/>
      <c r="BS1177" s="549"/>
      <c r="BT1177" s="549"/>
      <c r="BU1177" s="549"/>
      <c r="BV1177" s="549"/>
      <c r="BW1177" s="549"/>
      <c r="BX1177" s="547"/>
      <c r="BY1177" s="1492"/>
      <c r="BZ1177" s="1492"/>
      <c r="CA1177" s="485" t="s">
        <v>915</v>
      </c>
      <c r="CB1177" s="547">
        <v>1174</v>
      </c>
      <c r="CC1177" s="1481" t="b">
        <v>1</v>
      </c>
      <c r="CD1177" s="879" t="str">
        <f>Table15[[#This Row],[Engineering Number]]&amp;Table15[[#This Row],[WO Number]]&amp;Table15[[#This Row],[Date Assigned to Designer]]&amp;Table15[[#This Row],[Date Completed]]</f>
        <v>N18027-4523045446</v>
      </c>
    </row>
    <row r="1178" spans="1:82" customFormat="1" ht="15" customHeight="1" x14ac:dyDescent="0.25">
      <c r="A1178">
        <v>2024</v>
      </c>
      <c r="B1178" s="8" t="s">
        <v>4</v>
      </c>
      <c r="C1178" s="8" t="s">
        <v>1134</v>
      </c>
      <c r="D1178" s="8" t="s">
        <v>1135</v>
      </c>
      <c r="E1178" s="8" t="s">
        <v>1136</v>
      </c>
      <c r="F1178" s="8" t="s">
        <v>784</v>
      </c>
      <c r="G1178" s="8" t="s">
        <v>26</v>
      </c>
      <c r="H1178" s="8" t="s">
        <v>59</v>
      </c>
      <c r="I1178" s="642">
        <v>45321</v>
      </c>
      <c r="J1178" s="18">
        <v>45450</v>
      </c>
      <c r="K1178" s="97">
        <v>45447</v>
      </c>
      <c r="L1178" s="16">
        <f>IF(ISTEXT(Table15[[#This Row],[Engineering Approved Design Date]]),Table15[[#This Row],[Date Completed]]-Table15[[#This Row],[Date Assigned to Designer]],Table15[[#This Row],[Engineering Approved Design Date]]-Table15[[#This Row],[Date Completed]])</f>
        <v>3</v>
      </c>
      <c r="M1178" s="642"/>
      <c r="N1178" s="642" t="s">
        <v>120</v>
      </c>
      <c r="O1178" s="1060">
        <v>45444</v>
      </c>
      <c r="P1178" s="1152" t="s">
        <v>739</v>
      </c>
      <c r="Q1178" s="340">
        <f>Table15[[#This Row],[Rate]]*Table15[[#This Row],[Construction Cost to Bill From]]</f>
        <v>223755.73100000003</v>
      </c>
      <c r="R1178" s="1026">
        <v>0.1</v>
      </c>
      <c r="S1178" s="538"/>
      <c r="T1178" s="538"/>
      <c r="U1178" s="87"/>
      <c r="V1178" s="858">
        <v>3851</v>
      </c>
      <c r="W1178" s="437">
        <v>0</v>
      </c>
      <c r="X1178" s="538">
        <v>1907783.6799999999</v>
      </c>
      <c r="Y1178" s="551"/>
      <c r="Z1178" s="552">
        <v>329773.63</v>
      </c>
      <c r="AA1178" s="552">
        <f>SUM(Table15[[#This Row],[PCTS Investment Amount]:[PCTS Retirement Amount]])</f>
        <v>2237557.31</v>
      </c>
      <c r="AB1178" s="341">
        <v>45433</v>
      </c>
      <c r="AC1178" s="569" t="s">
        <v>116</v>
      </c>
      <c r="AD1178" s="1149" t="s">
        <v>29</v>
      </c>
      <c r="AE1178" s="568" t="s">
        <v>116</v>
      </c>
      <c r="AF1178" s="568" t="s">
        <v>116</v>
      </c>
      <c r="AG1178" s="568" t="s">
        <v>116</v>
      </c>
      <c r="AH1178" s="183">
        <v>45525</v>
      </c>
      <c r="AI1178" s="1028">
        <v>17900</v>
      </c>
      <c r="AJ1178" s="1029">
        <v>8218.34</v>
      </c>
      <c r="AK1178" s="1029">
        <v>13090.25</v>
      </c>
      <c r="AL1178" s="1030">
        <f>SUM(Table15[[#This Row],[Nicor Initiated DBE]:[Staffing]])/(Table15[[#This Row],[Amount Invoiced]])</f>
        <v>0.17522943356476528</v>
      </c>
      <c r="AM1178" s="1522" t="s">
        <v>116</v>
      </c>
      <c r="AN1178" s="1523">
        <v>45484</v>
      </c>
      <c r="AO1178" s="1524">
        <v>11086100</v>
      </c>
      <c r="AP1178" s="1525">
        <v>1907783.6799999999</v>
      </c>
      <c r="AQ1178" s="1525"/>
      <c r="AR1178" s="1525">
        <v>329053.63</v>
      </c>
      <c r="AS1178" s="1525">
        <f>IF(Table15[[#This Row],[PCTS Approved]]="N",0,Table15[[#This Row],[Investment Amount (1'#'#'#'#'#)]]+Table15[[#This Row],[Retirement Amount (3'#'#'#'#'#)]])</f>
        <v>2236837.31</v>
      </c>
      <c r="AT1178" s="1525">
        <f>IF(Table15[[#This Row],[Approved Construction Cost]]=0,0,Table15[[#This Row],[Approved Construction Cost]]-Table15[[#This Row],[Construction Cost to Bill From]])</f>
        <v>-720</v>
      </c>
      <c r="AU1178" s="1525">
        <f>IFERROR(Table15[[#This Row],[Difference in Construction Cost]]*Table15[[#This Row],[Rate]],Table15[[#This Row],[Difference in Construction Cost]]*0.085)</f>
        <v>-72</v>
      </c>
      <c r="AV1178" s="1525">
        <v>0</v>
      </c>
      <c r="AW1178" s="1526" t="s">
        <v>6349</v>
      </c>
      <c r="AX1178" s="1525">
        <f>Table15[[#This Row],[Reconcile Amount]]</f>
        <v>-72</v>
      </c>
      <c r="AY1178" s="1518">
        <v>45901</v>
      </c>
      <c r="AZ1178" s="333">
        <v>142</v>
      </c>
      <c r="BA1178" s="1031" t="s">
        <v>1138</v>
      </c>
      <c r="BB1178" s="644" t="s">
        <v>1139</v>
      </c>
      <c r="BC1178" s="544" t="s">
        <v>115</v>
      </c>
      <c r="BD1178" s="554" t="s">
        <v>1140</v>
      </c>
      <c r="BE1178" s="588" t="s">
        <v>115</v>
      </c>
      <c r="BF1178" s="588" t="s">
        <v>115</v>
      </c>
      <c r="BG1178" s="588" t="s">
        <v>115</v>
      </c>
      <c r="BH1178" s="615" t="s">
        <v>1141</v>
      </c>
      <c r="BI1178" s="547" t="s">
        <v>709</v>
      </c>
      <c r="BJ1178" s="547" t="s">
        <v>709</v>
      </c>
      <c r="BK1178" s="547" t="s">
        <v>116</v>
      </c>
      <c r="BL1178" s="547" t="s">
        <v>116</v>
      </c>
      <c r="BM1178" s="547" t="s">
        <v>709</v>
      </c>
      <c r="BN1178" s="547">
        <v>381</v>
      </c>
      <c r="BO1178" s="547" t="s">
        <v>709</v>
      </c>
      <c r="BP1178" s="626" t="s">
        <v>709</v>
      </c>
      <c r="BQ1178" s="626" t="s">
        <v>709</v>
      </c>
      <c r="BR1178" s="549">
        <v>369</v>
      </c>
      <c r="BS1178" s="549">
        <v>3101</v>
      </c>
      <c r="BT1178" s="547" t="s">
        <v>709</v>
      </c>
      <c r="BU1178" s="547" t="s">
        <v>709</v>
      </c>
      <c r="BV1178" s="547" t="s">
        <v>709</v>
      </c>
      <c r="BW1178" s="547" t="s">
        <v>709</v>
      </c>
      <c r="BX1178" s="547" t="s">
        <v>709</v>
      </c>
      <c r="BY1178" s="547" t="s">
        <v>709</v>
      </c>
      <c r="BZ1178" s="547" t="s">
        <v>709</v>
      </c>
      <c r="CA1178" s="483" t="s">
        <v>29</v>
      </c>
      <c r="CB1178" s="547">
        <v>1177</v>
      </c>
      <c r="CC1178" s="1481" t="b">
        <v>1</v>
      </c>
      <c r="CD1178" s="879" t="str">
        <f>Table15[[#This Row],[Engineering Number]]&amp;Table15[[#This Row],[WO Number]]&amp;Table15[[#This Row],[Date Assigned to Designer]]&amp;Table15[[#This Row],[Date Completed]]</f>
        <v>N1643112137074532145447</v>
      </c>
    </row>
    <row r="1179" spans="1:82" customFormat="1" ht="15" customHeight="1" x14ac:dyDescent="0.25">
      <c r="A1179">
        <v>2024</v>
      </c>
      <c r="B1179" s="8" t="s">
        <v>4</v>
      </c>
      <c r="C1179" s="8" t="s">
        <v>1816</v>
      </c>
      <c r="D1179" s="8" t="s">
        <v>1817</v>
      </c>
      <c r="E1179" s="8" t="s">
        <v>1347</v>
      </c>
      <c r="F1179" s="8" t="s">
        <v>1102</v>
      </c>
      <c r="G1179" s="8" t="s">
        <v>35</v>
      </c>
      <c r="H1179" s="8" t="s">
        <v>59</v>
      </c>
      <c r="I1179" s="642">
        <v>45352</v>
      </c>
      <c r="J1179" s="18">
        <v>45450</v>
      </c>
      <c r="K1179" s="97">
        <v>45447</v>
      </c>
      <c r="L1179" s="16">
        <f>IF(ISTEXT(Table15[[#This Row],[Engineering Approved Design Date]]),Table15[[#This Row],[Date Completed]]-Table15[[#This Row],[Date Assigned to Designer]],Table15[[#This Row],[Engineering Approved Design Date]]-Table15[[#This Row],[Date Completed]])</f>
        <v>3</v>
      </c>
      <c r="M1179" s="642"/>
      <c r="N1179" s="642" t="s">
        <v>120</v>
      </c>
      <c r="O1179" s="1060">
        <v>45444</v>
      </c>
      <c r="P1179" s="1152" t="s">
        <v>739</v>
      </c>
      <c r="Q1179" s="340">
        <f>Table15[[#This Row],[Rate]]*Table15[[#This Row],[Construction Cost to Bill From]]</f>
        <v>55458.917000000009</v>
      </c>
      <c r="R1179" s="1026">
        <v>0.1</v>
      </c>
      <c r="S1179" s="538"/>
      <c r="T1179" s="538"/>
      <c r="U1179" s="87"/>
      <c r="V1179" s="858">
        <v>1877</v>
      </c>
      <c r="W1179" s="437">
        <v>0</v>
      </c>
      <c r="X1179" s="538">
        <v>449671.96</v>
      </c>
      <c r="Y1179" s="551"/>
      <c r="Z1179" s="552">
        <v>104917.21</v>
      </c>
      <c r="AA1179" s="552">
        <f>SUM(Table15[[#This Row],[PCTS Investment Amount]:[PCTS Retirement Amount]])</f>
        <v>554589.17000000004</v>
      </c>
      <c r="AB1179" s="341">
        <v>45447</v>
      </c>
      <c r="AC1179" s="569" t="s">
        <v>709</v>
      </c>
      <c r="AD1179" s="1149" t="s">
        <v>29</v>
      </c>
      <c r="AE1179" s="568" t="s">
        <v>116</v>
      </c>
      <c r="AF1179" s="568" t="s">
        <v>29</v>
      </c>
      <c r="AG1179" s="568" t="s">
        <v>376</v>
      </c>
      <c r="AH1179" s="183">
        <v>45525</v>
      </c>
      <c r="AI1179" s="1028">
        <v>0</v>
      </c>
      <c r="AJ1179" s="1029">
        <v>4100</v>
      </c>
      <c r="AK1179" s="1029">
        <v>8442.5</v>
      </c>
      <c r="AL1179" s="1030">
        <f>SUM(Table15[[#This Row],[Nicor Initiated DBE]:[Staffing]])/(Table15[[#This Row],[Amount Invoiced]])</f>
        <v>0.22615840118190547</v>
      </c>
      <c r="AM1179" s="1522" t="s">
        <v>116</v>
      </c>
      <c r="AN1179" s="1523">
        <v>45581</v>
      </c>
      <c r="AO1179" s="1524">
        <v>11092361</v>
      </c>
      <c r="AP1179" s="1525">
        <v>455037.29</v>
      </c>
      <c r="AQ1179" s="1525"/>
      <c r="AR1179" s="1525">
        <v>105076.41</v>
      </c>
      <c r="AS1179" s="1525">
        <f>IF(Table15[[#This Row],[PCTS Approved]]="N",0,Table15[[#This Row],[Investment Amount (1'#'#'#'#'#)]]+Table15[[#This Row],[Retirement Amount (3'#'#'#'#'#)]])</f>
        <v>560113.69999999995</v>
      </c>
      <c r="AT1179" s="1525">
        <f>IF(Table15[[#This Row],[Approved Construction Cost]]=0,0,Table15[[#This Row],[Approved Construction Cost]]-Table15[[#This Row],[Construction Cost to Bill From]])</f>
        <v>5524.5299999999115</v>
      </c>
      <c r="AU1179" s="1525">
        <f>IFERROR(Table15[[#This Row],[Difference in Construction Cost]]*Table15[[#This Row],[Rate]],Table15[[#This Row],[Difference in Construction Cost]]*0.085)</f>
        <v>552.45299999999122</v>
      </c>
      <c r="AV1179" s="1525">
        <v>0</v>
      </c>
      <c r="AW1179" s="1526" t="s">
        <v>6351</v>
      </c>
      <c r="AX1179" s="1525">
        <f>Table15[[#This Row],[Reconcile Amount]]</f>
        <v>552.45299999999122</v>
      </c>
      <c r="AY1179" s="1518">
        <v>45901</v>
      </c>
      <c r="AZ1179" s="333">
        <v>141</v>
      </c>
      <c r="BA1179" s="1031" t="s">
        <v>1818</v>
      </c>
      <c r="BB1179" s="644" t="s">
        <v>1819</v>
      </c>
      <c r="BC1179" s="544" t="s">
        <v>115</v>
      </c>
      <c r="BD1179" s="554" t="s">
        <v>115</v>
      </c>
      <c r="BE1179" s="588" t="s">
        <v>6352</v>
      </c>
      <c r="BF1179" s="588" t="s">
        <v>115</v>
      </c>
      <c r="BG1179" s="588" t="s">
        <v>115</v>
      </c>
      <c r="BH1179" s="615" t="s">
        <v>1820</v>
      </c>
      <c r="BI1179" s="547" t="s">
        <v>709</v>
      </c>
      <c r="BJ1179" s="547" t="s">
        <v>709</v>
      </c>
      <c r="BK1179" s="547" t="s">
        <v>709</v>
      </c>
      <c r="BL1179" s="547" t="s">
        <v>116</v>
      </c>
      <c r="BM1179" s="547" t="s">
        <v>709</v>
      </c>
      <c r="BN1179" s="547" t="s">
        <v>709</v>
      </c>
      <c r="BO1179" s="547" t="s">
        <v>709</v>
      </c>
      <c r="BP1179" s="626" t="s">
        <v>709</v>
      </c>
      <c r="BQ1179" s="626" t="s">
        <v>709</v>
      </c>
      <c r="BR1179" s="549" t="s">
        <v>709</v>
      </c>
      <c r="BS1179" s="549">
        <v>1877</v>
      </c>
      <c r="BT1179" s="547" t="s">
        <v>745</v>
      </c>
      <c r="BU1179" s="547" t="s">
        <v>709</v>
      </c>
      <c r="BV1179" s="547" t="s">
        <v>745</v>
      </c>
      <c r="BW1179" s="547" t="s">
        <v>709</v>
      </c>
      <c r="BX1179" s="547" t="s">
        <v>745</v>
      </c>
      <c r="BY1179" s="547" t="s">
        <v>745</v>
      </c>
      <c r="BZ1179" s="547" t="s">
        <v>709</v>
      </c>
      <c r="CA1179" s="483"/>
      <c r="CB1179" s="547">
        <v>1176</v>
      </c>
      <c r="CC1179" s="1481" t="b">
        <v>1</v>
      </c>
      <c r="CD1179" s="879" t="str">
        <f>Table15[[#This Row],[Engineering Number]]&amp;Table15[[#This Row],[WO Number]]&amp;Table15[[#This Row],[Date Assigned to Designer]]&amp;Table15[[#This Row],[Date Completed]]</f>
        <v>SC2344814137874535245447</v>
      </c>
    </row>
    <row r="1180" spans="1:82" customFormat="1" ht="15" customHeight="1" x14ac:dyDescent="0.25">
      <c r="A1180">
        <v>2024</v>
      </c>
      <c r="B1180" s="8" t="s">
        <v>4</v>
      </c>
      <c r="C1180" s="8" t="s">
        <v>1821</v>
      </c>
      <c r="D1180" s="8" t="s">
        <v>1822</v>
      </c>
      <c r="E1180" s="8" t="s">
        <v>1154</v>
      </c>
      <c r="F1180" s="8" t="s">
        <v>1102</v>
      </c>
      <c r="G1180" s="8" t="s">
        <v>26</v>
      </c>
      <c r="H1180" s="8" t="s">
        <v>59</v>
      </c>
      <c r="I1180" s="642">
        <v>45348</v>
      </c>
      <c r="J1180" s="777">
        <v>45457</v>
      </c>
      <c r="K1180" s="97">
        <v>45448</v>
      </c>
      <c r="L1180" s="16">
        <f>IF(ISTEXT(Table15[[#This Row],[Engineering Approved Design Date]]),Table15[[#This Row],[Date Completed]]-Table15[[#This Row],[Date Assigned to Designer]],Table15[[#This Row],[Engineering Approved Design Date]]-Table15[[#This Row],[Date Completed]])</f>
        <v>9</v>
      </c>
      <c r="M1180" s="16"/>
      <c r="N1180" s="642" t="s">
        <v>120</v>
      </c>
      <c r="O1180" s="1060">
        <v>45444</v>
      </c>
      <c r="P1180" s="1152" t="s">
        <v>739</v>
      </c>
      <c r="Q1180" s="340">
        <f>Table15[[#This Row],[Rate]]*Table15[[#This Row],[Construction Cost to Bill From]]</f>
        <v>45482.546000000002</v>
      </c>
      <c r="R1180" s="1026">
        <v>0.1</v>
      </c>
      <c r="S1180" s="538"/>
      <c r="T1180" s="538"/>
      <c r="U1180" s="87"/>
      <c r="V1180" s="858">
        <v>1529</v>
      </c>
      <c r="W1180" s="437">
        <v>0</v>
      </c>
      <c r="X1180" s="538">
        <v>401411.53</v>
      </c>
      <c r="Y1180" s="551"/>
      <c r="Z1180" s="552">
        <v>53413.93</v>
      </c>
      <c r="AA1180" s="552">
        <f>SUM(Table15[[#This Row],[PCTS Investment Amount]:[PCTS Retirement Amount]])</f>
        <v>454825.46</v>
      </c>
      <c r="AB1180" s="341">
        <v>45422</v>
      </c>
      <c r="AC1180" s="569" t="s">
        <v>709</v>
      </c>
      <c r="AD1180" s="1149" t="s">
        <v>29</v>
      </c>
      <c r="AE1180" s="569" t="s">
        <v>116</v>
      </c>
      <c r="AF1180" s="569" t="s">
        <v>116</v>
      </c>
      <c r="AG1180" s="569" t="s">
        <v>116</v>
      </c>
      <c r="AH1180" s="183">
        <v>45525</v>
      </c>
      <c r="AI1180" s="1028"/>
      <c r="AJ1180" s="1029">
        <v>4200</v>
      </c>
      <c r="AK1180" s="1029">
        <v>8015.75</v>
      </c>
      <c r="AL1180" s="1241">
        <f>SUM(Table15[[#This Row],[Nicor Initiated DBE]:[Staffing]])/(Table15[[#This Row],[Amount Invoiced]])</f>
        <v>0.26858105084970396</v>
      </c>
      <c r="AM1180" s="536" t="s">
        <v>116</v>
      </c>
      <c r="AN1180" s="903" t="s">
        <v>709</v>
      </c>
      <c r="AO1180" s="1536"/>
      <c r="AP1180" s="1537"/>
      <c r="AQ1180" s="1537"/>
      <c r="AR1180" s="1537"/>
      <c r="AS1180" s="888">
        <f>IF(Table15[[#This Row],[PCTS Approved]]="N",0,Table15[[#This Row],[Investment Amount (1'#'#'#'#'#)]]+Table15[[#This Row],[Retirement Amount (3'#'#'#'#'#)]])</f>
        <v>0</v>
      </c>
      <c r="AT1180" s="888">
        <f>IF(Table15[[#This Row],[Approved Construction Cost]]=0,0,Table15[[#This Row],[Approved Construction Cost]]-Table15[[#This Row],[Construction Cost to Bill From]])</f>
        <v>0</v>
      </c>
      <c r="AU1180" s="888">
        <f>IFERROR(Table15[[#This Row],[Difference in Construction Cost]]*Table15[[#This Row],[Rate]],Table15[[#This Row],[Difference in Construction Cost]]*0.085)</f>
        <v>0</v>
      </c>
      <c r="AV1180" s="905"/>
      <c r="AW1180" s="1509"/>
      <c r="AX1180" s="888"/>
      <c r="AY1180" s="636" t="s">
        <v>709</v>
      </c>
      <c r="AZ1180" s="333">
        <v>143</v>
      </c>
      <c r="BA1180" s="1031" t="s">
        <v>1823</v>
      </c>
      <c r="BB1180" s="644" t="s">
        <v>1092</v>
      </c>
      <c r="BC1180" s="559" t="s">
        <v>116</v>
      </c>
      <c r="BD1180" s="554" t="s">
        <v>115</v>
      </c>
      <c r="BE1180" s="588" t="s">
        <v>115</v>
      </c>
      <c r="BF1180" s="588" t="s">
        <v>1381</v>
      </c>
      <c r="BG1180" s="588" t="s">
        <v>115</v>
      </c>
      <c r="BH1180" s="615" t="s">
        <v>1824</v>
      </c>
      <c r="BI1180" s="547" t="s">
        <v>709</v>
      </c>
      <c r="BJ1180" s="547" t="s">
        <v>709</v>
      </c>
      <c r="BK1180" s="547" t="s">
        <v>709</v>
      </c>
      <c r="BL1180" s="547" t="s">
        <v>116</v>
      </c>
      <c r="BM1180" s="547" t="s">
        <v>709</v>
      </c>
      <c r="BN1180" s="547" t="s">
        <v>709</v>
      </c>
      <c r="BO1180" s="547" t="s">
        <v>709</v>
      </c>
      <c r="BP1180" s="547" t="s">
        <v>709</v>
      </c>
      <c r="BQ1180" s="547" t="s">
        <v>709</v>
      </c>
      <c r="BR1180" s="549">
        <v>273</v>
      </c>
      <c r="BS1180" s="549">
        <v>1256</v>
      </c>
      <c r="BT1180" s="547" t="s">
        <v>709</v>
      </c>
      <c r="BU1180" s="547" t="s">
        <v>709</v>
      </c>
      <c r="BV1180" s="547" t="s">
        <v>709</v>
      </c>
      <c r="BW1180" s="547" t="s">
        <v>709</v>
      </c>
      <c r="BX1180" s="547" t="s">
        <v>709</v>
      </c>
      <c r="BY1180" s="547" t="s">
        <v>709</v>
      </c>
      <c r="BZ1180" s="547" t="s">
        <v>709</v>
      </c>
      <c r="CA1180" s="483"/>
      <c r="CB1180" s="547">
        <v>1178</v>
      </c>
      <c r="CC1180" s="1481" t="b">
        <v>1</v>
      </c>
      <c r="CD1180" s="879" t="str">
        <f>Table15[[#This Row],[Engineering Number]]&amp;Table15[[#This Row],[WO Number]]&amp;Table15[[#This Row],[Date Assigned to Designer]]&amp;Table15[[#This Row],[Date Completed]]</f>
        <v>SC2420814138074534845448</v>
      </c>
    </row>
    <row r="1181" spans="1:82" customFormat="1" ht="15" customHeight="1" x14ac:dyDescent="0.25">
      <c r="A1181">
        <v>2024</v>
      </c>
      <c r="B1181" s="8" t="s">
        <v>4</v>
      </c>
      <c r="C1181" s="8" t="s">
        <v>1825</v>
      </c>
      <c r="D1181" s="8" t="s">
        <v>1826</v>
      </c>
      <c r="E1181" s="8" t="s">
        <v>1827</v>
      </c>
      <c r="F1181" s="8" t="s">
        <v>1102</v>
      </c>
      <c r="G1181" s="8" t="s">
        <v>6355</v>
      </c>
      <c r="H1181" s="8" t="s">
        <v>59</v>
      </c>
      <c r="I1181" s="642">
        <v>45369</v>
      </c>
      <c r="J1181" s="18">
        <v>45450</v>
      </c>
      <c r="K1181" s="97">
        <v>45449</v>
      </c>
      <c r="L1181" s="16">
        <f>IF(ISTEXT(Table15[[#This Row],[Engineering Approved Design Date]]),Table15[[#This Row],[Date Completed]]-Table15[[#This Row],[Date Assigned to Designer]],Table15[[#This Row],[Engineering Approved Design Date]]-Table15[[#This Row],[Date Completed]])</f>
        <v>1</v>
      </c>
      <c r="M1181" s="642"/>
      <c r="N1181" s="642" t="s">
        <v>120</v>
      </c>
      <c r="O1181" s="1060">
        <v>45444</v>
      </c>
      <c r="P1181" s="1152" t="s">
        <v>739</v>
      </c>
      <c r="Q1181" s="340">
        <f>Table15[[#This Row],[Rate]]*Table15[[#This Row],[Construction Cost to Bill From]]</f>
        <v>77953.919000000009</v>
      </c>
      <c r="R1181" s="1026">
        <v>0.1</v>
      </c>
      <c r="S1181" s="538"/>
      <c r="T1181" s="538"/>
      <c r="U1181" s="87"/>
      <c r="V1181" s="858">
        <v>4962</v>
      </c>
      <c r="W1181" s="437">
        <v>0</v>
      </c>
      <c r="X1181" s="538">
        <v>642426.15</v>
      </c>
      <c r="Y1181" s="551"/>
      <c r="Z1181" s="552">
        <v>137113.04</v>
      </c>
      <c r="AA1181" s="552">
        <f>SUM(Table15[[#This Row],[PCTS Investment Amount]:[PCTS Retirement Amount]])</f>
        <v>779539.19000000006</v>
      </c>
      <c r="AB1181" s="341">
        <v>45447</v>
      </c>
      <c r="AC1181" s="569" t="s">
        <v>709</v>
      </c>
      <c r="AD1181" s="1149" t="s">
        <v>29</v>
      </c>
      <c r="AE1181" s="568" t="s">
        <v>116</v>
      </c>
      <c r="AF1181" s="568" t="s">
        <v>116</v>
      </c>
      <c r="AG1181" s="568" t="s">
        <v>376</v>
      </c>
      <c r="AH1181" s="183">
        <v>45525</v>
      </c>
      <c r="AI1181" s="1028">
        <v>0</v>
      </c>
      <c r="AJ1181" s="1029">
        <v>5525</v>
      </c>
      <c r="AK1181" s="1029">
        <v>7000</v>
      </c>
      <c r="AL1181" s="1030">
        <f>SUM(Table15[[#This Row],[Nicor Initiated DBE]:[Staffing]])/(Table15[[#This Row],[Amount Invoiced]])</f>
        <v>0.16067184511916582</v>
      </c>
      <c r="AM1181" s="536" t="s">
        <v>116</v>
      </c>
      <c r="AN1181" s="903" t="s">
        <v>709</v>
      </c>
      <c r="AO1181" s="1536"/>
      <c r="AP1181" s="1537"/>
      <c r="AQ1181" s="1537"/>
      <c r="AR1181" s="1537"/>
      <c r="AS1181" s="888">
        <f>IF(Table15[[#This Row],[PCTS Approved]]="N",0,Table15[[#This Row],[Investment Amount (1'#'#'#'#'#)]]+Table15[[#This Row],[Retirement Amount (3'#'#'#'#'#)]])</f>
        <v>0</v>
      </c>
      <c r="AT1181" s="888">
        <f>IF(Table15[[#This Row],[Approved Construction Cost]]=0,0,Table15[[#This Row],[Approved Construction Cost]]-Table15[[#This Row],[Construction Cost to Bill From]])</f>
        <v>0</v>
      </c>
      <c r="AU1181" s="888">
        <f>IFERROR(Table15[[#This Row],[Difference in Construction Cost]]*Table15[[#This Row],[Rate]],Table15[[#This Row],[Difference in Construction Cost]]*0.085)</f>
        <v>0</v>
      </c>
      <c r="AV1181" s="905"/>
      <c r="AW1181" s="1509"/>
      <c r="AX1181" s="888"/>
      <c r="AY1181" s="636" t="s">
        <v>709</v>
      </c>
      <c r="AZ1181" s="333">
        <v>144</v>
      </c>
      <c r="BA1181" s="1031" t="s">
        <v>1828</v>
      </c>
      <c r="BB1181" s="644" t="s">
        <v>1829</v>
      </c>
      <c r="BC1181" s="544" t="s">
        <v>115</v>
      </c>
      <c r="BD1181" s="554" t="s">
        <v>757</v>
      </c>
      <c r="BE1181" s="588" t="s">
        <v>1830</v>
      </c>
      <c r="BF1181" s="588" t="s">
        <v>115</v>
      </c>
      <c r="BG1181" s="588" t="s">
        <v>115</v>
      </c>
      <c r="BH1181" s="615" t="s">
        <v>1831</v>
      </c>
      <c r="BI1181" s="547" t="s">
        <v>709</v>
      </c>
      <c r="BJ1181" s="547" t="s">
        <v>709</v>
      </c>
      <c r="BK1181" s="547" t="s">
        <v>709</v>
      </c>
      <c r="BL1181" s="547" t="s">
        <v>116</v>
      </c>
      <c r="BM1181" s="547" t="s">
        <v>709</v>
      </c>
      <c r="BN1181" s="547" t="s">
        <v>709</v>
      </c>
      <c r="BO1181" s="547" t="s">
        <v>709</v>
      </c>
      <c r="BP1181" s="626" t="s">
        <v>709</v>
      </c>
      <c r="BQ1181" s="626" t="s">
        <v>709</v>
      </c>
      <c r="BR1181" s="549" t="s">
        <v>116</v>
      </c>
      <c r="BS1181" s="549" t="s">
        <v>709</v>
      </c>
      <c r="BT1181" s="547" t="s">
        <v>709</v>
      </c>
      <c r="BU1181" s="547" t="s">
        <v>709</v>
      </c>
      <c r="BV1181" s="547" t="s">
        <v>709</v>
      </c>
      <c r="BW1181" s="547" t="s">
        <v>709</v>
      </c>
      <c r="BX1181" s="547" t="s">
        <v>709</v>
      </c>
      <c r="BY1181" s="547" t="s">
        <v>709</v>
      </c>
      <c r="BZ1181" s="547" t="s">
        <v>709</v>
      </c>
      <c r="CA1181" s="483" t="s">
        <v>29</v>
      </c>
      <c r="CB1181" s="547">
        <v>1179</v>
      </c>
      <c r="CC1181" s="1481" t="b">
        <v>1</v>
      </c>
      <c r="CD1181" s="879" t="str">
        <f>Table15[[#This Row],[Engineering Number]]&amp;Table15[[#This Row],[WO Number]]&amp;Table15[[#This Row],[Date Assigned to Designer]]&amp;Table15[[#This Row],[Date Completed]]</f>
        <v>SC2374914137894536945449</v>
      </c>
    </row>
    <row r="1182" spans="1:82" customFormat="1" ht="15" customHeight="1" x14ac:dyDescent="0.25">
      <c r="A1182">
        <v>2024</v>
      </c>
      <c r="B1182" s="8" t="s">
        <v>771</v>
      </c>
      <c r="C1182" s="8" t="s">
        <v>494</v>
      </c>
      <c r="D1182" s="8">
        <v>1312367</v>
      </c>
      <c r="E1182" s="8" t="s">
        <v>1004</v>
      </c>
      <c r="F1182" s="8" t="s">
        <v>1515</v>
      </c>
      <c r="G1182" s="8" t="s">
        <v>22</v>
      </c>
      <c r="H1182" s="8" t="s">
        <v>4001</v>
      </c>
      <c r="I1182" s="18">
        <v>45440</v>
      </c>
      <c r="J1182" s="175" t="s">
        <v>2052</v>
      </c>
      <c r="K1182" s="97">
        <v>45450</v>
      </c>
      <c r="L1182" s="16">
        <f>IF(ISTEXT(Table15[[#This Row],[Engineering Approved Design Date]]),Table15[[#This Row],[Date Completed]]-Table15[[#This Row],[Date Assigned to Designer]],Table15[[#This Row],[Engineering Approved Design Date]]-Table15[[#This Row],[Date Completed]])</f>
        <v>10</v>
      </c>
      <c r="M1182" s="642" t="s">
        <v>6357</v>
      </c>
      <c r="N1182" s="642" t="s">
        <v>120</v>
      </c>
      <c r="O1182" s="1060">
        <v>45444</v>
      </c>
      <c r="P1182" s="1152" t="s">
        <v>120</v>
      </c>
      <c r="Q1182" s="1061">
        <f>Table15[[#This Row],[Shactee Effort]]+Table15[[#This Row],[KH Hourly Effort]]</f>
        <v>4172.5</v>
      </c>
      <c r="R1182" s="1026" t="s">
        <v>1922</v>
      </c>
      <c r="S1182" s="538">
        <v>0</v>
      </c>
      <c r="T1182" s="538">
        <v>0</v>
      </c>
      <c r="U1182" s="87">
        <v>4172.5</v>
      </c>
      <c r="V1182" s="858"/>
      <c r="W1182" s="440"/>
      <c r="X1182" s="538"/>
      <c r="Y1182" s="551"/>
      <c r="Z1182" s="538"/>
      <c r="AA1182" s="552"/>
      <c r="AB1182" s="341" t="s">
        <v>29</v>
      </c>
      <c r="AC1182" s="569" t="s">
        <v>756</v>
      </c>
      <c r="AD1182" s="1149" t="s">
        <v>116</v>
      </c>
      <c r="AE1182" s="569" t="s">
        <v>116</v>
      </c>
      <c r="AF1182" s="568" t="s">
        <v>29</v>
      </c>
      <c r="AG1182" s="569" t="s">
        <v>29</v>
      </c>
      <c r="AH1182" s="183" t="s">
        <v>376</v>
      </c>
      <c r="AI1182" s="1028" t="s">
        <v>29</v>
      </c>
      <c r="AJ1182" s="1029" t="s">
        <v>29</v>
      </c>
      <c r="AK1182" s="1029" t="s">
        <v>29</v>
      </c>
      <c r="AL1182" s="1030" t="s">
        <v>29</v>
      </c>
      <c r="AM1182" s="542" t="s">
        <v>709</v>
      </c>
      <c r="AN1182" s="924"/>
      <c r="AO1182" s="925"/>
      <c r="AP1182" s="926"/>
      <c r="AQ1182" s="926"/>
      <c r="AR1182" s="926"/>
      <c r="AS1182" s="926"/>
      <c r="AT1182" s="926"/>
      <c r="AU1182" s="926"/>
      <c r="AV1182" s="926"/>
      <c r="AW1182" s="927"/>
      <c r="AX1182" s="926"/>
      <c r="AY1182" s="1538" t="s">
        <v>29</v>
      </c>
      <c r="AZ1182" s="1530"/>
      <c r="BA1182" s="1031">
        <v>10</v>
      </c>
      <c r="BB1182" s="644" t="s">
        <v>6358</v>
      </c>
      <c r="BC1182" s="559"/>
      <c r="BD1182" s="554"/>
      <c r="BE1182" s="588"/>
      <c r="BF1182" s="588"/>
      <c r="BG1182" s="548"/>
      <c r="BH1182" s="615" t="s">
        <v>6359</v>
      </c>
      <c r="BI1182" s="547" t="s">
        <v>709</v>
      </c>
      <c r="BJ1182" s="547" t="s">
        <v>709</v>
      </c>
      <c r="BK1182" s="547" t="s">
        <v>116</v>
      </c>
      <c r="BL1182" s="547" t="s">
        <v>709</v>
      </c>
      <c r="BM1182" s="547" t="s">
        <v>116</v>
      </c>
      <c r="BN1182" s="547" t="s">
        <v>116</v>
      </c>
      <c r="BO1182" s="547" t="s">
        <v>709</v>
      </c>
      <c r="BP1182" s="547" t="s">
        <v>709</v>
      </c>
      <c r="BQ1182" s="547" t="s">
        <v>709</v>
      </c>
      <c r="BR1182" s="547" t="s">
        <v>709</v>
      </c>
      <c r="BS1182" s="547" t="s">
        <v>709</v>
      </c>
      <c r="BT1182" s="547" t="s">
        <v>709</v>
      </c>
      <c r="BU1182" s="547" t="s">
        <v>709</v>
      </c>
      <c r="BV1182" s="547" t="s">
        <v>709</v>
      </c>
      <c r="BW1182" s="547" t="s">
        <v>709</v>
      </c>
      <c r="BX1182" s="547" t="s">
        <v>709</v>
      </c>
      <c r="BY1182" s="547" t="s">
        <v>709</v>
      </c>
      <c r="BZ1182" s="547" t="s">
        <v>709</v>
      </c>
      <c r="CA1182" s="483" t="s">
        <v>29</v>
      </c>
      <c r="CB1182" s="547">
        <v>1181</v>
      </c>
      <c r="CC1182" s="1481" t="b">
        <v>1</v>
      </c>
      <c r="CD1182" s="879" t="str">
        <f>Table15[[#This Row],[Engineering Number]]&amp;Table15[[#This Row],[WO Number]]&amp;Table15[[#This Row],[Date Assigned to Designer]]&amp;Table15[[#This Row],[Date Completed]]</f>
        <v>BS52013123674544045450</v>
      </c>
    </row>
    <row r="1183" spans="1:82" customFormat="1" ht="15" customHeight="1" x14ac:dyDescent="0.25">
      <c r="A1183">
        <v>2024</v>
      </c>
      <c r="B1183" s="8" t="s">
        <v>4</v>
      </c>
      <c r="C1183" s="8" t="s">
        <v>1800</v>
      </c>
      <c r="D1183" s="8">
        <v>1413964</v>
      </c>
      <c r="E1183" s="8" t="s">
        <v>1032</v>
      </c>
      <c r="F1183" s="8" t="s">
        <v>1757</v>
      </c>
      <c r="G1183" s="8" t="s">
        <v>31</v>
      </c>
      <c r="H1183" s="8" t="s">
        <v>4189</v>
      </c>
      <c r="I1183" s="18">
        <v>45433</v>
      </c>
      <c r="J1183" s="175" t="s">
        <v>2052</v>
      </c>
      <c r="K1183" s="97">
        <v>45450</v>
      </c>
      <c r="L1183" s="16">
        <f>IF(ISTEXT(Table15[[#This Row],[Engineering Approved Design Date]]),Table15[[#This Row],[Date Completed]]-Table15[[#This Row],[Date Assigned to Designer]],Table15[[#This Row],[Engineering Approved Design Date]]-Table15[[#This Row],[Date Completed]])</f>
        <v>17</v>
      </c>
      <c r="M1183" s="642" t="s">
        <v>6332</v>
      </c>
      <c r="N1183" s="642" t="s">
        <v>120</v>
      </c>
      <c r="O1183" s="1060">
        <v>45444</v>
      </c>
      <c r="P1183" s="1152" t="s">
        <v>739</v>
      </c>
      <c r="Q1183" s="1061">
        <f>Table15[[#This Row],[Shactee Effort]]+Table15[[#This Row],[KH Hourly Effort]]</f>
        <v>9505</v>
      </c>
      <c r="R1183" s="1026" t="s">
        <v>1922</v>
      </c>
      <c r="S1183" s="538">
        <v>0</v>
      </c>
      <c r="T1183" s="538">
        <v>0</v>
      </c>
      <c r="U1183" s="87">
        <v>9505</v>
      </c>
      <c r="V1183" s="858"/>
      <c r="W1183" s="440"/>
      <c r="X1183" s="538"/>
      <c r="Y1183" s="551"/>
      <c r="Z1183" s="538"/>
      <c r="AA1183" s="552"/>
      <c r="AB1183" s="341" t="s">
        <v>29</v>
      </c>
      <c r="AC1183" s="569" t="s">
        <v>116</v>
      </c>
      <c r="AD1183" s="1149" t="s">
        <v>29</v>
      </c>
      <c r="AE1183" s="569" t="s">
        <v>116</v>
      </c>
      <c r="AF1183" s="568" t="s">
        <v>116</v>
      </c>
      <c r="AG1183" s="569" t="s">
        <v>29</v>
      </c>
      <c r="AH1183" s="183" t="s">
        <v>29</v>
      </c>
      <c r="AI1183" s="1028" t="s">
        <v>29</v>
      </c>
      <c r="AJ1183" s="1029" t="s">
        <v>29</v>
      </c>
      <c r="AK1183" s="1029" t="s">
        <v>29</v>
      </c>
      <c r="AL1183" s="1030" t="s">
        <v>29</v>
      </c>
      <c r="AM1183" s="542" t="s">
        <v>709</v>
      </c>
      <c r="AN1183" s="924"/>
      <c r="AO1183" s="925"/>
      <c r="AP1183" s="926"/>
      <c r="AQ1183" s="926"/>
      <c r="AR1183" s="926"/>
      <c r="AS1183" s="926"/>
      <c r="AT1183" s="926"/>
      <c r="AU1183" s="926"/>
      <c r="AV1183" s="926"/>
      <c r="AW1183" s="927"/>
      <c r="AX1183" s="926"/>
      <c r="AY1183" s="1538" t="s">
        <v>29</v>
      </c>
      <c r="AZ1183" s="1530"/>
      <c r="BA1183" s="1098">
        <v>1</v>
      </c>
      <c r="BB1183" s="644">
        <v>1</v>
      </c>
      <c r="BC1183" s="559" t="s">
        <v>745</v>
      </c>
      <c r="BD1183" s="554" t="s">
        <v>6367</v>
      </c>
      <c r="BE1183" s="588"/>
      <c r="BF1183" s="588" t="s">
        <v>6368</v>
      </c>
      <c r="BG1183" s="548"/>
      <c r="BH1183" s="615" t="s">
        <v>6369</v>
      </c>
      <c r="BI1183" s="547" t="s">
        <v>709</v>
      </c>
      <c r="BJ1183" s="547" t="s">
        <v>116</v>
      </c>
      <c r="BK1183" s="547" t="s">
        <v>709</v>
      </c>
      <c r="BL1183" s="547" t="s">
        <v>116</v>
      </c>
      <c r="BM1183" s="547" t="s">
        <v>709</v>
      </c>
      <c r="BN1183" s="547" t="s">
        <v>709</v>
      </c>
      <c r="BO1183" s="547" t="s">
        <v>709</v>
      </c>
      <c r="BP1183" s="547" t="s">
        <v>116</v>
      </c>
      <c r="BQ1183" s="547" t="s">
        <v>116</v>
      </c>
      <c r="BR1183" s="547" t="s">
        <v>116</v>
      </c>
      <c r="BS1183" s="547" t="s">
        <v>116</v>
      </c>
      <c r="BT1183" s="547" t="s">
        <v>116</v>
      </c>
      <c r="BU1183" s="547" t="s">
        <v>709</v>
      </c>
      <c r="BV1183" s="547" t="s">
        <v>709</v>
      </c>
      <c r="BW1183" s="547" t="s">
        <v>709</v>
      </c>
      <c r="BX1183" s="547" t="s">
        <v>709</v>
      </c>
      <c r="BY1183" s="547" t="s">
        <v>709</v>
      </c>
      <c r="BZ1183" s="547" t="s">
        <v>709</v>
      </c>
      <c r="CA1183" s="483"/>
      <c r="CB1183" s="547">
        <v>1180</v>
      </c>
      <c r="CC1183" s="1481" t="b">
        <v>1</v>
      </c>
      <c r="CD1183" s="879" t="str">
        <f>Table15[[#This Row],[Engineering Number]]&amp;Table15[[#This Row],[WO Number]]&amp;Table15[[#This Row],[Date Assigned to Designer]]&amp;Table15[[#This Row],[Date Completed]]</f>
        <v>SC18611-114139644543345450</v>
      </c>
    </row>
    <row r="1184" spans="1:82" customFormat="1" ht="15" customHeight="1" x14ac:dyDescent="0.25">
      <c r="A1184">
        <v>2024</v>
      </c>
      <c r="B1184" s="8" t="s">
        <v>4</v>
      </c>
      <c r="C1184" s="8" t="s">
        <v>1669</v>
      </c>
      <c r="D1184" s="8">
        <v>1212832</v>
      </c>
      <c r="E1184" s="8" t="s">
        <v>1665</v>
      </c>
      <c r="F1184" s="8" t="s">
        <v>784</v>
      </c>
      <c r="G1184" s="8" t="s">
        <v>25</v>
      </c>
      <c r="H1184" s="8" t="s">
        <v>4189</v>
      </c>
      <c r="I1184" s="18">
        <v>45324</v>
      </c>
      <c r="J1184" s="175" t="s">
        <v>2052</v>
      </c>
      <c r="K1184" s="97">
        <v>45450</v>
      </c>
      <c r="L1184" s="16">
        <f>IF(ISTEXT(Table15[[#This Row],[Engineering Approved Design Date]]),Table15[[#This Row],[Date Completed]]-Table15[[#This Row],[Date Assigned to Designer]],Table15[[#This Row],[Engineering Approved Design Date]]-Table15[[#This Row],[Date Completed]])</f>
        <v>126</v>
      </c>
      <c r="M1184" s="642" t="s">
        <v>6361</v>
      </c>
      <c r="N1184" s="99" t="s">
        <v>120</v>
      </c>
      <c r="O1184" s="1060">
        <v>45504</v>
      </c>
      <c r="P1184" s="1152" t="s">
        <v>739</v>
      </c>
      <c r="Q1184" s="1061">
        <f>Table15[[#This Row],[Shactee Effort]]+Table15[[#This Row],[KH Hourly Effort]]</f>
        <v>26497.5</v>
      </c>
      <c r="R1184" s="1026" t="s">
        <v>1922</v>
      </c>
      <c r="S1184" s="538">
        <v>0</v>
      </c>
      <c r="T1184" s="538">
        <v>0</v>
      </c>
      <c r="U1184" s="87">
        <v>26497.5</v>
      </c>
      <c r="V1184" s="858"/>
      <c r="W1184" s="440"/>
      <c r="X1184" s="538"/>
      <c r="Y1184" s="551"/>
      <c r="Z1184" s="538"/>
      <c r="AA1184" s="552"/>
      <c r="AB1184" s="341" t="s">
        <v>29</v>
      </c>
      <c r="AC1184" s="569" t="s">
        <v>116</v>
      </c>
      <c r="AD1184" s="1149" t="s">
        <v>29</v>
      </c>
      <c r="AE1184" s="569" t="s">
        <v>116</v>
      </c>
      <c r="AF1184" s="568" t="s">
        <v>116</v>
      </c>
      <c r="AG1184" s="569" t="s">
        <v>29</v>
      </c>
      <c r="AH1184" s="183">
        <v>45475</v>
      </c>
      <c r="AI1184" s="1028" t="s">
        <v>29</v>
      </c>
      <c r="AJ1184" s="1029" t="s">
        <v>29</v>
      </c>
      <c r="AK1184" s="1029" t="s">
        <v>29</v>
      </c>
      <c r="AL1184" s="1030" t="s">
        <v>29</v>
      </c>
      <c r="AM1184" s="542" t="s">
        <v>709</v>
      </c>
      <c r="AN1184" s="924"/>
      <c r="AO1184" s="925"/>
      <c r="AP1184" s="926"/>
      <c r="AQ1184" s="926"/>
      <c r="AR1184" s="926"/>
      <c r="AS1184" s="926"/>
      <c r="AT1184" s="926"/>
      <c r="AU1184" s="926"/>
      <c r="AV1184" s="926"/>
      <c r="AW1184" s="927"/>
      <c r="AX1184" s="926"/>
      <c r="AY1184" s="1538" t="s">
        <v>29</v>
      </c>
      <c r="AZ1184" s="1530"/>
      <c r="BA1184" s="1098" t="s">
        <v>4650</v>
      </c>
      <c r="BB1184" s="644">
        <v>3</v>
      </c>
      <c r="BC1184" s="559" t="s">
        <v>709</v>
      </c>
      <c r="BD1184" s="554" t="s">
        <v>6362</v>
      </c>
      <c r="BE1184" s="588" t="s">
        <v>739</v>
      </c>
      <c r="BF1184" s="588" t="s">
        <v>6363</v>
      </c>
      <c r="BG1184" s="548"/>
      <c r="BH1184" s="615" t="s">
        <v>6364</v>
      </c>
      <c r="BI1184" s="547" t="s">
        <v>709</v>
      </c>
      <c r="BJ1184" s="547" t="s">
        <v>709</v>
      </c>
      <c r="BK1184" s="547" t="s">
        <v>709</v>
      </c>
      <c r="BL1184" s="547" t="s">
        <v>116</v>
      </c>
      <c r="BM1184" s="547" t="s">
        <v>709</v>
      </c>
      <c r="BN1184" s="547" t="s">
        <v>709</v>
      </c>
      <c r="BO1184" s="547" t="s">
        <v>709</v>
      </c>
      <c r="BP1184" s="547">
        <v>141</v>
      </c>
      <c r="BQ1184" s="547">
        <v>7738</v>
      </c>
      <c r="BR1184" s="547">
        <v>1650</v>
      </c>
      <c r="BS1184" s="547">
        <v>2206</v>
      </c>
      <c r="BT1184" s="547" t="s">
        <v>745</v>
      </c>
      <c r="BU1184" s="547" t="s">
        <v>709</v>
      </c>
      <c r="BV1184" s="547" t="s">
        <v>745</v>
      </c>
      <c r="BW1184" s="547" t="s">
        <v>709</v>
      </c>
      <c r="BX1184" s="547" t="s">
        <v>745</v>
      </c>
      <c r="BY1184" s="547" t="s">
        <v>745</v>
      </c>
      <c r="BZ1184" s="547" t="s">
        <v>709</v>
      </c>
      <c r="CA1184" s="483" t="s">
        <v>6365</v>
      </c>
      <c r="CB1184" s="547">
        <v>1182</v>
      </c>
      <c r="CC1184" s="1481" t="b">
        <v>1</v>
      </c>
      <c r="CD1184" s="879" t="str">
        <f>Table15[[#This Row],[Engineering Number]]&amp;Table15[[#This Row],[WO Number]]&amp;Table15[[#This Row],[Date Assigned to Designer]]&amp;Table15[[#This Row],[Date Completed]]</f>
        <v>N1546212128324532445450</v>
      </c>
    </row>
    <row r="1185" spans="1:82" customFormat="1" ht="15" customHeight="1" x14ac:dyDescent="0.25">
      <c r="A1185">
        <v>2024</v>
      </c>
      <c r="B1185" s="8" t="s">
        <v>4</v>
      </c>
      <c r="C1185" s="8" t="s">
        <v>6376</v>
      </c>
      <c r="D1185" s="8" t="s">
        <v>115</v>
      </c>
      <c r="E1185" s="8" t="s">
        <v>149</v>
      </c>
      <c r="F1185" s="8" t="s">
        <v>784</v>
      </c>
      <c r="G1185" s="8" t="s">
        <v>6377</v>
      </c>
      <c r="H1185" s="8" t="s">
        <v>1681</v>
      </c>
      <c r="I1185" s="642">
        <v>45349</v>
      </c>
      <c r="J1185" s="18">
        <v>45499</v>
      </c>
      <c r="K1185" s="175">
        <v>45454</v>
      </c>
      <c r="L1185" s="16">
        <f>IF(ISTEXT(Table15[[#This Row],[Engineering Approved Design Date]]),Table15[[#This Row],[Date Completed]]-Table15[[#This Row],[Date Assigned to Designer]],Table15[[#This Row],[Engineering Approved Design Date]]-Table15[[#This Row],[Date Completed]])</f>
        <v>45</v>
      </c>
      <c r="N1185" s="642" t="s">
        <v>120</v>
      </c>
      <c r="O1185" s="1060">
        <v>45444</v>
      </c>
      <c r="P1185" s="1152" t="s">
        <v>739</v>
      </c>
      <c r="Q1185" s="340" t="s">
        <v>115</v>
      </c>
      <c r="R1185" s="1026" t="s">
        <v>115</v>
      </c>
      <c r="S1185" s="538"/>
      <c r="T1185" s="538"/>
      <c r="U1185" s="28"/>
      <c r="V1185" s="858"/>
      <c r="W1185" s="437"/>
      <c r="X1185" s="538"/>
      <c r="Y1185" s="550"/>
      <c r="Z1185" s="538"/>
      <c r="AA1185" s="552"/>
      <c r="AB1185" s="341" t="s">
        <v>29</v>
      </c>
      <c r="AC1185" s="569" t="s">
        <v>29</v>
      </c>
      <c r="AD1185" s="1157" t="s">
        <v>29</v>
      </c>
      <c r="AE1185" s="568" t="s">
        <v>116</v>
      </c>
      <c r="AF1185" s="569" t="s">
        <v>116</v>
      </c>
      <c r="AG1185" s="569" t="s">
        <v>29</v>
      </c>
      <c r="AH1185" s="183">
        <v>45567</v>
      </c>
      <c r="AI1185" s="1028" t="s">
        <v>29</v>
      </c>
      <c r="AJ1185" s="1029" t="s">
        <v>29</v>
      </c>
      <c r="AK1185" s="1029" t="s">
        <v>29</v>
      </c>
      <c r="AL1185" s="1030" t="s">
        <v>29</v>
      </c>
      <c r="AM1185" s="542" t="s">
        <v>709</v>
      </c>
      <c r="AN1185" s="924"/>
      <c r="AO1185" s="925"/>
      <c r="AP1185" s="926"/>
      <c r="AQ1185" s="926"/>
      <c r="AR1185" s="926"/>
      <c r="AS1185" s="926"/>
      <c r="AT1185" s="926"/>
      <c r="AU1185" s="926"/>
      <c r="AV1185" s="926"/>
      <c r="AW1185" s="927"/>
      <c r="AX1185" s="926"/>
      <c r="AY1185" s="1538" t="s">
        <v>29</v>
      </c>
      <c r="AZ1185" s="1530"/>
      <c r="BA1185" s="1031"/>
      <c r="BB1185" s="644" t="s">
        <v>870</v>
      </c>
      <c r="BC1185" s="559" t="s">
        <v>992</v>
      </c>
      <c r="BD1185" s="554" t="s">
        <v>882</v>
      </c>
      <c r="BE1185" s="588" t="s">
        <v>709</v>
      </c>
      <c r="BF1185" s="588" t="s">
        <v>6378</v>
      </c>
      <c r="BG1185" s="548" t="s">
        <v>709</v>
      </c>
      <c r="BH1185" s="615" t="s">
        <v>6379</v>
      </c>
      <c r="BI1185" s="1032"/>
      <c r="BJ1185" s="1032"/>
      <c r="BK1185" s="1032"/>
      <c r="BL1185" s="1032"/>
      <c r="BM1185" s="1032"/>
      <c r="BN1185" s="1070"/>
      <c r="BO1185" s="1032"/>
      <c r="BP1185" s="1071"/>
      <c r="BQ1185" s="549"/>
      <c r="BR1185" s="549"/>
      <c r="BS1185" s="549"/>
      <c r="BT1185" s="549"/>
      <c r="BU1185" s="549"/>
      <c r="BV1185" s="549"/>
      <c r="BW1185" s="549"/>
      <c r="BX1185" s="547"/>
      <c r="BY1185" s="1492"/>
      <c r="BZ1185" s="1492"/>
      <c r="CA1185" s="485" t="s">
        <v>915</v>
      </c>
      <c r="CB1185" s="547">
        <v>1184</v>
      </c>
      <c r="CC1185" s="1481" t="b">
        <v>1</v>
      </c>
      <c r="CD1185" s="879" t="str">
        <f>Table15[[#This Row],[Engineering Number]]&amp;Table15[[#This Row],[WO Number]]&amp;Table15[[#This Row],[Date Assigned to Designer]]&amp;Table15[[#This Row],[Date Completed]]</f>
        <v>M15665-4534945454</v>
      </c>
    </row>
    <row r="1186" spans="1:82" customFormat="1" ht="15" customHeight="1" x14ac:dyDescent="0.25">
      <c r="A1186">
        <v>2024</v>
      </c>
      <c r="B1186" s="8" t="s">
        <v>4</v>
      </c>
      <c r="C1186" s="8" t="s">
        <v>1608</v>
      </c>
      <c r="D1186" s="8">
        <v>1412597</v>
      </c>
      <c r="E1186" s="8" t="s">
        <v>232</v>
      </c>
      <c r="F1186" s="8" t="s">
        <v>1757</v>
      </c>
      <c r="G1186" s="8" t="s">
        <v>39</v>
      </c>
      <c r="H1186" s="8" t="s">
        <v>4189</v>
      </c>
      <c r="I1186" s="18">
        <v>45443</v>
      </c>
      <c r="J1186" s="175" t="s">
        <v>2052</v>
      </c>
      <c r="K1186" s="97">
        <v>45454</v>
      </c>
      <c r="L1186" s="16">
        <f>IF(ISTEXT(Table15[[#This Row],[Engineering Approved Design Date]]),Table15[[#This Row],[Date Completed]]-Table15[[#This Row],[Date Assigned to Designer]],Table15[[#This Row],[Engineering Approved Design Date]]-Table15[[#This Row],[Date Completed]])</f>
        <v>11</v>
      </c>
      <c r="M1186" s="642" t="s">
        <v>6371</v>
      </c>
      <c r="N1186" s="642" t="s">
        <v>120</v>
      </c>
      <c r="O1186" s="1060">
        <v>45444</v>
      </c>
      <c r="P1186" s="1152" t="s">
        <v>739</v>
      </c>
      <c r="Q1186" s="1061">
        <f>Table15[[#This Row],[Shactee Effort]]+Table15[[#This Row],[KH Hourly Effort]]</f>
        <v>5487.5</v>
      </c>
      <c r="R1186" s="1026" t="s">
        <v>1922</v>
      </c>
      <c r="S1186" s="538">
        <v>0</v>
      </c>
      <c r="T1186" s="538">
        <v>0</v>
      </c>
      <c r="U1186" s="87">
        <v>5487.5</v>
      </c>
      <c r="V1186" s="858"/>
      <c r="W1186" s="440"/>
      <c r="X1186" s="538"/>
      <c r="Y1186" s="551"/>
      <c r="Z1186" s="538"/>
      <c r="AA1186" s="552"/>
      <c r="AB1186" s="341" t="s">
        <v>29</v>
      </c>
      <c r="AC1186" s="568" t="s">
        <v>29</v>
      </c>
      <c r="AD1186" s="1157" t="s">
        <v>29</v>
      </c>
      <c r="AE1186" s="569" t="s">
        <v>116</v>
      </c>
      <c r="AF1186" s="569" t="s">
        <v>29</v>
      </c>
      <c r="AG1186" s="569" t="s">
        <v>29</v>
      </c>
      <c r="AH1186" s="183">
        <v>45580</v>
      </c>
      <c r="AI1186" s="1028" t="s">
        <v>29</v>
      </c>
      <c r="AJ1186" s="1029" t="s">
        <v>29</v>
      </c>
      <c r="AK1186" s="1029" t="s">
        <v>29</v>
      </c>
      <c r="AL1186" s="1030" t="s">
        <v>29</v>
      </c>
      <c r="AM1186" s="542" t="s">
        <v>709</v>
      </c>
      <c r="AN1186" s="924"/>
      <c r="AO1186" s="925"/>
      <c r="AP1186" s="926"/>
      <c r="AQ1186" s="926"/>
      <c r="AR1186" s="926"/>
      <c r="AS1186" s="926"/>
      <c r="AT1186" s="926"/>
      <c r="AU1186" s="926"/>
      <c r="AV1186" s="926"/>
      <c r="AW1186" s="927"/>
      <c r="AX1186" s="926"/>
      <c r="AY1186" s="1538" t="s">
        <v>29</v>
      </c>
      <c r="AZ1186" s="1530"/>
      <c r="BA1186" s="1098">
        <v>5</v>
      </c>
      <c r="BB1186" s="644" t="s">
        <v>709</v>
      </c>
      <c r="BC1186" s="559" t="s">
        <v>6372</v>
      </c>
      <c r="BD1186" s="554" t="s">
        <v>739</v>
      </c>
      <c r="BE1186" s="588" t="s">
        <v>6373</v>
      </c>
      <c r="BF1186" s="588"/>
      <c r="BG1186" s="548"/>
      <c r="BH1186" s="615" t="s">
        <v>6374</v>
      </c>
      <c r="BI1186" s="547" t="s">
        <v>709</v>
      </c>
      <c r="BJ1186" s="547" t="s">
        <v>709</v>
      </c>
      <c r="BK1186" s="547" t="s">
        <v>709</v>
      </c>
      <c r="BL1186" s="547" t="s">
        <v>116</v>
      </c>
      <c r="BM1186" s="547" t="s">
        <v>709</v>
      </c>
      <c r="BN1186" s="547" t="s">
        <v>709</v>
      </c>
      <c r="BO1186" s="547" t="s">
        <v>709</v>
      </c>
      <c r="BP1186" s="547" t="s">
        <v>709</v>
      </c>
      <c r="BQ1186" s="547" t="s">
        <v>709</v>
      </c>
      <c r="BR1186" s="547">
        <v>440</v>
      </c>
      <c r="BS1186" s="547">
        <v>14</v>
      </c>
      <c r="BT1186" s="547" t="s">
        <v>745</v>
      </c>
      <c r="BU1186" s="547" t="s">
        <v>709</v>
      </c>
      <c r="BV1186" s="547" t="s">
        <v>745</v>
      </c>
      <c r="BW1186" s="547" t="s">
        <v>709</v>
      </c>
      <c r="BX1186" s="547" t="s">
        <v>745</v>
      </c>
      <c r="BY1186" s="547" t="s">
        <v>745</v>
      </c>
      <c r="BZ1186" s="547" t="s">
        <v>709</v>
      </c>
      <c r="CA1186" s="483" t="s">
        <v>29</v>
      </c>
      <c r="CB1186" s="547">
        <v>1185</v>
      </c>
      <c r="CC1186" s="1481" t="b">
        <v>1</v>
      </c>
      <c r="CD1186" s="879" t="str">
        <f>Table15[[#This Row],[Engineering Number]]&amp;Table15[[#This Row],[WO Number]]&amp;Table15[[#This Row],[Date Assigned to Designer]]&amp;Table15[[#This Row],[Date Completed]]</f>
        <v>SC2170114125974544345454</v>
      </c>
    </row>
    <row r="1187" spans="1:82" customFormat="1" ht="15" customHeight="1" x14ac:dyDescent="0.25">
      <c r="A1187">
        <v>2024</v>
      </c>
      <c r="B1187" s="8" t="s">
        <v>4</v>
      </c>
      <c r="C1187" s="8" t="s">
        <v>1832</v>
      </c>
      <c r="D1187" s="8" t="s">
        <v>1833</v>
      </c>
      <c r="E1187" s="8" t="s">
        <v>1149</v>
      </c>
      <c r="F1187" s="8" t="s">
        <v>851</v>
      </c>
      <c r="G1187" s="8" t="s">
        <v>6377</v>
      </c>
      <c r="H1187" s="8" t="s">
        <v>59</v>
      </c>
      <c r="I1187" s="642">
        <v>45335</v>
      </c>
      <c r="J1187" s="18">
        <v>45464</v>
      </c>
      <c r="K1187" s="97">
        <v>45454</v>
      </c>
      <c r="L1187" s="16">
        <f>IF(ISTEXT(Table15[[#This Row],[Engineering Approved Design Date]]),Table15[[#This Row],[Date Completed]]-Table15[[#This Row],[Date Assigned to Designer]],Table15[[#This Row],[Engineering Approved Design Date]]-Table15[[#This Row],[Date Completed]])</f>
        <v>10</v>
      </c>
      <c r="M1187" s="642"/>
      <c r="N1187" s="642" t="s">
        <v>120</v>
      </c>
      <c r="O1187" s="1060">
        <v>45444</v>
      </c>
      <c r="P1187" s="1152" t="s">
        <v>739</v>
      </c>
      <c r="Q1187" s="340">
        <f>Table15[[#This Row],[Rate]]*Table15[[#This Row],[Construction Cost to Bill From]]</f>
        <v>11886.872000000001</v>
      </c>
      <c r="R1187" s="1026">
        <v>0.1</v>
      </c>
      <c r="S1187" s="538"/>
      <c r="T1187" s="538"/>
      <c r="U1187" s="87"/>
      <c r="V1187" s="858">
        <v>58</v>
      </c>
      <c r="W1187" s="437">
        <v>0</v>
      </c>
      <c r="X1187" s="538">
        <v>93888.57</v>
      </c>
      <c r="Y1187" s="551"/>
      <c r="Z1187" s="552">
        <v>24980.15</v>
      </c>
      <c r="AA1187" s="552">
        <f>SUM(Table15[[#This Row],[PCTS Investment Amount]:[PCTS Retirement Amount]])</f>
        <v>118868.72</v>
      </c>
      <c r="AB1187" s="341">
        <v>45447</v>
      </c>
      <c r="AC1187" s="569" t="s">
        <v>709</v>
      </c>
      <c r="AD1187" s="1149" t="s">
        <v>29</v>
      </c>
      <c r="AE1187" s="568" t="s">
        <v>116</v>
      </c>
      <c r="AF1187" s="568" t="s">
        <v>116</v>
      </c>
      <c r="AG1187" s="569" t="s">
        <v>376</v>
      </c>
      <c r="AH1187" s="183">
        <v>45567</v>
      </c>
      <c r="AI1187" s="1028">
        <v>0</v>
      </c>
      <c r="AJ1187" s="1029">
        <v>2400</v>
      </c>
      <c r="AK1187" s="1029">
        <f>2575+1075</f>
        <v>3650</v>
      </c>
      <c r="AL1187" s="1030">
        <f>SUM(Table15[[#This Row],[Nicor Initiated DBE]:[Staffing]])/(Table15[[#This Row],[Amount Invoiced]])</f>
        <v>0.5089648479431762</v>
      </c>
      <c r="AM1187" s="1522" t="s">
        <v>116</v>
      </c>
      <c r="AN1187" s="1523">
        <v>45517</v>
      </c>
      <c r="AO1187" s="1524">
        <v>11089236</v>
      </c>
      <c r="AP1187" s="1525">
        <v>95227.15</v>
      </c>
      <c r="AQ1187" s="1525"/>
      <c r="AR1187" s="1525">
        <v>24980.15</v>
      </c>
      <c r="AS1187" s="1525">
        <f>IF(Table15[[#This Row],[PCTS Approved]]="N",0,Table15[[#This Row],[Investment Amount (1'#'#'#'#'#)]]+Table15[[#This Row],[Retirement Amount (3'#'#'#'#'#)]])</f>
        <v>120207.29999999999</v>
      </c>
      <c r="AT1187" s="1525">
        <f>IF(Table15[[#This Row],[Approved Construction Cost]]=0,0,Table15[[#This Row],[Approved Construction Cost]]-Table15[[#This Row],[Construction Cost to Bill From]])</f>
        <v>1338.5799999999872</v>
      </c>
      <c r="AU1187" s="1525">
        <f>IFERROR(Table15[[#This Row],[Difference in Construction Cost]]*Table15[[#This Row],[Rate]],Table15[[#This Row],[Difference in Construction Cost]]*0.085)</f>
        <v>133.85799999999873</v>
      </c>
      <c r="AV1187" s="1525">
        <v>0</v>
      </c>
      <c r="AW1187" s="1526" t="s">
        <v>6381</v>
      </c>
      <c r="AX1187" s="1525">
        <f>Table15[[#This Row],[Reconcile Amount]]</f>
        <v>133.85799999999873</v>
      </c>
      <c r="AY1187" s="1518">
        <v>45901</v>
      </c>
      <c r="AZ1187" s="333">
        <v>145</v>
      </c>
      <c r="BA1187" s="1031" t="s">
        <v>1834</v>
      </c>
      <c r="BB1187" s="644" t="s">
        <v>870</v>
      </c>
      <c r="BC1187" s="559" t="s">
        <v>116</v>
      </c>
      <c r="BD1187" s="554" t="s">
        <v>115</v>
      </c>
      <c r="BE1187" s="588" t="s">
        <v>1835</v>
      </c>
      <c r="BF1187" s="588" t="s">
        <v>1835</v>
      </c>
      <c r="BG1187" s="588" t="s">
        <v>115</v>
      </c>
      <c r="BH1187" s="615" t="s">
        <v>1836</v>
      </c>
      <c r="BI1187" s="547" t="s">
        <v>709</v>
      </c>
      <c r="BJ1187" s="547" t="s">
        <v>709</v>
      </c>
      <c r="BK1187" s="547" t="s">
        <v>709</v>
      </c>
      <c r="BL1187" s="547" t="s">
        <v>116</v>
      </c>
      <c r="BM1187" s="547" t="s">
        <v>709</v>
      </c>
      <c r="BN1187" s="547" t="s">
        <v>709</v>
      </c>
      <c r="BO1187" s="547" t="s">
        <v>709</v>
      </c>
      <c r="BP1187" s="626" t="s">
        <v>709</v>
      </c>
      <c r="BQ1187" s="626" t="s">
        <v>709</v>
      </c>
      <c r="BR1187" s="549" t="s">
        <v>709</v>
      </c>
      <c r="BS1187" s="549" t="s">
        <v>116</v>
      </c>
      <c r="BT1187" s="547" t="s">
        <v>709</v>
      </c>
      <c r="BU1187" s="547" t="s">
        <v>709</v>
      </c>
      <c r="BV1187" s="547" t="s">
        <v>709</v>
      </c>
      <c r="BW1187" s="547" t="s">
        <v>709</v>
      </c>
      <c r="BX1187" s="547" t="s">
        <v>709</v>
      </c>
      <c r="BY1187" s="547" t="s">
        <v>709</v>
      </c>
      <c r="BZ1187" s="547" t="s">
        <v>709</v>
      </c>
      <c r="CA1187" s="483" t="s">
        <v>1837</v>
      </c>
      <c r="CB1187" s="547">
        <v>1183</v>
      </c>
      <c r="CC1187" s="1481" t="b">
        <v>1</v>
      </c>
      <c r="CD1187" s="879" t="str">
        <f>Table15[[#This Row],[Engineering Number]]&amp;Table15[[#This Row],[WO Number]]&amp;Table15[[#This Row],[Date Assigned to Designer]]&amp;Table15[[#This Row],[Date Completed]]</f>
        <v>SC2375013138124533545454</v>
      </c>
    </row>
    <row r="1188" spans="1:82" customFormat="1" ht="15" customHeight="1" x14ac:dyDescent="0.25">
      <c r="A1188">
        <v>2024</v>
      </c>
      <c r="B1188" s="8" t="s">
        <v>771</v>
      </c>
      <c r="C1188" s="8" t="s">
        <v>283</v>
      </c>
      <c r="D1188" s="8" t="s">
        <v>878</v>
      </c>
      <c r="E1188" s="8" t="s">
        <v>284</v>
      </c>
      <c r="F1188" s="8" t="s">
        <v>784</v>
      </c>
      <c r="G1188" s="8" t="s">
        <v>36</v>
      </c>
      <c r="H1188" s="8" t="s">
        <v>4001</v>
      </c>
      <c r="I1188" s="18">
        <v>45440</v>
      </c>
      <c r="J1188" s="175" t="s">
        <v>2052</v>
      </c>
      <c r="K1188" s="97">
        <v>45456</v>
      </c>
      <c r="L1188" s="16">
        <f>IF(ISTEXT(Table15[[#This Row],[Engineering Approved Design Date]]),Table15[[#This Row],[Date Completed]]-Table15[[#This Row],[Date Assigned to Designer]],Table15[[#This Row],[Engineering Approved Design Date]]-Table15[[#This Row],[Date Completed]])</f>
        <v>16</v>
      </c>
      <c r="M1188" s="642" t="s">
        <v>6383</v>
      </c>
      <c r="N1188" s="642" t="s">
        <v>120</v>
      </c>
      <c r="O1188" s="1060">
        <v>45444</v>
      </c>
      <c r="P1188" s="1152" t="s">
        <v>120</v>
      </c>
      <c r="Q1188" s="1061">
        <f>Table15[[#This Row],[Shactee Effort]]+Table15[[#This Row],[KH Hourly Effort]]</f>
        <v>5835</v>
      </c>
      <c r="R1188" s="1026" t="s">
        <v>1922</v>
      </c>
      <c r="S1188" s="538">
        <v>0</v>
      </c>
      <c r="T1188" s="538">
        <v>0</v>
      </c>
      <c r="U1188" s="87">
        <v>5835</v>
      </c>
      <c r="V1188" s="858"/>
      <c r="W1188" s="440"/>
      <c r="X1188" s="538"/>
      <c r="Y1188" s="551"/>
      <c r="Z1188" s="538"/>
      <c r="AA1188" s="552"/>
      <c r="AB1188" s="341" t="s">
        <v>29</v>
      </c>
      <c r="AC1188" s="569" t="s">
        <v>29</v>
      </c>
      <c r="AD1188" s="1157" t="s">
        <v>29</v>
      </c>
      <c r="AE1188" s="569" t="s">
        <v>116</v>
      </c>
      <c r="AF1188" s="568" t="s">
        <v>116</v>
      </c>
      <c r="AG1188" s="569" t="s">
        <v>29</v>
      </c>
      <c r="AH1188" s="569" t="s">
        <v>29</v>
      </c>
      <c r="AI1188" s="1028" t="s">
        <v>29</v>
      </c>
      <c r="AJ1188" s="1029" t="s">
        <v>29</v>
      </c>
      <c r="AK1188" s="1029" t="s">
        <v>29</v>
      </c>
      <c r="AL1188" s="1030" t="s">
        <v>29</v>
      </c>
      <c r="AM1188" s="542" t="s">
        <v>709</v>
      </c>
      <c r="AN1188" s="924"/>
      <c r="AO1188" s="925"/>
      <c r="AP1188" s="926"/>
      <c r="AQ1188" s="926"/>
      <c r="AR1188" s="926"/>
      <c r="AS1188" s="926"/>
      <c r="AT1188" s="926"/>
      <c r="AU1188" s="926"/>
      <c r="AV1188" s="926"/>
      <c r="AW1188" s="927"/>
      <c r="AX1188" s="926"/>
      <c r="AY1188" s="1538" t="s">
        <v>29</v>
      </c>
      <c r="AZ1188" s="1530"/>
      <c r="BA1188" s="1031">
        <v>7</v>
      </c>
      <c r="BB1188" s="644" t="s">
        <v>6384</v>
      </c>
      <c r="BC1188" s="559"/>
      <c r="BD1188" s="554" t="s">
        <v>882</v>
      </c>
      <c r="BE1188" s="588"/>
      <c r="BF1188" s="588"/>
      <c r="BG1188" s="548"/>
      <c r="BH1188" s="615" t="s">
        <v>6385</v>
      </c>
      <c r="BI1188" s="547" t="s">
        <v>709</v>
      </c>
      <c r="BJ1188" s="547" t="s">
        <v>709</v>
      </c>
      <c r="BK1188" s="547" t="s">
        <v>709</v>
      </c>
      <c r="BL1188" s="547" t="s">
        <v>116</v>
      </c>
      <c r="BM1188" s="547" t="s">
        <v>709</v>
      </c>
      <c r="BN1188" s="547" t="s">
        <v>709</v>
      </c>
      <c r="BO1188" s="547" t="s">
        <v>709</v>
      </c>
      <c r="BP1188" s="547">
        <v>989</v>
      </c>
      <c r="BQ1188" s="547" t="s">
        <v>709</v>
      </c>
      <c r="BR1188" s="547" t="s">
        <v>709</v>
      </c>
      <c r="BS1188" s="547" t="s">
        <v>709</v>
      </c>
      <c r="BT1188" s="547" t="s">
        <v>709</v>
      </c>
      <c r="BU1188" s="547" t="s">
        <v>709</v>
      </c>
      <c r="BV1188" s="547" t="s">
        <v>709</v>
      </c>
      <c r="BW1188" s="547" t="s">
        <v>709</v>
      </c>
      <c r="BX1188" s="547" t="s">
        <v>709</v>
      </c>
      <c r="BY1188" s="547" t="s">
        <v>709</v>
      </c>
      <c r="BZ1188" s="547" t="s">
        <v>709</v>
      </c>
      <c r="CA1188" s="483"/>
      <c r="CB1188" s="547">
        <v>1186</v>
      </c>
      <c r="CC1188" s="1481" t="b">
        <v>1</v>
      </c>
      <c r="CD1188" s="879" t="str">
        <f>Table15[[#This Row],[Engineering Number]]&amp;Table15[[#This Row],[WO Number]]&amp;Table15[[#This Row],[Date Assigned to Designer]]&amp;Table15[[#This Row],[Date Completed]]</f>
        <v>BS40212130624544045456</v>
      </c>
    </row>
    <row r="1189" spans="1:82" customFormat="1" ht="15" customHeight="1" x14ac:dyDescent="0.25">
      <c r="A1189">
        <v>2023</v>
      </c>
      <c r="B1189" s="8" t="s">
        <v>769</v>
      </c>
      <c r="C1189" s="8" t="s">
        <v>1426</v>
      </c>
      <c r="D1189" s="8" t="s">
        <v>1427</v>
      </c>
      <c r="E1189" s="8" t="s">
        <v>1428</v>
      </c>
      <c r="F1189" s="8" t="s">
        <v>752</v>
      </c>
      <c r="G1189" s="8" t="s">
        <v>4770</v>
      </c>
      <c r="H1189" s="8" t="s">
        <v>6387</v>
      </c>
      <c r="I1189" s="18">
        <v>45454</v>
      </c>
      <c r="J1189" s="175" t="s">
        <v>2052</v>
      </c>
      <c r="K1189" s="97">
        <v>45460</v>
      </c>
      <c r="L1189" s="16">
        <f>IF(ISTEXT(Table15[[#This Row],[Engineering Approved Design Date]]),Table15[[#This Row],[Date Completed]]-Table15[[#This Row],[Date Assigned to Designer]],Table15[[#This Row],[Engineering Approved Design Date]]-Table15[[#This Row],[Date Completed]])</f>
        <v>6</v>
      </c>
      <c r="M1189" s="642" t="s">
        <v>6388</v>
      </c>
      <c r="N1189" s="99" t="s">
        <v>120</v>
      </c>
      <c r="O1189" s="1060">
        <v>45504</v>
      </c>
      <c r="P1189" s="1152" t="s">
        <v>120</v>
      </c>
      <c r="Q1189" s="1061">
        <f>Table15[[#This Row],[Shactee Effort]]+Table15[[#This Row],[KH Hourly Effort]]</f>
        <v>2430</v>
      </c>
      <c r="R1189" s="1026" t="s">
        <v>1922</v>
      </c>
      <c r="S1189" s="538">
        <v>0</v>
      </c>
      <c r="T1189" s="538">
        <v>0</v>
      </c>
      <c r="U1189" s="87">
        <v>2430</v>
      </c>
      <c r="V1189" s="858">
        <v>3137</v>
      </c>
      <c r="W1189" s="440">
        <v>2</v>
      </c>
      <c r="X1189" s="538"/>
      <c r="Y1189" s="551"/>
      <c r="Z1189" s="538"/>
      <c r="AA1189" s="552"/>
      <c r="AB1189" s="341" t="s">
        <v>29</v>
      </c>
      <c r="AC1189" s="568"/>
      <c r="AD1189" s="1157" t="s">
        <v>29</v>
      </c>
      <c r="AE1189" s="569" t="s">
        <v>116</v>
      </c>
      <c r="AF1189" s="569" t="s">
        <v>29</v>
      </c>
      <c r="AG1189" s="569" t="s">
        <v>29</v>
      </c>
      <c r="AH1189" s="183" t="s">
        <v>29</v>
      </c>
      <c r="AI1189" s="1028"/>
      <c r="AJ1189" s="1029"/>
      <c r="AK1189" s="1029"/>
      <c r="AL1189" s="1030"/>
      <c r="AM1189" s="542" t="s">
        <v>709</v>
      </c>
      <c r="AN1189" s="924"/>
      <c r="AO1189" s="925"/>
      <c r="AP1189" s="926"/>
      <c r="AQ1189" s="926"/>
      <c r="AR1189" s="926"/>
      <c r="AS1189" s="926"/>
      <c r="AT1189" s="926"/>
      <c r="AU1189" s="926"/>
      <c r="AV1189" s="926"/>
      <c r="AW1189" s="927"/>
      <c r="AX1189" s="926"/>
      <c r="AY1189" s="1538" t="s">
        <v>29</v>
      </c>
      <c r="AZ1189" s="1530"/>
      <c r="BA1189" s="1031">
        <v>10</v>
      </c>
      <c r="BB1189" s="644"/>
      <c r="BC1189" s="559"/>
      <c r="BD1189" s="554"/>
      <c r="BE1189" s="588"/>
      <c r="BF1189" s="588"/>
      <c r="BG1189" s="548"/>
      <c r="BH1189" s="615" t="s">
        <v>6389</v>
      </c>
      <c r="BI1189" s="547" t="s">
        <v>709</v>
      </c>
      <c r="BJ1189" s="547" t="s">
        <v>709</v>
      </c>
      <c r="BK1189" s="547" t="s">
        <v>116</v>
      </c>
      <c r="BL1189" s="547" t="s">
        <v>116</v>
      </c>
      <c r="BM1189" s="547" t="s">
        <v>709</v>
      </c>
      <c r="BN1189" s="547" t="s">
        <v>709</v>
      </c>
      <c r="BO1189" s="547" t="s">
        <v>709</v>
      </c>
      <c r="BP1189" s="547" t="s">
        <v>709</v>
      </c>
      <c r="BQ1189" s="547" t="s">
        <v>709</v>
      </c>
      <c r="BR1189" s="547">
        <v>3047</v>
      </c>
      <c r="BS1189" s="547">
        <v>30</v>
      </c>
      <c r="BT1189" s="547" t="s">
        <v>709</v>
      </c>
      <c r="BU1189" s="547" t="s">
        <v>709</v>
      </c>
      <c r="BV1189" s="547" t="s">
        <v>709</v>
      </c>
      <c r="BW1189" s="547" t="s">
        <v>709</v>
      </c>
      <c r="BX1189" s="547" t="s">
        <v>709</v>
      </c>
      <c r="BY1189" s="547" t="s">
        <v>709</v>
      </c>
      <c r="BZ1189" s="547" t="s">
        <v>709</v>
      </c>
      <c r="CA1189" s="483"/>
      <c r="CB1189" s="547">
        <v>1187</v>
      </c>
      <c r="CC1189" s="1481" t="b">
        <v>1</v>
      </c>
      <c r="CD1189" s="879" t="str">
        <f>Table15[[#This Row],[Engineering Number]]&amp;Table15[[#This Row],[WO Number]]&amp;Table15[[#This Row],[Date Assigned to Designer]]&amp;Table15[[#This Row],[Date Completed]]</f>
        <v>RS112312120884545445460</v>
      </c>
    </row>
    <row r="1190" spans="1:82" customFormat="1" ht="15" customHeight="1" x14ac:dyDescent="0.25">
      <c r="A1190">
        <v>2024</v>
      </c>
      <c r="B1190" s="8" t="s">
        <v>4</v>
      </c>
      <c r="C1190" s="8" t="s">
        <v>1838</v>
      </c>
      <c r="D1190" s="8" t="s">
        <v>1839</v>
      </c>
      <c r="E1190" s="8" t="s">
        <v>1032</v>
      </c>
      <c r="F1190" s="8" t="s">
        <v>1102</v>
      </c>
      <c r="G1190" s="8" t="s">
        <v>6391</v>
      </c>
      <c r="H1190" s="8" t="s">
        <v>413</v>
      </c>
      <c r="I1190" s="642">
        <v>45378</v>
      </c>
      <c r="J1190" s="18">
        <v>45471</v>
      </c>
      <c r="K1190" s="97">
        <v>45461</v>
      </c>
      <c r="L1190" s="16">
        <f>IF(ISTEXT(Table15[[#This Row],[Engineering Approved Design Date]]),Table15[[#This Row],[Date Completed]]-Table15[[#This Row],[Date Assigned to Designer]],Table15[[#This Row],[Engineering Approved Design Date]]-Table15[[#This Row],[Date Completed]])</f>
        <v>10</v>
      </c>
      <c r="M1190" s="642"/>
      <c r="N1190" s="642" t="s">
        <v>120</v>
      </c>
      <c r="O1190" s="1060">
        <v>45444</v>
      </c>
      <c r="P1190" s="1152" t="s">
        <v>739</v>
      </c>
      <c r="Q1190" s="340">
        <f>Table15[[#This Row],[Rate]]*Table15[[#This Row],[Construction Cost to Bill From]]</f>
        <v>8929.3410000000003</v>
      </c>
      <c r="R1190" s="1026">
        <v>0.1</v>
      </c>
      <c r="S1190" s="538"/>
      <c r="T1190" s="538"/>
      <c r="U1190" s="87"/>
      <c r="V1190" s="858">
        <v>41</v>
      </c>
      <c r="W1190" s="437">
        <v>0</v>
      </c>
      <c r="X1190" s="538">
        <v>63667.62</v>
      </c>
      <c r="Y1190" s="551"/>
      <c r="Z1190" s="552">
        <v>25625.79</v>
      </c>
      <c r="AA1190" s="552">
        <f>SUM(Table15[[#This Row],[PCTS Investment Amount]:[PCTS Retirement Amount]])</f>
        <v>89293.41</v>
      </c>
      <c r="AB1190" s="341">
        <v>45447</v>
      </c>
      <c r="AC1190" s="569" t="s">
        <v>709</v>
      </c>
      <c r="AD1190" s="1149" t="s">
        <v>29</v>
      </c>
      <c r="AE1190" s="568" t="s">
        <v>116</v>
      </c>
      <c r="AF1190" s="568" t="s">
        <v>116</v>
      </c>
      <c r="AG1190" s="569" t="s">
        <v>376</v>
      </c>
      <c r="AH1190" s="183">
        <v>45567</v>
      </c>
      <c r="AI1190" s="1028">
        <v>0</v>
      </c>
      <c r="AJ1190" s="1029">
        <v>2368.25</v>
      </c>
      <c r="AK1190" s="1029">
        <v>4483.24</v>
      </c>
      <c r="AL1190" s="1030">
        <f>SUM(Table15[[#This Row],[Nicor Initiated DBE]:[Staffing]])/(Table15[[#This Row],[Amount Invoiced]])</f>
        <v>0.76730074481420296</v>
      </c>
      <c r="AM1190" s="536" t="s">
        <v>116</v>
      </c>
      <c r="AN1190" s="903" t="s">
        <v>709</v>
      </c>
      <c r="AO1190" s="1536"/>
      <c r="AP1190" s="1537"/>
      <c r="AQ1190" s="1537"/>
      <c r="AR1190" s="1537"/>
      <c r="AS1190" s="888">
        <f>IF(Table15[[#This Row],[PCTS Approved]]="N",0,Table15[[#This Row],[Investment Amount (1'#'#'#'#'#)]]+Table15[[#This Row],[Retirement Amount (3'#'#'#'#'#)]])</f>
        <v>0</v>
      </c>
      <c r="AT1190" s="888">
        <f>IF(Table15[[#This Row],[Approved Construction Cost]]=0,0,Table15[[#This Row],[Approved Construction Cost]]-Table15[[#This Row],[Construction Cost to Bill From]])</f>
        <v>0</v>
      </c>
      <c r="AU1190" s="888">
        <f>IFERROR(Table15[[#This Row],[Difference in Construction Cost]]*Table15[[#This Row],[Rate]],Table15[[#This Row],[Difference in Construction Cost]]*0.085)</f>
        <v>0</v>
      </c>
      <c r="AV1190" s="905"/>
      <c r="AW1190" s="1509"/>
      <c r="AX1190" s="888"/>
      <c r="AY1190" s="636" t="s">
        <v>709</v>
      </c>
      <c r="AZ1190" s="333">
        <v>146</v>
      </c>
      <c r="BA1190" s="1074" t="s">
        <v>1840</v>
      </c>
      <c r="BB1190" s="644" t="s">
        <v>1035</v>
      </c>
      <c r="BC1190" s="544" t="s">
        <v>115</v>
      </c>
      <c r="BD1190" s="554" t="s">
        <v>115</v>
      </c>
      <c r="BE1190" s="588" t="s">
        <v>1841</v>
      </c>
      <c r="BF1190" s="588" t="s">
        <v>115</v>
      </c>
      <c r="BG1190" s="588" t="s">
        <v>115</v>
      </c>
      <c r="BH1190" s="615" t="s">
        <v>1842</v>
      </c>
      <c r="BI1190" s="547" t="s">
        <v>709</v>
      </c>
      <c r="BJ1190" s="547" t="s">
        <v>709</v>
      </c>
      <c r="BK1190" s="547" t="s">
        <v>709</v>
      </c>
      <c r="BL1190" s="547" t="s">
        <v>116</v>
      </c>
      <c r="BM1190" s="547" t="s">
        <v>709</v>
      </c>
      <c r="BN1190" s="547" t="s">
        <v>709</v>
      </c>
      <c r="BO1190" s="547" t="s">
        <v>709</v>
      </c>
      <c r="BP1190" s="547" t="s">
        <v>709</v>
      </c>
      <c r="BQ1190" s="547" t="s">
        <v>709</v>
      </c>
      <c r="BR1190" s="547" t="s">
        <v>709</v>
      </c>
      <c r="BS1190" s="549">
        <v>41</v>
      </c>
      <c r="BT1190" s="547" t="s">
        <v>745</v>
      </c>
      <c r="BU1190" s="547" t="s">
        <v>745</v>
      </c>
      <c r="BV1190" s="547" t="s">
        <v>745</v>
      </c>
      <c r="BW1190" s="547" t="s">
        <v>745</v>
      </c>
      <c r="BX1190" s="547" t="s">
        <v>745</v>
      </c>
      <c r="BY1190" s="547" t="s">
        <v>745</v>
      </c>
      <c r="BZ1190" s="547" t="s">
        <v>709</v>
      </c>
      <c r="CA1190" s="514"/>
      <c r="CB1190" s="547">
        <v>1188</v>
      </c>
      <c r="CC1190" s="1481" t="b">
        <v>1</v>
      </c>
      <c r="CD1190" s="879" t="str">
        <f>Table15[[#This Row],[Engineering Number]]&amp;Table15[[#This Row],[WO Number]]&amp;Table15[[#This Row],[Date Assigned to Designer]]&amp;Table15[[#This Row],[Date Completed]]</f>
        <v>SC2310314138994537845461</v>
      </c>
    </row>
    <row r="1191" spans="1:82" customFormat="1" ht="15" customHeight="1" x14ac:dyDescent="0.25">
      <c r="A1191">
        <v>2024</v>
      </c>
      <c r="B1191" s="8" t="s">
        <v>4</v>
      </c>
      <c r="C1191" s="8" t="s">
        <v>1099</v>
      </c>
      <c r="D1191" s="8" t="s">
        <v>1100</v>
      </c>
      <c r="E1191" s="8" t="s">
        <v>1101</v>
      </c>
      <c r="F1191" s="8" t="s">
        <v>1102</v>
      </c>
      <c r="G1191" s="8" t="s">
        <v>6391</v>
      </c>
      <c r="H1191" s="8" t="s">
        <v>59</v>
      </c>
      <c r="I1191" s="642">
        <v>45401</v>
      </c>
      <c r="J1191" s="18">
        <v>45492</v>
      </c>
      <c r="K1191" s="97">
        <v>45462</v>
      </c>
      <c r="L1191" s="16">
        <f>IF(ISTEXT(Table15[[#This Row],[Engineering Approved Design Date]]),Table15[[#This Row],[Date Completed]]-Table15[[#This Row],[Date Assigned to Designer]],Table15[[#This Row],[Engineering Approved Design Date]]-Table15[[#This Row],[Date Completed]])</f>
        <v>30</v>
      </c>
      <c r="M1191" s="642"/>
      <c r="N1191" s="642" t="s">
        <v>120</v>
      </c>
      <c r="O1191" s="1060">
        <v>45444</v>
      </c>
      <c r="P1191" s="1152" t="s">
        <v>739</v>
      </c>
      <c r="Q1191" s="340">
        <f>Table15[[#This Row],[Rate]]*Table15[[#This Row],[Construction Cost to Bill From]]</f>
        <v>12368.651000000002</v>
      </c>
      <c r="R1191" s="1026">
        <v>0.1</v>
      </c>
      <c r="S1191" s="538"/>
      <c r="T1191" s="538"/>
      <c r="U1191" s="87"/>
      <c r="V1191" s="858">
        <v>90</v>
      </c>
      <c r="W1191" s="437">
        <v>0</v>
      </c>
      <c r="X1191" s="538">
        <v>100367.72</v>
      </c>
      <c r="Y1191" s="551"/>
      <c r="Z1191" s="552">
        <v>23318.79</v>
      </c>
      <c r="AA1191" s="552">
        <f>SUM(Table15[[#This Row],[PCTS Investment Amount]:[PCTS Retirement Amount]])</f>
        <v>123686.51000000001</v>
      </c>
      <c r="AB1191" s="341">
        <v>45456</v>
      </c>
      <c r="AC1191" s="569" t="s">
        <v>709</v>
      </c>
      <c r="AD1191" s="1149" t="s">
        <v>29</v>
      </c>
      <c r="AE1191" s="568" t="s">
        <v>116</v>
      </c>
      <c r="AF1191" s="568" t="s">
        <v>116</v>
      </c>
      <c r="AG1191" s="569" t="s">
        <v>376</v>
      </c>
      <c r="AH1191" s="183">
        <v>45567</v>
      </c>
      <c r="AI1191" s="1028">
        <v>0</v>
      </c>
      <c r="AJ1191" s="1029">
        <v>2950</v>
      </c>
      <c r="AK1191" s="1029">
        <v>2942</v>
      </c>
      <c r="AL1191" s="1030">
        <f>SUM(Table15[[#This Row],[Nicor Initiated DBE]:[Staffing]])/(Table15[[#This Row],[Amount Invoiced]])</f>
        <v>0.47636561173890341</v>
      </c>
      <c r="AM1191" s="1522" t="s">
        <v>116</v>
      </c>
      <c r="AN1191" s="1523">
        <v>45475</v>
      </c>
      <c r="AO1191" s="1524">
        <v>11085612</v>
      </c>
      <c r="AP1191" s="1525">
        <v>101481.74</v>
      </c>
      <c r="AQ1191" s="1525"/>
      <c r="AR1191" s="1525">
        <v>23578.45</v>
      </c>
      <c r="AS1191" s="1525">
        <f>IF(Table15[[#This Row],[PCTS Approved]]="N",0,Table15[[#This Row],[Investment Amount (1'#'#'#'#'#)]]+Table15[[#This Row],[Retirement Amount (3'#'#'#'#'#)]])</f>
        <v>125060.19</v>
      </c>
      <c r="AT1191" s="1525">
        <f>IF(Table15[[#This Row],[Approved Construction Cost]]=0,0,Table15[[#This Row],[Approved Construction Cost]]-Table15[[#This Row],[Construction Cost to Bill From]])</f>
        <v>1373.679999999993</v>
      </c>
      <c r="AU1191" s="1525">
        <f>IFERROR(Table15[[#This Row],[Difference in Construction Cost]]*Table15[[#This Row],[Rate]],Table15[[#This Row],[Difference in Construction Cost]]*0.085)</f>
        <v>137.36799999999931</v>
      </c>
      <c r="AV1191" s="1525">
        <v>0</v>
      </c>
      <c r="AW1191" s="1526" t="s">
        <v>6400</v>
      </c>
      <c r="AX1191" s="1525">
        <f>Table15[[#This Row],[Reconcile Amount]]</f>
        <v>137.36799999999931</v>
      </c>
      <c r="AY1191" s="1518">
        <v>45901</v>
      </c>
      <c r="AZ1191" s="333">
        <v>147</v>
      </c>
      <c r="BA1191" s="1074" t="s">
        <v>1104</v>
      </c>
      <c r="BB1191" s="644" t="s">
        <v>1105</v>
      </c>
      <c r="BC1191" s="544" t="s">
        <v>115</v>
      </c>
      <c r="BD1191" s="554" t="s">
        <v>882</v>
      </c>
      <c r="BE1191" s="588" t="s">
        <v>1106</v>
      </c>
      <c r="BF1191" s="588" t="s">
        <v>115</v>
      </c>
      <c r="BG1191" s="588" t="s">
        <v>115</v>
      </c>
      <c r="BH1191" s="615" t="s">
        <v>1107</v>
      </c>
      <c r="BI1191" s="547" t="s">
        <v>709</v>
      </c>
      <c r="BJ1191" s="547" t="s">
        <v>709</v>
      </c>
      <c r="BK1191" s="547" t="s">
        <v>709</v>
      </c>
      <c r="BL1191" s="547" t="s">
        <v>116</v>
      </c>
      <c r="BM1191" s="547" t="s">
        <v>709</v>
      </c>
      <c r="BN1191" s="547" t="s">
        <v>709</v>
      </c>
      <c r="BO1191" s="547" t="s">
        <v>709</v>
      </c>
      <c r="BP1191" s="547" t="s">
        <v>709</v>
      </c>
      <c r="BQ1191" s="547" t="s">
        <v>709</v>
      </c>
      <c r="BR1191" s="547" t="s">
        <v>709</v>
      </c>
      <c r="BS1191" s="549">
        <v>90</v>
      </c>
      <c r="BT1191" s="547" t="s">
        <v>745</v>
      </c>
      <c r="BU1191" s="547" t="s">
        <v>745</v>
      </c>
      <c r="BV1191" s="547" t="s">
        <v>745</v>
      </c>
      <c r="BW1191" s="547" t="s">
        <v>745</v>
      </c>
      <c r="BX1191" s="547" t="s">
        <v>745</v>
      </c>
      <c r="BY1191" s="547" t="s">
        <v>745</v>
      </c>
      <c r="BZ1191" s="547" t="s">
        <v>709</v>
      </c>
      <c r="CA1191" s="483"/>
      <c r="CB1191" s="547">
        <v>1189</v>
      </c>
      <c r="CC1191" s="1481" t="b">
        <v>1</v>
      </c>
      <c r="CD1191" s="879" t="str">
        <f>Table15[[#This Row],[Engineering Number]]&amp;Table15[[#This Row],[WO Number]]&amp;Table15[[#This Row],[Date Assigned to Designer]]&amp;Table15[[#This Row],[Date Completed]]</f>
        <v>M1584412139174540145462</v>
      </c>
    </row>
    <row r="1192" spans="1:82" customFormat="1" ht="15" customHeight="1" x14ac:dyDescent="0.25">
      <c r="A1192">
        <v>2024</v>
      </c>
      <c r="B1192" s="8" t="s">
        <v>771</v>
      </c>
      <c r="C1192" s="8" t="s">
        <v>68</v>
      </c>
      <c r="D1192" s="8">
        <v>120405</v>
      </c>
      <c r="E1192" s="8" t="s">
        <v>70</v>
      </c>
      <c r="F1192" s="8" t="s">
        <v>1757</v>
      </c>
      <c r="G1192" s="8" t="s">
        <v>36</v>
      </c>
      <c r="H1192" s="8" t="s">
        <v>4045</v>
      </c>
      <c r="I1192" s="642">
        <v>45461</v>
      </c>
      <c r="J1192" s="18" t="s">
        <v>2958</v>
      </c>
      <c r="K1192" s="97">
        <v>45462</v>
      </c>
      <c r="L1192" s="16">
        <f>IF(ISTEXT(Table15[[#This Row],[Engineering Approved Design Date]]),Table15[[#This Row],[Date Completed]]-Table15[[#This Row],[Date Assigned to Designer]],Table15[[#This Row],[Engineering Approved Design Date]]-Table15[[#This Row],[Date Completed]])</f>
        <v>1</v>
      </c>
      <c r="M1192" s="642" t="s">
        <v>6393</v>
      </c>
      <c r="N1192" s="99" t="s">
        <v>120</v>
      </c>
      <c r="O1192" s="1025">
        <v>45504</v>
      </c>
      <c r="P1192" s="21" t="s">
        <v>120</v>
      </c>
      <c r="Q1192" s="340">
        <f>U1192</f>
        <v>1285</v>
      </c>
      <c r="R1192" s="1026" t="s">
        <v>1922</v>
      </c>
      <c r="S1192" s="538">
        <v>0</v>
      </c>
      <c r="T1192" s="538">
        <v>0</v>
      </c>
      <c r="U1192" s="87">
        <v>1285</v>
      </c>
      <c r="V1192" s="858"/>
      <c r="W1192" s="437"/>
      <c r="X1192" s="538"/>
      <c r="Y1192" s="551"/>
      <c r="Z1192" s="538"/>
      <c r="AA1192" s="552"/>
      <c r="AB1192" s="341" t="s">
        <v>29</v>
      </c>
      <c r="AC1192" s="569"/>
      <c r="AD1192" s="1149" t="s">
        <v>29</v>
      </c>
      <c r="AE1192" s="569"/>
      <c r="AF1192" s="569"/>
      <c r="AG1192" s="569"/>
      <c r="AH1192" s="536"/>
      <c r="AI1192" s="1028" t="s">
        <v>29</v>
      </c>
      <c r="AJ1192" s="1029" t="s">
        <v>29</v>
      </c>
      <c r="AK1192" s="1029" t="s">
        <v>29</v>
      </c>
      <c r="AL1192" s="1030" t="s">
        <v>29</v>
      </c>
      <c r="AM1192" s="542" t="s">
        <v>709</v>
      </c>
      <c r="AN1192" s="924"/>
      <c r="AO1192" s="925"/>
      <c r="AP1192" s="926"/>
      <c r="AQ1192" s="926"/>
      <c r="AR1192" s="926"/>
      <c r="AS1192" s="926"/>
      <c r="AT1192" s="926"/>
      <c r="AU1192" s="926"/>
      <c r="AV1192" s="926"/>
      <c r="AW1192" s="927"/>
      <c r="AX1192" s="926"/>
      <c r="AY1192" s="1538" t="s">
        <v>29</v>
      </c>
      <c r="AZ1192" s="1530"/>
      <c r="BA1192" s="1031" t="s">
        <v>6394</v>
      </c>
      <c r="BB1192" s="644"/>
      <c r="BC1192" s="544"/>
      <c r="BD1192" s="544"/>
      <c r="BE1192" s="544"/>
      <c r="BF1192" s="544"/>
      <c r="BG1192" s="544"/>
      <c r="BH1192" s="741" t="s">
        <v>6395</v>
      </c>
      <c r="BI1192" s="1032"/>
      <c r="BJ1192" s="1032"/>
      <c r="BK1192" s="1032"/>
      <c r="BL1192" s="1032"/>
      <c r="BM1192" s="1032"/>
      <c r="BN1192" s="1032"/>
      <c r="BO1192" s="1032"/>
      <c r="BP1192" s="1032"/>
      <c r="BQ1192" s="547"/>
      <c r="BR1192" s="547"/>
      <c r="BS1192" s="547"/>
      <c r="BT1192" s="547"/>
      <c r="BU1192" s="547"/>
      <c r="BV1192" s="547"/>
      <c r="BW1192" s="547"/>
      <c r="BX1192" s="547"/>
      <c r="BY1192" s="547"/>
      <c r="BZ1192" s="547"/>
      <c r="CA1192" s="485"/>
      <c r="CB1192" s="547">
        <v>1191</v>
      </c>
      <c r="CC1192" s="1481" t="b">
        <v>1</v>
      </c>
      <c r="CD1192" s="879" t="str">
        <f>Table15[[#This Row],[Engineering Number]]&amp;Table15[[#This Row],[WO Number]]&amp;Table15[[#This Row],[Date Assigned to Designer]]&amp;Table15[[#This Row],[Date Completed]]</f>
        <v>BS2291204054546145462</v>
      </c>
    </row>
    <row r="1193" spans="1:82" customFormat="1" ht="15" customHeight="1" x14ac:dyDescent="0.25">
      <c r="A1193">
        <v>2024</v>
      </c>
      <c r="B1193" s="8" t="s">
        <v>4</v>
      </c>
      <c r="C1193" s="8" t="s">
        <v>414</v>
      </c>
      <c r="D1193" s="8">
        <v>1212526</v>
      </c>
      <c r="E1193" s="8" t="s">
        <v>415</v>
      </c>
      <c r="F1193" s="8" t="s">
        <v>784</v>
      </c>
      <c r="G1193" s="8" t="s">
        <v>25</v>
      </c>
      <c r="H1193" s="8" t="s">
        <v>4189</v>
      </c>
      <c r="I1193" s="18">
        <v>45457</v>
      </c>
      <c r="J1193" s="175" t="s">
        <v>2052</v>
      </c>
      <c r="K1193" s="97">
        <v>45462</v>
      </c>
      <c r="L1193" s="16">
        <f>IF(ISTEXT(Table15[[#This Row],[Engineering Approved Design Date]]),Table15[[#This Row],[Date Completed]]-Table15[[#This Row],[Date Assigned to Designer]],Table15[[#This Row],[Engineering Approved Design Date]]-Table15[[#This Row],[Date Completed]])</f>
        <v>5</v>
      </c>
      <c r="M1193" s="642" t="s">
        <v>6397</v>
      </c>
      <c r="N1193" s="99" t="s">
        <v>120</v>
      </c>
      <c r="O1193" s="1060">
        <v>45504</v>
      </c>
      <c r="P1193" s="1152" t="s">
        <v>739</v>
      </c>
      <c r="Q1193" s="1061">
        <f>Table15[[#This Row],[Shactee Effort]]+Table15[[#This Row],[KH Hourly Effort]]</f>
        <v>2640</v>
      </c>
      <c r="R1193" s="1026" t="s">
        <v>1922</v>
      </c>
      <c r="S1193" s="538">
        <v>0</v>
      </c>
      <c r="T1193" s="538">
        <v>0</v>
      </c>
      <c r="U1193" s="87">
        <v>2640</v>
      </c>
      <c r="V1193" s="857"/>
      <c r="W1193" s="440"/>
      <c r="X1193" s="538"/>
      <c r="Y1193" s="551"/>
      <c r="Z1193" s="538"/>
      <c r="AA1193" s="552"/>
      <c r="AB1193" s="341" t="s">
        <v>29</v>
      </c>
      <c r="AC1193" s="569" t="s">
        <v>29</v>
      </c>
      <c r="AD1193" s="1149" t="s">
        <v>29</v>
      </c>
      <c r="AE1193" s="569" t="s">
        <v>116</v>
      </c>
      <c r="AF1193" s="568" t="s">
        <v>29</v>
      </c>
      <c r="AG1193" s="569" t="s">
        <v>29</v>
      </c>
      <c r="AH1193" s="183">
        <v>45475</v>
      </c>
      <c r="AI1193" s="1028" t="s">
        <v>29</v>
      </c>
      <c r="AJ1193" s="1029" t="s">
        <v>29</v>
      </c>
      <c r="AK1193" s="1029" t="s">
        <v>29</v>
      </c>
      <c r="AL1193" s="1030" t="s">
        <v>29</v>
      </c>
      <c r="AM1193" s="542" t="s">
        <v>709</v>
      </c>
      <c r="AN1193" s="924"/>
      <c r="AO1193" s="925"/>
      <c r="AP1193" s="926"/>
      <c r="AQ1193" s="926"/>
      <c r="AR1193" s="926"/>
      <c r="AS1193" s="926"/>
      <c r="AT1193" s="926"/>
      <c r="AU1193" s="926"/>
      <c r="AV1193" s="926"/>
      <c r="AW1193" s="927"/>
      <c r="AX1193" s="926"/>
      <c r="AY1193" s="1538" t="s">
        <v>29</v>
      </c>
      <c r="AZ1193" s="1530"/>
      <c r="BA1193" s="1098" t="s">
        <v>5156</v>
      </c>
      <c r="BB1193" s="644" t="s">
        <v>116</v>
      </c>
      <c r="BC1193" s="544" t="s">
        <v>116</v>
      </c>
      <c r="BD1193" s="544" t="s">
        <v>709</v>
      </c>
      <c r="BE1193" s="559" t="s">
        <v>1622</v>
      </c>
      <c r="BF1193" s="554" t="s">
        <v>709</v>
      </c>
      <c r="BG1193" s="548" t="s">
        <v>709</v>
      </c>
      <c r="BH1193" s="615" t="s">
        <v>6398</v>
      </c>
      <c r="BI1193" s="547" t="s">
        <v>709</v>
      </c>
      <c r="BJ1193" s="547" t="s">
        <v>709</v>
      </c>
      <c r="BK1193" s="547" t="s">
        <v>709</v>
      </c>
      <c r="BL1193" s="547" t="s">
        <v>116</v>
      </c>
      <c r="BM1193" s="547" t="s">
        <v>709</v>
      </c>
      <c r="BN1193" s="547" t="s">
        <v>709</v>
      </c>
      <c r="BO1193" s="547" t="s">
        <v>709</v>
      </c>
      <c r="BP1193" s="547" t="s">
        <v>116</v>
      </c>
      <c r="BQ1193" s="547" t="s">
        <v>116</v>
      </c>
      <c r="BR1193" s="547" t="s">
        <v>709</v>
      </c>
      <c r="BS1193" s="547" t="s">
        <v>116</v>
      </c>
      <c r="BT1193" s="547" t="s">
        <v>709</v>
      </c>
      <c r="BU1193" s="547" t="s">
        <v>709</v>
      </c>
      <c r="BV1193" s="547" t="s">
        <v>709</v>
      </c>
      <c r="BW1193" s="547" t="s">
        <v>709</v>
      </c>
      <c r="BX1193" s="547" t="s">
        <v>709</v>
      </c>
      <c r="BY1193" s="547" t="s">
        <v>709</v>
      </c>
      <c r="BZ1193" s="547" t="s">
        <v>709</v>
      </c>
      <c r="CA1193" s="483"/>
      <c r="CB1193" s="547">
        <v>1190</v>
      </c>
      <c r="CC1193" s="1481" t="b">
        <v>1</v>
      </c>
      <c r="CD1193" s="879" t="str">
        <f>Table15[[#This Row],[Engineering Number]]&amp;Table15[[#This Row],[WO Number]]&amp;Table15[[#This Row],[Date Assigned to Designer]]&amp;Table15[[#This Row],[Date Completed]]</f>
        <v>M1419412125264545745462</v>
      </c>
    </row>
    <row r="1194" spans="1:82" customFormat="1" ht="15" customHeight="1" x14ac:dyDescent="0.25">
      <c r="A1194">
        <v>2024</v>
      </c>
      <c r="B1194" s="8" t="s">
        <v>4</v>
      </c>
      <c r="C1194" s="8" t="s">
        <v>6402</v>
      </c>
      <c r="D1194" s="8" t="s">
        <v>6403</v>
      </c>
      <c r="E1194" s="8" t="s">
        <v>3528</v>
      </c>
      <c r="F1194" s="8" t="s">
        <v>784</v>
      </c>
      <c r="G1194" s="8" t="s">
        <v>25</v>
      </c>
      <c r="H1194" s="647" t="s">
        <v>2127</v>
      </c>
      <c r="I1194" s="642">
        <v>45163</v>
      </c>
      <c r="J1194" s="18">
        <v>45520</v>
      </c>
      <c r="K1194" s="97">
        <v>45468</v>
      </c>
      <c r="L1194" s="16">
        <f>IF(ISTEXT(Table15[[#This Row],[Engineering Approved Design Date]]),Table15[[#This Row],[Date Completed]]-Table15[[#This Row],[Date Assigned to Designer]],Table15[[#This Row],[Engineering Approved Design Date]]-Table15[[#This Row],[Date Completed]])</f>
        <v>52</v>
      </c>
      <c r="M1194" s="642" t="s">
        <v>6404</v>
      </c>
      <c r="N1194" s="642" t="s">
        <v>120</v>
      </c>
      <c r="O1194" s="1060">
        <v>45504</v>
      </c>
      <c r="P1194" s="1152" t="s">
        <v>739</v>
      </c>
      <c r="Q1194" s="87" t="s">
        <v>115</v>
      </c>
      <c r="R1194" s="1026" t="s">
        <v>115</v>
      </c>
      <c r="S1194" s="538" t="s">
        <v>915</v>
      </c>
      <c r="T1194" s="538" t="s">
        <v>915</v>
      </c>
      <c r="U1194" s="87" t="s">
        <v>915</v>
      </c>
      <c r="V1194" s="857"/>
      <c r="W1194" s="440"/>
      <c r="X1194" s="550"/>
      <c r="Y1194" s="550"/>
      <c r="Z1194" s="550"/>
      <c r="AA1194" s="552"/>
      <c r="AB1194" s="341" t="s">
        <v>29</v>
      </c>
      <c r="AC1194" s="569" t="s">
        <v>29</v>
      </c>
      <c r="AD1194" s="1157" t="s">
        <v>29</v>
      </c>
      <c r="AE1194" s="581"/>
      <c r="AF1194" s="581"/>
      <c r="AG1194" s="569"/>
      <c r="AH1194" s="573" t="s">
        <v>29</v>
      </c>
      <c r="AI1194" s="1028" t="s">
        <v>29</v>
      </c>
      <c r="AJ1194" s="1029" t="s">
        <v>29</v>
      </c>
      <c r="AK1194" s="1029" t="s">
        <v>29</v>
      </c>
      <c r="AL1194" s="1030" t="s">
        <v>29</v>
      </c>
      <c r="AM1194" s="542" t="s">
        <v>709</v>
      </c>
      <c r="AN1194" s="924"/>
      <c r="AO1194" s="925"/>
      <c r="AP1194" s="926"/>
      <c r="AQ1194" s="926"/>
      <c r="AR1194" s="926"/>
      <c r="AS1194" s="926"/>
      <c r="AT1194" s="926"/>
      <c r="AU1194" s="926"/>
      <c r="AV1194" s="926"/>
      <c r="AW1194" s="927"/>
      <c r="AX1194" s="926"/>
      <c r="AY1194" s="1538" t="s">
        <v>29</v>
      </c>
      <c r="AZ1194" s="1530"/>
      <c r="BA1194" s="1031" t="s">
        <v>6405</v>
      </c>
      <c r="BB1194" s="644" t="s">
        <v>4666</v>
      </c>
      <c r="BC1194" s="544" t="s">
        <v>709</v>
      </c>
      <c r="BD1194" s="544" t="s">
        <v>1066</v>
      </c>
      <c r="BE1194" s="544" t="s">
        <v>6406</v>
      </c>
      <c r="BF1194" s="544" t="s">
        <v>6407</v>
      </c>
      <c r="BG1194" s="544" t="s">
        <v>709</v>
      </c>
      <c r="BH1194" s="741" t="s">
        <v>29</v>
      </c>
      <c r="BI1194" s="547"/>
      <c r="BJ1194" s="547"/>
      <c r="BK1194" s="547"/>
      <c r="BL1194" s="547"/>
      <c r="BM1194" s="547"/>
      <c r="BN1194" s="547"/>
      <c r="BO1194" s="547"/>
      <c r="BP1194" s="547"/>
      <c r="BQ1194" s="547"/>
      <c r="BR1194" s="547"/>
      <c r="BS1194" s="547"/>
      <c r="BT1194" s="547"/>
      <c r="BU1194" s="547"/>
      <c r="BV1194" s="547"/>
      <c r="BW1194" s="547"/>
      <c r="BX1194" s="547"/>
      <c r="BY1194" s="547"/>
      <c r="BZ1194" s="547" t="s">
        <v>709</v>
      </c>
      <c r="CA1194" s="483" t="s">
        <v>915</v>
      </c>
      <c r="CB1194" s="547">
        <v>1192</v>
      </c>
      <c r="CC1194" s="1481" t="b">
        <v>1</v>
      </c>
      <c r="CD1194" s="879" t="str">
        <f>Table15[[#This Row],[Engineering Number]]&amp;Table15[[#This Row],[WO Number]]&amp;Table15[[#This Row],[Date Assigned to Designer]]&amp;Table15[[#This Row],[Date Completed]]</f>
        <v>N17815-112140204516345468</v>
      </c>
    </row>
    <row r="1195" spans="1:82" customFormat="1" ht="15" customHeight="1" x14ac:dyDescent="0.25">
      <c r="A1195">
        <v>2024</v>
      </c>
      <c r="B1195" s="8" t="s">
        <v>771</v>
      </c>
      <c r="C1195" s="8" t="s">
        <v>447</v>
      </c>
      <c r="D1195" s="8">
        <v>1212254</v>
      </c>
      <c r="E1195" s="8" t="s">
        <v>327</v>
      </c>
      <c r="F1195" s="8" t="s">
        <v>784</v>
      </c>
      <c r="G1195" s="8" t="s">
        <v>36</v>
      </c>
      <c r="H1195" s="8" t="s">
        <v>3178</v>
      </c>
      <c r="I1195" s="642">
        <v>45440</v>
      </c>
      <c r="J1195" s="175" t="s">
        <v>2052</v>
      </c>
      <c r="K1195" s="97">
        <v>45469</v>
      </c>
      <c r="L1195" s="16">
        <f>IF(ISTEXT(Table15[[#This Row],[Engineering Approved Design Date]]),Table15[[#This Row],[Date Completed]]-Table15[[#This Row],[Date Assigned to Designer]],Table15[[#This Row],[Engineering Approved Design Date]]-Table15[[#This Row],[Date Completed]])</f>
        <v>29</v>
      </c>
      <c r="M1195" s="16" t="s">
        <v>6409</v>
      </c>
      <c r="N1195" s="99" t="s">
        <v>120</v>
      </c>
      <c r="O1195" s="1060">
        <v>45504</v>
      </c>
      <c r="P1195" s="1152" t="s">
        <v>120</v>
      </c>
      <c r="Q1195" s="1061">
        <f>Table15[[#This Row],[Shactee Effort]]+Table15[[#This Row],[KH Hourly Effort]]</f>
        <v>9070</v>
      </c>
      <c r="R1195" s="1039" t="s">
        <v>1922</v>
      </c>
      <c r="S1195" s="538">
        <v>0</v>
      </c>
      <c r="T1195" s="538">
        <v>0</v>
      </c>
      <c r="U1195" s="1078">
        <v>9070</v>
      </c>
      <c r="V1195" s="857"/>
      <c r="W1195" s="440"/>
      <c r="X1195" s="538"/>
      <c r="Y1195" s="551"/>
      <c r="Z1195" s="538"/>
      <c r="AA1195" s="552"/>
      <c r="AB1195" s="341" t="s">
        <v>29</v>
      </c>
      <c r="AC1195" s="569" t="s">
        <v>29</v>
      </c>
      <c r="AD1195" s="1149" t="s">
        <v>116</v>
      </c>
      <c r="AE1195" s="569" t="s">
        <v>116</v>
      </c>
      <c r="AF1195" s="569" t="s">
        <v>116</v>
      </c>
      <c r="AG1195" s="569" t="s">
        <v>29</v>
      </c>
      <c r="AH1195" s="536">
        <v>45707</v>
      </c>
      <c r="AI1195" s="1028" t="s">
        <v>29</v>
      </c>
      <c r="AJ1195" s="1029" t="s">
        <v>29</v>
      </c>
      <c r="AK1195" s="1029" t="s">
        <v>29</v>
      </c>
      <c r="AL1195" s="1030" t="s">
        <v>29</v>
      </c>
      <c r="AM1195" s="542" t="s">
        <v>709</v>
      </c>
      <c r="AN1195" s="924"/>
      <c r="AO1195" s="925"/>
      <c r="AP1195" s="926"/>
      <c r="AQ1195" s="926"/>
      <c r="AR1195" s="926"/>
      <c r="AS1195" s="926"/>
      <c r="AT1195" s="926"/>
      <c r="AU1195" s="926"/>
      <c r="AV1195" s="926"/>
      <c r="AW1195" s="927"/>
      <c r="AX1195" s="926"/>
      <c r="AY1195" s="1528" t="s">
        <v>29</v>
      </c>
      <c r="AZ1195" s="1530"/>
      <c r="BA1195" s="1031">
        <v>4</v>
      </c>
      <c r="BB1195" s="653" t="s">
        <v>6410</v>
      </c>
      <c r="BC1195" s="544"/>
      <c r="BD1195" s="544"/>
      <c r="BE1195" s="544"/>
      <c r="BF1195" s="544"/>
      <c r="BG1195" s="544"/>
      <c r="BH1195" s="749" t="s">
        <v>6411</v>
      </c>
      <c r="BI1195" s="549" t="s">
        <v>709</v>
      </c>
      <c r="BJ1195" s="549" t="s">
        <v>709</v>
      </c>
      <c r="BK1195" s="549" t="s">
        <v>709</v>
      </c>
      <c r="BL1195" s="549" t="s">
        <v>116</v>
      </c>
      <c r="BM1195" s="549" t="s">
        <v>709</v>
      </c>
      <c r="BN1195" s="549" t="s">
        <v>709</v>
      </c>
      <c r="BO1195" s="549" t="s">
        <v>709</v>
      </c>
      <c r="BP1195" s="549">
        <v>1309</v>
      </c>
      <c r="BQ1195" s="549" t="s">
        <v>709</v>
      </c>
      <c r="BR1195" s="549" t="s">
        <v>709</v>
      </c>
      <c r="BS1195" s="549">
        <v>29</v>
      </c>
      <c r="BT1195" s="549" t="s">
        <v>709</v>
      </c>
      <c r="BU1195" s="549" t="s">
        <v>709</v>
      </c>
      <c r="BV1195" s="549" t="s">
        <v>745</v>
      </c>
      <c r="BW1195" s="549" t="s">
        <v>709</v>
      </c>
      <c r="BX1195" s="549" t="s">
        <v>709</v>
      </c>
      <c r="BY1195" s="549" t="s">
        <v>745</v>
      </c>
      <c r="BZ1195" s="547" t="s">
        <v>709</v>
      </c>
      <c r="CA1195" s="484"/>
      <c r="CB1195" s="547">
        <v>1194</v>
      </c>
      <c r="CC1195" s="1481" t="b">
        <v>1</v>
      </c>
      <c r="CD1195" s="879" t="str">
        <f>Table15[[#This Row],[Engineering Number]]&amp;Table15[[#This Row],[WO Number]]&amp;Table15[[#This Row],[Date Assigned to Designer]]&amp;Table15[[#This Row],[Date Completed]]</f>
        <v>BS11112122544544045469</v>
      </c>
    </row>
    <row r="1196" spans="1:82" customFormat="1" ht="15" customHeight="1" x14ac:dyDescent="0.25">
      <c r="A1196">
        <v>2024</v>
      </c>
      <c r="B1196" s="8" t="s">
        <v>4</v>
      </c>
      <c r="C1196" s="8" t="s">
        <v>1843</v>
      </c>
      <c r="D1196" s="8" t="s">
        <v>1844</v>
      </c>
      <c r="E1196" s="8" t="s">
        <v>1845</v>
      </c>
      <c r="F1196" s="8" t="s">
        <v>1102</v>
      </c>
      <c r="G1196" s="8" t="s">
        <v>27</v>
      </c>
      <c r="H1196" s="8" t="s">
        <v>59</v>
      </c>
      <c r="I1196" s="642">
        <v>45328</v>
      </c>
      <c r="J1196" s="18">
        <v>45474</v>
      </c>
      <c r="K1196" s="97">
        <v>45469</v>
      </c>
      <c r="L1196" s="16">
        <f>IF(ISTEXT(Table15[[#This Row],[Engineering Approved Design Date]]),Table15[[#This Row],[Date Completed]]-Table15[[#This Row],[Date Assigned to Designer]],Table15[[#This Row],[Engineering Approved Design Date]]-Table15[[#This Row],[Date Completed]])</f>
        <v>5</v>
      </c>
      <c r="M1196" s="642"/>
      <c r="N1196" s="99" t="s">
        <v>120</v>
      </c>
      <c r="O1196" s="1060">
        <v>45504</v>
      </c>
      <c r="P1196" s="1152" t="s">
        <v>739</v>
      </c>
      <c r="Q1196" s="340">
        <f>Table15[[#This Row],[Rate]]*Table15[[#This Row],[Construction Cost to Bill From]]</f>
        <v>96673.374000000011</v>
      </c>
      <c r="R1196" s="1026">
        <v>0.1</v>
      </c>
      <c r="S1196" s="538"/>
      <c r="T1196" s="538"/>
      <c r="U1196" s="87"/>
      <c r="V1196" s="858">
        <v>712</v>
      </c>
      <c r="W1196" s="437">
        <v>0</v>
      </c>
      <c r="X1196" s="538">
        <v>881604.73</v>
      </c>
      <c r="Y1196" s="551"/>
      <c r="Z1196" s="552">
        <v>85129.01</v>
      </c>
      <c r="AA1196" s="552">
        <f>SUM(Table15[[#This Row],[PCTS Investment Amount]:[PCTS Retirement Amount]])</f>
        <v>966733.74</v>
      </c>
      <c r="AB1196" s="341">
        <v>45456</v>
      </c>
      <c r="AC1196" s="569" t="s">
        <v>116</v>
      </c>
      <c r="AD1196" s="1149" t="s">
        <v>116</v>
      </c>
      <c r="AE1196" s="568" t="s">
        <v>116</v>
      </c>
      <c r="AF1196" s="568" t="s">
        <v>116</v>
      </c>
      <c r="AG1196" s="568" t="s">
        <v>116</v>
      </c>
      <c r="AH1196" s="183">
        <v>45567</v>
      </c>
      <c r="AI1196" s="1028">
        <v>37330</v>
      </c>
      <c r="AJ1196" s="1029">
        <v>8730</v>
      </c>
      <c r="AK1196" s="1029">
        <v>0</v>
      </c>
      <c r="AL1196" s="1030">
        <f>SUM(Table15[[#This Row],[Nicor Initiated DBE]:[Staffing]])/(Table15[[#This Row],[Amount Invoiced]])</f>
        <v>0.4764496995832585</v>
      </c>
      <c r="AM1196" s="1522" t="s">
        <v>116</v>
      </c>
      <c r="AN1196" s="1523">
        <v>45581</v>
      </c>
      <c r="AO1196" s="1524">
        <v>11091791</v>
      </c>
      <c r="AP1196" s="1525">
        <v>977551.39</v>
      </c>
      <c r="AQ1196" s="1525"/>
      <c r="AR1196" s="1525">
        <v>86344.18</v>
      </c>
      <c r="AS1196" s="1525">
        <f>IF(Table15[[#This Row],[PCTS Approved]]="N",0,Table15[[#This Row],[Investment Amount (1'#'#'#'#'#)]]+Table15[[#This Row],[Retirement Amount (3'#'#'#'#'#)]])</f>
        <v>1063895.57</v>
      </c>
      <c r="AT1196" s="1525">
        <f>IF(Table15[[#This Row],[Approved Construction Cost]]=0,0,Table15[[#This Row],[Approved Construction Cost]]-Table15[[#This Row],[Construction Cost to Bill From]])</f>
        <v>97161.830000000075</v>
      </c>
      <c r="AU1196" s="1525">
        <f>IFERROR(Table15[[#This Row],[Difference in Construction Cost]]*Table15[[#This Row],[Rate]],Table15[[#This Row],[Difference in Construction Cost]]*0.085)</f>
        <v>9716.1830000000082</v>
      </c>
      <c r="AV1196" s="1525">
        <v>0</v>
      </c>
      <c r="AW1196" s="1526" t="s">
        <v>6413</v>
      </c>
      <c r="AX1196" s="1525">
        <f>Table15[[#This Row],[Reconcile Amount]]</f>
        <v>9716.1830000000082</v>
      </c>
      <c r="AY1196" s="1518">
        <v>45901</v>
      </c>
      <c r="AZ1196" s="333">
        <v>148</v>
      </c>
      <c r="BA1196" s="1031" t="s">
        <v>1846</v>
      </c>
      <c r="BB1196" s="644" t="s">
        <v>870</v>
      </c>
      <c r="BC1196" s="559" t="s">
        <v>116</v>
      </c>
      <c r="BD1196" s="559" t="s">
        <v>882</v>
      </c>
      <c r="BE1196" s="554" t="s">
        <v>1847</v>
      </c>
      <c r="BF1196" s="588" t="s">
        <v>115</v>
      </c>
      <c r="BG1196" s="588" t="s">
        <v>115</v>
      </c>
      <c r="BH1196" s="615" t="s">
        <v>1848</v>
      </c>
      <c r="BI1196" s="547" t="s">
        <v>709</v>
      </c>
      <c r="BJ1196" s="547" t="s">
        <v>709</v>
      </c>
      <c r="BK1196" s="547" t="s">
        <v>116</v>
      </c>
      <c r="BL1196" s="547" t="s">
        <v>116</v>
      </c>
      <c r="BM1196" s="547" t="s">
        <v>709</v>
      </c>
      <c r="BN1196" s="547" t="s">
        <v>709</v>
      </c>
      <c r="BO1196" s="547" t="s">
        <v>709</v>
      </c>
      <c r="BP1196" s="626">
        <v>328</v>
      </c>
      <c r="BQ1196" s="626">
        <v>167</v>
      </c>
      <c r="BR1196" s="549">
        <v>221</v>
      </c>
      <c r="BS1196" s="549" t="s">
        <v>709</v>
      </c>
      <c r="BT1196" s="547" t="s">
        <v>745</v>
      </c>
      <c r="BU1196" s="547" t="s">
        <v>745</v>
      </c>
      <c r="BV1196" s="547" t="s">
        <v>745</v>
      </c>
      <c r="BW1196" s="547" t="s">
        <v>745</v>
      </c>
      <c r="BX1196" s="547" t="s">
        <v>745</v>
      </c>
      <c r="BY1196" s="547" t="s">
        <v>745</v>
      </c>
      <c r="BZ1196" s="547" t="s">
        <v>709</v>
      </c>
      <c r="CA1196" s="483"/>
      <c r="CB1196" s="547">
        <v>1193</v>
      </c>
      <c r="CC1196" s="1481" t="b">
        <v>1</v>
      </c>
      <c r="CD1196" s="879" t="str">
        <f>Table15[[#This Row],[Engineering Number]]&amp;Table15[[#This Row],[WO Number]]&amp;Table15[[#This Row],[Date Assigned to Designer]]&amp;Table15[[#This Row],[Date Completed]]</f>
        <v>M1563512138104532845469</v>
      </c>
    </row>
    <row r="1197" spans="1:82" customFormat="1" ht="15" customHeight="1" x14ac:dyDescent="0.25">
      <c r="A1197">
        <v>2024</v>
      </c>
      <c r="B1197" s="8" t="s">
        <v>4</v>
      </c>
      <c r="C1197" s="8" t="s">
        <v>1778</v>
      </c>
      <c r="D1197" s="8">
        <v>1213617</v>
      </c>
      <c r="E1197" s="8" t="s">
        <v>1780</v>
      </c>
      <c r="F1197" s="8" t="s">
        <v>1757</v>
      </c>
      <c r="G1197" s="8" t="s">
        <v>25</v>
      </c>
      <c r="H1197" s="8" t="s">
        <v>4189</v>
      </c>
      <c r="I1197" s="642">
        <v>45434</v>
      </c>
      <c r="J1197" s="175" t="s">
        <v>2052</v>
      </c>
      <c r="K1197" s="97">
        <v>45476</v>
      </c>
      <c r="L1197" s="16">
        <f>IF(ISTEXT(Table15[[#This Row],[Engineering Approved Design Date]]),Table15[[#This Row],[Date Completed]]-Table15[[#This Row],[Date Assigned to Designer]],Table15[[#This Row],[Engineering Approved Design Date]]-Table15[[#This Row],[Date Completed]])</f>
        <v>42</v>
      </c>
      <c r="M1197" s="16" t="s">
        <v>6415</v>
      </c>
      <c r="N1197" s="99" t="s">
        <v>120</v>
      </c>
      <c r="O1197" s="1060">
        <v>45504</v>
      </c>
      <c r="P1197" s="1152" t="s">
        <v>739</v>
      </c>
      <c r="Q1197" s="1061">
        <f>Table15[[#This Row],[Shactee Effort]]+Table15[[#This Row],[KH Hourly Effort]]</f>
        <v>19677.5</v>
      </c>
      <c r="R1197" s="1039" t="s">
        <v>1922</v>
      </c>
      <c r="S1197" s="538">
        <v>0</v>
      </c>
      <c r="T1197" s="538">
        <v>0</v>
      </c>
      <c r="U1197" s="1078">
        <v>19677.5</v>
      </c>
      <c r="V1197" s="857"/>
      <c r="W1197" s="440"/>
      <c r="X1197" s="538"/>
      <c r="Y1197" s="551"/>
      <c r="Z1197" s="538"/>
      <c r="AA1197" s="552"/>
      <c r="AB1197" s="341" t="s">
        <v>29</v>
      </c>
      <c r="AC1197" s="569" t="s">
        <v>29</v>
      </c>
      <c r="AD1197" s="1149" t="s">
        <v>29</v>
      </c>
      <c r="AE1197" s="569" t="s">
        <v>116</v>
      </c>
      <c r="AF1197" s="569" t="s">
        <v>29</v>
      </c>
      <c r="AG1197" s="569" t="s">
        <v>29</v>
      </c>
      <c r="AH1197" s="536">
        <v>45525</v>
      </c>
      <c r="AI1197" s="1028" t="s">
        <v>29</v>
      </c>
      <c r="AJ1197" s="1029" t="s">
        <v>29</v>
      </c>
      <c r="AK1197" s="1029" t="s">
        <v>29</v>
      </c>
      <c r="AL1197" s="1030" t="s">
        <v>29</v>
      </c>
      <c r="AM1197" s="542" t="s">
        <v>709</v>
      </c>
      <c r="AN1197" s="924"/>
      <c r="AO1197" s="925"/>
      <c r="AP1197" s="926"/>
      <c r="AQ1197" s="926"/>
      <c r="AR1197" s="926"/>
      <c r="AS1197" s="926"/>
      <c r="AT1197" s="926"/>
      <c r="AU1197" s="926"/>
      <c r="AV1197" s="926"/>
      <c r="AW1197" s="927"/>
      <c r="AX1197" s="926"/>
      <c r="AY1197" s="1538" t="s">
        <v>29</v>
      </c>
      <c r="AZ1197" s="1530"/>
      <c r="BA1197" s="653" t="s">
        <v>4919</v>
      </c>
      <c r="BB1197" s="543" t="s">
        <v>6416</v>
      </c>
      <c r="BC1197" s="544"/>
      <c r="BD1197" s="544"/>
      <c r="BE1197" s="544"/>
      <c r="BF1197" s="544"/>
      <c r="BG1197" s="544"/>
      <c r="BH1197" s="749" t="s">
        <v>6417</v>
      </c>
      <c r="BI1197" s="549" t="s">
        <v>709</v>
      </c>
      <c r="BJ1197" s="549" t="s">
        <v>709</v>
      </c>
      <c r="BK1197" s="549" t="s">
        <v>709</v>
      </c>
      <c r="BL1197" s="549" t="s">
        <v>116</v>
      </c>
      <c r="BM1197" s="549" t="s">
        <v>709</v>
      </c>
      <c r="BN1197" s="549" t="s">
        <v>709</v>
      </c>
      <c r="BO1197" s="549" t="s">
        <v>709</v>
      </c>
      <c r="BP1197" s="549" t="s">
        <v>709</v>
      </c>
      <c r="BQ1197" s="549" t="s">
        <v>709</v>
      </c>
      <c r="BR1197" s="549">
        <v>1732</v>
      </c>
      <c r="BS1197" s="549">
        <v>5904</v>
      </c>
      <c r="BT1197" s="549" t="s">
        <v>745</v>
      </c>
      <c r="BU1197" s="549" t="s">
        <v>709</v>
      </c>
      <c r="BV1197" s="549" t="s">
        <v>745</v>
      </c>
      <c r="BW1197" s="549" t="s">
        <v>709</v>
      </c>
      <c r="BX1197" s="547" t="s">
        <v>745</v>
      </c>
      <c r="BY1197" s="549" t="s">
        <v>745</v>
      </c>
      <c r="BZ1197" s="547" t="s">
        <v>709</v>
      </c>
      <c r="CA1197" s="484"/>
      <c r="CB1197" s="547">
        <v>1195</v>
      </c>
      <c r="CC1197" s="1481" t="b">
        <v>1</v>
      </c>
      <c r="CD1197" s="879" t="str">
        <f>Table15[[#This Row],[Engineering Number]]&amp;Table15[[#This Row],[WO Number]]&amp;Table15[[#This Row],[Date Assigned to Designer]]&amp;Table15[[#This Row],[Date Completed]]</f>
        <v>SC2105112136174543445476</v>
      </c>
    </row>
    <row r="1198" spans="1:82" customFormat="1" ht="15" customHeight="1" x14ac:dyDescent="0.25">
      <c r="A1198">
        <v>2024</v>
      </c>
      <c r="B1198" s="8" t="s">
        <v>1205</v>
      </c>
      <c r="C1198" s="8" t="s">
        <v>580</v>
      </c>
      <c r="D1198" s="8">
        <v>1212584</v>
      </c>
      <c r="E1198" s="8" t="s">
        <v>1529</v>
      </c>
      <c r="F1198" s="8" t="s">
        <v>784</v>
      </c>
      <c r="G1198" s="8" t="s">
        <v>36</v>
      </c>
      <c r="H1198" s="8" t="s">
        <v>4462</v>
      </c>
      <c r="I1198" s="642">
        <v>45481</v>
      </c>
      <c r="J1198" s="175" t="s">
        <v>2052</v>
      </c>
      <c r="K1198" s="97">
        <v>45481</v>
      </c>
      <c r="L1198" s="16">
        <f>IF(ISTEXT(Table15[[#This Row],[Engineering Approved Design Date]]),Table15[[#This Row],[Date Completed]]-Table15[[#This Row],[Date Assigned to Designer]],Table15[[#This Row],[Engineering Approved Design Date]]-Table15[[#This Row],[Date Completed]])</f>
        <v>0</v>
      </c>
      <c r="M1198" s="642" t="s">
        <v>6419</v>
      </c>
      <c r="N1198" s="99" t="s">
        <v>120</v>
      </c>
      <c r="O1198" s="1060">
        <v>45504</v>
      </c>
      <c r="P1198" s="1152" t="s">
        <v>120</v>
      </c>
      <c r="Q1198" s="1302" t="s">
        <v>115</v>
      </c>
      <c r="R1198" s="1127" t="s">
        <v>115</v>
      </c>
      <c r="S1198" s="538"/>
      <c r="T1198" s="538"/>
      <c r="U1198" s="87"/>
      <c r="V1198" s="857"/>
      <c r="W1198" s="440"/>
      <c r="X1198" s="538"/>
      <c r="Y1198" s="551"/>
      <c r="Z1198" s="538"/>
      <c r="AA1198" s="552"/>
      <c r="AB1198" s="341" t="s">
        <v>29</v>
      </c>
      <c r="AC1198" s="569" t="s">
        <v>709</v>
      </c>
      <c r="AD1198" s="1149" t="s">
        <v>29</v>
      </c>
      <c r="AE1198" s="568" t="s">
        <v>116</v>
      </c>
      <c r="AF1198" s="569"/>
      <c r="AG1198" s="569"/>
      <c r="AH1198" s="536"/>
      <c r="AI1198" s="1028" t="s">
        <v>29</v>
      </c>
      <c r="AJ1198" s="1029" t="s">
        <v>29</v>
      </c>
      <c r="AK1198" s="1029" t="s">
        <v>29</v>
      </c>
      <c r="AL1198" s="1030" t="s">
        <v>29</v>
      </c>
      <c r="AM1198" s="542" t="s">
        <v>709</v>
      </c>
      <c r="AN1198" s="924"/>
      <c r="AO1198" s="925"/>
      <c r="AP1198" s="926"/>
      <c r="AQ1198" s="926"/>
      <c r="AR1198" s="926"/>
      <c r="AS1198" s="926"/>
      <c r="AT1198" s="926"/>
      <c r="AU1198" s="926"/>
      <c r="AV1198" s="926"/>
      <c r="AW1198" s="927"/>
      <c r="AX1198" s="926"/>
      <c r="AY1198" s="1528" t="s">
        <v>29</v>
      </c>
      <c r="AZ1198" s="1530"/>
      <c r="BA1198" s="653">
        <v>2</v>
      </c>
      <c r="BB1198" s="644"/>
      <c r="BC1198" s="559"/>
      <c r="BD1198" s="554"/>
      <c r="BE1198" s="588"/>
      <c r="BF1198" s="588"/>
      <c r="BG1198" s="548"/>
      <c r="BH1198" s="615"/>
      <c r="BI1198" s="1032"/>
      <c r="BJ1198" s="1032"/>
      <c r="BK1198" s="1032"/>
      <c r="BL1198" s="1032"/>
      <c r="BM1198" s="1032"/>
      <c r="BN1198" s="1032"/>
      <c r="BO1198" s="1032"/>
      <c r="BP1198" s="1032"/>
      <c r="BQ1198" s="547"/>
      <c r="BR1198" s="547"/>
      <c r="BS1198" s="547"/>
      <c r="BT1198" s="547"/>
      <c r="BU1198" s="547"/>
      <c r="BV1198" s="547"/>
      <c r="BW1198" s="547"/>
      <c r="BX1198" s="547"/>
      <c r="BY1198" s="547"/>
      <c r="BZ1198" s="547"/>
      <c r="CA1198" s="485"/>
      <c r="CB1198" s="547">
        <v>1196</v>
      </c>
      <c r="CC1198" s="1481" t="b">
        <v>1</v>
      </c>
      <c r="CD1198" s="879" t="str">
        <f>Table15[[#This Row],[Engineering Number]]&amp;Table15[[#This Row],[WO Number]]&amp;Table15[[#This Row],[Date Assigned to Designer]]&amp;Table15[[#This Row],[Date Completed]]</f>
        <v>VW240/VW241-112125844548145481</v>
      </c>
    </row>
    <row r="1199" spans="1:82" customFormat="1" ht="15" customHeight="1" x14ac:dyDescent="0.25">
      <c r="A1199">
        <v>2024</v>
      </c>
      <c r="B1199" s="8" t="s">
        <v>771</v>
      </c>
      <c r="C1199" s="8" t="s">
        <v>1127</v>
      </c>
      <c r="D1199" s="8">
        <v>1212282</v>
      </c>
      <c r="E1199" s="8" t="s">
        <v>1129</v>
      </c>
      <c r="F1199" s="8" t="s">
        <v>784</v>
      </c>
      <c r="G1199" s="8" t="s">
        <v>32</v>
      </c>
      <c r="H1199" s="8" t="s">
        <v>4462</v>
      </c>
      <c r="I1199" s="642">
        <v>45440</v>
      </c>
      <c r="J1199" s="175" t="s">
        <v>2052</v>
      </c>
      <c r="K1199" s="97">
        <v>45482</v>
      </c>
      <c r="L1199" s="16">
        <f>IF(ISTEXT(Table15[[#This Row],[Engineering Approved Design Date]]),Table15[[#This Row],[Date Completed]]-Table15[[#This Row],[Date Assigned to Designer]],Table15[[#This Row],[Engineering Approved Design Date]]-Table15[[#This Row],[Date Completed]])</f>
        <v>42</v>
      </c>
      <c r="M1199" s="642" t="s">
        <v>6421</v>
      </c>
      <c r="N1199" s="99" t="s">
        <v>120</v>
      </c>
      <c r="O1199" s="1060">
        <v>45504</v>
      </c>
      <c r="P1199" s="1152" t="s">
        <v>120</v>
      </c>
      <c r="Q1199" s="1302" t="s">
        <v>115</v>
      </c>
      <c r="R1199" s="1127" t="s">
        <v>115</v>
      </c>
      <c r="S1199" s="538"/>
      <c r="T1199" s="538"/>
      <c r="U1199" s="87"/>
      <c r="V1199" s="857"/>
      <c r="W1199" s="440"/>
      <c r="X1199" s="538"/>
      <c r="Y1199" s="551"/>
      <c r="Z1199" s="538"/>
      <c r="AA1199" s="552"/>
      <c r="AB1199" s="341" t="s">
        <v>29</v>
      </c>
      <c r="AC1199" s="569"/>
      <c r="AD1199" s="1149"/>
      <c r="AE1199" s="568" t="s">
        <v>709</v>
      </c>
      <c r="AF1199" s="569"/>
      <c r="AG1199" s="569"/>
      <c r="AH1199" s="536"/>
      <c r="AI1199" s="1028" t="s">
        <v>29</v>
      </c>
      <c r="AJ1199" s="1029" t="s">
        <v>29</v>
      </c>
      <c r="AK1199" s="1029" t="s">
        <v>29</v>
      </c>
      <c r="AL1199" s="1030" t="s">
        <v>29</v>
      </c>
      <c r="AM1199" s="542" t="s">
        <v>709</v>
      </c>
      <c r="AN1199" s="924"/>
      <c r="AO1199" s="925"/>
      <c r="AP1199" s="926"/>
      <c r="AQ1199" s="926"/>
      <c r="AR1199" s="926"/>
      <c r="AS1199" s="926"/>
      <c r="AT1199" s="926"/>
      <c r="AU1199" s="926"/>
      <c r="AV1199" s="926"/>
      <c r="AW1199" s="927"/>
      <c r="AX1199" s="926"/>
      <c r="AY1199" s="1528" t="s">
        <v>29</v>
      </c>
      <c r="AZ1199" s="1530"/>
      <c r="BA1199" s="1031">
        <v>4</v>
      </c>
      <c r="BB1199" s="644" t="s">
        <v>6422</v>
      </c>
      <c r="BC1199" s="559"/>
      <c r="BD1199" s="554"/>
      <c r="BE1199" s="588"/>
      <c r="BF1199" s="588"/>
      <c r="BG1199" s="548"/>
      <c r="BH1199" s="615" t="s">
        <v>6423</v>
      </c>
      <c r="BI1199" s="1032"/>
      <c r="BJ1199" s="1032"/>
      <c r="BK1199" s="1032"/>
      <c r="BL1199" s="1032"/>
      <c r="BM1199" s="1032"/>
      <c r="BN1199" s="1032"/>
      <c r="BO1199" s="1032"/>
      <c r="BP1199" s="1032"/>
      <c r="BQ1199" s="547"/>
      <c r="BR1199" s="547"/>
      <c r="BS1199" s="547"/>
      <c r="BT1199" s="547"/>
      <c r="BU1199" s="547"/>
      <c r="BV1199" s="547"/>
      <c r="BW1199" s="547"/>
      <c r="BX1199" s="547"/>
      <c r="BY1199" s="547"/>
      <c r="BZ1199" s="547"/>
      <c r="CA1199" s="485"/>
      <c r="CB1199" s="547">
        <v>1197</v>
      </c>
      <c r="CC1199" s="1481" t="b">
        <v>1</v>
      </c>
      <c r="CD1199" s="879" t="str">
        <f>Table15[[#This Row],[Engineering Number]]&amp;Table15[[#This Row],[WO Number]]&amp;Table15[[#This Row],[Date Assigned to Designer]]&amp;Table15[[#This Row],[Date Completed]]</f>
        <v>BS30012122824544045482</v>
      </c>
    </row>
    <row r="1200" spans="1:82" customFormat="1" ht="15" customHeight="1" x14ac:dyDescent="0.25">
      <c r="A1200">
        <v>2024</v>
      </c>
      <c r="B1200" s="8" t="s">
        <v>4</v>
      </c>
      <c r="C1200" s="8" t="s">
        <v>1746</v>
      </c>
      <c r="D1200" s="8" t="s">
        <v>1747</v>
      </c>
      <c r="E1200" s="8" t="s">
        <v>1748</v>
      </c>
      <c r="F1200" s="8" t="s">
        <v>784</v>
      </c>
      <c r="G1200" s="8" t="s">
        <v>31</v>
      </c>
      <c r="H1200" s="8" t="s">
        <v>4001</v>
      </c>
      <c r="I1200" s="18">
        <v>45478</v>
      </c>
      <c r="J1200" s="175" t="s">
        <v>2052</v>
      </c>
      <c r="K1200" s="97">
        <v>45483</v>
      </c>
      <c r="L1200" s="16">
        <f>IF(ISTEXT(Table15[[#This Row],[Engineering Approved Design Date]]),Table15[[#This Row],[Date Completed]]-Table15[[#This Row],[Date Assigned to Designer]],Table15[[#This Row],[Engineering Approved Design Date]]-Table15[[#This Row],[Date Completed]])</f>
        <v>5</v>
      </c>
      <c r="M1200" s="642" t="s">
        <v>6425</v>
      </c>
      <c r="N1200" s="99" t="s">
        <v>120</v>
      </c>
      <c r="O1200" s="1060">
        <v>45504</v>
      </c>
      <c r="P1200" s="1152" t="s">
        <v>739</v>
      </c>
      <c r="Q1200" s="1061">
        <f>Table15[[#This Row],[Shactee Effort]]+Table15[[#This Row],[KH Hourly Effort]]</f>
        <v>3235</v>
      </c>
      <c r="R1200" s="1026" t="s">
        <v>1922</v>
      </c>
      <c r="S1200" s="538">
        <v>0</v>
      </c>
      <c r="T1200" s="538">
        <v>0</v>
      </c>
      <c r="U1200" s="87">
        <v>3235</v>
      </c>
      <c r="V1200" s="857"/>
      <c r="W1200" s="440"/>
      <c r="X1200" s="556"/>
      <c r="Y1200" s="551"/>
      <c r="Z1200" s="556"/>
      <c r="AA1200" s="552"/>
      <c r="AB1200" s="341" t="s">
        <v>29</v>
      </c>
      <c r="AC1200" s="569" t="s">
        <v>29</v>
      </c>
      <c r="AD1200" s="1149" t="s">
        <v>116</v>
      </c>
      <c r="AE1200" s="568" t="s">
        <v>116</v>
      </c>
      <c r="AF1200" s="568" t="s">
        <v>116</v>
      </c>
      <c r="AG1200" s="569" t="s">
        <v>29</v>
      </c>
      <c r="AH1200" s="183">
        <v>45567</v>
      </c>
      <c r="AI1200" s="1028" t="s">
        <v>29</v>
      </c>
      <c r="AJ1200" s="1029" t="s">
        <v>29</v>
      </c>
      <c r="AK1200" s="1029" t="s">
        <v>29</v>
      </c>
      <c r="AL1200" s="1030" t="s">
        <v>29</v>
      </c>
      <c r="AM1200" s="542" t="s">
        <v>709</v>
      </c>
      <c r="AN1200" s="924"/>
      <c r="AO1200" s="925"/>
      <c r="AP1200" s="926"/>
      <c r="AQ1200" s="926"/>
      <c r="AR1200" s="926"/>
      <c r="AS1200" s="926"/>
      <c r="AT1200" s="926"/>
      <c r="AU1200" s="926"/>
      <c r="AV1200" s="926"/>
      <c r="AW1200" s="927"/>
      <c r="AX1200" s="926"/>
      <c r="AY1200" s="1538" t="s">
        <v>29</v>
      </c>
      <c r="AZ1200" s="1530"/>
      <c r="BA1200" s="1068">
        <v>3</v>
      </c>
      <c r="BB1200" s="543" t="s">
        <v>787</v>
      </c>
      <c r="BC1200" s="559"/>
      <c r="BD1200" s="554"/>
      <c r="BE1200" s="588"/>
      <c r="BF1200" s="588"/>
      <c r="BG1200" s="548"/>
      <c r="BH1200" s="615" t="s">
        <v>6426</v>
      </c>
      <c r="BI1200" s="547" t="s">
        <v>709</v>
      </c>
      <c r="BJ1200" s="549" t="s">
        <v>709</v>
      </c>
      <c r="BK1200" s="547" t="s">
        <v>709</v>
      </c>
      <c r="BL1200" s="547" t="s">
        <v>116</v>
      </c>
      <c r="BM1200" s="626" t="s">
        <v>709</v>
      </c>
      <c r="BN1200" s="626" t="s">
        <v>709</v>
      </c>
      <c r="BO1200" s="626" t="s">
        <v>709</v>
      </c>
      <c r="BP1200" s="626" t="s">
        <v>709</v>
      </c>
      <c r="BQ1200" s="626" t="s">
        <v>709</v>
      </c>
      <c r="BR1200" s="547">
        <v>121</v>
      </c>
      <c r="BS1200" s="547" t="s">
        <v>709</v>
      </c>
      <c r="BT1200" s="549" t="s">
        <v>709</v>
      </c>
      <c r="BU1200" s="549" t="s">
        <v>709</v>
      </c>
      <c r="BV1200" s="549" t="s">
        <v>709</v>
      </c>
      <c r="BW1200" s="549" t="s">
        <v>709</v>
      </c>
      <c r="BX1200" s="547" t="s">
        <v>709</v>
      </c>
      <c r="BY1200" s="549" t="s">
        <v>709</v>
      </c>
      <c r="BZ1200" s="547" t="s">
        <v>709</v>
      </c>
      <c r="CA1200" s="483"/>
      <c r="CB1200" s="547">
        <v>1198</v>
      </c>
      <c r="CC1200" s="1481" t="b">
        <v>1</v>
      </c>
      <c r="CD1200" s="879" t="str">
        <f>Table15[[#This Row],[Engineering Number]]&amp;Table15[[#This Row],[WO Number]]&amp;Table15[[#This Row],[Date Assigned to Designer]]&amp;Table15[[#This Row],[Date Completed]]</f>
        <v>N1637912135254547845483</v>
      </c>
    </row>
    <row r="1201" spans="1:82" customFormat="1" ht="15" customHeight="1" x14ac:dyDescent="0.25">
      <c r="A1201">
        <v>2024</v>
      </c>
      <c r="B1201" s="8" t="s">
        <v>4</v>
      </c>
      <c r="C1201" s="8" t="s">
        <v>6428</v>
      </c>
      <c r="D1201" s="8" t="s">
        <v>115</v>
      </c>
      <c r="E1201" s="8" t="s">
        <v>1164</v>
      </c>
      <c r="F1201" s="8" t="s">
        <v>784</v>
      </c>
      <c r="G1201" s="8" t="s">
        <v>25</v>
      </c>
      <c r="H1201" s="8" t="s">
        <v>1681</v>
      </c>
      <c r="I1201" s="642">
        <v>44480</v>
      </c>
      <c r="J1201" s="18">
        <v>45534</v>
      </c>
      <c r="K1201" s="175">
        <v>45483</v>
      </c>
      <c r="L1201" s="16">
        <f>IF(ISTEXT(Table15[[#This Row],[Engineering Approved Design Date]]),Table15[[#This Row],[Date Completed]]-Table15[[#This Row],[Date Assigned to Designer]],Table15[[#This Row],[Engineering Approved Design Date]]-Table15[[#This Row],[Date Completed]])</f>
        <v>51</v>
      </c>
      <c r="M1201" t="s">
        <v>6429</v>
      </c>
      <c r="N1201" s="99" t="s">
        <v>120</v>
      </c>
      <c r="O1201" s="1060">
        <v>45504</v>
      </c>
      <c r="P1201" s="1152" t="s">
        <v>739</v>
      </c>
      <c r="Q1201" s="340" t="s">
        <v>115</v>
      </c>
      <c r="R1201" s="1026" t="s">
        <v>115</v>
      </c>
      <c r="S1201" s="538"/>
      <c r="T1201" s="538"/>
      <c r="U1201" s="28"/>
      <c r="V1201" s="858"/>
      <c r="W1201" s="437"/>
      <c r="X1201" s="538"/>
      <c r="Y1201" s="550"/>
      <c r="Z1201" s="538"/>
      <c r="AA1201" s="552"/>
      <c r="AB1201" s="341" t="s">
        <v>29</v>
      </c>
      <c r="AC1201" s="569" t="s">
        <v>29</v>
      </c>
      <c r="AD1201" s="1157" t="s">
        <v>29</v>
      </c>
      <c r="AE1201" s="568" t="s">
        <v>29</v>
      </c>
      <c r="AF1201" s="569" t="s">
        <v>29</v>
      </c>
      <c r="AG1201" s="569" t="s">
        <v>29</v>
      </c>
      <c r="AH1201" s="183" t="s">
        <v>29</v>
      </c>
      <c r="AI1201" s="1028" t="s">
        <v>29</v>
      </c>
      <c r="AJ1201" s="1029" t="s">
        <v>29</v>
      </c>
      <c r="AK1201" s="1029" t="s">
        <v>29</v>
      </c>
      <c r="AL1201" s="1030" t="s">
        <v>29</v>
      </c>
      <c r="AM1201" s="542" t="s">
        <v>709</v>
      </c>
      <c r="AN1201" s="924"/>
      <c r="AO1201" s="925"/>
      <c r="AP1201" s="926"/>
      <c r="AQ1201" s="926"/>
      <c r="AR1201" s="926"/>
      <c r="AS1201" s="926"/>
      <c r="AT1201" s="926"/>
      <c r="AU1201" s="926"/>
      <c r="AV1201" s="926"/>
      <c r="AW1201" s="927"/>
      <c r="AX1201" s="926"/>
      <c r="AY1201" s="1538" t="s">
        <v>29</v>
      </c>
      <c r="AZ1201" s="1530"/>
      <c r="BA1201" s="1031" t="s">
        <v>6430</v>
      </c>
      <c r="BB1201" s="644" t="s">
        <v>5133</v>
      </c>
      <c r="BC1201" s="559" t="s">
        <v>709</v>
      </c>
      <c r="BD1201" s="554" t="s">
        <v>709</v>
      </c>
      <c r="BE1201" s="588" t="s">
        <v>5134</v>
      </c>
      <c r="BF1201" s="588" t="s">
        <v>709</v>
      </c>
      <c r="BG1201" s="548" t="s">
        <v>709</v>
      </c>
      <c r="BH1201" s="615" t="s">
        <v>6431</v>
      </c>
      <c r="BI1201" s="1032"/>
      <c r="BJ1201" s="1032"/>
      <c r="BK1201" s="1032"/>
      <c r="BL1201" s="1032"/>
      <c r="BM1201" s="1032"/>
      <c r="BN1201" s="1070"/>
      <c r="BO1201" s="1032"/>
      <c r="BP1201" s="1071"/>
      <c r="BQ1201" s="549"/>
      <c r="BR1201" s="549"/>
      <c r="BS1201" s="549"/>
      <c r="BT1201" s="549"/>
      <c r="BU1201" s="549"/>
      <c r="BV1201" s="549"/>
      <c r="BW1201" s="549"/>
      <c r="BX1201" s="547"/>
      <c r="BY1201" s="1492"/>
      <c r="BZ1201" s="1492"/>
      <c r="CA1201" s="485" t="s">
        <v>915</v>
      </c>
      <c r="CB1201" s="547">
        <v>1199</v>
      </c>
      <c r="CC1201" s="1481" t="b">
        <v>1</v>
      </c>
      <c r="CD1201" s="879" t="str">
        <f>Table15[[#This Row],[Engineering Number]]&amp;Table15[[#This Row],[WO Number]]&amp;Table15[[#This Row],[Date Assigned to Designer]]&amp;Table15[[#This Row],[Date Completed]]</f>
        <v>SC19888-4448045483</v>
      </c>
    </row>
    <row r="1202" spans="1:82" customFormat="1" ht="15" customHeight="1" x14ac:dyDescent="0.25">
      <c r="A1202">
        <v>2024</v>
      </c>
      <c r="B1202" s="8" t="s">
        <v>733</v>
      </c>
      <c r="C1202" s="8" t="s">
        <v>6323</v>
      </c>
      <c r="D1202" s="8" t="s">
        <v>6324</v>
      </c>
      <c r="E1202" s="8" t="s">
        <v>426</v>
      </c>
      <c r="F1202" s="8" t="s">
        <v>752</v>
      </c>
      <c r="G1202" s="8" t="s">
        <v>34</v>
      </c>
      <c r="H1202" s="8" t="s">
        <v>59</v>
      </c>
      <c r="I1202" s="642">
        <v>45296</v>
      </c>
      <c r="J1202" s="175">
        <v>45520</v>
      </c>
      <c r="K1202" s="175">
        <v>45489</v>
      </c>
      <c r="L1202" s="16">
        <f>IF(ISTEXT(Table15[[#This Row],[Engineering Approved Design Date]]),Table15[[#This Row],[Date Completed]]-Table15[[#This Row],[Date Assigned to Designer]],Table15[[#This Row],[Engineering Approved Design Date]]-Table15[[#This Row],[Date Completed]])</f>
        <v>31</v>
      </c>
      <c r="M1202" s="16" t="s">
        <v>6433</v>
      </c>
      <c r="N1202" s="99" t="s">
        <v>120</v>
      </c>
      <c r="O1202" s="1060">
        <v>45504</v>
      </c>
      <c r="P1202" s="21" t="s">
        <v>120</v>
      </c>
      <c r="Q1202" s="340">
        <f>6750</f>
        <v>6750</v>
      </c>
      <c r="R1202" s="1039" t="s">
        <v>6434</v>
      </c>
      <c r="S1202" s="538"/>
      <c r="T1202" s="538"/>
      <c r="U1202" s="87"/>
      <c r="V1202" s="857"/>
      <c r="W1202" s="440">
        <v>1</v>
      </c>
      <c r="X1202" s="538">
        <v>123955.68</v>
      </c>
      <c r="Y1202" s="551"/>
      <c r="Z1202" s="538">
        <v>46519.68</v>
      </c>
      <c r="AA1202" s="552">
        <f>SUM(Table15[[#This Row],[PCTS Investment Amount]:[PCTS Retirement Amount]])</f>
        <v>170475.36</v>
      </c>
      <c r="AB1202" s="341">
        <v>45460</v>
      </c>
      <c r="AC1202" s="569" t="s">
        <v>29</v>
      </c>
      <c r="AD1202" s="1149" t="s">
        <v>116</v>
      </c>
      <c r="AE1202" s="568" t="s">
        <v>116</v>
      </c>
      <c r="AF1202" s="568" t="s">
        <v>756</v>
      </c>
      <c r="AG1202" s="569" t="s">
        <v>29</v>
      </c>
      <c r="AH1202" s="183" t="s">
        <v>116</v>
      </c>
      <c r="AI1202" s="1028"/>
      <c r="AJ1202" s="1029"/>
      <c r="AK1202" s="1029"/>
      <c r="AL1202" s="1030"/>
      <c r="AM1202" s="542" t="s">
        <v>709</v>
      </c>
      <c r="AN1202" s="924"/>
      <c r="AO1202" s="925"/>
      <c r="AP1202" s="926"/>
      <c r="AQ1202" s="926"/>
      <c r="AR1202" s="926"/>
      <c r="AS1202" s="926"/>
      <c r="AT1202" s="926"/>
      <c r="AU1202" s="926"/>
      <c r="AV1202" s="926"/>
      <c r="AW1202" s="927"/>
      <c r="AX1202" s="926"/>
      <c r="AY1202" s="1538" t="s">
        <v>29</v>
      </c>
      <c r="AZ1202" s="1530"/>
      <c r="BA1202" s="1031"/>
      <c r="BB1202" s="644" t="s">
        <v>6435</v>
      </c>
      <c r="BC1202" s="544" t="s">
        <v>115</v>
      </c>
      <c r="BD1202" s="544" t="s">
        <v>1790</v>
      </c>
      <c r="BE1202" s="544" t="s">
        <v>1396</v>
      </c>
      <c r="BF1202" s="544" t="s">
        <v>115</v>
      </c>
      <c r="BG1202" s="544" t="s">
        <v>115</v>
      </c>
      <c r="BH1202" s="741" t="s">
        <v>6326</v>
      </c>
      <c r="BI1202" s="547" t="s">
        <v>709</v>
      </c>
      <c r="BJ1202" s="547" t="s">
        <v>709</v>
      </c>
      <c r="BK1202" s="547" t="s">
        <v>709</v>
      </c>
      <c r="BL1202" s="547" t="s">
        <v>116</v>
      </c>
      <c r="BM1202" s="547" t="s">
        <v>709</v>
      </c>
      <c r="BN1202" s="547" t="s">
        <v>709</v>
      </c>
      <c r="BO1202" s="547" t="s">
        <v>709</v>
      </c>
      <c r="BP1202" s="547" t="s">
        <v>709</v>
      </c>
      <c r="BQ1202" s="547">
        <v>21</v>
      </c>
      <c r="BR1202" s="547" t="s">
        <v>709</v>
      </c>
      <c r="BS1202" s="547" t="s">
        <v>709</v>
      </c>
      <c r="BT1202" s="547" t="s">
        <v>745</v>
      </c>
      <c r="BU1202" s="547" t="s">
        <v>745</v>
      </c>
      <c r="BV1202" s="547" t="s">
        <v>745</v>
      </c>
      <c r="BW1202" s="547" t="s">
        <v>745</v>
      </c>
      <c r="BX1202" s="547" t="s">
        <v>745</v>
      </c>
      <c r="BY1202" s="547" t="s">
        <v>745</v>
      </c>
      <c r="BZ1202" s="547" t="s">
        <v>709</v>
      </c>
      <c r="CA1202" s="483"/>
      <c r="CB1202" s="547">
        <v>1200</v>
      </c>
      <c r="CC1202" s="1481" t="b">
        <v>1</v>
      </c>
      <c r="CD1202" s="879" t="str">
        <f>Table15[[#This Row],[Engineering Number]]&amp;Table15[[#This Row],[WO Number]]&amp;Table15[[#This Row],[Date Assigned to Designer]]&amp;Table15[[#This Row],[Date Completed]]</f>
        <v>RS120210134804529645489</v>
      </c>
    </row>
    <row r="1203" spans="1:82" customFormat="1" ht="15" customHeight="1" x14ac:dyDescent="0.25">
      <c r="A1203">
        <v>2024</v>
      </c>
      <c r="B1203" s="8" t="s">
        <v>769</v>
      </c>
      <c r="C1203" s="8" t="s">
        <v>1654</v>
      </c>
      <c r="D1203" s="8">
        <v>1012913</v>
      </c>
      <c r="E1203" s="8" t="s">
        <v>1149</v>
      </c>
      <c r="F1203" s="8" t="s">
        <v>752</v>
      </c>
      <c r="G1203" s="8" t="s">
        <v>4770</v>
      </c>
      <c r="H1203" s="8" t="s">
        <v>4462</v>
      </c>
      <c r="I1203" s="642">
        <v>45482</v>
      </c>
      <c r="J1203" s="175" t="s">
        <v>2052</v>
      </c>
      <c r="K1203" s="97">
        <v>45489</v>
      </c>
      <c r="L1203" s="16">
        <f>IF(ISTEXT(Table15[[#This Row],[Engineering Approved Design Date]]),Table15[[#This Row],[Date Completed]]-Table15[[#This Row],[Date Assigned to Designer]],Table15[[#This Row],[Engineering Approved Design Date]]-Table15[[#This Row],[Date Completed]])</f>
        <v>7</v>
      </c>
      <c r="M1203" s="642" t="s">
        <v>6437</v>
      </c>
      <c r="N1203" s="99" t="s">
        <v>120</v>
      </c>
      <c r="O1203" s="1060">
        <v>45505</v>
      </c>
      <c r="P1203" s="1152" t="s">
        <v>120</v>
      </c>
      <c r="Q1203" s="340" t="s">
        <v>115</v>
      </c>
      <c r="R1203" s="1026" t="s">
        <v>115</v>
      </c>
      <c r="S1203" s="538" t="s">
        <v>29</v>
      </c>
      <c r="T1203" s="538" t="s">
        <v>29</v>
      </c>
      <c r="U1203" s="28" t="s">
        <v>29</v>
      </c>
      <c r="V1203" s="857">
        <v>1578</v>
      </c>
      <c r="W1203" s="440">
        <v>3</v>
      </c>
      <c r="X1203" s="538" t="s">
        <v>29</v>
      </c>
      <c r="Y1203" s="551"/>
      <c r="Z1203" s="538" t="s">
        <v>29</v>
      </c>
      <c r="AA1203" s="538" t="s">
        <v>29</v>
      </c>
      <c r="AB1203" s="341" t="s">
        <v>29</v>
      </c>
      <c r="AC1203" s="569" t="s">
        <v>29</v>
      </c>
      <c r="AD1203" s="1149" t="s">
        <v>116</v>
      </c>
      <c r="AE1203" s="568" t="s">
        <v>116</v>
      </c>
      <c r="AF1203" s="569" t="s">
        <v>116</v>
      </c>
      <c r="AG1203" s="569" t="s">
        <v>29</v>
      </c>
      <c r="AH1203" s="183" t="s">
        <v>29</v>
      </c>
      <c r="AI1203" s="1028"/>
      <c r="AJ1203" s="1029"/>
      <c r="AK1203" s="1029"/>
      <c r="AL1203" s="1030"/>
      <c r="AM1203" s="542" t="s">
        <v>709</v>
      </c>
      <c r="AN1203" s="924"/>
      <c r="AO1203" s="925"/>
      <c r="AP1203" s="926"/>
      <c r="AQ1203" s="926"/>
      <c r="AR1203" s="926"/>
      <c r="AS1203" s="926"/>
      <c r="AT1203" s="926"/>
      <c r="AU1203" s="926"/>
      <c r="AV1203" s="926"/>
      <c r="AW1203" s="927"/>
      <c r="AX1203" s="926"/>
      <c r="AY1203" s="1538" t="s">
        <v>29</v>
      </c>
      <c r="AZ1203" s="1530"/>
      <c r="BA1203" s="1031">
        <v>3</v>
      </c>
      <c r="BB1203" s="644"/>
      <c r="BC1203" s="559"/>
      <c r="BD1203" s="554"/>
      <c r="BE1203" s="588"/>
      <c r="BF1203" s="588"/>
      <c r="BG1203" s="548"/>
      <c r="BH1203" s="615" t="s">
        <v>29</v>
      </c>
      <c r="BI1203" s="547" t="s">
        <v>709</v>
      </c>
      <c r="BJ1203" s="549" t="s">
        <v>709</v>
      </c>
      <c r="BK1203" s="547" t="s">
        <v>116</v>
      </c>
      <c r="BL1203" s="547" t="s">
        <v>116</v>
      </c>
      <c r="BM1203" s="547" t="s">
        <v>709</v>
      </c>
      <c r="BN1203" s="547">
        <v>248</v>
      </c>
      <c r="BO1203" s="547" t="s">
        <v>709</v>
      </c>
      <c r="BP1203" s="547">
        <v>26</v>
      </c>
      <c r="BQ1203" s="547">
        <v>1169</v>
      </c>
      <c r="BR1203" s="547">
        <v>40</v>
      </c>
      <c r="BS1203" s="547">
        <v>5</v>
      </c>
      <c r="BT1203" s="547">
        <v>1</v>
      </c>
      <c r="BU1203" s="547" t="s">
        <v>709</v>
      </c>
      <c r="BV1203" s="547" t="s">
        <v>709</v>
      </c>
      <c r="BW1203" s="547">
        <v>1</v>
      </c>
      <c r="BX1203" s="547">
        <v>1</v>
      </c>
      <c r="BY1203" s="547" t="s">
        <v>709</v>
      </c>
      <c r="BZ1203" s="547" t="s">
        <v>709</v>
      </c>
      <c r="CA1203" s="483" t="s">
        <v>769</v>
      </c>
      <c r="CB1203" s="547">
        <v>1201</v>
      </c>
      <c r="CC1203" s="1481" t="b">
        <v>1</v>
      </c>
      <c r="CD1203" s="879" t="str">
        <f>Table15[[#This Row],[Engineering Number]]&amp;Table15[[#This Row],[WO Number]]&amp;Table15[[#This Row],[Date Assigned to Designer]]&amp;Table15[[#This Row],[Date Completed]]</f>
        <v>RS117310129134548245489</v>
      </c>
    </row>
    <row r="1204" spans="1:82" customFormat="1" ht="15" customHeight="1" x14ac:dyDescent="0.25">
      <c r="A1204">
        <v>2024</v>
      </c>
      <c r="B1204" s="8" t="s">
        <v>733</v>
      </c>
      <c r="C1204" s="8" t="s">
        <v>6323</v>
      </c>
      <c r="D1204" s="8">
        <v>1013480</v>
      </c>
      <c r="E1204" s="8" t="s">
        <v>426</v>
      </c>
      <c r="F1204" s="8" t="s">
        <v>752</v>
      </c>
      <c r="G1204" s="8" t="s">
        <v>4770</v>
      </c>
      <c r="H1204" s="8" t="s">
        <v>4045</v>
      </c>
      <c r="I1204" s="642">
        <v>45496</v>
      </c>
      <c r="J1204" s="18" t="s">
        <v>2958</v>
      </c>
      <c r="K1204" s="97">
        <v>45496</v>
      </c>
      <c r="L1204" s="16">
        <f>IF(ISTEXT(Table15[[#This Row],[Engineering Approved Design Date]]),Table15[[#This Row],[Date Completed]]-Table15[[#This Row],[Date Assigned to Designer]],Table15[[#This Row],[Engineering Approved Design Date]]-Table15[[#This Row],[Date Completed]])</f>
        <v>0</v>
      </c>
      <c r="M1204" s="642" t="s">
        <v>6439</v>
      </c>
      <c r="N1204" s="99" t="s">
        <v>120</v>
      </c>
      <c r="O1204" s="1060">
        <v>45505</v>
      </c>
      <c r="P1204" s="21" t="s">
        <v>120</v>
      </c>
      <c r="Q1204" s="340" t="s">
        <v>115</v>
      </c>
      <c r="R1204" s="1026" t="s">
        <v>115</v>
      </c>
      <c r="S1204" s="538" t="s">
        <v>29</v>
      </c>
      <c r="T1204" s="538" t="s">
        <v>29</v>
      </c>
      <c r="U1204" s="28" t="s">
        <v>29</v>
      </c>
      <c r="V1204" s="858"/>
      <c r="W1204" s="437">
        <v>1</v>
      </c>
      <c r="X1204" s="538" t="s">
        <v>29</v>
      </c>
      <c r="Y1204" s="551"/>
      <c r="Z1204" s="538" t="s">
        <v>29</v>
      </c>
      <c r="AA1204" s="538" t="s">
        <v>29</v>
      </c>
      <c r="AB1204" s="341" t="s">
        <v>29</v>
      </c>
      <c r="AC1204" s="569" t="s">
        <v>29</v>
      </c>
      <c r="AD1204" s="1149" t="s">
        <v>29</v>
      </c>
      <c r="AE1204" s="568" t="s">
        <v>116</v>
      </c>
      <c r="AF1204" s="569" t="s">
        <v>116</v>
      </c>
      <c r="AG1204" s="569" t="s">
        <v>29</v>
      </c>
      <c r="AH1204" s="183" t="s">
        <v>29</v>
      </c>
      <c r="AI1204" s="1028"/>
      <c r="AJ1204" s="1029"/>
      <c r="AK1204" s="1029"/>
      <c r="AL1204" s="1030"/>
      <c r="AM1204" s="542" t="s">
        <v>709</v>
      </c>
      <c r="AN1204" s="924"/>
      <c r="AO1204" s="925"/>
      <c r="AP1204" s="926"/>
      <c r="AQ1204" s="926"/>
      <c r="AR1204" s="926"/>
      <c r="AS1204" s="926"/>
      <c r="AT1204" s="926"/>
      <c r="AU1204" s="926"/>
      <c r="AV1204" s="926"/>
      <c r="AW1204" s="927"/>
      <c r="AX1204" s="926"/>
      <c r="AY1204" s="1538" t="s">
        <v>29</v>
      </c>
      <c r="AZ1204" s="1530"/>
      <c r="BA1204" s="1031" t="s">
        <v>6440</v>
      </c>
      <c r="BB1204" s="644"/>
      <c r="BC1204" s="544"/>
      <c r="BD1204" s="544"/>
      <c r="BE1204" s="544"/>
      <c r="BF1204" s="544"/>
      <c r="BG1204" s="544"/>
      <c r="BH1204" s="741" t="s">
        <v>6441</v>
      </c>
      <c r="BI1204" s="626" t="s">
        <v>709</v>
      </c>
      <c r="BJ1204" s="626" t="s">
        <v>709</v>
      </c>
      <c r="BK1204" s="626" t="s">
        <v>116</v>
      </c>
      <c r="BL1204" s="626" t="s">
        <v>116</v>
      </c>
      <c r="BM1204" s="626" t="s">
        <v>709</v>
      </c>
      <c r="BN1204" s="626" t="s">
        <v>709</v>
      </c>
      <c r="BO1204" s="626" t="s">
        <v>709</v>
      </c>
      <c r="BP1204" s="626" t="s">
        <v>709</v>
      </c>
      <c r="BQ1204" s="626">
        <v>21</v>
      </c>
      <c r="BR1204" s="626" t="s">
        <v>709</v>
      </c>
      <c r="BS1204" s="626" t="s">
        <v>709</v>
      </c>
      <c r="BT1204" s="626" t="s">
        <v>709</v>
      </c>
      <c r="BU1204" s="626" t="s">
        <v>709</v>
      </c>
      <c r="BV1204" s="626" t="s">
        <v>709</v>
      </c>
      <c r="BW1204" s="626" t="s">
        <v>709</v>
      </c>
      <c r="BX1204" s="626">
        <v>1</v>
      </c>
      <c r="BY1204" s="626" t="s">
        <v>709</v>
      </c>
      <c r="BZ1204" s="547" t="s">
        <v>709</v>
      </c>
      <c r="CA1204" s="483"/>
      <c r="CB1204" s="547">
        <v>1202</v>
      </c>
      <c r="CC1204" s="1481" t="b">
        <v>1</v>
      </c>
      <c r="CD1204" s="879" t="str">
        <f>Table15[[#This Row],[Engineering Number]]&amp;Table15[[#This Row],[WO Number]]&amp;Table15[[#This Row],[Date Assigned to Designer]]&amp;Table15[[#This Row],[Date Completed]]</f>
        <v>RS120210134804549645496</v>
      </c>
    </row>
    <row r="1205" spans="1:82" customFormat="1" ht="15" customHeight="1" x14ac:dyDescent="0.25">
      <c r="A1205">
        <v>2024</v>
      </c>
      <c r="B1205" s="8" t="s">
        <v>759</v>
      </c>
      <c r="C1205" s="8" t="s">
        <v>6443</v>
      </c>
      <c r="D1205" s="8" t="s">
        <v>115</v>
      </c>
      <c r="E1205" s="8" t="s">
        <v>29</v>
      </c>
      <c r="F1205" s="8" t="s">
        <v>752</v>
      </c>
      <c r="G1205" s="8" t="s">
        <v>37</v>
      </c>
      <c r="H1205" s="13" t="s">
        <v>4110</v>
      </c>
      <c r="I1205" s="642">
        <v>45495</v>
      </c>
      <c r="J1205" s="18" t="s">
        <v>4110</v>
      </c>
      <c r="K1205" s="175">
        <v>45496</v>
      </c>
      <c r="L1205" s="16">
        <f>IF(ISTEXT(Table15[[#This Row],[Engineering Approved Design Date]]),Table15[[#This Row],[Date Completed]]-Table15[[#This Row],[Date Assigned to Designer]],Table15[[#This Row],[Engineering Approved Design Date]]-Table15[[#This Row],[Date Completed]])</f>
        <v>1</v>
      </c>
      <c r="M1205" s="642" t="s">
        <v>6444</v>
      </c>
      <c r="N1205" s="642" t="s">
        <v>120</v>
      </c>
      <c r="O1205" s="1060">
        <v>45536</v>
      </c>
      <c r="P1205" s="1152" t="s">
        <v>739</v>
      </c>
      <c r="Q1205" s="340">
        <f>Table15[[#This Row],[Shactee Effort]]+Table15[[#This Row],[3rd Party Effort]]+Table15[[#This Row],[KH Hourly Effort]]</f>
        <v>2735</v>
      </c>
      <c r="R1205" s="1026" t="s">
        <v>1922</v>
      </c>
      <c r="S1205" s="538">
        <v>0</v>
      </c>
      <c r="T1205" s="538">
        <v>0</v>
      </c>
      <c r="U1205" s="87">
        <v>2735</v>
      </c>
      <c r="V1205" s="858" t="s">
        <v>29</v>
      </c>
      <c r="W1205" s="425" t="s">
        <v>29</v>
      </c>
      <c r="X1205" s="552" t="s">
        <v>29</v>
      </c>
      <c r="Y1205" s="550"/>
      <c r="Z1205" s="552" t="s">
        <v>29</v>
      </c>
      <c r="AA1205" s="552" t="s">
        <v>29</v>
      </c>
      <c r="AB1205" s="341" t="s">
        <v>29</v>
      </c>
      <c r="AC1205" s="568" t="s">
        <v>29</v>
      </c>
      <c r="AD1205" s="1157" t="s">
        <v>29</v>
      </c>
      <c r="AE1205" s="568" t="s">
        <v>29</v>
      </c>
      <c r="AF1205" s="569" t="s">
        <v>116</v>
      </c>
      <c r="AG1205" s="569" t="s">
        <v>29</v>
      </c>
      <c r="AH1205" s="183" t="s">
        <v>29</v>
      </c>
      <c r="AI1205" s="1028" t="s">
        <v>29</v>
      </c>
      <c r="AJ1205" s="1029" t="s">
        <v>29</v>
      </c>
      <c r="AK1205" s="1029" t="s">
        <v>29</v>
      </c>
      <c r="AL1205" s="1030" t="s">
        <v>29</v>
      </c>
      <c r="AM1205" s="542" t="s">
        <v>709</v>
      </c>
      <c r="AN1205" s="924"/>
      <c r="AO1205" s="925"/>
      <c r="AP1205" s="926"/>
      <c r="AQ1205" s="926"/>
      <c r="AR1205" s="926"/>
      <c r="AS1205" s="926"/>
      <c r="AT1205" s="926"/>
      <c r="AU1205" s="926"/>
      <c r="AV1205" s="926"/>
      <c r="AW1205" s="927"/>
      <c r="AX1205" s="926"/>
      <c r="AY1205" s="1538" t="s">
        <v>29</v>
      </c>
      <c r="AZ1205" s="1530"/>
      <c r="BA1205" s="859" t="s">
        <v>29</v>
      </c>
      <c r="BB1205" s="644" t="s">
        <v>6444</v>
      </c>
      <c r="BC1205" s="544"/>
      <c r="BD1205" s="544"/>
      <c r="BE1205" s="544"/>
      <c r="BF1205" s="544"/>
      <c r="BG1205" s="544"/>
      <c r="BH1205" s="741" t="s">
        <v>6445</v>
      </c>
      <c r="BI1205" s="626" t="s">
        <v>709</v>
      </c>
      <c r="BJ1205" s="626" t="s">
        <v>709</v>
      </c>
      <c r="BK1205" s="626" t="s">
        <v>709</v>
      </c>
      <c r="BL1205" s="626" t="s">
        <v>709</v>
      </c>
      <c r="BM1205" s="626" t="s">
        <v>709</v>
      </c>
      <c r="BN1205" s="626" t="s">
        <v>709</v>
      </c>
      <c r="BO1205" s="626" t="s">
        <v>709</v>
      </c>
      <c r="BP1205" s="626" t="s">
        <v>709</v>
      </c>
      <c r="BQ1205" s="626" t="s">
        <v>709</v>
      </c>
      <c r="BR1205" s="626" t="s">
        <v>709</v>
      </c>
      <c r="BS1205" s="626" t="s">
        <v>709</v>
      </c>
      <c r="BT1205" s="626" t="s">
        <v>709</v>
      </c>
      <c r="BU1205" s="626" t="s">
        <v>709</v>
      </c>
      <c r="BV1205" s="626" t="s">
        <v>709</v>
      </c>
      <c r="BW1205" s="626" t="s">
        <v>709</v>
      </c>
      <c r="BX1205" s="626" t="s">
        <v>709</v>
      </c>
      <c r="BY1205" s="626" t="s">
        <v>709</v>
      </c>
      <c r="BZ1205" s="547" t="s">
        <v>709</v>
      </c>
      <c r="CA1205" s="483"/>
      <c r="CB1205" s="547">
        <v>1203</v>
      </c>
      <c r="CC1205" s="1481" t="b">
        <v>1</v>
      </c>
      <c r="CD1205" s="879" t="str">
        <f>Table15[[#This Row],[Engineering Number]]&amp;Table15[[#This Row],[WO Number]]&amp;Table15[[#This Row],[Date Assigned to Designer]]&amp;Table15[[#This Row],[Date Completed]]</f>
        <v>RS BOM Review-4549545496</v>
      </c>
    </row>
    <row r="1206" spans="1:82" customFormat="1" ht="15" customHeight="1" x14ac:dyDescent="0.25">
      <c r="A1206">
        <v>2024</v>
      </c>
      <c r="B1206" s="8" t="s">
        <v>4</v>
      </c>
      <c r="C1206" s="8" t="s">
        <v>1774</v>
      </c>
      <c r="D1206" s="8" t="s">
        <v>1775</v>
      </c>
      <c r="E1206" s="8" t="s">
        <v>155</v>
      </c>
      <c r="F1206" s="8" t="s">
        <v>784</v>
      </c>
      <c r="G1206" s="8" t="s">
        <v>28</v>
      </c>
      <c r="H1206" s="8" t="s">
        <v>4189</v>
      </c>
      <c r="I1206" s="18">
        <v>45490</v>
      </c>
      <c r="J1206" s="175" t="s">
        <v>2052</v>
      </c>
      <c r="K1206" s="97">
        <v>45497</v>
      </c>
      <c r="L1206" s="16">
        <f>IF(ISTEXT(Table15[[#This Row],[Engineering Approved Design Date]]),Table15[[#This Row],[Date Completed]]-Table15[[#This Row],[Date Assigned to Designer]],Table15[[#This Row],[Engineering Approved Design Date]]-Table15[[#This Row],[Date Completed]])</f>
        <v>7</v>
      </c>
      <c r="M1206" s="642" t="s">
        <v>6447</v>
      </c>
      <c r="N1206" s="99" t="s">
        <v>120</v>
      </c>
      <c r="O1206" s="1060">
        <v>45505</v>
      </c>
      <c r="P1206" s="1152" t="s">
        <v>739</v>
      </c>
      <c r="Q1206" s="1061">
        <f>Table15[[#This Row],[Shactee Effort]]+Table15[[#This Row],[KH Hourly Effort]]</f>
        <v>3052.5</v>
      </c>
      <c r="R1206" s="1026" t="s">
        <v>1922</v>
      </c>
      <c r="S1206" s="538">
        <v>0</v>
      </c>
      <c r="T1206" s="538">
        <v>0</v>
      </c>
      <c r="U1206" s="87">
        <v>3052.5</v>
      </c>
      <c r="V1206" s="857">
        <v>203</v>
      </c>
      <c r="W1206" s="440">
        <v>0</v>
      </c>
      <c r="X1206" s="538" t="s">
        <v>29</v>
      </c>
      <c r="Y1206" s="551"/>
      <c r="Z1206" s="538" t="s">
        <v>29</v>
      </c>
      <c r="AA1206" s="538" t="s">
        <v>29</v>
      </c>
      <c r="AB1206" s="341" t="s">
        <v>29</v>
      </c>
      <c r="AC1206" s="569" t="s">
        <v>29</v>
      </c>
      <c r="AD1206" s="1149" t="s">
        <v>29</v>
      </c>
      <c r="AE1206" s="568" t="s">
        <v>116</v>
      </c>
      <c r="AF1206" s="568" t="s">
        <v>116</v>
      </c>
      <c r="AG1206" s="569" t="s">
        <v>29</v>
      </c>
      <c r="AH1206" s="183">
        <v>45567</v>
      </c>
      <c r="AI1206" s="1028" t="s">
        <v>29</v>
      </c>
      <c r="AJ1206" s="1029" t="s">
        <v>29</v>
      </c>
      <c r="AK1206" s="1029" t="s">
        <v>29</v>
      </c>
      <c r="AL1206" s="1128" t="s">
        <v>29</v>
      </c>
      <c r="AM1206" s="542" t="s">
        <v>709</v>
      </c>
      <c r="AN1206" s="924"/>
      <c r="AO1206" s="925"/>
      <c r="AP1206" s="926"/>
      <c r="AQ1206" s="926"/>
      <c r="AR1206" s="926"/>
      <c r="AS1206" s="926"/>
      <c r="AT1206" s="926"/>
      <c r="AU1206" s="926"/>
      <c r="AV1206" s="926"/>
      <c r="AW1206" s="927"/>
      <c r="AX1206" s="926"/>
      <c r="AY1206" s="1538" t="s">
        <v>29</v>
      </c>
      <c r="AZ1206" s="1530"/>
      <c r="BA1206" s="1068">
        <v>3</v>
      </c>
      <c r="BB1206" s="543" t="s">
        <v>1236</v>
      </c>
      <c r="BC1206" s="559"/>
      <c r="BD1206" s="554" t="s">
        <v>882</v>
      </c>
      <c r="BE1206" s="588"/>
      <c r="BF1206" s="588"/>
      <c r="BG1206" s="548"/>
      <c r="BH1206" s="615" t="s">
        <v>6448</v>
      </c>
      <c r="BI1206" s="626" t="s">
        <v>709</v>
      </c>
      <c r="BJ1206" s="626" t="s">
        <v>709</v>
      </c>
      <c r="BK1206" s="626" t="s">
        <v>709</v>
      </c>
      <c r="BL1206" s="626" t="s">
        <v>116</v>
      </c>
      <c r="BM1206" s="626" t="s">
        <v>709</v>
      </c>
      <c r="BN1206" s="626" t="s">
        <v>709</v>
      </c>
      <c r="BO1206" s="626" t="s">
        <v>709</v>
      </c>
      <c r="BP1206" s="626" t="s">
        <v>709</v>
      </c>
      <c r="BQ1206" s="626" t="s">
        <v>709</v>
      </c>
      <c r="BR1206" s="626">
        <v>203</v>
      </c>
      <c r="BS1206" s="626" t="s">
        <v>709</v>
      </c>
      <c r="BT1206" s="626" t="s">
        <v>745</v>
      </c>
      <c r="BU1206" s="626" t="s">
        <v>745</v>
      </c>
      <c r="BV1206" s="626" t="s">
        <v>745</v>
      </c>
      <c r="BW1206" s="626" t="s">
        <v>745</v>
      </c>
      <c r="BX1206" s="626" t="s">
        <v>745</v>
      </c>
      <c r="BY1206" s="626" t="s">
        <v>745</v>
      </c>
      <c r="BZ1206" s="547" t="s">
        <v>709</v>
      </c>
      <c r="CA1206" s="483"/>
      <c r="CB1206" s="547">
        <v>1204</v>
      </c>
      <c r="CC1206" s="1481" t="b">
        <v>1</v>
      </c>
      <c r="CD1206" s="879" t="str">
        <f>Table15[[#This Row],[Engineering Number]]&amp;Table15[[#This Row],[WO Number]]&amp;Table15[[#This Row],[Date Assigned to Designer]]&amp;Table15[[#This Row],[Date Completed]]</f>
        <v>N1826812136704549045497</v>
      </c>
    </row>
    <row r="1207" spans="1:82" customFormat="1" ht="15" customHeight="1" x14ac:dyDescent="0.25">
      <c r="A1207">
        <v>2024</v>
      </c>
      <c r="B1207" s="8" t="s">
        <v>4</v>
      </c>
      <c r="C1207" s="8" t="s">
        <v>6193</v>
      </c>
      <c r="D1207" s="8" t="s">
        <v>1715</v>
      </c>
      <c r="E1207" s="8" t="s">
        <v>1716</v>
      </c>
      <c r="F1207" s="8" t="s">
        <v>784</v>
      </c>
      <c r="G1207" s="8" t="s">
        <v>26</v>
      </c>
      <c r="H1207" s="8" t="s">
        <v>4189</v>
      </c>
      <c r="I1207" s="642">
        <v>45491</v>
      </c>
      <c r="J1207" s="175" t="s">
        <v>2052</v>
      </c>
      <c r="K1207" s="97">
        <v>45498</v>
      </c>
      <c r="L1207" s="16">
        <f>IF(ISTEXT(Table15[[#This Row],[Engineering Approved Design Date]]),Table15[[#This Row],[Date Completed]]-Table15[[#This Row],[Date Assigned to Designer]],Table15[[#This Row],[Engineering Approved Design Date]]-Table15[[#This Row],[Date Completed]])</f>
        <v>7</v>
      </c>
      <c r="M1207" s="642" t="s">
        <v>6450</v>
      </c>
      <c r="N1207" s="642" t="s">
        <v>120</v>
      </c>
      <c r="O1207" s="1060">
        <v>45620</v>
      </c>
      <c r="P1207" s="1152" t="s">
        <v>739</v>
      </c>
      <c r="Q1207" s="1061">
        <f>Table15[[#This Row],[Shactee Effort]]+Table15[[#This Row],[KH Hourly Effort]]</f>
        <v>3665</v>
      </c>
      <c r="R1207" s="1039" t="s">
        <v>1922</v>
      </c>
      <c r="S1207" s="538">
        <v>0</v>
      </c>
      <c r="T1207" s="538">
        <v>0</v>
      </c>
      <c r="U1207" s="28">
        <v>3665</v>
      </c>
      <c r="V1207" s="538" t="s">
        <v>29</v>
      </c>
      <c r="W1207" s="343" t="s">
        <v>29</v>
      </c>
      <c r="X1207" s="538" t="s">
        <v>29</v>
      </c>
      <c r="Y1207" s="538" t="s">
        <v>29</v>
      </c>
      <c r="Z1207" s="538" t="s">
        <v>29</v>
      </c>
      <c r="AA1207" s="538" t="s">
        <v>29</v>
      </c>
      <c r="AB1207" s="341" t="s">
        <v>29</v>
      </c>
      <c r="AC1207" s="569" t="s">
        <v>29</v>
      </c>
      <c r="AD1207" s="1149" t="s">
        <v>116</v>
      </c>
      <c r="AE1207" s="568" t="s">
        <v>116</v>
      </c>
      <c r="AF1207" s="569" t="s">
        <v>116</v>
      </c>
      <c r="AG1207" s="569" t="s">
        <v>29</v>
      </c>
      <c r="AH1207" s="183">
        <v>45580</v>
      </c>
      <c r="AI1207" s="1028" t="s">
        <v>29</v>
      </c>
      <c r="AJ1207" s="1029" t="s">
        <v>29</v>
      </c>
      <c r="AK1207" s="1029" t="s">
        <v>29</v>
      </c>
      <c r="AL1207" s="1030" t="s">
        <v>29</v>
      </c>
      <c r="AM1207" s="542" t="s">
        <v>709</v>
      </c>
      <c r="AN1207" s="924"/>
      <c r="AO1207" s="925"/>
      <c r="AP1207" s="926"/>
      <c r="AQ1207" s="926"/>
      <c r="AR1207" s="926"/>
      <c r="AS1207" s="926"/>
      <c r="AT1207" s="926"/>
      <c r="AU1207" s="926"/>
      <c r="AV1207" s="926"/>
      <c r="AW1207" s="927"/>
      <c r="AX1207" s="926"/>
      <c r="AY1207" s="1538" t="s">
        <v>29</v>
      </c>
      <c r="AZ1207" s="1530"/>
      <c r="BA1207" s="1031">
        <v>3</v>
      </c>
      <c r="BB1207" s="1138" t="s">
        <v>6451</v>
      </c>
      <c r="BC1207" s="559" t="s">
        <v>709</v>
      </c>
      <c r="BD1207" s="554" t="s">
        <v>882</v>
      </c>
      <c r="BE1207" s="588" t="s">
        <v>1719</v>
      </c>
      <c r="BF1207" s="588" t="s">
        <v>709</v>
      </c>
      <c r="BG1207" s="548" t="s">
        <v>709</v>
      </c>
      <c r="BH1207" s="615" t="s">
        <v>6452</v>
      </c>
      <c r="BI1207" s="547" t="s">
        <v>709</v>
      </c>
      <c r="BJ1207" s="549" t="s">
        <v>709</v>
      </c>
      <c r="BK1207" s="547" t="s">
        <v>709</v>
      </c>
      <c r="BL1207" s="547" t="s">
        <v>116</v>
      </c>
      <c r="BM1207" s="626" t="s">
        <v>709</v>
      </c>
      <c r="BN1207" s="549" t="s">
        <v>709</v>
      </c>
      <c r="BO1207" s="626" t="s">
        <v>709</v>
      </c>
      <c r="BP1207" s="626" t="s">
        <v>709</v>
      </c>
      <c r="BQ1207" s="549" t="s">
        <v>709</v>
      </c>
      <c r="BR1207" s="549">
        <v>2942</v>
      </c>
      <c r="BS1207" s="549">
        <v>693</v>
      </c>
      <c r="BT1207" s="549" t="s">
        <v>709</v>
      </c>
      <c r="BU1207" s="549" t="s">
        <v>709</v>
      </c>
      <c r="BV1207" s="549" t="s">
        <v>709</v>
      </c>
      <c r="BW1207" s="549" t="s">
        <v>709</v>
      </c>
      <c r="BX1207" s="547" t="s">
        <v>709</v>
      </c>
      <c r="BY1207" s="549" t="s">
        <v>709</v>
      </c>
      <c r="BZ1207" s="547" t="s">
        <v>709</v>
      </c>
      <c r="CA1207" s="483"/>
      <c r="CB1207" s="547">
        <v>1205</v>
      </c>
      <c r="CC1207" s="1481" t="b">
        <v>1</v>
      </c>
      <c r="CD1207" s="879" t="str">
        <f>Table15[[#This Row],[Engineering Number]]&amp;Table15[[#This Row],[WO Number]]&amp;Table15[[#This Row],[Date Assigned to Designer]]&amp;Table15[[#This Row],[Date Completed]]</f>
        <v>N1805612134894549145498</v>
      </c>
    </row>
    <row r="1208" spans="1:82" customFormat="1" ht="15" customHeight="1" x14ac:dyDescent="0.25">
      <c r="A1208">
        <v>2024</v>
      </c>
      <c r="B1208" s="8" t="s">
        <v>769</v>
      </c>
      <c r="C1208" s="8" t="s">
        <v>6454</v>
      </c>
      <c r="D1208" s="8" t="s">
        <v>6455</v>
      </c>
      <c r="E1208" s="8" t="s">
        <v>245</v>
      </c>
      <c r="F1208" s="8" t="s">
        <v>784</v>
      </c>
      <c r="G1208" s="8" t="s">
        <v>34</v>
      </c>
      <c r="H1208" s="13" t="s">
        <v>59</v>
      </c>
      <c r="I1208" s="642">
        <v>45268</v>
      </c>
      <c r="J1208" s="18">
        <v>45499</v>
      </c>
      <c r="K1208" s="175">
        <v>45499</v>
      </c>
      <c r="L1208" s="16">
        <f>IF(ISTEXT(Table15[[#This Row],[Engineering Approved Design Date]]),Table15[[#This Row],[Date Completed]]-Table15[[#This Row],[Date Assigned to Designer]],Table15[[#This Row],[Engineering Approved Design Date]]-Table15[[#This Row],[Date Completed]])</f>
        <v>0</v>
      </c>
      <c r="M1208" s="642"/>
      <c r="N1208" s="642" t="s">
        <v>120</v>
      </c>
      <c r="O1208" s="1060">
        <v>45505</v>
      </c>
      <c r="P1208" s="1152" t="s">
        <v>739</v>
      </c>
      <c r="Q1208" s="340">
        <f>Table15[[#This Row],[Rate]]*Table15[[#This Row],[Construction Cost to Bill From]]</f>
        <v>114930.36720000001</v>
      </c>
      <c r="R1208" s="1026">
        <v>0.11</v>
      </c>
      <c r="S1208" s="538" t="s">
        <v>29</v>
      </c>
      <c r="T1208" s="538" t="s">
        <v>29</v>
      </c>
      <c r="U1208" s="28" t="s">
        <v>29</v>
      </c>
      <c r="V1208" s="858">
        <v>412</v>
      </c>
      <c r="W1208" s="437">
        <v>2</v>
      </c>
      <c r="X1208" s="552">
        <v>847647.74</v>
      </c>
      <c r="Y1208" s="550"/>
      <c r="Z1208" s="552">
        <v>197173.78</v>
      </c>
      <c r="AA1208" s="552">
        <f>SUM(Table15[[#This Row],[PCTS Investment Amount]:[PCTS Retirement Amount]])</f>
        <v>1044821.52</v>
      </c>
      <c r="AB1208" s="341">
        <v>45456</v>
      </c>
      <c r="AC1208" s="568" t="s">
        <v>1523</v>
      </c>
      <c r="AD1208" s="1157" t="s">
        <v>29</v>
      </c>
      <c r="AE1208" s="568" t="s">
        <v>116</v>
      </c>
      <c r="AF1208" s="568" t="s">
        <v>116</v>
      </c>
      <c r="AG1208" s="569" t="s">
        <v>116</v>
      </c>
      <c r="AH1208" s="183">
        <v>45567</v>
      </c>
      <c r="AI1208" s="1125">
        <v>0</v>
      </c>
      <c r="AJ1208" s="1110">
        <v>0</v>
      </c>
      <c r="AK1208" s="1129">
        <v>1951</v>
      </c>
      <c r="AL1208" s="1108">
        <f>SUM(Table15[[#This Row],[Nicor Initiated DBE]:[Staffing]])/(Table15[[#This Row],[Amount Invoiced]])</f>
        <v>1.6975496098475876E-2</v>
      </c>
      <c r="AM1208" s="536" t="s">
        <v>116</v>
      </c>
      <c r="AN1208" s="903" t="s">
        <v>709</v>
      </c>
      <c r="AO1208" s="1536"/>
      <c r="AP1208" s="1537"/>
      <c r="AQ1208" s="1537"/>
      <c r="AR1208" s="1537"/>
      <c r="AS1208" s="888">
        <f>IF(Table15[[#This Row],[PCTS Approved]]="N",0,Table15[[#This Row],[Investment Amount (1'#'#'#'#'#)]]+Table15[[#This Row],[Retirement Amount (3'#'#'#'#'#)]])</f>
        <v>0</v>
      </c>
      <c r="AT1208" s="888">
        <f>IF(Table15[[#This Row],[Approved Construction Cost]]=0,0,Table15[[#This Row],[Approved Construction Cost]]-Table15[[#This Row],[Construction Cost to Bill From]])</f>
        <v>0</v>
      </c>
      <c r="AU1208" s="888">
        <f>IFERROR(Table15[[#This Row],[Difference in Construction Cost]]*Table15[[#This Row],[Rate]],Table15[[#This Row],[Difference in Construction Cost]]*0.085)</f>
        <v>0</v>
      </c>
      <c r="AV1208" s="905"/>
      <c r="AW1208" s="1509"/>
      <c r="AX1208" s="888"/>
      <c r="AY1208" s="636" t="s">
        <v>709</v>
      </c>
      <c r="AZ1208" s="333" t="s">
        <v>709</v>
      </c>
      <c r="BA1208" s="859" t="s">
        <v>6456</v>
      </c>
      <c r="BB1208" s="644" t="s">
        <v>6457</v>
      </c>
      <c r="BC1208" s="544" t="s">
        <v>115</v>
      </c>
      <c r="BD1208" s="544" t="s">
        <v>115</v>
      </c>
      <c r="BE1208" s="544" t="s">
        <v>6458</v>
      </c>
      <c r="BF1208" s="544" t="s">
        <v>115</v>
      </c>
      <c r="BG1208" s="544" t="s">
        <v>6459</v>
      </c>
      <c r="BH1208" s="741" t="s">
        <v>6460</v>
      </c>
      <c r="BI1208" s="547" t="s">
        <v>709</v>
      </c>
      <c r="BJ1208" s="547" t="s">
        <v>709</v>
      </c>
      <c r="BK1208" s="547" t="s">
        <v>116</v>
      </c>
      <c r="BL1208" s="547" t="s">
        <v>116</v>
      </c>
      <c r="BM1208" s="547" t="s">
        <v>709</v>
      </c>
      <c r="BN1208" s="547">
        <v>165</v>
      </c>
      <c r="BO1208" s="547" t="s">
        <v>709</v>
      </c>
      <c r="BP1208" s="547">
        <v>30</v>
      </c>
      <c r="BQ1208" s="547">
        <v>70</v>
      </c>
      <c r="BR1208" s="547">
        <v>48</v>
      </c>
      <c r="BS1208" s="547">
        <v>30</v>
      </c>
      <c r="BT1208" s="547">
        <v>1</v>
      </c>
      <c r="BU1208" s="547" t="s">
        <v>709</v>
      </c>
      <c r="BV1208" s="547" t="s">
        <v>745</v>
      </c>
      <c r="BW1208" s="547" t="s">
        <v>709</v>
      </c>
      <c r="BX1208" s="547">
        <v>1</v>
      </c>
      <c r="BY1208" s="547">
        <v>2</v>
      </c>
      <c r="BZ1208" s="547" t="s">
        <v>709</v>
      </c>
      <c r="CA1208" s="483"/>
      <c r="CB1208" s="547">
        <v>1206</v>
      </c>
      <c r="CC1208" s="1481" t="b">
        <v>1</v>
      </c>
      <c r="CD1208" s="879" t="str">
        <f>Table15[[#This Row],[Engineering Number]]&amp;Table15[[#This Row],[WO Number]]&amp;Table15[[#This Row],[Date Assigned to Designer]]&amp;Table15[[#This Row],[Date Completed]]</f>
        <v>RS119510134204526845499</v>
      </c>
    </row>
    <row r="1209" spans="1:82" customFormat="1" ht="15" customHeight="1" x14ac:dyDescent="0.25">
      <c r="A1209">
        <v>2025</v>
      </c>
      <c r="B1209" s="8" t="s">
        <v>4</v>
      </c>
      <c r="C1209" s="8" t="s">
        <v>6462</v>
      </c>
      <c r="D1209" s="8" t="s">
        <v>6463</v>
      </c>
      <c r="E1209" s="8" t="s">
        <v>354</v>
      </c>
      <c r="F1209" s="8" t="s">
        <v>784</v>
      </c>
      <c r="G1209" s="8" t="s">
        <v>35</v>
      </c>
      <c r="H1209" s="8" t="s">
        <v>59</v>
      </c>
      <c r="I1209" s="642">
        <v>45335</v>
      </c>
      <c r="J1209" s="18">
        <v>45504</v>
      </c>
      <c r="K1209" s="97">
        <v>45503</v>
      </c>
      <c r="L1209" s="16">
        <f>IF(ISTEXT(Table15[[#This Row],[Engineering Approved Design Date]]),Table15[[#This Row],[Date Completed]]-Table15[[#This Row],[Date Assigned to Designer]],Table15[[#This Row],[Engineering Approved Design Date]]-Table15[[#This Row],[Date Completed]])</f>
        <v>1</v>
      </c>
      <c r="M1209" s="642"/>
      <c r="N1209" s="99" t="s">
        <v>120</v>
      </c>
      <c r="O1209" s="1060">
        <v>45505</v>
      </c>
      <c r="P1209" s="1152" t="s">
        <v>739</v>
      </c>
      <c r="Q1209" s="340">
        <f>Table15[[#This Row],[Rate]]*Table15[[#This Row],[Construction Cost to Bill From]]</f>
        <v>104927.51299999999</v>
      </c>
      <c r="R1209" s="1026">
        <v>0.1</v>
      </c>
      <c r="S1209" s="538" t="s">
        <v>29</v>
      </c>
      <c r="T1209" s="538" t="s">
        <v>29</v>
      </c>
      <c r="U1209" s="28" t="s">
        <v>29</v>
      </c>
      <c r="V1209" s="858">
        <v>2054</v>
      </c>
      <c r="W1209" s="437">
        <v>0</v>
      </c>
      <c r="X1209" s="538">
        <v>580996.19999999995</v>
      </c>
      <c r="Y1209" s="550"/>
      <c r="Z1209" s="552">
        <v>468278.93</v>
      </c>
      <c r="AA1209" s="552">
        <f>SUM(Table15[[#This Row],[PCTS Investment Amount]:[PCTS Retirement Amount]])</f>
        <v>1049275.1299999999</v>
      </c>
      <c r="AB1209" s="341">
        <v>45495</v>
      </c>
      <c r="AC1209" s="569" t="s">
        <v>709</v>
      </c>
      <c r="AD1209" s="1149" t="s">
        <v>29</v>
      </c>
      <c r="AE1209" s="568" t="s">
        <v>116</v>
      </c>
      <c r="AF1209" s="568" t="s">
        <v>29</v>
      </c>
      <c r="AG1209" s="568" t="s">
        <v>376</v>
      </c>
      <c r="AH1209" s="183">
        <v>45525</v>
      </c>
      <c r="AI1209" s="1125">
        <v>0</v>
      </c>
      <c r="AJ1209" s="1110">
        <v>0</v>
      </c>
      <c r="AK1209" s="1126">
        <v>13957</v>
      </c>
      <c r="AL1209" s="1108">
        <f>SUM(Table15[[#This Row],[Nicor Initiated DBE]:[Staffing]])/(Table15[[#This Row],[Amount Invoiced]])</f>
        <v>0.13301563718564455</v>
      </c>
      <c r="AM1209" s="1522" t="s">
        <v>116</v>
      </c>
      <c r="AN1209" s="1523">
        <v>45553</v>
      </c>
      <c r="AO1209" s="1524">
        <v>11091245</v>
      </c>
      <c r="AP1209" s="1525">
        <v>570517.85</v>
      </c>
      <c r="AQ1209" s="1525"/>
      <c r="AR1209" s="1525">
        <v>472801.46</v>
      </c>
      <c r="AS1209" s="1525">
        <f>IF(Table15[[#This Row],[PCTS Approved]]="N",0,Table15[[#This Row],[Investment Amount (1'#'#'#'#'#)]]+Table15[[#This Row],[Retirement Amount (3'#'#'#'#'#)]])</f>
        <v>1043319.31</v>
      </c>
      <c r="AT1209" s="1525">
        <f>IF(Table15[[#This Row],[Approved Construction Cost]]=0,0,Table15[[#This Row],[Approved Construction Cost]]-Table15[[#This Row],[Construction Cost to Bill From]])</f>
        <v>-5955.8199999998324</v>
      </c>
      <c r="AU1209" s="1525">
        <f>IFERROR(Table15[[#This Row],[Difference in Construction Cost]]*Table15[[#This Row],[Rate]],Table15[[#This Row],[Difference in Construction Cost]]*0.085)</f>
        <v>-595.58199999998328</v>
      </c>
      <c r="AV1209" s="1525">
        <v>0</v>
      </c>
      <c r="AW1209" s="1526" t="s">
        <v>6464</v>
      </c>
      <c r="AX1209" s="1525">
        <f>Table15[[#This Row],[Reconcile Amount]]</f>
        <v>-595.58199999998328</v>
      </c>
      <c r="AY1209" s="1518">
        <v>45901</v>
      </c>
      <c r="AZ1209" s="333"/>
      <c r="BA1209" s="1031" t="s">
        <v>6465</v>
      </c>
      <c r="BB1209" s="644" t="s">
        <v>986</v>
      </c>
      <c r="BC1209" s="559" t="s">
        <v>992</v>
      </c>
      <c r="BD1209" s="559" t="s">
        <v>743</v>
      </c>
      <c r="BE1209" s="554" t="s">
        <v>588</v>
      </c>
      <c r="BF1209" s="588" t="s">
        <v>588</v>
      </c>
      <c r="BG1209" s="588" t="s">
        <v>115</v>
      </c>
      <c r="BH1209" s="615" t="s">
        <v>6466</v>
      </c>
      <c r="BI1209" s="547" t="s">
        <v>709</v>
      </c>
      <c r="BJ1209" s="547" t="s">
        <v>709</v>
      </c>
      <c r="BK1209" s="547" t="s">
        <v>709</v>
      </c>
      <c r="BL1209" s="547" t="s">
        <v>116</v>
      </c>
      <c r="BM1209" s="547" t="s">
        <v>709</v>
      </c>
      <c r="BN1209" s="547" t="s">
        <v>709</v>
      </c>
      <c r="BO1209" s="547" t="s">
        <v>709</v>
      </c>
      <c r="BP1209" s="626" t="s">
        <v>709</v>
      </c>
      <c r="BQ1209" s="626" t="s">
        <v>709</v>
      </c>
      <c r="BR1209" s="549" t="s">
        <v>709</v>
      </c>
      <c r="BS1209" s="549">
        <v>2054</v>
      </c>
      <c r="BT1209" s="547" t="s">
        <v>745</v>
      </c>
      <c r="BU1209" s="547" t="s">
        <v>745</v>
      </c>
      <c r="BV1209" s="547" t="s">
        <v>745</v>
      </c>
      <c r="BW1209" s="547" t="s">
        <v>745</v>
      </c>
      <c r="BX1209" s="547" t="s">
        <v>745</v>
      </c>
      <c r="BY1209" s="547" t="s">
        <v>745</v>
      </c>
      <c r="BZ1209" s="547" t="s">
        <v>709</v>
      </c>
      <c r="CA1209" s="483"/>
      <c r="CB1209" s="547">
        <v>1207</v>
      </c>
      <c r="CC1209" s="1481" t="b">
        <v>1</v>
      </c>
      <c r="CD1209" s="879" t="str">
        <f>Table15[[#This Row],[Engineering Number]]&amp;Table15[[#This Row],[WO Number]]&amp;Table15[[#This Row],[Date Assigned to Designer]]&amp;Table15[[#This Row],[Date Completed]]</f>
        <v>N13601-112137884533545503</v>
      </c>
    </row>
    <row r="1210" spans="1:82" customFormat="1" ht="15" customHeight="1" x14ac:dyDescent="0.25">
      <c r="A1210">
        <v>2024</v>
      </c>
      <c r="B1210" s="8" t="s">
        <v>4</v>
      </c>
      <c r="C1210" s="8" t="s">
        <v>6474</v>
      </c>
      <c r="D1210" s="8" t="s">
        <v>6475</v>
      </c>
      <c r="E1210" s="8" t="s">
        <v>111</v>
      </c>
      <c r="F1210" s="8" t="s">
        <v>784</v>
      </c>
      <c r="G1210" s="8" t="s">
        <v>26</v>
      </c>
      <c r="H1210" s="8" t="s">
        <v>59</v>
      </c>
      <c r="I1210" s="642">
        <v>45100</v>
      </c>
      <c r="J1210" s="777">
        <v>45504</v>
      </c>
      <c r="K1210" s="97">
        <v>45504</v>
      </c>
      <c r="L1210" s="16">
        <f>IF(ISTEXT(Table15[[#This Row],[Engineering Approved Design Date]]),Table15[[#This Row],[Date Completed]]-Table15[[#This Row],[Date Assigned to Designer]],Table15[[#This Row],[Engineering Approved Design Date]]-Table15[[#This Row],[Date Completed]])</f>
        <v>0</v>
      </c>
      <c r="M1210" s="642"/>
      <c r="N1210" s="99" t="s">
        <v>120</v>
      </c>
      <c r="O1210" s="1060">
        <v>45505</v>
      </c>
      <c r="P1210" s="1152" t="s">
        <v>739</v>
      </c>
      <c r="Q1210" s="340">
        <f>Table15[[#This Row],[Rate]]*Table15[[#This Row],[Construction Cost to Bill From]]</f>
        <v>7327.8270000000011</v>
      </c>
      <c r="R1210" s="1026">
        <v>0.1</v>
      </c>
      <c r="S1210" s="538" t="s">
        <v>29</v>
      </c>
      <c r="T1210" s="538" t="s">
        <v>29</v>
      </c>
      <c r="U1210" s="28" t="s">
        <v>29</v>
      </c>
      <c r="V1210" s="858">
        <v>230</v>
      </c>
      <c r="W1210" s="437">
        <v>0</v>
      </c>
      <c r="X1210" s="538">
        <v>44717.62</v>
      </c>
      <c r="Y1210" s="550"/>
      <c r="Z1210" s="552">
        <v>28560.65</v>
      </c>
      <c r="AA1210" s="552">
        <f>SUM(Table15[[#This Row],[PCTS Investment Amount]:[PCTS Retirement Amount]])</f>
        <v>73278.27</v>
      </c>
      <c r="AB1210" s="341">
        <v>45505</v>
      </c>
      <c r="AC1210" s="569" t="s">
        <v>709</v>
      </c>
      <c r="AD1210" s="1149" t="s">
        <v>29</v>
      </c>
      <c r="AE1210" s="568" t="s">
        <v>116</v>
      </c>
      <c r="AF1210" s="568" t="s">
        <v>116</v>
      </c>
      <c r="AG1210" s="569" t="s">
        <v>116</v>
      </c>
      <c r="AH1210" s="183">
        <v>45525</v>
      </c>
      <c r="AI1210" s="1125">
        <v>0</v>
      </c>
      <c r="AJ1210" s="1110">
        <v>4262.8</v>
      </c>
      <c r="AK1210" s="1126">
        <v>0</v>
      </c>
      <c r="AL1210" s="1108">
        <f>SUM(Table15[[#This Row],[Nicor Initiated DBE]:[Staffing]])/(Table15[[#This Row],[Amount Invoiced]])</f>
        <v>0.58172770727256518</v>
      </c>
      <c r="AM1210" s="542" t="s">
        <v>709</v>
      </c>
      <c r="AN1210" s="924"/>
      <c r="AO1210" s="925"/>
      <c r="AP1210" s="926"/>
      <c r="AQ1210" s="926"/>
      <c r="AR1210" s="926"/>
      <c r="AS1210" s="926"/>
      <c r="AT1210" s="926"/>
      <c r="AU1210" s="926"/>
      <c r="AV1210" s="926"/>
      <c r="AW1210" s="927"/>
      <c r="AX1210" s="926"/>
      <c r="AY1210" s="1538" t="s">
        <v>29</v>
      </c>
      <c r="AZ1210" s="1530"/>
      <c r="BA1210" s="1031" t="s">
        <v>6476</v>
      </c>
      <c r="BB1210" s="644" t="s">
        <v>961</v>
      </c>
      <c r="BC1210" s="559" t="s">
        <v>116</v>
      </c>
      <c r="BD1210" s="554" t="s">
        <v>115</v>
      </c>
      <c r="BE1210" s="554" t="s">
        <v>1114</v>
      </c>
      <c r="BF1210" s="588" t="s">
        <v>115</v>
      </c>
      <c r="BG1210" s="588" t="s">
        <v>115</v>
      </c>
      <c r="BH1210" s="615" t="s">
        <v>6477</v>
      </c>
      <c r="BI1210" s="549" t="s">
        <v>709</v>
      </c>
      <c r="BJ1210" s="626" t="s">
        <v>709</v>
      </c>
      <c r="BK1210" s="549" t="s">
        <v>709</v>
      </c>
      <c r="BL1210" s="547" t="s">
        <v>116</v>
      </c>
      <c r="BM1210" s="549" t="s">
        <v>709</v>
      </c>
      <c r="BN1210" s="549" t="s">
        <v>709</v>
      </c>
      <c r="BO1210" s="549" t="s">
        <v>709</v>
      </c>
      <c r="BP1210" s="549" t="s">
        <v>709</v>
      </c>
      <c r="BQ1210" s="549" t="s">
        <v>709</v>
      </c>
      <c r="BR1210" s="549" t="s">
        <v>709</v>
      </c>
      <c r="BS1210" s="549">
        <v>230</v>
      </c>
      <c r="BT1210" s="549" t="s">
        <v>709</v>
      </c>
      <c r="BU1210" s="549" t="s">
        <v>709</v>
      </c>
      <c r="BV1210" s="549" t="s">
        <v>709</v>
      </c>
      <c r="BW1210" s="549" t="s">
        <v>709</v>
      </c>
      <c r="BX1210" s="549" t="s">
        <v>709</v>
      </c>
      <c r="BY1210" s="549" t="s">
        <v>709</v>
      </c>
      <c r="BZ1210" s="547" t="s">
        <v>709</v>
      </c>
      <c r="CA1210" s="743" t="s">
        <v>6478</v>
      </c>
      <c r="CB1210" s="547">
        <v>1208</v>
      </c>
      <c r="CC1210" s="1481" t="b">
        <v>1</v>
      </c>
      <c r="CD1210" s="879" t="str">
        <f>Table15[[#This Row],[Engineering Number]]&amp;Table15[[#This Row],[WO Number]]&amp;Table15[[#This Row],[Date Assigned to Designer]]&amp;Table15[[#This Row],[Date Completed]]</f>
        <v>N1717512131414510045504</v>
      </c>
    </row>
    <row r="1211" spans="1:82" customFormat="1" ht="15" customHeight="1" x14ac:dyDescent="0.25">
      <c r="A1211">
        <v>2024</v>
      </c>
      <c r="B1211" s="8" t="s">
        <v>1073</v>
      </c>
      <c r="C1211" s="8" t="s">
        <v>6468</v>
      </c>
      <c r="D1211" s="8" t="s">
        <v>6469</v>
      </c>
      <c r="E1211" s="8" t="s">
        <v>111</v>
      </c>
      <c r="F1211" s="8" t="s">
        <v>784</v>
      </c>
      <c r="G1211" s="8" t="s">
        <v>26</v>
      </c>
      <c r="H1211" s="8" t="s">
        <v>59</v>
      </c>
      <c r="I1211" s="642">
        <v>45414</v>
      </c>
      <c r="J1211" s="18">
        <v>45504</v>
      </c>
      <c r="K1211" s="97">
        <v>45504</v>
      </c>
      <c r="L1211" s="16">
        <f>IF(ISTEXT(Table15[[#This Row],[Engineering Approved Design Date]]),Table15[[#This Row],[Date Completed]]-Table15[[#This Row],[Date Assigned to Designer]],Table15[[#This Row],[Engineering Approved Design Date]]-Table15[[#This Row],[Date Completed]])</f>
        <v>0</v>
      </c>
      <c r="M1211" s="642"/>
      <c r="N1211" s="642" t="s">
        <v>120</v>
      </c>
      <c r="O1211" s="1060">
        <v>45536</v>
      </c>
      <c r="P1211" s="1152" t="s">
        <v>739</v>
      </c>
      <c r="Q1211" s="340">
        <f>Table15[[#This Row],[Rate]]*Table15[[#This Row],[Construction Cost to Bill From]]</f>
        <v>47922.286399999997</v>
      </c>
      <c r="R1211" s="1026">
        <v>0.08</v>
      </c>
      <c r="S1211" s="538"/>
      <c r="T1211" s="538"/>
      <c r="U1211" s="87"/>
      <c r="V1211" s="858">
        <v>6161</v>
      </c>
      <c r="W1211" s="437">
        <v>0</v>
      </c>
      <c r="X1211" s="538">
        <v>599028.57999999996</v>
      </c>
      <c r="Y1211" s="768">
        <v>832372.58</v>
      </c>
      <c r="Z1211" s="552">
        <v>0</v>
      </c>
      <c r="AA1211" s="552">
        <f>Table15[[#This Row],[PCTS Retirement Amount]]+Table15[[#This Row],[PCTS Investment Amount]]</f>
        <v>599028.57999999996</v>
      </c>
      <c r="AB1211" s="341">
        <v>45518</v>
      </c>
      <c r="AC1211" s="569" t="s">
        <v>709</v>
      </c>
      <c r="AD1211" s="1149" t="s">
        <v>29</v>
      </c>
      <c r="AE1211" s="568" t="s">
        <v>116</v>
      </c>
      <c r="AF1211" s="568" t="s">
        <v>116</v>
      </c>
      <c r="AG1211" s="569" t="s">
        <v>116</v>
      </c>
      <c r="AH1211" s="183">
        <v>45525</v>
      </c>
      <c r="AI1211" s="1125">
        <v>0</v>
      </c>
      <c r="AJ1211" s="1110">
        <v>0</v>
      </c>
      <c r="AK1211" s="1126">
        <v>13247</v>
      </c>
      <c r="AL1211" s="1240">
        <f>SUM(Table15[[#This Row],[Nicor Initiated DBE]:[Staffing]])/(Table15[[#This Row],[Amount Invoiced]])</f>
        <v>0.27642671072555502</v>
      </c>
      <c r="AM1211" s="542" t="s">
        <v>709</v>
      </c>
      <c r="AN1211" s="924"/>
      <c r="AO1211" s="925"/>
      <c r="AP1211" s="926"/>
      <c r="AQ1211" s="926"/>
      <c r="AR1211" s="926"/>
      <c r="AS1211" s="926"/>
      <c r="AT1211" s="926"/>
      <c r="AU1211" s="926"/>
      <c r="AV1211" s="926"/>
      <c r="AW1211" s="927"/>
      <c r="AX1211" s="926"/>
      <c r="AY1211" s="1538" t="s">
        <v>29</v>
      </c>
      <c r="AZ1211" s="1530"/>
      <c r="BA1211" s="1074"/>
      <c r="BB1211" s="644" t="s">
        <v>961</v>
      </c>
      <c r="BC1211" s="559" t="s">
        <v>116</v>
      </c>
      <c r="BD1211" s="554" t="s">
        <v>115</v>
      </c>
      <c r="BE1211" s="588" t="s">
        <v>1114</v>
      </c>
      <c r="BF1211" s="588" t="s">
        <v>115</v>
      </c>
      <c r="BG1211" s="548" t="s">
        <v>115</v>
      </c>
      <c r="BH1211" s="615" t="s">
        <v>6470</v>
      </c>
      <c r="BI1211" s="549" t="s">
        <v>709</v>
      </c>
      <c r="BJ1211" s="549" t="s">
        <v>709</v>
      </c>
      <c r="BK1211" s="549" t="s">
        <v>709</v>
      </c>
      <c r="BL1211" s="547" t="s">
        <v>116</v>
      </c>
      <c r="BM1211" s="549" t="s">
        <v>709</v>
      </c>
      <c r="BN1211" s="549" t="s">
        <v>709</v>
      </c>
      <c r="BO1211" s="549" t="s">
        <v>709</v>
      </c>
      <c r="BP1211" s="549" t="s">
        <v>709</v>
      </c>
      <c r="BQ1211" s="549" t="s">
        <v>709</v>
      </c>
      <c r="BR1211" s="549" t="s">
        <v>709</v>
      </c>
      <c r="BS1211" s="547">
        <v>6161</v>
      </c>
      <c r="BT1211" s="549" t="s">
        <v>709</v>
      </c>
      <c r="BU1211" s="549" t="s">
        <v>709</v>
      </c>
      <c r="BV1211" s="549" t="s">
        <v>709</v>
      </c>
      <c r="BW1211" s="549" t="s">
        <v>709</v>
      </c>
      <c r="BX1211" s="549" t="s">
        <v>709</v>
      </c>
      <c r="BY1211" s="549" t="s">
        <v>709</v>
      </c>
      <c r="BZ1211" s="547" t="s">
        <v>709</v>
      </c>
      <c r="CA1211" s="744"/>
      <c r="CB1211" s="547">
        <v>1209</v>
      </c>
      <c r="CC1211" s="1481" t="b">
        <v>1</v>
      </c>
      <c r="CD1211" s="879" t="str">
        <f>Table15[[#This Row],[Engineering Number]]&amp;Table15[[#This Row],[WO Number]]&amp;Table15[[#This Row],[Date Assigned to Designer]]&amp;Table15[[#This Row],[Date Completed]]</f>
        <v>NBA1001400416136814541445504</v>
      </c>
    </row>
    <row r="1212" spans="1:82" customFormat="1" ht="15" customHeight="1" x14ac:dyDescent="0.25">
      <c r="A1212">
        <v>2024</v>
      </c>
      <c r="B1212" s="8" t="s">
        <v>1073</v>
      </c>
      <c r="C1212" s="8" t="s">
        <v>6468</v>
      </c>
      <c r="D1212" s="8" t="s">
        <v>6469</v>
      </c>
      <c r="E1212" s="8" t="s">
        <v>111</v>
      </c>
      <c r="F1212" s="8" t="s">
        <v>784</v>
      </c>
      <c r="G1212" s="8" t="s">
        <v>26</v>
      </c>
      <c r="H1212" s="8" t="s">
        <v>59</v>
      </c>
      <c r="I1212" s="642">
        <v>45414</v>
      </c>
      <c r="J1212" s="18">
        <v>45504</v>
      </c>
      <c r="K1212" s="18">
        <v>45504</v>
      </c>
      <c r="L1212" s="16">
        <f>IF(ISTEXT(Table15[[#This Row],[Engineering Approved Design Date]]),Table15[[#This Row],[Date Completed]]-Table15[[#This Row],[Date Assigned to Designer]],Table15[[#This Row],[Engineering Approved Design Date]]-Table15[[#This Row],[Date Completed]])</f>
        <v>0</v>
      </c>
      <c r="M1212" s="13" t="s">
        <v>6472</v>
      </c>
      <c r="N1212" s="770" t="s">
        <v>120</v>
      </c>
      <c r="O1212" s="1060">
        <v>45627</v>
      </c>
      <c r="P1212" s="1152" t="s">
        <v>739</v>
      </c>
      <c r="Q1212" s="340">
        <f>Table15[[#This Row],[KH Hourly Effort]]</f>
        <v>16895</v>
      </c>
      <c r="R1212" s="1039" t="s">
        <v>1922</v>
      </c>
      <c r="S1212" s="1135">
        <v>0</v>
      </c>
      <c r="T1212" s="538">
        <v>0</v>
      </c>
      <c r="U1212" s="28">
        <v>16895</v>
      </c>
      <c r="V1212" s="538" t="s">
        <v>29</v>
      </c>
      <c r="W1212" s="343" t="s">
        <v>29</v>
      </c>
      <c r="X1212" s="552" t="s">
        <v>29</v>
      </c>
      <c r="Y1212" s="551"/>
      <c r="Z1212" s="552" t="s">
        <v>29</v>
      </c>
      <c r="AA1212" s="552" t="s">
        <v>29</v>
      </c>
      <c r="AB1212" s="341" t="s">
        <v>29</v>
      </c>
      <c r="AC1212" s="568" t="s">
        <v>29</v>
      </c>
      <c r="AD1212" s="1159" t="s">
        <v>29</v>
      </c>
      <c r="AE1212" s="573" t="s">
        <v>29</v>
      </c>
      <c r="AF1212" s="573" t="s">
        <v>29</v>
      </c>
      <c r="AG1212" s="569" t="s">
        <v>29</v>
      </c>
      <c r="AH1212" s="573" t="s">
        <v>29</v>
      </c>
      <c r="AI1212" s="1028" t="s">
        <v>29</v>
      </c>
      <c r="AJ1212" s="1029" t="s">
        <v>29</v>
      </c>
      <c r="AK1212" s="1029" t="s">
        <v>29</v>
      </c>
      <c r="AL1212" s="1241" t="s">
        <v>29</v>
      </c>
      <c r="AM1212" s="542" t="s">
        <v>709</v>
      </c>
      <c r="AN1212" s="924"/>
      <c r="AO1212" s="925"/>
      <c r="AP1212" s="926"/>
      <c r="AQ1212" s="926"/>
      <c r="AR1212" s="926"/>
      <c r="AS1212" s="926"/>
      <c r="AT1212" s="926"/>
      <c r="AU1212" s="926"/>
      <c r="AV1212" s="926"/>
      <c r="AW1212" s="927"/>
      <c r="AX1212" s="926"/>
      <c r="AY1212" s="1538" t="s">
        <v>29</v>
      </c>
      <c r="AZ1212" s="1530"/>
      <c r="BA1212" s="1074" t="s">
        <v>29</v>
      </c>
      <c r="BB1212" s="644" t="s">
        <v>29</v>
      </c>
      <c r="BC1212" s="544" t="s">
        <v>115</v>
      </c>
      <c r="BD1212" s="554" t="s">
        <v>115</v>
      </c>
      <c r="BE1212" s="544" t="s">
        <v>115</v>
      </c>
      <c r="BF1212" s="544" t="s">
        <v>115</v>
      </c>
      <c r="BG1212" s="588" t="s">
        <v>115</v>
      </c>
      <c r="BH1212" s="615" t="s">
        <v>6473</v>
      </c>
      <c r="BI1212" s="1140"/>
      <c r="BJ1212" s="1140"/>
      <c r="BK1212" s="1140"/>
      <c r="BL1212" s="1140"/>
      <c r="BM1212" s="1140"/>
      <c r="BN1212" s="1140"/>
      <c r="BO1212" s="1140"/>
      <c r="BP1212" s="1141"/>
      <c r="BQ1212" s="1141"/>
      <c r="BR1212" s="1142"/>
      <c r="BS1212" s="1142"/>
      <c r="BT1212" s="1140"/>
      <c r="BU1212" s="1140"/>
      <c r="BV1212" s="1140"/>
      <c r="BW1212" s="1140"/>
      <c r="BX1212" s="1140"/>
      <c r="BY1212" s="1140"/>
      <c r="BZ1212" s="1140"/>
      <c r="CA1212" s="1519"/>
      <c r="CB1212" s="547">
        <v>1210</v>
      </c>
      <c r="CC1212" s="1481" t="b">
        <v>1</v>
      </c>
      <c r="CD1212" s="879" t="str">
        <f>Table15[[#This Row],[Engineering Number]]&amp;Table15[[#This Row],[WO Number]]&amp;Table15[[#This Row],[Date Assigned to Designer]]&amp;Table15[[#This Row],[Date Completed]]</f>
        <v>NBA1001400416136814541445504</v>
      </c>
    </row>
    <row r="1213" spans="1:82" customFormat="1" ht="15" customHeight="1" x14ac:dyDescent="0.25">
      <c r="A1213">
        <v>2024</v>
      </c>
      <c r="B1213" s="8" t="s">
        <v>4</v>
      </c>
      <c r="C1213" s="8" t="s">
        <v>6480</v>
      </c>
      <c r="D1213" s="8" t="s">
        <v>6481</v>
      </c>
      <c r="E1213" s="8" t="s">
        <v>6482</v>
      </c>
      <c r="F1213" s="8" t="s">
        <v>1102</v>
      </c>
      <c r="G1213" s="8" t="s">
        <v>31</v>
      </c>
      <c r="H1213" s="8" t="s">
        <v>413</v>
      </c>
      <c r="I1213" s="642">
        <v>45380</v>
      </c>
      <c r="J1213" s="18">
        <v>45513</v>
      </c>
      <c r="K1213" s="97">
        <v>45506</v>
      </c>
      <c r="L1213" s="16">
        <f>IF(ISTEXT(Table15[[#This Row],[Engineering Approved Design Date]]),Table15[[#This Row],[Date Completed]]-Table15[[#This Row],[Date Assigned to Designer]],Table15[[#This Row],[Engineering Approved Design Date]]-Table15[[#This Row],[Date Completed]])</f>
        <v>7</v>
      </c>
      <c r="M1213" s="642"/>
      <c r="N1213" s="99" t="s">
        <v>120</v>
      </c>
      <c r="O1213" s="1060">
        <v>45505</v>
      </c>
      <c r="P1213" s="1152" t="s">
        <v>739</v>
      </c>
      <c r="Q1213" s="340">
        <f>Table15[[#This Row],[Rate]]*Table15[[#This Row],[Construction Cost to Bill From]]</f>
        <v>106046.621</v>
      </c>
      <c r="R1213" s="1026">
        <v>0.1</v>
      </c>
      <c r="S1213" s="538" t="s">
        <v>29</v>
      </c>
      <c r="T1213" s="538" t="s">
        <v>29</v>
      </c>
      <c r="U1213" s="28" t="s">
        <v>29</v>
      </c>
      <c r="V1213" s="858">
        <v>3818</v>
      </c>
      <c r="W1213" s="437">
        <v>0</v>
      </c>
      <c r="X1213" s="538">
        <v>897800.8</v>
      </c>
      <c r="Y1213" s="550"/>
      <c r="Z1213" s="552">
        <v>162665.41</v>
      </c>
      <c r="AA1213" s="552">
        <f>SUM(Table15[[#This Row],[PCTS Investment Amount]:[PCTS Retirement Amount]])</f>
        <v>1060466.21</v>
      </c>
      <c r="AB1213" s="341">
        <v>45490</v>
      </c>
      <c r="AC1213" s="569" t="s">
        <v>709</v>
      </c>
      <c r="AD1213" s="1149" t="s">
        <v>29</v>
      </c>
      <c r="AE1213" s="568" t="s">
        <v>116</v>
      </c>
      <c r="AF1213" s="568" t="s">
        <v>116</v>
      </c>
      <c r="AG1213" s="568" t="s">
        <v>376</v>
      </c>
      <c r="AH1213" s="183">
        <v>45567</v>
      </c>
      <c r="AI1213" s="1125">
        <v>0</v>
      </c>
      <c r="AJ1213" s="1110">
        <v>16760</v>
      </c>
      <c r="AK1213" s="1126">
        <v>12867</v>
      </c>
      <c r="AL1213" s="1108">
        <f>SUM(Table15[[#This Row],[Nicor Initiated DBE]:[Staffing]])/(Table15[[#This Row],[Amount Invoiced]])</f>
        <v>0.27937712414240901</v>
      </c>
      <c r="AM1213" s="1522" t="s">
        <v>116</v>
      </c>
      <c r="AN1213" s="1523">
        <v>45532</v>
      </c>
      <c r="AO1213" s="1524">
        <v>11089908</v>
      </c>
      <c r="AP1213" s="1525">
        <v>897800.8</v>
      </c>
      <c r="AQ1213" s="1525"/>
      <c r="AR1213" s="1525">
        <v>162665.41</v>
      </c>
      <c r="AS1213" s="1525">
        <f>IF(Table15[[#This Row],[PCTS Approved]]="N",0,Table15[[#This Row],[Investment Amount (1'#'#'#'#'#)]]+Table15[[#This Row],[Retirement Amount (3'#'#'#'#'#)]])</f>
        <v>1060466.21</v>
      </c>
      <c r="AT1213" s="1525">
        <f>IF(Table15[[#This Row],[Approved Construction Cost]]=0,0,Table15[[#This Row],[Approved Construction Cost]]-Table15[[#This Row],[Construction Cost to Bill From]])</f>
        <v>0</v>
      </c>
      <c r="AU1213" s="1525">
        <f>Table15[[#This Row],[Difference in Construction Cost]]*Table15[[#This Row],[Rate]]</f>
        <v>0</v>
      </c>
      <c r="AV1213" s="1525">
        <v>0</v>
      </c>
      <c r="AW1213" s="1526" t="s">
        <v>29</v>
      </c>
      <c r="AX1213" s="1525">
        <f>Table15[[#This Row],[Revision Billed]]</f>
        <v>0</v>
      </c>
      <c r="AY1213" s="1518">
        <v>45901</v>
      </c>
      <c r="AZ1213" s="333"/>
      <c r="BA1213" s="1031" t="s">
        <v>6483</v>
      </c>
      <c r="BB1213" s="644" t="s">
        <v>5767</v>
      </c>
      <c r="BC1213" s="559" t="s">
        <v>116</v>
      </c>
      <c r="BD1213" s="554" t="s">
        <v>115</v>
      </c>
      <c r="BE1213" s="554" t="s">
        <v>923</v>
      </c>
      <c r="BF1213" s="588" t="s">
        <v>115</v>
      </c>
      <c r="BG1213" s="588" t="s">
        <v>115</v>
      </c>
      <c r="BH1213" s="615" t="s">
        <v>6484</v>
      </c>
      <c r="BI1213" s="549" t="s">
        <v>709</v>
      </c>
      <c r="BJ1213" s="549" t="s">
        <v>709</v>
      </c>
      <c r="BK1213" s="549" t="s">
        <v>709</v>
      </c>
      <c r="BL1213" s="547" t="s">
        <v>116</v>
      </c>
      <c r="BM1213" s="549" t="s">
        <v>709</v>
      </c>
      <c r="BN1213" s="549" t="s">
        <v>709</v>
      </c>
      <c r="BO1213" s="549" t="s">
        <v>709</v>
      </c>
      <c r="BP1213" s="549" t="s">
        <v>709</v>
      </c>
      <c r="BQ1213" s="549" t="s">
        <v>709</v>
      </c>
      <c r="BR1213" s="549" t="s">
        <v>709</v>
      </c>
      <c r="BS1213" s="549">
        <v>3818</v>
      </c>
      <c r="BT1213" s="549" t="s">
        <v>745</v>
      </c>
      <c r="BU1213" s="549" t="s">
        <v>745</v>
      </c>
      <c r="BV1213" s="549" t="s">
        <v>745</v>
      </c>
      <c r="BW1213" s="549" t="s">
        <v>745</v>
      </c>
      <c r="BX1213" s="549" t="s">
        <v>745</v>
      </c>
      <c r="BY1213" s="549" t="s">
        <v>745</v>
      </c>
      <c r="BZ1213" s="547" t="s">
        <v>709</v>
      </c>
      <c r="CA1213" s="743"/>
      <c r="CB1213" s="547">
        <v>1211</v>
      </c>
      <c r="CC1213" s="1481" t="b">
        <v>1</v>
      </c>
      <c r="CD1213" s="879" t="str">
        <f>Table15[[#This Row],[Engineering Number]]&amp;Table15[[#This Row],[WO Number]]&amp;Table15[[#This Row],[Date Assigned to Designer]]&amp;Table15[[#This Row],[Date Completed]]</f>
        <v>SC2429214139314538045506</v>
      </c>
    </row>
    <row r="1214" spans="1:82" customFormat="1" ht="15" customHeight="1" x14ac:dyDescent="0.25">
      <c r="A1214">
        <v>2024</v>
      </c>
      <c r="B1214" s="8" t="s">
        <v>4</v>
      </c>
      <c r="C1214" s="8" t="s">
        <v>6486</v>
      </c>
      <c r="D1214" s="8" t="s">
        <v>6487</v>
      </c>
      <c r="E1214" s="8" t="s">
        <v>6488</v>
      </c>
      <c r="F1214" s="8" t="s">
        <v>784</v>
      </c>
      <c r="G1214" s="8" t="s">
        <v>26</v>
      </c>
      <c r="H1214" s="8" t="s">
        <v>59</v>
      </c>
      <c r="I1214" s="642">
        <v>45470</v>
      </c>
      <c r="J1214" s="18">
        <v>45526</v>
      </c>
      <c r="K1214" s="97">
        <v>45516</v>
      </c>
      <c r="L1214" s="16">
        <f>IF(ISTEXT(Table15[[#This Row],[Engineering Approved Design Date]]),Table15[[#This Row],[Date Completed]]-Table15[[#This Row],[Date Assigned to Designer]],Table15[[#This Row],[Engineering Approved Design Date]]-Table15[[#This Row],[Date Completed]])</f>
        <v>10</v>
      </c>
      <c r="M1214" s="642"/>
      <c r="N1214" s="99" t="s">
        <v>120</v>
      </c>
      <c r="O1214" s="1060">
        <v>45505</v>
      </c>
      <c r="P1214" s="1152" t="s">
        <v>739</v>
      </c>
      <c r="Q1214" s="340">
        <f>Table15[[#This Row],[Rate]]*Table15[[#This Row],[Construction Cost to Bill From]]</f>
        <v>17215.901999999998</v>
      </c>
      <c r="R1214" s="1026">
        <v>0.1</v>
      </c>
      <c r="S1214" s="538" t="s">
        <v>29</v>
      </c>
      <c r="T1214" s="538" t="s">
        <v>29</v>
      </c>
      <c r="U1214" s="28" t="s">
        <v>29</v>
      </c>
      <c r="V1214" s="858">
        <v>28</v>
      </c>
      <c r="W1214" s="437">
        <v>0</v>
      </c>
      <c r="X1214" s="538">
        <v>113699.09</v>
      </c>
      <c r="Y1214" s="550"/>
      <c r="Z1214" s="552">
        <v>58459.93</v>
      </c>
      <c r="AA1214" s="552">
        <f>SUM(Table15[[#This Row],[PCTS Investment Amount]:[PCTS Retirement Amount]])</f>
        <v>172159.02</v>
      </c>
      <c r="AB1214" s="341">
        <v>45511</v>
      </c>
      <c r="AC1214" s="569" t="s">
        <v>29</v>
      </c>
      <c r="AD1214" s="1149" t="s">
        <v>29</v>
      </c>
      <c r="AE1214" s="568" t="s">
        <v>116</v>
      </c>
      <c r="AF1214" s="568" t="s">
        <v>29</v>
      </c>
      <c r="AG1214" s="568" t="s">
        <v>376</v>
      </c>
      <c r="AH1214" s="183">
        <v>45525</v>
      </c>
      <c r="AI1214" s="1125">
        <v>0</v>
      </c>
      <c r="AJ1214" s="1110">
        <v>0</v>
      </c>
      <c r="AK1214" s="1131">
        <v>7688</v>
      </c>
      <c r="AL1214" s="1108">
        <f>SUM(Table15[[#This Row],[Nicor Initiated DBE]:[Staffing]])/(Table15[[#This Row],[Amount Invoiced]])</f>
        <v>0.44656388030089861</v>
      </c>
      <c r="AM1214" s="1522" t="s">
        <v>116</v>
      </c>
      <c r="AN1214" s="1523">
        <v>45519</v>
      </c>
      <c r="AO1214" s="1524">
        <v>11089477</v>
      </c>
      <c r="AP1214" s="1525">
        <v>113699.09</v>
      </c>
      <c r="AQ1214" s="1525"/>
      <c r="AR1214" s="1525">
        <v>58459.93</v>
      </c>
      <c r="AS1214" s="1525">
        <f>IF(Table15[[#This Row],[PCTS Approved]]="N",0,Table15[[#This Row],[Investment Amount (1'#'#'#'#'#)]]+Table15[[#This Row],[Retirement Amount (3'#'#'#'#'#)]])</f>
        <v>172159.02</v>
      </c>
      <c r="AT1214" s="1525">
        <f>IF(Table15[[#This Row],[Approved Construction Cost]]=0,0,Table15[[#This Row],[Approved Construction Cost]]-Table15[[#This Row],[Construction Cost to Bill From]])</f>
        <v>0</v>
      </c>
      <c r="AU1214" s="1525">
        <f>Table15[[#This Row],[Difference in Construction Cost]]*Table15[[#This Row],[Rate]]</f>
        <v>0</v>
      </c>
      <c r="AV1214" s="1525">
        <v>0</v>
      </c>
      <c r="AW1214" s="1526" t="s">
        <v>29</v>
      </c>
      <c r="AX1214" s="1525">
        <f>Table15[[#This Row],[Revision Billed]]</f>
        <v>0</v>
      </c>
      <c r="AY1214" s="1518">
        <v>45901</v>
      </c>
      <c r="AZ1214" s="333"/>
      <c r="BA1214" s="1031" t="s">
        <v>6489</v>
      </c>
      <c r="BB1214" s="644" t="s">
        <v>870</v>
      </c>
      <c r="BC1214" s="559" t="s">
        <v>116</v>
      </c>
      <c r="BD1214" s="554" t="s">
        <v>115</v>
      </c>
      <c r="BE1214" s="554" t="s">
        <v>115</v>
      </c>
      <c r="BF1214" s="588" t="s">
        <v>115</v>
      </c>
      <c r="BG1214" s="588" t="s">
        <v>3021</v>
      </c>
      <c r="BH1214" s="615" t="s">
        <v>6490</v>
      </c>
      <c r="BI1214" s="549" t="s">
        <v>709</v>
      </c>
      <c r="BJ1214" s="549" t="s">
        <v>709</v>
      </c>
      <c r="BK1214" s="549" t="s">
        <v>709</v>
      </c>
      <c r="BL1214" s="547" t="s">
        <v>116</v>
      </c>
      <c r="BM1214" s="549" t="s">
        <v>709</v>
      </c>
      <c r="BN1214" s="549" t="s">
        <v>709</v>
      </c>
      <c r="BO1214" s="549" t="s">
        <v>709</v>
      </c>
      <c r="BP1214" s="549" t="s">
        <v>709</v>
      </c>
      <c r="BQ1214" s="549">
        <v>28</v>
      </c>
      <c r="BR1214" s="549" t="s">
        <v>709</v>
      </c>
      <c r="BS1214" s="549" t="s">
        <v>709</v>
      </c>
      <c r="BT1214" s="549" t="s">
        <v>709</v>
      </c>
      <c r="BU1214" s="549" t="s">
        <v>709</v>
      </c>
      <c r="BV1214" s="549" t="s">
        <v>709</v>
      </c>
      <c r="BW1214" s="549" t="s">
        <v>709</v>
      </c>
      <c r="BX1214" s="549" t="s">
        <v>709</v>
      </c>
      <c r="BY1214" s="549" t="s">
        <v>709</v>
      </c>
      <c r="BZ1214" s="547" t="s">
        <v>709</v>
      </c>
      <c r="CA1214" s="743"/>
      <c r="CB1214" s="547">
        <v>1212</v>
      </c>
      <c r="CC1214" s="1481" t="b">
        <v>1</v>
      </c>
      <c r="CD1214" s="879" t="str">
        <f>Table15[[#This Row],[Engineering Number]]&amp;Table15[[#This Row],[WO Number]]&amp;Table15[[#This Row],[Date Assigned to Designer]]&amp;Table15[[#This Row],[Date Completed]]</f>
        <v>N1789012141094547045516</v>
      </c>
    </row>
    <row r="1215" spans="1:82" customFormat="1" ht="15" customHeight="1" x14ac:dyDescent="0.25">
      <c r="A1215">
        <v>2024</v>
      </c>
      <c r="B1215" s="8" t="s">
        <v>4</v>
      </c>
      <c r="C1215" s="8" t="s">
        <v>6492</v>
      </c>
      <c r="D1215" s="8" t="s">
        <v>6493</v>
      </c>
      <c r="E1215" s="8" t="s">
        <v>108</v>
      </c>
      <c r="F1215" s="8" t="s">
        <v>784</v>
      </c>
      <c r="G1215" s="8" t="s">
        <v>35</v>
      </c>
      <c r="H1215" s="8" t="s">
        <v>59</v>
      </c>
      <c r="I1215" s="642">
        <v>45321</v>
      </c>
      <c r="J1215" s="18">
        <v>45520</v>
      </c>
      <c r="K1215" s="97">
        <v>45516</v>
      </c>
      <c r="L1215" s="16">
        <f>IF(ISTEXT(Table15[[#This Row],[Engineering Approved Design Date]]),Table15[[#This Row],[Date Completed]]-Table15[[#This Row],[Date Assigned to Designer]],Table15[[#This Row],[Engineering Approved Design Date]]-Table15[[#This Row],[Date Completed]])</f>
        <v>4</v>
      </c>
      <c r="M1215" s="642"/>
      <c r="N1215" s="99" t="s">
        <v>120</v>
      </c>
      <c r="O1215" s="1060">
        <v>45505</v>
      </c>
      <c r="P1215" s="1152" t="s">
        <v>739</v>
      </c>
      <c r="Q1215" s="340">
        <f>Table15[[#This Row],[Rate]]*Table15[[#This Row],[Construction Cost to Bill From]]</f>
        <v>41146.435000000005</v>
      </c>
      <c r="R1215" s="1026">
        <v>0.1</v>
      </c>
      <c r="S1215" s="538" t="s">
        <v>29</v>
      </c>
      <c r="T1215" s="538" t="s">
        <v>29</v>
      </c>
      <c r="U1215" s="28" t="s">
        <v>29</v>
      </c>
      <c r="V1215" s="858">
        <v>149</v>
      </c>
      <c r="W1215" s="437">
        <v>0</v>
      </c>
      <c r="X1215" s="552">
        <v>340265.03</v>
      </c>
      <c r="Y1215" s="552"/>
      <c r="Z1215" s="552">
        <v>71199.320000000007</v>
      </c>
      <c r="AA1215" s="552">
        <f>SUM(Table15[[#This Row],[PCTS Investment Amount]:[PCTS Retirement Amount]])</f>
        <v>411464.35000000003</v>
      </c>
      <c r="AB1215" s="341">
        <v>45510</v>
      </c>
      <c r="AC1215" s="569" t="s">
        <v>745</v>
      </c>
      <c r="AD1215" s="1149" t="s">
        <v>29</v>
      </c>
      <c r="AE1215" s="568" t="s">
        <v>116</v>
      </c>
      <c r="AF1215" s="568" t="s">
        <v>29</v>
      </c>
      <c r="AG1215" s="568" t="s">
        <v>376</v>
      </c>
      <c r="AH1215" s="183">
        <v>45525</v>
      </c>
      <c r="AI1215" s="1125">
        <v>0</v>
      </c>
      <c r="AJ1215" s="1110">
        <v>4615</v>
      </c>
      <c r="AK1215" s="1126">
        <v>1209.5</v>
      </c>
      <c r="AL1215" s="1108">
        <f>SUM(Table15[[#This Row],[Nicor Initiated DBE]:[Staffing]])/(Table15[[#This Row],[Amount Invoiced]])</f>
        <v>0.14155539842030054</v>
      </c>
      <c r="AM1215" s="1522" t="s">
        <v>116</v>
      </c>
      <c r="AN1215" s="1523">
        <v>45834</v>
      </c>
      <c r="AO1215" s="1524">
        <v>11092806</v>
      </c>
      <c r="AP1215" s="1525">
        <v>269704.52</v>
      </c>
      <c r="AQ1215" s="1525"/>
      <c r="AR1215" s="1525">
        <v>64382.33</v>
      </c>
      <c r="AS1215" s="1525">
        <f>IF(Table15[[#This Row],[PCTS Approved]]="N",0,Table15[[#This Row],[Investment Amount (1'#'#'#'#'#)]]+Table15[[#This Row],[Retirement Amount (3'#'#'#'#'#)]])</f>
        <v>334086.85000000003</v>
      </c>
      <c r="AT1215" s="1525">
        <f>IF(Table15[[#This Row],[Approved Construction Cost]]=0,0,Table15[[#This Row],[Approved Construction Cost]]-Table15[[#This Row],[Construction Cost to Bill From]])</f>
        <v>-77377.5</v>
      </c>
      <c r="AU1215" s="1525">
        <f>Table15[[#This Row],[Difference in Construction Cost]]*Table15[[#This Row],[Rate]]</f>
        <v>-7737.75</v>
      </c>
      <c r="AV1215" s="1525">
        <v>2985</v>
      </c>
      <c r="AW1215" s="1526" t="s">
        <v>6494</v>
      </c>
      <c r="AX1215" s="1525">
        <v>0</v>
      </c>
      <c r="AY1215" s="1518">
        <v>45901</v>
      </c>
      <c r="AZ1215" s="333"/>
      <c r="BA1215" s="1031" t="s">
        <v>6495</v>
      </c>
      <c r="BB1215" s="644" t="s">
        <v>961</v>
      </c>
      <c r="BC1215" s="559" t="s">
        <v>116</v>
      </c>
      <c r="BD1215" s="554" t="s">
        <v>115</v>
      </c>
      <c r="BE1215" s="739" t="s">
        <v>1569</v>
      </c>
      <c r="BF1215" s="588" t="s">
        <v>115</v>
      </c>
      <c r="BG1215" s="588" t="s">
        <v>115</v>
      </c>
      <c r="BH1215" s="615" t="s">
        <v>6496</v>
      </c>
      <c r="BI1215" s="549" t="s">
        <v>709</v>
      </c>
      <c r="BJ1215" s="549" t="s">
        <v>709</v>
      </c>
      <c r="BK1215" s="549" t="s">
        <v>709</v>
      </c>
      <c r="BL1215" s="547" t="s">
        <v>116</v>
      </c>
      <c r="BM1215" s="549" t="s">
        <v>709</v>
      </c>
      <c r="BN1215" s="549" t="s">
        <v>709</v>
      </c>
      <c r="BO1215" s="549" t="s">
        <v>709</v>
      </c>
      <c r="BP1215" s="549">
        <v>149</v>
      </c>
      <c r="BQ1215" s="549" t="s">
        <v>709</v>
      </c>
      <c r="BR1215" s="549" t="s">
        <v>709</v>
      </c>
      <c r="BS1215" s="549" t="s">
        <v>709</v>
      </c>
      <c r="BT1215" s="549" t="s">
        <v>709</v>
      </c>
      <c r="BU1215" s="549" t="s">
        <v>709</v>
      </c>
      <c r="BV1215" s="549" t="s">
        <v>709</v>
      </c>
      <c r="BW1215" s="549" t="s">
        <v>709</v>
      </c>
      <c r="BX1215" s="549" t="s">
        <v>709</v>
      </c>
      <c r="BY1215" s="549" t="s">
        <v>709</v>
      </c>
      <c r="BZ1215" s="547" t="s">
        <v>709</v>
      </c>
      <c r="CA1215" s="743"/>
      <c r="CB1215" s="547">
        <v>1214</v>
      </c>
      <c r="CC1215" s="1481" t="b">
        <v>1</v>
      </c>
      <c r="CD1215" s="879" t="str">
        <f>Table15[[#This Row],[Engineering Number]]&amp;Table15[[#This Row],[WO Number]]&amp;Table15[[#This Row],[Date Assigned to Designer]]&amp;Table15[[#This Row],[Date Completed]]</f>
        <v>N1833712137134532145516</v>
      </c>
    </row>
    <row r="1216" spans="1:82" customFormat="1" ht="15" customHeight="1" x14ac:dyDescent="0.25">
      <c r="A1216">
        <v>2024</v>
      </c>
      <c r="B1216" s="8" t="s">
        <v>4</v>
      </c>
      <c r="C1216" s="8" t="s">
        <v>6498</v>
      </c>
      <c r="D1216" s="8" t="s">
        <v>6499</v>
      </c>
      <c r="E1216" s="8" t="s">
        <v>438</v>
      </c>
      <c r="F1216" s="8" t="s">
        <v>784</v>
      </c>
      <c r="G1216" s="8" t="s">
        <v>25</v>
      </c>
      <c r="H1216" s="8" t="s">
        <v>59</v>
      </c>
      <c r="I1216" s="642">
        <v>45433</v>
      </c>
      <c r="J1216" s="18">
        <v>45527</v>
      </c>
      <c r="K1216" s="97">
        <v>45516</v>
      </c>
      <c r="L1216" s="16">
        <f>IF(ISTEXT(Table15[[#This Row],[Engineering Approved Design Date]]),Table15[[#This Row],[Date Completed]]-Table15[[#This Row],[Date Assigned to Designer]],Table15[[#This Row],[Engineering Approved Design Date]]-Table15[[#This Row],[Date Completed]])</f>
        <v>11</v>
      </c>
      <c r="M1216" s="642"/>
      <c r="N1216" s="99" t="s">
        <v>120</v>
      </c>
      <c r="O1216" s="1060">
        <v>45505</v>
      </c>
      <c r="P1216" s="1152" t="s">
        <v>739</v>
      </c>
      <c r="Q1216" s="340">
        <f>Table15[[#This Row],[Rate]]*Table15[[#This Row],[Construction Cost to Bill From]]</f>
        <v>82804.061000000002</v>
      </c>
      <c r="R1216" s="1026">
        <v>0.1</v>
      </c>
      <c r="S1216" s="538" t="s">
        <v>29</v>
      </c>
      <c r="T1216" s="538" t="s">
        <v>29</v>
      </c>
      <c r="U1216" s="28" t="s">
        <v>29</v>
      </c>
      <c r="V1216" s="858">
        <v>1697</v>
      </c>
      <c r="W1216" s="437">
        <v>0</v>
      </c>
      <c r="X1216" s="538">
        <v>533735.47</v>
      </c>
      <c r="Y1216" s="550"/>
      <c r="Z1216" s="552">
        <v>294305.14</v>
      </c>
      <c r="AA1216" s="552">
        <f>SUM(Table15[[#This Row],[PCTS Investment Amount]:[PCTS Retirement Amount]])</f>
        <v>828040.61</v>
      </c>
      <c r="AB1216" s="341">
        <v>45504</v>
      </c>
      <c r="AC1216" s="569" t="s">
        <v>29</v>
      </c>
      <c r="AD1216" s="1149" t="s">
        <v>29</v>
      </c>
      <c r="AE1216" s="568" t="s">
        <v>116</v>
      </c>
      <c r="AF1216" s="568" t="s">
        <v>29</v>
      </c>
      <c r="AG1216" s="568" t="s">
        <v>376</v>
      </c>
      <c r="AH1216" s="183">
        <v>45525</v>
      </c>
      <c r="AI1216" s="1125">
        <v>0</v>
      </c>
      <c r="AJ1216" s="1130">
        <v>7600</v>
      </c>
      <c r="AK1216" s="1126">
        <v>9847</v>
      </c>
      <c r="AL1216" s="901">
        <f>SUM(Table15[[#This Row],[Nicor Initiated DBE]:[Staffing]])/(Table15[[#This Row],[Amount Invoiced]])</f>
        <v>0.21070222630747543</v>
      </c>
      <c r="AM1216" s="1522" t="s">
        <v>116</v>
      </c>
      <c r="AN1216" s="1523">
        <v>45566</v>
      </c>
      <c r="AO1216" s="1524">
        <v>11091807</v>
      </c>
      <c r="AP1216" s="1525">
        <v>536564.55000000005</v>
      </c>
      <c r="AQ1216" s="1525"/>
      <c r="AR1216" s="1525">
        <v>294523.38</v>
      </c>
      <c r="AS1216" s="1525">
        <f>IF(Table15[[#This Row],[PCTS Approved]]="N",0,Table15[[#This Row],[Investment Amount (1'#'#'#'#'#)]]+Table15[[#This Row],[Retirement Amount (3'#'#'#'#'#)]])</f>
        <v>831087.93</v>
      </c>
      <c r="AT1216" s="1525">
        <f>IF(Table15[[#This Row],[Approved Construction Cost]]=0,0,Table15[[#This Row],[Approved Construction Cost]]-Table15[[#This Row],[Construction Cost to Bill From]])</f>
        <v>3047.3200000000652</v>
      </c>
      <c r="AU1216" s="1525">
        <f>Table15[[#This Row],[Difference in Construction Cost]]*Table15[[#This Row],[Rate]]</f>
        <v>304.73200000000651</v>
      </c>
      <c r="AV1216" s="1525">
        <v>0</v>
      </c>
      <c r="AW1216" s="1526" t="s">
        <v>6500</v>
      </c>
      <c r="AX1216" s="1525">
        <f>Table15[[#This Row],[Reconcile Amount]]</f>
        <v>304.73200000000651</v>
      </c>
      <c r="AY1216" s="1518">
        <v>45901</v>
      </c>
      <c r="AZ1216" s="333"/>
      <c r="BA1216" s="653" t="s">
        <v>6501</v>
      </c>
      <c r="BB1216" s="644" t="s">
        <v>6502</v>
      </c>
      <c r="BC1216" s="544" t="s">
        <v>115</v>
      </c>
      <c r="BD1216" s="554" t="s">
        <v>115</v>
      </c>
      <c r="BE1216" s="554" t="s">
        <v>1444</v>
      </c>
      <c r="BF1216" s="588" t="s">
        <v>115</v>
      </c>
      <c r="BG1216" s="588" t="s">
        <v>115</v>
      </c>
      <c r="BH1216" s="615" t="s">
        <v>6503</v>
      </c>
      <c r="BI1216" s="549" t="s">
        <v>709</v>
      </c>
      <c r="BJ1216" s="549" t="s">
        <v>709</v>
      </c>
      <c r="BK1216" s="549" t="s">
        <v>709</v>
      </c>
      <c r="BL1216" s="547" t="s">
        <v>116</v>
      </c>
      <c r="BM1216" s="549" t="s">
        <v>709</v>
      </c>
      <c r="BN1216" s="549" t="s">
        <v>709</v>
      </c>
      <c r="BO1216" s="549" t="s">
        <v>709</v>
      </c>
      <c r="BP1216" s="549" t="s">
        <v>709</v>
      </c>
      <c r="BQ1216" s="549" t="s">
        <v>709</v>
      </c>
      <c r="BR1216" s="549">
        <v>545</v>
      </c>
      <c r="BS1216" s="549">
        <v>1152</v>
      </c>
      <c r="BT1216" s="549" t="s">
        <v>709</v>
      </c>
      <c r="BU1216" s="549" t="s">
        <v>709</v>
      </c>
      <c r="BV1216" s="549" t="s">
        <v>709</v>
      </c>
      <c r="BW1216" s="549" t="s">
        <v>709</v>
      </c>
      <c r="BX1216" s="549" t="s">
        <v>709</v>
      </c>
      <c r="BY1216" s="549" t="s">
        <v>709</v>
      </c>
      <c r="BZ1216" s="547" t="s">
        <v>709</v>
      </c>
      <c r="CA1216" s="743"/>
      <c r="CB1216" s="547">
        <v>1213</v>
      </c>
      <c r="CC1216" s="1481" t="b">
        <v>1</v>
      </c>
      <c r="CD1216" s="879" t="str">
        <f>Table15[[#This Row],[Engineering Number]]&amp;Table15[[#This Row],[WO Number]]&amp;Table15[[#This Row],[Date Assigned to Designer]]&amp;Table15[[#This Row],[Date Completed]]</f>
        <v>N1869312140644543345516</v>
      </c>
    </row>
    <row r="1217" spans="1:82" customFormat="1" ht="15" customHeight="1" x14ac:dyDescent="0.25">
      <c r="A1217">
        <v>2024</v>
      </c>
      <c r="B1217" s="8" t="s">
        <v>1073</v>
      </c>
      <c r="C1217" s="8" t="s">
        <v>280</v>
      </c>
      <c r="D1217" s="8">
        <v>1611416</v>
      </c>
      <c r="E1217" s="8" t="s">
        <v>281</v>
      </c>
      <c r="F1217" s="8" t="s">
        <v>851</v>
      </c>
      <c r="G1217" s="8" t="s">
        <v>31</v>
      </c>
      <c r="H1217" s="8" t="s">
        <v>4001</v>
      </c>
      <c r="I1217" s="18">
        <v>45518</v>
      </c>
      <c r="J1217" s="175" t="s">
        <v>2052</v>
      </c>
      <c r="K1217" s="97">
        <v>45524</v>
      </c>
      <c r="L1217" s="16">
        <f>IF(ISTEXT(Table15[[#This Row],[Engineering Approved Design Date]]),Table15[[#This Row],[Date Completed]]-Table15[[#This Row],[Date Assigned to Designer]],Table15[[#This Row],[Engineering Approved Design Date]]-Table15[[#This Row],[Date Completed]])</f>
        <v>6</v>
      </c>
      <c r="M1217" s="642" t="s">
        <v>6505</v>
      </c>
      <c r="N1217" s="642" t="s">
        <v>120</v>
      </c>
      <c r="O1217" s="1060">
        <v>45536</v>
      </c>
      <c r="P1217" s="1152" t="s">
        <v>739</v>
      </c>
      <c r="Q1217" s="1061">
        <f>Table15[[#This Row],[Shactee Effort]]+Table15[[#This Row],[KH Hourly Effort]]</f>
        <v>4300</v>
      </c>
      <c r="R1217" s="1026" t="s">
        <v>1922</v>
      </c>
      <c r="S1217" s="538">
        <v>0</v>
      </c>
      <c r="T1217" s="538">
        <v>0</v>
      </c>
      <c r="U1217" s="87">
        <v>4300</v>
      </c>
      <c r="V1217" s="858" t="s">
        <v>29</v>
      </c>
      <c r="W1217" s="425" t="s">
        <v>29</v>
      </c>
      <c r="X1217" s="538" t="s">
        <v>29</v>
      </c>
      <c r="Y1217" s="551" t="s">
        <v>915</v>
      </c>
      <c r="Z1217" s="538" t="s">
        <v>29</v>
      </c>
      <c r="AA1217" s="552" t="s">
        <v>29</v>
      </c>
      <c r="AB1217" s="341" t="s">
        <v>29</v>
      </c>
      <c r="AC1217" s="569" t="s">
        <v>29</v>
      </c>
      <c r="AD1217" s="1149" t="s">
        <v>29</v>
      </c>
      <c r="AE1217" s="569" t="s">
        <v>116</v>
      </c>
      <c r="AF1217" s="568" t="s">
        <v>29</v>
      </c>
      <c r="AG1217" s="569" t="s">
        <v>29</v>
      </c>
      <c r="AH1217" s="183">
        <v>45580</v>
      </c>
      <c r="AI1217" s="1028" t="s">
        <v>29</v>
      </c>
      <c r="AJ1217" s="1029" t="s">
        <v>29</v>
      </c>
      <c r="AK1217" s="1029" t="s">
        <v>29</v>
      </c>
      <c r="AL1217" s="1030" t="s">
        <v>29</v>
      </c>
      <c r="AM1217" s="542" t="s">
        <v>709</v>
      </c>
      <c r="AN1217" s="924"/>
      <c r="AO1217" s="925"/>
      <c r="AP1217" s="926"/>
      <c r="AQ1217" s="926"/>
      <c r="AR1217" s="926"/>
      <c r="AS1217" s="926"/>
      <c r="AT1217" s="926"/>
      <c r="AU1217" s="926"/>
      <c r="AV1217" s="926"/>
      <c r="AW1217" s="927"/>
      <c r="AX1217" s="926"/>
      <c r="AY1217" s="1538" t="s">
        <v>29</v>
      </c>
      <c r="AZ1217" s="1530"/>
      <c r="BA1217" s="1031">
        <v>1</v>
      </c>
      <c r="BB1217" s="644" t="s">
        <v>6506</v>
      </c>
      <c r="BC1217" s="559"/>
      <c r="BD1217" s="554"/>
      <c r="BE1217" s="588"/>
      <c r="BF1217" s="588"/>
      <c r="BG1217" s="548"/>
      <c r="BH1217" s="615" t="s">
        <v>6507</v>
      </c>
      <c r="BI1217" s="547" t="s">
        <v>709</v>
      </c>
      <c r="BJ1217" s="547" t="s">
        <v>709</v>
      </c>
      <c r="BK1217" s="547" t="s">
        <v>116</v>
      </c>
      <c r="BL1217" s="547" t="s">
        <v>116</v>
      </c>
      <c r="BM1217" s="547" t="s">
        <v>709</v>
      </c>
      <c r="BN1217" s="547" t="s">
        <v>709</v>
      </c>
      <c r="BO1217" s="547" t="s">
        <v>709</v>
      </c>
      <c r="BP1217" s="547" t="s">
        <v>709</v>
      </c>
      <c r="BQ1217" s="547">
        <v>1212</v>
      </c>
      <c r="BR1217" s="547">
        <v>11045</v>
      </c>
      <c r="BS1217" s="547">
        <v>217</v>
      </c>
      <c r="BT1217" s="547" t="s">
        <v>745</v>
      </c>
      <c r="BU1217" s="547">
        <v>1</v>
      </c>
      <c r="BV1217" s="547" t="s">
        <v>745</v>
      </c>
      <c r="BW1217" s="547" t="s">
        <v>709</v>
      </c>
      <c r="BX1217" s="547">
        <v>1</v>
      </c>
      <c r="BY1217" s="547" t="s">
        <v>745</v>
      </c>
      <c r="BZ1217" s="547" t="s">
        <v>709</v>
      </c>
      <c r="CA1217" s="483"/>
      <c r="CB1217" s="547">
        <v>1215</v>
      </c>
      <c r="CC1217" s="1481" t="b">
        <v>1</v>
      </c>
      <c r="CD1217" s="879" t="str">
        <f>Table15[[#This Row],[Engineering Number]]&amp;Table15[[#This Row],[WO Number]]&amp;Table15[[#This Row],[Date Assigned to Designer]]&amp;Table15[[#This Row],[Date Completed]]</f>
        <v>NBA1000207316114164551845524</v>
      </c>
    </row>
    <row r="1218" spans="1:82" customFormat="1" ht="15" customHeight="1" x14ac:dyDescent="0.25">
      <c r="A1218">
        <v>2024</v>
      </c>
      <c r="B1218" s="8" t="s">
        <v>4</v>
      </c>
      <c r="C1218" s="8" t="s">
        <v>414</v>
      </c>
      <c r="D1218" s="8">
        <v>1212526</v>
      </c>
      <c r="E1218" s="8" t="s">
        <v>415</v>
      </c>
      <c r="F1218" s="8" t="s">
        <v>784</v>
      </c>
      <c r="G1218" s="8" t="s">
        <v>25</v>
      </c>
      <c r="H1218" s="8" t="s">
        <v>4001</v>
      </c>
      <c r="I1218" s="18">
        <v>45497</v>
      </c>
      <c r="J1218" s="175" t="s">
        <v>2052</v>
      </c>
      <c r="K1218" s="97">
        <v>45525</v>
      </c>
      <c r="L1218" s="16">
        <f>IF(ISTEXT(Table15[[#This Row],[Engineering Approved Design Date]]),Table15[[#This Row],[Date Completed]]-Table15[[#This Row],[Date Assigned to Designer]],Table15[[#This Row],[Engineering Approved Design Date]]-Table15[[#This Row],[Date Completed]])</f>
        <v>28</v>
      </c>
      <c r="M1218" s="642" t="s">
        <v>6509</v>
      </c>
      <c r="N1218" s="642" t="s">
        <v>120</v>
      </c>
      <c r="O1218" s="1060">
        <v>45536</v>
      </c>
      <c r="P1218" s="1152" t="s">
        <v>739</v>
      </c>
      <c r="Q1218" s="1061">
        <v>2092.5</v>
      </c>
      <c r="R1218" s="1026" t="s">
        <v>1922</v>
      </c>
      <c r="S1218" s="538">
        <v>0</v>
      </c>
      <c r="T1218" s="538">
        <v>0</v>
      </c>
      <c r="U1218" s="87">
        <v>1940</v>
      </c>
      <c r="V1218" s="858" t="s">
        <v>29</v>
      </c>
      <c r="W1218" s="425" t="s">
        <v>29</v>
      </c>
      <c r="X1218" s="538" t="s">
        <v>29</v>
      </c>
      <c r="Y1218" s="551" t="s">
        <v>915</v>
      </c>
      <c r="Z1218" s="538" t="s">
        <v>29</v>
      </c>
      <c r="AA1218" s="552" t="s">
        <v>29</v>
      </c>
      <c r="AB1218" s="341" t="s">
        <v>29</v>
      </c>
      <c r="AC1218" s="569" t="s">
        <v>29</v>
      </c>
      <c r="AD1218" s="1149" t="s">
        <v>29</v>
      </c>
      <c r="AE1218" s="568" t="s">
        <v>116</v>
      </c>
      <c r="AF1218" s="568" t="s">
        <v>116</v>
      </c>
      <c r="AG1218" s="569" t="s">
        <v>29</v>
      </c>
      <c r="AH1218" s="183">
        <v>45580</v>
      </c>
      <c r="AI1218" s="1028" t="s">
        <v>29</v>
      </c>
      <c r="AJ1218" s="1029" t="s">
        <v>29</v>
      </c>
      <c r="AK1218" s="1029" t="s">
        <v>29</v>
      </c>
      <c r="AL1218" s="1030" t="s">
        <v>29</v>
      </c>
      <c r="AM1218" s="542" t="s">
        <v>709</v>
      </c>
      <c r="AN1218" s="924"/>
      <c r="AO1218" s="925"/>
      <c r="AP1218" s="926"/>
      <c r="AQ1218" s="926"/>
      <c r="AR1218" s="926"/>
      <c r="AS1218" s="926"/>
      <c r="AT1218" s="926"/>
      <c r="AU1218" s="926"/>
      <c r="AV1218" s="926"/>
      <c r="AW1218" s="927"/>
      <c r="AX1218" s="926"/>
      <c r="AY1218" s="1538" t="s">
        <v>29</v>
      </c>
      <c r="AZ1218" s="1530"/>
      <c r="BA1218" s="1068">
        <v>2</v>
      </c>
      <c r="BB1218" s="543" t="s">
        <v>6510</v>
      </c>
      <c r="BC1218" s="559"/>
      <c r="BD1218" s="554"/>
      <c r="BE1218" s="588"/>
      <c r="BF1218" s="588"/>
      <c r="BG1218" s="548"/>
      <c r="BH1218" s="615" t="s">
        <v>6511</v>
      </c>
      <c r="BI1218" s="626" t="s">
        <v>709</v>
      </c>
      <c r="BJ1218" s="626" t="s">
        <v>709</v>
      </c>
      <c r="BK1218" s="626" t="s">
        <v>709</v>
      </c>
      <c r="BL1218" s="626" t="s">
        <v>116</v>
      </c>
      <c r="BM1218" s="626" t="s">
        <v>709</v>
      </c>
      <c r="BN1218" s="626" t="s">
        <v>709</v>
      </c>
      <c r="BO1218" s="626" t="s">
        <v>709</v>
      </c>
      <c r="BP1218" s="626">
        <v>723</v>
      </c>
      <c r="BQ1218" s="626">
        <v>591</v>
      </c>
      <c r="BR1218" s="626">
        <v>124</v>
      </c>
      <c r="BS1218" s="626" t="s">
        <v>709</v>
      </c>
      <c r="BT1218" s="626" t="s">
        <v>709</v>
      </c>
      <c r="BU1218" s="626" t="s">
        <v>709</v>
      </c>
      <c r="BV1218" s="626" t="s">
        <v>709</v>
      </c>
      <c r="BW1218" s="626" t="s">
        <v>709</v>
      </c>
      <c r="BX1218" s="626" t="s">
        <v>709</v>
      </c>
      <c r="BY1218" s="626" t="s">
        <v>709</v>
      </c>
      <c r="BZ1218" s="547" t="s">
        <v>709</v>
      </c>
      <c r="CA1218" s="483"/>
      <c r="CB1218" s="547">
        <v>1216</v>
      </c>
      <c r="CC1218" s="1481" t="b">
        <v>1</v>
      </c>
      <c r="CD1218" s="879" t="str">
        <f>Table15[[#This Row],[Engineering Number]]&amp;Table15[[#This Row],[WO Number]]&amp;Table15[[#This Row],[Date Assigned to Designer]]&amp;Table15[[#This Row],[Date Completed]]</f>
        <v>M1419412125264549745525</v>
      </c>
    </row>
    <row r="1219" spans="1:82" customFormat="1" ht="15" customHeight="1" x14ac:dyDescent="0.25">
      <c r="A1219">
        <v>2024</v>
      </c>
      <c r="B1219" s="8" t="s">
        <v>771</v>
      </c>
      <c r="C1219" s="8" t="s">
        <v>283</v>
      </c>
      <c r="D1219" s="8">
        <v>1213062</v>
      </c>
      <c r="E1219" s="8" t="s">
        <v>284</v>
      </c>
      <c r="F1219" s="8" t="s">
        <v>1757</v>
      </c>
      <c r="G1219" s="8" t="s">
        <v>36</v>
      </c>
      <c r="H1219" s="8" t="s">
        <v>3852</v>
      </c>
      <c r="I1219" s="18">
        <v>45517</v>
      </c>
      <c r="J1219" s="175" t="s">
        <v>2052</v>
      </c>
      <c r="K1219" s="97">
        <v>45527</v>
      </c>
      <c r="L1219" s="16">
        <f>IF(ISTEXT(Table15[[#This Row],[Engineering Approved Design Date]]),Table15[[#This Row],[Date Completed]]-Table15[[#This Row],[Date Assigned to Designer]],Table15[[#This Row],[Engineering Approved Design Date]]-Table15[[#This Row],[Date Completed]])</f>
        <v>10</v>
      </c>
      <c r="M1219" s="642" t="s">
        <v>6514</v>
      </c>
      <c r="N1219" s="642" t="s">
        <v>120</v>
      </c>
      <c r="O1219" s="1060">
        <v>45536</v>
      </c>
      <c r="P1219" s="1152" t="s">
        <v>120</v>
      </c>
      <c r="Q1219" s="1061">
        <f>Table15[[#This Row],[Shactee Effort]]+Table15[[#This Row],[KH Hourly Effort]]</f>
        <v>2915</v>
      </c>
      <c r="R1219" s="1026" t="s">
        <v>1922</v>
      </c>
      <c r="S1219" s="538">
        <v>0</v>
      </c>
      <c r="T1219" s="538">
        <v>0</v>
      </c>
      <c r="U1219" s="87">
        <v>2915</v>
      </c>
      <c r="V1219" s="858" t="s">
        <v>29</v>
      </c>
      <c r="W1219" s="425" t="s">
        <v>29</v>
      </c>
      <c r="X1219" s="538" t="s">
        <v>29</v>
      </c>
      <c r="Y1219" s="551" t="s">
        <v>915</v>
      </c>
      <c r="Z1219" s="538" t="s">
        <v>29</v>
      </c>
      <c r="AA1219" s="552" t="s">
        <v>29</v>
      </c>
      <c r="AB1219" s="341" t="s">
        <v>29</v>
      </c>
      <c r="AC1219" s="569" t="s">
        <v>29</v>
      </c>
      <c r="AD1219" s="1149" t="s">
        <v>116</v>
      </c>
      <c r="AE1219" s="568" t="s">
        <v>116</v>
      </c>
      <c r="AF1219" s="569" t="s">
        <v>116</v>
      </c>
      <c r="AG1219" s="569" t="s">
        <v>29</v>
      </c>
      <c r="AH1219" s="183" t="s">
        <v>376</v>
      </c>
      <c r="AI1219" s="1028" t="s">
        <v>29</v>
      </c>
      <c r="AJ1219" s="1029" t="s">
        <v>29</v>
      </c>
      <c r="AK1219" s="1029" t="s">
        <v>29</v>
      </c>
      <c r="AL1219" s="1030" t="s">
        <v>29</v>
      </c>
      <c r="AM1219" s="542" t="s">
        <v>709</v>
      </c>
      <c r="AN1219" s="924"/>
      <c r="AO1219" s="925"/>
      <c r="AP1219" s="926"/>
      <c r="AQ1219" s="926"/>
      <c r="AR1219" s="926"/>
      <c r="AS1219" s="926"/>
      <c r="AT1219" s="926"/>
      <c r="AU1219" s="926"/>
      <c r="AV1219" s="926"/>
      <c r="AW1219" s="927"/>
      <c r="AX1219" s="926"/>
      <c r="AY1219" s="1538" t="s">
        <v>29</v>
      </c>
      <c r="AZ1219" s="1530"/>
      <c r="BA1219" s="1068">
        <v>3</v>
      </c>
      <c r="BB1219" s="543" t="s">
        <v>6515</v>
      </c>
      <c r="BC1219" s="559"/>
      <c r="BD1219" s="554" t="s">
        <v>882</v>
      </c>
      <c r="BE1219" s="588"/>
      <c r="BF1219" s="588"/>
      <c r="BG1219" s="548"/>
      <c r="BH1219" s="615" t="s">
        <v>6516</v>
      </c>
      <c r="BI1219" s="626" t="s">
        <v>709</v>
      </c>
      <c r="BJ1219" s="626" t="s">
        <v>709</v>
      </c>
      <c r="BK1219" s="626" t="s">
        <v>709</v>
      </c>
      <c r="BL1219" s="626" t="s">
        <v>116</v>
      </c>
      <c r="BM1219" s="626" t="s">
        <v>709</v>
      </c>
      <c r="BN1219" s="626" t="s">
        <v>709</v>
      </c>
      <c r="BO1219" s="626" t="s">
        <v>709</v>
      </c>
      <c r="BP1219" s="626">
        <v>989</v>
      </c>
      <c r="BQ1219" s="626" t="s">
        <v>709</v>
      </c>
      <c r="BR1219" s="626" t="s">
        <v>709</v>
      </c>
      <c r="BS1219" s="626" t="s">
        <v>709</v>
      </c>
      <c r="BT1219" s="626" t="s">
        <v>709</v>
      </c>
      <c r="BU1219" s="626" t="s">
        <v>709</v>
      </c>
      <c r="BV1219" s="626" t="s">
        <v>709</v>
      </c>
      <c r="BW1219" s="626" t="s">
        <v>709</v>
      </c>
      <c r="BX1219" s="626" t="s">
        <v>709</v>
      </c>
      <c r="BY1219" s="626" t="s">
        <v>709</v>
      </c>
      <c r="BZ1219" s="547" t="s">
        <v>709</v>
      </c>
      <c r="CA1219" s="483"/>
      <c r="CB1219" s="547">
        <v>1217</v>
      </c>
      <c r="CC1219" s="1481" t="b">
        <v>1</v>
      </c>
      <c r="CD1219" s="879" t="str">
        <f>Table15[[#This Row],[Engineering Number]]&amp;Table15[[#This Row],[WO Number]]&amp;Table15[[#This Row],[Date Assigned to Designer]]&amp;Table15[[#This Row],[Date Completed]]</f>
        <v>BS40212130624551745527</v>
      </c>
    </row>
    <row r="1220" spans="1:82" customFormat="1" ht="15" customHeight="1" x14ac:dyDescent="0.25">
      <c r="A1220">
        <v>2024</v>
      </c>
      <c r="B1220" s="8" t="s">
        <v>4</v>
      </c>
      <c r="C1220" s="8" t="s">
        <v>6530</v>
      </c>
      <c r="D1220" s="8" t="s">
        <v>115</v>
      </c>
      <c r="E1220" s="8" t="s">
        <v>104</v>
      </c>
      <c r="F1220" s="8" t="s">
        <v>851</v>
      </c>
      <c r="G1220" s="8" t="s">
        <v>35</v>
      </c>
      <c r="H1220" s="8" t="s">
        <v>1681</v>
      </c>
      <c r="I1220" s="642">
        <v>45483</v>
      </c>
      <c r="J1220" s="18">
        <v>45539</v>
      </c>
      <c r="K1220" s="175">
        <v>45532</v>
      </c>
      <c r="L1220" s="16">
        <f>IF(ISTEXT(Table15[[#This Row],[Engineering Approved Design Date]]),Table15[[#This Row],[Date Completed]]-Table15[[#This Row],[Date Assigned to Designer]],Table15[[#This Row],[Engineering Approved Design Date]]-Table15[[#This Row],[Date Completed]])</f>
        <v>7</v>
      </c>
      <c r="M1220" t="s">
        <v>6531</v>
      </c>
      <c r="N1220" s="99" t="s">
        <v>120</v>
      </c>
      <c r="O1220" s="1060">
        <v>45505</v>
      </c>
      <c r="P1220" s="1152" t="s">
        <v>739</v>
      </c>
      <c r="Q1220" s="340" t="s">
        <v>115</v>
      </c>
      <c r="R1220" s="1026" t="s">
        <v>115</v>
      </c>
      <c r="S1220" s="538" t="s">
        <v>29</v>
      </c>
      <c r="T1220" s="538" t="s">
        <v>29</v>
      </c>
      <c r="U1220" s="28" t="s">
        <v>29</v>
      </c>
      <c r="V1220" s="538" t="s">
        <v>29</v>
      </c>
      <c r="W1220" s="343" t="s">
        <v>29</v>
      </c>
      <c r="X1220" s="538" t="s">
        <v>29</v>
      </c>
      <c r="Y1220" s="538" t="s">
        <v>29</v>
      </c>
      <c r="Z1220" s="538" t="s">
        <v>29</v>
      </c>
      <c r="AA1220" s="538" t="s">
        <v>29</v>
      </c>
      <c r="AB1220" s="341" t="s">
        <v>29</v>
      </c>
      <c r="AC1220" s="569" t="s">
        <v>29</v>
      </c>
      <c r="AD1220" s="1157" t="s">
        <v>29</v>
      </c>
      <c r="AE1220" s="568" t="s">
        <v>116</v>
      </c>
      <c r="AF1220" s="569" t="s">
        <v>29</v>
      </c>
      <c r="AG1220" s="569" t="s">
        <v>29</v>
      </c>
      <c r="AH1220" s="1132">
        <v>45608</v>
      </c>
      <c r="AI1220" s="1028" t="s">
        <v>29</v>
      </c>
      <c r="AJ1220" s="1029" t="s">
        <v>29</v>
      </c>
      <c r="AK1220" s="1029" t="s">
        <v>29</v>
      </c>
      <c r="AL1220" s="1030" t="s">
        <v>29</v>
      </c>
      <c r="AM1220" s="542" t="s">
        <v>709</v>
      </c>
      <c r="AN1220" s="924"/>
      <c r="AO1220" s="925"/>
      <c r="AP1220" s="926"/>
      <c r="AQ1220" s="926"/>
      <c r="AR1220" s="926"/>
      <c r="AS1220" s="926"/>
      <c r="AT1220" s="926"/>
      <c r="AU1220" s="926"/>
      <c r="AV1220" s="926"/>
      <c r="AW1220" s="927"/>
      <c r="AX1220" s="926"/>
      <c r="AY1220" s="1538" t="s">
        <v>29</v>
      </c>
      <c r="AZ1220" s="1530"/>
      <c r="BA1220" s="1031" t="s">
        <v>6532</v>
      </c>
      <c r="BB1220" s="644" t="s">
        <v>961</v>
      </c>
      <c r="BC1220" s="559" t="s">
        <v>709</v>
      </c>
      <c r="BD1220" s="554" t="s">
        <v>709</v>
      </c>
      <c r="BE1220" s="588" t="s">
        <v>3722</v>
      </c>
      <c r="BF1220" s="588" t="s">
        <v>1232</v>
      </c>
      <c r="BG1220" s="548" t="s">
        <v>709</v>
      </c>
      <c r="BH1220" s="615" t="s">
        <v>6533</v>
      </c>
      <c r="BI1220" s="1032"/>
      <c r="BJ1220" s="1032"/>
      <c r="BK1220" s="1032"/>
      <c r="BL1220" s="1032"/>
      <c r="BM1220" s="1032"/>
      <c r="BN1220" s="1070"/>
      <c r="BO1220" s="1032"/>
      <c r="BP1220" s="1071"/>
      <c r="BQ1220" s="1070"/>
      <c r="BR1220" s="1070"/>
      <c r="BS1220" s="1070"/>
      <c r="BT1220" s="1070"/>
      <c r="BU1220" s="1070"/>
      <c r="BV1220" s="1070"/>
      <c r="BW1220" s="1070"/>
      <c r="BX1220" s="1032"/>
      <c r="BY1220" s="1072"/>
      <c r="BZ1220" s="1072"/>
      <c r="CA1220" s="485" t="s">
        <v>915</v>
      </c>
      <c r="CB1220" s="547">
        <v>1218</v>
      </c>
      <c r="CC1220" s="1481" t="b">
        <v>1</v>
      </c>
      <c r="CD1220" s="879" t="str">
        <f>Table15[[#This Row],[Engineering Number]]&amp;Table15[[#This Row],[WO Number]]&amp;Table15[[#This Row],[Date Assigned to Designer]]&amp;Table15[[#This Row],[Date Completed]]</f>
        <v>N18829-4548345532</v>
      </c>
    </row>
    <row r="1221" spans="1:82" customFormat="1" ht="15" customHeight="1" x14ac:dyDescent="0.25">
      <c r="A1221">
        <v>2024</v>
      </c>
      <c r="B1221" s="8" t="s">
        <v>1073</v>
      </c>
      <c r="C1221" s="8" t="s">
        <v>265</v>
      </c>
      <c r="D1221" s="8">
        <v>1911012</v>
      </c>
      <c r="E1221" s="8" t="s">
        <v>232</v>
      </c>
      <c r="F1221" s="8" t="s">
        <v>1757</v>
      </c>
      <c r="G1221" s="8" t="s">
        <v>36</v>
      </c>
      <c r="H1221" s="8" t="s">
        <v>4462</v>
      </c>
      <c r="I1221" s="642">
        <v>45343</v>
      </c>
      <c r="J1221" s="175" t="s">
        <v>2052</v>
      </c>
      <c r="K1221" s="97">
        <v>45532</v>
      </c>
      <c r="L1221" s="16">
        <f>IF(ISTEXT(Table15[[#This Row],[Engineering Approved Design Date]]),Table15[[#This Row],[Date Completed]]-Table15[[#This Row],[Date Assigned to Designer]],Table15[[#This Row],[Engineering Approved Design Date]]-Table15[[#This Row],[Date Completed]])</f>
        <v>189</v>
      </c>
      <c r="M1221" s="642" t="s">
        <v>6527</v>
      </c>
      <c r="N1221" s="99" t="s">
        <v>120</v>
      </c>
      <c r="O1221" s="1060">
        <v>45536</v>
      </c>
      <c r="P1221" s="1152" t="s">
        <v>739</v>
      </c>
      <c r="Q1221" s="340" t="s">
        <v>115</v>
      </c>
      <c r="R1221" s="1026" t="s">
        <v>115</v>
      </c>
      <c r="S1221" s="538" t="s">
        <v>29</v>
      </c>
      <c r="T1221" s="538" t="s">
        <v>29</v>
      </c>
      <c r="U1221" s="28" t="s">
        <v>29</v>
      </c>
      <c r="V1221" s="858" t="s">
        <v>29</v>
      </c>
      <c r="W1221" s="425" t="s">
        <v>29</v>
      </c>
      <c r="X1221" s="538" t="s">
        <v>29</v>
      </c>
      <c r="Y1221" s="551" t="s">
        <v>915</v>
      </c>
      <c r="Z1221" s="538" t="s">
        <v>29</v>
      </c>
      <c r="AA1221" s="552" t="s">
        <v>29</v>
      </c>
      <c r="AB1221" s="341" t="s">
        <v>29</v>
      </c>
      <c r="AC1221" s="569" t="s">
        <v>29</v>
      </c>
      <c r="AD1221" s="1149" t="s">
        <v>29</v>
      </c>
      <c r="AE1221" s="568" t="s">
        <v>116</v>
      </c>
      <c r="AF1221" s="569" t="s">
        <v>116</v>
      </c>
      <c r="AG1221" s="569" t="s">
        <v>29</v>
      </c>
      <c r="AH1221" s="183">
        <v>45672</v>
      </c>
      <c r="AI1221" s="1028" t="s">
        <v>29</v>
      </c>
      <c r="AJ1221" s="1029" t="s">
        <v>29</v>
      </c>
      <c r="AK1221" s="1029" t="s">
        <v>29</v>
      </c>
      <c r="AL1221" s="1030" t="s">
        <v>29</v>
      </c>
      <c r="AM1221" s="542" t="s">
        <v>709</v>
      </c>
      <c r="AN1221" s="924"/>
      <c r="AO1221" s="925"/>
      <c r="AP1221" s="926"/>
      <c r="AQ1221" s="926"/>
      <c r="AR1221" s="926"/>
      <c r="AS1221" s="926"/>
      <c r="AT1221" s="926"/>
      <c r="AU1221" s="926"/>
      <c r="AV1221" s="926"/>
      <c r="AW1221" s="927"/>
      <c r="AX1221" s="926"/>
      <c r="AY1221" s="1538" t="s">
        <v>29</v>
      </c>
      <c r="AZ1221" s="1530"/>
      <c r="BA1221" s="1031">
        <v>7</v>
      </c>
      <c r="BB1221" s="644" t="s">
        <v>6528</v>
      </c>
      <c r="BC1221" s="559"/>
      <c r="BD1221" s="554"/>
      <c r="BE1221" s="588"/>
      <c r="BF1221" s="588"/>
      <c r="BG1221" s="548"/>
      <c r="BH1221" s="615" t="s">
        <v>29</v>
      </c>
      <c r="BI1221" s="1032"/>
      <c r="BJ1221" s="1032"/>
      <c r="BK1221" s="1032"/>
      <c r="BL1221" s="1032"/>
      <c r="BM1221" s="1032"/>
      <c r="BN1221" s="1032"/>
      <c r="BO1221" s="1032"/>
      <c r="BP1221" s="1032"/>
      <c r="BQ1221" s="1032"/>
      <c r="BR1221" s="1032"/>
      <c r="BS1221" s="1032"/>
      <c r="BT1221" s="1032"/>
      <c r="BU1221" s="1032"/>
      <c r="BV1221" s="1032"/>
      <c r="BW1221" s="1032"/>
      <c r="BX1221" s="1032"/>
      <c r="BY1221" s="1032"/>
      <c r="BZ1221" s="1032"/>
      <c r="CA1221" s="485" t="s">
        <v>915</v>
      </c>
      <c r="CB1221" s="547">
        <v>1219</v>
      </c>
      <c r="CC1221" s="1481" t="b">
        <v>1</v>
      </c>
      <c r="CD1221" s="879" t="str">
        <f>Table15[[#This Row],[Engineering Number]]&amp;Table15[[#This Row],[WO Number]]&amp;Table15[[#This Row],[Date Assigned to Designer]]&amp;Table15[[#This Row],[Date Completed]]</f>
        <v>NBA1000410419110124534345532</v>
      </c>
    </row>
    <row r="1222" spans="1:82" customFormat="1" ht="15" customHeight="1" x14ac:dyDescent="0.25">
      <c r="A1222">
        <v>2023</v>
      </c>
      <c r="B1222" s="8" t="s">
        <v>4</v>
      </c>
      <c r="C1222" s="8" t="s">
        <v>5659</v>
      </c>
      <c r="D1222" s="8" t="s">
        <v>5976</v>
      </c>
      <c r="E1222" s="8" t="s">
        <v>354</v>
      </c>
      <c r="F1222" s="8" t="s">
        <v>1515</v>
      </c>
      <c r="G1222" s="8" t="s">
        <v>6518</v>
      </c>
      <c r="H1222" s="8" t="s">
        <v>2724</v>
      </c>
      <c r="I1222" s="642">
        <v>45556</v>
      </c>
      <c r="J1222" s="175" t="s">
        <v>2724</v>
      </c>
      <c r="K1222" s="175">
        <v>45532</v>
      </c>
      <c r="L1222" s="649">
        <f>IF(ISTEXT(Table15[[#This Row],[Engineering Approved Design Date]]),Table15[[#This Row],[Date Completed]]-Table15[[#This Row],[Date Assigned to Designer]],Table15[[#This Row],[Engineering Approved Design Date]]-Table15[[#This Row],[Date Completed]])</f>
        <v>-24</v>
      </c>
      <c r="M1222" s="16" t="s">
        <v>6519</v>
      </c>
      <c r="N1222" s="99" t="s">
        <v>120</v>
      </c>
      <c r="O1222" s="1060">
        <v>45536</v>
      </c>
      <c r="P1222" s="1152" t="s">
        <v>739</v>
      </c>
      <c r="Q1222" s="1151">
        <f>SUM(S1222:U1222)</f>
        <v>33835</v>
      </c>
      <c r="R1222" s="1026" t="s">
        <v>1922</v>
      </c>
      <c r="S1222" s="538">
        <v>0</v>
      </c>
      <c r="T1222" s="538">
        <v>0</v>
      </c>
      <c r="U1222" s="28">
        <v>33835</v>
      </c>
      <c r="V1222" s="858" t="s">
        <v>29</v>
      </c>
      <c r="W1222" s="425" t="s">
        <v>29</v>
      </c>
      <c r="X1222" s="538" t="s">
        <v>29</v>
      </c>
      <c r="Y1222" s="551" t="s">
        <v>915</v>
      </c>
      <c r="Z1222" s="538" t="s">
        <v>29</v>
      </c>
      <c r="AA1222" s="552" t="s">
        <v>29</v>
      </c>
      <c r="AB1222" s="341" t="s">
        <v>29</v>
      </c>
      <c r="AC1222" s="568" t="s">
        <v>709</v>
      </c>
      <c r="AD1222" s="1149" t="s">
        <v>29</v>
      </c>
      <c r="AE1222" s="568" t="s">
        <v>116</v>
      </c>
      <c r="AF1222" s="568" t="s">
        <v>116</v>
      </c>
      <c r="AG1222" s="569" t="s">
        <v>29</v>
      </c>
      <c r="AH1222" s="183">
        <v>45512</v>
      </c>
      <c r="AI1222" s="1028" t="s">
        <v>29</v>
      </c>
      <c r="AJ1222" s="1029" t="s">
        <v>29</v>
      </c>
      <c r="AK1222" s="1029" t="s">
        <v>29</v>
      </c>
      <c r="AL1222" s="1128" t="s">
        <v>29</v>
      </c>
      <c r="AM1222" s="542" t="s">
        <v>709</v>
      </c>
      <c r="AN1222" s="924"/>
      <c r="AO1222" s="925"/>
      <c r="AP1222" s="926"/>
      <c r="AQ1222" s="926"/>
      <c r="AR1222" s="926"/>
      <c r="AS1222" s="926"/>
      <c r="AT1222" s="926"/>
      <c r="AU1222" s="926"/>
      <c r="AV1222" s="926"/>
      <c r="AW1222" s="927"/>
      <c r="AX1222" s="926"/>
      <c r="AY1222" s="1538" t="s">
        <v>29</v>
      </c>
      <c r="AZ1222" s="1530"/>
      <c r="BA1222" s="1031">
        <v>11</v>
      </c>
      <c r="BB1222" s="543" t="s">
        <v>6520</v>
      </c>
      <c r="BC1222" s="559" t="s">
        <v>116</v>
      </c>
      <c r="BD1222" s="544" t="s">
        <v>709</v>
      </c>
      <c r="BE1222" s="559" t="s">
        <v>115</v>
      </c>
      <c r="BF1222" s="554" t="s">
        <v>5979</v>
      </c>
      <c r="BG1222" s="548" t="s">
        <v>709</v>
      </c>
      <c r="BH1222" s="615" t="s">
        <v>6521</v>
      </c>
      <c r="BI1222" s="547" t="s">
        <v>116</v>
      </c>
      <c r="BJ1222" s="547" t="s">
        <v>709</v>
      </c>
      <c r="BK1222" s="547" t="s">
        <v>709</v>
      </c>
      <c r="BL1222" s="547" t="s">
        <v>116</v>
      </c>
      <c r="BM1222" s="547">
        <v>308</v>
      </c>
      <c r="BN1222" s="547" t="s">
        <v>709</v>
      </c>
      <c r="BO1222" s="547" t="s">
        <v>709</v>
      </c>
      <c r="BP1222" s="547" t="s">
        <v>709</v>
      </c>
      <c r="BQ1222" s="547">
        <v>313</v>
      </c>
      <c r="BR1222" s="626" t="s">
        <v>709</v>
      </c>
      <c r="BS1222" s="626" t="s">
        <v>709</v>
      </c>
      <c r="BT1222" s="626" t="s">
        <v>709</v>
      </c>
      <c r="BU1222" s="626" t="s">
        <v>709</v>
      </c>
      <c r="BV1222" s="626" t="s">
        <v>709</v>
      </c>
      <c r="BW1222" s="626" t="s">
        <v>709</v>
      </c>
      <c r="BX1222" s="626" t="s">
        <v>709</v>
      </c>
      <c r="BY1222" s="547" t="s">
        <v>709</v>
      </c>
      <c r="BZ1222" s="547" t="s">
        <v>709</v>
      </c>
      <c r="CA1222" s="482"/>
      <c r="CB1222" s="547">
        <v>1220</v>
      </c>
      <c r="CC1222" s="1481" t="b">
        <v>1</v>
      </c>
      <c r="CD1222" s="879" t="str">
        <f>Table15[[#This Row],[Engineering Number]]&amp;Table15[[#This Row],[WO Number]]&amp;Table15[[#This Row],[Date Assigned to Designer]]&amp;Table15[[#This Row],[Date Completed]]</f>
        <v>N1583712129454555645532</v>
      </c>
    </row>
    <row r="1223" spans="1:82" customFormat="1" ht="15" customHeight="1" x14ac:dyDescent="0.25">
      <c r="A1223">
        <v>2023</v>
      </c>
      <c r="B1223" s="8" t="s">
        <v>4</v>
      </c>
      <c r="C1223" s="8" t="s">
        <v>6048</v>
      </c>
      <c r="D1223" s="8" t="s">
        <v>6049</v>
      </c>
      <c r="E1223" s="8" t="s">
        <v>354</v>
      </c>
      <c r="F1223" s="8" t="s">
        <v>1515</v>
      </c>
      <c r="G1223" s="8" t="s">
        <v>6518</v>
      </c>
      <c r="H1223" s="8" t="s">
        <v>2724</v>
      </c>
      <c r="I1223" s="642">
        <v>45627</v>
      </c>
      <c r="J1223" s="175" t="s">
        <v>2724</v>
      </c>
      <c r="K1223" s="175">
        <v>45532</v>
      </c>
      <c r="L1223" s="649">
        <f>IF(ISTEXT(Table15[[#This Row],[Engineering Approved Design Date]]),Table15[[#This Row],[Date Completed]]-Table15[[#This Row],[Date Assigned to Designer]],Table15[[#This Row],[Engineering Approved Design Date]]-Table15[[#This Row],[Date Completed]])</f>
        <v>-95</v>
      </c>
      <c r="M1223" s="16" t="s">
        <v>6523</v>
      </c>
      <c r="N1223" s="99" t="s">
        <v>120</v>
      </c>
      <c r="O1223" s="1060">
        <v>45536</v>
      </c>
      <c r="P1223" s="1152" t="s">
        <v>739</v>
      </c>
      <c r="Q1223" s="1151">
        <f>SUM(S1223:U1223)</f>
        <v>16445</v>
      </c>
      <c r="R1223" s="1026" t="s">
        <v>1922</v>
      </c>
      <c r="S1223" s="538">
        <v>0</v>
      </c>
      <c r="T1223" s="538">
        <v>0</v>
      </c>
      <c r="U1223" s="28">
        <v>16445</v>
      </c>
      <c r="V1223" s="858" t="s">
        <v>29</v>
      </c>
      <c r="W1223" s="425" t="s">
        <v>29</v>
      </c>
      <c r="X1223" s="538" t="s">
        <v>29</v>
      </c>
      <c r="Y1223" s="551" t="s">
        <v>915</v>
      </c>
      <c r="Z1223" s="538" t="s">
        <v>29</v>
      </c>
      <c r="AA1223" s="552" t="s">
        <v>29</v>
      </c>
      <c r="AB1223" s="341" t="s">
        <v>29</v>
      </c>
      <c r="AC1223" s="568" t="s">
        <v>709</v>
      </c>
      <c r="AD1223" s="1149" t="s">
        <v>29</v>
      </c>
      <c r="AE1223" s="568" t="s">
        <v>116</v>
      </c>
      <c r="AF1223" s="568" t="s">
        <v>116</v>
      </c>
      <c r="AG1223" s="569" t="s">
        <v>29</v>
      </c>
      <c r="AH1223" s="183">
        <v>45512</v>
      </c>
      <c r="AI1223" s="1028" t="s">
        <v>29</v>
      </c>
      <c r="AJ1223" s="1029" t="s">
        <v>29</v>
      </c>
      <c r="AK1223" s="1029" t="s">
        <v>29</v>
      </c>
      <c r="AL1223" s="1128" t="s">
        <v>29</v>
      </c>
      <c r="AM1223" s="542" t="s">
        <v>709</v>
      </c>
      <c r="AN1223" s="924"/>
      <c r="AO1223" s="925"/>
      <c r="AP1223" s="926"/>
      <c r="AQ1223" s="926"/>
      <c r="AR1223" s="926"/>
      <c r="AS1223" s="926"/>
      <c r="AT1223" s="926"/>
      <c r="AU1223" s="926"/>
      <c r="AV1223" s="926"/>
      <c r="AW1223" s="927"/>
      <c r="AX1223" s="926"/>
      <c r="AY1223" s="1538" t="s">
        <v>29</v>
      </c>
      <c r="AZ1223" s="1530"/>
      <c r="BA1223" s="1031">
        <v>11</v>
      </c>
      <c r="BB1223" s="543" t="s">
        <v>6524</v>
      </c>
      <c r="BC1223" s="559" t="s">
        <v>116</v>
      </c>
      <c r="BD1223" s="544" t="s">
        <v>709</v>
      </c>
      <c r="BE1223" s="544" t="s">
        <v>116</v>
      </c>
      <c r="BF1223" s="544" t="s">
        <v>709</v>
      </c>
      <c r="BG1223" s="548" t="s">
        <v>709</v>
      </c>
      <c r="BH1223" s="615" t="s">
        <v>6525</v>
      </c>
      <c r="BI1223" s="547" t="s">
        <v>116</v>
      </c>
      <c r="BJ1223" s="547" t="s">
        <v>709</v>
      </c>
      <c r="BK1223" s="547" t="s">
        <v>709</v>
      </c>
      <c r="BL1223" s="547" t="s">
        <v>709</v>
      </c>
      <c r="BM1223" s="547" t="s">
        <v>709</v>
      </c>
      <c r="BN1223" s="547">
        <v>797</v>
      </c>
      <c r="BO1223" s="547" t="s">
        <v>709</v>
      </c>
      <c r="BP1223" s="547" t="s">
        <v>709</v>
      </c>
      <c r="BQ1223" s="547" t="s">
        <v>709</v>
      </c>
      <c r="BR1223" s="626" t="s">
        <v>709</v>
      </c>
      <c r="BS1223" s="626" t="s">
        <v>709</v>
      </c>
      <c r="BT1223" s="626" t="s">
        <v>709</v>
      </c>
      <c r="BU1223" s="626" t="s">
        <v>709</v>
      </c>
      <c r="BV1223" s="626" t="s">
        <v>709</v>
      </c>
      <c r="BW1223" s="626" t="s">
        <v>709</v>
      </c>
      <c r="BX1223" s="626" t="s">
        <v>709</v>
      </c>
      <c r="BY1223" s="547" t="s">
        <v>709</v>
      </c>
      <c r="BZ1223" s="547" t="s">
        <v>709</v>
      </c>
      <c r="CA1223" s="482"/>
      <c r="CB1223" s="547">
        <v>1221</v>
      </c>
      <c r="CC1223" s="1481" t="b">
        <v>1</v>
      </c>
      <c r="CD1223" s="879" t="str">
        <f>Table15[[#This Row],[Engineering Number]]&amp;Table15[[#This Row],[WO Number]]&amp;Table15[[#This Row],[Date Assigned to Designer]]&amp;Table15[[#This Row],[Date Completed]]</f>
        <v>N15837-112132244562745532</v>
      </c>
    </row>
    <row r="1224" spans="1:82" customFormat="1" ht="15" customHeight="1" x14ac:dyDescent="0.25">
      <c r="A1224">
        <v>2024</v>
      </c>
      <c r="B1224" s="8" t="s">
        <v>4</v>
      </c>
      <c r="C1224" s="8" t="s">
        <v>6535</v>
      </c>
      <c r="D1224" s="8" t="s">
        <v>115</v>
      </c>
      <c r="E1224" s="8" t="s">
        <v>1032</v>
      </c>
      <c r="F1224" s="8" t="s">
        <v>1757</v>
      </c>
      <c r="G1224" s="8" t="s">
        <v>31</v>
      </c>
      <c r="H1224" s="8" t="s">
        <v>1903</v>
      </c>
      <c r="I1224" s="642">
        <v>45516</v>
      </c>
      <c r="J1224" s="18">
        <v>45558</v>
      </c>
      <c r="K1224" s="175">
        <v>45538</v>
      </c>
      <c r="L1224" s="16">
        <f>IF(ISTEXT(Table15[[#This Row],[Engineering Approved Design Date]]),Table15[[#This Row],[Date Completed]]-Table15[[#This Row],[Date Assigned to Designer]],Table15[[#This Row],[Engineering Approved Design Date]]-Table15[[#This Row],[Date Completed]])</f>
        <v>20</v>
      </c>
      <c r="M1224" t="s">
        <v>6536</v>
      </c>
      <c r="N1224" s="99" t="s">
        <v>120</v>
      </c>
      <c r="O1224" s="1060">
        <v>45536</v>
      </c>
      <c r="P1224" s="1152" t="s">
        <v>739</v>
      </c>
      <c r="Q1224" s="340" t="s">
        <v>115</v>
      </c>
      <c r="R1224" s="1026" t="s">
        <v>115</v>
      </c>
      <c r="S1224" s="538" t="s">
        <v>29</v>
      </c>
      <c r="T1224" s="538" t="s">
        <v>29</v>
      </c>
      <c r="U1224" s="28" t="s">
        <v>29</v>
      </c>
      <c r="V1224" s="858" t="s">
        <v>29</v>
      </c>
      <c r="W1224" s="425" t="s">
        <v>29</v>
      </c>
      <c r="X1224" s="538" t="s">
        <v>29</v>
      </c>
      <c r="Y1224" s="551" t="s">
        <v>915</v>
      </c>
      <c r="Z1224" s="538" t="s">
        <v>29</v>
      </c>
      <c r="AA1224" s="552" t="s">
        <v>29</v>
      </c>
      <c r="AB1224" s="341" t="s">
        <v>29</v>
      </c>
      <c r="AC1224" s="569" t="s">
        <v>29</v>
      </c>
      <c r="AD1224" s="1157" t="s">
        <v>29</v>
      </c>
      <c r="AE1224" s="568" t="s">
        <v>756</v>
      </c>
      <c r="AF1224" s="569" t="s">
        <v>29</v>
      </c>
      <c r="AG1224" s="569" t="s">
        <v>29</v>
      </c>
      <c r="AH1224" s="183">
        <v>45580</v>
      </c>
      <c r="AI1224" s="1028" t="s">
        <v>29</v>
      </c>
      <c r="AJ1224" s="1029" t="s">
        <v>29</v>
      </c>
      <c r="AK1224" s="1029" t="s">
        <v>29</v>
      </c>
      <c r="AL1224" s="1030" t="s">
        <v>29</v>
      </c>
      <c r="AM1224" s="542" t="s">
        <v>709</v>
      </c>
      <c r="AN1224" s="924"/>
      <c r="AO1224" s="925"/>
      <c r="AP1224" s="926"/>
      <c r="AQ1224" s="926"/>
      <c r="AR1224" s="926"/>
      <c r="AS1224" s="926"/>
      <c r="AT1224" s="926"/>
      <c r="AU1224" s="926"/>
      <c r="AV1224" s="926"/>
      <c r="AW1224" s="927"/>
      <c r="AX1224" s="926"/>
      <c r="AY1224" s="1538" t="s">
        <v>29</v>
      </c>
      <c r="AZ1224" s="1530"/>
      <c r="BA1224" s="1031" t="s">
        <v>6537</v>
      </c>
      <c r="BB1224" s="644" t="s">
        <v>1035</v>
      </c>
      <c r="BC1224" s="559" t="s">
        <v>709</v>
      </c>
      <c r="BD1224" s="554" t="s">
        <v>709</v>
      </c>
      <c r="BE1224" s="588" t="s">
        <v>1841</v>
      </c>
      <c r="BF1224" s="588" t="s">
        <v>709</v>
      </c>
      <c r="BG1224" s="548" t="s">
        <v>709</v>
      </c>
      <c r="BH1224" s="615" t="s">
        <v>6538</v>
      </c>
      <c r="BI1224" s="1032"/>
      <c r="BJ1224" s="1032"/>
      <c r="BK1224" s="1032"/>
      <c r="BL1224" s="1032"/>
      <c r="BM1224" s="1032"/>
      <c r="BN1224" s="1070"/>
      <c r="BO1224" s="1032"/>
      <c r="BP1224" s="1071"/>
      <c r="BQ1224" s="1070"/>
      <c r="BR1224" s="1070"/>
      <c r="BS1224" s="1070"/>
      <c r="BT1224" s="1070"/>
      <c r="BU1224" s="1070"/>
      <c r="BV1224" s="1070"/>
      <c r="BW1224" s="1070"/>
      <c r="BX1224" s="1032"/>
      <c r="BY1224" s="1072"/>
      <c r="BZ1224" s="1072"/>
      <c r="CA1224" s="485" t="s">
        <v>915</v>
      </c>
      <c r="CB1224" s="547">
        <v>1222</v>
      </c>
      <c r="CC1224" s="1481" t="b">
        <v>1</v>
      </c>
      <c r="CD1224" s="879" t="str">
        <f>Table15[[#This Row],[Engineering Number]]&amp;Table15[[#This Row],[WO Number]]&amp;Table15[[#This Row],[Date Assigned to Designer]]&amp;Table15[[#This Row],[Date Completed]]</f>
        <v>SC24878-4551645538</v>
      </c>
    </row>
    <row r="1225" spans="1:82" customFormat="1" ht="15" customHeight="1" x14ac:dyDescent="0.25">
      <c r="A1225">
        <v>2024</v>
      </c>
      <c r="B1225" s="8" t="s">
        <v>4</v>
      </c>
      <c r="C1225" s="8" t="s">
        <v>1816</v>
      </c>
      <c r="D1225" s="8">
        <v>1413787</v>
      </c>
      <c r="E1225" s="8" t="s">
        <v>1347</v>
      </c>
      <c r="F1225" s="8" t="s">
        <v>1757</v>
      </c>
      <c r="G1225" s="8" t="s">
        <v>35</v>
      </c>
      <c r="H1225" s="8" t="s">
        <v>6540</v>
      </c>
      <c r="I1225" s="642">
        <v>45525</v>
      </c>
      <c r="J1225" s="175" t="s">
        <v>2052</v>
      </c>
      <c r="K1225" s="97">
        <v>45544</v>
      </c>
      <c r="L1225" s="16">
        <f>IF(ISTEXT(Table15[[#This Row],[Engineering Approved Design Date]]),Table15[[#This Row],[Date Completed]]-Table15[[#This Row],[Date Assigned to Designer]],Table15[[#This Row],[Engineering Approved Design Date]]-Table15[[#This Row],[Date Completed]])</f>
        <v>19</v>
      </c>
      <c r="M1225" s="642" t="s">
        <v>6541</v>
      </c>
      <c r="N1225" s="99" t="s">
        <v>120</v>
      </c>
      <c r="O1225" s="1060">
        <v>45536</v>
      </c>
      <c r="P1225" s="1152" t="s">
        <v>739</v>
      </c>
      <c r="Q1225" s="340" t="s">
        <v>115</v>
      </c>
      <c r="R1225" s="1026" t="s">
        <v>115</v>
      </c>
      <c r="S1225" s="538" t="s">
        <v>29</v>
      </c>
      <c r="T1225" s="538" t="s">
        <v>29</v>
      </c>
      <c r="U1225" s="28" t="s">
        <v>29</v>
      </c>
      <c r="V1225" s="538" t="s">
        <v>29</v>
      </c>
      <c r="W1225" s="343" t="s">
        <v>29</v>
      </c>
      <c r="X1225" s="538" t="s">
        <v>29</v>
      </c>
      <c r="Y1225" s="538" t="s">
        <v>29</v>
      </c>
      <c r="Z1225" s="538" t="s">
        <v>29</v>
      </c>
      <c r="AA1225" s="538" t="s">
        <v>29</v>
      </c>
      <c r="AB1225" s="341" t="s">
        <v>29</v>
      </c>
      <c r="AC1225" s="569" t="s">
        <v>29</v>
      </c>
      <c r="AD1225" s="1149" t="s">
        <v>29</v>
      </c>
      <c r="AE1225" s="568" t="s">
        <v>116</v>
      </c>
      <c r="AF1225" s="569" t="s">
        <v>29</v>
      </c>
      <c r="AG1225" s="569" t="s">
        <v>29</v>
      </c>
      <c r="AH1225" s="183">
        <v>45609</v>
      </c>
      <c r="AI1225" s="1028" t="s">
        <v>29</v>
      </c>
      <c r="AJ1225" s="1029" t="s">
        <v>29</v>
      </c>
      <c r="AK1225" s="1029" t="s">
        <v>29</v>
      </c>
      <c r="AL1225" s="1030" t="s">
        <v>29</v>
      </c>
      <c r="AM1225" s="542" t="s">
        <v>709</v>
      </c>
      <c r="AN1225" s="924"/>
      <c r="AO1225" s="925"/>
      <c r="AP1225" s="926"/>
      <c r="AQ1225" s="926"/>
      <c r="AR1225" s="926"/>
      <c r="AS1225" s="926"/>
      <c r="AT1225" s="926"/>
      <c r="AU1225" s="926"/>
      <c r="AV1225" s="926"/>
      <c r="AW1225" s="927"/>
      <c r="AX1225" s="926"/>
      <c r="AY1225" s="1538" t="s">
        <v>29</v>
      </c>
      <c r="AZ1225" s="1530"/>
      <c r="BA1225" s="1031" t="s">
        <v>4919</v>
      </c>
      <c r="BB1225" s="644" t="s">
        <v>6542</v>
      </c>
      <c r="BC1225" s="559"/>
      <c r="BD1225" s="554"/>
      <c r="BE1225" s="588"/>
      <c r="BF1225" s="588"/>
      <c r="BG1225" s="548"/>
      <c r="BH1225" s="615" t="s">
        <v>29</v>
      </c>
      <c r="BI1225" s="1032"/>
      <c r="BJ1225" s="1032"/>
      <c r="BK1225" s="1032"/>
      <c r="BL1225" s="1032"/>
      <c r="BM1225" s="1032"/>
      <c r="BN1225" s="1032"/>
      <c r="BO1225" s="1032"/>
      <c r="BP1225" s="1032"/>
      <c r="BQ1225" s="1032"/>
      <c r="BR1225" s="1032"/>
      <c r="BS1225" s="1032"/>
      <c r="BT1225" s="1032"/>
      <c r="BU1225" s="1032"/>
      <c r="BV1225" s="1032"/>
      <c r="BW1225" s="1032"/>
      <c r="BX1225" s="1032"/>
      <c r="BY1225" s="1032"/>
      <c r="BZ1225" s="1032"/>
      <c r="CA1225" s="485" t="s">
        <v>915</v>
      </c>
      <c r="CB1225" s="547">
        <v>1223</v>
      </c>
      <c r="CC1225" s="1481" t="b">
        <v>1</v>
      </c>
      <c r="CD1225" s="879" t="str">
        <f>Table15[[#This Row],[Engineering Number]]&amp;Table15[[#This Row],[WO Number]]&amp;Table15[[#This Row],[Date Assigned to Designer]]&amp;Table15[[#This Row],[Date Completed]]</f>
        <v>SC2344814137874552545544</v>
      </c>
    </row>
    <row r="1226" spans="1:82" customFormat="1" ht="15" customHeight="1" x14ac:dyDescent="0.25">
      <c r="A1226">
        <v>2024</v>
      </c>
      <c r="B1226" s="8" t="s">
        <v>4</v>
      </c>
      <c r="C1226" s="8" t="s">
        <v>6544</v>
      </c>
      <c r="D1226" s="8" t="s">
        <v>115</v>
      </c>
      <c r="E1226" s="8" t="s">
        <v>249</v>
      </c>
      <c r="F1226" s="8" t="s">
        <v>784</v>
      </c>
      <c r="G1226" s="8" t="s">
        <v>26</v>
      </c>
      <c r="H1226" s="8" t="s">
        <v>1681</v>
      </c>
      <c r="I1226" s="642">
        <v>45461</v>
      </c>
      <c r="J1226" s="18">
        <v>45579</v>
      </c>
      <c r="K1226" s="175">
        <v>45546</v>
      </c>
      <c r="L1226" s="16">
        <f>IF(ISTEXT(Table15[[#This Row],[Engineering Approved Design Date]]),Table15[[#This Row],[Date Completed]]-Table15[[#This Row],[Date Assigned to Designer]],Table15[[#This Row],[Engineering Approved Design Date]]-Table15[[#This Row],[Date Completed]])</f>
        <v>33</v>
      </c>
      <c r="M1226" t="s">
        <v>6545</v>
      </c>
      <c r="N1226" s="99" t="s">
        <v>120</v>
      </c>
      <c r="O1226" s="1060">
        <v>45536</v>
      </c>
      <c r="P1226" s="1152" t="s">
        <v>739</v>
      </c>
      <c r="Q1226" s="340" t="s">
        <v>115</v>
      </c>
      <c r="R1226" s="1026" t="s">
        <v>115</v>
      </c>
      <c r="S1226" s="538" t="s">
        <v>29</v>
      </c>
      <c r="T1226" s="538" t="s">
        <v>29</v>
      </c>
      <c r="U1226" s="28" t="s">
        <v>29</v>
      </c>
      <c r="V1226" s="538" t="s">
        <v>29</v>
      </c>
      <c r="W1226" s="343" t="s">
        <v>29</v>
      </c>
      <c r="X1226" s="538" t="s">
        <v>29</v>
      </c>
      <c r="Y1226" s="538" t="s">
        <v>29</v>
      </c>
      <c r="Z1226" s="538" t="s">
        <v>29</v>
      </c>
      <c r="AA1226" s="538" t="s">
        <v>29</v>
      </c>
      <c r="AB1226" s="341" t="s">
        <v>29</v>
      </c>
      <c r="AC1226" s="569" t="s">
        <v>29</v>
      </c>
      <c r="AD1226" s="1157" t="s">
        <v>29</v>
      </c>
      <c r="AE1226" s="568" t="s">
        <v>756</v>
      </c>
      <c r="AF1226" s="569" t="s">
        <v>29</v>
      </c>
      <c r="AG1226" s="569" t="s">
        <v>29</v>
      </c>
      <c r="AH1226" s="183">
        <v>45580</v>
      </c>
      <c r="AI1226" s="1028" t="s">
        <v>29</v>
      </c>
      <c r="AJ1226" s="1133">
        <v>5679.5</v>
      </c>
      <c r="AK1226" s="1029" t="s">
        <v>29</v>
      </c>
      <c r="AL1226" s="1030" t="s">
        <v>29</v>
      </c>
      <c r="AM1226" s="542" t="s">
        <v>709</v>
      </c>
      <c r="AN1226" s="924"/>
      <c r="AO1226" s="925"/>
      <c r="AP1226" s="926"/>
      <c r="AQ1226" s="926"/>
      <c r="AR1226" s="926"/>
      <c r="AS1226" s="926"/>
      <c r="AT1226" s="926"/>
      <c r="AU1226" s="926"/>
      <c r="AV1226" s="926"/>
      <c r="AW1226" s="927"/>
      <c r="AX1226" s="926"/>
      <c r="AY1226" s="1538" t="s">
        <v>29</v>
      </c>
      <c r="AZ1226" s="1530"/>
      <c r="BA1226" s="1031" t="s">
        <v>6546</v>
      </c>
      <c r="BB1226" s="644" t="s">
        <v>870</v>
      </c>
      <c r="BC1226" s="559" t="s">
        <v>116</v>
      </c>
      <c r="BD1226" s="554" t="s">
        <v>882</v>
      </c>
      <c r="BE1226" s="588" t="s">
        <v>709</v>
      </c>
      <c r="BF1226" s="588" t="s">
        <v>6547</v>
      </c>
      <c r="BG1226" s="548" t="s">
        <v>709</v>
      </c>
      <c r="BH1226" s="615" t="s">
        <v>6548</v>
      </c>
      <c r="BI1226" s="1032"/>
      <c r="BJ1226" s="1032"/>
      <c r="BK1226" s="1032"/>
      <c r="BL1226" s="1032"/>
      <c r="BM1226" s="1032"/>
      <c r="BN1226" s="1070"/>
      <c r="BO1226" s="1032"/>
      <c r="BP1226" s="1071"/>
      <c r="BQ1226" s="1070"/>
      <c r="BR1226" s="1070"/>
      <c r="BS1226" s="1070"/>
      <c r="BT1226" s="1070"/>
      <c r="BU1226" s="1070"/>
      <c r="BV1226" s="1070"/>
      <c r="BW1226" s="1070"/>
      <c r="BX1226" s="1032"/>
      <c r="BY1226" s="1072"/>
      <c r="BZ1226" s="1072"/>
      <c r="CA1226" s="485" t="s">
        <v>915</v>
      </c>
      <c r="CB1226" s="547">
        <v>1224</v>
      </c>
      <c r="CC1226" s="1481" t="b">
        <v>1</v>
      </c>
      <c r="CD1226" s="879" t="str">
        <f>Table15[[#This Row],[Engineering Number]]&amp;Table15[[#This Row],[WO Number]]&amp;Table15[[#This Row],[Date Assigned to Designer]]&amp;Table15[[#This Row],[Date Completed]]</f>
        <v>M13879-4546145546</v>
      </c>
    </row>
    <row r="1227" spans="1:82" customFormat="1" ht="15" customHeight="1" x14ac:dyDescent="0.25">
      <c r="A1227">
        <v>2024</v>
      </c>
      <c r="B1227" s="8" t="s">
        <v>4</v>
      </c>
      <c r="C1227" s="8" t="s">
        <v>204</v>
      </c>
      <c r="D1227" s="8" t="s">
        <v>1158</v>
      </c>
      <c r="E1227" s="8" t="s">
        <v>1159</v>
      </c>
      <c r="F1227" s="8" t="s">
        <v>1757</v>
      </c>
      <c r="G1227" s="8" t="s">
        <v>25</v>
      </c>
      <c r="H1227" s="8" t="s">
        <v>3852</v>
      </c>
      <c r="I1227" s="18">
        <v>45512</v>
      </c>
      <c r="J1227" s="175" t="s">
        <v>2052</v>
      </c>
      <c r="K1227" s="97">
        <v>45546</v>
      </c>
      <c r="L1227" s="16">
        <f>IF(ISTEXT(Table15[[#This Row],[Engineering Approved Design Date]]),Table15[[#This Row],[Date Completed]]-Table15[[#This Row],[Date Assigned to Designer]],Table15[[#This Row],[Engineering Approved Design Date]]-Table15[[#This Row],[Date Completed]])</f>
        <v>34</v>
      </c>
      <c r="M1227" s="642" t="s">
        <v>6550</v>
      </c>
      <c r="N1227" s="99" t="s">
        <v>120</v>
      </c>
      <c r="O1227" s="1060">
        <v>45566</v>
      </c>
      <c r="P1227" s="1152" t="s">
        <v>739</v>
      </c>
      <c r="Q1227" s="1061">
        <f>SUM(Table15[[#This Row],[Shactee Effort]:[KH Hourly Effort]])</f>
        <v>17700</v>
      </c>
      <c r="R1227" s="1026" t="s">
        <v>1922</v>
      </c>
      <c r="S1227" s="538">
        <v>0</v>
      </c>
      <c r="T1227" s="538">
        <v>0</v>
      </c>
      <c r="U1227" s="28">
        <v>17700</v>
      </c>
      <c r="V1227" s="858" t="s">
        <v>29</v>
      </c>
      <c r="W1227" s="425" t="s">
        <v>29</v>
      </c>
      <c r="X1227" s="538" t="s">
        <v>29</v>
      </c>
      <c r="Y1227" s="551" t="s">
        <v>915</v>
      </c>
      <c r="Z1227" s="538" t="s">
        <v>29</v>
      </c>
      <c r="AA1227" s="552" t="s">
        <v>29</v>
      </c>
      <c r="AB1227" s="341" t="s">
        <v>29</v>
      </c>
      <c r="AC1227" s="569" t="s">
        <v>29</v>
      </c>
      <c r="AD1227" s="1149" t="s">
        <v>29</v>
      </c>
      <c r="AE1227" s="568" t="s">
        <v>116</v>
      </c>
      <c r="AF1227" s="568" t="s">
        <v>29</v>
      </c>
      <c r="AG1227" s="569" t="s">
        <v>29</v>
      </c>
      <c r="AH1227" s="183">
        <v>45580</v>
      </c>
      <c r="AI1227" s="1028" t="s">
        <v>29</v>
      </c>
      <c r="AJ1227" s="1029" t="s">
        <v>29</v>
      </c>
      <c r="AK1227" s="1029" t="s">
        <v>29</v>
      </c>
      <c r="AL1227" s="1030" t="s">
        <v>29</v>
      </c>
      <c r="AM1227" s="542" t="s">
        <v>709</v>
      </c>
      <c r="AN1227" s="924"/>
      <c r="AO1227" s="925"/>
      <c r="AP1227" s="926"/>
      <c r="AQ1227" s="926"/>
      <c r="AR1227" s="926"/>
      <c r="AS1227" s="926"/>
      <c r="AT1227" s="926"/>
      <c r="AU1227" s="926"/>
      <c r="AV1227" s="926"/>
      <c r="AW1227" s="927"/>
      <c r="AX1227" s="926"/>
      <c r="AY1227" s="1538" t="s">
        <v>29</v>
      </c>
      <c r="AZ1227" s="1530"/>
      <c r="BA1227" s="1031" t="s">
        <v>4919</v>
      </c>
      <c r="BB1227" s="1599" t="s">
        <v>6551</v>
      </c>
      <c r="BC1227" s="559" t="s">
        <v>116</v>
      </c>
      <c r="BD1227" s="554" t="s">
        <v>709</v>
      </c>
      <c r="BE1227" s="588" t="s">
        <v>1210</v>
      </c>
      <c r="BF1227" s="588" t="s">
        <v>5636</v>
      </c>
      <c r="BG1227" s="548" t="s">
        <v>6552</v>
      </c>
      <c r="BH1227" s="615" t="s">
        <v>6553</v>
      </c>
      <c r="BI1227" s="626" t="s">
        <v>709</v>
      </c>
      <c r="BJ1227" s="626" t="s">
        <v>709</v>
      </c>
      <c r="BK1227" s="626" t="s">
        <v>709</v>
      </c>
      <c r="BL1227" s="626" t="s">
        <v>116</v>
      </c>
      <c r="BM1227" s="626" t="s">
        <v>709</v>
      </c>
      <c r="BN1227" s="626" t="s">
        <v>709</v>
      </c>
      <c r="BO1227" s="626" t="s">
        <v>709</v>
      </c>
      <c r="BP1227" s="626" t="s">
        <v>709</v>
      </c>
      <c r="BQ1227" s="626" t="s">
        <v>709</v>
      </c>
      <c r="BR1227" s="626">
        <v>495</v>
      </c>
      <c r="BS1227" s="626" t="s">
        <v>709</v>
      </c>
      <c r="BT1227" s="626" t="s">
        <v>709</v>
      </c>
      <c r="BU1227" s="626" t="s">
        <v>709</v>
      </c>
      <c r="BV1227" s="626" t="s">
        <v>709</v>
      </c>
      <c r="BW1227" s="626" t="s">
        <v>709</v>
      </c>
      <c r="BX1227" s="626" t="s">
        <v>709</v>
      </c>
      <c r="BY1227" s="626" t="s">
        <v>709</v>
      </c>
      <c r="BZ1227" s="547" t="s">
        <v>709</v>
      </c>
      <c r="CA1227" s="483"/>
      <c r="CB1227" s="547">
        <v>1225</v>
      </c>
      <c r="CC1227" s="1481" t="b">
        <v>1</v>
      </c>
      <c r="CD1227" s="879" t="str">
        <f>Table15[[#This Row],[Engineering Number]]&amp;Table15[[#This Row],[WO Number]]&amp;Table15[[#This Row],[Date Assigned to Designer]]&amp;Table15[[#This Row],[Date Completed]]</f>
        <v>SC175511408304551245546</v>
      </c>
    </row>
    <row r="1228" spans="1:82" customFormat="1" ht="15" customHeight="1" x14ac:dyDescent="0.25">
      <c r="A1228">
        <v>2024</v>
      </c>
      <c r="B1228" s="8" t="s">
        <v>4</v>
      </c>
      <c r="C1228" s="8" t="s">
        <v>6186</v>
      </c>
      <c r="D1228" s="8" t="s">
        <v>6559</v>
      </c>
      <c r="E1228" s="8" t="s">
        <v>1164</v>
      </c>
      <c r="F1228" s="8" t="s">
        <v>851</v>
      </c>
      <c r="G1228" s="8" t="s">
        <v>219</v>
      </c>
      <c r="H1228" s="8" t="s">
        <v>1681</v>
      </c>
      <c r="I1228" s="642">
        <v>45216</v>
      </c>
      <c r="J1228" s="18">
        <v>45562</v>
      </c>
      <c r="K1228" s="175">
        <v>45547</v>
      </c>
      <c r="L1228" s="16">
        <f>IF(ISTEXT(Table15[[#This Row],[Engineering Approved Design Date]]),Table15[[#This Row],[Date Completed]]-Table15[[#This Row],[Date Assigned to Designer]],Table15[[#This Row],[Engineering Approved Design Date]]-Table15[[#This Row],[Date Completed]])</f>
        <v>15</v>
      </c>
      <c r="M1228" t="s">
        <v>6560</v>
      </c>
      <c r="N1228" s="99" t="s">
        <v>120</v>
      </c>
      <c r="O1228" s="1060">
        <v>45536</v>
      </c>
      <c r="P1228" s="1152" t="s">
        <v>739</v>
      </c>
      <c r="Q1228" s="340" t="s">
        <v>115</v>
      </c>
      <c r="R1228" s="1026" t="s">
        <v>115</v>
      </c>
      <c r="S1228" s="538" t="s">
        <v>29</v>
      </c>
      <c r="T1228" s="538" t="s">
        <v>29</v>
      </c>
      <c r="U1228" s="28" t="s">
        <v>29</v>
      </c>
      <c r="V1228" s="538" t="s">
        <v>29</v>
      </c>
      <c r="W1228" s="343" t="s">
        <v>29</v>
      </c>
      <c r="X1228" s="538" t="s">
        <v>29</v>
      </c>
      <c r="Y1228" s="538" t="s">
        <v>29</v>
      </c>
      <c r="Z1228" s="538" t="s">
        <v>29</v>
      </c>
      <c r="AA1228" s="538" t="s">
        <v>29</v>
      </c>
      <c r="AB1228" s="341" t="s">
        <v>29</v>
      </c>
      <c r="AC1228" s="569" t="s">
        <v>29</v>
      </c>
      <c r="AD1228" s="1157" t="s">
        <v>29</v>
      </c>
      <c r="AE1228" s="568" t="s">
        <v>756</v>
      </c>
      <c r="AF1228" s="569" t="s">
        <v>29</v>
      </c>
      <c r="AG1228" s="569" t="s">
        <v>29</v>
      </c>
      <c r="AH1228" s="183">
        <v>45475</v>
      </c>
      <c r="AI1228" s="1028" t="s">
        <v>29</v>
      </c>
      <c r="AJ1228" s="1029" t="s">
        <v>29</v>
      </c>
      <c r="AK1228" s="1029" t="s">
        <v>29</v>
      </c>
      <c r="AL1228" s="1030" t="s">
        <v>29</v>
      </c>
      <c r="AM1228" s="542" t="s">
        <v>709</v>
      </c>
      <c r="AN1228" s="924"/>
      <c r="AO1228" s="925"/>
      <c r="AP1228" s="926"/>
      <c r="AQ1228" s="926"/>
      <c r="AR1228" s="926"/>
      <c r="AS1228" s="926"/>
      <c r="AT1228" s="926"/>
      <c r="AU1228" s="926"/>
      <c r="AV1228" s="926"/>
      <c r="AW1228" s="927"/>
      <c r="AX1228" s="926"/>
      <c r="AY1228" s="1538" t="s">
        <v>29</v>
      </c>
      <c r="AZ1228" s="1530"/>
      <c r="BA1228" s="1031" t="s">
        <v>6561</v>
      </c>
      <c r="BB1228" s="644" t="s">
        <v>961</v>
      </c>
      <c r="BC1228" s="559" t="s">
        <v>709</v>
      </c>
      <c r="BD1228" s="554" t="s">
        <v>1167</v>
      </c>
      <c r="BE1228" s="588" t="s">
        <v>5134</v>
      </c>
      <c r="BF1228" s="588" t="s">
        <v>5134</v>
      </c>
      <c r="BG1228" s="548" t="s">
        <v>6562</v>
      </c>
      <c r="BH1228" s="615" t="s">
        <v>6563</v>
      </c>
      <c r="BI1228" s="1032"/>
      <c r="BJ1228" s="1032"/>
      <c r="BK1228" s="1032"/>
      <c r="BL1228" s="1032"/>
      <c r="BM1228" s="1032"/>
      <c r="BN1228" s="1070"/>
      <c r="BO1228" s="1032"/>
      <c r="BP1228" s="1071"/>
      <c r="BQ1228" s="1070"/>
      <c r="BR1228" s="1070"/>
      <c r="BS1228" s="1070"/>
      <c r="BT1228" s="1070"/>
      <c r="BU1228" s="1070"/>
      <c r="BV1228" s="1070"/>
      <c r="BW1228" s="1070"/>
      <c r="BX1228" s="1032"/>
      <c r="BY1228" s="1072"/>
      <c r="BZ1228" s="1072"/>
      <c r="CA1228" s="485" t="s">
        <v>915</v>
      </c>
      <c r="CB1228" s="547">
        <v>1226</v>
      </c>
      <c r="CC1228" s="1481" t="b">
        <v>1</v>
      </c>
      <c r="CD1228" s="879" t="str">
        <f>Table15[[#This Row],[Engineering Number]]&amp;Table15[[#This Row],[WO Number]]&amp;Table15[[#This Row],[Date Assigned to Designer]]&amp;Table15[[#This Row],[Date Completed]]</f>
        <v>SC2363413134484521645547</v>
      </c>
    </row>
    <row r="1229" spans="1:82" customFormat="1" ht="15" customHeight="1" x14ac:dyDescent="0.25">
      <c r="A1229">
        <v>2024</v>
      </c>
      <c r="B1229" s="8" t="s">
        <v>4</v>
      </c>
      <c r="C1229" s="8" t="s">
        <v>1608</v>
      </c>
      <c r="D1229" s="8">
        <v>1412597</v>
      </c>
      <c r="E1229" s="8" t="s">
        <v>232</v>
      </c>
      <c r="F1229" s="8" t="s">
        <v>1757</v>
      </c>
      <c r="G1229" s="8" t="s">
        <v>25</v>
      </c>
      <c r="H1229" s="8" t="s">
        <v>4001</v>
      </c>
      <c r="I1229" s="18">
        <v>45540</v>
      </c>
      <c r="J1229" s="175" t="s">
        <v>2052</v>
      </c>
      <c r="K1229" s="97">
        <v>45547</v>
      </c>
      <c r="L1229" s="16">
        <f>IF(ISTEXT(Table15[[#This Row],[Engineering Approved Design Date]]),Table15[[#This Row],[Date Completed]]-Table15[[#This Row],[Date Assigned to Designer]],Table15[[#This Row],[Engineering Approved Design Date]]-Table15[[#This Row],[Date Completed]])</f>
        <v>7</v>
      </c>
      <c r="M1229" s="642" t="s">
        <v>6555</v>
      </c>
      <c r="N1229" s="99" t="s">
        <v>120</v>
      </c>
      <c r="O1229" s="1060">
        <v>45566</v>
      </c>
      <c r="P1229" s="1152" t="s">
        <v>739</v>
      </c>
      <c r="Q1229" s="1061">
        <f>SUM(Table15[[#This Row],[Shactee Effort]:[KH Hourly Effort]])</f>
        <v>1880</v>
      </c>
      <c r="R1229" s="1026" t="s">
        <v>1922</v>
      </c>
      <c r="S1229" s="538">
        <v>0</v>
      </c>
      <c r="T1229" s="538">
        <v>0</v>
      </c>
      <c r="U1229" s="87">
        <v>1880</v>
      </c>
      <c r="V1229" s="858" t="s">
        <v>29</v>
      </c>
      <c r="W1229" s="425" t="s">
        <v>29</v>
      </c>
      <c r="X1229" s="538" t="s">
        <v>29</v>
      </c>
      <c r="Y1229" s="551" t="s">
        <v>915</v>
      </c>
      <c r="Z1229" s="538" t="s">
        <v>29</v>
      </c>
      <c r="AA1229" s="552" t="s">
        <v>29</v>
      </c>
      <c r="AB1229" s="341" t="s">
        <v>29</v>
      </c>
      <c r="AC1229" s="569" t="s">
        <v>29</v>
      </c>
      <c r="AD1229" s="1149" t="s">
        <v>116</v>
      </c>
      <c r="AE1229" s="568" t="s">
        <v>116</v>
      </c>
      <c r="AF1229" s="568" t="s">
        <v>756</v>
      </c>
      <c r="AG1229" s="569" t="s">
        <v>29</v>
      </c>
      <c r="AH1229" s="183">
        <v>45580</v>
      </c>
      <c r="AI1229" s="1028" t="s">
        <v>29</v>
      </c>
      <c r="AJ1229" s="1029" t="s">
        <v>29</v>
      </c>
      <c r="AK1229" s="1029" t="s">
        <v>29</v>
      </c>
      <c r="AL1229" s="1030" t="s">
        <v>29</v>
      </c>
      <c r="AM1229" s="542" t="s">
        <v>709</v>
      </c>
      <c r="AN1229" s="924"/>
      <c r="AO1229" s="925"/>
      <c r="AP1229" s="926"/>
      <c r="AQ1229" s="926"/>
      <c r="AR1229" s="926"/>
      <c r="AS1229" s="926"/>
      <c r="AT1229" s="926"/>
      <c r="AU1229" s="926"/>
      <c r="AV1229" s="926"/>
      <c r="AW1229" s="927"/>
      <c r="AX1229" s="926"/>
      <c r="AY1229" s="1538" t="s">
        <v>29</v>
      </c>
      <c r="AZ1229" s="1530"/>
      <c r="BA1229" s="1031">
        <v>4</v>
      </c>
      <c r="BB1229" s="543" t="s">
        <v>6556</v>
      </c>
      <c r="BC1229" s="544" t="s">
        <v>709</v>
      </c>
      <c r="BD1229" s="544" t="s">
        <v>1092</v>
      </c>
      <c r="BE1229" s="544" t="s">
        <v>595</v>
      </c>
      <c r="BF1229" s="544" t="s">
        <v>595</v>
      </c>
      <c r="BG1229" s="548" t="s">
        <v>709</v>
      </c>
      <c r="BH1229" s="615" t="s">
        <v>6557</v>
      </c>
      <c r="BI1229" s="626" t="s">
        <v>709</v>
      </c>
      <c r="BJ1229" s="626" t="s">
        <v>709</v>
      </c>
      <c r="BK1229" s="626" t="s">
        <v>709</v>
      </c>
      <c r="BL1229" s="626" t="s">
        <v>116</v>
      </c>
      <c r="BM1229" s="626" t="s">
        <v>709</v>
      </c>
      <c r="BN1229" s="626" t="s">
        <v>709</v>
      </c>
      <c r="BO1229" s="626" t="s">
        <v>709</v>
      </c>
      <c r="BP1229" s="626" t="s">
        <v>709</v>
      </c>
      <c r="BQ1229" s="626" t="s">
        <v>709</v>
      </c>
      <c r="BR1229" s="626">
        <v>440</v>
      </c>
      <c r="BS1229" s="626">
        <v>14</v>
      </c>
      <c r="BT1229" s="626" t="s">
        <v>709</v>
      </c>
      <c r="BU1229" s="626" t="s">
        <v>709</v>
      </c>
      <c r="BV1229" s="626" t="s">
        <v>709</v>
      </c>
      <c r="BW1229" s="626" t="s">
        <v>709</v>
      </c>
      <c r="BX1229" s="626" t="s">
        <v>709</v>
      </c>
      <c r="BY1229" s="626" t="s">
        <v>709</v>
      </c>
      <c r="BZ1229" s="547" t="s">
        <v>709</v>
      </c>
      <c r="CA1229" s="483"/>
      <c r="CB1229" s="547">
        <v>1227</v>
      </c>
      <c r="CC1229" s="1481" t="b">
        <v>1</v>
      </c>
      <c r="CD1229" s="879" t="str">
        <f>Table15[[#This Row],[Engineering Number]]&amp;Table15[[#This Row],[WO Number]]&amp;Table15[[#This Row],[Date Assigned to Designer]]&amp;Table15[[#This Row],[Date Completed]]</f>
        <v>SC2170114125974554045547</v>
      </c>
    </row>
    <row r="1230" spans="1:82" customFormat="1" ht="15" customHeight="1" x14ac:dyDescent="0.25">
      <c r="A1230">
        <v>2024</v>
      </c>
      <c r="B1230" s="8" t="s">
        <v>1073</v>
      </c>
      <c r="C1230" s="8" t="s">
        <v>280</v>
      </c>
      <c r="D1230" s="8">
        <v>1611416</v>
      </c>
      <c r="E1230" s="8" t="s">
        <v>281</v>
      </c>
      <c r="F1230" s="8" t="s">
        <v>784</v>
      </c>
      <c r="G1230" s="8" t="s">
        <v>31</v>
      </c>
      <c r="H1230" s="8" t="s">
        <v>4462</v>
      </c>
      <c r="I1230" s="642">
        <v>45541</v>
      </c>
      <c r="J1230" s="175" t="s">
        <v>2052</v>
      </c>
      <c r="K1230" s="97">
        <v>45548</v>
      </c>
      <c r="L1230" s="16">
        <f>IF(ISTEXT(Table15[[#This Row],[Engineering Approved Design Date]]),Table15[[#This Row],[Date Completed]]-Table15[[#This Row],[Date Assigned to Designer]],Table15[[#This Row],[Engineering Approved Design Date]]-Table15[[#This Row],[Date Completed]])</f>
        <v>7</v>
      </c>
      <c r="M1230" s="642" t="s">
        <v>6565</v>
      </c>
      <c r="N1230" s="642" t="s">
        <v>120</v>
      </c>
      <c r="O1230" s="1060">
        <v>45536</v>
      </c>
      <c r="P1230" s="1152" t="s">
        <v>739</v>
      </c>
      <c r="Q1230" s="1302" t="s">
        <v>115</v>
      </c>
      <c r="R1230" s="1127" t="s">
        <v>115</v>
      </c>
      <c r="S1230" s="538" t="s">
        <v>29</v>
      </c>
      <c r="T1230" s="538" t="s">
        <v>29</v>
      </c>
      <c r="U1230" s="28" t="s">
        <v>29</v>
      </c>
      <c r="V1230" s="538" t="s">
        <v>29</v>
      </c>
      <c r="W1230" s="343" t="s">
        <v>29</v>
      </c>
      <c r="X1230" s="538" t="s">
        <v>29</v>
      </c>
      <c r="Y1230" s="538" t="s">
        <v>29</v>
      </c>
      <c r="Z1230" s="538" t="s">
        <v>29</v>
      </c>
      <c r="AA1230" s="538" t="s">
        <v>29</v>
      </c>
      <c r="AB1230" s="341" t="s">
        <v>29</v>
      </c>
      <c r="AC1230" s="569" t="s">
        <v>29</v>
      </c>
      <c r="AD1230" s="1149" t="s">
        <v>29</v>
      </c>
      <c r="AE1230" s="568" t="s">
        <v>116</v>
      </c>
      <c r="AF1230" s="569" t="s">
        <v>29</v>
      </c>
      <c r="AG1230" s="569" t="s">
        <v>29</v>
      </c>
      <c r="AH1230" s="183">
        <v>45580</v>
      </c>
      <c r="AI1230" s="1028" t="s">
        <v>29</v>
      </c>
      <c r="AJ1230" s="1029" t="s">
        <v>29</v>
      </c>
      <c r="AK1230" s="1029" t="s">
        <v>29</v>
      </c>
      <c r="AL1230" s="1030" t="s">
        <v>29</v>
      </c>
      <c r="AM1230" s="542" t="s">
        <v>709</v>
      </c>
      <c r="AN1230" s="924"/>
      <c r="AO1230" s="925"/>
      <c r="AP1230" s="926"/>
      <c r="AQ1230" s="926"/>
      <c r="AR1230" s="926"/>
      <c r="AS1230" s="926"/>
      <c r="AT1230" s="926"/>
      <c r="AU1230" s="926"/>
      <c r="AV1230" s="926"/>
      <c r="AW1230" s="927"/>
      <c r="AX1230" s="926"/>
      <c r="AY1230" s="1538" t="s">
        <v>29</v>
      </c>
      <c r="AZ1230" s="1530"/>
      <c r="BA1230" s="1031">
        <v>3</v>
      </c>
      <c r="BB1230" s="644"/>
      <c r="BC1230" s="559"/>
      <c r="BD1230" s="554"/>
      <c r="BE1230" s="588"/>
      <c r="BF1230" s="588"/>
      <c r="BG1230" s="548"/>
      <c r="BH1230" s="615"/>
      <c r="BI1230" s="1032"/>
      <c r="BJ1230" s="1032"/>
      <c r="BK1230" s="1032"/>
      <c r="BL1230" s="1032"/>
      <c r="BM1230" s="1032"/>
      <c r="BN1230" s="1032"/>
      <c r="BO1230" s="1032"/>
      <c r="BP1230" s="1032"/>
      <c r="BQ1230" s="1032"/>
      <c r="BR1230" s="1032"/>
      <c r="BS1230" s="1032"/>
      <c r="BT1230" s="1032"/>
      <c r="BU1230" s="1032"/>
      <c r="BV1230" s="1032"/>
      <c r="BW1230" s="1032"/>
      <c r="BX1230" s="1032"/>
      <c r="BY1230" s="1032"/>
      <c r="BZ1230" s="1072"/>
      <c r="CA1230" s="485"/>
      <c r="CB1230" s="547">
        <v>1228</v>
      </c>
      <c r="CC1230" s="1481" t="b">
        <v>1</v>
      </c>
      <c r="CD1230" s="879" t="str">
        <f>Table15[[#This Row],[Engineering Number]]&amp;Table15[[#This Row],[WO Number]]&amp;Table15[[#This Row],[Date Assigned to Designer]]&amp;Table15[[#This Row],[Date Completed]]</f>
        <v>NBA1000207316114164554145548</v>
      </c>
    </row>
    <row r="1231" spans="1:82" customFormat="1" ht="15" customHeight="1" x14ac:dyDescent="0.25">
      <c r="A1231">
        <v>2024</v>
      </c>
      <c r="B1231" s="8" t="s">
        <v>4</v>
      </c>
      <c r="C1231" s="8" t="s">
        <v>6567</v>
      </c>
      <c r="D1231" s="8" t="s">
        <v>6568</v>
      </c>
      <c r="E1231" s="8" t="s">
        <v>1159</v>
      </c>
      <c r="F1231" s="8" t="s">
        <v>1102</v>
      </c>
      <c r="G1231" s="8" t="s">
        <v>28</v>
      </c>
      <c r="H1231" s="8" t="s">
        <v>59</v>
      </c>
      <c r="I1231" s="642">
        <v>45369</v>
      </c>
      <c r="J1231" s="18">
        <v>45569</v>
      </c>
      <c r="K1231" s="97">
        <v>45551</v>
      </c>
      <c r="L1231" s="16">
        <f>IF(ISTEXT(Table15[[#This Row],[Engineering Approved Design Date]]),Table15[[#This Row],[Date Completed]]-Table15[[#This Row],[Date Assigned to Designer]],Table15[[#This Row],[Engineering Approved Design Date]]-Table15[[#This Row],[Date Completed]])</f>
        <v>18</v>
      </c>
      <c r="M1231" s="642"/>
      <c r="N1231" s="99" t="s">
        <v>120</v>
      </c>
      <c r="O1231" s="1060">
        <v>45559</v>
      </c>
      <c r="P1231" s="1152" t="s">
        <v>739</v>
      </c>
      <c r="Q1231" s="340">
        <f>Table15[[#This Row],[Rate]]*Table15[[#This Row],[Construction Cost to Bill From]]</f>
        <v>105410.814</v>
      </c>
      <c r="R1231" s="1026">
        <v>0.1</v>
      </c>
      <c r="S1231" s="538" t="s">
        <v>29</v>
      </c>
      <c r="T1231" s="538" t="s">
        <v>29</v>
      </c>
      <c r="U1231" s="28" t="s">
        <v>29</v>
      </c>
      <c r="V1231" s="858">
        <v>530</v>
      </c>
      <c r="W1231" s="437">
        <v>0</v>
      </c>
      <c r="X1231" s="538">
        <v>915818.58</v>
      </c>
      <c r="Y1231" s="550"/>
      <c r="Z1231" s="552">
        <v>138289.56</v>
      </c>
      <c r="AA1231" s="552">
        <f>SUM(Table15[[#This Row],[PCTS Investment Amount]:[PCTS Retirement Amount]])</f>
        <v>1054108.1399999999</v>
      </c>
      <c r="AB1231" s="341">
        <v>45518</v>
      </c>
      <c r="AC1231" s="569" t="s">
        <v>116</v>
      </c>
      <c r="AD1231" s="1149" t="s">
        <v>116</v>
      </c>
      <c r="AE1231" s="568" t="s">
        <v>116</v>
      </c>
      <c r="AF1231" s="568" t="s">
        <v>116</v>
      </c>
      <c r="AG1231" s="568" t="s">
        <v>376</v>
      </c>
      <c r="AH1231" s="183">
        <v>45580</v>
      </c>
      <c r="AI1231" s="1125">
        <v>6905</v>
      </c>
      <c r="AJ1231" s="1110">
        <f>3640+1395</f>
        <v>5035</v>
      </c>
      <c r="AK1231" s="1134">
        <f>2544.5+4907.75</f>
        <v>7452.25</v>
      </c>
      <c r="AL1231" s="1108">
        <f>SUM(Table15[[#This Row],[Nicor Initiated DBE]:[Staffing]])/(Table15[[#This Row],[Amount Invoiced]])</f>
        <v>0.18396831657139087</v>
      </c>
      <c r="AM1231" s="536" t="s">
        <v>116</v>
      </c>
      <c r="AN1231" s="903" t="s">
        <v>709</v>
      </c>
      <c r="AO1231" s="1536"/>
      <c r="AP1231" s="1537"/>
      <c r="AQ1231" s="1537"/>
      <c r="AR1231" s="1537"/>
      <c r="AS1231" s="888">
        <f>IF(Table15[[#This Row],[PCTS Approved]]="N",0,Table15[[#This Row],[Investment Amount (1'#'#'#'#'#)]]+Table15[[#This Row],[Retirement Amount (3'#'#'#'#'#)]])</f>
        <v>0</v>
      </c>
      <c r="AT1231" s="888">
        <f>IF(Table15[[#This Row],[Approved Construction Cost]]=0,0,Table15[[#This Row],[Approved Construction Cost]]-Table15[[#This Row],[Construction Cost to Bill From]])</f>
        <v>0</v>
      </c>
      <c r="AU1231" s="888">
        <f>IFERROR(Table15[[#This Row],[Difference in Construction Cost]]*Table15[[#This Row],[Rate]],Table15[[#This Row],[Difference in Construction Cost]]*0.085)</f>
        <v>0</v>
      </c>
      <c r="AV1231" s="905"/>
      <c r="AW1231" s="1509"/>
      <c r="AX1231" s="888"/>
      <c r="AY1231" s="636" t="s">
        <v>709</v>
      </c>
      <c r="AZ1231" s="333"/>
      <c r="BA1231" s="1031" t="s">
        <v>6569</v>
      </c>
      <c r="BB1231" s="644" t="s">
        <v>5452</v>
      </c>
      <c r="BC1231" s="559" t="s">
        <v>116</v>
      </c>
      <c r="BD1231" s="554" t="s">
        <v>115</v>
      </c>
      <c r="BE1231" s="554" t="s">
        <v>1210</v>
      </c>
      <c r="BF1231" s="588" t="s">
        <v>115</v>
      </c>
      <c r="BG1231" s="588" t="s">
        <v>115</v>
      </c>
      <c r="BH1231" s="615" t="s">
        <v>6570</v>
      </c>
      <c r="BI1231" s="549" t="s">
        <v>116</v>
      </c>
      <c r="BJ1231" s="549" t="s">
        <v>709</v>
      </c>
      <c r="BK1231" s="549" t="s">
        <v>709</v>
      </c>
      <c r="BL1231" s="547" t="s">
        <v>709</v>
      </c>
      <c r="BM1231" s="549" t="s">
        <v>709</v>
      </c>
      <c r="BN1231" s="549" t="s">
        <v>116</v>
      </c>
      <c r="BO1231" s="549" t="s">
        <v>709</v>
      </c>
      <c r="BP1231" s="549" t="s">
        <v>709</v>
      </c>
      <c r="BQ1231" s="549" t="s">
        <v>116</v>
      </c>
      <c r="BR1231" s="549" t="s">
        <v>6571</v>
      </c>
      <c r="BS1231" s="549" t="s">
        <v>709</v>
      </c>
      <c r="BT1231" s="549" t="s">
        <v>709</v>
      </c>
      <c r="BU1231" s="549" t="s">
        <v>709</v>
      </c>
      <c r="BV1231" s="549" t="s">
        <v>709</v>
      </c>
      <c r="BW1231" s="549" t="s">
        <v>709</v>
      </c>
      <c r="BX1231" s="549" t="s">
        <v>709</v>
      </c>
      <c r="BY1231" s="549" t="s">
        <v>709</v>
      </c>
      <c r="BZ1231" s="547" t="s">
        <v>709</v>
      </c>
      <c r="CA1231" s="743"/>
      <c r="CB1231" s="547">
        <v>1229</v>
      </c>
      <c r="CC1231" s="1481" t="b">
        <v>1</v>
      </c>
      <c r="CD1231" s="879" t="str">
        <f>Table15[[#This Row],[Engineering Number]]&amp;Table15[[#This Row],[WO Number]]&amp;Table15[[#This Row],[Date Assigned to Designer]]&amp;Table15[[#This Row],[Date Completed]]</f>
        <v>SC2055614139974536945551</v>
      </c>
    </row>
    <row r="1232" spans="1:82" customFormat="1" ht="15" customHeight="1" x14ac:dyDescent="0.25">
      <c r="A1232">
        <v>2024</v>
      </c>
      <c r="B1232" s="8" t="s">
        <v>4</v>
      </c>
      <c r="C1232" s="8" t="s">
        <v>6573</v>
      </c>
      <c r="D1232" s="8" t="s">
        <v>6574</v>
      </c>
      <c r="E1232" s="8" t="s">
        <v>1159</v>
      </c>
      <c r="F1232" s="8" t="s">
        <v>1102</v>
      </c>
      <c r="G1232" s="8" t="s">
        <v>28</v>
      </c>
      <c r="H1232" s="8" t="s">
        <v>59</v>
      </c>
      <c r="I1232" s="642">
        <v>45446</v>
      </c>
      <c r="J1232" s="18">
        <v>45569</v>
      </c>
      <c r="K1232" s="97">
        <v>45551</v>
      </c>
      <c r="L1232" s="16">
        <f>IF(ISTEXT(Table15[[#This Row],[Engineering Approved Design Date]]),Table15[[#This Row],[Date Completed]]-Table15[[#This Row],[Date Assigned to Designer]],Table15[[#This Row],[Engineering Approved Design Date]]-Table15[[#This Row],[Date Completed]])</f>
        <v>18</v>
      </c>
      <c r="M1232" s="642"/>
      <c r="N1232" s="99" t="s">
        <v>120</v>
      </c>
      <c r="O1232" s="1060">
        <v>45559</v>
      </c>
      <c r="P1232" s="1152" t="s">
        <v>739</v>
      </c>
      <c r="Q1232" s="340">
        <f>Table15[[#This Row],[Rate]]*Table15[[#This Row],[Construction Cost to Bill From]]</f>
        <v>16432.713</v>
      </c>
      <c r="R1232" s="1026">
        <v>0.1</v>
      </c>
      <c r="S1232" s="538" t="s">
        <v>29</v>
      </c>
      <c r="T1232" s="538" t="s">
        <v>29</v>
      </c>
      <c r="U1232" s="28" t="s">
        <v>29</v>
      </c>
      <c r="V1232" s="858">
        <v>291</v>
      </c>
      <c r="W1232" s="437">
        <v>0</v>
      </c>
      <c r="X1232" s="538">
        <v>114983.56</v>
      </c>
      <c r="Y1232" s="550"/>
      <c r="Z1232" s="552">
        <v>49343.57</v>
      </c>
      <c r="AA1232" s="552">
        <f>SUM(Table15[[#This Row],[PCTS Investment Amount]:[PCTS Retirement Amount]])</f>
        <v>164327.13</v>
      </c>
      <c r="AB1232" s="341">
        <v>45447</v>
      </c>
      <c r="AC1232" s="569" t="s">
        <v>709</v>
      </c>
      <c r="AD1232" s="1149" t="s">
        <v>29</v>
      </c>
      <c r="AE1232" s="568" t="s">
        <v>116</v>
      </c>
      <c r="AF1232" s="568" t="s">
        <v>29</v>
      </c>
      <c r="AG1232" s="568" t="s">
        <v>376</v>
      </c>
      <c r="AH1232" s="183">
        <v>45580</v>
      </c>
      <c r="AI1232" s="1125">
        <v>0</v>
      </c>
      <c r="AJ1232" s="1110">
        <v>0</v>
      </c>
      <c r="AK1232" s="1110">
        <v>0</v>
      </c>
      <c r="AL1232" s="1108">
        <f>SUM(Table15[[#This Row],[Nicor Initiated DBE]:[Staffing]])/(Table15[[#This Row],[Amount Invoiced]])</f>
        <v>0</v>
      </c>
      <c r="AM1232" s="536" t="s">
        <v>116</v>
      </c>
      <c r="AN1232" s="903" t="s">
        <v>709</v>
      </c>
      <c r="AO1232" s="1536"/>
      <c r="AP1232" s="1537"/>
      <c r="AQ1232" s="1537"/>
      <c r="AR1232" s="1537"/>
      <c r="AS1232" s="888">
        <f>IF(Table15[[#This Row],[PCTS Approved]]="N",0,Table15[[#This Row],[Investment Amount (1'#'#'#'#'#)]]+Table15[[#This Row],[Retirement Amount (3'#'#'#'#'#)]])</f>
        <v>0</v>
      </c>
      <c r="AT1232" s="888">
        <f>IF(Table15[[#This Row],[Approved Construction Cost]]=0,0,Table15[[#This Row],[Approved Construction Cost]]-Table15[[#This Row],[Construction Cost to Bill From]])</f>
        <v>0</v>
      </c>
      <c r="AU1232" s="888">
        <f>IFERROR(Table15[[#This Row],[Difference in Construction Cost]]*Table15[[#This Row],[Rate]],Table15[[#This Row],[Difference in Construction Cost]]*0.085)</f>
        <v>0</v>
      </c>
      <c r="AV1232" s="905"/>
      <c r="AW1232" s="1509"/>
      <c r="AX1232" s="888"/>
      <c r="AY1232" s="636" t="s">
        <v>709</v>
      </c>
      <c r="AZ1232" s="333"/>
      <c r="BA1232" s="1031" t="s">
        <v>6575</v>
      </c>
      <c r="BB1232" s="644" t="s">
        <v>5452</v>
      </c>
      <c r="BC1232" s="559" t="s">
        <v>116</v>
      </c>
      <c r="BD1232" s="554" t="s">
        <v>115</v>
      </c>
      <c r="BE1232" s="554" t="s">
        <v>1210</v>
      </c>
      <c r="BF1232" s="588" t="s">
        <v>115</v>
      </c>
      <c r="BG1232" s="588" t="s">
        <v>115</v>
      </c>
      <c r="BH1232" s="615" t="s">
        <v>6576</v>
      </c>
      <c r="BI1232" s="549" t="s">
        <v>709</v>
      </c>
      <c r="BJ1232" s="549" t="s">
        <v>709</v>
      </c>
      <c r="BK1232" s="549" t="s">
        <v>709</v>
      </c>
      <c r="BL1232" s="547" t="s">
        <v>116</v>
      </c>
      <c r="BM1232" s="549" t="s">
        <v>709</v>
      </c>
      <c r="BN1232" s="549" t="s">
        <v>709</v>
      </c>
      <c r="BO1232" s="549" t="s">
        <v>709</v>
      </c>
      <c r="BP1232" s="549" t="s">
        <v>709</v>
      </c>
      <c r="BQ1232" s="549" t="s">
        <v>709</v>
      </c>
      <c r="BR1232" s="549" t="s">
        <v>116</v>
      </c>
      <c r="BS1232" s="549" t="s">
        <v>709</v>
      </c>
      <c r="BT1232" s="549" t="s">
        <v>709</v>
      </c>
      <c r="BU1232" s="549" t="s">
        <v>709</v>
      </c>
      <c r="BV1232" s="549" t="s">
        <v>709</v>
      </c>
      <c r="BW1232" s="549" t="s">
        <v>709</v>
      </c>
      <c r="BX1232" s="549" t="s">
        <v>709</v>
      </c>
      <c r="BY1232" s="549" t="s">
        <v>709</v>
      </c>
      <c r="BZ1232" s="547" t="s">
        <v>709</v>
      </c>
      <c r="CA1232" s="743"/>
      <c r="CB1232" s="547">
        <v>1230</v>
      </c>
      <c r="CC1232" s="1481" t="b">
        <v>1</v>
      </c>
      <c r="CD1232" s="879" t="str">
        <f>Table15[[#This Row],[Engineering Number]]&amp;Table15[[#This Row],[WO Number]]&amp;Table15[[#This Row],[Date Assigned to Designer]]&amp;Table15[[#This Row],[Date Completed]]</f>
        <v>SC20556-114138644544645551</v>
      </c>
    </row>
    <row r="1233" spans="1:82" customFormat="1" ht="15" customHeight="1" x14ac:dyDescent="0.25">
      <c r="A1233">
        <v>2024</v>
      </c>
      <c r="B1233" s="8" t="s">
        <v>4</v>
      </c>
      <c r="C1233" s="8" t="s">
        <v>6578</v>
      </c>
      <c r="D1233" s="8" t="s">
        <v>115</v>
      </c>
      <c r="E1233" s="8" t="s">
        <v>2032</v>
      </c>
      <c r="F1233" s="8" t="s">
        <v>851</v>
      </c>
      <c r="G1233" s="8" t="s">
        <v>27</v>
      </c>
      <c r="H1233" s="8" t="s">
        <v>1903</v>
      </c>
      <c r="I1233" s="642">
        <v>45516</v>
      </c>
      <c r="J1233" s="18">
        <v>45572</v>
      </c>
      <c r="K1233" s="175">
        <v>45552</v>
      </c>
      <c r="L1233" s="16">
        <f>IF(ISTEXT(Table15[[#This Row],[Engineering Approved Design Date]]),Table15[[#This Row],[Date Completed]]-Table15[[#This Row],[Date Assigned to Designer]],Table15[[#This Row],[Engineering Approved Design Date]]-Table15[[#This Row],[Date Completed]])</f>
        <v>20</v>
      </c>
      <c r="N1233" s="99" t="s">
        <v>120</v>
      </c>
      <c r="O1233" s="1060">
        <v>45566</v>
      </c>
      <c r="P1233" s="1152" t="s">
        <v>739</v>
      </c>
      <c r="Q1233" s="340" t="s">
        <v>115</v>
      </c>
      <c r="R1233" s="1026" t="s">
        <v>115</v>
      </c>
      <c r="S1233" s="538" t="s">
        <v>29</v>
      </c>
      <c r="T1233" s="538" t="s">
        <v>29</v>
      </c>
      <c r="U1233" s="28" t="s">
        <v>29</v>
      </c>
      <c r="V1233" s="858" t="s">
        <v>29</v>
      </c>
      <c r="W1233" s="425" t="s">
        <v>29</v>
      </c>
      <c r="X1233" s="538" t="s">
        <v>29</v>
      </c>
      <c r="Y1233" s="551" t="s">
        <v>29</v>
      </c>
      <c r="Z1233" s="538" t="s">
        <v>29</v>
      </c>
      <c r="AA1233" s="552" t="s">
        <v>29</v>
      </c>
      <c r="AB1233" s="341" t="s">
        <v>29</v>
      </c>
      <c r="AC1233" s="569" t="s">
        <v>29</v>
      </c>
      <c r="AD1233" s="1157" t="s">
        <v>29</v>
      </c>
      <c r="AE1233" s="568" t="s">
        <v>756</v>
      </c>
      <c r="AF1233" s="569" t="s">
        <v>756</v>
      </c>
      <c r="AG1233" s="569" t="s">
        <v>29</v>
      </c>
      <c r="AH1233" s="183">
        <v>45609</v>
      </c>
      <c r="AI1233" s="1028" t="s">
        <v>29</v>
      </c>
      <c r="AJ1233" s="1029" t="s">
        <v>29</v>
      </c>
      <c r="AK1233" s="1029" t="s">
        <v>29</v>
      </c>
      <c r="AL1233" s="1030" t="s">
        <v>29</v>
      </c>
      <c r="AM1233" s="542" t="s">
        <v>709</v>
      </c>
      <c r="AN1233" s="924"/>
      <c r="AO1233" s="925"/>
      <c r="AP1233" s="926"/>
      <c r="AQ1233" s="926"/>
      <c r="AR1233" s="926"/>
      <c r="AS1233" s="926"/>
      <c r="AT1233" s="926"/>
      <c r="AU1233" s="926"/>
      <c r="AV1233" s="926"/>
      <c r="AW1233" s="927"/>
      <c r="AX1233" s="926"/>
      <c r="AY1233" s="1538" t="s">
        <v>29</v>
      </c>
      <c r="AZ1233" s="1530"/>
      <c r="BA1233" s="1031" t="s">
        <v>6579</v>
      </c>
      <c r="BB1233" s="1137" t="s">
        <v>870</v>
      </c>
      <c r="BC1233" s="559" t="s">
        <v>709</v>
      </c>
      <c r="BD1233" s="554" t="s">
        <v>709</v>
      </c>
      <c r="BE1233" s="588" t="s">
        <v>709</v>
      </c>
      <c r="BF1233" s="588" t="s">
        <v>709</v>
      </c>
      <c r="BG1233" s="548" t="s">
        <v>709</v>
      </c>
      <c r="BH1233" s="615" t="s">
        <v>6580</v>
      </c>
      <c r="BI1233" s="1032"/>
      <c r="BJ1233" s="1032"/>
      <c r="BK1233" s="1032"/>
      <c r="BL1233" s="1032"/>
      <c r="BM1233" s="1032"/>
      <c r="BN1233" s="1070"/>
      <c r="BO1233" s="1032"/>
      <c r="BP1233" s="1071"/>
      <c r="BQ1233" s="1070"/>
      <c r="BR1233" s="1070"/>
      <c r="BS1233" s="1070"/>
      <c r="BT1233" s="1070"/>
      <c r="BU1233" s="1070"/>
      <c r="BV1233" s="1070"/>
      <c r="BW1233" s="1070"/>
      <c r="BX1233" s="1032"/>
      <c r="BY1233" s="1072"/>
      <c r="BZ1233" s="1072"/>
      <c r="CA1233" s="485"/>
      <c r="CB1233" s="547">
        <v>1231</v>
      </c>
      <c r="CC1233" s="1481" t="b">
        <v>1</v>
      </c>
      <c r="CD1233" s="879" t="str">
        <f>Table15[[#This Row],[Engineering Number]]&amp;Table15[[#This Row],[WO Number]]&amp;Table15[[#This Row],[Date Assigned to Designer]]&amp;Table15[[#This Row],[Date Completed]]</f>
        <v>SC24572-4551645552</v>
      </c>
    </row>
    <row r="1234" spans="1:82" customFormat="1" ht="15" customHeight="1" x14ac:dyDescent="0.25">
      <c r="A1234">
        <v>2024</v>
      </c>
      <c r="B1234" s="8" t="s">
        <v>733</v>
      </c>
      <c r="C1234" s="8" t="s">
        <v>6323</v>
      </c>
      <c r="D1234" s="8" t="s">
        <v>6324</v>
      </c>
      <c r="E1234" s="8" t="s">
        <v>426</v>
      </c>
      <c r="F1234" s="8" t="s">
        <v>752</v>
      </c>
      <c r="G1234" s="8" t="s">
        <v>4770</v>
      </c>
      <c r="H1234" s="8" t="s">
        <v>4189</v>
      </c>
      <c r="I1234" s="642">
        <v>45546</v>
      </c>
      <c r="J1234" s="175" t="s">
        <v>2052</v>
      </c>
      <c r="K1234" s="97">
        <v>45553</v>
      </c>
      <c r="L1234" s="16">
        <f>IF(ISTEXT(Table15[[#This Row],[Engineering Approved Design Date]]),Table15[[#This Row],[Date Completed]]-Table15[[#This Row],[Date Assigned to Designer]],Table15[[#This Row],[Engineering Approved Design Date]]-Table15[[#This Row],[Date Completed]])</f>
        <v>7</v>
      </c>
      <c r="M1234" s="16" t="s">
        <v>6582</v>
      </c>
      <c r="N1234" s="99" t="s">
        <v>120</v>
      </c>
      <c r="O1234" s="1060">
        <v>45620</v>
      </c>
      <c r="P1234" s="1152" t="s">
        <v>120</v>
      </c>
      <c r="Q1234" s="1061">
        <f>Table15[[#This Row],[Shactee Effort]]+Table15[[#This Row],[KH Hourly Effort]]</f>
        <v>1867.5</v>
      </c>
      <c r="R1234" s="1039" t="s">
        <v>1922</v>
      </c>
      <c r="S1234" s="538">
        <v>0</v>
      </c>
      <c r="T1234" s="538">
        <v>0</v>
      </c>
      <c r="U1234" s="1078">
        <v>1867.5</v>
      </c>
      <c r="V1234" s="857">
        <v>21</v>
      </c>
      <c r="W1234" s="440">
        <v>1</v>
      </c>
      <c r="X1234" s="538" t="s">
        <v>29</v>
      </c>
      <c r="Y1234" s="551"/>
      <c r="Z1234" s="538" t="s">
        <v>29</v>
      </c>
      <c r="AA1234" s="552" t="s">
        <v>29</v>
      </c>
      <c r="AB1234" s="341" t="s">
        <v>29</v>
      </c>
      <c r="AC1234" s="569" t="s">
        <v>29</v>
      </c>
      <c r="AD1234" s="1149" t="s">
        <v>116</v>
      </c>
      <c r="AE1234" s="569" t="s">
        <v>116</v>
      </c>
      <c r="AF1234" s="569" t="s">
        <v>116</v>
      </c>
      <c r="AG1234" s="569" t="s">
        <v>29</v>
      </c>
      <c r="AH1234" s="183" t="s">
        <v>376</v>
      </c>
      <c r="AI1234" s="1028" t="s">
        <v>29</v>
      </c>
      <c r="AJ1234" s="1029" t="s">
        <v>29</v>
      </c>
      <c r="AK1234" s="1029" t="s">
        <v>29</v>
      </c>
      <c r="AL1234" s="1030" t="s">
        <v>29</v>
      </c>
      <c r="AM1234" s="542" t="s">
        <v>709</v>
      </c>
      <c r="AN1234" s="924"/>
      <c r="AO1234" s="925"/>
      <c r="AP1234" s="926"/>
      <c r="AQ1234" s="926"/>
      <c r="AR1234" s="926"/>
      <c r="AS1234" s="926"/>
      <c r="AT1234" s="926"/>
      <c r="AU1234" s="926"/>
      <c r="AV1234" s="926"/>
      <c r="AW1234" s="927"/>
      <c r="AX1234" s="926"/>
      <c r="AY1234" s="1538" t="s">
        <v>29</v>
      </c>
      <c r="AZ1234" s="1530"/>
      <c r="BA1234" s="1031">
        <v>3</v>
      </c>
      <c r="BB1234" s="543" t="s">
        <v>29</v>
      </c>
      <c r="BC1234" s="559" t="s">
        <v>709</v>
      </c>
      <c r="BD1234" s="554" t="s">
        <v>882</v>
      </c>
      <c r="BE1234" s="588" t="s">
        <v>709</v>
      </c>
      <c r="BF1234" s="588" t="s">
        <v>709</v>
      </c>
      <c r="BG1234" s="548" t="s">
        <v>709</v>
      </c>
      <c r="BH1234" s="749" t="s">
        <v>6441</v>
      </c>
      <c r="BI1234" s="626" t="s">
        <v>709</v>
      </c>
      <c r="BJ1234" s="626" t="s">
        <v>709</v>
      </c>
      <c r="BK1234" s="626" t="s">
        <v>116</v>
      </c>
      <c r="BL1234" s="626" t="s">
        <v>116</v>
      </c>
      <c r="BM1234" s="626" t="s">
        <v>709</v>
      </c>
      <c r="BN1234" s="626" t="s">
        <v>709</v>
      </c>
      <c r="BO1234" s="626" t="s">
        <v>709</v>
      </c>
      <c r="BP1234" s="626" t="s">
        <v>709</v>
      </c>
      <c r="BQ1234" s="626">
        <v>21</v>
      </c>
      <c r="BR1234" s="626" t="s">
        <v>709</v>
      </c>
      <c r="BS1234" s="626" t="s">
        <v>709</v>
      </c>
      <c r="BT1234" s="626" t="s">
        <v>709</v>
      </c>
      <c r="BU1234" s="626" t="s">
        <v>709</v>
      </c>
      <c r="BV1234" s="626" t="s">
        <v>709</v>
      </c>
      <c r="BW1234" s="626" t="s">
        <v>709</v>
      </c>
      <c r="BX1234" s="626">
        <v>1</v>
      </c>
      <c r="BY1234" s="626" t="s">
        <v>709</v>
      </c>
      <c r="BZ1234" s="547" t="s">
        <v>709</v>
      </c>
      <c r="CA1234" s="483"/>
      <c r="CB1234" s="547">
        <v>1232</v>
      </c>
      <c r="CC1234" s="1481" t="b">
        <v>1</v>
      </c>
      <c r="CD1234" s="879" t="str">
        <f>Table15[[#This Row],[Engineering Number]]&amp;Table15[[#This Row],[WO Number]]&amp;Table15[[#This Row],[Date Assigned to Designer]]&amp;Table15[[#This Row],[Date Completed]]</f>
        <v>RS120210134804554645553</v>
      </c>
    </row>
    <row r="1235" spans="1:82" customFormat="1" ht="15" customHeight="1" x14ac:dyDescent="0.25">
      <c r="A1235">
        <v>2023</v>
      </c>
      <c r="B1235" s="8" t="s">
        <v>4</v>
      </c>
      <c r="C1235" s="8" t="s">
        <v>380</v>
      </c>
      <c r="D1235" s="8" t="s">
        <v>5695</v>
      </c>
      <c r="E1235" s="8" t="s">
        <v>111</v>
      </c>
      <c r="F1235" s="8" t="s">
        <v>784</v>
      </c>
      <c r="G1235" s="8" t="s">
        <v>27</v>
      </c>
      <c r="H1235" s="13" t="s">
        <v>2724</v>
      </c>
      <c r="I1235" s="642">
        <v>45168</v>
      </c>
      <c r="J1235" s="18" t="s">
        <v>4110</v>
      </c>
      <c r="K1235" s="175">
        <v>45554</v>
      </c>
      <c r="L1235" s="16">
        <f>IF(ISTEXT(Table15[[#This Row],[Engineering Approved Design Date]]),Table15[[#This Row],[Date Completed]]-Table15[[#This Row],[Date Assigned to Designer]],Table15[[#This Row],[Engineering Approved Design Date]]-Table15[[#This Row],[Date Completed]])</f>
        <v>386</v>
      </c>
      <c r="M1235" s="4" t="s">
        <v>6584</v>
      </c>
      <c r="N1235" s="99" t="s">
        <v>120</v>
      </c>
      <c r="O1235" s="1060">
        <v>45566</v>
      </c>
      <c r="P1235" s="1152" t="s">
        <v>739</v>
      </c>
      <c r="Q1235" s="340">
        <f>Table15[[#This Row],[Shactee Effort]]+Table15[[#This Row],[3rd Party Effort]]+Table15[[#This Row],[KH Hourly Effort]]</f>
        <v>16237.5</v>
      </c>
      <c r="R1235" s="1026" t="s">
        <v>1922</v>
      </c>
      <c r="S1235" s="538">
        <v>0</v>
      </c>
      <c r="T1235" s="538">
        <v>0</v>
      </c>
      <c r="U1235" s="87">
        <v>16237.5</v>
      </c>
      <c r="V1235" s="858" t="s">
        <v>29</v>
      </c>
      <c r="W1235" s="425" t="s">
        <v>29</v>
      </c>
      <c r="X1235" s="552" t="s">
        <v>29</v>
      </c>
      <c r="Y1235" s="550"/>
      <c r="Z1235" s="552" t="s">
        <v>29</v>
      </c>
      <c r="AA1235" s="552" t="s">
        <v>29</v>
      </c>
      <c r="AB1235" s="341" t="s">
        <v>29</v>
      </c>
      <c r="AC1235" s="568" t="s">
        <v>29</v>
      </c>
      <c r="AD1235" s="1157" t="s">
        <v>29</v>
      </c>
      <c r="AE1235" s="568" t="s">
        <v>756</v>
      </c>
      <c r="AF1235" s="569" t="s">
        <v>116</v>
      </c>
      <c r="AG1235" s="569" t="s">
        <v>29</v>
      </c>
      <c r="AH1235" s="183" t="s">
        <v>29</v>
      </c>
      <c r="AI1235" s="1028" t="s">
        <v>29</v>
      </c>
      <c r="AJ1235" s="1029" t="s">
        <v>29</v>
      </c>
      <c r="AK1235" s="1029" t="s">
        <v>29</v>
      </c>
      <c r="AL1235" s="1128" t="s">
        <v>29</v>
      </c>
      <c r="AM1235" s="542" t="s">
        <v>709</v>
      </c>
      <c r="AN1235" s="924"/>
      <c r="AO1235" s="925"/>
      <c r="AP1235" s="926"/>
      <c r="AQ1235" s="926"/>
      <c r="AR1235" s="926"/>
      <c r="AS1235" s="926"/>
      <c r="AT1235" s="926"/>
      <c r="AU1235" s="926"/>
      <c r="AV1235" s="926"/>
      <c r="AW1235" s="927"/>
      <c r="AX1235" s="926"/>
      <c r="AY1235" s="1538" t="s">
        <v>29</v>
      </c>
      <c r="AZ1235" s="1530"/>
      <c r="BA1235" s="1094" t="s">
        <v>29</v>
      </c>
      <c r="BB1235" s="1648" t="s">
        <v>6585</v>
      </c>
      <c r="BC1235" s="544" t="s">
        <v>6586</v>
      </c>
      <c r="BD1235" s="544" t="s">
        <v>709</v>
      </c>
      <c r="BE1235" s="544" t="s">
        <v>1114</v>
      </c>
      <c r="BF1235" s="544" t="s">
        <v>709</v>
      </c>
      <c r="BG1235" s="544" t="s">
        <v>709</v>
      </c>
      <c r="BH1235" s="741" t="s">
        <v>6587</v>
      </c>
      <c r="BI1235" s="1032"/>
      <c r="BJ1235" s="1032"/>
      <c r="BK1235" s="1032"/>
      <c r="BL1235" s="1032"/>
      <c r="BM1235" s="1032"/>
      <c r="BN1235" s="1032"/>
      <c r="BO1235" s="1032"/>
      <c r="BP1235" s="1032"/>
      <c r="BQ1235" s="1032"/>
      <c r="BR1235" s="1032"/>
      <c r="BS1235" s="1032"/>
      <c r="BT1235" s="1032"/>
      <c r="BU1235" s="1032"/>
      <c r="BV1235" s="1032"/>
      <c r="BW1235" s="1032"/>
      <c r="BX1235" s="1032"/>
      <c r="BY1235" s="1032"/>
      <c r="BZ1235" s="1072"/>
      <c r="CA1235" s="485"/>
      <c r="CB1235" s="547">
        <v>1233</v>
      </c>
      <c r="CC1235" s="1481" t="b">
        <v>1</v>
      </c>
      <c r="CD1235" s="879" t="str">
        <f>Table15[[#This Row],[Engineering Number]]&amp;Table15[[#This Row],[WO Number]]&amp;Table15[[#This Row],[Date Assigned to Designer]]&amp;Table15[[#This Row],[Date Completed]]</f>
        <v>N1491512116814516845554</v>
      </c>
    </row>
    <row r="1236" spans="1:82" customFormat="1" ht="15" customHeight="1" x14ac:dyDescent="0.25">
      <c r="A1236">
        <v>2024</v>
      </c>
      <c r="B1236" s="8" t="s">
        <v>4</v>
      </c>
      <c r="C1236" s="8" t="s">
        <v>6193</v>
      </c>
      <c r="D1236" s="8" t="s">
        <v>1715</v>
      </c>
      <c r="E1236" s="8" t="s">
        <v>1716</v>
      </c>
      <c r="F1236" s="8" t="s">
        <v>784</v>
      </c>
      <c r="G1236" s="8" t="s">
        <v>26</v>
      </c>
      <c r="H1236" s="8" t="s">
        <v>4001</v>
      </c>
      <c r="I1236" s="642">
        <v>45505</v>
      </c>
      <c r="J1236" s="175" t="s">
        <v>2052</v>
      </c>
      <c r="K1236" s="97">
        <v>45555</v>
      </c>
      <c r="L1236" s="16">
        <f>IF(ISTEXT(Table15[[#This Row],[Engineering Approved Design Date]]),Table15[[#This Row],[Date Completed]]-Table15[[#This Row],[Date Assigned to Designer]],Table15[[#This Row],[Engineering Approved Design Date]]-Table15[[#This Row],[Date Completed]])</f>
        <v>50</v>
      </c>
      <c r="M1236" s="642" t="s">
        <v>6589</v>
      </c>
      <c r="N1236" s="642" t="s">
        <v>120</v>
      </c>
      <c r="O1236" s="1060">
        <v>45620</v>
      </c>
      <c r="P1236" s="1152" t="s">
        <v>739</v>
      </c>
      <c r="Q1236" s="1061">
        <f>Table15[[#This Row],[Shactee Effort]]+Table15[[#This Row],[KH Hourly Effort]]</f>
        <v>9792.5</v>
      </c>
      <c r="R1236" s="1039" t="s">
        <v>1922</v>
      </c>
      <c r="S1236" s="538">
        <v>0</v>
      </c>
      <c r="T1236" s="538">
        <v>0</v>
      </c>
      <c r="U1236" s="28">
        <v>9792.5</v>
      </c>
      <c r="V1236" s="538" t="s">
        <v>29</v>
      </c>
      <c r="W1236" s="343" t="s">
        <v>29</v>
      </c>
      <c r="X1236" s="538" t="s">
        <v>29</v>
      </c>
      <c r="Y1236" s="538"/>
      <c r="Z1236" s="538" t="s">
        <v>29</v>
      </c>
      <c r="AA1236" s="538" t="s">
        <v>29</v>
      </c>
      <c r="AB1236" s="341" t="s">
        <v>29</v>
      </c>
      <c r="AC1236" s="569" t="s">
        <v>29</v>
      </c>
      <c r="AD1236" s="1149" t="s">
        <v>116</v>
      </c>
      <c r="AE1236" s="568" t="s">
        <v>116</v>
      </c>
      <c r="AF1236" s="569" t="s">
        <v>116</v>
      </c>
      <c r="AG1236" s="569" t="s">
        <v>29</v>
      </c>
      <c r="AH1236" s="183">
        <v>45580</v>
      </c>
      <c r="AI1236" s="1028" t="s">
        <v>29</v>
      </c>
      <c r="AJ1236" s="1133">
        <v>3500</v>
      </c>
      <c r="AK1236" s="1029" t="s">
        <v>29</v>
      </c>
      <c r="AL1236" s="1030" t="s">
        <v>29</v>
      </c>
      <c r="AM1236" s="542" t="s">
        <v>709</v>
      </c>
      <c r="AN1236" s="924"/>
      <c r="AO1236" s="925"/>
      <c r="AP1236" s="926"/>
      <c r="AQ1236" s="926"/>
      <c r="AR1236" s="926"/>
      <c r="AS1236" s="926"/>
      <c r="AT1236" s="926"/>
      <c r="AU1236" s="926"/>
      <c r="AV1236" s="926"/>
      <c r="AW1236" s="927"/>
      <c r="AX1236" s="926"/>
      <c r="AY1236" s="1538" t="s">
        <v>29</v>
      </c>
      <c r="AZ1236" s="1530"/>
      <c r="BA1236" s="1031">
        <v>3</v>
      </c>
      <c r="BB1236" s="1138" t="s">
        <v>6590</v>
      </c>
      <c r="BC1236" s="559" t="s">
        <v>709</v>
      </c>
      <c r="BD1236" s="554" t="s">
        <v>882</v>
      </c>
      <c r="BE1236" s="588" t="s">
        <v>1719</v>
      </c>
      <c r="BF1236" s="588" t="s">
        <v>709</v>
      </c>
      <c r="BG1236" s="548" t="s">
        <v>709</v>
      </c>
      <c r="BH1236" s="615" t="s">
        <v>6591</v>
      </c>
      <c r="BI1236" s="547" t="s">
        <v>709</v>
      </c>
      <c r="BJ1236" s="549" t="s">
        <v>709</v>
      </c>
      <c r="BK1236" s="547" t="s">
        <v>709</v>
      </c>
      <c r="BL1236" s="547" t="s">
        <v>116</v>
      </c>
      <c r="BM1236" s="626" t="s">
        <v>709</v>
      </c>
      <c r="BN1236" s="549" t="s">
        <v>709</v>
      </c>
      <c r="BO1236" s="626" t="s">
        <v>709</v>
      </c>
      <c r="BP1236" s="626" t="s">
        <v>709</v>
      </c>
      <c r="BQ1236" s="549" t="s">
        <v>709</v>
      </c>
      <c r="BR1236" s="549">
        <v>2942</v>
      </c>
      <c r="BS1236" s="549">
        <v>693</v>
      </c>
      <c r="BT1236" s="549" t="s">
        <v>709</v>
      </c>
      <c r="BU1236" s="549" t="s">
        <v>709</v>
      </c>
      <c r="BV1236" s="549" t="s">
        <v>709</v>
      </c>
      <c r="BW1236" s="549" t="s">
        <v>709</v>
      </c>
      <c r="BX1236" s="547" t="s">
        <v>709</v>
      </c>
      <c r="BY1236" s="549" t="s">
        <v>709</v>
      </c>
      <c r="BZ1236" s="547" t="s">
        <v>709</v>
      </c>
      <c r="CA1236" s="483"/>
      <c r="CB1236" s="547">
        <v>1234</v>
      </c>
      <c r="CC1236" s="1481" t="b">
        <v>1</v>
      </c>
      <c r="CD1236" s="879" t="str">
        <f>Table15[[#This Row],[Engineering Number]]&amp;Table15[[#This Row],[WO Number]]&amp;Table15[[#This Row],[Date Assigned to Designer]]&amp;Table15[[#This Row],[Date Completed]]</f>
        <v>N1805612134894550545555</v>
      </c>
    </row>
    <row r="1237" spans="1:82" customFormat="1" ht="15" customHeight="1" x14ac:dyDescent="0.25">
      <c r="A1237">
        <v>2024</v>
      </c>
      <c r="B1237" s="8" t="s">
        <v>4</v>
      </c>
      <c r="C1237" s="8" t="s">
        <v>6492</v>
      </c>
      <c r="D1237" s="8">
        <v>1213713</v>
      </c>
      <c r="E1237" s="8" t="s">
        <v>108</v>
      </c>
      <c r="F1237" s="8" t="s">
        <v>784</v>
      </c>
      <c r="G1237" s="8" t="s">
        <v>32</v>
      </c>
      <c r="H1237" s="8" t="s">
        <v>4189</v>
      </c>
      <c r="I1237" s="642">
        <v>45552</v>
      </c>
      <c r="J1237" s="175" t="s">
        <v>2052</v>
      </c>
      <c r="K1237" s="97">
        <v>45559</v>
      </c>
      <c r="L1237" s="16">
        <f>IF(ISTEXT(Table15[[#This Row],[Engineering Approved Design Date]]),Table15[[#This Row],[Date Completed]]-Table15[[#This Row],[Date Assigned to Designer]],Table15[[#This Row],[Engineering Approved Design Date]]-Table15[[#This Row],[Date Completed]])</f>
        <v>7</v>
      </c>
      <c r="M1237" s="642" t="s">
        <v>6593</v>
      </c>
      <c r="N1237" s="99" t="s">
        <v>120</v>
      </c>
      <c r="O1237" s="1060">
        <v>45566</v>
      </c>
      <c r="P1237" s="1152" t="s">
        <v>739</v>
      </c>
      <c r="Q1237" s="1061">
        <f>Table15[[#This Row],[Shactee Effort]]+Table15[[#This Row],[KH Hourly Effort]]</f>
        <v>2985</v>
      </c>
      <c r="R1237" s="1039" t="s">
        <v>1922</v>
      </c>
      <c r="S1237" s="538">
        <v>0</v>
      </c>
      <c r="T1237" s="538">
        <v>0</v>
      </c>
      <c r="U1237" s="28">
        <v>2985</v>
      </c>
      <c r="V1237" s="538" t="s">
        <v>29</v>
      </c>
      <c r="W1237" s="343" t="s">
        <v>29</v>
      </c>
      <c r="X1237" s="538" t="s">
        <v>29</v>
      </c>
      <c r="Y1237" s="538" t="s">
        <v>29</v>
      </c>
      <c r="Z1237" s="538" t="s">
        <v>29</v>
      </c>
      <c r="AA1237" s="538" t="s">
        <v>29</v>
      </c>
      <c r="AB1237" s="341" t="s">
        <v>29</v>
      </c>
      <c r="AC1237" s="569" t="s">
        <v>709</v>
      </c>
      <c r="AD1237" s="1149" t="s">
        <v>116</v>
      </c>
      <c r="AE1237" s="568" t="s">
        <v>116</v>
      </c>
      <c r="AF1237" s="569" t="s">
        <v>756</v>
      </c>
      <c r="AG1237" s="569" t="s">
        <v>29</v>
      </c>
      <c r="AH1237" s="183">
        <v>45609</v>
      </c>
      <c r="AI1237" s="1028" t="s">
        <v>29</v>
      </c>
      <c r="AJ1237" s="1029" t="s">
        <v>29</v>
      </c>
      <c r="AK1237" s="1029" t="s">
        <v>29</v>
      </c>
      <c r="AL1237" s="1030" t="s">
        <v>29</v>
      </c>
      <c r="AM1237" s="542" t="s">
        <v>709</v>
      </c>
      <c r="AN1237" s="924"/>
      <c r="AO1237" s="925"/>
      <c r="AP1237" s="926"/>
      <c r="AQ1237" s="926"/>
      <c r="AR1237" s="926"/>
      <c r="AS1237" s="926"/>
      <c r="AT1237" s="926"/>
      <c r="AU1237" s="926"/>
      <c r="AV1237" s="926"/>
      <c r="AW1237" s="927"/>
      <c r="AX1237" s="926"/>
      <c r="AY1237" s="1538" t="s">
        <v>29</v>
      </c>
      <c r="AZ1237" s="1530"/>
      <c r="BA1237" s="1031">
        <v>4</v>
      </c>
      <c r="BB1237" s="1137" t="s">
        <v>6594</v>
      </c>
      <c r="BC1237" s="559" t="s">
        <v>116</v>
      </c>
      <c r="BD1237" s="554" t="s">
        <v>709</v>
      </c>
      <c r="BE1237" s="588" t="s">
        <v>1569</v>
      </c>
      <c r="BF1237" s="588" t="s">
        <v>709</v>
      </c>
      <c r="BG1237" s="548" t="s">
        <v>709</v>
      </c>
      <c r="BH1237" s="615" t="s">
        <v>6595</v>
      </c>
      <c r="BI1237" s="626" t="s">
        <v>709</v>
      </c>
      <c r="BJ1237" s="626" t="s">
        <v>709</v>
      </c>
      <c r="BK1237" s="626" t="s">
        <v>709</v>
      </c>
      <c r="BL1237" s="626" t="s">
        <v>116</v>
      </c>
      <c r="BM1237" s="626">
        <v>0</v>
      </c>
      <c r="BN1237" s="626">
        <v>0</v>
      </c>
      <c r="BO1237" s="626">
        <v>0</v>
      </c>
      <c r="BP1237" s="626">
        <v>149</v>
      </c>
      <c r="BQ1237" s="626">
        <v>0</v>
      </c>
      <c r="BR1237" s="626">
        <v>0</v>
      </c>
      <c r="BS1237" s="626">
        <v>0</v>
      </c>
      <c r="BT1237" s="626">
        <v>0</v>
      </c>
      <c r="BU1237" s="626">
        <v>0</v>
      </c>
      <c r="BV1237" s="626">
        <v>0</v>
      </c>
      <c r="BW1237" s="549">
        <v>0</v>
      </c>
      <c r="BX1237" s="626">
        <v>0</v>
      </c>
      <c r="BY1237" s="549">
        <v>0</v>
      </c>
      <c r="BZ1237" s="547" t="s">
        <v>709</v>
      </c>
      <c r="CA1237" s="483" t="s">
        <v>6596</v>
      </c>
      <c r="CB1237" s="547">
        <v>1236</v>
      </c>
      <c r="CC1237" s="1481" t="b">
        <v>1</v>
      </c>
      <c r="CD1237" s="879" t="str">
        <f>Table15[[#This Row],[Engineering Number]]&amp;Table15[[#This Row],[WO Number]]&amp;Table15[[#This Row],[Date Assigned to Designer]]&amp;Table15[[#This Row],[Date Completed]]</f>
        <v>N1833712137134555245559</v>
      </c>
    </row>
    <row r="1238" spans="1:82" customFormat="1" ht="15" customHeight="1" x14ac:dyDescent="0.25">
      <c r="A1238">
        <v>2024</v>
      </c>
      <c r="B1238" s="8" t="s">
        <v>4</v>
      </c>
      <c r="C1238" s="8" t="s">
        <v>6598</v>
      </c>
      <c r="D1238" s="8" t="s">
        <v>6599</v>
      </c>
      <c r="E1238" s="8" t="s">
        <v>2945</v>
      </c>
      <c r="F1238" s="8" t="s">
        <v>1102</v>
      </c>
      <c r="G1238" s="8" t="s">
        <v>26</v>
      </c>
      <c r="H1238" s="8" t="s">
        <v>59</v>
      </c>
      <c r="I1238" s="642">
        <v>45517</v>
      </c>
      <c r="J1238" s="18">
        <v>45559</v>
      </c>
      <c r="K1238" s="97">
        <v>45559</v>
      </c>
      <c r="L1238" s="16">
        <f>IF(ISTEXT(Table15[[#This Row],[Engineering Approved Design Date]]),Table15[[#This Row],[Date Completed]]-Table15[[#This Row],[Date Assigned to Designer]],Table15[[#This Row],[Engineering Approved Design Date]]-Table15[[#This Row],[Date Completed]])</f>
        <v>0</v>
      </c>
      <c r="M1238" s="642" t="s">
        <v>6600</v>
      </c>
      <c r="N1238" s="99" t="s">
        <v>120</v>
      </c>
      <c r="O1238" s="1060">
        <v>45566</v>
      </c>
      <c r="P1238" s="1152" t="s">
        <v>739</v>
      </c>
      <c r="Q1238" s="340">
        <f>SUM(Table15[[#This Row],[Shactee Effort]:[KH Hourly Effort]])</f>
        <v>4493.09</v>
      </c>
      <c r="R1238" s="1026" t="s">
        <v>1922</v>
      </c>
      <c r="S1238" s="538" t="s">
        <v>29</v>
      </c>
      <c r="T1238" s="538">
        <v>445.59</v>
      </c>
      <c r="U1238" s="28">
        <v>4047.5</v>
      </c>
      <c r="V1238" s="858" t="s">
        <v>29</v>
      </c>
      <c r="W1238" s="425" t="s">
        <v>29</v>
      </c>
      <c r="X1238" s="538" t="s">
        <v>29</v>
      </c>
      <c r="Y1238" s="551" t="s">
        <v>29</v>
      </c>
      <c r="Z1238" s="538" t="s">
        <v>29</v>
      </c>
      <c r="AA1238" s="552" t="s">
        <v>29</v>
      </c>
      <c r="AB1238" s="341" t="s">
        <v>29</v>
      </c>
      <c r="AC1238" s="569" t="s">
        <v>29</v>
      </c>
      <c r="AD1238" s="1157" t="s">
        <v>29</v>
      </c>
      <c r="AE1238" s="568" t="s">
        <v>116</v>
      </c>
      <c r="AF1238" s="568" t="s">
        <v>29</v>
      </c>
      <c r="AG1238" s="569" t="s">
        <v>29</v>
      </c>
      <c r="AH1238" s="183">
        <v>45580</v>
      </c>
      <c r="AI1238" s="557" t="s">
        <v>29</v>
      </c>
      <c r="AJ1238" s="541">
        <v>445.59</v>
      </c>
      <c r="AK1238" s="740" t="s">
        <v>29</v>
      </c>
      <c r="AL1238" s="1240">
        <f>SUM(Table15[[#This Row],[Nicor Initiated DBE]:[Staffing]])/(Table15[[#This Row],[Amount Invoiced]])</f>
        <v>9.9172284552501724E-2</v>
      </c>
      <c r="AM1238" s="542" t="s">
        <v>709</v>
      </c>
      <c r="AN1238" s="924"/>
      <c r="AO1238" s="925"/>
      <c r="AP1238" s="926"/>
      <c r="AQ1238" s="926"/>
      <c r="AR1238" s="926"/>
      <c r="AS1238" s="926"/>
      <c r="AT1238" s="926"/>
      <c r="AU1238" s="926"/>
      <c r="AV1238" s="926"/>
      <c r="AW1238" s="927"/>
      <c r="AX1238" s="926"/>
      <c r="AY1238" s="1538" t="s">
        <v>29</v>
      </c>
      <c r="AZ1238" s="1530"/>
      <c r="BA1238" s="1031" t="s">
        <v>6601</v>
      </c>
      <c r="BB1238" s="644" t="s">
        <v>6602</v>
      </c>
      <c r="BC1238" s="544" t="s">
        <v>115</v>
      </c>
      <c r="BD1238" s="554" t="s">
        <v>115</v>
      </c>
      <c r="BE1238" s="588" t="s">
        <v>6603</v>
      </c>
      <c r="BF1238" s="588" t="s">
        <v>115</v>
      </c>
      <c r="BG1238" s="588" t="s">
        <v>115</v>
      </c>
      <c r="BH1238" s="615" t="s">
        <v>6604</v>
      </c>
      <c r="BI1238" s="626" t="s">
        <v>709</v>
      </c>
      <c r="BJ1238" s="626" t="s">
        <v>709</v>
      </c>
      <c r="BK1238" s="626" t="s">
        <v>709</v>
      </c>
      <c r="BL1238" s="626" t="s">
        <v>116</v>
      </c>
      <c r="BM1238" s="626" t="s">
        <v>709</v>
      </c>
      <c r="BN1238" s="626" t="s">
        <v>709</v>
      </c>
      <c r="BO1238" s="626" t="s">
        <v>709</v>
      </c>
      <c r="BP1238" s="626" t="s">
        <v>709</v>
      </c>
      <c r="BQ1238" s="626" t="s">
        <v>709</v>
      </c>
      <c r="BR1238" s="626" t="s">
        <v>709</v>
      </c>
      <c r="BS1238" s="626" t="s">
        <v>709</v>
      </c>
      <c r="BT1238" s="626" t="s">
        <v>709</v>
      </c>
      <c r="BU1238" s="626" t="s">
        <v>709</v>
      </c>
      <c r="BV1238" s="626" t="s">
        <v>709</v>
      </c>
      <c r="BW1238" s="626" t="s">
        <v>709</v>
      </c>
      <c r="BX1238" s="626" t="s">
        <v>709</v>
      </c>
      <c r="BY1238" s="626" t="s">
        <v>709</v>
      </c>
      <c r="BZ1238" s="547" t="s">
        <v>709</v>
      </c>
      <c r="CA1238" s="483"/>
      <c r="CB1238" s="547">
        <v>1235</v>
      </c>
      <c r="CC1238" s="1481" t="b">
        <v>1</v>
      </c>
      <c r="CD1238" s="879" t="str">
        <f>Table15[[#This Row],[Engineering Number]]&amp;Table15[[#This Row],[WO Number]]&amp;Table15[[#This Row],[Date Assigned to Designer]]&amp;Table15[[#This Row],[Date Completed]]</f>
        <v>SC2495233144064551745559</v>
      </c>
    </row>
    <row r="1239" spans="1:82" customFormat="1" ht="15" customHeight="1" x14ac:dyDescent="0.25">
      <c r="A1239">
        <v>2024</v>
      </c>
      <c r="B1239" s="8" t="s">
        <v>4</v>
      </c>
      <c r="C1239" s="8" t="s">
        <v>6606</v>
      </c>
      <c r="D1239" s="8" t="s">
        <v>6607</v>
      </c>
      <c r="E1239" s="8" t="s">
        <v>149</v>
      </c>
      <c r="F1239" s="8" t="s">
        <v>784</v>
      </c>
      <c r="G1239" s="8" t="s">
        <v>26</v>
      </c>
      <c r="H1239" s="8" t="s">
        <v>59</v>
      </c>
      <c r="I1239" s="642">
        <v>45380</v>
      </c>
      <c r="J1239" s="18">
        <v>45566</v>
      </c>
      <c r="K1239" s="97">
        <v>45565</v>
      </c>
      <c r="L1239" s="16">
        <f>IF(ISTEXT(Table15[[#This Row],[Engineering Approved Design Date]]),Table15[[#This Row],[Date Completed]]-Table15[[#This Row],[Date Assigned to Designer]],Table15[[#This Row],[Engineering Approved Design Date]]-Table15[[#This Row],[Date Completed]])</f>
        <v>1</v>
      </c>
      <c r="M1239" s="642"/>
      <c r="N1239" s="99" t="s">
        <v>120</v>
      </c>
      <c r="O1239" s="1060">
        <v>45566</v>
      </c>
      <c r="P1239" s="1152" t="s">
        <v>739</v>
      </c>
      <c r="Q1239" s="340">
        <f>Table15[[#This Row],[Rate]]*Table15[[#This Row],[Construction Cost to Bill From]]</f>
        <v>88481.532000000007</v>
      </c>
      <c r="R1239" s="1026">
        <v>0.1</v>
      </c>
      <c r="S1239" s="538" t="s">
        <v>29</v>
      </c>
      <c r="T1239" s="538" t="s">
        <v>29</v>
      </c>
      <c r="U1239" s="28" t="s">
        <v>29</v>
      </c>
      <c r="V1239" s="858">
        <v>939</v>
      </c>
      <c r="W1239" s="343" t="s">
        <v>29</v>
      </c>
      <c r="X1239" s="538">
        <v>849401.39</v>
      </c>
      <c r="Y1239" s="550"/>
      <c r="Z1239" s="552">
        <v>35413.93</v>
      </c>
      <c r="AA1239" s="552">
        <f>SUM(Table15[[#This Row],[PCTS Investment Amount]:[PCTS Retirement Amount]])</f>
        <v>884815.32000000007</v>
      </c>
      <c r="AB1239" s="341">
        <v>45568</v>
      </c>
      <c r="AC1239" s="569" t="s">
        <v>29</v>
      </c>
      <c r="AD1239" s="1149" t="s">
        <v>29</v>
      </c>
      <c r="AE1239" s="568" t="s">
        <v>116</v>
      </c>
      <c r="AF1239" s="569" t="s">
        <v>756</v>
      </c>
      <c r="AG1239" s="568" t="s">
        <v>376</v>
      </c>
      <c r="AH1239" s="183">
        <v>45580</v>
      </c>
      <c r="AI1239" s="1125">
        <v>16050</v>
      </c>
      <c r="AJ1239" s="1110">
        <v>8750</v>
      </c>
      <c r="AK1239" s="1110">
        <v>9150.75</v>
      </c>
      <c r="AL1239" s="1108">
        <f>SUM(Table15[[#This Row],[Nicor Initiated DBE]:[Staffing]])/(Table15[[#This Row],[Amount Invoiced]])</f>
        <v>0.38370436443166467</v>
      </c>
      <c r="AM1239" s="536" t="s">
        <v>116</v>
      </c>
      <c r="AN1239" s="903" t="s">
        <v>709</v>
      </c>
      <c r="AO1239" s="1536"/>
      <c r="AP1239" s="1537"/>
      <c r="AQ1239" s="1537"/>
      <c r="AR1239" s="1537"/>
      <c r="AS1239" s="888">
        <f>IF(Table15[[#This Row],[PCTS Approved]]="N",0,Table15[[#This Row],[Investment Amount (1'#'#'#'#'#)]]+Table15[[#This Row],[Retirement Amount (3'#'#'#'#'#)]])</f>
        <v>0</v>
      </c>
      <c r="AT1239" s="888">
        <f>IF(Table15[[#This Row],[Approved Construction Cost]]=0,0,Table15[[#This Row],[Approved Construction Cost]]-Table15[[#This Row],[Construction Cost to Bill From]])</f>
        <v>0</v>
      </c>
      <c r="AU1239" s="888">
        <f>IFERROR(Table15[[#This Row],[Difference in Construction Cost]]*Table15[[#This Row],[Rate]],Table15[[#This Row],[Difference in Construction Cost]]*0.085)</f>
        <v>0</v>
      </c>
      <c r="AV1239" s="905"/>
      <c r="AW1239" s="1509"/>
      <c r="AX1239" s="888"/>
      <c r="AY1239" s="636" t="s">
        <v>709</v>
      </c>
      <c r="AZ1239" s="333"/>
      <c r="BA1239" s="1031" t="s">
        <v>6608</v>
      </c>
      <c r="BB1239" s="644" t="s">
        <v>5572</v>
      </c>
      <c r="BC1239" s="544" t="s">
        <v>115</v>
      </c>
      <c r="BD1239" s="554" t="s">
        <v>115</v>
      </c>
      <c r="BE1239" s="554" t="s">
        <v>5573</v>
      </c>
      <c r="BF1239" s="588" t="s">
        <v>115</v>
      </c>
      <c r="BG1239" s="588" t="s">
        <v>115</v>
      </c>
      <c r="BH1239" s="615" t="s">
        <v>6609</v>
      </c>
      <c r="BI1239" s="626" t="s">
        <v>709</v>
      </c>
      <c r="BJ1239" s="626" t="s">
        <v>709</v>
      </c>
      <c r="BK1239" s="547" t="s">
        <v>116</v>
      </c>
      <c r="BL1239" s="549" t="s">
        <v>709</v>
      </c>
      <c r="BM1239" s="549" t="s">
        <v>709</v>
      </c>
      <c r="BN1239" s="549" t="s">
        <v>709</v>
      </c>
      <c r="BO1239" s="549" t="s">
        <v>709</v>
      </c>
      <c r="BP1239" s="549" t="s">
        <v>709</v>
      </c>
      <c r="BQ1239" s="549">
        <v>939</v>
      </c>
      <c r="BR1239" s="549" t="s">
        <v>709</v>
      </c>
      <c r="BS1239" s="549" t="s">
        <v>709</v>
      </c>
      <c r="BT1239" s="549" t="s">
        <v>745</v>
      </c>
      <c r="BU1239" s="549" t="s">
        <v>709</v>
      </c>
      <c r="BV1239" s="549" t="s">
        <v>745</v>
      </c>
      <c r="BW1239" s="549" t="s">
        <v>709</v>
      </c>
      <c r="BX1239" s="549" t="s">
        <v>745</v>
      </c>
      <c r="BY1239" s="549" t="s">
        <v>745</v>
      </c>
      <c r="BZ1239" s="547" t="s">
        <v>709</v>
      </c>
      <c r="CA1239" s="743"/>
      <c r="CB1239" s="547">
        <v>1237</v>
      </c>
      <c r="CC1239" s="1481" t="b">
        <v>1</v>
      </c>
      <c r="CD1239" s="879" t="str">
        <f>Table15[[#This Row],[Engineering Number]]&amp;Table15[[#This Row],[WO Number]]&amp;Table15[[#This Row],[Date Assigned to Designer]]&amp;Table15[[#This Row],[Date Completed]]</f>
        <v>M1156012140954538045565</v>
      </c>
    </row>
    <row r="1240" spans="1:82" customFormat="1" ht="15" customHeight="1" x14ac:dyDescent="0.25">
      <c r="A1240">
        <v>2024</v>
      </c>
      <c r="B1240" s="8" t="s">
        <v>4</v>
      </c>
      <c r="C1240" s="8" t="s">
        <v>6615</v>
      </c>
      <c r="D1240" s="8" t="s">
        <v>6616</v>
      </c>
      <c r="E1240" s="8" t="s">
        <v>6617</v>
      </c>
      <c r="F1240" s="8" t="s">
        <v>784</v>
      </c>
      <c r="G1240" s="8" t="s">
        <v>32</v>
      </c>
      <c r="H1240" s="8" t="s">
        <v>59</v>
      </c>
      <c r="I1240" s="642">
        <v>45230</v>
      </c>
      <c r="J1240" s="18">
        <v>45569</v>
      </c>
      <c r="K1240" s="97">
        <v>45567</v>
      </c>
      <c r="L1240" s="16">
        <f>IF(ISTEXT(Table15[[#This Row],[Engineering Approved Design Date]]),Table15[[#This Row],[Date Completed]]-Table15[[#This Row],[Date Assigned to Designer]],Table15[[#This Row],[Engineering Approved Design Date]]-Table15[[#This Row],[Date Completed]])</f>
        <v>2</v>
      </c>
      <c r="M1240" s="642"/>
      <c r="N1240" s="99" t="s">
        <v>120</v>
      </c>
      <c r="O1240" s="1060">
        <v>45566</v>
      </c>
      <c r="P1240" s="1152" t="s">
        <v>739</v>
      </c>
      <c r="Q1240" s="340">
        <f>Table15[[#This Row],[Rate]]*Table15[[#This Row],[Construction Cost to Bill From]]</f>
        <v>42476.822000000007</v>
      </c>
      <c r="R1240" s="1026">
        <v>0.1</v>
      </c>
      <c r="S1240" s="538">
        <v>0</v>
      </c>
      <c r="T1240" s="538">
        <v>0</v>
      </c>
      <c r="U1240" s="28">
        <v>0</v>
      </c>
      <c r="V1240" s="858">
        <v>449</v>
      </c>
      <c r="W1240" s="425">
        <v>0</v>
      </c>
      <c r="X1240" s="538">
        <v>381887.59</v>
      </c>
      <c r="Y1240" s="551"/>
      <c r="Z1240" s="538">
        <v>42880.63</v>
      </c>
      <c r="AA1240" s="552">
        <f>SUM(Table15[[#This Row],[PCTS Investment Amount]:[PCTS Retirement Amount]])</f>
        <v>424768.22000000003</v>
      </c>
      <c r="AB1240" s="341">
        <v>45567</v>
      </c>
      <c r="AC1240" s="569" t="s">
        <v>709</v>
      </c>
      <c r="AD1240" s="1157" t="s">
        <v>29</v>
      </c>
      <c r="AE1240" s="568" t="s">
        <v>756</v>
      </c>
      <c r="AF1240" s="568" t="s">
        <v>709</v>
      </c>
      <c r="AG1240" s="568" t="s">
        <v>376</v>
      </c>
      <c r="AH1240" s="183">
        <v>45609</v>
      </c>
      <c r="AI1240" s="1125">
        <v>0</v>
      </c>
      <c r="AJ1240" s="1110">
        <v>0</v>
      </c>
      <c r="AK1240" s="1110">
        <f>2540+3402.5</f>
        <v>5942.5</v>
      </c>
      <c r="AL1240" s="1108">
        <f>SUM(Table15[[#This Row],[Nicor Initiated DBE]:[Staffing]])/(Table15[[#This Row],[Amount Invoiced]])</f>
        <v>0.13989982583913643</v>
      </c>
      <c r="AM1240" s="536" t="s">
        <v>116</v>
      </c>
      <c r="AN1240" s="903" t="s">
        <v>709</v>
      </c>
      <c r="AO1240" s="1536"/>
      <c r="AP1240" s="1537"/>
      <c r="AQ1240" s="1537"/>
      <c r="AR1240" s="1537"/>
      <c r="AS1240" s="888">
        <f>IF(Table15[[#This Row],[PCTS Approved]]="N",0,Table15[[#This Row],[Investment Amount (1'#'#'#'#'#)]]+Table15[[#This Row],[Retirement Amount (3'#'#'#'#'#)]])</f>
        <v>0</v>
      </c>
      <c r="AT1240" s="888">
        <f>IF(Table15[[#This Row],[Approved Construction Cost]]=0,0,Table15[[#This Row],[Approved Construction Cost]]-Table15[[#This Row],[Construction Cost to Bill From]])</f>
        <v>0</v>
      </c>
      <c r="AU1240" s="888">
        <f>IFERROR(Table15[[#This Row],[Difference in Construction Cost]]*Table15[[#This Row],[Rate]],Table15[[#This Row],[Difference in Construction Cost]]*0.085)</f>
        <v>0</v>
      </c>
      <c r="AV1240" s="905"/>
      <c r="AW1240" s="1509"/>
      <c r="AX1240" s="888"/>
      <c r="AY1240" s="636" t="s">
        <v>709</v>
      </c>
      <c r="AZ1240" s="333"/>
      <c r="BA1240" s="1031" t="s">
        <v>6618</v>
      </c>
      <c r="BB1240" s="644" t="s">
        <v>870</v>
      </c>
      <c r="BC1240" s="559" t="s">
        <v>116</v>
      </c>
      <c r="BD1240" s="554" t="s">
        <v>882</v>
      </c>
      <c r="BE1240" s="588" t="s">
        <v>115</v>
      </c>
      <c r="BF1240" s="588" t="s">
        <v>115</v>
      </c>
      <c r="BG1240" s="588" t="s">
        <v>115</v>
      </c>
      <c r="BH1240" s="615" t="s">
        <v>6619</v>
      </c>
      <c r="BI1240" s="626" t="s">
        <v>709</v>
      </c>
      <c r="BJ1240" s="626" t="s">
        <v>709</v>
      </c>
      <c r="BK1240" s="626" t="s">
        <v>709</v>
      </c>
      <c r="BL1240" s="626" t="s">
        <v>116</v>
      </c>
      <c r="BM1240" s="626">
        <v>0</v>
      </c>
      <c r="BN1240" s="626">
        <v>0</v>
      </c>
      <c r="BO1240" s="626">
        <v>0</v>
      </c>
      <c r="BP1240" s="626">
        <v>0</v>
      </c>
      <c r="BQ1240" s="626">
        <v>0</v>
      </c>
      <c r="BR1240" s="626">
        <v>449</v>
      </c>
      <c r="BS1240" s="626">
        <v>0</v>
      </c>
      <c r="BT1240" s="626">
        <v>0</v>
      </c>
      <c r="BU1240" s="626">
        <v>0</v>
      </c>
      <c r="BV1240" s="626">
        <v>0</v>
      </c>
      <c r="BW1240" s="549">
        <v>0</v>
      </c>
      <c r="BX1240" s="626">
        <v>0</v>
      </c>
      <c r="BY1240" s="549">
        <v>0</v>
      </c>
      <c r="BZ1240" s="547" t="s">
        <v>709</v>
      </c>
      <c r="CA1240" s="483"/>
      <c r="CB1240" s="547">
        <v>1239</v>
      </c>
      <c r="CC1240" s="1481" t="b">
        <v>1</v>
      </c>
      <c r="CD1240" s="879" t="str">
        <f>Table15[[#This Row],[Engineering Number]]&amp;Table15[[#This Row],[WO Number]]&amp;Table15[[#This Row],[Date Assigned to Designer]]&amp;Table15[[#This Row],[Date Completed]]</f>
        <v>M1545012141134523045567</v>
      </c>
    </row>
    <row r="1241" spans="1:82" customFormat="1" ht="15" customHeight="1" x14ac:dyDescent="0.25">
      <c r="A1241">
        <v>2023</v>
      </c>
      <c r="B1241" s="8" t="s">
        <v>759</v>
      </c>
      <c r="C1241" s="8" t="s">
        <v>1566</v>
      </c>
      <c r="D1241" s="8" t="s">
        <v>4367</v>
      </c>
      <c r="E1241" s="8" t="s">
        <v>3315</v>
      </c>
      <c r="F1241" s="8" t="s">
        <v>752</v>
      </c>
      <c r="G1241" s="8" t="s">
        <v>4770</v>
      </c>
      <c r="H1241" s="8" t="s">
        <v>4001</v>
      </c>
      <c r="I1241" s="642">
        <v>45540</v>
      </c>
      <c r="J1241" s="175" t="s">
        <v>2052</v>
      </c>
      <c r="K1241" s="97">
        <v>45567</v>
      </c>
      <c r="L1241" s="16">
        <f>IF(ISTEXT(Table15[[#This Row],[Engineering Approved Design Date]]),Table15[[#This Row],[Date Completed]]-Table15[[#This Row],[Date Assigned to Designer]],Table15[[#This Row],[Engineering Approved Design Date]]-Table15[[#This Row],[Date Completed]])</f>
        <v>27</v>
      </c>
      <c r="M1241" s="642" t="s">
        <v>6611</v>
      </c>
      <c r="N1241" s="99" t="s">
        <v>120</v>
      </c>
      <c r="O1241" s="1060">
        <v>45566</v>
      </c>
      <c r="P1241" s="1152" t="s">
        <v>120</v>
      </c>
      <c r="Q1241" s="1061">
        <f>SUM(Table15[[#This Row],[Shactee Effort]:[KH Hourly Effort]])</f>
        <v>11340</v>
      </c>
      <c r="R1241" s="1039" t="s">
        <v>1922</v>
      </c>
      <c r="S1241" s="538">
        <v>0</v>
      </c>
      <c r="T1241" s="538">
        <v>0</v>
      </c>
      <c r="U1241" s="28">
        <v>11340</v>
      </c>
      <c r="V1241" s="538" t="s">
        <v>29</v>
      </c>
      <c r="W1241" s="343" t="s">
        <v>29</v>
      </c>
      <c r="X1241" s="538" t="s">
        <v>29</v>
      </c>
      <c r="Y1241" s="538" t="s">
        <v>29</v>
      </c>
      <c r="Z1241" s="538" t="s">
        <v>29</v>
      </c>
      <c r="AA1241" s="538" t="s">
        <v>29</v>
      </c>
      <c r="AB1241" s="341" t="s">
        <v>29</v>
      </c>
      <c r="AC1241" s="569" t="s">
        <v>29</v>
      </c>
      <c r="AD1241" s="1149" t="s">
        <v>29</v>
      </c>
      <c r="AE1241" s="568" t="s">
        <v>756</v>
      </c>
      <c r="AF1241" s="569" t="s">
        <v>756</v>
      </c>
      <c r="AG1241" s="569" t="s">
        <v>29</v>
      </c>
      <c r="AH1241" s="183" t="s">
        <v>376</v>
      </c>
      <c r="AI1241" s="1028" t="s">
        <v>29</v>
      </c>
      <c r="AJ1241" s="1029" t="s">
        <v>29</v>
      </c>
      <c r="AK1241" s="1029" t="s">
        <v>29</v>
      </c>
      <c r="AL1241" s="1030" t="s">
        <v>29</v>
      </c>
      <c r="AM1241" s="542" t="s">
        <v>709</v>
      </c>
      <c r="AN1241" s="924"/>
      <c r="AO1241" s="925"/>
      <c r="AP1241" s="926"/>
      <c r="AQ1241" s="926"/>
      <c r="AR1241" s="926"/>
      <c r="AS1241" s="926"/>
      <c r="AT1241" s="926"/>
      <c r="AU1241" s="926"/>
      <c r="AV1241" s="926"/>
      <c r="AW1241" s="927"/>
      <c r="AX1241" s="926"/>
      <c r="AY1241" s="1538" t="s">
        <v>29</v>
      </c>
      <c r="AZ1241" s="1530"/>
      <c r="BA1241" s="1031">
        <v>7</v>
      </c>
      <c r="BB1241" s="1138" t="s">
        <v>6612</v>
      </c>
      <c r="BC1241" s="559" t="s">
        <v>116</v>
      </c>
      <c r="BD1241" s="554" t="s">
        <v>709</v>
      </c>
      <c r="BE1241" s="588" t="s">
        <v>1569</v>
      </c>
      <c r="BF1241" s="588" t="s">
        <v>3319</v>
      </c>
      <c r="BG1241" s="548" t="s">
        <v>709</v>
      </c>
      <c r="BH1241" s="615" t="s">
        <v>6613</v>
      </c>
      <c r="BI1241" s="547" t="s">
        <v>709</v>
      </c>
      <c r="BJ1241" s="549" t="s">
        <v>709</v>
      </c>
      <c r="BK1241" s="547" t="s">
        <v>709</v>
      </c>
      <c r="BL1241" s="547" t="s">
        <v>116</v>
      </c>
      <c r="BM1241" s="626" t="s">
        <v>709</v>
      </c>
      <c r="BN1241" s="549" t="s">
        <v>709</v>
      </c>
      <c r="BO1241" s="626" t="s">
        <v>709</v>
      </c>
      <c r="BP1241" s="626" t="s">
        <v>709</v>
      </c>
      <c r="BQ1241" s="549">
        <v>3873</v>
      </c>
      <c r="BR1241" s="549">
        <v>95</v>
      </c>
      <c r="BS1241" s="549">
        <v>632</v>
      </c>
      <c r="BT1241" s="549">
        <v>1</v>
      </c>
      <c r="BU1241" s="549" t="s">
        <v>709</v>
      </c>
      <c r="BV1241" s="549" t="s">
        <v>745</v>
      </c>
      <c r="BW1241" s="549" t="s">
        <v>709</v>
      </c>
      <c r="BX1241" s="547">
        <v>1</v>
      </c>
      <c r="BY1241" s="549" t="s">
        <v>745</v>
      </c>
      <c r="BZ1241" s="547" t="s">
        <v>709</v>
      </c>
      <c r="CA1241" s="483"/>
      <c r="CB1241" s="547">
        <v>1238</v>
      </c>
      <c r="CC1241" s="1481" t="b">
        <v>1</v>
      </c>
      <c r="CD1241" s="879" t="str">
        <f>Table15[[#This Row],[Engineering Number]]&amp;Table15[[#This Row],[WO Number]]&amp;Table15[[#This Row],[Date Assigned to Designer]]&amp;Table15[[#This Row],[Date Completed]]</f>
        <v>RS99110109764554045567</v>
      </c>
    </row>
    <row r="1242" spans="1:82" customFormat="1" ht="15" customHeight="1" x14ac:dyDescent="0.25">
      <c r="A1242">
        <v>2024</v>
      </c>
      <c r="B1242" s="8" t="s">
        <v>4</v>
      </c>
      <c r="C1242" s="8" t="s">
        <v>1721</v>
      </c>
      <c r="D1242" s="8">
        <v>1313432</v>
      </c>
      <c r="E1242" s="8" t="s">
        <v>850</v>
      </c>
      <c r="F1242" s="8" t="s">
        <v>851</v>
      </c>
      <c r="G1242" s="8" t="s">
        <v>26</v>
      </c>
      <c r="H1242" s="8" t="s">
        <v>3677</v>
      </c>
      <c r="I1242" s="642">
        <v>45561</v>
      </c>
      <c r="J1242" s="18" t="s">
        <v>2612</v>
      </c>
      <c r="K1242" s="97">
        <v>45572</v>
      </c>
      <c r="L1242" s="16">
        <f>IF(ISTEXT(Table15[[#This Row],[Engineering Approved Design Date]]),Table15[[#This Row],[Date Completed]]-Table15[[#This Row],[Date Assigned to Designer]],Table15[[#This Row],[Engineering Approved Design Date]]-Table15[[#This Row],[Date Completed]])</f>
        <v>11</v>
      </c>
      <c r="M1242" s="16" t="s">
        <v>6621</v>
      </c>
      <c r="N1242" s="99" t="s">
        <v>120</v>
      </c>
      <c r="O1242" s="1060">
        <v>45566</v>
      </c>
      <c r="P1242" s="1152" t="s">
        <v>739</v>
      </c>
      <c r="Q1242" s="340" t="s">
        <v>115</v>
      </c>
      <c r="R1242" s="1026" t="s">
        <v>115</v>
      </c>
      <c r="S1242" s="538" t="s">
        <v>29</v>
      </c>
      <c r="T1242" s="538" t="s">
        <v>29</v>
      </c>
      <c r="U1242" s="28" t="s">
        <v>29</v>
      </c>
      <c r="V1242" s="538" t="s">
        <v>29</v>
      </c>
      <c r="W1242" s="343" t="s">
        <v>29</v>
      </c>
      <c r="X1242" s="538" t="s">
        <v>29</v>
      </c>
      <c r="Y1242" s="538" t="s">
        <v>29</v>
      </c>
      <c r="Z1242" s="538" t="s">
        <v>29</v>
      </c>
      <c r="AA1242" s="538" t="s">
        <v>29</v>
      </c>
      <c r="AB1242" s="341" t="s">
        <v>29</v>
      </c>
      <c r="AC1242" s="569" t="s">
        <v>29</v>
      </c>
      <c r="AD1242" s="1149" t="s">
        <v>29</v>
      </c>
      <c r="AE1242" s="568" t="s">
        <v>756</v>
      </c>
      <c r="AF1242" s="569" t="s">
        <v>756</v>
      </c>
      <c r="AG1242" s="569" t="s">
        <v>29</v>
      </c>
      <c r="AH1242" s="183" t="s">
        <v>29</v>
      </c>
      <c r="AI1242" s="1028" t="s">
        <v>29</v>
      </c>
      <c r="AJ1242" s="1029" t="s">
        <v>29</v>
      </c>
      <c r="AK1242" s="1029" t="s">
        <v>29</v>
      </c>
      <c r="AL1242" s="1030" t="s">
        <v>29</v>
      </c>
      <c r="AM1242" s="542" t="s">
        <v>709</v>
      </c>
      <c r="AN1242" s="924"/>
      <c r="AO1242" s="925"/>
      <c r="AP1242" s="926"/>
      <c r="AQ1242" s="926"/>
      <c r="AR1242" s="926"/>
      <c r="AS1242" s="926"/>
      <c r="AT1242" s="926"/>
      <c r="AU1242" s="926"/>
      <c r="AV1242" s="926"/>
      <c r="AW1242" s="927"/>
      <c r="AX1242" s="926"/>
      <c r="AY1242" s="1538" t="s">
        <v>29</v>
      </c>
      <c r="AZ1242" s="1530"/>
      <c r="BA1242" t="s">
        <v>29</v>
      </c>
      <c r="BB1242" s="19" t="s">
        <v>6622</v>
      </c>
      <c r="BC1242" s="559" t="s">
        <v>709</v>
      </c>
      <c r="BD1242" s="554" t="s">
        <v>862</v>
      </c>
      <c r="BE1242" s="588" t="s">
        <v>855</v>
      </c>
      <c r="BF1242" s="588" t="s">
        <v>709</v>
      </c>
      <c r="BG1242" s="548" t="s">
        <v>1724</v>
      </c>
      <c r="BH1242" s="615" t="s">
        <v>6623</v>
      </c>
      <c r="BI1242" s="1032"/>
      <c r="BJ1242" s="1032"/>
      <c r="BK1242" s="1032"/>
      <c r="BL1242" s="1032"/>
      <c r="BM1242" s="1032"/>
      <c r="BN1242" s="1032"/>
      <c r="BO1242" s="1032"/>
      <c r="BP1242" s="1032"/>
      <c r="BQ1242" s="1032"/>
      <c r="BR1242" s="1032"/>
      <c r="BS1242" s="1032"/>
      <c r="BT1242" s="1032"/>
      <c r="BU1242" s="1032"/>
      <c r="BV1242" s="1032"/>
      <c r="BW1242" s="1032"/>
      <c r="BX1242" s="1032"/>
      <c r="BY1242" s="1032"/>
      <c r="BZ1242" s="1032"/>
      <c r="CA1242" s="485"/>
      <c r="CB1242" s="547">
        <v>1241</v>
      </c>
      <c r="CC1242" s="1481" t="b">
        <v>1</v>
      </c>
      <c r="CD1242" s="879" t="str">
        <f>Table15[[#This Row],[Engineering Number]]&amp;Table15[[#This Row],[WO Number]]&amp;Table15[[#This Row],[Date Assigned to Designer]]&amp;Table15[[#This Row],[Date Completed]]</f>
        <v>SC1768013134324556145572</v>
      </c>
    </row>
    <row r="1243" spans="1:82" customFormat="1" ht="15" customHeight="1" x14ac:dyDescent="0.25">
      <c r="A1243">
        <v>2024</v>
      </c>
      <c r="B1243" s="8" t="s">
        <v>4</v>
      </c>
      <c r="C1243" s="8" t="s">
        <v>1030</v>
      </c>
      <c r="D1243" s="8">
        <v>1413358</v>
      </c>
      <c r="E1243" s="8" t="s">
        <v>1032</v>
      </c>
      <c r="F1243" s="8" t="s">
        <v>1757</v>
      </c>
      <c r="G1243" s="8" t="s">
        <v>31</v>
      </c>
      <c r="H1243" s="8" t="s">
        <v>2396</v>
      </c>
      <c r="I1243" s="642">
        <v>45503</v>
      </c>
      <c r="J1243" s="175" t="s">
        <v>2397</v>
      </c>
      <c r="K1243" s="97">
        <v>45572</v>
      </c>
      <c r="L1243" s="16">
        <f>IF(ISTEXT(Table15[[#This Row],[Engineering Approved Design Date]]),Table15[[#This Row],[Date Completed]]-Table15[[#This Row],[Date Assigned to Designer]],Table15[[#This Row],[Engineering Approved Design Date]]-Table15[[#This Row],[Date Completed]])</f>
        <v>69</v>
      </c>
      <c r="M1243" s="16" t="s">
        <v>6625</v>
      </c>
      <c r="N1243" s="99" t="s">
        <v>120</v>
      </c>
      <c r="O1243" s="1060">
        <v>45566</v>
      </c>
      <c r="P1243" s="21" t="s">
        <v>739</v>
      </c>
      <c r="Q1243" s="1061">
        <f>Table15[[#This Row],[KH Hourly Effort]]</f>
        <v>14792.5</v>
      </c>
      <c r="R1243" s="1039" t="s">
        <v>1922</v>
      </c>
      <c r="S1243" s="538">
        <v>0</v>
      </c>
      <c r="T1243" s="538">
        <v>0</v>
      </c>
      <c r="U1243" s="87">
        <v>14792.5</v>
      </c>
      <c r="V1243" s="538" t="s">
        <v>29</v>
      </c>
      <c r="W1243" s="440" t="s">
        <v>29</v>
      </c>
      <c r="X1243" s="556" t="s">
        <v>29</v>
      </c>
      <c r="Y1243" s="550"/>
      <c r="Z1243" s="556" t="s">
        <v>29</v>
      </c>
      <c r="AA1243" s="552" t="s">
        <v>29</v>
      </c>
      <c r="AB1243" s="341" t="s">
        <v>29</v>
      </c>
      <c r="AC1243" s="569" t="s">
        <v>29</v>
      </c>
      <c r="AD1243" s="1149" t="s">
        <v>29</v>
      </c>
      <c r="AE1243" s="568" t="s">
        <v>116</v>
      </c>
      <c r="AF1243" s="569" t="s">
        <v>116</v>
      </c>
      <c r="AG1243" s="569" t="s">
        <v>29</v>
      </c>
      <c r="AH1243" s="536" t="s">
        <v>376</v>
      </c>
      <c r="AI1243" s="1028" t="s">
        <v>29</v>
      </c>
      <c r="AJ1243" s="1029" t="s">
        <v>29</v>
      </c>
      <c r="AK1243" s="1029" t="s">
        <v>29</v>
      </c>
      <c r="AL1243" s="1030" t="s">
        <v>29</v>
      </c>
      <c r="AM1243" s="542" t="s">
        <v>709</v>
      </c>
      <c r="AN1243" s="924"/>
      <c r="AO1243" s="925"/>
      <c r="AP1243" s="926"/>
      <c r="AQ1243" s="926"/>
      <c r="AR1243" s="926"/>
      <c r="AS1243" s="926"/>
      <c r="AT1243" s="926"/>
      <c r="AU1243" s="926"/>
      <c r="AV1243" s="926"/>
      <c r="AW1243" s="927"/>
      <c r="AX1243" s="926"/>
      <c r="AY1243" s="1538" t="s">
        <v>29</v>
      </c>
      <c r="AZ1243" s="1530"/>
      <c r="BA1243" s="1031" t="s">
        <v>29</v>
      </c>
      <c r="BB1243" s="20" t="s">
        <v>6626</v>
      </c>
      <c r="BC1243" s="559" t="s">
        <v>116</v>
      </c>
      <c r="BD1243" s="554" t="s">
        <v>1036</v>
      </c>
      <c r="BE1243" s="588" t="s">
        <v>1037</v>
      </c>
      <c r="BF1243" s="588" t="s">
        <v>745</v>
      </c>
      <c r="BG1243" s="548" t="s">
        <v>1038</v>
      </c>
      <c r="BH1243" s="615" t="s">
        <v>6627</v>
      </c>
      <c r="BI1243" s="549" t="s">
        <v>709</v>
      </c>
      <c r="BJ1243" s="549" t="s">
        <v>116</v>
      </c>
      <c r="BK1243" s="549" t="s">
        <v>709</v>
      </c>
      <c r="BL1243" s="549" t="s">
        <v>116</v>
      </c>
      <c r="BM1243" s="549" t="s">
        <v>709</v>
      </c>
      <c r="BN1243" s="549" t="s">
        <v>709</v>
      </c>
      <c r="BO1243" s="549" t="s">
        <v>709</v>
      </c>
      <c r="BP1243" s="549">
        <f>354+323</f>
        <v>677</v>
      </c>
      <c r="BQ1243" s="549">
        <f>113+716</f>
        <v>829</v>
      </c>
      <c r="BR1243" s="549">
        <v>34</v>
      </c>
      <c r="BS1243" s="549" t="s">
        <v>709</v>
      </c>
      <c r="BT1243" s="549" t="s">
        <v>709</v>
      </c>
      <c r="BU1243" s="549" t="s">
        <v>709</v>
      </c>
      <c r="BV1243" s="549" t="s">
        <v>709</v>
      </c>
      <c r="BW1243" s="549" t="s">
        <v>709</v>
      </c>
      <c r="BX1243" s="549" t="s">
        <v>709</v>
      </c>
      <c r="BY1243" s="549" t="s">
        <v>709</v>
      </c>
      <c r="BZ1243" s="547" t="s">
        <v>709</v>
      </c>
      <c r="CA1243" s="483"/>
      <c r="CB1243" s="547">
        <v>1240</v>
      </c>
      <c r="CC1243" s="1481" t="b">
        <v>1</v>
      </c>
      <c r="CD1243" s="879" t="str">
        <f>Table15[[#This Row],[Engineering Number]]&amp;Table15[[#This Row],[WO Number]]&amp;Table15[[#This Row],[Date Assigned to Designer]]&amp;Table15[[#This Row],[Date Completed]]</f>
        <v>SC1861114133584550345572</v>
      </c>
    </row>
    <row r="1244" spans="1:82" customFormat="1" ht="15" customHeight="1" x14ac:dyDescent="0.25">
      <c r="A1244">
        <v>2024</v>
      </c>
      <c r="B1244" s="8" t="s">
        <v>4</v>
      </c>
      <c r="C1244" s="8" t="s">
        <v>1571</v>
      </c>
      <c r="D1244" s="8" t="s">
        <v>1572</v>
      </c>
      <c r="E1244" s="8" t="s">
        <v>1573</v>
      </c>
      <c r="F1244" s="8" t="s">
        <v>6629</v>
      </c>
      <c r="G1244" s="8" t="s">
        <v>26</v>
      </c>
      <c r="H1244" s="8" t="s">
        <v>4189</v>
      </c>
      <c r="I1244" s="642">
        <v>45377</v>
      </c>
      <c r="J1244" s="175" t="s">
        <v>2052</v>
      </c>
      <c r="K1244" s="97">
        <v>45574</v>
      </c>
      <c r="L1244" s="16">
        <f>IF(ISTEXT(Table15[[#This Row],[Engineering Approved Design Date]]),Table15[[#This Row],[Date Completed]]-Table15[[#This Row],[Date Assigned to Designer]],Table15[[#This Row],[Engineering Approved Design Date]]-Table15[[#This Row],[Date Completed]])</f>
        <v>197</v>
      </c>
      <c r="M1244" s="642" t="s">
        <v>6630</v>
      </c>
      <c r="N1244" s="642" t="s">
        <v>120</v>
      </c>
      <c r="O1244" s="1060">
        <v>45620</v>
      </c>
      <c r="P1244" s="1152" t="s">
        <v>739</v>
      </c>
      <c r="Q1244" s="1061">
        <f>SUM(Table15[[#This Row],[Shactee Effort]:[KH Hourly Effort]])</f>
        <v>31651.86</v>
      </c>
      <c r="R1244" s="1039" t="s">
        <v>1922</v>
      </c>
      <c r="S1244" s="538">
        <v>0</v>
      </c>
      <c r="T1244" s="538">
        <v>699.36</v>
      </c>
      <c r="U1244" s="28">
        <v>30952.5</v>
      </c>
      <c r="V1244" s="538" t="s">
        <v>29</v>
      </c>
      <c r="W1244" s="343" t="s">
        <v>29</v>
      </c>
      <c r="X1244" s="538" t="s">
        <v>29</v>
      </c>
      <c r="Y1244" s="538"/>
      <c r="Z1244" s="538" t="s">
        <v>29</v>
      </c>
      <c r="AA1244" s="538" t="s">
        <v>29</v>
      </c>
      <c r="AB1244" s="341" t="s">
        <v>29</v>
      </c>
      <c r="AC1244" s="569" t="s">
        <v>29</v>
      </c>
      <c r="AD1244" s="1149" t="s">
        <v>29</v>
      </c>
      <c r="AE1244" s="568" t="s">
        <v>116</v>
      </c>
      <c r="AF1244" s="569" t="s">
        <v>116</v>
      </c>
      <c r="AG1244" s="569" t="s">
        <v>29</v>
      </c>
      <c r="AH1244" s="536">
        <v>45609</v>
      </c>
      <c r="AI1244" s="1028" t="s">
        <v>29</v>
      </c>
      <c r="AJ1244" s="1133">
        <v>699.36</v>
      </c>
      <c r="AK1244" s="1029" t="s">
        <v>29</v>
      </c>
      <c r="AL1244" s="1030" t="s">
        <v>29</v>
      </c>
      <c r="AM1244" s="542" t="s">
        <v>709</v>
      </c>
      <c r="AN1244" s="924"/>
      <c r="AO1244" s="925"/>
      <c r="AP1244" s="926"/>
      <c r="AQ1244" s="926"/>
      <c r="AR1244" s="926"/>
      <c r="AS1244" s="926"/>
      <c r="AT1244" s="926"/>
      <c r="AU1244" s="926"/>
      <c r="AV1244" s="926"/>
      <c r="AW1244" s="927"/>
      <c r="AX1244" s="926"/>
      <c r="AY1244" s="1538" t="s">
        <v>29</v>
      </c>
      <c r="AZ1244" s="1530"/>
      <c r="BA1244" s="1031" t="s">
        <v>4919</v>
      </c>
      <c r="BB1244" s="644" t="s">
        <v>6631</v>
      </c>
      <c r="BC1244" s="544" t="s">
        <v>709</v>
      </c>
      <c r="BD1244" s="544" t="s">
        <v>837</v>
      </c>
      <c r="BE1244" s="544" t="s">
        <v>1575</v>
      </c>
      <c r="BF1244" s="544" t="s">
        <v>839</v>
      </c>
      <c r="BG1244" s="548" t="s">
        <v>6632</v>
      </c>
      <c r="BH1244" s="615" t="s">
        <v>6633</v>
      </c>
      <c r="BI1244" s="547" t="s">
        <v>709</v>
      </c>
      <c r="BJ1244" s="547" t="s">
        <v>709</v>
      </c>
      <c r="BK1244" s="547" t="s">
        <v>709</v>
      </c>
      <c r="BL1244" s="547" t="s">
        <v>116</v>
      </c>
      <c r="BM1244" s="547" t="s">
        <v>709</v>
      </c>
      <c r="BN1244" s="547" t="s">
        <v>709</v>
      </c>
      <c r="BO1244" s="547" t="s">
        <v>709</v>
      </c>
      <c r="BP1244" s="547" t="s">
        <v>709</v>
      </c>
      <c r="BQ1244" s="547" t="s">
        <v>709</v>
      </c>
      <c r="BR1244" s="547" t="s">
        <v>709</v>
      </c>
      <c r="BS1244" s="547">
        <v>1646</v>
      </c>
      <c r="BT1244" s="547" t="s">
        <v>709</v>
      </c>
      <c r="BU1244" s="547" t="s">
        <v>709</v>
      </c>
      <c r="BV1244" s="547" t="s">
        <v>709</v>
      </c>
      <c r="BW1244" s="547" t="s">
        <v>709</v>
      </c>
      <c r="BX1244" s="547" t="s">
        <v>745</v>
      </c>
      <c r="BY1244" s="547" t="s">
        <v>709</v>
      </c>
      <c r="BZ1244" s="547" t="s">
        <v>709</v>
      </c>
      <c r="CA1244" s="483"/>
      <c r="CB1244" s="547">
        <v>1242</v>
      </c>
      <c r="CC1244" s="1481" t="b">
        <v>1</v>
      </c>
      <c r="CD1244" s="879" t="str">
        <f>Table15[[#This Row],[Engineering Number]]&amp;Table15[[#This Row],[WO Number]]&amp;Table15[[#This Row],[Date Assigned to Designer]]&amp;Table15[[#This Row],[Date Completed]]</f>
        <v>SC1950014127374537745574</v>
      </c>
    </row>
    <row r="1245" spans="1:82" customFormat="1" ht="15" customHeight="1" x14ac:dyDescent="0.25">
      <c r="A1245">
        <v>2024</v>
      </c>
      <c r="B1245" s="8" t="s">
        <v>4</v>
      </c>
      <c r="C1245" s="8" t="s">
        <v>6635</v>
      </c>
      <c r="D1245" s="8" t="s">
        <v>115</v>
      </c>
      <c r="E1245" s="8" t="s">
        <v>918</v>
      </c>
      <c r="F1245" s="8" t="s">
        <v>1102</v>
      </c>
      <c r="G1245" s="8" t="s">
        <v>6377</v>
      </c>
      <c r="H1245" s="8" t="s">
        <v>1903</v>
      </c>
      <c r="I1245" s="18">
        <v>45550</v>
      </c>
      <c r="J1245" s="18">
        <v>45590</v>
      </c>
      <c r="K1245" s="175">
        <v>45580</v>
      </c>
      <c r="L1245" s="16">
        <f>IF(ISTEXT(Table15[[#This Row],[Engineering Approved Design Date]]),Table15[[#This Row],[Date Completed]]-Table15[[#This Row],[Date Assigned to Designer]],Table15[[#This Row],[Engineering Approved Design Date]]-Table15[[#This Row],[Date Completed]])</f>
        <v>10</v>
      </c>
      <c r="M1245" t="s">
        <v>6636</v>
      </c>
      <c r="N1245" s="99" t="s">
        <v>120</v>
      </c>
      <c r="O1245" s="1060">
        <v>45566</v>
      </c>
      <c r="P1245" s="1152" t="s">
        <v>739</v>
      </c>
      <c r="Q1245" s="340" t="s">
        <v>115</v>
      </c>
      <c r="R1245" s="1026" t="s">
        <v>115</v>
      </c>
      <c r="S1245" s="538" t="s">
        <v>29</v>
      </c>
      <c r="T1245" s="538" t="s">
        <v>29</v>
      </c>
      <c r="U1245" s="28" t="s">
        <v>29</v>
      </c>
      <c r="V1245" s="858" t="s">
        <v>29</v>
      </c>
      <c r="W1245" s="425" t="s">
        <v>29</v>
      </c>
      <c r="X1245" s="538" t="s">
        <v>29</v>
      </c>
      <c r="Y1245" s="551" t="s">
        <v>6637</v>
      </c>
      <c r="Z1245" s="538" t="s">
        <v>29</v>
      </c>
      <c r="AA1245" s="552" t="s">
        <v>29</v>
      </c>
      <c r="AB1245" s="341" t="s">
        <v>29</v>
      </c>
      <c r="AC1245" s="569" t="s">
        <v>29</v>
      </c>
      <c r="AD1245" s="1157" t="s">
        <v>29</v>
      </c>
      <c r="AE1245" s="568" t="s">
        <v>116</v>
      </c>
      <c r="AF1245" s="569" t="s">
        <v>116</v>
      </c>
      <c r="AG1245" s="569" t="s">
        <v>29</v>
      </c>
      <c r="AH1245" s="183">
        <v>45609</v>
      </c>
      <c r="AI1245" s="1028" t="s">
        <v>29</v>
      </c>
      <c r="AJ1245" s="1029" t="s">
        <v>29</v>
      </c>
      <c r="AK1245" s="1029" t="s">
        <v>29</v>
      </c>
      <c r="AL1245" s="1030" t="s">
        <v>29</v>
      </c>
      <c r="AM1245" s="542" t="s">
        <v>709</v>
      </c>
      <c r="AN1245" s="924"/>
      <c r="AO1245" s="925"/>
      <c r="AP1245" s="926"/>
      <c r="AQ1245" s="926"/>
      <c r="AR1245" s="926"/>
      <c r="AS1245" s="926"/>
      <c r="AT1245" s="926"/>
      <c r="AU1245" s="926"/>
      <c r="AV1245" s="926"/>
      <c r="AW1245" s="927"/>
      <c r="AX1245" s="926"/>
      <c r="AY1245" s="1538" t="s">
        <v>29</v>
      </c>
      <c r="AZ1245" s="1530"/>
      <c r="BA1245" s="1031" t="s">
        <v>6638</v>
      </c>
      <c r="BB1245" s="644" t="s">
        <v>5767</v>
      </c>
      <c r="BC1245" s="559" t="s">
        <v>709</v>
      </c>
      <c r="BD1245" s="554" t="s">
        <v>709</v>
      </c>
      <c r="BE1245" s="588" t="s">
        <v>709</v>
      </c>
      <c r="BF1245" s="588" t="s">
        <v>709</v>
      </c>
      <c r="BG1245" s="548" t="s">
        <v>29</v>
      </c>
      <c r="BH1245" s="615" t="s">
        <v>6639</v>
      </c>
      <c r="BI1245" s="1032"/>
      <c r="BJ1245" s="1032"/>
      <c r="BK1245" s="1032"/>
      <c r="BL1245" s="1032"/>
      <c r="BM1245" s="1032"/>
      <c r="BN1245" s="1070"/>
      <c r="BO1245" s="1032"/>
      <c r="BP1245" s="1071"/>
      <c r="BQ1245" s="1070"/>
      <c r="BR1245" s="1070"/>
      <c r="BS1245" s="1070"/>
      <c r="BT1245" s="1070"/>
      <c r="BU1245" s="1070"/>
      <c r="BV1245" s="1070"/>
      <c r="BW1245" s="1070"/>
      <c r="BX1245" s="1032"/>
      <c r="BY1245" s="1072"/>
      <c r="BZ1245" s="1072"/>
      <c r="CA1245" s="485"/>
      <c r="CB1245" s="547">
        <v>1243</v>
      </c>
      <c r="CC1245" s="1481" t="b">
        <v>1</v>
      </c>
      <c r="CD1245" s="879" t="str">
        <f>Table15[[#This Row],[Engineering Number]]&amp;Table15[[#This Row],[WO Number]]&amp;Table15[[#This Row],[Date Assigned to Designer]]&amp;Table15[[#This Row],[Date Completed]]</f>
        <v>SC25032-4555045580</v>
      </c>
    </row>
    <row r="1246" spans="1:82" customFormat="1" ht="15" customHeight="1" x14ac:dyDescent="0.25">
      <c r="A1246">
        <v>2025</v>
      </c>
      <c r="B1246" s="8" t="s">
        <v>730</v>
      </c>
      <c r="C1246" s="8" t="s">
        <v>6641</v>
      </c>
      <c r="D1246" s="8" t="s">
        <v>6642</v>
      </c>
      <c r="E1246" s="8" t="s">
        <v>5168</v>
      </c>
      <c r="F1246" s="8" t="s">
        <v>6643</v>
      </c>
      <c r="G1246" s="8" t="s">
        <v>34</v>
      </c>
      <c r="H1246" s="8" t="s">
        <v>59</v>
      </c>
      <c r="I1246" s="642">
        <v>45470</v>
      </c>
      <c r="J1246" s="18">
        <v>45590</v>
      </c>
      <c r="K1246" s="18">
        <v>45582</v>
      </c>
      <c r="L1246" s="16">
        <f>IF(ISTEXT(Table15[[#This Row],[Engineering Approved Design Date]]),Table15[[#This Row],[Date Completed]]-Table15[[#This Row],[Date Assigned to Designer]],Table15[[#This Row],[Engineering Approved Design Date]]-Table15[[#This Row],[Date Completed]])</f>
        <v>8</v>
      </c>
      <c r="M1246" s="642"/>
      <c r="N1246" s="642" t="s">
        <v>120</v>
      </c>
      <c r="O1246" s="1060">
        <v>45620</v>
      </c>
      <c r="P1246" s="1152" t="s">
        <v>120</v>
      </c>
      <c r="Q1246" s="1061">
        <v>12750</v>
      </c>
      <c r="R1246" s="1039" t="s">
        <v>6644</v>
      </c>
      <c r="S1246" s="538" t="s">
        <v>29</v>
      </c>
      <c r="T1246" s="538" t="s">
        <v>29</v>
      </c>
      <c r="U1246" s="87" t="s">
        <v>29</v>
      </c>
      <c r="V1246" s="858">
        <v>287</v>
      </c>
      <c r="W1246" s="437">
        <v>1</v>
      </c>
      <c r="X1246" s="538">
        <v>126962.25</v>
      </c>
      <c r="Y1246" s="551"/>
      <c r="Z1246" s="552">
        <v>35234.239999999998</v>
      </c>
      <c r="AA1246" s="552">
        <f>SUM(Table15[[#This Row],[PCTS Investment Amount]:[PCTS Retirement Amount]])</f>
        <v>162196.49</v>
      </c>
      <c r="AB1246" s="341">
        <v>45587</v>
      </c>
      <c r="AC1246" s="569" t="s">
        <v>811</v>
      </c>
      <c r="AD1246" s="1149" t="s">
        <v>29</v>
      </c>
      <c r="AE1246" s="568" t="s">
        <v>116</v>
      </c>
      <c r="AF1246" s="568" t="s">
        <v>116</v>
      </c>
      <c r="AG1246" s="569" t="s">
        <v>376</v>
      </c>
      <c r="AH1246" s="183" t="s">
        <v>376</v>
      </c>
      <c r="AI1246" s="1109">
        <v>16500</v>
      </c>
      <c r="AJ1246" s="1110" t="s">
        <v>29</v>
      </c>
      <c r="AK1246" s="1110">
        <v>5397</v>
      </c>
      <c r="AL1246" s="1108">
        <f>SUM(Table15[[#This Row],[Nicor Initiated DBE]:[Staffing]])/(Table15[[#This Row],[Amount Invoiced]])</f>
        <v>1.7174117647058824</v>
      </c>
      <c r="AM1246" s="542" t="s">
        <v>709</v>
      </c>
      <c r="AN1246" s="924"/>
      <c r="AO1246" s="925"/>
      <c r="AP1246" s="926"/>
      <c r="AQ1246" s="926"/>
      <c r="AR1246" s="926"/>
      <c r="AS1246" s="926"/>
      <c r="AT1246" s="926"/>
      <c r="AU1246" s="926"/>
      <c r="AV1246" s="926"/>
      <c r="AW1246" s="927"/>
      <c r="AX1246" s="926"/>
      <c r="AY1246" s="1538" t="s">
        <v>29</v>
      </c>
      <c r="AZ1246" s="1530"/>
      <c r="BA1246" s="1139" t="s">
        <v>6645</v>
      </c>
      <c r="BB1246" s="644" t="s">
        <v>6646</v>
      </c>
      <c r="BC1246" s="559" t="s">
        <v>116</v>
      </c>
      <c r="BD1246" s="554" t="s">
        <v>115</v>
      </c>
      <c r="BE1246" s="588" t="s">
        <v>115</v>
      </c>
      <c r="BF1246" s="588" t="s">
        <v>6647</v>
      </c>
      <c r="BG1246" s="548" t="s">
        <v>6648</v>
      </c>
      <c r="BH1246" s="615" t="s">
        <v>6649</v>
      </c>
      <c r="BI1246" s="547" t="s">
        <v>709</v>
      </c>
      <c r="BJ1246" s="547" t="s">
        <v>709</v>
      </c>
      <c r="BK1246" s="547" t="s">
        <v>116</v>
      </c>
      <c r="BL1246" s="547" t="s">
        <v>116</v>
      </c>
      <c r="BM1246" s="547" t="s">
        <v>709</v>
      </c>
      <c r="BN1246" s="547" t="s">
        <v>709</v>
      </c>
      <c r="BO1246" s="547" t="s">
        <v>709</v>
      </c>
      <c r="BP1246" s="626" t="s">
        <v>709</v>
      </c>
      <c r="BQ1246" s="626" t="s">
        <v>709</v>
      </c>
      <c r="BR1246" s="549" t="s">
        <v>709</v>
      </c>
      <c r="BS1246" s="549">
        <v>287</v>
      </c>
      <c r="BT1246" s="547" t="s">
        <v>709</v>
      </c>
      <c r="BU1246" s="547">
        <v>1</v>
      </c>
      <c r="BV1246" s="547" t="s">
        <v>709</v>
      </c>
      <c r="BW1246" s="547" t="s">
        <v>709</v>
      </c>
      <c r="BX1246" s="547">
        <v>1</v>
      </c>
      <c r="BY1246" s="547" t="s">
        <v>709</v>
      </c>
      <c r="BZ1246" s="547" t="s">
        <v>709</v>
      </c>
      <c r="CA1246" s="483"/>
      <c r="CB1246" s="547">
        <v>1244</v>
      </c>
      <c r="CC1246" s="1481" t="b">
        <v>1</v>
      </c>
      <c r="CD1246" s="879" t="str">
        <f>Table15[[#This Row],[Engineering Number]]&amp;Table15[[#This Row],[WO Number]]&amp;Table15[[#This Row],[Date Assigned to Designer]]&amp;Table15[[#This Row],[Date Completed]]</f>
        <v>RS123410140934547045582</v>
      </c>
    </row>
    <row r="1247" spans="1:82" customFormat="1" ht="15" customHeight="1" x14ac:dyDescent="0.25">
      <c r="A1247">
        <v>2025</v>
      </c>
      <c r="B1247" s="8" t="s">
        <v>730</v>
      </c>
      <c r="C1247" s="8" t="s">
        <v>6651</v>
      </c>
      <c r="D1247" s="8" t="s">
        <v>6652</v>
      </c>
      <c r="E1247" s="8" t="s">
        <v>1373</v>
      </c>
      <c r="F1247" s="8" t="s">
        <v>6643</v>
      </c>
      <c r="G1247" s="8" t="s">
        <v>37</v>
      </c>
      <c r="H1247" s="8" t="s">
        <v>59</v>
      </c>
      <c r="I1247" s="642">
        <v>45490</v>
      </c>
      <c r="J1247" s="18">
        <v>45582</v>
      </c>
      <c r="K1247" s="18">
        <v>45582</v>
      </c>
      <c r="L1247" s="16">
        <f>IF(ISTEXT(Table15[[#This Row],[Engineering Approved Design Date]]),Table15[[#This Row],[Date Completed]]-Table15[[#This Row],[Date Assigned to Designer]],Table15[[#This Row],[Engineering Approved Design Date]]-Table15[[#This Row],[Date Completed]])</f>
        <v>0</v>
      </c>
      <c r="M1247" s="642"/>
      <c r="N1247" s="642" t="s">
        <v>120</v>
      </c>
      <c r="O1247" s="1060">
        <v>45620</v>
      </c>
      <c r="P1247" s="1152" t="s">
        <v>120</v>
      </c>
      <c r="Q1247" s="1061">
        <v>12750</v>
      </c>
      <c r="R1247" s="1039" t="s">
        <v>6644</v>
      </c>
      <c r="S1247" s="538" t="s">
        <v>29</v>
      </c>
      <c r="T1247" s="538" t="s">
        <v>29</v>
      </c>
      <c r="U1247" s="87" t="s">
        <v>29</v>
      </c>
      <c r="V1247" s="858">
        <v>3</v>
      </c>
      <c r="W1247" s="437">
        <v>1</v>
      </c>
      <c r="X1247" s="538">
        <v>23024.85</v>
      </c>
      <c r="Y1247" s="551"/>
      <c r="Z1247" s="552">
        <v>0</v>
      </c>
      <c r="AA1247" s="552">
        <f>SUM(Table15[[#This Row],[PCTS Investment Amount]:[PCTS Retirement Amount]])</f>
        <v>23024.85</v>
      </c>
      <c r="AB1247" s="341">
        <v>45586</v>
      </c>
      <c r="AC1247" s="569" t="s">
        <v>709</v>
      </c>
      <c r="AD1247" s="1149" t="s">
        <v>29</v>
      </c>
      <c r="AE1247" s="568" t="s">
        <v>116</v>
      </c>
      <c r="AF1247" s="568" t="s">
        <v>116</v>
      </c>
      <c r="AG1247" s="569" t="s">
        <v>376</v>
      </c>
      <c r="AH1247" s="183" t="s">
        <v>376</v>
      </c>
      <c r="AI1247" s="1109">
        <v>3750</v>
      </c>
      <c r="AJ1247" s="1110" t="s">
        <v>29</v>
      </c>
      <c r="AK1247" s="1110">
        <v>4679.5</v>
      </c>
      <c r="AL1247" s="1108">
        <f>SUM(Table15[[#This Row],[Nicor Initiated DBE]:[Staffing]])/(Table15[[#This Row],[Amount Invoiced]])</f>
        <v>0.66113725490196074</v>
      </c>
      <c r="AM1247" s="542" t="s">
        <v>709</v>
      </c>
      <c r="AN1247" s="924"/>
      <c r="AO1247" s="925"/>
      <c r="AP1247" s="926"/>
      <c r="AQ1247" s="926"/>
      <c r="AR1247" s="926"/>
      <c r="AS1247" s="926"/>
      <c r="AT1247" s="926"/>
      <c r="AU1247" s="926"/>
      <c r="AV1247" s="926"/>
      <c r="AW1247" s="927"/>
      <c r="AX1247" s="926"/>
      <c r="AY1247" s="1538" t="s">
        <v>29</v>
      </c>
      <c r="AZ1247" s="1530"/>
      <c r="BA1247" s="1074" t="s">
        <v>6653</v>
      </c>
      <c r="BB1247" s="644" t="s">
        <v>6654</v>
      </c>
      <c r="BC1247" s="544" t="s">
        <v>115</v>
      </c>
      <c r="BD1247" s="554" t="s">
        <v>1626</v>
      </c>
      <c r="BE1247" s="588" t="s">
        <v>115</v>
      </c>
      <c r="BF1247" s="588" t="s">
        <v>6655</v>
      </c>
      <c r="BG1247" s="588" t="s">
        <v>115</v>
      </c>
      <c r="BH1247" s="615" t="s">
        <v>6656</v>
      </c>
      <c r="BI1247" s="547" t="s">
        <v>709</v>
      </c>
      <c r="BJ1247" s="547" t="s">
        <v>709</v>
      </c>
      <c r="BK1247" s="547" t="s">
        <v>116</v>
      </c>
      <c r="BL1247" s="547" t="s">
        <v>116</v>
      </c>
      <c r="BM1247" s="547" t="s">
        <v>709</v>
      </c>
      <c r="BN1247" s="547" t="s">
        <v>709</v>
      </c>
      <c r="BO1247" s="547" t="s">
        <v>709</v>
      </c>
      <c r="BP1247" s="626" t="s">
        <v>709</v>
      </c>
      <c r="BQ1247" s="626" t="s">
        <v>709</v>
      </c>
      <c r="BR1247" s="549" t="s">
        <v>709</v>
      </c>
      <c r="BS1247" s="549">
        <v>3</v>
      </c>
      <c r="BT1247" s="547" t="s">
        <v>709</v>
      </c>
      <c r="BU1247" s="547" t="s">
        <v>709</v>
      </c>
      <c r="BV1247" s="547" t="s">
        <v>709</v>
      </c>
      <c r="BW1247" s="547" t="s">
        <v>709</v>
      </c>
      <c r="BX1247" s="547" t="s">
        <v>709</v>
      </c>
      <c r="BY1247" s="547" t="s">
        <v>709</v>
      </c>
      <c r="BZ1247" s="547" t="s">
        <v>709</v>
      </c>
      <c r="CA1247" s="483" t="s">
        <v>6657</v>
      </c>
      <c r="CB1247" s="547">
        <v>1245</v>
      </c>
      <c r="CC1247" s="1481" t="b">
        <v>1</v>
      </c>
      <c r="CD1247" s="879" t="str">
        <f>Table15[[#This Row],[Engineering Number]]&amp;Table15[[#This Row],[WO Number]]&amp;Table15[[#This Row],[Date Assigned to Designer]]&amp;Table15[[#This Row],[Date Completed]]</f>
        <v>RS125210141374549045582</v>
      </c>
    </row>
    <row r="1248" spans="1:82" customFormat="1" ht="15" customHeight="1" x14ac:dyDescent="0.25">
      <c r="A1248">
        <v>2024</v>
      </c>
      <c r="B1248" s="8" t="s">
        <v>1205</v>
      </c>
      <c r="C1248" s="8" t="s">
        <v>1552</v>
      </c>
      <c r="D1248" s="8">
        <v>1211933</v>
      </c>
      <c r="E1248" s="8" t="s">
        <v>6659</v>
      </c>
      <c r="F1248" s="8" t="s">
        <v>784</v>
      </c>
      <c r="G1248" s="8" t="s">
        <v>36</v>
      </c>
      <c r="H1248" s="8" t="s">
        <v>4045</v>
      </c>
      <c r="I1248" s="642">
        <v>45583</v>
      </c>
      <c r="J1248" s="18" t="s">
        <v>2958</v>
      </c>
      <c r="K1248" s="97">
        <v>45586</v>
      </c>
      <c r="L1248" s="16">
        <f>IF(ISTEXT(Table15[[#This Row],[Engineering Approved Design Date]]),Table15[[#This Row],[Date Completed]]-Table15[[#This Row],[Date Assigned to Designer]],Table15[[#This Row],[Engineering Approved Design Date]]-Table15[[#This Row],[Date Completed]])</f>
        <v>3</v>
      </c>
      <c r="M1248" s="642" t="s">
        <v>6660</v>
      </c>
      <c r="N1248" s="99" t="s">
        <v>120</v>
      </c>
      <c r="O1248" s="1060">
        <v>45597</v>
      </c>
      <c r="P1248" s="21" t="s">
        <v>120</v>
      </c>
      <c r="Q1248" s="340">
        <f>Table15[[#This Row],[KH Hourly Effort]]</f>
        <v>1605</v>
      </c>
      <c r="R1248" s="1026" t="s">
        <v>1922</v>
      </c>
      <c r="S1248" s="538">
        <v>0</v>
      </c>
      <c r="T1248" s="538">
        <v>0</v>
      </c>
      <c r="U1248" s="28">
        <v>1605</v>
      </c>
      <c r="V1248" s="858" t="s">
        <v>29</v>
      </c>
      <c r="W1248" s="437" t="s">
        <v>29</v>
      </c>
      <c r="X1248" s="538" t="s">
        <v>29</v>
      </c>
      <c r="Y1248" s="551"/>
      <c r="Z1248" s="538" t="s">
        <v>29</v>
      </c>
      <c r="AA1248" s="538" t="s">
        <v>29</v>
      </c>
      <c r="AB1248" s="341" t="s">
        <v>29</v>
      </c>
      <c r="AC1248" s="569" t="s">
        <v>29</v>
      </c>
      <c r="AD1248" s="1149" t="s">
        <v>29</v>
      </c>
      <c r="AE1248" s="568" t="s">
        <v>116</v>
      </c>
      <c r="AF1248" s="569" t="s">
        <v>116</v>
      </c>
      <c r="AG1248" s="569" t="s">
        <v>29</v>
      </c>
      <c r="AH1248" s="183" t="s">
        <v>29</v>
      </c>
      <c r="AI1248" s="1028" t="s">
        <v>29</v>
      </c>
      <c r="AJ1248" s="1029" t="s">
        <v>29</v>
      </c>
      <c r="AK1248" s="1029" t="s">
        <v>29</v>
      </c>
      <c r="AL1248" s="1030" t="s">
        <v>29</v>
      </c>
      <c r="AM1248" s="542" t="s">
        <v>709</v>
      </c>
      <c r="AN1248" s="924"/>
      <c r="AO1248" s="925"/>
      <c r="AP1248" s="926"/>
      <c r="AQ1248" s="926"/>
      <c r="AR1248" s="926"/>
      <c r="AS1248" s="926"/>
      <c r="AT1248" s="926"/>
      <c r="AU1248" s="926"/>
      <c r="AV1248" s="926"/>
      <c r="AW1248" s="927"/>
      <c r="AX1248" s="926"/>
      <c r="AY1248" s="1538" t="s">
        <v>29</v>
      </c>
      <c r="AZ1248" s="1532"/>
      <c r="BA1248" s="1031" t="s">
        <v>6661</v>
      </c>
      <c r="BB1248" s="644" t="s">
        <v>29</v>
      </c>
      <c r="BC1248" s="544" t="s">
        <v>116</v>
      </c>
      <c r="BD1248" s="544" t="s">
        <v>709</v>
      </c>
      <c r="BE1248" s="544" t="s">
        <v>1557</v>
      </c>
      <c r="BF1248" s="544" t="s">
        <v>709</v>
      </c>
      <c r="BG1248" s="1084" t="s">
        <v>709</v>
      </c>
      <c r="BH1248" s="741" t="s">
        <v>6662</v>
      </c>
      <c r="BI1248" s="547" t="s">
        <v>709</v>
      </c>
      <c r="BJ1248" s="547" t="s">
        <v>709</v>
      </c>
      <c r="BK1248" s="547" t="s">
        <v>709</v>
      </c>
      <c r="BL1248" s="547" t="s">
        <v>116</v>
      </c>
      <c r="BM1248" s="547" t="s">
        <v>709</v>
      </c>
      <c r="BN1248" s="547" t="s">
        <v>709</v>
      </c>
      <c r="BO1248" s="547" t="s">
        <v>709</v>
      </c>
      <c r="BP1248" s="547">
        <v>1492</v>
      </c>
      <c r="BQ1248" s="547">
        <v>1374</v>
      </c>
      <c r="BR1248" s="547">
        <v>44</v>
      </c>
      <c r="BS1248" s="547">
        <v>290</v>
      </c>
      <c r="BT1248" s="547" t="s">
        <v>709</v>
      </c>
      <c r="BU1248" s="547" t="s">
        <v>709</v>
      </c>
      <c r="BV1248" s="547" t="s">
        <v>709</v>
      </c>
      <c r="BW1248" s="547" t="s">
        <v>709</v>
      </c>
      <c r="BX1248" s="547" t="s">
        <v>709</v>
      </c>
      <c r="BY1248" s="547" t="s">
        <v>709</v>
      </c>
      <c r="BZ1248" s="547" t="s">
        <v>709</v>
      </c>
      <c r="CA1248" s="483"/>
      <c r="CB1248" s="547">
        <v>1246</v>
      </c>
      <c r="CC1248" s="1481" t="b">
        <v>1</v>
      </c>
      <c r="CD1248" s="879" t="str">
        <f>Table15[[#This Row],[Engineering Number]]&amp;Table15[[#This Row],[WO Number]]&amp;Table15[[#This Row],[Date Assigned to Designer]]&amp;Table15[[#This Row],[Date Completed]]</f>
        <v>MR191312119334558345586</v>
      </c>
    </row>
    <row r="1249" spans="1:82" customFormat="1" ht="15" customHeight="1" x14ac:dyDescent="0.25">
      <c r="A1249">
        <v>2025</v>
      </c>
      <c r="B1249" s="8" t="s">
        <v>4</v>
      </c>
      <c r="C1249" s="8" t="s">
        <v>6664</v>
      </c>
      <c r="D1249" s="8" t="s">
        <v>115</v>
      </c>
      <c r="E1249" s="8" t="s">
        <v>232</v>
      </c>
      <c r="F1249" s="8" t="s">
        <v>1102</v>
      </c>
      <c r="G1249" s="8" t="s">
        <v>6665</v>
      </c>
      <c r="H1249" s="8" t="s">
        <v>1681</v>
      </c>
      <c r="I1249" s="642">
        <v>45531</v>
      </c>
      <c r="J1249" s="18">
        <v>45601</v>
      </c>
      <c r="K1249" s="449">
        <v>45587</v>
      </c>
      <c r="L1249" s="16">
        <f>IF(ISTEXT(Table15[[#This Row],[Engineering Approved Design Date]]),Table15[[#This Row],[Date Completed]]-Table15[[#This Row],[Date Assigned to Designer]],Table15[[#This Row],[Engineering Approved Design Date]]-Table15[[#This Row],[Date Completed]])</f>
        <v>14</v>
      </c>
      <c r="M1249" t="s">
        <v>6666</v>
      </c>
      <c r="N1249" s="99" t="s">
        <v>120</v>
      </c>
      <c r="O1249" s="1060">
        <v>45566</v>
      </c>
      <c r="P1249" s="1152" t="s">
        <v>739</v>
      </c>
      <c r="Q1249" s="340" t="s">
        <v>115</v>
      </c>
      <c r="R1249" s="1026" t="s">
        <v>115</v>
      </c>
      <c r="S1249" s="538" t="s">
        <v>29</v>
      </c>
      <c r="T1249" s="538" t="s">
        <v>29</v>
      </c>
      <c r="U1249" s="28" t="s">
        <v>29</v>
      </c>
      <c r="V1249" s="538" t="s">
        <v>29</v>
      </c>
      <c r="W1249" s="343" t="s">
        <v>29</v>
      </c>
      <c r="X1249" s="538" t="s">
        <v>29</v>
      </c>
      <c r="Y1249" s="538" t="s">
        <v>29</v>
      </c>
      <c r="Z1249" s="538" t="s">
        <v>29</v>
      </c>
      <c r="AA1249" s="538" t="s">
        <v>29</v>
      </c>
      <c r="AB1249" s="341" t="s">
        <v>29</v>
      </c>
      <c r="AC1249" s="569" t="s">
        <v>29</v>
      </c>
      <c r="AD1249" s="1157" t="s">
        <v>29</v>
      </c>
      <c r="AE1249" s="568" t="s">
        <v>116</v>
      </c>
      <c r="AF1249" s="569" t="s">
        <v>29</v>
      </c>
      <c r="AG1249" s="569" t="s">
        <v>29</v>
      </c>
      <c r="AH1249" s="183">
        <v>45609</v>
      </c>
      <c r="AI1249" s="1028" t="s">
        <v>29</v>
      </c>
      <c r="AJ1249" s="1029" t="s">
        <v>29</v>
      </c>
      <c r="AK1249" s="1029" t="s">
        <v>29</v>
      </c>
      <c r="AL1249" s="1030" t="s">
        <v>29</v>
      </c>
      <c r="AM1249" s="542" t="s">
        <v>709</v>
      </c>
      <c r="AN1249" s="924"/>
      <c r="AO1249" s="925"/>
      <c r="AP1249" s="926"/>
      <c r="AQ1249" s="926"/>
      <c r="AR1249" s="926"/>
      <c r="AS1249" s="926"/>
      <c r="AT1249" s="926"/>
      <c r="AU1249" s="926"/>
      <c r="AV1249" s="926"/>
      <c r="AW1249" s="927"/>
      <c r="AX1249" s="926"/>
      <c r="AY1249" s="1538" t="s">
        <v>29</v>
      </c>
      <c r="AZ1249" s="1530"/>
      <c r="BA1249" s="1031" t="s">
        <v>6667</v>
      </c>
      <c r="BB1249" s="644" t="s">
        <v>4986</v>
      </c>
      <c r="BC1249" s="559" t="s">
        <v>709</v>
      </c>
      <c r="BD1249" s="554" t="s">
        <v>709</v>
      </c>
      <c r="BE1249" s="588" t="s">
        <v>595</v>
      </c>
      <c r="BF1249" s="588" t="s">
        <v>709</v>
      </c>
      <c r="BG1249" s="548" t="s">
        <v>6668</v>
      </c>
      <c r="BH1249" s="615" t="s">
        <v>6669</v>
      </c>
      <c r="BI1249" s="1032"/>
      <c r="BJ1249" s="1032"/>
      <c r="BK1249" s="1032"/>
      <c r="BL1249" s="1032"/>
      <c r="BM1249" s="1032"/>
      <c r="BN1249" s="1070"/>
      <c r="BO1249" s="1032"/>
      <c r="BP1249" s="1071"/>
      <c r="BQ1249" s="1070"/>
      <c r="BR1249" s="1070"/>
      <c r="BS1249" s="1070"/>
      <c r="BT1249" s="1070"/>
      <c r="BU1249" s="1072"/>
      <c r="BV1249" s="1072"/>
      <c r="BW1249" s="1072"/>
      <c r="BX1249" s="1072"/>
      <c r="BY1249" s="1072"/>
      <c r="BZ1249" s="1072"/>
      <c r="CA1249" s="485" t="s">
        <v>915</v>
      </c>
      <c r="CB1249" s="547">
        <v>1247</v>
      </c>
      <c r="CC1249" s="1481" t="b">
        <v>1</v>
      </c>
      <c r="CD1249" s="879" t="str">
        <f>Table15[[#This Row],[Engineering Number]]&amp;Table15[[#This Row],[WO Number]]&amp;Table15[[#This Row],[Date Assigned to Designer]]&amp;Table15[[#This Row],[Date Completed]]</f>
        <v>SC24032-4553145587</v>
      </c>
    </row>
    <row r="1250" spans="1:82" customFormat="1" ht="15" customHeight="1" x14ac:dyDescent="0.25">
      <c r="A1250">
        <v>2024</v>
      </c>
      <c r="B1250" s="8" t="s">
        <v>4</v>
      </c>
      <c r="C1250" s="8" t="s">
        <v>6671</v>
      </c>
      <c r="D1250" s="8" t="s">
        <v>6672</v>
      </c>
      <c r="E1250" s="8" t="s">
        <v>1716</v>
      </c>
      <c r="F1250" s="8" t="s">
        <v>784</v>
      </c>
      <c r="G1250" s="8" t="s">
        <v>6673</v>
      </c>
      <c r="H1250" s="8" t="s">
        <v>59</v>
      </c>
      <c r="I1250" s="642">
        <v>45429</v>
      </c>
      <c r="J1250" s="18">
        <v>45590</v>
      </c>
      <c r="K1250" s="97">
        <v>45588</v>
      </c>
      <c r="L1250" s="16">
        <f>IF(ISTEXT(Table15[[#This Row],[Engineering Approved Design Date]]),Table15[[#This Row],[Date Completed]]-Table15[[#This Row],[Date Assigned to Designer]],Table15[[#This Row],[Engineering Approved Design Date]]-Table15[[#This Row],[Date Completed]])</f>
        <v>2</v>
      </c>
      <c r="M1250" s="642"/>
      <c r="N1250" s="99" t="s">
        <v>120</v>
      </c>
      <c r="O1250" s="1060">
        <v>45597</v>
      </c>
      <c r="P1250" s="1152" t="s">
        <v>739</v>
      </c>
      <c r="Q1250" s="340">
        <f>Table15[[#This Row],[Rate]]*Table15[[#This Row],[Construction Cost to Bill From]]</f>
        <v>185710.98</v>
      </c>
      <c r="R1250" s="1026">
        <v>0.1</v>
      </c>
      <c r="S1250" s="538" t="s">
        <v>29</v>
      </c>
      <c r="T1250" s="538" t="s">
        <v>29</v>
      </c>
      <c r="U1250" s="28" t="s">
        <v>29</v>
      </c>
      <c r="V1250" s="858">
        <v>3774</v>
      </c>
      <c r="W1250" s="425">
        <v>0</v>
      </c>
      <c r="X1250" s="538">
        <v>1523622.99</v>
      </c>
      <c r="Y1250" s="551"/>
      <c r="Z1250" s="538">
        <v>333486.81</v>
      </c>
      <c r="AA1250" s="552">
        <f>SUM(Table15[[#This Row],[PCTS Investment Amount]:[PCTS Retirement Amount]])</f>
        <v>1857109.8</v>
      </c>
      <c r="AB1250" s="341">
        <v>45589</v>
      </c>
      <c r="AC1250" s="569" t="s">
        <v>29</v>
      </c>
      <c r="AD1250" s="1157" t="s">
        <v>29</v>
      </c>
      <c r="AE1250" s="568" t="s">
        <v>756</v>
      </c>
      <c r="AF1250" s="568" t="s">
        <v>116</v>
      </c>
      <c r="AG1250" s="569" t="s">
        <v>376</v>
      </c>
      <c r="AH1250" s="183">
        <v>45609</v>
      </c>
      <c r="AI1250" s="1109">
        <v>0</v>
      </c>
      <c r="AJ1250" s="1110">
        <v>9750</v>
      </c>
      <c r="AK1250" s="1131">
        <v>20444.5</v>
      </c>
      <c r="AL1250" s="1108">
        <f>SUM(Table15[[#This Row],[Nicor Initiated DBE]:[Staffing]])/(Table15[[#This Row],[Amount Invoiced]])</f>
        <v>0.16258866330897612</v>
      </c>
      <c r="AM1250" s="1522" t="s">
        <v>116</v>
      </c>
      <c r="AN1250" s="1523">
        <v>45656</v>
      </c>
      <c r="AO1250" s="1524">
        <v>11095845</v>
      </c>
      <c r="AP1250" s="1525">
        <v>1524304.98</v>
      </c>
      <c r="AQ1250" s="1525"/>
      <c r="AR1250" s="1525">
        <v>333486.81</v>
      </c>
      <c r="AS1250" s="1525">
        <f>IF(Table15[[#This Row],[PCTS Approved]]="N",0,Table15[[#This Row],[Investment Amount (1'#'#'#'#'#)]]+Table15[[#This Row],[Retirement Amount (3'#'#'#'#'#)]])</f>
        <v>1857791.79</v>
      </c>
      <c r="AT1250" s="1525">
        <f>IF(Table15[[#This Row],[Approved Construction Cost]]=0,0,Table15[[#This Row],[Approved Construction Cost]]-Table15[[#This Row],[Construction Cost to Bill From]])</f>
        <v>681.98999999999069</v>
      </c>
      <c r="AU1250" s="1525">
        <f>Table15[[#This Row],[Difference in Construction Cost]]*Table15[[#This Row],[Rate]]</f>
        <v>68.198999999999074</v>
      </c>
      <c r="AV1250" s="1525">
        <v>0</v>
      </c>
      <c r="AW1250" s="1526" t="s">
        <v>6674</v>
      </c>
      <c r="AX1250" s="1525">
        <f>Table15[[#This Row],[Reconcile Amount]]</f>
        <v>68.198999999999074</v>
      </c>
      <c r="AY1250" s="1518">
        <v>45901</v>
      </c>
      <c r="AZ1250" s="333"/>
      <c r="BA1250" s="1031" t="s">
        <v>6675</v>
      </c>
      <c r="BB1250" s="644" t="s">
        <v>1718</v>
      </c>
      <c r="BC1250" s="544" t="s">
        <v>115</v>
      </c>
      <c r="BD1250" s="554" t="s">
        <v>882</v>
      </c>
      <c r="BE1250" s="588" t="s">
        <v>1719</v>
      </c>
      <c r="BF1250" s="588" t="s">
        <v>115</v>
      </c>
      <c r="BG1250" s="588" t="s">
        <v>115</v>
      </c>
      <c r="BH1250" s="615" t="s">
        <v>6676</v>
      </c>
      <c r="BI1250" s="626" t="s">
        <v>709</v>
      </c>
      <c r="BJ1250" s="626" t="s">
        <v>709</v>
      </c>
      <c r="BK1250" s="626" t="s">
        <v>709</v>
      </c>
      <c r="BL1250" s="626" t="s">
        <v>116</v>
      </c>
      <c r="BM1250" s="626" t="s">
        <v>709</v>
      </c>
      <c r="BN1250" s="626" t="s">
        <v>709</v>
      </c>
      <c r="BO1250" s="626" t="s">
        <v>709</v>
      </c>
      <c r="BP1250" s="626" t="s">
        <v>709</v>
      </c>
      <c r="BQ1250" s="626" t="s">
        <v>709</v>
      </c>
      <c r="BR1250" s="626">
        <v>2810</v>
      </c>
      <c r="BS1250" s="626">
        <v>964</v>
      </c>
      <c r="BT1250" s="626" t="s">
        <v>709</v>
      </c>
      <c r="BU1250" s="626" t="s">
        <v>709</v>
      </c>
      <c r="BV1250" s="626" t="s">
        <v>709</v>
      </c>
      <c r="BW1250" s="626" t="s">
        <v>709</v>
      </c>
      <c r="BX1250" s="626" t="s">
        <v>709</v>
      </c>
      <c r="BY1250" s="626" t="s">
        <v>709</v>
      </c>
      <c r="BZ1250" s="547" t="s">
        <v>709</v>
      </c>
      <c r="CA1250" s="483"/>
      <c r="CB1250" s="547">
        <v>1248</v>
      </c>
      <c r="CC1250" s="1481" t="b">
        <v>1</v>
      </c>
      <c r="CD1250" s="879" t="str">
        <f>Table15[[#This Row],[Engineering Number]]&amp;Table15[[#This Row],[WO Number]]&amp;Table15[[#This Row],[Date Assigned to Designer]]&amp;Table15[[#This Row],[Date Completed]]</f>
        <v>N1864012142344542945588</v>
      </c>
    </row>
    <row r="1251" spans="1:82" customFormat="1" ht="15" customHeight="1" x14ac:dyDescent="0.25">
      <c r="A1251">
        <v>2025</v>
      </c>
      <c r="B1251" s="8" t="s">
        <v>730</v>
      </c>
      <c r="C1251" s="8" t="s">
        <v>6682</v>
      </c>
      <c r="D1251" s="8" t="s">
        <v>6683</v>
      </c>
      <c r="E1251" s="8" t="s">
        <v>245</v>
      </c>
      <c r="F1251" s="8" t="s">
        <v>6643</v>
      </c>
      <c r="G1251" s="8" t="s">
        <v>34</v>
      </c>
      <c r="H1251" s="8" t="s">
        <v>59</v>
      </c>
      <c r="I1251" s="642">
        <v>45470</v>
      </c>
      <c r="J1251" s="18">
        <v>45590</v>
      </c>
      <c r="K1251" s="18">
        <v>45589</v>
      </c>
      <c r="L1251" s="16">
        <f>IF(ISTEXT(Table15[[#This Row],[Engineering Approved Design Date]]),Table15[[#This Row],[Date Completed]]-Table15[[#This Row],[Date Assigned to Designer]],Table15[[#This Row],[Engineering Approved Design Date]]-Table15[[#This Row],[Date Completed]])</f>
        <v>1</v>
      </c>
      <c r="M1251" s="642"/>
      <c r="N1251" s="642" t="s">
        <v>120</v>
      </c>
      <c r="O1251" s="1060">
        <v>45620</v>
      </c>
      <c r="P1251" s="1152" t="s">
        <v>120</v>
      </c>
      <c r="Q1251" s="1061">
        <v>12750</v>
      </c>
      <c r="R1251" s="1039" t="s">
        <v>6644</v>
      </c>
      <c r="S1251" s="1135" t="s">
        <v>29</v>
      </c>
      <c r="T1251" s="538" t="s">
        <v>29</v>
      </c>
      <c r="U1251" s="87" t="s">
        <v>29</v>
      </c>
      <c r="V1251" s="858">
        <v>104</v>
      </c>
      <c r="W1251" s="437">
        <v>2</v>
      </c>
      <c r="X1251" s="538">
        <v>152286.35</v>
      </c>
      <c r="Y1251" s="551"/>
      <c r="Z1251" s="552">
        <v>57855.93</v>
      </c>
      <c r="AA1251" s="552">
        <f>SUM(Table15[[#This Row],[PCTS Investment Amount]:[PCTS Retirement Amount]])</f>
        <v>210142.28</v>
      </c>
      <c r="AB1251" s="341">
        <v>45590</v>
      </c>
      <c r="AC1251" s="569" t="s">
        <v>811</v>
      </c>
      <c r="AD1251" s="1149" t="s">
        <v>29</v>
      </c>
      <c r="AE1251" s="568" t="s">
        <v>116</v>
      </c>
      <c r="AF1251" s="568" t="s">
        <v>116</v>
      </c>
      <c r="AG1251" s="569" t="s">
        <v>376</v>
      </c>
      <c r="AH1251" s="183" t="s">
        <v>376</v>
      </c>
      <c r="AI1251" s="1109">
        <v>9500</v>
      </c>
      <c r="AJ1251" s="1110" t="s">
        <v>29</v>
      </c>
      <c r="AK1251" s="1110">
        <v>4722</v>
      </c>
      <c r="AL1251" s="1108">
        <f>SUM(Table15[[#This Row],[Nicor Initiated DBE]:[Staffing]])/(Table15[[#This Row],[Amount Invoiced]])</f>
        <v>1.1154509803921568</v>
      </c>
      <c r="AM1251" s="542" t="s">
        <v>709</v>
      </c>
      <c r="AN1251" s="924"/>
      <c r="AO1251" s="925"/>
      <c r="AP1251" s="926"/>
      <c r="AQ1251" s="926"/>
      <c r="AR1251" s="926"/>
      <c r="AS1251" s="926"/>
      <c r="AT1251" s="926"/>
      <c r="AU1251" s="926"/>
      <c r="AV1251" s="926"/>
      <c r="AW1251" s="927"/>
      <c r="AX1251" s="926"/>
      <c r="AY1251" s="1538" t="s">
        <v>29</v>
      </c>
      <c r="AZ1251" s="1530"/>
      <c r="BA1251" s="1074" t="s">
        <v>6684</v>
      </c>
      <c r="BB1251" s="644" t="s">
        <v>6685</v>
      </c>
      <c r="BC1251" s="559" t="s">
        <v>116</v>
      </c>
      <c r="BD1251" s="554" t="s">
        <v>115</v>
      </c>
      <c r="BE1251" s="588" t="s">
        <v>115</v>
      </c>
      <c r="BF1251" s="588" t="s">
        <v>1028</v>
      </c>
      <c r="BG1251" s="588" t="s">
        <v>115</v>
      </c>
      <c r="BH1251" s="615" t="s">
        <v>6686</v>
      </c>
      <c r="BI1251" s="547" t="s">
        <v>709</v>
      </c>
      <c r="BJ1251" s="547" t="s">
        <v>709</v>
      </c>
      <c r="BK1251" s="547" t="s">
        <v>116</v>
      </c>
      <c r="BL1251" s="547" t="s">
        <v>116</v>
      </c>
      <c r="BM1251" s="547" t="s">
        <v>709</v>
      </c>
      <c r="BN1251" s="547" t="s">
        <v>709</v>
      </c>
      <c r="BO1251" s="547" t="s">
        <v>709</v>
      </c>
      <c r="BP1251" s="626" t="s">
        <v>709</v>
      </c>
      <c r="BQ1251" s="626" t="s">
        <v>709</v>
      </c>
      <c r="BR1251" s="549">
        <v>46</v>
      </c>
      <c r="BS1251" s="549">
        <v>58</v>
      </c>
      <c r="BT1251" s="547" t="s">
        <v>709</v>
      </c>
      <c r="BU1251" s="547">
        <v>1</v>
      </c>
      <c r="BV1251" s="547" t="s">
        <v>709</v>
      </c>
      <c r="BW1251" s="547" t="s">
        <v>709</v>
      </c>
      <c r="BX1251" s="547">
        <v>1</v>
      </c>
      <c r="BY1251" s="547" t="s">
        <v>709</v>
      </c>
      <c r="BZ1251" s="547" t="s">
        <v>709</v>
      </c>
      <c r="CA1251" s="483"/>
      <c r="CB1251" s="547">
        <v>1250</v>
      </c>
      <c r="CC1251" s="1481" t="b">
        <v>1</v>
      </c>
      <c r="CD1251" s="879" t="str">
        <f>Table15[[#This Row],[Engineering Number]]&amp;Table15[[#This Row],[WO Number]]&amp;Table15[[#This Row],[Date Assigned to Designer]]&amp;Table15[[#This Row],[Date Completed]]</f>
        <v>RS123710140944547045589</v>
      </c>
    </row>
    <row r="1252" spans="1:82" customFormat="1" ht="15" customHeight="1" x14ac:dyDescent="0.25">
      <c r="A1252">
        <v>2024</v>
      </c>
      <c r="B1252" s="8" t="s">
        <v>4</v>
      </c>
      <c r="C1252" s="8" t="s">
        <v>6193</v>
      </c>
      <c r="D1252" s="8">
        <v>1213489</v>
      </c>
      <c r="E1252" s="8" t="s">
        <v>1716</v>
      </c>
      <c r="F1252" s="8" t="s">
        <v>784</v>
      </c>
      <c r="G1252" s="8" t="s">
        <v>26</v>
      </c>
      <c r="H1252" s="8" t="s">
        <v>4462</v>
      </c>
      <c r="I1252" s="642">
        <v>45574</v>
      </c>
      <c r="J1252" s="175" t="s">
        <v>2052</v>
      </c>
      <c r="K1252" s="97">
        <v>45589</v>
      </c>
      <c r="L1252" s="16">
        <f>IF(ISTEXT(Table15[[#This Row],[Engineering Approved Design Date]]),Table15[[#This Row],[Date Completed]]-Table15[[#This Row],[Date Assigned to Designer]],Table15[[#This Row],[Engineering Approved Design Date]]-Table15[[#This Row],[Date Completed]])</f>
        <v>15</v>
      </c>
      <c r="M1252" s="755" t="s">
        <v>6678</v>
      </c>
      <c r="N1252" s="99" t="s">
        <v>120</v>
      </c>
      <c r="O1252" s="1060">
        <v>45566</v>
      </c>
      <c r="P1252" s="1152" t="s">
        <v>739</v>
      </c>
      <c r="Q1252" s="340" t="s">
        <v>115</v>
      </c>
      <c r="R1252" s="1026" t="s">
        <v>115</v>
      </c>
      <c r="S1252" s="538" t="s">
        <v>29</v>
      </c>
      <c r="T1252" s="538" t="s">
        <v>29</v>
      </c>
      <c r="U1252" s="28" t="s">
        <v>29</v>
      </c>
      <c r="V1252" s="538" t="s">
        <v>29</v>
      </c>
      <c r="W1252" s="343" t="s">
        <v>29</v>
      </c>
      <c r="X1252" s="538" t="s">
        <v>29</v>
      </c>
      <c r="Y1252" s="538"/>
      <c r="Z1252" s="538" t="s">
        <v>29</v>
      </c>
      <c r="AA1252" s="538" t="s">
        <v>29</v>
      </c>
      <c r="AB1252" s="341" t="s">
        <v>29</v>
      </c>
      <c r="AC1252" s="569" t="s">
        <v>29</v>
      </c>
      <c r="AD1252" s="1149" t="s">
        <v>116</v>
      </c>
      <c r="AE1252" s="568" t="s">
        <v>116</v>
      </c>
      <c r="AF1252" s="569" t="s">
        <v>116</v>
      </c>
      <c r="AG1252" s="569" t="s">
        <v>29</v>
      </c>
      <c r="AH1252" s="183">
        <v>45609</v>
      </c>
      <c r="AI1252" s="1028" t="s">
        <v>29</v>
      </c>
      <c r="AJ1252" s="1029" t="s">
        <v>29</v>
      </c>
      <c r="AK1252" s="1029" t="s">
        <v>29</v>
      </c>
      <c r="AL1252" s="1030" t="s">
        <v>29</v>
      </c>
      <c r="AM1252" s="542" t="s">
        <v>709</v>
      </c>
      <c r="AN1252" s="924"/>
      <c r="AO1252" s="925"/>
      <c r="AP1252" s="926"/>
      <c r="AQ1252" s="926"/>
      <c r="AR1252" s="926"/>
      <c r="AS1252" s="926"/>
      <c r="AT1252" s="926"/>
      <c r="AU1252" s="926"/>
      <c r="AV1252" s="926"/>
      <c r="AW1252" s="927"/>
      <c r="AX1252" s="926"/>
      <c r="AY1252" s="1538" t="s">
        <v>29</v>
      </c>
      <c r="AZ1252" s="1530"/>
      <c r="BA1252" s="1031">
        <v>3</v>
      </c>
      <c r="BB1252" s="1148" t="s">
        <v>6679</v>
      </c>
      <c r="BC1252" s="559" t="s">
        <v>709</v>
      </c>
      <c r="BD1252" s="554" t="s">
        <v>882</v>
      </c>
      <c r="BE1252" s="588" t="s">
        <v>1719</v>
      </c>
      <c r="BF1252" s="588" t="s">
        <v>709</v>
      </c>
      <c r="BG1252" s="548" t="s">
        <v>709</v>
      </c>
      <c r="BH1252" s="615" t="s">
        <v>6680</v>
      </c>
      <c r="BI1252" s="1032"/>
      <c r="BJ1252" s="1032"/>
      <c r="BK1252" s="1032"/>
      <c r="BL1252" s="1032"/>
      <c r="BM1252" s="1032"/>
      <c r="BN1252" s="1032"/>
      <c r="BO1252" s="1032"/>
      <c r="BP1252" s="1032"/>
      <c r="BQ1252" s="1032"/>
      <c r="BR1252" s="1032"/>
      <c r="BS1252" s="1032"/>
      <c r="BT1252" s="1032"/>
      <c r="BU1252" s="1032"/>
      <c r="BV1252" s="1032"/>
      <c r="BW1252" s="1032"/>
      <c r="BX1252" s="1032"/>
      <c r="BY1252" s="1032"/>
      <c r="BZ1252" s="1032"/>
      <c r="CA1252" s="485"/>
      <c r="CB1252" s="547">
        <v>1249</v>
      </c>
      <c r="CC1252" s="1481" t="b">
        <v>1</v>
      </c>
      <c r="CD1252" s="879" t="str">
        <f>Table15[[#This Row],[Engineering Number]]&amp;Table15[[#This Row],[WO Number]]&amp;Table15[[#This Row],[Date Assigned to Designer]]&amp;Table15[[#This Row],[Date Completed]]</f>
        <v>N1805612134894557445589</v>
      </c>
    </row>
    <row r="1253" spans="1:82" customFormat="1" ht="15" customHeight="1" x14ac:dyDescent="0.25">
      <c r="A1253">
        <v>2025</v>
      </c>
      <c r="B1253" s="8" t="s">
        <v>730</v>
      </c>
      <c r="C1253" s="8" t="s">
        <v>6691</v>
      </c>
      <c r="D1253" s="8" t="s">
        <v>6692</v>
      </c>
      <c r="E1253" s="8" t="s">
        <v>6693</v>
      </c>
      <c r="F1253" s="8" t="s">
        <v>6643</v>
      </c>
      <c r="G1253" s="8" t="s">
        <v>34</v>
      </c>
      <c r="H1253" s="8" t="s">
        <v>59</v>
      </c>
      <c r="I1253" s="642">
        <v>45483</v>
      </c>
      <c r="J1253" s="18">
        <v>45590</v>
      </c>
      <c r="K1253" s="18">
        <v>45590</v>
      </c>
      <c r="L1253" s="16">
        <f>IF(ISTEXT(Table15[[#This Row],[Engineering Approved Design Date]]),Table15[[#This Row],[Date Completed]]-Table15[[#This Row],[Date Assigned to Designer]],Table15[[#This Row],[Engineering Approved Design Date]]-Table15[[#This Row],[Date Completed]])</f>
        <v>0</v>
      </c>
      <c r="M1253" s="642"/>
      <c r="N1253" s="642" t="s">
        <v>120</v>
      </c>
      <c r="O1253" s="1060">
        <v>45620</v>
      </c>
      <c r="P1253" s="1152" t="s">
        <v>120</v>
      </c>
      <c r="Q1253" s="1061">
        <v>12750</v>
      </c>
      <c r="R1253" s="1039" t="s">
        <v>6644</v>
      </c>
      <c r="S1253" s="538" t="s">
        <v>29</v>
      </c>
      <c r="T1253" s="538" t="s">
        <v>29</v>
      </c>
      <c r="U1253" s="87" t="s">
        <v>29</v>
      </c>
      <c r="V1253" s="858">
        <v>85</v>
      </c>
      <c r="W1253" s="437">
        <v>2</v>
      </c>
      <c r="X1253" s="538">
        <v>114033.02</v>
      </c>
      <c r="Y1253" s="551"/>
      <c r="Z1253" s="552">
        <v>51879.57</v>
      </c>
      <c r="AA1253" s="552">
        <f>SUM(Table15[[#This Row],[PCTS Investment Amount]:[PCTS Retirement Amount]])</f>
        <v>165912.59</v>
      </c>
      <c r="AB1253" s="341">
        <v>45593</v>
      </c>
      <c r="AC1253" s="569" t="s">
        <v>1056</v>
      </c>
      <c r="AD1253" s="1149" t="s">
        <v>29</v>
      </c>
      <c r="AE1253" s="568" t="s">
        <v>116</v>
      </c>
      <c r="AF1253" s="568" t="s">
        <v>29</v>
      </c>
      <c r="AG1253" s="569" t="s">
        <v>376</v>
      </c>
      <c r="AH1253" s="183" t="s">
        <v>376</v>
      </c>
      <c r="AI1253" s="1109">
        <v>8740</v>
      </c>
      <c r="AJ1253" s="1110" t="s">
        <v>29</v>
      </c>
      <c r="AK1253" s="1110">
        <v>5573.25</v>
      </c>
      <c r="AL1253" s="1108">
        <f>SUM(Table15[[#This Row],[Nicor Initiated DBE]:[Staffing]])/(Table15[[#This Row],[Amount Invoiced]])</f>
        <v>1.1226078431372548</v>
      </c>
      <c r="AM1253" s="542" t="s">
        <v>709</v>
      </c>
      <c r="AN1253" s="924"/>
      <c r="AO1253" s="925"/>
      <c r="AP1253" s="926"/>
      <c r="AQ1253" s="926"/>
      <c r="AR1253" s="926"/>
      <c r="AS1253" s="926"/>
      <c r="AT1253" s="926"/>
      <c r="AU1253" s="926"/>
      <c r="AV1253" s="926"/>
      <c r="AW1253" s="927"/>
      <c r="AX1253" s="926"/>
      <c r="AY1253" s="1538" t="s">
        <v>29</v>
      </c>
      <c r="AZ1253" s="1530"/>
      <c r="BA1253" s="1074" t="s">
        <v>6694</v>
      </c>
      <c r="BB1253" s="644"/>
      <c r="BC1253" s="544" t="s">
        <v>115</v>
      </c>
      <c r="BD1253" s="554" t="s">
        <v>1167</v>
      </c>
      <c r="BE1253" s="588" t="s">
        <v>115</v>
      </c>
      <c r="BF1253" s="588" t="s">
        <v>6695</v>
      </c>
      <c r="BG1253" s="588" t="s">
        <v>115</v>
      </c>
      <c r="BH1253" s="615" t="s">
        <v>6696</v>
      </c>
      <c r="BI1253" s="547" t="s">
        <v>709</v>
      </c>
      <c r="BJ1253" s="547" t="s">
        <v>709</v>
      </c>
      <c r="BK1253" s="547" t="s">
        <v>116</v>
      </c>
      <c r="BL1253" s="547" t="s">
        <v>116</v>
      </c>
      <c r="BM1253" s="547" t="s">
        <v>709</v>
      </c>
      <c r="BN1253" s="547" t="s">
        <v>709</v>
      </c>
      <c r="BO1253" s="547" t="s">
        <v>709</v>
      </c>
      <c r="BP1253" s="626" t="s">
        <v>709</v>
      </c>
      <c r="BQ1253" s="626" t="s">
        <v>709</v>
      </c>
      <c r="BR1253" s="549">
        <v>20</v>
      </c>
      <c r="BS1253" s="549">
        <v>65</v>
      </c>
      <c r="BT1253" s="547" t="s">
        <v>709</v>
      </c>
      <c r="BU1253" s="547">
        <v>1</v>
      </c>
      <c r="BV1253" s="547" t="s">
        <v>709</v>
      </c>
      <c r="BW1253" s="547" t="s">
        <v>709</v>
      </c>
      <c r="BX1253" s="547">
        <v>1</v>
      </c>
      <c r="BY1253" s="547" t="s">
        <v>709</v>
      </c>
      <c r="BZ1253" s="547" t="s">
        <v>709</v>
      </c>
      <c r="CA1253" s="483"/>
      <c r="CB1253" s="547">
        <v>1252</v>
      </c>
      <c r="CC1253" s="1481" t="b">
        <v>1</v>
      </c>
      <c r="CD1253" s="879" t="str">
        <f>Table15[[#This Row],[Engineering Number]]&amp;Table15[[#This Row],[WO Number]]&amp;Table15[[#This Row],[Date Assigned to Designer]]&amp;Table15[[#This Row],[Date Completed]]</f>
        <v>RS124410141104548345590</v>
      </c>
    </row>
    <row r="1254" spans="1:82" customFormat="1" ht="15" customHeight="1" x14ac:dyDescent="0.25">
      <c r="A1254">
        <v>2024</v>
      </c>
      <c r="B1254" s="8" t="s">
        <v>771</v>
      </c>
      <c r="C1254" s="8" t="s">
        <v>447</v>
      </c>
      <c r="D1254" s="8">
        <v>1212254</v>
      </c>
      <c r="E1254" s="8" t="s">
        <v>327</v>
      </c>
      <c r="F1254" s="8" t="s">
        <v>784</v>
      </c>
      <c r="G1254" s="8" t="s">
        <v>36</v>
      </c>
      <c r="H1254" s="8" t="s">
        <v>4450</v>
      </c>
      <c r="I1254" s="642">
        <v>45586</v>
      </c>
      <c r="J1254" s="175" t="s">
        <v>2612</v>
      </c>
      <c r="K1254" s="97">
        <v>45590</v>
      </c>
      <c r="L1254" s="16">
        <f>IF(ISTEXT(Table15[[#This Row],[Engineering Approved Design Date]]),Table15[[#This Row],[Date Completed]]-Table15[[#This Row],[Date Assigned to Designer]],Table15[[#This Row],[Engineering Approved Design Date]]-Table15[[#This Row],[Date Completed]])</f>
        <v>4</v>
      </c>
      <c r="M1254" t="s">
        <v>6688</v>
      </c>
      <c r="N1254" s="642" t="s">
        <v>120</v>
      </c>
      <c r="O1254" s="1060">
        <v>45597</v>
      </c>
      <c r="P1254" s="1152" t="s">
        <v>120</v>
      </c>
      <c r="Q1254" s="1061">
        <f>Table15[[#This Row],[KH Hourly Effort]]</f>
        <v>3000</v>
      </c>
      <c r="R1254" s="1039" t="s">
        <v>1922</v>
      </c>
      <c r="S1254" s="538">
        <v>0</v>
      </c>
      <c r="T1254" s="538">
        <v>0</v>
      </c>
      <c r="U1254" s="87">
        <v>3000</v>
      </c>
      <c r="V1254" s="858" t="s">
        <v>29</v>
      </c>
      <c r="W1254" s="437" t="s">
        <v>29</v>
      </c>
      <c r="X1254" s="538" t="s">
        <v>29</v>
      </c>
      <c r="Y1254" s="551"/>
      <c r="Z1254" s="538" t="s">
        <v>29</v>
      </c>
      <c r="AA1254" s="552" t="s">
        <v>29</v>
      </c>
      <c r="AB1254" s="341" t="s">
        <v>29</v>
      </c>
      <c r="AC1254" s="569" t="s">
        <v>29</v>
      </c>
      <c r="AD1254" s="1149" t="s">
        <v>29</v>
      </c>
      <c r="AE1254" s="569" t="s">
        <v>29</v>
      </c>
      <c r="AF1254" s="569" t="s">
        <v>29</v>
      </c>
      <c r="AG1254" s="569" t="s">
        <v>29</v>
      </c>
      <c r="AH1254" s="183" t="s">
        <v>29</v>
      </c>
      <c r="AI1254" s="1028" t="s">
        <v>29</v>
      </c>
      <c r="AJ1254" s="1029" t="s">
        <v>29</v>
      </c>
      <c r="AK1254" s="1029" t="s">
        <v>29</v>
      </c>
      <c r="AL1254" s="1030" t="s">
        <v>29</v>
      </c>
      <c r="AM1254" s="542" t="s">
        <v>709</v>
      </c>
      <c r="AN1254" s="924"/>
      <c r="AO1254" s="925"/>
      <c r="AP1254" s="926"/>
      <c r="AQ1254" s="926"/>
      <c r="AR1254" s="926"/>
      <c r="AS1254" s="926"/>
      <c r="AT1254" s="926"/>
      <c r="AU1254" s="926"/>
      <c r="AV1254" s="926"/>
      <c r="AW1254" s="927"/>
      <c r="AX1254" s="926"/>
      <c r="AY1254" s="1538" t="s">
        <v>29</v>
      </c>
      <c r="AZ1254" s="1530"/>
      <c r="BA1254" s="1031" t="s">
        <v>29</v>
      </c>
      <c r="BB1254" s="644" t="s">
        <v>29</v>
      </c>
      <c r="BC1254" s="544" t="s">
        <v>29</v>
      </c>
      <c r="BD1254" s="544" t="s">
        <v>29</v>
      </c>
      <c r="BE1254" s="544" t="s">
        <v>29</v>
      </c>
      <c r="BF1254" s="544" t="s">
        <v>29</v>
      </c>
      <c r="BG1254" s="544" t="s">
        <v>29</v>
      </c>
      <c r="BH1254" s="615" t="s">
        <v>6689</v>
      </c>
      <c r="BI1254" s="1032"/>
      <c r="BJ1254" s="1032"/>
      <c r="BK1254" s="1032"/>
      <c r="BL1254" s="1032"/>
      <c r="BM1254" s="1032"/>
      <c r="BN1254" s="1032"/>
      <c r="BO1254" s="1032"/>
      <c r="BP1254" s="1032"/>
      <c r="BQ1254" s="1032"/>
      <c r="BR1254" s="1032"/>
      <c r="BS1254" s="1032"/>
      <c r="BT1254" s="1032"/>
      <c r="BU1254" s="1032"/>
      <c r="BV1254" s="1032"/>
      <c r="BW1254" s="1032"/>
      <c r="BX1254" s="1032"/>
      <c r="BY1254" s="1032"/>
      <c r="BZ1254" s="1032"/>
      <c r="CA1254" s="485"/>
      <c r="CB1254" s="547">
        <v>1251</v>
      </c>
      <c r="CC1254" s="1481" t="b">
        <v>1</v>
      </c>
      <c r="CD1254" s="879" t="str">
        <f>Table15[[#This Row],[Engineering Number]]&amp;Table15[[#This Row],[WO Number]]&amp;Table15[[#This Row],[Date Assigned to Designer]]&amp;Table15[[#This Row],[Date Completed]]</f>
        <v>BS11112122544558645590</v>
      </c>
    </row>
    <row r="1255" spans="1:82" customFormat="1" ht="15" customHeight="1" x14ac:dyDescent="0.25">
      <c r="A1255">
        <v>2024</v>
      </c>
      <c r="B1255" s="8" t="s">
        <v>4</v>
      </c>
      <c r="C1255" s="8" t="s">
        <v>6615</v>
      </c>
      <c r="D1255" s="8">
        <v>1214113</v>
      </c>
      <c r="E1255" s="8" t="s">
        <v>6617</v>
      </c>
      <c r="F1255" s="8" t="s">
        <v>784</v>
      </c>
      <c r="G1255" s="8" t="s">
        <v>32</v>
      </c>
      <c r="H1255" s="8" t="s">
        <v>4189</v>
      </c>
      <c r="I1255" s="642">
        <v>45574</v>
      </c>
      <c r="J1255" s="175" t="s">
        <v>2052</v>
      </c>
      <c r="K1255" s="97">
        <v>45593</v>
      </c>
      <c r="L1255" s="16">
        <f>IF(ISTEXT(Table15[[#This Row],[Engineering Approved Design Date]]),Table15[[#This Row],[Date Completed]]-Table15[[#This Row],[Date Assigned to Designer]],Table15[[#This Row],[Engineering Approved Design Date]]-Table15[[#This Row],[Date Completed]])</f>
        <v>19</v>
      </c>
      <c r="M1255" s="642" t="s">
        <v>6698</v>
      </c>
      <c r="N1255" s="642" t="s">
        <v>120</v>
      </c>
      <c r="O1255" s="1060">
        <v>45597</v>
      </c>
      <c r="P1255" s="1152" t="s">
        <v>739</v>
      </c>
      <c r="Q1255" s="1061">
        <f>SUM(Table15[[#This Row],[Shactee Effort]:[KH Hourly Effort]])</f>
        <v>5222.5</v>
      </c>
      <c r="R1255" s="1039" t="s">
        <v>1922</v>
      </c>
      <c r="S1255" s="538">
        <v>0</v>
      </c>
      <c r="T1255" s="538">
        <v>0</v>
      </c>
      <c r="U1255" s="28">
        <v>5222.5</v>
      </c>
      <c r="V1255" s="538" t="s">
        <v>29</v>
      </c>
      <c r="W1255" s="343" t="s">
        <v>29</v>
      </c>
      <c r="X1255" s="538" t="s">
        <v>29</v>
      </c>
      <c r="Y1255" s="538"/>
      <c r="Z1255" s="538" t="s">
        <v>29</v>
      </c>
      <c r="AA1255" s="538" t="s">
        <v>29</v>
      </c>
      <c r="AB1255" s="341" t="s">
        <v>29</v>
      </c>
      <c r="AC1255" s="569" t="s">
        <v>29</v>
      </c>
      <c r="AD1255" s="1149" t="s">
        <v>116</v>
      </c>
      <c r="AE1255" s="568" t="s">
        <v>709</v>
      </c>
      <c r="AF1255" s="569" t="s">
        <v>756</v>
      </c>
      <c r="AG1255" s="569" t="s">
        <v>29</v>
      </c>
      <c r="AH1255" s="536">
        <v>45609</v>
      </c>
      <c r="AI1255" s="1028" t="s">
        <v>29</v>
      </c>
      <c r="AJ1255" s="1029" t="s">
        <v>29</v>
      </c>
      <c r="AK1255" s="1029" t="s">
        <v>29</v>
      </c>
      <c r="AL1255" s="1030" t="s">
        <v>29</v>
      </c>
      <c r="AM1255" s="542" t="s">
        <v>709</v>
      </c>
      <c r="AN1255" s="924"/>
      <c r="AO1255" s="925"/>
      <c r="AP1255" s="926"/>
      <c r="AQ1255" s="926"/>
      <c r="AR1255" s="926"/>
      <c r="AS1255" s="926"/>
      <c r="AT1255" s="926"/>
      <c r="AU1255" s="926"/>
      <c r="AV1255" s="926"/>
      <c r="AW1255" s="927"/>
      <c r="AX1255" s="926"/>
      <c r="AY1255" s="1538" t="s">
        <v>29</v>
      </c>
      <c r="AZ1255" s="1530"/>
      <c r="BA1255" s="1031">
        <v>2</v>
      </c>
      <c r="BB1255" s="1137" t="s">
        <v>6699</v>
      </c>
      <c r="BC1255" s="544" t="s">
        <v>116</v>
      </c>
      <c r="BD1255" s="544" t="s">
        <v>882</v>
      </c>
      <c r="BE1255" s="544" t="s">
        <v>709</v>
      </c>
      <c r="BF1255" s="544" t="s">
        <v>709</v>
      </c>
      <c r="BG1255" s="548" t="s">
        <v>709</v>
      </c>
      <c r="BH1255" s="615" t="s">
        <v>6700</v>
      </c>
      <c r="BI1255" s="547" t="s">
        <v>709</v>
      </c>
      <c r="BJ1255" s="547" t="s">
        <v>709</v>
      </c>
      <c r="BK1255" s="547" t="s">
        <v>709</v>
      </c>
      <c r="BL1255" s="547" t="s">
        <v>116</v>
      </c>
      <c r="BM1255" s="547">
        <v>0</v>
      </c>
      <c r="BN1255" s="547">
        <v>0</v>
      </c>
      <c r="BO1255" s="547">
        <v>0</v>
      </c>
      <c r="BP1255" s="547">
        <v>0</v>
      </c>
      <c r="BQ1255" s="547">
        <v>0</v>
      </c>
      <c r="BR1255" s="547">
        <v>449</v>
      </c>
      <c r="BS1255" s="547">
        <v>0</v>
      </c>
      <c r="BT1255" s="547">
        <v>0</v>
      </c>
      <c r="BU1255" s="547">
        <v>0</v>
      </c>
      <c r="BV1255" s="547">
        <v>0</v>
      </c>
      <c r="BW1255" s="549">
        <v>0</v>
      </c>
      <c r="BX1255" s="547">
        <v>0</v>
      </c>
      <c r="BY1255" s="549">
        <v>0</v>
      </c>
      <c r="BZ1255" s="547" t="s">
        <v>709</v>
      </c>
      <c r="CA1255" s="483"/>
      <c r="CB1255" s="547">
        <v>1253</v>
      </c>
      <c r="CC1255" s="1481" t="b">
        <v>1</v>
      </c>
      <c r="CD1255" s="879" t="str">
        <f>Table15[[#This Row],[Engineering Number]]&amp;Table15[[#This Row],[WO Number]]&amp;Table15[[#This Row],[Date Assigned to Designer]]&amp;Table15[[#This Row],[Date Completed]]</f>
        <v>M1545012141134557445593</v>
      </c>
    </row>
    <row r="1256" spans="1:82" customFormat="1" ht="15" customHeight="1" x14ac:dyDescent="0.25">
      <c r="A1256">
        <v>2024</v>
      </c>
      <c r="B1256" s="8" t="s">
        <v>1073</v>
      </c>
      <c r="C1256" s="8" t="s">
        <v>6702</v>
      </c>
      <c r="D1256" s="8" t="s">
        <v>6703</v>
      </c>
      <c r="E1256" s="8" t="s">
        <v>1032</v>
      </c>
      <c r="F1256" s="8" t="s">
        <v>851</v>
      </c>
      <c r="G1256" s="8" t="s">
        <v>31</v>
      </c>
      <c r="H1256" s="8" t="s">
        <v>59</v>
      </c>
      <c r="I1256" s="642">
        <v>45579</v>
      </c>
      <c r="J1256" s="18">
        <v>45600</v>
      </c>
      <c r="K1256" s="97">
        <v>45596</v>
      </c>
      <c r="L1256" s="16">
        <f>IF(ISTEXT(Table15[[#This Row],[Engineering Approved Design Date]]),Table15[[#This Row],[Date Completed]]-Table15[[#This Row],[Date Assigned to Designer]],Table15[[#This Row],[Engineering Approved Design Date]]-Table15[[#This Row],[Date Completed]])</f>
        <v>4</v>
      </c>
      <c r="M1256" s="642" t="s">
        <v>6704</v>
      </c>
      <c r="N1256" s="99" t="s">
        <v>120</v>
      </c>
      <c r="O1256" s="1060">
        <v>45597</v>
      </c>
      <c r="P1256" s="1152" t="s">
        <v>739</v>
      </c>
      <c r="Q1256" s="1061">
        <f>SUM(Table15[[#This Row],[Shactee Effort]:[KH Hourly Effort]])</f>
        <v>11555</v>
      </c>
      <c r="R1256" s="1039" t="s">
        <v>1922</v>
      </c>
      <c r="S1256" s="538">
        <v>0</v>
      </c>
      <c r="T1256" s="538">
        <v>0</v>
      </c>
      <c r="U1256" s="28">
        <v>11555</v>
      </c>
      <c r="V1256" s="858">
        <v>50</v>
      </c>
      <c r="W1256" s="425">
        <v>0</v>
      </c>
      <c r="X1256" s="538">
        <v>126541.84</v>
      </c>
      <c r="Y1256" s="551"/>
      <c r="Z1256" s="538">
        <v>36423.49</v>
      </c>
      <c r="AA1256" s="552" t="s">
        <v>29</v>
      </c>
      <c r="AB1256" s="341">
        <v>45586</v>
      </c>
      <c r="AC1256" s="569" t="s">
        <v>29</v>
      </c>
      <c r="AD1256" s="1157" t="s">
        <v>29</v>
      </c>
      <c r="AE1256" s="568" t="s">
        <v>116</v>
      </c>
      <c r="AF1256" s="568" t="s">
        <v>29</v>
      </c>
      <c r="AG1256" s="569" t="s">
        <v>29</v>
      </c>
      <c r="AH1256" s="183">
        <v>45672</v>
      </c>
      <c r="AI1256" s="1125">
        <v>0</v>
      </c>
      <c r="AJ1256" s="1110">
        <v>0</v>
      </c>
      <c r="AK1256" s="1110">
        <v>0</v>
      </c>
      <c r="AL1256" s="1108">
        <f>SUM(Table15[[#This Row],[Nicor Initiated DBE]:[Staffing]])/(Table15[[#This Row],[Amount Invoiced]])</f>
        <v>0</v>
      </c>
      <c r="AM1256" s="542" t="s">
        <v>709</v>
      </c>
      <c r="AN1256" s="924"/>
      <c r="AO1256" s="925"/>
      <c r="AP1256" s="926"/>
      <c r="AQ1256" s="926"/>
      <c r="AR1256" s="926"/>
      <c r="AS1256" s="926"/>
      <c r="AT1256" s="926"/>
      <c r="AU1256" s="926"/>
      <c r="AV1256" s="926"/>
      <c r="AW1256" s="927"/>
      <c r="AX1256" s="926"/>
      <c r="AY1256" s="1538" t="s">
        <v>29</v>
      </c>
      <c r="AZ1256" s="1530"/>
      <c r="BA1256" s="1031" t="s">
        <v>6705</v>
      </c>
      <c r="BB1256" s="644" t="s">
        <v>6706</v>
      </c>
      <c r="BC1256" s="544" t="s">
        <v>115</v>
      </c>
      <c r="BD1256" s="554" t="s">
        <v>115</v>
      </c>
      <c r="BE1256" s="588" t="s">
        <v>1841</v>
      </c>
      <c r="BF1256" s="588" t="s">
        <v>115</v>
      </c>
      <c r="BG1256" s="548" t="s">
        <v>6707</v>
      </c>
      <c r="BH1256" s="615" t="s">
        <v>6708</v>
      </c>
      <c r="BI1256" s="626" t="s">
        <v>709</v>
      </c>
      <c r="BJ1256" s="626" t="s">
        <v>116</v>
      </c>
      <c r="BK1256" s="626" t="s">
        <v>709</v>
      </c>
      <c r="BL1256" s="626" t="s">
        <v>709</v>
      </c>
      <c r="BM1256" s="626" t="s">
        <v>709</v>
      </c>
      <c r="BN1256" s="626" t="s">
        <v>709</v>
      </c>
      <c r="BO1256" s="626" t="s">
        <v>709</v>
      </c>
      <c r="BP1256" s="626">
        <v>50</v>
      </c>
      <c r="BQ1256" s="626" t="s">
        <v>709</v>
      </c>
      <c r="BR1256" s="626" t="s">
        <v>709</v>
      </c>
      <c r="BS1256" s="626" t="s">
        <v>709</v>
      </c>
      <c r="BT1256" s="626" t="s">
        <v>709</v>
      </c>
      <c r="BU1256" s="626" t="s">
        <v>709</v>
      </c>
      <c r="BV1256" s="626" t="s">
        <v>709</v>
      </c>
      <c r="BW1256" s="626" t="s">
        <v>709</v>
      </c>
      <c r="BX1256" s="626" t="s">
        <v>709</v>
      </c>
      <c r="BY1256" s="626" t="s">
        <v>709</v>
      </c>
      <c r="BZ1256" s="547" t="s">
        <v>709</v>
      </c>
      <c r="CA1256" s="483" t="s">
        <v>6709</v>
      </c>
      <c r="CB1256" s="547">
        <v>1254</v>
      </c>
      <c r="CC1256" s="1481" t="b">
        <v>1</v>
      </c>
      <c r="CD1256" s="879" t="str">
        <f>Table15[[#This Row],[Engineering Number]]&amp;Table15[[#This Row],[WO Number]]&amp;Table15[[#This Row],[Date Assigned to Designer]]&amp;Table15[[#This Row],[Date Completed]]</f>
        <v>NBA1001721414144794557945596</v>
      </c>
    </row>
    <row r="1257" spans="1:82" customFormat="1" ht="15" customHeight="1" x14ac:dyDescent="0.25">
      <c r="A1257">
        <v>2024</v>
      </c>
      <c r="B1257" s="8" t="s">
        <v>4</v>
      </c>
      <c r="C1257" s="8" t="s">
        <v>6711</v>
      </c>
      <c r="D1257" s="8" t="s">
        <v>115</v>
      </c>
      <c r="E1257" s="8" t="s">
        <v>232</v>
      </c>
      <c r="F1257" s="8" t="s">
        <v>1102</v>
      </c>
      <c r="G1257" s="8" t="s">
        <v>6712</v>
      </c>
      <c r="H1257" s="8" t="s">
        <v>1903</v>
      </c>
      <c r="I1257" s="18">
        <v>45550</v>
      </c>
      <c r="J1257" s="18">
        <v>45632</v>
      </c>
      <c r="K1257" s="449">
        <v>45600</v>
      </c>
      <c r="L1257" s="16">
        <f>IF(ISTEXT(Table15[[#This Row],[Engineering Approved Design Date]]),Table15[[#This Row],[Date Completed]]-Table15[[#This Row],[Date Assigned to Designer]],Table15[[#This Row],[Engineering Approved Design Date]]-Table15[[#This Row],[Date Completed]])</f>
        <v>32</v>
      </c>
      <c r="M1257" t="s">
        <v>6713</v>
      </c>
      <c r="N1257" s="99" t="s">
        <v>120</v>
      </c>
      <c r="O1257" s="1060">
        <v>45597</v>
      </c>
      <c r="P1257" s="1152" t="s">
        <v>739</v>
      </c>
      <c r="Q1257" s="340" t="s">
        <v>115</v>
      </c>
      <c r="R1257" s="1026" t="s">
        <v>115</v>
      </c>
      <c r="S1257" s="538" t="s">
        <v>29</v>
      </c>
      <c r="T1257" s="538" t="s">
        <v>29</v>
      </c>
      <c r="U1257" s="28" t="s">
        <v>29</v>
      </c>
      <c r="V1257" s="858" t="s">
        <v>29</v>
      </c>
      <c r="W1257" s="425" t="s">
        <v>29</v>
      </c>
      <c r="X1257" s="538" t="s">
        <v>29</v>
      </c>
      <c r="Y1257" s="551"/>
      <c r="Z1257" s="538" t="s">
        <v>29</v>
      </c>
      <c r="AA1257" s="552" t="s">
        <v>29</v>
      </c>
      <c r="AB1257" s="341" t="s">
        <v>29</v>
      </c>
      <c r="AC1257" s="569" t="s">
        <v>29</v>
      </c>
      <c r="AD1257" s="1157" t="s">
        <v>29</v>
      </c>
      <c r="AE1257" s="569" t="s">
        <v>116</v>
      </c>
      <c r="AF1257" s="569" t="s">
        <v>29</v>
      </c>
      <c r="AG1257" s="569" t="s">
        <v>29</v>
      </c>
      <c r="AH1257" s="183">
        <v>45609</v>
      </c>
      <c r="AI1257" s="1028" t="s">
        <v>29</v>
      </c>
      <c r="AJ1257" s="1029" t="s">
        <v>29</v>
      </c>
      <c r="AK1257" s="1029" t="s">
        <v>29</v>
      </c>
      <c r="AL1257" s="1030" t="s">
        <v>29</v>
      </c>
      <c r="AM1257" s="542" t="s">
        <v>709</v>
      </c>
      <c r="AN1257" s="924"/>
      <c r="AO1257" s="925"/>
      <c r="AP1257" s="926"/>
      <c r="AQ1257" s="926"/>
      <c r="AR1257" s="926"/>
      <c r="AS1257" s="926"/>
      <c r="AT1257" s="926"/>
      <c r="AU1257" s="926"/>
      <c r="AV1257" s="926"/>
      <c r="AW1257" s="927"/>
      <c r="AX1257" s="926"/>
      <c r="AY1257" s="1538" t="s">
        <v>29</v>
      </c>
      <c r="AZ1257" s="1530"/>
      <c r="BA1257" s="1031" t="s">
        <v>6714</v>
      </c>
      <c r="BB1257" s="644" t="s">
        <v>4986</v>
      </c>
      <c r="BC1257" s="559" t="s">
        <v>709</v>
      </c>
      <c r="BD1257" s="554" t="s">
        <v>709</v>
      </c>
      <c r="BE1257" s="588" t="s">
        <v>595</v>
      </c>
      <c r="BF1257" s="588" t="s">
        <v>709</v>
      </c>
      <c r="BG1257" s="548" t="s">
        <v>709</v>
      </c>
      <c r="BH1257" s="615" t="s">
        <v>6715</v>
      </c>
      <c r="BI1257" s="1032"/>
      <c r="BJ1257" s="1032"/>
      <c r="BK1257" s="1032"/>
      <c r="BL1257" s="1032"/>
      <c r="BM1257" s="1032"/>
      <c r="BN1257" s="1070"/>
      <c r="BO1257" s="1032"/>
      <c r="BP1257" s="1071"/>
      <c r="BQ1257" s="1070"/>
      <c r="BR1257" s="1070"/>
      <c r="BS1257" s="1070"/>
      <c r="BT1257" s="1070"/>
      <c r="BU1257" s="1070"/>
      <c r="BV1257" s="1070"/>
      <c r="BW1257" s="1070"/>
      <c r="BX1257" s="1032"/>
      <c r="BY1257" s="1072"/>
      <c r="BZ1257" s="1072"/>
      <c r="CA1257" s="485"/>
      <c r="CB1257" s="547">
        <v>1255</v>
      </c>
      <c r="CC1257" s="1481" t="b">
        <v>1</v>
      </c>
      <c r="CD1257" s="879" t="str">
        <f>Table15[[#This Row],[Engineering Number]]&amp;Table15[[#This Row],[WO Number]]&amp;Table15[[#This Row],[Date Assigned to Designer]]&amp;Table15[[#This Row],[Date Completed]]</f>
        <v>SC24983-4555045600</v>
      </c>
    </row>
    <row r="1258" spans="1:82" customFormat="1" ht="15" customHeight="1" x14ac:dyDescent="0.25">
      <c r="A1258">
        <v>2024</v>
      </c>
      <c r="B1258" s="8" t="s">
        <v>4</v>
      </c>
      <c r="C1258" s="8" t="s">
        <v>6717</v>
      </c>
      <c r="D1258" s="8" t="s">
        <v>6718</v>
      </c>
      <c r="E1258" s="8" t="s">
        <v>6719</v>
      </c>
      <c r="F1258" s="8" t="s">
        <v>784</v>
      </c>
      <c r="G1258" s="8" t="s">
        <v>6712</v>
      </c>
      <c r="H1258" s="8" t="s">
        <v>59</v>
      </c>
      <c r="I1258" s="642">
        <v>45550</v>
      </c>
      <c r="J1258" s="18">
        <v>45604</v>
      </c>
      <c r="K1258" s="97">
        <v>45602</v>
      </c>
      <c r="L1258" s="16">
        <f>IF(ISTEXT(Table15[[#This Row],[Engineering Approved Design Date]]),Table15[[#This Row],[Date Completed]]-Table15[[#This Row],[Date Assigned to Designer]],Table15[[#This Row],[Engineering Approved Design Date]]-Table15[[#This Row],[Date Completed]])</f>
        <v>2</v>
      </c>
      <c r="M1258" s="642"/>
      <c r="N1258" s="99" t="s">
        <v>120</v>
      </c>
      <c r="O1258" s="1060">
        <v>45597</v>
      </c>
      <c r="P1258" s="1152" t="s">
        <v>739</v>
      </c>
      <c r="Q1258" s="340">
        <f>Table15[[#This Row],[Rate]]*Table15[[#This Row],[Construction Cost to Bill From]]</f>
        <v>10943.445</v>
      </c>
      <c r="R1258" s="1026">
        <v>0.1</v>
      </c>
      <c r="S1258" s="538" t="s">
        <v>29</v>
      </c>
      <c r="T1258" s="538" t="s">
        <v>29</v>
      </c>
      <c r="U1258" s="28" t="s">
        <v>29</v>
      </c>
      <c r="V1258" s="858">
        <v>159</v>
      </c>
      <c r="W1258" s="437" t="s">
        <v>29</v>
      </c>
      <c r="X1258" s="538">
        <v>76825.48</v>
      </c>
      <c r="Y1258" s="550"/>
      <c r="Z1258" s="552">
        <v>32608.97</v>
      </c>
      <c r="AA1258" s="552">
        <f>SUM(Table15[[#This Row],[PCTS Investment Amount]:[PCTS Retirement Amount]])</f>
        <v>109434.45</v>
      </c>
      <c r="AB1258" s="341">
        <v>45601</v>
      </c>
      <c r="AC1258" s="569" t="s">
        <v>29</v>
      </c>
      <c r="AD1258" s="1149" t="s">
        <v>29</v>
      </c>
      <c r="AE1258" s="568" t="s">
        <v>116</v>
      </c>
      <c r="AF1258" s="568" t="s">
        <v>29</v>
      </c>
      <c r="AG1258" s="569" t="s">
        <v>29</v>
      </c>
      <c r="AH1258" s="183">
        <v>45646</v>
      </c>
      <c r="AI1258" s="1109" t="s">
        <v>29</v>
      </c>
      <c r="AJ1258" s="1110">
        <v>2450</v>
      </c>
      <c r="AK1258" s="1134" t="s">
        <v>29</v>
      </c>
      <c r="AL1258" s="1108">
        <f>SUM(Table15[[#This Row],[Nicor Initiated DBE]:[Staffing]])/(Table15[[#This Row],[Amount Invoiced]])</f>
        <v>0.22387831254234841</v>
      </c>
      <c r="AM1258" s="536" t="s">
        <v>116</v>
      </c>
      <c r="AN1258" s="903" t="s">
        <v>709</v>
      </c>
      <c r="AO1258" s="1536"/>
      <c r="AP1258" s="1537"/>
      <c r="AQ1258" s="1537"/>
      <c r="AR1258" s="1537"/>
      <c r="AS1258" s="888">
        <f>IF(Table15[[#This Row],[PCTS Approved]]="N",0,Table15[[#This Row],[Investment Amount (1'#'#'#'#'#)]]+Table15[[#This Row],[Retirement Amount (3'#'#'#'#'#)]])</f>
        <v>0</v>
      </c>
      <c r="AT1258" s="888">
        <f>IF(Table15[[#This Row],[Approved Construction Cost]]=0,0,Table15[[#This Row],[Approved Construction Cost]]-Table15[[#This Row],[Construction Cost to Bill From]])</f>
        <v>0</v>
      </c>
      <c r="AU1258" s="888">
        <f>IFERROR(Table15[[#This Row],[Difference in Construction Cost]]*Table15[[#This Row],[Rate]],Table15[[#This Row],[Difference in Construction Cost]]*0.085)</f>
        <v>0</v>
      </c>
      <c r="AV1258" s="905"/>
      <c r="AW1258" s="1509"/>
      <c r="AX1258" s="888"/>
      <c r="AY1258" s="636" t="s">
        <v>709</v>
      </c>
      <c r="AZ1258" s="333"/>
      <c r="BA1258" s="1031" t="s">
        <v>6720</v>
      </c>
      <c r="BB1258" s="644" t="s">
        <v>6721</v>
      </c>
      <c r="BC1258" s="544" t="s">
        <v>115</v>
      </c>
      <c r="BD1258" s="554" t="s">
        <v>115</v>
      </c>
      <c r="BE1258" s="554" t="s">
        <v>6722</v>
      </c>
      <c r="BF1258" s="588" t="s">
        <v>115</v>
      </c>
      <c r="BG1258" s="588" t="s">
        <v>115</v>
      </c>
      <c r="BH1258" s="615" t="s">
        <v>6723</v>
      </c>
      <c r="BI1258" s="549" t="s">
        <v>709</v>
      </c>
      <c r="BJ1258" s="549" t="s">
        <v>709</v>
      </c>
      <c r="BK1258" s="549" t="s">
        <v>709</v>
      </c>
      <c r="BL1258" s="547" t="s">
        <v>116</v>
      </c>
      <c r="BM1258" s="549" t="s">
        <v>709</v>
      </c>
      <c r="BN1258" s="549" t="s">
        <v>709</v>
      </c>
      <c r="BO1258" s="549" t="s">
        <v>709</v>
      </c>
      <c r="BP1258" s="549" t="s">
        <v>709</v>
      </c>
      <c r="BQ1258" s="549" t="s">
        <v>709</v>
      </c>
      <c r="BR1258" s="549" t="s">
        <v>709</v>
      </c>
      <c r="BS1258" s="549">
        <v>159</v>
      </c>
      <c r="BT1258" s="549" t="s">
        <v>709</v>
      </c>
      <c r="BU1258" s="549" t="s">
        <v>709</v>
      </c>
      <c r="BV1258" s="549" t="s">
        <v>709</v>
      </c>
      <c r="BW1258" s="549" t="s">
        <v>709</v>
      </c>
      <c r="BX1258" s="549" t="s">
        <v>709</v>
      </c>
      <c r="BY1258" s="549" t="s">
        <v>709</v>
      </c>
      <c r="BZ1258" s="547" t="s">
        <v>709</v>
      </c>
      <c r="CA1258" s="743"/>
      <c r="CB1258" s="547">
        <v>1256</v>
      </c>
      <c r="CC1258" s="1481" t="b">
        <v>1</v>
      </c>
      <c r="CD1258" s="879" t="str">
        <f>Table15[[#This Row],[Engineering Number]]&amp;Table15[[#This Row],[WO Number]]&amp;Table15[[#This Row],[Date Assigned to Designer]]&amp;Table15[[#This Row],[Date Completed]]</f>
        <v>N1896212144814555045602</v>
      </c>
    </row>
    <row r="1259" spans="1:82" customFormat="1" ht="15" customHeight="1" x14ac:dyDescent="0.25">
      <c r="A1259">
        <v>2024</v>
      </c>
      <c r="B1259" s="8" t="s">
        <v>1205</v>
      </c>
      <c r="C1259" s="8" t="s">
        <v>587</v>
      </c>
      <c r="D1259" s="8">
        <v>1212818</v>
      </c>
      <c r="E1259" s="8" t="s">
        <v>354</v>
      </c>
      <c r="F1259" s="8" t="s">
        <v>784</v>
      </c>
      <c r="G1259" s="8" t="s">
        <v>36</v>
      </c>
      <c r="H1259" s="8" t="s">
        <v>4001</v>
      </c>
      <c r="I1259" s="642">
        <v>45601</v>
      </c>
      <c r="J1259" s="175" t="s">
        <v>2052</v>
      </c>
      <c r="K1259" s="97">
        <v>45604</v>
      </c>
      <c r="L1259" s="16">
        <f>IF(ISTEXT(Table15[[#This Row],[Engineering Approved Design Date]]),Table15[[#This Row],[Date Completed]]-Table15[[#This Row],[Date Assigned to Designer]],Table15[[#This Row],[Engineering Approved Design Date]]-Table15[[#This Row],[Date Completed]])</f>
        <v>3</v>
      </c>
      <c r="M1259" s="642" t="s">
        <v>6725</v>
      </c>
      <c r="N1259" s="642" t="s">
        <v>120</v>
      </c>
      <c r="O1259" s="1060">
        <v>45597</v>
      </c>
      <c r="P1259" s="1152" t="s">
        <v>739</v>
      </c>
      <c r="Q1259" s="1061">
        <f>SUM(Table15[[#This Row],[Shactee Effort]:[KH Hourly Effort]])</f>
        <v>2800</v>
      </c>
      <c r="R1259" s="1039" t="s">
        <v>1922</v>
      </c>
      <c r="S1259" s="538">
        <v>0</v>
      </c>
      <c r="T1259" s="538">
        <v>0</v>
      </c>
      <c r="U1259" s="28">
        <v>2800</v>
      </c>
      <c r="V1259" s="538" t="s">
        <v>29</v>
      </c>
      <c r="W1259" s="343" t="s">
        <v>29</v>
      </c>
      <c r="X1259" s="538" t="s">
        <v>29</v>
      </c>
      <c r="Y1259" s="538"/>
      <c r="Z1259" s="538" t="s">
        <v>29</v>
      </c>
      <c r="AA1259" s="538" t="s">
        <v>29</v>
      </c>
      <c r="AB1259" s="341" t="s">
        <v>29</v>
      </c>
      <c r="AC1259" s="569" t="s">
        <v>29</v>
      </c>
      <c r="AD1259" s="1149" t="s">
        <v>116</v>
      </c>
      <c r="AE1259" s="568" t="s">
        <v>29</v>
      </c>
      <c r="AF1259" s="569" t="s">
        <v>756</v>
      </c>
      <c r="AG1259" s="569" t="s">
        <v>29</v>
      </c>
      <c r="AH1259" s="536">
        <v>45672</v>
      </c>
      <c r="AI1259" s="1028" t="s">
        <v>29</v>
      </c>
      <c r="AJ1259" s="1029" t="s">
        <v>29</v>
      </c>
      <c r="AK1259" s="1029" t="s">
        <v>29</v>
      </c>
      <c r="AL1259" s="1030" t="s">
        <v>29</v>
      </c>
      <c r="AM1259" s="542" t="s">
        <v>709</v>
      </c>
      <c r="AN1259" s="924"/>
      <c r="AO1259" s="925"/>
      <c r="AP1259" s="926"/>
      <c r="AQ1259" s="926"/>
      <c r="AR1259" s="926"/>
      <c r="AS1259" s="926"/>
      <c r="AT1259" s="926"/>
      <c r="AU1259" s="926"/>
      <c r="AV1259" s="926"/>
      <c r="AW1259" s="927"/>
      <c r="AX1259" s="926"/>
      <c r="AY1259" s="1538" t="s">
        <v>29</v>
      </c>
      <c r="AZ1259" s="1532"/>
      <c r="BA1259" s="1031">
        <v>8</v>
      </c>
      <c r="BB1259" s="644" t="s">
        <v>29</v>
      </c>
      <c r="BC1259" s="544" t="s">
        <v>116</v>
      </c>
      <c r="BD1259" s="544" t="s">
        <v>709</v>
      </c>
      <c r="BE1259" s="544" t="s">
        <v>588</v>
      </c>
      <c r="BF1259" s="544" t="s">
        <v>709</v>
      </c>
      <c r="BG1259" s="544" t="s">
        <v>3021</v>
      </c>
      <c r="BH1259" s="615" t="s">
        <v>6726</v>
      </c>
      <c r="BI1259" s="549" t="s">
        <v>709</v>
      </c>
      <c r="BJ1259" s="549" t="s">
        <v>709</v>
      </c>
      <c r="BK1259" s="549" t="s">
        <v>709</v>
      </c>
      <c r="BL1259" s="549" t="s">
        <v>116</v>
      </c>
      <c r="BM1259" s="549" t="s">
        <v>709</v>
      </c>
      <c r="BN1259" s="549" t="s">
        <v>709</v>
      </c>
      <c r="BO1259" s="549" t="s">
        <v>709</v>
      </c>
      <c r="BP1259" s="549">
        <v>458</v>
      </c>
      <c r="BQ1259" s="549" t="s">
        <v>709</v>
      </c>
      <c r="BR1259" s="549" t="s">
        <v>709</v>
      </c>
      <c r="BS1259" s="549" t="s">
        <v>709</v>
      </c>
      <c r="BT1259" s="549" t="s">
        <v>709</v>
      </c>
      <c r="BU1259" s="549" t="s">
        <v>709</v>
      </c>
      <c r="BV1259" s="549" t="s">
        <v>709</v>
      </c>
      <c r="BW1259" s="549" t="s">
        <v>709</v>
      </c>
      <c r="BX1259" s="549" t="s">
        <v>709</v>
      </c>
      <c r="BY1259" s="549" t="s">
        <v>709</v>
      </c>
      <c r="BZ1259" s="547" t="s">
        <v>709</v>
      </c>
      <c r="CA1259" s="484"/>
      <c r="CB1259" s="547">
        <v>1257</v>
      </c>
      <c r="CC1259" s="1481" t="b">
        <v>1</v>
      </c>
      <c r="CD1259" s="879" t="str">
        <f>Table15[[#This Row],[Engineering Number]]&amp;Table15[[#This Row],[WO Number]]&amp;Table15[[#This Row],[Date Assigned to Designer]]&amp;Table15[[#This Row],[Date Completed]]</f>
        <v>MR202712128184560145604</v>
      </c>
    </row>
    <row r="1260" spans="1:82" customFormat="1" ht="15" customHeight="1" x14ac:dyDescent="0.25">
      <c r="A1260">
        <v>2024</v>
      </c>
      <c r="B1260" s="8" t="s">
        <v>1205</v>
      </c>
      <c r="C1260" s="8" t="s">
        <v>6728</v>
      </c>
      <c r="D1260" s="8" t="s">
        <v>6729</v>
      </c>
      <c r="E1260" s="8" t="s">
        <v>850</v>
      </c>
      <c r="F1260" s="8" t="s">
        <v>851</v>
      </c>
      <c r="G1260" s="8" t="s">
        <v>32</v>
      </c>
      <c r="H1260" s="8" t="s">
        <v>59</v>
      </c>
      <c r="I1260" s="642">
        <v>45562</v>
      </c>
      <c r="J1260" s="18">
        <v>45639</v>
      </c>
      <c r="K1260" s="97">
        <v>45607</v>
      </c>
      <c r="L1260" s="16">
        <f>IF(ISTEXT(Table15[[#This Row],[Engineering Approved Design Date]]),Table15[[#This Row],[Date Completed]]-Table15[[#This Row],[Date Assigned to Designer]],Table15[[#This Row],[Engineering Approved Design Date]]-Table15[[#This Row],[Date Completed]])</f>
        <v>32</v>
      </c>
      <c r="M1260" s="642"/>
      <c r="N1260" s="99" t="s">
        <v>120</v>
      </c>
      <c r="O1260" s="1060">
        <v>45597</v>
      </c>
      <c r="P1260" s="1152" t="s">
        <v>120</v>
      </c>
      <c r="Q1260" s="340">
        <f>Table15[[#This Row],[Rate]]*Table15[[#This Row],[Construction Cost to Bill From]]</f>
        <v>17846.808300000001</v>
      </c>
      <c r="R1260" s="1026">
        <v>0.09</v>
      </c>
      <c r="S1260" s="1135">
        <v>0</v>
      </c>
      <c r="T1260" s="538">
        <v>0</v>
      </c>
      <c r="U1260" s="87">
        <v>0</v>
      </c>
      <c r="V1260" s="858">
        <v>286</v>
      </c>
      <c r="W1260" s="437">
        <v>0</v>
      </c>
      <c r="X1260" s="538">
        <v>183986.2</v>
      </c>
      <c r="Y1260" s="550"/>
      <c r="Z1260" s="552">
        <v>14311.67</v>
      </c>
      <c r="AA1260" s="552">
        <f>SUM(Table15[[#This Row],[PCTS Investment Amount]:[PCTS Retirement Amount]])</f>
        <v>198297.87000000002</v>
      </c>
      <c r="AB1260" s="341">
        <v>45609</v>
      </c>
      <c r="AC1260" s="569" t="s">
        <v>709</v>
      </c>
      <c r="AD1260" s="1149" t="s">
        <v>29</v>
      </c>
      <c r="AE1260" s="568" t="s">
        <v>709</v>
      </c>
      <c r="AF1260" s="568" t="s">
        <v>709</v>
      </c>
      <c r="AG1260" s="569" t="s">
        <v>116</v>
      </c>
      <c r="AH1260" s="183">
        <v>45672</v>
      </c>
      <c r="AI1260" s="1109">
        <v>0</v>
      </c>
      <c r="AJ1260" s="1110">
        <v>0</v>
      </c>
      <c r="AK1260" s="1134">
        <v>5825</v>
      </c>
      <c r="AL1260" s="1108">
        <f>SUM(Table15[[#This Row],[Nicor Initiated DBE]:[Staffing]])/(Table15[[#This Row],[Amount Invoiced]])</f>
        <v>0.32638889274111832</v>
      </c>
      <c r="AM1260" s="1522" t="s">
        <v>116</v>
      </c>
      <c r="AN1260" s="1523">
        <v>45740</v>
      </c>
      <c r="AO1260" s="1524">
        <v>11100453</v>
      </c>
      <c r="AP1260" s="1525">
        <v>169485.53</v>
      </c>
      <c r="AQ1260" s="1525"/>
      <c r="AR1260" s="1525">
        <v>17687.91</v>
      </c>
      <c r="AS1260" s="1525">
        <f>IF(Table15[[#This Row],[PCTS Approved]]="N",0,Table15[[#This Row],[Investment Amount (1'#'#'#'#'#)]]+Table15[[#This Row],[Retirement Amount (3'#'#'#'#'#)]])</f>
        <v>187173.44</v>
      </c>
      <c r="AT1260" s="1525">
        <f>IF(Table15[[#This Row],[Approved Construction Cost]]=0,0,Table15[[#This Row],[Approved Construction Cost]]-Table15[[#This Row],[Construction Cost to Bill From]])</f>
        <v>-11124.430000000022</v>
      </c>
      <c r="AU1260" s="1525">
        <f>Table15[[#This Row],[Difference in Construction Cost]]*Table15[[#This Row],[Rate]]</f>
        <v>-1001.198700000002</v>
      </c>
      <c r="AV1260" s="1525">
        <v>0</v>
      </c>
      <c r="AW1260" s="1526" t="s">
        <v>6730</v>
      </c>
      <c r="AX1260" s="1525">
        <f>Table15[[#This Row],[Reconcile Amount]]</f>
        <v>-1001.198700000002</v>
      </c>
      <c r="AY1260" s="1518">
        <v>45901</v>
      </c>
      <c r="AZ1260" s="333"/>
      <c r="BA1260" s="1031" t="s">
        <v>6731</v>
      </c>
      <c r="BB1260" s="644" t="s">
        <v>6732</v>
      </c>
      <c r="BC1260" s="544" t="s">
        <v>115</v>
      </c>
      <c r="BD1260" s="554" t="s">
        <v>115</v>
      </c>
      <c r="BE1260" s="554" t="s">
        <v>855</v>
      </c>
      <c r="BF1260" s="588" t="s">
        <v>115</v>
      </c>
      <c r="BG1260" s="588" t="s">
        <v>115</v>
      </c>
      <c r="BH1260" s="615" t="s">
        <v>6733</v>
      </c>
      <c r="BI1260" s="549" t="s">
        <v>709</v>
      </c>
      <c r="BJ1260" s="549" t="s">
        <v>709</v>
      </c>
      <c r="BK1260" s="549" t="s">
        <v>709</v>
      </c>
      <c r="BL1260" s="547" t="s">
        <v>116</v>
      </c>
      <c r="BM1260" s="549">
        <v>0</v>
      </c>
      <c r="BN1260" s="549">
        <v>0</v>
      </c>
      <c r="BO1260" s="549">
        <v>0</v>
      </c>
      <c r="BP1260" s="549">
        <v>0</v>
      </c>
      <c r="BQ1260" s="549">
        <v>0</v>
      </c>
      <c r="BR1260" s="549">
        <v>0</v>
      </c>
      <c r="BS1260" s="549">
        <v>286</v>
      </c>
      <c r="BT1260" s="549">
        <v>0</v>
      </c>
      <c r="BU1260" s="549">
        <v>0</v>
      </c>
      <c r="BV1260" s="549">
        <v>0</v>
      </c>
      <c r="BW1260" s="549">
        <v>0</v>
      </c>
      <c r="BX1260" s="549">
        <v>0</v>
      </c>
      <c r="BY1260" s="549">
        <v>0</v>
      </c>
      <c r="BZ1260" s="547" t="s">
        <v>709</v>
      </c>
      <c r="CA1260" s="743"/>
      <c r="CB1260" s="547">
        <v>1258</v>
      </c>
      <c r="CC1260" s="1481" t="b">
        <v>1</v>
      </c>
      <c r="CD1260" s="879" t="str">
        <f>Table15[[#This Row],[Engineering Number]]&amp;Table15[[#This Row],[WO Number]]&amp;Table15[[#This Row],[Date Assigned to Designer]]&amp;Table15[[#This Row],[Date Completed]]</f>
        <v>MR216813144184556245607</v>
      </c>
    </row>
    <row r="1261" spans="1:82" customFormat="1" ht="15" customHeight="1" x14ac:dyDescent="0.25">
      <c r="A1261">
        <v>2024</v>
      </c>
      <c r="B1261" s="8" t="s">
        <v>1073</v>
      </c>
      <c r="C1261" s="8" t="s">
        <v>6735</v>
      </c>
      <c r="D1261" s="8" t="s">
        <v>6736</v>
      </c>
      <c r="E1261" s="8" t="s">
        <v>232</v>
      </c>
      <c r="F1261" s="8" t="s">
        <v>851</v>
      </c>
      <c r="G1261" s="8" t="s">
        <v>32</v>
      </c>
      <c r="H1261" s="8" t="s">
        <v>59</v>
      </c>
      <c r="I1261" s="642">
        <v>45540</v>
      </c>
      <c r="J1261" s="18">
        <v>45610</v>
      </c>
      <c r="K1261" s="97">
        <v>45609</v>
      </c>
      <c r="L1261" s="16">
        <f>IF(ISTEXT(Table15[[#This Row],[Engineering Approved Design Date]]),Table15[[#This Row],[Date Completed]]-Table15[[#This Row],[Date Assigned to Designer]],Table15[[#This Row],[Engineering Approved Design Date]]-Table15[[#This Row],[Date Completed]])</f>
        <v>1</v>
      </c>
      <c r="M1261" s="642"/>
      <c r="N1261" s="642" t="s">
        <v>120</v>
      </c>
      <c r="O1261" s="1060">
        <v>45597</v>
      </c>
      <c r="P1261" s="1152" t="s">
        <v>739</v>
      </c>
      <c r="Q1261" s="340">
        <f>Table15[[#This Row],[Rate]]*Table15[[#This Row],[Construction Cost to Bill From]]</f>
        <v>34472.7952</v>
      </c>
      <c r="R1261" s="1026">
        <v>0.08</v>
      </c>
      <c r="S1261" s="1135">
        <v>0</v>
      </c>
      <c r="T1261" s="538">
        <v>0</v>
      </c>
      <c r="U1261" s="87">
        <v>0</v>
      </c>
      <c r="V1261" s="858">
        <v>898</v>
      </c>
      <c r="W1261" s="437">
        <v>0</v>
      </c>
      <c r="X1261" s="538">
        <v>430909.94</v>
      </c>
      <c r="Y1261" s="768"/>
      <c r="Z1261" s="552">
        <v>0</v>
      </c>
      <c r="AA1261" s="552">
        <f>SUM(Table15[[#This Row],[PCTS Investment Amount]:[PCTS Retirement Amount]])</f>
        <v>430909.94</v>
      </c>
      <c r="AB1261" s="341">
        <v>45609</v>
      </c>
      <c r="AC1261" s="569" t="s">
        <v>116</v>
      </c>
      <c r="AD1261" s="1149" t="s">
        <v>29</v>
      </c>
      <c r="AE1261" s="568" t="s">
        <v>709</v>
      </c>
      <c r="AF1261" s="568" t="s">
        <v>709</v>
      </c>
      <c r="AG1261" s="569" t="s">
        <v>116</v>
      </c>
      <c r="AH1261" s="183">
        <v>45646</v>
      </c>
      <c r="AI1261" s="1125">
        <v>0</v>
      </c>
      <c r="AJ1261" s="1110">
        <v>0</v>
      </c>
      <c r="AK1261" s="1126">
        <v>3892.5</v>
      </c>
      <c r="AL1261" s="1108">
        <f>SUM(Table15[[#This Row],[Nicor Initiated DBE]:[Staffing]])/(Table15[[#This Row],[Amount Invoiced]])</f>
        <v>0.11291512560606051</v>
      </c>
      <c r="AM1261" s="536" t="s">
        <v>116</v>
      </c>
      <c r="AN1261" s="903" t="s">
        <v>709</v>
      </c>
      <c r="AO1261" s="1536"/>
      <c r="AP1261" s="1537"/>
      <c r="AQ1261" s="1537"/>
      <c r="AR1261" s="1537"/>
      <c r="AS1261" s="888">
        <f>IF(Table15[[#This Row],[PCTS Approved]]="N",0,Table15[[#This Row],[Investment Amount (1'#'#'#'#'#)]]+Table15[[#This Row],[Retirement Amount (3'#'#'#'#'#)]])</f>
        <v>0</v>
      </c>
      <c r="AT1261" s="888">
        <f>IF(Table15[[#This Row],[Approved Construction Cost]]=0,0,Table15[[#This Row],[Approved Construction Cost]]-Table15[[#This Row],[Construction Cost to Bill From]])</f>
        <v>0</v>
      </c>
      <c r="AU1261" s="888">
        <f>IFERROR(Table15[[#This Row],[Difference in Construction Cost]]*Table15[[#This Row],[Rate]],Table15[[#This Row],[Difference in Construction Cost]]*0.085)</f>
        <v>0</v>
      </c>
      <c r="AV1261" s="905"/>
      <c r="AW1261" s="1509"/>
      <c r="AX1261" s="888"/>
      <c r="AY1261" s="636" t="s">
        <v>709</v>
      </c>
      <c r="AZ1261" s="333"/>
      <c r="BA1261" s="1074" t="s">
        <v>6737</v>
      </c>
      <c r="BB1261" s="644" t="s">
        <v>6738</v>
      </c>
      <c r="BC1261" s="544" t="s">
        <v>115</v>
      </c>
      <c r="BD1261" s="554" t="s">
        <v>837</v>
      </c>
      <c r="BE1261" s="588" t="s">
        <v>595</v>
      </c>
      <c r="BF1261" s="588" t="s">
        <v>838</v>
      </c>
      <c r="BG1261" s="588" t="s">
        <v>115</v>
      </c>
      <c r="BH1261" s="615" t="s">
        <v>6739</v>
      </c>
      <c r="BI1261" s="549" t="s">
        <v>709</v>
      </c>
      <c r="BJ1261" s="549" t="s">
        <v>709</v>
      </c>
      <c r="BK1261" s="549" t="s">
        <v>709</v>
      </c>
      <c r="BL1261" s="547" t="s">
        <v>116</v>
      </c>
      <c r="BM1261" s="549">
        <v>0</v>
      </c>
      <c r="BN1261" s="549">
        <v>0</v>
      </c>
      <c r="BO1261" s="549">
        <v>0</v>
      </c>
      <c r="BP1261" s="549">
        <v>898</v>
      </c>
      <c r="BQ1261" s="549">
        <v>0</v>
      </c>
      <c r="BR1261" s="549">
        <v>0</v>
      </c>
      <c r="BS1261" s="547">
        <v>0</v>
      </c>
      <c r="BT1261" s="549">
        <v>0</v>
      </c>
      <c r="BU1261" s="549">
        <v>0</v>
      </c>
      <c r="BV1261" s="549">
        <v>0</v>
      </c>
      <c r="BW1261" s="549">
        <v>0</v>
      </c>
      <c r="BX1261" s="549">
        <v>0</v>
      </c>
      <c r="BY1261" s="549">
        <v>0</v>
      </c>
      <c r="BZ1261" s="547" t="s">
        <v>709</v>
      </c>
      <c r="CA1261" s="744"/>
      <c r="CB1261" s="547">
        <v>1259</v>
      </c>
      <c r="CC1261" s="1481" t="b">
        <v>1</v>
      </c>
      <c r="CD1261" s="879" t="str">
        <f>Table15[[#This Row],[Engineering Number]]&amp;Table15[[#This Row],[WO Number]]&amp;Table15[[#This Row],[Date Assigned to Designer]]&amp;Table15[[#This Row],[Date Completed]]</f>
        <v>NBA1001603119139584554045609</v>
      </c>
    </row>
    <row r="1262" spans="1:82" customFormat="1" ht="15" customHeight="1" x14ac:dyDescent="0.25">
      <c r="A1262">
        <v>2024</v>
      </c>
      <c r="B1262" s="8" t="s">
        <v>4</v>
      </c>
      <c r="C1262" s="8" t="s">
        <v>6745</v>
      </c>
      <c r="D1262" s="8" t="s">
        <v>6746</v>
      </c>
      <c r="E1262" s="8" t="s">
        <v>76</v>
      </c>
      <c r="F1262" s="8" t="s">
        <v>851</v>
      </c>
      <c r="G1262" s="8" t="s">
        <v>6377</v>
      </c>
      <c r="H1262" s="8" t="s">
        <v>59</v>
      </c>
      <c r="I1262" s="642">
        <v>45496</v>
      </c>
      <c r="J1262" s="18">
        <v>45611</v>
      </c>
      <c r="K1262" s="97">
        <v>45610</v>
      </c>
      <c r="L1262" s="16">
        <f>IF(ISTEXT(Table15[[#This Row],[Engineering Approved Design Date]]),Table15[[#This Row],[Date Completed]]-Table15[[#This Row],[Date Assigned to Designer]],Table15[[#This Row],[Engineering Approved Design Date]]-Table15[[#This Row],[Date Completed]])</f>
        <v>1</v>
      </c>
      <c r="M1262" s="642"/>
      <c r="N1262" s="99" t="s">
        <v>120</v>
      </c>
      <c r="O1262" s="1060">
        <v>45597</v>
      </c>
      <c r="P1262" s="1152" t="s">
        <v>739</v>
      </c>
      <c r="Q1262" s="1061">
        <f>Table15[[#This Row],[Rate]]*Table15[[#This Row],[Construction Cost to Bill From]]</f>
        <v>108189.251</v>
      </c>
      <c r="R1262" s="1026">
        <v>0.1</v>
      </c>
      <c r="S1262" s="538" t="s">
        <v>29</v>
      </c>
      <c r="T1262" s="538" t="s">
        <v>29</v>
      </c>
      <c r="U1262" s="28" t="s">
        <v>29</v>
      </c>
      <c r="V1262" s="858">
        <v>2585</v>
      </c>
      <c r="W1262" s="437">
        <v>0</v>
      </c>
      <c r="X1262" s="538">
        <v>863453.43</v>
      </c>
      <c r="Y1262" s="550"/>
      <c r="Z1262" s="552">
        <v>218439.08</v>
      </c>
      <c r="AA1262" s="552">
        <f>SUM(Table15[[#This Row],[PCTS Investment Amount]:[PCTS Retirement Amount]])</f>
        <v>1081892.51</v>
      </c>
      <c r="AB1262" s="341">
        <v>45610</v>
      </c>
      <c r="AC1262" s="569" t="s">
        <v>709</v>
      </c>
      <c r="AD1262" s="1149" t="s">
        <v>29</v>
      </c>
      <c r="AE1262" s="568" t="s">
        <v>756</v>
      </c>
      <c r="AF1262" s="568" t="s">
        <v>756</v>
      </c>
      <c r="AG1262" s="183" t="s">
        <v>116</v>
      </c>
      <c r="AH1262" s="183">
        <v>45646</v>
      </c>
      <c r="AI1262" s="1109" t="s">
        <v>29</v>
      </c>
      <c r="AJ1262" s="1110">
        <v>6150</v>
      </c>
      <c r="AK1262" s="1134">
        <v>8371.75</v>
      </c>
      <c r="AL1262" s="1108">
        <f>SUM(Table15[[#This Row],[Nicor Initiated DBE]:[Staffing]])/(Table15[[#This Row],[Amount Invoiced]])</f>
        <v>0.1342254416753472</v>
      </c>
      <c r="AM1262" s="1522" t="s">
        <v>116</v>
      </c>
      <c r="AN1262" s="1523">
        <v>45722</v>
      </c>
      <c r="AO1262" s="1524">
        <v>11099580</v>
      </c>
      <c r="AP1262" s="1525">
        <v>870348.87</v>
      </c>
      <c r="AQ1262" s="1525"/>
      <c r="AR1262" s="1525">
        <v>218439.08</v>
      </c>
      <c r="AS1262" s="1525">
        <f>IF(Table15[[#This Row],[PCTS Approved]]="N",0,Table15[[#This Row],[Investment Amount (1'#'#'#'#'#)]]+Table15[[#This Row],[Retirement Amount (3'#'#'#'#'#)]])</f>
        <v>1088787.95</v>
      </c>
      <c r="AT1262" s="1525">
        <f>IF(Table15[[#This Row],[Approved Construction Cost]]=0,0,Table15[[#This Row],[Approved Construction Cost]]-Table15[[#This Row],[Construction Cost to Bill From]])</f>
        <v>6895.4399999999441</v>
      </c>
      <c r="AU1262" s="1525">
        <f>Table15[[#This Row],[Difference in Construction Cost]]*Table15[[#This Row],[Rate]]</f>
        <v>689.54399999999441</v>
      </c>
      <c r="AV1262" s="1525">
        <v>0</v>
      </c>
      <c r="AW1262" s="1526" t="s">
        <v>6747</v>
      </c>
      <c r="AX1262" s="1525">
        <f>Table15[[#This Row],[Reconcile Amount]]</f>
        <v>689.54399999999441</v>
      </c>
      <c r="AY1262" s="1518">
        <v>45901</v>
      </c>
      <c r="AZ1262" s="333"/>
      <c r="BA1262" s="1031" t="s">
        <v>6748</v>
      </c>
      <c r="BB1262" s="644" t="s">
        <v>4997</v>
      </c>
      <c r="BC1262" s="544" t="s">
        <v>115</v>
      </c>
      <c r="BD1262" s="554" t="s">
        <v>115</v>
      </c>
      <c r="BE1262" s="554" t="s">
        <v>6749</v>
      </c>
      <c r="BF1262" s="588" t="s">
        <v>115</v>
      </c>
      <c r="BG1262" s="588" t="s">
        <v>115</v>
      </c>
      <c r="BH1262" s="615" t="s">
        <v>6750</v>
      </c>
      <c r="BI1262" s="549" t="s">
        <v>709</v>
      </c>
      <c r="BJ1262" s="549" t="s">
        <v>709</v>
      </c>
      <c r="BK1262" s="549" t="s">
        <v>709</v>
      </c>
      <c r="BL1262" s="547" t="s">
        <v>116</v>
      </c>
      <c r="BM1262" s="549" t="s">
        <v>709</v>
      </c>
      <c r="BN1262" s="549" t="s">
        <v>709</v>
      </c>
      <c r="BO1262" s="549" t="s">
        <v>709</v>
      </c>
      <c r="BP1262" s="549" t="s">
        <v>709</v>
      </c>
      <c r="BQ1262" s="549" t="s">
        <v>709</v>
      </c>
      <c r="BR1262" s="549" t="s">
        <v>709</v>
      </c>
      <c r="BS1262" s="549">
        <v>2585</v>
      </c>
      <c r="BT1262" s="549" t="s">
        <v>745</v>
      </c>
      <c r="BU1262" s="549" t="s">
        <v>709</v>
      </c>
      <c r="BV1262" s="549" t="s">
        <v>745</v>
      </c>
      <c r="BW1262" s="549" t="s">
        <v>709</v>
      </c>
      <c r="BX1262" s="549" t="s">
        <v>745</v>
      </c>
      <c r="BY1262" s="549" t="s">
        <v>745</v>
      </c>
      <c r="BZ1262" s="547" t="s">
        <v>709</v>
      </c>
      <c r="CA1262" s="743"/>
      <c r="CB1262" s="547">
        <v>1260</v>
      </c>
      <c r="CC1262" s="1481" t="b">
        <v>1</v>
      </c>
      <c r="CD1262" s="879" t="str">
        <f>Table15[[#This Row],[Engineering Number]]&amp;Table15[[#This Row],[WO Number]]&amp;Table15[[#This Row],[Date Assigned to Designer]]&amp;Table15[[#This Row],[Date Completed]]</f>
        <v>N1248012144104549645610</v>
      </c>
    </row>
    <row r="1263" spans="1:82" customFormat="1" ht="15" customHeight="1" x14ac:dyDescent="0.25">
      <c r="A1263">
        <v>2024</v>
      </c>
      <c r="B1263" s="8" t="s">
        <v>4</v>
      </c>
      <c r="C1263" s="8" t="s">
        <v>372</v>
      </c>
      <c r="D1263" s="8">
        <v>1211967</v>
      </c>
      <c r="E1263" s="8" t="s">
        <v>373</v>
      </c>
      <c r="F1263" s="8" t="s">
        <v>784</v>
      </c>
      <c r="G1263" s="8" t="s">
        <v>27</v>
      </c>
      <c r="H1263" s="8" t="s">
        <v>4189</v>
      </c>
      <c r="I1263" s="642">
        <v>45573</v>
      </c>
      <c r="J1263" s="175" t="s">
        <v>2052</v>
      </c>
      <c r="K1263" s="97">
        <v>45610</v>
      </c>
      <c r="L1263" s="16">
        <f>IF(ISTEXT(Table15[[#This Row],[Engineering Approved Design Date]]),Table15[[#This Row],[Date Completed]]-Table15[[#This Row],[Date Assigned to Designer]],Table15[[#This Row],[Engineering Approved Design Date]]-Table15[[#This Row],[Date Completed]])</f>
        <v>37</v>
      </c>
      <c r="M1263" s="642" t="s">
        <v>6741</v>
      </c>
      <c r="N1263" s="642" t="s">
        <v>120</v>
      </c>
      <c r="O1263" s="1060">
        <v>45627</v>
      </c>
      <c r="P1263" s="1152" t="s">
        <v>739</v>
      </c>
      <c r="Q1263" s="1151">
        <f>SUM(S1263:U1263)</f>
        <v>6580</v>
      </c>
      <c r="R1263" s="1039" t="s">
        <v>1922</v>
      </c>
      <c r="S1263" s="538" t="s">
        <v>29</v>
      </c>
      <c r="T1263" s="538" t="s">
        <v>29</v>
      </c>
      <c r="U1263" s="28">
        <v>6580</v>
      </c>
      <c r="V1263" s="538" t="s">
        <v>29</v>
      </c>
      <c r="W1263" s="343" t="s">
        <v>29</v>
      </c>
      <c r="X1263" s="538" t="s">
        <v>29</v>
      </c>
      <c r="Y1263" s="538" t="s">
        <v>709</v>
      </c>
      <c r="Z1263" s="538" t="s">
        <v>29</v>
      </c>
      <c r="AA1263" s="538" t="s">
        <v>29</v>
      </c>
      <c r="AB1263" s="341" t="s">
        <v>29</v>
      </c>
      <c r="AC1263" s="569" t="s">
        <v>29</v>
      </c>
      <c r="AD1263" s="1149" t="s">
        <v>29</v>
      </c>
      <c r="AE1263" s="568" t="s">
        <v>116</v>
      </c>
      <c r="AF1263" s="569" t="s">
        <v>29</v>
      </c>
      <c r="AG1263" s="569" t="s">
        <v>29</v>
      </c>
      <c r="AH1263" s="536">
        <v>45646</v>
      </c>
      <c r="AI1263" s="1028" t="s">
        <v>29</v>
      </c>
      <c r="AJ1263" s="1029" t="s">
        <v>29</v>
      </c>
      <c r="AK1263" s="1029" t="s">
        <v>29</v>
      </c>
      <c r="AL1263" s="1030" t="s">
        <v>29</v>
      </c>
      <c r="AM1263" s="542" t="s">
        <v>709</v>
      </c>
      <c r="AN1263" s="924"/>
      <c r="AO1263" s="925"/>
      <c r="AP1263" s="926"/>
      <c r="AQ1263" s="926"/>
      <c r="AR1263" s="926"/>
      <c r="AS1263" s="926"/>
      <c r="AT1263" s="926"/>
      <c r="AU1263" s="926"/>
      <c r="AV1263" s="926"/>
      <c r="AW1263" s="927"/>
      <c r="AX1263" s="926"/>
      <c r="AY1263" s="1538" t="s">
        <v>29</v>
      </c>
      <c r="AZ1263" s="1530"/>
      <c r="BA1263" s="1031" t="s">
        <v>5156</v>
      </c>
      <c r="BB1263" s="644" t="s">
        <v>6742</v>
      </c>
      <c r="BC1263" s="544" t="s">
        <v>116</v>
      </c>
      <c r="BD1263" s="544" t="s">
        <v>709</v>
      </c>
      <c r="BE1263" s="544" t="s">
        <v>709</v>
      </c>
      <c r="BF1263" s="544" t="s">
        <v>709</v>
      </c>
      <c r="BG1263" s="548" t="s">
        <v>709</v>
      </c>
      <c r="BH1263" s="615" t="s">
        <v>6743</v>
      </c>
      <c r="BI1263" s="547" t="s">
        <v>709</v>
      </c>
      <c r="BJ1263" s="547" t="s">
        <v>116</v>
      </c>
      <c r="BK1263" s="547" t="s">
        <v>709</v>
      </c>
      <c r="BL1263" s="547" t="s">
        <v>116</v>
      </c>
      <c r="BM1263" s="547" t="s">
        <v>709</v>
      </c>
      <c r="BN1263" s="547" t="s">
        <v>709</v>
      </c>
      <c r="BO1263" s="547" t="s">
        <v>709</v>
      </c>
      <c r="BP1263" s="547" t="s">
        <v>709</v>
      </c>
      <c r="BQ1263" s="547" t="s">
        <v>709</v>
      </c>
      <c r="BR1263" s="547">
        <v>7959</v>
      </c>
      <c r="BS1263" s="547">
        <v>9</v>
      </c>
      <c r="BT1263" s="547" t="s">
        <v>709</v>
      </c>
      <c r="BU1263" s="547" t="s">
        <v>709</v>
      </c>
      <c r="BV1263" s="547" t="s">
        <v>709</v>
      </c>
      <c r="BW1263" s="547" t="s">
        <v>709</v>
      </c>
      <c r="BX1263" s="547" t="s">
        <v>709</v>
      </c>
      <c r="BY1263" s="547" t="s">
        <v>709</v>
      </c>
      <c r="BZ1263" s="547" t="s">
        <v>709</v>
      </c>
      <c r="CA1263" s="483"/>
      <c r="CB1263" s="547">
        <v>1261</v>
      </c>
      <c r="CC1263" s="1481" t="b">
        <v>1</v>
      </c>
      <c r="CD1263" s="879" t="str">
        <f>Table15[[#This Row],[Engineering Number]]&amp;Table15[[#This Row],[WO Number]]&amp;Table15[[#This Row],[Date Assigned to Designer]]&amp;Table15[[#This Row],[Date Completed]]</f>
        <v>N1360612119674557345610</v>
      </c>
    </row>
    <row r="1264" spans="1:82" customFormat="1" ht="15" customHeight="1" x14ac:dyDescent="0.25">
      <c r="A1264">
        <v>2025</v>
      </c>
      <c r="B1264" s="8" t="s">
        <v>730</v>
      </c>
      <c r="C1264" s="8" t="s">
        <v>6762</v>
      </c>
      <c r="D1264" s="8" t="s">
        <v>6763</v>
      </c>
      <c r="E1264" s="8" t="s">
        <v>6764</v>
      </c>
      <c r="F1264" s="8" t="s">
        <v>6643</v>
      </c>
      <c r="G1264" s="8" t="s">
        <v>37</v>
      </c>
      <c r="H1264" s="8" t="s">
        <v>59</v>
      </c>
      <c r="I1264" s="642">
        <v>45491</v>
      </c>
      <c r="J1264" s="18">
        <v>45615</v>
      </c>
      <c r="K1264" s="18">
        <v>45611</v>
      </c>
      <c r="L1264" s="16">
        <f>IF(ISTEXT(Table15[[#This Row],[Engineering Approved Design Date]]),Table15[[#This Row],[Date Completed]]-Table15[[#This Row],[Date Assigned to Designer]],Table15[[#This Row],[Engineering Approved Design Date]]-Table15[[#This Row],[Date Completed]])</f>
        <v>4</v>
      </c>
      <c r="M1264" s="642"/>
      <c r="N1264" s="642" t="s">
        <v>120</v>
      </c>
      <c r="O1264" s="1060">
        <v>45620</v>
      </c>
      <c r="P1264" s="1152" t="s">
        <v>120</v>
      </c>
      <c r="Q1264" s="1061">
        <f>Table15[[#This Row],[Rate]]*Table15[[#This Row],[Construction Cost to Bill From]]</f>
        <v>50089.041900000004</v>
      </c>
      <c r="R1264" s="1039">
        <v>0.09</v>
      </c>
      <c r="S1264" s="1135" t="s">
        <v>29</v>
      </c>
      <c r="T1264" s="538" t="s">
        <v>29</v>
      </c>
      <c r="U1264" s="87" t="s">
        <v>29</v>
      </c>
      <c r="V1264" s="858">
        <f>1700+19+300</f>
        <v>2019</v>
      </c>
      <c r="W1264" s="437">
        <v>0</v>
      </c>
      <c r="X1264" s="538">
        <v>507454.25</v>
      </c>
      <c r="Y1264" s="551"/>
      <c r="Z1264" s="552">
        <v>49090.66</v>
      </c>
      <c r="AA1264" s="552">
        <f>SUM(Table15[[#This Row],[PCTS Investment Amount]:[PCTS Retirement Amount]])</f>
        <v>556544.91</v>
      </c>
      <c r="AB1264" s="341">
        <v>45609</v>
      </c>
      <c r="AC1264" s="569" t="s">
        <v>116</v>
      </c>
      <c r="AD1264" s="1149" t="s">
        <v>116</v>
      </c>
      <c r="AE1264" s="568" t="s">
        <v>116</v>
      </c>
      <c r="AF1264" s="568" t="s">
        <v>116</v>
      </c>
      <c r="AG1264" s="569" t="s">
        <v>29</v>
      </c>
      <c r="AH1264" s="183">
        <v>45735</v>
      </c>
      <c r="AI1264" s="1109">
        <v>0</v>
      </c>
      <c r="AJ1264" s="1110">
        <v>1638.52</v>
      </c>
      <c r="AK1264" s="1110">
        <f>3538+5389</f>
        <v>8927</v>
      </c>
      <c r="AL1264" s="1108">
        <f>SUM(Table15[[#This Row],[Nicor Initiated DBE]:[Staffing]])/(Table15[[#This Row],[Amount Invoiced]])</f>
        <v>0.21093475936500194</v>
      </c>
      <c r="AM1264" s="536" t="s">
        <v>116</v>
      </c>
      <c r="AN1264" s="903" t="s">
        <v>709</v>
      </c>
      <c r="AO1264" s="1536"/>
      <c r="AP1264" s="1537"/>
      <c r="AQ1264" s="1537"/>
      <c r="AR1264" s="1537"/>
      <c r="AS1264" s="888">
        <f>IF(Table15[[#This Row],[PCTS Approved]]="N",0,Table15[[#This Row],[Investment Amount (1'#'#'#'#'#)]]+Table15[[#This Row],[Retirement Amount (3'#'#'#'#'#)]])</f>
        <v>0</v>
      </c>
      <c r="AT1264" s="888">
        <f>IF(Table15[[#This Row],[Approved Construction Cost]]=0,0,Table15[[#This Row],[Approved Construction Cost]]-Table15[[#This Row],[Construction Cost to Bill From]])</f>
        <v>0</v>
      </c>
      <c r="AU1264" s="888">
        <f>IFERROR(Table15[[#This Row],[Difference in Construction Cost]]*Table15[[#This Row],[Rate]],Table15[[#This Row],[Difference in Construction Cost]]*0.085)</f>
        <v>0</v>
      </c>
      <c r="AV1264" s="905"/>
      <c r="AW1264" s="1509"/>
      <c r="AX1264" s="888"/>
      <c r="AY1264" s="636" t="s">
        <v>709</v>
      </c>
      <c r="AZ1264" s="333"/>
      <c r="BA1264" s="1074" t="s">
        <v>6765</v>
      </c>
      <c r="BB1264" s="644" t="s">
        <v>6766</v>
      </c>
      <c r="BC1264" s="544" t="s">
        <v>115</v>
      </c>
      <c r="BD1264" s="554" t="s">
        <v>6767</v>
      </c>
      <c r="BE1264" s="588" t="s">
        <v>115</v>
      </c>
      <c r="BF1264" s="588" t="s">
        <v>6768</v>
      </c>
      <c r="BG1264" s="548" t="s">
        <v>6769</v>
      </c>
      <c r="BH1264" s="615" t="s">
        <v>6770</v>
      </c>
      <c r="BI1264" s="547" t="s">
        <v>709</v>
      </c>
      <c r="BJ1264" s="547" t="s">
        <v>709</v>
      </c>
      <c r="BK1264" s="547" t="s">
        <v>709</v>
      </c>
      <c r="BL1264" s="547" t="s">
        <v>116</v>
      </c>
      <c r="BM1264" s="547" t="s">
        <v>709</v>
      </c>
      <c r="BN1264" s="547" t="s">
        <v>709</v>
      </c>
      <c r="BO1264" s="547" t="s">
        <v>709</v>
      </c>
      <c r="BP1264" s="626" t="s">
        <v>709</v>
      </c>
      <c r="BQ1264" s="626" t="s">
        <v>709</v>
      </c>
      <c r="BR1264" s="549">
        <v>2019</v>
      </c>
      <c r="BS1264" s="549" t="s">
        <v>709</v>
      </c>
      <c r="BT1264" s="547" t="s">
        <v>709</v>
      </c>
      <c r="BU1264" s="547" t="s">
        <v>709</v>
      </c>
      <c r="BV1264" s="547" t="s">
        <v>709</v>
      </c>
      <c r="BW1264" s="547" t="s">
        <v>709</v>
      </c>
      <c r="BX1264" s="547" t="s">
        <v>709</v>
      </c>
      <c r="BY1264" s="547" t="s">
        <v>709</v>
      </c>
      <c r="BZ1264" s="547" t="s">
        <v>709</v>
      </c>
      <c r="CA1264" s="483"/>
      <c r="CB1264" s="547">
        <v>1263</v>
      </c>
      <c r="CC1264" s="1481" t="b">
        <v>1</v>
      </c>
      <c r="CD1264" s="879" t="str">
        <f>Table15[[#This Row],[Engineering Number]]&amp;Table15[[#This Row],[WO Number]]&amp;Table15[[#This Row],[Date Assigned to Designer]]&amp;Table15[[#This Row],[Date Completed]]</f>
        <v>RS123810141384549145611</v>
      </c>
    </row>
    <row r="1265" spans="1:82" customFormat="1" ht="15" customHeight="1" x14ac:dyDescent="0.25">
      <c r="A1265">
        <v>2024</v>
      </c>
      <c r="B1265" s="8" t="s">
        <v>1205</v>
      </c>
      <c r="C1265" s="8" t="s">
        <v>6752</v>
      </c>
      <c r="D1265" s="8" t="s">
        <v>6757</v>
      </c>
      <c r="E1265" s="8" t="s">
        <v>2074</v>
      </c>
      <c r="F1265" s="8" t="s">
        <v>1757</v>
      </c>
      <c r="G1265" s="8" t="s">
        <v>31</v>
      </c>
      <c r="H1265" s="8" t="s">
        <v>59</v>
      </c>
      <c r="I1265" s="642">
        <v>45495</v>
      </c>
      <c r="J1265" s="18">
        <v>45614</v>
      </c>
      <c r="K1265" s="97">
        <v>45611</v>
      </c>
      <c r="L1265" s="16">
        <f>IF(ISTEXT(Table15[[#This Row],[Engineering Approved Design Date]]),Table15[[#This Row],[Date Completed]]-Table15[[#This Row],[Date Assigned to Designer]],Table15[[#This Row],[Engineering Approved Design Date]]-Table15[[#This Row],[Date Completed]])</f>
        <v>3</v>
      </c>
      <c r="M1265" s="642"/>
      <c r="N1265" s="99" t="s">
        <v>120</v>
      </c>
      <c r="O1265" s="1060">
        <v>45597</v>
      </c>
      <c r="P1265" s="1152" t="s">
        <v>739</v>
      </c>
      <c r="Q1265" s="1061">
        <f>Table15[[#This Row],[Rate]]*Table15[[#This Row],[Construction Cost to Bill From]]</f>
        <v>112962.87</v>
      </c>
      <c r="R1265" s="1039">
        <v>0.09</v>
      </c>
      <c r="S1265" s="1135" t="s">
        <v>29</v>
      </c>
      <c r="T1265" s="538" t="s">
        <v>29</v>
      </c>
      <c r="U1265" s="87" t="s">
        <v>29</v>
      </c>
      <c r="V1265" s="858">
        <v>1179</v>
      </c>
      <c r="W1265" s="437">
        <v>0</v>
      </c>
      <c r="X1265" s="538">
        <v>1137993.55</v>
      </c>
      <c r="Y1265" s="550"/>
      <c r="Z1265" s="552">
        <v>117149.45</v>
      </c>
      <c r="AA1265" s="552">
        <f>SUM(Table15[[#This Row],[PCTS Investment Amount]:[PCTS Retirement Amount]])</f>
        <v>1255143</v>
      </c>
      <c r="AB1265" s="341">
        <v>45601</v>
      </c>
      <c r="AC1265" s="569" t="s">
        <v>116</v>
      </c>
      <c r="AD1265" s="1149" t="s">
        <v>29</v>
      </c>
      <c r="AE1265" s="568" t="s">
        <v>29</v>
      </c>
      <c r="AF1265" s="568" t="s">
        <v>116</v>
      </c>
      <c r="AG1265" s="569" t="s">
        <v>116</v>
      </c>
      <c r="AH1265" s="183">
        <v>45672</v>
      </c>
      <c r="AI1265" s="1136">
        <v>64564.5</v>
      </c>
      <c r="AJ1265" s="1110">
        <v>0</v>
      </c>
      <c r="AK1265" s="1134">
        <v>1109.5</v>
      </c>
      <c r="AL1265" s="1108">
        <f>SUM(Table15[[#This Row],[Nicor Initiated DBE]:[Staffing]])/(Table15[[#This Row],[Amount Invoiced]])</f>
        <v>0.58137687188719622</v>
      </c>
      <c r="AM1265" s="536" t="s">
        <v>116</v>
      </c>
      <c r="AN1265" s="903" t="s">
        <v>709</v>
      </c>
      <c r="AO1265" s="1536"/>
      <c r="AP1265" s="1537"/>
      <c r="AQ1265" s="1537"/>
      <c r="AR1265" s="1537"/>
      <c r="AS1265" s="888">
        <f>IF(Table15[[#This Row],[PCTS Approved]]="N",0,Table15[[#This Row],[Investment Amount (1'#'#'#'#'#)]]+Table15[[#This Row],[Retirement Amount (3'#'#'#'#'#)]])</f>
        <v>0</v>
      </c>
      <c r="AT1265" s="888">
        <f>IF(Table15[[#This Row],[Approved Construction Cost]]=0,0,Table15[[#This Row],[Approved Construction Cost]]-Table15[[#This Row],[Construction Cost to Bill From]])</f>
        <v>0</v>
      </c>
      <c r="AU1265" s="888">
        <f>IFERROR(Table15[[#This Row],[Difference in Construction Cost]]*Table15[[#This Row],[Rate]],Table15[[#This Row],[Difference in Construction Cost]]*0.085)</f>
        <v>0</v>
      </c>
      <c r="AV1265" s="905"/>
      <c r="AW1265" s="1509"/>
      <c r="AX1265" s="888"/>
      <c r="AY1265" s="636" t="s">
        <v>709</v>
      </c>
      <c r="AZ1265" s="1532"/>
      <c r="BA1265" s="1031" t="s">
        <v>6815</v>
      </c>
      <c r="BB1265" s="644" t="s">
        <v>6759</v>
      </c>
      <c r="BC1265" s="559" t="s">
        <v>116</v>
      </c>
      <c r="BD1265" s="554" t="s">
        <v>115</v>
      </c>
      <c r="BE1265" s="554" t="s">
        <v>5564</v>
      </c>
      <c r="BF1265" s="588" t="s">
        <v>115</v>
      </c>
      <c r="BG1265" s="588" t="s">
        <v>115</v>
      </c>
      <c r="BH1265" s="615" t="s">
        <v>6760</v>
      </c>
      <c r="BI1265" s="549" t="s">
        <v>709</v>
      </c>
      <c r="BJ1265" s="549" t="s">
        <v>709</v>
      </c>
      <c r="BK1265" s="549" t="s">
        <v>116</v>
      </c>
      <c r="BL1265" s="547" t="s">
        <v>709</v>
      </c>
      <c r="BM1265" s="547" t="s">
        <v>709</v>
      </c>
      <c r="BN1265" s="549">
        <v>1179</v>
      </c>
      <c r="BO1265" s="549" t="s">
        <v>709</v>
      </c>
      <c r="BP1265" s="549" t="s">
        <v>709</v>
      </c>
      <c r="BQ1265" s="549" t="s">
        <v>709</v>
      </c>
      <c r="BR1265" s="549" t="s">
        <v>709</v>
      </c>
      <c r="BS1265" s="549" t="s">
        <v>709</v>
      </c>
      <c r="BT1265" s="549" t="s">
        <v>709</v>
      </c>
      <c r="BU1265" s="549" t="s">
        <v>709</v>
      </c>
      <c r="BV1265" s="549" t="s">
        <v>709</v>
      </c>
      <c r="BW1265" s="549" t="s">
        <v>709</v>
      </c>
      <c r="BX1265" s="549" t="s">
        <v>709</v>
      </c>
      <c r="BY1265" s="549" t="s">
        <v>709</v>
      </c>
      <c r="BZ1265" s="547" t="s">
        <v>709</v>
      </c>
      <c r="CA1265" s="743"/>
      <c r="CB1265" s="547">
        <v>1262</v>
      </c>
      <c r="CC1265" s="1481" t="b">
        <v>1</v>
      </c>
      <c r="CD1265" s="879" t="str">
        <f>Table15[[#This Row],[Engineering Number]]&amp;Table15[[#This Row],[WO Number]]&amp;Table15[[#This Row],[Date Assigned to Designer]]&amp;Table15[[#This Row],[Date Completed]]</f>
        <v>MR216014141404549545611</v>
      </c>
    </row>
    <row r="1266" spans="1:82" customFormat="1" ht="15" customHeight="1" x14ac:dyDescent="0.25">
      <c r="A1266">
        <v>2024</v>
      </c>
      <c r="B1266" s="8" t="s">
        <v>1205</v>
      </c>
      <c r="C1266" s="8" t="s">
        <v>6752</v>
      </c>
      <c r="D1266" s="8">
        <v>1414140</v>
      </c>
      <c r="E1266" s="8" t="s">
        <v>2074</v>
      </c>
      <c r="F1266" s="8" t="s">
        <v>1757</v>
      </c>
      <c r="G1266" s="8" t="s">
        <v>31</v>
      </c>
      <c r="H1266" s="8" t="s">
        <v>4450</v>
      </c>
      <c r="I1266" s="642">
        <v>45560</v>
      </c>
      <c r="J1266" s="175" t="s">
        <v>2612</v>
      </c>
      <c r="K1266" s="18">
        <v>45611</v>
      </c>
      <c r="L1266" s="16">
        <f>IF(ISTEXT(Table15[[#This Row],[Engineering Approved Design Date]]),Table15[[#This Row],[Date Completed]]-Table15[[#This Row],[Date Assigned to Designer]],Table15[[#This Row],[Engineering Approved Design Date]]-Table15[[#This Row],[Date Completed]])</f>
        <v>51</v>
      </c>
      <c r="M1266" t="s">
        <v>6753</v>
      </c>
      <c r="N1266" s="642" t="s">
        <v>120</v>
      </c>
      <c r="O1266" s="1060">
        <v>45627</v>
      </c>
      <c r="P1266" s="1152" t="s">
        <v>739</v>
      </c>
      <c r="Q1266" s="1061">
        <f>Table15[[#This Row],[KH Hourly Effort]]</f>
        <v>22132.5</v>
      </c>
      <c r="R1266" s="1039" t="s">
        <v>1922</v>
      </c>
      <c r="S1266" s="538">
        <v>0</v>
      </c>
      <c r="T1266" s="538">
        <v>0</v>
      </c>
      <c r="U1266" s="87">
        <v>22132.5</v>
      </c>
      <c r="V1266" s="858" t="s">
        <v>29</v>
      </c>
      <c r="W1266" s="437" t="s">
        <v>29</v>
      </c>
      <c r="X1266" s="538" t="s">
        <v>29</v>
      </c>
      <c r="Y1266" s="551"/>
      <c r="Z1266" s="538" t="s">
        <v>29</v>
      </c>
      <c r="AA1266" s="552" t="s">
        <v>29</v>
      </c>
      <c r="AB1266" s="341" t="s">
        <v>29</v>
      </c>
      <c r="AC1266" s="569" t="s">
        <v>29</v>
      </c>
      <c r="AD1266" s="1149" t="s">
        <v>29</v>
      </c>
      <c r="AE1266" s="568" t="s">
        <v>29</v>
      </c>
      <c r="AF1266" s="568" t="s">
        <v>29</v>
      </c>
      <c r="AG1266" s="569" t="s">
        <v>29</v>
      </c>
      <c r="AH1266" s="183" t="s">
        <v>29</v>
      </c>
      <c r="AI1266" s="1028" t="s">
        <v>29</v>
      </c>
      <c r="AJ1266" s="1029" t="s">
        <v>29</v>
      </c>
      <c r="AK1266" s="1029" t="s">
        <v>29</v>
      </c>
      <c r="AL1266" s="1030" t="s">
        <v>29</v>
      </c>
      <c r="AM1266" s="542" t="s">
        <v>709</v>
      </c>
      <c r="AN1266" s="924"/>
      <c r="AO1266" s="925"/>
      <c r="AP1266" s="926"/>
      <c r="AQ1266" s="926"/>
      <c r="AR1266" s="926"/>
      <c r="AS1266" s="926"/>
      <c r="AT1266" s="926"/>
      <c r="AU1266" s="926"/>
      <c r="AV1266" s="926"/>
      <c r="AW1266" s="927"/>
      <c r="AX1266" s="926"/>
      <c r="AY1266" s="1538" t="s">
        <v>29</v>
      </c>
      <c r="AZ1266" s="1532"/>
      <c r="BA1266" s="1031" t="s">
        <v>6754</v>
      </c>
      <c r="BB1266" s="644" t="s">
        <v>29</v>
      </c>
      <c r="BC1266" s="544" t="s">
        <v>116</v>
      </c>
      <c r="BD1266" s="544" t="s">
        <v>709</v>
      </c>
      <c r="BE1266" s="544" t="s">
        <v>5564</v>
      </c>
      <c r="BF1266" s="544" t="s">
        <v>709</v>
      </c>
      <c r="BG1266" s="544" t="s">
        <v>709</v>
      </c>
      <c r="BH1266" s="615" t="s">
        <v>6755</v>
      </c>
      <c r="BI1266" s="547"/>
      <c r="BJ1266" s="547"/>
      <c r="BK1266" s="547"/>
      <c r="BL1266" s="547"/>
      <c r="BM1266" s="547"/>
      <c r="BN1266" s="547"/>
      <c r="BO1266" s="547"/>
      <c r="BP1266" s="547"/>
      <c r="BQ1266" s="547"/>
      <c r="BR1266" s="547"/>
      <c r="BS1266" s="547"/>
      <c r="BT1266" s="547"/>
      <c r="BU1266" s="547"/>
      <c r="BV1266" s="547"/>
      <c r="BW1266" s="547"/>
      <c r="BX1266" s="547"/>
      <c r="BY1266" s="547"/>
      <c r="BZ1266" s="547"/>
      <c r="CA1266" s="483"/>
      <c r="CB1266" s="547">
        <v>1264</v>
      </c>
      <c r="CC1266" s="1481" t="b">
        <v>1</v>
      </c>
      <c r="CD1266" s="879" t="str">
        <f>Table15[[#This Row],[Engineering Number]]&amp;Table15[[#This Row],[WO Number]]&amp;Table15[[#This Row],[Date Assigned to Designer]]&amp;Table15[[#This Row],[Date Completed]]</f>
        <v>MR216014141404556045611</v>
      </c>
    </row>
    <row r="1267" spans="1:82" customFormat="1" ht="15" customHeight="1" x14ac:dyDescent="0.25">
      <c r="A1267">
        <v>2025</v>
      </c>
      <c r="B1267" s="8" t="s">
        <v>730</v>
      </c>
      <c r="C1267" s="8" t="s">
        <v>6772</v>
      </c>
      <c r="D1267" s="8" t="s">
        <v>6773</v>
      </c>
      <c r="E1267" s="8" t="s">
        <v>6774</v>
      </c>
      <c r="F1267" s="8" t="s">
        <v>6643</v>
      </c>
      <c r="G1267" s="8" t="s">
        <v>34</v>
      </c>
      <c r="H1267" s="8" t="s">
        <v>59</v>
      </c>
      <c r="I1267" s="642">
        <v>45470</v>
      </c>
      <c r="J1267" s="18">
        <v>45618</v>
      </c>
      <c r="K1267" s="18">
        <v>45617</v>
      </c>
      <c r="L1267" s="16">
        <f>IF(ISTEXT(Table15[[#This Row],[Engineering Approved Design Date]]),Table15[[#This Row],[Date Completed]]-Table15[[#This Row],[Date Assigned to Designer]],Table15[[#This Row],[Engineering Approved Design Date]]-Table15[[#This Row],[Date Completed]])</f>
        <v>1</v>
      </c>
      <c r="M1267" s="13"/>
      <c r="N1267" s="770" t="s">
        <v>120</v>
      </c>
      <c r="O1267" s="1060">
        <v>45627</v>
      </c>
      <c r="P1267" s="1152" t="s">
        <v>120</v>
      </c>
      <c r="Q1267" s="340">
        <f>Table15[[#This Row],[Rate]]*Table15[[#This Row],[Construction Cost to Bill From]]</f>
        <v>89413.880599999989</v>
      </c>
      <c r="R1267" s="1039">
        <v>0.11</v>
      </c>
      <c r="S1267" s="1135" t="s">
        <v>29</v>
      </c>
      <c r="T1267" s="538" t="s">
        <v>29</v>
      </c>
      <c r="U1267" s="28" t="s">
        <v>29</v>
      </c>
      <c r="V1267" s="858">
        <v>5051</v>
      </c>
      <c r="W1267" s="437">
        <v>0</v>
      </c>
      <c r="X1267" s="552">
        <v>712022.75</v>
      </c>
      <c r="Y1267" s="551"/>
      <c r="Z1267" s="552">
        <v>100830.71</v>
      </c>
      <c r="AA1267" s="552">
        <f>SUM(Table15[[#This Row],[PCTS Investment Amount]:[PCTS Retirement Amount]])</f>
        <v>812853.46</v>
      </c>
      <c r="AB1267" s="341">
        <v>45636</v>
      </c>
      <c r="AC1267" s="568" t="s">
        <v>1056</v>
      </c>
      <c r="AD1267" s="1159" t="s">
        <v>29</v>
      </c>
      <c r="AE1267" s="573" t="s">
        <v>116</v>
      </c>
      <c r="AF1267" s="573" t="s">
        <v>29</v>
      </c>
      <c r="AG1267" s="569" t="s">
        <v>376</v>
      </c>
      <c r="AH1267" s="573" t="s">
        <v>376</v>
      </c>
      <c r="AI1267" s="1109">
        <v>10450</v>
      </c>
      <c r="AJ1267" s="1110">
        <v>0</v>
      </c>
      <c r="AK1267" s="1143">
        <v>3450</v>
      </c>
      <c r="AL1267" s="1108">
        <f>SUM(Table15[[#This Row],[Nicor Initiated DBE]:[Staffing]])/(Table15[[#This Row],[Amount Invoiced]])</f>
        <v>0.15545684749085817</v>
      </c>
      <c r="AM1267" s="536" t="s">
        <v>116</v>
      </c>
      <c r="AN1267" s="903" t="s">
        <v>709</v>
      </c>
      <c r="AO1267" s="1536"/>
      <c r="AP1267" s="1537"/>
      <c r="AQ1267" s="1537"/>
      <c r="AR1267" s="1537"/>
      <c r="AS1267" s="888">
        <f>IF(Table15[[#This Row],[PCTS Approved]]="N",0,Table15[[#This Row],[Investment Amount (1'#'#'#'#'#)]]+Table15[[#This Row],[Retirement Amount (3'#'#'#'#'#)]])</f>
        <v>0</v>
      </c>
      <c r="AT1267" s="888">
        <f>IF(Table15[[#This Row],[Approved Construction Cost]]=0,0,Table15[[#This Row],[Approved Construction Cost]]-Table15[[#This Row],[Construction Cost to Bill From]])</f>
        <v>0</v>
      </c>
      <c r="AU1267" s="888">
        <f>IFERROR(Table15[[#This Row],[Difference in Construction Cost]]*Table15[[#This Row],[Rate]],Table15[[#This Row],[Difference in Construction Cost]]*0.085)</f>
        <v>0</v>
      </c>
      <c r="AV1267" s="905"/>
      <c r="AW1267" s="1509"/>
      <c r="AX1267" s="888"/>
      <c r="AY1267" s="636" t="s">
        <v>709</v>
      </c>
      <c r="AZ1267" s="333"/>
      <c r="BA1267" s="1074" t="s">
        <v>6775</v>
      </c>
      <c r="BB1267" s="644" t="s">
        <v>6776</v>
      </c>
      <c r="BC1267" s="544" t="s">
        <v>115</v>
      </c>
      <c r="BD1267" s="544" t="s">
        <v>115</v>
      </c>
      <c r="BE1267" s="544" t="s">
        <v>115</v>
      </c>
      <c r="BF1267" s="544" t="s">
        <v>6777</v>
      </c>
      <c r="BG1267" s="548" t="s">
        <v>115</v>
      </c>
      <c r="BH1267" s="615" t="s">
        <v>6778</v>
      </c>
      <c r="BI1267" s="547" t="s">
        <v>709</v>
      </c>
      <c r="BJ1267" s="547" t="s">
        <v>116</v>
      </c>
      <c r="BK1267" s="547" t="s">
        <v>709</v>
      </c>
      <c r="BL1267" s="547" t="s">
        <v>116</v>
      </c>
      <c r="BM1267" s="547" t="s">
        <v>709</v>
      </c>
      <c r="BN1267" s="547" t="s">
        <v>709</v>
      </c>
      <c r="BO1267" s="547" t="s">
        <v>709</v>
      </c>
      <c r="BP1267" s="626" t="s">
        <v>709</v>
      </c>
      <c r="BQ1267" s="626" t="s">
        <v>709</v>
      </c>
      <c r="BR1267" s="549">
        <v>4954</v>
      </c>
      <c r="BS1267" s="549">
        <v>97</v>
      </c>
      <c r="BT1267" s="547" t="s">
        <v>709</v>
      </c>
      <c r="BU1267" s="547">
        <v>1</v>
      </c>
      <c r="BV1267" s="547" t="s">
        <v>709</v>
      </c>
      <c r="BW1267" s="547" t="s">
        <v>709</v>
      </c>
      <c r="BX1267" s="547" t="s">
        <v>709</v>
      </c>
      <c r="BY1267" s="547" t="s">
        <v>709</v>
      </c>
      <c r="BZ1267" s="547" t="s">
        <v>709</v>
      </c>
      <c r="CA1267" s="483"/>
      <c r="CB1267" s="547">
        <v>1265</v>
      </c>
      <c r="CC1267" s="1481" t="b">
        <v>1</v>
      </c>
      <c r="CD1267" s="879" t="str">
        <f>Table15[[#This Row],[Engineering Number]]&amp;Table15[[#This Row],[WO Number]]&amp;Table15[[#This Row],[Date Assigned to Designer]]&amp;Table15[[#This Row],[Date Completed]]</f>
        <v>RS123310140924547045617</v>
      </c>
    </row>
    <row r="1268" spans="1:82" customFormat="1" ht="15" customHeight="1" x14ac:dyDescent="0.25">
      <c r="A1268">
        <v>2024</v>
      </c>
      <c r="B1268" s="8" t="s">
        <v>4</v>
      </c>
      <c r="C1268" s="8" t="s">
        <v>6780</v>
      </c>
      <c r="D1268" s="8" t="s">
        <v>6475</v>
      </c>
      <c r="E1268" s="8" t="s">
        <v>111</v>
      </c>
      <c r="F1268" s="8" t="s">
        <v>784</v>
      </c>
      <c r="G1268" s="8" t="s">
        <v>26</v>
      </c>
      <c r="H1268" s="8" t="s">
        <v>4189</v>
      </c>
      <c r="I1268" s="642">
        <v>45588</v>
      </c>
      <c r="J1268" s="175" t="s">
        <v>2052</v>
      </c>
      <c r="K1268" s="175">
        <v>45618</v>
      </c>
      <c r="L1268" s="16">
        <f>IF(ISTEXT(Table15[[#This Row],[Engineering Approved Design Date]]),Table15[[#This Row],[Date Completed]]-Table15[[#This Row],[Date Assigned to Designer]],Table15[[#This Row],[Engineering Approved Design Date]]-Table15[[#This Row],[Date Completed]])</f>
        <v>30</v>
      </c>
      <c r="M1268" s="642" t="s">
        <v>6781</v>
      </c>
      <c r="N1268" s="642" t="s">
        <v>120</v>
      </c>
      <c r="O1268" s="1060">
        <v>45627</v>
      </c>
      <c r="P1268" s="1152" t="s">
        <v>739</v>
      </c>
      <c r="Q1268" s="340">
        <f>SUM(Table15[[#This Row],[Shactee Effort]:[KH Hourly Effort]])</f>
        <v>14648</v>
      </c>
      <c r="R1268" s="1039" t="s">
        <v>1922</v>
      </c>
      <c r="S1268" s="538">
        <f>2323.75+144.25</f>
        <v>2468</v>
      </c>
      <c r="T1268" s="538">
        <v>0</v>
      </c>
      <c r="U1268" s="28">
        <v>12180</v>
      </c>
      <c r="V1268" s="538" t="s">
        <v>29</v>
      </c>
      <c r="W1268" s="343" t="s">
        <v>29</v>
      </c>
      <c r="X1268" s="538" t="s">
        <v>29</v>
      </c>
      <c r="Y1268" s="538" t="s">
        <v>709</v>
      </c>
      <c r="Z1268" s="538" t="s">
        <v>29</v>
      </c>
      <c r="AA1268" s="538" t="s">
        <v>29</v>
      </c>
      <c r="AB1268" s="341" t="s">
        <v>29</v>
      </c>
      <c r="AC1268" s="569" t="s">
        <v>709</v>
      </c>
      <c r="AD1268" s="1149" t="s">
        <v>29</v>
      </c>
      <c r="AE1268" s="568" t="s">
        <v>116</v>
      </c>
      <c r="AF1268" s="569" t="s">
        <v>116</v>
      </c>
      <c r="AG1268" s="569" t="s">
        <v>116</v>
      </c>
      <c r="AH1268" s="536">
        <v>45646</v>
      </c>
      <c r="AI1268" s="1028" t="s">
        <v>29</v>
      </c>
      <c r="AJ1268" s="1029" t="s">
        <v>29</v>
      </c>
      <c r="AK1268" s="1029" t="s">
        <v>29</v>
      </c>
      <c r="AL1268" s="1030" t="s">
        <v>29</v>
      </c>
      <c r="AM1268" s="542" t="s">
        <v>709</v>
      </c>
      <c r="AN1268" s="924"/>
      <c r="AO1268" s="925"/>
      <c r="AP1268" s="926"/>
      <c r="AQ1268" s="926"/>
      <c r="AR1268" s="926"/>
      <c r="AS1268" s="926"/>
      <c r="AT1268" s="926"/>
      <c r="AU1268" s="926"/>
      <c r="AV1268" s="926"/>
      <c r="AW1268" s="927"/>
      <c r="AX1268" s="926"/>
      <c r="AY1268" s="1538" t="s">
        <v>29</v>
      </c>
      <c r="AZ1268" s="1530"/>
      <c r="BA1268" s="1031">
        <v>2</v>
      </c>
      <c r="BB1268" s="644" t="s">
        <v>6782</v>
      </c>
      <c r="BC1268" s="559" t="s">
        <v>116</v>
      </c>
      <c r="BD1268" s="559" t="s">
        <v>709</v>
      </c>
      <c r="BE1268" s="554" t="s">
        <v>1114</v>
      </c>
      <c r="BF1268" s="588" t="s">
        <v>709</v>
      </c>
      <c r="BG1268" s="588" t="s">
        <v>709</v>
      </c>
      <c r="BH1268" s="615" t="s">
        <v>6783</v>
      </c>
      <c r="BI1268" s="549" t="s">
        <v>709</v>
      </c>
      <c r="BJ1268" s="549" t="s">
        <v>709</v>
      </c>
      <c r="BK1268" s="549" t="s">
        <v>709</v>
      </c>
      <c r="BL1268" s="547" t="s">
        <v>116</v>
      </c>
      <c r="BM1268" s="549" t="s">
        <v>709</v>
      </c>
      <c r="BN1268" s="549" t="s">
        <v>709</v>
      </c>
      <c r="BO1268" s="549" t="s">
        <v>709</v>
      </c>
      <c r="BP1268" s="549" t="s">
        <v>709</v>
      </c>
      <c r="BQ1268" s="549" t="s">
        <v>709</v>
      </c>
      <c r="BR1268" s="549">
        <v>747</v>
      </c>
      <c r="BS1268" s="547">
        <v>5179</v>
      </c>
      <c r="BT1268" s="549" t="s">
        <v>709</v>
      </c>
      <c r="BU1268" s="549" t="s">
        <v>709</v>
      </c>
      <c r="BV1268" s="549" t="s">
        <v>709</v>
      </c>
      <c r="BW1268" s="549" t="s">
        <v>709</v>
      </c>
      <c r="BX1268" s="549" t="s">
        <v>709</v>
      </c>
      <c r="BY1268" s="549" t="s">
        <v>709</v>
      </c>
      <c r="BZ1268" s="547" t="s">
        <v>709</v>
      </c>
      <c r="CA1268" s="483"/>
      <c r="CB1268" s="547">
        <v>1266</v>
      </c>
      <c r="CC1268" s="1481" t="b">
        <v>1</v>
      </c>
      <c r="CD1268" s="879" t="str">
        <f>Table15[[#This Row],[Engineering Number]]&amp;Table15[[#This Row],[WO Number]]&amp;Table15[[#This Row],[Date Assigned to Designer]]&amp;Table15[[#This Row],[Date Completed]]</f>
        <v>N17175/NBA10014004 12131414558845618</v>
      </c>
    </row>
    <row r="1269" spans="1:82" customFormat="1" ht="15" customHeight="1" x14ac:dyDescent="0.25">
      <c r="A1269">
        <v>2025</v>
      </c>
      <c r="B1269" s="8" t="s">
        <v>730</v>
      </c>
      <c r="C1269" s="8" t="s">
        <v>6785</v>
      </c>
      <c r="D1269" s="8" t="s">
        <v>6786</v>
      </c>
      <c r="E1269" s="8" t="s">
        <v>2258</v>
      </c>
      <c r="F1269" s="8" t="s">
        <v>6643</v>
      </c>
      <c r="G1269" s="8" t="s">
        <v>37</v>
      </c>
      <c r="H1269" s="8" t="s">
        <v>59</v>
      </c>
      <c r="I1269" s="642">
        <v>45518</v>
      </c>
      <c r="J1269" s="449">
        <v>45621</v>
      </c>
      <c r="K1269" s="175">
        <v>45621</v>
      </c>
      <c r="L1269" s="16">
        <f>IF(ISTEXT(Table15[[#This Row],[Engineering Approved Design Date]]),Table15[[#This Row],[Date Completed]]-Table15[[#This Row],[Date Assigned to Designer]],Table15[[#This Row],[Engineering Approved Design Date]]-Table15[[#This Row],[Date Completed]])</f>
        <v>0</v>
      </c>
      <c r="M1269" s="13"/>
      <c r="N1269" s="99" t="s">
        <v>120</v>
      </c>
      <c r="O1269" s="1060">
        <v>45627</v>
      </c>
      <c r="P1269" s="1152" t="s">
        <v>120</v>
      </c>
      <c r="Q1269" s="340">
        <f>Table15[[#This Row],[Rate]]*Table15[[#This Row],[Construction Cost to Bill From]]</f>
        <v>34409.454299999998</v>
      </c>
      <c r="R1269" s="1039">
        <v>0.09</v>
      </c>
      <c r="S1269" s="538" t="s">
        <v>29</v>
      </c>
      <c r="T1269" s="538" t="s">
        <v>29</v>
      </c>
      <c r="U1269" s="28" t="s">
        <v>29</v>
      </c>
      <c r="V1269" s="858">
        <v>2602</v>
      </c>
      <c r="W1269" s="437">
        <v>0</v>
      </c>
      <c r="X1269" s="552">
        <v>334865.09000000003</v>
      </c>
      <c r="Y1269" s="551"/>
      <c r="Z1269" s="552">
        <v>47462.18</v>
      </c>
      <c r="AA1269" s="552">
        <f>SUM(Table15[[#This Row],[PCTS Investment Amount]:[PCTS Retirement Amount]])</f>
        <v>382327.27</v>
      </c>
      <c r="AB1269" s="341">
        <v>45637</v>
      </c>
      <c r="AC1269" s="568" t="s">
        <v>709</v>
      </c>
      <c r="AD1269" s="1159" t="s">
        <v>116</v>
      </c>
      <c r="AE1269" s="573" t="s">
        <v>116</v>
      </c>
      <c r="AF1269" s="573" t="s">
        <v>29</v>
      </c>
      <c r="AG1269" s="569" t="s">
        <v>376</v>
      </c>
      <c r="AH1269" s="573" t="s">
        <v>376</v>
      </c>
      <c r="AI1269" s="1109">
        <v>0</v>
      </c>
      <c r="AJ1269" s="1110">
        <v>0</v>
      </c>
      <c r="AK1269" s="1143">
        <v>7167</v>
      </c>
      <c r="AL1269" s="1108">
        <f>SUM(Table15[[#This Row],[Nicor Initiated DBE]:[Staffing]])/(Table15[[#This Row],[Amount Invoiced]])</f>
        <v>0.20828577917900898</v>
      </c>
      <c r="AM1269" s="536" t="s">
        <v>116</v>
      </c>
      <c r="AN1269" s="903" t="s">
        <v>709</v>
      </c>
      <c r="AO1269" s="1536"/>
      <c r="AP1269" s="1537"/>
      <c r="AQ1269" s="1537"/>
      <c r="AR1269" s="1537"/>
      <c r="AS1269" s="888">
        <f>IF(Table15[[#This Row],[PCTS Approved]]="N",0,Table15[[#This Row],[Investment Amount (1'#'#'#'#'#)]]+Table15[[#This Row],[Retirement Amount (3'#'#'#'#'#)]])</f>
        <v>0</v>
      </c>
      <c r="AT1269" s="888">
        <f>IF(Table15[[#This Row],[Approved Construction Cost]]=0,0,Table15[[#This Row],[Approved Construction Cost]]-Table15[[#This Row],[Construction Cost to Bill From]])</f>
        <v>0</v>
      </c>
      <c r="AU1269" s="888">
        <f>IFERROR(Table15[[#This Row],[Difference in Construction Cost]]*Table15[[#This Row],[Rate]],Table15[[#This Row],[Difference in Construction Cost]]*0.085)</f>
        <v>0</v>
      </c>
      <c r="AV1269" s="905"/>
      <c r="AW1269" s="1509"/>
      <c r="AX1269" s="888"/>
      <c r="AY1269" s="636" t="s">
        <v>709</v>
      </c>
      <c r="AZ1269" s="333"/>
      <c r="BA1269" s="13" t="s">
        <v>6787</v>
      </c>
      <c r="BB1269" s="100" t="s">
        <v>6788</v>
      </c>
      <c r="BC1269" s="544" t="s">
        <v>115</v>
      </c>
      <c r="BD1269" s="544" t="s">
        <v>115</v>
      </c>
      <c r="BE1269" s="544" t="s">
        <v>5873</v>
      </c>
      <c r="BF1269" s="544" t="s">
        <v>115</v>
      </c>
      <c r="BG1269" s="548" t="s">
        <v>115</v>
      </c>
      <c r="BH1269" s="615" t="s">
        <v>6789</v>
      </c>
      <c r="BI1269" s="547" t="s">
        <v>709</v>
      </c>
      <c r="BJ1269" s="547" t="s">
        <v>709</v>
      </c>
      <c r="BK1269" s="547" t="s">
        <v>709</v>
      </c>
      <c r="BL1269" s="547" t="s">
        <v>116</v>
      </c>
      <c r="BM1269" s="547" t="s">
        <v>709</v>
      </c>
      <c r="BN1269" s="547" t="s">
        <v>709</v>
      </c>
      <c r="BO1269" s="547" t="s">
        <v>709</v>
      </c>
      <c r="BP1269" s="626" t="s">
        <v>709</v>
      </c>
      <c r="BQ1269" s="626" t="s">
        <v>709</v>
      </c>
      <c r="BR1269" s="549" t="s">
        <v>709</v>
      </c>
      <c r="BS1269" s="549">
        <v>2602</v>
      </c>
      <c r="BT1269" s="547" t="s">
        <v>709</v>
      </c>
      <c r="BU1269" s="547" t="s">
        <v>709</v>
      </c>
      <c r="BV1269" s="547" t="s">
        <v>709</v>
      </c>
      <c r="BW1269" s="547" t="s">
        <v>709</v>
      </c>
      <c r="BX1269" s="547" t="s">
        <v>709</v>
      </c>
      <c r="BY1269" s="547" t="s">
        <v>709</v>
      </c>
      <c r="BZ1269" s="547" t="s">
        <v>709</v>
      </c>
      <c r="CA1269" s="483" t="s">
        <v>6790</v>
      </c>
      <c r="CB1269" s="547">
        <v>1267</v>
      </c>
      <c r="CC1269" s="1481" t="b">
        <v>1</v>
      </c>
      <c r="CD1269" s="879" t="str">
        <f>Table15[[#This Row],[Engineering Number]]&amp;Table15[[#This Row],[WO Number]]&amp;Table15[[#This Row],[Date Assigned to Designer]]&amp;Table15[[#This Row],[Date Completed]]</f>
        <v>RS125410142364551845621</v>
      </c>
    </row>
    <row r="1270" spans="1:82" customFormat="1" ht="15" customHeight="1" x14ac:dyDescent="0.25">
      <c r="A1270">
        <v>2024</v>
      </c>
      <c r="B1270" s="8" t="s">
        <v>4</v>
      </c>
      <c r="C1270" s="8" t="s">
        <v>6792</v>
      </c>
      <c r="D1270" s="8" t="s">
        <v>6793</v>
      </c>
      <c r="E1270" s="8" t="s">
        <v>3528</v>
      </c>
      <c r="F1270" s="8" t="s">
        <v>784</v>
      </c>
      <c r="G1270" s="8" t="s">
        <v>25</v>
      </c>
      <c r="H1270" s="8" t="s">
        <v>59</v>
      </c>
      <c r="I1270" s="642">
        <v>45163</v>
      </c>
      <c r="J1270" s="18">
        <v>45625</v>
      </c>
      <c r="K1270" s="18">
        <v>45623</v>
      </c>
      <c r="L1270" s="16">
        <f>IF(ISTEXT(Table15[[#This Row],[Engineering Approved Design Date]]),Table15[[#This Row],[Date Completed]]-Table15[[#This Row],[Date Assigned to Designer]],Table15[[#This Row],[Engineering Approved Design Date]]-Table15[[#This Row],[Date Completed]])</f>
        <v>2</v>
      </c>
      <c r="M1270" s="642"/>
      <c r="N1270" s="99" t="s">
        <v>120</v>
      </c>
      <c r="O1270" s="1060">
        <v>45627</v>
      </c>
      <c r="P1270" s="1152" t="s">
        <v>739</v>
      </c>
      <c r="Q1270" s="340">
        <f>Table15[[#This Row],[Rate]]*Table15[[#This Row],[Construction Cost to Bill From]]</f>
        <v>255329.68899999998</v>
      </c>
      <c r="R1270" s="1026">
        <v>0.1</v>
      </c>
      <c r="S1270" s="538" t="s">
        <v>29</v>
      </c>
      <c r="T1270" s="538" t="s">
        <v>29</v>
      </c>
      <c r="U1270" s="28" t="s">
        <v>29</v>
      </c>
      <c r="V1270" s="858">
        <v>9544</v>
      </c>
      <c r="W1270" s="437">
        <v>0</v>
      </c>
      <c r="X1270" s="552">
        <v>2253330.7599999998</v>
      </c>
      <c r="Y1270" s="551"/>
      <c r="Z1270" s="552">
        <v>299966.13</v>
      </c>
      <c r="AA1270" s="552">
        <f>SUM(Table15[[#This Row],[PCTS Investment Amount]:[PCTS Retirement Amount]])</f>
        <v>2553296.8899999997</v>
      </c>
      <c r="AB1270" s="341">
        <v>45608</v>
      </c>
      <c r="AC1270" s="569" t="s">
        <v>116</v>
      </c>
      <c r="AD1270" s="1149" t="s">
        <v>29</v>
      </c>
      <c r="AE1270" s="568" t="s">
        <v>756</v>
      </c>
      <c r="AF1270" s="568" t="s">
        <v>29</v>
      </c>
      <c r="AG1270" s="183" t="s">
        <v>116</v>
      </c>
      <c r="AH1270" s="183">
        <v>45646</v>
      </c>
      <c r="AI1270" s="1109">
        <v>0</v>
      </c>
      <c r="AJ1270" s="1110">
        <v>17900</v>
      </c>
      <c r="AK1270" s="1134">
        <v>56473.25</v>
      </c>
      <c r="AL1270" s="1108">
        <f>SUM(Table15[[#This Row],[Nicor Initiated DBE]:[Staffing]])/(Table15[[#This Row],[Amount Invoiced]])</f>
        <v>0.29128320443769468</v>
      </c>
      <c r="AM1270" s="536" t="s">
        <v>116</v>
      </c>
      <c r="AN1270" s="903" t="s">
        <v>709</v>
      </c>
      <c r="AO1270" s="1536"/>
      <c r="AP1270" s="1537"/>
      <c r="AQ1270" s="1537"/>
      <c r="AR1270" s="1537"/>
      <c r="AS1270" s="888">
        <f>IF(Table15[[#This Row],[PCTS Approved]]="N",0,Table15[[#This Row],[Investment Amount (1'#'#'#'#'#)]]+Table15[[#This Row],[Retirement Amount (3'#'#'#'#'#)]])</f>
        <v>0</v>
      </c>
      <c r="AT1270" s="888">
        <f>IF(Table15[[#This Row],[Approved Construction Cost]]=0,0,Table15[[#This Row],[Approved Construction Cost]]-Table15[[#This Row],[Construction Cost to Bill From]])</f>
        <v>0</v>
      </c>
      <c r="AU1270" s="888">
        <f>IFERROR(Table15[[#This Row],[Difference in Construction Cost]]*Table15[[#This Row],[Rate]],Table15[[#This Row],[Difference in Construction Cost]]*0.085)</f>
        <v>0</v>
      </c>
      <c r="AV1270" s="905"/>
      <c r="AW1270" s="1509"/>
      <c r="AX1270" s="888"/>
      <c r="AY1270" s="636" t="s">
        <v>709</v>
      </c>
      <c r="AZ1270" s="333"/>
      <c r="BA1270" s="1031" t="s">
        <v>6794</v>
      </c>
      <c r="BB1270" s="644" t="s">
        <v>4666</v>
      </c>
      <c r="BC1270" s="544" t="s">
        <v>115</v>
      </c>
      <c r="BD1270" s="559" t="s">
        <v>1066</v>
      </c>
      <c r="BE1270" s="554" t="s">
        <v>6406</v>
      </c>
      <c r="BF1270" s="588" t="s">
        <v>115</v>
      </c>
      <c r="BG1270" s="588" t="s">
        <v>115</v>
      </c>
      <c r="BH1270" s="615" t="s">
        <v>6795</v>
      </c>
      <c r="BI1270" s="549" t="s">
        <v>709</v>
      </c>
      <c r="BJ1270" s="549" t="s">
        <v>709</v>
      </c>
      <c r="BK1270" s="549" t="s">
        <v>709</v>
      </c>
      <c r="BL1270" s="547" t="s">
        <v>116</v>
      </c>
      <c r="BM1270" s="549" t="s">
        <v>709</v>
      </c>
      <c r="BN1270" s="549" t="s">
        <v>709</v>
      </c>
      <c r="BO1270" s="549">
        <v>4</v>
      </c>
      <c r="BP1270" s="549">
        <v>70</v>
      </c>
      <c r="BQ1270" s="549">
        <v>1995</v>
      </c>
      <c r="BR1270" s="549">
        <v>3648</v>
      </c>
      <c r="BS1270" s="549">
        <v>3827</v>
      </c>
      <c r="BT1270" s="549" t="s">
        <v>745</v>
      </c>
      <c r="BU1270" s="549" t="s">
        <v>709</v>
      </c>
      <c r="BV1270" s="549" t="s">
        <v>745</v>
      </c>
      <c r="BW1270" s="549" t="s">
        <v>709</v>
      </c>
      <c r="BX1270" s="549" t="s">
        <v>745</v>
      </c>
      <c r="BY1270" s="549" t="s">
        <v>745</v>
      </c>
      <c r="BZ1270" s="547" t="s">
        <v>709</v>
      </c>
      <c r="CA1270" s="483" t="s">
        <v>6796</v>
      </c>
      <c r="CB1270" s="547">
        <v>1268</v>
      </c>
      <c r="CC1270" s="1481" t="b">
        <v>1</v>
      </c>
      <c r="CD1270" s="879" t="str">
        <f>Table15[[#This Row],[Engineering Number]]&amp;Table15[[#This Row],[WO Number]]&amp;Table15[[#This Row],[Date Assigned to Designer]]&amp;Table15[[#This Row],[Date Completed]]</f>
        <v>N1781512140024516345623</v>
      </c>
    </row>
    <row r="1271" spans="1:82" customFormat="1" ht="15" customHeight="1" x14ac:dyDescent="0.25">
      <c r="A1271">
        <v>2024</v>
      </c>
      <c r="B1271" s="8" t="s">
        <v>1073</v>
      </c>
      <c r="C1271" s="8" t="s">
        <v>8111</v>
      </c>
      <c r="D1271" s="8" t="s">
        <v>8112</v>
      </c>
      <c r="E1271" s="8" t="s">
        <v>1827</v>
      </c>
      <c r="F1271" s="8" t="s">
        <v>851</v>
      </c>
      <c r="G1271" s="8" t="s">
        <v>36</v>
      </c>
      <c r="H1271" s="647" t="s">
        <v>2127</v>
      </c>
      <c r="I1271" s="642">
        <v>45352</v>
      </c>
      <c r="J1271" s="18">
        <v>45688</v>
      </c>
      <c r="K1271" s="18">
        <v>45628</v>
      </c>
      <c r="L1271" s="16">
        <f>IF(ISTEXT(Table15[[#This Row],[Engineering Approved Design Date]]),Table15[[#This Row],[Date Completed]]-Table15[[#This Row],[Date Assigned to Designer]],Table15[[#This Row],[Engineering Approved Design Date]]-Table15[[#This Row],[Date Completed]])</f>
        <v>60</v>
      </c>
      <c r="M1271" s="642" t="s">
        <v>8113</v>
      </c>
      <c r="N1271" s="99" t="s">
        <v>120</v>
      </c>
      <c r="O1271" s="1060">
        <v>45627</v>
      </c>
      <c r="P1271" s="1152" t="s">
        <v>739</v>
      </c>
      <c r="Q1271" s="1151">
        <f>Table15[[#This Row],[KH Hourly Effort]]</f>
        <v>17522.5</v>
      </c>
      <c r="R1271" s="1026" t="s">
        <v>1922</v>
      </c>
      <c r="S1271" s="538">
        <v>0</v>
      </c>
      <c r="T1271" s="538">
        <v>0</v>
      </c>
      <c r="U1271" s="87">
        <v>17522.5</v>
      </c>
      <c r="V1271" s="857" t="s">
        <v>29</v>
      </c>
      <c r="W1271" s="440" t="s">
        <v>29</v>
      </c>
      <c r="X1271" s="551" t="s">
        <v>29</v>
      </c>
      <c r="Y1271" s="550"/>
      <c r="Z1271" s="551" t="s">
        <v>29</v>
      </c>
      <c r="AA1271" s="551" t="s">
        <v>29</v>
      </c>
      <c r="AB1271" s="341" t="s">
        <v>29</v>
      </c>
      <c r="AC1271" s="569" t="s">
        <v>29</v>
      </c>
      <c r="AD1271" s="1157" t="s">
        <v>29</v>
      </c>
      <c r="AE1271" s="568" t="s">
        <v>29</v>
      </c>
      <c r="AF1271" s="568" t="s">
        <v>29</v>
      </c>
      <c r="AG1271" s="569" t="s">
        <v>29</v>
      </c>
      <c r="AH1271" s="183" t="s">
        <v>29</v>
      </c>
      <c r="AI1271" s="1028" t="s">
        <v>29</v>
      </c>
      <c r="AJ1271" s="1029" t="s">
        <v>29</v>
      </c>
      <c r="AK1271" s="1029" t="s">
        <v>29</v>
      </c>
      <c r="AL1271" s="1030" t="s">
        <v>29</v>
      </c>
      <c r="AM1271" s="542" t="s">
        <v>709</v>
      </c>
      <c r="AN1271" s="924"/>
      <c r="AO1271" s="925"/>
      <c r="AP1271" s="926"/>
      <c r="AQ1271" s="926"/>
      <c r="AR1271" s="926"/>
      <c r="AS1271" s="926"/>
      <c r="AT1271" s="926"/>
      <c r="AU1271" s="926"/>
      <c r="AV1271" s="926"/>
      <c r="AW1271" s="927"/>
      <c r="AX1271" s="926"/>
      <c r="AY1271" s="1538" t="s">
        <v>29</v>
      </c>
      <c r="AZ1271" s="1530"/>
      <c r="BA1271" s="1031" t="s">
        <v>8114</v>
      </c>
      <c r="BB1271" s="644"/>
      <c r="BC1271" s="544" t="s">
        <v>116</v>
      </c>
      <c r="BD1271" s="544" t="s">
        <v>709</v>
      </c>
      <c r="BE1271" s="544" t="s">
        <v>1830</v>
      </c>
      <c r="BF1271" s="544" t="s">
        <v>709</v>
      </c>
      <c r="BG1271" s="544" t="s">
        <v>29</v>
      </c>
      <c r="BH1271" s="741" t="s">
        <v>8115</v>
      </c>
      <c r="BI1271" s="1140"/>
      <c r="BJ1271" s="1140"/>
      <c r="BK1271" s="1140"/>
      <c r="BL1271" s="1140"/>
      <c r="BM1271" s="1140"/>
      <c r="BN1271" s="1140"/>
      <c r="BO1271" s="1140"/>
      <c r="BP1271" s="1140"/>
      <c r="BQ1271" s="1140"/>
      <c r="BR1271" s="1140"/>
      <c r="BS1271" s="1140"/>
      <c r="BT1271" s="1140"/>
      <c r="BU1271" s="1140"/>
      <c r="BV1271" s="1140"/>
      <c r="BW1271" s="1140"/>
      <c r="BX1271" s="1140"/>
      <c r="BY1271" s="1140"/>
      <c r="BZ1271" s="1140"/>
      <c r="CA1271" s="483"/>
      <c r="CB1271" s="547">
        <v>1271</v>
      </c>
      <c r="CC1271" s="1481" t="b">
        <v>0</v>
      </c>
      <c r="CD1271" s="879" t="str">
        <f>Table15[[#This Row],[Engineering Number]]&amp;Table15[[#This Row],[WO Number]]&amp;Table15[[#This Row],[Date Assigned to Designer]]&amp;Table15[[#This Row],[Date Completed]]</f>
        <v>NBA1001524119136944535245628</v>
      </c>
    </row>
    <row r="1272" spans="1:82" customFormat="1" ht="15" customHeight="1" x14ac:dyDescent="0.25">
      <c r="A1272">
        <v>2024</v>
      </c>
      <c r="B1272" s="8" t="s">
        <v>1073</v>
      </c>
      <c r="C1272" s="8" t="s">
        <v>8116</v>
      </c>
      <c r="D1272" s="8" t="s">
        <v>8117</v>
      </c>
      <c r="E1272" s="8" t="s">
        <v>1827</v>
      </c>
      <c r="F1272" s="8" t="s">
        <v>851</v>
      </c>
      <c r="G1272" s="8" t="s">
        <v>36</v>
      </c>
      <c r="H1272" s="647" t="s">
        <v>2127</v>
      </c>
      <c r="I1272" s="642">
        <v>45352</v>
      </c>
      <c r="J1272" s="18">
        <v>45688</v>
      </c>
      <c r="K1272" s="97">
        <v>45628</v>
      </c>
      <c r="L1272" s="16">
        <f>IF(ISTEXT(Table15[[#This Row],[Engineering Approved Design Date]]),Table15[[#This Row],[Date Completed]]-Table15[[#This Row],[Date Assigned to Designer]],Table15[[#This Row],[Engineering Approved Design Date]]-Table15[[#This Row],[Date Completed]])</f>
        <v>60</v>
      </c>
      <c r="M1272" s="642" t="s">
        <v>8113</v>
      </c>
      <c r="N1272" s="99" t="s">
        <v>120</v>
      </c>
      <c r="O1272" s="1060">
        <v>45627</v>
      </c>
      <c r="P1272" s="1152" t="s">
        <v>739</v>
      </c>
      <c r="Q1272" s="1151" t="s">
        <v>2045</v>
      </c>
      <c r="R1272" s="1026" t="s">
        <v>1922</v>
      </c>
      <c r="S1272" s="538">
        <v>0</v>
      </c>
      <c r="T1272" s="538">
        <v>0</v>
      </c>
      <c r="U1272" s="87">
        <v>0</v>
      </c>
      <c r="V1272" s="857" t="s">
        <v>29</v>
      </c>
      <c r="W1272" s="440" t="s">
        <v>29</v>
      </c>
      <c r="X1272" s="551" t="s">
        <v>29</v>
      </c>
      <c r="Y1272" s="550"/>
      <c r="Z1272" s="551" t="s">
        <v>29</v>
      </c>
      <c r="AA1272" s="551" t="s">
        <v>29</v>
      </c>
      <c r="AB1272" s="341" t="s">
        <v>29</v>
      </c>
      <c r="AC1272" s="569" t="s">
        <v>29</v>
      </c>
      <c r="AD1272" s="1157" t="s">
        <v>29</v>
      </c>
      <c r="AE1272" s="573" t="s">
        <v>29</v>
      </c>
      <c r="AF1272" s="573" t="s">
        <v>29</v>
      </c>
      <c r="AG1272" s="569" t="s">
        <v>29</v>
      </c>
      <c r="AH1272" s="573" t="s">
        <v>29</v>
      </c>
      <c r="AI1272" s="1028" t="s">
        <v>29</v>
      </c>
      <c r="AJ1272" s="1029" t="s">
        <v>29</v>
      </c>
      <c r="AK1272" s="1029" t="s">
        <v>29</v>
      </c>
      <c r="AL1272" s="1030" t="s">
        <v>29</v>
      </c>
      <c r="AM1272" s="542" t="s">
        <v>709</v>
      </c>
      <c r="AN1272" s="924"/>
      <c r="AO1272" s="925"/>
      <c r="AP1272" s="926"/>
      <c r="AQ1272" s="926"/>
      <c r="AR1272" s="926"/>
      <c r="AS1272" s="926"/>
      <c r="AT1272" s="926"/>
      <c r="AU1272" s="926"/>
      <c r="AV1272" s="926"/>
      <c r="AW1272" s="927"/>
      <c r="AX1272" s="926"/>
      <c r="AY1272" s="1538" t="s">
        <v>29</v>
      </c>
      <c r="AZ1272" s="1530"/>
      <c r="BA1272" s="1031" t="s">
        <v>8118</v>
      </c>
      <c r="BB1272" s="644" t="s">
        <v>1078</v>
      </c>
      <c r="BC1272" s="544" t="s">
        <v>709</v>
      </c>
      <c r="BD1272" s="544" t="s">
        <v>709</v>
      </c>
      <c r="BE1272" s="544" t="s">
        <v>1830</v>
      </c>
      <c r="BF1272" s="544" t="s">
        <v>709</v>
      </c>
      <c r="BG1272" s="544" t="s">
        <v>29</v>
      </c>
      <c r="BH1272" s="741" t="s">
        <v>8119</v>
      </c>
      <c r="BI1272" s="1140"/>
      <c r="BJ1272" s="1140"/>
      <c r="BK1272" s="1140"/>
      <c r="BL1272" s="1140"/>
      <c r="BM1272" s="1140"/>
      <c r="BN1272" s="1140"/>
      <c r="BO1272" s="1140"/>
      <c r="BP1272" s="1140"/>
      <c r="BQ1272" s="1140"/>
      <c r="BR1272" s="1140"/>
      <c r="BS1272" s="1140"/>
      <c r="BT1272" s="1140"/>
      <c r="BU1272" s="1140"/>
      <c r="BV1272" s="1140"/>
      <c r="BW1272" s="1140"/>
      <c r="BX1272" s="1140"/>
      <c r="BY1272" s="1140"/>
      <c r="BZ1272" s="1140"/>
      <c r="CA1272" s="483"/>
      <c r="CB1272" s="547">
        <v>1269</v>
      </c>
      <c r="CC1272" s="1481" t="b">
        <v>0</v>
      </c>
      <c r="CD1272" s="879" t="str">
        <f>Table15[[#This Row],[Engineering Number]]&amp;Table15[[#This Row],[WO Number]]&amp;Table15[[#This Row],[Date Assigned to Designer]]&amp;Table15[[#This Row],[Date Completed]]</f>
        <v>NBA10015241-119136974535245628</v>
      </c>
    </row>
    <row r="1273" spans="1:82" customFormat="1" ht="15" customHeight="1" x14ac:dyDescent="0.25">
      <c r="A1273">
        <v>2024</v>
      </c>
      <c r="B1273" s="8" t="s">
        <v>1073</v>
      </c>
      <c r="C1273" s="8" t="s">
        <v>8120</v>
      </c>
      <c r="D1273" s="8" t="s">
        <v>8121</v>
      </c>
      <c r="E1273" s="8" t="s">
        <v>1827</v>
      </c>
      <c r="F1273" s="8" t="s">
        <v>851</v>
      </c>
      <c r="G1273" s="8" t="s">
        <v>36</v>
      </c>
      <c r="H1273" s="647" t="s">
        <v>2127</v>
      </c>
      <c r="I1273" s="642">
        <v>45352</v>
      </c>
      <c r="J1273" s="18">
        <v>45688</v>
      </c>
      <c r="K1273" s="97">
        <v>45628</v>
      </c>
      <c r="L1273" s="16">
        <f>IF(ISTEXT(Table15[[#This Row],[Engineering Approved Design Date]]),Table15[[#This Row],[Date Completed]]-Table15[[#This Row],[Date Assigned to Designer]],Table15[[#This Row],[Engineering Approved Design Date]]-Table15[[#This Row],[Date Completed]])</f>
        <v>60</v>
      </c>
      <c r="M1273" s="642" t="s">
        <v>8113</v>
      </c>
      <c r="N1273" s="99" t="s">
        <v>120</v>
      </c>
      <c r="O1273" s="1060">
        <v>45627</v>
      </c>
      <c r="P1273" s="1152" t="s">
        <v>739</v>
      </c>
      <c r="Q1273" s="1151" t="s">
        <v>2045</v>
      </c>
      <c r="R1273" s="1026" t="s">
        <v>1922</v>
      </c>
      <c r="S1273" s="538">
        <v>0</v>
      </c>
      <c r="T1273" s="538">
        <v>0</v>
      </c>
      <c r="U1273" s="87">
        <v>0</v>
      </c>
      <c r="V1273" s="857" t="s">
        <v>29</v>
      </c>
      <c r="W1273" s="440" t="s">
        <v>29</v>
      </c>
      <c r="X1273" s="551" t="s">
        <v>29</v>
      </c>
      <c r="Y1273" s="550"/>
      <c r="Z1273" s="551" t="s">
        <v>29</v>
      </c>
      <c r="AA1273" s="551" t="s">
        <v>29</v>
      </c>
      <c r="AB1273" s="341" t="s">
        <v>29</v>
      </c>
      <c r="AC1273" s="569" t="s">
        <v>29</v>
      </c>
      <c r="AD1273" s="1157" t="s">
        <v>29</v>
      </c>
      <c r="AE1273" s="573" t="s">
        <v>29</v>
      </c>
      <c r="AF1273" s="573" t="s">
        <v>29</v>
      </c>
      <c r="AG1273" s="569" t="s">
        <v>29</v>
      </c>
      <c r="AH1273" s="573" t="s">
        <v>29</v>
      </c>
      <c r="AI1273" s="1028" t="s">
        <v>29</v>
      </c>
      <c r="AJ1273" s="1029" t="s">
        <v>29</v>
      </c>
      <c r="AK1273" s="1029" t="s">
        <v>29</v>
      </c>
      <c r="AL1273" s="1030" t="s">
        <v>29</v>
      </c>
      <c r="AM1273" s="542" t="s">
        <v>709</v>
      </c>
      <c r="AN1273" s="924"/>
      <c r="AO1273" s="925"/>
      <c r="AP1273" s="926"/>
      <c r="AQ1273" s="926"/>
      <c r="AR1273" s="926"/>
      <c r="AS1273" s="926"/>
      <c r="AT1273" s="926"/>
      <c r="AU1273" s="926"/>
      <c r="AV1273" s="926"/>
      <c r="AW1273" s="927"/>
      <c r="AX1273" s="926"/>
      <c r="AY1273" s="1538" t="s">
        <v>29</v>
      </c>
      <c r="AZ1273" s="1530"/>
      <c r="BA1273" s="1031" t="s">
        <v>8122</v>
      </c>
      <c r="BB1273" s="644" t="s">
        <v>1078</v>
      </c>
      <c r="BC1273" s="544" t="s">
        <v>709</v>
      </c>
      <c r="BD1273" s="544" t="s">
        <v>709</v>
      </c>
      <c r="BE1273" s="544" t="s">
        <v>1830</v>
      </c>
      <c r="BF1273" s="544" t="s">
        <v>709</v>
      </c>
      <c r="BG1273" s="544" t="s">
        <v>29</v>
      </c>
      <c r="BH1273" s="741" t="s">
        <v>8123</v>
      </c>
      <c r="BI1273" s="1140"/>
      <c r="BJ1273" s="1140"/>
      <c r="BK1273" s="1140"/>
      <c r="BL1273" s="1140"/>
      <c r="BM1273" s="1140"/>
      <c r="BN1273" s="1140"/>
      <c r="BO1273" s="1140"/>
      <c r="BP1273" s="1140"/>
      <c r="BQ1273" s="1140"/>
      <c r="BR1273" s="1140"/>
      <c r="BS1273" s="1140"/>
      <c r="BT1273" s="1140"/>
      <c r="BU1273" s="1140"/>
      <c r="BV1273" s="1140"/>
      <c r="BW1273" s="1140"/>
      <c r="BX1273" s="1140"/>
      <c r="BY1273" s="1140"/>
      <c r="BZ1273" s="1140"/>
      <c r="CA1273" s="483"/>
      <c r="CB1273" s="547">
        <v>1270</v>
      </c>
      <c r="CC1273" s="1481" t="b">
        <v>0</v>
      </c>
      <c r="CD1273" s="879" t="str">
        <f>Table15[[#This Row],[Engineering Number]]&amp;Table15[[#This Row],[WO Number]]&amp;Table15[[#This Row],[Date Assigned to Designer]]&amp;Table15[[#This Row],[Date Completed]]</f>
        <v>NBA10015241-219136954535245628</v>
      </c>
    </row>
    <row r="1274" spans="1:82" customFormat="1" ht="15" customHeight="1" x14ac:dyDescent="0.25">
      <c r="A1274">
        <v>2025</v>
      </c>
      <c r="B1274" s="8" t="s">
        <v>730</v>
      </c>
      <c r="C1274" s="8" t="s">
        <v>8124</v>
      </c>
      <c r="D1274" s="8" t="s">
        <v>8125</v>
      </c>
      <c r="E1274" s="8" t="s">
        <v>8126</v>
      </c>
      <c r="F1274" s="8" t="s">
        <v>6643</v>
      </c>
      <c r="G1274" s="8" t="s">
        <v>34</v>
      </c>
      <c r="H1274" s="8" t="s">
        <v>413</v>
      </c>
      <c r="I1274" s="642">
        <v>45517</v>
      </c>
      <c r="J1274" s="449">
        <v>45632</v>
      </c>
      <c r="K1274" s="175">
        <v>45631</v>
      </c>
      <c r="L1274" s="16">
        <f>IF(ISTEXT(Table15[[#This Row],[Engineering Approved Design Date]]),Table15[[#This Row],[Date Completed]]-Table15[[#This Row],[Date Assigned to Designer]],Table15[[#This Row],[Engineering Approved Design Date]]-Table15[[#This Row],[Date Completed]])</f>
        <v>1</v>
      </c>
      <c r="M1274" s="13"/>
      <c r="N1274" s="99" t="s">
        <v>120</v>
      </c>
      <c r="O1274" s="1060">
        <v>45627</v>
      </c>
      <c r="P1274" s="1152" t="s">
        <v>120</v>
      </c>
      <c r="Q1274" s="340">
        <v>12750</v>
      </c>
      <c r="R1274" s="1039" t="s">
        <v>6644</v>
      </c>
      <c r="S1274" s="538" t="s">
        <v>29</v>
      </c>
      <c r="T1274" s="538" t="s">
        <v>29</v>
      </c>
      <c r="U1274" s="28" t="s">
        <v>29</v>
      </c>
      <c r="V1274" s="858">
        <v>264</v>
      </c>
      <c r="W1274" s="437">
        <v>2</v>
      </c>
      <c r="X1274" s="552">
        <v>157105.16</v>
      </c>
      <c r="Y1274" s="551"/>
      <c r="Z1274" s="552">
        <v>34349.49</v>
      </c>
      <c r="AA1274" s="552">
        <f>SUM(Table15[[#This Row],[PCTS Investment Amount]:[PCTS Retirement Amount]])</f>
        <v>191454.65</v>
      </c>
      <c r="AB1274" s="341">
        <v>45636</v>
      </c>
      <c r="AC1274" s="568" t="s">
        <v>1056</v>
      </c>
      <c r="AD1274" s="1159" t="s">
        <v>29</v>
      </c>
      <c r="AE1274" s="573" t="s">
        <v>116</v>
      </c>
      <c r="AF1274" s="573" t="s">
        <v>29</v>
      </c>
      <c r="AG1274" s="569" t="s">
        <v>376</v>
      </c>
      <c r="AH1274" s="573" t="s">
        <v>376</v>
      </c>
      <c r="AI1274" s="1109">
        <v>13850</v>
      </c>
      <c r="AJ1274" s="1110">
        <v>0</v>
      </c>
      <c r="AK1274" s="1143">
        <v>8455.75</v>
      </c>
      <c r="AL1274" s="1108">
        <f>SUM(Table15[[#This Row],[Nicor Initiated DBE]:[Staffing]])/(Table15[[#This Row],[Amount Invoiced]])</f>
        <v>1.7494705882352941</v>
      </c>
      <c r="AM1274" s="542" t="s">
        <v>709</v>
      </c>
      <c r="AN1274" s="924"/>
      <c r="AO1274" s="925"/>
      <c r="AP1274" s="926"/>
      <c r="AQ1274" s="926"/>
      <c r="AR1274" s="926"/>
      <c r="AS1274" s="926"/>
      <c r="AT1274" s="926"/>
      <c r="AU1274" s="926"/>
      <c r="AV1274" s="926"/>
      <c r="AW1274" s="927"/>
      <c r="AX1274" s="926"/>
      <c r="AY1274" s="1538" t="s">
        <v>29</v>
      </c>
      <c r="AZ1274" s="1530"/>
      <c r="BA1274" s="13" t="s">
        <v>8127</v>
      </c>
      <c r="BB1274" s="100" t="s">
        <v>8128</v>
      </c>
      <c r="BC1274" s="544" t="s">
        <v>116</v>
      </c>
      <c r="BD1274" s="544" t="s">
        <v>115</v>
      </c>
      <c r="BE1274" s="544" t="s">
        <v>115</v>
      </c>
      <c r="BF1274" s="544" t="s">
        <v>8129</v>
      </c>
      <c r="BG1274" s="548" t="s">
        <v>115</v>
      </c>
      <c r="BH1274" s="615" t="s">
        <v>8130</v>
      </c>
      <c r="BI1274" s="547" t="s">
        <v>709</v>
      </c>
      <c r="BJ1274" s="547" t="s">
        <v>709</v>
      </c>
      <c r="BK1274" s="547" t="s">
        <v>116</v>
      </c>
      <c r="BL1274" s="547" t="s">
        <v>116</v>
      </c>
      <c r="BM1274" s="547" t="s">
        <v>709</v>
      </c>
      <c r="BN1274" s="547" t="s">
        <v>709</v>
      </c>
      <c r="BO1274" s="547" t="s">
        <v>709</v>
      </c>
      <c r="BP1274" s="626" t="s">
        <v>709</v>
      </c>
      <c r="BQ1274" s="626" t="s">
        <v>709</v>
      </c>
      <c r="BR1274" s="549">
        <v>208</v>
      </c>
      <c r="BS1274" s="549">
        <v>56</v>
      </c>
      <c r="BT1274" s="547" t="s">
        <v>709</v>
      </c>
      <c r="BU1274" s="547">
        <v>1</v>
      </c>
      <c r="BV1274" s="547" t="s">
        <v>709</v>
      </c>
      <c r="BW1274" s="547" t="s">
        <v>709</v>
      </c>
      <c r="BX1274" s="547">
        <v>1</v>
      </c>
      <c r="BY1274" s="547" t="s">
        <v>709</v>
      </c>
      <c r="BZ1274" s="547" t="s">
        <v>709</v>
      </c>
      <c r="CA1274" s="483"/>
      <c r="CB1274" s="547">
        <v>1272</v>
      </c>
      <c r="CC1274" s="1481" t="b">
        <v>0</v>
      </c>
      <c r="CD1274" s="879" t="str">
        <f>Table15[[#This Row],[Engineering Number]]&amp;Table15[[#This Row],[WO Number]]&amp;Table15[[#This Row],[Date Assigned to Designer]]&amp;Table15[[#This Row],[Date Completed]]</f>
        <v>RS126710142284551745631</v>
      </c>
    </row>
    <row r="1275" spans="1:82" customFormat="1" ht="15" customHeight="1" x14ac:dyDescent="0.25">
      <c r="A1275">
        <v>2024</v>
      </c>
      <c r="B1275" s="8" t="s">
        <v>4</v>
      </c>
      <c r="C1275" t="s">
        <v>6859</v>
      </c>
      <c r="D1275" s="779" t="s">
        <v>6860</v>
      </c>
      <c r="E1275" t="s">
        <v>6861</v>
      </c>
      <c r="F1275" s="8" t="s">
        <v>784</v>
      </c>
      <c r="G1275" s="8" t="s">
        <v>6377</v>
      </c>
      <c r="H1275" s="8" t="s">
        <v>59</v>
      </c>
      <c r="I1275" s="755">
        <v>45411</v>
      </c>
      <c r="J1275" s="472">
        <v>45639</v>
      </c>
      <c r="K1275" s="642">
        <v>45638</v>
      </c>
      <c r="L1275" s="649">
        <f>IF(ISTEXT(Table15[[#This Row],[Engineering Approved Design Date]]),Table15[[#This Row],[Date Completed]]-Table15[[#This Row],[Date Assigned to Designer]],Table15[[#This Row],[Engineering Approved Design Date]]-Table15[[#This Row],[Date Completed]])</f>
        <v>1</v>
      </c>
      <c r="N1275" s="99" t="s">
        <v>120</v>
      </c>
      <c r="O1275" s="1060">
        <v>45627</v>
      </c>
      <c r="P1275" s="1152" t="s">
        <v>739</v>
      </c>
      <c r="Q1275" s="340">
        <f>Table15[[#This Row],[Rate]]*Table15[[#This Row],[Construction Cost to Bill From]]</f>
        <v>29375.183999999997</v>
      </c>
      <c r="R1275" s="1026">
        <v>0.1</v>
      </c>
      <c r="S1275" s="538" t="s">
        <v>29</v>
      </c>
      <c r="T1275" s="538" t="s">
        <v>29</v>
      </c>
      <c r="U1275" s="28" t="s">
        <v>29</v>
      </c>
      <c r="V1275" s="858">
        <v>527</v>
      </c>
      <c r="W1275" s="437" t="s">
        <v>29</v>
      </c>
      <c r="X1275" s="538">
        <v>217443.87</v>
      </c>
      <c r="Y1275" s="550"/>
      <c r="Z1275" s="538">
        <v>76307.97</v>
      </c>
      <c r="AA1275" s="552">
        <f>SUM(Table15[[#This Row],[PCTS Investment Amount]:[PCTS Retirement Amount]])</f>
        <v>293751.83999999997</v>
      </c>
      <c r="AB1275" s="341">
        <v>45638</v>
      </c>
      <c r="AC1275" s="568" t="s">
        <v>29</v>
      </c>
      <c r="AD1275" s="1158" t="s">
        <v>29</v>
      </c>
      <c r="AE1275" s="573" t="s">
        <v>116</v>
      </c>
      <c r="AF1275" s="576" t="s">
        <v>116</v>
      </c>
      <c r="AG1275" s="569" t="s">
        <v>116</v>
      </c>
      <c r="AH1275" s="183">
        <v>45672</v>
      </c>
      <c r="AI1275" s="1109" t="s">
        <v>29</v>
      </c>
      <c r="AJ1275" s="1110">
        <v>2200</v>
      </c>
      <c r="AK1275" s="1144">
        <v>7510.75</v>
      </c>
      <c r="AL1275" s="1108">
        <f>SUM(Table15[[#This Row],[Nicor Initiated DBE]:[Staffing]])/(Table15[[#This Row],[Amount Invoiced]])</f>
        <v>0.330576652728371</v>
      </c>
      <c r="AM1275" s="1522" t="s">
        <v>116</v>
      </c>
      <c r="AN1275" s="1523">
        <v>45708</v>
      </c>
      <c r="AO1275" s="1524">
        <v>11098559</v>
      </c>
      <c r="AP1275" s="1525">
        <v>217656.19</v>
      </c>
      <c r="AQ1275" s="1525"/>
      <c r="AR1275" s="1525">
        <v>76643.11</v>
      </c>
      <c r="AS1275" s="1525">
        <f>IF(Table15[[#This Row],[PCTS Approved]]="N",0,Table15[[#This Row],[Investment Amount (1'#'#'#'#'#)]]+Table15[[#This Row],[Retirement Amount (3'#'#'#'#'#)]])</f>
        <v>294299.3</v>
      </c>
      <c r="AT1275" s="1525">
        <f>IF(Table15[[#This Row],[Approved Construction Cost]]=0,0,Table15[[#This Row],[Approved Construction Cost]]-Table15[[#This Row],[Construction Cost to Bill From]])</f>
        <v>547.46000000002095</v>
      </c>
      <c r="AU1275" s="1525">
        <f>Table15[[#This Row],[Difference in Construction Cost]]*Table15[[#This Row],[Rate]]</f>
        <v>54.746000000002098</v>
      </c>
      <c r="AV1275" s="1525">
        <v>0</v>
      </c>
      <c r="AW1275" s="1526" t="s">
        <v>8131</v>
      </c>
      <c r="AX1275" s="1525">
        <f>Table15[[#This Row],[Reconcile Amount]]</f>
        <v>54.746000000002098</v>
      </c>
      <c r="AY1275" s="1518">
        <v>45901</v>
      </c>
      <c r="AZ1275" s="333"/>
      <c r="BA1275" s="1031" t="s">
        <v>6862</v>
      </c>
      <c r="BB1275" s="543" t="s">
        <v>6863</v>
      </c>
      <c r="BC1275" s="559" t="s">
        <v>115</v>
      </c>
      <c r="BD1275" s="554" t="s">
        <v>115</v>
      </c>
      <c r="BE1275" s="588" t="s">
        <v>6864</v>
      </c>
      <c r="BF1275" s="588" t="s">
        <v>115</v>
      </c>
      <c r="BG1275" s="544" t="s">
        <v>115</v>
      </c>
      <c r="BH1275" s="615" t="s">
        <v>6865</v>
      </c>
      <c r="BI1275" s="549" t="s">
        <v>709</v>
      </c>
      <c r="BJ1275" s="549" t="s">
        <v>709</v>
      </c>
      <c r="BK1275" s="547" t="s">
        <v>709</v>
      </c>
      <c r="BL1275" s="547" t="s">
        <v>116</v>
      </c>
      <c r="BM1275" s="547" t="s">
        <v>709</v>
      </c>
      <c r="BN1275" s="547" t="s">
        <v>709</v>
      </c>
      <c r="BO1275" s="547" t="s">
        <v>709</v>
      </c>
      <c r="BP1275" s="547" t="s">
        <v>709</v>
      </c>
      <c r="BQ1275" s="547" t="s">
        <v>709</v>
      </c>
      <c r="BR1275" s="547" t="s">
        <v>116</v>
      </c>
      <c r="BS1275" s="547" t="s">
        <v>116</v>
      </c>
      <c r="BT1275" s="547" t="s">
        <v>709</v>
      </c>
      <c r="BU1275" s="547" t="s">
        <v>709</v>
      </c>
      <c r="BV1275" s="547" t="s">
        <v>709</v>
      </c>
      <c r="BW1275" s="547" t="s">
        <v>709</v>
      </c>
      <c r="BX1275" s="547" t="s">
        <v>709</v>
      </c>
      <c r="BY1275" s="547" t="s">
        <v>709</v>
      </c>
      <c r="BZ1275" s="547" t="s">
        <v>709</v>
      </c>
      <c r="CA1275" s="483"/>
      <c r="CB1275" s="547">
        <v>1273</v>
      </c>
      <c r="CC1275" s="1481" t="b">
        <v>0</v>
      </c>
      <c r="CD1275" s="879" t="str">
        <f>Table15[[#This Row],[Engineering Number]]&amp;Table15[[#This Row],[WO Number]]&amp;Table15[[#This Row],[Date Assigned to Designer]]&amp;Table15[[#This Row],[Date Completed]]</f>
        <v>N1861712145024541145638</v>
      </c>
    </row>
    <row r="1276" spans="1:82" customFormat="1" ht="15" customHeight="1" x14ac:dyDescent="0.25">
      <c r="A1276">
        <v>2024</v>
      </c>
      <c r="B1276" s="8" t="s">
        <v>4</v>
      </c>
      <c r="C1276" s="8" t="s">
        <v>8132</v>
      </c>
      <c r="D1276" s="8" t="s">
        <v>115</v>
      </c>
      <c r="E1276" s="8" t="s">
        <v>5043</v>
      </c>
      <c r="F1276" s="8" t="s">
        <v>1102</v>
      </c>
      <c r="G1276" s="8" t="s">
        <v>6377</v>
      </c>
      <c r="H1276" s="8" t="s">
        <v>1903</v>
      </c>
      <c r="I1276" s="18">
        <v>45433</v>
      </c>
      <c r="J1276" s="18">
        <v>45681</v>
      </c>
      <c r="K1276" s="175">
        <v>45643</v>
      </c>
      <c r="L1276" s="16">
        <f>IF(ISTEXT(Table15[[#This Row],[Engineering Approved Design Date]]),Table15[[#This Row],[Date Completed]]-Table15[[#This Row],[Date Assigned to Designer]],Table15[[#This Row],[Engineering Approved Design Date]]-Table15[[#This Row],[Date Completed]])</f>
        <v>38</v>
      </c>
      <c r="M1276" t="s">
        <v>8133</v>
      </c>
      <c r="N1276" s="99" t="s">
        <v>120</v>
      </c>
      <c r="O1276" s="1060">
        <v>45627</v>
      </c>
      <c r="P1276" s="1152" t="s">
        <v>739</v>
      </c>
      <c r="Q1276" s="340" t="s">
        <v>115</v>
      </c>
      <c r="R1276" s="1026" t="s">
        <v>115</v>
      </c>
      <c r="S1276" s="538" t="s">
        <v>29</v>
      </c>
      <c r="T1276" s="538" t="s">
        <v>29</v>
      </c>
      <c r="U1276" s="28" t="s">
        <v>29</v>
      </c>
      <c r="V1276" s="858" t="s">
        <v>29</v>
      </c>
      <c r="W1276" s="425" t="s">
        <v>29</v>
      </c>
      <c r="X1276" s="538" t="s">
        <v>29</v>
      </c>
      <c r="Y1276" s="551"/>
      <c r="Z1276" s="538" t="s">
        <v>29</v>
      </c>
      <c r="AA1276" s="552" t="s">
        <v>29</v>
      </c>
      <c r="AB1276" s="341" t="s">
        <v>29</v>
      </c>
      <c r="AC1276" s="569" t="s">
        <v>29</v>
      </c>
      <c r="AD1276" s="1157" t="s">
        <v>29</v>
      </c>
      <c r="AE1276" s="568" t="s">
        <v>116</v>
      </c>
      <c r="AF1276" s="568" t="s">
        <v>29</v>
      </c>
      <c r="AG1276" s="569" t="s">
        <v>29</v>
      </c>
      <c r="AH1276" s="183">
        <v>45672</v>
      </c>
      <c r="AI1276" s="1028" t="s">
        <v>29</v>
      </c>
      <c r="AJ1276" s="1029" t="s">
        <v>29</v>
      </c>
      <c r="AK1276" s="1029" t="s">
        <v>29</v>
      </c>
      <c r="AL1276" s="1030" t="s">
        <v>29</v>
      </c>
      <c r="AM1276" s="542" t="s">
        <v>709</v>
      </c>
      <c r="AN1276" s="924"/>
      <c r="AO1276" s="925"/>
      <c r="AP1276" s="926"/>
      <c r="AQ1276" s="926"/>
      <c r="AR1276" s="926"/>
      <c r="AS1276" s="926"/>
      <c r="AT1276" s="926"/>
      <c r="AU1276" s="926"/>
      <c r="AV1276" s="926"/>
      <c r="AW1276" s="927"/>
      <c r="AX1276" s="926"/>
      <c r="AY1276" s="1538" t="s">
        <v>29</v>
      </c>
      <c r="AZ1276" s="1530"/>
      <c r="BA1276" s="1031" t="s">
        <v>8134</v>
      </c>
      <c r="BB1276" s="644" t="s">
        <v>1617</v>
      </c>
      <c r="BC1276" s="559" t="s">
        <v>992</v>
      </c>
      <c r="BD1276" s="554" t="s">
        <v>709</v>
      </c>
      <c r="BE1276" s="588" t="s">
        <v>7490</v>
      </c>
      <c r="BF1276" s="588" t="s">
        <v>709</v>
      </c>
      <c r="BG1276" s="548" t="s">
        <v>709</v>
      </c>
      <c r="BH1276" s="615" t="s">
        <v>8135</v>
      </c>
      <c r="BI1276" s="1032"/>
      <c r="BJ1276" s="1032"/>
      <c r="BK1276" s="1032"/>
      <c r="BL1276" s="1032"/>
      <c r="BM1276" s="1032"/>
      <c r="BN1276" s="1070"/>
      <c r="BO1276" s="1032"/>
      <c r="BP1276" s="1071"/>
      <c r="BQ1276" s="1070"/>
      <c r="BR1276" s="1070"/>
      <c r="BS1276" s="1070"/>
      <c r="BT1276" s="1070"/>
      <c r="BU1276" s="1070"/>
      <c r="BV1276" s="1070"/>
      <c r="BW1276" s="1070"/>
      <c r="BX1276" s="1032"/>
      <c r="BY1276" s="1072"/>
      <c r="BZ1276" s="1072"/>
      <c r="CA1276" s="485"/>
      <c r="CB1276" s="547">
        <v>1274</v>
      </c>
      <c r="CC1276" s="1481" t="b">
        <v>0</v>
      </c>
      <c r="CD1276" s="879" t="str">
        <f>Table15[[#This Row],[Engineering Number]]&amp;Table15[[#This Row],[WO Number]]&amp;Table15[[#This Row],[Date Assigned to Designer]]&amp;Table15[[#This Row],[Date Completed]]</f>
        <v>SC24490-4543345643</v>
      </c>
    </row>
    <row r="1277" spans="1:82" customFormat="1" ht="15" customHeight="1" x14ac:dyDescent="0.25">
      <c r="A1277">
        <v>2025</v>
      </c>
      <c r="B1277" s="8" t="s">
        <v>4</v>
      </c>
      <c r="C1277" s="8" t="s">
        <v>8136</v>
      </c>
      <c r="D1277" s="8" t="s">
        <v>115</v>
      </c>
      <c r="E1277" s="8" t="s">
        <v>426</v>
      </c>
      <c r="F1277" s="8" t="s">
        <v>784</v>
      </c>
      <c r="G1277" s="8" t="s">
        <v>26</v>
      </c>
      <c r="H1277" s="8" t="s">
        <v>1681</v>
      </c>
      <c r="I1277" s="642">
        <v>45574</v>
      </c>
      <c r="J1277" s="18">
        <v>45709</v>
      </c>
      <c r="K1277" s="175">
        <v>45644</v>
      </c>
      <c r="L1277" s="16">
        <f>IF(ISTEXT(Table15[[#This Row],[Engineering Approved Design Date]]),Table15[[#This Row],[Date Completed]]-Table15[[#This Row],[Date Assigned to Designer]],Table15[[#This Row],[Engineering Approved Design Date]]-Table15[[#This Row],[Date Completed]])</f>
        <v>65</v>
      </c>
      <c r="M1277" t="s">
        <v>8137</v>
      </c>
      <c r="N1277" s="99" t="s">
        <v>120</v>
      </c>
      <c r="O1277" s="1060">
        <v>45627</v>
      </c>
      <c r="P1277" s="1152" t="s">
        <v>739</v>
      </c>
      <c r="Q1277" s="340" t="s">
        <v>115</v>
      </c>
      <c r="R1277" s="1026" t="s">
        <v>115</v>
      </c>
      <c r="S1277" s="538" t="s">
        <v>29</v>
      </c>
      <c r="T1277" s="538" t="s">
        <v>29</v>
      </c>
      <c r="U1277" s="28" t="s">
        <v>29</v>
      </c>
      <c r="V1277" s="538" t="s">
        <v>29</v>
      </c>
      <c r="W1277" s="343" t="s">
        <v>29</v>
      </c>
      <c r="X1277" s="538" t="s">
        <v>29</v>
      </c>
      <c r="Y1277" s="538"/>
      <c r="Z1277" s="538" t="s">
        <v>29</v>
      </c>
      <c r="AA1277" s="538" t="s">
        <v>29</v>
      </c>
      <c r="AB1277" s="341" t="s">
        <v>29</v>
      </c>
      <c r="AC1277" s="569" t="s">
        <v>29</v>
      </c>
      <c r="AD1277" s="1157" t="s">
        <v>29</v>
      </c>
      <c r="AE1277" s="568" t="s">
        <v>116</v>
      </c>
      <c r="AF1277" s="568" t="s">
        <v>29</v>
      </c>
      <c r="AG1277" s="569" t="s">
        <v>29</v>
      </c>
      <c r="AH1277" s="183">
        <v>45672</v>
      </c>
      <c r="AI1277" s="1028" t="s">
        <v>29</v>
      </c>
      <c r="AJ1277" s="1029" t="s">
        <v>29</v>
      </c>
      <c r="AK1277" s="1029" t="s">
        <v>29</v>
      </c>
      <c r="AL1277" s="1030" t="s">
        <v>29</v>
      </c>
      <c r="AM1277" s="542" t="s">
        <v>709</v>
      </c>
      <c r="AN1277" s="924"/>
      <c r="AO1277" s="925"/>
      <c r="AP1277" s="926"/>
      <c r="AQ1277" s="926"/>
      <c r="AR1277" s="926"/>
      <c r="AS1277" s="926"/>
      <c r="AT1277" s="926"/>
      <c r="AU1277" s="926"/>
      <c r="AV1277" s="926"/>
      <c r="AW1277" s="927"/>
      <c r="AX1277" s="926"/>
      <c r="AY1277" s="1538" t="s">
        <v>29</v>
      </c>
      <c r="AZ1277" s="1530"/>
      <c r="BA1277" s="1031" t="s">
        <v>8138</v>
      </c>
      <c r="BB1277" s="644" t="s">
        <v>7350</v>
      </c>
      <c r="BC1277" s="559" t="s">
        <v>709</v>
      </c>
      <c r="BD1277" s="554" t="s">
        <v>709</v>
      </c>
      <c r="BE1277" s="588" t="s">
        <v>1396</v>
      </c>
      <c r="BF1277" s="588" t="s">
        <v>709</v>
      </c>
      <c r="BG1277" s="548" t="s">
        <v>709</v>
      </c>
      <c r="BH1277" s="615" t="s">
        <v>8139</v>
      </c>
      <c r="BI1277" s="1032"/>
      <c r="BJ1277" s="1032"/>
      <c r="BK1277" s="1032"/>
      <c r="BL1277" s="1032"/>
      <c r="BM1277" s="1032"/>
      <c r="BN1277" s="1070"/>
      <c r="BO1277" s="1032"/>
      <c r="BP1277" s="1071"/>
      <c r="BQ1277" s="1070"/>
      <c r="BR1277" s="1070"/>
      <c r="BS1277" s="1070"/>
      <c r="BT1277" s="1070"/>
      <c r="BU1277" s="1070"/>
      <c r="BV1277" s="1070"/>
      <c r="BW1277" s="1070"/>
      <c r="BX1277" s="1070"/>
      <c r="BY1277" s="1070"/>
      <c r="BZ1277" s="1070"/>
      <c r="CA1277" s="485" t="s">
        <v>915</v>
      </c>
      <c r="CB1277" s="547">
        <v>1275</v>
      </c>
      <c r="CC1277" s="1481" t="b">
        <v>0</v>
      </c>
      <c r="CD1277" s="879" t="str">
        <f>Table15[[#This Row],[Engineering Number]]&amp;Table15[[#This Row],[WO Number]]&amp;Table15[[#This Row],[Date Assigned to Designer]]&amp;Table15[[#This Row],[Date Completed]]</f>
        <v>N17722-4557445644</v>
      </c>
    </row>
    <row r="1278" spans="1:82" customFormat="1" ht="15" customHeight="1" x14ac:dyDescent="0.25">
      <c r="A1278">
        <v>2025</v>
      </c>
      <c r="B1278" s="8" t="s">
        <v>4</v>
      </c>
      <c r="C1278" s="8" t="s">
        <v>6872</v>
      </c>
      <c r="D1278" s="8" t="s">
        <v>6873</v>
      </c>
      <c r="E1278" s="8" t="s">
        <v>232</v>
      </c>
      <c r="F1278" s="8" t="s">
        <v>6874</v>
      </c>
      <c r="G1278" s="8" t="s">
        <v>26</v>
      </c>
      <c r="H1278" s="8" t="s">
        <v>59</v>
      </c>
      <c r="I1278" s="642">
        <v>45587</v>
      </c>
      <c r="J1278" s="18">
        <v>45657</v>
      </c>
      <c r="K1278" s="18">
        <v>45646</v>
      </c>
      <c r="L1278" s="16">
        <f>IF(ISTEXT(Table15[[#This Row],[Engineering Approved Design Date]]),Table15[[#This Row],[Date Completed]]-Table15[[#This Row],[Date Assigned to Designer]],Table15[[#This Row],[Engineering Approved Design Date]]-Table15[[#This Row],[Date Completed]])</f>
        <v>11</v>
      </c>
      <c r="N1278" s="99" t="s">
        <v>120</v>
      </c>
      <c r="O1278" s="1060">
        <v>45627</v>
      </c>
      <c r="P1278" s="1152" t="s">
        <v>739</v>
      </c>
      <c r="Q1278" s="340">
        <f>Table15[[#This Row],[Rate]]*Table15[[#This Row],[Construction Cost to Bill From]]</f>
        <v>51063.691000000006</v>
      </c>
      <c r="R1278" s="1026">
        <v>0.1</v>
      </c>
      <c r="S1278" s="538" t="s">
        <v>29</v>
      </c>
      <c r="T1278" s="538" t="s">
        <v>29</v>
      </c>
      <c r="U1278" s="28" t="s">
        <v>29</v>
      </c>
      <c r="V1278" s="858">
        <v>233</v>
      </c>
      <c r="W1278" s="343" t="s">
        <v>29</v>
      </c>
      <c r="X1278" s="538">
        <v>441920</v>
      </c>
      <c r="Y1278" s="550"/>
      <c r="Z1278" s="552">
        <v>68716.91</v>
      </c>
      <c r="AA1278" s="552">
        <f>SUM(Table15[[#This Row],[PCTS Investment Amount]:[PCTS Retirement Amount]])</f>
        <v>510636.91000000003</v>
      </c>
      <c r="AB1278" s="341">
        <v>45660</v>
      </c>
      <c r="AC1278" s="569" t="s">
        <v>29</v>
      </c>
      <c r="AD1278" s="1149" t="s">
        <v>29</v>
      </c>
      <c r="AE1278" s="568" t="s">
        <v>116</v>
      </c>
      <c r="AF1278" s="568" t="s">
        <v>116</v>
      </c>
      <c r="AG1278" s="183" t="s">
        <v>116</v>
      </c>
      <c r="AH1278" s="183">
        <v>45672</v>
      </c>
      <c r="AI1278" s="1109">
        <v>0</v>
      </c>
      <c r="AJ1278" s="1110">
        <v>1586.48</v>
      </c>
      <c r="AK1278" s="1134">
        <v>5647.25</v>
      </c>
      <c r="AL1278" s="1108">
        <f>SUM(Table15[[#This Row],[Nicor Initiated DBE]:[Staffing]])/(Table15[[#This Row],[Amount Invoiced]])</f>
        <v>0.14166093085593828</v>
      </c>
      <c r="AM1278" s="1522" t="s">
        <v>116</v>
      </c>
      <c r="AN1278" s="1523">
        <v>45722</v>
      </c>
      <c r="AO1278" s="1524">
        <v>11099259</v>
      </c>
      <c r="AP1278" s="1525">
        <v>441920</v>
      </c>
      <c r="AQ1278" s="1525"/>
      <c r="AR1278" s="1525">
        <v>68716.91</v>
      </c>
      <c r="AS1278" s="1525">
        <f>IF(Table15[[#This Row],[PCTS Approved]]="N",0,Table15[[#This Row],[Investment Amount (1'#'#'#'#'#)]]+Table15[[#This Row],[Retirement Amount (3'#'#'#'#'#)]])</f>
        <v>510636.91000000003</v>
      </c>
      <c r="AT1278" s="1525">
        <f>IF(Table15[[#This Row],[Approved Construction Cost]]=0,0,Table15[[#This Row],[Approved Construction Cost]]-Table15[[#This Row],[Construction Cost to Bill From]])</f>
        <v>0</v>
      </c>
      <c r="AU1278" s="1525">
        <f>Table15[[#This Row],[Difference in Construction Cost]]*Table15[[#This Row],[Rate]]</f>
        <v>0</v>
      </c>
      <c r="AV1278" s="1525">
        <v>0</v>
      </c>
      <c r="AW1278" s="1526" t="s">
        <v>29</v>
      </c>
      <c r="AX1278" s="1525">
        <f>Table15[[#This Row],[Reconcile Amount]]</f>
        <v>0</v>
      </c>
      <c r="AY1278" s="1518">
        <v>45901</v>
      </c>
      <c r="AZ1278" s="333"/>
      <c r="BA1278" s="1031" t="s">
        <v>6875</v>
      </c>
      <c r="BB1278" s="644" t="s">
        <v>4987</v>
      </c>
      <c r="BC1278" s="559" t="s">
        <v>116</v>
      </c>
      <c r="BD1278" s="554" t="s">
        <v>115</v>
      </c>
      <c r="BE1278" s="554" t="s">
        <v>595</v>
      </c>
      <c r="BF1278" s="588" t="s">
        <v>115</v>
      </c>
      <c r="BG1278" s="588" t="s">
        <v>115</v>
      </c>
      <c r="BH1278" s="615" t="s">
        <v>6876</v>
      </c>
      <c r="BI1278" s="549" t="s">
        <v>709</v>
      </c>
      <c r="BJ1278" s="549" t="s">
        <v>709</v>
      </c>
      <c r="BK1278" s="549" t="s">
        <v>709</v>
      </c>
      <c r="BL1278" s="547" t="s">
        <v>116</v>
      </c>
      <c r="BM1278" s="549" t="s">
        <v>709</v>
      </c>
      <c r="BN1278" s="549" t="s">
        <v>709</v>
      </c>
      <c r="BO1278" s="549" t="s">
        <v>709</v>
      </c>
      <c r="BP1278" s="549" t="s">
        <v>709</v>
      </c>
      <c r="BQ1278" s="549">
        <v>109</v>
      </c>
      <c r="BR1278" s="549" t="s">
        <v>116</v>
      </c>
      <c r="BS1278" s="549">
        <v>124</v>
      </c>
      <c r="BT1278" s="549" t="s">
        <v>709</v>
      </c>
      <c r="BU1278" s="549" t="s">
        <v>709</v>
      </c>
      <c r="BV1278" s="549" t="s">
        <v>709</v>
      </c>
      <c r="BW1278" s="549" t="s">
        <v>709</v>
      </c>
      <c r="BX1278" s="549" t="s">
        <v>709</v>
      </c>
      <c r="BY1278" s="549" t="s">
        <v>709</v>
      </c>
      <c r="BZ1278" s="547" t="s">
        <v>709</v>
      </c>
      <c r="CA1278" s="483"/>
      <c r="CB1278" s="547">
        <v>1276</v>
      </c>
      <c r="CC1278" s="1481" t="b">
        <v>0</v>
      </c>
      <c r="CD1278" s="879" t="str">
        <f>Table15[[#This Row],[Engineering Number]]&amp;Table15[[#This Row],[WO Number]]&amp;Table15[[#This Row],[Date Assigned to Designer]]&amp;Table15[[#This Row],[Date Completed]]</f>
        <v>SC2404714145784558745646</v>
      </c>
    </row>
    <row r="1279" spans="1:82" customFormat="1" ht="15" customHeight="1" x14ac:dyDescent="0.25">
      <c r="A1279">
        <v>2024</v>
      </c>
      <c r="B1279" s="8" t="s">
        <v>4</v>
      </c>
      <c r="C1279" t="s">
        <v>6866</v>
      </c>
      <c r="D1279" s="779" t="s">
        <v>6867</v>
      </c>
      <c r="E1279" t="s">
        <v>2375</v>
      </c>
      <c r="F1279" s="8" t="s">
        <v>784</v>
      </c>
      <c r="G1279" s="8" t="s">
        <v>31</v>
      </c>
      <c r="H1279" s="8" t="s">
        <v>59</v>
      </c>
      <c r="I1279" s="755">
        <v>44427</v>
      </c>
      <c r="J1279" s="18">
        <v>45646</v>
      </c>
      <c r="K1279" s="642">
        <v>45646</v>
      </c>
      <c r="L1279" s="649">
        <f>IF(ISTEXT(Table15[[#This Row],[Engineering Approved Design Date]]),Table15[[#This Row],[Date Completed]]-Table15[[#This Row],[Date Assigned to Designer]],Table15[[#This Row],[Engineering Approved Design Date]]-Table15[[#This Row],[Date Completed]])</f>
        <v>0</v>
      </c>
      <c r="M1279" t="s">
        <v>6868</v>
      </c>
      <c r="N1279" s="99" t="s">
        <v>120</v>
      </c>
      <c r="O1279" s="1060">
        <v>45627</v>
      </c>
      <c r="P1279" s="1152" t="s">
        <v>739</v>
      </c>
      <c r="Q1279" s="340">
        <v>1200000</v>
      </c>
      <c r="R1279" s="1026" t="s">
        <v>6869</v>
      </c>
      <c r="S1279" s="538" t="s">
        <v>29</v>
      </c>
      <c r="T1279" s="538" t="s">
        <v>29</v>
      </c>
      <c r="U1279" s="28" t="s">
        <v>29</v>
      </c>
      <c r="V1279" s="858">
        <v>27112</v>
      </c>
      <c r="W1279" s="437">
        <v>4</v>
      </c>
      <c r="X1279" s="538">
        <v>16357075.050000001</v>
      </c>
      <c r="Y1279" s="550"/>
      <c r="Z1279" s="538">
        <v>4252885.03</v>
      </c>
      <c r="AA1279" s="552">
        <f>SUM(Table15[[#This Row],[PCTS Investment Amount]:[PCTS Retirement Amount]])</f>
        <v>20609960.080000002</v>
      </c>
      <c r="AB1279" s="341">
        <v>45639</v>
      </c>
      <c r="AC1279" s="568" t="s">
        <v>116</v>
      </c>
      <c r="AD1279" s="1158" t="s">
        <v>29</v>
      </c>
      <c r="AE1279" s="576" t="s">
        <v>116</v>
      </c>
      <c r="AF1279" s="576" t="s">
        <v>116</v>
      </c>
      <c r="AG1279" s="576" t="s">
        <v>376</v>
      </c>
      <c r="AH1279" s="183" t="s">
        <v>8140</v>
      </c>
      <c r="AI1279" s="1145">
        <v>163750</v>
      </c>
      <c r="AJ1279" s="1146">
        <v>33110</v>
      </c>
      <c r="AK1279" s="1146">
        <v>18730.5</v>
      </c>
      <c r="AL1279" s="1108">
        <f>SUM(Table15[[#This Row],[Nicor Initiated DBE]:[Staffing]])/(Table15[[#This Row],[Amount Invoiced]])</f>
        <v>0.17965875000000001</v>
      </c>
      <c r="AM1279" s="536" t="s">
        <v>116</v>
      </c>
      <c r="AN1279" s="903" t="s">
        <v>709</v>
      </c>
      <c r="AO1279" s="1536"/>
      <c r="AP1279" s="1537"/>
      <c r="AQ1279" s="1537"/>
      <c r="AR1279" s="1537"/>
      <c r="AS1279" s="888">
        <f>IF(Table15[[#This Row],[PCTS Approved]]="N",0,Table15[[#This Row],[Investment Amount (1'#'#'#'#'#)]]+Table15[[#This Row],[Retirement Amount (3'#'#'#'#'#)]])</f>
        <v>0</v>
      </c>
      <c r="AT1279" s="888">
        <f>IF(Table15[[#This Row],[Approved Construction Cost]]=0,0,Table15[[#This Row],[Approved Construction Cost]]-Table15[[#This Row],[Construction Cost to Bill From]])</f>
        <v>0</v>
      </c>
      <c r="AU1279" s="888">
        <f>IFERROR(Table15[[#This Row],[Difference in Construction Cost]]*Table15[[#This Row],[Rate]],Table15[[#This Row],[Difference in Construction Cost]]*0.085)</f>
        <v>0</v>
      </c>
      <c r="AV1279" s="905"/>
      <c r="AW1279" s="1509"/>
      <c r="AX1279" s="888"/>
      <c r="AY1279" s="636" t="s">
        <v>709</v>
      </c>
      <c r="AZ1279" s="333"/>
      <c r="BA1279" s="1031" t="s">
        <v>6870</v>
      </c>
      <c r="BB1279" s="543" t="s">
        <v>870</v>
      </c>
      <c r="BC1279" s="559" t="s">
        <v>992</v>
      </c>
      <c r="BD1279" s="554" t="s">
        <v>115</v>
      </c>
      <c r="BE1279" s="588" t="s">
        <v>3205</v>
      </c>
      <c r="BF1279" s="588" t="s">
        <v>115</v>
      </c>
      <c r="BG1279" s="544" t="s">
        <v>1391</v>
      </c>
      <c r="BH1279" s="615" t="s">
        <v>6871</v>
      </c>
      <c r="BI1279" s="547" t="s">
        <v>709</v>
      </c>
      <c r="BJ1279" s="547" t="s">
        <v>709</v>
      </c>
      <c r="BK1279" s="547" t="s">
        <v>116</v>
      </c>
      <c r="BL1279" s="547" t="s">
        <v>116</v>
      </c>
      <c r="BM1279" s="547" t="s">
        <v>709</v>
      </c>
      <c r="BN1279" s="547">
        <v>8467</v>
      </c>
      <c r="BO1279" s="547" t="s">
        <v>709</v>
      </c>
      <c r="BP1279" s="547">
        <v>3330</v>
      </c>
      <c r="BQ1279" s="547">
        <v>1652</v>
      </c>
      <c r="BR1279" s="547">
        <v>7602</v>
      </c>
      <c r="BS1279" s="547">
        <v>5971</v>
      </c>
      <c r="BT1279" s="547">
        <v>1</v>
      </c>
      <c r="BU1279" s="547">
        <v>3</v>
      </c>
      <c r="BV1279" s="547" t="e">
        <f>IF(DOT_Projects[[#This Row],[TDS (i.e. MOP main)]]="Y",DOT_Projects[[#This Row],[Engineering Approved Design Date]]-28,DOT_Projects[[#This Row],[Engineering Approved Design Date]]-21)</f>
        <v>#VALUE!</v>
      </c>
      <c r="BW1279" s="547" t="s">
        <v>709</v>
      </c>
      <c r="BX1279" s="547" t="s">
        <v>709</v>
      </c>
      <c r="BY1279" s="547" t="s">
        <v>709</v>
      </c>
      <c r="BZ1279" s="547" t="s">
        <v>709</v>
      </c>
      <c r="CA1279" s="483"/>
      <c r="CB1279" s="547">
        <v>1278</v>
      </c>
      <c r="CC1279" s="1481" t="b">
        <v>0</v>
      </c>
      <c r="CD1279" s="879" t="str">
        <f>Table15[[#This Row],[Engineering Number]]&amp;Table15[[#This Row],[WO Number]]&amp;Table15[[#This Row],[Date Assigned to Designer]]&amp;Table15[[#This Row],[Date Completed]]</f>
        <v>N1479312132704442745646</v>
      </c>
    </row>
    <row r="1280" spans="1:82" customFormat="1" ht="15" customHeight="1" x14ac:dyDescent="0.25">
      <c r="A1280">
        <v>2024</v>
      </c>
      <c r="B1280" s="8" t="s">
        <v>1162</v>
      </c>
      <c r="C1280" t="s">
        <v>8141</v>
      </c>
      <c r="D1280" s="8" t="s">
        <v>115</v>
      </c>
      <c r="E1280" t="s">
        <v>2375</v>
      </c>
      <c r="F1280" s="8" t="s">
        <v>784</v>
      </c>
      <c r="G1280" s="8" t="s">
        <v>31</v>
      </c>
      <c r="H1280" s="8" t="s">
        <v>59</v>
      </c>
      <c r="I1280" s="755">
        <v>44166</v>
      </c>
      <c r="J1280" s="18">
        <v>45646</v>
      </c>
      <c r="K1280" s="97">
        <v>45646</v>
      </c>
      <c r="L1280" s="16">
        <f>IF(ISTEXT(Table15[[#This Row],[Engineering Approved Design Date]]),Table15[[#This Row],[Date Completed]]-Table15[[#This Row],[Date Assigned to Designer]],Table15[[#This Row],[Engineering Approved Design Date]]-Table15[[#This Row],[Date Completed]])</f>
        <v>0</v>
      </c>
      <c r="M1280" t="s">
        <v>8142</v>
      </c>
      <c r="N1280" s="99" t="s">
        <v>120</v>
      </c>
      <c r="O1280" s="1060">
        <v>45627</v>
      </c>
      <c r="P1280" s="1152" t="s">
        <v>739</v>
      </c>
      <c r="Q1280" s="340" t="s">
        <v>115</v>
      </c>
      <c r="R1280" s="1026" t="s">
        <v>115</v>
      </c>
      <c r="S1280" s="538" t="s">
        <v>29</v>
      </c>
      <c r="T1280" s="538" t="s">
        <v>29</v>
      </c>
      <c r="U1280" s="28" t="s">
        <v>29</v>
      </c>
      <c r="V1280" s="858" t="s">
        <v>29</v>
      </c>
      <c r="W1280" s="437" t="s">
        <v>29</v>
      </c>
      <c r="X1280" s="538" t="s">
        <v>29</v>
      </c>
      <c r="Y1280" s="550"/>
      <c r="Z1280" s="538" t="s">
        <v>29</v>
      </c>
      <c r="AA1280" s="552" t="s">
        <v>29</v>
      </c>
      <c r="AB1280" s="341" t="s">
        <v>29</v>
      </c>
      <c r="AC1280" s="569" t="s">
        <v>29</v>
      </c>
      <c r="AD1280" s="1149" t="s">
        <v>29</v>
      </c>
      <c r="AE1280" s="568" t="s">
        <v>29</v>
      </c>
      <c r="AF1280" s="568" t="s">
        <v>29</v>
      </c>
      <c r="AG1280" s="569" t="s">
        <v>29</v>
      </c>
      <c r="AH1280" s="183" t="s">
        <v>29</v>
      </c>
      <c r="AI1280" s="1028" t="s">
        <v>29</v>
      </c>
      <c r="AJ1280" s="1029" t="s">
        <v>29</v>
      </c>
      <c r="AK1280" s="1029" t="s">
        <v>29</v>
      </c>
      <c r="AL1280" s="1030" t="s">
        <v>29</v>
      </c>
      <c r="AM1280" s="542" t="s">
        <v>709</v>
      </c>
      <c r="AN1280" s="924"/>
      <c r="AO1280" s="925"/>
      <c r="AP1280" s="926"/>
      <c r="AQ1280" s="926"/>
      <c r="AR1280" s="926"/>
      <c r="AS1280" s="926"/>
      <c r="AT1280" s="926"/>
      <c r="AU1280" s="926"/>
      <c r="AV1280" s="926"/>
      <c r="AW1280" s="927"/>
      <c r="AX1280" s="926"/>
      <c r="AY1280" s="1538" t="s">
        <v>29</v>
      </c>
      <c r="AZ1280" s="1530"/>
      <c r="BA1280" s="1031" t="s">
        <v>8143</v>
      </c>
      <c r="BB1280" s="543" t="s">
        <v>8144</v>
      </c>
      <c r="BC1280" s="559" t="s">
        <v>116</v>
      </c>
      <c r="BD1280" s="554" t="s">
        <v>115</v>
      </c>
      <c r="BE1280" s="588" t="s">
        <v>3205</v>
      </c>
      <c r="BF1280" s="588" t="s">
        <v>115</v>
      </c>
      <c r="BG1280" s="544" t="s">
        <v>1391</v>
      </c>
      <c r="BH1280" s="615" t="s">
        <v>8145</v>
      </c>
      <c r="BI1280" s="1140"/>
      <c r="BJ1280" s="1140"/>
      <c r="BK1280" s="1140"/>
      <c r="BL1280" s="1140"/>
      <c r="BM1280" s="1140"/>
      <c r="BN1280" s="1140"/>
      <c r="BO1280" s="1140"/>
      <c r="BP1280" s="1140"/>
      <c r="BQ1280" s="1140"/>
      <c r="BR1280" s="1140"/>
      <c r="BS1280" s="1140"/>
      <c r="BT1280" s="1140"/>
      <c r="BU1280" s="1140"/>
      <c r="BV1280" s="1140"/>
      <c r="BW1280" s="1140"/>
      <c r="BX1280" s="1140"/>
      <c r="BY1280" s="1140"/>
      <c r="BZ1280" s="1140"/>
      <c r="CA1280" s="483"/>
      <c r="CB1280" s="547">
        <v>1277</v>
      </c>
      <c r="CC1280" s="1481" t="b">
        <v>0</v>
      </c>
      <c r="CD1280" s="879" t="str">
        <f>Table15[[#This Row],[Engineering Number]]&amp;Table15[[#This Row],[WO Number]]&amp;Table15[[#This Row],[Date Assigned to Designer]]&amp;Table15[[#This Row],[Date Completed]]</f>
        <v>PRIM473A-4416645646</v>
      </c>
    </row>
    <row r="1281" spans="1:82" customFormat="1" ht="15" customHeight="1" x14ac:dyDescent="0.25">
      <c r="A1281">
        <v>2025</v>
      </c>
      <c r="B1281" s="8" t="s">
        <v>1073</v>
      </c>
      <c r="C1281" t="s">
        <v>6817</v>
      </c>
      <c r="D1281" s="779" t="s">
        <v>6818</v>
      </c>
      <c r="E1281" t="s">
        <v>3259</v>
      </c>
      <c r="F1281" s="8" t="s">
        <v>851</v>
      </c>
      <c r="G1281" s="8" t="s">
        <v>31</v>
      </c>
      <c r="H1281" s="8" t="s">
        <v>59</v>
      </c>
      <c r="I1281" s="755">
        <v>45502</v>
      </c>
      <c r="J1281" s="18">
        <v>45653</v>
      </c>
      <c r="K1281" s="18">
        <v>45649</v>
      </c>
      <c r="L1281" s="16">
        <f>IF(ISTEXT(Table15[[#This Row],[Engineering Approved Design Date]]),Table15[[#This Row],[Date Completed]]-Table15[[#This Row],[Date Assigned to Designer]],Table15[[#This Row],[Engineering Approved Design Date]]-Table15[[#This Row],[Date Completed]])</f>
        <v>4</v>
      </c>
      <c r="N1281" s="99" t="s">
        <v>120</v>
      </c>
      <c r="O1281" s="1060">
        <v>45627</v>
      </c>
      <c r="P1281" s="1152" t="s">
        <v>739</v>
      </c>
      <c r="Q1281" s="340">
        <f>Table15[[#This Row],[Rate]]*Table15[[#This Row],[Construction Cost to Bill From]]</f>
        <v>365755.87520000007</v>
      </c>
      <c r="R1281" s="1026">
        <v>0.08</v>
      </c>
      <c r="S1281" s="538" t="s">
        <v>29</v>
      </c>
      <c r="T1281" s="538" t="s">
        <v>29</v>
      </c>
      <c r="U1281" s="28" t="s">
        <v>29</v>
      </c>
      <c r="V1281" s="858">
        <v>6156</v>
      </c>
      <c r="W1281" s="437">
        <v>0</v>
      </c>
      <c r="X1281" s="538">
        <v>4520383.28</v>
      </c>
      <c r="Y1281" s="550"/>
      <c r="Z1281" s="538">
        <v>51565.16</v>
      </c>
      <c r="AA1281" s="552">
        <f>SUM(Table15[[#This Row],[PCTS Investment Amount]:[PCTS Retirement Amount]])</f>
        <v>4571948.4400000004</v>
      </c>
      <c r="AB1281" s="341">
        <v>45659</v>
      </c>
      <c r="AC1281" s="568" t="s">
        <v>116</v>
      </c>
      <c r="AD1281" s="1158" t="s">
        <v>29</v>
      </c>
      <c r="AE1281" s="576" t="s">
        <v>756</v>
      </c>
      <c r="AF1281" s="576" t="s">
        <v>116</v>
      </c>
      <c r="AG1281" s="569" t="s">
        <v>116</v>
      </c>
      <c r="AH1281" s="183">
        <v>45672</v>
      </c>
      <c r="AI1281" s="1145">
        <f>11500+42200+59665</f>
        <v>113365</v>
      </c>
      <c r="AJ1281" s="1146">
        <v>0</v>
      </c>
      <c r="AK1281" s="1146">
        <v>8884.25</v>
      </c>
      <c r="AL1281" s="1108">
        <f>SUM(Table15[[#This Row],[Nicor Initiated DBE]:[Staffing]])/(Table15[[#This Row],[Amount Invoiced]])</f>
        <v>0.33423728308712064</v>
      </c>
      <c r="AM1281" s="536" t="s">
        <v>116</v>
      </c>
      <c r="AN1281" s="903"/>
      <c r="AO1281" s="1536"/>
      <c r="AP1281" s="1537"/>
      <c r="AQ1281" s="1537"/>
      <c r="AR1281" s="1537"/>
      <c r="AS1281" s="888">
        <f>IF(Table15[[#This Row],[PCTS Approved]]="N",0,Table15[[#This Row],[Investment Amount (1'#'#'#'#'#)]]+Table15[[#This Row],[Retirement Amount (3'#'#'#'#'#)]])</f>
        <v>0</v>
      </c>
      <c r="AT1281" s="888">
        <f>IF(Table15[[#This Row],[Approved Construction Cost]]=0,0,Table15[[#This Row],[Approved Construction Cost]]-Table15[[#This Row],[Construction Cost to Bill From]])</f>
        <v>0</v>
      </c>
      <c r="AU1281" s="888">
        <f>IFERROR(Table15[[#This Row],[Difference in Construction Cost]]*Table15[[#This Row],[Rate]],Table15[[#This Row],[Difference in Construction Cost]]*0.085)</f>
        <v>0</v>
      </c>
      <c r="AV1281" s="905"/>
      <c r="AW1281" s="1509"/>
      <c r="AX1281" s="888"/>
      <c r="AY1281" s="636" t="s">
        <v>709</v>
      </c>
      <c r="AZ1281" s="1532"/>
      <c r="BA1281" s="1031" t="s">
        <v>6819</v>
      </c>
      <c r="BB1281" s="543" t="s">
        <v>6820</v>
      </c>
      <c r="BC1281" s="559" t="s">
        <v>116</v>
      </c>
      <c r="BD1281" s="554" t="s">
        <v>882</v>
      </c>
      <c r="BE1281" s="588" t="s">
        <v>3262</v>
      </c>
      <c r="BF1281" s="588" t="s">
        <v>6821</v>
      </c>
      <c r="BG1281" s="588" t="s">
        <v>115</v>
      </c>
      <c r="BH1281" s="615" t="s">
        <v>6822</v>
      </c>
      <c r="BI1281" s="547" t="s">
        <v>745</v>
      </c>
      <c r="BJ1281" s="547" t="s">
        <v>745</v>
      </c>
      <c r="BK1281" s="547" t="s">
        <v>116</v>
      </c>
      <c r="BL1281" s="547" t="s">
        <v>745</v>
      </c>
      <c r="BM1281" s="547" t="s">
        <v>745</v>
      </c>
      <c r="BN1281" s="547">
        <v>6138</v>
      </c>
      <c r="BO1281" s="547" t="s">
        <v>745</v>
      </c>
      <c r="BP1281" s="547" t="s">
        <v>745</v>
      </c>
      <c r="BQ1281" s="547" t="s">
        <v>745</v>
      </c>
      <c r="BR1281" s="547">
        <v>18</v>
      </c>
      <c r="BS1281" s="547" t="s">
        <v>745</v>
      </c>
      <c r="BT1281" s="547" t="s">
        <v>745</v>
      </c>
      <c r="BU1281" s="547" t="s">
        <v>745</v>
      </c>
      <c r="BV1281" s="547" t="s">
        <v>745</v>
      </c>
      <c r="BW1281" s="547" t="s">
        <v>745</v>
      </c>
      <c r="BX1281" s="547" t="s">
        <v>745</v>
      </c>
      <c r="BY1281" s="547" t="s">
        <v>116</v>
      </c>
      <c r="BZ1281" s="547" t="s">
        <v>709</v>
      </c>
      <c r="CA1281" s="483"/>
      <c r="CB1281" s="547">
        <v>1279</v>
      </c>
      <c r="CC1281" s="1481" t="b">
        <v>0</v>
      </c>
      <c r="CD1281" s="879" t="str">
        <f>Table15[[#This Row],[Engineering Number]]&amp;Table15[[#This Row],[WO Number]]&amp;Table15[[#This Row],[Date Assigned to Designer]]&amp;Table15[[#This Row],[Date Completed]]</f>
        <v>NBA1001503916141454550245649</v>
      </c>
    </row>
    <row r="1282" spans="1:82" customFormat="1" ht="15" customHeight="1" x14ac:dyDescent="0.25">
      <c r="A1282">
        <v>2025</v>
      </c>
      <c r="B1282" s="8" t="s">
        <v>1073</v>
      </c>
      <c r="C1282" t="s">
        <v>6823</v>
      </c>
      <c r="D1282" s="779" t="s">
        <v>6824</v>
      </c>
      <c r="E1282" t="s">
        <v>3259</v>
      </c>
      <c r="F1282" s="8" t="s">
        <v>851</v>
      </c>
      <c r="G1282" s="8" t="s">
        <v>34</v>
      </c>
      <c r="H1282" s="8" t="s">
        <v>59</v>
      </c>
      <c r="I1282" s="755">
        <v>45502</v>
      </c>
      <c r="J1282" s="18">
        <v>45653</v>
      </c>
      <c r="K1282" s="18">
        <v>45649</v>
      </c>
      <c r="L1282" s="16">
        <f>IF(ISTEXT(Table15[[#This Row],[Engineering Approved Design Date]]),Table15[[#This Row],[Date Completed]]-Table15[[#This Row],[Date Assigned to Designer]],Table15[[#This Row],[Engineering Approved Design Date]]-Table15[[#This Row],[Date Completed]])</f>
        <v>4</v>
      </c>
      <c r="N1282" s="99" t="s">
        <v>120</v>
      </c>
      <c r="O1282" s="1060">
        <v>45627</v>
      </c>
      <c r="P1282" s="1152" t="s">
        <v>739</v>
      </c>
      <c r="Q1282" s="340">
        <f>Table15[[#This Row],[Rate]]*Table15[[#This Row],[Construction Cost to Bill From]]</f>
        <v>15793.2672</v>
      </c>
      <c r="R1282" s="1026">
        <v>0.08</v>
      </c>
      <c r="S1282" s="538" t="s">
        <v>29</v>
      </c>
      <c r="T1282" s="538" t="s">
        <v>29</v>
      </c>
      <c r="U1282" s="28" t="s">
        <v>29</v>
      </c>
      <c r="V1282" s="858">
        <v>744</v>
      </c>
      <c r="W1282" s="437">
        <v>0</v>
      </c>
      <c r="X1282" s="538">
        <v>197415.84</v>
      </c>
      <c r="Y1282" s="550"/>
      <c r="Z1282" s="538">
        <v>0</v>
      </c>
      <c r="AA1282" s="552">
        <f>SUM(Table15[[#This Row],[PCTS Investment Amount]:[PCTS Retirement Amount]])</f>
        <v>197415.84</v>
      </c>
      <c r="AB1282" s="341">
        <v>45646</v>
      </c>
      <c r="AC1282" s="568" t="s">
        <v>709</v>
      </c>
      <c r="AD1282" s="1158" t="s">
        <v>29</v>
      </c>
      <c r="AE1282" s="576" t="s">
        <v>756</v>
      </c>
      <c r="AF1282" s="576" t="s">
        <v>29</v>
      </c>
      <c r="AG1282" s="569" t="s">
        <v>116</v>
      </c>
      <c r="AH1282" s="183">
        <v>45672</v>
      </c>
      <c r="AI1282" s="1147">
        <v>0</v>
      </c>
      <c r="AJ1282" s="1130">
        <v>0</v>
      </c>
      <c r="AK1282" s="1130">
        <v>0</v>
      </c>
      <c r="AL1282" s="1108">
        <f>SUM(Table15[[#This Row],[Nicor Initiated DBE]:[Staffing]])/(Table15[[#This Row],[Amount Invoiced]])</f>
        <v>0</v>
      </c>
      <c r="AM1282" s="536" t="s">
        <v>116</v>
      </c>
      <c r="AN1282" s="903"/>
      <c r="AO1282" s="1536"/>
      <c r="AP1282" s="1537"/>
      <c r="AQ1282" s="1537"/>
      <c r="AR1282" s="1537"/>
      <c r="AS1282" s="888">
        <f>IF(Table15[[#This Row],[PCTS Approved]]="N",0,Table15[[#This Row],[Investment Amount (1'#'#'#'#'#)]]+Table15[[#This Row],[Retirement Amount (3'#'#'#'#'#)]])</f>
        <v>0</v>
      </c>
      <c r="AT1282" s="888">
        <f>IF(Table15[[#This Row],[Approved Construction Cost]]=0,0,Table15[[#This Row],[Approved Construction Cost]]-Table15[[#This Row],[Construction Cost to Bill From]])</f>
        <v>0</v>
      </c>
      <c r="AU1282" s="888">
        <f>IFERROR(Table15[[#This Row],[Difference in Construction Cost]]*Table15[[#This Row],[Rate]],Table15[[#This Row],[Difference in Construction Cost]]*0.085)</f>
        <v>0</v>
      </c>
      <c r="AV1282" s="905"/>
      <c r="AW1282" s="1509"/>
      <c r="AX1282" s="888"/>
      <c r="AY1282" s="636" t="s">
        <v>709</v>
      </c>
      <c r="AZ1282" s="1532"/>
      <c r="BA1282" s="1031" t="s">
        <v>6825</v>
      </c>
      <c r="BB1282" s="543" t="s">
        <v>6820</v>
      </c>
      <c r="BC1282" s="559" t="s">
        <v>116</v>
      </c>
      <c r="BD1282" s="554" t="s">
        <v>882</v>
      </c>
      <c r="BE1282" s="588" t="s">
        <v>3262</v>
      </c>
      <c r="BF1282" s="588" t="s">
        <v>6821</v>
      </c>
      <c r="BG1282" s="588" t="s">
        <v>115</v>
      </c>
      <c r="BH1282" s="615" t="s">
        <v>6826</v>
      </c>
      <c r="BI1282" s="547" t="s">
        <v>709</v>
      </c>
      <c r="BJ1282" s="547" t="s">
        <v>709</v>
      </c>
      <c r="BK1282" s="547" t="s">
        <v>116</v>
      </c>
      <c r="BL1282" s="547" t="s">
        <v>709</v>
      </c>
      <c r="BM1282" s="547" t="s">
        <v>709</v>
      </c>
      <c r="BN1282" s="547" t="s">
        <v>709</v>
      </c>
      <c r="BO1282" s="547" t="s">
        <v>709</v>
      </c>
      <c r="BP1282" s="547">
        <v>744</v>
      </c>
      <c r="BQ1282" s="547" t="s">
        <v>709</v>
      </c>
      <c r="BR1282" s="547" t="s">
        <v>709</v>
      </c>
      <c r="BS1282" s="547" t="s">
        <v>709</v>
      </c>
      <c r="BT1282" s="547" t="s">
        <v>709</v>
      </c>
      <c r="BU1282" s="547" t="s">
        <v>709</v>
      </c>
      <c r="BV1282" s="547" t="s">
        <v>709</v>
      </c>
      <c r="BW1282" s="547" t="s">
        <v>709</v>
      </c>
      <c r="BX1282" s="547" t="s">
        <v>709</v>
      </c>
      <c r="BY1282" s="547" t="s">
        <v>709</v>
      </c>
      <c r="BZ1282" s="547" t="s">
        <v>709</v>
      </c>
      <c r="CA1282" s="483" t="s">
        <v>6827</v>
      </c>
      <c r="CB1282" s="547">
        <v>1281</v>
      </c>
      <c r="CC1282" s="1481" t="b">
        <v>0</v>
      </c>
      <c r="CD1282" s="879" t="str">
        <f>Table15[[#This Row],[Engineering Number]]&amp;Table15[[#This Row],[WO Number]]&amp;Table15[[#This Row],[Date Assigned to Designer]]&amp;Table15[[#This Row],[Date Completed]]</f>
        <v>NBA10015039-116141464550245649</v>
      </c>
    </row>
    <row r="1283" spans="1:82" customFormat="1" ht="15" customHeight="1" x14ac:dyDescent="0.25">
      <c r="A1283">
        <v>2025</v>
      </c>
      <c r="B1283" s="8" t="s">
        <v>1073</v>
      </c>
      <c r="C1283" t="s">
        <v>6828</v>
      </c>
      <c r="D1283" s="779" t="s">
        <v>6829</v>
      </c>
      <c r="E1283" t="s">
        <v>3259</v>
      </c>
      <c r="F1283" s="8" t="s">
        <v>851</v>
      </c>
      <c r="G1283" s="8" t="s">
        <v>34</v>
      </c>
      <c r="H1283" s="8" t="s">
        <v>59</v>
      </c>
      <c r="I1283" s="755">
        <v>45502</v>
      </c>
      <c r="J1283" s="18">
        <v>45653</v>
      </c>
      <c r="K1283" s="18">
        <v>45649</v>
      </c>
      <c r="L1283" s="16">
        <f>IF(ISTEXT(Table15[[#This Row],[Engineering Approved Design Date]]),Table15[[#This Row],[Date Completed]]-Table15[[#This Row],[Date Assigned to Designer]],Table15[[#This Row],[Engineering Approved Design Date]]-Table15[[#This Row],[Date Completed]])</f>
        <v>4</v>
      </c>
      <c r="N1283" s="99" t="s">
        <v>120</v>
      </c>
      <c r="O1283" s="1060">
        <v>45627</v>
      </c>
      <c r="P1283" s="1152" t="s">
        <v>739</v>
      </c>
      <c r="Q1283" s="340">
        <f>Table15[[#This Row],[Rate]]*Table15[[#This Row],[Construction Cost to Bill From]]</f>
        <v>36745.468000000001</v>
      </c>
      <c r="R1283" s="1026">
        <v>0.08</v>
      </c>
      <c r="S1283" s="538" t="s">
        <v>29</v>
      </c>
      <c r="T1283" s="538" t="s">
        <v>29</v>
      </c>
      <c r="U1283" s="28" t="s">
        <v>29</v>
      </c>
      <c r="V1283" s="858">
        <v>270</v>
      </c>
      <c r="W1283" s="437">
        <v>2</v>
      </c>
      <c r="X1283" s="538">
        <v>459318.35</v>
      </c>
      <c r="Y1283" s="550"/>
      <c r="Z1283" s="538">
        <v>0</v>
      </c>
      <c r="AA1283" s="552">
        <f>SUM(Table15[[#This Row],[PCTS Investment Amount]:[PCTS Retirement Amount]])</f>
        <v>459318.35</v>
      </c>
      <c r="AB1283" s="341">
        <v>45663</v>
      </c>
      <c r="AC1283" s="568" t="s">
        <v>1056</v>
      </c>
      <c r="AD1283" s="1158" t="s">
        <v>29</v>
      </c>
      <c r="AE1283" s="576" t="s">
        <v>756</v>
      </c>
      <c r="AF1283" s="576" t="s">
        <v>29</v>
      </c>
      <c r="AG1283" s="569" t="s">
        <v>116</v>
      </c>
      <c r="AH1283" s="183">
        <v>45672</v>
      </c>
      <c r="AI1283" s="1147">
        <v>0</v>
      </c>
      <c r="AJ1283" s="1130">
        <v>0</v>
      </c>
      <c r="AK1283" s="1130">
        <v>0</v>
      </c>
      <c r="AL1283" s="1108">
        <f>SUM(Table15[[#This Row],[Nicor Initiated DBE]:[Staffing]])/(Table15[[#This Row],[Amount Invoiced]])</f>
        <v>0</v>
      </c>
      <c r="AM1283" s="536" t="s">
        <v>116</v>
      </c>
      <c r="AN1283" s="903"/>
      <c r="AO1283" s="1536"/>
      <c r="AP1283" s="1537"/>
      <c r="AQ1283" s="1537"/>
      <c r="AR1283" s="1537"/>
      <c r="AS1283" s="888">
        <f>IF(Table15[[#This Row],[PCTS Approved]]="N",0,Table15[[#This Row],[Investment Amount (1'#'#'#'#'#)]]+Table15[[#This Row],[Retirement Amount (3'#'#'#'#'#)]])</f>
        <v>0</v>
      </c>
      <c r="AT1283" s="888">
        <f>IF(Table15[[#This Row],[Approved Construction Cost]]=0,0,Table15[[#This Row],[Approved Construction Cost]]-Table15[[#This Row],[Construction Cost to Bill From]])</f>
        <v>0</v>
      </c>
      <c r="AU1283" s="888">
        <f>IFERROR(Table15[[#This Row],[Difference in Construction Cost]]*Table15[[#This Row],[Rate]],Table15[[#This Row],[Difference in Construction Cost]]*0.085)</f>
        <v>0</v>
      </c>
      <c r="AV1283" s="905"/>
      <c r="AW1283" s="1509"/>
      <c r="AX1283" s="888"/>
      <c r="AY1283" s="636" t="s">
        <v>709</v>
      </c>
      <c r="AZ1283" s="1532"/>
      <c r="BA1283" s="1031" t="s">
        <v>6830</v>
      </c>
      <c r="BB1283" s="543" t="s">
        <v>6820</v>
      </c>
      <c r="BC1283" s="559" t="s">
        <v>116</v>
      </c>
      <c r="BD1283" s="554" t="s">
        <v>882</v>
      </c>
      <c r="BE1283" s="588" t="s">
        <v>3262</v>
      </c>
      <c r="BF1283" s="588" t="s">
        <v>6821</v>
      </c>
      <c r="BG1283" s="588" t="s">
        <v>115</v>
      </c>
      <c r="BH1283" s="615" t="s">
        <v>6831</v>
      </c>
      <c r="BI1283" s="547" t="s">
        <v>709</v>
      </c>
      <c r="BJ1283" s="547" t="s">
        <v>709</v>
      </c>
      <c r="BK1283" s="547" t="s">
        <v>116</v>
      </c>
      <c r="BL1283" s="547" t="s">
        <v>116</v>
      </c>
      <c r="BM1283" s="547" t="s">
        <v>709</v>
      </c>
      <c r="BN1283" s="547">
        <v>74</v>
      </c>
      <c r="BO1283" s="547" t="s">
        <v>709</v>
      </c>
      <c r="BP1283" s="547">
        <v>17</v>
      </c>
      <c r="BQ1283" s="547">
        <v>2</v>
      </c>
      <c r="BR1283" s="547">
        <v>107</v>
      </c>
      <c r="BS1283" s="547" t="s">
        <v>709</v>
      </c>
      <c r="BT1283" s="547" t="s">
        <v>709</v>
      </c>
      <c r="BU1283" s="547" t="s">
        <v>709</v>
      </c>
      <c r="BV1283" s="547" t="s">
        <v>709</v>
      </c>
      <c r="BW1283" s="547" t="s">
        <v>116</v>
      </c>
      <c r="BX1283" s="547" t="s">
        <v>709</v>
      </c>
      <c r="BY1283" s="547" t="s">
        <v>116</v>
      </c>
      <c r="BZ1283" s="547" t="s">
        <v>709</v>
      </c>
      <c r="CA1283" s="483" t="s">
        <v>6832</v>
      </c>
      <c r="CB1283" s="547">
        <v>1280</v>
      </c>
      <c r="CC1283" s="1481" t="b">
        <v>0</v>
      </c>
      <c r="CD1283" s="879" t="str">
        <f>Table15[[#This Row],[Engineering Number]]&amp;Table15[[#This Row],[WO Number]]&amp;Table15[[#This Row],[Date Assigned to Designer]]&amp;Table15[[#This Row],[Date Completed]]</f>
        <v>NBA10015039-216141484550245649</v>
      </c>
    </row>
    <row r="1284" spans="1:82" customFormat="1" ht="15" customHeight="1" x14ac:dyDescent="0.25">
      <c r="A1284">
        <v>2025</v>
      </c>
      <c r="B1284" s="8" t="s">
        <v>730</v>
      </c>
      <c r="C1284" s="8" t="s">
        <v>6878</v>
      </c>
      <c r="D1284" s="8" t="s">
        <v>6879</v>
      </c>
      <c r="E1284" s="8" t="s">
        <v>6880</v>
      </c>
      <c r="F1284" s="8" t="s">
        <v>6643</v>
      </c>
      <c r="G1284" s="8" t="s">
        <v>37</v>
      </c>
      <c r="H1284" s="8" t="s">
        <v>59</v>
      </c>
      <c r="I1284" s="642">
        <v>45517</v>
      </c>
      <c r="J1284" s="18">
        <v>45657</v>
      </c>
      <c r="K1284" s="18">
        <v>45649</v>
      </c>
      <c r="L1284" s="16">
        <f>IF(ISTEXT(Table15[[#This Row],[Engineering Approved Design Date]]),Table15[[#This Row],[Date Completed]]-Table15[[#This Row],[Date Assigned to Designer]],Table15[[#This Row],[Engineering Approved Design Date]]-Table15[[#This Row],[Date Completed]])</f>
        <v>8</v>
      </c>
      <c r="M1284" s="13"/>
      <c r="N1284" s="99" t="s">
        <v>120</v>
      </c>
      <c r="O1284" s="1060">
        <v>45627</v>
      </c>
      <c r="P1284" s="1152" t="s">
        <v>120</v>
      </c>
      <c r="Q1284" s="340">
        <f>Table15[[#This Row],[Rate]]*Table15[[#This Row],[Construction Cost to Bill From]]</f>
        <v>33931.109300000004</v>
      </c>
      <c r="R1284" s="1039">
        <v>0.11</v>
      </c>
      <c r="S1284" s="538" t="s">
        <v>29</v>
      </c>
      <c r="T1284" s="538" t="s">
        <v>29</v>
      </c>
      <c r="U1284" s="28" t="s">
        <v>29</v>
      </c>
      <c r="V1284" s="858">
        <f>1007+59</f>
        <v>1066</v>
      </c>
      <c r="W1284" s="437">
        <v>1</v>
      </c>
      <c r="X1284" s="552">
        <v>245944.3</v>
      </c>
      <c r="Y1284" s="551"/>
      <c r="Z1284" s="552">
        <v>62520.33</v>
      </c>
      <c r="AA1284" s="552">
        <f>SUM(Table15[[#This Row],[PCTS Investment Amount]:[PCTS Retirement Amount]])</f>
        <v>308464.63</v>
      </c>
      <c r="AB1284" s="341">
        <v>45663</v>
      </c>
      <c r="AC1284" s="568" t="s">
        <v>1056</v>
      </c>
      <c r="AD1284" s="1159" t="s">
        <v>29</v>
      </c>
      <c r="AE1284" s="573" t="s">
        <v>756</v>
      </c>
      <c r="AF1284" s="573" t="s">
        <v>116</v>
      </c>
      <c r="AG1284" s="569" t="s">
        <v>116</v>
      </c>
      <c r="AH1284" s="573" t="s">
        <v>376</v>
      </c>
      <c r="AI1284" s="1109">
        <v>10980</v>
      </c>
      <c r="AJ1284" s="1110">
        <v>0</v>
      </c>
      <c r="AK1284" s="1143">
        <v>6453.25</v>
      </c>
      <c r="AL1284" s="1108">
        <f>SUM(Table15[[#This Row],[Nicor Initiated DBE]:[Staffing]])/(Table15[[#This Row],[Amount Invoiced]])</f>
        <v>0.51378367402801062</v>
      </c>
      <c r="AM1284" s="536" t="s">
        <v>116</v>
      </c>
      <c r="AN1284" s="903" t="s">
        <v>709</v>
      </c>
      <c r="AO1284" s="1536"/>
      <c r="AP1284" s="1537"/>
      <c r="AQ1284" s="1537"/>
      <c r="AR1284" s="1537"/>
      <c r="AS1284" s="888">
        <f>IF(Table15[[#This Row],[PCTS Approved]]="N",0,Table15[[#This Row],[Investment Amount (1'#'#'#'#'#)]]+Table15[[#This Row],[Retirement Amount (3'#'#'#'#'#)]])</f>
        <v>0</v>
      </c>
      <c r="AT1284" s="888">
        <f>IF(Table15[[#This Row],[Approved Construction Cost]]=0,0,Table15[[#This Row],[Approved Construction Cost]]-Table15[[#This Row],[Construction Cost to Bill From]])</f>
        <v>0</v>
      </c>
      <c r="AU1284" s="888">
        <f>IFERROR(Table15[[#This Row],[Difference in Construction Cost]]*Table15[[#This Row],[Rate]],Table15[[#This Row],[Difference in Construction Cost]]*0.085)</f>
        <v>0</v>
      </c>
      <c r="AV1284" s="905"/>
      <c r="AW1284" s="1509"/>
      <c r="AX1284" s="888"/>
      <c r="AY1284" s="636" t="s">
        <v>709</v>
      </c>
      <c r="AZ1284" s="333"/>
      <c r="BA1284" s="1074" t="s">
        <v>8146</v>
      </c>
      <c r="BB1284" s="644" t="s">
        <v>6882</v>
      </c>
      <c r="BC1284" s="544" t="s">
        <v>116</v>
      </c>
      <c r="BD1284" s="544" t="s">
        <v>115</v>
      </c>
      <c r="BE1284" s="544" t="s">
        <v>115</v>
      </c>
      <c r="BF1284" s="544" t="s">
        <v>6883</v>
      </c>
      <c r="BG1284" s="548" t="s">
        <v>115</v>
      </c>
      <c r="BH1284" s="615" t="s">
        <v>6884</v>
      </c>
      <c r="BI1284" s="547" t="s">
        <v>709</v>
      </c>
      <c r="BJ1284" s="547" t="s">
        <v>116</v>
      </c>
      <c r="BK1284" s="547" t="s">
        <v>709</v>
      </c>
      <c r="BL1284" s="547" t="s">
        <v>709</v>
      </c>
      <c r="BM1284" s="547" t="s">
        <v>709</v>
      </c>
      <c r="BN1284" s="547" t="s">
        <v>709</v>
      </c>
      <c r="BO1284" s="547" t="s">
        <v>709</v>
      </c>
      <c r="BP1284" s="626" t="s">
        <v>709</v>
      </c>
      <c r="BQ1284" s="626" t="s">
        <v>709</v>
      </c>
      <c r="BR1284" s="549">
        <v>1007</v>
      </c>
      <c r="BS1284" s="549">
        <v>59</v>
      </c>
      <c r="BT1284" s="547" t="s">
        <v>709</v>
      </c>
      <c r="BU1284" s="547">
        <v>1</v>
      </c>
      <c r="BV1284" s="547" t="s">
        <v>709</v>
      </c>
      <c r="BW1284" s="547" t="s">
        <v>709</v>
      </c>
      <c r="BX1284" s="547">
        <v>1</v>
      </c>
      <c r="BY1284" s="547" t="s">
        <v>709</v>
      </c>
      <c r="BZ1284" s="547" t="s">
        <v>709</v>
      </c>
      <c r="CA1284" s="483"/>
      <c r="CB1284" s="547">
        <v>1283</v>
      </c>
      <c r="CC1284" s="1481" t="b">
        <v>0</v>
      </c>
      <c r="CD1284" t="str">
        <f>Table15[[#This Row],[Engineering Number]]&amp;Table15[[#This Row],[WO Number]]&amp;Table15[[#This Row],[Date Assigned to Designer]]&amp;Table15[[#This Row],[Date Completed]]</f>
        <v>RS126510142274551745649</v>
      </c>
    </row>
    <row r="1285" spans="1:82" customFormat="1" ht="15" customHeight="1" x14ac:dyDescent="0.25">
      <c r="A1285">
        <v>2024</v>
      </c>
      <c r="B1285" s="8" t="s">
        <v>1073</v>
      </c>
      <c r="C1285" s="8" t="s">
        <v>6817</v>
      </c>
      <c r="D1285" s="8" t="s">
        <v>6818</v>
      </c>
      <c r="E1285" s="8" t="s">
        <v>3259</v>
      </c>
      <c r="F1285" s="8" t="s">
        <v>851</v>
      </c>
      <c r="G1285" s="8" t="s">
        <v>31</v>
      </c>
      <c r="H1285" s="8" t="s">
        <v>3661</v>
      </c>
      <c r="I1285" s="642">
        <v>45608</v>
      </c>
      <c r="J1285" s="18">
        <v>45653</v>
      </c>
      <c r="K1285" s="18">
        <v>45649</v>
      </c>
      <c r="L1285" s="16">
        <f>IF(ISTEXT(Table15[[#This Row],[Engineering Approved Design Date]]),Table15[[#This Row],[Date Completed]]-Table15[[#This Row],[Date Assigned to Designer]],Table15[[#This Row],[Engineering Approved Design Date]]-Table15[[#This Row],[Date Completed]])</f>
        <v>4</v>
      </c>
      <c r="M1285" t="s">
        <v>5279</v>
      </c>
      <c r="N1285" s="99" t="s">
        <v>120</v>
      </c>
      <c r="O1285" s="1060">
        <v>45627</v>
      </c>
      <c r="P1285" s="1152" t="s">
        <v>739</v>
      </c>
      <c r="Q1285" s="1151">
        <f>Table15[[#This Row],[KH Hourly Effort]]</f>
        <v>4335</v>
      </c>
      <c r="R1285" s="1039" t="s">
        <v>1922</v>
      </c>
      <c r="S1285" s="538" t="s">
        <v>709</v>
      </c>
      <c r="T1285" s="538" t="s">
        <v>709</v>
      </c>
      <c r="U1285" s="300">
        <v>4335</v>
      </c>
      <c r="V1285" s="858" t="s">
        <v>29</v>
      </c>
      <c r="W1285" s="437" t="s">
        <v>29</v>
      </c>
      <c r="X1285" s="538" t="s">
        <v>29</v>
      </c>
      <c r="Y1285" s="551"/>
      <c r="Z1285" s="538" t="s">
        <v>29</v>
      </c>
      <c r="AA1285" s="552" t="s">
        <v>29</v>
      </c>
      <c r="AB1285" s="341" t="s">
        <v>29</v>
      </c>
      <c r="AC1285" s="569" t="s">
        <v>29</v>
      </c>
      <c r="AD1285" s="1149" t="s">
        <v>29</v>
      </c>
      <c r="AE1285" s="568"/>
      <c r="AF1285" s="568"/>
      <c r="AG1285" s="569" t="s">
        <v>116</v>
      </c>
      <c r="AH1285" s="536">
        <v>45672</v>
      </c>
      <c r="AI1285" s="1028"/>
      <c r="AJ1285" s="1029"/>
      <c r="AK1285" s="1029"/>
      <c r="AL1285" s="1030"/>
      <c r="AM1285" s="542" t="s">
        <v>709</v>
      </c>
      <c r="AN1285" s="924"/>
      <c r="AO1285" s="925"/>
      <c r="AP1285" s="926"/>
      <c r="AQ1285" s="926"/>
      <c r="AR1285" s="926"/>
      <c r="AS1285" s="926"/>
      <c r="AT1285" s="926"/>
      <c r="AU1285" s="926"/>
      <c r="AV1285" s="926"/>
      <c r="AW1285" s="927"/>
      <c r="AX1285" s="926"/>
      <c r="AY1285" s="1538" t="s">
        <v>29</v>
      </c>
      <c r="AZ1285" s="1530"/>
      <c r="BA1285" s="1031" t="s">
        <v>8147</v>
      </c>
      <c r="BB1285" s="527" t="s">
        <v>29</v>
      </c>
      <c r="BC1285" s="544" t="s">
        <v>709</v>
      </c>
      <c r="BD1285" s="559" t="s">
        <v>882</v>
      </c>
      <c r="BE1285" s="554" t="s">
        <v>709</v>
      </c>
      <c r="BF1285" s="1305" t="s">
        <v>709</v>
      </c>
      <c r="BG1285" s="544" t="s">
        <v>709</v>
      </c>
      <c r="BH1285" s="1174" t="s">
        <v>8148</v>
      </c>
      <c r="BI1285" s="547" t="s">
        <v>29</v>
      </c>
      <c r="BJ1285" s="547" t="s">
        <v>29</v>
      </c>
      <c r="BK1285" s="547" t="s">
        <v>29</v>
      </c>
      <c r="BL1285" s="547" t="s">
        <v>29</v>
      </c>
      <c r="BM1285" s="547" t="s">
        <v>29</v>
      </c>
      <c r="BN1285" s="547" t="s">
        <v>29</v>
      </c>
      <c r="BO1285" s="547" t="s">
        <v>29</v>
      </c>
      <c r="BP1285" s="547" t="s">
        <v>29</v>
      </c>
      <c r="BQ1285" s="547" t="s">
        <v>29</v>
      </c>
      <c r="BR1285" s="547" t="s">
        <v>29</v>
      </c>
      <c r="BS1285" s="547" t="s">
        <v>29</v>
      </c>
      <c r="BT1285" s="547" t="s">
        <v>29</v>
      </c>
      <c r="BU1285" s="547" t="s">
        <v>29</v>
      </c>
      <c r="BV1285" s="547" t="s">
        <v>29</v>
      </c>
      <c r="BW1285" s="547" t="s">
        <v>29</v>
      </c>
      <c r="BX1285" s="547" t="s">
        <v>29</v>
      </c>
      <c r="BY1285" s="547" t="s">
        <v>29</v>
      </c>
      <c r="BZ1285" s="547" t="s">
        <v>709</v>
      </c>
      <c r="CA1285" s="483" t="s">
        <v>29</v>
      </c>
      <c r="CB1285" s="547">
        <v>1282</v>
      </c>
      <c r="CC1285" s="1481" t="b">
        <v>0</v>
      </c>
      <c r="CD1285" t="str">
        <f>Table15[[#This Row],[Engineering Number]]&amp;Table15[[#This Row],[WO Number]]&amp;Table15[[#This Row],[Date Assigned to Designer]]&amp;Table15[[#This Row],[Date Completed]]</f>
        <v>NBA1001503916141454560845649</v>
      </c>
    </row>
    <row r="1286" spans="1:82" customFormat="1" ht="15" customHeight="1" x14ac:dyDescent="0.25">
      <c r="A1286">
        <v>2025</v>
      </c>
      <c r="B1286" s="8" t="s">
        <v>730</v>
      </c>
      <c r="C1286" s="8" t="s">
        <v>8047</v>
      </c>
      <c r="D1286" s="8" t="s">
        <v>8149</v>
      </c>
      <c r="E1286" s="8" t="s">
        <v>104</v>
      </c>
      <c r="F1286" s="8" t="s">
        <v>6643</v>
      </c>
      <c r="G1286" s="8" t="s">
        <v>37</v>
      </c>
      <c r="H1286" s="8" t="s">
        <v>59</v>
      </c>
      <c r="I1286" s="642">
        <v>45518</v>
      </c>
      <c r="J1286" s="449">
        <v>45657</v>
      </c>
      <c r="K1286" s="642">
        <v>45656</v>
      </c>
      <c r="L1286" s="16">
        <f>IF(ISTEXT(Table15[[#This Row],[Engineering Approved Design Date]]),Table15[[#This Row],[Date Completed]]-Table15[[#This Row],[Date Assigned to Designer]],Table15[[#This Row],[Engineering Approved Design Date]]-Table15[[#This Row],[Date Completed]])</f>
        <v>1</v>
      </c>
      <c r="M1286" s="13"/>
      <c r="N1286" s="99" t="s">
        <v>120</v>
      </c>
      <c r="O1286" s="1060">
        <v>45627</v>
      </c>
      <c r="P1286" s="1152" t="s">
        <v>120</v>
      </c>
      <c r="Q1286" s="340">
        <v>12750</v>
      </c>
      <c r="R1286" s="1039" t="s">
        <v>6644</v>
      </c>
      <c r="S1286" s="538" t="s">
        <v>29</v>
      </c>
      <c r="T1286" s="538" t="s">
        <v>29</v>
      </c>
      <c r="U1286" s="28" t="s">
        <v>29</v>
      </c>
      <c r="V1286" s="858">
        <f>224+8</f>
        <v>232</v>
      </c>
      <c r="W1286" s="437">
        <v>1</v>
      </c>
      <c r="X1286" s="552">
        <v>166011.72</v>
      </c>
      <c r="Y1286" s="551"/>
      <c r="Z1286" s="552">
        <v>68493.84</v>
      </c>
      <c r="AA1286" s="552">
        <f>SUM(Table15[[#This Row],[PCTS Investment Amount]:[PCTS Retirement Amount]])</f>
        <v>234505.56</v>
      </c>
      <c r="AB1286" s="341">
        <v>45680</v>
      </c>
      <c r="AC1286" s="568" t="s">
        <v>1296</v>
      </c>
      <c r="AD1286" s="1159" t="s">
        <v>29</v>
      </c>
      <c r="AE1286" s="573" t="s">
        <v>756</v>
      </c>
      <c r="AF1286" s="573" t="s">
        <v>116</v>
      </c>
      <c r="AG1286" s="569" t="s">
        <v>116</v>
      </c>
      <c r="AH1286" s="573" t="s">
        <v>29</v>
      </c>
      <c r="AI1286" s="1109">
        <v>10800</v>
      </c>
      <c r="AJ1286" s="1110">
        <v>0</v>
      </c>
      <c r="AK1286" s="1143">
        <v>9035</v>
      </c>
      <c r="AL1286" s="1108">
        <f>SUM(Table15[[#This Row],[Nicor Initiated DBE]:[Staffing]])/(Table15[[#This Row],[Amount Invoiced]])</f>
        <v>1.5556862745098039</v>
      </c>
      <c r="AM1286" s="542" t="s">
        <v>709</v>
      </c>
      <c r="AN1286" s="924"/>
      <c r="AO1286" s="925"/>
      <c r="AP1286" s="926"/>
      <c r="AQ1286" s="926"/>
      <c r="AR1286" s="926"/>
      <c r="AS1286" s="926"/>
      <c r="AT1286" s="926"/>
      <c r="AU1286" s="926"/>
      <c r="AV1286" s="926"/>
      <c r="AW1286" s="927"/>
      <c r="AX1286" s="926"/>
      <c r="AY1286" s="1538" t="s">
        <v>29</v>
      </c>
      <c r="AZ1286" s="1530"/>
      <c r="BA1286" s="13" t="s">
        <v>8150</v>
      </c>
      <c r="BB1286" s="100" t="s">
        <v>8151</v>
      </c>
      <c r="BC1286" s="544" t="s">
        <v>115</v>
      </c>
      <c r="BD1286" s="544" t="s">
        <v>1167</v>
      </c>
      <c r="BE1286" s="544" t="s">
        <v>115</v>
      </c>
      <c r="BF1286" s="544" t="s">
        <v>6695</v>
      </c>
      <c r="BG1286" s="548" t="s">
        <v>115</v>
      </c>
      <c r="BH1286" s="615" t="s">
        <v>8152</v>
      </c>
      <c r="BI1286" s="547" t="s">
        <v>709</v>
      </c>
      <c r="BJ1286" s="547" t="s">
        <v>709</v>
      </c>
      <c r="BK1286" s="547" t="s">
        <v>116</v>
      </c>
      <c r="BL1286" s="547" t="s">
        <v>116</v>
      </c>
      <c r="BM1286" s="547" t="s">
        <v>709</v>
      </c>
      <c r="BN1286" s="547" t="s">
        <v>709</v>
      </c>
      <c r="BO1286" s="547" t="s">
        <v>709</v>
      </c>
      <c r="BP1286" s="626" t="s">
        <v>709</v>
      </c>
      <c r="BQ1286" s="626" t="s">
        <v>709</v>
      </c>
      <c r="BR1286" s="549" t="s">
        <v>709</v>
      </c>
      <c r="BS1286" s="549">
        <v>232</v>
      </c>
      <c r="BT1286" s="547" t="s">
        <v>709</v>
      </c>
      <c r="BU1286" s="547">
        <v>1</v>
      </c>
      <c r="BV1286" s="547" t="s">
        <v>709</v>
      </c>
      <c r="BW1286" s="547" t="s">
        <v>709</v>
      </c>
      <c r="BX1286" s="547" t="s">
        <v>709</v>
      </c>
      <c r="BY1286" s="547" t="s">
        <v>709</v>
      </c>
      <c r="BZ1286" s="547" t="s">
        <v>709</v>
      </c>
      <c r="CA1286" s="483" t="s">
        <v>8153</v>
      </c>
      <c r="CB1286" s="547">
        <v>1284</v>
      </c>
      <c r="CC1286" s="1481" t="b">
        <v>0</v>
      </c>
      <c r="CD1286" t="str">
        <f>Table15[[#This Row],[Engineering Number]]&amp;Table15[[#This Row],[WO Number]]&amp;Table15[[#This Row],[Date Assigned to Designer]]&amp;Table15[[#This Row],[Date Completed]]</f>
        <v>RS126610142374551845656</v>
      </c>
    </row>
    <row r="1287" spans="1:82" customFormat="1" ht="15" customHeight="1" x14ac:dyDescent="0.25">
      <c r="A1287">
        <v>2025</v>
      </c>
      <c r="B1287" s="878" t="s">
        <v>4</v>
      </c>
      <c r="C1287" s="879" t="s">
        <v>8154</v>
      </c>
      <c r="D1287" s="880" t="s">
        <v>8155</v>
      </c>
      <c r="E1287" s="879" t="s">
        <v>1422</v>
      </c>
      <c r="F1287" s="878" t="s">
        <v>784</v>
      </c>
      <c r="G1287" s="878" t="s">
        <v>34</v>
      </c>
      <c r="H1287" s="878" t="s">
        <v>59</v>
      </c>
      <c r="I1287" s="881">
        <v>45550</v>
      </c>
      <c r="J1287" s="882">
        <v>45660</v>
      </c>
      <c r="K1287" s="883">
        <v>45660</v>
      </c>
      <c r="L1287" s="884">
        <f>IF(ISTEXT(Table15[[#This Row],[Engineering Approved Design Date]]),Table15[[#This Row],[Date Completed]]-Table15[[#This Row],[Date Assigned to Designer]],Table15[[#This Row],[Engineering Approved Design Date]]-Table15[[#This Row],[Date Completed]])</f>
        <v>0</v>
      </c>
      <c r="M1287" s="879"/>
      <c r="N1287" s="885" t="s">
        <v>120</v>
      </c>
      <c r="O1287" s="886">
        <v>45658</v>
      </c>
      <c r="P1287" s="1153" t="s">
        <v>739</v>
      </c>
      <c r="Q1287" s="1150">
        <f>Table15[[#This Row],[Rate]]*Table15[[#This Row],[Construction Cost to Bill From]]</f>
        <v>65968.403999999995</v>
      </c>
      <c r="R1287" s="887">
        <v>0.1</v>
      </c>
      <c r="S1287" s="888" t="s">
        <v>29</v>
      </c>
      <c r="T1287" s="888" t="s">
        <v>29</v>
      </c>
      <c r="U1287" s="889" t="s">
        <v>29</v>
      </c>
      <c r="V1287" s="1630">
        <v>872</v>
      </c>
      <c r="W1287" s="1021">
        <v>0</v>
      </c>
      <c r="X1287" s="888">
        <v>580282.09</v>
      </c>
      <c r="Y1287" s="891"/>
      <c r="Z1287" s="888">
        <v>79401.95</v>
      </c>
      <c r="AA1287" s="892">
        <f>SUM(Table15[[#This Row],[PCTS Investment Amount]:[PCTS Retirement Amount]])</f>
        <v>659684.03999999992</v>
      </c>
      <c r="AB1287" s="893">
        <v>45664</v>
      </c>
      <c r="AC1287" s="894" t="s">
        <v>709</v>
      </c>
      <c r="AD1287" s="1160" t="s">
        <v>29</v>
      </c>
      <c r="AE1287" s="895" t="s">
        <v>756</v>
      </c>
      <c r="AF1287" s="896" t="s">
        <v>756</v>
      </c>
      <c r="AG1287" s="897" t="s">
        <v>116</v>
      </c>
      <c r="AH1287" s="897">
        <v>45672</v>
      </c>
      <c r="AI1287" s="898">
        <v>0</v>
      </c>
      <c r="AJ1287" s="899">
        <v>5390</v>
      </c>
      <c r="AK1287" s="900">
        <v>8347</v>
      </c>
      <c r="AL1287" s="901">
        <f>SUM(Table15[[#This Row],[Nicor Initiated DBE]:[Staffing]])/(Table15[[#This Row],[Amount Invoiced]])</f>
        <v>0.20823605191357974</v>
      </c>
      <c r="AM1287" s="1522" t="s">
        <v>116</v>
      </c>
      <c r="AN1287" s="1523">
        <v>45708</v>
      </c>
      <c r="AO1287" s="1524">
        <v>11098536</v>
      </c>
      <c r="AP1287" s="1525">
        <v>580282.09</v>
      </c>
      <c r="AQ1287" s="1525"/>
      <c r="AR1287" s="1525">
        <v>79401.95</v>
      </c>
      <c r="AS1287" s="1525">
        <f>IF(Table15[[#This Row],[PCTS Approved]]="N",0,Table15[[#This Row],[Investment Amount (1'#'#'#'#'#)]]+Table15[[#This Row],[Retirement Amount (3'#'#'#'#'#)]])</f>
        <v>659684.03999999992</v>
      </c>
      <c r="AT1287" s="1525">
        <f>IF(Table15[[#This Row],[Approved Construction Cost]]=0,0,Table15[[#This Row],[Approved Construction Cost]]-Table15[[#This Row],[Construction Cost to Bill From]])</f>
        <v>0</v>
      </c>
      <c r="AU1287" s="1525">
        <f>Table15[[#This Row],[Difference in Construction Cost]]*Table15[[#This Row],[Rate]]</f>
        <v>0</v>
      </c>
      <c r="AV1287" s="1525">
        <v>0</v>
      </c>
      <c r="AW1287" s="1526" t="s">
        <v>29</v>
      </c>
      <c r="AX1287" s="1525">
        <f>Table15[[#This Row],[Revision Billed]]</f>
        <v>0</v>
      </c>
      <c r="AY1287" s="1518">
        <v>45901</v>
      </c>
      <c r="AZ1287" s="333"/>
      <c r="BA1287" s="910" t="s">
        <v>8156</v>
      </c>
      <c r="BB1287" s="911" t="s">
        <v>1424</v>
      </c>
      <c r="BC1287" s="912" t="s">
        <v>709</v>
      </c>
      <c r="BD1287" s="913" t="s">
        <v>709</v>
      </c>
      <c r="BE1287" s="914" t="s">
        <v>1425</v>
      </c>
      <c r="BF1287" s="914" t="s">
        <v>709</v>
      </c>
      <c r="BG1287" s="915" t="s">
        <v>709</v>
      </c>
      <c r="BH1287" s="1023" t="s">
        <v>8157</v>
      </c>
      <c r="BI1287" s="916" t="s">
        <v>709</v>
      </c>
      <c r="BJ1287" s="916" t="s">
        <v>6571</v>
      </c>
      <c r="BK1287" s="916" t="s">
        <v>709</v>
      </c>
      <c r="BL1287" s="916" t="s">
        <v>116</v>
      </c>
      <c r="BM1287" s="916" t="s">
        <v>709</v>
      </c>
      <c r="BN1287" s="916" t="s">
        <v>709</v>
      </c>
      <c r="BO1287" s="916" t="s">
        <v>709</v>
      </c>
      <c r="BP1287" s="916">
        <v>222</v>
      </c>
      <c r="BQ1287" s="916" t="s">
        <v>709</v>
      </c>
      <c r="BR1287" s="916" t="s">
        <v>709</v>
      </c>
      <c r="BS1287" s="916">
        <v>650</v>
      </c>
      <c r="BT1287" s="916" t="s">
        <v>709</v>
      </c>
      <c r="BU1287" s="916" t="s">
        <v>709</v>
      </c>
      <c r="BV1287" s="916" t="s">
        <v>709</v>
      </c>
      <c r="BW1287" s="916" t="s">
        <v>709</v>
      </c>
      <c r="BX1287" s="916" t="s">
        <v>709</v>
      </c>
      <c r="BY1287" s="916" t="s">
        <v>709</v>
      </c>
      <c r="BZ1287" s="916" t="s">
        <v>709</v>
      </c>
      <c r="CA1287" s="917"/>
      <c r="CB1287" s="547">
        <v>1286</v>
      </c>
      <c r="CC1287" s="1481" t="b">
        <v>0</v>
      </c>
      <c r="CD1287" s="879" t="str">
        <f>Table15[[#This Row],[Engineering Number]]&amp;Table15[[#This Row],[WO Number]]&amp;Table15[[#This Row],[Date Assigned to Designer]]&amp;Table15[[#This Row],[Date Completed]]</f>
        <v>M1590412146094555045660</v>
      </c>
    </row>
    <row r="1288" spans="1:82" ht="15" customHeight="1" x14ac:dyDescent="0.25">
      <c r="A1288">
        <v>2024</v>
      </c>
      <c r="B1288" s="878" t="s">
        <v>771</v>
      </c>
      <c r="C1288" s="878" t="s">
        <v>449</v>
      </c>
      <c r="D1288" s="878">
        <v>1212258</v>
      </c>
      <c r="E1288" s="878" t="s">
        <v>327</v>
      </c>
      <c r="F1288" s="878" t="s">
        <v>784</v>
      </c>
      <c r="G1288" s="878" t="s">
        <v>32</v>
      </c>
      <c r="H1288" s="878" t="s">
        <v>3178</v>
      </c>
      <c r="I1288" s="883">
        <v>45643</v>
      </c>
      <c r="J1288" s="918" t="s">
        <v>2052</v>
      </c>
      <c r="K1288" s="918">
        <v>45660</v>
      </c>
      <c r="L1288" s="919">
        <f>IF(ISTEXT(Table15[[#This Row],[Engineering Approved Design Date]]),Table15[[#This Row],[Date Completed]]-Table15[[#This Row],[Date Assigned to Designer]],Table15[[#This Row],[Engineering Approved Design Date]]-Table15[[#This Row],[Date Completed]])</f>
        <v>17</v>
      </c>
      <c r="M1288" s="883" t="s">
        <v>8158</v>
      </c>
      <c r="N1288" s="99" t="s">
        <v>120</v>
      </c>
      <c r="O1288" s="886">
        <v>45658</v>
      </c>
      <c r="P1288" s="1153" t="s">
        <v>120</v>
      </c>
      <c r="Q1288" s="1150">
        <f>Table15[[#This Row],[KH Hourly Effort]]</f>
        <v>9227.5</v>
      </c>
      <c r="R1288" s="920" t="s">
        <v>1922</v>
      </c>
      <c r="S1288" s="888">
        <v>0</v>
      </c>
      <c r="T1288" s="888">
        <v>0</v>
      </c>
      <c r="U1288" s="889">
        <v>9227.5</v>
      </c>
      <c r="V1288" s="888" t="s">
        <v>29</v>
      </c>
      <c r="W1288" s="995" t="s">
        <v>29</v>
      </c>
      <c r="X1288" s="888" t="s">
        <v>29</v>
      </c>
      <c r="Y1288" s="888" t="s">
        <v>709</v>
      </c>
      <c r="Z1288" s="888" t="s">
        <v>29</v>
      </c>
      <c r="AA1288" s="888" t="s">
        <v>29</v>
      </c>
      <c r="AB1288" s="893" t="s">
        <v>29</v>
      </c>
      <c r="AC1288" s="896" t="s">
        <v>29</v>
      </c>
      <c r="AD1288" s="1155" t="s">
        <v>29</v>
      </c>
      <c r="AE1288" s="894" t="s">
        <v>116</v>
      </c>
      <c r="AF1288" s="896" t="s">
        <v>29</v>
      </c>
      <c r="AG1288" s="896" t="s">
        <v>29</v>
      </c>
      <c r="AH1288" s="902">
        <v>45707</v>
      </c>
      <c r="AI1288" s="921" t="s">
        <v>29</v>
      </c>
      <c r="AJ1288" s="922" t="s">
        <v>29</v>
      </c>
      <c r="AK1288" s="922" t="s">
        <v>29</v>
      </c>
      <c r="AL1288" s="923" t="s">
        <v>29</v>
      </c>
      <c r="AM1288" s="542" t="s">
        <v>709</v>
      </c>
      <c r="AN1288" s="924"/>
      <c r="AO1288" s="925"/>
      <c r="AP1288" s="926"/>
      <c r="AQ1288" s="926"/>
      <c r="AR1288" s="926"/>
      <c r="AS1288" s="926"/>
      <c r="AT1288" s="926"/>
      <c r="AU1288" s="926"/>
      <c r="AV1288" s="926"/>
      <c r="AW1288" s="927"/>
      <c r="AX1288" s="926"/>
      <c r="AY1288" s="1538" t="s">
        <v>29</v>
      </c>
      <c r="AZ1288" s="1530"/>
      <c r="BA1288" s="910">
        <v>7</v>
      </c>
      <c r="BB1288" s="928" t="s">
        <v>8159</v>
      </c>
      <c r="BC1288" s="915" t="s">
        <v>709</v>
      </c>
      <c r="BD1288" s="915" t="s">
        <v>115</v>
      </c>
      <c r="BE1288" s="915" t="s">
        <v>448</v>
      </c>
      <c r="BF1288" s="915" t="s">
        <v>115</v>
      </c>
      <c r="BG1288" s="915" t="s">
        <v>115</v>
      </c>
      <c r="BH1288" s="1023" t="s">
        <v>8160</v>
      </c>
      <c r="BI1288" s="929" t="s">
        <v>709</v>
      </c>
      <c r="BJ1288" s="929" t="s">
        <v>709</v>
      </c>
      <c r="BK1288" s="929" t="s">
        <v>709</v>
      </c>
      <c r="BL1288" s="916" t="s">
        <v>116</v>
      </c>
      <c r="BM1288" s="929">
        <v>0</v>
      </c>
      <c r="BN1288" s="929">
        <v>0</v>
      </c>
      <c r="BO1288" s="929">
        <v>0</v>
      </c>
      <c r="BP1288" s="929">
        <v>0</v>
      </c>
      <c r="BQ1288" s="929">
        <v>1248</v>
      </c>
      <c r="BR1288" s="929">
        <v>1503</v>
      </c>
      <c r="BS1288" s="916">
        <f>7490+221</f>
        <v>7711</v>
      </c>
      <c r="BT1288" s="929">
        <v>0</v>
      </c>
      <c r="BU1288" s="929">
        <v>0</v>
      </c>
      <c r="BV1288" s="929">
        <v>0</v>
      </c>
      <c r="BW1288" s="929">
        <v>0</v>
      </c>
      <c r="BX1288" s="929">
        <v>0</v>
      </c>
      <c r="BY1288" s="929">
        <v>0</v>
      </c>
      <c r="BZ1288" s="916" t="s">
        <v>709</v>
      </c>
      <c r="CA1288" s="917"/>
      <c r="CB1288" s="547">
        <v>1288</v>
      </c>
      <c r="CC1288" s="1481" t="b">
        <v>0</v>
      </c>
      <c r="CD1288" s="879" t="str">
        <f>Table15[[#This Row],[Engineering Number]]&amp;Table15[[#This Row],[WO Number]]&amp;Table15[[#This Row],[Date Assigned to Designer]]&amp;Table15[[#This Row],[Date Completed]]</f>
        <v>BS111-112122584564345660</v>
      </c>
    </row>
    <row r="1289" spans="1:82" ht="15" customHeight="1" x14ac:dyDescent="0.25">
      <c r="A1289">
        <v>2024</v>
      </c>
      <c r="B1289" s="878" t="s">
        <v>4</v>
      </c>
      <c r="C1289" s="878" t="s">
        <v>6615</v>
      </c>
      <c r="D1289" s="878">
        <v>1214113</v>
      </c>
      <c r="E1289" s="878" t="s">
        <v>6617</v>
      </c>
      <c r="F1289" s="878" t="s">
        <v>784</v>
      </c>
      <c r="G1289" s="878" t="s">
        <v>32</v>
      </c>
      <c r="H1289" s="878" t="s">
        <v>4001</v>
      </c>
      <c r="I1289" s="883">
        <v>45630</v>
      </c>
      <c r="J1289" s="918" t="s">
        <v>2052</v>
      </c>
      <c r="K1289" s="918">
        <v>45660</v>
      </c>
      <c r="L1289" s="919">
        <f>IF(ISTEXT(Table15[[#This Row],[Engineering Approved Design Date]]),Table15[[#This Row],[Date Completed]]-Table15[[#This Row],[Date Assigned to Designer]],Table15[[#This Row],[Engineering Approved Design Date]]-Table15[[#This Row],[Date Completed]])</f>
        <v>30</v>
      </c>
      <c r="M1289" s="883" t="s">
        <v>8161</v>
      </c>
      <c r="N1289" s="885" t="s">
        <v>120</v>
      </c>
      <c r="O1289" s="886">
        <v>45658</v>
      </c>
      <c r="P1289" s="1153" t="s">
        <v>739</v>
      </c>
      <c r="Q1289" s="1150">
        <f>Table15[[#This Row],[KH Hourly Effort]]</f>
        <v>12737.5</v>
      </c>
      <c r="R1289" s="920" t="s">
        <v>1922</v>
      </c>
      <c r="S1289" s="888">
        <v>0</v>
      </c>
      <c r="T1289" s="888">
        <v>0</v>
      </c>
      <c r="U1289" s="889">
        <v>12737.5</v>
      </c>
      <c r="V1289" s="888" t="s">
        <v>29</v>
      </c>
      <c r="W1289" s="995" t="s">
        <v>29</v>
      </c>
      <c r="X1289" s="888" t="s">
        <v>29</v>
      </c>
      <c r="Y1289" s="888" t="s">
        <v>709</v>
      </c>
      <c r="Z1289" s="888" t="s">
        <v>29</v>
      </c>
      <c r="AA1289" s="888" t="s">
        <v>29</v>
      </c>
      <c r="AB1289" s="893" t="s">
        <v>29</v>
      </c>
      <c r="AC1289" s="896" t="s">
        <v>29</v>
      </c>
      <c r="AD1289" s="1155" t="s">
        <v>29</v>
      </c>
      <c r="AE1289" s="894" t="s">
        <v>756</v>
      </c>
      <c r="AF1289" s="896" t="s">
        <v>756</v>
      </c>
      <c r="AG1289" s="897" t="s">
        <v>29</v>
      </c>
      <c r="AH1289" s="902">
        <v>45672</v>
      </c>
      <c r="AI1289" s="921" t="s">
        <v>29</v>
      </c>
      <c r="AJ1289" s="922" t="s">
        <v>29</v>
      </c>
      <c r="AK1289" s="922" t="s">
        <v>29</v>
      </c>
      <c r="AL1289" s="923" t="s">
        <v>29</v>
      </c>
      <c r="AM1289" s="542" t="s">
        <v>709</v>
      </c>
      <c r="AN1289" s="924"/>
      <c r="AO1289" s="925"/>
      <c r="AP1289" s="926"/>
      <c r="AQ1289" s="926"/>
      <c r="AR1289" s="926"/>
      <c r="AS1289" s="926"/>
      <c r="AT1289" s="926"/>
      <c r="AU1289" s="926"/>
      <c r="AV1289" s="926"/>
      <c r="AW1289" s="927"/>
      <c r="AX1289" s="926"/>
      <c r="AY1289" s="1538" t="s">
        <v>29</v>
      </c>
      <c r="AZ1289" s="1530"/>
      <c r="BA1289" s="910">
        <v>3</v>
      </c>
      <c r="BB1289" s="928" t="s">
        <v>8162</v>
      </c>
      <c r="BC1289" s="915" t="s">
        <v>756</v>
      </c>
      <c r="BD1289" s="915" t="s">
        <v>882</v>
      </c>
      <c r="BE1289" s="915" t="s">
        <v>709</v>
      </c>
      <c r="BF1289" s="915" t="s">
        <v>709</v>
      </c>
      <c r="BG1289" s="915" t="s">
        <v>709</v>
      </c>
      <c r="BH1289" s="1023" t="s">
        <v>8163</v>
      </c>
      <c r="BI1289" s="929" t="s">
        <v>709</v>
      </c>
      <c r="BJ1289" s="929" t="s">
        <v>709</v>
      </c>
      <c r="BK1289" s="929" t="s">
        <v>709</v>
      </c>
      <c r="BL1289" s="916" t="s">
        <v>116</v>
      </c>
      <c r="BM1289" s="916">
        <v>0</v>
      </c>
      <c r="BN1289" s="929">
        <v>0</v>
      </c>
      <c r="BO1289" s="916">
        <v>0</v>
      </c>
      <c r="BP1289" s="929">
        <v>0</v>
      </c>
      <c r="BQ1289" s="929">
        <v>0</v>
      </c>
      <c r="BR1289" s="929">
        <v>449</v>
      </c>
      <c r="BS1289" s="916">
        <v>0</v>
      </c>
      <c r="BT1289" s="929">
        <v>0</v>
      </c>
      <c r="BU1289" s="916">
        <v>0</v>
      </c>
      <c r="BV1289" s="929">
        <v>0</v>
      </c>
      <c r="BW1289" s="916">
        <v>0</v>
      </c>
      <c r="BX1289" s="929">
        <v>0</v>
      </c>
      <c r="BY1289" s="916">
        <v>0</v>
      </c>
      <c r="BZ1289" s="916" t="s">
        <v>709</v>
      </c>
      <c r="CA1289" s="917"/>
      <c r="CB1289" s="547">
        <v>1287</v>
      </c>
      <c r="CC1289" s="1481" t="b">
        <v>0</v>
      </c>
      <c r="CD1289" s="879" t="str">
        <f>Table15[[#This Row],[Engineering Number]]&amp;Table15[[#This Row],[WO Number]]&amp;Table15[[#This Row],[Date Assigned to Designer]]&amp;Table15[[#This Row],[Date Completed]]</f>
        <v>M1545012141134563045660</v>
      </c>
    </row>
    <row r="1290" spans="1:82" ht="15" customHeight="1" x14ac:dyDescent="0.25">
      <c r="A1290">
        <v>2024</v>
      </c>
      <c r="B1290" s="878" t="s">
        <v>4</v>
      </c>
      <c r="C1290" s="878" t="s">
        <v>392</v>
      </c>
      <c r="D1290" s="878">
        <v>1212385</v>
      </c>
      <c r="E1290" s="878" t="s">
        <v>393</v>
      </c>
      <c r="F1290" s="878" t="s">
        <v>784</v>
      </c>
      <c r="G1290" s="878" t="s">
        <v>27</v>
      </c>
      <c r="H1290" s="878" t="s">
        <v>4001</v>
      </c>
      <c r="I1290" s="883">
        <v>45539</v>
      </c>
      <c r="J1290" s="918" t="s">
        <v>2052</v>
      </c>
      <c r="K1290" s="918">
        <v>45660</v>
      </c>
      <c r="L1290" s="919">
        <f>IF(ISTEXT(Table15[[#This Row],[Engineering Approved Design Date]]),Table15[[#This Row],[Date Completed]]-Table15[[#This Row],[Date Assigned to Designer]],Table15[[#This Row],[Engineering Approved Design Date]]-Table15[[#This Row],[Date Completed]])</f>
        <v>121</v>
      </c>
      <c r="M1290" s="879" t="s">
        <v>8164</v>
      </c>
      <c r="N1290" s="885" t="s">
        <v>120</v>
      </c>
      <c r="O1290" s="886">
        <v>45658</v>
      </c>
      <c r="P1290" s="1153" t="s">
        <v>739</v>
      </c>
      <c r="Q1290" s="1150">
        <f>Table15[[#This Row],[KH Hourly Effort]]</f>
        <v>29077.5</v>
      </c>
      <c r="R1290" s="920" t="s">
        <v>1922</v>
      </c>
      <c r="S1290" s="888">
        <v>0</v>
      </c>
      <c r="T1290" s="888">
        <v>0</v>
      </c>
      <c r="U1290" s="889">
        <v>29077.5</v>
      </c>
      <c r="V1290" s="888" t="s">
        <v>29</v>
      </c>
      <c r="W1290" s="995" t="s">
        <v>29</v>
      </c>
      <c r="X1290" s="888" t="s">
        <v>29</v>
      </c>
      <c r="Y1290" s="888" t="s">
        <v>709</v>
      </c>
      <c r="Z1290" s="888" t="s">
        <v>29</v>
      </c>
      <c r="AA1290" s="888" t="s">
        <v>29</v>
      </c>
      <c r="AB1290" s="893" t="s">
        <v>29</v>
      </c>
      <c r="AC1290" s="896" t="s">
        <v>29</v>
      </c>
      <c r="AD1290" s="1155" t="s">
        <v>29</v>
      </c>
      <c r="AE1290" s="894" t="s">
        <v>756</v>
      </c>
      <c r="AF1290" s="896" t="s">
        <v>756</v>
      </c>
      <c r="AG1290" s="897" t="s">
        <v>29</v>
      </c>
      <c r="AH1290" s="897">
        <v>45770</v>
      </c>
      <c r="AI1290" s="921" t="s">
        <v>29</v>
      </c>
      <c r="AJ1290" s="922" t="s">
        <v>29</v>
      </c>
      <c r="AK1290" s="922" t="s">
        <v>29</v>
      </c>
      <c r="AL1290" s="923" t="s">
        <v>29</v>
      </c>
      <c r="AM1290" s="542" t="s">
        <v>709</v>
      </c>
      <c r="AN1290" s="924"/>
      <c r="AO1290" s="925"/>
      <c r="AP1290" s="926"/>
      <c r="AQ1290" s="926"/>
      <c r="AR1290" s="926"/>
      <c r="AS1290" s="926"/>
      <c r="AT1290" s="926"/>
      <c r="AU1290" s="926"/>
      <c r="AV1290" s="926"/>
      <c r="AW1290" s="927"/>
      <c r="AX1290" s="926"/>
      <c r="AY1290" s="1538" t="s">
        <v>29</v>
      </c>
      <c r="AZ1290" s="1530"/>
      <c r="BA1290" s="910" t="s">
        <v>4919</v>
      </c>
      <c r="BB1290" s="930" t="s">
        <v>8165</v>
      </c>
      <c r="BC1290" s="915" t="s">
        <v>116</v>
      </c>
      <c r="BD1290" s="915" t="s">
        <v>1190</v>
      </c>
      <c r="BE1290" s="915" t="s">
        <v>115</v>
      </c>
      <c r="BF1290" s="915" t="s">
        <v>115</v>
      </c>
      <c r="BG1290" s="915" t="s">
        <v>115</v>
      </c>
      <c r="BH1290" s="1023" t="s">
        <v>8166</v>
      </c>
      <c r="BI1290" s="929" t="s">
        <v>709</v>
      </c>
      <c r="BJ1290" s="929" t="s">
        <v>709</v>
      </c>
      <c r="BK1290" s="929" t="s">
        <v>709</v>
      </c>
      <c r="BL1290" s="916" t="s">
        <v>116</v>
      </c>
      <c r="BM1290" s="929" t="s">
        <v>709</v>
      </c>
      <c r="BN1290" s="929" t="s">
        <v>709</v>
      </c>
      <c r="BO1290" s="929" t="s">
        <v>709</v>
      </c>
      <c r="BP1290" s="929" t="s">
        <v>709</v>
      </c>
      <c r="BQ1290" s="929">
        <v>2431</v>
      </c>
      <c r="BR1290" s="929" t="s">
        <v>709</v>
      </c>
      <c r="BS1290" s="916">
        <v>1510</v>
      </c>
      <c r="BT1290" s="929" t="s">
        <v>745</v>
      </c>
      <c r="BU1290" s="929" t="s">
        <v>745</v>
      </c>
      <c r="BV1290" s="929" t="s">
        <v>745</v>
      </c>
      <c r="BW1290" s="929" t="s">
        <v>745</v>
      </c>
      <c r="BX1290" s="929" t="s">
        <v>745</v>
      </c>
      <c r="BY1290" s="929" t="s">
        <v>745</v>
      </c>
      <c r="BZ1290" s="916" t="s">
        <v>709</v>
      </c>
      <c r="CA1290" s="917" t="s">
        <v>915</v>
      </c>
      <c r="CB1290" s="547">
        <v>1285</v>
      </c>
      <c r="CC1290" s="1481" t="b">
        <v>0</v>
      </c>
      <c r="CD1290" s="879" t="str">
        <f>Table15[[#This Row],[Engineering Number]]&amp;Table15[[#This Row],[WO Number]]&amp;Table15[[#This Row],[Date Assigned to Designer]]&amp;Table15[[#This Row],[Date Completed]]</f>
        <v>N1435912123854553945660</v>
      </c>
    </row>
    <row r="1291" spans="1:82" ht="15" customHeight="1" x14ac:dyDescent="0.25">
      <c r="A1291">
        <v>2025</v>
      </c>
      <c r="B1291" s="878" t="s">
        <v>6798</v>
      </c>
      <c r="C1291" s="878">
        <v>4201291</v>
      </c>
      <c r="D1291" s="8" t="s">
        <v>115</v>
      </c>
      <c r="E1291" s="878" t="s">
        <v>8167</v>
      </c>
      <c r="F1291" s="878" t="s">
        <v>6643</v>
      </c>
      <c r="G1291" s="878" t="s">
        <v>35</v>
      </c>
      <c r="H1291" s="931" t="s">
        <v>2127</v>
      </c>
      <c r="I1291" s="883">
        <v>45663</v>
      </c>
      <c r="J1291" s="882">
        <v>45777</v>
      </c>
      <c r="K1291" s="932">
        <v>45665</v>
      </c>
      <c r="L1291" s="919">
        <f>IF(ISTEXT(Table15[[#This Row],[Engineering Approved Design Date]]),Table15[[#This Row],[Date Completed]]-Table15[[#This Row],[Date Assigned to Designer]],Table15[[#This Row],[Engineering Approved Design Date]]-Table15[[#This Row],[Date Completed]])</f>
        <v>112</v>
      </c>
      <c r="M1291" s="883" t="s">
        <v>8168</v>
      </c>
      <c r="N1291" s="99" t="s">
        <v>120</v>
      </c>
      <c r="O1291" s="886">
        <v>45658</v>
      </c>
      <c r="P1291" s="1153" t="s">
        <v>739</v>
      </c>
      <c r="Q1291" s="933" t="s">
        <v>115</v>
      </c>
      <c r="R1291" s="933" t="s">
        <v>115</v>
      </c>
      <c r="U1291" s="934"/>
      <c r="V1291" s="1520"/>
      <c r="W1291" s="1187"/>
      <c r="X1291" s="935"/>
      <c r="Y1291" s="891"/>
      <c r="Z1291" s="935"/>
      <c r="AA1291" s="935"/>
      <c r="AB1291" s="893"/>
      <c r="AC1291" s="896"/>
      <c r="AD1291" s="1161"/>
      <c r="AE1291" s="936"/>
      <c r="AF1291" s="936"/>
      <c r="AG1291" s="896"/>
      <c r="AH1291" s="936"/>
      <c r="AI1291" s="921"/>
      <c r="AJ1291" s="922"/>
      <c r="AK1291" s="922"/>
      <c r="AL1291" s="923"/>
      <c r="AM1291" s="542" t="s">
        <v>709</v>
      </c>
      <c r="AN1291" s="924"/>
      <c r="AO1291" s="925"/>
      <c r="AP1291" s="926"/>
      <c r="AQ1291" s="926"/>
      <c r="AR1291" s="926"/>
      <c r="AS1291" s="926"/>
      <c r="AT1291" s="926"/>
      <c r="AU1291" s="926"/>
      <c r="AV1291" s="926"/>
      <c r="AW1291" s="927"/>
      <c r="AX1291" s="926"/>
      <c r="AY1291" s="1538" t="s">
        <v>29</v>
      </c>
      <c r="AZ1291" s="1530"/>
      <c r="BA1291" s="910"/>
      <c r="BB1291" s="928"/>
      <c r="BC1291" s="915"/>
      <c r="BD1291" s="915"/>
      <c r="BE1291" s="915"/>
      <c r="BF1291" s="915"/>
      <c r="BG1291" s="915"/>
      <c r="BH1291" s="1175" t="s">
        <v>29</v>
      </c>
      <c r="BI1291" s="1032"/>
      <c r="BJ1291" s="1032"/>
      <c r="BK1291" s="1032"/>
      <c r="BL1291" s="1032"/>
      <c r="BM1291" s="1032"/>
      <c r="BN1291" s="1032"/>
      <c r="BO1291" s="1032"/>
      <c r="BP1291" s="1032"/>
      <c r="BQ1291" s="1032"/>
      <c r="BR1291" s="1032"/>
      <c r="BS1291" s="1032"/>
      <c r="BT1291" s="1032"/>
      <c r="BU1291" s="1032"/>
      <c r="BV1291" s="1032"/>
      <c r="BW1291" s="1032"/>
      <c r="BX1291" s="1032"/>
      <c r="BY1291" s="1032"/>
      <c r="BZ1291" s="1032"/>
      <c r="CA1291" s="485"/>
      <c r="CB1291" s="547">
        <v>1289</v>
      </c>
      <c r="CC1291" s="1481" t="b">
        <v>0</v>
      </c>
      <c r="CD1291" s="879" t="str">
        <f>Table15[[#This Row],[Engineering Number]]&amp;Table15[[#This Row],[WO Number]]&amp;Table15[[#This Row],[Date Assigned to Designer]]&amp;Table15[[#This Row],[Date Completed]]</f>
        <v>4201291-4566345665</v>
      </c>
    </row>
    <row r="1292" spans="1:82" ht="15" customHeight="1" x14ac:dyDescent="0.25">
      <c r="A1292">
        <v>2025</v>
      </c>
      <c r="B1292" s="878" t="s">
        <v>4</v>
      </c>
      <c r="C1292" s="878" t="s">
        <v>8169</v>
      </c>
      <c r="D1292" s="878" t="s">
        <v>8170</v>
      </c>
      <c r="E1292" s="878" t="s">
        <v>1200</v>
      </c>
      <c r="F1292" s="878" t="s">
        <v>784</v>
      </c>
      <c r="G1292" s="878" t="s">
        <v>6377</v>
      </c>
      <c r="H1292" s="878" t="s">
        <v>59</v>
      </c>
      <c r="I1292" s="883">
        <v>45607</v>
      </c>
      <c r="J1292" s="882">
        <v>45667</v>
      </c>
      <c r="K1292" s="882">
        <v>45665</v>
      </c>
      <c r="L1292" s="919">
        <f>IF(ISTEXT(Table15[[#This Row],[Engineering Approved Design Date]]),Table15[[#This Row],[Date Completed]]-Table15[[#This Row],[Date Assigned to Designer]],Table15[[#This Row],[Engineering Approved Design Date]]-Table15[[#This Row],[Date Completed]])</f>
        <v>2</v>
      </c>
      <c r="N1292" s="885" t="s">
        <v>120</v>
      </c>
      <c r="O1292" s="886">
        <v>45658</v>
      </c>
      <c r="P1292" s="1153" t="s">
        <v>739</v>
      </c>
      <c r="Q1292" s="1150">
        <f>Table15[[#This Row],[Rate]]*Table15[[#This Row],[Construction Cost to Bill From]]</f>
        <v>95879.749000000011</v>
      </c>
      <c r="R1292" s="887">
        <v>0.1</v>
      </c>
      <c r="S1292" s="888" t="s">
        <v>29</v>
      </c>
      <c r="T1292" s="888" t="s">
        <v>29</v>
      </c>
      <c r="U1292" s="889" t="s">
        <v>29</v>
      </c>
      <c r="V1292" s="890">
        <v>3343</v>
      </c>
      <c r="W1292" s="995" t="s">
        <v>29</v>
      </c>
      <c r="X1292" s="888">
        <v>896849.48</v>
      </c>
      <c r="Y1292" s="891"/>
      <c r="Z1292" s="892">
        <v>61948.01</v>
      </c>
      <c r="AA1292" s="892">
        <f>SUM(Table15[[#This Row],[PCTS Investment Amount]:[PCTS Retirement Amount]])</f>
        <v>958797.49</v>
      </c>
      <c r="AB1292" s="893">
        <v>45664</v>
      </c>
      <c r="AC1292" s="896" t="s">
        <v>29</v>
      </c>
      <c r="AD1292" s="1155" t="s">
        <v>29</v>
      </c>
      <c r="AE1292" s="894" t="s">
        <v>756</v>
      </c>
      <c r="AF1292" s="894" t="s">
        <v>756</v>
      </c>
      <c r="AG1292" s="897" t="s">
        <v>116</v>
      </c>
      <c r="AH1292" s="897">
        <v>45672</v>
      </c>
      <c r="AI1292" s="898">
        <v>0</v>
      </c>
      <c r="AJ1292" s="899">
        <v>0</v>
      </c>
      <c r="AK1292" s="938">
        <v>0</v>
      </c>
      <c r="AL1292" s="901">
        <f>SUM(Table15[[#This Row],[Nicor Initiated DBE]:[Staffing]])/(Table15[[#This Row],[Amount Invoiced]])</f>
        <v>0</v>
      </c>
      <c r="AM1292" s="536" t="s">
        <v>116</v>
      </c>
      <c r="AN1292" s="903" t="s">
        <v>709</v>
      </c>
      <c r="AO1292" s="1536"/>
      <c r="AP1292" s="1537"/>
      <c r="AQ1292" s="1537"/>
      <c r="AR1292" s="1537"/>
      <c r="AS1292" s="888">
        <f>IF(Table15[[#This Row],[PCTS Approved]]="N",0,Table15[[#This Row],[Investment Amount (1'#'#'#'#'#)]]+Table15[[#This Row],[Retirement Amount (3'#'#'#'#'#)]])</f>
        <v>0</v>
      </c>
      <c r="AT1292" s="888">
        <f>IF(Table15[[#This Row],[Approved Construction Cost]]=0,0,Table15[[#This Row],[Approved Construction Cost]]-Table15[[#This Row],[Construction Cost to Bill From]])</f>
        <v>0</v>
      </c>
      <c r="AU1292" s="888">
        <f>IFERROR(Table15[[#This Row],[Difference in Construction Cost]]*Table15[[#This Row],[Rate]],Table15[[#This Row],[Difference in Construction Cost]]*0.085)</f>
        <v>0</v>
      </c>
      <c r="AV1292" s="905"/>
      <c r="AW1292" s="1509"/>
      <c r="AX1292" s="888"/>
      <c r="AY1292" s="636" t="s">
        <v>709</v>
      </c>
      <c r="AZ1292" s="333"/>
      <c r="BA1292" s="910" t="s">
        <v>8171</v>
      </c>
      <c r="BB1292" s="928" t="s">
        <v>8172</v>
      </c>
      <c r="BC1292" s="912" t="s">
        <v>992</v>
      </c>
      <c r="BD1292" s="912" t="s">
        <v>709</v>
      </c>
      <c r="BE1292" s="913" t="s">
        <v>1203</v>
      </c>
      <c r="BF1292" s="914" t="s">
        <v>709</v>
      </c>
      <c r="BG1292" s="914" t="s">
        <v>709</v>
      </c>
      <c r="BH1292" s="1023" t="s">
        <v>8173</v>
      </c>
      <c r="BI1292" s="1032" t="s">
        <v>709</v>
      </c>
      <c r="BJ1292" s="1032" t="s">
        <v>709</v>
      </c>
      <c r="BK1292" s="1032" t="s">
        <v>709</v>
      </c>
      <c r="BL1292" s="1032" t="s">
        <v>116</v>
      </c>
      <c r="BM1292" s="1032" t="s">
        <v>709</v>
      </c>
      <c r="BN1292" s="1032" t="s">
        <v>709</v>
      </c>
      <c r="BO1292" s="1032" t="s">
        <v>709</v>
      </c>
      <c r="BP1292" s="1032" t="s">
        <v>709</v>
      </c>
      <c r="BQ1292" s="1032" t="s">
        <v>709</v>
      </c>
      <c r="BR1292" s="1032">
        <v>2192</v>
      </c>
      <c r="BS1292" s="1032">
        <v>1151</v>
      </c>
      <c r="BT1292" s="1032" t="s">
        <v>709</v>
      </c>
      <c r="BU1292" s="1032" t="s">
        <v>709</v>
      </c>
      <c r="BV1292" s="1032" t="s">
        <v>709</v>
      </c>
      <c r="BW1292" s="1032" t="s">
        <v>709</v>
      </c>
      <c r="BX1292" s="1032" t="s">
        <v>709</v>
      </c>
      <c r="BY1292" s="1032" t="s">
        <v>709</v>
      </c>
      <c r="BZ1292" s="1032" t="s">
        <v>709</v>
      </c>
      <c r="CA1292" s="485" t="s">
        <v>8174</v>
      </c>
      <c r="CB1292" s="547">
        <v>1292</v>
      </c>
      <c r="CC1292" s="1481" t="b">
        <v>0</v>
      </c>
      <c r="CD1292" s="879" t="str">
        <f>Table15[[#This Row],[Engineering Number]]&amp;Table15[[#This Row],[WO Number]]&amp;Table15[[#This Row],[Date Assigned to Designer]]&amp;Table15[[#This Row],[Date Completed]]</f>
        <v>M1617712146794560745665</v>
      </c>
    </row>
    <row r="1293" spans="1:82" ht="15" customHeight="1" x14ac:dyDescent="0.25">
      <c r="A1293">
        <v>2025</v>
      </c>
      <c r="B1293" s="878" t="s">
        <v>4</v>
      </c>
      <c r="C1293" s="878" t="s">
        <v>8175</v>
      </c>
      <c r="D1293" s="878" t="s">
        <v>8176</v>
      </c>
      <c r="E1293" s="878" t="s">
        <v>1200</v>
      </c>
      <c r="F1293" s="878" t="s">
        <v>784</v>
      </c>
      <c r="G1293" s="878" t="s">
        <v>6377</v>
      </c>
      <c r="H1293" s="878" t="s">
        <v>59</v>
      </c>
      <c r="I1293" s="883">
        <v>45607</v>
      </c>
      <c r="J1293" s="882">
        <v>45667</v>
      </c>
      <c r="K1293" s="882">
        <v>45665</v>
      </c>
      <c r="L1293" s="919">
        <f>IF(ISTEXT(Table15[[#This Row],[Engineering Approved Design Date]]),Table15[[#This Row],[Date Completed]]-Table15[[#This Row],[Date Assigned to Designer]],Table15[[#This Row],[Engineering Approved Design Date]]-Table15[[#This Row],[Date Completed]])</f>
        <v>2</v>
      </c>
      <c r="N1293" s="885" t="s">
        <v>120</v>
      </c>
      <c r="O1293" s="886">
        <v>45658</v>
      </c>
      <c r="P1293" s="1153" t="s">
        <v>739</v>
      </c>
      <c r="Q1293" s="1150">
        <f>Table15[[#This Row],[Rate]]*Table15[[#This Row],[Construction Cost to Bill From]]</f>
        <v>24030.589</v>
      </c>
      <c r="R1293" s="887">
        <v>0.1</v>
      </c>
      <c r="S1293" s="888" t="s">
        <v>29</v>
      </c>
      <c r="T1293" s="888" t="s">
        <v>29</v>
      </c>
      <c r="U1293" s="889" t="s">
        <v>29</v>
      </c>
      <c r="V1293" s="890">
        <v>1053</v>
      </c>
      <c r="W1293" s="995" t="s">
        <v>29</v>
      </c>
      <c r="X1293" s="888">
        <v>222856.15</v>
      </c>
      <c r="Y1293" s="891"/>
      <c r="Z1293" s="892">
        <v>17449.740000000002</v>
      </c>
      <c r="AA1293" s="892">
        <f>SUM(Table15[[#This Row],[PCTS Investment Amount]:[PCTS Retirement Amount]])</f>
        <v>240305.88999999998</v>
      </c>
      <c r="AB1293" s="893">
        <v>45664</v>
      </c>
      <c r="AC1293" s="896" t="s">
        <v>29</v>
      </c>
      <c r="AD1293" s="1155" t="s">
        <v>29</v>
      </c>
      <c r="AE1293" s="894" t="s">
        <v>756</v>
      </c>
      <c r="AF1293" s="894" t="s">
        <v>756</v>
      </c>
      <c r="AG1293" s="897" t="s">
        <v>116</v>
      </c>
      <c r="AH1293" s="897">
        <v>45672</v>
      </c>
      <c r="AI1293" s="898">
        <v>0</v>
      </c>
      <c r="AJ1293" s="899">
        <v>0</v>
      </c>
      <c r="AK1293" s="938">
        <v>0</v>
      </c>
      <c r="AL1293" s="901">
        <f>SUM(Table15[[#This Row],[Nicor Initiated DBE]:[Staffing]])/(Table15[[#This Row],[Amount Invoiced]])</f>
        <v>0</v>
      </c>
      <c r="AM1293" s="536" t="s">
        <v>116</v>
      </c>
      <c r="AN1293" s="903" t="s">
        <v>709</v>
      </c>
      <c r="AO1293" s="1536"/>
      <c r="AP1293" s="1537"/>
      <c r="AQ1293" s="1537"/>
      <c r="AR1293" s="1537"/>
      <c r="AS1293" s="888">
        <f>IF(Table15[[#This Row],[PCTS Approved]]="N",0,Table15[[#This Row],[Investment Amount (1'#'#'#'#'#)]]+Table15[[#This Row],[Retirement Amount (3'#'#'#'#'#)]])</f>
        <v>0</v>
      </c>
      <c r="AT1293" s="888">
        <f>IF(Table15[[#This Row],[Approved Construction Cost]]=0,0,Table15[[#This Row],[Approved Construction Cost]]-Table15[[#This Row],[Construction Cost to Bill From]])</f>
        <v>0</v>
      </c>
      <c r="AU1293" s="888">
        <f>IFERROR(Table15[[#This Row],[Difference in Construction Cost]]*Table15[[#This Row],[Rate]],Table15[[#This Row],[Difference in Construction Cost]]*0.085)</f>
        <v>0</v>
      </c>
      <c r="AV1293" s="905"/>
      <c r="AW1293" s="1509"/>
      <c r="AX1293" s="888"/>
      <c r="AY1293" s="636" t="s">
        <v>709</v>
      </c>
      <c r="AZ1293" s="333"/>
      <c r="BA1293" s="910" t="s">
        <v>8171</v>
      </c>
      <c r="BB1293" s="928" t="s">
        <v>8172</v>
      </c>
      <c r="BC1293" s="912" t="s">
        <v>992</v>
      </c>
      <c r="BD1293" s="912" t="s">
        <v>709</v>
      </c>
      <c r="BE1293" s="913" t="s">
        <v>1203</v>
      </c>
      <c r="BF1293" s="914" t="s">
        <v>709</v>
      </c>
      <c r="BG1293" s="914" t="s">
        <v>709</v>
      </c>
      <c r="BH1293" s="1023" t="s">
        <v>8173</v>
      </c>
      <c r="BI1293" s="1032" t="s">
        <v>709</v>
      </c>
      <c r="BJ1293" s="1032" t="s">
        <v>709</v>
      </c>
      <c r="BK1293" s="1032" t="s">
        <v>709</v>
      </c>
      <c r="BL1293" s="1032" t="s">
        <v>116</v>
      </c>
      <c r="BM1293" s="1032" t="s">
        <v>709</v>
      </c>
      <c r="BN1293" s="1032" t="s">
        <v>709</v>
      </c>
      <c r="BO1293" s="1032" t="s">
        <v>709</v>
      </c>
      <c r="BP1293" s="1032" t="s">
        <v>709</v>
      </c>
      <c r="BQ1293" s="1032" t="s">
        <v>709</v>
      </c>
      <c r="BR1293" s="1032">
        <v>1024</v>
      </c>
      <c r="BS1293" s="1032">
        <v>29</v>
      </c>
      <c r="BT1293" s="1032" t="s">
        <v>709</v>
      </c>
      <c r="BU1293" s="1032" t="s">
        <v>709</v>
      </c>
      <c r="BV1293" s="1032" t="s">
        <v>709</v>
      </c>
      <c r="BW1293" s="1032" t="s">
        <v>709</v>
      </c>
      <c r="BX1293" s="1032" t="s">
        <v>709</v>
      </c>
      <c r="BY1293" s="1032" t="s">
        <v>709</v>
      </c>
      <c r="BZ1293" s="1032" t="s">
        <v>709</v>
      </c>
      <c r="CA1293" s="485" t="s">
        <v>8174</v>
      </c>
      <c r="CB1293" s="547">
        <v>1293</v>
      </c>
      <c r="CC1293" s="1481" t="b">
        <v>0</v>
      </c>
      <c r="CD1293" s="879" t="str">
        <f>Table15[[#This Row],[Engineering Number]]&amp;Table15[[#This Row],[WO Number]]&amp;Table15[[#This Row],[Date Assigned to Designer]]&amp;Table15[[#This Row],[Date Completed]]</f>
        <v>M16177-112147414560745665</v>
      </c>
    </row>
    <row r="1294" spans="1:82" ht="15" customHeight="1" x14ac:dyDescent="0.25">
      <c r="A1294">
        <v>2024</v>
      </c>
      <c r="B1294" s="878" t="s">
        <v>4</v>
      </c>
      <c r="C1294" s="878" t="s">
        <v>7924</v>
      </c>
      <c r="D1294" s="878" t="s">
        <v>8177</v>
      </c>
      <c r="E1294" s="878" t="s">
        <v>300</v>
      </c>
      <c r="F1294" s="878" t="s">
        <v>851</v>
      </c>
      <c r="G1294" s="878" t="s">
        <v>25</v>
      </c>
      <c r="H1294" s="878" t="s">
        <v>59</v>
      </c>
      <c r="I1294" s="883">
        <v>45233</v>
      </c>
      <c r="J1294" s="882">
        <v>45667</v>
      </c>
      <c r="K1294" s="882">
        <v>45665</v>
      </c>
      <c r="L1294" s="919">
        <f>IF(ISTEXT(Table15[[#This Row],[Engineering Approved Design Date]]),Table15[[#This Row],[Date Completed]]-Table15[[#This Row],[Date Assigned to Designer]],Table15[[#This Row],[Engineering Approved Design Date]]-Table15[[#This Row],[Date Completed]])</f>
        <v>2</v>
      </c>
      <c r="N1294" s="885" t="s">
        <v>120</v>
      </c>
      <c r="O1294" s="886">
        <v>45658</v>
      </c>
      <c r="P1294" s="1153" t="s">
        <v>739</v>
      </c>
      <c r="Q1294" s="1150">
        <f>Table15[[#This Row],[Rate]]*Table15[[#This Row],[Construction Cost to Bill From]]</f>
        <v>307195.38200000004</v>
      </c>
      <c r="R1294" s="887">
        <v>0.1</v>
      </c>
      <c r="S1294" s="888" t="s">
        <v>29</v>
      </c>
      <c r="T1294" s="888" t="s">
        <v>29</v>
      </c>
      <c r="U1294" s="889" t="s">
        <v>29</v>
      </c>
      <c r="V1294" s="890">
        <v>7632</v>
      </c>
      <c r="W1294" s="995">
        <v>0</v>
      </c>
      <c r="X1294" s="888">
        <v>2688510.95</v>
      </c>
      <c r="Y1294" s="891"/>
      <c r="Z1294" s="892">
        <v>383442.87</v>
      </c>
      <c r="AA1294" s="892">
        <f>SUM(Table15[[#This Row],[PCTS Investment Amount]:[PCTS Retirement Amount]])</f>
        <v>3071953.8200000003</v>
      </c>
      <c r="AB1294" s="893">
        <v>45663</v>
      </c>
      <c r="AC1294" s="896" t="s">
        <v>116</v>
      </c>
      <c r="AD1294" s="1155" t="s">
        <v>29</v>
      </c>
      <c r="AE1294" s="894" t="s">
        <v>756</v>
      </c>
      <c r="AF1294" s="894" t="s">
        <v>756</v>
      </c>
      <c r="AG1294" s="897" t="s">
        <v>116</v>
      </c>
      <c r="AH1294" s="897">
        <v>45672</v>
      </c>
      <c r="AI1294" s="898">
        <v>0</v>
      </c>
      <c r="AJ1294" s="899">
        <v>456.42</v>
      </c>
      <c r="AK1294" s="938">
        <v>14829.75</v>
      </c>
      <c r="AL1294" s="901">
        <f>SUM(Table15[[#This Row],[Nicor Initiated DBE]:[Staffing]])/(Table15[[#This Row],[Amount Invoiced]])</f>
        <v>4.9760415994795124E-2</v>
      </c>
      <c r="AM1294" s="1522" t="s">
        <v>116</v>
      </c>
      <c r="AN1294" s="1523">
        <v>45748</v>
      </c>
      <c r="AO1294" s="1524">
        <v>11100535</v>
      </c>
      <c r="AP1294" s="1525">
        <v>2686213.72</v>
      </c>
      <c r="AQ1294" s="1525"/>
      <c r="AR1294" s="1525">
        <v>383694.72</v>
      </c>
      <c r="AS1294" s="1525">
        <f>IF(Table15[[#This Row],[PCTS Approved]]="N",0,Table15[[#This Row],[Investment Amount (1'#'#'#'#'#)]]+Table15[[#This Row],[Retirement Amount (3'#'#'#'#'#)]])</f>
        <v>3069908.4400000004</v>
      </c>
      <c r="AT1294" s="1525">
        <f>IF(Table15[[#This Row],[Approved Construction Cost]]=0,0,Table15[[#This Row],[Approved Construction Cost]]-Table15[[#This Row],[Construction Cost to Bill From]])</f>
        <v>-2045.3799999998882</v>
      </c>
      <c r="AU1294" s="1525">
        <f>Table15[[#This Row],[Difference in Construction Cost]]*Table15[[#This Row],[Rate]]</f>
        <v>-204.53799999998884</v>
      </c>
      <c r="AV1294" s="1525">
        <v>0</v>
      </c>
      <c r="AW1294" s="1526" t="s">
        <v>8178</v>
      </c>
      <c r="AX1294" s="1525">
        <f>Table15[[#This Row],[Reconcile Amount]]</f>
        <v>-204.53799999998884</v>
      </c>
      <c r="AY1294" s="1518">
        <v>45901</v>
      </c>
      <c r="AZ1294" s="333"/>
      <c r="BA1294" s="910" t="s">
        <v>8179</v>
      </c>
      <c r="BB1294" s="928" t="s">
        <v>8180</v>
      </c>
      <c r="BC1294" s="912" t="s">
        <v>709</v>
      </c>
      <c r="BD1294" s="912" t="s">
        <v>709</v>
      </c>
      <c r="BE1294" s="913" t="s">
        <v>4242</v>
      </c>
      <c r="BF1294" s="914" t="s">
        <v>709</v>
      </c>
      <c r="BG1294" s="914" t="s">
        <v>709</v>
      </c>
      <c r="BH1294" s="1023" t="s">
        <v>8181</v>
      </c>
      <c r="BI1294" s="1032" t="s">
        <v>709</v>
      </c>
      <c r="BJ1294" s="1032" t="s">
        <v>709</v>
      </c>
      <c r="BK1294" s="1032" t="s">
        <v>116</v>
      </c>
      <c r="BL1294" s="1032" t="s">
        <v>116</v>
      </c>
      <c r="BM1294" s="1032" t="s">
        <v>709</v>
      </c>
      <c r="BN1294" s="1032">
        <v>2319</v>
      </c>
      <c r="BO1294" s="1032" t="s">
        <v>709</v>
      </c>
      <c r="BP1294" s="1032" t="s">
        <v>709</v>
      </c>
      <c r="BQ1294" s="1032">
        <v>2342</v>
      </c>
      <c r="BR1294" s="1032">
        <v>2878</v>
      </c>
      <c r="BS1294" s="1032">
        <v>93</v>
      </c>
      <c r="BT1294" s="1032" t="s">
        <v>709</v>
      </c>
      <c r="BU1294" s="1032" t="s">
        <v>709</v>
      </c>
      <c r="BV1294" s="1032" t="s">
        <v>709</v>
      </c>
      <c r="BW1294" s="1032" t="s">
        <v>709</v>
      </c>
      <c r="BX1294" s="1032" t="s">
        <v>709</v>
      </c>
      <c r="BY1294" s="1032" t="s">
        <v>709</v>
      </c>
      <c r="BZ1294" s="1032" t="s">
        <v>709</v>
      </c>
      <c r="CA1294" s="485" t="s">
        <v>8174</v>
      </c>
      <c r="CB1294" s="547">
        <v>1290</v>
      </c>
      <c r="CC1294" s="1481" t="b">
        <v>0</v>
      </c>
      <c r="CD1294" s="879" t="str">
        <f>Table15[[#This Row],[Engineering Number]]&amp;Table15[[#This Row],[WO Number]]&amp;Table15[[#This Row],[Date Assigned to Designer]]&amp;Table15[[#This Row],[Date Completed]]</f>
        <v>SC2307013140014523345665</v>
      </c>
    </row>
    <row r="1295" spans="1:82" ht="15" customHeight="1" x14ac:dyDescent="0.25">
      <c r="A1295">
        <v>2024</v>
      </c>
      <c r="B1295" s="878" t="s">
        <v>4</v>
      </c>
      <c r="C1295" s="878" t="s">
        <v>8182</v>
      </c>
      <c r="D1295" s="878" t="s">
        <v>8183</v>
      </c>
      <c r="E1295" s="878" t="s">
        <v>300</v>
      </c>
      <c r="F1295" s="878" t="s">
        <v>851</v>
      </c>
      <c r="G1295" s="878" t="s">
        <v>25</v>
      </c>
      <c r="H1295" s="878" t="s">
        <v>59</v>
      </c>
      <c r="I1295" s="883">
        <v>45233</v>
      </c>
      <c r="J1295" s="882">
        <v>45667</v>
      </c>
      <c r="K1295" s="882">
        <v>45665</v>
      </c>
      <c r="L1295" s="919">
        <f>IF(ISTEXT(Table15[[#This Row],[Engineering Approved Design Date]]),Table15[[#This Row],[Date Completed]]-Table15[[#This Row],[Date Assigned to Designer]],Table15[[#This Row],[Engineering Approved Design Date]]-Table15[[#This Row],[Date Completed]])</f>
        <v>2</v>
      </c>
      <c r="N1295" s="885" t="s">
        <v>120</v>
      </c>
      <c r="O1295" s="886">
        <v>45658</v>
      </c>
      <c r="P1295" s="1153" t="s">
        <v>739</v>
      </c>
      <c r="Q1295" s="1150">
        <f>Table15[[#This Row],[Rate]]*Table15[[#This Row],[Construction Cost to Bill From]]</f>
        <v>73718.482999999993</v>
      </c>
      <c r="R1295" s="887">
        <v>0.1</v>
      </c>
      <c r="S1295" s="888" t="s">
        <v>29</v>
      </c>
      <c r="T1295" s="888" t="s">
        <v>29</v>
      </c>
      <c r="U1295" s="889" t="s">
        <v>29</v>
      </c>
      <c r="V1295" s="890">
        <v>1097</v>
      </c>
      <c r="W1295" s="995">
        <v>0</v>
      </c>
      <c r="X1295" s="888">
        <v>592013.06999999995</v>
      </c>
      <c r="Y1295" s="891"/>
      <c r="Z1295" s="892">
        <v>145171.76</v>
      </c>
      <c r="AA1295" s="892">
        <f>SUM(Table15[[#This Row],[PCTS Investment Amount]:[PCTS Retirement Amount]])</f>
        <v>737184.83</v>
      </c>
      <c r="AB1295" s="893">
        <v>45663</v>
      </c>
      <c r="AC1295" s="896" t="s">
        <v>116</v>
      </c>
      <c r="AD1295" s="1155" t="s">
        <v>29</v>
      </c>
      <c r="AE1295" s="894" t="s">
        <v>756</v>
      </c>
      <c r="AF1295" s="894" t="s">
        <v>756</v>
      </c>
      <c r="AG1295" s="897" t="s">
        <v>116</v>
      </c>
      <c r="AH1295" s="897">
        <v>45672</v>
      </c>
      <c r="AI1295" s="898">
        <v>0</v>
      </c>
      <c r="AJ1295" s="899">
        <v>0</v>
      </c>
      <c r="AK1295" s="938">
        <v>0</v>
      </c>
      <c r="AL1295" s="901">
        <f>SUM(Table15[[#This Row],[Nicor Initiated DBE]:[Staffing]])/(Table15[[#This Row],[Amount Invoiced]])</f>
        <v>0</v>
      </c>
      <c r="AM1295" s="1522" t="s">
        <v>116</v>
      </c>
      <c r="AN1295" s="1523">
        <v>45748</v>
      </c>
      <c r="AO1295" s="1524">
        <v>11100537</v>
      </c>
      <c r="AP1295" s="1525">
        <v>594060.36</v>
      </c>
      <c r="AQ1295" s="1525"/>
      <c r="AR1295" s="1525">
        <v>145171.76</v>
      </c>
      <c r="AS1295" s="1525">
        <f>IF(Table15[[#This Row],[PCTS Approved]]="N",0,Table15[[#This Row],[Investment Amount (1'#'#'#'#'#)]]+Table15[[#This Row],[Retirement Amount (3'#'#'#'#'#)]])</f>
        <v>739232.12</v>
      </c>
      <c r="AT1295" s="1525">
        <f>IF(Table15[[#This Row],[Approved Construction Cost]]=0,0,Table15[[#This Row],[Approved Construction Cost]]-Table15[[#This Row],[Construction Cost to Bill From]])</f>
        <v>2047.2900000000373</v>
      </c>
      <c r="AU1295" s="1525">
        <f>Table15[[#This Row],[Difference in Construction Cost]]*Table15[[#This Row],[Rate]]</f>
        <v>204.72900000000374</v>
      </c>
      <c r="AV1295" s="1525">
        <v>0</v>
      </c>
      <c r="AW1295" s="1526" t="s">
        <v>8178</v>
      </c>
      <c r="AX1295" s="1525">
        <f>Table15[[#This Row],[Reconcile Amount]]</f>
        <v>204.72900000000374</v>
      </c>
      <c r="AY1295" s="1518">
        <v>45901</v>
      </c>
      <c r="AZ1295" s="333"/>
      <c r="BA1295" s="910" t="s">
        <v>8179</v>
      </c>
      <c r="BB1295" s="928" t="s">
        <v>8180</v>
      </c>
      <c r="BC1295" s="912" t="s">
        <v>709</v>
      </c>
      <c r="BD1295" s="912" t="s">
        <v>709</v>
      </c>
      <c r="BE1295" s="913" t="s">
        <v>4242</v>
      </c>
      <c r="BF1295" s="914" t="s">
        <v>709</v>
      </c>
      <c r="BG1295" s="914" t="s">
        <v>709</v>
      </c>
      <c r="BH1295" s="1023" t="s">
        <v>8184</v>
      </c>
      <c r="BI1295" s="1032" t="s">
        <v>709</v>
      </c>
      <c r="BJ1295" s="1032" t="s">
        <v>709</v>
      </c>
      <c r="BK1295" s="1032" t="s">
        <v>116</v>
      </c>
      <c r="BL1295" s="1032" t="s">
        <v>709</v>
      </c>
      <c r="BM1295" s="1032" t="s">
        <v>709</v>
      </c>
      <c r="BN1295" s="1032">
        <v>1097</v>
      </c>
      <c r="BO1295" s="1032" t="s">
        <v>709</v>
      </c>
      <c r="BP1295" s="1032" t="s">
        <v>709</v>
      </c>
      <c r="BQ1295" s="1032" t="s">
        <v>709</v>
      </c>
      <c r="BR1295" s="1032" t="s">
        <v>709</v>
      </c>
      <c r="BS1295" s="1032" t="s">
        <v>709</v>
      </c>
      <c r="BT1295" s="1032" t="s">
        <v>709</v>
      </c>
      <c r="BU1295" s="1032" t="s">
        <v>709</v>
      </c>
      <c r="BV1295" s="1032" t="s">
        <v>709</v>
      </c>
      <c r="BW1295" s="1032" t="s">
        <v>709</v>
      </c>
      <c r="BX1295" s="1032" t="s">
        <v>709</v>
      </c>
      <c r="BY1295" s="1032" t="s">
        <v>709</v>
      </c>
      <c r="BZ1295" s="1032" t="s">
        <v>709</v>
      </c>
      <c r="CA1295" s="485" t="s">
        <v>8174</v>
      </c>
      <c r="CB1295" s="547">
        <v>1291</v>
      </c>
      <c r="CC1295" s="1481" t="b">
        <v>0</v>
      </c>
      <c r="CD1295" s="879" t="str">
        <f>Table15[[#This Row],[Engineering Number]]&amp;Table15[[#This Row],[WO Number]]&amp;Table15[[#This Row],[Date Assigned to Designer]]&amp;Table15[[#This Row],[Date Completed]]</f>
        <v>SC23070-113140714523345665</v>
      </c>
    </row>
    <row r="1296" spans="1:82" ht="15" customHeight="1" x14ac:dyDescent="0.25">
      <c r="A1296">
        <v>2025</v>
      </c>
      <c r="B1296" s="878" t="s">
        <v>6798</v>
      </c>
      <c r="C1296" s="878">
        <v>3601292</v>
      </c>
      <c r="D1296" s="8" t="s">
        <v>115</v>
      </c>
      <c r="E1296" s="878" t="s">
        <v>8185</v>
      </c>
      <c r="F1296" s="878" t="s">
        <v>6643</v>
      </c>
      <c r="G1296" s="878" t="s">
        <v>35</v>
      </c>
      <c r="H1296" s="931" t="s">
        <v>2127</v>
      </c>
      <c r="I1296" s="883">
        <v>45663</v>
      </c>
      <c r="J1296" s="882">
        <v>45777</v>
      </c>
      <c r="K1296" s="932">
        <v>45670</v>
      </c>
      <c r="L1296" s="919">
        <f>IF(ISTEXT(Table15[[#This Row],[Engineering Approved Design Date]]),Table15[[#This Row],[Date Completed]]-Table15[[#This Row],[Date Assigned to Designer]],Table15[[#This Row],[Engineering Approved Design Date]]-Table15[[#This Row],[Date Completed]])</f>
        <v>107</v>
      </c>
      <c r="M1296" s="883" t="s">
        <v>8168</v>
      </c>
      <c r="N1296" s="99" t="s">
        <v>120</v>
      </c>
      <c r="O1296" s="886">
        <v>45658</v>
      </c>
      <c r="P1296" s="1153" t="s">
        <v>739</v>
      </c>
      <c r="Q1296" s="933" t="s">
        <v>115</v>
      </c>
      <c r="R1296" s="933" t="s">
        <v>115</v>
      </c>
      <c r="U1296" s="934"/>
      <c r="V1296" s="1520"/>
      <c r="W1296" s="1187"/>
      <c r="X1296" s="935"/>
      <c r="Y1296" s="891"/>
      <c r="Z1296" s="935"/>
      <c r="AA1296" s="935"/>
      <c r="AB1296" s="893"/>
      <c r="AC1296" s="896"/>
      <c r="AD1296" s="1161"/>
      <c r="AE1296" s="936"/>
      <c r="AF1296" s="936"/>
      <c r="AG1296" s="896"/>
      <c r="AH1296" s="936"/>
      <c r="AI1296" s="921"/>
      <c r="AJ1296" s="922"/>
      <c r="AK1296" s="922"/>
      <c r="AL1296" s="923"/>
      <c r="AM1296" s="542" t="s">
        <v>709</v>
      </c>
      <c r="AN1296" s="924"/>
      <c r="AO1296" s="925"/>
      <c r="AP1296" s="926"/>
      <c r="AQ1296" s="926"/>
      <c r="AR1296" s="926"/>
      <c r="AS1296" s="926"/>
      <c r="AT1296" s="926"/>
      <c r="AU1296" s="926"/>
      <c r="AV1296" s="926"/>
      <c r="AW1296" s="927"/>
      <c r="AX1296" s="926"/>
      <c r="AY1296" s="1538" t="s">
        <v>29</v>
      </c>
      <c r="AZ1296" s="1530"/>
      <c r="BA1296" s="910"/>
      <c r="BB1296" s="928"/>
      <c r="BC1296" s="915"/>
      <c r="BD1296" s="915"/>
      <c r="BE1296" s="915"/>
      <c r="BF1296" s="915"/>
      <c r="BG1296" s="915"/>
      <c r="BH1296" s="1175" t="s">
        <v>29</v>
      </c>
      <c r="BI1296" s="1032"/>
      <c r="BJ1296" s="1032"/>
      <c r="BK1296" s="1032"/>
      <c r="BL1296" s="1032"/>
      <c r="BM1296" s="1032"/>
      <c r="BN1296" s="1032"/>
      <c r="BO1296" s="1032"/>
      <c r="BP1296" s="1032"/>
      <c r="BQ1296" s="1032"/>
      <c r="BR1296" s="1032"/>
      <c r="BS1296" s="1032"/>
      <c r="BT1296" s="1032"/>
      <c r="BU1296" s="1032"/>
      <c r="BV1296" s="1032"/>
      <c r="BW1296" s="1032"/>
      <c r="BX1296" s="1032"/>
      <c r="BY1296" s="1032"/>
      <c r="BZ1296" s="1032"/>
      <c r="CA1296" s="485"/>
      <c r="CB1296" s="547">
        <v>1296</v>
      </c>
      <c r="CC1296" s="1481" t="b">
        <v>0</v>
      </c>
      <c r="CD1296" s="879" t="str">
        <f>Table15[[#This Row],[Engineering Number]]&amp;Table15[[#This Row],[WO Number]]&amp;Table15[[#This Row],[Date Assigned to Designer]]&amp;Table15[[#This Row],[Date Completed]]</f>
        <v>3601292-4566345670</v>
      </c>
    </row>
    <row r="1297" spans="1:82" ht="15" customHeight="1" x14ac:dyDescent="0.25">
      <c r="A1297">
        <v>2025</v>
      </c>
      <c r="B1297" s="878" t="s">
        <v>6798</v>
      </c>
      <c r="C1297" s="878">
        <v>3601298</v>
      </c>
      <c r="D1297" s="8" t="s">
        <v>115</v>
      </c>
      <c r="E1297" s="878" t="s">
        <v>8186</v>
      </c>
      <c r="F1297" s="878" t="s">
        <v>6643</v>
      </c>
      <c r="G1297" s="878" t="s">
        <v>35</v>
      </c>
      <c r="H1297" s="931" t="s">
        <v>2127</v>
      </c>
      <c r="I1297" s="883">
        <v>45663</v>
      </c>
      <c r="J1297" s="882">
        <v>45777</v>
      </c>
      <c r="K1297" s="932">
        <v>45670</v>
      </c>
      <c r="L1297" s="919">
        <f>IF(ISTEXT(Table15[[#This Row],[Engineering Approved Design Date]]),Table15[[#This Row],[Date Completed]]-Table15[[#This Row],[Date Assigned to Designer]],Table15[[#This Row],[Engineering Approved Design Date]]-Table15[[#This Row],[Date Completed]])</f>
        <v>107</v>
      </c>
      <c r="M1297" s="883" t="s">
        <v>8168</v>
      </c>
      <c r="N1297" s="99" t="s">
        <v>120</v>
      </c>
      <c r="O1297" s="886">
        <v>45658</v>
      </c>
      <c r="P1297" s="1153" t="s">
        <v>739</v>
      </c>
      <c r="Q1297" s="933" t="s">
        <v>115</v>
      </c>
      <c r="R1297" s="933" t="s">
        <v>115</v>
      </c>
      <c r="U1297" s="934"/>
      <c r="V1297" s="1520"/>
      <c r="W1297" s="1187"/>
      <c r="X1297" s="935"/>
      <c r="Y1297" s="891"/>
      <c r="Z1297" s="935"/>
      <c r="AA1297" s="935"/>
      <c r="AB1297" s="893"/>
      <c r="AC1297" s="896"/>
      <c r="AD1297" s="1161"/>
      <c r="AE1297" s="936"/>
      <c r="AF1297" s="936"/>
      <c r="AG1297" s="896"/>
      <c r="AH1297" s="936"/>
      <c r="AI1297" s="921"/>
      <c r="AJ1297" s="922"/>
      <c r="AK1297" s="922"/>
      <c r="AL1297" s="923"/>
      <c r="AM1297" s="542" t="s">
        <v>709</v>
      </c>
      <c r="AN1297" s="924"/>
      <c r="AO1297" s="925"/>
      <c r="AP1297" s="926"/>
      <c r="AQ1297" s="926"/>
      <c r="AR1297" s="926"/>
      <c r="AS1297" s="926"/>
      <c r="AT1297" s="926"/>
      <c r="AU1297" s="926"/>
      <c r="AV1297" s="926"/>
      <c r="AW1297" s="927"/>
      <c r="AX1297" s="926"/>
      <c r="AY1297" s="1538" t="s">
        <v>29</v>
      </c>
      <c r="AZ1297" s="1530"/>
      <c r="BA1297" s="910"/>
      <c r="BB1297" s="928"/>
      <c r="BC1297" s="915"/>
      <c r="BD1297" s="915"/>
      <c r="BE1297" s="915"/>
      <c r="BF1297" s="915"/>
      <c r="BG1297" s="915"/>
      <c r="BH1297" s="1175" t="s">
        <v>29</v>
      </c>
      <c r="BI1297" s="1032"/>
      <c r="BJ1297" s="1032"/>
      <c r="BK1297" s="1032"/>
      <c r="BL1297" s="1032"/>
      <c r="BM1297" s="1032"/>
      <c r="BN1297" s="1032"/>
      <c r="BO1297" s="1032"/>
      <c r="BP1297" s="1032"/>
      <c r="BQ1297" s="1032"/>
      <c r="BR1297" s="1032"/>
      <c r="BS1297" s="1032"/>
      <c r="BT1297" s="1032"/>
      <c r="BU1297" s="1032"/>
      <c r="BV1297" s="1032"/>
      <c r="BW1297" s="1032"/>
      <c r="BX1297" s="1032"/>
      <c r="BY1297" s="1032"/>
      <c r="BZ1297" s="1032"/>
      <c r="CA1297" s="485"/>
      <c r="CB1297" s="547">
        <v>1299</v>
      </c>
      <c r="CC1297" s="1481" t="b">
        <v>0</v>
      </c>
      <c r="CD1297" s="879" t="str">
        <f>Table15[[#This Row],[Engineering Number]]&amp;Table15[[#This Row],[WO Number]]&amp;Table15[[#This Row],[Date Assigned to Designer]]&amp;Table15[[#This Row],[Date Completed]]</f>
        <v>3601298-4566345670</v>
      </c>
    </row>
    <row r="1298" spans="1:82" ht="15" customHeight="1" x14ac:dyDescent="0.25">
      <c r="A1298">
        <v>2025</v>
      </c>
      <c r="B1298" s="878" t="s">
        <v>6798</v>
      </c>
      <c r="C1298" s="878">
        <v>3601306</v>
      </c>
      <c r="D1298" s="8" t="s">
        <v>115</v>
      </c>
      <c r="E1298" s="878" t="s">
        <v>8086</v>
      </c>
      <c r="F1298" s="878" t="s">
        <v>6643</v>
      </c>
      <c r="G1298" s="878" t="s">
        <v>6355</v>
      </c>
      <c r="H1298" s="931" t="s">
        <v>2127</v>
      </c>
      <c r="I1298" s="883">
        <v>45663</v>
      </c>
      <c r="J1298" s="882">
        <v>45777</v>
      </c>
      <c r="K1298" s="932">
        <v>45670</v>
      </c>
      <c r="L1298" s="919">
        <f>IF(ISTEXT(Table15[[#This Row],[Engineering Approved Design Date]]),Table15[[#This Row],[Date Completed]]-Table15[[#This Row],[Date Assigned to Designer]],Table15[[#This Row],[Engineering Approved Design Date]]-Table15[[#This Row],[Date Completed]])</f>
        <v>107</v>
      </c>
      <c r="M1298" s="883" t="s">
        <v>8168</v>
      </c>
      <c r="N1298" s="99" t="s">
        <v>120</v>
      </c>
      <c r="O1298" s="886">
        <v>45658</v>
      </c>
      <c r="P1298" s="1153" t="s">
        <v>739</v>
      </c>
      <c r="Q1298" s="933" t="s">
        <v>115</v>
      </c>
      <c r="R1298" s="933" t="s">
        <v>115</v>
      </c>
      <c r="U1298" s="934"/>
      <c r="V1298" s="1520"/>
      <c r="W1298" s="1187"/>
      <c r="X1298" s="935"/>
      <c r="Y1298" s="891"/>
      <c r="Z1298" s="935"/>
      <c r="AA1298" s="935"/>
      <c r="AB1298" s="893"/>
      <c r="AC1298" s="896"/>
      <c r="AD1298" s="1161"/>
      <c r="AE1298" s="936"/>
      <c r="AF1298" s="936"/>
      <c r="AG1298" s="896"/>
      <c r="AH1298" s="936"/>
      <c r="AI1298" s="921"/>
      <c r="AJ1298" s="922"/>
      <c r="AK1298" s="922"/>
      <c r="AL1298" s="923"/>
      <c r="AM1298" s="542" t="s">
        <v>709</v>
      </c>
      <c r="AN1298" s="924"/>
      <c r="AO1298" s="925"/>
      <c r="AP1298" s="926"/>
      <c r="AQ1298" s="926"/>
      <c r="AR1298" s="926"/>
      <c r="AS1298" s="926"/>
      <c r="AT1298" s="926"/>
      <c r="AU1298" s="926"/>
      <c r="AV1298" s="926"/>
      <c r="AW1298" s="927"/>
      <c r="AX1298" s="926"/>
      <c r="AY1298" s="1538" t="s">
        <v>29</v>
      </c>
      <c r="AZ1298" s="1530"/>
      <c r="BA1298" s="910"/>
      <c r="BB1298" s="928"/>
      <c r="BC1298" s="915"/>
      <c r="BD1298" s="915"/>
      <c r="BE1298" s="915"/>
      <c r="BF1298" s="915"/>
      <c r="BG1298" s="915"/>
      <c r="BH1298" s="1175" t="s">
        <v>29</v>
      </c>
      <c r="BI1298" s="1032"/>
      <c r="BJ1298" s="1032"/>
      <c r="BK1298" s="1032"/>
      <c r="BL1298" s="1032"/>
      <c r="BM1298" s="1032"/>
      <c r="BN1298" s="1032"/>
      <c r="BO1298" s="1032"/>
      <c r="BP1298" s="1032"/>
      <c r="BQ1298" s="1032"/>
      <c r="BR1298" s="1032"/>
      <c r="BS1298" s="1032"/>
      <c r="BT1298" s="1032"/>
      <c r="BU1298" s="1032"/>
      <c r="BV1298" s="1032"/>
      <c r="BW1298" s="1032"/>
      <c r="BX1298" s="1032"/>
      <c r="BY1298" s="1032"/>
      <c r="BZ1298" s="1032"/>
      <c r="CA1298" s="485"/>
      <c r="CB1298" s="547">
        <v>1297</v>
      </c>
      <c r="CC1298" s="1481" t="b">
        <v>0</v>
      </c>
      <c r="CD1298" s="879" t="str">
        <f>Table15[[#This Row],[Engineering Number]]&amp;Table15[[#This Row],[WO Number]]&amp;Table15[[#This Row],[Date Assigned to Designer]]&amp;Table15[[#This Row],[Date Completed]]</f>
        <v>3601306-4566345670</v>
      </c>
    </row>
    <row r="1299" spans="1:82" ht="15" customHeight="1" x14ac:dyDescent="0.25">
      <c r="A1299">
        <v>2025</v>
      </c>
      <c r="B1299" s="878" t="s">
        <v>6798</v>
      </c>
      <c r="C1299" s="878">
        <v>3601307</v>
      </c>
      <c r="D1299" s="8" t="s">
        <v>115</v>
      </c>
      <c r="E1299" s="878" t="s">
        <v>6928</v>
      </c>
      <c r="F1299" s="878" t="s">
        <v>6643</v>
      </c>
      <c r="G1299" s="878" t="s">
        <v>35</v>
      </c>
      <c r="H1299" s="931" t="s">
        <v>2127</v>
      </c>
      <c r="I1299" s="883">
        <v>45663</v>
      </c>
      <c r="J1299" s="882">
        <v>45777</v>
      </c>
      <c r="K1299" s="932">
        <v>45670</v>
      </c>
      <c r="L1299" s="919">
        <f>IF(ISTEXT(Table15[[#This Row],[Engineering Approved Design Date]]),Table15[[#This Row],[Date Completed]]-Table15[[#This Row],[Date Assigned to Designer]],Table15[[#This Row],[Engineering Approved Design Date]]-Table15[[#This Row],[Date Completed]])</f>
        <v>107</v>
      </c>
      <c r="M1299" s="883" t="s">
        <v>8168</v>
      </c>
      <c r="N1299" s="99" t="s">
        <v>120</v>
      </c>
      <c r="O1299" s="886">
        <v>45658</v>
      </c>
      <c r="P1299" s="1153" t="s">
        <v>739</v>
      </c>
      <c r="Q1299" s="933" t="s">
        <v>115</v>
      </c>
      <c r="R1299" s="933" t="s">
        <v>115</v>
      </c>
      <c r="U1299" s="934"/>
      <c r="V1299" s="1520"/>
      <c r="W1299" s="1187"/>
      <c r="X1299" s="935"/>
      <c r="Y1299" s="891"/>
      <c r="Z1299" s="935"/>
      <c r="AA1299" s="935"/>
      <c r="AB1299" s="893"/>
      <c r="AC1299" s="896"/>
      <c r="AD1299" s="1161"/>
      <c r="AE1299" s="936"/>
      <c r="AF1299" s="936"/>
      <c r="AG1299" s="896"/>
      <c r="AH1299" s="936"/>
      <c r="AI1299" s="921"/>
      <c r="AJ1299" s="922"/>
      <c r="AK1299" s="922"/>
      <c r="AL1299" s="923"/>
      <c r="AM1299" s="542" t="s">
        <v>709</v>
      </c>
      <c r="AN1299" s="924"/>
      <c r="AO1299" s="925"/>
      <c r="AP1299" s="926"/>
      <c r="AQ1299" s="926"/>
      <c r="AR1299" s="926"/>
      <c r="AS1299" s="926"/>
      <c r="AT1299" s="926"/>
      <c r="AU1299" s="926"/>
      <c r="AV1299" s="926"/>
      <c r="AW1299" s="927"/>
      <c r="AX1299" s="926"/>
      <c r="AY1299" s="1538" t="s">
        <v>29</v>
      </c>
      <c r="AZ1299" s="1530"/>
      <c r="BA1299" s="910"/>
      <c r="BB1299" s="928"/>
      <c r="BC1299" s="915"/>
      <c r="BD1299" s="915"/>
      <c r="BE1299" s="915"/>
      <c r="BF1299" s="915"/>
      <c r="BG1299" s="915"/>
      <c r="BH1299" s="1175" t="s">
        <v>29</v>
      </c>
      <c r="BI1299" s="1032"/>
      <c r="BJ1299" s="1032"/>
      <c r="BK1299" s="1032"/>
      <c r="BL1299" s="1032"/>
      <c r="BM1299" s="1032"/>
      <c r="BN1299" s="1032"/>
      <c r="BO1299" s="1032"/>
      <c r="BP1299" s="1032"/>
      <c r="BQ1299" s="1032"/>
      <c r="BR1299" s="1032"/>
      <c r="BS1299" s="1032"/>
      <c r="BT1299" s="1032"/>
      <c r="BU1299" s="1032"/>
      <c r="BV1299" s="1032"/>
      <c r="BW1299" s="1032"/>
      <c r="BX1299" s="1032"/>
      <c r="BY1299" s="1032"/>
      <c r="BZ1299" s="1032"/>
      <c r="CA1299" s="485"/>
      <c r="CB1299" s="547">
        <v>1298</v>
      </c>
      <c r="CC1299" s="1481" t="b">
        <v>0</v>
      </c>
      <c r="CD1299" s="879" t="str">
        <f>Table15[[#This Row],[Engineering Number]]&amp;Table15[[#This Row],[WO Number]]&amp;Table15[[#This Row],[Date Assigned to Designer]]&amp;Table15[[#This Row],[Date Completed]]</f>
        <v>3601307-4566345670</v>
      </c>
    </row>
    <row r="1300" spans="1:82" ht="15" customHeight="1" x14ac:dyDescent="0.25">
      <c r="A1300">
        <v>2025</v>
      </c>
      <c r="B1300" s="878" t="s">
        <v>6798</v>
      </c>
      <c r="C1300" s="878">
        <v>3701055</v>
      </c>
      <c r="D1300" s="8" t="s">
        <v>115</v>
      </c>
      <c r="E1300" s="878" t="s">
        <v>8187</v>
      </c>
      <c r="F1300" s="878" t="s">
        <v>6643</v>
      </c>
      <c r="G1300" s="878" t="s">
        <v>35</v>
      </c>
      <c r="H1300" s="931" t="s">
        <v>2127</v>
      </c>
      <c r="I1300" s="883">
        <v>45663</v>
      </c>
      <c r="J1300" s="882">
        <v>45777</v>
      </c>
      <c r="K1300" s="932">
        <v>45670</v>
      </c>
      <c r="L1300" s="919">
        <f>IF(ISTEXT(Table15[[#This Row],[Engineering Approved Design Date]]),Table15[[#This Row],[Date Completed]]-Table15[[#This Row],[Date Assigned to Designer]],Table15[[#This Row],[Engineering Approved Design Date]]-Table15[[#This Row],[Date Completed]])</f>
        <v>107</v>
      </c>
      <c r="M1300" s="883" t="s">
        <v>8168</v>
      </c>
      <c r="N1300" s="99" t="s">
        <v>120</v>
      </c>
      <c r="O1300" s="886">
        <v>45658</v>
      </c>
      <c r="P1300" s="1153" t="s">
        <v>739</v>
      </c>
      <c r="Q1300" s="933" t="s">
        <v>115</v>
      </c>
      <c r="R1300" s="933" t="s">
        <v>115</v>
      </c>
      <c r="U1300" s="934"/>
      <c r="V1300" s="1520"/>
      <c r="W1300" s="1187"/>
      <c r="X1300" s="935"/>
      <c r="Y1300" s="891"/>
      <c r="Z1300" s="935"/>
      <c r="AA1300" s="935"/>
      <c r="AB1300" s="893"/>
      <c r="AC1300" s="896"/>
      <c r="AD1300" s="1161"/>
      <c r="AE1300" s="936"/>
      <c r="AF1300" s="936"/>
      <c r="AG1300" s="896"/>
      <c r="AH1300" s="936"/>
      <c r="AI1300" s="921"/>
      <c r="AJ1300" s="922"/>
      <c r="AK1300" s="922"/>
      <c r="AL1300" s="923"/>
      <c r="AM1300" s="542" t="s">
        <v>709</v>
      </c>
      <c r="AN1300" s="924"/>
      <c r="AO1300" s="925"/>
      <c r="AP1300" s="926"/>
      <c r="AQ1300" s="926"/>
      <c r="AR1300" s="926"/>
      <c r="AS1300" s="926"/>
      <c r="AT1300" s="926"/>
      <c r="AU1300" s="926"/>
      <c r="AV1300" s="926"/>
      <c r="AW1300" s="927"/>
      <c r="AX1300" s="926"/>
      <c r="AY1300" s="1538" t="s">
        <v>29</v>
      </c>
      <c r="AZ1300" s="1530"/>
      <c r="BA1300" s="910"/>
      <c r="BB1300" s="928"/>
      <c r="BC1300" s="915"/>
      <c r="BD1300" s="915"/>
      <c r="BE1300" s="915"/>
      <c r="BF1300" s="915"/>
      <c r="BG1300" s="915"/>
      <c r="BH1300" s="1175" t="s">
        <v>29</v>
      </c>
      <c r="BI1300" s="1032"/>
      <c r="BJ1300" s="1032"/>
      <c r="BK1300" s="1032"/>
      <c r="BL1300" s="1032"/>
      <c r="BM1300" s="1032"/>
      <c r="BN1300" s="1032"/>
      <c r="BO1300" s="1032"/>
      <c r="BP1300" s="1032"/>
      <c r="BQ1300" s="1032"/>
      <c r="BR1300" s="1032"/>
      <c r="BS1300" s="1032"/>
      <c r="BT1300" s="1032"/>
      <c r="BU1300" s="1032"/>
      <c r="BV1300" s="1032"/>
      <c r="BW1300" s="1032"/>
      <c r="BX1300" s="1032"/>
      <c r="BY1300" s="1032"/>
      <c r="BZ1300" s="1032"/>
      <c r="CA1300" s="485"/>
      <c r="CB1300" s="547">
        <v>1300</v>
      </c>
      <c r="CC1300" s="1481" t="b">
        <v>0</v>
      </c>
      <c r="CD1300" s="879" t="str">
        <f>Table15[[#This Row],[Engineering Number]]&amp;Table15[[#This Row],[WO Number]]&amp;Table15[[#This Row],[Date Assigned to Designer]]&amp;Table15[[#This Row],[Date Completed]]</f>
        <v>3701055-4566345670</v>
      </c>
    </row>
    <row r="1301" spans="1:82" ht="15" customHeight="1" x14ac:dyDescent="0.25">
      <c r="A1301">
        <v>2025</v>
      </c>
      <c r="B1301" s="878" t="s">
        <v>6798</v>
      </c>
      <c r="C1301" s="878">
        <v>3701110</v>
      </c>
      <c r="D1301" s="8" t="s">
        <v>115</v>
      </c>
      <c r="E1301" s="878" t="s">
        <v>5168</v>
      </c>
      <c r="F1301" s="878" t="s">
        <v>6643</v>
      </c>
      <c r="G1301" s="878" t="s">
        <v>35</v>
      </c>
      <c r="H1301" s="931" t="s">
        <v>2127</v>
      </c>
      <c r="I1301" s="883">
        <v>45663</v>
      </c>
      <c r="J1301" s="882">
        <v>45777</v>
      </c>
      <c r="K1301" s="932">
        <v>45670</v>
      </c>
      <c r="L1301" s="919">
        <f>IF(ISTEXT(Table15[[#This Row],[Engineering Approved Design Date]]),Table15[[#This Row],[Date Completed]]-Table15[[#This Row],[Date Assigned to Designer]],Table15[[#This Row],[Engineering Approved Design Date]]-Table15[[#This Row],[Date Completed]])</f>
        <v>107</v>
      </c>
      <c r="M1301" s="883" t="s">
        <v>8168</v>
      </c>
      <c r="N1301" s="99" t="s">
        <v>120</v>
      </c>
      <c r="O1301" s="886">
        <v>45658</v>
      </c>
      <c r="P1301" s="1153" t="s">
        <v>739</v>
      </c>
      <c r="Q1301" s="933" t="s">
        <v>115</v>
      </c>
      <c r="R1301" s="933" t="s">
        <v>115</v>
      </c>
      <c r="U1301" s="934"/>
      <c r="V1301" s="1520"/>
      <c r="W1301" s="1187"/>
      <c r="X1301" s="935"/>
      <c r="Y1301" s="891"/>
      <c r="Z1301" s="935"/>
      <c r="AA1301" s="935"/>
      <c r="AB1301" s="893"/>
      <c r="AC1301" s="896"/>
      <c r="AD1301" s="1161"/>
      <c r="AE1301" s="936"/>
      <c r="AF1301" s="936"/>
      <c r="AG1301" s="896"/>
      <c r="AH1301" s="936"/>
      <c r="AI1301" s="921"/>
      <c r="AJ1301" s="922"/>
      <c r="AK1301" s="922"/>
      <c r="AL1301" s="923"/>
      <c r="AM1301" s="542" t="s">
        <v>709</v>
      </c>
      <c r="AN1301" s="924"/>
      <c r="AO1301" s="925"/>
      <c r="AP1301" s="926"/>
      <c r="AQ1301" s="926"/>
      <c r="AR1301" s="926"/>
      <c r="AS1301" s="926"/>
      <c r="AT1301" s="926"/>
      <c r="AU1301" s="926"/>
      <c r="AV1301" s="926"/>
      <c r="AW1301" s="927"/>
      <c r="AX1301" s="926"/>
      <c r="AY1301" s="1538" t="s">
        <v>29</v>
      </c>
      <c r="AZ1301" s="1530"/>
      <c r="BA1301" s="910"/>
      <c r="BB1301" s="928"/>
      <c r="BC1301" s="915"/>
      <c r="BD1301" s="915"/>
      <c r="BE1301" s="915"/>
      <c r="BF1301" s="915"/>
      <c r="BG1301" s="915"/>
      <c r="BH1301" s="1175" t="s">
        <v>29</v>
      </c>
      <c r="BI1301" s="1032"/>
      <c r="BJ1301" s="1032"/>
      <c r="BK1301" s="1032"/>
      <c r="BL1301" s="1032"/>
      <c r="BM1301" s="1032"/>
      <c r="BN1301" s="1032"/>
      <c r="BO1301" s="1032"/>
      <c r="BP1301" s="1032"/>
      <c r="BQ1301" s="1032"/>
      <c r="BR1301" s="1032"/>
      <c r="BS1301" s="1032"/>
      <c r="BT1301" s="1032"/>
      <c r="BU1301" s="1032"/>
      <c r="BV1301" s="1032"/>
      <c r="BW1301" s="1032"/>
      <c r="BX1301" s="1032"/>
      <c r="BY1301" s="1032"/>
      <c r="BZ1301" s="1032"/>
      <c r="CA1301" s="485"/>
      <c r="CB1301" s="547">
        <v>1295</v>
      </c>
      <c r="CC1301" s="1481" t="b">
        <v>0</v>
      </c>
      <c r="CD1301" s="879" t="str">
        <f>Table15[[#This Row],[Engineering Number]]&amp;Table15[[#This Row],[WO Number]]&amp;Table15[[#This Row],[Date Assigned to Designer]]&amp;Table15[[#This Row],[Date Completed]]</f>
        <v>3701110-4566345670</v>
      </c>
    </row>
    <row r="1302" spans="1:82" ht="15" customHeight="1" x14ac:dyDescent="0.25">
      <c r="A1302">
        <v>2025</v>
      </c>
      <c r="B1302" s="878" t="s">
        <v>6798</v>
      </c>
      <c r="C1302" s="878">
        <v>3701162</v>
      </c>
      <c r="D1302" s="8" t="s">
        <v>115</v>
      </c>
      <c r="E1302" s="878" t="s">
        <v>8188</v>
      </c>
      <c r="F1302" s="878" t="s">
        <v>6643</v>
      </c>
      <c r="G1302" s="878" t="s">
        <v>35</v>
      </c>
      <c r="H1302" s="931" t="s">
        <v>2127</v>
      </c>
      <c r="I1302" s="883">
        <v>45663</v>
      </c>
      <c r="J1302" s="882">
        <v>45777</v>
      </c>
      <c r="K1302" s="932">
        <v>45670</v>
      </c>
      <c r="L1302" s="919">
        <f>IF(ISTEXT(Table15[[#This Row],[Engineering Approved Design Date]]),Table15[[#This Row],[Date Completed]]-Table15[[#This Row],[Date Assigned to Designer]],Table15[[#This Row],[Engineering Approved Design Date]]-Table15[[#This Row],[Date Completed]])</f>
        <v>107</v>
      </c>
      <c r="M1302" s="883" t="s">
        <v>8168</v>
      </c>
      <c r="N1302" s="99" t="s">
        <v>120</v>
      </c>
      <c r="O1302" s="886">
        <v>45658</v>
      </c>
      <c r="P1302" s="1153" t="s">
        <v>739</v>
      </c>
      <c r="Q1302" s="933" t="s">
        <v>115</v>
      </c>
      <c r="R1302" s="933" t="s">
        <v>115</v>
      </c>
      <c r="U1302" s="934"/>
      <c r="V1302" s="1520"/>
      <c r="W1302" s="1187"/>
      <c r="X1302" s="935"/>
      <c r="Y1302" s="891"/>
      <c r="Z1302" s="935"/>
      <c r="AA1302" s="935"/>
      <c r="AB1302" s="893"/>
      <c r="AC1302" s="896"/>
      <c r="AD1302" s="1161"/>
      <c r="AE1302" s="936"/>
      <c r="AF1302" s="936"/>
      <c r="AG1302" s="896"/>
      <c r="AH1302" s="936"/>
      <c r="AI1302" s="921"/>
      <c r="AJ1302" s="922"/>
      <c r="AK1302" s="922"/>
      <c r="AL1302" s="923"/>
      <c r="AM1302" s="542" t="s">
        <v>709</v>
      </c>
      <c r="AN1302" s="924"/>
      <c r="AO1302" s="925"/>
      <c r="AP1302" s="926"/>
      <c r="AQ1302" s="926"/>
      <c r="AR1302" s="926"/>
      <c r="AS1302" s="926"/>
      <c r="AT1302" s="926"/>
      <c r="AU1302" s="926"/>
      <c r="AV1302" s="926"/>
      <c r="AW1302" s="927"/>
      <c r="AX1302" s="926"/>
      <c r="AY1302" s="1538" t="s">
        <v>29</v>
      </c>
      <c r="AZ1302" s="1530"/>
      <c r="BA1302" s="910"/>
      <c r="BB1302" s="928"/>
      <c r="BC1302" s="915"/>
      <c r="BD1302" s="915"/>
      <c r="BE1302" s="915"/>
      <c r="BF1302" s="915"/>
      <c r="BG1302" s="915"/>
      <c r="BH1302" s="1175" t="s">
        <v>29</v>
      </c>
      <c r="BI1302" s="1032"/>
      <c r="BJ1302" s="1032"/>
      <c r="BK1302" s="1032"/>
      <c r="BL1302" s="1032"/>
      <c r="BM1302" s="1032"/>
      <c r="BN1302" s="1032"/>
      <c r="BO1302" s="1032"/>
      <c r="BP1302" s="1032"/>
      <c r="BQ1302" s="1032"/>
      <c r="BR1302" s="1032"/>
      <c r="BS1302" s="1032"/>
      <c r="BT1302" s="1032"/>
      <c r="BU1302" s="1032"/>
      <c r="BV1302" s="1032"/>
      <c r="BW1302" s="1032"/>
      <c r="BX1302" s="1032"/>
      <c r="BY1302" s="1032"/>
      <c r="BZ1302" s="1032"/>
      <c r="CA1302" s="485"/>
      <c r="CB1302" s="547">
        <v>1294</v>
      </c>
      <c r="CC1302" s="1481" t="b">
        <v>0</v>
      </c>
      <c r="CD1302" s="879" t="str">
        <f>Table15[[#This Row],[Engineering Number]]&amp;Table15[[#This Row],[WO Number]]&amp;Table15[[#This Row],[Date Assigned to Designer]]&amp;Table15[[#This Row],[Date Completed]]</f>
        <v>3701162-4566345670</v>
      </c>
    </row>
    <row r="1303" spans="1:82" ht="15" customHeight="1" x14ac:dyDescent="0.25">
      <c r="A1303">
        <v>2025</v>
      </c>
      <c r="B1303" s="878" t="s">
        <v>730</v>
      </c>
      <c r="C1303" s="878" t="s">
        <v>8189</v>
      </c>
      <c r="D1303" s="878" t="s">
        <v>8190</v>
      </c>
      <c r="E1303" s="878" t="s">
        <v>8126</v>
      </c>
      <c r="F1303" s="878" t="s">
        <v>6643</v>
      </c>
      <c r="G1303" s="878" t="s">
        <v>34</v>
      </c>
      <c r="H1303" s="878" t="s">
        <v>59</v>
      </c>
      <c r="I1303" s="883">
        <v>45550</v>
      </c>
      <c r="J1303" s="945">
        <v>45671</v>
      </c>
      <c r="K1303" s="883">
        <v>45670</v>
      </c>
      <c r="L1303" s="919">
        <f>IF(ISTEXT(Table15[[#This Row],[Engineering Approved Design Date]]),Table15[[#This Row],[Date Completed]]-Table15[[#This Row],[Date Assigned to Designer]],Table15[[#This Row],[Engineering Approved Design Date]]-Table15[[#This Row],[Date Completed]])</f>
        <v>1</v>
      </c>
      <c r="M1303" s="939"/>
      <c r="N1303" s="99" t="s">
        <v>120</v>
      </c>
      <c r="O1303" s="886">
        <v>45658</v>
      </c>
      <c r="P1303" s="1153" t="s">
        <v>120</v>
      </c>
      <c r="Q1303" s="1150">
        <v>12750</v>
      </c>
      <c r="R1303" s="920" t="s">
        <v>6644</v>
      </c>
      <c r="S1303" s="888">
        <v>0</v>
      </c>
      <c r="T1303" s="888">
        <v>0</v>
      </c>
      <c r="U1303" s="889">
        <v>0</v>
      </c>
      <c r="V1303" s="890">
        <v>78</v>
      </c>
      <c r="W1303" s="1021">
        <v>2</v>
      </c>
      <c r="X1303" s="892">
        <v>103496.72</v>
      </c>
      <c r="Y1303" s="935"/>
      <c r="Z1303" s="892">
        <v>46705.8</v>
      </c>
      <c r="AA1303" s="892">
        <f>SUM(Table15[[#This Row],[PCTS Investment Amount]:[PCTS Retirement Amount]])</f>
        <v>150202.52000000002</v>
      </c>
      <c r="AB1303" s="893">
        <v>45678</v>
      </c>
      <c r="AC1303" s="894" t="s">
        <v>811</v>
      </c>
      <c r="AD1303" s="1162" t="s">
        <v>29</v>
      </c>
      <c r="AE1303" s="940" t="s">
        <v>756</v>
      </c>
      <c r="AF1303" s="940" t="s">
        <v>29</v>
      </c>
      <c r="AG1303" s="896" t="s">
        <v>376</v>
      </c>
      <c r="AH1303" s="940" t="s">
        <v>376</v>
      </c>
      <c r="AI1303" s="898">
        <v>4500</v>
      </c>
      <c r="AJ1303" s="899">
        <v>0</v>
      </c>
      <c r="AK1303" s="941">
        <v>0</v>
      </c>
      <c r="AL1303" s="901">
        <f>SUM(Table15[[#This Row],[Nicor Initiated DBE]:[Staffing]])/(Table15[[#This Row],[Amount Invoiced]])</f>
        <v>0.35294117647058826</v>
      </c>
      <c r="AM1303" s="542" t="s">
        <v>709</v>
      </c>
      <c r="AN1303" s="924"/>
      <c r="AO1303" s="925"/>
      <c r="AP1303" s="926"/>
      <c r="AQ1303" s="926"/>
      <c r="AR1303" s="926"/>
      <c r="AS1303" s="926"/>
      <c r="AT1303" s="926"/>
      <c r="AU1303" s="926"/>
      <c r="AV1303" s="926"/>
      <c r="AW1303" s="927"/>
      <c r="AX1303" s="926"/>
      <c r="AY1303" s="1538" t="s">
        <v>29</v>
      </c>
      <c r="AZ1303" s="1530"/>
      <c r="BA1303" s="939" t="s">
        <v>8191</v>
      </c>
      <c r="BB1303" s="942" t="s">
        <v>8192</v>
      </c>
      <c r="BC1303" s="915" t="s">
        <v>116</v>
      </c>
      <c r="BD1303" s="915" t="s">
        <v>709</v>
      </c>
      <c r="BE1303" s="915" t="s">
        <v>709</v>
      </c>
      <c r="BF1303" s="915" t="s">
        <v>8129</v>
      </c>
      <c r="BG1303" s="943" t="s">
        <v>709</v>
      </c>
      <c r="BH1303" s="1023" t="s">
        <v>8193</v>
      </c>
      <c r="BI1303" s="916" t="s">
        <v>709</v>
      </c>
      <c r="BJ1303" s="916" t="s">
        <v>709</v>
      </c>
      <c r="BK1303" s="916" t="s">
        <v>116</v>
      </c>
      <c r="BL1303" s="916" t="s">
        <v>116</v>
      </c>
      <c r="BM1303" s="916" t="s">
        <v>709</v>
      </c>
      <c r="BN1303" s="916" t="s">
        <v>709</v>
      </c>
      <c r="BO1303" s="916" t="s">
        <v>709</v>
      </c>
      <c r="BP1303" s="944" t="s">
        <v>709</v>
      </c>
      <c r="BQ1303" s="944" t="s">
        <v>709</v>
      </c>
      <c r="BR1303" s="929" t="s">
        <v>709</v>
      </c>
      <c r="BS1303" s="929">
        <v>78</v>
      </c>
      <c r="BT1303" s="916" t="s">
        <v>709</v>
      </c>
      <c r="BU1303" s="916">
        <v>1</v>
      </c>
      <c r="BV1303" s="916" t="s">
        <v>709</v>
      </c>
      <c r="BW1303" s="916" t="s">
        <v>709</v>
      </c>
      <c r="BX1303" s="916">
        <v>1</v>
      </c>
      <c r="BY1303" s="916" t="s">
        <v>709</v>
      </c>
      <c r="BZ1303" s="916" t="s">
        <v>709</v>
      </c>
      <c r="CA1303" s="917"/>
      <c r="CB1303" s="547">
        <v>1301</v>
      </c>
      <c r="CC1303" s="1481" t="b">
        <v>0</v>
      </c>
      <c r="CD1303" s="879" t="str">
        <f>Table15[[#This Row],[Engineering Number]]&amp;Table15[[#This Row],[WO Number]]&amp;Table15[[#This Row],[Date Assigned to Designer]]&amp;Table15[[#This Row],[Date Completed]]</f>
        <v>RS127610152454555045670</v>
      </c>
    </row>
    <row r="1304" spans="1:82" ht="15" customHeight="1" x14ac:dyDescent="0.25">
      <c r="A1304">
        <v>2025</v>
      </c>
      <c r="B1304" s="878" t="s">
        <v>730</v>
      </c>
      <c r="C1304" s="878" t="s">
        <v>8194</v>
      </c>
      <c r="D1304" s="878" t="s">
        <v>8195</v>
      </c>
      <c r="E1304" s="878" t="s">
        <v>8126</v>
      </c>
      <c r="F1304" s="878" t="s">
        <v>6643</v>
      </c>
      <c r="G1304" s="878" t="s">
        <v>34</v>
      </c>
      <c r="H1304" s="878" t="s">
        <v>413</v>
      </c>
      <c r="I1304" s="883">
        <v>45550</v>
      </c>
      <c r="J1304" s="945">
        <v>45671</v>
      </c>
      <c r="K1304" s="883">
        <v>45671</v>
      </c>
      <c r="L1304" s="919">
        <f>IF(ISTEXT(Table15[[#This Row],[Engineering Approved Design Date]]),Table15[[#This Row],[Date Completed]]-Table15[[#This Row],[Date Assigned to Designer]],Table15[[#This Row],[Engineering Approved Design Date]]-Table15[[#This Row],[Date Completed]])</f>
        <v>0</v>
      </c>
      <c r="M1304" s="939"/>
      <c r="N1304" s="99" t="s">
        <v>120</v>
      </c>
      <c r="O1304" s="886">
        <v>45658</v>
      </c>
      <c r="P1304" s="1153" t="s">
        <v>120</v>
      </c>
      <c r="Q1304" s="1150">
        <f>Table15[[#This Row],[Rate]]*Table15[[#This Row],[Construction Cost to Bill From]]</f>
        <v>28835.468999999997</v>
      </c>
      <c r="R1304" s="920">
        <v>0.09</v>
      </c>
      <c r="T1304" s="888">
        <v>0</v>
      </c>
      <c r="U1304" s="889">
        <v>0</v>
      </c>
      <c r="V1304" s="890">
        <v>377</v>
      </c>
      <c r="W1304" s="1021">
        <v>0</v>
      </c>
      <c r="X1304" s="892">
        <v>208153.97</v>
      </c>
      <c r="Y1304" s="935"/>
      <c r="Z1304" s="892">
        <v>112240.13</v>
      </c>
      <c r="AA1304" s="892">
        <f>SUM(Table15[[#This Row],[PCTS Investment Amount]:[PCTS Retirement Amount]])</f>
        <v>320394.09999999998</v>
      </c>
      <c r="AB1304" s="893">
        <v>45678</v>
      </c>
      <c r="AC1304" s="894" t="s">
        <v>709</v>
      </c>
      <c r="AD1304" s="1162" t="s">
        <v>29</v>
      </c>
      <c r="AE1304" s="940" t="s">
        <v>756</v>
      </c>
      <c r="AF1304" s="940" t="s">
        <v>29</v>
      </c>
      <c r="AG1304" s="896" t="s">
        <v>376</v>
      </c>
      <c r="AH1304" s="940" t="s">
        <v>376</v>
      </c>
      <c r="AI1304" s="898">
        <v>0</v>
      </c>
      <c r="AJ1304" s="899">
        <v>0</v>
      </c>
      <c r="AK1304" s="941">
        <v>0</v>
      </c>
      <c r="AL1304" s="901">
        <f>SUM(Table15[[#This Row],[Nicor Initiated DBE]:[Staffing]])/(Table15[[#This Row],[Amount Invoiced]])</f>
        <v>0</v>
      </c>
      <c r="AM1304" s="1522" t="s">
        <v>116</v>
      </c>
      <c r="AN1304" s="1523">
        <v>45733</v>
      </c>
      <c r="AO1304" s="1524">
        <v>11100030</v>
      </c>
      <c r="AP1304" s="1525">
        <v>208153.97</v>
      </c>
      <c r="AQ1304" s="1525"/>
      <c r="AR1304" s="1525">
        <v>112240.13</v>
      </c>
      <c r="AS1304" s="1525">
        <f>IF(Table15[[#This Row],[PCTS Approved]]="N",0,Table15[[#This Row],[Investment Amount (1'#'#'#'#'#)]]+Table15[[#This Row],[Retirement Amount (3'#'#'#'#'#)]])</f>
        <v>320394.09999999998</v>
      </c>
      <c r="AT1304" s="1525">
        <f>IF(Table15[[#This Row],[Approved Construction Cost]]=0,0,Table15[[#This Row],[Approved Construction Cost]]-Table15[[#This Row],[Construction Cost to Bill From]])</f>
        <v>0</v>
      </c>
      <c r="AU1304" s="1525">
        <f>IFERROR(Table15[[#This Row],[Difference in Construction Cost]]*Table15[[#This Row],[Rate]],Table15[[#This Row],[Difference in Construction Cost]]*0.085)</f>
        <v>0</v>
      </c>
      <c r="AV1304" s="1525">
        <v>0</v>
      </c>
      <c r="AW1304" s="1526" t="s">
        <v>29</v>
      </c>
      <c r="AX1304" s="1525">
        <f>Table15[[#This Row],[Reconcile Amount]]</f>
        <v>0</v>
      </c>
      <c r="AY1304" s="1518">
        <v>45901</v>
      </c>
      <c r="AZ1304" s="333"/>
      <c r="BA1304" s="939" t="s">
        <v>8196</v>
      </c>
      <c r="BB1304" s="942" t="s">
        <v>8197</v>
      </c>
      <c r="BC1304" s="915" t="s">
        <v>116</v>
      </c>
      <c r="BD1304" s="915" t="s">
        <v>115</v>
      </c>
      <c r="BE1304" s="915" t="s">
        <v>3205</v>
      </c>
      <c r="BF1304" s="915" t="s">
        <v>115</v>
      </c>
      <c r="BG1304" s="943" t="s">
        <v>115</v>
      </c>
      <c r="BH1304" s="1023" t="s">
        <v>8198</v>
      </c>
      <c r="BI1304" s="916" t="s">
        <v>709</v>
      </c>
      <c r="BJ1304" s="916" t="s">
        <v>709</v>
      </c>
      <c r="BK1304" s="916" t="s">
        <v>116</v>
      </c>
      <c r="BL1304" s="916" t="s">
        <v>709</v>
      </c>
      <c r="BM1304" s="916" t="s">
        <v>116</v>
      </c>
      <c r="BN1304" s="916" t="s">
        <v>709</v>
      </c>
      <c r="BO1304" s="916" t="s">
        <v>709</v>
      </c>
      <c r="BP1304" s="944" t="s">
        <v>709</v>
      </c>
      <c r="BQ1304" s="944" t="s">
        <v>709</v>
      </c>
      <c r="BR1304" s="929">
        <v>348</v>
      </c>
      <c r="BS1304" s="929">
        <v>29</v>
      </c>
      <c r="BT1304" s="916" t="s">
        <v>709</v>
      </c>
      <c r="BU1304" s="916" t="s">
        <v>709</v>
      </c>
      <c r="BV1304" s="916" t="s">
        <v>709</v>
      </c>
      <c r="BW1304" s="916" t="s">
        <v>709</v>
      </c>
      <c r="BX1304" s="916" t="s">
        <v>709</v>
      </c>
      <c r="BY1304" s="916" t="s">
        <v>709</v>
      </c>
      <c r="BZ1304" s="916" t="s">
        <v>709</v>
      </c>
      <c r="CA1304" s="917"/>
      <c r="CB1304" s="547">
        <v>1302</v>
      </c>
      <c r="CC1304" s="1481" t="b">
        <v>0</v>
      </c>
      <c r="CD1304" s="879" t="str">
        <f>Table15[[#This Row],[Engineering Number]]&amp;Table15[[#This Row],[WO Number]]&amp;Table15[[#This Row],[Date Assigned to Designer]]&amp;Table15[[#This Row],[Date Completed]]</f>
        <v>RS127210143684555045671</v>
      </c>
    </row>
    <row r="1305" spans="1:82" ht="15" customHeight="1" x14ac:dyDescent="0.25">
      <c r="A1305">
        <v>2024</v>
      </c>
      <c r="B1305" s="878" t="s">
        <v>4</v>
      </c>
      <c r="C1305" s="878" t="s">
        <v>1233</v>
      </c>
      <c r="D1305" s="878" t="s">
        <v>1234</v>
      </c>
      <c r="E1305" s="878" t="s">
        <v>1101</v>
      </c>
      <c r="F1305" s="878" t="s">
        <v>6874</v>
      </c>
      <c r="G1305" s="878" t="s">
        <v>8199</v>
      </c>
      <c r="H1305" s="878" t="s">
        <v>3852</v>
      </c>
      <c r="I1305" s="883">
        <v>45608</v>
      </c>
      <c r="J1305" s="918" t="s">
        <v>2052</v>
      </c>
      <c r="K1305" s="918">
        <v>45673</v>
      </c>
      <c r="L1305" s="919">
        <f>IF(ISTEXT(Table15[[#This Row],[Engineering Approved Design Date]]),Table15[[#This Row],[Date Completed]]-Table15[[#This Row],[Date Assigned to Designer]],Table15[[#This Row],[Engineering Approved Design Date]]-Table15[[#This Row],[Date Completed]])</f>
        <v>65</v>
      </c>
      <c r="M1305" s="883" t="s">
        <v>8200</v>
      </c>
      <c r="N1305" s="885" t="s">
        <v>120</v>
      </c>
      <c r="O1305" s="886">
        <v>45689</v>
      </c>
      <c r="P1305" s="1153" t="s">
        <v>739</v>
      </c>
      <c r="Q1305" s="1150">
        <f>SUM(Table15[[#This Row],[Shactee Effort]:[KH Hourly Effort]])</f>
        <v>35439.5</v>
      </c>
      <c r="R1305" s="920" t="s">
        <v>1922</v>
      </c>
      <c r="S1305" s="888">
        <v>2284.5</v>
      </c>
      <c r="T1305" s="888">
        <v>2500</v>
      </c>
      <c r="U1305" s="889">
        <v>30655</v>
      </c>
      <c r="V1305" s="888" t="s">
        <v>29</v>
      </c>
      <c r="W1305" s="995" t="s">
        <v>29</v>
      </c>
      <c r="X1305" s="888" t="s">
        <v>29</v>
      </c>
      <c r="Y1305" s="888"/>
      <c r="Z1305" s="888" t="s">
        <v>29</v>
      </c>
      <c r="AA1305" s="888" t="s">
        <v>29</v>
      </c>
      <c r="AB1305" s="893" t="s">
        <v>29</v>
      </c>
      <c r="AC1305" s="896" t="s">
        <v>709</v>
      </c>
      <c r="AD1305" s="1155" t="s">
        <v>29</v>
      </c>
      <c r="AE1305" s="894" t="s">
        <v>756</v>
      </c>
      <c r="AF1305" s="896" t="s">
        <v>756</v>
      </c>
      <c r="AG1305" s="897" t="s">
        <v>29</v>
      </c>
      <c r="AH1305" s="902">
        <v>45707</v>
      </c>
      <c r="AI1305" s="921" t="s">
        <v>29</v>
      </c>
      <c r="AJ1305" s="922" t="s">
        <v>29</v>
      </c>
      <c r="AK1305" s="922" t="s">
        <v>29</v>
      </c>
      <c r="AL1305" s="923" t="s">
        <v>29</v>
      </c>
      <c r="AM1305" s="542" t="s">
        <v>709</v>
      </c>
      <c r="AN1305" s="924"/>
      <c r="AO1305" s="925"/>
      <c r="AP1305" s="926"/>
      <c r="AQ1305" s="926"/>
      <c r="AR1305" s="926"/>
      <c r="AS1305" s="926"/>
      <c r="AT1305" s="926"/>
      <c r="AU1305" s="926"/>
      <c r="AV1305" s="926"/>
      <c r="AW1305" s="927"/>
      <c r="AX1305" s="926"/>
      <c r="AY1305" s="1538" t="s">
        <v>29</v>
      </c>
      <c r="AZ1305" s="1530"/>
      <c r="BA1305" s="910">
        <v>7</v>
      </c>
      <c r="BB1305" s="928" t="s">
        <v>8201</v>
      </c>
      <c r="BC1305" s="915" t="s">
        <v>709</v>
      </c>
      <c r="BD1305" s="915" t="s">
        <v>882</v>
      </c>
      <c r="BE1305" s="915" t="s">
        <v>1106</v>
      </c>
      <c r="BF1305" s="915" t="s">
        <v>709</v>
      </c>
      <c r="BG1305" s="915" t="s">
        <v>709</v>
      </c>
      <c r="BH1305" s="1023" t="s">
        <v>8202</v>
      </c>
      <c r="BI1305" s="929" t="s">
        <v>709</v>
      </c>
      <c r="BJ1305" s="929" t="s">
        <v>709</v>
      </c>
      <c r="BK1305" s="929" t="s">
        <v>709</v>
      </c>
      <c r="BL1305" s="916" t="s">
        <v>116</v>
      </c>
      <c r="BM1305" s="916" t="s">
        <v>709</v>
      </c>
      <c r="BN1305" s="929" t="s">
        <v>709</v>
      </c>
      <c r="BO1305" s="916" t="s">
        <v>709</v>
      </c>
      <c r="BP1305" s="929">
        <v>1117</v>
      </c>
      <c r="BQ1305" s="929">
        <v>476</v>
      </c>
      <c r="BR1305" s="929">
        <v>1564</v>
      </c>
      <c r="BS1305" s="916">
        <v>3150</v>
      </c>
      <c r="BT1305" s="929">
        <v>1</v>
      </c>
      <c r="BU1305" s="916" t="s">
        <v>709</v>
      </c>
      <c r="BV1305" s="929" t="s">
        <v>709</v>
      </c>
      <c r="BW1305" s="916" t="s">
        <v>709</v>
      </c>
      <c r="BX1305" s="929">
        <v>1</v>
      </c>
      <c r="BY1305" s="916" t="s">
        <v>709</v>
      </c>
      <c r="BZ1305" s="916" t="s">
        <v>709</v>
      </c>
      <c r="CA1305" s="917"/>
      <c r="CB1305" s="547">
        <v>1303</v>
      </c>
      <c r="CC1305" s="1481" t="b">
        <v>0</v>
      </c>
      <c r="CD1305" s="879" t="str">
        <f>Table15[[#This Row],[Engineering Number]]&amp;Table15[[#This Row],[WO Number]]&amp;Table15[[#This Row],[Date Assigned to Designer]]&amp;Table15[[#This Row],[Date Completed]]</f>
        <v>M109051205854560845673</v>
      </c>
    </row>
    <row r="1306" spans="1:82" ht="15" customHeight="1" x14ac:dyDescent="0.25">
      <c r="A1306">
        <v>2025</v>
      </c>
      <c r="B1306" s="878" t="s">
        <v>1981</v>
      </c>
      <c r="C1306" s="878" t="s">
        <v>8203</v>
      </c>
      <c r="D1306" s="878" t="s">
        <v>8204</v>
      </c>
      <c r="E1306" s="878" t="s">
        <v>202</v>
      </c>
      <c r="F1306" s="878" t="s">
        <v>7735</v>
      </c>
      <c r="G1306" s="878" t="s">
        <v>37</v>
      </c>
      <c r="H1306" s="878" t="s">
        <v>413</v>
      </c>
      <c r="I1306" s="883">
        <v>45611</v>
      </c>
      <c r="J1306" s="918">
        <v>45674</v>
      </c>
      <c r="K1306" s="945">
        <v>45674</v>
      </c>
      <c r="L1306" s="919">
        <f>IF(ISTEXT(Table15[[#This Row],[Engineering Approved Design Date]]),Table15[[#This Row],[Date Completed]]-Table15[[#This Row],[Date Assigned to Designer]],Table15[[#This Row],[Engineering Approved Design Date]]-Table15[[#This Row],[Date Completed]])</f>
        <v>0</v>
      </c>
      <c r="M1306" s="946"/>
      <c r="N1306" s="99" t="s">
        <v>120</v>
      </c>
      <c r="O1306" s="886">
        <v>45717</v>
      </c>
      <c r="P1306" s="1153" t="s">
        <v>739</v>
      </c>
      <c r="Q1306" s="1150">
        <f>Table15[[#This Row],[KH Hourly Effort]]+Table15[[#This Row],[Shactee Effort]]</f>
        <v>15319.77</v>
      </c>
      <c r="R1306" s="920" t="s">
        <v>1922</v>
      </c>
      <c r="S1306" s="888">
        <v>934.77</v>
      </c>
      <c r="T1306" s="888">
        <v>0</v>
      </c>
      <c r="U1306" s="889">
        <v>14385</v>
      </c>
      <c r="V1306" s="890">
        <v>25</v>
      </c>
      <c r="W1306" s="1021">
        <v>1</v>
      </c>
      <c r="X1306" s="888">
        <v>100212.97</v>
      </c>
      <c r="Y1306" s="888"/>
      <c r="Z1306" s="888">
        <v>34921.699999999997</v>
      </c>
      <c r="AA1306" s="888">
        <f>SUM(Table15[[#This Row],[PCTS Investment Amount]:[PCTS Retirement Amount]])</f>
        <v>135134.66999999998</v>
      </c>
      <c r="AB1306" s="893">
        <v>45674</v>
      </c>
      <c r="AC1306" s="896" t="s">
        <v>709</v>
      </c>
      <c r="AD1306" s="1155" t="s">
        <v>29</v>
      </c>
      <c r="AE1306" s="894" t="s">
        <v>29</v>
      </c>
      <c r="AF1306" s="896" t="s">
        <v>29</v>
      </c>
      <c r="AG1306" s="896" t="s">
        <v>29</v>
      </c>
      <c r="AH1306" s="902" t="s">
        <v>29</v>
      </c>
      <c r="AI1306" s="947"/>
      <c r="AJ1306" s="948">
        <v>934.77</v>
      </c>
      <c r="AK1306" s="948"/>
      <c r="AL1306" s="901">
        <f>SUM(Table15[[#This Row],[Nicor Initiated DBE]:[Staffing]])/(Table15[[#This Row],[Amount Invoiced]])</f>
        <v>6.1017234592947542E-2</v>
      </c>
      <c r="AM1306" s="542" t="s">
        <v>709</v>
      </c>
      <c r="AN1306" s="924"/>
      <c r="AO1306" s="925"/>
      <c r="AP1306" s="926"/>
      <c r="AQ1306" s="926"/>
      <c r="AR1306" s="926"/>
      <c r="AS1306" s="926"/>
      <c r="AT1306" s="926"/>
      <c r="AU1306" s="926"/>
      <c r="AV1306" s="926"/>
      <c r="AW1306" s="927"/>
      <c r="AX1306" s="926"/>
      <c r="AY1306" s="1538" t="s">
        <v>29</v>
      </c>
      <c r="AZ1306" s="1530"/>
      <c r="BA1306" s="910" t="s">
        <v>8205</v>
      </c>
      <c r="BB1306" s="949" t="s">
        <v>8206</v>
      </c>
      <c r="BC1306" s="950" t="s">
        <v>116</v>
      </c>
      <c r="BD1306" s="951" t="s">
        <v>709</v>
      </c>
      <c r="BE1306" s="952" t="s">
        <v>709</v>
      </c>
      <c r="BF1306" s="952" t="s">
        <v>3298</v>
      </c>
      <c r="BG1306" s="953" t="s">
        <v>709</v>
      </c>
      <c r="BH1306" s="1175" t="s">
        <v>8207</v>
      </c>
      <c r="BI1306" s="929" t="s">
        <v>709</v>
      </c>
      <c r="BJ1306" s="929" t="s">
        <v>709</v>
      </c>
      <c r="BK1306" s="929" t="s">
        <v>709</v>
      </c>
      <c r="BL1306" s="916" t="s">
        <v>116</v>
      </c>
      <c r="BM1306" s="929" t="s">
        <v>709</v>
      </c>
      <c r="BN1306" s="929" t="s">
        <v>709</v>
      </c>
      <c r="BO1306" s="929" t="s">
        <v>709</v>
      </c>
      <c r="BP1306" s="929">
        <v>25</v>
      </c>
      <c r="BQ1306" s="929" t="s">
        <v>709</v>
      </c>
      <c r="BR1306" s="929" t="s">
        <v>709</v>
      </c>
      <c r="BS1306" s="916" t="s">
        <v>709</v>
      </c>
      <c r="BT1306" s="929" t="s">
        <v>709</v>
      </c>
      <c r="BU1306" s="929" t="s">
        <v>709</v>
      </c>
      <c r="BV1306" s="929" t="s">
        <v>709</v>
      </c>
      <c r="BW1306" s="929" t="s">
        <v>709</v>
      </c>
      <c r="BX1306" s="929" t="s">
        <v>709</v>
      </c>
      <c r="BY1306" s="929" t="s">
        <v>709</v>
      </c>
      <c r="BZ1306" s="916">
        <v>1</v>
      </c>
      <c r="CA1306" s="917" t="s">
        <v>8208</v>
      </c>
      <c r="CB1306" s="547">
        <v>1304</v>
      </c>
      <c r="CC1306" s="1481" t="b">
        <v>0</v>
      </c>
      <c r="CD1306" s="879" t="str">
        <f>Table15[[#This Row],[Engineering Number]]&amp;Table15[[#This Row],[WO Number]]&amp;Table15[[#This Row],[Date Assigned to Designer]]&amp;Table15[[#This Row],[Date Completed]]</f>
        <v>COR105812146444561145674</v>
      </c>
    </row>
    <row r="1307" spans="1:82" ht="15" customHeight="1" x14ac:dyDescent="0.25">
      <c r="A1307">
        <v>2024</v>
      </c>
      <c r="B1307" s="878" t="s">
        <v>4</v>
      </c>
      <c r="C1307" s="878" t="s">
        <v>1087</v>
      </c>
      <c r="D1307" s="878" t="s">
        <v>8209</v>
      </c>
      <c r="E1307" s="878" t="s">
        <v>309</v>
      </c>
      <c r="F1307" s="878" t="s">
        <v>6874</v>
      </c>
      <c r="G1307" s="878" t="s">
        <v>27</v>
      </c>
      <c r="H1307" s="878" t="s">
        <v>4189</v>
      </c>
      <c r="I1307" s="883">
        <v>45609</v>
      </c>
      <c r="J1307" s="918" t="s">
        <v>2052</v>
      </c>
      <c r="K1307" s="918">
        <v>45677</v>
      </c>
      <c r="L1307" s="919">
        <f>IF(ISTEXT(Table15[[#This Row],[Engineering Approved Design Date]]),Table15[[#This Row],[Date Completed]]-Table15[[#This Row],[Date Assigned to Designer]],Table15[[#This Row],[Engineering Approved Design Date]]-Table15[[#This Row],[Date Completed]])</f>
        <v>68</v>
      </c>
      <c r="M1307" s="883" t="s">
        <v>8210</v>
      </c>
      <c r="N1307" s="885" t="s">
        <v>120</v>
      </c>
      <c r="O1307" s="886">
        <v>45689</v>
      </c>
      <c r="P1307" s="1153" t="s">
        <v>739</v>
      </c>
      <c r="Q1307" s="1150">
        <f>SUM(Table15[[#This Row],[Shactee Effort]:[KH Hourly Effort]])</f>
        <v>10090</v>
      </c>
      <c r="R1307" s="920" t="s">
        <v>1922</v>
      </c>
      <c r="S1307" s="888">
        <v>0</v>
      </c>
      <c r="T1307" s="888">
        <v>0</v>
      </c>
      <c r="U1307" s="889">
        <v>10090</v>
      </c>
      <c r="V1307" s="888" t="s">
        <v>29</v>
      </c>
      <c r="W1307" s="995" t="s">
        <v>29</v>
      </c>
      <c r="X1307" s="888" t="s">
        <v>29</v>
      </c>
      <c r="Y1307" s="888"/>
      <c r="Z1307" s="888" t="s">
        <v>29</v>
      </c>
      <c r="AA1307" s="888" t="s">
        <v>29</v>
      </c>
      <c r="AB1307" s="893" t="s">
        <v>29</v>
      </c>
      <c r="AC1307" s="896" t="s">
        <v>745</v>
      </c>
      <c r="AD1307" s="1155" t="s">
        <v>29</v>
      </c>
      <c r="AE1307" s="894" t="s">
        <v>756</v>
      </c>
      <c r="AF1307" s="896" t="s">
        <v>29</v>
      </c>
      <c r="AG1307" s="897" t="s">
        <v>29</v>
      </c>
      <c r="AH1307" s="902">
        <v>45705</v>
      </c>
      <c r="AI1307" s="921" t="s">
        <v>29</v>
      </c>
      <c r="AJ1307" s="922" t="s">
        <v>29</v>
      </c>
      <c r="AK1307" s="922" t="s">
        <v>29</v>
      </c>
      <c r="AL1307" s="923" t="s">
        <v>29</v>
      </c>
      <c r="AM1307" s="542" t="s">
        <v>709</v>
      </c>
      <c r="AN1307" s="924"/>
      <c r="AO1307" s="925"/>
      <c r="AP1307" s="926"/>
      <c r="AQ1307" s="926"/>
      <c r="AR1307" s="926"/>
      <c r="AS1307" s="926"/>
      <c r="AT1307" s="926"/>
      <c r="AU1307" s="926"/>
      <c r="AV1307" s="926"/>
      <c r="AW1307" s="927"/>
      <c r="AX1307" s="926"/>
      <c r="AY1307" s="1538" t="s">
        <v>29</v>
      </c>
      <c r="AZ1307" s="1530"/>
      <c r="BA1307" s="910" t="s">
        <v>4650</v>
      </c>
      <c r="BB1307" s="928" t="s">
        <v>8211</v>
      </c>
      <c r="BC1307" s="915" t="s">
        <v>709</v>
      </c>
      <c r="BD1307" s="915" t="s">
        <v>837</v>
      </c>
      <c r="BE1307" s="915" t="s">
        <v>709</v>
      </c>
      <c r="BF1307" s="915" t="s">
        <v>745</v>
      </c>
      <c r="BG1307" s="915" t="s">
        <v>709</v>
      </c>
      <c r="BH1307" s="1023" t="s">
        <v>8212</v>
      </c>
      <c r="BI1307" s="929" t="s">
        <v>709</v>
      </c>
      <c r="BJ1307" s="929" t="s">
        <v>745</v>
      </c>
      <c r="BK1307" s="929" t="s">
        <v>745</v>
      </c>
      <c r="BL1307" s="916" t="s">
        <v>116</v>
      </c>
      <c r="BM1307" s="916" t="s">
        <v>745</v>
      </c>
      <c r="BN1307" s="929" t="s">
        <v>745</v>
      </c>
      <c r="BO1307" s="916" t="s">
        <v>745</v>
      </c>
      <c r="BP1307" s="929" t="s">
        <v>745</v>
      </c>
      <c r="BQ1307" s="929" t="s">
        <v>709</v>
      </c>
      <c r="BR1307" s="929">
        <f>3029+2571</f>
        <v>5600</v>
      </c>
      <c r="BS1307" s="916">
        <f>10+185</f>
        <v>195</v>
      </c>
      <c r="BT1307" s="929" t="s">
        <v>745</v>
      </c>
      <c r="BU1307" s="916" t="s">
        <v>745</v>
      </c>
      <c r="BV1307" s="929" t="s">
        <v>745</v>
      </c>
      <c r="BW1307" s="916" t="s">
        <v>745</v>
      </c>
      <c r="BX1307" s="929" t="s">
        <v>745</v>
      </c>
      <c r="BY1307" s="916" t="s">
        <v>745</v>
      </c>
      <c r="BZ1307" s="916" t="s">
        <v>709</v>
      </c>
      <c r="CA1307" s="917" t="s">
        <v>8213</v>
      </c>
      <c r="CB1307" s="547">
        <v>1305</v>
      </c>
      <c r="CC1307" s="1481" t="b">
        <v>0</v>
      </c>
      <c r="CD1307" s="879" t="str">
        <f>Table15[[#This Row],[Engineering Number]]&amp;Table15[[#This Row],[WO Number]]&amp;Table15[[#This Row],[Date Assigned to Designer]]&amp;Table15[[#This Row],[Date Completed]]</f>
        <v>SC184981411410/14117254560945677</v>
      </c>
    </row>
    <row r="1308" spans="1:82" ht="15" customHeight="1" x14ac:dyDescent="0.25">
      <c r="A1308">
        <v>2025</v>
      </c>
      <c r="B1308" s="878" t="s">
        <v>1073</v>
      </c>
      <c r="C1308" s="878" t="s">
        <v>8214</v>
      </c>
      <c r="D1308" s="878" t="s">
        <v>8215</v>
      </c>
      <c r="E1308" s="878" t="s">
        <v>1032</v>
      </c>
      <c r="F1308" s="878" t="s">
        <v>851</v>
      </c>
      <c r="G1308" s="878" t="s">
        <v>34</v>
      </c>
      <c r="H1308" s="878" t="s">
        <v>59</v>
      </c>
      <c r="I1308" s="883">
        <v>45636</v>
      </c>
      <c r="J1308" s="945">
        <v>45684</v>
      </c>
      <c r="K1308" s="883">
        <v>45684</v>
      </c>
      <c r="L1308" s="919">
        <f>IF(ISTEXT(Table15[[#This Row],[Engineering Approved Design Date]]),Table15[[#This Row],[Date Completed]]-Table15[[#This Row],[Date Assigned to Designer]],Table15[[#This Row],[Engineering Approved Design Date]]-Table15[[#This Row],[Date Completed]])</f>
        <v>0</v>
      </c>
      <c r="M1308" s="939"/>
      <c r="N1308" s="99" t="s">
        <v>120</v>
      </c>
      <c r="O1308" s="886">
        <v>45689</v>
      </c>
      <c r="P1308" s="1153" t="s">
        <v>739</v>
      </c>
      <c r="Q1308" s="1150">
        <f>Table15[[#This Row],[Rate]]*Table15[[#This Row],[Construction Cost to Bill From]]</f>
        <v>54590.836799999997</v>
      </c>
      <c r="R1308" s="920">
        <v>0.08</v>
      </c>
      <c r="S1308" s="888" t="s">
        <v>29</v>
      </c>
      <c r="T1308" s="888" t="s">
        <v>29</v>
      </c>
      <c r="U1308" s="889" t="s">
        <v>29</v>
      </c>
      <c r="V1308" s="890">
        <v>264</v>
      </c>
      <c r="W1308" s="1021">
        <v>4</v>
      </c>
      <c r="X1308" s="892">
        <v>682385.46</v>
      </c>
      <c r="Y1308" s="935"/>
      <c r="Z1308" s="892">
        <v>0</v>
      </c>
      <c r="AA1308" s="888">
        <f>SUM(Table15[[#This Row],[PCTS Investment Amount]:[PCTS Retirement Amount]])</f>
        <v>682385.46</v>
      </c>
      <c r="AB1308" s="893">
        <v>45700</v>
      </c>
      <c r="AC1308" s="894" t="s">
        <v>8216</v>
      </c>
      <c r="AD1308" s="1162" t="s">
        <v>29</v>
      </c>
      <c r="AE1308" s="940" t="s">
        <v>756</v>
      </c>
      <c r="AF1308" s="940" t="s">
        <v>29</v>
      </c>
      <c r="AG1308" s="896" t="s">
        <v>116</v>
      </c>
      <c r="AH1308" s="940">
        <v>45707</v>
      </c>
      <c r="AI1308" s="898">
        <v>0</v>
      </c>
      <c r="AJ1308" s="899">
        <v>0</v>
      </c>
      <c r="AK1308" s="941">
        <v>0</v>
      </c>
      <c r="AL1308" s="901">
        <f>SUM(Table15[[#This Row],[Nicor Initiated DBE]:[Staffing]])/(Table15[[#This Row],[Amount Invoiced]])</f>
        <v>0</v>
      </c>
      <c r="AM1308" s="1522" t="s">
        <v>116</v>
      </c>
      <c r="AN1308" s="1523">
        <v>45727</v>
      </c>
      <c r="AO1308" s="1524">
        <v>11096080</v>
      </c>
      <c r="AP1308" s="1525">
        <v>682385.46</v>
      </c>
      <c r="AQ1308" s="1525"/>
      <c r="AR1308" s="1525">
        <v>0</v>
      </c>
      <c r="AS1308" s="1525">
        <f>IF(Table15[[#This Row],[PCTS Approved]]="N",0,Table15[[#This Row],[Investment Amount (1'#'#'#'#'#)]]+Table15[[#This Row],[Retirement Amount (3'#'#'#'#'#)]])</f>
        <v>682385.46</v>
      </c>
      <c r="AT1308" s="1525">
        <f>IF(Table15[[#This Row],[Approved Construction Cost]]=0,0,Table15[[#This Row],[Approved Construction Cost]]-Table15[[#This Row],[Construction Cost to Bill From]])</f>
        <v>0</v>
      </c>
      <c r="AU1308" s="1525">
        <f>Table15[[#This Row],[Difference in Construction Cost]]*Table15[[#This Row],[Rate]]</f>
        <v>0</v>
      </c>
      <c r="AV1308" s="1525">
        <v>0</v>
      </c>
      <c r="AW1308" s="1526" t="s">
        <v>29</v>
      </c>
      <c r="AX1308" s="1525">
        <f>Table15[[#This Row],[Reconcile Amount]]</f>
        <v>0</v>
      </c>
      <c r="AY1308" s="1518">
        <v>45901</v>
      </c>
      <c r="AZ1308" s="333"/>
      <c r="BA1308" s="939" t="s">
        <v>8217</v>
      </c>
      <c r="BB1308" s="942" t="s">
        <v>1078</v>
      </c>
      <c r="BC1308" s="915" t="s">
        <v>709</v>
      </c>
      <c r="BD1308" s="915" t="s">
        <v>709</v>
      </c>
      <c r="BE1308" s="915" t="s">
        <v>1841</v>
      </c>
      <c r="BF1308" s="915" t="s">
        <v>709</v>
      </c>
      <c r="BG1308" s="943" t="s">
        <v>1078</v>
      </c>
      <c r="BH1308" s="1023" t="s">
        <v>8218</v>
      </c>
      <c r="BI1308" s="916" t="s">
        <v>709</v>
      </c>
      <c r="BJ1308" s="916" t="s">
        <v>116</v>
      </c>
      <c r="BK1308" s="916" t="s">
        <v>709</v>
      </c>
      <c r="BL1308" s="916" t="s">
        <v>116</v>
      </c>
      <c r="BM1308" s="916" t="s">
        <v>709</v>
      </c>
      <c r="BN1308" s="916" t="s">
        <v>709</v>
      </c>
      <c r="BO1308" s="916" t="s">
        <v>709</v>
      </c>
      <c r="BP1308" s="944">
        <v>19</v>
      </c>
      <c r="BQ1308" s="944">
        <v>86</v>
      </c>
      <c r="BR1308" s="929">
        <v>63</v>
      </c>
      <c r="BS1308" s="929">
        <v>36</v>
      </c>
      <c r="BT1308" s="916" t="s">
        <v>709</v>
      </c>
      <c r="BU1308" s="916" t="s">
        <v>709</v>
      </c>
      <c r="BV1308" s="916" t="s">
        <v>709</v>
      </c>
      <c r="BW1308" s="916">
        <v>4</v>
      </c>
      <c r="BX1308" s="916" t="s">
        <v>709</v>
      </c>
      <c r="BY1308" s="916">
        <v>2</v>
      </c>
      <c r="BZ1308" s="916" t="s">
        <v>709</v>
      </c>
      <c r="CA1308" s="917" t="s">
        <v>6832</v>
      </c>
      <c r="CB1308" s="547">
        <v>1307</v>
      </c>
      <c r="CC1308" s="1481" t="b">
        <v>0</v>
      </c>
      <c r="CD1308" s="879" t="str">
        <f>Table15[[#This Row],[Engineering Number]]&amp;Table15[[#This Row],[WO Number]]&amp;Table15[[#This Row],[Date Assigned to Designer]]&amp;Table15[[#This Row],[Date Completed]]</f>
        <v>NBA10017524-119147494563645684</v>
      </c>
    </row>
    <row r="1309" spans="1:82" ht="15" customHeight="1" x14ac:dyDescent="0.25">
      <c r="A1309">
        <v>2025</v>
      </c>
      <c r="B1309" s="878" t="s">
        <v>1073</v>
      </c>
      <c r="C1309" s="878" t="s">
        <v>8219</v>
      </c>
      <c r="D1309" s="878" t="s">
        <v>8220</v>
      </c>
      <c r="E1309" s="878" t="s">
        <v>1032</v>
      </c>
      <c r="F1309" s="878" t="s">
        <v>851</v>
      </c>
      <c r="G1309" s="878" t="s">
        <v>34</v>
      </c>
      <c r="H1309" s="878" t="s">
        <v>59</v>
      </c>
      <c r="I1309" s="883">
        <v>45636</v>
      </c>
      <c r="J1309" s="945">
        <v>45684</v>
      </c>
      <c r="K1309" s="883">
        <v>45684</v>
      </c>
      <c r="L1309" s="919">
        <f>IF(ISTEXT(Table15[[#This Row],[Engineering Approved Design Date]]),Table15[[#This Row],[Date Completed]]-Table15[[#This Row],[Date Assigned to Designer]],Table15[[#This Row],[Engineering Approved Design Date]]-Table15[[#This Row],[Date Completed]])</f>
        <v>0</v>
      </c>
      <c r="M1309" s="939"/>
      <c r="N1309" s="99" t="s">
        <v>120</v>
      </c>
      <c r="O1309" s="886">
        <v>45689</v>
      </c>
      <c r="P1309" s="1153" t="s">
        <v>739</v>
      </c>
      <c r="Q1309" s="1150">
        <f>Table15[[#This Row],[Rate]]*Table15[[#This Row],[Construction Cost to Bill From]]</f>
        <v>17462.0432</v>
      </c>
      <c r="R1309" s="920">
        <v>0.08</v>
      </c>
      <c r="S1309" s="888" t="s">
        <v>29</v>
      </c>
      <c r="T1309" s="888" t="s">
        <v>29</v>
      </c>
      <c r="U1309" s="889" t="s">
        <v>29</v>
      </c>
      <c r="V1309" s="890">
        <v>355</v>
      </c>
      <c r="W1309" s="1021">
        <v>0</v>
      </c>
      <c r="X1309" s="892">
        <v>218275.54</v>
      </c>
      <c r="Y1309" s="935"/>
      <c r="Z1309" s="892">
        <v>0</v>
      </c>
      <c r="AA1309" s="888">
        <f>SUM(Table15[[#This Row],[PCTS Investment Amount]:[PCTS Retirement Amount]])</f>
        <v>218275.54</v>
      </c>
      <c r="AB1309" s="893">
        <v>45701</v>
      </c>
      <c r="AC1309" s="894" t="s">
        <v>709</v>
      </c>
      <c r="AD1309" s="1162" t="s">
        <v>29</v>
      </c>
      <c r="AE1309" s="940" t="s">
        <v>756</v>
      </c>
      <c r="AF1309" s="940" t="s">
        <v>29</v>
      </c>
      <c r="AG1309" s="896" t="s">
        <v>116</v>
      </c>
      <c r="AH1309" s="940">
        <v>45707</v>
      </c>
      <c r="AI1309" s="898">
        <v>0</v>
      </c>
      <c r="AJ1309" s="899">
        <v>0</v>
      </c>
      <c r="AK1309" s="941">
        <v>0</v>
      </c>
      <c r="AL1309" s="901">
        <f>SUM(Table15[[#This Row],[Nicor Initiated DBE]:[Staffing]])/(Table15[[#This Row],[Amount Invoiced]])</f>
        <v>0</v>
      </c>
      <c r="AM1309" s="1522" t="s">
        <v>116</v>
      </c>
      <c r="AN1309" s="1523">
        <v>45735</v>
      </c>
      <c r="AO1309" s="1524">
        <v>11099814</v>
      </c>
      <c r="AP1309" s="1525">
        <v>218956.75</v>
      </c>
      <c r="AQ1309" s="1525"/>
      <c r="AR1309" s="1525">
        <v>0</v>
      </c>
      <c r="AS1309" s="1525">
        <f>IF(Table15[[#This Row],[PCTS Approved]]="N",0,Table15[[#This Row],[Investment Amount (1'#'#'#'#'#)]]+Table15[[#This Row],[Retirement Amount (3'#'#'#'#'#)]])</f>
        <v>218956.75</v>
      </c>
      <c r="AT1309" s="1525">
        <f>IF(Table15[[#This Row],[Approved Construction Cost]]=0,0,Table15[[#This Row],[Approved Construction Cost]]-Table15[[#This Row],[Construction Cost to Bill From]])</f>
        <v>681.20999999999185</v>
      </c>
      <c r="AU1309" s="1525">
        <f>Table15[[#This Row],[Difference in Construction Cost]]*Table15[[#This Row],[Rate]]</f>
        <v>54.496799999999347</v>
      </c>
      <c r="AV1309" s="1525">
        <v>0</v>
      </c>
      <c r="AW1309" s="1526" t="s">
        <v>8221</v>
      </c>
      <c r="AX1309" s="1525">
        <f>Table15[[#This Row],[Reconcile Amount]]</f>
        <v>54.496799999999347</v>
      </c>
      <c r="AY1309" s="1518">
        <v>45901</v>
      </c>
      <c r="AZ1309" s="333"/>
      <c r="BA1309" s="939" t="s">
        <v>8222</v>
      </c>
      <c r="BB1309" s="942" t="s">
        <v>1078</v>
      </c>
      <c r="BC1309" s="915" t="s">
        <v>709</v>
      </c>
      <c r="BD1309" s="915" t="s">
        <v>709</v>
      </c>
      <c r="BE1309" s="915" t="s">
        <v>709</v>
      </c>
      <c r="BF1309" s="915" t="s">
        <v>709</v>
      </c>
      <c r="BG1309" s="943" t="s">
        <v>1078</v>
      </c>
      <c r="BH1309" s="1023" t="s">
        <v>8223</v>
      </c>
      <c r="BI1309" s="916" t="s">
        <v>709</v>
      </c>
      <c r="BJ1309" s="916" t="s">
        <v>116</v>
      </c>
      <c r="BK1309" s="916" t="s">
        <v>709</v>
      </c>
      <c r="BL1309" s="916" t="s">
        <v>116</v>
      </c>
      <c r="BM1309" s="916" t="s">
        <v>709</v>
      </c>
      <c r="BN1309" s="916" t="s">
        <v>709</v>
      </c>
      <c r="BO1309" s="916" t="s">
        <v>709</v>
      </c>
      <c r="BP1309" s="944">
        <v>355</v>
      </c>
      <c r="BQ1309" s="944" t="s">
        <v>709</v>
      </c>
      <c r="BR1309" s="929" t="s">
        <v>29</v>
      </c>
      <c r="BS1309" s="929" t="s">
        <v>709</v>
      </c>
      <c r="BT1309" s="916" t="s">
        <v>709</v>
      </c>
      <c r="BU1309" s="916" t="s">
        <v>709</v>
      </c>
      <c r="BV1309" s="916" t="s">
        <v>709</v>
      </c>
      <c r="BW1309" s="916" t="s">
        <v>709</v>
      </c>
      <c r="BX1309" s="916" t="s">
        <v>709</v>
      </c>
      <c r="BY1309" s="916" t="s">
        <v>709</v>
      </c>
      <c r="BZ1309" s="916" t="s">
        <v>709</v>
      </c>
      <c r="CA1309" s="917" t="s">
        <v>6827</v>
      </c>
      <c r="CB1309" s="547">
        <v>1308</v>
      </c>
      <c r="CC1309" s="1481" t="b">
        <v>0</v>
      </c>
      <c r="CD1309" s="879" t="str">
        <f>Table15[[#This Row],[Engineering Number]]&amp;Table15[[#This Row],[WO Number]]&amp;Table15[[#This Row],[Date Assigned to Designer]]&amp;Table15[[#This Row],[Date Completed]]</f>
        <v>NBA10017524-219147524563645684</v>
      </c>
    </row>
    <row r="1310" spans="1:82" ht="15" customHeight="1" x14ac:dyDescent="0.25">
      <c r="A1310">
        <v>2024</v>
      </c>
      <c r="B1310" s="878" t="s">
        <v>1205</v>
      </c>
      <c r="C1310" s="878" t="s">
        <v>8072</v>
      </c>
      <c r="D1310" s="878" t="s">
        <v>8224</v>
      </c>
      <c r="E1310" s="878" t="s">
        <v>141</v>
      </c>
      <c r="F1310" s="878" t="s">
        <v>6874</v>
      </c>
      <c r="G1310" s="878" t="s">
        <v>36</v>
      </c>
      <c r="H1310" s="878" t="s">
        <v>59</v>
      </c>
      <c r="I1310" s="883">
        <v>45587</v>
      </c>
      <c r="J1310" s="945">
        <v>45685</v>
      </c>
      <c r="K1310" s="883">
        <v>45684</v>
      </c>
      <c r="L1310" s="919">
        <f>IF(ISTEXT(Table15[[#This Row],[Engineering Approved Design Date]]),Table15[[#This Row],[Date Completed]]-Table15[[#This Row],[Date Assigned to Designer]],Table15[[#This Row],[Engineering Approved Design Date]]-Table15[[#This Row],[Date Completed]])</f>
        <v>1</v>
      </c>
      <c r="M1310" s="939"/>
      <c r="N1310" s="99" t="s">
        <v>120</v>
      </c>
      <c r="O1310" s="886">
        <v>45689</v>
      </c>
      <c r="P1310" s="1153" t="s">
        <v>739</v>
      </c>
      <c r="Q1310" s="1150">
        <f>Table15[[#This Row],[Rate]]*Table15[[#This Row],[Construction Cost to Bill From]]</f>
        <v>37295.422199999994</v>
      </c>
      <c r="R1310" s="920">
        <v>0.09</v>
      </c>
      <c r="S1310" s="888" t="s">
        <v>29</v>
      </c>
      <c r="T1310" s="888" t="s">
        <v>29</v>
      </c>
      <c r="U1310" s="889" t="s">
        <v>29</v>
      </c>
      <c r="V1310" s="890">
        <v>382</v>
      </c>
      <c r="W1310" s="1021">
        <v>0</v>
      </c>
      <c r="X1310" s="892">
        <v>356426.99</v>
      </c>
      <c r="Y1310" s="935"/>
      <c r="Z1310" s="892">
        <v>57966.59</v>
      </c>
      <c r="AA1310" s="888">
        <f>SUM(Table15[[#This Row],[PCTS Investment Amount]:[PCTS Retirement Amount]])</f>
        <v>414393.57999999996</v>
      </c>
      <c r="AB1310" s="893">
        <v>45694</v>
      </c>
      <c r="AC1310" s="894" t="s">
        <v>116</v>
      </c>
      <c r="AD1310" s="1162" t="s">
        <v>29</v>
      </c>
      <c r="AE1310" s="940" t="s">
        <v>116</v>
      </c>
      <c r="AF1310" s="940" t="s">
        <v>29</v>
      </c>
      <c r="AG1310" s="896" t="s">
        <v>116</v>
      </c>
      <c r="AH1310" s="940">
        <v>45707</v>
      </c>
      <c r="AI1310" s="898">
        <v>17850</v>
      </c>
      <c r="AJ1310" s="899">
        <v>0</v>
      </c>
      <c r="AK1310" s="941">
        <v>10790.5</v>
      </c>
      <c r="AL1310" s="901">
        <f>SUM(Table15[[#This Row],[Nicor Initiated DBE]:[Staffing]])/(Table15[[#This Row],[Amount Invoiced]])</f>
        <v>0.76793607125327046</v>
      </c>
      <c r="AM1310" s="1522" t="s">
        <v>116</v>
      </c>
      <c r="AN1310" s="1523">
        <v>45784</v>
      </c>
      <c r="AO1310" s="1524">
        <v>11096171</v>
      </c>
      <c r="AP1310" s="1525">
        <v>356745.22</v>
      </c>
      <c r="AQ1310" s="1525"/>
      <c r="AR1310" s="1525">
        <v>60474.19</v>
      </c>
      <c r="AS1310" s="1525">
        <f>IF(Table15[[#This Row],[PCTS Approved]]="N",0,Table15[[#This Row],[Investment Amount (1'#'#'#'#'#)]]+Table15[[#This Row],[Retirement Amount (3'#'#'#'#'#)]])</f>
        <v>417219.41</v>
      </c>
      <c r="AT1310" s="1525">
        <f>IF(Table15[[#This Row],[Approved Construction Cost]]=0,0,Table15[[#This Row],[Approved Construction Cost]]-Table15[[#This Row],[Construction Cost to Bill From]])</f>
        <v>2825.8300000000163</v>
      </c>
      <c r="AU1310" s="1525">
        <f>Table15[[#This Row],[Difference in Construction Cost]]*Table15[[#This Row],[Rate]]</f>
        <v>254.32470000000146</v>
      </c>
      <c r="AV1310" s="1525">
        <v>0</v>
      </c>
      <c r="AW1310" s="1526" t="s">
        <v>8225</v>
      </c>
      <c r="AX1310" s="1525">
        <f>Table15[[#This Row],[Reconcile Amount]]</f>
        <v>254.32470000000146</v>
      </c>
      <c r="AY1310" s="1518">
        <v>45901</v>
      </c>
      <c r="AZ1310" s="333"/>
      <c r="BA1310" s="939" t="s">
        <v>8226</v>
      </c>
      <c r="BB1310" s="942" t="s">
        <v>8227</v>
      </c>
      <c r="BC1310" s="915" t="s">
        <v>709</v>
      </c>
      <c r="BD1310" s="915" t="s">
        <v>709</v>
      </c>
      <c r="BE1310" s="915" t="s">
        <v>709</v>
      </c>
      <c r="BF1310" s="915" t="s">
        <v>8228</v>
      </c>
      <c r="BG1310" s="943" t="s">
        <v>8229</v>
      </c>
      <c r="BH1310" s="1023" t="s">
        <v>8230</v>
      </c>
      <c r="BI1310" s="916" t="s">
        <v>116</v>
      </c>
      <c r="BJ1310" s="916" t="s">
        <v>709</v>
      </c>
      <c r="BK1310" s="916" t="s">
        <v>709</v>
      </c>
      <c r="BL1310" s="916" t="s">
        <v>709</v>
      </c>
      <c r="BM1310" s="916" t="s">
        <v>709</v>
      </c>
      <c r="BN1310" s="916" t="s">
        <v>709</v>
      </c>
      <c r="BO1310" s="916" t="s">
        <v>709</v>
      </c>
      <c r="BP1310" s="944" t="s">
        <v>709</v>
      </c>
      <c r="BQ1310" s="944">
        <v>382</v>
      </c>
      <c r="BR1310" s="929" t="s">
        <v>709</v>
      </c>
      <c r="BS1310" s="929" t="s">
        <v>709</v>
      </c>
      <c r="BT1310" s="916" t="s">
        <v>709</v>
      </c>
      <c r="BU1310" s="916" t="s">
        <v>709</v>
      </c>
      <c r="BV1310" s="916" t="s">
        <v>709</v>
      </c>
      <c r="BW1310" s="916" t="s">
        <v>709</v>
      </c>
      <c r="BX1310" s="916" t="s">
        <v>709</v>
      </c>
      <c r="BY1310" s="916" t="s">
        <v>709</v>
      </c>
      <c r="BZ1310" s="916" t="s">
        <v>709</v>
      </c>
      <c r="CA1310" s="917" t="s">
        <v>8231</v>
      </c>
      <c r="CB1310" s="547">
        <v>1306</v>
      </c>
      <c r="CC1310" s="1481" t="b">
        <v>0</v>
      </c>
      <c r="CD1310" s="879" t="str">
        <f>Table15[[#This Row],[Engineering Number]]&amp;Table15[[#This Row],[WO Number]]&amp;Table15[[#This Row],[Date Assigned to Designer]]&amp;Table15[[#This Row],[Date Completed]]</f>
        <v>MR219214145124558745684</v>
      </c>
    </row>
    <row r="1311" spans="1:82" ht="15" customHeight="1" x14ac:dyDescent="0.25">
      <c r="A1311">
        <v>2024</v>
      </c>
      <c r="B1311" s="878" t="s">
        <v>1205</v>
      </c>
      <c r="C1311" s="878" t="s">
        <v>8060</v>
      </c>
      <c r="D1311" s="878" t="s">
        <v>8232</v>
      </c>
      <c r="E1311" s="878" t="s">
        <v>309</v>
      </c>
      <c r="F1311" s="878" t="s">
        <v>6874</v>
      </c>
      <c r="G1311" s="878" t="s">
        <v>8233</v>
      </c>
      <c r="H1311" s="878" t="s">
        <v>59</v>
      </c>
      <c r="I1311" s="883">
        <v>45587</v>
      </c>
      <c r="J1311" s="945">
        <v>45685</v>
      </c>
      <c r="K1311" s="883">
        <v>45684</v>
      </c>
      <c r="L1311" s="919">
        <f>IF(ISTEXT(Table15[[#This Row],[Engineering Approved Design Date]]),Table15[[#This Row],[Date Completed]]-Table15[[#This Row],[Date Assigned to Designer]],Table15[[#This Row],[Engineering Approved Design Date]]-Table15[[#This Row],[Date Completed]])</f>
        <v>1</v>
      </c>
      <c r="M1311" s="939"/>
      <c r="N1311" s="99" t="s">
        <v>120</v>
      </c>
      <c r="O1311" s="886">
        <v>45689</v>
      </c>
      <c r="P1311" s="1153" t="s">
        <v>739</v>
      </c>
      <c r="Q1311" s="1150">
        <f>Table15[[#This Row],[Rate]]*Table15[[#This Row],[Construction Cost to Bill From]]</f>
        <v>60118.366500000004</v>
      </c>
      <c r="R1311" s="920">
        <v>0.09</v>
      </c>
      <c r="S1311" s="888" t="s">
        <v>29</v>
      </c>
      <c r="T1311" s="888" t="s">
        <v>29</v>
      </c>
      <c r="U1311" s="889" t="s">
        <v>29</v>
      </c>
      <c r="V1311" s="890">
        <v>1456</v>
      </c>
      <c r="W1311" s="1021">
        <v>0</v>
      </c>
      <c r="X1311" s="892">
        <v>570966.81000000006</v>
      </c>
      <c r="Y1311" s="935"/>
      <c r="Z1311" s="892">
        <v>97015.039999999994</v>
      </c>
      <c r="AA1311" s="888">
        <f>SUM(Table15[[#This Row],[PCTS Investment Amount]:[PCTS Retirement Amount]])</f>
        <v>667981.85000000009</v>
      </c>
      <c r="AB1311" s="893">
        <v>45687</v>
      </c>
      <c r="AC1311" s="894" t="s">
        <v>116</v>
      </c>
      <c r="AD1311" s="1162" t="s">
        <v>29</v>
      </c>
      <c r="AE1311" s="940" t="s">
        <v>756</v>
      </c>
      <c r="AF1311" s="940" t="s">
        <v>29</v>
      </c>
      <c r="AG1311" s="896" t="s">
        <v>116</v>
      </c>
      <c r="AH1311" s="940">
        <v>45707</v>
      </c>
      <c r="AI1311" s="898">
        <v>19400</v>
      </c>
      <c r="AJ1311" s="899">
        <v>0</v>
      </c>
      <c r="AK1311" s="941">
        <v>4537</v>
      </c>
      <c r="AL1311" s="901">
        <f>SUM(Table15[[#This Row],[Nicor Initiated DBE]:[Staffing]])/(Table15[[#This Row],[Amount Invoiced]])</f>
        <v>0.39816451100679856</v>
      </c>
      <c r="AM1311" s="1522" t="s">
        <v>116</v>
      </c>
      <c r="AN1311" s="1523">
        <v>45784</v>
      </c>
      <c r="AO1311" s="1524">
        <v>11096172</v>
      </c>
      <c r="AP1311" s="1525">
        <v>564550.35</v>
      </c>
      <c r="AQ1311" s="1525"/>
      <c r="AR1311" s="1525">
        <v>97015.039999999994</v>
      </c>
      <c r="AS1311" s="1525">
        <f>IF(Table15[[#This Row],[PCTS Approved]]="N",0,Table15[[#This Row],[Investment Amount (1'#'#'#'#'#)]]+Table15[[#This Row],[Retirement Amount (3'#'#'#'#'#)]])</f>
        <v>661565.39</v>
      </c>
      <c r="AT1311" s="1525">
        <f>IF(Table15[[#This Row],[Approved Construction Cost]]=0,0,Table15[[#This Row],[Approved Construction Cost]]-Table15[[#This Row],[Construction Cost to Bill From]])</f>
        <v>-6416.4600000000792</v>
      </c>
      <c r="AU1311" s="1525">
        <f>Table15[[#This Row],[Difference in Construction Cost]]*Table15[[#This Row],[Rate]]</f>
        <v>-577.48140000000706</v>
      </c>
      <c r="AV1311" s="1525">
        <v>0</v>
      </c>
      <c r="AW1311" s="1526" t="s">
        <v>8234</v>
      </c>
      <c r="AX1311" s="1525">
        <f>Table15[[#This Row],[Reconcile Amount]]</f>
        <v>-577.48140000000706</v>
      </c>
      <c r="AY1311" s="1518">
        <v>45901</v>
      </c>
      <c r="AZ1311" s="333"/>
      <c r="BA1311" s="939" t="s">
        <v>8235</v>
      </c>
      <c r="BB1311" s="942" t="s">
        <v>8236</v>
      </c>
      <c r="BC1311" s="915" t="s">
        <v>116</v>
      </c>
      <c r="BD1311" s="915" t="s">
        <v>709</v>
      </c>
      <c r="BE1311" s="915" t="s">
        <v>709</v>
      </c>
      <c r="BF1311" s="915" t="s">
        <v>709</v>
      </c>
      <c r="BG1311" s="943" t="s">
        <v>8237</v>
      </c>
      <c r="BH1311" s="1023" t="s">
        <v>8238</v>
      </c>
      <c r="BI1311" s="916" t="s">
        <v>709</v>
      </c>
      <c r="BJ1311" s="916" t="s">
        <v>709</v>
      </c>
      <c r="BK1311" s="916" t="s">
        <v>709</v>
      </c>
      <c r="BL1311" s="916">
        <v>1456</v>
      </c>
      <c r="BM1311" s="916" t="s">
        <v>709</v>
      </c>
      <c r="BN1311" s="916">
        <v>1456</v>
      </c>
      <c r="BO1311" s="916" t="s">
        <v>709</v>
      </c>
      <c r="BP1311" s="944" t="s">
        <v>709</v>
      </c>
      <c r="BQ1311" s="944" t="s">
        <v>709</v>
      </c>
      <c r="BR1311" s="929" t="s">
        <v>29</v>
      </c>
      <c r="BS1311" s="929" t="s">
        <v>709</v>
      </c>
      <c r="BT1311" s="916" t="s">
        <v>709</v>
      </c>
      <c r="BU1311" s="916" t="s">
        <v>709</v>
      </c>
      <c r="BV1311" s="916" t="s">
        <v>709</v>
      </c>
      <c r="BW1311" s="916" t="s">
        <v>709</v>
      </c>
      <c r="BX1311" s="916" t="s">
        <v>709</v>
      </c>
      <c r="BY1311" s="916" t="s">
        <v>709</v>
      </c>
      <c r="BZ1311" s="916" t="s">
        <v>709</v>
      </c>
      <c r="CA1311" s="917"/>
      <c r="CB1311" s="547">
        <v>1309</v>
      </c>
      <c r="CC1311" s="1481" t="b">
        <v>0</v>
      </c>
      <c r="CD1311" s="879" t="str">
        <f>Table15[[#This Row],[Engineering Number]]&amp;Table15[[#This Row],[WO Number]]&amp;Table15[[#This Row],[Date Assigned to Designer]]&amp;Table15[[#This Row],[Date Completed]]</f>
        <v>MR220314145064558745684</v>
      </c>
    </row>
    <row r="1312" spans="1:82" ht="15" customHeight="1" x14ac:dyDescent="0.25">
      <c r="A1312">
        <v>2024</v>
      </c>
      <c r="B1312" s="878" t="s">
        <v>769</v>
      </c>
      <c r="C1312" s="878" t="s">
        <v>6762</v>
      </c>
      <c r="D1312" s="878">
        <v>1014138</v>
      </c>
      <c r="E1312" s="878" t="s">
        <v>6861</v>
      </c>
      <c r="F1312" s="878" t="s">
        <v>6643</v>
      </c>
      <c r="G1312" s="878" t="s">
        <v>37</v>
      </c>
      <c r="H1312" s="878" t="s">
        <v>4462</v>
      </c>
      <c r="I1312" s="883">
        <v>45678</v>
      </c>
      <c r="J1312" s="918" t="s">
        <v>2052</v>
      </c>
      <c r="K1312" s="932">
        <v>45688</v>
      </c>
      <c r="L1312" s="919">
        <f>IF(ISTEXT(Table15[[#This Row],[Engineering Approved Design Date]]),Table15[[#This Row],[Date Completed]]-Table15[[#This Row],[Date Assigned to Designer]],Table15[[#This Row],[Engineering Approved Design Date]]-Table15[[#This Row],[Date Completed]])</f>
        <v>10</v>
      </c>
      <c r="M1312" s="883" t="s">
        <v>8239</v>
      </c>
      <c r="N1312" s="99" t="s">
        <v>120</v>
      </c>
      <c r="O1312" s="886">
        <v>45682</v>
      </c>
      <c r="P1312" s="1153" t="s">
        <v>120</v>
      </c>
      <c r="Q1312" s="1150" t="s">
        <v>115</v>
      </c>
      <c r="R1312" s="887" t="s">
        <v>115</v>
      </c>
      <c r="S1312" s="538" t="s">
        <v>29</v>
      </c>
      <c r="T1312" s="538" t="s">
        <v>29</v>
      </c>
      <c r="U1312" s="28" t="s">
        <v>29</v>
      </c>
      <c r="V1312" s="538" t="s">
        <v>29</v>
      </c>
      <c r="W1312" s="343" t="s">
        <v>29</v>
      </c>
      <c r="X1312" s="888" t="s">
        <v>29</v>
      </c>
      <c r="Y1312" s="888" t="s">
        <v>29</v>
      </c>
      <c r="Z1312" s="888" t="s">
        <v>29</v>
      </c>
      <c r="AA1312" s="888" t="s">
        <v>29</v>
      </c>
      <c r="AB1312" s="341" t="s">
        <v>29</v>
      </c>
      <c r="AC1312" s="569" t="s">
        <v>29</v>
      </c>
      <c r="AD1312" s="1149" t="s">
        <v>29</v>
      </c>
      <c r="AE1312" s="569" t="s">
        <v>29</v>
      </c>
      <c r="AF1312" s="569" t="s">
        <v>29</v>
      </c>
      <c r="AG1312" s="569" t="s">
        <v>29</v>
      </c>
      <c r="AH1312" s="897">
        <v>45735</v>
      </c>
      <c r="AI1312" s="1028" t="s">
        <v>29</v>
      </c>
      <c r="AJ1312" s="1029" t="s">
        <v>29</v>
      </c>
      <c r="AK1312" s="1029" t="s">
        <v>29</v>
      </c>
      <c r="AL1312" s="1030" t="s">
        <v>29</v>
      </c>
      <c r="AM1312" s="542" t="s">
        <v>709</v>
      </c>
      <c r="AN1312" s="924"/>
      <c r="AO1312" s="925"/>
      <c r="AP1312" s="926"/>
      <c r="AQ1312" s="926"/>
      <c r="AR1312" s="926"/>
      <c r="AS1312" s="926"/>
      <c r="AT1312" s="926"/>
      <c r="AU1312" s="926"/>
      <c r="AV1312" s="926"/>
      <c r="AW1312" s="927"/>
      <c r="AX1312" s="926"/>
      <c r="AY1312" s="1538" t="s">
        <v>29</v>
      </c>
      <c r="AZ1312" s="1530"/>
      <c r="BA1312" s="954"/>
      <c r="BB1312" s="930"/>
      <c r="BC1312" s="912"/>
      <c r="BD1312" s="913"/>
      <c r="BF1312" s="914"/>
      <c r="BG1312" s="943"/>
      <c r="BH1312" s="1023" t="s">
        <v>8240</v>
      </c>
      <c r="BI1312" s="1032"/>
      <c r="BJ1312" s="1032"/>
      <c r="BK1312" s="1032"/>
      <c r="BL1312" s="1032"/>
      <c r="BM1312" s="1032"/>
      <c r="BN1312" s="1032"/>
      <c r="BO1312" s="1032"/>
      <c r="BP1312" s="1032"/>
      <c r="BQ1312" s="1032"/>
      <c r="BR1312" s="1032"/>
      <c r="BS1312" s="1032"/>
      <c r="BT1312" s="1032"/>
      <c r="BU1312" s="1032"/>
      <c r="BV1312" s="1032"/>
      <c r="BW1312" s="1032"/>
      <c r="BX1312" s="1032"/>
      <c r="BY1312" s="1032"/>
      <c r="BZ1312" s="1032"/>
      <c r="CA1312" s="485"/>
      <c r="CB1312" s="547">
        <v>1310</v>
      </c>
      <c r="CC1312" s="1481" t="b">
        <v>0</v>
      </c>
      <c r="CD1312" s="879" t="str">
        <f>Table15[[#This Row],[Engineering Number]]&amp;Table15[[#This Row],[WO Number]]&amp;Table15[[#This Row],[Date Assigned to Designer]]&amp;Table15[[#This Row],[Date Completed]]</f>
        <v>RS123810141384567845688</v>
      </c>
    </row>
    <row r="1313" spans="1:82" ht="15" customHeight="1" x14ac:dyDescent="0.25">
      <c r="A1313">
        <v>2025</v>
      </c>
      <c r="B1313" s="878" t="s">
        <v>1981</v>
      </c>
      <c r="C1313" s="878" t="s">
        <v>8241</v>
      </c>
      <c r="D1313" s="878" t="s">
        <v>8242</v>
      </c>
      <c r="E1313" s="878" t="s">
        <v>232</v>
      </c>
      <c r="F1313" s="878" t="s">
        <v>7735</v>
      </c>
      <c r="G1313" s="878" t="s">
        <v>34</v>
      </c>
      <c r="H1313" s="878" t="s">
        <v>59</v>
      </c>
      <c r="I1313" s="883">
        <v>45612</v>
      </c>
      <c r="J1313" s="918">
        <v>45695</v>
      </c>
      <c r="K1313" s="945">
        <v>45692</v>
      </c>
      <c r="L1313" s="919">
        <f>IF(ISTEXT(Table15[[#This Row],[Engineering Approved Design Date]]),Table15[[#This Row],[Date Completed]]-Table15[[#This Row],[Date Assigned to Designer]],Table15[[#This Row],[Engineering Approved Design Date]]-Table15[[#This Row],[Date Completed]])</f>
        <v>3</v>
      </c>
      <c r="M1313" s="946"/>
      <c r="N1313" s="99" t="s">
        <v>120</v>
      </c>
      <c r="O1313" s="886">
        <v>45717</v>
      </c>
      <c r="P1313" s="1153" t="s">
        <v>739</v>
      </c>
      <c r="Q1313" s="1150">
        <f>Table15[[#This Row],[KH Hourly Effort]]+Table15[[#This Row],[Shactee Effort]]</f>
        <v>20527.98</v>
      </c>
      <c r="R1313" s="920" t="s">
        <v>1922</v>
      </c>
      <c r="S1313" s="888">
        <v>5770.48</v>
      </c>
      <c r="T1313" s="888">
        <v>0</v>
      </c>
      <c r="U1313" s="889">
        <v>14757.5</v>
      </c>
      <c r="V1313" s="890">
        <v>134</v>
      </c>
      <c r="W1313" s="1021">
        <v>3</v>
      </c>
      <c r="X1313" s="888">
        <v>384441.32</v>
      </c>
      <c r="Y1313" s="888"/>
      <c r="Z1313" s="888">
        <v>82990.789999999994</v>
      </c>
      <c r="AA1313" s="888">
        <f>SUM(Table15[[#This Row],[PCTS Investment Amount]:[PCTS Retirement Amount]])</f>
        <v>467432.11</v>
      </c>
      <c r="AB1313" s="893">
        <v>45707</v>
      </c>
      <c r="AC1313" s="896" t="s">
        <v>709</v>
      </c>
      <c r="AD1313" s="1155" t="s">
        <v>29</v>
      </c>
      <c r="AE1313" s="894" t="s">
        <v>756</v>
      </c>
      <c r="AF1313" s="896" t="s">
        <v>29</v>
      </c>
      <c r="AG1313" s="896" t="s">
        <v>376</v>
      </c>
      <c r="AH1313" s="902">
        <v>45756</v>
      </c>
      <c r="AI1313" s="947"/>
      <c r="AJ1313" s="948">
        <v>1353.58</v>
      </c>
      <c r="AK1313" s="948">
        <v>4417</v>
      </c>
      <c r="AL1313" s="901">
        <f>SUM(Table15[[#This Row],[Nicor Initiated DBE]:[Staffing]])/(Table15[[#This Row],[Amount Invoiced]])</f>
        <v>0.2811080291387657</v>
      </c>
      <c r="AM1313" s="542" t="s">
        <v>709</v>
      </c>
      <c r="AN1313" s="924"/>
      <c r="AO1313" s="925"/>
      <c r="AP1313" s="926"/>
      <c r="AQ1313" s="926"/>
      <c r="AR1313" s="926"/>
      <c r="AS1313" s="926"/>
      <c r="AT1313" s="926"/>
      <c r="AU1313" s="926"/>
      <c r="AV1313" s="926"/>
      <c r="AW1313" s="927"/>
      <c r="AX1313" s="926"/>
      <c r="AY1313" s="1538" t="s">
        <v>29</v>
      </c>
      <c r="AZ1313" s="1530"/>
      <c r="BA1313" s="910" t="s">
        <v>8243</v>
      </c>
      <c r="BB1313" s="949" t="s">
        <v>8244</v>
      </c>
      <c r="BC1313" s="915" t="s">
        <v>115</v>
      </c>
      <c r="BD1313" s="915" t="s">
        <v>709</v>
      </c>
      <c r="BE1313" s="915" t="s">
        <v>595</v>
      </c>
      <c r="BF1313" s="915" t="s">
        <v>709</v>
      </c>
      <c r="BG1313" s="915" t="s">
        <v>709</v>
      </c>
      <c r="BH1313" s="1023" t="s">
        <v>8245</v>
      </c>
      <c r="BI1313" s="929" t="s">
        <v>709</v>
      </c>
      <c r="BJ1313" s="929" t="s">
        <v>745</v>
      </c>
      <c r="BK1313" s="929" t="s">
        <v>745</v>
      </c>
      <c r="BL1313" s="916" t="s">
        <v>116</v>
      </c>
      <c r="BM1313" s="929" t="s">
        <v>745</v>
      </c>
      <c r="BN1313" s="929" t="s">
        <v>745</v>
      </c>
      <c r="BO1313" s="929" t="s">
        <v>745</v>
      </c>
      <c r="BP1313" s="929" t="s">
        <v>745</v>
      </c>
      <c r="BQ1313" s="929">
        <v>36</v>
      </c>
      <c r="BR1313" s="929">
        <v>61</v>
      </c>
      <c r="BS1313" s="916">
        <v>37</v>
      </c>
      <c r="BT1313" s="929" t="s">
        <v>745</v>
      </c>
      <c r="BU1313" s="929" t="s">
        <v>745</v>
      </c>
      <c r="BV1313" s="929" t="s">
        <v>745</v>
      </c>
      <c r="BW1313" s="929" t="s">
        <v>745</v>
      </c>
      <c r="BX1313" s="929" t="s">
        <v>745</v>
      </c>
      <c r="BY1313" s="929" t="s">
        <v>745</v>
      </c>
      <c r="BZ1313" s="916">
        <v>4</v>
      </c>
      <c r="CA1313" s="955" t="s">
        <v>8208</v>
      </c>
      <c r="CB1313" s="547">
        <v>1311</v>
      </c>
      <c r="CC1313" s="1481" t="b">
        <v>0</v>
      </c>
      <c r="CD1313" s="879" t="str">
        <f>Table15[[#This Row],[Engineering Number]]&amp;Table15[[#This Row],[WO Number]]&amp;Table15[[#This Row],[Date Assigned to Designer]]&amp;Table15[[#This Row],[Date Completed]]</f>
        <v>COR106314146474561245692</v>
      </c>
    </row>
    <row r="1314" spans="1:82" ht="15" customHeight="1" x14ac:dyDescent="0.25">
      <c r="A1314">
        <v>2025</v>
      </c>
      <c r="B1314" s="878" t="s">
        <v>4</v>
      </c>
      <c r="C1314" s="878" t="s">
        <v>372</v>
      </c>
      <c r="D1314" s="878" t="s">
        <v>1451</v>
      </c>
      <c r="E1314" s="878" t="s">
        <v>373</v>
      </c>
      <c r="F1314" s="878" t="s">
        <v>784</v>
      </c>
      <c r="G1314" s="878" t="s">
        <v>27</v>
      </c>
      <c r="H1314" s="878" t="s">
        <v>4045</v>
      </c>
      <c r="I1314" s="883">
        <v>45686</v>
      </c>
      <c r="J1314" s="882" t="s">
        <v>2958</v>
      </c>
      <c r="K1314" s="883">
        <v>45693</v>
      </c>
      <c r="L1314" s="919">
        <f>IF(ISTEXT(Table15[[#This Row],[Engineering Approved Design Date]]),Table15[[#This Row],[Date Completed]]-Table15[[#This Row],[Date Assigned to Designer]],Table15[[#This Row],[Engineering Approved Design Date]]-Table15[[#This Row],[Date Completed]])</f>
        <v>7</v>
      </c>
      <c r="M1314" s="883" t="s">
        <v>8246</v>
      </c>
      <c r="N1314" s="99" t="s">
        <v>120</v>
      </c>
      <c r="O1314" s="886">
        <v>45689</v>
      </c>
      <c r="P1314" s="958" t="s">
        <v>739</v>
      </c>
      <c r="Q1314" s="1150" t="s">
        <v>115</v>
      </c>
      <c r="R1314" s="920" t="s">
        <v>115</v>
      </c>
      <c r="S1314" s="888" t="s">
        <v>29</v>
      </c>
      <c r="T1314" s="888" t="s">
        <v>29</v>
      </c>
      <c r="U1314" s="934" t="s">
        <v>29</v>
      </c>
      <c r="V1314" s="890" t="s">
        <v>29</v>
      </c>
      <c r="W1314" s="1021" t="s">
        <v>29</v>
      </c>
      <c r="X1314" s="888" t="s">
        <v>29</v>
      </c>
      <c r="Y1314" s="935" t="s">
        <v>8247</v>
      </c>
      <c r="Z1314" s="888" t="s">
        <v>29</v>
      </c>
      <c r="AA1314" s="888" t="s">
        <v>29</v>
      </c>
      <c r="AB1314" s="958" t="s">
        <v>29</v>
      </c>
      <c r="AC1314" s="896" t="s">
        <v>29</v>
      </c>
      <c r="AD1314" s="1155" t="s">
        <v>29</v>
      </c>
      <c r="AE1314" s="894" t="s">
        <v>116</v>
      </c>
      <c r="AF1314" s="896" t="s">
        <v>29</v>
      </c>
      <c r="AG1314" s="896" t="s">
        <v>29</v>
      </c>
      <c r="AH1314" s="897">
        <v>45770</v>
      </c>
      <c r="AI1314" s="921" t="s">
        <v>29</v>
      </c>
      <c r="AJ1314" s="922" t="s">
        <v>29</v>
      </c>
      <c r="AK1314" s="922" t="s">
        <v>29</v>
      </c>
      <c r="AL1314" s="923" t="s">
        <v>29</v>
      </c>
      <c r="AM1314" s="542" t="s">
        <v>709</v>
      </c>
      <c r="AN1314" s="924"/>
      <c r="AO1314" s="925"/>
      <c r="AP1314" s="926"/>
      <c r="AQ1314" s="926"/>
      <c r="AR1314" s="926"/>
      <c r="AS1314" s="926"/>
      <c r="AT1314" s="926"/>
      <c r="AU1314" s="926"/>
      <c r="AV1314" s="926"/>
      <c r="AW1314" s="927"/>
      <c r="AX1314" s="926"/>
      <c r="AY1314" s="1538" t="s">
        <v>29</v>
      </c>
      <c r="AZ1314" s="1530"/>
      <c r="BA1314" s="954" t="s">
        <v>8248</v>
      </c>
      <c r="BB1314" s="928" t="s">
        <v>29</v>
      </c>
      <c r="BC1314" s="915" t="s">
        <v>116</v>
      </c>
      <c r="BD1314" s="915" t="s">
        <v>1448</v>
      </c>
      <c r="BE1314" s="915" t="s">
        <v>1449</v>
      </c>
      <c r="BF1314" s="915" t="s">
        <v>1450</v>
      </c>
      <c r="BG1314" s="915" t="s">
        <v>709</v>
      </c>
      <c r="BH1314" s="1175" t="s">
        <v>29</v>
      </c>
      <c r="BI1314" s="916" t="s">
        <v>709</v>
      </c>
      <c r="BJ1314" s="916" t="s">
        <v>116</v>
      </c>
      <c r="BK1314" s="916" t="s">
        <v>709</v>
      </c>
      <c r="BL1314" s="916" t="s">
        <v>709</v>
      </c>
      <c r="BM1314" s="916" t="s">
        <v>709</v>
      </c>
      <c r="BN1314" s="916" t="s">
        <v>709</v>
      </c>
      <c r="BO1314" s="916" t="s">
        <v>709</v>
      </c>
      <c r="BP1314" s="916" t="s">
        <v>709</v>
      </c>
      <c r="BQ1314" s="916" t="s">
        <v>709</v>
      </c>
      <c r="BR1314" s="916">
        <v>978</v>
      </c>
      <c r="BS1314" s="916">
        <v>9</v>
      </c>
      <c r="BT1314" s="916" t="s">
        <v>745</v>
      </c>
      <c r="BU1314" s="916" t="s">
        <v>709</v>
      </c>
      <c r="BV1314" s="916" t="s">
        <v>745</v>
      </c>
      <c r="BW1314" s="916" t="s">
        <v>709</v>
      </c>
      <c r="BX1314" s="916" t="s">
        <v>745</v>
      </c>
      <c r="BY1314" s="916" t="s">
        <v>745</v>
      </c>
      <c r="BZ1314" s="916" t="s">
        <v>709</v>
      </c>
      <c r="CA1314" s="917"/>
      <c r="CB1314" s="547">
        <v>1313</v>
      </c>
      <c r="CC1314" s="1481" t="b">
        <v>0</v>
      </c>
      <c r="CD1314" s="879" t="str">
        <f>Table15[[#This Row],[Engineering Number]]&amp;Table15[[#This Row],[WO Number]]&amp;Table15[[#This Row],[Date Assigned to Designer]]&amp;Table15[[#This Row],[Date Completed]]</f>
        <v>N1360612121324568645693</v>
      </c>
    </row>
    <row r="1315" spans="1:82" ht="15" customHeight="1" x14ac:dyDescent="0.25">
      <c r="A1315">
        <v>2025</v>
      </c>
      <c r="B1315" s="878" t="s">
        <v>4</v>
      </c>
      <c r="C1315" s="879" t="s">
        <v>8249</v>
      </c>
      <c r="D1315" s="880" t="s">
        <v>8250</v>
      </c>
      <c r="E1315" s="879" t="s">
        <v>245</v>
      </c>
      <c r="F1315" s="878" t="s">
        <v>784</v>
      </c>
      <c r="G1315" s="878" t="s">
        <v>6665</v>
      </c>
      <c r="H1315" s="878" t="s">
        <v>59</v>
      </c>
      <c r="I1315" s="881">
        <v>45580</v>
      </c>
      <c r="J1315" s="956">
        <v>45700</v>
      </c>
      <c r="K1315" s="883">
        <v>45693</v>
      </c>
      <c r="L1315" s="884">
        <f>IF(ISTEXT(Table15[[#This Row],[Engineering Approved Design Date]]),Table15[[#This Row],[Date Completed]]-Table15[[#This Row],[Date Assigned to Designer]],Table15[[#This Row],[Engineering Approved Design Date]]-Table15[[#This Row],[Date Completed]])</f>
        <v>7</v>
      </c>
      <c r="N1315" s="885" t="s">
        <v>120</v>
      </c>
      <c r="O1315" s="886">
        <v>45689</v>
      </c>
      <c r="P1315" s="1153" t="s">
        <v>739</v>
      </c>
      <c r="Q1315" s="1150">
        <f>Table15[[#This Row],[Rate]]*Table15[[#This Row],[Construction Cost to Bill From]]</f>
        <v>91210.913</v>
      </c>
      <c r="R1315" s="887">
        <v>0.1</v>
      </c>
      <c r="S1315" s="888" t="s">
        <v>29</v>
      </c>
      <c r="T1315" s="888" t="s">
        <v>29</v>
      </c>
      <c r="U1315" s="889" t="s">
        <v>29</v>
      </c>
      <c r="V1315" s="890">
        <v>1890</v>
      </c>
      <c r="W1315" s="1021">
        <v>0</v>
      </c>
      <c r="X1315" s="888">
        <v>666303.43999999994</v>
      </c>
      <c r="Y1315" s="935"/>
      <c r="Z1315" s="888">
        <v>245805.69</v>
      </c>
      <c r="AA1315" s="888">
        <f>SUM(Table15[[#This Row],[PCTS Investment Amount]:[PCTS Retirement Amount]])</f>
        <v>912109.12999999989</v>
      </c>
      <c r="AB1315" s="958">
        <v>45688</v>
      </c>
      <c r="AC1315" s="896" t="s">
        <v>709</v>
      </c>
      <c r="AD1315" s="1155" t="s">
        <v>29</v>
      </c>
      <c r="AE1315" s="894" t="s">
        <v>756</v>
      </c>
      <c r="AF1315" s="896" t="s">
        <v>29</v>
      </c>
      <c r="AG1315" s="897" t="s">
        <v>116</v>
      </c>
      <c r="AH1315" s="897">
        <v>45707</v>
      </c>
      <c r="AI1315" s="898">
        <v>0</v>
      </c>
      <c r="AJ1315" s="899">
        <v>6685</v>
      </c>
      <c r="AK1315" s="900">
        <v>8203.25</v>
      </c>
      <c r="AL1315" s="901">
        <f>SUM(Table15[[#This Row],[Nicor Initiated DBE]:[Staffing]])/(Table15[[#This Row],[Amount Invoiced]])</f>
        <v>0.16322882328784497</v>
      </c>
      <c r="AM1315" s="536" t="s">
        <v>116</v>
      </c>
      <c r="AN1315" s="903" t="s">
        <v>709</v>
      </c>
      <c r="AO1315" s="1536"/>
      <c r="AP1315" s="1537"/>
      <c r="AQ1315" s="1537"/>
      <c r="AR1315" s="1537"/>
      <c r="AS1315" s="888">
        <f>IF(Table15[[#This Row],[PCTS Approved]]="N",0,Table15[[#This Row],[Investment Amount (1'#'#'#'#'#)]]+Table15[[#This Row],[Retirement Amount (3'#'#'#'#'#)]])</f>
        <v>0</v>
      </c>
      <c r="AT1315" s="888">
        <f>IF(Table15[[#This Row],[Approved Construction Cost]]=0,0,Table15[[#This Row],[Approved Construction Cost]]-Table15[[#This Row],[Construction Cost to Bill From]])</f>
        <v>0</v>
      </c>
      <c r="AU1315" s="888">
        <f>IFERROR(Table15[[#This Row],[Difference in Construction Cost]]*Table15[[#This Row],[Rate]],Table15[[#This Row],[Difference in Construction Cost]]*0.085)</f>
        <v>0</v>
      </c>
      <c r="AV1315" s="905"/>
      <c r="AW1315" s="1509"/>
      <c r="AX1315" s="888"/>
      <c r="AY1315" s="636" t="s">
        <v>709</v>
      </c>
      <c r="AZ1315" s="333"/>
      <c r="BA1315" s="910" t="s">
        <v>8251</v>
      </c>
      <c r="BB1315" s="911" t="s">
        <v>8252</v>
      </c>
      <c r="BC1315" s="912" t="s">
        <v>709</v>
      </c>
      <c r="BD1315" s="913" t="s">
        <v>709</v>
      </c>
      <c r="BE1315" s="914" t="s">
        <v>1028</v>
      </c>
      <c r="BF1315" s="914" t="s">
        <v>709</v>
      </c>
      <c r="BG1315" s="915" t="s">
        <v>709</v>
      </c>
      <c r="BH1315" s="1023" t="s">
        <v>8253</v>
      </c>
      <c r="BI1315" s="929" t="s">
        <v>709</v>
      </c>
      <c r="BJ1315" s="929" t="s">
        <v>709</v>
      </c>
      <c r="BK1315" s="916" t="s">
        <v>116</v>
      </c>
      <c r="BL1315" s="916" t="s">
        <v>116</v>
      </c>
      <c r="BM1315" s="916" t="s">
        <v>709</v>
      </c>
      <c r="BN1315" s="916">
        <v>30</v>
      </c>
      <c r="BO1315" s="916" t="s">
        <v>709</v>
      </c>
      <c r="BP1315" s="916" t="s">
        <v>709</v>
      </c>
      <c r="BQ1315" s="916" t="s">
        <v>709</v>
      </c>
      <c r="BR1315" s="916">
        <v>1267</v>
      </c>
      <c r="BS1315" s="916">
        <v>593</v>
      </c>
      <c r="BT1315" s="916" t="s">
        <v>745</v>
      </c>
      <c r="BU1315" s="916" t="s">
        <v>709</v>
      </c>
      <c r="BV1315" s="916" t="s">
        <v>745</v>
      </c>
      <c r="BW1315" s="916" t="s">
        <v>709</v>
      </c>
      <c r="BX1315" s="916" t="s">
        <v>745</v>
      </c>
      <c r="BY1315" s="916" t="s">
        <v>745</v>
      </c>
      <c r="BZ1315" s="916" t="s">
        <v>709</v>
      </c>
      <c r="CA1315" s="917"/>
      <c r="CB1315" s="547">
        <v>1312</v>
      </c>
      <c r="CC1315" s="1481" t="b">
        <v>0</v>
      </c>
      <c r="CD1315" s="879" t="str">
        <f>Table15[[#This Row],[Engineering Number]]&amp;Table15[[#This Row],[WO Number]]&amp;Table15[[#This Row],[Date Assigned to Designer]]&amp;Table15[[#This Row],[Date Completed]]</f>
        <v>N1429812146634558045693</v>
      </c>
    </row>
    <row r="1316" spans="1:82" ht="15" customHeight="1" x14ac:dyDescent="0.25">
      <c r="A1316">
        <v>2025</v>
      </c>
      <c r="B1316" s="878" t="s">
        <v>4</v>
      </c>
      <c r="C1316" s="879" t="s">
        <v>8070</v>
      </c>
      <c r="D1316" s="880" t="s">
        <v>8254</v>
      </c>
      <c r="E1316" s="879" t="s">
        <v>8086</v>
      </c>
      <c r="F1316" s="878" t="s">
        <v>784</v>
      </c>
      <c r="G1316" s="878" t="s">
        <v>27</v>
      </c>
      <c r="H1316" s="878" t="s">
        <v>413</v>
      </c>
      <c r="I1316" s="881">
        <v>45607</v>
      </c>
      <c r="J1316" s="956">
        <v>45698</v>
      </c>
      <c r="K1316" s="883">
        <v>45698</v>
      </c>
      <c r="L1316" s="884">
        <f>IF(ISTEXT(Table15[[#This Row],[Engineering Approved Design Date]]),Table15[[#This Row],[Date Completed]]-Table15[[#This Row],[Date Assigned to Designer]],Table15[[#This Row],[Engineering Approved Design Date]]-Table15[[#This Row],[Date Completed]])</f>
        <v>0</v>
      </c>
      <c r="N1316" s="885" t="s">
        <v>120</v>
      </c>
      <c r="O1316" s="886">
        <v>45689</v>
      </c>
      <c r="P1316" s="1153" t="s">
        <v>739</v>
      </c>
      <c r="Q1316" s="1150">
        <f>Table15[[#This Row],[Rate]]*Table15[[#This Row],[Construction Cost to Bill From]]</f>
        <v>68523.030000000013</v>
      </c>
      <c r="R1316" s="887">
        <v>0.1</v>
      </c>
      <c r="S1316" s="888" t="s">
        <v>29</v>
      </c>
      <c r="T1316" s="888" t="s">
        <v>29</v>
      </c>
      <c r="U1316" s="889" t="s">
        <v>29</v>
      </c>
      <c r="V1316" s="890">
        <f>116+159+70+20+230</f>
        <v>595</v>
      </c>
      <c r="W1316" s="1021">
        <v>2</v>
      </c>
      <c r="X1316" s="888">
        <v>598037.01</v>
      </c>
      <c r="Y1316" s="891"/>
      <c r="Z1316" s="888">
        <v>87193.29</v>
      </c>
      <c r="AA1316" s="892">
        <f>SUM(Table15[[#This Row],[PCTS Investment Amount]:[PCTS Retirement Amount]])</f>
        <v>685230.3</v>
      </c>
      <c r="AB1316" s="893">
        <v>45694</v>
      </c>
      <c r="AC1316" s="894" t="s">
        <v>116</v>
      </c>
      <c r="AD1316" s="1160" t="s">
        <v>29</v>
      </c>
      <c r="AE1316" s="895" t="s">
        <v>756</v>
      </c>
      <c r="AF1316" s="895" t="s">
        <v>756</v>
      </c>
      <c r="AG1316" s="897" t="s">
        <v>116</v>
      </c>
      <c r="AH1316" s="897">
        <v>45707</v>
      </c>
      <c r="AI1316" s="898">
        <v>0</v>
      </c>
      <c r="AJ1316" s="899">
        <v>8388.44</v>
      </c>
      <c r="AK1316" s="960">
        <v>9233.25</v>
      </c>
      <c r="AL1316" s="901">
        <f>SUM(Table15[[#This Row],[Nicor Initiated DBE]:[Staffing]])/(Table15[[#This Row],[Amount Invoiced]])</f>
        <v>0.25716448907761374</v>
      </c>
      <c r="AM1316" s="1522" t="s">
        <v>116</v>
      </c>
      <c r="AN1316" s="1523">
        <v>45708</v>
      </c>
      <c r="AO1316" s="1524">
        <v>11098564</v>
      </c>
      <c r="AP1316" s="1525">
        <v>598037.01</v>
      </c>
      <c r="AQ1316" s="1525"/>
      <c r="AR1316" s="1525">
        <v>87193.29</v>
      </c>
      <c r="AS1316" s="1525">
        <f>IF(Table15[[#This Row],[PCTS Approved]]="N",0,Table15[[#This Row],[Investment Amount (1'#'#'#'#'#)]]+Table15[[#This Row],[Retirement Amount (3'#'#'#'#'#)]])</f>
        <v>685230.3</v>
      </c>
      <c r="AT1316" s="1525">
        <f>IF(Table15[[#This Row],[Approved Construction Cost]]=0,0,Table15[[#This Row],[Approved Construction Cost]]-Table15[[#This Row],[Construction Cost to Bill From]])</f>
        <v>0</v>
      </c>
      <c r="AU1316" s="1525">
        <f>Table15[[#This Row],[Difference in Construction Cost]]*Table15[[#This Row],[Rate]]</f>
        <v>0</v>
      </c>
      <c r="AV1316" s="1525">
        <v>0</v>
      </c>
      <c r="AW1316" s="1526" t="s">
        <v>29</v>
      </c>
      <c r="AX1316" s="1525">
        <f>Table15[[#This Row],[Reconcile Amount]]</f>
        <v>0</v>
      </c>
      <c r="AY1316" s="1518">
        <v>45901</v>
      </c>
      <c r="AZ1316" s="333"/>
      <c r="BA1316" s="910" t="s">
        <v>8255</v>
      </c>
      <c r="BB1316" s="911" t="s">
        <v>8256</v>
      </c>
      <c r="BC1316" s="912" t="s">
        <v>709</v>
      </c>
      <c r="BD1316" s="913" t="s">
        <v>709</v>
      </c>
      <c r="BE1316" s="914" t="s">
        <v>8071</v>
      </c>
      <c r="BF1316" s="914" t="s">
        <v>709</v>
      </c>
      <c r="BG1316" s="915" t="s">
        <v>8257</v>
      </c>
      <c r="BH1316" s="1023" t="s">
        <v>8258</v>
      </c>
      <c r="BI1316" s="929" t="s">
        <v>709</v>
      </c>
      <c r="BJ1316" s="929" t="s">
        <v>709</v>
      </c>
      <c r="BK1316" s="916" t="s">
        <v>709</v>
      </c>
      <c r="BL1316" s="916" t="s">
        <v>709</v>
      </c>
      <c r="BM1316" s="916" t="s">
        <v>709</v>
      </c>
      <c r="BN1316" s="916" t="s">
        <v>709</v>
      </c>
      <c r="BO1316" s="916" t="s">
        <v>709</v>
      </c>
      <c r="BP1316" s="916">
        <f>230+20</f>
        <v>250</v>
      </c>
      <c r="BQ1316" s="916">
        <v>70</v>
      </c>
      <c r="BR1316" s="916">
        <v>159</v>
      </c>
      <c r="BS1316" s="916">
        <v>116</v>
      </c>
      <c r="BT1316" s="916" t="s">
        <v>709</v>
      </c>
      <c r="BU1316" s="916" t="s">
        <v>709</v>
      </c>
      <c r="BV1316" s="916" t="s">
        <v>709</v>
      </c>
      <c r="BW1316" s="916" t="s">
        <v>709</v>
      </c>
      <c r="BX1316" s="916">
        <v>0</v>
      </c>
      <c r="BY1316" s="916" t="s">
        <v>709</v>
      </c>
      <c r="BZ1316" s="916" t="s">
        <v>709</v>
      </c>
      <c r="CA1316" s="917" t="s">
        <v>3331</v>
      </c>
      <c r="CB1316" s="547">
        <v>1314</v>
      </c>
      <c r="CC1316" s="1481" t="b">
        <v>0</v>
      </c>
      <c r="CD1316" s="879" t="str">
        <f>Table15[[#This Row],[Engineering Number]]&amp;Table15[[#This Row],[WO Number]]&amp;Table15[[#This Row],[Date Assigned to Designer]]&amp;Table15[[#This Row],[Date Completed]]</f>
        <v>N1708112146494560745698</v>
      </c>
    </row>
    <row r="1317" spans="1:82" ht="15" customHeight="1" x14ac:dyDescent="0.25">
      <c r="A1317">
        <v>2025</v>
      </c>
      <c r="B1317" s="878" t="s">
        <v>6798</v>
      </c>
      <c r="C1317" s="878">
        <v>4301173</v>
      </c>
      <c r="D1317" s="878" t="s">
        <v>8259</v>
      </c>
      <c r="E1317" s="878" t="s">
        <v>8260</v>
      </c>
      <c r="F1317" s="878" t="s">
        <v>6643</v>
      </c>
      <c r="G1317" s="878" t="s">
        <v>34</v>
      </c>
      <c r="H1317" s="931" t="s">
        <v>2127</v>
      </c>
      <c r="I1317" s="883">
        <v>45665</v>
      </c>
      <c r="J1317" s="882">
        <v>45777</v>
      </c>
      <c r="K1317" s="883">
        <v>45698</v>
      </c>
      <c r="L1317" s="919">
        <f>IF(ISTEXT(Table15[[#This Row],[Engineering Approved Design Date]]),Table15[[#This Row],[Date Completed]]-Table15[[#This Row],[Date Assigned to Designer]],Table15[[#This Row],[Engineering Approved Design Date]]-Table15[[#This Row],[Date Completed]])</f>
        <v>79</v>
      </c>
      <c r="M1317" s="883" t="s">
        <v>8168</v>
      </c>
      <c r="N1317" s="99" t="s">
        <v>120</v>
      </c>
      <c r="O1317" s="886">
        <v>45717</v>
      </c>
      <c r="P1317" s="1153" t="s">
        <v>739</v>
      </c>
      <c r="Q1317" s="1150">
        <f>Table15[[#This Row],[Shactee Effort]]+Table15[[#This Row],[3rd Party Effort]]+Table15[[#This Row],[KH Hourly Effort]]</f>
        <v>1355</v>
      </c>
      <c r="R1317" s="933" t="s">
        <v>1922</v>
      </c>
      <c r="S1317" s="888">
        <v>0</v>
      </c>
      <c r="T1317" s="888">
        <v>0</v>
      </c>
      <c r="U1317" s="934">
        <v>1355</v>
      </c>
      <c r="V1317" s="890" t="s">
        <v>29</v>
      </c>
      <c r="W1317" s="1021" t="s">
        <v>29</v>
      </c>
      <c r="X1317" s="892" t="s">
        <v>29</v>
      </c>
      <c r="Y1317" s="935" t="s">
        <v>8247</v>
      </c>
      <c r="Z1317" s="892" t="s">
        <v>29</v>
      </c>
      <c r="AA1317" s="888" t="s">
        <v>29</v>
      </c>
      <c r="AB1317" s="893" t="s">
        <v>29</v>
      </c>
      <c r="AC1317" s="894" t="s">
        <v>29</v>
      </c>
      <c r="AD1317" s="1162" t="s">
        <v>29</v>
      </c>
      <c r="AE1317" s="940" t="s">
        <v>29</v>
      </c>
      <c r="AF1317" s="940" t="s">
        <v>29</v>
      </c>
      <c r="AG1317" s="897" t="s">
        <v>29</v>
      </c>
      <c r="AH1317" s="940" t="s">
        <v>29</v>
      </c>
      <c r="AI1317" s="947">
        <v>0</v>
      </c>
      <c r="AJ1317" s="948">
        <v>0</v>
      </c>
      <c r="AK1317" s="948">
        <v>0</v>
      </c>
      <c r="AL1317" s="901">
        <f>SUM(Table15[[#This Row],[Nicor Initiated DBE]:[Staffing]])/(Table15[[#This Row],[Amount Invoiced]])</f>
        <v>0</v>
      </c>
      <c r="AM1317" s="542" t="s">
        <v>709</v>
      </c>
      <c r="AN1317" s="924"/>
      <c r="AO1317" s="925"/>
      <c r="AP1317" s="926"/>
      <c r="AQ1317" s="926"/>
      <c r="AR1317" s="926"/>
      <c r="AS1317" s="926"/>
      <c r="AT1317" s="926"/>
      <c r="AU1317" s="926"/>
      <c r="AV1317" s="926"/>
      <c r="AW1317" s="927"/>
      <c r="AX1317" s="926"/>
      <c r="AY1317" s="1538" t="s">
        <v>29</v>
      </c>
      <c r="AZ1317" s="1530"/>
      <c r="BA1317" s="910" t="s">
        <v>29</v>
      </c>
      <c r="BB1317" s="928" t="s">
        <v>29</v>
      </c>
      <c r="BC1317" s="950" t="s">
        <v>29</v>
      </c>
      <c r="BD1317" s="951" t="s">
        <v>29</v>
      </c>
      <c r="BE1317" s="952" t="s">
        <v>29</v>
      </c>
      <c r="BF1317" s="952" t="s">
        <v>29</v>
      </c>
      <c r="BG1317" s="953" t="s">
        <v>29</v>
      </c>
      <c r="BH1317" s="1175" t="s">
        <v>8261</v>
      </c>
      <c r="BI1317" s="937"/>
      <c r="BJ1317" s="937"/>
      <c r="BK1317" s="937"/>
      <c r="BL1317" s="937"/>
      <c r="BM1317" s="937"/>
      <c r="BN1317" s="937"/>
      <c r="BO1317" s="937"/>
      <c r="BP1317" s="937"/>
      <c r="BQ1317" s="937"/>
      <c r="BR1317" s="937"/>
      <c r="BS1317" s="937"/>
      <c r="BT1317" s="937"/>
      <c r="BU1317" s="937"/>
      <c r="BV1317" s="937"/>
      <c r="BW1317" s="937"/>
      <c r="BX1317" s="937"/>
      <c r="BY1317" s="937"/>
      <c r="BZ1317" s="937"/>
      <c r="CA1317" s="967"/>
      <c r="CB1317" s="547">
        <v>1315</v>
      </c>
      <c r="CC1317" s="1481" t="b">
        <v>0</v>
      </c>
      <c r="CD1317" s="879" t="str">
        <f>Table15[[#This Row],[Engineering Number]]&amp;Table15[[#This Row],[WO Number]]&amp;Table15[[#This Row],[Date Assigned to Designer]]&amp;Table15[[#This Row],[Date Completed]]</f>
        <v>430117310149024566545698</v>
      </c>
    </row>
    <row r="1318" spans="1:82" ht="15" customHeight="1" x14ac:dyDescent="0.25">
      <c r="A1318">
        <v>2025</v>
      </c>
      <c r="B1318" s="878" t="s">
        <v>1205</v>
      </c>
      <c r="C1318" s="879" t="s">
        <v>8050</v>
      </c>
      <c r="D1318" s="880" t="s">
        <v>8262</v>
      </c>
      <c r="E1318" s="879" t="s">
        <v>8263</v>
      </c>
      <c r="F1318" s="878" t="s">
        <v>784</v>
      </c>
      <c r="G1318" s="878" t="s">
        <v>8264</v>
      </c>
      <c r="H1318" s="878" t="s">
        <v>59</v>
      </c>
      <c r="I1318" s="881">
        <v>45587</v>
      </c>
      <c r="J1318" s="882">
        <v>45702</v>
      </c>
      <c r="K1318" s="883">
        <v>45700</v>
      </c>
      <c r="L1318" s="884">
        <f>IF(ISTEXT(Table15[[#This Row],[Engineering Approved Design Date]]),Table15[[#This Row],[Date Completed]]-Table15[[#This Row],[Date Assigned to Designer]],Table15[[#This Row],[Engineering Approved Design Date]]-Table15[[#This Row],[Date Completed]])</f>
        <v>2</v>
      </c>
      <c r="N1318" s="99" t="s">
        <v>120</v>
      </c>
      <c r="O1318" s="886">
        <v>45689</v>
      </c>
      <c r="P1318" s="1153" t="s">
        <v>739</v>
      </c>
      <c r="Q1318" s="1150">
        <f>Table15[[#This Row],[Rate]]*Table15[[#This Row],[Construction Cost to Bill From]]</f>
        <v>53833.791599999997</v>
      </c>
      <c r="R1318" s="887">
        <v>0.09</v>
      </c>
      <c r="S1318" s="888" t="s">
        <v>29</v>
      </c>
      <c r="T1318" s="888" t="s">
        <v>29</v>
      </c>
      <c r="U1318" s="889" t="s">
        <v>29</v>
      </c>
      <c r="V1318" s="890">
        <v>925</v>
      </c>
      <c r="W1318" s="1021">
        <v>0</v>
      </c>
      <c r="X1318" s="888">
        <v>524566.69999999995</v>
      </c>
      <c r="Y1318" s="891"/>
      <c r="Z1318" s="888">
        <v>73586.539999999994</v>
      </c>
      <c r="AA1318" s="892">
        <f>SUM(Table15[[#This Row],[PCTS Investment Amount]:[PCTS Retirement Amount]])</f>
        <v>598153.24</v>
      </c>
      <c r="AB1318" s="893">
        <v>45705</v>
      </c>
      <c r="AC1318" s="894" t="s">
        <v>116</v>
      </c>
      <c r="AD1318" s="1160" t="s">
        <v>29</v>
      </c>
      <c r="AE1318" s="895" t="s">
        <v>29</v>
      </c>
      <c r="AF1318" s="895" t="s">
        <v>29</v>
      </c>
      <c r="AG1318" s="896" t="s">
        <v>116</v>
      </c>
      <c r="AH1318" s="897">
        <v>45707</v>
      </c>
      <c r="AI1318" s="898">
        <v>12600</v>
      </c>
      <c r="AJ1318" s="899">
        <v>0</v>
      </c>
      <c r="AK1318" s="948">
        <v>2355.79</v>
      </c>
      <c r="AL1318" s="901">
        <f>SUM(Table15[[#This Row],[Nicor Initiated DBE]:[Staffing]])/(Table15[[#This Row],[Amount Invoiced]])</f>
        <v>0.27781416756088201</v>
      </c>
      <c r="AM1318" s="536" t="s">
        <v>116</v>
      </c>
      <c r="AN1318" s="903" t="s">
        <v>709</v>
      </c>
      <c r="AO1318" s="1536"/>
      <c r="AP1318" s="1537"/>
      <c r="AQ1318" s="1537"/>
      <c r="AR1318" s="1537"/>
      <c r="AS1318" s="888">
        <f>IF(Table15[[#This Row],[PCTS Approved]]="N",0,Table15[[#This Row],[Investment Amount (1'#'#'#'#'#)]]+Table15[[#This Row],[Retirement Amount (3'#'#'#'#'#)]])</f>
        <v>0</v>
      </c>
      <c r="AT1318" s="888">
        <f>IF(Table15[[#This Row],[Approved Construction Cost]]=0,0,Table15[[#This Row],[Approved Construction Cost]]-Table15[[#This Row],[Construction Cost to Bill From]])</f>
        <v>0</v>
      </c>
      <c r="AU1318" s="888">
        <f>IFERROR(Table15[[#This Row],[Difference in Construction Cost]]*Table15[[#This Row],[Rate]],Table15[[#This Row],[Difference in Construction Cost]]*0.085)</f>
        <v>0</v>
      </c>
      <c r="AV1318" s="905"/>
      <c r="AW1318" s="1509"/>
      <c r="AX1318" s="888"/>
      <c r="AY1318" s="636" t="s">
        <v>709</v>
      </c>
      <c r="AZ1318" s="1532"/>
      <c r="BA1318" s="910" t="s">
        <v>8265</v>
      </c>
      <c r="BB1318" s="911" t="s">
        <v>8266</v>
      </c>
      <c r="BC1318" s="912" t="s">
        <v>709</v>
      </c>
      <c r="BD1318" s="913" t="s">
        <v>1140</v>
      </c>
      <c r="BE1318" s="914" t="s">
        <v>8267</v>
      </c>
      <c r="BF1318" s="914" t="s">
        <v>1859</v>
      </c>
      <c r="BG1318" s="915" t="s">
        <v>29</v>
      </c>
      <c r="BH1318" s="1023" t="s">
        <v>8268</v>
      </c>
      <c r="BI1318" s="929" t="s">
        <v>709</v>
      </c>
      <c r="BJ1318" s="929" t="s">
        <v>709</v>
      </c>
      <c r="BK1318" s="916" t="s">
        <v>116</v>
      </c>
      <c r="BL1318" s="916" t="s">
        <v>709</v>
      </c>
      <c r="BM1318" s="916">
        <v>0</v>
      </c>
      <c r="BN1318" s="916">
        <v>0</v>
      </c>
      <c r="BO1318" s="916">
        <v>0</v>
      </c>
      <c r="BP1318" s="916">
        <v>925</v>
      </c>
      <c r="BQ1318" s="916">
        <v>0</v>
      </c>
      <c r="BR1318" s="916">
        <v>0</v>
      </c>
      <c r="BS1318" s="916">
        <v>0</v>
      </c>
      <c r="BT1318" s="916">
        <v>0</v>
      </c>
      <c r="BU1318" s="916">
        <v>0</v>
      </c>
      <c r="BV1318" s="916">
        <v>0</v>
      </c>
      <c r="BW1318" s="916">
        <v>0</v>
      </c>
      <c r="BX1318" s="916">
        <v>0</v>
      </c>
      <c r="BY1318" s="916">
        <v>0</v>
      </c>
      <c r="BZ1318" s="916" t="s">
        <v>709</v>
      </c>
      <c r="CA1318" s="962" t="s">
        <v>8269</v>
      </c>
      <c r="CB1318" s="547">
        <v>1316</v>
      </c>
      <c r="CC1318" s="1481" t="b">
        <v>0</v>
      </c>
      <c r="CD1318" s="879" t="str">
        <f>Table15[[#This Row],[Engineering Number]]&amp;Table15[[#This Row],[WO Number]]&amp;Table15[[#This Row],[Date Assigned to Designer]]&amp;Table15[[#This Row],[Date Completed]]</f>
        <v>MR219712145254558745700</v>
      </c>
    </row>
    <row r="1319" spans="1:82" ht="15" customHeight="1" x14ac:dyDescent="0.25">
      <c r="A1319">
        <v>2025</v>
      </c>
      <c r="B1319" s="879" t="s">
        <v>759</v>
      </c>
      <c r="C1319" s="879" t="s">
        <v>8270</v>
      </c>
      <c r="D1319" s="8" t="s">
        <v>115</v>
      </c>
      <c r="E1319" s="879" t="s">
        <v>29</v>
      </c>
      <c r="F1319" s="879" t="s">
        <v>6643</v>
      </c>
      <c r="G1319" s="879" t="s">
        <v>37</v>
      </c>
      <c r="H1319" s="878" t="s">
        <v>4110</v>
      </c>
      <c r="I1319" s="883">
        <v>45587</v>
      </c>
      <c r="J1319" s="963" t="s">
        <v>4110</v>
      </c>
      <c r="K1319" s="883">
        <v>45703</v>
      </c>
      <c r="L1319" s="884">
        <f>IF(ISTEXT(Table15[[#This Row],[Engineering Approved Design Date]]),Table15[[#This Row],[Date Completed]]-Table15[[#This Row],[Date Assigned to Designer]],Table15[[#This Row],[Engineering Approved Design Date]]-Table15[[#This Row],[Date Completed]])</f>
        <v>116</v>
      </c>
      <c r="N1319" s="99" t="s">
        <v>120</v>
      </c>
      <c r="O1319" s="886">
        <v>45689</v>
      </c>
      <c r="P1319" s="1153" t="s">
        <v>739</v>
      </c>
      <c r="Q1319" s="1303">
        <f>Table15[[#This Row],[KH Hourly Effort]]</f>
        <v>55840</v>
      </c>
      <c r="R1319" s="920" t="s">
        <v>1922</v>
      </c>
      <c r="U1319" s="889">
        <v>55840</v>
      </c>
      <c r="V1319" s="888" t="s">
        <v>29</v>
      </c>
      <c r="W1319" s="995" t="s">
        <v>29</v>
      </c>
      <c r="X1319" s="888" t="s">
        <v>29</v>
      </c>
      <c r="Y1319" s="888" t="s">
        <v>29</v>
      </c>
      <c r="Z1319" s="888" t="s">
        <v>29</v>
      </c>
      <c r="AA1319" s="888" t="s">
        <v>29</v>
      </c>
      <c r="AB1319" s="893" t="s">
        <v>29</v>
      </c>
      <c r="AC1319" s="896" t="s">
        <v>29</v>
      </c>
      <c r="AD1319" s="1155" t="s">
        <v>29</v>
      </c>
      <c r="AE1319" s="894" t="s">
        <v>756</v>
      </c>
      <c r="AF1319" s="896" t="s">
        <v>756</v>
      </c>
      <c r="AG1319" s="896" t="s">
        <v>29</v>
      </c>
      <c r="AH1319" s="897" t="s">
        <v>376</v>
      </c>
      <c r="AI1319" s="921" t="s">
        <v>29</v>
      </c>
      <c r="AJ1319" s="922" t="s">
        <v>29</v>
      </c>
      <c r="AK1319" s="948">
        <v>0</v>
      </c>
      <c r="AL1319" s="923" t="s">
        <v>29</v>
      </c>
      <c r="AM1319" s="542" t="s">
        <v>709</v>
      </c>
      <c r="AN1319" s="924"/>
      <c r="AO1319" s="925"/>
      <c r="AP1319" s="926"/>
      <c r="AQ1319" s="926"/>
      <c r="AR1319" s="926"/>
      <c r="AS1319" s="926"/>
      <c r="AT1319" s="926"/>
      <c r="AU1319" s="926"/>
      <c r="AV1319" s="926"/>
      <c r="AW1319" s="927"/>
      <c r="AX1319" s="926"/>
      <c r="AY1319" s="1538" t="s">
        <v>29</v>
      </c>
      <c r="AZ1319" s="1530"/>
      <c r="BA1319" s="910" t="s">
        <v>29</v>
      </c>
      <c r="BB1319" s="911"/>
      <c r="BC1319" s="912" t="s">
        <v>29</v>
      </c>
      <c r="BD1319" s="913" t="s">
        <v>29</v>
      </c>
      <c r="BE1319" s="914" t="s">
        <v>29</v>
      </c>
      <c r="BF1319" s="914" t="s">
        <v>29</v>
      </c>
      <c r="BG1319" s="915" t="s">
        <v>29</v>
      </c>
      <c r="BH1319" s="1023" t="s">
        <v>7824</v>
      </c>
      <c r="BI1319" s="916" t="s">
        <v>709</v>
      </c>
      <c r="BJ1319" s="916" t="s">
        <v>709</v>
      </c>
      <c r="BK1319" s="916" t="s">
        <v>709</v>
      </c>
      <c r="BL1319" s="916" t="s">
        <v>709</v>
      </c>
      <c r="BM1319" s="916" t="s">
        <v>709</v>
      </c>
      <c r="BN1319" s="916" t="s">
        <v>709</v>
      </c>
      <c r="BO1319" s="916" t="s">
        <v>709</v>
      </c>
      <c r="BP1319" s="916" t="s">
        <v>709</v>
      </c>
      <c r="BQ1319" s="916" t="s">
        <v>709</v>
      </c>
      <c r="BR1319" s="916" t="s">
        <v>709</v>
      </c>
      <c r="BS1319" s="916" t="s">
        <v>709</v>
      </c>
      <c r="BT1319" s="916" t="s">
        <v>709</v>
      </c>
      <c r="BU1319" s="916" t="s">
        <v>709</v>
      </c>
      <c r="BV1319" s="916" t="s">
        <v>709</v>
      </c>
      <c r="BW1319" s="916" t="s">
        <v>709</v>
      </c>
      <c r="BX1319" s="916" t="s">
        <v>709</v>
      </c>
      <c r="BY1319" s="916" t="s">
        <v>709</v>
      </c>
      <c r="BZ1319" s="916" t="s">
        <v>709</v>
      </c>
      <c r="CA1319" s="917" t="s">
        <v>8271</v>
      </c>
      <c r="CB1319" s="547">
        <v>1317</v>
      </c>
      <c r="CC1319" s="1481" t="b">
        <v>0</v>
      </c>
      <c r="CD1319" s="879" t="str">
        <f>Table15[[#This Row],[Engineering Number]]&amp;Table15[[#This Row],[WO Number]]&amp;Table15[[#This Row],[Date Assigned to Designer]]&amp;Table15[[#This Row],[Date Completed]]</f>
        <v>VLT Template Updates-4558745703</v>
      </c>
    </row>
    <row r="1320" spans="1:82" ht="15" customHeight="1" x14ac:dyDescent="0.25">
      <c r="A1320">
        <v>2024</v>
      </c>
      <c r="B1320" s="879" t="s">
        <v>4</v>
      </c>
      <c r="C1320" s="879" t="s">
        <v>7831</v>
      </c>
      <c r="D1320" s="939">
        <v>1214809</v>
      </c>
      <c r="E1320" s="965" t="s">
        <v>393</v>
      </c>
      <c r="F1320" s="879" t="s">
        <v>784</v>
      </c>
      <c r="G1320" s="879" t="s">
        <v>27</v>
      </c>
      <c r="H1320" s="878" t="s">
        <v>2724</v>
      </c>
      <c r="I1320" s="883">
        <v>45673</v>
      </c>
      <c r="J1320" s="918" t="s">
        <v>3662</v>
      </c>
      <c r="K1320" s="945">
        <v>45705</v>
      </c>
      <c r="L1320" s="884">
        <f>IF(ISTEXT(Table15[[#This Row],[Engineering Approved Design Date]]),Table15[[#This Row],[Date Completed]]-Table15[[#This Row],[Date Assigned to Designer]],Table15[[#This Row],[Engineering Approved Design Date]]-Table15[[#This Row],[Date Completed]])</f>
        <v>32</v>
      </c>
      <c r="M1320" s="965" t="s">
        <v>8272</v>
      </c>
      <c r="N1320" s="885" t="s">
        <v>120</v>
      </c>
      <c r="O1320" s="886">
        <v>45717</v>
      </c>
      <c r="P1320" s="1153" t="s">
        <v>739</v>
      </c>
      <c r="Q1320" s="1150">
        <f>SUM(Table15[[#This Row],[Shactee Effort]:[KH Hourly Effort]])</f>
        <v>43046.18</v>
      </c>
      <c r="R1320" s="933" t="s">
        <v>1922</v>
      </c>
      <c r="S1320" s="888">
        <v>3761.18</v>
      </c>
      <c r="T1320" s="888" t="s">
        <v>29</v>
      </c>
      <c r="U1320" s="889">
        <v>39285</v>
      </c>
      <c r="V1320" s="888" t="s">
        <v>29</v>
      </c>
      <c r="W1320" s="995" t="s">
        <v>29</v>
      </c>
      <c r="X1320" s="888" t="s">
        <v>29</v>
      </c>
      <c r="Y1320" s="888" t="s">
        <v>709</v>
      </c>
      <c r="Z1320" s="888" t="s">
        <v>29</v>
      </c>
      <c r="AA1320" s="888" t="s">
        <v>29</v>
      </c>
      <c r="AB1320" s="893" t="s">
        <v>29</v>
      </c>
      <c r="AC1320" s="896" t="s">
        <v>29</v>
      </c>
      <c r="AD1320" s="1155" t="s">
        <v>29</v>
      </c>
      <c r="AE1320" s="894" t="s">
        <v>756</v>
      </c>
      <c r="AF1320" s="895" t="s">
        <v>756</v>
      </c>
      <c r="AG1320" s="896" t="s">
        <v>29</v>
      </c>
      <c r="AH1320" s="897">
        <v>45770</v>
      </c>
      <c r="AI1320" s="921" t="s">
        <v>29</v>
      </c>
      <c r="AJ1320" s="922" t="s">
        <v>29</v>
      </c>
      <c r="AK1320" s="922" t="s">
        <v>29</v>
      </c>
      <c r="AL1320" s="923" t="s">
        <v>29</v>
      </c>
      <c r="AM1320" s="542" t="s">
        <v>709</v>
      </c>
      <c r="AN1320" s="924"/>
      <c r="AO1320" s="925"/>
      <c r="AP1320" s="926"/>
      <c r="AQ1320" s="926"/>
      <c r="AR1320" s="926"/>
      <c r="AS1320" s="926"/>
      <c r="AT1320" s="926"/>
      <c r="AU1320" s="926"/>
      <c r="AV1320" s="926"/>
      <c r="AW1320" s="927"/>
      <c r="AX1320" s="926"/>
      <c r="AY1320" s="1538" t="s">
        <v>29</v>
      </c>
      <c r="AZ1320" s="1530"/>
      <c r="BA1320" s="966" t="s">
        <v>4919</v>
      </c>
      <c r="BB1320" s="911" t="s">
        <v>1704</v>
      </c>
      <c r="BC1320" s="915" t="s">
        <v>116</v>
      </c>
      <c r="BD1320" s="915" t="s">
        <v>1190</v>
      </c>
      <c r="BE1320" s="915" t="s">
        <v>709</v>
      </c>
      <c r="BF1320" s="915" t="s">
        <v>709</v>
      </c>
      <c r="BG1320" s="915" t="s">
        <v>8273</v>
      </c>
      <c r="BH1320" s="1023" t="s">
        <v>8274</v>
      </c>
      <c r="BI1320" s="944" t="s">
        <v>709</v>
      </c>
      <c r="BJ1320" s="944" t="s">
        <v>745</v>
      </c>
      <c r="BK1320" s="944" t="s">
        <v>745</v>
      </c>
      <c r="BL1320" s="944" t="s">
        <v>709</v>
      </c>
      <c r="BM1320" s="944" t="s">
        <v>745</v>
      </c>
      <c r="BN1320" s="944" t="s">
        <v>745</v>
      </c>
      <c r="BO1320" s="944" t="s">
        <v>745</v>
      </c>
      <c r="BP1320" s="944">
        <v>182</v>
      </c>
      <c r="BQ1320" s="944">
        <v>672</v>
      </c>
      <c r="BR1320" s="944">
        <v>68</v>
      </c>
      <c r="BS1320" s="944" t="s">
        <v>709</v>
      </c>
      <c r="BT1320" s="944" t="s">
        <v>745</v>
      </c>
      <c r="BU1320" s="944" t="s">
        <v>745</v>
      </c>
      <c r="BV1320" s="944" t="s">
        <v>745</v>
      </c>
      <c r="BW1320" s="944" t="s">
        <v>745</v>
      </c>
      <c r="BX1320" s="944" t="s">
        <v>745</v>
      </c>
      <c r="BY1320" s="944" t="s">
        <v>745</v>
      </c>
      <c r="BZ1320" s="916" t="s">
        <v>709</v>
      </c>
      <c r="CA1320" s="917" t="s">
        <v>8275</v>
      </c>
      <c r="CB1320" s="547">
        <v>1318</v>
      </c>
      <c r="CC1320" s="1481" t="b">
        <v>0</v>
      </c>
      <c r="CD1320" s="879" t="str">
        <f>Table15[[#This Row],[Engineering Number]]&amp;Table15[[#This Row],[WO Number]]&amp;Table15[[#This Row],[Date Assigned to Designer]]&amp;Table15[[#This Row],[Date Completed]]</f>
        <v>N14359-112148094567345705</v>
      </c>
    </row>
    <row r="1321" spans="1:82" ht="15" customHeight="1" x14ac:dyDescent="0.25">
      <c r="A1321">
        <v>2024</v>
      </c>
      <c r="B1321" s="878" t="s">
        <v>4</v>
      </c>
      <c r="C1321" s="879" t="s">
        <v>8081</v>
      </c>
      <c r="D1321" s="880" t="s">
        <v>8276</v>
      </c>
      <c r="E1321" s="879" t="s">
        <v>1522</v>
      </c>
      <c r="F1321" s="878" t="s">
        <v>1102</v>
      </c>
      <c r="G1321" s="878" t="s">
        <v>31</v>
      </c>
      <c r="H1321" s="878" t="s">
        <v>59</v>
      </c>
      <c r="I1321" s="881">
        <v>45568</v>
      </c>
      <c r="J1321" s="956">
        <v>45709</v>
      </c>
      <c r="K1321" s="945">
        <v>45705</v>
      </c>
      <c r="L1321" s="884">
        <f>IF(ISTEXT(Table15[[#This Row],[Engineering Approved Design Date]]),Table15[[#This Row],[Date Completed]]-Table15[[#This Row],[Date Assigned to Designer]],Table15[[#This Row],[Engineering Approved Design Date]]-Table15[[#This Row],[Date Completed]])</f>
        <v>4</v>
      </c>
      <c r="N1321" s="885" t="s">
        <v>120</v>
      </c>
      <c r="O1321" s="886">
        <v>45717</v>
      </c>
      <c r="P1321" s="1153" t="s">
        <v>739</v>
      </c>
      <c r="Q1321" s="1150">
        <f>Table15[[#This Row],[Rate]]*Table15[[#This Row],[Construction Cost to Bill From]]</f>
        <v>45828.331999999995</v>
      </c>
      <c r="R1321" s="887">
        <v>0.1</v>
      </c>
      <c r="S1321" s="888" t="s">
        <v>29</v>
      </c>
      <c r="T1321" s="888" t="s">
        <v>29</v>
      </c>
      <c r="U1321" s="889" t="s">
        <v>29</v>
      </c>
      <c r="V1321" s="890">
        <v>1330</v>
      </c>
      <c r="W1321" s="1021">
        <v>0</v>
      </c>
      <c r="X1321" s="888">
        <v>384969.35</v>
      </c>
      <c r="Y1321" s="891"/>
      <c r="Z1321" s="888">
        <v>73313.97</v>
      </c>
      <c r="AA1321" s="892">
        <f>SUM(Table15[[#This Row],[PCTS Investment Amount]:[PCTS Retirement Amount]])</f>
        <v>458283.31999999995</v>
      </c>
      <c r="AB1321" s="893">
        <v>45709</v>
      </c>
      <c r="AC1321" s="894" t="s">
        <v>116</v>
      </c>
      <c r="AD1321" s="1161" t="s">
        <v>376</v>
      </c>
      <c r="AE1321" s="895" t="s">
        <v>756</v>
      </c>
      <c r="AF1321" s="895" t="s">
        <v>29</v>
      </c>
      <c r="AG1321" s="896" t="s">
        <v>116</v>
      </c>
      <c r="AH1321" s="897">
        <v>45770</v>
      </c>
      <c r="AI1321" s="898">
        <v>0</v>
      </c>
      <c r="AJ1321" s="899">
        <v>2430</v>
      </c>
      <c r="AK1321" s="960">
        <v>11223.75</v>
      </c>
      <c r="AL1321" s="964">
        <f>SUM(Table15[[#This Row],[Nicor Initiated DBE]:[Staffing]])/(Table15[[#This Row],[Amount Invoiced]])</f>
        <v>0.29793251039553437</v>
      </c>
      <c r="AM1321" s="1522" t="s">
        <v>116</v>
      </c>
      <c r="AN1321" s="1523">
        <v>45720</v>
      </c>
      <c r="AO1321" s="1524">
        <v>11099141</v>
      </c>
      <c r="AP1321" s="1525">
        <v>384969.35</v>
      </c>
      <c r="AQ1321" s="1525"/>
      <c r="AR1321" s="1525">
        <v>73313.97</v>
      </c>
      <c r="AS1321" s="1525">
        <f>IF(Table15[[#This Row],[PCTS Approved]]="N",0,Table15[[#This Row],[Investment Amount (1'#'#'#'#'#)]]+Table15[[#This Row],[Retirement Amount (3'#'#'#'#'#)]])</f>
        <v>458283.31999999995</v>
      </c>
      <c r="AT1321" s="1525">
        <f>IF(Table15[[#This Row],[Approved Construction Cost]]=0,0,Table15[[#This Row],[Approved Construction Cost]]-Table15[[#This Row],[Construction Cost to Bill From]])</f>
        <v>0</v>
      </c>
      <c r="AU1321" s="1525">
        <f>Table15[[#This Row],[Difference in Construction Cost]]*Table15[[#This Row],[Rate]]</f>
        <v>0</v>
      </c>
      <c r="AV1321" s="1525">
        <v>0</v>
      </c>
      <c r="AW1321" s="1526" t="s">
        <v>29</v>
      </c>
      <c r="AX1321" s="1525">
        <f>Table15[[#This Row],[Reconcile Amount]]</f>
        <v>0</v>
      </c>
      <c r="AY1321" s="1518">
        <v>45901</v>
      </c>
      <c r="AZ1321" s="333"/>
      <c r="BA1321" s="910" t="s">
        <v>8277</v>
      </c>
      <c r="BB1321" s="911" t="s">
        <v>8278</v>
      </c>
      <c r="BC1321" s="912" t="s">
        <v>709</v>
      </c>
      <c r="BD1321" s="913" t="s">
        <v>709</v>
      </c>
      <c r="BE1321" s="914" t="s">
        <v>526</v>
      </c>
      <c r="BF1321" s="914" t="s">
        <v>745</v>
      </c>
      <c r="BG1321" s="915" t="s">
        <v>8279</v>
      </c>
      <c r="BH1321" s="1023" t="s">
        <v>8280</v>
      </c>
      <c r="BI1321" s="929" t="s">
        <v>709</v>
      </c>
      <c r="BJ1321" s="929" t="s">
        <v>745</v>
      </c>
      <c r="BK1321" s="916" t="s">
        <v>745</v>
      </c>
      <c r="BL1321" s="916" t="s">
        <v>116</v>
      </c>
      <c r="BM1321" s="916" t="s">
        <v>745</v>
      </c>
      <c r="BN1321" s="916" t="s">
        <v>745</v>
      </c>
      <c r="BO1321" s="916" t="s">
        <v>745</v>
      </c>
      <c r="BP1321" s="916" t="s">
        <v>745</v>
      </c>
      <c r="BQ1321" s="916" t="s">
        <v>709</v>
      </c>
      <c r="BR1321" s="916">
        <v>1330</v>
      </c>
      <c r="BS1321" s="916" t="s">
        <v>709</v>
      </c>
      <c r="BT1321" s="916" t="s">
        <v>745</v>
      </c>
      <c r="BU1321" s="916" t="s">
        <v>745</v>
      </c>
      <c r="BV1321" s="916" t="s">
        <v>745</v>
      </c>
      <c r="BW1321" s="916" t="s">
        <v>745</v>
      </c>
      <c r="BX1321" s="916" t="s">
        <v>745</v>
      </c>
      <c r="BY1321" s="916" t="s">
        <v>745</v>
      </c>
      <c r="BZ1321" s="916" t="s">
        <v>709</v>
      </c>
      <c r="CA1321" s="917"/>
      <c r="CB1321" s="547">
        <v>1319</v>
      </c>
      <c r="CC1321" s="1481" t="b">
        <v>0</v>
      </c>
      <c r="CD1321" s="879" t="str">
        <f>Table15[[#This Row],[Engineering Number]]&amp;Table15[[#This Row],[WO Number]]&amp;Table15[[#This Row],[Date Assigned to Designer]]&amp;Table15[[#This Row],[Date Completed]]</f>
        <v>SC1835913145444556845705</v>
      </c>
    </row>
    <row r="1322" spans="1:82" ht="15" customHeight="1" x14ac:dyDescent="0.25">
      <c r="A1322">
        <v>2025</v>
      </c>
      <c r="B1322" s="878" t="s">
        <v>6798</v>
      </c>
      <c r="C1322" s="878" t="s">
        <v>8281</v>
      </c>
      <c r="D1322" s="878" t="s">
        <v>8282</v>
      </c>
      <c r="E1322" s="878" t="s">
        <v>2126</v>
      </c>
      <c r="F1322" s="878" t="s">
        <v>6643</v>
      </c>
      <c r="G1322" s="878" t="s">
        <v>34</v>
      </c>
      <c r="H1322" s="931" t="s">
        <v>2127</v>
      </c>
      <c r="I1322" s="883">
        <v>45665</v>
      </c>
      <c r="J1322" s="882">
        <v>45777</v>
      </c>
      <c r="K1322" s="883">
        <v>45706</v>
      </c>
      <c r="L1322" s="919">
        <f>IF(ISTEXT(Table15[[#This Row],[Engineering Approved Design Date]]),Table15[[#This Row],[Date Completed]]-Table15[[#This Row],[Date Assigned to Designer]],Table15[[#This Row],[Engineering Approved Design Date]]-Table15[[#This Row],[Date Completed]])</f>
        <v>71</v>
      </c>
      <c r="M1322" s="883" t="s">
        <v>8168</v>
      </c>
      <c r="N1322" s="99" t="s">
        <v>120</v>
      </c>
      <c r="O1322" s="886">
        <v>45717</v>
      </c>
      <c r="P1322" s="1153" t="s">
        <v>739</v>
      </c>
      <c r="Q1322" s="1150">
        <f>Table15[[#This Row],[Shactee Effort]]+Table15[[#This Row],[3rd Party Effort]]+Table15[[#This Row],[KH Hourly Effort]]</f>
        <v>1580</v>
      </c>
      <c r="R1322" s="933" t="s">
        <v>1922</v>
      </c>
      <c r="S1322" s="888">
        <v>0</v>
      </c>
      <c r="T1322" s="888">
        <v>0</v>
      </c>
      <c r="U1322" s="934">
        <v>1580</v>
      </c>
      <c r="V1322" s="890" t="s">
        <v>29</v>
      </c>
      <c r="W1322" s="1021" t="s">
        <v>29</v>
      </c>
      <c r="X1322" s="892" t="s">
        <v>29</v>
      </c>
      <c r="Y1322" s="935" t="s">
        <v>8247</v>
      </c>
      <c r="Z1322" s="892" t="s">
        <v>29</v>
      </c>
      <c r="AA1322" s="888" t="s">
        <v>29</v>
      </c>
      <c r="AB1322" s="893" t="s">
        <v>29</v>
      </c>
      <c r="AC1322" s="894" t="s">
        <v>29</v>
      </c>
      <c r="AD1322" s="1162" t="s">
        <v>29</v>
      </c>
      <c r="AE1322" s="940" t="s">
        <v>29</v>
      </c>
      <c r="AF1322" s="940" t="s">
        <v>29</v>
      </c>
      <c r="AG1322" s="897" t="s">
        <v>29</v>
      </c>
      <c r="AH1322" s="940" t="s">
        <v>29</v>
      </c>
      <c r="AI1322" s="947">
        <v>0</v>
      </c>
      <c r="AJ1322" s="948">
        <v>0</v>
      </c>
      <c r="AK1322" s="948">
        <v>0</v>
      </c>
      <c r="AL1322" s="901">
        <f>SUM(Table15[[#This Row],[Nicor Initiated DBE]:[Staffing]])/(Table15[[#This Row],[Amount Invoiced]])</f>
        <v>0</v>
      </c>
      <c r="AM1322" s="542" t="s">
        <v>709</v>
      </c>
      <c r="AN1322" s="924"/>
      <c r="AO1322" s="925"/>
      <c r="AP1322" s="926"/>
      <c r="AQ1322" s="926"/>
      <c r="AR1322" s="926"/>
      <c r="AS1322" s="926"/>
      <c r="AT1322" s="926"/>
      <c r="AU1322" s="926"/>
      <c r="AV1322" s="926"/>
      <c r="AW1322" s="927"/>
      <c r="AX1322" s="926"/>
      <c r="AY1322" s="1538" t="s">
        <v>29</v>
      </c>
      <c r="AZ1322" s="1530"/>
      <c r="BA1322" s="910" t="s">
        <v>29</v>
      </c>
      <c r="BB1322" s="928" t="s">
        <v>29</v>
      </c>
      <c r="BC1322" s="950" t="s">
        <v>29</v>
      </c>
      <c r="BD1322" s="951" t="s">
        <v>29</v>
      </c>
      <c r="BE1322" s="952" t="s">
        <v>29</v>
      </c>
      <c r="BF1322" s="952" t="s">
        <v>29</v>
      </c>
      <c r="BG1322" s="953" t="s">
        <v>29</v>
      </c>
      <c r="BH1322" s="1175" t="s">
        <v>8283</v>
      </c>
      <c r="BI1322" s="937"/>
      <c r="BJ1322" s="937"/>
      <c r="BK1322" s="937"/>
      <c r="BL1322" s="937"/>
      <c r="BM1322" s="937"/>
      <c r="BN1322" s="937"/>
      <c r="BO1322" s="937"/>
      <c r="BP1322" s="937"/>
      <c r="BQ1322" s="937"/>
      <c r="BR1322" s="937"/>
      <c r="BS1322" s="937"/>
      <c r="BT1322" s="937"/>
      <c r="BU1322" s="937"/>
      <c r="BV1322" s="937"/>
      <c r="BW1322" s="937"/>
      <c r="BX1322" s="937"/>
      <c r="BY1322" s="937"/>
      <c r="BZ1322" s="937"/>
      <c r="CA1322" s="967"/>
      <c r="CB1322" s="547">
        <v>1321</v>
      </c>
      <c r="CC1322" s="1481" t="b">
        <v>0</v>
      </c>
      <c r="CD1322" s="879" t="str">
        <f>Table15[[#This Row],[Engineering Number]]&amp;Table15[[#This Row],[WO Number]]&amp;Table15[[#This Row],[Date Assigned to Designer]]&amp;Table15[[#This Row],[Date Completed]]</f>
        <v>320165610148884566545706</v>
      </c>
    </row>
    <row r="1323" spans="1:82" ht="15" customHeight="1" x14ac:dyDescent="0.25">
      <c r="A1323">
        <v>2025</v>
      </c>
      <c r="B1323" s="878" t="s">
        <v>4</v>
      </c>
      <c r="C1323" s="879" t="s">
        <v>8284</v>
      </c>
      <c r="D1323" s="880" t="s">
        <v>8285</v>
      </c>
      <c r="E1323" s="879" t="s">
        <v>2144</v>
      </c>
      <c r="F1323" s="878" t="s">
        <v>8286</v>
      </c>
      <c r="G1323" s="878" t="s">
        <v>6377</v>
      </c>
      <c r="H1323" s="878" t="s">
        <v>59</v>
      </c>
      <c r="I1323" s="881">
        <v>45572</v>
      </c>
      <c r="J1323" s="956">
        <v>45709</v>
      </c>
      <c r="K1323" s="945">
        <v>45706</v>
      </c>
      <c r="L1323" s="884">
        <f>IF(ISTEXT(Table15[[#This Row],[Engineering Approved Design Date]]),Table15[[#This Row],[Date Completed]]-Table15[[#This Row],[Date Assigned to Designer]],Table15[[#This Row],[Engineering Approved Design Date]]-Table15[[#This Row],[Date Completed]])</f>
        <v>3</v>
      </c>
      <c r="N1323" s="885" t="s">
        <v>120</v>
      </c>
      <c r="O1323" s="886">
        <v>45717</v>
      </c>
      <c r="P1323" s="1153" t="s">
        <v>739</v>
      </c>
      <c r="Q1323" s="1150">
        <f>Table15[[#This Row],[Rate]]*Table15[[#This Row],[Construction Cost to Bill From]]</f>
        <v>21365.47</v>
      </c>
      <c r="R1323" s="887">
        <v>0.1</v>
      </c>
      <c r="S1323" s="888" t="s">
        <v>29</v>
      </c>
      <c r="T1323" s="888" t="s">
        <v>29</v>
      </c>
      <c r="U1323" s="889" t="s">
        <v>29</v>
      </c>
      <c r="V1323" s="890">
        <v>315</v>
      </c>
      <c r="W1323" s="1021" t="s">
        <v>29</v>
      </c>
      <c r="X1323" s="888">
        <v>183850.82</v>
      </c>
      <c r="Y1323" s="891"/>
      <c r="Z1323" s="888">
        <v>29803.88</v>
      </c>
      <c r="AA1323" s="892">
        <f>SUM(Table15[[#This Row],[PCTS Investment Amount]:[PCTS Retirement Amount]])</f>
        <v>213654.7</v>
      </c>
      <c r="AB1323" s="893">
        <v>45698</v>
      </c>
      <c r="AC1323" s="894" t="s">
        <v>29</v>
      </c>
      <c r="AD1323" s="1161" t="s">
        <v>29</v>
      </c>
      <c r="AE1323" s="940" t="s">
        <v>756</v>
      </c>
      <c r="AF1323" s="895" t="s">
        <v>756</v>
      </c>
      <c r="AG1323" s="896" t="s">
        <v>116</v>
      </c>
      <c r="AH1323" s="897">
        <v>45735</v>
      </c>
      <c r="AI1323" s="898">
        <v>0</v>
      </c>
      <c r="AJ1323" s="899">
        <v>14600</v>
      </c>
      <c r="AK1323" s="960">
        <v>5066.2700000000004</v>
      </c>
      <c r="AL1323" s="901">
        <f>SUM(Table15[[#This Row],[Nicor Initiated DBE]:[Staffing]])/(Table15[[#This Row],[Amount Invoiced]])</f>
        <v>0.92046980478313833</v>
      </c>
      <c r="AM1323" s="1522" t="s">
        <v>116</v>
      </c>
      <c r="AN1323" s="1523">
        <v>45785</v>
      </c>
      <c r="AO1323" s="1524">
        <v>11102480</v>
      </c>
      <c r="AP1323" s="1525">
        <v>184046.07999999999</v>
      </c>
      <c r="AQ1323" s="1525"/>
      <c r="AR1323" s="1525">
        <v>29803.88</v>
      </c>
      <c r="AS1323" s="1525">
        <f>IF(Table15[[#This Row],[PCTS Approved]]="N",0,Table15[[#This Row],[Investment Amount (1'#'#'#'#'#)]]+Table15[[#This Row],[Retirement Amount (3'#'#'#'#'#)]])</f>
        <v>213849.96</v>
      </c>
      <c r="AT1323" s="1525">
        <f>IF(Table15[[#This Row],[Approved Construction Cost]]=0,0,Table15[[#This Row],[Approved Construction Cost]]-Table15[[#This Row],[Construction Cost to Bill From]])</f>
        <v>195.25999999998021</v>
      </c>
      <c r="AU1323" s="1525">
        <f>Table15[[#This Row],[Difference in Construction Cost]]*Table15[[#This Row],[Rate]]</f>
        <v>19.525999999998021</v>
      </c>
      <c r="AV1323" s="1525">
        <v>0</v>
      </c>
      <c r="AW1323" s="1526" t="s">
        <v>6381</v>
      </c>
      <c r="AX1323" s="1525">
        <f>Table15[[#This Row],[Reconcile Amount]]</f>
        <v>19.525999999998021</v>
      </c>
      <c r="AY1323" s="1518">
        <v>45901</v>
      </c>
      <c r="AZ1323" s="333"/>
      <c r="BA1323" s="968" t="s">
        <v>8287</v>
      </c>
      <c r="BB1323" s="928" t="s">
        <v>1236</v>
      </c>
      <c r="BC1323" s="912" t="s">
        <v>116</v>
      </c>
      <c r="BD1323" s="913" t="s">
        <v>882</v>
      </c>
      <c r="BE1323" s="914" t="s">
        <v>8288</v>
      </c>
      <c r="BF1323" s="914" t="s">
        <v>709</v>
      </c>
      <c r="BG1323" s="943" t="s">
        <v>709</v>
      </c>
      <c r="BH1323" s="1175" t="s">
        <v>8289</v>
      </c>
      <c r="BI1323" s="929" t="s">
        <v>709</v>
      </c>
      <c r="BJ1323" s="929" t="s">
        <v>709</v>
      </c>
      <c r="BK1323" s="916" t="s">
        <v>709</v>
      </c>
      <c r="BL1323" s="916" t="s">
        <v>116</v>
      </c>
      <c r="BM1323" s="916" t="s">
        <v>709</v>
      </c>
      <c r="BN1323" s="916" t="s">
        <v>709</v>
      </c>
      <c r="BO1323" s="916" t="s">
        <v>709</v>
      </c>
      <c r="BP1323" s="916" t="s">
        <v>709</v>
      </c>
      <c r="BQ1323" s="916" t="s">
        <v>709</v>
      </c>
      <c r="BR1323" s="916">
        <v>315</v>
      </c>
      <c r="BS1323" s="916" t="s">
        <v>709</v>
      </c>
      <c r="BT1323" s="916" t="s">
        <v>709</v>
      </c>
      <c r="BU1323" s="916" t="s">
        <v>709</v>
      </c>
      <c r="BV1323" s="916" t="s">
        <v>709</v>
      </c>
      <c r="BW1323" s="916" t="s">
        <v>709</v>
      </c>
      <c r="BX1323" s="916" t="s">
        <v>709</v>
      </c>
      <c r="BY1323" s="916" t="s">
        <v>709</v>
      </c>
      <c r="BZ1323" s="916" t="s">
        <v>709</v>
      </c>
      <c r="CA1323" s="917"/>
      <c r="CB1323" s="547">
        <v>1320</v>
      </c>
      <c r="CC1323" s="1481" t="b">
        <v>0</v>
      </c>
      <c r="CD1323" s="879" t="str">
        <f>Table15[[#This Row],[Engineering Number]]&amp;Table15[[#This Row],[WO Number]]&amp;Table15[[#This Row],[Date Assigned to Designer]]&amp;Table15[[#This Row],[Date Completed]]</f>
        <v>M1601612147834557245706</v>
      </c>
    </row>
    <row r="1324" spans="1:82" ht="15" customHeight="1" x14ac:dyDescent="0.25">
      <c r="A1324">
        <v>2025</v>
      </c>
      <c r="B1324" s="878" t="s">
        <v>1073</v>
      </c>
      <c r="C1324" s="878" t="s">
        <v>8214</v>
      </c>
      <c r="D1324" s="878" t="s">
        <v>8215</v>
      </c>
      <c r="E1324" s="878" t="s">
        <v>1032</v>
      </c>
      <c r="F1324" s="878" t="s">
        <v>851</v>
      </c>
      <c r="G1324" s="878" t="s">
        <v>34</v>
      </c>
      <c r="H1324" s="878" t="s">
        <v>4045</v>
      </c>
      <c r="I1324" s="883">
        <v>45705</v>
      </c>
      <c r="J1324" s="882" t="s">
        <v>2958</v>
      </c>
      <c r="K1324" s="945">
        <v>45707</v>
      </c>
      <c r="L1324" s="919">
        <f>IF(ISTEXT(Table15[[#This Row],[Engineering Approved Design Date]]),Table15[[#This Row],[Date Completed]]-Table15[[#This Row],[Date Assigned to Designer]],Table15[[#This Row],[Engineering Approved Design Date]]-Table15[[#This Row],[Date Completed]])</f>
        <v>2</v>
      </c>
      <c r="M1324" s="939" t="s">
        <v>8290</v>
      </c>
      <c r="N1324" s="99" t="s">
        <v>120</v>
      </c>
      <c r="O1324" s="886">
        <v>45717</v>
      </c>
      <c r="P1324" s="1153" t="s">
        <v>739</v>
      </c>
      <c r="Q1324" s="1150">
        <f>Table15[[#This Row],[KH Hourly Effort]]</f>
        <v>3207.5</v>
      </c>
      <c r="R1324" s="887" t="s">
        <v>1922</v>
      </c>
      <c r="S1324" s="888" t="s">
        <v>29</v>
      </c>
      <c r="T1324" s="888" t="s">
        <v>29</v>
      </c>
      <c r="U1324" s="889">
        <v>3207.5</v>
      </c>
      <c r="V1324" s="890">
        <v>264</v>
      </c>
      <c r="W1324" s="1021">
        <v>4</v>
      </c>
      <c r="X1324" s="888" t="s">
        <v>29</v>
      </c>
      <c r="Y1324" s="935"/>
      <c r="Z1324" s="888" t="s">
        <v>29</v>
      </c>
      <c r="AA1324" s="888" t="s">
        <v>29</v>
      </c>
      <c r="AB1324" s="893" t="s">
        <v>29</v>
      </c>
      <c r="AC1324" s="896" t="s">
        <v>29</v>
      </c>
      <c r="AD1324" s="1155" t="s">
        <v>29</v>
      </c>
      <c r="AE1324" s="940" t="s">
        <v>756</v>
      </c>
      <c r="AF1324" s="940" t="s">
        <v>29</v>
      </c>
      <c r="AG1324" s="896" t="s">
        <v>29</v>
      </c>
      <c r="AH1324" s="940">
        <v>45707</v>
      </c>
      <c r="AI1324" s="969" t="s">
        <v>29</v>
      </c>
      <c r="AJ1324" s="970" t="s">
        <v>29</v>
      </c>
      <c r="AK1324" s="970" t="s">
        <v>29</v>
      </c>
      <c r="AL1324" s="971" t="s">
        <v>29</v>
      </c>
      <c r="AM1324" s="542" t="s">
        <v>709</v>
      </c>
      <c r="AN1324" s="924"/>
      <c r="AO1324" s="925"/>
      <c r="AP1324" s="926"/>
      <c r="AQ1324" s="926"/>
      <c r="AR1324" s="926"/>
      <c r="AS1324" s="926"/>
      <c r="AT1324" s="926"/>
      <c r="AU1324" s="926"/>
      <c r="AV1324" s="926"/>
      <c r="AW1324" s="927"/>
      <c r="AX1324" s="926"/>
      <c r="AY1324" s="1538" t="s">
        <v>29</v>
      </c>
      <c r="AZ1324" s="1530"/>
      <c r="BA1324" s="939" t="s">
        <v>8291</v>
      </c>
      <c r="BB1324" s="942" t="s">
        <v>29</v>
      </c>
      <c r="BC1324" s="915" t="s">
        <v>709</v>
      </c>
      <c r="BD1324" s="915" t="s">
        <v>709</v>
      </c>
      <c r="BE1324" s="915" t="s">
        <v>1841</v>
      </c>
      <c r="BF1324" s="915" t="s">
        <v>709</v>
      </c>
      <c r="BG1324" s="943" t="s">
        <v>1078</v>
      </c>
      <c r="BH1324" s="1023" t="s">
        <v>8292</v>
      </c>
      <c r="BI1324" s="916" t="s">
        <v>709</v>
      </c>
      <c r="BJ1324" s="916" t="s">
        <v>116</v>
      </c>
      <c r="BK1324" s="916" t="s">
        <v>709</v>
      </c>
      <c r="BL1324" s="916" t="s">
        <v>116</v>
      </c>
      <c r="BM1324" s="916" t="s">
        <v>709</v>
      </c>
      <c r="BN1324" s="916" t="s">
        <v>709</v>
      </c>
      <c r="BO1324" s="916" t="s">
        <v>709</v>
      </c>
      <c r="BP1324" s="944">
        <v>19</v>
      </c>
      <c r="BQ1324" s="944">
        <v>86</v>
      </c>
      <c r="BR1324" s="929">
        <v>63</v>
      </c>
      <c r="BS1324" s="929">
        <v>36</v>
      </c>
      <c r="BT1324" s="916" t="s">
        <v>709</v>
      </c>
      <c r="BU1324" s="916" t="s">
        <v>709</v>
      </c>
      <c r="BV1324" s="916" t="s">
        <v>709</v>
      </c>
      <c r="BW1324" s="916">
        <v>4</v>
      </c>
      <c r="BX1324" s="916" t="s">
        <v>709</v>
      </c>
      <c r="BY1324" s="916">
        <v>2</v>
      </c>
      <c r="BZ1324" s="916" t="s">
        <v>709</v>
      </c>
      <c r="CA1324" s="917" t="s">
        <v>6832</v>
      </c>
      <c r="CB1324" s="547">
        <v>1322</v>
      </c>
      <c r="CC1324" s="1481" t="b">
        <v>0</v>
      </c>
      <c r="CD1324" s="879" t="str">
        <f>Table15[[#This Row],[Engineering Number]]&amp;Table15[[#This Row],[WO Number]]&amp;Table15[[#This Row],[Date Assigned to Designer]]&amp;Table15[[#This Row],[Date Completed]]</f>
        <v>NBA10017524-119147494570545707</v>
      </c>
    </row>
    <row r="1325" spans="1:82" ht="15" customHeight="1" x14ac:dyDescent="0.25">
      <c r="A1325">
        <v>2025</v>
      </c>
      <c r="B1325" s="878" t="s">
        <v>1981</v>
      </c>
      <c r="C1325" s="878" t="s">
        <v>7742</v>
      </c>
      <c r="D1325" s="878" t="s">
        <v>8293</v>
      </c>
      <c r="E1325" s="878" t="s">
        <v>141</v>
      </c>
      <c r="F1325" s="878" t="s">
        <v>7735</v>
      </c>
      <c r="G1325" s="878" t="s">
        <v>34</v>
      </c>
      <c r="H1325" s="878" t="s">
        <v>59</v>
      </c>
      <c r="I1325" s="883">
        <v>45612</v>
      </c>
      <c r="J1325" s="918">
        <v>45709</v>
      </c>
      <c r="K1325" s="945">
        <v>45708</v>
      </c>
      <c r="L1325" s="919">
        <f>IF(ISTEXT(Table15[[#This Row],[Engineering Approved Design Date]]),Table15[[#This Row],[Date Completed]]-Table15[[#This Row],[Date Assigned to Designer]],Table15[[#This Row],[Engineering Approved Design Date]]-Table15[[#This Row],[Date Completed]])</f>
        <v>1</v>
      </c>
      <c r="M1325" s="946"/>
      <c r="N1325" s="99" t="s">
        <v>120</v>
      </c>
      <c r="O1325" s="886">
        <v>45717</v>
      </c>
      <c r="P1325" s="1154" t="s">
        <v>739</v>
      </c>
      <c r="Q1325" s="1150">
        <f>Table15[[#This Row],[KH Hourly Effort]]+Table15[[#This Row],[Shactee Effort]]</f>
        <v>24253.37</v>
      </c>
      <c r="R1325" s="920" t="s">
        <v>1922</v>
      </c>
      <c r="S1325" s="888">
        <v>1878.37</v>
      </c>
      <c r="T1325" s="888">
        <v>0</v>
      </c>
      <c r="U1325" s="889">
        <v>22375</v>
      </c>
      <c r="V1325" s="890">
        <v>321</v>
      </c>
      <c r="W1325" s="1021">
        <v>2</v>
      </c>
      <c r="X1325" s="888">
        <v>170000</v>
      </c>
      <c r="Y1325" s="888"/>
      <c r="Z1325" s="888">
        <v>47000</v>
      </c>
      <c r="AA1325" s="888">
        <f>SUM(Table15[[#This Row],[PCTS Investment Amount]:[PCTS Retirement Amount]])</f>
        <v>217000</v>
      </c>
      <c r="AB1325" s="893">
        <v>45714</v>
      </c>
      <c r="AC1325" s="896" t="s">
        <v>709</v>
      </c>
      <c r="AD1325" s="1155" t="s">
        <v>29</v>
      </c>
      <c r="AE1325" s="894" t="s">
        <v>116</v>
      </c>
      <c r="AF1325" s="896" t="s">
        <v>29</v>
      </c>
      <c r="AG1325" s="896" t="s">
        <v>376</v>
      </c>
      <c r="AH1325" s="902">
        <v>45756</v>
      </c>
      <c r="AI1325" s="947">
        <v>0</v>
      </c>
      <c r="AJ1325" s="948">
        <v>1878.37</v>
      </c>
      <c r="AK1325" s="948">
        <v>0</v>
      </c>
      <c r="AL1325" s="901">
        <f>SUM(Table15[[#This Row],[Nicor Initiated DBE]:[Staffing]])/(Table15[[#This Row],[Amount Invoiced]])</f>
        <v>7.7447793852977953E-2</v>
      </c>
      <c r="AM1325" s="542" t="s">
        <v>709</v>
      </c>
      <c r="AN1325" s="924"/>
      <c r="AO1325" s="925"/>
      <c r="AP1325" s="926"/>
      <c r="AQ1325" s="926"/>
      <c r="AR1325" s="926"/>
      <c r="AS1325" s="926"/>
      <c r="AT1325" s="926"/>
      <c r="AU1325" s="926"/>
      <c r="AV1325" s="926"/>
      <c r="AW1325" s="927"/>
      <c r="AX1325" s="926"/>
      <c r="AY1325" s="1538" t="s">
        <v>29</v>
      </c>
      <c r="AZ1325" s="1530"/>
      <c r="BA1325" s="910" t="s">
        <v>8294</v>
      </c>
      <c r="BB1325" s="949" t="s">
        <v>8295</v>
      </c>
      <c r="BC1325" s="910">
        <v>2</v>
      </c>
      <c r="BD1325" s="951" t="s">
        <v>709</v>
      </c>
      <c r="BE1325" s="952" t="s">
        <v>4528</v>
      </c>
      <c r="BF1325" s="952" t="s">
        <v>709</v>
      </c>
      <c r="BG1325" s="953" t="s">
        <v>709</v>
      </c>
      <c r="BH1325" s="1175" t="s">
        <v>8296</v>
      </c>
      <c r="BI1325" s="929" t="s">
        <v>709</v>
      </c>
      <c r="BJ1325" s="929" t="s">
        <v>709</v>
      </c>
      <c r="BK1325" s="929" t="s">
        <v>709</v>
      </c>
      <c r="BL1325" s="916" t="s">
        <v>116</v>
      </c>
      <c r="BM1325" s="929" t="s">
        <v>709</v>
      </c>
      <c r="BN1325" s="929" t="s">
        <v>709</v>
      </c>
      <c r="BO1325" s="929" t="s">
        <v>709</v>
      </c>
      <c r="BP1325" s="929" t="s">
        <v>709</v>
      </c>
      <c r="BQ1325" s="929" t="s">
        <v>709</v>
      </c>
      <c r="BR1325" s="929" t="s">
        <v>709</v>
      </c>
      <c r="BS1325" s="916">
        <v>321</v>
      </c>
      <c r="BT1325" s="929" t="s">
        <v>709</v>
      </c>
      <c r="BU1325" s="929" t="s">
        <v>709</v>
      </c>
      <c r="BV1325" s="929" t="s">
        <v>709</v>
      </c>
      <c r="BW1325" s="929" t="s">
        <v>709</v>
      </c>
      <c r="BX1325" s="929" t="s">
        <v>709</v>
      </c>
      <c r="BY1325" s="929" t="s">
        <v>709</v>
      </c>
      <c r="BZ1325" s="929">
        <v>2</v>
      </c>
      <c r="CA1325" s="917" t="s">
        <v>8297</v>
      </c>
      <c r="CB1325" s="547">
        <v>1325</v>
      </c>
      <c r="CC1325" s="1481" t="b">
        <v>0</v>
      </c>
      <c r="CD1325" s="879" t="str">
        <f>Table15[[#This Row],[Engineering Number]]&amp;Table15[[#This Row],[WO Number]]&amp;Table15[[#This Row],[Date Assigned to Designer]]&amp;Table15[[#This Row],[Date Completed]]</f>
        <v>COR106014147064561245708</v>
      </c>
    </row>
    <row r="1326" spans="1:82" ht="15" customHeight="1" x14ac:dyDescent="0.25">
      <c r="A1326">
        <v>2025</v>
      </c>
      <c r="B1326" s="878" t="s">
        <v>4</v>
      </c>
      <c r="C1326" s="879" t="s">
        <v>8298</v>
      </c>
      <c r="D1326" s="880" t="s">
        <v>8299</v>
      </c>
      <c r="E1326" s="879" t="s">
        <v>1117</v>
      </c>
      <c r="F1326" s="878" t="s">
        <v>784</v>
      </c>
      <c r="G1326" s="878" t="s">
        <v>7455</v>
      </c>
      <c r="H1326" s="878" t="s">
        <v>59</v>
      </c>
      <c r="I1326" s="881">
        <v>45586</v>
      </c>
      <c r="J1326" s="956">
        <v>45709</v>
      </c>
      <c r="K1326" s="945">
        <v>45708</v>
      </c>
      <c r="L1326" s="884">
        <f>IF(ISTEXT(Table15[[#This Row],[Engineering Approved Design Date]]),Table15[[#This Row],[Date Completed]]-Table15[[#This Row],[Date Assigned to Designer]],Table15[[#This Row],[Engineering Approved Design Date]]-Table15[[#This Row],[Date Completed]])</f>
        <v>1</v>
      </c>
      <c r="N1326" s="885" t="s">
        <v>120</v>
      </c>
      <c r="O1326" s="886">
        <v>45717</v>
      </c>
      <c r="P1326" s="1153" t="s">
        <v>739</v>
      </c>
      <c r="Q1326" s="1150">
        <f>Table15[[#This Row],[Rate]]*Table15[[#This Row],[Construction Cost to Bill From]]</f>
        <v>15977.692999999999</v>
      </c>
      <c r="R1326" s="887">
        <v>0.1</v>
      </c>
      <c r="S1326" s="888" t="s">
        <v>29</v>
      </c>
      <c r="T1326" s="888" t="s">
        <v>29</v>
      </c>
      <c r="U1326" s="889" t="s">
        <v>29</v>
      </c>
      <c r="V1326" s="890">
        <v>85</v>
      </c>
      <c r="W1326" s="1021" t="s">
        <v>29</v>
      </c>
      <c r="X1326" s="888">
        <v>123962.99</v>
      </c>
      <c r="Y1326" s="891"/>
      <c r="Z1326" s="888">
        <v>35813.94</v>
      </c>
      <c r="AA1326" s="892">
        <f>SUM(Table15[[#This Row],[PCTS Investment Amount]:[PCTS Retirement Amount]])</f>
        <v>159776.93</v>
      </c>
      <c r="AB1326" s="893">
        <v>45708</v>
      </c>
      <c r="AC1326" s="894" t="s">
        <v>29</v>
      </c>
      <c r="AD1326" s="1161" t="s">
        <v>29</v>
      </c>
      <c r="AE1326" s="895" t="s">
        <v>756</v>
      </c>
      <c r="AF1326" s="895" t="s">
        <v>756</v>
      </c>
      <c r="AG1326" s="896" t="s">
        <v>116</v>
      </c>
      <c r="AH1326" s="897">
        <v>45735</v>
      </c>
      <c r="AI1326" s="898">
        <v>0</v>
      </c>
      <c r="AJ1326" s="899">
        <v>5350</v>
      </c>
      <c r="AK1326" s="960">
        <v>8069.8</v>
      </c>
      <c r="AL1326" s="901">
        <f>SUM(Table15[[#This Row],[Nicor Initiated DBE]:[Staffing]])/(Table15[[#This Row],[Amount Invoiced]])</f>
        <v>0.83990848991778722</v>
      </c>
      <c r="AM1326" s="1522" t="s">
        <v>116</v>
      </c>
      <c r="AN1326" s="1523">
        <v>45822</v>
      </c>
      <c r="AO1326" s="1524">
        <v>11104808</v>
      </c>
      <c r="AP1326" s="1525">
        <v>126484.77</v>
      </c>
      <c r="AQ1326" s="1525"/>
      <c r="AR1326" s="1525">
        <v>38413.22</v>
      </c>
      <c r="AS1326" s="1525">
        <f>IF(Table15[[#This Row],[PCTS Approved]]="N",0,Table15[[#This Row],[Investment Amount (1'#'#'#'#'#)]]+Table15[[#This Row],[Retirement Amount (3'#'#'#'#'#)]])</f>
        <v>164897.99</v>
      </c>
      <c r="AT1326" s="1525">
        <f>IF(Table15[[#This Row],[Approved Construction Cost]]=0,0,Table15[[#This Row],[Approved Construction Cost]]-Table15[[#This Row],[Construction Cost to Bill From]])</f>
        <v>5121.0599999999977</v>
      </c>
      <c r="AU1326" s="1525">
        <f>Table15[[#This Row],[Difference in Construction Cost]]*Table15[[#This Row],[Rate]]</f>
        <v>512.10599999999977</v>
      </c>
      <c r="AV1326" s="1525">
        <v>0</v>
      </c>
      <c r="AW1326" s="1526" t="s">
        <v>8300</v>
      </c>
      <c r="AX1326" s="1525">
        <f>Table15[[#This Row],[Reconcile Amount]]</f>
        <v>512.10599999999977</v>
      </c>
      <c r="AY1326" s="1518">
        <v>45901</v>
      </c>
      <c r="AZ1326" s="333"/>
      <c r="BA1326" s="910" t="s">
        <v>8301</v>
      </c>
      <c r="BB1326" s="911" t="s">
        <v>1120</v>
      </c>
      <c r="BC1326" s="912" t="s">
        <v>992</v>
      </c>
      <c r="BD1326" s="913" t="s">
        <v>709</v>
      </c>
      <c r="BE1326" s="914" t="s">
        <v>5832</v>
      </c>
      <c r="BF1326" s="914" t="s">
        <v>709</v>
      </c>
      <c r="BG1326" s="915" t="s">
        <v>29</v>
      </c>
      <c r="BH1326" s="1023" t="s">
        <v>8302</v>
      </c>
      <c r="BI1326" s="929" t="s">
        <v>709</v>
      </c>
      <c r="BJ1326" s="929" t="s">
        <v>745</v>
      </c>
      <c r="BK1326" s="916" t="s">
        <v>745</v>
      </c>
      <c r="BL1326" s="916" t="s">
        <v>116</v>
      </c>
      <c r="BM1326" s="916" t="s">
        <v>745</v>
      </c>
      <c r="BN1326" s="916" t="s">
        <v>745</v>
      </c>
      <c r="BO1326" s="916" t="s">
        <v>745</v>
      </c>
      <c r="BP1326" s="916" t="s">
        <v>745</v>
      </c>
      <c r="BQ1326" s="916" t="s">
        <v>709</v>
      </c>
      <c r="BR1326" s="916">
        <v>85</v>
      </c>
      <c r="BS1326" s="916" t="s">
        <v>709</v>
      </c>
      <c r="BT1326" s="916" t="s">
        <v>745</v>
      </c>
      <c r="BU1326" s="916" t="s">
        <v>745</v>
      </c>
      <c r="BV1326" s="916" t="s">
        <v>745</v>
      </c>
      <c r="BW1326" s="916" t="s">
        <v>745</v>
      </c>
      <c r="BX1326" s="916" t="s">
        <v>709</v>
      </c>
      <c r="BY1326" s="916" t="s">
        <v>709</v>
      </c>
      <c r="BZ1326" s="916" t="s">
        <v>709</v>
      </c>
      <c r="CA1326" s="917" t="s">
        <v>8303</v>
      </c>
      <c r="CB1326" s="547">
        <v>1324</v>
      </c>
      <c r="CC1326" s="1481" t="b">
        <v>0</v>
      </c>
      <c r="CD1326" s="879" t="str">
        <f>Table15[[#This Row],[Engineering Number]]&amp;Table15[[#This Row],[WO Number]]&amp;Table15[[#This Row],[Date Assigned to Designer]]&amp;Table15[[#This Row],[Date Completed]]</f>
        <v>N1867412148104558645708</v>
      </c>
    </row>
    <row r="1327" spans="1:82" ht="15" customHeight="1" x14ac:dyDescent="0.25">
      <c r="A1327">
        <v>2025</v>
      </c>
      <c r="B1327" s="878" t="s">
        <v>4</v>
      </c>
      <c r="C1327" s="879" t="s">
        <v>8304</v>
      </c>
      <c r="D1327" s="880" t="s">
        <v>8305</v>
      </c>
      <c r="E1327" s="879" t="s">
        <v>1117</v>
      </c>
      <c r="F1327" s="878" t="s">
        <v>784</v>
      </c>
      <c r="G1327" s="878" t="s">
        <v>7455</v>
      </c>
      <c r="H1327" s="878" t="s">
        <v>59</v>
      </c>
      <c r="I1327" s="881">
        <v>45586</v>
      </c>
      <c r="J1327" s="956">
        <v>45709</v>
      </c>
      <c r="K1327" s="945">
        <v>45708</v>
      </c>
      <c r="L1327" s="884">
        <f>IF(ISTEXT(Table15[[#This Row],[Engineering Approved Design Date]]),Table15[[#This Row],[Date Completed]]-Table15[[#This Row],[Date Assigned to Designer]],Table15[[#This Row],[Engineering Approved Design Date]]-Table15[[#This Row],[Date Completed]])</f>
        <v>1</v>
      </c>
      <c r="N1327" s="885" t="s">
        <v>120</v>
      </c>
      <c r="O1327" s="886">
        <v>45717</v>
      </c>
      <c r="P1327" s="1153" t="s">
        <v>739</v>
      </c>
      <c r="Q1327" s="1150">
        <f>Table15[[#This Row],[Rate]]*Table15[[#This Row],[Construction Cost to Bill From]]</f>
        <v>16670.417000000001</v>
      </c>
      <c r="R1327" s="887">
        <v>0.1</v>
      </c>
      <c r="S1327" s="888" t="s">
        <v>29</v>
      </c>
      <c r="T1327" s="888" t="s">
        <v>29</v>
      </c>
      <c r="U1327" s="889" t="s">
        <v>29</v>
      </c>
      <c r="V1327" s="890">
        <v>60</v>
      </c>
      <c r="W1327" s="1021" t="s">
        <v>29</v>
      </c>
      <c r="X1327" s="888">
        <v>117231.32</v>
      </c>
      <c r="Y1327" s="891"/>
      <c r="Z1327" s="888">
        <v>49472.85</v>
      </c>
      <c r="AA1327" s="892">
        <f>SUM(Table15[[#This Row],[PCTS Investment Amount]:[PCTS Retirement Amount]])</f>
        <v>166704.17000000001</v>
      </c>
      <c r="AB1327" s="893" t="s">
        <v>8306</v>
      </c>
      <c r="AC1327" s="894" t="s">
        <v>29</v>
      </c>
      <c r="AD1327" s="1161" t="s">
        <v>29</v>
      </c>
      <c r="AE1327" s="895" t="s">
        <v>756</v>
      </c>
      <c r="AF1327" s="895" t="s">
        <v>756</v>
      </c>
      <c r="AG1327" s="896" t="s">
        <v>116</v>
      </c>
      <c r="AH1327" s="897">
        <v>45735</v>
      </c>
      <c r="AI1327" s="898">
        <v>0</v>
      </c>
      <c r="AJ1327" s="899">
        <v>0</v>
      </c>
      <c r="AK1327" s="960">
        <v>0</v>
      </c>
      <c r="AL1327" s="901">
        <f>SUM(Table15[[#This Row],[Nicor Initiated DBE]:[Staffing]])/(Table15[[#This Row],[Amount Invoiced]])</f>
        <v>0</v>
      </c>
      <c r="AM1327" s="536" t="s">
        <v>116</v>
      </c>
      <c r="AN1327" s="903" t="s">
        <v>709</v>
      </c>
      <c r="AO1327" s="1536"/>
      <c r="AP1327" s="1537"/>
      <c r="AQ1327" s="1537"/>
      <c r="AR1327" s="1537"/>
      <c r="AS1327" s="888">
        <f>IF(Table15[[#This Row],[PCTS Approved]]="N",0,Table15[[#This Row],[Investment Amount (1'#'#'#'#'#)]]+Table15[[#This Row],[Retirement Amount (3'#'#'#'#'#)]])</f>
        <v>0</v>
      </c>
      <c r="AT1327" s="888">
        <f>IF(Table15[[#This Row],[Approved Construction Cost]]=0,0,Table15[[#This Row],[Approved Construction Cost]]-Table15[[#This Row],[Construction Cost to Bill From]])</f>
        <v>0</v>
      </c>
      <c r="AU1327" s="888">
        <f>IFERROR(Table15[[#This Row],[Difference in Construction Cost]]*Table15[[#This Row],[Rate]],Table15[[#This Row],[Difference in Construction Cost]]*0.085)</f>
        <v>0</v>
      </c>
      <c r="AV1327" s="905"/>
      <c r="AW1327" s="1509"/>
      <c r="AX1327" s="888"/>
      <c r="AY1327" s="636" t="s">
        <v>709</v>
      </c>
      <c r="AZ1327" s="333"/>
      <c r="BA1327" s="910" t="s">
        <v>8301</v>
      </c>
      <c r="BB1327" s="911" t="s">
        <v>1120</v>
      </c>
      <c r="BC1327" s="912" t="s">
        <v>992</v>
      </c>
      <c r="BD1327" s="913" t="s">
        <v>709</v>
      </c>
      <c r="BE1327" s="914" t="s">
        <v>5832</v>
      </c>
      <c r="BF1327" s="914" t="s">
        <v>709</v>
      </c>
      <c r="BG1327" s="915" t="s">
        <v>29</v>
      </c>
      <c r="BH1327" s="1023" t="s">
        <v>8307</v>
      </c>
      <c r="BI1327" s="929" t="s">
        <v>709</v>
      </c>
      <c r="BJ1327" s="929" t="s">
        <v>745</v>
      </c>
      <c r="BK1327" s="916" t="s">
        <v>745</v>
      </c>
      <c r="BL1327" s="916" t="s">
        <v>116</v>
      </c>
      <c r="BM1327" s="916" t="s">
        <v>745</v>
      </c>
      <c r="BN1327" s="916" t="s">
        <v>745</v>
      </c>
      <c r="BO1327" s="916" t="s">
        <v>745</v>
      </c>
      <c r="BP1327" s="916" t="s">
        <v>745</v>
      </c>
      <c r="BQ1327" s="916" t="s">
        <v>709</v>
      </c>
      <c r="BR1327" s="916">
        <v>60</v>
      </c>
      <c r="BS1327" s="916" t="s">
        <v>709</v>
      </c>
      <c r="BT1327" s="916" t="s">
        <v>745</v>
      </c>
      <c r="BU1327" s="916" t="s">
        <v>745</v>
      </c>
      <c r="BV1327" s="916" t="s">
        <v>745</v>
      </c>
      <c r="BW1327" s="916" t="s">
        <v>745</v>
      </c>
      <c r="BX1327" s="916" t="s">
        <v>745</v>
      </c>
      <c r="BY1327" s="916" t="s">
        <v>745</v>
      </c>
      <c r="BZ1327" s="916" t="s">
        <v>709</v>
      </c>
      <c r="CA1327" s="917" t="s">
        <v>7317</v>
      </c>
      <c r="CB1327" s="547">
        <v>1323</v>
      </c>
      <c r="CC1327" s="1481" t="b">
        <v>0</v>
      </c>
      <c r="CD1327" s="879" t="str">
        <f>Table15[[#This Row],[Engineering Number]]&amp;Table15[[#This Row],[WO Number]]&amp;Table15[[#This Row],[Date Assigned to Designer]]&amp;Table15[[#This Row],[Date Completed]]</f>
        <v>N18674-112148124558645708</v>
      </c>
    </row>
    <row r="1328" spans="1:82" ht="15" customHeight="1" x14ac:dyDescent="0.25">
      <c r="A1328">
        <v>2025</v>
      </c>
      <c r="B1328" s="878" t="s">
        <v>1981</v>
      </c>
      <c r="C1328" s="878" t="s">
        <v>8308</v>
      </c>
      <c r="D1328" s="878" t="s">
        <v>8309</v>
      </c>
      <c r="E1328" s="878" t="s">
        <v>1780</v>
      </c>
      <c r="F1328" s="878" t="s">
        <v>7735</v>
      </c>
      <c r="G1328" s="878" t="s">
        <v>37</v>
      </c>
      <c r="H1328" s="878" t="s">
        <v>59</v>
      </c>
      <c r="I1328" s="883">
        <v>45611</v>
      </c>
      <c r="J1328" s="918">
        <v>45709</v>
      </c>
      <c r="K1328" s="945">
        <v>45709</v>
      </c>
      <c r="L1328" s="919">
        <f>IF(ISTEXT(Table15[[#This Row],[Engineering Approved Design Date]]),Table15[[#This Row],[Date Completed]]-Table15[[#This Row],[Date Assigned to Designer]],Table15[[#This Row],[Engineering Approved Design Date]]-Table15[[#This Row],[Date Completed]])</f>
        <v>0</v>
      </c>
      <c r="M1328" s="946"/>
      <c r="N1328" s="99" t="s">
        <v>120</v>
      </c>
      <c r="O1328" s="886">
        <v>45717</v>
      </c>
      <c r="P1328" s="1154" t="s">
        <v>739</v>
      </c>
      <c r="Q1328" s="1150">
        <f>Table15[[#This Row],[KH Hourly Effort]]+Table15[[#This Row],[Shactee Effort]]</f>
        <v>9710.7900000000009</v>
      </c>
      <c r="R1328" s="920" t="s">
        <v>1922</v>
      </c>
      <c r="S1328" s="888">
        <v>2355.79</v>
      </c>
      <c r="T1328" s="888">
        <v>0</v>
      </c>
      <c r="U1328" s="889">
        <v>7355</v>
      </c>
      <c r="V1328" s="890">
        <v>44</v>
      </c>
      <c r="W1328" s="1021">
        <v>1</v>
      </c>
      <c r="X1328" s="888">
        <v>132582.49</v>
      </c>
      <c r="Y1328" s="888"/>
      <c r="Z1328" s="975">
        <v>30492.080000000002</v>
      </c>
      <c r="AA1328" s="888">
        <f>SUM(Table15[[#This Row],[PCTS Investment Amount]:[PCTS Retirement Amount]])</f>
        <v>163074.57</v>
      </c>
      <c r="AB1328" s="893">
        <v>45728</v>
      </c>
      <c r="AC1328" s="896" t="s">
        <v>709</v>
      </c>
      <c r="AD1328" s="1155" t="s">
        <v>29</v>
      </c>
      <c r="AE1328" s="894" t="s">
        <v>29</v>
      </c>
      <c r="AF1328" s="896" t="s">
        <v>29</v>
      </c>
      <c r="AG1328" s="896" t="s">
        <v>29</v>
      </c>
      <c r="AH1328" s="902" t="s">
        <v>29</v>
      </c>
      <c r="AI1328" s="947">
        <v>5900</v>
      </c>
      <c r="AJ1328" s="948">
        <v>2355.79</v>
      </c>
      <c r="AK1328" s="948"/>
      <c r="AL1328" s="901">
        <f>SUM(Table15[[#This Row],[Nicor Initiated DBE]:[Staffing]])/(Table15[[#This Row],[Amount Invoiced]])</f>
        <v>0.85016667027090487</v>
      </c>
      <c r="AM1328" s="542" t="s">
        <v>709</v>
      </c>
      <c r="AN1328" s="924"/>
      <c r="AO1328" s="925"/>
      <c r="AP1328" s="926"/>
      <c r="AQ1328" s="926"/>
      <c r="AR1328" s="926"/>
      <c r="AS1328" s="926"/>
      <c r="AT1328" s="926"/>
      <c r="AU1328" s="926"/>
      <c r="AV1328" s="926"/>
      <c r="AW1328" s="927"/>
      <c r="AX1328" s="926"/>
      <c r="AY1328" s="1538" t="s">
        <v>29</v>
      </c>
      <c r="AZ1328" s="1530"/>
      <c r="BA1328" s="910" t="s">
        <v>8310</v>
      </c>
      <c r="BB1328" s="949" t="s">
        <v>8311</v>
      </c>
      <c r="BC1328" s="950" t="s">
        <v>116</v>
      </c>
      <c r="BD1328" s="951" t="s">
        <v>882</v>
      </c>
      <c r="BE1328" s="952" t="s">
        <v>8312</v>
      </c>
      <c r="BF1328" s="952" t="s">
        <v>3926</v>
      </c>
      <c r="BG1328" s="976" t="s">
        <v>709</v>
      </c>
      <c r="BH1328" s="1175" t="s">
        <v>8313</v>
      </c>
      <c r="BI1328" s="929" t="s">
        <v>709</v>
      </c>
      <c r="BJ1328" s="929" t="s">
        <v>709</v>
      </c>
      <c r="BK1328" s="929" t="s">
        <v>709</v>
      </c>
      <c r="BL1328" s="916" t="s">
        <v>116</v>
      </c>
      <c r="BM1328" s="929" t="s">
        <v>709</v>
      </c>
      <c r="BN1328" s="929" t="s">
        <v>709</v>
      </c>
      <c r="BO1328" s="929" t="s">
        <v>709</v>
      </c>
      <c r="BP1328" s="929" t="s">
        <v>709</v>
      </c>
      <c r="BQ1328" s="929">
        <v>44</v>
      </c>
      <c r="BR1328" s="929" t="s">
        <v>709</v>
      </c>
      <c r="BS1328" s="916" t="s">
        <v>709</v>
      </c>
      <c r="BT1328" s="929" t="s">
        <v>709</v>
      </c>
      <c r="BU1328" s="929" t="s">
        <v>709</v>
      </c>
      <c r="BV1328" s="929" t="s">
        <v>709</v>
      </c>
      <c r="BW1328" s="929" t="s">
        <v>709</v>
      </c>
      <c r="BX1328" s="929" t="s">
        <v>709</v>
      </c>
      <c r="BY1328" s="929" t="s">
        <v>709</v>
      </c>
      <c r="BZ1328" s="929">
        <v>1</v>
      </c>
      <c r="CA1328" s="917" t="s">
        <v>8314</v>
      </c>
      <c r="CB1328" s="547">
        <v>1334</v>
      </c>
      <c r="CC1328" s="1481" t="b">
        <v>0</v>
      </c>
      <c r="CD1328" s="879" t="str">
        <f>Table15[[#This Row],[Engineering Number]]&amp;Table15[[#This Row],[WO Number]]&amp;Table15[[#This Row],[Date Assigned to Designer]]&amp;Table15[[#This Row],[Date Completed]]</f>
        <v>COR105912147054561145709</v>
      </c>
    </row>
    <row r="1329" spans="1:82" ht="15" customHeight="1" x14ac:dyDescent="0.25">
      <c r="A1329">
        <v>2025</v>
      </c>
      <c r="B1329" s="878" t="s">
        <v>1981</v>
      </c>
      <c r="C1329" s="878" t="s">
        <v>8315</v>
      </c>
      <c r="D1329" s="878" t="s">
        <v>8316</v>
      </c>
      <c r="E1329" s="878" t="s">
        <v>388</v>
      </c>
      <c r="F1329" s="878" t="s">
        <v>7735</v>
      </c>
      <c r="G1329" s="878" t="s">
        <v>37</v>
      </c>
      <c r="H1329" s="878" t="s">
        <v>59</v>
      </c>
      <c r="I1329" s="883">
        <v>45611</v>
      </c>
      <c r="J1329" s="918">
        <v>45709</v>
      </c>
      <c r="K1329" s="945">
        <v>45709</v>
      </c>
      <c r="L1329" s="919">
        <f>IF(ISTEXT(Table15[[#This Row],[Engineering Approved Design Date]]),Table15[[#This Row],[Date Completed]]-Table15[[#This Row],[Date Assigned to Designer]],Table15[[#This Row],[Engineering Approved Design Date]]-Table15[[#This Row],[Date Completed]])</f>
        <v>0</v>
      </c>
      <c r="M1329" s="946"/>
      <c r="N1329" s="99" t="s">
        <v>120</v>
      </c>
      <c r="O1329" s="886">
        <v>45717</v>
      </c>
      <c r="P1329" s="1154" t="s">
        <v>739</v>
      </c>
      <c r="Q1329" s="1150">
        <f>Table15[[#This Row],[KH Hourly Effort]]+Table15[[#This Row],[Shactee Effort]]</f>
        <v>9940</v>
      </c>
      <c r="R1329" s="920" t="s">
        <v>1922</v>
      </c>
      <c r="S1329" s="888">
        <v>0</v>
      </c>
      <c r="T1329" s="888">
        <v>0</v>
      </c>
      <c r="U1329" s="889">
        <v>9940</v>
      </c>
      <c r="V1329" s="890">
        <v>23</v>
      </c>
      <c r="W1329" s="1021">
        <v>1</v>
      </c>
      <c r="X1329" s="975">
        <v>73739.28</v>
      </c>
      <c r="Y1329" s="888"/>
      <c r="Z1329" s="975">
        <v>14905</v>
      </c>
      <c r="AA1329" s="888">
        <f>SUM(Table15[[#This Row],[PCTS Investment Amount]:[PCTS Retirement Amount]])</f>
        <v>88644.28</v>
      </c>
      <c r="AB1329" s="893">
        <v>45728</v>
      </c>
      <c r="AC1329" s="896" t="s">
        <v>709</v>
      </c>
      <c r="AD1329" s="1155" t="s">
        <v>29</v>
      </c>
      <c r="AE1329" s="894" t="s">
        <v>29</v>
      </c>
      <c r="AF1329" s="896" t="s">
        <v>29</v>
      </c>
      <c r="AG1329" s="896" t="s">
        <v>29</v>
      </c>
      <c r="AH1329" s="902" t="s">
        <v>29</v>
      </c>
      <c r="AI1329" s="947"/>
      <c r="AJ1329" s="948"/>
      <c r="AK1329" s="948"/>
      <c r="AL1329" s="901">
        <f>SUM(Table15[[#This Row],[Nicor Initiated DBE]:[Staffing]])/(Table15[[#This Row],[Amount Invoiced]])</f>
        <v>0</v>
      </c>
      <c r="AM1329" s="542" t="s">
        <v>709</v>
      </c>
      <c r="AN1329" s="924"/>
      <c r="AO1329" s="925"/>
      <c r="AP1329" s="926"/>
      <c r="AQ1329" s="926"/>
      <c r="AR1329" s="926"/>
      <c r="AS1329" s="926"/>
      <c r="AT1329" s="926"/>
      <c r="AU1329" s="926"/>
      <c r="AV1329" s="926"/>
      <c r="AW1329" s="927"/>
      <c r="AX1329" s="926"/>
      <c r="AY1329" s="1538" t="s">
        <v>29</v>
      </c>
      <c r="AZ1329" s="1530"/>
      <c r="BA1329" s="910" t="s">
        <v>8310</v>
      </c>
      <c r="BB1329" s="949" t="s">
        <v>8311</v>
      </c>
      <c r="BC1329" s="950" t="s">
        <v>116</v>
      </c>
      <c r="BD1329" s="951" t="s">
        <v>882</v>
      </c>
      <c r="BE1329" s="952" t="s">
        <v>8312</v>
      </c>
      <c r="BF1329" s="952" t="s">
        <v>3926</v>
      </c>
      <c r="BG1329" s="976" t="s">
        <v>709</v>
      </c>
      <c r="BH1329" s="1175" t="s">
        <v>8317</v>
      </c>
      <c r="BI1329" s="929" t="s">
        <v>709</v>
      </c>
      <c r="BJ1329" s="929" t="s">
        <v>709</v>
      </c>
      <c r="BK1329" s="929" t="s">
        <v>709</v>
      </c>
      <c r="BL1329" s="916" t="s">
        <v>116</v>
      </c>
      <c r="BM1329" s="929" t="s">
        <v>709</v>
      </c>
      <c r="BN1329" s="929" t="s">
        <v>709</v>
      </c>
      <c r="BO1329" s="929" t="s">
        <v>709</v>
      </c>
      <c r="BP1329" s="929" t="s">
        <v>709</v>
      </c>
      <c r="BQ1329" s="929" t="s">
        <v>709</v>
      </c>
      <c r="BR1329" s="929" t="s">
        <v>709</v>
      </c>
      <c r="BS1329" s="916">
        <v>23</v>
      </c>
      <c r="BT1329" s="929" t="s">
        <v>709</v>
      </c>
      <c r="BU1329" s="929" t="s">
        <v>709</v>
      </c>
      <c r="BV1329" s="929" t="s">
        <v>709</v>
      </c>
      <c r="BW1329" s="929" t="s">
        <v>709</v>
      </c>
      <c r="BX1329" s="929" t="s">
        <v>709</v>
      </c>
      <c r="BY1329" s="929" t="s">
        <v>709</v>
      </c>
      <c r="BZ1329" s="929">
        <v>1</v>
      </c>
      <c r="CA1329" s="917" t="s">
        <v>8314</v>
      </c>
      <c r="CB1329" s="547">
        <v>1333</v>
      </c>
      <c r="CC1329" s="1481" t="b">
        <v>0</v>
      </c>
      <c r="CD1329" s="879" t="str">
        <f>Table15[[#This Row],[Engineering Number]]&amp;Table15[[#This Row],[WO Number]]&amp;Table15[[#This Row],[Date Assigned to Designer]]&amp;Table15[[#This Row],[Date Completed]]</f>
        <v>COR1059-112149134561145709</v>
      </c>
    </row>
    <row r="1330" spans="1:82" ht="15" customHeight="1" x14ac:dyDescent="0.25">
      <c r="A1330">
        <v>2025</v>
      </c>
      <c r="B1330" s="878" t="s">
        <v>1981</v>
      </c>
      <c r="C1330" s="878" t="s">
        <v>8318</v>
      </c>
      <c r="D1330" s="878" t="s">
        <v>8319</v>
      </c>
      <c r="E1330" s="878" t="s">
        <v>2361</v>
      </c>
      <c r="F1330" s="878" t="s">
        <v>7735</v>
      </c>
      <c r="G1330" s="878" t="s">
        <v>37</v>
      </c>
      <c r="H1330" s="878" t="s">
        <v>59</v>
      </c>
      <c r="I1330" s="883">
        <v>45611</v>
      </c>
      <c r="J1330" s="918">
        <v>45709</v>
      </c>
      <c r="K1330" s="945">
        <v>45709</v>
      </c>
      <c r="L1330" s="919">
        <f>IF(ISTEXT(Table15[[#This Row],[Engineering Approved Design Date]]),Table15[[#This Row],[Date Completed]]-Table15[[#This Row],[Date Assigned to Designer]],Table15[[#This Row],[Engineering Approved Design Date]]-Table15[[#This Row],[Date Completed]])</f>
        <v>0</v>
      </c>
      <c r="M1330" s="946"/>
      <c r="N1330" s="99" t="s">
        <v>120</v>
      </c>
      <c r="O1330" s="886">
        <v>45717</v>
      </c>
      <c r="P1330" s="1154" t="s">
        <v>739</v>
      </c>
      <c r="Q1330" s="1150">
        <f>Table15[[#This Row],[KH Hourly Effort]]+Table15[[#This Row],[Shactee Effort]]</f>
        <v>12575</v>
      </c>
      <c r="R1330" s="920" t="s">
        <v>1922</v>
      </c>
      <c r="S1330" s="888">
        <v>0</v>
      </c>
      <c r="T1330" s="888">
        <v>0</v>
      </c>
      <c r="U1330" s="889">
        <v>12575</v>
      </c>
      <c r="V1330" s="890">
        <v>37</v>
      </c>
      <c r="W1330" s="1021">
        <v>1</v>
      </c>
      <c r="X1330" s="975">
        <v>126713.92</v>
      </c>
      <c r="Y1330" s="888"/>
      <c r="Z1330" s="975">
        <v>66727.39</v>
      </c>
      <c r="AA1330" s="888">
        <f>SUM(Table15[[#This Row],[PCTS Investment Amount]:[PCTS Retirement Amount]])</f>
        <v>193441.31</v>
      </c>
      <c r="AB1330" s="893">
        <v>45728</v>
      </c>
      <c r="AC1330" s="896" t="s">
        <v>709</v>
      </c>
      <c r="AD1330" s="1155" t="s">
        <v>29</v>
      </c>
      <c r="AE1330" s="894" t="s">
        <v>29</v>
      </c>
      <c r="AF1330" s="896" t="s">
        <v>29</v>
      </c>
      <c r="AG1330" s="896" t="s">
        <v>29</v>
      </c>
      <c r="AH1330" s="902" t="s">
        <v>29</v>
      </c>
      <c r="AI1330" s="947"/>
      <c r="AJ1330" s="948"/>
      <c r="AK1330" s="948"/>
      <c r="AL1330" s="901">
        <f>SUM(Table15[[#This Row],[Nicor Initiated DBE]:[Staffing]])/(Table15[[#This Row],[Amount Invoiced]])</f>
        <v>0</v>
      </c>
      <c r="AM1330" s="542" t="s">
        <v>709</v>
      </c>
      <c r="AN1330" s="924"/>
      <c r="AO1330" s="925"/>
      <c r="AP1330" s="926"/>
      <c r="AQ1330" s="926"/>
      <c r="AR1330" s="926"/>
      <c r="AS1330" s="926"/>
      <c r="AT1330" s="926"/>
      <c r="AU1330" s="926"/>
      <c r="AV1330" s="926"/>
      <c r="AW1330" s="927"/>
      <c r="AX1330" s="926"/>
      <c r="AY1330" s="1538" t="s">
        <v>29</v>
      </c>
      <c r="AZ1330" s="1530"/>
      <c r="BA1330" s="910" t="s">
        <v>8310</v>
      </c>
      <c r="BB1330" s="949" t="s">
        <v>8311</v>
      </c>
      <c r="BC1330" s="950" t="s">
        <v>116</v>
      </c>
      <c r="BD1330" s="951" t="s">
        <v>882</v>
      </c>
      <c r="BE1330" s="952" t="s">
        <v>8312</v>
      </c>
      <c r="BF1330" s="952" t="s">
        <v>3926</v>
      </c>
      <c r="BG1330" s="976" t="s">
        <v>709</v>
      </c>
      <c r="BH1330" s="1175" t="s">
        <v>8320</v>
      </c>
      <c r="BI1330" s="929" t="s">
        <v>709</v>
      </c>
      <c r="BJ1330" s="929" t="s">
        <v>709</v>
      </c>
      <c r="BK1330" s="929" t="s">
        <v>709</v>
      </c>
      <c r="BL1330" s="916" t="s">
        <v>116</v>
      </c>
      <c r="BM1330" s="929" t="s">
        <v>709</v>
      </c>
      <c r="BN1330" s="929" t="s">
        <v>709</v>
      </c>
      <c r="BO1330" s="929" t="s">
        <v>709</v>
      </c>
      <c r="BP1330" s="929" t="s">
        <v>709</v>
      </c>
      <c r="BQ1330" s="929" t="s">
        <v>709</v>
      </c>
      <c r="BR1330" s="929">
        <v>37</v>
      </c>
      <c r="BS1330" s="916" t="s">
        <v>709</v>
      </c>
      <c r="BT1330" s="929" t="s">
        <v>709</v>
      </c>
      <c r="BU1330" s="929" t="s">
        <v>709</v>
      </c>
      <c r="BV1330" s="929" t="s">
        <v>709</v>
      </c>
      <c r="BW1330" s="929" t="s">
        <v>709</v>
      </c>
      <c r="BX1330" s="929" t="s">
        <v>709</v>
      </c>
      <c r="BY1330" s="929" t="s">
        <v>709</v>
      </c>
      <c r="BZ1330" s="929">
        <v>1</v>
      </c>
      <c r="CA1330" s="917" t="s">
        <v>8321</v>
      </c>
      <c r="CB1330" s="547">
        <v>1331</v>
      </c>
      <c r="CC1330" s="1481" t="b">
        <v>0</v>
      </c>
      <c r="CD1330" s="879" t="str">
        <f>Table15[[#This Row],[Engineering Number]]&amp;Table15[[#This Row],[WO Number]]&amp;Table15[[#This Row],[Date Assigned to Designer]]&amp;Table15[[#This Row],[Date Completed]]</f>
        <v>COR1059-212149144561145709</v>
      </c>
    </row>
    <row r="1331" spans="1:82" ht="15" customHeight="1" x14ac:dyDescent="0.25">
      <c r="A1331">
        <v>2025</v>
      </c>
      <c r="B1331" s="878" t="s">
        <v>1981</v>
      </c>
      <c r="C1331" s="878" t="s">
        <v>8322</v>
      </c>
      <c r="D1331" s="878" t="s">
        <v>8323</v>
      </c>
      <c r="E1331" s="878" t="s">
        <v>2304</v>
      </c>
      <c r="F1331" s="878" t="s">
        <v>7735</v>
      </c>
      <c r="G1331" s="878" t="s">
        <v>37</v>
      </c>
      <c r="H1331" s="878" t="s">
        <v>59</v>
      </c>
      <c r="I1331" s="883">
        <v>45611</v>
      </c>
      <c r="J1331" s="918">
        <v>45709</v>
      </c>
      <c r="K1331" s="945">
        <v>45709</v>
      </c>
      <c r="L1331" s="919">
        <f>IF(ISTEXT(Table15[[#This Row],[Engineering Approved Design Date]]),Table15[[#This Row],[Date Completed]]-Table15[[#This Row],[Date Assigned to Designer]],Table15[[#This Row],[Engineering Approved Design Date]]-Table15[[#This Row],[Date Completed]])</f>
        <v>0</v>
      </c>
      <c r="M1331" s="946"/>
      <c r="N1331" s="99" t="s">
        <v>120</v>
      </c>
      <c r="O1331" s="886">
        <v>45717</v>
      </c>
      <c r="P1331" s="1154" t="s">
        <v>739</v>
      </c>
      <c r="Q1331" s="1150">
        <f>Table15[[#This Row],[KH Hourly Effort]]+Table15[[#This Row],[Shactee Effort]]</f>
        <v>22725</v>
      </c>
      <c r="R1331" s="920" t="s">
        <v>1922</v>
      </c>
      <c r="S1331" s="888">
        <v>0</v>
      </c>
      <c r="T1331" s="888">
        <v>0</v>
      </c>
      <c r="U1331" s="889">
        <v>22725</v>
      </c>
      <c r="V1331" s="890">
        <v>99</v>
      </c>
      <c r="W1331" s="1021">
        <v>2</v>
      </c>
      <c r="X1331" s="975">
        <v>257615.03</v>
      </c>
      <c r="Y1331" s="888"/>
      <c r="Z1331" s="975">
        <v>103729.59</v>
      </c>
      <c r="AA1331" s="888">
        <f>SUM(Table15[[#This Row],[PCTS Investment Amount]:[PCTS Retirement Amount]])</f>
        <v>361344.62</v>
      </c>
      <c r="AB1331" s="893">
        <v>45728</v>
      </c>
      <c r="AC1331" s="896" t="s">
        <v>709</v>
      </c>
      <c r="AD1331" s="1155" t="s">
        <v>29</v>
      </c>
      <c r="AE1331" s="894" t="s">
        <v>116</v>
      </c>
      <c r="AF1331" s="896" t="s">
        <v>29</v>
      </c>
      <c r="AG1331" s="896" t="s">
        <v>376</v>
      </c>
      <c r="AH1331" s="902">
        <v>45756</v>
      </c>
      <c r="AI1331" s="947"/>
      <c r="AJ1331" s="948"/>
      <c r="AK1331" s="948"/>
      <c r="AL1331" s="901">
        <f>SUM(Table15[[#This Row],[Nicor Initiated DBE]:[Staffing]])/(Table15[[#This Row],[Amount Invoiced]])</f>
        <v>0</v>
      </c>
      <c r="AM1331" s="542" t="s">
        <v>709</v>
      </c>
      <c r="AN1331" s="924"/>
      <c r="AO1331" s="925"/>
      <c r="AP1331" s="926"/>
      <c r="AQ1331" s="926"/>
      <c r="AR1331" s="926"/>
      <c r="AS1331" s="926"/>
      <c r="AT1331" s="926"/>
      <c r="AU1331" s="926"/>
      <c r="AV1331" s="926"/>
      <c r="AW1331" s="927"/>
      <c r="AX1331" s="926"/>
      <c r="AY1331" s="1538" t="s">
        <v>29</v>
      </c>
      <c r="AZ1331" s="1530"/>
      <c r="BA1331" s="910" t="s">
        <v>8310</v>
      </c>
      <c r="BB1331" s="949" t="s">
        <v>8311</v>
      </c>
      <c r="BC1331" s="950" t="s">
        <v>116</v>
      </c>
      <c r="BD1331" s="951" t="s">
        <v>882</v>
      </c>
      <c r="BE1331" s="952" t="s">
        <v>8312</v>
      </c>
      <c r="BF1331" s="952" t="s">
        <v>3926</v>
      </c>
      <c r="BG1331" s="976" t="s">
        <v>709</v>
      </c>
      <c r="BH1331" s="1175" t="s">
        <v>8324</v>
      </c>
      <c r="BI1331" s="929" t="s">
        <v>709</v>
      </c>
      <c r="BJ1331" s="929" t="s">
        <v>709</v>
      </c>
      <c r="BK1331" s="929" t="s">
        <v>709</v>
      </c>
      <c r="BL1331" s="916" t="s">
        <v>116</v>
      </c>
      <c r="BM1331" s="929" t="s">
        <v>709</v>
      </c>
      <c r="BN1331" s="929" t="s">
        <v>709</v>
      </c>
      <c r="BO1331" s="929" t="s">
        <v>709</v>
      </c>
      <c r="BP1331" s="929" t="s">
        <v>709</v>
      </c>
      <c r="BQ1331" s="929" t="s">
        <v>709</v>
      </c>
      <c r="BR1331" s="929">
        <v>30</v>
      </c>
      <c r="BS1331" s="916">
        <v>69</v>
      </c>
      <c r="BT1331" s="929" t="s">
        <v>709</v>
      </c>
      <c r="BU1331" s="929" t="s">
        <v>709</v>
      </c>
      <c r="BV1331" s="929" t="s">
        <v>709</v>
      </c>
      <c r="BW1331" s="929" t="s">
        <v>709</v>
      </c>
      <c r="BX1331" s="929" t="s">
        <v>709</v>
      </c>
      <c r="BY1331" s="929" t="s">
        <v>709</v>
      </c>
      <c r="BZ1331" s="929">
        <v>2</v>
      </c>
      <c r="CA1331" s="917" t="s">
        <v>8325</v>
      </c>
      <c r="CB1331" s="547">
        <v>1326</v>
      </c>
      <c r="CC1331" s="1481" t="b">
        <v>0</v>
      </c>
      <c r="CD1331" s="879" t="str">
        <f>Table15[[#This Row],[Engineering Number]]&amp;Table15[[#This Row],[WO Number]]&amp;Table15[[#This Row],[Date Assigned to Designer]]&amp;Table15[[#This Row],[Date Completed]]</f>
        <v>COR1059-312149154561145709</v>
      </c>
    </row>
    <row r="1332" spans="1:82" ht="15" customHeight="1" x14ac:dyDescent="0.25">
      <c r="A1332">
        <v>2025</v>
      </c>
      <c r="B1332" s="878" t="s">
        <v>1981</v>
      </c>
      <c r="C1332" s="878" t="s">
        <v>8326</v>
      </c>
      <c r="D1332" s="878" t="s">
        <v>8327</v>
      </c>
      <c r="E1332" s="878" t="s">
        <v>2144</v>
      </c>
      <c r="F1332" s="878" t="s">
        <v>7735</v>
      </c>
      <c r="G1332" s="878" t="s">
        <v>37</v>
      </c>
      <c r="H1332" s="878" t="s">
        <v>59</v>
      </c>
      <c r="I1332" s="883">
        <v>45611</v>
      </c>
      <c r="J1332" s="918">
        <v>45709</v>
      </c>
      <c r="K1332" s="945">
        <v>45709</v>
      </c>
      <c r="L1332" s="919">
        <f>IF(ISTEXT(Table15[[#This Row],[Engineering Approved Design Date]]),Table15[[#This Row],[Date Completed]]-Table15[[#This Row],[Date Assigned to Designer]],Table15[[#This Row],[Engineering Approved Design Date]]-Table15[[#This Row],[Date Completed]])</f>
        <v>0</v>
      </c>
      <c r="M1332" s="946"/>
      <c r="N1332" s="99" t="s">
        <v>120</v>
      </c>
      <c r="O1332" s="886">
        <v>45717</v>
      </c>
      <c r="P1332" s="1154" t="s">
        <v>739</v>
      </c>
      <c r="Q1332" s="1150">
        <f>Table15[[#This Row],[KH Hourly Effort]]+Table15[[#This Row],[Shactee Effort]]</f>
        <v>30255.989999999998</v>
      </c>
      <c r="R1332" s="920" t="s">
        <v>1922</v>
      </c>
      <c r="S1332" s="888">
        <v>5723.49</v>
      </c>
      <c r="T1332" s="888">
        <v>0</v>
      </c>
      <c r="U1332" s="889">
        <v>24532.5</v>
      </c>
      <c r="V1332" s="890">
        <v>53</v>
      </c>
      <c r="W1332" s="1021">
        <v>2</v>
      </c>
      <c r="X1332" s="975">
        <v>217320.7</v>
      </c>
      <c r="Y1332" s="888"/>
      <c r="Z1332" s="975">
        <v>72779.88</v>
      </c>
      <c r="AA1332" s="888">
        <f>SUM(Table15[[#This Row],[PCTS Investment Amount]:[PCTS Retirement Amount]])</f>
        <v>290100.58</v>
      </c>
      <c r="AB1332" s="893">
        <v>45721</v>
      </c>
      <c r="AC1332" s="896" t="s">
        <v>709</v>
      </c>
      <c r="AD1332" s="1155" t="s">
        <v>29</v>
      </c>
      <c r="AE1332" s="894" t="s">
        <v>116</v>
      </c>
      <c r="AF1332" s="896" t="s">
        <v>29</v>
      </c>
      <c r="AG1332" s="896" t="s">
        <v>376</v>
      </c>
      <c r="AH1332" s="902">
        <v>45756</v>
      </c>
      <c r="AI1332" s="947">
        <v>4340</v>
      </c>
      <c r="AJ1332" s="948">
        <v>1410.24</v>
      </c>
      <c r="AK1332" s="948">
        <v>4313.25</v>
      </c>
      <c r="AL1332" s="901">
        <f>SUM(Table15[[#This Row],[Nicor Initiated DBE]:[Staffing]])/(Table15[[#This Row],[Amount Invoiced]])</f>
        <v>0.33261149279861607</v>
      </c>
      <c r="AM1332" s="542" t="s">
        <v>709</v>
      </c>
      <c r="AN1332" s="924"/>
      <c r="AO1332" s="925"/>
      <c r="AP1332" s="926"/>
      <c r="AQ1332" s="926"/>
      <c r="AR1332" s="926"/>
      <c r="AS1332" s="926"/>
      <c r="AT1332" s="926"/>
      <c r="AU1332" s="926"/>
      <c r="AV1332" s="926"/>
      <c r="AW1332" s="927"/>
      <c r="AX1332" s="926"/>
      <c r="AY1332" s="1538" t="s">
        <v>29</v>
      </c>
      <c r="AZ1332" s="1530"/>
      <c r="BA1332" s="910" t="s">
        <v>8328</v>
      </c>
      <c r="BB1332" s="949" t="s">
        <v>8329</v>
      </c>
      <c r="BC1332" s="950" t="s">
        <v>116</v>
      </c>
      <c r="BD1332" s="951" t="s">
        <v>882</v>
      </c>
      <c r="BE1332" s="952" t="s">
        <v>8330</v>
      </c>
      <c r="BF1332" s="952" t="s">
        <v>709</v>
      </c>
      <c r="BG1332" s="953" t="s">
        <v>709</v>
      </c>
      <c r="BH1332" s="1175" t="s">
        <v>8331</v>
      </c>
      <c r="BI1332" s="929" t="s">
        <v>709</v>
      </c>
      <c r="BJ1332" s="929" t="s">
        <v>709</v>
      </c>
      <c r="BK1332" s="929" t="s">
        <v>709</v>
      </c>
      <c r="BL1332" s="916" t="s">
        <v>116</v>
      </c>
      <c r="BM1332" s="929" t="s">
        <v>709</v>
      </c>
      <c r="BN1332" s="929" t="s">
        <v>709</v>
      </c>
      <c r="BO1332" s="929" t="s">
        <v>709</v>
      </c>
      <c r="BP1332" s="929">
        <v>33</v>
      </c>
      <c r="BQ1332" s="929">
        <v>20</v>
      </c>
      <c r="BR1332" s="929" t="s">
        <v>709</v>
      </c>
      <c r="BS1332" s="916" t="s">
        <v>709</v>
      </c>
      <c r="BT1332" s="929" t="s">
        <v>709</v>
      </c>
      <c r="BU1332" s="929" t="s">
        <v>709</v>
      </c>
      <c r="BV1332" s="929" t="s">
        <v>709</v>
      </c>
      <c r="BW1332" s="929" t="s">
        <v>709</v>
      </c>
      <c r="BX1332" s="929" t="s">
        <v>709</v>
      </c>
      <c r="BY1332" s="929" t="s">
        <v>709</v>
      </c>
      <c r="BZ1332" s="929">
        <v>2</v>
      </c>
      <c r="CA1332" s="917" t="s">
        <v>8332</v>
      </c>
      <c r="CB1332" s="547">
        <v>1332</v>
      </c>
      <c r="CC1332" s="1481" t="b">
        <v>0</v>
      </c>
      <c r="CD1332" s="879" t="str">
        <f>Table15[[#This Row],[Engineering Number]]&amp;Table15[[#This Row],[WO Number]]&amp;Table15[[#This Row],[Date Assigned to Designer]]&amp;Table15[[#This Row],[Date Completed]]</f>
        <v>COR106212146464561145709</v>
      </c>
    </row>
    <row r="1333" spans="1:82" ht="15" customHeight="1" x14ac:dyDescent="0.25">
      <c r="A1333">
        <v>2025</v>
      </c>
      <c r="B1333" s="878" t="s">
        <v>1981</v>
      </c>
      <c r="C1333" s="878" t="s">
        <v>8333</v>
      </c>
      <c r="D1333" s="878" t="s">
        <v>8334</v>
      </c>
      <c r="E1333" s="878" t="s">
        <v>2304</v>
      </c>
      <c r="F1333" s="878" t="s">
        <v>7735</v>
      </c>
      <c r="G1333" s="878" t="s">
        <v>37</v>
      </c>
      <c r="H1333" s="878" t="s">
        <v>413</v>
      </c>
      <c r="I1333" s="883">
        <v>45611</v>
      </c>
      <c r="J1333" s="918">
        <v>45709</v>
      </c>
      <c r="K1333" s="945">
        <v>45709</v>
      </c>
      <c r="L1333" s="919">
        <f>IF(ISTEXT(Table15[[#This Row],[Engineering Approved Design Date]]),Table15[[#This Row],[Date Completed]]-Table15[[#This Row],[Date Assigned to Designer]],Table15[[#This Row],[Engineering Approved Design Date]]-Table15[[#This Row],[Date Completed]])</f>
        <v>0</v>
      </c>
      <c r="M1333" s="946"/>
      <c r="N1333" s="99" t="s">
        <v>120</v>
      </c>
      <c r="O1333" s="886">
        <v>45717</v>
      </c>
      <c r="P1333" s="1154" t="s">
        <v>739</v>
      </c>
      <c r="Q1333" s="1150">
        <f>Table15[[#This Row],[KH Hourly Effort]]+Table15[[#This Row],[Shactee Effort]]</f>
        <v>12280</v>
      </c>
      <c r="R1333" s="920" t="s">
        <v>1922</v>
      </c>
      <c r="S1333" s="888">
        <v>0</v>
      </c>
      <c r="T1333" s="888">
        <v>0</v>
      </c>
      <c r="U1333" s="889">
        <v>12280</v>
      </c>
      <c r="V1333" s="890">
        <v>30</v>
      </c>
      <c r="W1333" s="1021">
        <v>1</v>
      </c>
      <c r="X1333" s="975">
        <v>71604.5</v>
      </c>
      <c r="Y1333" s="888"/>
      <c r="Z1333" s="975">
        <v>28414.95</v>
      </c>
      <c r="AA1333" s="888">
        <f>SUM(Table15[[#This Row],[PCTS Investment Amount]:[PCTS Retirement Amount]])</f>
        <v>100019.45</v>
      </c>
      <c r="AB1333" s="893">
        <v>45721</v>
      </c>
      <c r="AC1333" s="896" t="s">
        <v>709</v>
      </c>
      <c r="AD1333" s="1155" t="s">
        <v>29</v>
      </c>
      <c r="AE1333" s="894" t="s">
        <v>116</v>
      </c>
      <c r="AF1333" s="896" t="s">
        <v>29</v>
      </c>
      <c r="AG1333" s="896" t="s">
        <v>376</v>
      </c>
      <c r="AH1333" s="902">
        <v>45756</v>
      </c>
      <c r="AI1333" s="947"/>
      <c r="AJ1333" s="948"/>
      <c r="AK1333" s="948"/>
      <c r="AL1333" s="901">
        <f>SUM(Table15[[#This Row],[Nicor Initiated DBE]:[Staffing]])/(Table15[[#This Row],[Amount Invoiced]])</f>
        <v>0</v>
      </c>
      <c r="AM1333" s="542" t="s">
        <v>709</v>
      </c>
      <c r="AN1333" s="924"/>
      <c r="AO1333" s="925"/>
      <c r="AP1333" s="926"/>
      <c r="AQ1333" s="926"/>
      <c r="AR1333" s="926"/>
      <c r="AS1333" s="926"/>
      <c r="AT1333" s="926"/>
      <c r="AU1333" s="926"/>
      <c r="AV1333" s="926"/>
      <c r="AW1333" s="927"/>
      <c r="AX1333" s="926"/>
      <c r="AY1333" s="1538" t="s">
        <v>29</v>
      </c>
      <c r="AZ1333" s="1530"/>
      <c r="BA1333" s="910" t="s">
        <v>8328</v>
      </c>
      <c r="BB1333" s="949" t="s">
        <v>8329</v>
      </c>
      <c r="BC1333" s="950" t="s">
        <v>116</v>
      </c>
      <c r="BD1333" s="951" t="s">
        <v>882</v>
      </c>
      <c r="BE1333" s="952" t="s">
        <v>8330</v>
      </c>
      <c r="BF1333" s="952" t="s">
        <v>709</v>
      </c>
      <c r="BG1333" s="953" t="s">
        <v>709</v>
      </c>
      <c r="BH1333" s="1175" t="s">
        <v>8335</v>
      </c>
      <c r="BI1333" s="929" t="s">
        <v>709</v>
      </c>
      <c r="BJ1333" s="929" t="s">
        <v>709</v>
      </c>
      <c r="BK1333" s="929" t="s">
        <v>709</v>
      </c>
      <c r="BL1333" s="916" t="s">
        <v>116</v>
      </c>
      <c r="BM1333" s="929" t="s">
        <v>709</v>
      </c>
      <c r="BN1333" s="929" t="s">
        <v>709</v>
      </c>
      <c r="BO1333" s="929" t="s">
        <v>709</v>
      </c>
      <c r="BP1333" s="929" t="s">
        <v>709</v>
      </c>
      <c r="BQ1333" s="929" t="s">
        <v>709</v>
      </c>
      <c r="BR1333" s="929" t="s">
        <v>709</v>
      </c>
      <c r="BS1333" s="916">
        <v>30</v>
      </c>
      <c r="BT1333" s="929" t="s">
        <v>709</v>
      </c>
      <c r="BU1333" s="929" t="s">
        <v>709</v>
      </c>
      <c r="BV1333" s="929" t="s">
        <v>709</v>
      </c>
      <c r="BW1333" s="929" t="s">
        <v>709</v>
      </c>
      <c r="BX1333" s="929" t="s">
        <v>709</v>
      </c>
      <c r="BY1333" s="929" t="s">
        <v>709</v>
      </c>
      <c r="BZ1333" s="929">
        <v>1</v>
      </c>
      <c r="CA1333" s="917" t="s">
        <v>8297</v>
      </c>
      <c r="CB1333" s="547">
        <v>1327</v>
      </c>
      <c r="CC1333" s="1481" t="b">
        <v>0</v>
      </c>
      <c r="CD1333" s="879" t="str">
        <f>Table15[[#This Row],[Engineering Number]]&amp;Table15[[#This Row],[WO Number]]&amp;Table15[[#This Row],[Date Assigned to Designer]]&amp;Table15[[#This Row],[Date Completed]]</f>
        <v>COR1062-11214916 4561145709</v>
      </c>
    </row>
    <row r="1334" spans="1:82" ht="15" customHeight="1" x14ac:dyDescent="0.25">
      <c r="A1334">
        <v>2025</v>
      </c>
      <c r="B1334" s="878" t="s">
        <v>1981</v>
      </c>
      <c r="C1334" s="878" t="s">
        <v>8336</v>
      </c>
      <c r="D1334" s="878" t="s">
        <v>8337</v>
      </c>
      <c r="E1334" s="878" t="s">
        <v>5016</v>
      </c>
      <c r="F1334" s="878" t="s">
        <v>7735</v>
      </c>
      <c r="G1334" s="878" t="s">
        <v>37</v>
      </c>
      <c r="H1334" s="878" t="s">
        <v>59</v>
      </c>
      <c r="I1334" s="883">
        <v>45612</v>
      </c>
      <c r="J1334" s="918">
        <v>45709</v>
      </c>
      <c r="K1334" s="945">
        <v>45709</v>
      </c>
      <c r="L1334" s="919">
        <f>IF(ISTEXT(Table15[[#This Row],[Engineering Approved Design Date]]),Table15[[#This Row],[Date Completed]]-Table15[[#This Row],[Date Assigned to Designer]],Table15[[#This Row],[Engineering Approved Design Date]]-Table15[[#This Row],[Date Completed]])</f>
        <v>0</v>
      </c>
      <c r="M1334" s="946"/>
      <c r="N1334" s="99" t="s">
        <v>120</v>
      </c>
      <c r="O1334" s="886">
        <v>45717</v>
      </c>
      <c r="P1334" s="1154" t="s">
        <v>739</v>
      </c>
      <c r="Q1334" s="1150">
        <f>Table15[[#This Row],[KH Hourly Effort]]+Table15[[#This Row],[Shactee Effort]]</f>
        <v>11950.34</v>
      </c>
      <c r="R1334" s="920" t="s">
        <v>1922</v>
      </c>
      <c r="S1334" s="888">
        <v>1315.34</v>
      </c>
      <c r="T1334" s="888">
        <v>0</v>
      </c>
      <c r="U1334" s="889">
        <v>10635</v>
      </c>
      <c r="V1334" s="890">
        <v>44</v>
      </c>
      <c r="W1334" s="1021">
        <v>1</v>
      </c>
      <c r="X1334" s="975">
        <v>89072.5</v>
      </c>
      <c r="Y1334" s="888"/>
      <c r="Z1334" s="975">
        <v>18331.32</v>
      </c>
      <c r="AA1334" s="888">
        <f>SUM(Table15[[#This Row],[PCTS Investment Amount]:[PCTS Retirement Amount]])</f>
        <v>107403.82</v>
      </c>
      <c r="AB1334" s="893">
        <v>45721</v>
      </c>
      <c r="AC1334" s="896" t="s">
        <v>709</v>
      </c>
      <c r="AD1334" s="1155" t="s">
        <v>29</v>
      </c>
      <c r="AE1334" s="894" t="s">
        <v>116</v>
      </c>
      <c r="AF1334" s="896" t="s">
        <v>29</v>
      </c>
      <c r="AG1334" s="896" t="s">
        <v>376</v>
      </c>
      <c r="AH1334" s="902">
        <v>45756</v>
      </c>
      <c r="AI1334" s="947">
        <v>3920</v>
      </c>
      <c r="AJ1334" s="948">
        <v>1315.34</v>
      </c>
      <c r="AK1334" s="948"/>
      <c r="AL1334" s="901">
        <f>SUM(Table15[[#This Row],[Nicor Initiated DBE]:[Staffing]])/(Table15[[#This Row],[Amount Invoiced]])</f>
        <v>0.43809130116800027</v>
      </c>
      <c r="AM1334" s="542" t="s">
        <v>709</v>
      </c>
      <c r="AN1334" s="924"/>
      <c r="AO1334" s="925"/>
      <c r="AP1334" s="926"/>
      <c r="AQ1334" s="926"/>
      <c r="AR1334" s="926"/>
      <c r="AS1334" s="926"/>
      <c r="AT1334" s="926"/>
      <c r="AU1334" s="926"/>
      <c r="AV1334" s="926"/>
      <c r="AW1334" s="927"/>
      <c r="AX1334" s="926"/>
      <c r="AY1334" s="1538" t="s">
        <v>29</v>
      </c>
      <c r="AZ1334" s="1530"/>
      <c r="BA1334" s="910" t="s">
        <v>8338</v>
      </c>
      <c r="BB1334" s="949" t="s">
        <v>8339</v>
      </c>
      <c r="BC1334" s="950" t="s">
        <v>116</v>
      </c>
      <c r="BD1334" s="951" t="s">
        <v>1790</v>
      </c>
      <c r="BE1334" s="952" t="s">
        <v>709</v>
      </c>
      <c r="BF1334" s="952" t="s">
        <v>709</v>
      </c>
      <c r="BG1334" s="976" t="s">
        <v>709</v>
      </c>
      <c r="BH1334" s="1175" t="s">
        <v>8340</v>
      </c>
      <c r="BI1334" s="929" t="s">
        <v>709</v>
      </c>
      <c r="BJ1334" s="929" t="s">
        <v>709</v>
      </c>
      <c r="BK1334" s="929" t="s">
        <v>709</v>
      </c>
      <c r="BL1334" s="916" t="s">
        <v>116</v>
      </c>
      <c r="BM1334" s="929" t="s">
        <v>709</v>
      </c>
      <c r="BN1334" s="929" t="s">
        <v>709</v>
      </c>
      <c r="BO1334" s="929" t="s">
        <v>709</v>
      </c>
      <c r="BP1334" s="929" t="s">
        <v>709</v>
      </c>
      <c r="BQ1334" s="929" t="s">
        <v>709</v>
      </c>
      <c r="BR1334" s="929">
        <v>44</v>
      </c>
      <c r="BS1334" s="916" t="s">
        <v>709</v>
      </c>
      <c r="BT1334" s="929" t="s">
        <v>709</v>
      </c>
      <c r="BU1334" s="929" t="s">
        <v>709</v>
      </c>
      <c r="BV1334" s="929" t="s">
        <v>709</v>
      </c>
      <c r="BW1334" s="929" t="s">
        <v>709</v>
      </c>
      <c r="BX1334" s="929" t="s">
        <v>709</v>
      </c>
      <c r="BY1334" s="929" t="s">
        <v>709</v>
      </c>
      <c r="BZ1334" s="929">
        <v>1</v>
      </c>
      <c r="CA1334" s="917" t="s">
        <v>8314</v>
      </c>
      <c r="CB1334" s="547">
        <v>1335</v>
      </c>
      <c r="CC1334" s="1481" t="b">
        <v>0</v>
      </c>
      <c r="CD1334" s="879" t="str">
        <f>Table15[[#This Row],[Engineering Number]]&amp;Table15[[#This Row],[WO Number]]&amp;Table15[[#This Row],[Date Assigned to Designer]]&amp;Table15[[#This Row],[Date Completed]]</f>
        <v>COR106412147074561245709</v>
      </c>
    </row>
    <row r="1335" spans="1:82" ht="15" customHeight="1" x14ac:dyDescent="0.25">
      <c r="A1335">
        <v>2025</v>
      </c>
      <c r="B1335" s="878" t="s">
        <v>1981</v>
      </c>
      <c r="C1335" s="878" t="s">
        <v>8341</v>
      </c>
      <c r="D1335" s="878" t="s">
        <v>8342</v>
      </c>
      <c r="E1335" s="878" t="s">
        <v>2430</v>
      </c>
      <c r="F1335" s="878" t="s">
        <v>7735</v>
      </c>
      <c r="G1335" s="878" t="s">
        <v>37</v>
      </c>
      <c r="H1335" s="878" t="s">
        <v>59</v>
      </c>
      <c r="I1335" s="883">
        <v>45612</v>
      </c>
      <c r="J1335" s="918">
        <v>45709</v>
      </c>
      <c r="K1335" s="945">
        <v>45709</v>
      </c>
      <c r="L1335" s="919">
        <f>IF(ISTEXT(Table15[[#This Row],[Engineering Approved Design Date]]),Table15[[#This Row],[Date Completed]]-Table15[[#This Row],[Date Assigned to Designer]],Table15[[#This Row],[Engineering Approved Design Date]]-Table15[[#This Row],[Date Completed]])</f>
        <v>0</v>
      </c>
      <c r="M1335" s="946"/>
      <c r="N1335" s="99" t="s">
        <v>120</v>
      </c>
      <c r="O1335" s="886">
        <v>45717</v>
      </c>
      <c r="P1335" s="1154" t="s">
        <v>739</v>
      </c>
      <c r="Q1335" s="1150">
        <f>Table15[[#This Row],[KH Hourly Effort]]+Table15[[#This Row],[Shactee Effort]]</f>
        <v>22020</v>
      </c>
      <c r="R1335" s="920" t="s">
        <v>1922</v>
      </c>
      <c r="S1335" s="888">
        <v>0</v>
      </c>
      <c r="T1335" s="888">
        <v>0</v>
      </c>
      <c r="U1335" s="889">
        <v>22020</v>
      </c>
      <c r="V1335" s="890">
        <v>44</v>
      </c>
      <c r="W1335" s="1021">
        <v>2</v>
      </c>
      <c r="X1335" s="975">
        <v>102727.09</v>
      </c>
      <c r="Y1335" s="888"/>
      <c r="Z1335" s="975">
        <v>60520.05</v>
      </c>
      <c r="AA1335" s="888">
        <f>SUM(Table15[[#This Row],[PCTS Investment Amount]:[PCTS Retirement Amount]])</f>
        <v>163247.14000000001</v>
      </c>
      <c r="AB1335" s="893">
        <v>45721</v>
      </c>
      <c r="AC1335" s="896" t="s">
        <v>709</v>
      </c>
      <c r="AD1335" s="1155" t="s">
        <v>29</v>
      </c>
      <c r="AE1335" s="894" t="s">
        <v>116</v>
      </c>
      <c r="AF1335" s="896" t="s">
        <v>29</v>
      </c>
      <c r="AG1335" s="896" t="s">
        <v>376</v>
      </c>
      <c r="AH1335" s="902">
        <v>45756</v>
      </c>
      <c r="AI1335" s="947"/>
      <c r="AJ1335" s="948"/>
      <c r="AK1335" s="948"/>
      <c r="AL1335" s="901">
        <f>SUM(Table15[[#This Row],[Nicor Initiated DBE]:[Staffing]])/(Table15[[#This Row],[Amount Invoiced]])</f>
        <v>0</v>
      </c>
      <c r="AM1335" s="542" t="s">
        <v>709</v>
      </c>
      <c r="AN1335" s="924"/>
      <c r="AO1335" s="925"/>
      <c r="AP1335" s="926"/>
      <c r="AQ1335" s="926"/>
      <c r="AR1335" s="926"/>
      <c r="AS1335" s="926"/>
      <c r="AT1335" s="926"/>
      <c r="AU1335" s="926"/>
      <c r="AV1335" s="926"/>
      <c r="AW1335" s="927"/>
      <c r="AX1335" s="926"/>
      <c r="AY1335" s="1538" t="s">
        <v>29</v>
      </c>
      <c r="AZ1335" s="1530"/>
      <c r="BA1335" s="910" t="s">
        <v>8338</v>
      </c>
      <c r="BB1335" s="949" t="s">
        <v>8339</v>
      </c>
      <c r="BC1335" s="950" t="s">
        <v>116</v>
      </c>
      <c r="BD1335" s="951" t="s">
        <v>1790</v>
      </c>
      <c r="BE1335" s="952" t="s">
        <v>709</v>
      </c>
      <c r="BF1335" s="952" t="s">
        <v>3298</v>
      </c>
      <c r="BG1335" s="976" t="s">
        <v>8343</v>
      </c>
      <c r="BH1335" s="1175" t="s">
        <v>8344</v>
      </c>
      <c r="BI1335" s="929" t="s">
        <v>709</v>
      </c>
      <c r="BJ1335" s="929" t="s">
        <v>709</v>
      </c>
      <c r="BK1335" s="929" t="s">
        <v>709</v>
      </c>
      <c r="BL1335" s="916" t="s">
        <v>116</v>
      </c>
      <c r="BM1335" s="929" t="s">
        <v>709</v>
      </c>
      <c r="BN1335" s="929" t="s">
        <v>709</v>
      </c>
      <c r="BO1335" s="929" t="s">
        <v>709</v>
      </c>
      <c r="BP1335" s="929" t="s">
        <v>709</v>
      </c>
      <c r="BQ1335" s="929" t="s">
        <v>709</v>
      </c>
      <c r="BR1335" s="929">
        <v>18</v>
      </c>
      <c r="BS1335" s="916">
        <v>26</v>
      </c>
      <c r="BT1335" s="929" t="s">
        <v>709</v>
      </c>
      <c r="BU1335" s="929" t="s">
        <v>709</v>
      </c>
      <c r="BV1335" s="929" t="s">
        <v>709</v>
      </c>
      <c r="BW1335" s="929" t="s">
        <v>709</v>
      </c>
      <c r="BX1335" s="929" t="s">
        <v>709</v>
      </c>
      <c r="BY1335" s="929" t="s">
        <v>709</v>
      </c>
      <c r="BZ1335" s="929">
        <v>2</v>
      </c>
      <c r="CA1335" s="917" t="s">
        <v>8345</v>
      </c>
      <c r="CB1335" s="547">
        <v>1336</v>
      </c>
      <c r="CC1335" s="1481" t="b">
        <v>0</v>
      </c>
      <c r="CD1335" s="879" t="str">
        <f>Table15[[#This Row],[Engineering Number]]&amp;Table15[[#This Row],[WO Number]]&amp;Table15[[#This Row],[Date Assigned to Designer]]&amp;Table15[[#This Row],[Date Completed]]</f>
        <v>COR1064-112149184561245709</v>
      </c>
    </row>
    <row r="1336" spans="1:82" ht="15" customHeight="1" x14ac:dyDescent="0.25">
      <c r="A1336">
        <v>2025</v>
      </c>
      <c r="B1336" s="878" t="s">
        <v>1981</v>
      </c>
      <c r="C1336" s="878" t="s">
        <v>8346</v>
      </c>
      <c r="D1336" s="878" t="s">
        <v>8347</v>
      </c>
      <c r="E1336" s="878" t="s">
        <v>2430</v>
      </c>
      <c r="F1336" s="878" t="s">
        <v>7735</v>
      </c>
      <c r="G1336" s="878" t="s">
        <v>37</v>
      </c>
      <c r="H1336" s="878" t="s">
        <v>59</v>
      </c>
      <c r="I1336" s="883">
        <v>45612</v>
      </c>
      <c r="J1336" s="918">
        <v>45709</v>
      </c>
      <c r="K1336" s="945">
        <v>45709</v>
      </c>
      <c r="L1336" s="919">
        <f>IF(ISTEXT(Table15[[#This Row],[Engineering Approved Design Date]]),Table15[[#This Row],[Date Completed]]-Table15[[#This Row],[Date Assigned to Designer]],Table15[[#This Row],[Engineering Approved Design Date]]-Table15[[#This Row],[Date Completed]])</f>
        <v>0</v>
      </c>
      <c r="M1336" s="946"/>
      <c r="N1336" s="99" t="s">
        <v>120</v>
      </c>
      <c r="O1336" s="886">
        <v>45717</v>
      </c>
      <c r="P1336" s="1154" t="s">
        <v>739</v>
      </c>
      <c r="Q1336" s="1150">
        <f>Table15[[#This Row],[KH Hourly Effort]]+Table15[[#This Row],[Shactee Effort]]</f>
        <v>11515</v>
      </c>
      <c r="R1336" s="920" t="s">
        <v>1922</v>
      </c>
      <c r="S1336" s="888">
        <v>0</v>
      </c>
      <c r="T1336" s="888">
        <v>0</v>
      </c>
      <c r="U1336" s="889">
        <v>11515</v>
      </c>
      <c r="V1336" s="890">
        <v>28</v>
      </c>
      <c r="W1336" s="1021">
        <v>1</v>
      </c>
      <c r="X1336" s="975">
        <v>109367.22</v>
      </c>
      <c r="Y1336" s="888"/>
      <c r="Z1336" s="975">
        <v>32105.1</v>
      </c>
      <c r="AA1336" s="888">
        <f>SUM(Table15[[#This Row],[PCTS Investment Amount]:[PCTS Retirement Amount]])</f>
        <v>141472.32000000001</v>
      </c>
      <c r="AB1336" s="893">
        <v>45721</v>
      </c>
      <c r="AC1336" s="896" t="s">
        <v>709</v>
      </c>
      <c r="AD1336" s="1155" t="s">
        <v>29</v>
      </c>
      <c r="AE1336" s="894" t="s">
        <v>116</v>
      </c>
      <c r="AF1336" s="896" t="s">
        <v>29</v>
      </c>
      <c r="AG1336" s="896" t="s">
        <v>376</v>
      </c>
      <c r="AH1336" s="902">
        <v>45756</v>
      </c>
      <c r="AI1336" s="947"/>
      <c r="AJ1336" s="948"/>
      <c r="AK1336" s="948"/>
      <c r="AL1336" s="901">
        <f>SUM(Table15[[#This Row],[Nicor Initiated DBE]:[Staffing]])/(Table15[[#This Row],[Amount Invoiced]])</f>
        <v>0</v>
      </c>
      <c r="AM1336" s="542" t="s">
        <v>709</v>
      </c>
      <c r="AN1336" s="924"/>
      <c r="AO1336" s="925"/>
      <c r="AP1336" s="926"/>
      <c r="AQ1336" s="926"/>
      <c r="AR1336" s="926"/>
      <c r="AS1336" s="926"/>
      <c r="AT1336" s="926"/>
      <c r="AU1336" s="926"/>
      <c r="AV1336" s="926"/>
      <c r="AW1336" s="927"/>
      <c r="AX1336" s="926"/>
      <c r="AY1336" s="1538" t="s">
        <v>29</v>
      </c>
      <c r="AZ1336" s="1530"/>
      <c r="BA1336" s="910" t="s">
        <v>8338</v>
      </c>
      <c r="BB1336" s="949" t="s">
        <v>8339</v>
      </c>
      <c r="BC1336" s="950" t="s">
        <v>116</v>
      </c>
      <c r="BD1336" s="951" t="s">
        <v>709</v>
      </c>
      <c r="BE1336" s="952" t="s">
        <v>4389</v>
      </c>
      <c r="BF1336" s="952" t="s">
        <v>709</v>
      </c>
      <c r="BG1336" s="976" t="s">
        <v>709</v>
      </c>
      <c r="BH1336" s="1175" t="s">
        <v>8348</v>
      </c>
      <c r="BI1336" s="929" t="s">
        <v>709</v>
      </c>
      <c r="BJ1336" s="929" t="s">
        <v>709</v>
      </c>
      <c r="BK1336" s="929" t="s">
        <v>709</v>
      </c>
      <c r="BL1336" s="916" t="s">
        <v>116</v>
      </c>
      <c r="BM1336" s="929" t="s">
        <v>709</v>
      </c>
      <c r="BN1336" s="929" t="s">
        <v>709</v>
      </c>
      <c r="BO1336" s="929" t="s">
        <v>709</v>
      </c>
      <c r="BP1336" s="929" t="s">
        <v>709</v>
      </c>
      <c r="BQ1336" s="929" t="s">
        <v>709</v>
      </c>
      <c r="BR1336" s="929">
        <v>28</v>
      </c>
      <c r="BS1336" s="916" t="s">
        <v>709</v>
      </c>
      <c r="BT1336" s="929" t="s">
        <v>709</v>
      </c>
      <c r="BU1336" s="929" t="s">
        <v>709</v>
      </c>
      <c r="BV1336" s="929" t="s">
        <v>709</v>
      </c>
      <c r="BW1336" s="929" t="s">
        <v>709</v>
      </c>
      <c r="BX1336" s="929" t="s">
        <v>709</v>
      </c>
      <c r="BY1336" s="929" t="s">
        <v>709</v>
      </c>
      <c r="BZ1336" s="929">
        <v>1</v>
      </c>
      <c r="CA1336" s="917" t="s">
        <v>8314</v>
      </c>
      <c r="CB1336" s="547">
        <v>1337</v>
      </c>
      <c r="CC1336" s="1481" t="b">
        <v>0</v>
      </c>
      <c r="CD1336" s="879" t="str">
        <f>Table15[[#This Row],[Engineering Number]]&amp;Table15[[#This Row],[WO Number]]&amp;Table15[[#This Row],[Date Assigned to Designer]]&amp;Table15[[#This Row],[Date Completed]]</f>
        <v>COR1064-212149194561245709</v>
      </c>
    </row>
    <row r="1337" spans="1:82" ht="15" customHeight="1" x14ac:dyDescent="0.25">
      <c r="A1337">
        <v>2024</v>
      </c>
      <c r="B1337" s="878" t="s">
        <v>1073</v>
      </c>
      <c r="C1337" s="879" t="s">
        <v>8064</v>
      </c>
      <c r="D1337" s="880" t="s">
        <v>8349</v>
      </c>
      <c r="E1337" s="879" t="s">
        <v>1915</v>
      </c>
      <c r="F1337" s="878" t="s">
        <v>851</v>
      </c>
      <c r="G1337" s="878" t="s">
        <v>34</v>
      </c>
      <c r="H1337" s="878" t="s">
        <v>59</v>
      </c>
      <c r="I1337" s="881">
        <v>45450</v>
      </c>
      <c r="J1337" s="882">
        <v>45716</v>
      </c>
      <c r="K1337" s="945">
        <v>45709</v>
      </c>
      <c r="L1337" s="919">
        <f>IF(ISTEXT(Table15[[#This Row],[Engineering Approved Design Date]]),Table15[[#This Row],[Date Completed]]-Table15[[#This Row],[Date Assigned to Designer]],Table15[[#This Row],[Engineering Approved Design Date]]-Table15[[#This Row],[Date Completed]])</f>
        <v>7</v>
      </c>
      <c r="N1337" s="99" t="s">
        <v>120</v>
      </c>
      <c r="O1337" s="886">
        <v>45717</v>
      </c>
      <c r="P1337" s="1153" t="s">
        <v>739</v>
      </c>
      <c r="Q1337" s="1150">
        <f>Table15[[#This Row],[Rate]]*Table15[[#This Row],[Construction Cost to Bill From]]</f>
        <v>343440.60240000003</v>
      </c>
      <c r="R1337" s="887">
        <v>0.08</v>
      </c>
      <c r="S1337" s="888" t="s">
        <v>29</v>
      </c>
      <c r="T1337" s="888" t="s">
        <v>29</v>
      </c>
      <c r="U1337" s="889" t="s">
        <v>29</v>
      </c>
      <c r="V1337" s="890">
        <v>17309</v>
      </c>
      <c r="W1337" s="1021">
        <v>0</v>
      </c>
      <c r="X1337" s="888">
        <v>4200863.24</v>
      </c>
      <c r="Y1337" s="891"/>
      <c r="Z1337" s="888">
        <v>92144.29</v>
      </c>
      <c r="AA1337" s="892">
        <f>SUM(Table15[[#This Row],[PCTS Investment Amount]:[PCTS Retirement Amount]])</f>
        <v>4293007.53</v>
      </c>
      <c r="AB1337" s="893">
        <v>45701</v>
      </c>
      <c r="AC1337" s="894" t="s">
        <v>116</v>
      </c>
      <c r="AD1337" s="1160" t="s">
        <v>29</v>
      </c>
      <c r="AE1337" s="895" t="s">
        <v>116</v>
      </c>
      <c r="AF1337" s="895" t="s">
        <v>116</v>
      </c>
      <c r="AG1337" s="896" t="s">
        <v>116</v>
      </c>
      <c r="AH1337" s="897">
        <v>45770</v>
      </c>
      <c r="AI1337" s="898">
        <v>117590</v>
      </c>
      <c r="AJ1337" s="899"/>
      <c r="AK1337" s="900">
        <v>17391.5</v>
      </c>
      <c r="AL1337" s="901">
        <f>SUM(Table15[[#This Row],[Nicor Initiated DBE]:[Staffing]])/(Table15[[#This Row],[Amount Invoiced]])</f>
        <v>0.39302720486958936</v>
      </c>
      <c r="AM1337" s="536" t="s">
        <v>116</v>
      </c>
      <c r="AN1337" s="903"/>
      <c r="AO1337" s="1536"/>
      <c r="AP1337" s="1537"/>
      <c r="AQ1337" s="1537"/>
      <c r="AR1337" s="1537"/>
      <c r="AS1337" s="888">
        <f>IF(Table15[[#This Row],[PCTS Approved]]="N",0,Table15[[#This Row],[Investment Amount (1'#'#'#'#'#)]]+Table15[[#This Row],[Retirement Amount (3'#'#'#'#'#)]])</f>
        <v>0</v>
      </c>
      <c r="AT1337" s="888">
        <f>IF(Table15[[#This Row],[Approved Construction Cost]]=0,0,Table15[[#This Row],[Approved Construction Cost]]-Table15[[#This Row],[Construction Cost to Bill From]])</f>
        <v>0</v>
      </c>
      <c r="AU1337" s="888">
        <f>IFERROR(Table15[[#This Row],[Difference in Construction Cost]]*Table15[[#This Row],[Rate]],Table15[[#This Row],[Difference in Construction Cost]]*0.085)</f>
        <v>0</v>
      </c>
      <c r="AV1337" s="905"/>
      <c r="AW1337" s="1509"/>
      <c r="AX1337" s="888"/>
      <c r="AY1337" s="636" t="s">
        <v>709</v>
      </c>
      <c r="AZ1337" s="1532"/>
      <c r="BA1337" s="910" t="s">
        <v>8350</v>
      </c>
      <c r="BB1337" s="911" t="s">
        <v>8351</v>
      </c>
      <c r="BC1337" s="912" t="s">
        <v>116</v>
      </c>
      <c r="BD1337" s="913" t="s">
        <v>115</v>
      </c>
      <c r="BE1337" s="914" t="s">
        <v>3332</v>
      </c>
      <c r="BF1337" s="914" t="s">
        <v>3333</v>
      </c>
      <c r="BG1337" s="915" t="s">
        <v>8352</v>
      </c>
      <c r="BH1337" s="1023" t="s">
        <v>8353</v>
      </c>
      <c r="BI1337" s="929" t="s">
        <v>709</v>
      </c>
      <c r="BJ1337" s="929" t="s">
        <v>116</v>
      </c>
      <c r="BK1337" s="916" t="s">
        <v>709</v>
      </c>
      <c r="BL1337" s="916" t="s">
        <v>709</v>
      </c>
      <c r="BM1337" s="916" t="s">
        <v>709</v>
      </c>
      <c r="BN1337" s="916" t="s">
        <v>709</v>
      </c>
      <c r="BO1337" s="916" t="s">
        <v>709</v>
      </c>
      <c r="BP1337" s="916">
        <v>3671</v>
      </c>
      <c r="BQ1337" s="916">
        <v>13638</v>
      </c>
      <c r="BR1337" s="916" t="s">
        <v>709</v>
      </c>
      <c r="BS1337" s="916" t="s">
        <v>709</v>
      </c>
      <c r="BT1337" s="916" t="s">
        <v>709</v>
      </c>
      <c r="BU1337" s="916" t="s">
        <v>709</v>
      </c>
      <c r="BV1337" s="916" t="s">
        <v>709</v>
      </c>
      <c r="BW1337" s="916" t="s">
        <v>709</v>
      </c>
      <c r="BX1337" s="916" t="s">
        <v>709</v>
      </c>
      <c r="BY1337" s="916" t="s">
        <v>709</v>
      </c>
      <c r="BZ1337" s="916" t="s">
        <v>709</v>
      </c>
      <c r="CA1337" s="962"/>
      <c r="CB1337" s="547">
        <v>1328</v>
      </c>
      <c r="CC1337" s="1481" t="b">
        <v>0</v>
      </c>
      <c r="CD1337" s="879" t="str">
        <f>Table15[[#This Row],[Engineering Number]]&amp;Table15[[#This Row],[WO Number]]&amp;Table15[[#This Row],[Date Assigned to Designer]]&amp;Table15[[#This Row],[Date Completed]]</f>
        <v>NBA1001346519140224545045709</v>
      </c>
    </row>
    <row r="1338" spans="1:82" ht="15" customHeight="1" x14ac:dyDescent="0.25">
      <c r="A1338">
        <v>2024</v>
      </c>
      <c r="B1338" s="878" t="s">
        <v>1073</v>
      </c>
      <c r="C1338" s="879" t="s">
        <v>8069</v>
      </c>
      <c r="D1338" s="880" t="s">
        <v>8354</v>
      </c>
      <c r="E1338" s="879" t="s">
        <v>1915</v>
      </c>
      <c r="F1338" s="878" t="s">
        <v>851</v>
      </c>
      <c r="G1338" s="878" t="s">
        <v>34</v>
      </c>
      <c r="H1338" s="878" t="s">
        <v>59</v>
      </c>
      <c r="I1338" s="881">
        <v>45450</v>
      </c>
      <c r="J1338" s="882">
        <v>45716</v>
      </c>
      <c r="K1338" s="945">
        <v>45709</v>
      </c>
      <c r="L1338" s="919">
        <f>IF(ISTEXT(Table15[[#This Row],[Engineering Approved Design Date]]),Table15[[#This Row],[Date Completed]]-Table15[[#This Row],[Date Assigned to Designer]],Table15[[#This Row],[Engineering Approved Design Date]]-Table15[[#This Row],[Date Completed]])</f>
        <v>7</v>
      </c>
      <c r="N1338" s="99" t="s">
        <v>120</v>
      </c>
      <c r="O1338" s="886">
        <v>45717</v>
      </c>
      <c r="P1338" s="1153" t="s">
        <v>739</v>
      </c>
      <c r="Q1338" s="1150">
        <f>Table15[[#This Row],[Rate]]*Table15[[#This Row],[Construction Cost to Bill From]]</f>
        <v>29394.306400000001</v>
      </c>
      <c r="R1338" s="887">
        <v>0.08</v>
      </c>
      <c r="S1338" s="888" t="s">
        <v>29</v>
      </c>
      <c r="T1338" s="888" t="s">
        <v>29</v>
      </c>
      <c r="U1338" s="889" t="s">
        <v>29</v>
      </c>
      <c r="V1338" s="890">
        <v>1087</v>
      </c>
      <c r="W1338" s="1021">
        <v>0</v>
      </c>
      <c r="X1338" s="888">
        <v>367428.83</v>
      </c>
      <c r="Y1338" s="891"/>
      <c r="Z1338" s="888">
        <v>0</v>
      </c>
      <c r="AA1338" s="892">
        <f>SUM(Table15[[#This Row],[PCTS Investment Amount]:[PCTS Retirement Amount]])</f>
        <v>367428.83</v>
      </c>
      <c r="AB1338" s="893">
        <v>45701</v>
      </c>
      <c r="AC1338" s="894" t="s">
        <v>116</v>
      </c>
      <c r="AD1338" s="1160" t="s">
        <v>29</v>
      </c>
      <c r="AE1338" s="895" t="s">
        <v>116</v>
      </c>
      <c r="AF1338" s="895" t="s">
        <v>29</v>
      </c>
      <c r="AG1338" s="896" t="s">
        <v>116</v>
      </c>
      <c r="AH1338" s="897">
        <v>45770</v>
      </c>
      <c r="AI1338" s="898">
        <v>0</v>
      </c>
      <c r="AJ1338" s="899">
        <v>0</v>
      </c>
      <c r="AK1338" s="900">
        <v>0</v>
      </c>
      <c r="AL1338" s="901">
        <f>SUM(Table15[[#This Row],[Nicor Initiated DBE]:[Staffing]])/(Table15[[#This Row],[Amount Invoiced]])</f>
        <v>0</v>
      </c>
      <c r="AM1338" s="536" t="s">
        <v>116</v>
      </c>
      <c r="AN1338" s="903"/>
      <c r="AO1338" s="1536"/>
      <c r="AP1338" s="1537"/>
      <c r="AQ1338" s="1537"/>
      <c r="AR1338" s="1537"/>
      <c r="AS1338" s="888">
        <f>IF(Table15[[#This Row],[PCTS Approved]]="N",0,Table15[[#This Row],[Investment Amount (1'#'#'#'#'#)]]+Table15[[#This Row],[Retirement Amount (3'#'#'#'#'#)]])</f>
        <v>0</v>
      </c>
      <c r="AT1338" s="888">
        <f>IF(Table15[[#This Row],[Approved Construction Cost]]=0,0,Table15[[#This Row],[Approved Construction Cost]]-Table15[[#This Row],[Construction Cost to Bill From]])</f>
        <v>0</v>
      </c>
      <c r="AU1338" s="888">
        <f>IFERROR(Table15[[#This Row],[Difference in Construction Cost]]*Table15[[#This Row],[Rate]],Table15[[#This Row],[Difference in Construction Cost]]*0.085)</f>
        <v>0</v>
      </c>
      <c r="AV1338" s="905"/>
      <c r="AW1338" s="1509"/>
      <c r="AX1338" s="888"/>
      <c r="AY1338" s="636" t="s">
        <v>709</v>
      </c>
      <c r="AZ1338" s="1532"/>
      <c r="BA1338" s="910" t="s">
        <v>8355</v>
      </c>
      <c r="BB1338" s="911" t="s">
        <v>1078</v>
      </c>
      <c r="BC1338" s="912" t="s">
        <v>709</v>
      </c>
      <c r="BD1338" s="913" t="s">
        <v>709</v>
      </c>
      <c r="BE1338" s="914" t="s">
        <v>3332</v>
      </c>
      <c r="BF1338" s="914" t="s">
        <v>709</v>
      </c>
      <c r="BG1338" s="915" t="s">
        <v>29</v>
      </c>
      <c r="BH1338" s="1023" t="s">
        <v>8356</v>
      </c>
      <c r="BI1338" s="929" t="s">
        <v>709</v>
      </c>
      <c r="BJ1338" s="929" t="s">
        <v>116</v>
      </c>
      <c r="BK1338" s="916" t="s">
        <v>709</v>
      </c>
      <c r="BL1338" s="916" t="s">
        <v>709</v>
      </c>
      <c r="BM1338" s="916" t="s">
        <v>709</v>
      </c>
      <c r="BN1338" s="916" t="s">
        <v>709</v>
      </c>
      <c r="BO1338" s="916" t="s">
        <v>709</v>
      </c>
      <c r="BP1338" s="916" t="s">
        <v>709</v>
      </c>
      <c r="BQ1338" s="916">
        <v>1087</v>
      </c>
      <c r="BR1338" s="916" t="s">
        <v>709</v>
      </c>
      <c r="BS1338" s="916" t="s">
        <v>709</v>
      </c>
      <c r="BT1338" s="916" t="s">
        <v>709</v>
      </c>
      <c r="BU1338" s="916" t="s">
        <v>709</v>
      </c>
      <c r="BV1338" s="916" t="s">
        <v>709</v>
      </c>
      <c r="BW1338" s="916" t="s">
        <v>709</v>
      </c>
      <c r="BX1338" s="916" t="s">
        <v>709</v>
      </c>
      <c r="BY1338" s="916" t="s">
        <v>709</v>
      </c>
      <c r="BZ1338" s="916" t="s">
        <v>709</v>
      </c>
      <c r="CA1338" s="962"/>
      <c r="CB1338" s="547">
        <v>1330</v>
      </c>
      <c r="CC1338" s="1481" t="b">
        <v>0</v>
      </c>
      <c r="CD1338" s="879" t="str">
        <f>Table15[[#This Row],[Engineering Number]]&amp;Table15[[#This Row],[WO Number]]&amp;Table15[[#This Row],[Date Assigned to Designer]]&amp;Table15[[#This Row],[Date Completed]]</f>
        <v>NBA10013465-119140354545045709</v>
      </c>
    </row>
    <row r="1339" spans="1:82" ht="15" customHeight="1" x14ac:dyDescent="0.25">
      <c r="A1339">
        <v>2024</v>
      </c>
      <c r="B1339" s="878" t="s">
        <v>1073</v>
      </c>
      <c r="C1339" s="879" t="s">
        <v>8029</v>
      </c>
      <c r="D1339" s="880" t="s">
        <v>8357</v>
      </c>
      <c r="E1339" s="879" t="s">
        <v>1915</v>
      </c>
      <c r="F1339" s="878" t="s">
        <v>851</v>
      </c>
      <c r="G1339" s="878" t="s">
        <v>34</v>
      </c>
      <c r="H1339" s="878" t="s">
        <v>59</v>
      </c>
      <c r="I1339" s="881">
        <v>45450</v>
      </c>
      <c r="J1339" s="882">
        <v>45716</v>
      </c>
      <c r="K1339" s="945">
        <v>45709</v>
      </c>
      <c r="L1339" s="919">
        <f>IF(ISTEXT(Table15[[#This Row],[Engineering Approved Design Date]]),Table15[[#This Row],[Date Completed]]-Table15[[#This Row],[Date Assigned to Designer]],Table15[[#This Row],[Engineering Approved Design Date]]-Table15[[#This Row],[Date Completed]])</f>
        <v>7</v>
      </c>
      <c r="N1339" s="99" t="s">
        <v>120</v>
      </c>
      <c r="O1339" s="886">
        <v>45717</v>
      </c>
      <c r="P1339" s="1153" t="s">
        <v>739</v>
      </c>
      <c r="Q1339" s="1150">
        <f>Table15[[#This Row],[Rate]]*Table15[[#This Row],[Construction Cost to Bill From]]</f>
        <v>55764.469600000004</v>
      </c>
      <c r="R1339" s="887">
        <v>0.08</v>
      </c>
      <c r="S1339" s="888" t="s">
        <v>29</v>
      </c>
      <c r="T1339" s="888" t="s">
        <v>29</v>
      </c>
      <c r="U1339" s="889" t="s">
        <v>29</v>
      </c>
      <c r="V1339" s="890">
        <v>269</v>
      </c>
      <c r="W1339" s="1021">
        <v>0</v>
      </c>
      <c r="X1339" s="888">
        <v>697055.87</v>
      </c>
      <c r="Y1339" s="891"/>
      <c r="Z1339" s="888">
        <v>0</v>
      </c>
      <c r="AA1339" s="892">
        <f>SUM(Table15[[#This Row],[PCTS Investment Amount]:[PCTS Retirement Amount]])</f>
        <v>697055.87</v>
      </c>
      <c r="AB1339" s="893">
        <v>45700</v>
      </c>
      <c r="AC1339" s="894" t="s">
        <v>116</v>
      </c>
      <c r="AD1339" s="1160" t="s">
        <v>29</v>
      </c>
      <c r="AE1339" s="895" t="s">
        <v>116</v>
      </c>
      <c r="AF1339" s="895" t="s">
        <v>29</v>
      </c>
      <c r="AG1339" s="896" t="s">
        <v>116</v>
      </c>
      <c r="AH1339" s="897">
        <v>45770</v>
      </c>
      <c r="AI1339" s="898">
        <v>0</v>
      </c>
      <c r="AJ1339" s="899">
        <v>0</v>
      </c>
      <c r="AK1339" s="900">
        <v>0</v>
      </c>
      <c r="AL1339" s="901">
        <f>SUM(Table15[[#This Row],[Nicor Initiated DBE]:[Staffing]])/(Table15[[#This Row],[Amount Invoiced]])</f>
        <v>0</v>
      </c>
      <c r="AM1339" s="536" t="s">
        <v>116</v>
      </c>
      <c r="AN1339" s="903"/>
      <c r="AO1339" s="1536"/>
      <c r="AP1339" s="1537"/>
      <c r="AQ1339" s="1537"/>
      <c r="AR1339" s="1537"/>
      <c r="AS1339" s="888">
        <f>IF(Table15[[#This Row],[PCTS Approved]]="N",0,Table15[[#This Row],[Investment Amount (1'#'#'#'#'#)]]+Table15[[#This Row],[Retirement Amount (3'#'#'#'#'#)]])</f>
        <v>0</v>
      </c>
      <c r="AT1339" s="888">
        <f>IF(Table15[[#This Row],[Approved Construction Cost]]=0,0,Table15[[#This Row],[Approved Construction Cost]]-Table15[[#This Row],[Construction Cost to Bill From]])</f>
        <v>0</v>
      </c>
      <c r="AU1339" s="888">
        <f>IFERROR(Table15[[#This Row],[Difference in Construction Cost]]*Table15[[#This Row],[Rate]],Table15[[#This Row],[Difference in Construction Cost]]*0.085)</f>
        <v>0</v>
      </c>
      <c r="AV1339" s="905"/>
      <c r="AW1339" s="1509"/>
      <c r="AX1339" s="888"/>
      <c r="AY1339" s="636" t="s">
        <v>709</v>
      </c>
      <c r="AZ1339" s="1532"/>
      <c r="BA1339" s="910" t="s">
        <v>8358</v>
      </c>
      <c r="BB1339" s="911" t="s">
        <v>1078</v>
      </c>
      <c r="BC1339" s="912" t="s">
        <v>709</v>
      </c>
      <c r="BD1339" s="913" t="s">
        <v>709</v>
      </c>
      <c r="BE1339" s="914" t="s">
        <v>3332</v>
      </c>
      <c r="BF1339" s="914" t="s">
        <v>709</v>
      </c>
      <c r="BG1339" s="915" t="s">
        <v>29</v>
      </c>
      <c r="BH1339" s="1023" t="s">
        <v>8359</v>
      </c>
      <c r="BI1339" s="929" t="s">
        <v>709</v>
      </c>
      <c r="BJ1339" s="929" t="s">
        <v>116</v>
      </c>
      <c r="BK1339" s="916" t="s">
        <v>709</v>
      </c>
      <c r="BL1339" s="916" t="s">
        <v>709</v>
      </c>
      <c r="BM1339" s="916" t="s">
        <v>709</v>
      </c>
      <c r="BN1339" s="916" t="s">
        <v>709</v>
      </c>
      <c r="BO1339" s="916" t="s">
        <v>709</v>
      </c>
      <c r="BP1339" s="916">
        <v>19</v>
      </c>
      <c r="BQ1339" s="916">
        <v>90</v>
      </c>
      <c r="BR1339" s="916">
        <v>64</v>
      </c>
      <c r="BS1339" s="916">
        <v>36</v>
      </c>
      <c r="BT1339" s="916" t="s">
        <v>709</v>
      </c>
      <c r="BU1339" s="916" t="s">
        <v>709</v>
      </c>
      <c r="BV1339" s="916" t="s">
        <v>709</v>
      </c>
      <c r="BW1339" s="916" t="s">
        <v>709</v>
      </c>
      <c r="BX1339" s="916" t="s">
        <v>709</v>
      </c>
      <c r="BY1339" s="916" t="s">
        <v>116</v>
      </c>
      <c r="BZ1339" s="916" t="s">
        <v>709</v>
      </c>
      <c r="CA1339" s="962" t="s">
        <v>6832</v>
      </c>
      <c r="CB1339" s="547">
        <v>1329</v>
      </c>
      <c r="CC1339" s="1481" t="b">
        <v>0</v>
      </c>
      <c r="CD1339" s="879" t="str">
        <f>Table15[[#This Row],[Engineering Number]]&amp;Table15[[#This Row],[WO Number]]&amp;Table15[[#This Row],[Date Assigned to Designer]]&amp;Table15[[#This Row],[Date Completed]]</f>
        <v>NBA10013465-219140364545045709</v>
      </c>
    </row>
    <row r="1340" spans="1:82" ht="15" customHeight="1" x14ac:dyDescent="0.25">
      <c r="A1340">
        <v>2024</v>
      </c>
      <c r="B1340" s="879" t="s">
        <v>771</v>
      </c>
      <c r="C1340" s="879" t="s">
        <v>580</v>
      </c>
      <c r="D1340" s="939">
        <v>1212584</v>
      </c>
      <c r="E1340" s="965" t="s">
        <v>1529</v>
      </c>
      <c r="F1340" s="879" t="s">
        <v>784</v>
      </c>
      <c r="G1340" s="879" t="s">
        <v>32</v>
      </c>
      <c r="H1340" s="878" t="s">
        <v>4001</v>
      </c>
      <c r="I1340" s="883">
        <v>45693</v>
      </c>
      <c r="J1340" s="977" t="s">
        <v>2052</v>
      </c>
      <c r="K1340" s="945">
        <v>45709</v>
      </c>
      <c r="L1340" s="884">
        <f>IF(ISTEXT(Table15[[#This Row],[Engineering Approved Design Date]]),Table15[[#This Row],[Date Completed]]-Table15[[#This Row],[Date Assigned to Designer]],Table15[[#This Row],[Engineering Approved Design Date]]-Table15[[#This Row],[Date Completed]])</f>
        <v>16</v>
      </c>
      <c r="M1340" s="879" t="s">
        <v>8360</v>
      </c>
      <c r="N1340" s="99" t="s">
        <v>120</v>
      </c>
      <c r="O1340" s="886">
        <v>45717</v>
      </c>
      <c r="P1340" s="1153" t="s">
        <v>120</v>
      </c>
      <c r="Q1340" s="933">
        <f>Table15[[#This Row],[KH Hourly Effort]]</f>
        <v>14345</v>
      </c>
      <c r="R1340" s="920" t="s">
        <v>1922</v>
      </c>
      <c r="S1340" s="888">
        <v>0</v>
      </c>
      <c r="T1340" s="888">
        <v>0</v>
      </c>
      <c r="U1340" s="978">
        <v>14345</v>
      </c>
      <c r="V1340" s="908">
        <v>17789</v>
      </c>
      <c r="W1340" s="1021">
        <v>0</v>
      </c>
      <c r="X1340" s="888" t="s">
        <v>29</v>
      </c>
      <c r="Y1340" s="888"/>
      <c r="Z1340" s="888" t="s">
        <v>29</v>
      </c>
      <c r="AA1340" s="888" t="s">
        <v>29</v>
      </c>
      <c r="AB1340" s="893" t="s">
        <v>29</v>
      </c>
      <c r="AC1340" s="896" t="s">
        <v>29</v>
      </c>
      <c r="AD1340" s="1155" t="s">
        <v>29</v>
      </c>
      <c r="AE1340" s="894" t="s">
        <v>709</v>
      </c>
      <c r="AF1340" s="896" t="s">
        <v>116</v>
      </c>
      <c r="AG1340" s="897" t="s">
        <v>29</v>
      </c>
      <c r="AH1340" s="902" t="s">
        <v>709</v>
      </c>
      <c r="AI1340" s="969" t="s">
        <v>29</v>
      </c>
      <c r="AJ1340" s="970" t="s">
        <v>29</v>
      </c>
      <c r="AK1340" s="970" t="s">
        <v>29</v>
      </c>
      <c r="AL1340" s="971" t="s">
        <v>29</v>
      </c>
      <c r="AM1340" s="542" t="s">
        <v>709</v>
      </c>
      <c r="AN1340" s="924"/>
      <c r="AO1340" s="925"/>
      <c r="AP1340" s="926"/>
      <c r="AQ1340" s="926"/>
      <c r="AR1340" s="926"/>
      <c r="AS1340" s="926"/>
      <c r="AT1340" s="926"/>
      <c r="AU1340" s="926"/>
      <c r="AV1340" s="926"/>
      <c r="AW1340" s="927"/>
      <c r="AX1340" s="926"/>
      <c r="AY1340" s="1538" t="s">
        <v>29</v>
      </c>
      <c r="AZ1340" s="1530"/>
      <c r="BA1340" s="966">
        <v>4</v>
      </c>
      <c r="BB1340" s="911" t="s">
        <v>8361</v>
      </c>
      <c r="BC1340" s="915" t="s">
        <v>116</v>
      </c>
      <c r="BD1340" s="915" t="s">
        <v>882</v>
      </c>
      <c r="BE1340" s="915" t="s">
        <v>581</v>
      </c>
      <c r="BF1340" s="915" t="s">
        <v>115</v>
      </c>
      <c r="BG1340" s="915" t="s">
        <v>1496</v>
      </c>
      <c r="BH1340" s="1176" t="s">
        <v>8362</v>
      </c>
      <c r="BI1340" s="916" t="s">
        <v>709</v>
      </c>
      <c r="BJ1340" s="916" t="s">
        <v>709</v>
      </c>
      <c r="BK1340" s="916" t="s">
        <v>709</v>
      </c>
      <c r="BL1340" s="916" t="s">
        <v>116</v>
      </c>
      <c r="BM1340" s="916">
        <v>0</v>
      </c>
      <c r="BN1340" s="916">
        <v>0</v>
      </c>
      <c r="BO1340" s="916">
        <v>0</v>
      </c>
      <c r="BP1340" s="916">
        <v>3073</v>
      </c>
      <c r="BQ1340" s="916">
        <v>1001</v>
      </c>
      <c r="BR1340" s="916">
        <v>1733</v>
      </c>
      <c r="BS1340" s="916">
        <v>11982</v>
      </c>
      <c r="BT1340" s="916">
        <v>0</v>
      </c>
      <c r="BU1340" s="916">
        <v>0</v>
      </c>
      <c r="BV1340" s="916">
        <v>0</v>
      </c>
      <c r="BW1340" s="916">
        <v>0</v>
      </c>
      <c r="BX1340" s="916">
        <v>0</v>
      </c>
      <c r="BY1340" s="916">
        <v>0</v>
      </c>
      <c r="BZ1340" s="916" t="s">
        <v>709</v>
      </c>
      <c r="CA1340" s="1582"/>
      <c r="CB1340" s="547">
        <v>1338</v>
      </c>
      <c r="CC1340" s="1481" t="b">
        <v>0</v>
      </c>
      <c r="CD1340" s="879" t="str">
        <f>Table15[[#This Row],[Engineering Number]]&amp;Table15[[#This Row],[WO Number]]&amp;Table15[[#This Row],[Date Assigned to Designer]]&amp;Table15[[#This Row],[Date Completed]]</f>
        <v>VW240/VW241-112125844569345709</v>
      </c>
    </row>
    <row r="1341" spans="1:82" ht="15" customHeight="1" x14ac:dyDescent="0.25">
      <c r="A1341">
        <v>2025</v>
      </c>
      <c r="B1341" s="878" t="s">
        <v>4</v>
      </c>
      <c r="C1341" s="878" t="s">
        <v>8363</v>
      </c>
      <c r="D1341" s="8" t="s">
        <v>115</v>
      </c>
      <c r="E1341" s="878" t="s">
        <v>859</v>
      </c>
      <c r="F1341" s="878" t="s">
        <v>851</v>
      </c>
      <c r="G1341" s="878" t="s">
        <v>6377</v>
      </c>
      <c r="H1341" s="878" t="s">
        <v>8364</v>
      </c>
      <c r="I1341" s="882">
        <v>45572</v>
      </c>
      <c r="J1341" s="956">
        <v>45772</v>
      </c>
      <c r="K1341" s="918">
        <v>45712</v>
      </c>
      <c r="L1341" s="919">
        <f>IF(ISTEXT(Table15[[#This Row],[Engineering Approved Design Date]]),Table15[[#This Row],[Date Completed]]-Table15[[#This Row],[Date Assigned to Designer]],Table15[[#This Row],[Engineering Approved Design Date]]-Table15[[#This Row],[Date Completed]])</f>
        <v>60</v>
      </c>
      <c r="M1341" s="879" t="s">
        <v>8365</v>
      </c>
      <c r="N1341" s="99" t="s">
        <v>120</v>
      </c>
      <c r="O1341" s="886">
        <v>45689</v>
      </c>
      <c r="P1341" s="1153" t="s">
        <v>739</v>
      </c>
      <c r="Q1341" s="1150" t="s">
        <v>115</v>
      </c>
      <c r="R1341" s="887" t="s">
        <v>115</v>
      </c>
      <c r="S1341" s="888" t="s">
        <v>29</v>
      </c>
      <c r="T1341" s="888" t="s">
        <v>29</v>
      </c>
      <c r="U1341" s="889" t="s">
        <v>29</v>
      </c>
      <c r="V1341" s="890" t="s">
        <v>29</v>
      </c>
      <c r="W1341" s="1188" t="s">
        <v>29</v>
      </c>
      <c r="X1341" s="888" t="s">
        <v>29</v>
      </c>
      <c r="Y1341" s="935"/>
      <c r="Z1341" s="888" t="s">
        <v>29</v>
      </c>
      <c r="AA1341" s="892" t="s">
        <v>29</v>
      </c>
      <c r="AB1341" s="893" t="s">
        <v>29</v>
      </c>
      <c r="AC1341" s="896" t="s">
        <v>29</v>
      </c>
      <c r="AD1341" s="1161" t="s">
        <v>29</v>
      </c>
      <c r="AE1341" s="896" t="s">
        <v>116</v>
      </c>
      <c r="AF1341" s="896" t="s">
        <v>29</v>
      </c>
      <c r="AG1341" s="896" t="s">
        <v>29</v>
      </c>
      <c r="AH1341" s="897">
        <v>45735</v>
      </c>
      <c r="AI1341" s="921" t="s">
        <v>29</v>
      </c>
      <c r="AJ1341" s="922" t="s">
        <v>29</v>
      </c>
      <c r="AK1341" s="922" t="s">
        <v>29</v>
      </c>
      <c r="AL1341" s="923" t="s">
        <v>29</v>
      </c>
      <c r="AM1341" s="542" t="s">
        <v>709</v>
      </c>
      <c r="AN1341" s="924"/>
      <c r="AO1341" s="925"/>
      <c r="AP1341" s="926"/>
      <c r="AQ1341" s="926"/>
      <c r="AR1341" s="926"/>
      <c r="AS1341" s="926"/>
      <c r="AT1341" s="926"/>
      <c r="AU1341" s="926"/>
      <c r="AV1341" s="926"/>
      <c r="AW1341" s="927"/>
      <c r="AX1341" s="926"/>
      <c r="AY1341" s="1538" t="s">
        <v>29</v>
      </c>
      <c r="AZ1341" s="1530"/>
      <c r="BA1341" s="910" t="s">
        <v>8366</v>
      </c>
      <c r="BB1341" s="928" t="s">
        <v>870</v>
      </c>
      <c r="BC1341" s="912" t="s">
        <v>709</v>
      </c>
      <c r="BD1341" s="913" t="s">
        <v>709</v>
      </c>
      <c r="BE1341" s="914" t="s">
        <v>709</v>
      </c>
      <c r="BF1341" s="914" t="s">
        <v>709</v>
      </c>
      <c r="BG1341" s="943" t="s">
        <v>709</v>
      </c>
      <c r="BH1341" s="1023" t="s">
        <v>8367</v>
      </c>
      <c r="BI1341" s="980"/>
      <c r="BJ1341" s="980"/>
      <c r="BK1341" s="980"/>
      <c r="BL1341" s="980"/>
      <c r="BM1341" s="980"/>
      <c r="BN1341" s="981"/>
      <c r="BO1341" s="980"/>
      <c r="BP1341" s="982"/>
      <c r="BQ1341" s="981"/>
      <c r="BR1341" s="981"/>
      <c r="BS1341" s="981"/>
      <c r="BT1341" s="981"/>
      <c r="BU1341" s="981"/>
      <c r="BV1341" s="981"/>
      <c r="BW1341" s="981"/>
      <c r="BX1341" s="980"/>
      <c r="BY1341" s="983"/>
      <c r="BZ1341" s="983"/>
      <c r="CA1341" s="485" t="s">
        <v>915</v>
      </c>
      <c r="CB1341" s="547">
        <v>1339</v>
      </c>
      <c r="CC1341" s="1481" t="b">
        <v>0</v>
      </c>
      <c r="CD1341" s="879" t="str">
        <f>Table15[[#This Row],[Engineering Number]]&amp;Table15[[#This Row],[WO Number]]&amp;Table15[[#This Row],[Date Assigned to Designer]]&amp;Table15[[#This Row],[Date Completed]]</f>
        <v>SC25118-4557245712</v>
      </c>
    </row>
    <row r="1342" spans="1:82" ht="15" customHeight="1" x14ac:dyDescent="0.25">
      <c r="A1342">
        <v>2024</v>
      </c>
      <c r="B1342" s="878" t="s">
        <v>4</v>
      </c>
      <c r="C1342" s="878" t="s">
        <v>8021</v>
      </c>
      <c r="D1342" s="878">
        <v>1213270</v>
      </c>
      <c r="E1342" s="878" t="s">
        <v>2375</v>
      </c>
      <c r="F1342" s="878" t="s">
        <v>784</v>
      </c>
      <c r="G1342" s="878" t="s">
        <v>31</v>
      </c>
      <c r="H1342" s="939" t="s">
        <v>8368</v>
      </c>
      <c r="I1342" s="883">
        <v>45678</v>
      </c>
      <c r="J1342" s="882" t="s">
        <v>8368</v>
      </c>
      <c r="K1342" s="918">
        <v>45713</v>
      </c>
      <c r="L1342" s="919">
        <f>IF(ISTEXT(Table15[[#This Row],[Engineering Approved Design Date]]),Table15[[#This Row],[Date Completed]]-Table15[[#This Row],[Date Assigned to Designer]],Table15[[#This Row],[Engineering Approved Design Date]]-Table15[[#This Row],[Date Completed]])</f>
        <v>35</v>
      </c>
      <c r="M1342" s="883" t="s">
        <v>8369</v>
      </c>
      <c r="N1342" s="885" t="s">
        <v>120</v>
      </c>
      <c r="O1342" s="886">
        <v>45717</v>
      </c>
      <c r="P1342" s="1153" t="s">
        <v>739</v>
      </c>
      <c r="Q1342" s="1150">
        <f>Table15[[#This Row],[Shactee Effort]]+Table15[[#This Row],[3rd Party Effort]]+Table15[[#This Row],[KH Hourly Effort]]</f>
        <v>5477.96</v>
      </c>
      <c r="R1342" s="887" t="s">
        <v>1922</v>
      </c>
      <c r="S1342" s="888">
        <v>2327.96</v>
      </c>
      <c r="T1342" s="888">
        <v>0</v>
      </c>
      <c r="U1342" s="934">
        <v>3150</v>
      </c>
      <c r="V1342" s="890" t="s">
        <v>29</v>
      </c>
      <c r="W1342" s="1188" t="s">
        <v>29</v>
      </c>
      <c r="X1342" s="892" t="s">
        <v>29</v>
      </c>
      <c r="Y1342" s="891"/>
      <c r="Z1342" s="892" t="s">
        <v>29</v>
      </c>
      <c r="AA1342" s="892" t="s">
        <v>29</v>
      </c>
      <c r="AB1342" s="893" t="s">
        <v>29</v>
      </c>
      <c r="AC1342" s="894" t="s">
        <v>29</v>
      </c>
      <c r="AD1342" s="1161" t="s">
        <v>29</v>
      </c>
      <c r="AE1342" s="894" t="s">
        <v>756</v>
      </c>
      <c r="AF1342" s="896" t="s">
        <v>29</v>
      </c>
      <c r="AG1342" s="896" t="s">
        <v>29</v>
      </c>
      <c r="AH1342" s="985" t="s">
        <v>8140</v>
      </c>
      <c r="AI1342" s="921" t="s">
        <v>29</v>
      </c>
      <c r="AJ1342" s="922" t="s">
        <v>29</v>
      </c>
      <c r="AK1342" s="922" t="s">
        <v>29</v>
      </c>
      <c r="AL1342" s="923" t="s">
        <v>29</v>
      </c>
      <c r="AM1342" s="542" t="s">
        <v>709</v>
      </c>
      <c r="AN1342" s="924"/>
      <c r="AO1342" s="925"/>
      <c r="AP1342" s="926"/>
      <c r="AQ1342" s="926"/>
      <c r="AR1342" s="926"/>
      <c r="AS1342" s="926"/>
      <c r="AT1342" s="926"/>
      <c r="AU1342" s="926"/>
      <c r="AV1342" s="926"/>
      <c r="AW1342" s="927"/>
      <c r="AX1342" s="926"/>
      <c r="AY1342" s="1538" t="s">
        <v>29</v>
      </c>
      <c r="AZ1342" s="1530"/>
      <c r="BA1342" s="968" t="s">
        <v>29</v>
      </c>
      <c r="BB1342" s="928" t="s">
        <v>8370</v>
      </c>
      <c r="BC1342" s="912" t="s">
        <v>29</v>
      </c>
      <c r="BD1342" s="913" t="s">
        <v>29</v>
      </c>
      <c r="BE1342" s="914" t="s">
        <v>29</v>
      </c>
      <c r="BF1342" s="914" t="s">
        <v>29</v>
      </c>
      <c r="BG1342" s="943" t="s">
        <v>29</v>
      </c>
      <c r="BH1342" s="1175" t="s">
        <v>8371</v>
      </c>
      <c r="BI1342" s="944" t="s">
        <v>709</v>
      </c>
      <c r="BJ1342" s="944" t="s">
        <v>709</v>
      </c>
      <c r="BK1342" s="944" t="s">
        <v>709</v>
      </c>
      <c r="BL1342" s="944" t="s">
        <v>709</v>
      </c>
      <c r="BM1342" s="944" t="s">
        <v>709</v>
      </c>
      <c r="BN1342" s="944" t="s">
        <v>709</v>
      </c>
      <c r="BO1342" s="944" t="s">
        <v>709</v>
      </c>
      <c r="BP1342" s="944" t="s">
        <v>709</v>
      </c>
      <c r="BQ1342" s="944" t="s">
        <v>709</v>
      </c>
      <c r="BR1342" s="944" t="s">
        <v>709</v>
      </c>
      <c r="BS1342" s="944" t="s">
        <v>709</v>
      </c>
      <c r="BT1342" s="944" t="s">
        <v>709</v>
      </c>
      <c r="BU1342" s="944" t="s">
        <v>709</v>
      </c>
      <c r="BV1342" s="944" t="s">
        <v>709</v>
      </c>
      <c r="BW1342" s="944" t="s">
        <v>709</v>
      </c>
      <c r="BX1342" s="944" t="s">
        <v>709</v>
      </c>
      <c r="BY1342" s="944" t="s">
        <v>709</v>
      </c>
      <c r="BZ1342" s="916" t="s">
        <v>709</v>
      </c>
      <c r="CA1342" s="943"/>
      <c r="CB1342" s="547">
        <v>1342</v>
      </c>
      <c r="CC1342" s="1481" t="b">
        <v>0</v>
      </c>
      <c r="CD1342" s="879" t="str">
        <f>Table15[[#This Row],[Engineering Number]]&amp;Table15[[#This Row],[WO Number]]&amp;Table15[[#This Row],[Date Assigned to Designer]]&amp;Table15[[#This Row],[Date Completed]]</f>
        <v>N14793 12132704567845713</v>
      </c>
    </row>
    <row r="1343" spans="1:82" ht="15" customHeight="1" x14ac:dyDescent="0.25">
      <c r="A1343">
        <v>2024</v>
      </c>
      <c r="B1343" s="878" t="s">
        <v>4</v>
      </c>
      <c r="C1343" s="879" t="s">
        <v>8372</v>
      </c>
      <c r="D1343" s="880" t="s">
        <v>8373</v>
      </c>
      <c r="E1343" s="879" t="s">
        <v>1171</v>
      </c>
      <c r="F1343" s="878" t="s">
        <v>851</v>
      </c>
      <c r="G1343" s="878" t="s">
        <v>26</v>
      </c>
      <c r="H1343" s="878" t="s">
        <v>59</v>
      </c>
      <c r="I1343" s="881">
        <v>45531</v>
      </c>
      <c r="J1343" s="882">
        <v>45714</v>
      </c>
      <c r="K1343" s="945">
        <v>45713</v>
      </c>
      <c r="L1343" s="884">
        <f>IF(ISTEXT(Table15[[#This Row],[Engineering Approved Design Date]]),Table15[[#This Row],[Date Completed]]-Table15[[#This Row],[Date Assigned to Designer]],Table15[[#This Row],[Engineering Approved Design Date]]-Table15[[#This Row],[Date Completed]])</f>
        <v>1</v>
      </c>
      <c r="N1343" s="885" t="s">
        <v>120</v>
      </c>
      <c r="O1343" s="886">
        <v>45717</v>
      </c>
      <c r="P1343" s="1153" t="s">
        <v>739</v>
      </c>
      <c r="Q1343" s="1150">
        <f>Table15[[#This Row],[Rate]]*Table15[[#This Row],[Construction Cost to Bill From]]</f>
        <v>27157.745000000003</v>
      </c>
      <c r="R1343" s="887">
        <v>0.1</v>
      </c>
      <c r="S1343" s="888" t="s">
        <v>29</v>
      </c>
      <c r="T1343" s="888" t="s">
        <v>29</v>
      </c>
      <c r="U1343" s="889" t="s">
        <v>29</v>
      </c>
      <c r="V1343" s="890">
        <v>592</v>
      </c>
      <c r="W1343" s="1021" t="s">
        <v>29</v>
      </c>
      <c r="X1343" s="888">
        <v>243076.91</v>
      </c>
      <c r="Y1343" s="891"/>
      <c r="Z1343" s="888">
        <v>28500.54</v>
      </c>
      <c r="AA1343" s="892">
        <f>SUM(Table15[[#This Row],[PCTS Investment Amount]:[PCTS Retirement Amount]])</f>
        <v>271577.45</v>
      </c>
      <c r="AB1343" s="893">
        <v>45709</v>
      </c>
      <c r="AC1343" s="894" t="s">
        <v>709</v>
      </c>
      <c r="AD1343" s="1160" t="s">
        <v>29</v>
      </c>
      <c r="AE1343" s="940" t="s">
        <v>756</v>
      </c>
      <c r="AF1343" s="895" t="s">
        <v>29</v>
      </c>
      <c r="AG1343" s="896" t="s">
        <v>116</v>
      </c>
      <c r="AH1343" s="897">
        <v>45770</v>
      </c>
      <c r="AI1343" s="898">
        <v>0</v>
      </c>
      <c r="AJ1343" s="899">
        <v>3900</v>
      </c>
      <c r="AK1343" s="960">
        <v>6361.71</v>
      </c>
      <c r="AL1343" s="901">
        <f>SUM(Table15[[#This Row],[Nicor Initiated DBE]:[Staffing]])/(Table15[[#This Row],[Amount Invoiced]])</f>
        <v>0.37785574612325135</v>
      </c>
      <c r="AM1343" s="1522" t="s">
        <v>116</v>
      </c>
      <c r="AN1343" s="1523">
        <v>45813</v>
      </c>
      <c r="AO1343" s="1524">
        <v>11104222</v>
      </c>
      <c r="AP1343" s="1525">
        <v>233468.96</v>
      </c>
      <c r="AQ1343" s="1525"/>
      <c r="AR1343" s="1525">
        <v>31268.13</v>
      </c>
      <c r="AS1343" s="1525">
        <f>IF(Table15[[#This Row],[PCTS Approved]]="N",0,Table15[[#This Row],[Investment Amount (1'#'#'#'#'#)]]+Table15[[#This Row],[Retirement Amount (3'#'#'#'#'#)]])</f>
        <v>264737.08999999997</v>
      </c>
      <c r="AT1343" s="1525">
        <f>IF(Table15[[#This Row],[Approved Construction Cost]]=0,0,Table15[[#This Row],[Approved Construction Cost]]-Table15[[#This Row],[Construction Cost to Bill From]])</f>
        <v>-6840.3600000000442</v>
      </c>
      <c r="AU1343" s="1525">
        <f>Table15[[#This Row],[Difference in Construction Cost]]*Table15[[#This Row],[Rate]]</f>
        <v>-684.03600000000449</v>
      </c>
      <c r="AV1343" s="1525">
        <v>0</v>
      </c>
      <c r="AW1343" s="1526" t="s">
        <v>8374</v>
      </c>
      <c r="AX1343" s="1525">
        <f>Table15[[#This Row],[Reconcile Amount]]</f>
        <v>-684.03600000000449</v>
      </c>
      <c r="AY1343" s="1518">
        <v>45901</v>
      </c>
      <c r="AZ1343" s="333"/>
      <c r="BA1343" s="910" t="s">
        <v>8375</v>
      </c>
      <c r="BB1343" s="911" t="s">
        <v>8376</v>
      </c>
      <c r="BC1343" s="912" t="s">
        <v>709</v>
      </c>
      <c r="BD1343" s="913" t="s">
        <v>788</v>
      </c>
      <c r="BE1343" s="914" t="s">
        <v>4314</v>
      </c>
      <c r="BF1343" s="914" t="s">
        <v>709</v>
      </c>
      <c r="BG1343" s="915" t="s">
        <v>709</v>
      </c>
      <c r="BH1343" s="1023" t="s">
        <v>8377</v>
      </c>
      <c r="BI1343" s="929" t="s">
        <v>745</v>
      </c>
      <c r="BJ1343" s="929" t="s">
        <v>745</v>
      </c>
      <c r="BK1343" s="916" t="s">
        <v>709</v>
      </c>
      <c r="BL1343" s="916" t="s">
        <v>116</v>
      </c>
      <c r="BM1343" s="916" t="s">
        <v>709</v>
      </c>
      <c r="BN1343" s="916" t="s">
        <v>709</v>
      </c>
      <c r="BO1343" s="916" t="s">
        <v>745</v>
      </c>
      <c r="BP1343" s="916" t="s">
        <v>745</v>
      </c>
      <c r="BQ1343" s="916" t="s">
        <v>745</v>
      </c>
      <c r="BR1343" s="916">
        <v>541</v>
      </c>
      <c r="BS1343" s="916">
        <v>141</v>
      </c>
      <c r="BT1343" s="916" t="s">
        <v>745</v>
      </c>
      <c r="BU1343" s="916" t="s">
        <v>745</v>
      </c>
      <c r="BV1343" s="916" t="s">
        <v>745</v>
      </c>
      <c r="BW1343" s="916" t="s">
        <v>745</v>
      </c>
      <c r="BX1343" s="916" t="s">
        <v>745</v>
      </c>
      <c r="BY1343" s="916" t="s">
        <v>709</v>
      </c>
      <c r="BZ1343" s="916"/>
      <c r="CA1343" s="917"/>
      <c r="CB1343" s="547">
        <v>1340</v>
      </c>
      <c r="CC1343" s="1481" t="b">
        <v>0</v>
      </c>
      <c r="CD1343" s="879" t="str">
        <f>Table15[[#This Row],[Engineering Number]]&amp;Table15[[#This Row],[WO Number]]&amp;Table15[[#This Row],[Date Assigned to Designer]]&amp;Table15[[#This Row],[Date Completed]]</f>
        <v>SC2024513147844553145713</v>
      </c>
    </row>
    <row r="1344" spans="1:82" ht="15" customHeight="1" x14ac:dyDescent="0.25">
      <c r="A1344">
        <v>2024</v>
      </c>
      <c r="B1344" s="878" t="s">
        <v>4</v>
      </c>
      <c r="C1344" s="878" t="s">
        <v>8378</v>
      </c>
      <c r="D1344" s="878">
        <v>1312920</v>
      </c>
      <c r="E1344" s="878" t="s">
        <v>1164</v>
      </c>
      <c r="F1344" s="878" t="s">
        <v>851</v>
      </c>
      <c r="G1344" s="878" t="s">
        <v>26</v>
      </c>
      <c r="H1344" s="878" t="s">
        <v>2724</v>
      </c>
      <c r="I1344" s="883">
        <v>45497</v>
      </c>
      <c r="J1344" s="918" t="s">
        <v>2724</v>
      </c>
      <c r="K1344" s="945">
        <v>45713</v>
      </c>
      <c r="L1344" s="919">
        <f>IF(ISTEXT(Table15[[#This Row],[Engineering Approved Design Date]]),Table15[[#This Row],[Date Completed]]-Table15[[#This Row],[Date Assigned to Designer]],Table15[[#This Row],[Engineering Approved Design Date]]-Table15[[#This Row],[Date Completed]])</f>
        <v>216</v>
      </c>
      <c r="M1344" s="986" t="s">
        <v>8379</v>
      </c>
      <c r="N1344" s="885" t="s">
        <v>120</v>
      </c>
      <c r="O1344" s="886">
        <v>45717</v>
      </c>
      <c r="P1344" s="1153" t="s">
        <v>739</v>
      </c>
      <c r="Q1344" s="1150">
        <f>SUM(Table15[[#This Row],[Shactee Effort]:[KH Hourly Effort]])</f>
        <v>4420</v>
      </c>
      <c r="R1344" s="920" t="s">
        <v>1922</v>
      </c>
      <c r="S1344" s="888" t="s">
        <v>29</v>
      </c>
      <c r="T1344" s="888" t="s">
        <v>29</v>
      </c>
      <c r="U1344" s="889">
        <v>4420</v>
      </c>
      <c r="V1344" s="888" t="s">
        <v>29</v>
      </c>
      <c r="W1344" s="995" t="s">
        <v>29</v>
      </c>
      <c r="X1344" s="888" t="s">
        <v>29</v>
      </c>
      <c r="Y1344" s="888"/>
      <c r="Z1344" s="888" t="s">
        <v>29</v>
      </c>
      <c r="AA1344" s="888" t="s">
        <v>29</v>
      </c>
      <c r="AB1344" s="893" t="s">
        <v>29</v>
      </c>
      <c r="AC1344" s="896" t="s">
        <v>745</v>
      </c>
      <c r="AD1344" s="1155" t="s">
        <v>29</v>
      </c>
      <c r="AE1344" s="894" t="s">
        <v>756</v>
      </c>
      <c r="AF1344" s="896" t="s">
        <v>29</v>
      </c>
      <c r="AG1344" s="897" t="s">
        <v>29</v>
      </c>
      <c r="AH1344" s="985">
        <v>45770</v>
      </c>
      <c r="AI1344" s="921" t="s">
        <v>29</v>
      </c>
      <c r="AJ1344" s="922" t="s">
        <v>29</v>
      </c>
      <c r="AK1344" s="922" t="s">
        <v>29</v>
      </c>
      <c r="AL1344" s="987" t="s">
        <v>29</v>
      </c>
      <c r="AM1344" s="542" t="s">
        <v>709</v>
      </c>
      <c r="AN1344" s="924"/>
      <c r="AO1344" s="925"/>
      <c r="AP1344" s="926"/>
      <c r="AQ1344" s="926"/>
      <c r="AR1344" s="926"/>
      <c r="AS1344" s="926"/>
      <c r="AT1344" s="926"/>
      <c r="AU1344" s="926"/>
      <c r="AV1344" s="926"/>
      <c r="AW1344" s="927"/>
      <c r="AX1344" s="926"/>
      <c r="AY1344" s="1538" t="s">
        <v>29</v>
      </c>
      <c r="AZ1344" s="1530"/>
      <c r="BA1344" s="910" t="s">
        <v>5903</v>
      </c>
      <c r="BB1344" s="928" t="s">
        <v>8380</v>
      </c>
      <c r="BC1344" s="988" t="s">
        <v>116</v>
      </c>
      <c r="BD1344" s="988" t="s">
        <v>709</v>
      </c>
      <c r="BE1344" s="988" t="s">
        <v>5134</v>
      </c>
      <c r="BF1344" s="988" t="s">
        <v>709</v>
      </c>
      <c r="BG1344" s="989" t="s">
        <v>5905</v>
      </c>
      <c r="BH1344" s="1023" t="s">
        <v>8381</v>
      </c>
      <c r="BI1344" s="916" t="s">
        <v>709</v>
      </c>
      <c r="BJ1344" s="916" t="s">
        <v>709</v>
      </c>
      <c r="BK1344" s="916" t="s">
        <v>709</v>
      </c>
      <c r="BL1344" s="916" t="s">
        <v>116</v>
      </c>
      <c r="BM1344" s="916" t="s">
        <v>709</v>
      </c>
      <c r="BN1344" s="916" t="s">
        <v>709</v>
      </c>
      <c r="BO1344" s="916" t="s">
        <v>709</v>
      </c>
      <c r="BP1344" s="916" t="s">
        <v>709</v>
      </c>
      <c r="BQ1344" s="916" t="s">
        <v>709</v>
      </c>
      <c r="BR1344" s="916" t="s">
        <v>709</v>
      </c>
      <c r="BS1344" s="916">
        <v>388</v>
      </c>
      <c r="BT1344" s="916" t="s">
        <v>709</v>
      </c>
      <c r="BU1344" s="916" t="s">
        <v>709</v>
      </c>
      <c r="BV1344" s="916" t="s">
        <v>709</v>
      </c>
      <c r="BW1344" s="916" t="s">
        <v>709</v>
      </c>
      <c r="BX1344" s="916" t="s">
        <v>745</v>
      </c>
      <c r="BY1344" s="916" t="s">
        <v>709</v>
      </c>
      <c r="BZ1344" s="916" t="s">
        <v>709</v>
      </c>
      <c r="CA1344" s="917"/>
      <c r="CB1344" s="547">
        <v>1341</v>
      </c>
      <c r="CC1344" s="1481" t="b">
        <v>0</v>
      </c>
      <c r="CD1344" s="879" t="str">
        <f>Table15[[#This Row],[Engineering Number]]&amp;Table15[[#This Row],[WO Number]]&amp;Table15[[#This Row],[Date Assigned to Designer]]&amp;Table15[[#This Row],[Date Completed]]</f>
        <v>SC21364 13129204549745713</v>
      </c>
    </row>
    <row r="1345" spans="1:82" ht="15" customHeight="1" x14ac:dyDescent="0.25">
      <c r="A1345">
        <v>2025</v>
      </c>
      <c r="B1345" s="878" t="s">
        <v>1981</v>
      </c>
      <c r="C1345" s="878" t="s">
        <v>8382</v>
      </c>
      <c r="D1345" s="878" t="s">
        <v>8383</v>
      </c>
      <c r="E1345" s="878" t="s">
        <v>327</v>
      </c>
      <c r="F1345" s="878" t="s">
        <v>7735</v>
      </c>
      <c r="G1345" s="878" t="s">
        <v>34</v>
      </c>
      <c r="H1345" s="878" t="s">
        <v>59</v>
      </c>
      <c r="I1345" s="883">
        <v>45649</v>
      </c>
      <c r="J1345" s="918">
        <v>45716</v>
      </c>
      <c r="K1345" s="945">
        <v>45714</v>
      </c>
      <c r="L1345" s="919">
        <f>IF(ISTEXT(Table15[[#This Row],[Engineering Approved Design Date]]),Table15[[#This Row],[Date Completed]]-Table15[[#This Row],[Date Assigned to Designer]],Table15[[#This Row],[Engineering Approved Design Date]]-Table15[[#This Row],[Date Completed]])</f>
        <v>2</v>
      </c>
      <c r="M1345" s="946"/>
      <c r="N1345" s="99" t="s">
        <v>120</v>
      </c>
      <c r="O1345" s="886">
        <v>45717</v>
      </c>
      <c r="P1345" s="1154" t="s">
        <v>739</v>
      </c>
      <c r="Q1345" s="1150">
        <f>Table15[[#This Row],[KH Hourly Effort]]+Table15[[#This Row],[Shactee Effort]]</f>
        <v>8530.8799999999992</v>
      </c>
      <c r="R1345" s="920" t="s">
        <v>1922</v>
      </c>
      <c r="S1345" s="888">
        <v>985.88</v>
      </c>
      <c r="T1345" s="888">
        <v>0</v>
      </c>
      <c r="U1345" s="889">
        <v>7545</v>
      </c>
      <c r="V1345" s="890">
        <v>25</v>
      </c>
      <c r="W1345" s="1021">
        <v>1</v>
      </c>
      <c r="X1345" s="888">
        <v>64251.46</v>
      </c>
      <c r="Y1345" s="888"/>
      <c r="Z1345" s="888">
        <v>34563.69</v>
      </c>
      <c r="AA1345" s="888">
        <f>SUM(Table15[[#This Row],[PCTS Investment Amount]:[PCTS Retirement Amount]])</f>
        <v>98815.15</v>
      </c>
      <c r="AB1345" s="893">
        <v>45720</v>
      </c>
      <c r="AC1345" s="896" t="s">
        <v>709</v>
      </c>
      <c r="AD1345" s="1155" t="s">
        <v>29</v>
      </c>
      <c r="AE1345" s="894" t="s">
        <v>756</v>
      </c>
      <c r="AF1345" s="896" t="s">
        <v>29</v>
      </c>
      <c r="AG1345" s="897" t="s">
        <v>376</v>
      </c>
      <c r="AH1345" s="902">
        <v>45756</v>
      </c>
      <c r="AI1345" s="947"/>
      <c r="AJ1345" s="948">
        <v>985.88</v>
      </c>
      <c r="AK1345" s="948"/>
      <c r="AL1345" s="901">
        <f>SUM(Table15[[#This Row],[Nicor Initiated DBE]:[Staffing]])/(Table15[[#This Row],[Amount Invoiced]])</f>
        <v>0.11556603773584907</v>
      </c>
      <c r="AM1345" s="542" t="s">
        <v>709</v>
      </c>
      <c r="AN1345" s="924"/>
      <c r="AO1345" s="925"/>
      <c r="AP1345" s="926"/>
      <c r="AQ1345" s="926"/>
      <c r="AR1345" s="926"/>
      <c r="AS1345" s="926"/>
      <c r="AT1345" s="926"/>
      <c r="AU1345" s="926"/>
      <c r="AV1345" s="926"/>
      <c r="AW1345" s="927"/>
      <c r="AX1345" s="926"/>
      <c r="AY1345" s="1538" t="s">
        <v>29</v>
      </c>
      <c r="AZ1345" s="1530"/>
      <c r="BA1345" s="910" t="s">
        <v>8384</v>
      </c>
      <c r="BB1345" s="949" t="s">
        <v>8385</v>
      </c>
      <c r="BC1345" s="950" t="s">
        <v>709</v>
      </c>
      <c r="BD1345" s="951" t="s">
        <v>1790</v>
      </c>
      <c r="BE1345" s="952" t="s">
        <v>448</v>
      </c>
      <c r="BF1345" s="952" t="s">
        <v>709</v>
      </c>
      <c r="BG1345" s="953" t="s">
        <v>709</v>
      </c>
      <c r="BH1345" s="1175" t="s">
        <v>8386</v>
      </c>
      <c r="BI1345" s="929" t="s">
        <v>745</v>
      </c>
      <c r="BJ1345" s="929" t="s">
        <v>745</v>
      </c>
      <c r="BK1345" s="929" t="s">
        <v>745</v>
      </c>
      <c r="BL1345" s="916" t="s">
        <v>116</v>
      </c>
      <c r="BM1345" s="929" t="s">
        <v>745</v>
      </c>
      <c r="BN1345" s="929" t="s">
        <v>745</v>
      </c>
      <c r="BO1345" s="929" t="s">
        <v>745</v>
      </c>
      <c r="BP1345" s="929" t="s">
        <v>745</v>
      </c>
      <c r="BQ1345" s="929" t="s">
        <v>745</v>
      </c>
      <c r="BR1345" s="929" t="s">
        <v>709</v>
      </c>
      <c r="BS1345" s="916">
        <v>25</v>
      </c>
      <c r="BT1345" s="929" t="s">
        <v>745</v>
      </c>
      <c r="BU1345" s="929" t="s">
        <v>745</v>
      </c>
      <c r="BV1345" s="929" t="s">
        <v>745</v>
      </c>
      <c r="BW1345" s="929" t="s">
        <v>745</v>
      </c>
      <c r="BX1345" s="929" t="s">
        <v>745</v>
      </c>
      <c r="BY1345" s="929" t="s">
        <v>745</v>
      </c>
      <c r="BZ1345" s="929">
        <v>1</v>
      </c>
      <c r="CA1345" s="917" t="s">
        <v>8208</v>
      </c>
      <c r="CB1345" s="547">
        <v>1344</v>
      </c>
      <c r="CC1345" s="1481" t="b">
        <v>0</v>
      </c>
      <c r="CD1345" s="879" t="str">
        <f>Table15[[#This Row],[Engineering Number]]&amp;Table15[[#This Row],[WO Number]]&amp;Table15[[#This Row],[Date Assigned to Designer]]&amp;Table15[[#This Row],[Date Completed]]</f>
        <v>COR106812147724564945714</v>
      </c>
    </row>
    <row r="1346" spans="1:82" ht="15" customHeight="1" x14ac:dyDescent="0.25">
      <c r="A1346">
        <v>2025</v>
      </c>
      <c r="B1346" s="878" t="s">
        <v>1981</v>
      </c>
      <c r="C1346" s="878" t="s">
        <v>8387</v>
      </c>
      <c r="D1346" s="878" t="s">
        <v>8388</v>
      </c>
      <c r="E1346" s="878" t="s">
        <v>327</v>
      </c>
      <c r="F1346" s="878" t="s">
        <v>7735</v>
      </c>
      <c r="G1346" s="878" t="s">
        <v>34</v>
      </c>
      <c r="H1346" s="878" t="s">
        <v>59</v>
      </c>
      <c r="I1346" s="883">
        <v>45649</v>
      </c>
      <c r="J1346" s="918">
        <v>45716</v>
      </c>
      <c r="K1346" s="945">
        <v>45714</v>
      </c>
      <c r="L1346" s="919">
        <f>IF(ISTEXT(Table15[[#This Row],[Engineering Approved Design Date]]),Table15[[#This Row],[Date Completed]]-Table15[[#This Row],[Date Assigned to Designer]],Table15[[#This Row],[Engineering Approved Design Date]]-Table15[[#This Row],[Date Completed]])</f>
        <v>2</v>
      </c>
      <c r="M1346" s="946"/>
      <c r="N1346" s="99" t="s">
        <v>120</v>
      </c>
      <c r="O1346" s="886">
        <v>45717</v>
      </c>
      <c r="P1346" s="1154" t="s">
        <v>739</v>
      </c>
      <c r="Q1346" s="1150">
        <f>Table15[[#This Row],[KH Hourly Effort]]+Table15[[#This Row],[Shactee Effort]]</f>
        <v>7637.5</v>
      </c>
      <c r="R1346" s="920" t="s">
        <v>1922</v>
      </c>
      <c r="S1346" s="888">
        <v>0</v>
      </c>
      <c r="T1346" s="888">
        <v>0</v>
      </c>
      <c r="U1346" s="889">
        <v>7637.5</v>
      </c>
      <c r="V1346" s="890">
        <v>25</v>
      </c>
      <c r="W1346" s="1021">
        <v>1</v>
      </c>
      <c r="X1346" s="888">
        <v>119418.89</v>
      </c>
      <c r="Y1346" s="888"/>
      <c r="Z1346" s="888">
        <v>36873.800000000003</v>
      </c>
      <c r="AA1346" s="888">
        <f>SUM(Table15[[#This Row],[PCTS Investment Amount]:[PCTS Retirement Amount]])</f>
        <v>156292.69</v>
      </c>
      <c r="AB1346" s="893">
        <v>45720</v>
      </c>
      <c r="AC1346" s="896" t="s">
        <v>709</v>
      </c>
      <c r="AD1346" s="1155" t="s">
        <v>29</v>
      </c>
      <c r="AE1346" s="894" t="s">
        <v>756</v>
      </c>
      <c r="AF1346" s="896" t="s">
        <v>29</v>
      </c>
      <c r="AG1346" s="897" t="s">
        <v>376</v>
      </c>
      <c r="AH1346" s="902">
        <v>45756</v>
      </c>
      <c r="AI1346" s="947"/>
      <c r="AJ1346" s="948"/>
      <c r="AK1346" s="948"/>
      <c r="AL1346" s="901">
        <f>SUM(Table15[[#This Row],[Nicor Initiated DBE]:[Staffing]])/(Table15[[#This Row],[Amount Invoiced]])</f>
        <v>0</v>
      </c>
      <c r="AM1346" s="542" t="s">
        <v>709</v>
      </c>
      <c r="AN1346" s="924"/>
      <c r="AO1346" s="925"/>
      <c r="AP1346" s="926"/>
      <c r="AQ1346" s="926"/>
      <c r="AR1346" s="926"/>
      <c r="AS1346" s="926"/>
      <c r="AT1346" s="926"/>
      <c r="AU1346" s="926"/>
      <c r="AV1346" s="926"/>
      <c r="AW1346" s="927"/>
      <c r="AX1346" s="926"/>
      <c r="AY1346" s="1538" t="s">
        <v>29</v>
      </c>
      <c r="AZ1346" s="1530"/>
      <c r="BA1346" s="910" t="s">
        <v>8384</v>
      </c>
      <c r="BB1346" s="949" t="s">
        <v>8389</v>
      </c>
      <c r="BC1346" s="950" t="s">
        <v>709</v>
      </c>
      <c r="BD1346" s="951" t="s">
        <v>1790</v>
      </c>
      <c r="BE1346" s="952" t="s">
        <v>8390</v>
      </c>
      <c r="BF1346" s="952" t="s">
        <v>709</v>
      </c>
      <c r="BG1346" s="953" t="s">
        <v>709</v>
      </c>
      <c r="BH1346" s="1175" t="s">
        <v>8391</v>
      </c>
      <c r="BI1346" s="929" t="s">
        <v>745</v>
      </c>
      <c r="BJ1346" s="929" t="s">
        <v>745</v>
      </c>
      <c r="BK1346" s="929" t="s">
        <v>745</v>
      </c>
      <c r="BL1346" s="916" t="s">
        <v>116</v>
      </c>
      <c r="BM1346" s="929" t="s">
        <v>745</v>
      </c>
      <c r="BN1346" s="929" t="s">
        <v>745</v>
      </c>
      <c r="BO1346" s="929" t="s">
        <v>745</v>
      </c>
      <c r="BP1346" s="929" t="s">
        <v>745</v>
      </c>
      <c r="BQ1346" s="929" t="s">
        <v>745</v>
      </c>
      <c r="BR1346" s="929">
        <v>25</v>
      </c>
      <c r="BS1346" s="916" t="s">
        <v>709</v>
      </c>
      <c r="BT1346" s="929" t="s">
        <v>745</v>
      </c>
      <c r="BU1346" s="929" t="s">
        <v>745</v>
      </c>
      <c r="BV1346" s="929" t="s">
        <v>745</v>
      </c>
      <c r="BW1346" s="929" t="s">
        <v>745</v>
      </c>
      <c r="BX1346" s="929" t="s">
        <v>745</v>
      </c>
      <c r="BY1346" s="929" t="s">
        <v>745</v>
      </c>
      <c r="BZ1346" s="929">
        <v>1</v>
      </c>
      <c r="CA1346" s="943" t="s">
        <v>8208</v>
      </c>
      <c r="CB1346" s="547">
        <v>1345</v>
      </c>
      <c r="CC1346" s="1481" t="b">
        <v>0</v>
      </c>
      <c r="CD1346" s="879" t="str">
        <f>Table15[[#This Row],[Engineering Number]]&amp;Table15[[#This Row],[WO Number]]&amp;Table15[[#This Row],[Date Assigned to Designer]]&amp;Table15[[#This Row],[Date Completed]]</f>
        <v>COR1068-112150024564945714</v>
      </c>
    </row>
    <row r="1347" spans="1:82" ht="15" customHeight="1" x14ac:dyDescent="0.25">
      <c r="A1347">
        <v>2024</v>
      </c>
      <c r="B1347" s="878" t="s">
        <v>4</v>
      </c>
      <c r="C1347" s="878" t="s">
        <v>8392</v>
      </c>
      <c r="D1347" s="8" t="s">
        <v>115</v>
      </c>
      <c r="E1347" s="878" t="s">
        <v>1306</v>
      </c>
      <c r="F1347" s="878" t="s">
        <v>784</v>
      </c>
      <c r="G1347" s="878" t="s">
        <v>27</v>
      </c>
      <c r="H1347" s="878" t="s">
        <v>8364</v>
      </c>
      <c r="I1347" s="882">
        <v>45082</v>
      </c>
      <c r="J1347" s="956">
        <v>45744</v>
      </c>
      <c r="K1347" s="918">
        <v>45714</v>
      </c>
      <c r="L1347" s="919">
        <f>IF(ISTEXT(Table15[[#This Row],[Engineering Approved Design Date]]),Table15[[#This Row],[Date Completed]]-Table15[[#This Row],[Date Assigned to Designer]],Table15[[#This Row],[Engineering Approved Design Date]]-Table15[[#This Row],[Date Completed]])</f>
        <v>30</v>
      </c>
      <c r="M1347" s="879" t="s">
        <v>8393</v>
      </c>
      <c r="N1347" s="99" t="s">
        <v>120</v>
      </c>
      <c r="O1347" s="886">
        <v>45689</v>
      </c>
      <c r="P1347" s="1153" t="s">
        <v>739</v>
      </c>
      <c r="Q1347" s="1150" t="s">
        <v>115</v>
      </c>
      <c r="R1347" s="887" t="s">
        <v>115</v>
      </c>
      <c r="S1347" s="888" t="s">
        <v>29</v>
      </c>
      <c r="T1347" s="888" t="s">
        <v>29</v>
      </c>
      <c r="U1347" s="889" t="s">
        <v>29</v>
      </c>
      <c r="V1347" s="890" t="s">
        <v>29</v>
      </c>
      <c r="W1347" s="1188" t="s">
        <v>29</v>
      </c>
      <c r="X1347" s="888" t="s">
        <v>29</v>
      </c>
      <c r="Y1347" s="935"/>
      <c r="Z1347" s="888" t="s">
        <v>29</v>
      </c>
      <c r="AA1347" s="892" t="s">
        <v>29</v>
      </c>
      <c r="AB1347" s="893" t="s">
        <v>29</v>
      </c>
      <c r="AC1347" s="896" t="s">
        <v>29</v>
      </c>
      <c r="AD1347" s="1161" t="s">
        <v>29</v>
      </c>
      <c r="AE1347" s="896" t="s">
        <v>756</v>
      </c>
      <c r="AF1347" s="896" t="s">
        <v>29</v>
      </c>
      <c r="AG1347" s="896" t="s">
        <v>116</v>
      </c>
      <c r="AH1347" s="897">
        <v>45806</v>
      </c>
      <c r="AI1347" s="921" t="s">
        <v>29</v>
      </c>
      <c r="AJ1347" s="922" t="s">
        <v>29</v>
      </c>
      <c r="AK1347" s="922" t="s">
        <v>29</v>
      </c>
      <c r="AL1347" s="923" t="s">
        <v>29</v>
      </c>
      <c r="AM1347" s="542" t="s">
        <v>709</v>
      </c>
      <c r="AN1347" s="924"/>
      <c r="AO1347" s="925"/>
      <c r="AP1347" s="926"/>
      <c r="AQ1347" s="926"/>
      <c r="AR1347" s="926"/>
      <c r="AS1347" s="926"/>
      <c r="AT1347" s="926"/>
      <c r="AU1347" s="926"/>
      <c r="AV1347" s="926"/>
      <c r="AW1347" s="927"/>
      <c r="AX1347" s="926"/>
      <c r="AY1347" s="1538" t="s">
        <v>29</v>
      </c>
      <c r="AZ1347" s="1530"/>
      <c r="BA1347" s="910" t="s">
        <v>8394</v>
      </c>
      <c r="BB1347" s="928" t="s">
        <v>1071</v>
      </c>
      <c r="BC1347" s="912" t="s">
        <v>116</v>
      </c>
      <c r="BD1347" s="913" t="s">
        <v>709</v>
      </c>
      <c r="BE1347" s="914" t="s">
        <v>5529</v>
      </c>
      <c r="BF1347" s="914" t="s">
        <v>709</v>
      </c>
      <c r="BG1347" s="943" t="s">
        <v>709</v>
      </c>
      <c r="BH1347" s="1023" t="s">
        <v>8395</v>
      </c>
      <c r="BI1347" s="980"/>
      <c r="BJ1347" s="980"/>
      <c r="BK1347" s="980"/>
      <c r="BL1347" s="980"/>
      <c r="BM1347" s="980"/>
      <c r="BN1347" s="981"/>
      <c r="BO1347" s="980"/>
      <c r="BP1347" s="982"/>
      <c r="BQ1347" s="981"/>
      <c r="BR1347" s="981"/>
      <c r="BS1347" s="981"/>
      <c r="BT1347" s="981"/>
      <c r="BU1347" s="981"/>
      <c r="BV1347" s="981"/>
      <c r="BW1347" s="981"/>
      <c r="BX1347" s="980"/>
      <c r="BY1347" s="983"/>
      <c r="BZ1347" s="983"/>
      <c r="CA1347" s="485" t="s">
        <v>915</v>
      </c>
      <c r="CB1347" s="547">
        <v>1343</v>
      </c>
      <c r="CC1347" s="1481" t="b">
        <v>0</v>
      </c>
      <c r="CD1347" s="879" t="str">
        <f>Table15[[#This Row],[Engineering Number]]&amp;Table15[[#This Row],[WO Number]]&amp;Table15[[#This Row],[Date Assigned to Designer]]&amp;Table15[[#This Row],[Date Completed]]</f>
        <v>N17091-4508245714</v>
      </c>
    </row>
    <row r="1348" spans="1:82" ht="15" customHeight="1" x14ac:dyDescent="0.25">
      <c r="A1348">
        <v>2024</v>
      </c>
      <c r="B1348" s="878" t="s">
        <v>4</v>
      </c>
      <c r="C1348" s="878" t="s">
        <v>8396</v>
      </c>
      <c r="D1348" s="8" t="s">
        <v>115</v>
      </c>
      <c r="E1348" s="878" t="s">
        <v>386</v>
      </c>
      <c r="F1348" s="878" t="s">
        <v>851</v>
      </c>
      <c r="G1348" s="878" t="s">
        <v>6377</v>
      </c>
      <c r="H1348" s="878" t="s">
        <v>2127</v>
      </c>
      <c r="I1348" s="883">
        <v>45698</v>
      </c>
      <c r="J1348" s="918">
        <v>45768</v>
      </c>
      <c r="K1348" s="883">
        <v>45714</v>
      </c>
      <c r="L1348" s="919">
        <f>IF(ISTEXT(Table15[[#This Row],[Engineering Approved Design Date]]),Table15[[#This Row],[Date Completed]]-Table15[[#This Row],[Date Assigned to Designer]],Table15[[#This Row],[Engineering Approved Design Date]]-Table15[[#This Row],[Date Completed]])</f>
        <v>54</v>
      </c>
      <c r="M1348" s="883" t="s">
        <v>8397</v>
      </c>
      <c r="N1348" s="99" t="s">
        <v>120</v>
      </c>
      <c r="O1348" s="886">
        <v>45717</v>
      </c>
      <c r="P1348" s="1153" t="s">
        <v>739</v>
      </c>
      <c r="Q1348" s="1150" t="s">
        <v>115</v>
      </c>
      <c r="R1348" s="887" t="s">
        <v>115</v>
      </c>
      <c r="S1348" s="888" t="s">
        <v>29</v>
      </c>
      <c r="T1348" s="888" t="s">
        <v>29</v>
      </c>
      <c r="U1348" s="889" t="s">
        <v>29</v>
      </c>
      <c r="V1348" s="890" t="s">
        <v>29</v>
      </c>
      <c r="W1348" s="1021" t="s">
        <v>29</v>
      </c>
      <c r="X1348" s="888" t="s">
        <v>29</v>
      </c>
      <c r="Y1348" s="891"/>
      <c r="Z1348" s="888" t="s">
        <v>29</v>
      </c>
      <c r="AA1348" s="892" t="s">
        <v>29</v>
      </c>
      <c r="AB1348" s="893" t="s">
        <v>29</v>
      </c>
      <c r="AC1348" s="896" t="s">
        <v>29</v>
      </c>
      <c r="AD1348" s="1161" t="s">
        <v>29</v>
      </c>
      <c r="AE1348" s="894" t="s">
        <v>756</v>
      </c>
      <c r="AF1348" s="896" t="s">
        <v>29</v>
      </c>
      <c r="AG1348" s="896" t="s">
        <v>29</v>
      </c>
      <c r="AH1348" s="985" t="s">
        <v>29</v>
      </c>
      <c r="AI1348" s="921" t="s">
        <v>29</v>
      </c>
      <c r="AJ1348" s="922" t="s">
        <v>29</v>
      </c>
      <c r="AK1348" s="922" t="s">
        <v>29</v>
      </c>
      <c r="AL1348" s="923" t="s">
        <v>29</v>
      </c>
      <c r="AM1348" s="542" t="s">
        <v>709</v>
      </c>
      <c r="AN1348" s="924"/>
      <c r="AO1348" s="925"/>
      <c r="AP1348" s="926"/>
      <c r="AQ1348" s="926"/>
      <c r="AR1348" s="926"/>
      <c r="AS1348" s="926"/>
      <c r="AT1348" s="926"/>
      <c r="AU1348" s="926"/>
      <c r="AV1348" s="926"/>
      <c r="AW1348" s="927"/>
      <c r="AX1348" s="926"/>
      <c r="AY1348" s="1538" t="s">
        <v>29</v>
      </c>
      <c r="AZ1348" s="1530"/>
      <c r="BA1348" s="910" t="s">
        <v>8398</v>
      </c>
      <c r="BB1348" s="949" t="s">
        <v>1617</v>
      </c>
      <c r="BC1348" s="912" t="s">
        <v>709</v>
      </c>
      <c r="BD1348" s="913" t="s">
        <v>709</v>
      </c>
      <c r="BE1348" s="914" t="s">
        <v>709</v>
      </c>
      <c r="BF1348" s="914" t="s">
        <v>709</v>
      </c>
      <c r="BG1348" s="915" t="s">
        <v>709</v>
      </c>
      <c r="BH1348" s="1175" t="s">
        <v>8399</v>
      </c>
      <c r="BI1348" s="980"/>
      <c r="BJ1348" s="980"/>
      <c r="BK1348" s="980"/>
      <c r="BL1348" s="980"/>
      <c r="BM1348" s="980"/>
      <c r="BN1348" s="981"/>
      <c r="BO1348" s="980"/>
      <c r="BP1348" s="982"/>
      <c r="BQ1348" s="981"/>
      <c r="BR1348" s="981"/>
      <c r="BS1348" s="981"/>
      <c r="BT1348" s="981"/>
      <c r="BU1348" s="981"/>
      <c r="BV1348" s="981"/>
      <c r="BW1348" s="981"/>
      <c r="BX1348" s="980"/>
      <c r="BY1348" s="983"/>
      <c r="BZ1348" s="983"/>
      <c r="CA1348" s="984"/>
      <c r="CB1348" s="547">
        <v>1346</v>
      </c>
      <c r="CC1348" s="1481" t="b">
        <v>0</v>
      </c>
      <c r="CD1348" s="879" t="str">
        <f>Table15[[#This Row],[Engineering Number]]&amp;Table15[[#This Row],[WO Number]]&amp;Table15[[#This Row],[Date Assigned to Designer]]&amp;Table15[[#This Row],[Date Completed]]</f>
        <v>SC25613-4569845714</v>
      </c>
    </row>
    <row r="1349" spans="1:82" ht="15" customHeight="1" x14ac:dyDescent="0.25">
      <c r="A1349">
        <v>2025</v>
      </c>
      <c r="B1349" s="878" t="s">
        <v>4</v>
      </c>
      <c r="C1349" s="879" t="s">
        <v>8400</v>
      </c>
      <c r="D1349" s="880" t="s">
        <v>8401</v>
      </c>
      <c r="E1349" s="879" t="s">
        <v>4082</v>
      </c>
      <c r="F1349" s="878" t="s">
        <v>784</v>
      </c>
      <c r="G1349" s="878" t="s">
        <v>6665</v>
      </c>
      <c r="H1349" s="878" t="s">
        <v>59</v>
      </c>
      <c r="I1349" s="881">
        <v>45607</v>
      </c>
      <c r="J1349" s="956">
        <v>45715</v>
      </c>
      <c r="K1349" s="883">
        <v>45715</v>
      </c>
      <c r="L1349" s="884">
        <f>IF(ISTEXT(Table15[[#This Row],[Engineering Approved Design Date]]),Table15[[#This Row],[Date Completed]]-Table15[[#This Row],[Date Assigned to Designer]],Table15[[#This Row],[Engineering Approved Design Date]]-Table15[[#This Row],[Date Completed]])</f>
        <v>0</v>
      </c>
      <c r="N1349" s="885" t="s">
        <v>120</v>
      </c>
      <c r="O1349" s="886">
        <v>45717</v>
      </c>
      <c r="P1349" s="1153" t="s">
        <v>739</v>
      </c>
      <c r="Q1349" s="1150">
        <f>Table15[[#This Row],[Rate]]*Table15[[#This Row],[Construction Cost to Bill From]]</f>
        <v>58036.586000000003</v>
      </c>
      <c r="R1349" s="887">
        <v>0.1</v>
      </c>
      <c r="S1349" s="888" t="s">
        <v>29</v>
      </c>
      <c r="T1349" s="888" t="s">
        <v>29</v>
      </c>
      <c r="U1349" s="889" t="s">
        <v>29</v>
      </c>
      <c r="V1349" s="890">
        <v>1577</v>
      </c>
      <c r="W1349" s="1021" t="s">
        <v>29</v>
      </c>
      <c r="X1349" s="888">
        <v>478044.2</v>
      </c>
      <c r="Y1349" s="891"/>
      <c r="Z1349" s="888">
        <v>102321.66</v>
      </c>
      <c r="AA1349" s="892">
        <f>SUM(Table15[[#This Row],[PCTS Investment Amount]:[PCTS Retirement Amount]])</f>
        <v>580365.86</v>
      </c>
      <c r="AB1349" s="893">
        <v>45706</v>
      </c>
      <c r="AC1349" s="894" t="s">
        <v>709</v>
      </c>
      <c r="AD1349" s="1160" t="s">
        <v>29</v>
      </c>
      <c r="AE1349" s="940" t="s">
        <v>116</v>
      </c>
      <c r="AF1349" s="895" t="s">
        <v>29</v>
      </c>
      <c r="AG1349" s="896" t="s">
        <v>116</v>
      </c>
      <c r="AH1349" s="897">
        <v>45735</v>
      </c>
      <c r="AI1349" s="898">
        <v>0</v>
      </c>
      <c r="AJ1349" s="899">
        <v>3785</v>
      </c>
      <c r="AK1349" s="948">
        <v>0</v>
      </c>
      <c r="AL1349" s="901">
        <f>SUM(Table15[[#This Row],[Nicor Initiated DBE]:[Staffing]])/(Table15[[#This Row],[Amount Invoiced]])</f>
        <v>6.5217481951815703E-2</v>
      </c>
      <c r="AM1349" s="1522" t="s">
        <v>116</v>
      </c>
      <c r="AN1349" s="1523">
        <v>45792</v>
      </c>
      <c r="AO1349" s="1524">
        <v>11103205</v>
      </c>
      <c r="AP1349" s="1525">
        <v>478085.01</v>
      </c>
      <c r="AQ1349" s="1525"/>
      <c r="AR1349" s="1525">
        <v>102323.47</v>
      </c>
      <c r="AS1349" s="1525">
        <f>IF(Table15[[#This Row],[PCTS Approved]]="N",0,Table15[[#This Row],[Investment Amount (1'#'#'#'#'#)]]+Table15[[#This Row],[Retirement Amount (3'#'#'#'#'#)]])</f>
        <v>580408.48</v>
      </c>
      <c r="AT1349" s="1525">
        <f>IF(Table15[[#This Row],[Approved Construction Cost]]=0,0,Table15[[#This Row],[Approved Construction Cost]]-Table15[[#This Row],[Construction Cost to Bill From]])</f>
        <v>42.619999999995343</v>
      </c>
      <c r="AU1349" s="1525">
        <f>Table15[[#This Row],[Difference in Construction Cost]]*Table15[[#This Row],[Rate]]</f>
        <v>4.2619999999995342</v>
      </c>
      <c r="AV1349" s="1525">
        <v>0</v>
      </c>
      <c r="AW1349" s="1526" t="s">
        <v>8402</v>
      </c>
      <c r="AX1349" s="1525">
        <f>Table15[[#This Row],[Reconcile Amount]]</f>
        <v>4.2619999999995342</v>
      </c>
      <c r="AY1349" s="1518">
        <v>45901</v>
      </c>
      <c r="AZ1349" s="333"/>
      <c r="BA1349" s="910" t="s">
        <v>8403</v>
      </c>
      <c r="BB1349" s="911" t="s">
        <v>905</v>
      </c>
      <c r="BC1349" s="912" t="s">
        <v>709</v>
      </c>
      <c r="BD1349" s="913" t="s">
        <v>6767</v>
      </c>
      <c r="BE1349" s="914" t="s">
        <v>709</v>
      </c>
      <c r="BF1349" s="914" t="s">
        <v>6768</v>
      </c>
      <c r="BG1349" s="915" t="s">
        <v>709</v>
      </c>
      <c r="BH1349" s="1023" t="s">
        <v>8404</v>
      </c>
      <c r="BI1349" s="929" t="s">
        <v>709</v>
      </c>
      <c r="BJ1349" s="929" t="s">
        <v>709</v>
      </c>
      <c r="BK1349" s="916" t="s">
        <v>709</v>
      </c>
      <c r="BL1349" s="916" t="s">
        <v>116</v>
      </c>
      <c r="BM1349" s="916" t="s">
        <v>709</v>
      </c>
      <c r="BN1349" s="916" t="s">
        <v>709</v>
      </c>
      <c r="BO1349" s="916" t="s">
        <v>709</v>
      </c>
      <c r="BP1349" s="916" t="s">
        <v>709</v>
      </c>
      <c r="BQ1349" s="916" t="s">
        <v>709</v>
      </c>
      <c r="BR1349" s="916">
        <v>1400</v>
      </c>
      <c r="BS1349" s="916">
        <v>177</v>
      </c>
      <c r="BT1349" s="916" t="s">
        <v>709</v>
      </c>
      <c r="BU1349" s="916" t="s">
        <v>709</v>
      </c>
      <c r="BV1349" s="916" t="s">
        <v>709</v>
      </c>
      <c r="BW1349" s="916" t="s">
        <v>709</v>
      </c>
      <c r="BX1349" s="916" t="s">
        <v>709</v>
      </c>
      <c r="BY1349" s="916" t="s">
        <v>709</v>
      </c>
      <c r="BZ1349" s="916" t="s">
        <v>709</v>
      </c>
      <c r="CA1349" s="917" t="s">
        <v>8405</v>
      </c>
      <c r="CB1349" s="547">
        <v>1348</v>
      </c>
      <c r="CC1349" s="1481" t="b">
        <v>0</v>
      </c>
      <c r="CD1349" s="879" t="str">
        <f>Table15[[#This Row],[Engineering Number]]&amp;Table15[[#This Row],[WO Number]]&amp;Table15[[#This Row],[Date Assigned to Designer]]&amp;Table15[[#This Row],[Date Completed]]</f>
        <v>N1900212146984560745715</v>
      </c>
    </row>
    <row r="1350" spans="1:82" ht="15" customHeight="1" x14ac:dyDescent="0.25">
      <c r="A1350">
        <v>2025</v>
      </c>
      <c r="B1350" s="879" t="s">
        <v>769</v>
      </c>
      <c r="C1350" s="879" t="s">
        <v>8124</v>
      </c>
      <c r="D1350" s="939">
        <v>1014228</v>
      </c>
      <c r="E1350" s="965" t="s">
        <v>2375</v>
      </c>
      <c r="F1350" s="879" t="s">
        <v>6643</v>
      </c>
      <c r="G1350" s="879" t="s">
        <v>37</v>
      </c>
      <c r="H1350" s="878" t="s">
        <v>3178</v>
      </c>
      <c r="I1350" s="883">
        <v>45708</v>
      </c>
      <c r="J1350" s="918" t="s">
        <v>2052</v>
      </c>
      <c r="K1350" s="945">
        <v>45715</v>
      </c>
      <c r="L1350" s="884">
        <f>IF(ISTEXT(Table15[[#This Row],[Engineering Approved Design Date]]),Table15[[#This Row],[Date Completed]]-Table15[[#This Row],[Date Assigned to Designer]],Table15[[#This Row],[Engineering Approved Design Date]]-Table15[[#This Row],[Date Completed]])</f>
        <v>7</v>
      </c>
      <c r="M1350" s="879" t="s">
        <v>8406</v>
      </c>
      <c r="N1350" s="99" t="s">
        <v>120</v>
      </c>
      <c r="O1350" s="886">
        <v>45717</v>
      </c>
      <c r="P1350" s="1153" t="s">
        <v>120</v>
      </c>
      <c r="Q1350" s="1150">
        <f>Table15[[#This Row],[Shactee Effort]]+Table15[[#This Row],[3rd Party Effort]]+Table15[[#This Row],[KH Hourly Effort]]</f>
        <v>955</v>
      </c>
      <c r="R1350" s="920" t="s">
        <v>1922</v>
      </c>
      <c r="S1350" s="888">
        <v>0</v>
      </c>
      <c r="T1350" s="888">
        <v>0</v>
      </c>
      <c r="U1350" s="889">
        <v>955</v>
      </c>
      <c r="V1350" s="890">
        <v>264</v>
      </c>
      <c r="W1350" s="1021">
        <v>2</v>
      </c>
      <c r="X1350" s="888">
        <v>157105.16</v>
      </c>
      <c r="Y1350" s="888"/>
      <c r="Z1350" s="888">
        <v>34349.49</v>
      </c>
      <c r="AA1350" s="888">
        <f>SUM(Table15[[#This Row],[PCTS Investment Amount]:[PCTS Retirement Amount]])</f>
        <v>191454.65</v>
      </c>
      <c r="AB1350" s="893">
        <v>45636</v>
      </c>
      <c r="AC1350" s="896" t="s">
        <v>1056</v>
      </c>
      <c r="AD1350" s="1155" t="s">
        <v>29</v>
      </c>
      <c r="AE1350" s="894" t="s">
        <v>116</v>
      </c>
      <c r="AF1350" s="896" t="s">
        <v>29</v>
      </c>
      <c r="AG1350" s="897" t="s">
        <v>29</v>
      </c>
      <c r="AH1350" s="902">
        <v>45735</v>
      </c>
      <c r="AI1350" s="969" t="s">
        <v>29</v>
      </c>
      <c r="AJ1350" s="970" t="s">
        <v>29</v>
      </c>
      <c r="AK1350" s="970" t="s">
        <v>29</v>
      </c>
      <c r="AL1350" s="901" t="s">
        <v>29</v>
      </c>
      <c r="AM1350" s="542" t="s">
        <v>709</v>
      </c>
      <c r="AN1350" s="924"/>
      <c r="AO1350" s="925"/>
      <c r="AP1350" s="926"/>
      <c r="AQ1350" s="926"/>
      <c r="AR1350" s="926"/>
      <c r="AS1350" s="926"/>
      <c r="AT1350" s="926"/>
      <c r="AU1350" s="926"/>
      <c r="AV1350" s="926"/>
      <c r="AW1350" s="927"/>
      <c r="AX1350" s="926"/>
      <c r="AY1350" s="1538" t="s">
        <v>29</v>
      </c>
      <c r="AZ1350" s="1530"/>
      <c r="BA1350" s="966">
        <v>2</v>
      </c>
      <c r="BB1350" s="990" t="s">
        <v>8406</v>
      </c>
      <c r="BC1350" s="915" t="s">
        <v>992</v>
      </c>
      <c r="BD1350" s="915" t="s">
        <v>709</v>
      </c>
      <c r="BE1350" s="915" t="s">
        <v>709</v>
      </c>
      <c r="BF1350" s="915" t="s">
        <v>709</v>
      </c>
      <c r="BG1350" s="915" t="s">
        <v>709</v>
      </c>
      <c r="BH1350" s="1175" t="s">
        <v>8407</v>
      </c>
      <c r="BI1350" s="937"/>
      <c r="BJ1350" s="937"/>
      <c r="BK1350" s="937"/>
      <c r="BL1350" s="937"/>
      <c r="BM1350" s="937"/>
      <c r="BN1350" s="937"/>
      <c r="BO1350" s="937"/>
      <c r="BP1350" s="937"/>
      <c r="BQ1350" s="937"/>
      <c r="BR1350" s="937"/>
      <c r="BS1350" s="937"/>
      <c r="BT1350" s="937"/>
      <c r="BU1350" s="937"/>
      <c r="BV1350" s="937"/>
      <c r="BW1350" s="937"/>
      <c r="BX1350" s="937"/>
      <c r="BY1350" s="937"/>
      <c r="BZ1350" s="937"/>
      <c r="CA1350" s="967"/>
      <c r="CB1350" s="547">
        <v>1347</v>
      </c>
      <c r="CC1350" s="1481" t="b">
        <v>0</v>
      </c>
      <c r="CD1350" s="879" t="str">
        <f>Table15[[#This Row],[Engineering Number]]&amp;Table15[[#This Row],[WO Number]]&amp;Table15[[#This Row],[Date Assigned to Designer]]&amp;Table15[[#This Row],[Date Completed]]</f>
        <v>RS126710142284570845715</v>
      </c>
    </row>
    <row r="1351" spans="1:82" ht="15" customHeight="1" x14ac:dyDescent="0.25">
      <c r="A1351">
        <v>2025</v>
      </c>
      <c r="B1351" s="878" t="s">
        <v>730</v>
      </c>
      <c r="C1351" s="878" t="s">
        <v>8408</v>
      </c>
      <c r="D1351" s="878" t="s">
        <v>8409</v>
      </c>
      <c r="E1351" s="878" t="s">
        <v>8126</v>
      </c>
      <c r="F1351" s="878" t="s">
        <v>6643</v>
      </c>
      <c r="G1351" s="878" t="s">
        <v>34</v>
      </c>
      <c r="H1351" s="878" t="s">
        <v>59</v>
      </c>
      <c r="I1351" s="883">
        <v>45550</v>
      </c>
      <c r="J1351" s="945">
        <v>45716</v>
      </c>
      <c r="K1351" s="945">
        <v>45716</v>
      </c>
      <c r="L1351" s="919">
        <f>IF(ISTEXT(Table15[[#This Row],[Engineering Approved Design Date]]),Table15[[#This Row],[Date Completed]]-Table15[[#This Row],[Date Assigned to Designer]],Table15[[#This Row],[Engineering Approved Design Date]]-Table15[[#This Row],[Date Completed]])</f>
        <v>0</v>
      </c>
      <c r="N1351" s="99" t="s">
        <v>120</v>
      </c>
      <c r="O1351" s="886">
        <v>45717</v>
      </c>
      <c r="P1351" s="1153" t="s">
        <v>120</v>
      </c>
      <c r="Q1351" s="1150">
        <v>12750</v>
      </c>
      <c r="R1351" s="920" t="s">
        <v>6644</v>
      </c>
      <c r="S1351" s="888" t="s">
        <v>29</v>
      </c>
      <c r="T1351" s="888" t="s">
        <v>29</v>
      </c>
      <c r="U1351" s="889" t="s">
        <v>29</v>
      </c>
      <c r="V1351" s="890">
        <v>92</v>
      </c>
      <c r="W1351" s="1021">
        <v>1</v>
      </c>
      <c r="X1351" s="892">
        <v>118880.63</v>
      </c>
      <c r="Y1351" s="935"/>
      <c r="Z1351" s="892">
        <v>57933.18</v>
      </c>
      <c r="AA1351" s="892">
        <f>SUM(Table15[[#This Row],[PCTS Investment Amount]:[PCTS Retirement Amount]])</f>
        <v>176813.81</v>
      </c>
      <c r="AB1351" s="893">
        <v>45719</v>
      </c>
      <c r="AC1351" s="896" t="s">
        <v>1177</v>
      </c>
      <c r="AD1351" s="1155" t="s">
        <v>29</v>
      </c>
      <c r="AE1351" s="894" t="s">
        <v>756</v>
      </c>
      <c r="AF1351" s="896" t="s">
        <v>756</v>
      </c>
      <c r="AG1351" s="897" t="s">
        <v>116</v>
      </c>
      <c r="AH1351" s="985">
        <v>45825</v>
      </c>
      <c r="AI1351" s="898">
        <v>5935</v>
      </c>
      <c r="AJ1351" s="899">
        <v>0</v>
      </c>
      <c r="AK1351" s="941">
        <v>0</v>
      </c>
      <c r="AL1351" s="901">
        <f>SUM(Table15[[#This Row],[Nicor Initiated DBE]:[Staffing]])/(Table15[[#This Row],[Amount Invoiced]])</f>
        <v>0.4654901960784314</v>
      </c>
      <c r="AM1351" s="542" t="s">
        <v>709</v>
      </c>
      <c r="AN1351" s="924"/>
      <c r="AO1351" s="925"/>
      <c r="AP1351" s="926"/>
      <c r="AQ1351" s="926"/>
      <c r="AR1351" s="926"/>
      <c r="AS1351" s="926"/>
      <c r="AT1351" s="926"/>
      <c r="AU1351" s="926"/>
      <c r="AV1351" s="926"/>
      <c r="AW1351" s="927"/>
      <c r="AX1351" s="926"/>
      <c r="AY1351" s="1538" t="s">
        <v>29</v>
      </c>
      <c r="AZ1351" s="1530"/>
      <c r="BA1351" s="910" t="s">
        <v>8410</v>
      </c>
      <c r="BB1351" s="942" t="s">
        <v>8411</v>
      </c>
      <c r="BC1351" s="915" t="s">
        <v>116</v>
      </c>
      <c r="BD1351" s="915" t="s">
        <v>709</v>
      </c>
      <c r="BE1351" s="915" t="s">
        <v>709</v>
      </c>
      <c r="BF1351" s="915" t="s">
        <v>709</v>
      </c>
      <c r="BG1351" s="943" t="s">
        <v>709</v>
      </c>
      <c r="BH1351" s="1023" t="s">
        <v>8412</v>
      </c>
      <c r="BI1351" s="916" t="s">
        <v>745</v>
      </c>
      <c r="BJ1351" s="916" t="s">
        <v>745</v>
      </c>
      <c r="BK1351" s="916" t="s">
        <v>116</v>
      </c>
      <c r="BL1351" s="916" t="s">
        <v>116</v>
      </c>
      <c r="BM1351" s="916" t="s">
        <v>745</v>
      </c>
      <c r="BN1351" s="916" t="s">
        <v>745</v>
      </c>
      <c r="BO1351" s="916" t="s">
        <v>745</v>
      </c>
      <c r="BP1351" s="944" t="s">
        <v>745</v>
      </c>
      <c r="BQ1351" s="944" t="s">
        <v>745</v>
      </c>
      <c r="BR1351" s="929">
        <v>12</v>
      </c>
      <c r="BS1351" s="929">
        <v>80</v>
      </c>
      <c r="BT1351" s="916" t="s">
        <v>745</v>
      </c>
      <c r="BU1351" s="916">
        <v>1</v>
      </c>
      <c r="BV1351" s="916" t="s">
        <v>745</v>
      </c>
      <c r="BW1351" s="916" t="s">
        <v>745</v>
      </c>
      <c r="BX1351" s="916">
        <v>1</v>
      </c>
      <c r="BY1351" s="916" t="s">
        <v>709</v>
      </c>
      <c r="BZ1351" s="916" t="s">
        <v>709</v>
      </c>
      <c r="CA1351" s="917"/>
      <c r="CB1351" s="547">
        <v>1349</v>
      </c>
      <c r="CC1351" s="1481" t="b">
        <v>0</v>
      </c>
      <c r="CD1351" s="879" t="str">
        <f>Table15[[#This Row],[Engineering Number]]&amp;Table15[[#This Row],[WO Number]]&amp;Table15[[#This Row],[Date Assigned to Designer]]&amp;Table15[[#This Row],[Date Completed]]</f>
        <v>RS127110143674555045716</v>
      </c>
    </row>
    <row r="1352" spans="1:82" ht="15" customHeight="1" x14ac:dyDescent="0.25">
      <c r="A1352">
        <v>2024</v>
      </c>
      <c r="B1352" s="878" t="s">
        <v>759</v>
      </c>
      <c r="C1352" s="878" t="s">
        <v>437</v>
      </c>
      <c r="D1352" s="878" t="s">
        <v>5778</v>
      </c>
      <c r="E1352" s="878" t="s">
        <v>438</v>
      </c>
      <c r="F1352" s="878" t="s">
        <v>6643</v>
      </c>
      <c r="G1352" s="878" t="s">
        <v>37</v>
      </c>
      <c r="H1352" s="878" t="s">
        <v>59</v>
      </c>
      <c r="I1352" s="883">
        <v>45341</v>
      </c>
      <c r="J1352" s="945">
        <v>45716</v>
      </c>
      <c r="K1352" s="945">
        <v>45716</v>
      </c>
      <c r="L1352" s="919">
        <f>IF(ISTEXT(Table15[[#This Row],[Engineering Approved Design Date]]),Table15[[#This Row],[Date Completed]]-Table15[[#This Row],[Date Assigned to Designer]],Table15[[#This Row],[Engineering Approved Design Date]]-Table15[[#This Row],[Date Completed]])</f>
        <v>0</v>
      </c>
      <c r="M1352" s="939"/>
      <c r="N1352" s="99" t="s">
        <v>120</v>
      </c>
      <c r="O1352" s="886">
        <v>45748</v>
      </c>
      <c r="P1352" s="1153" t="s">
        <v>120</v>
      </c>
      <c r="Q1352" s="1150">
        <f>Table15[[#This Row],[Rate]]*Table15[[#This Row],[Construction Cost to Bill From]]</f>
        <v>106348.25520000001</v>
      </c>
      <c r="R1352" s="920">
        <v>0.11</v>
      </c>
      <c r="S1352" s="888" t="s">
        <v>29</v>
      </c>
      <c r="T1352" s="888" t="s">
        <v>29</v>
      </c>
      <c r="U1352" s="889" t="s">
        <v>29</v>
      </c>
      <c r="V1352" s="890">
        <v>1093</v>
      </c>
      <c r="W1352" s="1021">
        <v>1</v>
      </c>
      <c r="X1352" s="892">
        <v>843423.93</v>
      </c>
      <c r="Y1352" s="935"/>
      <c r="Z1352" s="892">
        <v>123378.39</v>
      </c>
      <c r="AA1352" s="892">
        <f>SUM(Table15[[#This Row],[PCTS Investment Amount]:[PCTS Retirement Amount]])</f>
        <v>966802.32000000007</v>
      </c>
      <c r="AB1352" s="893">
        <v>45754</v>
      </c>
      <c r="AC1352" s="894" t="s">
        <v>1177</v>
      </c>
      <c r="AD1352" s="1162" t="s">
        <v>29</v>
      </c>
      <c r="AE1352" s="940" t="s">
        <v>116</v>
      </c>
      <c r="AF1352" s="940" t="s">
        <v>29</v>
      </c>
      <c r="AG1352" s="940" t="s">
        <v>376</v>
      </c>
      <c r="AH1352" s="940" t="s">
        <v>376</v>
      </c>
      <c r="AI1352" s="898">
        <v>4900</v>
      </c>
      <c r="AJ1352" s="991">
        <v>1748.95</v>
      </c>
      <c r="AK1352" s="941">
        <v>10894</v>
      </c>
      <c r="AL1352" s="901">
        <f>SUM(Table15[[#This Row],[Nicor Initiated DBE]:[Staffing]])/(Table15[[#This Row],[Amount Invoiced]])</f>
        <v>0.16495757233636305</v>
      </c>
      <c r="AM1352" s="536" t="s">
        <v>116</v>
      </c>
      <c r="AN1352" s="903"/>
      <c r="AO1352" s="1536"/>
      <c r="AP1352" s="1537"/>
      <c r="AQ1352" s="1537"/>
      <c r="AR1352" s="1537"/>
      <c r="AS1352" s="888">
        <f>IF(Table15[[#This Row],[PCTS Approved]]="N",0,Table15[[#This Row],[Investment Amount (1'#'#'#'#'#)]]+Table15[[#This Row],[Retirement Amount (3'#'#'#'#'#)]])</f>
        <v>0</v>
      </c>
      <c r="AT1352" s="888">
        <f>IF(Table15[[#This Row],[Approved Construction Cost]]=0,0,Table15[[#This Row],[Approved Construction Cost]]-Table15[[#This Row],[Construction Cost to Bill From]])</f>
        <v>0</v>
      </c>
      <c r="AU1352" s="888">
        <f>IFERROR(Table15[[#This Row],[Difference in Construction Cost]]*Table15[[#This Row],[Rate]],Table15[[#This Row],[Difference in Construction Cost]]*0.085)</f>
        <v>0</v>
      </c>
      <c r="AV1352" s="905"/>
      <c r="AW1352" s="1509"/>
      <c r="AX1352" s="888"/>
      <c r="AY1352" s="636" t="s">
        <v>709</v>
      </c>
      <c r="AZ1352" s="1532"/>
      <c r="BA1352" s="910" t="s">
        <v>8413</v>
      </c>
      <c r="BB1352" s="949" t="s">
        <v>1443</v>
      </c>
      <c r="BC1352" s="915" t="s">
        <v>115</v>
      </c>
      <c r="BD1352" s="915" t="s">
        <v>115</v>
      </c>
      <c r="BE1352" s="915" t="s">
        <v>1444</v>
      </c>
      <c r="BF1352" s="915" t="s">
        <v>115</v>
      </c>
      <c r="BG1352" s="943" t="s">
        <v>115</v>
      </c>
      <c r="BH1352" s="1023" t="s">
        <v>8414</v>
      </c>
      <c r="BI1352" s="916" t="s">
        <v>709</v>
      </c>
      <c r="BJ1352" s="916" t="s">
        <v>709</v>
      </c>
      <c r="BK1352" s="916" t="s">
        <v>709</v>
      </c>
      <c r="BL1352" s="916" t="s">
        <v>116</v>
      </c>
      <c r="BM1352" s="916" t="s">
        <v>709</v>
      </c>
      <c r="BN1352" s="916" t="s">
        <v>709</v>
      </c>
      <c r="BO1352" s="916" t="s">
        <v>709</v>
      </c>
      <c r="BP1352" s="944">
        <v>584</v>
      </c>
      <c r="BQ1352" s="944">
        <v>336</v>
      </c>
      <c r="BR1352" s="929">
        <v>62</v>
      </c>
      <c r="BS1352" s="929">
        <v>21</v>
      </c>
      <c r="BT1352" s="916">
        <v>1</v>
      </c>
      <c r="BU1352" s="916" t="s">
        <v>709</v>
      </c>
      <c r="BV1352" s="916" t="s">
        <v>709</v>
      </c>
      <c r="BW1352" s="916">
        <v>1</v>
      </c>
      <c r="BX1352" s="916">
        <v>1</v>
      </c>
      <c r="BY1352" s="916" t="s">
        <v>709</v>
      </c>
      <c r="BZ1352" s="916" t="s">
        <v>709</v>
      </c>
      <c r="CA1352" s="917"/>
      <c r="CB1352" s="547">
        <v>1350</v>
      </c>
      <c r="CC1352" s="1481" t="b">
        <v>0</v>
      </c>
      <c r="CD1352" s="879" t="str">
        <f>Table15[[#This Row],[Engineering Number]]&amp;Table15[[#This Row],[WO Number]]&amp;Table15[[#This Row],[Date Assigned to Designer]]&amp;Table15[[#This Row],[Date Completed]]</f>
        <v>RS95910119354534145716</v>
      </c>
    </row>
    <row r="1353" spans="1:82" ht="15" customHeight="1" x14ac:dyDescent="0.25">
      <c r="A1353">
        <v>2024</v>
      </c>
      <c r="B1353" s="878" t="s">
        <v>4</v>
      </c>
      <c r="C1353" s="879" t="s">
        <v>8415</v>
      </c>
      <c r="D1353" s="880" t="s">
        <v>8416</v>
      </c>
      <c r="E1353" s="879" t="s">
        <v>108</v>
      </c>
      <c r="F1353" s="878" t="s">
        <v>784</v>
      </c>
      <c r="G1353" s="878" t="s">
        <v>25</v>
      </c>
      <c r="H1353" s="878" t="s">
        <v>59</v>
      </c>
      <c r="I1353" s="881">
        <v>44585</v>
      </c>
      <c r="J1353" s="956">
        <v>45730</v>
      </c>
      <c r="K1353" s="945">
        <v>45720</v>
      </c>
      <c r="L1353" s="884">
        <f>IF(ISTEXT(Table15[[#This Row],[Engineering Approved Design Date]]),Table15[[#This Row],[Date Completed]]-Table15[[#This Row],[Date Assigned to Designer]],Table15[[#This Row],[Engineering Approved Design Date]]-Table15[[#This Row],[Date Completed]])</f>
        <v>10</v>
      </c>
      <c r="N1353" s="885" t="s">
        <v>120</v>
      </c>
      <c r="O1353" s="886">
        <v>45717</v>
      </c>
      <c r="P1353" s="1153" t="s">
        <v>739</v>
      </c>
      <c r="Q1353" s="1150">
        <f>Table15[[#This Row],[Rate]]*Table15[[#This Row],[Construction Cost to Bill From]]</f>
        <v>82276.650000000009</v>
      </c>
      <c r="R1353" s="887">
        <v>0.1</v>
      </c>
      <c r="S1353" s="888" t="s">
        <v>29</v>
      </c>
      <c r="T1353" s="888" t="s">
        <v>29</v>
      </c>
      <c r="U1353" s="889" t="s">
        <v>29</v>
      </c>
      <c r="V1353" s="890">
        <v>2267</v>
      </c>
      <c r="W1353" s="1021" t="s">
        <v>29</v>
      </c>
      <c r="X1353" s="888">
        <v>758389.39</v>
      </c>
      <c r="Y1353" s="891"/>
      <c r="Z1353" s="888">
        <v>64377.11</v>
      </c>
      <c r="AA1353" s="892">
        <f>SUM(Table15[[#This Row],[PCTS Investment Amount]:[PCTS Retirement Amount]])</f>
        <v>822766.5</v>
      </c>
      <c r="AB1353" s="893">
        <v>45665</v>
      </c>
      <c r="AC1353" s="894" t="s">
        <v>709</v>
      </c>
      <c r="AD1353" s="1160" t="s">
        <v>29</v>
      </c>
      <c r="AE1353" s="940" t="s">
        <v>756</v>
      </c>
      <c r="AF1353" s="895" t="s">
        <v>756</v>
      </c>
      <c r="AG1353" s="896" t="s">
        <v>116</v>
      </c>
      <c r="AH1353" s="897">
        <v>45825</v>
      </c>
      <c r="AI1353" s="898">
        <v>0</v>
      </c>
      <c r="AJ1353" s="899">
        <f>5400</f>
        <v>5400</v>
      </c>
      <c r="AK1353" s="960">
        <f>4085+4236.25</f>
        <v>8321.25</v>
      </c>
      <c r="AL1353" s="901">
        <f>SUM(Table15[[#This Row],[Nicor Initiated DBE]:[Staffing]])/(Table15[[#This Row],[Amount Invoiced]])</f>
        <v>0.16676967280510324</v>
      </c>
      <c r="AM1353" s="536" t="s">
        <v>116</v>
      </c>
      <c r="AN1353" s="903" t="s">
        <v>709</v>
      </c>
      <c r="AO1353" s="1536"/>
      <c r="AP1353" s="1537"/>
      <c r="AQ1353" s="1537"/>
      <c r="AR1353" s="1537"/>
      <c r="AS1353" s="888">
        <f>IF(Table15[[#This Row],[PCTS Approved]]="N",0,Table15[[#This Row],[Investment Amount (1'#'#'#'#'#)]]+Table15[[#This Row],[Retirement Amount (3'#'#'#'#'#)]])</f>
        <v>0</v>
      </c>
      <c r="AT1353" s="888">
        <f>IF(Table15[[#This Row],[Approved Construction Cost]]=0,0,Table15[[#This Row],[Approved Construction Cost]]-Table15[[#This Row],[Construction Cost to Bill From]])</f>
        <v>0</v>
      </c>
      <c r="AU1353" s="888">
        <f>IFERROR(Table15[[#This Row],[Difference in Construction Cost]]*Table15[[#This Row],[Rate]],Table15[[#This Row],[Difference in Construction Cost]]*0.085)</f>
        <v>0</v>
      </c>
      <c r="AV1353" s="905"/>
      <c r="AW1353" s="1509"/>
      <c r="AX1353" s="888"/>
      <c r="AY1353" s="636" t="s">
        <v>709</v>
      </c>
      <c r="AZ1353" s="333"/>
      <c r="BA1353" s="910" t="s">
        <v>8417</v>
      </c>
      <c r="BB1353" s="911" t="s">
        <v>8418</v>
      </c>
      <c r="BC1353" s="912" t="s">
        <v>709</v>
      </c>
      <c r="BD1353" s="913" t="s">
        <v>709</v>
      </c>
      <c r="BE1353" s="914" t="s">
        <v>1569</v>
      </c>
      <c r="BF1353" s="914" t="s">
        <v>709</v>
      </c>
      <c r="BG1353" s="915" t="s">
        <v>709</v>
      </c>
      <c r="BH1353" s="1023" t="s">
        <v>8419</v>
      </c>
      <c r="BI1353" s="929" t="s">
        <v>745</v>
      </c>
      <c r="BJ1353" s="929" t="s">
        <v>745</v>
      </c>
      <c r="BK1353" s="916" t="s">
        <v>745</v>
      </c>
      <c r="BL1353" s="916" t="s">
        <v>116</v>
      </c>
      <c r="BM1353" s="916" t="s">
        <v>745</v>
      </c>
      <c r="BN1353" s="916" t="s">
        <v>745</v>
      </c>
      <c r="BO1353" s="916" t="s">
        <v>745</v>
      </c>
      <c r="BP1353" s="916" t="s">
        <v>745</v>
      </c>
      <c r="BQ1353" s="916">
        <v>2143</v>
      </c>
      <c r="BR1353" s="916">
        <v>124</v>
      </c>
      <c r="BS1353" s="916" t="s">
        <v>709</v>
      </c>
      <c r="BT1353" s="916" t="s">
        <v>745</v>
      </c>
      <c r="BU1353" s="916" t="s">
        <v>745</v>
      </c>
      <c r="BV1353" s="916" t="s">
        <v>745</v>
      </c>
      <c r="BW1353" s="916" t="s">
        <v>745</v>
      </c>
      <c r="BX1353" s="916" t="s">
        <v>745</v>
      </c>
      <c r="BY1353" s="916" t="s">
        <v>745</v>
      </c>
      <c r="BZ1353" s="916" t="s">
        <v>709</v>
      </c>
      <c r="CA1353" s="917"/>
      <c r="CB1353" s="547">
        <v>1351</v>
      </c>
      <c r="CC1353" s="1481" t="b">
        <v>0</v>
      </c>
      <c r="CD1353" s="879" t="str">
        <f>Table15[[#This Row],[Engineering Number]]&amp;Table15[[#This Row],[WO Number]]&amp;Table15[[#This Row],[Date Assigned to Designer]]&amp;Table15[[#This Row],[Date Completed]]</f>
        <v>N1298712140854458545720</v>
      </c>
    </row>
    <row r="1354" spans="1:82" ht="15" customHeight="1" x14ac:dyDescent="0.25">
      <c r="A1354">
        <v>2025</v>
      </c>
      <c r="B1354" s="878" t="s">
        <v>6798</v>
      </c>
      <c r="C1354" s="878" t="s">
        <v>8420</v>
      </c>
      <c r="D1354" s="878" t="s">
        <v>8421</v>
      </c>
      <c r="E1354" s="878" t="s">
        <v>1459</v>
      </c>
      <c r="F1354" s="878" t="s">
        <v>6643</v>
      </c>
      <c r="G1354" s="878" t="s">
        <v>37</v>
      </c>
      <c r="H1354" s="878" t="s">
        <v>59</v>
      </c>
      <c r="I1354" s="883">
        <v>45665</v>
      </c>
      <c r="J1354" s="918">
        <v>45777</v>
      </c>
      <c r="K1354" s="945">
        <v>45723</v>
      </c>
      <c r="L1354" s="919">
        <f>IF(ISTEXT(Table15[[#This Row],[Engineering Approved Design Date]]),Table15[[#This Row],[Date Completed]]-Table15[[#This Row],[Date Assigned to Designer]],Table15[[#This Row],[Engineering Approved Design Date]]-Table15[[#This Row],[Date Completed]])</f>
        <v>54</v>
      </c>
      <c r="M1354" s="883"/>
      <c r="N1354" s="99" t="s">
        <v>120</v>
      </c>
      <c r="O1354" s="886">
        <v>45717</v>
      </c>
      <c r="P1354" s="1154" t="s">
        <v>739</v>
      </c>
      <c r="Q1354" s="1150">
        <f>Table15[[#This Row],[Shactee Effort]]+Table15[[#This Row],[3rd Party Effort]]+Table15[[#This Row],[KH Hourly Effort]]</f>
        <v>6357.5</v>
      </c>
      <c r="R1354" s="920" t="s">
        <v>1922</v>
      </c>
      <c r="S1354" s="888">
        <v>0</v>
      </c>
      <c r="T1354" s="888">
        <v>0</v>
      </c>
      <c r="U1354" s="889">
        <v>6357.5</v>
      </c>
      <c r="V1354" s="890">
        <v>0</v>
      </c>
      <c r="W1354" s="1021">
        <v>1</v>
      </c>
      <c r="X1354" s="888">
        <v>25000</v>
      </c>
      <c r="Y1354" s="888"/>
      <c r="Z1354" s="888">
        <v>0</v>
      </c>
      <c r="AA1354" s="888">
        <f>SUM(Table15[[#This Row],[PCTS Investment Amount]:[PCTS Retirement Amount]])</f>
        <v>25000</v>
      </c>
      <c r="AB1354" s="893" t="s">
        <v>29</v>
      </c>
      <c r="AC1354" s="896" t="s">
        <v>1177</v>
      </c>
      <c r="AD1354" s="1155" t="s">
        <v>29</v>
      </c>
      <c r="AE1354" s="894" t="s">
        <v>756</v>
      </c>
      <c r="AF1354" s="896" t="s">
        <v>29</v>
      </c>
      <c r="AG1354" s="897" t="s">
        <v>29</v>
      </c>
      <c r="AH1354" s="902" t="s">
        <v>376</v>
      </c>
      <c r="AI1354" s="898">
        <v>0</v>
      </c>
      <c r="AJ1354" s="899">
        <v>0</v>
      </c>
      <c r="AK1354" s="899">
        <v>0</v>
      </c>
      <c r="AL1354" s="901">
        <f>SUM(Table15[[#This Row],[Nicor Initiated DBE]:[Staffing]])/(Table15[[#This Row],[Amount Invoiced]])</f>
        <v>0</v>
      </c>
      <c r="AM1354" s="542" t="s">
        <v>709</v>
      </c>
      <c r="AN1354" s="924"/>
      <c r="AO1354" s="925"/>
      <c r="AP1354" s="926"/>
      <c r="AQ1354" s="926"/>
      <c r="AR1354" s="926"/>
      <c r="AS1354" s="926"/>
      <c r="AT1354" s="926"/>
      <c r="AU1354" s="926"/>
      <c r="AV1354" s="926"/>
      <c r="AW1354" s="927"/>
      <c r="AX1354" s="926"/>
      <c r="AY1354" s="1538" t="s">
        <v>29</v>
      </c>
      <c r="AZ1354" s="1530"/>
      <c r="BA1354" s="910" t="s">
        <v>6802</v>
      </c>
      <c r="BB1354" s="949" t="s">
        <v>8422</v>
      </c>
      <c r="BC1354" s="950" t="s">
        <v>29</v>
      </c>
      <c r="BD1354" s="951" t="s">
        <v>29</v>
      </c>
      <c r="BE1354" s="952" t="s">
        <v>29</v>
      </c>
      <c r="BF1354" s="952" t="s">
        <v>29</v>
      </c>
      <c r="BG1354" s="953" t="s">
        <v>29</v>
      </c>
      <c r="BH1354" s="1175" t="s">
        <v>8423</v>
      </c>
      <c r="BI1354" s="929" t="s">
        <v>745</v>
      </c>
      <c r="BJ1354" s="929" t="s">
        <v>116</v>
      </c>
      <c r="BK1354" s="929" t="s">
        <v>745</v>
      </c>
      <c r="BL1354" s="916" t="s">
        <v>116</v>
      </c>
      <c r="BM1354" s="929" t="s">
        <v>745</v>
      </c>
      <c r="BN1354" s="929" t="s">
        <v>745</v>
      </c>
      <c r="BO1354" s="929" t="s">
        <v>745</v>
      </c>
      <c r="BP1354" s="929" t="s">
        <v>745</v>
      </c>
      <c r="BQ1354" s="929" t="s">
        <v>745</v>
      </c>
      <c r="BR1354" s="929" t="s">
        <v>709</v>
      </c>
      <c r="BS1354" s="916" t="s">
        <v>709</v>
      </c>
      <c r="BT1354" s="929" t="s">
        <v>745</v>
      </c>
      <c r="BU1354" s="929" t="s">
        <v>116</v>
      </c>
      <c r="BV1354" s="929" t="s">
        <v>745</v>
      </c>
      <c r="BW1354" s="929" t="s">
        <v>745</v>
      </c>
      <c r="BX1354" s="929" t="s">
        <v>745</v>
      </c>
      <c r="BY1354" s="929" t="s">
        <v>745</v>
      </c>
      <c r="BZ1354" s="929" t="s">
        <v>709</v>
      </c>
      <c r="CA1354" s="917" t="s">
        <v>8424</v>
      </c>
      <c r="CB1354" s="547">
        <v>1362</v>
      </c>
      <c r="CC1354" s="1481" t="b">
        <v>0</v>
      </c>
      <c r="CD1354" s="879" t="str">
        <f>Table15[[#This Row],[Engineering Number]]&amp;Table15[[#This Row],[WO Number]]&amp;Table15[[#This Row],[Date Assigned to Designer]]&amp;Table15[[#This Row],[Date Completed]]</f>
        <v>150111410148784566545723</v>
      </c>
    </row>
    <row r="1355" spans="1:82" ht="15" customHeight="1" x14ac:dyDescent="0.25">
      <c r="A1355">
        <v>2025</v>
      </c>
      <c r="B1355" s="878" t="s">
        <v>6798</v>
      </c>
      <c r="C1355" s="878" t="s">
        <v>6799</v>
      </c>
      <c r="D1355" s="878" t="s">
        <v>6800</v>
      </c>
      <c r="E1355" s="878" t="s">
        <v>6801</v>
      </c>
      <c r="F1355" s="878" t="s">
        <v>6643</v>
      </c>
      <c r="G1355" s="878" t="s">
        <v>34</v>
      </c>
      <c r="H1355" s="878" t="s">
        <v>59</v>
      </c>
      <c r="I1355" s="883">
        <v>45665</v>
      </c>
      <c r="J1355" s="918">
        <v>45777</v>
      </c>
      <c r="K1355" s="945">
        <v>45723</v>
      </c>
      <c r="L1355" s="919">
        <f>IF(ISTEXT(Table15[[#This Row],[Engineering Approved Design Date]]),Table15[[#This Row],[Date Completed]]-Table15[[#This Row],[Date Assigned to Designer]],Table15[[#This Row],[Engineering Approved Design Date]]-Table15[[#This Row],[Date Completed]])</f>
        <v>54</v>
      </c>
      <c r="M1355" s="883"/>
      <c r="N1355" s="99" t="s">
        <v>120</v>
      </c>
      <c r="O1355" s="886">
        <v>45717</v>
      </c>
      <c r="P1355" s="1154" t="s">
        <v>739</v>
      </c>
      <c r="Q1355" s="1150">
        <f>Table15[[#This Row],[Shactee Effort]]+Table15[[#This Row],[3rd Party Effort]]+Table15[[#This Row],[KH Hourly Effort]]</f>
        <v>6432.5</v>
      </c>
      <c r="R1355" s="920" t="s">
        <v>1922</v>
      </c>
      <c r="S1355" s="888">
        <v>0</v>
      </c>
      <c r="T1355" s="888">
        <v>0</v>
      </c>
      <c r="U1355" s="889">
        <v>6432.5</v>
      </c>
      <c r="V1355" s="890">
        <v>0</v>
      </c>
      <c r="W1355" s="1021">
        <v>1</v>
      </c>
      <c r="X1355" s="888">
        <v>25000</v>
      </c>
      <c r="Y1355" s="888"/>
      <c r="Z1355" s="888">
        <v>0</v>
      </c>
      <c r="AA1355" s="888">
        <f>SUM(Table15[[#This Row],[PCTS Investment Amount]:[PCTS Retirement Amount]])</f>
        <v>25000</v>
      </c>
      <c r="AB1355" s="893" t="s">
        <v>29</v>
      </c>
      <c r="AC1355" s="896" t="s">
        <v>1177</v>
      </c>
      <c r="AD1355" s="1155" t="s">
        <v>29</v>
      </c>
      <c r="AE1355" s="894" t="s">
        <v>756</v>
      </c>
      <c r="AF1355" s="896" t="s">
        <v>29</v>
      </c>
      <c r="AG1355" s="897" t="s">
        <v>29</v>
      </c>
      <c r="AH1355" s="902" t="s">
        <v>376</v>
      </c>
      <c r="AI1355" s="898">
        <v>0</v>
      </c>
      <c r="AJ1355" s="899">
        <v>0</v>
      </c>
      <c r="AK1355" s="899">
        <v>0</v>
      </c>
      <c r="AL1355" s="901">
        <f>SUM(Table15[[#This Row],[Nicor Initiated DBE]:[Staffing]])/(Table15[[#This Row],[Amount Invoiced]])</f>
        <v>0</v>
      </c>
      <c r="AM1355" s="542" t="s">
        <v>709</v>
      </c>
      <c r="AN1355" s="924"/>
      <c r="AO1355" s="925"/>
      <c r="AP1355" s="926"/>
      <c r="AQ1355" s="926"/>
      <c r="AR1355" s="926"/>
      <c r="AS1355" s="926"/>
      <c r="AT1355" s="926"/>
      <c r="AU1355" s="926"/>
      <c r="AV1355" s="926"/>
      <c r="AW1355" s="927"/>
      <c r="AX1355" s="926"/>
      <c r="AY1355" s="1538" t="s">
        <v>29</v>
      </c>
      <c r="AZ1355" s="1530"/>
      <c r="BA1355" s="910" t="s">
        <v>6802</v>
      </c>
      <c r="BB1355" s="949" t="s">
        <v>6803</v>
      </c>
      <c r="BC1355" s="950" t="s">
        <v>116</v>
      </c>
      <c r="BD1355" s="951" t="s">
        <v>115</v>
      </c>
      <c r="BE1355" s="952" t="s">
        <v>115</v>
      </c>
      <c r="BF1355" s="952" t="s">
        <v>6804</v>
      </c>
      <c r="BG1355" s="953" t="s">
        <v>115</v>
      </c>
      <c r="BH1355" s="1175" t="s">
        <v>6805</v>
      </c>
      <c r="BI1355" s="929" t="s">
        <v>745</v>
      </c>
      <c r="BJ1355" s="929" t="s">
        <v>116</v>
      </c>
      <c r="BK1355" s="929" t="s">
        <v>745</v>
      </c>
      <c r="BL1355" s="916" t="s">
        <v>116</v>
      </c>
      <c r="BM1355" s="929" t="s">
        <v>745</v>
      </c>
      <c r="BN1355" s="929" t="s">
        <v>745</v>
      </c>
      <c r="BO1355" s="929" t="s">
        <v>745</v>
      </c>
      <c r="BP1355" s="929" t="s">
        <v>745</v>
      </c>
      <c r="BQ1355" s="929" t="s">
        <v>745</v>
      </c>
      <c r="BR1355" s="929" t="s">
        <v>709</v>
      </c>
      <c r="BS1355" s="916" t="s">
        <v>709</v>
      </c>
      <c r="BT1355" s="929" t="s">
        <v>745</v>
      </c>
      <c r="BU1355" s="929" t="s">
        <v>116</v>
      </c>
      <c r="BV1355" s="929" t="s">
        <v>745</v>
      </c>
      <c r="BW1355" s="929" t="s">
        <v>745</v>
      </c>
      <c r="BX1355" s="929" t="s">
        <v>745</v>
      </c>
      <c r="BY1355" s="929" t="s">
        <v>745</v>
      </c>
      <c r="BZ1355" s="929" t="s">
        <v>709</v>
      </c>
      <c r="CA1355" s="917" t="s">
        <v>6806</v>
      </c>
      <c r="CB1355" s="547">
        <v>1358</v>
      </c>
      <c r="CC1355" s="1481" t="b">
        <v>1</v>
      </c>
      <c r="CD1355" s="879" t="str">
        <f>Table15[[#This Row],[Engineering Number]]&amp;Table15[[#This Row],[WO Number]]&amp;Table15[[#This Row],[Date Assigned to Designer]]&amp;Table15[[#This Row],[Date Completed]]</f>
        <v>150142610148844566545723</v>
      </c>
    </row>
    <row r="1356" spans="1:82" ht="15" customHeight="1" x14ac:dyDescent="0.25">
      <c r="A1356">
        <v>2025</v>
      </c>
      <c r="B1356" s="878" t="s">
        <v>1981</v>
      </c>
      <c r="C1356" s="878" t="s">
        <v>8425</v>
      </c>
      <c r="D1356" s="878" t="s">
        <v>8426</v>
      </c>
      <c r="E1356" s="878" t="s">
        <v>108</v>
      </c>
      <c r="F1356" s="878" t="s">
        <v>7735</v>
      </c>
      <c r="G1356" s="878" t="s">
        <v>27</v>
      </c>
      <c r="H1356" s="878" t="s">
        <v>59</v>
      </c>
      <c r="I1356" s="883">
        <v>45649</v>
      </c>
      <c r="J1356" s="918">
        <v>45723</v>
      </c>
      <c r="K1356" s="945">
        <v>45723</v>
      </c>
      <c r="L1356" s="919">
        <f>IF(ISTEXT(Table15[[#This Row],[Engineering Approved Design Date]]),Table15[[#This Row],[Date Completed]]-Table15[[#This Row],[Date Assigned to Designer]],Table15[[#This Row],[Engineering Approved Design Date]]-Table15[[#This Row],[Date Completed]])</f>
        <v>0</v>
      </c>
      <c r="M1356" s="946"/>
      <c r="N1356" s="99" t="s">
        <v>120</v>
      </c>
      <c r="O1356" s="886">
        <v>45717</v>
      </c>
      <c r="P1356" s="1154" t="s">
        <v>739</v>
      </c>
      <c r="Q1356" s="1150">
        <f>Table15[[#This Row],[Shactee Effort]]+Table15[[#This Row],[3rd Party Effort]]+Table15[[#This Row],[KH Hourly Effort]]</f>
        <v>20389.45</v>
      </c>
      <c r="R1356" s="920" t="s">
        <v>1922</v>
      </c>
      <c r="S1356" s="888">
        <v>1016.95</v>
      </c>
      <c r="T1356" s="888">
        <v>0</v>
      </c>
      <c r="U1356" s="889">
        <v>19372.5</v>
      </c>
      <c r="V1356" s="890">
        <v>60</v>
      </c>
      <c r="W1356" s="1021">
        <v>2</v>
      </c>
      <c r="X1356" s="888">
        <v>86808.59</v>
      </c>
      <c r="Y1356" s="888"/>
      <c r="Z1356" s="888">
        <v>44134.9</v>
      </c>
      <c r="AA1356" s="888">
        <f>SUM(Table15[[#This Row],[PCTS Investment Amount]:[PCTS Retirement Amount]])</f>
        <v>130943.48999999999</v>
      </c>
      <c r="AB1356" s="893" t="s">
        <v>376</v>
      </c>
      <c r="AC1356" s="896" t="s">
        <v>709</v>
      </c>
      <c r="AD1356" s="1155" t="s">
        <v>29</v>
      </c>
      <c r="AE1356" s="894" t="s">
        <v>116</v>
      </c>
      <c r="AF1356" s="896" t="s">
        <v>29</v>
      </c>
      <c r="AG1356" s="897" t="s">
        <v>376</v>
      </c>
      <c r="AH1356" s="902">
        <v>45756</v>
      </c>
      <c r="AI1356" s="947"/>
      <c r="AJ1356" s="948">
        <v>1016.95</v>
      </c>
      <c r="AK1356" s="948"/>
      <c r="AL1356" s="901">
        <f>SUM(Table15[[#This Row],[Nicor Initiated DBE]:[Staffing]])/(Table15[[#This Row],[Amount Invoiced]])</f>
        <v>4.9876284058667598E-2</v>
      </c>
      <c r="AM1356" s="542" t="s">
        <v>709</v>
      </c>
      <c r="AN1356" s="924"/>
      <c r="AO1356" s="925"/>
      <c r="AP1356" s="926"/>
      <c r="AQ1356" s="926"/>
      <c r="AR1356" s="926"/>
      <c r="AS1356" s="926"/>
      <c r="AT1356" s="926"/>
      <c r="AU1356" s="926"/>
      <c r="AV1356" s="926"/>
      <c r="AW1356" s="927"/>
      <c r="AX1356" s="926"/>
      <c r="AY1356" s="1538" t="s">
        <v>29</v>
      </c>
      <c r="AZ1356" s="1530"/>
      <c r="BA1356" s="910" t="s">
        <v>8427</v>
      </c>
      <c r="BB1356" s="949" t="s">
        <v>8428</v>
      </c>
      <c r="BC1356" s="950" t="s">
        <v>709</v>
      </c>
      <c r="BD1356" s="951" t="s">
        <v>709</v>
      </c>
      <c r="BE1356" s="952" t="s">
        <v>8429</v>
      </c>
      <c r="BF1356" s="952" t="s">
        <v>709</v>
      </c>
      <c r="BG1356" s="953" t="s">
        <v>709</v>
      </c>
      <c r="BH1356" s="1175" t="s">
        <v>8430</v>
      </c>
      <c r="BI1356" s="929" t="s">
        <v>709</v>
      </c>
      <c r="BJ1356" s="929" t="s">
        <v>709</v>
      </c>
      <c r="BK1356" s="929" t="s">
        <v>709</v>
      </c>
      <c r="BL1356" s="916" t="s">
        <v>116</v>
      </c>
      <c r="BM1356" s="929" t="s">
        <v>709</v>
      </c>
      <c r="BN1356" s="929" t="s">
        <v>709</v>
      </c>
      <c r="BO1356" s="929" t="s">
        <v>709</v>
      </c>
      <c r="BP1356" s="929" t="s">
        <v>709</v>
      </c>
      <c r="BQ1356" s="929" t="s">
        <v>709</v>
      </c>
      <c r="BR1356" s="929">
        <v>39</v>
      </c>
      <c r="BS1356" s="916">
        <v>21</v>
      </c>
      <c r="BT1356" s="929" t="s">
        <v>709</v>
      </c>
      <c r="BU1356" s="929" t="s">
        <v>709</v>
      </c>
      <c r="BV1356" s="929" t="s">
        <v>709</v>
      </c>
      <c r="BW1356" s="929" t="s">
        <v>709</v>
      </c>
      <c r="BX1356" s="929" t="s">
        <v>709</v>
      </c>
      <c r="BY1356" s="929" t="s">
        <v>709</v>
      </c>
      <c r="BZ1356" s="929">
        <v>2</v>
      </c>
      <c r="CA1356" s="917" t="s">
        <v>8314</v>
      </c>
      <c r="CB1356" s="547">
        <v>1359</v>
      </c>
      <c r="CC1356" s="1481" t="b">
        <v>0</v>
      </c>
      <c r="CD1356" s="879" t="str">
        <f>Table15[[#This Row],[Engineering Number]]&amp;Table15[[#This Row],[WO Number]]&amp;Table15[[#This Row],[Date Assigned to Designer]]&amp;Table15[[#This Row],[Date Completed]]</f>
        <v>COR106612147704564945723</v>
      </c>
    </row>
    <row r="1357" spans="1:82" ht="15" customHeight="1" x14ac:dyDescent="0.25">
      <c r="A1357">
        <v>2025</v>
      </c>
      <c r="B1357" s="878" t="s">
        <v>1981</v>
      </c>
      <c r="C1357" s="878" t="s">
        <v>8431</v>
      </c>
      <c r="D1357" s="878" t="s">
        <v>8432</v>
      </c>
      <c r="E1357" s="878" t="s">
        <v>108</v>
      </c>
      <c r="F1357" s="878" t="s">
        <v>7735</v>
      </c>
      <c r="G1357" s="878" t="s">
        <v>34</v>
      </c>
      <c r="H1357" s="878" t="s">
        <v>59</v>
      </c>
      <c r="I1357" s="883">
        <v>45649</v>
      </c>
      <c r="J1357" s="918">
        <v>45723</v>
      </c>
      <c r="K1357" s="945">
        <v>45723</v>
      </c>
      <c r="L1357" s="919">
        <f>IF(ISTEXT(Table15[[#This Row],[Engineering Approved Design Date]]),Table15[[#This Row],[Date Completed]]-Table15[[#This Row],[Date Assigned to Designer]],Table15[[#This Row],[Engineering Approved Design Date]]-Table15[[#This Row],[Date Completed]])</f>
        <v>0</v>
      </c>
      <c r="M1357" s="946"/>
      <c r="N1357" s="99" t="s">
        <v>120</v>
      </c>
      <c r="O1357" s="886">
        <v>45717</v>
      </c>
      <c r="P1357" s="1154" t="s">
        <v>739</v>
      </c>
      <c r="Q1357" s="1150">
        <f>Table15[[#This Row],[Shactee Effort]]+Table15[[#This Row],[3rd Party Effort]]+Table15[[#This Row],[KH Hourly Effort]]</f>
        <v>12194.18</v>
      </c>
      <c r="R1357" s="920" t="s">
        <v>1922</v>
      </c>
      <c r="S1357" s="888">
        <v>1084.18</v>
      </c>
      <c r="T1357" s="888">
        <v>0</v>
      </c>
      <c r="U1357" s="889">
        <v>11110</v>
      </c>
      <c r="V1357" s="890">
        <v>27</v>
      </c>
      <c r="W1357" s="1021">
        <v>1</v>
      </c>
      <c r="X1357" s="888">
        <v>236522.43</v>
      </c>
      <c r="Y1357" s="888"/>
      <c r="Z1357" s="888">
        <v>38262.480000000003</v>
      </c>
      <c r="AA1357" s="888">
        <f>SUM(Table15[[#This Row],[PCTS Investment Amount]:[PCTS Retirement Amount]])</f>
        <v>274784.90999999997</v>
      </c>
      <c r="AB1357" s="893">
        <v>45728</v>
      </c>
      <c r="AC1357" s="896" t="s">
        <v>709</v>
      </c>
      <c r="AD1357" s="1155" t="s">
        <v>29</v>
      </c>
      <c r="AE1357" s="894" t="s">
        <v>756</v>
      </c>
      <c r="AF1357" s="896" t="s">
        <v>29</v>
      </c>
      <c r="AG1357" s="897" t="s">
        <v>376</v>
      </c>
      <c r="AH1357" s="902">
        <v>45756</v>
      </c>
      <c r="AI1357" s="947"/>
      <c r="AJ1357" s="948">
        <v>1084.18</v>
      </c>
      <c r="AK1357" s="948"/>
      <c r="AL1357" s="901">
        <f>SUM(Table15[[#This Row],[Nicor Initiated DBE]:[Staffing]])/(Table15[[#This Row],[Amount Invoiced]])</f>
        <v>8.89096273796188E-2</v>
      </c>
      <c r="AM1357" s="542" t="s">
        <v>709</v>
      </c>
      <c r="AN1357" s="924"/>
      <c r="AO1357" s="925"/>
      <c r="AP1357" s="926"/>
      <c r="AQ1357" s="926"/>
      <c r="AR1357" s="926"/>
      <c r="AS1357" s="926"/>
      <c r="AT1357" s="926"/>
      <c r="AU1357" s="926"/>
      <c r="AV1357" s="926"/>
      <c r="AW1357" s="927"/>
      <c r="AX1357" s="926"/>
      <c r="AY1357" s="1538" t="s">
        <v>29</v>
      </c>
      <c r="AZ1357" s="1530"/>
      <c r="BA1357" s="910" t="s">
        <v>8433</v>
      </c>
      <c r="BB1357" s="949" t="s">
        <v>8428</v>
      </c>
      <c r="BC1357" s="950" t="s">
        <v>709</v>
      </c>
      <c r="BD1357" s="951" t="s">
        <v>709</v>
      </c>
      <c r="BE1357" s="952" t="s">
        <v>1415</v>
      </c>
      <c r="BF1357" s="952" t="s">
        <v>709</v>
      </c>
      <c r="BG1357" s="953" t="s">
        <v>709</v>
      </c>
      <c r="BH1357" s="1175" t="s">
        <v>8434</v>
      </c>
      <c r="BI1357" s="929" t="s">
        <v>745</v>
      </c>
      <c r="BJ1357" s="929" t="s">
        <v>745</v>
      </c>
      <c r="BK1357" s="929" t="s">
        <v>745</v>
      </c>
      <c r="BL1357" s="916" t="s">
        <v>116</v>
      </c>
      <c r="BM1357" s="929" t="s">
        <v>745</v>
      </c>
      <c r="BN1357" s="929">
        <v>27</v>
      </c>
      <c r="BO1357" s="929" t="s">
        <v>745</v>
      </c>
      <c r="BP1357" s="929" t="s">
        <v>745</v>
      </c>
      <c r="BQ1357" s="929" t="s">
        <v>745</v>
      </c>
      <c r="BR1357" s="929" t="s">
        <v>709</v>
      </c>
      <c r="BS1357" s="916" t="s">
        <v>709</v>
      </c>
      <c r="BT1357" s="929" t="s">
        <v>745</v>
      </c>
      <c r="BU1357" s="929" t="s">
        <v>745</v>
      </c>
      <c r="BV1357" s="929" t="s">
        <v>745</v>
      </c>
      <c r="BW1357" s="929" t="s">
        <v>745</v>
      </c>
      <c r="BX1357" s="929" t="s">
        <v>745</v>
      </c>
      <c r="BY1357" s="929" t="s">
        <v>745</v>
      </c>
      <c r="BZ1357" s="929">
        <v>1</v>
      </c>
      <c r="CA1357" s="917" t="s">
        <v>8208</v>
      </c>
      <c r="CB1357" s="547">
        <v>1360</v>
      </c>
      <c r="CC1357" s="1481" t="b">
        <v>0</v>
      </c>
      <c r="CD1357" s="879" t="str">
        <f>Table15[[#This Row],[Engineering Number]]&amp;Table15[[#This Row],[WO Number]]&amp;Table15[[#This Row],[Date Assigned to Designer]]&amp;Table15[[#This Row],[Date Completed]]</f>
        <v>COR106712147714564945723</v>
      </c>
    </row>
    <row r="1358" spans="1:82" ht="15" customHeight="1" x14ac:dyDescent="0.25">
      <c r="A1358">
        <v>2025</v>
      </c>
      <c r="B1358" s="878" t="s">
        <v>1981</v>
      </c>
      <c r="C1358" s="878" t="s">
        <v>8435</v>
      </c>
      <c r="D1358" s="878" t="s">
        <v>8436</v>
      </c>
      <c r="E1358" s="878" t="s">
        <v>108</v>
      </c>
      <c r="F1358" s="878" t="s">
        <v>7735</v>
      </c>
      <c r="G1358" s="878" t="s">
        <v>34</v>
      </c>
      <c r="H1358" s="878" t="s">
        <v>59</v>
      </c>
      <c r="I1358" s="883">
        <v>45649</v>
      </c>
      <c r="J1358" s="918">
        <v>45723</v>
      </c>
      <c r="K1358" s="945">
        <v>45723</v>
      </c>
      <c r="L1358" s="919">
        <f>IF(ISTEXT(Table15[[#This Row],[Engineering Approved Design Date]]),Table15[[#This Row],[Date Completed]]-Table15[[#This Row],[Date Assigned to Designer]],Table15[[#This Row],[Engineering Approved Design Date]]-Table15[[#This Row],[Date Completed]])</f>
        <v>0</v>
      </c>
      <c r="M1358" s="946"/>
      <c r="N1358" s="99" t="s">
        <v>120</v>
      </c>
      <c r="O1358" s="886">
        <v>45717</v>
      </c>
      <c r="P1358" s="1154" t="s">
        <v>739</v>
      </c>
      <c r="Q1358" s="1150">
        <f>Table15[[#This Row],[Shactee Effort]]+Table15[[#This Row],[3rd Party Effort]]+Table15[[#This Row],[KH Hourly Effort]]</f>
        <v>12190</v>
      </c>
      <c r="R1358" s="920" t="s">
        <v>1922</v>
      </c>
      <c r="S1358" s="888">
        <v>0</v>
      </c>
      <c r="T1358" s="888">
        <v>0</v>
      </c>
      <c r="U1358" s="889">
        <v>12190</v>
      </c>
      <c r="V1358" s="890">
        <v>22</v>
      </c>
      <c r="W1358" s="1021">
        <v>1</v>
      </c>
      <c r="X1358" s="888">
        <v>110820.5</v>
      </c>
      <c r="Y1358" s="888"/>
      <c r="Z1358" s="888">
        <v>32105.1</v>
      </c>
      <c r="AA1358" s="888">
        <f>SUM(Table15[[#This Row],[PCTS Investment Amount]:[PCTS Retirement Amount]])</f>
        <v>142925.6</v>
      </c>
      <c r="AB1358" s="893">
        <v>45728</v>
      </c>
      <c r="AC1358" s="896" t="s">
        <v>709</v>
      </c>
      <c r="AD1358" s="1155" t="s">
        <v>29</v>
      </c>
      <c r="AE1358" s="894" t="s">
        <v>756</v>
      </c>
      <c r="AF1358" s="896" t="s">
        <v>29</v>
      </c>
      <c r="AG1358" s="897" t="s">
        <v>376</v>
      </c>
      <c r="AH1358" s="902">
        <v>45756</v>
      </c>
      <c r="AI1358" s="947"/>
      <c r="AJ1358" s="948"/>
      <c r="AK1358" s="948"/>
      <c r="AL1358" s="901">
        <f>SUM(Table15[[#This Row],[Nicor Initiated DBE]:[Staffing]])/(Table15[[#This Row],[Amount Invoiced]])</f>
        <v>0</v>
      </c>
      <c r="AM1358" s="542" t="s">
        <v>709</v>
      </c>
      <c r="AN1358" s="924"/>
      <c r="AO1358" s="925"/>
      <c r="AP1358" s="926"/>
      <c r="AQ1358" s="926"/>
      <c r="AR1358" s="926"/>
      <c r="AS1358" s="926"/>
      <c r="AT1358" s="926"/>
      <c r="AU1358" s="926"/>
      <c r="AV1358" s="926"/>
      <c r="AW1358" s="927"/>
      <c r="AX1358" s="926"/>
      <c r="AY1358" s="1538" t="s">
        <v>29</v>
      </c>
      <c r="AZ1358" s="1530"/>
      <c r="BA1358" s="910" t="s">
        <v>8437</v>
      </c>
      <c r="BB1358" s="949" t="s">
        <v>8438</v>
      </c>
      <c r="BC1358" s="950" t="s">
        <v>8439</v>
      </c>
      <c r="BD1358" s="951" t="s">
        <v>709</v>
      </c>
      <c r="BE1358" s="952" t="s">
        <v>4890</v>
      </c>
      <c r="BF1358" s="952" t="s">
        <v>709</v>
      </c>
      <c r="BG1358" s="953" t="s">
        <v>709</v>
      </c>
      <c r="BH1358" s="1175" t="s">
        <v>8440</v>
      </c>
      <c r="BI1358" s="929" t="s">
        <v>745</v>
      </c>
      <c r="BJ1358" s="929" t="s">
        <v>745</v>
      </c>
      <c r="BK1358" s="929" t="s">
        <v>745</v>
      </c>
      <c r="BL1358" s="916" t="s">
        <v>116</v>
      </c>
      <c r="BM1358" s="929" t="s">
        <v>745</v>
      </c>
      <c r="BN1358" s="929" t="s">
        <v>745</v>
      </c>
      <c r="BO1358" s="929" t="s">
        <v>745</v>
      </c>
      <c r="BP1358" s="929" t="s">
        <v>745</v>
      </c>
      <c r="BQ1358" s="929" t="s">
        <v>745</v>
      </c>
      <c r="BR1358" s="929">
        <v>22</v>
      </c>
      <c r="BS1358" s="916" t="s">
        <v>709</v>
      </c>
      <c r="BT1358" s="929" t="s">
        <v>745</v>
      </c>
      <c r="BU1358" s="929" t="s">
        <v>745</v>
      </c>
      <c r="BV1358" s="929" t="s">
        <v>745</v>
      </c>
      <c r="BW1358" s="929" t="s">
        <v>745</v>
      </c>
      <c r="BX1358" s="929" t="s">
        <v>745</v>
      </c>
      <c r="BY1358" s="929" t="s">
        <v>745</v>
      </c>
      <c r="BZ1358" s="929">
        <v>1</v>
      </c>
      <c r="CA1358" s="917" t="s">
        <v>8208</v>
      </c>
      <c r="CB1358" s="547">
        <v>1361</v>
      </c>
      <c r="CC1358" s="1481" t="b">
        <v>0</v>
      </c>
      <c r="CD1358" s="879" t="str">
        <f>Table15[[#This Row],[Engineering Number]]&amp;Table15[[#This Row],[WO Number]]&amp;Table15[[#This Row],[Date Assigned to Designer]]&amp;Table15[[#This Row],[Date Completed]]</f>
        <v>COR1067-112150644564945723</v>
      </c>
    </row>
    <row r="1359" spans="1:82" ht="15" customHeight="1" x14ac:dyDescent="0.25">
      <c r="A1359">
        <v>2025</v>
      </c>
      <c r="B1359" s="878" t="s">
        <v>1981</v>
      </c>
      <c r="C1359" s="878" t="s">
        <v>8441</v>
      </c>
      <c r="D1359" s="878" t="s">
        <v>8442</v>
      </c>
      <c r="E1359" s="878" t="s">
        <v>783</v>
      </c>
      <c r="F1359" s="878" t="s">
        <v>7735</v>
      </c>
      <c r="G1359" s="878" t="s">
        <v>27</v>
      </c>
      <c r="H1359" s="878" t="s">
        <v>59</v>
      </c>
      <c r="I1359" s="883">
        <v>45649</v>
      </c>
      <c r="J1359" s="918">
        <v>45723</v>
      </c>
      <c r="K1359" s="945">
        <v>45723</v>
      </c>
      <c r="L1359" s="919">
        <f>IF(ISTEXT(Table15[[#This Row],[Engineering Approved Design Date]]),Table15[[#This Row],[Date Completed]]-Table15[[#This Row],[Date Assigned to Designer]],Table15[[#This Row],[Engineering Approved Design Date]]-Table15[[#This Row],[Date Completed]])</f>
        <v>0</v>
      </c>
      <c r="M1359" s="946"/>
      <c r="N1359" s="99" t="s">
        <v>120</v>
      </c>
      <c r="O1359" s="886">
        <v>45717</v>
      </c>
      <c r="P1359" s="1154" t="s">
        <v>739</v>
      </c>
      <c r="Q1359" s="1150">
        <f>Table15[[#This Row],[Shactee Effort]]+Table15[[#This Row],[3rd Party Effort]]+Table15[[#This Row],[KH Hourly Effort]]</f>
        <v>21873.21</v>
      </c>
      <c r="R1359" s="920" t="s">
        <v>1922</v>
      </c>
      <c r="S1359" s="888">
        <v>7328.21</v>
      </c>
      <c r="T1359" s="888">
        <v>0</v>
      </c>
      <c r="U1359" s="889">
        <v>14545</v>
      </c>
      <c r="V1359" s="890">
        <v>52</v>
      </c>
      <c r="W1359" s="1021">
        <v>2</v>
      </c>
      <c r="X1359" s="888">
        <v>188575.86</v>
      </c>
      <c r="Y1359" s="888"/>
      <c r="Z1359" s="888">
        <v>48447.13</v>
      </c>
      <c r="AA1359" s="888">
        <f>SUM(Table15[[#This Row],[PCTS Investment Amount]:[PCTS Retirement Amount]])</f>
        <v>237022.99</v>
      </c>
      <c r="AB1359" s="893" t="s">
        <v>376</v>
      </c>
      <c r="AC1359" s="896" t="s">
        <v>709</v>
      </c>
      <c r="AD1359" s="1155" t="s">
        <v>29</v>
      </c>
      <c r="AE1359" s="894" t="s">
        <v>116</v>
      </c>
      <c r="AF1359" s="896" t="s">
        <v>29</v>
      </c>
      <c r="AG1359" s="897" t="s">
        <v>376</v>
      </c>
      <c r="AH1359" s="902">
        <v>45770</v>
      </c>
      <c r="AI1359" s="947">
        <v>2000</v>
      </c>
      <c r="AJ1359" s="948"/>
      <c r="AK1359" s="948"/>
      <c r="AL1359" s="901">
        <f>SUM(Table15[[#This Row],[Nicor Initiated DBE]:[Staffing]])/(Table15[[#This Row],[Amount Invoiced]])</f>
        <v>9.1436053510207241E-2</v>
      </c>
      <c r="AM1359" s="542" t="s">
        <v>709</v>
      </c>
      <c r="AN1359" s="924"/>
      <c r="AO1359" s="925"/>
      <c r="AP1359" s="926"/>
      <c r="AQ1359" s="926"/>
      <c r="AR1359" s="926"/>
      <c r="AS1359" s="926"/>
      <c r="AT1359" s="926"/>
      <c r="AU1359" s="926"/>
      <c r="AV1359" s="926"/>
      <c r="AW1359" s="927"/>
      <c r="AX1359" s="926"/>
      <c r="AY1359" s="1538" t="s">
        <v>29</v>
      </c>
      <c r="AZ1359" s="1530"/>
      <c r="BA1359" s="910" t="s">
        <v>8443</v>
      </c>
      <c r="BB1359" s="949" t="s">
        <v>8444</v>
      </c>
      <c r="BC1359" s="950" t="s">
        <v>709</v>
      </c>
      <c r="BD1359" s="951" t="s">
        <v>862</v>
      </c>
      <c r="BE1359" s="952" t="s">
        <v>8445</v>
      </c>
      <c r="BF1359" s="952" t="s">
        <v>1835</v>
      </c>
      <c r="BG1359" s="953" t="s">
        <v>709</v>
      </c>
      <c r="BH1359" s="1175" t="s">
        <v>8446</v>
      </c>
      <c r="BI1359" s="929" t="s">
        <v>709</v>
      </c>
      <c r="BJ1359" s="929" t="s">
        <v>709</v>
      </c>
      <c r="BK1359" s="929" t="s">
        <v>709</v>
      </c>
      <c r="BL1359" s="916" t="s">
        <v>116</v>
      </c>
      <c r="BM1359" s="929" t="s">
        <v>709</v>
      </c>
      <c r="BN1359" s="929" t="s">
        <v>709</v>
      </c>
      <c r="BO1359" s="929" t="s">
        <v>709</v>
      </c>
      <c r="BP1359" s="929" t="s">
        <v>709</v>
      </c>
      <c r="BQ1359" s="929">
        <v>26</v>
      </c>
      <c r="BR1359" s="929">
        <v>26</v>
      </c>
      <c r="BS1359" s="916" t="s">
        <v>709</v>
      </c>
      <c r="BT1359" s="929" t="s">
        <v>709</v>
      </c>
      <c r="BU1359" s="929" t="s">
        <v>709</v>
      </c>
      <c r="BV1359" s="929" t="s">
        <v>709</v>
      </c>
      <c r="BW1359" s="929" t="s">
        <v>709</v>
      </c>
      <c r="BX1359" s="929" t="s">
        <v>709</v>
      </c>
      <c r="BY1359" s="929" t="s">
        <v>709</v>
      </c>
      <c r="BZ1359" s="929">
        <v>2</v>
      </c>
      <c r="CA1359" s="917" t="s">
        <v>8297</v>
      </c>
      <c r="CB1359" s="547">
        <v>1354</v>
      </c>
      <c r="CC1359" s="1481" t="b">
        <v>0</v>
      </c>
      <c r="CD1359" s="879" t="str">
        <f>Table15[[#This Row],[Engineering Number]]&amp;Table15[[#This Row],[WO Number]]&amp;Table15[[#This Row],[Date Assigned to Designer]]&amp;Table15[[#This Row],[Date Completed]]</f>
        <v>COR107113147744564945723</v>
      </c>
    </row>
    <row r="1360" spans="1:82" ht="15" customHeight="1" x14ac:dyDescent="0.25">
      <c r="A1360">
        <v>2025</v>
      </c>
      <c r="B1360" s="878" t="s">
        <v>1981</v>
      </c>
      <c r="C1360" s="878" t="s">
        <v>8447</v>
      </c>
      <c r="D1360" s="878" t="s">
        <v>8448</v>
      </c>
      <c r="E1360" s="878" t="s">
        <v>859</v>
      </c>
      <c r="F1360" s="878" t="s">
        <v>7735</v>
      </c>
      <c r="G1360" s="878" t="s">
        <v>27</v>
      </c>
      <c r="H1360" s="878" t="s">
        <v>59</v>
      </c>
      <c r="I1360" s="883">
        <v>45649</v>
      </c>
      <c r="J1360" s="918">
        <v>45723</v>
      </c>
      <c r="K1360" s="945">
        <v>45723</v>
      </c>
      <c r="L1360" s="919">
        <f>IF(ISTEXT(Table15[[#This Row],[Engineering Approved Design Date]]),Table15[[#This Row],[Date Completed]]-Table15[[#This Row],[Date Assigned to Designer]],Table15[[#This Row],[Engineering Approved Design Date]]-Table15[[#This Row],[Date Completed]])</f>
        <v>0</v>
      </c>
      <c r="M1360" s="946"/>
      <c r="N1360" s="99" t="s">
        <v>120</v>
      </c>
      <c r="O1360" s="886">
        <v>45717</v>
      </c>
      <c r="P1360" s="1154" t="s">
        <v>739</v>
      </c>
      <c r="Q1360" s="1150">
        <f>Table15[[#This Row],[Shactee Effort]]+Table15[[#This Row],[3rd Party Effort]]+Table15[[#This Row],[KH Hourly Effort]]</f>
        <v>13551.68</v>
      </c>
      <c r="R1360" s="920" t="s">
        <v>1922</v>
      </c>
      <c r="S1360" s="888">
        <v>8769.18</v>
      </c>
      <c r="T1360" s="888">
        <v>0</v>
      </c>
      <c r="U1360" s="889">
        <v>4782.5</v>
      </c>
      <c r="V1360" s="890">
        <v>32</v>
      </c>
      <c r="W1360" s="1021">
        <v>1</v>
      </c>
      <c r="X1360" s="888">
        <v>52094.68</v>
      </c>
      <c r="Y1360" s="888"/>
      <c r="Z1360" s="888">
        <v>10665.23</v>
      </c>
      <c r="AA1360" s="888">
        <f>SUM(Table15[[#This Row],[PCTS Investment Amount]:[PCTS Retirement Amount]])</f>
        <v>62759.91</v>
      </c>
      <c r="AB1360" s="893" t="s">
        <v>376</v>
      </c>
      <c r="AC1360" s="896" t="s">
        <v>709</v>
      </c>
      <c r="AD1360" s="1155" t="s">
        <v>29</v>
      </c>
      <c r="AE1360" s="894" t="s">
        <v>116</v>
      </c>
      <c r="AF1360" s="896" t="s">
        <v>29</v>
      </c>
      <c r="AG1360" s="897" t="s">
        <v>376</v>
      </c>
      <c r="AH1360" s="902">
        <v>45770</v>
      </c>
      <c r="AI1360" s="947"/>
      <c r="AJ1360" s="948"/>
      <c r="AK1360" s="948"/>
      <c r="AL1360" s="901">
        <f>SUM(Table15[[#This Row],[Nicor Initiated DBE]:[Staffing]])/(Table15[[#This Row],[Amount Invoiced]])</f>
        <v>0</v>
      </c>
      <c r="AM1360" s="542" t="s">
        <v>709</v>
      </c>
      <c r="AN1360" s="924"/>
      <c r="AO1360" s="925"/>
      <c r="AP1360" s="926"/>
      <c r="AQ1360" s="926"/>
      <c r="AR1360" s="926"/>
      <c r="AS1360" s="926"/>
      <c r="AT1360" s="926"/>
      <c r="AU1360" s="926"/>
      <c r="AV1360" s="926"/>
      <c r="AW1360" s="927"/>
      <c r="AX1360" s="926"/>
      <c r="AY1360" s="1538" t="s">
        <v>29</v>
      </c>
      <c r="AZ1360" s="1530"/>
      <c r="BA1360" s="910" t="s">
        <v>8449</v>
      </c>
      <c r="BB1360" s="949" t="s">
        <v>8450</v>
      </c>
      <c r="BC1360" s="950" t="s">
        <v>709</v>
      </c>
      <c r="BD1360" s="951" t="s">
        <v>862</v>
      </c>
      <c r="BE1360" s="952" t="s">
        <v>8451</v>
      </c>
      <c r="BF1360" s="952" t="s">
        <v>1835</v>
      </c>
      <c r="BG1360" s="953" t="s">
        <v>116</v>
      </c>
      <c r="BH1360" s="1175" t="s">
        <v>8452</v>
      </c>
      <c r="BI1360" s="993" t="s">
        <v>709</v>
      </c>
      <c r="BJ1360" s="993" t="s">
        <v>709</v>
      </c>
      <c r="BK1360" s="993" t="s">
        <v>709</v>
      </c>
      <c r="BL1360" s="916" t="s">
        <v>116</v>
      </c>
      <c r="BM1360" s="929" t="s">
        <v>709</v>
      </c>
      <c r="BN1360" s="929" t="s">
        <v>709</v>
      </c>
      <c r="BO1360" s="929" t="s">
        <v>709</v>
      </c>
      <c r="BP1360" s="929" t="s">
        <v>709</v>
      </c>
      <c r="BQ1360" s="929" t="s">
        <v>709</v>
      </c>
      <c r="BR1360" s="929" t="s">
        <v>709</v>
      </c>
      <c r="BS1360" s="916">
        <v>32</v>
      </c>
      <c r="BT1360" s="929" t="s">
        <v>709</v>
      </c>
      <c r="BU1360" s="929" t="s">
        <v>709</v>
      </c>
      <c r="BV1360" s="929" t="s">
        <v>709</v>
      </c>
      <c r="BW1360" s="929" t="s">
        <v>709</v>
      </c>
      <c r="BX1360" s="929" t="s">
        <v>709</v>
      </c>
      <c r="BY1360" s="929" t="s">
        <v>709</v>
      </c>
      <c r="BZ1360" s="929">
        <v>1</v>
      </c>
      <c r="CA1360" s="917" t="s">
        <v>8453</v>
      </c>
      <c r="CB1360" s="547">
        <v>1364</v>
      </c>
      <c r="CC1360" s="1481" t="b">
        <v>0</v>
      </c>
      <c r="CD1360" s="879" t="str">
        <f>Table15[[#This Row],[Engineering Number]]&amp;Table15[[#This Row],[WO Number]]&amp;Table15[[#This Row],[Date Assigned to Designer]]&amp;Table15[[#This Row],[Date Completed]]</f>
        <v>COR107213147754564945723</v>
      </c>
    </row>
    <row r="1361" spans="1:82" ht="15" customHeight="1" x14ac:dyDescent="0.25">
      <c r="A1361">
        <v>2025</v>
      </c>
      <c r="B1361" s="874" t="s">
        <v>1981</v>
      </c>
      <c r="C1361" s="874" t="s">
        <v>8454</v>
      </c>
      <c r="D1361" s="874" t="s">
        <v>8455</v>
      </c>
      <c r="E1361" s="874" t="s">
        <v>2092</v>
      </c>
      <c r="F1361" s="874" t="s">
        <v>7735</v>
      </c>
      <c r="G1361" s="878" t="s">
        <v>27</v>
      </c>
      <c r="H1361" s="874" t="s">
        <v>59</v>
      </c>
      <c r="I1361" s="881">
        <v>45649</v>
      </c>
      <c r="J1361" s="994">
        <v>45723</v>
      </c>
      <c r="K1361" s="945">
        <v>45723</v>
      </c>
      <c r="L1361" s="919">
        <f>IF(ISTEXT(Table15[[#This Row],[Engineering Approved Design Date]]),Table15[[#This Row],[Date Completed]]-Table15[[#This Row],[Date Assigned to Designer]],Table15[[#This Row],[Engineering Approved Design Date]]-Table15[[#This Row],[Date Completed]])</f>
        <v>0</v>
      </c>
      <c r="M1361" s="946"/>
      <c r="N1361" s="99" t="s">
        <v>120</v>
      </c>
      <c r="O1361" s="886">
        <v>45717</v>
      </c>
      <c r="P1361" s="1153" t="s">
        <v>739</v>
      </c>
      <c r="Q1361" s="1150">
        <f>Table15[[#This Row],[Shactee Effort]]+Table15[[#This Row],[3rd Party Effort]]+Table15[[#This Row],[KH Hourly Effort]]</f>
        <v>13562.5</v>
      </c>
      <c r="R1361" s="920" t="s">
        <v>1922</v>
      </c>
      <c r="S1361" s="888">
        <v>0</v>
      </c>
      <c r="T1361" s="888">
        <v>0</v>
      </c>
      <c r="U1361" s="889">
        <v>13562.5</v>
      </c>
      <c r="V1361" s="890">
        <v>52</v>
      </c>
      <c r="W1361" s="1021">
        <v>1</v>
      </c>
      <c r="X1361" s="888">
        <v>53190.29</v>
      </c>
      <c r="Y1361" s="888"/>
      <c r="Z1361" s="888">
        <v>10774.14</v>
      </c>
      <c r="AA1361" s="888">
        <f>SUM(Table15[[#This Row],[PCTS Investment Amount]:[PCTS Retirement Amount]])</f>
        <v>63964.43</v>
      </c>
      <c r="AB1361" s="893" t="s">
        <v>376</v>
      </c>
      <c r="AC1361" s="896" t="s">
        <v>709</v>
      </c>
      <c r="AD1361" s="1155" t="s">
        <v>29</v>
      </c>
      <c r="AE1361" s="896" t="s">
        <v>116</v>
      </c>
      <c r="AF1361" s="896" t="s">
        <v>29</v>
      </c>
      <c r="AG1361" s="896" t="s">
        <v>376</v>
      </c>
      <c r="AH1361" s="902">
        <v>45770</v>
      </c>
      <c r="AI1361" s="947"/>
      <c r="AJ1361" s="948"/>
      <c r="AK1361" s="948">
        <v>0</v>
      </c>
      <c r="AL1361" s="901">
        <f>SUM(Table15[[#This Row],[Nicor Initiated DBE]:[Staffing]])/(Table15[[#This Row],[Amount Invoiced]])</f>
        <v>0</v>
      </c>
      <c r="AM1361" s="542" t="s">
        <v>709</v>
      </c>
      <c r="AN1361" s="924"/>
      <c r="AO1361" s="925"/>
      <c r="AP1361" s="926"/>
      <c r="AQ1361" s="926"/>
      <c r="AR1361" s="926"/>
      <c r="AS1361" s="926"/>
      <c r="AT1361" s="926"/>
      <c r="AU1361" s="926"/>
      <c r="AV1361" s="926"/>
      <c r="AW1361" s="927"/>
      <c r="AX1361" s="926"/>
      <c r="AY1361" s="1538" t="s">
        <v>29</v>
      </c>
      <c r="AZ1361" s="1530"/>
      <c r="BA1361" s="910" t="s">
        <v>8456</v>
      </c>
      <c r="BB1361" s="949" t="s">
        <v>8457</v>
      </c>
      <c r="BC1361" s="950" t="s">
        <v>709</v>
      </c>
      <c r="BD1361" s="951" t="s">
        <v>862</v>
      </c>
      <c r="BE1361" s="952" t="s">
        <v>8451</v>
      </c>
      <c r="BF1361" s="952" t="s">
        <v>1835</v>
      </c>
      <c r="BG1361" s="953" t="s">
        <v>116</v>
      </c>
      <c r="BH1361" s="1023" t="s">
        <v>8458</v>
      </c>
      <c r="BI1361" s="993" t="s">
        <v>709</v>
      </c>
      <c r="BJ1361" s="993" t="s">
        <v>709</v>
      </c>
      <c r="BK1361" s="993" t="s">
        <v>709</v>
      </c>
      <c r="BL1361" s="993" t="s">
        <v>116</v>
      </c>
      <c r="BM1361" s="993" t="s">
        <v>709</v>
      </c>
      <c r="BN1361" s="993" t="s">
        <v>709</v>
      </c>
      <c r="BO1361" s="993" t="s">
        <v>709</v>
      </c>
      <c r="BP1361" s="993" t="s">
        <v>709</v>
      </c>
      <c r="BQ1361" s="993" t="s">
        <v>709</v>
      </c>
      <c r="BR1361" s="993" t="s">
        <v>709</v>
      </c>
      <c r="BS1361" s="993">
        <v>52</v>
      </c>
      <c r="BT1361" s="993" t="s">
        <v>709</v>
      </c>
      <c r="BU1361" s="993" t="s">
        <v>709</v>
      </c>
      <c r="BV1361" s="993" t="s">
        <v>709</v>
      </c>
      <c r="BW1361" s="993" t="s">
        <v>709</v>
      </c>
      <c r="BX1361" s="993" t="s">
        <v>709</v>
      </c>
      <c r="BY1361" s="993" t="s">
        <v>709</v>
      </c>
      <c r="BZ1361" s="916">
        <v>1</v>
      </c>
      <c r="CA1361" s="917" t="s">
        <v>8314</v>
      </c>
      <c r="CB1361" s="547">
        <v>1353</v>
      </c>
      <c r="CC1361" s="1481" t="b">
        <v>0</v>
      </c>
      <c r="CD1361" s="879" t="str">
        <f>Table15[[#This Row],[Engineering Number]]&amp;Table15[[#This Row],[WO Number]]&amp;Table15[[#This Row],[Date Assigned to Designer]]&amp;Table15[[#This Row],[Date Completed]]</f>
        <v>COR1072-113150104564945723</v>
      </c>
    </row>
    <row r="1362" spans="1:82" ht="15" customHeight="1" x14ac:dyDescent="0.25">
      <c r="A1362">
        <v>2025</v>
      </c>
      <c r="B1362" s="878" t="s">
        <v>759</v>
      </c>
      <c r="C1362" s="878" t="s">
        <v>6323</v>
      </c>
      <c r="D1362" s="878" t="s">
        <v>6324</v>
      </c>
      <c r="E1362" s="878" t="s">
        <v>426</v>
      </c>
      <c r="F1362" s="878" t="s">
        <v>6643</v>
      </c>
      <c r="G1362" s="878" t="s">
        <v>34</v>
      </c>
      <c r="H1362" s="878" t="s">
        <v>59</v>
      </c>
      <c r="I1362" s="883">
        <v>45610</v>
      </c>
      <c r="J1362" s="918">
        <v>45723</v>
      </c>
      <c r="K1362" s="945">
        <v>45723</v>
      </c>
      <c r="L1362" s="919">
        <f>IF(ISTEXT(Table15[[#This Row],[Engineering Approved Design Date]]),Table15[[#This Row],[Date Completed]]-Table15[[#This Row],[Date Assigned to Designer]],Table15[[#This Row],[Engineering Approved Design Date]]-Table15[[#This Row],[Date Completed]])</f>
        <v>0</v>
      </c>
      <c r="N1362" s="99" t="s">
        <v>120</v>
      </c>
      <c r="O1362" s="886">
        <v>45717</v>
      </c>
      <c r="P1362" s="1154" t="s">
        <v>120</v>
      </c>
      <c r="Q1362" s="1150">
        <v>14750</v>
      </c>
      <c r="R1362" s="920" t="s">
        <v>8459</v>
      </c>
      <c r="S1362" s="888" t="s">
        <v>29</v>
      </c>
      <c r="T1362" s="888" t="s">
        <v>29</v>
      </c>
      <c r="U1362" s="889" t="s">
        <v>29</v>
      </c>
      <c r="V1362" s="890">
        <v>245</v>
      </c>
      <c r="W1362" s="1021">
        <v>2</v>
      </c>
      <c r="X1362" s="888">
        <v>312252.53999999998</v>
      </c>
      <c r="Y1362" s="888"/>
      <c r="Z1362" s="888">
        <v>80564.83</v>
      </c>
      <c r="AA1362" s="888">
        <f>SUM(Table15[[#This Row],[PCTS Investment Amount]:[PCTS Retirement Amount]])</f>
        <v>392817.37</v>
      </c>
      <c r="AB1362" s="893" t="s">
        <v>376</v>
      </c>
      <c r="AC1362" s="896" t="s">
        <v>1177</v>
      </c>
      <c r="AD1362" s="1155" t="s">
        <v>29</v>
      </c>
      <c r="AE1362" s="894" t="s">
        <v>756</v>
      </c>
      <c r="AF1362" s="896" t="s">
        <v>29</v>
      </c>
      <c r="AG1362" s="897" t="s">
        <v>376</v>
      </c>
      <c r="AH1362" s="902" t="s">
        <v>376</v>
      </c>
      <c r="AI1362" s="898">
        <v>0</v>
      </c>
      <c r="AJ1362" s="899">
        <v>0</v>
      </c>
      <c r="AK1362" s="899">
        <v>0</v>
      </c>
      <c r="AL1362" s="901">
        <v>0</v>
      </c>
      <c r="AM1362" s="542" t="s">
        <v>709</v>
      </c>
      <c r="AN1362" s="924"/>
      <c r="AO1362" s="925"/>
      <c r="AP1362" s="926"/>
      <c r="AQ1362" s="926"/>
      <c r="AR1362" s="926"/>
      <c r="AS1362" s="926"/>
      <c r="AT1362" s="926"/>
      <c r="AU1362" s="926"/>
      <c r="AV1362" s="926"/>
      <c r="AW1362" s="927"/>
      <c r="AX1362" s="926"/>
      <c r="AY1362" s="1538" t="s">
        <v>29</v>
      </c>
      <c r="AZ1362" s="1530"/>
      <c r="BA1362" s="910" t="s">
        <v>8460</v>
      </c>
      <c r="BB1362" s="949" t="s">
        <v>8461</v>
      </c>
      <c r="BC1362" s="950" t="s">
        <v>116</v>
      </c>
      <c r="BD1362" s="951" t="s">
        <v>882</v>
      </c>
      <c r="BE1362" s="952" t="s">
        <v>115</v>
      </c>
      <c r="BF1362" s="952" t="s">
        <v>115</v>
      </c>
      <c r="BG1362" s="953" t="s">
        <v>115</v>
      </c>
      <c r="BH1362" s="1175" t="s">
        <v>8462</v>
      </c>
      <c r="BI1362" s="929" t="s">
        <v>745</v>
      </c>
      <c r="BJ1362" s="929" t="s">
        <v>745</v>
      </c>
      <c r="BK1362" s="929" t="s">
        <v>745</v>
      </c>
      <c r="BL1362" s="916" t="s">
        <v>116</v>
      </c>
      <c r="BM1362" s="929" t="s">
        <v>745</v>
      </c>
      <c r="BN1362" s="929" t="s">
        <v>745</v>
      </c>
      <c r="BO1362" s="929" t="s">
        <v>745</v>
      </c>
      <c r="BP1362" s="929">
        <v>46</v>
      </c>
      <c r="BQ1362" s="929">
        <v>54</v>
      </c>
      <c r="BR1362" s="929">
        <v>50</v>
      </c>
      <c r="BS1362" s="916">
        <v>5</v>
      </c>
      <c r="BT1362" s="929">
        <v>1</v>
      </c>
      <c r="BU1362" s="929" t="s">
        <v>745</v>
      </c>
      <c r="BV1362" s="929" t="s">
        <v>745</v>
      </c>
      <c r="BW1362" s="929" t="s">
        <v>745</v>
      </c>
      <c r="BX1362" s="929">
        <v>1</v>
      </c>
      <c r="BY1362" s="929" t="s">
        <v>745</v>
      </c>
      <c r="BZ1362" s="929" t="s">
        <v>709</v>
      </c>
      <c r="CA1362" s="917" t="s">
        <v>8463</v>
      </c>
      <c r="CB1362" s="547">
        <v>1352</v>
      </c>
      <c r="CC1362" s="1481" t="b">
        <v>0</v>
      </c>
      <c r="CD1362" s="879" t="str">
        <f>Table15[[#This Row],[Engineering Number]]&amp;Table15[[#This Row],[WO Number]]&amp;Table15[[#This Row],[Date Assigned to Designer]]&amp;Table15[[#This Row],[Date Completed]]</f>
        <v>RS120210134804561045723</v>
      </c>
    </row>
    <row r="1363" spans="1:82" ht="15" customHeight="1" x14ac:dyDescent="0.25">
      <c r="A1363">
        <v>2025</v>
      </c>
      <c r="B1363" s="879" t="s">
        <v>769</v>
      </c>
      <c r="C1363" s="879" t="s">
        <v>8047</v>
      </c>
      <c r="D1363" s="939">
        <v>1014237</v>
      </c>
      <c r="E1363" s="965" t="s">
        <v>104</v>
      </c>
      <c r="F1363" s="879" t="s">
        <v>6643</v>
      </c>
      <c r="G1363" s="879" t="s">
        <v>37</v>
      </c>
      <c r="H1363" s="878" t="s">
        <v>3178</v>
      </c>
      <c r="I1363" s="883">
        <v>45699</v>
      </c>
      <c r="J1363" s="918" t="s">
        <v>2052</v>
      </c>
      <c r="K1363" s="945">
        <v>45723</v>
      </c>
      <c r="L1363" s="884">
        <f>IF(ISTEXT(Table15[[#This Row],[Engineering Approved Design Date]]),Table15[[#This Row],[Date Completed]]-Table15[[#This Row],[Date Assigned to Designer]],Table15[[#This Row],[Engineering Approved Design Date]]-Table15[[#This Row],[Date Completed]])</f>
        <v>24</v>
      </c>
      <c r="M1363" s="879" t="s">
        <v>8464</v>
      </c>
      <c r="N1363" s="99" t="s">
        <v>120</v>
      </c>
      <c r="O1363" s="886">
        <v>45717</v>
      </c>
      <c r="P1363" s="1153" t="s">
        <v>120</v>
      </c>
      <c r="Q1363" s="1150">
        <f>Table15[[#This Row],[Shactee Effort]]+Table15[[#This Row],[3rd Party Effort]]+Table15[[#This Row],[KH Hourly Effort]]</f>
        <v>2422.5</v>
      </c>
      <c r="R1363" s="920" t="s">
        <v>1922</v>
      </c>
      <c r="S1363" s="888">
        <v>0</v>
      </c>
      <c r="T1363" s="888">
        <v>0</v>
      </c>
      <c r="U1363" s="889">
        <v>2422.5</v>
      </c>
      <c r="V1363" s="890" t="s">
        <v>29</v>
      </c>
      <c r="W1363" s="1021" t="s">
        <v>29</v>
      </c>
      <c r="X1363" s="888" t="s">
        <v>29</v>
      </c>
      <c r="Y1363" s="888" t="s">
        <v>29</v>
      </c>
      <c r="Z1363" s="888" t="s">
        <v>29</v>
      </c>
      <c r="AA1363" s="888">
        <f>SUM(Table15[[#This Row],[PCTS Investment Amount]:[PCTS Retirement Amount]])</f>
        <v>0</v>
      </c>
      <c r="AB1363" s="893" t="s">
        <v>29</v>
      </c>
      <c r="AC1363" s="896" t="s">
        <v>29</v>
      </c>
      <c r="AD1363" s="1155" t="s">
        <v>29</v>
      </c>
      <c r="AE1363" s="894" t="s">
        <v>116</v>
      </c>
      <c r="AF1363" s="896" t="s">
        <v>376</v>
      </c>
      <c r="AG1363" s="897" t="s">
        <v>29</v>
      </c>
      <c r="AH1363" s="902">
        <v>45735</v>
      </c>
      <c r="AI1363" s="969" t="s">
        <v>29</v>
      </c>
      <c r="AJ1363" s="970" t="s">
        <v>29</v>
      </c>
      <c r="AK1363" s="970" t="s">
        <v>29</v>
      </c>
      <c r="AL1363" s="971" t="s">
        <v>29</v>
      </c>
      <c r="AM1363" s="542" t="s">
        <v>709</v>
      </c>
      <c r="AN1363" s="924"/>
      <c r="AO1363" s="925"/>
      <c r="AP1363" s="926"/>
      <c r="AQ1363" s="926"/>
      <c r="AR1363" s="926"/>
      <c r="AS1363" s="926"/>
      <c r="AT1363" s="926"/>
      <c r="AU1363" s="926"/>
      <c r="AV1363" s="926"/>
      <c r="AW1363" s="927"/>
      <c r="AX1363" s="926"/>
      <c r="AY1363" s="1538" t="s">
        <v>29</v>
      </c>
      <c r="AZ1363" s="1530"/>
      <c r="BA1363" s="966">
        <v>3</v>
      </c>
      <c r="BB1363" s="911" t="s">
        <v>8465</v>
      </c>
      <c r="BC1363" s="915" t="s">
        <v>745</v>
      </c>
      <c r="BD1363" s="915" t="s">
        <v>6046</v>
      </c>
      <c r="BE1363" s="915" t="s">
        <v>709</v>
      </c>
      <c r="BF1363" s="915" t="s">
        <v>745</v>
      </c>
      <c r="BG1363" s="915" t="s">
        <v>709</v>
      </c>
      <c r="BH1363" s="1175" t="s">
        <v>8466</v>
      </c>
      <c r="BI1363" s="916" t="s">
        <v>709</v>
      </c>
      <c r="BJ1363" s="916" t="s">
        <v>709</v>
      </c>
      <c r="BK1363" s="916" t="s">
        <v>116</v>
      </c>
      <c r="BL1363" s="916" t="s">
        <v>116</v>
      </c>
      <c r="BM1363" s="916" t="s">
        <v>709</v>
      </c>
      <c r="BN1363" s="916" t="s">
        <v>709</v>
      </c>
      <c r="BO1363" s="916" t="s">
        <v>709</v>
      </c>
      <c r="BP1363" s="944" t="s">
        <v>709</v>
      </c>
      <c r="BQ1363" s="944" t="s">
        <v>709</v>
      </c>
      <c r="BR1363" s="929" t="s">
        <v>709</v>
      </c>
      <c r="BS1363" s="929">
        <v>232</v>
      </c>
      <c r="BT1363" s="916">
        <v>0</v>
      </c>
      <c r="BU1363" s="916">
        <v>1</v>
      </c>
      <c r="BV1363" s="916">
        <v>0</v>
      </c>
      <c r="BW1363" s="916">
        <v>0</v>
      </c>
      <c r="BX1363" s="916">
        <v>0</v>
      </c>
      <c r="BY1363" s="916">
        <v>0</v>
      </c>
      <c r="BZ1363" s="916">
        <v>0</v>
      </c>
      <c r="CA1363" s="917" t="s">
        <v>8153</v>
      </c>
      <c r="CB1363" s="547">
        <v>1355</v>
      </c>
      <c r="CC1363" s="1481" t="b">
        <v>0</v>
      </c>
      <c r="CD1363" s="879" t="str">
        <f>Table15[[#This Row],[Engineering Number]]&amp;Table15[[#This Row],[WO Number]]&amp;Table15[[#This Row],[Date Assigned to Designer]]&amp;Table15[[#This Row],[Date Completed]]</f>
        <v>RS126610142374569945723</v>
      </c>
    </row>
    <row r="1364" spans="1:82" ht="15" customHeight="1" x14ac:dyDescent="0.25">
      <c r="A1364">
        <v>2024</v>
      </c>
      <c r="B1364" s="879" t="s">
        <v>771</v>
      </c>
      <c r="C1364" s="879" t="s">
        <v>1809</v>
      </c>
      <c r="D1364" s="939">
        <v>1213263</v>
      </c>
      <c r="E1364" s="965" t="s">
        <v>149</v>
      </c>
      <c r="F1364" s="879" t="s">
        <v>784</v>
      </c>
      <c r="G1364" s="879" t="s">
        <v>32</v>
      </c>
      <c r="H1364" s="878" t="s">
        <v>3178</v>
      </c>
      <c r="I1364" s="883">
        <v>45678</v>
      </c>
      <c r="J1364" s="918" t="s">
        <v>2052</v>
      </c>
      <c r="K1364" s="945">
        <v>45723</v>
      </c>
      <c r="L1364" s="884">
        <f>IF(ISTEXT(Table15[[#This Row],[Engineering Approved Design Date]]),Table15[[#This Row],[Date Completed]]-Table15[[#This Row],[Date Assigned to Designer]],Table15[[#This Row],[Engineering Approved Design Date]]-Table15[[#This Row],[Date Completed]])</f>
        <v>45</v>
      </c>
      <c r="M1364" s="879" t="s">
        <v>8467</v>
      </c>
      <c r="N1364" s="99" t="s">
        <v>120</v>
      </c>
      <c r="O1364" s="886">
        <v>45717</v>
      </c>
      <c r="P1364" s="1153" t="s">
        <v>120</v>
      </c>
      <c r="Q1364" s="1150">
        <f>Table15[[#This Row],[Shactee Effort]]+Table15[[#This Row],[3rd Party Effort]]+Table15[[#This Row],[KH Hourly Effort]]</f>
        <v>30075</v>
      </c>
      <c r="R1364" s="933" t="s">
        <v>1922</v>
      </c>
      <c r="S1364" s="888">
        <v>0</v>
      </c>
      <c r="T1364" s="888">
        <v>0</v>
      </c>
      <c r="U1364" s="889">
        <v>30075</v>
      </c>
      <c r="V1364" s="890">
        <v>27387</v>
      </c>
      <c r="W1364" s="1021">
        <v>0</v>
      </c>
      <c r="X1364" s="888" t="s">
        <v>29</v>
      </c>
      <c r="Y1364" s="888"/>
      <c r="Z1364" s="888" t="s">
        <v>29</v>
      </c>
      <c r="AA1364" s="888" t="s">
        <v>29</v>
      </c>
      <c r="AB1364" s="893" t="s">
        <v>29</v>
      </c>
      <c r="AC1364" s="896" t="s">
        <v>29</v>
      </c>
      <c r="AD1364" s="1155" t="s">
        <v>29</v>
      </c>
      <c r="AE1364" s="894" t="s">
        <v>756</v>
      </c>
      <c r="AF1364" s="895" t="s">
        <v>756</v>
      </c>
      <c r="AG1364" s="896" t="s">
        <v>29</v>
      </c>
      <c r="AH1364" s="985" t="s">
        <v>376</v>
      </c>
      <c r="AI1364" s="969" t="s">
        <v>29</v>
      </c>
      <c r="AJ1364" s="970" t="s">
        <v>29</v>
      </c>
      <c r="AK1364" s="970" t="s">
        <v>29</v>
      </c>
      <c r="AL1364" s="971" t="s">
        <v>29</v>
      </c>
      <c r="AM1364" s="542" t="s">
        <v>709</v>
      </c>
      <c r="AN1364" s="924"/>
      <c r="AO1364" s="925"/>
      <c r="AP1364" s="926"/>
      <c r="AQ1364" s="926"/>
      <c r="AR1364" s="926"/>
      <c r="AS1364" s="926"/>
      <c r="AT1364" s="926"/>
      <c r="AU1364" s="926"/>
      <c r="AV1364" s="926"/>
      <c r="AW1364" s="927"/>
      <c r="AX1364" s="926"/>
      <c r="AY1364" s="1538" t="s">
        <v>29</v>
      </c>
      <c r="AZ1364" s="1530"/>
      <c r="BA1364" s="966">
        <v>4</v>
      </c>
      <c r="BB1364" s="990" t="s">
        <v>8468</v>
      </c>
      <c r="BC1364" s="915" t="s">
        <v>709</v>
      </c>
      <c r="BD1364" s="915" t="s">
        <v>709</v>
      </c>
      <c r="BE1364" s="914" t="s">
        <v>1813</v>
      </c>
      <c r="BF1364" s="915" t="s">
        <v>709</v>
      </c>
      <c r="BG1364" s="915" t="s">
        <v>709</v>
      </c>
      <c r="BH1364" s="1175" t="s">
        <v>8469</v>
      </c>
      <c r="BI1364" s="916" t="s">
        <v>745</v>
      </c>
      <c r="BJ1364" s="944" t="s">
        <v>745</v>
      </c>
      <c r="BK1364" s="944" t="s">
        <v>745</v>
      </c>
      <c r="BL1364" s="944" t="s">
        <v>116</v>
      </c>
      <c r="BM1364" s="944">
        <v>0</v>
      </c>
      <c r="BN1364" s="944">
        <v>0</v>
      </c>
      <c r="BO1364" s="944">
        <v>0</v>
      </c>
      <c r="BP1364" s="944">
        <v>0</v>
      </c>
      <c r="BQ1364" s="944">
        <v>0</v>
      </c>
      <c r="BR1364" s="944">
        <v>4384</v>
      </c>
      <c r="BS1364" s="944">
        <v>23003</v>
      </c>
      <c r="BT1364" s="944">
        <v>0</v>
      </c>
      <c r="BU1364" s="944">
        <v>0</v>
      </c>
      <c r="BV1364" s="944">
        <v>0</v>
      </c>
      <c r="BW1364" s="944">
        <v>0</v>
      </c>
      <c r="BX1364" s="944">
        <v>0</v>
      </c>
      <c r="BY1364" s="944">
        <v>0</v>
      </c>
      <c r="BZ1364" s="916">
        <v>0</v>
      </c>
      <c r="CA1364" s="917"/>
      <c r="CB1364" s="547">
        <v>1357</v>
      </c>
      <c r="CC1364" s="1481" t="b">
        <v>0</v>
      </c>
      <c r="CD1364" s="879" t="str">
        <f>Table15[[#This Row],[Engineering Number]]&amp;Table15[[#This Row],[WO Number]]&amp;Table15[[#This Row],[Date Assigned to Designer]]&amp;Table15[[#This Row],[Date Completed]]</f>
        <v>MR1C15323_C1532412132634567845723</v>
      </c>
    </row>
    <row r="1365" spans="1:82" ht="15" customHeight="1" x14ac:dyDescent="0.25">
      <c r="A1365">
        <v>2024</v>
      </c>
      <c r="B1365" s="879" t="s">
        <v>769</v>
      </c>
      <c r="C1365" s="879" t="s">
        <v>6136</v>
      </c>
      <c r="D1365" s="939">
        <v>1013162</v>
      </c>
      <c r="E1365" s="965" t="s">
        <v>8470</v>
      </c>
      <c r="F1365" s="879" t="s">
        <v>784</v>
      </c>
      <c r="G1365" s="879" t="s">
        <v>4770</v>
      </c>
      <c r="H1365" s="878" t="s">
        <v>3178</v>
      </c>
      <c r="I1365" s="883">
        <v>45299</v>
      </c>
      <c r="J1365" s="918" t="s">
        <v>2052</v>
      </c>
      <c r="K1365" s="945">
        <v>45723</v>
      </c>
      <c r="L1365" s="884">
        <f>IF(ISTEXT(Table15[[#This Row],[Engineering Approved Design Date]]),Table15[[#This Row],[Date Completed]]-Table15[[#This Row],[Date Assigned to Designer]],Table15[[#This Row],[Engineering Approved Design Date]]-Table15[[#This Row],[Date Completed]])</f>
        <v>424</v>
      </c>
      <c r="M1365" s="879" t="s">
        <v>8464</v>
      </c>
      <c r="N1365" s="99" t="s">
        <v>120</v>
      </c>
      <c r="O1365" s="886">
        <v>45717</v>
      </c>
      <c r="P1365" s="1153" t="s">
        <v>120</v>
      </c>
      <c r="Q1365" s="1150">
        <f>Table15[[#This Row],[Shactee Effort]]+Table15[[#This Row],[3rd Party Effort]]+Table15[[#This Row],[KH Hourly Effort]]</f>
        <v>8107.5</v>
      </c>
      <c r="R1365" s="920" t="s">
        <v>1922</v>
      </c>
      <c r="S1365" s="888">
        <v>0</v>
      </c>
      <c r="T1365" s="888">
        <v>0</v>
      </c>
      <c r="U1365" s="889">
        <v>8107.5</v>
      </c>
      <c r="V1365" s="890" t="s">
        <v>29</v>
      </c>
      <c r="W1365" s="1021" t="s">
        <v>29</v>
      </c>
      <c r="X1365" s="888" t="s">
        <v>29</v>
      </c>
      <c r="Y1365" s="888"/>
      <c r="Z1365" s="888" t="s">
        <v>29</v>
      </c>
      <c r="AA1365" s="888" t="s">
        <v>29</v>
      </c>
      <c r="AB1365" s="893" t="s">
        <v>29</v>
      </c>
      <c r="AC1365" s="896" t="s">
        <v>29</v>
      </c>
      <c r="AD1365" s="1163" t="s">
        <v>376</v>
      </c>
      <c r="AE1365" s="894" t="s">
        <v>116</v>
      </c>
      <c r="AF1365" s="895" t="s">
        <v>376</v>
      </c>
      <c r="AG1365" s="896" t="s">
        <v>29</v>
      </c>
      <c r="AH1365" s="985">
        <v>45770</v>
      </c>
      <c r="AI1365" s="969" t="s">
        <v>29</v>
      </c>
      <c r="AJ1365" s="970" t="s">
        <v>29</v>
      </c>
      <c r="AK1365" s="970" t="s">
        <v>29</v>
      </c>
      <c r="AL1365" s="971" t="s">
        <v>29</v>
      </c>
      <c r="AM1365" s="542" t="s">
        <v>709</v>
      </c>
      <c r="AN1365" s="924"/>
      <c r="AO1365" s="925"/>
      <c r="AP1365" s="926"/>
      <c r="AQ1365" s="926"/>
      <c r="AR1365" s="926"/>
      <c r="AS1365" s="926"/>
      <c r="AT1365" s="926"/>
      <c r="AU1365" s="926"/>
      <c r="AV1365" s="926"/>
      <c r="AW1365" s="927"/>
      <c r="AX1365" s="926"/>
      <c r="AY1365" s="1538" t="s">
        <v>29</v>
      </c>
      <c r="AZ1365" s="1530"/>
      <c r="BA1365" s="966">
        <v>3</v>
      </c>
      <c r="BB1365" s="911" t="s">
        <v>8471</v>
      </c>
      <c r="BC1365" s="915" t="s">
        <v>745</v>
      </c>
      <c r="BD1365" s="915" t="s">
        <v>6046</v>
      </c>
      <c r="BE1365" s="915" t="s">
        <v>709</v>
      </c>
      <c r="BF1365" s="915" t="s">
        <v>745</v>
      </c>
      <c r="BG1365" s="915" t="s">
        <v>709</v>
      </c>
      <c r="BH1365" s="1175" t="s">
        <v>8472</v>
      </c>
      <c r="BI1365" s="916" t="s">
        <v>709</v>
      </c>
      <c r="BJ1365" s="916" t="s">
        <v>709</v>
      </c>
      <c r="BK1365" s="916" t="s">
        <v>116</v>
      </c>
      <c r="BL1365" s="916" t="s">
        <v>116</v>
      </c>
      <c r="BM1365" s="916" t="s">
        <v>709</v>
      </c>
      <c r="BN1365" s="916" t="s">
        <v>709</v>
      </c>
      <c r="BO1365" s="916" t="s">
        <v>709</v>
      </c>
      <c r="BP1365" s="916" t="s">
        <v>709</v>
      </c>
      <c r="BQ1365" s="916" t="s">
        <v>709</v>
      </c>
      <c r="BR1365" s="916">
        <v>4</v>
      </c>
      <c r="BS1365" s="916">
        <v>82</v>
      </c>
      <c r="BT1365" s="916">
        <v>0</v>
      </c>
      <c r="BU1365" s="916">
        <v>0</v>
      </c>
      <c r="BV1365" s="916">
        <v>0</v>
      </c>
      <c r="BW1365" s="916">
        <v>0</v>
      </c>
      <c r="BX1365" s="916">
        <v>1</v>
      </c>
      <c r="BY1365" s="916">
        <v>0</v>
      </c>
      <c r="BZ1365" s="916">
        <v>0</v>
      </c>
      <c r="CA1365" s="917"/>
      <c r="CB1365" s="547">
        <v>1356</v>
      </c>
      <c r="CC1365" s="1481" t="b">
        <v>0</v>
      </c>
      <c r="CD1365" s="879" t="str">
        <f>Table15[[#This Row],[Engineering Number]]&amp;Table15[[#This Row],[WO Number]]&amp;Table15[[#This Row],[Date Assigned to Designer]]&amp;Table15[[#This Row],[Date Completed]]</f>
        <v>RS118610131624529945723</v>
      </c>
    </row>
    <row r="1366" spans="1:82" ht="15" customHeight="1" x14ac:dyDescent="0.25">
      <c r="A1366">
        <v>2024</v>
      </c>
      <c r="B1366" s="879" t="s">
        <v>730</v>
      </c>
      <c r="C1366" s="879" t="s">
        <v>6691</v>
      </c>
      <c r="D1366" s="939">
        <v>1014110</v>
      </c>
      <c r="E1366" s="965" t="s">
        <v>6693</v>
      </c>
      <c r="F1366" s="879" t="s">
        <v>6643</v>
      </c>
      <c r="G1366" s="879" t="s">
        <v>37</v>
      </c>
      <c r="H1366" s="878" t="s">
        <v>3178</v>
      </c>
      <c r="I1366" s="883">
        <v>45616</v>
      </c>
      <c r="J1366" s="918" t="s">
        <v>2052</v>
      </c>
      <c r="K1366" s="945">
        <v>45723</v>
      </c>
      <c r="L1366" s="884">
        <f>IF(ISTEXT(Table15[[#This Row],[Engineering Approved Design Date]]),Table15[[#This Row],[Date Completed]]-Table15[[#This Row],[Date Assigned to Designer]],Table15[[#This Row],[Engineering Approved Design Date]]-Table15[[#This Row],[Date Completed]])</f>
        <v>107</v>
      </c>
      <c r="M1366" s="965" t="s">
        <v>8464</v>
      </c>
      <c r="N1366" s="99" t="s">
        <v>120</v>
      </c>
      <c r="O1366" s="886">
        <v>45717</v>
      </c>
      <c r="P1366" s="1153" t="s">
        <v>120</v>
      </c>
      <c r="Q1366" s="1150">
        <f>Table15[[#This Row],[Shactee Effort]]+Table15[[#This Row],[3rd Party Effort]]+Table15[[#This Row],[KH Hourly Effort]]</f>
        <v>6462.5</v>
      </c>
      <c r="R1366" s="920" t="s">
        <v>1922</v>
      </c>
      <c r="S1366" s="888">
        <v>0</v>
      </c>
      <c r="T1366" s="888">
        <v>0</v>
      </c>
      <c r="U1366" s="889">
        <v>6462.5</v>
      </c>
      <c r="V1366" s="890" t="s">
        <v>29</v>
      </c>
      <c r="W1366" s="1021" t="s">
        <v>29</v>
      </c>
      <c r="X1366" s="888" t="s">
        <v>29</v>
      </c>
      <c r="Y1366" s="888"/>
      <c r="Z1366" s="888" t="s">
        <v>29</v>
      </c>
      <c r="AA1366" s="888" t="s">
        <v>29</v>
      </c>
      <c r="AB1366" s="893" t="s">
        <v>29</v>
      </c>
      <c r="AC1366" s="896" t="s">
        <v>29</v>
      </c>
      <c r="AD1366" s="1163" t="s">
        <v>376</v>
      </c>
      <c r="AE1366" s="894" t="s">
        <v>116</v>
      </c>
      <c r="AF1366" s="896" t="s">
        <v>376</v>
      </c>
      <c r="AG1366" s="897" t="s">
        <v>29</v>
      </c>
      <c r="AH1366" s="902" t="s">
        <v>376</v>
      </c>
      <c r="AI1366" s="898">
        <v>0</v>
      </c>
      <c r="AJ1366" s="899">
        <v>0</v>
      </c>
      <c r="AK1366" s="899">
        <v>0</v>
      </c>
      <c r="AL1366" s="901">
        <v>0</v>
      </c>
      <c r="AM1366" s="542" t="s">
        <v>709</v>
      </c>
      <c r="AN1366" s="924"/>
      <c r="AO1366" s="925"/>
      <c r="AP1366" s="926"/>
      <c r="AQ1366" s="926"/>
      <c r="AR1366" s="926"/>
      <c r="AS1366" s="926"/>
      <c r="AT1366" s="926"/>
      <c r="AU1366" s="926"/>
      <c r="AV1366" s="926"/>
      <c r="AW1366" s="927"/>
      <c r="AX1366" s="926"/>
      <c r="AY1366" s="1538" t="s">
        <v>29</v>
      </c>
      <c r="AZ1366" s="1530"/>
      <c r="BA1366" s="966">
        <v>3</v>
      </c>
      <c r="BB1366" s="911" t="s">
        <v>8473</v>
      </c>
      <c r="BC1366" s="915" t="s">
        <v>745</v>
      </c>
      <c r="BD1366" s="915" t="s">
        <v>6046</v>
      </c>
      <c r="BE1366" s="915" t="s">
        <v>709</v>
      </c>
      <c r="BF1366" s="915" t="s">
        <v>745</v>
      </c>
      <c r="BG1366" s="915" t="s">
        <v>709</v>
      </c>
      <c r="BH1366" s="1175" t="s">
        <v>8474</v>
      </c>
      <c r="BI1366" s="916" t="s">
        <v>709</v>
      </c>
      <c r="BJ1366" s="916" t="s">
        <v>709</v>
      </c>
      <c r="BK1366" s="916" t="s">
        <v>116</v>
      </c>
      <c r="BL1366" s="916" t="s">
        <v>116</v>
      </c>
      <c r="BM1366" s="916" t="s">
        <v>709</v>
      </c>
      <c r="BN1366" s="916" t="s">
        <v>709</v>
      </c>
      <c r="BO1366" s="916" t="s">
        <v>709</v>
      </c>
      <c r="BP1366" s="944" t="s">
        <v>709</v>
      </c>
      <c r="BQ1366" s="944" t="s">
        <v>709</v>
      </c>
      <c r="BR1366" s="929">
        <v>20</v>
      </c>
      <c r="BS1366" s="929">
        <v>65</v>
      </c>
      <c r="BT1366" s="916">
        <v>0</v>
      </c>
      <c r="BU1366" s="916">
        <v>1</v>
      </c>
      <c r="BV1366" s="916">
        <v>0</v>
      </c>
      <c r="BW1366" s="916">
        <v>0</v>
      </c>
      <c r="BX1366" s="916">
        <v>1</v>
      </c>
      <c r="BY1366" s="916">
        <v>0</v>
      </c>
      <c r="BZ1366" s="916">
        <v>0</v>
      </c>
      <c r="CA1366" s="917"/>
      <c r="CB1366" s="547">
        <v>1363</v>
      </c>
      <c r="CC1366" s="1481" t="b">
        <v>0</v>
      </c>
      <c r="CD1366" s="879" t="str">
        <f>Table15[[#This Row],[Engineering Number]]&amp;Table15[[#This Row],[WO Number]]&amp;Table15[[#This Row],[Date Assigned to Designer]]&amp;Table15[[#This Row],[Date Completed]]</f>
        <v>RS124410141104561645723</v>
      </c>
    </row>
    <row r="1367" spans="1:82" ht="15" customHeight="1" x14ac:dyDescent="0.25">
      <c r="A1367">
        <v>2025</v>
      </c>
      <c r="B1367" s="878" t="s">
        <v>6798</v>
      </c>
      <c r="C1367" s="878" t="s">
        <v>8475</v>
      </c>
      <c r="D1367" s="878" t="s">
        <v>8476</v>
      </c>
      <c r="E1367" s="878" t="s">
        <v>8477</v>
      </c>
      <c r="F1367" s="878" t="s">
        <v>6643</v>
      </c>
      <c r="G1367" s="878" t="s">
        <v>34</v>
      </c>
      <c r="H1367" s="878" t="s">
        <v>59</v>
      </c>
      <c r="I1367" s="883">
        <v>45665</v>
      </c>
      <c r="J1367" s="881">
        <v>45744</v>
      </c>
      <c r="K1367" s="945">
        <v>45728</v>
      </c>
      <c r="L1367" s="884">
        <f>IF(ISTEXT(Table15[[#This Row],[Engineering Approved Design Date]]),Table15[[#This Row],[Date Completed]]-Table15[[#This Row],[Date Assigned to Designer]],Table15[[#This Row],[Engineering Approved Design Date]]-Table15[[#This Row],[Date Completed]])</f>
        <v>16</v>
      </c>
      <c r="M1367" s="883"/>
      <c r="N1367" s="99" t="s">
        <v>120</v>
      </c>
      <c r="O1367" s="886">
        <v>45717</v>
      </c>
      <c r="P1367" s="1154" t="s">
        <v>739</v>
      </c>
      <c r="Q1367" s="1150">
        <f>Table15[[#This Row],[Shactee Effort]]+Table15[[#This Row],[3rd Party Effort]]+Table15[[#This Row],[KH Hourly Effort]]</f>
        <v>6170</v>
      </c>
      <c r="R1367" s="920" t="s">
        <v>1922</v>
      </c>
      <c r="S1367" s="888">
        <v>0</v>
      </c>
      <c r="T1367" s="888">
        <v>0</v>
      </c>
      <c r="U1367" s="889">
        <v>6170</v>
      </c>
      <c r="V1367" s="890">
        <v>0</v>
      </c>
      <c r="W1367" s="1021">
        <v>1</v>
      </c>
      <c r="X1367" s="888">
        <v>25000</v>
      </c>
      <c r="Y1367" s="888"/>
      <c r="Z1367" s="888">
        <v>0</v>
      </c>
      <c r="AA1367" s="888">
        <f>SUM(Table15[[#This Row],[PCTS Investment Amount]:[PCTS Retirement Amount]])</f>
        <v>25000</v>
      </c>
      <c r="AB1367" s="893" t="s">
        <v>29</v>
      </c>
      <c r="AC1367" s="896" t="s">
        <v>1177</v>
      </c>
      <c r="AD1367" s="1155" t="s">
        <v>29</v>
      </c>
      <c r="AE1367" s="894" t="s">
        <v>756</v>
      </c>
      <c r="AF1367" s="896" t="s">
        <v>29</v>
      </c>
      <c r="AG1367" s="897" t="s">
        <v>29</v>
      </c>
      <c r="AH1367" s="902" t="s">
        <v>376</v>
      </c>
      <c r="AI1367" s="898">
        <v>0</v>
      </c>
      <c r="AJ1367" s="899">
        <v>0</v>
      </c>
      <c r="AK1367" s="899">
        <v>0</v>
      </c>
      <c r="AL1367" s="901">
        <f>SUM(Table15[[#This Row],[Nicor Initiated DBE]:[Staffing]])/(Table15[[#This Row],[Amount Invoiced]])</f>
        <v>0</v>
      </c>
      <c r="AM1367" s="542" t="s">
        <v>709</v>
      </c>
      <c r="AN1367" s="924"/>
      <c r="AO1367" s="925"/>
      <c r="AP1367" s="926"/>
      <c r="AQ1367" s="926"/>
      <c r="AR1367" s="926"/>
      <c r="AS1367" s="926"/>
      <c r="AT1367" s="926"/>
      <c r="AU1367" s="926"/>
      <c r="AV1367" s="926"/>
      <c r="AW1367" s="927"/>
      <c r="AX1367" s="926"/>
      <c r="AY1367" s="1538" t="s">
        <v>29</v>
      </c>
      <c r="AZ1367" s="1530"/>
      <c r="BA1367" s="910" t="s">
        <v>6802</v>
      </c>
      <c r="BB1367" s="949" t="s">
        <v>8478</v>
      </c>
      <c r="BC1367" s="950" t="s">
        <v>29</v>
      </c>
      <c r="BD1367" s="951" t="s">
        <v>29</v>
      </c>
      <c r="BE1367" s="952" t="s">
        <v>29</v>
      </c>
      <c r="BF1367" s="952" t="s">
        <v>29</v>
      </c>
      <c r="BG1367" s="953" t="s">
        <v>29</v>
      </c>
      <c r="BH1367" s="1175" t="s">
        <v>8479</v>
      </c>
      <c r="BI1367" s="929" t="s">
        <v>745</v>
      </c>
      <c r="BJ1367" s="929" t="s">
        <v>116</v>
      </c>
      <c r="BK1367" s="929" t="s">
        <v>745</v>
      </c>
      <c r="BL1367" s="916" t="s">
        <v>116</v>
      </c>
      <c r="BM1367" s="929" t="s">
        <v>745</v>
      </c>
      <c r="BN1367" s="929" t="s">
        <v>745</v>
      </c>
      <c r="BO1367" s="929" t="s">
        <v>745</v>
      </c>
      <c r="BP1367" s="929" t="s">
        <v>745</v>
      </c>
      <c r="BQ1367" s="929" t="s">
        <v>745</v>
      </c>
      <c r="BR1367" s="929" t="s">
        <v>709</v>
      </c>
      <c r="BS1367" s="916" t="s">
        <v>709</v>
      </c>
      <c r="BT1367" s="929" t="s">
        <v>745</v>
      </c>
      <c r="BU1367" s="929" t="s">
        <v>116</v>
      </c>
      <c r="BV1367" s="929" t="s">
        <v>745</v>
      </c>
      <c r="BW1367" s="929" t="s">
        <v>745</v>
      </c>
      <c r="BX1367" s="929" t="s">
        <v>745</v>
      </c>
      <c r="BY1367" s="929" t="s">
        <v>745</v>
      </c>
      <c r="BZ1367" s="929" t="s">
        <v>709</v>
      </c>
      <c r="CA1367" s="917" t="s">
        <v>8424</v>
      </c>
      <c r="CB1367" s="547">
        <v>1367</v>
      </c>
      <c r="CC1367" s="1481" t="b">
        <v>0</v>
      </c>
      <c r="CD1367" s="879" t="str">
        <f>Table15[[#This Row],[Engineering Number]]&amp;Table15[[#This Row],[WO Number]]&amp;Table15[[#This Row],[Date Assigned to Designer]]&amp;Table15[[#This Row],[Date Completed]]</f>
        <v>150141710148834566545728</v>
      </c>
    </row>
    <row r="1368" spans="1:82" ht="15" customHeight="1" x14ac:dyDescent="0.25">
      <c r="A1368">
        <v>2025</v>
      </c>
      <c r="B1368" s="878" t="s">
        <v>1981</v>
      </c>
      <c r="C1368" s="878" t="s">
        <v>8480</v>
      </c>
      <c r="D1368" s="878" t="s">
        <v>8481</v>
      </c>
      <c r="E1368" s="878" t="s">
        <v>141</v>
      </c>
      <c r="F1368" s="878" t="s">
        <v>7735</v>
      </c>
      <c r="G1368" s="878" t="s">
        <v>34</v>
      </c>
      <c r="H1368" s="878" t="s">
        <v>59</v>
      </c>
      <c r="I1368" s="883">
        <v>45612</v>
      </c>
      <c r="J1368" s="881">
        <v>45730</v>
      </c>
      <c r="K1368" s="945">
        <v>45728</v>
      </c>
      <c r="L1368" s="884">
        <f>IF(ISTEXT(Table15[[#This Row],[Engineering Approved Design Date]]),Table15[[#This Row],[Date Completed]]-Table15[[#This Row],[Date Assigned to Designer]],Table15[[#This Row],[Engineering Approved Design Date]]-Table15[[#This Row],[Date Completed]])</f>
        <v>2</v>
      </c>
      <c r="M1368" s="946"/>
      <c r="N1368" s="99" t="s">
        <v>120</v>
      </c>
      <c r="O1368" s="886">
        <v>45717</v>
      </c>
      <c r="P1368" s="1154" t="s">
        <v>739</v>
      </c>
      <c r="Q1368" s="1150">
        <f>Table15[[#This Row],[KH Hourly Effort]]+Table15[[#This Row],[Shactee Effort]]</f>
        <v>23983.040000000001</v>
      </c>
      <c r="R1368" s="920" t="s">
        <v>1922</v>
      </c>
      <c r="S1368" s="888">
        <v>6940.54</v>
      </c>
      <c r="T1368" s="888">
        <v>0</v>
      </c>
      <c r="U1368" s="889">
        <v>17042.5</v>
      </c>
      <c r="V1368" s="890">
        <v>27</v>
      </c>
      <c r="W1368" s="1021">
        <v>1</v>
      </c>
      <c r="X1368" s="888">
        <v>220469.21</v>
      </c>
      <c r="Y1368" s="888"/>
      <c r="Z1368" s="888">
        <v>43664.47</v>
      </c>
      <c r="AA1368" s="888">
        <f>SUM(Table15[[#This Row],[PCTS Investment Amount]:[PCTS Retirement Amount]])</f>
        <v>264133.68</v>
      </c>
      <c r="AB1368" s="893">
        <v>45730</v>
      </c>
      <c r="AC1368" s="896" t="s">
        <v>709</v>
      </c>
      <c r="AD1368" s="1155" t="s">
        <v>29</v>
      </c>
      <c r="AE1368" s="894" t="s">
        <v>756</v>
      </c>
      <c r="AF1368" s="896" t="s">
        <v>29</v>
      </c>
      <c r="AG1368" s="897" t="s">
        <v>376</v>
      </c>
      <c r="AH1368" s="902">
        <v>45756</v>
      </c>
      <c r="AI1368" s="898"/>
      <c r="AJ1368" s="899">
        <v>1591.79</v>
      </c>
      <c r="AK1368" s="899">
        <v>5348.75</v>
      </c>
      <c r="AL1368" s="901">
        <f>SUM(Table15[[#This Row],[Nicor Initiated DBE]:[Staffing]])/(Table15[[#This Row],[Amount Invoiced]])</f>
        <v>0.2893936715278797</v>
      </c>
      <c r="AM1368" s="542" t="s">
        <v>709</v>
      </c>
      <c r="AN1368" s="924"/>
      <c r="AO1368" s="925"/>
      <c r="AP1368" s="926"/>
      <c r="AQ1368" s="926"/>
      <c r="AR1368" s="926"/>
      <c r="AS1368" s="926"/>
      <c r="AT1368" s="926"/>
      <c r="AU1368" s="926"/>
      <c r="AV1368" s="926"/>
      <c r="AW1368" s="927"/>
      <c r="AX1368" s="926"/>
      <c r="AY1368" s="1538" t="s">
        <v>29</v>
      </c>
      <c r="AZ1368" s="1530"/>
      <c r="BA1368" s="910" t="s">
        <v>8482</v>
      </c>
      <c r="BB1368" s="949" t="s">
        <v>8483</v>
      </c>
      <c r="BC1368" s="950" t="s">
        <v>709</v>
      </c>
      <c r="BD1368" s="951" t="s">
        <v>709</v>
      </c>
      <c r="BE1368" s="952" t="s">
        <v>757</v>
      </c>
      <c r="BF1368" s="952" t="s">
        <v>709</v>
      </c>
      <c r="BG1368" s="953" t="s">
        <v>8484</v>
      </c>
      <c r="BH1368" s="1175" t="s">
        <v>8485</v>
      </c>
      <c r="BI1368" s="929" t="s">
        <v>745</v>
      </c>
      <c r="BJ1368" s="929" t="s">
        <v>745</v>
      </c>
      <c r="BK1368" s="929" t="s">
        <v>745</v>
      </c>
      <c r="BL1368" s="916" t="s">
        <v>116</v>
      </c>
      <c r="BM1368" s="929" t="s">
        <v>745</v>
      </c>
      <c r="BN1368" s="929">
        <v>27</v>
      </c>
      <c r="BO1368" s="929" t="s">
        <v>745</v>
      </c>
      <c r="BP1368" s="929" t="s">
        <v>745</v>
      </c>
      <c r="BQ1368" s="929" t="s">
        <v>745</v>
      </c>
      <c r="BR1368" s="929" t="s">
        <v>709</v>
      </c>
      <c r="BS1368" s="916" t="s">
        <v>709</v>
      </c>
      <c r="BT1368" s="929" t="s">
        <v>745</v>
      </c>
      <c r="BU1368" s="929" t="s">
        <v>745</v>
      </c>
      <c r="BV1368" s="929" t="s">
        <v>745</v>
      </c>
      <c r="BW1368" s="929" t="s">
        <v>745</v>
      </c>
      <c r="BX1368" s="929" t="s">
        <v>745</v>
      </c>
      <c r="BY1368" s="929" t="s">
        <v>745</v>
      </c>
      <c r="BZ1368" s="929">
        <v>1</v>
      </c>
      <c r="CA1368" s="917" t="s">
        <v>8486</v>
      </c>
      <c r="CB1368" s="547">
        <v>1365</v>
      </c>
      <c r="CC1368" s="1481" t="b">
        <v>0</v>
      </c>
      <c r="CD1368" s="879" t="str">
        <f>Table15[[#This Row],[Engineering Number]]&amp;Table15[[#This Row],[WO Number]]&amp;Table15[[#This Row],[Date Assigned to Designer]]&amp;Table15[[#This Row],[Date Completed]]</f>
        <v>COR106114146454561245728</v>
      </c>
    </row>
    <row r="1369" spans="1:82" ht="15" customHeight="1" x14ac:dyDescent="0.25">
      <c r="A1369">
        <v>2025</v>
      </c>
      <c r="B1369" s="878" t="s">
        <v>1981</v>
      </c>
      <c r="C1369" s="878" t="s">
        <v>8487</v>
      </c>
      <c r="D1369" s="878" t="s">
        <v>8488</v>
      </c>
      <c r="E1369" s="878" t="s">
        <v>141</v>
      </c>
      <c r="F1369" s="878" t="s">
        <v>7735</v>
      </c>
      <c r="G1369" s="878" t="s">
        <v>7382</v>
      </c>
      <c r="H1369" s="878" t="s">
        <v>59</v>
      </c>
      <c r="I1369" s="883">
        <v>45649</v>
      </c>
      <c r="J1369" s="881">
        <v>45730</v>
      </c>
      <c r="K1369" s="882">
        <v>45728</v>
      </c>
      <c r="L1369" s="884">
        <f>IF(ISTEXT(Table15[[#This Row],[Engineering Approved Design Date]]),Table15[[#This Row],[Date Completed]]-Table15[[#This Row],[Date Assigned to Designer]],Table15[[#This Row],[Engineering Approved Design Date]]-Table15[[#This Row],[Date Completed]])</f>
        <v>2</v>
      </c>
      <c r="M1369" s="946"/>
      <c r="N1369" s="99" t="s">
        <v>120</v>
      </c>
      <c r="O1369" s="886">
        <v>45717</v>
      </c>
      <c r="P1369" s="1154" t="s">
        <v>739</v>
      </c>
      <c r="Q1369" s="1150">
        <f>Table15[[#This Row],[KH Hourly Effort]]+Table15[[#This Row],[Shactee Effort]]</f>
        <v>16864.830000000002</v>
      </c>
      <c r="R1369" s="920" t="s">
        <v>1922</v>
      </c>
      <c r="S1369" s="888">
        <f>1357.33</f>
        <v>1357.33</v>
      </c>
      <c r="T1369" s="888">
        <v>0</v>
      </c>
      <c r="U1369" s="889">
        <v>15507.5</v>
      </c>
      <c r="V1369" s="890">
        <v>36</v>
      </c>
      <c r="W1369" s="1021">
        <v>1</v>
      </c>
      <c r="X1369" s="888">
        <v>77136.740000000005</v>
      </c>
      <c r="Y1369" s="888"/>
      <c r="Z1369" s="888">
        <v>23103.91</v>
      </c>
      <c r="AA1369" s="888">
        <f>Table15[[#This Row],[PCTS Investment Amount]]+Table15[[#This Row],[PCTS Retirement Amount]]</f>
        <v>100240.65000000001</v>
      </c>
      <c r="AB1369" s="893">
        <v>45735</v>
      </c>
      <c r="AC1369" s="896" t="s">
        <v>709</v>
      </c>
      <c r="AD1369" s="1155" t="s">
        <v>29</v>
      </c>
      <c r="AE1369" s="894" t="s">
        <v>756</v>
      </c>
      <c r="AF1369" s="896" t="s">
        <v>29</v>
      </c>
      <c r="AG1369" s="897" t="s">
        <v>376</v>
      </c>
      <c r="AH1369" s="902" t="s">
        <v>376</v>
      </c>
      <c r="AI1369" s="898">
        <v>0</v>
      </c>
      <c r="AJ1369" s="899">
        <v>0</v>
      </c>
      <c r="AK1369" s="899">
        <v>0</v>
      </c>
      <c r="AL1369" s="901">
        <f>SUM(Table15[[#This Row],[Nicor Initiated DBE]:[Staffing]])/(Table15[[#This Row],[Amount Invoiced]])</f>
        <v>0</v>
      </c>
      <c r="AM1369" s="542" t="s">
        <v>709</v>
      </c>
      <c r="AN1369" s="924"/>
      <c r="AO1369" s="925"/>
      <c r="AP1369" s="926"/>
      <c r="AQ1369" s="926"/>
      <c r="AR1369" s="926"/>
      <c r="AS1369" s="926"/>
      <c r="AT1369" s="926"/>
      <c r="AU1369" s="926"/>
      <c r="AV1369" s="926"/>
      <c r="AW1369" s="927"/>
      <c r="AX1369" s="926"/>
      <c r="AY1369" s="1538" t="s">
        <v>29</v>
      </c>
      <c r="AZ1369" s="1530"/>
      <c r="BA1369" s="910" t="s">
        <v>8489</v>
      </c>
      <c r="BB1369" s="949" t="s">
        <v>8490</v>
      </c>
      <c r="BC1369" s="950" t="s">
        <v>709</v>
      </c>
      <c r="BD1369" s="951" t="s">
        <v>757</v>
      </c>
      <c r="BE1369" s="952" t="s">
        <v>757</v>
      </c>
      <c r="BF1369" s="952" t="s">
        <v>757</v>
      </c>
      <c r="BG1369" s="915" t="s">
        <v>709</v>
      </c>
      <c r="BH1369" s="1175" t="s">
        <v>8491</v>
      </c>
      <c r="BI1369" s="929" t="s">
        <v>709</v>
      </c>
      <c r="BJ1369" s="929" t="s">
        <v>709</v>
      </c>
      <c r="BK1369" s="929" t="s">
        <v>709</v>
      </c>
      <c r="BL1369" s="916" t="s">
        <v>116</v>
      </c>
      <c r="BM1369" s="929" t="s">
        <v>709</v>
      </c>
      <c r="BN1369" s="929" t="s">
        <v>709</v>
      </c>
      <c r="BO1369" s="929" t="s">
        <v>709</v>
      </c>
      <c r="BP1369" s="929" t="s">
        <v>709</v>
      </c>
      <c r="BQ1369" s="929" t="s">
        <v>709</v>
      </c>
      <c r="BR1369" s="929">
        <v>30</v>
      </c>
      <c r="BS1369" s="916" t="s">
        <v>709</v>
      </c>
      <c r="BT1369" s="929" t="s">
        <v>709</v>
      </c>
      <c r="BU1369" s="929" t="s">
        <v>709</v>
      </c>
      <c r="BV1369" s="929" t="s">
        <v>745</v>
      </c>
      <c r="BW1369" s="929" t="s">
        <v>709</v>
      </c>
      <c r="BX1369" s="929" t="s">
        <v>709</v>
      </c>
      <c r="BY1369" s="929" t="s">
        <v>709</v>
      </c>
      <c r="BZ1369" s="929">
        <v>1</v>
      </c>
      <c r="CA1369" s="917" t="s">
        <v>8492</v>
      </c>
      <c r="CB1369" s="547">
        <v>1366</v>
      </c>
      <c r="CC1369" s="1481" t="b">
        <v>0</v>
      </c>
      <c r="CD1369" s="879" t="str">
        <f>Table15[[#This Row],[Engineering Number]]&amp;Table15[[#This Row],[WO Number]]&amp;Table15[[#This Row],[Date Assigned to Designer]]&amp;Table15[[#This Row],[Date Completed]]</f>
        <v>COR107414147784564945728</v>
      </c>
    </row>
    <row r="1370" spans="1:82" ht="15" customHeight="1" x14ac:dyDescent="0.25">
      <c r="A1370">
        <v>2025</v>
      </c>
      <c r="B1370" s="878" t="s">
        <v>1981</v>
      </c>
      <c r="C1370" s="878" t="s">
        <v>8493</v>
      </c>
      <c r="D1370" s="878" t="s">
        <v>8494</v>
      </c>
      <c r="E1370" s="878" t="s">
        <v>1573</v>
      </c>
      <c r="F1370" s="878" t="s">
        <v>7735</v>
      </c>
      <c r="G1370" s="878" t="s">
        <v>34</v>
      </c>
      <c r="H1370" s="878" t="s">
        <v>59</v>
      </c>
      <c r="I1370" s="883">
        <v>45649</v>
      </c>
      <c r="J1370" s="881">
        <v>45730</v>
      </c>
      <c r="K1370" s="945">
        <v>45728</v>
      </c>
      <c r="L1370" s="884">
        <f>IF(ISTEXT(Table15[[#This Row],[Engineering Approved Design Date]]),Table15[[#This Row],[Date Completed]]-Table15[[#This Row],[Date Assigned to Designer]],Table15[[#This Row],[Engineering Approved Design Date]]-Table15[[#This Row],[Date Completed]])</f>
        <v>2</v>
      </c>
      <c r="M1370" s="946"/>
      <c r="N1370" s="99" t="s">
        <v>120</v>
      </c>
      <c r="O1370" s="886">
        <v>45748</v>
      </c>
      <c r="P1370" s="1154" t="s">
        <v>739</v>
      </c>
      <c r="Q1370" s="1150">
        <f>Table15[[#This Row],[KH Hourly Effort]]+Table15[[#This Row],[Shactee Effort]]</f>
        <v>12929.78</v>
      </c>
      <c r="R1370" s="920" t="s">
        <v>1922</v>
      </c>
      <c r="S1370" s="888">
        <v>802.28</v>
      </c>
      <c r="T1370" s="888">
        <v>0</v>
      </c>
      <c r="U1370" s="889">
        <v>12127.5</v>
      </c>
      <c r="V1370" s="890">
        <v>27</v>
      </c>
      <c r="W1370" s="1021">
        <v>1</v>
      </c>
      <c r="X1370" s="888">
        <v>118257.95</v>
      </c>
      <c r="Y1370" s="888"/>
      <c r="Z1370" s="888">
        <v>32190.080000000002</v>
      </c>
      <c r="AA1370" s="888">
        <f>SUM(Table15[[#This Row],[PCTS Investment Amount]:[PCTS Retirement Amount]])</f>
        <v>150448.03</v>
      </c>
      <c r="AB1370" s="893">
        <v>45730</v>
      </c>
      <c r="AC1370" s="896" t="s">
        <v>709</v>
      </c>
      <c r="AD1370" s="1155" t="s">
        <v>29</v>
      </c>
      <c r="AE1370" s="894" t="s">
        <v>756</v>
      </c>
      <c r="AF1370" s="896" t="s">
        <v>29</v>
      </c>
      <c r="AG1370" s="996" t="s">
        <v>376</v>
      </c>
      <c r="AH1370" s="902" t="s">
        <v>376</v>
      </c>
      <c r="AI1370" s="898"/>
      <c r="AJ1370" s="899">
        <v>802.28</v>
      </c>
      <c r="AK1370" s="899"/>
      <c r="AL1370" s="901"/>
      <c r="AM1370" s="542" t="s">
        <v>709</v>
      </c>
      <c r="AN1370" s="924"/>
      <c r="AO1370" s="925"/>
      <c r="AP1370" s="926"/>
      <c r="AQ1370" s="926"/>
      <c r="AR1370" s="926"/>
      <c r="AS1370" s="926"/>
      <c r="AT1370" s="926"/>
      <c r="AU1370" s="926"/>
      <c r="AV1370" s="926"/>
      <c r="AW1370" s="927"/>
      <c r="AX1370" s="926"/>
      <c r="AY1370" s="1538" t="s">
        <v>29</v>
      </c>
      <c r="AZ1370" s="1530"/>
      <c r="BA1370" s="910" t="s">
        <v>8495</v>
      </c>
      <c r="BB1370" s="949" t="s">
        <v>8496</v>
      </c>
      <c r="BC1370" s="950" t="s">
        <v>116</v>
      </c>
      <c r="BD1370" s="951" t="s">
        <v>837</v>
      </c>
      <c r="BE1370" s="952" t="s">
        <v>8497</v>
      </c>
      <c r="BF1370" s="952" t="s">
        <v>8498</v>
      </c>
      <c r="BG1370" s="953" t="s">
        <v>709</v>
      </c>
      <c r="BH1370" s="1175" t="s">
        <v>8499</v>
      </c>
      <c r="BI1370" s="929" t="s">
        <v>745</v>
      </c>
      <c r="BJ1370" s="929" t="s">
        <v>745</v>
      </c>
      <c r="BK1370" s="929" t="s">
        <v>745</v>
      </c>
      <c r="BL1370" s="916" t="s">
        <v>116</v>
      </c>
      <c r="BM1370" s="929" t="s">
        <v>745</v>
      </c>
      <c r="BN1370" s="929" t="s">
        <v>745</v>
      </c>
      <c r="BO1370" s="929" t="s">
        <v>745</v>
      </c>
      <c r="BP1370" s="929" t="s">
        <v>745</v>
      </c>
      <c r="BQ1370" s="929">
        <v>27</v>
      </c>
      <c r="BR1370" s="929" t="s">
        <v>709</v>
      </c>
      <c r="BS1370" s="916" t="s">
        <v>709</v>
      </c>
      <c r="BT1370" s="929" t="s">
        <v>745</v>
      </c>
      <c r="BU1370" s="929" t="s">
        <v>745</v>
      </c>
      <c r="BV1370" s="929" t="s">
        <v>745</v>
      </c>
      <c r="BW1370" s="929" t="s">
        <v>745</v>
      </c>
      <c r="BX1370" s="929" t="s">
        <v>745</v>
      </c>
      <c r="BY1370" s="929" t="s">
        <v>745</v>
      </c>
      <c r="BZ1370" s="929">
        <v>1</v>
      </c>
      <c r="CA1370" s="962" t="s">
        <v>8297</v>
      </c>
      <c r="CB1370" s="547">
        <v>1369</v>
      </c>
      <c r="CC1370" s="1481" t="b">
        <v>0</v>
      </c>
      <c r="CD1370" s="879" t="str">
        <f>Table15[[#This Row],[Engineering Number]]&amp;Table15[[#This Row],[WO Number]]&amp;Table15[[#This Row],[Date Assigned to Designer]]&amp;Table15[[#This Row],[Date Completed]]</f>
        <v>COR106914149074564945728</v>
      </c>
    </row>
    <row r="1371" spans="1:82" ht="15" customHeight="1" x14ac:dyDescent="0.25">
      <c r="A1371">
        <v>2025</v>
      </c>
      <c r="B1371" s="874" t="s">
        <v>1981</v>
      </c>
      <c r="C1371" s="874" t="s">
        <v>8500</v>
      </c>
      <c r="D1371" s="874" t="s">
        <v>8501</v>
      </c>
      <c r="E1371" s="874" t="s">
        <v>918</v>
      </c>
      <c r="F1371" s="874" t="s">
        <v>7735</v>
      </c>
      <c r="G1371" s="874" t="s">
        <v>34</v>
      </c>
      <c r="H1371" s="874" t="s">
        <v>59</v>
      </c>
      <c r="I1371" s="881">
        <v>45649</v>
      </c>
      <c r="J1371" s="881">
        <v>45730</v>
      </c>
      <c r="K1371" s="945">
        <v>45728</v>
      </c>
      <c r="L1371" s="884">
        <f>IF(ISTEXT(Table15[[#This Row],[Engineering Approved Design Date]]),Table15[[#This Row],[Date Completed]]-Table15[[#This Row],[Date Assigned to Designer]],Table15[[#This Row],[Engineering Approved Design Date]]-Table15[[#This Row],[Date Completed]])</f>
        <v>2</v>
      </c>
      <c r="M1371" s="946"/>
      <c r="N1371" s="99" t="s">
        <v>120</v>
      </c>
      <c r="O1371" s="886">
        <v>45748</v>
      </c>
      <c r="P1371" s="1154" t="s">
        <v>739</v>
      </c>
      <c r="Q1371" s="1150">
        <f>Table15[[#This Row],[KH Hourly Effort]]+Table15[[#This Row],[Shactee Effort]]</f>
        <v>15363.65</v>
      </c>
      <c r="R1371" s="920" t="s">
        <v>1922</v>
      </c>
      <c r="S1371" s="888">
        <v>966.15</v>
      </c>
      <c r="T1371" s="888">
        <v>0</v>
      </c>
      <c r="U1371" s="889">
        <v>14397.5</v>
      </c>
      <c r="V1371" s="890">
        <v>39</v>
      </c>
      <c r="W1371" s="1021">
        <v>1</v>
      </c>
      <c r="X1371" s="888">
        <v>88211.92</v>
      </c>
      <c r="Y1371" s="888"/>
      <c r="Z1371" s="888">
        <v>32105.1</v>
      </c>
      <c r="AA1371" s="888">
        <f>SUM(Table15[[#This Row],[PCTS Investment Amount]:[PCTS Retirement Amount]])</f>
        <v>120317.01999999999</v>
      </c>
      <c r="AB1371" s="997">
        <v>45730</v>
      </c>
      <c r="AC1371" s="998" t="s">
        <v>709</v>
      </c>
      <c r="AD1371" s="1165" t="s">
        <v>29</v>
      </c>
      <c r="AE1371" s="894" t="s">
        <v>756</v>
      </c>
      <c r="AF1371" s="896" t="s">
        <v>29</v>
      </c>
      <c r="AG1371" s="996" t="s">
        <v>376</v>
      </c>
      <c r="AH1371" s="902" t="s">
        <v>376</v>
      </c>
      <c r="AI1371" s="898"/>
      <c r="AJ1371" s="899"/>
      <c r="AK1371" s="899"/>
      <c r="AL1371" s="901"/>
      <c r="AM1371" s="542" t="s">
        <v>709</v>
      </c>
      <c r="AN1371" s="924"/>
      <c r="AO1371" s="925"/>
      <c r="AP1371" s="926"/>
      <c r="AQ1371" s="926"/>
      <c r="AR1371" s="926"/>
      <c r="AS1371" s="926"/>
      <c r="AT1371" s="926"/>
      <c r="AU1371" s="926"/>
      <c r="AV1371" s="926"/>
      <c r="AW1371" s="927"/>
      <c r="AX1371" s="926"/>
      <c r="AY1371" s="1538" t="s">
        <v>29</v>
      </c>
      <c r="AZ1371" s="1530"/>
      <c r="BA1371" s="910" t="s">
        <v>8502</v>
      </c>
      <c r="BB1371" s="949" t="s">
        <v>8503</v>
      </c>
      <c r="BC1371" s="950" t="s">
        <v>709</v>
      </c>
      <c r="BD1371" s="951" t="s">
        <v>837</v>
      </c>
      <c r="BE1371" s="952" t="s">
        <v>8504</v>
      </c>
      <c r="BF1371" s="952" t="s">
        <v>923</v>
      </c>
      <c r="BG1371" s="953" t="s">
        <v>709</v>
      </c>
      <c r="BH1371" s="1023" t="s">
        <v>8505</v>
      </c>
      <c r="BI1371" s="993" t="s">
        <v>745</v>
      </c>
      <c r="BJ1371" s="993" t="s">
        <v>745</v>
      </c>
      <c r="BK1371" s="993" t="s">
        <v>745</v>
      </c>
      <c r="BL1371" s="993" t="s">
        <v>116</v>
      </c>
      <c r="BM1371" s="993" t="s">
        <v>745</v>
      </c>
      <c r="BN1371" s="993" t="s">
        <v>745</v>
      </c>
      <c r="BO1371" s="993" t="s">
        <v>745</v>
      </c>
      <c r="BP1371" s="993" t="s">
        <v>745</v>
      </c>
      <c r="BQ1371" s="993" t="s">
        <v>745</v>
      </c>
      <c r="BR1371" s="993">
        <v>39</v>
      </c>
      <c r="BS1371" s="993" t="s">
        <v>709</v>
      </c>
      <c r="BT1371" s="993" t="s">
        <v>745</v>
      </c>
      <c r="BU1371" s="993" t="s">
        <v>745</v>
      </c>
      <c r="BV1371" s="993" t="s">
        <v>745</v>
      </c>
      <c r="BW1371" s="993" t="s">
        <v>745</v>
      </c>
      <c r="BX1371" s="993" t="s">
        <v>745</v>
      </c>
      <c r="BY1371" s="993" t="s">
        <v>745</v>
      </c>
      <c r="BZ1371" s="916">
        <v>1</v>
      </c>
      <c r="CA1371" s="917" t="s">
        <v>8314</v>
      </c>
      <c r="CB1371" s="547">
        <v>1368</v>
      </c>
      <c r="CC1371" s="1481" t="b">
        <v>0</v>
      </c>
      <c r="CD1371" s="879" t="str">
        <f>Table15[[#This Row],[Engineering Number]]&amp;Table15[[#This Row],[WO Number]]&amp;Table15[[#This Row],[Date Assigned to Designer]]&amp;Table15[[#This Row],[Date Completed]]</f>
        <v>COR107514147794564945728</v>
      </c>
    </row>
    <row r="1372" spans="1:82" ht="15" customHeight="1" x14ac:dyDescent="0.25">
      <c r="A1372">
        <v>2025</v>
      </c>
      <c r="B1372" s="874" t="s">
        <v>1981</v>
      </c>
      <c r="C1372" s="874" t="s">
        <v>8506</v>
      </c>
      <c r="D1372" s="874" t="s">
        <v>8507</v>
      </c>
      <c r="E1372" s="874" t="s">
        <v>1573</v>
      </c>
      <c r="F1372" s="874" t="s">
        <v>7735</v>
      </c>
      <c r="G1372" s="878" t="s">
        <v>7382</v>
      </c>
      <c r="H1372" s="874" t="s">
        <v>59</v>
      </c>
      <c r="I1372" s="881">
        <v>45649</v>
      </c>
      <c r="J1372" s="881">
        <v>45730</v>
      </c>
      <c r="K1372" s="945">
        <v>45729</v>
      </c>
      <c r="L1372" s="884">
        <f>IF(ISTEXT(Table15[[#This Row],[Engineering Approved Design Date]]),Table15[[#This Row],[Date Completed]]-Table15[[#This Row],[Date Assigned to Designer]],Table15[[#This Row],[Engineering Approved Design Date]]-Table15[[#This Row],[Date Completed]])</f>
        <v>1</v>
      </c>
      <c r="M1372" s="946"/>
      <c r="N1372" s="99" t="s">
        <v>120</v>
      </c>
      <c r="O1372" s="886">
        <v>45717</v>
      </c>
      <c r="P1372" s="1154" t="s">
        <v>739</v>
      </c>
      <c r="Q1372" s="1150">
        <f>Table15[[#This Row],[KH Hourly Effort]]+Table15[[#This Row],[Shactee Effort]]</f>
        <v>21305.02</v>
      </c>
      <c r="R1372" s="920" t="s">
        <v>1922</v>
      </c>
      <c r="S1372" s="888">
        <f>5681.63+1615.89</f>
        <v>7297.52</v>
      </c>
      <c r="T1372" s="888">
        <v>0</v>
      </c>
      <c r="U1372" s="889">
        <v>14007.5</v>
      </c>
      <c r="V1372" s="890">
        <v>47</v>
      </c>
      <c r="W1372" s="1021">
        <v>2</v>
      </c>
      <c r="X1372" s="888">
        <v>99905.91</v>
      </c>
      <c r="Y1372" s="935"/>
      <c r="Z1372" s="888">
        <v>48650.16</v>
      </c>
      <c r="AA1372" s="888">
        <f>Table15[[#This Row],[PCTS Investment Amount]]+Table15[[#This Row],[PCTS Retirement Amount]]</f>
        <v>148556.07</v>
      </c>
      <c r="AB1372" s="893">
        <v>45735</v>
      </c>
      <c r="AC1372" s="896" t="s">
        <v>709</v>
      </c>
      <c r="AD1372" s="1161" t="s">
        <v>29</v>
      </c>
      <c r="AE1372" s="940" t="s">
        <v>756</v>
      </c>
      <c r="AF1372" s="896" t="s">
        <v>29</v>
      </c>
      <c r="AG1372" s="896" t="s">
        <v>29</v>
      </c>
      <c r="AH1372" s="897" t="s">
        <v>116</v>
      </c>
      <c r="AI1372" s="898"/>
      <c r="AJ1372" s="899">
        <v>1615.89</v>
      </c>
      <c r="AK1372" s="899">
        <v>5681.63</v>
      </c>
      <c r="AL1372" s="901">
        <f>SUM(Table15[[#This Row],[Nicor Initiated DBE]:[Staffing]])/(Table15[[#This Row],[Amount Invoiced]])</f>
        <v>0.34252584602126634</v>
      </c>
      <c r="AM1372" s="542" t="s">
        <v>709</v>
      </c>
      <c r="AN1372" s="924"/>
      <c r="AO1372" s="925"/>
      <c r="AP1372" s="926"/>
      <c r="AQ1372" s="926"/>
      <c r="AR1372" s="926"/>
      <c r="AS1372" s="926"/>
      <c r="AT1372" s="926"/>
      <c r="AU1372" s="926"/>
      <c r="AV1372" s="926"/>
      <c r="AW1372" s="927"/>
      <c r="AX1372" s="926"/>
      <c r="AY1372" s="1538" t="s">
        <v>29</v>
      </c>
      <c r="AZ1372" s="1530"/>
      <c r="BA1372" s="910" t="s">
        <v>8508</v>
      </c>
      <c r="BB1372" s="949" t="s">
        <v>8509</v>
      </c>
      <c r="BC1372" s="950" t="s">
        <v>709</v>
      </c>
      <c r="BD1372" s="951" t="s">
        <v>837</v>
      </c>
      <c r="BE1372" s="952" t="s">
        <v>595</v>
      </c>
      <c r="BF1372" s="952" t="s">
        <v>595</v>
      </c>
      <c r="BG1372" s="953" t="s">
        <v>709</v>
      </c>
      <c r="BH1372" s="1023" t="s">
        <v>8510</v>
      </c>
      <c r="BI1372" s="993" t="s">
        <v>709</v>
      </c>
      <c r="BJ1372" s="993" t="s">
        <v>709</v>
      </c>
      <c r="BK1372" s="993" t="s">
        <v>709</v>
      </c>
      <c r="BL1372" s="993" t="s">
        <v>116</v>
      </c>
      <c r="BM1372" s="993" t="s">
        <v>709</v>
      </c>
      <c r="BN1372" s="993" t="s">
        <v>709</v>
      </c>
      <c r="BO1372" s="993" t="s">
        <v>709</v>
      </c>
      <c r="BP1372" s="993" t="s">
        <v>709</v>
      </c>
      <c r="BQ1372" s="993">
        <v>24</v>
      </c>
      <c r="BR1372" s="993" t="s">
        <v>709</v>
      </c>
      <c r="BS1372" s="993">
        <v>23</v>
      </c>
      <c r="BT1372" s="993" t="s">
        <v>709</v>
      </c>
      <c r="BU1372" s="993" t="s">
        <v>709</v>
      </c>
      <c r="BV1372" s="993" t="s">
        <v>709</v>
      </c>
      <c r="BW1372" s="993" t="s">
        <v>709</v>
      </c>
      <c r="BX1372" s="993" t="s">
        <v>709</v>
      </c>
      <c r="BY1372" s="993" t="s">
        <v>709</v>
      </c>
      <c r="BZ1372" s="916">
        <v>2</v>
      </c>
      <c r="CA1372" s="999" t="s">
        <v>8492</v>
      </c>
      <c r="CB1372" s="547">
        <v>1372</v>
      </c>
      <c r="CC1372" s="1481" t="b">
        <v>0</v>
      </c>
      <c r="CD1372" s="879" t="str">
        <f>Table15[[#This Row],[Engineering Number]]&amp;Table15[[#This Row],[WO Number]]&amp;Table15[[#This Row],[Date Assigned to Designer]]&amp;Table15[[#This Row],[Date Completed]]</f>
        <v>COR107014147734564945729</v>
      </c>
    </row>
    <row r="1373" spans="1:82" ht="15" customHeight="1" x14ac:dyDescent="0.25">
      <c r="A1373">
        <v>2025</v>
      </c>
      <c r="B1373" s="878" t="s">
        <v>1981</v>
      </c>
      <c r="C1373" s="878" t="s">
        <v>8511</v>
      </c>
      <c r="D1373" s="878" t="s">
        <v>8512</v>
      </c>
      <c r="E1373" s="878" t="s">
        <v>232</v>
      </c>
      <c r="F1373" s="878" t="s">
        <v>7735</v>
      </c>
      <c r="G1373" s="878" t="s">
        <v>7382</v>
      </c>
      <c r="H1373" s="878" t="s">
        <v>59</v>
      </c>
      <c r="I1373" s="883">
        <v>45649</v>
      </c>
      <c r="J1373" s="881">
        <v>45730</v>
      </c>
      <c r="K1373" s="945">
        <v>45729</v>
      </c>
      <c r="L1373" s="884">
        <f>IF(ISTEXT(Table15[[#This Row],[Engineering Approved Design Date]]),Table15[[#This Row],[Date Completed]]-Table15[[#This Row],[Date Assigned to Designer]],Table15[[#This Row],[Engineering Approved Design Date]]-Table15[[#This Row],[Date Completed]])</f>
        <v>1</v>
      </c>
      <c r="M1373" s="946"/>
      <c r="N1373" s="99" t="s">
        <v>120</v>
      </c>
      <c r="O1373" s="886">
        <v>45717</v>
      </c>
      <c r="P1373" s="1154" t="s">
        <v>739</v>
      </c>
      <c r="Q1373" s="1150">
        <f>Table15[[#This Row],[KH Hourly Effort]]+Table15[[#This Row],[Shactee Effort]]</f>
        <v>10660</v>
      </c>
      <c r="R1373" s="920" t="s">
        <v>1922</v>
      </c>
      <c r="S1373" s="888">
        <v>0</v>
      </c>
      <c r="T1373" s="888">
        <v>0</v>
      </c>
      <c r="U1373" s="889">
        <v>10660</v>
      </c>
      <c r="V1373" s="890">
        <v>177</v>
      </c>
      <c r="W1373" s="1021">
        <v>1</v>
      </c>
      <c r="X1373" s="888">
        <v>142873.92000000001</v>
      </c>
      <c r="Y1373" s="935"/>
      <c r="Z1373" s="888">
        <v>84187.61</v>
      </c>
      <c r="AA1373" s="888">
        <f>Table15[[#This Row],[PCTS Investment Amount]]+Table15[[#This Row],[PCTS Retirement Amount]]</f>
        <v>227061.53000000003</v>
      </c>
      <c r="AB1373" s="893">
        <v>45735</v>
      </c>
      <c r="AC1373" s="896" t="s">
        <v>709</v>
      </c>
      <c r="AD1373" s="1161" t="s">
        <v>29</v>
      </c>
      <c r="AE1373" s="894" t="s">
        <v>756</v>
      </c>
      <c r="AF1373" s="896" t="s">
        <v>29</v>
      </c>
      <c r="AG1373" s="896" t="s">
        <v>29</v>
      </c>
      <c r="AH1373" s="897" t="s">
        <v>116</v>
      </c>
      <c r="AI1373" s="898"/>
      <c r="AJ1373" s="899"/>
      <c r="AK1373" s="899"/>
      <c r="AL1373" s="901">
        <f>SUM(Table15[[#This Row],[Nicor Initiated DBE]:[Staffing]])/(Table15[[#This Row],[Amount Invoiced]])</f>
        <v>0</v>
      </c>
      <c r="AM1373" s="542" t="s">
        <v>709</v>
      </c>
      <c r="AN1373" s="924"/>
      <c r="AO1373" s="925"/>
      <c r="AP1373" s="926"/>
      <c r="AQ1373" s="926"/>
      <c r="AR1373" s="926"/>
      <c r="AS1373" s="926"/>
      <c r="AT1373" s="926"/>
      <c r="AU1373" s="926"/>
      <c r="AV1373" s="926"/>
      <c r="AW1373" s="927"/>
      <c r="AX1373" s="926"/>
      <c r="AY1373" s="1538" t="s">
        <v>29</v>
      </c>
      <c r="AZ1373" s="1530"/>
      <c r="BA1373" s="910" t="s">
        <v>8508</v>
      </c>
      <c r="BB1373" s="949" t="s">
        <v>8509</v>
      </c>
      <c r="BC1373" s="950" t="s">
        <v>709</v>
      </c>
      <c r="BD1373" s="951" t="s">
        <v>837</v>
      </c>
      <c r="BE1373" s="952" t="s">
        <v>595</v>
      </c>
      <c r="BF1373" s="952" t="s">
        <v>595</v>
      </c>
      <c r="BG1373" s="953" t="s">
        <v>709</v>
      </c>
      <c r="BH1373" s="1023" t="s">
        <v>8513</v>
      </c>
      <c r="BI1373" s="993" t="s">
        <v>709</v>
      </c>
      <c r="BJ1373" s="929" t="s">
        <v>709</v>
      </c>
      <c r="BK1373" s="929" t="s">
        <v>709</v>
      </c>
      <c r="BL1373" s="916" t="s">
        <v>116</v>
      </c>
      <c r="BM1373" s="929" t="s">
        <v>709</v>
      </c>
      <c r="BN1373" s="929" t="s">
        <v>709</v>
      </c>
      <c r="BO1373" s="929" t="s">
        <v>709</v>
      </c>
      <c r="BP1373" s="929" t="s">
        <v>709</v>
      </c>
      <c r="BQ1373" s="929">
        <v>244</v>
      </c>
      <c r="BR1373" s="929" t="s">
        <v>709</v>
      </c>
      <c r="BS1373" s="916" t="s">
        <v>709</v>
      </c>
      <c r="BT1373" s="929" t="s">
        <v>709</v>
      </c>
      <c r="BU1373" s="929" t="s">
        <v>709</v>
      </c>
      <c r="BV1373" s="929" t="s">
        <v>709</v>
      </c>
      <c r="BW1373" s="929" t="s">
        <v>709</v>
      </c>
      <c r="BX1373" s="929" t="s">
        <v>709</v>
      </c>
      <c r="BY1373" s="929" t="s">
        <v>709</v>
      </c>
      <c r="BZ1373" s="929">
        <v>1</v>
      </c>
      <c r="CA1373" s="917" t="s">
        <v>8492</v>
      </c>
      <c r="CB1373" s="547">
        <v>1370</v>
      </c>
      <c r="CC1373" s="1481" t="b">
        <v>0</v>
      </c>
      <c r="CD1373" s="879" t="str">
        <f>Table15[[#This Row],[Engineering Number]]&amp;Table15[[#This Row],[WO Number]]&amp;Table15[[#This Row],[Date Assigned to Designer]]&amp;Table15[[#This Row],[Date Completed]]</f>
        <v>COR1070-114150204564945729</v>
      </c>
    </row>
    <row r="1374" spans="1:82" ht="15" customHeight="1" x14ac:dyDescent="0.25">
      <c r="A1374">
        <v>2025</v>
      </c>
      <c r="B1374" s="878" t="s">
        <v>1981</v>
      </c>
      <c r="C1374" s="878" t="s">
        <v>8514</v>
      </c>
      <c r="D1374" s="878" t="s">
        <v>8515</v>
      </c>
      <c r="E1374" s="878" t="s">
        <v>327</v>
      </c>
      <c r="F1374" s="878" t="s">
        <v>7735</v>
      </c>
      <c r="G1374" s="878" t="s">
        <v>27</v>
      </c>
      <c r="H1374" s="878" t="s">
        <v>59</v>
      </c>
      <c r="I1374" s="883">
        <v>45649</v>
      </c>
      <c r="J1374" s="881">
        <v>45730</v>
      </c>
      <c r="K1374" s="945">
        <v>45729</v>
      </c>
      <c r="L1374" s="884">
        <f>IF(ISTEXT(Table15[[#This Row],[Engineering Approved Design Date]]),Table15[[#This Row],[Date Completed]]-Table15[[#This Row],[Date Assigned to Designer]],Table15[[#This Row],[Engineering Approved Design Date]]-Table15[[#This Row],[Date Completed]])</f>
        <v>1</v>
      </c>
      <c r="M1374" s="946"/>
      <c r="N1374" s="99" t="s">
        <v>120</v>
      </c>
      <c r="O1374" s="886">
        <v>45717</v>
      </c>
      <c r="P1374" s="1154" t="s">
        <v>739</v>
      </c>
      <c r="Q1374" s="1150">
        <f>Table15[[#This Row],[KH Hourly Effort]]+Table15[[#This Row],[Shactee Effort]]</f>
        <v>15535</v>
      </c>
      <c r="R1374" s="920" t="s">
        <v>1922</v>
      </c>
      <c r="S1374" s="888">
        <v>0</v>
      </c>
      <c r="T1374" s="888">
        <v>0</v>
      </c>
      <c r="U1374" s="889">
        <v>15535</v>
      </c>
      <c r="V1374" s="890">
        <v>144</v>
      </c>
      <c r="W1374" s="1021">
        <v>2</v>
      </c>
      <c r="X1374" s="888">
        <v>235574.62</v>
      </c>
      <c r="Y1374" s="888"/>
      <c r="Z1374" s="888">
        <v>10665.23</v>
      </c>
      <c r="AA1374" s="888">
        <f>SUM(Table15[[#This Row],[PCTS Investment Amount]:[PCTS Retirement Amount]])</f>
        <v>246239.85</v>
      </c>
      <c r="AB1374" s="893" t="s">
        <v>376</v>
      </c>
      <c r="AC1374" s="896" t="s">
        <v>709</v>
      </c>
      <c r="AD1374" s="1155" t="s">
        <v>29</v>
      </c>
      <c r="AE1374" s="894" t="s">
        <v>116</v>
      </c>
      <c r="AF1374" s="896" t="s">
        <v>29</v>
      </c>
      <c r="AG1374" s="897" t="s">
        <v>376</v>
      </c>
      <c r="AH1374" s="902">
        <v>45770</v>
      </c>
      <c r="AI1374" s="898"/>
      <c r="AJ1374" s="899"/>
      <c r="AK1374" s="899">
        <v>0</v>
      </c>
      <c r="AL1374" s="901">
        <f>SUM(Table15[[#This Row],[Nicor Initiated DBE]:[Staffing]])/(Table15[[#This Row],[Amount Invoiced]])</f>
        <v>0</v>
      </c>
      <c r="AM1374" s="542" t="s">
        <v>709</v>
      </c>
      <c r="AN1374" s="924"/>
      <c r="AO1374" s="925"/>
      <c r="AP1374" s="926"/>
      <c r="AQ1374" s="926"/>
      <c r="AR1374" s="926"/>
      <c r="AS1374" s="926"/>
      <c r="AT1374" s="926"/>
      <c r="AU1374" s="926"/>
      <c r="AV1374" s="926"/>
      <c r="AW1374" s="927"/>
      <c r="AX1374" s="926"/>
      <c r="AY1374" s="1538" t="s">
        <v>29</v>
      </c>
      <c r="AZ1374" s="1530"/>
      <c r="BA1374" s="910" t="s">
        <v>8516</v>
      </c>
      <c r="BB1374" s="949" t="s">
        <v>8517</v>
      </c>
      <c r="BC1374" s="950" t="s">
        <v>709</v>
      </c>
      <c r="BD1374" s="951" t="s">
        <v>882</v>
      </c>
      <c r="BE1374" s="952" t="s">
        <v>448</v>
      </c>
      <c r="BF1374" s="952" t="s">
        <v>8518</v>
      </c>
      <c r="BG1374" s="953" t="s">
        <v>709</v>
      </c>
      <c r="BH1374" s="1175" t="s">
        <v>8519</v>
      </c>
      <c r="BI1374" s="929" t="s">
        <v>709</v>
      </c>
      <c r="BJ1374" s="929" t="s">
        <v>709</v>
      </c>
      <c r="BK1374" s="929" t="s">
        <v>709</v>
      </c>
      <c r="BL1374" s="916" t="s">
        <v>116</v>
      </c>
      <c r="BM1374" s="929" t="s">
        <v>709</v>
      </c>
      <c r="BN1374" s="929" t="s">
        <v>709</v>
      </c>
      <c r="BO1374" s="929" t="s">
        <v>709</v>
      </c>
      <c r="BP1374" s="929" t="s">
        <v>709</v>
      </c>
      <c r="BQ1374" s="929" t="s">
        <v>709</v>
      </c>
      <c r="BR1374" s="929" t="s">
        <v>709</v>
      </c>
      <c r="BS1374" s="916">
        <v>144</v>
      </c>
      <c r="BT1374" s="929" t="s">
        <v>709</v>
      </c>
      <c r="BU1374" s="929" t="s">
        <v>709</v>
      </c>
      <c r="BV1374" s="929" t="s">
        <v>709</v>
      </c>
      <c r="BW1374" s="929" t="s">
        <v>709</v>
      </c>
      <c r="BX1374" s="929" t="s">
        <v>709</v>
      </c>
      <c r="BY1374" s="929" t="s">
        <v>709</v>
      </c>
      <c r="BZ1374" s="929">
        <v>2</v>
      </c>
      <c r="CA1374" s="999" t="s">
        <v>8492</v>
      </c>
      <c r="CB1374" s="547">
        <v>1371</v>
      </c>
      <c r="CC1374" s="1481" t="b">
        <v>0</v>
      </c>
      <c r="CD1374" s="879" t="str">
        <f>Table15[[#This Row],[Engineering Number]]&amp;Table15[[#This Row],[WO Number]]&amp;Table15[[#This Row],[Date Assigned to Designer]]&amp;Table15[[#This Row],[Date Completed]]</f>
        <v>COR1073-112150094564945729</v>
      </c>
    </row>
    <row r="1375" spans="1:82" ht="15" customHeight="1" x14ac:dyDescent="0.25">
      <c r="A1375">
        <v>2025</v>
      </c>
      <c r="B1375" s="878" t="s">
        <v>4</v>
      </c>
      <c r="C1375" s="879" t="s">
        <v>8520</v>
      </c>
      <c r="D1375" s="880" t="s">
        <v>8521</v>
      </c>
      <c r="E1375" s="879" t="s">
        <v>1032</v>
      </c>
      <c r="F1375" s="878" t="s">
        <v>6874</v>
      </c>
      <c r="G1375" s="878" t="s">
        <v>31</v>
      </c>
      <c r="H1375" s="878" t="s">
        <v>59</v>
      </c>
      <c r="I1375" s="881">
        <v>45688</v>
      </c>
      <c r="J1375" s="882">
        <v>45730</v>
      </c>
      <c r="K1375" s="945">
        <v>45729</v>
      </c>
      <c r="L1375" s="884">
        <f>IF(ISTEXT(Table15[[#This Row],[Engineering Approved Design Date]]),Table15[[#This Row],[Date Completed]]-Table15[[#This Row],[Date Assigned to Designer]],Table15[[#This Row],[Engineering Approved Design Date]]-Table15[[#This Row],[Date Completed]])</f>
        <v>1</v>
      </c>
      <c r="N1375" s="885" t="s">
        <v>120</v>
      </c>
      <c r="O1375" s="886">
        <v>45717</v>
      </c>
      <c r="P1375" s="1153" t="s">
        <v>739</v>
      </c>
      <c r="Q1375" s="1150">
        <f>Table15[[#This Row],[Rate]]*Table15[[#This Row],[Construction Cost to Bill From]]</f>
        <v>77903.590000000011</v>
      </c>
      <c r="R1375" s="887">
        <v>0.1</v>
      </c>
      <c r="S1375" s="888" t="s">
        <v>29</v>
      </c>
      <c r="T1375" s="888" t="s">
        <v>29</v>
      </c>
      <c r="U1375" s="889" t="s">
        <v>29</v>
      </c>
      <c r="V1375" s="890">
        <v>397</v>
      </c>
      <c r="W1375" s="1021">
        <v>0</v>
      </c>
      <c r="X1375" s="888">
        <v>694528.4</v>
      </c>
      <c r="Y1375" s="891"/>
      <c r="Z1375" s="888">
        <v>84507.5</v>
      </c>
      <c r="AA1375" s="892">
        <f>SUM(Table15[[#This Row],[PCTS Investment Amount]:[PCTS Retirement Amount]])</f>
        <v>779035.9</v>
      </c>
      <c r="AB1375" s="893">
        <v>45714</v>
      </c>
      <c r="AC1375" s="894" t="s">
        <v>745</v>
      </c>
      <c r="AD1375" s="1161" t="s">
        <v>29</v>
      </c>
      <c r="AE1375" s="895" t="s">
        <v>116</v>
      </c>
      <c r="AF1375" s="895" t="s">
        <v>29</v>
      </c>
      <c r="AG1375" s="896" t="s">
        <v>116</v>
      </c>
      <c r="AH1375" s="897">
        <v>45770</v>
      </c>
      <c r="AI1375" s="898">
        <v>0</v>
      </c>
      <c r="AJ1375" s="899">
        <v>0</v>
      </c>
      <c r="AK1375" s="899">
        <v>3479.4</v>
      </c>
      <c r="AL1375" s="901">
        <f>SUM(Table15[[#This Row],[Nicor Initiated DBE]:[Staffing]])/(Table15[[#This Row],[Amount Invoiced]])</f>
        <v>4.4662896793331339E-2</v>
      </c>
      <c r="AM1375" s="1522" t="s">
        <v>116</v>
      </c>
      <c r="AN1375" s="1523">
        <v>45776</v>
      </c>
      <c r="AO1375" s="1524">
        <v>11102369</v>
      </c>
      <c r="AP1375" s="1525">
        <v>694722.02</v>
      </c>
      <c r="AQ1375" s="1525"/>
      <c r="AR1375" s="1525">
        <v>84507.5</v>
      </c>
      <c r="AS1375" s="1525">
        <f>IF(Table15[[#This Row],[PCTS Approved]]="N",0,Table15[[#This Row],[Investment Amount (1'#'#'#'#'#)]]+Table15[[#This Row],[Retirement Amount (3'#'#'#'#'#)]])</f>
        <v>779229.52</v>
      </c>
      <c r="AT1375" s="1525">
        <f>IF(Table15[[#This Row],[Approved Construction Cost]]=0,0,Table15[[#This Row],[Approved Construction Cost]]-Table15[[#This Row],[Construction Cost to Bill From]])</f>
        <v>193.61999999999534</v>
      </c>
      <c r="AU1375" s="1525">
        <f>Table15[[#This Row],[Difference in Construction Cost]]*Table15[[#This Row],[Rate]]</f>
        <v>19.361999999999536</v>
      </c>
      <c r="AV1375" s="1525">
        <v>8132.5</v>
      </c>
      <c r="AW1375" s="1526" t="s">
        <v>8522</v>
      </c>
      <c r="AX1375" s="1525">
        <v>0</v>
      </c>
      <c r="AY1375" s="1518">
        <v>45901</v>
      </c>
      <c r="AZ1375" s="333"/>
      <c r="BA1375" s="910" t="s">
        <v>8523</v>
      </c>
      <c r="BB1375" s="911" t="s">
        <v>8524</v>
      </c>
      <c r="BC1375" s="912" t="s">
        <v>992</v>
      </c>
      <c r="BD1375" s="913" t="s">
        <v>1036</v>
      </c>
      <c r="BE1375" s="914" t="s">
        <v>745</v>
      </c>
      <c r="BF1375" s="914" t="s">
        <v>8525</v>
      </c>
      <c r="BG1375" s="915" t="s">
        <v>745</v>
      </c>
      <c r="BH1375" s="1023" t="s">
        <v>8526</v>
      </c>
      <c r="BI1375" s="929" t="s">
        <v>745</v>
      </c>
      <c r="BJ1375" s="929" t="s">
        <v>116</v>
      </c>
      <c r="BK1375" s="916" t="s">
        <v>745</v>
      </c>
      <c r="BL1375" s="916" t="s">
        <v>709</v>
      </c>
      <c r="BM1375" s="916" t="s">
        <v>745</v>
      </c>
      <c r="BN1375" s="916" t="s">
        <v>745</v>
      </c>
      <c r="BO1375" s="916" t="s">
        <v>745</v>
      </c>
      <c r="BP1375" s="916">
        <v>397</v>
      </c>
      <c r="BQ1375" s="916" t="s">
        <v>745</v>
      </c>
      <c r="BR1375" s="916" t="s">
        <v>709</v>
      </c>
      <c r="BS1375" s="916" t="s">
        <v>709</v>
      </c>
      <c r="BT1375" s="916" t="s">
        <v>745</v>
      </c>
      <c r="BU1375" s="916" t="s">
        <v>709</v>
      </c>
      <c r="BV1375" s="916" t="s">
        <v>709</v>
      </c>
      <c r="BW1375" s="916" t="s">
        <v>745</v>
      </c>
      <c r="BX1375" s="916" t="s">
        <v>745</v>
      </c>
      <c r="BY1375" s="916" t="s">
        <v>745</v>
      </c>
      <c r="BZ1375" s="916" t="s">
        <v>709</v>
      </c>
      <c r="CA1375" s="917"/>
      <c r="CB1375" s="547">
        <v>1373</v>
      </c>
      <c r="CC1375" s="1481" t="b">
        <v>0</v>
      </c>
      <c r="CD1375" s="879" t="str">
        <f>Table15[[#This Row],[Engineering Number]]&amp;Table15[[#This Row],[WO Number]]&amp;Table15[[#This Row],[Date Assigned to Designer]]&amp;Table15[[#This Row],[Date Completed]]</f>
        <v>SC2541814149484568845729</v>
      </c>
    </row>
    <row r="1376" spans="1:82" ht="15" customHeight="1" x14ac:dyDescent="0.25">
      <c r="A1376">
        <v>2025</v>
      </c>
      <c r="B1376" s="874" t="s">
        <v>1981</v>
      </c>
      <c r="C1376" s="874" t="s">
        <v>7754</v>
      </c>
      <c r="D1376" s="874" t="s">
        <v>8527</v>
      </c>
      <c r="E1376" s="874" t="s">
        <v>327</v>
      </c>
      <c r="F1376" s="874" t="s">
        <v>7735</v>
      </c>
      <c r="G1376" s="878" t="s">
        <v>27</v>
      </c>
      <c r="H1376" s="874" t="s">
        <v>59</v>
      </c>
      <c r="I1376" s="881">
        <v>45649</v>
      </c>
      <c r="J1376" s="881">
        <v>45730</v>
      </c>
      <c r="K1376" s="945">
        <v>45730</v>
      </c>
      <c r="L1376" s="884">
        <f>IF(ISTEXT(Table15[[#This Row],[Engineering Approved Design Date]]),Table15[[#This Row],[Date Completed]]-Table15[[#This Row],[Date Assigned to Designer]],Table15[[#This Row],[Engineering Approved Design Date]]-Table15[[#This Row],[Date Completed]])</f>
        <v>0</v>
      </c>
      <c r="M1376" s="946"/>
      <c r="N1376" s="99" t="s">
        <v>120</v>
      </c>
      <c r="O1376" s="886">
        <v>45717</v>
      </c>
      <c r="P1376" s="1154" t="s">
        <v>739</v>
      </c>
      <c r="Q1376" s="1150">
        <f>Table15[[#This Row],[KH Hourly Effort]]+Table15[[#This Row],[Shactee Effort]]</f>
        <v>38820.99</v>
      </c>
      <c r="R1376" s="920" t="s">
        <v>1922</v>
      </c>
      <c r="S1376" s="888">
        <f>15683.49</f>
        <v>15683.49</v>
      </c>
      <c r="T1376" s="888">
        <v>0</v>
      </c>
      <c r="U1376" s="889">
        <v>23137.5</v>
      </c>
      <c r="V1376" s="890">
        <v>279</v>
      </c>
      <c r="W1376" s="1021">
        <v>5</v>
      </c>
      <c r="X1376" s="888">
        <v>484663.7</v>
      </c>
      <c r="Y1376" s="998"/>
      <c r="Z1376" s="888">
        <v>155366.04999999999</v>
      </c>
      <c r="AA1376" s="888">
        <f>SUM(Table15[[#This Row],[PCTS Investment Amount]:[PCTS Retirement Amount]])</f>
        <v>640029.75</v>
      </c>
      <c r="AB1376" s="997" t="s">
        <v>376</v>
      </c>
      <c r="AC1376" s="896" t="s">
        <v>709</v>
      </c>
      <c r="AD1376" s="1155" t="s">
        <v>29</v>
      </c>
      <c r="AE1376" s="894" t="s">
        <v>116</v>
      </c>
      <c r="AF1376" s="896" t="s">
        <v>29</v>
      </c>
      <c r="AG1376" s="897" t="s">
        <v>376</v>
      </c>
      <c r="AH1376" s="902">
        <v>45770</v>
      </c>
      <c r="AI1376" s="898">
        <v>3890</v>
      </c>
      <c r="AJ1376" s="899">
        <v>1351.81</v>
      </c>
      <c r="AK1376" s="899">
        <v>12619.93</v>
      </c>
      <c r="AL1376" s="901">
        <f>SUM(Table15[[#This Row],[Nicor Initiated DBE]:[Staffing]])/(Table15[[#This Row],[Amount Invoiced]])</f>
        <v>0.46010521627604034</v>
      </c>
      <c r="AM1376" s="542" t="s">
        <v>709</v>
      </c>
      <c r="AN1376" s="924"/>
      <c r="AO1376" s="925"/>
      <c r="AP1376" s="926"/>
      <c r="AQ1376" s="926"/>
      <c r="AR1376" s="926"/>
      <c r="AS1376" s="926"/>
      <c r="AT1376" s="926"/>
      <c r="AU1376" s="926"/>
      <c r="AV1376" s="926"/>
      <c r="AW1376" s="927"/>
      <c r="AX1376" s="926"/>
      <c r="AY1376" s="1538" t="s">
        <v>29</v>
      </c>
      <c r="AZ1376" s="1530"/>
      <c r="BA1376" s="910" t="s">
        <v>8516</v>
      </c>
      <c r="BB1376" s="949" t="s">
        <v>8517</v>
      </c>
      <c r="BC1376" s="950" t="s">
        <v>709</v>
      </c>
      <c r="BD1376" s="951" t="s">
        <v>882</v>
      </c>
      <c r="BE1376" s="952" t="s">
        <v>448</v>
      </c>
      <c r="BF1376" s="952" t="s">
        <v>8518</v>
      </c>
      <c r="BG1376" s="953" t="s">
        <v>709</v>
      </c>
      <c r="BH1376" s="1023" t="s">
        <v>8528</v>
      </c>
      <c r="BI1376" s="929" t="s">
        <v>709</v>
      </c>
      <c r="BJ1376" s="929" t="s">
        <v>709</v>
      </c>
      <c r="BK1376" s="929" t="s">
        <v>709</v>
      </c>
      <c r="BL1376" s="916" t="s">
        <v>116</v>
      </c>
      <c r="BM1376" s="929" t="s">
        <v>709</v>
      </c>
      <c r="BN1376" s="929">
        <v>24</v>
      </c>
      <c r="BO1376" s="929" t="s">
        <v>709</v>
      </c>
      <c r="BP1376" s="929" t="s">
        <v>709</v>
      </c>
      <c r="BQ1376" s="929" t="s">
        <v>709</v>
      </c>
      <c r="BR1376" s="929">
        <v>232</v>
      </c>
      <c r="BS1376" s="916">
        <v>23</v>
      </c>
      <c r="BT1376" s="929" t="s">
        <v>709</v>
      </c>
      <c r="BU1376" s="929" t="s">
        <v>709</v>
      </c>
      <c r="BV1376" s="929" t="s">
        <v>709</v>
      </c>
      <c r="BW1376" s="929" t="s">
        <v>709</v>
      </c>
      <c r="BX1376" s="929" t="s">
        <v>709</v>
      </c>
      <c r="BY1376" s="929" t="s">
        <v>709</v>
      </c>
      <c r="BZ1376" s="929">
        <v>5</v>
      </c>
      <c r="CA1376" s="999" t="s">
        <v>8529</v>
      </c>
      <c r="CB1376" s="547">
        <v>1374</v>
      </c>
      <c r="CC1376" s="1481" t="b">
        <v>0</v>
      </c>
      <c r="CD1376" s="879" t="str">
        <f>Table15[[#This Row],[Engineering Number]]&amp;Table15[[#This Row],[WO Number]]&amp;Table15[[#This Row],[Date Assigned to Designer]]&amp;Table15[[#This Row],[Date Completed]]</f>
        <v>COR107312147774564945730</v>
      </c>
    </row>
    <row r="1377" spans="1:82" ht="15" customHeight="1" x14ac:dyDescent="0.25">
      <c r="A1377">
        <v>2025</v>
      </c>
      <c r="B1377" s="878" t="s">
        <v>4</v>
      </c>
      <c r="C1377" s="878" t="s">
        <v>8530</v>
      </c>
      <c r="D1377" s="878" t="s">
        <v>8531</v>
      </c>
      <c r="E1377" s="878" t="s">
        <v>300</v>
      </c>
      <c r="F1377" s="878" t="s">
        <v>851</v>
      </c>
      <c r="G1377" s="878" t="s">
        <v>25</v>
      </c>
      <c r="H1377" s="878" t="s">
        <v>4045</v>
      </c>
      <c r="I1377" s="883">
        <v>45726</v>
      </c>
      <c r="J1377" s="882" t="s">
        <v>2958</v>
      </c>
      <c r="K1377" s="945">
        <v>45730</v>
      </c>
      <c r="L1377" s="919">
        <f>IF(ISTEXT(Table15[[#This Row],[Engineering Approved Design Date]]),Table15[[#This Row],[Date Completed]]-Table15[[#This Row],[Date Assigned to Designer]],Table15[[#This Row],[Engineering Approved Design Date]]-Table15[[#This Row],[Date Completed]])</f>
        <v>4</v>
      </c>
      <c r="M1377" s="883" t="s">
        <v>8532</v>
      </c>
      <c r="N1377" s="99" t="s">
        <v>120</v>
      </c>
      <c r="O1377" s="886">
        <v>45741</v>
      </c>
      <c r="P1377" s="958" t="s">
        <v>739</v>
      </c>
      <c r="Q1377" s="1150" t="s">
        <v>115</v>
      </c>
      <c r="R1377" s="920" t="s">
        <v>115</v>
      </c>
      <c r="S1377" s="888" t="s">
        <v>29</v>
      </c>
      <c r="T1377" s="888" t="s">
        <v>29</v>
      </c>
      <c r="U1377" s="934" t="s">
        <v>29</v>
      </c>
      <c r="V1377" s="1630" t="s">
        <v>29</v>
      </c>
      <c r="W1377" s="1021" t="s">
        <v>29</v>
      </c>
      <c r="X1377" s="888" t="s">
        <v>29</v>
      </c>
      <c r="Y1377" s="935"/>
      <c r="Z1377" s="888" t="s">
        <v>29</v>
      </c>
      <c r="AA1377" s="888" t="s">
        <v>29</v>
      </c>
      <c r="AB1377" s="958" t="s">
        <v>29</v>
      </c>
      <c r="AC1377" s="896" t="s">
        <v>29</v>
      </c>
      <c r="AD1377" s="1155" t="s">
        <v>29</v>
      </c>
      <c r="AE1377" s="894" t="s">
        <v>116</v>
      </c>
      <c r="AF1377" s="896" t="s">
        <v>29</v>
      </c>
      <c r="AG1377" s="896" t="s">
        <v>29</v>
      </c>
      <c r="AH1377" s="897" t="s">
        <v>376</v>
      </c>
      <c r="AI1377" s="969" t="s">
        <v>29</v>
      </c>
      <c r="AJ1377" s="970" t="s">
        <v>29</v>
      </c>
      <c r="AK1377" s="970" t="s">
        <v>29</v>
      </c>
      <c r="AL1377" s="971" t="s">
        <v>29</v>
      </c>
      <c r="AM1377" s="542" t="s">
        <v>709</v>
      </c>
      <c r="AN1377" s="924"/>
      <c r="AO1377" s="925"/>
      <c r="AP1377" s="926"/>
      <c r="AQ1377" s="926"/>
      <c r="AR1377" s="926"/>
      <c r="AS1377" s="926"/>
      <c r="AT1377" s="926"/>
      <c r="AU1377" s="926"/>
      <c r="AV1377" s="926"/>
      <c r="AW1377" s="927"/>
      <c r="AX1377" s="926"/>
      <c r="AY1377" s="1538" t="s">
        <v>29</v>
      </c>
      <c r="AZ1377" s="1530"/>
      <c r="BA1377" s="954">
        <v>10</v>
      </c>
      <c r="BB1377" s="928" t="s">
        <v>29</v>
      </c>
      <c r="BC1377" s="915" t="s">
        <v>709</v>
      </c>
      <c r="BD1377" s="915" t="s">
        <v>709</v>
      </c>
      <c r="BE1377" s="915" t="s">
        <v>4242</v>
      </c>
      <c r="BF1377" s="915" t="s">
        <v>709</v>
      </c>
      <c r="BG1377" s="915" t="s">
        <v>709</v>
      </c>
      <c r="BH1377" s="1175" t="s">
        <v>29</v>
      </c>
      <c r="BI1377" s="980"/>
      <c r="BJ1377" s="980"/>
      <c r="BK1377" s="980"/>
      <c r="BL1377" s="980"/>
      <c r="BM1377" s="980"/>
      <c r="BN1377" s="981"/>
      <c r="BO1377" s="980"/>
      <c r="BP1377" s="982"/>
      <c r="BQ1377" s="981"/>
      <c r="BR1377" s="981"/>
      <c r="BS1377" s="981"/>
      <c r="BT1377" s="981"/>
      <c r="BU1377" s="981"/>
      <c r="BV1377" s="981"/>
      <c r="BW1377" s="981"/>
      <c r="BX1377" s="980"/>
      <c r="BY1377" s="983"/>
      <c r="BZ1377" s="983"/>
      <c r="CA1377" s="984"/>
      <c r="CB1377" s="547">
        <v>1376</v>
      </c>
      <c r="CC1377" s="1481" t="b">
        <v>0</v>
      </c>
      <c r="CD1377" s="879" t="str">
        <f>Table15[[#This Row],[Engineering Number]]&amp;Table15[[#This Row],[WO Number]]&amp;Table15[[#This Row],[Date Assigned to Designer]]&amp;Table15[[#This Row],[Date Completed]]</f>
        <v>SC23070/SC23070-11314001/13140714572645730</v>
      </c>
    </row>
    <row r="1378" spans="1:82" ht="15" customHeight="1" x14ac:dyDescent="0.25">
      <c r="A1378">
        <v>2025</v>
      </c>
      <c r="B1378" s="878" t="s">
        <v>1981</v>
      </c>
      <c r="C1378" s="878" t="s">
        <v>8533</v>
      </c>
      <c r="D1378" s="878" t="s">
        <v>8534</v>
      </c>
      <c r="E1378" s="878" t="s">
        <v>300</v>
      </c>
      <c r="F1378" s="878" t="s">
        <v>7735</v>
      </c>
      <c r="G1378" s="878" t="s">
        <v>34</v>
      </c>
      <c r="H1378" s="878" t="s">
        <v>59</v>
      </c>
      <c r="I1378" s="883">
        <v>45649</v>
      </c>
      <c r="J1378" s="881">
        <v>45730</v>
      </c>
      <c r="K1378" s="945">
        <v>45730</v>
      </c>
      <c r="L1378" s="884">
        <f>IF(ISTEXT(Table15[[#This Row],[Engineering Approved Design Date]]),Table15[[#This Row],[Date Completed]]-Table15[[#This Row],[Date Assigned to Designer]],Table15[[#This Row],[Engineering Approved Design Date]]-Table15[[#This Row],[Date Completed]])</f>
        <v>0</v>
      </c>
      <c r="M1378" s="946"/>
      <c r="N1378" s="99" t="s">
        <v>120</v>
      </c>
      <c r="O1378" s="886">
        <v>45748</v>
      </c>
      <c r="P1378" s="1154" t="s">
        <v>739</v>
      </c>
      <c r="Q1378" s="1150">
        <f>Table15[[#This Row],[KH Hourly Effort]]+Table15[[#This Row],[Shactee Effort]]</f>
        <v>12615.25</v>
      </c>
      <c r="R1378" s="920" t="s">
        <v>1922</v>
      </c>
      <c r="S1378" s="888">
        <v>957.75</v>
      </c>
      <c r="T1378" s="888">
        <v>0</v>
      </c>
      <c r="U1378" s="889">
        <v>11657.5</v>
      </c>
      <c r="V1378" s="1630">
        <v>25</v>
      </c>
      <c r="W1378" s="1021">
        <v>1</v>
      </c>
      <c r="X1378" s="888">
        <v>51367.44</v>
      </c>
      <c r="Y1378" s="888"/>
      <c r="Z1378" s="888">
        <v>30740.49</v>
      </c>
      <c r="AA1378" s="888">
        <f>SUM(Table15[[#This Row],[PCTS Investment Amount]:[PCTS Retirement Amount]])</f>
        <v>82107.930000000008</v>
      </c>
      <c r="AB1378" s="893" t="s">
        <v>376</v>
      </c>
      <c r="AC1378" s="896" t="s">
        <v>709</v>
      </c>
      <c r="AD1378" s="1155" t="s">
        <v>29</v>
      </c>
      <c r="AE1378" s="894" t="s">
        <v>756</v>
      </c>
      <c r="AF1378" s="896" t="s">
        <v>29</v>
      </c>
      <c r="AG1378" s="996" t="s">
        <v>376</v>
      </c>
      <c r="AH1378" s="902" t="s">
        <v>376</v>
      </c>
      <c r="AI1378" s="898"/>
      <c r="AJ1378" s="899">
        <v>957.75</v>
      </c>
      <c r="AK1378" s="899"/>
      <c r="AL1378" s="901">
        <f>SUM(Table15[[#This Row],[Nicor Initiated DBE]:[Staffing]])/(Table15[[#This Row],[Amount Invoiced]])</f>
        <v>7.592001743921048E-2</v>
      </c>
      <c r="AM1378" s="542" t="s">
        <v>709</v>
      </c>
      <c r="AN1378" s="924"/>
      <c r="AO1378" s="925"/>
      <c r="AP1378" s="926"/>
      <c r="AQ1378" s="926"/>
      <c r="AR1378" s="926"/>
      <c r="AS1378" s="926"/>
      <c r="AT1378" s="926"/>
      <c r="AU1378" s="926"/>
      <c r="AV1378" s="926"/>
      <c r="AW1378" s="927"/>
      <c r="AX1378" s="926"/>
      <c r="AY1378" s="1538" t="s">
        <v>29</v>
      </c>
      <c r="AZ1378" s="1530"/>
      <c r="BA1378" s="910" t="s">
        <v>8535</v>
      </c>
      <c r="BB1378" s="949" t="s">
        <v>8536</v>
      </c>
      <c r="BC1378" s="950" t="s">
        <v>709</v>
      </c>
      <c r="BD1378" s="951" t="s">
        <v>3836</v>
      </c>
      <c r="BE1378" s="952" t="s">
        <v>8537</v>
      </c>
      <c r="BF1378" s="952" t="s">
        <v>8538</v>
      </c>
      <c r="BG1378" s="953" t="s">
        <v>709</v>
      </c>
      <c r="BH1378" s="1175" t="s">
        <v>8539</v>
      </c>
      <c r="BI1378" s="929" t="s">
        <v>745</v>
      </c>
      <c r="BJ1378" s="929" t="s">
        <v>745</v>
      </c>
      <c r="BK1378" s="929" t="s">
        <v>745</v>
      </c>
      <c r="BL1378" s="916" t="s">
        <v>116</v>
      </c>
      <c r="BM1378" s="929" t="s">
        <v>745</v>
      </c>
      <c r="BN1378" s="929" t="s">
        <v>745</v>
      </c>
      <c r="BO1378" s="929" t="s">
        <v>745</v>
      </c>
      <c r="BP1378" s="929" t="s">
        <v>745</v>
      </c>
      <c r="BQ1378" s="929" t="s">
        <v>745</v>
      </c>
      <c r="BR1378" s="929">
        <v>25</v>
      </c>
      <c r="BS1378" s="916" t="s">
        <v>709</v>
      </c>
      <c r="BT1378" s="929" t="s">
        <v>745</v>
      </c>
      <c r="BU1378" s="929" t="s">
        <v>745</v>
      </c>
      <c r="BV1378" s="929" t="s">
        <v>745</v>
      </c>
      <c r="BW1378" s="929" t="s">
        <v>745</v>
      </c>
      <c r="BX1378" s="929" t="s">
        <v>745</v>
      </c>
      <c r="BY1378" s="929" t="s">
        <v>745</v>
      </c>
      <c r="BZ1378" s="929">
        <v>1</v>
      </c>
      <c r="CA1378" s="917" t="s">
        <v>8208</v>
      </c>
      <c r="CB1378" s="547">
        <v>1377</v>
      </c>
      <c r="CC1378" s="1481" t="b">
        <v>0</v>
      </c>
      <c r="CD1378" s="879" t="str">
        <f>Table15[[#This Row],[Engineering Number]]&amp;Table15[[#This Row],[WO Number]]&amp;Table15[[#This Row],[Date Assigned to Designer]]&amp;Table15[[#This Row],[Date Completed]]</f>
        <v>COR106513149064564945730</v>
      </c>
    </row>
    <row r="1379" spans="1:82" ht="15" customHeight="1" x14ac:dyDescent="0.25">
      <c r="A1379">
        <v>2024</v>
      </c>
      <c r="B1379" s="878" t="s">
        <v>769</v>
      </c>
      <c r="C1379" s="878" t="s">
        <v>1648</v>
      </c>
      <c r="D1379" s="878">
        <v>1012908</v>
      </c>
      <c r="E1379" s="878" t="s">
        <v>1650</v>
      </c>
      <c r="F1379" s="878" t="s">
        <v>6643</v>
      </c>
      <c r="G1379" s="878" t="s">
        <v>37</v>
      </c>
      <c r="H1379" s="878" t="s">
        <v>3178</v>
      </c>
      <c r="I1379" s="883">
        <v>45581</v>
      </c>
      <c r="J1379" s="918" t="s">
        <v>2052</v>
      </c>
      <c r="K1379" s="945">
        <v>45730</v>
      </c>
      <c r="L1379" s="919">
        <f>IF(ISTEXT(Table15[[#This Row],[Engineering Approved Design Date]]),Table15[[#This Row],[Date Completed]]-Table15[[#This Row],[Date Assigned to Designer]],Table15[[#This Row],[Engineering Approved Design Date]]-Table15[[#This Row],[Date Completed]])</f>
        <v>149</v>
      </c>
      <c r="M1379" s="879" t="s">
        <v>8464</v>
      </c>
      <c r="N1379" s="99" t="s">
        <v>120</v>
      </c>
      <c r="O1379" s="886">
        <v>45717</v>
      </c>
      <c r="P1379" s="1153" t="s">
        <v>120</v>
      </c>
      <c r="Q1379" s="1303">
        <f>Table15[[#This Row],[KH Hourly Effort]]+Table15[[#This Row],[Shactee Effort]]</f>
        <v>16217.5</v>
      </c>
      <c r="R1379" s="920" t="s">
        <v>1922</v>
      </c>
      <c r="S1379" s="888">
        <v>0</v>
      </c>
      <c r="T1379" s="888">
        <v>0</v>
      </c>
      <c r="U1379" s="889">
        <v>16217.5</v>
      </c>
      <c r="V1379" s="1630" t="s">
        <v>29</v>
      </c>
      <c r="W1379" s="1021" t="s">
        <v>29</v>
      </c>
      <c r="X1379" s="888" t="s">
        <v>29</v>
      </c>
      <c r="Y1379" s="888"/>
      <c r="Z1379" s="888" t="s">
        <v>29</v>
      </c>
      <c r="AA1379" s="888" t="s">
        <v>29</v>
      </c>
      <c r="AB1379" s="893" t="s">
        <v>29</v>
      </c>
      <c r="AC1379" s="894" t="s">
        <v>29</v>
      </c>
      <c r="AD1379" s="1164" t="s">
        <v>376</v>
      </c>
      <c r="AE1379" s="894" t="s">
        <v>756</v>
      </c>
      <c r="AF1379" s="895" t="s">
        <v>376</v>
      </c>
      <c r="AG1379" s="896" t="s">
        <v>116</v>
      </c>
      <c r="AH1379" s="985">
        <v>45770</v>
      </c>
      <c r="AI1379" s="898" t="s">
        <v>29</v>
      </c>
      <c r="AJ1379" s="899" t="s">
        <v>29</v>
      </c>
      <c r="AK1379" s="899" t="s">
        <v>29</v>
      </c>
      <c r="AL1379" s="901" t="s">
        <v>29</v>
      </c>
      <c r="AM1379" s="542" t="s">
        <v>709</v>
      </c>
      <c r="AN1379" s="924"/>
      <c r="AO1379" s="925"/>
      <c r="AP1379" s="926"/>
      <c r="AQ1379" s="926"/>
      <c r="AR1379" s="926"/>
      <c r="AS1379" s="926"/>
      <c r="AT1379" s="926"/>
      <c r="AU1379" s="926"/>
      <c r="AV1379" s="926"/>
      <c r="AW1379" s="927"/>
      <c r="AX1379" s="926"/>
      <c r="AY1379" s="1538" t="s">
        <v>29</v>
      </c>
      <c r="AZ1379" s="1530"/>
      <c r="BA1379" s="910">
        <v>3</v>
      </c>
      <c r="BB1379" s="1000" t="s">
        <v>8540</v>
      </c>
      <c r="BC1379" s="915" t="s">
        <v>709</v>
      </c>
      <c r="BD1379" s="915" t="s">
        <v>6046</v>
      </c>
      <c r="BE1379" s="912" t="s">
        <v>3609</v>
      </c>
      <c r="BF1379" s="913" t="s">
        <v>709</v>
      </c>
      <c r="BG1379" s="1001" t="s">
        <v>709</v>
      </c>
      <c r="BH1379" s="1023" t="s">
        <v>8541</v>
      </c>
      <c r="BI1379" s="916" t="s">
        <v>709</v>
      </c>
      <c r="BJ1379" s="916" t="s">
        <v>709</v>
      </c>
      <c r="BK1379" s="916" t="s">
        <v>116</v>
      </c>
      <c r="BL1379" s="916" t="s">
        <v>116</v>
      </c>
      <c r="BM1379" s="916" t="s">
        <v>709</v>
      </c>
      <c r="BN1379" s="916" t="s">
        <v>709</v>
      </c>
      <c r="BO1379" s="916" t="s">
        <v>709</v>
      </c>
      <c r="BP1379" s="916">
        <v>125</v>
      </c>
      <c r="BQ1379" s="916">
        <v>1883</v>
      </c>
      <c r="BR1379" s="916">
        <v>164</v>
      </c>
      <c r="BS1379" s="916">
        <v>45</v>
      </c>
      <c r="BT1379" s="916">
        <v>1</v>
      </c>
      <c r="BU1379" s="916" t="s">
        <v>709</v>
      </c>
      <c r="BV1379" s="916" t="s">
        <v>709</v>
      </c>
      <c r="BW1379" s="916">
        <v>1</v>
      </c>
      <c r="BX1379" s="916" t="s">
        <v>709</v>
      </c>
      <c r="BY1379" s="916" t="s">
        <v>709</v>
      </c>
      <c r="BZ1379" s="916" t="s">
        <v>709</v>
      </c>
      <c r="CA1379" s="917" t="s">
        <v>769</v>
      </c>
      <c r="CB1379" s="547">
        <v>1375</v>
      </c>
      <c r="CC1379" s="1481" t="b">
        <v>0</v>
      </c>
      <c r="CD1379" s="879" t="str">
        <f>Table15[[#This Row],[Engineering Number]]&amp;Table15[[#This Row],[WO Number]]&amp;Table15[[#This Row],[Date Assigned to Designer]]&amp;Table15[[#This Row],[Date Completed]]</f>
        <v>RS118010129084558145730</v>
      </c>
    </row>
    <row r="1380" spans="1:82" ht="15" customHeight="1" x14ac:dyDescent="0.25">
      <c r="A1380">
        <v>2024</v>
      </c>
      <c r="B1380" s="878" t="s">
        <v>1073</v>
      </c>
      <c r="C1380" s="878" t="s">
        <v>6817</v>
      </c>
      <c r="D1380" s="878">
        <v>1614145</v>
      </c>
      <c r="E1380" s="878" t="s">
        <v>3259</v>
      </c>
      <c r="F1380" s="878" t="s">
        <v>851</v>
      </c>
      <c r="G1380" s="878" t="s">
        <v>31</v>
      </c>
      <c r="H1380" s="878" t="s">
        <v>4450</v>
      </c>
      <c r="I1380" s="883">
        <v>45608</v>
      </c>
      <c r="J1380" s="918" t="s">
        <v>2612</v>
      </c>
      <c r="K1380" s="945">
        <v>45730</v>
      </c>
      <c r="L1380" s="919">
        <f>IF(ISTEXT(Table15[[#This Row],[Engineering Approved Design Date]]),Table15[[#This Row],[Date Completed]]-Table15[[#This Row],[Date Assigned to Designer]],Table15[[#This Row],[Engineering Approved Design Date]]-Table15[[#This Row],[Date Completed]])</f>
        <v>122</v>
      </c>
      <c r="M1380" s="879" t="s">
        <v>8542</v>
      </c>
      <c r="N1380" s="99" t="s">
        <v>120</v>
      </c>
      <c r="O1380" s="886">
        <v>45748</v>
      </c>
      <c r="P1380" s="1153" t="s">
        <v>739</v>
      </c>
      <c r="Q1380" s="1303">
        <f>SUM(Table15[[#This Row],[Shactee Effort]:[KH Hourly Effort]])</f>
        <v>78127.5</v>
      </c>
      <c r="R1380" s="920" t="s">
        <v>1922</v>
      </c>
      <c r="S1380" s="888">
        <v>0</v>
      </c>
      <c r="T1380" s="888">
        <v>0</v>
      </c>
      <c r="U1380" s="934">
        <v>78127.5</v>
      </c>
      <c r="V1380" s="1630" t="s">
        <v>29</v>
      </c>
      <c r="W1380" s="1021" t="s">
        <v>29</v>
      </c>
      <c r="X1380" s="888" t="s">
        <v>29</v>
      </c>
      <c r="Y1380" s="935"/>
      <c r="Z1380" s="888" t="s">
        <v>29</v>
      </c>
      <c r="AA1380" s="892" t="s">
        <v>29</v>
      </c>
      <c r="AB1380" s="893" t="s">
        <v>29</v>
      </c>
      <c r="AC1380" s="896" t="s">
        <v>29</v>
      </c>
      <c r="AD1380" s="1155" t="s">
        <v>29</v>
      </c>
      <c r="AE1380" s="894" t="s">
        <v>756</v>
      </c>
      <c r="AF1380" s="894" t="s">
        <v>29</v>
      </c>
      <c r="AG1380" s="896" t="s">
        <v>29</v>
      </c>
      <c r="AH1380" s="897" t="s">
        <v>29</v>
      </c>
      <c r="AI1380" s="969" t="s">
        <v>29</v>
      </c>
      <c r="AJ1380" s="970" t="s">
        <v>29</v>
      </c>
      <c r="AK1380" s="970" t="s">
        <v>29</v>
      </c>
      <c r="AL1380" s="971" t="s">
        <v>29</v>
      </c>
      <c r="AM1380" s="542" t="s">
        <v>709</v>
      </c>
      <c r="AN1380" s="924"/>
      <c r="AO1380" s="925"/>
      <c r="AP1380" s="926"/>
      <c r="AQ1380" s="926"/>
      <c r="AR1380" s="926"/>
      <c r="AS1380" s="926"/>
      <c r="AT1380" s="926"/>
      <c r="AU1380" s="926"/>
      <c r="AV1380" s="926"/>
      <c r="AW1380" s="927"/>
      <c r="AX1380" s="926"/>
      <c r="AY1380" s="1538" t="s">
        <v>29</v>
      </c>
      <c r="AZ1380" s="1530"/>
      <c r="BA1380" s="910" t="s">
        <v>8543</v>
      </c>
      <c r="BB1380" s="928" t="s">
        <v>29</v>
      </c>
      <c r="BC1380" s="915" t="s">
        <v>992</v>
      </c>
      <c r="BD1380" s="915" t="s">
        <v>1790</v>
      </c>
      <c r="BE1380" s="1002" t="s">
        <v>3262</v>
      </c>
      <c r="BF1380" s="915" t="s">
        <v>29</v>
      </c>
      <c r="BG1380" s="915" t="s">
        <v>29</v>
      </c>
      <c r="BH1380" s="1023" t="s">
        <v>8544</v>
      </c>
      <c r="BI1380" s="980"/>
      <c r="BJ1380" s="980"/>
      <c r="BK1380" s="980"/>
      <c r="BL1380" s="980"/>
      <c r="BM1380" s="980"/>
      <c r="BN1380" s="980"/>
      <c r="BO1380" s="980"/>
      <c r="BP1380" s="980"/>
      <c r="BQ1380" s="980"/>
      <c r="BR1380" s="980"/>
      <c r="BS1380" s="980"/>
      <c r="BT1380" s="980"/>
      <c r="BU1380" s="980"/>
      <c r="BV1380" s="980"/>
      <c r="BW1380" s="980"/>
      <c r="BX1380" s="980"/>
      <c r="BY1380" s="980"/>
      <c r="BZ1380" s="980"/>
      <c r="CA1380" s="984"/>
      <c r="CB1380" s="547">
        <v>1378</v>
      </c>
      <c r="CC1380" s="1481" t="b">
        <v>0</v>
      </c>
      <c r="CD1380" s="879" t="str">
        <f>Table15[[#This Row],[Engineering Number]]&amp;Table15[[#This Row],[WO Number]]&amp;Table15[[#This Row],[Date Assigned to Designer]]&amp;Table15[[#This Row],[Date Completed]]</f>
        <v>NBA1001503916141454560845730</v>
      </c>
    </row>
    <row r="1381" spans="1:82" ht="15" customHeight="1" x14ac:dyDescent="0.25">
      <c r="A1381">
        <v>2025</v>
      </c>
      <c r="B1381" s="878" t="s">
        <v>4</v>
      </c>
      <c r="C1381" s="878" t="s">
        <v>8169</v>
      </c>
      <c r="D1381" s="878" t="s">
        <v>8545</v>
      </c>
      <c r="E1381" s="878" t="s">
        <v>1200</v>
      </c>
      <c r="F1381" s="878" t="s">
        <v>784</v>
      </c>
      <c r="G1381" s="878" t="s">
        <v>6377</v>
      </c>
      <c r="H1381" s="878" t="s">
        <v>3178</v>
      </c>
      <c r="I1381" s="883">
        <v>45719</v>
      </c>
      <c r="J1381" s="918" t="s">
        <v>2052</v>
      </c>
      <c r="K1381" s="945">
        <v>45735</v>
      </c>
      <c r="L1381" s="919">
        <f>IF(ISTEXT(Table15[[#This Row],[Engineering Approved Design Date]]),Table15[[#This Row],[Date Completed]]-Table15[[#This Row],[Date Assigned to Designer]],Table15[[#This Row],[Engineering Approved Design Date]]-Table15[[#This Row],[Date Completed]])</f>
        <v>16</v>
      </c>
      <c r="M1381" s="1012" t="s">
        <v>8546</v>
      </c>
      <c r="N1381" s="99" t="s">
        <v>120</v>
      </c>
      <c r="O1381" s="886">
        <v>45772</v>
      </c>
      <c r="P1381" s="1153" t="s">
        <v>739</v>
      </c>
      <c r="Q1381" s="1150">
        <f>SUM(Table15[[#This Row],[Shactee Effort]:[KH Hourly Effort]])</f>
        <v>11157.5</v>
      </c>
      <c r="R1381" s="920" t="s">
        <v>1922</v>
      </c>
      <c r="S1381" s="888">
        <v>0</v>
      </c>
      <c r="T1381" s="888">
        <v>0</v>
      </c>
      <c r="U1381" s="889">
        <v>11157.5</v>
      </c>
      <c r="V1381" s="1228" t="s">
        <v>29</v>
      </c>
      <c r="W1381" s="995" t="s">
        <v>29</v>
      </c>
      <c r="X1381" s="888" t="s">
        <v>29</v>
      </c>
      <c r="Y1381" s="888"/>
      <c r="Z1381" s="888" t="s">
        <v>29</v>
      </c>
      <c r="AA1381" s="888" t="s">
        <v>29</v>
      </c>
      <c r="AB1381" s="893" t="s">
        <v>29</v>
      </c>
      <c r="AC1381" s="896" t="s">
        <v>709</v>
      </c>
      <c r="AD1381" s="1155" t="s">
        <v>29</v>
      </c>
      <c r="AE1381" s="894" t="s">
        <v>756</v>
      </c>
      <c r="AF1381" s="896" t="s">
        <v>29</v>
      </c>
      <c r="AG1381" s="897" t="s">
        <v>29</v>
      </c>
      <c r="AH1381" s="902">
        <v>45770</v>
      </c>
      <c r="AI1381" s="921" t="s">
        <v>29</v>
      </c>
      <c r="AJ1381" s="922" t="s">
        <v>29</v>
      </c>
      <c r="AK1381" s="922" t="s">
        <v>29</v>
      </c>
      <c r="AL1381" s="923" t="s">
        <v>29</v>
      </c>
      <c r="AM1381" s="542" t="s">
        <v>709</v>
      </c>
      <c r="AN1381" s="924"/>
      <c r="AO1381" s="925"/>
      <c r="AP1381" s="926"/>
      <c r="AQ1381" s="926"/>
      <c r="AR1381" s="926"/>
      <c r="AS1381" s="926"/>
      <c r="AT1381" s="926"/>
      <c r="AU1381" s="926"/>
      <c r="AV1381" s="926"/>
      <c r="AW1381" s="927"/>
      <c r="AX1381" s="926"/>
      <c r="AY1381" s="1538" t="s">
        <v>29</v>
      </c>
      <c r="AZ1381" s="1530"/>
      <c r="BA1381" s="910" t="s">
        <v>4919</v>
      </c>
      <c r="BB1381" s="930" t="s">
        <v>8547</v>
      </c>
      <c r="BC1381" s="915" t="s">
        <v>745</v>
      </c>
      <c r="BD1381" s="915" t="s">
        <v>709</v>
      </c>
      <c r="BE1381" s="1002" t="s">
        <v>1203</v>
      </c>
      <c r="BF1381" s="915" t="s">
        <v>709</v>
      </c>
      <c r="BG1381" s="915" t="s">
        <v>709</v>
      </c>
      <c r="BH1381" s="1023" t="s">
        <v>8548</v>
      </c>
      <c r="BI1381" s="929" t="s">
        <v>745</v>
      </c>
      <c r="BJ1381" s="929" t="s">
        <v>745</v>
      </c>
      <c r="BK1381" s="929" t="s">
        <v>745</v>
      </c>
      <c r="BL1381" s="916" t="s">
        <v>116</v>
      </c>
      <c r="BM1381" s="916" t="s">
        <v>745</v>
      </c>
      <c r="BN1381" s="929" t="s">
        <v>745</v>
      </c>
      <c r="BO1381" s="916" t="s">
        <v>745</v>
      </c>
      <c r="BP1381" s="929" t="s">
        <v>745</v>
      </c>
      <c r="BQ1381" s="929" t="s">
        <v>745</v>
      </c>
      <c r="BR1381" s="929">
        <v>3217</v>
      </c>
      <c r="BS1381" s="916">
        <v>1180</v>
      </c>
      <c r="BT1381" s="929" t="s">
        <v>745</v>
      </c>
      <c r="BU1381" s="916" t="s">
        <v>745</v>
      </c>
      <c r="BV1381" s="929" t="s">
        <v>745</v>
      </c>
      <c r="BW1381" s="916" t="s">
        <v>745</v>
      </c>
      <c r="BX1381" s="929" t="s">
        <v>745</v>
      </c>
      <c r="BY1381" s="916" t="s">
        <v>745</v>
      </c>
      <c r="BZ1381" s="916" t="s">
        <v>709</v>
      </c>
      <c r="CA1381" s="917" t="s">
        <v>8549</v>
      </c>
      <c r="CB1381" s="547">
        <v>1379</v>
      </c>
      <c r="CC1381" s="1481" t="b">
        <v>0</v>
      </c>
      <c r="CD1381" s="879" t="str">
        <f>Table15[[#This Row],[Engineering Number]]&amp;Table15[[#This Row],[WO Number]]&amp;Table15[[#This Row],[Date Assigned to Designer]]&amp;Table15[[#This Row],[Date Completed]]</f>
        <v>M161771214679/12147414571945735</v>
      </c>
    </row>
    <row r="1382" spans="1:82" ht="15" customHeight="1" x14ac:dyDescent="0.25">
      <c r="A1382">
        <v>2025</v>
      </c>
      <c r="B1382" s="878" t="s">
        <v>4</v>
      </c>
      <c r="C1382" s="879" t="s">
        <v>8550</v>
      </c>
      <c r="D1382" s="880" t="s">
        <v>8551</v>
      </c>
      <c r="E1382" s="879" t="s">
        <v>1164</v>
      </c>
      <c r="F1382" s="878" t="s">
        <v>851</v>
      </c>
      <c r="G1382" s="878" t="s">
        <v>26</v>
      </c>
      <c r="H1382" s="878" t="s">
        <v>59</v>
      </c>
      <c r="I1382" s="881">
        <v>45453</v>
      </c>
      <c r="J1382" s="882">
        <v>45747</v>
      </c>
      <c r="K1382" s="945">
        <v>45735</v>
      </c>
      <c r="L1382" s="919">
        <f>IF(ISTEXT(Table15[[#This Row],[Engineering Approved Design Date]]),Table15[[#This Row],[Date Completed]]-Table15[[#This Row],[Date Assigned to Designer]],Table15[[#This Row],[Engineering Approved Design Date]]-Table15[[#This Row],[Date Completed]])</f>
        <v>12</v>
      </c>
      <c r="N1382" s="99" t="s">
        <v>120</v>
      </c>
      <c r="O1382" s="886">
        <v>45772</v>
      </c>
      <c r="P1382" s="1153" t="s">
        <v>739</v>
      </c>
      <c r="Q1382" s="1150">
        <f>Table15[[#This Row],[Rate]]*Table15[[#This Row],[Construction Cost to Bill From]]</f>
        <v>107324.00800000002</v>
      </c>
      <c r="R1382" s="887">
        <v>0.1</v>
      </c>
      <c r="S1382" s="888" t="s">
        <v>29</v>
      </c>
      <c r="T1382" s="888" t="s">
        <v>29</v>
      </c>
      <c r="U1382" s="934" t="s">
        <v>29</v>
      </c>
      <c r="V1382" s="1630">
        <v>4150</v>
      </c>
      <c r="W1382" s="1021" t="s">
        <v>29</v>
      </c>
      <c r="X1382" s="888">
        <v>948402.11</v>
      </c>
      <c r="Y1382" s="891"/>
      <c r="Z1382" s="888">
        <v>124837.97</v>
      </c>
      <c r="AA1382" s="892">
        <f>SUM(Table15[[#This Row],[PCTS Investment Amount]:[PCTS Retirement Amount]])</f>
        <v>1073240.08</v>
      </c>
      <c r="AB1382" s="893">
        <v>45736</v>
      </c>
      <c r="AC1382" s="894" t="s">
        <v>709</v>
      </c>
      <c r="AD1382" s="1160" t="s">
        <v>29</v>
      </c>
      <c r="AE1382" s="894" t="s">
        <v>116</v>
      </c>
      <c r="AF1382" s="895" t="s">
        <v>756</v>
      </c>
      <c r="AG1382" s="896" t="s">
        <v>116</v>
      </c>
      <c r="AH1382" s="897">
        <v>45770</v>
      </c>
      <c r="AI1382" s="898">
        <v>0</v>
      </c>
      <c r="AJ1382" s="899">
        <v>7330</v>
      </c>
      <c r="AK1382" s="960">
        <v>11525.5</v>
      </c>
      <c r="AL1382" s="901">
        <f>SUM(Table15[[#This Row],[Nicor Initiated DBE]:[Staffing]])/(Table15[[#This Row],[Amount Invoiced]])</f>
        <v>0.17568762433844248</v>
      </c>
      <c r="AM1382" s="536" t="s">
        <v>116</v>
      </c>
      <c r="AN1382" s="903" t="s">
        <v>709</v>
      </c>
      <c r="AO1382" s="1536"/>
      <c r="AP1382" s="1537"/>
      <c r="AQ1382" s="1537"/>
      <c r="AR1382" s="1537"/>
      <c r="AS1382" s="888">
        <f>IF(Table15[[#This Row],[PCTS Approved]]="N",0,Table15[[#This Row],[Investment Amount (1'#'#'#'#'#)]]+Table15[[#This Row],[Retirement Amount (3'#'#'#'#'#)]])</f>
        <v>0</v>
      </c>
      <c r="AT1382" s="888">
        <f>IF(Table15[[#This Row],[Approved Construction Cost]]=0,0,Table15[[#This Row],[Approved Construction Cost]]-Table15[[#This Row],[Construction Cost to Bill From]])</f>
        <v>0</v>
      </c>
      <c r="AU1382" s="888">
        <f>IFERROR(Table15[[#This Row],[Difference in Construction Cost]]*Table15[[#This Row],[Rate]],Table15[[#This Row],[Difference in Construction Cost]]*0.085)</f>
        <v>0</v>
      </c>
      <c r="AV1382" s="905"/>
      <c r="AW1382" s="1509"/>
      <c r="AX1382" s="888"/>
      <c r="AY1382" s="636" t="s">
        <v>709</v>
      </c>
      <c r="AZ1382" s="333"/>
      <c r="BA1382" s="954" t="s">
        <v>8552</v>
      </c>
      <c r="BB1382" s="911" t="s">
        <v>870</v>
      </c>
      <c r="BC1382" s="912" t="s">
        <v>116</v>
      </c>
      <c r="BD1382" s="913" t="s">
        <v>709</v>
      </c>
      <c r="BE1382" s="914" t="s">
        <v>709</v>
      </c>
      <c r="BF1382" s="914" t="s">
        <v>1168</v>
      </c>
      <c r="BG1382" s="915" t="s">
        <v>709</v>
      </c>
      <c r="BH1382" s="1023" t="s">
        <v>8553</v>
      </c>
      <c r="BI1382" s="929" t="s">
        <v>745</v>
      </c>
      <c r="BJ1382" s="929" t="s">
        <v>745</v>
      </c>
      <c r="BK1382" s="929" t="s">
        <v>745</v>
      </c>
      <c r="BL1382" s="916" t="s">
        <v>116</v>
      </c>
      <c r="BM1382" s="929" t="s">
        <v>745</v>
      </c>
      <c r="BN1382" s="929" t="s">
        <v>745</v>
      </c>
      <c r="BO1382" s="929" t="s">
        <v>745</v>
      </c>
      <c r="BP1382" s="929" t="s">
        <v>745</v>
      </c>
      <c r="BQ1382" s="929" t="s">
        <v>745</v>
      </c>
      <c r="BR1382" s="916">
        <v>3652</v>
      </c>
      <c r="BS1382" s="916">
        <v>498</v>
      </c>
      <c r="BT1382" s="916" t="s">
        <v>745</v>
      </c>
      <c r="BU1382" s="916" t="s">
        <v>745</v>
      </c>
      <c r="BV1382" s="916" t="s">
        <v>745</v>
      </c>
      <c r="BW1382" s="916" t="s">
        <v>745</v>
      </c>
      <c r="BX1382" s="916" t="s">
        <v>745</v>
      </c>
      <c r="BY1382" s="916" t="s">
        <v>745</v>
      </c>
      <c r="BZ1382" s="916" t="s">
        <v>709</v>
      </c>
      <c r="CA1382" s="917"/>
      <c r="CB1382" s="547">
        <v>1380</v>
      </c>
      <c r="CC1382" s="1481" t="b">
        <v>0</v>
      </c>
      <c r="CD1382" s="879" t="str">
        <f>Table15[[#This Row],[Engineering Number]]&amp;Table15[[#This Row],[WO Number]]&amp;Table15[[#This Row],[Date Assigned to Designer]]&amp;Table15[[#This Row],[Date Completed]]</f>
        <v>SC2463113145404545345735</v>
      </c>
    </row>
    <row r="1383" spans="1:82" ht="15" customHeight="1" x14ac:dyDescent="0.25">
      <c r="A1383">
        <v>2025</v>
      </c>
      <c r="B1383" s="874" t="s">
        <v>1981</v>
      </c>
      <c r="C1383" s="874" t="s">
        <v>8554</v>
      </c>
      <c r="D1383" s="874" t="s">
        <v>8555</v>
      </c>
      <c r="E1383" s="874" t="s">
        <v>783</v>
      </c>
      <c r="F1383" s="874" t="s">
        <v>7735</v>
      </c>
      <c r="G1383" s="874" t="s">
        <v>8556</v>
      </c>
      <c r="H1383" s="874" t="s">
        <v>413</v>
      </c>
      <c r="I1383" s="881">
        <v>45674</v>
      </c>
      <c r="J1383" s="881">
        <v>45737</v>
      </c>
      <c r="K1383" s="945">
        <v>45736</v>
      </c>
      <c r="L1383" s="919">
        <f>IF(ISTEXT(Table15[[#This Row],[Engineering Approved Design Date]]),Table15[[#This Row],[Date Completed]]-Table15[[#This Row],[Date Assigned to Designer]],Table15[[#This Row],[Engineering Approved Design Date]]-Table15[[#This Row],[Date Completed]])</f>
        <v>1</v>
      </c>
      <c r="M1383" s="946"/>
      <c r="N1383" s="99" t="s">
        <v>120</v>
      </c>
      <c r="O1383" s="886">
        <v>45748</v>
      </c>
      <c r="P1383" s="1154" t="s">
        <v>739</v>
      </c>
      <c r="Q1383" s="1150">
        <f>Table15[[#This Row],[Shactee Effort]]+Table15[[#This Row],[3rd Party Effort]]+Table15[[#This Row],[KH Hourly Effort]]</f>
        <v>17012.64</v>
      </c>
      <c r="R1383" s="920" t="s">
        <v>1922</v>
      </c>
      <c r="S1383" s="888">
        <v>540.14</v>
      </c>
      <c r="T1383" s="888">
        <v>0</v>
      </c>
      <c r="U1383" s="889">
        <v>16472.5</v>
      </c>
      <c r="V1383" s="1630">
        <v>46</v>
      </c>
      <c r="W1383" s="1021">
        <v>1</v>
      </c>
      <c r="X1383" s="888">
        <v>157302.96</v>
      </c>
      <c r="Y1383" s="888"/>
      <c r="Z1383" s="888">
        <v>31299.22</v>
      </c>
      <c r="AA1383" s="888">
        <f>SUM(Table15[[#This Row],[PCTS Investment Amount]:[PCTS Retirement Amount]])</f>
        <v>188602.18</v>
      </c>
      <c r="AB1383" s="997">
        <v>45740</v>
      </c>
      <c r="AC1383" s="998" t="s">
        <v>709</v>
      </c>
      <c r="AD1383" s="1165" t="s">
        <v>29</v>
      </c>
      <c r="AE1383" s="894" t="s">
        <v>116</v>
      </c>
      <c r="AF1383" s="896" t="s">
        <v>29</v>
      </c>
      <c r="AG1383" s="996" t="s">
        <v>376</v>
      </c>
      <c r="AH1383" s="902" t="s">
        <v>376</v>
      </c>
      <c r="AI1383" s="898"/>
      <c r="AJ1383" s="899">
        <v>540.14</v>
      </c>
      <c r="AK1383" s="899"/>
      <c r="AL1383" s="964">
        <f>SUM(Table15[[#This Row],[Nicor Initiated DBE]:[Staffing]])/(Table15[[#This Row],[Amount Invoiced]])</f>
        <v>3.1749334612382323E-2</v>
      </c>
      <c r="AM1383" s="542" t="s">
        <v>709</v>
      </c>
      <c r="AN1383" s="924"/>
      <c r="AO1383" s="925"/>
      <c r="AP1383" s="926"/>
      <c r="AQ1383" s="926"/>
      <c r="AR1383" s="926"/>
      <c r="AS1383" s="926"/>
      <c r="AT1383" s="926"/>
      <c r="AU1383" s="926"/>
      <c r="AV1383" s="926"/>
      <c r="AW1383" s="927"/>
      <c r="AX1383" s="926"/>
      <c r="AY1383" s="1538" t="s">
        <v>29</v>
      </c>
      <c r="AZ1383" s="1530"/>
      <c r="BA1383" s="910" t="s">
        <v>8557</v>
      </c>
      <c r="BB1383" s="949" t="s">
        <v>8558</v>
      </c>
      <c r="BC1383" s="950" t="s">
        <v>116</v>
      </c>
      <c r="BD1383" s="951" t="s">
        <v>709</v>
      </c>
      <c r="BE1383" s="952" t="s">
        <v>709</v>
      </c>
      <c r="BF1383" s="952" t="s">
        <v>709</v>
      </c>
      <c r="BG1383" s="953" t="s">
        <v>709</v>
      </c>
      <c r="BH1383" s="1023" t="s">
        <v>8559</v>
      </c>
      <c r="BI1383" s="993" t="s">
        <v>709</v>
      </c>
      <c r="BJ1383" s="993" t="s">
        <v>709</v>
      </c>
      <c r="BK1383" s="993" t="s">
        <v>709</v>
      </c>
      <c r="BL1383" s="993" t="s">
        <v>116</v>
      </c>
      <c r="BM1383" s="993" t="s">
        <v>709</v>
      </c>
      <c r="BN1383" s="993" t="s">
        <v>709</v>
      </c>
      <c r="BO1383" s="993" t="s">
        <v>709</v>
      </c>
      <c r="BP1383" s="993" t="s">
        <v>709</v>
      </c>
      <c r="BQ1383" s="993" t="s">
        <v>709</v>
      </c>
      <c r="BR1383" s="993">
        <v>46</v>
      </c>
      <c r="BS1383" s="993" t="s">
        <v>709</v>
      </c>
      <c r="BT1383" s="993" t="s">
        <v>709</v>
      </c>
      <c r="BU1383" s="993" t="s">
        <v>709</v>
      </c>
      <c r="BV1383" s="993" t="s">
        <v>709</v>
      </c>
      <c r="BW1383" s="993" t="s">
        <v>709</v>
      </c>
      <c r="BX1383" s="993" t="s">
        <v>709</v>
      </c>
      <c r="BY1383" s="993" t="s">
        <v>709</v>
      </c>
      <c r="BZ1383" s="916">
        <v>1</v>
      </c>
      <c r="CA1383" s="917" t="s">
        <v>8314</v>
      </c>
      <c r="CB1383" s="547">
        <v>1381</v>
      </c>
      <c r="CC1383" s="1481" t="b">
        <v>0</v>
      </c>
      <c r="CD1383" s="879" t="str">
        <f>Table15[[#This Row],[Engineering Number]]&amp;Table15[[#This Row],[WO Number]]&amp;Table15[[#This Row],[Date Assigned to Designer]]&amp;Table15[[#This Row],[Date Completed]]</f>
        <v>COR108613149104567445736</v>
      </c>
    </row>
    <row r="1384" spans="1:82" ht="15" customHeight="1" x14ac:dyDescent="0.25">
      <c r="A1384">
        <v>2025</v>
      </c>
      <c r="B1384" s="874" t="s">
        <v>1981</v>
      </c>
      <c r="C1384" s="874" t="s">
        <v>8560</v>
      </c>
      <c r="D1384" s="874" t="s">
        <v>8561</v>
      </c>
      <c r="E1384" s="874" t="s">
        <v>300</v>
      </c>
      <c r="F1384" s="874" t="s">
        <v>7735</v>
      </c>
      <c r="G1384" s="874" t="s">
        <v>8556</v>
      </c>
      <c r="H1384" s="874" t="s">
        <v>413</v>
      </c>
      <c r="I1384" s="881">
        <v>45674</v>
      </c>
      <c r="J1384" s="881">
        <v>45737</v>
      </c>
      <c r="K1384" s="945">
        <v>45737</v>
      </c>
      <c r="L1384" s="919">
        <f>IF(ISTEXT(Table15[[#This Row],[Engineering Approved Design Date]]),Table15[[#This Row],[Date Completed]]-Table15[[#This Row],[Date Assigned to Designer]],Table15[[#This Row],[Engineering Approved Design Date]]-Table15[[#This Row],[Date Completed]])</f>
        <v>0</v>
      </c>
      <c r="M1384" s="946"/>
      <c r="N1384" s="99" t="s">
        <v>120</v>
      </c>
      <c r="O1384" s="886">
        <v>45748</v>
      </c>
      <c r="P1384" s="1154" t="s">
        <v>739</v>
      </c>
      <c r="Q1384" s="1150">
        <f>Table15[[#This Row],[Shactee Effort]]+Table15[[#This Row],[3rd Party Effort]]+Table15[[#This Row],[KH Hourly Effort]]</f>
        <v>15045.67</v>
      </c>
      <c r="R1384" s="920" t="s">
        <v>1922</v>
      </c>
      <c r="S1384" s="888">
        <f>16976.34/2</f>
        <v>8488.17</v>
      </c>
      <c r="T1384" s="888">
        <v>0</v>
      </c>
      <c r="U1384" s="888">
        <v>6557.5</v>
      </c>
      <c r="V1384" s="1630">
        <v>67</v>
      </c>
      <c r="W1384" s="1021">
        <v>2</v>
      </c>
      <c r="X1384" s="888">
        <v>170049.3</v>
      </c>
      <c r="Y1384" s="888"/>
      <c r="Z1384" s="888">
        <v>77333.23</v>
      </c>
      <c r="AA1384" s="888">
        <f>SUM(Table15[[#This Row],[PCTS Investment Amount]:[PCTS Retirement Amount]])</f>
        <v>247382.52999999997</v>
      </c>
      <c r="AB1384" s="997">
        <v>45740</v>
      </c>
      <c r="AC1384" s="998" t="s">
        <v>709</v>
      </c>
      <c r="AD1384" s="1165" t="s">
        <v>29</v>
      </c>
      <c r="AE1384" s="894" t="s">
        <v>116</v>
      </c>
      <c r="AF1384" s="896" t="s">
        <v>29</v>
      </c>
      <c r="AG1384" s="996" t="s">
        <v>376</v>
      </c>
      <c r="AH1384" s="902" t="s">
        <v>376</v>
      </c>
      <c r="AI1384" s="898"/>
      <c r="AJ1384" s="899">
        <v>4528.96</v>
      </c>
      <c r="AK1384" s="899">
        <v>12447.38</v>
      </c>
      <c r="AL1384" s="901">
        <f>SUM(Table15[[#This Row],[Nicor Initiated DBE]:[Staffing]])/(Table15[[#This Row],[Amount Invoiced]])</f>
        <v>1.1283206397588144</v>
      </c>
      <c r="AM1384" s="542" t="s">
        <v>709</v>
      </c>
      <c r="AN1384" s="924"/>
      <c r="AO1384" s="925"/>
      <c r="AP1384" s="926"/>
      <c r="AQ1384" s="926"/>
      <c r="AR1384" s="926"/>
      <c r="AS1384" s="926"/>
      <c r="AT1384" s="926"/>
      <c r="AU1384" s="926"/>
      <c r="AV1384" s="926"/>
      <c r="AW1384" s="927"/>
      <c r="AX1384" s="926"/>
      <c r="AY1384" s="1538" t="s">
        <v>29</v>
      </c>
      <c r="AZ1384" s="1530"/>
      <c r="BA1384" s="910" t="s">
        <v>8562</v>
      </c>
      <c r="BB1384" s="949" t="s">
        <v>8563</v>
      </c>
      <c r="BC1384" s="950" t="s">
        <v>709</v>
      </c>
      <c r="BD1384" s="951" t="s">
        <v>788</v>
      </c>
      <c r="BE1384" s="952" t="s">
        <v>8564</v>
      </c>
      <c r="BF1384" s="952" t="s">
        <v>709</v>
      </c>
      <c r="BG1384" s="953" t="s">
        <v>709</v>
      </c>
      <c r="BH1384" s="1023" t="s">
        <v>8565</v>
      </c>
      <c r="BI1384" s="993" t="s">
        <v>709</v>
      </c>
      <c r="BJ1384" s="993" t="s">
        <v>709</v>
      </c>
      <c r="BK1384" s="993" t="s">
        <v>709</v>
      </c>
      <c r="BL1384" s="993" t="s">
        <v>116</v>
      </c>
      <c r="BM1384" s="993" t="s">
        <v>709</v>
      </c>
      <c r="BN1384" s="993" t="s">
        <v>709</v>
      </c>
      <c r="BO1384" s="993" t="s">
        <v>709</v>
      </c>
      <c r="BP1384" s="993" t="s">
        <v>709</v>
      </c>
      <c r="BQ1384" s="993">
        <v>110</v>
      </c>
      <c r="BR1384" s="993">
        <v>47</v>
      </c>
      <c r="BS1384" s="993" t="s">
        <v>709</v>
      </c>
      <c r="BT1384" s="993" t="s">
        <v>709</v>
      </c>
      <c r="BU1384" s="993" t="s">
        <v>709</v>
      </c>
      <c r="BV1384" s="993" t="s">
        <v>709</v>
      </c>
      <c r="BW1384" s="993" t="s">
        <v>709</v>
      </c>
      <c r="BX1384" s="993" t="s">
        <v>709</v>
      </c>
      <c r="BY1384" s="993" t="s">
        <v>709</v>
      </c>
      <c r="BZ1384" s="916">
        <v>3</v>
      </c>
      <c r="CA1384" s="917" t="s">
        <v>8314</v>
      </c>
      <c r="CB1384" s="547">
        <v>1382</v>
      </c>
      <c r="CC1384" s="1481" t="b">
        <v>0</v>
      </c>
      <c r="CD1384" s="879" t="str">
        <f>Table15[[#This Row],[Engineering Number]]&amp;Table15[[#This Row],[WO Number]]&amp;Table15[[#This Row],[Date Assigned to Designer]]&amp;Table15[[#This Row],[Date Completed]]</f>
        <v>COR107713149094567445737</v>
      </c>
    </row>
    <row r="1385" spans="1:82" ht="15" customHeight="1" x14ac:dyDescent="0.25">
      <c r="A1385">
        <v>2025</v>
      </c>
      <c r="B1385" s="874" t="s">
        <v>1981</v>
      </c>
      <c r="C1385" s="874" t="s">
        <v>8566</v>
      </c>
      <c r="D1385" s="874" t="s">
        <v>8567</v>
      </c>
      <c r="E1385" s="874" t="s">
        <v>818</v>
      </c>
      <c r="F1385" s="874" t="s">
        <v>7735</v>
      </c>
      <c r="G1385" s="874" t="s">
        <v>8556</v>
      </c>
      <c r="H1385" s="874" t="s">
        <v>413</v>
      </c>
      <c r="I1385" s="881">
        <v>45674</v>
      </c>
      <c r="J1385" s="881">
        <v>45737</v>
      </c>
      <c r="K1385" s="945">
        <v>45737</v>
      </c>
      <c r="L1385" s="919">
        <f>IF(ISTEXT(Table15[[#This Row],[Engineering Approved Design Date]]),Table15[[#This Row],[Date Completed]]-Table15[[#This Row],[Date Assigned to Designer]],Table15[[#This Row],[Engineering Approved Design Date]]-Table15[[#This Row],[Date Completed]])</f>
        <v>0</v>
      </c>
      <c r="M1385" s="946"/>
      <c r="N1385" s="99" t="s">
        <v>120</v>
      </c>
      <c r="O1385" s="886">
        <v>45748</v>
      </c>
      <c r="P1385" s="1154" t="s">
        <v>739</v>
      </c>
      <c r="Q1385" s="1150">
        <f>Table15[[#This Row],[Shactee Effort]]+Table15[[#This Row],[3rd Party Effort]]+Table15[[#This Row],[KH Hourly Effort]]</f>
        <v>18253.169999999998</v>
      </c>
      <c r="R1385" s="920" t="s">
        <v>1922</v>
      </c>
      <c r="S1385" s="888">
        <f>16976.34/2</f>
        <v>8488.17</v>
      </c>
      <c r="T1385" s="888">
        <v>0</v>
      </c>
      <c r="U1385" s="888">
        <v>9765</v>
      </c>
      <c r="V1385" s="1630">
        <v>157</v>
      </c>
      <c r="W1385" s="1021">
        <v>3</v>
      </c>
      <c r="X1385" s="888">
        <v>309135.90000000002</v>
      </c>
      <c r="Y1385" s="888"/>
      <c r="Z1385" s="888">
        <v>116964.3</v>
      </c>
      <c r="AA1385" s="888">
        <f>SUM(Table15[[#This Row],[PCTS Investment Amount]:[PCTS Retirement Amount]])</f>
        <v>426100.2</v>
      </c>
      <c r="AB1385" s="997">
        <v>45740</v>
      </c>
      <c r="AC1385" s="998" t="s">
        <v>116</v>
      </c>
      <c r="AD1385" s="1165" t="s">
        <v>29</v>
      </c>
      <c r="AE1385" s="894" t="s">
        <v>116</v>
      </c>
      <c r="AF1385" s="896" t="s">
        <v>29</v>
      </c>
      <c r="AG1385" s="996" t="s">
        <v>376</v>
      </c>
      <c r="AH1385" s="902" t="s">
        <v>376</v>
      </c>
      <c r="AI1385" s="898"/>
      <c r="AJ1385" s="899"/>
      <c r="AK1385" s="899"/>
      <c r="AL1385" s="901">
        <f>SUM(Table15[[#This Row],[Nicor Initiated DBE]:[Staffing]])/(Table15[[#This Row],[Amount Invoiced]])</f>
        <v>0</v>
      </c>
      <c r="AM1385" s="542" t="s">
        <v>709</v>
      </c>
      <c r="AN1385" s="924"/>
      <c r="AO1385" s="925"/>
      <c r="AP1385" s="926"/>
      <c r="AQ1385" s="926"/>
      <c r="AR1385" s="926"/>
      <c r="AS1385" s="926"/>
      <c r="AT1385" s="926"/>
      <c r="AU1385" s="926"/>
      <c r="AV1385" s="926"/>
      <c r="AW1385" s="927"/>
      <c r="AX1385" s="926"/>
      <c r="AY1385" s="1538" t="s">
        <v>29</v>
      </c>
      <c r="AZ1385" s="1530"/>
      <c r="BA1385" s="910" t="s">
        <v>8562</v>
      </c>
      <c r="BB1385" s="949" t="s">
        <v>8568</v>
      </c>
      <c r="BC1385" s="950" t="s">
        <v>709</v>
      </c>
      <c r="BD1385" s="951" t="s">
        <v>788</v>
      </c>
      <c r="BE1385" s="952" t="s">
        <v>8569</v>
      </c>
      <c r="BF1385" s="952" t="s">
        <v>709</v>
      </c>
      <c r="BG1385" s="953" t="s">
        <v>709</v>
      </c>
      <c r="BH1385" s="1023" t="s">
        <v>8570</v>
      </c>
      <c r="BI1385" s="993" t="s">
        <v>709</v>
      </c>
      <c r="BJ1385" s="993" t="s">
        <v>709</v>
      </c>
      <c r="BK1385" s="993" t="s">
        <v>709</v>
      </c>
      <c r="BL1385" s="993" t="s">
        <v>116</v>
      </c>
      <c r="BM1385" s="993" t="s">
        <v>709</v>
      </c>
      <c r="BN1385" s="993" t="s">
        <v>709</v>
      </c>
      <c r="BO1385" s="993" t="s">
        <v>709</v>
      </c>
      <c r="BP1385" s="993" t="s">
        <v>709</v>
      </c>
      <c r="BQ1385" s="993" t="s">
        <v>709</v>
      </c>
      <c r="BR1385" s="993">
        <v>67</v>
      </c>
      <c r="BS1385" s="993" t="s">
        <v>709</v>
      </c>
      <c r="BT1385" s="993" t="s">
        <v>709</v>
      </c>
      <c r="BU1385" s="993" t="s">
        <v>709</v>
      </c>
      <c r="BV1385" s="993" t="s">
        <v>709</v>
      </c>
      <c r="BW1385" s="993" t="s">
        <v>709</v>
      </c>
      <c r="BX1385" s="993" t="s">
        <v>709</v>
      </c>
      <c r="BY1385" s="993" t="s">
        <v>709</v>
      </c>
      <c r="BZ1385" s="916">
        <v>2</v>
      </c>
      <c r="CA1385" s="917" t="s">
        <v>8314</v>
      </c>
      <c r="CB1385" s="547">
        <v>1383</v>
      </c>
      <c r="CC1385" s="1481" t="b">
        <v>0</v>
      </c>
      <c r="CD1385" s="879" t="str">
        <f>Table15[[#This Row],[Engineering Number]]&amp;Table15[[#This Row],[WO Number]]&amp;Table15[[#This Row],[Date Assigned to Designer]]&amp;Table15[[#This Row],[Date Completed]]</f>
        <v>COR1077-113150734567445737</v>
      </c>
    </row>
    <row r="1386" spans="1:82" ht="15" customHeight="1" x14ac:dyDescent="0.25">
      <c r="A1386">
        <v>2025</v>
      </c>
      <c r="B1386" s="878" t="s">
        <v>4</v>
      </c>
      <c r="C1386" s="879" t="s">
        <v>8571</v>
      </c>
      <c r="D1386" s="880" t="s">
        <v>8572</v>
      </c>
      <c r="E1386" s="879" t="s">
        <v>2298</v>
      </c>
      <c r="F1386" s="878" t="s">
        <v>1102</v>
      </c>
      <c r="G1386" s="878" t="s">
        <v>7455</v>
      </c>
      <c r="H1386" s="878" t="s">
        <v>59</v>
      </c>
      <c r="I1386" s="881">
        <v>45580</v>
      </c>
      <c r="J1386" s="882">
        <v>45751</v>
      </c>
      <c r="K1386" s="945">
        <v>45740</v>
      </c>
      <c r="L1386" s="884">
        <f>IF(ISTEXT(Table15[[#This Row],[Engineering Approved Design Date]]),Table15[[#This Row],[Date Completed]]-Table15[[#This Row],[Date Assigned to Designer]],Table15[[#This Row],[Engineering Approved Design Date]]-Table15[[#This Row],[Date Completed]])</f>
        <v>11</v>
      </c>
      <c r="N1386" s="99" t="s">
        <v>120</v>
      </c>
      <c r="O1386" s="886">
        <v>45772</v>
      </c>
      <c r="P1386" s="1153" t="s">
        <v>739</v>
      </c>
      <c r="Q1386" s="1150">
        <f>Table15[[#This Row],[Rate]]*Table15[[#This Row],[Construction Cost to Bill From]]</f>
        <v>140503.11300000001</v>
      </c>
      <c r="R1386" s="887">
        <v>0.1</v>
      </c>
      <c r="S1386" s="888" t="s">
        <v>29</v>
      </c>
      <c r="T1386" s="888" t="s">
        <v>29</v>
      </c>
      <c r="U1386" s="889" t="s">
        <v>29</v>
      </c>
      <c r="V1386" s="1630">
        <v>5964</v>
      </c>
      <c r="W1386" s="1021" t="s">
        <v>29</v>
      </c>
      <c r="X1386" s="888">
        <v>1297233.07</v>
      </c>
      <c r="Y1386" s="891"/>
      <c r="Z1386" s="888">
        <v>107798.06</v>
      </c>
      <c r="AA1386" s="892">
        <f>SUM(Table15[[#This Row],[PCTS Investment Amount]:[PCTS Retirement Amount]])</f>
        <v>1405031.1300000001</v>
      </c>
      <c r="AB1386" s="893">
        <v>45715</v>
      </c>
      <c r="AC1386" s="894" t="s">
        <v>709</v>
      </c>
      <c r="AD1386" s="1161" t="s">
        <v>29</v>
      </c>
      <c r="AE1386" s="940" t="s">
        <v>756</v>
      </c>
      <c r="AF1386" s="895" t="s">
        <v>756</v>
      </c>
      <c r="AG1386" s="896" t="s">
        <v>116</v>
      </c>
      <c r="AH1386" s="897">
        <v>45806</v>
      </c>
      <c r="AI1386" s="898">
        <v>0</v>
      </c>
      <c r="AJ1386" s="1003">
        <v>7198.72</v>
      </c>
      <c r="AK1386" s="899">
        <v>4107.3599999999997</v>
      </c>
      <c r="AL1386" s="901">
        <f>SUM(Table15[[#This Row],[Nicor Initiated DBE]:[Staffing]])/(Table15[[#This Row],[Amount Invoiced]])</f>
        <v>8.0468537376819541E-2</v>
      </c>
      <c r="AM1386" s="1522" t="s">
        <v>116</v>
      </c>
      <c r="AN1386" s="1523">
        <v>45763</v>
      </c>
      <c r="AO1386" s="1524">
        <v>11101548</v>
      </c>
      <c r="AP1386" s="1525">
        <v>1297233.07</v>
      </c>
      <c r="AQ1386" s="1525"/>
      <c r="AR1386" s="1525">
        <v>107798.06</v>
      </c>
      <c r="AS1386" s="1525">
        <f>IF(Table15[[#This Row],[PCTS Approved]]="N",0,Table15[[#This Row],[Investment Amount (1'#'#'#'#'#)]]+Table15[[#This Row],[Retirement Amount (3'#'#'#'#'#)]])</f>
        <v>1405031.1300000001</v>
      </c>
      <c r="AT1386" s="1525">
        <f>IF(Table15[[#This Row],[Approved Construction Cost]]=0,0,Table15[[#This Row],[Approved Construction Cost]]-Table15[[#This Row],[Construction Cost to Bill From]])</f>
        <v>0</v>
      </c>
      <c r="AU1386" s="1525">
        <f>Table15[[#This Row],[Difference in Construction Cost]]*Table15[[#This Row],[Rate]]</f>
        <v>0</v>
      </c>
      <c r="AV1386" s="1525">
        <v>0</v>
      </c>
      <c r="AW1386" s="1526" t="s">
        <v>29</v>
      </c>
      <c r="AX1386" s="1525">
        <f>Table15[[#This Row],[Revision Billed]]</f>
        <v>0</v>
      </c>
      <c r="AY1386" s="1518">
        <v>45901</v>
      </c>
      <c r="AZ1386" s="333"/>
      <c r="BA1386" s="910" t="s">
        <v>8573</v>
      </c>
      <c r="BB1386" s="911" t="s">
        <v>8574</v>
      </c>
      <c r="BC1386" s="912" t="s">
        <v>709</v>
      </c>
      <c r="BD1386" s="913" t="s">
        <v>709</v>
      </c>
      <c r="BE1386" s="914" t="s">
        <v>3119</v>
      </c>
      <c r="BF1386" s="914" t="s">
        <v>709</v>
      </c>
      <c r="BG1386" s="915" t="s">
        <v>709</v>
      </c>
      <c r="BH1386" s="1023" t="s">
        <v>8575</v>
      </c>
      <c r="BI1386" s="929" t="s">
        <v>709</v>
      </c>
      <c r="BJ1386" s="929" t="s">
        <v>709</v>
      </c>
      <c r="BK1386" s="916" t="s">
        <v>709</v>
      </c>
      <c r="BL1386" s="916" t="s">
        <v>116</v>
      </c>
      <c r="BM1386" s="916" t="s">
        <v>709</v>
      </c>
      <c r="BN1386" s="916" t="s">
        <v>709</v>
      </c>
      <c r="BO1386" s="916" t="s">
        <v>709</v>
      </c>
      <c r="BP1386" s="916" t="s">
        <v>709</v>
      </c>
      <c r="BQ1386" s="916" t="s">
        <v>709</v>
      </c>
      <c r="BR1386" s="916">
        <v>237</v>
      </c>
      <c r="BS1386" s="916">
        <v>5727</v>
      </c>
      <c r="BT1386" s="916" t="s">
        <v>709</v>
      </c>
      <c r="BU1386" s="916" t="s">
        <v>709</v>
      </c>
      <c r="BV1386" s="916" t="s">
        <v>709</v>
      </c>
      <c r="BW1386" s="916" t="s">
        <v>709</v>
      </c>
      <c r="BX1386" s="916" t="s">
        <v>709</v>
      </c>
      <c r="BY1386" s="916" t="s">
        <v>709</v>
      </c>
      <c r="BZ1386" s="916" t="s">
        <v>709</v>
      </c>
      <c r="CA1386" s="917"/>
      <c r="CB1386" s="547">
        <v>1384</v>
      </c>
      <c r="CC1386" s="1481" t="b">
        <v>0</v>
      </c>
      <c r="CD1386" s="879" t="str">
        <f>Table15[[#This Row],[Engineering Number]]&amp;Table15[[#This Row],[WO Number]]&amp;Table15[[#This Row],[Date Assigned to Designer]]&amp;Table15[[#This Row],[Date Completed]]</f>
        <v>M1608912148084558045740</v>
      </c>
    </row>
    <row r="1387" spans="1:82" ht="15" customHeight="1" x14ac:dyDescent="0.25">
      <c r="A1387">
        <v>2024</v>
      </c>
      <c r="B1387" s="879" t="s">
        <v>771</v>
      </c>
      <c r="C1387" s="879" t="s">
        <v>1642</v>
      </c>
      <c r="D1387" s="939">
        <v>1212413</v>
      </c>
      <c r="E1387" s="965" t="s">
        <v>1644</v>
      </c>
      <c r="F1387" s="879" t="s">
        <v>6874</v>
      </c>
      <c r="G1387" s="879" t="s">
        <v>32</v>
      </c>
      <c r="H1387" s="878" t="s">
        <v>4001</v>
      </c>
      <c r="I1387" s="883">
        <v>45428</v>
      </c>
      <c r="J1387" s="918" t="s">
        <v>2052</v>
      </c>
      <c r="K1387" s="945">
        <v>45741</v>
      </c>
      <c r="L1387" s="884">
        <f>IF(ISTEXT(Table15[[#This Row],[Engineering Approved Design Date]]),Table15[[#This Row],[Date Completed]]-Table15[[#This Row],[Date Assigned to Designer]],Table15[[#This Row],[Engineering Approved Design Date]]-Table15[[#This Row],[Date Completed]])</f>
        <v>313</v>
      </c>
      <c r="M1387" s="965" t="s">
        <v>8576</v>
      </c>
      <c r="N1387" s="99" t="s">
        <v>120</v>
      </c>
      <c r="O1387" s="886">
        <v>45748</v>
      </c>
      <c r="P1387" s="1153" t="s">
        <v>120</v>
      </c>
      <c r="Q1387" s="1150">
        <f>Table15[[#This Row],[Shactee Effort]]+Table15[[#This Row],[3rd Party Effort]]+Table15[[#This Row],[KH Hourly Effort]]</f>
        <v>53480</v>
      </c>
      <c r="R1387" s="933" t="s">
        <v>1922</v>
      </c>
      <c r="S1387" s="888">
        <v>0</v>
      </c>
      <c r="T1387" s="888">
        <v>0</v>
      </c>
      <c r="U1387" s="889">
        <v>53480</v>
      </c>
      <c r="V1387" s="1630">
        <v>13497</v>
      </c>
      <c r="W1387" s="1021">
        <v>0</v>
      </c>
      <c r="X1387" s="888" t="s">
        <v>29</v>
      </c>
      <c r="Y1387" s="888"/>
      <c r="Z1387" s="888" t="s">
        <v>29</v>
      </c>
      <c r="AA1387" s="888" t="s">
        <v>29</v>
      </c>
      <c r="AB1387" s="893" t="s">
        <v>29</v>
      </c>
      <c r="AC1387" s="896" t="s">
        <v>29</v>
      </c>
      <c r="AD1387" s="1155" t="s">
        <v>29</v>
      </c>
      <c r="AE1387" s="894" t="s">
        <v>116</v>
      </c>
      <c r="AF1387" s="895" t="s">
        <v>116</v>
      </c>
      <c r="AG1387" s="896" t="s">
        <v>709</v>
      </c>
      <c r="AH1387" s="985" t="s">
        <v>709</v>
      </c>
      <c r="AI1387" s="921"/>
      <c r="AJ1387" s="922"/>
      <c r="AK1387" s="922"/>
      <c r="AL1387" s="923"/>
      <c r="AM1387" s="542" t="s">
        <v>709</v>
      </c>
      <c r="AN1387" s="924"/>
      <c r="AO1387" s="925"/>
      <c r="AP1387" s="926"/>
      <c r="AQ1387" s="926"/>
      <c r="AR1387" s="926"/>
      <c r="AS1387" s="926"/>
      <c r="AT1387" s="926"/>
      <c r="AU1387" s="926"/>
      <c r="AV1387" s="926"/>
      <c r="AW1387" s="927"/>
      <c r="AX1387" s="926"/>
      <c r="AY1387" s="1538" t="s">
        <v>29</v>
      </c>
      <c r="AZ1387" s="1530"/>
      <c r="BA1387" s="966">
        <v>8</v>
      </c>
      <c r="BB1387" s="990" t="s">
        <v>8577</v>
      </c>
      <c r="BC1387" s="915" t="s">
        <v>116</v>
      </c>
      <c r="BD1387" s="915" t="s">
        <v>709</v>
      </c>
      <c r="BE1387" s="914" t="s">
        <v>709</v>
      </c>
      <c r="BF1387" s="915" t="s">
        <v>709</v>
      </c>
      <c r="BG1387" s="915" t="s">
        <v>8578</v>
      </c>
      <c r="BH1387" s="1175" t="s">
        <v>8579</v>
      </c>
      <c r="BI1387" s="916" t="s">
        <v>709</v>
      </c>
      <c r="BJ1387" s="944" t="s">
        <v>709</v>
      </c>
      <c r="BK1387" s="944" t="s">
        <v>709</v>
      </c>
      <c r="BL1387" s="944" t="s">
        <v>116</v>
      </c>
      <c r="BM1387" s="944">
        <v>0</v>
      </c>
      <c r="BN1387" s="944">
        <f>448+7694+370+1040</f>
        <v>9552</v>
      </c>
      <c r="BO1387" s="944">
        <v>0</v>
      </c>
      <c r="BP1387" s="944">
        <v>10</v>
      </c>
      <c r="BQ1387" s="944">
        <v>388</v>
      </c>
      <c r="BR1387" s="944">
        <f>2537+227</f>
        <v>2764</v>
      </c>
      <c r="BS1387" s="944">
        <f>154+629</f>
        <v>783</v>
      </c>
      <c r="BT1387" s="944">
        <v>0</v>
      </c>
      <c r="BU1387" s="944">
        <v>0</v>
      </c>
      <c r="BV1387" s="944">
        <v>0</v>
      </c>
      <c r="BW1387" s="944">
        <v>0</v>
      </c>
      <c r="BX1387" s="944">
        <v>0</v>
      </c>
      <c r="BY1387" s="944">
        <v>0</v>
      </c>
      <c r="BZ1387" s="916" t="s">
        <v>709</v>
      </c>
      <c r="CA1387" s="917"/>
      <c r="CB1387" s="547">
        <v>1385</v>
      </c>
      <c r="CC1387" s="1481" t="b">
        <v>0</v>
      </c>
      <c r="CD1387" s="879" t="str">
        <f>Table15[[#This Row],[Engineering Number]]&amp;Table15[[#This Row],[WO Number]]&amp;Table15[[#This Row],[Date Assigned to Designer]]&amp;Table15[[#This Row],[Date Completed]]</f>
        <v>BS58812124134542845741</v>
      </c>
    </row>
    <row r="1388" spans="1:82" ht="15" customHeight="1" x14ac:dyDescent="0.25">
      <c r="A1388">
        <v>2025</v>
      </c>
      <c r="B1388" s="878" t="s">
        <v>730</v>
      </c>
      <c r="C1388" s="878" t="s">
        <v>6691</v>
      </c>
      <c r="D1388" s="878" t="s">
        <v>6692</v>
      </c>
      <c r="E1388" s="878" t="s">
        <v>6693</v>
      </c>
      <c r="F1388" s="878" t="s">
        <v>6643</v>
      </c>
      <c r="G1388" s="878" t="s">
        <v>37</v>
      </c>
      <c r="H1388" s="878" t="s">
        <v>4001</v>
      </c>
      <c r="I1388" s="883">
        <v>45735</v>
      </c>
      <c r="J1388" s="918" t="s">
        <v>2052</v>
      </c>
      <c r="K1388" s="945">
        <v>45742</v>
      </c>
      <c r="L1388" s="919">
        <f>IF(ISTEXT(Table15[[#This Row],[Engineering Approved Design Date]]),Table15[[#This Row],[Date Completed]]-Table15[[#This Row],[Date Assigned to Designer]],Table15[[#This Row],[Engineering Approved Design Date]]-Table15[[#This Row],[Date Completed]])</f>
        <v>7</v>
      </c>
      <c r="M1388" s="965" t="s">
        <v>8580</v>
      </c>
      <c r="N1388" s="99" t="s">
        <v>120</v>
      </c>
      <c r="O1388" s="886">
        <v>45748</v>
      </c>
      <c r="P1388" s="1153" t="s">
        <v>120</v>
      </c>
      <c r="Q1388" s="1150">
        <f>Table15[[#This Row],[Shactee Effort]]+Table15[[#This Row],[3rd Party Effort]]+Table15[[#This Row],[KH Hourly Effort]]</f>
        <v>4615</v>
      </c>
      <c r="R1388" s="920" t="s">
        <v>1922</v>
      </c>
      <c r="S1388" s="888">
        <v>0</v>
      </c>
      <c r="T1388" s="888">
        <v>0</v>
      </c>
      <c r="U1388" s="889">
        <v>4615</v>
      </c>
      <c r="V1388" s="1630" t="s">
        <v>29</v>
      </c>
      <c r="W1388" s="1021" t="s">
        <v>29</v>
      </c>
      <c r="X1388" s="888" t="s">
        <v>29</v>
      </c>
      <c r="Y1388" s="888"/>
      <c r="Z1388" s="888" t="s">
        <v>29</v>
      </c>
      <c r="AA1388" s="888" t="s">
        <v>29</v>
      </c>
      <c r="AB1388" s="893" t="s">
        <v>29</v>
      </c>
      <c r="AC1388" s="896" t="s">
        <v>29</v>
      </c>
      <c r="AD1388" s="1155" t="s">
        <v>29</v>
      </c>
      <c r="AE1388" s="894" t="s">
        <v>116</v>
      </c>
      <c r="AF1388" s="896" t="s">
        <v>376</v>
      </c>
      <c r="AG1388" s="897" t="s">
        <v>29</v>
      </c>
      <c r="AH1388" s="902" t="s">
        <v>376</v>
      </c>
      <c r="AI1388" s="921"/>
      <c r="AJ1388" s="922"/>
      <c r="AK1388" s="922"/>
      <c r="AL1388" s="923"/>
      <c r="AM1388" s="542" t="s">
        <v>709</v>
      </c>
      <c r="AN1388" s="924"/>
      <c r="AO1388" s="925"/>
      <c r="AP1388" s="926"/>
      <c r="AQ1388" s="926"/>
      <c r="AR1388" s="926"/>
      <c r="AS1388" s="926"/>
      <c r="AT1388" s="926"/>
      <c r="AU1388" s="926"/>
      <c r="AV1388" s="926"/>
      <c r="AW1388" s="927"/>
      <c r="AX1388" s="926"/>
      <c r="AY1388" s="1538" t="s">
        <v>29</v>
      </c>
      <c r="AZ1388" s="1530"/>
      <c r="BA1388" s="910">
        <v>3</v>
      </c>
      <c r="BB1388" s="1004" t="s">
        <v>8580</v>
      </c>
      <c r="BC1388" s="912" t="s">
        <v>115</v>
      </c>
      <c r="BD1388" s="913" t="s">
        <v>6046</v>
      </c>
      <c r="BE1388" s="914" t="s">
        <v>115</v>
      </c>
      <c r="BF1388" s="914" t="s">
        <v>115</v>
      </c>
      <c r="BG1388" s="943" t="s">
        <v>115</v>
      </c>
      <c r="BH1388" s="1023" t="s">
        <v>8581</v>
      </c>
      <c r="BI1388" s="916" t="s">
        <v>709</v>
      </c>
      <c r="BJ1388" s="916" t="s">
        <v>709</v>
      </c>
      <c r="BK1388" s="916" t="s">
        <v>116</v>
      </c>
      <c r="BL1388" s="916" t="s">
        <v>116</v>
      </c>
      <c r="BM1388" s="916" t="s">
        <v>709</v>
      </c>
      <c r="BN1388" s="916" t="s">
        <v>709</v>
      </c>
      <c r="BO1388" s="916" t="s">
        <v>709</v>
      </c>
      <c r="BP1388" s="944" t="s">
        <v>709</v>
      </c>
      <c r="BQ1388" s="944" t="s">
        <v>709</v>
      </c>
      <c r="BR1388" s="929">
        <v>20</v>
      </c>
      <c r="BS1388" s="929">
        <v>65</v>
      </c>
      <c r="BT1388" s="916">
        <v>0</v>
      </c>
      <c r="BU1388" s="916">
        <v>1</v>
      </c>
      <c r="BV1388" s="916">
        <v>0</v>
      </c>
      <c r="BW1388" s="916">
        <v>0</v>
      </c>
      <c r="BX1388" s="916">
        <v>1</v>
      </c>
      <c r="BY1388" s="916">
        <v>0</v>
      </c>
      <c r="BZ1388" s="916">
        <v>0</v>
      </c>
      <c r="CA1388" s="917"/>
      <c r="CB1388" s="547">
        <v>1386</v>
      </c>
      <c r="CC1388" s="1481" t="b">
        <v>0</v>
      </c>
      <c r="CD1388" s="879" t="str">
        <f>Table15[[#This Row],[Engineering Number]]&amp;Table15[[#This Row],[WO Number]]&amp;Table15[[#This Row],[Date Assigned to Designer]]&amp;Table15[[#This Row],[Date Completed]]</f>
        <v>RS124410141104573545742</v>
      </c>
    </row>
    <row r="1389" spans="1:82" ht="15" customHeight="1" x14ac:dyDescent="0.25">
      <c r="A1389">
        <v>2025</v>
      </c>
      <c r="B1389" s="874" t="s">
        <v>1981</v>
      </c>
      <c r="C1389" s="874" t="s">
        <v>8582</v>
      </c>
      <c r="D1389" s="879" t="s">
        <v>8583</v>
      </c>
      <c r="E1389" s="879" t="s">
        <v>1535</v>
      </c>
      <c r="F1389" s="879" t="s">
        <v>7735</v>
      </c>
      <c r="G1389" s="879" t="s">
        <v>34</v>
      </c>
      <c r="H1389" s="878" t="s">
        <v>59</v>
      </c>
      <c r="I1389" s="882">
        <v>45649</v>
      </c>
      <c r="J1389" s="881">
        <v>45744</v>
      </c>
      <c r="K1389" s="945">
        <v>45744</v>
      </c>
      <c r="L1389" s="884">
        <f>IF(ISTEXT(Table15[[#This Row],[Engineering Approved Design Date]]),Table15[[#This Row],[Date Completed]]-Table15[[#This Row],[Date Assigned to Designer]],Table15[[#This Row],[Engineering Approved Design Date]]-Table15[[#This Row],[Date Completed]])</f>
        <v>0</v>
      </c>
      <c r="M1389" s="946"/>
      <c r="N1389" s="99" t="s">
        <v>120</v>
      </c>
      <c r="O1389" s="886">
        <v>45748</v>
      </c>
      <c r="P1389" s="1154" t="s">
        <v>739</v>
      </c>
      <c r="Q1389" s="1303">
        <f>SUM(Table15[[#This Row],[Shactee Effort]:[KH Hourly Effort]])</f>
        <v>18479.63</v>
      </c>
      <c r="R1389" s="920" t="s">
        <v>1922</v>
      </c>
      <c r="S1389" s="888">
        <v>1314.63</v>
      </c>
      <c r="T1389" s="888">
        <v>0</v>
      </c>
      <c r="U1389" s="889">
        <v>17165</v>
      </c>
      <c r="V1389" s="1630">
        <v>51</v>
      </c>
      <c r="W1389" s="1021">
        <v>2</v>
      </c>
      <c r="X1389" s="888">
        <v>171330.71</v>
      </c>
      <c r="Y1389" s="891"/>
      <c r="Z1389" s="888">
        <v>67357.240000000005</v>
      </c>
      <c r="AA1389" s="888">
        <f>SUM(Table15[[#This Row],[PCTS Investment Amount]:[PCTS Retirement Amount]])</f>
        <v>238687.95</v>
      </c>
      <c r="AB1389" s="893">
        <v>45749</v>
      </c>
      <c r="AC1389" s="894" t="s">
        <v>709</v>
      </c>
      <c r="AD1389" s="1160" t="s">
        <v>29</v>
      </c>
      <c r="AE1389" s="895" t="s">
        <v>756</v>
      </c>
      <c r="AF1389" s="895" t="s">
        <v>29</v>
      </c>
      <c r="AG1389" s="1007" t="s">
        <v>376</v>
      </c>
      <c r="AH1389" s="940" t="s">
        <v>376</v>
      </c>
      <c r="AI1389" s="898" t="s">
        <v>115</v>
      </c>
      <c r="AJ1389" s="1008"/>
      <c r="AK1389" s="1009"/>
      <c r="AL1389" s="901"/>
      <c r="AM1389" s="542" t="s">
        <v>709</v>
      </c>
      <c r="AN1389" s="924"/>
      <c r="AO1389" s="925"/>
      <c r="AP1389" s="926"/>
      <c r="AQ1389" s="926"/>
      <c r="AR1389" s="926"/>
      <c r="AS1389" s="926"/>
      <c r="AT1389" s="926"/>
      <c r="AU1389" s="926"/>
      <c r="AV1389" s="926"/>
      <c r="AW1389" s="927"/>
      <c r="AX1389" s="926"/>
      <c r="AY1389" s="1538" t="s">
        <v>29</v>
      </c>
      <c r="AZ1389" s="1530"/>
      <c r="BA1389" s="910" t="s">
        <v>8584</v>
      </c>
      <c r="BB1389" s="1010" t="s">
        <v>8585</v>
      </c>
      <c r="BC1389" s="912" t="s">
        <v>709</v>
      </c>
      <c r="BD1389" s="913" t="s">
        <v>709</v>
      </c>
      <c r="BE1389" s="914" t="s">
        <v>1538</v>
      </c>
      <c r="BF1389" s="914" t="s">
        <v>1538</v>
      </c>
      <c r="BG1389" s="943" t="s">
        <v>709</v>
      </c>
      <c r="BH1389" s="1023" t="s">
        <v>8586</v>
      </c>
      <c r="BI1389" s="916" t="s">
        <v>745</v>
      </c>
      <c r="BJ1389" s="916" t="s">
        <v>745</v>
      </c>
      <c r="BK1389" s="916" t="s">
        <v>745</v>
      </c>
      <c r="BL1389" s="916" t="s">
        <v>116</v>
      </c>
      <c r="BM1389" s="916" t="s">
        <v>745</v>
      </c>
      <c r="BN1389" s="916" t="s">
        <v>745</v>
      </c>
      <c r="BO1389" s="916" t="s">
        <v>745</v>
      </c>
      <c r="BP1389" s="916" t="s">
        <v>745</v>
      </c>
      <c r="BQ1389" s="916">
        <v>26</v>
      </c>
      <c r="BR1389" s="916">
        <v>25</v>
      </c>
      <c r="BS1389" s="916" t="s">
        <v>709</v>
      </c>
      <c r="BT1389" s="916" t="s">
        <v>745</v>
      </c>
      <c r="BU1389" s="916" t="s">
        <v>745</v>
      </c>
      <c r="BV1389" s="916" t="s">
        <v>745</v>
      </c>
      <c r="BW1389" s="916" t="s">
        <v>745</v>
      </c>
      <c r="BX1389" s="916" t="s">
        <v>745</v>
      </c>
      <c r="BY1389" s="916" t="s">
        <v>745</v>
      </c>
      <c r="BZ1389" s="916">
        <v>2</v>
      </c>
      <c r="CA1389" s="962" t="s">
        <v>8297</v>
      </c>
      <c r="CB1389" s="547">
        <v>1388</v>
      </c>
      <c r="CC1389" s="1481" t="b">
        <v>0</v>
      </c>
      <c r="CD1389" s="879" t="str">
        <f>Table15[[#This Row],[Engineering Number]]&amp;Table15[[#This Row],[WO Number]]&amp;Table15[[#This Row],[Date Assigned to Designer]]&amp;Table15[[#This Row],[Date Completed]]</f>
        <v>COR107614147804564945744</v>
      </c>
    </row>
    <row r="1390" spans="1:82" ht="15" customHeight="1" x14ac:dyDescent="0.25">
      <c r="A1390">
        <v>2025</v>
      </c>
      <c r="B1390" s="878" t="s">
        <v>771</v>
      </c>
      <c r="C1390" s="878" t="s">
        <v>1809</v>
      </c>
      <c r="D1390" s="878" t="s">
        <v>1810</v>
      </c>
      <c r="E1390" s="878" t="s">
        <v>149</v>
      </c>
      <c r="F1390" s="878" t="s">
        <v>784</v>
      </c>
      <c r="G1390" s="878" t="s">
        <v>32</v>
      </c>
      <c r="H1390" s="878" t="s">
        <v>4001</v>
      </c>
      <c r="I1390" s="883">
        <v>45727</v>
      </c>
      <c r="J1390" s="918" t="s">
        <v>2052</v>
      </c>
      <c r="K1390" s="945">
        <v>45744</v>
      </c>
      <c r="L1390" s="919">
        <f>IF(ISTEXT(Table15[[#This Row],[Engineering Approved Design Date]]),Table15[[#This Row],[Date Completed]]-Table15[[#This Row],[Date Assigned to Designer]],Table15[[#This Row],[Engineering Approved Design Date]]-Table15[[#This Row],[Date Completed]])</f>
        <v>17</v>
      </c>
      <c r="M1390" s="965" t="s">
        <v>8587</v>
      </c>
      <c r="N1390" s="99" t="s">
        <v>120</v>
      </c>
      <c r="O1390" s="886">
        <v>45748</v>
      </c>
      <c r="P1390" s="1153" t="s">
        <v>120</v>
      </c>
      <c r="Q1390" s="1150">
        <f>Table15[[#This Row],[Shactee Effort]]+Table15[[#This Row],[3rd Party Effort]]+Table15[[#This Row],[KH Hourly Effort]]</f>
        <v>6282.5</v>
      </c>
      <c r="R1390" s="920" t="s">
        <v>1922</v>
      </c>
      <c r="S1390" s="888">
        <v>0</v>
      </c>
      <c r="T1390" s="888">
        <v>0</v>
      </c>
      <c r="U1390" s="889">
        <v>6282.5</v>
      </c>
      <c r="V1390" s="1630">
        <v>27387</v>
      </c>
      <c r="W1390" s="1021">
        <v>0</v>
      </c>
      <c r="X1390" s="888" t="s">
        <v>29</v>
      </c>
      <c r="Y1390" s="888"/>
      <c r="Z1390" s="888" t="s">
        <v>29</v>
      </c>
      <c r="AA1390" s="888" t="s">
        <v>29</v>
      </c>
      <c r="AB1390" s="893" t="s">
        <v>29</v>
      </c>
      <c r="AC1390" s="896" t="s">
        <v>29</v>
      </c>
      <c r="AD1390" s="1155" t="s">
        <v>29</v>
      </c>
      <c r="AE1390" s="894" t="s">
        <v>709</v>
      </c>
      <c r="AF1390" s="896" t="s">
        <v>116</v>
      </c>
      <c r="AG1390" s="897" t="s">
        <v>29</v>
      </c>
      <c r="AH1390" s="902" t="s">
        <v>376</v>
      </c>
      <c r="AI1390" s="921"/>
      <c r="AJ1390" s="922"/>
      <c r="AK1390" s="922"/>
      <c r="AL1390" s="923"/>
      <c r="AM1390" s="542" t="s">
        <v>709</v>
      </c>
      <c r="AN1390" s="924"/>
      <c r="AO1390" s="925"/>
      <c r="AP1390" s="926"/>
      <c r="AQ1390" s="926"/>
      <c r="AR1390" s="926"/>
      <c r="AS1390" s="926"/>
      <c r="AT1390" s="926"/>
      <c r="AU1390" s="926"/>
      <c r="AV1390" s="926"/>
      <c r="AW1390" s="927"/>
      <c r="AX1390" s="926"/>
      <c r="AY1390" s="1538" t="s">
        <v>29</v>
      </c>
      <c r="AZ1390" s="1532"/>
      <c r="BA1390" s="910">
        <v>2</v>
      </c>
      <c r="BB1390" s="1010" t="s">
        <v>8588</v>
      </c>
      <c r="BC1390" s="912" t="s">
        <v>116</v>
      </c>
      <c r="BD1390" s="913" t="s">
        <v>709</v>
      </c>
      <c r="BE1390" s="914" t="s">
        <v>1813</v>
      </c>
      <c r="BF1390" s="914" t="s">
        <v>709</v>
      </c>
      <c r="BG1390" s="943" t="s">
        <v>29</v>
      </c>
      <c r="BH1390" s="1023" t="s">
        <v>8589</v>
      </c>
      <c r="BI1390" s="916" t="s">
        <v>745</v>
      </c>
      <c r="BJ1390" s="916" t="s">
        <v>745</v>
      </c>
      <c r="BK1390" s="916" t="s">
        <v>745</v>
      </c>
      <c r="BL1390" s="916" t="s">
        <v>116</v>
      </c>
      <c r="BM1390" s="916">
        <v>0</v>
      </c>
      <c r="BN1390" s="916">
        <v>0</v>
      </c>
      <c r="BO1390" s="916">
        <v>0</v>
      </c>
      <c r="BP1390" s="944">
        <v>0</v>
      </c>
      <c r="BQ1390" s="944">
        <v>0</v>
      </c>
      <c r="BR1390" s="929">
        <v>4384</v>
      </c>
      <c r="BS1390" s="929">
        <v>23003</v>
      </c>
      <c r="BT1390" s="916">
        <v>0</v>
      </c>
      <c r="BU1390" s="916">
        <v>0</v>
      </c>
      <c r="BV1390" s="916">
        <v>0</v>
      </c>
      <c r="BW1390" s="916">
        <v>0</v>
      </c>
      <c r="BX1390" s="916">
        <v>0</v>
      </c>
      <c r="BY1390" s="916">
        <v>0</v>
      </c>
      <c r="BZ1390" s="916" t="s">
        <v>709</v>
      </c>
      <c r="CA1390" s="917"/>
      <c r="CB1390" s="547">
        <v>1389</v>
      </c>
      <c r="CC1390" s="1481" t="b">
        <v>0</v>
      </c>
      <c r="CD1390" s="879" t="str">
        <f>Table15[[#This Row],[Engineering Number]]&amp;Table15[[#This Row],[WO Number]]&amp;Table15[[#This Row],[Date Assigned to Designer]]&amp;Table15[[#This Row],[Date Completed]]</f>
        <v>MR1C15323_C1532412132634572745744</v>
      </c>
    </row>
    <row r="1391" spans="1:82" ht="15" customHeight="1" x14ac:dyDescent="0.25">
      <c r="A1391">
        <v>2025</v>
      </c>
      <c r="B1391" s="878" t="s">
        <v>759</v>
      </c>
      <c r="C1391" s="878" t="s">
        <v>8082</v>
      </c>
      <c r="D1391" s="878" t="s">
        <v>8590</v>
      </c>
      <c r="E1391" s="878" t="s">
        <v>8591</v>
      </c>
      <c r="F1391" s="878" t="s">
        <v>6643</v>
      </c>
      <c r="G1391" s="878" t="s">
        <v>6996</v>
      </c>
      <c r="H1391" s="878" t="s">
        <v>413</v>
      </c>
      <c r="I1391" s="883">
        <v>45611</v>
      </c>
      <c r="J1391" s="945">
        <v>45744</v>
      </c>
      <c r="K1391" s="945">
        <v>45744</v>
      </c>
      <c r="L1391" s="919">
        <f>IF(ISTEXT(Table15[[#This Row],[Engineering Approved Design Date]]),Table15[[#This Row],[Date Completed]]-Table15[[#This Row],[Date Assigned to Designer]],Table15[[#This Row],[Engineering Approved Design Date]]-Table15[[#This Row],[Date Completed]])</f>
        <v>0</v>
      </c>
      <c r="M1391" s="939"/>
      <c r="N1391" s="99" t="s">
        <v>120</v>
      </c>
      <c r="O1391" s="886">
        <v>45748</v>
      </c>
      <c r="P1391" s="1153" t="s">
        <v>120</v>
      </c>
      <c r="Q1391" s="1150">
        <f>14750+12750</f>
        <v>27500</v>
      </c>
      <c r="R1391" s="1005" t="s">
        <v>8592</v>
      </c>
      <c r="S1391" s="888">
        <v>0</v>
      </c>
      <c r="T1391" s="888">
        <v>0</v>
      </c>
      <c r="U1391" s="889">
        <v>0</v>
      </c>
      <c r="V1391" s="1630">
        <v>330</v>
      </c>
      <c r="W1391" s="1021">
        <v>3</v>
      </c>
      <c r="X1391" s="892">
        <v>461985.21</v>
      </c>
      <c r="Y1391" s="935"/>
      <c r="Z1391" s="892">
        <v>81148.759999999995</v>
      </c>
      <c r="AA1391" s="892">
        <f>SUM(Table15[[#This Row],[PCTS Investment Amount]:[PCTS Retirement Amount]])</f>
        <v>543133.97</v>
      </c>
      <c r="AB1391" s="893">
        <v>45754</v>
      </c>
      <c r="AC1391" s="894" t="s">
        <v>1296</v>
      </c>
      <c r="AD1391" s="1162" t="s">
        <v>116</v>
      </c>
      <c r="AE1391" s="940" t="s">
        <v>756</v>
      </c>
      <c r="AF1391" s="940" t="s">
        <v>116</v>
      </c>
      <c r="AG1391" s="896" t="s">
        <v>29</v>
      </c>
      <c r="AH1391" s="940" t="s">
        <v>376</v>
      </c>
      <c r="AI1391" s="898">
        <v>11100</v>
      </c>
      <c r="AJ1391" s="899" t="s">
        <v>115</v>
      </c>
      <c r="AK1391" s="941" t="s">
        <v>115</v>
      </c>
      <c r="AL1391" s="964">
        <f>SUM(Table15[[#This Row],[Nicor Initiated DBE]:[Staffing]])/(Table15[[#This Row],[Amount Invoiced]])</f>
        <v>0.40363636363636363</v>
      </c>
      <c r="AM1391" s="542" t="s">
        <v>709</v>
      </c>
      <c r="AN1391" s="924"/>
      <c r="AO1391" s="925"/>
      <c r="AP1391" s="926"/>
      <c r="AQ1391" s="926"/>
      <c r="AR1391" s="926"/>
      <c r="AS1391" s="926"/>
      <c r="AT1391" s="926"/>
      <c r="AU1391" s="926"/>
      <c r="AV1391" s="926"/>
      <c r="AW1391" s="927"/>
      <c r="AX1391" s="926"/>
      <c r="AY1391" s="1538" t="s">
        <v>29</v>
      </c>
      <c r="AZ1391" s="1530"/>
      <c r="BA1391" s="939" t="s">
        <v>8593</v>
      </c>
      <c r="BB1391" s="942" t="s">
        <v>8594</v>
      </c>
      <c r="BC1391" s="915" t="s">
        <v>115</v>
      </c>
      <c r="BD1391" s="915" t="s">
        <v>115</v>
      </c>
      <c r="BE1391" s="915" t="s">
        <v>8083</v>
      </c>
      <c r="BF1391" s="915" t="s">
        <v>115</v>
      </c>
      <c r="BG1391" s="943" t="s">
        <v>115</v>
      </c>
      <c r="BH1391" s="1023" t="s">
        <v>8595</v>
      </c>
      <c r="BI1391" s="916" t="s">
        <v>745</v>
      </c>
      <c r="BJ1391" s="916" t="s">
        <v>745</v>
      </c>
      <c r="BK1391" s="916" t="s">
        <v>116</v>
      </c>
      <c r="BL1391" s="916" t="s">
        <v>116</v>
      </c>
      <c r="BM1391" s="916" t="s">
        <v>745</v>
      </c>
      <c r="BN1391" s="916" t="s">
        <v>745</v>
      </c>
      <c r="BO1391" s="916" t="s">
        <v>745</v>
      </c>
      <c r="BP1391" s="944" t="s">
        <v>745</v>
      </c>
      <c r="BQ1391" s="944">
        <v>30</v>
      </c>
      <c r="BR1391" s="929">
        <v>205</v>
      </c>
      <c r="BS1391" s="929" t="s">
        <v>8596</v>
      </c>
      <c r="BT1391" s="916">
        <v>1</v>
      </c>
      <c r="BU1391" s="916">
        <v>1</v>
      </c>
      <c r="BV1391" s="916">
        <v>0</v>
      </c>
      <c r="BW1391" s="916">
        <v>1</v>
      </c>
      <c r="BX1391" s="916">
        <v>2</v>
      </c>
      <c r="BY1391" s="916" t="s">
        <v>745</v>
      </c>
      <c r="BZ1391" s="916" t="s">
        <v>709</v>
      </c>
      <c r="CA1391" s="1006" t="s">
        <v>8597</v>
      </c>
      <c r="CB1391" s="547">
        <v>1387</v>
      </c>
      <c r="CC1391" s="1481" t="b">
        <v>0</v>
      </c>
      <c r="CD1391" s="879" t="str">
        <f>Table15[[#This Row],[Engineering Number]]&amp;Table15[[#This Row],[WO Number]]&amp;Table15[[#This Row],[Date Assigned to Designer]]&amp;Table15[[#This Row],[Date Completed]]</f>
        <v>RS127810146414561145744</v>
      </c>
    </row>
    <row r="1392" spans="1:82" ht="15" customHeight="1" x14ac:dyDescent="0.25">
      <c r="A1392">
        <v>2025</v>
      </c>
      <c r="B1392" s="874" t="s">
        <v>1981</v>
      </c>
      <c r="C1392" s="874" t="s">
        <v>8598</v>
      </c>
      <c r="D1392" s="879" t="s">
        <v>8599</v>
      </c>
      <c r="E1392" s="879" t="s">
        <v>232</v>
      </c>
      <c r="F1392" s="879" t="s">
        <v>7735</v>
      </c>
      <c r="G1392" s="879" t="s">
        <v>8556</v>
      </c>
      <c r="H1392" s="878" t="s">
        <v>59</v>
      </c>
      <c r="I1392" s="882">
        <v>45674</v>
      </c>
      <c r="J1392" s="881">
        <v>45751</v>
      </c>
      <c r="K1392" s="945">
        <v>45747</v>
      </c>
      <c r="L1392" s="884">
        <f>IF(ISTEXT(Table15[[#This Row],[Engineering Approved Design Date]]),Table15[[#This Row],[Date Completed]]-Table15[[#This Row],[Date Assigned to Designer]],Table15[[#This Row],[Engineering Approved Design Date]]-Table15[[#This Row],[Date Completed]])</f>
        <v>4</v>
      </c>
      <c r="M1392" s="946"/>
      <c r="N1392" s="99" t="s">
        <v>120</v>
      </c>
      <c r="O1392" s="886">
        <v>45748</v>
      </c>
      <c r="P1392" s="1154" t="s">
        <v>739</v>
      </c>
      <c r="Q1392" s="1150">
        <f>Table15[[#This Row],[Shactee Effort]]+Table15[[#This Row],[3rd Party Effort]]+Table15[[#This Row],[KH Hourly Effort]]</f>
        <v>16730.21</v>
      </c>
      <c r="R1392" s="920" t="s">
        <v>1922</v>
      </c>
      <c r="S1392" s="888">
        <v>450.21</v>
      </c>
      <c r="T1392" s="888">
        <v>0</v>
      </c>
      <c r="U1392" s="889">
        <v>16280</v>
      </c>
      <c r="V1392" s="1630">
        <v>27</v>
      </c>
      <c r="W1392" s="1021">
        <v>1</v>
      </c>
      <c r="X1392" s="888">
        <v>89872.35</v>
      </c>
      <c r="Y1392" s="891"/>
      <c r="Z1392" s="888">
        <v>29408.31</v>
      </c>
      <c r="AA1392" s="888">
        <f>SUM(Table15[[#This Row],[PCTS Investment Amount]:[PCTS Retirement Amount]])</f>
        <v>119280.66</v>
      </c>
      <c r="AB1392" s="893">
        <v>45750</v>
      </c>
      <c r="AC1392" s="894" t="s">
        <v>116</v>
      </c>
      <c r="AD1392" s="1160" t="s">
        <v>29</v>
      </c>
      <c r="AE1392" s="895" t="s">
        <v>116</v>
      </c>
      <c r="AF1392" s="895" t="s">
        <v>29</v>
      </c>
      <c r="AG1392" s="1007" t="s">
        <v>376</v>
      </c>
      <c r="AH1392" s="940" t="s">
        <v>376</v>
      </c>
      <c r="AI1392" s="1011"/>
      <c r="AJ1392" s="899">
        <v>450.21</v>
      </c>
      <c r="AK1392" s="899"/>
      <c r="AL1392" s="964">
        <f>SUM(Table15[[#This Row],[Nicor Initiated DBE]:[Staffing]])/(Table15[[#This Row],[Amount Invoiced]])</f>
        <v>2.6910002922856318E-2</v>
      </c>
      <c r="AM1392" s="542" t="s">
        <v>709</v>
      </c>
      <c r="AN1392" s="924"/>
      <c r="AO1392" s="925"/>
      <c r="AP1392" s="926"/>
      <c r="AQ1392" s="926"/>
      <c r="AR1392" s="926"/>
      <c r="AS1392" s="926"/>
      <c r="AT1392" s="926"/>
      <c r="AU1392" s="926"/>
      <c r="AV1392" s="926"/>
      <c r="AW1392" s="927"/>
      <c r="AX1392" s="926"/>
      <c r="AY1392" s="1538" t="s">
        <v>29</v>
      </c>
      <c r="AZ1392" s="1530"/>
      <c r="BA1392" s="910" t="s">
        <v>8600</v>
      </c>
      <c r="BB1392" s="911" t="s">
        <v>8601</v>
      </c>
      <c r="BC1392" s="912" t="s">
        <v>116</v>
      </c>
      <c r="BD1392" s="913" t="s">
        <v>709</v>
      </c>
      <c r="BE1392" s="914" t="s">
        <v>595</v>
      </c>
      <c r="BF1392" s="914" t="s">
        <v>709</v>
      </c>
      <c r="BG1392" s="915" t="s">
        <v>709</v>
      </c>
      <c r="BH1392" s="1023" t="s">
        <v>8602</v>
      </c>
      <c r="BI1392" s="916" t="s">
        <v>709</v>
      </c>
      <c r="BJ1392" s="916" t="s">
        <v>709</v>
      </c>
      <c r="BK1392" s="916" t="s">
        <v>709</v>
      </c>
      <c r="BL1392" s="916" t="s">
        <v>116</v>
      </c>
      <c r="BM1392" s="916" t="s">
        <v>709</v>
      </c>
      <c r="BN1392" s="916" t="s">
        <v>709</v>
      </c>
      <c r="BO1392" s="916" t="s">
        <v>709</v>
      </c>
      <c r="BP1392" s="916" t="s">
        <v>709</v>
      </c>
      <c r="BQ1392" s="916">
        <v>27</v>
      </c>
      <c r="BR1392" s="916" t="s">
        <v>709</v>
      </c>
      <c r="BS1392" s="916" t="s">
        <v>709</v>
      </c>
      <c r="BT1392" s="916" t="s">
        <v>709</v>
      </c>
      <c r="BU1392" s="916" t="s">
        <v>709</v>
      </c>
      <c r="BV1392" s="916" t="s">
        <v>709</v>
      </c>
      <c r="BW1392" s="916" t="s">
        <v>709</v>
      </c>
      <c r="BX1392" s="916" t="s">
        <v>709</v>
      </c>
      <c r="BY1392" s="916" t="s">
        <v>709</v>
      </c>
      <c r="BZ1392" s="916">
        <v>1</v>
      </c>
      <c r="CA1392" s="917" t="s">
        <v>8314</v>
      </c>
      <c r="CB1392" s="547">
        <v>1390</v>
      </c>
      <c r="CC1392" s="1481" t="b">
        <v>0</v>
      </c>
      <c r="CD1392" s="879" t="str">
        <f>Table15[[#This Row],[Engineering Number]]&amp;Table15[[#This Row],[WO Number]]&amp;Table15[[#This Row],[Date Assigned to Designer]]&amp;Table15[[#This Row],[Date Completed]]</f>
        <v>COR108314149114567445747</v>
      </c>
    </row>
    <row r="1393" spans="1:82" ht="15" customHeight="1" x14ac:dyDescent="0.25">
      <c r="A1393">
        <v>2025</v>
      </c>
      <c r="B1393" s="879" t="s">
        <v>6798</v>
      </c>
      <c r="C1393" s="874" t="s">
        <v>8603</v>
      </c>
      <c r="D1393" s="880">
        <v>1014855</v>
      </c>
      <c r="E1393" s="879" t="s">
        <v>2061</v>
      </c>
      <c r="F1393" s="879" t="s">
        <v>6643</v>
      </c>
      <c r="G1393" s="879" t="s">
        <v>34</v>
      </c>
      <c r="H1393" s="878" t="s">
        <v>59</v>
      </c>
      <c r="I1393" s="882">
        <v>45665</v>
      </c>
      <c r="J1393" s="881">
        <v>45777</v>
      </c>
      <c r="K1393" s="945">
        <v>45747</v>
      </c>
      <c r="L1393" s="884">
        <f>IF(ISTEXT(Table15[[#This Row],[Engineering Approved Design Date]]),Table15[[#This Row],[Date Completed]]-Table15[[#This Row],[Date Assigned to Designer]],Table15[[#This Row],[Engineering Approved Design Date]]-Table15[[#This Row],[Date Completed]])</f>
        <v>30</v>
      </c>
      <c r="N1393" s="99" t="s">
        <v>120</v>
      </c>
      <c r="O1393" s="886">
        <v>45778</v>
      </c>
      <c r="P1393" s="1154" t="s">
        <v>739</v>
      </c>
      <c r="Q1393" s="1303">
        <f>SUM(Table15[[#This Row],[Shactee Effort]:[KH Hourly Effort]])</f>
        <v>6222.5</v>
      </c>
      <c r="R1393" s="920" t="s">
        <v>1922</v>
      </c>
      <c r="S1393" s="888">
        <v>0</v>
      </c>
      <c r="T1393" s="888">
        <v>0</v>
      </c>
      <c r="U1393" s="889">
        <v>6222.5</v>
      </c>
      <c r="V1393" s="1630">
        <v>0</v>
      </c>
      <c r="W1393" s="1021">
        <v>1</v>
      </c>
      <c r="X1393" s="888">
        <v>25000</v>
      </c>
      <c r="Y1393" s="888"/>
      <c r="Z1393" s="888">
        <v>0</v>
      </c>
      <c r="AA1393" s="888">
        <f>SUM(Table15[[#This Row],[PCTS Investment Amount]:[PCTS Retirement Amount]])</f>
        <v>25000</v>
      </c>
      <c r="AB1393" s="893" t="s">
        <v>29</v>
      </c>
      <c r="AC1393" s="894" t="s">
        <v>1177</v>
      </c>
      <c r="AD1393" s="1160" t="s">
        <v>29</v>
      </c>
      <c r="AE1393" s="895" t="s">
        <v>756</v>
      </c>
      <c r="AF1393" s="895" t="s">
        <v>29</v>
      </c>
      <c r="AG1393" s="895" t="s">
        <v>29</v>
      </c>
      <c r="AH1393" s="940" t="s">
        <v>376</v>
      </c>
      <c r="AI1393" s="1193">
        <v>0</v>
      </c>
      <c r="AJ1393" s="1194">
        <v>0</v>
      </c>
      <c r="AK1393" s="1194">
        <v>0</v>
      </c>
      <c r="AL1393" s="901">
        <f>SUM(Table15[[#This Row],[Nicor Initiated DBE]:[Staffing]])/(Table15[[#This Row],[Amount Invoiced]])</f>
        <v>0</v>
      </c>
      <c r="AM1393" s="542" t="s">
        <v>709</v>
      </c>
      <c r="AN1393" s="924"/>
      <c r="AO1393" s="925"/>
      <c r="AP1393" s="926"/>
      <c r="AQ1393" s="926"/>
      <c r="AR1393" s="926"/>
      <c r="AS1393" s="926"/>
      <c r="AT1393" s="926"/>
      <c r="AU1393" s="926"/>
      <c r="AV1393" s="926"/>
      <c r="AW1393" s="927"/>
      <c r="AX1393" s="926"/>
      <c r="AY1393" s="1538" t="s">
        <v>29</v>
      </c>
      <c r="AZ1393" s="1532"/>
      <c r="BA1393" s="910" t="s">
        <v>6802</v>
      </c>
      <c r="BB1393" s="1010" t="s">
        <v>8604</v>
      </c>
      <c r="BC1393" s="912" t="s">
        <v>29</v>
      </c>
      <c r="BD1393" s="913" t="s">
        <v>29</v>
      </c>
      <c r="BE1393" s="914" t="s">
        <v>29</v>
      </c>
      <c r="BF1393" s="914" t="s">
        <v>29</v>
      </c>
      <c r="BG1393" s="943" t="s">
        <v>29</v>
      </c>
      <c r="BH1393" s="1023" t="s">
        <v>8605</v>
      </c>
      <c r="BI1393" s="916" t="s">
        <v>745</v>
      </c>
      <c r="BJ1393" s="916" t="s">
        <v>745</v>
      </c>
      <c r="BK1393" s="916" t="s">
        <v>116</v>
      </c>
      <c r="BL1393" s="916" t="s">
        <v>116</v>
      </c>
      <c r="BM1393" s="916" t="s">
        <v>745</v>
      </c>
      <c r="BN1393" s="916" t="s">
        <v>745</v>
      </c>
      <c r="BO1393" s="916" t="s">
        <v>745</v>
      </c>
      <c r="BP1393" s="916" t="s">
        <v>745</v>
      </c>
      <c r="BQ1393" s="916" t="s">
        <v>745</v>
      </c>
      <c r="BR1393" s="916" t="s">
        <v>709</v>
      </c>
      <c r="BS1393" s="916" t="s">
        <v>709</v>
      </c>
      <c r="BT1393" s="916" t="s">
        <v>745</v>
      </c>
      <c r="BU1393" s="916" t="s">
        <v>116</v>
      </c>
      <c r="BV1393" s="916" t="s">
        <v>745</v>
      </c>
      <c r="BW1393" s="916" t="s">
        <v>745</v>
      </c>
      <c r="BX1393" s="916" t="s">
        <v>745</v>
      </c>
      <c r="BY1393" s="916" t="s">
        <v>745</v>
      </c>
      <c r="BZ1393" s="916" t="s">
        <v>709</v>
      </c>
      <c r="CA1393" s="962" t="s">
        <v>6806</v>
      </c>
      <c r="CB1393" s="547">
        <v>1393</v>
      </c>
      <c r="CC1393" s="1481" t="b">
        <v>0</v>
      </c>
      <c r="CD1393" s="879" t="str">
        <f>Table15[[#This Row],[Engineering Number]]&amp;Table15[[#This Row],[WO Number]]&amp;Table15[[#This Row],[Date Assigned to Designer]]&amp;Table15[[#This Row],[Date Completed]]</f>
        <v>150108610148554566545747</v>
      </c>
    </row>
    <row r="1394" spans="1:82" ht="15" customHeight="1" x14ac:dyDescent="0.25">
      <c r="A1394">
        <v>2025</v>
      </c>
      <c r="B1394" s="879" t="s">
        <v>6798</v>
      </c>
      <c r="C1394" s="874" t="s">
        <v>8606</v>
      </c>
      <c r="D1394" s="879" t="s">
        <v>8607</v>
      </c>
      <c r="E1394" s="879" t="s">
        <v>1459</v>
      </c>
      <c r="F1394" s="879" t="s">
        <v>6643</v>
      </c>
      <c r="G1394" s="879" t="s">
        <v>34</v>
      </c>
      <c r="H1394" s="878" t="s">
        <v>59</v>
      </c>
      <c r="I1394" s="882">
        <v>45665</v>
      </c>
      <c r="J1394" s="881">
        <v>45777</v>
      </c>
      <c r="K1394" s="945">
        <v>45747</v>
      </c>
      <c r="L1394" s="884">
        <f>IF(ISTEXT(Table15[[#This Row],[Engineering Approved Design Date]]),Table15[[#This Row],[Date Completed]]-Table15[[#This Row],[Date Assigned to Designer]],Table15[[#This Row],[Engineering Approved Design Date]]-Table15[[#This Row],[Date Completed]])</f>
        <v>30</v>
      </c>
      <c r="N1394" s="99" t="s">
        <v>120</v>
      </c>
      <c r="O1394" s="886">
        <v>45778</v>
      </c>
      <c r="P1394" s="1154" t="s">
        <v>739</v>
      </c>
      <c r="Q1394" s="1303">
        <f>SUM(Table15[[#This Row],[Shactee Effort]:[KH Hourly Effort]])</f>
        <v>5230</v>
      </c>
      <c r="R1394" s="920" t="s">
        <v>1922</v>
      </c>
      <c r="S1394" s="888">
        <v>0</v>
      </c>
      <c r="T1394" s="888">
        <v>0</v>
      </c>
      <c r="U1394" s="889">
        <v>5230</v>
      </c>
      <c r="V1394" s="1630">
        <v>0</v>
      </c>
      <c r="W1394" s="1021">
        <v>1</v>
      </c>
      <c r="X1394" s="888">
        <v>25000</v>
      </c>
      <c r="Y1394" s="888"/>
      <c r="Z1394" s="888">
        <v>0</v>
      </c>
      <c r="AA1394" s="888">
        <f>SUM(Table15[[#This Row],[PCTS Investment Amount]:[PCTS Retirement Amount]])</f>
        <v>25000</v>
      </c>
      <c r="AB1394" s="893" t="s">
        <v>29</v>
      </c>
      <c r="AC1394" s="894" t="s">
        <v>1177</v>
      </c>
      <c r="AD1394" s="1160" t="s">
        <v>29</v>
      </c>
      <c r="AE1394" s="895" t="s">
        <v>756</v>
      </c>
      <c r="AF1394" s="895" t="s">
        <v>29</v>
      </c>
      <c r="AG1394" s="895" t="s">
        <v>29</v>
      </c>
      <c r="AH1394" s="940" t="s">
        <v>376</v>
      </c>
      <c r="AI1394" s="1193">
        <v>0</v>
      </c>
      <c r="AJ1394" s="1194">
        <v>0</v>
      </c>
      <c r="AK1394" s="1194">
        <v>0</v>
      </c>
      <c r="AL1394" s="901">
        <f>SUM(Table15[[#This Row],[Nicor Initiated DBE]:[Staffing]])/(Table15[[#This Row],[Amount Invoiced]])</f>
        <v>0</v>
      </c>
      <c r="AM1394" s="542" t="s">
        <v>709</v>
      </c>
      <c r="AN1394" s="924"/>
      <c r="AO1394" s="925"/>
      <c r="AP1394" s="926"/>
      <c r="AQ1394" s="926"/>
      <c r="AR1394" s="926"/>
      <c r="AS1394" s="926"/>
      <c r="AT1394" s="926"/>
      <c r="AU1394" s="926"/>
      <c r="AV1394" s="926"/>
      <c r="AW1394" s="927"/>
      <c r="AX1394" s="926"/>
      <c r="AY1394" s="1538" t="s">
        <v>29</v>
      </c>
      <c r="AZ1394" s="1530"/>
      <c r="BA1394" s="910" t="s">
        <v>8608</v>
      </c>
      <c r="BB1394" s="1010" t="s">
        <v>8609</v>
      </c>
      <c r="BC1394" s="912" t="s">
        <v>29</v>
      </c>
      <c r="BD1394" s="913" t="s">
        <v>29</v>
      </c>
      <c r="BE1394" s="914" t="s">
        <v>29</v>
      </c>
      <c r="BF1394" s="914" t="s">
        <v>29</v>
      </c>
      <c r="BG1394" s="943" t="s">
        <v>29</v>
      </c>
      <c r="BH1394" s="1023" t="s">
        <v>8610</v>
      </c>
      <c r="BI1394" s="916" t="s">
        <v>745</v>
      </c>
      <c r="BJ1394" s="916" t="s">
        <v>116</v>
      </c>
      <c r="BK1394" s="916" t="s">
        <v>745</v>
      </c>
      <c r="BL1394" s="916" t="s">
        <v>116</v>
      </c>
      <c r="BM1394" s="916" t="s">
        <v>745</v>
      </c>
      <c r="BN1394" s="916" t="s">
        <v>745</v>
      </c>
      <c r="BO1394" s="916" t="s">
        <v>745</v>
      </c>
      <c r="BP1394" s="916" t="s">
        <v>745</v>
      </c>
      <c r="BQ1394" s="916" t="s">
        <v>745</v>
      </c>
      <c r="BR1394" s="916" t="s">
        <v>709</v>
      </c>
      <c r="BS1394" s="916" t="s">
        <v>709</v>
      </c>
      <c r="BT1394" s="916" t="s">
        <v>745</v>
      </c>
      <c r="BU1394" s="916" t="s">
        <v>116</v>
      </c>
      <c r="BV1394" s="916" t="s">
        <v>745</v>
      </c>
      <c r="BW1394" s="916" t="s">
        <v>745</v>
      </c>
      <c r="BX1394" s="916" t="s">
        <v>745</v>
      </c>
      <c r="BY1394" s="916" t="s">
        <v>745</v>
      </c>
      <c r="BZ1394" s="916" t="s">
        <v>709</v>
      </c>
      <c r="CA1394" s="962" t="s">
        <v>6806</v>
      </c>
      <c r="CB1394" s="547">
        <v>1392</v>
      </c>
      <c r="CC1394" s="1481" t="b">
        <v>0</v>
      </c>
      <c r="CD1394" s="879" t="str">
        <f>Table15[[#This Row],[Engineering Number]]&amp;Table15[[#This Row],[WO Number]]&amp;Table15[[#This Row],[Date Assigned to Designer]]&amp;Table15[[#This Row],[Date Completed]]</f>
        <v>150111610148794566545747</v>
      </c>
    </row>
    <row r="1395" spans="1:82" ht="15" customHeight="1" x14ac:dyDescent="0.25">
      <c r="A1395">
        <v>2025</v>
      </c>
      <c r="B1395" s="879" t="s">
        <v>6798</v>
      </c>
      <c r="C1395" s="874" t="s">
        <v>8611</v>
      </c>
      <c r="D1395" s="879" t="s">
        <v>8612</v>
      </c>
      <c r="E1395" s="879" t="s">
        <v>5168</v>
      </c>
      <c r="F1395" s="879" t="s">
        <v>6643</v>
      </c>
      <c r="G1395" s="879" t="s">
        <v>34</v>
      </c>
      <c r="H1395" s="878" t="s">
        <v>59</v>
      </c>
      <c r="I1395" s="882">
        <v>45665</v>
      </c>
      <c r="J1395" s="881">
        <v>45777</v>
      </c>
      <c r="K1395" s="945">
        <v>45747</v>
      </c>
      <c r="L1395" s="884">
        <f>IF(ISTEXT(Table15[[#This Row],[Engineering Approved Design Date]]),Table15[[#This Row],[Date Completed]]-Table15[[#This Row],[Date Assigned to Designer]],Table15[[#This Row],[Engineering Approved Design Date]]-Table15[[#This Row],[Date Completed]])</f>
        <v>30</v>
      </c>
      <c r="N1395" s="99" t="s">
        <v>120</v>
      </c>
      <c r="O1395" s="886">
        <v>45778</v>
      </c>
      <c r="P1395" s="1154" t="s">
        <v>739</v>
      </c>
      <c r="Q1395" s="1303">
        <f>SUM(Table15[[#This Row],[Shactee Effort]:[KH Hourly Effort]])</f>
        <v>5702.5</v>
      </c>
      <c r="R1395" s="920" t="s">
        <v>1922</v>
      </c>
      <c r="S1395" s="888">
        <v>0</v>
      </c>
      <c r="T1395" s="888">
        <v>0</v>
      </c>
      <c r="U1395" s="889">
        <v>5702.5</v>
      </c>
      <c r="V1395" s="1630">
        <v>0</v>
      </c>
      <c r="W1395" s="1021">
        <v>1</v>
      </c>
      <c r="X1395" s="888">
        <v>30000</v>
      </c>
      <c r="Y1395" s="888"/>
      <c r="Z1395" s="888">
        <v>0</v>
      </c>
      <c r="AA1395" s="888">
        <f>SUM(Table15[[#This Row],[PCTS Investment Amount]:[PCTS Retirement Amount]])</f>
        <v>30000</v>
      </c>
      <c r="AB1395" s="893" t="s">
        <v>29</v>
      </c>
      <c r="AC1395" s="894" t="s">
        <v>1177</v>
      </c>
      <c r="AD1395" s="1160" t="s">
        <v>29</v>
      </c>
      <c r="AE1395" s="895" t="s">
        <v>756</v>
      </c>
      <c r="AF1395" s="895" t="s">
        <v>29</v>
      </c>
      <c r="AG1395" s="895" t="s">
        <v>29</v>
      </c>
      <c r="AH1395" s="940" t="s">
        <v>376</v>
      </c>
      <c r="AI1395" s="1193">
        <v>0</v>
      </c>
      <c r="AJ1395" s="1194">
        <v>0</v>
      </c>
      <c r="AK1395" s="1194">
        <v>0</v>
      </c>
      <c r="AL1395" s="901">
        <f>SUM(Table15[[#This Row],[Nicor Initiated DBE]:[Staffing]])/(Table15[[#This Row],[Amount Invoiced]])</f>
        <v>0</v>
      </c>
      <c r="AM1395" s="542" t="s">
        <v>709</v>
      </c>
      <c r="AN1395" s="924"/>
      <c r="AO1395" s="925"/>
      <c r="AP1395" s="926"/>
      <c r="AQ1395" s="926"/>
      <c r="AR1395" s="926"/>
      <c r="AS1395" s="926"/>
      <c r="AT1395" s="926"/>
      <c r="AU1395" s="926"/>
      <c r="AV1395" s="926"/>
      <c r="AW1395" s="927"/>
      <c r="AX1395" s="926"/>
      <c r="AY1395" s="1538" t="s">
        <v>29</v>
      </c>
      <c r="AZ1395" s="1530"/>
      <c r="BA1395" s="910" t="s">
        <v>8613</v>
      </c>
      <c r="BB1395" s="1010" t="s">
        <v>8614</v>
      </c>
      <c r="BC1395" s="912" t="s">
        <v>29</v>
      </c>
      <c r="BD1395" s="913" t="s">
        <v>29</v>
      </c>
      <c r="BE1395" s="914" t="s">
        <v>29</v>
      </c>
      <c r="BF1395" s="914" t="s">
        <v>29</v>
      </c>
      <c r="BG1395" s="943" t="s">
        <v>29</v>
      </c>
      <c r="BH1395" s="1023" t="s">
        <v>8615</v>
      </c>
      <c r="BI1395" s="916" t="s">
        <v>745</v>
      </c>
      <c r="BJ1395" s="916" t="s">
        <v>116</v>
      </c>
      <c r="BK1395" s="916" t="s">
        <v>745</v>
      </c>
      <c r="BL1395" s="916" t="s">
        <v>116</v>
      </c>
      <c r="BM1395" s="916" t="s">
        <v>745</v>
      </c>
      <c r="BN1395" s="916" t="s">
        <v>745</v>
      </c>
      <c r="BO1395" s="916" t="s">
        <v>745</v>
      </c>
      <c r="BP1395" s="916" t="s">
        <v>745</v>
      </c>
      <c r="BQ1395" s="916" t="s">
        <v>745</v>
      </c>
      <c r="BR1395" s="916" t="s">
        <v>709</v>
      </c>
      <c r="BS1395" s="916" t="s">
        <v>709</v>
      </c>
      <c r="BT1395" s="916" t="s">
        <v>745</v>
      </c>
      <c r="BU1395" s="916" t="s">
        <v>116</v>
      </c>
      <c r="BV1395" s="916" t="s">
        <v>745</v>
      </c>
      <c r="BW1395" s="916" t="s">
        <v>745</v>
      </c>
      <c r="BX1395" s="916" t="s">
        <v>745</v>
      </c>
      <c r="BY1395" s="916" t="s">
        <v>745</v>
      </c>
      <c r="BZ1395" s="916" t="s">
        <v>709</v>
      </c>
      <c r="CA1395" s="962" t="s">
        <v>6806</v>
      </c>
      <c r="CB1395" s="547">
        <v>1391</v>
      </c>
      <c r="CC1395" s="1481" t="b">
        <v>0</v>
      </c>
      <c r="CD1395" s="879" t="str">
        <f>Table15[[#This Row],[Engineering Number]]&amp;Table15[[#This Row],[WO Number]]&amp;Table15[[#This Row],[Date Assigned to Designer]]&amp;Table15[[#This Row],[Date Completed]]</f>
        <v>370113610148984566545747</v>
      </c>
    </row>
    <row r="1396" spans="1:82" ht="15" customHeight="1" x14ac:dyDescent="0.25">
      <c r="A1396">
        <v>2025</v>
      </c>
      <c r="B1396" s="878" t="s">
        <v>4</v>
      </c>
      <c r="C1396" s="878" t="s">
        <v>8616</v>
      </c>
      <c r="D1396" s="8" t="s">
        <v>115</v>
      </c>
      <c r="E1396" s="878" t="s">
        <v>354</v>
      </c>
      <c r="F1396" s="878" t="s">
        <v>784</v>
      </c>
      <c r="G1396" s="878" t="s">
        <v>31</v>
      </c>
      <c r="H1396" s="878" t="s">
        <v>8364</v>
      </c>
      <c r="I1396" s="882">
        <v>45735</v>
      </c>
      <c r="J1396" s="882">
        <v>45772</v>
      </c>
      <c r="K1396" s="945">
        <v>45748</v>
      </c>
      <c r="L1396" s="919">
        <f>IF(ISTEXT(Table15[[#This Row],[Engineering Approved Design Date]]),Table15[[#This Row],[Date Completed]]-Table15[[#This Row],[Date Assigned to Designer]],Table15[[#This Row],[Engineering Approved Design Date]]-Table15[[#This Row],[Date Completed]])</f>
        <v>24</v>
      </c>
      <c r="M1396" s="879" t="s">
        <v>8617</v>
      </c>
      <c r="N1396" s="99" t="s">
        <v>120</v>
      </c>
      <c r="O1396" s="886">
        <v>45772</v>
      </c>
      <c r="P1396" s="1153" t="s">
        <v>739</v>
      </c>
      <c r="Q1396" s="1150" t="s">
        <v>115</v>
      </c>
      <c r="R1396" s="887" t="s">
        <v>115</v>
      </c>
      <c r="S1396" s="888" t="s">
        <v>29</v>
      </c>
      <c r="T1396" s="888" t="s">
        <v>29</v>
      </c>
      <c r="U1396" s="889" t="s">
        <v>29</v>
      </c>
      <c r="V1396" s="1630" t="s">
        <v>29</v>
      </c>
      <c r="W1396" s="1188" t="s">
        <v>29</v>
      </c>
      <c r="X1396" s="888" t="s">
        <v>29</v>
      </c>
      <c r="Y1396" s="1487" t="s">
        <v>709</v>
      </c>
      <c r="Z1396" s="888" t="s">
        <v>29</v>
      </c>
      <c r="AA1396" s="892" t="s">
        <v>29</v>
      </c>
      <c r="AB1396" s="893" t="s">
        <v>29</v>
      </c>
      <c r="AC1396" s="896" t="s">
        <v>29</v>
      </c>
      <c r="AD1396" s="1161" t="s">
        <v>29</v>
      </c>
      <c r="AE1396" s="896" t="s">
        <v>756</v>
      </c>
      <c r="AF1396" s="896" t="s">
        <v>29</v>
      </c>
      <c r="AG1396" s="896" t="s">
        <v>29</v>
      </c>
      <c r="AH1396" s="897">
        <v>45770</v>
      </c>
      <c r="AI1396" s="921" t="s">
        <v>29</v>
      </c>
      <c r="AJ1396" s="922" t="s">
        <v>29</v>
      </c>
      <c r="AK1396" s="922" t="s">
        <v>29</v>
      </c>
      <c r="AL1396" s="923" t="s">
        <v>29</v>
      </c>
      <c r="AM1396" s="542" t="s">
        <v>709</v>
      </c>
      <c r="AN1396" s="924"/>
      <c r="AO1396" s="925"/>
      <c r="AP1396" s="926"/>
      <c r="AQ1396" s="926"/>
      <c r="AR1396" s="926"/>
      <c r="AS1396" s="926"/>
      <c r="AT1396" s="926"/>
      <c r="AU1396" s="926"/>
      <c r="AV1396" s="926"/>
      <c r="AW1396" s="927"/>
      <c r="AX1396" s="926"/>
      <c r="AY1396" s="1538" t="s">
        <v>29</v>
      </c>
      <c r="AZ1396" s="1530"/>
      <c r="BA1396" s="910" t="s">
        <v>8618</v>
      </c>
      <c r="BB1396" s="928" t="s">
        <v>6243</v>
      </c>
      <c r="BC1396" s="912" t="s">
        <v>709</v>
      </c>
      <c r="BD1396" s="913" t="s">
        <v>709</v>
      </c>
      <c r="BE1396" s="914" t="s">
        <v>709</v>
      </c>
      <c r="BF1396" s="914" t="s">
        <v>709</v>
      </c>
      <c r="BG1396" s="943" t="s">
        <v>709</v>
      </c>
      <c r="BH1396" s="1023" t="s">
        <v>8619</v>
      </c>
      <c r="BI1396" s="980"/>
      <c r="BJ1396" s="980"/>
      <c r="BK1396" s="980"/>
      <c r="BL1396" s="980"/>
      <c r="BM1396" s="980"/>
      <c r="BN1396" s="981"/>
      <c r="BO1396" s="980"/>
      <c r="BP1396" s="982"/>
      <c r="BQ1396" s="981"/>
      <c r="BR1396" s="981"/>
      <c r="BS1396" s="981"/>
      <c r="BT1396" s="981"/>
      <c r="BU1396" s="981"/>
      <c r="BV1396" s="981"/>
      <c r="BW1396" s="981"/>
      <c r="BX1396" s="980"/>
      <c r="BY1396" s="983"/>
      <c r="BZ1396" s="983"/>
      <c r="CA1396" s="485" t="s">
        <v>915</v>
      </c>
      <c r="CB1396" s="547">
        <v>1394</v>
      </c>
      <c r="CC1396" s="1481" t="b">
        <v>0</v>
      </c>
      <c r="CD1396" s="879" t="str">
        <f>Table15[[#This Row],[Engineering Number]]&amp;Table15[[#This Row],[WO Number]]&amp;Table15[[#This Row],[Date Assigned to Designer]]&amp;Table15[[#This Row],[Date Completed]]</f>
        <v>N19637-4573545748</v>
      </c>
    </row>
    <row r="1397" spans="1:82" ht="15" customHeight="1" x14ac:dyDescent="0.25">
      <c r="A1397">
        <v>2025</v>
      </c>
      <c r="B1397" s="878" t="s">
        <v>4</v>
      </c>
      <c r="C1397" s="878" t="s">
        <v>8520</v>
      </c>
      <c r="D1397" s="878">
        <v>1414948</v>
      </c>
      <c r="E1397" s="878" t="s">
        <v>1032</v>
      </c>
      <c r="F1397" s="878" t="s">
        <v>6874</v>
      </c>
      <c r="G1397" s="878" t="s">
        <v>31</v>
      </c>
      <c r="H1397" s="878" t="s">
        <v>3178</v>
      </c>
      <c r="I1397" s="883">
        <v>45740</v>
      </c>
      <c r="J1397" s="918" t="s">
        <v>2052</v>
      </c>
      <c r="K1397" s="945">
        <v>45750</v>
      </c>
      <c r="L1397" s="919">
        <f>IF(ISTEXT(Table15[[#This Row],[Engineering Approved Design Date]]),Table15[[#This Row],[Date Completed]]-Table15[[#This Row],[Date Assigned to Designer]],Table15[[#This Row],[Engineering Approved Design Date]]-Table15[[#This Row],[Date Completed]])</f>
        <v>10</v>
      </c>
      <c r="M1397" s="1012" t="s">
        <v>8620</v>
      </c>
      <c r="N1397" s="99" t="s">
        <v>120</v>
      </c>
      <c r="O1397" s="886">
        <v>45772</v>
      </c>
      <c r="P1397" s="1153" t="s">
        <v>739</v>
      </c>
      <c r="Q1397" s="1150">
        <f>SUM(Table15[[#This Row],[Shactee Effort]:[KH Hourly Effort]])</f>
        <v>8132.5</v>
      </c>
      <c r="R1397" s="920" t="s">
        <v>1922</v>
      </c>
      <c r="S1397" s="888">
        <v>0</v>
      </c>
      <c r="T1397" s="888">
        <v>0</v>
      </c>
      <c r="U1397" s="889">
        <v>8132.5</v>
      </c>
      <c r="V1397" s="1228" t="s">
        <v>29</v>
      </c>
      <c r="W1397" s="995" t="s">
        <v>29</v>
      </c>
      <c r="X1397" s="888" t="s">
        <v>29</v>
      </c>
      <c r="Y1397" s="888"/>
      <c r="Z1397" s="888" t="s">
        <v>29</v>
      </c>
      <c r="AA1397" s="888" t="s">
        <v>29</v>
      </c>
      <c r="AB1397" s="893" t="s">
        <v>29</v>
      </c>
      <c r="AC1397" s="896" t="s">
        <v>709</v>
      </c>
      <c r="AD1397" s="1155" t="s">
        <v>29</v>
      </c>
      <c r="AE1397" s="894" t="s">
        <v>756</v>
      </c>
      <c r="AF1397" s="896" t="s">
        <v>29</v>
      </c>
      <c r="AG1397" s="897" t="s">
        <v>29</v>
      </c>
      <c r="AH1397" s="902">
        <v>45770</v>
      </c>
      <c r="AI1397" s="921" t="s">
        <v>29</v>
      </c>
      <c r="AJ1397" s="922" t="s">
        <v>29</v>
      </c>
      <c r="AK1397" s="922" t="s">
        <v>29</v>
      </c>
      <c r="AL1397" s="923" t="s">
        <v>29</v>
      </c>
      <c r="AM1397" s="542" t="s">
        <v>709</v>
      </c>
      <c r="AN1397" s="924"/>
      <c r="AO1397" s="925"/>
      <c r="AP1397" s="926"/>
      <c r="AQ1397" s="926"/>
      <c r="AR1397" s="926"/>
      <c r="AS1397" s="926"/>
      <c r="AT1397" s="926"/>
      <c r="AU1397" s="926"/>
      <c r="AV1397" s="926"/>
      <c r="AW1397" s="927"/>
      <c r="AX1397" s="926"/>
      <c r="AY1397" s="1538" t="s">
        <v>29</v>
      </c>
      <c r="AZ1397" s="1530"/>
      <c r="BA1397" s="910">
        <v>9</v>
      </c>
      <c r="BB1397" s="928" t="s">
        <v>29</v>
      </c>
      <c r="BC1397" s="915" t="s">
        <v>116</v>
      </c>
      <c r="BD1397" s="915" t="s">
        <v>745</v>
      </c>
      <c r="BE1397" s="915" t="s">
        <v>745</v>
      </c>
      <c r="BF1397" s="915" t="s">
        <v>745</v>
      </c>
      <c r="BG1397" s="915" t="s">
        <v>709</v>
      </c>
      <c r="BH1397" s="1023" t="s">
        <v>8621</v>
      </c>
      <c r="BI1397" s="929" t="s">
        <v>745</v>
      </c>
      <c r="BJ1397" s="929">
        <v>367</v>
      </c>
      <c r="BK1397" s="929" t="s">
        <v>745</v>
      </c>
      <c r="BL1397" s="916" t="s">
        <v>709</v>
      </c>
      <c r="BM1397" s="916" t="s">
        <v>745</v>
      </c>
      <c r="BN1397" s="929" t="s">
        <v>745</v>
      </c>
      <c r="BO1397" s="916" t="s">
        <v>745</v>
      </c>
      <c r="BP1397" s="929">
        <v>367</v>
      </c>
      <c r="BQ1397" s="929" t="s">
        <v>745</v>
      </c>
      <c r="BR1397" s="929" t="s">
        <v>709</v>
      </c>
      <c r="BS1397" s="916" t="s">
        <v>709</v>
      </c>
      <c r="BT1397" s="929" t="s">
        <v>745</v>
      </c>
      <c r="BU1397" s="916" t="s">
        <v>745</v>
      </c>
      <c r="BV1397" s="929" t="s">
        <v>745</v>
      </c>
      <c r="BW1397" s="916" t="s">
        <v>745</v>
      </c>
      <c r="BX1397" s="929" t="s">
        <v>745</v>
      </c>
      <c r="BY1397" s="916" t="s">
        <v>745</v>
      </c>
      <c r="BZ1397" s="916" t="s">
        <v>709</v>
      </c>
      <c r="CA1397" s="1660" t="s">
        <v>8622</v>
      </c>
      <c r="CB1397" s="547">
        <v>1395</v>
      </c>
      <c r="CC1397" s="1481" t="b">
        <v>0</v>
      </c>
      <c r="CD1397" s="879" t="str">
        <f>Table15[[#This Row],[Engineering Number]]&amp;Table15[[#This Row],[WO Number]]&amp;Table15[[#This Row],[Date Assigned to Designer]]&amp;Table15[[#This Row],[Date Completed]]</f>
        <v>SC2541814149484574045750</v>
      </c>
    </row>
    <row r="1398" spans="1:82" ht="15" customHeight="1" x14ac:dyDescent="0.25">
      <c r="A1398">
        <v>2025</v>
      </c>
      <c r="B1398" s="874" t="s">
        <v>1981</v>
      </c>
      <c r="C1398" s="874" t="s">
        <v>8623</v>
      </c>
      <c r="D1398" s="879" t="s">
        <v>8624</v>
      </c>
      <c r="E1398" s="879" t="s">
        <v>178</v>
      </c>
      <c r="F1398" s="879" t="s">
        <v>7735</v>
      </c>
      <c r="G1398" s="879" t="s">
        <v>7382</v>
      </c>
      <c r="H1398" s="878" t="s">
        <v>59</v>
      </c>
      <c r="I1398" s="882">
        <v>45678</v>
      </c>
      <c r="J1398" s="881">
        <v>45751</v>
      </c>
      <c r="K1398" s="945">
        <v>45751</v>
      </c>
      <c r="L1398" s="884">
        <f>IF(ISTEXT(Table15[[#This Row],[Engineering Approved Design Date]]),Table15[[#This Row],[Date Completed]]-Table15[[#This Row],[Date Assigned to Designer]],Table15[[#This Row],[Engineering Approved Design Date]]-Table15[[#This Row],[Date Completed]])</f>
        <v>0</v>
      </c>
      <c r="M1398" s="946"/>
      <c r="N1398" s="99" t="s">
        <v>120</v>
      </c>
      <c r="O1398" s="886">
        <v>45748</v>
      </c>
      <c r="P1398" s="1154" t="s">
        <v>739</v>
      </c>
      <c r="Q1398" s="1303">
        <f>SUM(Table15[[#This Row],[Shactee Effort]:[KH Hourly Effort]])</f>
        <v>67470.63</v>
      </c>
      <c r="R1398" s="920" t="s">
        <v>1922</v>
      </c>
      <c r="S1398" s="888">
        <f>20+4420.63</f>
        <v>4440.63</v>
      </c>
      <c r="T1398" s="888">
        <v>0</v>
      </c>
      <c r="U1398" s="889">
        <v>63030</v>
      </c>
      <c r="V1398" s="1630">
        <v>223</v>
      </c>
      <c r="W1398" s="1021">
        <v>7</v>
      </c>
      <c r="X1398" s="1013">
        <v>611395.4</v>
      </c>
      <c r="Y1398" s="891"/>
      <c r="Z1398" s="888">
        <v>153647.39000000001</v>
      </c>
      <c r="AA1398" s="888">
        <f>SUM(Table15[[#This Row],[PCTS Investment Amount]:[PCTS Retirement Amount]])</f>
        <v>765042.79</v>
      </c>
      <c r="AB1398" s="893" t="s">
        <v>376</v>
      </c>
      <c r="AC1398" s="894" t="s">
        <v>709</v>
      </c>
      <c r="AD1398" s="1160" t="s">
        <v>29</v>
      </c>
      <c r="AE1398" s="895" t="s">
        <v>116</v>
      </c>
      <c r="AF1398" s="895" t="s">
        <v>29</v>
      </c>
      <c r="AG1398" s="1007" t="s">
        <v>29</v>
      </c>
      <c r="AH1398" s="940" t="s">
        <v>376</v>
      </c>
      <c r="AI1398" s="1011"/>
      <c r="AJ1398" s="899"/>
      <c r="AK1398" s="899"/>
      <c r="AL1398" s="964"/>
      <c r="AM1398" s="542" t="s">
        <v>709</v>
      </c>
      <c r="AN1398" s="924"/>
      <c r="AO1398" s="925"/>
      <c r="AP1398" s="926"/>
      <c r="AQ1398" s="926"/>
      <c r="AR1398" s="926"/>
      <c r="AS1398" s="926"/>
      <c r="AT1398" s="926"/>
      <c r="AU1398" s="926"/>
      <c r="AV1398" s="926"/>
      <c r="AW1398" s="927"/>
      <c r="AX1398" s="926"/>
      <c r="AY1398" s="1538" t="s">
        <v>29</v>
      </c>
      <c r="AZ1398" s="1530"/>
      <c r="BA1398" s="910" t="s">
        <v>8625</v>
      </c>
      <c r="BB1398" s="911" t="s">
        <v>8626</v>
      </c>
      <c r="BC1398" s="912" t="s">
        <v>116</v>
      </c>
      <c r="BD1398" s="913" t="s">
        <v>709</v>
      </c>
      <c r="BE1398" s="914" t="s">
        <v>5134</v>
      </c>
      <c r="BF1398" s="914" t="s">
        <v>709</v>
      </c>
      <c r="BG1398" s="915" t="s">
        <v>709</v>
      </c>
      <c r="BH1398" s="1023" t="s">
        <v>8627</v>
      </c>
      <c r="BI1398" s="916" t="s">
        <v>709</v>
      </c>
      <c r="BJ1398" s="916" t="s">
        <v>709</v>
      </c>
      <c r="BK1398" s="916" t="s">
        <v>709</v>
      </c>
      <c r="BL1398" s="916" t="s">
        <v>116</v>
      </c>
      <c r="BM1398" s="916" t="s">
        <v>709</v>
      </c>
      <c r="BN1398" s="916" t="s">
        <v>709</v>
      </c>
      <c r="BO1398" s="916" t="s">
        <v>709</v>
      </c>
      <c r="BP1398" s="916" t="s">
        <v>709</v>
      </c>
      <c r="BQ1398" s="916">
        <v>25</v>
      </c>
      <c r="BR1398" s="916">
        <f>152+46</f>
        <v>198</v>
      </c>
      <c r="BS1398" s="916" t="s">
        <v>709</v>
      </c>
      <c r="BT1398" s="916" t="s">
        <v>709</v>
      </c>
      <c r="BU1398" s="916" t="s">
        <v>709</v>
      </c>
      <c r="BV1398" s="916" t="s">
        <v>709</v>
      </c>
      <c r="BW1398" s="916" t="s">
        <v>709</v>
      </c>
      <c r="BX1398" s="916" t="s">
        <v>709</v>
      </c>
      <c r="BY1398" s="916" t="s">
        <v>709</v>
      </c>
      <c r="BZ1398" s="916">
        <v>7</v>
      </c>
      <c r="CA1398" s="917" t="s">
        <v>8314</v>
      </c>
      <c r="CB1398" s="547">
        <v>1396</v>
      </c>
      <c r="CC1398" s="1481" t="b">
        <v>0</v>
      </c>
      <c r="CD1398" s="879" t="str">
        <f>Table15[[#This Row],[Engineering Number]]&amp;Table15[[#This Row],[WO Number]]&amp;Table15[[#This Row],[Date Assigned to Designer]]&amp;Table15[[#This Row],[Date Completed]]</f>
        <v>COR108813151704567845751</v>
      </c>
    </row>
    <row r="1399" spans="1:82" ht="15" customHeight="1" x14ac:dyDescent="0.25">
      <c r="A1399">
        <v>2025</v>
      </c>
      <c r="B1399" s="878" t="s">
        <v>4</v>
      </c>
      <c r="C1399" s="879" t="s">
        <v>8628</v>
      </c>
      <c r="D1399" s="880" t="s">
        <v>8629</v>
      </c>
      <c r="E1399" s="879" t="s">
        <v>3259</v>
      </c>
      <c r="F1399" s="878" t="s">
        <v>784</v>
      </c>
      <c r="G1399" s="878" t="s">
        <v>26</v>
      </c>
      <c r="H1399" s="878" t="s">
        <v>59</v>
      </c>
      <c r="I1399" s="881">
        <v>45496</v>
      </c>
      <c r="J1399" s="882">
        <v>45756</v>
      </c>
      <c r="K1399" s="945">
        <v>45756</v>
      </c>
      <c r="L1399" s="884">
        <f>IF(ISTEXT(Table15[[#This Row],[Engineering Approved Design Date]]),Table15[[#This Row],[Date Completed]]-Table15[[#This Row],[Date Assigned to Designer]],Table15[[#This Row],[Engineering Approved Design Date]]-Table15[[#This Row],[Date Completed]])</f>
        <v>0</v>
      </c>
      <c r="N1399" s="99" t="s">
        <v>120</v>
      </c>
      <c r="O1399" s="886">
        <v>45809</v>
      </c>
      <c r="P1399" s="1153" t="s">
        <v>739</v>
      </c>
      <c r="Q1399" s="1150">
        <f>Table15[[#This Row],[Rate]]*Table15[[#This Row],[Construction Cost to Bill From]]</f>
        <v>87342.547000000006</v>
      </c>
      <c r="R1399" s="887">
        <v>0.1</v>
      </c>
      <c r="S1399" s="888" t="s">
        <v>29</v>
      </c>
      <c r="T1399" s="888" t="s">
        <v>29</v>
      </c>
      <c r="U1399" s="889" t="s">
        <v>29</v>
      </c>
      <c r="V1399" s="890">
        <v>499</v>
      </c>
      <c r="W1399" s="1021" t="s">
        <v>29</v>
      </c>
      <c r="X1399" s="888">
        <v>758335.95</v>
      </c>
      <c r="Y1399" s="891"/>
      <c r="Z1399" s="888">
        <v>115089.52</v>
      </c>
      <c r="AA1399" s="892">
        <f>SUM(Table15[[#This Row],[PCTS Investment Amount]:[PCTS Retirement Amount]])</f>
        <v>873425.47</v>
      </c>
      <c r="AB1399" s="893">
        <v>45754</v>
      </c>
      <c r="AC1399" s="894" t="s">
        <v>116</v>
      </c>
      <c r="AD1399" s="1161" t="s">
        <v>116</v>
      </c>
      <c r="AE1399" s="895" t="s">
        <v>756</v>
      </c>
      <c r="AF1399" s="895" t="s">
        <v>116</v>
      </c>
      <c r="AG1399" s="896" t="s">
        <v>116</v>
      </c>
      <c r="AH1399" s="897">
        <v>45825</v>
      </c>
      <c r="AI1399" s="898">
        <v>0</v>
      </c>
      <c r="AJ1399" s="899">
        <v>37000</v>
      </c>
      <c r="AK1399" s="899">
        <v>0</v>
      </c>
      <c r="AL1399" s="901">
        <f>SUM(Table15[[#This Row],[Nicor Initiated DBE]:[Staffing]])/(Table15[[#This Row],[Amount Invoiced]])</f>
        <v>0.4236194302875092</v>
      </c>
      <c r="AM1399" s="536" t="s">
        <v>116</v>
      </c>
      <c r="AN1399" s="903" t="s">
        <v>709</v>
      </c>
      <c r="AO1399" s="1536"/>
      <c r="AP1399" s="1537"/>
      <c r="AQ1399" s="1537"/>
      <c r="AR1399" s="1537"/>
      <c r="AS1399" s="888">
        <f>IF(Table15[[#This Row],[PCTS Approved]]="N",0,Table15[[#This Row],[Investment Amount (1'#'#'#'#'#)]]+Table15[[#This Row],[Retirement Amount (3'#'#'#'#'#)]])</f>
        <v>0</v>
      </c>
      <c r="AT1399" s="888">
        <f>IF(Table15[[#This Row],[Approved Construction Cost]]=0,0,Table15[[#This Row],[Approved Construction Cost]]-Table15[[#This Row],[Construction Cost to Bill From]])</f>
        <v>0</v>
      </c>
      <c r="AU1399" s="888">
        <f>IFERROR(Table15[[#This Row],[Difference in Construction Cost]]*Table15[[#This Row],[Rate]],Table15[[#This Row],[Difference in Construction Cost]]*0.085)</f>
        <v>0</v>
      </c>
      <c r="AV1399" s="905"/>
      <c r="AW1399" s="1509"/>
      <c r="AX1399" s="888"/>
      <c r="AY1399" s="636" t="s">
        <v>709</v>
      </c>
      <c r="AZ1399" s="333"/>
      <c r="BA1399" s="954" t="s">
        <v>8630</v>
      </c>
      <c r="BB1399" s="911" t="s">
        <v>870</v>
      </c>
      <c r="BC1399" s="912" t="s">
        <v>116</v>
      </c>
      <c r="BD1399" s="913" t="s">
        <v>709</v>
      </c>
      <c r="BE1399" s="914" t="s">
        <v>709</v>
      </c>
      <c r="BF1399" s="914" t="s">
        <v>709</v>
      </c>
      <c r="BG1399" s="915" t="s">
        <v>709</v>
      </c>
      <c r="BH1399" s="1023" t="s">
        <v>8631</v>
      </c>
      <c r="BI1399" s="929" t="s">
        <v>745</v>
      </c>
      <c r="BJ1399" s="929" t="s">
        <v>745</v>
      </c>
      <c r="BK1399" s="916" t="s">
        <v>745</v>
      </c>
      <c r="BL1399" s="916" t="s">
        <v>116</v>
      </c>
      <c r="BM1399" s="916" t="s">
        <v>745</v>
      </c>
      <c r="BN1399" s="916" t="s">
        <v>745</v>
      </c>
      <c r="BO1399" s="916" t="s">
        <v>745</v>
      </c>
      <c r="BP1399" s="916">
        <v>365</v>
      </c>
      <c r="BQ1399" s="916">
        <v>134</v>
      </c>
      <c r="BR1399" s="916" t="s">
        <v>745</v>
      </c>
      <c r="BS1399" s="916" t="s">
        <v>745</v>
      </c>
      <c r="BT1399" s="916" t="s">
        <v>745</v>
      </c>
      <c r="BU1399" s="916" t="s">
        <v>745</v>
      </c>
      <c r="BV1399" s="916" t="s">
        <v>745</v>
      </c>
      <c r="BW1399" s="916" t="s">
        <v>745</v>
      </c>
      <c r="BX1399" s="916" t="s">
        <v>745</v>
      </c>
      <c r="BY1399" s="916" t="s">
        <v>745</v>
      </c>
      <c r="BZ1399" s="916">
        <v>1</v>
      </c>
      <c r="CA1399" s="917" t="s">
        <v>8632</v>
      </c>
      <c r="CB1399" s="547">
        <v>1397</v>
      </c>
      <c r="CC1399" s="1481" t="b">
        <v>0</v>
      </c>
      <c r="CD1399" s="879" t="str">
        <f>Table15[[#This Row],[Engineering Number]]&amp;Table15[[#This Row],[WO Number]]&amp;Table15[[#This Row],[Date Assigned to Designer]]&amp;Table15[[#This Row],[Date Completed]]</f>
        <v>N17865-1 12147874549645756</v>
      </c>
    </row>
    <row r="1400" spans="1:82" ht="15" customHeight="1" x14ac:dyDescent="0.25">
      <c r="A1400">
        <v>2025</v>
      </c>
      <c r="B1400" s="878" t="s">
        <v>1981</v>
      </c>
      <c r="C1400" s="878" t="s">
        <v>8435</v>
      </c>
      <c r="D1400" s="878" t="s">
        <v>8436</v>
      </c>
      <c r="E1400" s="878" t="s">
        <v>6659</v>
      </c>
      <c r="F1400" s="878" t="s">
        <v>7735</v>
      </c>
      <c r="G1400" s="878" t="s">
        <v>6996</v>
      </c>
      <c r="H1400" s="878" t="s">
        <v>3178</v>
      </c>
      <c r="I1400" s="883">
        <v>45750</v>
      </c>
      <c r="J1400" s="918" t="s">
        <v>2052</v>
      </c>
      <c r="K1400" s="945">
        <v>45757</v>
      </c>
      <c r="L1400" s="919">
        <f>IF(ISTEXT(Table15[[#This Row],[Engineering Approved Design Date]]),Table15[[#This Row],[Date Completed]]-Table15[[#This Row],[Date Assigned to Designer]],Table15[[#This Row],[Engineering Approved Design Date]]-Table15[[#This Row],[Date Completed]])</f>
        <v>7</v>
      </c>
      <c r="M1400" s="879" t="s">
        <v>8633</v>
      </c>
      <c r="N1400" s="99" t="s">
        <v>120</v>
      </c>
      <c r="O1400" s="886">
        <v>45778</v>
      </c>
      <c r="P1400" s="1153" t="s">
        <v>739</v>
      </c>
      <c r="Q1400" s="1150">
        <f>Table15[[#This Row],[Shactee Effort]]+Table15[[#This Row],[3rd Party Effort]]+Table15[[#This Row],[KH Hourly Effort]]</f>
        <v>2912.5</v>
      </c>
      <c r="R1400" s="920" t="s">
        <v>1922</v>
      </c>
      <c r="S1400" s="888">
        <v>0</v>
      </c>
      <c r="T1400" s="888">
        <v>0</v>
      </c>
      <c r="U1400" s="889">
        <v>2912.5</v>
      </c>
      <c r="V1400" s="890">
        <v>20</v>
      </c>
      <c r="W1400" s="1021">
        <v>1</v>
      </c>
      <c r="X1400" s="888"/>
      <c r="Y1400" s="888"/>
      <c r="Z1400" s="888"/>
      <c r="AA1400" s="888"/>
      <c r="AB1400" s="893" t="s">
        <v>29</v>
      </c>
      <c r="AC1400" s="894" t="s">
        <v>29</v>
      </c>
      <c r="AD1400" s="894" t="s">
        <v>29</v>
      </c>
      <c r="AE1400" s="894" t="s">
        <v>756</v>
      </c>
      <c r="AF1400" s="895" t="s">
        <v>29</v>
      </c>
      <c r="AG1400" s="896" t="s">
        <v>29</v>
      </c>
      <c r="AH1400" s="985" t="s">
        <v>29</v>
      </c>
      <c r="AI1400" s="1637">
        <v>0</v>
      </c>
      <c r="AJ1400" s="1637">
        <v>0</v>
      </c>
      <c r="AK1400" s="1637">
        <v>0</v>
      </c>
      <c r="AL1400" s="1640">
        <f>SUM(Table15[[#This Row],[Nicor Initiated DBE]:[Staffing]])/(Table15[[#This Row],[Amount Invoiced]])</f>
        <v>0</v>
      </c>
      <c r="AM1400" s="542" t="s">
        <v>709</v>
      </c>
      <c r="AN1400" s="924"/>
      <c r="AO1400" s="925"/>
      <c r="AP1400" s="926"/>
      <c r="AQ1400" s="926"/>
      <c r="AR1400" s="926"/>
      <c r="AS1400" s="926"/>
      <c r="AT1400" s="926"/>
      <c r="AU1400" s="926"/>
      <c r="AV1400" s="926"/>
      <c r="AW1400" s="927"/>
      <c r="AX1400" s="926"/>
      <c r="AY1400" s="1538" t="s">
        <v>29</v>
      </c>
      <c r="AZ1400" s="1530"/>
      <c r="BA1400" s="910">
        <v>4</v>
      </c>
      <c r="BB1400" s="1000" t="s">
        <v>8634</v>
      </c>
      <c r="BC1400" s="950" t="s">
        <v>8439</v>
      </c>
      <c r="BD1400" s="951" t="s">
        <v>115</v>
      </c>
      <c r="BE1400" s="952" t="s">
        <v>4890</v>
      </c>
      <c r="BF1400" s="952" t="s">
        <v>115</v>
      </c>
      <c r="BG1400" s="953" t="s">
        <v>709</v>
      </c>
      <c r="BH1400" s="1023" t="s">
        <v>8635</v>
      </c>
      <c r="BI1400" s="929" t="s">
        <v>745</v>
      </c>
      <c r="BJ1400" s="929" t="s">
        <v>745</v>
      </c>
      <c r="BK1400" s="929" t="s">
        <v>745</v>
      </c>
      <c r="BL1400" s="916" t="s">
        <v>116</v>
      </c>
      <c r="BM1400" s="929" t="s">
        <v>745</v>
      </c>
      <c r="BN1400" s="929" t="s">
        <v>745</v>
      </c>
      <c r="BO1400" s="929" t="s">
        <v>745</v>
      </c>
      <c r="BP1400" s="929" t="s">
        <v>745</v>
      </c>
      <c r="BQ1400" s="929" t="s">
        <v>745</v>
      </c>
      <c r="BR1400" s="929">
        <v>20</v>
      </c>
      <c r="BS1400" s="916" t="s">
        <v>709</v>
      </c>
      <c r="BT1400" s="929" t="s">
        <v>745</v>
      </c>
      <c r="BU1400" s="929" t="s">
        <v>745</v>
      </c>
      <c r="BV1400" s="929" t="s">
        <v>745</v>
      </c>
      <c r="BW1400" s="929" t="s">
        <v>745</v>
      </c>
      <c r="BX1400" s="929" t="s">
        <v>745</v>
      </c>
      <c r="BY1400" s="929" t="s">
        <v>745</v>
      </c>
      <c r="BZ1400" s="929">
        <v>1</v>
      </c>
      <c r="CA1400" s="917" t="s">
        <v>8208</v>
      </c>
      <c r="CB1400" s="547">
        <v>1398</v>
      </c>
      <c r="CC1400" s="1481" t="b">
        <v>0</v>
      </c>
      <c r="CD1400" s="879" t="str">
        <f>Table15[[#This Row],[Engineering Number]]&amp;Table15[[#This Row],[WO Number]]&amp;Table15[[#This Row],[Date Assigned to Designer]]&amp;Table15[[#This Row],[Date Completed]]</f>
        <v>COR1067-112150644575045757</v>
      </c>
    </row>
    <row r="1401" spans="1:82" ht="15" customHeight="1" x14ac:dyDescent="0.25">
      <c r="A1401">
        <v>2025</v>
      </c>
      <c r="B1401" s="878" t="s">
        <v>4</v>
      </c>
      <c r="C1401" s="878" t="s">
        <v>5759</v>
      </c>
      <c r="D1401" s="878">
        <v>1412412</v>
      </c>
      <c r="E1401" s="878" t="s">
        <v>232</v>
      </c>
      <c r="F1401" s="878" t="s">
        <v>6874</v>
      </c>
      <c r="G1401" s="878" t="s">
        <v>28</v>
      </c>
      <c r="H1401" s="878" t="s">
        <v>3852</v>
      </c>
      <c r="I1401" s="883">
        <v>45595</v>
      </c>
      <c r="J1401" s="918" t="s">
        <v>2052</v>
      </c>
      <c r="K1401" s="945">
        <v>45761</v>
      </c>
      <c r="L1401" s="919">
        <f>IF(ISTEXT(Table15[[#This Row],[Engineering Approved Design Date]]),Table15[[#This Row],[Date Completed]]-Table15[[#This Row],[Date Assigned to Designer]],Table15[[#This Row],[Engineering Approved Design Date]]-Table15[[#This Row],[Date Completed]])</f>
        <v>166</v>
      </c>
      <c r="M1401" s="1012" t="s">
        <v>8636</v>
      </c>
      <c r="N1401" s="99" t="s">
        <v>120</v>
      </c>
      <c r="O1401" s="886">
        <v>45772</v>
      </c>
      <c r="P1401" s="1153" t="s">
        <v>739</v>
      </c>
      <c r="Q1401" s="1150">
        <f>SUM(Table15[[#This Row],[Shactee Effort]:[KH Hourly Effort]])</f>
        <v>43280.26</v>
      </c>
      <c r="R1401" s="920" t="s">
        <v>1922</v>
      </c>
      <c r="S1401" s="888">
        <v>1707.76</v>
      </c>
      <c r="T1401" s="888">
        <v>0</v>
      </c>
      <c r="U1401" s="889">
        <v>41572.5</v>
      </c>
      <c r="V1401" s="888" t="s">
        <v>29</v>
      </c>
      <c r="W1401" s="995" t="s">
        <v>29</v>
      </c>
      <c r="X1401" s="888" t="s">
        <v>29</v>
      </c>
      <c r="Y1401" s="888"/>
      <c r="Z1401" s="888" t="s">
        <v>29</v>
      </c>
      <c r="AA1401" s="888" t="s">
        <v>29</v>
      </c>
      <c r="AB1401" s="893" t="s">
        <v>29</v>
      </c>
      <c r="AC1401" s="896" t="s">
        <v>709</v>
      </c>
      <c r="AD1401" s="1155" t="s">
        <v>116</v>
      </c>
      <c r="AE1401" s="894" t="s">
        <v>756</v>
      </c>
      <c r="AF1401" s="896" t="s">
        <v>756</v>
      </c>
      <c r="AG1401" s="897" t="s">
        <v>29</v>
      </c>
      <c r="AH1401" s="902">
        <v>45806</v>
      </c>
      <c r="AI1401" s="921" t="s">
        <v>29</v>
      </c>
      <c r="AJ1401" s="922" t="s">
        <v>29</v>
      </c>
      <c r="AK1401" s="922" t="s">
        <v>29</v>
      </c>
      <c r="AL1401" s="923" t="s">
        <v>29</v>
      </c>
      <c r="AM1401" s="542" t="s">
        <v>709</v>
      </c>
      <c r="AN1401" s="924"/>
      <c r="AO1401" s="925"/>
      <c r="AP1401" s="926"/>
      <c r="AQ1401" s="926"/>
      <c r="AR1401" s="926"/>
      <c r="AS1401" s="926"/>
      <c r="AT1401" s="926"/>
      <c r="AU1401" s="926"/>
      <c r="AV1401" s="926"/>
      <c r="AW1401" s="927"/>
      <c r="AX1401" s="926"/>
      <c r="AY1401" s="1538" t="s">
        <v>29</v>
      </c>
      <c r="AZ1401" s="1530"/>
      <c r="BA1401" s="910" t="s">
        <v>4650</v>
      </c>
      <c r="BB1401" s="930" t="s">
        <v>8637</v>
      </c>
      <c r="BC1401" s="915" t="s">
        <v>756</v>
      </c>
      <c r="BD1401" s="915" t="s">
        <v>837</v>
      </c>
      <c r="BE1401" s="915" t="s">
        <v>595</v>
      </c>
      <c r="BF1401" s="915" t="s">
        <v>745</v>
      </c>
      <c r="BG1401" s="915" t="s">
        <v>709</v>
      </c>
      <c r="BH1401" s="1023" t="s">
        <v>8638</v>
      </c>
      <c r="BI1401" s="929" t="s">
        <v>745</v>
      </c>
      <c r="BJ1401" s="929" t="s">
        <v>745</v>
      </c>
      <c r="BK1401" s="929" t="s">
        <v>745</v>
      </c>
      <c r="BL1401" s="916" t="s">
        <v>116</v>
      </c>
      <c r="BM1401" s="916" t="s">
        <v>745</v>
      </c>
      <c r="BN1401" s="929" t="s">
        <v>745</v>
      </c>
      <c r="BO1401" s="916" t="s">
        <v>745</v>
      </c>
      <c r="BP1401" s="929" t="s">
        <v>745</v>
      </c>
      <c r="BQ1401" s="929" t="s">
        <v>745</v>
      </c>
      <c r="BR1401" s="929">
        <v>5297</v>
      </c>
      <c r="BS1401" s="916">
        <v>304</v>
      </c>
      <c r="BT1401" s="929" t="s">
        <v>745</v>
      </c>
      <c r="BU1401" s="916" t="s">
        <v>745</v>
      </c>
      <c r="BV1401" s="929" t="s">
        <v>745</v>
      </c>
      <c r="BW1401" s="916" t="s">
        <v>745</v>
      </c>
      <c r="BX1401" s="929" t="s">
        <v>745</v>
      </c>
      <c r="BY1401" s="916" t="s">
        <v>745</v>
      </c>
      <c r="BZ1401" s="916" t="s">
        <v>709</v>
      </c>
      <c r="CA1401" s="917"/>
      <c r="CB1401" s="547">
        <v>1399</v>
      </c>
      <c r="CC1401" s="1481" t="b">
        <v>0</v>
      </c>
      <c r="CD1401" s="879" t="str">
        <f>Table15[[#This Row],[Engineering Number]]&amp;Table15[[#This Row],[WO Number]]&amp;Table15[[#This Row],[Date Assigned to Designer]]&amp;Table15[[#This Row],[Date Completed]]</f>
        <v>SC1987914124124559545761</v>
      </c>
    </row>
    <row r="1402" spans="1:82" ht="15" customHeight="1" x14ac:dyDescent="0.25">
      <c r="A1402">
        <v>2025</v>
      </c>
      <c r="B1402" s="878" t="s">
        <v>6798</v>
      </c>
      <c r="C1402" s="878" t="s">
        <v>8639</v>
      </c>
      <c r="D1402" s="878" t="s">
        <v>8640</v>
      </c>
      <c r="E1402" s="878" t="s">
        <v>8641</v>
      </c>
      <c r="F1402" s="878" t="s">
        <v>6643</v>
      </c>
      <c r="G1402" s="878" t="s">
        <v>37</v>
      </c>
      <c r="H1402" s="878" t="s">
        <v>59</v>
      </c>
      <c r="I1402" s="883">
        <v>45665</v>
      </c>
      <c r="J1402" s="881">
        <v>45777</v>
      </c>
      <c r="K1402" s="945">
        <v>45761</v>
      </c>
      <c r="L1402" s="884">
        <f>IF(ISTEXT(Table15[[#This Row],[Engineering Approved Design Date]]),Table15[[#This Row],[Date Completed]]-Table15[[#This Row],[Date Assigned to Designer]],Table15[[#This Row],[Engineering Approved Design Date]]-Table15[[#This Row],[Date Completed]])</f>
        <v>16</v>
      </c>
      <c r="M1402" s="883"/>
      <c r="N1402" s="99" t="s">
        <v>120</v>
      </c>
      <c r="O1402" s="886">
        <v>45778</v>
      </c>
      <c r="P1402" s="1154" t="s">
        <v>739</v>
      </c>
      <c r="Q1402" s="1150">
        <f>Table15[[#This Row],[Shactee Effort]]+Table15[[#This Row],[3rd Party Effort]]+Table15[[#This Row],[KH Hourly Effort]]</f>
        <v>8097.5</v>
      </c>
      <c r="R1402" s="920" t="s">
        <v>1922</v>
      </c>
      <c r="S1402" s="888">
        <v>0</v>
      </c>
      <c r="T1402" s="888">
        <v>0</v>
      </c>
      <c r="U1402" s="889">
        <v>8097.5</v>
      </c>
      <c r="V1402" s="890">
        <v>0</v>
      </c>
      <c r="W1402" s="1021">
        <v>1</v>
      </c>
      <c r="X1402" s="888">
        <v>25000</v>
      </c>
      <c r="Y1402" s="888"/>
      <c r="Z1402" s="888">
        <v>0</v>
      </c>
      <c r="AA1402" s="888">
        <f>SUM(Table15[[#This Row],[PCTS Investment Amount]:[PCTS Retirement Amount]])</f>
        <v>25000</v>
      </c>
      <c r="AB1402" s="893" t="s">
        <v>29</v>
      </c>
      <c r="AC1402" s="894" t="s">
        <v>1177</v>
      </c>
      <c r="AD1402" s="1160" t="s">
        <v>29</v>
      </c>
      <c r="AE1402" s="895" t="s">
        <v>756</v>
      </c>
      <c r="AF1402" s="895" t="s">
        <v>29</v>
      </c>
      <c r="AG1402" s="895" t="s">
        <v>29</v>
      </c>
      <c r="AH1402" s="940" t="s">
        <v>376</v>
      </c>
      <c r="AI1402" s="898">
        <v>0</v>
      </c>
      <c r="AJ1402" s="899">
        <v>0</v>
      </c>
      <c r="AK1402" s="899">
        <v>0</v>
      </c>
      <c r="AL1402" s="901">
        <f>SUM(Table15[[#This Row],[Nicor Initiated DBE]:[Staffing]])/(Table15[[#This Row],[Amount Invoiced]])</f>
        <v>0</v>
      </c>
      <c r="AM1402" s="542" t="s">
        <v>709</v>
      </c>
      <c r="AN1402" s="924"/>
      <c r="AO1402" s="925"/>
      <c r="AP1402" s="926"/>
      <c r="AQ1402" s="926"/>
      <c r="AR1402" s="926"/>
      <c r="AS1402" s="926"/>
      <c r="AT1402" s="926"/>
      <c r="AU1402" s="926"/>
      <c r="AV1402" s="926"/>
      <c r="AW1402" s="927"/>
      <c r="AX1402" s="926"/>
      <c r="AY1402" s="1538" t="s">
        <v>29</v>
      </c>
      <c r="AZ1402" s="1532"/>
      <c r="BA1402" s="881" t="s">
        <v>8642</v>
      </c>
      <c r="BB1402" s="949" t="s">
        <v>8643</v>
      </c>
      <c r="BC1402" s="950" t="s">
        <v>29</v>
      </c>
      <c r="BD1402" s="951" t="s">
        <v>29</v>
      </c>
      <c r="BE1402" s="952" t="s">
        <v>29</v>
      </c>
      <c r="BF1402" s="952" t="s">
        <v>29</v>
      </c>
      <c r="BG1402" s="953" t="s">
        <v>29</v>
      </c>
      <c r="BH1402" s="1175" t="s">
        <v>8644</v>
      </c>
      <c r="BI1402" s="916" t="s">
        <v>745</v>
      </c>
      <c r="BJ1402" s="916" t="s">
        <v>745</v>
      </c>
      <c r="BK1402" s="916" t="s">
        <v>116</v>
      </c>
      <c r="BL1402" s="916" t="s">
        <v>116</v>
      </c>
      <c r="BM1402" s="916" t="s">
        <v>745</v>
      </c>
      <c r="BN1402" s="916" t="s">
        <v>745</v>
      </c>
      <c r="BO1402" s="916" t="s">
        <v>745</v>
      </c>
      <c r="BP1402" s="916" t="s">
        <v>745</v>
      </c>
      <c r="BQ1402" s="916" t="s">
        <v>745</v>
      </c>
      <c r="BR1402" s="916" t="s">
        <v>709</v>
      </c>
      <c r="BS1402" s="916" t="s">
        <v>709</v>
      </c>
      <c r="BT1402" s="916" t="s">
        <v>745</v>
      </c>
      <c r="BU1402" s="916" t="s">
        <v>116</v>
      </c>
      <c r="BV1402" s="916" t="s">
        <v>745</v>
      </c>
      <c r="BW1402" s="916" t="s">
        <v>745</v>
      </c>
      <c r="BX1402" s="916" t="s">
        <v>745</v>
      </c>
      <c r="BY1402" s="916" t="s">
        <v>745</v>
      </c>
      <c r="BZ1402" s="916" t="s">
        <v>709</v>
      </c>
      <c r="CA1402" s="962" t="s">
        <v>6806</v>
      </c>
      <c r="CB1402" s="547">
        <v>1401</v>
      </c>
      <c r="CC1402" s="1481" t="b">
        <v>0</v>
      </c>
      <c r="CD1402" s="879" t="str">
        <f>Table15[[#This Row],[Engineering Number]]&amp;Table15[[#This Row],[WO Number]]&amp;Table15[[#This Row],[Date Assigned to Designer]]&amp;Table15[[#This Row],[Date Completed]]</f>
        <v>120112610149054566545761</v>
      </c>
    </row>
    <row r="1403" spans="1:82" ht="15" customHeight="1" x14ac:dyDescent="0.25">
      <c r="A1403">
        <v>2025</v>
      </c>
      <c r="B1403" s="878" t="s">
        <v>6798</v>
      </c>
      <c r="C1403" s="878" t="s">
        <v>8645</v>
      </c>
      <c r="D1403" s="878" t="s">
        <v>8646</v>
      </c>
      <c r="E1403" s="878" t="s">
        <v>8647</v>
      </c>
      <c r="F1403" s="878" t="s">
        <v>6643</v>
      </c>
      <c r="G1403" s="878" t="s">
        <v>34</v>
      </c>
      <c r="H1403" s="878" t="s">
        <v>59</v>
      </c>
      <c r="I1403" s="883">
        <v>45665</v>
      </c>
      <c r="J1403" s="881">
        <v>45777</v>
      </c>
      <c r="K1403" s="945">
        <v>45761</v>
      </c>
      <c r="L1403" s="884">
        <f>IF(ISTEXT(Table15[[#This Row],[Engineering Approved Design Date]]),Table15[[#This Row],[Date Completed]]-Table15[[#This Row],[Date Assigned to Designer]],Table15[[#This Row],[Engineering Approved Design Date]]-Table15[[#This Row],[Date Completed]])</f>
        <v>16</v>
      </c>
      <c r="M1403" s="883"/>
      <c r="N1403" s="99" t="s">
        <v>120</v>
      </c>
      <c r="O1403" s="886">
        <v>45778</v>
      </c>
      <c r="P1403" s="1154" t="s">
        <v>739</v>
      </c>
      <c r="Q1403" s="1150">
        <f>Table15[[#This Row],[Shactee Effort]]+Table15[[#This Row],[3rd Party Effort]]+Table15[[#This Row],[KH Hourly Effort]]</f>
        <v>6507.5</v>
      </c>
      <c r="R1403" s="920" t="s">
        <v>1922</v>
      </c>
      <c r="S1403" s="888">
        <v>0</v>
      </c>
      <c r="T1403" s="888">
        <v>0</v>
      </c>
      <c r="U1403" s="889">
        <v>6507.5</v>
      </c>
      <c r="V1403" s="890">
        <v>0</v>
      </c>
      <c r="W1403" s="1021">
        <v>1</v>
      </c>
      <c r="X1403" s="888">
        <v>25000</v>
      </c>
      <c r="Y1403" s="888"/>
      <c r="Z1403" s="888">
        <v>0</v>
      </c>
      <c r="AA1403" s="888">
        <f>SUM(Table15[[#This Row],[PCTS Investment Amount]:[PCTS Retirement Amount]])</f>
        <v>25000</v>
      </c>
      <c r="AB1403" s="893" t="s">
        <v>29</v>
      </c>
      <c r="AC1403" s="894" t="s">
        <v>1177</v>
      </c>
      <c r="AD1403" s="1160" t="s">
        <v>29</v>
      </c>
      <c r="AE1403" s="895" t="s">
        <v>756</v>
      </c>
      <c r="AF1403" s="895" t="s">
        <v>29</v>
      </c>
      <c r="AG1403" s="895" t="s">
        <v>29</v>
      </c>
      <c r="AH1403" s="940" t="s">
        <v>376</v>
      </c>
      <c r="AI1403" s="898">
        <v>0</v>
      </c>
      <c r="AJ1403" s="899">
        <v>0</v>
      </c>
      <c r="AK1403" s="899">
        <v>0</v>
      </c>
      <c r="AL1403" s="901">
        <f>SUM(Table15[[#This Row],[Nicor Initiated DBE]:[Staffing]])/(Table15[[#This Row],[Amount Invoiced]])</f>
        <v>0</v>
      </c>
      <c r="AM1403" s="542" t="s">
        <v>709</v>
      </c>
      <c r="AN1403" s="924"/>
      <c r="AO1403" s="925"/>
      <c r="AP1403" s="926"/>
      <c r="AQ1403" s="926"/>
      <c r="AR1403" s="926"/>
      <c r="AS1403" s="926"/>
      <c r="AT1403" s="926"/>
      <c r="AU1403" s="926"/>
      <c r="AV1403" s="926"/>
      <c r="AW1403" s="927"/>
      <c r="AX1403" s="926"/>
      <c r="AY1403" s="1538" t="s">
        <v>29</v>
      </c>
      <c r="AZ1403" s="1530"/>
      <c r="BA1403" s="881" t="s">
        <v>8648</v>
      </c>
      <c r="BB1403" s="949" t="s">
        <v>8649</v>
      </c>
      <c r="BC1403" s="950" t="s">
        <v>29</v>
      </c>
      <c r="BD1403" s="951" t="s">
        <v>29</v>
      </c>
      <c r="BE1403" s="952" t="s">
        <v>29</v>
      </c>
      <c r="BF1403" s="952" t="s">
        <v>29</v>
      </c>
      <c r="BG1403" s="953" t="s">
        <v>29</v>
      </c>
      <c r="BH1403" s="1175" t="s">
        <v>8650</v>
      </c>
      <c r="BI1403" s="916" t="s">
        <v>745</v>
      </c>
      <c r="BJ1403" s="916" t="s">
        <v>116</v>
      </c>
      <c r="BK1403" s="916" t="s">
        <v>745</v>
      </c>
      <c r="BL1403" s="916" t="s">
        <v>116</v>
      </c>
      <c r="BM1403" s="916" t="s">
        <v>745</v>
      </c>
      <c r="BN1403" s="916" t="s">
        <v>745</v>
      </c>
      <c r="BO1403" s="916" t="s">
        <v>745</v>
      </c>
      <c r="BP1403" s="916" t="s">
        <v>745</v>
      </c>
      <c r="BQ1403" s="916" t="s">
        <v>745</v>
      </c>
      <c r="BR1403" s="916" t="s">
        <v>709</v>
      </c>
      <c r="BS1403" s="916" t="s">
        <v>709</v>
      </c>
      <c r="BT1403" s="916" t="s">
        <v>745</v>
      </c>
      <c r="BU1403" s="916" t="s">
        <v>116</v>
      </c>
      <c r="BV1403" s="916" t="s">
        <v>745</v>
      </c>
      <c r="BW1403" s="916" t="s">
        <v>745</v>
      </c>
      <c r="BX1403" s="916" t="s">
        <v>745</v>
      </c>
      <c r="BY1403" s="916" t="s">
        <v>745</v>
      </c>
      <c r="BZ1403" s="916" t="s">
        <v>709</v>
      </c>
      <c r="CA1403" s="962" t="s">
        <v>6806</v>
      </c>
      <c r="CB1403" s="547">
        <v>1400</v>
      </c>
      <c r="CC1403" s="1481" t="b">
        <v>0</v>
      </c>
      <c r="CD1403" s="879" t="str">
        <f>Table15[[#This Row],[Engineering Number]]&amp;Table15[[#This Row],[WO Number]]&amp;Table15[[#This Row],[Date Assigned to Designer]]&amp;Table15[[#This Row],[Date Completed]]</f>
        <v>430143510149034566545761</v>
      </c>
    </row>
    <row r="1404" spans="1:82" ht="15" customHeight="1" x14ac:dyDescent="0.25">
      <c r="A1404">
        <v>2025</v>
      </c>
      <c r="B1404" s="878" t="s">
        <v>4</v>
      </c>
      <c r="C1404" s="879" t="s">
        <v>8651</v>
      </c>
      <c r="D1404" s="880" t="s">
        <v>8652</v>
      </c>
      <c r="E1404" s="879" t="s">
        <v>1716</v>
      </c>
      <c r="F1404" s="878" t="s">
        <v>784</v>
      </c>
      <c r="G1404" s="878" t="s">
        <v>26</v>
      </c>
      <c r="H1404" s="878" t="s">
        <v>59</v>
      </c>
      <c r="I1404" s="881">
        <v>45649</v>
      </c>
      <c r="J1404" s="882">
        <v>45763</v>
      </c>
      <c r="K1404" s="945">
        <v>45762</v>
      </c>
      <c r="L1404" s="884">
        <f>IF(ISTEXT(Table15[[#This Row],[Engineering Approved Design Date]]),Table15[[#This Row],[Date Completed]]-Table15[[#This Row],[Date Assigned to Designer]],Table15[[#This Row],[Engineering Approved Design Date]]-Table15[[#This Row],[Date Completed]])</f>
        <v>1</v>
      </c>
      <c r="N1404" s="99" t="s">
        <v>120</v>
      </c>
      <c r="O1404" s="886">
        <v>45772</v>
      </c>
      <c r="P1404" s="1153" t="s">
        <v>739</v>
      </c>
      <c r="Q1404" s="1150">
        <f>Table15[[#This Row],[Rate]]*Table15[[#This Row],[Construction Cost to Bill From]]</f>
        <v>187540.85400000002</v>
      </c>
      <c r="R1404" s="887">
        <v>0.1</v>
      </c>
      <c r="S1404" s="888" t="s">
        <v>29</v>
      </c>
      <c r="T1404" s="888" t="s">
        <v>29</v>
      </c>
      <c r="U1404" s="889" t="s">
        <v>29</v>
      </c>
      <c r="V1404" s="890">
        <v>3258</v>
      </c>
      <c r="W1404" s="1021" t="s">
        <v>29</v>
      </c>
      <c r="X1404" s="888">
        <v>1582581.37</v>
      </c>
      <c r="Y1404" s="891"/>
      <c r="Z1404" s="888">
        <v>292827.17</v>
      </c>
      <c r="AA1404" s="892">
        <f>SUM(Table15[[#This Row],[PCTS Investment Amount]:[PCTS Retirement Amount]])</f>
        <v>1875408.54</v>
      </c>
      <c r="AB1404" s="893">
        <v>45764</v>
      </c>
      <c r="AC1404" s="894" t="s">
        <v>709</v>
      </c>
      <c r="AD1404" s="1161" t="s">
        <v>29</v>
      </c>
      <c r="AE1404" s="895" t="s">
        <v>756</v>
      </c>
      <c r="AF1404" s="895" t="s">
        <v>756</v>
      </c>
      <c r="AG1404" s="896" t="s">
        <v>116</v>
      </c>
      <c r="AH1404" s="897">
        <v>45825</v>
      </c>
      <c r="AI1404" s="898">
        <v>0</v>
      </c>
      <c r="AJ1404" s="899">
        <v>18335</v>
      </c>
      <c r="AK1404" s="899">
        <v>10197.11</v>
      </c>
      <c r="AL1404" s="901">
        <f>SUM(Table15[[#This Row],[Nicor Initiated DBE]:[Staffing]])/(Table15[[#This Row],[Amount Invoiced]])</f>
        <v>0.15213810426607099</v>
      </c>
      <c r="AM1404" s="1522" t="s">
        <v>116</v>
      </c>
      <c r="AN1404" s="1523">
        <v>45805</v>
      </c>
      <c r="AO1404" s="1524">
        <v>11103544</v>
      </c>
      <c r="AP1404" s="1525">
        <v>1385659.79</v>
      </c>
      <c r="AQ1404" s="1525"/>
      <c r="AR1404" s="1525">
        <v>298514.07</v>
      </c>
      <c r="AS1404" s="1525">
        <f>IF(Table15[[#This Row],[PCTS Approved]]="N",0,Table15[[#This Row],[Investment Amount (1'#'#'#'#'#)]]+Table15[[#This Row],[Retirement Amount (3'#'#'#'#'#)]])</f>
        <v>1684173.86</v>
      </c>
      <c r="AT1404" s="1525">
        <f>IF(Table15[[#This Row],[Approved Construction Cost]]=0,0,Table15[[#This Row],[Approved Construction Cost]]-Table15[[#This Row],[Construction Cost to Bill From]])</f>
        <v>-191234.67999999993</v>
      </c>
      <c r="AU1404" s="1525">
        <f>Table15[[#This Row],[Difference in Construction Cost]]*Table15[[#This Row],[Rate]]</f>
        <v>-19123.467999999993</v>
      </c>
      <c r="AV1404" s="1525">
        <v>0</v>
      </c>
      <c r="AW1404" s="1526" t="s">
        <v>8653</v>
      </c>
      <c r="AX1404" s="1525">
        <f>Table15[[#This Row],[Reconcile Amount]]</f>
        <v>-19123.467999999993</v>
      </c>
      <c r="AY1404" s="1518">
        <v>45901</v>
      </c>
      <c r="AZ1404" s="333"/>
      <c r="BA1404" s="910" t="s">
        <v>8654</v>
      </c>
      <c r="BB1404" s="911" t="s">
        <v>1718</v>
      </c>
      <c r="BC1404" s="912" t="s">
        <v>709</v>
      </c>
      <c r="BD1404" s="913" t="s">
        <v>709</v>
      </c>
      <c r="BE1404" s="914" t="s">
        <v>1719</v>
      </c>
      <c r="BF1404" s="914" t="s">
        <v>8655</v>
      </c>
      <c r="BG1404" s="915" t="s">
        <v>709</v>
      </c>
      <c r="BH1404" s="1023" t="s">
        <v>8656</v>
      </c>
      <c r="BI1404" s="916" t="s">
        <v>745</v>
      </c>
      <c r="BJ1404" s="916" t="s">
        <v>745</v>
      </c>
      <c r="BK1404" s="916" t="s">
        <v>745</v>
      </c>
      <c r="BL1404" s="916" t="s">
        <v>116</v>
      </c>
      <c r="BM1404" s="916" t="s">
        <v>745</v>
      </c>
      <c r="BN1404" s="916" t="s">
        <v>745</v>
      </c>
      <c r="BO1404" s="916" t="s">
        <v>745</v>
      </c>
      <c r="BP1404" s="916" t="s">
        <v>745</v>
      </c>
      <c r="BQ1404" s="916" t="s">
        <v>745</v>
      </c>
      <c r="BR1404" s="916">
        <v>266</v>
      </c>
      <c r="BS1404" s="916">
        <v>2992</v>
      </c>
      <c r="BT1404" s="916" t="s">
        <v>745</v>
      </c>
      <c r="BU1404" s="916" t="s">
        <v>745</v>
      </c>
      <c r="BV1404" s="916" t="s">
        <v>745</v>
      </c>
      <c r="BW1404" s="916" t="s">
        <v>745</v>
      </c>
      <c r="BX1404" s="916" t="s">
        <v>745</v>
      </c>
      <c r="BY1404" s="916" t="s">
        <v>745</v>
      </c>
      <c r="BZ1404" s="916" t="s">
        <v>745</v>
      </c>
      <c r="CA1404" s="917"/>
      <c r="CB1404" s="547">
        <v>1402</v>
      </c>
      <c r="CC1404" s="1481" t="b">
        <v>0</v>
      </c>
      <c r="CD1404" s="879" t="str">
        <f>Table15[[#This Row],[Engineering Number]]&amp;Table15[[#This Row],[WO Number]]&amp;Table15[[#This Row],[Date Assigned to Designer]]&amp;Table15[[#This Row],[Date Completed]]</f>
        <v>N1364512150334564945762</v>
      </c>
    </row>
    <row r="1405" spans="1:82" ht="15" customHeight="1" x14ac:dyDescent="0.25">
      <c r="A1405">
        <v>2025</v>
      </c>
      <c r="B1405" s="878" t="s">
        <v>6798</v>
      </c>
      <c r="C1405" s="878">
        <v>4101044</v>
      </c>
      <c r="D1405" s="878" t="s">
        <v>8657</v>
      </c>
      <c r="E1405" s="878" t="s">
        <v>1780</v>
      </c>
      <c r="F1405" s="878" t="s">
        <v>6643</v>
      </c>
      <c r="G1405" s="878" t="s">
        <v>6996</v>
      </c>
      <c r="H1405" s="878" t="s">
        <v>59</v>
      </c>
      <c r="I1405" s="883">
        <v>45665</v>
      </c>
      <c r="J1405" s="881">
        <v>45777</v>
      </c>
      <c r="K1405" s="945">
        <v>45763</v>
      </c>
      <c r="L1405" s="884">
        <f>IF(ISTEXT(Table15[[#This Row],[Engineering Approved Design Date]]),Table15[[#This Row],[Date Completed]]-Table15[[#This Row],[Date Assigned to Designer]],Table15[[#This Row],[Engineering Approved Design Date]]-Table15[[#This Row],[Date Completed]])</f>
        <v>14</v>
      </c>
      <c r="M1405" s="883"/>
      <c r="N1405" s="99" t="s">
        <v>120</v>
      </c>
      <c r="O1405" s="886">
        <v>45778</v>
      </c>
      <c r="P1405" s="1154" t="s">
        <v>739</v>
      </c>
      <c r="Q1405" s="1150">
        <f>Table15[[#This Row],[Shactee Effort]]+Table15[[#This Row],[3rd Party Effort]]+Table15[[#This Row],[KH Hourly Effort]]</f>
        <v>5752.5</v>
      </c>
      <c r="R1405" s="920" t="s">
        <v>1922</v>
      </c>
      <c r="S1405" s="888">
        <v>0</v>
      </c>
      <c r="T1405" s="888">
        <v>0</v>
      </c>
      <c r="U1405" s="889">
        <v>5752.5</v>
      </c>
      <c r="V1405" s="890">
        <v>0</v>
      </c>
      <c r="W1405" s="1021">
        <v>1</v>
      </c>
      <c r="X1405" s="888">
        <v>25000</v>
      </c>
      <c r="Y1405" s="888"/>
      <c r="Z1405" s="888">
        <v>0</v>
      </c>
      <c r="AA1405" s="888">
        <f>SUM(Table15[[#This Row],[PCTS Investment Amount]:[PCTS Retirement Amount]])</f>
        <v>25000</v>
      </c>
      <c r="AB1405" s="893" t="s">
        <v>29</v>
      </c>
      <c r="AC1405" s="894" t="s">
        <v>1177</v>
      </c>
      <c r="AD1405" s="1160" t="s">
        <v>29</v>
      </c>
      <c r="AE1405" s="895" t="s">
        <v>756</v>
      </c>
      <c r="AF1405" s="895" t="s">
        <v>29</v>
      </c>
      <c r="AG1405" s="895" t="s">
        <v>29</v>
      </c>
      <c r="AH1405" s="940" t="s">
        <v>376</v>
      </c>
      <c r="AI1405" s="898">
        <v>0</v>
      </c>
      <c r="AJ1405" s="899">
        <v>0</v>
      </c>
      <c r="AK1405" s="899">
        <v>0</v>
      </c>
      <c r="AL1405" s="901">
        <f>SUM(Table15[[#This Row],[Nicor Initiated DBE]:[Staffing]])/(Table15[[#This Row],[Amount Invoiced]])</f>
        <v>0</v>
      </c>
      <c r="AM1405" s="542" t="s">
        <v>709</v>
      </c>
      <c r="AN1405" s="924"/>
      <c r="AO1405" s="925"/>
      <c r="AP1405" s="926"/>
      <c r="AQ1405" s="926"/>
      <c r="AR1405" s="926"/>
      <c r="AS1405" s="926"/>
      <c r="AT1405" s="926"/>
      <c r="AU1405" s="926"/>
      <c r="AV1405" s="926"/>
      <c r="AW1405" s="927"/>
      <c r="AX1405" s="926"/>
      <c r="AY1405" s="1538" t="s">
        <v>29</v>
      </c>
      <c r="AZ1405" s="1532"/>
      <c r="BA1405" s="881" t="s">
        <v>8658</v>
      </c>
      <c r="BB1405" s="949" t="s">
        <v>8659</v>
      </c>
      <c r="BC1405" s="950" t="s">
        <v>29</v>
      </c>
      <c r="BD1405" s="951" t="s">
        <v>29</v>
      </c>
      <c r="BE1405" s="952" t="s">
        <v>29</v>
      </c>
      <c r="BF1405" s="952" t="s">
        <v>29</v>
      </c>
      <c r="BG1405" s="953" t="s">
        <v>29</v>
      </c>
      <c r="BH1405" s="1175" t="s">
        <v>8660</v>
      </c>
      <c r="BI1405" s="916" t="s">
        <v>745</v>
      </c>
      <c r="BJ1405" s="916" t="s">
        <v>116</v>
      </c>
      <c r="BK1405" s="916" t="s">
        <v>745</v>
      </c>
      <c r="BL1405" s="916" t="s">
        <v>116</v>
      </c>
      <c r="BM1405" s="916" t="s">
        <v>745</v>
      </c>
      <c r="BN1405" s="916" t="s">
        <v>745</v>
      </c>
      <c r="BO1405" s="916" t="s">
        <v>745</v>
      </c>
      <c r="BP1405" s="916" t="s">
        <v>745</v>
      </c>
      <c r="BQ1405" s="916" t="s">
        <v>745</v>
      </c>
      <c r="BR1405" s="916" t="s">
        <v>709</v>
      </c>
      <c r="BS1405" s="916" t="s">
        <v>709</v>
      </c>
      <c r="BT1405" s="916" t="s">
        <v>745</v>
      </c>
      <c r="BU1405" s="916" t="s">
        <v>116</v>
      </c>
      <c r="BV1405" s="916" t="s">
        <v>745</v>
      </c>
      <c r="BW1405" s="916" t="s">
        <v>745</v>
      </c>
      <c r="BX1405" s="916" t="s">
        <v>745</v>
      </c>
      <c r="BY1405" s="916" t="s">
        <v>745</v>
      </c>
      <c r="BZ1405" s="916" t="s">
        <v>709</v>
      </c>
      <c r="CA1405" s="962" t="s">
        <v>6806</v>
      </c>
      <c r="CB1405" s="547">
        <v>1405</v>
      </c>
      <c r="CC1405" s="1481" t="b">
        <v>0</v>
      </c>
      <c r="CD1405" s="879" t="str">
        <f>Table15[[#This Row],[Engineering Number]]&amp;Table15[[#This Row],[WO Number]]&amp;Table15[[#This Row],[Date Assigned to Designer]]&amp;Table15[[#This Row],[Date Completed]]</f>
        <v>410104410149004566545763</v>
      </c>
    </row>
    <row r="1406" spans="1:82" ht="15" customHeight="1" x14ac:dyDescent="0.25">
      <c r="A1406">
        <v>2025</v>
      </c>
      <c r="B1406" s="878" t="s">
        <v>6798</v>
      </c>
      <c r="C1406" s="878" t="s">
        <v>8661</v>
      </c>
      <c r="D1406" s="878" t="s">
        <v>8662</v>
      </c>
      <c r="E1406" s="878" t="s">
        <v>239</v>
      </c>
      <c r="F1406" s="878" t="s">
        <v>6643</v>
      </c>
      <c r="G1406" s="878" t="s">
        <v>34</v>
      </c>
      <c r="H1406" s="878" t="s">
        <v>59</v>
      </c>
      <c r="I1406" s="883">
        <v>45665</v>
      </c>
      <c r="J1406" s="881">
        <v>45777</v>
      </c>
      <c r="K1406" s="945">
        <v>45763</v>
      </c>
      <c r="L1406" s="884">
        <f>IF(ISTEXT(Table15[[#This Row],[Engineering Approved Design Date]]),Table15[[#This Row],[Date Completed]]-Table15[[#This Row],[Date Assigned to Designer]],Table15[[#This Row],[Engineering Approved Design Date]]-Table15[[#This Row],[Date Completed]])</f>
        <v>14</v>
      </c>
      <c r="M1406" s="883"/>
      <c r="N1406" s="99" t="s">
        <v>120</v>
      </c>
      <c r="O1406" s="886">
        <v>45778</v>
      </c>
      <c r="P1406" s="1154" t="s">
        <v>739</v>
      </c>
      <c r="Q1406" s="1150">
        <f>Table15[[#This Row],[Shactee Effort]]+Table15[[#This Row],[3rd Party Effort]]+Table15[[#This Row],[KH Hourly Effort]]</f>
        <v>6597.5</v>
      </c>
      <c r="R1406" s="920" t="s">
        <v>1922</v>
      </c>
      <c r="S1406" s="888">
        <v>0</v>
      </c>
      <c r="T1406" s="888">
        <v>0</v>
      </c>
      <c r="U1406" s="889">
        <v>6597.5</v>
      </c>
      <c r="V1406" s="890">
        <v>0</v>
      </c>
      <c r="W1406" s="1021">
        <v>1</v>
      </c>
      <c r="X1406" s="888">
        <v>25000</v>
      </c>
      <c r="Y1406" s="888"/>
      <c r="Z1406" s="888">
        <v>0</v>
      </c>
      <c r="AA1406" s="888">
        <f>SUM(Table15[[#This Row],[PCTS Investment Amount]:[PCTS Retirement Amount]])</f>
        <v>25000</v>
      </c>
      <c r="AB1406" s="893" t="s">
        <v>29</v>
      </c>
      <c r="AC1406" s="894" t="s">
        <v>1177</v>
      </c>
      <c r="AD1406" s="1160" t="s">
        <v>29</v>
      </c>
      <c r="AE1406" s="895" t="s">
        <v>756</v>
      </c>
      <c r="AF1406" s="895" t="s">
        <v>29</v>
      </c>
      <c r="AG1406" s="895" t="s">
        <v>29</v>
      </c>
      <c r="AH1406" s="940" t="s">
        <v>376</v>
      </c>
      <c r="AI1406" s="898">
        <v>0</v>
      </c>
      <c r="AJ1406" s="899">
        <v>0</v>
      </c>
      <c r="AK1406" s="899">
        <v>0</v>
      </c>
      <c r="AL1406" s="901">
        <f>SUM(Table15[[#This Row],[Nicor Initiated DBE]:[Staffing]])/(Table15[[#This Row],[Amount Invoiced]])</f>
        <v>0</v>
      </c>
      <c r="AM1406" s="542" t="s">
        <v>709</v>
      </c>
      <c r="AN1406" s="924"/>
      <c r="AO1406" s="925"/>
      <c r="AP1406" s="926"/>
      <c r="AQ1406" s="926"/>
      <c r="AR1406" s="926"/>
      <c r="AS1406" s="926"/>
      <c r="AT1406" s="926"/>
      <c r="AU1406" s="926"/>
      <c r="AV1406" s="926"/>
      <c r="AW1406" s="927"/>
      <c r="AX1406" s="926"/>
      <c r="AY1406" s="1538" t="s">
        <v>29</v>
      </c>
      <c r="AZ1406" s="1530"/>
      <c r="BA1406" s="881" t="s">
        <v>6802</v>
      </c>
      <c r="BB1406" s="949" t="s">
        <v>8663</v>
      </c>
      <c r="BC1406" s="950" t="s">
        <v>29</v>
      </c>
      <c r="BD1406" s="951" t="s">
        <v>29</v>
      </c>
      <c r="BE1406" s="952" t="s">
        <v>29</v>
      </c>
      <c r="BF1406" s="952" t="s">
        <v>29</v>
      </c>
      <c r="BG1406" s="953" t="s">
        <v>29</v>
      </c>
      <c r="BH1406" s="1175" t="s">
        <v>8664</v>
      </c>
      <c r="BI1406" s="916" t="s">
        <v>745</v>
      </c>
      <c r="BJ1406" s="916" t="s">
        <v>745</v>
      </c>
      <c r="BK1406" s="916" t="s">
        <v>116</v>
      </c>
      <c r="BL1406" s="916" t="s">
        <v>116</v>
      </c>
      <c r="BM1406" s="916" t="s">
        <v>745</v>
      </c>
      <c r="BN1406" s="916" t="s">
        <v>745</v>
      </c>
      <c r="BO1406" s="916" t="s">
        <v>745</v>
      </c>
      <c r="BP1406" s="916" t="s">
        <v>745</v>
      </c>
      <c r="BQ1406" s="916" t="s">
        <v>745</v>
      </c>
      <c r="BR1406" s="916" t="s">
        <v>709</v>
      </c>
      <c r="BS1406" s="916" t="s">
        <v>709</v>
      </c>
      <c r="BT1406" s="916" t="s">
        <v>745</v>
      </c>
      <c r="BU1406" s="916" t="s">
        <v>116</v>
      </c>
      <c r="BV1406" s="916" t="s">
        <v>745</v>
      </c>
      <c r="BW1406" s="916" t="s">
        <v>745</v>
      </c>
      <c r="BX1406" s="916" t="s">
        <v>745</v>
      </c>
      <c r="BY1406" s="916" t="s">
        <v>745</v>
      </c>
      <c r="BZ1406" s="916" t="s">
        <v>709</v>
      </c>
      <c r="CA1406" s="962" t="s">
        <v>6806</v>
      </c>
      <c r="CB1406" s="547">
        <v>1406</v>
      </c>
      <c r="CC1406" s="1481" t="b">
        <v>0</v>
      </c>
      <c r="CD1406" s="879" t="str">
        <f>Table15[[#This Row],[Engineering Number]]&amp;Table15[[#This Row],[WO Number]]&amp;Table15[[#This Row],[Date Assigned to Designer]]&amp;Table15[[#This Row],[Date Completed]]</f>
        <v>150110910148564566545763</v>
      </c>
    </row>
    <row r="1407" spans="1:82" ht="15" customHeight="1" x14ac:dyDescent="0.25">
      <c r="A1407">
        <v>2025</v>
      </c>
      <c r="B1407" s="878" t="s">
        <v>6798</v>
      </c>
      <c r="C1407" s="878" t="s">
        <v>8665</v>
      </c>
      <c r="D1407" s="878" t="s">
        <v>8666</v>
      </c>
      <c r="E1407" s="878" t="s">
        <v>2573</v>
      </c>
      <c r="F1407" s="878" t="s">
        <v>6643</v>
      </c>
      <c r="G1407" s="878" t="s">
        <v>34</v>
      </c>
      <c r="H1407" s="878" t="s">
        <v>59</v>
      </c>
      <c r="I1407" s="883">
        <v>45665</v>
      </c>
      <c r="J1407" s="881">
        <v>45777</v>
      </c>
      <c r="K1407" s="945">
        <v>45763</v>
      </c>
      <c r="L1407" s="884">
        <f>IF(ISTEXT(Table15[[#This Row],[Engineering Approved Design Date]]),Table15[[#This Row],[Date Completed]]-Table15[[#This Row],[Date Assigned to Designer]],Table15[[#This Row],[Engineering Approved Design Date]]-Table15[[#This Row],[Date Completed]])</f>
        <v>14</v>
      </c>
      <c r="M1407" s="883"/>
      <c r="N1407" s="99" t="s">
        <v>120</v>
      </c>
      <c r="O1407" s="886">
        <v>45778</v>
      </c>
      <c r="P1407" s="1154" t="s">
        <v>739</v>
      </c>
      <c r="Q1407" s="1150">
        <f>Table15[[#This Row],[Shactee Effort]]+Table15[[#This Row],[3rd Party Effort]]+Table15[[#This Row],[KH Hourly Effort]]</f>
        <v>7180</v>
      </c>
      <c r="R1407" s="920" t="s">
        <v>1922</v>
      </c>
      <c r="S1407" s="888">
        <v>0</v>
      </c>
      <c r="T1407" s="888">
        <v>0</v>
      </c>
      <c r="U1407" s="889">
        <v>7180</v>
      </c>
      <c r="V1407" s="890">
        <v>0</v>
      </c>
      <c r="W1407" s="1021">
        <v>1</v>
      </c>
      <c r="X1407" s="888">
        <v>30000</v>
      </c>
      <c r="Y1407" s="888"/>
      <c r="Z1407" s="888">
        <v>0</v>
      </c>
      <c r="AA1407" s="888">
        <f>SUM(Table15[[#This Row],[PCTS Investment Amount]:[PCTS Retirement Amount]])</f>
        <v>30000</v>
      </c>
      <c r="AB1407" s="893" t="s">
        <v>29</v>
      </c>
      <c r="AC1407" s="894" t="s">
        <v>1177</v>
      </c>
      <c r="AD1407" s="1160" t="s">
        <v>29</v>
      </c>
      <c r="AE1407" s="895" t="s">
        <v>756</v>
      </c>
      <c r="AF1407" s="895" t="s">
        <v>29</v>
      </c>
      <c r="AG1407" s="895" t="s">
        <v>29</v>
      </c>
      <c r="AH1407" s="940" t="s">
        <v>376</v>
      </c>
      <c r="AI1407" s="898">
        <v>0</v>
      </c>
      <c r="AJ1407" s="899">
        <v>0</v>
      </c>
      <c r="AK1407" s="899">
        <v>0</v>
      </c>
      <c r="AL1407" s="901">
        <f>SUM(Table15[[#This Row],[Nicor Initiated DBE]:[Staffing]])/(Table15[[#This Row],[Amount Invoiced]])</f>
        <v>0</v>
      </c>
      <c r="AM1407" s="542" t="s">
        <v>709</v>
      </c>
      <c r="AN1407" s="924"/>
      <c r="AO1407" s="925"/>
      <c r="AP1407" s="926"/>
      <c r="AQ1407" s="926"/>
      <c r="AR1407" s="926"/>
      <c r="AS1407" s="926"/>
      <c r="AT1407" s="926"/>
      <c r="AU1407" s="926"/>
      <c r="AV1407" s="926"/>
      <c r="AW1407" s="927"/>
      <c r="AX1407" s="926"/>
      <c r="AY1407" s="1538" t="s">
        <v>29</v>
      </c>
      <c r="AZ1407" s="1530"/>
      <c r="BA1407" s="883" t="s">
        <v>6802</v>
      </c>
      <c r="BB1407" s="949" t="s">
        <v>8667</v>
      </c>
      <c r="BC1407" s="950" t="s">
        <v>29</v>
      </c>
      <c r="BD1407" s="951" t="s">
        <v>29</v>
      </c>
      <c r="BE1407" s="952" t="s">
        <v>29</v>
      </c>
      <c r="BF1407" s="952" t="s">
        <v>29</v>
      </c>
      <c r="BG1407" s="953" t="s">
        <v>29</v>
      </c>
      <c r="BH1407" s="1175" t="s">
        <v>8668</v>
      </c>
      <c r="BI1407" s="916" t="s">
        <v>745</v>
      </c>
      <c r="BJ1407" s="916" t="s">
        <v>116</v>
      </c>
      <c r="BK1407" s="916" t="s">
        <v>745</v>
      </c>
      <c r="BL1407" s="916" t="s">
        <v>116</v>
      </c>
      <c r="BM1407" s="916" t="s">
        <v>745</v>
      </c>
      <c r="BN1407" s="916" t="s">
        <v>745</v>
      </c>
      <c r="BO1407" s="916" t="s">
        <v>745</v>
      </c>
      <c r="BP1407" s="916" t="s">
        <v>745</v>
      </c>
      <c r="BQ1407" s="916" t="s">
        <v>745</v>
      </c>
      <c r="BR1407" s="916" t="s">
        <v>709</v>
      </c>
      <c r="BS1407" s="916" t="s">
        <v>709</v>
      </c>
      <c r="BT1407" s="916" t="s">
        <v>745</v>
      </c>
      <c r="BU1407" s="916" t="s">
        <v>116</v>
      </c>
      <c r="BV1407" s="916" t="s">
        <v>745</v>
      </c>
      <c r="BW1407" s="916" t="s">
        <v>745</v>
      </c>
      <c r="BX1407" s="916" t="s">
        <v>745</v>
      </c>
      <c r="BY1407" s="916" t="s">
        <v>745</v>
      </c>
      <c r="BZ1407" s="916" t="s">
        <v>709</v>
      </c>
      <c r="CA1407" s="962" t="s">
        <v>6806</v>
      </c>
      <c r="CB1407" s="547">
        <v>1403</v>
      </c>
      <c r="CC1407" s="1481" t="b">
        <v>0</v>
      </c>
      <c r="CD1407" s="879" t="str">
        <f>Table15[[#This Row],[Engineering Number]]&amp;Table15[[#This Row],[WO Number]]&amp;Table15[[#This Row],[Date Assigned to Designer]]&amp;Table15[[#This Row],[Date Completed]]</f>
        <v>360119510148934566545763</v>
      </c>
    </row>
    <row r="1408" spans="1:82" ht="15" customHeight="1" x14ac:dyDescent="0.25">
      <c r="A1408">
        <v>2025</v>
      </c>
      <c r="B1408" s="878" t="s">
        <v>6798</v>
      </c>
      <c r="C1408" s="878" t="s">
        <v>8669</v>
      </c>
      <c r="D1408" s="878" t="s">
        <v>8670</v>
      </c>
      <c r="E1408" s="878" t="s">
        <v>1780</v>
      </c>
      <c r="F1408" s="878" t="s">
        <v>6643</v>
      </c>
      <c r="G1408" s="878" t="s">
        <v>6996</v>
      </c>
      <c r="H1408" s="878" t="s">
        <v>59</v>
      </c>
      <c r="I1408" s="883">
        <v>45665</v>
      </c>
      <c r="J1408" s="881">
        <v>45777</v>
      </c>
      <c r="K1408" s="945">
        <v>45763</v>
      </c>
      <c r="L1408" s="884">
        <f>IF(ISTEXT(Table15[[#This Row],[Engineering Approved Design Date]]),Table15[[#This Row],[Date Completed]]-Table15[[#This Row],[Date Assigned to Designer]],Table15[[#This Row],[Engineering Approved Design Date]]-Table15[[#This Row],[Date Completed]])</f>
        <v>14</v>
      </c>
      <c r="M1408" s="883"/>
      <c r="N1408" s="99" t="s">
        <v>120</v>
      </c>
      <c r="O1408" s="886">
        <v>45778</v>
      </c>
      <c r="P1408" s="1154" t="s">
        <v>739</v>
      </c>
      <c r="Q1408" s="1150">
        <f>Table15[[#This Row],[Shactee Effort]]+Table15[[#This Row],[3rd Party Effort]]+Table15[[#This Row],[KH Hourly Effort]]</f>
        <v>8270</v>
      </c>
      <c r="R1408" s="920" t="s">
        <v>1922</v>
      </c>
      <c r="S1408" s="888">
        <v>0</v>
      </c>
      <c r="T1408" s="888">
        <v>0</v>
      </c>
      <c r="U1408" s="1216">
        <v>8270</v>
      </c>
      <c r="V1408" s="890">
        <v>0</v>
      </c>
      <c r="W1408" s="1021">
        <v>1</v>
      </c>
      <c r="X1408" s="888">
        <v>30000</v>
      </c>
      <c r="Y1408" s="888"/>
      <c r="Z1408" s="888">
        <v>0</v>
      </c>
      <c r="AA1408" s="888">
        <f>SUM(Table15[[#This Row],[PCTS Investment Amount]:[PCTS Retirement Amount]])</f>
        <v>30000</v>
      </c>
      <c r="AB1408" s="893" t="s">
        <v>29</v>
      </c>
      <c r="AC1408" s="894" t="s">
        <v>1177</v>
      </c>
      <c r="AD1408" s="1160" t="s">
        <v>29</v>
      </c>
      <c r="AE1408" s="895" t="s">
        <v>756</v>
      </c>
      <c r="AF1408" s="895" t="s">
        <v>29</v>
      </c>
      <c r="AG1408" s="895" t="s">
        <v>29</v>
      </c>
      <c r="AH1408" s="940" t="s">
        <v>376</v>
      </c>
      <c r="AI1408" s="898">
        <v>0</v>
      </c>
      <c r="AJ1408" s="899">
        <v>0</v>
      </c>
      <c r="AK1408" s="899">
        <v>0</v>
      </c>
      <c r="AL1408" s="901">
        <f>SUM(Table15[[#This Row],[Nicor Initiated DBE]:[Staffing]])/(Table15[[#This Row],[Amount Invoiced]])</f>
        <v>0</v>
      </c>
      <c r="AM1408" s="542" t="s">
        <v>709</v>
      </c>
      <c r="AN1408" s="924"/>
      <c r="AO1408" s="925"/>
      <c r="AP1408" s="926"/>
      <c r="AQ1408" s="926"/>
      <c r="AR1408" s="926"/>
      <c r="AS1408" s="926"/>
      <c r="AT1408" s="926"/>
      <c r="AU1408" s="926"/>
      <c r="AV1408" s="926"/>
      <c r="AW1408" s="927"/>
      <c r="AX1408" s="926"/>
      <c r="AY1408" s="1538" t="s">
        <v>29</v>
      </c>
      <c r="AZ1408" s="1530"/>
      <c r="BA1408" s="881" t="s">
        <v>8658</v>
      </c>
      <c r="BB1408" s="949" t="s">
        <v>8671</v>
      </c>
      <c r="BC1408" s="950" t="s">
        <v>29</v>
      </c>
      <c r="BD1408" s="951" t="s">
        <v>29</v>
      </c>
      <c r="BE1408" s="952" t="s">
        <v>29</v>
      </c>
      <c r="BF1408" s="952" t="s">
        <v>29</v>
      </c>
      <c r="BG1408" s="953" t="s">
        <v>29</v>
      </c>
      <c r="BH1408" s="1175" t="s">
        <v>8672</v>
      </c>
      <c r="BI1408" s="916" t="s">
        <v>745</v>
      </c>
      <c r="BJ1408" s="916" t="s">
        <v>116</v>
      </c>
      <c r="BK1408" s="916" t="s">
        <v>745</v>
      </c>
      <c r="BL1408" s="916" t="s">
        <v>116</v>
      </c>
      <c r="BM1408" s="916" t="s">
        <v>745</v>
      </c>
      <c r="BN1408" s="916" t="s">
        <v>745</v>
      </c>
      <c r="BO1408" s="916" t="s">
        <v>745</v>
      </c>
      <c r="BP1408" s="916" t="s">
        <v>745</v>
      </c>
      <c r="BQ1408" s="916" t="s">
        <v>745</v>
      </c>
      <c r="BR1408" s="916" t="s">
        <v>709</v>
      </c>
      <c r="BS1408" s="916" t="s">
        <v>709</v>
      </c>
      <c r="BT1408" s="916" t="s">
        <v>745</v>
      </c>
      <c r="BU1408" s="916" t="s">
        <v>116</v>
      </c>
      <c r="BV1408" s="916" t="s">
        <v>745</v>
      </c>
      <c r="BW1408" s="916" t="s">
        <v>745</v>
      </c>
      <c r="BX1408" s="916" t="s">
        <v>745</v>
      </c>
      <c r="BY1408" s="916" t="s">
        <v>745</v>
      </c>
      <c r="BZ1408" s="916" t="s">
        <v>709</v>
      </c>
      <c r="CA1408" s="962" t="s">
        <v>6806</v>
      </c>
      <c r="CB1408" s="547">
        <v>1404</v>
      </c>
      <c r="CC1408" s="1481" t="b">
        <v>0</v>
      </c>
      <c r="CD1408" s="879" t="str">
        <f>Table15[[#This Row],[Engineering Number]]&amp;Table15[[#This Row],[WO Number]]&amp;Table15[[#This Row],[Date Assigned to Designer]]&amp;Table15[[#This Row],[Date Completed]]</f>
        <v>410104510149014566545763</v>
      </c>
    </row>
    <row r="1409" spans="1:82" ht="15" customHeight="1" x14ac:dyDescent="0.25">
      <c r="A1409">
        <v>2025</v>
      </c>
      <c r="B1409" s="878" t="s">
        <v>769</v>
      </c>
      <c r="C1409" s="878" t="s">
        <v>8189</v>
      </c>
      <c r="D1409" s="878" t="s">
        <v>8190</v>
      </c>
      <c r="E1409" s="878" t="s">
        <v>2375</v>
      </c>
      <c r="F1409" s="878" t="s">
        <v>6643</v>
      </c>
      <c r="G1409" s="878" t="s">
        <v>37</v>
      </c>
      <c r="H1409" s="878" t="s">
        <v>4045</v>
      </c>
      <c r="I1409" s="883">
        <v>45762</v>
      </c>
      <c r="J1409" s="882" t="s">
        <v>2958</v>
      </c>
      <c r="K1409" s="945">
        <v>45765</v>
      </c>
      <c r="L1409" s="919">
        <f>IF(ISTEXT(Table15[[#This Row],[Engineering Approved Design Date]]),Table15[[#This Row],[Date Completed]]-Table15[[#This Row],[Date Assigned to Designer]],Table15[[#This Row],[Engineering Approved Design Date]]-Table15[[#This Row],[Date Completed]])</f>
        <v>3</v>
      </c>
      <c r="M1409" s="965" t="s">
        <v>8673</v>
      </c>
      <c r="N1409" s="99" t="s">
        <v>120</v>
      </c>
      <c r="O1409" s="886">
        <v>45809</v>
      </c>
      <c r="P1409" s="1153" t="s">
        <v>120</v>
      </c>
      <c r="Q1409" s="1150">
        <f>Table15[[#This Row],[KH Hourly Effort]]+Table15[[#This Row],[Shactee Effort]]</f>
        <v>1687.5</v>
      </c>
      <c r="R1409" s="920" t="s">
        <v>1922</v>
      </c>
      <c r="S1409" s="888">
        <v>0</v>
      </c>
      <c r="T1409" s="888">
        <v>0</v>
      </c>
      <c r="U1409" s="889">
        <v>1687.5</v>
      </c>
      <c r="V1409" s="890">
        <v>78</v>
      </c>
      <c r="W1409" s="1021">
        <v>1</v>
      </c>
      <c r="X1409" s="888" t="s">
        <v>29</v>
      </c>
      <c r="Y1409" s="888"/>
      <c r="Z1409" s="888" t="s">
        <v>29</v>
      </c>
      <c r="AA1409" s="888" t="s">
        <v>29</v>
      </c>
      <c r="AB1409" s="893" t="s">
        <v>29</v>
      </c>
      <c r="AC1409" s="896" t="s">
        <v>29</v>
      </c>
      <c r="AD1409" s="1155" t="s">
        <v>29</v>
      </c>
      <c r="AE1409" s="894" t="s">
        <v>116</v>
      </c>
      <c r="AF1409" s="895" t="s">
        <v>29</v>
      </c>
      <c r="AG1409" s="896" t="s">
        <v>29</v>
      </c>
      <c r="AH1409" s="985" t="s">
        <v>29</v>
      </c>
      <c r="AI1409" s="921" t="s">
        <v>29</v>
      </c>
      <c r="AJ1409" s="922" t="s">
        <v>29</v>
      </c>
      <c r="AK1409" s="922" t="s">
        <v>29</v>
      </c>
      <c r="AL1409" s="923" t="s">
        <v>29</v>
      </c>
      <c r="AM1409" s="542" t="s">
        <v>709</v>
      </c>
      <c r="AN1409" s="924"/>
      <c r="AO1409" s="925"/>
      <c r="AP1409" s="926"/>
      <c r="AQ1409" s="926"/>
      <c r="AR1409" s="926"/>
      <c r="AS1409" s="926"/>
      <c r="AT1409" s="926"/>
      <c r="AU1409" s="926"/>
      <c r="AV1409" s="926"/>
      <c r="AW1409" s="927"/>
      <c r="AX1409" s="926"/>
      <c r="AY1409" s="1538" t="s">
        <v>29</v>
      </c>
      <c r="AZ1409" s="1530"/>
      <c r="BA1409" s="910">
        <v>11</v>
      </c>
      <c r="BB1409" s="1000" t="s">
        <v>8673</v>
      </c>
      <c r="BC1409" s="915" t="s">
        <v>116</v>
      </c>
      <c r="BD1409" s="915" t="s">
        <v>709</v>
      </c>
      <c r="BE1409" s="915" t="s">
        <v>709</v>
      </c>
      <c r="BF1409" s="915" t="s">
        <v>8129</v>
      </c>
      <c r="BG1409" s="943" t="s">
        <v>709</v>
      </c>
      <c r="BH1409" s="1023" t="s">
        <v>8674</v>
      </c>
      <c r="BI1409" s="916" t="s">
        <v>709</v>
      </c>
      <c r="BJ1409" s="916" t="s">
        <v>709</v>
      </c>
      <c r="BK1409" s="916" t="s">
        <v>116</v>
      </c>
      <c r="BL1409" s="916" t="s">
        <v>116</v>
      </c>
      <c r="BM1409" s="916" t="s">
        <v>709</v>
      </c>
      <c r="BN1409" s="916" t="s">
        <v>709</v>
      </c>
      <c r="BO1409" s="916" t="s">
        <v>709</v>
      </c>
      <c r="BP1409" s="944" t="s">
        <v>709</v>
      </c>
      <c r="BQ1409" s="944" t="s">
        <v>709</v>
      </c>
      <c r="BR1409" s="929" t="s">
        <v>709</v>
      </c>
      <c r="BS1409" s="929">
        <v>78</v>
      </c>
      <c r="BT1409" s="916" t="s">
        <v>709</v>
      </c>
      <c r="BU1409" s="916">
        <v>1</v>
      </c>
      <c r="BV1409" s="916" t="s">
        <v>709</v>
      </c>
      <c r="BW1409" s="916" t="s">
        <v>709</v>
      </c>
      <c r="BX1409" s="916">
        <v>1</v>
      </c>
      <c r="BY1409" s="916" t="s">
        <v>709</v>
      </c>
      <c r="BZ1409" s="916" t="s">
        <v>709</v>
      </c>
      <c r="CA1409" s="917"/>
      <c r="CB1409" s="547">
        <v>1408</v>
      </c>
      <c r="CC1409" s="1481" t="b">
        <v>0</v>
      </c>
      <c r="CD1409" s="879" t="str">
        <f>Table15[[#This Row],[Engineering Number]]&amp;Table15[[#This Row],[WO Number]]&amp;Table15[[#This Row],[Date Assigned to Designer]]&amp;Table15[[#This Row],[Date Completed]]</f>
        <v>RS127610152454576245765</v>
      </c>
    </row>
    <row r="1410" spans="1:82" ht="15" customHeight="1" x14ac:dyDescent="0.25">
      <c r="A1410">
        <v>2024</v>
      </c>
      <c r="B1410" s="878" t="s">
        <v>1205</v>
      </c>
      <c r="C1410" s="878" t="s">
        <v>8085</v>
      </c>
      <c r="D1410" s="878" t="s">
        <v>8675</v>
      </c>
      <c r="E1410" s="878" t="s">
        <v>8086</v>
      </c>
      <c r="F1410" s="878" t="s">
        <v>784</v>
      </c>
      <c r="G1410" s="878" t="s">
        <v>8264</v>
      </c>
      <c r="H1410"/>
      <c r="I1410" s="883">
        <v>45649</v>
      </c>
      <c r="J1410" s="1014">
        <v>45776</v>
      </c>
      <c r="K1410" s="945">
        <v>45765</v>
      </c>
      <c r="L1410" s="919">
        <f>IF(ISTEXT(Table15[[#This Row],[Engineering Approved Design Date]]),Table15[[#This Row],[Date Completed]]-Table15[[#This Row],[Date Assigned to Designer]],Table15[[#This Row],[Engineering Approved Design Date]]-Table15[[#This Row],[Date Completed]])</f>
        <v>11</v>
      </c>
      <c r="M1410" s="883"/>
      <c r="N1410" s="99" t="s">
        <v>120</v>
      </c>
      <c r="O1410" s="886">
        <v>45778</v>
      </c>
      <c r="P1410" s="1154" t="s">
        <v>739</v>
      </c>
      <c r="Q1410" s="1150">
        <f>Table15[[#This Row],[Rate]]*Table15[[#This Row],[Construction Cost to Bill From]]</f>
        <v>32256.877499999999</v>
      </c>
      <c r="R1410" s="920">
        <v>0.09</v>
      </c>
      <c r="S1410" s="888" t="s">
        <v>29</v>
      </c>
      <c r="T1410" s="888" t="s">
        <v>29</v>
      </c>
      <c r="U1410" s="889" t="s">
        <v>29</v>
      </c>
      <c r="V1410" s="890">
        <v>119</v>
      </c>
      <c r="W1410" s="1021">
        <v>0</v>
      </c>
      <c r="X1410" s="888">
        <v>300463.92</v>
      </c>
      <c r="Y1410" s="891"/>
      <c r="Z1410" s="888">
        <v>57945.83</v>
      </c>
      <c r="AA1410" s="892">
        <f>SUM(Table15[[#This Row],[PCTS Investment Amount]:[PCTS Retirement Amount]])</f>
        <v>358409.75</v>
      </c>
      <c r="AB1410" s="893">
        <v>45772</v>
      </c>
      <c r="AC1410" s="894" t="s">
        <v>116</v>
      </c>
      <c r="AD1410" s="1160" t="s">
        <v>709</v>
      </c>
      <c r="AE1410" s="895" t="s">
        <v>756</v>
      </c>
      <c r="AF1410" s="895" t="s">
        <v>756</v>
      </c>
      <c r="AG1410" s="895" t="s">
        <v>116</v>
      </c>
      <c r="AH1410" s="940">
        <v>45806</v>
      </c>
      <c r="AI1410" s="898">
        <v>16695</v>
      </c>
      <c r="AJ1410" s="899">
        <v>0</v>
      </c>
      <c r="AK1410" s="899">
        <v>0</v>
      </c>
      <c r="AL1410" s="901">
        <f>SUM(Table15[[#This Row],[Nicor Initiated DBE]:[Staffing]])/(Table15[[#This Row],[Amount Invoiced]])</f>
        <v>0.51756404506294817</v>
      </c>
      <c r="AM1410" s="1522" t="s">
        <v>116</v>
      </c>
      <c r="AN1410" s="1523">
        <v>45793</v>
      </c>
      <c r="AO1410" s="1524">
        <v>11098888</v>
      </c>
      <c r="AP1410" s="1525">
        <v>300463.92</v>
      </c>
      <c r="AQ1410" s="1525"/>
      <c r="AR1410" s="1525">
        <v>57945.83</v>
      </c>
      <c r="AS1410" s="1525">
        <f>IF(Table15[[#This Row],[PCTS Approved]]="N",0,Table15[[#This Row],[Investment Amount (1'#'#'#'#'#)]]+Table15[[#This Row],[Retirement Amount (3'#'#'#'#'#)]])</f>
        <v>358409.75</v>
      </c>
      <c r="AT1410" s="1525">
        <f>IF(Table15[[#This Row],[Approved Construction Cost]]=0,0,Table15[[#This Row],[Approved Construction Cost]]-Table15[[#This Row],[Construction Cost to Bill From]])</f>
        <v>0</v>
      </c>
      <c r="AU1410" s="1525">
        <f>Table15[[#This Row],[Difference in Construction Cost]]*Table15[[#This Row],[Rate]]</f>
        <v>0</v>
      </c>
      <c r="AV1410" s="1525">
        <v>0</v>
      </c>
      <c r="AW1410" s="1526" t="s">
        <v>29</v>
      </c>
      <c r="AX1410" s="1525">
        <f>Table15[[#This Row],[Reconcile Amount]]</f>
        <v>0</v>
      </c>
      <c r="AY1410" s="1518">
        <v>45901</v>
      </c>
      <c r="AZ1410" s="333"/>
      <c r="BA1410" s="883" t="s">
        <v>8676</v>
      </c>
      <c r="BB1410" s="949" t="s">
        <v>8677</v>
      </c>
      <c r="BC1410" s="950" t="s">
        <v>709</v>
      </c>
      <c r="BD1410" s="951" t="s">
        <v>709</v>
      </c>
      <c r="BE1410" s="952" t="s">
        <v>8071</v>
      </c>
      <c r="BF1410" s="952" t="s">
        <v>709</v>
      </c>
      <c r="BG1410" s="953" t="s">
        <v>29</v>
      </c>
      <c r="BH1410" s="1175" t="s">
        <v>8678</v>
      </c>
      <c r="BI1410" s="916" t="s">
        <v>745</v>
      </c>
      <c r="BJ1410" s="916" t="s">
        <v>745</v>
      </c>
      <c r="BK1410" s="916" t="s">
        <v>116</v>
      </c>
      <c r="BL1410" s="916" t="s">
        <v>709</v>
      </c>
      <c r="BM1410" s="916">
        <v>0</v>
      </c>
      <c r="BN1410" s="916">
        <v>0</v>
      </c>
      <c r="BO1410" s="916">
        <v>0</v>
      </c>
      <c r="BP1410" s="916">
        <v>119</v>
      </c>
      <c r="BQ1410" s="916">
        <v>0</v>
      </c>
      <c r="BR1410" s="916">
        <v>0</v>
      </c>
      <c r="BS1410" s="916">
        <v>0</v>
      </c>
      <c r="BT1410" s="916">
        <v>0</v>
      </c>
      <c r="BU1410" s="916">
        <v>0</v>
      </c>
      <c r="BV1410" s="916">
        <v>0</v>
      </c>
      <c r="BW1410" s="916">
        <v>0</v>
      </c>
      <c r="BX1410" s="916">
        <v>0</v>
      </c>
      <c r="BY1410" s="916">
        <v>0</v>
      </c>
      <c r="BZ1410" s="916">
        <v>0</v>
      </c>
      <c r="CA1410" s="962" t="s">
        <v>8679</v>
      </c>
      <c r="CB1410" s="547">
        <v>1407</v>
      </c>
      <c r="CC1410" s="1481" t="b">
        <v>0</v>
      </c>
      <c r="CD1410" s="879" t="str">
        <f>Table15[[#This Row],[Engineering Number]]&amp;Table15[[#This Row],[WO Number]]&amp;Table15[[#This Row],[Date Assigned to Designer]]&amp;Table15[[#This Row],[Date Completed]]</f>
        <v>MR221612147854564945765</v>
      </c>
    </row>
    <row r="1411" spans="1:82" ht="15" customHeight="1" x14ac:dyDescent="0.25">
      <c r="A1411">
        <v>2025</v>
      </c>
      <c r="B1411" s="878" t="s">
        <v>6798</v>
      </c>
      <c r="C1411" s="878" t="s">
        <v>8680</v>
      </c>
      <c r="D1411" s="878" t="s">
        <v>8681</v>
      </c>
      <c r="E1411" s="878" t="s">
        <v>354</v>
      </c>
      <c r="F1411" s="878" t="s">
        <v>6643</v>
      </c>
      <c r="G1411" s="878" t="s">
        <v>34</v>
      </c>
      <c r="H1411" s="878" t="s">
        <v>59</v>
      </c>
      <c r="I1411" s="883">
        <v>45665</v>
      </c>
      <c r="J1411" s="881">
        <v>45777</v>
      </c>
      <c r="K1411" s="945">
        <v>45768</v>
      </c>
      <c r="L1411" s="884">
        <f>IF(ISTEXT(Table15[[#This Row],[Engineering Approved Design Date]]),Table15[[#This Row],[Date Completed]]-Table15[[#This Row],[Date Assigned to Designer]],Table15[[#This Row],[Engineering Approved Design Date]]-Table15[[#This Row],[Date Completed]])</f>
        <v>9</v>
      </c>
      <c r="M1411" s="883"/>
      <c r="N1411" s="99" t="s">
        <v>120</v>
      </c>
      <c r="O1411" s="886">
        <v>45778</v>
      </c>
      <c r="P1411" s="1153" t="s">
        <v>739</v>
      </c>
      <c r="Q1411" s="1150">
        <f>SUM(Table15[[#This Row],[Shactee Effort]:[KH Hourly Effort]])</f>
        <v>7135</v>
      </c>
      <c r="R1411" s="920" t="s">
        <v>1922</v>
      </c>
      <c r="S1411" s="888">
        <v>0</v>
      </c>
      <c r="T1411" s="888">
        <v>0</v>
      </c>
      <c r="U1411" s="889">
        <v>7135</v>
      </c>
      <c r="V1411" s="890">
        <v>0</v>
      </c>
      <c r="W1411" s="1021">
        <v>1</v>
      </c>
      <c r="X1411" s="888">
        <v>25000</v>
      </c>
      <c r="Y1411" s="888"/>
      <c r="Z1411" s="888">
        <v>0</v>
      </c>
      <c r="AA1411" s="888">
        <f>SUM(Table15[[#This Row],[PCTS Investment Amount]:[PCTS Retirement Amount]])</f>
        <v>25000</v>
      </c>
      <c r="AB1411" s="893" t="s">
        <v>29</v>
      </c>
      <c r="AC1411" s="894" t="s">
        <v>1177</v>
      </c>
      <c r="AD1411" s="1160" t="s">
        <v>29</v>
      </c>
      <c r="AE1411" s="895" t="s">
        <v>756</v>
      </c>
      <c r="AF1411" s="895" t="s">
        <v>29</v>
      </c>
      <c r="AG1411" s="895" t="s">
        <v>29</v>
      </c>
      <c r="AH1411" s="940" t="s">
        <v>376</v>
      </c>
      <c r="AI1411" s="898">
        <v>0</v>
      </c>
      <c r="AJ1411" s="899">
        <v>0</v>
      </c>
      <c r="AK1411" s="899">
        <v>0</v>
      </c>
      <c r="AL1411" s="901">
        <f>SUM(Table15[[#This Row],[Nicor Initiated DBE]:[Staffing]])/(Table15[[#This Row],[Amount Invoiced]])</f>
        <v>0</v>
      </c>
      <c r="AM1411" s="542" t="s">
        <v>709</v>
      </c>
      <c r="AN1411" s="924"/>
      <c r="AO1411" s="925"/>
      <c r="AP1411" s="926"/>
      <c r="AQ1411" s="926"/>
      <c r="AR1411" s="926"/>
      <c r="AS1411" s="926"/>
      <c r="AT1411" s="926"/>
      <c r="AU1411" s="926"/>
      <c r="AV1411" s="926"/>
      <c r="AW1411" s="927"/>
      <c r="AX1411" s="926"/>
      <c r="AY1411" s="1538" t="s">
        <v>29</v>
      </c>
      <c r="AZ1411" s="1530"/>
      <c r="BA1411" s="910" t="s">
        <v>6802</v>
      </c>
      <c r="BB1411" s="949" t="s">
        <v>8682</v>
      </c>
      <c r="BC1411" s="950" t="s">
        <v>709</v>
      </c>
      <c r="BD1411" s="951" t="s">
        <v>743</v>
      </c>
      <c r="BE1411" s="952" t="s">
        <v>115</v>
      </c>
      <c r="BF1411" s="952" t="s">
        <v>115</v>
      </c>
      <c r="BG1411" s="953" t="s">
        <v>115</v>
      </c>
      <c r="BH1411" s="1175" t="s">
        <v>8683</v>
      </c>
      <c r="BI1411" s="929" t="s">
        <v>745</v>
      </c>
      <c r="BJ1411" s="929" t="s">
        <v>116</v>
      </c>
      <c r="BK1411" s="929" t="s">
        <v>745</v>
      </c>
      <c r="BL1411" s="916" t="s">
        <v>116</v>
      </c>
      <c r="BM1411" s="929" t="s">
        <v>745</v>
      </c>
      <c r="BN1411" s="929" t="s">
        <v>745</v>
      </c>
      <c r="BO1411" s="929" t="s">
        <v>745</v>
      </c>
      <c r="BP1411" s="929" t="s">
        <v>745</v>
      </c>
      <c r="BQ1411" s="929" t="s">
        <v>745</v>
      </c>
      <c r="BR1411" s="929" t="s">
        <v>709</v>
      </c>
      <c r="BS1411" s="916" t="s">
        <v>709</v>
      </c>
      <c r="BT1411" s="929" t="s">
        <v>745</v>
      </c>
      <c r="BU1411" s="929" t="s">
        <v>116</v>
      </c>
      <c r="BV1411" s="929" t="s">
        <v>745</v>
      </c>
      <c r="BW1411" s="929" t="s">
        <v>745</v>
      </c>
      <c r="BX1411" s="929" t="s">
        <v>745</v>
      </c>
      <c r="BY1411" s="929" t="s">
        <v>745</v>
      </c>
      <c r="BZ1411" s="929" t="s">
        <v>709</v>
      </c>
      <c r="CA1411" s="917" t="s">
        <v>6806</v>
      </c>
      <c r="CB1411" s="547">
        <v>1410</v>
      </c>
      <c r="CC1411" s="1481" t="b">
        <v>0</v>
      </c>
      <c r="CD1411" s="879" t="str">
        <f>Table15[[#This Row],[Engineering Number]]&amp;Table15[[#This Row],[WO Number]]&amp;Table15[[#This Row],[Date Assigned to Designer]]&amp;Table15[[#This Row],[Date Completed]]</f>
        <v>350137110148914566545768</v>
      </c>
    </row>
    <row r="1412" spans="1:82" ht="15" customHeight="1" x14ac:dyDescent="0.25">
      <c r="A1412">
        <v>2025</v>
      </c>
      <c r="B1412" s="879" t="s">
        <v>1073</v>
      </c>
      <c r="C1412" s="879" t="s">
        <v>8064</v>
      </c>
      <c r="D1412" s="1018" t="s">
        <v>8684</v>
      </c>
      <c r="E1412" s="965" t="s">
        <v>1915</v>
      </c>
      <c r="F1412" s="879" t="s">
        <v>851</v>
      </c>
      <c r="G1412" s="879" t="s">
        <v>7152</v>
      </c>
      <c r="H1412" s="879" t="s">
        <v>3178</v>
      </c>
      <c r="I1412" s="883">
        <v>45761</v>
      </c>
      <c r="J1412" s="918" t="s">
        <v>2052</v>
      </c>
      <c r="K1412" s="945">
        <v>45768</v>
      </c>
      <c r="L1412" s="884">
        <f>IF(ISTEXT(Table15[[#This Row],[Engineering Approved Design Date]]),Table15[[#This Row],[Date Completed]]-Table15[[#This Row],[Date Assigned to Designer]],Table15[[#This Row],[Engineering Approved Design Date]]-Table15[[#This Row],[Date Completed]])</f>
        <v>7</v>
      </c>
      <c r="M1412" s="879" t="s">
        <v>8685</v>
      </c>
      <c r="N1412" s="99" t="s">
        <v>120</v>
      </c>
      <c r="O1412" s="886">
        <v>45778</v>
      </c>
      <c r="P1412" s="1154" t="s">
        <v>739</v>
      </c>
      <c r="Q1412" s="1150">
        <f>SUM(Table15[[#This Row],[Shactee Effort]:[KH Hourly Effort]])</f>
        <v>4195</v>
      </c>
      <c r="R1412" s="920" t="s">
        <v>1922</v>
      </c>
      <c r="S1412" s="888">
        <v>0</v>
      </c>
      <c r="T1412" s="888">
        <v>0</v>
      </c>
      <c r="U1412" s="1216">
        <v>4195</v>
      </c>
      <c r="V1412" s="879">
        <v>17309</v>
      </c>
      <c r="W1412" s="1189">
        <v>0</v>
      </c>
      <c r="X1412" s="888" t="s">
        <v>29</v>
      </c>
      <c r="Y1412" s="888"/>
      <c r="Z1412" s="888" t="s">
        <v>29</v>
      </c>
      <c r="AA1412" s="888" t="s">
        <v>29</v>
      </c>
      <c r="AB1412" s="893" t="s">
        <v>29</v>
      </c>
      <c r="AC1412" s="896" t="s">
        <v>29</v>
      </c>
      <c r="AD1412" s="1155" t="s">
        <v>29</v>
      </c>
      <c r="AE1412" s="895" t="s">
        <v>116</v>
      </c>
      <c r="AF1412" s="895" t="s">
        <v>116</v>
      </c>
      <c r="AG1412" s="895" t="s">
        <v>116</v>
      </c>
      <c r="AH1412" s="897">
        <v>45770</v>
      </c>
      <c r="AI1412" s="921" t="s">
        <v>29</v>
      </c>
      <c r="AJ1412" s="922" t="s">
        <v>29</v>
      </c>
      <c r="AK1412" s="922" t="s">
        <v>29</v>
      </c>
      <c r="AL1412" s="923" t="s">
        <v>29</v>
      </c>
      <c r="AM1412" s="542" t="s">
        <v>709</v>
      </c>
      <c r="AN1412" s="924"/>
      <c r="AO1412" s="925"/>
      <c r="AP1412" s="926"/>
      <c r="AQ1412" s="926"/>
      <c r="AR1412" s="926"/>
      <c r="AS1412" s="926"/>
      <c r="AT1412" s="926"/>
      <c r="AU1412" s="926"/>
      <c r="AV1412" s="926"/>
      <c r="AW1412" s="927"/>
      <c r="AX1412" s="926"/>
      <c r="AY1412" s="1538" t="s">
        <v>29</v>
      </c>
      <c r="AZ1412" s="1530"/>
      <c r="BA1412" s="966">
        <v>2</v>
      </c>
      <c r="BB1412" s="949" t="s">
        <v>29</v>
      </c>
      <c r="BC1412" s="914" t="s">
        <v>116</v>
      </c>
      <c r="BD1412" s="914" t="s">
        <v>115</v>
      </c>
      <c r="BE1412" s="914" t="s">
        <v>3332</v>
      </c>
      <c r="BF1412" s="914" t="s">
        <v>3333</v>
      </c>
      <c r="BG1412" s="914" t="s">
        <v>8352</v>
      </c>
      <c r="BH1412" s="1175" t="s">
        <v>8686</v>
      </c>
      <c r="BI1412" s="929" t="s">
        <v>709</v>
      </c>
      <c r="BJ1412" s="929" t="s">
        <v>116</v>
      </c>
      <c r="BK1412" s="929" t="s">
        <v>709</v>
      </c>
      <c r="BL1412" s="929" t="s">
        <v>709</v>
      </c>
      <c r="BM1412" s="929" t="s">
        <v>709</v>
      </c>
      <c r="BN1412" s="929" t="s">
        <v>709</v>
      </c>
      <c r="BO1412" s="929" t="s">
        <v>709</v>
      </c>
      <c r="BP1412" s="929">
        <v>3671</v>
      </c>
      <c r="BQ1412" s="929">
        <v>13638</v>
      </c>
      <c r="BR1412" s="929" t="s">
        <v>709</v>
      </c>
      <c r="BS1412" s="929" t="s">
        <v>709</v>
      </c>
      <c r="BT1412" s="929" t="s">
        <v>709</v>
      </c>
      <c r="BU1412" s="929" t="s">
        <v>709</v>
      </c>
      <c r="BV1412" s="929" t="s">
        <v>709</v>
      </c>
      <c r="BW1412" s="929" t="s">
        <v>709</v>
      </c>
      <c r="BX1412" s="929" t="s">
        <v>709</v>
      </c>
      <c r="BY1412" s="929" t="s">
        <v>709</v>
      </c>
      <c r="BZ1412" s="929" t="s">
        <v>709</v>
      </c>
      <c r="CA1412" s="1195"/>
      <c r="CB1412" s="547">
        <v>1409</v>
      </c>
      <c r="CC1412" s="1481" t="b">
        <v>0</v>
      </c>
      <c r="CD1412" s="879" t="str">
        <f>Table15[[#This Row],[Engineering Number]]&amp;Table15[[#This Row],[WO Number]]&amp;Table15[[#This Row],[Date Assigned to Designer]]&amp;Table15[[#This Row],[Date Completed]]</f>
        <v>NBA100134651914022/1914035/19140364576145768</v>
      </c>
    </row>
    <row r="1413" spans="1:82" ht="15" customHeight="1" x14ac:dyDescent="0.25">
      <c r="A1413">
        <v>2025</v>
      </c>
      <c r="B1413" s="878" t="s">
        <v>4</v>
      </c>
      <c r="C1413" s="878" t="s">
        <v>8687</v>
      </c>
      <c r="D1413" s="878" t="s">
        <v>115</v>
      </c>
      <c r="E1413" s="878" t="s">
        <v>164</v>
      </c>
      <c r="F1413" s="878" t="s">
        <v>784</v>
      </c>
      <c r="G1413" s="878" t="s">
        <v>6377</v>
      </c>
      <c r="H1413" s="878" t="s">
        <v>1681</v>
      </c>
      <c r="I1413" s="882">
        <v>45737</v>
      </c>
      <c r="J1413" s="882">
        <v>45793</v>
      </c>
      <c r="K1413" s="945">
        <v>45769</v>
      </c>
      <c r="L1413" s="919">
        <f>IF(ISTEXT(Table15[[#This Row],[Engineering Approved Design Date]]),Table15[[#This Row],[Date Completed]]-Table15[[#This Row],[Date Assigned to Designer]],Table15[[#This Row],[Engineering Approved Design Date]]-Table15[[#This Row],[Date Completed]])</f>
        <v>24</v>
      </c>
      <c r="N1413" s="99" t="s">
        <v>120</v>
      </c>
      <c r="O1413" s="886">
        <v>45769</v>
      </c>
      <c r="P1413" s="1153" t="s">
        <v>739</v>
      </c>
      <c r="Q1413" s="1150" t="s">
        <v>115</v>
      </c>
      <c r="R1413" s="887" t="s">
        <v>115</v>
      </c>
      <c r="S1413" s="888" t="s">
        <v>29</v>
      </c>
      <c r="T1413" s="888" t="s">
        <v>29</v>
      </c>
      <c r="U1413" s="889" t="s">
        <v>29</v>
      </c>
      <c r="V1413" s="890" t="s">
        <v>29</v>
      </c>
      <c r="W1413" s="1188" t="s">
        <v>29</v>
      </c>
      <c r="X1413" s="888" t="s">
        <v>29</v>
      </c>
      <c r="Y1413" s="1487"/>
      <c r="Z1413" s="888" t="s">
        <v>29</v>
      </c>
      <c r="AA1413" s="892" t="s">
        <v>29</v>
      </c>
      <c r="AB1413" s="893" t="s">
        <v>29</v>
      </c>
      <c r="AC1413" s="896" t="s">
        <v>29</v>
      </c>
      <c r="AD1413" s="1161" t="s">
        <v>29</v>
      </c>
      <c r="AE1413" s="896" t="s">
        <v>756</v>
      </c>
      <c r="AF1413" s="896" t="s">
        <v>756</v>
      </c>
      <c r="AG1413" s="896" t="s">
        <v>116</v>
      </c>
      <c r="AH1413" s="897">
        <v>45806</v>
      </c>
      <c r="AI1413" s="921" t="s">
        <v>29</v>
      </c>
      <c r="AJ1413" s="922" t="s">
        <v>29</v>
      </c>
      <c r="AK1413" s="922" t="s">
        <v>29</v>
      </c>
      <c r="AL1413" s="923" t="s">
        <v>29</v>
      </c>
      <c r="AM1413" s="542" t="s">
        <v>709</v>
      </c>
      <c r="AN1413" s="924"/>
      <c r="AO1413" s="925"/>
      <c r="AP1413" s="926"/>
      <c r="AQ1413" s="926"/>
      <c r="AR1413" s="926"/>
      <c r="AS1413" s="926"/>
      <c r="AT1413" s="926"/>
      <c r="AU1413" s="926"/>
      <c r="AV1413" s="926"/>
      <c r="AW1413" s="927"/>
      <c r="AX1413" s="926"/>
      <c r="AY1413" s="1538" t="s">
        <v>29</v>
      </c>
      <c r="AZ1413" s="1530"/>
      <c r="BA1413" s="910" t="s">
        <v>8688</v>
      </c>
      <c r="BB1413" s="928" t="s">
        <v>1411</v>
      </c>
      <c r="BC1413" s="912" t="s">
        <v>709</v>
      </c>
      <c r="BD1413" s="913" t="s">
        <v>709</v>
      </c>
      <c r="BE1413" s="914" t="s">
        <v>709</v>
      </c>
      <c r="BF1413" s="914" t="s">
        <v>709</v>
      </c>
      <c r="BG1413" s="943" t="s">
        <v>709</v>
      </c>
      <c r="BH1413" s="1023" t="s">
        <v>8689</v>
      </c>
      <c r="BI1413" s="980"/>
      <c r="BJ1413" s="980"/>
      <c r="BK1413" s="980"/>
      <c r="BL1413" s="980"/>
      <c r="BM1413" s="980"/>
      <c r="BN1413" s="981"/>
      <c r="BO1413" s="980"/>
      <c r="BP1413" s="982"/>
      <c r="BQ1413" s="981"/>
      <c r="BR1413" s="981"/>
      <c r="BS1413" s="981"/>
      <c r="BT1413" s="981"/>
      <c r="BU1413" s="981"/>
      <c r="BV1413" s="981"/>
      <c r="BW1413" s="981"/>
      <c r="BX1413" s="980"/>
      <c r="BY1413" s="983"/>
      <c r="BZ1413" s="983"/>
      <c r="CA1413" s="485" t="s">
        <v>915</v>
      </c>
      <c r="CB1413" s="547">
        <v>1411</v>
      </c>
      <c r="CC1413" s="1481" t="b">
        <v>0</v>
      </c>
      <c r="CD1413" s="879" t="str">
        <f>Table15[[#This Row],[Engineering Number]]&amp;Table15[[#This Row],[WO Number]]&amp;Table15[[#This Row],[Date Assigned to Designer]]&amp;Table15[[#This Row],[Date Completed]]</f>
        <v>M15914-4573745769</v>
      </c>
    </row>
    <row r="1414" spans="1:82" ht="15" customHeight="1" x14ac:dyDescent="0.25">
      <c r="A1414">
        <v>2025</v>
      </c>
      <c r="B1414" s="878" t="s">
        <v>6798</v>
      </c>
      <c r="C1414" s="878" t="s">
        <v>8690</v>
      </c>
      <c r="D1414" s="878" t="s">
        <v>8691</v>
      </c>
      <c r="E1414" s="878" t="s">
        <v>104</v>
      </c>
      <c r="F1414" s="878" t="s">
        <v>6643</v>
      </c>
      <c r="G1414" s="878" t="s">
        <v>6996</v>
      </c>
      <c r="H1414" s="878" t="s">
        <v>59</v>
      </c>
      <c r="I1414" s="883">
        <v>45665</v>
      </c>
      <c r="J1414" s="881">
        <v>45777</v>
      </c>
      <c r="K1414" s="945">
        <v>45771</v>
      </c>
      <c r="L1414" s="884">
        <f>IF(ISTEXT(Table15[[#This Row],[Engineering Approved Design Date]]),Table15[[#This Row],[Date Completed]]-Table15[[#This Row],[Date Assigned to Designer]],Table15[[#This Row],[Engineering Approved Design Date]]-Table15[[#This Row],[Date Completed]])</f>
        <v>6</v>
      </c>
      <c r="M1414" s="883"/>
      <c r="N1414" s="99" t="s">
        <v>120</v>
      </c>
      <c r="O1414" s="886">
        <v>45778</v>
      </c>
      <c r="P1414" s="1153" t="s">
        <v>739</v>
      </c>
      <c r="Q1414" s="1150">
        <f>SUM(Table15[[#This Row],[Shactee Effort]:[KH Hourly Effort]])</f>
        <v>6050</v>
      </c>
      <c r="R1414" s="920" t="s">
        <v>1922</v>
      </c>
      <c r="S1414" s="888">
        <v>0</v>
      </c>
      <c r="T1414" s="888">
        <v>0</v>
      </c>
      <c r="U1414" s="889">
        <v>6050</v>
      </c>
      <c r="V1414" s="890">
        <v>0</v>
      </c>
      <c r="W1414" s="1021">
        <v>1</v>
      </c>
      <c r="X1414" s="888">
        <v>30000</v>
      </c>
      <c r="Y1414" s="888"/>
      <c r="Z1414" s="888">
        <v>0</v>
      </c>
      <c r="AA1414" s="888">
        <f>SUM(Table15[[#This Row],[PCTS Investment Amount]:[PCTS Retirement Amount]])</f>
        <v>30000</v>
      </c>
      <c r="AB1414" s="893" t="s">
        <v>29</v>
      </c>
      <c r="AC1414" s="894" t="s">
        <v>1177</v>
      </c>
      <c r="AD1414" s="1160" t="s">
        <v>29</v>
      </c>
      <c r="AE1414" s="895" t="s">
        <v>756</v>
      </c>
      <c r="AF1414" s="895" t="s">
        <v>29</v>
      </c>
      <c r="AG1414" s="895" t="s">
        <v>29</v>
      </c>
      <c r="AH1414" s="940" t="s">
        <v>376</v>
      </c>
      <c r="AI1414" s="898">
        <v>0</v>
      </c>
      <c r="AJ1414" s="899">
        <v>0</v>
      </c>
      <c r="AK1414" s="899">
        <v>0</v>
      </c>
      <c r="AL1414" s="901">
        <f>SUM(Table15[[#This Row],[Nicor Initiated DBE]:[Staffing]])/(Table15[[#This Row],[Amount Invoiced]])</f>
        <v>0</v>
      </c>
      <c r="AM1414" s="542" t="s">
        <v>709</v>
      </c>
      <c r="AN1414" s="924"/>
      <c r="AO1414" s="925"/>
      <c r="AP1414" s="926"/>
      <c r="AQ1414" s="926"/>
      <c r="AR1414" s="926"/>
      <c r="AS1414" s="926"/>
      <c r="AT1414" s="926"/>
      <c r="AU1414" s="926"/>
      <c r="AV1414" s="926"/>
      <c r="AW1414" s="927"/>
      <c r="AX1414" s="926"/>
      <c r="AY1414" s="1538" t="s">
        <v>29</v>
      </c>
      <c r="AZ1414" s="1532"/>
      <c r="BA1414" s="910" t="s">
        <v>8692</v>
      </c>
      <c r="BB1414" s="949" t="s">
        <v>8693</v>
      </c>
      <c r="BC1414" s="950" t="s">
        <v>29</v>
      </c>
      <c r="BD1414" s="951" t="s">
        <v>29</v>
      </c>
      <c r="BE1414" s="952" t="s">
        <v>29</v>
      </c>
      <c r="BF1414" s="952" t="s">
        <v>29</v>
      </c>
      <c r="BG1414" s="953" t="s">
        <v>29</v>
      </c>
      <c r="BH1414" s="1175" t="s">
        <v>8694</v>
      </c>
      <c r="BI1414" s="929" t="s">
        <v>745</v>
      </c>
      <c r="BJ1414" s="929" t="s">
        <v>116</v>
      </c>
      <c r="BK1414" s="929" t="s">
        <v>745</v>
      </c>
      <c r="BL1414" s="916" t="s">
        <v>116</v>
      </c>
      <c r="BM1414" s="929" t="s">
        <v>745</v>
      </c>
      <c r="BN1414" s="929" t="s">
        <v>745</v>
      </c>
      <c r="BO1414" s="929" t="s">
        <v>745</v>
      </c>
      <c r="BP1414" s="929" t="s">
        <v>745</v>
      </c>
      <c r="BQ1414" s="929" t="s">
        <v>745</v>
      </c>
      <c r="BR1414" s="929" t="s">
        <v>709</v>
      </c>
      <c r="BS1414" s="916" t="s">
        <v>709</v>
      </c>
      <c r="BT1414" s="929" t="s">
        <v>745</v>
      </c>
      <c r="BU1414" s="929" t="s">
        <v>116</v>
      </c>
      <c r="BV1414" s="929" t="s">
        <v>745</v>
      </c>
      <c r="BW1414" s="929" t="s">
        <v>745</v>
      </c>
      <c r="BX1414" s="929" t="s">
        <v>745</v>
      </c>
      <c r="BY1414" s="929" t="s">
        <v>745</v>
      </c>
      <c r="BZ1414" s="929" t="s">
        <v>709</v>
      </c>
      <c r="CA1414" s="917" t="s">
        <v>6806</v>
      </c>
      <c r="CB1414" s="547">
        <v>1413</v>
      </c>
      <c r="CC1414" s="1481" t="b">
        <v>0</v>
      </c>
      <c r="CD1414" s="879" t="str">
        <f>Table15[[#This Row],[Engineering Number]]&amp;Table15[[#This Row],[WO Number]]&amp;Table15[[#This Row],[Date Assigned to Designer]]&amp;Table15[[#This Row],[Date Completed]]</f>
        <v>140137310148774566545771</v>
      </c>
    </row>
    <row r="1415" spans="1:82" ht="15" customHeight="1" x14ac:dyDescent="0.25">
      <c r="A1415">
        <v>2025</v>
      </c>
      <c r="B1415" s="878" t="s">
        <v>6798</v>
      </c>
      <c r="C1415" s="878" t="s">
        <v>8695</v>
      </c>
      <c r="D1415" s="878" t="s">
        <v>8696</v>
      </c>
      <c r="E1415" s="878" t="s">
        <v>2061</v>
      </c>
      <c r="F1415" s="878" t="s">
        <v>6643</v>
      </c>
      <c r="G1415" s="878" t="s">
        <v>34</v>
      </c>
      <c r="H1415" s="878" t="s">
        <v>59</v>
      </c>
      <c r="I1415" s="883">
        <v>45665</v>
      </c>
      <c r="J1415" s="881">
        <v>45777</v>
      </c>
      <c r="K1415" s="945">
        <v>45771</v>
      </c>
      <c r="L1415" s="884">
        <f>IF(ISTEXT(Table15[[#This Row],[Engineering Approved Design Date]]),Table15[[#This Row],[Date Completed]]-Table15[[#This Row],[Date Assigned to Designer]],Table15[[#This Row],[Engineering Approved Design Date]]-Table15[[#This Row],[Date Completed]])</f>
        <v>6</v>
      </c>
      <c r="M1415" s="883"/>
      <c r="N1415" s="99" t="s">
        <v>120</v>
      </c>
      <c r="O1415" s="886">
        <v>45778</v>
      </c>
      <c r="P1415" s="1153" t="s">
        <v>739</v>
      </c>
      <c r="Q1415" s="1150">
        <f>SUM(Table15[[#This Row],[Shactee Effort]:[KH Hourly Effort]])</f>
        <v>6127.5</v>
      </c>
      <c r="R1415" s="920" t="s">
        <v>1922</v>
      </c>
      <c r="S1415" s="888">
        <v>0</v>
      </c>
      <c r="T1415" s="888">
        <v>0</v>
      </c>
      <c r="U1415" s="889">
        <v>6127.5</v>
      </c>
      <c r="V1415" s="890">
        <v>0</v>
      </c>
      <c r="W1415" s="1021">
        <v>1</v>
      </c>
      <c r="X1415" s="888">
        <v>25000</v>
      </c>
      <c r="Y1415" s="888"/>
      <c r="Z1415" s="888">
        <v>0</v>
      </c>
      <c r="AA1415" s="888">
        <f>SUM(Table15[[#This Row],[PCTS Investment Amount]:[PCTS Retirement Amount]])</f>
        <v>25000</v>
      </c>
      <c r="AB1415" s="893" t="s">
        <v>29</v>
      </c>
      <c r="AC1415" s="894" t="s">
        <v>1177</v>
      </c>
      <c r="AD1415" s="1160" t="s">
        <v>29</v>
      </c>
      <c r="AE1415" s="895" t="s">
        <v>756</v>
      </c>
      <c r="AF1415" s="895" t="s">
        <v>29</v>
      </c>
      <c r="AG1415" s="895" t="s">
        <v>29</v>
      </c>
      <c r="AH1415" s="940" t="s">
        <v>376</v>
      </c>
      <c r="AI1415" s="898">
        <v>0</v>
      </c>
      <c r="AJ1415" s="899">
        <v>0</v>
      </c>
      <c r="AK1415" s="899">
        <v>0</v>
      </c>
      <c r="AL1415" s="901">
        <f>SUM(Table15[[#This Row],[Nicor Initiated DBE]:[Staffing]])/(Table15[[#This Row],[Amount Invoiced]])</f>
        <v>0</v>
      </c>
      <c r="AM1415" s="542" t="s">
        <v>709</v>
      </c>
      <c r="AN1415" s="924"/>
      <c r="AO1415" s="925"/>
      <c r="AP1415" s="926"/>
      <c r="AQ1415" s="926"/>
      <c r="AR1415" s="926"/>
      <c r="AS1415" s="926"/>
      <c r="AT1415" s="926"/>
      <c r="AU1415" s="926"/>
      <c r="AV1415" s="926"/>
      <c r="AW1415" s="927"/>
      <c r="AX1415" s="926"/>
      <c r="AY1415" s="1538" t="s">
        <v>29</v>
      </c>
      <c r="AZ1415" s="1530"/>
      <c r="BA1415" s="954" t="s">
        <v>8697</v>
      </c>
      <c r="BB1415" s="949" t="s">
        <v>8698</v>
      </c>
      <c r="BC1415" s="950" t="s">
        <v>29</v>
      </c>
      <c r="BD1415" s="951" t="s">
        <v>29</v>
      </c>
      <c r="BE1415" s="952" t="s">
        <v>29</v>
      </c>
      <c r="BF1415" s="952" t="s">
        <v>29</v>
      </c>
      <c r="BG1415" s="953" t="s">
        <v>29</v>
      </c>
      <c r="BH1415" s="1175" t="s">
        <v>8699</v>
      </c>
      <c r="BI1415" s="929" t="s">
        <v>745</v>
      </c>
      <c r="BJ1415" s="929" t="s">
        <v>116</v>
      </c>
      <c r="BK1415" s="929" t="s">
        <v>745</v>
      </c>
      <c r="BL1415" s="916" t="s">
        <v>116</v>
      </c>
      <c r="BM1415" s="929" t="s">
        <v>745</v>
      </c>
      <c r="BN1415" s="929" t="s">
        <v>745</v>
      </c>
      <c r="BO1415" s="929" t="s">
        <v>745</v>
      </c>
      <c r="BP1415" s="929" t="s">
        <v>745</v>
      </c>
      <c r="BQ1415" s="929" t="s">
        <v>745</v>
      </c>
      <c r="BR1415" s="929" t="s">
        <v>709</v>
      </c>
      <c r="BS1415" s="916" t="s">
        <v>709</v>
      </c>
      <c r="BT1415" s="929" t="s">
        <v>745</v>
      </c>
      <c r="BU1415" s="929" t="s">
        <v>116</v>
      </c>
      <c r="BV1415" s="929" t="s">
        <v>745</v>
      </c>
      <c r="BW1415" s="929" t="s">
        <v>745</v>
      </c>
      <c r="BX1415" s="929" t="s">
        <v>745</v>
      </c>
      <c r="BY1415" s="929" t="s">
        <v>745</v>
      </c>
      <c r="BZ1415" s="929" t="s">
        <v>709</v>
      </c>
      <c r="CA1415" s="917" t="s">
        <v>6806</v>
      </c>
      <c r="CB1415" s="547">
        <v>1416</v>
      </c>
      <c r="CC1415" s="1481" t="b">
        <v>0</v>
      </c>
      <c r="CD1415" s="879" t="str">
        <f>Table15[[#This Row],[Engineering Number]]&amp;Table15[[#This Row],[WO Number]]&amp;Table15[[#This Row],[Date Assigned to Designer]]&amp;Table15[[#This Row],[Date Completed]]</f>
        <v>150113810148814566545771</v>
      </c>
    </row>
    <row r="1416" spans="1:82" ht="15" customHeight="1" x14ac:dyDescent="0.25">
      <c r="A1416">
        <v>2025</v>
      </c>
      <c r="B1416" s="878" t="s">
        <v>6798</v>
      </c>
      <c r="C1416" s="878" t="s">
        <v>8700</v>
      </c>
      <c r="D1416" s="878" t="s">
        <v>8701</v>
      </c>
      <c r="E1416" s="878" t="s">
        <v>8477</v>
      </c>
      <c r="F1416" s="878" t="s">
        <v>6643</v>
      </c>
      <c r="G1416" s="878" t="s">
        <v>6996</v>
      </c>
      <c r="H1416" s="878" t="s">
        <v>59</v>
      </c>
      <c r="I1416" s="883">
        <v>45665</v>
      </c>
      <c r="J1416" s="881">
        <v>45777</v>
      </c>
      <c r="K1416" s="945">
        <v>45771</v>
      </c>
      <c r="L1416" s="884">
        <f>IF(ISTEXT(Table15[[#This Row],[Engineering Approved Design Date]]),Table15[[#This Row],[Date Completed]]-Table15[[#This Row],[Date Assigned to Designer]],Table15[[#This Row],[Engineering Approved Design Date]]-Table15[[#This Row],[Date Completed]])</f>
        <v>6</v>
      </c>
      <c r="M1416" s="883"/>
      <c r="N1416" s="99" t="s">
        <v>120</v>
      </c>
      <c r="O1416" s="886">
        <v>45778</v>
      </c>
      <c r="P1416" s="1153" t="s">
        <v>739</v>
      </c>
      <c r="Q1416" s="1150">
        <f>SUM(Table15[[#This Row],[Shactee Effort]:[KH Hourly Effort]])</f>
        <v>7380</v>
      </c>
      <c r="R1416" s="920" t="s">
        <v>1922</v>
      </c>
      <c r="S1416" s="888">
        <v>0</v>
      </c>
      <c r="T1416" s="888">
        <v>0</v>
      </c>
      <c r="U1416" s="889">
        <v>7380</v>
      </c>
      <c r="V1416" s="890">
        <v>0</v>
      </c>
      <c r="W1416" s="1021">
        <v>1</v>
      </c>
      <c r="X1416" s="888">
        <v>25000</v>
      </c>
      <c r="Y1416" s="888"/>
      <c r="Z1416" s="888">
        <v>0</v>
      </c>
      <c r="AA1416" s="888">
        <f>SUM(Table15[[#This Row],[PCTS Investment Amount]:[PCTS Retirement Amount]])</f>
        <v>25000</v>
      </c>
      <c r="AB1416" s="893" t="s">
        <v>29</v>
      </c>
      <c r="AC1416" s="894" t="s">
        <v>1177</v>
      </c>
      <c r="AD1416" s="1160" t="s">
        <v>29</v>
      </c>
      <c r="AE1416" s="895" t="s">
        <v>756</v>
      </c>
      <c r="AF1416" s="895" t="s">
        <v>29</v>
      </c>
      <c r="AG1416" s="895" t="s">
        <v>29</v>
      </c>
      <c r="AH1416" s="940" t="s">
        <v>376</v>
      </c>
      <c r="AI1416" s="898">
        <v>0</v>
      </c>
      <c r="AJ1416" s="899">
        <v>0</v>
      </c>
      <c r="AK1416" s="899">
        <v>0</v>
      </c>
      <c r="AL1416" s="901">
        <f>SUM(Table15[[#This Row],[Nicor Initiated DBE]:[Staffing]])/(Table15[[#This Row],[Amount Invoiced]])</f>
        <v>0</v>
      </c>
      <c r="AM1416" s="542" t="s">
        <v>709</v>
      </c>
      <c r="AN1416" s="924"/>
      <c r="AO1416" s="925"/>
      <c r="AP1416" s="926"/>
      <c r="AQ1416" s="926"/>
      <c r="AR1416" s="926"/>
      <c r="AS1416" s="926"/>
      <c r="AT1416" s="926"/>
      <c r="AU1416" s="926"/>
      <c r="AV1416" s="926"/>
      <c r="AW1416" s="927"/>
      <c r="AX1416" s="926"/>
      <c r="AY1416" s="1538" t="s">
        <v>29</v>
      </c>
      <c r="AZ1416" s="1530"/>
      <c r="BA1416" s="910" t="s">
        <v>6802</v>
      </c>
      <c r="BB1416" s="949" t="s">
        <v>8702</v>
      </c>
      <c r="BC1416" s="950" t="s">
        <v>29</v>
      </c>
      <c r="BD1416" s="951" t="s">
        <v>29</v>
      </c>
      <c r="BE1416" s="952" t="s">
        <v>29</v>
      </c>
      <c r="BF1416" s="952" t="s">
        <v>29</v>
      </c>
      <c r="BG1416" s="953" t="s">
        <v>29</v>
      </c>
      <c r="BH1416" s="1175" t="s">
        <v>8703</v>
      </c>
      <c r="BI1416" s="929" t="s">
        <v>745</v>
      </c>
      <c r="BJ1416" s="929" t="s">
        <v>116</v>
      </c>
      <c r="BK1416" s="929" t="s">
        <v>745</v>
      </c>
      <c r="BL1416" s="916" t="s">
        <v>116</v>
      </c>
      <c r="BM1416" s="929" t="s">
        <v>745</v>
      </c>
      <c r="BN1416" s="929" t="s">
        <v>745</v>
      </c>
      <c r="BO1416" s="929" t="s">
        <v>745</v>
      </c>
      <c r="BP1416" s="929" t="s">
        <v>745</v>
      </c>
      <c r="BQ1416" s="929" t="s">
        <v>745</v>
      </c>
      <c r="BR1416" s="929" t="s">
        <v>709</v>
      </c>
      <c r="BS1416" s="916" t="s">
        <v>709</v>
      </c>
      <c r="BT1416" s="929" t="s">
        <v>745</v>
      </c>
      <c r="BU1416" s="929" t="s">
        <v>116</v>
      </c>
      <c r="BV1416" s="929" t="s">
        <v>745</v>
      </c>
      <c r="BW1416" s="929" t="s">
        <v>745</v>
      </c>
      <c r="BX1416" s="929" t="s">
        <v>745</v>
      </c>
      <c r="BY1416" s="929" t="s">
        <v>745</v>
      </c>
      <c r="BZ1416" s="929" t="s">
        <v>709</v>
      </c>
      <c r="CA1416" s="917" t="s">
        <v>6806</v>
      </c>
      <c r="CB1416" s="547">
        <v>1414</v>
      </c>
      <c r="CC1416" s="1481" t="b">
        <v>0</v>
      </c>
      <c r="CD1416" s="879" t="str">
        <f>Table15[[#This Row],[Engineering Number]]&amp;Table15[[#This Row],[WO Number]]&amp;Table15[[#This Row],[Date Assigned to Designer]]&amp;Table15[[#This Row],[Date Completed]]</f>
        <v>150141310148574566545771</v>
      </c>
    </row>
    <row r="1417" spans="1:82" ht="15" customHeight="1" x14ac:dyDescent="0.25">
      <c r="A1417">
        <v>2025</v>
      </c>
      <c r="B1417" s="878" t="s">
        <v>6798</v>
      </c>
      <c r="C1417" s="878" t="s">
        <v>8704</v>
      </c>
      <c r="D1417" s="878" t="s">
        <v>8705</v>
      </c>
      <c r="E1417" s="878" t="s">
        <v>1301</v>
      </c>
      <c r="F1417" s="878" t="s">
        <v>6643</v>
      </c>
      <c r="G1417" s="878" t="s">
        <v>6996</v>
      </c>
      <c r="H1417" s="878" t="s">
        <v>59</v>
      </c>
      <c r="I1417" s="883">
        <v>45665</v>
      </c>
      <c r="J1417" s="881">
        <v>45777</v>
      </c>
      <c r="K1417" s="945">
        <v>45771</v>
      </c>
      <c r="L1417" s="884">
        <f>IF(ISTEXT(Table15[[#This Row],[Engineering Approved Design Date]]),Table15[[#This Row],[Date Completed]]-Table15[[#This Row],[Date Assigned to Designer]],Table15[[#This Row],[Engineering Approved Design Date]]-Table15[[#This Row],[Date Completed]])</f>
        <v>6</v>
      </c>
      <c r="M1417" s="883"/>
      <c r="N1417" s="99" t="s">
        <v>120</v>
      </c>
      <c r="O1417" s="886">
        <v>45778</v>
      </c>
      <c r="P1417" s="1153" t="s">
        <v>739</v>
      </c>
      <c r="Q1417" s="1150">
        <f>SUM(Table15[[#This Row],[Shactee Effort]:[KH Hourly Effort]])</f>
        <v>6920</v>
      </c>
      <c r="R1417" s="920" t="s">
        <v>1922</v>
      </c>
      <c r="S1417" s="888">
        <v>0</v>
      </c>
      <c r="T1417" s="888">
        <v>0</v>
      </c>
      <c r="U1417" s="889">
        <v>6920</v>
      </c>
      <c r="V1417" s="890">
        <v>0</v>
      </c>
      <c r="W1417" s="1021">
        <v>1</v>
      </c>
      <c r="X1417" s="888">
        <v>25000</v>
      </c>
      <c r="Y1417" s="888"/>
      <c r="Z1417" s="888">
        <v>0</v>
      </c>
      <c r="AA1417" s="888">
        <f>SUM(Table15[[#This Row],[PCTS Investment Amount]:[PCTS Retirement Amount]])</f>
        <v>25000</v>
      </c>
      <c r="AB1417" s="893" t="s">
        <v>29</v>
      </c>
      <c r="AC1417" s="894" t="s">
        <v>1177</v>
      </c>
      <c r="AD1417" s="1160" t="s">
        <v>29</v>
      </c>
      <c r="AE1417" s="895" t="s">
        <v>756</v>
      </c>
      <c r="AF1417" s="895" t="s">
        <v>29</v>
      </c>
      <c r="AG1417" s="895" t="s">
        <v>29</v>
      </c>
      <c r="AH1417" s="940" t="s">
        <v>376</v>
      </c>
      <c r="AI1417" s="898">
        <v>0</v>
      </c>
      <c r="AJ1417" s="899">
        <v>0</v>
      </c>
      <c r="AK1417" s="899">
        <v>0</v>
      </c>
      <c r="AL1417" s="901">
        <f>SUM(Table15[[#This Row],[Nicor Initiated DBE]:[Staffing]])/(Table15[[#This Row],[Amount Invoiced]])</f>
        <v>0</v>
      </c>
      <c r="AM1417" s="542" t="s">
        <v>709</v>
      </c>
      <c r="AN1417" s="924"/>
      <c r="AO1417" s="925"/>
      <c r="AP1417" s="926"/>
      <c r="AQ1417" s="926"/>
      <c r="AR1417" s="926"/>
      <c r="AS1417" s="926"/>
      <c r="AT1417" s="926"/>
      <c r="AU1417" s="926"/>
      <c r="AV1417" s="926"/>
      <c r="AW1417" s="927"/>
      <c r="AX1417" s="926"/>
      <c r="AY1417" s="1538" t="s">
        <v>29</v>
      </c>
      <c r="AZ1417" s="1530"/>
      <c r="BA1417" s="910" t="s">
        <v>8706</v>
      </c>
      <c r="BB1417" s="949" t="s">
        <v>8707</v>
      </c>
      <c r="BC1417" s="950" t="s">
        <v>29</v>
      </c>
      <c r="BD1417" s="951" t="s">
        <v>29</v>
      </c>
      <c r="BE1417" s="952" t="s">
        <v>29</v>
      </c>
      <c r="BF1417" s="952" t="s">
        <v>29</v>
      </c>
      <c r="BG1417" s="953" t="s">
        <v>29</v>
      </c>
      <c r="BH1417" s="1175" t="s">
        <v>8708</v>
      </c>
      <c r="BI1417" s="929" t="s">
        <v>745</v>
      </c>
      <c r="BJ1417" s="929" t="s">
        <v>116</v>
      </c>
      <c r="BK1417" s="929" t="s">
        <v>745</v>
      </c>
      <c r="BL1417" s="916" t="s">
        <v>116</v>
      </c>
      <c r="BM1417" s="929" t="s">
        <v>745</v>
      </c>
      <c r="BN1417" s="929" t="s">
        <v>745</v>
      </c>
      <c r="BO1417" s="929" t="s">
        <v>745</v>
      </c>
      <c r="BP1417" s="929" t="s">
        <v>745</v>
      </c>
      <c r="BQ1417" s="929" t="s">
        <v>745</v>
      </c>
      <c r="BR1417" s="929" t="s">
        <v>709</v>
      </c>
      <c r="BS1417" s="916" t="s">
        <v>709</v>
      </c>
      <c r="BT1417" s="929" t="s">
        <v>745</v>
      </c>
      <c r="BU1417" s="929" t="s">
        <v>116</v>
      </c>
      <c r="BV1417" s="929" t="s">
        <v>745</v>
      </c>
      <c r="BW1417" s="929" t="s">
        <v>745</v>
      </c>
      <c r="BX1417" s="929" t="s">
        <v>745</v>
      </c>
      <c r="BY1417" s="929" t="s">
        <v>745</v>
      </c>
      <c r="BZ1417" s="929" t="s">
        <v>709</v>
      </c>
      <c r="CA1417" s="1006" t="s">
        <v>8709</v>
      </c>
      <c r="CB1417" s="547">
        <v>1417</v>
      </c>
      <c r="CC1417" s="1481" t="b">
        <v>0</v>
      </c>
      <c r="CD1417" s="879" t="str">
        <f>Table15[[#This Row],[Engineering Number]]&amp;Table15[[#This Row],[WO Number]]&amp;Table15[[#This Row],[Date Assigned to Designer]]&amp;Table15[[#This Row],[Date Completed]]</f>
        <v>150146310148864566545771</v>
      </c>
    </row>
    <row r="1418" spans="1:82" ht="15" customHeight="1" x14ac:dyDescent="0.25">
      <c r="A1418">
        <v>2025</v>
      </c>
      <c r="B1418" s="878" t="s">
        <v>6798</v>
      </c>
      <c r="C1418" s="878" t="s">
        <v>8710</v>
      </c>
      <c r="D1418" s="878" t="s">
        <v>8711</v>
      </c>
      <c r="E1418" s="878" t="s">
        <v>8712</v>
      </c>
      <c r="F1418" s="878" t="s">
        <v>6643</v>
      </c>
      <c r="G1418" s="878" t="s">
        <v>37</v>
      </c>
      <c r="H1418" s="878" t="s">
        <v>59</v>
      </c>
      <c r="I1418" s="883">
        <v>45665</v>
      </c>
      <c r="J1418" s="881">
        <v>45777</v>
      </c>
      <c r="K1418" s="945">
        <v>45771</v>
      </c>
      <c r="L1418" s="884">
        <f>IF(ISTEXT(Table15[[#This Row],[Engineering Approved Design Date]]),Table15[[#This Row],[Date Completed]]-Table15[[#This Row],[Date Assigned to Designer]],Table15[[#This Row],[Engineering Approved Design Date]]-Table15[[#This Row],[Date Completed]])</f>
        <v>6</v>
      </c>
      <c r="M1418" s="883"/>
      <c r="N1418" s="99" t="s">
        <v>120</v>
      </c>
      <c r="O1418" s="886">
        <v>45778</v>
      </c>
      <c r="P1418" s="1153" t="s">
        <v>739</v>
      </c>
      <c r="Q1418" s="1150">
        <f>SUM(Table15[[#This Row],[Shactee Effort]:[KH Hourly Effort]])</f>
        <v>5805</v>
      </c>
      <c r="R1418" s="920" t="s">
        <v>1922</v>
      </c>
      <c r="S1418" s="888">
        <v>0</v>
      </c>
      <c r="T1418" s="888">
        <v>0</v>
      </c>
      <c r="U1418" s="889">
        <v>5805</v>
      </c>
      <c r="V1418" s="890">
        <v>0</v>
      </c>
      <c r="W1418" s="1021">
        <v>1</v>
      </c>
      <c r="X1418" s="888">
        <v>30000</v>
      </c>
      <c r="Y1418" s="888"/>
      <c r="Z1418" s="888">
        <v>0</v>
      </c>
      <c r="AA1418" s="888">
        <f>SUM(Table15[[#This Row],[PCTS Investment Amount]:[PCTS Retirement Amount]])</f>
        <v>30000</v>
      </c>
      <c r="AB1418" s="893" t="s">
        <v>29</v>
      </c>
      <c r="AC1418" s="894" t="s">
        <v>1177</v>
      </c>
      <c r="AD1418" s="1160" t="s">
        <v>29</v>
      </c>
      <c r="AE1418" s="895" t="s">
        <v>756</v>
      </c>
      <c r="AF1418" s="895" t="s">
        <v>29</v>
      </c>
      <c r="AG1418" s="895" t="s">
        <v>29</v>
      </c>
      <c r="AH1418" s="940" t="s">
        <v>376</v>
      </c>
      <c r="AI1418" s="898">
        <v>0</v>
      </c>
      <c r="AJ1418" s="899">
        <v>0</v>
      </c>
      <c r="AK1418" s="899">
        <v>0</v>
      </c>
      <c r="AL1418" s="901">
        <f>SUM(Table15[[#This Row],[Nicor Initiated DBE]:[Staffing]])/(Table15[[#This Row],[Amount Invoiced]])</f>
        <v>0</v>
      </c>
      <c r="AM1418" s="542" t="s">
        <v>709</v>
      </c>
      <c r="AN1418" s="924"/>
      <c r="AO1418" s="925"/>
      <c r="AP1418" s="926"/>
      <c r="AQ1418" s="926"/>
      <c r="AR1418" s="926"/>
      <c r="AS1418" s="926"/>
      <c r="AT1418" s="926"/>
      <c r="AU1418" s="926"/>
      <c r="AV1418" s="926"/>
      <c r="AW1418" s="927"/>
      <c r="AX1418" s="926"/>
      <c r="AY1418" s="1538" t="s">
        <v>29</v>
      </c>
      <c r="AZ1418" s="1530"/>
      <c r="BA1418" s="954" t="s">
        <v>8713</v>
      </c>
      <c r="BB1418" s="949" t="s">
        <v>8714</v>
      </c>
      <c r="BC1418" s="950" t="s">
        <v>29</v>
      </c>
      <c r="BD1418" s="951" t="s">
        <v>29</v>
      </c>
      <c r="BE1418" s="952" t="s">
        <v>29</v>
      </c>
      <c r="BF1418" s="952" t="s">
        <v>29</v>
      </c>
      <c r="BG1418" s="953" t="s">
        <v>29</v>
      </c>
      <c r="BH1418" s="1175" t="s">
        <v>8715</v>
      </c>
      <c r="BI1418" s="929" t="s">
        <v>745</v>
      </c>
      <c r="BJ1418" s="929" t="s">
        <v>116</v>
      </c>
      <c r="BK1418" s="929" t="s">
        <v>745</v>
      </c>
      <c r="BL1418" s="916" t="s">
        <v>116</v>
      </c>
      <c r="BM1418" s="929" t="s">
        <v>745</v>
      </c>
      <c r="BN1418" s="929" t="s">
        <v>745</v>
      </c>
      <c r="BO1418" s="929" t="s">
        <v>745</v>
      </c>
      <c r="BP1418" s="929" t="s">
        <v>745</v>
      </c>
      <c r="BQ1418" s="929" t="s">
        <v>745</v>
      </c>
      <c r="BR1418" s="929" t="s">
        <v>709</v>
      </c>
      <c r="BS1418" s="916" t="s">
        <v>709</v>
      </c>
      <c r="BT1418" s="929" t="s">
        <v>745</v>
      </c>
      <c r="BU1418" s="929" t="s">
        <v>116</v>
      </c>
      <c r="BV1418" s="929" t="s">
        <v>745</v>
      </c>
      <c r="BW1418" s="929" t="s">
        <v>745</v>
      </c>
      <c r="BX1418" s="929" t="s">
        <v>745</v>
      </c>
      <c r="BY1418" s="929" t="s">
        <v>745</v>
      </c>
      <c r="BZ1418" s="929" t="s">
        <v>709</v>
      </c>
      <c r="CA1418" s="1006" t="s">
        <v>8709</v>
      </c>
      <c r="CB1418" s="547">
        <v>1415</v>
      </c>
      <c r="CC1418" s="1481" t="b">
        <v>0</v>
      </c>
      <c r="CD1418" s="879" t="str">
        <f>Table15[[#This Row],[Engineering Number]]&amp;Table15[[#This Row],[WO Number]]&amp;Table15[[#This Row],[Date Assigned to Designer]]&amp;Table15[[#This Row],[Date Completed]]</f>
        <v>310101310148874566545771</v>
      </c>
    </row>
    <row r="1419" spans="1:82" ht="15" customHeight="1" x14ac:dyDescent="0.25">
      <c r="A1419">
        <v>2025</v>
      </c>
      <c r="B1419" s="878" t="s">
        <v>4</v>
      </c>
      <c r="C1419" s="878" t="s">
        <v>7831</v>
      </c>
      <c r="D1419" s="878" t="s">
        <v>8716</v>
      </c>
      <c r="E1419" s="878" t="s">
        <v>393</v>
      </c>
      <c r="F1419" s="878" t="s">
        <v>784</v>
      </c>
      <c r="G1419" s="878" t="s">
        <v>27</v>
      </c>
      <c r="H1419" s="878" t="s">
        <v>3178</v>
      </c>
      <c r="I1419" s="883">
        <v>45763</v>
      </c>
      <c r="J1419" s="918" t="s">
        <v>2052</v>
      </c>
      <c r="K1419" s="945">
        <v>45771</v>
      </c>
      <c r="L1419" s="919">
        <f>IF(ISTEXT(Table15[[#This Row],[Engineering Approved Design Date]]),Table15[[#This Row],[Date Completed]]-Table15[[#This Row],[Date Assigned to Designer]],Table15[[#This Row],[Engineering Approved Design Date]]-Table15[[#This Row],[Date Completed]])</f>
        <v>8</v>
      </c>
      <c r="M1419" s="1012" t="s">
        <v>8717</v>
      </c>
      <c r="N1419" s="99" t="s">
        <v>120</v>
      </c>
      <c r="O1419" s="886">
        <v>45778</v>
      </c>
      <c r="P1419" s="1153" t="s">
        <v>739</v>
      </c>
      <c r="Q1419" s="1150">
        <f>SUM(Table15[[#This Row],[Shactee Effort]:[KH Hourly Effort]])</f>
        <v>3172.5</v>
      </c>
      <c r="R1419" s="920" t="s">
        <v>1922</v>
      </c>
      <c r="S1419" s="888">
        <v>0</v>
      </c>
      <c r="T1419" s="888">
        <v>0</v>
      </c>
      <c r="U1419" s="889">
        <v>3172.5</v>
      </c>
      <c r="V1419" s="888" t="s">
        <v>29</v>
      </c>
      <c r="W1419" s="995" t="s">
        <v>29</v>
      </c>
      <c r="X1419" s="888" t="s">
        <v>29</v>
      </c>
      <c r="Y1419" s="888"/>
      <c r="Z1419" s="888" t="s">
        <v>29</v>
      </c>
      <c r="AA1419" s="888" t="s">
        <v>29</v>
      </c>
      <c r="AB1419" s="893" t="s">
        <v>29</v>
      </c>
      <c r="AC1419" s="896" t="s">
        <v>29</v>
      </c>
      <c r="AD1419" s="1155" t="s">
        <v>29</v>
      </c>
      <c r="AE1419" s="894" t="s">
        <v>756</v>
      </c>
      <c r="AF1419" s="896" t="s">
        <v>29</v>
      </c>
      <c r="AG1419" s="897" t="s">
        <v>29</v>
      </c>
      <c r="AH1419" s="897">
        <v>45770</v>
      </c>
      <c r="AI1419" s="921" t="s">
        <v>29</v>
      </c>
      <c r="AJ1419" s="922" t="s">
        <v>29</v>
      </c>
      <c r="AK1419" s="922" t="s">
        <v>29</v>
      </c>
      <c r="AL1419" s="923" t="s">
        <v>29</v>
      </c>
      <c r="AM1419" s="542" t="s">
        <v>709</v>
      </c>
      <c r="AN1419" s="924"/>
      <c r="AO1419" s="925"/>
      <c r="AP1419" s="926"/>
      <c r="AQ1419" s="926"/>
      <c r="AR1419" s="926"/>
      <c r="AS1419" s="926"/>
      <c r="AT1419" s="926"/>
      <c r="AU1419" s="926"/>
      <c r="AV1419" s="926"/>
      <c r="AW1419" s="927"/>
      <c r="AX1419" s="926"/>
      <c r="AY1419" s="1538" t="s">
        <v>29</v>
      </c>
      <c r="AZ1419" s="1530"/>
      <c r="BA1419" s="910">
        <v>4</v>
      </c>
      <c r="BB1419" s="928" t="s">
        <v>8718</v>
      </c>
      <c r="BC1419" s="915" t="s">
        <v>116</v>
      </c>
      <c r="BD1419" s="915" t="s">
        <v>1190</v>
      </c>
      <c r="BE1419" s="915" t="s">
        <v>709</v>
      </c>
      <c r="BF1419" s="915" t="s">
        <v>709</v>
      </c>
      <c r="BG1419" s="915" t="s">
        <v>709</v>
      </c>
      <c r="BH1419" s="1023" t="s">
        <v>8719</v>
      </c>
      <c r="BI1419" s="929" t="s">
        <v>709</v>
      </c>
      <c r="BJ1419" s="929" t="s">
        <v>745</v>
      </c>
      <c r="BK1419" s="929" t="s">
        <v>745</v>
      </c>
      <c r="BL1419" s="916" t="s">
        <v>709</v>
      </c>
      <c r="BM1419" s="916" t="s">
        <v>745</v>
      </c>
      <c r="BN1419" s="929" t="s">
        <v>745</v>
      </c>
      <c r="BO1419" s="916" t="s">
        <v>745</v>
      </c>
      <c r="BP1419" s="929">
        <v>182</v>
      </c>
      <c r="BQ1419" s="929">
        <v>672</v>
      </c>
      <c r="BR1419" s="929">
        <v>68</v>
      </c>
      <c r="BS1419" s="916" t="s">
        <v>709</v>
      </c>
      <c r="BT1419" s="929" t="s">
        <v>745</v>
      </c>
      <c r="BU1419" s="916" t="s">
        <v>745</v>
      </c>
      <c r="BV1419" s="929" t="s">
        <v>745</v>
      </c>
      <c r="BW1419" s="916" t="s">
        <v>745</v>
      </c>
      <c r="BX1419" s="929" t="s">
        <v>745</v>
      </c>
      <c r="BY1419" s="916" t="s">
        <v>745</v>
      </c>
      <c r="BZ1419" s="916" t="s">
        <v>709</v>
      </c>
      <c r="CA1419" s="1006" t="s">
        <v>8275</v>
      </c>
      <c r="CB1419" s="547">
        <v>1412</v>
      </c>
      <c r="CC1419" s="1481" t="b">
        <v>0</v>
      </c>
      <c r="CD1419" s="879" t="str">
        <f>Table15[[#This Row],[Engineering Number]]&amp;Table15[[#This Row],[WO Number]]&amp;Table15[[#This Row],[Date Assigned to Designer]]&amp;Table15[[#This Row],[Date Completed]]</f>
        <v>N14359-112148094576345771</v>
      </c>
    </row>
    <row r="1420" spans="1:82" ht="15" customHeight="1" x14ac:dyDescent="0.25">
      <c r="A1420">
        <v>2025</v>
      </c>
      <c r="B1420" s="878" t="s">
        <v>1981</v>
      </c>
      <c r="C1420" s="878" t="s">
        <v>8341</v>
      </c>
      <c r="D1420" s="878" t="s">
        <v>8342</v>
      </c>
      <c r="E1420" s="878" t="s">
        <v>2430</v>
      </c>
      <c r="F1420" s="878" t="s">
        <v>7735</v>
      </c>
      <c r="G1420" s="878" t="s">
        <v>37</v>
      </c>
      <c r="H1420" s="878" t="s">
        <v>4045</v>
      </c>
      <c r="I1420" s="882">
        <v>45769</v>
      </c>
      <c r="J1420" s="882" t="s">
        <v>2958</v>
      </c>
      <c r="K1420" s="945">
        <v>45772</v>
      </c>
      <c r="L1420" s="919">
        <f>IF(ISTEXT(Table15[[#This Row],[Engineering Approved Design Date]]),Table15[[#This Row],[Date Completed]]-Table15[[#This Row],[Date Assigned to Designer]],Table15[[#This Row],[Engineering Approved Design Date]]-Table15[[#This Row],[Date Completed]])</f>
        <v>3</v>
      </c>
      <c r="M1420" s="965" t="s">
        <v>8720</v>
      </c>
      <c r="N1420" s="99" t="s">
        <v>120</v>
      </c>
      <c r="O1420" s="886">
        <v>45778</v>
      </c>
      <c r="P1420" s="1153" t="s">
        <v>739</v>
      </c>
      <c r="Q1420" s="1150" t="s">
        <v>115</v>
      </c>
      <c r="R1420" s="887" t="s">
        <v>115</v>
      </c>
      <c r="S1420" s="538" t="s">
        <v>29</v>
      </c>
      <c r="T1420" s="538" t="s">
        <v>29</v>
      </c>
      <c r="U1420" s="28" t="s">
        <v>29</v>
      </c>
      <c r="V1420" s="890">
        <v>44</v>
      </c>
      <c r="W1420" s="1021">
        <v>2</v>
      </c>
      <c r="X1420" s="975">
        <v>102727.09</v>
      </c>
      <c r="Y1420" s="888"/>
      <c r="Z1420" s="975">
        <v>60520.05</v>
      </c>
      <c r="AA1420" s="888">
        <f>SUM(Table15[[#This Row],[PCTS Investment Amount]:[PCTS Retirement Amount]])</f>
        <v>163247.14000000001</v>
      </c>
      <c r="AB1420" s="893">
        <v>45721</v>
      </c>
      <c r="AC1420" s="896" t="s">
        <v>709</v>
      </c>
      <c r="AD1420" s="1155" t="s">
        <v>29</v>
      </c>
      <c r="AE1420" s="894" t="s">
        <v>116</v>
      </c>
      <c r="AF1420" s="896" t="s">
        <v>29</v>
      </c>
      <c r="AG1420" s="896" t="s">
        <v>376</v>
      </c>
      <c r="AH1420" s="902">
        <v>45756</v>
      </c>
      <c r="AI1420" s="921" t="s">
        <v>29</v>
      </c>
      <c r="AJ1420" s="922" t="s">
        <v>29</v>
      </c>
      <c r="AK1420" s="922" t="s">
        <v>29</v>
      </c>
      <c r="AL1420" s="923" t="s">
        <v>29</v>
      </c>
      <c r="AM1420" s="542" t="s">
        <v>709</v>
      </c>
      <c r="AN1420" s="924"/>
      <c r="AO1420" s="925"/>
      <c r="AP1420" s="926"/>
      <c r="AQ1420" s="926"/>
      <c r="AR1420" s="926"/>
      <c r="AS1420" s="926"/>
      <c r="AT1420" s="926"/>
      <c r="AU1420" s="926"/>
      <c r="AV1420" s="926"/>
      <c r="AW1420" s="927"/>
      <c r="AX1420" s="926"/>
      <c r="AY1420" s="1538" t="s">
        <v>29</v>
      </c>
      <c r="AZ1420" s="1530"/>
      <c r="BA1420" s="910">
        <v>8</v>
      </c>
      <c r="BB1420" s="930" t="s">
        <v>8720</v>
      </c>
      <c r="BC1420" s="950" t="s">
        <v>8439</v>
      </c>
      <c r="BD1420" s="951" t="s">
        <v>1790</v>
      </c>
      <c r="BE1420" s="952" t="s">
        <v>8721</v>
      </c>
      <c r="BF1420" s="952" t="s">
        <v>3298</v>
      </c>
      <c r="BG1420" s="976" t="s">
        <v>8343</v>
      </c>
      <c r="BH1420" s="1023" t="s">
        <v>29</v>
      </c>
      <c r="BI1420" s="929" t="s">
        <v>709</v>
      </c>
      <c r="BJ1420" s="929" t="s">
        <v>709</v>
      </c>
      <c r="BK1420" s="929" t="s">
        <v>709</v>
      </c>
      <c r="BL1420" s="916" t="s">
        <v>116</v>
      </c>
      <c r="BM1420" s="929" t="s">
        <v>709</v>
      </c>
      <c r="BN1420" s="929" t="s">
        <v>709</v>
      </c>
      <c r="BO1420" s="929" t="s">
        <v>709</v>
      </c>
      <c r="BP1420" s="929" t="s">
        <v>709</v>
      </c>
      <c r="BQ1420" s="929" t="s">
        <v>709</v>
      </c>
      <c r="BR1420" s="929">
        <v>18</v>
      </c>
      <c r="BS1420" s="916">
        <v>26</v>
      </c>
      <c r="BT1420" s="929" t="s">
        <v>709</v>
      </c>
      <c r="BU1420" s="929" t="s">
        <v>709</v>
      </c>
      <c r="BV1420" s="929" t="s">
        <v>709</v>
      </c>
      <c r="BW1420" s="929" t="s">
        <v>709</v>
      </c>
      <c r="BX1420" s="929" t="s">
        <v>709</v>
      </c>
      <c r="BY1420" s="929" t="s">
        <v>709</v>
      </c>
      <c r="BZ1420" s="929">
        <v>2</v>
      </c>
      <c r="CA1420" s="917" t="s">
        <v>8345</v>
      </c>
      <c r="CB1420" s="547">
        <v>1418</v>
      </c>
      <c r="CC1420" s="1481" t="b">
        <v>0</v>
      </c>
      <c r="CD1420" s="879" t="str">
        <f>Table15[[#This Row],[Engineering Number]]&amp;Table15[[#This Row],[WO Number]]&amp;Table15[[#This Row],[Date Assigned to Designer]]&amp;Table15[[#This Row],[Date Completed]]</f>
        <v>COR1064-112149184576945772</v>
      </c>
    </row>
    <row r="1421" spans="1:82" ht="15" customHeight="1" x14ac:dyDescent="0.25">
      <c r="A1421">
        <v>2025</v>
      </c>
      <c r="B1421" s="878" t="s">
        <v>731</v>
      </c>
      <c r="C1421" s="878" t="s">
        <v>5373</v>
      </c>
      <c r="D1421" s="878" t="s">
        <v>5374</v>
      </c>
      <c r="E1421" s="878" t="s">
        <v>354</v>
      </c>
      <c r="F1421" s="878" t="s">
        <v>7735</v>
      </c>
      <c r="G1421" s="878" t="s">
        <v>6996</v>
      </c>
      <c r="H1421" s="878" t="s">
        <v>4045</v>
      </c>
      <c r="I1421" s="883">
        <v>45768</v>
      </c>
      <c r="J1421" s="882" t="s">
        <v>2958</v>
      </c>
      <c r="K1421" s="945">
        <v>45772</v>
      </c>
      <c r="L1421" s="919">
        <f>IF(ISTEXT(Table15[[#This Row],[Engineering Approved Design Date]]),Table15[[#This Row],[Date Completed]]-Table15[[#This Row],[Date Assigned to Designer]],Table15[[#This Row],[Engineering Approved Design Date]]-Table15[[#This Row],[Date Completed]])</f>
        <v>4</v>
      </c>
      <c r="M1421" s="883" t="s">
        <v>8722</v>
      </c>
      <c r="N1421" s="99" t="s">
        <v>120</v>
      </c>
      <c r="O1421" s="886">
        <v>45778</v>
      </c>
      <c r="P1421" s="958" t="s">
        <v>739</v>
      </c>
      <c r="Q1421" s="1150">
        <f>Table15[[#This Row],[KH Hourly Effort]]</f>
        <v>1425</v>
      </c>
      <c r="R1421" s="920" t="s">
        <v>1922</v>
      </c>
      <c r="S1421" s="888" t="s">
        <v>29</v>
      </c>
      <c r="T1421" s="888" t="s">
        <v>29</v>
      </c>
      <c r="U1421" s="934">
        <v>1425</v>
      </c>
      <c r="V1421" s="890" t="s">
        <v>29</v>
      </c>
      <c r="W1421" s="1021" t="s">
        <v>29</v>
      </c>
      <c r="X1421" s="888" t="s">
        <v>29</v>
      </c>
      <c r="Y1421" s="935"/>
      <c r="Z1421" s="888" t="s">
        <v>29</v>
      </c>
      <c r="AA1421" s="888" t="s">
        <v>29</v>
      </c>
      <c r="AB1421" s="958" t="s">
        <v>29</v>
      </c>
      <c r="AC1421" s="894" t="s">
        <v>29</v>
      </c>
      <c r="AD1421" s="1160" t="s">
        <v>29</v>
      </c>
      <c r="AE1421" s="895" t="s">
        <v>116</v>
      </c>
      <c r="AF1421" s="895" t="s">
        <v>116</v>
      </c>
      <c r="AG1421" s="895" t="s">
        <v>116</v>
      </c>
      <c r="AH1421" s="897">
        <v>45772</v>
      </c>
      <c r="AI1421" s="921" t="s">
        <v>29</v>
      </c>
      <c r="AJ1421" s="922" t="s">
        <v>29</v>
      </c>
      <c r="AK1421" s="922" t="s">
        <v>29</v>
      </c>
      <c r="AL1421" s="923" t="s">
        <v>29</v>
      </c>
      <c r="AM1421" s="542" t="s">
        <v>709</v>
      </c>
      <c r="AN1421" s="924"/>
      <c r="AO1421" s="925"/>
      <c r="AP1421" s="926"/>
      <c r="AQ1421" s="926"/>
      <c r="AR1421" s="926"/>
      <c r="AS1421" s="926"/>
      <c r="AT1421" s="926"/>
      <c r="AU1421" s="926"/>
      <c r="AV1421" s="926"/>
      <c r="AW1421" s="927"/>
      <c r="AX1421" s="926"/>
      <c r="AY1421" s="1538" t="s">
        <v>29</v>
      </c>
      <c r="AZ1421" s="1530"/>
      <c r="BA1421" s="954">
        <v>12</v>
      </c>
      <c r="BB1421" s="928" t="s">
        <v>29</v>
      </c>
      <c r="BC1421" s="544" t="s">
        <v>5377</v>
      </c>
      <c r="BD1421" s="544" t="s">
        <v>5378</v>
      </c>
      <c r="BE1421" s="544" t="s">
        <v>588</v>
      </c>
      <c r="BF1421" s="544" t="s">
        <v>115</v>
      </c>
      <c r="BG1421" s="544" t="s">
        <v>5379</v>
      </c>
      <c r="BH1421" s="1175" t="s">
        <v>8723</v>
      </c>
      <c r="BI1421" s="980"/>
      <c r="BJ1421" s="980"/>
      <c r="BK1421" s="980"/>
      <c r="BL1421" s="980"/>
      <c r="BM1421" s="980"/>
      <c r="BN1421" s="981"/>
      <c r="BO1421" s="980"/>
      <c r="BP1421" s="982"/>
      <c r="BQ1421" s="981"/>
      <c r="BR1421" s="981"/>
      <c r="BS1421" s="981"/>
      <c r="BT1421" s="981"/>
      <c r="BU1421" s="981"/>
      <c r="BV1421" s="981"/>
      <c r="BW1421" s="981"/>
      <c r="BX1421" s="980"/>
      <c r="BY1421" s="983"/>
      <c r="BZ1421" s="983"/>
      <c r="CA1421" s="984"/>
      <c r="CB1421" s="547">
        <v>1419</v>
      </c>
      <c r="CC1421" s="1481" t="b">
        <v>0</v>
      </c>
      <c r="CD1421" s="879" t="str">
        <f>Table15[[#This Row],[Engineering Number]]&amp;Table15[[#This Row],[WO Number]]&amp;Table15[[#This Row],[Date Assigned to Designer]]&amp;Table15[[#This Row],[Date Completed]]</f>
        <v>MR196332121014576845772</v>
      </c>
    </row>
    <row r="1422" spans="1:82" ht="15" customHeight="1" x14ac:dyDescent="0.25">
      <c r="A1422">
        <v>2025</v>
      </c>
      <c r="B1422" s="878" t="s">
        <v>6798</v>
      </c>
      <c r="C1422" s="878" t="s">
        <v>8724</v>
      </c>
      <c r="D1422" s="878" t="s">
        <v>8725</v>
      </c>
      <c r="E1422" s="878" t="s">
        <v>8726</v>
      </c>
      <c r="F1422" s="878" t="s">
        <v>6643</v>
      </c>
      <c r="G1422" s="878" t="s">
        <v>34</v>
      </c>
      <c r="H1422" s="878" t="s">
        <v>59</v>
      </c>
      <c r="I1422" s="883">
        <v>45665</v>
      </c>
      <c r="J1422" s="881">
        <v>45777</v>
      </c>
      <c r="K1422" s="945">
        <v>45775</v>
      </c>
      <c r="L1422" s="884">
        <f>IF(ISTEXT(Table15[[#This Row],[Engineering Approved Design Date]]),Table15[[#This Row],[Date Completed]]-Table15[[#This Row],[Date Assigned to Designer]],Table15[[#This Row],[Engineering Approved Design Date]]-Table15[[#This Row],[Date Completed]])</f>
        <v>2</v>
      </c>
      <c r="M1422" s="883"/>
      <c r="N1422" s="99" t="s">
        <v>120</v>
      </c>
      <c r="O1422" s="886">
        <v>45778</v>
      </c>
      <c r="P1422" s="1153" t="s">
        <v>739</v>
      </c>
      <c r="Q1422" s="1150">
        <f>SUM(Table15[[#This Row],[Shactee Effort]:[KH Hourly Effort]])</f>
        <v>7225</v>
      </c>
      <c r="R1422" s="920" t="s">
        <v>1922</v>
      </c>
      <c r="S1422" s="888">
        <v>0</v>
      </c>
      <c r="T1422" s="888">
        <v>0</v>
      </c>
      <c r="U1422" s="889">
        <v>7225</v>
      </c>
      <c r="V1422" s="890">
        <v>0</v>
      </c>
      <c r="W1422" s="1021">
        <v>1</v>
      </c>
      <c r="X1422" s="888">
        <v>25000</v>
      </c>
      <c r="Y1422" s="888"/>
      <c r="Z1422" s="888">
        <v>0</v>
      </c>
      <c r="AA1422" s="888">
        <v>25000</v>
      </c>
      <c r="AB1422" s="893" t="s">
        <v>29</v>
      </c>
      <c r="AC1422" s="894" t="s">
        <v>1177</v>
      </c>
      <c r="AD1422" s="1160" t="s">
        <v>29</v>
      </c>
      <c r="AE1422" s="895" t="s">
        <v>756</v>
      </c>
      <c r="AF1422" s="895" t="s">
        <v>29</v>
      </c>
      <c r="AG1422" s="895" t="s">
        <v>29</v>
      </c>
      <c r="AH1422" s="940" t="s">
        <v>376</v>
      </c>
      <c r="AI1422" s="898">
        <v>0</v>
      </c>
      <c r="AJ1422" s="899">
        <v>0</v>
      </c>
      <c r="AK1422" s="899">
        <v>0</v>
      </c>
      <c r="AL1422" s="901">
        <f>SUM(Table15[[#This Row],[Nicor Initiated DBE]:[Staffing]])/(Table15[[#This Row],[Amount Invoiced]])</f>
        <v>0</v>
      </c>
      <c r="AM1422" s="542" t="s">
        <v>709</v>
      </c>
      <c r="AN1422" s="924"/>
      <c r="AO1422" s="1017"/>
      <c r="AP1422" s="926"/>
      <c r="AQ1422" s="926"/>
      <c r="AR1422" s="926"/>
      <c r="AS1422" s="926"/>
      <c r="AT1422" s="926"/>
      <c r="AU1422" s="926"/>
      <c r="AV1422" s="926"/>
      <c r="AW1422" s="927"/>
      <c r="AX1422" s="926"/>
      <c r="AY1422" s="1538" t="s">
        <v>29</v>
      </c>
      <c r="AZ1422" s="1532"/>
      <c r="BA1422" s="954" t="s">
        <v>8727</v>
      </c>
      <c r="BB1422" s="949" t="s">
        <v>8728</v>
      </c>
      <c r="BC1422" s="950" t="s">
        <v>29</v>
      </c>
      <c r="BD1422" s="951" t="s">
        <v>29</v>
      </c>
      <c r="BE1422" s="952" t="s">
        <v>29</v>
      </c>
      <c r="BF1422" s="952" t="s">
        <v>29</v>
      </c>
      <c r="BG1422" s="953" t="s">
        <v>29</v>
      </c>
      <c r="BH1422" s="1175" t="s">
        <v>8729</v>
      </c>
      <c r="BI1422" s="916" t="s">
        <v>745</v>
      </c>
      <c r="BJ1422" s="916" t="s">
        <v>745</v>
      </c>
      <c r="BK1422" s="916" t="s">
        <v>116</v>
      </c>
      <c r="BL1422" s="916" t="s">
        <v>116</v>
      </c>
      <c r="BM1422" s="916" t="s">
        <v>745</v>
      </c>
      <c r="BN1422" s="916" t="s">
        <v>745</v>
      </c>
      <c r="BO1422" s="916" t="s">
        <v>745</v>
      </c>
      <c r="BP1422" s="916" t="s">
        <v>745</v>
      </c>
      <c r="BQ1422" s="916" t="s">
        <v>745</v>
      </c>
      <c r="BR1422" s="916" t="s">
        <v>709</v>
      </c>
      <c r="BS1422" s="916" t="s">
        <v>709</v>
      </c>
      <c r="BT1422" s="916" t="s">
        <v>745</v>
      </c>
      <c r="BU1422" s="916" t="s">
        <v>116</v>
      </c>
      <c r="BV1422" s="916" t="s">
        <v>745</v>
      </c>
      <c r="BW1422" s="916" t="s">
        <v>745</v>
      </c>
      <c r="BX1422" s="916" t="s">
        <v>745</v>
      </c>
      <c r="BY1422" s="916" t="s">
        <v>745</v>
      </c>
      <c r="BZ1422" s="916" t="s">
        <v>709</v>
      </c>
      <c r="CA1422" s="962" t="s">
        <v>6806</v>
      </c>
      <c r="CB1422" s="547">
        <v>1423</v>
      </c>
      <c r="CC1422" s="1481" t="b">
        <v>0</v>
      </c>
      <c r="CD1422" s="879" t="str">
        <f>Table15[[#This Row],[Engineering Number]]&amp;Table15[[#This Row],[WO Number]]&amp;Table15[[#This Row],[Date Assigned to Designer]]&amp;Table15[[#This Row],[Date Completed]]</f>
        <v>130157010148764566545775</v>
      </c>
    </row>
    <row r="1423" spans="1:82" ht="15" customHeight="1" x14ac:dyDescent="0.25">
      <c r="A1423">
        <v>2025</v>
      </c>
      <c r="B1423" s="878" t="s">
        <v>4</v>
      </c>
      <c r="C1423" s="878" t="s">
        <v>8169</v>
      </c>
      <c r="D1423" s="878" t="s">
        <v>8545</v>
      </c>
      <c r="E1423" s="878" t="s">
        <v>1200</v>
      </c>
      <c r="F1423" s="878" t="s">
        <v>784</v>
      </c>
      <c r="G1423" s="878" t="s">
        <v>6377</v>
      </c>
      <c r="H1423" s="878" t="s">
        <v>4001</v>
      </c>
      <c r="I1423" s="883">
        <v>45765</v>
      </c>
      <c r="J1423" s="918" t="s">
        <v>2052</v>
      </c>
      <c r="K1423" s="945">
        <v>45775</v>
      </c>
      <c r="L1423" s="919">
        <f>IF(ISTEXT(Table15[[#This Row],[Engineering Approved Design Date]]),Table15[[#This Row],[Date Completed]]-Table15[[#This Row],[Date Assigned to Designer]],Table15[[#This Row],[Engineering Approved Design Date]]-Table15[[#This Row],[Date Completed]])</f>
        <v>10</v>
      </c>
      <c r="M1423" s="1012" t="s">
        <v>8730</v>
      </c>
      <c r="N1423" s="99" t="s">
        <v>120</v>
      </c>
      <c r="O1423" s="886">
        <v>45778</v>
      </c>
      <c r="P1423" s="1153" t="s">
        <v>739</v>
      </c>
      <c r="Q1423" s="1150">
        <f>SUM(Table15[[#This Row],[Shactee Effort]:[KH Hourly Effort]])</f>
        <v>4462.5</v>
      </c>
      <c r="R1423" s="920" t="s">
        <v>1922</v>
      </c>
      <c r="S1423" s="892">
        <v>0</v>
      </c>
      <c r="T1423" s="892">
        <v>0</v>
      </c>
      <c r="U1423" s="888">
        <v>4462.5</v>
      </c>
      <c r="V1423" s="1228" t="s">
        <v>29</v>
      </c>
      <c r="W1423" s="995" t="s">
        <v>29</v>
      </c>
      <c r="X1423" s="888" t="s">
        <v>29</v>
      </c>
      <c r="Y1423" s="888"/>
      <c r="Z1423" s="888" t="s">
        <v>29</v>
      </c>
      <c r="AA1423" s="888" t="s">
        <v>29</v>
      </c>
      <c r="AB1423" s="893" t="s">
        <v>29</v>
      </c>
      <c r="AC1423" s="896" t="s">
        <v>29</v>
      </c>
      <c r="AD1423" s="1155" t="s">
        <v>29</v>
      </c>
      <c r="AE1423" s="894" t="s">
        <v>756</v>
      </c>
      <c r="AF1423" s="896" t="s">
        <v>756</v>
      </c>
      <c r="AG1423" s="897" t="s">
        <v>29</v>
      </c>
      <c r="AH1423" s="902">
        <v>45770</v>
      </c>
      <c r="AI1423" s="921" t="s">
        <v>29</v>
      </c>
      <c r="AJ1423" s="922" t="s">
        <v>29</v>
      </c>
      <c r="AK1423" s="922" t="s">
        <v>29</v>
      </c>
      <c r="AL1423" s="923" t="s">
        <v>29</v>
      </c>
      <c r="AM1423" s="542" t="s">
        <v>709</v>
      </c>
      <c r="AN1423" s="924"/>
      <c r="AO1423" s="925"/>
      <c r="AP1423" s="926"/>
      <c r="AQ1423" s="926"/>
      <c r="AR1423" s="926"/>
      <c r="AS1423" s="926"/>
      <c r="AT1423" s="926"/>
      <c r="AU1423" s="926"/>
      <c r="AV1423" s="926"/>
      <c r="AW1423" s="927"/>
      <c r="AX1423" s="926"/>
      <c r="AY1423" s="1538" t="s">
        <v>29</v>
      </c>
      <c r="AZ1423" s="1530"/>
      <c r="BA1423" s="910">
        <v>11</v>
      </c>
      <c r="BB1423" s="928" t="s">
        <v>8731</v>
      </c>
      <c r="BC1423" s="915" t="s">
        <v>745</v>
      </c>
      <c r="BD1423" s="915" t="s">
        <v>709</v>
      </c>
      <c r="BE1423" s="915" t="s">
        <v>1203</v>
      </c>
      <c r="BF1423" s="915" t="s">
        <v>709</v>
      </c>
      <c r="BG1423" s="915" t="s">
        <v>709</v>
      </c>
      <c r="BH1423" s="1023" t="s">
        <v>8732</v>
      </c>
      <c r="BI1423" s="929" t="s">
        <v>745</v>
      </c>
      <c r="BJ1423" s="929" t="s">
        <v>745</v>
      </c>
      <c r="BK1423" s="929" t="s">
        <v>745</v>
      </c>
      <c r="BL1423" s="916" t="s">
        <v>116</v>
      </c>
      <c r="BM1423" s="916" t="s">
        <v>745</v>
      </c>
      <c r="BN1423" s="929" t="s">
        <v>745</v>
      </c>
      <c r="BO1423" s="916" t="s">
        <v>745</v>
      </c>
      <c r="BP1423" s="929" t="s">
        <v>745</v>
      </c>
      <c r="BQ1423" s="929" t="s">
        <v>745</v>
      </c>
      <c r="BR1423" s="929">
        <v>3217</v>
      </c>
      <c r="BS1423" s="916">
        <v>1180</v>
      </c>
      <c r="BT1423" s="929" t="s">
        <v>745</v>
      </c>
      <c r="BU1423" s="916" t="s">
        <v>745</v>
      </c>
      <c r="BV1423" s="929" t="s">
        <v>745</v>
      </c>
      <c r="BW1423" s="916" t="s">
        <v>745</v>
      </c>
      <c r="BX1423" s="929" t="s">
        <v>745</v>
      </c>
      <c r="BY1423" s="916" t="s">
        <v>745</v>
      </c>
      <c r="BZ1423" s="916" t="s">
        <v>709</v>
      </c>
      <c r="CA1423" s="943" t="s">
        <v>8733</v>
      </c>
      <c r="CB1423" s="547">
        <v>1422</v>
      </c>
      <c r="CC1423" s="1481" t="b">
        <v>0</v>
      </c>
      <c r="CD1423" s="879" t="str">
        <f>Table15[[#This Row],[Engineering Number]]&amp;Table15[[#This Row],[WO Number]]&amp;Table15[[#This Row],[Date Assigned to Designer]]&amp;Table15[[#This Row],[Date Completed]]</f>
        <v>M161771214679/12147414576545775</v>
      </c>
    </row>
    <row r="1424" spans="1:82" ht="15" customHeight="1" x14ac:dyDescent="0.25">
      <c r="A1424">
        <v>2025</v>
      </c>
      <c r="B1424" s="878" t="s">
        <v>771</v>
      </c>
      <c r="C1424" s="879" t="s">
        <v>8734</v>
      </c>
      <c r="D1424" s="880" t="s">
        <v>8735</v>
      </c>
      <c r="E1424" s="879" t="s">
        <v>164</v>
      </c>
      <c r="F1424" s="878" t="s">
        <v>784</v>
      </c>
      <c r="G1424" s="878" t="s">
        <v>8736</v>
      </c>
      <c r="H1424" s="878" t="s">
        <v>59</v>
      </c>
      <c r="I1424" s="881">
        <v>45664</v>
      </c>
      <c r="J1424" s="956">
        <v>45777</v>
      </c>
      <c r="K1424" s="883">
        <v>45775</v>
      </c>
      <c r="L1424" s="884">
        <f>IF(ISTEXT(Table15[[#This Row],[Engineering Approved Design Date]]),Table15[[#This Row],[Date Completed]]-Table15[[#This Row],[Date Assigned to Designer]],Table15[[#This Row],[Engineering Approved Design Date]]-Table15[[#This Row],[Date Completed]])</f>
        <v>2</v>
      </c>
      <c r="N1424" s="99" t="s">
        <v>120</v>
      </c>
      <c r="O1424" s="886">
        <v>45778</v>
      </c>
      <c r="P1424" s="1153" t="s">
        <v>120</v>
      </c>
      <c r="Q1424" s="1150">
        <f>Table15[[#This Row],[Rate]]*Table15[[#This Row],[Construction Cost to Bill From]]</f>
        <v>133400.29679999998</v>
      </c>
      <c r="R1424" s="887">
        <v>0.09</v>
      </c>
      <c r="S1424" s="888" t="s">
        <v>29</v>
      </c>
      <c r="T1424" s="888" t="s">
        <v>29</v>
      </c>
      <c r="U1424" s="889" t="s">
        <v>29</v>
      </c>
      <c r="V1424" s="890">
        <v>2197</v>
      </c>
      <c r="W1424" s="1021">
        <v>0</v>
      </c>
      <c r="X1424" s="888">
        <v>1361178.88</v>
      </c>
      <c r="Y1424" s="891"/>
      <c r="Z1424" s="888">
        <v>121046.64</v>
      </c>
      <c r="AA1424" s="892">
        <f>SUM(Table15[[#This Row],[PCTS Investment Amount]:[PCTS Retirement Amount]])</f>
        <v>1482225.5199999998</v>
      </c>
      <c r="AB1424" s="893">
        <v>45777</v>
      </c>
      <c r="AC1424" s="894" t="s">
        <v>1177</v>
      </c>
      <c r="AD1424" s="1160" t="s">
        <v>116</v>
      </c>
      <c r="AE1424" s="940" t="s">
        <v>756</v>
      </c>
      <c r="AF1424" s="895" t="s">
        <v>29</v>
      </c>
      <c r="AG1424" s="896" t="s">
        <v>376</v>
      </c>
      <c r="AH1424" s="897" t="s">
        <v>376</v>
      </c>
      <c r="AI1424" s="898">
        <v>0</v>
      </c>
      <c r="AJ1424" s="899">
        <f>1272.6+816.63</f>
        <v>2089.23</v>
      </c>
      <c r="AK1424" s="948">
        <v>1757.81</v>
      </c>
      <c r="AL1424" s="901">
        <f>SUM(Table15[[#This Row],[Nicor Initiated DBE]:[Staffing]])/(Table15[[#This Row],[Amount Invoiced]])</f>
        <v>2.8838316647583354E-2</v>
      </c>
      <c r="AM1424" s="536" t="s">
        <v>116</v>
      </c>
      <c r="AN1424" s="903"/>
      <c r="AO1424" s="1536"/>
      <c r="AP1424" s="1537"/>
      <c r="AQ1424" s="1537"/>
      <c r="AR1424" s="1537"/>
      <c r="AS1424" s="888">
        <f>IF(Table15[[#This Row],[PCTS Approved]]="N",0,Table15[[#This Row],[Investment Amount (1'#'#'#'#'#)]]+Table15[[#This Row],[Retirement Amount (3'#'#'#'#'#)]])</f>
        <v>0</v>
      </c>
      <c r="AT1424" s="888">
        <f>IF(Table15[[#This Row],[Approved Construction Cost]]=0,0,Table15[[#This Row],[Approved Construction Cost]]-Table15[[#This Row],[Construction Cost to Bill From]])</f>
        <v>0</v>
      </c>
      <c r="AU1424" s="888">
        <f>IFERROR(Table15[[#This Row],[Difference in Construction Cost]]*Table15[[#This Row],[Rate]],Table15[[#This Row],[Difference in Construction Cost]]*0.085)</f>
        <v>0</v>
      </c>
      <c r="AV1424" s="905"/>
      <c r="AW1424" s="1509"/>
      <c r="AX1424" s="888"/>
      <c r="AY1424" s="636" t="s">
        <v>709</v>
      </c>
      <c r="AZ1424" s="1532"/>
      <c r="BA1424" s="910" t="s">
        <v>8737</v>
      </c>
      <c r="BB1424" s="911" t="s">
        <v>8738</v>
      </c>
      <c r="BC1424" s="912" t="s">
        <v>709</v>
      </c>
      <c r="BD1424" s="913" t="s">
        <v>709</v>
      </c>
      <c r="BE1424" s="914" t="s">
        <v>3793</v>
      </c>
      <c r="BF1424" s="914" t="s">
        <v>709</v>
      </c>
      <c r="BG1424" s="915" t="s">
        <v>29</v>
      </c>
      <c r="BH1424" s="1023" t="s">
        <v>8739</v>
      </c>
      <c r="BI1424" s="929" t="s">
        <v>745</v>
      </c>
      <c r="BJ1424" s="929" t="s">
        <v>745</v>
      </c>
      <c r="BK1424" s="916" t="s">
        <v>745</v>
      </c>
      <c r="BL1424" s="916" t="s">
        <v>116</v>
      </c>
      <c r="BM1424" s="916" t="s">
        <v>745</v>
      </c>
      <c r="BN1424" s="916" t="s">
        <v>745</v>
      </c>
      <c r="BO1424" s="916" t="s">
        <v>745</v>
      </c>
      <c r="BP1424" s="916" t="s">
        <v>745</v>
      </c>
      <c r="BQ1424" s="916">
        <v>461</v>
      </c>
      <c r="BR1424" s="916">
        <v>1368</v>
      </c>
      <c r="BS1424" s="916">
        <v>368</v>
      </c>
      <c r="BT1424" s="916" t="s">
        <v>745</v>
      </c>
      <c r="BU1424" s="916" t="s">
        <v>745</v>
      </c>
      <c r="BV1424" s="916" t="s">
        <v>745</v>
      </c>
      <c r="BW1424" s="916" t="s">
        <v>745</v>
      </c>
      <c r="BX1424" s="916" t="s">
        <v>745</v>
      </c>
      <c r="BY1424" s="916" t="s">
        <v>745</v>
      </c>
      <c r="BZ1424" s="916" t="s">
        <v>745</v>
      </c>
      <c r="CA1424" s="917"/>
      <c r="CB1424" s="547">
        <v>1420</v>
      </c>
      <c r="CC1424" s="1481" t="b">
        <v>0</v>
      </c>
      <c r="CD1424" s="879" t="str">
        <f>Table15[[#This Row],[Engineering Number]]&amp;Table15[[#This Row],[WO Number]]&amp;Table15[[#This Row],[Date Assigned to Designer]]&amp;Table15[[#This Row],[Date Completed]]</f>
        <v>MR2BID554112148114566445775</v>
      </c>
    </row>
    <row r="1425" spans="1:82" ht="15" customHeight="1" x14ac:dyDescent="0.25">
      <c r="A1425">
        <v>2025</v>
      </c>
      <c r="B1425" s="878" t="s">
        <v>4</v>
      </c>
      <c r="C1425" s="879" t="s">
        <v>8740</v>
      </c>
      <c r="D1425" s="880" t="s">
        <v>8741</v>
      </c>
      <c r="E1425" s="879" t="s">
        <v>8742</v>
      </c>
      <c r="F1425" s="878" t="s">
        <v>6874</v>
      </c>
      <c r="G1425" s="878" t="s">
        <v>27</v>
      </c>
      <c r="H1425" s="878" t="s">
        <v>59</v>
      </c>
      <c r="I1425" s="881">
        <v>45649</v>
      </c>
      <c r="J1425" s="956">
        <v>45777</v>
      </c>
      <c r="K1425" s="945">
        <v>45775</v>
      </c>
      <c r="L1425" s="884">
        <f>IF(ISTEXT(Table15[[#This Row],[Engineering Approved Design Date]]),Table15[[#This Row],[Date Completed]]-Table15[[#This Row],[Date Assigned to Designer]],Table15[[#This Row],[Engineering Approved Design Date]]-Table15[[#This Row],[Date Completed]])</f>
        <v>2</v>
      </c>
      <c r="N1425" s="99" t="s">
        <v>120</v>
      </c>
      <c r="O1425" s="886">
        <v>45778</v>
      </c>
      <c r="P1425" s="1153" t="s">
        <v>739</v>
      </c>
      <c r="Q1425" s="1150">
        <f>Table15[[#This Row],[Rate]]*Table15[[#This Row],[Construction Cost to Bill From]]</f>
        <v>90753.233000000007</v>
      </c>
      <c r="R1425" s="887">
        <v>0.1</v>
      </c>
      <c r="S1425" s="888" t="s">
        <v>29</v>
      </c>
      <c r="T1425" s="888" t="s">
        <v>29</v>
      </c>
      <c r="U1425" s="889" t="s">
        <v>29</v>
      </c>
      <c r="V1425" s="890">
        <f>1773+92</f>
        <v>1865</v>
      </c>
      <c r="W1425" s="1021" t="s">
        <v>29</v>
      </c>
      <c r="X1425" s="888">
        <v>782945.25</v>
      </c>
      <c r="Y1425" s="891"/>
      <c r="Z1425" s="888">
        <v>124587.08</v>
      </c>
      <c r="AA1425" s="892">
        <f>SUM(Table15[[#This Row],[PCTS Investment Amount]:[PCTS Retirement Amount]])</f>
        <v>907532.33</v>
      </c>
      <c r="AB1425" s="893">
        <v>45775</v>
      </c>
      <c r="AC1425" s="894" t="s">
        <v>29</v>
      </c>
      <c r="AD1425" s="1161" t="s">
        <v>29</v>
      </c>
      <c r="AE1425" s="895" t="s">
        <v>756</v>
      </c>
      <c r="AF1425" s="895" t="s">
        <v>29</v>
      </c>
      <c r="AG1425" s="896" t="s">
        <v>116</v>
      </c>
      <c r="AH1425" s="897">
        <v>45806</v>
      </c>
      <c r="AI1425" s="898">
        <v>0</v>
      </c>
      <c r="AJ1425" s="899">
        <v>8300</v>
      </c>
      <c r="AK1425" s="899">
        <v>750.58</v>
      </c>
      <c r="AL1425" s="901">
        <f>SUM(Table15[[#This Row],[Nicor Initiated DBE]:[Staffing]])/(Table15[[#This Row],[Amount Invoiced]])</f>
        <v>9.9727356269500606E-2</v>
      </c>
      <c r="AM1425" s="536" t="s">
        <v>116</v>
      </c>
      <c r="AN1425" s="903" t="s">
        <v>709</v>
      </c>
      <c r="AO1425" s="1536"/>
      <c r="AP1425" s="1537"/>
      <c r="AQ1425" s="1537"/>
      <c r="AR1425" s="1537"/>
      <c r="AS1425" s="888">
        <f>IF(Table15[[#This Row],[PCTS Approved]]="N",0,Table15[[#This Row],[Investment Amount (1'#'#'#'#'#)]]+Table15[[#This Row],[Retirement Amount (3'#'#'#'#'#)]])</f>
        <v>0</v>
      </c>
      <c r="AT1425" s="888">
        <f>IF(Table15[[#This Row],[Approved Construction Cost]]=0,0,Table15[[#This Row],[Approved Construction Cost]]-Table15[[#This Row],[Construction Cost to Bill From]])</f>
        <v>0</v>
      </c>
      <c r="AU1425" s="888">
        <f>IFERROR(Table15[[#This Row],[Difference in Construction Cost]]*Table15[[#This Row],[Rate]],Table15[[#This Row],[Difference in Construction Cost]]*0.085)</f>
        <v>0</v>
      </c>
      <c r="AV1425" s="905"/>
      <c r="AW1425" s="1509"/>
      <c r="AX1425" s="888"/>
      <c r="AY1425" s="636" t="s">
        <v>709</v>
      </c>
      <c r="AZ1425" s="333"/>
      <c r="BA1425" s="910" t="s">
        <v>8743</v>
      </c>
      <c r="BB1425" s="911" t="s">
        <v>8744</v>
      </c>
      <c r="BC1425" s="912" t="s">
        <v>709</v>
      </c>
      <c r="BD1425" s="913" t="s">
        <v>837</v>
      </c>
      <c r="BE1425" s="914" t="s">
        <v>8745</v>
      </c>
      <c r="BF1425" s="914" t="s">
        <v>595</v>
      </c>
      <c r="BG1425" s="915" t="s">
        <v>709</v>
      </c>
      <c r="BH1425" s="1023" t="s">
        <v>8746</v>
      </c>
      <c r="BI1425" s="916" t="s">
        <v>709</v>
      </c>
      <c r="BJ1425" s="916" t="s">
        <v>745</v>
      </c>
      <c r="BK1425" s="916" t="s">
        <v>745</v>
      </c>
      <c r="BL1425" s="916" t="s">
        <v>116</v>
      </c>
      <c r="BM1425" s="916" t="s">
        <v>745</v>
      </c>
      <c r="BN1425" s="916" t="s">
        <v>745</v>
      </c>
      <c r="BO1425" s="916" t="s">
        <v>745</v>
      </c>
      <c r="BP1425" s="916" t="s">
        <v>745</v>
      </c>
      <c r="BQ1425" s="916" t="s">
        <v>709</v>
      </c>
      <c r="BR1425" s="916">
        <v>92</v>
      </c>
      <c r="BS1425" s="916">
        <v>1773</v>
      </c>
      <c r="BT1425" s="916" t="s">
        <v>745</v>
      </c>
      <c r="BU1425" s="916" t="s">
        <v>745</v>
      </c>
      <c r="BV1425" s="916" t="s">
        <v>745</v>
      </c>
      <c r="BW1425" s="916" t="s">
        <v>745</v>
      </c>
      <c r="BX1425" s="916" t="s">
        <v>745</v>
      </c>
      <c r="BY1425" s="916" t="s">
        <v>745</v>
      </c>
      <c r="BZ1425" s="916" t="s">
        <v>709</v>
      </c>
      <c r="CA1425" s="917" t="s">
        <v>29</v>
      </c>
      <c r="CB1425" s="547">
        <v>1421</v>
      </c>
      <c r="CC1425" s="1481" t="b">
        <v>0</v>
      </c>
      <c r="CD1425" s="879" t="str">
        <f>Table15[[#This Row],[Engineering Number]]&amp;Table15[[#This Row],[WO Number]]&amp;Table15[[#This Row],[Date Assigned to Designer]]&amp;Table15[[#This Row],[Date Completed]]</f>
        <v>SC2503114150514564945775</v>
      </c>
    </row>
    <row r="1426" spans="1:82" ht="15" customHeight="1" x14ac:dyDescent="0.25">
      <c r="A1426">
        <v>2025</v>
      </c>
      <c r="B1426" s="878" t="s">
        <v>1981</v>
      </c>
      <c r="C1426" s="878" t="s">
        <v>7742</v>
      </c>
      <c r="D1426" s="878" t="s">
        <v>8293</v>
      </c>
      <c r="E1426" s="879" t="s">
        <v>8747</v>
      </c>
      <c r="F1426" s="879" t="s">
        <v>7735</v>
      </c>
      <c r="G1426" s="879" t="s">
        <v>4770</v>
      </c>
      <c r="H1426" s="878" t="s">
        <v>3178</v>
      </c>
      <c r="I1426" s="883">
        <v>45769</v>
      </c>
      <c r="J1426" s="918" t="s">
        <v>2052</v>
      </c>
      <c r="K1426" s="883">
        <v>45776</v>
      </c>
      <c r="L1426" s="884">
        <f>IF(ISTEXT(Table15[[#This Row],[Engineering Approved Design Date]]),Table15[[#This Row],[Date Completed]]-Table15[[#This Row],[Date Assigned to Designer]],Table15[[#This Row],[Engineering Approved Design Date]]-Table15[[#This Row],[Date Completed]])</f>
        <v>7</v>
      </c>
      <c r="M1426" s="965" t="s">
        <v>8748</v>
      </c>
      <c r="N1426" s="99" t="s">
        <v>120</v>
      </c>
      <c r="O1426" s="886">
        <v>45778</v>
      </c>
      <c r="P1426" s="1153" t="s">
        <v>739</v>
      </c>
      <c r="Q1426" s="1150">
        <f>SUM(Table15[[#This Row],[Shactee Effort]:[KH Hourly Effort]])</f>
        <v>4037.5</v>
      </c>
      <c r="R1426" s="920" t="s">
        <v>1922</v>
      </c>
      <c r="S1426" s="888">
        <v>0</v>
      </c>
      <c r="T1426" s="888">
        <v>0</v>
      </c>
      <c r="U1426" s="889">
        <v>4037.5</v>
      </c>
      <c r="V1426" s="890">
        <v>321</v>
      </c>
      <c r="W1426" s="1021">
        <v>2</v>
      </c>
      <c r="X1426" s="888">
        <v>170000</v>
      </c>
      <c r="Y1426" s="888"/>
      <c r="Z1426" s="888">
        <v>47000</v>
      </c>
      <c r="AA1426" s="888">
        <f>SUM(Table15[[#This Row],[PCTS Investment Amount]:[PCTS Retirement Amount]])</f>
        <v>217000</v>
      </c>
      <c r="AB1426" s="893">
        <v>45714</v>
      </c>
      <c r="AC1426" s="896" t="s">
        <v>709</v>
      </c>
      <c r="AD1426" s="1155" t="s">
        <v>29</v>
      </c>
      <c r="AE1426" s="894" t="s">
        <v>116</v>
      </c>
      <c r="AF1426" s="896" t="s">
        <v>29</v>
      </c>
      <c r="AG1426" s="896" t="s">
        <v>376</v>
      </c>
      <c r="AH1426" s="902">
        <v>45756</v>
      </c>
      <c r="AI1426" s="921" t="s">
        <v>29</v>
      </c>
      <c r="AJ1426" s="922" t="s">
        <v>29</v>
      </c>
      <c r="AK1426" s="922" t="s">
        <v>29</v>
      </c>
      <c r="AL1426" s="923" t="s">
        <v>29</v>
      </c>
      <c r="AM1426" s="542" t="s">
        <v>709</v>
      </c>
      <c r="AN1426" s="924"/>
      <c r="AO1426" s="925"/>
      <c r="AP1426" s="926"/>
      <c r="AQ1426" s="926"/>
      <c r="AR1426" s="926"/>
      <c r="AS1426" s="926"/>
      <c r="AT1426" s="926"/>
      <c r="AU1426" s="926"/>
      <c r="AV1426" s="926"/>
      <c r="AW1426" s="927"/>
      <c r="AX1426" s="926"/>
      <c r="AY1426" s="1538" t="s">
        <v>29</v>
      </c>
      <c r="AZ1426" s="1530"/>
      <c r="BA1426" s="910">
        <v>2</v>
      </c>
      <c r="BB1426" s="911" t="s">
        <v>8748</v>
      </c>
      <c r="BC1426" s="910">
        <v>2</v>
      </c>
      <c r="BD1426" s="951" t="s">
        <v>709</v>
      </c>
      <c r="BE1426" s="952" t="s">
        <v>4528</v>
      </c>
      <c r="BF1426" s="952" t="s">
        <v>29</v>
      </c>
      <c r="BG1426" s="953" t="s">
        <v>29</v>
      </c>
      <c r="BH1426" s="1023" t="s">
        <v>8749</v>
      </c>
      <c r="BI1426" s="929" t="s">
        <v>709</v>
      </c>
      <c r="BJ1426" s="929" t="s">
        <v>709</v>
      </c>
      <c r="BK1426" s="929" t="s">
        <v>709</v>
      </c>
      <c r="BL1426" s="916" t="s">
        <v>116</v>
      </c>
      <c r="BM1426" s="929" t="s">
        <v>709</v>
      </c>
      <c r="BN1426" s="929" t="s">
        <v>709</v>
      </c>
      <c r="BO1426" s="929" t="s">
        <v>709</v>
      </c>
      <c r="BP1426" s="929" t="s">
        <v>709</v>
      </c>
      <c r="BQ1426" s="929" t="s">
        <v>709</v>
      </c>
      <c r="BR1426" s="929" t="s">
        <v>709</v>
      </c>
      <c r="BS1426" s="916">
        <v>321</v>
      </c>
      <c r="BT1426" s="929" t="s">
        <v>709</v>
      </c>
      <c r="BU1426" s="929" t="s">
        <v>709</v>
      </c>
      <c r="BV1426" s="929" t="s">
        <v>709</v>
      </c>
      <c r="BW1426" s="929" t="s">
        <v>709</v>
      </c>
      <c r="BX1426" s="929" t="s">
        <v>709</v>
      </c>
      <c r="BY1426" s="929" t="s">
        <v>709</v>
      </c>
      <c r="BZ1426" s="929">
        <v>2</v>
      </c>
      <c r="CA1426" s="917" t="s">
        <v>8297</v>
      </c>
      <c r="CB1426" s="547">
        <v>1424</v>
      </c>
      <c r="CC1426" s="1481" t="b">
        <v>0</v>
      </c>
      <c r="CD1426" s="879" t="str">
        <f>Table15[[#This Row],[Engineering Number]]&amp;Table15[[#This Row],[WO Number]]&amp;Table15[[#This Row],[Date Assigned to Designer]]&amp;Table15[[#This Row],[Date Completed]]</f>
        <v>COR106014147064576945776</v>
      </c>
    </row>
    <row r="1427" spans="1:82" ht="15" customHeight="1" x14ac:dyDescent="0.25">
      <c r="A1427">
        <v>2025</v>
      </c>
      <c r="B1427" s="878" t="s">
        <v>771</v>
      </c>
      <c r="C1427" s="879" t="s">
        <v>8750</v>
      </c>
      <c r="D1427" s="880" t="s">
        <v>8751</v>
      </c>
      <c r="E1427" s="879" t="s">
        <v>8752</v>
      </c>
      <c r="F1427" s="878" t="s">
        <v>6874</v>
      </c>
      <c r="G1427" s="878" t="s">
        <v>8736</v>
      </c>
      <c r="H1427" s="878" t="s">
        <v>59</v>
      </c>
      <c r="I1427" s="881">
        <v>45700</v>
      </c>
      <c r="J1427" s="882">
        <v>45777</v>
      </c>
      <c r="K1427" s="883">
        <v>45777</v>
      </c>
      <c r="L1427" s="884">
        <f>IF(ISTEXT(Table15[[#This Row],[Engineering Approved Design Date]]),Table15[[#This Row],[Date Completed]]-Table15[[#This Row],[Date Assigned to Designer]],Table15[[#This Row],[Engineering Approved Design Date]]-Table15[[#This Row],[Date Completed]])</f>
        <v>0</v>
      </c>
      <c r="N1427" s="99" t="s">
        <v>120</v>
      </c>
      <c r="O1427" s="886">
        <v>45778</v>
      </c>
      <c r="P1427" s="1153" t="s">
        <v>120</v>
      </c>
      <c r="Q1427" s="1150">
        <f>Table15[[#This Row],[Rate]]*Table15[[#This Row],[Construction Cost to Bill From]]</f>
        <v>78973.695899999992</v>
      </c>
      <c r="R1427" s="887">
        <v>0.09</v>
      </c>
      <c r="S1427" s="1228" t="s">
        <v>29</v>
      </c>
      <c r="T1427" s="888" t="s">
        <v>29</v>
      </c>
      <c r="U1427" s="889" t="s">
        <v>29</v>
      </c>
      <c r="V1427" s="890">
        <f>110+2573</f>
        <v>2683</v>
      </c>
      <c r="W1427" s="1021">
        <v>0</v>
      </c>
      <c r="X1427" s="888">
        <v>846747.69</v>
      </c>
      <c r="Y1427" s="891"/>
      <c r="Z1427" s="888">
        <v>30737.82</v>
      </c>
      <c r="AA1427" s="892">
        <f>SUM(Table15[[#This Row],[PCTS Investment Amount]:[PCTS Retirement Amount]])</f>
        <v>877485.50999999989</v>
      </c>
      <c r="AB1427" s="893">
        <v>45786</v>
      </c>
      <c r="AC1427" s="894" t="s">
        <v>29</v>
      </c>
      <c r="AD1427" s="1160" t="s">
        <v>29</v>
      </c>
      <c r="AE1427" s="940" t="s">
        <v>756</v>
      </c>
      <c r="AF1427" s="895" t="s">
        <v>756</v>
      </c>
      <c r="AG1427" s="896" t="s">
        <v>376</v>
      </c>
      <c r="AH1427" s="897" t="s">
        <v>376</v>
      </c>
      <c r="AI1427" s="898">
        <v>23400</v>
      </c>
      <c r="AJ1427" s="899">
        <v>0</v>
      </c>
      <c r="AK1427" s="948">
        <v>0</v>
      </c>
      <c r="AL1427" s="901">
        <f>SUM(Table15[[#This Row],[Nicor Initiated DBE]:[Staffing]])/(Table15[[#This Row],[Amount Invoiced]])</f>
        <v>0.29630118906464908</v>
      </c>
      <c r="AM1427" s="1522" t="s">
        <v>116</v>
      </c>
      <c r="AN1427" s="1523">
        <v>45831</v>
      </c>
      <c r="AO1427" s="1524">
        <v>11100774</v>
      </c>
      <c r="AP1427" s="1525">
        <v>860785.02</v>
      </c>
      <c r="AQ1427" s="1525"/>
      <c r="AR1427" s="1525">
        <v>31530.080000000002</v>
      </c>
      <c r="AS1427" s="1525">
        <f>IF(Table15[[#This Row],[PCTS Approved]]="N",0,Table15[[#This Row],[Investment Amount (1'#'#'#'#'#)]]+Table15[[#This Row],[Retirement Amount (3'#'#'#'#'#)]])</f>
        <v>892315.1</v>
      </c>
      <c r="AT1427" s="1525">
        <f>IF(Table15[[#This Row],[Approved Construction Cost]]=0,0,Table15[[#This Row],[Approved Construction Cost]]-Table15[[#This Row],[Construction Cost to Bill From]])</f>
        <v>14829.590000000084</v>
      </c>
      <c r="AU1427" s="1525">
        <f>Table15[[#This Row],[Difference in Construction Cost]]*Table15[[#This Row],[Rate]]</f>
        <v>1334.6631000000075</v>
      </c>
      <c r="AV1427" s="1525">
        <v>0</v>
      </c>
      <c r="AW1427" s="1526" t="s">
        <v>8753</v>
      </c>
      <c r="AX1427" s="1525">
        <f>Table15[[#This Row],[Reconcile Amount]]</f>
        <v>1334.6631000000075</v>
      </c>
      <c r="AY1427" s="1518">
        <v>45901</v>
      </c>
      <c r="AZ1427" s="333"/>
      <c r="BA1427" s="910" t="s">
        <v>8754</v>
      </c>
      <c r="BB1427" s="911" t="s">
        <v>8755</v>
      </c>
      <c r="BC1427" s="912" t="s">
        <v>116</v>
      </c>
      <c r="BD1427" s="913" t="s">
        <v>709</v>
      </c>
      <c r="BE1427" s="914" t="s">
        <v>8756</v>
      </c>
      <c r="BF1427" s="914" t="s">
        <v>709</v>
      </c>
      <c r="BG1427" s="915" t="s">
        <v>709</v>
      </c>
      <c r="BH1427" s="1023" t="s">
        <v>8757</v>
      </c>
      <c r="BI1427" s="929" t="s">
        <v>745</v>
      </c>
      <c r="BJ1427" s="929" t="s">
        <v>745</v>
      </c>
      <c r="BK1427" s="916" t="s">
        <v>745</v>
      </c>
      <c r="BL1427" s="916" t="s">
        <v>116</v>
      </c>
      <c r="BM1427" s="916" t="s">
        <v>745</v>
      </c>
      <c r="BN1427" s="916" t="s">
        <v>745</v>
      </c>
      <c r="BO1427" s="916" t="s">
        <v>745</v>
      </c>
      <c r="BP1427" s="916" t="s">
        <v>745</v>
      </c>
      <c r="BQ1427" s="916" t="s">
        <v>745</v>
      </c>
      <c r="BR1427" s="916">
        <v>110</v>
      </c>
      <c r="BS1427" s="916">
        <v>2573</v>
      </c>
      <c r="BT1427" s="916" t="s">
        <v>745</v>
      </c>
      <c r="BU1427" s="916" t="s">
        <v>745</v>
      </c>
      <c r="BV1427" s="916" t="s">
        <v>745</v>
      </c>
      <c r="BW1427" s="916" t="s">
        <v>745</v>
      </c>
      <c r="BX1427" s="916" t="s">
        <v>745</v>
      </c>
      <c r="BY1427" s="916" t="s">
        <v>745</v>
      </c>
      <c r="BZ1427" s="916" t="s">
        <v>745</v>
      </c>
      <c r="CA1427" s="917"/>
      <c r="CB1427" s="547">
        <v>1425</v>
      </c>
      <c r="CC1427" s="1481" t="b">
        <v>0</v>
      </c>
      <c r="CD1427" s="879" t="str">
        <f>Table15[[#This Row],[Engineering Number]]&amp;Table15[[#This Row],[WO Number]]&amp;Table15[[#This Row],[Date Assigned to Designer]]&amp;Table15[[#This Row],[Date Completed]]</f>
        <v>MR2BID9647-312149924570045777</v>
      </c>
    </row>
    <row r="1428" spans="1:82" ht="15" customHeight="1" x14ac:dyDescent="0.25">
      <c r="A1428">
        <v>2025</v>
      </c>
      <c r="B1428" s="878" t="s">
        <v>4</v>
      </c>
      <c r="C1428" s="878" t="s">
        <v>8651</v>
      </c>
      <c r="D1428" s="878" t="s">
        <v>8652</v>
      </c>
      <c r="E1428" s="878" t="s">
        <v>1716</v>
      </c>
      <c r="F1428" s="878" t="s">
        <v>784</v>
      </c>
      <c r="G1428" s="878" t="s">
        <v>26</v>
      </c>
      <c r="H1428" s="878" t="s">
        <v>4045</v>
      </c>
      <c r="I1428" s="883">
        <v>45776</v>
      </c>
      <c r="J1428" s="882" t="s">
        <v>2958</v>
      </c>
      <c r="K1428" s="883">
        <v>45778</v>
      </c>
      <c r="L1428" s="919">
        <f>IF(ISTEXT(Table15[[#This Row],[Engineering Approved Design Date]]),Table15[[#This Row],[Date Completed]]-Table15[[#This Row],[Date Assigned to Designer]],Table15[[#This Row],[Engineering Approved Design Date]]-Table15[[#This Row],[Date Completed]])</f>
        <v>2</v>
      </c>
      <c r="M1428" s="883" t="s">
        <v>8758</v>
      </c>
      <c r="N1428" s="99" t="s">
        <v>120</v>
      </c>
      <c r="O1428" s="886">
        <v>45778</v>
      </c>
      <c r="P1428" s="958" t="s">
        <v>739</v>
      </c>
      <c r="Q1428" s="1150" t="s">
        <v>115</v>
      </c>
      <c r="R1428" s="920" t="s">
        <v>115</v>
      </c>
      <c r="S1428" s="888" t="s">
        <v>29</v>
      </c>
      <c r="T1428" s="888" t="s">
        <v>29</v>
      </c>
      <c r="U1428" s="934" t="s">
        <v>29</v>
      </c>
      <c r="V1428" s="890" t="s">
        <v>29</v>
      </c>
      <c r="W1428" s="1021" t="s">
        <v>29</v>
      </c>
      <c r="X1428" s="888" t="s">
        <v>29</v>
      </c>
      <c r="Y1428" s="935"/>
      <c r="Z1428" s="888" t="s">
        <v>29</v>
      </c>
      <c r="AA1428" s="888" t="s">
        <v>29</v>
      </c>
      <c r="AB1428" s="958" t="s">
        <v>29</v>
      </c>
      <c r="AC1428" s="894" t="s">
        <v>29</v>
      </c>
      <c r="AD1428" s="1160" t="s">
        <v>29</v>
      </c>
      <c r="AE1428" s="940" t="s">
        <v>756</v>
      </c>
      <c r="AF1428" s="895" t="s">
        <v>756</v>
      </c>
      <c r="AG1428" s="896" t="s">
        <v>116</v>
      </c>
      <c r="AH1428" s="897">
        <v>45825</v>
      </c>
      <c r="AI1428" s="921" t="s">
        <v>29</v>
      </c>
      <c r="AJ1428" s="922" t="s">
        <v>29</v>
      </c>
      <c r="AK1428" s="922" t="s">
        <v>29</v>
      </c>
      <c r="AL1428" s="923" t="s">
        <v>29</v>
      </c>
      <c r="AM1428" s="542" t="s">
        <v>709</v>
      </c>
      <c r="AN1428" s="924"/>
      <c r="AO1428" s="925"/>
      <c r="AP1428" s="926"/>
      <c r="AQ1428" s="926"/>
      <c r="AR1428" s="926"/>
      <c r="AS1428" s="926"/>
      <c r="AT1428" s="926"/>
      <c r="AU1428" s="926"/>
      <c r="AV1428" s="926"/>
      <c r="AW1428" s="927"/>
      <c r="AX1428" s="926"/>
      <c r="AY1428" s="1538" t="s">
        <v>29</v>
      </c>
      <c r="AZ1428" s="1530"/>
      <c r="BA1428" s="954">
        <v>10</v>
      </c>
      <c r="BB1428" s="928" t="s">
        <v>29</v>
      </c>
      <c r="BC1428" s="912" t="s">
        <v>709</v>
      </c>
      <c r="BD1428" s="913" t="s">
        <v>709</v>
      </c>
      <c r="BE1428" s="914" t="s">
        <v>1719</v>
      </c>
      <c r="BF1428" s="914" t="s">
        <v>8655</v>
      </c>
      <c r="BG1428" s="915" t="s">
        <v>709</v>
      </c>
      <c r="BH1428" s="1023" t="s">
        <v>29</v>
      </c>
      <c r="BI1428" s="916" t="s">
        <v>745</v>
      </c>
      <c r="BJ1428" s="916" t="s">
        <v>745</v>
      </c>
      <c r="BK1428" s="916" t="s">
        <v>745</v>
      </c>
      <c r="BL1428" s="916" t="s">
        <v>116</v>
      </c>
      <c r="BM1428" s="916" t="s">
        <v>745</v>
      </c>
      <c r="BN1428" s="916" t="s">
        <v>745</v>
      </c>
      <c r="BO1428" s="916" t="s">
        <v>745</v>
      </c>
      <c r="BP1428" s="916" t="s">
        <v>745</v>
      </c>
      <c r="BQ1428" s="916" t="s">
        <v>745</v>
      </c>
      <c r="BR1428" s="916">
        <v>266</v>
      </c>
      <c r="BS1428" s="916">
        <v>2992</v>
      </c>
      <c r="BT1428" s="916" t="s">
        <v>745</v>
      </c>
      <c r="BU1428" s="916" t="s">
        <v>745</v>
      </c>
      <c r="BV1428" s="916" t="s">
        <v>745</v>
      </c>
      <c r="BW1428" s="916" t="s">
        <v>745</v>
      </c>
      <c r="BX1428" s="916" t="s">
        <v>745</v>
      </c>
      <c r="BY1428" s="916" t="s">
        <v>745</v>
      </c>
      <c r="BZ1428" s="916" t="s">
        <v>745</v>
      </c>
      <c r="CA1428" s="917"/>
      <c r="CB1428" s="547">
        <v>1426</v>
      </c>
      <c r="CC1428" s="1481" t="b">
        <v>0</v>
      </c>
      <c r="CD1428" s="879" t="str">
        <f>Table15[[#This Row],[Engineering Number]]&amp;Table15[[#This Row],[WO Number]]&amp;Table15[[#This Row],[Date Assigned to Designer]]&amp;Table15[[#This Row],[Date Completed]]</f>
        <v>N1364512150334577645778</v>
      </c>
    </row>
    <row r="1429" spans="1:82" ht="15" customHeight="1" x14ac:dyDescent="0.25">
      <c r="A1429">
        <v>2025</v>
      </c>
      <c r="B1429" s="878" t="s">
        <v>1981</v>
      </c>
      <c r="C1429" s="878" t="s">
        <v>8623</v>
      </c>
      <c r="D1429" s="878">
        <v>1315170</v>
      </c>
      <c r="E1429" s="878" t="s">
        <v>178</v>
      </c>
      <c r="F1429" s="878" t="s">
        <v>7735</v>
      </c>
      <c r="G1429" s="878" t="s">
        <v>7382</v>
      </c>
      <c r="H1429" s="878" t="s">
        <v>3178</v>
      </c>
      <c r="I1429" s="883">
        <v>45769</v>
      </c>
      <c r="J1429" s="918" t="s">
        <v>2052</v>
      </c>
      <c r="K1429" s="945">
        <v>45778</v>
      </c>
      <c r="L1429" s="919">
        <f>IF(ISTEXT(Table15[[#This Row],[Engineering Approved Design Date]]),Table15[[#This Row],[Date Completed]]-Table15[[#This Row],[Date Assigned to Designer]],Table15[[#This Row],[Engineering Approved Design Date]]-Table15[[#This Row],[Date Completed]])</f>
        <v>9</v>
      </c>
      <c r="M1429" s="1012" t="s">
        <v>8759</v>
      </c>
      <c r="N1429" s="885" t="s">
        <v>739</v>
      </c>
      <c r="O1429" s="886">
        <v>45870</v>
      </c>
      <c r="P1429" s="1153" t="s">
        <v>739</v>
      </c>
      <c r="Q1429" s="1150">
        <f>SUM(Table15[[#This Row],[Shactee Effort]:[KH Hourly Effort]])</f>
        <v>5107.5</v>
      </c>
      <c r="R1429" s="920" t="s">
        <v>1922</v>
      </c>
      <c r="S1429" s="888">
        <v>0</v>
      </c>
      <c r="T1429" s="888">
        <v>0</v>
      </c>
      <c r="U1429" s="889">
        <v>5107.5</v>
      </c>
      <c r="V1429" s="890">
        <v>74</v>
      </c>
      <c r="W1429" s="1021">
        <v>0</v>
      </c>
      <c r="X1429" s="888" t="s">
        <v>29</v>
      </c>
      <c r="Y1429" s="935"/>
      <c r="Z1429" s="888" t="s">
        <v>29</v>
      </c>
      <c r="AA1429" s="888" t="s">
        <v>29</v>
      </c>
      <c r="AB1429" s="958" t="s">
        <v>29</v>
      </c>
      <c r="AC1429" s="894" t="s">
        <v>29</v>
      </c>
      <c r="AD1429" s="1160" t="s">
        <v>29</v>
      </c>
      <c r="AE1429" s="894" t="s">
        <v>29</v>
      </c>
      <c r="AF1429" s="896" t="s">
        <v>29</v>
      </c>
      <c r="AG1429" s="897" t="s">
        <v>29</v>
      </c>
      <c r="AH1429" s="902" t="s">
        <v>29</v>
      </c>
      <c r="AI1429" s="921"/>
      <c r="AJ1429" s="922"/>
      <c r="AK1429" s="922"/>
      <c r="AL1429" s="923"/>
      <c r="AM1429" s="542" t="s">
        <v>709</v>
      </c>
      <c r="AN1429" s="924"/>
      <c r="AO1429" s="925"/>
      <c r="AP1429" s="926"/>
      <c r="AQ1429" s="926"/>
      <c r="AR1429" s="926"/>
      <c r="AS1429" s="926"/>
      <c r="AT1429" s="926"/>
      <c r="AU1429" s="926"/>
      <c r="AV1429" s="926"/>
      <c r="AW1429" s="927"/>
      <c r="AX1429" s="926"/>
      <c r="AY1429" s="1538" t="s">
        <v>29</v>
      </c>
      <c r="AZ1429" s="1530"/>
      <c r="BA1429" s="910">
        <v>11</v>
      </c>
      <c r="BB1429" s="911" t="s">
        <v>8759</v>
      </c>
      <c r="BC1429" s="915" t="s">
        <v>8439</v>
      </c>
      <c r="BD1429" s="915" t="s">
        <v>29</v>
      </c>
      <c r="BE1429" s="915" t="s">
        <v>29</v>
      </c>
      <c r="BF1429" s="915" t="s">
        <v>29</v>
      </c>
      <c r="BG1429" s="915" t="s">
        <v>29</v>
      </c>
      <c r="BH1429" s="1023" t="s">
        <v>8760</v>
      </c>
      <c r="BI1429" s="916" t="s">
        <v>709</v>
      </c>
      <c r="BJ1429" s="916" t="s">
        <v>709</v>
      </c>
      <c r="BK1429" s="916" t="s">
        <v>709</v>
      </c>
      <c r="BL1429" s="916" t="s">
        <v>116</v>
      </c>
      <c r="BM1429" s="916" t="s">
        <v>709</v>
      </c>
      <c r="BN1429" s="916" t="s">
        <v>709</v>
      </c>
      <c r="BO1429" s="916" t="s">
        <v>709</v>
      </c>
      <c r="BP1429" s="916" t="s">
        <v>709</v>
      </c>
      <c r="BQ1429" s="929" t="s">
        <v>709</v>
      </c>
      <c r="BR1429" s="929">
        <v>74</v>
      </c>
      <c r="BS1429" s="916" t="s">
        <v>709</v>
      </c>
      <c r="BT1429" s="916" t="s">
        <v>709</v>
      </c>
      <c r="BU1429" s="916" t="s">
        <v>709</v>
      </c>
      <c r="BV1429" s="916" t="s">
        <v>709</v>
      </c>
      <c r="BW1429" s="916" t="s">
        <v>709</v>
      </c>
      <c r="BX1429" s="916" t="s">
        <v>709</v>
      </c>
      <c r="BY1429" s="916" t="s">
        <v>709</v>
      </c>
      <c r="BZ1429" s="916">
        <v>3</v>
      </c>
      <c r="CA1429" s="1006" t="s">
        <v>8314</v>
      </c>
      <c r="CB1429" s="547">
        <v>1427</v>
      </c>
      <c r="CC1429" s="1481" t="b">
        <v>0</v>
      </c>
      <c r="CD1429" s="879" t="str">
        <f>Table15[[#This Row],[Engineering Number]]&amp;Table15[[#This Row],[WO Number]]&amp;Table15[[#This Row],[Date Assigned to Designer]]&amp;Table15[[#This Row],[Date Completed]]</f>
        <v>COR108813151704576945778</v>
      </c>
    </row>
    <row r="1430" spans="1:82" ht="15" customHeight="1" x14ac:dyDescent="0.25">
      <c r="A1430">
        <v>2025</v>
      </c>
      <c r="B1430" s="878" t="s">
        <v>6798</v>
      </c>
      <c r="C1430" s="878" t="s">
        <v>8611</v>
      </c>
      <c r="D1430" s="878" t="s">
        <v>8612</v>
      </c>
      <c r="E1430" s="878" t="s">
        <v>5168</v>
      </c>
      <c r="F1430" s="878" t="s">
        <v>6643</v>
      </c>
      <c r="G1430" s="878" t="s">
        <v>4770</v>
      </c>
      <c r="H1430" s="878" t="s">
        <v>3178</v>
      </c>
      <c r="I1430" s="883">
        <v>45762</v>
      </c>
      <c r="J1430" s="918" t="s">
        <v>2052</v>
      </c>
      <c r="K1430" s="945">
        <v>45779</v>
      </c>
      <c r="L1430" s="919">
        <f>IF(ISTEXT(Table15[[#This Row],[Engineering Approved Design Date]]),Table15[[#This Row],[Date Completed]]-Table15[[#This Row],[Date Assigned to Designer]],Table15[[#This Row],[Engineering Approved Design Date]]-Table15[[#This Row],[Date Completed]])</f>
        <v>17</v>
      </c>
      <c r="M1430" s="1012" t="s">
        <v>8761</v>
      </c>
      <c r="N1430" s="99" t="s">
        <v>120</v>
      </c>
      <c r="O1430" s="886">
        <v>45778</v>
      </c>
      <c r="P1430" s="1153" t="s">
        <v>739</v>
      </c>
      <c r="Q1430" s="1150">
        <f>SUM(Table15[[#This Row],[Shactee Effort]:[KH Hourly Effort]])</f>
        <v>1687.5</v>
      </c>
      <c r="R1430" s="920" t="s">
        <v>1922</v>
      </c>
      <c r="S1430" s="888">
        <v>0</v>
      </c>
      <c r="T1430" s="888">
        <v>0</v>
      </c>
      <c r="U1430" s="889">
        <v>1687.5</v>
      </c>
      <c r="V1430" s="963">
        <v>0</v>
      </c>
      <c r="W1430" s="1021">
        <v>1</v>
      </c>
      <c r="X1430" s="888" t="s">
        <v>29</v>
      </c>
      <c r="Y1430" s="888"/>
      <c r="Z1430" s="888" t="s">
        <v>29</v>
      </c>
      <c r="AA1430" s="888" t="s">
        <v>29</v>
      </c>
      <c r="AB1430" s="893" t="s">
        <v>29</v>
      </c>
      <c r="AC1430" s="896" t="s">
        <v>29</v>
      </c>
      <c r="AD1430" s="1155" t="s">
        <v>29</v>
      </c>
      <c r="AE1430" s="894" t="s">
        <v>756</v>
      </c>
      <c r="AF1430" s="896" t="s">
        <v>756</v>
      </c>
      <c r="AG1430" s="897" t="s">
        <v>29</v>
      </c>
      <c r="AH1430" s="902" t="s">
        <v>376</v>
      </c>
      <c r="AI1430" s="898"/>
      <c r="AJ1430" s="899"/>
      <c r="AK1430" s="899"/>
      <c r="AL1430" s="901"/>
      <c r="AM1430" s="542" t="s">
        <v>709</v>
      </c>
      <c r="AN1430" s="924"/>
      <c r="AO1430" s="925"/>
      <c r="AP1430" s="926"/>
      <c r="AQ1430" s="926"/>
      <c r="AR1430" s="926"/>
      <c r="AS1430" s="926"/>
      <c r="AT1430" s="926"/>
      <c r="AU1430" s="926"/>
      <c r="AV1430" s="926"/>
      <c r="AW1430" s="927"/>
      <c r="AX1430" s="926"/>
      <c r="AY1430" s="1538" t="s">
        <v>29</v>
      </c>
      <c r="AZ1430" s="1530"/>
      <c r="BA1430" s="1068">
        <v>4</v>
      </c>
      <c r="BB1430" s="543" t="s">
        <v>8762</v>
      </c>
      <c r="BC1430" s="559" t="s">
        <v>709</v>
      </c>
      <c r="BD1430" s="554" t="s">
        <v>29</v>
      </c>
      <c r="BE1430" s="588" t="s">
        <v>29</v>
      </c>
      <c r="BF1430" s="588" t="s">
        <v>5168</v>
      </c>
      <c r="BG1430" s="1192" t="s">
        <v>115</v>
      </c>
      <c r="BH1430" s="1023" t="s">
        <v>8763</v>
      </c>
      <c r="BI1430" s="929" t="s">
        <v>745</v>
      </c>
      <c r="BJ1430" s="929" t="s">
        <v>116</v>
      </c>
      <c r="BK1430" s="929" t="s">
        <v>745</v>
      </c>
      <c r="BL1430" s="916" t="s">
        <v>116</v>
      </c>
      <c r="BM1430" s="916" t="s">
        <v>745</v>
      </c>
      <c r="BN1430" s="929" t="s">
        <v>745</v>
      </c>
      <c r="BO1430" s="916" t="s">
        <v>745</v>
      </c>
      <c r="BP1430" s="929" t="s">
        <v>745</v>
      </c>
      <c r="BQ1430" s="929" t="s">
        <v>745</v>
      </c>
      <c r="BR1430" s="929" t="s">
        <v>745</v>
      </c>
      <c r="BS1430" s="916" t="s">
        <v>745</v>
      </c>
      <c r="BT1430" s="929" t="s">
        <v>745</v>
      </c>
      <c r="BU1430" s="916" t="s">
        <v>116</v>
      </c>
      <c r="BV1430" s="929" t="s">
        <v>745</v>
      </c>
      <c r="BW1430" s="916" t="s">
        <v>745</v>
      </c>
      <c r="BX1430" s="929" t="s">
        <v>745</v>
      </c>
      <c r="BY1430" s="916" t="s">
        <v>745</v>
      </c>
      <c r="BZ1430" s="916" t="s">
        <v>745</v>
      </c>
      <c r="CA1430" s="1006" t="s">
        <v>6806</v>
      </c>
      <c r="CB1430" s="547">
        <v>1428</v>
      </c>
      <c r="CC1430" s="1481" t="b">
        <v>0</v>
      </c>
      <c r="CD1430" s="879" t="str">
        <f>Table15[[#This Row],[Engineering Number]]&amp;Table15[[#This Row],[WO Number]]&amp;Table15[[#This Row],[Date Assigned to Designer]]&amp;Table15[[#This Row],[Date Completed]]</f>
        <v>370113610148984576245779</v>
      </c>
    </row>
    <row r="1431" spans="1:82" ht="15" customHeight="1" x14ac:dyDescent="0.25">
      <c r="A1431">
        <v>2025</v>
      </c>
      <c r="B1431" s="8" t="s">
        <v>1981</v>
      </c>
      <c r="C1431" s="8" t="s">
        <v>8425</v>
      </c>
      <c r="D1431" s="8">
        <v>1214770</v>
      </c>
      <c r="E1431" s="8" t="s">
        <v>8764</v>
      </c>
      <c r="F1431" s="8" t="s">
        <v>7735</v>
      </c>
      <c r="G1431" s="8" t="s">
        <v>7152</v>
      </c>
      <c r="H1431" s="8" t="s">
        <v>4462</v>
      </c>
      <c r="I1431" s="642">
        <v>45764</v>
      </c>
      <c r="J1431" s="175" t="s">
        <v>2052</v>
      </c>
      <c r="K1431" s="97">
        <v>45782</v>
      </c>
      <c r="L1431" s="16">
        <f>IF(ISTEXT(Table15[[#This Row],[Engineering Approved Design Date]]),Table15[[#This Row],[Date Completed]]-Table15[[#This Row],[Date Assigned to Designer]],Table15[[#This Row],[Engineering Approved Design Date]]-Table15[[#This Row],[Date Completed]])</f>
        <v>18</v>
      </c>
      <c r="M1431" s="1012" t="s">
        <v>8765</v>
      </c>
      <c r="N1431" s="99" t="s">
        <v>120</v>
      </c>
      <c r="O1431" s="1060">
        <v>45778</v>
      </c>
      <c r="P1431" s="1152" t="s">
        <v>739</v>
      </c>
      <c r="Q1431" s="1150" t="s">
        <v>115</v>
      </c>
      <c r="R1431" s="920" t="s">
        <v>115</v>
      </c>
      <c r="S1431" s="538" t="s">
        <v>29</v>
      </c>
      <c r="T1431" s="538" t="s">
        <v>29</v>
      </c>
      <c r="U1431" s="28" t="s">
        <v>29</v>
      </c>
      <c r="V1431" s="538" t="s">
        <v>29</v>
      </c>
      <c r="W1431" s="343" t="s">
        <v>29</v>
      </c>
      <c r="X1431" s="888" t="s">
        <v>29</v>
      </c>
      <c r="Y1431" s="888" t="s">
        <v>29</v>
      </c>
      <c r="Z1431" s="888" t="s">
        <v>29</v>
      </c>
      <c r="AA1431" s="888" t="s">
        <v>29</v>
      </c>
      <c r="AB1431" s="341" t="s">
        <v>29</v>
      </c>
      <c r="AC1431" s="569" t="s">
        <v>29</v>
      </c>
      <c r="AD1431" s="1149" t="s">
        <v>29</v>
      </c>
      <c r="AE1431" s="568" t="s">
        <v>709</v>
      </c>
      <c r="AF1431" s="569" t="s">
        <v>29</v>
      </c>
      <c r="AG1431" s="569" t="s">
        <v>29</v>
      </c>
      <c r="AH1431" s="183" t="s">
        <v>29</v>
      </c>
      <c r="AI1431" s="1028" t="s">
        <v>29</v>
      </c>
      <c r="AJ1431" s="1029" t="s">
        <v>29</v>
      </c>
      <c r="AK1431" s="1029" t="s">
        <v>29</v>
      </c>
      <c r="AL1431" s="1030" t="s">
        <v>29</v>
      </c>
      <c r="AM1431" s="542" t="s">
        <v>709</v>
      </c>
      <c r="AN1431" s="924"/>
      <c r="AO1431" s="925"/>
      <c r="AP1431" s="926"/>
      <c r="AQ1431" s="926"/>
      <c r="AR1431" s="926"/>
      <c r="AS1431" s="926"/>
      <c r="AT1431" s="926"/>
      <c r="AU1431" s="926"/>
      <c r="AV1431" s="926"/>
      <c r="AW1431" s="927"/>
      <c r="AX1431" s="926"/>
      <c r="AY1431" s="1538" t="s">
        <v>29</v>
      </c>
      <c r="AZ1431" s="1530"/>
      <c r="BA1431" s="1031">
        <v>4</v>
      </c>
      <c r="BB1431" s="1000" t="s">
        <v>8765</v>
      </c>
      <c r="BC1431" s="950"/>
      <c r="BD1431" s="554"/>
      <c r="BE1431" s="588"/>
      <c r="BF1431" s="588"/>
      <c r="BG1431" s="548"/>
      <c r="BH1431" s="615" t="s">
        <v>29</v>
      </c>
      <c r="BI1431" s="547" t="s">
        <v>709</v>
      </c>
      <c r="BJ1431" s="547" t="s">
        <v>709</v>
      </c>
      <c r="BK1431" s="547" t="s">
        <v>709</v>
      </c>
      <c r="BL1431" s="547" t="s">
        <v>116</v>
      </c>
      <c r="BM1431" s="547" t="s">
        <v>709</v>
      </c>
      <c r="BN1431" s="547" t="s">
        <v>709</v>
      </c>
      <c r="BO1431" s="547" t="s">
        <v>709</v>
      </c>
      <c r="BP1431" s="547" t="s">
        <v>709</v>
      </c>
      <c r="BQ1431" s="547" t="s">
        <v>709</v>
      </c>
      <c r="BR1431" s="547">
        <v>39</v>
      </c>
      <c r="BS1431" s="547">
        <v>21</v>
      </c>
      <c r="BT1431" s="547" t="s">
        <v>709</v>
      </c>
      <c r="BU1431" s="547" t="s">
        <v>709</v>
      </c>
      <c r="BV1431" s="547" t="s">
        <v>709</v>
      </c>
      <c r="BW1431" s="547" t="s">
        <v>709</v>
      </c>
      <c r="BX1431" s="547" t="s">
        <v>709</v>
      </c>
      <c r="BY1431" s="547" t="s">
        <v>709</v>
      </c>
      <c r="BZ1431" s="547">
        <v>2</v>
      </c>
      <c r="CA1431" s="483" t="s">
        <v>8314</v>
      </c>
      <c r="CB1431" s="547">
        <v>1429</v>
      </c>
      <c r="CC1431" s="1481" t="b">
        <v>0</v>
      </c>
      <c r="CD1431" s="879" t="str">
        <f>Table15[[#This Row],[Engineering Number]]&amp;Table15[[#This Row],[WO Number]]&amp;Table15[[#This Row],[Date Assigned to Designer]]&amp;Table15[[#This Row],[Date Completed]]</f>
        <v>COR106612147704576445782</v>
      </c>
    </row>
    <row r="1432" spans="1:82" ht="15" customHeight="1" x14ac:dyDescent="0.25">
      <c r="A1432">
        <v>2025</v>
      </c>
      <c r="B1432" s="878" t="s">
        <v>4</v>
      </c>
      <c r="C1432" s="878" t="s">
        <v>1825</v>
      </c>
      <c r="D1432" s="878">
        <v>1413789</v>
      </c>
      <c r="E1432" s="878" t="s">
        <v>1827</v>
      </c>
      <c r="F1432" s="878" t="s">
        <v>8766</v>
      </c>
      <c r="G1432" s="878" t="s">
        <v>6377</v>
      </c>
      <c r="H1432" s="878" t="s">
        <v>3178</v>
      </c>
      <c r="I1432" s="883">
        <v>45770</v>
      </c>
      <c r="J1432" s="918" t="s">
        <v>2052</v>
      </c>
      <c r="K1432" s="945">
        <v>45785</v>
      </c>
      <c r="L1432" s="919">
        <f>IF(ISTEXT(Table15[[#This Row],[Engineering Approved Design Date]]),Table15[[#This Row],[Date Completed]]-Table15[[#This Row],[Date Assigned to Designer]],Table15[[#This Row],[Engineering Approved Design Date]]-Table15[[#This Row],[Date Completed]])</f>
        <v>15</v>
      </c>
      <c r="M1432" s="1012" t="s">
        <v>8767</v>
      </c>
      <c r="N1432" s="99" t="s">
        <v>120</v>
      </c>
      <c r="O1432" s="886">
        <v>45778</v>
      </c>
      <c r="P1432" s="1153" t="s">
        <v>739</v>
      </c>
      <c r="Q1432" s="1150">
        <f>SUM(Table15[[#This Row],[Shactee Effort]:[KH Hourly Effort]])</f>
        <v>6055</v>
      </c>
      <c r="R1432" s="920" t="s">
        <v>1922</v>
      </c>
      <c r="S1432" s="892">
        <v>0</v>
      </c>
      <c r="T1432" s="892">
        <v>0</v>
      </c>
      <c r="U1432" s="889">
        <v>6055</v>
      </c>
      <c r="V1432" s="888" t="s">
        <v>29</v>
      </c>
      <c r="W1432" s="995" t="s">
        <v>29</v>
      </c>
      <c r="X1432" s="888" t="s">
        <v>29</v>
      </c>
      <c r="Y1432" s="888"/>
      <c r="Z1432" s="888" t="s">
        <v>29</v>
      </c>
      <c r="AA1432" s="888" t="s">
        <v>29</v>
      </c>
      <c r="AB1432" s="893" t="s">
        <v>29</v>
      </c>
      <c r="AC1432" s="896" t="s">
        <v>29</v>
      </c>
      <c r="AD1432" s="1155" t="s">
        <v>29</v>
      </c>
      <c r="AE1432" s="894" t="s">
        <v>756</v>
      </c>
      <c r="AF1432" s="896" t="s">
        <v>756</v>
      </c>
      <c r="AG1432" s="897" t="s">
        <v>29</v>
      </c>
      <c r="AH1432" s="902">
        <v>45806</v>
      </c>
      <c r="AI1432" s="921" t="s">
        <v>29</v>
      </c>
      <c r="AJ1432" s="922" t="s">
        <v>29</v>
      </c>
      <c r="AK1432" s="922" t="s">
        <v>29</v>
      </c>
      <c r="AL1432" s="923" t="s">
        <v>29</v>
      </c>
      <c r="AM1432" s="542" t="s">
        <v>709</v>
      </c>
      <c r="AN1432" s="924"/>
      <c r="AO1432" s="925"/>
      <c r="AP1432" s="926"/>
      <c r="AQ1432" s="926"/>
      <c r="AR1432" s="926"/>
      <c r="AS1432" s="926"/>
      <c r="AT1432" s="926"/>
      <c r="AU1432" s="926"/>
      <c r="AV1432" s="926"/>
      <c r="AW1432" s="927"/>
      <c r="AX1432" s="926"/>
      <c r="AY1432" s="1538" t="s">
        <v>29</v>
      </c>
      <c r="AZ1432" s="1530"/>
      <c r="BA1432" s="910">
        <v>3</v>
      </c>
      <c r="BB1432" s="928" t="s">
        <v>8768</v>
      </c>
      <c r="BC1432" s="950" t="s">
        <v>709</v>
      </c>
      <c r="BD1432" s="915" t="s">
        <v>116</v>
      </c>
      <c r="BE1432" s="915" t="s">
        <v>709</v>
      </c>
      <c r="BF1432" s="952" t="s">
        <v>709</v>
      </c>
      <c r="BG1432" s="953" t="s">
        <v>709</v>
      </c>
      <c r="BH1432" s="1023" t="s">
        <v>8769</v>
      </c>
      <c r="BI1432" s="929" t="s">
        <v>745</v>
      </c>
      <c r="BJ1432" s="929" t="s">
        <v>745</v>
      </c>
      <c r="BK1432" s="929" t="s">
        <v>745</v>
      </c>
      <c r="BL1432" s="916" t="s">
        <v>116</v>
      </c>
      <c r="BM1432" s="916" t="s">
        <v>745</v>
      </c>
      <c r="BN1432" s="929" t="s">
        <v>745</v>
      </c>
      <c r="BO1432" s="916" t="s">
        <v>745</v>
      </c>
      <c r="BP1432" s="929" t="s">
        <v>745</v>
      </c>
      <c r="BQ1432" s="929" t="s">
        <v>745</v>
      </c>
      <c r="BR1432" s="929">
        <v>4962</v>
      </c>
      <c r="BS1432" s="916" t="s">
        <v>745</v>
      </c>
      <c r="BT1432" s="929" t="s">
        <v>745</v>
      </c>
      <c r="BU1432" s="916" t="s">
        <v>745</v>
      </c>
      <c r="BV1432" s="929" t="s">
        <v>745</v>
      </c>
      <c r="BW1432" s="916" t="s">
        <v>745</v>
      </c>
      <c r="BX1432" s="929" t="s">
        <v>745</v>
      </c>
      <c r="BY1432" s="916" t="s">
        <v>745</v>
      </c>
      <c r="BZ1432" s="916" t="s">
        <v>745</v>
      </c>
      <c r="CA1432" s="917" t="s">
        <v>8770</v>
      </c>
      <c r="CB1432" s="547">
        <v>1430</v>
      </c>
      <c r="CC1432" s="1481" t="b">
        <v>0</v>
      </c>
      <c r="CD1432" s="879" t="str">
        <f>Table15[[#This Row],[Engineering Number]]&amp;Table15[[#This Row],[WO Number]]&amp;Table15[[#This Row],[Date Assigned to Designer]]&amp;Table15[[#This Row],[Date Completed]]</f>
        <v>SC2374914137894577045785</v>
      </c>
    </row>
    <row r="1433" spans="1:82" ht="15" customHeight="1" x14ac:dyDescent="0.25">
      <c r="A1433">
        <v>2025</v>
      </c>
      <c r="B1433" s="878" t="s">
        <v>759</v>
      </c>
      <c r="C1433" s="878" t="s">
        <v>5466</v>
      </c>
      <c r="D1433" s="878" t="s">
        <v>5467</v>
      </c>
      <c r="E1433" s="878" t="s">
        <v>8771</v>
      </c>
      <c r="F1433" s="878" t="s">
        <v>6643</v>
      </c>
      <c r="G1433" s="878" t="s">
        <v>34</v>
      </c>
      <c r="H1433" s="931" t="s">
        <v>4189</v>
      </c>
      <c r="I1433" s="883">
        <v>45512</v>
      </c>
      <c r="J1433" s="882">
        <v>45786</v>
      </c>
      <c r="K1433" s="932">
        <v>45786</v>
      </c>
      <c r="L1433" s="919">
        <f>IF(ISTEXT(Table15[[#This Row],[Engineering Approved Design Date]]),Table15[[#This Row],[Date Completed]]-Table15[[#This Row],[Date Assigned to Designer]],Table15[[#This Row],[Engineering Approved Design Date]]-Table15[[#This Row],[Date Completed]])</f>
        <v>0</v>
      </c>
      <c r="M1433" s="883"/>
      <c r="N1433" s="883" t="s">
        <v>739</v>
      </c>
      <c r="O1433" s="886" t="s">
        <v>376</v>
      </c>
      <c r="P1433" s="1153" t="s">
        <v>120</v>
      </c>
      <c r="Q1433" s="1150">
        <f>SUM(Table15[[#This Row],[Shactee Effort]:[KH Hourly Effort]])</f>
        <v>67652.17</v>
      </c>
      <c r="R1433" s="933" t="s">
        <v>1922</v>
      </c>
      <c r="S1433" s="888">
        <v>2192.17</v>
      </c>
      <c r="T1433" s="888">
        <v>0</v>
      </c>
      <c r="U1433" s="934">
        <v>65460</v>
      </c>
      <c r="V1433" s="890">
        <v>1304</v>
      </c>
      <c r="W1433" s="1021">
        <v>3</v>
      </c>
      <c r="X1433" s="888">
        <v>862673.32</v>
      </c>
      <c r="Y1433" s="888"/>
      <c r="Z1433" s="892">
        <v>161587.69</v>
      </c>
      <c r="AA1433" s="888">
        <f>SUM(Table15[[#This Row],[PCTS Investment Amount]:[PCTS Retirement Amount]])</f>
        <v>1024261.01</v>
      </c>
      <c r="AB1433" s="893">
        <v>45810</v>
      </c>
      <c r="AC1433" s="894" t="s">
        <v>1056</v>
      </c>
      <c r="AD1433" s="1161" t="s">
        <v>29</v>
      </c>
      <c r="AE1433" s="940" t="s">
        <v>756</v>
      </c>
      <c r="AF1433" s="940" t="s">
        <v>29</v>
      </c>
      <c r="AG1433" s="897" t="s">
        <v>29</v>
      </c>
      <c r="AH1433" s="940" t="s">
        <v>376</v>
      </c>
      <c r="AI1433" s="898"/>
      <c r="AJ1433" s="899"/>
      <c r="AK1433" s="899"/>
      <c r="AL1433" s="923"/>
      <c r="AM1433" s="542" t="s">
        <v>709</v>
      </c>
      <c r="AN1433" s="924"/>
      <c r="AO1433" s="925"/>
      <c r="AP1433" s="926"/>
      <c r="AQ1433" s="926"/>
      <c r="AR1433" s="926"/>
      <c r="AS1433" s="926"/>
      <c r="AT1433" s="926"/>
      <c r="AU1433" s="926"/>
      <c r="AV1433" s="926"/>
      <c r="AW1433" s="927"/>
      <c r="AX1433" s="926"/>
      <c r="AY1433" s="1538" t="s">
        <v>29</v>
      </c>
      <c r="AZ1433" s="1530"/>
      <c r="BA1433" s="910" t="s">
        <v>8772</v>
      </c>
      <c r="BB1433" s="928" t="s">
        <v>8773</v>
      </c>
      <c r="BC1433" s="915" t="s">
        <v>115</v>
      </c>
      <c r="BD1433" s="915" t="s">
        <v>115</v>
      </c>
      <c r="BE1433" s="915" t="s">
        <v>8774</v>
      </c>
      <c r="BF1433" s="915" t="s">
        <v>115</v>
      </c>
      <c r="BG1433" s="915" t="s">
        <v>115</v>
      </c>
      <c r="BH1433" s="1175" t="s">
        <v>8775</v>
      </c>
      <c r="BI1433" s="929" t="s">
        <v>745</v>
      </c>
      <c r="BJ1433" s="929" t="s">
        <v>745</v>
      </c>
      <c r="BK1433" s="929" t="s">
        <v>745</v>
      </c>
      <c r="BL1433" s="916" t="s">
        <v>116</v>
      </c>
      <c r="BM1433" s="916" t="s">
        <v>745</v>
      </c>
      <c r="BN1433" s="929" t="s">
        <v>745</v>
      </c>
      <c r="BO1433" s="916" t="s">
        <v>745</v>
      </c>
      <c r="BP1433" s="929">
        <v>323</v>
      </c>
      <c r="BQ1433" s="929">
        <v>788</v>
      </c>
      <c r="BR1433" s="929">
        <v>51</v>
      </c>
      <c r="BS1433" s="916">
        <v>52</v>
      </c>
      <c r="BT1433" s="929">
        <v>1</v>
      </c>
      <c r="BU1433" s="916" t="s">
        <v>745</v>
      </c>
      <c r="BV1433" s="929" t="s">
        <v>745</v>
      </c>
      <c r="BW1433" s="916">
        <v>1</v>
      </c>
      <c r="BX1433" s="929">
        <v>1</v>
      </c>
      <c r="BY1433" s="916">
        <v>0</v>
      </c>
      <c r="BZ1433" s="916">
        <v>0</v>
      </c>
      <c r="CA1433" s="1006"/>
      <c r="CB1433" s="547">
        <v>1431</v>
      </c>
      <c r="CC1433" s="1481" t="b">
        <v>0</v>
      </c>
      <c r="CD1433" s="879" t="str">
        <f>Table15[[#This Row],[Engineering Number]]&amp;Table15[[#This Row],[WO Number]]&amp;Table15[[#This Row],[Date Assigned to Designer]]&amp;Table15[[#This Row],[Date Completed]]</f>
        <v>RS94010119124551245786</v>
      </c>
    </row>
    <row r="1434" spans="1:82" ht="15" customHeight="1" x14ac:dyDescent="0.25">
      <c r="A1434">
        <v>2025</v>
      </c>
      <c r="B1434" s="878" t="s">
        <v>4</v>
      </c>
      <c r="C1434" s="878" t="s">
        <v>1571</v>
      </c>
      <c r="D1434" s="878">
        <v>1412737</v>
      </c>
      <c r="E1434" s="878" t="s">
        <v>1573</v>
      </c>
      <c r="F1434" s="878" t="s">
        <v>6874</v>
      </c>
      <c r="G1434" s="878" t="s">
        <v>26</v>
      </c>
      <c r="H1434" s="878" t="s">
        <v>4001</v>
      </c>
      <c r="I1434" s="883">
        <v>45663</v>
      </c>
      <c r="J1434" s="918" t="s">
        <v>2052</v>
      </c>
      <c r="K1434" s="883">
        <v>45789</v>
      </c>
      <c r="L1434" s="884">
        <f>IF(ISTEXT(Table15[[#This Row],[Engineering Approved Design Date]]),Table15[[#This Row],[Date Completed]]-Table15[[#This Row],[Date Assigned to Designer]],Table15[[#This Row],[Engineering Approved Design Date]]-Table15[[#This Row],[Date Completed]])</f>
        <v>126</v>
      </c>
      <c r="M1434" s="883" t="s">
        <v>8776</v>
      </c>
      <c r="N1434" s="99" t="s">
        <v>120</v>
      </c>
      <c r="O1434" s="886">
        <v>45778</v>
      </c>
      <c r="P1434" s="1153" t="s">
        <v>739</v>
      </c>
      <c r="Q1434" s="1150">
        <f>SUM(Table15[[#This Row],[Shactee Effort]:[KH Hourly Effort]])</f>
        <v>11542.5</v>
      </c>
      <c r="R1434" s="920" t="s">
        <v>1922</v>
      </c>
      <c r="S1434" s="538">
        <v>0</v>
      </c>
      <c r="T1434" s="888">
        <v>0</v>
      </c>
      <c r="U1434" s="889">
        <v>11542.5</v>
      </c>
      <c r="V1434" s="888" t="s">
        <v>29</v>
      </c>
      <c r="W1434" s="343" t="s">
        <v>29</v>
      </c>
      <c r="X1434" s="888" t="s">
        <v>29</v>
      </c>
      <c r="Y1434" s="935"/>
      <c r="Z1434" s="888" t="s">
        <v>29</v>
      </c>
      <c r="AA1434" s="888" t="s">
        <v>29</v>
      </c>
      <c r="AB1434" s="958" t="s">
        <v>29</v>
      </c>
      <c r="AC1434" s="894" t="s">
        <v>29</v>
      </c>
      <c r="AD1434" s="1160" t="s">
        <v>29</v>
      </c>
      <c r="AE1434" s="568" t="s">
        <v>116</v>
      </c>
      <c r="AF1434" s="569" t="s">
        <v>116</v>
      </c>
      <c r="AG1434" s="895" t="s">
        <v>29</v>
      </c>
      <c r="AH1434" s="940">
        <v>45825</v>
      </c>
      <c r="AI1434" s="921" t="s">
        <v>29</v>
      </c>
      <c r="AJ1434" s="922" t="s">
        <v>29</v>
      </c>
      <c r="AK1434" s="922" t="s">
        <v>29</v>
      </c>
      <c r="AL1434" s="923" t="s">
        <v>29</v>
      </c>
      <c r="AM1434" s="542" t="s">
        <v>709</v>
      </c>
      <c r="AN1434" s="924"/>
      <c r="AO1434" s="925"/>
      <c r="AP1434" s="926"/>
      <c r="AQ1434" s="926"/>
      <c r="AR1434" s="926"/>
      <c r="AS1434" s="926"/>
      <c r="AT1434" s="926"/>
      <c r="AU1434" s="926"/>
      <c r="AV1434" s="926"/>
      <c r="AW1434" s="927"/>
      <c r="AX1434" s="926"/>
      <c r="AY1434" s="1538" t="s">
        <v>29</v>
      </c>
      <c r="AZ1434" s="1530"/>
      <c r="BA1434" s="954" t="s">
        <v>4919</v>
      </c>
      <c r="BB1434" s="928" t="s">
        <v>8777</v>
      </c>
      <c r="BC1434" s="544" t="s">
        <v>709</v>
      </c>
      <c r="BD1434" s="544" t="s">
        <v>837</v>
      </c>
      <c r="BE1434" s="544" t="s">
        <v>1575</v>
      </c>
      <c r="BF1434" s="544" t="s">
        <v>839</v>
      </c>
      <c r="BG1434" s="548" t="s">
        <v>6632</v>
      </c>
      <c r="BH1434" s="1023" t="s">
        <v>8778</v>
      </c>
      <c r="BI1434" s="547" t="s">
        <v>709</v>
      </c>
      <c r="BJ1434" s="547" t="s">
        <v>709</v>
      </c>
      <c r="BK1434" s="547" t="s">
        <v>709</v>
      </c>
      <c r="BL1434" s="547" t="s">
        <v>116</v>
      </c>
      <c r="BM1434" s="547" t="s">
        <v>709</v>
      </c>
      <c r="BN1434" s="547" t="s">
        <v>709</v>
      </c>
      <c r="BO1434" s="547" t="s">
        <v>709</v>
      </c>
      <c r="BP1434" s="547" t="s">
        <v>709</v>
      </c>
      <c r="BQ1434" s="547" t="s">
        <v>709</v>
      </c>
      <c r="BR1434" s="547" t="s">
        <v>709</v>
      </c>
      <c r="BS1434" s="547">
        <v>1646</v>
      </c>
      <c r="BT1434" s="547" t="s">
        <v>709</v>
      </c>
      <c r="BU1434" s="547" t="s">
        <v>709</v>
      </c>
      <c r="BV1434" s="547" t="s">
        <v>709</v>
      </c>
      <c r="BW1434" s="547" t="s">
        <v>709</v>
      </c>
      <c r="BX1434" s="547" t="s">
        <v>745</v>
      </c>
      <c r="BY1434" s="547" t="s">
        <v>709</v>
      </c>
      <c r="BZ1434" s="547" t="s">
        <v>709</v>
      </c>
      <c r="CA1434" s="548"/>
      <c r="CB1434" s="547">
        <v>1432</v>
      </c>
      <c r="CC1434" s="1481" t="b">
        <v>0</v>
      </c>
      <c r="CD1434" s="879" t="str">
        <f>Table15[[#This Row],[Engineering Number]]&amp;Table15[[#This Row],[WO Number]]&amp;Table15[[#This Row],[Date Assigned to Designer]]&amp;Table15[[#This Row],[Date Completed]]</f>
        <v>SC1950014127374566345789</v>
      </c>
    </row>
    <row r="1435" spans="1:82" ht="15" customHeight="1" x14ac:dyDescent="0.25">
      <c r="A1435">
        <v>2025</v>
      </c>
      <c r="B1435" s="878" t="s">
        <v>771</v>
      </c>
      <c r="C1435" s="879" t="s">
        <v>8779</v>
      </c>
      <c r="D1435" s="880" t="s">
        <v>8780</v>
      </c>
      <c r="E1435" s="879" t="s">
        <v>8752</v>
      </c>
      <c r="F1435" s="878" t="s">
        <v>6874</v>
      </c>
      <c r="G1435" s="878" t="s">
        <v>7152</v>
      </c>
      <c r="H1435" s="878" t="s">
        <v>59</v>
      </c>
      <c r="I1435" s="881">
        <v>45684</v>
      </c>
      <c r="J1435" s="882">
        <v>45789</v>
      </c>
      <c r="K1435" s="883">
        <v>45789</v>
      </c>
      <c r="L1435" s="919">
        <f>IF(ISTEXT(Table15[[#This Row],[Engineering Approved Design Date]]),Table15[[#This Row],[Date Completed]]-Table15[[#This Row],[Date Assigned to Designer]],Table15[[#This Row],[Engineering Approved Design Date]]-Table15[[#This Row],[Date Completed]])</f>
        <v>0</v>
      </c>
      <c r="N1435" s="99" t="s">
        <v>120</v>
      </c>
      <c r="O1435" s="886">
        <v>45809</v>
      </c>
      <c r="P1435" s="1153" t="s">
        <v>120</v>
      </c>
      <c r="Q1435" s="1150">
        <f>Table15[[#This Row],[Rate]]*Table15[[#This Row],[Construction Cost to Bill From]]</f>
        <v>145210.31160000002</v>
      </c>
      <c r="R1435" s="887">
        <v>0.04</v>
      </c>
      <c r="S1435" s="1228" t="s">
        <v>29</v>
      </c>
      <c r="T1435" s="888" t="s">
        <v>29</v>
      </c>
      <c r="U1435" s="889" t="s">
        <v>29</v>
      </c>
      <c r="V1435" s="890">
        <v>13592</v>
      </c>
      <c r="W1435" s="1021">
        <v>0</v>
      </c>
      <c r="X1435" s="888">
        <v>3534763.88</v>
      </c>
      <c r="Y1435" s="891"/>
      <c r="Z1435" s="888">
        <v>95493.91</v>
      </c>
      <c r="AA1435" s="892">
        <f>SUM(Table15[[#This Row],[PCTS Investment Amount]:[PCTS Retirement Amount]])</f>
        <v>3630257.79</v>
      </c>
      <c r="AB1435" s="893">
        <v>45819</v>
      </c>
      <c r="AC1435" s="894" t="s">
        <v>709</v>
      </c>
      <c r="AD1435" s="1160" t="s">
        <v>29</v>
      </c>
      <c r="AE1435" s="940" t="s">
        <v>116</v>
      </c>
      <c r="AF1435" s="895" t="s">
        <v>116</v>
      </c>
      <c r="AG1435" s="896" t="s">
        <v>376</v>
      </c>
      <c r="AH1435" s="897" t="s">
        <v>376</v>
      </c>
      <c r="AI1435" s="1637">
        <v>12210</v>
      </c>
      <c r="AJ1435" s="1637" t="s">
        <v>29</v>
      </c>
      <c r="AK1435" s="1637">
        <f>28550+834.26</f>
        <v>29384.26</v>
      </c>
      <c r="AL1435" s="901">
        <f>SUM(Table15[[#This Row],[Nicor Initiated DBE]:[Staffing]])/(Table15[[#This Row],[Amount Invoiced]])</f>
        <v>0.28644150364869814</v>
      </c>
      <c r="AM1435" s="536" t="s">
        <v>116</v>
      </c>
      <c r="AN1435" s="903"/>
      <c r="AO1435" s="1536"/>
      <c r="AP1435" s="1537"/>
      <c r="AQ1435" s="1537"/>
      <c r="AR1435" s="1537"/>
      <c r="AS1435" s="888">
        <f>IF(Table15[[#This Row],[PCTS Approved]]="N",0,Table15[[#This Row],[Investment Amount (1'#'#'#'#'#)]]+Table15[[#This Row],[Retirement Amount (3'#'#'#'#'#)]])</f>
        <v>0</v>
      </c>
      <c r="AT1435" s="888">
        <f>IF(Table15[[#This Row],[Approved Construction Cost]]=0,0,Table15[[#This Row],[Approved Construction Cost]]-Table15[[#This Row],[Construction Cost to Bill From]])</f>
        <v>0</v>
      </c>
      <c r="AU1435" s="888">
        <f>IFERROR(Table15[[#This Row],[Difference in Construction Cost]]*Table15[[#This Row],[Rate]],Table15[[#This Row],[Difference in Construction Cost]]*0.085)</f>
        <v>0</v>
      </c>
      <c r="AV1435" s="905"/>
      <c r="AW1435" s="1509"/>
      <c r="AX1435" s="888"/>
      <c r="AY1435" s="636" t="s">
        <v>709</v>
      </c>
      <c r="AZ1435" s="333"/>
      <c r="BA1435" s="910" t="s">
        <v>8781</v>
      </c>
      <c r="BB1435" s="911" t="s">
        <v>8782</v>
      </c>
      <c r="BC1435" s="912" t="s">
        <v>116</v>
      </c>
      <c r="BD1435" s="913" t="s">
        <v>709</v>
      </c>
      <c r="BE1435" s="914" t="s">
        <v>6113</v>
      </c>
      <c r="BF1435" s="914" t="s">
        <v>709</v>
      </c>
      <c r="BG1435" s="915" t="s">
        <v>29</v>
      </c>
      <c r="BH1435" s="1023" t="s">
        <v>8783</v>
      </c>
      <c r="BI1435" s="929" t="s">
        <v>709</v>
      </c>
      <c r="BJ1435" s="929" t="s">
        <v>709</v>
      </c>
      <c r="BK1435" s="916" t="s">
        <v>709</v>
      </c>
      <c r="BL1435" s="916" t="s">
        <v>116</v>
      </c>
      <c r="BM1435" s="916" t="s">
        <v>709</v>
      </c>
      <c r="BN1435" s="916" t="s">
        <v>709</v>
      </c>
      <c r="BO1435" s="916" t="s">
        <v>709</v>
      </c>
      <c r="BP1435" s="916" t="s">
        <v>709</v>
      </c>
      <c r="BQ1435" s="916" t="s">
        <v>709</v>
      </c>
      <c r="BR1435" s="916">
        <v>1808</v>
      </c>
      <c r="BS1435" s="916">
        <v>11784</v>
      </c>
      <c r="BT1435" s="916" t="s">
        <v>709</v>
      </c>
      <c r="BU1435" s="916" t="s">
        <v>709</v>
      </c>
      <c r="BV1435" s="916" t="s">
        <v>709</v>
      </c>
      <c r="BW1435" s="916" t="s">
        <v>709</v>
      </c>
      <c r="BX1435" s="916" t="s">
        <v>709</v>
      </c>
      <c r="BY1435" s="916" t="s">
        <v>709</v>
      </c>
      <c r="BZ1435" s="916" t="s">
        <v>709</v>
      </c>
      <c r="CA1435" s="917"/>
      <c r="CB1435" s="547">
        <v>1433</v>
      </c>
      <c r="CC1435" s="1481" t="b">
        <v>0</v>
      </c>
      <c r="CD1435" s="879" t="str">
        <f>Table15[[#This Row],[Engineering Number]]&amp;Table15[[#This Row],[WO Number]]&amp;Table15[[#This Row],[Date Assigned to Designer]]&amp;Table15[[#This Row],[Date Completed]]</f>
        <v>MR2BID9834-212149934568445789</v>
      </c>
    </row>
    <row r="1436" spans="1:82" ht="15" customHeight="1" x14ac:dyDescent="0.25">
      <c r="A1436">
        <v>2025</v>
      </c>
      <c r="B1436" s="878" t="s">
        <v>4</v>
      </c>
      <c r="C1436" s="878" t="s">
        <v>8078</v>
      </c>
      <c r="D1436" s="878" t="s">
        <v>8629</v>
      </c>
      <c r="E1436" s="878" t="s">
        <v>3259</v>
      </c>
      <c r="F1436" s="878" t="s">
        <v>784</v>
      </c>
      <c r="G1436" s="878" t="s">
        <v>26</v>
      </c>
      <c r="H1436" s="878" t="s">
        <v>3178</v>
      </c>
      <c r="I1436" s="883">
        <v>45764</v>
      </c>
      <c r="J1436" s="918" t="s">
        <v>2052</v>
      </c>
      <c r="K1436" s="883">
        <v>45790</v>
      </c>
      <c r="L1436" s="884">
        <f>IF(ISTEXT(Table15[[#This Row],[Engineering Approved Design Date]]),Table15[[#This Row],[Date Completed]]-Table15[[#This Row],[Date Assigned to Designer]],Table15[[#This Row],[Engineering Approved Design Date]]-Table15[[#This Row],[Date Completed]])</f>
        <v>26</v>
      </c>
      <c r="M1436" s="883" t="s">
        <v>8784</v>
      </c>
      <c r="N1436" s="99" t="s">
        <v>120</v>
      </c>
      <c r="O1436" s="1617">
        <v>45809</v>
      </c>
      <c r="P1436" s="1153" t="s">
        <v>739</v>
      </c>
      <c r="Q1436" s="1150">
        <f>SUM(Table15[[#This Row],[Shactee Effort]:[KH Hourly Effort]])</f>
        <v>9912.5</v>
      </c>
      <c r="R1436" s="1623" t="s">
        <v>1922</v>
      </c>
      <c r="S1436" s="1628">
        <v>0</v>
      </c>
      <c r="T1436" s="892">
        <v>0</v>
      </c>
      <c r="U1436" s="889">
        <v>9912.5</v>
      </c>
      <c r="V1436" s="1228" t="s">
        <v>29</v>
      </c>
      <c r="W1436" s="1021" t="s">
        <v>29</v>
      </c>
      <c r="X1436" s="888" t="s">
        <v>29</v>
      </c>
      <c r="Y1436" s="935"/>
      <c r="Z1436" s="888" t="s">
        <v>29</v>
      </c>
      <c r="AA1436" s="888" t="s">
        <v>29</v>
      </c>
      <c r="AB1436" s="958" t="s">
        <v>29</v>
      </c>
      <c r="AC1436" s="1219" t="s">
        <v>1177</v>
      </c>
      <c r="AD1436" s="1160" t="s">
        <v>29</v>
      </c>
      <c r="AE1436" s="895" t="s">
        <v>756</v>
      </c>
      <c r="AF1436" s="895" t="s">
        <v>756</v>
      </c>
      <c r="AG1436" s="895" t="s">
        <v>29</v>
      </c>
      <c r="AH1436" s="940">
        <v>45825</v>
      </c>
      <c r="AI1436" s="921" t="s">
        <v>29</v>
      </c>
      <c r="AJ1436" s="922" t="s">
        <v>29</v>
      </c>
      <c r="AK1436" s="922" t="s">
        <v>29</v>
      </c>
      <c r="AL1436" s="923" t="s">
        <v>29</v>
      </c>
      <c r="AM1436" s="542" t="s">
        <v>709</v>
      </c>
      <c r="AN1436" s="924"/>
      <c r="AO1436" s="925"/>
      <c r="AP1436" s="926"/>
      <c r="AQ1436" s="926"/>
      <c r="AR1436" s="926"/>
      <c r="AS1436" s="926"/>
      <c r="AT1436" s="926"/>
      <c r="AU1436" s="926"/>
      <c r="AV1436" s="926"/>
      <c r="AW1436" s="927"/>
      <c r="AX1436" s="926"/>
      <c r="AY1436" s="1538" t="s">
        <v>29</v>
      </c>
      <c r="AZ1436" s="1530"/>
      <c r="BA1436" s="954">
        <v>2</v>
      </c>
      <c r="BB1436" s="1212" t="s">
        <v>8785</v>
      </c>
      <c r="BC1436" s="912" t="s">
        <v>116</v>
      </c>
      <c r="BD1436" s="913" t="s">
        <v>709</v>
      </c>
      <c r="BE1436" s="914" t="s">
        <v>709</v>
      </c>
      <c r="BF1436" s="914" t="s">
        <v>709</v>
      </c>
      <c r="BG1436" s="915" t="s">
        <v>709</v>
      </c>
      <c r="BH1436" s="1023" t="s">
        <v>8786</v>
      </c>
      <c r="BI1436" s="1657" t="s">
        <v>745</v>
      </c>
      <c r="BJ1436" s="929" t="s">
        <v>745</v>
      </c>
      <c r="BK1436" s="916" t="s">
        <v>745</v>
      </c>
      <c r="BL1436" s="916" t="s">
        <v>116</v>
      </c>
      <c r="BM1436" s="916" t="s">
        <v>745</v>
      </c>
      <c r="BN1436" s="916" t="s">
        <v>745</v>
      </c>
      <c r="BO1436" s="916" t="s">
        <v>745</v>
      </c>
      <c r="BP1436" s="916">
        <v>365</v>
      </c>
      <c r="BQ1436" s="916">
        <v>134</v>
      </c>
      <c r="BR1436" s="916" t="s">
        <v>745</v>
      </c>
      <c r="BS1436" s="916" t="s">
        <v>745</v>
      </c>
      <c r="BT1436" s="916" t="s">
        <v>745</v>
      </c>
      <c r="BU1436" s="916" t="s">
        <v>745</v>
      </c>
      <c r="BV1436" s="916" t="s">
        <v>745</v>
      </c>
      <c r="BW1436" s="916" t="s">
        <v>745</v>
      </c>
      <c r="BX1436" s="916" t="s">
        <v>745</v>
      </c>
      <c r="BY1436" s="916" t="s">
        <v>745</v>
      </c>
      <c r="BZ1436" s="916">
        <v>1</v>
      </c>
      <c r="CA1436" s="917" t="s">
        <v>8632</v>
      </c>
      <c r="CB1436" s="547">
        <v>1434</v>
      </c>
      <c r="CC1436" s="1481" t="b">
        <v>0</v>
      </c>
      <c r="CD1436" s="879" t="str">
        <f>Table15[[#This Row],[Engineering Number]]&amp;Table15[[#This Row],[WO Number]]&amp;Table15[[#This Row],[Date Assigned to Designer]]&amp;Table15[[#This Row],[Date Completed]]</f>
        <v>N17865-112147874576445790</v>
      </c>
    </row>
    <row r="1437" spans="1:82" ht="15" customHeight="1" x14ac:dyDescent="0.25">
      <c r="A1437">
        <v>2025</v>
      </c>
      <c r="B1437" s="878" t="s">
        <v>6798</v>
      </c>
      <c r="C1437" s="878" t="s">
        <v>8787</v>
      </c>
      <c r="D1437" s="878" t="s">
        <v>8788</v>
      </c>
      <c r="E1437" s="878" t="s">
        <v>205</v>
      </c>
      <c r="F1437" s="878" t="s">
        <v>6643</v>
      </c>
      <c r="G1437" s="878" t="s">
        <v>34</v>
      </c>
      <c r="H1437" s="931" t="s">
        <v>2127</v>
      </c>
      <c r="I1437" s="883">
        <v>45727</v>
      </c>
      <c r="J1437" s="882" t="s">
        <v>2127</v>
      </c>
      <c r="K1437" s="932">
        <v>45791</v>
      </c>
      <c r="L1437" s="919">
        <f>IF(ISTEXT(Table15[[#This Row],[Engineering Approved Design Date]]),Table15[[#This Row],[Date Completed]]-Table15[[#This Row],[Date Assigned to Designer]],Table15[[#This Row],[Engineering Approved Design Date]]-Table15[[#This Row],[Date Completed]])</f>
        <v>64</v>
      </c>
      <c r="M1437" s="883" t="s">
        <v>8168</v>
      </c>
      <c r="N1437" s="99" t="s">
        <v>120</v>
      </c>
      <c r="O1437" s="1617">
        <v>45778</v>
      </c>
      <c r="P1437" s="1153" t="s">
        <v>739</v>
      </c>
      <c r="Q1437" s="933">
        <f>Table15[[#This Row],[Shactee Effort]]+Table15[[#This Row],[3rd Party Effort]]+Table15[[#This Row],[KH Hourly Effort]]</f>
        <v>1500</v>
      </c>
      <c r="R1437" s="1624" t="s">
        <v>1922</v>
      </c>
      <c r="S1437" s="888">
        <v>0</v>
      </c>
      <c r="T1437" s="888">
        <v>0</v>
      </c>
      <c r="U1437" s="934">
        <v>1500</v>
      </c>
      <c r="V1437" s="1630" t="s">
        <v>29</v>
      </c>
      <c r="W1437" s="1021" t="s">
        <v>29</v>
      </c>
      <c r="X1437" s="892" t="s">
        <v>29</v>
      </c>
      <c r="Y1437" s="935" t="s">
        <v>8247</v>
      </c>
      <c r="Z1437" s="892" t="s">
        <v>29</v>
      </c>
      <c r="AA1437" s="888" t="s">
        <v>29</v>
      </c>
      <c r="AB1437" s="893" t="s">
        <v>29</v>
      </c>
      <c r="AC1437" s="894" t="s">
        <v>29</v>
      </c>
      <c r="AD1437" s="1162" t="s">
        <v>29</v>
      </c>
      <c r="AE1437" s="940" t="s">
        <v>29</v>
      </c>
      <c r="AF1437" s="940" t="s">
        <v>29</v>
      </c>
      <c r="AG1437" s="897" t="s">
        <v>29</v>
      </c>
      <c r="AH1437" s="1635" t="s">
        <v>29</v>
      </c>
      <c r="AI1437" s="898"/>
      <c r="AJ1437" s="899"/>
      <c r="AK1437" s="899"/>
      <c r="AL1437" s="923"/>
      <c r="AM1437" s="542" t="s">
        <v>709</v>
      </c>
      <c r="AN1437" s="924"/>
      <c r="AO1437" s="925"/>
      <c r="AP1437" s="926"/>
      <c r="AQ1437" s="926"/>
      <c r="AR1437" s="926"/>
      <c r="AS1437" s="926"/>
      <c r="AT1437" s="926"/>
      <c r="AU1437" s="926"/>
      <c r="AV1437" s="926"/>
      <c r="AW1437" s="927"/>
      <c r="AX1437" s="926"/>
      <c r="AY1437" s="1538" t="s">
        <v>29</v>
      </c>
      <c r="AZ1437" s="1530"/>
      <c r="BA1437" s="910" t="s">
        <v>29</v>
      </c>
      <c r="BB1437" s="928" t="s">
        <v>29</v>
      </c>
      <c r="BC1437" s="915" t="s">
        <v>29</v>
      </c>
      <c r="BD1437" s="915" t="s">
        <v>29</v>
      </c>
      <c r="BE1437" s="915" t="s">
        <v>29</v>
      </c>
      <c r="BF1437" s="915" t="s">
        <v>29</v>
      </c>
      <c r="BG1437" s="915" t="s">
        <v>29</v>
      </c>
      <c r="BH1437" s="1175" t="s">
        <v>8789</v>
      </c>
      <c r="BI1437" s="929" t="s">
        <v>745</v>
      </c>
      <c r="BJ1437" s="929" t="s">
        <v>116</v>
      </c>
      <c r="BK1437" s="929" t="s">
        <v>745</v>
      </c>
      <c r="BL1437" s="916" t="s">
        <v>116</v>
      </c>
      <c r="BM1437" s="916" t="s">
        <v>745</v>
      </c>
      <c r="BN1437" s="929" t="s">
        <v>745</v>
      </c>
      <c r="BO1437" s="916" t="s">
        <v>745</v>
      </c>
      <c r="BP1437" s="929" t="s">
        <v>745</v>
      </c>
      <c r="BQ1437" s="929" t="s">
        <v>745</v>
      </c>
      <c r="BR1437" s="929" t="s">
        <v>745</v>
      </c>
      <c r="BS1437" s="916" t="s">
        <v>745</v>
      </c>
      <c r="BT1437" s="929" t="s">
        <v>745</v>
      </c>
      <c r="BU1437" s="916" t="s">
        <v>116</v>
      </c>
      <c r="BV1437" s="929" t="s">
        <v>745</v>
      </c>
      <c r="BW1437" s="916" t="s">
        <v>745</v>
      </c>
      <c r="BX1437" s="929" t="s">
        <v>745</v>
      </c>
      <c r="BY1437" s="916" t="s">
        <v>745</v>
      </c>
      <c r="BZ1437" s="916" t="s">
        <v>745</v>
      </c>
      <c r="CA1437" s="1006" t="s">
        <v>6806</v>
      </c>
      <c r="CB1437" s="547">
        <v>1435</v>
      </c>
      <c r="CC1437" s="1481" t="b">
        <v>0</v>
      </c>
      <c r="CD1437" s="879" t="str">
        <f>Table15[[#This Row],[Engineering Number]]&amp;Table15[[#This Row],[WO Number]]&amp;Table15[[#This Row],[Date Assigned to Designer]]&amp;Table15[[#This Row],[Date Completed]]</f>
        <v>440127410152004572745791</v>
      </c>
    </row>
    <row r="1438" spans="1:82" ht="15" customHeight="1" x14ac:dyDescent="0.25">
      <c r="A1438">
        <v>2025</v>
      </c>
      <c r="B1438" s="878" t="s">
        <v>730</v>
      </c>
      <c r="C1438" s="878" t="s">
        <v>8790</v>
      </c>
      <c r="D1438" s="8" t="s">
        <v>115</v>
      </c>
      <c r="E1438" s="878" t="s">
        <v>7022</v>
      </c>
      <c r="F1438" s="878" t="s">
        <v>6643</v>
      </c>
      <c r="G1438" s="878" t="s">
        <v>6996</v>
      </c>
      <c r="H1438" s="931" t="s">
        <v>2127</v>
      </c>
      <c r="I1438" s="883">
        <v>45735</v>
      </c>
      <c r="J1438" s="882">
        <v>45828</v>
      </c>
      <c r="K1438" s="945">
        <v>45792</v>
      </c>
      <c r="L1438" s="919">
        <f>IF(ISTEXT(Table15[[#This Row],[Engineering Approved Design Date]]),Table15[[#This Row],[Date Completed]]-Table15[[#This Row],[Date Assigned to Designer]],Table15[[#This Row],[Engineering Approved Design Date]]-Table15[[#This Row],[Date Completed]])</f>
        <v>36</v>
      </c>
      <c r="M1438" s="883" t="s">
        <v>8168</v>
      </c>
      <c r="N1438" s="99" t="s">
        <v>120</v>
      </c>
      <c r="O1438" s="886">
        <v>45809</v>
      </c>
      <c r="P1438" s="1153" t="s">
        <v>120</v>
      </c>
      <c r="Q1438" s="933" t="s">
        <v>115</v>
      </c>
      <c r="R1438" s="933" t="s">
        <v>115</v>
      </c>
      <c r="S1438" s="888" t="s">
        <v>29</v>
      </c>
      <c r="T1438" s="888" t="s">
        <v>29</v>
      </c>
      <c r="U1438" s="934">
        <v>0</v>
      </c>
      <c r="V1438" s="890" t="s">
        <v>29</v>
      </c>
      <c r="W1438" s="1021" t="s">
        <v>29</v>
      </c>
      <c r="X1438" s="892" t="s">
        <v>29</v>
      </c>
      <c r="Y1438" s="935"/>
      <c r="Z1438" s="892" t="s">
        <v>29</v>
      </c>
      <c r="AA1438" s="888" t="s">
        <v>29</v>
      </c>
      <c r="AB1438" s="893" t="s">
        <v>29</v>
      </c>
      <c r="AC1438" s="894" t="s">
        <v>29</v>
      </c>
      <c r="AD1438" s="1162" t="s">
        <v>29</v>
      </c>
      <c r="AE1438" s="940" t="s">
        <v>116</v>
      </c>
      <c r="AF1438" s="940" t="s">
        <v>29</v>
      </c>
      <c r="AG1438" s="897" t="s">
        <v>29</v>
      </c>
      <c r="AH1438" s="940" t="s">
        <v>29</v>
      </c>
      <c r="AI1438" s="898"/>
      <c r="AJ1438" s="899"/>
      <c r="AK1438" s="899"/>
      <c r="AL1438" s="901"/>
      <c r="AM1438" s="542" t="s">
        <v>709</v>
      </c>
      <c r="AN1438" s="924"/>
      <c r="AO1438" s="925"/>
      <c r="AP1438" s="926"/>
      <c r="AQ1438" s="926"/>
      <c r="AR1438" s="926"/>
      <c r="AS1438" s="926"/>
      <c r="AT1438" s="926"/>
      <c r="AU1438" s="926"/>
      <c r="AV1438" s="926"/>
      <c r="AW1438" s="927"/>
      <c r="AX1438" s="926"/>
      <c r="AY1438" s="1538" t="s">
        <v>29</v>
      </c>
      <c r="AZ1438" s="1530"/>
      <c r="BA1438" s="910" t="s">
        <v>8791</v>
      </c>
      <c r="BB1438" s="928" t="s">
        <v>8792</v>
      </c>
      <c r="BC1438" s="915" t="s">
        <v>8439</v>
      </c>
      <c r="BD1438" s="915" t="s">
        <v>115</v>
      </c>
      <c r="BE1438" s="915" t="s">
        <v>115</v>
      </c>
      <c r="BF1438" s="915" t="s">
        <v>5630</v>
      </c>
      <c r="BG1438" s="915" t="s">
        <v>115</v>
      </c>
      <c r="BH1438" s="1175" t="s">
        <v>8793</v>
      </c>
      <c r="BI1438" s="980"/>
      <c r="BJ1438" s="980"/>
      <c r="BK1438" s="980"/>
      <c r="BL1438" s="980"/>
      <c r="BM1438" s="980"/>
      <c r="BN1438" s="981"/>
      <c r="BO1438" s="980"/>
      <c r="BP1438" s="982"/>
      <c r="BQ1438" s="981"/>
      <c r="BR1438" s="981"/>
      <c r="BS1438" s="981"/>
      <c r="BT1438" s="981"/>
      <c r="BU1438" s="981"/>
      <c r="BV1438" s="981"/>
      <c r="BW1438" s="981"/>
      <c r="BX1438" s="980"/>
      <c r="BY1438" s="983"/>
      <c r="BZ1438" s="983"/>
      <c r="CA1438" s="984"/>
      <c r="CB1438" s="547">
        <v>1436</v>
      </c>
      <c r="CC1438" s="1481" t="b">
        <v>0</v>
      </c>
      <c r="CD1438" s="879" t="str">
        <f>Table15[[#This Row],[Engineering Number]]&amp;Table15[[#This Row],[WO Number]]&amp;Table15[[#This Row],[Date Assigned to Designer]]&amp;Table15[[#This Row],[Date Completed]]</f>
        <v>RS1230-4573545792</v>
      </c>
    </row>
    <row r="1439" spans="1:82" ht="15" customHeight="1" x14ac:dyDescent="0.25">
      <c r="A1439">
        <v>2025</v>
      </c>
      <c r="B1439" s="878" t="s">
        <v>4</v>
      </c>
      <c r="C1439" s="879" t="s">
        <v>8794</v>
      </c>
      <c r="D1439" s="880" t="s">
        <v>8795</v>
      </c>
      <c r="E1439" s="879" t="s">
        <v>2350</v>
      </c>
      <c r="F1439" s="878" t="s">
        <v>784</v>
      </c>
      <c r="G1439" s="878" t="s">
        <v>26</v>
      </c>
      <c r="H1439" s="878" t="s">
        <v>59</v>
      </c>
      <c r="I1439" s="881">
        <v>45394</v>
      </c>
      <c r="J1439" s="956">
        <v>45821</v>
      </c>
      <c r="K1439" s="945">
        <v>45798</v>
      </c>
      <c r="L1439" s="884">
        <f>IF(ISTEXT(Table15[[#This Row],[Engineering Approved Design Date]]),Table15[[#This Row],[Date Completed]]-Table15[[#This Row],[Date Assigned to Designer]],Table15[[#This Row],[Engineering Approved Design Date]]-Table15[[#This Row],[Date Completed]])</f>
        <v>23</v>
      </c>
      <c r="N1439" s="99" t="s">
        <v>120</v>
      </c>
      <c r="O1439" s="886">
        <v>45809</v>
      </c>
      <c r="P1439" s="1153" t="s">
        <v>739</v>
      </c>
      <c r="Q1439" s="1150">
        <f>Table15[[#This Row],[Rate]]*Table15[[#This Row],[Construction Cost to Bill From]]</f>
        <v>20593.106</v>
      </c>
      <c r="R1439" s="887">
        <v>0.1</v>
      </c>
      <c r="S1439" s="1228" t="s">
        <v>29</v>
      </c>
      <c r="T1439" s="888" t="s">
        <v>29</v>
      </c>
      <c r="U1439" s="889" t="s">
        <v>29</v>
      </c>
      <c r="V1439" s="890">
        <v>400</v>
      </c>
      <c r="W1439" s="1021" t="s">
        <v>29</v>
      </c>
      <c r="X1439" s="888">
        <v>181940.02</v>
      </c>
      <c r="Y1439" s="891"/>
      <c r="Z1439" s="888">
        <v>23991.040000000001</v>
      </c>
      <c r="AA1439" s="892">
        <f>SUM(Table15[[#This Row],[PCTS Investment Amount]:[PCTS Retirement Amount]])</f>
        <v>205931.06</v>
      </c>
      <c r="AB1439" s="893">
        <v>45806</v>
      </c>
      <c r="AC1439" s="894" t="s">
        <v>29</v>
      </c>
      <c r="AD1439" s="1161" t="s">
        <v>29</v>
      </c>
      <c r="AE1439" s="895" t="s">
        <v>756</v>
      </c>
      <c r="AF1439" s="895" t="s">
        <v>756</v>
      </c>
      <c r="AG1439" s="896" t="s">
        <v>116</v>
      </c>
      <c r="AH1439" s="897">
        <v>45825</v>
      </c>
      <c r="AI1439" s="898">
        <v>0</v>
      </c>
      <c r="AJ1439" s="899">
        <v>2200</v>
      </c>
      <c r="AK1439" s="899">
        <v>3965.76</v>
      </c>
      <c r="AL1439" s="923">
        <f>SUM(Table15[[#This Row],[Nicor Initiated DBE]:[Staffing]])/(Table15[[#This Row],[Amount Invoiced]])</f>
        <v>0.29940893811744573</v>
      </c>
      <c r="AM1439" s="536" t="s">
        <v>116</v>
      </c>
      <c r="AN1439" s="903" t="s">
        <v>709</v>
      </c>
      <c r="AO1439" s="1536"/>
      <c r="AP1439" s="1537"/>
      <c r="AQ1439" s="1537"/>
      <c r="AR1439" s="1537"/>
      <c r="AS1439" s="888">
        <f>IF(Table15[[#This Row],[PCTS Approved]]="N",0,Table15[[#This Row],[Investment Amount (1'#'#'#'#'#)]]+Table15[[#This Row],[Retirement Amount (3'#'#'#'#'#)]])</f>
        <v>0</v>
      </c>
      <c r="AT1439" s="888">
        <f>IF(Table15[[#This Row],[Approved Construction Cost]]=0,0,Table15[[#This Row],[Approved Construction Cost]]-Table15[[#This Row],[Construction Cost to Bill From]])</f>
        <v>0</v>
      </c>
      <c r="AU1439" s="888">
        <f>IFERROR(Table15[[#This Row],[Difference in Construction Cost]]*Table15[[#This Row],[Rate]],Table15[[#This Row],[Difference in Construction Cost]]*0.085)</f>
        <v>0</v>
      </c>
      <c r="AV1439" s="905"/>
      <c r="AW1439" s="1509"/>
      <c r="AX1439" s="888"/>
      <c r="AY1439" s="636" t="s">
        <v>709</v>
      </c>
      <c r="AZ1439" s="333"/>
      <c r="BA1439" s="910" t="s">
        <v>8796</v>
      </c>
      <c r="BB1439" s="911" t="s">
        <v>8797</v>
      </c>
      <c r="BC1439" s="912" t="s">
        <v>115</v>
      </c>
      <c r="BD1439" s="913" t="s">
        <v>115</v>
      </c>
      <c r="BE1439" s="914" t="s">
        <v>1626</v>
      </c>
      <c r="BF1439" s="914" t="s">
        <v>115</v>
      </c>
      <c r="BG1439" s="915" t="s">
        <v>115</v>
      </c>
      <c r="BH1439" s="1023" t="s">
        <v>8798</v>
      </c>
      <c r="BI1439" s="929" t="s">
        <v>745</v>
      </c>
      <c r="BJ1439" s="929" t="s">
        <v>745</v>
      </c>
      <c r="BK1439" s="916" t="s">
        <v>745</v>
      </c>
      <c r="BL1439" s="916" t="s">
        <v>116</v>
      </c>
      <c r="BM1439" s="916" t="s">
        <v>745</v>
      </c>
      <c r="BN1439" s="916" t="s">
        <v>745</v>
      </c>
      <c r="BO1439" s="916" t="s">
        <v>745</v>
      </c>
      <c r="BP1439" s="916" t="s">
        <v>745</v>
      </c>
      <c r="BQ1439" s="916" t="s">
        <v>745</v>
      </c>
      <c r="BR1439" s="916">
        <v>400</v>
      </c>
      <c r="BS1439" s="916" t="s">
        <v>745</v>
      </c>
      <c r="BT1439" s="916" t="s">
        <v>745</v>
      </c>
      <c r="BU1439" s="916" t="s">
        <v>745</v>
      </c>
      <c r="BV1439" s="916" t="s">
        <v>745</v>
      </c>
      <c r="BW1439" s="916" t="s">
        <v>745</v>
      </c>
      <c r="BX1439" s="916" t="s">
        <v>745</v>
      </c>
      <c r="BY1439" s="916" t="s">
        <v>745</v>
      </c>
      <c r="BZ1439" s="916" t="s">
        <v>745</v>
      </c>
      <c r="CA1439" s="917"/>
      <c r="CB1439" s="547">
        <v>1437</v>
      </c>
      <c r="CC1439" s="1481" t="b">
        <v>0</v>
      </c>
      <c r="CD1439" s="879" t="str">
        <f>Table15[[#This Row],[Engineering Number]]&amp;Table15[[#This Row],[WO Number]]&amp;Table15[[#This Row],[Date Assigned to Designer]]&amp;Table15[[#This Row],[Date Completed]]</f>
        <v>N1859212149084539445798</v>
      </c>
    </row>
    <row r="1440" spans="1:82" ht="15" customHeight="1" x14ac:dyDescent="0.25">
      <c r="A1440">
        <v>2025</v>
      </c>
      <c r="B1440" s="878" t="s">
        <v>6798</v>
      </c>
      <c r="C1440" s="878" t="s">
        <v>8799</v>
      </c>
      <c r="D1440" s="878" t="s">
        <v>8800</v>
      </c>
      <c r="E1440" s="878" t="s">
        <v>8801</v>
      </c>
      <c r="F1440" s="878" t="s">
        <v>6643</v>
      </c>
      <c r="G1440" s="878" t="s">
        <v>37</v>
      </c>
      <c r="H1440" s="931" t="s">
        <v>59</v>
      </c>
      <c r="I1440" s="883">
        <v>45727</v>
      </c>
      <c r="J1440" s="881">
        <v>45807</v>
      </c>
      <c r="K1440" s="945">
        <v>45800</v>
      </c>
      <c r="L1440" s="919">
        <f>IF(ISTEXT(Table15[[#This Row],[Engineering Approved Design Date]]),Table15[[#This Row],[Date Completed]]-Table15[[#This Row],[Date Assigned to Designer]],Table15[[#This Row],[Engineering Approved Design Date]]-Table15[[#This Row],[Date Completed]])</f>
        <v>7</v>
      </c>
      <c r="M1440" s="883"/>
      <c r="N1440" s="99" t="s">
        <v>120</v>
      </c>
      <c r="O1440" s="1617">
        <v>45809</v>
      </c>
      <c r="P1440" s="1153" t="s">
        <v>739</v>
      </c>
      <c r="Q1440" s="1150">
        <f>SUM(Table15[[#This Row],[Shactee Effort]:[KH Hourly Effort]])</f>
        <v>8031.8099999999995</v>
      </c>
      <c r="R1440" s="1624" t="s">
        <v>1922</v>
      </c>
      <c r="S1440" s="1228">
        <v>1806.81</v>
      </c>
      <c r="T1440" s="888">
        <v>0</v>
      </c>
      <c r="U1440" s="934">
        <v>6225</v>
      </c>
      <c r="V1440" s="1630">
        <v>0</v>
      </c>
      <c r="W1440" s="1021">
        <v>1</v>
      </c>
      <c r="X1440" s="888">
        <v>25000</v>
      </c>
      <c r="Y1440" s="888"/>
      <c r="Z1440" s="888">
        <v>0</v>
      </c>
      <c r="AA1440" s="892">
        <f>SUM(Table15[[#This Row],[PCTS Investment Amount]:[PCTS Retirement Amount]])</f>
        <v>25000</v>
      </c>
      <c r="AB1440" s="893" t="s">
        <v>29</v>
      </c>
      <c r="AC1440" s="894" t="s">
        <v>1177</v>
      </c>
      <c r="AD1440" s="1160" t="s">
        <v>29</v>
      </c>
      <c r="AE1440" s="895" t="s">
        <v>756</v>
      </c>
      <c r="AF1440" s="895" t="s">
        <v>29</v>
      </c>
      <c r="AG1440" s="895" t="s">
        <v>29</v>
      </c>
      <c r="AH1440" s="940" t="s">
        <v>376</v>
      </c>
      <c r="AI1440" s="898"/>
      <c r="AJ1440" s="899"/>
      <c r="AK1440" s="899"/>
      <c r="AL1440" s="923"/>
      <c r="AM1440" s="542" t="s">
        <v>709</v>
      </c>
      <c r="AN1440" s="924"/>
      <c r="AO1440" s="925"/>
      <c r="AP1440" s="926"/>
      <c r="AQ1440" s="926"/>
      <c r="AR1440" s="926"/>
      <c r="AS1440" s="926"/>
      <c r="AT1440" s="926"/>
      <c r="AU1440" s="926"/>
      <c r="AV1440" s="926"/>
      <c r="AW1440" s="927"/>
      <c r="AX1440" s="926"/>
      <c r="AY1440" s="1538" t="s">
        <v>29</v>
      </c>
      <c r="AZ1440" s="1530"/>
      <c r="BA1440" s="910" t="s">
        <v>6802</v>
      </c>
      <c r="BB1440" s="928" t="s">
        <v>8802</v>
      </c>
      <c r="BC1440" s="915" t="s">
        <v>29</v>
      </c>
      <c r="BD1440" s="915" t="s">
        <v>29</v>
      </c>
      <c r="BE1440" s="915" t="s">
        <v>29</v>
      </c>
      <c r="BF1440" s="915" t="s">
        <v>29</v>
      </c>
      <c r="BG1440" s="915" t="s">
        <v>29</v>
      </c>
      <c r="BH1440" s="1175" t="s">
        <v>8803</v>
      </c>
      <c r="BI1440" s="929" t="s">
        <v>745</v>
      </c>
      <c r="BJ1440" s="929" t="s">
        <v>116</v>
      </c>
      <c r="BK1440" s="929" t="s">
        <v>745</v>
      </c>
      <c r="BL1440" s="916" t="s">
        <v>116</v>
      </c>
      <c r="BM1440" s="916" t="s">
        <v>745</v>
      </c>
      <c r="BN1440" s="929" t="s">
        <v>745</v>
      </c>
      <c r="BO1440" s="916" t="s">
        <v>745</v>
      </c>
      <c r="BP1440" s="929" t="s">
        <v>745</v>
      </c>
      <c r="BQ1440" s="929" t="s">
        <v>745</v>
      </c>
      <c r="BR1440" s="929" t="s">
        <v>745</v>
      </c>
      <c r="BS1440" s="916" t="s">
        <v>745</v>
      </c>
      <c r="BT1440" s="929" t="s">
        <v>745</v>
      </c>
      <c r="BU1440" s="916" t="s">
        <v>116</v>
      </c>
      <c r="BV1440" s="929" t="s">
        <v>745</v>
      </c>
      <c r="BW1440" s="916" t="s">
        <v>745</v>
      </c>
      <c r="BX1440" s="929" t="s">
        <v>745</v>
      </c>
      <c r="BY1440" s="916" t="s">
        <v>745</v>
      </c>
      <c r="BZ1440" s="916" t="s">
        <v>745</v>
      </c>
      <c r="CA1440" s="1006" t="s">
        <v>8804</v>
      </c>
      <c r="CB1440" s="547">
        <v>1440</v>
      </c>
      <c r="CC1440" s="1481" t="b">
        <v>0</v>
      </c>
      <c r="CD1440" s="879" t="str">
        <f>Table15[[#This Row],[Engineering Number]]&amp;Table15[[#This Row],[WO Number]]&amp;Table15[[#This Row],[Date Assigned to Designer]]&amp;Table15[[#This Row],[Date Completed]]</f>
        <v>410105410151434572745800</v>
      </c>
    </row>
    <row r="1441" spans="1:82" ht="15" customHeight="1" x14ac:dyDescent="0.25">
      <c r="A1441">
        <v>2025</v>
      </c>
      <c r="B1441" s="878" t="s">
        <v>6798</v>
      </c>
      <c r="C1441" s="878" t="s">
        <v>8805</v>
      </c>
      <c r="D1441" s="878" t="s">
        <v>8806</v>
      </c>
      <c r="E1441" s="878" t="s">
        <v>388</v>
      </c>
      <c r="F1441" s="878" t="s">
        <v>6643</v>
      </c>
      <c r="G1441" s="878" t="s">
        <v>8807</v>
      </c>
      <c r="H1441" s="931" t="s">
        <v>59</v>
      </c>
      <c r="I1441" s="883">
        <v>45727</v>
      </c>
      <c r="J1441" s="881">
        <v>45807</v>
      </c>
      <c r="K1441" s="945">
        <v>45800</v>
      </c>
      <c r="L1441" s="919">
        <f>IF(ISTEXT(Table15[[#This Row],[Engineering Approved Design Date]]),Table15[[#This Row],[Date Completed]]-Table15[[#This Row],[Date Assigned to Designer]],Table15[[#This Row],[Engineering Approved Design Date]]-Table15[[#This Row],[Date Completed]])</f>
        <v>7</v>
      </c>
      <c r="M1441" s="883"/>
      <c r="N1441" s="99" t="s">
        <v>120</v>
      </c>
      <c r="O1441" s="1617">
        <v>45809</v>
      </c>
      <c r="P1441" s="1153" t="s">
        <v>739</v>
      </c>
      <c r="Q1441" s="1150">
        <f>SUM(Table15[[#This Row],[Shactee Effort]:[KH Hourly Effort]])</f>
        <v>7784.55</v>
      </c>
      <c r="R1441" s="933" t="s">
        <v>1922</v>
      </c>
      <c r="S1441" s="888">
        <v>1837.05</v>
      </c>
      <c r="T1441" s="888">
        <v>0</v>
      </c>
      <c r="U1441" s="934">
        <v>5947.5</v>
      </c>
      <c r="V1441" s="890">
        <v>0</v>
      </c>
      <c r="W1441" s="1021">
        <v>1</v>
      </c>
      <c r="X1441" s="888">
        <v>25000</v>
      </c>
      <c r="Y1441" s="888"/>
      <c r="Z1441" s="888">
        <v>0</v>
      </c>
      <c r="AA1441" s="892">
        <f>SUM(Table15[[#This Row],[PCTS Investment Amount]:[PCTS Retirement Amount]])</f>
        <v>25000</v>
      </c>
      <c r="AB1441" s="893" t="s">
        <v>29</v>
      </c>
      <c r="AC1441" s="894" t="s">
        <v>1177</v>
      </c>
      <c r="AD1441" s="1160" t="s">
        <v>29</v>
      </c>
      <c r="AE1441" s="895" t="s">
        <v>756</v>
      </c>
      <c r="AF1441" s="895" t="s">
        <v>29</v>
      </c>
      <c r="AG1441" s="895" t="s">
        <v>29</v>
      </c>
      <c r="AH1441" s="940" t="s">
        <v>376</v>
      </c>
      <c r="AI1441" s="898"/>
      <c r="AJ1441" s="899"/>
      <c r="AK1441" s="899"/>
      <c r="AL1441" s="923"/>
      <c r="AM1441" s="542" t="s">
        <v>709</v>
      </c>
      <c r="AN1441" s="924"/>
      <c r="AO1441" s="925"/>
      <c r="AP1441" s="926"/>
      <c r="AQ1441" s="926"/>
      <c r="AR1441" s="926"/>
      <c r="AS1441" s="926"/>
      <c r="AT1441" s="926"/>
      <c r="AU1441" s="926"/>
      <c r="AV1441" s="926"/>
      <c r="AW1441" s="927"/>
      <c r="AX1441" s="926"/>
      <c r="AY1441" s="1538" t="s">
        <v>29</v>
      </c>
      <c r="AZ1441" s="1530"/>
      <c r="BA1441" s="910" t="s">
        <v>6802</v>
      </c>
      <c r="BB1441" s="928" t="s">
        <v>8808</v>
      </c>
      <c r="BC1441" s="915" t="s">
        <v>29</v>
      </c>
      <c r="BD1441" s="915" t="s">
        <v>29</v>
      </c>
      <c r="BE1441" s="915" t="s">
        <v>29</v>
      </c>
      <c r="BF1441" s="915" t="s">
        <v>29</v>
      </c>
      <c r="BG1441" s="915" t="s">
        <v>29</v>
      </c>
      <c r="BH1441" s="1175" t="s">
        <v>8809</v>
      </c>
      <c r="BI1441" s="929" t="s">
        <v>745</v>
      </c>
      <c r="BJ1441" s="929" t="s">
        <v>116</v>
      </c>
      <c r="BK1441" s="929" t="s">
        <v>745</v>
      </c>
      <c r="BL1441" s="916" t="s">
        <v>116</v>
      </c>
      <c r="BM1441" s="916" t="s">
        <v>745</v>
      </c>
      <c r="BN1441" s="929" t="s">
        <v>745</v>
      </c>
      <c r="BO1441" s="916" t="s">
        <v>745</v>
      </c>
      <c r="BP1441" s="929" t="s">
        <v>745</v>
      </c>
      <c r="BQ1441" s="929" t="s">
        <v>745</v>
      </c>
      <c r="BR1441" s="929" t="s">
        <v>745</v>
      </c>
      <c r="BS1441" s="916" t="s">
        <v>745</v>
      </c>
      <c r="BT1441" s="929" t="s">
        <v>745</v>
      </c>
      <c r="BU1441" s="916" t="s">
        <v>116</v>
      </c>
      <c r="BV1441" s="929" t="s">
        <v>745</v>
      </c>
      <c r="BW1441" s="916" t="s">
        <v>745</v>
      </c>
      <c r="BX1441" s="929" t="s">
        <v>745</v>
      </c>
      <c r="BY1441" s="916" t="s">
        <v>745</v>
      </c>
      <c r="BZ1441" s="916" t="s">
        <v>745</v>
      </c>
      <c r="CA1441" s="1660" t="s">
        <v>6806</v>
      </c>
      <c r="CB1441" s="547">
        <v>1438</v>
      </c>
      <c r="CC1441" s="1481" t="b">
        <v>0</v>
      </c>
      <c r="CD1441" s="879" t="str">
        <f>Table15[[#This Row],[Engineering Number]]&amp;Table15[[#This Row],[WO Number]]&amp;Table15[[#This Row],[Date Assigned to Designer]]&amp;Table15[[#This Row],[Date Completed]]</f>
        <v>410123410151424572745800</v>
      </c>
    </row>
    <row r="1442" spans="1:82" ht="15" customHeight="1" x14ac:dyDescent="0.25">
      <c r="A1442">
        <v>2025</v>
      </c>
      <c r="B1442" s="878" t="s">
        <v>6798</v>
      </c>
      <c r="C1442" s="878" t="s">
        <v>8810</v>
      </c>
      <c r="D1442" s="878" t="s">
        <v>8811</v>
      </c>
      <c r="E1442" s="878" t="s">
        <v>6978</v>
      </c>
      <c r="F1442" s="878" t="s">
        <v>6643</v>
      </c>
      <c r="G1442" s="878" t="s">
        <v>6996</v>
      </c>
      <c r="H1442" s="931" t="s">
        <v>59</v>
      </c>
      <c r="I1442" s="883">
        <v>45727</v>
      </c>
      <c r="J1442" s="881">
        <v>45807</v>
      </c>
      <c r="K1442" s="945">
        <v>45800</v>
      </c>
      <c r="L1442" s="919">
        <f>IF(ISTEXT(Table15[[#This Row],[Engineering Approved Design Date]]),Table15[[#This Row],[Date Completed]]-Table15[[#This Row],[Date Assigned to Designer]],Table15[[#This Row],[Engineering Approved Design Date]]-Table15[[#This Row],[Date Completed]])</f>
        <v>7</v>
      </c>
      <c r="M1442" s="883"/>
      <c r="N1442" s="99" t="s">
        <v>120</v>
      </c>
      <c r="O1442" s="1617">
        <v>45809</v>
      </c>
      <c r="P1442" s="1153" t="s">
        <v>739</v>
      </c>
      <c r="Q1442" s="1150">
        <f>SUM(Table15[[#This Row],[Shactee Effort]:[KH Hourly Effort]])</f>
        <v>8394.380000000001</v>
      </c>
      <c r="R1442" s="933" t="s">
        <v>1922</v>
      </c>
      <c r="S1442" s="888">
        <v>1869.38</v>
      </c>
      <c r="T1442" s="888">
        <v>0</v>
      </c>
      <c r="U1442" s="934">
        <v>6525</v>
      </c>
      <c r="V1442" s="890">
        <v>0</v>
      </c>
      <c r="W1442" s="1021">
        <v>1</v>
      </c>
      <c r="X1442" s="888">
        <v>25000</v>
      </c>
      <c r="Y1442" s="888"/>
      <c r="Z1442" s="888">
        <v>0</v>
      </c>
      <c r="AA1442" s="892">
        <f>SUM(Table15[[#This Row],[PCTS Investment Amount]:[PCTS Retirement Amount]])</f>
        <v>25000</v>
      </c>
      <c r="AB1442" s="893" t="s">
        <v>29</v>
      </c>
      <c r="AC1442" s="894" t="s">
        <v>1177</v>
      </c>
      <c r="AD1442" s="1160" t="s">
        <v>29</v>
      </c>
      <c r="AE1442" s="895" t="s">
        <v>756</v>
      </c>
      <c r="AF1442" s="895" t="s">
        <v>29</v>
      </c>
      <c r="AG1442" s="895" t="s">
        <v>29</v>
      </c>
      <c r="AH1442" s="940" t="s">
        <v>376</v>
      </c>
      <c r="AI1442" s="898"/>
      <c r="AJ1442" s="899"/>
      <c r="AK1442" s="899"/>
      <c r="AL1442" s="923"/>
      <c r="AM1442" s="542" t="s">
        <v>709</v>
      </c>
      <c r="AN1442" s="924"/>
      <c r="AO1442" s="925"/>
      <c r="AP1442" s="926"/>
      <c r="AQ1442" s="926"/>
      <c r="AR1442" s="926"/>
      <c r="AS1442" s="926"/>
      <c r="AT1442" s="926"/>
      <c r="AU1442" s="926"/>
      <c r="AV1442" s="926"/>
      <c r="AW1442" s="927"/>
      <c r="AX1442" s="926"/>
      <c r="AY1442" s="1538" t="s">
        <v>29</v>
      </c>
      <c r="AZ1442" s="1530"/>
      <c r="BA1442" s="910" t="s">
        <v>6802</v>
      </c>
      <c r="BB1442" s="928" t="s">
        <v>8812</v>
      </c>
      <c r="BC1442" s="915" t="s">
        <v>29</v>
      </c>
      <c r="BD1442" s="915" t="s">
        <v>29</v>
      </c>
      <c r="BE1442" s="915" t="s">
        <v>29</v>
      </c>
      <c r="BF1442" s="915" t="s">
        <v>29</v>
      </c>
      <c r="BG1442" s="915" t="s">
        <v>29</v>
      </c>
      <c r="BH1442" s="1175" t="s">
        <v>8813</v>
      </c>
      <c r="BI1442" s="929" t="s">
        <v>745</v>
      </c>
      <c r="BJ1442" s="929" t="s">
        <v>116</v>
      </c>
      <c r="BK1442" s="929" t="s">
        <v>745</v>
      </c>
      <c r="BL1442" s="916" t="s">
        <v>116</v>
      </c>
      <c r="BM1442" s="916" t="s">
        <v>745</v>
      </c>
      <c r="BN1442" s="929" t="s">
        <v>745</v>
      </c>
      <c r="BO1442" s="916" t="s">
        <v>745</v>
      </c>
      <c r="BP1442" s="929" t="s">
        <v>745</v>
      </c>
      <c r="BQ1442" s="929" t="s">
        <v>745</v>
      </c>
      <c r="BR1442" s="929" t="s">
        <v>745</v>
      </c>
      <c r="BS1442" s="916" t="s">
        <v>745</v>
      </c>
      <c r="BT1442" s="929" t="s">
        <v>745</v>
      </c>
      <c r="BU1442" s="916" t="s">
        <v>116</v>
      </c>
      <c r="BV1442" s="929" t="s">
        <v>745</v>
      </c>
      <c r="BW1442" s="916" t="s">
        <v>745</v>
      </c>
      <c r="BX1442" s="929" t="s">
        <v>745</v>
      </c>
      <c r="BY1442" s="916" t="s">
        <v>745</v>
      </c>
      <c r="BZ1442" s="916" t="s">
        <v>745</v>
      </c>
      <c r="CA1442" s="1660" t="s">
        <v>8424</v>
      </c>
      <c r="CB1442" s="547">
        <v>1439</v>
      </c>
      <c r="CC1442" s="1481" t="b">
        <v>0</v>
      </c>
      <c r="CD1442" s="879" t="str">
        <f>Table15[[#This Row],[Engineering Number]]&amp;Table15[[#This Row],[WO Number]]&amp;Table15[[#This Row],[Date Assigned to Designer]]&amp;Table15[[#This Row],[Date Completed]]</f>
        <v>410123810151444572745800</v>
      </c>
    </row>
    <row r="1443" spans="1:82" ht="15" customHeight="1" x14ac:dyDescent="0.25">
      <c r="A1443">
        <v>2025</v>
      </c>
      <c r="B1443" s="878" t="s">
        <v>4</v>
      </c>
      <c r="C1443" s="879" t="s">
        <v>8814</v>
      </c>
      <c r="D1443" s="880" t="s">
        <v>8815</v>
      </c>
      <c r="E1443" s="879" t="s">
        <v>309</v>
      </c>
      <c r="F1443" s="878" t="s">
        <v>6874</v>
      </c>
      <c r="G1443" s="878" t="s">
        <v>6377</v>
      </c>
      <c r="H1443" s="878" t="s">
        <v>59</v>
      </c>
      <c r="I1443" s="881">
        <v>45719</v>
      </c>
      <c r="J1443" s="882">
        <v>45807</v>
      </c>
      <c r="K1443" s="945">
        <v>45806</v>
      </c>
      <c r="L1443" s="884">
        <f>IF(ISTEXT(Table15[[#This Row],[Engineering Approved Design Date]]),Table15[[#This Row],[Date Completed]]-Table15[[#This Row],[Date Assigned to Designer]],Table15[[#This Row],[Engineering Approved Design Date]]-Table15[[#This Row],[Date Completed]])</f>
        <v>1</v>
      </c>
      <c r="N1443" s="99" t="s">
        <v>120</v>
      </c>
      <c r="O1443" s="1617">
        <v>45809</v>
      </c>
      <c r="P1443" s="1153" t="s">
        <v>739</v>
      </c>
      <c r="Q1443" s="1150">
        <f>Table15[[#This Row],[Rate]]*Table15[[#This Row],[Construction Cost to Bill From]]</f>
        <v>27414.400000000001</v>
      </c>
      <c r="R1443" s="887">
        <v>0.1</v>
      </c>
      <c r="S1443" s="888" t="s">
        <v>29</v>
      </c>
      <c r="T1443" s="888" t="s">
        <v>29</v>
      </c>
      <c r="U1443" s="889" t="s">
        <v>29</v>
      </c>
      <c r="V1443" s="890">
        <v>614</v>
      </c>
      <c r="W1443" s="1021" t="s">
        <v>29</v>
      </c>
      <c r="X1443" s="888">
        <v>258555.38</v>
      </c>
      <c r="Y1443" s="891"/>
      <c r="Z1443" s="888">
        <v>15588.62</v>
      </c>
      <c r="AA1443" s="892">
        <f>SUM(Table15[[#This Row],[PCTS Investment Amount]:[PCTS Retirement Amount]])</f>
        <v>274144</v>
      </c>
      <c r="AB1443" s="893">
        <v>45791</v>
      </c>
      <c r="AC1443" s="1238" t="s">
        <v>29</v>
      </c>
      <c r="AD1443" s="1160" t="s">
        <v>29</v>
      </c>
      <c r="AE1443" s="895" t="s">
        <v>756</v>
      </c>
      <c r="AF1443" s="895" t="s">
        <v>756</v>
      </c>
      <c r="AG1443" s="896" t="s">
        <v>116</v>
      </c>
      <c r="AH1443" s="897">
        <v>45825</v>
      </c>
      <c r="AI1443" s="898">
        <v>0</v>
      </c>
      <c r="AJ1443" s="899">
        <v>1091.8</v>
      </c>
      <c r="AK1443" s="899">
        <v>2982.58</v>
      </c>
      <c r="AL1443" s="923">
        <f>SUM(Table15[[#This Row],[Nicor Initiated DBE]:[Staffing]])/(Table15[[#This Row],[Amount Invoiced]])</f>
        <v>0.14862189214427454</v>
      </c>
      <c r="AM1443" s="536" t="s">
        <v>116</v>
      </c>
      <c r="AN1443" s="903" t="s">
        <v>709</v>
      </c>
      <c r="AO1443" s="1536"/>
      <c r="AP1443" s="1537"/>
      <c r="AQ1443" s="1537"/>
      <c r="AR1443" s="1537"/>
      <c r="AS1443" s="888">
        <f>IF(Table15[[#This Row],[PCTS Approved]]="N",0,Table15[[#This Row],[Investment Amount (1'#'#'#'#'#)]]+Table15[[#This Row],[Retirement Amount (3'#'#'#'#'#)]])</f>
        <v>0</v>
      </c>
      <c r="AT1443" s="888">
        <f>IF(Table15[[#This Row],[Approved Construction Cost]]=0,0,Table15[[#This Row],[Approved Construction Cost]]-Table15[[#This Row],[Construction Cost to Bill From]])</f>
        <v>0</v>
      </c>
      <c r="AU1443" s="888">
        <f>IFERROR(Table15[[#This Row],[Difference in Construction Cost]]*Table15[[#This Row],[Rate]],Table15[[#This Row],[Difference in Construction Cost]]*0.085)</f>
        <v>0</v>
      </c>
      <c r="AV1443" s="905"/>
      <c r="AW1443" s="1509"/>
      <c r="AX1443" s="888"/>
      <c r="AY1443" s="636" t="s">
        <v>709</v>
      </c>
      <c r="AZ1443" s="333"/>
      <c r="BA1443" s="910" t="s">
        <v>8816</v>
      </c>
      <c r="BB1443" s="911" t="s">
        <v>870</v>
      </c>
      <c r="BC1443" s="912" t="s">
        <v>992</v>
      </c>
      <c r="BD1443" s="913" t="s">
        <v>709</v>
      </c>
      <c r="BE1443" s="914" t="s">
        <v>8817</v>
      </c>
      <c r="BF1443" s="914" t="s">
        <v>709</v>
      </c>
      <c r="BG1443" s="915" t="s">
        <v>745</v>
      </c>
      <c r="BH1443" s="1023" t="s">
        <v>8818</v>
      </c>
      <c r="BI1443" s="916" t="s">
        <v>745</v>
      </c>
      <c r="BJ1443" s="916" t="s">
        <v>745</v>
      </c>
      <c r="BK1443" s="916" t="s">
        <v>745</v>
      </c>
      <c r="BL1443" s="916" t="s">
        <v>116</v>
      </c>
      <c r="BM1443" s="916" t="s">
        <v>745</v>
      </c>
      <c r="BN1443" s="916" t="s">
        <v>745</v>
      </c>
      <c r="BO1443" s="916" t="s">
        <v>745</v>
      </c>
      <c r="BP1443" s="916" t="s">
        <v>745</v>
      </c>
      <c r="BQ1443" s="916" t="s">
        <v>745</v>
      </c>
      <c r="BR1443" s="916" t="s">
        <v>745</v>
      </c>
      <c r="BS1443" s="916">
        <v>614</v>
      </c>
      <c r="BT1443" s="916" t="s">
        <v>745</v>
      </c>
      <c r="BU1443" s="916" t="s">
        <v>745</v>
      </c>
      <c r="BV1443" s="916" t="s">
        <v>745</v>
      </c>
      <c r="BW1443" s="916" t="s">
        <v>745</v>
      </c>
      <c r="BX1443" s="916" t="s">
        <v>745</v>
      </c>
      <c r="BY1443" s="916" t="s">
        <v>745</v>
      </c>
      <c r="BZ1443" s="916" t="s">
        <v>745</v>
      </c>
      <c r="CA1443" s="917"/>
      <c r="CB1443" s="547">
        <v>1441</v>
      </c>
      <c r="CC1443" s="1481" t="b">
        <v>0</v>
      </c>
      <c r="CD1443" s="879" t="str">
        <f>Table15[[#This Row],[Engineering Number]]&amp;Table15[[#This Row],[WO Number]]&amp;Table15[[#This Row],[Date Assigned to Designer]]&amp;Table15[[#This Row],[Date Completed]]</f>
        <v>SC2557814152904571945806</v>
      </c>
    </row>
    <row r="1444" spans="1:82" ht="15" customHeight="1" x14ac:dyDescent="0.25">
      <c r="A1444">
        <v>2025</v>
      </c>
      <c r="B1444" s="878" t="s">
        <v>6798</v>
      </c>
      <c r="C1444" s="878" t="s">
        <v>8819</v>
      </c>
      <c r="D1444" s="878" t="s">
        <v>8820</v>
      </c>
      <c r="E1444" s="878" t="s">
        <v>8821</v>
      </c>
      <c r="F1444" s="878" t="s">
        <v>6643</v>
      </c>
      <c r="G1444" s="878" t="s">
        <v>34</v>
      </c>
      <c r="H1444" s="931" t="s">
        <v>59</v>
      </c>
      <c r="I1444" s="883">
        <v>45727</v>
      </c>
      <c r="J1444" s="881">
        <v>45823</v>
      </c>
      <c r="K1444" s="945">
        <v>45807</v>
      </c>
      <c r="L1444" s="919">
        <f>IF(ISTEXT(Table15[[#This Row],[Engineering Approved Design Date]]),Table15[[#This Row],[Date Completed]]-Table15[[#This Row],[Date Assigned to Designer]],Table15[[#This Row],[Engineering Approved Design Date]]-Table15[[#This Row],[Date Completed]])</f>
        <v>16</v>
      </c>
      <c r="M1444" s="883"/>
      <c r="N1444" s="99" t="s">
        <v>120</v>
      </c>
      <c r="O1444" s="1617">
        <v>45809</v>
      </c>
      <c r="P1444" s="1153" t="s">
        <v>739</v>
      </c>
      <c r="Q1444" s="1150">
        <f>SUM(Table15[[#This Row],[Shactee Effort]:[KH Hourly Effort]])</f>
        <v>7060.96</v>
      </c>
      <c r="R1444" s="933" t="s">
        <v>1922</v>
      </c>
      <c r="S1444" s="888">
        <v>1763.46</v>
      </c>
      <c r="T1444" s="888">
        <v>0</v>
      </c>
      <c r="U1444" s="935">
        <v>5297.5</v>
      </c>
      <c r="V1444" s="1630">
        <v>0</v>
      </c>
      <c r="W1444" s="1021">
        <v>1</v>
      </c>
      <c r="X1444" s="888">
        <v>25000</v>
      </c>
      <c r="Y1444" s="888"/>
      <c r="Z1444" s="888">
        <v>0</v>
      </c>
      <c r="AA1444" s="892">
        <f>SUM(Table15[[#This Row],[PCTS Investment Amount]:[PCTS Retirement Amount]])</f>
        <v>25000</v>
      </c>
      <c r="AB1444" s="893" t="s">
        <v>29</v>
      </c>
      <c r="AC1444" s="894" t="s">
        <v>1177</v>
      </c>
      <c r="AD1444" s="1160" t="s">
        <v>29</v>
      </c>
      <c r="AE1444" s="895" t="s">
        <v>756</v>
      </c>
      <c r="AF1444" s="895" t="s">
        <v>29</v>
      </c>
      <c r="AG1444" s="895" t="s">
        <v>29</v>
      </c>
      <c r="AH1444" s="940" t="s">
        <v>376</v>
      </c>
      <c r="AI1444" s="898"/>
      <c r="AJ1444" s="899"/>
      <c r="AK1444" s="899"/>
      <c r="AL1444" s="923"/>
      <c r="AM1444" s="542" t="s">
        <v>709</v>
      </c>
      <c r="AN1444" s="924"/>
      <c r="AO1444" s="925"/>
      <c r="AP1444" s="926"/>
      <c r="AQ1444" s="926"/>
      <c r="AR1444" s="926"/>
      <c r="AS1444" s="926"/>
      <c r="AT1444" s="926"/>
      <c r="AU1444" s="926"/>
      <c r="AV1444" s="926"/>
      <c r="AW1444" s="927"/>
      <c r="AX1444" s="926"/>
      <c r="AY1444" s="1538" t="s">
        <v>29</v>
      </c>
      <c r="AZ1444" s="1532"/>
      <c r="BA1444" s="910" t="s">
        <v>8706</v>
      </c>
      <c r="BB1444" s="928" t="s">
        <v>8822</v>
      </c>
      <c r="BC1444" s="915" t="s">
        <v>29</v>
      </c>
      <c r="BD1444" s="915" t="s">
        <v>29</v>
      </c>
      <c r="BE1444" s="915" t="s">
        <v>29</v>
      </c>
      <c r="BF1444" s="915" t="s">
        <v>29</v>
      </c>
      <c r="BG1444" s="915" t="s">
        <v>29</v>
      </c>
      <c r="BH1444" s="1175" t="s">
        <v>8823</v>
      </c>
      <c r="BI1444" s="929" t="s">
        <v>745</v>
      </c>
      <c r="BJ1444" s="929" t="s">
        <v>116</v>
      </c>
      <c r="BK1444" s="929" t="s">
        <v>745</v>
      </c>
      <c r="BL1444" s="916" t="s">
        <v>116</v>
      </c>
      <c r="BM1444" s="916" t="s">
        <v>745</v>
      </c>
      <c r="BN1444" s="929" t="s">
        <v>745</v>
      </c>
      <c r="BO1444" s="916" t="s">
        <v>745</v>
      </c>
      <c r="BP1444" s="929" t="s">
        <v>745</v>
      </c>
      <c r="BQ1444" s="929" t="s">
        <v>745</v>
      </c>
      <c r="BR1444" s="929" t="s">
        <v>745</v>
      </c>
      <c r="BS1444" s="916" t="s">
        <v>745</v>
      </c>
      <c r="BT1444" s="929" t="s">
        <v>745</v>
      </c>
      <c r="BU1444" s="916" t="s">
        <v>116</v>
      </c>
      <c r="BV1444" s="929" t="s">
        <v>745</v>
      </c>
      <c r="BW1444" s="916" t="s">
        <v>745</v>
      </c>
      <c r="BX1444" s="929" t="s">
        <v>745</v>
      </c>
      <c r="BY1444" s="916" t="s">
        <v>745</v>
      </c>
      <c r="BZ1444" s="916" t="s">
        <v>745</v>
      </c>
      <c r="CA1444" s="1006" t="s">
        <v>8424</v>
      </c>
      <c r="CB1444" s="547">
        <v>1445</v>
      </c>
      <c r="CC1444" s="1481" t="b">
        <v>0</v>
      </c>
      <c r="CD1444" s="879" t="str">
        <f>Table15[[#This Row],[Engineering Number]]&amp;Table15[[#This Row],[WO Number]]&amp;Table15[[#This Row],[Date Assigned to Designer]]&amp;Table15[[#This Row],[Date Completed]]</f>
        <v>120102010151684572745807</v>
      </c>
    </row>
    <row r="1445" spans="1:82" ht="15" customHeight="1" x14ac:dyDescent="0.25">
      <c r="A1445">
        <v>2025</v>
      </c>
      <c r="B1445" s="878" t="s">
        <v>6798</v>
      </c>
      <c r="C1445" s="878" t="s">
        <v>8824</v>
      </c>
      <c r="D1445" s="878" t="s">
        <v>8825</v>
      </c>
      <c r="E1445" s="878" t="s">
        <v>8826</v>
      </c>
      <c r="F1445" s="878" t="s">
        <v>6643</v>
      </c>
      <c r="G1445" s="878" t="s">
        <v>34</v>
      </c>
      <c r="H1445" s="931" t="s">
        <v>59</v>
      </c>
      <c r="I1445" s="883">
        <v>45727</v>
      </c>
      <c r="J1445" s="881">
        <v>45823</v>
      </c>
      <c r="K1445" s="945">
        <v>45807</v>
      </c>
      <c r="L1445" s="919">
        <f>IF(ISTEXT(Table15[[#This Row],[Engineering Approved Design Date]]),Table15[[#This Row],[Date Completed]]-Table15[[#This Row],[Date Assigned to Designer]],Table15[[#This Row],[Engineering Approved Design Date]]-Table15[[#This Row],[Date Completed]])</f>
        <v>16</v>
      </c>
      <c r="M1445" s="883"/>
      <c r="N1445" s="99" t="s">
        <v>120</v>
      </c>
      <c r="O1445" s="886">
        <v>45809</v>
      </c>
      <c r="P1445" s="1153" t="s">
        <v>739</v>
      </c>
      <c r="Q1445" s="1150">
        <f>SUM(Table15[[#This Row],[Shactee Effort]:[KH Hourly Effort]])</f>
        <v>8055.0599999999995</v>
      </c>
      <c r="R1445" s="933" t="s">
        <v>1922</v>
      </c>
      <c r="S1445" s="888">
        <v>1625.06</v>
      </c>
      <c r="T1445" s="888">
        <v>0</v>
      </c>
      <c r="U1445" s="934">
        <v>6430</v>
      </c>
      <c r="V1445" s="1630">
        <v>0</v>
      </c>
      <c r="W1445" s="1021">
        <v>1</v>
      </c>
      <c r="X1445" s="888">
        <v>25000</v>
      </c>
      <c r="Y1445" s="888"/>
      <c r="Z1445" s="888">
        <v>0</v>
      </c>
      <c r="AA1445" s="892">
        <f>SUM(Table15[[#This Row],[PCTS Investment Amount]:[PCTS Retirement Amount]])</f>
        <v>25000</v>
      </c>
      <c r="AB1445" s="893" t="s">
        <v>29</v>
      </c>
      <c r="AC1445" s="894" t="s">
        <v>1177</v>
      </c>
      <c r="AD1445" s="1160" t="s">
        <v>29</v>
      </c>
      <c r="AE1445" s="895" t="s">
        <v>756</v>
      </c>
      <c r="AF1445" s="895" t="s">
        <v>29</v>
      </c>
      <c r="AG1445" s="895" t="s">
        <v>29</v>
      </c>
      <c r="AH1445" s="940" t="s">
        <v>376</v>
      </c>
      <c r="AI1445" s="898"/>
      <c r="AJ1445" s="899"/>
      <c r="AK1445" s="899"/>
      <c r="AL1445" s="923"/>
      <c r="AM1445" s="542" t="s">
        <v>709</v>
      </c>
      <c r="AN1445" s="924"/>
      <c r="AO1445" s="925"/>
      <c r="AP1445" s="926"/>
      <c r="AQ1445" s="926"/>
      <c r="AR1445" s="926"/>
      <c r="AS1445" s="926"/>
      <c r="AT1445" s="926"/>
      <c r="AU1445" s="926"/>
      <c r="AV1445" s="926"/>
      <c r="AW1445" s="927"/>
      <c r="AX1445" s="926"/>
      <c r="AY1445" s="1538" t="s">
        <v>29</v>
      </c>
      <c r="AZ1445" s="1532"/>
      <c r="BA1445" s="910" t="s">
        <v>8827</v>
      </c>
      <c r="BB1445" s="928" t="s">
        <v>8828</v>
      </c>
      <c r="BC1445" s="915" t="s">
        <v>29</v>
      </c>
      <c r="BD1445" s="915" t="s">
        <v>29</v>
      </c>
      <c r="BE1445" s="915" t="s">
        <v>29</v>
      </c>
      <c r="BF1445" s="915" t="s">
        <v>29</v>
      </c>
      <c r="BG1445" s="915" t="s">
        <v>29</v>
      </c>
      <c r="BH1445" s="1175" t="s">
        <v>8829</v>
      </c>
      <c r="BI1445" s="929" t="s">
        <v>745</v>
      </c>
      <c r="BJ1445" s="929" t="s">
        <v>116</v>
      </c>
      <c r="BK1445" s="929" t="s">
        <v>745</v>
      </c>
      <c r="BL1445" s="916" t="s">
        <v>116</v>
      </c>
      <c r="BM1445" s="916" t="s">
        <v>745</v>
      </c>
      <c r="BN1445" s="929" t="s">
        <v>745</v>
      </c>
      <c r="BO1445" s="916" t="s">
        <v>745</v>
      </c>
      <c r="BP1445" s="929" t="s">
        <v>745</v>
      </c>
      <c r="BQ1445" s="929" t="s">
        <v>745</v>
      </c>
      <c r="BR1445" s="929" t="s">
        <v>745</v>
      </c>
      <c r="BS1445" s="916" t="s">
        <v>745</v>
      </c>
      <c r="BT1445" s="929" t="s">
        <v>745</v>
      </c>
      <c r="BU1445" s="916" t="s">
        <v>116</v>
      </c>
      <c r="BV1445" s="929" t="s">
        <v>745</v>
      </c>
      <c r="BW1445" s="916" t="s">
        <v>745</v>
      </c>
      <c r="BX1445" s="929" t="s">
        <v>745</v>
      </c>
      <c r="BY1445" s="916" t="s">
        <v>745</v>
      </c>
      <c r="BZ1445" s="916" t="s">
        <v>745</v>
      </c>
      <c r="CA1445" s="1006" t="s">
        <v>8424</v>
      </c>
      <c r="CB1445" s="547">
        <v>1444</v>
      </c>
      <c r="CC1445" s="1481" t="b">
        <v>0</v>
      </c>
      <c r="CD1445" s="879" t="str">
        <f>Table15[[#This Row],[Engineering Number]]&amp;Table15[[#This Row],[WO Number]]&amp;Table15[[#This Row],[Date Assigned to Designer]]&amp;Table15[[#This Row],[Date Completed]]</f>
        <v>120103010151694572745807</v>
      </c>
    </row>
    <row r="1446" spans="1:82" ht="15" customHeight="1" x14ac:dyDescent="0.25">
      <c r="A1446">
        <v>2025</v>
      </c>
      <c r="B1446" s="878" t="s">
        <v>6798</v>
      </c>
      <c r="C1446" s="878" t="s">
        <v>8830</v>
      </c>
      <c r="D1446" s="878" t="s">
        <v>8831</v>
      </c>
      <c r="E1446" s="878" t="s">
        <v>8832</v>
      </c>
      <c r="F1446" s="878" t="s">
        <v>6643</v>
      </c>
      <c r="G1446" s="878" t="s">
        <v>34</v>
      </c>
      <c r="H1446" s="931" t="s">
        <v>59</v>
      </c>
      <c r="I1446" s="883">
        <v>45727</v>
      </c>
      <c r="J1446" s="881">
        <v>45823</v>
      </c>
      <c r="K1446" s="945">
        <v>45807</v>
      </c>
      <c r="L1446" s="919">
        <f>IF(ISTEXT(Table15[[#This Row],[Engineering Approved Design Date]]),Table15[[#This Row],[Date Completed]]-Table15[[#This Row],[Date Assigned to Designer]],Table15[[#This Row],[Engineering Approved Design Date]]-Table15[[#This Row],[Date Completed]])</f>
        <v>16</v>
      </c>
      <c r="M1446" s="883"/>
      <c r="N1446" s="99" t="s">
        <v>120</v>
      </c>
      <c r="O1446" s="1617">
        <v>45809</v>
      </c>
      <c r="P1446" s="1153" t="s">
        <v>739</v>
      </c>
      <c r="Q1446" s="1150">
        <f>SUM(Table15[[#This Row],[Shactee Effort]:[KH Hourly Effort]])</f>
        <v>6718.41</v>
      </c>
      <c r="R1446" s="933" t="s">
        <v>1922</v>
      </c>
      <c r="S1446" s="888">
        <v>1630.91</v>
      </c>
      <c r="T1446" s="888">
        <v>0</v>
      </c>
      <c r="U1446" s="934">
        <v>5087.5</v>
      </c>
      <c r="V1446" s="890">
        <v>0</v>
      </c>
      <c r="W1446" s="1021">
        <v>1</v>
      </c>
      <c r="X1446" s="888">
        <v>25000</v>
      </c>
      <c r="Y1446" s="888"/>
      <c r="Z1446" s="888">
        <v>0</v>
      </c>
      <c r="AA1446" s="892">
        <f>SUM(Table15[[#This Row],[PCTS Investment Amount]:[PCTS Retirement Amount]])</f>
        <v>25000</v>
      </c>
      <c r="AB1446" s="893" t="s">
        <v>29</v>
      </c>
      <c r="AC1446" s="894" t="s">
        <v>1177</v>
      </c>
      <c r="AD1446" s="1160" t="s">
        <v>29</v>
      </c>
      <c r="AE1446" s="895" t="s">
        <v>756</v>
      </c>
      <c r="AF1446" s="895" t="s">
        <v>29</v>
      </c>
      <c r="AG1446" s="895" t="s">
        <v>29</v>
      </c>
      <c r="AH1446" s="940" t="s">
        <v>376</v>
      </c>
      <c r="AI1446" s="898"/>
      <c r="AJ1446" s="899"/>
      <c r="AK1446" s="899"/>
      <c r="AL1446" s="923"/>
      <c r="AM1446" s="542" t="s">
        <v>709</v>
      </c>
      <c r="AN1446" s="924"/>
      <c r="AO1446" s="925"/>
      <c r="AP1446" s="926"/>
      <c r="AQ1446" s="926"/>
      <c r="AR1446" s="926"/>
      <c r="AS1446" s="926"/>
      <c r="AT1446" s="926"/>
      <c r="AU1446" s="926"/>
      <c r="AV1446" s="926"/>
      <c r="AW1446" s="927"/>
      <c r="AX1446" s="926"/>
      <c r="AY1446" s="1538" t="s">
        <v>29</v>
      </c>
      <c r="AZ1446" s="1532"/>
      <c r="BA1446" s="910" t="s">
        <v>8706</v>
      </c>
      <c r="BB1446" s="928" t="s">
        <v>8833</v>
      </c>
      <c r="BC1446" s="915" t="s">
        <v>29</v>
      </c>
      <c r="BD1446" s="915" t="s">
        <v>29</v>
      </c>
      <c r="BE1446" s="915" t="s">
        <v>29</v>
      </c>
      <c r="BF1446" s="915" t="s">
        <v>29</v>
      </c>
      <c r="BG1446" s="915" t="s">
        <v>29</v>
      </c>
      <c r="BH1446" s="1175" t="s">
        <v>8834</v>
      </c>
      <c r="BI1446" s="929" t="s">
        <v>745</v>
      </c>
      <c r="BJ1446" s="929" t="s">
        <v>116</v>
      </c>
      <c r="BK1446" s="929" t="s">
        <v>745</v>
      </c>
      <c r="BL1446" s="916" t="s">
        <v>116</v>
      </c>
      <c r="BM1446" s="916" t="s">
        <v>745</v>
      </c>
      <c r="BN1446" s="929" t="s">
        <v>745</v>
      </c>
      <c r="BO1446" s="916" t="s">
        <v>745</v>
      </c>
      <c r="BP1446" s="929" t="s">
        <v>745</v>
      </c>
      <c r="BQ1446" s="929" t="s">
        <v>745</v>
      </c>
      <c r="BR1446" s="929" t="s">
        <v>745</v>
      </c>
      <c r="BS1446" s="916" t="s">
        <v>745</v>
      </c>
      <c r="BT1446" s="929" t="s">
        <v>745</v>
      </c>
      <c r="BU1446" s="916" t="s">
        <v>116</v>
      </c>
      <c r="BV1446" s="929" t="s">
        <v>745</v>
      </c>
      <c r="BW1446" s="916" t="s">
        <v>745</v>
      </c>
      <c r="BX1446" s="929" t="s">
        <v>745</v>
      </c>
      <c r="BY1446" s="916" t="s">
        <v>745</v>
      </c>
      <c r="BZ1446" s="916" t="s">
        <v>745</v>
      </c>
      <c r="CA1446" s="1006" t="s">
        <v>8424</v>
      </c>
      <c r="CB1446" s="547">
        <v>1443</v>
      </c>
      <c r="CC1446" s="1481" t="b">
        <v>0</v>
      </c>
      <c r="CD1446" s="879" t="str">
        <f>Table15[[#This Row],[Engineering Number]]&amp;Table15[[#This Row],[WO Number]]&amp;Table15[[#This Row],[Date Assigned to Designer]]&amp;Table15[[#This Row],[Date Completed]]</f>
        <v>120110010151714572745807</v>
      </c>
    </row>
    <row r="1447" spans="1:82" ht="15" customHeight="1" x14ac:dyDescent="0.25">
      <c r="A1447">
        <v>2025</v>
      </c>
      <c r="B1447" s="878" t="s">
        <v>4</v>
      </c>
      <c r="C1447" s="878" t="s">
        <v>6606</v>
      </c>
      <c r="D1447" s="878">
        <v>1214095</v>
      </c>
      <c r="E1447" s="878" t="s">
        <v>149</v>
      </c>
      <c r="F1447" s="878" t="s">
        <v>784</v>
      </c>
      <c r="G1447" s="878" t="s">
        <v>26</v>
      </c>
      <c r="H1447" s="878" t="s">
        <v>4189</v>
      </c>
      <c r="I1447" s="883">
        <v>45747</v>
      </c>
      <c r="J1447" s="918" t="s">
        <v>2052</v>
      </c>
      <c r="K1447" s="883">
        <v>45807</v>
      </c>
      <c r="L1447" s="884">
        <f>IF(ISTEXT(Table15[[#This Row],[Engineering Approved Design Date]]),Table15[[#This Row],[Date Completed]]-Table15[[#This Row],[Date Assigned to Designer]],Table15[[#This Row],[Engineering Approved Design Date]]-Table15[[#This Row],[Date Completed]])</f>
        <v>60</v>
      </c>
      <c r="M1447" s="883" t="s">
        <v>8835</v>
      </c>
      <c r="N1447" s="99" t="s">
        <v>120</v>
      </c>
      <c r="O1447" s="886">
        <v>45809</v>
      </c>
      <c r="P1447" s="1153" t="s">
        <v>739</v>
      </c>
      <c r="Q1447" s="1150">
        <f>SUM(Table15[[#This Row],[Shactee Effort]:[KH Hourly Effort]])</f>
        <v>11717.5</v>
      </c>
      <c r="R1447" s="920" t="s">
        <v>1922</v>
      </c>
      <c r="S1447" s="888">
        <v>0</v>
      </c>
      <c r="T1447" s="888">
        <v>0</v>
      </c>
      <c r="U1447" s="889">
        <v>11717.5</v>
      </c>
      <c r="V1447" s="890" t="s">
        <v>29</v>
      </c>
      <c r="W1447" s="1021" t="s">
        <v>29</v>
      </c>
      <c r="X1447" s="888" t="s">
        <v>29</v>
      </c>
      <c r="Y1447" s="935"/>
      <c r="Z1447" s="888" t="s">
        <v>29</v>
      </c>
      <c r="AA1447" s="888" t="s">
        <v>29</v>
      </c>
      <c r="AB1447" s="958" t="s">
        <v>29</v>
      </c>
      <c r="AC1447" s="896" t="s">
        <v>29</v>
      </c>
      <c r="AD1447" s="1149" t="s">
        <v>116</v>
      </c>
      <c r="AE1447" s="568" t="s">
        <v>116</v>
      </c>
      <c r="AF1447" s="568" t="s">
        <v>116</v>
      </c>
      <c r="AG1447" s="895" t="s">
        <v>29</v>
      </c>
      <c r="AH1447" s="940">
        <v>45825</v>
      </c>
      <c r="AI1447" s="921" t="s">
        <v>29</v>
      </c>
      <c r="AJ1447" s="922" t="s">
        <v>29</v>
      </c>
      <c r="AK1447" s="922" t="s">
        <v>29</v>
      </c>
      <c r="AL1447" s="923" t="s">
        <v>29</v>
      </c>
      <c r="AM1447" s="542" t="s">
        <v>709</v>
      </c>
      <c r="AN1447" s="924"/>
      <c r="AO1447" s="925"/>
      <c r="AP1447" s="926"/>
      <c r="AQ1447" s="926"/>
      <c r="AR1447" s="926"/>
      <c r="AS1447" s="926"/>
      <c r="AT1447" s="926"/>
      <c r="AU1447" s="926"/>
      <c r="AV1447" s="926"/>
      <c r="AW1447" s="927"/>
      <c r="AX1447" s="926"/>
      <c r="AY1447" s="1538" t="s">
        <v>29</v>
      </c>
      <c r="AZ1447" s="1530"/>
      <c r="BA1447" s="954" t="s">
        <v>4919</v>
      </c>
      <c r="BB1447" s="1212" t="s">
        <v>8836</v>
      </c>
      <c r="BC1447" s="912" t="s">
        <v>709</v>
      </c>
      <c r="BD1447" s="913" t="s">
        <v>709</v>
      </c>
      <c r="BE1447" s="914" t="s">
        <v>5573</v>
      </c>
      <c r="BF1447" s="914" t="s">
        <v>709</v>
      </c>
      <c r="BG1447" s="915" t="s">
        <v>709</v>
      </c>
      <c r="BH1447" s="1023" t="s">
        <v>8837</v>
      </c>
      <c r="BI1447" s="929" t="s">
        <v>709</v>
      </c>
      <c r="BJ1447" s="929" t="s">
        <v>709</v>
      </c>
      <c r="BK1447" s="916" t="s">
        <v>116</v>
      </c>
      <c r="BL1447" s="916" t="s">
        <v>709</v>
      </c>
      <c r="BM1447" s="916" t="s">
        <v>709</v>
      </c>
      <c r="BN1447" s="916" t="s">
        <v>709</v>
      </c>
      <c r="BO1447" s="916" t="s">
        <v>709</v>
      </c>
      <c r="BP1447" s="916" t="s">
        <v>709</v>
      </c>
      <c r="BQ1447" s="916">
        <v>941</v>
      </c>
      <c r="BR1447" s="916" t="s">
        <v>709</v>
      </c>
      <c r="BS1447" s="916" t="s">
        <v>709</v>
      </c>
      <c r="BT1447" s="916" t="s">
        <v>745</v>
      </c>
      <c r="BU1447" s="916" t="s">
        <v>709</v>
      </c>
      <c r="BV1447" s="916" t="s">
        <v>745</v>
      </c>
      <c r="BW1447" s="916" t="s">
        <v>709</v>
      </c>
      <c r="BX1447" s="916" t="s">
        <v>745</v>
      </c>
      <c r="BY1447" s="916" t="s">
        <v>745</v>
      </c>
      <c r="BZ1447" s="916" t="s">
        <v>709</v>
      </c>
      <c r="CA1447" s="917"/>
      <c r="CB1447" s="547">
        <v>1446</v>
      </c>
      <c r="CC1447" s="1481" t="b">
        <v>0</v>
      </c>
      <c r="CD1447" s="879" t="str">
        <f>Table15[[#This Row],[Engineering Number]]&amp;Table15[[#This Row],[WO Number]]&amp;Table15[[#This Row],[Date Assigned to Designer]]&amp;Table15[[#This Row],[Date Completed]]</f>
        <v>M1156012140954574745807</v>
      </c>
    </row>
    <row r="1448" spans="1:82" ht="15" customHeight="1" x14ac:dyDescent="0.25">
      <c r="A1448">
        <v>2025</v>
      </c>
      <c r="B1448" s="878" t="s">
        <v>1205</v>
      </c>
      <c r="C1448" s="878" t="s">
        <v>515</v>
      </c>
      <c r="D1448" s="878">
        <v>140585</v>
      </c>
      <c r="E1448" s="878" t="s">
        <v>1509</v>
      </c>
      <c r="F1448" s="878" t="s">
        <v>6874</v>
      </c>
      <c r="G1448" s="878" t="s">
        <v>22</v>
      </c>
      <c r="H1448" s="878" t="s">
        <v>3178</v>
      </c>
      <c r="I1448" s="883">
        <v>45750</v>
      </c>
      <c r="J1448" s="918" t="s">
        <v>2052</v>
      </c>
      <c r="K1448" s="945">
        <v>45807</v>
      </c>
      <c r="L1448" s="884">
        <f>IF(ISTEXT(Table15[[#This Row],[Engineering Approved Design Date]]),Table15[[#This Row],[Date Completed]]-Table15[[#This Row],[Date Assigned to Designer]],Table15[[#This Row],[Engineering Approved Design Date]]-Table15[[#This Row],[Date Completed]])</f>
        <v>57</v>
      </c>
      <c r="M1448" s="1012" t="s">
        <v>8838</v>
      </c>
      <c r="N1448" s="99" t="s">
        <v>120</v>
      </c>
      <c r="O1448" s="886">
        <v>45809</v>
      </c>
      <c r="P1448" s="1153" t="s">
        <v>120</v>
      </c>
      <c r="Q1448" s="1150">
        <f>SUM(Table15[[#This Row],[Shactee Effort]:[KH Hourly Effort]])</f>
        <v>16587.5</v>
      </c>
      <c r="R1448" s="933" t="s">
        <v>1922</v>
      </c>
      <c r="S1448" s="888">
        <v>0</v>
      </c>
      <c r="T1448" s="888">
        <v>0</v>
      </c>
      <c r="U1448" s="889">
        <v>16587.5</v>
      </c>
      <c r="V1448" s="890">
        <v>1938</v>
      </c>
      <c r="W1448" s="995">
        <v>0</v>
      </c>
      <c r="X1448" s="888" t="s">
        <v>29</v>
      </c>
      <c r="Y1448" s="888" t="s">
        <v>29</v>
      </c>
      <c r="Z1448" s="888" t="s">
        <v>29</v>
      </c>
      <c r="AA1448" s="888" t="s">
        <v>29</v>
      </c>
      <c r="AB1448" s="893" t="s">
        <v>29</v>
      </c>
      <c r="AC1448" s="896" t="s">
        <v>29</v>
      </c>
      <c r="AD1448" s="1155" t="s">
        <v>29</v>
      </c>
      <c r="AE1448" s="894" t="s">
        <v>116</v>
      </c>
      <c r="AF1448" s="896" t="s">
        <v>29</v>
      </c>
      <c r="AG1448" s="897" t="s">
        <v>29</v>
      </c>
      <c r="AH1448" s="902">
        <v>45854</v>
      </c>
      <c r="AI1448" s="1028" t="s">
        <v>29</v>
      </c>
      <c r="AJ1448" s="1029" t="s">
        <v>29</v>
      </c>
      <c r="AK1448" s="1029" t="s">
        <v>29</v>
      </c>
      <c r="AL1448" s="923" t="s">
        <v>29</v>
      </c>
      <c r="AM1448" s="542" t="s">
        <v>709</v>
      </c>
      <c r="AN1448" s="924"/>
      <c r="AO1448" s="925"/>
      <c r="AP1448" s="926"/>
      <c r="AQ1448" s="926"/>
      <c r="AR1448" s="926"/>
      <c r="AS1448" s="926"/>
      <c r="AT1448" s="926"/>
      <c r="AU1448" s="926"/>
      <c r="AV1448" s="926"/>
      <c r="AW1448" s="927"/>
      <c r="AX1448" s="926"/>
      <c r="AY1448" s="1538" t="s">
        <v>29</v>
      </c>
      <c r="AZ1448" s="1530"/>
      <c r="BA1448" s="910">
        <v>9</v>
      </c>
      <c r="BB1448" s="928" t="s">
        <v>8839</v>
      </c>
      <c r="BC1448" s="915" t="s">
        <v>709</v>
      </c>
      <c r="BD1448" s="1306" t="s">
        <v>709</v>
      </c>
      <c r="BE1448" s="952" t="s">
        <v>709</v>
      </c>
      <c r="BF1448" s="544" t="s">
        <v>1512</v>
      </c>
      <c r="BG1448" s="1306" t="s">
        <v>709</v>
      </c>
      <c r="BH1448" s="1175" t="s">
        <v>8840</v>
      </c>
      <c r="BI1448" s="929" t="s">
        <v>709</v>
      </c>
      <c r="BJ1448" s="929" t="s">
        <v>116</v>
      </c>
      <c r="BK1448" s="929" t="s">
        <v>709</v>
      </c>
      <c r="BL1448" s="916" t="s">
        <v>709</v>
      </c>
      <c r="BM1448" s="916" t="s">
        <v>709</v>
      </c>
      <c r="BN1448" s="929" t="s">
        <v>709</v>
      </c>
      <c r="BO1448" s="916" t="s">
        <v>709</v>
      </c>
      <c r="BP1448" s="929">
        <f>10+1829+99</f>
        <v>1938</v>
      </c>
      <c r="BQ1448" s="929" t="s">
        <v>709</v>
      </c>
      <c r="BR1448" s="929" t="s">
        <v>709</v>
      </c>
      <c r="BS1448" s="916" t="s">
        <v>709</v>
      </c>
      <c r="BT1448" s="929" t="s">
        <v>709</v>
      </c>
      <c r="BU1448" s="916" t="s">
        <v>709</v>
      </c>
      <c r="BV1448" s="929" t="s">
        <v>709</v>
      </c>
      <c r="BW1448" s="916" t="s">
        <v>709</v>
      </c>
      <c r="BX1448" s="929" t="s">
        <v>709</v>
      </c>
      <c r="BY1448" s="916" t="s">
        <v>709</v>
      </c>
      <c r="BZ1448" s="916" t="s">
        <v>709</v>
      </c>
      <c r="CA1448" s="1660" t="s">
        <v>8841</v>
      </c>
      <c r="CB1448" s="547">
        <v>1442</v>
      </c>
      <c r="CC1448" s="1481" t="b">
        <v>0</v>
      </c>
      <c r="CD1448" s="879" t="str">
        <f>Table15[[#This Row],[Engineering Number]]&amp;Table15[[#This Row],[WO Number]]&amp;Table15[[#This Row],[Date Assigned to Designer]]&amp;Table15[[#This Row],[Date Completed]]</f>
        <v>MR10491405854575045807</v>
      </c>
    </row>
    <row r="1449" spans="1:82" ht="15" customHeight="1" x14ac:dyDescent="0.25">
      <c r="A1449">
        <v>2025</v>
      </c>
      <c r="B1449" s="879" t="s">
        <v>759</v>
      </c>
      <c r="C1449" s="879" t="s">
        <v>8270</v>
      </c>
      <c r="D1449" s="8" t="s">
        <v>115</v>
      </c>
      <c r="E1449" s="879" t="s">
        <v>29</v>
      </c>
      <c r="F1449" s="879" t="s">
        <v>6643</v>
      </c>
      <c r="G1449" s="879" t="s">
        <v>37</v>
      </c>
      <c r="H1449" s="878" t="s">
        <v>4110</v>
      </c>
      <c r="I1449" s="883">
        <v>45587</v>
      </c>
      <c r="J1449" s="963" t="s">
        <v>4110</v>
      </c>
      <c r="K1449" s="883">
        <v>45809</v>
      </c>
      <c r="L1449" s="884">
        <f>IF(ISTEXT(Table15[[#This Row],[Engineering Approved Design Date]]),Table15[[#This Row],[Date Completed]]-Table15[[#This Row],[Date Assigned to Designer]],Table15[[#This Row],[Engineering Approved Design Date]]-Table15[[#This Row],[Date Completed]])</f>
        <v>222</v>
      </c>
      <c r="N1449" s="99" t="s">
        <v>120</v>
      </c>
      <c r="O1449" s="886">
        <v>45809</v>
      </c>
      <c r="P1449" s="1153" t="s">
        <v>739</v>
      </c>
      <c r="Q1449" s="1303">
        <f>Table15[[#This Row],[KH Hourly Effort]]-55840</f>
        <v>20547.5</v>
      </c>
      <c r="R1449" s="920" t="s">
        <v>1922</v>
      </c>
      <c r="S1449" s="888" t="s">
        <v>29</v>
      </c>
      <c r="T1449" s="888" t="s">
        <v>29</v>
      </c>
      <c r="U1449" s="889">
        <v>76387.5</v>
      </c>
      <c r="V1449" s="888" t="s">
        <v>29</v>
      </c>
      <c r="W1449" s="995" t="s">
        <v>29</v>
      </c>
      <c r="X1449" s="888" t="s">
        <v>29</v>
      </c>
      <c r="Y1449" s="888" t="s">
        <v>29</v>
      </c>
      <c r="Z1449" s="888" t="s">
        <v>29</v>
      </c>
      <c r="AA1449" s="888" t="s">
        <v>29</v>
      </c>
      <c r="AB1449" s="893" t="s">
        <v>29</v>
      </c>
      <c r="AC1449" s="896" t="s">
        <v>29</v>
      </c>
      <c r="AD1449" s="1155" t="s">
        <v>29</v>
      </c>
      <c r="AE1449" s="894" t="s">
        <v>756</v>
      </c>
      <c r="AF1449" s="896" t="s">
        <v>756</v>
      </c>
      <c r="AG1449" s="896" t="s">
        <v>29</v>
      </c>
      <c r="AH1449" s="897" t="s">
        <v>376</v>
      </c>
      <c r="AI1449" s="921" t="s">
        <v>29</v>
      </c>
      <c r="AJ1449" s="922" t="s">
        <v>29</v>
      </c>
      <c r="AK1449" s="922"/>
      <c r="AL1449" s="923" t="s">
        <v>29</v>
      </c>
      <c r="AM1449" s="542" t="s">
        <v>709</v>
      </c>
      <c r="AN1449" s="924"/>
      <c r="AO1449" s="925"/>
      <c r="AP1449" s="926"/>
      <c r="AQ1449" s="926"/>
      <c r="AR1449" s="926"/>
      <c r="AS1449" s="926"/>
      <c r="AT1449" s="926"/>
      <c r="AU1449" s="926"/>
      <c r="AV1449" s="926"/>
      <c r="AW1449" s="927"/>
      <c r="AX1449" s="926"/>
      <c r="AY1449" s="1538" t="s">
        <v>29</v>
      </c>
      <c r="AZ1449" s="1530"/>
      <c r="BA1449" s="910" t="s">
        <v>29</v>
      </c>
      <c r="BB1449" s="911"/>
      <c r="BC1449" s="912" t="s">
        <v>29</v>
      </c>
      <c r="BD1449" s="913" t="s">
        <v>29</v>
      </c>
      <c r="BE1449" s="914" t="s">
        <v>29</v>
      </c>
      <c r="BF1449" s="914" t="s">
        <v>29</v>
      </c>
      <c r="BG1449" s="915" t="s">
        <v>29</v>
      </c>
      <c r="BH1449" s="1023" t="s">
        <v>7824</v>
      </c>
      <c r="BI1449" s="916" t="s">
        <v>709</v>
      </c>
      <c r="BJ1449" s="916" t="s">
        <v>709</v>
      </c>
      <c r="BK1449" s="916" t="s">
        <v>709</v>
      </c>
      <c r="BL1449" s="916" t="s">
        <v>709</v>
      </c>
      <c r="BM1449" s="916" t="s">
        <v>709</v>
      </c>
      <c r="BN1449" s="916" t="s">
        <v>709</v>
      </c>
      <c r="BO1449" s="916" t="s">
        <v>709</v>
      </c>
      <c r="BP1449" s="916" t="s">
        <v>709</v>
      </c>
      <c r="BQ1449" s="916" t="s">
        <v>709</v>
      </c>
      <c r="BR1449" s="916" t="s">
        <v>709</v>
      </c>
      <c r="BS1449" s="916" t="s">
        <v>709</v>
      </c>
      <c r="BT1449" s="916" t="s">
        <v>709</v>
      </c>
      <c r="BU1449" s="916" t="s">
        <v>709</v>
      </c>
      <c r="BV1449" s="916" t="s">
        <v>709</v>
      </c>
      <c r="BW1449" s="916" t="s">
        <v>709</v>
      </c>
      <c r="BX1449" s="916" t="s">
        <v>709</v>
      </c>
      <c r="BY1449" s="916" t="s">
        <v>709</v>
      </c>
      <c r="BZ1449" s="916" t="s">
        <v>709</v>
      </c>
      <c r="CA1449" s="943" t="s">
        <v>8842</v>
      </c>
      <c r="CB1449" s="547">
        <v>1447</v>
      </c>
      <c r="CC1449" s="1481" t="b">
        <v>0</v>
      </c>
      <c r="CD1449" s="879" t="str">
        <f>Table15[[#This Row],[Engineering Number]]&amp;Table15[[#This Row],[WO Number]]&amp;Table15[[#This Row],[Date Assigned to Designer]]&amp;Table15[[#This Row],[Date Completed]]</f>
        <v>VLT Template Updates-4558745809</v>
      </c>
    </row>
    <row r="1450" spans="1:82" ht="15" customHeight="1" x14ac:dyDescent="0.25">
      <c r="A1450">
        <v>2025</v>
      </c>
      <c r="B1450" s="878" t="s">
        <v>6798</v>
      </c>
      <c r="C1450" s="878" t="s">
        <v>8843</v>
      </c>
      <c r="D1450" s="878" t="s">
        <v>8844</v>
      </c>
      <c r="E1450" s="878" t="s">
        <v>8832</v>
      </c>
      <c r="F1450" s="878" t="s">
        <v>6643</v>
      </c>
      <c r="G1450" s="878" t="s">
        <v>34</v>
      </c>
      <c r="H1450" s="931" t="s">
        <v>59</v>
      </c>
      <c r="I1450" s="883">
        <v>45727</v>
      </c>
      <c r="J1450" s="881">
        <v>45823</v>
      </c>
      <c r="K1450" s="945">
        <v>45810</v>
      </c>
      <c r="L1450" s="919">
        <f>IF(ISTEXT(Table15[[#This Row],[Engineering Approved Design Date]]),Table15[[#This Row],[Date Completed]]-Table15[[#This Row],[Date Assigned to Designer]],Table15[[#This Row],[Engineering Approved Design Date]]-Table15[[#This Row],[Date Completed]])</f>
        <v>13</v>
      </c>
      <c r="M1450" s="883"/>
      <c r="N1450" s="883" t="s">
        <v>739</v>
      </c>
      <c r="O1450" s="886">
        <v>45839</v>
      </c>
      <c r="P1450" s="1153" t="s">
        <v>739</v>
      </c>
      <c r="Q1450" s="1150">
        <f>SUM(Table15[[#This Row],[Shactee Effort]:[KH Hourly Effort]])</f>
        <v>7455.91</v>
      </c>
      <c r="R1450" s="933" t="s">
        <v>1922</v>
      </c>
      <c r="S1450" s="888">
        <v>1630.91</v>
      </c>
      <c r="T1450" s="888">
        <v>0</v>
      </c>
      <c r="U1450" s="934">
        <v>5825</v>
      </c>
      <c r="V1450" s="890">
        <v>0</v>
      </c>
      <c r="W1450" s="1021">
        <v>1</v>
      </c>
      <c r="X1450" s="888">
        <v>25000</v>
      </c>
      <c r="Y1450" s="888"/>
      <c r="Z1450" s="888">
        <v>0</v>
      </c>
      <c r="AA1450" s="892">
        <f>SUM(Table15[[#This Row],[PCTS Investment Amount]:[PCTS Retirement Amount]])</f>
        <v>25000</v>
      </c>
      <c r="AB1450" s="893" t="s">
        <v>29</v>
      </c>
      <c r="AC1450" s="894" t="s">
        <v>1177</v>
      </c>
      <c r="AD1450" s="1161" t="s">
        <v>29</v>
      </c>
      <c r="AE1450" s="895" t="s">
        <v>756</v>
      </c>
      <c r="AF1450" s="895" t="s">
        <v>29</v>
      </c>
      <c r="AG1450" s="895" t="s">
        <v>29</v>
      </c>
      <c r="AH1450" s="940" t="s">
        <v>376</v>
      </c>
      <c r="AI1450" s="898"/>
      <c r="AJ1450" s="899"/>
      <c r="AK1450" s="899"/>
      <c r="AL1450" s="923"/>
      <c r="AM1450" s="542" t="s">
        <v>709</v>
      </c>
      <c r="AN1450" s="924"/>
      <c r="AO1450" s="925"/>
      <c r="AP1450" s="926"/>
      <c r="AQ1450" s="926"/>
      <c r="AR1450" s="926"/>
      <c r="AS1450" s="926"/>
      <c r="AT1450" s="926"/>
      <c r="AU1450" s="926"/>
      <c r="AV1450" s="926"/>
      <c r="AW1450" s="927"/>
      <c r="AX1450" s="926"/>
      <c r="AY1450" s="1538" t="s">
        <v>29</v>
      </c>
      <c r="AZ1450" s="1532"/>
      <c r="BA1450" s="910" t="s">
        <v>8845</v>
      </c>
      <c r="BB1450" s="928" t="s">
        <v>8846</v>
      </c>
      <c r="BC1450" s="915" t="s">
        <v>29</v>
      </c>
      <c r="BD1450" s="915" t="s">
        <v>29</v>
      </c>
      <c r="BE1450" s="915" t="s">
        <v>29</v>
      </c>
      <c r="BF1450" s="915" t="s">
        <v>29</v>
      </c>
      <c r="BG1450" s="915" t="s">
        <v>29</v>
      </c>
      <c r="BH1450" s="1175" t="s">
        <v>8847</v>
      </c>
      <c r="BI1450" s="929" t="s">
        <v>745</v>
      </c>
      <c r="BJ1450" s="929" t="s">
        <v>116</v>
      </c>
      <c r="BK1450" s="929" t="s">
        <v>745</v>
      </c>
      <c r="BL1450" s="916" t="s">
        <v>116</v>
      </c>
      <c r="BM1450" s="916" t="s">
        <v>745</v>
      </c>
      <c r="BN1450" s="929" t="s">
        <v>745</v>
      </c>
      <c r="BO1450" s="916" t="s">
        <v>745</v>
      </c>
      <c r="BP1450" s="929" t="s">
        <v>745</v>
      </c>
      <c r="BQ1450" s="929" t="s">
        <v>745</v>
      </c>
      <c r="BR1450" s="929" t="s">
        <v>745</v>
      </c>
      <c r="BS1450" s="916" t="s">
        <v>745</v>
      </c>
      <c r="BT1450" s="929" t="s">
        <v>745</v>
      </c>
      <c r="BU1450" s="916" t="s">
        <v>116</v>
      </c>
      <c r="BV1450" s="929" t="s">
        <v>745</v>
      </c>
      <c r="BW1450" s="916" t="s">
        <v>745</v>
      </c>
      <c r="BX1450" s="929" t="s">
        <v>745</v>
      </c>
      <c r="BY1450" s="916" t="s">
        <v>745</v>
      </c>
      <c r="BZ1450" s="916" t="s">
        <v>745</v>
      </c>
      <c r="CA1450" s="1006" t="s">
        <v>8424</v>
      </c>
      <c r="CB1450" s="547">
        <v>1448</v>
      </c>
      <c r="CC1450" s="1481" t="b">
        <v>0</v>
      </c>
      <c r="CD1450" s="879" t="str">
        <f>Table15[[#This Row],[Engineering Number]]&amp;Table15[[#This Row],[WO Number]]&amp;Table15[[#This Row],[Date Assigned to Designer]]&amp;Table15[[#This Row],[Date Completed]]</f>
        <v>120110510151724572745810</v>
      </c>
    </row>
    <row r="1451" spans="1:82" ht="15" customHeight="1" x14ac:dyDescent="0.25">
      <c r="A1451">
        <v>2025</v>
      </c>
      <c r="B1451" s="878" t="s">
        <v>6798</v>
      </c>
      <c r="C1451" s="878">
        <v>4401079</v>
      </c>
      <c r="D1451" s="878" t="s">
        <v>8848</v>
      </c>
      <c r="E1451" s="878" t="s">
        <v>8849</v>
      </c>
      <c r="F1451" s="878" t="s">
        <v>6643</v>
      </c>
      <c r="G1451" s="878" t="s">
        <v>34</v>
      </c>
      <c r="H1451" s="931" t="s">
        <v>8850</v>
      </c>
      <c r="I1451" s="883">
        <v>45665</v>
      </c>
      <c r="J1451" s="882" t="s">
        <v>2127</v>
      </c>
      <c r="K1451" s="945">
        <v>45811</v>
      </c>
      <c r="L1451" s="919">
        <f>IF(ISTEXT(Table15[[#This Row],[Engineering Approved Design Date]]),Table15[[#This Row],[Date Completed]]-Table15[[#This Row],[Date Assigned to Designer]],Table15[[#This Row],[Engineering Approved Design Date]]-Table15[[#This Row],[Date Completed]])</f>
        <v>146</v>
      </c>
      <c r="M1451" s="883" t="s">
        <v>8168</v>
      </c>
      <c r="N1451" s="883" t="s">
        <v>739</v>
      </c>
      <c r="O1451" s="886">
        <v>45839</v>
      </c>
      <c r="P1451" s="1153" t="s">
        <v>739</v>
      </c>
      <c r="Q1451" s="1150">
        <f>SUM(Table15[[#This Row],[Shactee Effort]:[KH Hourly Effort]])</f>
        <v>5577.5</v>
      </c>
      <c r="R1451" s="933" t="s">
        <v>1922</v>
      </c>
      <c r="S1451" s="888">
        <v>0</v>
      </c>
      <c r="T1451" s="888">
        <v>0</v>
      </c>
      <c r="U1451" s="934">
        <v>5577.5</v>
      </c>
      <c r="V1451" s="890">
        <v>0</v>
      </c>
      <c r="W1451" s="1021">
        <v>1</v>
      </c>
      <c r="X1451" s="888">
        <v>25000</v>
      </c>
      <c r="Y1451" s="888"/>
      <c r="Z1451" s="888">
        <v>0</v>
      </c>
      <c r="AA1451" s="892">
        <f>SUM(Table15[[#This Row],[PCTS Investment Amount]:[PCTS Retirement Amount]])</f>
        <v>25000</v>
      </c>
      <c r="AB1451" s="893" t="s">
        <v>29</v>
      </c>
      <c r="AC1451" s="894" t="s">
        <v>1177</v>
      </c>
      <c r="AD1451" s="1160" t="s">
        <v>29</v>
      </c>
      <c r="AE1451" s="895" t="s">
        <v>756</v>
      </c>
      <c r="AF1451" s="895" t="s">
        <v>29</v>
      </c>
      <c r="AG1451" s="895" t="s">
        <v>29</v>
      </c>
      <c r="AH1451" s="940" t="s">
        <v>376</v>
      </c>
      <c r="AI1451" s="898"/>
      <c r="AJ1451" s="899"/>
      <c r="AK1451" s="899"/>
      <c r="AL1451" s="923"/>
      <c r="AM1451" s="542" t="s">
        <v>709</v>
      </c>
      <c r="AN1451" s="924"/>
      <c r="AO1451" s="925"/>
      <c r="AP1451" s="926"/>
      <c r="AQ1451" s="926"/>
      <c r="AR1451" s="926"/>
      <c r="AS1451" s="926"/>
      <c r="AT1451" s="926"/>
      <c r="AU1451" s="926"/>
      <c r="AV1451" s="926"/>
      <c r="AW1451" s="927"/>
      <c r="AX1451" s="926"/>
      <c r="AY1451" s="1538" t="s">
        <v>29</v>
      </c>
      <c r="AZ1451" s="1530"/>
      <c r="BA1451" s="910" t="s">
        <v>8851</v>
      </c>
      <c r="BB1451" s="928" t="s">
        <v>8852</v>
      </c>
      <c r="BC1451" s="915" t="s">
        <v>29</v>
      </c>
      <c r="BD1451" s="915" t="s">
        <v>29</v>
      </c>
      <c r="BE1451" s="915" t="s">
        <v>29</v>
      </c>
      <c r="BF1451" s="915" t="s">
        <v>29</v>
      </c>
      <c r="BG1451" s="915" t="s">
        <v>29</v>
      </c>
      <c r="BH1451" s="1175" t="s">
        <v>8853</v>
      </c>
      <c r="BI1451" s="929" t="s">
        <v>745</v>
      </c>
      <c r="BJ1451" s="929" t="s">
        <v>116</v>
      </c>
      <c r="BK1451" s="929" t="s">
        <v>745</v>
      </c>
      <c r="BL1451" s="916" t="s">
        <v>116</v>
      </c>
      <c r="BM1451" s="916" t="s">
        <v>745</v>
      </c>
      <c r="BN1451" s="929" t="s">
        <v>745</v>
      </c>
      <c r="BO1451" s="916" t="s">
        <v>745</v>
      </c>
      <c r="BP1451" s="929" t="s">
        <v>745</v>
      </c>
      <c r="BQ1451" s="929" t="s">
        <v>745</v>
      </c>
      <c r="BR1451" s="929" t="s">
        <v>745</v>
      </c>
      <c r="BS1451" s="916" t="s">
        <v>745</v>
      </c>
      <c r="BT1451" s="929" t="s">
        <v>745</v>
      </c>
      <c r="BU1451" s="916" t="s">
        <v>116</v>
      </c>
      <c r="BV1451" s="929" t="s">
        <v>745</v>
      </c>
      <c r="BW1451" s="916" t="s">
        <v>745</v>
      </c>
      <c r="BX1451" s="929" t="s">
        <v>745</v>
      </c>
      <c r="BY1451" s="916" t="s">
        <v>745</v>
      </c>
      <c r="BZ1451" s="916" t="s">
        <v>745</v>
      </c>
      <c r="CA1451" s="1006" t="s">
        <v>8424</v>
      </c>
      <c r="CB1451" s="547">
        <v>1449</v>
      </c>
      <c r="CC1451" s="1481" t="b">
        <v>0</v>
      </c>
      <c r="CD1451" s="879" t="str">
        <f>Table15[[#This Row],[Engineering Number]]&amp;Table15[[#This Row],[WO Number]]&amp;Table15[[#This Row],[Date Assigned to Designer]]&amp;Table15[[#This Row],[Date Completed]]</f>
        <v>440107910149044566545811</v>
      </c>
    </row>
    <row r="1452" spans="1:82" ht="15" customHeight="1" x14ac:dyDescent="0.25">
      <c r="A1452">
        <v>2025</v>
      </c>
      <c r="B1452" s="878" t="s">
        <v>6798</v>
      </c>
      <c r="C1452" s="878" t="s">
        <v>8854</v>
      </c>
      <c r="D1452" s="878" t="s">
        <v>8855</v>
      </c>
      <c r="E1452" s="878" t="s">
        <v>8856</v>
      </c>
      <c r="F1452" s="878" t="s">
        <v>6643</v>
      </c>
      <c r="G1452" s="878" t="s">
        <v>8857</v>
      </c>
      <c r="H1452" s="931" t="s">
        <v>59</v>
      </c>
      <c r="I1452" s="883">
        <v>45727</v>
      </c>
      <c r="J1452" s="881">
        <v>45823</v>
      </c>
      <c r="K1452" s="945">
        <v>45811</v>
      </c>
      <c r="L1452" s="919">
        <f>IF(ISTEXT(Table15[[#This Row],[Engineering Approved Design Date]]),Table15[[#This Row],[Date Completed]]-Table15[[#This Row],[Date Assigned to Designer]],Table15[[#This Row],[Engineering Approved Design Date]]-Table15[[#This Row],[Date Completed]])</f>
        <v>12</v>
      </c>
      <c r="M1452" s="883"/>
      <c r="N1452" s="883" t="s">
        <v>739</v>
      </c>
      <c r="O1452" s="886">
        <v>45839</v>
      </c>
      <c r="P1452" s="1153" t="s">
        <v>739</v>
      </c>
      <c r="Q1452" s="1150">
        <f>SUM(Table15[[#This Row],[Shactee Effort]:[KH Hourly Effort]])</f>
        <v>7496.71</v>
      </c>
      <c r="R1452" s="933" t="s">
        <v>1922</v>
      </c>
      <c r="S1452" s="888">
        <v>1719.21</v>
      </c>
      <c r="T1452" s="888">
        <v>0</v>
      </c>
      <c r="U1452" s="934">
        <f>5777.5</f>
        <v>5777.5</v>
      </c>
      <c r="V1452" s="890">
        <v>0</v>
      </c>
      <c r="W1452" s="1021">
        <v>1</v>
      </c>
      <c r="X1452" s="888">
        <v>25000</v>
      </c>
      <c r="Y1452" s="888" t="s">
        <v>8247</v>
      </c>
      <c r="Z1452" s="892">
        <v>0</v>
      </c>
      <c r="AA1452" s="888">
        <v>25000</v>
      </c>
      <c r="AB1452" s="893" t="s">
        <v>29</v>
      </c>
      <c r="AC1452" s="894" t="s">
        <v>29</v>
      </c>
      <c r="AD1452" s="1161" t="s">
        <v>29</v>
      </c>
      <c r="AE1452" s="895" t="s">
        <v>29</v>
      </c>
      <c r="AF1452" s="895" t="s">
        <v>29</v>
      </c>
      <c r="AG1452" s="895" t="s">
        <v>29</v>
      </c>
      <c r="AH1452" s="940" t="s">
        <v>29</v>
      </c>
      <c r="AI1452" s="898"/>
      <c r="AJ1452" s="899"/>
      <c r="AK1452" s="899"/>
      <c r="AL1452" s="923"/>
      <c r="AM1452" s="542" t="s">
        <v>709</v>
      </c>
      <c r="AN1452" s="924"/>
      <c r="AO1452" s="925"/>
      <c r="AP1452" s="926"/>
      <c r="AQ1452" s="926"/>
      <c r="AR1452" s="926"/>
      <c r="AS1452" s="926"/>
      <c r="AT1452" s="926"/>
      <c r="AU1452" s="926"/>
      <c r="AV1452" s="926"/>
      <c r="AW1452" s="927"/>
      <c r="AX1452" s="926"/>
      <c r="AY1452" s="1538" t="s">
        <v>29</v>
      </c>
      <c r="AZ1452" s="1530"/>
      <c r="BA1452" s="910" t="s">
        <v>8706</v>
      </c>
      <c r="BB1452" s="928" t="s">
        <v>8858</v>
      </c>
      <c r="BC1452" s="915" t="s">
        <v>29</v>
      </c>
      <c r="BD1452" s="915" t="s">
        <v>29</v>
      </c>
      <c r="BE1452" s="915" t="s">
        <v>29</v>
      </c>
      <c r="BF1452" s="915" t="s">
        <v>29</v>
      </c>
      <c r="BG1452" s="915" t="s">
        <v>29</v>
      </c>
      <c r="BH1452" s="1175" t="s">
        <v>8859</v>
      </c>
      <c r="BI1452" s="929" t="s">
        <v>745</v>
      </c>
      <c r="BJ1452" s="929" t="s">
        <v>116</v>
      </c>
      <c r="BK1452" s="929" t="s">
        <v>745</v>
      </c>
      <c r="BL1452" s="916" t="s">
        <v>116</v>
      </c>
      <c r="BM1452" s="916" t="s">
        <v>745</v>
      </c>
      <c r="BN1452" s="929" t="s">
        <v>745</v>
      </c>
      <c r="BO1452" s="916" t="s">
        <v>745</v>
      </c>
      <c r="BP1452" s="929" t="s">
        <v>745</v>
      </c>
      <c r="BQ1452" s="929" t="s">
        <v>745</v>
      </c>
      <c r="BR1452" s="929" t="s">
        <v>745</v>
      </c>
      <c r="BS1452" s="916" t="s">
        <v>745</v>
      </c>
      <c r="BT1452" s="929" t="s">
        <v>745</v>
      </c>
      <c r="BU1452" s="916" t="s">
        <v>116</v>
      </c>
      <c r="BV1452" s="929" t="s">
        <v>745</v>
      </c>
      <c r="BW1452" s="916" t="s">
        <v>745</v>
      </c>
      <c r="BX1452" s="929" t="s">
        <v>745</v>
      </c>
      <c r="BY1452" s="916" t="s">
        <v>745</v>
      </c>
      <c r="BZ1452" s="916" t="s">
        <v>745</v>
      </c>
      <c r="CA1452" s="1660" t="s">
        <v>8424</v>
      </c>
      <c r="CB1452" s="547">
        <v>1450</v>
      </c>
      <c r="CC1452" s="1481" t="b">
        <v>0</v>
      </c>
      <c r="CD1452" s="879" t="str">
        <f>Table15[[#This Row],[Engineering Number]]&amp;Table15[[#This Row],[WO Number]]&amp;Table15[[#This Row],[Date Assigned to Designer]]&amp;Table15[[#This Row],[Date Completed]]</f>
        <v>440107010151994572745811</v>
      </c>
    </row>
    <row r="1453" spans="1:82" ht="15" customHeight="1" x14ac:dyDescent="0.25">
      <c r="A1453">
        <v>2025</v>
      </c>
      <c r="B1453" s="878" t="s">
        <v>6798</v>
      </c>
      <c r="C1453" s="878" t="s">
        <v>8860</v>
      </c>
      <c r="D1453" s="878" t="s">
        <v>8861</v>
      </c>
      <c r="E1453" s="878" t="s">
        <v>8862</v>
      </c>
      <c r="F1453" s="878" t="s">
        <v>6643</v>
      </c>
      <c r="G1453" s="878" t="s">
        <v>8863</v>
      </c>
      <c r="H1453" s="931" t="s">
        <v>59</v>
      </c>
      <c r="I1453" s="883">
        <v>45727</v>
      </c>
      <c r="J1453" s="881">
        <v>45817</v>
      </c>
      <c r="K1453" s="945">
        <v>45811</v>
      </c>
      <c r="L1453" s="919">
        <f>IF(ISTEXT(Table15[[#This Row],[Engineering Approved Design Date]]),Table15[[#This Row],[Date Completed]]-Table15[[#This Row],[Date Assigned to Designer]],Table15[[#This Row],[Engineering Approved Design Date]]-Table15[[#This Row],[Date Completed]])</f>
        <v>6</v>
      </c>
      <c r="M1453" s="883"/>
      <c r="N1453" s="883" t="s">
        <v>739</v>
      </c>
      <c r="O1453" s="886">
        <v>45839</v>
      </c>
      <c r="P1453" s="1153" t="s">
        <v>739</v>
      </c>
      <c r="Q1453" s="1150">
        <f>SUM(Table15[[#This Row],[Shactee Effort]:[KH Hourly Effort]])</f>
        <v>7687.86</v>
      </c>
      <c r="R1453" s="933" t="s">
        <v>1922</v>
      </c>
      <c r="S1453" s="888">
        <v>1660.36</v>
      </c>
      <c r="T1453" s="888">
        <v>0</v>
      </c>
      <c r="U1453" s="934">
        <v>6027.5</v>
      </c>
      <c r="V1453" s="890">
        <v>0</v>
      </c>
      <c r="W1453" s="1021">
        <v>1</v>
      </c>
      <c r="X1453" s="888">
        <v>25000</v>
      </c>
      <c r="Y1453" s="888"/>
      <c r="Z1453" s="892">
        <v>0</v>
      </c>
      <c r="AA1453" s="888">
        <f>SUM(Table15[[#This Row],[PCTS Investment Amount]:[PCTS Retirement Amount]])</f>
        <v>25000</v>
      </c>
      <c r="AB1453" s="893" t="s">
        <v>29</v>
      </c>
      <c r="AC1453" s="894" t="s">
        <v>1177</v>
      </c>
      <c r="AD1453" s="1161" t="s">
        <v>29</v>
      </c>
      <c r="AE1453" s="895" t="s">
        <v>29</v>
      </c>
      <c r="AF1453" s="895" t="s">
        <v>29</v>
      </c>
      <c r="AG1453" s="895" t="s">
        <v>29</v>
      </c>
      <c r="AH1453" s="940" t="s">
        <v>29</v>
      </c>
      <c r="AI1453" s="898"/>
      <c r="AJ1453" s="899"/>
      <c r="AK1453" s="899"/>
      <c r="AL1453" s="923"/>
      <c r="AM1453" s="542" t="s">
        <v>709</v>
      </c>
      <c r="AN1453" s="924"/>
      <c r="AO1453" s="925"/>
      <c r="AP1453" s="926"/>
      <c r="AQ1453" s="926"/>
      <c r="AR1453" s="926"/>
      <c r="AS1453" s="926"/>
      <c r="AT1453" s="926"/>
      <c r="AU1453" s="926"/>
      <c r="AV1453" s="926"/>
      <c r="AW1453" s="927"/>
      <c r="AX1453" s="926"/>
      <c r="AY1453" s="1538" t="s">
        <v>29</v>
      </c>
      <c r="AZ1453" s="1530"/>
      <c r="BA1453" s="910" t="s">
        <v>8608</v>
      </c>
      <c r="BB1453" s="928" t="s">
        <v>8864</v>
      </c>
      <c r="BC1453" s="915" t="s">
        <v>29</v>
      </c>
      <c r="BD1453" s="915" t="s">
        <v>29</v>
      </c>
      <c r="BE1453" s="915" t="s">
        <v>29</v>
      </c>
      <c r="BF1453" s="915" t="s">
        <v>29</v>
      </c>
      <c r="BG1453" s="915" t="s">
        <v>29</v>
      </c>
      <c r="BH1453" s="1175" t="s">
        <v>8865</v>
      </c>
      <c r="BI1453" s="929" t="s">
        <v>745</v>
      </c>
      <c r="BJ1453" s="929" t="s">
        <v>116</v>
      </c>
      <c r="BK1453" s="929" t="s">
        <v>745</v>
      </c>
      <c r="BL1453" s="916" t="s">
        <v>116</v>
      </c>
      <c r="BM1453" s="916" t="s">
        <v>745</v>
      </c>
      <c r="BN1453" s="929" t="s">
        <v>745</v>
      </c>
      <c r="BO1453" s="916" t="s">
        <v>745</v>
      </c>
      <c r="BP1453" s="929" t="s">
        <v>745</v>
      </c>
      <c r="BQ1453" s="929" t="s">
        <v>745</v>
      </c>
      <c r="BR1453" s="929" t="s">
        <v>745</v>
      </c>
      <c r="BS1453" s="916" t="s">
        <v>745</v>
      </c>
      <c r="BT1453" s="929" t="s">
        <v>745</v>
      </c>
      <c r="BU1453" s="916" t="s">
        <v>116</v>
      </c>
      <c r="BV1453" s="929" t="s">
        <v>745</v>
      </c>
      <c r="BW1453" s="916" t="s">
        <v>745</v>
      </c>
      <c r="BX1453" s="929" t="s">
        <v>745</v>
      </c>
      <c r="BY1453" s="916" t="s">
        <v>745</v>
      </c>
      <c r="BZ1453" s="916" t="s">
        <v>745</v>
      </c>
      <c r="CA1453" s="1660" t="s">
        <v>8424</v>
      </c>
      <c r="CB1453" s="547">
        <v>1451</v>
      </c>
      <c r="CC1453" s="1481" t="b">
        <v>0</v>
      </c>
      <c r="CD1453" s="879" t="str">
        <f>Table15[[#This Row],[Engineering Number]]&amp;Table15[[#This Row],[WO Number]]&amp;Table15[[#This Row],[Date Assigned to Designer]]&amp;Table15[[#This Row],[Date Completed]]</f>
        <v>440108310152024572745811</v>
      </c>
    </row>
    <row r="1454" spans="1:82" customFormat="1" ht="15" customHeight="1" x14ac:dyDescent="0.25">
      <c r="A1454">
        <v>2025</v>
      </c>
      <c r="B1454" s="8" t="s">
        <v>771</v>
      </c>
      <c r="C1454" s="8" t="s">
        <v>8103</v>
      </c>
      <c r="D1454" s="8" t="s">
        <v>8866</v>
      </c>
      <c r="E1454" s="8" t="s">
        <v>8752</v>
      </c>
      <c r="F1454" s="8" t="s">
        <v>6874</v>
      </c>
      <c r="G1454" s="8" t="s">
        <v>7152</v>
      </c>
      <c r="H1454" s="8" t="s">
        <v>59</v>
      </c>
      <c r="I1454" s="642">
        <v>45684</v>
      </c>
      <c r="J1454" s="18">
        <v>45817</v>
      </c>
      <c r="K1454" s="97">
        <v>45812</v>
      </c>
      <c r="L1454" s="919">
        <f>IF(ISTEXT(Table15[[#This Row],[Engineering Approved Design Date]]),Table15[[#This Row],[Date Completed]]-Table15[[#This Row],[Date Assigned to Designer]],Table15[[#This Row],[Engineering Approved Design Date]]-Table15[[#This Row],[Date Completed]])</f>
        <v>5</v>
      </c>
      <c r="M1454" s="642"/>
      <c r="N1454" s="99" t="s">
        <v>739</v>
      </c>
      <c r="O1454" s="1060">
        <v>45839</v>
      </c>
      <c r="P1454" s="1152" t="s">
        <v>120</v>
      </c>
      <c r="Q1454" s="1150">
        <f>Table15[[#This Row],[Rate]]*Table15[[#This Row],[Construction Cost to Bill From]]</f>
        <v>118564.4256</v>
      </c>
      <c r="R1454" s="1026">
        <v>0.04</v>
      </c>
      <c r="S1454" s="888" t="s">
        <v>29</v>
      </c>
      <c r="T1454" s="888" t="s">
        <v>29</v>
      </c>
      <c r="U1454" s="889" t="s">
        <v>29</v>
      </c>
      <c r="V1454" s="858">
        <v>11871</v>
      </c>
      <c r="W1454" s="437">
        <v>0</v>
      </c>
      <c r="X1454" s="538">
        <v>2829652.92</v>
      </c>
      <c r="Y1454" s="551"/>
      <c r="Z1454" s="552">
        <v>134457.72</v>
      </c>
      <c r="AA1454" s="552">
        <f>SUM(Table15[[#This Row],[PCTS Investment Amount]:[PCTS Retirement Amount]])</f>
        <v>2964110.64</v>
      </c>
      <c r="AB1454" s="341">
        <v>45833</v>
      </c>
      <c r="AC1454" s="569" t="s">
        <v>116</v>
      </c>
      <c r="AD1454" s="1149" t="s">
        <v>116</v>
      </c>
      <c r="AE1454" s="568" t="s">
        <v>116</v>
      </c>
      <c r="AF1454" s="568" t="s">
        <v>116</v>
      </c>
      <c r="AG1454" s="568" t="s">
        <v>376</v>
      </c>
      <c r="AH1454" s="183" t="s">
        <v>376</v>
      </c>
      <c r="AI1454" s="898">
        <v>42350</v>
      </c>
      <c r="AJ1454" s="899" t="s">
        <v>29</v>
      </c>
      <c r="AK1454" s="899">
        <v>24100</v>
      </c>
      <c r="AL1454" s="923">
        <f>SUM(Table15[[#This Row],[Nicor Initiated DBE]:[Staffing]])/(Table15[[#This Row],[Amount Invoiced]])</f>
        <v>0.56045478788200698</v>
      </c>
      <c r="AM1454" s="536" t="s">
        <v>116</v>
      </c>
      <c r="AN1454" s="903"/>
      <c r="AO1454" s="1536"/>
      <c r="AP1454" s="1537"/>
      <c r="AQ1454" s="1537"/>
      <c r="AR1454" s="1537"/>
      <c r="AS1454" s="888">
        <f>IF(Table15[[#This Row],[PCTS Approved]]="N",0,Table15[[#This Row],[Investment Amount (1'#'#'#'#'#)]]+Table15[[#This Row],[Retirement Amount (3'#'#'#'#'#)]])</f>
        <v>0</v>
      </c>
      <c r="AT1454" s="888">
        <f>IF(Table15[[#This Row],[Approved Construction Cost]]=0,0,Table15[[#This Row],[Approved Construction Cost]]-Table15[[#This Row],[Construction Cost to Bill From]])</f>
        <v>0</v>
      </c>
      <c r="AU1454" s="888">
        <f>IFERROR(Table15[[#This Row],[Difference in Construction Cost]]*Table15[[#This Row],[Rate]],Table15[[#This Row],[Difference in Construction Cost]]*0.085)</f>
        <v>0</v>
      </c>
      <c r="AV1454" s="905"/>
      <c r="AW1454" s="1509"/>
      <c r="AX1454" s="888"/>
      <c r="AY1454" s="636" t="s">
        <v>709</v>
      </c>
      <c r="AZ1454" s="333"/>
      <c r="BA1454" s="1031" t="s">
        <v>8867</v>
      </c>
      <c r="BB1454" s="644" t="s">
        <v>8868</v>
      </c>
      <c r="BC1454" s="559" t="s">
        <v>116</v>
      </c>
      <c r="BD1454" s="559" t="s">
        <v>709</v>
      </c>
      <c r="BE1454" s="554" t="s">
        <v>8104</v>
      </c>
      <c r="BF1454" s="588" t="s">
        <v>709</v>
      </c>
      <c r="BG1454" s="588" t="s">
        <v>5619</v>
      </c>
      <c r="BH1454" s="615" t="s">
        <v>8869</v>
      </c>
      <c r="BI1454" s="1657" t="s">
        <v>709</v>
      </c>
      <c r="BJ1454" s="929" t="s">
        <v>709</v>
      </c>
      <c r="BK1454" s="916" t="s">
        <v>709</v>
      </c>
      <c r="BL1454" s="916" t="s">
        <v>116</v>
      </c>
      <c r="BM1454" s="916" t="s">
        <v>709</v>
      </c>
      <c r="BN1454" s="916" t="s">
        <v>709</v>
      </c>
      <c r="BO1454" s="916" t="s">
        <v>709</v>
      </c>
      <c r="BP1454" s="916">
        <v>2225</v>
      </c>
      <c r="BQ1454" s="916" t="s">
        <v>709</v>
      </c>
      <c r="BR1454" s="549">
        <v>1139</v>
      </c>
      <c r="BS1454" s="549">
        <v>8507</v>
      </c>
      <c r="BT1454" s="916" t="s">
        <v>709</v>
      </c>
      <c r="BU1454" s="916" t="s">
        <v>709</v>
      </c>
      <c r="BV1454" s="916" t="s">
        <v>709</v>
      </c>
      <c r="BW1454" s="916" t="s">
        <v>709</v>
      </c>
      <c r="BX1454" s="916" t="s">
        <v>709</v>
      </c>
      <c r="BY1454" s="916" t="s">
        <v>709</v>
      </c>
      <c r="BZ1454" s="916" t="s">
        <v>709</v>
      </c>
      <c r="CA1454" s="483"/>
      <c r="CB1454" s="547">
        <v>1452</v>
      </c>
      <c r="CC1454" s="1481" t="b">
        <v>0</v>
      </c>
      <c r="CD1454" s="879" t="str">
        <f>Table15[[#This Row],[Engineering Number]]&amp;Table15[[#This Row],[WO Number]]&amp;Table15[[#This Row],[Date Assigned to Designer]]&amp;Table15[[#This Row],[Date Completed]]</f>
        <v>MR2BID9834-112149254568445812</v>
      </c>
    </row>
    <row r="1455" spans="1:82" ht="15" customHeight="1" x14ac:dyDescent="0.25">
      <c r="A1455">
        <v>2025</v>
      </c>
      <c r="B1455" s="878" t="s">
        <v>4</v>
      </c>
      <c r="C1455" s="878" t="s">
        <v>8870</v>
      </c>
      <c r="D1455" s="8" t="s">
        <v>115</v>
      </c>
      <c r="E1455" s="878" t="s">
        <v>245</v>
      </c>
      <c r="F1455" s="878" t="s">
        <v>784</v>
      </c>
      <c r="G1455" s="878" t="s">
        <v>27</v>
      </c>
      <c r="H1455" s="878" t="s">
        <v>1681</v>
      </c>
      <c r="I1455" s="882">
        <v>45775</v>
      </c>
      <c r="J1455" s="882">
        <v>45817</v>
      </c>
      <c r="K1455" s="945">
        <v>45813</v>
      </c>
      <c r="L1455" s="919">
        <f>IF(ISTEXT(Table15[[#This Row],[Engineering Approved Design Date]]),Table15[[#This Row],[Date Completed]]-Table15[[#This Row],[Date Assigned to Designer]],Table15[[#This Row],[Engineering Approved Design Date]]-Table15[[#This Row],[Date Completed]])</f>
        <v>4</v>
      </c>
      <c r="M1455" s="879" t="s">
        <v>8871</v>
      </c>
      <c r="N1455" s="100" t="s">
        <v>120</v>
      </c>
      <c r="O1455" s="886">
        <v>45809</v>
      </c>
      <c r="P1455" s="1153" t="s">
        <v>739</v>
      </c>
      <c r="Q1455" s="1150" t="s">
        <v>115</v>
      </c>
      <c r="R1455" s="887" t="s">
        <v>115</v>
      </c>
      <c r="S1455" s="888" t="s">
        <v>29</v>
      </c>
      <c r="T1455" s="888" t="s">
        <v>29</v>
      </c>
      <c r="U1455" s="889" t="s">
        <v>29</v>
      </c>
      <c r="V1455" s="890" t="s">
        <v>29</v>
      </c>
      <c r="W1455" s="1188" t="s">
        <v>29</v>
      </c>
      <c r="X1455" s="888" t="s">
        <v>29</v>
      </c>
      <c r="Y1455" s="1487"/>
      <c r="Z1455" s="888" t="s">
        <v>29</v>
      </c>
      <c r="AA1455" s="892" t="s">
        <v>29</v>
      </c>
      <c r="AB1455" s="893" t="s">
        <v>29</v>
      </c>
      <c r="AC1455" s="894" t="s">
        <v>116</v>
      </c>
      <c r="AD1455" s="1161" t="s">
        <v>29</v>
      </c>
      <c r="AE1455" s="896" t="s">
        <v>756</v>
      </c>
      <c r="AF1455" s="896" t="s">
        <v>29</v>
      </c>
      <c r="AG1455" s="896" t="s">
        <v>29</v>
      </c>
      <c r="AH1455" s="897">
        <v>45825</v>
      </c>
      <c r="AI1455" s="921" t="s">
        <v>29</v>
      </c>
      <c r="AJ1455" s="922" t="s">
        <v>29</v>
      </c>
      <c r="AK1455" s="922" t="s">
        <v>29</v>
      </c>
      <c r="AL1455" s="923" t="s">
        <v>29</v>
      </c>
      <c r="AM1455" s="542" t="s">
        <v>709</v>
      </c>
      <c r="AN1455" s="924"/>
      <c r="AO1455" s="925"/>
      <c r="AP1455" s="926"/>
      <c r="AQ1455" s="926"/>
      <c r="AR1455" s="926"/>
      <c r="AS1455" s="926"/>
      <c r="AT1455" s="926"/>
      <c r="AU1455" s="926"/>
      <c r="AV1455" s="926"/>
      <c r="AW1455" s="927"/>
      <c r="AX1455" s="926"/>
      <c r="AY1455" s="1538" t="s">
        <v>29</v>
      </c>
      <c r="AZ1455" s="1530"/>
      <c r="BA1455" s="910" t="s">
        <v>8872</v>
      </c>
      <c r="BB1455" s="928" t="s">
        <v>1027</v>
      </c>
      <c r="BC1455" s="912" t="s">
        <v>709</v>
      </c>
      <c r="BD1455" s="913" t="s">
        <v>709</v>
      </c>
      <c r="BE1455" s="914" t="s">
        <v>709</v>
      </c>
      <c r="BF1455" s="914" t="s">
        <v>709</v>
      </c>
      <c r="BG1455" s="943" t="s">
        <v>709</v>
      </c>
      <c r="BH1455" s="1023" t="s">
        <v>8873</v>
      </c>
      <c r="BI1455" s="980"/>
      <c r="BJ1455" s="980"/>
      <c r="BK1455" s="980"/>
      <c r="BL1455" s="980"/>
      <c r="BM1455" s="980"/>
      <c r="BN1455" s="981"/>
      <c r="BO1455" s="980"/>
      <c r="BP1455" s="982"/>
      <c r="BQ1455" s="981"/>
      <c r="BR1455" s="981"/>
      <c r="BS1455" s="981"/>
      <c r="BT1455" s="981"/>
      <c r="BU1455" s="981"/>
      <c r="BV1455" s="981"/>
      <c r="BW1455" s="981"/>
      <c r="BX1455" s="980"/>
      <c r="BY1455" s="983"/>
      <c r="BZ1455" s="983"/>
      <c r="CA1455" s="485" t="s">
        <v>915</v>
      </c>
      <c r="CB1455" s="547">
        <v>1454</v>
      </c>
      <c r="CC1455" s="1481" t="b">
        <v>0</v>
      </c>
      <c r="CD1455" s="879" t="str">
        <f>Table15[[#This Row],[Engineering Number]]&amp;Table15[[#This Row],[WO Number]]&amp;Table15[[#This Row],[Date Assigned to Designer]]&amp;Table15[[#This Row],[Date Completed]]</f>
        <v>N19534-4577545813</v>
      </c>
    </row>
    <row r="1456" spans="1:82" ht="15" customHeight="1" x14ac:dyDescent="0.25">
      <c r="A1456">
        <v>2025</v>
      </c>
      <c r="B1456" s="878" t="s">
        <v>4</v>
      </c>
      <c r="C1456" s="878" t="s">
        <v>8169</v>
      </c>
      <c r="D1456" s="878" t="s">
        <v>8176</v>
      </c>
      <c r="E1456" s="878" t="s">
        <v>1200</v>
      </c>
      <c r="F1456" s="878" t="s">
        <v>784</v>
      </c>
      <c r="G1456" s="878" t="s">
        <v>6377</v>
      </c>
      <c r="H1456" s="878" t="s">
        <v>3852</v>
      </c>
      <c r="I1456" s="883">
        <v>45796</v>
      </c>
      <c r="J1456" s="918" t="s">
        <v>2052</v>
      </c>
      <c r="K1456" s="883">
        <v>45813</v>
      </c>
      <c r="L1456" s="884">
        <f>IF(ISTEXT(Table15[[#This Row],[Engineering Approved Design Date]]),Table15[[#This Row],[Date Completed]]-Table15[[#This Row],[Date Assigned to Designer]],Table15[[#This Row],[Engineering Approved Design Date]]-Table15[[#This Row],[Date Completed]])</f>
        <v>17</v>
      </c>
      <c r="M1456" s="883" t="s">
        <v>8874</v>
      </c>
      <c r="N1456" s="885" t="s">
        <v>120</v>
      </c>
      <c r="O1456" s="1620">
        <v>45839</v>
      </c>
      <c r="P1456" s="1622" t="s">
        <v>739</v>
      </c>
      <c r="Q1456" s="1287">
        <f>SUM(Table15[[#This Row],[Shactee Effort]:[KH Hourly Effort]])</f>
        <v>11727.5</v>
      </c>
      <c r="R1456" s="1626" t="s">
        <v>1922</v>
      </c>
      <c r="S1456" s="888">
        <v>0</v>
      </c>
      <c r="T1456" s="888">
        <v>0</v>
      </c>
      <c r="U1456" s="888">
        <v>11727.5</v>
      </c>
      <c r="V1456" s="890" t="s">
        <v>29</v>
      </c>
      <c r="W1456" s="890" t="s">
        <v>29</v>
      </c>
      <c r="X1456" s="888" t="s">
        <v>29</v>
      </c>
      <c r="Y1456" s="935"/>
      <c r="Z1456" s="888" t="s">
        <v>29</v>
      </c>
      <c r="AA1456" s="888" t="s">
        <v>29</v>
      </c>
      <c r="AB1456" s="902" t="s">
        <v>29</v>
      </c>
      <c r="AC1456" s="896" t="s">
        <v>29</v>
      </c>
      <c r="AD1456" s="894" t="s">
        <v>29</v>
      </c>
      <c r="AE1456" s="895" t="s">
        <v>756</v>
      </c>
      <c r="AF1456" s="895" t="s">
        <v>756</v>
      </c>
      <c r="AG1456" s="895" t="s">
        <v>116</v>
      </c>
      <c r="AH1456" s="940">
        <v>45806</v>
      </c>
      <c r="AI1456" s="1543" t="s">
        <v>29</v>
      </c>
      <c r="AJ1456" s="1543" t="s">
        <v>29</v>
      </c>
      <c r="AK1456" s="1543" t="s">
        <v>29</v>
      </c>
      <c r="AL1456" s="923" t="s">
        <v>29</v>
      </c>
      <c r="AM1456" s="542" t="s">
        <v>709</v>
      </c>
      <c r="AN1456" s="924"/>
      <c r="AO1456" s="925"/>
      <c r="AP1456" s="926"/>
      <c r="AQ1456" s="926"/>
      <c r="AR1456" s="926"/>
      <c r="AS1456" s="926"/>
      <c r="AT1456" s="926"/>
      <c r="AU1456" s="926"/>
      <c r="AV1456" s="926"/>
      <c r="AW1456" s="927"/>
      <c r="AX1456" s="926"/>
      <c r="AY1456" s="1538" t="s">
        <v>29</v>
      </c>
      <c r="AZ1456" s="1530"/>
      <c r="BA1456" s="954">
        <v>4</v>
      </c>
      <c r="BB1456" s="1647" t="s">
        <v>8875</v>
      </c>
      <c r="BC1456" s="912" t="s">
        <v>745</v>
      </c>
      <c r="BD1456" s="913" t="s">
        <v>709</v>
      </c>
      <c r="BE1456" s="914" t="s">
        <v>1203</v>
      </c>
      <c r="BF1456" s="914" t="s">
        <v>709</v>
      </c>
      <c r="BG1456" s="915" t="s">
        <v>709</v>
      </c>
      <c r="BH1456" s="914" t="s">
        <v>8876</v>
      </c>
      <c r="BI1456" s="929" t="s">
        <v>745</v>
      </c>
      <c r="BJ1456" s="929" t="s">
        <v>745</v>
      </c>
      <c r="BK1456" s="916" t="s">
        <v>745</v>
      </c>
      <c r="BL1456" s="916" t="s">
        <v>116</v>
      </c>
      <c r="BM1456" s="916" t="s">
        <v>745</v>
      </c>
      <c r="BN1456" s="916" t="s">
        <v>745</v>
      </c>
      <c r="BO1456" s="916" t="s">
        <v>745</v>
      </c>
      <c r="BP1456" s="916" t="s">
        <v>745</v>
      </c>
      <c r="BQ1456" s="916" t="s">
        <v>745</v>
      </c>
      <c r="BR1456" s="916">
        <v>3193</v>
      </c>
      <c r="BS1456" s="916">
        <v>1180</v>
      </c>
      <c r="BT1456" s="916" t="s">
        <v>745</v>
      </c>
      <c r="BU1456" s="916" t="s">
        <v>745</v>
      </c>
      <c r="BV1456" s="916" t="s">
        <v>745</v>
      </c>
      <c r="BW1456" s="916" t="s">
        <v>745</v>
      </c>
      <c r="BX1456" s="916" t="s">
        <v>745</v>
      </c>
      <c r="BY1456" s="916" t="s">
        <v>745</v>
      </c>
      <c r="BZ1456" s="916" t="s">
        <v>709</v>
      </c>
      <c r="CA1456" s="1660" t="s">
        <v>8877</v>
      </c>
      <c r="CB1456" s="547">
        <v>1455</v>
      </c>
      <c r="CC1456" s="1481" t="b">
        <v>0</v>
      </c>
      <c r="CD1456" s="879" t="str">
        <f>Table15[[#This Row],[Engineering Number]]&amp;Table15[[#This Row],[WO Number]]&amp;Table15[[#This Row],[Date Assigned to Designer]]&amp;Table15[[#This Row],[Date Completed]]</f>
        <v>M1617712147414579645813</v>
      </c>
    </row>
    <row r="1457" spans="1:82" ht="15" customHeight="1" x14ac:dyDescent="0.25">
      <c r="A1457">
        <v>2025</v>
      </c>
      <c r="B1457" s="879" t="s">
        <v>730</v>
      </c>
      <c r="C1457" s="879" t="s">
        <v>8408</v>
      </c>
      <c r="D1457" s="939">
        <v>1014367</v>
      </c>
      <c r="E1457" s="965" t="s">
        <v>2375</v>
      </c>
      <c r="F1457" s="879" t="s">
        <v>6643</v>
      </c>
      <c r="G1457" s="879" t="s">
        <v>4770</v>
      </c>
      <c r="H1457" s="878" t="s">
        <v>4189</v>
      </c>
      <c r="I1457" s="883">
        <v>45796</v>
      </c>
      <c r="J1457" s="918" t="s">
        <v>2052</v>
      </c>
      <c r="K1457" s="945">
        <v>45813</v>
      </c>
      <c r="L1457" s="884">
        <f>IF(ISTEXT(Table15[[#This Row],[Engineering Approved Design Date]]),Table15[[#This Row],[Date Completed]]-Table15[[#This Row],[Date Assigned to Designer]],Table15[[#This Row],[Engineering Approved Design Date]]-Table15[[#This Row],[Date Completed]])</f>
        <v>17</v>
      </c>
      <c r="M1457" s="965" t="s">
        <v>8878</v>
      </c>
      <c r="N1457" s="942" t="s">
        <v>739</v>
      </c>
      <c r="O1457" s="886">
        <v>45839</v>
      </c>
      <c r="P1457" s="1153" t="s">
        <v>120</v>
      </c>
      <c r="Q1457" s="1150">
        <f>SUM(Table15[[#This Row],[Shactee Effort]:[KH Hourly Effort]])</f>
        <v>4097.5</v>
      </c>
      <c r="R1457" s="1150" t="s">
        <v>1922</v>
      </c>
      <c r="S1457" s="888">
        <v>0</v>
      </c>
      <c r="T1457" s="888">
        <v>0</v>
      </c>
      <c r="U1457" s="889">
        <v>4097.5</v>
      </c>
      <c r="V1457" s="890" t="s">
        <v>29</v>
      </c>
      <c r="W1457" s="1021" t="s">
        <v>29</v>
      </c>
      <c r="X1457" s="888" t="s">
        <v>29</v>
      </c>
      <c r="Y1457" s="888"/>
      <c r="Z1457" s="888" t="s">
        <v>29</v>
      </c>
      <c r="AA1457" s="888" t="s">
        <v>29</v>
      </c>
      <c r="AB1457" s="893" t="s">
        <v>29</v>
      </c>
      <c r="AC1457" s="896" t="s">
        <v>29</v>
      </c>
      <c r="AD1457" s="1155" t="s">
        <v>29</v>
      </c>
      <c r="AE1457" s="894" t="s">
        <v>756</v>
      </c>
      <c r="AF1457" s="895" t="s">
        <v>756</v>
      </c>
      <c r="AG1457" s="896" t="s">
        <v>116</v>
      </c>
      <c r="AH1457" s="985">
        <v>45825</v>
      </c>
      <c r="AI1457" s="921" t="s">
        <v>29</v>
      </c>
      <c r="AJ1457" s="922" t="s">
        <v>29</v>
      </c>
      <c r="AK1457" s="922" t="s">
        <v>29</v>
      </c>
      <c r="AL1457" s="923" t="s">
        <v>29</v>
      </c>
      <c r="AM1457" s="542" t="s">
        <v>709</v>
      </c>
      <c r="AN1457" s="924"/>
      <c r="AO1457" s="925"/>
      <c r="AP1457" s="926"/>
      <c r="AQ1457" s="926"/>
      <c r="AR1457" s="926"/>
      <c r="AS1457" s="926"/>
      <c r="AT1457" s="926"/>
      <c r="AU1457" s="926"/>
      <c r="AV1457" s="926"/>
      <c r="AW1457" s="927"/>
      <c r="AX1457" s="926"/>
      <c r="AY1457" s="1538" t="s">
        <v>29</v>
      </c>
      <c r="AZ1457" s="1530"/>
      <c r="BA1457" s="966">
        <v>2</v>
      </c>
      <c r="BB1457" s="990" t="s">
        <v>8878</v>
      </c>
      <c r="BC1457" s="915" t="s">
        <v>116</v>
      </c>
      <c r="BD1457" s="915" t="s">
        <v>29</v>
      </c>
      <c r="BE1457" s="952" t="s">
        <v>709</v>
      </c>
      <c r="BF1457" s="544" t="s">
        <v>8879</v>
      </c>
      <c r="BG1457" s="915" t="s">
        <v>709</v>
      </c>
      <c r="BH1457" s="1023" t="s">
        <v>8880</v>
      </c>
      <c r="BI1457" s="916" t="s">
        <v>745</v>
      </c>
      <c r="BJ1457" s="944" t="s">
        <v>745</v>
      </c>
      <c r="BK1457" s="944" t="s">
        <v>116</v>
      </c>
      <c r="BL1457" s="944" t="s">
        <v>116</v>
      </c>
      <c r="BM1457" s="944" t="s">
        <v>745</v>
      </c>
      <c r="BN1457" s="944" t="s">
        <v>745</v>
      </c>
      <c r="BO1457" s="944" t="s">
        <v>745</v>
      </c>
      <c r="BP1457" s="944" t="s">
        <v>745</v>
      </c>
      <c r="BQ1457" s="944" t="s">
        <v>745</v>
      </c>
      <c r="BR1457" s="944">
        <v>12</v>
      </c>
      <c r="BS1457" s="944">
        <v>94</v>
      </c>
      <c r="BT1457" s="944" t="s">
        <v>745</v>
      </c>
      <c r="BU1457" s="944">
        <v>1</v>
      </c>
      <c r="BV1457" s="944" t="s">
        <v>745</v>
      </c>
      <c r="BW1457" s="944" t="s">
        <v>745</v>
      </c>
      <c r="BX1457" s="944">
        <v>1</v>
      </c>
      <c r="BY1457" s="944" t="s">
        <v>745</v>
      </c>
      <c r="BZ1457" s="916" t="s">
        <v>745</v>
      </c>
      <c r="CA1457" s="917" t="s">
        <v>8424</v>
      </c>
      <c r="CB1457" s="547">
        <v>1456</v>
      </c>
      <c r="CC1457" s="1481" t="b">
        <v>0</v>
      </c>
      <c r="CD1457" t="str">
        <f>Table15[[#This Row],[Engineering Number]]&amp;Table15[[#This Row],[WO Number]]&amp;Table15[[#This Row],[Date Assigned to Designer]]&amp;Table15[[#This Row],[Date Completed]]</f>
        <v>RS127110143674579645813</v>
      </c>
    </row>
    <row r="1458" spans="1:82" ht="15" customHeight="1" x14ac:dyDescent="0.25">
      <c r="A1458">
        <v>2024</v>
      </c>
      <c r="B1458" s="8" t="s">
        <v>771</v>
      </c>
      <c r="C1458" s="8" t="s">
        <v>1642</v>
      </c>
      <c r="D1458" s="8">
        <v>1212413</v>
      </c>
      <c r="E1458" s="8" t="s">
        <v>1644</v>
      </c>
      <c r="F1458" s="8" t="s">
        <v>6874</v>
      </c>
      <c r="G1458" s="8" t="s">
        <v>32</v>
      </c>
      <c r="H1458" s="8" t="s">
        <v>4110</v>
      </c>
      <c r="I1458" s="642">
        <v>45728</v>
      </c>
      <c r="J1458" s="175" t="s">
        <v>4110</v>
      </c>
      <c r="K1458" s="97">
        <v>45813</v>
      </c>
      <c r="L1458" s="884">
        <f>IF(ISTEXT(Table15[[#This Row],[Engineering Approved Design Date]]),Table15[[#This Row],[Date Completed]]-Table15[[#This Row],[Date Assigned to Designer]],Table15[[#This Row],[Engineering Approved Design Date]]-Table15[[#This Row],[Date Completed]])</f>
        <v>85</v>
      </c>
      <c r="M1458" s="16" t="s">
        <v>8881</v>
      </c>
      <c r="N1458" s="99" t="s">
        <v>120</v>
      </c>
      <c r="O1458" s="1060">
        <v>45809</v>
      </c>
      <c r="P1458" s="1152" t="s">
        <v>120</v>
      </c>
      <c r="Q1458" s="1303">
        <f>Table15[[#This Row],[Shactee Effort]]+Table15[[#This Row],[3rd Party Effort]]+Table15[[#This Row],[KH Hourly Effort]]</f>
        <v>14339.43</v>
      </c>
      <c r="R1458" s="920" t="s">
        <v>1922</v>
      </c>
      <c r="S1458" s="538">
        <v>1621.93</v>
      </c>
      <c r="T1458" s="538">
        <v>0</v>
      </c>
      <c r="U1458" s="1078">
        <v>12717.5</v>
      </c>
      <c r="V1458" s="888" t="s">
        <v>29</v>
      </c>
      <c r="W1458" s="995" t="s">
        <v>29</v>
      </c>
      <c r="X1458" s="888" t="s">
        <v>29</v>
      </c>
      <c r="Y1458" s="888" t="s">
        <v>29</v>
      </c>
      <c r="Z1458" s="888" t="s">
        <v>29</v>
      </c>
      <c r="AA1458" s="888" t="s">
        <v>29</v>
      </c>
      <c r="AB1458" s="893" t="s">
        <v>29</v>
      </c>
      <c r="AC1458" s="896" t="s">
        <v>29</v>
      </c>
      <c r="AD1458" s="1155" t="s">
        <v>29</v>
      </c>
      <c r="AE1458" s="569" t="s">
        <v>709</v>
      </c>
      <c r="AF1458" s="569" t="s">
        <v>756</v>
      </c>
      <c r="AG1458" s="569" t="s">
        <v>29</v>
      </c>
      <c r="AH1458" s="536" t="s">
        <v>709</v>
      </c>
      <c r="AI1458" s="1028" t="s">
        <v>29</v>
      </c>
      <c r="AJ1458" s="1029" t="s">
        <v>29</v>
      </c>
      <c r="AK1458" s="1029" t="s">
        <v>29</v>
      </c>
      <c r="AL1458" s="923" t="s">
        <v>29</v>
      </c>
      <c r="AM1458" s="542" t="s">
        <v>709</v>
      </c>
      <c r="AN1458" s="924"/>
      <c r="AO1458" s="925"/>
      <c r="AP1458" s="926"/>
      <c r="AQ1458" s="926"/>
      <c r="AR1458" s="926"/>
      <c r="AS1458" s="926"/>
      <c r="AT1458" s="926"/>
      <c r="AU1458" s="926"/>
      <c r="AV1458" s="926"/>
      <c r="AW1458" s="927"/>
      <c r="AX1458" s="926"/>
      <c r="AY1458" s="1538" t="s">
        <v>29</v>
      </c>
      <c r="AZ1458" s="1530"/>
      <c r="BA1458" s="1031" t="s">
        <v>29</v>
      </c>
      <c r="BB1458" s="644" t="s">
        <v>29</v>
      </c>
      <c r="BC1458" s="544" t="s">
        <v>756</v>
      </c>
      <c r="BD1458" s="544" t="s">
        <v>709</v>
      </c>
      <c r="BE1458" s="544" t="s">
        <v>709</v>
      </c>
      <c r="BF1458" s="544" t="s">
        <v>709</v>
      </c>
      <c r="BG1458" s="544" t="s">
        <v>1078</v>
      </c>
      <c r="BH1458" s="478" t="s">
        <v>8882</v>
      </c>
      <c r="BI1458" s="535" t="s">
        <v>745</v>
      </c>
      <c r="BJ1458" s="547" t="s">
        <v>745</v>
      </c>
      <c r="BK1458" s="547" t="s">
        <v>745</v>
      </c>
      <c r="BL1458" s="547" t="s">
        <v>116</v>
      </c>
      <c r="BM1458" s="547">
        <v>0</v>
      </c>
      <c r="BN1458" s="547">
        <v>9552</v>
      </c>
      <c r="BO1458" s="547">
        <v>0</v>
      </c>
      <c r="BP1458" s="547">
        <v>10</v>
      </c>
      <c r="BQ1458" s="547">
        <v>388</v>
      </c>
      <c r="BR1458" s="547">
        <v>2764</v>
      </c>
      <c r="BS1458" s="547">
        <v>783</v>
      </c>
      <c r="BT1458" s="547">
        <v>0</v>
      </c>
      <c r="BU1458" s="547">
        <v>0</v>
      </c>
      <c r="BV1458" s="547">
        <v>0</v>
      </c>
      <c r="BW1458" s="547">
        <v>0</v>
      </c>
      <c r="BX1458" s="547">
        <v>0</v>
      </c>
      <c r="BY1458" s="547">
        <v>0</v>
      </c>
      <c r="BZ1458" s="547" t="s">
        <v>709</v>
      </c>
      <c r="CA1458" s="483" t="s">
        <v>8883</v>
      </c>
      <c r="CB1458" s="547">
        <v>1453</v>
      </c>
      <c r="CC1458" s="1481" t="b">
        <v>0</v>
      </c>
      <c r="CD1458" s="879" t="str">
        <f>Table15[[#This Row],[Engineering Number]]&amp;Table15[[#This Row],[WO Number]]&amp;Table15[[#This Row],[Date Assigned to Designer]]&amp;Table15[[#This Row],[Date Completed]]</f>
        <v>BS58812124134572845813</v>
      </c>
    </row>
    <row r="1459" spans="1:82" customFormat="1" ht="15" customHeight="1" x14ac:dyDescent="0.25">
      <c r="A1459">
        <v>2025</v>
      </c>
      <c r="B1459" s="878" t="s">
        <v>6798</v>
      </c>
      <c r="C1459" s="878" t="s">
        <v>8884</v>
      </c>
      <c r="D1459" s="878" t="s">
        <v>8885</v>
      </c>
      <c r="E1459" s="878" t="s">
        <v>4848</v>
      </c>
      <c r="F1459" s="878" t="s">
        <v>6643</v>
      </c>
      <c r="G1459" s="878" t="s">
        <v>8807</v>
      </c>
      <c r="H1459" s="931" t="s">
        <v>59</v>
      </c>
      <c r="I1459" s="883">
        <v>45727</v>
      </c>
      <c r="J1459" s="882">
        <v>45838</v>
      </c>
      <c r="K1459" s="932">
        <v>45820</v>
      </c>
      <c r="L1459" s="919">
        <f>IF(ISTEXT(Table15[[#This Row],[Engineering Approved Design Date]]),Table15[[#This Row],[Date Completed]]-Table15[[#This Row],[Date Assigned to Designer]],Table15[[#This Row],[Engineering Approved Design Date]]-Table15[[#This Row],[Date Completed]])</f>
        <v>18</v>
      </c>
      <c r="M1459" s="883"/>
      <c r="N1459" s="883" t="s">
        <v>739</v>
      </c>
      <c r="O1459" s="886">
        <v>45839</v>
      </c>
      <c r="P1459" s="1153" t="s">
        <v>739</v>
      </c>
      <c r="Q1459" s="1150">
        <f>SUM(Table15[[#This Row],[Shactee Effort]:[KH Hourly Effort]])</f>
        <v>7679.18</v>
      </c>
      <c r="R1459" s="933" t="s">
        <v>1922</v>
      </c>
      <c r="S1459" s="888">
        <v>1581.68</v>
      </c>
      <c r="T1459" s="888">
        <v>0</v>
      </c>
      <c r="U1459" s="934">
        <v>6097.5</v>
      </c>
      <c r="V1459" s="890">
        <v>0</v>
      </c>
      <c r="W1459" s="1021">
        <v>1</v>
      </c>
      <c r="X1459" s="888">
        <v>25000</v>
      </c>
      <c r="Y1459" s="888"/>
      <c r="Z1459" s="892">
        <v>0</v>
      </c>
      <c r="AA1459" s="888">
        <f>SUM(Table15[[#This Row],[PCTS Investment Amount]:[PCTS Retirement Amount]])</f>
        <v>25000</v>
      </c>
      <c r="AB1459" s="893" t="s">
        <v>29</v>
      </c>
      <c r="AC1459" s="894" t="s">
        <v>29</v>
      </c>
      <c r="AD1459" s="1161" t="s">
        <v>29</v>
      </c>
      <c r="AE1459" s="940" t="s">
        <v>756</v>
      </c>
      <c r="AF1459" s="940" t="s">
        <v>756</v>
      </c>
      <c r="AG1459" s="897" t="s">
        <v>29</v>
      </c>
      <c r="AH1459" s="940" t="s">
        <v>376</v>
      </c>
      <c r="AI1459" s="898"/>
      <c r="AJ1459" s="899"/>
      <c r="AK1459" s="899"/>
      <c r="AL1459" s="923"/>
      <c r="AM1459" s="542" t="s">
        <v>709</v>
      </c>
      <c r="AN1459" s="924"/>
      <c r="AO1459" s="925"/>
      <c r="AP1459" s="926"/>
      <c r="AQ1459" s="926"/>
      <c r="AR1459" s="926"/>
      <c r="AS1459" s="926"/>
      <c r="AT1459" s="926"/>
      <c r="AU1459" s="926"/>
      <c r="AV1459" s="926"/>
      <c r="AW1459" s="927"/>
      <c r="AX1459" s="926"/>
      <c r="AY1459" s="1538" t="s">
        <v>29</v>
      </c>
      <c r="AZ1459" s="1530"/>
      <c r="BA1459" s="910" t="s">
        <v>7003</v>
      </c>
      <c r="BB1459" s="928" t="s">
        <v>8886</v>
      </c>
      <c r="BC1459" s="915" t="s">
        <v>29</v>
      </c>
      <c r="BD1459" s="915" t="s">
        <v>29</v>
      </c>
      <c r="BE1459" s="915" t="s">
        <v>29</v>
      </c>
      <c r="BF1459" s="915" t="s">
        <v>29</v>
      </c>
      <c r="BG1459" s="915" t="s">
        <v>29</v>
      </c>
      <c r="BH1459" s="1175" t="s">
        <v>8887</v>
      </c>
      <c r="BI1459" s="929" t="s">
        <v>745</v>
      </c>
      <c r="BJ1459" s="929" t="s">
        <v>116</v>
      </c>
      <c r="BK1459" s="929" t="s">
        <v>745</v>
      </c>
      <c r="BL1459" s="916" t="s">
        <v>116</v>
      </c>
      <c r="BM1459" s="916" t="s">
        <v>745</v>
      </c>
      <c r="BN1459" s="929" t="s">
        <v>745</v>
      </c>
      <c r="BO1459" s="916" t="s">
        <v>745</v>
      </c>
      <c r="BP1459" s="929" t="s">
        <v>745</v>
      </c>
      <c r="BQ1459" s="929" t="s">
        <v>745</v>
      </c>
      <c r="BR1459" s="929" t="s">
        <v>745</v>
      </c>
      <c r="BS1459" s="916" t="s">
        <v>745</v>
      </c>
      <c r="BT1459" s="929" t="s">
        <v>745</v>
      </c>
      <c r="BU1459" s="916" t="s">
        <v>116</v>
      </c>
      <c r="BV1459" s="929" t="s">
        <v>745</v>
      </c>
      <c r="BW1459" s="916" t="s">
        <v>745</v>
      </c>
      <c r="BX1459" s="929" t="s">
        <v>745</v>
      </c>
      <c r="BY1459" s="916" t="s">
        <v>745</v>
      </c>
      <c r="BZ1459" s="916" t="s">
        <v>745</v>
      </c>
      <c r="CA1459" s="1006" t="s">
        <v>8424</v>
      </c>
      <c r="CB1459" s="547">
        <v>1457</v>
      </c>
      <c r="CC1459" s="1481" t="b">
        <v>0</v>
      </c>
      <c r="CD1459" t="str">
        <f>Table15[[#This Row],[Engineering Number]]&amp;Table15[[#This Row],[WO Number]]&amp;Table15[[#This Row],[Date Assigned to Designer]]&amp;Table15[[#This Row],[Date Completed]]</f>
        <v>410102910151494572745820</v>
      </c>
    </row>
    <row r="1460" spans="1:82" customFormat="1" ht="15" customHeight="1" x14ac:dyDescent="0.25">
      <c r="A1460">
        <v>2025</v>
      </c>
      <c r="B1460" s="878" t="s">
        <v>4</v>
      </c>
      <c r="C1460" s="879" t="s">
        <v>8093</v>
      </c>
      <c r="D1460" s="880" t="s">
        <v>8888</v>
      </c>
      <c r="E1460" s="879" t="s">
        <v>3731</v>
      </c>
      <c r="F1460" s="878" t="s">
        <v>6874</v>
      </c>
      <c r="G1460" s="878" t="s">
        <v>7382</v>
      </c>
      <c r="H1460" s="878" t="s">
        <v>59</v>
      </c>
      <c r="I1460" s="881">
        <v>45646</v>
      </c>
      <c r="J1460" s="882">
        <v>45821</v>
      </c>
      <c r="K1460" s="945">
        <v>45821</v>
      </c>
      <c r="L1460" s="884">
        <f>IF(ISTEXT(Table15[[#This Row],[Engineering Approved Design Date]]),Table15[[#This Row],[Date Completed]]-Table15[[#This Row],[Date Assigned to Designer]],Table15[[#This Row],[Engineering Approved Design Date]]-Table15[[#This Row],[Date Completed]])</f>
        <v>0</v>
      </c>
      <c r="M1460" s="879"/>
      <c r="N1460" s="885" t="s">
        <v>120</v>
      </c>
      <c r="O1460" s="886">
        <v>45839</v>
      </c>
      <c r="P1460" s="1153" t="s">
        <v>739</v>
      </c>
      <c r="Q1460" s="1150">
        <f>Table15[[#This Row],[Rate]]*Table15[[#This Row],[Construction Cost to Bill From]]</f>
        <v>67574.459000000003</v>
      </c>
      <c r="R1460" s="887">
        <v>0.1</v>
      </c>
      <c r="S1460" s="888" t="s">
        <v>29</v>
      </c>
      <c r="T1460" s="888" t="s">
        <v>29</v>
      </c>
      <c r="U1460" s="889" t="s">
        <v>29</v>
      </c>
      <c r="V1460" s="890">
        <v>1186</v>
      </c>
      <c r="W1460" s="1021">
        <v>0</v>
      </c>
      <c r="X1460" s="888">
        <v>527069.86</v>
      </c>
      <c r="Y1460" s="891">
        <v>0</v>
      </c>
      <c r="Z1460" s="888">
        <v>148674.73000000001</v>
      </c>
      <c r="AA1460" s="892">
        <f>SUM(Table15[[#This Row],[PCTS Investment Amount]:[PCTS Retirement Amount]])</f>
        <v>675744.59</v>
      </c>
      <c r="AB1460" s="893">
        <v>45826</v>
      </c>
      <c r="AC1460" s="894" t="s">
        <v>116</v>
      </c>
      <c r="AD1460" s="1161" t="s">
        <v>29</v>
      </c>
      <c r="AE1460" s="895" t="s">
        <v>116</v>
      </c>
      <c r="AF1460" s="895" t="s">
        <v>116</v>
      </c>
      <c r="AG1460" s="896" t="s">
        <v>116</v>
      </c>
      <c r="AH1460" s="897">
        <v>45854</v>
      </c>
      <c r="AI1460" s="898">
        <v>0</v>
      </c>
      <c r="AJ1460" s="899">
        <v>3100</v>
      </c>
      <c r="AK1460" s="899">
        <v>1239.8</v>
      </c>
      <c r="AL1460" s="901">
        <f>SUM(Table15[[#This Row],[Nicor Initiated DBE]:[Staffing]])/(Table15[[#This Row],[Amount Invoiced]])</f>
        <v>6.4222489742759167E-2</v>
      </c>
      <c r="AM1460" s="536" t="s">
        <v>116</v>
      </c>
      <c r="AN1460" s="903" t="s">
        <v>709</v>
      </c>
      <c r="AO1460" s="1536"/>
      <c r="AP1460" s="1537"/>
      <c r="AQ1460" s="1537"/>
      <c r="AR1460" s="1537"/>
      <c r="AS1460" s="888">
        <f>IF(Table15[[#This Row],[PCTS Approved]]="N",0,Table15[[#This Row],[Investment Amount (1'#'#'#'#'#)]]+Table15[[#This Row],[Retirement Amount (3'#'#'#'#'#)]])</f>
        <v>0</v>
      </c>
      <c r="AT1460" s="888">
        <f>IF(Table15[[#This Row],[Approved Construction Cost]]=0,0,Table15[[#This Row],[Approved Construction Cost]]-Table15[[#This Row],[Construction Cost to Bill From]])</f>
        <v>0</v>
      </c>
      <c r="AU1460" s="888">
        <f>IFERROR(Table15[[#This Row],[Difference in Construction Cost]]*Table15[[#This Row],[Rate]],Table15[[#This Row],[Difference in Construction Cost]]*0.085)</f>
        <v>0</v>
      </c>
      <c r="AV1460" s="905"/>
      <c r="AW1460" s="1509"/>
      <c r="AX1460" s="888"/>
      <c r="AY1460" s="636" t="s">
        <v>709</v>
      </c>
      <c r="AZ1460" s="333"/>
      <c r="BA1460" s="910" t="s">
        <v>8889</v>
      </c>
      <c r="BB1460" s="911" t="s">
        <v>1617</v>
      </c>
      <c r="BC1460" s="912" t="s">
        <v>992</v>
      </c>
      <c r="BD1460" s="913" t="s">
        <v>757</v>
      </c>
      <c r="BE1460" s="914" t="s">
        <v>3734</v>
      </c>
      <c r="BF1460" s="914" t="s">
        <v>3734</v>
      </c>
      <c r="BG1460" s="915" t="s">
        <v>709</v>
      </c>
      <c r="BH1460" s="1023" t="s">
        <v>8890</v>
      </c>
      <c r="BI1460" s="916" t="s">
        <v>709</v>
      </c>
      <c r="BJ1460" s="916" t="s">
        <v>709</v>
      </c>
      <c r="BK1460" s="916" t="s">
        <v>709</v>
      </c>
      <c r="BL1460" s="916" t="s">
        <v>116</v>
      </c>
      <c r="BM1460" s="916" t="s">
        <v>709</v>
      </c>
      <c r="BN1460" s="916" t="s">
        <v>709</v>
      </c>
      <c r="BO1460" s="916" t="s">
        <v>709</v>
      </c>
      <c r="BP1460" s="916" t="s">
        <v>709</v>
      </c>
      <c r="BQ1460" s="916" t="s">
        <v>709</v>
      </c>
      <c r="BR1460" s="916">
        <v>547</v>
      </c>
      <c r="BS1460" s="916">
        <v>639</v>
      </c>
      <c r="BT1460" s="916" t="s">
        <v>709</v>
      </c>
      <c r="BU1460" s="916" t="s">
        <v>709</v>
      </c>
      <c r="BV1460" s="916" t="s">
        <v>709</v>
      </c>
      <c r="BW1460" s="916" t="s">
        <v>709</v>
      </c>
      <c r="BX1460" s="916" t="s">
        <v>709</v>
      </c>
      <c r="BY1460" s="916" t="s">
        <v>709</v>
      </c>
      <c r="BZ1460" s="916" t="s">
        <v>709</v>
      </c>
      <c r="CA1460" s="917" t="s">
        <v>8891</v>
      </c>
      <c r="CB1460" s="547">
        <v>1458</v>
      </c>
      <c r="CC1460" s="1481" t="b">
        <v>0</v>
      </c>
      <c r="CD1460" s="879" t="str">
        <f>Table15[[#This Row],[Engineering Number]]&amp;Table15[[#This Row],[WO Number]]&amp;Table15[[#This Row],[Date Assigned to Designer]]&amp;Table15[[#This Row],[Date Completed]]</f>
        <v>SC2533014153894564645821</v>
      </c>
    </row>
    <row r="1461" spans="1:82" ht="15" customHeight="1" x14ac:dyDescent="0.25">
      <c r="A1461">
        <v>2025</v>
      </c>
      <c r="B1461" s="878" t="s">
        <v>771</v>
      </c>
      <c r="C1461" s="879" t="s">
        <v>8892</v>
      </c>
      <c r="D1461" s="880" t="s">
        <v>8893</v>
      </c>
      <c r="E1461" s="879" t="s">
        <v>8752</v>
      </c>
      <c r="F1461" s="878" t="s">
        <v>6874</v>
      </c>
      <c r="G1461" s="878" t="s">
        <v>8736</v>
      </c>
      <c r="H1461" s="878" t="s">
        <v>413</v>
      </c>
      <c r="I1461" s="881">
        <v>45700</v>
      </c>
      <c r="J1461" s="18">
        <v>45824</v>
      </c>
      <c r="K1461" s="883">
        <v>45824</v>
      </c>
      <c r="L1461" s="919">
        <f>IF(ISTEXT(Table15[[#This Row],[Engineering Approved Design Date]]),Table15[[#This Row],[Date Completed]]-Table15[[#This Row],[Date Assigned to Designer]],Table15[[#This Row],[Engineering Approved Design Date]]-Table15[[#This Row],[Date Completed]])</f>
        <v>0</v>
      </c>
      <c r="N1461" s="942" t="s">
        <v>739</v>
      </c>
      <c r="O1461" s="886">
        <v>45839</v>
      </c>
      <c r="P1461" s="1153" t="s">
        <v>120</v>
      </c>
      <c r="Q1461" s="1150">
        <f>Table15[[#This Row],[Rate]]*Table15[[#This Row],[Construction Cost to Bill From]]</f>
        <v>97522.683199999999</v>
      </c>
      <c r="R1461" s="887">
        <v>0.04</v>
      </c>
      <c r="S1461" s="1228" t="s">
        <v>29</v>
      </c>
      <c r="T1461" s="888" t="s">
        <v>29</v>
      </c>
      <c r="U1461" s="889" t="s">
        <v>29</v>
      </c>
      <c r="V1461" s="890">
        <f>2786+8829</f>
        <v>11615</v>
      </c>
      <c r="W1461" s="1021">
        <v>0</v>
      </c>
      <c r="X1461" s="888">
        <v>2338078.54</v>
      </c>
      <c r="Y1461" s="891"/>
      <c r="Z1461" s="888">
        <v>99988.54</v>
      </c>
      <c r="AA1461" s="892">
        <f>SUM(Table15[[#This Row],[PCTS Investment Amount]:[PCTS Retirement Amount]])</f>
        <v>2438067.08</v>
      </c>
      <c r="AB1461" s="893">
        <v>45832</v>
      </c>
      <c r="AC1461" s="894" t="s">
        <v>29</v>
      </c>
      <c r="AD1461" s="1160" t="s">
        <v>29</v>
      </c>
      <c r="AE1461" s="940" t="s">
        <v>756</v>
      </c>
      <c r="AF1461" s="895" t="s">
        <v>756</v>
      </c>
      <c r="AG1461" s="896" t="s">
        <v>376</v>
      </c>
      <c r="AH1461" s="897" t="s">
        <v>376</v>
      </c>
      <c r="AI1461" s="898">
        <v>32400</v>
      </c>
      <c r="AJ1461" s="899">
        <v>0</v>
      </c>
      <c r="AK1461" s="948">
        <v>3188.39</v>
      </c>
      <c r="AL1461" s="923">
        <f>SUM(Table15[[#This Row],[Nicor Initiated DBE]:[Staffing]])/(Table15[[#This Row],[Amount Invoiced]])</f>
        <v>0.36492422923818812</v>
      </c>
      <c r="AM1461" s="536" t="s">
        <v>116</v>
      </c>
      <c r="AN1461" s="903"/>
      <c r="AO1461" s="1536"/>
      <c r="AP1461" s="1537"/>
      <c r="AQ1461" s="1537"/>
      <c r="AR1461" s="1537"/>
      <c r="AS1461" s="888">
        <f>IF(Table15[[#This Row],[PCTS Approved]]="N",0,Table15[[#This Row],[Investment Amount (1'#'#'#'#'#)]]+Table15[[#This Row],[Retirement Amount (3'#'#'#'#'#)]])</f>
        <v>0</v>
      </c>
      <c r="AT1461" s="888">
        <f>IF(Table15[[#This Row],[Approved Construction Cost]]=0,0,Table15[[#This Row],[Approved Construction Cost]]-Table15[[#This Row],[Construction Cost to Bill From]])</f>
        <v>0</v>
      </c>
      <c r="AU1461" s="888">
        <f>IFERROR(Table15[[#This Row],[Difference in Construction Cost]]*Table15[[#This Row],[Rate]],Table15[[#This Row],[Difference in Construction Cost]]*0.085)</f>
        <v>0</v>
      </c>
      <c r="AV1461" s="905"/>
      <c r="AW1461" s="1509"/>
      <c r="AX1461" s="888"/>
      <c r="AY1461" s="636" t="s">
        <v>709</v>
      </c>
      <c r="AZ1461" s="1532"/>
      <c r="BA1461" s="910" t="s">
        <v>8894</v>
      </c>
      <c r="BB1461" s="911" t="s">
        <v>8895</v>
      </c>
      <c r="BC1461" s="912" t="s">
        <v>116</v>
      </c>
      <c r="BD1461" s="913" t="s">
        <v>115</v>
      </c>
      <c r="BE1461" s="914" t="s">
        <v>8896</v>
      </c>
      <c r="BF1461" s="914" t="s">
        <v>115</v>
      </c>
      <c r="BG1461" s="915" t="s">
        <v>115</v>
      </c>
      <c r="BH1461" s="1023" t="s">
        <v>8897</v>
      </c>
      <c r="BI1461" s="929" t="s">
        <v>745</v>
      </c>
      <c r="BJ1461" s="929" t="s">
        <v>745</v>
      </c>
      <c r="BK1461" s="929" t="s">
        <v>745</v>
      </c>
      <c r="BL1461" s="916" t="s">
        <v>116</v>
      </c>
      <c r="BM1461" s="916" t="s">
        <v>745</v>
      </c>
      <c r="BN1461" s="916" t="s">
        <v>745</v>
      </c>
      <c r="BO1461" s="916" t="s">
        <v>745</v>
      </c>
      <c r="BP1461" s="916" t="s">
        <v>745</v>
      </c>
      <c r="BQ1461" s="916" t="s">
        <v>745</v>
      </c>
      <c r="BR1461" s="916">
        <v>2786</v>
      </c>
      <c r="BS1461" s="916">
        <v>8829</v>
      </c>
      <c r="BT1461" s="916" t="s">
        <v>745</v>
      </c>
      <c r="BU1461" s="916" t="s">
        <v>745</v>
      </c>
      <c r="BV1461" s="916" t="s">
        <v>745</v>
      </c>
      <c r="BW1461" s="916" t="s">
        <v>745</v>
      </c>
      <c r="BX1461" s="916" t="s">
        <v>745</v>
      </c>
      <c r="BY1461" s="916" t="s">
        <v>745</v>
      </c>
      <c r="BZ1461" s="916" t="s">
        <v>745</v>
      </c>
      <c r="CA1461" s="943"/>
      <c r="CB1461" s="547">
        <v>1459</v>
      </c>
      <c r="CC1461" s="1481" t="b">
        <v>0</v>
      </c>
      <c r="CD1461" s="879" t="str">
        <f>Table15[[#This Row],[Engineering Number]]&amp;Table15[[#This Row],[WO Number]]&amp;Table15[[#This Row],[Date Assigned to Designer]]&amp;Table15[[#This Row],[Date Completed]]</f>
        <v>MR2BID9647-212149914570045824</v>
      </c>
    </row>
    <row r="1462" spans="1:82" ht="15" customHeight="1" x14ac:dyDescent="0.25">
      <c r="A1462">
        <v>2025</v>
      </c>
      <c r="B1462" s="878" t="s">
        <v>4</v>
      </c>
      <c r="C1462" s="878" t="s">
        <v>1825</v>
      </c>
      <c r="D1462" s="878">
        <v>1413789</v>
      </c>
      <c r="E1462" s="878" t="s">
        <v>1827</v>
      </c>
      <c r="F1462" s="878" t="s">
        <v>6874</v>
      </c>
      <c r="G1462" s="878" t="s">
        <v>6377</v>
      </c>
      <c r="H1462" s="878" t="s">
        <v>4001</v>
      </c>
      <c r="I1462" s="883">
        <v>45792</v>
      </c>
      <c r="J1462" s="918" t="s">
        <v>2052</v>
      </c>
      <c r="K1462" s="945">
        <v>45825</v>
      </c>
      <c r="L1462" s="919">
        <f>IF(ISTEXT(Table15[[#This Row],[Engineering Approved Design Date]]),Table15[[#This Row],[Date Completed]]-Table15[[#This Row],[Date Assigned to Designer]],Table15[[#This Row],[Engineering Approved Design Date]]-Table15[[#This Row],[Date Completed]])</f>
        <v>33</v>
      </c>
      <c r="M1462" s="1012" t="s">
        <v>8898</v>
      </c>
      <c r="N1462" s="885" t="s">
        <v>120</v>
      </c>
      <c r="O1462" s="886">
        <v>45839</v>
      </c>
      <c r="P1462" s="1153" t="s">
        <v>739</v>
      </c>
      <c r="Q1462" s="1150">
        <f>SUM(Table15[[#This Row],[Shactee Effort]:[KH Hourly Effort]])</f>
        <v>3715</v>
      </c>
      <c r="R1462" s="920" t="s">
        <v>1922</v>
      </c>
      <c r="S1462" s="892">
        <v>0</v>
      </c>
      <c r="T1462" s="892">
        <v>0</v>
      </c>
      <c r="U1462" s="889">
        <v>3715</v>
      </c>
      <c r="V1462" s="888" t="s">
        <v>29</v>
      </c>
      <c r="W1462" s="995" t="s">
        <v>29</v>
      </c>
      <c r="X1462" s="888" t="s">
        <v>29</v>
      </c>
      <c r="Y1462" s="888"/>
      <c r="Z1462" s="888" t="s">
        <v>29</v>
      </c>
      <c r="AA1462" s="888" t="s">
        <v>29</v>
      </c>
      <c r="AB1462" s="893" t="s">
        <v>29</v>
      </c>
      <c r="AC1462" s="896" t="s">
        <v>29</v>
      </c>
      <c r="AD1462" s="1155" t="s">
        <v>116</v>
      </c>
      <c r="AE1462" s="894" t="s">
        <v>756</v>
      </c>
      <c r="AF1462" s="896" t="s">
        <v>756</v>
      </c>
      <c r="AG1462" s="897" t="s">
        <v>29</v>
      </c>
      <c r="AH1462" s="902">
        <v>45825</v>
      </c>
      <c r="AI1462" s="921" t="s">
        <v>29</v>
      </c>
      <c r="AJ1462" s="922" t="s">
        <v>29</v>
      </c>
      <c r="AK1462" s="922" t="s">
        <v>29</v>
      </c>
      <c r="AL1462" s="923" t="s">
        <v>29</v>
      </c>
      <c r="AM1462" s="542" t="s">
        <v>709</v>
      </c>
      <c r="AN1462" s="924"/>
      <c r="AO1462" s="925"/>
      <c r="AP1462" s="926"/>
      <c r="AQ1462" s="926"/>
      <c r="AR1462" s="926"/>
      <c r="AS1462" s="926"/>
      <c r="AT1462" s="926"/>
      <c r="AU1462" s="926"/>
      <c r="AV1462" s="926"/>
      <c r="AW1462" s="927"/>
      <c r="AX1462" s="926"/>
      <c r="AY1462" s="1538" t="s">
        <v>29</v>
      </c>
      <c r="AZ1462" s="1530"/>
      <c r="BA1462" s="910">
        <v>3</v>
      </c>
      <c r="BB1462" s="928" t="s">
        <v>8899</v>
      </c>
      <c r="BC1462" s="915" t="s">
        <v>709</v>
      </c>
      <c r="BD1462" s="915" t="s">
        <v>116</v>
      </c>
      <c r="BE1462" s="915" t="s">
        <v>709</v>
      </c>
      <c r="BF1462" s="915" t="s">
        <v>709</v>
      </c>
      <c r="BG1462" s="915" t="s">
        <v>709</v>
      </c>
      <c r="BH1462" s="1023" t="s">
        <v>8900</v>
      </c>
      <c r="BI1462" s="929" t="s">
        <v>745</v>
      </c>
      <c r="BJ1462" s="929" t="s">
        <v>745</v>
      </c>
      <c r="BK1462" s="929" t="s">
        <v>745</v>
      </c>
      <c r="BL1462" s="916" t="s">
        <v>116</v>
      </c>
      <c r="BM1462" s="916" t="s">
        <v>745</v>
      </c>
      <c r="BN1462" s="929" t="s">
        <v>745</v>
      </c>
      <c r="BO1462" s="916" t="s">
        <v>745</v>
      </c>
      <c r="BP1462" s="929" t="s">
        <v>745</v>
      </c>
      <c r="BQ1462" s="929" t="s">
        <v>745</v>
      </c>
      <c r="BR1462" s="929">
        <v>4962</v>
      </c>
      <c r="BS1462" s="916" t="s">
        <v>745</v>
      </c>
      <c r="BT1462" s="929" t="s">
        <v>745</v>
      </c>
      <c r="BU1462" s="916" t="s">
        <v>745</v>
      </c>
      <c r="BV1462" s="929" t="s">
        <v>745</v>
      </c>
      <c r="BW1462" s="916" t="s">
        <v>745</v>
      </c>
      <c r="BX1462" s="929" t="s">
        <v>745</v>
      </c>
      <c r="BY1462" s="916" t="s">
        <v>745</v>
      </c>
      <c r="BZ1462" s="916" t="s">
        <v>745</v>
      </c>
      <c r="CA1462" s="917"/>
      <c r="CB1462" s="547">
        <v>1460</v>
      </c>
      <c r="CC1462" s="1481" t="b">
        <v>0</v>
      </c>
      <c r="CD1462" s="879" t="str">
        <f>Table15[[#This Row],[Engineering Number]]&amp;Table15[[#This Row],[WO Number]]&amp;Table15[[#This Row],[Date Assigned to Designer]]&amp;Table15[[#This Row],[Date Completed]]</f>
        <v>SC2374914137894579245825</v>
      </c>
    </row>
    <row r="1463" spans="1:82" ht="15" customHeight="1" x14ac:dyDescent="0.25">
      <c r="A1463">
        <v>2025</v>
      </c>
      <c r="B1463" s="878" t="s">
        <v>4</v>
      </c>
      <c r="C1463" s="879" t="s">
        <v>8901</v>
      </c>
      <c r="D1463" s="8" t="s">
        <v>115</v>
      </c>
      <c r="E1463" s="879" t="s">
        <v>1164</v>
      </c>
      <c r="F1463" s="878" t="s">
        <v>851</v>
      </c>
      <c r="G1463" s="878" t="s">
        <v>7382</v>
      </c>
      <c r="H1463" s="878" t="s">
        <v>5512</v>
      </c>
      <c r="I1463" s="881">
        <v>45782</v>
      </c>
      <c r="J1463" s="1239">
        <v>45828</v>
      </c>
      <c r="K1463" s="945">
        <v>45827</v>
      </c>
      <c r="L1463" s="884">
        <f>IF(ISTEXT(Table15[[#This Row],[Engineering Approved Design Date]]),Table15[[#This Row],[Date Completed]]-Table15[[#This Row],[Date Assigned to Designer]],Table15[[#This Row],[Engineering Approved Design Date]]-Table15[[#This Row],[Date Completed]])</f>
        <v>1</v>
      </c>
      <c r="M1463" s="16" t="s">
        <v>8902</v>
      </c>
      <c r="N1463" s="885" t="s">
        <v>120</v>
      </c>
      <c r="O1463" s="886">
        <v>45839</v>
      </c>
      <c r="P1463" s="1153" t="s">
        <v>739</v>
      </c>
      <c r="Q1463" s="1150">
        <f>SUM(Table15[[#This Row],[Shactee Effort]:[KH Hourly Effort]])</f>
        <v>29387.86</v>
      </c>
      <c r="R1463" s="887" t="s">
        <v>1922</v>
      </c>
      <c r="S1463" s="1539">
        <v>1200.3599999999999</v>
      </c>
      <c r="T1463" s="892">
        <v>10660</v>
      </c>
      <c r="U1463" s="889">
        <v>17527.5</v>
      </c>
      <c r="V1463" s="890" t="s">
        <v>29</v>
      </c>
      <c r="W1463" s="1021" t="s">
        <v>29</v>
      </c>
      <c r="X1463" s="888" t="s">
        <v>29</v>
      </c>
      <c r="Y1463" s="891"/>
      <c r="Z1463" s="888" t="s">
        <v>29</v>
      </c>
      <c r="AA1463" s="892" t="s">
        <v>29</v>
      </c>
      <c r="AB1463" s="893" t="s">
        <v>29</v>
      </c>
      <c r="AC1463" s="894" t="s">
        <v>29</v>
      </c>
      <c r="AD1463" s="1161" t="s">
        <v>29</v>
      </c>
      <c r="AE1463" s="895" t="s">
        <v>756</v>
      </c>
      <c r="AF1463" s="895" t="s">
        <v>116</v>
      </c>
      <c r="AG1463" s="896" t="s">
        <v>29</v>
      </c>
      <c r="AH1463" s="897">
        <v>45854</v>
      </c>
      <c r="AI1463" s="921" t="s">
        <v>29</v>
      </c>
      <c r="AJ1463" s="922" t="s">
        <v>29</v>
      </c>
      <c r="AK1463" s="922" t="s">
        <v>29</v>
      </c>
      <c r="AL1463" s="923" t="s">
        <v>29</v>
      </c>
      <c r="AM1463" s="542" t="s">
        <v>709</v>
      </c>
      <c r="AN1463" s="924"/>
      <c r="AO1463" s="925"/>
      <c r="AP1463" s="926"/>
      <c r="AQ1463" s="926"/>
      <c r="AR1463" s="926"/>
      <c r="AS1463" s="926"/>
      <c r="AT1463" s="926"/>
      <c r="AU1463" s="926"/>
      <c r="AV1463" s="926"/>
      <c r="AW1463" s="927"/>
      <c r="AX1463" s="926"/>
      <c r="AY1463" s="1538" t="s">
        <v>29</v>
      </c>
      <c r="AZ1463" s="1530"/>
      <c r="BA1463" s="910" t="s">
        <v>8903</v>
      </c>
      <c r="BB1463" s="911" t="s">
        <v>5904</v>
      </c>
      <c r="BC1463" s="912" t="s">
        <v>745</v>
      </c>
      <c r="BD1463" s="913" t="s">
        <v>745</v>
      </c>
      <c r="BE1463" s="914" t="s">
        <v>709</v>
      </c>
      <c r="BF1463" s="914" t="s">
        <v>745</v>
      </c>
      <c r="BG1463" s="915" t="s">
        <v>745</v>
      </c>
      <c r="BH1463" s="1023" t="s">
        <v>8904</v>
      </c>
      <c r="BI1463" s="980"/>
      <c r="BJ1463" s="980"/>
      <c r="BK1463" s="980"/>
      <c r="BL1463" s="980"/>
      <c r="BM1463" s="980"/>
      <c r="BN1463" s="981"/>
      <c r="BO1463" s="980"/>
      <c r="BP1463" s="982"/>
      <c r="BQ1463" s="981"/>
      <c r="BR1463" s="981"/>
      <c r="BS1463" s="981"/>
      <c r="BT1463" s="981"/>
      <c r="BU1463" s="981"/>
      <c r="BV1463" s="981"/>
      <c r="BW1463" s="981"/>
      <c r="BX1463" s="980"/>
      <c r="BY1463" s="983"/>
      <c r="BZ1463" s="983"/>
      <c r="CA1463" s="485" t="s">
        <v>8905</v>
      </c>
      <c r="CB1463" s="547">
        <v>1463</v>
      </c>
      <c r="CC1463" s="1481" t="b">
        <v>0</v>
      </c>
      <c r="CD1463" t="str">
        <f>Table15[[#This Row],[Engineering Number]]&amp;Table15[[#This Row],[WO Number]]&amp;Table15[[#This Row],[Date Assigned to Designer]]&amp;Table15[[#This Row],[Date Completed]]</f>
        <v>SC25757-4578245827</v>
      </c>
    </row>
    <row r="1464" spans="1:82" ht="15" customHeight="1" x14ac:dyDescent="0.25">
      <c r="A1464">
        <v>2024</v>
      </c>
      <c r="B1464" s="878" t="s">
        <v>1205</v>
      </c>
      <c r="C1464" s="878" t="s">
        <v>1552</v>
      </c>
      <c r="D1464" s="878">
        <v>1211933</v>
      </c>
      <c r="E1464" s="8" t="s">
        <v>6659</v>
      </c>
      <c r="F1464" s="878" t="s">
        <v>784</v>
      </c>
      <c r="G1464" s="878" t="s">
        <v>31</v>
      </c>
      <c r="H1464" s="878" t="s">
        <v>4189</v>
      </c>
      <c r="I1464" s="883">
        <v>45735</v>
      </c>
      <c r="J1464" s="918" t="s">
        <v>2052</v>
      </c>
      <c r="K1464" s="945">
        <v>45827</v>
      </c>
      <c r="L1464" s="884">
        <f>IF(ISTEXT(Table15[[#This Row],[Engineering Approved Design Date]]),Table15[[#This Row],[Date Completed]]-Table15[[#This Row],[Date Assigned to Designer]],Table15[[#This Row],[Engineering Approved Design Date]]-Table15[[#This Row],[Date Completed]])</f>
        <v>92</v>
      </c>
      <c r="M1464" s="919" t="s">
        <v>8906</v>
      </c>
      <c r="N1464" s="883" t="s">
        <v>739</v>
      </c>
      <c r="O1464" s="886">
        <v>45839</v>
      </c>
      <c r="P1464" s="1153" t="s">
        <v>120</v>
      </c>
      <c r="Q1464" s="1150">
        <f>SUM(Table15[[#This Row],[Shactee Effort]:[KH Hourly Effort]])</f>
        <v>29127.5</v>
      </c>
      <c r="R1464" s="887" t="s">
        <v>1922</v>
      </c>
      <c r="S1464" s="888">
        <v>0</v>
      </c>
      <c r="T1464" s="888">
        <v>0</v>
      </c>
      <c r="U1464" s="889">
        <v>29127.5</v>
      </c>
      <c r="V1464" s="888" t="s">
        <v>29</v>
      </c>
      <c r="W1464" s="1021">
        <v>0</v>
      </c>
      <c r="X1464" s="888" t="s">
        <v>29</v>
      </c>
      <c r="Y1464" s="888" t="s">
        <v>29</v>
      </c>
      <c r="Z1464" s="888" t="s">
        <v>29</v>
      </c>
      <c r="AA1464" s="888" t="s">
        <v>29</v>
      </c>
      <c r="AB1464" s="893" t="s">
        <v>29</v>
      </c>
      <c r="AC1464" s="897" t="s">
        <v>29</v>
      </c>
      <c r="AD1464" s="1304" t="s">
        <v>29</v>
      </c>
      <c r="AE1464" s="894" t="s">
        <v>756</v>
      </c>
      <c r="AF1464" s="895" t="s">
        <v>756</v>
      </c>
      <c r="AG1464" s="896" t="s">
        <v>116</v>
      </c>
      <c r="AH1464" s="985">
        <v>45825</v>
      </c>
      <c r="AI1464" s="921" t="s">
        <v>29</v>
      </c>
      <c r="AJ1464" s="922" t="s">
        <v>29</v>
      </c>
      <c r="AK1464" s="922" t="s">
        <v>29</v>
      </c>
      <c r="AL1464" s="923" t="s">
        <v>29</v>
      </c>
      <c r="AM1464" s="542" t="s">
        <v>709</v>
      </c>
      <c r="AN1464" s="924"/>
      <c r="AO1464" s="925"/>
      <c r="AP1464" s="926"/>
      <c r="AQ1464" s="926"/>
      <c r="AR1464" s="926"/>
      <c r="AS1464" s="926"/>
      <c r="AT1464" s="926"/>
      <c r="AU1464" s="926"/>
      <c r="AV1464" s="926"/>
      <c r="AW1464" s="927"/>
      <c r="AX1464" s="926"/>
      <c r="AY1464" s="1538" t="s">
        <v>29</v>
      </c>
      <c r="AZ1464" s="1530"/>
      <c r="BA1464" s="910">
        <v>4</v>
      </c>
      <c r="BB1464" s="1000" t="s">
        <v>8907</v>
      </c>
      <c r="BC1464" s="915" t="s">
        <v>116</v>
      </c>
      <c r="BD1464" s="915" t="s">
        <v>709</v>
      </c>
      <c r="BE1464" s="912" t="s">
        <v>1203</v>
      </c>
      <c r="BF1464" s="913" t="s">
        <v>1203</v>
      </c>
      <c r="BG1464" s="1001" t="s">
        <v>709</v>
      </c>
      <c r="BH1464" s="1023" t="s">
        <v>8908</v>
      </c>
      <c r="BI1464" s="916" t="s">
        <v>709</v>
      </c>
      <c r="BJ1464" s="916" t="s">
        <v>745</v>
      </c>
      <c r="BK1464" s="916" t="s">
        <v>745</v>
      </c>
      <c r="BL1464" s="916" t="s">
        <v>116</v>
      </c>
      <c r="BM1464" s="916" t="s">
        <v>745</v>
      </c>
      <c r="BN1464" s="916" t="s">
        <v>745</v>
      </c>
      <c r="BO1464" s="916" t="s">
        <v>745</v>
      </c>
      <c r="BP1464" s="916">
        <v>1518</v>
      </c>
      <c r="BQ1464" s="916">
        <v>1386</v>
      </c>
      <c r="BR1464" s="916">
        <v>43</v>
      </c>
      <c r="BS1464" s="916">
        <v>296</v>
      </c>
      <c r="BT1464" s="916" t="s">
        <v>745</v>
      </c>
      <c r="BU1464" s="916" t="s">
        <v>745</v>
      </c>
      <c r="BV1464" s="916" t="s">
        <v>745</v>
      </c>
      <c r="BW1464" s="916" t="s">
        <v>745</v>
      </c>
      <c r="BX1464" s="916" t="s">
        <v>745</v>
      </c>
      <c r="BY1464" s="916" t="s">
        <v>745</v>
      </c>
      <c r="BZ1464" s="916" t="s">
        <v>745</v>
      </c>
      <c r="CA1464" s="917" t="s">
        <v>8909</v>
      </c>
      <c r="CB1464" s="547">
        <v>1462</v>
      </c>
      <c r="CC1464" s="1481" t="b">
        <v>0</v>
      </c>
      <c r="CD1464" s="879" t="str">
        <f>Table15[[#This Row],[Engineering Number]]&amp;Table15[[#This Row],[WO Number]]&amp;Table15[[#This Row],[Date Assigned to Designer]]&amp;Table15[[#This Row],[Date Completed]]</f>
        <v>MR191312119334573545827</v>
      </c>
    </row>
    <row r="1465" spans="1:82" ht="15" customHeight="1" x14ac:dyDescent="0.25">
      <c r="A1465">
        <v>2024</v>
      </c>
      <c r="B1465" s="8" t="s">
        <v>1205</v>
      </c>
      <c r="C1465" s="8" t="s">
        <v>1552</v>
      </c>
      <c r="D1465" s="8" t="s">
        <v>1553</v>
      </c>
      <c r="E1465" s="8" t="s">
        <v>6659</v>
      </c>
      <c r="F1465" s="8" t="s">
        <v>784</v>
      </c>
      <c r="G1465" s="8" t="s">
        <v>31</v>
      </c>
      <c r="H1465" s="8" t="s">
        <v>8910</v>
      </c>
      <c r="I1465" s="642">
        <v>45735</v>
      </c>
      <c r="J1465" s="175" t="s">
        <v>4110</v>
      </c>
      <c r="K1465" s="97">
        <v>45827</v>
      </c>
      <c r="L1465" s="884">
        <f>IF(ISTEXT(Table15[[#This Row],[Engineering Approved Design Date]]),Table15[[#This Row],[Date Completed]]-Table15[[#This Row],[Date Assigned to Designer]],Table15[[#This Row],[Engineering Approved Design Date]]-Table15[[#This Row],[Date Completed]])</f>
        <v>92</v>
      </c>
      <c r="M1465" s="16" t="s">
        <v>8911</v>
      </c>
      <c r="N1465" s="671" t="s">
        <v>739</v>
      </c>
      <c r="O1465" s="1060">
        <v>45839</v>
      </c>
      <c r="P1465" s="1152" t="s">
        <v>120</v>
      </c>
      <c r="Q1465" s="1303">
        <f>Table15[[#This Row],[Shactee Effort]]+Table15[[#This Row],[3rd Party Effort]]+Table15[[#This Row],[KH Hourly Effort]]</f>
        <v>4385</v>
      </c>
      <c r="R1465" s="920" t="s">
        <v>1922</v>
      </c>
      <c r="S1465" s="538">
        <v>0</v>
      </c>
      <c r="T1465" s="538">
        <v>0</v>
      </c>
      <c r="U1465" s="889">
        <v>4385</v>
      </c>
      <c r="V1465" s="888" t="s">
        <v>29</v>
      </c>
      <c r="W1465" s="995" t="s">
        <v>29</v>
      </c>
      <c r="X1465" s="888" t="s">
        <v>29</v>
      </c>
      <c r="Y1465" s="888" t="s">
        <v>29</v>
      </c>
      <c r="Z1465" s="888" t="s">
        <v>29</v>
      </c>
      <c r="AA1465" s="888" t="s">
        <v>29</v>
      </c>
      <c r="AB1465" s="893" t="s">
        <v>29</v>
      </c>
      <c r="AC1465" s="896" t="s">
        <v>29</v>
      </c>
      <c r="AD1465" s="1155" t="s">
        <v>29</v>
      </c>
      <c r="AE1465" s="569" t="s">
        <v>756</v>
      </c>
      <c r="AF1465" s="569" t="s">
        <v>756</v>
      </c>
      <c r="AG1465" s="569" t="s">
        <v>8912</v>
      </c>
      <c r="AH1465" s="536">
        <v>45825</v>
      </c>
      <c r="AI1465" s="1028" t="s">
        <v>29</v>
      </c>
      <c r="AJ1465" s="1029" t="s">
        <v>29</v>
      </c>
      <c r="AK1465" s="1029" t="s">
        <v>29</v>
      </c>
      <c r="AL1465" s="923" t="s">
        <v>29</v>
      </c>
      <c r="AM1465" s="542" t="s">
        <v>709</v>
      </c>
      <c r="AN1465" s="924"/>
      <c r="AO1465" s="925"/>
      <c r="AP1465" s="926"/>
      <c r="AQ1465" s="926"/>
      <c r="AR1465" s="926"/>
      <c r="AS1465" s="926"/>
      <c r="AT1465" s="926"/>
      <c r="AU1465" s="926"/>
      <c r="AV1465" s="926"/>
      <c r="AW1465" s="927"/>
      <c r="AX1465" s="926"/>
      <c r="AY1465" s="1538" t="s">
        <v>29</v>
      </c>
      <c r="AZ1465" s="1532"/>
      <c r="BA1465" s="1031" t="s">
        <v>29</v>
      </c>
      <c r="BB1465" s="644" t="s">
        <v>29</v>
      </c>
      <c r="BC1465" s="544" t="s">
        <v>709</v>
      </c>
      <c r="BD1465" s="544" t="s">
        <v>709</v>
      </c>
      <c r="BE1465" s="544" t="s">
        <v>1203</v>
      </c>
      <c r="BF1465" s="544" t="s">
        <v>709</v>
      </c>
      <c r="BG1465" s="544" t="s">
        <v>709</v>
      </c>
      <c r="BH1465" s="741" t="s">
        <v>8913</v>
      </c>
      <c r="BI1465" s="547" t="s">
        <v>709</v>
      </c>
      <c r="BJ1465" s="547" t="s">
        <v>709</v>
      </c>
      <c r="BK1465" s="547" t="s">
        <v>709</v>
      </c>
      <c r="BL1465" s="547" t="s">
        <v>116</v>
      </c>
      <c r="BM1465" s="547" t="s">
        <v>709</v>
      </c>
      <c r="BN1465" s="547" t="s">
        <v>709</v>
      </c>
      <c r="BO1465" s="547" t="s">
        <v>709</v>
      </c>
      <c r="BP1465" s="547">
        <v>1518</v>
      </c>
      <c r="BQ1465" s="547">
        <v>1386</v>
      </c>
      <c r="BR1465" s="547">
        <v>43</v>
      </c>
      <c r="BS1465" s="547">
        <v>296</v>
      </c>
      <c r="BT1465" s="547" t="s">
        <v>709</v>
      </c>
      <c r="BU1465" s="547" t="s">
        <v>709</v>
      </c>
      <c r="BV1465" s="547" t="s">
        <v>709</v>
      </c>
      <c r="BW1465" s="547" t="s">
        <v>709</v>
      </c>
      <c r="BX1465" s="547" t="s">
        <v>709</v>
      </c>
      <c r="BY1465" s="547" t="s">
        <v>709</v>
      </c>
      <c r="BZ1465" s="547" t="s">
        <v>709</v>
      </c>
      <c r="CA1465" s="483"/>
      <c r="CB1465" s="547">
        <v>1461</v>
      </c>
      <c r="CC1465" s="1481" t="b">
        <v>0</v>
      </c>
      <c r="CD1465" s="879" t="str">
        <f>Table15[[#This Row],[Engineering Number]]&amp;Table15[[#This Row],[WO Number]]&amp;Table15[[#This Row],[Date Assigned to Designer]]&amp;Table15[[#This Row],[Date Completed]]</f>
        <v>MR191312119334573545827</v>
      </c>
    </row>
    <row r="1466" spans="1:82" ht="15" customHeight="1" x14ac:dyDescent="0.25">
      <c r="A1466">
        <v>2025</v>
      </c>
      <c r="B1466" s="878" t="s">
        <v>4</v>
      </c>
      <c r="C1466" s="879" t="s">
        <v>8092</v>
      </c>
      <c r="D1466" s="880" t="s">
        <v>8914</v>
      </c>
      <c r="E1466" s="879" t="s">
        <v>3493</v>
      </c>
      <c r="F1466" s="878" t="s">
        <v>6874</v>
      </c>
      <c r="G1466" s="878" t="s">
        <v>25</v>
      </c>
      <c r="H1466" s="878" t="s">
        <v>59</v>
      </c>
      <c r="I1466" s="881">
        <v>45748</v>
      </c>
      <c r="J1466" s="882">
        <v>45838</v>
      </c>
      <c r="K1466" s="945">
        <v>45831</v>
      </c>
      <c r="L1466" s="884">
        <f>IF(ISTEXT(Table15[[#This Row],[Engineering Approved Design Date]]),Table15[[#This Row],[Date Completed]]-Table15[[#This Row],[Date Assigned to Designer]],Table15[[#This Row],[Engineering Approved Design Date]]-Table15[[#This Row],[Date Completed]])</f>
        <v>7</v>
      </c>
      <c r="N1466" s="885" t="s">
        <v>120</v>
      </c>
      <c r="O1466" s="886">
        <v>45839</v>
      </c>
      <c r="P1466" s="1153" t="s">
        <v>739</v>
      </c>
      <c r="Q1466" s="1150">
        <f>Table15[[#This Row],[Rate]]*Table15[[#This Row],[Construction Cost to Bill From]]</f>
        <v>65034.801000000007</v>
      </c>
      <c r="R1466" s="887">
        <v>0.1</v>
      </c>
      <c r="S1466" s="888" t="s">
        <v>29</v>
      </c>
      <c r="T1466" s="888" t="s">
        <v>29</v>
      </c>
      <c r="U1466" s="889" t="s">
        <v>29</v>
      </c>
      <c r="V1466" s="1630">
        <v>1389</v>
      </c>
      <c r="W1466" s="1021">
        <v>0</v>
      </c>
      <c r="X1466" s="888">
        <v>608675.9</v>
      </c>
      <c r="Y1466" s="891"/>
      <c r="Z1466" s="888">
        <v>41672.11</v>
      </c>
      <c r="AA1466" s="892">
        <f>SUM(Table15[[#This Row],[PCTS Investment Amount]:[PCTS Retirement Amount]])</f>
        <v>650348.01</v>
      </c>
      <c r="AB1466" s="893">
        <v>45462</v>
      </c>
      <c r="AC1466" s="894" t="s">
        <v>116</v>
      </c>
      <c r="AD1466" s="1161" t="s">
        <v>29</v>
      </c>
      <c r="AE1466" s="895" t="s">
        <v>756</v>
      </c>
      <c r="AF1466" s="895" t="s">
        <v>29</v>
      </c>
      <c r="AG1466" s="896" t="s">
        <v>376</v>
      </c>
      <c r="AH1466" s="897" t="s">
        <v>376</v>
      </c>
      <c r="AI1466" s="898">
        <v>0</v>
      </c>
      <c r="AJ1466" s="899">
        <v>11405</v>
      </c>
      <c r="AK1466" s="899">
        <f>2317+6044.6</f>
        <v>8361.6</v>
      </c>
      <c r="AL1466" s="923">
        <f>SUM(Table15[[#This Row],[Nicor Initiated DBE]:[Staffing]])/(Table15[[#This Row],[Amount Invoiced]])</f>
        <v>0.30393880962286635</v>
      </c>
      <c r="AM1466" s="536" t="s">
        <v>116</v>
      </c>
      <c r="AN1466" s="903" t="s">
        <v>709</v>
      </c>
      <c r="AO1466" s="1536"/>
      <c r="AP1466" s="1537"/>
      <c r="AQ1466" s="1537"/>
      <c r="AR1466" s="1537"/>
      <c r="AS1466" s="888">
        <f>IF(Table15[[#This Row],[PCTS Approved]]="N",0,Table15[[#This Row],[Investment Amount (1'#'#'#'#'#)]]+Table15[[#This Row],[Retirement Amount (3'#'#'#'#'#)]])</f>
        <v>0</v>
      </c>
      <c r="AT1466" s="888">
        <f>IF(Table15[[#This Row],[Approved Construction Cost]]=0,0,Table15[[#This Row],[Approved Construction Cost]]-Table15[[#This Row],[Construction Cost to Bill From]])</f>
        <v>0</v>
      </c>
      <c r="AU1466" s="888">
        <f>IFERROR(Table15[[#This Row],[Difference in Construction Cost]]*Table15[[#This Row],[Rate]],Table15[[#This Row],[Difference in Construction Cost]]*0.085)</f>
        <v>0</v>
      </c>
      <c r="AV1466" s="905"/>
      <c r="AW1466" s="1509"/>
      <c r="AX1466" s="888"/>
      <c r="AY1466" s="636" t="s">
        <v>709</v>
      </c>
      <c r="AZ1466" s="333"/>
      <c r="BA1466" s="910" t="s">
        <v>8915</v>
      </c>
      <c r="BB1466" s="911" t="s">
        <v>8916</v>
      </c>
      <c r="BC1466" s="912" t="s">
        <v>992</v>
      </c>
      <c r="BD1466" s="913" t="s">
        <v>709</v>
      </c>
      <c r="BE1466" s="914" t="s">
        <v>3496</v>
      </c>
      <c r="BF1466" s="914" t="s">
        <v>709</v>
      </c>
      <c r="BG1466" s="915" t="s">
        <v>745</v>
      </c>
      <c r="BH1466" s="1023" t="s">
        <v>8917</v>
      </c>
      <c r="BI1466" s="916" t="s">
        <v>709</v>
      </c>
      <c r="BJ1466" s="916" t="s">
        <v>709</v>
      </c>
      <c r="BK1466" s="916" t="s">
        <v>709</v>
      </c>
      <c r="BL1466" s="916" t="s">
        <v>116</v>
      </c>
      <c r="BM1466" s="916" t="s">
        <v>709</v>
      </c>
      <c r="BN1466" s="929" t="s">
        <v>709</v>
      </c>
      <c r="BO1466" s="916" t="s">
        <v>709</v>
      </c>
      <c r="BP1466" s="944">
        <v>1337</v>
      </c>
      <c r="BQ1466" s="929">
        <v>24</v>
      </c>
      <c r="BR1466" s="929" t="s">
        <v>709</v>
      </c>
      <c r="BS1466" s="929">
        <v>28</v>
      </c>
      <c r="BT1466" s="929" t="s">
        <v>709</v>
      </c>
      <c r="BU1466" s="929" t="s">
        <v>709</v>
      </c>
      <c r="BV1466" s="929" t="s">
        <v>709</v>
      </c>
      <c r="BW1466" s="929" t="s">
        <v>709</v>
      </c>
      <c r="BX1466" s="916" t="s">
        <v>709</v>
      </c>
      <c r="BY1466" s="1252" t="s">
        <v>709</v>
      </c>
      <c r="BZ1466" s="1252" t="s">
        <v>709</v>
      </c>
      <c r="CA1466" s="483" t="s">
        <v>8918</v>
      </c>
      <c r="CB1466" s="547">
        <v>1464</v>
      </c>
      <c r="CC1466" s="1481" t="b">
        <v>0</v>
      </c>
      <c r="CD1466" s="879" t="str">
        <f>Table15[[#This Row],[Engineering Number]]&amp;Table15[[#This Row],[WO Number]]&amp;Table15[[#This Row],[Date Assigned to Designer]]&amp;Table15[[#This Row],[Date Completed]]</f>
        <v>SC2583214153114574845831</v>
      </c>
    </row>
    <row r="1467" spans="1:82" customFormat="1" ht="15" customHeight="1" x14ac:dyDescent="0.25">
      <c r="A1467">
        <v>2025</v>
      </c>
      <c r="B1467" s="8" t="s">
        <v>771</v>
      </c>
      <c r="C1467" s="8" t="s">
        <v>8750</v>
      </c>
      <c r="D1467" s="8">
        <v>1214992</v>
      </c>
      <c r="E1467" s="8" t="s">
        <v>8752</v>
      </c>
      <c r="F1467" s="8" t="s">
        <v>6874</v>
      </c>
      <c r="G1467" s="8" t="s">
        <v>31</v>
      </c>
      <c r="H1467" s="1056" t="s">
        <v>2723</v>
      </c>
      <c r="I1467" s="642">
        <v>45782</v>
      </c>
      <c r="J1467" s="175" t="s">
        <v>2724</v>
      </c>
      <c r="K1467" s="642">
        <v>45832</v>
      </c>
      <c r="L1467" s="16">
        <f>IF(ISTEXT(Table15[[#This Row],[Engineering Approved Design Date]]),Table15[[#This Row],[Date Completed]]-Table15[[#This Row],[Date Assigned to Designer]],Table15[[#This Row],[Engineering Approved Design Date]]-Table15[[#This Row],[Date Completed]])</f>
        <v>50</v>
      </c>
      <c r="M1467" t="s">
        <v>4550</v>
      </c>
      <c r="N1467" s="642" t="s">
        <v>739</v>
      </c>
      <c r="O1467" s="1025">
        <v>45839</v>
      </c>
      <c r="P1467" s="21" t="s">
        <v>120</v>
      </c>
      <c r="Q1467" s="340">
        <f>Table15[[#This Row],[KH Hourly Effort]]</f>
        <v>2295</v>
      </c>
      <c r="R1467" s="1026" t="s">
        <v>1922</v>
      </c>
      <c r="S1467" s="538">
        <v>0</v>
      </c>
      <c r="T1467" s="538">
        <v>0</v>
      </c>
      <c r="U1467" s="87">
        <v>2295</v>
      </c>
      <c r="V1467" s="888" t="s">
        <v>29</v>
      </c>
      <c r="W1467" s="437">
        <v>0</v>
      </c>
      <c r="X1467" s="538" t="s">
        <v>29</v>
      </c>
      <c r="Y1467" s="538" t="s">
        <v>29</v>
      </c>
      <c r="Z1467" s="538" t="s">
        <v>29</v>
      </c>
      <c r="AA1467" s="538" t="s">
        <v>29</v>
      </c>
      <c r="AB1467" s="893" t="s">
        <v>29</v>
      </c>
      <c r="AC1467" s="897" t="s">
        <v>29</v>
      </c>
      <c r="AD1467" s="1304" t="s">
        <v>29</v>
      </c>
      <c r="AE1467" s="573" t="s">
        <v>29</v>
      </c>
      <c r="AF1467" s="573" t="s">
        <v>29</v>
      </c>
      <c r="AG1467" s="569" t="s">
        <v>29</v>
      </c>
      <c r="AH1467" s="573" t="s">
        <v>29</v>
      </c>
      <c r="AI1467" s="1028" t="s">
        <v>29</v>
      </c>
      <c r="AJ1467" s="1029" t="s">
        <v>29</v>
      </c>
      <c r="AK1467" s="1029" t="s">
        <v>29</v>
      </c>
      <c r="AL1467" s="923" t="s">
        <v>29</v>
      </c>
      <c r="AM1467" s="542" t="s">
        <v>709</v>
      </c>
      <c r="AN1467" s="924"/>
      <c r="AO1467" s="925"/>
      <c r="AP1467" s="926"/>
      <c r="AQ1467" s="926"/>
      <c r="AR1467" s="926"/>
      <c r="AS1467" s="926"/>
      <c r="AT1467" s="926"/>
      <c r="AU1467" s="926"/>
      <c r="AV1467" s="926"/>
      <c r="AW1467" s="927"/>
      <c r="AX1467" s="926"/>
      <c r="AY1467" s="1538" t="s">
        <v>29</v>
      </c>
      <c r="AZ1467" s="1530"/>
      <c r="BA1467" s="1031" t="s">
        <v>29</v>
      </c>
      <c r="BB1467" s="644" t="s">
        <v>29</v>
      </c>
      <c r="BC1467" s="544" t="s">
        <v>709</v>
      </c>
      <c r="BD1467" s="544" t="s">
        <v>709</v>
      </c>
      <c r="BE1467" s="544" t="s">
        <v>8104</v>
      </c>
      <c r="BF1467" s="544" t="s">
        <v>8104</v>
      </c>
      <c r="BG1467" s="544" t="s">
        <v>8919</v>
      </c>
      <c r="BH1467" s="741" t="s">
        <v>8920</v>
      </c>
      <c r="BI1467" s="547" t="s">
        <v>745</v>
      </c>
      <c r="BJ1467" s="547" t="s">
        <v>745</v>
      </c>
      <c r="BK1467" s="547" t="s">
        <v>745</v>
      </c>
      <c r="BL1467" s="547" t="s">
        <v>745</v>
      </c>
      <c r="BM1467" s="547" t="s">
        <v>745</v>
      </c>
      <c r="BN1467" s="547" t="s">
        <v>745</v>
      </c>
      <c r="BO1467" s="547" t="s">
        <v>745</v>
      </c>
      <c r="BP1467" s="547" t="s">
        <v>745</v>
      </c>
      <c r="BQ1467" s="547" t="s">
        <v>745</v>
      </c>
      <c r="BR1467" s="547">
        <v>110</v>
      </c>
      <c r="BS1467" s="547">
        <v>2573</v>
      </c>
      <c r="BT1467" s="547" t="s">
        <v>745</v>
      </c>
      <c r="BU1467" s="547" t="s">
        <v>745</v>
      </c>
      <c r="BV1467" s="547" t="s">
        <v>745</v>
      </c>
      <c r="BW1467" s="547" t="s">
        <v>745</v>
      </c>
      <c r="BX1467" s="547" t="s">
        <v>745</v>
      </c>
      <c r="BY1467" s="547" t="s">
        <v>745</v>
      </c>
      <c r="BZ1467" s="547" t="s">
        <v>745</v>
      </c>
      <c r="CA1467" s="483"/>
      <c r="CB1467" s="547">
        <v>1465</v>
      </c>
      <c r="CC1467" s="1481" t="b">
        <v>0</v>
      </c>
      <c r="CD1467" t="str">
        <f>Table15[[#This Row],[Engineering Number]]&amp;Table15[[#This Row],[WO Number]]&amp;Table15[[#This Row],[Date Assigned to Designer]]&amp;Table15[[#This Row],[Date Completed]]</f>
        <v>MR2BID9647-312149924578245832</v>
      </c>
    </row>
    <row r="1468" spans="1:82" ht="15" customHeight="1" x14ac:dyDescent="0.25">
      <c r="A1468">
        <v>2025</v>
      </c>
      <c r="B1468" s="878" t="s">
        <v>4</v>
      </c>
      <c r="C1468" s="879" t="s">
        <v>8921</v>
      </c>
      <c r="D1468" s="880" t="s">
        <v>8922</v>
      </c>
      <c r="E1468" s="879" t="s">
        <v>5043</v>
      </c>
      <c r="F1468" s="878" t="s">
        <v>6874</v>
      </c>
      <c r="G1468" s="878" t="s">
        <v>6377</v>
      </c>
      <c r="H1468" s="878" t="s">
        <v>59</v>
      </c>
      <c r="I1468" s="881">
        <v>45719</v>
      </c>
      <c r="J1468" s="882">
        <v>45835</v>
      </c>
      <c r="K1468" s="945">
        <v>45833</v>
      </c>
      <c r="L1468" s="884">
        <f>IF(ISTEXT(Table15[[#This Row],[Engineering Approved Design Date]]),Table15[[#This Row],[Date Completed]]-Table15[[#This Row],[Date Assigned to Designer]],Table15[[#This Row],[Engineering Approved Design Date]]-Table15[[#This Row],[Date Completed]])</f>
        <v>2</v>
      </c>
      <c r="N1468" s="942" t="s">
        <v>120</v>
      </c>
      <c r="O1468" s="886">
        <v>45839</v>
      </c>
      <c r="P1468" s="1153" t="s">
        <v>739</v>
      </c>
      <c r="Q1468" s="1150">
        <f>Table15[[#This Row],[Rate]]*Table15[[#This Row],[Construction Cost to Bill From]]</f>
        <v>19752.644</v>
      </c>
      <c r="R1468" s="887">
        <v>0.1</v>
      </c>
      <c r="S1468" s="1228" t="s">
        <v>29</v>
      </c>
      <c r="T1468" s="888" t="s">
        <v>29</v>
      </c>
      <c r="U1468" s="889" t="s">
        <v>29</v>
      </c>
      <c r="V1468" s="890">
        <v>253</v>
      </c>
      <c r="W1468" s="1021" t="s">
        <v>29</v>
      </c>
      <c r="X1468" s="888">
        <v>148402.25</v>
      </c>
      <c r="Y1468" s="891"/>
      <c r="Z1468" s="888">
        <v>49124.19</v>
      </c>
      <c r="AA1468" s="892">
        <f>SUM(Table15[[#This Row],[PCTS Investment Amount]:[PCTS Retirement Amount]])</f>
        <v>197526.44</v>
      </c>
      <c r="AB1468" s="893">
        <v>45819</v>
      </c>
      <c r="AC1468" s="894" t="s">
        <v>29</v>
      </c>
      <c r="AD1468" s="1160" t="s">
        <v>29</v>
      </c>
      <c r="AE1468" s="894" t="s">
        <v>756</v>
      </c>
      <c r="AF1468" s="569" t="s">
        <v>756</v>
      </c>
      <c r="AG1468" s="896" t="s">
        <v>116</v>
      </c>
      <c r="AH1468" s="897">
        <v>45854</v>
      </c>
      <c r="AI1468" s="898">
        <v>0</v>
      </c>
      <c r="AJ1468" s="899">
        <v>5154.7</v>
      </c>
      <c r="AK1468" s="960">
        <v>7253.01</v>
      </c>
      <c r="AL1468" s="923">
        <f>SUM(Table15[[#This Row],[Nicor Initiated DBE]:[Staffing]])/(Table15[[#This Row],[Amount Invoiced]])</f>
        <v>0.62815438783790156</v>
      </c>
      <c r="AM1468" s="536" t="s">
        <v>116</v>
      </c>
      <c r="AN1468" s="903" t="s">
        <v>709</v>
      </c>
      <c r="AO1468" s="1536"/>
      <c r="AP1468" s="1537"/>
      <c r="AQ1468" s="1537"/>
      <c r="AR1468" s="1537"/>
      <c r="AS1468" s="888">
        <f>IF(Table15[[#This Row],[PCTS Approved]]="N",0,Table15[[#This Row],[Investment Amount (1'#'#'#'#'#)]]+Table15[[#This Row],[Retirement Amount (3'#'#'#'#'#)]])</f>
        <v>0</v>
      </c>
      <c r="AT1468" s="888">
        <f>IF(Table15[[#This Row],[Approved Construction Cost]]=0,0,Table15[[#This Row],[Approved Construction Cost]]-Table15[[#This Row],[Construction Cost to Bill From]])</f>
        <v>0</v>
      </c>
      <c r="AU1468" s="888">
        <f>IFERROR(Table15[[#This Row],[Difference in Construction Cost]]*Table15[[#This Row],[Rate]],Table15[[#This Row],[Difference in Construction Cost]]*0.085)</f>
        <v>0</v>
      </c>
      <c r="AV1468" s="905"/>
      <c r="AW1468" s="1509"/>
      <c r="AX1468" s="888"/>
      <c r="AY1468" s="636" t="s">
        <v>709</v>
      </c>
      <c r="AZ1468" s="333"/>
      <c r="BA1468" s="910" t="s">
        <v>8923</v>
      </c>
      <c r="BB1468" s="911" t="s">
        <v>8924</v>
      </c>
      <c r="BC1468" s="912" t="s">
        <v>116</v>
      </c>
      <c r="BD1468" s="913" t="s">
        <v>709</v>
      </c>
      <c r="BE1468" s="914" t="s">
        <v>7490</v>
      </c>
      <c r="BF1468" s="914" t="s">
        <v>7490</v>
      </c>
      <c r="BG1468" s="915" t="s">
        <v>709</v>
      </c>
      <c r="BH1468" s="1023" t="s">
        <v>8925</v>
      </c>
      <c r="BI1468" s="929" t="s">
        <v>745</v>
      </c>
      <c r="BJ1468" s="929" t="s">
        <v>745</v>
      </c>
      <c r="BK1468" s="916" t="s">
        <v>745</v>
      </c>
      <c r="BL1468" s="916" t="s">
        <v>116</v>
      </c>
      <c r="BM1468" s="916">
        <v>0</v>
      </c>
      <c r="BN1468" s="916">
        <v>0</v>
      </c>
      <c r="BO1468" s="916">
        <v>0</v>
      </c>
      <c r="BP1468" s="916">
        <v>0</v>
      </c>
      <c r="BQ1468" s="916">
        <v>0</v>
      </c>
      <c r="BR1468" s="916">
        <v>253</v>
      </c>
      <c r="BS1468" s="916">
        <v>0</v>
      </c>
      <c r="BT1468" s="916">
        <v>0</v>
      </c>
      <c r="BU1468" s="916">
        <v>0</v>
      </c>
      <c r="BV1468" s="916">
        <v>0</v>
      </c>
      <c r="BW1468" s="916">
        <v>0</v>
      </c>
      <c r="BX1468" s="916">
        <v>0</v>
      </c>
      <c r="BY1468" s="916">
        <v>0</v>
      </c>
      <c r="BZ1468" s="916" t="s">
        <v>745</v>
      </c>
      <c r="CA1468" s="917"/>
      <c r="CB1468" s="547">
        <v>1467</v>
      </c>
      <c r="CC1468" s="1481" t="b">
        <v>0</v>
      </c>
      <c r="CD1468" s="879" t="str">
        <f>Table15[[#This Row],[Engineering Number]]&amp;Table15[[#This Row],[WO Number]]&amp;Table15[[#This Row],[Date Assigned to Designer]]&amp;Table15[[#This Row],[Date Completed]]</f>
        <v>SC2571214151544571945833</v>
      </c>
    </row>
    <row r="1469" spans="1:82" ht="15" customHeight="1" x14ac:dyDescent="0.25">
      <c r="A1469">
        <v>2025</v>
      </c>
      <c r="B1469" s="878" t="s">
        <v>4</v>
      </c>
      <c r="C1469" s="878" t="s">
        <v>8926</v>
      </c>
      <c r="D1469" s="878" t="s">
        <v>8927</v>
      </c>
      <c r="E1469" s="878" t="s">
        <v>1154</v>
      </c>
      <c r="F1469" s="878" t="s">
        <v>6874</v>
      </c>
      <c r="G1469" s="878" t="s">
        <v>27</v>
      </c>
      <c r="H1469" s="878" t="s">
        <v>1681</v>
      </c>
      <c r="I1469" s="882">
        <v>45230</v>
      </c>
      <c r="J1469" s="882">
        <v>45859</v>
      </c>
      <c r="K1469" s="945">
        <v>45833</v>
      </c>
      <c r="L1469" s="919">
        <f>IF(ISTEXT(Table15[[#This Row],[Engineering Approved Design Date]]),Table15[[#This Row],[Date Completed]]-Table15[[#This Row],[Date Assigned to Designer]],Table15[[#This Row],[Engineering Approved Design Date]]-Table15[[#This Row],[Date Completed]])</f>
        <v>26</v>
      </c>
      <c r="M1469" s="879" t="s">
        <v>8928</v>
      </c>
      <c r="N1469" s="99" t="s">
        <v>120</v>
      </c>
      <c r="O1469" s="886">
        <v>45870</v>
      </c>
      <c r="P1469" s="1153" t="s">
        <v>739</v>
      </c>
      <c r="Q1469" s="1150">
        <f>SUM(Table15[[#This Row],[Shactee Effort]:[KH Hourly Effort]])</f>
        <v>52917.5</v>
      </c>
      <c r="R1469" s="887" t="s">
        <v>1922</v>
      </c>
      <c r="S1469" s="888">
        <v>845</v>
      </c>
      <c r="T1469" s="888">
        <v>2300</v>
      </c>
      <c r="U1469" s="889">
        <v>49772.5</v>
      </c>
      <c r="V1469" s="890" t="s">
        <v>29</v>
      </c>
      <c r="W1469" s="1188" t="s">
        <v>29</v>
      </c>
      <c r="X1469" s="888" t="s">
        <v>29</v>
      </c>
      <c r="Y1469" s="1487"/>
      <c r="Z1469" s="888" t="s">
        <v>29</v>
      </c>
      <c r="AA1469" s="892" t="s">
        <v>29</v>
      </c>
      <c r="AB1469" s="893" t="s">
        <v>29</v>
      </c>
      <c r="AC1469" s="894" t="s">
        <v>29</v>
      </c>
      <c r="AD1469" s="1161" t="s">
        <v>29</v>
      </c>
      <c r="AE1469" s="895" t="s">
        <v>756</v>
      </c>
      <c r="AF1469" s="895" t="s">
        <v>756</v>
      </c>
      <c r="AG1469" s="896" t="s">
        <v>29</v>
      </c>
      <c r="AH1469" s="897">
        <v>45854</v>
      </c>
      <c r="AI1469" s="921" t="s">
        <v>29</v>
      </c>
      <c r="AJ1469" s="922" t="s">
        <v>29</v>
      </c>
      <c r="AK1469" s="922" t="s">
        <v>29</v>
      </c>
      <c r="AL1469" s="923" t="s">
        <v>29</v>
      </c>
      <c r="AM1469" s="542" t="s">
        <v>709</v>
      </c>
      <c r="AN1469" s="924"/>
      <c r="AO1469" s="925"/>
      <c r="AP1469" s="926"/>
      <c r="AQ1469" s="926"/>
      <c r="AR1469" s="926"/>
      <c r="AS1469" s="926"/>
      <c r="AT1469" s="926"/>
      <c r="AU1469" s="926"/>
      <c r="AV1469" s="926"/>
      <c r="AW1469" s="927"/>
      <c r="AX1469" s="926"/>
      <c r="AY1469" s="1538" t="s">
        <v>29</v>
      </c>
      <c r="AZ1469" s="1530"/>
      <c r="BA1469" s="910" t="s">
        <v>8929</v>
      </c>
      <c r="BB1469" s="928" t="s">
        <v>961</v>
      </c>
      <c r="BC1469" s="912" t="s">
        <v>709</v>
      </c>
      <c r="BD1469" s="913" t="s">
        <v>709</v>
      </c>
      <c r="BE1469" s="914" t="s">
        <v>1381</v>
      </c>
      <c r="BF1469" s="914" t="s">
        <v>709</v>
      </c>
      <c r="BG1469" s="943" t="s">
        <v>6346</v>
      </c>
      <c r="BH1469" s="1023" t="s">
        <v>8930</v>
      </c>
      <c r="BI1469" s="980"/>
      <c r="BJ1469" s="980"/>
      <c r="BK1469" s="980"/>
      <c r="BL1469" s="980"/>
      <c r="BM1469" s="980"/>
      <c r="BN1469" s="981"/>
      <c r="BO1469" s="980"/>
      <c r="BP1469" s="982"/>
      <c r="BQ1469" s="981"/>
      <c r="BR1469" s="981"/>
      <c r="BS1469" s="981"/>
      <c r="BT1469" s="981"/>
      <c r="BU1469" s="981"/>
      <c r="BV1469" s="981"/>
      <c r="BW1469" s="981"/>
      <c r="BX1469" s="980"/>
      <c r="BY1469" s="983"/>
      <c r="BZ1469" s="983"/>
      <c r="CA1469" s="485" t="s">
        <v>915</v>
      </c>
      <c r="CB1469" s="547">
        <v>1466</v>
      </c>
      <c r="CC1469" s="1481" t="b">
        <v>0</v>
      </c>
      <c r="CD1469" s="879" t="str">
        <f>Table15[[#This Row],[Engineering Number]]&amp;Table15[[#This Row],[WO Number]]&amp;Table15[[#This Row],[Date Assigned to Designer]]&amp;Table15[[#This Row],[Date Completed]]</f>
        <v>SC2376214134984523045833</v>
      </c>
    </row>
    <row r="1470" spans="1:82" ht="15" customHeight="1" x14ac:dyDescent="0.25">
      <c r="A1470">
        <v>2025</v>
      </c>
      <c r="B1470" s="878" t="s">
        <v>1205</v>
      </c>
      <c r="C1470" s="879" t="s">
        <v>8931</v>
      </c>
      <c r="D1470" s="880" t="s">
        <v>8932</v>
      </c>
      <c r="E1470" s="879" t="s">
        <v>97</v>
      </c>
      <c r="F1470" s="878" t="s">
        <v>784</v>
      </c>
      <c r="G1470" s="878" t="s">
        <v>7152</v>
      </c>
      <c r="H1470" s="878" t="s">
        <v>59</v>
      </c>
      <c r="I1470" s="881">
        <v>45754</v>
      </c>
      <c r="J1470" s="18">
        <v>45838</v>
      </c>
      <c r="K1470" s="883">
        <v>45834</v>
      </c>
      <c r="L1470" s="919">
        <f>IF(ISTEXT(Table15[[#This Row],[Engineering Approved Design Date]]),Table15[[#This Row],[Date Completed]]-Table15[[#This Row],[Date Assigned to Designer]],Table15[[#This Row],[Engineering Approved Design Date]]-Table15[[#This Row],[Date Completed]])</f>
        <v>4</v>
      </c>
      <c r="N1470" s="942" t="s">
        <v>739</v>
      </c>
      <c r="O1470" s="886">
        <v>45839</v>
      </c>
      <c r="P1470" s="1153" t="s">
        <v>739</v>
      </c>
      <c r="Q1470" s="1150">
        <f>Table15[[#This Row],[Rate]]*Table15[[#This Row],[Construction Cost to Bill From]]</f>
        <v>18325.287899999999</v>
      </c>
      <c r="R1470" s="887">
        <v>0.09</v>
      </c>
      <c r="S1470" s="888" t="s">
        <v>29</v>
      </c>
      <c r="T1470" s="888" t="s">
        <v>29</v>
      </c>
      <c r="U1470" s="889" t="s">
        <v>29</v>
      </c>
      <c r="V1470" s="890">
        <v>28</v>
      </c>
      <c r="W1470" s="1021">
        <v>0</v>
      </c>
      <c r="X1470" s="888">
        <v>175986.26</v>
      </c>
      <c r="Y1470" s="891"/>
      <c r="Z1470" s="888">
        <v>27628.05</v>
      </c>
      <c r="AA1470" s="892">
        <f>SUM(Table15[[#This Row],[PCTS Investment Amount]:[PCTS Retirement Amount]])</f>
        <v>203614.31</v>
      </c>
      <c r="AB1470" s="893">
        <v>45839</v>
      </c>
      <c r="AC1470" s="894" t="s">
        <v>709</v>
      </c>
      <c r="AD1470" s="1160" t="s">
        <v>29</v>
      </c>
      <c r="AE1470" s="940" t="s">
        <v>116</v>
      </c>
      <c r="AF1470" s="895" t="s">
        <v>116</v>
      </c>
      <c r="AG1470" s="896" t="s">
        <v>376</v>
      </c>
      <c r="AH1470" s="897" t="s">
        <v>376</v>
      </c>
      <c r="AI1470" s="898" t="s">
        <v>29</v>
      </c>
      <c r="AJ1470" s="899" t="s">
        <v>29</v>
      </c>
      <c r="AK1470" s="948">
        <f>2733.85+737.25</f>
        <v>3471.1</v>
      </c>
      <c r="AL1470" s="923">
        <f>SUM(Table15[[#This Row],[Nicor Initiated DBE]:[Staffing]])/(Table15[[#This Row],[Amount Invoiced]])</f>
        <v>0.18941585086911514</v>
      </c>
      <c r="AM1470" s="536" t="s">
        <v>116</v>
      </c>
      <c r="AN1470" s="903"/>
      <c r="AO1470" s="1536"/>
      <c r="AP1470" s="1537"/>
      <c r="AQ1470" s="1537"/>
      <c r="AR1470" s="1537"/>
      <c r="AS1470" s="888">
        <f>IF(Table15[[#This Row],[PCTS Approved]]="N",0,Table15[[#This Row],[Investment Amount (1'#'#'#'#'#)]]+Table15[[#This Row],[Retirement Amount (3'#'#'#'#'#)]])</f>
        <v>0</v>
      </c>
      <c r="AT1470" s="888">
        <f>IF(Table15[[#This Row],[Approved Construction Cost]]=0,0,Table15[[#This Row],[Approved Construction Cost]]-Table15[[#This Row],[Construction Cost to Bill From]])</f>
        <v>0</v>
      </c>
      <c r="AU1470" s="888">
        <f>IFERROR(Table15[[#This Row],[Difference in Construction Cost]]*Table15[[#This Row],[Rate]],Table15[[#This Row],[Difference in Construction Cost]]*0.085)</f>
        <v>0</v>
      </c>
      <c r="AV1470" s="905"/>
      <c r="AW1470" s="1509"/>
      <c r="AX1470" s="888"/>
      <c r="AY1470" s="636" t="s">
        <v>709</v>
      </c>
      <c r="AZ1470" s="1532"/>
      <c r="BA1470" s="910" t="s">
        <v>8933</v>
      </c>
      <c r="BB1470" s="911" t="s">
        <v>8934</v>
      </c>
      <c r="BC1470" s="912" t="s">
        <v>116</v>
      </c>
      <c r="BD1470" s="913" t="s">
        <v>709</v>
      </c>
      <c r="BE1470" s="914" t="s">
        <v>7112</v>
      </c>
      <c r="BF1470" s="914" t="s">
        <v>709</v>
      </c>
      <c r="BG1470" s="915" t="s">
        <v>29</v>
      </c>
      <c r="BH1470" s="1023" t="s">
        <v>8935</v>
      </c>
      <c r="BI1470" s="929" t="s">
        <v>709</v>
      </c>
      <c r="BJ1470" s="929" t="s">
        <v>116</v>
      </c>
      <c r="BK1470" s="929" t="s">
        <v>709</v>
      </c>
      <c r="BL1470" s="916" t="s">
        <v>709</v>
      </c>
      <c r="BM1470" s="916" t="s">
        <v>709</v>
      </c>
      <c r="BN1470" s="916" t="s">
        <v>709</v>
      </c>
      <c r="BO1470" s="916" t="s">
        <v>709</v>
      </c>
      <c r="BP1470" s="916">
        <v>28</v>
      </c>
      <c r="BQ1470" s="916" t="s">
        <v>709</v>
      </c>
      <c r="BR1470" s="916" t="s">
        <v>709</v>
      </c>
      <c r="BS1470" s="916" t="s">
        <v>709</v>
      </c>
      <c r="BT1470" s="916" t="s">
        <v>709</v>
      </c>
      <c r="BU1470" s="916" t="s">
        <v>709</v>
      </c>
      <c r="BV1470" s="916" t="s">
        <v>709</v>
      </c>
      <c r="BW1470" s="916" t="s">
        <v>709</v>
      </c>
      <c r="BX1470" s="916" t="s">
        <v>709</v>
      </c>
      <c r="BY1470" s="916" t="s">
        <v>709</v>
      </c>
      <c r="BZ1470" s="916" t="s">
        <v>709</v>
      </c>
      <c r="CA1470" s="917"/>
      <c r="CB1470" s="547">
        <v>1468</v>
      </c>
      <c r="CC1470" s="1481" t="b">
        <v>0</v>
      </c>
      <c r="CD1470" s="879" t="str">
        <f>Table15[[#This Row],[Engineering Number]]&amp;Table15[[#This Row],[WO Number]]&amp;Table15[[#This Row],[Date Assigned to Designer]]&amp;Table15[[#This Row],[Date Completed]]</f>
        <v>MR225512152394575445834</v>
      </c>
    </row>
    <row r="1471" spans="1:82" ht="15" customHeight="1" x14ac:dyDescent="0.25">
      <c r="A1471">
        <v>2025</v>
      </c>
      <c r="B1471" s="878" t="s">
        <v>4</v>
      </c>
      <c r="C1471" s="878" t="s">
        <v>8415</v>
      </c>
      <c r="D1471" s="878">
        <v>1214085</v>
      </c>
      <c r="E1471" s="878" t="s">
        <v>108</v>
      </c>
      <c r="F1471" s="878" t="s">
        <v>784</v>
      </c>
      <c r="G1471" s="878" t="s">
        <v>25</v>
      </c>
      <c r="H1471" s="878" t="s">
        <v>4189</v>
      </c>
      <c r="I1471" s="883">
        <v>45777</v>
      </c>
      <c r="J1471" s="918" t="s">
        <v>2052</v>
      </c>
      <c r="K1471" s="945">
        <v>45834</v>
      </c>
      <c r="L1471" s="919">
        <f>IF(ISTEXT(Table15[[#This Row],[Engineering Approved Design Date]]),Table15[[#This Row],[Date Completed]]-Table15[[#This Row],[Date Assigned to Designer]],Table15[[#This Row],[Engineering Approved Design Date]]-Table15[[#This Row],[Date Completed]])</f>
        <v>57</v>
      </c>
      <c r="M1471" s="1012" t="s">
        <v>8936</v>
      </c>
      <c r="N1471" s="885" t="s">
        <v>120</v>
      </c>
      <c r="O1471" s="886">
        <v>45839</v>
      </c>
      <c r="P1471" s="1153" t="s">
        <v>739</v>
      </c>
      <c r="Q1471" s="1150">
        <f>SUM(Table15[[#This Row],[Shactee Effort]:[KH Hourly Effort]])</f>
        <v>15890</v>
      </c>
      <c r="R1471" s="920" t="s">
        <v>1922</v>
      </c>
      <c r="S1471" s="892">
        <v>0</v>
      </c>
      <c r="T1471" s="892">
        <v>0</v>
      </c>
      <c r="U1471" s="889">
        <v>15890</v>
      </c>
      <c r="V1471" s="1228" t="s">
        <v>29</v>
      </c>
      <c r="W1471" s="995" t="s">
        <v>29</v>
      </c>
      <c r="X1471" s="888" t="s">
        <v>29</v>
      </c>
      <c r="Y1471" s="888"/>
      <c r="Z1471" s="888" t="s">
        <v>29</v>
      </c>
      <c r="AA1471" s="888" t="s">
        <v>29</v>
      </c>
      <c r="AB1471" s="893" t="s">
        <v>29</v>
      </c>
      <c r="AC1471" s="569" t="s">
        <v>29</v>
      </c>
      <c r="AD1471" s="1155" t="s">
        <v>116</v>
      </c>
      <c r="AE1471" s="895" t="s">
        <v>116</v>
      </c>
      <c r="AF1471" s="896" t="s">
        <v>116</v>
      </c>
      <c r="AG1471" s="897" t="s">
        <v>116</v>
      </c>
      <c r="AH1471" s="902">
        <v>45825</v>
      </c>
      <c r="AI1471" s="921" t="s">
        <v>29</v>
      </c>
      <c r="AJ1471" s="922" t="s">
        <v>29</v>
      </c>
      <c r="AK1471" s="922" t="s">
        <v>29</v>
      </c>
      <c r="AL1471" s="923" t="s">
        <v>29</v>
      </c>
      <c r="AM1471" s="542" t="s">
        <v>709</v>
      </c>
      <c r="AN1471" s="924"/>
      <c r="AO1471" s="925"/>
      <c r="AP1471" s="926"/>
      <c r="AQ1471" s="926"/>
      <c r="AR1471" s="926"/>
      <c r="AS1471" s="926"/>
      <c r="AT1471" s="926"/>
      <c r="AU1471" s="926"/>
      <c r="AV1471" s="926"/>
      <c r="AW1471" s="927"/>
      <c r="AX1471" s="926"/>
      <c r="AY1471" s="1538" t="s">
        <v>29</v>
      </c>
      <c r="AZ1471" s="1530"/>
      <c r="BA1471" s="966" t="s">
        <v>4919</v>
      </c>
      <c r="BB1471" s="928" t="s">
        <v>8937</v>
      </c>
      <c r="BC1471" s="915" t="s">
        <v>709</v>
      </c>
      <c r="BD1471" s="915" t="s">
        <v>709</v>
      </c>
      <c r="BE1471" s="915" t="s">
        <v>1569</v>
      </c>
      <c r="BF1471" s="915" t="s">
        <v>709</v>
      </c>
      <c r="BG1471" s="915" t="s">
        <v>709</v>
      </c>
      <c r="BH1471" s="1023" t="s">
        <v>8938</v>
      </c>
      <c r="BI1471" s="626" t="s">
        <v>709</v>
      </c>
      <c r="BJ1471" s="626" t="s">
        <v>709</v>
      </c>
      <c r="BK1471" s="626" t="s">
        <v>709</v>
      </c>
      <c r="BL1471" s="626" t="s">
        <v>116</v>
      </c>
      <c r="BM1471" s="626" t="s">
        <v>709</v>
      </c>
      <c r="BN1471" s="626" t="s">
        <v>709</v>
      </c>
      <c r="BO1471" s="626" t="s">
        <v>709</v>
      </c>
      <c r="BP1471" s="626" t="s">
        <v>709</v>
      </c>
      <c r="BQ1471" s="929">
        <v>620</v>
      </c>
      <c r="BR1471" s="929">
        <v>105</v>
      </c>
      <c r="BS1471" s="916">
        <v>0</v>
      </c>
      <c r="BT1471" s="626" t="s">
        <v>709</v>
      </c>
      <c r="BU1471" s="626" t="s">
        <v>709</v>
      </c>
      <c r="BV1471" s="626" t="s">
        <v>709</v>
      </c>
      <c r="BW1471" s="626" t="s">
        <v>709</v>
      </c>
      <c r="BX1471" s="626" t="s">
        <v>709</v>
      </c>
      <c r="BY1471" s="626" t="s">
        <v>709</v>
      </c>
      <c r="BZ1471" s="547" t="s">
        <v>709</v>
      </c>
      <c r="CA1471" s="917"/>
      <c r="CB1471" s="547">
        <v>1471</v>
      </c>
      <c r="CC1471" s="1481" t="b">
        <v>0</v>
      </c>
      <c r="CD1471" s="879" t="str">
        <f>Table15[[#This Row],[Engineering Number]]&amp;Table15[[#This Row],[WO Number]]&amp;Table15[[#This Row],[Date Assigned to Designer]]&amp;Table15[[#This Row],[Date Completed]]</f>
        <v>N1298712140854577745834</v>
      </c>
    </row>
    <row r="1472" spans="1:82" ht="15" customHeight="1" x14ac:dyDescent="0.25">
      <c r="A1472">
        <v>2025</v>
      </c>
      <c r="B1472" s="878" t="s">
        <v>4</v>
      </c>
      <c r="C1472" s="879" t="s">
        <v>8939</v>
      </c>
      <c r="D1472" s="880" t="s">
        <v>8940</v>
      </c>
      <c r="E1472" s="879" t="s">
        <v>2217</v>
      </c>
      <c r="F1472" s="878" t="s">
        <v>1102</v>
      </c>
      <c r="G1472" s="878" t="s">
        <v>27</v>
      </c>
      <c r="H1472" s="878" t="s">
        <v>413</v>
      </c>
      <c r="I1472" s="881">
        <v>45153</v>
      </c>
      <c r="J1472" s="882">
        <v>45856</v>
      </c>
      <c r="K1472" s="945">
        <v>45834</v>
      </c>
      <c r="L1472" s="884">
        <f>IF(ISTEXT(Table15[[#This Row],[Engineering Approved Design Date]]),Table15[[#This Row],[Date Completed]]-Table15[[#This Row],[Date Assigned to Designer]],Table15[[#This Row],[Engineering Approved Design Date]]-Table15[[#This Row],[Date Completed]])</f>
        <v>22</v>
      </c>
      <c r="N1472" s="885" t="s">
        <v>120</v>
      </c>
      <c r="O1472" s="886">
        <v>45839</v>
      </c>
      <c r="P1472" s="1153" t="s">
        <v>739</v>
      </c>
      <c r="Q1472" s="1150">
        <f>Table15[[#This Row],[Rate]]*Table15[[#This Row],[Construction Cost to Bill From]]</f>
        <v>98288.742000000013</v>
      </c>
      <c r="R1472" s="887">
        <v>0.1</v>
      </c>
      <c r="S1472" s="888" t="s">
        <v>29</v>
      </c>
      <c r="T1472" s="888" t="s">
        <v>29</v>
      </c>
      <c r="U1472" s="888" t="s">
        <v>29</v>
      </c>
      <c r="V1472" s="890">
        <v>1983</v>
      </c>
      <c r="W1472" s="1021" t="s">
        <v>29</v>
      </c>
      <c r="X1472" s="888">
        <v>684225.91</v>
      </c>
      <c r="Y1472" s="891"/>
      <c r="Z1472" s="888">
        <v>298661.51</v>
      </c>
      <c r="AA1472" s="1216">
        <f>SUM(Table15[[#This Row],[PCTS Investment Amount]:[PCTS Retirement Amount]])</f>
        <v>982887.42</v>
      </c>
      <c r="AB1472" s="893">
        <v>45832</v>
      </c>
      <c r="AC1472" s="894" t="s">
        <v>709</v>
      </c>
      <c r="AD1472" s="1160" t="s">
        <v>116</v>
      </c>
      <c r="AE1472" s="895" t="s">
        <v>756</v>
      </c>
      <c r="AF1472" s="895" t="s">
        <v>29</v>
      </c>
      <c r="AG1472" s="896" t="s">
        <v>116</v>
      </c>
      <c r="AH1472" s="897">
        <v>45854</v>
      </c>
      <c r="AI1472" s="898">
        <v>0</v>
      </c>
      <c r="AJ1472" s="899">
        <f>478.12+6800</f>
        <v>7278.12</v>
      </c>
      <c r="AK1472" s="899">
        <f>11915+7550</f>
        <v>19465</v>
      </c>
      <c r="AL1472" s="923">
        <f>SUM(Table15[[#This Row],[Nicor Initiated DBE]:[Staffing]])/(Table15[[#This Row],[Amount Invoiced]])</f>
        <v>0.27208731596137425</v>
      </c>
      <c r="AM1472" s="536" t="s">
        <v>116</v>
      </c>
      <c r="AN1472" s="903" t="s">
        <v>709</v>
      </c>
      <c r="AO1472" s="1536"/>
      <c r="AP1472" s="1537"/>
      <c r="AQ1472" s="1537"/>
      <c r="AR1472" s="1537"/>
      <c r="AS1472" s="888">
        <f>IF(Table15[[#This Row],[PCTS Approved]]="N",0,Table15[[#This Row],[Investment Amount (1'#'#'#'#'#)]]+Table15[[#This Row],[Retirement Amount (3'#'#'#'#'#)]])</f>
        <v>0</v>
      </c>
      <c r="AT1472" s="888">
        <f>IF(Table15[[#This Row],[Approved Construction Cost]]=0,0,Table15[[#This Row],[Approved Construction Cost]]-Table15[[#This Row],[Construction Cost to Bill From]])</f>
        <v>0</v>
      </c>
      <c r="AU1472" s="888">
        <f>IFERROR(Table15[[#This Row],[Difference in Construction Cost]]*Table15[[#This Row],[Rate]],Table15[[#This Row],[Difference in Construction Cost]]*0.085)</f>
        <v>0</v>
      </c>
      <c r="AV1472" s="905"/>
      <c r="AW1472" s="1509"/>
      <c r="AX1472" s="888"/>
      <c r="AY1472" s="636" t="s">
        <v>709</v>
      </c>
      <c r="AZ1472" s="333"/>
      <c r="BA1472" s="910" t="s">
        <v>8941</v>
      </c>
      <c r="BB1472" s="911" t="s">
        <v>1092</v>
      </c>
      <c r="BC1472" s="912" t="s">
        <v>709</v>
      </c>
      <c r="BD1472" s="913" t="s">
        <v>837</v>
      </c>
      <c r="BE1472" s="914" t="s">
        <v>5212</v>
      </c>
      <c r="BF1472" s="914" t="s">
        <v>5212</v>
      </c>
      <c r="BG1472" s="915" t="s">
        <v>709</v>
      </c>
      <c r="BH1472" s="1023" t="s">
        <v>8942</v>
      </c>
      <c r="BI1472" s="916" t="s">
        <v>709</v>
      </c>
      <c r="BJ1472" s="916" t="s">
        <v>745</v>
      </c>
      <c r="BK1472" s="916" t="s">
        <v>745</v>
      </c>
      <c r="BL1472" s="916" t="s">
        <v>116</v>
      </c>
      <c r="BM1472" s="916" t="s">
        <v>745</v>
      </c>
      <c r="BN1472" s="916" t="s">
        <v>745</v>
      </c>
      <c r="BO1472" s="916" t="s">
        <v>745</v>
      </c>
      <c r="BP1472" s="916" t="s">
        <v>745</v>
      </c>
      <c r="BQ1472" s="916">
        <v>1379</v>
      </c>
      <c r="BR1472" s="916">
        <v>298</v>
      </c>
      <c r="BS1472" s="916">
        <v>306</v>
      </c>
      <c r="BT1472" s="916" t="s">
        <v>745</v>
      </c>
      <c r="BU1472" s="916" t="s">
        <v>745</v>
      </c>
      <c r="BV1472" s="916" t="s">
        <v>745</v>
      </c>
      <c r="BW1472" s="916" t="s">
        <v>745</v>
      </c>
      <c r="BX1472" s="916" t="s">
        <v>745</v>
      </c>
      <c r="BY1472" s="916" t="s">
        <v>745</v>
      </c>
      <c r="BZ1472" s="916" t="s">
        <v>709</v>
      </c>
      <c r="CA1472" s="917" t="s">
        <v>709</v>
      </c>
      <c r="CB1472" s="547">
        <v>1469</v>
      </c>
      <c r="CC1472" s="1481" t="b">
        <v>0</v>
      </c>
      <c r="CD1472" s="879" t="str">
        <f>Table15[[#This Row],[Engineering Number]]&amp;Table15[[#This Row],[WO Number]]&amp;Table15[[#This Row],[Date Assigned to Designer]]&amp;Table15[[#This Row],[Date Completed]]</f>
        <v>SC2139614137724515345834</v>
      </c>
    </row>
    <row r="1473" spans="1:82" ht="15" customHeight="1" x14ac:dyDescent="0.25">
      <c r="A1473">
        <v>2025</v>
      </c>
      <c r="B1473" s="878" t="s">
        <v>4</v>
      </c>
      <c r="C1473" s="879" t="s">
        <v>8943</v>
      </c>
      <c r="D1473" s="880" t="s">
        <v>8944</v>
      </c>
      <c r="E1473" s="879" t="s">
        <v>2217</v>
      </c>
      <c r="F1473" s="878" t="s">
        <v>1102</v>
      </c>
      <c r="G1473" s="878" t="s">
        <v>27</v>
      </c>
      <c r="H1473" s="878" t="s">
        <v>413</v>
      </c>
      <c r="I1473" s="881">
        <v>45153</v>
      </c>
      <c r="J1473" s="882">
        <v>45856</v>
      </c>
      <c r="K1473" s="945">
        <v>45834</v>
      </c>
      <c r="L1473" s="884">
        <f>IF(ISTEXT(Table15[[#This Row],[Engineering Approved Design Date]]),Table15[[#This Row],[Date Completed]]-Table15[[#This Row],[Date Assigned to Designer]],Table15[[#This Row],[Engineering Approved Design Date]]-Table15[[#This Row],[Date Completed]])</f>
        <v>22</v>
      </c>
      <c r="N1473" s="942" t="s">
        <v>120</v>
      </c>
      <c r="O1473" s="886">
        <v>45839</v>
      </c>
      <c r="P1473" s="1153" t="s">
        <v>739</v>
      </c>
      <c r="Q1473" s="1150">
        <f>Table15[[#This Row],[Rate]]*Table15[[#This Row],[Construction Cost to Bill From]]</f>
        <v>123055.576</v>
      </c>
      <c r="R1473" s="887">
        <v>0.1</v>
      </c>
      <c r="S1473" s="888" t="s">
        <v>29</v>
      </c>
      <c r="T1473" s="888" t="s">
        <v>29</v>
      </c>
      <c r="U1473" s="889" t="s">
        <v>29</v>
      </c>
      <c r="V1473" s="1630">
        <v>2306</v>
      </c>
      <c r="W1473" s="1021" t="s">
        <v>29</v>
      </c>
      <c r="X1473" s="888">
        <v>795295.19</v>
      </c>
      <c r="Y1473" s="891"/>
      <c r="Z1473" s="888">
        <v>435260.57</v>
      </c>
      <c r="AA1473" s="1216">
        <f>SUM(Table15[[#This Row],[PCTS Investment Amount]:[PCTS Retirement Amount]])</f>
        <v>1230555.76</v>
      </c>
      <c r="AB1473" s="893">
        <v>45510</v>
      </c>
      <c r="AC1473" s="894" t="s">
        <v>709</v>
      </c>
      <c r="AD1473" s="1160" t="s">
        <v>116</v>
      </c>
      <c r="AE1473" s="895" t="s">
        <v>756</v>
      </c>
      <c r="AF1473" s="895" t="s">
        <v>29</v>
      </c>
      <c r="AG1473" s="896" t="s">
        <v>116</v>
      </c>
      <c r="AH1473" s="897">
        <v>45854</v>
      </c>
      <c r="AI1473" s="898">
        <v>0</v>
      </c>
      <c r="AJ1473" s="899" t="s">
        <v>29</v>
      </c>
      <c r="AK1473" s="899" t="s">
        <v>29</v>
      </c>
      <c r="AL1473" s="923">
        <f>SUM(Table15[[#This Row],[Nicor Initiated DBE]:[Staffing]])/(Table15[[#This Row],[Amount Invoiced]])</f>
        <v>0</v>
      </c>
      <c r="AM1473" s="536" t="s">
        <v>116</v>
      </c>
      <c r="AN1473" s="903" t="s">
        <v>709</v>
      </c>
      <c r="AO1473" s="1536"/>
      <c r="AP1473" s="1537"/>
      <c r="AQ1473" s="1537"/>
      <c r="AR1473" s="1537"/>
      <c r="AS1473" s="888">
        <f>IF(Table15[[#This Row],[PCTS Approved]]="N",0,Table15[[#This Row],[Investment Amount (1'#'#'#'#'#)]]+Table15[[#This Row],[Retirement Amount (3'#'#'#'#'#)]])</f>
        <v>0</v>
      </c>
      <c r="AT1473" s="888">
        <f>IF(Table15[[#This Row],[Approved Construction Cost]]=0,0,Table15[[#This Row],[Approved Construction Cost]]-Table15[[#This Row],[Construction Cost to Bill From]])</f>
        <v>0</v>
      </c>
      <c r="AU1473" s="888">
        <f>IFERROR(Table15[[#This Row],[Difference in Construction Cost]]*Table15[[#This Row],[Rate]],Table15[[#This Row],[Difference in Construction Cost]]*0.085)</f>
        <v>0</v>
      </c>
      <c r="AV1473" s="905"/>
      <c r="AW1473" s="1509"/>
      <c r="AX1473" s="888"/>
      <c r="AY1473" s="636" t="s">
        <v>709</v>
      </c>
      <c r="AZ1473" s="333"/>
      <c r="BA1473" s="910" t="s">
        <v>8941</v>
      </c>
      <c r="BB1473" s="911" t="s">
        <v>1092</v>
      </c>
      <c r="BC1473" s="912" t="s">
        <v>709</v>
      </c>
      <c r="BD1473" s="913" t="s">
        <v>837</v>
      </c>
      <c r="BE1473" s="914" t="s">
        <v>5212</v>
      </c>
      <c r="BF1473" s="914" t="s">
        <v>5212</v>
      </c>
      <c r="BG1473" s="915" t="s">
        <v>709</v>
      </c>
      <c r="BH1473" s="1023" t="s">
        <v>8942</v>
      </c>
      <c r="BI1473" s="916" t="s">
        <v>709</v>
      </c>
      <c r="BJ1473" s="916" t="s">
        <v>745</v>
      </c>
      <c r="BK1473" s="916" t="s">
        <v>745</v>
      </c>
      <c r="BL1473" s="916" t="s">
        <v>116</v>
      </c>
      <c r="BM1473" s="916" t="s">
        <v>745</v>
      </c>
      <c r="BN1473" s="916" t="s">
        <v>745</v>
      </c>
      <c r="BO1473" s="916" t="s">
        <v>709</v>
      </c>
      <c r="BP1473" s="916" t="s">
        <v>745</v>
      </c>
      <c r="BQ1473" s="916">
        <v>1839</v>
      </c>
      <c r="BR1473" s="916">
        <v>212</v>
      </c>
      <c r="BS1473" s="916">
        <v>212</v>
      </c>
      <c r="BT1473" s="916" t="s">
        <v>745</v>
      </c>
      <c r="BU1473" s="916" t="s">
        <v>745</v>
      </c>
      <c r="BV1473" s="916" t="s">
        <v>745</v>
      </c>
      <c r="BW1473" s="916" t="s">
        <v>745</v>
      </c>
      <c r="BX1473" s="916" t="s">
        <v>745</v>
      </c>
      <c r="BY1473" s="916" t="s">
        <v>745</v>
      </c>
      <c r="BZ1473" s="916" t="s">
        <v>709</v>
      </c>
      <c r="CA1473" s="917" t="s">
        <v>709</v>
      </c>
      <c r="CB1473" s="547">
        <v>1470</v>
      </c>
      <c r="CC1473" s="1481" t="b">
        <v>0</v>
      </c>
      <c r="CD1473" s="879" t="str">
        <f>Table15[[#This Row],[Engineering Number]]&amp;Table15[[#This Row],[WO Number]]&amp;Table15[[#This Row],[Date Assigned to Designer]]&amp;Table15[[#This Row],[Date Completed]]</f>
        <v>SC21396-114139284515345834</v>
      </c>
    </row>
    <row r="1474" spans="1:82" ht="14.25" customHeight="1" x14ac:dyDescent="0.25">
      <c r="A1474">
        <v>2025</v>
      </c>
      <c r="B1474" s="878" t="s">
        <v>6798</v>
      </c>
      <c r="C1474" s="878" t="s">
        <v>8945</v>
      </c>
      <c r="D1474" s="878" t="s">
        <v>8946</v>
      </c>
      <c r="E1474" s="878" t="s">
        <v>8947</v>
      </c>
      <c r="F1474" s="878" t="s">
        <v>6643</v>
      </c>
      <c r="G1474" s="878" t="s">
        <v>37</v>
      </c>
      <c r="H1474" s="931" t="s">
        <v>413</v>
      </c>
      <c r="I1474" s="883">
        <v>45727</v>
      </c>
      <c r="J1474" s="881">
        <v>45840</v>
      </c>
      <c r="K1474" s="945">
        <v>45838</v>
      </c>
      <c r="L1474" s="919">
        <f>IF(ISTEXT(Table15[[#This Row],[Engineering Approved Design Date]]),Table15[[#This Row],[Date Completed]]-Table15[[#This Row],[Date Assigned to Designer]],Table15[[#This Row],[Engineering Approved Design Date]]-Table15[[#This Row],[Date Completed]])</f>
        <v>2</v>
      </c>
      <c r="M1474" s="883"/>
      <c r="N1474" s="883" t="s">
        <v>739</v>
      </c>
      <c r="O1474" s="886">
        <v>45839</v>
      </c>
      <c r="P1474" s="1153" t="s">
        <v>739</v>
      </c>
      <c r="Q1474" s="1150">
        <f>SUM(Table15[[#This Row],[Shactee Effort]:[KH Hourly Effort]])</f>
        <v>7685.24</v>
      </c>
      <c r="R1474" s="933" t="s">
        <v>1922</v>
      </c>
      <c r="S1474" s="888">
        <v>2140.2399999999998</v>
      </c>
      <c r="T1474" s="888">
        <v>0</v>
      </c>
      <c r="U1474" s="934">
        <f>5545</f>
        <v>5545</v>
      </c>
      <c r="V1474" s="1630">
        <v>0</v>
      </c>
      <c r="W1474" s="1021">
        <v>1</v>
      </c>
      <c r="X1474" s="888">
        <v>25000</v>
      </c>
      <c r="Y1474" s="888"/>
      <c r="Z1474" s="892">
        <v>0</v>
      </c>
      <c r="AA1474" s="889">
        <f>SUM(Table15[[#This Row],[PCTS Investment Amount]:[PCTS Retirement Amount]])</f>
        <v>25000</v>
      </c>
      <c r="AB1474" s="1322" t="s">
        <v>29</v>
      </c>
      <c r="AC1474" s="896" t="s">
        <v>1177</v>
      </c>
      <c r="AD1474" s="1161" t="s">
        <v>29</v>
      </c>
      <c r="AE1474" s="895" t="s">
        <v>756</v>
      </c>
      <c r="AF1474" s="895" t="s">
        <v>29</v>
      </c>
      <c r="AG1474" s="895" t="s">
        <v>29</v>
      </c>
      <c r="AH1474" s="940" t="s">
        <v>376</v>
      </c>
      <c r="AI1474" s="898"/>
      <c r="AJ1474" s="899"/>
      <c r="AK1474" s="899"/>
      <c r="AL1474" s="923"/>
      <c r="AM1474" s="542" t="s">
        <v>709</v>
      </c>
      <c r="AN1474" s="924"/>
      <c r="AO1474" s="925"/>
      <c r="AP1474" s="926"/>
      <c r="AQ1474" s="926"/>
      <c r="AR1474" s="926"/>
      <c r="AS1474" s="926"/>
      <c r="AT1474" s="926"/>
      <c r="AU1474" s="926"/>
      <c r="AV1474" s="926"/>
      <c r="AW1474" s="927"/>
      <c r="AX1474" s="926"/>
      <c r="AY1474" s="1538" t="s">
        <v>29</v>
      </c>
      <c r="AZ1474" s="1530"/>
      <c r="BA1474" s="910" t="s">
        <v>8948</v>
      </c>
      <c r="BB1474" s="928" t="s">
        <v>8949</v>
      </c>
      <c r="BC1474" s="915" t="s">
        <v>29</v>
      </c>
      <c r="BD1474" s="915" t="s">
        <v>29</v>
      </c>
      <c r="BE1474" s="915" t="s">
        <v>29</v>
      </c>
      <c r="BF1474" s="915" t="s">
        <v>29</v>
      </c>
      <c r="BG1474" s="915" t="s">
        <v>29</v>
      </c>
      <c r="BH1474" s="1175" t="s">
        <v>8950</v>
      </c>
      <c r="BI1474" s="929" t="s">
        <v>745</v>
      </c>
      <c r="BJ1474" s="929" t="s">
        <v>116</v>
      </c>
      <c r="BK1474" s="929" t="s">
        <v>745</v>
      </c>
      <c r="BL1474" s="916" t="s">
        <v>116</v>
      </c>
      <c r="BM1474" s="916" t="s">
        <v>745</v>
      </c>
      <c r="BN1474" s="929" t="s">
        <v>745</v>
      </c>
      <c r="BO1474" s="916" t="s">
        <v>745</v>
      </c>
      <c r="BP1474" s="929" t="s">
        <v>745</v>
      </c>
      <c r="BQ1474" s="929" t="s">
        <v>745</v>
      </c>
      <c r="BR1474" s="929" t="s">
        <v>745</v>
      </c>
      <c r="BS1474" s="916" t="s">
        <v>745</v>
      </c>
      <c r="BT1474" s="929" t="s">
        <v>745</v>
      </c>
      <c r="BU1474" s="916" t="s">
        <v>116</v>
      </c>
      <c r="BV1474" s="929" t="s">
        <v>745</v>
      </c>
      <c r="BW1474" s="916" t="s">
        <v>745</v>
      </c>
      <c r="BX1474" s="929" t="s">
        <v>745</v>
      </c>
      <c r="BY1474" s="916" t="s">
        <v>745</v>
      </c>
      <c r="BZ1474" s="916" t="s">
        <v>745</v>
      </c>
      <c r="CA1474" s="1006" t="s">
        <v>8424</v>
      </c>
      <c r="CB1474" s="547">
        <v>1480</v>
      </c>
      <c r="CC1474" s="1481" t="b">
        <v>0</v>
      </c>
      <c r="CD1474" s="879" t="str">
        <f>Table15[[#This Row],[Engineering Number]]&amp;Table15[[#This Row],[WO Number]]&amp;Table15[[#This Row],[Date Assigned to Designer]]&amp;Table15[[#This Row],[Date Completed]]</f>
        <v>410119010151474572745838</v>
      </c>
    </row>
    <row r="1475" spans="1:82" ht="15" customHeight="1" x14ac:dyDescent="0.25">
      <c r="A1475">
        <v>2025</v>
      </c>
      <c r="B1475" s="879" t="s">
        <v>730</v>
      </c>
      <c r="C1475" s="879" t="s">
        <v>6785</v>
      </c>
      <c r="D1475" s="939">
        <v>1014236</v>
      </c>
      <c r="E1475" s="965" t="s">
        <v>2258</v>
      </c>
      <c r="F1475" s="879" t="s">
        <v>6643</v>
      </c>
      <c r="G1475" s="879" t="s">
        <v>37</v>
      </c>
      <c r="H1475" s="878" t="s">
        <v>4189</v>
      </c>
      <c r="I1475" s="883">
        <v>45769</v>
      </c>
      <c r="J1475" s="918" t="s">
        <v>2052</v>
      </c>
      <c r="K1475" s="945">
        <v>45838</v>
      </c>
      <c r="L1475" s="919">
        <f>IF(ISTEXT(Table15[[#This Row],[Engineering Approved Design Date]]),Table15[[#This Row],[Date Completed]]-Table15[[#This Row],[Date Assigned to Designer]],Table15[[#This Row],[Engineering Approved Design Date]]-Table15[[#This Row],[Date Completed]])</f>
        <v>69</v>
      </c>
      <c r="M1475" s="965" t="s">
        <v>8951</v>
      </c>
      <c r="N1475" s="885" t="s">
        <v>739</v>
      </c>
      <c r="O1475" s="886">
        <v>45839</v>
      </c>
      <c r="P1475" s="1153" t="s">
        <v>120</v>
      </c>
      <c r="Q1475" s="1150">
        <f>SUM(Table15[[#This Row],[Shactee Effort]:[KH Hourly Effort]])</f>
        <v>8962.5</v>
      </c>
      <c r="R1475" s="1150" t="s">
        <v>1922</v>
      </c>
      <c r="S1475" s="888">
        <v>0</v>
      </c>
      <c r="T1475" s="888">
        <v>0</v>
      </c>
      <c r="U1475" s="889">
        <v>8962.5</v>
      </c>
      <c r="V1475" s="890">
        <v>2672</v>
      </c>
      <c r="W1475" s="1021">
        <v>1</v>
      </c>
      <c r="X1475" s="888" t="s">
        <v>29</v>
      </c>
      <c r="Y1475" s="888"/>
      <c r="Z1475" s="892" t="s">
        <v>29</v>
      </c>
      <c r="AA1475" s="889" t="s">
        <v>29</v>
      </c>
      <c r="AB1475" s="893" t="s">
        <v>29</v>
      </c>
      <c r="AC1475" s="894" t="s">
        <v>29</v>
      </c>
      <c r="AD1475" s="1161" t="s">
        <v>29</v>
      </c>
      <c r="AE1475" s="940" t="s">
        <v>116</v>
      </c>
      <c r="AF1475" s="940" t="s">
        <v>29</v>
      </c>
      <c r="AG1475" s="897" t="s">
        <v>29</v>
      </c>
      <c r="AH1475" s="940" t="s">
        <v>376</v>
      </c>
      <c r="AI1475" s="921" t="s">
        <v>29</v>
      </c>
      <c r="AJ1475" s="922" t="s">
        <v>29</v>
      </c>
      <c r="AK1475" s="922" t="s">
        <v>29</v>
      </c>
      <c r="AL1475" s="923" t="s">
        <v>29</v>
      </c>
      <c r="AM1475" s="542" t="s">
        <v>709</v>
      </c>
      <c r="AN1475" s="924"/>
      <c r="AO1475" s="925"/>
      <c r="AP1475" s="926"/>
      <c r="AQ1475" s="926"/>
      <c r="AR1475" s="926"/>
      <c r="AS1475" s="926"/>
      <c r="AT1475" s="926"/>
      <c r="AU1475" s="926"/>
      <c r="AV1475" s="926"/>
      <c r="AW1475" s="927"/>
      <c r="AX1475" s="926"/>
      <c r="AY1475" s="1538" t="s">
        <v>29</v>
      </c>
      <c r="AZ1475" s="1530"/>
      <c r="BA1475" s="966" t="s">
        <v>4919</v>
      </c>
      <c r="BB1475" s="990" t="s">
        <v>8952</v>
      </c>
      <c r="BC1475" s="915" t="s">
        <v>29</v>
      </c>
      <c r="BD1475" s="915" t="s">
        <v>29</v>
      </c>
      <c r="BE1475" s="952" t="s">
        <v>5873</v>
      </c>
      <c r="BF1475" s="544" t="s">
        <v>29</v>
      </c>
      <c r="BG1475" s="915" t="s">
        <v>29</v>
      </c>
      <c r="BH1475" s="1023" t="s">
        <v>8953</v>
      </c>
      <c r="BI1475" s="916" t="s">
        <v>709</v>
      </c>
      <c r="BJ1475" s="944" t="s">
        <v>709</v>
      </c>
      <c r="BK1475" s="944" t="s">
        <v>709</v>
      </c>
      <c r="BL1475" s="944" t="s">
        <v>116</v>
      </c>
      <c r="BM1475" s="944">
        <v>0</v>
      </c>
      <c r="BN1475" s="944">
        <v>0</v>
      </c>
      <c r="BO1475" s="944">
        <v>0</v>
      </c>
      <c r="BP1475" s="944">
        <v>0</v>
      </c>
      <c r="BQ1475" s="944">
        <v>0</v>
      </c>
      <c r="BR1475" s="944">
        <v>0</v>
      </c>
      <c r="BS1475" s="944">
        <v>2672</v>
      </c>
      <c r="BT1475" s="944">
        <v>0</v>
      </c>
      <c r="BU1475" s="944">
        <v>0</v>
      </c>
      <c r="BV1475" s="944">
        <v>0</v>
      </c>
      <c r="BW1475" s="944">
        <v>0</v>
      </c>
      <c r="BX1475" s="944">
        <v>0</v>
      </c>
      <c r="BY1475" s="944">
        <v>0</v>
      </c>
      <c r="BZ1475" s="916">
        <v>0</v>
      </c>
      <c r="CA1475" s="917"/>
      <c r="CB1475" s="547">
        <v>1473</v>
      </c>
      <c r="CC1475" s="1481" t="b">
        <v>0</v>
      </c>
      <c r="CD1475" s="879" t="str">
        <f>Table15[[#This Row],[Engineering Number]]&amp;Table15[[#This Row],[WO Number]]&amp;Table15[[#This Row],[Date Assigned to Designer]]&amp;Table15[[#This Row],[Date Completed]]</f>
        <v>RS125410142364576945838</v>
      </c>
    </row>
    <row r="1476" spans="1:82" ht="15" customHeight="1" x14ac:dyDescent="0.25">
      <c r="A1476">
        <v>2025</v>
      </c>
      <c r="B1476" s="878" t="s">
        <v>4</v>
      </c>
      <c r="C1476" s="879" t="s">
        <v>8954</v>
      </c>
      <c r="D1476" s="880" t="s">
        <v>8955</v>
      </c>
      <c r="E1476" s="879" t="s">
        <v>1780</v>
      </c>
      <c r="F1476" s="878" t="s">
        <v>6874</v>
      </c>
      <c r="G1476" s="878" t="s">
        <v>26</v>
      </c>
      <c r="H1476" s="878" t="s">
        <v>413</v>
      </c>
      <c r="I1476" s="881">
        <v>45775</v>
      </c>
      <c r="J1476" s="882">
        <v>45838</v>
      </c>
      <c r="K1476" s="945">
        <v>45838</v>
      </c>
      <c r="L1476" s="884">
        <f>IF(ISTEXT(Table15[[#This Row],[Engineering Approved Design Date]]),Table15[[#This Row],[Date Completed]]-Table15[[#This Row],[Date Assigned to Designer]],Table15[[#This Row],[Engineering Approved Design Date]]-Table15[[#This Row],[Date Completed]])</f>
        <v>0</v>
      </c>
      <c r="N1476" s="885" t="s">
        <v>120</v>
      </c>
      <c r="O1476" s="886">
        <v>45839</v>
      </c>
      <c r="P1476" s="1153" t="s">
        <v>739</v>
      </c>
      <c r="Q1476" s="1150">
        <f>Table15[[#This Row],[Rate]]*Table15[[#This Row],[Construction Cost to Bill From]]</f>
        <v>86741.521000000008</v>
      </c>
      <c r="R1476" s="887">
        <v>0.1</v>
      </c>
      <c r="S1476" s="888" t="s">
        <v>29</v>
      </c>
      <c r="T1476" s="888" t="s">
        <v>29</v>
      </c>
      <c r="U1476" s="889" t="s">
        <v>29</v>
      </c>
      <c r="V1476" s="890">
        <v>3044</v>
      </c>
      <c r="W1476" s="1021" t="s">
        <v>29</v>
      </c>
      <c r="X1476" s="888">
        <v>713731.2</v>
      </c>
      <c r="Y1476" s="888"/>
      <c r="Z1476" s="892">
        <v>153684.01</v>
      </c>
      <c r="AA1476" s="888">
        <f>SUM(Table15[[#This Row],[PCTS Investment Amount]:[PCTS Retirement Amount]])</f>
        <v>867415.21</v>
      </c>
      <c r="AB1476" s="893">
        <v>45845</v>
      </c>
      <c r="AC1476" s="894" t="s">
        <v>29</v>
      </c>
      <c r="AD1476" s="1161" t="s">
        <v>116</v>
      </c>
      <c r="AE1476" s="895" t="s">
        <v>756</v>
      </c>
      <c r="AF1476" s="895" t="s">
        <v>756</v>
      </c>
      <c r="AG1476" s="896" t="s">
        <v>116</v>
      </c>
      <c r="AH1476" s="897">
        <v>45854</v>
      </c>
      <c r="AI1476" s="898">
        <v>0</v>
      </c>
      <c r="AJ1476" s="899">
        <v>10925</v>
      </c>
      <c r="AK1476" s="899">
        <v>10457.030000000001</v>
      </c>
      <c r="AL1476" s="923">
        <f>SUM(Table15[[#This Row],[Nicor Initiated DBE]:[Staffing]])/(Table15[[#This Row],[Amount Invoiced]])</f>
        <v>0.24650282533090465</v>
      </c>
      <c r="AM1476" s="536" t="s">
        <v>116</v>
      </c>
      <c r="AN1476" s="903" t="s">
        <v>709</v>
      </c>
      <c r="AO1476" s="1536"/>
      <c r="AP1476" s="1537"/>
      <c r="AQ1476" s="1537"/>
      <c r="AR1476" s="1537"/>
      <c r="AS1476" s="888">
        <f>IF(Table15[[#This Row],[PCTS Approved]]="N",0,Table15[[#This Row],[Investment Amount (1'#'#'#'#'#)]]+Table15[[#This Row],[Retirement Amount (3'#'#'#'#'#)]])</f>
        <v>0</v>
      </c>
      <c r="AT1476" s="888">
        <f>IF(Table15[[#This Row],[Approved Construction Cost]]=0,0,Table15[[#This Row],[Approved Construction Cost]]-Table15[[#This Row],[Construction Cost to Bill From]])</f>
        <v>0</v>
      </c>
      <c r="AU1476" s="888">
        <f>IFERROR(Table15[[#This Row],[Difference in Construction Cost]]*Table15[[#This Row],[Rate]],Table15[[#This Row],[Difference in Construction Cost]]*0.085)</f>
        <v>0</v>
      </c>
      <c r="AV1476" s="905"/>
      <c r="AW1476" s="1509"/>
      <c r="AX1476" s="888"/>
      <c r="AY1476" s="636" t="s">
        <v>709</v>
      </c>
      <c r="AZ1476" s="333"/>
      <c r="BA1476" s="910" t="s">
        <v>8956</v>
      </c>
      <c r="BB1476" s="911" t="s">
        <v>1782</v>
      </c>
      <c r="BC1476" s="912" t="s">
        <v>709</v>
      </c>
      <c r="BD1476" s="913" t="s">
        <v>709</v>
      </c>
      <c r="BE1476" s="914" t="s">
        <v>1783</v>
      </c>
      <c r="BF1476" s="914" t="s">
        <v>709</v>
      </c>
      <c r="BG1476" s="915" t="s">
        <v>709</v>
      </c>
      <c r="BH1476" s="1023" t="s">
        <v>8957</v>
      </c>
      <c r="BI1476" s="916" t="s">
        <v>745</v>
      </c>
      <c r="BJ1476" s="916" t="s">
        <v>745</v>
      </c>
      <c r="BK1476" s="916" t="s">
        <v>745</v>
      </c>
      <c r="BL1476" s="916" t="s">
        <v>116</v>
      </c>
      <c r="BM1476" s="916" t="s">
        <v>745</v>
      </c>
      <c r="BN1476" s="916" t="s">
        <v>745</v>
      </c>
      <c r="BO1476" s="916" t="s">
        <v>745</v>
      </c>
      <c r="BP1476" s="916" t="s">
        <v>745</v>
      </c>
      <c r="BQ1476" s="916" t="s">
        <v>745</v>
      </c>
      <c r="BR1476" s="916" t="s">
        <v>745</v>
      </c>
      <c r="BS1476" s="916">
        <v>3044</v>
      </c>
      <c r="BT1476" s="916" t="s">
        <v>745</v>
      </c>
      <c r="BU1476" s="916" t="s">
        <v>745</v>
      </c>
      <c r="BV1476" s="916" t="s">
        <v>745</v>
      </c>
      <c r="BW1476" s="916" t="s">
        <v>745</v>
      </c>
      <c r="BX1476" s="916" t="s">
        <v>745</v>
      </c>
      <c r="BY1476" s="916" t="s">
        <v>745</v>
      </c>
      <c r="BZ1476" s="916" t="s">
        <v>745</v>
      </c>
      <c r="CA1476" s="917"/>
      <c r="CB1476" s="547">
        <v>1472</v>
      </c>
      <c r="CC1476" s="1481" t="b">
        <v>0</v>
      </c>
      <c r="CD1476" s="879" t="str">
        <f>Table15[[#This Row],[Engineering Number]]&amp;Table15[[#This Row],[WO Number]]&amp;Table15[[#This Row],[Date Assigned to Designer]]&amp;Table15[[#This Row],[Date Completed]]</f>
        <v>SC2466312154354577545838</v>
      </c>
    </row>
    <row r="1477" spans="1:82" ht="15" customHeight="1" x14ac:dyDescent="0.25">
      <c r="A1477">
        <v>2025</v>
      </c>
      <c r="B1477" s="879" t="s">
        <v>759</v>
      </c>
      <c r="C1477" s="879" t="s">
        <v>8270</v>
      </c>
      <c r="D1477" s="8" t="s">
        <v>115</v>
      </c>
      <c r="E1477" s="879" t="s">
        <v>29</v>
      </c>
      <c r="F1477" s="879" t="s">
        <v>6643</v>
      </c>
      <c r="G1477" s="879" t="s">
        <v>37</v>
      </c>
      <c r="H1477" s="878" t="s">
        <v>4110</v>
      </c>
      <c r="I1477" s="883">
        <v>45587</v>
      </c>
      <c r="J1477" s="963" t="s">
        <v>4110</v>
      </c>
      <c r="K1477" s="883">
        <v>45839</v>
      </c>
      <c r="L1477" s="884">
        <f>IF(ISTEXT(Table15[[#This Row],[Engineering Approved Design Date]]),Table15[[#This Row],[Date Completed]]-Table15[[#This Row],[Date Assigned to Designer]],Table15[[#This Row],[Engineering Approved Design Date]]-Table15[[#This Row],[Date Completed]])</f>
        <v>252</v>
      </c>
      <c r="N1477" s="885" t="s">
        <v>739</v>
      </c>
      <c r="O1477" s="886">
        <v>45839</v>
      </c>
      <c r="P1477" s="1153" t="s">
        <v>739</v>
      </c>
      <c r="Q1477" s="1303">
        <f>Table15[[#This Row],[KH Hourly Effort]]-76387.5</f>
        <v>15475</v>
      </c>
      <c r="R1477" s="920" t="s">
        <v>1922</v>
      </c>
      <c r="S1477" s="888" t="s">
        <v>29</v>
      </c>
      <c r="T1477" s="888" t="s">
        <v>29</v>
      </c>
      <c r="U1477" s="889">
        <v>91862.5</v>
      </c>
      <c r="V1477" s="888" t="s">
        <v>29</v>
      </c>
      <c r="W1477" s="995" t="s">
        <v>29</v>
      </c>
      <c r="X1477" s="888" t="s">
        <v>29</v>
      </c>
      <c r="Y1477" s="888" t="s">
        <v>29</v>
      </c>
      <c r="Z1477" s="892" t="s">
        <v>29</v>
      </c>
      <c r="AA1477" s="888" t="s">
        <v>29</v>
      </c>
      <c r="AB1477" s="1322" t="s">
        <v>29</v>
      </c>
      <c r="AC1477" s="896" t="s">
        <v>29</v>
      </c>
      <c r="AD1477" s="1161" t="s">
        <v>756</v>
      </c>
      <c r="AE1477" s="896" t="s">
        <v>756</v>
      </c>
      <c r="AF1477" s="896" t="s">
        <v>29</v>
      </c>
      <c r="AG1477" s="897" t="s">
        <v>376</v>
      </c>
      <c r="AH1477" s="1635" t="s">
        <v>29</v>
      </c>
      <c r="AI1477" s="898"/>
      <c r="AJ1477" s="899"/>
      <c r="AK1477" s="899"/>
      <c r="AL1477" s="923"/>
      <c r="AM1477" s="542" t="s">
        <v>709</v>
      </c>
      <c r="AN1477" s="924"/>
      <c r="AO1477" s="925"/>
      <c r="AP1477" s="926"/>
      <c r="AQ1477" s="926"/>
      <c r="AR1477" s="926"/>
      <c r="AS1477" s="926"/>
      <c r="AT1477" s="926"/>
      <c r="AU1477" s="926"/>
      <c r="AV1477" s="926"/>
      <c r="AW1477" s="927"/>
      <c r="AX1477" s="926"/>
      <c r="AY1477" s="1538" t="s">
        <v>29</v>
      </c>
      <c r="AZ1477" s="1530"/>
      <c r="BA1477" s="910" t="s">
        <v>29</v>
      </c>
      <c r="BB1477" s="928"/>
      <c r="BC1477" s="913" t="s">
        <v>29</v>
      </c>
      <c r="BD1477" s="914" t="s">
        <v>29</v>
      </c>
      <c r="BE1477" s="914" t="s">
        <v>29</v>
      </c>
      <c r="BF1477" s="915" t="s">
        <v>29</v>
      </c>
      <c r="BG1477" s="915" t="s">
        <v>29</v>
      </c>
      <c r="BH1477" s="1175" t="s">
        <v>7824</v>
      </c>
      <c r="BI1477" s="916" t="s">
        <v>709</v>
      </c>
      <c r="BJ1477" s="916" t="s">
        <v>709</v>
      </c>
      <c r="BK1477" s="916" t="s">
        <v>709</v>
      </c>
      <c r="BL1477" s="916" t="s">
        <v>709</v>
      </c>
      <c r="BM1477" s="916" t="s">
        <v>709</v>
      </c>
      <c r="BN1477" s="916" t="s">
        <v>709</v>
      </c>
      <c r="BO1477" s="916" t="s">
        <v>709</v>
      </c>
      <c r="BP1477" s="916" t="s">
        <v>709</v>
      </c>
      <c r="BQ1477" s="916" t="s">
        <v>709</v>
      </c>
      <c r="BR1477" s="916" t="s">
        <v>709</v>
      </c>
      <c r="BS1477" s="916" t="s">
        <v>709</v>
      </c>
      <c r="BT1477" s="916" t="s">
        <v>709</v>
      </c>
      <c r="BU1477" s="916" t="s">
        <v>709</v>
      </c>
      <c r="BV1477" s="916" t="s">
        <v>709</v>
      </c>
      <c r="BW1477" s="916" t="s">
        <v>709</v>
      </c>
      <c r="BX1477" s="916" t="s">
        <v>709</v>
      </c>
      <c r="BY1477" s="916" t="s">
        <v>709</v>
      </c>
      <c r="BZ1477" s="943" t="s">
        <v>709</v>
      </c>
      <c r="CA1477" s="1558" t="s">
        <v>8958</v>
      </c>
      <c r="CB1477" s="547">
        <v>1474</v>
      </c>
      <c r="CC1477" s="1481" t="b">
        <v>0</v>
      </c>
      <c r="CD1477" s="879" t="str">
        <f>Table15[[#This Row],[Engineering Number]]&amp;Table15[[#This Row],[WO Number]]&amp;Table15[[#This Row],[Date Assigned to Designer]]&amp;Table15[[#This Row],[Date Completed]]</f>
        <v>VLT Template Updates-4558745839</v>
      </c>
    </row>
    <row r="1478" spans="1:82" ht="15" customHeight="1" x14ac:dyDescent="0.25">
      <c r="A1478">
        <v>2025</v>
      </c>
      <c r="B1478" s="878" t="s">
        <v>4</v>
      </c>
      <c r="C1478" s="879" t="s">
        <v>8959</v>
      </c>
      <c r="D1478" s="880" t="s">
        <v>8960</v>
      </c>
      <c r="E1478" s="879" t="s">
        <v>8961</v>
      </c>
      <c r="F1478" s="878" t="s">
        <v>784</v>
      </c>
      <c r="G1478" s="878" t="s">
        <v>25</v>
      </c>
      <c r="H1478" s="878" t="s">
        <v>59</v>
      </c>
      <c r="I1478" s="881">
        <v>45637</v>
      </c>
      <c r="J1478" s="882">
        <v>45863</v>
      </c>
      <c r="K1478" s="945">
        <v>45845</v>
      </c>
      <c r="L1478" s="884">
        <f>IF(ISTEXT(Table15[[#This Row],[Engineering Approved Design Date]]),Table15[[#This Row],[Date Completed]]-Table15[[#This Row],[Date Assigned to Designer]],Table15[[#This Row],[Engineering Approved Design Date]]-Table15[[#This Row],[Date Completed]])</f>
        <v>18</v>
      </c>
      <c r="N1478" s="942" t="s">
        <v>120</v>
      </c>
      <c r="O1478" s="886">
        <v>45839</v>
      </c>
      <c r="P1478" s="1153" t="s">
        <v>739</v>
      </c>
      <c r="Q1478" s="1150">
        <f>Table15[[#This Row],[Rate]]*Table15[[#This Row],[Construction Cost to Bill From]]</f>
        <v>34826.947</v>
      </c>
      <c r="R1478" s="887">
        <v>0.1</v>
      </c>
      <c r="S1478" s="1228" t="s">
        <v>29</v>
      </c>
      <c r="T1478" s="888" t="s">
        <v>29</v>
      </c>
      <c r="U1478" s="889" t="s">
        <v>29</v>
      </c>
      <c r="V1478" s="890" t="s">
        <v>29</v>
      </c>
      <c r="W1478" s="995" t="s">
        <v>29</v>
      </c>
      <c r="X1478" s="888">
        <v>289169.31</v>
      </c>
      <c r="Y1478" s="891"/>
      <c r="Z1478" s="888">
        <v>59100.160000000003</v>
      </c>
      <c r="AA1478" s="892">
        <f>SUM(Table15[[#This Row],[PCTS Investment Amount]:[PCTS Retirement Amount]])</f>
        <v>348269.47</v>
      </c>
      <c r="AB1478" s="893">
        <v>45848</v>
      </c>
      <c r="AC1478" s="894" t="s">
        <v>29</v>
      </c>
      <c r="AD1478" s="1160" t="s">
        <v>29</v>
      </c>
      <c r="AE1478" s="895" t="s">
        <v>116</v>
      </c>
      <c r="AF1478" s="895" t="s">
        <v>29</v>
      </c>
      <c r="AG1478" s="896" t="s">
        <v>376</v>
      </c>
      <c r="AH1478" s="897" t="s">
        <v>376</v>
      </c>
      <c r="AI1478" s="898">
        <v>8965</v>
      </c>
      <c r="AJ1478" s="899">
        <v>16300</v>
      </c>
      <c r="AK1478" s="899">
        <v>14538.69</v>
      </c>
      <c r="AL1478" s="923">
        <f>SUM(Table15[[#This Row],[Nicor Initiated DBE]:[Staffing]])/(Table15[[#This Row],[Amount Invoiced]])</f>
        <v>1.1428992038837054</v>
      </c>
      <c r="AM1478" s="536" t="s">
        <v>116</v>
      </c>
      <c r="AN1478" s="903" t="s">
        <v>709</v>
      </c>
      <c r="AO1478" s="1536"/>
      <c r="AP1478" s="1537"/>
      <c r="AQ1478" s="1537"/>
      <c r="AR1478" s="1537"/>
      <c r="AS1478" s="888">
        <f>IF(Table15[[#This Row],[PCTS Approved]]="N",0,Table15[[#This Row],[Investment Amount (1'#'#'#'#'#)]]+Table15[[#This Row],[Retirement Amount (3'#'#'#'#'#)]])</f>
        <v>0</v>
      </c>
      <c r="AT1478" s="888">
        <f>IF(Table15[[#This Row],[Approved Construction Cost]]=0,0,Table15[[#This Row],[Approved Construction Cost]]-Table15[[#This Row],[Construction Cost to Bill From]])</f>
        <v>0</v>
      </c>
      <c r="AU1478" s="888">
        <f>IFERROR(Table15[[#This Row],[Difference in Construction Cost]]*Table15[[#This Row],[Rate]],Table15[[#This Row],[Difference in Construction Cost]]*0.085)</f>
        <v>0</v>
      </c>
      <c r="AV1478" s="905"/>
      <c r="AW1478" s="1509"/>
      <c r="AX1478" s="888"/>
      <c r="AY1478" s="636" t="s">
        <v>709</v>
      </c>
      <c r="AZ1478" s="333"/>
      <c r="BA1478" s="910" t="s">
        <v>8962</v>
      </c>
      <c r="BB1478" s="911" t="s">
        <v>4666</v>
      </c>
      <c r="BC1478" s="912" t="s">
        <v>709</v>
      </c>
      <c r="BD1478" s="913" t="s">
        <v>1066</v>
      </c>
      <c r="BE1478" s="914" t="s">
        <v>8963</v>
      </c>
      <c r="BF1478" s="914" t="s">
        <v>709</v>
      </c>
      <c r="BG1478" s="915" t="s">
        <v>709</v>
      </c>
      <c r="BH1478" s="1023" t="s">
        <v>8964</v>
      </c>
      <c r="BI1478" s="916" t="s">
        <v>709</v>
      </c>
      <c r="BJ1478" s="916" t="s">
        <v>709</v>
      </c>
      <c r="BK1478" s="916" t="s">
        <v>709</v>
      </c>
      <c r="BL1478" s="916" t="s">
        <v>116</v>
      </c>
      <c r="BM1478" s="916" t="s">
        <v>709</v>
      </c>
      <c r="BN1478" s="916" t="s">
        <v>709</v>
      </c>
      <c r="BO1478" s="916" t="s">
        <v>709</v>
      </c>
      <c r="BP1478" s="916" t="s">
        <v>709</v>
      </c>
      <c r="BQ1478" s="916" t="s">
        <v>709</v>
      </c>
      <c r="BR1478" s="916">
        <v>95</v>
      </c>
      <c r="BS1478" s="916">
        <f>153+160</f>
        <v>313</v>
      </c>
      <c r="BT1478" s="916" t="s">
        <v>709</v>
      </c>
      <c r="BU1478" s="916" t="s">
        <v>709</v>
      </c>
      <c r="BV1478" s="916" t="s">
        <v>709</v>
      </c>
      <c r="BW1478" s="916" t="s">
        <v>709</v>
      </c>
      <c r="BX1478" s="916" t="s">
        <v>709</v>
      </c>
      <c r="BY1478" s="916" t="s">
        <v>709</v>
      </c>
      <c r="BZ1478" s="916" t="s">
        <v>709</v>
      </c>
      <c r="CA1478" s="917" t="s">
        <v>8965</v>
      </c>
      <c r="CB1478" s="547">
        <v>1475</v>
      </c>
      <c r="CC1478" s="1481" t="b">
        <v>0</v>
      </c>
      <c r="CD1478" s="879" t="str">
        <f>Table15[[#This Row],[Engineering Number]]&amp;Table15[[#This Row],[WO Number]]&amp;Table15[[#This Row],[Date Assigned to Designer]]&amp;Table15[[#This Row],[Date Completed]]</f>
        <v>N1849212149234563745845</v>
      </c>
    </row>
    <row r="1479" spans="1:82" ht="15" customHeight="1" x14ac:dyDescent="0.25">
      <c r="A1479">
        <v>2025</v>
      </c>
      <c r="B1479" s="878" t="s">
        <v>4</v>
      </c>
      <c r="C1479" s="879" t="s">
        <v>8966</v>
      </c>
      <c r="D1479" s="880" t="s">
        <v>8967</v>
      </c>
      <c r="E1479" s="879" t="s">
        <v>8968</v>
      </c>
      <c r="F1479" s="878" t="s">
        <v>784</v>
      </c>
      <c r="G1479" s="878" t="s">
        <v>26</v>
      </c>
      <c r="H1479" s="878" t="s">
        <v>413</v>
      </c>
      <c r="I1479" s="881">
        <v>45550</v>
      </c>
      <c r="J1479" s="882">
        <v>45845</v>
      </c>
      <c r="K1479" s="945">
        <v>45845</v>
      </c>
      <c r="L1479" s="884">
        <f>IF(ISTEXT(Table15[[#This Row],[Engineering Approved Design Date]]),Table15[[#This Row],[Date Completed]]-Table15[[#This Row],[Date Assigned to Designer]],Table15[[#This Row],[Engineering Approved Design Date]]-Table15[[#This Row],[Date Completed]])</f>
        <v>0</v>
      </c>
      <c r="N1479" s="942" t="s">
        <v>120</v>
      </c>
      <c r="O1479" s="886">
        <v>45839</v>
      </c>
      <c r="P1479" s="1153" t="s">
        <v>739</v>
      </c>
      <c r="Q1479" s="1150">
        <f>Table15[[#This Row],[Rate]]*Table15[[#This Row],[Construction Cost to Bill From]]</f>
        <v>33158.265000000007</v>
      </c>
      <c r="R1479" s="887">
        <v>0.1</v>
      </c>
      <c r="S1479" s="1228" t="s">
        <v>29</v>
      </c>
      <c r="T1479" s="888" t="s">
        <v>29</v>
      </c>
      <c r="U1479" s="889" t="s">
        <v>29</v>
      </c>
      <c r="V1479" s="890">
        <v>724</v>
      </c>
      <c r="W1479" s="1021" t="s">
        <v>29</v>
      </c>
      <c r="X1479" s="888">
        <v>268162.37</v>
      </c>
      <c r="Y1479" s="888"/>
      <c r="Z1479" s="892">
        <v>63420.28</v>
      </c>
      <c r="AA1479" s="888">
        <f>SUM(Table15[[#This Row],[PCTS Investment Amount]:[PCTS Retirement Amount]])</f>
        <v>331582.65000000002</v>
      </c>
      <c r="AB1479" s="897">
        <v>45833</v>
      </c>
      <c r="AC1479" s="894" t="s">
        <v>29</v>
      </c>
      <c r="AD1479" s="894" t="s">
        <v>116</v>
      </c>
      <c r="AE1479" s="895" t="s">
        <v>756</v>
      </c>
      <c r="AF1479" s="895" t="s">
        <v>756</v>
      </c>
      <c r="AG1479" s="896" t="s">
        <v>116</v>
      </c>
      <c r="AH1479" s="897">
        <v>45854</v>
      </c>
      <c r="AI1479" s="898">
        <v>0</v>
      </c>
      <c r="AJ1479" s="899">
        <v>4900</v>
      </c>
      <c r="AK1479" s="899">
        <v>10928.29</v>
      </c>
      <c r="AL1479" s="923">
        <f>SUM(Table15[[#This Row],[Nicor Initiated DBE]:[Staffing]])/(Table15[[#This Row],[Amount Invoiced]])</f>
        <v>0.47735579651106586</v>
      </c>
      <c r="AM1479" s="536" t="s">
        <v>116</v>
      </c>
      <c r="AN1479" s="903" t="s">
        <v>709</v>
      </c>
      <c r="AO1479" s="1536"/>
      <c r="AP1479" s="1537"/>
      <c r="AQ1479" s="1537"/>
      <c r="AR1479" s="1537"/>
      <c r="AS1479" s="888">
        <f>IF(Table15[[#This Row],[PCTS Approved]]="N",0,Table15[[#This Row],[Investment Amount (1'#'#'#'#'#)]]+Table15[[#This Row],[Retirement Amount (3'#'#'#'#'#)]])</f>
        <v>0</v>
      </c>
      <c r="AT1479" s="888">
        <f>IF(Table15[[#This Row],[Approved Construction Cost]]=0,0,Table15[[#This Row],[Approved Construction Cost]]-Table15[[#This Row],[Construction Cost to Bill From]])</f>
        <v>0</v>
      </c>
      <c r="AU1479" s="888">
        <f>IFERROR(Table15[[#This Row],[Difference in Construction Cost]]*Table15[[#This Row],[Rate]],Table15[[#This Row],[Difference in Construction Cost]]*0.085)</f>
        <v>0</v>
      </c>
      <c r="AV1479" s="905"/>
      <c r="AW1479" s="1509"/>
      <c r="AX1479" s="888"/>
      <c r="AY1479" s="636" t="s">
        <v>709</v>
      </c>
      <c r="AZ1479" s="333"/>
      <c r="BA1479" s="910" t="s">
        <v>8969</v>
      </c>
      <c r="BB1479" s="911" t="s">
        <v>8970</v>
      </c>
      <c r="BC1479" s="912" t="s">
        <v>709</v>
      </c>
      <c r="BD1479" s="913" t="s">
        <v>1066</v>
      </c>
      <c r="BE1479" s="914" t="s">
        <v>6406</v>
      </c>
      <c r="BF1479" s="914" t="s">
        <v>709</v>
      </c>
      <c r="BG1479" s="915" t="s">
        <v>709</v>
      </c>
      <c r="BH1479" s="1023" t="s">
        <v>8971</v>
      </c>
      <c r="BI1479" s="916" t="s">
        <v>745</v>
      </c>
      <c r="BJ1479" s="916" t="s">
        <v>745</v>
      </c>
      <c r="BK1479" s="916" t="s">
        <v>745</v>
      </c>
      <c r="BL1479" s="916" t="s">
        <v>116</v>
      </c>
      <c r="BM1479" s="916" t="s">
        <v>745</v>
      </c>
      <c r="BN1479" s="916" t="s">
        <v>745</v>
      </c>
      <c r="BO1479" s="916" t="s">
        <v>745</v>
      </c>
      <c r="BP1479" s="916" t="s">
        <v>745</v>
      </c>
      <c r="BQ1479" s="916" t="s">
        <v>745</v>
      </c>
      <c r="BR1479" s="916" t="s">
        <v>745</v>
      </c>
      <c r="BS1479" s="916">
        <v>724</v>
      </c>
      <c r="BT1479" s="916" t="s">
        <v>745</v>
      </c>
      <c r="BU1479" s="916" t="s">
        <v>745</v>
      </c>
      <c r="BV1479" s="916" t="s">
        <v>745</v>
      </c>
      <c r="BW1479" s="916" t="s">
        <v>745</v>
      </c>
      <c r="BX1479" s="916" t="s">
        <v>745</v>
      </c>
      <c r="BY1479" s="916" t="s">
        <v>745</v>
      </c>
      <c r="BZ1479" s="916" t="s">
        <v>745</v>
      </c>
      <c r="CA1479" s="917"/>
      <c r="CB1479" s="547">
        <v>1476</v>
      </c>
      <c r="CC1479" s="1481" t="b">
        <v>0</v>
      </c>
      <c r="CD1479" s="879" t="str">
        <f>Table15[[#This Row],[Engineering Number]]&amp;Table15[[#This Row],[WO Number]]&amp;Table15[[#This Row],[Date Assigned to Designer]]&amp;Table15[[#This Row],[Date Completed]]</f>
        <v>N1903012151524555045845</v>
      </c>
    </row>
    <row r="1480" spans="1:82" ht="15" customHeight="1" x14ac:dyDescent="0.25">
      <c r="A1480">
        <v>2025</v>
      </c>
      <c r="B1480" s="878" t="s">
        <v>6798</v>
      </c>
      <c r="C1480" s="939">
        <v>4401064</v>
      </c>
      <c r="D1480" s="878" t="s">
        <v>8972</v>
      </c>
      <c r="E1480" s="878" t="s">
        <v>8973</v>
      </c>
      <c r="F1480" s="878" t="s">
        <v>6643</v>
      </c>
      <c r="G1480" s="878" t="s">
        <v>26</v>
      </c>
      <c r="H1480" s="931" t="s">
        <v>59</v>
      </c>
      <c r="I1480" s="883">
        <v>45727</v>
      </c>
      <c r="J1480" s="881">
        <v>45868</v>
      </c>
      <c r="K1480" s="945">
        <v>45846</v>
      </c>
      <c r="L1480" s="919">
        <f>IF(ISTEXT(Table15[[#This Row],[Engineering Approved Design Date]]),Table15[[#This Row],[Date Completed]]-Table15[[#This Row],[Date Assigned to Designer]],Table15[[#This Row],[Engineering Approved Design Date]]-Table15[[#This Row],[Date Completed]])</f>
        <v>22</v>
      </c>
      <c r="M1480" s="883"/>
      <c r="N1480" s="883" t="s">
        <v>739</v>
      </c>
      <c r="O1480" s="886">
        <v>45870</v>
      </c>
      <c r="P1480" s="1153" t="s">
        <v>739</v>
      </c>
      <c r="Q1480" s="1150">
        <f>SUM(Table15[[#This Row],[Shactee Effort]:[KH Hourly Effort]])</f>
        <v>7056.51</v>
      </c>
      <c r="R1480" s="933" t="s">
        <v>1922</v>
      </c>
      <c r="S1480" s="888">
        <v>1459.01</v>
      </c>
      <c r="U1480" s="934">
        <v>5597.5</v>
      </c>
      <c r="V1480" s="890">
        <v>0</v>
      </c>
      <c r="W1480" s="1021">
        <v>1</v>
      </c>
      <c r="X1480" s="888">
        <v>25000</v>
      </c>
      <c r="Y1480" s="888">
        <v>0</v>
      </c>
      <c r="Z1480" s="892">
        <v>0</v>
      </c>
      <c r="AA1480" s="889">
        <v>25000</v>
      </c>
      <c r="AB1480" s="893" t="s">
        <v>29</v>
      </c>
      <c r="AC1480" s="894" t="s">
        <v>1177</v>
      </c>
      <c r="AD1480" s="1161" t="s">
        <v>29</v>
      </c>
      <c r="AE1480" s="895" t="s">
        <v>116</v>
      </c>
      <c r="AF1480" s="895" t="s">
        <v>29</v>
      </c>
      <c r="AG1480" s="895" t="s">
        <v>29</v>
      </c>
      <c r="AH1480" s="1635" t="s">
        <v>376</v>
      </c>
      <c r="AI1480" s="898"/>
      <c r="AJ1480" s="899"/>
      <c r="AK1480" s="899"/>
      <c r="AL1480" s="901"/>
      <c r="AM1480" s="542" t="s">
        <v>709</v>
      </c>
      <c r="AN1480" s="924"/>
      <c r="AO1480" s="925"/>
      <c r="AP1480" s="926"/>
      <c r="AQ1480" s="926"/>
      <c r="AR1480" s="926"/>
      <c r="AS1480" s="926"/>
      <c r="AT1480" s="926"/>
      <c r="AU1480" s="926"/>
      <c r="AV1480" s="926"/>
      <c r="AW1480" s="927"/>
      <c r="AX1480" s="926"/>
      <c r="AY1480" s="1538" t="s">
        <v>29</v>
      </c>
      <c r="AZ1480" s="1530"/>
      <c r="BA1480" s="910" t="s">
        <v>8948</v>
      </c>
      <c r="BB1480" s="928" t="s">
        <v>8974</v>
      </c>
      <c r="BC1480" s="915" t="s">
        <v>29</v>
      </c>
      <c r="BD1480" s="915" t="s">
        <v>29</v>
      </c>
      <c r="BE1480" s="915" t="s">
        <v>29</v>
      </c>
      <c r="BF1480" s="915" t="s">
        <v>29</v>
      </c>
      <c r="BG1480" s="915" t="s">
        <v>29</v>
      </c>
      <c r="BH1480" s="1175" t="s">
        <v>8975</v>
      </c>
      <c r="BI1480" s="929" t="s">
        <v>745</v>
      </c>
      <c r="BJ1480" s="929" t="s">
        <v>116</v>
      </c>
      <c r="BK1480" s="916" t="s">
        <v>745</v>
      </c>
      <c r="BL1480" s="916" t="s">
        <v>116</v>
      </c>
      <c r="BM1480" s="929" t="s">
        <v>745</v>
      </c>
      <c r="BN1480" s="916" t="s">
        <v>745</v>
      </c>
      <c r="BO1480" s="929" t="s">
        <v>745</v>
      </c>
      <c r="BP1480" s="929" t="s">
        <v>745</v>
      </c>
      <c r="BQ1480" s="929" t="s">
        <v>745</v>
      </c>
      <c r="BR1480" s="916" t="s">
        <v>745</v>
      </c>
      <c r="BS1480" s="929" t="s">
        <v>745</v>
      </c>
      <c r="BT1480" s="916" t="s">
        <v>745</v>
      </c>
      <c r="BU1480" s="929" t="s">
        <v>116</v>
      </c>
      <c r="BV1480" s="916" t="s">
        <v>745</v>
      </c>
      <c r="BW1480" s="929" t="s">
        <v>745</v>
      </c>
      <c r="BX1480" s="916" t="s">
        <v>745</v>
      </c>
      <c r="BY1480" s="916" t="s">
        <v>745</v>
      </c>
      <c r="BZ1480" s="916" t="s">
        <v>745</v>
      </c>
      <c r="CA1480" s="1006" t="s">
        <v>8424</v>
      </c>
      <c r="CB1480" s="547">
        <v>1481</v>
      </c>
      <c r="CC1480" s="1481" t="b">
        <v>0</v>
      </c>
      <c r="CD1480" s="879" t="str">
        <f>Table15[[#This Row],[Engineering Number]]&amp;Table15[[#This Row],[WO Number]]&amp;Table15[[#This Row],[Date Assigned to Designer]]&amp;Table15[[#This Row],[Date Completed]]</f>
        <v>440106410151964572745846</v>
      </c>
    </row>
    <row r="1481" spans="1:82" ht="15" customHeight="1" x14ac:dyDescent="0.25">
      <c r="A1481">
        <v>2025</v>
      </c>
      <c r="B1481" s="878" t="s">
        <v>769</v>
      </c>
      <c r="C1481" s="878" t="s">
        <v>1785</v>
      </c>
      <c r="D1481" s="878">
        <v>1013481</v>
      </c>
      <c r="E1481" s="878" t="s">
        <v>1787</v>
      </c>
      <c r="F1481" s="878" t="s">
        <v>6874</v>
      </c>
      <c r="G1481" s="878" t="s">
        <v>4770</v>
      </c>
      <c r="H1481" s="878" t="s">
        <v>4045</v>
      </c>
      <c r="I1481" s="883">
        <v>45820</v>
      </c>
      <c r="J1481" s="882" t="s">
        <v>2958</v>
      </c>
      <c r="K1481" s="945">
        <v>45846</v>
      </c>
      <c r="L1481" s="919">
        <f>IF(ISTEXT(Table15[[#This Row],[Engineering Approved Design Date]]),Table15[[#This Row],[Date Completed]]-Table15[[#This Row],[Date Assigned to Designer]],Table15[[#This Row],[Engineering Approved Design Date]]-Table15[[#This Row],[Date Completed]])</f>
        <v>26</v>
      </c>
      <c r="M1481" s="965" t="s">
        <v>8976</v>
      </c>
      <c r="N1481" s="883" t="s">
        <v>739</v>
      </c>
      <c r="O1481" s="886">
        <v>45870</v>
      </c>
      <c r="P1481" s="1153" t="s">
        <v>120</v>
      </c>
      <c r="Q1481" s="1150">
        <f>SUM(Table15[[#This Row],[Shactee Effort]:[KH Hourly Effort]])</f>
        <v>6500</v>
      </c>
      <c r="R1481" s="920" t="s">
        <v>1922</v>
      </c>
      <c r="S1481" s="888">
        <v>0</v>
      </c>
      <c r="T1481" s="888">
        <v>0</v>
      </c>
      <c r="U1481" s="934">
        <v>6500</v>
      </c>
      <c r="V1481" s="890">
        <v>1591</v>
      </c>
      <c r="W1481" s="1021">
        <v>2</v>
      </c>
      <c r="X1481" s="888">
        <v>833232.94</v>
      </c>
      <c r="Y1481" s="888"/>
      <c r="Z1481" s="888">
        <v>143134.04</v>
      </c>
      <c r="AA1481" s="889">
        <f>SUM(Table15[[#This Row],[PCTS Investment Amount]:[PCTS Retirement Amount]])</f>
        <v>976366.98</v>
      </c>
      <c r="AB1481" s="958" t="s">
        <v>29</v>
      </c>
      <c r="AC1481" s="894" t="s">
        <v>29</v>
      </c>
      <c r="AD1481" s="1160" t="s">
        <v>29</v>
      </c>
      <c r="AE1481" s="940" t="s">
        <v>116</v>
      </c>
      <c r="AF1481" s="895" t="s">
        <v>116</v>
      </c>
      <c r="AG1481" s="896" t="s">
        <v>376</v>
      </c>
      <c r="AH1481" s="1304" t="s">
        <v>376</v>
      </c>
      <c r="AI1481" s="921" t="s">
        <v>29</v>
      </c>
      <c r="AJ1481" s="922" t="s">
        <v>29</v>
      </c>
      <c r="AK1481" s="922" t="s">
        <v>29</v>
      </c>
      <c r="AL1481" s="1030" t="s">
        <v>29</v>
      </c>
      <c r="AM1481" s="542" t="s">
        <v>709</v>
      </c>
      <c r="AN1481" s="924"/>
      <c r="AO1481" s="925"/>
      <c r="AP1481" s="926"/>
      <c r="AQ1481" s="926"/>
      <c r="AR1481" s="926"/>
      <c r="AS1481" s="926"/>
      <c r="AT1481" s="926"/>
      <c r="AU1481" s="926"/>
      <c r="AV1481" s="926"/>
      <c r="AW1481" s="927"/>
      <c r="AX1481" s="926"/>
      <c r="AY1481" s="1538" t="s">
        <v>29</v>
      </c>
      <c r="AZ1481" s="1530"/>
      <c r="BA1481" s="954" t="s">
        <v>8977</v>
      </c>
      <c r="BB1481" s="928" t="s">
        <v>29</v>
      </c>
      <c r="BC1481" s="915" t="s">
        <v>709</v>
      </c>
      <c r="BD1481" s="915" t="s">
        <v>709</v>
      </c>
      <c r="BE1481" s="915" t="s">
        <v>1791</v>
      </c>
      <c r="BF1481" s="943" t="s">
        <v>709</v>
      </c>
      <c r="BG1481" s="915" t="s">
        <v>709</v>
      </c>
      <c r="BH1481" s="1023" t="s">
        <v>8978</v>
      </c>
      <c r="BI1481" s="916" t="s">
        <v>709</v>
      </c>
      <c r="BJ1481" s="916" t="s">
        <v>745</v>
      </c>
      <c r="BK1481" s="916" t="s">
        <v>745</v>
      </c>
      <c r="BL1481" s="916" t="s">
        <v>116</v>
      </c>
      <c r="BM1481" s="916" t="s">
        <v>745</v>
      </c>
      <c r="BN1481" s="929" t="s">
        <v>745</v>
      </c>
      <c r="BO1481" s="916" t="s">
        <v>745</v>
      </c>
      <c r="BP1481" s="944">
        <v>82</v>
      </c>
      <c r="BQ1481" s="929">
        <v>1127</v>
      </c>
      <c r="BR1481" s="929">
        <v>40</v>
      </c>
      <c r="BS1481" s="929">
        <v>5</v>
      </c>
      <c r="BT1481" s="929">
        <v>1</v>
      </c>
      <c r="BU1481" s="929" t="s">
        <v>745</v>
      </c>
      <c r="BV1481" s="929" t="s">
        <v>745</v>
      </c>
      <c r="BW1481" s="929">
        <v>1</v>
      </c>
      <c r="BX1481" s="916">
        <v>1</v>
      </c>
      <c r="BY1481" s="944" t="s">
        <v>745</v>
      </c>
      <c r="BZ1481" s="944" t="s">
        <v>745</v>
      </c>
      <c r="CA1481" s="917"/>
      <c r="CB1481" s="547">
        <v>1477</v>
      </c>
      <c r="CC1481" s="1481" t="b">
        <v>0</v>
      </c>
      <c r="CD1481" s="879" t="str">
        <f>Table15[[#This Row],[Engineering Number]]&amp;Table15[[#This Row],[WO Number]]&amp;Table15[[#This Row],[Date Assigned to Designer]]&amp;Table15[[#This Row],[Date Completed]]</f>
        <v>RS120110134814582045846</v>
      </c>
    </row>
    <row r="1482" spans="1:82" ht="15" customHeight="1" x14ac:dyDescent="0.25">
      <c r="A1482">
        <v>2025</v>
      </c>
      <c r="B1482" s="878" t="s">
        <v>6798</v>
      </c>
      <c r="C1482" s="939">
        <v>1201443</v>
      </c>
      <c r="D1482" s="878" t="s">
        <v>8979</v>
      </c>
      <c r="E1482" s="878" t="s">
        <v>8832</v>
      </c>
      <c r="F1482" s="878" t="s">
        <v>6643</v>
      </c>
      <c r="G1482" s="878" t="s">
        <v>34</v>
      </c>
      <c r="H1482" s="931" t="s">
        <v>59</v>
      </c>
      <c r="I1482" s="883">
        <v>45727</v>
      </c>
      <c r="J1482" s="881">
        <v>45868</v>
      </c>
      <c r="K1482" s="945">
        <v>45847</v>
      </c>
      <c r="L1482" s="919">
        <f>IF(ISTEXT(Table15[[#This Row],[Engineering Approved Design Date]]),Table15[[#This Row],[Date Completed]]-Table15[[#This Row],[Date Assigned to Designer]],Table15[[#This Row],[Engineering Approved Design Date]]-Table15[[#This Row],[Date Completed]])</f>
        <v>21</v>
      </c>
      <c r="M1482" s="883"/>
      <c r="N1482" s="1616" t="s">
        <v>739</v>
      </c>
      <c r="O1482" s="886">
        <v>45870</v>
      </c>
      <c r="P1482" s="1153" t="s">
        <v>739</v>
      </c>
      <c r="Q1482" s="1151">
        <f>SUM(Table15[[#This Row],[Shactee Effort]:[KH Hourly Effort]])</f>
        <v>7654.9</v>
      </c>
      <c r="R1482" s="933" t="s">
        <v>1922</v>
      </c>
      <c r="S1482" s="888">
        <v>1514.9</v>
      </c>
      <c r="T1482" s="888">
        <v>0</v>
      </c>
      <c r="U1482" s="934">
        <v>6140</v>
      </c>
      <c r="V1482" s="890">
        <v>0</v>
      </c>
      <c r="W1482" s="1021">
        <v>1</v>
      </c>
      <c r="X1482" s="888">
        <v>25000</v>
      </c>
      <c r="Y1482" s="888">
        <v>0</v>
      </c>
      <c r="Z1482" s="892">
        <v>0</v>
      </c>
      <c r="AA1482" s="888">
        <v>25000</v>
      </c>
      <c r="AB1482" s="893" t="s">
        <v>29</v>
      </c>
      <c r="AC1482" s="894" t="s">
        <v>1177</v>
      </c>
      <c r="AD1482" s="1161" t="s">
        <v>29</v>
      </c>
      <c r="AE1482" s="895" t="s">
        <v>116</v>
      </c>
      <c r="AF1482" s="895" t="s">
        <v>29</v>
      </c>
      <c r="AG1482" s="895" t="s">
        <v>29</v>
      </c>
      <c r="AH1482" s="940" t="s">
        <v>376</v>
      </c>
      <c r="AI1482" s="898"/>
      <c r="AJ1482" s="899"/>
      <c r="AK1482" s="899"/>
      <c r="AL1482" s="901"/>
      <c r="AM1482" s="542" t="s">
        <v>709</v>
      </c>
      <c r="AN1482" s="924"/>
      <c r="AO1482" s="925"/>
      <c r="AP1482" s="926"/>
      <c r="AQ1482" s="926"/>
      <c r="AR1482" s="926"/>
      <c r="AS1482" s="926"/>
      <c r="AT1482" s="926"/>
      <c r="AU1482" s="926"/>
      <c r="AV1482" s="926"/>
      <c r="AW1482" s="927"/>
      <c r="AX1482" s="926"/>
      <c r="AY1482" s="1538" t="s">
        <v>29</v>
      </c>
      <c r="AZ1482" s="1532"/>
      <c r="BA1482" s="910" t="s">
        <v>7120</v>
      </c>
      <c r="BB1482" s="928" t="s">
        <v>8980</v>
      </c>
      <c r="BC1482" s="915" t="s">
        <v>29</v>
      </c>
      <c r="BD1482" s="915" t="s">
        <v>29</v>
      </c>
      <c r="BE1482" s="915" t="s">
        <v>29</v>
      </c>
      <c r="BF1482" s="915" t="s">
        <v>29</v>
      </c>
      <c r="BG1482" s="915" t="s">
        <v>29</v>
      </c>
      <c r="BH1482" s="1175" t="s">
        <v>8981</v>
      </c>
      <c r="BI1482" s="929" t="s">
        <v>745</v>
      </c>
      <c r="BJ1482" s="929" t="s">
        <v>116</v>
      </c>
      <c r="BK1482" s="916" t="s">
        <v>745</v>
      </c>
      <c r="BL1482" s="916" t="s">
        <v>116</v>
      </c>
      <c r="BM1482" s="929" t="s">
        <v>745</v>
      </c>
      <c r="BN1482" s="916" t="s">
        <v>745</v>
      </c>
      <c r="BO1482" s="929" t="s">
        <v>745</v>
      </c>
      <c r="BP1482" s="929" t="s">
        <v>745</v>
      </c>
      <c r="BQ1482" s="929" t="s">
        <v>745</v>
      </c>
      <c r="BR1482" s="916" t="s">
        <v>745</v>
      </c>
      <c r="BS1482" s="929" t="s">
        <v>745</v>
      </c>
      <c r="BT1482" s="916" t="s">
        <v>745</v>
      </c>
      <c r="BU1482" s="929" t="s">
        <v>116</v>
      </c>
      <c r="BV1482" s="916" t="s">
        <v>745</v>
      </c>
      <c r="BW1482" s="929" t="s">
        <v>745</v>
      </c>
      <c r="BX1482" s="916" t="s">
        <v>745</v>
      </c>
      <c r="BY1482" s="916" t="s">
        <v>745</v>
      </c>
      <c r="BZ1482" s="916" t="s">
        <v>745</v>
      </c>
      <c r="CA1482" s="1006" t="s">
        <v>8424</v>
      </c>
      <c r="CB1482" s="547">
        <v>1482</v>
      </c>
      <c r="CC1482" s="1481" t="b">
        <v>0</v>
      </c>
      <c r="CD1482" s="879" t="str">
        <f>Table15[[#This Row],[Engineering Number]]&amp;Table15[[#This Row],[WO Number]]&amp;Table15[[#This Row],[Date Assigned to Designer]]&amp;Table15[[#This Row],[Date Completed]]</f>
        <v>120144310151734572745847</v>
      </c>
    </row>
    <row r="1483" spans="1:82" ht="15" customHeight="1" x14ac:dyDescent="0.25">
      <c r="A1483">
        <v>2025</v>
      </c>
      <c r="B1483" s="879" t="s">
        <v>771</v>
      </c>
      <c r="C1483" s="879" t="s">
        <v>1809</v>
      </c>
      <c r="D1483" s="939">
        <v>1213263</v>
      </c>
      <c r="E1483" s="965" t="s">
        <v>149</v>
      </c>
      <c r="F1483" s="879" t="s">
        <v>784</v>
      </c>
      <c r="G1483" s="879" t="s">
        <v>32</v>
      </c>
      <c r="H1483" s="878" t="s">
        <v>3852</v>
      </c>
      <c r="I1483" s="883">
        <v>45772</v>
      </c>
      <c r="J1483" s="918" t="s">
        <v>2052</v>
      </c>
      <c r="K1483" s="945">
        <v>45848</v>
      </c>
      <c r="L1483" s="919">
        <f>IF(ISTEXT(Table15[[#This Row],[Engineering Approved Design Date]]),Table15[[#This Row],[Date Completed]]-Table15[[#This Row],[Date Assigned to Designer]],Table15[[#This Row],[Engineering Approved Design Date]]-Table15[[#This Row],[Date Completed]])</f>
        <v>76</v>
      </c>
      <c r="M1483" s="884" t="s">
        <v>8982</v>
      </c>
      <c r="N1483" s="885" t="s">
        <v>739</v>
      </c>
      <c r="O1483" s="886">
        <v>45870</v>
      </c>
      <c r="P1483" s="1153" t="s">
        <v>120</v>
      </c>
      <c r="Q1483" s="1150">
        <f>SUM(Table15[[#This Row],[Shactee Effort]:[KH Hourly Effort]])</f>
        <v>24547.5</v>
      </c>
      <c r="R1483" s="933" t="s">
        <v>1922</v>
      </c>
      <c r="S1483" s="888">
        <v>0</v>
      </c>
      <c r="T1483" s="888">
        <v>0</v>
      </c>
      <c r="U1483" s="889">
        <v>24547.5</v>
      </c>
      <c r="V1483" s="890">
        <v>27495</v>
      </c>
      <c r="W1483" s="1021">
        <v>0</v>
      </c>
      <c r="X1483" s="888" t="s">
        <v>29</v>
      </c>
      <c r="Y1483" s="888" t="s">
        <v>29</v>
      </c>
      <c r="Z1483" s="888" t="s">
        <v>29</v>
      </c>
      <c r="AA1483" s="888" t="s">
        <v>29</v>
      </c>
      <c r="AB1483" s="893" t="s">
        <v>29</v>
      </c>
      <c r="AC1483" s="896" t="s">
        <v>29</v>
      </c>
      <c r="AD1483" s="1155" t="s">
        <v>29</v>
      </c>
      <c r="AE1483" s="894" t="s">
        <v>756</v>
      </c>
      <c r="AF1483" s="895" t="s">
        <v>756</v>
      </c>
      <c r="AG1483" s="896" t="s">
        <v>29</v>
      </c>
      <c r="AH1483" s="985" t="s">
        <v>376</v>
      </c>
      <c r="AI1483" s="921" t="s">
        <v>29</v>
      </c>
      <c r="AJ1483" s="922" t="s">
        <v>29</v>
      </c>
      <c r="AK1483" s="922" t="s">
        <v>29</v>
      </c>
      <c r="AL1483" s="1030" t="s">
        <v>29</v>
      </c>
      <c r="AM1483" s="542" t="s">
        <v>709</v>
      </c>
      <c r="AN1483" s="924"/>
      <c r="AO1483" s="925"/>
      <c r="AP1483" s="926"/>
      <c r="AQ1483" s="926"/>
      <c r="AR1483" s="926"/>
      <c r="AS1483" s="926"/>
      <c r="AT1483" s="926"/>
      <c r="AU1483" s="926"/>
      <c r="AV1483" s="926"/>
      <c r="AW1483" s="927"/>
      <c r="AX1483" s="926"/>
      <c r="AY1483" s="1538" t="s">
        <v>29</v>
      </c>
      <c r="AZ1483" s="1530"/>
      <c r="BA1483" s="966">
        <v>4</v>
      </c>
      <c r="BB1483" s="990" t="s">
        <v>8983</v>
      </c>
      <c r="BC1483" s="915" t="s">
        <v>116</v>
      </c>
      <c r="BD1483" s="915" t="s">
        <v>709</v>
      </c>
      <c r="BE1483" s="914" t="s">
        <v>1813</v>
      </c>
      <c r="BF1483" s="915" t="s">
        <v>709</v>
      </c>
      <c r="BG1483" s="915" t="s">
        <v>29</v>
      </c>
      <c r="BH1483" s="1175" t="s">
        <v>8984</v>
      </c>
      <c r="BI1483" s="1657" t="s">
        <v>745</v>
      </c>
      <c r="BJ1483" s="944" t="s">
        <v>745</v>
      </c>
      <c r="BK1483" s="944" t="s">
        <v>745</v>
      </c>
      <c r="BL1483" s="944" t="s">
        <v>116</v>
      </c>
      <c r="BM1483" s="944">
        <v>0</v>
      </c>
      <c r="BN1483" s="944">
        <v>0</v>
      </c>
      <c r="BO1483" s="944">
        <v>0</v>
      </c>
      <c r="BP1483" s="944">
        <v>0</v>
      </c>
      <c r="BQ1483" s="944">
        <v>0</v>
      </c>
      <c r="BR1483" s="944">
        <v>4413</v>
      </c>
      <c r="BS1483" s="944">
        <v>23082</v>
      </c>
      <c r="BT1483" s="944">
        <v>0</v>
      </c>
      <c r="BU1483" s="944">
        <v>0</v>
      </c>
      <c r="BV1483" s="944">
        <v>0</v>
      </c>
      <c r="BW1483" s="944">
        <v>0</v>
      </c>
      <c r="BX1483" s="944">
        <v>0</v>
      </c>
      <c r="BY1483" s="944">
        <v>0</v>
      </c>
      <c r="BZ1483" s="916" t="s">
        <v>709</v>
      </c>
      <c r="CA1483" s="917"/>
      <c r="CB1483" s="547">
        <v>1483</v>
      </c>
      <c r="CC1483" s="1481" t="b">
        <v>0</v>
      </c>
      <c r="CD1483" s="879" t="str">
        <f>Table15[[#This Row],[Engineering Number]]&amp;Table15[[#This Row],[WO Number]]&amp;Table15[[#This Row],[Date Assigned to Designer]]&amp;Table15[[#This Row],[Date Completed]]</f>
        <v>MR1C15323_C1532412132634577245848</v>
      </c>
    </row>
    <row r="1484" spans="1:82" ht="15" customHeight="1" x14ac:dyDescent="0.25">
      <c r="A1484">
        <v>2025</v>
      </c>
      <c r="B1484" s="8" t="s">
        <v>771</v>
      </c>
      <c r="C1484" s="8" t="s">
        <v>8103</v>
      </c>
      <c r="D1484" s="8" t="s">
        <v>8866</v>
      </c>
      <c r="E1484" s="8" t="s">
        <v>8752</v>
      </c>
      <c r="F1484" s="8" t="s">
        <v>6874</v>
      </c>
      <c r="G1484" s="8" t="s">
        <v>7152</v>
      </c>
      <c r="H1484" s="8" t="s">
        <v>4462</v>
      </c>
      <c r="I1484" s="642">
        <v>45831</v>
      </c>
      <c r="J1484" s="175" t="s">
        <v>2052</v>
      </c>
      <c r="K1484" s="97">
        <v>45852</v>
      </c>
      <c r="L1484" s="16">
        <f>IF(ISTEXT(Table15[[#This Row],[Engineering Approved Design Date]]),Table15[[#This Row],[Date Completed]]-Table15[[#This Row],[Date Assigned to Designer]],Table15[[#This Row],[Engineering Approved Design Date]]-Table15[[#This Row],[Date Completed]])</f>
        <v>21</v>
      </c>
      <c r="M1484" s="642" t="s">
        <v>8985</v>
      </c>
      <c r="N1484" s="99" t="s">
        <v>739</v>
      </c>
      <c r="O1484" s="1060">
        <v>45870</v>
      </c>
      <c r="P1484" s="1152" t="s">
        <v>120</v>
      </c>
      <c r="Q1484" s="1150" t="s">
        <v>115</v>
      </c>
      <c r="R1484" s="920" t="s">
        <v>115</v>
      </c>
      <c r="S1484" s="538" t="s">
        <v>29</v>
      </c>
      <c r="T1484" s="538" t="s">
        <v>29</v>
      </c>
      <c r="U1484" s="28" t="s">
        <v>29</v>
      </c>
      <c r="V1484" s="538" t="s">
        <v>29</v>
      </c>
      <c r="W1484" s="343" t="s">
        <v>29</v>
      </c>
      <c r="X1484" s="888" t="s">
        <v>29</v>
      </c>
      <c r="Y1484" s="888" t="s">
        <v>29</v>
      </c>
      <c r="Z1484" s="888" t="s">
        <v>29</v>
      </c>
      <c r="AA1484" s="888" t="s">
        <v>29</v>
      </c>
      <c r="AB1484" s="893" t="s">
        <v>29</v>
      </c>
      <c r="AC1484" s="896" t="s">
        <v>29</v>
      </c>
      <c r="AD1484" s="1155" t="s">
        <v>29</v>
      </c>
      <c r="AE1484" s="569" t="s">
        <v>29</v>
      </c>
      <c r="AF1484" s="569" t="s">
        <v>29</v>
      </c>
      <c r="AG1484" s="569" t="s">
        <v>29</v>
      </c>
      <c r="AH1484" s="356" t="s">
        <v>29</v>
      </c>
      <c r="AI1484" s="1028" t="s">
        <v>29</v>
      </c>
      <c r="AJ1484" s="1029" t="s">
        <v>29</v>
      </c>
      <c r="AK1484" s="1029" t="s">
        <v>29</v>
      </c>
      <c r="AL1484" s="1030" t="s">
        <v>29</v>
      </c>
      <c r="AM1484" s="542" t="s">
        <v>709</v>
      </c>
      <c r="AN1484" s="924"/>
      <c r="AO1484" s="925"/>
      <c r="AP1484" s="926"/>
      <c r="AQ1484" s="926"/>
      <c r="AR1484" s="926"/>
      <c r="AS1484" s="926"/>
      <c r="AT1484" s="926"/>
      <c r="AU1484" s="926"/>
      <c r="AV1484" s="926"/>
      <c r="AW1484" s="927"/>
      <c r="AX1484" s="926"/>
      <c r="AY1484" s="1538" t="s">
        <v>29</v>
      </c>
      <c r="AZ1484" s="1530"/>
      <c r="BA1484" s="1031">
        <v>4</v>
      </c>
      <c r="BB1484" s="644"/>
      <c r="BC1484" s="559"/>
      <c r="BD1484" s="554"/>
      <c r="BE1484" s="588"/>
      <c r="BF1484" s="588"/>
      <c r="BG1484" s="548"/>
      <c r="BH1484" s="615" t="s">
        <v>8986</v>
      </c>
      <c r="BI1484" s="1032"/>
      <c r="BJ1484" s="1032"/>
      <c r="BK1484" s="1032"/>
      <c r="BL1484" s="1032"/>
      <c r="BM1484" s="1032"/>
      <c r="BN1484" s="1032"/>
      <c r="BO1484" s="1032"/>
      <c r="BP1484" s="1032"/>
      <c r="BQ1484" s="1032"/>
      <c r="BR1484" s="1032"/>
      <c r="BS1484" s="1032"/>
      <c r="BT1484" s="1032"/>
      <c r="BU1484" s="1032"/>
      <c r="BV1484" s="1032"/>
      <c r="BW1484" s="1032"/>
      <c r="BX1484" s="1032"/>
      <c r="BY1484" s="1032"/>
      <c r="BZ1484" s="1032"/>
      <c r="CA1484" s="485"/>
      <c r="CB1484" s="547"/>
      <c r="CC1484"/>
      <c r="CD1484"/>
    </row>
    <row r="1485" spans="1:82" ht="15" customHeight="1" x14ac:dyDescent="0.25">
      <c r="A1485">
        <v>2025</v>
      </c>
      <c r="B1485" s="878" t="s">
        <v>4</v>
      </c>
      <c r="C1485" s="878" t="s">
        <v>8070</v>
      </c>
      <c r="D1485" s="878" t="s">
        <v>8254</v>
      </c>
      <c r="E1485" s="878" t="s">
        <v>8086</v>
      </c>
      <c r="F1485" s="878" t="s">
        <v>784</v>
      </c>
      <c r="G1485" s="878" t="s">
        <v>27</v>
      </c>
      <c r="H1485" s="878" t="s">
        <v>4189</v>
      </c>
      <c r="I1485" s="883">
        <v>45847</v>
      </c>
      <c r="J1485" s="918" t="s">
        <v>2052</v>
      </c>
      <c r="K1485" s="945">
        <v>45854</v>
      </c>
      <c r="L1485" s="919">
        <f>IF(ISTEXT(Table15[[#This Row],[Engineering Approved Design Date]]),Table15[[#This Row],[Date Completed]]-Table15[[#This Row],[Date Assigned to Designer]],Table15[[#This Row],[Engineering Approved Design Date]]-Table15[[#This Row],[Date Completed]])</f>
        <v>7</v>
      </c>
      <c r="M1485" s="1012" t="s">
        <v>8987</v>
      </c>
      <c r="N1485" s="885" t="s">
        <v>120</v>
      </c>
      <c r="O1485" s="886">
        <v>45870</v>
      </c>
      <c r="P1485" s="1153" t="s">
        <v>739</v>
      </c>
      <c r="Q1485" s="1150">
        <f>SUM(Table15[[#This Row],[Shactee Effort]:[KH Hourly Effort]])</f>
        <v>3430</v>
      </c>
      <c r="R1485" s="920" t="s">
        <v>1922</v>
      </c>
      <c r="S1485" s="892">
        <v>0</v>
      </c>
      <c r="T1485" s="892">
        <v>0</v>
      </c>
      <c r="U1485" s="934">
        <v>3430</v>
      </c>
      <c r="V1485" s="888" t="s">
        <v>29</v>
      </c>
      <c r="W1485" s="995" t="s">
        <v>29</v>
      </c>
      <c r="X1485" s="888" t="s">
        <v>29</v>
      </c>
      <c r="Y1485" s="888"/>
      <c r="Z1485" s="888" t="s">
        <v>29</v>
      </c>
      <c r="AA1485" s="888" t="s">
        <v>29</v>
      </c>
      <c r="AB1485" s="893" t="s">
        <v>29</v>
      </c>
      <c r="AC1485" s="569" t="s">
        <v>29</v>
      </c>
      <c r="AD1485" s="1155" t="s">
        <v>29</v>
      </c>
      <c r="AE1485" s="895" t="s">
        <v>756</v>
      </c>
      <c r="AF1485" s="896" t="s">
        <v>29</v>
      </c>
      <c r="AG1485" s="897" t="s">
        <v>376</v>
      </c>
      <c r="AH1485" s="1636" t="s">
        <v>376</v>
      </c>
      <c r="AI1485" s="921" t="s">
        <v>29</v>
      </c>
      <c r="AJ1485" s="922" t="s">
        <v>29</v>
      </c>
      <c r="AK1485" s="922" t="s">
        <v>29</v>
      </c>
      <c r="AL1485" s="923" t="s">
        <v>29</v>
      </c>
      <c r="AM1485" s="542" t="s">
        <v>709</v>
      </c>
      <c r="AN1485" s="924"/>
      <c r="AO1485" s="925"/>
      <c r="AP1485" s="926"/>
      <c r="AQ1485" s="926"/>
      <c r="AR1485" s="926"/>
      <c r="AS1485" s="926"/>
      <c r="AT1485" s="926"/>
      <c r="AU1485" s="926"/>
      <c r="AV1485" s="926"/>
      <c r="AW1485" s="927"/>
      <c r="AX1485" s="926"/>
      <c r="AY1485" s="1538" t="s">
        <v>29</v>
      </c>
      <c r="AZ1485" s="1530"/>
      <c r="BA1485" s="910">
        <v>11</v>
      </c>
      <c r="BB1485" s="928" t="s">
        <v>29</v>
      </c>
      <c r="BC1485" s="915" t="s">
        <v>709</v>
      </c>
      <c r="BD1485" s="915" t="s">
        <v>709</v>
      </c>
      <c r="BE1485" s="915" t="s">
        <v>8071</v>
      </c>
      <c r="BF1485" s="915" t="s">
        <v>709</v>
      </c>
      <c r="BG1485" s="915" t="s">
        <v>8257</v>
      </c>
      <c r="BH1485" s="1023" t="s">
        <v>8988</v>
      </c>
      <c r="BI1485" s="929" t="s">
        <v>709</v>
      </c>
      <c r="BJ1485" s="929" t="s">
        <v>709</v>
      </c>
      <c r="BK1485" s="916" t="s">
        <v>709</v>
      </c>
      <c r="BL1485" s="916" t="s">
        <v>709</v>
      </c>
      <c r="BM1485" s="916" t="s">
        <v>709</v>
      </c>
      <c r="BN1485" s="916" t="s">
        <v>709</v>
      </c>
      <c r="BO1485" s="916" t="s">
        <v>709</v>
      </c>
      <c r="BP1485" s="916">
        <f>230+20</f>
        <v>250</v>
      </c>
      <c r="BQ1485" s="916">
        <v>70</v>
      </c>
      <c r="BR1485" s="916">
        <v>159</v>
      </c>
      <c r="BS1485" s="916">
        <v>116</v>
      </c>
      <c r="BT1485" s="916" t="s">
        <v>709</v>
      </c>
      <c r="BU1485" s="916" t="s">
        <v>709</v>
      </c>
      <c r="BV1485" s="916" t="s">
        <v>709</v>
      </c>
      <c r="BW1485" s="916" t="s">
        <v>709</v>
      </c>
      <c r="BX1485" s="916">
        <v>0</v>
      </c>
      <c r="BY1485" s="916" t="s">
        <v>709</v>
      </c>
      <c r="BZ1485" s="916" t="s">
        <v>709</v>
      </c>
      <c r="CA1485" s="943" t="s">
        <v>3331</v>
      </c>
      <c r="CB1485" s="547"/>
      <c r="CC1485" s="1481" t="b">
        <v>0</v>
      </c>
      <c r="CD1485" s="879" t="str">
        <f>Table15[[#This Row],[Engineering Number]]&amp;Table15[[#This Row],[WO Number]]&amp;Table15[[#This Row],[Date Assigned to Designer]]&amp;Table15[[#This Row],[Date Completed]]</f>
        <v>N1708112146494584745854</v>
      </c>
    </row>
    <row r="1486" spans="1:82" ht="15" customHeight="1" x14ac:dyDescent="0.25">
      <c r="A1486">
        <v>2025</v>
      </c>
      <c r="B1486" s="878" t="s">
        <v>1162</v>
      </c>
      <c r="C1486" s="879" t="s">
        <v>8989</v>
      </c>
      <c r="D1486" s="880" t="s">
        <v>8990</v>
      </c>
      <c r="E1486" s="879" t="s">
        <v>4074</v>
      </c>
      <c r="F1486" s="878" t="s">
        <v>851</v>
      </c>
      <c r="G1486" s="878" t="s">
        <v>26</v>
      </c>
      <c r="H1486" s="878" t="s">
        <v>59</v>
      </c>
      <c r="I1486" s="881">
        <v>45784</v>
      </c>
      <c r="J1486" s="882">
        <v>45854</v>
      </c>
      <c r="K1486" s="945">
        <v>45854</v>
      </c>
      <c r="L1486" s="919">
        <f>IF(ISTEXT(Table15[[#This Row],[Engineering Approved Design Date]]),Table15[[#This Row],[Date Completed]]-Table15[[#This Row],[Date Assigned to Designer]],Table15[[#This Row],[Engineering Approved Design Date]]-Table15[[#This Row],[Date Completed]])</f>
        <v>0</v>
      </c>
      <c r="N1486" s="942" t="s">
        <v>739</v>
      </c>
      <c r="O1486" s="886">
        <v>45870</v>
      </c>
      <c r="P1486" s="1153" t="s">
        <v>739</v>
      </c>
      <c r="Q1486" s="1150">
        <f>Table15[[#This Row],[Rate]]*Table15[[#This Row],[Construction Cost to Bill From]]</f>
        <v>22769.362700000001</v>
      </c>
      <c r="R1486" s="887">
        <v>7.0000000000000007E-2</v>
      </c>
      <c r="S1486" s="888" t="s">
        <v>29</v>
      </c>
      <c r="T1486" s="888" t="s">
        <v>29</v>
      </c>
      <c r="U1486" s="889" t="s">
        <v>29</v>
      </c>
      <c r="V1486" s="890">
        <v>917</v>
      </c>
      <c r="W1486" s="995" t="s">
        <v>29</v>
      </c>
      <c r="X1486" s="888">
        <v>283280.74</v>
      </c>
      <c r="Y1486" s="891"/>
      <c r="Z1486" s="888">
        <v>41995.87</v>
      </c>
      <c r="AA1486" s="892">
        <f>SUM(Table15[[#This Row],[PCTS Investment Amount]:[PCTS Retirement Amount]])</f>
        <v>325276.61</v>
      </c>
      <c r="AB1486" s="893">
        <v>45863</v>
      </c>
      <c r="AC1486" s="894" t="s">
        <v>29</v>
      </c>
      <c r="AD1486" s="1160" t="s">
        <v>756</v>
      </c>
      <c r="AE1486" s="894" t="s">
        <v>756</v>
      </c>
      <c r="AF1486" s="895" t="s">
        <v>756</v>
      </c>
      <c r="AG1486" s="896" t="s">
        <v>116</v>
      </c>
      <c r="AH1486" s="897" t="s">
        <v>376</v>
      </c>
      <c r="AI1486" s="898" t="s">
        <v>29</v>
      </c>
      <c r="AJ1486" s="1638">
        <v>2044</v>
      </c>
      <c r="AK1486" s="1638">
        <v>7303.38</v>
      </c>
      <c r="AL1486" s="923">
        <f>SUM(Table15[[#This Row],[Nicor Initiated DBE]:[Staffing]])/(Table15[[#This Row],[Amount Invoiced]])</f>
        <v>0.4105244456402814</v>
      </c>
      <c r="AM1486" s="536" t="s">
        <v>116</v>
      </c>
      <c r="AN1486" s="903"/>
      <c r="AO1486" s="1536"/>
      <c r="AP1486" s="1537"/>
      <c r="AQ1486" s="1537"/>
      <c r="AR1486" s="1537"/>
      <c r="AS1486" s="888">
        <f>IF(Table15[[#This Row],[PCTS Approved]]="N",0,Table15[[#This Row],[Investment Amount (1'#'#'#'#'#)]]+Table15[[#This Row],[Retirement Amount (3'#'#'#'#'#)]])</f>
        <v>0</v>
      </c>
      <c r="AT1486" s="888">
        <f>IF(Table15[[#This Row],[Approved Construction Cost]]=0,0,Table15[[#This Row],[Approved Construction Cost]]-Table15[[#This Row],[Construction Cost to Bill From]])</f>
        <v>0</v>
      </c>
      <c r="AU1486" s="888">
        <f>IFERROR(Table15[[#This Row],[Difference in Construction Cost]]*Table15[[#This Row],[Rate]],Table15[[#This Row],[Difference in Construction Cost]]*0.085)</f>
        <v>0</v>
      </c>
      <c r="AV1486" s="905"/>
      <c r="AW1486" s="1509"/>
      <c r="AX1486" s="888"/>
      <c r="AY1486" s="636" t="s">
        <v>709</v>
      </c>
      <c r="AZ1486" s="1532"/>
      <c r="BA1486" s="910" t="s">
        <v>8991</v>
      </c>
      <c r="BB1486" s="911" t="s">
        <v>8992</v>
      </c>
      <c r="BC1486" s="912" t="s">
        <v>116</v>
      </c>
      <c r="BD1486" s="913" t="s">
        <v>788</v>
      </c>
      <c r="BE1486" s="914" t="s">
        <v>4077</v>
      </c>
      <c r="BF1486" s="914" t="s">
        <v>4070</v>
      </c>
      <c r="BG1486" s="915" t="s">
        <v>29</v>
      </c>
      <c r="BH1486" s="1023" t="s">
        <v>8993</v>
      </c>
      <c r="BI1486" s="916" t="s">
        <v>745</v>
      </c>
      <c r="BJ1486" s="916" t="s">
        <v>745</v>
      </c>
      <c r="BK1486" s="916" t="s">
        <v>745</v>
      </c>
      <c r="BL1486" s="916" t="s">
        <v>116</v>
      </c>
      <c r="BM1486" s="916" t="s">
        <v>745</v>
      </c>
      <c r="BN1486" s="916" t="s">
        <v>745</v>
      </c>
      <c r="BO1486" s="916" t="s">
        <v>745</v>
      </c>
      <c r="BP1486" s="916" t="s">
        <v>745</v>
      </c>
      <c r="BQ1486" s="916" t="s">
        <v>745</v>
      </c>
      <c r="BR1486" s="916">
        <v>688</v>
      </c>
      <c r="BS1486" s="916">
        <v>229</v>
      </c>
      <c r="BT1486" s="916" t="s">
        <v>745</v>
      </c>
      <c r="BU1486" s="916" t="s">
        <v>745</v>
      </c>
      <c r="BV1486" s="916" t="s">
        <v>745</v>
      </c>
      <c r="BW1486" s="916" t="s">
        <v>745</v>
      </c>
      <c r="BX1486" s="916" t="s">
        <v>745</v>
      </c>
      <c r="BY1486" s="916" t="s">
        <v>745</v>
      </c>
      <c r="BZ1486" s="916" t="s">
        <v>745</v>
      </c>
      <c r="CA1486" s="917"/>
      <c r="CB1486" s="547">
        <v>1478</v>
      </c>
      <c r="CC1486" s="1481" t="b">
        <v>0</v>
      </c>
      <c r="CD1486" s="879" t="str">
        <f>Table15[[#This Row],[Engineering Number]]&amp;Table15[[#This Row],[WO Number]]&amp;Table15[[#This Row],[Date Assigned to Designer]]&amp;Table15[[#This Row],[Date Completed]]</f>
        <v>PRIM71813153924578445854</v>
      </c>
    </row>
    <row r="1487" spans="1:82" ht="15" customHeight="1" x14ac:dyDescent="0.25">
      <c r="A1487">
        <v>2024</v>
      </c>
      <c r="B1487" s="878" t="s">
        <v>4</v>
      </c>
      <c r="C1487" s="878" t="s">
        <v>6866</v>
      </c>
      <c r="D1487" s="878" t="s">
        <v>6867</v>
      </c>
      <c r="E1487" s="878" t="s">
        <v>2375</v>
      </c>
      <c r="F1487" s="878" t="s">
        <v>784</v>
      </c>
      <c r="G1487" s="878" t="s">
        <v>31</v>
      </c>
      <c r="H1487" s="878" t="s">
        <v>4189</v>
      </c>
      <c r="I1487" s="883">
        <v>45701</v>
      </c>
      <c r="J1487" s="918" t="s">
        <v>2052</v>
      </c>
      <c r="K1487" s="945">
        <v>45854</v>
      </c>
      <c r="L1487" s="919">
        <f>IF(ISTEXT(Table15[[#This Row],[Engineering Approved Design Date]]),Table15[[#This Row],[Date Completed]]-Table15[[#This Row],[Date Assigned to Designer]],Table15[[#This Row],[Engineering Approved Design Date]]-Table15[[#This Row],[Date Completed]])</f>
        <v>153</v>
      </c>
      <c r="M1487" s="1012" t="s">
        <v>8994</v>
      </c>
      <c r="N1487" s="885" t="s">
        <v>120</v>
      </c>
      <c r="O1487" s="886">
        <v>45870</v>
      </c>
      <c r="P1487" s="1153" t="s">
        <v>739</v>
      </c>
      <c r="Q1487" s="1150">
        <f>SUM(Table15[[#This Row],[Shactee Effort]:[KH Hourly Effort]])</f>
        <v>122660</v>
      </c>
      <c r="R1487" s="920" t="s">
        <v>1922</v>
      </c>
      <c r="S1487" s="888">
        <v>0</v>
      </c>
      <c r="T1487" s="888">
        <v>0</v>
      </c>
      <c r="U1487" s="889">
        <v>122660</v>
      </c>
      <c r="V1487" s="1228" t="s">
        <v>29</v>
      </c>
      <c r="W1487" s="995" t="s">
        <v>29</v>
      </c>
      <c r="X1487" s="888" t="s">
        <v>29</v>
      </c>
      <c r="Y1487" s="888"/>
      <c r="Z1487" s="888" t="s">
        <v>29</v>
      </c>
      <c r="AA1487" s="889" t="s">
        <v>29</v>
      </c>
      <c r="AB1487" s="893" t="s">
        <v>29</v>
      </c>
      <c r="AC1487" s="897" t="s">
        <v>29</v>
      </c>
      <c r="AD1487" s="1304" t="s">
        <v>29</v>
      </c>
      <c r="AE1487" s="895" t="s">
        <v>756</v>
      </c>
      <c r="AF1487" s="896" t="s">
        <v>756</v>
      </c>
      <c r="AG1487" s="897" t="s">
        <v>376</v>
      </c>
      <c r="AH1487" s="902" t="s">
        <v>376</v>
      </c>
      <c r="AI1487" s="921" t="s">
        <v>29</v>
      </c>
      <c r="AJ1487" s="922" t="s">
        <v>29</v>
      </c>
      <c r="AK1487" s="922" t="s">
        <v>29</v>
      </c>
      <c r="AL1487" s="923" t="s">
        <v>29</v>
      </c>
      <c r="AM1487" s="542" t="s">
        <v>709</v>
      </c>
      <c r="AN1487" s="924"/>
      <c r="AO1487" s="925"/>
      <c r="AP1487" s="926"/>
      <c r="AQ1487" s="926"/>
      <c r="AR1487" s="926"/>
      <c r="AS1487" s="926"/>
      <c r="AT1487" s="926"/>
      <c r="AU1487" s="926"/>
      <c r="AV1487" s="926"/>
      <c r="AW1487" s="927"/>
      <c r="AX1487" s="926"/>
      <c r="AY1487" s="1538" t="s">
        <v>29</v>
      </c>
      <c r="AZ1487" s="1530"/>
      <c r="BA1487" s="910" t="s">
        <v>5156</v>
      </c>
      <c r="BB1487" s="928" t="s">
        <v>8995</v>
      </c>
      <c r="BC1487" s="915" t="s">
        <v>756</v>
      </c>
      <c r="BD1487" s="915" t="s">
        <v>709</v>
      </c>
      <c r="BE1487" s="915" t="s">
        <v>3205</v>
      </c>
      <c r="BF1487" s="915" t="s">
        <v>3205</v>
      </c>
      <c r="BG1487" s="915" t="s">
        <v>1391</v>
      </c>
      <c r="BH1487" s="1023" t="s">
        <v>8996</v>
      </c>
      <c r="BI1487" s="626" t="s">
        <v>745</v>
      </c>
      <c r="BJ1487" s="626" t="s">
        <v>745</v>
      </c>
      <c r="BK1487" s="626" t="s">
        <v>116</v>
      </c>
      <c r="BL1487" s="626" t="s">
        <v>116</v>
      </c>
      <c r="BM1487" s="626" t="s">
        <v>745</v>
      </c>
      <c r="BN1487" s="626">
        <f>425+1996+6046</f>
        <v>8467</v>
      </c>
      <c r="BO1487" s="626" t="s">
        <v>745</v>
      </c>
      <c r="BP1487" s="626">
        <f>399+2931</f>
        <v>3330</v>
      </c>
      <c r="BQ1487" s="929">
        <f>1330+319</f>
        <v>1649</v>
      </c>
      <c r="BR1487" s="929">
        <f>633+263+7127</f>
        <v>8023</v>
      </c>
      <c r="BS1487" s="916">
        <v>5966</v>
      </c>
      <c r="BT1487" s="626" t="s">
        <v>116</v>
      </c>
      <c r="BU1487" s="626" t="s">
        <v>745</v>
      </c>
      <c r="BV1487" s="626" t="s">
        <v>745</v>
      </c>
      <c r="BW1487" s="626" t="s">
        <v>745</v>
      </c>
      <c r="BX1487" s="626" t="s">
        <v>745</v>
      </c>
      <c r="BY1487" s="626" t="s">
        <v>745</v>
      </c>
      <c r="BZ1487" s="547" t="s">
        <v>745</v>
      </c>
      <c r="CA1487" s="917"/>
      <c r="CB1487" s="547"/>
      <c r="CC1487" s="1481" t="b">
        <v>0</v>
      </c>
      <c r="CD1487" s="879" t="str">
        <f>Table15[[#This Row],[Engineering Number]]&amp;Table15[[#This Row],[WO Number]]&amp;Table15[[#This Row],[Date Assigned to Designer]]&amp;Table15[[#This Row],[Date Completed]]</f>
        <v>N1479312132704570145854</v>
      </c>
    </row>
    <row r="1488" spans="1:82" ht="15" customHeight="1" x14ac:dyDescent="0.25">
      <c r="A1488">
        <v>2025</v>
      </c>
      <c r="B1488" s="878" t="s">
        <v>1205</v>
      </c>
      <c r="C1488" s="879" t="s">
        <v>8997</v>
      </c>
      <c r="D1488" s="979" t="s">
        <v>8998</v>
      </c>
      <c r="E1488" s="879" t="s">
        <v>3992</v>
      </c>
      <c r="F1488" s="878" t="s">
        <v>6874</v>
      </c>
      <c r="G1488" s="878" t="s">
        <v>7152</v>
      </c>
      <c r="H1488" s="878" t="s">
        <v>59</v>
      </c>
      <c r="I1488" s="881">
        <v>45784</v>
      </c>
      <c r="J1488" s="882">
        <v>45856</v>
      </c>
      <c r="K1488" s="883">
        <v>45855</v>
      </c>
      <c r="L1488" s="919">
        <f>IF(ISTEXT(Table15[[#This Row],[Engineering Approved Design Date]]),Table15[[#This Row],[Date Completed]]-Table15[[#This Row],[Date Assigned to Designer]],Table15[[#This Row],[Engineering Approved Design Date]]-Table15[[#This Row],[Date Completed]])</f>
        <v>1</v>
      </c>
      <c r="N1488" s="885" t="s">
        <v>739</v>
      </c>
      <c r="O1488" s="886">
        <v>45870</v>
      </c>
      <c r="P1488" s="1153" t="s">
        <v>739</v>
      </c>
      <c r="Q1488" s="1150">
        <f>Table15[[#This Row],[Rate]]*Table15[[#This Row],[Construction Cost to Bill From]]</f>
        <v>26392.275900000001</v>
      </c>
      <c r="R1488" s="887">
        <v>0.09</v>
      </c>
      <c r="S1488" s="888" t="s">
        <v>29</v>
      </c>
      <c r="T1488" s="888" t="s">
        <v>29</v>
      </c>
      <c r="U1488" s="889" t="s">
        <v>29</v>
      </c>
      <c r="V1488" s="890">
        <v>141</v>
      </c>
      <c r="W1488" s="1021">
        <v>0</v>
      </c>
      <c r="X1488" s="888">
        <v>248162.86</v>
      </c>
      <c r="Y1488" s="891"/>
      <c r="Z1488" s="888">
        <v>45084.65</v>
      </c>
      <c r="AA1488" s="892">
        <f>SUM(Table15[[#This Row],[PCTS Investment Amount]:[PCTS Retirement Amount]])</f>
        <v>293247.51</v>
      </c>
      <c r="AB1488" s="893">
        <v>45868</v>
      </c>
      <c r="AC1488" s="894" t="s">
        <v>709</v>
      </c>
      <c r="AD1488" s="1160" t="s">
        <v>116</v>
      </c>
      <c r="AE1488" s="940" t="s">
        <v>116</v>
      </c>
      <c r="AF1488" s="895" t="s">
        <v>116</v>
      </c>
      <c r="AG1488" s="896" t="s">
        <v>116</v>
      </c>
      <c r="AH1488" s="897" t="s">
        <v>709</v>
      </c>
      <c r="AI1488" s="898">
        <v>18950</v>
      </c>
      <c r="AJ1488" s="899">
        <v>1068.6300000000001</v>
      </c>
      <c r="AK1488" s="899">
        <v>3356.16</v>
      </c>
      <c r="AL1488" s="923">
        <f>SUM(Table15[[#This Row],[Nicor Initiated DBE]:[Staffing]])/(Table15[[#This Row],[Amount Invoiced]])</f>
        <v>0.8856678404153846</v>
      </c>
      <c r="AM1488" s="536" t="s">
        <v>116</v>
      </c>
      <c r="AN1488" s="903"/>
      <c r="AO1488" s="1536"/>
      <c r="AP1488" s="1537"/>
      <c r="AQ1488" s="1537"/>
      <c r="AR1488" s="1537"/>
      <c r="AS1488" s="888">
        <f>IF(Table15[[#This Row],[PCTS Approved]]="N",0,Table15[[#This Row],[Investment Amount (1'#'#'#'#'#)]]+Table15[[#This Row],[Retirement Amount (3'#'#'#'#'#)]])</f>
        <v>0</v>
      </c>
      <c r="AT1488" s="888">
        <f>IF(Table15[[#This Row],[Approved Construction Cost]]=0,0,Table15[[#This Row],[Approved Construction Cost]]-Table15[[#This Row],[Construction Cost to Bill From]])</f>
        <v>0</v>
      </c>
      <c r="AU1488" s="888">
        <f>IFERROR(Table15[[#This Row],[Difference in Construction Cost]]*Table15[[#This Row],[Rate]],Table15[[#This Row],[Difference in Construction Cost]]*0.085)</f>
        <v>0</v>
      </c>
      <c r="AV1488" s="905"/>
      <c r="AW1488" s="1509"/>
      <c r="AX1488" s="888"/>
      <c r="AY1488" s="636" t="s">
        <v>709</v>
      </c>
      <c r="AZ1488" s="1532"/>
      <c r="BA1488" s="910" t="s">
        <v>8999</v>
      </c>
      <c r="BB1488" s="911" t="s">
        <v>9000</v>
      </c>
      <c r="BC1488" s="912" t="s">
        <v>116</v>
      </c>
      <c r="BD1488" s="913" t="s">
        <v>709</v>
      </c>
      <c r="BE1488" s="914" t="s">
        <v>3995</v>
      </c>
      <c r="BF1488" s="914" t="s">
        <v>709</v>
      </c>
      <c r="BG1488" s="915" t="s">
        <v>709</v>
      </c>
      <c r="BH1488" s="1023" t="s">
        <v>9001</v>
      </c>
      <c r="BI1488" s="929" t="s">
        <v>709</v>
      </c>
      <c r="BJ1488" s="929" t="s">
        <v>709</v>
      </c>
      <c r="BK1488" s="916" t="s">
        <v>709</v>
      </c>
      <c r="BL1488" s="916" t="s">
        <v>116</v>
      </c>
      <c r="BM1488" s="916" t="s">
        <v>709</v>
      </c>
      <c r="BN1488" s="916" t="s">
        <v>709</v>
      </c>
      <c r="BO1488" s="916" t="s">
        <v>709</v>
      </c>
      <c r="BP1488" s="916" t="s">
        <v>709</v>
      </c>
      <c r="BQ1488" s="916" t="s">
        <v>709</v>
      </c>
      <c r="BR1488" s="916">
        <v>141</v>
      </c>
      <c r="BS1488" s="916" t="s">
        <v>709</v>
      </c>
      <c r="BT1488" s="916" t="s">
        <v>709</v>
      </c>
      <c r="BU1488" s="916" t="s">
        <v>709</v>
      </c>
      <c r="BV1488" s="916" t="s">
        <v>709</v>
      </c>
      <c r="BW1488" s="916" t="s">
        <v>709</v>
      </c>
      <c r="BX1488" s="916" t="s">
        <v>709</v>
      </c>
      <c r="BY1488" s="916" t="s">
        <v>709</v>
      </c>
      <c r="BZ1488" s="916" t="s">
        <v>709</v>
      </c>
      <c r="CA1488" s="917"/>
      <c r="CB1488" s="547">
        <v>1479</v>
      </c>
      <c r="CC1488" s="1481" t="b">
        <v>0</v>
      </c>
      <c r="CD1488" s="879" t="str">
        <f>Table15[[#This Row],[Engineering Number]]&amp;Table15[[#This Row],[WO Number]]&amp;Table15[[#This Row],[Date Assigned to Designer]]&amp;Table15[[#This Row],[Date Completed]]</f>
        <v>MR227712153814578445855</v>
      </c>
    </row>
    <row r="1489" spans="1:82" ht="15" customHeight="1" x14ac:dyDescent="0.25">
      <c r="A1489">
        <v>2025</v>
      </c>
      <c r="B1489" s="8" t="s">
        <v>4</v>
      </c>
      <c r="C1489" s="8" t="s">
        <v>9002</v>
      </c>
      <c r="D1489" s="8" t="s">
        <v>115</v>
      </c>
      <c r="E1489" s="8" t="s">
        <v>8086</v>
      </c>
      <c r="F1489" s="8" t="s">
        <v>784</v>
      </c>
      <c r="G1489" s="8" t="s">
        <v>9003</v>
      </c>
      <c r="H1489" s="8" t="s">
        <v>8850</v>
      </c>
      <c r="I1489" s="642">
        <v>45817</v>
      </c>
      <c r="J1489" s="18">
        <v>45863</v>
      </c>
      <c r="K1489" s="642">
        <v>45859</v>
      </c>
      <c r="L1489" s="16">
        <f>IF(ISTEXT(Table15[[#This Row],[Engineering Approved Design Date]]),Table15[[#This Row],[Date Completed]]-Table15[[#This Row],[Date Assigned to Designer]],Table15[[#This Row],[Engineering Approved Design Date]]-Table15[[#This Row],[Date Completed]])</f>
        <v>4</v>
      </c>
      <c r="M1489" s="642" t="s">
        <v>9004</v>
      </c>
      <c r="N1489" s="642" t="s">
        <v>120</v>
      </c>
      <c r="O1489" s="1025">
        <v>45870</v>
      </c>
      <c r="P1489" s="21" t="s">
        <v>739</v>
      </c>
      <c r="Q1489" s="1151">
        <f>SUM(Table15[[#This Row],[Shactee Effort]:[KH Hourly Effort]])</f>
        <v>2992.5</v>
      </c>
      <c r="R1489" s="1026" t="s">
        <v>1922</v>
      </c>
      <c r="S1489" s="538">
        <v>0</v>
      </c>
      <c r="T1489" s="538">
        <v>0</v>
      </c>
      <c r="U1489" s="28">
        <v>2992.5</v>
      </c>
      <c r="V1489" s="1220" t="s">
        <v>29</v>
      </c>
      <c r="W1489" s="437" t="s">
        <v>29</v>
      </c>
      <c r="X1489" s="538" t="s">
        <v>29</v>
      </c>
      <c r="Y1489" s="551"/>
      <c r="Z1489" s="538" t="s">
        <v>29</v>
      </c>
      <c r="AA1489" s="28" t="s">
        <v>29</v>
      </c>
      <c r="AB1489" s="21" t="s">
        <v>29</v>
      </c>
      <c r="AC1489" s="569" t="s">
        <v>29</v>
      </c>
      <c r="AD1489" s="1149" t="s">
        <v>29</v>
      </c>
      <c r="AE1489" s="580" t="s">
        <v>29</v>
      </c>
      <c r="AF1489" s="580" t="s">
        <v>29</v>
      </c>
      <c r="AG1489" s="580" t="s">
        <v>29</v>
      </c>
      <c r="AH1489" s="542" t="s">
        <v>29</v>
      </c>
      <c r="AI1489" s="1028"/>
      <c r="AJ1489" s="1029"/>
      <c r="AK1489" s="1029"/>
      <c r="AL1489" s="923"/>
      <c r="AM1489" s="542" t="s">
        <v>709</v>
      </c>
      <c r="AN1489" s="924"/>
      <c r="AO1489" s="925"/>
      <c r="AP1489" s="926"/>
      <c r="AQ1489" s="926"/>
      <c r="AR1489" s="926"/>
      <c r="AS1489" s="926"/>
      <c r="AT1489" s="926"/>
      <c r="AU1489" s="926"/>
      <c r="AV1489" s="926"/>
      <c r="AW1489" s="927"/>
      <c r="AX1489" s="926"/>
      <c r="AY1489" s="1538" t="s">
        <v>29</v>
      </c>
      <c r="AZ1489" s="1530"/>
      <c r="BA1489" s="1031" t="s">
        <v>9005</v>
      </c>
      <c r="BB1489" s="644" t="s">
        <v>9006</v>
      </c>
      <c r="BC1489" s="544" t="s">
        <v>115</v>
      </c>
      <c r="BD1489" s="544" t="s">
        <v>115</v>
      </c>
      <c r="BE1489" s="544" t="s">
        <v>115</v>
      </c>
      <c r="BF1489" s="544" t="s">
        <v>115</v>
      </c>
      <c r="BG1489" s="544" t="s">
        <v>115</v>
      </c>
      <c r="BH1489" s="741" t="s">
        <v>9007</v>
      </c>
      <c r="BI1489" s="980"/>
      <c r="BJ1489" s="980"/>
      <c r="BK1489" s="980"/>
      <c r="BL1489" s="980"/>
      <c r="BM1489" s="980"/>
      <c r="BN1489" s="981"/>
      <c r="BO1489" s="980"/>
      <c r="BP1489" s="982"/>
      <c r="BQ1489" s="981"/>
      <c r="BR1489" s="981"/>
      <c r="BS1489" s="981"/>
      <c r="BT1489" s="981"/>
      <c r="BU1489" s="981"/>
      <c r="BV1489" s="981"/>
      <c r="BW1489" s="981"/>
      <c r="BX1489" s="980"/>
      <c r="BY1489" s="983"/>
      <c r="BZ1489" s="983"/>
      <c r="CA1489" s="984"/>
      <c r="CB1489" s="547"/>
      <c r="CC1489" s="1481" t="b">
        <v>0</v>
      </c>
      <c r="CD1489" s="879" t="str">
        <f>Table15[[#This Row],[Engineering Number]]&amp;Table15[[#This Row],[WO Number]]&amp;Table15[[#This Row],[Date Assigned to Designer]]&amp;Table15[[#This Row],[Date Completed]]</f>
        <v>N19281-4581745859</v>
      </c>
    </row>
    <row r="1490" spans="1:82" ht="15" customHeight="1" x14ac:dyDescent="0.25">
      <c r="A1490">
        <v>2025</v>
      </c>
      <c r="B1490" s="8" t="s">
        <v>4</v>
      </c>
      <c r="C1490" s="8" t="s">
        <v>9008</v>
      </c>
      <c r="D1490" s="8" t="s">
        <v>115</v>
      </c>
      <c r="E1490" s="8" t="s">
        <v>8086</v>
      </c>
      <c r="F1490" s="8" t="s">
        <v>784</v>
      </c>
      <c r="G1490" s="8" t="s">
        <v>9003</v>
      </c>
      <c r="H1490" s="8" t="s">
        <v>8850</v>
      </c>
      <c r="I1490" s="642">
        <v>45817</v>
      </c>
      <c r="J1490" s="18">
        <v>45863</v>
      </c>
      <c r="K1490" s="642">
        <v>45859</v>
      </c>
      <c r="L1490" s="16">
        <f>IF(ISTEXT(Table15[[#This Row],[Engineering Approved Design Date]]),Table15[[#This Row],[Date Completed]]-Table15[[#This Row],[Date Assigned to Designer]],Table15[[#This Row],[Engineering Approved Design Date]]-Table15[[#This Row],[Date Completed]])</f>
        <v>4</v>
      </c>
      <c r="M1490" s="642" t="s">
        <v>9004</v>
      </c>
      <c r="N1490" s="642" t="s">
        <v>120</v>
      </c>
      <c r="O1490" s="1025">
        <v>45870</v>
      </c>
      <c r="P1490" s="21" t="s">
        <v>739</v>
      </c>
      <c r="Q1490" s="1151">
        <f>SUM(Table15[[#This Row],[Shactee Effort]:[KH Hourly Effort]])</f>
        <v>3935</v>
      </c>
      <c r="R1490" s="1026" t="s">
        <v>1922</v>
      </c>
      <c r="S1490" s="538">
        <v>0</v>
      </c>
      <c r="T1490" s="538">
        <v>0</v>
      </c>
      <c r="U1490" s="28">
        <v>3935</v>
      </c>
      <c r="V1490" s="858" t="s">
        <v>29</v>
      </c>
      <c r="W1490" s="437" t="s">
        <v>29</v>
      </c>
      <c r="X1490" s="538" t="s">
        <v>29</v>
      </c>
      <c r="Y1490" s="551"/>
      <c r="Z1490" s="538" t="s">
        <v>29</v>
      </c>
      <c r="AA1490" s="538" t="s">
        <v>29</v>
      </c>
      <c r="AB1490" s="21" t="s">
        <v>29</v>
      </c>
      <c r="AC1490" s="569" t="s">
        <v>29</v>
      </c>
      <c r="AD1490" s="1149" t="s">
        <v>29</v>
      </c>
      <c r="AE1490" s="580" t="s">
        <v>29</v>
      </c>
      <c r="AF1490" s="580" t="s">
        <v>29</v>
      </c>
      <c r="AG1490" s="580" t="s">
        <v>29</v>
      </c>
      <c r="AH1490" s="542" t="s">
        <v>29</v>
      </c>
      <c r="AI1490" s="1028"/>
      <c r="AJ1490" s="1029"/>
      <c r="AK1490" s="1029"/>
      <c r="AL1490" s="923"/>
      <c r="AM1490" s="542" t="s">
        <v>709</v>
      </c>
      <c r="AN1490" s="924"/>
      <c r="AO1490" s="925"/>
      <c r="AP1490" s="926"/>
      <c r="AQ1490" s="926"/>
      <c r="AR1490" s="926"/>
      <c r="AS1490" s="926"/>
      <c r="AT1490" s="926"/>
      <c r="AU1490" s="926"/>
      <c r="AV1490" s="926"/>
      <c r="AW1490" s="927"/>
      <c r="AX1490" s="926"/>
      <c r="AY1490" s="1538" t="s">
        <v>29</v>
      </c>
      <c r="AZ1490" s="1530"/>
      <c r="BA1490" s="1031" t="s">
        <v>9009</v>
      </c>
      <c r="BB1490" s="644" t="s">
        <v>9006</v>
      </c>
      <c r="BC1490" s="544" t="s">
        <v>115</v>
      </c>
      <c r="BD1490" s="544" t="s">
        <v>115</v>
      </c>
      <c r="BE1490" s="544" t="s">
        <v>115</v>
      </c>
      <c r="BF1490" s="544" t="s">
        <v>115</v>
      </c>
      <c r="BG1490" s="544" t="s">
        <v>115</v>
      </c>
      <c r="BH1490" s="741" t="s">
        <v>9010</v>
      </c>
      <c r="BI1490" s="980"/>
      <c r="BJ1490" s="980"/>
      <c r="BK1490" s="980"/>
      <c r="BL1490" s="980"/>
      <c r="BM1490" s="980"/>
      <c r="BN1490" s="981"/>
      <c r="BO1490" s="980"/>
      <c r="BP1490" s="982"/>
      <c r="BQ1490" s="981"/>
      <c r="BR1490" s="981"/>
      <c r="BS1490" s="981"/>
      <c r="BT1490" s="981"/>
      <c r="BU1490" s="981"/>
      <c r="BV1490" s="981"/>
      <c r="BW1490" s="981"/>
      <c r="BX1490" s="980"/>
      <c r="BY1490" s="983"/>
      <c r="BZ1490" s="983"/>
      <c r="CA1490" s="984"/>
      <c r="CB1490" s="547"/>
      <c r="CC1490" s="1481" t="b">
        <v>0</v>
      </c>
      <c r="CD1490" s="879" t="str">
        <f>Table15[[#This Row],[Engineering Number]]&amp;Table15[[#This Row],[WO Number]]&amp;Table15[[#This Row],[Date Assigned to Designer]]&amp;Table15[[#This Row],[Date Completed]]</f>
        <v>N19290-4581745859</v>
      </c>
    </row>
    <row r="1491" spans="1:82" ht="15" customHeight="1" x14ac:dyDescent="0.25">
      <c r="A1491">
        <v>2025</v>
      </c>
      <c r="B1491" s="878" t="s">
        <v>769</v>
      </c>
      <c r="C1491" s="878" t="s">
        <v>6878</v>
      </c>
      <c r="D1491" s="878">
        <v>1014227</v>
      </c>
      <c r="E1491" s="878" t="s">
        <v>6880</v>
      </c>
      <c r="F1491" s="878" t="s">
        <v>6874</v>
      </c>
      <c r="G1491" s="878" t="s">
        <v>37</v>
      </c>
      <c r="H1491" s="878" t="s">
        <v>4189</v>
      </c>
      <c r="I1491" s="883">
        <v>45853</v>
      </c>
      <c r="J1491" s="918" t="s">
        <v>2052</v>
      </c>
      <c r="K1491" s="945">
        <v>45860</v>
      </c>
      <c r="L1491" s="919">
        <f>IF(ISTEXT(Table15[[#This Row],[Engineering Approved Design Date]]),Table15[[#This Row],[Date Completed]]-Table15[[#This Row],[Date Assigned to Designer]],Table15[[#This Row],[Engineering Approved Design Date]]-Table15[[#This Row],[Date Completed]])</f>
        <v>7</v>
      </c>
      <c r="M1491" s="1012" t="s">
        <v>9011</v>
      </c>
      <c r="N1491" s="885" t="s">
        <v>739</v>
      </c>
      <c r="O1491" s="886">
        <v>45870</v>
      </c>
      <c r="P1491" s="1153" t="s">
        <v>120</v>
      </c>
      <c r="Q1491" s="1150">
        <f>SUM(Table15[[#This Row],[Shactee Effort]:[KH Hourly Effort]])</f>
        <v>5675</v>
      </c>
      <c r="R1491" s="920" t="s">
        <v>1922</v>
      </c>
      <c r="S1491" s="888">
        <v>0</v>
      </c>
      <c r="T1491" s="888">
        <v>0</v>
      </c>
      <c r="U1491" s="889">
        <v>5675</v>
      </c>
      <c r="V1491" s="890" t="s">
        <v>29</v>
      </c>
      <c r="W1491" s="437" t="s">
        <v>29</v>
      </c>
      <c r="X1491" s="538" t="s">
        <v>29</v>
      </c>
      <c r="Y1491" s="551"/>
      <c r="Z1491" s="538" t="s">
        <v>29</v>
      </c>
      <c r="AA1491" s="538" t="s">
        <v>29</v>
      </c>
      <c r="AB1491" s="21" t="s">
        <v>29</v>
      </c>
      <c r="AC1491" s="569" t="s">
        <v>29</v>
      </c>
      <c r="AD1491" s="1149" t="s">
        <v>29</v>
      </c>
      <c r="AE1491" s="894" t="s">
        <v>756</v>
      </c>
      <c r="AF1491" s="896" t="s">
        <v>29</v>
      </c>
      <c r="AG1491" s="897" t="s">
        <v>116</v>
      </c>
      <c r="AH1491" s="902" t="s">
        <v>376</v>
      </c>
      <c r="AI1491" s="921" t="s">
        <v>29</v>
      </c>
      <c r="AJ1491" s="922" t="s">
        <v>29</v>
      </c>
      <c r="AK1491" s="922" t="s">
        <v>29</v>
      </c>
      <c r="AL1491" s="1030" t="s">
        <v>29</v>
      </c>
      <c r="AM1491" s="542" t="s">
        <v>709</v>
      </c>
      <c r="AN1491" s="924"/>
      <c r="AO1491" s="925"/>
      <c r="AP1491" s="926"/>
      <c r="AQ1491" s="926"/>
      <c r="AR1491" s="926"/>
      <c r="AS1491" s="926"/>
      <c r="AT1491" s="926"/>
      <c r="AU1491" s="926"/>
      <c r="AV1491" s="926"/>
      <c r="AW1491" s="927"/>
      <c r="AX1491" s="926"/>
      <c r="AY1491" s="1538" t="s">
        <v>29</v>
      </c>
      <c r="AZ1491" s="1530"/>
      <c r="BA1491" s="910" t="s">
        <v>9012</v>
      </c>
      <c r="BB1491" s="911">
        <v>2</v>
      </c>
      <c r="BC1491" s="915" t="s">
        <v>116</v>
      </c>
      <c r="BD1491" s="915" t="s">
        <v>115</v>
      </c>
      <c r="BE1491" s="915" t="s">
        <v>115</v>
      </c>
      <c r="BF1491" s="915" t="s">
        <v>115</v>
      </c>
      <c r="BG1491" s="915" t="s">
        <v>115</v>
      </c>
      <c r="BH1491" s="1023" t="s">
        <v>9013</v>
      </c>
      <c r="BI1491" s="980"/>
      <c r="BJ1491" s="980"/>
      <c r="BK1491" s="980"/>
      <c r="BL1491" s="980"/>
      <c r="BM1491" s="980"/>
      <c r="BN1491" s="981"/>
      <c r="BO1491" s="980"/>
      <c r="BP1491" s="982"/>
      <c r="BQ1491" s="981"/>
      <c r="BR1491" s="981"/>
      <c r="BS1491" s="981"/>
      <c r="BT1491" s="981"/>
      <c r="BU1491" s="981"/>
      <c r="BV1491" s="981"/>
      <c r="BW1491" s="981"/>
      <c r="BX1491" s="980"/>
      <c r="BY1491" s="983"/>
      <c r="BZ1491" s="983"/>
      <c r="CA1491" s="984"/>
      <c r="CB1491" s="547"/>
      <c r="CC1491" s="1481" t="b">
        <v>0</v>
      </c>
      <c r="CD1491" s="879" t="str">
        <f>Table15[[#This Row],[Engineering Number]]&amp;Table15[[#This Row],[WO Number]]&amp;Table15[[#This Row],[Date Assigned to Designer]]&amp;Table15[[#This Row],[Date Completed]]</f>
        <v>RS126510142274585345860</v>
      </c>
    </row>
    <row r="1492" spans="1:82" ht="15" customHeight="1" x14ac:dyDescent="0.25">
      <c r="A1492">
        <v>2025</v>
      </c>
      <c r="B1492" s="8" t="s">
        <v>4</v>
      </c>
      <c r="C1492" s="8" t="s">
        <v>7924</v>
      </c>
      <c r="D1492" s="8">
        <v>1314001</v>
      </c>
      <c r="E1492" s="8" t="s">
        <v>300</v>
      </c>
      <c r="F1492" s="8" t="s">
        <v>851</v>
      </c>
      <c r="G1492" s="8" t="s">
        <v>25</v>
      </c>
      <c r="H1492" s="8" t="s">
        <v>2724</v>
      </c>
      <c r="I1492" s="642">
        <v>45813</v>
      </c>
      <c r="J1492" s="175" t="s">
        <v>2724</v>
      </c>
      <c r="K1492" s="97">
        <v>45860</v>
      </c>
      <c r="L1492" s="649">
        <f>IF(ISTEXT(Table15[[#This Row],[Engineering Approved Design Date]]),Table15[[#This Row],[Date Completed]]-Table15[[#This Row],[Date Assigned to Designer]],Table15[[#This Row],[Engineering Approved Design Date]]-Table15[[#This Row],[Date Completed]])</f>
        <v>47</v>
      </c>
      <c r="M1492" t="s">
        <v>9014</v>
      </c>
      <c r="N1492" s="642" t="s">
        <v>120</v>
      </c>
      <c r="O1492" s="1060">
        <v>45870</v>
      </c>
      <c r="P1492" s="1152" t="s">
        <v>739</v>
      </c>
      <c r="Q1492" s="1151">
        <f>SUM(Table15[[#This Row],[Shactee Effort]:[KH Hourly Effort]])</f>
        <v>4975</v>
      </c>
      <c r="R1492" s="1039" t="s">
        <v>1922</v>
      </c>
      <c r="S1492" s="538">
        <v>0</v>
      </c>
      <c r="T1492" s="538">
        <v>0</v>
      </c>
      <c r="U1492" s="28">
        <v>4975</v>
      </c>
      <c r="V1492" s="858" t="s">
        <v>29</v>
      </c>
      <c r="W1492" s="425" t="s">
        <v>29</v>
      </c>
      <c r="X1492" s="538" t="s">
        <v>29</v>
      </c>
      <c r="Y1492" s="551"/>
      <c r="Z1492" s="538" t="s">
        <v>29</v>
      </c>
      <c r="AA1492" s="300" t="s">
        <v>29</v>
      </c>
      <c r="AB1492" s="341" t="s">
        <v>29</v>
      </c>
      <c r="AC1492" s="568" t="s">
        <v>29</v>
      </c>
      <c r="AD1492" s="1149" t="s">
        <v>29</v>
      </c>
      <c r="AE1492" s="568" t="s">
        <v>116</v>
      </c>
      <c r="AF1492" s="569" t="s">
        <v>29</v>
      </c>
      <c r="AG1492" s="569" t="s">
        <v>376</v>
      </c>
      <c r="AH1492" s="183" t="s">
        <v>376</v>
      </c>
      <c r="AI1492" s="1028" t="s">
        <v>29</v>
      </c>
      <c r="AJ1492" s="1029" t="s">
        <v>29</v>
      </c>
      <c r="AK1492" s="1029" t="s">
        <v>29</v>
      </c>
      <c r="AL1492" s="923" t="s">
        <v>29</v>
      </c>
      <c r="AM1492" s="542" t="s">
        <v>709</v>
      </c>
      <c r="AN1492" s="924"/>
      <c r="AO1492" s="925"/>
      <c r="AP1492" s="926"/>
      <c r="AQ1492" s="926"/>
      <c r="AR1492" s="926"/>
      <c r="AS1492" s="926"/>
      <c r="AT1492" s="926"/>
      <c r="AU1492" s="926"/>
      <c r="AV1492" s="926"/>
      <c r="AW1492" s="927"/>
      <c r="AX1492" s="926"/>
      <c r="AY1492" s="1538" t="s">
        <v>29</v>
      </c>
      <c r="AZ1492" s="1530"/>
      <c r="BA1492" s="1031" t="s">
        <v>4919</v>
      </c>
      <c r="BB1492" s="644" t="s">
        <v>9015</v>
      </c>
      <c r="BC1492" s="544" t="s">
        <v>709</v>
      </c>
      <c r="BD1492" s="544" t="s">
        <v>709</v>
      </c>
      <c r="BE1492" s="544" t="s">
        <v>4242</v>
      </c>
      <c r="BF1492" s="544" t="s">
        <v>709</v>
      </c>
      <c r="BG1492" s="544" t="s">
        <v>709</v>
      </c>
      <c r="BH1492" s="741" t="s">
        <v>9016</v>
      </c>
      <c r="BI1492" s="547" t="s">
        <v>709</v>
      </c>
      <c r="BJ1492" s="547" t="s">
        <v>709</v>
      </c>
      <c r="BK1492" s="547" t="s">
        <v>116</v>
      </c>
      <c r="BL1492" s="547" t="s">
        <v>116</v>
      </c>
      <c r="BM1492" s="547" t="s">
        <v>709</v>
      </c>
      <c r="BN1492" s="547">
        <f>2319+1097</f>
        <v>3416</v>
      </c>
      <c r="BO1492" s="547" t="s">
        <v>709</v>
      </c>
      <c r="BP1492" s="547" t="s">
        <v>709</v>
      </c>
      <c r="BQ1492" s="547">
        <v>2342</v>
      </c>
      <c r="BR1492" s="547">
        <v>2878</v>
      </c>
      <c r="BS1492" s="547">
        <v>93</v>
      </c>
      <c r="BT1492" s="547" t="s">
        <v>709</v>
      </c>
      <c r="BU1492" s="547" t="s">
        <v>709</v>
      </c>
      <c r="BV1492" s="547" t="s">
        <v>709</v>
      </c>
      <c r="BW1492" s="547" t="s">
        <v>709</v>
      </c>
      <c r="BX1492" s="547" t="s">
        <v>709</v>
      </c>
      <c r="BY1492" s="547" t="s">
        <v>709</v>
      </c>
      <c r="BZ1492" s="547" t="s">
        <v>709</v>
      </c>
      <c r="CA1492" s="483"/>
      <c r="CB1492" s="547"/>
      <c r="CC1492" s="1481" t="b">
        <v>0</v>
      </c>
      <c r="CD1492" s="879" t="str">
        <f>Table15[[#This Row],[Engineering Number]]&amp;Table15[[#This Row],[WO Number]]&amp;Table15[[#This Row],[Date Assigned to Designer]]&amp;Table15[[#This Row],[Date Completed]]</f>
        <v>SC2307013140014581345860</v>
      </c>
    </row>
    <row r="1493" spans="1:82" ht="15" customHeight="1" x14ac:dyDescent="0.25">
      <c r="A1493">
        <v>2025</v>
      </c>
      <c r="B1493" s="878" t="s">
        <v>730</v>
      </c>
      <c r="C1493" s="879" t="s">
        <v>9017</v>
      </c>
      <c r="D1493" s="979" t="s">
        <v>9018</v>
      </c>
      <c r="E1493" s="879" t="s">
        <v>87</v>
      </c>
      <c r="F1493" s="878" t="s">
        <v>6643</v>
      </c>
      <c r="G1493" s="878" t="s">
        <v>26</v>
      </c>
      <c r="H1493" s="878" t="s">
        <v>413</v>
      </c>
      <c r="I1493" s="881">
        <v>45727</v>
      </c>
      <c r="J1493" s="882">
        <v>45904</v>
      </c>
      <c r="K1493" s="945">
        <v>45861</v>
      </c>
      <c r="L1493" s="919">
        <f>IF(ISTEXT(Table15[[#This Row],[Engineering Approved Design Date]]),Table15[[#This Row],[Date Completed]]-Table15[[#This Row],[Date Assigned to Designer]],Table15[[#This Row],[Engineering Approved Design Date]]-Table15[[#This Row],[Date Completed]])</f>
        <v>43</v>
      </c>
      <c r="N1493" s="942" t="s">
        <v>739</v>
      </c>
      <c r="O1493" s="886">
        <v>45870</v>
      </c>
      <c r="P1493" s="1153" t="s">
        <v>120</v>
      </c>
      <c r="Q1493" s="1150">
        <f>Table15[[#This Row],[Rate]]*Table15[[#This Row],[Construction Cost to Bill From]]</f>
        <v>18347.1129</v>
      </c>
      <c r="R1493" s="887">
        <v>0.09</v>
      </c>
      <c r="S1493" s="1228" t="s">
        <v>29</v>
      </c>
      <c r="T1493" s="888" t="s">
        <v>29</v>
      </c>
      <c r="U1493" s="889" t="s">
        <v>29</v>
      </c>
      <c r="V1493" s="890">
        <v>468</v>
      </c>
      <c r="W1493" s="1021" t="s">
        <v>29</v>
      </c>
      <c r="X1493" s="888">
        <v>157418.9</v>
      </c>
      <c r="Y1493" s="891"/>
      <c r="Z1493" s="888">
        <v>46437.91</v>
      </c>
      <c r="AA1493" s="892">
        <f>SUM(Table15[[#This Row],[PCTS Investment Amount]:[PCTS Retirement Amount]])</f>
        <v>203856.81</v>
      </c>
      <c r="AB1493" s="893">
        <v>45866</v>
      </c>
      <c r="AC1493" s="894" t="s">
        <v>29</v>
      </c>
      <c r="AD1493" s="1160" t="s">
        <v>29</v>
      </c>
      <c r="AE1493" s="940" t="s">
        <v>116</v>
      </c>
      <c r="AF1493" s="895" t="s">
        <v>29</v>
      </c>
      <c r="AG1493" s="896" t="s">
        <v>116</v>
      </c>
      <c r="AH1493" s="897" t="s">
        <v>376</v>
      </c>
      <c r="AI1493" s="898" t="s">
        <v>29</v>
      </c>
      <c r="AJ1493" s="899" t="s">
        <v>29</v>
      </c>
      <c r="AK1493" s="1489">
        <v>4582.46</v>
      </c>
      <c r="AL1493" s="1030">
        <f>SUM(Table15[[#This Row],[Nicor Initiated DBE]:[Staffing]])/(Table15[[#This Row],[Amount Invoiced]])</f>
        <v>0.24976463735610413</v>
      </c>
      <c r="AM1493" s="542" t="s">
        <v>116</v>
      </c>
      <c r="AN1493" s="903"/>
      <c r="AO1493" s="1536"/>
      <c r="AP1493" s="1537"/>
      <c r="AQ1493" s="1537"/>
      <c r="AR1493" s="1537"/>
      <c r="AS1493" s="888">
        <f>IF(Table15[[#This Row],[PCTS Approved]]="N",0,Table15[[#This Row],[Investment Amount (1'#'#'#'#'#)]]+Table15[[#This Row],[Retirement Amount (3'#'#'#'#'#)]])</f>
        <v>0</v>
      </c>
      <c r="AT1493" s="888">
        <f>IF(Table15[[#This Row],[Approved Construction Cost]]=0,0,Table15[[#This Row],[Approved Construction Cost]]-Table15[[#This Row],[Construction Cost to Bill From]])</f>
        <v>0</v>
      </c>
      <c r="AU1493" s="888">
        <f>IFERROR(Table15[[#This Row],[Difference in Construction Cost]]*Table15[[#This Row],[Rate]],Table15[[#This Row],[Difference in Construction Cost]]*0.085)</f>
        <v>0</v>
      </c>
      <c r="AV1493" s="905"/>
      <c r="AW1493" s="1509"/>
      <c r="AX1493" s="888"/>
      <c r="AY1493" s="636" t="s">
        <v>709</v>
      </c>
      <c r="AZ1493" s="1532"/>
      <c r="BA1493" s="910" t="s">
        <v>9019</v>
      </c>
      <c r="BB1493" s="911" t="s">
        <v>9020</v>
      </c>
      <c r="BC1493" s="912" t="s">
        <v>29</v>
      </c>
      <c r="BD1493" s="913" t="s">
        <v>29</v>
      </c>
      <c r="BE1493" s="914" t="s">
        <v>29</v>
      </c>
      <c r="BF1493" s="914" t="s">
        <v>29</v>
      </c>
      <c r="BG1493" s="915" t="s">
        <v>29</v>
      </c>
      <c r="BH1493" s="1023" t="s">
        <v>9021</v>
      </c>
      <c r="BI1493" s="929" t="s">
        <v>745</v>
      </c>
      <c r="BJ1493" s="929" t="s">
        <v>745</v>
      </c>
      <c r="BK1493" s="929" t="s">
        <v>745</v>
      </c>
      <c r="BL1493" s="916" t="s">
        <v>116</v>
      </c>
      <c r="BM1493" s="916" t="s">
        <v>745</v>
      </c>
      <c r="BN1493" s="916" t="s">
        <v>745</v>
      </c>
      <c r="BO1493" s="916" t="s">
        <v>745</v>
      </c>
      <c r="BP1493" s="916" t="s">
        <v>745</v>
      </c>
      <c r="BQ1493" s="916" t="s">
        <v>745</v>
      </c>
      <c r="BR1493" s="916">
        <v>468</v>
      </c>
      <c r="BS1493" s="916" t="s">
        <v>745</v>
      </c>
      <c r="BT1493" s="916" t="s">
        <v>745</v>
      </c>
      <c r="BU1493" s="916" t="s">
        <v>745</v>
      </c>
      <c r="BV1493" s="916" t="s">
        <v>745</v>
      </c>
      <c r="BW1493" s="916" t="s">
        <v>745</v>
      </c>
      <c r="BX1493" s="916" t="s">
        <v>745</v>
      </c>
      <c r="BY1493" s="916" t="s">
        <v>745</v>
      </c>
      <c r="BZ1493" s="916" t="s">
        <v>745</v>
      </c>
      <c r="CA1493" s="917"/>
      <c r="CB1493" s="547"/>
      <c r="CC1493" s="1481" t="b">
        <v>0</v>
      </c>
      <c r="CD1493" s="879" t="str">
        <f>Table15[[#This Row],[Engineering Number]]&amp;Table15[[#This Row],[WO Number]]&amp;Table15[[#This Row],[Date Assigned to Designer]]&amp;Table15[[#This Row],[Date Completed]]</f>
        <v>RS131110151934572745861</v>
      </c>
    </row>
    <row r="1494" spans="1:82" ht="15" customHeight="1" x14ac:dyDescent="0.25">
      <c r="A1494">
        <v>2025</v>
      </c>
      <c r="B1494" s="879" t="s">
        <v>6798</v>
      </c>
      <c r="C1494" s="939">
        <v>3401547</v>
      </c>
      <c r="D1494" s="939">
        <v>1015195</v>
      </c>
      <c r="E1494" s="879" t="s">
        <v>7022</v>
      </c>
      <c r="F1494" s="879" t="s">
        <v>6643</v>
      </c>
      <c r="G1494" s="879" t="s">
        <v>6996</v>
      </c>
      <c r="H1494" s="878" t="s">
        <v>413</v>
      </c>
      <c r="I1494" s="883">
        <v>45727</v>
      </c>
      <c r="J1494" s="882">
        <v>45868</v>
      </c>
      <c r="K1494" s="883">
        <v>45863</v>
      </c>
      <c r="L1494" s="884">
        <f>IF(ISTEXT(Table15[[#This Row],[Engineering Approved Design Date]]),Table15[[#This Row],[Date Completed]]-Table15[[#This Row],[Date Assigned to Designer]],Table15[[#This Row],[Engineering Approved Design Date]]-Table15[[#This Row],[Date Completed]])</f>
        <v>5</v>
      </c>
      <c r="N1494" s="885" t="s">
        <v>739</v>
      </c>
      <c r="O1494" s="1548">
        <v>45870</v>
      </c>
      <c r="P1494" s="1153" t="s">
        <v>739</v>
      </c>
      <c r="Q1494" s="1150">
        <f>SUM(Table15[[#This Row],[Shactee Effort]:[KH Hourly Effort]])</f>
        <v>9798.25</v>
      </c>
      <c r="R1494" s="920" t="s">
        <v>1922</v>
      </c>
      <c r="S1494" s="888">
        <v>1105.75</v>
      </c>
      <c r="T1494" s="888">
        <v>0</v>
      </c>
      <c r="U1494" s="889">
        <v>8692.5</v>
      </c>
      <c r="V1494" s="890">
        <v>0</v>
      </c>
      <c r="W1494" s="1021">
        <v>1</v>
      </c>
      <c r="X1494" s="888">
        <v>25000</v>
      </c>
      <c r="Y1494" s="891"/>
      <c r="Z1494" s="892">
        <v>0</v>
      </c>
      <c r="AA1494" s="888">
        <v>25000</v>
      </c>
      <c r="AB1494" s="893" t="s">
        <v>29</v>
      </c>
      <c r="AC1494" s="894" t="s">
        <v>1177</v>
      </c>
      <c r="AD1494" s="1161" t="s">
        <v>29</v>
      </c>
      <c r="AE1494" s="895" t="s">
        <v>756</v>
      </c>
      <c r="AF1494" s="895" t="s">
        <v>29</v>
      </c>
      <c r="AG1494" s="940" t="s">
        <v>29</v>
      </c>
      <c r="AH1494" s="940" t="s">
        <v>376</v>
      </c>
      <c r="AI1494" s="1011"/>
      <c r="AJ1494" s="1008"/>
      <c r="AK1494" s="1009"/>
      <c r="AL1494" s="923">
        <f>SUM(Table15[[#This Row],[Nicor Initiated DBE]:[Staffing]])/(Table15[[#This Row],[Amount Invoiced]])</f>
        <v>0</v>
      </c>
      <c r="AM1494" s="542" t="s">
        <v>709</v>
      </c>
      <c r="AN1494" s="924"/>
      <c r="AO1494" s="925"/>
      <c r="AP1494" s="926"/>
      <c r="AQ1494" s="926"/>
      <c r="AR1494" s="926"/>
      <c r="AS1494" s="926"/>
      <c r="AT1494" s="926"/>
      <c r="AU1494" s="926"/>
      <c r="AV1494" s="926"/>
      <c r="AW1494" s="927"/>
      <c r="AX1494" s="926"/>
      <c r="AY1494" s="1538" t="s">
        <v>29</v>
      </c>
      <c r="AZ1494" s="1530"/>
      <c r="BA1494" s="910" t="s">
        <v>9022</v>
      </c>
      <c r="BB1494" s="990" t="s">
        <v>9023</v>
      </c>
      <c r="BC1494" s="912" t="s">
        <v>116</v>
      </c>
      <c r="BD1494" s="913" t="s">
        <v>29</v>
      </c>
      <c r="BE1494" s="914" t="s">
        <v>29</v>
      </c>
      <c r="BF1494" s="914" t="s">
        <v>29</v>
      </c>
      <c r="BG1494" s="915" t="s">
        <v>29</v>
      </c>
      <c r="BH1494" s="1023" t="s">
        <v>9024</v>
      </c>
      <c r="BI1494" s="1656" t="s">
        <v>745</v>
      </c>
      <c r="BJ1494" s="916" t="s">
        <v>745</v>
      </c>
      <c r="BK1494" s="916" t="s">
        <v>116</v>
      </c>
      <c r="BL1494" s="916" t="s">
        <v>116</v>
      </c>
      <c r="BM1494" s="916" t="s">
        <v>745</v>
      </c>
      <c r="BN1494" s="916" t="s">
        <v>745</v>
      </c>
      <c r="BO1494" s="916" t="s">
        <v>745</v>
      </c>
      <c r="BP1494" s="916" t="s">
        <v>745</v>
      </c>
      <c r="BQ1494" s="916" t="s">
        <v>745</v>
      </c>
      <c r="BR1494" s="916" t="s">
        <v>745</v>
      </c>
      <c r="BS1494" s="916" t="s">
        <v>745</v>
      </c>
      <c r="BT1494" s="916" t="s">
        <v>745</v>
      </c>
      <c r="BU1494" s="916" t="s">
        <v>116</v>
      </c>
      <c r="BV1494" s="916" t="s">
        <v>745</v>
      </c>
      <c r="BW1494" s="916" t="s">
        <v>745</v>
      </c>
      <c r="BX1494" s="916" t="s">
        <v>745</v>
      </c>
      <c r="BY1494" s="916" t="s">
        <v>745</v>
      </c>
      <c r="BZ1494" s="1478" t="s">
        <v>745</v>
      </c>
      <c r="CA1494" s="917" t="s">
        <v>9025</v>
      </c>
      <c r="CB1494" s="916"/>
      <c r="CC1494" s="1481" t="b">
        <v>0</v>
      </c>
      <c r="CD1494" s="879" t="str">
        <f>Table15[[#This Row],[Engineering Number]]&amp;Table15[[#This Row],[WO Number]]&amp;Table15[[#This Row],[Date Assigned to Designer]]&amp;Table15[[#This Row],[Date Completed]]</f>
        <v>340154710151954572745863</v>
      </c>
    </row>
    <row r="1495" spans="1:82" ht="15" customHeight="1" x14ac:dyDescent="0.25">
      <c r="A1495">
        <v>2025</v>
      </c>
      <c r="B1495" s="878" t="s">
        <v>1205</v>
      </c>
      <c r="C1495" s="878" t="s">
        <v>1545</v>
      </c>
      <c r="D1495" s="878">
        <v>1211932</v>
      </c>
      <c r="E1495" s="878" t="s">
        <v>1200</v>
      </c>
      <c r="F1495" s="878" t="s">
        <v>784</v>
      </c>
      <c r="G1495" s="878" t="s">
        <v>32</v>
      </c>
      <c r="H1495" s="878" t="s">
        <v>4189</v>
      </c>
      <c r="I1495" s="883">
        <v>45847</v>
      </c>
      <c r="J1495" s="918" t="s">
        <v>2052</v>
      </c>
      <c r="K1495" s="945">
        <v>45863</v>
      </c>
      <c r="L1495" s="919">
        <f>IF(ISTEXT(Table15[[#This Row],[Engineering Approved Design Date]]),Table15[[#This Row],[Date Completed]]-Table15[[#This Row],[Date Assigned to Designer]],Table15[[#This Row],[Engineering Approved Design Date]]-Table15[[#This Row],[Date Completed]])</f>
        <v>16</v>
      </c>
      <c r="M1495" s="879" t="s">
        <v>9026</v>
      </c>
      <c r="N1495" s="99" t="s">
        <v>739</v>
      </c>
      <c r="O1495" s="886">
        <v>45870</v>
      </c>
      <c r="P1495" s="1153" t="s">
        <v>120</v>
      </c>
      <c r="Q1495" s="1150">
        <f>SUM(Table15[[#This Row],[Shactee Effort]:[KH Hourly Effort]])</f>
        <v>11190</v>
      </c>
      <c r="R1495" s="920" t="s">
        <v>1922</v>
      </c>
      <c r="S1495" s="888">
        <v>0</v>
      </c>
      <c r="T1495" s="888">
        <v>0</v>
      </c>
      <c r="U1495" s="889">
        <v>11190</v>
      </c>
      <c r="V1495" s="890">
        <v>5576</v>
      </c>
      <c r="W1495" s="1021">
        <v>0</v>
      </c>
      <c r="X1495" s="888" t="s">
        <v>29</v>
      </c>
      <c r="Y1495" s="888"/>
      <c r="Z1495" s="888" t="s">
        <v>29</v>
      </c>
      <c r="AA1495" s="888" t="s">
        <v>29</v>
      </c>
      <c r="AB1495" s="893" t="s">
        <v>29</v>
      </c>
      <c r="AC1495" s="896" t="s">
        <v>29</v>
      </c>
      <c r="AD1495" s="1155" t="s">
        <v>29</v>
      </c>
      <c r="AE1495" s="894" t="s">
        <v>29</v>
      </c>
      <c r="AF1495" s="895" t="s">
        <v>29</v>
      </c>
      <c r="AG1495" s="896" t="s">
        <v>376</v>
      </c>
      <c r="AH1495" s="985" t="s">
        <v>376</v>
      </c>
      <c r="AI1495" s="921" t="s">
        <v>29</v>
      </c>
      <c r="AJ1495" s="1639" t="s">
        <v>29</v>
      </c>
      <c r="AK1495" s="922" t="s">
        <v>29</v>
      </c>
      <c r="AL1495" s="1030" t="s">
        <v>29</v>
      </c>
      <c r="AM1495" s="542" t="s">
        <v>709</v>
      </c>
      <c r="AN1495" s="924"/>
      <c r="AO1495" s="925"/>
      <c r="AP1495" s="926"/>
      <c r="AQ1495" s="926"/>
      <c r="AR1495" s="926"/>
      <c r="AS1495" s="926"/>
      <c r="AT1495" s="926"/>
      <c r="AU1495" s="926"/>
      <c r="AV1495" s="926"/>
      <c r="AW1495" s="927"/>
      <c r="AX1495" s="926"/>
      <c r="AY1495" s="1538" t="s">
        <v>29</v>
      </c>
      <c r="AZ1495" s="1530"/>
      <c r="BA1495" s="910">
        <v>2</v>
      </c>
      <c r="BB1495" s="1000" t="s">
        <v>9027</v>
      </c>
      <c r="BC1495" s="950" t="s">
        <v>116</v>
      </c>
      <c r="BD1495" s="951" t="s">
        <v>709</v>
      </c>
      <c r="BE1495" s="952" t="s">
        <v>9028</v>
      </c>
      <c r="BF1495" s="952" t="s">
        <v>709</v>
      </c>
      <c r="BG1495" s="953" t="s">
        <v>709</v>
      </c>
      <c r="BH1495" s="1023" t="s">
        <v>9029</v>
      </c>
      <c r="BI1495" s="929" t="s">
        <v>709</v>
      </c>
      <c r="BJ1495" s="929" t="s">
        <v>709</v>
      </c>
      <c r="BK1495" s="929" t="s">
        <v>709</v>
      </c>
      <c r="BL1495" s="916" t="s">
        <v>116</v>
      </c>
      <c r="BM1495" s="929" t="s">
        <v>709</v>
      </c>
      <c r="BN1495" s="929" t="s">
        <v>709</v>
      </c>
      <c r="BO1495" s="929" t="s">
        <v>709</v>
      </c>
      <c r="BP1495" s="929">
        <v>604</v>
      </c>
      <c r="BQ1495" s="929">
        <v>3944</v>
      </c>
      <c r="BR1495" s="929">
        <v>74</v>
      </c>
      <c r="BS1495" s="916">
        <v>954</v>
      </c>
      <c r="BT1495" s="929" t="s">
        <v>709</v>
      </c>
      <c r="BU1495" s="929" t="s">
        <v>709</v>
      </c>
      <c r="BV1495" s="929" t="s">
        <v>709</v>
      </c>
      <c r="BW1495" s="929" t="s">
        <v>709</v>
      </c>
      <c r="BX1495" s="929" t="s">
        <v>745</v>
      </c>
      <c r="BY1495" s="929" t="s">
        <v>709</v>
      </c>
      <c r="BZ1495" s="929" t="s">
        <v>709</v>
      </c>
      <c r="CA1495" s="917"/>
      <c r="CB1495" s="547"/>
      <c r="CC1495" s="1481" t="b">
        <v>0</v>
      </c>
      <c r="CD1495" s="879" t="str">
        <f>Table15[[#This Row],[Engineering Number]]&amp;Table15[[#This Row],[WO Number]]&amp;Table15[[#This Row],[Date Assigned to Designer]]&amp;Table15[[#This Row],[Date Completed]]</f>
        <v>MR192612119324584745863</v>
      </c>
    </row>
    <row r="1496" spans="1:82" ht="15" customHeight="1" x14ac:dyDescent="0.25">
      <c r="A1496">
        <v>2025</v>
      </c>
      <c r="B1496" s="878" t="s">
        <v>4</v>
      </c>
      <c r="C1496" s="879" t="s">
        <v>9030</v>
      </c>
      <c r="D1496" s="880" t="s">
        <v>9031</v>
      </c>
      <c r="E1496" s="879" t="s">
        <v>2350</v>
      </c>
      <c r="F1496" s="878" t="s">
        <v>784</v>
      </c>
      <c r="G1496" s="878" t="s">
        <v>7382</v>
      </c>
      <c r="H1496" s="878" t="s">
        <v>413</v>
      </c>
      <c r="I1496" s="881">
        <v>45784</v>
      </c>
      <c r="J1496" s="956">
        <v>45863</v>
      </c>
      <c r="K1496" s="945">
        <v>45863</v>
      </c>
      <c r="L1496" s="884">
        <f>IF(ISTEXT(Table15[[#This Row],[Engineering Approved Design Date]]),Table15[[#This Row],[Date Completed]]-Table15[[#This Row],[Date Assigned to Designer]],Table15[[#This Row],[Engineering Approved Design Date]]-Table15[[#This Row],[Date Completed]])</f>
        <v>0</v>
      </c>
      <c r="N1496" s="942" t="s">
        <v>120</v>
      </c>
      <c r="O1496" s="1617">
        <v>45870</v>
      </c>
      <c r="P1496" s="1153" t="s">
        <v>739</v>
      </c>
      <c r="Q1496" s="1150">
        <f>Table15[[#This Row],[Rate]]*Table15[[#This Row],[Construction Cost to Bill From]]</f>
        <v>61968.916000000005</v>
      </c>
      <c r="R1496" s="1625">
        <v>0.1</v>
      </c>
      <c r="S1496" s="1228" t="s">
        <v>29</v>
      </c>
      <c r="T1496" s="888" t="s">
        <v>29</v>
      </c>
      <c r="U1496" s="889" t="s">
        <v>29</v>
      </c>
      <c r="V1496" s="1021">
        <v>1106</v>
      </c>
      <c r="W1496" s="1021">
        <v>0</v>
      </c>
      <c r="X1496" s="1228">
        <v>523750.09</v>
      </c>
      <c r="Y1496" s="888"/>
      <c r="Z1496" s="892">
        <v>95939.07</v>
      </c>
      <c r="AA1496" s="888">
        <f>SUM(Table15[[#This Row],[PCTS Investment Amount]:[PCTS Retirement Amount]])</f>
        <v>619689.16</v>
      </c>
      <c r="AB1496" s="893">
        <v>45875</v>
      </c>
      <c r="AC1496" s="894" t="s">
        <v>709</v>
      </c>
      <c r="AD1496" s="1161" t="s">
        <v>29</v>
      </c>
      <c r="AE1496" s="1634" t="s">
        <v>116</v>
      </c>
      <c r="AF1496" s="895" t="s">
        <v>116</v>
      </c>
      <c r="AG1496" s="896" t="s">
        <v>376</v>
      </c>
      <c r="AH1496" s="1304" t="s">
        <v>376</v>
      </c>
      <c r="AI1496" s="898" t="s">
        <v>29</v>
      </c>
      <c r="AJ1496" s="1584">
        <v>3195</v>
      </c>
      <c r="AK1496" s="899">
        <f>2332+4601.39</f>
        <v>6933.39</v>
      </c>
      <c r="AL1496" s="923">
        <f>SUM(Table15[[#This Row],[Nicor Initiated DBE]:[Staffing]])/(Table15[[#This Row],[Amount Invoiced]])</f>
        <v>0.16344307200726246</v>
      </c>
      <c r="AM1496" s="536" t="s">
        <v>116</v>
      </c>
      <c r="AN1496" s="903" t="s">
        <v>709</v>
      </c>
      <c r="AO1496" s="1536"/>
      <c r="AP1496" s="1537"/>
      <c r="AQ1496" s="1537"/>
      <c r="AR1496" s="1537"/>
      <c r="AS1496" s="888">
        <f>IF(Table15[[#This Row],[PCTS Approved]]="N",0,Table15[[#This Row],[Investment Amount (1'#'#'#'#'#)]]+Table15[[#This Row],[Retirement Amount (3'#'#'#'#'#)]])</f>
        <v>0</v>
      </c>
      <c r="AT1496" s="888">
        <f>IF(Table15[[#This Row],[Approved Construction Cost]]=0,0,Table15[[#This Row],[Approved Construction Cost]]-Table15[[#This Row],[Construction Cost to Bill From]])</f>
        <v>0</v>
      </c>
      <c r="AU1496" s="888">
        <f>IFERROR(Table15[[#This Row],[Difference in Construction Cost]]*Table15[[#This Row],[Rate]],Table15[[#This Row],[Difference in Construction Cost]]*0.085)</f>
        <v>0</v>
      </c>
      <c r="AV1496" s="905"/>
      <c r="AW1496" s="1509"/>
      <c r="AX1496" s="888"/>
      <c r="AY1496" s="636" t="s">
        <v>709</v>
      </c>
      <c r="AZ1496" s="333"/>
      <c r="BA1496" s="1643" t="s">
        <v>9032</v>
      </c>
      <c r="BB1496" s="911" t="s">
        <v>8797</v>
      </c>
      <c r="BC1496" s="1649" t="s">
        <v>709</v>
      </c>
      <c r="BD1496" s="913" t="s">
        <v>1626</v>
      </c>
      <c r="BE1496" s="914" t="s">
        <v>1626</v>
      </c>
      <c r="BF1496" s="914" t="s">
        <v>709</v>
      </c>
      <c r="BG1496" s="1652" t="s">
        <v>745</v>
      </c>
      <c r="BH1496" s="1023" t="s">
        <v>9033</v>
      </c>
      <c r="BI1496" s="1656" t="s">
        <v>709</v>
      </c>
      <c r="BJ1496" s="916" t="s">
        <v>709</v>
      </c>
      <c r="BK1496" s="916" t="s">
        <v>709</v>
      </c>
      <c r="BL1496" s="916" t="s">
        <v>116</v>
      </c>
      <c r="BM1496" s="916" t="s">
        <v>709</v>
      </c>
      <c r="BN1496" s="916" t="s">
        <v>709</v>
      </c>
      <c r="BO1496" s="916" t="s">
        <v>709</v>
      </c>
      <c r="BP1496" s="916">
        <v>107</v>
      </c>
      <c r="BQ1496" s="916" t="s">
        <v>709</v>
      </c>
      <c r="BR1496" s="916" t="s">
        <v>709</v>
      </c>
      <c r="BS1496" s="916">
        <v>999</v>
      </c>
      <c r="BT1496" s="916" t="s">
        <v>709</v>
      </c>
      <c r="BU1496" s="916" t="s">
        <v>709</v>
      </c>
      <c r="BV1496" s="916" t="s">
        <v>709</v>
      </c>
      <c r="BW1496" s="916" t="s">
        <v>709</v>
      </c>
      <c r="BX1496" s="916" t="s">
        <v>709</v>
      </c>
      <c r="BY1496" s="916" t="s">
        <v>709</v>
      </c>
      <c r="BZ1496" s="916" t="s">
        <v>709</v>
      </c>
      <c r="CA1496" s="917" t="s">
        <v>9034</v>
      </c>
      <c r="CB1496" s="547"/>
      <c r="CC1496" s="1481" t="b">
        <v>0</v>
      </c>
      <c r="CD1496" s="879" t="str">
        <f>Table15[[#This Row],[Engineering Number]]&amp;Table15[[#This Row],[WO Number]]&amp;Table15[[#This Row],[Date Assigned to Designer]]&amp;Table15[[#This Row],[Date Completed]]</f>
        <v>N1586412155304578445863</v>
      </c>
    </row>
    <row r="1497" spans="1:82" ht="15" customHeight="1" x14ac:dyDescent="0.25">
      <c r="A1497">
        <v>2025</v>
      </c>
      <c r="B1497" s="878" t="s">
        <v>4</v>
      </c>
      <c r="C1497" s="879" t="s">
        <v>9035</v>
      </c>
      <c r="D1497" s="880" t="s">
        <v>9036</v>
      </c>
      <c r="E1497" s="879" t="s">
        <v>918</v>
      </c>
      <c r="F1497" s="878" t="s">
        <v>6874</v>
      </c>
      <c r="G1497" s="878" t="s">
        <v>34</v>
      </c>
      <c r="H1497" s="878" t="s">
        <v>59</v>
      </c>
      <c r="I1497" s="881">
        <v>45762</v>
      </c>
      <c r="J1497" s="882">
        <v>45870</v>
      </c>
      <c r="K1497" s="945">
        <v>45866</v>
      </c>
      <c r="L1497" s="884">
        <f>IF(ISTEXT(Table15[[#This Row],[Engineering Approved Design Date]]),Table15[[#This Row],[Date Completed]]-Table15[[#This Row],[Date Assigned to Designer]],Table15[[#This Row],[Engineering Approved Design Date]]-Table15[[#This Row],[Date Completed]])</f>
        <v>4</v>
      </c>
      <c r="N1497" s="885" t="s">
        <v>120</v>
      </c>
      <c r="O1497" s="886">
        <v>45870</v>
      </c>
      <c r="P1497" s="1153" t="s">
        <v>739</v>
      </c>
      <c r="Q1497" s="1150">
        <f>Table15[[#This Row],[Rate]]*Table15[[#This Row],[Construction Cost to Bill From]]</f>
        <v>86252.715000000011</v>
      </c>
      <c r="R1497" s="887">
        <v>0.1</v>
      </c>
      <c r="S1497" s="888" t="s">
        <v>29</v>
      </c>
      <c r="T1497" s="888" t="s">
        <v>29</v>
      </c>
      <c r="U1497" s="889" t="s">
        <v>29</v>
      </c>
      <c r="V1497" s="890">
        <v>2066</v>
      </c>
      <c r="W1497" s="1021">
        <v>0</v>
      </c>
      <c r="X1497" s="888">
        <v>794351.77</v>
      </c>
      <c r="Y1497" s="888"/>
      <c r="Z1497" s="892">
        <v>68175.38</v>
      </c>
      <c r="AA1497" s="888">
        <f>SUM(X1497:Z1497)</f>
        <v>862527.15</v>
      </c>
      <c r="AB1497" s="893">
        <v>45846</v>
      </c>
      <c r="AC1497" s="894" t="s">
        <v>29</v>
      </c>
      <c r="AD1497" s="1161" t="s">
        <v>29</v>
      </c>
      <c r="AE1497" s="895" t="s">
        <v>756</v>
      </c>
      <c r="AF1497" s="895" t="s">
        <v>756</v>
      </c>
      <c r="AG1497" s="896" t="s">
        <v>376</v>
      </c>
      <c r="AH1497" s="897" t="s">
        <v>376</v>
      </c>
      <c r="AI1497" s="898" t="s">
        <v>29</v>
      </c>
      <c r="AJ1497" s="899">
        <v>0</v>
      </c>
      <c r="AK1497" s="899">
        <v>8112.04</v>
      </c>
      <c r="AL1497" s="901">
        <f>SUM(Table15[[#This Row],[Nicor Initiated DBE]:[Staffing]])/(Table15[[#This Row],[Amount Invoiced]])</f>
        <v>9.4049677160887038E-2</v>
      </c>
      <c r="AM1497" s="536" t="s">
        <v>116</v>
      </c>
      <c r="AN1497" s="903" t="s">
        <v>709</v>
      </c>
      <c r="AO1497" s="1536"/>
      <c r="AP1497" s="1537"/>
      <c r="AQ1497" s="1537"/>
      <c r="AR1497" s="1537"/>
      <c r="AS1497" s="888">
        <f>IF(Table15[[#This Row],[PCTS Approved]]="N",0,Table15[[#This Row],[Investment Amount (1'#'#'#'#'#)]]+Table15[[#This Row],[Retirement Amount (3'#'#'#'#'#)]])</f>
        <v>0</v>
      </c>
      <c r="AT1497" s="888">
        <f>IF(Table15[[#This Row],[Approved Construction Cost]]=0,0,Table15[[#This Row],[Approved Construction Cost]]-Table15[[#This Row],[Construction Cost to Bill From]])</f>
        <v>0</v>
      </c>
      <c r="AU1497" s="888">
        <f>IFERROR(Table15[[#This Row],[Difference in Construction Cost]]*Table15[[#This Row],[Rate]],Table15[[#This Row],[Difference in Construction Cost]]*0.085)</f>
        <v>0</v>
      </c>
      <c r="AV1497" s="905"/>
      <c r="AW1497" s="1509"/>
      <c r="AX1497" s="888"/>
      <c r="AY1497" s="636" t="s">
        <v>709</v>
      </c>
      <c r="AZ1497" s="333"/>
      <c r="BA1497" s="954" t="s">
        <v>9037</v>
      </c>
      <c r="BB1497" s="911" t="s">
        <v>9038</v>
      </c>
      <c r="BC1497" s="912" t="s">
        <v>116</v>
      </c>
      <c r="BD1497" s="913" t="s">
        <v>709</v>
      </c>
      <c r="BE1497" s="914" t="s">
        <v>822</v>
      </c>
      <c r="BF1497" s="914" t="s">
        <v>7475</v>
      </c>
      <c r="BG1497" s="915" t="s">
        <v>709</v>
      </c>
      <c r="BH1497" s="1023" t="s">
        <v>9039</v>
      </c>
      <c r="BI1497" s="916" t="s">
        <v>745</v>
      </c>
      <c r="BJ1497" s="916" t="s">
        <v>745</v>
      </c>
      <c r="BK1497" s="916" t="s">
        <v>116</v>
      </c>
      <c r="BL1497" s="916" t="s">
        <v>116</v>
      </c>
      <c r="BM1497" s="916" t="s">
        <v>745</v>
      </c>
      <c r="BN1497" s="916" t="s">
        <v>745</v>
      </c>
      <c r="BO1497" s="916" t="s">
        <v>745</v>
      </c>
      <c r="BP1497" s="916">
        <v>122</v>
      </c>
      <c r="BQ1497" s="916" t="s">
        <v>745</v>
      </c>
      <c r="BR1497" s="916">
        <v>1877</v>
      </c>
      <c r="BS1497" s="916">
        <v>67</v>
      </c>
      <c r="BT1497" s="916" t="s">
        <v>745</v>
      </c>
      <c r="BU1497" s="916" t="s">
        <v>745</v>
      </c>
      <c r="BV1497" s="916" t="s">
        <v>745</v>
      </c>
      <c r="BW1497" s="916" t="s">
        <v>745</v>
      </c>
      <c r="BX1497" s="916" t="s">
        <v>745</v>
      </c>
      <c r="BY1497" s="916" t="s">
        <v>745</v>
      </c>
      <c r="BZ1497" s="916" t="s">
        <v>745</v>
      </c>
      <c r="CA1497" s="917"/>
      <c r="CB1497" s="547"/>
      <c r="CC1497" s="1481" t="b">
        <v>0</v>
      </c>
      <c r="CD1497" s="879" t="str">
        <f>Table15[[#This Row],[Engineering Number]]&amp;Table15[[#This Row],[WO Number]]&amp;Table15[[#This Row],[Date Assigned to Designer]]&amp;Table15[[#This Row],[Date Completed]]</f>
        <v>SC2585814154694576245866</v>
      </c>
    </row>
    <row r="1498" spans="1:82" ht="15" customHeight="1" x14ac:dyDescent="0.25">
      <c r="A1498">
        <v>2025</v>
      </c>
      <c r="B1498" s="8" t="s">
        <v>1205</v>
      </c>
      <c r="C1498" s="8" t="s">
        <v>1560</v>
      </c>
      <c r="D1498" s="8">
        <v>1211924</v>
      </c>
      <c r="E1498" s="8" t="s">
        <v>1200</v>
      </c>
      <c r="F1498" s="8" t="s">
        <v>784</v>
      </c>
      <c r="G1498" s="8" t="s">
        <v>31</v>
      </c>
      <c r="H1498" s="8" t="s">
        <v>2611</v>
      </c>
      <c r="I1498" s="642">
        <v>45862</v>
      </c>
      <c r="J1498" s="18" t="s">
        <v>2612</v>
      </c>
      <c r="K1498" s="97">
        <v>45867</v>
      </c>
      <c r="L1498" s="16">
        <f>IF(ISTEXT(Table15[[#This Row],[Engineering Approved Design Date]]),Table15[[#This Row],[Date Completed]]-Table15[[#This Row],[Date Assigned to Designer]],Table15[[#This Row],[Engineering Approved Design Date]]-Table15[[#This Row],[Date Completed]])</f>
        <v>5</v>
      </c>
      <c r="M1498" t="s">
        <v>9040</v>
      </c>
      <c r="N1498" s="671" t="s">
        <v>739</v>
      </c>
      <c r="O1498" s="1025">
        <v>45870</v>
      </c>
      <c r="P1498" s="21" t="s">
        <v>120</v>
      </c>
      <c r="Q1498" s="1151">
        <f>Table15[[#This Row],[KH Hourly Effort]]</f>
        <v>3122.5</v>
      </c>
      <c r="R1498" s="920" t="s">
        <v>1922</v>
      </c>
      <c r="S1498" s="538">
        <v>0</v>
      </c>
      <c r="T1498" s="538">
        <v>0</v>
      </c>
      <c r="U1498" s="87">
        <v>3122.5</v>
      </c>
      <c r="V1498" s="890" t="s">
        <v>29</v>
      </c>
      <c r="W1498" s="1021" t="s">
        <v>29</v>
      </c>
      <c r="X1498" s="888" t="s">
        <v>29</v>
      </c>
      <c r="Y1498" s="888" t="s">
        <v>29</v>
      </c>
      <c r="Z1498" s="892" t="s">
        <v>29</v>
      </c>
      <c r="AA1498" s="892" t="s">
        <v>29</v>
      </c>
      <c r="AB1498" s="893" t="s">
        <v>29</v>
      </c>
      <c r="AC1498" s="896" t="s">
        <v>29</v>
      </c>
      <c r="AD1498" s="1155" t="s">
        <v>29</v>
      </c>
      <c r="AE1498" s="580" t="s">
        <v>29</v>
      </c>
      <c r="AF1498" s="580" t="s">
        <v>29</v>
      </c>
      <c r="AG1498" s="580" t="s">
        <v>29</v>
      </c>
      <c r="AH1498" s="542" t="s">
        <v>29</v>
      </c>
      <c r="AI1498" s="1028" t="s">
        <v>29</v>
      </c>
      <c r="AJ1498" s="1029" t="s">
        <v>29</v>
      </c>
      <c r="AK1498" s="1029" t="s">
        <v>29</v>
      </c>
      <c r="AL1498" s="1030" t="s">
        <v>29</v>
      </c>
      <c r="AM1498" s="542" t="s">
        <v>709</v>
      </c>
      <c r="AN1498" s="924"/>
      <c r="AO1498" s="925"/>
      <c r="AP1498" s="926"/>
      <c r="AQ1498" s="926"/>
      <c r="AR1498" s="926"/>
      <c r="AS1498" s="926"/>
      <c r="AT1498" s="926"/>
      <c r="AU1498" s="926"/>
      <c r="AV1498" s="926"/>
      <c r="AW1498" s="927"/>
      <c r="AX1498" s="926"/>
      <c r="AY1498" s="1538" t="s">
        <v>29</v>
      </c>
      <c r="AZ1498" s="1530"/>
      <c r="BA1498" s="1031" t="s">
        <v>29</v>
      </c>
      <c r="BB1498" s="644" t="s">
        <v>8343</v>
      </c>
      <c r="BC1498" s="544" t="s">
        <v>709</v>
      </c>
      <c r="BD1498" s="544" t="s">
        <v>709</v>
      </c>
      <c r="BE1498" s="544" t="s">
        <v>709</v>
      </c>
      <c r="BF1498" s="544" t="s">
        <v>709</v>
      </c>
      <c r="BG1498" s="544" t="s">
        <v>8343</v>
      </c>
      <c r="BH1498" s="741" t="s">
        <v>9041</v>
      </c>
      <c r="BI1498" s="980"/>
      <c r="BJ1498" s="980"/>
      <c r="BK1498" s="980"/>
      <c r="BL1498" s="980"/>
      <c r="BM1498" s="980"/>
      <c r="BN1498" s="980"/>
      <c r="BO1498" s="980"/>
      <c r="BP1498" s="980"/>
      <c r="BQ1498" s="980"/>
      <c r="BR1498" s="980"/>
      <c r="BS1498" s="980"/>
      <c r="BT1498" s="980"/>
      <c r="BU1498" s="980"/>
      <c r="BV1498" s="980"/>
      <c r="BW1498" s="980"/>
      <c r="BX1498" s="980"/>
      <c r="BY1498" s="980"/>
      <c r="BZ1498" s="980"/>
      <c r="CA1498" s="1661"/>
      <c r="CB1498" s="547"/>
      <c r="CC1498" s="1481" t="b">
        <v>0</v>
      </c>
      <c r="CD1498" t="str">
        <f>Table15[[#This Row],[Engineering Number]]&amp;Table15[[#This Row],[WO Number]]&amp;Table15[[#This Row],[Date Assigned to Designer]]&amp;Table15[[#This Row],[Date Completed]]</f>
        <v>VW5012119244586245867</v>
      </c>
    </row>
    <row r="1499" spans="1:82" customFormat="1" ht="15" customHeight="1" x14ac:dyDescent="0.25">
      <c r="A1499">
        <v>2025</v>
      </c>
      <c r="B1499" s="878" t="s">
        <v>771</v>
      </c>
      <c r="C1499" s="879" t="s">
        <v>9042</v>
      </c>
      <c r="D1499" s="880" t="s">
        <v>9043</v>
      </c>
      <c r="E1499" s="879" t="s">
        <v>8752</v>
      </c>
      <c r="F1499" s="878" t="s">
        <v>6874</v>
      </c>
      <c r="G1499" s="878" t="s">
        <v>8736</v>
      </c>
      <c r="H1499" s="878" t="s">
        <v>59</v>
      </c>
      <c r="I1499" s="881">
        <v>45684</v>
      </c>
      <c r="J1499" s="18">
        <v>45868</v>
      </c>
      <c r="K1499" s="883">
        <v>45867</v>
      </c>
      <c r="L1499" s="884">
        <f>IF(ISTEXT(Table15[[#This Row],[Engineering Approved Design Date]]),Table15[[#This Row],[Date Completed]]-Table15[[#This Row],[Date Assigned to Designer]],Table15[[#This Row],[Engineering Approved Design Date]]-Table15[[#This Row],[Date Completed]])</f>
        <v>1</v>
      </c>
      <c r="M1499" s="879"/>
      <c r="N1499" s="885" t="s">
        <v>739</v>
      </c>
      <c r="O1499" s="886" t="s">
        <v>376</v>
      </c>
      <c r="P1499" s="1153" t="s">
        <v>120</v>
      </c>
      <c r="Q1499" s="1150">
        <f>Table15[[#This Row],[Rate]]*Table15[[#This Row],[Construction Cost to Bill From]]</f>
        <v>247944.00879999998</v>
      </c>
      <c r="R1499" s="887">
        <v>0.04</v>
      </c>
      <c r="S1499" s="888" t="s">
        <v>29</v>
      </c>
      <c r="T1499" s="888" t="s">
        <v>29</v>
      </c>
      <c r="U1499" s="889" t="s">
        <v>29</v>
      </c>
      <c r="V1499" s="1630">
        <v>30050</v>
      </c>
      <c r="W1499" s="1021">
        <v>0</v>
      </c>
      <c r="X1499" s="888">
        <v>5925605.3300000001</v>
      </c>
      <c r="Y1499" s="891"/>
      <c r="Z1499" s="888">
        <v>272994.89</v>
      </c>
      <c r="AA1499" s="552">
        <f>SUM(Table15[[#This Row],[PCTS Investment Amount]:[PCTS Retirement Amount]])</f>
        <v>6198600.2199999997</v>
      </c>
      <c r="AB1499" s="893">
        <v>45884</v>
      </c>
      <c r="AC1499" s="894" t="s">
        <v>1177</v>
      </c>
      <c r="AD1499" s="1160" t="s">
        <v>29</v>
      </c>
      <c r="AE1499" s="940" t="s">
        <v>756</v>
      </c>
      <c r="AF1499" s="895" t="s">
        <v>756</v>
      </c>
      <c r="AG1499" s="896" t="s">
        <v>376</v>
      </c>
      <c r="AH1499" s="897" t="s">
        <v>376</v>
      </c>
      <c r="AI1499" s="898">
        <v>18100</v>
      </c>
      <c r="AJ1499" s="899">
        <v>0</v>
      </c>
      <c r="AK1499" s="1275">
        <v>4100.84</v>
      </c>
      <c r="AL1499" s="1030">
        <f>SUM(Table15[[#This Row],[Nicor Initiated DBE]:[Staffing]])/(Table15[[#This Row],[Amount Invoiced]])</f>
        <v>8.9539731600887157E-2</v>
      </c>
      <c r="AM1499" s="542" t="s">
        <v>116</v>
      </c>
      <c r="AN1499" s="903"/>
      <c r="AO1499" s="1536"/>
      <c r="AP1499" s="1537"/>
      <c r="AQ1499" s="1537"/>
      <c r="AR1499" s="1537"/>
      <c r="AS1499" s="888">
        <f>IF(Table15[[#This Row],[PCTS Approved]]="N",0,Table15[[#This Row],[Investment Amount (1'#'#'#'#'#)]]+Table15[[#This Row],[Retirement Amount (3'#'#'#'#'#)]])</f>
        <v>0</v>
      </c>
      <c r="AT1499" s="888">
        <f>IF(Table15[[#This Row],[Approved Construction Cost]]=0,0,Table15[[#This Row],[Approved Construction Cost]]-Table15[[#This Row],[Construction Cost to Bill From]])</f>
        <v>0</v>
      </c>
      <c r="AU1499" s="888">
        <f>IFERROR(Table15[[#This Row],[Difference in Construction Cost]]*Table15[[#This Row],[Rate]],Table15[[#This Row],[Difference in Construction Cost]]*0.085)</f>
        <v>0</v>
      </c>
      <c r="AV1499" s="905"/>
      <c r="AW1499" s="1509"/>
      <c r="AX1499" s="888"/>
      <c r="AY1499" s="636" t="s">
        <v>709</v>
      </c>
      <c r="AZ1499" s="1532"/>
      <c r="BA1499" s="910" t="s">
        <v>9044</v>
      </c>
      <c r="BB1499" s="911" t="s">
        <v>9045</v>
      </c>
      <c r="BC1499" s="912" t="s">
        <v>116</v>
      </c>
      <c r="BD1499" s="913" t="s">
        <v>709</v>
      </c>
      <c r="BE1499" s="914" t="s">
        <v>8756</v>
      </c>
      <c r="BF1499" s="914" t="s">
        <v>709</v>
      </c>
      <c r="BG1499" s="915" t="s">
        <v>745</v>
      </c>
      <c r="BH1499" s="1023" t="s">
        <v>9046</v>
      </c>
      <c r="BI1499" s="929" t="s">
        <v>709</v>
      </c>
      <c r="BJ1499" s="929" t="s">
        <v>709</v>
      </c>
      <c r="BK1499" s="929" t="s">
        <v>709</v>
      </c>
      <c r="BL1499" s="916" t="s">
        <v>116</v>
      </c>
      <c r="BM1499" s="916" t="s">
        <v>709</v>
      </c>
      <c r="BN1499" s="916" t="s">
        <v>709</v>
      </c>
      <c r="BO1499" s="916" t="s">
        <v>709</v>
      </c>
      <c r="BP1499" s="916">
        <v>5729</v>
      </c>
      <c r="BQ1499" s="916" t="s">
        <v>709</v>
      </c>
      <c r="BR1499" s="916">
        <v>2840</v>
      </c>
      <c r="BS1499" s="916">
        <v>21961</v>
      </c>
      <c r="BT1499" s="916" t="s">
        <v>709</v>
      </c>
      <c r="BU1499" s="916" t="s">
        <v>709</v>
      </c>
      <c r="BV1499" s="916" t="s">
        <v>709</v>
      </c>
      <c r="BW1499" s="916" t="s">
        <v>709</v>
      </c>
      <c r="BX1499" s="916" t="s">
        <v>709</v>
      </c>
      <c r="BY1499" s="916" t="s">
        <v>709</v>
      </c>
      <c r="BZ1499" s="916" t="s">
        <v>745</v>
      </c>
      <c r="CA1499" s="917"/>
      <c r="CB1499" s="547"/>
      <c r="CC1499" s="1481" t="b">
        <v>0</v>
      </c>
      <c r="CD1499" s="879" t="str">
        <f>Table15[[#This Row],[Engineering Number]]&amp;Table15[[#This Row],[WO Number]]&amp;Table15[[#This Row],[Date Assigned to Designer]]&amp;Table15[[#This Row],[Date Completed]]</f>
        <v>MR2BID9647-112149244568445867</v>
      </c>
    </row>
    <row r="1500" spans="1:82" ht="15" customHeight="1" x14ac:dyDescent="0.25">
      <c r="A1500" s="965">
        <v>2026</v>
      </c>
      <c r="B1500" s="878" t="s">
        <v>4</v>
      </c>
      <c r="C1500" s="879" t="s">
        <v>4031</v>
      </c>
      <c r="D1500" s="880" t="s">
        <v>4032</v>
      </c>
      <c r="E1500" s="879" t="s">
        <v>1261</v>
      </c>
      <c r="F1500" s="878" t="s">
        <v>784</v>
      </c>
      <c r="G1500" s="878" t="s">
        <v>27</v>
      </c>
      <c r="H1500" s="878" t="s">
        <v>59</v>
      </c>
      <c r="I1500" s="881">
        <v>43474</v>
      </c>
      <c r="J1500" s="956">
        <v>45869</v>
      </c>
      <c r="K1500" s="945">
        <v>45868</v>
      </c>
      <c r="L1500" s="884">
        <f>IF(ISTEXT(Table15[[#This Row],[Engineering Approved Design Date]]),Table15[[#This Row],[Date Completed]]-Table15[[#This Row],[Date Assigned to Designer]],Table15[[#This Row],[Engineering Approved Design Date]]-Table15[[#This Row],[Date Completed]])</f>
        <v>1</v>
      </c>
      <c r="N1500" s="885" t="s">
        <v>120</v>
      </c>
      <c r="O1500" s="886">
        <v>45870</v>
      </c>
      <c r="P1500" s="1153" t="s">
        <v>739</v>
      </c>
      <c r="Q1500" s="1151">
        <f>SUM(Table15[[#This Row],[Shactee Effort]:[KH Hourly Effort]])</f>
        <v>374341.51</v>
      </c>
      <c r="R1500" s="1039" t="s">
        <v>1922</v>
      </c>
      <c r="S1500" s="888">
        <v>11631.51</v>
      </c>
      <c r="T1500" s="888">
        <v>25500</v>
      </c>
      <c r="U1500" s="889">
        <v>337210</v>
      </c>
      <c r="V1500" s="890">
        <v>25466</v>
      </c>
      <c r="W1500" s="1021">
        <v>0</v>
      </c>
      <c r="X1500" s="888">
        <v>8919528.8699999992</v>
      </c>
      <c r="Y1500" s="888"/>
      <c r="Z1500" s="892">
        <v>1479440.98</v>
      </c>
      <c r="AA1500" s="889">
        <f>SUM(Table15[[#This Row],[PCTS Investment Amount]:[PCTS Retirement Amount]])</f>
        <v>10398969.85</v>
      </c>
      <c r="AB1500" s="893">
        <v>45897</v>
      </c>
      <c r="AC1500" s="894" t="s">
        <v>756</v>
      </c>
      <c r="AD1500" s="1161" t="s">
        <v>116</v>
      </c>
      <c r="AE1500" s="895" t="s">
        <v>756</v>
      </c>
      <c r="AF1500" s="895" t="s">
        <v>756</v>
      </c>
      <c r="AG1500" s="896" t="s">
        <v>376</v>
      </c>
      <c r="AH1500" s="897" t="s">
        <v>376</v>
      </c>
      <c r="AI1500" s="898">
        <v>15760</v>
      </c>
      <c r="AJ1500" s="899">
        <v>31400.19</v>
      </c>
      <c r="AK1500" s="899">
        <v>5731.32</v>
      </c>
      <c r="AL1500" s="901">
        <f>SUM(Table15[[#This Row],[Nicor Initiated DBE]:[Staffing]])/(Table15[[#This Row],[Amount Invoiced]])</f>
        <v>0.14129213188246209</v>
      </c>
      <c r="AM1500" s="536" t="s">
        <v>116</v>
      </c>
      <c r="AN1500" s="903" t="s">
        <v>709</v>
      </c>
      <c r="AO1500" s="1536"/>
      <c r="AP1500" s="1537"/>
      <c r="AQ1500" s="1537"/>
      <c r="AR1500" s="1537"/>
      <c r="AS1500" s="888">
        <f>IF(Table15[[#This Row],[PCTS Approved]]="N",0,Table15[[#This Row],[Investment Amount (1'#'#'#'#'#)]]+Table15[[#This Row],[Retirement Amount (3'#'#'#'#'#)]])</f>
        <v>0</v>
      </c>
      <c r="AT1500" s="888">
        <f>IF(Table15[[#This Row],[Approved Construction Cost]]=0,0,Table15[[#This Row],[Approved Construction Cost]]-Table15[[#This Row],[Construction Cost to Bill From]])</f>
        <v>0</v>
      </c>
      <c r="AU1500" s="888">
        <f>IFERROR(Table15[[#This Row],[Difference in Construction Cost]]*Table15[[#This Row],[Rate]],Table15[[#This Row],[Difference in Construction Cost]]*0.085)</f>
        <v>0</v>
      </c>
      <c r="AV1500" s="905"/>
      <c r="AW1500" s="1509"/>
      <c r="AX1500" s="888"/>
      <c r="AY1500" s="636" t="s">
        <v>709</v>
      </c>
      <c r="AZ1500" s="333"/>
      <c r="BA1500" s="910" t="s">
        <v>9047</v>
      </c>
      <c r="BB1500" s="911" t="s">
        <v>870</v>
      </c>
      <c r="BC1500" s="912" t="s">
        <v>116</v>
      </c>
      <c r="BD1500" s="913" t="s">
        <v>1066</v>
      </c>
      <c r="BE1500" s="914" t="s">
        <v>9048</v>
      </c>
      <c r="BF1500" s="914" t="s">
        <v>709</v>
      </c>
      <c r="BG1500" s="915" t="s">
        <v>709</v>
      </c>
      <c r="BH1500" s="1557" t="s">
        <v>9049</v>
      </c>
      <c r="BI1500" s="916" t="s">
        <v>745</v>
      </c>
      <c r="BJ1500" s="916" t="s">
        <v>745</v>
      </c>
      <c r="BK1500" s="916" t="s">
        <v>116</v>
      </c>
      <c r="BL1500" s="916" t="s">
        <v>116</v>
      </c>
      <c r="BM1500" s="916" t="s">
        <v>745</v>
      </c>
      <c r="BN1500" s="916">
        <v>1463</v>
      </c>
      <c r="BO1500" s="916" t="s">
        <v>745</v>
      </c>
      <c r="BP1500" s="916">
        <v>10066</v>
      </c>
      <c r="BQ1500" s="916">
        <v>5895</v>
      </c>
      <c r="BR1500" s="916">
        <v>4586</v>
      </c>
      <c r="BS1500" s="916">
        <v>3276</v>
      </c>
      <c r="BT1500" s="916">
        <v>2</v>
      </c>
      <c r="BU1500" s="916" t="s">
        <v>745</v>
      </c>
      <c r="BV1500" s="916" t="s">
        <v>745</v>
      </c>
      <c r="BW1500" s="916" t="s">
        <v>745</v>
      </c>
      <c r="BX1500" s="916">
        <v>2</v>
      </c>
      <c r="BY1500" s="916" t="s">
        <v>745</v>
      </c>
      <c r="BZ1500" s="916">
        <v>1</v>
      </c>
      <c r="CA1500" s="917"/>
      <c r="CB1500" s="619"/>
      <c r="CC1500" s="1481" t="b">
        <v>0</v>
      </c>
      <c r="CD1500" s="879" t="str">
        <f>Table15[[#This Row],[Engineering Number]]&amp;Table15[[#This Row],[WO Number]]&amp;Table15[[#This Row],[Date Assigned to Designer]]&amp;Table15[[#This Row],[Date Completed]]</f>
        <v>N101731284664347445868</v>
      </c>
    </row>
    <row r="1501" spans="1:82" ht="15" customHeight="1" x14ac:dyDescent="0.25">
      <c r="A1501">
        <v>2025</v>
      </c>
      <c r="B1501" s="8" t="s">
        <v>771</v>
      </c>
      <c r="C1501" s="8" t="s">
        <v>8103</v>
      </c>
      <c r="D1501" s="8" t="s">
        <v>8866</v>
      </c>
      <c r="E1501" s="8" t="s">
        <v>8752</v>
      </c>
      <c r="F1501" s="8" t="s">
        <v>6874</v>
      </c>
      <c r="G1501" s="8" t="s">
        <v>7152</v>
      </c>
      <c r="H1501" s="8" t="s">
        <v>4462</v>
      </c>
      <c r="I1501" s="642">
        <v>45862</v>
      </c>
      <c r="J1501" s="175" t="s">
        <v>2052</v>
      </c>
      <c r="K1501" s="97">
        <v>45868</v>
      </c>
      <c r="L1501" s="16">
        <f>IF(ISTEXT(Table15[[#This Row],[Engineering Approved Design Date]]),Table15[[#This Row],[Date Completed]]-Table15[[#This Row],[Date Assigned to Designer]],Table15[[#This Row],[Engineering Approved Design Date]]-Table15[[#This Row],[Date Completed]])</f>
        <v>6</v>
      </c>
      <c r="M1501" s="642" t="s">
        <v>9050</v>
      </c>
      <c r="N1501" s="99" t="s">
        <v>739</v>
      </c>
      <c r="O1501" s="1060">
        <v>45870</v>
      </c>
      <c r="P1501" s="1152" t="s">
        <v>120</v>
      </c>
      <c r="Q1501" s="1150" t="s">
        <v>115</v>
      </c>
      <c r="R1501" s="920" t="s">
        <v>115</v>
      </c>
      <c r="S1501" s="538" t="s">
        <v>29</v>
      </c>
      <c r="T1501" s="538" t="s">
        <v>29</v>
      </c>
      <c r="U1501" s="28" t="s">
        <v>29</v>
      </c>
      <c r="V1501" s="538" t="s">
        <v>29</v>
      </c>
      <c r="W1501" s="343" t="s">
        <v>29</v>
      </c>
      <c r="X1501" s="888" t="s">
        <v>29</v>
      </c>
      <c r="Y1501" s="888" t="s">
        <v>29</v>
      </c>
      <c r="Z1501" s="888" t="s">
        <v>29</v>
      </c>
      <c r="AA1501" s="888" t="s">
        <v>29</v>
      </c>
      <c r="AB1501" s="893" t="s">
        <v>29</v>
      </c>
      <c r="AC1501" s="896" t="s">
        <v>29</v>
      </c>
      <c r="AD1501" s="1155" t="s">
        <v>29</v>
      </c>
      <c r="AE1501" s="569" t="s">
        <v>29</v>
      </c>
      <c r="AF1501" s="569" t="s">
        <v>29</v>
      </c>
      <c r="AG1501" s="569" t="s">
        <v>29</v>
      </c>
      <c r="AH1501" s="183" t="s">
        <v>29</v>
      </c>
      <c r="AI1501" s="1028" t="s">
        <v>29</v>
      </c>
      <c r="AJ1501" s="1029" t="s">
        <v>29</v>
      </c>
      <c r="AK1501" s="1029" t="s">
        <v>29</v>
      </c>
      <c r="AL1501" s="1030" t="s">
        <v>29</v>
      </c>
      <c r="AM1501" s="542" t="s">
        <v>709</v>
      </c>
      <c r="AN1501" s="924"/>
      <c r="AO1501" s="925"/>
      <c r="AP1501" s="926"/>
      <c r="AQ1501" s="926"/>
      <c r="AR1501" s="926"/>
      <c r="AS1501" s="926"/>
      <c r="AT1501" s="926"/>
      <c r="AU1501" s="926"/>
      <c r="AV1501" s="926"/>
      <c r="AW1501" s="927"/>
      <c r="AX1501" s="926"/>
      <c r="AY1501" s="1538" t="s">
        <v>29</v>
      </c>
      <c r="AZ1501" s="1530"/>
      <c r="BA1501" s="1031">
        <v>2</v>
      </c>
      <c r="BB1501" s="644"/>
      <c r="BC1501" s="559"/>
      <c r="BD1501" s="554"/>
      <c r="BE1501" s="588"/>
      <c r="BF1501" s="588"/>
      <c r="BG1501" s="548"/>
      <c r="BH1501" s="615" t="s">
        <v>9051</v>
      </c>
      <c r="BI1501" s="1032"/>
      <c r="BJ1501" s="1032"/>
      <c r="BK1501" s="1032"/>
      <c r="BL1501" s="1032"/>
      <c r="BM1501" s="1032"/>
      <c r="BN1501" s="1032"/>
      <c r="BO1501" s="1032"/>
      <c r="BP1501" s="1032"/>
      <c r="BQ1501" s="1032"/>
      <c r="BR1501" s="1032"/>
      <c r="BS1501" s="1032"/>
      <c r="BT1501" s="1032"/>
      <c r="BU1501" s="1032"/>
      <c r="BV1501" s="1032"/>
      <c r="BW1501" s="1032"/>
      <c r="BX1501" s="1032"/>
      <c r="BY1501" s="1032"/>
      <c r="BZ1501" s="1032"/>
      <c r="CA1501" s="485"/>
      <c r="CB1501" s="547"/>
      <c r="CC1501"/>
      <c r="CD1501"/>
    </row>
    <row r="1502" spans="1:82" ht="15" customHeight="1" x14ac:dyDescent="0.25">
      <c r="A1502">
        <v>2025</v>
      </c>
      <c r="B1502" s="878" t="s">
        <v>771</v>
      </c>
      <c r="C1502" s="878" t="s">
        <v>1809</v>
      </c>
      <c r="D1502" s="878">
        <v>1213263</v>
      </c>
      <c r="E1502" s="878" t="s">
        <v>149</v>
      </c>
      <c r="F1502" s="878" t="s">
        <v>784</v>
      </c>
      <c r="G1502" s="878" t="s">
        <v>32</v>
      </c>
      <c r="H1502" s="878" t="s">
        <v>5710</v>
      </c>
      <c r="I1502" s="883">
        <v>45846</v>
      </c>
      <c r="J1502" s="918" t="s">
        <v>2052</v>
      </c>
      <c r="K1502" s="945">
        <v>45868</v>
      </c>
      <c r="L1502" s="919">
        <f>IF(ISTEXT(Table15[[#This Row],[Engineering Approved Design Date]]),Table15[[#This Row],[Date Completed]]-Table15[[#This Row],[Date Assigned to Designer]],Table15[[#This Row],[Engineering Approved Design Date]]-Table15[[#This Row],[Date Completed]])</f>
        <v>22</v>
      </c>
      <c r="M1502" s="1012" t="s">
        <v>9052</v>
      </c>
      <c r="N1502" s="942" t="s">
        <v>739</v>
      </c>
      <c r="O1502" s="1617" t="s">
        <v>376</v>
      </c>
      <c r="P1502" s="1153" t="s">
        <v>120</v>
      </c>
      <c r="Q1502" s="1150">
        <f>SUM(Table15[[#This Row],[Shactee Effort]:[KH Hourly Effort]])</f>
        <v>11285</v>
      </c>
      <c r="R1502" s="1625" t="s">
        <v>1922</v>
      </c>
      <c r="S1502" s="1628">
        <v>0</v>
      </c>
      <c r="T1502" s="892">
        <v>0</v>
      </c>
      <c r="U1502" s="889">
        <v>11285</v>
      </c>
      <c r="V1502" s="1168">
        <v>28352</v>
      </c>
      <c r="W1502" s="1168">
        <v>0</v>
      </c>
      <c r="X1502" s="24" t="s">
        <v>29</v>
      </c>
      <c r="Y1502" s="538" t="s">
        <v>29</v>
      </c>
      <c r="Z1502" s="538" t="s">
        <v>29</v>
      </c>
      <c r="AA1502" s="889" t="s">
        <v>29</v>
      </c>
      <c r="AB1502" s="958" t="s">
        <v>29</v>
      </c>
      <c r="AC1502" s="894" t="s">
        <v>29</v>
      </c>
      <c r="AD1502" s="1160" t="s">
        <v>29</v>
      </c>
      <c r="AE1502" s="1634" t="s">
        <v>29</v>
      </c>
      <c r="AF1502" s="896" t="s">
        <v>756</v>
      </c>
      <c r="AG1502" s="897" t="s">
        <v>116</v>
      </c>
      <c r="AH1502" s="1636" t="s">
        <v>376</v>
      </c>
      <c r="AI1502" s="921" t="s">
        <v>29</v>
      </c>
      <c r="AJ1502" s="922" t="s">
        <v>29</v>
      </c>
      <c r="AK1502" s="922" t="s">
        <v>29</v>
      </c>
      <c r="AL1502" s="1030" t="s">
        <v>29</v>
      </c>
      <c r="AM1502" s="542" t="s">
        <v>709</v>
      </c>
      <c r="AN1502" s="924"/>
      <c r="AO1502" s="925"/>
      <c r="AP1502" s="926"/>
      <c r="AQ1502" s="926"/>
      <c r="AR1502" s="926"/>
      <c r="AS1502" s="926"/>
      <c r="AT1502" s="926"/>
      <c r="AU1502" s="926"/>
      <c r="AV1502" s="926"/>
      <c r="AW1502" s="927"/>
      <c r="AX1502" s="926"/>
      <c r="AY1502" s="1538" t="s">
        <v>29</v>
      </c>
      <c r="AZ1502" s="1530"/>
      <c r="BA1502" s="1643">
        <v>11</v>
      </c>
      <c r="BB1502" s="928" t="s">
        <v>9053</v>
      </c>
      <c r="BC1502" s="1650" t="s">
        <v>116</v>
      </c>
      <c r="BD1502" s="915" t="s">
        <v>709</v>
      </c>
      <c r="BE1502" s="915" t="s">
        <v>1813</v>
      </c>
      <c r="BF1502" s="915" t="s">
        <v>709</v>
      </c>
      <c r="BG1502" s="1652" t="s">
        <v>1814</v>
      </c>
      <c r="BH1502" s="1023" t="s">
        <v>9054</v>
      </c>
      <c r="BI1502" s="1657" t="s">
        <v>745</v>
      </c>
      <c r="BJ1502" s="929" t="s">
        <v>745</v>
      </c>
      <c r="BK1502" s="916" t="s">
        <v>745</v>
      </c>
      <c r="BL1502" s="916" t="s">
        <v>116</v>
      </c>
      <c r="BM1502" s="916" t="s">
        <v>709</v>
      </c>
      <c r="BN1502" s="916" t="s">
        <v>709</v>
      </c>
      <c r="BO1502" s="916" t="s">
        <v>709</v>
      </c>
      <c r="BP1502" s="916" t="s">
        <v>709</v>
      </c>
      <c r="BQ1502" s="916" t="s">
        <v>709</v>
      </c>
      <c r="BR1502" s="916">
        <v>4413</v>
      </c>
      <c r="BS1502" s="916">
        <v>23939</v>
      </c>
      <c r="BT1502" s="916" t="s">
        <v>709</v>
      </c>
      <c r="BU1502" s="916" t="s">
        <v>709</v>
      </c>
      <c r="BV1502" s="916" t="s">
        <v>709</v>
      </c>
      <c r="BW1502" s="916" t="s">
        <v>709</v>
      </c>
      <c r="BX1502" s="916" t="s">
        <v>709</v>
      </c>
      <c r="BY1502" s="916" t="s">
        <v>709</v>
      </c>
      <c r="BZ1502" s="916" t="s">
        <v>709</v>
      </c>
      <c r="CA1502" s="917"/>
      <c r="CB1502" s="547"/>
      <c r="CC1502" s="1481" t="b">
        <v>0</v>
      </c>
      <c r="CD1502" s="879" t="str">
        <f>Table15[[#This Row],[Engineering Number]]&amp;Table15[[#This Row],[WO Number]]&amp;Table15[[#This Row],[Date Assigned to Designer]]&amp;Table15[[#This Row],[Date Completed]]</f>
        <v>MR1C15323_C1532412132634584645868</v>
      </c>
    </row>
    <row r="1503" spans="1:82" ht="15" customHeight="1" x14ac:dyDescent="0.25">
      <c r="A1503">
        <v>2025</v>
      </c>
      <c r="B1503" s="8" t="s">
        <v>1073</v>
      </c>
      <c r="C1503" s="8" t="s">
        <v>9055</v>
      </c>
      <c r="D1503" s="8" t="s">
        <v>9056</v>
      </c>
      <c r="E1503" s="8" t="s">
        <v>1032</v>
      </c>
      <c r="F1503" s="8" t="s">
        <v>851</v>
      </c>
      <c r="G1503" s="8" t="s">
        <v>31</v>
      </c>
      <c r="H1503" s="8" t="s">
        <v>2396</v>
      </c>
      <c r="I1503" s="642">
        <v>45757</v>
      </c>
      <c r="J1503" s="18" t="s">
        <v>2397</v>
      </c>
      <c r="K1503" s="642">
        <v>45869</v>
      </c>
      <c r="L1503" s="16">
        <f>IF(ISTEXT(Table15[[#This Row],[Engineering Approved Design Date]]),Table15[[#This Row],[Date Completed]]-Table15[[#This Row],[Date Assigned to Designer]],Table15[[#This Row],[Engineering Approved Design Date]]-Table15[[#This Row],[Date Completed]])</f>
        <v>112</v>
      </c>
      <c r="M1503" s="642" t="s">
        <v>9057</v>
      </c>
      <c r="N1503" s="642" t="s">
        <v>739</v>
      </c>
      <c r="O1503" s="1025">
        <v>45870</v>
      </c>
      <c r="P1503" s="21" t="s">
        <v>739</v>
      </c>
      <c r="Q1503" s="1061">
        <f>Table15[[#This Row],[KH Hourly Effort]]</f>
        <v>12350</v>
      </c>
      <c r="R1503" s="1039" t="s">
        <v>1922</v>
      </c>
      <c r="S1503" s="538">
        <v>0</v>
      </c>
      <c r="T1503" s="538">
        <v>0</v>
      </c>
      <c r="U1503" s="28">
        <v>12350</v>
      </c>
      <c r="V1503" s="1220" t="s">
        <v>29</v>
      </c>
      <c r="W1503" s="437">
        <v>0</v>
      </c>
      <c r="X1503" s="556" t="s">
        <v>29</v>
      </c>
      <c r="Y1503" s="556" t="s">
        <v>29</v>
      </c>
      <c r="Z1503" s="552" t="s">
        <v>29</v>
      </c>
      <c r="AA1503" s="300" t="s">
        <v>29</v>
      </c>
      <c r="AB1503" s="341" t="s">
        <v>29</v>
      </c>
      <c r="AC1503" s="569" t="s">
        <v>29</v>
      </c>
      <c r="AD1503" s="1149" t="s">
        <v>29</v>
      </c>
      <c r="AE1503" s="579" t="s">
        <v>29</v>
      </c>
      <c r="AF1503" s="579" t="s">
        <v>29</v>
      </c>
      <c r="AG1503" s="579" t="s">
        <v>29</v>
      </c>
      <c r="AH1503" s="553" t="s">
        <v>29</v>
      </c>
      <c r="AI1503" s="1028" t="s">
        <v>29</v>
      </c>
      <c r="AJ1503" s="1029" t="s">
        <v>29</v>
      </c>
      <c r="AK1503" s="1029" t="s">
        <v>29</v>
      </c>
      <c r="AL1503" s="1030" t="s">
        <v>29</v>
      </c>
      <c r="AM1503" s="542" t="s">
        <v>709</v>
      </c>
      <c r="AN1503" s="924"/>
      <c r="AO1503" s="925"/>
      <c r="AP1503" s="926"/>
      <c r="AQ1503" s="926"/>
      <c r="AR1503" s="926"/>
      <c r="AS1503" s="926"/>
      <c r="AT1503" s="926"/>
      <c r="AU1503" s="926"/>
      <c r="AV1503" s="926"/>
      <c r="AW1503" s="927"/>
      <c r="AX1503" s="926"/>
      <c r="AY1503" s="1538" t="s">
        <v>29</v>
      </c>
      <c r="AZ1503" s="1530"/>
      <c r="BA1503" s="1031" t="s">
        <v>29</v>
      </c>
      <c r="BB1503" s="644" t="s">
        <v>6706</v>
      </c>
      <c r="BC1503" s="544" t="s">
        <v>115</v>
      </c>
      <c r="BD1503" s="554" t="s">
        <v>115</v>
      </c>
      <c r="BE1503" s="588" t="s">
        <v>1841</v>
      </c>
      <c r="BF1503" s="588" t="s">
        <v>115</v>
      </c>
      <c r="BG1503" s="548" t="s">
        <v>6707</v>
      </c>
      <c r="BH1503" s="741" t="s">
        <v>9058</v>
      </c>
      <c r="BI1503" s="547" t="s">
        <v>709</v>
      </c>
      <c r="BJ1503" s="547" t="s">
        <v>709</v>
      </c>
      <c r="BK1503" s="547" t="s">
        <v>116</v>
      </c>
      <c r="BL1503" s="547" t="s">
        <v>116</v>
      </c>
      <c r="BM1503" s="547" t="s">
        <v>709</v>
      </c>
      <c r="BN1503" s="547" t="s">
        <v>745</v>
      </c>
      <c r="BO1503" s="547" t="s">
        <v>709</v>
      </c>
      <c r="BP1503" s="547" t="s">
        <v>116</v>
      </c>
      <c r="BQ1503" s="547" t="s">
        <v>709</v>
      </c>
      <c r="BR1503" s="547" t="s">
        <v>745</v>
      </c>
      <c r="BS1503" s="547" t="s">
        <v>709</v>
      </c>
      <c r="BT1503" s="547" t="s">
        <v>709</v>
      </c>
      <c r="BU1503" s="547" t="s">
        <v>709</v>
      </c>
      <c r="BV1503" s="547" t="s">
        <v>709</v>
      </c>
      <c r="BW1503" s="547" t="s">
        <v>709</v>
      </c>
      <c r="BX1503" s="547" t="s">
        <v>709</v>
      </c>
      <c r="BY1503" s="547" t="s">
        <v>116</v>
      </c>
      <c r="BZ1503" s="547" t="s">
        <v>709</v>
      </c>
      <c r="CA1503" s="483" t="s">
        <v>6832</v>
      </c>
      <c r="CB1503" s="547"/>
      <c r="CC1503" s="1481" t="b">
        <v>0</v>
      </c>
      <c r="CD1503" t="str">
        <f>Table15[[#This Row],[Engineering Number]]&amp;Table15[[#This Row],[WO Number]]&amp;Table15[[#This Row],[Date Assigned to Designer]]&amp;Table15[[#This Row],[Date Completed]]</f>
        <v>NBA100175241914749_19147524575745869</v>
      </c>
    </row>
    <row r="1504" spans="1:82" customFormat="1" ht="15" customHeight="1" x14ac:dyDescent="0.25">
      <c r="A1504">
        <v>2025</v>
      </c>
      <c r="B1504" s="878" t="s">
        <v>4</v>
      </c>
      <c r="C1504" s="878" t="s">
        <v>8740</v>
      </c>
      <c r="D1504" s="878" t="s">
        <v>8741</v>
      </c>
      <c r="E1504" s="878" t="s">
        <v>8742</v>
      </c>
      <c r="F1504" s="878" t="s">
        <v>6874</v>
      </c>
      <c r="G1504" s="878" t="s">
        <v>27</v>
      </c>
      <c r="H1504" s="878" t="s">
        <v>4189</v>
      </c>
      <c r="I1504" s="883">
        <v>45859</v>
      </c>
      <c r="J1504" s="918" t="s">
        <v>2052</v>
      </c>
      <c r="K1504" s="883">
        <v>45870</v>
      </c>
      <c r="L1504" s="884">
        <f>IF(ISTEXT(Table15[[#This Row],[Engineering Approved Design Date]]),Table15[[#This Row],[Date Completed]]-Table15[[#This Row],[Date Assigned to Designer]],Table15[[#This Row],[Engineering Approved Design Date]]-Table15[[#This Row],[Date Completed]])</f>
        <v>11</v>
      </c>
      <c r="M1504" s="883" t="s">
        <v>9059</v>
      </c>
      <c r="N1504" s="99" t="s">
        <v>739</v>
      </c>
      <c r="O1504" s="886">
        <v>45870</v>
      </c>
      <c r="P1504" s="1153" t="s">
        <v>739</v>
      </c>
      <c r="Q1504" s="1151">
        <f>SUM(Table15[[#This Row],[Shactee Effort]:[KH Hourly Effort]])</f>
        <v>6715</v>
      </c>
      <c r="R1504" s="920" t="s">
        <v>1922</v>
      </c>
      <c r="S1504" s="888">
        <v>0</v>
      </c>
      <c r="T1504" s="888">
        <v>0</v>
      </c>
      <c r="U1504" s="934">
        <v>6715</v>
      </c>
      <c r="V1504" s="890" t="s">
        <v>29</v>
      </c>
      <c r="W1504" s="1021" t="s">
        <v>29</v>
      </c>
      <c r="X1504" s="888" t="s">
        <v>29</v>
      </c>
      <c r="Y1504" s="935"/>
      <c r="Z1504" s="888" t="s">
        <v>29</v>
      </c>
      <c r="AA1504" s="888" t="s">
        <v>29</v>
      </c>
      <c r="AB1504" s="893" t="s">
        <v>29</v>
      </c>
      <c r="AC1504" s="896" t="s">
        <v>29</v>
      </c>
      <c r="AD1504" s="1155" t="s">
        <v>29</v>
      </c>
      <c r="AE1504" s="568" t="s">
        <v>756</v>
      </c>
      <c r="AF1504" s="568" t="s">
        <v>756</v>
      </c>
      <c r="AG1504" s="895" t="s">
        <v>376</v>
      </c>
      <c r="AH1504" s="940" t="s">
        <v>376</v>
      </c>
      <c r="AI1504" s="921" t="s">
        <v>29</v>
      </c>
      <c r="AJ1504" s="922" t="s">
        <v>29</v>
      </c>
      <c r="AK1504" s="922" t="s">
        <v>29</v>
      </c>
      <c r="AL1504" s="1030" t="s">
        <v>29</v>
      </c>
      <c r="AM1504" s="542" t="s">
        <v>709</v>
      </c>
      <c r="AN1504" s="924"/>
      <c r="AO1504" s="925"/>
      <c r="AP1504" s="926"/>
      <c r="AQ1504" s="926"/>
      <c r="AR1504" s="926"/>
      <c r="AS1504" s="926"/>
      <c r="AT1504" s="926"/>
      <c r="AU1504" s="926"/>
      <c r="AV1504" s="926"/>
      <c r="AW1504" s="927"/>
      <c r="AX1504" s="926"/>
      <c r="AY1504" s="1528" t="s">
        <v>29</v>
      </c>
      <c r="AZ1504" s="1534"/>
      <c r="BA1504" s="954" t="s">
        <v>4919</v>
      </c>
      <c r="BB1504" s="1212" t="s">
        <v>9060</v>
      </c>
      <c r="BC1504" s="544" t="s">
        <v>709</v>
      </c>
      <c r="BD1504" s="544" t="s">
        <v>709</v>
      </c>
      <c r="BE1504" s="914" t="s">
        <v>8745</v>
      </c>
      <c r="BF1504" s="544" t="s">
        <v>709</v>
      </c>
      <c r="BG1504" s="915" t="s">
        <v>709</v>
      </c>
      <c r="BH1504" s="1023" t="s">
        <v>9061</v>
      </c>
      <c r="BI1504" s="929" t="s">
        <v>745</v>
      </c>
      <c r="BJ1504" s="929" t="s">
        <v>745</v>
      </c>
      <c r="BK1504" s="916" t="s">
        <v>745</v>
      </c>
      <c r="BL1504" s="916" t="s">
        <v>116</v>
      </c>
      <c r="BM1504" s="916" t="s">
        <v>745</v>
      </c>
      <c r="BN1504" s="916" t="s">
        <v>745</v>
      </c>
      <c r="BO1504" s="916" t="s">
        <v>745</v>
      </c>
      <c r="BP1504" s="916" t="s">
        <v>745</v>
      </c>
      <c r="BQ1504" s="916" t="s">
        <v>745</v>
      </c>
      <c r="BR1504" s="916">
        <v>92</v>
      </c>
      <c r="BS1504" s="916">
        <v>1773</v>
      </c>
      <c r="BT1504" s="916" t="s">
        <v>745</v>
      </c>
      <c r="BU1504" s="916" t="s">
        <v>745</v>
      </c>
      <c r="BV1504" s="916" t="s">
        <v>745</v>
      </c>
      <c r="BW1504" s="916" t="s">
        <v>745</v>
      </c>
      <c r="BX1504" s="916" t="s">
        <v>745</v>
      </c>
      <c r="BY1504" s="916" t="s">
        <v>745</v>
      </c>
      <c r="BZ1504" s="916" t="s">
        <v>745</v>
      </c>
      <c r="CA1504" s="917"/>
      <c r="CB1504" s="547"/>
      <c r="CC1504" s="1481" t="b">
        <v>0</v>
      </c>
      <c r="CD1504" s="879" t="str">
        <f>Table15[[#This Row],[Engineering Number]]&amp;Table15[[#This Row],[WO Number]]&amp;Table15[[#This Row],[Date Assigned to Designer]]&amp;Table15[[#This Row],[Date Completed]]</f>
        <v>SC2503114150514585945870</v>
      </c>
    </row>
    <row r="1505" spans="1:16378" s="30" customFormat="1" ht="15" customHeight="1" x14ac:dyDescent="0.25">
      <c r="A1505">
        <v>2025</v>
      </c>
      <c r="B1505" s="879" t="s">
        <v>1981</v>
      </c>
      <c r="C1505" s="879" t="s">
        <v>9062</v>
      </c>
      <c r="D1505" s="939">
        <v>1315386</v>
      </c>
      <c r="E1505" s="879" t="s">
        <v>178</v>
      </c>
      <c r="F1505" s="879" t="s">
        <v>7735</v>
      </c>
      <c r="G1505" s="879" t="s">
        <v>7382</v>
      </c>
      <c r="H1505" s="878" t="s">
        <v>413</v>
      </c>
      <c r="I1505" s="883">
        <v>45769</v>
      </c>
      <c r="J1505" s="963" t="s">
        <v>2052</v>
      </c>
      <c r="K1505" s="883">
        <v>45874</v>
      </c>
      <c r="L1505" s="1615">
        <f>IF(ISTEXT(Table15[[#This Row],[Engineering Approved Design Date]]),Table15[[#This Row],[Date Completed]]-Table15[[#This Row],[Date Assigned to Designer]],Table15[[#This Row],[Engineering Approved Design Date]]-Table15[[#This Row],[Date Completed]])</f>
        <v>105</v>
      </c>
      <c r="M1505" s="879" t="s">
        <v>9063</v>
      </c>
      <c r="N1505" s="942" t="s">
        <v>739</v>
      </c>
      <c r="O1505" s="1619">
        <v>45870</v>
      </c>
      <c r="P1505" s="1153" t="s">
        <v>739</v>
      </c>
      <c r="Q1505" s="1150">
        <f>SUM(Table15[[#This Row],[Shactee Effort]:[KH Hourly Effort]])</f>
        <v>22152.5</v>
      </c>
      <c r="R1505" s="1623" t="s">
        <v>1922</v>
      </c>
      <c r="S1505" s="1228">
        <v>0</v>
      </c>
      <c r="T1505" s="888">
        <v>0</v>
      </c>
      <c r="U1505" s="889">
        <v>22152.5</v>
      </c>
      <c r="V1505" s="1021">
        <v>139</v>
      </c>
      <c r="W1505" s="1021">
        <v>4</v>
      </c>
      <c r="X1505" s="1628">
        <v>397575.11</v>
      </c>
      <c r="Y1505" s="1631">
        <v>0</v>
      </c>
      <c r="Z1505" s="1632">
        <v>170711.98</v>
      </c>
      <c r="AA1505" s="889">
        <f>SUM(Table15[[#This Row],[PCTS Investment Amount]:[PCTS Retirement Amount]])</f>
        <v>568287.09</v>
      </c>
      <c r="AB1505" s="893">
        <v>45880</v>
      </c>
      <c r="AC1505" s="894" t="s">
        <v>709</v>
      </c>
      <c r="AD1505" s="1160" t="s">
        <v>116</v>
      </c>
      <c r="AE1505" s="1634" t="s">
        <v>756</v>
      </c>
      <c r="AF1505" s="895" t="s">
        <v>116</v>
      </c>
      <c r="AG1505" s="940" t="s">
        <v>29</v>
      </c>
      <c r="AH1505" s="1635" t="s">
        <v>376</v>
      </c>
      <c r="AI1505" s="1490" t="s">
        <v>29</v>
      </c>
      <c r="AJ1505" s="1491" t="s">
        <v>29</v>
      </c>
      <c r="AK1505" s="1491" t="s">
        <v>29</v>
      </c>
      <c r="AL1505" s="1030">
        <f>SUM(Table15[[#This Row],[Nicor Initiated DBE]:[Staffing]])/(Table15[[#This Row],[Amount Invoiced]])</f>
        <v>0</v>
      </c>
      <c r="AM1505" s="542" t="s">
        <v>709</v>
      </c>
      <c r="AN1505" s="924"/>
      <c r="AO1505" s="925"/>
      <c r="AP1505" s="926"/>
      <c r="AQ1505" s="926"/>
      <c r="AR1505" s="926"/>
      <c r="AS1505" s="926"/>
      <c r="AT1505" s="926"/>
      <c r="AU1505" s="926"/>
      <c r="AV1505" s="926"/>
      <c r="AW1505" s="927"/>
      <c r="AX1505" s="926"/>
      <c r="AY1505" s="1538" t="s">
        <v>29</v>
      </c>
      <c r="AZ1505" s="1530"/>
      <c r="BA1505" s="1643">
        <v>3</v>
      </c>
      <c r="BB1505" s="911" t="s">
        <v>9064</v>
      </c>
      <c r="BC1505" s="1649" t="s">
        <v>745</v>
      </c>
      <c r="BD1505" s="913" t="s">
        <v>1167</v>
      </c>
      <c r="BE1505" s="914" t="s">
        <v>709</v>
      </c>
      <c r="BF1505" s="914" t="s">
        <v>709</v>
      </c>
      <c r="BG1505" s="1652" t="s">
        <v>709</v>
      </c>
      <c r="BH1505" s="1023" t="s">
        <v>9065</v>
      </c>
      <c r="BI1505" s="1656" t="s">
        <v>709</v>
      </c>
      <c r="BJ1505" s="916" t="s">
        <v>709</v>
      </c>
      <c r="BK1505" s="916" t="s">
        <v>709</v>
      </c>
      <c r="BL1505" s="916" t="s">
        <v>116</v>
      </c>
      <c r="BM1505" s="916" t="s">
        <v>709</v>
      </c>
      <c r="BN1505" s="916" t="s">
        <v>709</v>
      </c>
      <c r="BO1505" s="916" t="s">
        <v>709</v>
      </c>
      <c r="BP1505" s="916" t="s">
        <v>709</v>
      </c>
      <c r="BQ1505" s="916">
        <v>25</v>
      </c>
      <c r="BR1505" s="916">
        <v>116</v>
      </c>
      <c r="BS1505" s="916" t="s">
        <v>709</v>
      </c>
      <c r="BT1505" s="916" t="s">
        <v>709</v>
      </c>
      <c r="BU1505" s="916" t="s">
        <v>709</v>
      </c>
      <c r="BV1505" s="916" t="s">
        <v>745</v>
      </c>
      <c r="BW1505" s="916" t="s">
        <v>709</v>
      </c>
      <c r="BX1505" s="916" t="s">
        <v>709</v>
      </c>
      <c r="BY1505" s="916" t="s">
        <v>709</v>
      </c>
      <c r="BZ1505" s="1291" t="s">
        <v>709</v>
      </c>
      <c r="CA1505" s="917" t="s">
        <v>9066</v>
      </c>
      <c r="CB1505" s="916"/>
      <c r="CC1505" s="1481" t="b">
        <v>0</v>
      </c>
      <c r="CD1505" s="879" t="str">
        <f>Table15[[#This Row],[Engineering Number]]&amp;Table15[[#This Row],[WO Number]]&amp;Table15[[#This Row],[Date Assigned to Designer]]&amp;Table15[[#This Row],[Date Completed]]</f>
        <v>COR1088-113153864576945874</v>
      </c>
      <c r="CE1505" s="879"/>
      <c r="CF1505" s="879"/>
      <c r="CG1505" s="879"/>
      <c r="CH1505" s="879"/>
      <c r="CI1505" s="879"/>
      <c r="CJ1505" s="879"/>
      <c r="CK1505" s="879"/>
      <c r="CL1505" s="879"/>
      <c r="CM1505" s="879"/>
      <c r="CN1505" s="879"/>
      <c r="CO1505" s="879"/>
      <c r="CP1505" s="879"/>
      <c r="CQ1505" s="879"/>
      <c r="CR1505" s="879"/>
      <c r="CS1505" s="879"/>
      <c r="CT1505" s="879"/>
      <c r="CU1505" s="879"/>
      <c r="CV1505" s="879"/>
      <c r="CW1505" s="879"/>
      <c r="CX1505" s="879"/>
      <c r="CY1505" s="879"/>
      <c r="CZ1505" s="879"/>
      <c r="DA1505" s="879"/>
      <c r="DB1505" s="879"/>
      <c r="DC1505" s="879"/>
      <c r="DD1505" s="879"/>
      <c r="DE1505" s="879"/>
      <c r="DF1505" s="879"/>
      <c r="DG1505" s="879"/>
      <c r="DH1505" s="879"/>
      <c r="DI1505" s="879"/>
      <c r="DJ1505" s="879"/>
      <c r="DK1505" s="879"/>
      <c r="DL1505" s="879"/>
      <c r="DM1505" s="879"/>
      <c r="DN1505" s="879"/>
      <c r="DO1505" s="879"/>
      <c r="DP1505" s="879"/>
      <c r="DQ1505" s="879"/>
      <c r="DR1505" s="879"/>
      <c r="DS1505" s="879"/>
      <c r="DT1505" s="879"/>
      <c r="DU1505" s="879"/>
      <c r="DV1505" s="879"/>
      <c r="DW1505" s="879"/>
      <c r="DX1505" s="879"/>
      <c r="DY1505" s="879"/>
      <c r="DZ1505" s="879"/>
      <c r="EA1505" s="879"/>
      <c r="EB1505" s="879"/>
      <c r="EC1505" s="879"/>
      <c r="ED1505" s="879"/>
      <c r="EE1505" s="879"/>
      <c r="EF1505" s="879"/>
      <c r="EG1505" s="879"/>
      <c r="EH1505" s="879"/>
      <c r="EI1505" s="879"/>
      <c r="EJ1505" s="879"/>
      <c r="EK1505" s="879"/>
      <c r="EL1505" s="879"/>
      <c r="EM1505" s="879"/>
      <c r="EN1505" s="879"/>
      <c r="EO1505" s="879"/>
      <c r="EP1505" s="879"/>
      <c r="EQ1505" s="879"/>
      <c r="ER1505" s="879"/>
      <c r="ES1505" s="879"/>
      <c r="ET1505" s="879"/>
      <c r="EU1505" s="879"/>
      <c r="EV1505" s="879"/>
      <c r="EW1505" s="879"/>
      <c r="EX1505" s="879"/>
      <c r="EY1505" s="879"/>
      <c r="EZ1505" s="879"/>
      <c r="FA1505" s="879"/>
      <c r="FB1505" s="879"/>
      <c r="FC1505" s="879"/>
      <c r="FD1505" s="879"/>
      <c r="FE1505" s="879"/>
      <c r="FF1505" s="879"/>
      <c r="FG1505" s="879"/>
      <c r="FH1505" s="879"/>
      <c r="FI1505" s="879"/>
      <c r="FJ1505" s="879"/>
      <c r="FK1505" s="879"/>
      <c r="FL1505" s="879"/>
      <c r="FM1505" s="879"/>
      <c r="FN1505" s="879"/>
      <c r="FO1505" s="879"/>
      <c r="FP1505" s="879"/>
      <c r="FQ1505" s="879"/>
      <c r="FR1505" s="879"/>
      <c r="FS1505" s="879"/>
      <c r="FT1505" s="879"/>
      <c r="FU1505" s="879"/>
      <c r="FV1505" s="879"/>
      <c r="FW1505" s="879"/>
      <c r="FX1505" s="879"/>
      <c r="FY1505" s="879"/>
      <c r="FZ1505" s="879"/>
      <c r="GA1505" s="879"/>
      <c r="GB1505" s="879"/>
      <c r="GC1505" s="879"/>
      <c r="GD1505" s="879"/>
      <c r="GE1505" s="879"/>
      <c r="GF1505" s="879"/>
      <c r="GG1505" s="879"/>
      <c r="GH1505" s="879"/>
      <c r="GI1505" s="879"/>
      <c r="GJ1505" s="879"/>
      <c r="GK1505" s="879"/>
      <c r="GL1505" s="879"/>
      <c r="GM1505" s="879"/>
      <c r="GN1505" s="879"/>
      <c r="GO1505" s="879"/>
      <c r="GP1505" s="879"/>
      <c r="GQ1505" s="879"/>
      <c r="GR1505" s="879"/>
      <c r="GS1505" s="879"/>
      <c r="GT1505" s="879"/>
      <c r="GU1505" s="879"/>
      <c r="GV1505" s="879"/>
      <c r="GW1505" s="879"/>
      <c r="GX1505" s="879"/>
      <c r="GY1505" s="879"/>
      <c r="GZ1505" s="879"/>
      <c r="HA1505" s="879"/>
      <c r="HB1505" s="879"/>
      <c r="HC1505" s="879"/>
      <c r="HD1505" s="879"/>
      <c r="HE1505" s="879"/>
      <c r="HF1505" s="879"/>
      <c r="HG1505" s="879"/>
      <c r="HH1505" s="879"/>
      <c r="HI1505" s="879"/>
      <c r="HJ1505" s="879"/>
      <c r="HK1505" s="879"/>
      <c r="HL1505" s="879"/>
      <c r="HM1505" s="879"/>
      <c r="HN1505" s="879"/>
      <c r="HO1505" s="879"/>
      <c r="HP1505" s="879"/>
      <c r="HQ1505" s="879"/>
      <c r="HR1505" s="879"/>
      <c r="HS1505" s="879"/>
      <c r="HT1505" s="879"/>
      <c r="HU1505" s="879"/>
      <c r="HV1505" s="879"/>
      <c r="HW1505" s="879"/>
      <c r="HX1505" s="879"/>
      <c r="HY1505" s="879"/>
      <c r="HZ1505" s="879"/>
      <c r="IA1505" s="879"/>
      <c r="IB1505" s="879"/>
      <c r="IC1505" s="879"/>
      <c r="ID1505" s="879"/>
      <c r="IE1505" s="879"/>
      <c r="IF1505" s="879"/>
      <c r="IG1505" s="879"/>
      <c r="IH1505" s="879"/>
      <c r="II1505" s="879"/>
      <c r="IJ1505" s="879"/>
      <c r="IK1505" s="879"/>
      <c r="IL1505" s="879"/>
      <c r="IM1505" s="879"/>
      <c r="IN1505" s="879"/>
      <c r="IO1505" s="879"/>
      <c r="IP1505" s="879"/>
      <c r="IQ1505" s="879"/>
      <c r="IR1505" s="879"/>
      <c r="IS1505" s="879"/>
      <c r="IT1505" s="879"/>
      <c r="IU1505" s="879"/>
      <c r="IV1505" s="879"/>
      <c r="IW1505" s="879"/>
      <c r="IX1505" s="879"/>
      <c r="IY1505" s="879"/>
      <c r="IZ1505" s="879"/>
      <c r="JA1505" s="879"/>
      <c r="JB1505" s="879"/>
      <c r="JC1505" s="879"/>
      <c r="JD1505" s="879"/>
      <c r="JE1505" s="879"/>
      <c r="JF1505" s="879"/>
      <c r="JG1505" s="879"/>
      <c r="JH1505" s="879"/>
      <c r="JI1505" s="879"/>
      <c r="JJ1505" s="879"/>
      <c r="JK1505" s="879"/>
      <c r="JL1505" s="879"/>
      <c r="JM1505" s="879"/>
      <c r="JN1505" s="879"/>
      <c r="JO1505" s="879"/>
      <c r="JP1505" s="879"/>
      <c r="JQ1505" s="879"/>
      <c r="JR1505" s="879"/>
      <c r="JS1505" s="879"/>
      <c r="JT1505" s="879"/>
      <c r="JU1505" s="879"/>
      <c r="JV1505" s="879"/>
      <c r="JW1505" s="879"/>
      <c r="JX1505" s="879"/>
      <c r="JY1505" s="879"/>
      <c r="JZ1505" s="879"/>
      <c r="KA1505" s="879"/>
      <c r="KB1505" s="879"/>
      <c r="KC1505" s="879"/>
      <c r="KD1505" s="879"/>
      <c r="KE1505" s="879"/>
      <c r="KF1505" s="879"/>
      <c r="KG1505" s="879"/>
      <c r="KH1505" s="879"/>
      <c r="KI1505" s="879"/>
      <c r="KJ1505" s="879"/>
      <c r="KK1505" s="879"/>
      <c r="KL1505" s="879"/>
      <c r="KM1505" s="879"/>
      <c r="KN1505" s="879"/>
      <c r="KO1505" s="879"/>
      <c r="KP1505" s="879"/>
      <c r="KQ1505" s="879"/>
      <c r="KR1505" s="879"/>
      <c r="KS1505" s="879"/>
      <c r="KT1505" s="879"/>
      <c r="KU1505" s="879"/>
      <c r="KV1505" s="879"/>
      <c r="KW1505" s="879"/>
      <c r="KX1505" s="879"/>
      <c r="KY1505" s="879"/>
      <c r="KZ1505" s="879"/>
      <c r="LA1505" s="879"/>
      <c r="LB1505" s="879"/>
      <c r="LC1505" s="879"/>
      <c r="LD1505" s="879"/>
      <c r="LE1505" s="879"/>
      <c r="LF1505" s="879"/>
      <c r="LG1505" s="879"/>
      <c r="LH1505" s="879"/>
      <c r="LI1505" s="879"/>
      <c r="LJ1505" s="879"/>
      <c r="LK1505" s="879"/>
      <c r="LL1505" s="879"/>
      <c r="LM1505" s="879"/>
      <c r="LN1505" s="879"/>
      <c r="LO1505" s="879"/>
      <c r="LP1505" s="879"/>
      <c r="LQ1505" s="879"/>
      <c r="LR1505" s="879"/>
      <c r="LS1505" s="879"/>
      <c r="LT1505" s="879"/>
      <c r="LU1505" s="879"/>
      <c r="LV1505" s="879"/>
      <c r="LW1505" s="879"/>
      <c r="LX1505" s="879"/>
      <c r="LY1505" s="879"/>
      <c r="LZ1505" s="879"/>
      <c r="MA1505" s="879"/>
      <c r="MB1505" s="879"/>
      <c r="MC1505" s="879"/>
      <c r="MD1505" s="879"/>
      <c r="ME1505" s="879"/>
      <c r="MF1505" s="879"/>
      <c r="MG1505" s="879"/>
      <c r="MH1505" s="879"/>
      <c r="MI1505" s="879"/>
      <c r="MJ1505" s="879"/>
      <c r="MK1505" s="879"/>
      <c r="ML1505" s="879"/>
      <c r="MM1505" s="879"/>
      <c r="MN1505" s="879"/>
      <c r="MO1505" s="879"/>
      <c r="MP1505" s="879"/>
      <c r="MQ1505" s="879"/>
      <c r="MR1505" s="879"/>
      <c r="MS1505" s="879"/>
      <c r="MT1505" s="879"/>
      <c r="MU1505" s="879"/>
      <c r="MV1505" s="879"/>
      <c r="MW1505" s="879"/>
      <c r="MX1505" s="879"/>
      <c r="MY1505" s="879"/>
      <c r="MZ1505" s="879"/>
      <c r="NA1505" s="879"/>
      <c r="NB1505" s="879"/>
      <c r="NC1505" s="879"/>
      <c r="ND1505" s="879"/>
      <c r="NE1505" s="879"/>
      <c r="NF1505" s="879"/>
      <c r="NG1505" s="879"/>
      <c r="NH1505" s="879"/>
      <c r="NI1505" s="879"/>
      <c r="NJ1505" s="879"/>
      <c r="NK1505" s="879"/>
      <c r="NL1505" s="879"/>
      <c r="NM1505" s="879"/>
      <c r="NN1505" s="879"/>
      <c r="NO1505" s="879"/>
      <c r="NP1505" s="879"/>
      <c r="NQ1505" s="879"/>
      <c r="NR1505" s="879"/>
      <c r="NS1505" s="879"/>
      <c r="NT1505" s="879"/>
      <c r="NU1505" s="879"/>
      <c r="NV1505" s="879"/>
      <c r="NW1505" s="879"/>
      <c r="NX1505" s="879"/>
      <c r="NY1505" s="879"/>
      <c r="NZ1505" s="879"/>
      <c r="OA1505" s="879"/>
      <c r="OB1505" s="879"/>
      <c r="OC1505" s="879"/>
      <c r="OD1505" s="879"/>
      <c r="OE1505" s="879"/>
      <c r="OF1505" s="879"/>
      <c r="OG1505" s="879"/>
      <c r="OH1505" s="879"/>
      <c r="OI1505" s="879"/>
      <c r="OJ1505" s="879"/>
      <c r="OK1505" s="879"/>
      <c r="OL1505" s="879"/>
      <c r="OM1505" s="879"/>
      <c r="ON1505" s="879"/>
      <c r="OO1505" s="879"/>
      <c r="OP1505" s="879"/>
      <c r="OQ1505" s="879"/>
      <c r="OR1505" s="879"/>
      <c r="OS1505" s="879"/>
      <c r="OT1505" s="879"/>
      <c r="OU1505" s="879"/>
      <c r="OV1505" s="879"/>
      <c r="OW1505" s="879"/>
      <c r="OX1505" s="879"/>
      <c r="OY1505" s="879"/>
      <c r="OZ1505" s="879"/>
      <c r="PA1505" s="879"/>
      <c r="PB1505" s="879"/>
      <c r="PC1505" s="879"/>
      <c r="PD1505" s="879"/>
      <c r="PE1505" s="879"/>
      <c r="PF1505" s="879"/>
      <c r="PG1505" s="879"/>
      <c r="PH1505" s="879"/>
      <c r="PI1505" s="879"/>
      <c r="PJ1505" s="879"/>
      <c r="PK1505" s="879"/>
      <c r="PL1505" s="879"/>
      <c r="PM1505" s="879"/>
      <c r="PN1505" s="879"/>
      <c r="PO1505" s="879"/>
      <c r="PP1505" s="879"/>
      <c r="PQ1505" s="879"/>
      <c r="PR1505" s="879"/>
      <c r="PS1505" s="879"/>
      <c r="PT1505" s="879"/>
      <c r="PU1505" s="879"/>
      <c r="PV1505" s="879"/>
      <c r="PW1505" s="879"/>
      <c r="PX1505" s="879"/>
      <c r="PY1505" s="879"/>
      <c r="PZ1505" s="879"/>
      <c r="QA1505" s="879"/>
      <c r="QB1505" s="879"/>
      <c r="QC1505" s="879"/>
      <c r="QD1505" s="879"/>
      <c r="QE1505" s="879"/>
      <c r="QF1505" s="879"/>
      <c r="QG1505" s="879"/>
      <c r="QH1505" s="879"/>
      <c r="QI1505" s="879"/>
      <c r="QJ1505" s="879"/>
      <c r="QK1505" s="879"/>
      <c r="QL1505" s="879"/>
      <c r="QM1505" s="879"/>
      <c r="QN1505" s="879"/>
      <c r="QO1505" s="879"/>
      <c r="QP1505" s="879"/>
      <c r="QQ1505" s="879"/>
      <c r="QR1505" s="879"/>
      <c r="QS1505" s="879"/>
      <c r="QT1505" s="879"/>
      <c r="QU1505" s="879"/>
      <c r="QV1505" s="879"/>
      <c r="QW1505" s="879"/>
      <c r="QX1505" s="879"/>
      <c r="QY1505" s="879"/>
      <c r="QZ1505" s="879"/>
      <c r="RA1505" s="879"/>
      <c r="RB1505" s="879"/>
      <c r="RC1505" s="879"/>
      <c r="RD1505" s="879"/>
      <c r="RE1505" s="879"/>
      <c r="RF1505" s="879"/>
      <c r="RG1505" s="879"/>
      <c r="RH1505" s="879"/>
      <c r="RI1505" s="879"/>
      <c r="RJ1505" s="879"/>
      <c r="RK1505" s="879"/>
      <c r="RL1505" s="879"/>
      <c r="RM1505" s="879"/>
      <c r="RN1505" s="879"/>
      <c r="RO1505" s="879"/>
      <c r="RP1505" s="879"/>
      <c r="RQ1505" s="879"/>
      <c r="RR1505" s="879"/>
      <c r="RS1505" s="879"/>
      <c r="RT1505" s="879"/>
      <c r="RU1505" s="879"/>
      <c r="RV1505" s="879"/>
      <c r="RW1505" s="879"/>
      <c r="RX1505" s="879"/>
      <c r="RY1505" s="879"/>
      <c r="RZ1505" s="879"/>
      <c r="SA1505" s="879"/>
      <c r="SB1505" s="879"/>
      <c r="SC1505" s="879"/>
      <c r="SD1505" s="879"/>
      <c r="SE1505" s="879"/>
      <c r="SF1505" s="879"/>
      <c r="SG1505" s="879"/>
      <c r="SH1505" s="879"/>
      <c r="SI1505" s="879"/>
      <c r="SJ1505" s="879"/>
      <c r="SK1505" s="879"/>
      <c r="SL1505" s="879"/>
      <c r="SM1505" s="879"/>
      <c r="SN1505" s="879"/>
      <c r="SO1505" s="879"/>
      <c r="SP1505" s="879"/>
      <c r="SQ1505" s="879"/>
      <c r="SR1505" s="879"/>
      <c r="SS1505" s="879"/>
      <c r="ST1505" s="879"/>
      <c r="SU1505" s="879"/>
      <c r="SV1505" s="879"/>
      <c r="SW1505" s="879"/>
      <c r="SX1505" s="879"/>
      <c r="SY1505" s="879"/>
      <c r="SZ1505" s="879"/>
      <c r="TA1505" s="879"/>
      <c r="TB1505" s="879"/>
      <c r="TC1505" s="879"/>
      <c r="TD1505" s="879"/>
      <c r="TE1505" s="879"/>
      <c r="TF1505" s="879"/>
      <c r="TG1505" s="879"/>
      <c r="TH1505" s="879"/>
      <c r="TI1505" s="879"/>
      <c r="TJ1505" s="879"/>
      <c r="TK1505" s="879"/>
      <c r="TL1505" s="879"/>
      <c r="TM1505" s="879"/>
      <c r="TN1505" s="879"/>
      <c r="TO1505" s="879"/>
      <c r="TP1505" s="879"/>
      <c r="TQ1505" s="879"/>
      <c r="TR1505" s="879"/>
      <c r="TS1505" s="879"/>
      <c r="TT1505" s="879"/>
      <c r="TU1505" s="879"/>
      <c r="TV1505" s="879"/>
      <c r="TW1505" s="879"/>
      <c r="TX1505" s="879"/>
      <c r="TY1505" s="879"/>
      <c r="TZ1505" s="879"/>
      <c r="UA1505" s="879"/>
      <c r="UB1505" s="879"/>
      <c r="UC1505" s="879"/>
      <c r="UD1505" s="879"/>
      <c r="UE1505" s="879"/>
      <c r="UF1505" s="879"/>
      <c r="UG1505" s="879"/>
      <c r="UH1505" s="879"/>
      <c r="UI1505" s="879"/>
      <c r="UJ1505" s="879"/>
      <c r="UK1505" s="879"/>
      <c r="UL1505" s="879"/>
      <c r="UM1505" s="879"/>
      <c r="UN1505" s="879"/>
      <c r="UO1505" s="879"/>
      <c r="UP1505" s="879"/>
      <c r="UQ1505" s="879"/>
      <c r="UR1505" s="879"/>
      <c r="US1505" s="879"/>
      <c r="UT1505" s="879"/>
      <c r="UU1505" s="879"/>
      <c r="UV1505" s="879"/>
      <c r="UW1505" s="879"/>
      <c r="UX1505" s="879"/>
      <c r="UY1505" s="879"/>
      <c r="UZ1505" s="879"/>
      <c r="VA1505" s="879"/>
      <c r="VB1505" s="879"/>
      <c r="VC1505" s="879"/>
      <c r="VD1505" s="879"/>
      <c r="VE1505" s="879"/>
      <c r="VF1505" s="879"/>
      <c r="VG1505" s="879"/>
      <c r="VH1505" s="879"/>
      <c r="VI1505" s="879"/>
      <c r="VJ1505" s="879"/>
      <c r="VK1505" s="879"/>
      <c r="VL1505" s="879"/>
      <c r="VM1505" s="879"/>
      <c r="VN1505" s="879"/>
      <c r="VO1505" s="879"/>
      <c r="VP1505" s="879"/>
      <c r="VQ1505" s="879"/>
      <c r="VR1505" s="879"/>
      <c r="VS1505" s="879"/>
      <c r="VT1505" s="879"/>
      <c r="VU1505" s="879"/>
      <c r="VV1505" s="879"/>
      <c r="VW1505" s="879"/>
      <c r="VX1505" s="879"/>
      <c r="VY1505" s="879"/>
      <c r="VZ1505" s="879"/>
      <c r="WA1505" s="879"/>
      <c r="WB1505" s="879"/>
      <c r="WC1505" s="879"/>
      <c r="WD1505" s="879"/>
      <c r="WE1505" s="879"/>
      <c r="WF1505" s="879"/>
      <c r="WG1505" s="879"/>
      <c r="WH1505" s="879"/>
      <c r="WI1505" s="879"/>
      <c r="WJ1505" s="879"/>
      <c r="WK1505" s="879"/>
      <c r="WL1505" s="879"/>
      <c r="WM1505" s="879"/>
      <c r="WN1505" s="879"/>
      <c r="WO1505" s="879"/>
      <c r="WP1505" s="879"/>
      <c r="WQ1505" s="879"/>
      <c r="WR1505" s="879"/>
      <c r="WS1505" s="879"/>
      <c r="WT1505" s="879"/>
      <c r="WU1505" s="879"/>
      <c r="WV1505" s="879"/>
      <c r="WW1505" s="879"/>
      <c r="WX1505" s="879"/>
      <c r="WY1505" s="879"/>
      <c r="WZ1505" s="879"/>
      <c r="XA1505" s="879"/>
      <c r="XB1505" s="879"/>
      <c r="XC1505" s="879"/>
      <c r="XD1505" s="879"/>
      <c r="XE1505" s="879"/>
      <c r="XF1505" s="879"/>
      <c r="XG1505" s="879"/>
      <c r="XH1505" s="879"/>
      <c r="XI1505" s="879"/>
      <c r="XJ1505" s="879"/>
      <c r="XK1505" s="879"/>
      <c r="XL1505" s="879"/>
      <c r="XM1505" s="879"/>
      <c r="XN1505" s="879"/>
      <c r="XO1505" s="879"/>
      <c r="XP1505" s="879"/>
      <c r="XQ1505" s="879"/>
      <c r="XR1505" s="879"/>
      <c r="XS1505" s="879"/>
      <c r="XT1505" s="879"/>
      <c r="XU1505" s="879"/>
      <c r="XV1505" s="879"/>
      <c r="XW1505" s="879"/>
      <c r="XX1505" s="879"/>
      <c r="XY1505" s="879"/>
      <c r="XZ1505" s="879"/>
      <c r="YA1505" s="879"/>
      <c r="YB1505" s="879"/>
      <c r="YC1505" s="879"/>
      <c r="YD1505" s="879"/>
      <c r="YE1505" s="879"/>
      <c r="YF1505" s="879"/>
      <c r="YG1505" s="879"/>
      <c r="YH1505" s="879"/>
      <c r="YI1505" s="879"/>
      <c r="YJ1505" s="879"/>
      <c r="YK1505" s="879"/>
      <c r="YL1505" s="879"/>
      <c r="YM1505" s="879"/>
      <c r="YN1505" s="879"/>
      <c r="YO1505" s="879"/>
      <c r="YP1505" s="879"/>
      <c r="YQ1505" s="879"/>
      <c r="YR1505" s="879"/>
      <c r="YS1505" s="879"/>
      <c r="YT1505" s="879"/>
      <c r="YU1505" s="879"/>
      <c r="YV1505" s="879"/>
      <c r="YW1505" s="879"/>
      <c r="YX1505" s="879"/>
      <c r="YY1505" s="879"/>
      <c r="YZ1505" s="879"/>
      <c r="ZA1505" s="879"/>
      <c r="ZB1505" s="879"/>
      <c r="ZC1505" s="879"/>
      <c r="ZD1505" s="879"/>
      <c r="ZE1505" s="879"/>
      <c r="ZF1505" s="879"/>
      <c r="ZG1505" s="879"/>
      <c r="ZH1505" s="879"/>
      <c r="ZI1505" s="879"/>
      <c r="ZJ1505" s="879"/>
      <c r="ZK1505" s="879"/>
      <c r="ZL1505" s="879"/>
      <c r="ZM1505" s="879"/>
      <c r="ZN1505" s="879"/>
      <c r="ZO1505" s="879"/>
      <c r="ZP1505" s="879"/>
      <c r="ZQ1505" s="879"/>
      <c r="ZR1505" s="879"/>
      <c r="ZS1505" s="879"/>
      <c r="ZT1505" s="879"/>
      <c r="ZU1505" s="879"/>
      <c r="ZV1505" s="879"/>
      <c r="ZW1505" s="879"/>
      <c r="ZX1505" s="879"/>
      <c r="ZY1505" s="879"/>
      <c r="ZZ1505" s="879"/>
      <c r="AAA1505" s="879"/>
      <c r="AAB1505" s="879"/>
      <c r="AAC1505" s="879"/>
      <c r="AAD1505" s="879"/>
      <c r="AAE1505" s="879"/>
      <c r="AAF1505" s="879"/>
      <c r="AAG1505" s="879"/>
      <c r="AAH1505" s="879"/>
      <c r="AAI1505" s="879"/>
      <c r="AAJ1505" s="879"/>
      <c r="AAK1505" s="879"/>
      <c r="AAL1505" s="879"/>
      <c r="AAM1505" s="879"/>
      <c r="AAN1505" s="879"/>
      <c r="AAO1505" s="879"/>
      <c r="AAP1505" s="879"/>
      <c r="AAQ1505" s="879"/>
      <c r="AAR1505" s="879"/>
      <c r="AAS1505" s="879"/>
      <c r="AAT1505" s="879"/>
      <c r="AAU1505" s="879"/>
      <c r="AAV1505" s="879"/>
      <c r="AAW1505" s="879"/>
      <c r="AAX1505" s="879"/>
      <c r="AAY1505" s="879"/>
      <c r="AAZ1505" s="879"/>
      <c r="ABA1505" s="879"/>
      <c r="ABB1505" s="879"/>
      <c r="ABC1505" s="879"/>
      <c r="ABD1505" s="879"/>
      <c r="ABE1505" s="879"/>
      <c r="ABF1505" s="879"/>
      <c r="ABG1505" s="879"/>
      <c r="ABH1505" s="879"/>
      <c r="ABI1505" s="879"/>
      <c r="ABJ1505" s="879"/>
      <c r="ABK1505" s="879"/>
      <c r="ABL1505" s="879"/>
      <c r="ABM1505" s="879"/>
      <c r="ABN1505" s="879"/>
      <c r="ABO1505" s="879"/>
      <c r="ABP1505" s="879"/>
      <c r="ABQ1505" s="879"/>
      <c r="ABR1505" s="879"/>
      <c r="ABS1505" s="879"/>
      <c r="ABT1505" s="879"/>
      <c r="ABU1505" s="879"/>
      <c r="ABV1505" s="879"/>
      <c r="ABW1505" s="879"/>
      <c r="ABX1505" s="879"/>
      <c r="ABY1505" s="879"/>
      <c r="ABZ1505" s="879"/>
      <c r="ACA1505" s="879"/>
      <c r="ACB1505" s="879"/>
      <c r="ACC1505" s="879"/>
      <c r="ACD1505" s="879"/>
      <c r="ACE1505" s="879"/>
      <c r="ACF1505" s="879"/>
      <c r="ACG1505" s="879"/>
      <c r="ACH1505" s="879"/>
      <c r="ACI1505" s="879"/>
      <c r="ACJ1505" s="879"/>
      <c r="ACK1505" s="879"/>
      <c r="ACL1505" s="879"/>
      <c r="ACM1505" s="879"/>
      <c r="ACN1505" s="879"/>
      <c r="ACO1505" s="879"/>
      <c r="ACP1505" s="879"/>
      <c r="ACQ1505" s="879"/>
      <c r="ACR1505" s="879"/>
      <c r="ACS1505" s="879"/>
      <c r="ACT1505" s="879"/>
      <c r="ACU1505" s="879"/>
      <c r="ACV1505" s="879"/>
      <c r="ACW1505" s="879"/>
      <c r="ACX1505" s="879"/>
      <c r="ACY1505" s="879"/>
      <c r="ACZ1505" s="879"/>
      <c r="ADA1505" s="879"/>
      <c r="ADB1505" s="879"/>
      <c r="ADC1505" s="879"/>
      <c r="ADD1505" s="879"/>
      <c r="ADE1505" s="879"/>
      <c r="ADF1505" s="879"/>
      <c r="ADG1505" s="879"/>
      <c r="ADH1505" s="879"/>
      <c r="ADI1505" s="879"/>
      <c r="ADJ1505" s="879"/>
      <c r="ADK1505" s="879"/>
      <c r="ADL1505" s="879"/>
      <c r="ADM1505" s="879"/>
      <c r="ADN1505" s="879"/>
      <c r="ADO1505" s="879"/>
      <c r="ADP1505" s="879"/>
      <c r="ADQ1505" s="879"/>
      <c r="ADR1505" s="879"/>
      <c r="ADS1505" s="879"/>
      <c r="ADT1505" s="879"/>
      <c r="ADU1505" s="879"/>
      <c r="ADV1505" s="879"/>
      <c r="ADW1505" s="879"/>
      <c r="ADX1505" s="879"/>
      <c r="ADY1505" s="879"/>
      <c r="ADZ1505" s="879"/>
      <c r="AEA1505" s="879"/>
      <c r="AEB1505" s="879"/>
      <c r="AEC1505" s="879"/>
      <c r="AED1505" s="879"/>
      <c r="AEE1505" s="879"/>
      <c r="AEF1505" s="879"/>
      <c r="AEG1505" s="879"/>
      <c r="AEH1505" s="879"/>
      <c r="AEI1505" s="879"/>
      <c r="AEJ1505" s="879"/>
      <c r="AEK1505" s="879"/>
      <c r="AEL1505" s="879"/>
      <c r="AEM1505" s="879"/>
      <c r="AEN1505" s="879"/>
      <c r="AEO1505" s="879"/>
      <c r="AEP1505" s="879"/>
      <c r="AEQ1505" s="879"/>
      <c r="AER1505" s="879"/>
      <c r="AES1505" s="879"/>
      <c r="AET1505" s="879"/>
      <c r="AEU1505" s="879"/>
      <c r="AEV1505" s="879"/>
      <c r="AEW1505" s="879"/>
      <c r="AEX1505" s="879"/>
      <c r="AEY1505" s="879"/>
      <c r="AEZ1505" s="879"/>
      <c r="AFA1505" s="879"/>
      <c r="AFB1505" s="879"/>
      <c r="AFC1505" s="879"/>
      <c r="AFD1505" s="879"/>
      <c r="AFE1505" s="879"/>
      <c r="AFF1505" s="879"/>
      <c r="AFG1505" s="879"/>
      <c r="AFH1505" s="879"/>
      <c r="AFI1505" s="879"/>
      <c r="AFJ1505" s="879"/>
      <c r="AFK1505" s="879"/>
      <c r="AFL1505" s="879"/>
      <c r="AFM1505" s="879"/>
      <c r="AFN1505" s="879"/>
      <c r="AFO1505" s="879"/>
      <c r="AFP1505" s="879"/>
      <c r="AFQ1505" s="879"/>
      <c r="AFR1505" s="879"/>
      <c r="AFS1505" s="879"/>
      <c r="AFT1505" s="879"/>
      <c r="AFU1505" s="879"/>
      <c r="AFV1505" s="879"/>
      <c r="AFW1505" s="879"/>
      <c r="AFX1505" s="879"/>
      <c r="AFY1505" s="879"/>
      <c r="AFZ1505" s="879"/>
      <c r="AGA1505" s="879"/>
      <c r="AGB1505" s="879"/>
      <c r="AGC1505" s="879"/>
      <c r="AGD1505" s="879"/>
      <c r="AGE1505" s="879"/>
      <c r="AGF1505" s="879"/>
      <c r="AGG1505" s="879"/>
      <c r="AGH1505" s="879"/>
      <c r="AGI1505" s="879"/>
      <c r="AGJ1505" s="879"/>
      <c r="AGK1505" s="879"/>
      <c r="AGL1505" s="879"/>
      <c r="AGM1505" s="879"/>
      <c r="AGN1505" s="879"/>
      <c r="AGO1505" s="879"/>
      <c r="AGP1505" s="879"/>
      <c r="AGQ1505" s="879"/>
      <c r="AGR1505" s="879"/>
      <c r="AGS1505" s="879"/>
      <c r="AGT1505" s="879"/>
      <c r="AGU1505" s="879"/>
      <c r="AGV1505" s="879"/>
      <c r="AGW1505" s="879"/>
      <c r="AGX1505" s="879"/>
      <c r="AGY1505" s="879"/>
      <c r="AGZ1505" s="879"/>
      <c r="AHA1505" s="879"/>
      <c r="AHB1505" s="879"/>
      <c r="AHC1505" s="879"/>
      <c r="AHD1505" s="879"/>
      <c r="AHE1505" s="879"/>
      <c r="AHF1505" s="879"/>
      <c r="AHG1505" s="879"/>
      <c r="AHH1505" s="879"/>
      <c r="AHI1505" s="879"/>
      <c r="AHJ1505" s="879"/>
      <c r="AHK1505" s="879"/>
      <c r="AHL1505" s="879"/>
      <c r="AHM1505" s="879"/>
      <c r="AHN1505" s="879"/>
      <c r="AHO1505" s="879"/>
      <c r="AHP1505" s="879"/>
      <c r="AHQ1505" s="879"/>
      <c r="AHR1505" s="879"/>
      <c r="AHS1505" s="879"/>
      <c r="AHT1505" s="879"/>
      <c r="AHU1505" s="879"/>
      <c r="AHV1505" s="879"/>
      <c r="AHW1505" s="879"/>
      <c r="AHX1505" s="879"/>
      <c r="AHY1505" s="879"/>
      <c r="AHZ1505" s="879"/>
      <c r="AIA1505" s="879"/>
      <c r="AIB1505" s="879"/>
      <c r="AIC1505" s="879"/>
      <c r="AID1505" s="879"/>
      <c r="AIE1505" s="879"/>
      <c r="AIF1505" s="879"/>
      <c r="AIG1505" s="879"/>
      <c r="AIH1505" s="879"/>
      <c r="AII1505" s="879"/>
      <c r="AIJ1505" s="879"/>
      <c r="AIK1505" s="879"/>
      <c r="AIL1505" s="879"/>
      <c r="AIM1505" s="879"/>
      <c r="AIN1505" s="879"/>
      <c r="AIO1505" s="879"/>
      <c r="AIP1505" s="879"/>
      <c r="AIQ1505" s="879"/>
      <c r="AIR1505" s="879"/>
      <c r="AIS1505" s="879"/>
      <c r="AIT1505" s="879"/>
      <c r="AIU1505" s="879"/>
      <c r="AIV1505" s="879"/>
      <c r="AIW1505" s="879"/>
      <c r="AIX1505" s="879"/>
      <c r="AIY1505" s="879"/>
      <c r="AIZ1505" s="879"/>
      <c r="AJA1505" s="879"/>
      <c r="AJB1505" s="879"/>
      <c r="AJC1505" s="879"/>
      <c r="AJD1505" s="879"/>
      <c r="AJE1505" s="879"/>
      <c r="AJF1505" s="879"/>
      <c r="AJG1505" s="879"/>
      <c r="AJH1505" s="879"/>
      <c r="AJI1505" s="879"/>
      <c r="AJJ1505" s="879"/>
      <c r="AJK1505" s="879"/>
      <c r="AJL1505" s="879"/>
      <c r="AJM1505" s="879"/>
      <c r="AJN1505" s="879"/>
      <c r="AJO1505" s="879"/>
      <c r="AJP1505" s="879"/>
      <c r="AJQ1505" s="879"/>
      <c r="AJR1505" s="879"/>
      <c r="AJS1505" s="879"/>
      <c r="AJT1505" s="879"/>
      <c r="AJU1505" s="879"/>
      <c r="AJV1505" s="879"/>
      <c r="AJW1505" s="879"/>
      <c r="AJX1505" s="879"/>
      <c r="AJY1505" s="879"/>
      <c r="AJZ1505" s="879"/>
      <c r="AKA1505" s="879"/>
      <c r="AKB1505" s="879"/>
      <c r="AKC1505" s="879"/>
      <c r="AKD1505" s="879"/>
      <c r="AKE1505" s="879"/>
      <c r="AKF1505" s="879"/>
      <c r="AKG1505" s="879"/>
      <c r="AKH1505" s="879"/>
      <c r="AKI1505" s="879"/>
      <c r="AKJ1505" s="879"/>
      <c r="AKK1505" s="879"/>
      <c r="AKL1505" s="879"/>
      <c r="AKM1505" s="879"/>
      <c r="AKN1505" s="879"/>
      <c r="AKO1505" s="879"/>
      <c r="AKP1505" s="879"/>
      <c r="AKQ1505" s="879"/>
      <c r="AKR1505" s="879"/>
      <c r="AKS1505" s="879"/>
      <c r="AKT1505" s="879"/>
      <c r="AKU1505" s="879"/>
      <c r="AKV1505" s="879"/>
      <c r="AKW1505" s="879"/>
      <c r="AKX1505" s="879"/>
      <c r="AKY1505" s="879"/>
      <c r="AKZ1505" s="879"/>
      <c r="ALA1505" s="879"/>
      <c r="ALB1505" s="879"/>
      <c r="ALC1505" s="879"/>
      <c r="ALD1505" s="879"/>
      <c r="ALE1505" s="879"/>
      <c r="ALF1505" s="879"/>
      <c r="ALG1505" s="879"/>
      <c r="ALH1505" s="879"/>
      <c r="ALI1505" s="879"/>
      <c r="ALJ1505" s="879"/>
      <c r="ALK1505" s="879"/>
      <c r="ALL1505" s="879"/>
      <c r="ALM1505" s="879"/>
      <c r="ALN1505" s="879"/>
      <c r="ALO1505" s="879"/>
      <c r="ALP1505" s="879"/>
      <c r="ALQ1505" s="879"/>
      <c r="ALR1505" s="879"/>
      <c r="ALS1505" s="879"/>
      <c r="ALT1505" s="879"/>
      <c r="ALU1505" s="879"/>
      <c r="ALV1505" s="879"/>
      <c r="ALW1505" s="879"/>
      <c r="ALX1505" s="879"/>
      <c r="ALY1505" s="879"/>
      <c r="ALZ1505" s="879"/>
      <c r="AMA1505" s="879"/>
      <c r="AMB1505" s="879"/>
      <c r="AMC1505" s="879"/>
      <c r="AMD1505" s="879"/>
      <c r="AME1505" s="879"/>
      <c r="AMF1505" s="879"/>
      <c r="AMG1505" s="879"/>
      <c r="AMH1505" s="879"/>
      <c r="AMI1505" s="879"/>
      <c r="AMJ1505" s="879"/>
      <c r="AMK1505" s="879"/>
      <c r="AML1505" s="879"/>
      <c r="AMM1505" s="879"/>
      <c r="AMN1505" s="879"/>
      <c r="AMO1505" s="879"/>
      <c r="AMP1505" s="879"/>
      <c r="AMQ1505" s="879"/>
      <c r="AMR1505" s="879"/>
      <c r="AMS1505" s="879"/>
      <c r="AMT1505" s="879"/>
      <c r="AMU1505" s="879"/>
      <c r="AMV1505" s="879"/>
      <c r="AMW1505" s="879"/>
      <c r="AMX1505" s="879"/>
      <c r="AMY1505" s="879"/>
      <c r="AMZ1505" s="879"/>
      <c r="ANA1505" s="879"/>
      <c r="ANB1505" s="879"/>
      <c r="ANC1505" s="879"/>
      <c r="AND1505" s="879"/>
      <c r="ANE1505" s="879"/>
      <c r="ANF1505" s="879"/>
      <c r="ANG1505" s="879"/>
      <c r="ANH1505" s="879"/>
      <c r="ANI1505" s="879"/>
      <c r="ANJ1505" s="879"/>
      <c r="ANK1505" s="879"/>
      <c r="ANL1505" s="879"/>
      <c r="ANM1505" s="879"/>
      <c r="ANN1505" s="879"/>
      <c r="ANO1505" s="879"/>
      <c r="ANP1505" s="879"/>
      <c r="ANQ1505" s="879"/>
      <c r="ANR1505" s="879"/>
      <c r="ANS1505" s="879"/>
      <c r="ANT1505" s="879"/>
      <c r="ANU1505" s="879"/>
      <c r="ANV1505" s="879"/>
      <c r="ANW1505" s="879"/>
      <c r="ANX1505" s="879"/>
      <c r="ANY1505" s="879"/>
      <c r="ANZ1505" s="879"/>
      <c r="AOA1505" s="879"/>
      <c r="AOB1505" s="879"/>
      <c r="AOC1505" s="879"/>
      <c r="AOD1505" s="879"/>
      <c r="AOE1505" s="879"/>
      <c r="AOF1505" s="879"/>
      <c r="AOG1505" s="879"/>
      <c r="AOH1505" s="879"/>
      <c r="AOI1505" s="879"/>
      <c r="AOJ1505" s="879"/>
      <c r="AOK1505" s="879"/>
      <c r="AOL1505" s="879"/>
      <c r="AOM1505" s="879"/>
      <c r="AON1505" s="879"/>
      <c r="AOO1505" s="879"/>
      <c r="AOP1505" s="879"/>
      <c r="AOQ1505" s="879"/>
      <c r="AOR1505" s="879"/>
      <c r="AOS1505" s="879"/>
      <c r="AOT1505" s="879"/>
      <c r="AOU1505" s="879"/>
      <c r="AOV1505" s="879"/>
      <c r="AOW1505" s="879"/>
      <c r="AOX1505" s="879"/>
      <c r="AOY1505" s="879"/>
      <c r="AOZ1505" s="879"/>
      <c r="APA1505" s="879"/>
      <c r="APB1505" s="879"/>
      <c r="APC1505" s="879"/>
      <c r="APD1505" s="879"/>
      <c r="APE1505" s="879"/>
      <c r="APF1505" s="879"/>
      <c r="APG1505" s="879"/>
      <c r="APH1505" s="879"/>
      <c r="API1505" s="879"/>
      <c r="APJ1505" s="879"/>
      <c r="APK1505" s="879"/>
      <c r="APL1505" s="879"/>
      <c r="APM1505" s="879"/>
      <c r="APN1505" s="879"/>
      <c r="APO1505" s="879"/>
      <c r="APP1505" s="879"/>
      <c r="APQ1505" s="879"/>
      <c r="APR1505" s="879"/>
      <c r="APS1505" s="879"/>
      <c r="APT1505" s="879"/>
      <c r="APU1505" s="879"/>
      <c r="APV1505" s="879"/>
      <c r="APW1505" s="879"/>
      <c r="APX1505" s="879"/>
      <c r="APY1505" s="879"/>
      <c r="APZ1505" s="879"/>
      <c r="AQA1505" s="879"/>
      <c r="AQB1505" s="879"/>
      <c r="AQC1505" s="879"/>
      <c r="AQD1505" s="879"/>
      <c r="AQE1505" s="879"/>
      <c r="AQF1505" s="879"/>
      <c r="AQG1505" s="879"/>
      <c r="AQH1505" s="879"/>
      <c r="AQI1505" s="879"/>
      <c r="AQJ1505" s="879"/>
      <c r="AQK1505" s="879"/>
      <c r="AQL1505" s="879"/>
      <c r="AQM1505" s="879"/>
      <c r="AQN1505" s="879"/>
      <c r="AQO1505" s="879"/>
      <c r="AQP1505" s="879"/>
      <c r="AQQ1505" s="879"/>
      <c r="AQR1505" s="879"/>
      <c r="AQS1505" s="879"/>
      <c r="AQT1505" s="879"/>
      <c r="AQU1505" s="879"/>
      <c r="AQV1505" s="879"/>
      <c r="AQW1505" s="879"/>
      <c r="AQX1505" s="879"/>
      <c r="AQY1505" s="879"/>
      <c r="AQZ1505" s="879"/>
      <c r="ARA1505" s="879"/>
      <c r="ARB1505" s="879"/>
      <c r="ARC1505" s="879"/>
      <c r="ARD1505" s="879"/>
      <c r="ARE1505" s="879"/>
      <c r="ARF1505" s="879"/>
      <c r="ARG1505" s="879"/>
      <c r="ARH1505" s="879"/>
      <c r="ARI1505" s="879"/>
      <c r="ARJ1505" s="879"/>
      <c r="ARK1505" s="879"/>
      <c r="ARL1505" s="879"/>
      <c r="ARM1505" s="879"/>
      <c r="ARN1505" s="879"/>
      <c r="ARO1505" s="879"/>
      <c r="ARP1505" s="879"/>
      <c r="ARQ1505" s="879"/>
      <c r="ARR1505" s="879"/>
      <c r="ARS1505" s="879"/>
      <c r="ART1505" s="879"/>
      <c r="ARU1505" s="879"/>
      <c r="ARV1505" s="879"/>
      <c r="ARW1505" s="879"/>
      <c r="ARX1505" s="879"/>
      <c r="ARY1505" s="879"/>
      <c r="ARZ1505" s="879"/>
      <c r="ASA1505" s="879"/>
      <c r="ASB1505" s="879"/>
      <c r="ASC1505" s="879"/>
      <c r="ASD1505" s="879"/>
      <c r="ASE1505" s="879"/>
      <c r="ASF1505" s="879"/>
      <c r="ASG1505" s="879"/>
      <c r="ASH1505" s="879"/>
      <c r="ASI1505" s="879"/>
      <c r="ASJ1505" s="879"/>
      <c r="ASK1505" s="879"/>
      <c r="ASL1505" s="879"/>
      <c r="ASM1505" s="879"/>
      <c r="ASN1505" s="879"/>
      <c r="ASO1505" s="879"/>
      <c r="ASP1505" s="879"/>
      <c r="ASQ1505" s="879"/>
      <c r="ASR1505" s="879"/>
      <c r="ASS1505" s="879"/>
      <c r="AST1505" s="879"/>
      <c r="ASU1505" s="879"/>
      <c r="ASV1505" s="879"/>
      <c r="ASW1505" s="879"/>
      <c r="ASX1505" s="879"/>
      <c r="ASY1505" s="879"/>
      <c r="ASZ1505" s="879"/>
      <c r="ATA1505" s="879"/>
      <c r="ATB1505" s="879"/>
      <c r="ATC1505" s="879"/>
      <c r="ATD1505" s="879"/>
      <c r="ATE1505" s="879"/>
      <c r="ATF1505" s="879"/>
      <c r="ATG1505" s="879"/>
      <c r="ATH1505" s="879"/>
      <c r="ATI1505" s="879"/>
      <c r="ATJ1505" s="879"/>
      <c r="ATK1505" s="879"/>
      <c r="ATL1505" s="879"/>
      <c r="ATM1505" s="879"/>
      <c r="ATN1505" s="879"/>
      <c r="ATO1505" s="879"/>
      <c r="ATP1505" s="879"/>
      <c r="ATQ1505" s="879"/>
      <c r="ATR1505" s="879"/>
      <c r="ATS1505" s="879"/>
      <c r="ATT1505" s="879"/>
      <c r="ATU1505" s="879"/>
      <c r="ATV1505" s="879"/>
      <c r="ATW1505" s="879"/>
      <c r="ATX1505" s="879"/>
      <c r="ATY1505" s="879"/>
      <c r="ATZ1505" s="879"/>
      <c r="AUA1505" s="879"/>
      <c r="AUB1505" s="879"/>
      <c r="AUC1505" s="879"/>
      <c r="AUD1505" s="879"/>
      <c r="AUE1505" s="879"/>
      <c r="AUF1505" s="879"/>
      <c r="AUG1505" s="879"/>
      <c r="AUH1505" s="879"/>
      <c r="AUI1505" s="879"/>
      <c r="AUJ1505" s="879"/>
      <c r="AUK1505" s="879"/>
      <c r="AUL1505" s="879"/>
      <c r="AUM1505" s="879"/>
      <c r="AUN1505" s="879"/>
      <c r="AUO1505" s="879"/>
      <c r="AUP1505" s="879"/>
      <c r="AUQ1505" s="879"/>
      <c r="AUR1505" s="879"/>
      <c r="AUS1505" s="879"/>
      <c r="AUT1505" s="879"/>
      <c r="AUU1505" s="879"/>
      <c r="AUV1505" s="879"/>
      <c r="AUW1505" s="879"/>
      <c r="AUX1505" s="879"/>
      <c r="AUY1505" s="879"/>
      <c r="AUZ1505" s="879"/>
      <c r="AVA1505" s="879"/>
      <c r="AVB1505" s="879"/>
      <c r="AVC1505" s="879"/>
      <c r="AVD1505" s="879"/>
      <c r="AVE1505" s="879"/>
      <c r="AVF1505" s="879"/>
      <c r="AVG1505" s="879"/>
      <c r="AVH1505" s="879"/>
      <c r="AVI1505" s="879"/>
      <c r="AVJ1505" s="879"/>
      <c r="AVK1505" s="879"/>
      <c r="AVL1505" s="879"/>
      <c r="AVM1505" s="879"/>
      <c r="AVN1505" s="879"/>
      <c r="AVO1505" s="879"/>
      <c r="AVP1505" s="879"/>
      <c r="AVQ1505" s="879"/>
      <c r="AVR1505" s="879"/>
      <c r="AVS1505" s="879"/>
      <c r="AVT1505" s="879"/>
      <c r="AVU1505" s="879"/>
      <c r="AVV1505" s="879"/>
      <c r="AVW1505" s="879"/>
      <c r="AVX1505" s="879"/>
      <c r="AVY1505" s="879"/>
      <c r="AVZ1505" s="879"/>
      <c r="AWA1505" s="879"/>
      <c r="AWB1505" s="879"/>
      <c r="AWC1505" s="879"/>
      <c r="AWD1505" s="879"/>
      <c r="AWE1505" s="879"/>
      <c r="AWF1505" s="879"/>
      <c r="AWG1505" s="879"/>
      <c r="AWH1505" s="879"/>
      <c r="AWI1505" s="879"/>
      <c r="AWJ1505" s="879"/>
      <c r="AWK1505" s="879"/>
      <c r="AWL1505" s="879"/>
      <c r="AWM1505" s="879"/>
      <c r="AWN1505" s="879"/>
      <c r="AWO1505" s="879"/>
      <c r="AWP1505" s="879"/>
      <c r="AWQ1505" s="879"/>
      <c r="AWR1505" s="879"/>
      <c r="AWS1505" s="879"/>
      <c r="AWT1505" s="879"/>
      <c r="AWU1505" s="879"/>
      <c r="AWV1505" s="879"/>
      <c r="AWW1505" s="879"/>
      <c r="AWX1505" s="879"/>
      <c r="AWY1505" s="879"/>
      <c r="AWZ1505" s="879"/>
      <c r="AXA1505" s="879"/>
      <c r="AXB1505" s="879"/>
      <c r="AXC1505" s="879"/>
      <c r="AXD1505" s="879"/>
      <c r="AXE1505" s="879"/>
      <c r="AXF1505" s="879"/>
      <c r="AXG1505" s="879"/>
      <c r="AXH1505" s="879"/>
      <c r="AXI1505" s="879"/>
      <c r="AXJ1505" s="879"/>
      <c r="AXK1505" s="879"/>
      <c r="AXL1505" s="879"/>
      <c r="AXM1505" s="879"/>
      <c r="AXN1505" s="879"/>
      <c r="AXO1505" s="879"/>
      <c r="AXP1505" s="879"/>
      <c r="AXQ1505" s="879"/>
      <c r="AXR1505" s="879"/>
      <c r="AXS1505" s="879"/>
      <c r="AXT1505" s="879"/>
      <c r="AXU1505" s="879"/>
      <c r="AXV1505" s="879"/>
      <c r="AXW1505" s="879"/>
      <c r="AXX1505" s="879"/>
      <c r="AXY1505" s="879"/>
      <c r="AXZ1505" s="879"/>
      <c r="AYA1505" s="879"/>
      <c r="AYB1505" s="879"/>
      <c r="AYC1505" s="879"/>
      <c r="AYD1505" s="879"/>
      <c r="AYE1505" s="879"/>
      <c r="AYF1505" s="879"/>
      <c r="AYG1505" s="879"/>
      <c r="AYH1505" s="879"/>
      <c r="AYI1505" s="879"/>
      <c r="AYJ1505" s="879"/>
      <c r="AYK1505" s="879"/>
      <c r="AYL1505" s="879"/>
      <c r="AYM1505" s="879"/>
      <c r="AYN1505" s="879"/>
      <c r="AYO1505" s="879"/>
      <c r="AYP1505" s="879"/>
      <c r="AYQ1505" s="879"/>
      <c r="AYR1505" s="879"/>
      <c r="AYS1505" s="879"/>
      <c r="AYT1505" s="879"/>
      <c r="AYU1505" s="879"/>
      <c r="AYV1505" s="879"/>
      <c r="AYW1505" s="879"/>
      <c r="AYX1505" s="879"/>
      <c r="AYY1505" s="879"/>
      <c r="AYZ1505" s="879"/>
      <c r="AZA1505" s="879"/>
      <c r="AZB1505" s="879"/>
      <c r="AZC1505" s="879"/>
      <c r="AZD1505" s="879"/>
      <c r="AZE1505" s="879"/>
      <c r="AZF1505" s="879"/>
      <c r="AZG1505" s="879"/>
      <c r="AZH1505" s="879"/>
      <c r="AZI1505" s="879"/>
      <c r="AZJ1505" s="879"/>
      <c r="AZK1505" s="879"/>
      <c r="AZL1505" s="879"/>
      <c r="AZM1505" s="879"/>
      <c r="AZN1505" s="879"/>
      <c r="AZO1505" s="879"/>
      <c r="AZP1505" s="879"/>
      <c r="AZQ1505" s="879"/>
      <c r="AZR1505" s="879"/>
      <c r="AZS1505" s="879"/>
      <c r="AZT1505" s="879"/>
      <c r="AZU1505" s="879"/>
      <c r="AZV1505" s="879"/>
      <c r="AZW1505" s="879"/>
      <c r="AZX1505" s="879"/>
      <c r="AZY1505" s="879"/>
      <c r="AZZ1505" s="879"/>
      <c r="BAA1505" s="879"/>
      <c r="BAB1505" s="879"/>
      <c r="BAC1505" s="879"/>
      <c r="BAD1505" s="879"/>
      <c r="BAE1505" s="879"/>
      <c r="BAF1505" s="879"/>
      <c r="BAG1505" s="879"/>
      <c r="BAH1505" s="879"/>
      <c r="BAI1505" s="879"/>
      <c r="BAJ1505" s="879"/>
      <c r="BAK1505" s="879"/>
      <c r="BAL1505" s="879"/>
      <c r="BAM1505" s="879"/>
      <c r="BAN1505" s="879"/>
      <c r="BAO1505" s="879"/>
      <c r="BAP1505" s="879"/>
      <c r="BAQ1505" s="879"/>
      <c r="BAR1505" s="879"/>
      <c r="BAS1505" s="879"/>
      <c r="BAT1505" s="879"/>
      <c r="BAU1505" s="879"/>
      <c r="BAV1505" s="879"/>
      <c r="BAW1505" s="879"/>
      <c r="BAX1505" s="879"/>
      <c r="BAY1505" s="879"/>
      <c r="BAZ1505" s="879"/>
      <c r="BBA1505" s="879"/>
      <c r="BBB1505" s="879"/>
      <c r="BBC1505" s="879"/>
      <c r="BBD1505" s="879"/>
      <c r="BBE1505" s="879"/>
      <c r="BBF1505" s="879"/>
      <c r="BBG1505" s="879"/>
      <c r="BBH1505" s="879"/>
      <c r="BBI1505" s="879"/>
      <c r="BBJ1505" s="879"/>
      <c r="BBK1505" s="879"/>
      <c r="BBL1505" s="879"/>
      <c r="BBM1505" s="879"/>
      <c r="BBN1505" s="879"/>
      <c r="BBO1505" s="879"/>
      <c r="BBP1505" s="879"/>
      <c r="BBQ1505" s="879"/>
      <c r="BBR1505" s="879"/>
      <c r="BBS1505" s="879"/>
      <c r="BBT1505" s="879"/>
      <c r="BBU1505" s="879"/>
      <c r="BBV1505" s="879"/>
      <c r="BBW1505" s="879"/>
      <c r="BBX1505" s="879"/>
      <c r="BBY1505" s="879"/>
      <c r="BBZ1505" s="879"/>
      <c r="BCA1505" s="879"/>
      <c r="BCB1505" s="879"/>
      <c r="BCC1505" s="879"/>
      <c r="BCD1505" s="879"/>
      <c r="BCE1505" s="879"/>
      <c r="BCF1505" s="879"/>
      <c r="BCG1505" s="879"/>
      <c r="BCH1505" s="879"/>
      <c r="BCI1505" s="879"/>
      <c r="BCJ1505" s="879"/>
      <c r="BCK1505" s="879"/>
      <c r="BCL1505" s="879"/>
      <c r="BCM1505" s="879"/>
      <c r="BCN1505" s="879"/>
      <c r="BCO1505" s="879"/>
      <c r="BCP1505" s="879"/>
      <c r="BCQ1505" s="879"/>
      <c r="BCR1505" s="879"/>
      <c r="BCS1505" s="879"/>
      <c r="BCT1505" s="879"/>
      <c r="BCU1505" s="879"/>
      <c r="BCV1505" s="879"/>
      <c r="BCW1505" s="879"/>
      <c r="BCX1505" s="879"/>
      <c r="BCY1505" s="879"/>
      <c r="BCZ1505" s="879"/>
      <c r="BDA1505" s="879"/>
      <c r="BDB1505" s="879"/>
      <c r="BDC1505" s="879"/>
      <c r="BDD1505" s="879"/>
      <c r="BDE1505" s="879"/>
      <c r="BDF1505" s="879"/>
      <c r="BDG1505" s="879"/>
      <c r="BDH1505" s="879"/>
      <c r="BDI1505" s="879"/>
      <c r="BDJ1505" s="879"/>
      <c r="BDK1505" s="879"/>
      <c r="BDL1505" s="879"/>
      <c r="BDM1505" s="879"/>
      <c r="BDN1505" s="879"/>
      <c r="BDO1505" s="879"/>
      <c r="BDP1505" s="879"/>
      <c r="BDQ1505" s="879"/>
      <c r="BDR1505" s="879"/>
      <c r="BDS1505" s="879"/>
      <c r="BDT1505" s="879"/>
      <c r="BDU1505" s="879"/>
      <c r="BDV1505" s="879"/>
      <c r="BDW1505" s="879"/>
      <c r="BDX1505" s="879"/>
      <c r="BDY1505" s="879"/>
      <c r="BDZ1505" s="879"/>
      <c r="BEA1505" s="879"/>
      <c r="BEB1505" s="879"/>
      <c r="BEC1505" s="879"/>
      <c r="BED1505" s="879"/>
      <c r="BEE1505" s="879"/>
      <c r="BEF1505" s="879"/>
      <c r="BEG1505" s="879"/>
      <c r="BEH1505" s="879"/>
      <c r="BEI1505" s="879"/>
      <c r="BEJ1505" s="879"/>
      <c r="BEK1505" s="879"/>
      <c r="BEL1505" s="879"/>
      <c r="BEM1505" s="879"/>
      <c r="BEN1505" s="879"/>
      <c r="BEO1505" s="879"/>
      <c r="BEP1505" s="879"/>
      <c r="BEQ1505" s="879"/>
      <c r="BER1505" s="879"/>
      <c r="BES1505" s="879"/>
      <c r="BET1505" s="879"/>
      <c r="BEU1505" s="879"/>
      <c r="BEV1505" s="879"/>
      <c r="BEW1505" s="879"/>
      <c r="BEX1505" s="879"/>
      <c r="BEY1505" s="879"/>
      <c r="BEZ1505" s="879"/>
      <c r="BFA1505" s="879"/>
      <c r="BFB1505" s="879"/>
      <c r="BFC1505" s="879"/>
      <c r="BFD1505" s="879"/>
      <c r="BFE1505" s="879"/>
      <c r="BFF1505" s="879"/>
      <c r="BFG1505" s="879"/>
      <c r="BFH1505" s="879"/>
      <c r="BFI1505" s="879"/>
      <c r="BFJ1505" s="879"/>
      <c r="BFK1505" s="879"/>
      <c r="BFL1505" s="879"/>
      <c r="BFM1505" s="879"/>
      <c r="BFN1505" s="879"/>
      <c r="BFO1505" s="879"/>
      <c r="BFP1505" s="879"/>
      <c r="BFQ1505" s="879"/>
      <c r="BFR1505" s="879"/>
      <c r="BFS1505" s="879"/>
      <c r="BFT1505" s="879"/>
      <c r="BFU1505" s="879"/>
      <c r="BFV1505" s="879"/>
      <c r="BFW1505" s="879"/>
      <c r="BFX1505" s="879"/>
      <c r="BFY1505" s="879"/>
      <c r="BFZ1505" s="879"/>
      <c r="BGA1505" s="879"/>
      <c r="BGB1505" s="879"/>
      <c r="BGC1505" s="879"/>
      <c r="BGD1505" s="879"/>
      <c r="BGE1505" s="879"/>
      <c r="BGF1505" s="879"/>
      <c r="BGG1505" s="879"/>
      <c r="BGH1505" s="879"/>
      <c r="BGI1505" s="879"/>
      <c r="BGJ1505" s="879"/>
      <c r="BGK1505" s="879"/>
      <c r="BGL1505" s="879"/>
      <c r="BGM1505" s="879"/>
      <c r="BGN1505" s="879"/>
      <c r="BGO1505" s="879"/>
      <c r="BGP1505" s="879"/>
      <c r="BGQ1505" s="879"/>
      <c r="BGR1505" s="879"/>
      <c r="BGS1505" s="879"/>
      <c r="BGT1505" s="879"/>
      <c r="BGU1505" s="879"/>
      <c r="BGV1505" s="879"/>
      <c r="BGW1505" s="879"/>
      <c r="BGX1505" s="879"/>
      <c r="BGY1505" s="879"/>
      <c r="BGZ1505" s="879"/>
      <c r="BHA1505" s="879"/>
      <c r="BHB1505" s="879"/>
      <c r="BHC1505" s="879"/>
      <c r="BHD1505" s="879"/>
      <c r="BHE1505" s="879"/>
      <c r="BHF1505" s="879"/>
      <c r="BHG1505" s="879"/>
      <c r="BHH1505" s="879"/>
      <c r="BHI1505" s="879"/>
      <c r="BHJ1505" s="879"/>
      <c r="BHK1505" s="879"/>
      <c r="BHL1505" s="879"/>
      <c r="BHM1505" s="879"/>
      <c r="BHN1505" s="879"/>
      <c r="BHO1505" s="879"/>
      <c r="BHP1505" s="879"/>
      <c r="BHQ1505" s="879"/>
      <c r="BHR1505" s="879"/>
      <c r="BHS1505" s="879"/>
      <c r="BHT1505" s="879"/>
      <c r="BHU1505" s="879"/>
      <c r="BHV1505" s="879"/>
      <c r="BHW1505" s="879"/>
      <c r="BHX1505" s="879"/>
      <c r="BHY1505" s="879"/>
      <c r="BHZ1505" s="879"/>
      <c r="BIA1505" s="879"/>
      <c r="BIB1505" s="879"/>
      <c r="BIC1505" s="879"/>
      <c r="BID1505" s="879"/>
      <c r="BIE1505" s="879"/>
      <c r="BIF1505" s="879"/>
      <c r="BIG1505" s="879"/>
      <c r="BIH1505" s="879"/>
      <c r="BII1505" s="879"/>
      <c r="BIJ1505" s="879"/>
      <c r="BIK1505" s="879"/>
      <c r="BIL1505" s="879"/>
      <c r="BIM1505" s="879"/>
      <c r="BIN1505" s="879"/>
      <c r="BIO1505" s="879"/>
      <c r="BIP1505" s="879"/>
      <c r="BIQ1505" s="879"/>
      <c r="BIR1505" s="879"/>
      <c r="BIS1505" s="879"/>
      <c r="BIT1505" s="879"/>
      <c r="BIU1505" s="879"/>
      <c r="BIV1505" s="879"/>
      <c r="BIW1505" s="879"/>
      <c r="BIX1505" s="879"/>
      <c r="BIY1505" s="879"/>
      <c r="BIZ1505" s="879"/>
      <c r="BJA1505" s="879"/>
      <c r="BJB1505" s="879"/>
      <c r="BJC1505" s="879"/>
      <c r="BJD1505" s="879"/>
      <c r="BJE1505" s="879"/>
      <c r="BJF1505" s="879"/>
      <c r="BJG1505" s="879"/>
      <c r="BJH1505" s="879"/>
      <c r="BJI1505" s="879"/>
      <c r="BJJ1505" s="879"/>
      <c r="BJK1505" s="879"/>
      <c r="BJL1505" s="879"/>
      <c r="BJM1505" s="879"/>
      <c r="BJN1505" s="879"/>
      <c r="BJO1505" s="879"/>
      <c r="BJP1505" s="879"/>
      <c r="BJQ1505" s="879"/>
      <c r="BJR1505" s="879"/>
      <c r="BJS1505" s="879"/>
      <c r="BJT1505" s="879"/>
      <c r="BJU1505" s="879"/>
      <c r="BJV1505" s="879"/>
      <c r="BJW1505" s="879"/>
      <c r="BJX1505" s="879"/>
      <c r="BJY1505" s="879"/>
      <c r="BJZ1505" s="879"/>
      <c r="BKA1505" s="879"/>
      <c r="BKB1505" s="879"/>
      <c r="BKC1505" s="879"/>
      <c r="BKD1505" s="879"/>
      <c r="BKE1505" s="879"/>
      <c r="BKF1505" s="879"/>
      <c r="BKG1505" s="879"/>
      <c r="BKH1505" s="879"/>
      <c r="BKI1505" s="879"/>
      <c r="BKJ1505" s="879"/>
      <c r="BKK1505" s="879"/>
      <c r="BKL1505" s="879"/>
      <c r="BKM1505" s="879"/>
      <c r="BKN1505" s="879"/>
      <c r="BKO1505" s="879"/>
      <c r="BKP1505" s="879"/>
      <c r="BKQ1505" s="879"/>
      <c r="BKR1505" s="879"/>
      <c r="BKS1505" s="879"/>
      <c r="BKT1505" s="879"/>
      <c r="BKU1505" s="879"/>
      <c r="BKV1505" s="879"/>
      <c r="BKW1505" s="879"/>
      <c r="BKX1505" s="879"/>
      <c r="BKY1505" s="879"/>
      <c r="BKZ1505" s="879"/>
      <c r="BLA1505" s="879"/>
      <c r="BLB1505" s="879"/>
      <c r="BLC1505" s="879"/>
      <c r="BLD1505" s="879"/>
      <c r="BLE1505" s="879"/>
      <c r="BLF1505" s="879"/>
      <c r="BLG1505" s="879"/>
      <c r="BLH1505" s="879"/>
      <c r="BLI1505" s="879"/>
      <c r="BLJ1505" s="879"/>
      <c r="BLK1505" s="879"/>
      <c r="BLL1505" s="879"/>
      <c r="BLM1505" s="879"/>
      <c r="BLN1505" s="879"/>
      <c r="BLO1505" s="879"/>
      <c r="BLP1505" s="879"/>
      <c r="BLQ1505" s="879"/>
      <c r="BLR1505" s="879"/>
      <c r="BLS1505" s="879"/>
      <c r="BLT1505" s="879"/>
      <c r="BLU1505" s="879"/>
      <c r="BLV1505" s="879"/>
      <c r="BLW1505" s="879"/>
      <c r="BLX1505" s="879"/>
      <c r="BLY1505" s="879"/>
      <c r="BLZ1505" s="879"/>
      <c r="BMA1505" s="879"/>
      <c r="BMB1505" s="879"/>
      <c r="BMC1505" s="879"/>
      <c r="BMD1505" s="879"/>
      <c r="BME1505" s="879"/>
      <c r="BMF1505" s="879"/>
      <c r="BMG1505" s="879"/>
      <c r="BMH1505" s="879"/>
      <c r="BMI1505" s="879"/>
      <c r="BMJ1505" s="879"/>
      <c r="BMK1505" s="879"/>
      <c r="BML1505" s="879"/>
      <c r="BMM1505" s="879"/>
      <c r="BMN1505" s="879"/>
      <c r="BMO1505" s="879"/>
      <c r="BMP1505" s="879"/>
      <c r="BMQ1505" s="879"/>
      <c r="BMR1505" s="879"/>
      <c r="BMS1505" s="879"/>
      <c r="BMT1505" s="879"/>
      <c r="BMU1505" s="879"/>
      <c r="BMV1505" s="879"/>
      <c r="BMW1505" s="879"/>
      <c r="BMX1505" s="879"/>
      <c r="BMY1505" s="879"/>
      <c r="BMZ1505" s="879"/>
      <c r="BNA1505" s="879"/>
      <c r="BNB1505" s="879"/>
      <c r="BNC1505" s="879"/>
      <c r="BND1505" s="879"/>
      <c r="BNE1505" s="879"/>
      <c r="BNF1505" s="879"/>
      <c r="BNG1505" s="879"/>
      <c r="BNH1505" s="879"/>
      <c r="BNI1505" s="879"/>
      <c r="BNJ1505" s="879"/>
      <c r="BNK1505" s="879"/>
      <c r="BNL1505" s="879"/>
      <c r="BNM1505" s="879"/>
      <c r="BNN1505" s="879"/>
      <c r="BNO1505" s="879"/>
      <c r="BNP1505" s="879"/>
      <c r="BNQ1505" s="879"/>
      <c r="BNR1505" s="879"/>
      <c r="BNS1505" s="879"/>
      <c r="BNT1505" s="879"/>
      <c r="BNU1505" s="879"/>
      <c r="BNV1505" s="879"/>
      <c r="BNW1505" s="879"/>
      <c r="BNX1505" s="879"/>
      <c r="BNY1505" s="879"/>
      <c r="BNZ1505" s="879"/>
      <c r="BOA1505" s="879"/>
      <c r="BOB1505" s="879"/>
      <c r="BOC1505" s="879"/>
      <c r="BOD1505" s="879"/>
      <c r="BOE1505" s="879"/>
      <c r="BOF1505" s="879"/>
      <c r="BOG1505" s="879"/>
      <c r="BOH1505" s="879"/>
      <c r="BOI1505" s="879"/>
      <c r="BOJ1505" s="879"/>
      <c r="BOK1505" s="879"/>
      <c r="BOL1505" s="879"/>
      <c r="BOM1505" s="879"/>
      <c r="BON1505" s="879"/>
      <c r="BOO1505" s="879"/>
      <c r="BOP1505" s="879"/>
      <c r="BOQ1505" s="879"/>
      <c r="BOR1505" s="879"/>
      <c r="BOS1505" s="879"/>
      <c r="BOT1505" s="879"/>
      <c r="BOU1505" s="879"/>
      <c r="BOV1505" s="879"/>
      <c r="BOW1505" s="879"/>
      <c r="BOX1505" s="879"/>
      <c r="BOY1505" s="879"/>
      <c r="BOZ1505" s="879"/>
      <c r="BPA1505" s="879"/>
      <c r="BPB1505" s="879"/>
      <c r="BPC1505" s="879"/>
      <c r="BPD1505" s="879"/>
      <c r="BPE1505" s="879"/>
      <c r="BPF1505" s="879"/>
      <c r="BPG1505" s="879"/>
      <c r="BPH1505" s="879"/>
      <c r="BPI1505" s="879"/>
      <c r="BPJ1505" s="879"/>
      <c r="BPK1505" s="879"/>
      <c r="BPL1505" s="879"/>
      <c r="BPM1505" s="879"/>
      <c r="BPN1505" s="879"/>
      <c r="BPO1505" s="879"/>
      <c r="BPP1505" s="879"/>
      <c r="BPQ1505" s="879"/>
      <c r="BPR1505" s="879"/>
      <c r="BPS1505" s="879"/>
      <c r="BPT1505" s="879"/>
      <c r="BPU1505" s="879"/>
      <c r="BPV1505" s="879"/>
      <c r="BPW1505" s="879"/>
      <c r="BPX1505" s="879"/>
      <c r="BPY1505" s="879"/>
      <c r="BPZ1505" s="879"/>
      <c r="BQA1505" s="879"/>
      <c r="BQB1505" s="879"/>
      <c r="BQC1505" s="879"/>
      <c r="BQD1505" s="879"/>
      <c r="BQE1505" s="879"/>
      <c r="BQF1505" s="879"/>
      <c r="BQG1505" s="879"/>
      <c r="BQH1505" s="879"/>
      <c r="BQI1505" s="879"/>
      <c r="BQJ1505" s="879"/>
      <c r="BQK1505" s="879"/>
      <c r="BQL1505" s="879"/>
      <c r="BQM1505" s="879"/>
      <c r="BQN1505" s="879"/>
      <c r="BQO1505" s="879"/>
      <c r="BQP1505" s="879"/>
      <c r="BQQ1505" s="879"/>
      <c r="BQR1505" s="879"/>
      <c r="BQS1505" s="879"/>
      <c r="BQT1505" s="879"/>
      <c r="BQU1505" s="879"/>
      <c r="BQV1505" s="879"/>
      <c r="BQW1505" s="879"/>
      <c r="BQX1505" s="879"/>
      <c r="BQY1505" s="879"/>
      <c r="BQZ1505" s="879"/>
      <c r="BRA1505" s="879"/>
      <c r="BRB1505" s="879"/>
      <c r="BRC1505" s="879"/>
      <c r="BRD1505" s="879"/>
      <c r="BRE1505" s="879"/>
      <c r="BRF1505" s="879"/>
      <c r="BRG1505" s="879"/>
      <c r="BRH1505" s="879"/>
      <c r="BRI1505" s="879"/>
      <c r="BRJ1505" s="879"/>
      <c r="BRK1505" s="879"/>
      <c r="BRL1505" s="879"/>
      <c r="BRM1505" s="879"/>
      <c r="BRN1505" s="879"/>
      <c r="BRO1505" s="879"/>
      <c r="BRP1505" s="879"/>
      <c r="BRQ1505" s="879"/>
      <c r="BRR1505" s="879"/>
      <c r="BRS1505" s="879"/>
      <c r="BRT1505" s="879"/>
      <c r="BRU1505" s="879"/>
      <c r="BRV1505" s="879"/>
      <c r="BRW1505" s="879"/>
      <c r="BRX1505" s="879"/>
      <c r="BRY1505" s="879"/>
      <c r="BRZ1505" s="879"/>
      <c r="BSA1505" s="879"/>
      <c r="BSB1505" s="879"/>
      <c r="BSC1505" s="879"/>
      <c r="BSD1505" s="879"/>
      <c r="BSE1505" s="879"/>
      <c r="BSF1505" s="879"/>
      <c r="BSG1505" s="879"/>
      <c r="BSH1505" s="879"/>
      <c r="BSI1505" s="879"/>
      <c r="BSJ1505" s="879"/>
      <c r="BSK1505" s="879"/>
      <c r="BSL1505" s="879"/>
      <c r="BSM1505" s="879"/>
      <c r="BSN1505" s="879"/>
      <c r="BSO1505" s="879"/>
      <c r="BSP1505" s="879"/>
      <c r="BSQ1505" s="879"/>
      <c r="BSR1505" s="879"/>
      <c r="BSS1505" s="879"/>
      <c r="BST1505" s="879"/>
      <c r="BSU1505" s="879"/>
      <c r="BSV1505" s="879"/>
      <c r="BSW1505" s="879"/>
      <c r="BSX1505" s="879"/>
      <c r="BSY1505" s="879"/>
      <c r="BSZ1505" s="879"/>
      <c r="BTA1505" s="879"/>
      <c r="BTB1505" s="879"/>
      <c r="BTC1505" s="879"/>
      <c r="BTD1505" s="879"/>
      <c r="BTE1505" s="879"/>
      <c r="BTF1505" s="879"/>
      <c r="BTG1505" s="879"/>
      <c r="BTH1505" s="879"/>
      <c r="BTI1505" s="879"/>
      <c r="BTJ1505" s="879"/>
      <c r="BTK1505" s="879"/>
      <c r="BTL1505" s="879"/>
      <c r="BTM1505" s="879"/>
      <c r="BTN1505" s="879"/>
      <c r="BTO1505" s="879"/>
      <c r="BTP1505" s="879"/>
      <c r="BTQ1505" s="879"/>
      <c r="BTR1505" s="879"/>
      <c r="BTS1505" s="879"/>
      <c r="BTT1505" s="879"/>
      <c r="BTU1505" s="879"/>
      <c r="BTV1505" s="879"/>
      <c r="BTW1505" s="879"/>
      <c r="BTX1505" s="879"/>
      <c r="BTY1505" s="879"/>
      <c r="BTZ1505" s="879"/>
      <c r="BUA1505" s="879"/>
      <c r="BUB1505" s="879"/>
      <c r="BUC1505" s="879"/>
      <c r="BUD1505" s="879"/>
      <c r="BUE1505" s="879"/>
      <c r="BUF1505" s="879"/>
      <c r="BUG1505" s="879"/>
      <c r="BUH1505" s="879"/>
      <c r="BUI1505" s="879"/>
      <c r="BUJ1505" s="879"/>
      <c r="BUK1505" s="879"/>
      <c r="BUL1505" s="879"/>
      <c r="BUM1505" s="879"/>
      <c r="BUN1505" s="879"/>
      <c r="BUO1505" s="879"/>
      <c r="BUP1505" s="879"/>
      <c r="BUQ1505" s="879"/>
      <c r="BUR1505" s="879"/>
      <c r="BUS1505" s="879"/>
      <c r="BUT1505" s="879"/>
      <c r="BUU1505" s="879"/>
      <c r="BUV1505" s="879"/>
      <c r="BUW1505" s="879"/>
      <c r="BUX1505" s="879"/>
      <c r="BUY1505" s="879"/>
      <c r="BUZ1505" s="879"/>
      <c r="BVA1505" s="879"/>
      <c r="BVB1505" s="879"/>
      <c r="BVC1505" s="879"/>
      <c r="BVD1505" s="879"/>
      <c r="BVE1505" s="879"/>
      <c r="BVF1505" s="879"/>
      <c r="BVG1505" s="879"/>
      <c r="BVH1505" s="879"/>
      <c r="BVI1505" s="879"/>
      <c r="BVJ1505" s="879"/>
      <c r="BVK1505" s="879"/>
      <c r="BVL1505" s="879"/>
      <c r="BVM1505" s="879"/>
      <c r="BVN1505" s="879"/>
      <c r="BVO1505" s="879"/>
      <c r="BVP1505" s="879"/>
      <c r="BVQ1505" s="879"/>
      <c r="BVR1505" s="879"/>
      <c r="BVS1505" s="879"/>
      <c r="BVT1505" s="879"/>
      <c r="BVU1505" s="879"/>
      <c r="BVV1505" s="879"/>
      <c r="BVW1505" s="879"/>
      <c r="BVX1505" s="879"/>
      <c r="BVY1505" s="879"/>
      <c r="BVZ1505" s="879"/>
      <c r="BWA1505" s="879"/>
      <c r="BWB1505" s="879"/>
      <c r="BWC1505" s="879"/>
      <c r="BWD1505" s="879"/>
      <c r="BWE1505" s="879"/>
      <c r="BWF1505" s="879"/>
      <c r="BWG1505" s="879"/>
      <c r="BWH1505" s="879"/>
      <c r="BWI1505" s="879"/>
      <c r="BWJ1505" s="879"/>
      <c r="BWK1505" s="879"/>
      <c r="BWL1505" s="879"/>
      <c r="BWM1505" s="879"/>
      <c r="BWN1505" s="879"/>
      <c r="BWO1505" s="879"/>
      <c r="BWP1505" s="879"/>
      <c r="BWQ1505" s="879"/>
      <c r="BWR1505" s="879"/>
      <c r="BWS1505" s="879"/>
      <c r="BWT1505" s="879"/>
      <c r="BWU1505" s="879"/>
      <c r="BWV1505" s="879"/>
      <c r="BWW1505" s="879"/>
      <c r="BWX1505" s="879"/>
      <c r="BWY1505" s="879"/>
      <c r="BWZ1505" s="879"/>
      <c r="BXA1505" s="879"/>
      <c r="BXB1505" s="879"/>
      <c r="BXC1505" s="879"/>
      <c r="BXD1505" s="879"/>
      <c r="BXE1505" s="879"/>
      <c r="BXF1505" s="879"/>
      <c r="BXG1505" s="879"/>
      <c r="BXH1505" s="879"/>
      <c r="BXI1505" s="879"/>
      <c r="BXJ1505" s="879"/>
      <c r="BXK1505" s="879"/>
      <c r="BXL1505" s="879"/>
      <c r="BXM1505" s="879"/>
      <c r="BXN1505" s="879"/>
      <c r="BXO1505" s="879"/>
      <c r="BXP1505" s="879"/>
      <c r="BXQ1505" s="879"/>
      <c r="BXR1505" s="879"/>
      <c r="BXS1505" s="879"/>
      <c r="BXT1505" s="879"/>
      <c r="BXU1505" s="879"/>
      <c r="BXV1505" s="879"/>
      <c r="BXW1505" s="879"/>
      <c r="BXX1505" s="879"/>
      <c r="BXY1505" s="879"/>
      <c r="BXZ1505" s="879"/>
      <c r="BYA1505" s="879"/>
      <c r="BYB1505" s="879"/>
      <c r="BYC1505" s="879"/>
      <c r="BYD1505" s="879"/>
      <c r="BYE1505" s="879"/>
      <c r="BYF1505" s="879"/>
      <c r="BYG1505" s="879"/>
      <c r="BYH1505" s="879"/>
      <c r="BYI1505" s="879"/>
      <c r="BYJ1505" s="879"/>
      <c r="BYK1505" s="879"/>
      <c r="BYL1505" s="879"/>
      <c r="BYM1505" s="879"/>
      <c r="BYN1505" s="879"/>
      <c r="BYO1505" s="879"/>
      <c r="BYP1505" s="879"/>
      <c r="BYQ1505" s="879"/>
      <c r="BYR1505" s="879"/>
      <c r="BYS1505" s="879"/>
      <c r="BYT1505" s="879"/>
      <c r="BYU1505" s="879"/>
      <c r="BYV1505" s="879"/>
      <c r="BYW1505" s="879"/>
      <c r="BYX1505" s="879"/>
      <c r="BYY1505" s="879"/>
      <c r="BYZ1505" s="879"/>
      <c r="BZA1505" s="879"/>
      <c r="BZB1505" s="879"/>
      <c r="BZC1505" s="879"/>
      <c r="BZD1505" s="879"/>
      <c r="BZE1505" s="879"/>
      <c r="BZF1505" s="879"/>
      <c r="BZG1505" s="879"/>
      <c r="BZH1505" s="879"/>
      <c r="BZI1505" s="879"/>
      <c r="BZJ1505" s="879"/>
      <c r="BZK1505" s="879"/>
      <c r="BZL1505" s="879"/>
      <c r="BZM1505" s="879"/>
      <c r="BZN1505" s="879"/>
      <c r="BZO1505" s="879"/>
      <c r="BZP1505" s="879"/>
      <c r="BZQ1505" s="879"/>
      <c r="BZR1505" s="879"/>
      <c r="BZS1505" s="879"/>
      <c r="BZT1505" s="879"/>
      <c r="BZU1505" s="879"/>
      <c r="BZV1505" s="879"/>
      <c r="BZW1505" s="879"/>
      <c r="BZX1505" s="879"/>
      <c r="BZY1505" s="879"/>
      <c r="BZZ1505" s="879"/>
      <c r="CAA1505" s="879"/>
      <c r="CAB1505" s="879"/>
      <c r="CAC1505" s="879"/>
      <c r="CAD1505" s="879"/>
      <c r="CAE1505" s="879"/>
      <c r="CAF1505" s="879"/>
      <c r="CAG1505" s="879"/>
      <c r="CAH1505" s="879"/>
      <c r="CAI1505" s="879"/>
      <c r="CAJ1505" s="879"/>
      <c r="CAK1505" s="879"/>
      <c r="CAL1505" s="879"/>
      <c r="CAM1505" s="879"/>
      <c r="CAN1505" s="879"/>
      <c r="CAO1505" s="879"/>
      <c r="CAP1505" s="879"/>
      <c r="CAQ1505" s="879"/>
      <c r="CAR1505" s="879"/>
      <c r="CAS1505" s="879"/>
      <c r="CAT1505" s="879"/>
      <c r="CAU1505" s="879"/>
      <c r="CAV1505" s="879"/>
      <c r="CAW1505" s="879"/>
      <c r="CAX1505" s="879"/>
      <c r="CAY1505" s="879"/>
      <c r="CAZ1505" s="879"/>
      <c r="CBA1505" s="879"/>
      <c r="CBB1505" s="879"/>
      <c r="CBC1505" s="879"/>
      <c r="CBD1505" s="879"/>
      <c r="CBE1505" s="879"/>
      <c r="CBF1505" s="879"/>
      <c r="CBG1505" s="879"/>
      <c r="CBH1505" s="879"/>
      <c r="CBI1505" s="879"/>
      <c r="CBJ1505" s="879"/>
      <c r="CBK1505" s="879"/>
      <c r="CBL1505" s="879"/>
      <c r="CBM1505" s="879"/>
      <c r="CBN1505" s="879"/>
      <c r="CBO1505" s="879"/>
      <c r="CBP1505" s="879"/>
      <c r="CBQ1505" s="879"/>
      <c r="CBR1505" s="879"/>
      <c r="CBS1505" s="879"/>
      <c r="CBT1505" s="879"/>
      <c r="CBU1505" s="879"/>
      <c r="CBV1505" s="879"/>
      <c r="CBW1505" s="879"/>
      <c r="CBX1505" s="879"/>
      <c r="CBY1505" s="879"/>
      <c r="CBZ1505" s="879"/>
      <c r="CCA1505" s="879"/>
      <c r="CCB1505" s="879"/>
      <c r="CCC1505" s="879"/>
      <c r="CCD1505" s="879"/>
      <c r="CCE1505" s="879"/>
      <c r="CCF1505" s="879"/>
      <c r="CCG1505" s="879"/>
      <c r="CCH1505" s="879"/>
      <c r="CCI1505" s="879"/>
      <c r="CCJ1505" s="879"/>
      <c r="CCK1505" s="879"/>
      <c r="CCL1505" s="879"/>
      <c r="CCM1505" s="879"/>
      <c r="CCN1505" s="879"/>
      <c r="CCO1505" s="879"/>
      <c r="CCP1505" s="879"/>
      <c r="CCQ1505" s="879"/>
      <c r="CCR1505" s="879"/>
      <c r="CCS1505" s="879"/>
      <c r="CCT1505" s="879"/>
      <c r="CCU1505" s="879"/>
      <c r="CCV1505" s="879"/>
      <c r="CCW1505" s="879"/>
      <c r="CCX1505" s="879"/>
      <c r="CCY1505" s="879"/>
      <c r="CCZ1505" s="879"/>
      <c r="CDA1505" s="879"/>
      <c r="CDB1505" s="879"/>
      <c r="CDC1505" s="879"/>
      <c r="CDD1505" s="879"/>
      <c r="CDE1505" s="879"/>
      <c r="CDF1505" s="879"/>
      <c r="CDG1505" s="879"/>
      <c r="CDH1505" s="879"/>
      <c r="CDI1505" s="879"/>
      <c r="CDJ1505" s="879"/>
      <c r="CDK1505" s="879"/>
      <c r="CDL1505" s="879"/>
      <c r="CDM1505" s="879"/>
      <c r="CDN1505" s="879"/>
      <c r="CDO1505" s="879"/>
      <c r="CDP1505" s="879"/>
      <c r="CDQ1505" s="879"/>
      <c r="CDR1505" s="879"/>
      <c r="CDS1505" s="879"/>
      <c r="CDT1505" s="879"/>
      <c r="CDU1505" s="879"/>
      <c r="CDV1505" s="879"/>
      <c r="CDW1505" s="879"/>
      <c r="CDX1505" s="879"/>
      <c r="CDY1505" s="879"/>
      <c r="CDZ1505" s="879"/>
      <c r="CEA1505" s="879"/>
      <c r="CEB1505" s="879"/>
      <c r="CEC1505" s="879"/>
      <c r="CED1505" s="879"/>
      <c r="CEE1505" s="879"/>
      <c r="CEF1505" s="879"/>
      <c r="CEG1505" s="879"/>
      <c r="CEH1505" s="879"/>
      <c r="CEI1505" s="879"/>
      <c r="CEJ1505" s="879"/>
      <c r="CEK1505" s="879"/>
      <c r="CEL1505" s="879"/>
      <c r="CEM1505" s="879"/>
      <c r="CEN1505" s="879"/>
      <c r="CEO1505" s="879"/>
      <c r="CEP1505" s="879"/>
      <c r="CEQ1505" s="879"/>
      <c r="CER1505" s="879"/>
      <c r="CES1505" s="879"/>
      <c r="CET1505" s="879"/>
      <c r="CEU1505" s="879"/>
      <c r="CEV1505" s="879"/>
      <c r="CEW1505" s="879"/>
      <c r="CEX1505" s="879"/>
      <c r="CEY1505" s="879"/>
      <c r="CEZ1505" s="879"/>
      <c r="CFA1505" s="879"/>
      <c r="CFB1505" s="879"/>
      <c r="CFC1505" s="879"/>
      <c r="CFD1505" s="879"/>
      <c r="CFE1505" s="879"/>
      <c r="CFF1505" s="879"/>
      <c r="CFG1505" s="879"/>
      <c r="CFH1505" s="879"/>
      <c r="CFI1505" s="879"/>
      <c r="CFJ1505" s="879"/>
      <c r="CFK1505" s="879"/>
      <c r="CFL1505" s="879"/>
      <c r="CFM1505" s="879"/>
      <c r="CFN1505" s="879"/>
      <c r="CFO1505" s="879"/>
      <c r="CFP1505" s="879"/>
      <c r="CFQ1505" s="879"/>
      <c r="CFR1505" s="879"/>
      <c r="CFS1505" s="879"/>
      <c r="CFT1505" s="879"/>
      <c r="CFU1505" s="879"/>
      <c r="CFV1505" s="879"/>
      <c r="CFW1505" s="879"/>
      <c r="CFX1505" s="879"/>
      <c r="CFY1505" s="879"/>
      <c r="CFZ1505" s="879"/>
      <c r="CGA1505" s="879"/>
      <c r="CGB1505" s="879"/>
      <c r="CGC1505" s="879"/>
      <c r="CGD1505" s="879"/>
      <c r="CGE1505" s="879"/>
      <c r="CGF1505" s="879"/>
      <c r="CGG1505" s="879"/>
      <c r="CGH1505" s="879"/>
      <c r="CGI1505" s="879"/>
      <c r="CGJ1505" s="879"/>
      <c r="CGK1505" s="879"/>
      <c r="CGL1505" s="879"/>
      <c r="CGM1505" s="879"/>
      <c r="CGN1505" s="879"/>
      <c r="CGO1505" s="879"/>
      <c r="CGP1505" s="879"/>
      <c r="CGQ1505" s="879"/>
      <c r="CGR1505" s="879"/>
      <c r="CGS1505" s="879"/>
      <c r="CGT1505" s="879"/>
      <c r="CGU1505" s="879"/>
      <c r="CGV1505" s="879"/>
      <c r="CGW1505" s="879"/>
      <c r="CGX1505" s="879"/>
      <c r="CGY1505" s="879"/>
      <c r="CGZ1505" s="879"/>
      <c r="CHA1505" s="879"/>
      <c r="CHB1505" s="879"/>
      <c r="CHC1505" s="879"/>
      <c r="CHD1505" s="879"/>
      <c r="CHE1505" s="879"/>
      <c r="CHF1505" s="879"/>
      <c r="CHG1505" s="879"/>
      <c r="CHH1505" s="879"/>
      <c r="CHI1505" s="879"/>
      <c r="CHJ1505" s="879"/>
      <c r="CHK1505" s="879"/>
      <c r="CHL1505" s="879"/>
      <c r="CHM1505" s="879"/>
      <c r="CHN1505" s="879"/>
      <c r="CHO1505" s="879"/>
      <c r="CHP1505" s="879"/>
      <c r="CHQ1505" s="879"/>
      <c r="CHR1505" s="879"/>
      <c r="CHS1505" s="879"/>
      <c r="CHT1505" s="879"/>
      <c r="CHU1505" s="879"/>
      <c r="CHV1505" s="879"/>
      <c r="CHW1505" s="879"/>
      <c r="CHX1505" s="879"/>
      <c r="CHY1505" s="879"/>
      <c r="CHZ1505" s="879"/>
      <c r="CIA1505" s="879"/>
      <c r="CIB1505" s="879"/>
      <c r="CIC1505" s="879"/>
      <c r="CID1505" s="879"/>
      <c r="CIE1505" s="879"/>
      <c r="CIF1505" s="879"/>
      <c r="CIG1505" s="879"/>
      <c r="CIH1505" s="879"/>
      <c r="CII1505" s="879"/>
      <c r="CIJ1505" s="879"/>
      <c r="CIK1505" s="879"/>
      <c r="CIL1505" s="879"/>
      <c r="CIM1505" s="879"/>
      <c r="CIN1505" s="879"/>
      <c r="CIO1505" s="879"/>
      <c r="CIP1505" s="879"/>
      <c r="CIQ1505" s="879"/>
      <c r="CIR1505" s="879"/>
      <c r="CIS1505" s="879"/>
      <c r="CIT1505" s="879"/>
      <c r="CIU1505" s="879"/>
      <c r="CIV1505" s="879"/>
      <c r="CIW1505" s="879"/>
      <c r="CIX1505" s="879"/>
      <c r="CIY1505" s="879"/>
      <c r="CIZ1505" s="879"/>
      <c r="CJA1505" s="879"/>
      <c r="CJB1505" s="879"/>
      <c r="CJC1505" s="879"/>
      <c r="CJD1505" s="879"/>
      <c r="CJE1505" s="879"/>
      <c r="CJF1505" s="879"/>
      <c r="CJG1505" s="879"/>
      <c r="CJH1505" s="879"/>
      <c r="CJI1505" s="879"/>
      <c r="CJJ1505" s="879"/>
      <c r="CJK1505" s="879"/>
      <c r="CJL1505" s="879"/>
      <c r="CJM1505" s="879"/>
      <c r="CJN1505" s="879"/>
      <c r="CJO1505" s="879"/>
      <c r="CJP1505" s="879"/>
      <c r="CJQ1505" s="879"/>
      <c r="CJR1505" s="879"/>
      <c r="CJS1505" s="879"/>
      <c r="CJT1505" s="879"/>
      <c r="CJU1505" s="879"/>
      <c r="CJV1505" s="879"/>
      <c r="CJW1505" s="879"/>
      <c r="CJX1505" s="879"/>
      <c r="CJY1505" s="879"/>
      <c r="CJZ1505" s="879"/>
      <c r="CKA1505" s="879"/>
      <c r="CKB1505" s="879"/>
      <c r="CKC1505" s="879"/>
      <c r="CKD1505" s="879"/>
      <c r="CKE1505" s="879"/>
      <c r="CKF1505" s="879"/>
      <c r="CKG1505" s="879"/>
      <c r="CKH1505" s="879"/>
      <c r="CKI1505" s="879"/>
      <c r="CKJ1505" s="879"/>
      <c r="CKK1505" s="879"/>
      <c r="CKL1505" s="879"/>
      <c r="CKM1505" s="879"/>
      <c r="CKN1505" s="879"/>
      <c r="CKO1505" s="879"/>
      <c r="CKP1505" s="879"/>
      <c r="CKQ1505" s="879"/>
      <c r="CKR1505" s="879"/>
      <c r="CKS1505" s="879"/>
      <c r="CKT1505" s="879"/>
      <c r="CKU1505" s="879"/>
      <c r="CKV1505" s="879"/>
      <c r="CKW1505" s="879"/>
      <c r="CKX1505" s="879"/>
      <c r="CKY1505" s="879"/>
      <c r="CKZ1505" s="879"/>
      <c r="CLA1505" s="879"/>
      <c r="CLB1505" s="879"/>
      <c r="CLC1505" s="879"/>
      <c r="CLD1505" s="879"/>
      <c r="CLE1505" s="879"/>
      <c r="CLF1505" s="879"/>
      <c r="CLG1505" s="879"/>
      <c r="CLH1505" s="879"/>
      <c r="CLI1505" s="879"/>
      <c r="CLJ1505" s="879"/>
      <c r="CLK1505" s="879"/>
      <c r="CLL1505" s="879"/>
      <c r="CLM1505" s="879"/>
      <c r="CLN1505" s="879"/>
      <c r="CLO1505" s="879"/>
      <c r="CLP1505" s="879"/>
      <c r="CLQ1505" s="879"/>
      <c r="CLR1505" s="879"/>
      <c r="CLS1505" s="879"/>
      <c r="CLT1505" s="879"/>
      <c r="CLU1505" s="879"/>
      <c r="CLV1505" s="879"/>
      <c r="CLW1505" s="879"/>
      <c r="CLX1505" s="879"/>
      <c r="CLY1505" s="879"/>
      <c r="CLZ1505" s="879"/>
      <c r="CMA1505" s="879"/>
      <c r="CMB1505" s="879"/>
      <c r="CMC1505" s="879"/>
      <c r="CMD1505" s="879"/>
      <c r="CME1505" s="879"/>
      <c r="CMF1505" s="879"/>
      <c r="CMG1505" s="879"/>
      <c r="CMH1505" s="879"/>
      <c r="CMI1505" s="879"/>
      <c r="CMJ1505" s="879"/>
      <c r="CMK1505" s="879"/>
      <c r="CML1505" s="879"/>
      <c r="CMM1505" s="879"/>
      <c r="CMN1505" s="879"/>
      <c r="CMO1505" s="879"/>
      <c r="CMP1505" s="879"/>
      <c r="CMQ1505" s="879"/>
      <c r="CMR1505" s="879"/>
      <c r="CMS1505" s="879"/>
      <c r="CMT1505" s="879"/>
      <c r="CMU1505" s="879"/>
      <c r="CMV1505" s="879"/>
      <c r="CMW1505" s="879"/>
      <c r="CMX1505" s="879"/>
      <c r="CMY1505" s="879"/>
      <c r="CMZ1505" s="879"/>
      <c r="CNA1505" s="879"/>
      <c r="CNB1505" s="879"/>
      <c r="CNC1505" s="879"/>
      <c r="CND1505" s="879"/>
      <c r="CNE1505" s="879"/>
      <c r="CNF1505" s="879"/>
      <c r="CNG1505" s="879"/>
      <c r="CNH1505" s="879"/>
      <c r="CNI1505" s="879"/>
      <c r="CNJ1505" s="879"/>
      <c r="CNK1505" s="879"/>
      <c r="CNL1505" s="879"/>
      <c r="CNM1505" s="879"/>
      <c r="CNN1505" s="879"/>
      <c r="CNO1505" s="879"/>
      <c r="CNP1505" s="879"/>
      <c r="CNQ1505" s="879"/>
      <c r="CNR1505" s="879"/>
      <c r="CNS1505" s="879"/>
      <c r="CNT1505" s="879"/>
      <c r="CNU1505" s="879"/>
      <c r="CNV1505" s="879"/>
      <c r="CNW1505" s="879"/>
      <c r="CNX1505" s="879"/>
      <c r="CNY1505" s="879"/>
      <c r="CNZ1505" s="879"/>
      <c r="COA1505" s="879"/>
      <c r="COB1505" s="879"/>
      <c r="COC1505" s="879"/>
      <c r="COD1505" s="879"/>
      <c r="COE1505" s="879"/>
      <c r="COF1505" s="879"/>
      <c r="COG1505" s="879"/>
      <c r="COH1505" s="879"/>
      <c r="COI1505" s="879"/>
      <c r="COJ1505" s="879"/>
      <c r="COK1505" s="879"/>
      <c r="COL1505" s="879"/>
      <c r="COM1505" s="879"/>
      <c r="CON1505" s="879"/>
      <c r="COO1505" s="879"/>
      <c r="COP1505" s="879"/>
      <c r="COQ1505" s="879"/>
      <c r="COR1505" s="879"/>
      <c r="COS1505" s="879"/>
      <c r="COT1505" s="879"/>
      <c r="COU1505" s="879"/>
      <c r="COV1505" s="879"/>
      <c r="COW1505" s="879"/>
      <c r="COX1505" s="879"/>
      <c r="COY1505" s="879"/>
      <c r="COZ1505" s="879"/>
      <c r="CPA1505" s="879"/>
      <c r="CPB1505" s="879"/>
      <c r="CPC1505" s="879"/>
      <c r="CPD1505" s="879"/>
      <c r="CPE1505" s="879"/>
      <c r="CPF1505" s="879"/>
      <c r="CPG1505" s="879"/>
      <c r="CPH1505" s="879"/>
      <c r="CPI1505" s="879"/>
      <c r="CPJ1505" s="879"/>
      <c r="CPK1505" s="879"/>
      <c r="CPL1505" s="879"/>
      <c r="CPM1505" s="879"/>
      <c r="CPN1505" s="879"/>
      <c r="CPO1505" s="879"/>
      <c r="CPP1505" s="879"/>
      <c r="CPQ1505" s="879"/>
      <c r="CPR1505" s="879"/>
      <c r="CPS1505" s="879"/>
      <c r="CPT1505" s="879"/>
      <c r="CPU1505" s="879"/>
      <c r="CPV1505" s="879"/>
      <c r="CPW1505" s="879"/>
      <c r="CPX1505" s="879"/>
      <c r="CPY1505" s="879"/>
      <c r="CPZ1505" s="879"/>
      <c r="CQA1505" s="879"/>
      <c r="CQB1505" s="879"/>
      <c r="CQC1505" s="879"/>
      <c r="CQD1505" s="879"/>
      <c r="CQE1505" s="879"/>
      <c r="CQF1505" s="879"/>
      <c r="CQG1505" s="879"/>
      <c r="CQH1505" s="879"/>
      <c r="CQI1505" s="879"/>
      <c r="CQJ1505" s="879"/>
      <c r="CQK1505" s="879"/>
      <c r="CQL1505" s="879"/>
      <c r="CQM1505" s="879"/>
      <c r="CQN1505" s="879"/>
      <c r="CQO1505" s="879"/>
      <c r="CQP1505" s="879"/>
      <c r="CQQ1505" s="879"/>
      <c r="CQR1505" s="879"/>
      <c r="CQS1505" s="879"/>
      <c r="CQT1505" s="879"/>
      <c r="CQU1505" s="879"/>
      <c r="CQV1505" s="879"/>
      <c r="CQW1505" s="879"/>
      <c r="CQX1505" s="879"/>
      <c r="CQY1505" s="879"/>
      <c r="CQZ1505" s="879"/>
      <c r="CRA1505" s="879"/>
      <c r="CRB1505" s="879"/>
      <c r="CRC1505" s="879"/>
      <c r="CRD1505" s="879"/>
      <c r="CRE1505" s="879"/>
      <c r="CRF1505" s="879"/>
      <c r="CRG1505" s="879"/>
      <c r="CRH1505" s="879"/>
      <c r="CRI1505" s="879"/>
      <c r="CRJ1505" s="879"/>
      <c r="CRK1505" s="879"/>
      <c r="CRL1505" s="879"/>
      <c r="CRM1505" s="879"/>
      <c r="CRN1505" s="879"/>
      <c r="CRO1505" s="879"/>
      <c r="CRP1505" s="879"/>
      <c r="CRQ1505" s="879"/>
      <c r="CRR1505" s="879"/>
      <c r="CRS1505" s="879"/>
      <c r="CRT1505" s="879"/>
      <c r="CRU1505" s="879"/>
      <c r="CRV1505" s="879"/>
      <c r="CRW1505" s="879"/>
      <c r="CRX1505" s="879"/>
      <c r="CRY1505" s="879"/>
      <c r="CRZ1505" s="879"/>
      <c r="CSA1505" s="879"/>
      <c r="CSB1505" s="879"/>
      <c r="CSC1505" s="879"/>
      <c r="CSD1505" s="879"/>
      <c r="CSE1505" s="879"/>
      <c r="CSF1505" s="879"/>
      <c r="CSG1505" s="879"/>
      <c r="CSH1505" s="879"/>
      <c r="CSI1505" s="879"/>
      <c r="CSJ1505" s="879"/>
      <c r="CSK1505" s="879"/>
      <c r="CSL1505" s="879"/>
      <c r="CSM1505" s="879"/>
      <c r="CSN1505" s="879"/>
      <c r="CSO1505" s="879"/>
      <c r="CSP1505" s="879"/>
      <c r="CSQ1505" s="879"/>
      <c r="CSR1505" s="879"/>
      <c r="CSS1505" s="879"/>
      <c r="CST1505" s="879"/>
      <c r="CSU1505" s="879"/>
      <c r="CSV1505" s="879"/>
      <c r="CSW1505" s="879"/>
      <c r="CSX1505" s="879"/>
      <c r="CSY1505" s="879"/>
      <c r="CSZ1505" s="879"/>
      <c r="CTA1505" s="879"/>
      <c r="CTB1505" s="879"/>
      <c r="CTC1505" s="879"/>
      <c r="CTD1505" s="879"/>
      <c r="CTE1505" s="879"/>
      <c r="CTF1505" s="879"/>
      <c r="CTG1505" s="879"/>
      <c r="CTH1505" s="879"/>
      <c r="CTI1505" s="879"/>
      <c r="CTJ1505" s="879"/>
      <c r="CTK1505" s="879"/>
      <c r="CTL1505" s="879"/>
      <c r="CTM1505" s="879"/>
      <c r="CTN1505" s="879"/>
      <c r="CTO1505" s="879"/>
      <c r="CTP1505" s="879"/>
      <c r="CTQ1505" s="879"/>
      <c r="CTR1505" s="879"/>
      <c r="CTS1505" s="879"/>
      <c r="CTT1505" s="879"/>
      <c r="CTU1505" s="879"/>
      <c r="CTV1505" s="879"/>
      <c r="CTW1505" s="879"/>
      <c r="CTX1505" s="879"/>
      <c r="CTY1505" s="879"/>
      <c r="CTZ1505" s="879"/>
      <c r="CUA1505" s="879"/>
      <c r="CUB1505" s="879"/>
      <c r="CUC1505" s="879"/>
      <c r="CUD1505" s="879"/>
      <c r="CUE1505" s="879"/>
      <c r="CUF1505" s="879"/>
      <c r="CUG1505" s="879"/>
      <c r="CUH1505" s="879"/>
      <c r="CUI1505" s="879"/>
      <c r="CUJ1505" s="879"/>
      <c r="CUK1505" s="879"/>
      <c r="CUL1505" s="879"/>
      <c r="CUM1505" s="879"/>
      <c r="CUN1505" s="879"/>
      <c r="CUO1505" s="879"/>
      <c r="CUP1505" s="879"/>
      <c r="CUQ1505" s="879"/>
      <c r="CUR1505" s="879"/>
      <c r="CUS1505" s="879"/>
      <c r="CUT1505" s="879"/>
      <c r="CUU1505" s="879"/>
      <c r="CUV1505" s="879"/>
      <c r="CUW1505" s="879"/>
      <c r="CUX1505" s="879"/>
      <c r="CUY1505" s="879"/>
      <c r="CUZ1505" s="879"/>
      <c r="CVA1505" s="879"/>
      <c r="CVB1505" s="879"/>
      <c r="CVC1505" s="879"/>
      <c r="CVD1505" s="879"/>
      <c r="CVE1505" s="879"/>
      <c r="CVF1505" s="879"/>
      <c r="CVG1505" s="879"/>
      <c r="CVH1505" s="879"/>
      <c r="CVI1505" s="879"/>
      <c r="CVJ1505" s="879"/>
      <c r="CVK1505" s="879"/>
      <c r="CVL1505" s="879"/>
      <c r="CVM1505" s="879"/>
      <c r="CVN1505" s="879"/>
      <c r="CVO1505" s="879"/>
      <c r="CVP1505" s="879"/>
      <c r="CVQ1505" s="879"/>
      <c r="CVR1505" s="879"/>
      <c r="CVS1505" s="879"/>
      <c r="CVT1505" s="879"/>
      <c r="CVU1505" s="879"/>
      <c r="CVV1505" s="879"/>
      <c r="CVW1505" s="879"/>
      <c r="CVX1505" s="879"/>
      <c r="CVY1505" s="879"/>
      <c r="CVZ1505" s="879"/>
      <c r="CWA1505" s="879"/>
      <c r="CWB1505" s="879"/>
      <c r="CWC1505" s="879"/>
      <c r="CWD1505" s="879"/>
      <c r="CWE1505" s="879"/>
      <c r="CWF1505" s="879"/>
      <c r="CWG1505" s="879"/>
      <c r="CWH1505" s="879"/>
      <c r="CWI1505" s="879"/>
      <c r="CWJ1505" s="879"/>
      <c r="CWK1505" s="879"/>
      <c r="CWL1505" s="879"/>
      <c r="CWM1505" s="879"/>
      <c r="CWN1505" s="879"/>
      <c r="CWO1505" s="879"/>
      <c r="CWP1505" s="879"/>
      <c r="CWQ1505" s="879"/>
      <c r="CWR1505" s="879"/>
      <c r="CWS1505" s="879"/>
      <c r="CWT1505" s="879"/>
      <c r="CWU1505" s="879"/>
      <c r="CWV1505" s="879"/>
      <c r="CWW1505" s="879"/>
      <c r="CWX1505" s="879"/>
      <c r="CWY1505" s="879"/>
      <c r="CWZ1505" s="879"/>
      <c r="CXA1505" s="879"/>
      <c r="CXB1505" s="879"/>
      <c r="CXC1505" s="879"/>
      <c r="CXD1505" s="879"/>
      <c r="CXE1505" s="879"/>
      <c r="CXF1505" s="879"/>
      <c r="CXG1505" s="879"/>
      <c r="CXH1505" s="879"/>
      <c r="CXI1505" s="879"/>
      <c r="CXJ1505" s="879"/>
      <c r="CXK1505" s="879"/>
      <c r="CXL1505" s="879"/>
      <c r="CXM1505" s="879"/>
      <c r="CXN1505" s="879"/>
      <c r="CXO1505" s="879"/>
      <c r="CXP1505" s="879"/>
      <c r="CXQ1505" s="879"/>
      <c r="CXR1505" s="879"/>
      <c r="CXS1505" s="879"/>
      <c r="CXT1505" s="879"/>
      <c r="CXU1505" s="879"/>
      <c r="CXV1505" s="879"/>
      <c r="CXW1505" s="879"/>
      <c r="CXX1505" s="879"/>
      <c r="CXY1505" s="879"/>
      <c r="CXZ1505" s="879"/>
      <c r="CYA1505" s="879"/>
      <c r="CYB1505" s="879"/>
      <c r="CYC1505" s="879"/>
      <c r="CYD1505" s="879"/>
      <c r="CYE1505" s="879"/>
      <c r="CYF1505" s="879"/>
      <c r="CYG1505" s="879"/>
      <c r="CYH1505" s="879"/>
      <c r="CYI1505" s="879"/>
      <c r="CYJ1505" s="879"/>
      <c r="CYK1505" s="879"/>
      <c r="CYL1505" s="879"/>
      <c r="CYM1505" s="879"/>
      <c r="CYN1505" s="879"/>
      <c r="CYO1505" s="879"/>
      <c r="CYP1505" s="879"/>
      <c r="CYQ1505" s="879"/>
      <c r="CYR1505" s="879"/>
      <c r="CYS1505" s="879"/>
      <c r="CYT1505" s="879"/>
      <c r="CYU1505" s="879"/>
      <c r="CYV1505" s="879"/>
      <c r="CYW1505" s="879"/>
      <c r="CYX1505" s="879"/>
      <c r="CYY1505" s="879"/>
      <c r="CYZ1505" s="879"/>
      <c r="CZA1505" s="879"/>
      <c r="CZB1505" s="879"/>
      <c r="CZC1505" s="879"/>
      <c r="CZD1505" s="879"/>
      <c r="CZE1505" s="879"/>
      <c r="CZF1505" s="879"/>
      <c r="CZG1505" s="879"/>
      <c r="CZH1505" s="879"/>
      <c r="CZI1505" s="879"/>
      <c r="CZJ1505" s="879"/>
      <c r="CZK1505" s="879"/>
      <c r="CZL1505" s="879"/>
      <c r="CZM1505" s="879"/>
      <c r="CZN1505" s="879"/>
      <c r="CZO1505" s="879"/>
      <c r="CZP1505" s="879"/>
      <c r="CZQ1505" s="879"/>
      <c r="CZR1505" s="879"/>
      <c r="CZS1505" s="879"/>
      <c r="CZT1505" s="879"/>
      <c r="CZU1505" s="879"/>
      <c r="CZV1505" s="879"/>
      <c r="CZW1505" s="879"/>
      <c r="CZX1505" s="879"/>
      <c r="CZY1505" s="879"/>
      <c r="CZZ1505" s="879"/>
      <c r="DAA1505" s="879"/>
      <c r="DAB1505" s="879"/>
      <c r="DAC1505" s="879"/>
      <c r="DAD1505" s="879"/>
      <c r="DAE1505" s="879"/>
      <c r="DAF1505" s="879"/>
      <c r="DAG1505" s="879"/>
      <c r="DAH1505" s="879"/>
      <c r="DAI1505" s="879"/>
      <c r="DAJ1505" s="879"/>
      <c r="DAK1505" s="879"/>
      <c r="DAL1505" s="879"/>
      <c r="DAM1505" s="879"/>
      <c r="DAN1505" s="879"/>
      <c r="DAO1505" s="879"/>
      <c r="DAP1505" s="879"/>
      <c r="DAQ1505" s="879"/>
      <c r="DAR1505" s="879"/>
      <c r="DAS1505" s="879"/>
      <c r="DAT1505" s="879"/>
      <c r="DAU1505" s="879"/>
      <c r="DAV1505" s="879"/>
      <c r="DAW1505" s="879"/>
      <c r="DAX1505" s="879"/>
      <c r="DAY1505" s="879"/>
      <c r="DAZ1505" s="879"/>
      <c r="DBA1505" s="879"/>
      <c r="DBB1505" s="879"/>
      <c r="DBC1505" s="879"/>
      <c r="DBD1505" s="879"/>
      <c r="DBE1505" s="879"/>
      <c r="DBF1505" s="879"/>
      <c r="DBG1505" s="879"/>
      <c r="DBH1505" s="879"/>
      <c r="DBI1505" s="879"/>
      <c r="DBJ1505" s="879"/>
      <c r="DBK1505" s="879"/>
      <c r="DBL1505" s="879"/>
      <c r="DBM1505" s="879"/>
      <c r="DBN1505" s="879"/>
      <c r="DBO1505" s="879"/>
      <c r="DBP1505" s="879"/>
      <c r="DBQ1505" s="879"/>
      <c r="DBR1505" s="879"/>
      <c r="DBS1505" s="879"/>
      <c r="DBT1505" s="879"/>
      <c r="DBU1505" s="879"/>
      <c r="DBV1505" s="879"/>
      <c r="DBW1505" s="879"/>
      <c r="DBX1505" s="879"/>
      <c r="DBY1505" s="879"/>
      <c r="DBZ1505" s="879"/>
      <c r="DCA1505" s="879"/>
      <c r="DCB1505" s="879"/>
      <c r="DCC1505" s="879"/>
      <c r="DCD1505" s="879"/>
      <c r="DCE1505" s="879"/>
      <c r="DCF1505" s="879"/>
      <c r="DCG1505" s="879"/>
      <c r="DCH1505" s="879"/>
      <c r="DCI1505" s="879"/>
      <c r="DCJ1505" s="879"/>
      <c r="DCK1505" s="879"/>
      <c r="DCL1505" s="879"/>
      <c r="DCM1505" s="879"/>
      <c r="DCN1505" s="879"/>
      <c r="DCO1505" s="879"/>
      <c r="DCP1505" s="879"/>
      <c r="DCQ1505" s="879"/>
      <c r="DCR1505" s="879"/>
      <c r="DCS1505" s="879"/>
      <c r="DCT1505" s="879"/>
      <c r="DCU1505" s="879"/>
      <c r="DCV1505" s="879"/>
      <c r="DCW1505" s="879"/>
      <c r="DCX1505" s="879"/>
      <c r="DCY1505" s="879"/>
      <c r="DCZ1505" s="879"/>
      <c r="DDA1505" s="879"/>
      <c r="DDB1505" s="879"/>
      <c r="DDC1505" s="879"/>
      <c r="DDD1505" s="879"/>
      <c r="DDE1505" s="879"/>
      <c r="DDF1505" s="879"/>
      <c r="DDG1505" s="879"/>
      <c r="DDH1505" s="879"/>
      <c r="DDI1505" s="879"/>
      <c r="DDJ1505" s="879"/>
      <c r="DDK1505" s="879"/>
      <c r="DDL1505" s="879"/>
      <c r="DDM1505" s="879"/>
      <c r="DDN1505" s="879"/>
      <c r="DDO1505" s="879"/>
      <c r="DDP1505" s="879"/>
      <c r="DDQ1505" s="879"/>
      <c r="DDR1505" s="879"/>
      <c r="DDS1505" s="879"/>
      <c r="DDT1505" s="879"/>
      <c r="DDU1505" s="879"/>
      <c r="DDV1505" s="879"/>
      <c r="DDW1505" s="879"/>
      <c r="DDX1505" s="879"/>
      <c r="DDY1505" s="879"/>
      <c r="DDZ1505" s="879"/>
      <c r="DEA1505" s="879"/>
      <c r="DEB1505" s="879"/>
      <c r="DEC1505" s="879"/>
      <c r="DED1505" s="879"/>
      <c r="DEE1505" s="879"/>
      <c r="DEF1505" s="879"/>
      <c r="DEG1505" s="879"/>
      <c r="DEH1505" s="879"/>
      <c r="DEI1505" s="879"/>
      <c r="DEJ1505" s="879"/>
      <c r="DEK1505" s="879"/>
      <c r="DEL1505" s="879"/>
      <c r="DEM1505" s="879"/>
      <c r="DEN1505" s="879"/>
      <c r="DEO1505" s="879"/>
      <c r="DEP1505" s="879"/>
      <c r="DEQ1505" s="879"/>
      <c r="DER1505" s="879"/>
      <c r="DES1505" s="879"/>
      <c r="DET1505" s="879"/>
      <c r="DEU1505" s="879"/>
      <c r="DEV1505" s="879"/>
      <c r="DEW1505" s="879"/>
      <c r="DEX1505" s="879"/>
      <c r="DEY1505" s="879"/>
      <c r="DEZ1505" s="879"/>
      <c r="DFA1505" s="879"/>
      <c r="DFB1505" s="879"/>
      <c r="DFC1505" s="879"/>
      <c r="DFD1505" s="879"/>
      <c r="DFE1505" s="879"/>
      <c r="DFF1505" s="879"/>
      <c r="DFG1505" s="879"/>
      <c r="DFH1505" s="879"/>
      <c r="DFI1505" s="879"/>
      <c r="DFJ1505" s="879"/>
      <c r="DFK1505" s="879"/>
      <c r="DFL1505" s="879"/>
      <c r="DFM1505" s="879"/>
      <c r="DFN1505" s="879"/>
      <c r="DFO1505" s="879"/>
      <c r="DFP1505" s="879"/>
      <c r="DFQ1505" s="879"/>
      <c r="DFR1505" s="879"/>
      <c r="DFS1505" s="879"/>
      <c r="DFT1505" s="879"/>
      <c r="DFU1505" s="879"/>
      <c r="DFV1505" s="879"/>
      <c r="DFW1505" s="879"/>
      <c r="DFX1505" s="879"/>
      <c r="DFY1505" s="879"/>
      <c r="DFZ1505" s="879"/>
      <c r="DGA1505" s="879"/>
      <c r="DGB1505" s="879"/>
      <c r="DGC1505" s="879"/>
      <c r="DGD1505" s="879"/>
      <c r="DGE1505" s="879"/>
      <c r="DGF1505" s="879"/>
      <c r="DGG1505" s="879"/>
      <c r="DGH1505" s="879"/>
      <c r="DGI1505" s="879"/>
      <c r="DGJ1505" s="879"/>
      <c r="DGK1505" s="879"/>
      <c r="DGL1505" s="879"/>
      <c r="DGM1505" s="879"/>
      <c r="DGN1505" s="879"/>
      <c r="DGO1505" s="879"/>
      <c r="DGP1505" s="879"/>
      <c r="DGQ1505" s="879"/>
      <c r="DGR1505" s="879"/>
      <c r="DGS1505" s="879"/>
      <c r="DGT1505" s="879"/>
      <c r="DGU1505" s="879"/>
      <c r="DGV1505" s="879"/>
      <c r="DGW1505" s="879"/>
      <c r="DGX1505" s="879"/>
      <c r="DGY1505" s="879"/>
      <c r="DGZ1505" s="879"/>
      <c r="DHA1505" s="879"/>
      <c r="DHB1505" s="879"/>
      <c r="DHC1505" s="879"/>
      <c r="DHD1505" s="879"/>
      <c r="DHE1505" s="879"/>
      <c r="DHF1505" s="879"/>
      <c r="DHG1505" s="879"/>
      <c r="DHH1505" s="879"/>
      <c r="DHI1505" s="879"/>
      <c r="DHJ1505" s="879"/>
      <c r="DHK1505" s="879"/>
      <c r="DHL1505" s="879"/>
      <c r="DHM1505" s="879"/>
      <c r="DHN1505" s="879"/>
      <c r="DHO1505" s="879"/>
      <c r="DHP1505" s="879"/>
      <c r="DHQ1505" s="879"/>
      <c r="DHR1505" s="879"/>
      <c r="DHS1505" s="879"/>
      <c r="DHT1505" s="879"/>
      <c r="DHU1505" s="879"/>
      <c r="DHV1505" s="879"/>
      <c r="DHW1505" s="879"/>
      <c r="DHX1505" s="879"/>
      <c r="DHY1505" s="879"/>
      <c r="DHZ1505" s="879"/>
      <c r="DIA1505" s="879"/>
      <c r="DIB1505" s="879"/>
      <c r="DIC1505" s="879"/>
      <c r="DID1505" s="879"/>
      <c r="DIE1505" s="879"/>
      <c r="DIF1505" s="879"/>
      <c r="DIG1505" s="879"/>
      <c r="DIH1505" s="879"/>
      <c r="DII1505" s="879"/>
      <c r="DIJ1505" s="879"/>
      <c r="DIK1505" s="879"/>
      <c r="DIL1505" s="879"/>
      <c r="DIM1505" s="879"/>
      <c r="DIN1505" s="879"/>
      <c r="DIO1505" s="879"/>
      <c r="DIP1505" s="879"/>
      <c r="DIQ1505" s="879"/>
      <c r="DIR1505" s="879"/>
      <c r="DIS1505" s="879"/>
      <c r="DIT1505" s="879"/>
      <c r="DIU1505" s="879"/>
      <c r="DIV1505" s="879"/>
      <c r="DIW1505" s="879"/>
      <c r="DIX1505" s="879"/>
      <c r="DIY1505" s="879"/>
      <c r="DIZ1505" s="879"/>
      <c r="DJA1505" s="879"/>
      <c r="DJB1505" s="879"/>
      <c r="DJC1505" s="879"/>
      <c r="DJD1505" s="879"/>
      <c r="DJE1505" s="879"/>
      <c r="DJF1505" s="879"/>
      <c r="DJG1505" s="879"/>
      <c r="DJH1505" s="879"/>
      <c r="DJI1505" s="879"/>
      <c r="DJJ1505" s="879"/>
      <c r="DJK1505" s="879"/>
      <c r="DJL1505" s="879"/>
      <c r="DJM1505" s="879"/>
      <c r="DJN1505" s="879"/>
      <c r="DJO1505" s="879"/>
      <c r="DJP1505" s="879"/>
      <c r="DJQ1505" s="879"/>
      <c r="DJR1505" s="879"/>
      <c r="DJS1505" s="879"/>
      <c r="DJT1505" s="879"/>
      <c r="DJU1505" s="879"/>
      <c r="DJV1505" s="879"/>
      <c r="DJW1505" s="879"/>
      <c r="DJX1505" s="879"/>
      <c r="DJY1505" s="879"/>
      <c r="DJZ1505" s="879"/>
      <c r="DKA1505" s="879"/>
      <c r="DKB1505" s="879"/>
      <c r="DKC1505" s="879"/>
      <c r="DKD1505" s="879"/>
      <c r="DKE1505" s="879"/>
      <c r="DKF1505" s="879"/>
      <c r="DKG1505" s="879"/>
      <c r="DKH1505" s="879"/>
      <c r="DKI1505" s="879"/>
      <c r="DKJ1505" s="879"/>
      <c r="DKK1505" s="879"/>
      <c r="DKL1505" s="879"/>
      <c r="DKM1505" s="879"/>
      <c r="DKN1505" s="879"/>
      <c r="DKO1505" s="879"/>
      <c r="DKP1505" s="879"/>
      <c r="DKQ1505" s="879"/>
      <c r="DKR1505" s="879"/>
      <c r="DKS1505" s="879"/>
      <c r="DKT1505" s="879"/>
      <c r="DKU1505" s="879"/>
      <c r="DKV1505" s="879"/>
      <c r="DKW1505" s="879"/>
      <c r="DKX1505" s="879"/>
      <c r="DKY1505" s="879"/>
      <c r="DKZ1505" s="879"/>
      <c r="DLA1505" s="879"/>
      <c r="DLB1505" s="879"/>
      <c r="DLC1505" s="879"/>
      <c r="DLD1505" s="879"/>
      <c r="DLE1505" s="879"/>
      <c r="DLF1505" s="879"/>
      <c r="DLG1505" s="879"/>
      <c r="DLH1505" s="879"/>
      <c r="DLI1505" s="879"/>
      <c r="DLJ1505" s="879"/>
      <c r="DLK1505" s="879"/>
      <c r="DLL1505" s="879"/>
      <c r="DLM1505" s="879"/>
      <c r="DLN1505" s="879"/>
      <c r="DLO1505" s="879"/>
      <c r="DLP1505" s="879"/>
      <c r="DLQ1505" s="879"/>
      <c r="DLR1505" s="879"/>
      <c r="DLS1505" s="879"/>
      <c r="DLT1505" s="879"/>
      <c r="DLU1505" s="879"/>
      <c r="DLV1505" s="879"/>
      <c r="DLW1505" s="879"/>
      <c r="DLX1505" s="879"/>
      <c r="DLY1505" s="879"/>
      <c r="DLZ1505" s="879"/>
      <c r="DMA1505" s="879"/>
      <c r="DMB1505" s="879"/>
      <c r="DMC1505" s="879"/>
      <c r="DMD1505" s="879"/>
      <c r="DME1505" s="879"/>
      <c r="DMF1505" s="879"/>
      <c r="DMG1505" s="879"/>
      <c r="DMH1505" s="879"/>
      <c r="DMI1505" s="879"/>
      <c r="DMJ1505" s="879"/>
      <c r="DMK1505" s="879"/>
      <c r="DML1505" s="879"/>
      <c r="DMM1505" s="879"/>
      <c r="DMN1505" s="879"/>
      <c r="DMO1505" s="879"/>
      <c r="DMP1505" s="879"/>
      <c r="DMQ1505" s="879"/>
      <c r="DMR1505" s="879"/>
      <c r="DMS1505" s="879"/>
      <c r="DMT1505" s="879"/>
      <c r="DMU1505" s="879"/>
      <c r="DMV1505" s="879"/>
      <c r="DMW1505" s="879"/>
      <c r="DMX1505" s="879"/>
      <c r="DMY1505" s="879"/>
      <c r="DMZ1505" s="879"/>
      <c r="DNA1505" s="879"/>
      <c r="DNB1505" s="879"/>
      <c r="DNC1505" s="879"/>
      <c r="DND1505" s="879"/>
      <c r="DNE1505" s="879"/>
      <c r="DNF1505" s="879"/>
      <c r="DNG1505" s="879"/>
      <c r="DNH1505" s="879"/>
      <c r="DNI1505" s="879"/>
      <c r="DNJ1505" s="879"/>
      <c r="DNK1505" s="879"/>
      <c r="DNL1505" s="879"/>
      <c r="DNM1505" s="879"/>
      <c r="DNN1505" s="879"/>
      <c r="DNO1505" s="879"/>
      <c r="DNP1505" s="879"/>
      <c r="DNQ1505" s="879"/>
      <c r="DNR1505" s="879"/>
      <c r="DNS1505" s="879"/>
      <c r="DNT1505" s="879"/>
      <c r="DNU1505" s="879"/>
      <c r="DNV1505" s="879"/>
      <c r="DNW1505" s="879"/>
      <c r="DNX1505" s="879"/>
      <c r="DNY1505" s="879"/>
      <c r="DNZ1505" s="879"/>
      <c r="DOA1505" s="879"/>
      <c r="DOB1505" s="879"/>
      <c r="DOC1505" s="879"/>
      <c r="DOD1505" s="879"/>
      <c r="DOE1505" s="879"/>
      <c r="DOF1505" s="879"/>
      <c r="DOG1505" s="879"/>
      <c r="DOH1505" s="879"/>
      <c r="DOI1505" s="879"/>
      <c r="DOJ1505" s="879"/>
      <c r="DOK1505" s="879"/>
      <c r="DOL1505" s="879"/>
      <c r="DOM1505" s="879"/>
      <c r="DON1505" s="879"/>
      <c r="DOO1505" s="879"/>
      <c r="DOP1505" s="879"/>
      <c r="DOQ1505" s="879"/>
      <c r="DOR1505" s="879"/>
      <c r="DOS1505" s="879"/>
      <c r="DOT1505" s="879"/>
      <c r="DOU1505" s="879"/>
      <c r="DOV1505" s="879"/>
      <c r="DOW1505" s="879"/>
      <c r="DOX1505" s="879"/>
      <c r="DOY1505" s="879"/>
      <c r="DOZ1505" s="879"/>
      <c r="DPA1505" s="879"/>
      <c r="DPB1505" s="879"/>
      <c r="DPC1505" s="879"/>
      <c r="DPD1505" s="879"/>
      <c r="DPE1505" s="879"/>
      <c r="DPF1505" s="879"/>
      <c r="DPG1505" s="879"/>
      <c r="DPH1505" s="879"/>
      <c r="DPI1505" s="879"/>
      <c r="DPJ1505" s="879"/>
      <c r="DPK1505" s="879"/>
      <c r="DPL1505" s="879"/>
      <c r="DPM1505" s="879"/>
      <c r="DPN1505" s="879"/>
      <c r="DPO1505" s="879"/>
      <c r="DPP1505" s="879"/>
      <c r="DPQ1505" s="879"/>
      <c r="DPR1505" s="879"/>
      <c r="DPS1505" s="879"/>
      <c r="DPT1505" s="879"/>
      <c r="DPU1505" s="879"/>
      <c r="DPV1505" s="879"/>
      <c r="DPW1505" s="879"/>
      <c r="DPX1505" s="879"/>
      <c r="DPY1505" s="879"/>
      <c r="DPZ1505" s="879"/>
      <c r="DQA1505" s="879"/>
      <c r="DQB1505" s="879"/>
      <c r="DQC1505" s="879"/>
      <c r="DQD1505" s="879"/>
      <c r="DQE1505" s="879"/>
      <c r="DQF1505" s="879"/>
      <c r="DQG1505" s="879"/>
      <c r="DQH1505" s="879"/>
      <c r="DQI1505" s="879"/>
      <c r="DQJ1505" s="879"/>
      <c r="DQK1505" s="879"/>
      <c r="DQL1505" s="879"/>
      <c r="DQM1505" s="879"/>
      <c r="DQN1505" s="879"/>
      <c r="DQO1505" s="879"/>
      <c r="DQP1505" s="879"/>
      <c r="DQQ1505" s="879"/>
      <c r="DQR1505" s="879"/>
      <c r="DQS1505" s="879"/>
      <c r="DQT1505" s="879"/>
      <c r="DQU1505" s="879"/>
      <c r="DQV1505" s="879"/>
      <c r="DQW1505" s="879"/>
      <c r="DQX1505" s="879"/>
      <c r="DQY1505" s="879"/>
      <c r="DQZ1505" s="879"/>
      <c r="DRA1505" s="879"/>
      <c r="DRB1505" s="879"/>
      <c r="DRC1505" s="879"/>
      <c r="DRD1505" s="879"/>
      <c r="DRE1505" s="879"/>
      <c r="DRF1505" s="879"/>
      <c r="DRG1505" s="879"/>
      <c r="DRH1505" s="879"/>
      <c r="DRI1505" s="879"/>
      <c r="DRJ1505" s="879"/>
      <c r="DRK1505" s="879"/>
      <c r="DRL1505" s="879"/>
      <c r="DRM1505" s="879"/>
      <c r="DRN1505" s="879"/>
      <c r="DRO1505" s="879"/>
      <c r="DRP1505" s="879"/>
      <c r="DRQ1505" s="879"/>
      <c r="DRR1505" s="879"/>
      <c r="DRS1505" s="879"/>
      <c r="DRT1505" s="879"/>
      <c r="DRU1505" s="879"/>
      <c r="DRV1505" s="879"/>
      <c r="DRW1505" s="879"/>
      <c r="DRX1505" s="879"/>
      <c r="DRY1505" s="879"/>
      <c r="DRZ1505" s="879"/>
      <c r="DSA1505" s="879"/>
      <c r="DSB1505" s="879"/>
      <c r="DSC1505" s="879"/>
      <c r="DSD1505" s="879"/>
      <c r="DSE1505" s="879"/>
      <c r="DSF1505" s="879"/>
      <c r="DSG1505" s="879"/>
      <c r="DSH1505" s="879"/>
      <c r="DSI1505" s="879"/>
      <c r="DSJ1505" s="879"/>
      <c r="DSK1505" s="879"/>
      <c r="DSL1505" s="879"/>
      <c r="DSM1505" s="879"/>
      <c r="DSN1505" s="879"/>
      <c r="DSO1505" s="879"/>
      <c r="DSP1505" s="879"/>
      <c r="DSQ1505" s="879"/>
      <c r="DSR1505" s="879"/>
      <c r="DSS1505" s="879"/>
      <c r="DST1505" s="879"/>
      <c r="DSU1505" s="879"/>
      <c r="DSV1505" s="879"/>
      <c r="DSW1505" s="879"/>
      <c r="DSX1505" s="879"/>
      <c r="DSY1505" s="879"/>
      <c r="DSZ1505" s="879"/>
      <c r="DTA1505" s="879"/>
      <c r="DTB1505" s="879"/>
      <c r="DTC1505" s="879"/>
      <c r="DTD1505" s="879"/>
      <c r="DTE1505" s="879"/>
      <c r="DTF1505" s="879"/>
      <c r="DTG1505" s="879"/>
      <c r="DTH1505" s="879"/>
      <c r="DTI1505" s="879"/>
      <c r="DTJ1505" s="879"/>
      <c r="DTK1505" s="879"/>
      <c r="DTL1505" s="879"/>
      <c r="DTM1505" s="879"/>
      <c r="DTN1505" s="879"/>
      <c r="DTO1505" s="879"/>
      <c r="DTP1505" s="879"/>
      <c r="DTQ1505" s="879"/>
      <c r="DTR1505" s="879"/>
      <c r="DTS1505" s="879"/>
      <c r="DTT1505" s="879"/>
      <c r="DTU1505" s="879"/>
      <c r="DTV1505" s="879"/>
      <c r="DTW1505" s="879"/>
      <c r="DTX1505" s="879"/>
      <c r="DTY1505" s="879"/>
      <c r="DTZ1505" s="879"/>
      <c r="DUA1505" s="879"/>
      <c r="DUB1505" s="879"/>
      <c r="DUC1505" s="879"/>
      <c r="DUD1505" s="879"/>
      <c r="DUE1505" s="879"/>
      <c r="DUF1505" s="879"/>
      <c r="DUG1505" s="879"/>
      <c r="DUH1505" s="879"/>
      <c r="DUI1505" s="879"/>
      <c r="DUJ1505" s="879"/>
      <c r="DUK1505" s="879"/>
      <c r="DUL1505" s="879"/>
      <c r="DUM1505" s="879"/>
      <c r="DUN1505" s="879"/>
      <c r="DUO1505" s="879"/>
      <c r="DUP1505" s="879"/>
      <c r="DUQ1505" s="879"/>
      <c r="DUR1505" s="879"/>
      <c r="DUS1505" s="879"/>
      <c r="DUT1505" s="879"/>
      <c r="DUU1505" s="879"/>
      <c r="DUV1505" s="879"/>
      <c r="DUW1505" s="879"/>
      <c r="DUX1505" s="879"/>
      <c r="DUY1505" s="879"/>
      <c r="DUZ1505" s="879"/>
      <c r="DVA1505" s="879"/>
      <c r="DVB1505" s="879"/>
      <c r="DVC1505" s="879"/>
      <c r="DVD1505" s="879"/>
      <c r="DVE1505" s="879"/>
      <c r="DVF1505" s="879"/>
      <c r="DVG1505" s="879"/>
      <c r="DVH1505" s="879"/>
      <c r="DVI1505" s="879"/>
      <c r="DVJ1505" s="879"/>
      <c r="DVK1505" s="879"/>
      <c r="DVL1505" s="879"/>
      <c r="DVM1505" s="879"/>
      <c r="DVN1505" s="879"/>
      <c r="DVO1505" s="879"/>
      <c r="DVP1505" s="879"/>
      <c r="DVQ1505" s="879"/>
      <c r="DVR1505" s="879"/>
      <c r="DVS1505" s="879"/>
      <c r="DVT1505" s="879"/>
      <c r="DVU1505" s="879"/>
      <c r="DVV1505" s="879"/>
      <c r="DVW1505" s="879"/>
      <c r="DVX1505" s="879"/>
      <c r="DVY1505" s="879"/>
      <c r="DVZ1505" s="879"/>
      <c r="DWA1505" s="879"/>
      <c r="DWB1505" s="879"/>
      <c r="DWC1505" s="879"/>
      <c r="DWD1505" s="879"/>
      <c r="DWE1505" s="879"/>
      <c r="DWF1505" s="879"/>
      <c r="DWG1505" s="879"/>
      <c r="DWH1505" s="879"/>
      <c r="DWI1505" s="879"/>
      <c r="DWJ1505" s="879"/>
      <c r="DWK1505" s="879"/>
      <c r="DWL1505" s="879"/>
      <c r="DWM1505" s="879"/>
      <c r="DWN1505" s="879"/>
      <c r="DWO1505" s="879"/>
      <c r="DWP1505" s="879"/>
      <c r="DWQ1505" s="879"/>
      <c r="DWR1505" s="879"/>
      <c r="DWS1505" s="879"/>
      <c r="DWT1505" s="879"/>
      <c r="DWU1505" s="879"/>
      <c r="DWV1505" s="879"/>
      <c r="DWW1505" s="879"/>
      <c r="DWX1505" s="879"/>
      <c r="DWY1505" s="879"/>
      <c r="DWZ1505" s="879"/>
      <c r="DXA1505" s="879"/>
      <c r="DXB1505" s="879"/>
      <c r="DXC1505" s="879"/>
      <c r="DXD1505" s="879"/>
      <c r="DXE1505" s="879"/>
      <c r="DXF1505" s="879"/>
      <c r="DXG1505" s="879"/>
      <c r="DXH1505" s="879"/>
      <c r="DXI1505" s="879"/>
      <c r="DXJ1505" s="879"/>
      <c r="DXK1505" s="879"/>
      <c r="DXL1505" s="879"/>
      <c r="DXM1505" s="879"/>
      <c r="DXN1505" s="879"/>
      <c r="DXO1505" s="879"/>
      <c r="DXP1505" s="879"/>
      <c r="DXQ1505" s="879"/>
      <c r="DXR1505" s="879"/>
      <c r="DXS1505" s="879"/>
      <c r="DXT1505" s="879"/>
      <c r="DXU1505" s="879"/>
      <c r="DXV1505" s="879"/>
      <c r="DXW1505" s="879"/>
      <c r="DXX1505" s="879"/>
      <c r="DXY1505" s="879"/>
      <c r="DXZ1505" s="879"/>
      <c r="DYA1505" s="879"/>
      <c r="DYB1505" s="879"/>
      <c r="DYC1505" s="879"/>
      <c r="DYD1505" s="879"/>
      <c r="DYE1505" s="879"/>
      <c r="DYF1505" s="879"/>
      <c r="DYG1505" s="879"/>
      <c r="DYH1505" s="879"/>
      <c r="DYI1505" s="879"/>
      <c r="DYJ1505" s="879"/>
      <c r="DYK1505" s="879"/>
      <c r="DYL1505" s="879"/>
      <c r="DYM1505" s="879"/>
      <c r="DYN1505" s="879"/>
      <c r="DYO1505" s="879"/>
      <c r="DYP1505" s="879"/>
      <c r="DYQ1505" s="879"/>
      <c r="DYR1505" s="879"/>
      <c r="DYS1505" s="879"/>
      <c r="DYT1505" s="879"/>
      <c r="DYU1505" s="879"/>
      <c r="DYV1505" s="879"/>
      <c r="DYW1505" s="879"/>
      <c r="DYX1505" s="879"/>
      <c r="DYY1505" s="879"/>
      <c r="DYZ1505" s="879"/>
      <c r="DZA1505" s="879"/>
      <c r="DZB1505" s="879"/>
      <c r="DZC1505" s="879"/>
      <c r="DZD1505" s="879"/>
      <c r="DZE1505" s="879"/>
      <c r="DZF1505" s="879"/>
      <c r="DZG1505" s="879"/>
      <c r="DZH1505" s="879"/>
      <c r="DZI1505" s="879"/>
      <c r="DZJ1505" s="879"/>
      <c r="DZK1505" s="879"/>
      <c r="DZL1505" s="879"/>
      <c r="DZM1505" s="879"/>
      <c r="DZN1505" s="879"/>
      <c r="DZO1505" s="879"/>
      <c r="DZP1505" s="879"/>
      <c r="DZQ1505" s="879"/>
      <c r="DZR1505" s="879"/>
      <c r="DZS1505" s="879"/>
      <c r="DZT1505" s="879"/>
      <c r="DZU1505" s="879"/>
      <c r="DZV1505" s="879"/>
      <c r="DZW1505" s="879"/>
      <c r="DZX1505" s="879"/>
      <c r="DZY1505" s="879"/>
      <c r="DZZ1505" s="879"/>
      <c r="EAA1505" s="879"/>
      <c r="EAB1505" s="879"/>
      <c r="EAC1505" s="879"/>
      <c r="EAD1505" s="879"/>
      <c r="EAE1505" s="879"/>
      <c r="EAF1505" s="879"/>
      <c r="EAG1505" s="879"/>
      <c r="EAH1505" s="879"/>
      <c r="EAI1505" s="879"/>
      <c r="EAJ1505" s="879"/>
      <c r="EAK1505" s="879"/>
      <c r="EAL1505" s="879"/>
      <c r="EAM1505" s="879"/>
      <c r="EAN1505" s="879"/>
      <c r="EAO1505" s="879"/>
      <c r="EAP1505" s="879"/>
      <c r="EAQ1505" s="879"/>
      <c r="EAR1505" s="879"/>
      <c r="EAS1505" s="879"/>
      <c r="EAT1505" s="879"/>
      <c r="EAU1505" s="879"/>
      <c r="EAV1505" s="879"/>
      <c r="EAW1505" s="879"/>
      <c r="EAX1505" s="879"/>
      <c r="EAY1505" s="879"/>
      <c r="EAZ1505" s="879"/>
      <c r="EBA1505" s="879"/>
      <c r="EBB1505" s="879"/>
      <c r="EBC1505" s="879"/>
      <c r="EBD1505" s="879"/>
      <c r="EBE1505" s="879"/>
      <c r="EBF1505" s="879"/>
      <c r="EBG1505" s="879"/>
      <c r="EBH1505" s="879"/>
      <c r="EBI1505" s="879"/>
      <c r="EBJ1505" s="879"/>
      <c r="EBK1505" s="879"/>
      <c r="EBL1505" s="879"/>
      <c r="EBM1505" s="879"/>
      <c r="EBN1505" s="879"/>
      <c r="EBO1505" s="879"/>
      <c r="EBP1505" s="879"/>
      <c r="EBQ1505" s="879"/>
      <c r="EBR1505" s="879"/>
      <c r="EBS1505" s="879"/>
      <c r="EBT1505" s="879"/>
      <c r="EBU1505" s="879"/>
      <c r="EBV1505" s="879"/>
      <c r="EBW1505" s="879"/>
      <c r="EBX1505" s="879"/>
      <c r="EBY1505" s="879"/>
      <c r="EBZ1505" s="879"/>
      <c r="ECA1505" s="879"/>
      <c r="ECB1505" s="879"/>
      <c r="ECC1505" s="879"/>
      <c r="ECD1505" s="879"/>
      <c r="ECE1505" s="879"/>
      <c r="ECF1505" s="879"/>
      <c r="ECG1505" s="879"/>
      <c r="ECH1505" s="879"/>
      <c r="ECI1505" s="879"/>
      <c r="ECJ1505" s="879"/>
      <c r="ECK1505" s="879"/>
      <c r="ECL1505" s="879"/>
      <c r="ECM1505" s="879"/>
      <c r="ECN1505" s="879"/>
      <c r="ECO1505" s="879"/>
      <c r="ECP1505" s="879"/>
      <c r="ECQ1505" s="879"/>
      <c r="ECR1505" s="879"/>
      <c r="ECS1505" s="879"/>
      <c r="ECT1505" s="879"/>
      <c r="ECU1505" s="879"/>
      <c r="ECV1505" s="879"/>
      <c r="ECW1505" s="879"/>
      <c r="ECX1505" s="879"/>
      <c r="ECY1505" s="879"/>
      <c r="ECZ1505" s="879"/>
      <c r="EDA1505" s="879"/>
      <c r="EDB1505" s="879"/>
      <c r="EDC1505" s="879"/>
      <c r="EDD1505" s="879"/>
      <c r="EDE1505" s="879"/>
      <c r="EDF1505" s="879"/>
      <c r="EDG1505" s="879"/>
      <c r="EDH1505" s="879"/>
      <c r="EDI1505" s="879"/>
      <c r="EDJ1505" s="879"/>
      <c r="EDK1505" s="879"/>
      <c r="EDL1505" s="879"/>
      <c r="EDM1505" s="879"/>
      <c r="EDN1505" s="879"/>
      <c r="EDO1505" s="879"/>
      <c r="EDP1505" s="879"/>
      <c r="EDQ1505" s="879"/>
      <c r="EDR1505" s="879"/>
      <c r="EDS1505" s="879"/>
      <c r="EDT1505" s="879"/>
      <c r="EDU1505" s="879"/>
      <c r="EDV1505" s="879"/>
      <c r="EDW1505" s="879"/>
      <c r="EDX1505" s="879"/>
      <c r="EDY1505" s="879"/>
      <c r="EDZ1505" s="879"/>
      <c r="EEA1505" s="879"/>
      <c r="EEB1505" s="879"/>
      <c r="EEC1505" s="879"/>
      <c r="EED1505" s="879"/>
      <c r="EEE1505" s="879"/>
      <c r="EEF1505" s="879"/>
      <c r="EEG1505" s="879"/>
      <c r="EEH1505" s="879"/>
      <c r="EEI1505" s="879"/>
      <c r="EEJ1505" s="879"/>
      <c r="EEK1505" s="879"/>
      <c r="EEL1505" s="879"/>
      <c r="EEM1505" s="879"/>
      <c r="EEN1505" s="879"/>
      <c r="EEO1505" s="879"/>
      <c r="EEP1505" s="879"/>
      <c r="EEQ1505" s="879"/>
      <c r="EER1505" s="879"/>
      <c r="EES1505" s="879"/>
      <c r="EET1505" s="879"/>
      <c r="EEU1505" s="879"/>
      <c r="EEV1505" s="879"/>
      <c r="EEW1505" s="879"/>
      <c r="EEX1505" s="879"/>
      <c r="EEY1505" s="879"/>
      <c r="EEZ1505" s="879"/>
      <c r="EFA1505" s="879"/>
      <c r="EFB1505" s="879"/>
      <c r="EFC1505" s="879"/>
      <c r="EFD1505" s="879"/>
      <c r="EFE1505" s="879"/>
      <c r="EFF1505" s="879"/>
      <c r="EFG1505" s="879"/>
      <c r="EFH1505" s="879"/>
      <c r="EFI1505" s="879"/>
      <c r="EFJ1505" s="879"/>
      <c r="EFK1505" s="879"/>
      <c r="EFL1505" s="879"/>
      <c r="EFM1505" s="879"/>
      <c r="EFN1505" s="879"/>
      <c r="EFO1505" s="879"/>
      <c r="EFP1505" s="879"/>
      <c r="EFQ1505" s="879"/>
      <c r="EFR1505" s="879"/>
      <c r="EFS1505" s="879"/>
      <c r="EFT1505" s="879"/>
      <c r="EFU1505" s="879"/>
      <c r="EFV1505" s="879"/>
      <c r="EFW1505" s="879"/>
      <c r="EFX1505" s="879"/>
      <c r="EFY1505" s="879"/>
      <c r="EFZ1505" s="879"/>
      <c r="EGA1505" s="879"/>
      <c r="EGB1505" s="879"/>
      <c r="EGC1505" s="879"/>
      <c r="EGD1505" s="879"/>
      <c r="EGE1505" s="879"/>
      <c r="EGF1505" s="879"/>
      <c r="EGG1505" s="879"/>
      <c r="EGH1505" s="879"/>
      <c r="EGI1505" s="879"/>
      <c r="EGJ1505" s="879"/>
      <c r="EGK1505" s="879"/>
      <c r="EGL1505" s="879"/>
      <c r="EGM1505" s="879"/>
      <c r="EGN1505" s="879"/>
      <c r="EGO1505" s="879"/>
      <c r="EGP1505" s="879"/>
      <c r="EGQ1505" s="879"/>
      <c r="EGR1505" s="879"/>
      <c r="EGS1505" s="879"/>
      <c r="EGT1505" s="879"/>
      <c r="EGU1505" s="879"/>
      <c r="EGV1505" s="879"/>
      <c r="EGW1505" s="879"/>
      <c r="EGX1505" s="879"/>
      <c r="EGY1505" s="879"/>
      <c r="EGZ1505" s="879"/>
      <c r="EHA1505" s="879"/>
      <c r="EHB1505" s="879"/>
      <c r="EHC1505" s="879"/>
      <c r="EHD1505" s="879"/>
      <c r="EHE1505" s="879"/>
      <c r="EHF1505" s="879"/>
      <c r="EHG1505" s="879"/>
      <c r="EHH1505" s="879"/>
      <c r="EHI1505" s="879"/>
      <c r="EHJ1505" s="879"/>
      <c r="EHK1505" s="879"/>
      <c r="EHL1505" s="879"/>
      <c r="EHM1505" s="879"/>
      <c r="EHN1505" s="879"/>
      <c r="EHO1505" s="879"/>
      <c r="EHP1505" s="879"/>
      <c r="EHQ1505" s="879"/>
      <c r="EHR1505" s="879"/>
      <c r="EHS1505" s="879"/>
      <c r="EHT1505" s="879"/>
      <c r="EHU1505" s="879"/>
      <c r="EHV1505" s="879"/>
      <c r="EHW1505" s="879"/>
      <c r="EHX1505" s="879"/>
      <c r="EHY1505" s="879"/>
      <c r="EHZ1505" s="879"/>
      <c r="EIA1505" s="879"/>
      <c r="EIB1505" s="879"/>
      <c r="EIC1505" s="879"/>
      <c r="EID1505" s="879"/>
      <c r="EIE1505" s="879"/>
      <c r="EIF1505" s="879"/>
      <c r="EIG1505" s="879"/>
      <c r="EIH1505" s="879"/>
      <c r="EII1505" s="879"/>
      <c r="EIJ1505" s="879"/>
      <c r="EIK1505" s="879"/>
      <c r="EIL1505" s="879"/>
      <c r="EIM1505" s="879"/>
      <c r="EIN1505" s="879"/>
      <c r="EIO1505" s="879"/>
      <c r="EIP1505" s="879"/>
      <c r="EIQ1505" s="879"/>
      <c r="EIR1505" s="879"/>
      <c r="EIS1505" s="879"/>
      <c r="EIT1505" s="879"/>
      <c r="EIU1505" s="879"/>
      <c r="EIV1505" s="879"/>
      <c r="EIW1505" s="879"/>
      <c r="EIX1505" s="879"/>
      <c r="EIY1505" s="879"/>
      <c r="EIZ1505" s="879"/>
      <c r="EJA1505" s="879"/>
      <c r="EJB1505" s="879"/>
      <c r="EJC1505" s="879"/>
      <c r="EJD1505" s="879"/>
      <c r="EJE1505" s="879"/>
      <c r="EJF1505" s="879"/>
      <c r="EJG1505" s="879"/>
      <c r="EJH1505" s="879"/>
      <c r="EJI1505" s="879"/>
      <c r="EJJ1505" s="879"/>
      <c r="EJK1505" s="879"/>
      <c r="EJL1505" s="879"/>
      <c r="EJM1505" s="879"/>
      <c r="EJN1505" s="879"/>
      <c r="EJO1505" s="879"/>
      <c r="EJP1505" s="879"/>
      <c r="EJQ1505" s="879"/>
      <c r="EJR1505" s="879"/>
      <c r="EJS1505" s="879"/>
      <c r="EJT1505" s="879"/>
      <c r="EJU1505" s="879"/>
      <c r="EJV1505" s="879"/>
      <c r="EJW1505" s="879"/>
      <c r="EJX1505" s="879"/>
      <c r="EJY1505" s="879"/>
      <c r="EJZ1505" s="879"/>
      <c r="EKA1505" s="879"/>
      <c r="EKB1505" s="879"/>
      <c r="EKC1505" s="879"/>
      <c r="EKD1505" s="879"/>
      <c r="EKE1505" s="879"/>
      <c r="EKF1505" s="879"/>
      <c r="EKG1505" s="879"/>
      <c r="EKH1505" s="879"/>
      <c r="EKI1505" s="879"/>
      <c r="EKJ1505" s="879"/>
      <c r="EKK1505" s="879"/>
      <c r="EKL1505" s="879"/>
      <c r="EKM1505" s="879"/>
      <c r="EKN1505" s="879"/>
      <c r="EKO1505" s="879"/>
      <c r="EKP1505" s="879"/>
      <c r="EKQ1505" s="879"/>
      <c r="EKR1505" s="879"/>
      <c r="EKS1505" s="879"/>
      <c r="EKT1505" s="879"/>
      <c r="EKU1505" s="879"/>
      <c r="EKV1505" s="879"/>
      <c r="EKW1505" s="879"/>
      <c r="EKX1505" s="879"/>
      <c r="EKY1505" s="879"/>
      <c r="EKZ1505" s="879"/>
      <c r="ELA1505" s="879"/>
      <c r="ELB1505" s="879"/>
      <c r="ELC1505" s="879"/>
      <c r="ELD1505" s="879"/>
      <c r="ELE1505" s="879"/>
      <c r="ELF1505" s="879"/>
      <c r="ELG1505" s="879"/>
      <c r="ELH1505" s="879"/>
      <c r="ELI1505" s="879"/>
      <c r="ELJ1505" s="879"/>
      <c r="ELK1505" s="879"/>
      <c r="ELL1505" s="879"/>
      <c r="ELM1505" s="879"/>
      <c r="ELN1505" s="879"/>
      <c r="ELO1505" s="879"/>
      <c r="ELP1505" s="879"/>
      <c r="ELQ1505" s="879"/>
      <c r="ELR1505" s="879"/>
      <c r="ELS1505" s="879"/>
      <c r="ELT1505" s="879"/>
      <c r="ELU1505" s="879"/>
      <c r="ELV1505" s="879"/>
      <c r="ELW1505" s="879"/>
      <c r="ELX1505" s="879"/>
      <c r="ELY1505" s="879"/>
      <c r="ELZ1505" s="879"/>
      <c r="EMA1505" s="879"/>
      <c r="EMB1505" s="879"/>
      <c r="EMC1505" s="879"/>
      <c r="EMD1505" s="879"/>
      <c r="EME1505" s="879"/>
      <c r="EMF1505" s="879"/>
      <c r="EMG1505" s="879"/>
      <c r="EMH1505" s="879"/>
      <c r="EMI1505" s="879"/>
      <c r="EMJ1505" s="879"/>
      <c r="EMK1505" s="879"/>
      <c r="EML1505" s="879"/>
      <c r="EMM1505" s="879"/>
      <c r="EMN1505" s="879"/>
      <c r="EMO1505" s="879"/>
      <c r="EMP1505" s="879"/>
      <c r="EMQ1505" s="879"/>
      <c r="EMR1505" s="879"/>
      <c r="EMS1505" s="879"/>
      <c r="EMT1505" s="879"/>
      <c r="EMU1505" s="879"/>
      <c r="EMV1505" s="879"/>
      <c r="EMW1505" s="879"/>
      <c r="EMX1505" s="879"/>
      <c r="EMY1505" s="879"/>
      <c r="EMZ1505" s="879"/>
      <c r="ENA1505" s="879"/>
      <c r="ENB1505" s="879"/>
      <c r="ENC1505" s="879"/>
      <c r="END1505" s="879"/>
      <c r="ENE1505" s="879"/>
      <c r="ENF1505" s="879"/>
      <c r="ENG1505" s="879"/>
      <c r="ENH1505" s="879"/>
      <c r="ENI1505" s="879"/>
      <c r="ENJ1505" s="879"/>
      <c r="ENK1505" s="879"/>
      <c r="ENL1505" s="879"/>
      <c r="ENM1505" s="879"/>
      <c r="ENN1505" s="879"/>
      <c r="ENO1505" s="879"/>
      <c r="ENP1505" s="879"/>
      <c r="ENQ1505" s="879"/>
      <c r="ENR1505" s="879"/>
      <c r="ENS1505" s="879"/>
      <c r="ENT1505" s="879"/>
      <c r="ENU1505" s="879"/>
      <c r="ENV1505" s="879"/>
      <c r="ENW1505" s="879"/>
      <c r="ENX1505" s="879"/>
      <c r="ENY1505" s="879"/>
      <c r="ENZ1505" s="879"/>
      <c r="EOA1505" s="879"/>
      <c r="EOB1505" s="879"/>
      <c r="EOC1505" s="879"/>
      <c r="EOD1505" s="879"/>
      <c r="EOE1505" s="879"/>
      <c r="EOF1505" s="879"/>
      <c r="EOG1505" s="879"/>
      <c r="EOH1505" s="879"/>
      <c r="EOI1505" s="879"/>
      <c r="EOJ1505" s="879"/>
      <c r="EOK1505" s="879"/>
      <c r="EOL1505" s="879"/>
      <c r="EOM1505" s="879"/>
      <c r="EON1505" s="879"/>
      <c r="EOO1505" s="879"/>
      <c r="EOP1505" s="879"/>
      <c r="EOQ1505" s="879"/>
      <c r="EOR1505" s="879"/>
      <c r="EOS1505" s="879"/>
      <c r="EOT1505" s="879"/>
      <c r="EOU1505" s="879"/>
      <c r="EOV1505" s="879"/>
      <c r="EOW1505" s="879"/>
      <c r="EOX1505" s="879"/>
      <c r="EOY1505" s="879"/>
      <c r="EOZ1505" s="879"/>
      <c r="EPA1505" s="879"/>
      <c r="EPB1505" s="879"/>
      <c r="EPC1505" s="879"/>
      <c r="EPD1505" s="879"/>
      <c r="EPE1505" s="879"/>
      <c r="EPF1505" s="879"/>
      <c r="EPG1505" s="879"/>
      <c r="EPH1505" s="879"/>
      <c r="EPI1505" s="879"/>
      <c r="EPJ1505" s="879"/>
      <c r="EPK1505" s="879"/>
      <c r="EPL1505" s="879"/>
      <c r="EPM1505" s="879"/>
      <c r="EPN1505" s="879"/>
      <c r="EPO1505" s="879"/>
      <c r="EPP1505" s="879"/>
      <c r="EPQ1505" s="879"/>
      <c r="EPR1505" s="879"/>
      <c r="EPS1505" s="879"/>
      <c r="EPT1505" s="879"/>
      <c r="EPU1505" s="879"/>
      <c r="EPV1505" s="879"/>
      <c r="EPW1505" s="879"/>
      <c r="EPX1505" s="879"/>
      <c r="EPY1505" s="879"/>
      <c r="EPZ1505" s="879"/>
      <c r="EQA1505" s="879"/>
      <c r="EQB1505" s="879"/>
      <c r="EQC1505" s="879"/>
      <c r="EQD1505" s="879"/>
      <c r="EQE1505" s="879"/>
      <c r="EQF1505" s="879"/>
      <c r="EQG1505" s="879"/>
      <c r="EQH1505" s="879"/>
      <c r="EQI1505" s="879"/>
      <c r="EQJ1505" s="879"/>
      <c r="EQK1505" s="879"/>
      <c r="EQL1505" s="879"/>
      <c r="EQM1505" s="879"/>
      <c r="EQN1505" s="879"/>
      <c r="EQO1505" s="879"/>
      <c r="EQP1505" s="879"/>
      <c r="EQQ1505" s="879"/>
      <c r="EQR1505" s="879"/>
      <c r="EQS1505" s="879"/>
      <c r="EQT1505" s="879"/>
      <c r="EQU1505" s="879"/>
      <c r="EQV1505" s="879"/>
      <c r="EQW1505" s="879"/>
      <c r="EQX1505" s="879"/>
      <c r="EQY1505" s="879"/>
      <c r="EQZ1505" s="879"/>
      <c r="ERA1505" s="879"/>
      <c r="ERB1505" s="879"/>
      <c r="ERC1505" s="879"/>
      <c r="ERD1505" s="879"/>
      <c r="ERE1505" s="879"/>
      <c r="ERF1505" s="879"/>
      <c r="ERG1505" s="879"/>
      <c r="ERH1505" s="879"/>
      <c r="ERI1505" s="879"/>
      <c r="ERJ1505" s="879"/>
      <c r="ERK1505" s="879"/>
      <c r="ERL1505" s="879"/>
      <c r="ERM1505" s="879"/>
      <c r="ERN1505" s="879"/>
      <c r="ERO1505" s="879"/>
      <c r="ERP1505" s="879"/>
      <c r="ERQ1505" s="879"/>
      <c r="ERR1505" s="879"/>
      <c r="ERS1505" s="879"/>
      <c r="ERT1505" s="879"/>
      <c r="ERU1505" s="879"/>
      <c r="ERV1505" s="879"/>
      <c r="ERW1505" s="879"/>
      <c r="ERX1505" s="879"/>
      <c r="ERY1505" s="879"/>
      <c r="ERZ1505" s="879"/>
      <c r="ESA1505" s="879"/>
      <c r="ESB1505" s="879"/>
      <c r="ESC1505" s="879"/>
      <c r="ESD1505" s="879"/>
      <c r="ESE1505" s="879"/>
      <c r="ESF1505" s="879"/>
      <c r="ESG1505" s="879"/>
      <c r="ESH1505" s="879"/>
      <c r="ESI1505" s="879"/>
      <c r="ESJ1505" s="879"/>
      <c r="ESK1505" s="879"/>
      <c r="ESL1505" s="879"/>
      <c r="ESM1505" s="879"/>
      <c r="ESN1505" s="879"/>
      <c r="ESO1505" s="879"/>
      <c r="ESP1505" s="879"/>
      <c r="ESQ1505" s="879"/>
      <c r="ESR1505" s="879"/>
      <c r="ESS1505" s="879"/>
      <c r="EST1505" s="879"/>
      <c r="ESU1505" s="879"/>
      <c r="ESV1505" s="879"/>
      <c r="ESW1505" s="879"/>
      <c r="ESX1505" s="879"/>
      <c r="ESY1505" s="879"/>
      <c r="ESZ1505" s="879"/>
      <c r="ETA1505" s="879"/>
      <c r="ETB1505" s="879"/>
      <c r="ETC1505" s="879"/>
      <c r="ETD1505" s="879"/>
      <c r="ETE1505" s="879"/>
      <c r="ETF1505" s="879"/>
      <c r="ETG1505" s="879"/>
      <c r="ETH1505" s="879"/>
      <c r="ETI1505" s="879"/>
      <c r="ETJ1505" s="879"/>
      <c r="ETK1505" s="879"/>
      <c r="ETL1505" s="879"/>
      <c r="ETM1505" s="879"/>
      <c r="ETN1505" s="879"/>
      <c r="ETO1505" s="879"/>
      <c r="ETP1505" s="879"/>
      <c r="ETQ1505" s="879"/>
      <c r="ETR1505" s="879"/>
      <c r="ETS1505" s="879"/>
      <c r="ETT1505" s="879"/>
      <c r="ETU1505" s="879"/>
      <c r="ETV1505" s="879"/>
      <c r="ETW1505" s="879"/>
      <c r="ETX1505" s="879"/>
      <c r="ETY1505" s="879"/>
      <c r="ETZ1505" s="879"/>
      <c r="EUA1505" s="879"/>
      <c r="EUB1505" s="879"/>
      <c r="EUC1505" s="879"/>
      <c r="EUD1505" s="879"/>
      <c r="EUE1505" s="879"/>
      <c r="EUF1505" s="879"/>
      <c r="EUG1505" s="879"/>
      <c r="EUH1505" s="879"/>
      <c r="EUI1505" s="879"/>
      <c r="EUJ1505" s="879"/>
      <c r="EUK1505" s="879"/>
      <c r="EUL1505" s="879"/>
      <c r="EUM1505" s="879"/>
      <c r="EUN1505" s="879"/>
      <c r="EUO1505" s="879"/>
      <c r="EUP1505" s="879"/>
      <c r="EUQ1505" s="879"/>
      <c r="EUR1505" s="879"/>
      <c r="EUS1505" s="879"/>
      <c r="EUT1505" s="879"/>
      <c r="EUU1505" s="879"/>
      <c r="EUV1505" s="879"/>
      <c r="EUW1505" s="879"/>
      <c r="EUX1505" s="879"/>
      <c r="EUY1505" s="879"/>
      <c r="EUZ1505" s="879"/>
      <c r="EVA1505" s="879"/>
      <c r="EVB1505" s="879"/>
      <c r="EVC1505" s="879"/>
      <c r="EVD1505" s="879"/>
      <c r="EVE1505" s="879"/>
      <c r="EVF1505" s="879"/>
      <c r="EVG1505" s="879"/>
      <c r="EVH1505" s="879"/>
      <c r="EVI1505" s="879"/>
      <c r="EVJ1505" s="879"/>
      <c r="EVK1505" s="879"/>
      <c r="EVL1505" s="879"/>
      <c r="EVM1505" s="879"/>
      <c r="EVN1505" s="879"/>
      <c r="EVO1505" s="879"/>
      <c r="EVP1505" s="879"/>
      <c r="EVQ1505" s="879"/>
      <c r="EVR1505" s="879"/>
      <c r="EVS1505" s="879"/>
      <c r="EVT1505" s="879"/>
      <c r="EVU1505" s="879"/>
      <c r="EVV1505" s="879"/>
      <c r="EVW1505" s="879"/>
      <c r="EVX1505" s="879"/>
      <c r="EVY1505" s="879"/>
      <c r="EVZ1505" s="879"/>
      <c r="EWA1505" s="879"/>
      <c r="EWB1505" s="879"/>
      <c r="EWC1505" s="879"/>
      <c r="EWD1505" s="879"/>
      <c r="EWE1505" s="879"/>
      <c r="EWF1505" s="879"/>
      <c r="EWG1505" s="879"/>
      <c r="EWH1505" s="879"/>
      <c r="EWI1505" s="879"/>
      <c r="EWJ1505" s="879"/>
      <c r="EWK1505" s="879"/>
      <c r="EWL1505" s="879"/>
      <c r="EWM1505" s="879"/>
      <c r="EWN1505" s="879"/>
      <c r="EWO1505" s="879"/>
      <c r="EWP1505" s="879"/>
      <c r="EWQ1505" s="879"/>
      <c r="EWR1505" s="879"/>
      <c r="EWS1505" s="879"/>
      <c r="EWT1505" s="879"/>
      <c r="EWU1505" s="879"/>
      <c r="EWV1505" s="879"/>
      <c r="EWW1505" s="879"/>
      <c r="EWX1505" s="879"/>
      <c r="EWY1505" s="879"/>
      <c r="EWZ1505" s="879"/>
      <c r="EXA1505" s="879"/>
      <c r="EXB1505" s="879"/>
      <c r="EXC1505" s="879"/>
      <c r="EXD1505" s="879"/>
      <c r="EXE1505" s="879"/>
      <c r="EXF1505" s="879"/>
      <c r="EXG1505" s="879"/>
      <c r="EXH1505" s="879"/>
      <c r="EXI1505" s="879"/>
      <c r="EXJ1505" s="879"/>
      <c r="EXK1505" s="879"/>
      <c r="EXL1505" s="879"/>
      <c r="EXM1505" s="879"/>
      <c r="EXN1505" s="879"/>
      <c r="EXO1505" s="879"/>
      <c r="EXP1505" s="879"/>
      <c r="EXQ1505" s="879"/>
      <c r="EXR1505" s="879"/>
      <c r="EXS1505" s="879"/>
      <c r="EXT1505" s="879"/>
      <c r="EXU1505" s="879"/>
      <c r="EXV1505" s="879"/>
      <c r="EXW1505" s="879"/>
      <c r="EXX1505" s="879"/>
      <c r="EXY1505" s="879"/>
      <c r="EXZ1505" s="879"/>
      <c r="EYA1505" s="879"/>
      <c r="EYB1505" s="879"/>
      <c r="EYC1505" s="879"/>
      <c r="EYD1505" s="879"/>
      <c r="EYE1505" s="879"/>
      <c r="EYF1505" s="879"/>
      <c r="EYG1505" s="879"/>
      <c r="EYH1505" s="879"/>
      <c r="EYI1505" s="879"/>
      <c r="EYJ1505" s="879"/>
      <c r="EYK1505" s="879"/>
      <c r="EYL1505" s="879"/>
      <c r="EYM1505" s="879"/>
      <c r="EYN1505" s="879"/>
      <c r="EYO1505" s="879"/>
      <c r="EYP1505" s="879"/>
      <c r="EYQ1505" s="879"/>
      <c r="EYR1505" s="879"/>
      <c r="EYS1505" s="879"/>
      <c r="EYT1505" s="879"/>
      <c r="EYU1505" s="879"/>
      <c r="EYV1505" s="879"/>
      <c r="EYW1505" s="879"/>
      <c r="EYX1505" s="879"/>
      <c r="EYY1505" s="879"/>
      <c r="EYZ1505" s="879"/>
      <c r="EZA1505" s="879"/>
      <c r="EZB1505" s="879"/>
      <c r="EZC1505" s="879"/>
      <c r="EZD1505" s="879"/>
      <c r="EZE1505" s="879"/>
      <c r="EZF1505" s="879"/>
      <c r="EZG1505" s="879"/>
      <c r="EZH1505" s="879"/>
      <c r="EZI1505" s="879"/>
      <c r="EZJ1505" s="879"/>
      <c r="EZK1505" s="879"/>
      <c r="EZL1505" s="879"/>
      <c r="EZM1505" s="879"/>
      <c r="EZN1505" s="879"/>
      <c r="EZO1505" s="879"/>
      <c r="EZP1505" s="879"/>
      <c r="EZQ1505" s="879"/>
      <c r="EZR1505" s="879"/>
      <c r="EZS1505" s="879"/>
      <c r="EZT1505" s="879"/>
      <c r="EZU1505" s="879"/>
      <c r="EZV1505" s="879"/>
      <c r="EZW1505" s="879"/>
      <c r="EZX1505" s="879"/>
      <c r="EZY1505" s="879"/>
      <c r="EZZ1505" s="879"/>
      <c r="FAA1505" s="879"/>
      <c r="FAB1505" s="879"/>
      <c r="FAC1505" s="879"/>
      <c r="FAD1505" s="879"/>
      <c r="FAE1505" s="879"/>
      <c r="FAF1505" s="879"/>
      <c r="FAG1505" s="879"/>
      <c r="FAH1505" s="879"/>
      <c r="FAI1505" s="879"/>
      <c r="FAJ1505" s="879"/>
      <c r="FAK1505" s="879"/>
      <c r="FAL1505" s="879"/>
      <c r="FAM1505" s="879"/>
      <c r="FAN1505" s="879"/>
      <c r="FAO1505" s="879"/>
      <c r="FAP1505" s="879"/>
      <c r="FAQ1505" s="879"/>
      <c r="FAR1505" s="879"/>
      <c r="FAS1505" s="879"/>
      <c r="FAT1505" s="879"/>
      <c r="FAU1505" s="879"/>
      <c r="FAV1505" s="879"/>
      <c r="FAW1505" s="879"/>
      <c r="FAX1505" s="879"/>
      <c r="FAY1505" s="879"/>
      <c r="FAZ1505" s="879"/>
      <c r="FBA1505" s="879"/>
      <c r="FBB1505" s="879"/>
      <c r="FBC1505" s="879"/>
      <c r="FBD1505" s="879"/>
      <c r="FBE1505" s="879"/>
      <c r="FBF1505" s="879"/>
      <c r="FBG1505" s="879"/>
      <c r="FBH1505" s="879"/>
      <c r="FBI1505" s="879"/>
      <c r="FBJ1505" s="879"/>
      <c r="FBK1505" s="879"/>
      <c r="FBL1505" s="879"/>
      <c r="FBM1505" s="879"/>
      <c r="FBN1505" s="879"/>
      <c r="FBO1505" s="879"/>
      <c r="FBP1505" s="879"/>
      <c r="FBQ1505" s="879"/>
      <c r="FBR1505" s="879"/>
      <c r="FBS1505" s="879"/>
      <c r="FBT1505" s="879"/>
      <c r="FBU1505" s="879"/>
      <c r="FBV1505" s="879"/>
      <c r="FBW1505" s="879"/>
      <c r="FBX1505" s="879"/>
      <c r="FBY1505" s="879"/>
      <c r="FBZ1505" s="879"/>
      <c r="FCA1505" s="879"/>
      <c r="FCB1505" s="879"/>
      <c r="FCC1505" s="879"/>
      <c r="FCD1505" s="879"/>
      <c r="FCE1505" s="879"/>
      <c r="FCF1505" s="879"/>
      <c r="FCG1505" s="879"/>
      <c r="FCH1505" s="879"/>
      <c r="FCI1505" s="879"/>
      <c r="FCJ1505" s="879"/>
      <c r="FCK1505" s="879"/>
      <c r="FCL1505" s="879"/>
      <c r="FCM1505" s="879"/>
      <c r="FCN1505" s="879"/>
      <c r="FCO1505" s="879"/>
      <c r="FCP1505" s="879"/>
      <c r="FCQ1505" s="879"/>
      <c r="FCR1505" s="879"/>
      <c r="FCS1505" s="879"/>
      <c r="FCT1505" s="879"/>
      <c r="FCU1505" s="879"/>
      <c r="FCV1505" s="879"/>
      <c r="FCW1505" s="879"/>
      <c r="FCX1505" s="879"/>
      <c r="FCY1505" s="879"/>
      <c r="FCZ1505" s="879"/>
      <c r="FDA1505" s="879"/>
      <c r="FDB1505" s="879"/>
      <c r="FDC1505" s="879"/>
      <c r="FDD1505" s="879"/>
      <c r="FDE1505" s="879"/>
      <c r="FDF1505" s="879"/>
      <c r="FDG1505" s="879"/>
      <c r="FDH1505" s="879"/>
      <c r="FDI1505" s="879"/>
      <c r="FDJ1505" s="879"/>
      <c r="FDK1505" s="879"/>
      <c r="FDL1505" s="879"/>
      <c r="FDM1505" s="879"/>
      <c r="FDN1505" s="879"/>
      <c r="FDO1505" s="879"/>
      <c r="FDP1505" s="879"/>
      <c r="FDQ1505" s="879"/>
      <c r="FDR1505" s="879"/>
      <c r="FDS1505" s="879"/>
      <c r="FDT1505" s="879"/>
      <c r="FDU1505" s="879"/>
      <c r="FDV1505" s="879"/>
      <c r="FDW1505" s="879"/>
      <c r="FDX1505" s="879"/>
      <c r="FDY1505" s="879"/>
      <c r="FDZ1505" s="879"/>
      <c r="FEA1505" s="879"/>
      <c r="FEB1505" s="879"/>
      <c r="FEC1505" s="879"/>
      <c r="FED1505" s="879"/>
      <c r="FEE1505" s="879"/>
      <c r="FEF1505" s="879"/>
      <c r="FEG1505" s="879"/>
      <c r="FEH1505" s="879"/>
      <c r="FEI1505" s="879"/>
      <c r="FEJ1505" s="879"/>
      <c r="FEK1505" s="879"/>
      <c r="FEL1505" s="879"/>
      <c r="FEM1505" s="879"/>
      <c r="FEN1505" s="879"/>
      <c r="FEO1505" s="879"/>
      <c r="FEP1505" s="879"/>
      <c r="FEQ1505" s="879"/>
      <c r="FER1505" s="879"/>
      <c r="FES1505" s="879"/>
      <c r="FET1505" s="879"/>
      <c r="FEU1505" s="879"/>
      <c r="FEV1505" s="879"/>
      <c r="FEW1505" s="879"/>
      <c r="FEX1505" s="879"/>
      <c r="FEY1505" s="879"/>
      <c r="FEZ1505" s="879"/>
      <c r="FFA1505" s="879"/>
      <c r="FFB1505" s="879"/>
      <c r="FFC1505" s="879"/>
      <c r="FFD1505" s="879"/>
      <c r="FFE1505" s="879"/>
      <c r="FFF1505" s="879"/>
      <c r="FFG1505" s="879"/>
      <c r="FFH1505" s="879"/>
      <c r="FFI1505" s="879"/>
      <c r="FFJ1505" s="879"/>
      <c r="FFK1505" s="879"/>
      <c r="FFL1505" s="879"/>
      <c r="FFM1505" s="879"/>
      <c r="FFN1505" s="879"/>
      <c r="FFO1505" s="879"/>
      <c r="FFP1505" s="879"/>
      <c r="FFQ1505" s="879"/>
      <c r="FFR1505" s="879"/>
      <c r="FFS1505" s="879"/>
      <c r="FFT1505" s="879"/>
      <c r="FFU1505" s="879"/>
      <c r="FFV1505" s="879"/>
      <c r="FFW1505" s="879"/>
      <c r="FFX1505" s="879"/>
      <c r="FFY1505" s="879"/>
      <c r="FFZ1505" s="879"/>
      <c r="FGA1505" s="879"/>
      <c r="FGB1505" s="879"/>
      <c r="FGC1505" s="879"/>
      <c r="FGD1505" s="879"/>
      <c r="FGE1505" s="879"/>
      <c r="FGF1505" s="879"/>
      <c r="FGG1505" s="879"/>
      <c r="FGH1505" s="879"/>
      <c r="FGI1505" s="879"/>
      <c r="FGJ1505" s="879"/>
      <c r="FGK1505" s="879"/>
      <c r="FGL1505" s="879"/>
      <c r="FGM1505" s="879"/>
      <c r="FGN1505" s="879"/>
      <c r="FGO1505" s="879"/>
      <c r="FGP1505" s="879"/>
      <c r="FGQ1505" s="879"/>
      <c r="FGR1505" s="879"/>
      <c r="FGS1505" s="879"/>
      <c r="FGT1505" s="879"/>
      <c r="FGU1505" s="879"/>
      <c r="FGV1505" s="879"/>
      <c r="FGW1505" s="879"/>
      <c r="FGX1505" s="879"/>
      <c r="FGY1505" s="879"/>
      <c r="FGZ1505" s="879"/>
      <c r="FHA1505" s="879"/>
      <c r="FHB1505" s="879"/>
      <c r="FHC1505" s="879"/>
      <c r="FHD1505" s="879"/>
      <c r="FHE1505" s="879"/>
      <c r="FHF1505" s="879"/>
      <c r="FHG1505" s="879"/>
      <c r="FHH1505" s="879"/>
      <c r="FHI1505" s="879"/>
      <c r="FHJ1505" s="879"/>
      <c r="FHK1505" s="879"/>
      <c r="FHL1505" s="879"/>
      <c r="FHM1505" s="879"/>
      <c r="FHN1505" s="879"/>
      <c r="FHO1505" s="879"/>
      <c r="FHP1505" s="879"/>
      <c r="FHQ1505" s="879"/>
      <c r="FHR1505" s="879"/>
      <c r="FHS1505" s="879"/>
      <c r="FHT1505" s="879"/>
      <c r="FHU1505" s="879"/>
      <c r="FHV1505" s="879"/>
      <c r="FHW1505" s="879"/>
      <c r="FHX1505" s="879"/>
      <c r="FHY1505" s="879"/>
      <c r="FHZ1505" s="879"/>
      <c r="FIA1505" s="879"/>
      <c r="FIB1505" s="879"/>
      <c r="FIC1505" s="879"/>
      <c r="FID1505" s="879"/>
      <c r="FIE1505" s="879"/>
      <c r="FIF1505" s="879"/>
      <c r="FIG1505" s="879"/>
      <c r="FIH1505" s="879"/>
      <c r="FII1505" s="879"/>
      <c r="FIJ1505" s="879"/>
      <c r="FIK1505" s="879"/>
      <c r="FIL1505" s="879"/>
      <c r="FIM1505" s="879"/>
      <c r="FIN1505" s="879"/>
      <c r="FIO1505" s="879"/>
      <c r="FIP1505" s="879"/>
      <c r="FIQ1505" s="879"/>
      <c r="FIR1505" s="879"/>
      <c r="FIS1505" s="879"/>
      <c r="FIT1505" s="879"/>
      <c r="FIU1505" s="879"/>
      <c r="FIV1505" s="879"/>
      <c r="FIW1505" s="879"/>
      <c r="FIX1505" s="879"/>
      <c r="FIY1505" s="879"/>
      <c r="FIZ1505" s="879"/>
      <c r="FJA1505" s="879"/>
      <c r="FJB1505" s="879"/>
      <c r="FJC1505" s="879"/>
      <c r="FJD1505" s="879"/>
      <c r="FJE1505" s="879"/>
      <c r="FJF1505" s="879"/>
      <c r="FJG1505" s="879"/>
      <c r="FJH1505" s="879"/>
      <c r="FJI1505" s="879"/>
      <c r="FJJ1505" s="879"/>
      <c r="FJK1505" s="879"/>
      <c r="FJL1505" s="879"/>
      <c r="FJM1505" s="879"/>
      <c r="FJN1505" s="879"/>
      <c r="FJO1505" s="879"/>
      <c r="FJP1505" s="879"/>
      <c r="FJQ1505" s="879"/>
      <c r="FJR1505" s="879"/>
      <c r="FJS1505" s="879"/>
      <c r="FJT1505" s="879"/>
      <c r="FJU1505" s="879"/>
      <c r="FJV1505" s="879"/>
      <c r="FJW1505" s="879"/>
      <c r="FJX1505" s="879"/>
      <c r="FJY1505" s="879"/>
      <c r="FJZ1505" s="879"/>
      <c r="FKA1505" s="879"/>
      <c r="FKB1505" s="879"/>
      <c r="FKC1505" s="879"/>
      <c r="FKD1505" s="879"/>
      <c r="FKE1505" s="879"/>
      <c r="FKF1505" s="879"/>
      <c r="FKG1505" s="879"/>
      <c r="FKH1505" s="879"/>
      <c r="FKI1505" s="879"/>
      <c r="FKJ1505" s="879"/>
      <c r="FKK1505" s="879"/>
      <c r="FKL1505" s="879"/>
      <c r="FKM1505" s="879"/>
      <c r="FKN1505" s="879"/>
      <c r="FKO1505" s="879"/>
      <c r="FKP1505" s="879"/>
      <c r="FKQ1505" s="879"/>
      <c r="FKR1505" s="879"/>
      <c r="FKS1505" s="879"/>
      <c r="FKT1505" s="879"/>
      <c r="FKU1505" s="879"/>
      <c r="FKV1505" s="879"/>
      <c r="FKW1505" s="879"/>
      <c r="FKX1505" s="879"/>
      <c r="FKY1505" s="879"/>
      <c r="FKZ1505" s="879"/>
      <c r="FLA1505" s="879"/>
      <c r="FLB1505" s="879"/>
      <c r="FLC1505" s="879"/>
      <c r="FLD1505" s="879"/>
      <c r="FLE1505" s="879"/>
      <c r="FLF1505" s="879"/>
      <c r="FLG1505" s="879"/>
      <c r="FLH1505" s="879"/>
      <c r="FLI1505" s="879"/>
      <c r="FLJ1505" s="879"/>
      <c r="FLK1505" s="879"/>
      <c r="FLL1505" s="879"/>
      <c r="FLM1505" s="879"/>
      <c r="FLN1505" s="879"/>
      <c r="FLO1505" s="879"/>
      <c r="FLP1505" s="879"/>
      <c r="FLQ1505" s="879"/>
      <c r="FLR1505" s="879"/>
      <c r="FLS1505" s="879"/>
      <c r="FLT1505" s="879"/>
      <c r="FLU1505" s="879"/>
      <c r="FLV1505" s="879"/>
      <c r="FLW1505" s="879"/>
      <c r="FLX1505" s="879"/>
      <c r="FLY1505" s="879"/>
      <c r="FLZ1505" s="879"/>
      <c r="FMA1505" s="879"/>
      <c r="FMB1505" s="879"/>
      <c r="FMC1505" s="879"/>
      <c r="FMD1505" s="879"/>
      <c r="FME1505" s="879"/>
      <c r="FMF1505" s="879"/>
      <c r="FMG1505" s="879"/>
      <c r="FMH1505" s="879"/>
      <c r="FMI1505" s="879"/>
      <c r="FMJ1505" s="879"/>
      <c r="FMK1505" s="879"/>
      <c r="FML1505" s="879"/>
      <c r="FMM1505" s="879"/>
      <c r="FMN1505" s="879"/>
      <c r="FMO1505" s="879"/>
      <c r="FMP1505" s="879"/>
      <c r="FMQ1505" s="879"/>
      <c r="FMR1505" s="879"/>
      <c r="FMS1505" s="879"/>
      <c r="FMT1505" s="879"/>
      <c r="FMU1505" s="879"/>
      <c r="FMV1505" s="879"/>
      <c r="FMW1505" s="879"/>
      <c r="FMX1505" s="879"/>
      <c r="FMY1505" s="879"/>
      <c r="FMZ1505" s="879"/>
      <c r="FNA1505" s="879"/>
      <c r="FNB1505" s="879"/>
      <c r="FNC1505" s="879"/>
      <c r="FND1505" s="879"/>
      <c r="FNE1505" s="879"/>
      <c r="FNF1505" s="879"/>
      <c r="FNG1505" s="879"/>
      <c r="FNH1505" s="879"/>
      <c r="FNI1505" s="879"/>
      <c r="FNJ1505" s="879"/>
      <c r="FNK1505" s="879"/>
      <c r="FNL1505" s="879"/>
      <c r="FNM1505" s="879"/>
      <c r="FNN1505" s="879"/>
      <c r="FNO1505" s="879"/>
      <c r="FNP1505" s="879"/>
      <c r="FNQ1505" s="879"/>
      <c r="FNR1505" s="879"/>
      <c r="FNS1505" s="879"/>
      <c r="FNT1505" s="879"/>
      <c r="FNU1505" s="879"/>
      <c r="FNV1505" s="879"/>
      <c r="FNW1505" s="879"/>
      <c r="FNX1505" s="879"/>
      <c r="FNY1505" s="879"/>
      <c r="FNZ1505" s="879"/>
      <c r="FOA1505" s="879"/>
      <c r="FOB1505" s="879"/>
      <c r="FOC1505" s="879"/>
      <c r="FOD1505" s="879"/>
      <c r="FOE1505" s="879"/>
      <c r="FOF1505" s="879"/>
      <c r="FOG1505" s="879"/>
      <c r="FOH1505" s="879"/>
      <c r="FOI1505" s="879"/>
      <c r="FOJ1505" s="879"/>
      <c r="FOK1505" s="879"/>
      <c r="FOL1505" s="879"/>
      <c r="FOM1505" s="879"/>
      <c r="FON1505" s="879"/>
      <c r="FOO1505" s="879"/>
      <c r="FOP1505" s="879"/>
      <c r="FOQ1505" s="879"/>
      <c r="FOR1505" s="879"/>
      <c r="FOS1505" s="879"/>
      <c r="FOT1505" s="879"/>
      <c r="FOU1505" s="879"/>
      <c r="FOV1505" s="879"/>
      <c r="FOW1505" s="879"/>
      <c r="FOX1505" s="879"/>
      <c r="FOY1505" s="879"/>
      <c r="FOZ1505" s="879"/>
      <c r="FPA1505" s="879"/>
      <c r="FPB1505" s="879"/>
      <c r="FPC1505" s="879"/>
      <c r="FPD1505" s="879"/>
      <c r="FPE1505" s="879"/>
      <c r="FPF1505" s="879"/>
      <c r="FPG1505" s="879"/>
      <c r="FPH1505" s="879"/>
      <c r="FPI1505" s="879"/>
      <c r="FPJ1505" s="879"/>
      <c r="FPK1505" s="879"/>
      <c r="FPL1505" s="879"/>
      <c r="FPM1505" s="879"/>
      <c r="FPN1505" s="879"/>
      <c r="FPO1505" s="879"/>
      <c r="FPP1505" s="879"/>
      <c r="FPQ1505" s="879"/>
      <c r="FPR1505" s="879"/>
      <c r="FPS1505" s="879"/>
      <c r="FPT1505" s="879"/>
      <c r="FPU1505" s="879"/>
      <c r="FPV1505" s="879"/>
      <c r="FPW1505" s="879"/>
      <c r="FPX1505" s="879"/>
      <c r="FPY1505" s="879"/>
      <c r="FPZ1505" s="879"/>
      <c r="FQA1505" s="879"/>
      <c r="FQB1505" s="879"/>
      <c r="FQC1505" s="879"/>
      <c r="FQD1505" s="879"/>
      <c r="FQE1505" s="879"/>
      <c r="FQF1505" s="879"/>
      <c r="FQG1505" s="879"/>
      <c r="FQH1505" s="879"/>
      <c r="FQI1505" s="879"/>
      <c r="FQJ1505" s="879"/>
      <c r="FQK1505" s="879"/>
      <c r="FQL1505" s="879"/>
      <c r="FQM1505" s="879"/>
      <c r="FQN1505" s="879"/>
      <c r="FQO1505" s="879"/>
      <c r="FQP1505" s="879"/>
      <c r="FQQ1505" s="879"/>
      <c r="FQR1505" s="879"/>
      <c r="FQS1505" s="879"/>
      <c r="FQT1505" s="879"/>
      <c r="FQU1505" s="879"/>
      <c r="FQV1505" s="879"/>
      <c r="FQW1505" s="879"/>
      <c r="FQX1505" s="879"/>
      <c r="FQY1505" s="879"/>
      <c r="FQZ1505" s="879"/>
      <c r="FRA1505" s="879"/>
      <c r="FRB1505" s="879"/>
      <c r="FRC1505" s="879"/>
      <c r="FRD1505" s="879"/>
      <c r="FRE1505" s="879"/>
      <c r="FRF1505" s="879"/>
      <c r="FRG1505" s="879"/>
      <c r="FRH1505" s="879"/>
      <c r="FRI1505" s="879"/>
      <c r="FRJ1505" s="879"/>
      <c r="FRK1505" s="879"/>
      <c r="FRL1505" s="879"/>
      <c r="FRM1505" s="879"/>
      <c r="FRN1505" s="879"/>
      <c r="FRO1505" s="879"/>
      <c r="FRP1505" s="879"/>
      <c r="FRQ1505" s="879"/>
      <c r="FRR1505" s="879"/>
      <c r="FRS1505" s="879"/>
      <c r="FRT1505" s="879"/>
      <c r="FRU1505" s="879"/>
      <c r="FRV1505" s="879"/>
      <c r="FRW1505" s="879"/>
      <c r="FRX1505" s="879"/>
      <c r="FRY1505" s="879"/>
      <c r="FRZ1505" s="879"/>
      <c r="FSA1505" s="879"/>
      <c r="FSB1505" s="879"/>
      <c r="FSC1505" s="879"/>
      <c r="FSD1505" s="879"/>
      <c r="FSE1505" s="879"/>
      <c r="FSF1505" s="879"/>
      <c r="FSG1505" s="879"/>
      <c r="FSH1505" s="879"/>
      <c r="FSI1505" s="879"/>
      <c r="FSJ1505" s="879"/>
      <c r="FSK1505" s="879"/>
      <c r="FSL1505" s="879"/>
      <c r="FSM1505" s="879"/>
      <c r="FSN1505" s="879"/>
      <c r="FSO1505" s="879"/>
      <c r="FSP1505" s="879"/>
      <c r="FSQ1505" s="879"/>
      <c r="FSR1505" s="879"/>
      <c r="FSS1505" s="879"/>
      <c r="FST1505" s="879"/>
      <c r="FSU1505" s="879"/>
      <c r="FSV1505" s="879"/>
      <c r="FSW1505" s="879"/>
      <c r="FSX1505" s="879"/>
      <c r="FSY1505" s="879"/>
      <c r="FSZ1505" s="879"/>
      <c r="FTA1505" s="879"/>
      <c r="FTB1505" s="879"/>
      <c r="FTC1505" s="879"/>
      <c r="FTD1505" s="879"/>
      <c r="FTE1505" s="879"/>
      <c r="FTF1505" s="879"/>
      <c r="FTG1505" s="879"/>
      <c r="FTH1505" s="879"/>
      <c r="FTI1505" s="879"/>
      <c r="FTJ1505" s="879"/>
      <c r="FTK1505" s="879"/>
      <c r="FTL1505" s="879"/>
      <c r="FTM1505" s="879"/>
      <c r="FTN1505" s="879"/>
      <c r="FTO1505" s="879"/>
      <c r="FTP1505" s="879"/>
      <c r="FTQ1505" s="879"/>
      <c r="FTR1505" s="879"/>
      <c r="FTS1505" s="879"/>
      <c r="FTT1505" s="879"/>
      <c r="FTU1505" s="879"/>
      <c r="FTV1505" s="879"/>
      <c r="FTW1505" s="879"/>
      <c r="FTX1505" s="879"/>
      <c r="FTY1505" s="879"/>
      <c r="FTZ1505" s="879"/>
      <c r="FUA1505" s="879"/>
      <c r="FUB1505" s="879"/>
      <c r="FUC1505" s="879"/>
      <c r="FUD1505" s="879"/>
      <c r="FUE1505" s="879"/>
      <c r="FUF1505" s="879"/>
      <c r="FUG1505" s="879"/>
      <c r="FUH1505" s="879"/>
      <c r="FUI1505" s="879"/>
      <c r="FUJ1505" s="879"/>
      <c r="FUK1505" s="879"/>
      <c r="FUL1505" s="879"/>
      <c r="FUM1505" s="879"/>
      <c r="FUN1505" s="879"/>
      <c r="FUO1505" s="879"/>
      <c r="FUP1505" s="879"/>
      <c r="FUQ1505" s="879"/>
      <c r="FUR1505" s="879"/>
      <c r="FUS1505" s="879"/>
      <c r="FUT1505" s="879"/>
      <c r="FUU1505" s="879"/>
      <c r="FUV1505" s="879"/>
      <c r="FUW1505" s="879"/>
      <c r="FUX1505" s="879"/>
      <c r="FUY1505" s="879"/>
      <c r="FUZ1505" s="879"/>
      <c r="FVA1505" s="879"/>
      <c r="FVB1505" s="879"/>
      <c r="FVC1505" s="879"/>
      <c r="FVD1505" s="879"/>
      <c r="FVE1505" s="879"/>
      <c r="FVF1505" s="879"/>
      <c r="FVG1505" s="879"/>
      <c r="FVH1505" s="879"/>
      <c r="FVI1505" s="879"/>
      <c r="FVJ1505" s="879"/>
      <c r="FVK1505" s="879"/>
      <c r="FVL1505" s="879"/>
      <c r="FVM1505" s="879"/>
      <c r="FVN1505" s="879"/>
      <c r="FVO1505" s="879"/>
      <c r="FVP1505" s="879"/>
      <c r="FVQ1505" s="879"/>
      <c r="FVR1505" s="879"/>
      <c r="FVS1505" s="879"/>
      <c r="FVT1505" s="879"/>
      <c r="FVU1505" s="879"/>
      <c r="FVV1505" s="879"/>
      <c r="FVW1505" s="879"/>
      <c r="FVX1505" s="879"/>
      <c r="FVY1505" s="879"/>
      <c r="FVZ1505" s="879"/>
      <c r="FWA1505" s="879"/>
      <c r="FWB1505" s="879"/>
      <c r="FWC1505" s="879"/>
      <c r="FWD1505" s="879"/>
      <c r="FWE1505" s="879"/>
      <c r="FWF1505" s="879"/>
      <c r="FWG1505" s="879"/>
      <c r="FWH1505" s="879"/>
      <c r="FWI1505" s="879"/>
      <c r="FWJ1505" s="879"/>
      <c r="FWK1505" s="879"/>
      <c r="FWL1505" s="879"/>
      <c r="FWM1505" s="879"/>
      <c r="FWN1505" s="879"/>
      <c r="FWO1505" s="879"/>
      <c r="FWP1505" s="879"/>
      <c r="FWQ1505" s="879"/>
      <c r="FWR1505" s="879"/>
      <c r="FWS1505" s="879"/>
      <c r="FWT1505" s="879"/>
      <c r="FWU1505" s="879"/>
      <c r="FWV1505" s="879"/>
      <c r="FWW1505" s="879"/>
      <c r="FWX1505" s="879"/>
      <c r="FWY1505" s="879"/>
      <c r="FWZ1505" s="879"/>
      <c r="FXA1505" s="879"/>
      <c r="FXB1505" s="879"/>
      <c r="FXC1505" s="879"/>
      <c r="FXD1505" s="879"/>
      <c r="FXE1505" s="879"/>
      <c r="FXF1505" s="879"/>
      <c r="FXG1505" s="879"/>
      <c r="FXH1505" s="879"/>
      <c r="FXI1505" s="879"/>
      <c r="FXJ1505" s="879"/>
      <c r="FXK1505" s="879"/>
      <c r="FXL1505" s="879"/>
      <c r="FXM1505" s="879"/>
      <c r="FXN1505" s="879"/>
      <c r="FXO1505" s="879"/>
      <c r="FXP1505" s="879"/>
      <c r="FXQ1505" s="879"/>
      <c r="FXR1505" s="879"/>
      <c r="FXS1505" s="879"/>
      <c r="FXT1505" s="879"/>
      <c r="FXU1505" s="879"/>
      <c r="FXV1505" s="879"/>
      <c r="FXW1505" s="879"/>
      <c r="FXX1505" s="879"/>
      <c r="FXY1505" s="879"/>
      <c r="FXZ1505" s="879"/>
      <c r="FYA1505" s="879"/>
      <c r="FYB1505" s="879"/>
      <c r="FYC1505" s="879"/>
      <c r="FYD1505" s="879"/>
      <c r="FYE1505" s="879"/>
      <c r="FYF1505" s="879"/>
      <c r="FYG1505" s="879"/>
      <c r="FYH1505" s="879"/>
      <c r="FYI1505" s="879"/>
      <c r="FYJ1505" s="879"/>
      <c r="FYK1505" s="879"/>
      <c r="FYL1505" s="879"/>
      <c r="FYM1505" s="879"/>
      <c r="FYN1505" s="879"/>
      <c r="FYO1505" s="879"/>
      <c r="FYP1505" s="879"/>
      <c r="FYQ1505" s="879"/>
      <c r="FYR1505" s="879"/>
      <c r="FYS1505" s="879"/>
      <c r="FYT1505" s="879"/>
      <c r="FYU1505" s="879"/>
      <c r="FYV1505" s="879"/>
      <c r="FYW1505" s="879"/>
      <c r="FYX1505" s="879"/>
      <c r="FYY1505" s="879"/>
      <c r="FYZ1505" s="879"/>
      <c r="FZA1505" s="879"/>
      <c r="FZB1505" s="879"/>
      <c r="FZC1505" s="879"/>
      <c r="FZD1505" s="879"/>
      <c r="FZE1505" s="879"/>
      <c r="FZF1505" s="879"/>
      <c r="FZG1505" s="879"/>
      <c r="FZH1505" s="879"/>
      <c r="FZI1505" s="879"/>
      <c r="FZJ1505" s="879"/>
      <c r="FZK1505" s="879"/>
      <c r="FZL1505" s="879"/>
      <c r="FZM1505" s="879"/>
      <c r="FZN1505" s="879"/>
      <c r="FZO1505" s="879"/>
      <c r="FZP1505" s="879"/>
      <c r="FZQ1505" s="879"/>
      <c r="FZR1505" s="879"/>
      <c r="FZS1505" s="879"/>
      <c r="FZT1505" s="879"/>
      <c r="FZU1505" s="879"/>
      <c r="FZV1505" s="879"/>
      <c r="FZW1505" s="879"/>
      <c r="FZX1505" s="879"/>
      <c r="FZY1505" s="879"/>
      <c r="FZZ1505" s="879"/>
      <c r="GAA1505" s="879"/>
      <c r="GAB1505" s="879"/>
      <c r="GAC1505" s="879"/>
      <c r="GAD1505" s="879"/>
      <c r="GAE1505" s="879"/>
      <c r="GAF1505" s="879"/>
      <c r="GAG1505" s="879"/>
      <c r="GAH1505" s="879"/>
      <c r="GAI1505" s="879"/>
      <c r="GAJ1505" s="879"/>
      <c r="GAK1505" s="879"/>
      <c r="GAL1505" s="879"/>
      <c r="GAM1505" s="879"/>
      <c r="GAN1505" s="879"/>
      <c r="GAO1505" s="879"/>
      <c r="GAP1505" s="879"/>
      <c r="GAQ1505" s="879"/>
      <c r="GAR1505" s="879"/>
      <c r="GAS1505" s="879"/>
      <c r="GAT1505" s="879"/>
      <c r="GAU1505" s="879"/>
      <c r="GAV1505" s="879"/>
      <c r="GAW1505" s="879"/>
      <c r="GAX1505" s="879"/>
      <c r="GAY1505" s="879"/>
      <c r="GAZ1505" s="879"/>
      <c r="GBA1505" s="879"/>
      <c r="GBB1505" s="879"/>
      <c r="GBC1505" s="879"/>
      <c r="GBD1505" s="879"/>
      <c r="GBE1505" s="879"/>
      <c r="GBF1505" s="879"/>
      <c r="GBG1505" s="879"/>
      <c r="GBH1505" s="879"/>
      <c r="GBI1505" s="879"/>
      <c r="GBJ1505" s="879"/>
      <c r="GBK1505" s="879"/>
      <c r="GBL1505" s="879"/>
      <c r="GBM1505" s="879"/>
      <c r="GBN1505" s="879"/>
      <c r="GBO1505" s="879"/>
      <c r="GBP1505" s="879"/>
      <c r="GBQ1505" s="879"/>
      <c r="GBR1505" s="879"/>
      <c r="GBS1505" s="879"/>
      <c r="GBT1505" s="879"/>
      <c r="GBU1505" s="879"/>
      <c r="GBV1505" s="879"/>
      <c r="GBW1505" s="879"/>
      <c r="GBX1505" s="879"/>
      <c r="GBY1505" s="879"/>
      <c r="GBZ1505" s="879"/>
      <c r="GCA1505" s="879"/>
      <c r="GCB1505" s="879"/>
      <c r="GCC1505" s="879"/>
      <c r="GCD1505" s="879"/>
      <c r="GCE1505" s="879"/>
      <c r="GCF1505" s="879"/>
      <c r="GCG1505" s="879"/>
      <c r="GCH1505" s="879"/>
      <c r="GCI1505" s="879"/>
      <c r="GCJ1505" s="879"/>
      <c r="GCK1505" s="879"/>
      <c r="GCL1505" s="879"/>
      <c r="GCM1505" s="879"/>
      <c r="GCN1505" s="879"/>
      <c r="GCO1505" s="879"/>
      <c r="GCP1505" s="879"/>
      <c r="GCQ1505" s="879"/>
      <c r="GCR1505" s="879"/>
      <c r="GCS1505" s="879"/>
      <c r="GCT1505" s="879"/>
      <c r="GCU1505" s="879"/>
      <c r="GCV1505" s="879"/>
      <c r="GCW1505" s="879"/>
      <c r="GCX1505" s="879"/>
      <c r="GCY1505" s="879"/>
      <c r="GCZ1505" s="879"/>
      <c r="GDA1505" s="879"/>
      <c r="GDB1505" s="879"/>
      <c r="GDC1505" s="879"/>
      <c r="GDD1505" s="879"/>
      <c r="GDE1505" s="879"/>
      <c r="GDF1505" s="879"/>
      <c r="GDG1505" s="879"/>
      <c r="GDH1505" s="879"/>
      <c r="GDI1505" s="879"/>
      <c r="GDJ1505" s="879"/>
      <c r="GDK1505" s="879"/>
      <c r="GDL1505" s="879"/>
      <c r="GDM1505" s="879"/>
      <c r="GDN1505" s="879"/>
      <c r="GDO1505" s="879"/>
      <c r="GDP1505" s="879"/>
      <c r="GDQ1505" s="879"/>
      <c r="GDR1505" s="879"/>
      <c r="GDS1505" s="879"/>
      <c r="GDT1505" s="879"/>
      <c r="GDU1505" s="879"/>
      <c r="GDV1505" s="879"/>
      <c r="GDW1505" s="879"/>
      <c r="GDX1505" s="879"/>
      <c r="GDY1505" s="879"/>
      <c r="GDZ1505" s="879"/>
      <c r="GEA1505" s="879"/>
      <c r="GEB1505" s="879"/>
      <c r="GEC1505" s="879"/>
      <c r="GED1505" s="879"/>
      <c r="GEE1505" s="879"/>
      <c r="GEF1505" s="879"/>
      <c r="GEG1505" s="879"/>
      <c r="GEH1505" s="879"/>
      <c r="GEI1505" s="879"/>
      <c r="GEJ1505" s="879"/>
      <c r="GEK1505" s="879"/>
      <c r="GEL1505" s="879"/>
      <c r="GEM1505" s="879"/>
      <c r="GEN1505" s="879"/>
      <c r="GEO1505" s="879"/>
      <c r="GEP1505" s="879"/>
      <c r="GEQ1505" s="879"/>
      <c r="GER1505" s="879"/>
      <c r="GES1505" s="879"/>
      <c r="GET1505" s="879"/>
      <c r="GEU1505" s="879"/>
      <c r="GEV1505" s="879"/>
      <c r="GEW1505" s="879"/>
      <c r="GEX1505" s="879"/>
      <c r="GEY1505" s="879"/>
      <c r="GEZ1505" s="879"/>
      <c r="GFA1505" s="879"/>
      <c r="GFB1505" s="879"/>
      <c r="GFC1505" s="879"/>
      <c r="GFD1505" s="879"/>
      <c r="GFE1505" s="879"/>
      <c r="GFF1505" s="879"/>
      <c r="GFG1505" s="879"/>
      <c r="GFH1505" s="879"/>
      <c r="GFI1505" s="879"/>
      <c r="GFJ1505" s="879"/>
      <c r="GFK1505" s="879"/>
      <c r="GFL1505" s="879"/>
      <c r="GFM1505" s="879"/>
      <c r="GFN1505" s="879"/>
      <c r="GFO1505" s="879"/>
      <c r="GFP1505" s="879"/>
      <c r="GFQ1505" s="879"/>
      <c r="GFR1505" s="879"/>
      <c r="GFS1505" s="879"/>
      <c r="GFT1505" s="879"/>
      <c r="GFU1505" s="879"/>
      <c r="GFV1505" s="879"/>
      <c r="GFW1505" s="879"/>
      <c r="GFX1505" s="879"/>
      <c r="GFY1505" s="879"/>
      <c r="GFZ1505" s="879"/>
      <c r="GGA1505" s="879"/>
      <c r="GGB1505" s="879"/>
      <c r="GGC1505" s="879"/>
      <c r="GGD1505" s="879"/>
      <c r="GGE1505" s="879"/>
      <c r="GGF1505" s="879"/>
      <c r="GGG1505" s="879"/>
      <c r="GGH1505" s="879"/>
      <c r="GGI1505" s="879"/>
      <c r="GGJ1505" s="879"/>
      <c r="GGK1505" s="879"/>
      <c r="GGL1505" s="879"/>
      <c r="GGM1505" s="879"/>
      <c r="GGN1505" s="879"/>
      <c r="GGO1505" s="879"/>
      <c r="GGP1505" s="879"/>
      <c r="GGQ1505" s="879"/>
      <c r="GGR1505" s="879"/>
      <c r="GGS1505" s="879"/>
      <c r="GGT1505" s="879"/>
      <c r="GGU1505" s="879"/>
      <c r="GGV1505" s="879"/>
      <c r="GGW1505" s="879"/>
      <c r="GGX1505" s="879"/>
      <c r="GGY1505" s="879"/>
      <c r="GGZ1505" s="879"/>
      <c r="GHA1505" s="879"/>
      <c r="GHB1505" s="879"/>
      <c r="GHC1505" s="879"/>
      <c r="GHD1505" s="879"/>
      <c r="GHE1505" s="879"/>
      <c r="GHF1505" s="879"/>
      <c r="GHG1505" s="879"/>
      <c r="GHH1505" s="879"/>
      <c r="GHI1505" s="879"/>
      <c r="GHJ1505" s="879"/>
      <c r="GHK1505" s="879"/>
      <c r="GHL1505" s="879"/>
      <c r="GHM1505" s="879"/>
      <c r="GHN1505" s="879"/>
      <c r="GHO1505" s="879"/>
      <c r="GHP1505" s="879"/>
      <c r="GHQ1505" s="879"/>
      <c r="GHR1505" s="879"/>
      <c r="GHS1505" s="879"/>
      <c r="GHT1505" s="879"/>
      <c r="GHU1505" s="879"/>
      <c r="GHV1505" s="879"/>
      <c r="GHW1505" s="879"/>
      <c r="GHX1505" s="879"/>
      <c r="GHY1505" s="879"/>
      <c r="GHZ1505" s="879"/>
      <c r="GIA1505" s="879"/>
      <c r="GIB1505" s="879"/>
      <c r="GIC1505" s="879"/>
      <c r="GID1505" s="879"/>
      <c r="GIE1505" s="879"/>
      <c r="GIF1505" s="879"/>
      <c r="GIG1505" s="879"/>
      <c r="GIH1505" s="879"/>
      <c r="GII1505" s="879"/>
      <c r="GIJ1505" s="879"/>
      <c r="GIK1505" s="879"/>
      <c r="GIL1505" s="879"/>
      <c r="GIM1505" s="879"/>
      <c r="GIN1505" s="879"/>
      <c r="GIO1505" s="879"/>
      <c r="GIP1505" s="879"/>
      <c r="GIQ1505" s="879"/>
      <c r="GIR1505" s="879"/>
      <c r="GIS1505" s="879"/>
      <c r="GIT1505" s="879"/>
      <c r="GIU1505" s="879"/>
      <c r="GIV1505" s="879"/>
      <c r="GIW1505" s="879"/>
      <c r="GIX1505" s="879"/>
      <c r="GIY1505" s="879"/>
      <c r="GIZ1505" s="879"/>
      <c r="GJA1505" s="879"/>
      <c r="GJB1505" s="879"/>
      <c r="GJC1505" s="879"/>
      <c r="GJD1505" s="879"/>
      <c r="GJE1505" s="879"/>
      <c r="GJF1505" s="879"/>
      <c r="GJG1505" s="879"/>
      <c r="GJH1505" s="879"/>
      <c r="GJI1505" s="879"/>
      <c r="GJJ1505" s="879"/>
      <c r="GJK1505" s="879"/>
      <c r="GJL1505" s="879"/>
      <c r="GJM1505" s="879"/>
      <c r="GJN1505" s="879"/>
      <c r="GJO1505" s="879"/>
      <c r="GJP1505" s="879"/>
      <c r="GJQ1505" s="879"/>
      <c r="GJR1505" s="879"/>
      <c r="GJS1505" s="879"/>
      <c r="GJT1505" s="879"/>
      <c r="GJU1505" s="879"/>
      <c r="GJV1505" s="879"/>
      <c r="GJW1505" s="879"/>
      <c r="GJX1505" s="879"/>
      <c r="GJY1505" s="879"/>
      <c r="GJZ1505" s="879"/>
      <c r="GKA1505" s="879"/>
      <c r="GKB1505" s="879"/>
      <c r="GKC1505" s="879"/>
      <c r="GKD1505" s="879"/>
      <c r="GKE1505" s="879"/>
      <c r="GKF1505" s="879"/>
      <c r="GKG1505" s="879"/>
      <c r="GKH1505" s="879"/>
      <c r="GKI1505" s="879"/>
      <c r="GKJ1505" s="879"/>
      <c r="GKK1505" s="879"/>
      <c r="GKL1505" s="879"/>
      <c r="GKM1505" s="879"/>
      <c r="GKN1505" s="879"/>
      <c r="GKO1505" s="879"/>
      <c r="GKP1505" s="879"/>
      <c r="GKQ1505" s="879"/>
      <c r="GKR1505" s="879"/>
      <c r="GKS1505" s="879"/>
      <c r="GKT1505" s="879"/>
      <c r="GKU1505" s="879"/>
      <c r="GKV1505" s="879"/>
      <c r="GKW1505" s="879"/>
      <c r="GKX1505" s="879"/>
      <c r="GKY1505" s="879"/>
      <c r="GKZ1505" s="879"/>
      <c r="GLA1505" s="879"/>
      <c r="GLB1505" s="879"/>
      <c r="GLC1505" s="879"/>
      <c r="GLD1505" s="879"/>
      <c r="GLE1505" s="879"/>
      <c r="GLF1505" s="879"/>
      <c r="GLG1505" s="879"/>
      <c r="GLH1505" s="879"/>
      <c r="GLI1505" s="879"/>
      <c r="GLJ1505" s="879"/>
      <c r="GLK1505" s="879"/>
      <c r="GLL1505" s="879"/>
      <c r="GLM1505" s="879"/>
      <c r="GLN1505" s="879"/>
      <c r="GLO1505" s="879"/>
      <c r="GLP1505" s="879"/>
      <c r="GLQ1505" s="879"/>
      <c r="GLR1505" s="879"/>
      <c r="GLS1505" s="879"/>
      <c r="GLT1505" s="879"/>
      <c r="GLU1505" s="879"/>
      <c r="GLV1505" s="879"/>
      <c r="GLW1505" s="879"/>
      <c r="GLX1505" s="879"/>
      <c r="GLY1505" s="879"/>
      <c r="GLZ1505" s="879"/>
      <c r="GMA1505" s="879"/>
      <c r="GMB1505" s="879"/>
      <c r="GMC1505" s="879"/>
      <c r="GMD1505" s="879"/>
      <c r="GME1505" s="879"/>
      <c r="GMF1505" s="879"/>
      <c r="GMG1505" s="879"/>
      <c r="GMH1505" s="879"/>
      <c r="GMI1505" s="879"/>
      <c r="GMJ1505" s="879"/>
      <c r="GMK1505" s="879"/>
      <c r="GML1505" s="879"/>
      <c r="GMM1505" s="879"/>
      <c r="GMN1505" s="879"/>
      <c r="GMO1505" s="879"/>
      <c r="GMP1505" s="879"/>
      <c r="GMQ1505" s="879"/>
      <c r="GMR1505" s="879"/>
      <c r="GMS1505" s="879"/>
      <c r="GMT1505" s="879"/>
      <c r="GMU1505" s="879"/>
      <c r="GMV1505" s="879"/>
      <c r="GMW1505" s="879"/>
      <c r="GMX1505" s="879"/>
      <c r="GMY1505" s="879"/>
      <c r="GMZ1505" s="879"/>
      <c r="GNA1505" s="879"/>
      <c r="GNB1505" s="879"/>
      <c r="GNC1505" s="879"/>
      <c r="GND1505" s="879"/>
      <c r="GNE1505" s="879"/>
      <c r="GNF1505" s="879"/>
      <c r="GNG1505" s="879"/>
      <c r="GNH1505" s="879"/>
      <c r="GNI1505" s="879"/>
      <c r="GNJ1505" s="879"/>
      <c r="GNK1505" s="879"/>
      <c r="GNL1505" s="879"/>
      <c r="GNM1505" s="879"/>
      <c r="GNN1505" s="879"/>
      <c r="GNO1505" s="879"/>
      <c r="GNP1505" s="879"/>
      <c r="GNQ1505" s="879"/>
      <c r="GNR1505" s="879"/>
      <c r="GNS1505" s="879"/>
      <c r="GNT1505" s="879"/>
      <c r="GNU1505" s="879"/>
      <c r="GNV1505" s="879"/>
      <c r="GNW1505" s="879"/>
      <c r="GNX1505" s="879"/>
      <c r="GNY1505" s="879"/>
      <c r="GNZ1505" s="879"/>
      <c r="GOA1505" s="879"/>
      <c r="GOB1505" s="879"/>
      <c r="GOC1505" s="879"/>
      <c r="GOD1505" s="879"/>
      <c r="GOE1505" s="879"/>
      <c r="GOF1505" s="879"/>
      <c r="GOG1505" s="879"/>
      <c r="GOH1505" s="879"/>
      <c r="GOI1505" s="879"/>
      <c r="GOJ1505" s="879"/>
      <c r="GOK1505" s="879"/>
      <c r="GOL1505" s="879"/>
      <c r="GOM1505" s="879"/>
      <c r="GON1505" s="879"/>
      <c r="GOO1505" s="879"/>
      <c r="GOP1505" s="879"/>
      <c r="GOQ1505" s="879"/>
      <c r="GOR1505" s="879"/>
      <c r="GOS1505" s="879"/>
      <c r="GOT1505" s="879"/>
      <c r="GOU1505" s="879"/>
      <c r="GOV1505" s="879"/>
      <c r="GOW1505" s="879"/>
      <c r="GOX1505" s="879"/>
      <c r="GOY1505" s="879"/>
      <c r="GOZ1505" s="879"/>
      <c r="GPA1505" s="879"/>
      <c r="GPB1505" s="879"/>
      <c r="GPC1505" s="879"/>
      <c r="GPD1505" s="879"/>
      <c r="GPE1505" s="879"/>
      <c r="GPF1505" s="879"/>
      <c r="GPG1505" s="879"/>
      <c r="GPH1505" s="879"/>
      <c r="GPI1505" s="879"/>
      <c r="GPJ1505" s="879"/>
      <c r="GPK1505" s="879"/>
      <c r="GPL1505" s="879"/>
      <c r="GPM1505" s="879"/>
      <c r="GPN1505" s="879"/>
      <c r="GPO1505" s="879"/>
      <c r="GPP1505" s="879"/>
      <c r="GPQ1505" s="879"/>
      <c r="GPR1505" s="879"/>
      <c r="GPS1505" s="879"/>
      <c r="GPT1505" s="879"/>
      <c r="GPU1505" s="879"/>
      <c r="GPV1505" s="879"/>
      <c r="GPW1505" s="879"/>
      <c r="GPX1505" s="879"/>
      <c r="GPY1505" s="879"/>
      <c r="GPZ1505" s="879"/>
      <c r="GQA1505" s="879"/>
      <c r="GQB1505" s="879"/>
      <c r="GQC1505" s="879"/>
      <c r="GQD1505" s="879"/>
      <c r="GQE1505" s="879"/>
      <c r="GQF1505" s="879"/>
      <c r="GQG1505" s="879"/>
      <c r="GQH1505" s="879"/>
      <c r="GQI1505" s="879"/>
      <c r="GQJ1505" s="879"/>
      <c r="GQK1505" s="879"/>
      <c r="GQL1505" s="879"/>
      <c r="GQM1505" s="879"/>
      <c r="GQN1505" s="879"/>
      <c r="GQO1505" s="879"/>
      <c r="GQP1505" s="879"/>
      <c r="GQQ1505" s="879"/>
      <c r="GQR1505" s="879"/>
      <c r="GQS1505" s="879"/>
      <c r="GQT1505" s="879"/>
      <c r="GQU1505" s="879"/>
      <c r="GQV1505" s="879"/>
      <c r="GQW1505" s="879"/>
      <c r="GQX1505" s="879"/>
      <c r="GQY1505" s="879"/>
      <c r="GQZ1505" s="879"/>
      <c r="GRA1505" s="879"/>
      <c r="GRB1505" s="879"/>
      <c r="GRC1505" s="879"/>
      <c r="GRD1505" s="879"/>
      <c r="GRE1505" s="879"/>
      <c r="GRF1505" s="879"/>
      <c r="GRG1505" s="879"/>
      <c r="GRH1505" s="879"/>
      <c r="GRI1505" s="879"/>
      <c r="GRJ1505" s="879"/>
      <c r="GRK1505" s="879"/>
      <c r="GRL1505" s="879"/>
      <c r="GRM1505" s="879"/>
      <c r="GRN1505" s="879"/>
      <c r="GRO1505" s="879"/>
      <c r="GRP1505" s="879"/>
      <c r="GRQ1505" s="879"/>
      <c r="GRR1505" s="879"/>
      <c r="GRS1505" s="879"/>
      <c r="GRT1505" s="879"/>
      <c r="GRU1505" s="879"/>
      <c r="GRV1505" s="879"/>
      <c r="GRW1505" s="879"/>
      <c r="GRX1505" s="879"/>
      <c r="GRY1505" s="879"/>
      <c r="GRZ1505" s="879"/>
      <c r="GSA1505" s="879"/>
      <c r="GSB1505" s="879"/>
      <c r="GSC1505" s="879"/>
      <c r="GSD1505" s="879"/>
      <c r="GSE1505" s="879"/>
      <c r="GSF1505" s="879"/>
      <c r="GSG1505" s="879"/>
      <c r="GSH1505" s="879"/>
      <c r="GSI1505" s="879"/>
      <c r="GSJ1505" s="879"/>
      <c r="GSK1505" s="879"/>
      <c r="GSL1505" s="879"/>
      <c r="GSM1505" s="879"/>
      <c r="GSN1505" s="879"/>
      <c r="GSO1505" s="879"/>
      <c r="GSP1505" s="879"/>
      <c r="GSQ1505" s="879"/>
      <c r="GSR1505" s="879"/>
      <c r="GSS1505" s="879"/>
      <c r="GST1505" s="879"/>
      <c r="GSU1505" s="879"/>
      <c r="GSV1505" s="879"/>
      <c r="GSW1505" s="879"/>
      <c r="GSX1505" s="879"/>
      <c r="GSY1505" s="879"/>
      <c r="GSZ1505" s="879"/>
      <c r="GTA1505" s="879"/>
      <c r="GTB1505" s="879"/>
      <c r="GTC1505" s="879"/>
      <c r="GTD1505" s="879"/>
      <c r="GTE1505" s="879"/>
      <c r="GTF1505" s="879"/>
      <c r="GTG1505" s="879"/>
      <c r="GTH1505" s="879"/>
      <c r="GTI1505" s="879"/>
      <c r="GTJ1505" s="879"/>
      <c r="GTK1505" s="879"/>
      <c r="GTL1505" s="879"/>
      <c r="GTM1505" s="879"/>
      <c r="GTN1505" s="879"/>
      <c r="GTO1505" s="879"/>
      <c r="GTP1505" s="879"/>
      <c r="GTQ1505" s="879"/>
      <c r="GTR1505" s="879"/>
      <c r="GTS1505" s="879"/>
      <c r="GTT1505" s="879"/>
      <c r="GTU1505" s="879"/>
      <c r="GTV1505" s="879"/>
      <c r="GTW1505" s="879"/>
      <c r="GTX1505" s="879"/>
      <c r="GTY1505" s="879"/>
      <c r="GTZ1505" s="879"/>
      <c r="GUA1505" s="879"/>
      <c r="GUB1505" s="879"/>
      <c r="GUC1505" s="879"/>
      <c r="GUD1505" s="879"/>
      <c r="GUE1505" s="879"/>
      <c r="GUF1505" s="879"/>
      <c r="GUG1505" s="879"/>
      <c r="GUH1505" s="879"/>
      <c r="GUI1505" s="879"/>
      <c r="GUJ1505" s="879"/>
      <c r="GUK1505" s="879"/>
      <c r="GUL1505" s="879"/>
      <c r="GUM1505" s="879"/>
      <c r="GUN1505" s="879"/>
      <c r="GUO1505" s="879"/>
      <c r="GUP1505" s="879"/>
      <c r="GUQ1505" s="879"/>
      <c r="GUR1505" s="879"/>
      <c r="GUS1505" s="879"/>
      <c r="GUT1505" s="879"/>
      <c r="GUU1505" s="879"/>
      <c r="GUV1505" s="879"/>
      <c r="GUW1505" s="879"/>
      <c r="GUX1505" s="879"/>
      <c r="GUY1505" s="879"/>
      <c r="GUZ1505" s="879"/>
      <c r="GVA1505" s="879"/>
      <c r="GVB1505" s="879"/>
      <c r="GVC1505" s="879"/>
      <c r="GVD1505" s="879"/>
      <c r="GVE1505" s="879"/>
      <c r="GVF1505" s="879"/>
      <c r="GVG1505" s="879"/>
      <c r="GVH1505" s="879"/>
      <c r="GVI1505" s="879"/>
      <c r="GVJ1505" s="879"/>
      <c r="GVK1505" s="879"/>
      <c r="GVL1505" s="879"/>
      <c r="GVM1505" s="879"/>
      <c r="GVN1505" s="879"/>
      <c r="GVO1505" s="879"/>
      <c r="GVP1505" s="879"/>
      <c r="GVQ1505" s="879"/>
      <c r="GVR1505" s="879"/>
      <c r="GVS1505" s="879"/>
      <c r="GVT1505" s="879"/>
      <c r="GVU1505" s="879"/>
      <c r="GVV1505" s="879"/>
      <c r="GVW1505" s="879"/>
      <c r="GVX1505" s="879"/>
      <c r="GVY1505" s="879"/>
      <c r="GVZ1505" s="879"/>
      <c r="GWA1505" s="879"/>
      <c r="GWB1505" s="879"/>
      <c r="GWC1505" s="879"/>
      <c r="GWD1505" s="879"/>
      <c r="GWE1505" s="879"/>
      <c r="GWF1505" s="879"/>
      <c r="GWG1505" s="879"/>
      <c r="GWH1505" s="879"/>
      <c r="GWI1505" s="879"/>
      <c r="GWJ1505" s="879"/>
      <c r="GWK1505" s="879"/>
      <c r="GWL1505" s="879"/>
      <c r="GWM1505" s="879"/>
      <c r="GWN1505" s="879"/>
      <c r="GWO1505" s="879"/>
      <c r="GWP1505" s="879"/>
      <c r="GWQ1505" s="879"/>
      <c r="GWR1505" s="879"/>
      <c r="GWS1505" s="879"/>
      <c r="GWT1505" s="879"/>
      <c r="GWU1505" s="879"/>
      <c r="GWV1505" s="879"/>
      <c r="GWW1505" s="879"/>
      <c r="GWX1505" s="879"/>
      <c r="GWY1505" s="879"/>
      <c r="GWZ1505" s="879"/>
      <c r="GXA1505" s="879"/>
      <c r="GXB1505" s="879"/>
      <c r="GXC1505" s="879"/>
      <c r="GXD1505" s="879"/>
      <c r="GXE1505" s="879"/>
      <c r="GXF1505" s="879"/>
      <c r="GXG1505" s="879"/>
      <c r="GXH1505" s="879"/>
      <c r="GXI1505" s="879"/>
      <c r="GXJ1505" s="879"/>
      <c r="GXK1505" s="879"/>
      <c r="GXL1505" s="879"/>
      <c r="GXM1505" s="879"/>
      <c r="GXN1505" s="879"/>
      <c r="GXO1505" s="879"/>
      <c r="GXP1505" s="879"/>
      <c r="GXQ1505" s="879"/>
      <c r="GXR1505" s="879"/>
      <c r="GXS1505" s="879"/>
      <c r="GXT1505" s="879"/>
      <c r="GXU1505" s="879"/>
      <c r="GXV1505" s="879"/>
      <c r="GXW1505" s="879"/>
      <c r="GXX1505" s="879"/>
      <c r="GXY1505" s="879"/>
      <c r="GXZ1505" s="879"/>
      <c r="GYA1505" s="879"/>
      <c r="GYB1505" s="879"/>
      <c r="GYC1505" s="879"/>
      <c r="GYD1505" s="879"/>
      <c r="GYE1505" s="879"/>
      <c r="GYF1505" s="879"/>
      <c r="GYG1505" s="879"/>
      <c r="GYH1505" s="879"/>
      <c r="GYI1505" s="879"/>
      <c r="GYJ1505" s="879"/>
      <c r="GYK1505" s="879"/>
      <c r="GYL1505" s="879"/>
      <c r="GYM1505" s="879"/>
      <c r="GYN1505" s="879"/>
      <c r="GYO1505" s="879"/>
      <c r="GYP1505" s="879"/>
      <c r="GYQ1505" s="879"/>
      <c r="GYR1505" s="879"/>
      <c r="GYS1505" s="879"/>
      <c r="GYT1505" s="879"/>
      <c r="GYU1505" s="879"/>
      <c r="GYV1505" s="879"/>
      <c r="GYW1505" s="879"/>
      <c r="GYX1505" s="879"/>
      <c r="GYY1505" s="879"/>
      <c r="GYZ1505" s="879"/>
      <c r="GZA1505" s="879"/>
      <c r="GZB1505" s="879"/>
      <c r="GZC1505" s="879"/>
      <c r="GZD1505" s="879"/>
      <c r="GZE1505" s="879"/>
      <c r="GZF1505" s="879"/>
      <c r="GZG1505" s="879"/>
      <c r="GZH1505" s="879"/>
      <c r="GZI1505" s="879"/>
      <c r="GZJ1505" s="879"/>
      <c r="GZK1505" s="879"/>
      <c r="GZL1505" s="879"/>
      <c r="GZM1505" s="879"/>
      <c r="GZN1505" s="879"/>
      <c r="GZO1505" s="879"/>
      <c r="GZP1505" s="879"/>
      <c r="GZQ1505" s="879"/>
      <c r="GZR1505" s="879"/>
      <c r="GZS1505" s="879"/>
      <c r="GZT1505" s="879"/>
      <c r="GZU1505" s="879"/>
      <c r="GZV1505" s="879"/>
      <c r="GZW1505" s="879"/>
      <c r="GZX1505" s="879"/>
      <c r="GZY1505" s="879"/>
      <c r="GZZ1505" s="879"/>
      <c r="HAA1505" s="879"/>
      <c r="HAB1505" s="879"/>
      <c r="HAC1505" s="879"/>
      <c r="HAD1505" s="879"/>
      <c r="HAE1505" s="879"/>
      <c r="HAF1505" s="879"/>
      <c r="HAG1505" s="879"/>
      <c r="HAH1505" s="879"/>
      <c r="HAI1505" s="879"/>
      <c r="HAJ1505" s="879"/>
      <c r="HAK1505" s="879"/>
      <c r="HAL1505" s="879"/>
      <c r="HAM1505" s="879"/>
      <c r="HAN1505" s="879"/>
      <c r="HAO1505" s="879"/>
      <c r="HAP1505" s="879"/>
      <c r="HAQ1505" s="879"/>
      <c r="HAR1505" s="879"/>
      <c r="HAS1505" s="879"/>
      <c r="HAT1505" s="879"/>
      <c r="HAU1505" s="879"/>
      <c r="HAV1505" s="879"/>
      <c r="HAW1505" s="879"/>
      <c r="HAX1505" s="879"/>
      <c r="HAY1505" s="879"/>
      <c r="HAZ1505" s="879"/>
      <c r="HBA1505" s="879"/>
      <c r="HBB1505" s="879"/>
      <c r="HBC1505" s="879"/>
      <c r="HBD1505" s="879"/>
      <c r="HBE1505" s="879"/>
      <c r="HBF1505" s="879"/>
      <c r="HBG1505" s="879"/>
      <c r="HBH1505" s="879"/>
      <c r="HBI1505" s="879"/>
      <c r="HBJ1505" s="879"/>
      <c r="HBK1505" s="879"/>
      <c r="HBL1505" s="879"/>
      <c r="HBM1505" s="879"/>
      <c r="HBN1505" s="879"/>
      <c r="HBO1505" s="879"/>
      <c r="HBP1505" s="879"/>
      <c r="HBQ1505" s="879"/>
      <c r="HBR1505" s="879"/>
      <c r="HBS1505" s="879"/>
      <c r="HBT1505" s="879"/>
      <c r="HBU1505" s="879"/>
      <c r="HBV1505" s="879"/>
      <c r="HBW1505" s="879"/>
      <c r="HBX1505" s="879"/>
      <c r="HBY1505" s="879"/>
      <c r="HBZ1505" s="879"/>
      <c r="HCA1505" s="879"/>
      <c r="HCB1505" s="879"/>
      <c r="HCC1505" s="879"/>
      <c r="HCD1505" s="879"/>
      <c r="HCE1505" s="879"/>
      <c r="HCF1505" s="879"/>
      <c r="HCG1505" s="879"/>
      <c r="HCH1505" s="879"/>
      <c r="HCI1505" s="879"/>
      <c r="HCJ1505" s="879"/>
      <c r="HCK1505" s="879"/>
      <c r="HCL1505" s="879"/>
      <c r="HCM1505" s="879"/>
      <c r="HCN1505" s="879"/>
      <c r="HCO1505" s="879"/>
      <c r="HCP1505" s="879"/>
      <c r="HCQ1505" s="879"/>
      <c r="HCR1505" s="879"/>
      <c r="HCS1505" s="879"/>
      <c r="HCT1505" s="879"/>
      <c r="HCU1505" s="879"/>
      <c r="HCV1505" s="879"/>
      <c r="HCW1505" s="879"/>
      <c r="HCX1505" s="879"/>
      <c r="HCY1505" s="879"/>
      <c r="HCZ1505" s="879"/>
      <c r="HDA1505" s="879"/>
      <c r="HDB1505" s="879"/>
      <c r="HDC1505" s="879"/>
      <c r="HDD1505" s="879"/>
      <c r="HDE1505" s="879"/>
      <c r="HDF1505" s="879"/>
      <c r="HDG1505" s="879"/>
      <c r="HDH1505" s="879"/>
      <c r="HDI1505" s="879"/>
      <c r="HDJ1505" s="879"/>
      <c r="HDK1505" s="879"/>
      <c r="HDL1505" s="879"/>
      <c r="HDM1505" s="879"/>
      <c r="HDN1505" s="879"/>
      <c r="HDO1505" s="879"/>
      <c r="HDP1505" s="879"/>
      <c r="HDQ1505" s="879"/>
      <c r="HDR1505" s="879"/>
      <c r="HDS1505" s="879"/>
      <c r="HDT1505" s="879"/>
      <c r="HDU1505" s="879"/>
      <c r="HDV1505" s="879"/>
      <c r="HDW1505" s="879"/>
      <c r="HDX1505" s="879"/>
      <c r="HDY1505" s="879"/>
      <c r="HDZ1505" s="879"/>
      <c r="HEA1505" s="879"/>
      <c r="HEB1505" s="879"/>
      <c r="HEC1505" s="879"/>
      <c r="HED1505" s="879"/>
      <c r="HEE1505" s="879"/>
      <c r="HEF1505" s="879"/>
      <c r="HEG1505" s="879"/>
      <c r="HEH1505" s="879"/>
      <c r="HEI1505" s="879"/>
      <c r="HEJ1505" s="879"/>
      <c r="HEK1505" s="879"/>
      <c r="HEL1505" s="879"/>
      <c r="HEM1505" s="879"/>
      <c r="HEN1505" s="879"/>
      <c r="HEO1505" s="879"/>
      <c r="HEP1505" s="879"/>
      <c r="HEQ1505" s="879"/>
      <c r="HER1505" s="879"/>
      <c r="HES1505" s="879"/>
      <c r="HET1505" s="879"/>
      <c r="HEU1505" s="879"/>
      <c r="HEV1505" s="879"/>
      <c r="HEW1505" s="879"/>
      <c r="HEX1505" s="879"/>
      <c r="HEY1505" s="879"/>
      <c r="HEZ1505" s="879"/>
      <c r="HFA1505" s="879"/>
      <c r="HFB1505" s="879"/>
      <c r="HFC1505" s="879"/>
      <c r="HFD1505" s="879"/>
      <c r="HFE1505" s="879"/>
      <c r="HFF1505" s="879"/>
      <c r="HFG1505" s="879"/>
      <c r="HFH1505" s="879"/>
      <c r="HFI1505" s="879"/>
      <c r="HFJ1505" s="879"/>
      <c r="HFK1505" s="879"/>
      <c r="HFL1505" s="879"/>
      <c r="HFM1505" s="879"/>
      <c r="HFN1505" s="879"/>
      <c r="HFO1505" s="879"/>
      <c r="HFP1505" s="879"/>
      <c r="HFQ1505" s="879"/>
      <c r="HFR1505" s="879"/>
      <c r="HFS1505" s="879"/>
      <c r="HFT1505" s="879"/>
      <c r="HFU1505" s="879"/>
      <c r="HFV1505" s="879"/>
      <c r="HFW1505" s="879"/>
      <c r="HFX1505" s="879"/>
      <c r="HFY1505" s="879"/>
      <c r="HFZ1505" s="879"/>
      <c r="HGA1505" s="879"/>
      <c r="HGB1505" s="879"/>
      <c r="HGC1505" s="879"/>
      <c r="HGD1505" s="879"/>
      <c r="HGE1505" s="879"/>
      <c r="HGF1505" s="879"/>
      <c r="HGG1505" s="879"/>
      <c r="HGH1505" s="879"/>
      <c r="HGI1505" s="879"/>
      <c r="HGJ1505" s="879"/>
      <c r="HGK1505" s="879"/>
      <c r="HGL1505" s="879"/>
      <c r="HGM1505" s="879"/>
      <c r="HGN1505" s="879"/>
      <c r="HGO1505" s="879"/>
      <c r="HGP1505" s="879"/>
      <c r="HGQ1505" s="879"/>
      <c r="HGR1505" s="879"/>
      <c r="HGS1505" s="879"/>
      <c r="HGT1505" s="879"/>
      <c r="HGU1505" s="879"/>
      <c r="HGV1505" s="879"/>
      <c r="HGW1505" s="879"/>
      <c r="HGX1505" s="879"/>
      <c r="HGY1505" s="879"/>
      <c r="HGZ1505" s="879"/>
      <c r="HHA1505" s="879"/>
      <c r="HHB1505" s="879"/>
      <c r="HHC1505" s="879"/>
      <c r="HHD1505" s="879"/>
      <c r="HHE1505" s="879"/>
      <c r="HHF1505" s="879"/>
      <c r="HHG1505" s="879"/>
      <c r="HHH1505" s="879"/>
      <c r="HHI1505" s="879"/>
      <c r="HHJ1505" s="879"/>
      <c r="HHK1505" s="879"/>
      <c r="HHL1505" s="879"/>
      <c r="HHM1505" s="879"/>
      <c r="HHN1505" s="879"/>
      <c r="HHO1505" s="879"/>
      <c r="HHP1505" s="879"/>
      <c r="HHQ1505" s="879"/>
      <c r="HHR1505" s="879"/>
      <c r="HHS1505" s="879"/>
      <c r="HHT1505" s="879"/>
      <c r="HHU1505" s="879"/>
      <c r="HHV1505" s="879"/>
      <c r="HHW1505" s="879"/>
      <c r="HHX1505" s="879"/>
      <c r="HHY1505" s="879"/>
      <c r="HHZ1505" s="879"/>
      <c r="HIA1505" s="879"/>
      <c r="HIB1505" s="879"/>
      <c r="HIC1505" s="879"/>
      <c r="HID1505" s="879"/>
      <c r="HIE1505" s="879"/>
      <c r="HIF1505" s="879"/>
      <c r="HIG1505" s="879"/>
      <c r="HIH1505" s="879"/>
      <c r="HII1505" s="879"/>
      <c r="HIJ1505" s="879"/>
      <c r="HIK1505" s="879"/>
      <c r="HIL1505" s="879"/>
      <c r="HIM1505" s="879"/>
      <c r="HIN1505" s="879"/>
      <c r="HIO1505" s="879"/>
      <c r="HIP1505" s="879"/>
      <c r="HIQ1505" s="879"/>
      <c r="HIR1505" s="879"/>
      <c r="HIS1505" s="879"/>
      <c r="HIT1505" s="879"/>
      <c r="HIU1505" s="879"/>
      <c r="HIV1505" s="879"/>
      <c r="HIW1505" s="879"/>
      <c r="HIX1505" s="879"/>
      <c r="HIY1505" s="879"/>
      <c r="HIZ1505" s="879"/>
      <c r="HJA1505" s="879"/>
      <c r="HJB1505" s="879"/>
      <c r="HJC1505" s="879"/>
      <c r="HJD1505" s="879"/>
      <c r="HJE1505" s="879"/>
      <c r="HJF1505" s="879"/>
      <c r="HJG1505" s="879"/>
      <c r="HJH1505" s="879"/>
      <c r="HJI1505" s="879"/>
      <c r="HJJ1505" s="879"/>
      <c r="HJK1505" s="879"/>
      <c r="HJL1505" s="879"/>
      <c r="HJM1505" s="879"/>
      <c r="HJN1505" s="879"/>
      <c r="HJO1505" s="879"/>
      <c r="HJP1505" s="879"/>
      <c r="HJQ1505" s="879"/>
      <c r="HJR1505" s="879"/>
      <c r="HJS1505" s="879"/>
      <c r="HJT1505" s="879"/>
      <c r="HJU1505" s="879"/>
      <c r="HJV1505" s="879"/>
      <c r="HJW1505" s="879"/>
      <c r="HJX1505" s="879"/>
      <c r="HJY1505" s="879"/>
      <c r="HJZ1505" s="879"/>
      <c r="HKA1505" s="879"/>
      <c r="HKB1505" s="879"/>
      <c r="HKC1505" s="879"/>
      <c r="HKD1505" s="879"/>
      <c r="HKE1505" s="879"/>
      <c r="HKF1505" s="879"/>
      <c r="HKG1505" s="879"/>
      <c r="HKH1505" s="879"/>
      <c r="HKI1505" s="879"/>
      <c r="HKJ1505" s="879"/>
      <c r="HKK1505" s="879"/>
      <c r="HKL1505" s="879"/>
      <c r="HKM1505" s="879"/>
      <c r="HKN1505" s="879"/>
      <c r="HKO1505" s="879"/>
      <c r="HKP1505" s="879"/>
      <c r="HKQ1505" s="879"/>
      <c r="HKR1505" s="879"/>
      <c r="HKS1505" s="879"/>
      <c r="HKT1505" s="879"/>
      <c r="HKU1505" s="879"/>
      <c r="HKV1505" s="879"/>
      <c r="HKW1505" s="879"/>
      <c r="HKX1505" s="879"/>
      <c r="HKY1505" s="879"/>
      <c r="HKZ1505" s="879"/>
      <c r="HLA1505" s="879"/>
      <c r="HLB1505" s="879"/>
      <c r="HLC1505" s="879"/>
      <c r="HLD1505" s="879"/>
      <c r="HLE1505" s="879"/>
      <c r="HLF1505" s="879"/>
      <c r="HLG1505" s="879"/>
      <c r="HLH1505" s="879"/>
      <c r="HLI1505" s="879"/>
      <c r="HLJ1505" s="879"/>
      <c r="HLK1505" s="879"/>
      <c r="HLL1505" s="879"/>
      <c r="HLM1505" s="879"/>
      <c r="HLN1505" s="879"/>
      <c r="HLO1505" s="879"/>
      <c r="HLP1505" s="879"/>
      <c r="HLQ1505" s="879"/>
      <c r="HLR1505" s="879"/>
      <c r="HLS1505" s="879"/>
      <c r="HLT1505" s="879"/>
      <c r="HLU1505" s="879"/>
      <c r="HLV1505" s="879"/>
      <c r="HLW1505" s="879"/>
      <c r="HLX1505" s="879"/>
      <c r="HLY1505" s="879"/>
      <c r="HLZ1505" s="879"/>
      <c r="HMA1505" s="879"/>
      <c r="HMB1505" s="879"/>
      <c r="HMC1505" s="879"/>
      <c r="HMD1505" s="879"/>
      <c r="HME1505" s="879"/>
      <c r="HMF1505" s="879"/>
      <c r="HMG1505" s="879"/>
      <c r="HMH1505" s="879"/>
      <c r="HMI1505" s="879"/>
      <c r="HMJ1505" s="879"/>
      <c r="HMK1505" s="879"/>
      <c r="HML1505" s="879"/>
      <c r="HMM1505" s="879"/>
      <c r="HMN1505" s="879"/>
      <c r="HMO1505" s="879"/>
      <c r="HMP1505" s="879"/>
      <c r="HMQ1505" s="879"/>
      <c r="HMR1505" s="879"/>
      <c r="HMS1505" s="879"/>
      <c r="HMT1505" s="879"/>
      <c r="HMU1505" s="879"/>
      <c r="HMV1505" s="879"/>
      <c r="HMW1505" s="879"/>
      <c r="HMX1505" s="879"/>
      <c r="HMY1505" s="879"/>
      <c r="HMZ1505" s="879"/>
      <c r="HNA1505" s="879"/>
      <c r="HNB1505" s="879"/>
      <c r="HNC1505" s="879"/>
      <c r="HND1505" s="879"/>
      <c r="HNE1505" s="879"/>
      <c r="HNF1505" s="879"/>
      <c r="HNG1505" s="879"/>
      <c r="HNH1505" s="879"/>
      <c r="HNI1505" s="879"/>
      <c r="HNJ1505" s="879"/>
      <c r="HNK1505" s="879"/>
      <c r="HNL1505" s="879"/>
      <c r="HNM1505" s="879"/>
      <c r="HNN1505" s="879"/>
      <c r="HNO1505" s="879"/>
      <c r="HNP1505" s="879"/>
      <c r="HNQ1505" s="879"/>
      <c r="HNR1505" s="879"/>
      <c r="HNS1505" s="879"/>
      <c r="HNT1505" s="879"/>
      <c r="HNU1505" s="879"/>
      <c r="HNV1505" s="879"/>
      <c r="HNW1505" s="879"/>
      <c r="HNX1505" s="879"/>
      <c r="HNY1505" s="879"/>
      <c r="HNZ1505" s="879"/>
      <c r="HOA1505" s="879"/>
      <c r="HOB1505" s="879"/>
      <c r="HOC1505" s="879"/>
      <c r="HOD1505" s="879"/>
      <c r="HOE1505" s="879"/>
      <c r="HOF1505" s="879"/>
      <c r="HOG1505" s="879"/>
      <c r="HOH1505" s="879"/>
      <c r="HOI1505" s="879"/>
      <c r="HOJ1505" s="879"/>
      <c r="HOK1505" s="879"/>
      <c r="HOL1505" s="879"/>
      <c r="HOM1505" s="879"/>
      <c r="HON1505" s="879"/>
      <c r="HOO1505" s="879"/>
      <c r="HOP1505" s="879"/>
      <c r="HOQ1505" s="879"/>
      <c r="HOR1505" s="879"/>
      <c r="HOS1505" s="879"/>
      <c r="HOT1505" s="879"/>
      <c r="HOU1505" s="879"/>
      <c r="HOV1505" s="879"/>
      <c r="HOW1505" s="879"/>
      <c r="HOX1505" s="879"/>
      <c r="HOY1505" s="879"/>
      <c r="HOZ1505" s="879"/>
      <c r="HPA1505" s="879"/>
      <c r="HPB1505" s="879"/>
      <c r="HPC1505" s="879"/>
      <c r="HPD1505" s="879"/>
      <c r="HPE1505" s="879"/>
      <c r="HPF1505" s="879"/>
      <c r="HPG1505" s="879"/>
      <c r="HPH1505" s="879"/>
      <c r="HPI1505" s="879"/>
      <c r="HPJ1505" s="879"/>
      <c r="HPK1505" s="879"/>
      <c r="HPL1505" s="879"/>
      <c r="HPM1505" s="879"/>
      <c r="HPN1505" s="879"/>
      <c r="HPO1505" s="879"/>
      <c r="HPP1505" s="879"/>
      <c r="HPQ1505" s="879"/>
      <c r="HPR1505" s="879"/>
      <c r="HPS1505" s="879"/>
      <c r="HPT1505" s="879"/>
      <c r="HPU1505" s="879"/>
      <c r="HPV1505" s="879"/>
      <c r="HPW1505" s="879"/>
      <c r="HPX1505" s="879"/>
      <c r="HPY1505" s="879"/>
      <c r="HPZ1505" s="879"/>
      <c r="HQA1505" s="879"/>
      <c r="HQB1505" s="879"/>
      <c r="HQC1505" s="879"/>
      <c r="HQD1505" s="879"/>
      <c r="HQE1505" s="879"/>
      <c r="HQF1505" s="879"/>
      <c r="HQG1505" s="879"/>
      <c r="HQH1505" s="879"/>
      <c r="HQI1505" s="879"/>
      <c r="HQJ1505" s="879"/>
      <c r="HQK1505" s="879"/>
      <c r="HQL1505" s="879"/>
      <c r="HQM1505" s="879"/>
      <c r="HQN1505" s="879"/>
      <c r="HQO1505" s="879"/>
      <c r="HQP1505" s="879"/>
      <c r="HQQ1505" s="879"/>
      <c r="HQR1505" s="879"/>
      <c r="HQS1505" s="879"/>
      <c r="HQT1505" s="879"/>
      <c r="HQU1505" s="879"/>
      <c r="HQV1505" s="879"/>
      <c r="HQW1505" s="879"/>
      <c r="HQX1505" s="879"/>
      <c r="HQY1505" s="879"/>
      <c r="HQZ1505" s="879"/>
      <c r="HRA1505" s="879"/>
      <c r="HRB1505" s="879"/>
      <c r="HRC1505" s="879"/>
      <c r="HRD1505" s="879"/>
      <c r="HRE1505" s="879"/>
      <c r="HRF1505" s="879"/>
      <c r="HRG1505" s="879"/>
      <c r="HRH1505" s="879"/>
      <c r="HRI1505" s="879"/>
      <c r="HRJ1505" s="879"/>
      <c r="HRK1505" s="879"/>
      <c r="HRL1505" s="879"/>
      <c r="HRM1505" s="879"/>
      <c r="HRN1505" s="879"/>
      <c r="HRO1505" s="879"/>
      <c r="HRP1505" s="879"/>
      <c r="HRQ1505" s="879"/>
      <c r="HRR1505" s="879"/>
      <c r="HRS1505" s="879"/>
      <c r="HRT1505" s="879"/>
      <c r="HRU1505" s="879"/>
      <c r="HRV1505" s="879"/>
      <c r="HRW1505" s="879"/>
      <c r="HRX1505" s="879"/>
      <c r="HRY1505" s="879"/>
      <c r="HRZ1505" s="879"/>
      <c r="HSA1505" s="879"/>
      <c r="HSB1505" s="879"/>
      <c r="HSC1505" s="879"/>
      <c r="HSD1505" s="879"/>
      <c r="HSE1505" s="879"/>
      <c r="HSF1505" s="879"/>
      <c r="HSG1505" s="879"/>
      <c r="HSH1505" s="879"/>
      <c r="HSI1505" s="879"/>
      <c r="HSJ1505" s="879"/>
      <c r="HSK1505" s="879"/>
      <c r="HSL1505" s="879"/>
      <c r="HSM1505" s="879"/>
      <c r="HSN1505" s="879"/>
      <c r="HSO1505" s="879"/>
      <c r="HSP1505" s="879"/>
      <c r="HSQ1505" s="879"/>
      <c r="HSR1505" s="879"/>
      <c r="HSS1505" s="879"/>
      <c r="HST1505" s="879"/>
      <c r="HSU1505" s="879"/>
      <c r="HSV1505" s="879"/>
      <c r="HSW1505" s="879"/>
      <c r="HSX1505" s="879"/>
      <c r="HSY1505" s="879"/>
      <c r="HSZ1505" s="879"/>
      <c r="HTA1505" s="879"/>
      <c r="HTB1505" s="879"/>
      <c r="HTC1505" s="879"/>
      <c r="HTD1505" s="879"/>
      <c r="HTE1505" s="879"/>
      <c r="HTF1505" s="879"/>
      <c r="HTG1505" s="879"/>
      <c r="HTH1505" s="879"/>
      <c r="HTI1505" s="879"/>
      <c r="HTJ1505" s="879"/>
      <c r="HTK1505" s="879"/>
      <c r="HTL1505" s="879"/>
      <c r="HTM1505" s="879"/>
      <c r="HTN1505" s="879"/>
      <c r="HTO1505" s="879"/>
      <c r="HTP1505" s="879"/>
      <c r="HTQ1505" s="879"/>
      <c r="HTR1505" s="879"/>
      <c r="HTS1505" s="879"/>
      <c r="HTT1505" s="879"/>
      <c r="HTU1505" s="879"/>
      <c r="HTV1505" s="879"/>
      <c r="HTW1505" s="879"/>
      <c r="HTX1505" s="879"/>
      <c r="HTY1505" s="879"/>
      <c r="HTZ1505" s="879"/>
      <c r="HUA1505" s="879"/>
      <c r="HUB1505" s="879"/>
      <c r="HUC1505" s="879"/>
      <c r="HUD1505" s="879"/>
      <c r="HUE1505" s="879"/>
      <c r="HUF1505" s="879"/>
      <c r="HUG1505" s="879"/>
      <c r="HUH1505" s="879"/>
      <c r="HUI1505" s="879"/>
      <c r="HUJ1505" s="879"/>
      <c r="HUK1505" s="879"/>
      <c r="HUL1505" s="879"/>
      <c r="HUM1505" s="879"/>
      <c r="HUN1505" s="879"/>
      <c r="HUO1505" s="879"/>
      <c r="HUP1505" s="879"/>
      <c r="HUQ1505" s="879"/>
      <c r="HUR1505" s="879"/>
      <c r="HUS1505" s="879"/>
      <c r="HUT1505" s="879"/>
      <c r="HUU1505" s="879"/>
      <c r="HUV1505" s="879"/>
      <c r="HUW1505" s="879"/>
      <c r="HUX1505" s="879"/>
      <c r="HUY1505" s="879"/>
      <c r="HUZ1505" s="879"/>
      <c r="HVA1505" s="879"/>
      <c r="HVB1505" s="879"/>
      <c r="HVC1505" s="879"/>
      <c r="HVD1505" s="879"/>
      <c r="HVE1505" s="879"/>
      <c r="HVF1505" s="879"/>
      <c r="HVG1505" s="879"/>
      <c r="HVH1505" s="879"/>
      <c r="HVI1505" s="879"/>
      <c r="HVJ1505" s="879"/>
      <c r="HVK1505" s="879"/>
      <c r="HVL1505" s="879"/>
      <c r="HVM1505" s="879"/>
      <c r="HVN1505" s="879"/>
      <c r="HVO1505" s="879"/>
      <c r="HVP1505" s="879"/>
      <c r="HVQ1505" s="879"/>
      <c r="HVR1505" s="879"/>
      <c r="HVS1505" s="879"/>
      <c r="HVT1505" s="879"/>
      <c r="HVU1505" s="879"/>
      <c r="HVV1505" s="879"/>
      <c r="HVW1505" s="879"/>
      <c r="HVX1505" s="879"/>
      <c r="HVY1505" s="879"/>
      <c r="HVZ1505" s="879"/>
      <c r="HWA1505" s="879"/>
      <c r="HWB1505" s="879"/>
      <c r="HWC1505" s="879"/>
      <c r="HWD1505" s="879"/>
      <c r="HWE1505" s="879"/>
      <c r="HWF1505" s="879"/>
      <c r="HWG1505" s="879"/>
      <c r="HWH1505" s="879"/>
      <c r="HWI1505" s="879"/>
      <c r="HWJ1505" s="879"/>
      <c r="HWK1505" s="879"/>
      <c r="HWL1505" s="879"/>
      <c r="HWM1505" s="879"/>
      <c r="HWN1505" s="879"/>
      <c r="HWO1505" s="879"/>
      <c r="HWP1505" s="879"/>
      <c r="HWQ1505" s="879"/>
      <c r="HWR1505" s="879"/>
      <c r="HWS1505" s="879"/>
      <c r="HWT1505" s="879"/>
      <c r="HWU1505" s="879"/>
      <c r="HWV1505" s="879"/>
      <c r="HWW1505" s="879"/>
      <c r="HWX1505" s="879"/>
      <c r="HWY1505" s="879"/>
      <c r="HWZ1505" s="879"/>
      <c r="HXA1505" s="879"/>
      <c r="HXB1505" s="879"/>
      <c r="HXC1505" s="879"/>
      <c r="HXD1505" s="879"/>
      <c r="HXE1505" s="879"/>
      <c r="HXF1505" s="879"/>
      <c r="HXG1505" s="879"/>
      <c r="HXH1505" s="879"/>
      <c r="HXI1505" s="879"/>
      <c r="HXJ1505" s="879"/>
      <c r="HXK1505" s="879"/>
      <c r="HXL1505" s="879"/>
      <c r="HXM1505" s="879"/>
      <c r="HXN1505" s="879"/>
      <c r="HXO1505" s="879"/>
      <c r="HXP1505" s="879"/>
      <c r="HXQ1505" s="879"/>
      <c r="HXR1505" s="879"/>
      <c r="HXS1505" s="879"/>
      <c r="HXT1505" s="879"/>
      <c r="HXU1505" s="879"/>
      <c r="HXV1505" s="879"/>
      <c r="HXW1505" s="879"/>
      <c r="HXX1505" s="879"/>
      <c r="HXY1505" s="879"/>
      <c r="HXZ1505" s="879"/>
      <c r="HYA1505" s="879"/>
      <c r="HYB1505" s="879"/>
      <c r="HYC1505" s="879"/>
      <c r="HYD1505" s="879"/>
      <c r="HYE1505" s="879"/>
      <c r="HYF1505" s="879"/>
      <c r="HYG1505" s="879"/>
      <c r="HYH1505" s="879"/>
      <c r="HYI1505" s="879"/>
      <c r="HYJ1505" s="879"/>
      <c r="HYK1505" s="879"/>
      <c r="HYL1505" s="879"/>
      <c r="HYM1505" s="879"/>
      <c r="HYN1505" s="879"/>
      <c r="HYO1505" s="879"/>
      <c r="HYP1505" s="879"/>
      <c r="HYQ1505" s="879"/>
      <c r="HYR1505" s="879"/>
      <c r="HYS1505" s="879"/>
      <c r="HYT1505" s="879"/>
      <c r="HYU1505" s="879"/>
      <c r="HYV1505" s="879"/>
      <c r="HYW1505" s="879"/>
      <c r="HYX1505" s="879"/>
      <c r="HYY1505" s="879"/>
      <c r="HYZ1505" s="879"/>
      <c r="HZA1505" s="879"/>
      <c r="HZB1505" s="879"/>
      <c r="HZC1505" s="879"/>
      <c r="HZD1505" s="879"/>
      <c r="HZE1505" s="879"/>
      <c r="HZF1505" s="879"/>
      <c r="HZG1505" s="879"/>
      <c r="HZH1505" s="879"/>
      <c r="HZI1505" s="879"/>
      <c r="HZJ1505" s="879"/>
      <c r="HZK1505" s="879"/>
      <c r="HZL1505" s="879"/>
      <c r="HZM1505" s="879"/>
      <c r="HZN1505" s="879"/>
      <c r="HZO1505" s="879"/>
      <c r="HZP1505" s="879"/>
      <c r="HZQ1505" s="879"/>
      <c r="HZR1505" s="879"/>
      <c r="HZS1505" s="879"/>
      <c r="HZT1505" s="879"/>
      <c r="HZU1505" s="879"/>
      <c r="HZV1505" s="879"/>
      <c r="HZW1505" s="879"/>
      <c r="HZX1505" s="879"/>
      <c r="HZY1505" s="879"/>
      <c r="HZZ1505" s="879"/>
      <c r="IAA1505" s="879"/>
      <c r="IAB1505" s="879"/>
      <c r="IAC1505" s="879"/>
      <c r="IAD1505" s="879"/>
      <c r="IAE1505" s="879"/>
      <c r="IAF1505" s="879"/>
      <c r="IAG1505" s="879"/>
      <c r="IAH1505" s="879"/>
      <c r="IAI1505" s="879"/>
      <c r="IAJ1505" s="879"/>
      <c r="IAK1505" s="879"/>
      <c r="IAL1505" s="879"/>
      <c r="IAM1505" s="879"/>
      <c r="IAN1505" s="879"/>
      <c r="IAO1505" s="879"/>
      <c r="IAP1505" s="879"/>
      <c r="IAQ1505" s="879"/>
      <c r="IAR1505" s="879"/>
      <c r="IAS1505" s="879"/>
      <c r="IAT1505" s="879"/>
      <c r="IAU1505" s="879"/>
      <c r="IAV1505" s="879"/>
      <c r="IAW1505" s="879"/>
      <c r="IAX1505" s="879"/>
      <c r="IAY1505" s="879"/>
      <c r="IAZ1505" s="879"/>
      <c r="IBA1505" s="879"/>
      <c r="IBB1505" s="879"/>
      <c r="IBC1505" s="879"/>
      <c r="IBD1505" s="879"/>
      <c r="IBE1505" s="879"/>
      <c r="IBF1505" s="879"/>
      <c r="IBG1505" s="879"/>
      <c r="IBH1505" s="879"/>
      <c r="IBI1505" s="879"/>
      <c r="IBJ1505" s="879"/>
      <c r="IBK1505" s="879"/>
      <c r="IBL1505" s="879"/>
      <c r="IBM1505" s="879"/>
      <c r="IBN1505" s="879"/>
      <c r="IBO1505" s="879"/>
      <c r="IBP1505" s="879"/>
      <c r="IBQ1505" s="879"/>
      <c r="IBR1505" s="879"/>
      <c r="IBS1505" s="879"/>
      <c r="IBT1505" s="879"/>
      <c r="IBU1505" s="879"/>
      <c r="IBV1505" s="879"/>
      <c r="IBW1505" s="879"/>
      <c r="IBX1505" s="879"/>
      <c r="IBY1505" s="879"/>
      <c r="IBZ1505" s="879"/>
      <c r="ICA1505" s="879"/>
      <c r="ICB1505" s="879"/>
      <c r="ICC1505" s="879"/>
      <c r="ICD1505" s="879"/>
      <c r="ICE1505" s="879"/>
      <c r="ICF1505" s="879"/>
      <c r="ICG1505" s="879"/>
      <c r="ICH1505" s="879"/>
      <c r="ICI1505" s="879"/>
      <c r="ICJ1505" s="879"/>
      <c r="ICK1505" s="879"/>
      <c r="ICL1505" s="879"/>
      <c r="ICM1505" s="879"/>
      <c r="ICN1505" s="879"/>
      <c r="ICO1505" s="879"/>
      <c r="ICP1505" s="879"/>
      <c r="ICQ1505" s="879"/>
      <c r="ICR1505" s="879"/>
      <c r="ICS1505" s="879"/>
      <c r="ICT1505" s="879"/>
      <c r="ICU1505" s="879"/>
      <c r="ICV1505" s="879"/>
      <c r="ICW1505" s="879"/>
      <c r="ICX1505" s="879"/>
      <c r="ICY1505" s="879"/>
      <c r="ICZ1505" s="879"/>
      <c r="IDA1505" s="879"/>
      <c r="IDB1505" s="879"/>
      <c r="IDC1505" s="879"/>
      <c r="IDD1505" s="879"/>
      <c r="IDE1505" s="879"/>
      <c r="IDF1505" s="879"/>
      <c r="IDG1505" s="879"/>
      <c r="IDH1505" s="879"/>
      <c r="IDI1505" s="879"/>
      <c r="IDJ1505" s="879"/>
      <c r="IDK1505" s="879"/>
      <c r="IDL1505" s="879"/>
      <c r="IDM1505" s="879"/>
      <c r="IDN1505" s="879"/>
      <c r="IDO1505" s="879"/>
      <c r="IDP1505" s="879"/>
      <c r="IDQ1505" s="879"/>
      <c r="IDR1505" s="879"/>
      <c r="IDS1505" s="879"/>
      <c r="IDT1505" s="879"/>
      <c r="IDU1505" s="879"/>
      <c r="IDV1505" s="879"/>
      <c r="IDW1505" s="879"/>
      <c r="IDX1505" s="879"/>
      <c r="IDY1505" s="879"/>
      <c r="IDZ1505" s="879"/>
      <c r="IEA1505" s="879"/>
      <c r="IEB1505" s="879"/>
      <c r="IEC1505" s="879"/>
      <c r="IED1505" s="879"/>
      <c r="IEE1505" s="879"/>
      <c r="IEF1505" s="879"/>
      <c r="IEG1505" s="879"/>
      <c r="IEH1505" s="879"/>
      <c r="IEI1505" s="879"/>
      <c r="IEJ1505" s="879"/>
      <c r="IEK1505" s="879"/>
      <c r="IEL1505" s="879"/>
      <c r="IEM1505" s="879"/>
      <c r="IEN1505" s="879"/>
      <c r="IEO1505" s="879"/>
      <c r="IEP1505" s="879"/>
      <c r="IEQ1505" s="879"/>
      <c r="IER1505" s="879"/>
      <c r="IES1505" s="879"/>
      <c r="IET1505" s="879"/>
      <c r="IEU1505" s="879"/>
      <c r="IEV1505" s="879"/>
      <c r="IEW1505" s="879"/>
      <c r="IEX1505" s="879"/>
      <c r="IEY1505" s="879"/>
      <c r="IEZ1505" s="879"/>
      <c r="IFA1505" s="879"/>
      <c r="IFB1505" s="879"/>
      <c r="IFC1505" s="879"/>
      <c r="IFD1505" s="879"/>
      <c r="IFE1505" s="879"/>
      <c r="IFF1505" s="879"/>
      <c r="IFG1505" s="879"/>
      <c r="IFH1505" s="879"/>
      <c r="IFI1505" s="879"/>
      <c r="IFJ1505" s="879"/>
      <c r="IFK1505" s="879"/>
      <c r="IFL1505" s="879"/>
      <c r="IFM1505" s="879"/>
      <c r="IFN1505" s="879"/>
      <c r="IFO1505" s="879"/>
      <c r="IFP1505" s="879"/>
      <c r="IFQ1505" s="879"/>
      <c r="IFR1505" s="879"/>
      <c r="IFS1505" s="879"/>
      <c r="IFT1505" s="879"/>
      <c r="IFU1505" s="879"/>
      <c r="IFV1505" s="879"/>
      <c r="IFW1505" s="879"/>
      <c r="IFX1505" s="879"/>
      <c r="IFY1505" s="879"/>
      <c r="IFZ1505" s="879"/>
      <c r="IGA1505" s="879"/>
      <c r="IGB1505" s="879"/>
      <c r="IGC1505" s="879"/>
      <c r="IGD1505" s="879"/>
      <c r="IGE1505" s="879"/>
      <c r="IGF1505" s="879"/>
      <c r="IGG1505" s="879"/>
      <c r="IGH1505" s="879"/>
      <c r="IGI1505" s="879"/>
      <c r="IGJ1505" s="879"/>
      <c r="IGK1505" s="879"/>
      <c r="IGL1505" s="879"/>
      <c r="IGM1505" s="879"/>
      <c r="IGN1505" s="879"/>
      <c r="IGO1505" s="879"/>
      <c r="IGP1505" s="879"/>
      <c r="IGQ1505" s="879"/>
      <c r="IGR1505" s="879"/>
      <c r="IGS1505" s="879"/>
      <c r="IGT1505" s="879"/>
      <c r="IGU1505" s="879"/>
      <c r="IGV1505" s="879"/>
      <c r="IGW1505" s="879"/>
      <c r="IGX1505" s="879"/>
      <c r="IGY1505" s="879"/>
      <c r="IGZ1505" s="879"/>
      <c r="IHA1505" s="879"/>
      <c r="IHB1505" s="879"/>
      <c r="IHC1505" s="879"/>
      <c r="IHD1505" s="879"/>
      <c r="IHE1505" s="879"/>
      <c r="IHF1505" s="879"/>
      <c r="IHG1505" s="879"/>
      <c r="IHH1505" s="879"/>
      <c r="IHI1505" s="879"/>
      <c r="IHJ1505" s="879"/>
      <c r="IHK1505" s="879"/>
      <c r="IHL1505" s="879"/>
      <c r="IHM1505" s="879"/>
      <c r="IHN1505" s="879"/>
      <c r="IHO1505" s="879"/>
      <c r="IHP1505" s="879"/>
      <c r="IHQ1505" s="879"/>
      <c r="IHR1505" s="879"/>
      <c r="IHS1505" s="879"/>
      <c r="IHT1505" s="879"/>
      <c r="IHU1505" s="879"/>
      <c r="IHV1505" s="879"/>
      <c r="IHW1505" s="879"/>
      <c r="IHX1505" s="879"/>
      <c r="IHY1505" s="879"/>
      <c r="IHZ1505" s="879"/>
      <c r="IIA1505" s="879"/>
      <c r="IIB1505" s="879"/>
      <c r="IIC1505" s="879"/>
      <c r="IID1505" s="879"/>
      <c r="IIE1505" s="879"/>
      <c r="IIF1505" s="879"/>
      <c r="IIG1505" s="879"/>
      <c r="IIH1505" s="879"/>
      <c r="III1505" s="879"/>
      <c r="IIJ1505" s="879"/>
      <c r="IIK1505" s="879"/>
      <c r="IIL1505" s="879"/>
      <c r="IIM1505" s="879"/>
      <c r="IIN1505" s="879"/>
      <c r="IIO1505" s="879"/>
      <c r="IIP1505" s="879"/>
      <c r="IIQ1505" s="879"/>
      <c r="IIR1505" s="879"/>
      <c r="IIS1505" s="879"/>
      <c r="IIT1505" s="879"/>
      <c r="IIU1505" s="879"/>
      <c r="IIV1505" s="879"/>
      <c r="IIW1505" s="879"/>
      <c r="IIX1505" s="879"/>
      <c r="IIY1505" s="879"/>
      <c r="IIZ1505" s="879"/>
      <c r="IJA1505" s="879"/>
      <c r="IJB1505" s="879"/>
      <c r="IJC1505" s="879"/>
      <c r="IJD1505" s="879"/>
      <c r="IJE1505" s="879"/>
      <c r="IJF1505" s="879"/>
      <c r="IJG1505" s="879"/>
      <c r="IJH1505" s="879"/>
      <c r="IJI1505" s="879"/>
      <c r="IJJ1505" s="879"/>
      <c r="IJK1505" s="879"/>
      <c r="IJL1505" s="879"/>
      <c r="IJM1505" s="879"/>
      <c r="IJN1505" s="879"/>
      <c r="IJO1505" s="879"/>
      <c r="IJP1505" s="879"/>
      <c r="IJQ1505" s="879"/>
      <c r="IJR1505" s="879"/>
      <c r="IJS1505" s="879"/>
      <c r="IJT1505" s="879"/>
      <c r="IJU1505" s="879"/>
      <c r="IJV1505" s="879"/>
      <c r="IJW1505" s="879"/>
      <c r="IJX1505" s="879"/>
      <c r="IJY1505" s="879"/>
      <c r="IJZ1505" s="879"/>
      <c r="IKA1505" s="879"/>
      <c r="IKB1505" s="879"/>
      <c r="IKC1505" s="879"/>
      <c r="IKD1505" s="879"/>
      <c r="IKE1505" s="879"/>
      <c r="IKF1505" s="879"/>
      <c r="IKG1505" s="879"/>
      <c r="IKH1505" s="879"/>
      <c r="IKI1505" s="879"/>
      <c r="IKJ1505" s="879"/>
      <c r="IKK1505" s="879"/>
      <c r="IKL1505" s="879"/>
      <c r="IKM1505" s="879"/>
      <c r="IKN1505" s="879"/>
      <c r="IKO1505" s="879"/>
      <c r="IKP1505" s="879"/>
      <c r="IKQ1505" s="879"/>
      <c r="IKR1505" s="879"/>
      <c r="IKS1505" s="879"/>
      <c r="IKT1505" s="879"/>
      <c r="IKU1505" s="879"/>
      <c r="IKV1505" s="879"/>
      <c r="IKW1505" s="879"/>
      <c r="IKX1505" s="879"/>
      <c r="IKY1505" s="879"/>
      <c r="IKZ1505" s="879"/>
      <c r="ILA1505" s="879"/>
      <c r="ILB1505" s="879"/>
      <c r="ILC1505" s="879"/>
      <c r="ILD1505" s="879"/>
      <c r="ILE1505" s="879"/>
      <c r="ILF1505" s="879"/>
      <c r="ILG1505" s="879"/>
      <c r="ILH1505" s="879"/>
      <c r="ILI1505" s="879"/>
      <c r="ILJ1505" s="879"/>
      <c r="ILK1505" s="879"/>
      <c r="ILL1505" s="879"/>
      <c r="ILM1505" s="879"/>
      <c r="ILN1505" s="879"/>
      <c r="ILO1505" s="879"/>
      <c r="ILP1505" s="879"/>
      <c r="ILQ1505" s="879"/>
      <c r="ILR1505" s="879"/>
      <c r="ILS1505" s="879"/>
      <c r="ILT1505" s="879"/>
      <c r="ILU1505" s="879"/>
      <c r="ILV1505" s="879"/>
      <c r="ILW1505" s="879"/>
      <c r="ILX1505" s="879"/>
      <c r="ILY1505" s="879"/>
      <c r="ILZ1505" s="879"/>
      <c r="IMA1505" s="879"/>
      <c r="IMB1505" s="879"/>
      <c r="IMC1505" s="879"/>
      <c r="IMD1505" s="879"/>
      <c r="IME1505" s="879"/>
      <c r="IMF1505" s="879"/>
      <c r="IMG1505" s="879"/>
      <c r="IMH1505" s="879"/>
      <c r="IMI1505" s="879"/>
      <c r="IMJ1505" s="879"/>
      <c r="IMK1505" s="879"/>
      <c r="IML1505" s="879"/>
      <c r="IMM1505" s="879"/>
      <c r="IMN1505" s="879"/>
      <c r="IMO1505" s="879"/>
      <c r="IMP1505" s="879"/>
      <c r="IMQ1505" s="879"/>
      <c r="IMR1505" s="879"/>
      <c r="IMS1505" s="879"/>
      <c r="IMT1505" s="879"/>
      <c r="IMU1505" s="879"/>
      <c r="IMV1505" s="879"/>
      <c r="IMW1505" s="879"/>
      <c r="IMX1505" s="879"/>
      <c r="IMY1505" s="879"/>
      <c r="IMZ1505" s="879"/>
      <c r="INA1505" s="879"/>
      <c r="INB1505" s="879"/>
      <c r="INC1505" s="879"/>
      <c r="IND1505" s="879"/>
      <c r="INE1505" s="879"/>
      <c r="INF1505" s="879"/>
      <c r="ING1505" s="879"/>
      <c r="INH1505" s="879"/>
      <c r="INI1505" s="879"/>
      <c r="INJ1505" s="879"/>
      <c r="INK1505" s="879"/>
      <c r="INL1505" s="879"/>
      <c r="INM1505" s="879"/>
      <c r="INN1505" s="879"/>
      <c r="INO1505" s="879"/>
      <c r="INP1505" s="879"/>
      <c r="INQ1505" s="879"/>
      <c r="INR1505" s="879"/>
      <c r="INS1505" s="879"/>
      <c r="INT1505" s="879"/>
      <c r="INU1505" s="879"/>
      <c r="INV1505" s="879"/>
      <c r="INW1505" s="879"/>
      <c r="INX1505" s="879"/>
      <c r="INY1505" s="879"/>
      <c r="INZ1505" s="879"/>
      <c r="IOA1505" s="879"/>
      <c r="IOB1505" s="879"/>
      <c r="IOC1505" s="879"/>
      <c r="IOD1505" s="879"/>
      <c r="IOE1505" s="879"/>
      <c r="IOF1505" s="879"/>
      <c r="IOG1505" s="879"/>
      <c r="IOH1505" s="879"/>
      <c r="IOI1505" s="879"/>
      <c r="IOJ1505" s="879"/>
      <c r="IOK1505" s="879"/>
      <c r="IOL1505" s="879"/>
      <c r="IOM1505" s="879"/>
      <c r="ION1505" s="879"/>
      <c r="IOO1505" s="879"/>
      <c r="IOP1505" s="879"/>
      <c r="IOQ1505" s="879"/>
      <c r="IOR1505" s="879"/>
      <c r="IOS1505" s="879"/>
      <c r="IOT1505" s="879"/>
      <c r="IOU1505" s="879"/>
      <c r="IOV1505" s="879"/>
      <c r="IOW1505" s="879"/>
      <c r="IOX1505" s="879"/>
      <c r="IOY1505" s="879"/>
      <c r="IOZ1505" s="879"/>
      <c r="IPA1505" s="879"/>
      <c r="IPB1505" s="879"/>
      <c r="IPC1505" s="879"/>
      <c r="IPD1505" s="879"/>
      <c r="IPE1505" s="879"/>
      <c r="IPF1505" s="879"/>
      <c r="IPG1505" s="879"/>
      <c r="IPH1505" s="879"/>
      <c r="IPI1505" s="879"/>
      <c r="IPJ1505" s="879"/>
      <c r="IPK1505" s="879"/>
      <c r="IPL1505" s="879"/>
      <c r="IPM1505" s="879"/>
      <c r="IPN1505" s="879"/>
      <c r="IPO1505" s="879"/>
      <c r="IPP1505" s="879"/>
      <c r="IPQ1505" s="879"/>
      <c r="IPR1505" s="879"/>
      <c r="IPS1505" s="879"/>
      <c r="IPT1505" s="879"/>
      <c r="IPU1505" s="879"/>
      <c r="IPV1505" s="879"/>
      <c r="IPW1505" s="879"/>
      <c r="IPX1505" s="879"/>
      <c r="IPY1505" s="879"/>
      <c r="IPZ1505" s="879"/>
      <c r="IQA1505" s="879"/>
      <c r="IQB1505" s="879"/>
      <c r="IQC1505" s="879"/>
      <c r="IQD1505" s="879"/>
      <c r="IQE1505" s="879"/>
      <c r="IQF1505" s="879"/>
      <c r="IQG1505" s="879"/>
      <c r="IQH1505" s="879"/>
      <c r="IQI1505" s="879"/>
      <c r="IQJ1505" s="879"/>
      <c r="IQK1505" s="879"/>
      <c r="IQL1505" s="879"/>
      <c r="IQM1505" s="879"/>
      <c r="IQN1505" s="879"/>
      <c r="IQO1505" s="879"/>
      <c r="IQP1505" s="879"/>
      <c r="IQQ1505" s="879"/>
      <c r="IQR1505" s="879"/>
      <c r="IQS1505" s="879"/>
      <c r="IQT1505" s="879"/>
      <c r="IQU1505" s="879"/>
      <c r="IQV1505" s="879"/>
      <c r="IQW1505" s="879"/>
      <c r="IQX1505" s="879"/>
      <c r="IQY1505" s="879"/>
      <c r="IQZ1505" s="879"/>
      <c r="IRA1505" s="879"/>
      <c r="IRB1505" s="879"/>
      <c r="IRC1505" s="879"/>
      <c r="IRD1505" s="879"/>
      <c r="IRE1505" s="879"/>
      <c r="IRF1505" s="879"/>
      <c r="IRG1505" s="879"/>
      <c r="IRH1505" s="879"/>
      <c r="IRI1505" s="879"/>
      <c r="IRJ1505" s="879"/>
      <c r="IRK1505" s="879"/>
      <c r="IRL1505" s="879"/>
      <c r="IRM1505" s="879"/>
      <c r="IRN1505" s="879"/>
      <c r="IRO1505" s="879"/>
      <c r="IRP1505" s="879"/>
      <c r="IRQ1505" s="879"/>
      <c r="IRR1505" s="879"/>
      <c r="IRS1505" s="879"/>
      <c r="IRT1505" s="879"/>
      <c r="IRU1505" s="879"/>
      <c r="IRV1505" s="879"/>
      <c r="IRW1505" s="879"/>
      <c r="IRX1505" s="879"/>
      <c r="IRY1505" s="879"/>
      <c r="IRZ1505" s="879"/>
      <c r="ISA1505" s="879"/>
      <c r="ISB1505" s="879"/>
      <c r="ISC1505" s="879"/>
      <c r="ISD1505" s="879"/>
      <c r="ISE1505" s="879"/>
      <c r="ISF1505" s="879"/>
      <c r="ISG1505" s="879"/>
      <c r="ISH1505" s="879"/>
      <c r="ISI1505" s="879"/>
      <c r="ISJ1505" s="879"/>
      <c r="ISK1505" s="879"/>
      <c r="ISL1505" s="879"/>
      <c r="ISM1505" s="879"/>
      <c r="ISN1505" s="879"/>
      <c r="ISO1505" s="879"/>
      <c r="ISP1505" s="879"/>
      <c r="ISQ1505" s="879"/>
      <c r="ISR1505" s="879"/>
      <c r="ISS1505" s="879"/>
      <c r="IST1505" s="879"/>
      <c r="ISU1505" s="879"/>
      <c r="ISV1505" s="879"/>
      <c r="ISW1505" s="879"/>
      <c r="ISX1505" s="879"/>
      <c r="ISY1505" s="879"/>
      <c r="ISZ1505" s="879"/>
      <c r="ITA1505" s="879"/>
      <c r="ITB1505" s="879"/>
      <c r="ITC1505" s="879"/>
      <c r="ITD1505" s="879"/>
      <c r="ITE1505" s="879"/>
      <c r="ITF1505" s="879"/>
      <c r="ITG1505" s="879"/>
      <c r="ITH1505" s="879"/>
      <c r="ITI1505" s="879"/>
      <c r="ITJ1505" s="879"/>
      <c r="ITK1505" s="879"/>
      <c r="ITL1505" s="879"/>
      <c r="ITM1505" s="879"/>
      <c r="ITN1505" s="879"/>
      <c r="ITO1505" s="879"/>
      <c r="ITP1505" s="879"/>
      <c r="ITQ1505" s="879"/>
      <c r="ITR1505" s="879"/>
      <c r="ITS1505" s="879"/>
      <c r="ITT1505" s="879"/>
      <c r="ITU1505" s="879"/>
      <c r="ITV1505" s="879"/>
      <c r="ITW1505" s="879"/>
      <c r="ITX1505" s="879"/>
      <c r="ITY1505" s="879"/>
      <c r="ITZ1505" s="879"/>
      <c r="IUA1505" s="879"/>
      <c r="IUB1505" s="879"/>
      <c r="IUC1505" s="879"/>
      <c r="IUD1505" s="879"/>
      <c r="IUE1505" s="879"/>
      <c r="IUF1505" s="879"/>
      <c r="IUG1505" s="879"/>
      <c r="IUH1505" s="879"/>
      <c r="IUI1505" s="879"/>
      <c r="IUJ1505" s="879"/>
      <c r="IUK1505" s="879"/>
      <c r="IUL1505" s="879"/>
      <c r="IUM1505" s="879"/>
      <c r="IUN1505" s="879"/>
      <c r="IUO1505" s="879"/>
      <c r="IUP1505" s="879"/>
      <c r="IUQ1505" s="879"/>
      <c r="IUR1505" s="879"/>
      <c r="IUS1505" s="879"/>
      <c r="IUT1505" s="879"/>
      <c r="IUU1505" s="879"/>
      <c r="IUV1505" s="879"/>
      <c r="IUW1505" s="879"/>
      <c r="IUX1505" s="879"/>
      <c r="IUY1505" s="879"/>
      <c r="IUZ1505" s="879"/>
      <c r="IVA1505" s="879"/>
      <c r="IVB1505" s="879"/>
      <c r="IVC1505" s="879"/>
      <c r="IVD1505" s="879"/>
      <c r="IVE1505" s="879"/>
      <c r="IVF1505" s="879"/>
      <c r="IVG1505" s="879"/>
      <c r="IVH1505" s="879"/>
      <c r="IVI1505" s="879"/>
      <c r="IVJ1505" s="879"/>
      <c r="IVK1505" s="879"/>
      <c r="IVL1505" s="879"/>
      <c r="IVM1505" s="879"/>
      <c r="IVN1505" s="879"/>
      <c r="IVO1505" s="879"/>
      <c r="IVP1505" s="879"/>
      <c r="IVQ1505" s="879"/>
      <c r="IVR1505" s="879"/>
      <c r="IVS1505" s="879"/>
      <c r="IVT1505" s="879"/>
      <c r="IVU1505" s="879"/>
      <c r="IVV1505" s="879"/>
      <c r="IVW1505" s="879"/>
      <c r="IVX1505" s="879"/>
      <c r="IVY1505" s="879"/>
      <c r="IVZ1505" s="879"/>
      <c r="IWA1505" s="879"/>
      <c r="IWB1505" s="879"/>
      <c r="IWC1505" s="879"/>
      <c r="IWD1505" s="879"/>
      <c r="IWE1505" s="879"/>
      <c r="IWF1505" s="879"/>
      <c r="IWG1505" s="879"/>
      <c r="IWH1505" s="879"/>
      <c r="IWI1505" s="879"/>
      <c r="IWJ1505" s="879"/>
      <c r="IWK1505" s="879"/>
      <c r="IWL1505" s="879"/>
      <c r="IWM1505" s="879"/>
      <c r="IWN1505" s="879"/>
      <c r="IWO1505" s="879"/>
      <c r="IWP1505" s="879"/>
      <c r="IWQ1505" s="879"/>
      <c r="IWR1505" s="879"/>
      <c r="IWS1505" s="879"/>
      <c r="IWT1505" s="879"/>
      <c r="IWU1505" s="879"/>
      <c r="IWV1505" s="879"/>
      <c r="IWW1505" s="879"/>
      <c r="IWX1505" s="879"/>
      <c r="IWY1505" s="879"/>
      <c r="IWZ1505" s="879"/>
      <c r="IXA1505" s="879"/>
      <c r="IXB1505" s="879"/>
      <c r="IXC1505" s="879"/>
      <c r="IXD1505" s="879"/>
      <c r="IXE1505" s="879"/>
      <c r="IXF1505" s="879"/>
      <c r="IXG1505" s="879"/>
      <c r="IXH1505" s="879"/>
      <c r="IXI1505" s="879"/>
      <c r="IXJ1505" s="879"/>
      <c r="IXK1505" s="879"/>
      <c r="IXL1505" s="879"/>
      <c r="IXM1505" s="879"/>
      <c r="IXN1505" s="879"/>
      <c r="IXO1505" s="879"/>
      <c r="IXP1505" s="879"/>
      <c r="IXQ1505" s="879"/>
      <c r="IXR1505" s="879"/>
      <c r="IXS1505" s="879"/>
      <c r="IXT1505" s="879"/>
      <c r="IXU1505" s="879"/>
      <c r="IXV1505" s="879"/>
      <c r="IXW1505" s="879"/>
      <c r="IXX1505" s="879"/>
      <c r="IXY1505" s="879"/>
      <c r="IXZ1505" s="879"/>
      <c r="IYA1505" s="879"/>
      <c r="IYB1505" s="879"/>
      <c r="IYC1505" s="879"/>
      <c r="IYD1505" s="879"/>
      <c r="IYE1505" s="879"/>
      <c r="IYF1505" s="879"/>
      <c r="IYG1505" s="879"/>
      <c r="IYH1505" s="879"/>
      <c r="IYI1505" s="879"/>
      <c r="IYJ1505" s="879"/>
      <c r="IYK1505" s="879"/>
      <c r="IYL1505" s="879"/>
      <c r="IYM1505" s="879"/>
      <c r="IYN1505" s="879"/>
      <c r="IYO1505" s="879"/>
      <c r="IYP1505" s="879"/>
      <c r="IYQ1505" s="879"/>
      <c r="IYR1505" s="879"/>
      <c r="IYS1505" s="879"/>
      <c r="IYT1505" s="879"/>
      <c r="IYU1505" s="879"/>
      <c r="IYV1505" s="879"/>
      <c r="IYW1505" s="879"/>
      <c r="IYX1505" s="879"/>
      <c r="IYY1505" s="879"/>
      <c r="IYZ1505" s="879"/>
      <c r="IZA1505" s="879"/>
      <c r="IZB1505" s="879"/>
      <c r="IZC1505" s="879"/>
      <c r="IZD1505" s="879"/>
      <c r="IZE1505" s="879"/>
      <c r="IZF1505" s="879"/>
      <c r="IZG1505" s="879"/>
      <c r="IZH1505" s="879"/>
      <c r="IZI1505" s="879"/>
      <c r="IZJ1505" s="879"/>
      <c r="IZK1505" s="879"/>
      <c r="IZL1505" s="879"/>
      <c r="IZM1505" s="879"/>
      <c r="IZN1505" s="879"/>
      <c r="IZO1505" s="879"/>
      <c r="IZP1505" s="879"/>
      <c r="IZQ1505" s="879"/>
      <c r="IZR1505" s="879"/>
      <c r="IZS1505" s="879"/>
      <c r="IZT1505" s="879"/>
      <c r="IZU1505" s="879"/>
      <c r="IZV1505" s="879"/>
      <c r="IZW1505" s="879"/>
      <c r="IZX1505" s="879"/>
      <c r="IZY1505" s="879"/>
      <c r="IZZ1505" s="879"/>
      <c r="JAA1505" s="879"/>
      <c r="JAB1505" s="879"/>
      <c r="JAC1505" s="879"/>
      <c r="JAD1505" s="879"/>
      <c r="JAE1505" s="879"/>
      <c r="JAF1505" s="879"/>
      <c r="JAG1505" s="879"/>
      <c r="JAH1505" s="879"/>
      <c r="JAI1505" s="879"/>
      <c r="JAJ1505" s="879"/>
      <c r="JAK1505" s="879"/>
      <c r="JAL1505" s="879"/>
      <c r="JAM1505" s="879"/>
      <c r="JAN1505" s="879"/>
      <c r="JAO1505" s="879"/>
      <c r="JAP1505" s="879"/>
      <c r="JAQ1505" s="879"/>
      <c r="JAR1505" s="879"/>
      <c r="JAS1505" s="879"/>
      <c r="JAT1505" s="879"/>
      <c r="JAU1505" s="879"/>
      <c r="JAV1505" s="879"/>
      <c r="JAW1505" s="879"/>
      <c r="JAX1505" s="879"/>
      <c r="JAY1505" s="879"/>
      <c r="JAZ1505" s="879"/>
      <c r="JBA1505" s="879"/>
      <c r="JBB1505" s="879"/>
      <c r="JBC1505" s="879"/>
      <c r="JBD1505" s="879"/>
      <c r="JBE1505" s="879"/>
      <c r="JBF1505" s="879"/>
      <c r="JBG1505" s="879"/>
      <c r="JBH1505" s="879"/>
      <c r="JBI1505" s="879"/>
      <c r="JBJ1505" s="879"/>
      <c r="JBK1505" s="879"/>
      <c r="JBL1505" s="879"/>
      <c r="JBM1505" s="879"/>
      <c r="JBN1505" s="879"/>
      <c r="JBO1505" s="879"/>
      <c r="JBP1505" s="879"/>
      <c r="JBQ1505" s="879"/>
      <c r="JBR1505" s="879"/>
      <c r="JBS1505" s="879"/>
      <c r="JBT1505" s="879"/>
      <c r="JBU1505" s="879"/>
      <c r="JBV1505" s="879"/>
      <c r="JBW1505" s="879"/>
      <c r="JBX1505" s="879"/>
      <c r="JBY1505" s="879"/>
      <c r="JBZ1505" s="879"/>
      <c r="JCA1505" s="879"/>
      <c r="JCB1505" s="879"/>
      <c r="JCC1505" s="879"/>
      <c r="JCD1505" s="879"/>
      <c r="JCE1505" s="879"/>
      <c r="JCF1505" s="879"/>
      <c r="JCG1505" s="879"/>
      <c r="JCH1505" s="879"/>
      <c r="JCI1505" s="879"/>
      <c r="JCJ1505" s="879"/>
      <c r="JCK1505" s="879"/>
      <c r="JCL1505" s="879"/>
      <c r="JCM1505" s="879"/>
      <c r="JCN1505" s="879"/>
      <c r="JCO1505" s="879"/>
      <c r="JCP1505" s="879"/>
      <c r="JCQ1505" s="879"/>
      <c r="JCR1505" s="879"/>
      <c r="JCS1505" s="879"/>
      <c r="JCT1505" s="879"/>
      <c r="JCU1505" s="879"/>
      <c r="JCV1505" s="879"/>
      <c r="JCW1505" s="879"/>
      <c r="JCX1505" s="879"/>
      <c r="JCY1505" s="879"/>
      <c r="JCZ1505" s="879"/>
      <c r="JDA1505" s="879"/>
      <c r="JDB1505" s="879"/>
      <c r="JDC1505" s="879"/>
      <c r="JDD1505" s="879"/>
      <c r="JDE1505" s="879"/>
      <c r="JDF1505" s="879"/>
      <c r="JDG1505" s="879"/>
      <c r="JDH1505" s="879"/>
      <c r="JDI1505" s="879"/>
      <c r="JDJ1505" s="879"/>
      <c r="JDK1505" s="879"/>
      <c r="JDL1505" s="879"/>
      <c r="JDM1505" s="879"/>
      <c r="JDN1505" s="879"/>
      <c r="JDO1505" s="879"/>
      <c r="JDP1505" s="879"/>
      <c r="JDQ1505" s="879"/>
      <c r="JDR1505" s="879"/>
      <c r="JDS1505" s="879"/>
      <c r="JDT1505" s="879"/>
      <c r="JDU1505" s="879"/>
      <c r="JDV1505" s="879"/>
      <c r="JDW1505" s="879"/>
      <c r="JDX1505" s="879"/>
      <c r="JDY1505" s="879"/>
      <c r="JDZ1505" s="879"/>
      <c r="JEA1505" s="879"/>
      <c r="JEB1505" s="879"/>
      <c r="JEC1505" s="879"/>
      <c r="JED1505" s="879"/>
      <c r="JEE1505" s="879"/>
      <c r="JEF1505" s="879"/>
      <c r="JEG1505" s="879"/>
      <c r="JEH1505" s="879"/>
      <c r="JEI1505" s="879"/>
      <c r="JEJ1505" s="879"/>
      <c r="JEK1505" s="879"/>
      <c r="JEL1505" s="879"/>
      <c r="JEM1505" s="879"/>
      <c r="JEN1505" s="879"/>
      <c r="JEO1505" s="879"/>
      <c r="JEP1505" s="879"/>
      <c r="JEQ1505" s="879"/>
      <c r="JER1505" s="879"/>
      <c r="JES1505" s="879"/>
      <c r="JET1505" s="879"/>
      <c r="JEU1505" s="879"/>
      <c r="JEV1505" s="879"/>
      <c r="JEW1505" s="879"/>
      <c r="JEX1505" s="879"/>
      <c r="JEY1505" s="879"/>
      <c r="JEZ1505" s="879"/>
      <c r="JFA1505" s="879"/>
      <c r="JFB1505" s="879"/>
      <c r="JFC1505" s="879"/>
      <c r="JFD1505" s="879"/>
      <c r="JFE1505" s="879"/>
      <c r="JFF1505" s="879"/>
      <c r="JFG1505" s="879"/>
      <c r="JFH1505" s="879"/>
      <c r="JFI1505" s="879"/>
      <c r="JFJ1505" s="879"/>
      <c r="JFK1505" s="879"/>
      <c r="JFL1505" s="879"/>
      <c r="JFM1505" s="879"/>
      <c r="JFN1505" s="879"/>
      <c r="JFO1505" s="879"/>
      <c r="JFP1505" s="879"/>
      <c r="JFQ1505" s="879"/>
      <c r="JFR1505" s="879"/>
      <c r="JFS1505" s="879"/>
      <c r="JFT1505" s="879"/>
      <c r="JFU1505" s="879"/>
      <c r="JFV1505" s="879"/>
      <c r="JFW1505" s="879"/>
      <c r="JFX1505" s="879"/>
      <c r="JFY1505" s="879"/>
      <c r="JFZ1505" s="879"/>
      <c r="JGA1505" s="879"/>
      <c r="JGB1505" s="879"/>
      <c r="JGC1505" s="879"/>
      <c r="JGD1505" s="879"/>
      <c r="JGE1505" s="879"/>
      <c r="JGF1505" s="879"/>
      <c r="JGG1505" s="879"/>
      <c r="JGH1505" s="879"/>
      <c r="JGI1505" s="879"/>
      <c r="JGJ1505" s="879"/>
      <c r="JGK1505" s="879"/>
      <c r="JGL1505" s="879"/>
      <c r="JGM1505" s="879"/>
      <c r="JGN1505" s="879"/>
      <c r="JGO1505" s="879"/>
      <c r="JGP1505" s="879"/>
      <c r="JGQ1505" s="879"/>
      <c r="JGR1505" s="879"/>
      <c r="JGS1505" s="879"/>
      <c r="JGT1505" s="879"/>
      <c r="JGU1505" s="879"/>
      <c r="JGV1505" s="879"/>
      <c r="JGW1505" s="879"/>
      <c r="JGX1505" s="879"/>
      <c r="JGY1505" s="879"/>
      <c r="JGZ1505" s="879"/>
      <c r="JHA1505" s="879"/>
      <c r="JHB1505" s="879"/>
      <c r="JHC1505" s="879"/>
      <c r="JHD1505" s="879"/>
      <c r="JHE1505" s="879"/>
      <c r="JHF1505" s="879"/>
      <c r="JHG1505" s="879"/>
      <c r="JHH1505" s="879"/>
      <c r="JHI1505" s="879"/>
      <c r="JHJ1505" s="879"/>
      <c r="JHK1505" s="879"/>
      <c r="JHL1505" s="879"/>
      <c r="JHM1505" s="879"/>
      <c r="JHN1505" s="879"/>
      <c r="JHO1505" s="879"/>
      <c r="JHP1505" s="879"/>
      <c r="JHQ1505" s="879"/>
      <c r="JHR1505" s="879"/>
      <c r="JHS1505" s="879"/>
      <c r="JHT1505" s="879"/>
      <c r="JHU1505" s="879"/>
      <c r="JHV1505" s="879"/>
      <c r="JHW1505" s="879"/>
      <c r="JHX1505" s="879"/>
      <c r="JHY1505" s="879"/>
      <c r="JHZ1505" s="879"/>
      <c r="JIA1505" s="879"/>
      <c r="JIB1505" s="879"/>
      <c r="JIC1505" s="879"/>
      <c r="JID1505" s="879"/>
      <c r="JIE1505" s="879"/>
      <c r="JIF1505" s="879"/>
      <c r="JIG1505" s="879"/>
      <c r="JIH1505" s="879"/>
      <c r="JII1505" s="879"/>
      <c r="JIJ1505" s="879"/>
      <c r="JIK1505" s="879"/>
      <c r="JIL1505" s="879"/>
      <c r="JIM1505" s="879"/>
      <c r="JIN1505" s="879"/>
      <c r="JIO1505" s="879"/>
      <c r="JIP1505" s="879"/>
      <c r="JIQ1505" s="879"/>
      <c r="JIR1505" s="879"/>
      <c r="JIS1505" s="879"/>
      <c r="JIT1505" s="879"/>
      <c r="JIU1505" s="879"/>
      <c r="JIV1505" s="879"/>
      <c r="JIW1505" s="879"/>
      <c r="JIX1505" s="879"/>
      <c r="JIY1505" s="879"/>
      <c r="JIZ1505" s="879"/>
      <c r="JJA1505" s="879"/>
      <c r="JJB1505" s="879"/>
      <c r="JJC1505" s="879"/>
      <c r="JJD1505" s="879"/>
      <c r="JJE1505" s="879"/>
      <c r="JJF1505" s="879"/>
      <c r="JJG1505" s="879"/>
      <c r="JJH1505" s="879"/>
      <c r="JJI1505" s="879"/>
      <c r="JJJ1505" s="879"/>
      <c r="JJK1505" s="879"/>
      <c r="JJL1505" s="879"/>
      <c r="JJM1505" s="879"/>
      <c r="JJN1505" s="879"/>
      <c r="JJO1505" s="879"/>
      <c r="JJP1505" s="879"/>
      <c r="JJQ1505" s="879"/>
      <c r="JJR1505" s="879"/>
      <c r="JJS1505" s="879"/>
      <c r="JJT1505" s="879"/>
      <c r="JJU1505" s="879"/>
      <c r="JJV1505" s="879"/>
      <c r="JJW1505" s="879"/>
      <c r="JJX1505" s="879"/>
      <c r="JJY1505" s="879"/>
      <c r="JJZ1505" s="879"/>
      <c r="JKA1505" s="879"/>
      <c r="JKB1505" s="879"/>
      <c r="JKC1505" s="879"/>
      <c r="JKD1505" s="879"/>
      <c r="JKE1505" s="879"/>
      <c r="JKF1505" s="879"/>
      <c r="JKG1505" s="879"/>
      <c r="JKH1505" s="879"/>
      <c r="JKI1505" s="879"/>
      <c r="JKJ1505" s="879"/>
      <c r="JKK1505" s="879"/>
      <c r="JKL1505" s="879"/>
      <c r="JKM1505" s="879"/>
      <c r="JKN1505" s="879"/>
      <c r="JKO1505" s="879"/>
      <c r="JKP1505" s="879"/>
      <c r="JKQ1505" s="879"/>
      <c r="JKR1505" s="879"/>
      <c r="JKS1505" s="879"/>
      <c r="JKT1505" s="879"/>
      <c r="JKU1505" s="879"/>
      <c r="JKV1505" s="879"/>
      <c r="JKW1505" s="879"/>
      <c r="JKX1505" s="879"/>
      <c r="JKY1505" s="879"/>
      <c r="JKZ1505" s="879"/>
      <c r="JLA1505" s="879"/>
      <c r="JLB1505" s="879"/>
      <c r="JLC1505" s="879"/>
      <c r="JLD1505" s="879"/>
      <c r="JLE1505" s="879"/>
      <c r="JLF1505" s="879"/>
      <c r="JLG1505" s="879"/>
      <c r="JLH1505" s="879"/>
      <c r="JLI1505" s="879"/>
      <c r="JLJ1505" s="879"/>
      <c r="JLK1505" s="879"/>
      <c r="JLL1505" s="879"/>
      <c r="JLM1505" s="879"/>
      <c r="JLN1505" s="879"/>
      <c r="JLO1505" s="879"/>
      <c r="JLP1505" s="879"/>
      <c r="JLQ1505" s="879"/>
      <c r="JLR1505" s="879"/>
      <c r="JLS1505" s="879"/>
      <c r="JLT1505" s="879"/>
      <c r="JLU1505" s="879"/>
      <c r="JLV1505" s="879"/>
      <c r="JLW1505" s="879"/>
      <c r="JLX1505" s="879"/>
      <c r="JLY1505" s="879"/>
      <c r="JLZ1505" s="879"/>
      <c r="JMA1505" s="879"/>
      <c r="JMB1505" s="879"/>
      <c r="JMC1505" s="879"/>
      <c r="JMD1505" s="879"/>
      <c r="JME1505" s="879"/>
      <c r="JMF1505" s="879"/>
      <c r="JMG1505" s="879"/>
      <c r="JMH1505" s="879"/>
      <c r="JMI1505" s="879"/>
      <c r="JMJ1505" s="879"/>
      <c r="JMK1505" s="879"/>
      <c r="JML1505" s="879"/>
      <c r="JMM1505" s="879"/>
      <c r="JMN1505" s="879"/>
      <c r="JMO1505" s="879"/>
      <c r="JMP1505" s="879"/>
      <c r="JMQ1505" s="879"/>
      <c r="JMR1505" s="879"/>
      <c r="JMS1505" s="879"/>
      <c r="JMT1505" s="879"/>
      <c r="JMU1505" s="879"/>
      <c r="JMV1505" s="879"/>
      <c r="JMW1505" s="879"/>
      <c r="JMX1505" s="879"/>
      <c r="JMY1505" s="879"/>
      <c r="JMZ1505" s="879"/>
      <c r="JNA1505" s="879"/>
      <c r="JNB1505" s="879"/>
      <c r="JNC1505" s="879"/>
      <c r="JND1505" s="879"/>
      <c r="JNE1505" s="879"/>
      <c r="JNF1505" s="879"/>
      <c r="JNG1505" s="879"/>
      <c r="JNH1505" s="879"/>
      <c r="JNI1505" s="879"/>
      <c r="JNJ1505" s="879"/>
      <c r="JNK1505" s="879"/>
      <c r="JNL1505" s="879"/>
      <c r="JNM1505" s="879"/>
      <c r="JNN1505" s="879"/>
      <c r="JNO1505" s="879"/>
      <c r="JNP1505" s="879"/>
      <c r="JNQ1505" s="879"/>
      <c r="JNR1505" s="879"/>
      <c r="JNS1505" s="879"/>
      <c r="JNT1505" s="879"/>
      <c r="JNU1505" s="879"/>
      <c r="JNV1505" s="879"/>
      <c r="JNW1505" s="879"/>
      <c r="JNX1505" s="879"/>
      <c r="JNY1505" s="879"/>
      <c r="JNZ1505" s="879"/>
      <c r="JOA1505" s="879"/>
      <c r="JOB1505" s="879"/>
      <c r="JOC1505" s="879"/>
      <c r="JOD1505" s="879"/>
      <c r="JOE1505" s="879"/>
      <c r="JOF1505" s="879"/>
      <c r="JOG1505" s="879"/>
      <c r="JOH1505" s="879"/>
      <c r="JOI1505" s="879"/>
      <c r="JOJ1505" s="879"/>
      <c r="JOK1505" s="879"/>
      <c r="JOL1505" s="879"/>
      <c r="JOM1505" s="879"/>
      <c r="JON1505" s="879"/>
      <c r="JOO1505" s="879"/>
      <c r="JOP1505" s="879"/>
      <c r="JOQ1505" s="879"/>
      <c r="JOR1505" s="879"/>
      <c r="JOS1505" s="879"/>
      <c r="JOT1505" s="879"/>
      <c r="JOU1505" s="879"/>
      <c r="JOV1505" s="879"/>
      <c r="JOW1505" s="879"/>
      <c r="JOX1505" s="879"/>
      <c r="JOY1505" s="879"/>
      <c r="JOZ1505" s="879"/>
      <c r="JPA1505" s="879"/>
      <c r="JPB1505" s="879"/>
      <c r="JPC1505" s="879"/>
      <c r="JPD1505" s="879"/>
      <c r="JPE1505" s="879"/>
      <c r="JPF1505" s="879"/>
      <c r="JPG1505" s="879"/>
      <c r="JPH1505" s="879"/>
      <c r="JPI1505" s="879"/>
      <c r="JPJ1505" s="879"/>
      <c r="JPK1505" s="879"/>
      <c r="JPL1505" s="879"/>
      <c r="JPM1505" s="879"/>
      <c r="JPN1505" s="879"/>
      <c r="JPO1505" s="879"/>
      <c r="JPP1505" s="879"/>
      <c r="JPQ1505" s="879"/>
      <c r="JPR1505" s="879"/>
      <c r="JPS1505" s="879"/>
      <c r="JPT1505" s="879"/>
      <c r="JPU1505" s="879"/>
      <c r="JPV1505" s="879"/>
      <c r="JPW1505" s="879"/>
      <c r="JPX1505" s="879"/>
      <c r="JPY1505" s="879"/>
      <c r="JPZ1505" s="879"/>
      <c r="JQA1505" s="879"/>
      <c r="JQB1505" s="879"/>
      <c r="JQC1505" s="879"/>
      <c r="JQD1505" s="879"/>
      <c r="JQE1505" s="879"/>
      <c r="JQF1505" s="879"/>
      <c r="JQG1505" s="879"/>
      <c r="JQH1505" s="879"/>
      <c r="JQI1505" s="879"/>
      <c r="JQJ1505" s="879"/>
      <c r="JQK1505" s="879"/>
      <c r="JQL1505" s="879"/>
      <c r="JQM1505" s="879"/>
      <c r="JQN1505" s="879"/>
      <c r="JQO1505" s="879"/>
      <c r="JQP1505" s="879"/>
      <c r="JQQ1505" s="879"/>
      <c r="JQR1505" s="879"/>
      <c r="JQS1505" s="879"/>
      <c r="JQT1505" s="879"/>
      <c r="JQU1505" s="879"/>
      <c r="JQV1505" s="879"/>
      <c r="JQW1505" s="879"/>
      <c r="JQX1505" s="879"/>
      <c r="JQY1505" s="879"/>
      <c r="JQZ1505" s="879"/>
      <c r="JRA1505" s="879"/>
      <c r="JRB1505" s="879"/>
      <c r="JRC1505" s="879"/>
      <c r="JRD1505" s="879"/>
      <c r="JRE1505" s="879"/>
      <c r="JRF1505" s="879"/>
      <c r="JRG1505" s="879"/>
      <c r="JRH1505" s="879"/>
      <c r="JRI1505" s="879"/>
      <c r="JRJ1505" s="879"/>
      <c r="JRK1505" s="879"/>
      <c r="JRL1505" s="879"/>
      <c r="JRM1505" s="879"/>
      <c r="JRN1505" s="879"/>
      <c r="JRO1505" s="879"/>
      <c r="JRP1505" s="879"/>
      <c r="JRQ1505" s="879"/>
      <c r="JRR1505" s="879"/>
      <c r="JRS1505" s="879"/>
      <c r="JRT1505" s="879"/>
      <c r="JRU1505" s="879"/>
      <c r="JRV1505" s="879"/>
      <c r="JRW1505" s="879"/>
      <c r="JRX1505" s="879"/>
      <c r="JRY1505" s="879"/>
      <c r="JRZ1505" s="879"/>
      <c r="JSA1505" s="879"/>
      <c r="JSB1505" s="879"/>
      <c r="JSC1505" s="879"/>
      <c r="JSD1505" s="879"/>
      <c r="JSE1505" s="879"/>
      <c r="JSF1505" s="879"/>
      <c r="JSG1505" s="879"/>
      <c r="JSH1505" s="879"/>
      <c r="JSI1505" s="879"/>
      <c r="JSJ1505" s="879"/>
      <c r="JSK1505" s="879"/>
      <c r="JSL1505" s="879"/>
      <c r="JSM1505" s="879"/>
      <c r="JSN1505" s="879"/>
      <c r="JSO1505" s="879"/>
      <c r="JSP1505" s="879"/>
      <c r="JSQ1505" s="879"/>
      <c r="JSR1505" s="879"/>
      <c r="JSS1505" s="879"/>
      <c r="JST1505" s="879"/>
      <c r="JSU1505" s="879"/>
      <c r="JSV1505" s="879"/>
      <c r="JSW1505" s="879"/>
      <c r="JSX1505" s="879"/>
      <c r="JSY1505" s="879"/>
      <c r="JSZ1505" s="879"/>
      <c r="JTA1505" s="879"/>
      <c r="JTB1505" s="879"/>
      <c r="JTC1505" s="879"/>
      <c r="JTD1505" s="879"/>
      <c r="JTE1505" s="879"/>
      <c r="JTF1505" s="879"/>
      <c r="JTG1505" s="879"/>
      <c r="JTH1505" s="879"/>
      <c r="JTI1505" s="879"/>
      <c r="JTJ1505" s="879"/>
      <c r="JTK1505" s="879"/>
      <c r="JTL1505" s="879"/>
      <c r="JTM1505" s="879"/>
      <c r="JTN1505" s="879"/>
      <c r="JTO1505" s="879"/>
      <c r="JTP1505" s="879"/>
      <c r="JTQ1505" s="879"/>
      <c r="JTR1505" s="879"/>
      <c r="JTS1505" s="879"/>
      <c r="JTT1505" s="879"/>
      <c r="JTU1505" s="879"/>
      <c r="JTV1505" s="879"/>
      <c r="JTW1505" s="879"/>
      <c r="JTX1505" s="879"/>
      <c r="JTY1505" s="879"/>
      <c r="JTZ1505" s="879"/>
      <c r="JUA1505" s="879"/>
      <c r="JUB1505" s="879"/>
      <c r="JUC1505" s="879"/>
      <c r="JUD1505" s="879"/>
      <c r="JUE1505" s="879"/>
      <c r="JUF1505" s="879"/>
      <c r="JUG1505" s="879"/>
      <c r="JUH1505" s="879"/>
      <c r="JUI1505" s="879"/>
      <c r="JUJ1505" s="879"/>
      <c r="JUK1505" s="879"/>
      <c r="JUL1505" s="879"/>
      <c r="JUM1505" s="879"/>
      <c r="JUN1505" s="879"/>
      <c r="JUO1505" s="879"/>
      <c r="JUP1505" s="879"/>
      <c r="JUQ1505" s="879"/>
      <c r="JUR1505" s="879"/>
      <c r="JUS1505" s="879"/>
      <c r="JUT1505" s="879"/>
      <c r="JUU1505" s="879"/>
      <c r="JUV1505" s="879"/>
      <c r="JUW1505" s="879"/>
      <c r="JUX1505" s="879"/>
      <c r="JUY1505" s="879"/>
      <c r="JUZ1505" s="879"/>
      <c r="JVA1505" s="879"/>
      <c r="JVB1505" s="879"/>
      <c r="JVC1505" s="879"/>
      <c r="JVD1505" s="879"/>
      <c r="JVE1505" s="879"/>
      <c r="JVF1505" s="879"/>
      <c r="JVG1505" s="879"/>
      <c r="JVH1505" s="879"/>
      <c r="JVI1505" s="879"/>
      <c r="JVJ1505" s="879"/>
      <c r="JVK1505" s="879"/>
      <c r="JVL1505" s="879"/>
      <c r="JVM1505" s="879"/>
      <c r="JVN1505" s="879"/>
      <c r="JVO1505" s="879"/>
      <c r="JVP1505" s="879"/>
      <c r="JVQ1505" s="879"/>
      <c r="JVR1505" s="879"/>
      <c r="JVS1505" s="879"/>
      <c r="JVT1505" s="879"/>
      <c r="JVU1505" s="879"/>
      <c r="JVV1505" s="879"/>
      <c r="JVW1505" s="879"/>
      <c r="JVX1505" s="879"/>
      <c r="JVY1505" s="879"/>
      <c r="JVZ1505" s="879"/>
      <c r="JWA1505" s="879"/>
      <c r="JWB1505" s="879"/>
      <c r="JWC1505" s="879"/>
      <c r="JWD1505" s="879"/>
      <c r="JWE1505" s="879"/>
      <c r="JWF1505" s="879"/>
      <c r="JWG1505" s="879"/>
      <c r="JWH1505" s="879"/>
      <c r="JWI1505" s="879"/>
      <c r="JWJ1505" s="879"/>
      <c r="JWK1505" s="879"/>
      <c r="JWL1505" s="879"/>
      <c r="JWM1505" s="879"/>
      <c r="JWN1505" s="879"/>
      <c r="JWO1505" s="879"/>
      <c r="JWP1505" s="879"/>
      <c r="JWQ1505" s="879"/>
      <c r="JWR1505" s="879"/>
      <c r="JWS1505" s="879"/>
      <c r="JWT1505" s="879"/>
      <c r="JWU1505" s="879"/>
      <c r="JWV1505" s="879"/>
      <c r="JWW1505" s="879"/>
      <c r="JWX1505" s="879"/>
      <c r="JWY1505" s="879"/>
      <c r="JWZ1505" s="879"/>
      <c r="JXA1505" s="879"/>
      <c r="JXB1505" s="879"/>
      <c r="JXC1505" s="879"/>
      <c r="JXD1505" s="879"/>
      <c r="JXE1505" s="879"/>
      <c r="JXF1505" s="879"/>
      <c r="JXG1505" s="879"/>
      <c r="JXH1505" s="879"/>
      <c r="JXI1505" s="879"/>
      <c r="JXJ1505" s="879"/>
      <c r="JXK1505" s="879"/>
      <c r="JXL1505" s="879"/>
      <c r="JXM1505" s="879"/>
      <c r="JXN1505" s="879"/>
      <c r="JXO1505" s="879"/>
      <c r="JXP1505" s="879"/>
      <c r="JXQ1505" s="879"/>
      <c r="JXR1505" s="879"/>
      <c r="JXS1505" s="879"/>
      <c r="JXT1505" s="879"/>
      <c r="JXU1505" s="879"/>
      <c r="JXV1505" s="879"/>
      <c r="JXW1505" s="879"/>
      <c r="JXX1505" s="879"/>
      <c r="JXY1505" s="879"/>
      <c r="JXZ1505" s="879"/>
      <c r="JYA1505" s="879"/>
      <c r="JYB1505" s="879"/>
      <c r="JYC1505" s="879"/>
      <c r="JYD1505" s="879"/>
      <c r="JYE1505" s="879"/>
      <c r="JYF1505" s="879"/>
      <c r="JYG1505" s="879"/>
      <c r="JYH1505" s="879"/>
      <c r="JYI1505" s="879"/>
      <c r="JYJ1505" s="879"/>
      <c r="JYK1505" s="879"/>
      <c r="JYL1505" s="879"/>
      <c r="JYM1505" s="879"/>
      <c r="JYN1505" s="879"/>
      <c r="JYO1505" s="879"/>
      <c r="JYP1505" s="879"/>
      <c r="JYQ1505" s="879"/>
      <c r="JYR1505" s="879"/>
      <c r="JYS1505" s="879"/>
      <c r="JYT1505" s="879"/>
      <c r="JYU1505" s="879"/>
      <c r="JYV1505" s="879"/>
      <c r="JYW1505" s="879"/>
      <c r="JYX1505" s="879"/>
      <c r="JYY1505" s="879"/>
      <c r="JYZ1505" s="879"/>
      <c r="JZA1505" s="879"/>
      <c r="JZB1505" s="879"/>
      <c r="JZC1505" s="879"/>
      <c r="JZD1505" s="879"/>
      <c r="JZE1505" s="879"/>
      <c r="JZF1505" s="879"/>
      <c r="JZG1505" s="879"/>
      <c r="JZH1505" s="879"/>
      <c r="JZI1505" s="879"/>
      <c r="JZJ1505" s="879"/>
      <c r="JZK1505" s="879"/>
      <c r="JZL1505" s="879"/>
      <c r="JZM1505" s="879"/>
      <c r="JZN1505" s="879"/>
      <c r="JZO1505" s="879"/>
      <c r="JZP1505" s="879"/>
      <c r="JZQ1505" s="879"/>
      <c r="JZR1505" s="879"/>
      <c r="JZS1505" s="879"/>
      <c r="JZT1505" s="879"/>
      <c r="JZU1505" s="879"/>
      <c r="JZV1505" s="879"/>
      <c r="JZW1505" s="879"/>
      <c r="JZX1505" s="879"/>
      <c r="JZY1505" s="879"/>
      <c r="JZZ1505" s="879"/>
      <c r="KAA1505" s="879"/>
      <c r="KAB1505" s="879"/>
      <c r="KAC1505" s="879"/>
      <c r="KAD1505" s="879"/>
      <c r="KAE1505" s="879"/>
      <c r="KAF1505" s="879"/>
      <c r="KAG1505" s="879"/>
      <c r="KAH1505" s="879"/>
      <c r="KAI1505" s="879"/>
      <c r="KAJ1505" s="879"/>
      <c r="KAK1505" s="879"/>
      <c r="KAL1505" s="879"/>
      <c r="KAM1505" s="879"/>
      <c r="KAN1505" s="879"/>
      <c r="KAO1505" s="879"/>
      <c r="KAP1505" s="879"/>
      <c r="KAQ1505" s="879"/>
      <c r="KAR1505" s="879"/>
      <c r="KAS1505" s="879"/>
      <c r="KAT1505" s="879"/>
      <c r="KAU1505" s="879"/>
      <c r="KAV1505" s="879"/>
      <c r="KAW1505" s="879"/>
      <c r="KAX1505" s="879"/>
      <c r="KAY1505" s="879"/>
      <c r="KAZ1505" s="879"/>
      <c r="KBA1505" s="879"/>
      <c r="KBB1505" s="879"/>
      <c r="KBC1505" s="879"/>
      <c r="KBD1505" s="879"/>
      <c r="KBE1505" s="879"/>
      <c r="KBF1505" s="879"/>
      <c r="KBG1505" s="879"/>
      <c r="KBH1505" s="879"/>
      <c r="KBI1505" s="879"/>
      <c r="KBJ1505" s="879"/>
      <c r="KBK1505" s="879"/>
      <c r="KBL1505" s="879"/>
      <c r="KBM1505" s="879"/>
      <c r="KBN1505" s="879"/>
      <c r="KBO1505" s="879"/>
      <c r="KBP1505" s="879"/>
      <c r="KBQ1505" s="879"/>
      <c r="KBR1505" s="879"/>
      <c r="KBS1505" s="879"/>
      <c r="KBT1505" s="879"/>
      <c r="KBU1505" s="879"/>
      <c r="KBV1505" s="879"/>
      <c r="KBW1505" s="879"/>
      <c r="KBX1505" s="879"/>
      <c r="KBY1505" s="879"/>
      <c r="KBZ1505" s="879"/>
      <c r="KCA1505" s="879"/>
      <c r="KCB1505" s="879"/>
      <c r="KCC1505" s="879"/>
      <c r="KCD1505" s="879"/>
      <c r="KCE1505" s="879"/>
      <c r="KCF1505" s="879"/>
      <c r="KCG1505" s="879"/>
      <c r="KCH1505" s="879"/>
      <c r="KCI1505" s="879"/>
      <c r="KCJ1505" s="879"/>
      <c r="KCK1505" s="879"/>
      <c r="KCL1505" s="879"/>
      <c r="KCM1505" s="879"/>
      <c r="KCN1505" s="879"/>
      <c r="KCO1505" s="879"/>
      <c r="KCP1505" s="879"/>
      <c r="KCQ1505" s="879"/>
      <c r="KCR1505" s="879"/>
      <c r="KCS1505" s="879"/>
      <c r="KCT1505" s="879"/>
      <c r="KCU1505" s="879"/>
      <c r="KCV1505" s="879"/>
      <c r="KCW1505" s="879"/>
      <c r="KCX1505" s="879"/>
      <c r="KCY1505" s="879"/>
      <c r="KCZ1505" s="879"/>
      <c r="KDA1505" s="879"/>
      <c r="KDB1505" s="879"/>
      <c r="KDC1505" s="879"/>
      <c r="KDD1505" s="879"/>
      <c r="KDE1505" s="879"/>
      <c r="KDF1505" s="879"/>
      <c r="KDG1505" s="879"/>
      <c r="KDH1505" s="879"/>
      <c r="KDI1505" s="879"/>
      <c r="KDJ1505" s="879"/>
      <c r="KDK1505" s="879"/>
      <c r="KDL1505" s="879"/>
      <c r="KDM1505" s="879"/>
      <c r="KDN1505" s="879"/>
      <c r="KDO1505" s="879"/>
      <c r="KDP1505" s="879"/>
      <c r="KDQ1505" s="879"/>
      <c r="KDR1505" s="879"/>
      <c r="KDS1505" s="879"/>
      <c r="KDT1505" s="879"/>
      <c r="KDU1505" s="879"/>
      <c r="KDV1505" s="879"/>
      <c r="KDW1505" s="879"/>
      <c r="KDX1505" s="879"/>
      <c r="KDY1505" s="879"/>
      <c r="KDZ1505" s="879"/>
      <c r="KEA1505" s="879"/>
      <c r="KEB1505" s="879"/>
      <c r="KEC1505" s="879"/>
      <c r="KED1505" s="879"/>
      <c r="KEE1505" s="879"/>
      <c r="KEF1505" s="879"/>
      <c r="KEG1505" s="879"/>
      <c r="KEH1505" s="879"/>
      <c r="KEI1505" s="879"/>
      <c r="KEJ1505" s="879"/>
      <c r="KEK1505" s="879"/>
      <c r="KEL1505" s="879"/>
      <c r="KEM1505" s="879"/>
      <c r="KEN1505" s="879"/>
      <c r="KEO1505" s="879"/>
      <c r="KEP1505" s="879"/>
      <c r="KEQ1505" s="879"/>
      <c r="KER1505" s="879"/>
      <c r="KES1505" s="879"/>
      <c r="KET1505" s="879"/>
      <c r="KEU1505" s="879"/>
      <c r="KEV1505" s="879"/>
      <c r="KEW1505" s="879"/>
      <c r="KEX1505" s="879"/>
      <c r="KEY1505" s="879"/>
      <c r="KEZ1505" s="879"/>
      <c r="KFA1505" s="879"/>
      <c r="KFB1505" s="879"/>
      <c r="KFC1505" s="879"/>
      <c r="KFD1505" s="879"/>
      <c r="KFE1505" s="879"/>
      <c r="KFF1505" s="879"/>
      <c r="KFG1505" s="879"/>
      <c r="KFH1505" s="879"/>
      <c r="KFI1505" s="879"/>
      <c r="KFJ1505" s="879"/>
      <c r="KFK1505" s="879"/>
      <c r="KFL1505" s="879"/>
      <c r="KFM1505" s="879"/>
      <c r="KFN1505" s="879"/>
      <c r="KFO1505" s="879"/>
      <c r="KFP1505" s="879"/>
      <c r="KFQ1505" s="879"/>
      <c r="KFR1505" s="879"/>
      <c r="KFS1505" s="879"/>
      <c r="KFT1505" s="879"/>
      <c r="KFU1505" s="879"/>
      <c r="KFV1505" s="879"/>
      <c r="KFW1505" s="879"/>
      <c r="KFX1505" s="879"/>
      <c r="KFY1505" s="879"/>
      <c r="KFZ1505" s="879"/>
      <c r="KGA1505" s="879"/>
      <c r="KGB1505" s="879"/>
      <c r="KGC1505" s="879"/>
      <c r="KGD1505" s="879"/>
      <c r="KGE1505" s="879"/>
      <c r="KGF1505" s="879"/>
      <c r="KGG1505" s="879"/>
      <c r="KGH1505" s="879"/>
      <c r="KGI1505" s="879"/>
      <c r="KGJ1505" s="879"/>
      <c r="KGK1505" s="879"/>
      <c r="KGL1505" s="879"/>
      <c r="KGM1505" s="879"/>
      <c r="KGN1505" s="879"/>
      <c r="KGO1505" s="879"/>
      <c r="KGP1505" s="879"/>
      <c r="KGQ1505" s="879"/>
      <c r="KGR1505" s="879"/>
      <c r="KGS1505" s="879"/>
      <c r="KGT1505" s="879"/>
      <c r="KGU1505" s="879"/>
      <c r="KGV1505" s="879"/>
      <c r="KGW1505" s="879"/>
      <c r="KGX1505" s="879"/>
      <c r="KGY1505" s="879"/>
      <c r="KGZ1505" s="879"/>
      <c r="KHA1505" s="879"/>
      <c r="KHB1505" s="879"/>
      <c r="KHC1505" s="879"/>
      <c r="KHD1505" s="879"/>
      <c r="KHE1505" s="879"/>
      <c r="KHF1505" s="879"/>
      <c r="KHG1505" s="879"/>
      <c r="KHH1505" s="879"/>
      <c r="KHI1505" s="879"/>
      <c r="KHJ1505" s="879"/>
      <c r="KHK1505" s="879"/>
      <c r="KHL1505" s="879"/>
      <c r="KHM1505" s="879"/>
      <c r="KHN1505" s="879"/>
      <c r="KHO1505" s="879"/>
      <c r="KHP1505" s="879"/>
      <c r="KHQ1505" s="879"/>
      <c r="KHR1505" s="879"/>
      <c r="KHS1505" s="879"/>
      <c r="KHT1505" s="879"/>
      <c r="KHU1505" s="879"/>
      <c r="KHV1505" s="879"/>
      <c r="KHW1505" s="879"/>
      <c r="KHX1505" s="879"/>
      <c r="KHY1505" s="879"/>
      <c r="KHZ1505" s="879"/>
      <c r="KIA1505" s="879"/>
      <c r="KIB1505" s="879"/>
      <c r="KIC1505" s="879"/>
      <c r="KID1505" s="879"/>
      <c r="KIE1505" s="879"/>
      <c r="KIF1505" s="879"/>
      <c r="KIG1505" s="879"/>
      <c r="KIH1505" s="879"/>
      <c r="KII1505" s="879"/>
      <c r="KIJ1505" s="879"/>
      <c r="KIK1505" s="879"/>
      <c r="KIL1505" s="879"/>
      <c r="KIM1505" s="879"/>
      <c r="KIN1505" s="879"/>
      <c r="KIO1505" s="879"/>
      <c r="KIP1505" s="879"/>
      <c r="KIQ1505" s="879"/>
      <c r="KIR1505" s="879"/>
      <c r="KIS1505" s="879"/>
      <c r="KIT1505" s="879"/>
      <c r="KIU1505" s="879"/>
      <c r="KIV1505" s="879"/>
      <c r="KIW1505" s="879"/>
      <c r="KIX1505" s="879"/>
      <c r="KIY1505" s="879"/>
      <c r="KIZ1505" s="879"/>
      <c r="KJA1505" s="879"/>
      <c r="KJB1505" s="879"/>
      <c r="KJC1505" s="879"/>
      <c r="KJD1505" s="879"/>
      <c r="KJE1505" s="879"/>
      <c r="KJF1505" s="879"/>
      <c r="KJG1505" s="879"/>
      <c r="KJH1505" s="879"/>
      <c r="KJI1505" s="879"/>
      <c r="KJJ1505" s="879"/>
      <c r="KJK1505" s="879"/>
      <c r="KJL1505" s="879"/>
      <c r="KJM1505" s="879"/>
      <c r="KJN1505" s="879"/>
      <c r="KJO1505" s="879"/>
      <c r="KJP1505" s="879"/>
      <c r="KJQ1505" s="879"/>
      <c r="KJR1505" s="879"/>
      <c r="KJS1505" s="879"/>
      <c r="KJT1505" s="879"/>
      <c r="KJU1505" s="879"/>
      <c r="KJV1505" s="879"/>
      <c r="KJW1505" s="879"/>
      <c r="KJX1505" s="879"/>
      <c r="KJY1505" s="879"/>
      <c r="KJZ1505" s="879"/>
      <c r="KKA1505" s="879"/>
      <c r="KKB1505" s="879"/>
      <c r="KKC1505" s="879"/>
      <c r="KKD1505" s="879"/>
      <c r="KKE1505" s="879"/>
      <c r="KKF1505" s="879"/>
      <c r="KKG1505" s="879"/>
      <c r="KKH1505" s="879"/>
      <c r="KKI1505" s="879"/>
      <c r="KKJ1505" s="879"/>
      <c r="KKK1505" s="879"/>
      <c r="KKL1505" s="879"/>
      <c r="KKM1505" s="879"/>
      <c r="KKN1505" s="879"/>
      <c r="KKO1505" s="879"/>
      <c r="KKP1505" s="879"/>
      <c r="KKQ1505" s="879"/>
      <c r="KKR1505" s="879"/>
      <c r="KKS1505" s="879"/>
      <c r="KKT1505" s="879"/>
      <c r="KKU1505" s="879"/>
      <c r="KKV1505" s="879"/>
      <c r="KKW1505" s="879"/>
      <c r="KKX1505" s="879"/>
      <c r="KKY1505" s="879"/>
      <c r="KKZ1505" s="879"/>
      <c r="KLA1505" s="879"/>
      <c r="KLB1505" s="879"/>
      <c r="KLC1505" s="879"/>
      <c r="KLD1505" s="879"/>
      <c r="KLE1505" s="879"/>
      <c r="KLF1505" s="879"/>
      <c r="KLG1505" s="879"/>
      <c r="KLH1505" s="879"/>
      <c r="KLI1505" s="879"/>
      <c r="KLJ1505" s="879"/>
      <c r="KLK1505" s="879"/>
      <c r="KLL1505" s="879"/>
      <c r="KLM1505" s="879"/>
      <c r="KLN1505" s="879"/>
      <c r="KLO1505" s="879"/>
      <c r="KLP1505" s="879"/>
      <c r="KLQ1505" s="879"/>
      <c r="KLR1505" s="879"/>
      <c r="KLS1505" s="879"/>
      <c r="KLT1505" s="879"/>
      <c r="KLU1505" s="879"/>
      <c r="KLV1505" s="879"/>
      <c r="KLW1505" s="879"/>
      <c r="KLX1505" s="879"/>
      <c r="KLY1505" s="879"/>
      <c r="KLZ1505" s="879"/>
      <c r="KMA1505" s="879"/>
      <c r="KMB1505" s="879"/>
      <c r="KMC1505" s="879"/>
      <c r="KMD1505" s="879"/>
      <c r="KME1505" s="879"/>
      <c r="KMF1505" s="879"/>
      <c r="KMG1505" s="879"/>
      <c r="KMH1505" s="879"/>
      <c r="KMI1505" s="879"/>
      <c r="KMJ1505" s="879"/>
      <c r="KMK1505" s="879"/>
      <c r="KML1505" s="879"/>
      <c r="KMM1505" s="879"/>
      <c r="KMN1505" s="879"/>
      <c r="KMO1505" s="879"/>
      <c r="KMP1505" s="879"/>
      <c r="KMQ1505" s="879"/>
      <c r="KMR1505" s="879"/>
      <c r="KMS1505" s="879"/>
      <c r="KMT1505" s="879"/>
      <c r="KMU1505" s="879"/>
      <c r="KMV1505" s="879"/>
      <c r="KMW1505" s="879"/>
      <c r="KMX1505" s="879"/>
      <c r="KMY1505" s="879"/>
      <c r="KMZ1505" s="879"/>
      <c r="KNA1505" s="879"/>
      <c r="KNB1505" s="879"/>
      <c r="KNC1505" s="879"/>
      <c r="KND1505" s="879"/>
      <c r="KNE1505" s="879"/>
      <c r="KNF1505" s="879"/>
      <c r="KNG1505" s="879"/>
      <c r="KNH1505" s="879"/>
      <c r="KNI1505" s="879"/>
      <c r="KNJ1505" s="879"/>
      <c r="KNK1505" s="879"/>
      <c r="KNL1505" s="879"/>
      <c r="KNM1505" s="879"/>
      <c r="KNN1505" s="879"/>
      <c r="KNO1505" s="879"/>
      <c r="KNP1505" s="879"/>
      <c r="KNQ1505" s="879"/>
      <c r="KNR1505" s="879"/>
      <c r="KNS1505" s="879"/>
      <c r="KNT1505" s="879"/>
      <c r="KNU1505" s="879"/>
      <c r="KNV1505" s="879"/>
      <c r="KNW1505" s="879"/>
      <c r="KNX1505" s="879"/>
      <c r="KNY1505" s="879"/>
      <c r="KNZ1505" s="879"/>
      <c r="KOA1505" s="879"/>
      <c r="KOB1505" s="879"/>
      <c r="KOC1505" s="879"/>
      <c r="KOD1505" s="879"/>
      <c r="KOE1505" s="879"/>
      <c r="KOF1505" s="879"/>
      <c r="KOG1505" s="879"/>
      <c r="KOH1505" s="879"/>
      <c r="KOI1505" s="879"/>
      <c r="KOJ1505" s="879"/>
      <c r="KOK1505" s="879"/>
      <c r="KOL1505" s="879"/>
      <c r="KOM1505" s="879"/>
      <c r="KON1505" s="879"/>
      <c r="KOO1505" s="879"/>
      <c r="KOP1505" s="879"/>
      <c r="KOQ1505" s="879"/>
      <c r="KOR1505" s="879"/>
      <c r="KOS1505" s="879"/>
      <c r="KOT1505" s="879"/>
      <c r="KOU1505" s="879"/>
      <c r="KOV1505" s="879"/>
      <c r="KOW1505" s="879"/>
      <c r="KOX1505" s="879"/>
      <c r="KOY1505" s="879"/>
      <c r="KOZ1505" s="879"/>
      <c r="KPA1505" s="879"/>
      <c r="KPB1505" s="879"/>
      <c r="KPC1505" s="879"/>
      <c r="KPD1505" s="879"/>
      <c r="KPE1505" s="879"/>
      <c r="KPF1505" s="879"/>
      <c r="KPG1505" s="879"/>
      <c r="KPH1505" s="879"/>
      <c r="KPI1505" s="879"/>
      <c r="KPJ1505" s="879"/>
      <c r="KPK1505" s="879"/>
      <c r="KPL1505" s="879"/>
      <c r="KPM1505" s="879"/>
      <c r="KPN1505" s="879"/>
      <c r="KPO1505" s="879"/>
      <c r="KPP1505" s="879"/>
      <c r="KPQ1505" s="879"/>
      <c r="KPR1505" s="879"/>
      <c r="KPS1505" s="879"/>
      <c r="KPT1505" s="879"/>
      <c r="KPU1505" s="879"/>
      <c r="KPV1505" s="879"/>
      <c r="KPW1505" s="879"/>
      <c r="KPX1505" s="879"/>
      <c r="KPY1505" s="879"/>
      <c r="KPZ1505" s="879"/>
      <c r="KQA1505" s="879"/>
      <c r="KQB1505" s="879"/>
      <c r="KQC1505" s="879"/>
      <c r="KQD1505" s="879"/>
      <c r="KQE1505" s="879"/>
      <c r="KQF1505" s="879"/>
      <c r="KQG1505" s="879"/>
      <c r="KQH1505" s="879"/>
      <c r="KQI1505" s="879"/>
      <c r="KQJ1505" s="879"/>
      <c r="KQK1505" s="879"/>
      <c r="KQL1505" s="879"/>
      <c r="KQM1505" s="879"/>
      <c r="KQN1505" s="879"/>
      <c r="KQO1505" s="879"/>
      <c r="KQP1505" s="879"/>
      <c r="KQQ1505" s="879"/>
      <c r="KQR1505" s="879"/>
      <c r="KQS1505" s="879"/>
      <c r="KQT1505" s="879"/>
      <c r="KQU1505" s="879"/>
      <c r="KQV1505" s="879"/>
      <c r="KQW1505" s="879"/>
      <c r="KQX1505" s="879"/>
      <c r="KQY1505" s="879"/>
      <c r="KQZ1505" s="879"/>
      <c r="KRA1505" s="879"/>
      <c r="KRB1505" s="879"/>
      <c r="KRC1505" s="879"/>
      <c r="KRD1505" s="879"/>
      <c r="KRE1505" s="879"/>
      <c r="KRF1505" s="879"/>
      <c r="KRG1505" s="879"/>
      <c r="KRH1505" s="879"/>
      <c r="KRI1505" s="879"/>
      <c r="KRJ1505" s="879"/>
      <c r="KRK1505" s="879"/>
      <c r="KRL1505" s="879"/>
      <c r="KRM1505" s="879"/>
      <c r="KRN1505" s="879"/>
      <c r="KRO1505" s="879"/>
      <c r="KRP1505" s="879"/>
      <c r="KRQ1505" s="879"/>
      <c r="KRR1505" s="879"/>
      <c r="KRS1505" s="879"/>
      <c r="KRT1505" s="879"/>
      <c r="KRU1505" s="879"/>
      <c r="KRV1505" s="879"/>
      <c r="KRW1505" s="879"/>
      <c r="KRX1505" s="879"/>
      <c r="KRY1505" s="879"/>
      <c r="KRZ1505" s="879"/>
      <c r="KSA1505" s="879"/>
      <c r="KSB1505" s="879"/>
      <c r="KSC1505" s="879"/>
      <c r="KSD1505" s="879"/>
      <c r="KSE1505" s="879"/>
      <c r="KSF1505" s="879"/>
      <c r="KSG1505" s="879"/>
      <c r="KSH1505" s="879"/>
      <c r="KSI1505" s="879"/>
      <c r="KSJ1505" s="879"/>
      <c r="KSK1505" s="879"/>
      <c r="KSL1505" s="879"/>
      <c r="KSM1505" s="879"/>
      <c r="KSN1505" s="879"/>
      <c r="KSO1505" s="879"/>
      <c r="KSP1505" s="879"/>
      <c r="KSQ1505" s="879"/>
      <c r="KSR1505" s="879"/>
      <c r="KSS1505" s="879"/>
      <c r="KST1505" s="879"/>
      <c r="KSU1505" s="879"/>
      <c r="KSV1505" s="879"/>
      <c r="KSW1505" s="879"/>
      <c r="KSX1505" s="879"/>
      <c r="KSY1505" s="879"/>
      <c r="KSZ1505" s="879"/>
      <c r="KTA1505" s="879"/>
      <c r="KTB1505" s="879"/>
      <c r="KTC1505" s="879"/>
      <c r="KTD1505" s="879"/>
      <c r="KTE1505" s="879"/>
      <c r="KTF1505" s="879"/>
      <c r="KTG1505" s="879"/>
      <c r="KTH1505" s="879"/>
      <c r="KTI1505" s="879"/>
      <c r="KTJ1505" s="879"/>
      <c r="KTK1505" s="879"/>
      <c r="KTL1505" s="879"/>
      <c r="KTM1505" s="879"/>
      <c r="KTN1505" s="879"/>
      <c r="KTO1505" s="879"/>
      <c r="KTP1505" s="879"/>
      <c r="KTQ1505" s="879"/>
      <c r="KTR1505" s="879"/>
      <c r="KTS1505" s="879"/>
      <c r="KTT1505" s="879"/>
      <c r="KTU1505" s="879"/>
      <c r="KTV1505" s="879"/>
      <c r="KTW1505" s="879"/>
      <c r="KTX1505" s="879"/>
      <c r="KTY1505" s="879"/>
      <c r="KTZ1505" s="879"/>
      <c r="KUA1505" s="879"/>
      <c r="KUB1505" s="879"/>
      <c r="KUC1505" s="879"/>
      <c r="KUD1505" s="879"/>
      <c r="KUE1505" s="879"/>
      <c r="KUF1505" s="879"/>
      <c r="KUG1505" s="879"/>
      <c r="KUH1505" s="879"/>
      <c r="KUI1505" s="879"/>
      <c r="KUJ1505" s="879"/>
      <c r="KUK1505" s="879"/>
      <c r="KUL1505" s="879"/>
      <c r="KUM1505" s="879"/>
      <c r="KUN1505" s="879"/>
      <c r="KUO1505" s="879"/>
      <c r="KUP1505" s="879"/>
      <c r="KUQ1505" s="879"/>
      <c r="KUR1505" s="879"/>
      <c r="KUS1505" s="879"/>
      <c r="KUT1505" s="879"/>
      <c r="KUU1505" s="879"/>
      <c r="KUV1505" s="879"/>
      <c r="KUW1505" s="879"/>
      <c r="KUX1505" s="879"/>
      <c r="KUY1505" s="879"/>
      <c r="KUZ1505" s="879"/>
      <c r="KVA1505" s="879"/>
      <c r="KVB1505" s="879"/>
      <c r="KVC1505" s="879"/>
      <c r="KVD1505" s="879"/>
      <c r="KVE1505" s="879"/>
      <c r="KVF1505" s="879"/>
      <c r="KVG1505" s="879"/>
      <c r="KVH1505" s="879"/>
      <c r="KVI1505" s="879"/>
      <c r="KVJ1505" s="879"/>
      <c r="KVK1505" s="879"/>
      <c r="KVL1505" s="879"/>
      <c r="KVM1505" s="879"/>
      <c r="KVN1505" s="879"/>
      <c r="KVO1505" s="879"/>
      <c r="KVP1505" s="879"/>
      <c r="KVQ1505" s="879"/>
      <c r="KVR1505" s="879"/>
      <c r="KVS1505" s="879"/>
      <c r="KVT1505" s="879"/>
      <c r="KVU1505" s="879"/>
      <c r="KVV1505" s="879"/>
      <c r="KVW1505" s="879"/>
      <c r="KVX1505" s="879"/>
      <c r="KVY1505" s="879"/>
      <c r="KVZ1505" s="879"/>
      <c r="KWA1505" s="879"/>
      <c r="KWB1505" s="879"/>
      <c r="KWC1505" s="879"/>
      <c r="KWD1505" s="879"/>
      <c r="KWE1505" s="879"/>
      <c r="KWF1505" s="879"/>
      <c r="KWG1505" s="879"/>
      <c r="KWH1505" s="879"/>
      <c r="KWI1505" s="879"/>
      <c r="KWJ1505" s="879"/>
      <c r="KWK1505" s="879"/>
      <c r="KWL1505" s="879"/>
      <c r="KWM1505" s="879"/>
      <c r="KWN1505" s="879"/>
      <c r="KWO1505" s="879"/>
      <c r="KWP1505" s="879"/>
      <c r="KWQ1505" s="879"/>
      <c r="KWR1505" s="879"/>
      <c r="KWS1505" s="879"/>
      <c r="KWT1505" s="879"/>
      <c r="KWU1505" s="879"/>
      <c r="KWV1505" s="879"/>
      <c r="KWW1505" s="879"/>
      <c r="KWX1505" s="879"/>
      <c r="KWY1505" s="879"/>
      <c r="KWZ1505" s="879"/>
      <c r="KXA1505" s="879"/>
      <c r="KXB1505" s="879"/>
      <c r="KXC1505" s="879"/>
      <c r="KXD1505" s="879"/>
      <c r="KXE1505" s="879"/>
      <c r="KXF1505" s="879"/>
      <c r="KXG1505" s="879"/>
      <c r="KXH1505" s="879"/>
      <c r="KXI1505" s="879"/>
      <c r="KXJ1505" s="879"/>
      <c r="KXK1505" s="879"/>
      <c r="KXL1505" s="879"/>
      <c r="KXM1505" s="879"/>
      <c r="KXN1505" s="879"/>
      <c r="KXO1505" s="879"/>
      <c r="KXP1505" s="879"/>
      <c r="KXQ1505" s="879"/>
      <c r="KXR1505" s="879"/>
      <c r="KXS1505" s="879"/>
      <c r="KXT1505" s="879"/>
      <c r="KXU1505" s="879"/>
      <c r="KXV1505" s="879"/>
      <c r="KXW1505" s="879"/>
      <c r="KXX1505" s="879"/>
      <c r="KXY1505" s="879"/>
      <c r="KXZ1505" s="879"/>
      <c r="KYA1505" s="879"/>
      <c r="KYB1505" s="879"/>
      <c r="KYC1505" s="879"/>
      <c r="KYD1505" s="879"/>
      <c r="KYE1505" s="879"/>
      <c r="KYF1505" s="879"/>
      <c r="KYG1505" s="879"/>
      <c r="KYH1505" s="879"/>
      <c r="KYI1505" s="879"/>
      <c r="KYJ1505" s="879"/>
      <c r="KYK1505" s="879"/>
      <c r="KYL1505" s="879"/>
      <c r="KYM1505" s="879"/>
      <c r="KYN1505" s="879"/>
      <c r="KYO1505" s="879"/>
      <c r="KYP1505" s="879"/>
      <c r="KYQ1505" s="879"/>
      <c r="KYR1505" s="879"/>
      <c r="KYS1505" s="879"/>
      <c r="KYT1505" s="879"/>
      <c r="KYU1505" s="879"/>
      <c r="KYV1505" s="879"/>
      <c r="KYW1505" s="879"/>
      <c r="KYX1505" s="879"/>
      <c r="KYY1505" s="879"/>
      <c r="KYZ1505" s="879"/>
      <c r="KZA1505" s="879"/>
      <c r="KZB1505" s="879"/>
      <c r="KZC1505" s="879"/>
      <c r="KZD1505" s="879"/>
      <c r="KZE1505" s="879"/>
      <c r="KZF1505" s="879"/>
      <c r="KZG1505" s="879"/>
      <c r="KZH1505" s="879"/>
      <c r="KZI1505" s="879"/>
      <c r="KZJ1505" s="879"/>
      <c r="KZK1505" s="879"/>
      <c r="KZL1505" s="879"/>
      <c r="KZM1505" s="879"/>
      <c r="KZN1505" s="879"/>
      <c r="KZO1505" s="879"/>
      <c r="KZP1505" s="879"/>
      <c r="KZQ1505" s="879"/>
      <c r="KZR1505" s="879"/>
      <c r="KZS1505" s="879"/>
      <c r="KZT1505" s="879"/>
      <c r="KZU1505" s="879"/>
      <c r="KZV1505" s="879"/>
      <c r="KZW1505" s="879"/>
      <c r="KZX1505" s="879"/>
      <c r="KZY1505" s="879"/>
      <c r="KZZ1505" s="879"/>
      <c r="LAA1505" s="879"/>
      <c r="LAB1505" s="879"/>
      <c r="LAC1505" s="879"/>
      <c r="LAD1505" s="879"/>
      <c r="LAE1505" s="879"/>
      <c r="LAF1505" s="879"/>
      <c r="LAG1505" s="879"/>
      <c r="LAH1505" s="879"/>
      <c r="LAI1505" s="879"/>
      <c r="LAJ1505" s="879"/>
      <c r="LAK1505" s="879"/>
      <c r="LAL1505" s="879"/>
      <c r="LAM1505" s="879"/>
      <c r="LAN1505" s="879"/>
      <c r="LAO1505" s="879"/>
      <c r="LAP1505" s="879"/>
      <c r="LAQ1505" s="879"/>
      <c r="LAR1505" s="879"/>
      <c r="LAS1505" s="879"/>
      <c r="LAT1505" s="879"/>
      <c r="LAU1505" s="879"/>
      <c r="LAV1505" s="879"/>
      <c r="LAW1505" s="879"/>
      <c r="LAX1505" s="879"/>
      <c r="LAY1505" s="879"/>
      <c r="LAZ1505" s="879"/>
      <c r="LBA1505" s="879"/>
      <c r="LBB1505" s="879"/>
      <c r="LBC1505" s="879"/>
      <c r="LBD1505" s="879"/>
      <c r="LBE1505" s="879"/>
      <c r="LBF1505" s="879"/>
      <c r="LBG1505" s="879"/>
      <c r="LBH1505" s="879"/>
      <c r="LBI1505" s="879"/>
      <c r="LBJ1505" s="879"/>
      <c r="LBK1505" s="879"/>
      <c r="LBL1505" s="879"/>
      <c r="LBM1505" s="879"/>
      <c r="LBN1505" s="879"/>
      <c r="LBO1505" s="879"/>
      <c r="LBP1505" s="879"/>
      <c r="LBQ1505" s="879"/>
      <c r="LBR1505" s="879"/>
      <c r="LBS1505" s="879"/>
      <c r="LBT1505" s="879"/>
      <c r="LBU1505" s="879"/>
      <c r="LBV1505" s="879"/>
      <c r="LBW1505" s="879"/>
      <c r="LBX1505" s="879"/>
      <c r="LBY1505" s="879"/>
      <c r="LBZ1505" s="879"/>
      <c r="LCA1505" s="879"/>
      <c r="LCB1505" s="879"/>
      <c r="LCC1505" s="879"/>
      <c r="LCD1505" s="879"/>
      <c r="LCE1505" s="879"/>
      <c r="LCF1505" s="879"/>
      <c r="LCG1505" s="879"/>
      <c r="LCH1505" s="879"/>
      <c r="LCI1505" s="879"/>
      <c r="LCJ1505" s="879"/>
      <c r="LCK1505" s="879"/>
      <c r="LCL1505" s="879"/>
      <c r="LCM1505" s="879"/>
      <c r="LCN1505" s="879"/>
      <c r="LCO1505" s="879"/>
      <c r="LCP1505" s="879"/>
      <c r="LCQ1505" s="879"/>
      <c r="LCR1505" s="879"/>
      <c r="LCS1505" s="879"/>
      <c r="LCT1505" s="879"/>
      <c r="LCU1505" s="879"/>
      <c r="LCV1505" s="879"/>
      <c r="LCW1505" s="879"/>
      <c r="LCX1505" s="879"/>
      <c r="LCY1505" s="879"/>
      <c r="LCZ1505" s="879"/>
      <c r="LDA1505" s="879"/>
      <c r="LDB1505" s="879"/>
      <c r="LDC1505" s="879"/>
      <c r="LDD1505" s="879"/>
      <c r="LDE1505" s="879"/>
      <c r="LDF1505" s="879"/>
      <c r="LDG1505" s="879"/>
      <c r="LDH1505" s="879"/>
      <c r="LDI1505" s="879"/>
      <c r="LDJ1505" s="879"/>
      <c r="LDK1505" s="879"/>
      <c r="LDL1505" s="879"/>
      <c r="LDM1505" s="879"/>
      <c r="LDN1505" s="879"/>
      <c r="LDO1505" s="879"/>
      <c r="LDP1505" s="879"/>
      <c r="LDQ1505" s="879"/>
      <c r="LDR1505" s="879"/>
      <c r="LDS1505" s="879"/>
      <c r="LDT1505" s="879"/>
      <c r="LDU1505" s="879"/>
      <c r="LDV1505" s="879"/>
      <c r="LDW1505" s="879"/>
      <c r="LDX1505" s="879"/>
      <c r="LDY1505" s="879"/>
      <c r="LDZ1505" s="879"/>
      <c r="LEA1505" s="879"/>
      <c r="LEB1505" s="879"/>
      <c r="LEC1505" s="879"/>
      <c r="LED1505" s="879"/>
      <c r="LEE1505" s="879"/>
      <c r="LEF1505" s="879"/>
      <c r="LEG1505" s="879"/>
      <c r="LEH1505" s="879"/>
      <c r="LEI1505" s="879"/>
      <c r="LEJ1505" s="879"/>
      <c r="LEK1505" s="879"/>
      <c r="LEL1505" s="879"/>
      <c r="LEM1505" s="879"/>
      <c r="LEN1505" s="879"/>
      <c r="LEO1505" s="879"/>
      <c r="LEP1505" s="879"/>
      <c r="LEQ1505" s="879"/>
      <c r="LER1505" s="879"/>
      <c r="LES1505" s="879"/>
      <c r="LET1505" s="879"/>
      <c r="LEU1505" s="879"/>
      <c r="LEV1505" s="879"/>
      <c r="LEW1505" s="879"/>
      <c r="LEX1505" s="879"/>
      <c r="LEY1505" s="879"/>
      <c r="LEZ1505" s="879"/>
      <c r="LFA1505" s="879"/>
      <c r="LFB1505" s="879"/>
      <c r="LFC1505" s="879"/>
      <c r="LFD1505" s="879"/>
      <c r="LFE1505" s="879"/>
      <c r="LFF1505" s="879"/>
      <c r="LFG1505" s="879"/>
      <c r="LFH1505" s="879"/>
      <c r="LFI1505" s="879"/>
      <c r="LFJ1505" s="879"/>
      <c r="LFK1505" s="879"/>
      <c r="LFL1505" s="879"/>
      <c r="LFM1505" s="879"/>
      <c r="LFN1505" s="879"/>
      <c r="LFO1505" s="879"/>
      <c r="LFP1505" s="879"/>
      <c r="LFQ1505" s="879"/>
      <c r="LFR1505" s="879"/>
      <c r="LFS1505" s="879"/>
      <c r="LFT1505" s="879"/>
      <c r="LFU1505" s="879"/>
      <c r="LFV1505" s="879"/>
      <c r="LFW1505" s="879"/>
      <c r="LFX1505" s="879"/>
      <c r="LFY1505" s="879"/>
      <c r="LFZ1505" s="879"/>
      <c r="LGA1505" s="879"/>
      <c r="LGB1505" s="879"/>
      <c r="LGC1505" s="879"/>
      <c r="LGD1505" s="879"/>
      <c r="LGE1505" s="879"/>
      <c r="LGF1505" s="879"/>
      <c r="LGG1505" s="879"/>
      <c r="LGH1505" s="879"/>
      <c r="LGI1505" s="879"/>
      <c r="LGJ1505" s="879"/>
      <c r="LGK1505" s="879"/>
      <c r="LGL1505" s="879"/>
      <c r="LGM1505" s="879"/>
      <c r="LGN1505" s="879"/>
      <c r="LGO1505" s="879"/>
      <c r="LGP1505" s="879"/>
      <c r="LGQ1505" s="879"/>
      <c r="LGR1505" s="879"/>
      <c r="LGS1505" s="879"/>
      <c r="LGT1505" s="879"/>
      <c r="LGU1505" s="879"/>
      <c r="LGV1505" s="879"/>
      <c r="LGW1505" s="879"/>
      <c r="LGX1505" s="879"/>
      <c r="LGY1505" s="879"/>
      <c r="LGZ1505" s="879"/>
      <c r="LHA1505" s="879"/>
      <c r="LHB1505" s="879"/>
      <c r="LHC1505" s="879"/>
      <c r="LHD1505" s="879"/>
      <c r="LHE1505" s="879"/>
      <c r="LHF1505" s="879"/>
      <c r="LHG1505" s="879"/>
      <c r="LHH1505" s="879"/>
      <c r="LHI1505" s="879"/>
      <c r="LHJ1505" s="879"/>
      <c r="LHK1505" s="879"/>
      <c r="LHL1505" s="879"/>
      <c r="LHM1505" s="879"/>
      <c r="LHN1505" s="879"/>
      <c r="LHO1505" s="879"/>
      <c r="LHP1505" s="879"/>
      <c r="LHQ1505" s="879"/>
      <c r="LHR1505" s="879"/>
      <c r="LHS1505" s="879"/>
      <c r="LHT1505" s="879"/>
      <c r="LHU1505" s="879"/>
      <c r="LHV1505" s="879"/>
      <c r="LHW1505" s="879"/>
      <c r="LHX1505" s="879"/>
      <c r="LHY1505" s="879"/>
      <c r="LHZ1505" s="879"/>
      <c r="LIA1505" s="879"/>
      <c r="LIB1505" s="879"/>
      <c r="LIC1505" s="879"/>
      <c r="LID1505" s="879"/>
      <c r="LIE1505" s="879"/>
      <c r="LIF1505" s="879"/>
      <c r="LIG1505" s="879"/>
      <c r="LIH1505" s="879"/>
      <c r="LII1505" s="879"/>
      <c r="LIJ1505" s="879"/>
      <c r="LIK1505" s="879"/>
      <c r="LIL1505" s="879"/>
      <c r="LIM1505" s="879"/>
      <c r="LIN1505" s="879"/>
      <c r="LIO1505" s="879"/>
      <c r="LIP1505" s="879"/>
      <c r="LIQ1505" s="879"/>
      <c r="LIR1505" s="879"/>
      <c r="LIS1505" s="879"/>
      <c r="LIT1505" s="879"/>
      <c r="LIU1505" s="879"/>
      <c r="LIV1505" s="879"/>
      <c r="LIW1505" s="879"/>
      <c r="LIX1505" s="879"/>
      <c r="LIY1505" s="879"/>
      <c r="LIZ1505" s="879"/>
      <c r="LJA1505" s="879"/>
      <c r="LJB1505" s="879"/>
      <c r="LJC1505" s="879"/>
      <c r="LJD1505" s="879"/>
      <c r="LJE1505" s="879"/>
      <c r="LJF1505" s="879"/>
      <c r="LJG1505" s="879"/>
      <c r="LJH1505" s="879"/>
      <c r="LJI1505" s="879"/>
      <c r="LJJ1505" s="879"/>
      <c r="LJK1505" s="879"/>
      <c r="LJL1505" s="879"/>
      <c r="LJM1505" s="879"/>
      <c r="LJN1505" s="879"/>
      <c r="LJO1505" s="879"/>
      <c r="LJP1505" s="879"/>
      <c r="LJQ1505" s="879"/>
      <c r="LJR1505" s="879"/>
      <c r="LJS1505" s="879"/>
      <c r="LJT1505" s="879"/>
      <c r="LJU1505" s="879"/>
      <c r="LJV1505" s="879"/>
      <c r="LJW1505" s="879"/>
      <c r="LJX1505" s="879"/>
      <c r="LJY1505" s="879"/>
      <c r="LJZ1505" s="879"/>
      <c r="LKA1505" s="879"/>
      <c r="LKB1505" s="879"/>
      <c r="LKC1505" s="879"/>
      <c r="LKD1505" s="879"/>
      <c r="LKE1505" s="879"/>
      <c r="LKF1505" s="879"/>
      <c r="LKG1505" s="879"/>
      <c r="LKH1505" s="879"/>
      <c r="LKI1505" s="879"/>
      <c r="LKJ1505" s="879"/>
      <c r="LKK1505" s="879"/>
      <c r="LKL1505" s="879"/>
      <c r="LKM1505" s="879"/>
      <c r="LKN1505" s="879"/>
      <c r="LKO1505" s="879"/>
      <c r="LKP1505" s="879"/>
      <c r="LKQ1505" s="879"/>
      <c r="LKR1505" s="879"/>
      <c r="LKS1505" s="879"/>
      <c r="LKT1505" s="879"/>
      <c r="LKU1505" s="879"/>
      <c r="LKV1505" s="879"/>
      <c r="LKW1505" s="879"/>
      <c r="LKX1505" s="879"/>
      <c r="LKY1505" s="879"/>
      <c r="LKZ1505" s="879"/>
      <c r="LLA1505" s="879"/>
      <c r="LLB1505" s="879"/>
      <c r="LLC1505" s="879"/>
      <c r="LLD1505" s="879"/>
      <c r="LLE1505" s="879"/>
      <c r="LLF1505" s="879"/>
      <c r="LLG1505" s="879"/>
      <c r="LLH1505" s="879"/>
      <c r="LLI1505" s="879"/>
      <c r="LLJ1505" s="879"/>
      <c r="LLK1505" s="879"/>
      <c r="LLL1505" s="879"/>
      <c r="LLM1505" s="879"/>
      <c r="LLN1505" s="879"/>
      <c r="LLO1505" s="879"/>
      <c r="LLP1505" s="879"/>
      <c r="LLQ1505" s="879"/>
      <c r="LLR1505" s="879"/>
      <c r="LLS1505" s="879"/>
      <c r="LLT1505" s="879"/>
      <c r="LLU1505" s="879"/>
      <c r="LLV1505" s="879"/>
      <c r="LLW1505" s="879"/>
      <c r="LLX1505" s="879"/>
      <c r="LLY1505" s="879"/>
      <c r="LLZ1505" s="879"/>
      <c r="LMA1505" s="879"/>
      <c r="LMB1505" s="879"/>
      <c r="LMC1505" s="879"/>
      <c r="LMD1505" s="879"/>
      <c r="LME1505" s="879"/>
      <c r="LMF1505" s="879"/>
      <c r="LMG1505" s="879"/>
      <c r="LMH1505" s="879"/>
      <c r="LMI1505" s="879"/>
      <c r="LMJ1505" s="879"/>
      <c r="LMK1505" s="879"/>
      <c r="LML1505" s="879"/>
      <c r="LMM1505" s="879"/>
      <c r="LMN1505" s="879"/>
      <c r="LMO1505" s="879"/>
      <c r="LMP1505" s="879"/>
      <c r="LMQ1505" s="879"/>
      <c r="LMR1505" s="879"/>
      <c r="LMS1505" s="879"/>
      <c r="LMT1505" s="879"/>
      <c r="LMU1505" s="879"/>
      <c r="LMV1505" s="879"/>
      <c r="LMW1505" s="879"/>
      <c r="LMX1505" s="879"/>
      <c r="LMY1505" s="879"/>
      <c r="LMZ1505" s="879"/>
      <c r="LNA1505" s="879"/>
      <c r="LNB1505" s="879"/>
      <c r="LNC1505" s="879"/>
      <c r="LND1505" s="879"/>
      <c r="LNE1505" s="879"/>
      <c r="LNF1505" s="879"/>
      <c r="LNG1505" s="879"/>
      <c r="LNH1505" s="879"/>
      <c r="LNI1505" s="879"/>
      <c r="LNJ1505" s="879"/>
      <c r="LNK1505" s="879"/>
      <c r="LNL1505" s="879"/>
      <c r="LNM1505" s="879"/>
      <c r="LNN1505" s="879"/>
      <c r="LNO1505" s="879"/>
      <c r="LNP1505" s="879"/>
      <c r="LNQ1505" s="879"/>
      <c r="LNR1505" s="879"/>
      <c r="LNS1505" s="879"/>
      <c r="LNT1505" s="879"/>
      <c r="LNU1505" s="879"/>
      <c r="LNV1505" s="879"/>
      <c r="LNW1505" s="879"/>
      <c r="LNX1505" s="879"/>
      <c r="LNY1505" s="879"/>
      <c r="LNZ1505" s="879"/>
      <c r="LOA1505" s="879"/>
      <c r="LOB1505" s="879"/>
      <c r="LOC1505" s="879"/>
      <c r="LOD1505" s="879"/>
      <c r="LOE1505" s="879"/>
      <c r="LOF1505" s="879"/>
      <c r="LOG1505" s="879"/>
      <c r="LOH1505" s="879"/>
      <c r="LOI1505" s="879"/>
      <c r="LOJ1505" s="879"/>
      <c r="LOK1505" s="879"/>
      <c r="LOL1505" s="879"/>
      <c r="LOM1505" s="879"/>
      <c r="LON1505" s="879"/>
      <c r="LOO1505" s="879"/>
      <c r="LOP1505" s="879"/>
      <c r="LOQ1505" s="879"/>
      <c r="LOR1505" s="879"/>
      <c r="LOS1505" s="879"/>
      <c r="LOT1505" s="879"/>
      <c r="LOU1505" s="879"/>
      <c r="LOV1505" s="879"/>
      <c r="LOW1505" s="879"/>
      <c r="LOX1505" s="879"/>
      <c r="LOY1505" s="879"/>
      <c r="LOZ1505" s="879"/>
      <c r="LPA1505" s="879"/>
      <c r="LPB1505" s="879"/>
      <c r="LPC1505" s="879"/>
      <c r="LPD1505" s="879"/>
      <c r="LPE1505" s="879"/>
      <c r="LPF1505" s="879"/>
      <c r="LPG1505" s="879"/>
      <c r="LPH1505" s="879"/>
      <c r="LPI1505" s="879"/>
      <c r="LPJ1505" s="879"/>
      <c r="LPK1505" s="879"/>
      <c r="LPL1505" s="879"/>
      <c r="LPM1505" s="879"/>
      <c r="LPN1505" s="879"/>
      <c r="LPO1505" s="879"/>
      <c r="LPP1505" s="879"/>
      <c r="LPQ1505" s="879"/>
      <c r="LPR1505" s="879"/>
      <c r="LPS1505" s="879"/>
      <c r="LPT1505" s="879"/>
      <c r="LPU1505" s="879"/>
      <c r="LPV1505" s="879"/>
      <c r="LPW1505" s="879"/>
      <c r="LPX1505" s="879"/>
      <c r="LPY1505" s="879"/>
      <c r="LPZ1505" s="879"/>
      <c r="LQA1505" s="879"/>
      <c r="LQB1505" s="879"/>
      <c r="LQC1505" s="879"/>
      <c r="LQD1505" s="879"/>
      <c r="LQE1505" s="879"/>
      <c r="LQF1505" s="879"/>
      <c r="LQG1505" s="879"/>
      <c r="LQH1505" s="879"/>
      <c r="LQI1505" s="879"/>
      <c r="LQJ1505" s="879"/>
      <c r="LQK1505" s="879"/>
      <c r="LQL1505" s="879"/>
      <c r="LQM1505" s="879"/>
      <c r="LQN1505" s="879"/>
      <c r="LQO1505" s="879"/>
      <c r="LQP1505" s="879"/>
      <c r="LQQ1505" s="879"/>
      <c r="LQR1505" s="879"/>
      <c r="LQS1505" s="879"/>
      <c r="LQT1505" s="879"/>
      <c r="LQU1505" s="879"/>
      <c r="LQV1505" s="879"/>
      <c r="LQW1505" s="879"/>
      <c r="LQX1505" s="879"/>
      <c r="LQY1505" s="879"/>
      <c r="LQZ1505" s="879"/>
      <c r="LRA1505" s="879"/>
      <c r="LRB1505" s="879"/>
      <c r="LRC1505" s="879"/>
      <c r="LRD1505" s="879"/>
      <c r="LRE1505" s="879"/>
      <c r="LRF1505" s="879"/>
      <c r="LRG1505" s="879"/>
      <c r="LRH1505" s="879"/>
      <c r="LRI1505" s="879"/>
      <c r="LRJ1505" s="879"/>
      <c r="LRK1505" s="879"/>
      <c r="LRL1505" s="879"/>
      <c r="LRM1505" s="879"/>
      <c r="LRN1505" s="879"/>
      <c r="LRO1505" s="879"/>
      <c r="LRP1505" s="879"/>
      <c r="LRQ1505" s="879"/>
      <c r="LRR1505" s="879"/>
      <c r="LRS1505" s="879"/>
      <c r="LRT1505" s="879"/>
      <c r="LRU1505" s="879"/>
      <c r="LRV1505" s="879"/>
      <c r="LRW1505" s="879"/>
      <c r="LRX1505" s="879"/>
      <c r="LRY1505" s="879"/>
      <c r="LRZ1505" s="879"/>
      <c r="LSA1505" s="879"/>
      <c r="LSB1505" s="879"/>
      <c r="LSC1505" s="879"/>
      <c r="LSD1505" s="879"/>
      <c r="LSE1505" s="879"/>
      <c r="LSF1505" s="879"/>
      <c r="LSG1505" s="879"/>
      <c r="LSH1505" s="879"/>
      <c r="LSI1505" s="879"/>
      <c r="LSJ1505" s="879"/>
      <c r="LSK1505" s="879"/>
      <c r="LSL1505" s="879"/>
      <c r="LSM1505" s="879"/>
      <c r="LSN1505" s="879"/>
      <c r="LSO1505" s="879"/>
      <c r="LSP1505" s="879"/>
      <c r="LSQ1505" s="879"/>
      <c r="LSR1505" s="879"/>
      <c r="LSS1505" s="879"/>
      <c r="LST1505" s="879"/>
      <c r="LSU1505" s="879"/>
      <c r="LSV1505" s="879"/>
      <c r="LSW1505" s="879"/>
      <c r="LSX1505" s="879"/>
      <c r="LSY1505" s="879"/>
      <c r="LSZ1505" s="879"/>
      <c r="LTA1505" s="879"/>
      <c r="LTB1505" s="879"/>
      <c r="LTC1505" s="879"/>
      <c r="LTD1505" s="879"/>
      <c r="LTE1505" s="879"/>
      <c r="LTF1505" s="879"/>
      <c r="LTG1505" s="879"/>
      <c r="LTH1505" s="879"/>
      <c r="LTI1505" s="879"/>
      <c r="LTJ1505" s="879"/>
      <c r="LTK1505" s="879"/>
      <c r="LTL1505" s="879"/>
      <c r="LTM1505" s="879"/>
      <c r="LTN1505" s="879"/>
      <c r="LTO1505" s="879"/>
      <c r="LTP1505" s="879"/>
      <c r="LTQ1505" s="879"/>
      <c r="LTR1505" s="879"/>
      <c r="LTS1505" s="879"/>
      <c r="LTT1505" s="879"/>
      <c r="LTU1505" s="879"/>
      <c r="LTV1505" s="879"/>
      <c r="LTW1505" s="879"/>
      <c r="LTX1505" s="879"/>
      <c r="LTY1505" s="879"/>
      <c r="LTZ1505" s="879"/>
      <c r="LUA1505" s="879"/>
      <c r="LUB1505" s="879"/>
      <c r="LUC1505" s="879"/>
      <c r="LUD1505" s="879"/>
      <c r="LUE1505" s="879"/>
      <c r="LUF1505" s="879"/>
      <c r="LUG1505" s="879"/>
      <c r="LUH1505" s="879"/>
      <c r="LUI1505" s="879"/>
      <c r="LUJ1505" s="879"/>
      <c r="LUK1505" s="879"/>
      <c r="LUL1505" s="879"/>
      <c r="LUM1505" s="879"/>
      <c r="LUN1505" s="879"/>
      <c r="LUO1505" s="879"/>
      <c r="LUP1505" s="879"/>
      <c r="LUQ1505" s="879"/>
      <c r="LUR1505" s="879"/>
      <c r="LUS1505" s="879"/>
      <c r="LUT1505" s="879"/>
      <c r="LUU1505" s="879"/>
      <c r="LUV1505" s="879"/>
      <c r="LUW1505" s="879"/>
      <c r="LUX1505" s="879"/>
      <c r="LUY1505" s="879"/>
      <c r="LUZ1505" s="879"/>
      <c r="LVA1505" s="879"/>
      <c r="LVB1505" s="879"/>
      <c r="LVC1505" s="879"/>
      <c r="LVD1505" s="879"/>
      <c r="LVE1505" s="879"/>
      <c r="LVF1505" s="879"/>
      <c r="LVG1505" s="879"/>
      <c r="LVH1505" s="879"/>
      <c r="LVI1505" s="879"/>
      <c r="LVJ1505" s="879"/>
      <c r="LVK1505" s="879"/>
      <c r="LVL1505" s="879"/>
      <c r="LVM1505" s="879"/>
      <c r="LVN1505" s="879"/>
      <c r="LVO1505" s="879"/>
      <c r="LVP1505" s="879"/>
      <c r="LVQ1505" s="879"/>
      <c r="LVR1505" s="879"/>
      <c r="LVS1505" s="879"/>
      <c r="LVT1505" s="879"/>
      <c r="LVU1505" s="879"/>
      <c r="LVV1505" s="879"/>
      <c r="LVW1505" s="879"/>
      <c r="LVX1505" s="879"/>
      <c r="LVY1505" s="879"/>
      <c r="LVZ1505" s="879"/>
      <c r="LWA1505" s="879"/>
      <c r="LWB1505" s="879"/>
      <c r="LWC1505" s="879"/>
      <c r="LWD1505" s="879"/>
      <c r="LWE1505" s="879"/>
      <c r="LWF1505" s="879"/>
      <c r="LWG1505" s="879"/>
      <c r="LWH1505" s="879"/>
      <c r="LWI1505" s="879"/>
      <c r="LWJ1505" s="879"/>
      <c r="LWK1505" s="879"/>
      <c r="LWL1505" s="879"/>
      <c r="LWM1505" s="879"/>
      <c r="LWN1505" s="879"/>
      <c r="LWO1505" s="879"/>
      <c r="LWP1505" s="879"/>
      <c r="LWQ1505" s="879"/>
      <c r="LWR1505" s="879"/>
      <c r="LWS1505" s="879"/>
      <c r="LWT1505" s="879"/>
      <c r="LWU1505" s="879"/>
      <c r="LWV1505" s="879"/>
      <c r="LWW1505" s="879"/>
      <c r="LWX1505" s="879"/>
      <c r="LWY1505" s="879"/>
      <c r="LWZ1505" s="879"/>
      <c r="LXA1505" s="879"/>
      <c r="LXB1505" s="879"/>
      <c r="LXC1505" s="879"/>
      <c r="LXD1505" s="879"/>
      <c r="LXE1505" s="879"/>
      <c r="LXF1505" s="879"/>
      <c r="LXG1505" s="879"/>
      <c r="LXH1505" s="879"/>
      <c r="LXI1505" s="879"/>
      <c r="LXJ1505" s="879"/>
      <c r="LXK1505" s="879"/>
      <c r="LXL1505" s="879"/>
      <c r="LXM1505" s="879"/>
      <c r="LXN1505" s="879"/>
      <c r="LXO1505" s="879"/>
      <c r="LXP1505" s="879"/>
      <c r="LXQ1505" s="879"/>
      <c r="LXR1505" s="879"/>
      <c r="LXS1505" s="879"/>
      <c r="LXT1505" s="879"/>
      <c r="LXU1505" s="879"/>
      <c r="LXV1505" s="879"/>
      <c r="LXW1505" s="879"/>
      <c r="LXX1505" s="879"/>
      <c r="LXY1505" s="879"/>
      <c r="LXZ1505" s="879"/>
      <c r="LYA1505" s="879"/>
      <c r="LYB1505" s="879"/>
      <c r="LYC1505" s="879"/>
      <c r="LYD1505" s="879"/>
      <c r="LYE1505" s="879"/>
      <c r="LYF1505" s="879"/>
      <c r="LYG1505" s="879"/>
      <c r="LYH1505" s="879"/>
      <c r="LYI1505" s="879"/>
      <c r="LYJ1505" s="879"/>
      <c r="LYK1505" s="879"/>
      <c r="LYL1505" s="879"/>
      <c r="LYM1505" s="879"/>
      <c r="LYN1505" s="879"/>
      <c r="LYO1505" s="879"/>
      <c r="LYP1505" s="879"/>
      <c r="LYQ1505" s="879"/>
      <c r="LYR1505" s="879"/>
      <c r="LYS1505" s="879"/>
      <c r="LYT1505" s="879"/>
      <c r="LYU1505" s="879"/>
      <c r="LYV1505" s="879"/>
      <c r="LYW1505" s="879"/>
      <c r="LYX1505" s="879"/>
      <c r="LYY1505" s="879"/>
      <c r="LYZ1505" s="879"/>
      <c r="LZA1505" s="879"/>
      <c r="LZB1505" s="879"/>
      <c r="LZC1505" s="879"/>
      <c r="LZD1505" s="879"/>
      <c r="LZE1505" s="879"/>
      <c r="LZF1505" s="879"/>
      <c r="LZG1505" s="879"/>
      <c r="LZH1505" s="879"/>
      <c r="LZI1505" s="879"/>
      <c r="LZJ1505" s="879"/>
      <c r="LZK1505" s="879"/>
      <c r="LZL1505" s="879"/>
      <c r="LZM1505" s="879"/>
      <c r="LZN1505" s="879"/>
      <c r="LZO1505" s="879"/>
      <c r="LZP1505" s="879"/>
      <c r="LZQ1505" s="879"/>
      <c r="LZR1505" s="879"/>
      <c r="LZS1505" s="879"/>
      <c r="LZT1505" s="879"/>
      <c r="LZU1505" s="879"/>
      <c r="LZV1505" s="879"/>
      <c r="LZW1505" s="879"/>
      <c r="LZX1505" s="879"/>
      <c r="LZY1505" s="879"/>
      <c r="LZZ1505" s="879"/>
      <c r="MAA1505" s="879"/>
      <c r="MAB1505" s="879"/>
      <c r="MAC1505" s="879"/>
      <c r="MAD1505" s="879"/>
      <c r="MAE1505" s="879"/>
      <c r="MAF1505" s="879"/>
      <c r="MAG1505" s="879"/>
      <c r="MAH1505" s="879"/>
      <c r="MAI1505" s="879"/>
      <c r="MAJ1505" s="879"/>
      <c r="MAK1505" s="879"/>
      <c r="MAL1505" s="879"/>
      <c r="MAM1505" s="879"/>
      <c r="MAN1505" s="879"/>
      <c r="MAO1505" s="879"/>
      <c r="MAP1505" s="879"/>
      <c r="MAQ1505" s="879"/>
      <c r="MAR1505" s="879"/>
      <c r="MAS1505" s="879"/>
      <c r="MAT1505" s="879"/>
      <c r="MAU1505" s="879"/>
      <c r="MAV1505" s="879"/>
      <c r="MAW1505" s="879"/>
      <c r="MAX1505" s="879"/>
      <c r="MAY1505" s="879"/>
      <c r="MAZ1505" s="879"/>
      <c r="MBA1505" s="879"/>
      <c r="MBB1505" s="879"/>
      <c r="MBC1505" s="879"/>
      <c r="MBD1505" s="879"/>
      <c r="MBE1505" s="879"/>
      <c r="MBF1505" s="879"/>
      <c r="MBG1505" s="879"/>
      <c r="MBH1505" s="879"/>
      <c r="MBI1505" s="879"/>
      <c r="MBJ1505" s="879"/>
      <c r="MBK1505" s="879"/>
      <c r="MBL1505" s="879"/>
      <c r="MBM1505" s="879"/>
      <c r="MBN1505" s="879"/>
      <c r="MBO1505" s="879"/>
      <c r="MBP1505" s="879"/>
      <c r="MBQ1505" s="879"/>
      <c r="MBR1505" s="879"/>
      <c r="MBS1505" s="879"/>
      <c r="MBT1505" s="879"/>
      <c r="MBU1505" s="879"/>
      <c r="MBV1505" s="879"/>
      <c r="MBW1505" s="879"/>
      <c r="MBX1505" s="879"/>
      <c r="MBY1505" s="879"/>
      <c r="MBZ1505" s="879"/>
      <c r="MCA1505" s="879"/>
      <c r="MCB1505" s="879"/>
      <c r="MCC1505" s="879"/>
      <c r="MCD1505" s="879"/>
      <c r="MCE1505" s="879"/>
      <c r="MCF1505" s="879"/>
      <c r="MCG1505" s="879"/>
      <c r="MCH1505" s="879"/>
      <c r="MCI1505" s="879"/>
      <c r="MCJ1505" s="879"/>
      <c r="MCK1505" s="879"/>
      <c r="MCL1505" s="879"/>
      <c r="MCM1505" s="879"/>
      <c r="MCN1505" s="879"/>
      <c r="MCO1505" s="879"/>
      <c r="MCP1505" s="879"/>
      <c r="MCQ1505" s="879"/>
      <c r="MCR1505" s="879"/>
      <c r="MCS1505" s="879"/>
      <c r="MCT1505" s="879"/>
      <c r="MCU1505" s="879"/>
      <c r="MCV1505" s="879"/>
      <c r="MCW1505" s="879"/>
      <c r="MCX1505" s="879"/>
      <c r="MCY1505" s="879"/>
      <c r="MCZ1505" s="879"/>
      <c r="MDA1505" s="879"/>
      <c r="MDB1505" s="879"/>
      <c r="MDC1505" s="879"/>
      <c r="MDD1505" s="879"/>
      <c r="MDE1505" s="879"/>
      <c r="MDF1505" s="879"/>
      <c r="MDG1505" s="879"/>
      <c r="MDH1505" s="879"/>
      <c r="MDI1505" s="879"/>
      <c r="MDJ1505" s="879"/>
      <c r="MDK1505" s="879"/>
      <c r="MDL1505" s="879"/>
      <c r="MDM1505" s="879"/>
      <c r="MDN1505" s="879"/>
      <c r="MDO1505" s="879"/>
      <c r="MDP1505" s="879"/>
      <c r="MDQ1505" s="879"/>
      <c r="MDR1505" s="879"/>
      <c r="MDS1505" s="879"/>
      <c r="MDT1505" s="879"/>
      <c r="MDU1505" s="879"/>
      <c r="MDV1505" s="879"/>
      <c r="MDW1505" s="879"/>
      <c r="MDX1505" s="879"/>
      <c r="MDY1505" s="879"/>
      <c r="MDZ1505" s="879"/>
      <c r="MEA1505" s="879"/>
      <c r="MEB1505" s="879"/>
      <c r="MEC1505" s="879"/>
      <c r="MED1505" s="879"/>
      <c r="MEE1505" s="879"/>
      <c r="MEF1505" s="879"/>
      <c r="MEG1505" s="879"/>
      <c r="MEH1505" s="879"/>
      <c r="MEI1505" s="879"/>
      <c r="MEJ1505" s="879"/>
      <c r="MEK1505" s="879"/>
      <c r="MEL1505" s="879"/>
      <c r="MEM1505" s="879"/>
      <c r="MEN1505" s="879"/>
      <c r="MEO1505" s="879"/>
      <c r="MEP1505" s="879"/>
      <c r="MEQ1505" s="879"/>
      <c r="MER1505" s="879"/>
      <c r="MES1505" s="879"/>
      <c r="MET1505" s="879"/>
      <c r="MEU1505" s="879"/>
      <c r="MEV1505" s="879"/>
      <c r="MEW1505" s="879"/>
      <c r="MEX1505" s="879"/>
      <c r="MEY1505" s="879"/>
      <c r="MEZ1505" s="879"/>
      <c r="MFA1505" s="879"/>
      <c r="MFB1505" s="879"/>
      <c r="MFC1505" s="879"/>
      <c r="MFD1505" s="879"/>
      <c r="MFE1505" s="879"/>
      <c r="MFF1505" s="879"/>
      <c r="MFG1505" s="879"/>
      <c r="MFH1505" s="879"/>
      <c r="MFI1505" s="879"/>
      <c r="MFJ1505" s="879"/>
      <c r="MFK1505" s="879"/>
      <c r="MFL1505" s="879"/>
      <c r="MFM1505" s="879"/>
      <c r="MFN1505" s="879"/>
      <c r="MFO1505" s="879"/>
      <c r="MFP1505" s="879"/>
      <c r="MFQ1505" s="879"/>
      <c r="MFR1505" s="879"/>
      <c r="MFS1505" s="879"/>
      <c r="MFT1505" s="879"/>
      <c r="MFU1505" s="879"/>
      <c r="MFV1505" s="879"/>
      <c r="MFW1505" s="879"/>
      <c r="MFX1505" s="879"/>
      <c r="MFY1505" s="879"/>
      <c r="MFZ1505" s="879"/>
      <c r="MGA1505" s="879"/>
      <c r="MGB1505" s="879"/>
      <c r="MGC1505" s="879"/>
      <c r="MGD1505" s="879"/>
      <c r="MGE1505" s="879"/>
      <c r="MGF1505" s="879"/>
      <c r="MGG1505" s="879"/>
      <c r="MGH1505" s="879"/>
      <c r="MGI1505" s="879"/>
      <c r="MGJ1505" s="879"/>
      <c r="MGK1505" s="879"/>
      <c r="MGL1505" s="879"/>
      <c r="MGM1505" s="879"/>
      <c r="MGN1505" s="879"/>
      <c r="MGO1505" s="879"/>
      <c r="MGP1505" s="879"/>
      <c r="MGQ1505" s="879"/>
      <c r="MGR1505" s="879"/>
      <c r="MGS1505" s="879"/>
      <c r="MGT1505" s="879"/>
      <c r="MGU1505" s="879"/>
      <c r="MGV1505" s="879"/>
      <c r="MGW1505" s="879"/>
      <c r="MGX1505" s="879"/>
      <c r="MGY1505" s="879"/>
      <c r="MGZ1505" s="879"/>
      <c r="MHA1505" s="879"/>
      <c r="MHB1505" s="879"/>
      <c r="MHC1505" s="879"/>
      <c r="MHD1505" s="879"/>
      <c r="MHE1505" s="879"/>
      <c r="MHF1505" s="879"/>
      <c r="MHG1505" s="879"/>
      <c r="MHH1505" s="879"/>
      <c r="MHI1505" s="879"/>
      <c r="MHJ1505" s="879"/>
      <c r="MHK1505" s="879"/>
      <c r="MHL1505" s="879"/>
      <c r="MHM1505" s="879"/>
      <c r="MHN1505" s="879"/>
      <c r="MHO1505" s="879"/>
      <c r="MHP1505" s="879"/>
      <c r="MHQ1505" s="879"/>
      <c r="MHR1505" s="879"/>
      <c r="MHS1505" s="879"/>
      <c r="MHT1505" s="879"/>
      <c r="MHU1505" s="879"/>
      <c r="MHV1505" s="879"/>
      <c r="MHW1505" s="879"/>
      <c r="MHX1505" s="879"/>
      <c r="MHY1505" s="879"/>
      <c r="MHZ1505" s="879"/>
      <c r="MIA1505" s="879"/>
      <c r="MIB1505" s="879"/>
      <c r="MIC1505" s="879"/>
      <c r="MID1505" s="879"/>
      <c r="MIE1505" s="879"/>
      <c r="MIF1505" s="879"/>
      <c r="MIG1505" s="879"/>
      <c r="MIH1505" s="879"/>
      <c r="MII1505" s="879"/>
      <c r="MIJ1505" s="879"/>
      <c r="MIK1505" s="879"/>
      <c r="MIL1505" s="879"/>
      <c r="MIM1505" s="879"/>
      <c r="MIN1505" s="879"/>
      <c r="MIO1505" s="879"/>
      <c r="MIP1505" s="879"/>
      <c r="MIQ1505" s="879"/>
      <c r="MIR1505" s="879"/>
      <c r="MIS1505" s="879"/>
      <c r="MIT1505" s="879"/>
      <c r="MIU1505" s="879"/>
      <c r="MIV1505" s="879"/>
      <c r="MIW1505" s="879"/>
      <c r="MIX1505" s="879"/>
      <c r="MIY1505" s="879"/>
      <c r="MIZ1505" s="879"/>
      <c r="MJA1505" s="879"/>
      <c r="MJB1505" s="879"/>
      <c r="MJC1505" s="879"/>
      <c r="MJD1505" s="879"/>
      <c r="MJE1505" s="879"/>
      <c r="MJF1505" s="879"/>
      <c r="MJG1505" s="879"/>
      <c r="MJH1505" s="879"/>
      <c r="MJI1505" s="879"/>
      <c r="MJJ1505" s="879"/>
      <c r="MJK1505" s="879"/>
      <c r="MJL1505" s="879"/>
      <c r="MJM1505" s="879"/>
      <c r="MJN1505" s="879"/>
      <c r="MJO1505" s="879"/>
      <c r="MJP1505" s="879"/>
      <c r="MJQ1505" s="879"/>
      <c r="MJR1505" s="879"/>
      <c r="MJS1505" s="879"/>
      <c r="MJT1505" s="879"/>
      <c r="MJU1505" s="879"/>
      <c r="MJV1505" s="879"/>
      <c r="MJW1505" s="879"/>
      <c r="MJX1505" s="879"/>
      <c r="MJY1505" s="879"/>
      <c r="MJZ1505" s="879"/>
      <c r="MKA1505" s="879"/>
      <c r="MKB1505" s="879"/>
      <c r="MKC1505" s="879"/>
      <c r="MKD1505" s="879"/>
      <c r="MKE1505" s="879"/>
      <c r="MKF1505" s="879"/>
      <c r="MKG1505" s="879"/>
      <c r="MKH1505" s="879"/>
      <c r="MKI1505" s="879"/>
      <c r="MKJ1505" s="879"/>
      <c r="MKK1505" s="879"/>
      <c r="MKL1505" s="879"/>
      <c r="MKM1505" s="879"/>
      <c r="MKN1505" s="879"/>
      <c r="MKO1505" s="879"/>
      <c r="MKP1505" s="879"/>
      <c r="MKQ1505" s="879"/>
      <c r="MKR1505" s="879"/>
      <c r="MKS1505" s="879"/>
      <c r="MKT1505" s="879"/>
      <c r="MKU1505" s="879"/>
      <c r="MKV1505" s="879"/>
      <c r="MKW1505" s="879"/>
      <c r="MKX1505" s="879"/>
      <c r="MKY1505" s="879"/>
      <c r="MKZ1505" s="879"/>
      <c r="MLA1505" s="879"/>
      <c r="MLB1505" s="879"/>
      <c r="MLC1505" s="879"/>
      <c r="MLD1505" s="879"/>
      <c r="MLE1505" s="879"/>
      <c r="MLF1505" s="879"/>
      <c r="MLG1505" s="879"/>
      <c r="MLH1505" s="879"/>
      <c r="MLI1505" s="879"/>
      <c r="MLJ1505" s="879"/>
      <c r="MLK1505" s="879"/>
      <c r="MLL1505" s="879"/>
      <c r="MLM1505" s="879"/>
      <c r="MLN1505" s="879"/>
      <c r="MLO1505" s="879"/>
      <c r="MLP1505" s="879"/>
      <c r="MLQ1505" s="879"/>
      <c r="MLR1505" s="879"/>
      <c r="MLS1505" s="879"/>
      <c r="MLT1505" s="879"/>
      <c r="MLU1505" s="879"/>
      <c r="MLV1505" s="879"/>
      <c r="MLW1505" s="879"/>
      <c r="MLX1505" s="879"/>
      <c r="MLY1505" s="879"/>
      <c r="MLZ1505" s="879"/>
      <c r="MMA1505" s="879"/>
      <c r="MMB1505" s="879"/>
      <c r="MMC1505" s="879"/>
      <c r="MMD1505" s="879"/>
      <c r="MME1505" s="879"/>
      <c r="MMF1505" s="879"/>
      <c r="MMG1505" s="879"/>
      <c r="MMH1505" s="879"/>
      <c r="MMI1505" s="879"/>
      <c r="MMJ1505" s="879"/>
      <c r="MMK1505" s="879"/>
      <c r="MML1505" s="879"/>
      <c r="MMM1505" s="879"/>
      <c r="MMN1505" s="879"/>
      <c r="MMO1505" s="879"/>
      <c r="MMP1505" s="879"/>
      <c r="MMQ1505" s="879"/>
      <c r="MMR1505" s="879"/>
      <c r="MMS1505" s="879"/>
      <c r="MMT1505" s="879"/>
      <c r="MMU1505" s="879"/>
      <c r="MMV1505" s="879"/>
      <c r="MMW1505" s="879"/>
      <c r="MMX1505" s="879"/>
      <c r="MMY1505" s="879"/>
      <c r="MMZ1505" s="879"/>
      <c r="MNA1505" s="879"/>
      <c r="MNB1505" s="879"/>
      <c r="MNC1505" s="879"/>
      <c r="MND1505" s="879"/>
      <c r="MNE1505" s="879"/>
      <c r="MNF1505" s="879"/>
      <c r="MNG1505" s="879"/>
      <c r="MNH1505" s="879"/>
      <c r="MNI1505" s="879"/>
      <c r="MNJ1505" s="879"/>
      <c r="MNK1505" s="879"/>
      <c r="MNL1505" s="879"/>
      <c r="MNM1505" s="879"/>
      <c r="MNN1505" s="879"/>
      <c r="MNO1505" s="879"/>
      <c r="MNP1505" s="879"/>
      <c r="MNQ1505" s="879"/>
      <c r="MNR1505" s="879"/>
      <c r="MNS1505" s="879"/>
      <c r="MNT1505" s="879"/>
      <c r="MNU1505" s="879"/>
      <c r="MNV1505" s="879"/>
      <c r="MNW1505" s="879"/>
      <c r="MNX1505" s="879"/>
      <c r="MNY1505" s="879"/>
      <c r="MNZ1505" s="879"/>
      <c r="MOA1505" s="879"/>
      <c r="MOB1505" s="879"/>
      <c r="MOC1505" s="879"/>
      <c r="MOD1505" s="879"/>
      <c r="MOE1505" s="879"/>
      <c r="MOF1505" s="879"/>
      <c r="MOG1505" s="879"/>
      <c r="MOH1505" s="879"/>
      <c r="MOI1505" s="879"/>
      <c r="MOJ1505" s="879"/>
      <c r="MOK1505" s="879"/>
      <c r="MOL1505" s="879"/>
      <c r="MOM1505" s="879"/>
      <c r="MON1505" s="879"/>
      <c r="MOO1505" s="879"/>
      <c r="MOP1505" s="879"/>
      <c r="MOQ1505" s="879"/>
      <c r="MOR1505" s="879"/>
      <c r="MOS1505" s="879"/>
      <c r="MOT1505" s="879"/>
      <c r="MOU1505" s="879"/>
      <c r="MOV1505" s="879"/>
      <c r="MOW1505" s="879"/>
      <c r="MOX1505" s="879"/>
      <c r="MOY1505" s="879"/>
      <c r="MOZ1505" s="879"/>
      <c r="MPA1505" s="879"/>
      <c r="MPB1505" s="879"/>
      <c r="MPC1505" s="879"/>
      <c r="MPD1505" s="879"/>
      <c r="MPE1505" s="879"/>
      <c r="MPF1505" s="879"/>
      <c r="MPG1505" s="879"/>
      <c r="MPH1505" s="879"/>
      <c r="MPI1505" s="879"/>
      <c r="MPJ1505" s="879"/>
      <c r="MPK1505" s="879"/>
      <c r="MPL1505" s="879"/>
      <c r="MPM1505" s="879"/>
      <c r="MPN1505" s="879"/>
      <c r="MPO1505" s="879"/>
      <c r="MPP1505" s="879"/>
      <c r="MPQ1505" s="879"/>
      <c r="MPR1505" s="879"/>
      <c r="MPS1505" s="879"/>
      <c r="MPT1505" s="879"/>
      <c r="MPU1505" s="879"/>
      <c r="MPV1505" s="879"/>
      <c r="MPW1505" s="879"/>
      <c r="MPX1505" s="879"/>
      <c r="MPY1505" s="879"/>
      <c r="MPZ1505" s="879"/>
      <c r="MQA1505" s="879"/>
      <c r="MQB1505" s="879"/>
      <c r="MQC1505" s="879"/>
      <c r="MQD1505" s="879"/>
      <c r="MQE1505" s="879"/>
      <c r="MQF1505" s="879"/>
      <c r="MQG1505" s="879"/>
      <c r="MQH1505" s="879"/>
      <c r="MQI1505" s="879"/>
      <c r="MQJ1505" s="879"/>
      <c r="MQK1505" s="879"/>
      <c r="MQL1505" s="879"/>
      <c r="MQM1505" s="879"/>
      <c r="MQN1505" s="879"/>
      <c r="MQO1505" s="879"/>
      <c r="MQP1505" s="879"/>
      <c r="MQQ1505" s="879"/>
      <c r="MQR1505" s="879"/>
      <c r="MQS1505" s="879"/>
      <c r="MQT1505" s="879"/>
      <c r="MQU1505" s="879"/>
      <c r="MQV1505" s="879"/>
      <c r="MQW1505" s="879"/>
      <c r="MQX1505" s="879"/>
      <c r="MQY1505" s="879"/>
      <c r="MQZ1505" s="879"/>
      <c r="MRA1505" s="879"/>
      <c r="MRB1505" s="879"/>
      <c r="MRC1505" s="879"/>
      <c r="MRD1505" s="879"/>
      <c r="MRE1505" s="879"/>
      <c r="MRF1505" s="879"/>
      <c r="MRG1505" s="879"/>
      <c r="MRH1505" s="879"/>
      <c r="MRI1505" s="879"/>
      <c r="MRJ1505" s="879"/>
      <c r="MRK1505" s="879"/>
      <c r="MRL1505" s="879"/>
      <c r="MRM1505" s="879"/>
      <c r="MRN1505" s="879"/>
      <c r="MRO1505" s="879"/>
      <c r="MRP1505" s="879"/>
      <c r="MRQ1505" s="879"/>
      <c r="MRR1505" s="879"/>
      <c r="MRS1505" s="879"/>
      <c r="MRT1505" s="879"/>
      <c r="MRU1505" s="879"/>
      <c r="MRV1505" s="879"/>
      <c r="MRW1505" s="879"/>
      <c r="MRX1505" s="879"/>
      <c r="MRY1505" s="879"/>
      <c r="MRZ1505" s="879"/>
      <c r="MSA1505" s="879"/>
      <c r="MSB1505" s="879"/>
      <c r="MSC1505" s="879"/>
      <c r="MSD1505" s="879"/>
      <c r="MSE1505" s="879"/>
      <c r="MSF1505" s="879"/>
      <c r="MSG1505" s="879"/>
      <c r="MSH1505" s="879"/>
      <c r="MSI1505" s="879"/>
      <c r="MSJ1505" s="879"/>
      <c r="MSK1505" s="879"/>
      <c r="MSL1505" s="879"/>
      <c r="MSM1505" s="879"/>
      <c r="MSN1505" s="879"/>
      <c r="MSO1505" s="879"/>
      <c r="MSP1505" s="879"/>
      <c r="MSQ1505" s="879"/>
      <c r="MSR1505" s="879"/>
      <c r="MSS1505" s="879"/>
      <c r="MST1505" s="879"/>
      <c r="MSU1505" s="879"/>
      <c r="MSV1505" s="879"/>
      <c r="MSW1505" s="879"/>
      <c r="MSX1505" s="879"/>
      <c r="MSY1505" s="879"/>
      <c r="MSZ1505" s="879"/>
      <c r="MTA1505" s="879"/>
      <c r="MTB1505" s="879"/>
      <c r="MTC1505" s="879"/>
      <c r="MTD1505" s="879"/>
      <c r="MTE1505" s="879"/>
      <c r="MTF1505" s="879"/>
      <c r="MTG1505" s="879"/>
      <c r="MTH1505" s="879"/>
      <c r="MTI1505" s="879"/>
      <c r="MTJ1505" s="879"/>
      <c r="MTK1505" s="879"/>
      <c r="MTL1505" s="879"/>
      <c r="MTM1505" s="879"/>
      <c r="MTN1505" s="879"/>
      <c r="MTO1505" s="879"/>
      <c r="MTP1505" s="879"/>
      <c r="MTQ1505" s="879"/>
      <c r="MTR1505" s="879"/>
      <c r="MTS1505" s="879"/>
      <c r="MTT1505" s="879"/>
      <c r="MTU1505" s="879"/>
      <c r="MTV1505" s="879"/>
      <c r="MTW1505" s="879"/>
      <c r="MTX1505" s="879"/>
      <c r="MTY1505" s="879"/>
      <c r="MTZ1505" s="879"/>
      <c r="MUA1505" s="879"/>
      <c r="MUB1505" s="879"/>
      <c r="MUC1505" s="879"/>
      <c r="MUD1505" s="879"/>
      <c r="MUE1505" s="879"/>
      <c r="MUF1505" s="879"/>
      <c r="MUG1505" s="879"/>
      <c r="MUH1505" s="879"/>
      <c r="MUI1505" s="879"/>
      <c r="MUJ1505" s="879"/>
      <c r="MUK1505" s="879"/>
      <c r="MUL1505" s="879"/>
      <c r="MUM1505" s="879"/>
      <c r="MUN1505" s="879"/>
      <c r="MUO1505" s="879"/>
      <c r="MUP1505" s="879"/>
      <c r="MUQ1505" s="879"/>
      <c r="MUR1505" s="879"/>
      <c r="MUS1505" s="879"/>
      <c r="MUT1505" s="879"/>
      <c r="MUU1505" s="879"/>
      <c r="MUV1505" s="879"/>
      <c r="MUW1505" s="879"/>
      <c r="MUX1505" s="879"/>
      <c r="MUY1505" s="879"/>
      <c r="MUZ1505" s="879"/>
      <c r="MVA1505" s="879"/>
      <c r="MVB1505" s="879"/>
      <c r="MVC1505" s="879"/>
      <c r="MVD1505" s="879"/>
      <c r="MVE1505" s="879"/>
      <c r="MVF1505" s="879"/>
      <c r="MVG1505" s="879"/>
      <c r="MVH1505" s="879"/>
      <c r="MVI1505" s="879"/>
      <c r="MVJ1505" s="879"/>
      <c r="MVK1505" s="879"/>
      <c r="MVL1505" s="879"/>
      <c r="MVM1505" s="879"/>
      <c r="MVN1505" s="879"/>
      <c r="MVO1505" s="879"/>
      <c r="MVP1505" s="879"/>
      <c r="MVQ1505" s="879"/>
      <c r="MVR1505" s="879"/>
      <c r="MVS1505" s="879"/>
      <c r="MVT1505" s="879"/>
      <c r="MVU1505" s="879"/>
      <c r="MVV1505" s="879"/>
      <c r="MVW1505" s="879"/>
      <c r="MVX1505" s="879"/>
      <c r="MVY1505" s="879"/>
      <c r="MVZ1505" s="879"/>
      <c r="MWA1505" s="879"/>
      <c r="MWB1505" s="879"/>
      <c r="MWC1505" s="879"/>
      <c r="MWD1505" s="879"/>
      <c r="MWE1505" s="879"/>
      <c r="MWF1505" s="879"/>
      <c r="MWG1505" s="879"/>
      <c r="MWH1505" s="879"/>
      <c r="MWI1505" s="879"/>
      <c r="MWJ1505" s="879"/>
      <c r="MWK1505" s="879"/>
      <c r="MWL1505" s="879"/>
      <c r="MWM1505" s="879"/>
      <c r="MWN1505" s="879"/>
      <c r="MWO1505" s="879"/>
      <c r="MWP1505" s="879"/>
      <c r="MWQ1505" s="879"/>
      <c r="MWR1505" s="879"/>
      <c r="MWS1505" s="879"/>
      <c r="MWT1505" s="879"/>
      <c r="MWU1505" s="879"/>
      <c r="MWV1505" s="879"/>
      <c r="MWW1505" s="879"/>
      <c r="MWX1505" s="879"/>
      <c r="MWY1505" s="879"/>
      <c r="MWZ1505" s="879"/>
      <c r="MXA1505" s="879"/>
      <c r="MXB1505" s="879"/>
      <c r="MXC1505" s="879"/>
      <c r="MXD1505" s="879"/>
      <c r="MXE1505" s="879"/>
      <c r="MXF1505" s="879"/>
      <c r="MXG1505" s="879"/>
      <c r="MXH1505" s="879"/>
      <c r="MXI1505" s="879"/>
      <c r="MXJ1505" s="879"/>
      <c r="MXK1505" s="879"/>
      <c r="MXL1505" s="879"/>
      <c r="MXM1505" s="879"/>
      <c r="MXN1505" s="879"/>
      <c r="MXO1505" s="879"/>
      <c r="MXP1505" s="879"/>
      <c r="MXQ1505" s="879"/>
      <c r="MXR1505" s="879"/>
      <c r="MXS1505" s="879"/>
      <c r="MXT1505" s="879"/>
      <c r="MXU1505" s="879"/>
      <c r="MXV1505" s="879"/>
      <c r="MXW1505" s="879"/>
      <c r="MXX1505" s="879"/>
      <c r="MXY1505" s="879"/>
      <c r="MXZ1505" s="879"/>
      <c r="MYA1505" s="879"/>
      <c r="MYB1505" s="879"/>
      <c r="MYC1505" s="879"/>
      <c r="MYD1505" s="879"/>
      <c r="MYE1505" s="879"/>
      <c r="MYF1505" s="879"/>
      <c r="MYG1505" s="879"/>
      <c r="MYH1505" s="879"/>
      <c r="MYI1505" s="879"/>
      <c r="MYJ1505" s="879"/>
      <c r="MYK1505" s="879"/>
      <c r="MYL1505" s="879"/>
      <c r="MYM1505" s="879"/>
      <c r="MYN1505" s="879"/>
      <c r="MYO1505" s="879"/>
      <c r="MYP1505" s="879"/>
      <c r="MYQ1505" s="879"/>
      <c r="MYR1505" s="879"/>
      <c r="MYS1505" s="879"/>
      <c r="MYT1505" s="879"/>
      <c r="MYU1505" s="879"/>
      <c r="MYV1505" s="879"/>
      <c r="MYW1505" s="879"/>
      <c r="MYX1505" s="879"/>
      <c r="MYY1505" s="879"/>
      <c r="MYZ1505" s="879"/>
      <c r="MZA1505" s="879"/>
      <c r="MZB1505" s="879"/>
      <c r="MZC1505" s="879"/>
      <c r="MZD1505" s="879"/>
      <c r="MZE1505" s="879"/>
      <c r="MZF1505" s="879"/>
      <c r="MZG1505" s="879"/>
      <c r="MZH1505" s="879"/>
      <c r="MZI1505" s="879"/>
      <c r="MZJ1505" s="879"/>
      <c r="MZK1505" s="879"/>
      <c r="MZL1505" s="879"/>
      <c r="MZM1505" s="879"/>
      <c r="MZN1505" s="879"/>
      <c r="MZO1505" s="879"/>
      <c r="MZP1505" s="879"/>
      <c r="MZQ1505" s="879"/>
      <c r="MZR1505" s="879"/>
      <c r="MZS1505" s="879"/>
      <c r="MZT1505" s="879"/>
      <c r="MZU1505" s="879"/>
      <c r="MZV1505" s="879"/>
      <c r="MZW1505" s="879"/>
      <c r="MZX1505" s="879"/>
      <c r="MZY1505" s="879"/>
      <c r="MZZ1505" s="879"/>
      <c r="NAA1505" s="879"/>
      <c r="NAB1505" s="879"/>
      <c r="NAC1505" s="879"/>
      <c r="NAD1505" s="879"/>
      <c r="NAE1505" s="879"/>
      <c r="NAF1505" s="879"/>
      <c r="NAG1505" s="879"/>
      <c r="NAH1505" s="879"/>
      <c r="NAI1505" s="879"/>
      <c r="NAJ1505" s="879"/>
      <c r="NAK1505" s="879"/>
      <c r="NAL1505" s="879"/>
      <c r="NAM1505" s="879"/>
      <c r="NAN1505" s="879"/>
      <c r="NAO1505" s="879"/>
      <c r="NAP1505" s="879"/>
      <c r="NAQ1505" s="879"/>
      <c r="NAR1505" s="879"/>
      <c r="NAS1505" s="879"/>
      <c r="NAT1505" s="879"/>
      <c r="NAU1505" s="879"/>
      <c r="NAV1505" s="879"/>
      <c r="NAW1505" s="879"/>
      <c r="NAX1505" s="879"/>
      <c r="NAY1505" s="879"/>
      <c r="NAZ1505" s="879"/>
      <c r="NBA1505" s="879"/>
      <c r="NBB1505" s="879"/>
      <c r="NBC1505" s="879"/>
      <c r="NBD1505" s="879"/>
      <c r="NBE1505" s="879"/>
      <c r="NBF1505" s="879"/>
      <c r="NBG1505" s="879"/>
      <c r="NBH1505" s="879"/>
      <c r="NBI1505" s="879"/>
      <c r="NBJ1505" s="879"/>
      <c r="NBK1505" s="879"/>
      <c r="NBL1505" s="879"/>
      <c r="NBM1505" s="879"/>
      <c r="NBN1505" s="879"/>
      <c r="NBO1505" s="879"/>
      <c r="NBP1505" s="879"/>
      <c r="NBQ1505" s="879"/>
      <c r="NBR1505" s="879"/>
      <c r="NBS1505" s="879"/>
      <c r="NBT1505" s="879"/>
      <c r="NBU1505" s="879"/>
      <c r="NBV1505" s="879"/>
      <c r="NBW1505" s="879"/>
      <c r="NBX1505" s="879"/>
      <c r="NBY1505" s="879"/>
      <c r="NBZ1505" s="879"/>
      <c r="NCA1505" s="879"/>
      <c r="NCB1505" s="879"/>
      <c r="NCC1505" s="879"/>
      <c r="NCD1505" s="879"/>
      <c r="NCE1505" s="879"/>
      <c r="NCF1505" s="879"/>
      <c r="NCG1505" s="879"/>
      <c r="NCH1505" s="879"/>
      <c r="NCI1505" s="879"/>
      <c r="NCJ1505" s="879"/>
      <c r="NCK1505" s="879"/>
      <c r="NCL1505" s="879"/>
      <c r="NCM1505" s="879"/>
      <c r="NCN1505" s="879"/>
      <c r="NCO1505" s="879"/>
      <c r="NCP1505" s="879"/>
      <c r="NCQ1505" s="879"/>
      <c r="NCR1505" s="879"/>
      <c r="NCS1505" s="879"/>
      <c r="NCT1505" s="879"/>
      <c r="NCU1505" s="879"/>
      <c r="NCV1505" s="879"/>
      <c r="NCW1505" s="879"/>
      <c r="NCX1505" s="879"/>
      <c r="NCY1505" s="879"/>
      <c r="NCZ1505" s="879"/>
      <c r="NDA1505" s="879"/>
      <c r="NDB1505" s="879"/>
      <c r="NDC1505" s="879"/>
      <c r="NDD1505" s="879"/>
      <c r="NDE1505" s="879"/>
      <c r="NDF1505" s="879"/>
      <c r="NDG1505" s="879"/>
      <c r="NDH1505" s="879"/>
      <c r="NDI1505" s="879"/>
      <c r="NDJ1505" s="879"/>
      <c r="NDK1505" s="879"/>
      <c r="NDL1505" s="879"/>
      <c r="NDM1505" s="879"/>
      <c r="NDN1505" s="879"/>
      <c r="NDO1505" s="879"/>
      <c r="NDP1505" s="879"/>
      <c r="NDQ1505" s="879"/>
      <c r="NDR1505" s="879"/>
      <c r="NDS1505" s="879"/>
      <c r="NDT1505" s="879"/>
      <c r="NDU1505" s="879"/>
      <c r="NDV1505" s="879"/>
      <c r="NDW1505" s="879"/>
      <c r="NDX1505" s="879"/>
      <c r="NDY1505" s="879"/>
      <c r="NDZ1505" s="879"/>
      <c r="NEA1505" s="879"/>
      <c r="NEB1505" s="879"/>
      <c r="NEC1505" s="879"/>
      <c r="NED1505" s="879"/>
      <c r="NEE1505" s="879"/>
      <c r="NEF1505" s="879"/>
      <c r="NEG1505" s="879"/>
      <c r="NEH1505" s="879"/>
      <c r="NEI1505" s="879"/>
      <c r="NEJ1505" s="879"/>
      <c r="NEK1505" s="879"/>
      <c r="NEL1505" s="879"/>
      <c r="NEM1505" s="879"/>
      <c r="NEN1505" s="879"/>
      <c r="NEO1505" s="879"/>
      <c r="NEP1505" s="879"/>
      <c r="NEQ1505" s="879"/>
      <c r="NER1505" s="879"/>
      <c r="NES1505" s="879"/>
      <c r="NET1505" s="879"/>
      <c r="NEU1505" s="879"/>
      <c r="NEV1505" s="879"/>
      <c r="NEW1505" s="879"/>
      <c r="NEX1505" s="879"/>
      <c r="NEY1505" s="879"/>
      <c r="NEZ1505" s="879"/>
      <c r="NFA1505" s="879"/>
      <c r="NFB1505" s="879"/>
      <c r="NFC1505" s="879"/>
      <c r="NFD1505" s="879"/>
      <c r="NFE1505" s="879"/>
      <c r="NFF1505" s="879"/>
      <c r="NFG1505" s="879"/>
      <c r="NFH1505" s="879"/>
      <c r="NFI1505" s="879"/>
      <c r="NFJ1505" s="879"/>
      <c r="NFK1505" s="879"/>
      <c r="NFL1505" s="879"/>
      <c r="NFM1505" s="879"/>
      <c r="NFN1505" s="879"/>
      <c r="NFO1505" s="879"/>
      <c r="NFP1505" s="879"/>
      <c r="NFQ1505" s="879"/>
      <c r="NFR1505" s="879"/>
      <c r="NFS1505" s="879"/>
      <c r="NFT1505" s="879"/>
      <c r="NFU1505" s="879"/>
      <c r="NFV1505" s="879"/>
      <c r="NFW1505" s="879"/>
      <c r="NFX1505" s="879"/>
      <c r="NFY1505" s="879"/>
      <c r="NFZ1505" s="879"/>
      <c r="NGA1505" s="879"/>
      <c r="NGB1505" s="879"/>
      <c r="NGC1505" s="879"/>
      <c r="NGD1505" s="879"/>
      <c r="NGE1505" s="879"/>
      <c r="NGF1505" s="879"/>
      <c r="NGG1505" s="879"/>
      <c r="NGH1505" s="879"/>
      <c r="NGI1505" s="879"/>
      <c r="NGJ1505" s="879"/>
      <c r="NGK1505" s="879"/>
      <c r="NGL1505" s="879"/>
      <c r="NGM1505" s="879"/>
      <c r="NGN1505" s="879"/>
      <c r="NGO1505" s="879"/>
      <c r="NGP1505" s="879"/>
      <c r="NGQ1505" s="879"/>
      <c r="NGR1505" s="879"/>
      <c r="NGS1505" s="879"/>
      <c r="NGT1505" s="879"/>
      <c r="NGU1505" s="879"/>
      <c r="NGV1505" s="879"/>
      <c r="NGW1505" s="879"/>
      <c r="NGX1505" s="879"/>
      <c r="NGY1505" s="879"/>
      <c r="NGZ1505" s="879"/>
      <c r="NHA1505" s="879"/>
      <c r="NHB1505" s="879"/>
      <c r="NHC1505" s="879"/>
      <c r="NHD1505" s="879"/>
      <c r="NHE1505" s="879"/>
      <c r="NHF1505" s="879"/>
      <c r="NHG1505" s="879"/>
      <c r="NHH1505" s="879"/>
      <c r="NHI1505" s="879"/>
      <c r="NHJ1505" s="879"/>
      <c r="NHK1505" s="879"/>
      <c r="NHL1505" s="879"/>
      <c r="NHM1505" s="879"/>
      <c r="NHN1505" s="879"/>
      <c r="NHO1505" s="879"/>
      <c r="NHP1505" s="879"/>
      <c r="NHQ1505" s="879"/>
      <c r="NHR1505" s="879"/>
      <c r="NHS1505" s="879"/>
      <c r="NHT1505" s="879"/>
      <c r="NHU1505" s="879"/>
      <c r="NHV1505" s="879"/>
      <c r="NHW1505" s="879"/>
      <c r="NHX1505" s="879"/>
      <c r="NHY1505" s="879"/>
      <c r="NHZ1505" s="879"/>
      <c r="NIA1505" s="879"/>
      <c r="NIB1505" s="879"/>
      <c r="NIC1505" s="879"/>
      <c r="NID1505" s="879"/>
      <c r="NIE1505" s="879"/>
      <c r="NIF1505" s="879"/>
      <c r="NIG1505" s="879"/>
      <c r="NIH1505" s="879"/>
      <c r="NII1505" s="879"/>
      <c r="NIJ1505" s="879"/>
      <c r="NIK1505" s="879"/>
      <c r="NIL1505" s="879"/>
      <c r="NIM1505" s="879"/>
      <c r="NIN1505" s="879"/>
      <c r="NIO1505" s="879"/>
      <c r="NIP1505" s="879"/>
      <c r="NIQ1505" s="879"/>
      <c r="NIR1505" s="879"/>
      <c r="NIS1505" s="879"/>
      <c r="NIT1505" s="879"/>
      <c r="NIU1505" s="879"/>
      <c r="NIV1505" s="879"/>
      <c r="NIW1505" s="879"/>
      <c r="NIX1505" s="879"/>
      <c r="NIY1505" s="879"/>
      <c r="NIZ1505" s="879"/>
      <c r="NJA1505" s="879"/>
      <c r="NJB1505" s="879"/>
      <c r="NJC1505" s="879"/>
      <c r="NJD1505" s="879"/>
      <c r="NJE1505" s="879"/>
      <c r="NJF1505" s="879"/>
      <c r="NJG1505" s="879"/>
      <c r="NJH1505" s="879"/>
      <c r="NJI1505" s="879"/>
      <c r="NJJ1505" s="879"/>
      <c r="NJK1505" s="879"/>
      <c r="NJL1505" s="879"/>
      <c r="NJM1505" s="879"/>
      <c r="NJN1505" s="879"/>
      <c r="NJO1505" s="879"/>
      <c r="NJP1505" s="879"/>
      <c r="NJQ1505" s="879"/>
      <c r="NJR1505" s="879"/>
      <c r="NJS1505" s="879"/>
      <c r="NJT1505" s="879"/>
      <c r="NJU1505" s="879"/>
      <c r="NJV1505" s="879"/>
      <c r="NJW1505" s="879"/>
      <c r="NJX1505" s="879"/>
      <c r="NJY1505" s="879"/>
      <c r="NJZ1505" s="879"/>
      <c r="NKA1505" s="879"/>
      <c r="NKB1505" s="879"/>
      <c r="NKC1505" s="879"/>
      <c r="NKD1505" s="879"/>
      <c r="NKE1505" s="879"/>
      <c r="NKF1505" s="879"/>
      <c r="NKG1505" s="879"/>
      <c r="NKH1505" s="879"/>
      <c r="NKI1505" s="879"/>
      <c r="NKJ1505" s="879"/>
      <c r="NKK1505" s="879"/>
      <c r="NKL1505" s="879"/>
      <c r="NKM1505" s="879"/>
      <c r="NKN1505" s="879"/>
      <c r="NKO1505" s="879"/>
      <c r="NKP1505" s="879"/>
      <c r="NKQ1505" s="879"/>
      <c r="NKR1505" s="879"/>
      <c r="NKS1505" s="879"/>
      <c r="NKT1505" s="879"/>
      <c r="NKU1505" s="879"/>
      <c r="NKV1505" s="879"/>
      <c r="NKW1505" s="879"/>
      <c r="NKX1505" s="879"/>
      <c r="NKY1505" s="879"/>
      <c r="NKZ1505" s="879"/>
      <c r="NLA1505" s="879"/>
      <c r="NLB1505" s="879"/>
      <c r="NLC1505" s="879"/>
      <c r="NLD1505" s="879"/>
      <c r="NLE1505" s="879"/>
      <c r="NLF1505" s="879"/>
      <c r="NLG1505" s="879"/>
      <c r="NLH1505" s="879"/>
      <c r="NLI1505" s="879"/>
      <c r="NLJ1505" s="879"/>
      <c r="NLK1505" s="879"/>
      <c r="NLL1505" s="879"/>
      <c r="NLM1505" s="879"/>
      <c r="NLN1505" s="879"/>
      <c r="NLO1505" s="879"/>
      <c r="NLP1505" s="879"/>
      <c r="NLQ1505" s="879"/>
      <c r="NLR1505" s="879"/>
      <c r="NLS1505" s="879"/>
      <c r="NLT1505" s="879"/>
      <c r="NLU1505" s="879"/>
      <c r="NLV1505" s="879"/>
      <c r="NLW1505" s="879"/>
      <c r="NLX1505" s="879"/>
      <c r="NLY1505" s="879"/>
      <c r="NLZ1505" s="879"/>
      <c r="NMA1505" s="879"/>
      <c r="NMB1505" s="879"/>
      <c r="NMC1505" s="879"/>
      <c r="NMD1505" s="879"/>
      <c r="NME1505" s="879"/>
      <c r="NMF1505" s="879"/>
      <c r="NMG1505" s="879"/>
      <c r="NMH1505" s="879"/>
      <c r="NMI1505" s="879"/>
      <c r="NMJ1505" s="879"/>
      <c r="NMK1505" s="879"/>
      <c r="NML1505" s="879"/>
      <c r="NMM1505" s="879"/>
      <c r="NMN1505" s="879"/>
      <c r="NMO1505" s="879"/>
      <c r="NMP1505" s="879"/>
      <c r="NMQ1505" s="879"/>
      <c r="NMR1505" s="879"/>
      <c r="NMS1505" s="879"/>
      <c r="NMT1505" s="879"/>
      <c r="NMU1505" s="879"/>
      <c r="NMV1505" s="879"/>
      <c r="NMW1505" s="879"/>
      <c r="NMX1505" s="879"/>
      <c r="NMY1505" s="879"/>
      <c r="NMZ1505" s="879"/>
      <c r="NNA1505" s="879"/>
      <c r="NNB1505" s="879"/>
      <c r="NNC1505" s="879"/>
      <c r="NND1505" s="879"/>
      <c r="NNE1505" s="879"/>
      <c r="NNF1505" s="879"/>
      <c r="NNG1505" s="879"/>
      <c r="NNH1505" s="879"/>
      <c r="NNI1505" s="879"/>
      <c r="NNJ1505" s="879"/>
      <c r="NNK1505" s="879"/>
      <c r="NNL1505" s="879"/>
      <c r="NNM1505" s="879"/>
      <c r="NNN1505" s="879"/>
      <c r="NNO1505" s="879"/>
      <c r="NNP1505" s="879"/>
      <c r="NNQ1505" s="879"/>
      <c r="NNR1505" s="879"/>
      <c r="NNS1505" s="879"/>
      <c r="NNT1505" s="879"/>
      <c r="NNU1505" s="879"/>
      <c r="NNV1505" s="879"/>
      <c r="NNW1505" s="879"/>
      <c r="NNX1505" s="879"/>
      <c r="NNY1505" s="879"/>
      <c r="NNZ1505" s="879"/>
      <c r="NOA1505" s="879"/>
      <c r="NOB1505" s="879"/>
      <c r="NOC1505" s="879"/>
      <c r="NOD1505" s="879"/>
      <c r="NOE1505" s="879"/>
      <c r="NOF1505" s="879"/>
      <c r="NOG1505" s="879"/>
      <c r="NOH1505" s="879"/>
      <c r="NOI1505" s="879"/>
      <c r="NOJ1505" s="879"/>
      <c r="NOK1505" s="879"/>
      <c r="NOL1505" s="879"/>
      <c r="NOM1505" s="879"/>
      <c r="NON1505" s="879"/>
      <c r="NOO1505" s="879"/>
      <c r="NOP1505" s="879"/>
      <c r="NOQ1505" s="879"/>
      <c r="NOR1505" s="879"/>
      <c r="NOS1505" s="879"/>
      <c r="NOT1505" s="879"/>
      <c r="NOU1505" s="879"/>
      <c r="NOV1505" s="879"/>
      <c r="NOW1505" s="879"/>
      <c r="NOX1505" s="879"/>
      <c r="NOY1505" s="879"/>
      <c r="NOZ1505" s="879"/>
      <c r="NPA1505" s="879"/>
      <c r="NPB1505" s="879"/>
      <c r="NPC1505" s="879"/>
      <c r="NPD1505" s="879"/>
      <c r="NPE1505" s="879"/>
      <c r="NPF1505" s="879"/>
      <c r="NPG1505" s="879"/>
      <c r="NPH1505" s="879"/>
      <c r="NPI1505" s="879"/>
      <c r="NPJ1505" s="879"/>
      <c r="NPK1505" s="879"/>
      <c r="NPL1505" s="879"/>
      <c r="NPM1505" s="879"/>
      <c r="NPN1505" s="879"/>
      <c r="NPO1505" s="879"/>
      <c r="NPP1505" s="879"/>
      <c r="NPQ1505" s="879"/>
      <c r="NPR1505" s="879"/>
      <c r="NPS1505" s="879"/>
      <c r="NPT1505" s="879"/>
      <c r="NPU1505" s="879"/>
      <c r="NPV1505" s="879"/>
      <c r="NPW1505" s="879"/>
      <c r="NPX1505" s="879"/>
      <c r="NPY1505" s="879"/>
      <c r="NPZ1505" s="879"/>
      <c r="NQA1505" s="879"/>
      <c r="NQB1505" s="879"/>
      <c r="NQC1505" s="879"/>
      <c r="NQD1505" s="879"/>
      <c r="NQE1505" s="879"/>
      <c r="NQF1505" s="879"/>
      <c r="NQG1505" s="879"/>
      <c r="NQH1505" s="879"/>
      <c r="NQI1505" s="879"/>
      <c r="NQJ1505" s="879"/>
      <c r="NQK1505" s="879"/>
      <c r="NQL1505" s="879"/>
      <c r="NQM1505" s="879"/>
      <c r="NQN1505" s="879"/>
      <c r="NQO1505" s="879"/>
      <c r="NQP1505" s="879"/>
      <c r="NQQ1505" s="879"/>
      <c r="NQR1505" s="879"/>
      <c r="NQS1505" s="879"/>
      <c r="NQT1505" s="879"/>
      <c r="NQU1505" s="879"/>
      <c r="NQV1505" s="879"/>
      <c r="NQW1505" s="879"/>
      <c r="NQX1505" s="879"/>
      <c r="NQY1505" s="879"/>
      <c r="NQZ1505" s="879"/>
      <c r="NRA1505" s="879"/>
      <c r="NRB1505" s="879"/>
      <c r="NRC1505" s="879"/>
      <c r="NRD1505" s="879"/>
      <c r="NRE1505" s="879"/>
      <c r="NRF1505" s="879"/>
      <c r="NRG1505" s="879"/>
      <c r="NRH1505" s="879"/>
      <c r="NRI1505" s="879"/>
      <c r="NRJ1505" s="879"/>
      <c r="NRK1505" s="879"/>
      <c r="NRL1505" s="879"/>
      <c r="NRM1505" s="879"/>
      <c r="NRN1505" s="879"/>
      <c r="NRO1505" s="879"/>
      <c r="NRP1505" s="879"/>
      <c r="NRQ1505" s="879"/>
      <c r="NRR1505" s="879"/>
      <c r="NRS1505" s="879"/>
      <c r="NRT1505" s="879"/>
      <c r="NRU1505" s="879"/>
      <c r="NRV1505" s="879"/>
      <c r="NRW1505" s="879"/>
      <c r="NRX1505" s="879"/>
      <c r="NRY1505" s="879"/>
      <c r="NRZ1505" s="879"/>
      <c r="NSA1505" s="879"/>
      <c r="NSB1505" s="879"/>
      <c r="NSC1505" s="879"/>
      <c r="NSD1505" s="879"/>
      <c r="NSE1505" s="879"/>
      <c r="NSF1505" s="879"/>
      <c r="NSG1505" s="879"/>
      <c r="NSH1505" s="879"/>
      <c r="NSI1505" s="879"/>
      <c r="NSJ1505" s="879"/>
      <c r="NSK1505" s="879"/>
      <c r="NSL1505" s="879"/>
      <c r="NSM1505" s="879"/>
      <c r="NSN1505" s="879"/>
      <c r="NSO1505" s="879"/>
      <c r="NSP1505" s="879"/>
      <c r="NSQ1505" s="879"/>
      <c r="NSR1505" s="879"/>
      <c r="NSS1505" s="879"/>
      <c r="NST1505" s="879"/>
      <c r="NSU1505" s="879"/>
      <c r="NSV1505" s="879"/>
      <c r="NSW1505" s="879"/>
      <c r="NSX1505" s="879"/>
      <c r="NSY1505" s="879"/>
      <c r="NSZ1505" s="879"/>
      <c r="NTA1505" s="879"/>
      <c r="NTB1505" s="879"/>
      <c r="NTC1505" s="879"/>
      <c r="NTD1505" s="879"/>
      <c r="NTE1505" s="879"/>
      <c r="NTF1505" s="879"/>
      <c r="NTG1505" s="879"/>
      <c r="NTH1505" s="879"/>
      <c r="NTI1505" s="879"/>
      <c r="NTJ1505" s="879"/>
      <c r="NTK1505" s="879"/>
      <c r="NTL1505" s="879"/>
      <c r="NTM1505" s="879"/>
      <c r="NTN1505" s="879"/>
      <c r="NTO1505" s="879"/>
      <c r="NTP1505" s="879"/>
      <c r="NTQ1505" s="879"/>
      <c r="NTR1505" s="879"/>
      <c r="NTS1505" s="879"/>
      <c r="NTT1505" s="879"/>
      <c r="NTU1505" s="879"/>
      <c r="NTV1505" s="879"/>
      <c r="NTW1505" s="879"/>
      <c r="NTX1505" s="879"/>
      <c r="NTY1505" s="879"/>
      <c r="NTZ1505" s="879"/>
      <c r="NUA1505" s="879"/>
      <c r="NUB1505" s="879"/>
      <c r="NUC1505" s="879"/>
      <c r="NUD1505" s="879"/>
      <c r="NUE1505" s="879"/>
      <c r="NUF1505" s="879"/>
      <c r="NUG1505" s="879"/>
      <c r="NUH1505" s="879"/>
      <c r="NUI1505" s="879"/>
      <c r="NUJ1505" s="879"/>
      <c r="NUK1505" s="879"/>
      <c r="NUL1505" s="879"/>
      <c r="NUM1505" s="879"/>
      <c r="NUN1505" s="879"/>
      <c r="NUO1505" s="879"/>
      <c r="NUP1505" s="879"/>
      <c r="NUQ1505" s="879"/>
      <c r="NUR1505" s="879"/>
      <c r="NUS1505" s="879"/>
      <c r="NUT1505" s="879"/>
      <c r="NUU1505" s="879"/>
      <c r="NUV1505" s="879"/>
      <c r="NUW1505" s="879"/>
      <c r="NUX1505" s="879"/>
      <c r="NUY1505" s="879"/>
      <c r="NUZ1505" s="879"/>
      <c r="NVA1505" s="879"/>
      <c r="NVB1505" s="879"/>
      <c r="NVC1505" s="879"/>
      <c r="NVD1505" s="879"/>
      <c r="NVE1505" s="879"/>
      <c r="NVF1505" s="879"/>
      <c r="NVG1505" s="879"/>
      <c r="NVH1505" s="879"/>
      <c r="NVI1505" s="879"/>
      <c r="NVJ1505" s="879"/>
      <c r="NVK1505" s="879"/>
      <c r="NVL1505" s="879"/>
      <c r="NVM1505" s="879"/>
      <c r="NVN1505" s="879"/>
      <c r="NVO1505" s="879"/>
      <c r="NVP1505" s="879"/>
      <c r="NVQ1505" s="879"/>
      <c r="NVR1505" s="879"/>
      <c r="NVS1505" s="879"/>
      <c r="NVT1505" s="879"/>
      <c r="NVU1505" s="879"/>
      <c r="NVV1505" s="879"/>
      <c r="NVW1505" s="879"/>
      <c r="NVX1505" s="879"/>
      <c r="NVY1505" s="879"/>
      <c r="NVZ1505" s="879"/>
      <c r="NWA1505" s="879"/>
      <c r="NWB1505" s="879"/>
      <c r="NWC1505" s="879"/>
      <c r="NWD1505" s="879"/>
      <c r="NWE1505" s="879"/>
      <c r="NWF1505" s="879"/>
      <c r="NWG1505" s="879"/>
      <c r="NWH1505" s="879"/>
      <c r="NWI1505" s="879"/>
      <c r="NWJ1505" s="879"/>
      <c r="NWK1505" s="879"/>
      <c r="NWL1505" s="879"/>
      <c r="NWM1505" s="879"/>
      <c r="NWN1505" s="879"/>
      <c r="NWO1505" s="879"/>
      <c r="NWP1505" s="879"/>
      <c r="NWQ1505" s="879"/>
      <c r="NWR1505" s="879"/>
      <c r="NWS1505" s="879"/>
      <c r="NWT1505" s="879"/>
      <c r="NWU1505" s="879"/>
      <c r="NWV1505" s="879"/>
      <c r="NWW1505" s="879"/>
      <c r="NWX1505" s="879"/>
      <c r="NWY1505" s="879"/>
      <c r="NWZ1505" s="879"/>
      <c r="NXA1505" s="879"/>
      <c r="NXB1505" s="879"/>
      <c r="NXC1505" s="879"/>
      <c r="NXD1505" s="879"/>
      <c r="NXE1505" s="879"/>
      <c r="NXF1505" s="879"/>
      <c r="NXG1505" s="879"/>
      <c r="NXH1505" s="879"/>
      <c r="NXI1505" s="879"/>
      <c r="NXJ1505" s="879"/>
      <c r="NXK1505" s="879"/>
      <c r="NXL1505" s="879"/>
      <c r="NXM1505" s="879"/>
      <c r="NXN1505" s="879"/>
      <c r="NXO1505" s="879"/>
      <c r="NXP1505" s="879"/>
      <c r="NXQ1505" s="879"/>
      <c r="NXR1505" s="879"/>
      <c r="NXS1505" s="879"/>
      <c r="NXT1505" s="879"/>
      <c r="NXU1505" s="879"/>
      <c r="NXV1505" s="879"/>
      <c r="NXW1505" s="879"/>
      <c r="NXX1505" s="879"/>
      <c r="NXY1505" s="879"/>
      <c r="NXZ1505" s="879"/>
      <c r="NYA1505" s="879"/>
      <c r="NYB1505" s="879"/>
      <c r="NYC1505" s="879"/>
      <c r="NYD1505" s="879"/>
      <c r="NYE1505" s="879"/>
      <c r="NYF1505" s="879"/>
      <c r="NYG1505" s="879"/>
      <c r="NYH1505" s="879"/>
      <c r="NYI1505" s="879"/>
      <c r="NYJ1505" s="879"/>
      <c r="NYK1505" s="879"/>
      <c r="NYL1505" s="879"/>
      <c r="NYM1505" s="879"/>
      <c r="NYN1505" s="879"/>
      <c r="NYO1505" s="879"/>
      <c r="NYP1505" s="879"/>
      <c r="NYQ1505" s="879"/>
      <c r="NYR1505" s="879"/>
      <c r="NYS1505" s="879"/>
      <c r="NYT1505" s="879"/>
      <c r="NYU1505" s="879"/>
      <c r="NYV1505" s="879"/>
      <c r="NYW1505" s="879"/>
      <c r="NYX1505" s="879"/>
      <c r="NYY1505" s="879"/>
      <c r="NYZ1505" s="879"/>
      <c r="NZA1505" s="879"/>
      <c r="NZB1505" s="879"/>
      <c r="NZC1505" s="879"/>
      <c r="NZD1505" s="879"/>
      <c r="NZE1505" s="879"/>
      <c r="NZF1505" s="879"/>
      <c r="NZG1505" s="879"/>
      <c r="NZH1505" s="879"/>
      <c r="NZI1505" s="879"/>
      <c r="NZJ1505" s="879"/>
      <c r="NZK1505" s="879"/>
      <c r="NZL1505" s="879"/>
      <c r="NZM1505" s="879"/>
      <c r="NZN1505" s="879"/>
      <c r="NZO1505" s="879"/>
      <c r="NZP1505" s="879"/>
      <c r="NZQ1505" s="879"/>
      <c r="NZR1505" s="879"/>
      <c r="NZS1505" s="879"/>
      <c r="NZT1505" s="879"/>
      <c r="NZU1505" s="879"/>
      <c r="NZV1505" s="879"/>
      <c r="NZW1505" s="879"/>
      <c r="NZX1505" s="879"/>
      <c r="NZY1505" s="879"/>
      <c r="NZZ1505" s="879"/>
      <c r="OAA1505" s="879"/>
      <c r="OAB1505" s="879"/>
      <c r="OAC1505" s="879"/>
      <c r="OAD1505" s="879"/>
      <c r="OAE1505" s="879"/>
      <c r="OAF1505" s="879"/>
      <c r="OAG1505" s="879"/>
      <c r="OAH1505" s="879"/>
      <c r="OAI1505" s="879"/>
      <c r="OAJ1505" s="879"/>
      <c r="OAK1505" s="879"/>
      <c r="OAL1505" s="879"/>
      <c r="OAM1505" s="879"/>
      <c r="OAN1505" s="879"/>
      <c r="OAO1505" s="879"/>
      <c r="OAP1505" s="879"/>
      <c r="OAQ1505" s="879"/>
      <c r="OAR1505" s="879"/>
      <c r="OAS1505" s="879"/>
      <c r="OAT1505" s="879"/>
      <c r="OAU1505" s="879"/>
      <c r="OAV1505" s="879"/>
      <c r="OAW1505" s="879"/>
      <c r="OAX1505" s="879"/>
      <c r="OAY1505" s="879"/>
      <c r="OAZ1505" s="879"/>
      <c r="OBA1505" s="879"/>
      <c r="OBB1505" s="879"/>
      <c r="OBC1505" s="879"/>
      <c r="OBD1505" s="879"/>
      <c r="OBE1505" s="879"/>
      <c r="OBF1505" s="879"/>
      <c r="OBG1505" s="879"/>
      <c r="OBH1505" s="879"/>
      <c r="OBI1505" s="879"/>
      <c r="OBJ1505" s="879"/>
      <c r="OBK1505" s="879"/>
      <c r="OBL1505" s="879"/>
      <c r="OBM1505" s="879"/>
      <c r="OBN1505" s="879"/>
      <c r="OBO1505" s="879"/>
      <c r="OBP1505" s="879"/>
      <c r="OBQ1505" s="879"/>
      <c r="OBR1505" s="879"/>
      <c r="OBS1505" s="879"/>
      <c r="OBT1505" s="879"/>
      <c r="OBU1505" s="879"/>
      <c r="OBV1505" s="879"/>
      <c r="OBW1505" s="879"/>
      <c r="OBX1505" s="879"/>
      <c r="OBY1505" s="879"/>
      <c r="OBZ1505" s="879"/>
      <c r="OCA1505" s="879"/>
      <c r="OCB1505" s="879"/>
      <c r="OCC1505" s="879"/>
      <c r="OCD1505" s="879"/>
      <c r="OCE1505" s="879"/>
      <c r="OCF1505" s="879"/>
      <c r="OCG1505" s="879"/>
      <c r="OCH1505" s="879"/>
      <c r="OCI1505" s="879"/>
      <c r="OCJ1505" s="879"/>
      <c r="OCK1505" s="879"/>
      <c r="OCL1505" s="879"/>
      <c r="OCM1505" s="879"/>
      <c r="OCN1505" s="879"/>
      <c r="OCO1505" s="879"/>
      <c r="OCP1505" s="879"/>
      <c r="OCQ1505" s="879"/>
      <c r="OCR1505" s="879"/>
      <c r="OCS1505" s="879"/>
      <c r="OCT1505" s="879"/>
      <c r="OCU1505" s="879"/>
      <c r="OCV1505" s="879"/>
      <c r="OCW1505" s="879"/>
      <c r="OCX1505" s="879"/>
      <c r="OCY1505" s="879"/>
      <c r="OCZ1505" s="879"/>
      <c r="ODA1505" s="879"/>
      <c r="ODB1505" s="879"/>
      <c r="ODC1505" s="879"/>
      <c r="ODD1505" s="879"/>
      <c r="ODE1505" s="879"/>
      <c r="ODF1505" s="879"/>
      <c r="ODG1505" s="879"/>
      <c r="ODH1505" s="879"/>
      <c r="ODI1505" s="879"/>
      <c r="ODJ1505" s="879"/>
      <c r="ODK1505" s="879"/>
      <c r="ODL1505" s="879"/>
      <c r="ODM1505" s="879"/>
      <c r="ODN1505" s="879"/>
      <c r="ODO1505" s="879"/>
      <c r="ODP1505" s="879"/>
      <c r="ODQ1505" s="879"/>
      <c r="ODR1505" s="879"/>
      <c r="ODS1505" s="879"/>
      <c r="ODT1505" s="879"/>
      <c r="ODU1505" s="879"/>
      <c r="ODV1505" s="879"/>
      <c r="ODW1505" s="879"/>
      <c r="ODX1505" s="879"/>
      <c r="ODY1505" s="879"/>
      <c r="ODZ1505" s="879"/>
      <c r="OEA1505" s="879"/>
      <c r="OEB1505" s="879"/>
      <c r="OEC1505" s="879"/>
      <c r="OED1505" s="879"/>
      <c r="OEE1505" s="879"/>
      <c r="OEF1505" s="879"/>
      <c r="OEG1505" s="879"/>
      <c r="OEH1505" s="879"/>
      <c r="OEI1505" s="879"/>
      <c r="OEJ1505" s="879"/>
      <c r="OEK1505" s="879"/>
      <c r="OEL1505" s="879"/>
      <c r="OEM1505" s="879"/>
      <c r="OEN1505" s="879"/>
      <c r="OEO1505" s="879"/>
      <c r="OEP1505" s="879"/>
      <c r="OEQ1505" s="879"/>
      <c r="OER1505" s="879"/>
      <c r="OES1505" s="879"/>
      <c r="OET1505" s="879"/>
      <c r="OEU1505" s="879"/>
      <c r="OEV1505" s="879"/>
      <c r="OEW1505" s="879"/>
      <c r="OEX1505" s="879"/>
      <c r="OEY1505" s="879"/>
      <c r="OEZ1505" s="879"/>
      <c r="OFA1505" s="879"/>
      <c r="OFB1505" s="879"/>
      <c r="OFC1505" s="879"/>
      <c r="OFD1505" s="879"/>
      <c r="OFE1505" s="879"/>
      <c r="OFF1505" s="879"/>
      <c r="OFG1505" s="879"/>
      <c r="OFH1505" s="879"/>
      <c r="OFI1505" s="879"/>
      <c r="OFJ1505" s="879"/>
      <c r="OFK1505" s="879"/>
      <c r="OFL1505" s="879"/>
      <c r="OFM1505" s="879"/>
      <c r="OFN1505" s="879"/>
      <c r="OFO1505" s="879"/>
      <c r="OFP1505" s="879"/>
      <c r="OFQ1505" s="879"/>
      <c r="OFR1505" s="879"/>
      <c r="OFS1505" s="879"/>
      <c r="OFT1505" s="879"/>
      <c r="OFU1505" s="879"/>
      <c r="OFV1505" s="879"/>
      <c r="OFW1505" s="879"/>
      <c r="OFX1505" s="879"/>
      <c r="OFY1505" s="879"/>
      <c r="OFZ1505" s="879"/>
      <c r="OGA1505" s="879"/>
      <c r="OGB1505" s="879"/>
      <c r="OGC1505" s="879"/>
      <c r="OGD1505" s="879"/>
      <c r="OGE1505" s="879"/>
      <c r="OGF1505" s="879"/>
      <c r="OGG1505" s="879"/>
      <c r="OGH1505" s="879"/>
      <c r="OGI1505" s="879"/>
      <c r="OGJ1505" s="879"/>
      <c r="OGK1505" s="879"/>
      <c r="OGL1505" s="879"/>
      <c r="OGM1505" s="879"/>
      <c r="OGN1505" s="879"/>
      <c r="OGO1505" s="879"/>
      <c r="OGP1505" s="879"/>
      <c r="OGQ1505" s="879"/>
      <c r="OGR1505" s="879"/>
      <c r="OGS1505" s="879"/>
      <c r="OGT1505" s="879"/>
      <c r="OGU1505" s="879"/>
      <c r="OGV1505" s="879"/>
      <c r="OGW1505" s="879"/>
      <c r="OGX1505" s="879"/>
      <c r="OGY1505" s="879"/>
      <c r="OGZ1505" s="879"/>
      <c r="OHA1505" s="879"/>
      <c r="OHB1505" s="879"/>
      <c r="OHC1505" s="879"/>
      <c r="OHD1505" s="879"/>
      <c r="OHE1505" s="879"/>
      <c r="OHF1505" s="879"/>
      <c r="OHG1505" s="879"/>
      <c r="OHH1505" s="879"/>
      <c r="OHI1505" s="879"/>
      <c r="OHJ1505" s="879"/>
      <c r="OHK1505" s="879"/>
      <c r="OHL1505" s="879"/>
      <c r="OHM1505" s="879"/>
      <c r="OHN1505" s="879"/>
      <c r="OHO1505" s="879"/>
      <c r="OHP1505" s="879"/>
      <c r="OHQ1505" s="879"/>
      <c r="OHR1505" s="879"/>
      <c r="OHS1505" s="879"/>
      <c r="OHT1505" s="879"/>
      <c r="OHU1505" s="879"/>
      <c r="OHV1505" s="879"/>
      <c r="OHW1505" s="879"/>
      <c r="OHX1505" s="879"/>
      <c r="OHY1505" s="879"/>
      <c r="OHZ1505" s="879"/>
      <c r="OIA1505" s="879"/>
      <c r="OIB1505" s="879"/>
      <c r="OIC1505" s="879"/>
      <c r="OID1505" s="879"/>
      <c r="OIE1505" s="879"/>
      <c r="OIF1505" s="879"/>
      <c r="OIG1505" s="879"/>
      <c r="OIH1505" s="879"/>
      <c r="OII1505" s="879"/>
      <c r="OIJ1505" s="879"/>
      <c r="OIK1505" s="879"/>
      <c r="OIL1505" s="879"/>
      <c r="OIM1505" s="879"/>
      <c r="OIN1505" s="879"/>
      <c r="OIO1505" s="879"/>
      <c r="OIP1505" s="879"/>
      <c r="OIQ1505" s="879"/>
      <c r="OIR1505" s="879"/>
      <c r="OIS1505" s="879"/>
      <c r="OIT1505" s="879"/>
      <c r="OIU1505" s="879"/>
      <c r="OIV1505" s="879"/>
      <c r="OIW1505" s="879"/>
      <c r="OIX1505" s="879"/>
      <c r="OIY1505" s="879"/>
      <c r="OIZ1505" s="879"/>
      <c r="OJA1505" s="879"/>
      <c r="OJB1505" s="879"/>
      <c r="OJC1505" s="879"/>
      <c r="OJD1505" s="879"/>
      <c r="OJE1505" s="879"/>
      <c r="OJF1505" s="879"/>
      <c r="OJG1505" s="879"/>
      <c r="OJH1505" s="879"/>
      <c r="OJI1505" s="879"/>
      <c r="OJJ1505" s="879"/>
      <c r="OJK1505" s="879"/>
      <c r="OJL1505" s="879"/>
      <c r="OJM1505" s="879"/>
      <c r="OJN1505" s="879"/>
      <c r="OJO1505" s="879"/>
      <c r="OJP1505" s="879"/>
      <c r="OJQ1505" s="879"/>
      <c r="OJR1505" s="879"/>
      <c r="OJS1505" s="879"/>
      <c r="OJT1505" s="879"/>
      <c r="OJU1505" s="879"/>
      <c r="OJV1505" s="879"/>
      <c r="OJW1505" s="879"/>
      <c r="OJX1505" s="879"/>
      <c r="OJY1505" s="879"/>
      <c r="OJZ1505" s="879"/>
      <c r="OKA1505" s="879"/>
      <c r="OKB1505" s="879"/>
      <c r="OKC1505" s="879"/>
      <c r="OKD1505" s="879"/>
      <c r="OKE1505" s="879"/>
      <c r="OKF1505" s="879"/>
      <c r="OKG1505" s="879"/>
      <c r="OKH1505" s="879"/>
      <c r="OKI1505" s="879"/>
      <c r="OKJ1505" s="879"/>
      <c r="OKK1505" s="879"/>
      <c r="OKL1505" s="879"/>
      <c r="OKM1505" s="879"/>
      <c r="OKN1505" s="879"/>
      <c r="OKO1505" s="879"/>
      <c r="OKP1505" s="879"/>
      <c r="OKQ1505" s="879"/>
      <c r="OKR1505" s="879"/>
      <c r="OKS1505" s="879"/>
      <c r="OKT1505" s="879"/>
      <c r="OKU1505" s="879"/>
      <c r="OKV1505" s="879"/>
      <c r="OKW1505" s="879"/>
      <c r="OKX1505" s="879"/>
      <c r="OKY1505" s="879"/>
      <c r="OKZ1505" s="879"/>
      <c r="OLA1505" s="879"/>
      <c r="OLB1505" s="879"/>
      <c r="OLC1505" s="879"/>
      <c r="OLD1505" s="879"/>
      <c r="OLE1505" s="879"/>
      <c r="OLF1505" s="879"/>
      <c r="OLG1505" s="879"/>
      <c r="OLH1505" s="879"/>
      <c r="OLI1505" s="879"/>
      <c r="OLJ1505" s="879"/>
      <c r="OLK1505" s="879"/>
      <c r="OLL1505" s="879"/>
      <c r="OLM1505" s="879"/>
      <c r="OLN1505" s="879"/>
      <c r="OLO1505" s="879"/>
      <c r="OLP1505" s="879"/>
      <c r="OLQ1505" s="879"/>
      <c r="OLR1505" s="879"/>
      <c r="OLS1505" s="879"/>
      <c r="OLT1505" s="879"/>
      <c r="OLU1505" s="879"/>
      <c r="OLV1505" s="879"/>
      <c r="OLW1505" s="879"/>
      <c r="OLX1505" s="879"/>
      <c r="OLY1505" s="879"/>
      <c r="OLZ1505" s="879"/>
      <c r="OMA1505" s="879"/>
      <c r="OMB1505" s="879"/>
      <c r="OMC1505" s="879"/>
      <c r="OMD1505" s="879"/>
      <c r="OME1505" s="879"/>
      <c r="OMF1505" s="879"/>
      <c r="OMG1505" s="879"/>
      <c r="OMH1505" s="879"/>
      <c r="OMI1505" s="879"/>
      <c r="OMJ1505" s="879"/>
      <c r="OMK1505" s="879"/>
      <c r="OML1505" s="879"/>
      <c r="OMM1505" s="879"/>
      <c r="OMN1505" s="879"/>
      <c r="OMO1505" s="879"/>
      <c r="OMP1505" s="879"/>
      <c r="OMQ1505" s="879"/>
      <c r="OMR1505" s="879"/>
      <c r="OMS1505" s="879"/>
      <c r="OMT1505" s="879"/>
      <c r="OMU1505" s="879"/>
      <c r="OMV1505" s="879"/>
      <c r="OMW1505" s="879"/>
      <c r="OMX1505" s="879"/>
      <c r="OMY1505" s="879"/>
      <c r="OMZ1505" s="879"/>
      <c r="ONA1505" s="879"/>
      <c r="ONB1505" s="879"/>
      <c r="ONC1505" s="879"/>
      <c r="OND1505" s="879"/>
      <c r="ONE1505" s="879"/>
      <c r="ONF1505" s="879"/>
      <c r="ONG1505" s="879"/>
      <c r="ONH1505" s="879"/>
      <c r="ONI1505" s="879"/>
      <c r="ONJ1505" s="879"/>
      <c r="ONK1505" s="879"/>
      <c r="ONL1505" s="879"/>
      <c r="ONM1505" s="879"/>
      <c r="ONN1505" s="879"/>
      <c r="ONO1505" s="879"/>
      <c r="ONP1505" s="879"/>
      <c r="ONQ1505" s="879"/>
      <c r="ONR1505" s="879"/>
      <c r="ONS1505" s="879"/>
      <c r="ONT1505" s="879"/>
      <c r="ONU1505" s="879"/>
      <c r="ONV1505" s="879"/>
      <c r="ONW1505" s="879"/>
      <c r="ONX1505" s="879"/>
      <c r="ONY1505" s="879"/>
      <c r="ONZ1505" s="879"/>
      <c r="OOA1505" s="879"/>
      <c r="OOB1505" s="879"/>
      <c r="OOC1505" s="879"/>
      <c r="OOD1505" s="879"/>
      <c r="OOE1505" s="879"/>
      <c r="OOF1505" s="879"/>
      <c r="OOG1505" s="879"/>
      <c r="OOH1505" s="879"/>
      <c r="OOI1505" s="879"/>
      <c r="OOJ1505" s="879"/>
      <c r="OOK1505" s="879"/>
      <c r="OOL1505" s="879"/>
      <c r="OOM1505" s="879"/>
      <c r="OON1505" s="879"/>
      <c r="OOO1505" s="879"/>
      <c r="OOP1505" s="879"/>
      <c r="OOQ1505" s="879"/>
      <c r="OOR1505" s="879"/>
      <c r="OOS1505" s="879"/>
      <c r="OOT1505" s="879"/>
      <c r="OOU1505" s="879"/>
      <c r="OOV1505" s="879"/>
      <c r="OOW1505" s="879"/>
      <c r="OOX1505" s="879"/>
      <c r="OOY1505" s="879"/>
      <c r="OOZ1505" s="879"/>
      <c r="OPA1505" s="879"/>
      <c r="OPB1505" s="879"/>
      <c r="OPC1505" s="879"/>
      <c r="OPD1505" s="879"/>
      <c r="OPE1505" s="879"/>
      <c r="OPF1505" s="879"/>
      <c r="OPG1505" s="879"/>
      <c r="OPH1505" s="879"/>
      <c r="OPI1505" s="879"/>
      <c r="OPJ1505" s="879"/>
      <c r="OPK1505" s="879"/>
      <c r="OPL1505" s="879"/>
      <c r="OPM1505" s="879"/>
      <c r="OPN1505" s="879"/>
      <c r="OPO1505" s="879"/>
      <c r="OPP1505" s="879"/>
      <c r="OPQ1505" s="879"/>
      <c r="OPR1505" s="879"/>
      <c r="OPS1505" s="879"/>
      <c r="OPT1505" s="879"/>
      <c r="OPU1505" s="879"/>
      <c r="OPV1505" s="879"/>
      <c r="OPW1505" s="879"/>
      <c r="OPX1505" s="879"/>
      <c r="OPY1505" s="879"/>
      <c r="OPZ1505" s="879"/>
      <c r="OQA1505" s="879"/>
      <c r="OQB1505" s="879"/>
      <c r="OQC1505" s="879"/>
      <c r="OQD1505" s="879"/>
      <c r="OQE1505" s="879"/>
      <c r="OQF1505" s="879"/>
      <c r="OQG1505" s="879"/>
      <c r="OQH1505" s="879"/>
      <c r="OQI1505" s="879"/>
      <c r="OQJ1505" s="879"/>
      <c r="OQK1505" s="879"/>
      <c r="OQL1505" s="879"/>
      <c r="OQM1505" s="879"/>
      <c r="OQN1505" s="879"/>
      <c r="OQO1505" s="879"/>
      <c r="OQP1505" s="879"/>
      <c r="OQQ1505" s="879"/>
      <c r="OQR1505" s="879"/>
      <c r="OQS1505" s="879"/>
      <c r="OQT1505" s="879"/>
      <c r="OQU1505" s="879"/>
      <c r="OQV1505" s="879"/>
      <c r="OQW1505" s="879"/>
      <c r="OQX1505" s="879"/>
      <c r="OQY1505" s="879"/>
      <c r="OQZ1505" s="879"/>
      <c r="ORA1505" s="879"/>
      <c r="ORB1505" s="879"/>
      <c r="ORC1505" s="879"/>
      <c r="ORD1505" s="879"/>
      <c r="ORE1505" s="879"/>
      <c r="ORF1505" s="879"/>
      <c r="ORG1505" s="879"/>
      <c r="ORH1505" s="879"/>
      <c r="ORI1505" s="879"/>
      <c r="ORJ1505" s="879"/>
      <c r="ORK1505" s="879"/>
      <c r="ORL1505" s="879"/>
      <c r="ORM1505" s="879"/>
      <c r="ORN1505" s="879"/>
      <c r="ORO1505" s="879"/>
      <c r="ORP1505" s="879"/>
      <c r="ORQ1505" s="879"/>
      <c r="ORR1505" s="879"/>
      <c r="ORS1505" s="879"/>
      <c r="ORT1505" s="879"/>
      <c r="ORU1505" s="879"/>
      <c r="ORV1505" s="879"/>
      <c r="ORW1505" s="879"/>
      <c r="ORX1505" s="879"/>
      <c r="ORY1505" s="879"/>
      <c r="ORZ1505" s="879"/>
      <c r="OSA1505" s="879"/>
      <c r="OSB1505" s="879"/>
      <c r="OSC1505" s="879"/>
      <c r="OSD1505" s="879"/>
      <c r="OSE1505" s="879"/>
      <c r="OSF1505" s="879"/>
      <c r="OSG1505" s="879"/>
      <c r="OSH1505" s="879"/>
      <c r="OSI1505" s="879"/>
      <c r="OSJ1505" s="879"/>
      <c r="OSK1505" s="879"/>
      <c r="OSL1505" s="879"/>
      <c r="OSM1505" s="879"/>
      <c r="OSN1505" s="879"/>
      <c r="OSO1505" s="879"/>
      <c r="OSP1505" s="879"/>
      <c r="OSQ1505" s="879"/>
      <c r="OSR1505" s="879"/>
      <c r="OSS1505" s="879"/>
      <c r="OST1505" s="879"/>
      <c r="OSU1505" s="879"/>
      <c r="OSV1505" s="879"/>
      <c r="OSW1505" s="879"/>
      <c r="OSX1505" s="879"/>
      <c r="OSY1505" s="879"/>
      <c r="OSZ1505" s="879"/>
      <c r="OTA1505" s="879"/>
      <c r="OTB1505" s="879"/>
      <c r="OTC1505" s="879"/>
      <c r="OTD1505" s="879"/>
      <c r="OTE1505" s="879"/>
      <c r="OTF1505" s="879"/>
      <c r="OTG1505" s="879"/>
      <c r="OTH1505" s="879"/>
      <c r="OTI1505" s="879"/>
      <c r="OTJ1505" s="879"/>
      <c r="OTK1505" s="879"/>
      <c r="OTL1505" s="879"/>
      <c r="OTM1505" s="879"/>
      <c r="OTN1505" s="879"/>
      <c r="OTO1505" s="879"/>
      <c r="OTP1505" s="879"/>
      <c r="OTQ1505" s="879"/>
      <c r="OTR1505" s="879"/>
      <c r="OTS1505" s="879"/>
      <c r="OTT1505" s="879"/>
      <c r="OTU1505" s="879"/>
      <c r="OTV1505" s="879"/>
      <c r="OTW1505" s="879"/>
      <c r="OTX1505" s="879"/>
      <c r="OTY1505" s="879"/>
      <c r="OTZ1505" s="879"/>
      <c r="OUA1505" s="879"/>
      <c r="OUB1505" s="879"/>
      <c r="OUC1505" s="879"/>
      <c r="OUD1505" s="879"/>
      <c r="OUE1505" s="879"/>
      <c r="OUF1505" s="879"/>
      <c r="OUG1505" s="879"/>
      <c r="OUH1505" s="879"/>
      <c r="OUI1505" s="879"/>
      <c r="OUJ1505" s="879"/>
      <c r="OUK1505" s="879"/>
      <c r="OUL1505" s="879"/>
      <c r="OUM1505" s="879"/>
      <c r="OUN1505" s="879"/>
      <c r="OUO1505" s="879"/>
      <c r="OUP1505" s="879"/>
      <c r="OUQ1505" s="879"/>
      <c r="OUR1505" s="879"/>
      <c r="OUS1505" s="879"/>
      <c r="OUT1505" s="879"/>
      <c r="OUU1505" s="879"/>
      <c r="OUV1505" s="879"/>
      <c r="OUW1505" s="879"/>
      <c r="OUX1505" s="879"/>
      <c r="OUY1505" s="879"/>
      <c r="OUZ1505" s="879"/>
      <c r="OVA1505" s="879"/>
      <c r="OVB1505" s="879"/>
      <c r="OVC1505" s="879"/>
      <c r="OVD1505" s="879"/>
      <c r="OVE1505" s="879"/>
      <c r="OVF1505" s="879"/>
      <c r="OVG1505" s="879"/>
      <c r="OVH1505" s="879"/>
      <c r="OVI1505" s="879"/>
      <c r="OVJ1505" s="879"/>
      <c r="OVK1505" s="879"/>
      <c r="OVL1505" s="879"/>
      <c r="OVM1505" s="879"/>
      <c r="OVN1505" s="879"/>
      <c r="OVO1505" s="879"/>
      <c r="OVP1505" s="879"/>
      <c r="OVQ1505" s="879"/>
      <c r="OVR1505" s="879"/>
      <c r="OVS1505" s="879"/>
      <c r="OVT1505" s="879"/>
      <c r="OVU1505" s="879"/>
      <c r="OVV1505" s="879"/>
      <c r="OVW1505" s="879"/>
      <c r="OVX1505" s="879"/>
      <c r="OVY1505" s="879"/>
      <c r="OVZ1505" s="879"/>
      <c r="OWA1505" s="879"/>
      <c r="OWB1505" s="879"/>
      <c r="OWC1505" s="879"/>
      <c r="OWD1505" s="879"/>
      <c r="OWE1505" s="879"/>
      <c r="OWF1505" s="879"/>
      <c r="OWG1505" s="879"/>
      <c r="OWH1505" s="879"/>
      <c r="OWI1505" s="879"/>
      <c r="OWJ1505" s="879"/>
      <c r="OWK1505" s="879"/>
      <c r="OWL1505" s="879"/>
      <c r="OWM1505" s="879"/>
      <c r="OWN1505" s="879"/>
      <c r="OWO1505" s="879"/>
      <c r="OWP1505" s="879"/>
      <c r="OWQ1505" s="879"/>
      <c r="OWR1505" s="879"/>
      <c r="OWS1505" s="879"/>
      <c r="OWT1505" s="879"/>
      <c r="OWU1505" s="879"/>
      <c r="OWV1505" s="879"/>
      <c r="OWW1505" s="879"/>
      <c r="OWX1505" s="879"/>
      <c r="OWY1505" s="879"/>
      <c r="OWZ1505" s="879"/>
      <c r="OXA1505" s="879"/>
      <c r="OXB1505" s="879"/>
      <c r="OXC1505" s="879"/>
      <c r="OXD1505" s="879"/>
      <c r="OXE1505" s="879"/>
      <c r="OXF1505" s="879"/>
      <c r="OXG1505" s="879"/>
      <c r="OXH1505" s="879"/>
      <c r="OXI1505" s="879"/>
      <c r="OXJ1505" s="879"/>
      <c r="OXK1505" s="879"/>
      <c r="OXL1505" s="879"/>
      <c r="OXM1505" s="879"/>
      <c r="OXN1505" s="879"/>
      <c r="OXO1505" s="879"/>
      <c r="OXP1505" s="879"/>
      <c r="OXQ1505" s="879"/>
      <c r="OXR1505" s="879"/>
      <c r="OXS1505" s="879"/>
      <c r="OXT1505" s="879"/>
      <c r="OXU1505" s="879"/>
      <c r="OXV1505" s="879"/>
      <c r="OXW1505" s="879"/>
      <c r="OXX1505" s="879"/>
      <c r="OXY1505" s="879"/>
      <c r="OXZ1505" s="879"/>
      <c r="OYA1505" s="879"/>
      <c r="OYB1505" s="879"/>
      <c r="OYC1505" s="879"/>
      <c r="OYD1505" s="879"/>
      <c r="OYE1505" s="879"/>
      <c r="OYF1505" s="879"/>
      <c r="OYG1505" s="879"/>
      <c r="OYH1505" s="879"/>
      <c r="OYI1505" s="879"/>
      <c r="OYJ1505" s="879"/>
      <c r="OYK1505" s="879"/>
      <c r="OYL1505" s="879"/>
      <c r="OYM1505" s="879"/>
      <c r="OYN1505" s="879"/>
      <c r="OYO1505" s="879"/>
      <c r="OYP1505" s="879"/>
      <c r="OYQ1505" s="879"/>
      <c r="OYR1505" s="879"/>
      <c r="OYS1505" s="879"/>
      <c r="OYT1505" s="879"/>
      <c r="OYU1505" s="879"/>
      <c r="OYV1505" s="879"/>
      <c r="OYW1505" s="879"/>
      <c r="OYX1505" s="879"/>
      <c r="OYY1505" s="879"/>
      <c r="OYZ1505" s="879"/>
      <c r="OZA1505" s="879"/>
      <c r="OZB1505" s="879"/>
      <c r="OZC1505" s="879"/>
      <c r="OZD1505" s="879"/>
      <c r="OZE1505" s="879"/>
      <c r="OZF1505" s="879"/>
      <c r="OZG1505" s="879"/>
      <c r="OZH1505" s="879"/>
      <c r="OZI1505" s="879"/>
      <c r="OZJ1505" s="879"/>
      <c r="OZK1505" s="879"/>
      <c r="OZL1505" s="879"/>
      <c r="OZM1505" s="879"/>
      <c r="OZN1505" s="879"/>
      <c r="OZO1505" s="879"/>
      <c r="OZP1505" s="879"/>
      <c r="OZQ1505" s="879"/>
      <c r="OZR1505" s="879"/>
      <c r="OZS1505" s="879"/>
      <c r="OZT1505" s="879"/>
      <c r="OZU1505" s="879"/>
      <c r="OZV1505" s="879"/>
      <c r="OZW1505" s="879"/>
      <c r="OZX1505" s="879"/>
      <c r="OZY1505" s="879"/>
      <c r="OZZ1505" s="879"/>
      <c r="PAA1505" s="879"/>
      <c r="PAB1505" s="879"/>
      <c r="PAC1505" s="879"/>
      <c r="PAD1505" s="879"/>
      <c r="PAE1505" s="879"/>
      <c r="PAF1505" s="879"/>
      <c r="PAG1505" s="879"/>
      <c r="PAH1505" s="879"/>
      <c r="PAI1505" s="879"/>
      <c r="PAJ1505" s="879"/>
      <c r="PAK1505" s="879"/>
      <c r="PAL1505" s="879"/>
      <c r="PAM1505" s="879"/>
      <c r="PAN1505" s="879"/>
      <c r="PAO1505" s="879"/>
      <c r="PAP1505" s="879"/>
      <c r="PAQ1505" s="879"/>
      <c r="PAR1505" s="879"/>
      <c r="PAS1505" s="879"/>
      <c r="PAT1505" s="879"/>
      <c r="PAU1505" s="879"/>
      <c r="PAV1505" s="879"/>
      <c r="PAW1505" s="879"/>
      <c r="PAX1505" s="879"/>
      <c r="PAY1505" s="879"/>
      <c r="PAZ1505" s="879"/>
      <c r="PBA1505" s="879"/>
      <c r="PBB1505" s="879"/>
      <c r="PBC1505" s="879"/>
      <c r="PBD1505" s="879"/>
      <c r="PBE1505" s="879"/>
      <c r="PBF1505" s="879"/>
      <c r="PBG1505" s="879"/>
      <c r="PBH1505" s="879"/>
      <c r="PBI1505" s="879"/>
      <c r="PBJ1505" s="879"/>
      <c r="PBK1505" s="879"/>
      <c r="PBL1505" s="879"/>
      <c r="PBM1505" s="879"/>
      <c r="PBN1505" s="879"/>
      <c r="PBO1505" s="879"/>
      <c r="PBP1505" s="879"/>
      <c r="PBQ1505" s="879"/>
      <c r="PBR1505" s="879"/>
      <c r="PBS1505" s="879"/>
      <c r="PBT1505" s="879"/>
      <c r="PBU1505" s="879"/>
      <c r="PBV1505" s="879"/>
      <c r="PBW1505" s="879"/>
      <c r="PBX1505" s="879"/>
      <c r="PBY1505" s="879"/>
      <c r="PBZ1505" s="879"/>
      <c r="PCA1505" s="879"/>
      <c r="PCB1505" s="879"/>
      <c r="PCC1505" s="879"/>
      <c r="PCD1505" s="879"/>
      <c r="PCE1505" s="879"/>
      <c r="PCF1505" s="879"/>
      <c r="PCG1505" s="879"/>
      <c r="PCH1505" s="879"/>
      <c r="PCI1505" s="879"/>
      <c r="PCJ1505" s="879"/>
      <c r="PCK1505" s="879"/>
      <c r="PCL1505" s="879"/>
      <c r="PCM1505" s="879"/>
      <c r="PCN1505" s="879"/>
      <c r="PCO1505" s="879"/>
      <c r="PCP1505" s="879"/>
      <c r="PCQ1505" s="879"/>
      <c r="PCR1505" s="879"/>
      <c r="PCS1505" s="879"/>
      <c r="PCT1505" s="879"/>
      <c r="PCU1505" s="879"/>
      <c r="PCV1505" s="879"/>
      <c r="PCW1505" s="879"/>
      <c r="PCX1505" s="879"/>
      <c r="PCY1505" s="879"/>
      <c r="PCZ1505" s="879"/>
      <c r="PDA1505" s="879"/>
      <c r="PDB1505" s="879"/>
      <c r="PDC1505" s="879"/>
      <c r="PDD1505" s="879"/>
      <c r="PDE1505" s="879"/>
      <c r="PDF1505" s="879"/>
      <c r="PDG1505" s="879"/>
      <c r="PDH1505" s="879"/>
      <c r="PDI1505" s="879"/>
      <c r="PDJ1505" s="879"/>
      <c r="PDK1505" s="879"/>
      <c r="PDL1505" s="879"/>
      <c r="PDM1505" s="879"/>
      <c r="PDN1505" s="879"/>
      <c r="PDO1505" s="879"/>
      <c r="PDP1505" s="879"/>
      <c r="PDQ1505" s="879"/>
      <c r="PDR1505" s="879"/>
      <c r="PDS1505" s="879"/>
      <c r="PDT1505" s="879"/>
      <c r="PDU1505" s="879"/>
      <c r="PDV1505" s="879"/>
      <c r="PDW1505" s="879"/>
      <c r="PDX1505" s="879"/>
      <c r="PDY1505" s="879"/>
      <c r="PDZ1505" s="879"/>
      <c r="PEA1505" s="879"/>
      <c r="PEB1505" s="879"/>
      <c r="PEC1505" s="879"/>
      <c r="PED1505" s="879"/>
      <c r="PEE1505" s="879"/>
      <c r="PEF1505" s="879"/>
      <c r="PEG1505" s="879"/>
      <c r="PEH1505" s="879"/>
      <c r="PEI1505" s="879"/>
      <c r="PEJ1505" s="879"/>
      <c r="PEK1505" s="879"/>
      <c r="PEL1505" s="879"/>
      <c r="PEM1505" s="879"/>
      <c r="PEN1505" s="879"/>
      <c r="PEO1505" s="879"/>
      <c r="PEP1505" s="879"/>
      <c r="PEQ1505" s="879"/>
      <c r="PER1505" s="879"/>
      <c r="PES1505" s="879"/>
      <c r="PET1505" s="879"/>
      <c r="PEU1505" s="879"/>
      <c r="PEV1505" s="879"/>
      <c r="PEW1505" s="879"/>
      <c r="PEX1505" s="879"/>
      <c r="PEY1505" s="879"/>
      <c r="PEZ1505" s="879"/>
      <c r="PFA1505" s="879"/>
      <c r="PFB1505" s="879"/>
      <c r="PFC1505" s="879"/>
      <c r="PFD1505" s="879"/>
      <c r="PFE1505" s="879"/>
      <c r="PFF1505" s="879"/>
      <c r="PFG1505" s="879"/>
      <c r="PFH1505" s="879"/>
      <c r="PFI1505" s="879"/>
      <c r="PFJ1505" s="879"/>
      <c r="PFK1505" s="879"/>
      <c r="PFL1505" s="879"/>
      <c r="PFM1505" s="879"/>
      <c r="PFN1505" s="879"/>
      <c r="PFO1505" s="879"/>
      <c r="PFP1505" s="879"/>
      <c r="PFQ1505" s="879"/>
      <c r="PFR1505" s="879"/>
      <c r="PFS1505" s="879"/>
      <c r="PFT1505" s="879"/>
      <c r="PFU1505" s="879"/>
      <c r="PFV1505" s="879"/>
      <c r="PFW1505" s="879"/>
      <c r="PFX1505" s="879"/>
      <c r="PFY1505" s="879"/>
      <c r="PFZ1505" s="879"/>
      <c r="PGA1505" s="879"/>
      <c r="PGB1505" s="879"/>
      <c r="PGC1505" s="879"/>
      <c r="PGD1505" s="879"/>
      <c r="PGE1505" s="879"/>
      <c r="PGF1505" s="879"/>
      <c r="PGG1505" s="879"/>
      <c r="PGH1505" s="879"/>
      <c r="PGI1505" s="879"/>
      <c r="PGJ1505" s="879"/>
      <c r="PGK1505" s="879"/>
      <c r="PGL1505" s="879"/>
      <c r="PGM1505" s="879"/>
      <c r="PGN1505" s="879"/>
      <c r="PGO1505" s="879"/>
      <c r="PGP1505" s="879"/>
      <c r="PGQ1505" s="879"/>
      <c r="PGR1505" s="879"/>
      <c r="PGS1505" s="879"/>
      <c r="PGT1505" s="879"/>
      <c r="PGU1505" s="879"/>
      <c r="PGV1505" s="879"/>
      <c r="PGW1505" s="879"/>
      <c r="PGX1505" s="879"/>
      <c r="PGY1505" s="879"/>
      <c r="PGZ1505" s="879"/>
      <c r="PHA1505" s="879"/>
      <c r="PHB1505" s="879"/>
      <c r="PHC1505" s="879"/>
      <c r="PHD1505" s="879"/>
      <c r="PHE1505" s="879"/>
      <c r="PHF1505" s="879"/>
      <c r="PHG1505" s="879"/>
      <c r="PHH1505" s="879"/>
      <c r="PHI1505" s="879"/>
      <c r="PHJ1505" s="879"/>
      <c r="PHK1505" s="879"/>
      <c r="PHL1505" s="879"/>
      <c r="PHM1505" s="879"/>
      <c r="PHN1505" s="879"/>
      <c r="PHO1505" s="879"/>
      <c r="PHP1505" s="879"/>
      <c r="PHQ1505" s="879"/>
      <c r="PHR1505" s="879"/>
      <c r="PHS1505" s="879"/>
      <c r="PHT1505" s="879"/>
      <c r="PHU1505" s="879"/>
      <c r="PHV1505" s="879"/>
      <c r="PHW1505" s="879"/>
      <c r="PHX1505" s="879"/>
      <c r="PHY1505" s="879"/>
      <c r="PHZ1505" s="879"/>
      <c r="PIA1505" s="879"/>
      <c r="PIB1505" s="879"/>
      <c r="PIC1505" s="879"/>
      <c r="PID1505" s="879"/>
      <c r="PIE1505" s="879"/>
      <c r="PIF1505" s="879"/>
      <c r="PIG1505" s="879"/>
      <c r="PIH1505" s="879"/>
      <c r="PII1505" s="879"/>
      <c r="PIJ1505" s="879"/>
      <c r="PIK1505" s="879"/>
      <c r="PIL1505" s="879"/>
      <c r="PIM1505" s="879"/>
      <c r="PIN1505" s="879"/>
      <c r="PIO1505" s="879"/>
      <c r="PIP1505" s="879"/>
      <c r="PIQ1505" s="879"/>
      <c r="PIR1505" s="879"/>
      <c r="PIS1505" s="879"/>
      <c r="PIT1505" s="879"/>
      <c r="PIU1505" s="879"/>
      <c r="PIV1505" s="879"/>
      <c r="PIW1505" s="879"/>
      <c r="PIX1505" s="879"/>
      <c r="PIY1505" s="879"/>
      <c r="PIZ1505" s="879"/>
      <c r="PJA1505" s="879"/>
      <c r="PJB1505" s="879"/>
      <c r="PJC1505" s="879"/>
      <c r="PJD1505" s="879"/>
      <c r="PJE1505" s="879"/>
      <c r="PJF1505" s="879"/>
      <c r="PJG1505" s="879"/>
      <c r="PJH1505" s="879"/>
      <c r="PJI1505" s="879"/>
      <c r="PJJ1505" s="879"/>
      <c r="PJK1505" s="879"/>
      <c r="PJL1505" s="879"/>
      <c r="PJM1505" s="879"/>
      <c r="PJN1505" s="879"/>
      <c r="PJO1505" s="879"/>
      <c r="PJP1505" s="879"/>
      <c r="PJQ1505" s="879"/>
      <c r="PJR1505" s="879"/>
      <c r="PJS1505" s="879"/>
      <c r="PJT1505" s="879"/>
      <c r="PJU1505" s="879"/>
      <c r="PJV1505" s="879"/>
      <c r="PJW1505" s="879"/>
      <c r="PJX1505" s="879"/>
      <c r="PJY1505" s="879"/>
      <c r="PJZ1505" s="879"/>
      <c r="PKA1505" s="879"/>
      <c r="PKB1505" s="879"/>
      <c r="PKC1505" s="879"/>
      <c r="PKD1505" s="879"/>
      <c r="PKE1505" s="879"/>
      <c r="PKF1505" s="879"/>
      <c r="PKG1505" s="879"/>
      <c r="PKH1505" s="879"/>
      <c r="PKI1505" s="879"/>
      <c r="PKJ1505" s="879"/>
      <c r="PKK1505" s="879"/>
      <c r="PKL1505" s="879"/>
      <c r="PKM1505" s="879"/>
      <c r="PKN1505" s="879"/>
      <c r="PKO1505" s="879"/>
      <c r="PKP1505" s="879"/>
      <c r="PKQ1505" s="879"/>
      <c r="PKR1505" s="879"/>
      <c r="PKS1505" s="879"/>
      <c r="PKT1505" s="879"/>
      <c r="PKU1505" s="879"/>
      <c r="PKV1505" s="879"/>
      <c r="PKW1505" s="879"/>
      <c r="PKX1505" s="879"/>
      <c r="PKY1505" s="879"/>
      <c r="PKZ1505" s="879"/>
      <c r="PLA1505" s="879"/>
      <c r="PLB1505" s="879"/>
      <c r="PLC1505" s="879"/>
      <c r="PLD1505" s="879"/>
      <c r="PLE1505" s="879"/>
      <c r="PLF1505" s="879"/>
      <c r="PLG1505" s="879"/>
      <c r="PLH1505" s="879"/>
      <c r="PLI1505" s="879"/>
      <c r="PLJ1505" s="879"/>
      <c r="PLK1505" s="879"/>
      <c r="PLL1505" s="879"/>
      <c r="PLM1505" s="879"/>
      <c r="PLN1505" s="879"/>
      <c r="PLO1505" s="879"/>
      <c r="PLP1505" s="879"/>
      <c r="PLQ1505" s="879"/>
      <c r="PLR1505" s="879"/>
      <c r="PLS1505" s="879"/>
      <c r="PLT1505" s="879"/>
      <c r="PLU1505" s="879"/>
      <c r="PLV1505" s="879"/>
      <c r="PLW1505" s="879"/>
      <c r="PLX1505" s="879"/>
      <c r="PLY1505" s="879"/>
      <c r="PLZ1505" s="879"/>
      <c r="PMA1505" s="879"/>
      <c r="PMB1505" s="879"/>
      <c r="PMC1505" s="879"/>
      <c r="PMD1505" s="879"/>
      <c r="PME1505" s="879"/>
      <c r="PMF1505" s="879"/>
      <c r="PMG1505" s="879"/>
      <c r="PMH1505" s="879"/>
      <c r="PMI1505" s="879"/>
      <c r="PMJ1505" s="879"/>
      <c r="PMK1505" s="879"/>
      <c r="PML1505" s="879"/>
      <c r="PMM1505" s="879"/>
      <c r="PMN1505" s="879"/>
      <c r="PMO1505" s="879"/>
      <c r="PMP1505" s="879"/>
      <c r="PMQ1505" s="879"/>
      <c r="PMR1505" s="879"/>
      <c r="PMS1505" s="879"/>
      <c r="PMT1505" s="879"/>
      <c r="PMU1505" s="879"/>
      <c r="PMV1505" s="879"/>
      <c r="PMW1505" s="879"/>
      <c r="PMX1505" s="879"/>
      <c r="PMY1505" s="879"/>
      <c r="PMZ1505" s="879"/>
      <c r="PNA1505" s="879"/>
      <c r="PNB1505" s="879"/>
      <c r="PNC1505" s="879"/>
      <c r="PND1505" s="879"/>
      <c r="PNE1505" s="879"/>
      <c r="PNF1505" s="879"/>
      <c r="PNG1505" s="879"/>
      <c r="PNH1505" s="879"/>
      <c r="PNI1505" s="879"/>
      <c r="PNJ1505" s="879"/>
      <c r="PNK1505" s="879"/>
      <c r="PNL1505" s="879"/>
      <c r="PNM1505" s="879"/>
      <c r="PNN1505" s="879"/>
      <c r="PNO1505" s="879"/>
      <c r="PNP1505" s="879"/>
      <c r="PNQ1505" s="879"/>
      <c r="PNR1505" s="879"/>
      <c r="PNS1505" s="879"/>
      <c r="PNT1505" s="879"/>
      <c r="PNU1505" s="879"/>
      <c r="PNV1505" s="879"/>
      <c r="PNW1505" s="879"/>
      <c r="PNX1505" s="879"/>
      <c r="PNY1505" s="879"/>
      <c r="PNZ1505" s="879"/>
      <c r="POA1505" s="879"/>
      <c r="POB1505" s="879"/>
      <c r="POC1505" s="879"/>
      <c r="POD1505" s="879"/>
      <c r="POE1505" s="879"/>
      <c r="POF1505" s="879"/>
      <c r="POG1505" s="879"/>
      <c r="POH1505" s="879"/>
      <c r="POI1505" s="879"/>
      <c r="POJ1505" s="879"/>
      <c r="POK1505" s="879"/>
      <c r="POL1505" s="879"/>
      <c r="POM1505" s="879"/>
      <c r="PON1505" s="879"/>
      <c r="POO1505" s="879"/>
      <c r="POP1505" s="879"/>
      <c r="POQ1505" s="879"/>
      <c r="POR1505" s="879"/>
      <c r="POS1505" s="879"/>
      <c r="POT1505" s="879"/>
      <c r="POU1505" s="879"/>
      <c r="POV1505" s="879"/>
      <c r="POW1505" s="879"/>
      <c r="POX1505" s="879"/>
      <c r="POY1505" s="879"/>
      <c r="POZ1505" s="879"/>
      <c r="PPA1505" s="879"/>
      <c r="PPB1505" s="879"/>
      <c r="PPC1505" s="879"/>
      <c r="PPD1505" s="879"/>
      <c r="PPE1505" s="879"/>
      <c r="PPF1505" s="879"/>
      <c r="PPG1505" s="879"/>
      <c r="PPH1505" s="879"/>
      <c r="PPI1505" s="879"/>
      <c r="PPJ1505" s="879"/>
      <c r="PPK1505" s="879"/>
      <c r="PPL1505" s="879"/>
      <c r="PPM1505" s="879"/>
      <c r="PPN1505" s="879"/>
      <c r="PPO1505" s="879"/>
      <c r="PPP1505" s="879"/>
      <c r="PPQ1505" s="879"/>
      <c r="PPR1505" s="879"/>
      <c r="PPS1505" s="879"/>
      <c r="PPT1505" s="879"/>
      <c r="PPU1505" s="879"/>
      <c r="PPV1505" s="879"/>
      <c r="PPW1505" s="879"/>
      <c r="PPX1505" s="879"/>
      <c r="PPY1505" s="879"/>
      <c r="PPZ1505" s="879"/>
      <c r="PQA1505" s="879"/>
      <c r="PQB1505" s="879"/>
      <c r="PQC1505" s="879"/>
      <c r="PQD1505" s="879"/>
      <c r="PQE1505" s="879"/>
      <c r="PQF1505" s="879"/>
      <c r="PQG1505" s="879"/>
      <c r="PQH1505" s="879"/>
      <c r="PQI1505" s="879"/>
      <c r="PQJ1505" s="879"/>
      <c r="PQK1505" s="879"/>
      <c r="PQL1505" s="879"/>
      <c r="PQM1505" s="879"/>
      <c r="PQN1505" s="879"/>
      <c r="PQO1505" s="879"/>
      <c r="PQP1505" s="879"/>
      <c r="PQQ1505" s="879"/>
      <c r="PQR1505" s="879"/>
      <c r="PQS1505" s="879"/>
      <c r="PQT1505" s="879"/>
      <c r="PQU1505" s="879"/>
      <c r="PQV1505" s="879"/>
      <c r="PQW1505" s="879"/>
      <c r="PQX1505" s="879"/>
      <c r="PQY1505" s="879"/>
      <c r="PQZ1505" s="879"/>
      <c r="PRA1505" s="879"/>
      <c r="PRB1505" s="879"/>
      <c r="PRC1505" s="879"/>
      <c r="PRD1505" s="879"/>
      <c r="PRE1505" s="879"/>
      <c r="PRF1505" s="879"/>
      <c r="PRG1505" s="879"/>
      <c r="PRH1505" s="879"/>
      <c r="PRI1505" s="879"/>
      <c r="PRJ1505" s="879"/>
      <c r="PRK1505" s="879"/>
      <c r="PRL1505" s="879"/>
      <c r="PRM1505" s="879"/>
      <c r="PRN1505" s="879"/>
      <c r="PRO1505" s="879"/>
      <c r="PRP1505" s="879"/>
      <c r="PRQ1505" s="879"/>
      <c r="PRR1505" s="879"/>
      <c r="PRS1505" s="879"/>
      <c r="PRT1505" s="879"/>
      <c r="PRU1505" s="879"/>
      <c r="PRV1505" s="879"/>
      <c r="PRW1505" s="879"/>
      <c r="PRX1505" s="879"/>
      <c r="PRY1505" s="879"/>
      <c r="PRZ1505" s="879"/>
      <c r="PSA1505" s="879"/>
      <c r="PSB1505" s="879"/>
      <c r="PSC1505" s="879"/>
      <c r="PSD1505" s="879"/>
      <c r="PSE1505" s="879"/>
      <c r="PSF1505" s="879"/>
      <c r="PSG1505" s="879"/>
      <c r="PSH1505" s="879"/>
      <c r="PSI1505" s="879"/>
      <c r="PSJ1505" s="879"/>
      <c r="PSK1505" s="879"/>
      <c r="PSL1505" s="879"/>
      <c r="PSM1505" s="879"/>
      <c r="PSN1505" s="879"/>
      <c r="PSO1505" s="879"/>
      <c r="PSP1505" s="879"/>
      <c r="PSQ1505" s="879"/>
      <c r="PSR1505" s="879"/>
      <c r="PSS1505" s="879"/>
      <c r="PST1505" s="879"/>
      <c r="PSU1505" s="879"/>
      <c r="PSV1505" s="879"/>
      <c r="PSW1505" s="879"/>
      <c r="PSX1505" s="879"/>
      <c r="PSY1505" s="879"/>
      <c r="PSZ1505" s="879"/>
      <c r="PTA1505" s="879"/>
      <c r="PTB1505" s="879"/>
      <c r="PTC1505" s="879"/>
      <c r="PTD1505" s="879"/>
      <c r="PTE1505" s="879"/>
      <c r="PTF1505" s="879"/>
      <c r="PTG1505" s="879"/>
      <c r="PTH1505" s="879"/>
      <c r="PTI1505" s="879"/>
      <c r="PTJ1505" s="879"/>
      <c r="PTK1505" s="879"/>
      <c r="PTL1505" s="879"/>
      <c r="PTM1505" s="879"/>
      <c r="PTN1505" s="879"/>
      <c r="PTO1505" s="879"/>
      <c r="PTP1505" s="879"/>
      <c r="PTQ1505" s="879"/>
      <c r="PTR1505" s="879"/>
      <c r="PTS1505" s="879"/>
      <c r="PTT1505" s="879"/>
      <c r="PTU1505" s="879"/>
      <c r="PTV1505" s="879"/>
      <c r="PTW1505" s="879"/>
      <c r="PTX1505" s="879"/>
      <c r="PTY1505" s="879"/>
      <c r="PTZ1505" s="879"/>
      <c r="PUA1505" s="879"/>
      <c r="PUB1505" s="879"/>
      <c r="PUC1505" s="879"/>
      <c r="PUD1505" s="879"/>
      <c r="PUE1505" s="879"/>
      <c r="PUF1505" s="879"/>
      <c r="PUG1505" s="879"/>
      <c r="PUH1505" s="879"/>
      <c r="PUI1505" s="879"/>
      <c r="PUJ1505" s="879"/>
      <c r="PUK1505" s="879"/>
      <c r="PUL1505" s="879"/>
      <c r="PUM1505" s="879"/>
      <c r="PUN1505" s="879"/>
      <c r="PUO1505" s="879"/>
      <c r="PUP1505" s="879"/>
      <c r="PUQ1505" s="879"/>
      <c r="PUR1505" s="879"/>
      <c r="PUS1505" s="879"/>
      <c r="PUT1505" s="879"/>
      <c r="PUU1505" s="879"/>
      <c r="PUV1505" s="879"/>
      <c r="PUW1505" s="879"/>
      <c r="PUX1505" s="879"/>
      <c r="PUY1505" s="879"/>
      <c r="PUZ1505" s="879"/>
      <c r="PVA1505" s="879"/>
      <c r="PVB1505" s="879"/>
      <c r="PVC1505" s="879"/>
      <c r="PVD1505" s="879"/>
      <c r="PVE1505" s="879"/>
      <c r="PVF1505" s="879"/>
      <c r="PVG1505" s="879"/>
      <c r="PVH1505" s="879"/>
      <c r="PVI1505" s="879"/>
      <c r="PVJ1505" s="879"/>
      <c r="PVK1505" s="879"/>
      <c r="PVL1505" s="879"/>
      <c r="PVM1505" s="879"/>
      <c r="PVN1505" s="879"/>
      <c r="PVO1505" s="879"/>
      <c r="PVP1505" s="879"/>
      <c r="PVQ1505" s="879"/>
      <c r="PVR1505" s="879"/>
      <c r="PVS1505" s="879"/>
      <c r="PVT1505" s="879"/>
      <c r="PVU1505" s="879"/>
      <c r="PVV1505" s="879"/>
      <c r="PVW1505" s="879"/>
      <c r="PVX1505" s="879"/>
      <c r="PVY1505" s="879"/>
      <c r="PVZ1505" s="879"/>
      <c r="PWA1505" s="879"/>
      <c r="PWB1505" s="879"/>
      <c r="PWC1505" s="879"/>
      <c r="PWD1505" s="879"/>
      <c r="PWE1505" s="879"/>
      <c r="PWF1505" s="879"/>
      <c r="PWG1505" s="879"/>
      <c r="PWH1505" s="879"/>
      <c r="PWI1505" s="879"/>
      <c r="PWJ1505" s="879"/>
      <c r="PWK1505" s="879"/>
      <c r="PWL1505" s="879"/>
      <c r="PWM1505" s="879"/>
      <c r="PWN1505" s="879"/>
      <c r="PWO1505" s="879"/>
      <c r="PWP1505" s="879"/>
      <c r="PWQ1505" s="879"/>
      <c r="PWR1505" s="879"/>
      <c r="PWS1505" s="879"/>
      <c r="PWT1505" s="879"/>
      <c r="PWU1505" s="879"/>
      <c r="PWV1505" s="879"/>
      <c r="PWW1505" s="879"/>
      <c r="PWX1505" s="879"/>
      <c r="PWY1505" s="879"/>
      <c r="PWZ1505" s="879"/>
      <c r="PXA1505" s="879"/>
      <c r="PXB1505" s="879"/>
      <c r="PXC1505" s="879"/>
      <c r="PXD1505" s="879"/>
      <c r="PXE1505" s="879"/>
      <c r="PXF1505" s="879"/>
      <c r="PXG1505" s="879"/>
      <c r="PXH1505" s="879"/>
      <c r="PXI1505" s="879"/>
      <c r="PXJ1505" s="879"/>
      <c r="PXK1505" s="879"/>
      <c r="PXL1505" s="879"/>
      <c r="PXM1505" s="879"/>
      <c r="PXN1505" s="879"/>
      <c r="PXO1505" s="879"/>
      <c r="PXP1505" s="879"/>
      <c r="PXQ1505" s="879"/>
      <c r="PXR1505" s="879"/>
      <c r="PXS1505" s="879"/>
      <c r="PXT1505" s="879"/>
      <c r="PXU1505" s="879"/>
      <c r="PXV1505" s="879"/>
      <c r="PXW1505" s="879"/>
      <c r="PXX1505" s="879"/>
      <c r="PXY1505" s="879"/>
      <c r="PXZ1505" s="879"/>
      <c r="PYA1505" s="879"/>
      <c r="PYB1505" s="879"/>
      <c r="PYC1505" s="879"/>
      <c r="PYD1505" s="879"/>
      <c r="PYE1505" s="879"/>
      <c r="PYF1505" s="879"/>
      <c r="PYG1505" s="879"/>
      <c r="PYH1505" s="879"/>
      <c r="PYI1505" s="879"/>
      <c r="PYJ1505" s="879"/>
      <c r="PYK1505" s="879"/>
      <c r="PYL1505" s="879"/>
      <c r="PYM1505" s="879"/>
      <c r="PYN1505" s="879"/>
      <c r="PYO1505" s="879"/>
      <c r="PYP1505" s="879"/>
      <c r="PYQ1505" s="879"/>
      <c r="PYR1505" s="879"/>
      <c r="PYS1505" s="879"/>
      <c r="PYT1505" s="879"/>
      <c r="PYU1505" s="879"/>
      <c r="PYV1505" s="879"/>
      <c r="PYW1505" s="879"/>
      <c r="PYX1505" s="879"/>
      <c r="PYY1505" s="879"/>
      <c r="PYZ1505" s="879"/>
      <c r="PZA1505" s="879"/>
      <c r="PZB1505" s="879"/>
      <c r="PZC1505" s="879"/>
      <c r="PZD1505" s="879"/>
      <c r="PZE1505" s="879"/>
      <c r="PZF1505" s="879"/>
      <c r="PZG1505" s="879"/>
      <c r="PZH1505" s="879"/>
      <c r="PZI1505" s="879"/>
      <c r="PZJ1505" s="879"/>
      <c r="PZK1505" s="879"/>
      <c r="PZL1505" s="879"/>
      <c r="PZM1505" s="879"/>
      <c r="PZN1505" s="879"/>
      <c r="PZO1505" s="879"/>
      <c r="PZP1505" s="879"/>
      <c r="PZQ1505" s="879"/>
      <c r="PZR1505" s="879"/>
      <c r="PZS1505" s="879"/>
      <c r="PZT1505" s="879"/>
      <c r="PZU1505" s="879"/>
      <c r="PZV1505" s="879"/>
      <c r="PZW1505" s="879"/>
      <c r="PZX1505" s="879"/>
      <c r="PZY1505" s="879"/>
      <c r="PZZ1505" s="879"/>
      <c r="QAA1505" s="879"/>
      <c r="QAB1505" s="879"/>
      <c r="QAC1505" s="879"/>
      <c r="QAD1505" s="879"/>
      <c r="QAE1505" s="879"/>
      <c r="QAF1505" s="879"/>
      <c r="QAG1505" s="879"/>
      <c r="QAH1505" s="879"/>
      <c r="QAI1505" s="879"/>
      <c r="QAJ1505" s="879"/>
      <c r="QAK1505" s="879"/>
      <c r="QAL1505" s="879"/>
      <c r="QAM1505" s="879"/>
      <c r="QAN1505" s="879"/>
      <c r="QAO1505" s="879"/>
      <c r="QAP1505" s="879"/>
      <c r="QAQ1505" s="879"/>
      <c r="QAR1505" s="879"/>
      <c r="QAS1505" s="879"/>
      <c r="QAT1505" s="879"/>
      <c r="QAU1505" s="879"/>
      <c r="QAV1505" s="879"/>
      <c r="QAW1505" s="879"/>
      <c r="QAX1505" s="879"/>
      <c r="QAY1505" s="879"/>
      <c r="QAZ1505" s="879"/>
      <c r="QBA1505" s="879"/>
      <c r="QBB1505" s="879"/>
      <c r="QBC1505" s="879"/>
      <c r="QBD1505" s="879"/>
      <c r="QBE1505" s="879"/>
      <c r="QBF1505" s="879"/>
      <c r="QBG1505" s="879"/>
      <c r="QBH1505" s="879"/>
      <c r="QBI1505" s="879"/>
      <c r="QBJ1505" s="879"/>
      <c r="QBK1505" s="879"/>
      <c r="QBL1505" s="879"/>
      <c r="QBM1505" s="879"/>
      <c r="QBN1505" s="879"/>
      <c r="QBO1505" s="879"/>
      <c r="QBP1505" s="879"/>
      <c r="QBQ1505" s="879"/>
      <c r="QBR1505" s="879"/>
      <c r="QBS1505" s="879"/>
      <c r="QBT1505" s="879"/>
      <c r="QBU1505" s="879"/>
      <c r="QBV1505" s="879"/>
      <c r="QBW1505" s="879"/>
      <c r="QBX1505" s="879"/>
      <c r="QBY1505" s="879"/>
      <c r="QBZ1505" s="879"/>
      <c r="QCA1505" s="879"/>
      <c r="QCB1505" s="879"/>
      <c r="QCC1505" s="879"/>
      <c r="QCD1505" s="879"/>
      <c r="QCE1505" s="879"/>
      <c r="QCF1505" s="879"/>
      <c r="QCG1505" s="879"/>
      <c r="QCH1505" s="879"/>
      <c r="QCI1505" s="879"/>
      <c r="QCJ1505" s="879"/>
      <c r="QCK1505" s="879"/>
      <c r="QCL1505" s="879"/>
      <c r="QCM1505" s="879"/>
      <c r="QCN1505" s="879"/>
      <c r="QCO1505" s="879"/>
      <c r="QCP1505" s="879"/>
      <c r="QCQ1505" s="879"/>
      <c r="QCR1505" s="879"/>
      <c r="QCS1505" s="879"/>
      <c r="QCT1505" s="879"/>
      <c r="QCU1505" s="879"/>
      <c r="QCV1505" s="879"/>
      <c r="QCW1505" s="879"/>
      <c r="QCX1505" s="879"/>
      <c r="QCY1505" s="879"/>
      <c r="QCZ1505" s="879"/>
      <c r="QDA1505" s="879"/>
      <c r="QDB1505" s="879"/>
      <c r="QDC1505" s="879"/>
      <c r="QDD1505" s="879"/>
      <c r="QDE1505" s="879"/>
      <c r="QDF1505" s="879"/>
      <c r="QDG1505" s="879"/>
      <c r="QDH1505" s="879"/>
      <c r="QDI1505" s="879"/>
      <c r="QDJ1505" s="879"/>
      <c r="QDK1505" s="879"/>
      <c r="QDL1505" s="879"/>
      <c r="QDM1505" s="879"/>
      <c r="QDN1505" s="879"/>
      <c r="QDO1505" s="879"/>
      <c r="QDP1505" s="879"/>
      <c r="QDQ1505" s="879"/>
      <c r="QDR1505" s="879"/>
      <c r="QDS1505" s="879"/>
      <c r="QDT1505" s="879"/>
      <c r="QDU1505" s="879"/>
      <c r="QDV1505" s="879"/>
      <c r="QDW1505" s="879"/>
      <c r="QDX1505" s="879"/>
      <c r="QDY1505" s="879"/>
      <c r="QDZ1505" s="879"/>
      <c r="QEA1505" s="879"/>
      <c r="QEB1505" s="879"/>
      <c r="QEC1505" s="879"/>
      <c r="QED1505" s="879"/>
      <c r="QEE1505" s="879"/>
      <c r="QEF1505" s="879"/>
      <c r="QEG1505" s="879"/>
      <c r="QEH1505" s="879"/>
      <c r="QEI1505" s="879"/>
      <c r="QEJ1505" s="879"/>
      <c r="QEK1505" s="879"/>
      <c r="QEL1505" s="879"/>
      <c r="QEM1505" s="879"/>
      <c r="QEN1505" s="879"/>
      <c r="QEO1505" s="879"/>
      <c r="QEP1505" s="879"/>
      <c r="QEQ1505" s="879"/>
      <c r="QER1505" s="879"/>
      <c r="QES1505" s="879"/>
      <c r="QET1505" s="879"/>
      <c r="QEU1505" s="879"/>
      <c r="QEV1505" s="879"/>
      <c r="QEW1505" s="879"/>
      <c r="QEX1505" s="879"/>
      <c r="QEY1505" s="879"/>
      <c r="QEZ1505" s="879"/>
      <c r="QFA1505" s="879"/>
      <c r="QFB1505" s="879"/>
      <c r="QFC1505" s="879"/>
      <c r="QFD1505" s="879"/>
      <c r="QFE1505" s="879"/>
      <c r="QFF1505" s="879"/>
      <c r="QFG1505" s="879"/>
      <c r="QFH1505" s="879"/>
      <c r="QFI1505" s="879"/>
      <c r="QFJ1505" s="879"/>
      <c r="QFK1505" s="879"/>
      <c r="QFL1505" s="879"/>
      <c r="QFM1505" s="879"/>
      <c r="QFN1505" s="879"/>
      <c r="QFO1505" s="879"/>
      <c r="QFP1505" s="879"/>
      <c r="QFQ1505" s="879"/>
      <c r="QFR1505" s="879"/>
      <c r="QFS1505" s="879"/>
      <c r="QFT1505" s="879"/>
      <c r="QFU1505" s="879"/>
      <c r="QFV1505" s="879"/>
      <c r="QFW1505" s="879"/>
      <c r="QFX1505" s="879"/>
      <c r="QFY1505" s="879"/>
      <c r="QFZ1505" s="879"/>
      <c r="QGA1505" s="879"/>
      <c r="QGB1505" s="879"/>
      <c r="QGC1505" s="879"/>
      <c r="QGD1505" s="879"/>
      <c r="QGE1505" s="879"/>
      <c r="QGF1505" s="879"/>
      <c r="QGG1505" s="879"/>
      <c r="QGH1505" s="879"/>
      <c r="QGI1505" s="879"/>
      <c r="QGJ1505" s="879"/>
      <c r="QGK1505" s="879"/>
      <c r="QGL1505" s="879"/>
      <c r="QGM1505" s="879"/>
      <c r="QGN1505" s="879"/>
      <c r="QGO1505" s="879"/>
      <c r="QGP1505" s="879"/>
      <c r="QGQ1505" s="879"/>
      <c r="QGR1505" s="879"/>
      <c r="QGS1505" s="879"/>
      <c r="QGT1505" s="879"/>
      <c r="QGU1505" s="879"/>
      <c r="QGV1505" s="879"/>
      <c r="QGW1505" s="879"/>
      <c r="QGX1505" s="879"/>
      <c r="QGY1505" s="879"/>
      <c r="QGZ1505" s="879"/>
      <c r="QHA1505" s="879"/>
      <c r="QHB1505" s="879"/>
      <c r="QHC1505" s="879"/>
      <c r="QHD1505" s="879"/>
      <c r="QHE1505" s="879"/>
      <c r="QHF1505" s="879"/>
      <c r="QHG1505" s="879"/>
      <c r="QHH1505" s="879"/>
      <c r="QHI1505" s="879"/>
      <c r="QHJ1505" s="879"/>
      <c r="QHK1505" s="879"/>
      <c r="QHL1505" s="879"/>
      <c r="QHM1505" s="879"/>
      <c r="QHN1505" s="879"/>
      <c r="QHO1505" s="879"/>
      <c r="QHP1505" s="879"/>
      <c r="QHQ1505" s="879"/>
      <c r="QHR1505" s="879"/>
      <c r="QHS1505" s="879"/>
      <c r="QHT1505" s="879"/>
      <c r="QHU1505" s="879"/>
      <c r="QHV1505" s="879"/>
      <c r="QHW1505" s="879"/>
      <c r="QHX1505" s="879"/>
      <c r="QHY1505" s="879"/>
      <c r="QHZ1505" s="879"/>
      <c r="QIA1505" s="879"/>
      <c r="QIB1505" s="879"/>
      <c r="QIC1505" s="879"/>
      <c r="QID1505" s="879"/>
      <c r="QIE1505" s="879"/>
      <c r="QIF1505" s="879"/>
      <c r="QIG1505" s="879"/>
      <c r="QIH1505" s="879"/>
      <c r="QII1505" s="879"/>
      <c r="QIJ1505" s="879"/>
      <c r="QIK1505" s="879"/>
      <c r="QIL1505" s="879"/>
      <c r="QIM1505" s="879"/>
      <c r="QIN1505" s="879"/>
      <c r="QIO1505" s="879"/>
      <c r="QIP1505" s="879"/>
      <c r="QIQ1505" s="879"/>
      <c r="QIR1505" s="879"/>
      <c r="QIS1505" s="879"/>
      <c r="QIT1505" s="879"/>
      <c r="QIU1505" s="879"/>
      <c r="QIV1505" s="879"/>
      <c r="QIW1505" s="879"/>
      <c r="QIX1505" s="879"/>
      <c r="QIY1505" s="879"/>
      <c r="QIZ1505" s="879"/>
      <c r="QJA1505" s="879"/>
      <c r="QJB1505" s="879"/>
      <c r="QJC1505" s="879"/>
      <c r="QJD1505" s="879"/>
      <c r="QJE1505" s="879"/>
      <c r="QJF1505" s="879"/>
      <c r="QJG1505" s="879"/>
      <c r="QJH1505" s="879"/>
      <c r="QJI1505" s="879"/>
      <c r="QJJ1505" s="879"/>
      <c r="QJK1505" s="879"/>
      <c r="QJL1505" s="879"/>
      <c r="QJM1505" s="879"/>
      <c r="QJN1505" s="879"/>
      <c r="QJO1505" s="879"/>
      <c r="QJP1505" s="879"/>
      <c r="QJQ1505" s="879"/>
      <c r="QJR1505" s="879"/>
      <c r="QJS1505" s="879"/>
      <c r="QJT1505" s="879"/>
      <c r="QJU1505" s="879"/>
      <c r="QJV1505" s="879"/>
      <c r="QJW1505" s="879"/>
      <c r="QJX1505" s="879"/>
      <c r="QJY1505" s="879"/>
      <c r="QJZ1505" s="879"/>
      <c r="QKA1505" s="879"/>
      <c r="QKB1505" s="879"/>
      <c r="QKC1505" s="879"/>
      <c r="QKD1505" s="879"/>
      <c r="QKE1505" s="879"/>
      <c r="QKF1505" s="879"/>
      <c r="QKG1505" s="879"/>
      <c r="QKH1505" s="879"/>
      <c r="QKI1505" s="879"/>
      <c r="QKJ1505" s="879"/>
      <c r="QKK1505" s="879"/>
      <c r="QKL1505" s="879"/>
      <c r="QKM1505" s="879"/>
      <c r="QKN1505" s="879"/>
      <c r="QKO1505" s="879"/>
      <c r="QKP1505" s="879"/>
      <c r="QKQ1505" s="879"/>
      <c r="QKR1505" s="879"/>
      <c r="QKS1505" s="879"/>
      <c r="QKT1505" s="879"/>
      <c r="QKU1505" s="879"/>
      <c r="QKV1505" s="879"/>
      <c r="QKW1505" s="879"/>
      <c r="QKX1505" s="879"/>
      <c r="QKY1505" s="879"/>
      <c r="QKZ1505" s="879"/>
      <c r="QLA1505" s="879"/>
      <c r="QLB1505" s="879"/>
      <c r="QLC1505" s="879"/>
      <c r="QLD1505" s="879"/>
      <c r="QLE1505" s="879"/>
      <c r="QLF1505" s="879"/>
      <c r="QLG1505" s="879"/>
      <c r="QLH1505" s="879"/>
      <c r="QLI1505" s="879"/>
      <c r="QLJ1505" s="879"/>
      <c r="QLK1505" s="879"/>
      <c r="QLL1505" s="879"/>
      <c r="QLM1505" s="879"/>
      <c r="QLN1505" s="879"/>
      <c r="QLO1505" s="879"/>
      <c r="QLP1505" s="879"/>
      <c r="QLQ1505" s="879"/>
      <c r="QLR1505" s="879"/>
      <c r="QLS1505" s="879"/>
      <c r="QLT1505" s="879"/>
      <c r="QLU1505" s="879"/>
      <c r="QLV1505" s="879"/>
      <c r="QLW1505" s="879"/>
      <c r="QLX1505" s="879"/>
      <c r="QLY1505" s="879"/>
      <c r="QLZ1505" s="879"/>
      <c r="QMA1505" s="879"/>
      <c r="QMB1505" s="879"/>
      <c r="QMC1505" s="879"/>
      <c r="QMD1505" s="879"/>
      <c r="QME1505" s="879"/>
      <c r="QMF1505" s="879"/>
      <c r="QMG1505" s="879"/>
      <c r="QMH1505" s="879"/>
      <c r="QMI1505" s="879"/>
      <c r="QMJ1505" s="879"/>
      <c r="QMK1505" s="879"/>
      <c r="QML1505" s="879"/>
      <c r="QMM1505" s="879"/>
      <c r="QMN1505" s="879"/>
      <c r="QMO1505" s="879"/>
      <c r="QMP1505" s="879"/>
      <c r="QMQ1505" s="879"/>
      <c r="QMR1505" s="879"/>
      <c r="QMS1505" s="879"/>
      <c r="QMT1505" s="879"/>
      <c r="QMU1505" s="879"/>
      <c r="QMV1505" s="879"/>
      <c r="QMW1505" s="879"/>
      <c r="QMX1505" s="879"/>
      <c r="QMY1505" s="879"/>
      <c r="QMZ1505" s="879"/>
      <c r="QNA1505" s="879"/>
      <c r="QNB1505" s="879"/>
      <c r="QNC1505" s="879"/>
      <c r="QND1505" s="879"/>
      <c r="QNE1505" s="879"/>
      <c r="QNF1505" s="879"/>
      <c r="QNG1505" s="879"/>
      <c r="QNH1505" s="879"/>
      <c r="QNI1505" s="879"/>
      <c r="QNJ1505" s="879"/>
      <c r="QNK1505" s="879"/>
      <c r="QNL1505" s="879"/>
      <c r="QNM1505" s="879"/>
      <c r="QNN1505" s="879"/>
      <c r="QNO1505" s="879"/>
      <c r="QNP1505" s="879"/>
      <c r="QNQ1505" s="879"/>
      <c r="QNR1505" s="879"/>
      <c r="QNS1505" s="879"/>
      <c r="QNT1505" s="879"/>
      <c r="QNU1505" s="879"/>
      <c r="QNV1505" s="879"/>
      <c r="QNW1505" s="879"/>
      <c r="QNX1505" s="879"/>
      <c r="QNY1505" s="879"/>
      <c r="QNZ1505" s="879"/>
      <c r="QOA1505" s="879"/>
      <c r="QOB1505" s="879"/>
      <c r="QOC1505" s="879"/>
      <c r="QOD1505" s="879"/>
      <c r="QOE1505" s="879"/>
      <c r="QOF1505" s="879"/>
      <c r="QOG1505" s="879"/>
      <c r="QOH1505" s="879"/>
      <c r="QOI1505" s="879"/>
      <c r="QOJ1505" s="879"/>
      <c r="QOK1505" s="879"/>
      <c r="QOL1505" s="879"/>
      <c r="QOM1505" s="879"/>
      <c r="QON1505" s="879"/>
      <c r="QOO1505" s="879"/>
      <c r="QOP1505" s="879"/>
      <c r="QOQ1505" s="879"/>
      <c r="QOR1505" s="879"/>
      <c r="QOS1505" s="879"/>
      <c r="QOT1505" s="879"/>
      <c r="QOU1505" s="879"/>
      <c r="QOV1505" s="879"/>
      <c r="QOW1505" s="879"/>
      <c r="QOX1505" s="879"/>
      <c r="QOY1505" s="879"/>
      <c r="QOZ1505" s="879"/>
      <c r="QPA1505" s="879"/>
      <c r="QPB1505" s="879"/>
      <c r="QPC1505" s="879"/>
      <c r="QPD1505" s="879"/>
      <c r="QPE1505" s="879"/>
      <c r="QPF1505" s="879"/>
      <c r="QPG1505" s="879"/>
      <c r="QPH1505" s="879"/>
      <c r="QPI1505" s="879"/>
      <c r="QPJ1505" s="879"/>
      <c r="QPK1505" s="879"/>
      <c r="QPL1505" s="879"/>
      <c r="QPM1505" s="879"/>
      <c r="QPN1505" s="879"/>
      <c r="QPO1505" s="879"/>
      <c r="QPP1505" s="879"/>
      <c r="QPQ1505" s="879"/>
      <c r="QPR1505" s="879"/>
      <c r="QPS1505" s="879"/>
      <c r="QPT1505" s="879"/>
      <c r="QPU1505" s="879"/>
      <c r="QPV1505" s="879"/>
      <c r="QPW1505" s="879"/>
      <c r="QPX1505" s="879"/>
      <c r="QPY1505" s="879"/>
      <c r="QPZ1505" s="879"/>
      <c r="QQA1505" s="879"/>
      <c r="QQB1505" s="879"/>
      <c r="QQC1505" s="879"/>
      <c r="QQD1505" s="879"/>
      <c r="QQE1505" s="879"/>
      <c r="QQF1505" s="879"/>
      <c r="QQG1505" s="879"/>
      <c r="QQH1505" s="879"/>
      <c r="QQI1505" s="879"/>
      <c r="QQJ1505" s="879"/>
      <c r="QQK1505" s="879"/>
      <c r="QQL1505" s="879"/>
      <c r="QQM1505" s="879"/>
      <c r="QQN1505" s="879"/>
      <c r="QQO1505" s="879"/>
      <c r="QQP1505" s="879"/>
      <c r="QQQ1505" s="879"/>
      <c r="QQR1505" s="879"/>
      <c r="QQS1505" s="879"/>
      <c r="QQT1505" s="879"/>
      <c r="QQU1505" s="879"/>
      <c r="QQV1505" s="879"/>
      <c r="QQW1505" s="879"/>
      <c r="QQX1505" s="879"/>
      <c r="QQY1505" s="879"/>
      <c r="QQZ1505" s="879"/>
      <c r="QRA1505" s="879"/>
      <c r="QRB1505" s="879"/>
      <c r="QRC1505" s="879"/>
      <c r="QRD1505" s="879"/>
      <c r="QRE1505" s="879"/>
      <c r="QRF1505" s="879"/>
      <c r="QRG1505" s="879"/>
      <c r="QRH1505" s="879"/>
      <c r="QRI1505" s="879"/>
      <c r="QRJ1505" s="879"/>
      <c r="QRK1505" s="879"/>
      <c r="QRL1505" s="879"/>
      <c r="QRM1505" s="879"/>
      <c r="QRN1505" s="879"/>
      <c r="QRO1505" s="879"/>
      <c r="QRP1505" s="879"/>
      <c r="QRQ1505" s="879"/>
      <c r="QRR1505" s="879"/>
      <c r="QRS1505" s="879"/>
      <c r="QRT1505" s="879"/>
      <c r="QRU1505" s="879"/>
      <c r="QRV1505" s="879"/>
      <c r="QRW1505" s="879"/>
      <c r="QRX1505" s="879"/>
      <c r="QRY1505" s="879"/>
      <c r="QRZ1505" s="879"/>
      <c r="QSA1505" s="879"/>
      <c r="QSB1505" s="879"/>
      <c r="QSC1505" s="879"/>
      <c r="QSD1505" s="879"/>
      <c r="QSE1505" s="879"/>
      <c r="QSF1505" s="879"/>
      <c r="QSG1505" s="879"/>
      <c r="QSH1505" s="879"/>
      <c r="QSI1505" s="879"/>
      <c r="QSJ1505" s="879"/>
      <c r="QSK1505" s="879"/>
      <c r="QSL1505" s="879"/>
      <c r="QSM1505" s="879"/>
      <c r="QSN1505" s="879"/>
      <c r="QSO1505" s="879"/>
      <c r="QSP1505" s="879"/>
      <c r="QSQ1505" s="879"/>
      <c r="QSR1505" s="879"/>
      <c r="QSS1505" s="879"/>
      <c r="QST1505" s="879"/>
      <c r="QSU1505" s="879"/>
      <c r="QSV1505" s="879"/>
      <c r="QSW1505" s="879"/>
      <c r="QSX1505" s="879"/>
      <c r="QSY1505" s="879"/>
      <c r="QSZ1505" s="879"/>
      <c r="QTA1505" s="879"/>
      <c r="QTB1505" s="879"/>
      <c r="QTC1505" s="879"/>
      <c r="QTD1505" s="879"/>
      <c r="QTE1505" s="879"/>
      <c r="QTF1505" s="879"/>
      <c r="QTG1505" s="879"/>
      <c r="QTH1505" s="879"/>
      <c r="QTI1505" s="879"/>
      <c r="QTJ1505" s="879"/>
      <c r="QTK1505" s="879"/>
      <c r="QTL1505" s="879"/>
      <c r="QTM1505" s="879"/>
      <c r="QTN1505" s="879"/>
      <c r="QTO1505" s="879"/>
      <c r="QTP1505" s="879"/>
      <c r="QTQ1505" s="879"/>
      <c r="QTR1505" s="879"/>
      <c r="QTS1505" s="879"/>
      <c r="QTT1505" s="879"/>
      <c r="QTU1505" s="879"/>
      <c r="QTV1505" s="879"/>
      <c r="QTW1505" s="879"/>
      <c r="QTX1505" s="879"/>
      <c r="QTY1505" s="879"/>
      <c r="QTZ1505" s="879"/>
      <c r="QUA1505" s="879"/>
      <c r="QUB1505" s="879"/>
      <c r="QUC1505" s="879"/>
      <c r="QUD1505" s="879"/>
      <c r="QUE1505" s="879"/>
      <c r="QUF1505" s="879"/>
      <c r="QUG1505" s="879"/>
      <c r="QUH1505" s="879"/>
      <c r="QUI1505" s="879"/>
      <c r="QUJ1505" s="879"/>
      <c r="QUK1505" s="879"/>
      <c r="QUL1505" s="879"/>
      <c r="QUM1505" s="879"/>
      <c r="QUN1505" s="879"/>
      <c r="QUO1505" s="879"/>
      <c r="QUP1505" s="879"/>
      <c r="QUQ1505" s="879"/>
      <c r="QUR1505" s="879"/>
      <c r="QUS1505" s="879"/>
      <c r="QUT1505" s="879"/>
      <c r="QUU1505" s="879"/>
      <c r="QUV1505" s="879"/>
      <c r="QUW1505" s="879"/>
      <c r="QUX1505" s="879"/>
      <c r="QUY1505" s="879"/>
      <c r="QUZ1505" s="879"/>
      <c r="QVA1505" s="879"/>
      <c r="QVB1505" s="879"/>
      <c r="QVC1505" s="879"/>
      <c r="QVD1505" s="879"/>
      <c r="QVE1505" s="879"/>
      <c r="QVF1505" s="879"/>
      <c r="QVG1505" s="879"/>
      <c r="QVH1505" s="879"/>
      <c r="QVI1505" s="879"/>
      <c r="QVJ1505" s="879"/>
      <c r="QVK1505" s="879"/>
      <c r="QVL1505" s="879"/>
      <c r="QVM1505" s="879"/>
      <c r="QVN1505" s="879"/>
      <c r="QVO1505" s="879"/>
      <c r="QVP1505" s="879"/>
      <c r="QVQ1505" s="879"/>
      <c r="QVR1505" s="879"/>
      <c r="QVS1505" s="879"/>
      <c r="QVT1505" s="879"/>
      <c r="QVU1505" s="879"/>
      <c r="QVV1505" s="879"/>
      <c r="QVW1505" s="879"/>
      <c r="QVX1505" s="879"/>
      <c r="QVY1505" s="879"/>
      <c r="QVZ1505" s="879"/>
      <c r="QWA1505" s="879"/>
      <c r="QWB1505" s="879"/>
      <c r="QWC1505" s="879"/>
      <c r="QWD1505" s="879"/>
      <c r="QWE1505" s="879"/>
      <c r="QWF1505" s="879"/>
      <c r="QWG1505" s="879"/>
      <c r="QWH1505" s="879"/>
      <c r="QWI1505" s="879"/>
      <c r="QWJ1505" s="879"/>
      <c r="QWK1505" s="879"/>
      <c r="QWL1505" s="879"/>
      <c r="QWM1505" s="879"/>
      <c r="QWN1505" s="879"/>
      <c r="QWO1505" s="879"/>
      <c r="QWP1505" s="879"/>
      <c r="QWQ1505" s="879"/>
      <c r="QWR1505" s="879"/>
      <c r="QWS1505" s="879"/>
      <c r="QWT1505" s="879"/>
      <c r="QWU1505" s="879"/>
      <c r="QWV1505" s="879"/>
      <c r="QWW1505" s="879"/>
      <c r="QWX1505" s="879"/>
      <c r="QWY1505" s="879"/>
      <c r="QWZ1505" s="879"/>
      <c r="QXA1505" s="879"/>
      <c r="QXB1505" s="879"/>
      <c r="QXC1505" s="879"/>
      <c r="QXD1505" s="879"/>
      <c r="QXE1505" s="879"/>
      <c r="QXF1505" s="879"/>
      <c r="QXG1505" s="879"/>
      <c r="QXH1505" s="879"/>
      <c r="QXI1505" s="879"/>
      <c r="QXJ1505" s="879"/>
      <c r="QXK1505" s="879"/>
      <c r="QXL1505" s="879"/>
      <c r="QXM1505" s="879"/>
      <c r="QXN1505" s="879"/>
      <c r="QXO1505" s="879"/>
      <c r="QXP1505" s="879"/>
      <c r="QXQ1505" s="879"/>
      <c r="QXR1505" s="879"/>
      <c r="QXS1505" s="879"/>
      <c r="QXT1505" s="879"/>
      <c r="QXU1505" s="879"/>
      <c r="QXV1505" s="879"/>
      <c r="QXW1505" s="879"/>
      <c r="QXX1505" s="879"/>
      <c r="QXY1505" s="879"/>
      <c r="QXZ1505" s="879"/>
      <c r="QYA1505" s="879"/>
      <c r="QYB1505" s="879"/>
      <c r="QYC1505" s="879"/>
      <c r="QYD1505" s="879"/>
      <c r="QYE1505" s="879"/>
      <c r="QYF1505" s="879"/>
      <c r="QYG1505" s="879"/>
      <c r="QYH1505" s="879"/>
      <c r="QYI1505" s="879"/>
      <c r="QYJ1505" s="879"/>
      <c r="QYK1505" s="879"/>
      <c r="QYL1505" s="879"/>
      <c r="QYM1505" s="879"/>
      <c r="QYN1505" s="879"/>
      <c r="QYO1505" s="879"/>
      <c r="QYP1505" s="879"/>
      <c r="QYQ1505" s="879"/>
      <c r="QYR1505" s="879"/>
      <c r="QYS1505" s="879"/>
      <c r="QYT1505" s="879"/>
      <c r="QYU1505" s="879"/>
      <c r="QYV1505" s="879"/>
      <c r="QYW1505" s="879"/>
      <c r="QYX1505" s="879"/>
      <c r="QYY1505" s="879"/>
      <c r="QYZ1505" s="879"/>
      <c r="QZA1505" s="879"/>
      <c r="QZB1505" s="879"/>
      <c r="QZC1505" s="879"/>
      <c r="QZD1505" s="879"/>
      <c r="QZE1505" s="879"/>
      <c r="QZF1505" s="879"/>
      <c r="QZG1505" s="879"/>
      <c r="QZH1505" s="879"/>
      <c r="QZI1505" s="879"/>
      <c r="QZJ1505" s="879"/>
      <c r="QZK1505" s="879"/>
      <c r="QZL1505" s="879"/>
      <c r="QZM1505" s="879"/>
      <c r="QZN1505" s="879"/>
      <c r="QZO1505" s="879"/>
      <c r="QZP1505" s="879"/>
      <c r="QZQ1505" s="879"/>
      <c r="QZR1505" s="879"/>
      <c r="QZS1505" s="879"/>
      <c r="QZT1505" s="879"/>
      <c r="QZU1505" s="879"/>
      <c r="QZV1505" s="879"/>
      <c r="QZW1505" s="879"/>
      <c r="QZX1505" s="879"/>
      <c r="QZY1505" s="879"/>
      <c r="QZZ1505" s="879"/>
      <c r="RAA1505" s="879"/>
      <c r="RAB1505" s="879"/>
      <c r="RAC1505" s="879"/>
      <c r="RAD1505" s="879"/>
      <c r="RAE1505" s="879"/>
      <c r="RAF1505" s="879"/>
      <c r="RAG1505" s="879"/>
      <c r="RAH1505" s="879"/>
      <c r="RAI1505" s="879"/>
      <c r="RAJ1505" s="879"/>
      <c r="RAK1505" s="879"/>
      <c r="RAL1505" s="879"/>
      <c r="RAM1505" s="879"/>
      <c r="RAN1505" s="879"/>
      <c r="RAO1505" s="879"/>
      <c r="RAP1505" s="879"/>
      <c r="RAQ1505" s="879"/>
      <c r="RAR1505" s="879"/>
      <c r="RAS1505" s="879"/>
      <c r="RAT1505" s="879"/>
      <c r="RAU1505" s="879"/>
      <c r="RAV1505" s="879"/>
      <c r="RAW1505" s="879"/>
      <c r="RAX1505" s="879"/>
      <c r="RAY1505" s="879"/>
      <c r="RAZ1505" s="879"/>
      <c r="RBA1505" s="879"/>
      <c r="RBB1505" s="879"/>
      <c r="RBC1505" s="879"/>
      <c r="RBD1505" s="879"/>
      <c r="RBE1505" s="879"/>
      <c r="RBF1505" s="879"/>
      <c r="RBG1505" s="879"/>
      <c r="RBH1505" s="879"/>
      <c r="RBI1505" s="879"/>
      <c r="RBJ1505" s="879"/>
      <c r="RBK1505" s="879"/>
      <c r="RBL1505" s="879"/>
      <c r="RBM1505" s="879"/>
      <c r="RBN1505" s="879"/>
      <c r="RBO1505" s="879"/>
      <c r="RBP1505" s="879"/>
      <c r="RBQ1505" s="879"/>
      <c r="RBR1505" s="879"/>
      <c r="RBS1505" s="879"/>
      <c r="RBT1505" s="879"/>
      <c r="RBU1505" s="879"/>
      <c r="RBV1505" s="879"/>
      <c r="RBW1505" s="879"/>
      <c r="RBX1505" s="879"/>
      <c r="RBY1505" s="879"/>
      <c r="RBZ1505" s="879"/>
      <c r="RCA1505" s="879"/>
      <c r="RCB1505" s="879"/>
      <c r="RCC1505" s="879"/>
      <c r="RCD1505" s="879"/>
      <c r="RCE1505" s="879"/>
      <c r="RCF1505" s="879"/>
      <c r="RCG1505" s="879"/>
      <c r="RCH1505" s="879"/>
      <c r="RCI1505" s="879"/>
      <c r="RCJ1505" s="879"/>
      <c r="RCK1505" s="879"/>
      <c r="RCL1505" s="879"/>
      <c r="RCM1505" s="879"/>
      <c r="RCN1505" s="879"/>
      <c r="RCO1505" s="879"/>
      <c r="RCP1505" s="879"/>
      <c r="RCQ1505" s="879"/>
      <c r="RCR1505" s="879"/>
      <c r="RCS1505" s="879"/>
      <c r="RCT1505" s="879"/>
      <c r="RCU1505" s="879"/>
      <c r="RCV1505" s="879"/>
      <c r="RCW1505" s="879"/>
      <c r="RCX1505" s="879"/>
      <c r="RCY1505" s="879"/>
      <c r="RCZ1505" s="879"/>
      <c r="RDA1505" s="879"/>
      <c r="RDB1505" s="879"/>
      <c r="RDC1505" s="879"/>
      <c r="RDD1505" s="879"/>
      <c r="RDE1505" s="879"/>
      <c r="RDF1505" s="879"/>
      <c r="RDG1505" s="879"/>
      <c r="RDH1505" s="879"/>
      <c r="RDI1505" s="879"/>
      <c r="RDJ1505" s="879"/>
      <c r="RDK1505" s="879"/>
      <c r="RDL1505" s="879"/>
      <c r="RDM1505" s="879"/>
      <c r="RDN1505" s="879"/>
      <c r="RDO1505" s="879"/>
      <c r="RDP1505" s="879"/>
      <c r="RDQ1505" s="879"/>
      <c r="RDR1505" s="879"/>
      <c r="RDS1505" s="879"/>
      <c r="RDT1505" s="879"/>
      <c r="RDU1505" s="879"/>
      <c r="RDV1505" s="879"/>
      <c r="RDW1505" s="879"/>
      <c r="RDX1505" s="879"/>
      <c r="RDY1505" s="879"/>
      <c r="RDZ1505" s="879"/>
      <c r="REA1505" s="879"/>
      <c r="REB1505" s="879"/>
      <c r="REC1505" s="879"/>
      <c r="RED1505" s="879"/>
      <c r="REE1505" s="879"/>
      <c r="REF1505" s="879"/>
      <c r="REG1505" s="879"/>
      <c r="REH1505" s="879"/>
      <c r="REI1505" s="879"/>
      <c r="REJ1505" s="879"/>
      <c r="REK1505" s="879"/>
      <c r="REL1505" s="879"/>
      <c r="REM1505" s="879"/>
      <c r="REN1505" s="879"/>
      <c r="REO1505" s="879"/>
      <c r="REP1505" s="879"/>
      <c r="REQ1505" s="879"/>
      <c r="RER1505" s="879"/>
      <c r="RES1505" s="879"/>
      <c r="RET1505" s="879"/>
      <c r="REU1505" s="879"/>
      <c r="REV1505" s="879"/>
      <c r="REW1505" s="879"/>
      <c r="REX1505" s="879"/>
      <c r="REY1505" s="879"/>
      <c r="REZ1505" s="879"/>
      <c r="RFA1505" s="879"/>
      <c r="RFB1505" s="879"/>
      <c r="RFC1505" s="879"/>
      <c r="RFD1505" s="879"/>
      <c r="RFE1505" s="879"/>
      <c r="RFF1505" s="879"/>
      <c r="RFG1505" s="879"/>
      <c r="RFH1505" s="879"/>
      <c r="RFI1505" s="879"/>
      <c r="RFJ1505" s="879"/>
      <c r="RFK1505" s="879"/>
      <c r="RFL1505" s="879"/>
      <c r="RFM1505" s="879"/>
      <c r="RFN1505" s="879"/>
      <c r="RFO1505" s="879"/>
      <c r="RFP1505" s="879"/>
      <c r="RFQ1505" s="879"/>
      <c r="RFR1505" s="879"/>
      <c r="RFS1505" s="879"/>
      <c r="RFT1505" s="879"/>
      <c r="RFU1505" s="879"/>
      <c r="RFV1505" s="879"/>
      <c r="RFW1505" s="879"/>
      <c r="RFX1505" s="879"/>
      <c r="RFY1505" s="879"/>
      <c r="RFZ1505" s="879"/>
      <c r="RGA1505" s="879"/>
      <c r="RGB1505" s="879"/>
      <c r="RGC1505" s="879"/>
      <c r="RGD1505" s="879"/>
      <c r="RGE1505" s="879"/>
      <c r="RGF1505" s="879"/>
      <c r="RGG1505" s="879"/>
      <c r="RGH1505" s="879"/>
      <c r="RGI1505" s="879"/>
      <c r="RGJ1505" s="879"/>
      <c r="RGK1505" s="879"/>
      <c r="RGL1505" s="879"/>
      <c r="RGM1505" s="879"/>
      <c r="RGN1505" s="879"/>
      <c r="RGO1505" s="879"/>
      <c r="RGP1505" s="879"/>
      <c r="RGQ1505" s="879"/>
      <c r="RGR1505" s="879"/>
      <c r="RGS1505" s="879"/>
      <c r="RGT1505" s="879"/>
      <c r="RGU1505" s="879"/>
      <c r="RGV1505" s="879"/>
      <c r="RGW1505" s="879"/>
      <c r="RGX1505" s="879"/>
      <c r="RGY1505" s="879"/>
      <c r="RGZ1505" s="879"/>
      <c r="RHA1505" s="879"/>
      <c r="RHB1505" s="879"/>
      <c r="RHC1505" s="879"/>
      <c r="RHD1505" s="879"/>
      <c r="RHE1505" s="879"/>
      <c r="RHF1505" s="879"/>
      <c r="RHG1505" s="879"/>
      <c r="RHH1505" s="879"/>
      <c r="RHI1505" s="879"/>
      <c r="RHJ1505" s="879"/>
      <c r="RHK1505" s="879"/>
      <c r="RHL1505" s="879"/>
      <c r="RHM1505" s="879"/>
      <c r="RHN1505" s="879"/>
      <c r="RHO1505" s="879"/>
      <c r="RHP1505" s="879"/>
      <c r="RHQ1505" s="879"/>
      <c r="RHR1505" s="879"/>
      <c r="RHS1505" s="879"/>
      <c r="RHT1505" s="879"/>
      <c r="RHU1505" s="879"/>
      <c r="RHV1505" s="879"/>
      <c r="RHW1505" s="879"/>
      <c r="RHX1505" s="879"/>
      <c r="RHY1505" s="879"/>
      <c r="RHZ1505" s="879"/>
      <c r="RIA1505" s="879"/>
      <c r="RIB1505" s="879"/>
      <c r="RIC1505" s="879"/>
      <c r="RID1505" s="879"/>
      <c r="RIE1505" s="879"/>
      <c r="RIF1505" s="879"/>
      <c r="RIG1505" s="879"/>
      <c r="RIH1505" s="879"/>
      <c r="RII1505" s="879"/>
      <c r="RIJ1505" s="879"/>
      <c r="RIK1505" s="879"/>
      <c r="RIL1505" s="879"/>
      <c r="RIM1505" s="879"/>
      <c r="RIN1505" s="879"/>
      <c r="RIO1505" s="879"/>
      <c r="RIP1505" s="879"/>
      <c r="RIQ1505" s="879"/>
      <c r="RIR1505" s="879"/>
      <c r="RIS1505" s="879"/>
      <c r="RIT1505" s="879"/>
      <c r="RIU1505" s="879"/>
      <c r="RIV1505" s="879"/>
      <c r="RIW1505" s="879"/>
      <c r="RIX1505" s="879"/>
      <c r="RIY1505" s="879"/>
      <c r="RIZ1505" s="879"/>
      <c r="RJA1505" s="879"/>
      <c r="RJB1505" s="879"/>
      <c r="RJC1505" s="879"/>
      <c r="RJD1505" s="879"/>
      <c r="RJE1505" s="879"/>
      <c r="RJF1505" s="879"/>
      <c r="RJG1505" s="879"/>
      <c r="RJH1505" s="879"/>
      <c r="RJI1505" s="879"/>
      <c r="RJJ1505" s="879"/>
      <c r="RJK1505" s="879"/>
      <c r="RJL1505" s="879"/>
      <c r="RJM1505" s="879"/>
      <c r="RJN1505" s="879"/>
      <c r="RJO1505" s="879"/>
      <c r="RJP1505" s="879"/>
      <c r="RJQ1505" s="879"/>
      <c r="RJR1505" s="879"/>
      <c r="RJS1505" s="879"/>
      <c r="RJT1505" s="879"/>
      <c r="RJU1505" s="879"/>
      <c r="RJV1505" s="879"/>
      <c r="RJW1505" s="879"/>
      <c r="RJX1505" s="879"/>
      <c r="RJY1505" s="879"/>
      <c r="RJZ1505" s="879"/>
      <c r="RKA1505" s="879"/>
      <c r="RKB1505" s="879"/>
      <c r="RKC1505" s="879"/>
      <c r="RKD1505" s="879"/>
      <c r="RKE1505" s="879"/>
      <c r="RKF1505" s="879"/>
      <c r="RKG1505" s="879"/>
      <c r="RKH1505" s="879"/>
      <c r="RKI1505" s="879"/>
      <c r="RKJ1505" s="879"/>
      <c r="RKK1505" s="879"/>
      <c r="RKL1505" s="879"/>
      <c r="RKM1505" s="879"/>
      <c r="RKN1505" s="879"/>
      <c r="RKO1505" s="879"/>
      <c r="RKP1505" s="879"/>
      <c r="RKQ1505" s="879"/>
      <c r="RKR1505" s="879"/>
      <c r="RKS1505" s="879"/>
      <c r="RKT1505" s="879"/>
      <c r="RKU1505" s="879"/>
      <c r="RKV1505" s="879"/>
      <c r="RKW1505" s="879"/>
      <c r="RKX1505" s="879"/>
      <c r="RKY1505" s="879"/>
      <c r="RKZ1505" s="879"/>
      <c r="RLA1505" s="879"/>
      <c r="RLB1505" s="879"/>
      <c r="RLC1505" s="879"/>
      <c r="RLD1505" s="879"/>
      <c r="RLE1505" s="879"/>
      <c r="RLF1505" s="879"/>
      <c r="RLG1505" s="879"/>
      <c r="RLH1505" s="879"/>
      <c r="RLI1505" s="879"/>
      <c r="RLJ1505" s="879"/>
      <c r="RLK1505" s="879"/>
      <c r="RLL1505" s="879"/>
      <c r="RLM1505" s="879"/>
      <c r="RLN1505" s="879"/>
      <c r="RLO1505" s="879"/>
      <c r="RLP1505" s="879"/>
      <c r="RLQ1505" s="879"/>
      <c r="RLR1505" s="879"/>
      <c r="RLS1505" s="879"/>
      <c r="RLT1505" s="879"/>
      <c r="RLU1505" s="879"/>
      <c r="RLV1505" s="879"/>
      <c r="RLW1505" s="879"/>
      <c r="RLX1505" s="879"/>
      <c r="RLY1505" s="879"/>
      <c r="RLZ1505" s="879"/>
      <c r="RMA1505" s="879"/>
      <c r="RMB1505" s="879"/>
      <c r="RMC1505" s="879"/>
      <c r="RMD1505" s="879"/>
      <c r="RME1505" s="879"/>
      <c r="RMF1505" s="879"/>
      <c r="RMG1505" s="879"/>
      <c r="RMH1505" s="879"/>
      <c r="RMI1505" s="879"/>
      <c r="RMJ1505" s="879"/>
      <c r="RMK1505" s="879"/>
      <c r="RML1505" s="879"/>
      <c r="RMM1505" s="879"/>
      <c r="RMN1505" s="879"/>
      <c r="RMO1505" s="879"/>
      <c r="RMP1505" s="879"/>
      <c r="RMQ1505" s="879"/>
      <c r="RMR1505" s="879"/>
      <c r="RMS1505" s="879"/>
      <c r="RMT1505" s="879"/>
      <c r="RMU1505" s="879"/>
      <c r="RMV1505" s="879"/>
      <c r="RMW1505" s="879"/>
      <c r="RMX1505" s="879"/>
      <c r="RMY1505" s="879"/>
      <c r="RMZ1505" s="879"/>
      <c r="RNA1505" s="879"/>
      <c r="RNB1505" s="879"/>
      <c r="RNC1505" s="879"/>
      <c r="RND1505" s="879"/>
      <c r="RNE1505" s="879"/>
      <c r="RNF1505" s="879"/>
      <c r="RNG1505" s="879"/>
      <c r="RNH1505" s="879"/>
      <c r="RNI1505" s="879"/>
      <c r="RNJ1505" s="879"/>
      <c r="RNK1505" s="879"/>
      <c r="RNL1505" s="879"/>
      <c r="RNM1505" s="879"/>
      <c r="RNN1505" s="879"/>
      <c r="RNO1505" s="879"/>
      <c r="RNP1505" s="879"/>
      <c r="RNQ1505" s="879"/>
      <c r="RNR1505" s="879"/>
      <c r="RNS1505" s="879"/>
      <c r="RNT1505" s="879"/>
      <c r="RNU1505" s="879"/>
      <c r="RNV1505" s="879"/>
      <c r="RNW1505" s="879"/>
      <c r="RNX1505" s="879"/>
      <c r="RNY1505" s="879"/>
      <c r="RNZ1505" s="879"/>
      <c r="ROA1505" s="879"/>
      <c r="ROB1505" s="879"/>
      <c r="ROC1505" s="879"/>
      <c r="ROD1505" s="879"/>
      <c r="ROE1505" s="879"/>
      <c r="ROF1505" s="879"/>
      <c r="ROG1505" s="879"/>
      <c r="ROH1505" s="879"/>
      <c r="ROI1505" s="879"/>
      <c r="ROJ1505" s="879"/>
      <c r="ROK1505" s="879"/>
      <c r="ROL1505" s="879"/>
      <c r="ROM1505" s="879"/>
      <c r="RON1505" s="879"/>
      <c r="ROO1505" s="879"/>
      <c r="ROP1505" s="879"/>
      <c r="ROQ1505" s="879"/>
      <c r="ROR1505" s="879"/>
      <c r="ROS1505" s="879"/>
      <c r="ROT1505" s="879"/>
      <c r="ROU1505" s="879"/>
      <c r="ROV1505" s="879"/>
      <c r="ROW1505" s="879"/>
      <c r="ROX1505" s="879"/>
      <c r="ROY1505" s="879"/>
      <c r="ROZ1505" s="879"/>
      <c r="RPA1505" s="879"/>
      <c r="RPB1505" s="879"/>
      <c r="RPC1505" s="879"/>
      <c r="RPD1505" s="879"/>
      <c r="RPE1505" s="879"/>
      <c r="RPF1505" s="879"/>
      <c r="RPG1505" s="879"/>
      <c r="RPH1505" s="879"/>
      <c r="RPI1505" s="879"/>
      <c r="RPJ1505" s="879"/>
      <c r="RPK1505" s="879"/>
      <c r="RPL1505" s="879"/>
      <c r="RPM1505" s="879"/>
      <c r="RPN1505" s="879"/>
      <c r="RPO1505" s="879"/>
      <c r="RPP1505" s="879"/>
      <c r="RPQ1505" s="879"/>
      <c r="RPR1505" s="879"/>
      <c r="RPS1505" s="879"/>
      <c r="RPT1505" s="879"/>
      <c r="RPU1505" s="879"/>
      <c r="RPV1505" s="879"/>
      <c r="RPW1505" s="879"/>
      <c r="RPX1505" s="879"/>
      <c r="RPY1505" s="879"/>
      <c r="RPZ1505" s="879"/>
      <c r="RQA1505" s="879"/>
      <c r="RQB1505" s="879"/>
      <c r="RQC1505" s="879"/>
      <c r="RQD1505" s="879"/>
      <c r="RQE1505" s="879"/>
      <c r="RQF1505" s="879"/>
      <c r="RQG1505" s="879"/>
      <c r="RQH1505" s="879"/>
      <c r="RQI1505" s="879"/>
      <c r="RQJ1505" s="879"/>
      <c r="RQK1505" s="879"/>
      <c r="RQL1505" s="879"/>
      <c r="RQM1505" s="879"/>
      <c r="RQN1505" s="879"/>
      <c r="RQO1505" s="879"/>
      <c r="RQP1505" s="879"/>
      <c r="RQQ1505" s="879"/>
      <c r="RQR1505" s="879"/>
      <c r="RQS1505" s="879"/>
      <c r="RQT1505" s="879"/>
      <c r="RQU1505" s="879"/>
      <c r="RQV1505" s="879"/>
      <c r="RQW1505" s="879"/>
      <c r="RQX1505" s="879"/>
      <c r="RQY1505" s="879"/>
      <c r="RQZ1505" s="879"/>
      <c r="RRA1505" s="879"/>
      <c r="RRB1505" s="879"/>
      <c r="RRC1505" s="879"/>
      <c r="RRD1505" s="879"/>
      <c r="RRE1505" s="879"/>
      <c r="RRF1505" s="879"/>
      <c r="RRG1505" s="879"/>
      <c r="RRH1505" s="879"/>
      <c r="RRI1505" s="879"/>
      <c r="RRJ1505" s="879"/>
      <c r="RRK1505" s="879"/>
      <c r="RRL1505" s="879"/>
      <c r="RRM1505" s="879"/>
      <c r="RRN1505" s="879"/>
      <c r="RRO1505" s="879"/>
      <c r="RRP1505" s="879"/>
      <c r="RRQ1505" s="879"/>
      <c r="RRR1505" s="879"/>
      <c r="RRS1505" s="879"/>
      <c r="RRT1505" s="879"/>
      <c r="RRU1505" s="879"/>
      <c r="RRV1505" s="879"/>
      <c r="RRW1505" s="879"/>
      <c r="RRX1505" s="879"/>
      <c r="RRY1505" s="879"/>
      <c r="RRZ1505" s="879"/>
      <c r="RSA1505" s="879"/>
      <c r="RSB1505" s="879"/>
      <c r="RSC1505" s="879"/>
      <c r="RSD1505" s="879"/>
      <c r="RSE1505" s="879"/>
      <c r="RSF1505" s="879"/>
      <c r="RSG1505" s="879"/>
      <c r="RSH1505" s="879"/>
      <c r="RSI1505" s="879"/>
      <c r="RSJ1505" s="879"/>
      <c r="RSK1505" s="879"/>
      <c r="RSL1505" s="879"/>
      <c r="RSM1505" s="879"/>
      <c r="RSN1505" s="879"/>
      <c r="RSO1505" s="879"/>
      <c r="RSP1505" s="879"/>
      <c r="RSQ1505" s="879"/>
      <c r="RSR1505" s="879"/>
      <c r="RSS1505" s="879"/>
      <c r="RST1505" s="879"/>
      <c r="RSU1505" s="879"/>
      <c r="RSV1505" s="879"/>
      <c r="RSW1505" s="879"/>
      <c r="RSX1505" s="879"/>
      <c r="RSY1505" s="879"/>
      <c r="RSZ1505" s="879"/>
      <c r="RTA1505" s="879"/>
      <c r="RTB1505" s="879"/>
      <c r="RTC1505" s="879"/>
      <c r="RTD1505" s="879"/>
      <c r="RTE1505" s="879"/>
      <c r="RTF1505" s="879"/>
      <c r="RTG1505" s="879"/>
      <c r="RTH1505" s="879"/>
      <c r="RTI1505" s="879"/>
      <c r="RTJ1505" s="879"/>
      <c r="RTK1505" s="879"/>
      <c r="RTL1505" s="879"/>
      <c r="RTM1505" s="879"/>
      <c r="RTN1505" s="879"/>
      <c r="RTO1505" s="879"/>
      <c r="RTP1505" s="879"/>
      <c r="RTQ1505" s="879"/>
      <c r="RTR1505" s="879"/>
      <c r="RTS1505" s="879"/>
      <c r="RTT1505" s="879"/>
      <c r="RTU1505" s="879"/>
      <c r="RTV1505" s="879"/>
      <c r="RTW1505" s="879"/>
      <c r="RTX1505" s="879"/>
      <c r="RTY1505" s="879"/>
      <c r="RTZ1505" s="879"/>
      <c r="RUA1505" s="879"/>
      <c r="RUB1505" s="879"/>
      <c r="RUC1505" s="879"/>
      <c r="RUD1505" s="879"/>
      <c r="RUE1505" s="879"/>
      <c r="RUF1505" s="879"/>
      <c r="RUG1505" s="879"/>
      <c r="RUH1505" s="879"/>
      <c r="RUI1505" s="879"/>
      <c r="RUJ1505" s="879"/>
      <c r="RUK1505" s="879"/>
      <c r="RUL1505" s="879"/>
      <c r="RUM1505" s="879"/>
      <c r="RUN1505" s="879"/>
      <c r="RUO1505" s="879"/>
      <c r="RUP1505" s="879"/>
      <c r="RUQ1505" s="879"/>
      <c r="RUR1505" s="879"/>
      <c r="RUS1505" s="879"/>
      <c r="RUT1505" s="879"/>
      <c r="RUU1505" s="879"/>
      <c r="RUV1505" s="879"/>
      <c r="RUW1505" s="879"/>
      <c r="RUX1505" s="879"/>
      <c r="RUY1505" s="879"/>
      <c r="RUZ1505" s="879"/>
      <c r="RVA1505" s="879"/>
      <c r="RVB1505" s="879"/>
      <c r="RVC1505" s="879"/>
      <c r="RVD1505" s="879"/>
      <c r="RVE1505" s="879"/>
      <c r="RVF1505" s="879"/>
      <c r="RVG1505" s="879"/>
      <c r="RVH1505" s="879"/>
      <c r="RVI1505" s="879"/>
      <c r="RVJ1505" s="879"/>
      <c r="RVK1505" s="879"/>
      <c r="RVL1505" s="879"/>
      <c r="RVM1505" s="879"/>
      <c r="RVN1505" s="879"/>
      <c r="RVO1505" s="879"/>
      <c r="RVP1505" s="879"/>
      <c r="RVQ1505" s="879"/>
      <c r="RVR1505" s="879"/>
      <c r="RVS1505" s="879"/>
      <c r="RVT1505" s="879"/>
      <c r="RVU1505" s="879"/>
      <c r="RVV1505" s="879"/>
      <c r="RVW1505" s="879"/>
      <c r="RVX1505" s="879"/>
      <c r="RVY1505" s="879"/>
      <c r="RVZ1505" s="879"/>
      <c r="RWA1505" s="879"/>
      <c r="RWB1505" s="879"/>
      <c r="RWC1505" s="879"/>
      <c r="RWD1505" s="879"/>
      <c r="RWE1505" s="879"/>
      <c r="RWF1505" s="879"/>
      <c r="RWG1505" s="879"/>
      <c r="RWH1505" s="879"/>
      <c r="RWI1505" s="879"/>
      <c r="RWJ1505" s="879"/>
      <c r="RWK1505" s="879"/>
      <c r="RWL1505" s="879"/>
      <c r="RWM1505" s="879"/>
      <c r="RWN1505" s="879"/>
      <c r="RWO1505" s="879"/>
      <c r="RWP1505" s="879"/>
      <c r="RWQ1505" s="879"/>
      <c r="RWR1505" s="879"/>
      <c r="RWS1505" s="879"/>
      <c r="RWT1505" s="879"/>
      <c r="RWU1505" s="879"/>
      <c r="RWV1505" s="879"/>
      <c r="RWW1505" s="879"/>
      <c r="RWX1505" s="879"/>
      <c r="RWY1505" s="879"/>
      <c r="RWZ1505" s="879"/>
      <c r="RXA1505" s="879"/>
      <c r="RXB1505" s="879"/>
      <c r="RXC1505" s="879"/>
      <c r="RXD1505" s="879"/>
      <c r="RXE1505" s="879"/>
      <c r="RXF1505" s="879"/>
      <c r="RXG1505" s="879"/>
      <c r="RXH1505" s="879"/>
      <c r="RXI1505" s="879"/>
      <c r="RXJ1505" s="879"/>
      <c r="RXK1505" s="879"/>
      <c r="RXL1505" s="879"/>
      <c r="RXM1505" s="879"/>
      <c r="RXN1505" s="879"/>
      <c r="RXO1505" s="879"/>
      <c r="RXP1505" s="879"/>
      <c r="RXQ1505" s="879"/>
      <c r="RXR1505" s="879"/>
      <c r="RXS1505" s="879"/>
      <c r="RXT1505" s="879"/>
      <c r="RXU1505" s="879"/>
      <c r="RXV1505" s="879"/>
      <c r="RXW1505" s="879"/>
      <c r="RXX1505" s="879"/>
      <c r="RXY1505" s="879"/>
      <c r="RXZ1505" s="879"/>
      <c r="RYA1505" s="879"/>
      <c r="RYB1505" s="879"/>
      <c r="RYC1505" s="879"/>
      <c r="RYD1505" s="879"/>
      <c r="RYE1505" s="879"/>
      <c r="RYF1505" s="879"/>
      <c r="RYG1505" s="879"/>
      <c r="RYH1505" s="879"/>
      <c r="RYI1505" s="879"/>
      <c r="RYJ1505" s="879"/>
      <c r="RYK1505" s="879"/>
      <c r="RYL1505" s="879"/>
      <c r="RYM1505" s="879"/>
      <c r="RYN1505" s="879"/>
      <c r="RYO1505" s="879"/>
      <c r="RYP1505" s="879"/>
      <c r="RYQ1505" s="879"/>
      <c r="RYR1505" s="879"/>
      <c r="RYS1505" s="879"/>
      <c r="RYT1505" s="879"/>
      <c r="RYU1505" s="879"/>
      <c r="RYV1505" s="879"/>
      <c r="RYW1505" s="879"/>
      <c r="RYX1505" s="879"/>
      <c r="RYY1505" s="879"/>
      <c r="RYZ1505" s="879"/>
      <c r="RZA1505" s="879"/>
      <c r="RZB1505" s="879"/>
      <c r="RZC1505" s="879"/>
      <c r="RZD1505" s="879"/>
      <c r="RZE1505" s="879"/>
      <c r="RZF1505" s="879"/>
      <c r="RZG1505" s="879"/>
      <c r="RZH1505" s="879"/>
      <c r="RZI1505" s="879"/>
      <c r="RZJ1505" s="879"/>
      <c r="RZK1505" s="879"/>
      <c r="RZL1505" s="879"/>
      <c r="RZM1505" s="879"/>
      <c r="RZN1505" s="879"/>
      <c r="RZO1505" s="879"/>
      <c r="RZP1505" s="879"/>
      <c r="RZQ1505" s="879"/>
      <c r="RZR1505" s="879"/>
      <c r="RZS1505" s="879"/>
      <c r="RZT1505" s="879"/>
      <c r="RZU1505" s="879"/>
      <c r="RZV1505" s="879"/>
      <c r="RZW1505" s="879"/>
      <c r="RZX1505" s="879"/>
      <c r="RZY1505" s="879"/>
      <c r="RZZ1505" s="879"/>
      <c r="SAA1505" s="879"/>
      <c r="SAB1505" s="879"/>
      <c r="SAC1505" s="879"/>
      <c r="SAD1505" s="879"/>
      <c r="SAE1505" s="879"/>
      <c r="SAF1505" s="879"/>
      <c r="SAG1505" s="879"/>
      <c r="SAH1505" s="879"/>
      <c r="SAI1505" s="879"/>
      <c r="SAJ1505" s="879"/>
      <c r="SAK1505" s="879"/>
      <c r="SAL1505" s="879"/>
      <c r="SAM1505" s="879"/>
      <c r="SAN1505" s="879"/>
      <c r="SAO1505" s="879"/>
      <c r="SAP1505" s="879"/>
      <c r="SAQ1505" s="879"/>
      <c r="SAR1505" s="879"/>
      <c r="SAS1505" s="879"/>
      <c r="SAT1505" s="879"/>
      <c r="SAU1505" s="879"/>
      <c r="SAV1505" s="879"/>
      <c r="SAW1505" s="879"/>
      <c r="SAX1505" s="879"/>
      <c r="SAY1505" s="879"/>
      <c r="SAZ1505" s="879"/>
      <c r="SBA1505" s="879"/>
      <c r="SBB1505" s="879"/>
      <c r="SBC1505" s="879"/>
      <c r="SBD1505" s="879"/>
      <c r="SBE1505" s="879"/>
      <c r="SBF1505" s="879"/>
      <c r="SBG1505" s="879"/>
      <c r="SBH1505" s="879"/>
      <c r="SBI1505" s="879"/>
      <c r="SBJ1505" s="879"/>
      <c r="SBK1505" s="879"/>
      <c r="SBL1505" s="879"/>
      <c r="SBM1505" s="879"/>
      <c r="SBN1505" s="879"/>
      <c r="SBO1505" s="879"/>
      <c r="SBP1505" s="879"/>
      <c r="SBQ1505" s="879"/>
      <c r="SBR1505" s="879"/>
      <c r="SBS1505" s="879"/>
      <c r="SBT1505" s="879"/>
      <c r="SBU1505" s="879"/>
      <c r="SBV1505" s="879"/>
      <c r="SBW1505" s="879"/>
      <c r="SBX1505" s="879"/>
      <c r="SBY1505" s="879"/>
      <c r="SBZ1505" s="879"/>
      <c r="SCA1505" s="879"/>
      <c r="SCB1505" s="879"/>
      <c r="SCC1505" s="879"/>
      <c r="SCD1505" s="879"/>
      <c r="SCE1505" s="879"/>
      <c r="SCF1505" s="879"/>
      <c r="SCG1505" s="879"/>
      <c r="SCH1505" s="879"/>
      <c r="SCI1505" s="879"/>
      <c r="SCJ1505" s="879"/>
      <c r="SCK1505" s="879"/>
      <c r="SCL1505" s="879"/>
      <c r="SCM1505" s="879"/>
      <c r="SCN1505" s="879"/>
      <c r="SCO1505" s="879"/>
      <c r="SCP1505" s="879"/>
      <c r="SCQ1505" s="879"/>
      <c r="SCR1505" s="879"/>
      <c r="SCS1505" s="879"/>
      <c r="SCT1505" s="879"/>
      <c r="SCU1505" s="879"/>
      <c r="SCV1505" s="879"/>
      <c r="SCW1505" s="879"/>
      <c r="SCX1505" s="879"/>
      <c r="SCY1505" s="879"/>
      <c r="SCZ1505" s="879"/>
      <c r="SDA1505" s="879"/>
      <c r="SDB1505" s="879"/>
      <c r="SDC1505" s="879"/>
      <c r="SDD1505" s="879"/>
      <c r="SDE1505" s="879"/>
      <c r="SDF1505" s="879"/>
      <c r="SDG1505" s="879"/>
      <c r="SDH1505" s="879"/>
      <c r="SDI1505" s="879"/>
      <c r="SDJ1505" s="879"/>
      <c r="SDK1505" s="879"/>
      <c r="SDL1505" s="879"/>
      <c r="SDM1505" s="879"/>
      <c r="SDN1505" s="879"/>
      <c r="SDO1505" s="879"/>
      <c r="SDP1505" s="879"/>
      <c r="SDQ1505" s="879"/>
      <c r="SDR1505" s="879"/>
      <c r="SDS1505" s="879"/>
      <c r="SDT1505" s="879"/>
      <c r="SDU1505" s="879"/>
      <c r="SDV1505" s="879"/>
      <c r="SDW1505" s="879"/>
      <c r="SDX1505" s="879"/>
      <c r="SDY1505" s="879"/>
      <c r="SDZ1505" s="879"/>
      <c r="SEA1505" s="879"/>
      <c r="SEB1505" s="879"/>
      <c r="SEC1505" s="879"/>
      <c r="SED1505" s="879"/>
      <c r="SEE1505" s="879"/>
      <c r="SEF1505" s="879"/>
      <c r="SEG1505" s="879"/>
      <c r="SEH1505" s="879"/>
      <c r="SEI1505" s="879"/>
      <c r="SEJ1505" s="879"/>
      <c r="SEK1505" s="879"/>
      <c r="SEL1505" s="879"/>
      <c r="SEM1505" s="879"/>
      <c r="SEN1505" s="879"/>
      <c r="SEO1505" s="879"/>
      <c r="SEP1505" s="879"/>
      <c r="SEQ1505" s="879"/>
      <c r="SER1505" s="879"/>
      <c r="SES1505" s="879"/>
      <c r="SET1505" s="879"/>
      <c r="SEU1505" s="879"/>
      <c r="SEV1505" s="879"/>
      <c r="SEW1505" s="879"/>
      <c r="SEX1505" s="879"/>
      <c r="SEY1505" s="879"/>
      <c r="SEZ1505" s="879"/>
      <c r="SFA1505" s="879"/>
      <c r="SFB1505" s="879"/>
      <c r="SFC1505" s="879"/>
      <c r="SFD1505" s="879"/>
      <c r="SFE1505" s="879"/>
      <c r="SFF1505" s="879"/>
      <c r="SFG1505" s="879"/>
      <c r="SFH1505" s="879"/>
      <c r="SFI1505" s="879"/>
      <c r="SFJ1505" s="879"/>
      <c r="SFK1505" s="879"/>
      <c r="SFL1505" s="879"/>
      <c r="SFM1505" s="879"/>
      <c r="SFN1505" s="879"/>
      <c r="SFO1505" s="879"/>
      <c r="SFP1505" s="879"/>
      <c r="SFQ1505" s="879"/>
      <c r="SFR1505" s="879"/>
      <c r="SFS1505" s="879"/>
      <c r="SFT1505" s="879"/>
      <c r="SFU1505" s="879"/>
      <c r="SFV1505" s="879"/>
      <c r="SFW1505" s="879"/>
      <c r="SFX1505" s="879"/>
      <c r="SFY1505" s="879"/>
      <c r="SFZ1505" s="879"/>
      <c r="SGA1505" s="879"/>
      <c r="SGB1505" s="879"/>
      <c r="SGC1505" s="879"/>
      <c r="SGD1505" s="879"/>
      <c r="SGE1505" s="879"/>
      <c r="SGF1505" s="879"/>
      <c r="SGG1505" s="879"/>
      <c r="SGH1505" s="879"/>
      <c r="SGI1505" s="879"/>
      <c r="SGJ1505" s="879"/>
      <c r="SGK1505" s="879"/>
      <c r="SGL1505" s="879"/>
      <c r="SGM1505" s="879"/>
      <c r="SGN1505" s="879"/>
      <c r="SGO1505" s="879"/>
      <c r="SGP1505" s="879"/>
      <c r="SGQ1505" s="879"/>
      <c r="SGR1505" s="879"/>
      <c r="SGS1505" s="879"/>
      <c r="SGT1505" s="879"/>
      <c r="SGU1505" s="879"/>
      <c r="SGV1505" s="879"/>
      <c r="SGW1505" s="879"/>
      <c r="SGX1505" s="879"/>
      <c r="SGY1505" s="879"/>
      <c r="SGZ1505" s="879"/>
      <c r="SHA1505" s="879"/>
      <c r="SHB1505" s="879"/>
      <c r="SHC1505" s="879"/>
      <c r="SHD1505" s="879"/>
      <c r="SHE1505" s="879"/>
      <c r="SHF1505" s="879"/>
      <c r="SHG1505" s="879"/>
      <c r="SHH1505" s="879"/>
      <c r="SHI1505" s="879"/>
      <c r="SHJ1505" s="879"/>
      <c r="SHK1505" s="879"/>
      <c r="SHL1505" s="879"/>
      <c r="SHM1505" s="879"/>
      <c r="SHN1505" s="879"/>
      <c r="SHO1505" s="879"/>
      <c r="SHP1505" s="879"/>
      <c r="SHQ1505" s="879"/>
      <c r="SHR1505" s="879"/>
      <c r="SHS1505" s="879"/>
      <c r="SHT1505" s="879"/>
      <c r="SHU1505" s="879"/>
      <c r="SHV1505" s="879"/>
      <c r="SHW1505" s="879"/>
      <c r="SHX1505" s="879"/>
      <c r="SHY1505" s="879"/>
      <c r="SHZ1505" s="879"/>
      <c r="SIA1505" s="879"/>
      <c r="SIB1505" s="879"/>
      <c r="SIC1505" s="879"/>
      <c r="SID1505" s="879"/>
      <c r="SIE1505" s="879"/>
      <c r="SIF1505" s="879"/>
      <c r="SIG1505" s="879"/>
      <c r="SIH1505" s="879"/>
      <c r="SII1505" s="879"/>
      <c r="SIJ1505" s="879"/>
      <c r="SIK1505" s="879"/>
      <c r="SIL1505" s="879"/>
      <c r="SIM1505" s="879"/>
      <c r="SIN1505" s="879"/>
      <c r="SIO1505" s="879"/>
      <c r="SIP1505" s="879"/>
      <c r="SIQ1505" s="879"/>
      <c r="SIR1505" s="879"/>
      <c r="SIS1505" s="879"/>
      <c r="SIT1505" s="879"/>
      <c r="SIU1505" s="879"/>
      <c r="SIV1505" s="879"/>
      <c r="SIW1505" s="879"/>
      <c r="SIX1505" s="879"/>
      <c r="SIY1505" s="879"/>
      <c r="SIZ1505" s="879"/>
      <c r="SJA1505" s="879"/>
      <c r="SJB1505" s="879"/>
      <c r="SJC1505" s="879"/>
      <c r="SJD1505" s="879"/>
      <c r="SJE1505" s="879"/>
      <c r="SJF1505" s="879"/>
      <c r="SJG1505" s="879"/>
      <c r="SJH1505" s="879"/>
      <c r="SJI1505" s="879"/>
      <c r="SJJ1505" s="879"/>
      <c r="SJK1505" s="879"/>
      <c r="SJL1505" s="879"/>
      <c r="SJM1505" s="879"/>
      <c r="SJN1505" s="879"/>
      <c r="SJO1505" s="879"/>
      <c r="SJP1505" s="879"/>
      <c r="SJQ1505" s="879"/>
      <c r="SJR1505" s="879"/>
      <c r="SJS1505" s="879"/>
      <c r="SJT1505" s="879"/>
      <c r="SJU1505" s="879"/>
      <c r="SJV1505" s="879"/>
      <c r="SJW1505" s="879"/>
      <c r="SJX1505" s="879"/>
      <c r="SJY1505" s="879"/>
      <c r="SJZ1505" s="879"/>
      <c r="SKA1505" s="879"/>
      <c r="SKB1505" s="879"/>
      <c r="SKC1505" s="879"/>
      <c r="SKD1505" s="879"/>
      <c r="SKE1505" s="879"/>
      <c r="SKF1505" s="879"/>
      <c r="SKG1505" s="879"/>
      <c r="SKH1505" s="879"/>
      <c r="SKI1505" s="879"/>
      <c r="SKJ1505" s="879"/>
      <c r="SKK1505" s="879"/>
      <c r="SKL1505" s="879"/>
      <c r="SKM1505" s="879"/>
      <c r="SKN1505" s="879"/>
      <c r="SKO1505" s="879"/>
      <c r="SKP1505" s="879"/>
      <c r="SKQ1505" s="879"/>
      <c r="SKR1505" s="879"/>
      <c r="SKS1505" s="879"/>
      <c r="SKT1505" s="879"/>
      <c r="SKU1505" s="879"/>
      <c r="SKV1505" s="879"/>
      <c r="SKW1505" s="879"/>
      <c r="SKX1505" s="879"/>
      <c r="SKY1505" s="879"/>
      <c r="SKZ1505" s="879"/>
      <c r="SLA1505" s="879"/>
      <c r="SLB1505" s="879"/>
      <c r="SLC1505" s="879"/>
      <c r="SLD1505" s="879"/>
      <c r="SLE1505" s="879"/>
      <c r="SLF1505" s="879"/>
      <c r="SLG1505" s="879"/>
      <c r="SLH1505" s="879"/>
      <c r="SLI1505" s="879"/>
      <c r="SLJ1505" s="879"/>
      <c r="SLK1505" s="879"/>
      <c r="SLL1505" s="879"/>
      <c r="SLM1505" s="879"/>
      <c r="SLN1505" s="879"/>
      <c r="SLO1505" s="879"/>
      <c r="SLP1505" s="879"/>
      <c r="SLQ1505" s="879"/>
      <c r="SLR1505" s="879"/>
      <c r="SLS1505" s="879"/>
      <c r="SLT1505" s="879"/>
      <c r="SLU1505" s="879"/>
      <c r="SLV1505" s="879"/>
      <c r="SLW1505" s="879"/>
      <c r="SLX1505" s="879"/>
      <c r="SLY1505" s="879"/>
      <c r="SLZ1505" s="879"/>
      <c r="SMA1505" s="879"/>
      <c r="SMB1505" s="879"/>
      <c r="SMC1505" s="879"/>
      <c r="SMD1505" s="879"/>
      <c r="SME1505" s="879"/>
      <c r="SMF1505" s="879"/>
      <c r="SMG1505" s="879"/>
      <c r="SMH1505" s="879"/>
      <c r="SMI1505" s="879"/>
      <c r="SMJ1505" s="879"/>
      <c r="SMK1505" s="879"/>
      <c r="SML1505" s="879"/>
      <c r="SMM1505" s="879"/>
      <c r="SMN1505" s="879"/>
      <c r="SMO1505" s="879"/>
      <c r="SMP1505" s="879"/>
      <c r="SMQ1505" s="879"/>
      <c r="SMR1505" s="879"/>
      <c r="SMS1505" s="879"/>
      <c r="SMT1505" s="879"/>
      <c r="SMU1505" s="879"/>
      <c r="SMV1505" s="879"/>
      <c r="SMW1505" s="879"/>
      <c r="SMX1505" s="879"/>
      <c r="SMY1505" s="879"/>
      <c r="SMZ1505" s="879"/>
      <c r="SNA1505" s="879"/>
      <c r="SNB1505" s="879"/>
      <c r="SNC1505" s="879"/>
      <c r="SND1505" s="879"/>
      <c r="SNE1505" s="879"/>
      <c r="SNF1505" s="879"/>
      <c r="SNG1505" s="879"/>
      <c r="SNH1505" s="879"/>
      <c r="SNI1505" s="879"/>
      <c r="SNJ1505" s="879"/>
      <c r="SNK1505" s="879"/>
      <c r="SNL1505" s="879"/>
      <c r="SNM1505" s="879"/>
      <c r="SNN1505" s="879"/>
      <c r="SNO1505" s="879"/>
      <c r="SNP1505" s="879"/>
      <c r="SNQ1505" s="879"/>
      <c r="SNR1505" s="879"/>
      <c r="SNS1505" s="879"/>
      <c r="SNT1505" s="879"/>
      <c r="SNU1505" s="879"/>
      <c r="SNV1505" s="879"/>
      <c r="SNW1505" s="879"/>
      <c r="SNX1505" s="879"/>
      <c r="SNY1505" s="879"/>
      <c r="SNZ1505" s="879"/>
      <c r="SOA1505" s="879"/>
      <c r="SOB1505" s="879"/>
      <c r="SOC1505" s="879"/>
      <c r="SOD1505" s="879"/>
      <c r="SOE1505" s="879"/>
      <c r="SOF1505" s="879"/>
      <c r="SOG1505" s="879"/>
      <c r="SOH1505" s="879"/>
      <c r="SOI1505" s="879"/>
      <c r="SOJ1505" s="879"/>
      <c r="SOK1505" s="879"/>
      <c r="SOL1505" s="879"/>
      <c r="SOM1505" s="879"/>
      <c r="SON1505" s="879"/>
      <c r="SOO1505" s="879"/>
      <c r="SOP1505" s="879"/>
      <c r="SOQ1505" s="879"/>
      <c r="SOR1505" s="879"/>
      <c r="SOS1505" s="879"/>
      <c r="SOT1505" s="879"/>
      <c r="SOU1505" s="879"/>
      <c r="SOV1505" s="879"/>
      <c r="SOW1505" s="879"/>
      <c r="SOX1505" s="879"/>
      <c r="SOY1505" s="879"/>
      <c r="SOZ1505" s="879"/>
      <c r="SPA1505" s="879"/>
      <c r="SPB1505" s="879"/>
      <c r="SPC1505" s="879"/>
      <c r="SPD1505" s="879"/>
      <c r="SPE1505" s="879"/>
      <c r="SPF1505" s="879"/>
      <c r="SPG1505" s="879"/>
      <c r="SPH1505" s="879"/>
      <c r="SPI1505" s="879"/>
      <c r="SPJ1505" s="879"/>
      <c r="SPK1505" s="879"/>
      <c r="SPL1505" s="879"/>
      <c r="SPM1505" s="879"/>
      <c r="SPN1505" s="879"/>
      <c r="SPO1505" s="879"/>
      <c r="SPP1505" s="879"/>
      <c r="SPQ1505" s="879"/>
      <c r="SPR1505" s="879"/>
      <c r="SPS1505" s="879"/>
      <c r="SPT1505" s="879"/>
      <c r="SPU1505" s="879"/>
      <c r="SPV1505" s="879"/>
      <c r="SPW1505" s="879"/>
      <c r="SPX1505" s="879"/>
      <c r="SPY1505" s="879"/>
      <c r="SPZ1505" s="879"/>
      <c r="SQA1505" s="879"/>
      <c r="SQB1505" s="879"/>
      <c r="SQC1505" s="879"/>
      <c r="SQD1505" s="879"/>
      <c r="SQE1505" s="879"/>
      <c r="SQF1505" s="879"/>
      <c r="SQG1505" s="879"/>
      <c r="SQH1505" s="879"/>
      <c r="SQI1505" s="879"/>
      <c r="SQJ1505" s="879"/>
      <c r="SQK1505" s="879"/>
      <c r="SQL1505" s="879"/>
      <c r="SQM1505" s="879"/>
      <c r="SQN1505" s="879"/>
      <c r="SQO1505" s="879"/>
      <c r="SQP1505" s="879"/>
      <c r="SQQ1505" s="879"/>
      <c r="SQR1505" s="879"/>
      <c r="SQS1505" s="879"/>
      <c r="SQT1505" s="879"/>
      <c r="SQU1505" s="879"/>
      <c r="SQV1505" s="879"/>
      <c r="SQW1505" s="879"/>
      <c r="SQX1505" s="879"/>
      <c r="SQY1505" s="879"/>
      <c r="SQZ1505" s="879"/>
      <c r="SRA1505" s="879"/>
      <c r="SRB1505" s="879"/>
      <c r="SRC1505" s="879"/>
      <c r="SRD1505" s="879"/>
      <c r="SRE1505" s="879"/>
      <c r="SRF1505" s="879"/>
      <c r="SRG1505" s="879"/>
      <c r="SRH1505" s="879"/>
      <c r="SRI1505" s="879"/>
      <c r="SRJ1505" s="879"/>
      <c r="SRK1505" s="879"/>
      <c r="SRL1505" s="879"/>
      <c r="SRM1505" s="879"/>
      <c r="SRN1505" s="879"/>
      <c r="SRO1505" s="879"/>
      <c r="SRP1505" s="879"/>
      <c r="SRQ1505" s="879"/>
      <c r="SRR1505" s="879"/>
      <c r="SRS1505" s="879"/>
      <c r="SRT1505" s="879"/>
      <c r="SRU1505" s="879"/>
      <c r="SRV1505" s="879"/>
      <c r="SRW1505" s="879"/>
      <c r="SRX1505" s="879"/>
      <c r="SRY1505" s="879"/>
      <c r="SRZ1505" s="879"/>
      <c r="SSA1505" s="879"/>
      <c r="SSB1505" s="879"/>
      <c r="SSC1505" s="879"/>
      <c r="SSD1505" s="879"/>
      <c r="SSE1505" s="879"/>
      <c r="SSF1505" s="879"/>
      <c r="SSG1505" s="879"/>
      <c r="SSH1505" s="879"/>
      <c r="SSI1505" s="879"/>
      <c r="SSJ1505" s="879"/>
      <c r="SSK1505" s="879"/>
      <c r="SSL1505" s="879"/>
      <c r="SSM1505" s="879"/>
      <c r="SSN1505" s="879"/>
      <c r="SSO1505" s="879"/>
      <c r="SSP1505" s="879"/>
      <c r="SSQ1505" s="879"/>
      <c r="SSR1505" s="879"/>
      <c r="SSS1505" s="879"/>
      <c r="SST1505" s="879"/>
      <c r="SSU1505" s="879"/>
      <c r="SSV1505" s="879"/>
      <c r="SSW1505" s="879"/>
      <c r="SSX1505" s="879"/>
      <c r="SSY1505" s="879"/>
      <c r="SSZ1505" s="879"/>
      <c r="STA1505" s="879"/>
      <c r="STB1505" s="879"/>
      <c r="STC1505" s="879"/>
      <c r="STD1505" s="879"/>
      <c r="STE1505" s="879"/>
      <c r="STF1505" s="879"/>
      <c r="STG1505" s="879"/>
      <c r="STH1505" s="879"/>
      <c r="STI1505" s="879"/>
      <c r="STJ1505" s="879"/>
      <c r="STK1505" s="879"/>
      <c r="STL1505" s="879"/>
      <c r="STM1505" s="879"/>
      <c r="STN1505" s="879"/>
      <c r="STO1505" s="879"/>
      <c r="STP1505" s="879"/>
      <c r="STQ1505" s="879"/>
      <c r="STR1505" s="879"/>
      <c r="STS1505" s="879"/>
      <c r="STT1505" s="879"/>
      <c r="STU1505" s="879"/>
      <c r="STV1505" s="879"/>
      <c r="STW1505" s="879"/>
      <c r="STX1505" s="879"/>
      <c r="STY1505" s="879"/>
      <c r="STZ1505" s="879"/>
      <c r="SUA1505" s="879"/>
      <c r="SUB1505" s="879"/>
      <c r="SUC1505" s="879"/>
      <c r="SUD1505" s="879"/>
      <c r="SUE1505" s="879"/>
      <c r="SUF1505" s="879"/>
      <c r="SUG1505" s="879"/>
      <c r="SUH1505" s="879"/>
      <c r="SUI1505" s="879"/>
      <c r="SUJ1505" s="879"/>
      <c r="SUK1505" s="879"/>
      <c r="SUL1505" s="879"/>
      <c r="SUM1505" s="879"/>
      <c r="SUN1505" s="879"/>
      <c r="SUO1505" s="879"/>
      <c r="SUP1505" s="879"/>
      <c r="SUQ1505" s="879"/>
      <c r="SUR1505" s="879"/>
      <c r="SUS1505" s="879"/>
      <c r="SUT1505" s="879"/>
      <c r="SUU1505" s="879"/>
      <c r="SUV1505" s="879"/>
      <c r="SUW1505" s="879"/>
      <c r="SUX1505" s="879"/>
      <c r="SUY1505" s="879"/>
      <c r="SUZ1505" s="879"/>
      <c r="SVA1505" s="879"/>
      <c r="SVB1505" s="879"/>
      <c r="SVC1505" s="879"/>
      <c r="SVD1505" s="879"/>
      <c r="SVE1505" s="879"/>
      <c r="SVF1505" s="879"/>
      <c r="SVG1505" s="879"/>
      <c r="SVH1505" s="879"/>
      <c r="SVI1505" s="879"/>
      <c r="SVJ1505" s="879"/>
      <c r="SVK1505" s="879"/>
      <c r="SVL1505" s="879"/>
      <c r="SVM1505" s="879"/>
      <c r="SVN1505" s="879"/>
      <c r="SVO1505" s="879"/>
      <c r="SVP1505" s="879"/>
      <c r="SVQ1505" s="879"/>
      <c r="SVR1505" s="879"/>
      <c r="SVS1505" s="879"/>
      <c r="SVT1505" s="879"/>
      <c r="SVU1505" s="879"/>
      <c r="SVV1505" s="879"/>
      <c r="SVW1505" s="879"/>
      <c r="SVX1505" s="879"/>
      <c r="SVY1505" s="879"/>
      <c r="SVZ1505" s="879"/>
      <c r="SWA1505" s="879"/>
      <c r="SWB1505" s="879"/>
      <c r="SWC1505" s="879"/>
      <c r="SWD1505" s="879"/>
      <c r="SWE1505" s="879"/>
      <c r="SWF1505" s="879"/>
      <c r="SWG1505" s="879"/>
      <c r="SWH1505" s="879"/>
      <c r="SWI1505" s="879"/>
      <c r="SWJ1505" s="879"/>
      <c r="SWK1505" s="879"/>
      <c r="SWL1505" s="879"/>
      <c r="SWM1505" s="879"/>
      <c r="SWN1505" s="879"/>
      <c r="SWO1505" s="879"/>
      <c r="SWP1505" s="879"/>
      <c r="SWQ1505" s="879"/>
      <c r="SWR1505" s="879"/>
      <c r="SWS1505" s="879"/>
      <c r="SWT1505" s="879"/>
      <c r="SWU1505" s="879"/>
      <c r="SWV1505" s="879"/>
      <c r="SWW1505" s="879"/>
      <c r="SWX1505" s="879"/>
      <c r="SWY1505" s="879"/>
      <c r="SWZ1505" s="879"/>
      <c r="SXA1505" s="879"/>
      <c r="SXB1505" s="879"/>
      <c r="SXC1505" s="879"/>
      <c r="SXD1505" s="879"/>
      <c r="SXE1505" s="879"/>
      <c r="SXF1505" s="879"/>
      <c r="SXG1505" s="879"/>
      <c r="SXH1505" s="879"/>
      <c r="SXI1505" s="879"/>
      <c r="SXJ1505" s="879"/>
      <c r="SXK1505" s="879"/>
      <c r="SXL1505" s="879"/>
      <c r="SXM1505" s="879"/>
      <c r="SXN1505" s="879"/>
      <c r="SXO1505" s="879"/>
      <c r="SXP1505" s="879"/>
      <c r="SXQ1505" s="879"/>
      <c r="SXR1505" s="879"/>
      <c r="SXS1505" s="879"/>
      <c r="SXT1505" s="879"/>
      <c r="SXU1505" s="879"/>
      <c r="SXV1505" s="879"/>
      <c r="SXW1505" s="879"/>
      <c r="SXX1505" s="879"/>
      <c r="SXY1505" s="879"/>
      <c r="SXZ1505" s="879"/>
      <c r="SYA1505" s="879"/>
      <c r="SYB1505" s="879"/>
      <c r="SYC1505" s="879"/>
      <c r="SYD1505" s="879"/>
      <c r="SYE1505" s="879"/>
      <c r="SYF1505" s="879"/>
      <c r="SYG1505" s="879"/>
      <c r="SYH1505" s="879"/>
      <c r="SYI1505" s="879"/>
      <c r="SYJ1505" s="879"/>
      <c r="SYK1505" s="879"/>
      <c r="SYL1505" s="879"/>
      <c r="SYM1505" s="879"/>
      <c r="SYN1505" s="879"/>
      <c r="SYO1505" s="879"/>
      <c r="SYP1505" s="879"/>
      <c r="SYQ1505" s="879"/>
      <c r="SYR1505" s="879"/>
      <c r="SYS1505" s="879"/>
      <c r="SYT1505" s="879"/>
      <c r="SYU1505" s="879"/>
      <c r="SYV1505" s="879"/>
      <c r="SYW1505" s="879"/>
      <c r="SYX1505" s="879"/>
      <c r="SYY1505" s="879"/>
      <c r="SYZ1505" s="879"/>
      <c r="SZA1505" s="879"/>
      <c r="SZB1505" s="879"/>
      <c r="SZC1505" s="879"/>
      <c r="SZD1505" s="879"/>
      <c r="SZE1505" s="879"/>
      <c r="SZF1505" s="879"/>
      <c r="SZG1505" s="879"/>
      <c r="SZH1505" s="879"/>
      <c r="SZI1505" s="879"/>
      <c r="SZJ1505" s="879"/>
      <c r="SZK1505" s="879"/>
      <c r="SZL1505" s="879"/>
      <c r="SZM1505" s="879"/>
      <c r="SZN1505" s="879"/>
      <c r="SZO1505" s="879"/>
      <c r="SZP1505" s="879"/>
      <c r="SZQ1505" s="879"/>
      <c r="SZR1505" s="879"/>
      <c r="SZS1505" s="879"/>
      <c r="SZT1505" s="879"/>
      <c r="SZU1505" s="879"/>
      <c r="SZV1505" s="879"/>
      <c r="SZW1505" s="879"/>
      <c r="SZX1505" s="879"/>
      <c r="SZY1505" s="879"/>
      <c r="SZZ1505" s="879"/>
      <c r="TAA1505" s="879"/>
      <c r="TAB1505" s="879"/>
      <c r="TAC1505" s="879"/>
      <c r="TAD1505" s="879"/>
      <c r="TAE1505" s="879"/>
      <c r="TAF1505" s="879"/>
      <c r="TAG1505" s="879"/>
      <c r="TAH1505" s="879"/>
      <c r="TAI1505" s="879"/>
      <c r="TAJ1505" s="879"/>
      <c r="TAK1505" s="879"/>
      <c r="TAL1505" s="879"/>
      <c r="TAM1505" s="879"/>
      <c r="TAN1505" s="879"/>
      <c r="TAO1505" s="879"/>
      <c r="TAP1505" s="879"/>
      <c r="TAQ1505" s="879"/>
      <c r="TAR1505" s="879"/>
      <c r="TAS1505" s="879"/>
      <c r="TAT1505" s="879"/>
      <c r="TAU1505" s="879"/>
      <c r="TAV1505" s="879"/>
      <c r="TAW1505" s="879"/>
      <c r="TAX1505" s="879"/>
      <c r="TAY1505" s="879"/>
      <c r="TAZ1505" s="879"/>
      <c r="TBA1505" s="879"/>
      <c r="TBB1505" s="879"/>
      <c r="TBC1505" s="879"/>
      <c r="TBD1505" s="879"/>
      <c r="TBE1505" s="879"/>
      <c r="TBF1505" s="879"/>
      <c r="TBG1505" s="879"/>
      <c r="TBH1505" s="879"/>
      <c r="TBI1505" s="879"/>
      <c r="TBJ1505" s="879"/>
      <c r="TBK1505" s="879"/>
      <c r="TBL1505" s="879"/>
      <c r="TBM1505" s="879"/>
      <c r="TBN1505" s="879"/>
      <c r="TBO1505" s="879"/>
      <c r="TBP1505" s="879"/>
      <c r="TBQ1505" s="879"/>
      <c r="TBR1505" s="879"/>
      <c r="TBS1505" s="879"/>
      <c r="TBT1505" s="879"/>
      <c r="TBU1505" s="879"/>
      <c r="TBV1505" s="879"/>
      <c r="TBW1505" s="879"/>
      <c r="TBX1505" s="879"/>
      <c r="TBY1505" s="879"/>
      <c r="TBZ1505" s="879"/>
      <c r="TCA1505" s="879"/>
      <c r="TCB1505" s="879"/>
      <c r="TCC1505" s="879"/>
      <c r="TCD1505" s="879"/>
      <c r="TCE1505" s="879"/>
      <c r="TCF1505" s="879"/>
      <c r="TCG1505" s="879"/>
      <c r="TCH1505" s="879"/>
      <c r="TCI1505" s="879"/>
      <c r="TCJ1505" s="879"/>
      <c r="TCK1505" s="879"/>
      <c r="TCL1505" s="879"/>
      <c r="TCM1505" s="879"/>
      <c r="TCN1505" s="879"/>
      <c r="TCO1505" s="879"/>
      <c r="TCP1505" s="879"/>
      <c r="TCQ1505" s="879"/>
      <c r="TCR1505" s="879"/>
      <c r="TCS1505" s="879"/>
      <c r="TCT1505" s="879"/>
      <c r="TCU1505" s="879"/>
      <c r="TCV1505" s="879"/>
      <c r="TCW1505" s="879"/>
      <c r="TCX1505" s="879"/>
      <c r="TCY1505" s="879"/>
      <c r="TCZ1505" s="879"/>
      <c r="TDA1505" s="879"/>
      <c r="TDB1505" s="879"/>
      <c r="TDC1505" s="879"/>
      <c r="TDD1505" s="879"/>
      <c r="TDE1505" s="879"/>
      <c r="TDF1505" s="879"/>
      <c r="TDG1505" s="879"/>
      <c r="TDH1505" s="879"/>
      <c r="TDI1505" s="879"/>
      <c r="TDJ1505" s="879"/>
      <c r="TDK1505" s="879"/>
      <c r="TDL1505" s="879"/>
      <c r="TDM1505" s="879"/>
      <c r="TDN1505" s="879"/>
      <c r="TDO1505" s="879"/>
      <c r="TDP1505" s="879"/>
      <c r="TDQ1505" s="879"/>
      <c r="TDR1505" s="879"/>
      <c r="TDS1505" s="879"/>
      <c r="TDT1505" s="879"/>
      <c r="TDU1505" s="879"/>
      <c r="TDV1505" s="879"/>
      <c r="TDW1505" s="879"/>
      <c r="TDX1505" s="879"/>
      <c r="TDY1505" s="879"/>
      <c r="TDZ1505" s="879"/>
      <c r="TEA1505" s="879"/>
      <c r="TEB1505" s="879"/>
      <c r="TEC1505" s="879"/>
      <c r="TED1505" s="879"/>
      <c r="TEE1505" s="879"/>
      <c r="TEF1505" s="879"/>
      <c r="TEG1505" s="879"/>
      <c r="TEH1505" s="879"/>
      <c r="TEI1505" s="879"/>
      <c r="TEJ1505" s="879"/>
      <c r="TEK1505" s="879"/>
      <c r="TEL1505" s="879"/>
      <c r="TEM1505" s="879"/>
      <c r="TEN1505" s="879"/>
      <c r="TEO1505" s="879"/>
      <c r="TEP1505" s="879"/>
      <c r="TEQ1505" s="879"/>
      <c r="TER1505" s="879"/>
      <c r="TES1505" s="879"/>
      <c r="TET1505" s="879"/>
      <c r="TEU1505" s="879"/>
      <c r="TEV1505" s="879"/>
      <c r="TEW1505" s="879"/>
      <c r="TEX1505" s="879"/>
      <c r="TEY1505" s="879"/>
      <c r="TEZ1505" s="879"/>
      <c r="TFA1505" s="879"/>
      <c r="TFB1505" s="879"/>
      <c r="TFC1505" s="879"/>
      <c r="TFD1505" s="879"/>
      <c r="TFE1505" s="879"/>
      <c r="TFF1505" s="879"/>
      <c r="TFG1505" s="879"/>
      <c r="TFH1505" s="879"/>
      <c r="TFI1505" s="879"/>
      <c r="TFJ1505" s="879"/>
      <c r="TFK1505" s="879"/>
      <c r="TFL1505" s="879"/>
      <c r="TFM1505" s="879"/>
      <c r="TFN1505" s="879"/>
      <c r="TFO1505" s="879"/>
      <c r="TFP1505" s="879"/>
      <c r="TFQ1505" s="879"/>
      <c r="TFR1505" s="879"/>
      <c r="TFS1505" s="879"/>
      <c r="TFT1505" s="879"/>
      <c r="TFU1505" s="879"/>
      <c r="TFV1505" s="879"/>
      <c r="TFW1505" s="879"/>
      <c r="TFX1505" s="879"/>
      <c r="TFY1505" s="879"/>
      <c r="TFZ1505" s="879"/>
      <c r="TGA1505" s="879"/>
      <c r="TGB1505" s="879"/>
      <c r="TGC1505" s="879"/>
      <c r="TGD1505" s="879"/>
      <c r="TGE1505" s="879"/>
      <c r="TGF1505" s="879"/>
      <c r="TGG1505" s="879"/>
      <c r="TGH1505" s="879"/>
      <c r="TGI1505" s="879"/>
      <c r="TGJ1505" s="879"/>
      <c r="TGK1505" s="879"/>
      <c r="TGL1505" s="879"/>
      <c r="TGM1505" s="879"/>
      <c r="TGN1505" s="879"/>
      <c r="TGO1505" s="879"/>
      <c r="TGP1505" s="879"/>
      <c r="TGQ1505" s="879"/>
      <c r="TGR1505" s="879"/>
      <c r="TGS1505" s="879"/>
      <c r="TGT1505" s="879"/>
      <c r="TGU1505" s="879"/>
      <c r="TGV1505" s="879"/>
      <c r="TGW1505" s="879"/>
      <c r="TGX1505" s="879"/>
      <c r="TGY1505" s="879"/>
      <c r="TGZ1505" s="879"/>
      <c r="THA1505" s="879"/>
      <c r="THB1505" s="879"/>
      <c r="THC1505" s="879"/>
      <c r="THD1505" s="879"/>
      <c r="THE1505" s="879"/>
      <c r="THF1505" s="879"/>
      <c r="THG1505" s="879"/>
      <c r="THH1505" s="879"/>
      <c r="THI1505" s="879"/>
      <c r="THJ1505" s="879"/>
      <c r="THK1505" s="879"/>
      <c r="THL1505" s="879"/>
      <c r="THM1505" s="879"/>
      <c r="THN1505" s="879"/>
      <c r="THO1505" s="879"/>
      <c r="THP1505" s="879"/>
      <c r="THQ1505" s="879"/>
      <c r="THR1505" s="879"/>
      <c r="THS1505" s="879"/>
      <c r="THT1505" s="879"/>
      <c r="THU1505" s="879"/>
      <c r="THV1505" s="879"/>
      <c r="THW1505" s="879"/>
      <c r="THX1505" s="879"/>
      <c r="THY1505" s="879"/>
      <c r="THZ1505" s="879"/>
      <c r="TIA1505" s="879"/>
      <c r="TIB1505" s="879"/>
      <c r="TIC1505" s="879"/>
      <c r="TID1505" s="879"/>
      <c r="TIE1505" s="879"/>
      <c r="TIF1505" s="879"/>
      <c r="TIG1505" s="879"/>
      <c r="TIH1505" s="879"/>
      <c r="TII1505" s="879"/>
      <c r="TIJ1505" s="879"/>
      <c r="TIK1505" s="879"/>
      <c r="TIL1505" s="879"/>
      <c r="TIM1505" s="879"/>
      <c r="TIN1505" s="879"/>
      <c r="TIO1505" s="879"/>
      <c r="TIP1505" s="879"/>
      <c r="TIQ1505" s="879"/>
      <c r="TIR1505" s="879"/>
      <c r="TIS1505" s="879"/>
      <c r="TIT1505" s="879"/>
      <c r="TIU1505" s="879"/>
      <c r="TIV1505" s="879"/>
      <c r="TIW1505" s="879"/>
      <c r="TIX1505" s="879"/>
      <c r="TIY1505" s="879"/>
      <c r="TIZ1505" s="879"/>
      <c r="TJA1505" s="879"/>
      <c r="TJB1505" s="879"/>
      <c r="TJC1505" s="879"/>
      <c r="TJD1505" s="879"/>
      <c r="TJE1505" s="879"/>
      <c r="TJF1505" s="879"/>
      <c r="TJG1505" s="879"/>
      <c r="TJH1505" s="879"/>
      <c r="TJI1505" s="879"/>
      <c r="TJJ1505" s="879"/>
      <c r="TJK1505" s="879"/>
      <c r="TJL1505" s="879"/>
      <c r="TJM1505" s="879"/>
      <c r="TJN1505" s="879"/>
      <c r="TJO1505" s="879"/>
      <c r="TJP1505" s="879"/>
      <c r="TJQ1505" s="879"/>
      <c r="TJR1505" s="879"/>
      <c r="TJS1505" s="879"/>
      <c r="TJT1505" s="879"/>
      <c r="TJU1505" s="879"/>
      <c r="TJV1505" s="879"/>
      <c r="TJW1505" s="879"/>
      <c r="TJX1505" s="879"/>
      <c r="TJY1505" s="879"/>
      <c r="TJZ1505" s="879"/>
      <c r="TKA1505" s="879"/>
      <c r="TKB1505" s="879"/>
      <c r="TKC1505" s="879"/>
      <c r="TKD1505" s="879"/>
      <c r="TKE1505" s="879"/>
      <c r="TKF1505" s="879"/>
      <c r="TKG1505" s="879"/>
      <c r="TKH1505" s="879"/>
      <c r="TKI1505" s="879"/>
      <c r="TKJ1505" s="879"/>
      <c r="TKK1505" s="879"/>
      <c r="TKL1505" s="879"/>
      <c r="TKM1505" s="879"/>
      <c r="TKN1505" s="879"/>
      <c r="TKO1505" s="879"/>
      <c r="TKP1505" s="879"/>
      <c r="TKQ1505" s="879"/>
      <c r="TKR1505" s="879"/>
      <c r="TKS1505" s="879"/>
      <c r="TKT1505" s="879"/>
      <c r="TKU1505" s="879"/>
      <c r="TKV1505" s="879"/>
      <c r="TKW1505" s="879"/>
      <c r="TKX1505" s="879"/>
      <c r="TKY1505" s="879"/>
      <c r="TKZ1505" s="879"/>
      <c r="TLA1505" s="879"/>
      <c r="TLB1505" s="879"/>
      <c r="TLC1505" s="879"/>
      <c r="TLD1505" s="879"/>
      <c r="TLE1505" s="879"/>
      <c r="TLF1505" s="879"/>
      <c r="TLG1505" s="879"/>
      <c r="TLH1505" s="879"/>
      <c r="TLI1505" s="879"/>
      <c r="TLJ1505" s="879"/>
      <c r="TLK1505" s="879"/>
      <c r="TLL1505" s="879"/>
      <c r="TLM1505" s="879"/>
      <c r="TLN1505" s="879"/>
      <c r="TLO1505" s="879"/>
      <c r="TLP1505" s="879"/>
      <c r="TLQ1505" s="879"/>
      <c r="TLR1505" s="879"/>
      <c r="TLS1505" s="879"/>
      <c r="TLT1505" s="879"/>
      <c r="TLU1505" s="879"/>
      <c r="TLV1505" s="879"/>
      <c r="TLW1505" s="879"/>
      <c r="TLX1505" s="879"/>
      <c r="TLY1505" s="879"/>
      <c r="TLZ1505" s="879"/>
      <c r="TMA1505" s="879"/>
      <c r="TMB1505" s="879"/>
      <c r="TMC1505" s="879"/>
      <c r="TMD1505" s="879"/>
      <c r="TME1505" s="879"/>
      <c r="TMF1505" s="879"/>
      <c r="TMG1505" s="879"/>
      <c r="TMH1505" s="879"/>
      <c r="TMI1505" s="879"/>
      <c r="TMJ1505" s="879"/>
      <c r="TMK1505" s="879"/>
      <c r="TML1505" s="879"/>
      <c r="TMM1505" s="879"/>
      <c r="TMN1505" s="879"/>
      <c r="TMO1505" s="879"/>
      <c r="TMP1505" s="879"/>
      <c r="TMQ1505" s="879"/>
      <c r="TMR1505" s="879"/>
      <c r="TMS1505" s="879"/>
      <c r="TMT1505" s="879"/>
      <c r="TMU1505" s="879"/>
      <c r="TMV1505" s="879"/>
      <c r="TMW1505" s="879"/>
      <c r="TMX1505" s="879"/>
      <c r="TMY1505" s="879"/>
      <c r="TMZ1505" s="879"/>
      <c r="TNA1505" s="879"/>
      <c r="TNB1505" s="879"/>
      <c r="TNC1505" s="879"/>
      <c r="TND1505" s="879"/>
      <c r="TNE1505" s="879"/>
      <c r="TNF1505" s="879"/>
      <c r="TNG1505" s="879"/>
      <c r="TNH1505" s="879"/>
      <c r="TNI1505" s="879"/>
      <c r="TNJ1505" s="879"/>
      <c r="TNK1505" s="879"/>
      <c r="TNL1505" s="879"/>
      <c r="TNM1505" s="879"/>
      <c r="TNN1505" s="879"/>
      <c r="TNO1505" s="879"/>
      <c r="TNP1505" s="879"/>
      <c r="TNQ1505" s="879"/>
      <c r="TNR1505" s="879"/>
      <c r="TNS1505" s="879"/>
      <c r="TNT1505" s="879"/>
      <c r="TNU1505" s="879"/>
      <c r="TNV1505" s="879"/>
      <c r="TNW1505" s="879"/>
      <c r="TNX1505" s="879"/>
      <c r="TNY1505" s="879"/>
      <c r="TNZ1505" s="879"/>
      <c r="TOA1505" s="879"/>
      <c r="TOB1505" s="879"/>
      <c r="TOC1505" s="879"/>
      <c r="TOD1505" s="879"/>
      <c r="TOE1505" s="879"/>
      <c r="TOF1505" s="879"/>
      <c r="TOG1505" s="879"/>
      <c r="TOH1505" s="879"/>
      <c r="TOI1505" s="879"/>
      <c r="TOJ1505" s="879"/>
      <c r="TOK1505" s="879"/>
      <c r="TOL1505" s="879"/>
      <c r="TOM1505" s="879"/>
      <c r="TON1505" s="879"/>
      <c r="TOO1505" s="879"/>
      <c r="TOP1505" s="879"/>
      <c r="TOQ1505" s="879"/>
      <c r="TOR1505" s="879"/>
      <c r="TOS1505" s="879"/>
      <c r="TOT1505" s="879"/>
      <c r="TOU1505" s="879"/>
      <c r="TOV1505" s="879"/>
      <c r="TOW1505" s="879"/>
      <c r="TOX1505" s="879"/>
      <c r="TOY1505" s="879"/>
      <c r="TOZ1505" s="879"/>
      <c r="TPA1505" s="879"/>
      <c r="TPB1505" s="879"/>
      <c r="TPC1505" s="879"/>
      <c r="TPD1505" s="879"/>
      <c r="TPE1505" s="879"/>
      <c r="TPF1505" s="879"/>
      <c r="TPG1505" s="879"/>
      <c r="TPH1505" s="879"/>
      <c r="TPI1505" s="879"/>
      <c r="TPJ1505" s="879"/>
      <c r="TPK1505" s="879"/>
      <c r="TPL1505" s="879"/>
      <c r="TPM1505" s="879"/>
      <c r="TPN1505" s="879"/>
      <c r="TPO1505" s="879"/>
      <c r="TPP1505" s="879"/>
      <c r="TPQ1505" s="879"/>
      <c r="TPR1505" s="879"/>
      <c r="TPS1505" s="879"/>
      <c r="TPT1505" s="879"/>
      <c r="TPU1505" s="879"/>
      <c r="TPV1505" s="879"/>
      <c r="TPW1505" s="879"/>
      <c r="TPX1505" s="879"/>
      <c r="TPY1505" s="879"/>
      <c r="TPZ1505" s="879"/>
      <c r="TQA1505" s="879"/>
      <c r="TQB1505" s="879"/>
      <c r="TQC1505" s="879"/>
      <c r="TQD1505" s="879"/>
      <c r="TQE1505" s="879"/>
      <c r="TQF1505" s="879"/>
      <c r="TQG1505" s="879"/>
      <c r="TQH1505" s="879"/>
      <c r="TQI1505" s="879"/>
      <c r="TQJ1505" s="879"/>
      <c r="TQK1505" s="879"/>
      <c r="TQL1505" s="879"/>
      <c r="TQM1505" s="879"/>
      <c r="TQN1505" s="879"/>
      <c r="TQO1505" s="879"/>
      <c r="TQP1505" s="879"/>
      <c r="TQQ1505" s="879"/>
      <c r="TQR1505" s="879"/>
      <c r="TQS1505" s="879"/>
      <c r="TQT1505" s="879"/>
      <c r="TQU1505" s="879"/>
      <c r="TQV1505" s="879"/>
      <c r="TQW1505" s="879"/>
      <c r="TQX1505" s="879"/>
      <c r="TQY1505" s="879"/>
      <c r="TQZ1505" s="879"/>
      <c r="TRA1505" s="879"/>
      <c r="TRB1505" s="879"/>
      <c r="TRC1505" s="879"/>
      <c r="TRD1505" s="879"/>
      <c r="TRE1505" s="879"/>
      <c r="TRF1505" s="879"/>
      <c r="TRG1505" s="879"/>
      <c r="TRH1505" s="879"/>
      <c r="TRI1505" s="879"/>
      <c r="TRJ1505" s="879"/>
      <c r="TRK1505" s="879"/>
      <c r="TRL1505" s="879"/>
      <c r="TRM1505" s="879"/>
      <c r="TRN1505" s="879"/>
      <c r="TRO1505" s="879"/>
      <c r="TRP1505" s="879"/>
      <c r="TRQ1505" s="879"/>
      <c r="TRR1505" s="879"/>
      <c r="TRS1505" s="879"/>
      <c r="TRT1505" s="879"/>
      <c r="TRU1505" s="879"/>
      <c r="TRV1505" s="879"/>
      <c r="TRW1505" s="879"/>
      <c r="TRX1505" s="879"/>
      <c r="TRY1505" s="879"/>
      <c r="TRZ1505" s="879"/>
      <c r="TSA1505" s="879"/>
      <c r="TSB1505" s="879"/>
      <c r="TSC1505" s="879"/>
      <c r="TSD1505" s="879"/>
      <c r="TSE1505" s="879"/>
      <c r="TSF1505" s="879"/>
      <c r="TSG1505" s="879"/>
      <c r="TSH1505" s="879"/>
      <c r="TSI1505" s="879"/>
      <c r="TSJ1505" s="879"/>
      <c r="TSK1505" s="879"/>
      <c r="TSL1505" s="879"/>
      <c r="TSM1505" s="879"/>
      <c r="TSN1505" s="879"/>
      <c r="TSO1505" s="879"/>
      <c r="TSP1505" s="879"/>
      <c r="TSQ1505" s="879"/>
      <c r="TSR1505" s="879"/>
      <c r="TSS1505" s="879"/>
      <c r="TST1505" s="879"/>
      <c r="TSU1505" s="879"/>
      <c r="TSV1505" s="879"/>
      <c r="TSW1505" s="879"/>
      <c r="TSX1505" s="879"/>
      <c r="TSY1505" s="879"/>
      <c r="TSZ1505" s="879"/>
      <c r="TTA1505" s="879"/>
      <c r="TTB1505" s="879"/>
      <c r="TTC1505" s="879"/>
      <c r="TTD1505" s="879"/>
      <c r="TTE1505" s="879"/>
      <c r="TTF1505" s="879"/>
      <c r="TTG1505" s="879"/>
      <c r="TTH1505" s="879"/>
      <c r="TTI1505" s="879"/>
      <c r="TTJ1505" s="879"/>
      <c r="TTK1505" s="879"/>
      <c r="TTL1505" s="879"/>
      <c r="TTM1505" s="879"/>
      <c r="TTN1505" s="879"/>
      <c r="TTO1505" s="879"/>
      <c r="TTP1505" s="879"/>
      <c r="TTQ1505" s="879"/>
      <c r="TTR1505" s="879"/>
      <c r="TTS1505" s="879"/>
      <c r="TTT1505" s="879"/>
      <c r="TTU1505" s="879"/>
      <c r="TTV1505" s="879"/>
      <c r="TTW1505" s="879"/>
      <c r="TTX1505" s="879"/>
      <c r="TTY1505" s="879"/>
      <c r="TTZ1505" s="879"/>
      <c r="TUA1505" s="879"/>
      <c r="TUB1505" s="879"/>
      <c r="TUC1505" s="879"/>
      <c r="TUD1505" s="879"/>
      <c r="TUE1505" s="879"/>
      <c r="TUF1505" s="879"/>
      <c r="TUG1505" s="879"/>
      <c r="TUH1505" s="879"/>
      <c r="TUI1505" s="879"/>
      <c r="TUJ1505" s="879"/>
      <c r="TUK1505" s="879"/>
      <c r="TUL1505" s="879"/>
      <c r="TUM1505" s="879"/>
      <c r="TUN1505" s="879"/>
      <c r="TUO1505" s="879"/>
      <c r="TUP1505" s="879"/>
      <c r="TUQ1505" s="879"/>
      <c r="TUR1505" s="879"/>
      <c r="TUS1505" s="879"/>
      <c r="TUT1505" s="879"/>
      <c r="TUU1505" s="879"/>
      <c r="TUV1505" s="879"/>
      <c r="TUW1505" s="879"/>
      <c r="TUX1505" s="879"/>
      <c r="TUY1505" s="879"/>
      <c r="TUZ1505" s="879"/>
      <c r="TVA1505" s="879"/>
      <c r="TVB1505" s="879"/>
      <c r="TVC1505" s="879"/>
      <c r="TVD1505" s="879"/>
      <c r="TVE1505" s="879"/>
      <c r="TVF1505" s="879"/>
      <c r="TVG1505" s="879"/>
      <c r="TVH1505" s="879"/>
      <c r="TVI1505" s="879"/>
      <c r="TVJ1505" s="879"/>
      <c r="TVK1505" s="879"/>
      <c r="TVL1505" s="879"/>
      <c r="TVM1505" s="879"/>
      <c r="TVN1505" s="879"/>
      <c r="TVO1505" s="879"/>
      <c r="TVP1505" s="879"/>
      <c r="TVQ1505" s="879"/>
      <c r="TVR1505" s="879"/>
      <c r="TVS1505" s="879"/>
      <c r="TVT1505" s="879"/>
      <c r="TVU1505" s="879"/>
      <c r="TVV1505" s="879"/>
      <c r="TVW1505" s="879"/>
      <c r="TVX1505" s="879"/>
      <c r="TVY1505" s="879"/>
      <c r="TVZ1505" s="879"/>
      <c r="TWA1505" s="879"/>
      <c r="TWB1505" s="879"/>
      <c r="TWC1505" s="879"/>
      <c r="TWD1505" s="879"/>
      <c r="TWE1505" s="879"/>
      <c r="TWF1505" s="879"/>
      <c r="TWG1505" s="879"/>
      <c r="TWH1505" s="879"/>
      <c r="TWI1505" s="879"/>
      <c r="TWJ1505" s="879"/>
      <c r="TWK1505" s="879"/>
      <c r="TWL1505" s="879"/>
      <c r="TWM1505" s="879"/>
      <c r="TWN1505" s="879"/>
      <c r="TWO1505" s="879"/>
      <c r="TWP1505" s="879"/>
      <c r="TWQ1505" s="879"/>
      <c r="TWR1505" s="879"/>
      <c r="TWS1505" s="879"/>
      <c r="TWT1505" s="879"/>
      <c r="TWU1505" s="879"/>
      <c r="TWV1505" s="879"/>
      <c r="TWW1505" s="879"/>
      <c r="TWX1505" s="879"/>
      <c r="TWY1505" s="879"/>
      <c r="TWZ1505" s="879"/>
      <c r="TXA1505" s="879"/>
      <c r="TXB1505" s="879"/>
      <c r="TXC1505" s="879"/>
      <c r="TXD1505" s="879"/>
      <c r="TXE1505" s="879"/>
      <c r="TXF1505" s="879"/>
      <c r="TXG1505" s="879"/>
      <c r="TXH1505" s="879"/>
      <c r="TXI1505" s="879"/>
      <c r="TXJ1505" s="879"/>
      <c r="TXK1505" s="879"/>
      <c r="TXL1505" s="879"/>
      <c r="TXM1505" s="879"/>
      <c r="TXN1505" s="879"/>
      <c r="TXO1505" s="879"/>
      <c r="TXP1505" s="879"/>
      <c r="TXQ1505" s="879"/>
      <c r="TXR1505" s="879"/>
      <c r="TXS1505" s="879"/>
      <c r="TXT1505" s="879"/>
      <c r="TXU1505" s="879"/>
      <c r="TXV1505" s="879"/>
      <c r="TXW1505" s="879"/>
      <c r="TXX1505" s="879"/>
      <c r="TXY1505" s="879"/>
      <c r="TXZ1505" s="879"/>
      <c r="TYA1505" s="879"/>
      <c r="TYB1505" s="879"/>
      <c r="TYC1505" s="879"/>
      <c r="TYD1505" s="879"/>
      <c r="TYE1505" s="879"/>
      <c r="TYF1505" s="879"/>
      <c r="TYG1505" s="879"/>
      <c r="TYH1505" s="879"/>
      <c r="TYI1505" s="879"/>
      <c r="TYJ1505" s="879"/>
      <c r="TYK1505" s="879"/>
      <c r="TYL1505" s="879"/>
      <c r="TYM1505" s="879"/>
      <c r="TYN1505" s="879"/>
      <c r="TYO1505" s="879"/>
      <c r="TYP1505" s="879"/>
      <c r="TYQ1505" s="879"/>
      <c r="TYR1505" s="879"/>
      <c r="TYS1505" s="879"/>
      <c r="TYT1505" s="879"/>
      <c r="TYU1505" s="879"/>
      <c r="TYV1505" s="879"/>
      <c r="TYW1505" s="879"/>
      <c r="TYX1505" s="879"/>
      <c r="TYY1505" s="879"/>
      <c r="TYZ1505" s="879"/>
      <c r="TZA1505" s="879"/>
      <c r="TZB1505" s="879"/>
      <c r="TZC1505" s="879"/>
      <c r="TZD1505" s="879"/>
      <c r="TZE1505" s="879"/>
      <c r="TZF1505" s="879"/>
      <c r="TZG1505" s="879"/>
      <c r="TZH1505" s="879"/>
      <c r="TZI1505" s="879"/>
      <c r="TZJ1505" s="879"/>
      <c r="TZK1505" s="879"/>
      <c r="TZL1505" s="879"/>
      <c r="TZM1505" s="879"/>
      <c r="TZN1505" s="879"/>
      <c r="TZO1505" s="879"/>
      <c r="TZP1505" s="879"/>
      <c r="TZQ1505" s="879"/>
      <c r="TZR1505" s="879"/>
      <c r="TZS1505" s="879"/>
      <c r="TZT1505" s="879"/>
      <c r="TZU1505" s="879"/>
      <c r="TZV1505" s="879"/>
      <c r="TZW1505" s="879"/>
      <c r="TZX1505" s="879"/>
      <c r="TZY1505" s="879"/>
      <c r="TZZ1505" s="879"/>
      <c r="UAA1505" s="879"/>
      <c r="UAB1505" s="879"/>
      <c r="UAC1505" s="879"/>
      <c r="UAD1505" s="879"/>
      <c r="UAE1505" s="879"/>
      <c r="UAF1505" s="879"/>
      <c r="UAG1505" s="879"/>
      <c r="UAH1505" s="879"/>
      <c r="UAI1505" s="879"/>
      <c r="UAJ1505" s="879"/>
      <c r="UAK1505" s="879"/>
      <c r="UAL1505" s="879"/>
      <c r="UAM1505" s="879"/>
      <c r="UAN1505" s="879"/>
      <c r="UAO1505" s="879"/>
      <c r="UAP1505" s="879"/>
      <c r="UAQ1505" s="879"/>
      <c r="UAR1505" s="879"/>
      <c r="UAS1505" s="879"/>
      <c r="UAT1505" s="879"/>
      <c r="UAU1505" s="879"/>
      <c r="UAV1505" s="879"/>
      <c r="UAW1505" s="879"/>
      <c r="UAX1505" s="879"/>
      <c r="UAY1505" s="879"/>
      <c r="UAZ1505" s="879"/>
      <c r="UBA1505" s="879"/>
      <c r="UBB1505" s="879"/>
      <c r="UBC1505" s="879"/>
      <c r="UBD1505" s="879"/>
      <c r="UBE1505" s="879"/>
      <c r="UBF1505" s="879"/>
      <c r="UBG1505" s="879"/>
      <c r="UBH1505" s="879"/>
      <c r="UBI1505" s="879"/>
      <c r="UBJ1505" s="879"/>
      <c r="UBK1505" s="879"/>
      <c r="UBL1505" s="879"/>
      <c r="UBM1505" s="879"/>
      <c r="UBN1505" s="879"/>
      <c r="UBO1505" s="879"/>
      <c r="UBP1505" s="879"/>
      <c r="UBQ1505" s="879"/>
      <c r="UBR1505" s="879"/>
      <c r="UBS1505" s="879"/>
      <c r="UBT1505" s="879"/>
      <c r="UBU1505" s="879"/>
      <c r="UBV1505" s="879"/>
      <c r="UBW1505" s="879"/>
      <c r="UBX1505" s="879"/>
      <c r="UBY1505" s="879"/>
      <c r="UBZ1505" s="879"/>
      <c r="UCA1505" s="879"/>
      <c r="UCB1505" s="879"/>
      <c r="UCC1505" s="879"/>
      <c r="UCD1505" s="879"/>
      <c r="UCE1505" s="879"/>
      <c r="UCF1505" s="879"/>
      <c r="UCG1505" s="879"/>
      <c r="UCH1505" s="879"/>
      <c r="UCI1505" s="879"/>
      <c r="UCJ1505" s="879"/>
      <c r="UCK1505" s="879"/>
      <c r="UCL1505" s="879"/>
      <c r="UCM1505" s="879"/>
      <c r="UCN1505" s="879"/>
      <c r="UCO1505" s="879"/>
      <c r="UCP1505" s="879"/>
      <c r="UCQ1505" s="879"/>
      <c r="UCR1505" s="879"/>
      <c r="UCS1505" s="879"/>
      <c r="UCT1505" s="879"/>
      <c r="UCU1505" s="879"/>
      <c r="UCV1505" s="879"/>
      <c r="UCW1505" s="879"/>
      <c r="UCX1505" s="879"/>
      <c r="UCY1505" s="879"/>
      <c r="UCZ1505" s="879"/>
      <c r="UDA1505" s="879"/>
      <c r="UDB1505" s="879"/>
      <c r="UDC1505" s="879"/>
      <c r="UDD1505" s="879"/>
      <c r="UDE1505" s="879"/>
      <c r="UDF1505" s="879"/>
      <c r="UDG1505" s="879"/>
      <c r="UDH1505" s="879"/>
      <c r="UDI1505" s="879"/>
      <c r="UDJ1505" s="879"/>
      <c r="UDK1505" s="879"/>
      <c r="UDL1505" s="879"/>
      <c r="UDM1505" s="879"/>
      <c r="UDN1505" s="879"/>
      <c r="UDO1505" s="879"/>
      <c r="UDP1505" s="879"/>
      <c r="UDQ1505" s="879"/>
      <c r="UDR1505" s="879"/>
      <c r="UDS1505" s="879"/>
      <c r="UDT1505" s="879"/>
      <c r="UDU1505" s="879"/>
      <c r="UDV1505" s="879"/>
      <c r="UDW1505" s="879"/>
      <c r="UDX1505" s="879"/>
      <c r="UDY1505" s="879"/>
      <c r="UDZ1505" s="879"/>
      <c r="UEA1505" s="879"/>
      <c r="UEB1505" s="879"/>
      <c r="UEC1505" s="879"/>
      <c r="UED1505" s="879"/>
      <c r="UEE1505" s="879"/>
      <c r="UEF1505" s="879"/>
      <c r="UEG1505" s="879"/>
      <c r="UEH1505" s="879"/>
      <c r="UEI1505" s="879"/>
      <c r="UEJ1505" s="879"/>
      <c r="UEK1505" s="879"/>
      <c r="UEL1505" s="879"/>
      <c r="UEM1505" s="879"/>
      <c r="UEN1505" s="879"/>
      <c r="UEO1505" s="879"/>
      <c r="UEP1505" s="879"/>
      <c r="UEQ1505" s="879"/>
      <c r="UER1505" s="879"/>
      <c r="UES1505" s="879"/>
      <c r="UET1505" s="879"/>
      <c r="UEU1505" s="879"/>
      <c r="UEV1505" s="879"/>
      <c r="UEW1505" s="879"/>
      <c r="UEX1505" s="879"/>
      <c r="UEY1505" s="879"/>
      <c r="UEZ1505" s="879"/>
      <c r="UFA1505" s="879"/>
      <c r="UFB1505" s="879"/>
      <c r="UFC1505" s="879"/>
      <c r="UFD1505" s="879"/>
      <c r="UFE1505" s="879"/>
      <c r="UFF1505" s="879"/>
      <c r="UFG1505" s="879"/>
      <c r="UFH1505" s="879"/>
      <c r="UFI1505" s="879"/>
      <c r="UFJ1505" s="879"/>
      <c r="UFK1505" s="879"/>
      <c r="UFL1505" s="879"/>
      <c r="UFM1505" s="879"/>
      <c r="UFN1505" s="879"/>
      <c r="UFO1505" s="879"/>
      <c r="UFP1505" s="879"/>
      <c r="UFQ1505" s="879"/>
      <c r="UFR1505" s="879"/>
      <c r="UFS1505" s="879"/>
      <c r="UFT1505" s="879"/>
      <c r="UFU1505" s="879"/>
      <c r="UFV1505" s="879"/>
      <c r="UFW1505" s="879"/>
      <c r="UFX1505" s="879"/>
      <c r="UFY1505" s="879"/>
      <c r="UFZ1505" s="879"/>
      <c r="UGA1505" s="879"/>
      <c r="UGB1505" s="879"/>
      <c r="UGC1505" s="879"/>
      <c r="UGD1505" s="879"/>
      <c r="UGE1505" s="879"/>
      <c r="UGF1505" s="879"/>
      <c r="UGG1505" s="879"/>
      <c r="UGH1505" s="879"/>
      <c r="UGI1505" s="879"/>
      <c r="UGJ1505" s="879"/>
      <c r="UGK1505" s="879"/>
      <c r="UGL1505" s="879"/>
      <c r="UGM1505" s="879"/>
      <c r="UGN1505" s="879"/>
      <c r="UGO1505" s="879"/>
      <c r="UGP1505" s="879"/>
      <c r="UGQ1505" s="879"/>
      <c r="UGR1505" s="879"/>
      <c r="UGS1505" s="879"/>
      <c r="UGT1505" s="879"/>
      <c r="UGU1505" s="879"/>
      <c r="UGV1505" s="879"/>
      <c r="UGW1505" s="879"/>
      <c r="UGX1505" s="879"/>
      <c r="UGY1505" s="879"/>
      <c r="UGZ1505" s="879"/>
      <c r="UHA1505" s="879"/>
      <c r="UHB1505" s="879"/>
      <c r="UHC1505" s="879"/>
      <c r="UHD1505" s="879"/>
      <c r="UHE1505" s="879"/>
      <c r="UHF1505" s="879"/>
      <c r="UHG1505" s="879"/>
      <c r="UHH1505" s="879"/>
      <c r="UHI1505" s="879"/>
      <c r="UHJ1505" s="879"/>
      <c r="UHK1505" s="879"/>
      <c r="UHL1505" s="879"/>
      <c r="UHM1505" s="879"/>
      <c r="UHN1505" s="879"/>
      <c r="UHO1505" s="879"/>
      <c r="UHP1505" s="879"/>
      <c r="UHQ1505" s="879"/>
      <c r="UHR1505" s="879"/>
      <c r="UHS1505" s="879"/>
      <c r="UHT1505" s="879"/>
      <c r="UHU1505" s="879"/>
      <c r="UHV1505" s="879"/>
      <c r="UHW1505" s="879"/>
      <c r="UHX1505" s="879"/>
      <c r="UHY1505" s="879"/>
      <c r="UHZ1505" s="879"/>
      <c r="UIA1505" s="879"/>
      <c r="UIB1505" s="879"/>
      <c r="UIC1505" s="879"/>
      <c r="UID1505" s="879"/>
      <c r="UIE1505" s="879"/>
      <c r="UIF1505" s="879"/>
      <c r="UIG1505" s="879"/>
      <c r="UIH1505" s="879"/>
      <c r="UII1505" s="879"/>
      <c r="UIJ1505" s="879"/>
      <c r="UIK1505" s="879"/>
      <c r="UIL1505" s="879"/>
      <c r="UIM1505" s="879"/>
      <c r="UIN1505" s="879"/>
      <c r="UIO1505" s="879"/>
      <c r="UIP1505" s="879"/>
      <c r="UIQ1505" s="879"/>
      <c r="UIR1505" s="879"/>
      <c r="UIS1505" s="879"/>
      <c r="UIT1505" s="879"/>
      <c r="UIU1505" s="879"/>
      <c r="UIV1505" s="879"/>
      <c r="UIW1505" s="879"/>
      <c r="UIX1505" s="879"/>
      <c r="UIY1505" s="879"/>
      <c r="UIZ1505" s="879"/>
      <c r="UJA1505" s="879"/>
      <c r="UJB1505" s="879"/>
      <c r="UJC1505" s="879"/>
      <c r="UJD1505" s="879"/>
      <c r="UJE1505" s="879"/>
      <c r="UJF1505" s="879"/>
      <c r="UJG1505" s="879"/>
      <c r="UJH1505" s="879"/>
      <c r="UJI1505" s="879"/>
      <c r="UJJ1505" s="879"/>
      <c r="UJK1505" s="879"/>
      <c r="UJL1505" s="879"/>
      <c r="UJM1505" s="879"/>
      <c r="UJN1505" s="879"/>
      <c r="UJO1505" s="879"/>
      <c r="UJP1505" s="879"/>
      <c r="UJQ1505" s="879"/>
      <c r="UJR1505" s="879"/>
      <c r="UJS1505" s="879"/>
      <c r="UJT1505" s="879"/>
      <c r="UJU1505" s="879"/>
      <c r="UJV1505" s="879"/>
      <c r="UJW1505" s="879"/>
      <c r="UJX1505" s="879"/>
      <c r="UJY1505" s="879"/>
      <c r="UJZ1505" s="879"/>
      <c r="UKA1505" s="879"/>
      <c r="UKB1505" s="879"/>
      <c r="UKC1505" s="879"/>
      <c r="UKD1505" s="879"/>
      <c r="UKE1505" s="879"/>
      <c r="UKF1505" s="879"/>
      <c r="UKG1505" s="879"/>
      <c r="UKH1505" s="879"/>
      <c r="UKI1505" s="879"/>
      <c r="UKJ1505" s="879"/>
      <c r="UKK1505" s="879"/>
      <c r="UKL1505" s="879"/>
      <c r="UKM1505" s="879"/>
      <c r="UKN1505" s="879"/>
      <c r="UKO1505" s="879"/>
      <c r="UKP1505" s="879"/>
      <c r="UKQ1505" s="879"/>
      <c r="UKR1505" s="879"/>
      <c r="UKS1505" s="879"/>
      <c r="UKT1505" s="879"/>
      <c r="UKU1505" s="879"/>
      <c r="UKV1505" s="879"/>
      <c r="UKW1505" s="879"/>
      <c r="UKX1505" s="879"/>
      <c r="UKY1505" s="879"/>
      <c r="UKZ1505" s="879"/>
      <c r="ULA1505" s="879"/>
      <c r="ULB1505" s="879"/>
      <c r="ULC1505" s="879"/>
      <c r="ULD1505" s="879"/>
      <c r="ULE1505" s="879"/>
      <c r="ULF1505" s="879"/>
      <c r="ULG1505" s="879"/>
      <c r="ULH1505" s="879"/>
      <c r="ULI1505" s="879"/>
      <c r="ULJ1505" s="879"/>
      <c r="ULK1505" s="879"/>
      <c r="ULL1505" s="879"/>
      <c r="ULM1505" s="879"/>
      <c r="ULN1505" s="879"/>
      <c r="ULO1505" s="879"/>
      <c r="ULP1505" s="879"/>
      <c r="ULQ1505" s="879"/>
      <c r="ULR1505" s="879"/>
      <c r="ULS1505" s="879"/>
      <c r="ULT1505" s="879"/>
      <c r="ULU1505" s="879"/>
      <c r="ULV1505" s="879"/>
      <c r="ULW1505" s="879"/>
      <c r="ULX1505" s="879"/>
      <c r="ULY1505" s="879"/>
      <c r="ULZ1505" s="879"/>
      <c r="UMA1505" s="879"/>
      <c r="UMB1505" s="879"/>
      <c r="UMC1505" s="879"/>
      <c r="UMD1505" s="879"/>
      <c r="UME1505" s="879"/>
      <c r="UMF1505" s="879"/>
      <c r="UMG1505" s="879"/>
      <c r="UMH1505" s="879"/>
      <c r="UMI1505" s="879"/>
      <c r="UMJ1505" s="879"/>
      <c r="UMK1505" s="879"/>
      <c r="UML1505" s="879"/>
      <c r="UMM1505" s="879"/>
      <c r="UMN1505" s="879"/>
      <c r="UMO1505" s="879"/>
      <c r="UMP1505" s="879"/>
      <c r="UMQ1505" s="879"/>
      <c r="UMR1505" s="879"/>
      <c r="UMS1505" s="879"/>
      <c r="UMT1505" s="879"/>
      <c r="UMU1505" s="879"/>
      <c r="UMV1505" s="879"/>
      <c r="UMW1505" s="879"/>
      <c r="UMX1505" s="879"/>
      <c r="UMY1505" s="879"/>
      <c r="UMZ1505" s="879"/>
      <c r="UNA1505" s="879"/>
      <c r="UNB1505" s="879"/>
      <c r="UNC1505" s="879"/>
      <c r="UND1505" s="879"/>
      <c r="UNE1505" s="879"/>
      <c r="UNF1505" s="879"/>
      <c r="UNG1505" s="879"/>
      <c r="UNH1505" s="879"/>
      <c r="UNI1505" s="879"/>
      <c r="UNJ1505" s="879"/>
      <c r="UNK1505" s="879"/>
      <c r="UNL1505" s="879"/>
      <c r="UNM1505" s="879"/>
      <c r="UNN1505" s="879"/>
      <c r="UNO1505" s="879"/>
      <c r="UNP1505" s="879"/>
      <c r="UNQ1505" s="879"/>
      <c r="UNR1505" s="879"/>
      <c r="UNS1505" s="879"/>
      <c r="UNT1505" s="879"/>
      <c r="UNU1505" s="879"/>
      <c r="UNV1505" s="879"/>
      <c r="UNW1505" s="879"/>
      <c r="UNX1505" s="879"/>
      <c r="UNY1505" s="879"/>
      <c r="UNZ1505" s="879"/>
      <c r="UOA1505" s="879"/>
      <c r="UOB1505" s="879"/>
      <c r="UOC1505" s="879"/>
      <c r="UOD1505" s="879"/>
      <c r="UOE1505" s="879"/>
      <c r="UOF1505" s="879"/>
      <c r="UOG1505" s="879"/>
      <c r="UOH1505" s="879"/>
      <c r="UOI1505" s="879"/>
      <c r="UOJ1505" s="879"/>
      <c r="UOK1505" s="879"/>
      <c r="UOL1505" s="879"/>
      <c r="UOM1505" s="879"/>
      <c r="UON1505" s="879"/>
      <c r="UOO1505" s="879"/>
      <c r="UOP1505" s="879"/>
      <c r="UOQ1505" s="879"/>
      <c r="UOR1505" s="879"/>
      <c r="UOS1505" s="879"/>
      <c r="UOT1505" s="879"/>
      <c r="UOU1505" s="879"/>
      <c r="UOV1505" s="879"/>
      <c r="UOW1505" s="879"/>
      <c r="UOX1505" s="879"/>
      <c r="UOY1505" s="879"/>
      <c r="UOZ1505" s="879"/>
      <c r="UPA1505" s="879"/>
      <c r="UPB1505" s="879"/>
      <c r="UPC1505" s="879"/>
      <c r="UPD1505" s="879"/>
      <c r="UPE1505" s="879"/>
      <c r="UPF1505" s="879"/>
      <c r="UPG1505" s="879"/>
      <c r="UPH1505" s="879"/>
      <c r="UPI1505" s="879"/>
      <c r="UPJ1505" s="879"/>
      <c r="UPK1505" s="879"/>
      <c r="UPL1505" s="879"/>
      <c r="UPM1505" s="879"/>
      <c r="UPN1505" s="879"/>
      <c r="UPO1505" s="879"/>
      <c r="UPP1505" s="879"/>
      <c r="UPQ1505" s="879"/>
      <c r="UPR1505" s="879"/>
      <c r="UPS1505" s="879"/>
      <c r="UPT1505" s="879"/>
      <c r="UPU1505" s="879"/>
      <c r="UPV1505" s="879"/>
      <c r="UPW1505" s="879"/>
      <c r="UPX1505" s="879"/>
      <c r="UPY1505" s="879"/>
      <c r="UPZ1505" s="879"/>
      <c r="UQA1505" s="879"/>
      <c r="UQB1505" s="879"/>
      <c r="UQC1505" s="879"/>
      <c r="UQD1505" s="879"/>
      <c r="UQE1505" s="879"/>
      <c r="UQF1505" s="879"/>
      <c r="UQG1505" s="879"/>
      <c r="UQH1505" s="879"/>
      <c r="UQI1505" s="879"/>
      <c r="UQJ1505" s="879"/>
      <c r="UQK1505" s="879"/>
      <c r="UQL1505" s="879"/>
      <c r="UQM1505" s="879"/>
      <c r="UQN1505" s="879"/>
      <c r="UQO1505" s="879"/>
      <c r="UQP1505" s="879"/>
      <c r="UQQ1505" s="879"/>
      <c r="UQR1505" s="879"/>
      <c r="UQS1505" s="879"/>
      <c r="UQT1505" s="879"/>
      <c r="UQU1505" s="879"/>
      <c r="UQV1505" s="879"/>
      <c r="UQW1505" s="879"/>
      <c r="UQX1505" s="879"/>
      <c r="UQY1505" s="879"/>
      <c r="UQZ1505" s="879"/>
      <c r="URA1505" s="879"/>
      <c r="URB1505" s="879"/>
      <c r="URC1505" s="879"/>
      <c r="URD1505" s="879"/>
      <c r="URE1505" s="879"/>
      <c r="URF1505" s="879"/>
      <c r="URG1505" s="879"/>
      <c r="URH1505" s="879"/>
      <c r="URI1505" s="879"/>
      <c r="URJ1505" s="879"/>
      <c r="URK1505" s="879"/>
      <c r="URL1505" s="879"/>
      <c r="URM1505" s="879"/>
      <c r="URN1505" s="879"/>
      <c r="URO1505" s="879"/>
      <c r="URP1505" s="879"/>
      <c r="URQ1505" s="879"/>
      <c r="URR1505" s="879"/>
      <c r="URS1505" s="879"/>
      <c r="URT1505" s="879"/>
      <c r="URU1505" s="879"/>
      <c r="URV1505" s="879"/>
      <c r="URW1505" s="879"/>
      <c r="URX1505" s="879"/>
      <c r="URY1505" s="879"/>
      <c r="URZ1505" s="879"/>
      <c r="USA1505" s="879"/>
      <c r="USB1505" s="879"/>
      <c r="USC1505" s="879"/>
      <c r="USD1505" s="879"/>
      <c r="USE1505" s="879"/>
      <c r="USF1505" s="879"/>
      <c r="USG1505" s="879"/>
      <c r="USH1505" s="879"/>
      <c r="USI1505" s="879"/>
      <c r="USJ1505" s="879"/>
      <c r="USK1505" s="879"/>
      <c r="USL1505" s="879"/>
      <c r="USM1505" s="879"/>
      <c r="USN1505" s="879"/>
      <c r="USO1505" s="879"/>
      <c r="USP1505" s="879"/>
      <c r="USQ1505" s="879"/>
      <c r="USR1505" s="879"/>
      <c r="USS1505" s="879"/>
      <c r="UST1505" s="879"/>
      <c r="USU1505" s="879"/>
      <c r="USV1505" s="879"/>
      <c r="USW1505" s="879"/>
      <c r="USX1505" s="879"/>
      <c r="USY1505" s="879"/>
      <c r="USZ1505" s="879"/>
      <c r="UTA1505" s="879"/>
      <c r="UTB1505" s="879"/>
      <c r="UTC1505" s="879"/>
      <c r="UTD1505" s="879"/>
      <c r="UTE1505" s="879"/>
      <c r="UTF1505" s="879"/>
      <c r="UTG1505" s="879"/>
      <c r="UTH1505" s="879"/>
      <c r="UTI1505" s="879"/>
      <c r="UTJ1505" s="879"/>
      <c r="UTK1505" s="879"/>
      <c r="UTL1505" s="879"/>
      <c r="UTM1505" s="879"/>
      <c r="UTN1505" s="879"/>
      <c r="UTO1505" s="879"/>
      <c r="UTP1505" s="879"/>
      <c r="UTQ1505" s="879"/>
      <c r="UTR1505" s="879"/>
      <c r="UTS1505" s="879"/>
      <c r="UTT1505" s="879"/>
      <c r="UTU1505" s="879"/>
      <c r="UTV1505" s="879"/>
      <c r="UTW1505" s="879"/>
      <c r="UTX1505" s="879"/>
      <c r="UTY1505" s="879"/>
      <c r="UTZ1505" s="879"/>
      <c r="UUA1505" s="879"/>
      <c r="UUB1505" s="879"/>
      <c r="UUC1505" s="879"/>
      <c r="UUD1505" s="879"/>
      <c r="UUE1505" s="879"/>
      <c r="UUF1505" s="879"/>
      <c r="UUG1505" s="879"/>
      <c r="UUH1505" s="879"/>
      <c r="UUI1505" s="879"/>
      <c r="UUJ1505" s="879"/>
      <c r="UUK1505" s="879"/>
      <c r="UUL1505" s="879"/>
      <c r="UUM1505" s="879"/>
      <c r="UUN1505" s="879"/>
      <c r="UUO1505" s="879"/>
      <c r="UUP1505" s="879"/>
      <c r="UUQ1505" s="879"/>
      <c r="UUR1505" s="879"/>
      <c r="UUS1505" s="879"/>
      <c r="UUT1505" s="879"/>
      <c r="UUU1505" s="879"/>
      <c r="UUV1505" s="879"/>
      <c r="UUW1505" s="879"/>
      <c r="UUX1505" s="879"/>
      <c r="UUY1505" s="879"/>
      <c r="UUZ1505" s="879"/>
      <c r="UVA1505" s="879"/>
      <c r="UVB1505" s="879"/>
      <c r="UVC1505" s="879"/>
      <c r="UVD1505" s="879"/>
      <c r="UVE1505" s="879"/>
      <c r="UVF1505" s="879"/>
      <c r="UVG1505" s="879"/>
      <c r="UVH1505" s="879"/>
      <c r="UVI1505" s="879"/>
      <c r="UVJ1505" s="879"/>
      <c r="UVK1505" s="879"/>
      <c r="UVL1505" s="879"/>
      <c r="UVM1505" s="879"/>
      <c r="UVN1505" s="879"/>
      <c r="UVO1505" s="879"/>
      <c r="UVP1505" s="879"/>
      <c r="UVQ1505" s="879"/>
      <c r="UVR1505" s="879"/>
      <c r="UVS1505" s="879"/>
      <c r="UVT1505" s="879"/>
      <c r="UVU1505" s="879"/>
      <c r="UVV1505" s="879"/>
      <c r="UVW1505" s="879"/>
      <c r="UVX1505" s="879"/>
      <c r="UVY1505" s="879"/>
      <c r="UVZ1505" s="879"/>
      <c r="UWA1505" s="879"/>
      <c r="UWB1505" s="879"/>
      <c r="UWC1505" s="879"/>
      <c r="UWD1505" s="879"/>
      <c r="UWE1505" s="879"/>
      <c r="UWF1505" s="879"/>
      <c r="UWG1505" s="879"/>
      <c r="UWH1505" s="879"/>
      <c r="UWI1505" s="879"/>
      <c r="UWJ1505" s="879"/>
      <c r="UWK1505" s="879"/>
      <c r="UWL1505" s="879"/>
      <c r="UWM1505" s="879"/>
      <c r="UWN1505" s="879"/>
      <c r="UWO1505" s="879"/>
      <c r="UWP1505" s="879"/>
      <c r="UWQ1505" s="879"/>
      <c r="UWR1505" s="879"/>
      <c r="UWS1505" s="879"/>
      <c r="UWT1505" s="879"/>
      <c r="UWU1505" s="879"/>
      <c r="UWV1505" s="879"/>
      <c r="UWW1505" s="879"/>
      <c r="UWX1505" s="879"/>
      <c r="UWY1505" s="879"/>
      <c r="UWZ1505" s="879"/>
      <c r="UXA1505" s="879"/>
      <c r="UXB1505" s="879"/>
      <c r="UXC1505" s="879"/>
      <c r="UXD1505" s="879"/>
      <c r="UXE1505" s="879"/>
      <c r="UXF1505" s="879"/>
      <c r="UXG1505" s="879"/>
      <c r="UXH1505" s="879"/>
      <c r="UXI1505" s="879"/>
      <c r="UXJ1505" s="879"/>
      <c r="UXK1505" s="879"/>
      <c r="UXL1505" s="879"/>
      <c r="UXM1505" s="879"/>
      <c r="UXN1505" s="879"/>
      <c r="UXO1505" s="879"/>
      <c r="UXP1505" s="879"/>
      <c r="UXQ1505" s="879"/>
      <c r="UXR1505" s="879"/>
      <c r="UXS1505" s="879"/>
      <c r="UXT1505" s="879"/>
      <c r="UXU1505" s="879"/>
      <c r="UXV1505" s="879"/>
      <c r="UXW1505" s="879"/>
      <c r="UXX1505" s="879"/>
      <c r="UXY1505" s="879"/>
      <c r="UXZ1505" s="879"/>
      <c r="UYA1505" s="879"/>
      <c r="UYB1505" s="879"/>
      <c r="UYC1505" s="879"/>
      <c r="UYD1505" s="879"/>
      <c r="UYE1505" s="879"/>
      <c r="UYF1505" s="879"/>
      <c r="UYG1505" s="879"/>
      <c r="UYH1505" s="879"/>
      <c r="UYI1505" s="879"/>
      <c r="UYJ1505" s="879"/>
      <c r="UYK1505" s="879"/>
      <c r="UYL1505" s="879"/>
      <c r="UYM1505" s="879"/>
      <c r="UYN1505" s="879"/>
      <c r="UYO1505" s="879"/>
      <c r="UYP1505" s="879"/>
      <c r="UYQ1505" s="879"/>
      <c r="UYR1505" s="879"/>
      <c r="UYS1505" s="879"/>
      <c r="UYT1505" s="879"/>
      <c r="UYU1505" s="879"/>
      <c r="UYV1505" s="879"/>
      <c r="UYW1505" s="879"/>
      <c r="UYX1505" s="879"/>
      <c r="UYY1505" s="879"/>
      <c r="UYZ1505" s="879"/>
      <c r="UZA1505" s="879"/>
      <c r="UZB1505" s="879"/>
      <c r="UZC1505" s="879"/>
      <c r="UZD1505" s="879"/>
      <c r="UZE1505" s="879"/>
      <c r="UZF1505" s="879"/>
      <c r="UZG1505" s="879"/>
      <c r="UZH1505" s="879"/>
      <c r="UZI1505" s="879"/>
      <c r="UZJ1505" s="879"/>
      <c r="UZK1505" s="879"/>
      <c r="UZL1505" s="879"/>
      <c r="UZM1505" s="879"/>
      <c r="UZN1505" s="879"/>
      <c r="UZO1505" s="879"/>
      <c r="UZP1505" s="879"/>
      <c r="UZQ1505" s="879"/>
      <c r="UZR1505" s="879"/>
      <c r="UZS1505" s="879"/>
      <c r="UZT1505" s="879"/>
      <c r="UZU1505" s="879"/>
      <c r="UZV1505" s="879"/>
      <c r="UZW1505" s="879"/>
      <c r="UZX1505" s="879"/>
      <c r="UZY1505" s="879"/>
      <c r="UZZ1505" s="879"/>
      <c r="VAA1505" s="879"/>
      <c r="VAB1505" s="879"/>
      <c r="VAC1505" s="879"/>
      <c r="VAD1505" s="879"/>
      <c r="VAE1505" s="879"/>
      <c r="VAF1505" s="879"/>
      <c r="VAG1505" s="879"/>
      <c r="VAH1505" s="879"/>
      <c r="VAI1505" s="879"/>
      <c r="VAJ1505" s="879"/>
      <c r="VAK1505" s="879"/>
      <c r="VAL1505" s="879"/>
      <c r="VAM1505" s="879"/>
      <c r="VAN1505" s="879"/>
      <c r="VAO1505" s="879"/>
      <c r="VAP1505" s="879"/>
      <c r="VAQ1505" s="879"/>
      <c r="VAR1505" s="879"/>
      <c r="VAS1505" s="879"/>
      <c r="VAT1505" s="879"/>
      <c r="VAU1505" s="879"/>
      <c r="VAV1505" s="879"/>
      <c r="VAW1505" s="879"/>
      <c r="VAX1505" s="879"/>
      <c r="VAY1505" s="879"/>
      <c r="VAZ1505" s="879"/>
      <c r="VBA1505" s="879"/>
      <c r="VBB1505" s="879"/>
      <c r="VBC1505" s="879"/>
      <c r="VBD1505" s="879"/>
      <c r="VBE1505" s="879"/>
      <c r="VBF1505" s="879"/>
      <c r="VBG1505" s="879"/>
      <c r="VBH1505" s="879"/>
      <c r="VBI1505" s="879"/>
      <c r="VBJ1505" s="879"/>
      <c r="VBK1505" s="879"/>
      <c r="VBL1505" s="879"/>
      <c r="VBM1505" s="879"/>
      <c r="VBN1505" s="879"/>
      <c r="VBO1505" s="879"/>
      <c r="VBP1505" s="879"/>
      <c r="VBQ1505" s="879"/>
      <c r="VBR1505" s="879"/>
      <c r="VBS1505" s="879"/>
      <c r="VBT1505" s="879"/>
      <c r="VBU1505" s="879"/>
      <c r="VBV1505" s="879"/>
      <c r="VBW1505" s="879"/>
      <c r="VBX1505" s="879"/>
      <c r="VBY1505" s="879"/>
      <c r="VBZ1505" s="879"/>
      <c r="VCA1505" s="879"/>
      <c r="VCB1505" s="879"/>
      <c r="VCC1505" s="879"/>
      <c r="VCD1505" s="879"/>
      <c r="VCE1505" s="879"/>
      <c r="VCF1505" s="879"/>
      <c r="VCG1505" s="879"/>
      <c r="VCH1505" s="879"/>
      <c r="VCI1505" s="879"/>
      <c r="VCJ1505" s="879"/>
      <c r="VCK1505" s="879"/>
      <c r="VCL1505" s="879"/>
      <c r="VCM1505" s="879"/>
      <c r="VCN1505" s="879"/>
      <c r="VCO1505" s="879"/>
      <c r="VCP1505" s="879"/>
      <c r="VCQ1505" s="879"/>
      <c r="VCR1505" s="879"/>
      <c r="VCS1505" s="879"/>
      <c r="VCT1505" s="879"/>
      <c r="VCU1505" s="879"/>
      <c r="VCV1505" s="879"/>
      <c r="VCW1505" s="879"/>
      <c r="VCX1505" s="879"/>
      <c r="VCY1505" s="879"/>
      <c r="VCZ1505" s="879"/>
      <c r="VDA1505" s="879"/>
      <c r="VDB1505" s="879"/>
      <c r="VDC1505" s="879"/>
      <c r="VDD1505" s="879"/>
      <c r="VDE1505" s="879"/>
      <c r="VDF1505" s="879"/>
      <c r="VDG1505" s="879"/>
      <c r="VDH1505" s="879"/>
      <c r="VDI1505" s="879"/>
      <c r="VDJ1505" s="879"/>
      <c r="VDK1505" s="879"/>
      <c r="VDL1505" s="879"/>
      <c r="VDM1505" s="879"/>
      <c r="VDN1505" s="879"/>
      <c r="VDO1505" s="879"/>
      <c r="VDP1505" s="879"/>
      <c r="VDQ1505" s="879"/>
      <c r="VDR1505" s="879"/>
      <c r="VDS1505" s="879"/>
      <c r="VDT1505" s="879"/>
      <c r="VDU1505" s="879"/>
      <c r="VDV1505" s="879"/>
      <c r="VDW1505" s="879"/>
      <c r="VDX1505" s="879"/>
      <c r="VDY1505" s="879"/>
      <c r="VDZ1505" s="879"/>
      <c r="VEA1505" s="879"/>
      <c r="VEB1505" s="879"/>
      <c r="VEC1505" s="879"/>
      <c r="VED1505" s="879"/>
      <c r="VEE1505" s="879"/>
      <c r="VEF1505" s="879"/>
      <c r="VEG1505" s="879"/>
      <c r="VEH1505" s="879"/>
      <c r="VEI1505" s="879"/>
      <c r="VEJ1505" s="879"/>
      <c r="VEK1505" s="879"/>
      <c r="VEL1505" s="879"/>
      <c r="VEM1505" s="879"/>
      <c r="VEN1505" s="879"/>
      <c r="VEO1505" s="879"/>
      <c r="VEP1505" s="879"/>
      <c r="VEQ1505" s="879"/>
      <c r="VER1505" s="879"/>
      <c r="VES1505" s="879"/>
      <c r="VET1505" s="879"/>
      <c r="VEU1505" s="879"/>
      <c r="VEV1505" s="879"/>
      <c r="VEW1505" s="879"/>
      <c r="VEX1505" s="879"/>
      <c r="VEY1505" s="879"/>
      <c r="VEZ1505" s="879"/>
      <c r="VFA1505" s="879"/>
      <c r="VFB1505" s="879"/>
      <c r="VFC1505" s="879"/>
      <c r="VFD1505" s="879"/>
      <c r="VFE1505" s="879"/>
      <c r="VFF1505" s="879"/>
      <c r="VFG1505" s="879"/>
      <c r="VFH1505" s="879"/>
      <c r="VFI1505" s="879"/>
      <c r="VFJ1505" s="879"/>
      <c r="VFK1505" s="879"/>
      <c r="VFL1505" s="879"/>
      <c r="VFM1505" s="879"/>
      <c r="VFN1505" s="879"/>
      <c r="VFO1505" s="879"/>
      <c r="VFP1505" s="879"/>
      <c r="VFQ1505" s="879"/>
      <c r="VFR1505" s="879"/>
      <c r="VFS1505" s="879"/>
      <c r="VFT1505" s="879"/>
      <c r="VFU1505" s="879"/>
      <c r="VFV1505" s="879"/>
      <c r="VFW1505" s="879"/>
      <c r="VFX1505" s="879"/>
      <c r="VFY1505" s="879"/>
      <c r="VFZ1505" s="879"/>
      <c r="VGA1505" s="879"/>
      <c r="VGB1505" s="879"/>
      <c r="VGC1505" s="879"/>
      <c r="VGD1505" s="879"/>
      <c r="VGE1505" s="879"/>
      <c r="VGF1505" s="879"/>
      <c r="VGG1505" s="879"/>
      <c r="VGH1505" s="879"/>
      <c r="VGI1505" s="879"/>
      <c r="VGJ1505" s="879"/>
      <c r="VGK1505" s="879"/>
      <c r="VGL1505" s="879"/>
      <c r="VGM1505" s="879"/>
      <c r="VGN1505" s="879"/>
      <c r="VGO1505" s="879"/>
      <c r="VGP1505" s="879"/>
      <c r="VGQ1505" s="879"/>
      <c r="VGR1505" s="879"/>
      <c r="VGS1505" s="879"/>
      <c r="VGT1505" s="879"/>
      <c r="VGU1505" s="879"/>
      <c r="VGV1505" s="879"/>
      <c r="VGW1505" s="879"/>
      <c r="VGX1505" s="879"/>
      <c r="VGY1505" s="879"/>
      <c r="VGZ1505" s="879"/>
      <c r="VHA1505" s="879"/>
      <c r="VHB1505" s="879"/>
      <c r="VHC1505" s="879"/>
      <c r="VHD1505" s="879"/>
      <c r="VHE1505" s="879"/>
      <c r="VHF1505" s="879"/>
      <c r="VHG1505" s="879"/>
      <c r="VHH1505" s="879"/>
      <c r="VHI1505" s="879"/>
      <c r="VHJ1505" s="879"/>
      <c r="VHK1505" s="879"/>
      <c r="VHL1505" s="879"/>
      <c r="VHM1505" s="879"/>
      <c r="VHN1505" s="879"/>
      <c r="VHO1505" s="879"/>
      <c r="VHP1505" s="879"/>
      <c r="VHQ1505" s="879"/>
      <c r="VHR1505" s="879"/>
      <c r="VHS1505" s="879"/>
      <c r="VHT1505" s="879"/>
      <c r="VHU1505" s="879"/>
      <c r="VHV1505" s="879"/>
      <c r="VHW1505" s="879"/>
      <c r="VHX1505" s="879"/>
      <c r="VHY1505" s="879"/>
      <c r="VHZ1505" s="879"/>
      <c r="VIA1505" s="879"/>
      <c r="VIB1505" s="879"/>
      <c r="VIC1505" s="879"/>
      <c r="VID1505" s="879"/>
      <c r="VIE1505" s="879"/>
      <c r="VIF1505" s="879"/>
      <c r="VIG1505" s="879"/>
      <c r="VIH1505" s="879"/>
      <c r="VII1505" s="879"/>
      <c r="VIJ1505" s="879"/>
      <c r="VIK1505" s="879"/>
      <c r="VIL1505" s="879"/>
      <c r="VIM1505" s="879"/>
      <c r="VIN1505" s="879"/>
      <c r="VIO1505" s="879"/>
      <c r="VIP1505" s="879"/>
      <c r="VIQ1505" s="879"/>
      <c r="VIR1505" s="879"/>
      <c r="VIS1505" s="879"/>
      <c r="VIT1505" s="879"/>
      <c r="VIU1505" s="879"/>
      <c r="VIV1505" s="879"/>
      <c r="VIW1505" s="879"/>
      <c r="VIX1505" s="879"/>
      <c r="VIY1505" s="879"/>
      <c r="VIZ1505" s="879"/>
      <c r="VJA1505" s="879"/>
      <c r="VJB1505" s="879"/>
      <c r="VJC1505" s="879"/>
      <c r="VJD1505" s="879"/>
      <c r="VJE1505" s="879"/>
      <c r="VJF1505" s="879"/>
      <c r="VJG1505" s="879"/>
      <c r="VJH1505" s="879"/>
      <c r="VJI1505" s="879"/>
      <c r="VJJ1505" s="879"/>
      <c r="VJK1505" s="879"/>
      <c r="VJL1505" s="879"/>
      <c r="VJM1505" s="879"/>
      <c r="VJN1505" s="879"/>
      <c r="VJO1505" s="879"/>
      <c r="VJP1505" s="879"/>
      <c r="VJQ1505" s="879"/>
      <c r="VJR1505" s="879"/>
      <c r="VJS1505" s="879"/>
      <c r="VJT1505" s="879"/>
      <c r="VJU1505" s="879"/>
      <c r="VJV1505" s="879"/>
      <c r="VJW1505" s="879"/>
      <c r="VJX1505" s="879"/>
      <c r="VJY1505" s="879"/>
      <c r="VJZ1505" s="879"/>
      <c r="VKA1505" s="879"/>
      <c r="VKB1505" s="879"/>
      <c r="VKC1505" s="879"/>
      <c r="VKD1505" s="879"/>
      <c r="VKE1505" s="879"/>
      <c r="VKF1505" s="879"/>
      <c r="VKG1505" s="879"/>
      <c r="VKH1505" s="879"/>
      <c r="VKI1505" s="879"/>
      <c r="VKJ1505" s="879"/>
      <c r="VKK1505" s="879"/>
      <c r="VKL1505" s="879"/>
      <c r="VKM1505" s="879"/>
      <c r="VKN1505" s="879"/>
      <c r="VKO1505" s="879"/>
      <c r="VKP1505" s="879"/>
      <c r="VKQ1505" s="879"/>
      <c r="VKR1505" s="879"/>
      <c r="VKS1505" s="879"/>
      <c r="VKT1505" s="879"/>
      <c r="VKU1505" s="879"/>
      <c r="VKV1505" s="879"/>
      <c r="VKW1505" s="879"/>
      <c r="VKX1505" s="879"/>
      <c r="VKY1505" s="879"/>
      <c r="VKZ1505" s="879"/>
      <c r="VLA1505" s="879"/>
      <c r="VLB1505" s="879"/>
      <c r="VLC1505" s="879"/>
      <c r="VLD1505" s="879"/>
      <c r="VLE1505" s="879"/>
      <c r="VLF1505" s="879"/>
      <c r="VLG1505" s="879"/>
      <c r="VLH1505" s="879"/>
      <c r="VLI1505" s="879"/>
      <c r="VLJ1505" s="879"/>
      <c r="VLK1505" s="879"/>
      <c r="VLL1505" s="879"/>
      <c r="VLM1505" s="879"/>
      <c r="VLN1505" s="879"/>
      <c r="VLO1505" s="879"/>
      <c r="VLP1505" s="879"/>
      <c r="VLQ1505" s="879"/>
      <c r="VLR1505" s="879"/>
      <c r="VLS1505" s="879"/>
      <c r="VLT1505" s="879"/>
      <c r="VLU1505" s="879"/>
      <c r="VLV1505" s="879"/>
      <c r="VLW1505" s="879"/>
      <c r="VLX1505" s="879"/>
      <c r="VLY1505" s="879"/>
      <c r="VLZ1505" s="879"/>
      <c r="VMA1505" s="879"/>
      <c r="VMB1505" s="879"/>
      <c r="VMC1505" s="879"/>
      <c r="VMD1505" s="879"/>
      <c r="VME1505" s="879"/>
      <c r="VMF1505" s="879"/>
      <c r="VMG1505" s="879"/>
      <c r="VMH1505" s="879"/>
      <c r="VMI1505" s="879"/>
      <c r="VMJ1505" s="879"/>
      <c r="VMK1505" s="879"/>
      <c r="VML1505" s="879"/>
      <c r="VMM1505" s="879"/>
      <c r="VMN1505" s="879"/>
      <c r="VMO1505" s="879"/>
      <c r="VMP1505" s="879"/>
      <c r="VMQ1505" s="879"/>
      <c r="VMR1505" s="879"/>
      <c r="VMS1505" s="879"/>
      <c r="VMT1505" s="879"/>
      <c r="VMU1505" s="879"/>
      <c r="VMV1505" s="879"/>
      <c r="VMW1505" s="879"/>
      <c r="VMX1505" s="879"/>
      <c r="VMY1505" s="879"/>
      <c r="VMZ1505" s="879"/>
      <c r="VNA1505" s="879"/>
      <c r="VNB1505" s="879"/>
      <c r="VNC1505" s="879"/>
      <c r="VND1505" s="879"/>
      <c r="VNE1505" s="879"/>
      <c r="VNF1505" s="879"/>
      <c r="VNG1505" s="879"/>
      <c r="VNH1505" s="879"/>
      <c r="VNI1505" s="879"/>
      <c r="VNJ1505" s="879"/>
      <c r="VNK1505" s="879"/>
      <c r="VNL1505" s="879"/>
      <c r="VNM1505" s="879"/>
      <c r="VNN1505" s="879"/>
      <c r="VNO1505" s="879"/>
      <c r="VNP1505" s="879"/>
      <c r="VNQ1505" s="879"/>
      <c r="VNR1505" s="879"/>
      <c r="VNS1505" s="879"/>
      <c r="VNT1505" s="879"/>
      <c r="VNU1505" s="879"/>
      <c r="VNV1505" s="879"/>
      <c r="VNW1505" s="879"/>
      <c r="VNX1505" s="879"/>
      <c r="VNY1505" s="879"/>
      <c r="VNZ1505" s="879"/>
      <c r="VOA1505" s="879"/>
      <c r="VOB1505" s="879"/>
      <c r="VOC1505" s="879"/>
      <c r="VOD1505" s="879"/>
      <c r="VOE1505" s="879"/>
      <c r="VOF1505" s="879"/>
      <c r="VOG1505" s="879"/>
      <c r="VOH1505" s="879"/>
      <c r="VOI1505" s="879"/>
      <c r="VOJ1505" s="879"/>
      <c r="VOK1505" s="879"/>
      <c r="VOL1505" s="879"/>
      <c r="VOM1505" s="879"/>
      <c r="VON1505" s="879"/>
      <c r="VOO1505" s="879"/>
      <c r="VOP1505" s="879"/>
      <c r="VOQ1505" s="879"/>
      <c r="VOR1505" s="879"/>
      <c r="VOS1505" s="879"/>
      <c r="VOT1505" s="879"/>
      <c r="VOU1505" s="879"/>
      <c r="VOV1505" s="879"/>
      <c r="VOW1505" s="879"/>
      <c r="VOX1505" s="879"/>
      <c r="VOY1505" s="879"/>
      <c r="VOZ1505" s="879"/>
      <c r="VPA1505" s="879"/>
      <c r="VPB1505" s="879"/>
      <c r="VPC1505" s="879"/>
      <c r="VPD1505" s="879"/>
      <c r="VPE1505" s="879"/>
      <c r="VPF1505" s="879"/>
      <c r="VPG1505" s="879"/>
      <c r="VPH1505" s="879"/>
      <c r="VPI1505" s="879"/>
      <c r="VPJ1505" s="879"/>
      <c r="VPK1505" s="879"/>
      <c r="VPL1505" s="879"/>
      <c r="VPM1505" s="879"/>
      <c r="VPN1505" s="879"/>
      <c r="VPO1505" s="879"/>
      <c r="VPP1505" s="879"/>
      <c r="VPQ1505" s="879"/>
      <c r="VPR1505" s="879"/>
      <c r="VPS1505" s="879"/>
      <c r="VPT1505" s="879"/>
      <c r="VPU1505" s="879"/>
      <c r="VPV1505" s="879"/>
      <c r="VPW1505" s="879"/>
      <c r="VPX1505" s="879"/>
      <c r="VPY1505" s="879"/>
      <c r="VPZ1505" s="879"/>
      <c r="VQA1505" s="879"/>
      <c r="VQB1505" s="879"/>
      <c r="VQC1505" s="879"/>
      <c r="VQD1505" s="879"/>
      <c r="VQE1505" s="879"/>
      <c r="VQF1505" s="879"/>
      <c r="VQG1505" s="879"/>
      <c r="VQH1505" s="879"/>
      <c r="VQI1505" s="879"/>
      <c r="VQJ1505" s="879"/>
      <c r="VQK1505" s="879"/>
      <c r="VQL1505" s="879"/>
      <c r="VQM1505" s="879"/>
      <c r="VQN1505" s="879"/>
      <c r="VQO1505" s="879"/>
      <c r="VQP1505" s="879"/>
      <c r="VQQ1505" s="879"/>
      <c r="VQR1505" s="879"/>
      <c r="VQS1505" s="879"/>
      <c r="VQT1505" s="879"/>
      <c r="VQU1505" s="879"/>
      <c r="VQV1505" s="879"/>
      <c r="VQW1505" s="879"/>
      <c r="VQX1505" s="879"/>
      <c r="VQY1505" s="879"/>
      <c r="VQZ1505" s="879"/>
      <c r="VRA1505" s="879"/>
      <c r="VRB1505" s="879"/>
      <c r="VRC1505" s="879"/>
      <c r="VRD1505" s="879"/>
      <c r="VRE1505" s="879"/>
      <c r="VRF1505" s="879"/>
      <c r="VRG1505" s="879"/>
      <c r="VRH1505" s="879"/>
      <c r="VRI1505" s="879"/>
      <c r="VRJ1505" s="879"/>
      <c r="VRK1505" s="879"/>
      <c r="VRL1505" s="879"/>
      <c r="VRM1505" s="879"/>
      <c r="VRN1505" s="879"/>
      <c r="VRO1505" s="879"/>
      <c r="VRP1505" s="879"/>
      <c r="VRQ1505" s="879"/>
      <c r="VRR1505" s="879"/>
      <c r="VRS1505" s="879"/>
      <c r="VRT1505" s="879"/>
      <c r="VRU1505" s="879"/>
      <c r="VRV1505" s="879"/>
      <c r="VRW1505" s="879"/>
      <c r="VRX1505" s="879"/>
      <c r="VRY1505" s="879"/>
      <c r="VRZ1505" s="879"/>
      <c r="VSA1505" s="879"/>
      <c r="VSB1505" s="879"/>
      <c r="VSC1505" s="879"/>
      <c r="VSD1505" s="879"/>
      <c r="VSE1505" s="879"/>
      <c r="VSF1505" s="879"/>
      <c r="VSG1505" s="879"/>
      <c r="VSH1505" s="879"/>
      <c r="VSI1505" s="879"/>
      <c r="VSJ1505" s="879"/>
      <c r="VSK1505" s="879"/>
      <c r="VSL1505" s="879"/>
      <c r="VSM1505" s="879"/>
      <c r="VSN1505" s="879"/>
      <c r="VSO1505" s="879"/>
      <c r="VSP1505" s="879"/>
      <c r="VSQ1505" s="879"/>
      <c r="VSR1505" s="879"/>
      <c r="VSS1505" s="879"/>
      <c r="VST1505" s="879"/>
      <c r="VSU1505" s="879"/>
      <c r="VSV1505" s="879"/>
      <c r="VSW1505" s="879"/>
      <c r="VSX1505" s="879"/>
      <c r="VSY1505" s="879"/>
      <c r="VSZ1505" s="879"/>
      <c r="VTA1505" s="879"/>
      <c r="VTB1505" s="879"/>
      <c r="VTC1505" s="879"/>
      <c r="VTD1505" s="879"/>
      <c r="VTE1505" s="879"/>
      <c r="VTF1505" s="879"/>
      <c r="VTG1505" s="879"/>
      <c r="VTH1505" s="879"/>
      <c r="VTI1505" s="879"/>
      <c r="VTJ1505" s="879"/>
      <c r="VTK1505" s="879"/>
      <c r="VTL1505" s="879"/>
      <c r="VTM1505" s="879"/>
      <c r="VTN1505" s="879"/>
      <c r="VTO1505" s="879"/>
      <c r="VTP1505" s="879"/>
      <c r="VTQ1505" s="879"/>
      <c r="VTR1505" s="879"/>
      <c r="VTS1505" s="879"/>
      <c r="VTT1505" s="879"/>
      <c r="VTU1505" s="879"/>
      <c r="VTV1505" s="879"/>
      <c r="VTW1505" s="879"/>
      <c r="VTX1505" s="879"/>
      <c r="VTY1505" s="879"/>
      <c r="VTZ1505" s="879"/>
      <c r="VUA1505" s="879"/>
      <c r="VUB1505" s="879"/>
      <c r="VUC1505" s="879"/>
      <c r="VUD1505" s="879"/>
      <c r="VUE1505" s="879"/>
      <c r="VUF1505" s="879"/>
      <c r="VUG1505" s="879"/>
      <c r="VUH1505" s="879"/>
      <c r="VUI1505" s="879"/>
      <c r="VUJ1505" s="879"/>
      <c r="VUK1505" s="879"/>
      <c r="VUL1505" s="879"/>
      <c r="VUM1505" s="879"/>
      <c r="VUN1505" s="879"/>
      <c r="VUO1505" s="879"/>
      <c r="VUP1505" s="879"/>
      <c r="VUQ1505" s="879"/>
      <c r="VUR1505" s="879"/>
      <c r="VUS1505" s="879"/>
      <c r="VUT1505" s="879"/>
      <c r="VUU1505" s="879"/>
      <c r="VUV1505" s="879"/>
      <c r="VUW1505" s="879"/>
      <c r="VUX1505" s="879"/>
      <c r="VUY1505" s="879"/>
      <c r="VUZ1505" s="879"/>
      <c r="VVA1505" s="879"/>
      <c r="VVB1505" s="879"/>
      <c r="VVC1505" s="879"/>
      <c r="VVD1505" s="879"/>
      <c r="VVE1505" s="879"/>
      <c r="VVF1505" s="879"/>
      <c r="VVG1505" s="879"/>
      <c r="VVH1505" s="879"/>
      <c r="VVI1505" s="879"/>
      <c r="VVJ1505" s="879"/>
      <c r="VVK1505" s="879"/>
      <c r="VVL1505" s="879"/>
      <c r="VVM1505" s="879"/>
      <c r="VVN1505" s="879"/>
      <c r="VVO1505" s="879"/>
      <c r="VVP1505" s="879"/>
      <c r="VVQ1505" s="879"/>
      <c r="VVR1505" s="879"/>
      <c r="VVS1505" s="879"/>
      <c r="VVT1505" s="879"/>
      <c r="VVU1505" s="879"/>
      <c r="VVV1505" s="879"/>
      <c r="VVW1505" s="879"/>
      <c r="VVX1505" s="879"/>
      <c r="VVY1505" s="879"/>
      <c r="VVZ1505" s="879"/>
      <c r="VWA1505" s="879"/>
      <c r="VWB1505" s="879"/>
      <c r="VWC1505" s="879"/>
      <c r="VWD1505" s="879"/>
      <c r="VWE1505" s="879"/>
      <c r="VWF1505" s="879"/>
      <c r="VWG1505" s="879"/>
      <c r="VWH1505" s="879"/>
      <c r="VWI1505" s="879"/>
      <c r="VWJ1505" s="879"/>
      <c r="VWK1505" s="879"/>
      <c r="VWL1505" s="879"/>
      <c r="VWM1505" s="879"/>
      <c r="VWN1505" s="879"/>
      <c r="VWO1505" s="879"/>
      <c r="VWP1505" s="879"/>
      <c r="VWQ1505" s="879"/>
      <c r="VWR1505" s="879"/>
      <c r="VWS1505" s="879"/>
      <c r="VWT1505" s="879"/>
      <c r="VWU1505" s="879"/>
      <c r="VWV1505" s="879"/>
      <c r="VWW1505" s="879"/>
      <c r="VWX1505" s="879"/>
      <c r="VWY1505" s="879"/>
      <c r="VWZ1505" s="879"/>
      <c r="VXA1505" s="879"/>
      <c r="VXB1505" s="879"/>
      <c r="VXC1505" s="879"/>
      <c r="VXD1505" s="879"/>
      <c r="VXE1505" s="879"/>
      <c r="VXF1505" s="879"/>
      <c r="VXG1505" s="879"/>
      <c r="VXH1505" s="879"/>
      <c r="VXI1505" s="879"/>
      <c r="VXJ1505" s="879"/>
      <c r="VXK1505" s="879"/>
      <c r="VXL1505" s="879"/>
      <c r="VXM1505" s="879"/>
      <c r="VXN1505" s="879"/>
      <c r="VXO1505" s="879"/>
      <c r="VXP1505" s="879"/>
      <c r="VXQ1505" s="879"/>
      <c r="VXR1505" s="879"/>
      <c r="VXS1505" s="879"/>
      <c r="VXT1505" s="879"/>
      <c r="VXU1505" s="879"/>
      <c r="VXV1505" s="879"/>
      <c r="VXW1505" s="879"/>
      <c r="VXX1505" s="879"/>
      <c r="VXY1505" s="879"/>
      <c r="VXZ1505" s="879"/>
      <c r="VYA1505" s="879"/>
      <c r="VYB1505" s="879"/>
      <c r="VYC1505" s="879"/>
      <c r="VYD1505" s="879"/>
      <c r="VYE1505" s="879"/>
      <c r="VYF1505" s="879"/>
      <c r="VYG1505" s="879"/>
      <c r="VYH1505" s="879"/>
      <c r="VYI1505" s="879"/>
      <c r="VYJ1505" s="879"/>
      <c r="VYK1505" s="879"/>
      <c r="VYL1505" s="879"/>
      <c r="VYM1505" s="879"/>
      <c r="VYN1505" s="879"/>
      <c r="VYO1505" s="879"/>
      <c r="VYP1505" s="879"/>
      <c r="VYQ1505" s="879"/>
      <c r="VYR1505" s="879"/>
      <c r="VYS1505" s="879"/>
      <c r="VYT1505" s="879"/>
      <c r="VYU1505" s="879"/>
      <c r="VYV1505" s="879"/>
      <c r="VYW1505" s="879"/>
      <c r="VYX1505" s="879"/>
      <c r="VYY1505" s="879"/>
      <c r="VYZ1505" s="879"/>
      <c r="VZA1505" s="879"/>
      <c r="VZB1505" s="879"/>
      <c r="VZC1505" s="879"/>
      <c r="VZD1505" s="879"/>
      <c r="VZE1505" s="879"/>
      <c r="VZF1505" s="879"/>
      <c r="VZG1505" s="879"/>
      <c r="VZH1505" s="879"/>
      <c r="VZI1505" s="879"/>
      <c r="VZJ1505" s="879"/>
      <c r="VZK1505" s="879"/>
      <c r="VZL1505" s="879"/>
      <c r="VZM1505" s="879"/>
      <c r="VZN1505" s="879"/>
      <c r="VZO1505" s="879"/>
      <c r="VZP1505" s="879"/>
      <c r="VZQ1505" s="879"/>
      <c r="VZR1505" s="879"/>
      <c r="VZS1505" s="879"/>
      <c r="VZT1505" s="879"/>
      <c r="VZU1505" s="879"/>
      <c r="VZV1505" s="879"/>
      <c r="VZW1505" s="879"/>
      <c r="VZX1505" s="879"/>
      <c r="VZY1505" s="879"/>
      <c r="VZZ1505" s="879"/>
      <c r="WAA1505" s="879"/>
      <c r="WAB1505" s="879"/>
      <c r="WAC1505" s="879"/>
      <c r="WAD1505" s="879"/>
      <c r="WAE1505" s="879"/>
      <c r="WAF1505" s="879"/>
      <c r="WAG1505" s="879"/>
      <c r="WAH1505" s="879"/>
      <c r="WAI1505" s="879"/>
      <c r="WAJ1505" s="879"/>
      <c r="WAK1505" s="879"/>
      <c r="WAL1505" s="879"/>
      <c r="WAM1505" s="879"/>
      <c r="WAN1505" s="879"/>
      <c r="WAO1505" s="879"/>
      <c r="WAP1505" s="879"/>
      <c r="WAQ1505" s="879"/>
      <c r="WAR1505" s="879"/>
      <c r="WAS1505" s="879"/>
      <c r="WAT1505" s="879"/>
      <c r="WAU1505" s="879"/>
      <c r="WAV1505" s="879"/>
      <c r="WAW1505" s="879"/>
      <c r="WAX1505" s="879"/>
      <c r="WAY1505" s="879"/>
      <c r="WAZ1505" s="879"/>
      <c r="WBA1505" s="879"/>
      <c r="WBB1505" s="879"/>
      <c r="WBC1505" s="879"/>
      <c r="WBD1505" s="879"/>
      <c r="WBE1505" s="879"/>
      <c r="WBF1505" s="879"/>
      <c r="WBG1505" s="879"/>
      <c r="WBH1505" s="879"/>
      <c r="WBI1505" s="879"/>
      <c r="WBJ1505" s="879"/>
      <c r="WBK1505" s="879"/>
      <c r="WBL1505" s="879"/>
      <c r="WBM1505" s="879"/>
      <c r="WBN1505" s="879"/>
      <c r="WBO1505" s="879"/>
      <c r="WBP1505" s="879"/>
      <c r="WBQ1505" s="879"/>
      <c r="WBR1505" s="879"/>
      <c r="WBS1505" s="879"/>
      <c r="WBT1505" s="879"/>
      <c r="WBU1505" s="879"/>
      <c r="WBV1505" s="879"/>
      <c r="WBW1505" s="879"/>
      <c r="WBX1505" s="879"/>
      <c r="WBY1505" s="879"/>
      <c r="WBZ1505" s="879"/>
      <c r="WCA1505" s="879"/>
      <c r="WCB1505" s="879"/>
      <c r="WCC1505" s="879"/>
      <c r="WCD1505" s="879"/>
      <c r="WCE1505" s="879"/>
      <c r="WCF1505" s="879"/>
      <c r="WCG1505" s="879"/>
      <c r="WCH1505" s="879"/>
      <c r="WCI1505" s="879"/>
      <c r="WCJ1505" s="879"/>
      <c r="WCK1505" s="879"/>
      <c r="WCL1505" s="879"/>
      <c r="WCM1505" s="879"/>
      <c r="WCN1505" s="879"/>
      <c r="WCO1505" s="879"/>
      <c r="WCP1505" s="879"/>
      <c r="WCQ1505" s="879"/>
      <c r="WCR1505" s="879"/>
      <c r="WCS1505" s="879"/>
      <c r="WCT1505" s="879"/>
      <c r="WCU1505" s="879"/>
      <c r="WCV1505" s="879"/>
      <c r="WCW1505" s="879"/>
      <c r="WCX1505" s="879"/>
      <c r="WCY1505" s="879"/>
      <c r="WCZ1505" s="879"/>
      <c r="WDA1505" s="879"/>
      <c r="WDB1505" s="879"/>
      <c r="WDC1505" s="879"/>
      <c r="WDD1505" s="879"/>
      <c r="WDE1505" s="879"/>
      <c r="WDF1505" s="879"/>
      <c r="WDG1505" s="879"/>
      <c r="WDH1505" s="879"/>
      <c r="WDI1505" s="879"/>
      <c r="WDJ1505" s="879"/>
      <c r="WDK1505" s="879"/>
      <c r="WDL1505" s="879"/>
      <c r="WDM1505" s="879"/>
      <c r="WDN1505" s="879"/>
      <c r="WDO1505" s="879"/>
      <c r="WDP1505" s="879"/>
      <c r="WDQ1505" s="879"/>
      <c r="WDR1505" s="879"/>
      <c r="WDS1505" s="879"/>
      <c r="WDT1505" s="879"/>
      <c r="WDU1505" s="879"/>
      <c r="WDV1505" s="879"/>
      <c r="WDW1505" s="879"/>
      <c r="WDX1505" s="879"/>
      <c r="WDY1505" s="879"/>
      <c r="WDZ1505" s="879"/>
      <c r="WEA1505" s="879"/>
      <c r="WEB1505" s="879"/>
      <c r="WEC1505" s="879"/>
      <c r="WED1505" s="879"/>
      <c r="WEE1505" s="879"/>
      <c r="WEF1505" s="879"/>
      <c r="WEG1505" s="879"/>
      <c r="WEH1505" s="879"/>
      <c r="WEI1505" s="879"/>
      <c r="WEJ1505" s="879"/>
      <c r="WEK1505" s="879"/>
      <c r="WEL1505" s="879"/>
      <c r="WEM1505" s="879"/>
      <c r="WEN1505" s="879"/>
      <c r="WEO1505" s="879"/>
      <c r="WEP1505" s="879"/>
      <c r="WEQ1505" s="879"/>
      <c r="WER1505" s="879"/>
      <c r="WES1505" s="879"/>
      <c r="WET1505" s="879"/>
      <c r="WEU1505" s="879"/>
      <c r="WEV1505" s="879"/>
      <c r="WEW1505" s="879"/>
      <c r="WEX1505" s="879"/>
      <c r="WEY1505" s="879"/>
      <c r="WEZ1505" s="879"/>
      <c r="WFA1505" s="879"/>
      <c r="WFB1505" s="879"/>
      <c r="WFC1505" s="879"/>
      <c r="WFD1505" s="879"/>
      <c r="WFE1505" s="879"/>
      <c r="WFF1505" s="879"/>
      <c r="WFG1505" s="879"/>
      <c r="WFH1505" s="879"/>
      <c r="WFI1505" s="879"/>
      <c r="WFJ1505" s="879"/>
      <c r="WFK1505" s="879"/>
      <c r="WFL1505" s="879"/>
      <c r="WFM1505" s="879"/>
      <c r="WFN1505" s="879"/>
      <c r="WFO1505" s="879"/>
      <c r="WFP1505" s="879"/>
      <c r="WFQ1505" s="879"/>
      <c r="WFR1505" s="879"/>
      <c r="WFS1505" s="879"/>
      <c r="WFT1505" s="879"/>
      <c r="WFU1505" s="879"/>
      <c r="WFV1505" s="879"/>
      <c r="WFW1505" s="879"/>
      <c r="WFX1505" s="879"/>
      <c r="WFY1505" s="879"/>
      <c r="WFZ1505" s="879"/>
      <c r="WGA1505" s="879"/>
      <c r="WGB1505" s="879"/>
      <c r="WGC1505" s="879"/>
      <c r="WGD1505" s="879"/>
      <c r="WGE1505" s="879"/>
      <c r="WGF1505" s="879"/>
      <c r="WGG1505" s="879"/>
      <c r="WGH1505" s="879"/>
      <c r="WGI1505" s="879"/>
      <c r="WGJ1505" s="879"/>
      <c r="WGK1505" s="879"/>
      <c r="WGL1505" s="879"/>
      <c r="WGM1505" s="879"/>
      <c r="WGN1505" s="879"/>
      <c r="WGO1505" s="879"/>
      <c r="WGP1505" s="879"/>
      <c r="WGQ1505" s="879"/>
      <c r="WGR1505" s="879"/>
      <c r="WGS1505" s="879"/>
      <c r="WGT1505" s="879"/>
      <c r="WGU1505" s="879"/>
      <c r="WGV1505" s="879"/>
      <c r="WGW1505" s="879"/>
      <c r="WGX1505" s="879"/>
      <c r="WGY1505" s="879"/>
      <c r="WGZ1505" s="879"/>
      <c r="WHA1505" s="879"/>
      <c r="WHB1505" s="879"/>
      <c r="WHC1505" s="879"/>
      <c r="WHD1505" s="879"/>
      <c r="WHE1505" s="879"/>
      <c r="WHF1505" s="879"/>
      <c r="WHG1505" s="879"/>
      <c r="WHH1505" s="879"/>
      <c r="WHI1505" s="879"/>
      <c r="WHJ1505" s="879"/>
      <c r="WHK1505" s="879"/>
      <c r="WHL1505" s="879"/>
      <c r="WHM1505" s="879"/>
      <c r="WHN1505" s="879"/>
      <c r="WHO1505" s="879"/>
      <c r="WHP1505" s="879"/>
      <c r="WHQ1505" s="879"/>
      <c r="WHR1505" s="879"/>
      <c r="WHS1505" s="879"/>
      <c r="WHT1505" s="879"/>
      <c r="WHU1505" s="879"/>
      <c r="WHV1505" s="879"/>
      <c r="WHW1505" s="879"/>
      <c r="WHX1505" s="879"/>
      <c r="WHY1505" s="879"/>
      <c r="WHZ1505" s="879"/>
      <c r="WIA1505" s="879"/>
      <c r="WIB1505" s="879"/>
      <c r="WIC1505" s="879"/>
      <c r="WID1505" s="879"/>
      <c r="WIE1505" s="879"/>
      <c r="WIF1505" s="879"/>
      <c r="WIG1505" s="879"/>
      <c r="WIH1505" s="879"/>
      <c r="WII1505" s="879"/>
      <c r="WIJ1505" s="879"/>
      <c r="WIK1505" s="879"/>
      <c r="WIL1505" s="879"/>
      <c r="WIM1505" s="879"/>
      <c r="WIN1505" s="879"/>
      <c r="WIO1505" s="879"/>
      <c r="WIP1505" s="879"/>
      <c r="WIQ1505" s="879"/>
      <c r="WIR1505" s="879"/>
      <c r="WIS1505" s="879"/>
      <c r="WIT1505" s="879"/>
      <c r="WIU1505" s="879"/>
      <c r="WIV1505" s="879"/>
      <c r="WIW1505" s="879"/>
      <c r="WIX1505" s="879"/>
      <c r="WIY1505" s="879"/>
      <c r="WIZ1505" s="879"/>
      <c r="WJA1505" s="879"/>
      <c r="WJB1505" s="879"/>
      <c r="WJC1505" s="879"/>
      <c r="WJD1505" s="879"/>
      <c r="WJE1505" s="879"/>
      <c r="WJF1505" s="879"/>
      <c r="WJG1505" s="879"/>
      <c r="WJH1505" s="879"/>
      <c r="WJI1505" s="879"/>
      <c r="WJJ1505" s="879"/>
      <c r="WJK1505" s="879"/>
      <c r="WJL1505" s="879"/>
      <c r="WJM1505" s="879"/>
      <c r="WJN1505" s="879"/>
      <c r="WJO1505" s="879"/>
      <c r="WJP1505" s="879"/>
      <c r="WJQ1505" s="879"/>
      <c r="WJR1505" s="879"/>
      <c r="WJS1505" s="879"/>
      <c r="WJT1505" s="879"/>
      <c r="WJU1505" s="879"/>
      <c r="WJV1505" s="879"/>
      <c r="WJW1505" s="879"/>
      <c r="WJX1505" s="879"/>
      <c r="WJY1505" s="879"/>
      <c r="WJZ1505" s="879"/>
      <c r="WKA1505" s="879"/>
      <c r="WKB1505" s="879"/>
      <c r="WKC1505" s="879"/>
      <c r="WKD1505" s="879"/>
      <c r="WKE1505" s="879"/>
      <c r="WKF1505" s="879"/>
      <c r="WKG1505" s="879"/>
      <c r="WKH1505" s="879"/>
      <c r="WKI1505" s="879"/>
      <c r="WKJ1505" s="879"/>
      <c r="WKK1505" s="879"/>
      <c r="WKL1505" s="879"/>
      <c r="WKM1505" s="879"/>
      <c r="WKN1505" s="879"/>
      <c r="WKO1505" s="879"/>
      <c r="WKP1505" s="879"/>
      <c r="WKQ1505" s="879"/>
      <c r="WKR1505" s="879"/>
      <c r="WKS1505" s="879"/>
      <c r="WKT1505" s="879"/>
      <c r="WKU1505" s="879"/>
      <c r="WKV1505" s="879"/>
      <c r="WKW1505" s="879"/>
      <c r="WKX1505" s="879"/>
      <c r="WKY1505" s="879"/>
      <c r="WKZ1505" s="879"/>
      <c r="WLA1505" s="879"/>
      <c r="WLB1505" s="879"/>
      <c r="WLC1505" s="879"/>
      <c r="WLD1505" s="879"/>
      <c r="WLE1505" s="879"/>
      <c r="WLF1505" s="879"/>
      <c r="WLG1505" s="879"/>
      <c r="WLH1505" s="879"/>
      <c r="WLI1505" s="879"/>
      <c r="WLJ1505" s="879"/>
      <c r="WLK1505" s="879"/>
      <c r="WLL1505" s="879"/>
      <c r="WLM1505" s="879"/>
      <c r="WLN1505" s="879"/>
      <c r="WLO1505" s="879"/>
      <c r="WLP1505" s="879"/>
      <c r="WLQ1505" s="879"/>
      <c r="WLR1505" s="879"/>
      <c r="WLS1505" s="879"/>
      <c r="WLT1505" s="879"/>
      <c r="WLU1505" s="879"/>
      <c r="WLV1505" s="879"/>
      <c r="WLW1505" s="879"/>
      <c r="WLX1505" s="879"/>
      <c r="WLY1505" s="879"/>
      <c r="WLZ1505" s="879"/>
      <c r="WMA1505" s="879"/>
      <c r="WMB1505" s="879"/>
      <c r="WMC1505" s="879"/>
      <c r="WMD1505" s="879"/>
      <c r="WME1505" s="879"/>
      <c r="WMF1505" s="879"/>
      <c r="WMG1505" s="879"/>
      <c r="WMH1505" s="879"/>
      <c r="WMI1505" s="879"/>
      <c r="WMJ1505" s="879"/>
      <c r="WMK1505" s="879"/>
      <c r="WML1505" s="879"/>
      <c r="WMM1505" s="879"/>
      <c r="WMN1505" s="879"/>
      <c r="WMO1505" s="879"/>
      <c r="WMP1505" s="879"/>
      <c r="WMQ1505" s="879"/>
      <c r="WMR1505" s="879"/>
      <c r="WMS1505" s="879"/>
      <c r="WMT1505" s="879"/>
      <c r="WMU1505" s="879"/>
      <c r="WMV1505" s="879"/>
      <c r="WMW1505" s="879"/>
      <c r="WMX1505" s="879"/>
      <c r="WMY1505" s="879"/>
      <c r="WMZ1505" s="879"/>
      <c r="WNA1505" s="879"/>
      <c r="WNB1505" s="879"/>
      <c r="WNC1505" s="879"/>
      <c r="WND1505" s="879"/>
      <c r="WNE1505" s="879"/>
      <c r="WNF1505" s="879"/>
      <c r="WNG1505" s="879"/>
      <c r="WNH1505" s="879"/>
      <c r="WNI1505" s="879"/>
      <c r="WNJ1505" s="879"/>
      <c r="WNK1505" s="879"/>
      <c r="WNL1505" s="879"/>
      <c r="WNM1505" s="879"/>
      <c r="WNN1505" s="879"/>
      <c r="WNO1505" s="879"/>
      <c r="WNP1505" s="879"/>
      <c r="WNQ1505" s="879"/>
      <c r="WNR1505" s="879"/>
      <c r="WNS1505" s="879"/>
      <c r="WNT1505" s="879"/>
      <c r="WNU1505" s="879"/>
      <c r="WNV1505" s="879"/>
      <c r="WNW1505" s="879"/>
      <c r="WNX1505" s="879"/>
      <c r="WNY1505" s="879"/>
      <c r="WNZ1505" s="879"/>
      <c r="WOA1505" s="879"/>
      <c r="WOB1505" s="879"/>
      <c r="WOC1505" s="879"/>
      <c r="WOD1505" s="879"/>
      <c r="WOE1505" s="879"/>
      <c r="WOF1505" s="879"/>
      <c r="WOG1505" s="879"/>
      <c r="WOH1505" s="879"/>
      <c r="WOI1505" s="879"/>
      <c r="WOJ1505" s="879"/>
      <c r="WOK1505" s="879"/>
      <c r="WOL1505" s="879"/>
      <c r="WOM1505" s="879"/>
      <c r="WON1505" s="879"/>
      <c r="WOO1505" s="879"/>
      <c r="WOP1505" s="879"/>
      <c r="WOQ1505" s="879"/>
      <c r="WOR1505" s="879"/>
      <c r="WOS1505" s="879"/>
      <c r="WOT1505" s="879"/>
      <c r="WOU1505" s="879"/>
      <c r="WOV1505" s="879"/>
      <c r="WOW1505" s="879"/>
      <c r="WOX1505" s="879"/>
      <c r="WOY1505" s="879"/>
      <c r="WOZ1505" s="879"/>
      <c r="WPA1505" s="879"/>
      <c r="WPB1505" s="879"/>
      <c r="WPC1505" s="879"/>
      <c r="WPD1505" s="879"/>
      <c r="WPE1505" s="879"/>
      <c r="WPF1505" s="879"/>
      <c r="WPG1505" s="879"/>
      <c r="WPH1505" s="879"/>
      <c r="WPI1505" s="879"/>
      <c r="WPJ1505" s="879"/>
      <c r="WPK1505" s="879"/>
      <c r="WPL1505" s="879"/>
      <c r="WPM1505" s="879"/>
      <c r="WPN1505" s="879"/>
      <c r="WPO1505" s="879"/>
      <c r="WPP1505" s="879"/>
      <c r="WPQ1505" s="879"/>
      <c r="WPR1505" s="879"/>
      <c r="WPS1505" s="879"/>
      <c r="WPT1505" s="879"/>
      <c r="WPU1505" s="879"/>
      <c r="WPV1505" s="879"/>
      <c r="WPW1505" s="879"/>
      <c r="WPX1505" s="879"/>
      <c r="WPY1505" s="879"/>
      <c r="WPZ1505" s="879"/>
      <c r="WQA1505" s="879"/>
      <c r="WQB1505" s="879"/>
      <c r="WQC1505" s="879"/>
      <c r="WQD1505" s="879"/>
      <c r="WQE1505" s="879"/>
      <c r="WQF1505" s="879"/>
      <c r="WQG1505" s="879"/>
      <c r="WQH1505" s="879"/>
      <c r="WQI1505" s="879"/>
      <c r="WQJ1505" s="879"/>
      <c r="WQK1505" s="879"/>
      <c r="WQL1505" s="879"/>
      <c r="WQM1505" s="879"/>
      <c r="WQN1505" s="879"/>
      <c r="WQO1505" s="879"/>
      <c r="WQP1505" s="879"/>
      <c r="WQQ1505" s="879"/>
      <c r="WQR1505" s="879"/>
      <c r="WQS1505" s="879"/>
      <c r="WQT1505" s="879"/>
      <c r="WQU1505" s="879"/>
      <c r="WQV1505" s="879"/>
      <c r="WQW1505" s="879"/>
      <c r="WQX1505" s="879"/>
      <c r="WQY1505" s="879"/>
      <c r="WQZ1505" s="879"/>
      <c r="WRA1505" s="879"/>
      <c r="WRB1505" s="879"/>
      <c r="WRC1505" s="879"/>
      <c r="WRD1505" s="879"/>
      <c r="WRE1505" s="879"/>
      <c r="WRF1505" s="879"/>
      <c r="WRG1505" s="879"/>
      <c r="WRH1505" s="879"/>
      <c r="WRI1505" s="879"/>
      <c r="WRJ1505" s="879"/>
      <c r="WRK1505" s="879"/>
      <c r="WRL1505" s="879"/>
      <c r="WRM1505" s="879"/>
      <c r="WRN1505" s="879"/>
      <c r="WRO1505" s="879"/>
      <c r="WRP1505" s="879"/>
      <c r="WRQ1505" s="879"/>
      <c r="WRR1505" s="879"/>
      <c r="WRS1505" s="879"/>
      <c r="WRT1505" s="879"/>
      <c r="WRU1505" s="879"/>
      <c r="WRV1505" s="879"/>
      <c r="WRW1505" s="879"/>
      <c r="WRX1505" s="879"/>
      <c r="WRY1505" s="879"/>
      <c r="WRZ1505" s="879"/>
      <c r="WSA1505" s="879"/>
      <c r="WSB1505" s="879"/>
      <c r="WSC1505" s="879"/>
      <c r="WSD1505" s="879"/>
      <c r="WSE1505" s="879"/>
      <c r="WSF1505" s="879"/>
      <c r="WSG1505" s="879"/>
      <c r="WSH1505" s="879"/>
      <c r="WSI1505" s="879"/>
      <c r="WSJ1505" s="879"/>
      <c r="WSK1505" s="879"/>
      <c r="WSL1505" s="879"/>
      <c r="WSM1505" s="879"/>
      <c r="WSN1505" s="879"/>
      <c r="WSO1505" s="879"/>
      <c r="WSP1505" s="879"/>
      <c r="WSQ1505" s="879"/>
      <c r="WSR1505" s="879"/>
      <c r="WSS1505" s="879"/>
      <c r="WST1505" s="879"/>
      <c r="WSU1505" s="879"/>
      <c r="WSV1505" s="879"/>
      <c r="WSW1505" s="879"/>
      <c r="WSX1505" s="879"/>
      <c r="WSY1505" s="879"/>
      <c r="WSZ1505" s="879"/>
      <c r="WTA1505" s="879"/>
      <c r="WTB1505" s="879"/>
      <c r="WTC1505" s="879"/>
      <c r="WTD1505" s="879"/>
      <c r="WTE1505" s="879"/>
      <c r="WTF1505" s="879"/>
      <c r="WTG1505" s="879"/>
      <c r="WTH1505" s="879"/>
      <c r="WTI1505" s="879"/>
      <c r="WTJ1505" s="879"/>
      <c r="WTK1505" s="879"/>
      <c r="WTL1505" s="879"/>
      <c r="WTM1505" s="879"/>
      <c r="WTN1505" s="879"/>
      <c r="WTO1505" s="879"/>
      <c r="WTP1505" s="879"/>
      <c r="WTQ1505" s="879"/>
      <c r="WTR1505" s="879"/>
      <c r="WTS1505" s="879"/>
      <c r="WTT1505" s="879"/>
      <c r="WTU1505" s="879"/>
      <c r="WTV1505" s="879"/>
      <c r="WTW1505" s="879"/>
      <c r="WTX1505" s="879"/>
      <c r="WTY1505" s="879"/>
      <c r="WTZ1505" s="879"/>
      <c r="WUA1505" s="879"/>
      <c r="WUB1505" s="879"/>
      <c r="WUC1505" s="879"/>
      <c r="WUD1505" s="879"/>
      <c r="WUE1505" s="879"/>
      <c r="WUF1505" s="879"/>
      <c r="WUG1505" s="879"/>
      <c r="WUH1505" s="879"/>
      <c r="WUI1505" s="879"/>
      <c r="WUJ1505" s="879"/>
      <c r="WUK1505" s="879"/>
      <c r="WUL1505" s="879"/>
      <c r="WUM1505" s="879"/>
      <c r="WUN1505" s="879"/>
      <c r="WUO1505" s="879"/>
      <c r="WUP1505" s="879"/>
      <c r="WUQ1505" s="879"/>
      <c r="WUR1505" s="879"/>
      <c r="WUS1505" s="879"/>
      <c r="WUT1505" s="879"/>
      <c r="WUU1505" s="879"/>
      <c r="WUV1505" s="879"/>
      <c r="WUW1505" s="879"/>
      <c r="WUX1505" s="879"/>
      <c r="WUY1505" s="879"/>
      <c r="WUZ1505" s="879"/>
      <c r="WVA1505" s="879"/>
      <c r="WVB1505" s="879"/>
      <c r="WVC1505" s="879"/>
      <c r="WVD1505" s="879"/>
      <c r="WVE1505" s="879"/>
      <c r="WVF1505" s="879"/>
      <c r="WVG1505" s="879"/>
      <c r="WVH1505" s="879"/>
      <c r="WVI1505" s="879"/>
      <c r="WVJ1505" s="879"/>
      <c r="WVK1505" s="879"/>
      <c r="WVL1505" s="879"/>
      <c r="WVM1505" s="879"/>
      <c r="WVN1505" s="879"/>
      <c r="WVO1505" s="879"/>
      <c r="WVP1505" s="879"/>
      <c r="WVQ1505" s="879"/>
      <c r="WVR1505" s="879"/>
      <c r="WVS1505" s="879"/>
      <c r="WVT1505" s="879"/>
      <c r="WVU1505" s="879"/>
      <c r="WVV1505" s="879"/>
      <c r="WVW1505" s="879"/>
      <c r="WVX1505" s="879"/>
      <c r="WVY1505" s="879"/>
      <c r="WVZ1505" s="879"/>
      <c r="WWA1505" s="879"/>
      <c r="WWB1505" s="879"/>
      <c r="WWC1505" s="879"/>
      <c r="WWD1505" s="879"/>
      <c r="WWE1505" s="879"/>
      <c r="WWF1505" s="879"/>
      <c r="WWG1505" s="879"/>
      <c r="WWH1505" s="879"/>
      <c r="WWI1505" s="879"/>
      <c r="WWJ1505" s="879"/>
      <c r="WWK1505" s="879"/>
      <c r="WWL1505" s="879"/>
      <c r="WWM1505" s="879"/>
      <c r="WWN1505" s="879"/>
      <c r="WWO1505" s="879"/>
      <c r="WWP1505" s="879"/>
      <c r="WWQ1505" s="879"/>
      <c r="WWR1505" s="879"/>
      <c r="WWS1505" s="879"/>
      <c r="WWT1505" s="879"/>
      <c r="WWU1505" s="879"/>
      <c r="WWV1505" s="879"/>
      <c r="WWW1505" s="879"/>
      <c r="WWX1505" s="879"/>
      <c r="WWY1505" s="879"/>
      <c r="WWZ1505" s="879"/>
      <c r="WXA1505" s="879"/>
      <c r="WXB1505" s="879"/>
      <c r="WXC1505" s="879"/>
      <c r="WXD1505" s="879"/>
      <c r="WXE1505" s="879"/>
      <c r="WXF1505" s="879"/>
      <c r="WXG1505" s="879"/>
      <c r="WXH1505" s="879"/>
      <c r="WXI1505" s="879"/>
      <c r="WXJ1505" s="879"/>
      <c r="WXK1505" s="879"/>
      <c r="WXL1505" s="879"/>
      <c r="WXM1505" s="879"/>
      <c r="WXN1505" s="879"/>
      <c r="WXO1505" s="879"/>
      <c r="WXP1505" s="879"/>
      <c r="WXQ1505" s="879"/>
      <c r="WXR1505" s="879"/>
      <c r="WXS1505" s="879"/>
      <c r="WXT1505" s="879"/>
      <c r="WXU1505" s="879"/>
      <c r="WXV1505" s="879"/>
      <c r="WXW1505" s="879"/>
      <c r="WXX1505" s="879"/>
      <c r="WXY1505" s="879"/>
      <c r="WXZ1505" s="879"/>
      <c r="WYA1505" s="879"/>
      <c r="WYB1505" s="879"/>
      <c r="WYC1505" s="879"/>
      <c r="WYD1505" s="879"/>
      <c r="WYE1505" s="879"/>
      <c r="WYF1505" s="879"/>
      <c r="WYG1505" s="879"/>
      <c r="WYH1505" s="879"/>
      <c r="WYI1505" s="879"/>
      <c r="WYJ1505" s="879"/>
      <c r="WYK1505" s="879"/>
      <c r="WYL1505" s="879"/>
      <c r="WYM1505" s="879"/>
      <c r="WYN1505" s="879"/>
      <c r="WYO1505" s="879"/>
      <c r="WYP1505" s="879"/>
      <c r="WYQ1505" s="879"/>
      <c r="WYR1505" s="879"/>
      <c r="WYS1505" s="879"/>
      <c r="WYT1505" s="879"/>
      <c r="WYU1505" s="879"/>
      <c r="WYV1505" s="879"/>
      <c r="WYW1505" s="879"/>
      <c r="WYX1505" s="879"/>
      <c r="WYY1505" s="879"/>
      <c r="WYZ1505" s="879"/>
      <c r="WZA1505" s="879"/>
      <c r="WZB1505" s="879"/>
      <c r="WZC1505" s="879"/>
      <c r="WZD1505" s="879"/>
      <c r="WZE1505" s="879"/>
      <c r="WZF1505" s="879"/>
      <c r="WZG1505" s="879"/>
      <c r="WZH1505" s="879"/>
      <c r="WZI1505" s="879"/>
      <c r="WZJ1505" s="879"/>
      <c r="WZK1505" s="879"/>
      <c r="WZL1505" s="879"/>
      <c r="WZM1505" s="879"/>
      <c r="WZN1505" s="879"/>
      <c r="WZO1505" s="879"/>
      <c r="WZP1505" s="879"/>
      <c r="WZQ1505" s="879"/>
      <c r="WZR1505" s="879"/>
      <c r="WZS1505" s="879"/>
      <c r="WZT1505" s="879"/>
      <c r="WZU1505" s="879"/>
      <c r="WZV1505" s="879"/>
      <c r="WZW1505" s="879"/>
      <c r="WZX1505" s="879"/>
      <c r="WZY1505" s="879"/>
      <c r="WZZ1505" s="879"/>
      <c r="XAA1505" s="879"/>
      <c r="XAB1505" s="879"/>
      <c r="XAC1505" s="879"/>
      <c r="XAD1505" s="879"/>
      <c r="XAE1505" s="879"/>
      <c r="XAF1505" s="879"/>
      <c r="XAG1505" s="879"/>
      <c r="XAH1505" s="879"/>
      <c r="XAI1505" s="879"/>
      <c r="XAJ1505" s="879"/>
      <c r="XAK1505" s="879"/>
      <c r="XAL1505" s="879"/>
      <c r="XAM1505" s="879"/>
      <c r="XAN1505" s="879"/>
      <c r="XAO1505" s="879"/>
      <c r="XAP1505" s="879"/>
      <c r="XAQ1505" s="879"/>
      <c r="XAR1505" s="879"/>
      <c r="XAS1505" s="879"/>
      <c r="XAT1505" s="879"/>
      <c r="XAU1505" s="879"/>
      <c r="XAV1505" s="879"/>
      <c r="XAW1505" s="879"/>
      <c r="XAX1505" s="879"/>
      <c r="XAY1505" s="879"/>
      <c r="XAZ1505" s="879"/>
      <c r="XBA1505" s="879"/>
      <c r="XBB1505" s="879"/>
      <c r="XBC1505" s="879"/>
      <c r="XBD1505" s="879"/>
      <c r="XBE1505" s="879"/>
      <c r="XBF1505" s="879"/>
      <c r="XBG1505" s="879"/>
      <c r="XBH1505" s="879"/>
      <c r="XBI1505" s="879"/>
      <c r="XBJ1505" s="879"/>
      <c r="XBK1505" s="879"/>
      <c r="XBL1505" s="879"/>
      <c r="XBM1505" s="879"/>
      <c r="XBN1505" s="879"/>
      <c r="XBO1505" s="879"/>
      <c r="XBP1505" s="879"/>
      <c r="XBQ1505" s="879"/>
      <c r="XBR1505" s="879"/>
      <c r="XBS1505" s="879"/>
      <c r="XBT1505" s="879"/>
      <c r="XBU1505" s="879"/>
      <c r="XBV1505" s="879"/>
      <c r="XBW1505" s="879"/>
      <c r="XBX1505" s="879"/>
      <c r="XBY1505" s="879"/>
      <c r="XBZ1505" s="879"/>
      <c r="XCA1505" s="879"/>
      <c r="XCB1505" s="879"/>
      <c r="XCC1505" s="879"/>
      <c r="XCD1505" s="879"/>
      <c r="XCE1505" s="879"/>
      <c r="XCF1505" s="879"/>
      <c r="XCG1505" s="879"/>
      <c r="XCH1505" s="879"/>
      <c r="XCI1505" s="879"/>
      <c r="XCJ1505" s="879"/>
      <c r="XCK1505" s="879"/>
      <c r="XCL1505" s="879"/>
      <c r="XCM1505" s="879"/>
      <c r="XCN1505" s="879"/>
      <c r="XCO1505" s="879"/>
      <c r="XCP1505" s="879"/>
      <c r="XCQ1505" s="879"/>
      <c r="XCR1505" s="879"/>
      <c r="XCS1505" s="879"/>
      <c r="XCT1505" s="879"/>
      <c r="XCU1505" s="879"/>
      <c r="XCV1505" s="879"/>
      <c r="XCW1505" s="879"/>
      <c r="XCX1505" s="879"/>
      <c r="XCY1505" s="879"/>
      <c r="XCZ1505" s="879"/>
      <c r="XDA1505" s="879"/>
      <c r="XDB1505" s="879"/>
      <c r="XDC1505" s="879"/>
      <c r="XDD1505" s="879"/>
      <c r="XDE1505" s="879"/>
      <c r="XDF1505" s="879"/>
      <c r="XDG1505" s="879"/>
      <c r="XDH1505" s="879"/>
      <c r="XDI1505" s="879"/>
      <c r="XDJ1505" s="879"/>
      <c r="XDK1505" s="879"/>
      <c r="XDL1505" s="879"/>
      <c r="XDM1505" s="879"/>
      <c r="XDN1505" s="879"/>
      <c r="XDO1505" s="879"/>
      <c r="XDP1505" s="879"/>
      <c r="XDQ1505" s="879"/>
      <c r="XDR1505" s="879"/>
      <c r="XDS1505" s="879"/>
      <c r="XDT1505" s="879"/>
      <c r="XDU1505" s="879"/>
      <c r="XDV1505" s="879"/>
      <c r="XDW1505" s="879"/>
      <c r="XDX1505" s="879"/>
      <c r="XDY1505" s="879"/>
      <c r="XDZ1505" s="879"/>
      <c r="XEA1505" s="879"/>
      <c r="XEB1505" s="879"/>
      <c r="XEC1505" s="879"/>
      <c r="XED1505" s="879"/>
      <c r="XEE1505" s="879"/>
      <c r="XEF1505" s="879"/>
      <c r="XEG1505" s="879"/>
      <c r="XEH1505" s="879"/>
      <c r="XEI1505" s="879"/>
      <c r="XEJ1505" s="879"/>
      <c r="XEK1505" s="879"/>
      <c r="XEL1505" s="879"/>
      <c r="XEM1505" s="879"/>
      <c r="XEN1505" s="879"/>
      <c r="XEO1505" s="879"/>
      <c r="XEP1505" s="879"/>
      <c r="XEQ1505" s="879"/>
      <c r="XER1505" s="879"/>
      <c r="XES1505" s="879"/>
      <c r="XET1505" s="879"/>
      <c r="XEU1505" s="879"/>
      <c r="XEV1505" s="879"/>
      <c r="XEW1505" s="879"/>
      <c r="XEX1505" s="879"/>
    </row>
    <row r="1506" spans="1:16378" ht="15" customHeight="1" x14ac:dyDescent="0.25">
      <c r="A1506">
        <v>2025</v>
      </c>
      <c r="B1506" s="8" t="s">
        <v>1162</v>
      </c>
      <c r="C1506" s="8" t="s">
        <v>8989</v>
      </c>
      <c r="D1506" s="8">
        <v>1315392</v>
      </c>
      <c r="E1506" s="8" t="s">
        <v>4074</v>
      </c>
      <c r="F1506" s="8" t="s">
        <v>851</v>
      </c>
      <c r="G1506" s="8" t="s">
        <v>26</v>
      </c>
      <c r="H1506" s="8" t="s">
        <v>4462</v>
      </c>
      <c r="I1506" s="642">
        <v>45870</v>
      </c>
      <c r="J1506" s="175" t="s">
        <v>2052</v>
      </c>
      <c r="K1506" s="97">
        <v>45874</v>
      </c>
      <c r="L1506" s="16">
        <f>IF(ISTEXT(Table15[[#This Row],[Engineering Approved Design Date]]),Table15[[#This Row],[Date Completed]]-Table15[[#This Row],[Date Assigned to Designer]],Table15[[#This Row],[Engineering Approved Design Date]]-Table15[[#This Row],[Date Completed]])</f>
        <v>4</v>
      </c>
      <c r="M1506" s="642" t="s">
        <v>9067</v>
      </c>
      <c r="N1506" s="671" t="s">
        <v>739</v>
      </c>
      <c r="O1506" s="510">
        <v>45870</v>
      </c>
      <c r="P1506" s="1152" t="s">
        <v>739</v>
      </c>
      <c r="Q1506" s="1150" t="s">
        <v>115</v>
      </c>
      <c r="R1506" s="1623" t="s">
        <v>115</v>
      </c>
      <c r="S1506" s="24" t="s">
        <v>29</v>
      </c>
      <c r="T1506" s="538" t="s">
        <v>29</v>
      </c>
      <c r="U1506" s="28" t="s">
        <v>29</v>
      </c>
      <c r="V1506" s="343" t="s">
        <v>29</v>
      </c>
      <c r="W1506" s="343" t="s">
        <v>29</v>
      </c>
      <c r="X1506" s="1228" t="s">
        <v>29</v>
      </c>
      <c r="Y1506" s="888" t="s">
        <v>29</v>
      </c>
      <c r="Z1506" s="888" t="s">
        <v>29</v>
      </c>
      <c r="AA1506" s="889" t="s">
        <v>29</v>
      </c>
      <c r="AB1506" s="893" t="s">
        <v>29</v>
      </c>
      <c r="AC1506" s="896" t="s">
        <v>29</v>
      </c>
      <c r="AD1506" s="1155" t="s">
        <v>29</v>
      </c>
      <c r="AE1506" s="359" t="s">
        <v>29</v>
      </c>
      <c r="AF1506" s="569" t="s">
        <v>29</v>
      </c>
      <c r="AG1506" s="569" t="s">
        <v>29</v>
      </c>
      <c r="AH1506" s="356" t="s">
        <v>29</v>
      </c>
      <c r="AI1506" s="1028" t="s">
        <v>29</v>
      </c>
      <c r="AJ1506" s="1029" t="s">
        <v>29</v>
      </c>
      <c r="AK1506" s="1029" t="s">
        <v>29</v>
      </c>
      <c r="AL1506" s="1030" t="s">
        <v>29</v>
      </c>
      <c r="AM1506" s="542" t="s">
        <v>709</v>
      </c>
      <c r="AN1506" s="924"/>
      <c r="AO1506" s="925"/>
      <c r="AP1506" s="926"/>
      <c r="AQ1506" s="926"/>
      <c r="AR1506" s="926"/>
      <c r="AS1506" s="926"/>
      <c r="AT1506" s="926"/>
      <c r="AU1506" s="926"/>
      <c r="AV1506" s="926"/>
      <c r="AW1506" s="927"/>
      <c r="AX1506" s="926"/>
      <c r="AY1506" s="1538" t="s">
        <v>29</v>
      </c>
      <c r="AZ1506" s="1530"/>
      <c r="BA1506" s="643">
        <v>4</v>
      </c>
      <c r="BB1506" s="644" t="s">
        <v>29</v>
      </c>
      <c r="BC1506" s="479" t="s">
        <v>116</v>
      </c>
      <c r="BD1506" s="913" t="s">
        <v>788</v>
      </c>
      <c r="BE1506" s="914" t="s">
        <v>4077</v>
      </c>
      <c r="BF1506" s="914" t="s">
        <v>4070</v>
      </c>
      <c r="BG1506" s="1652" t="s">
        <v>29</v>
      </c>
      <c r="BH1506" s="615" t="s">
        <v>9068</v>
      </c>
      <c r="BI1506" s="1600"/>
      <c r="BJ1506" s="1032"/>
      <c r="BK1506" s="1032"/>
      <c r="BL1506" s="1032"/>
      <c r="BM1506" s="1032"/>
      <c r="BN1506" s="1032"/>
      <c r="BO1506" s="1032"/>
      <c r="BP1506" s="1032"/>
      <c r="BQ1506" s="1032"/>
      <c r="BR1506" s="1032"/>
      <c r="BS1506" s="1032"/>
      <c r="BT1506" s="1032"/>
      <c r="BU1506" s="1032"/>
      <c r="BV1506" s="1032"/>
      <c r="BW1506" s="1032"/>
      <c r="BX1506" s="1032"/>
      <c r="BY1506" s="1032"/>
      <c r="BZ1506" s="1032"/>
      <c r="CA1506" s="485"/>
      <c r="CB1506" s="547"/>
      <c r="CC1506" s="1481" t="b">
        <v>0</v>
      </c>
      <c r="CD1506" s="879" t="str">
        <f>Table15[[#This Row],[Engineering Number]]&amp;Table15[[#This Row],[WO Number]]&amp;Table15[[#This Row],[Date Assigned to Designer]]&amp;Table15[[#This Row],[Date Completed]]</f>
        <v>PRIM71813153924587045874</v>
      </c>
    </row>
    <row r="1507" spans="1:16378" ht="15" customHeight="1" x14ac:dyDescent="0.25">
      <c r="A1507">
        <v>2025</v>
      </c>
      <c r="B1507" s="878" t="s">
        <v>1205</v>
      </c>
      <c r="C1507" s="878" t="s">
        <v>1545</v>
      </c>
      <c r="D1507" s="878">
        <v>1211932</v>
      </c>
      <c r="E1507" s="878" t="s">
        <v>1200</v>
      </c>
      <c r="F1507" s="878" t="s">
        <v>784</v>
      </c>
      <c r="G1507" s="878" t="s">
        <v>32</v>
      </c>
      <c r="H1507" s="878" t="s">
        <v>4001</v>
      </c>
      <c r="I1507" s="883">
        <v>45867</v>
      </c>
      <c r="J1507" s="918" t="s">
        <v>2052</v>
      </c>
      <c r="K1507" s="918">
        <v>45875</v>
      </c>
      <c r="L1507" s="1547">
        <f>IF(ISTEXT(Table15[[#This Row],[Engineering Approved Design Date]]),Table15[[#This Row],[Date Completed]]-Table15[[#This Row],[Date Assigned to Designer]],Table15[[#This Row],[Engineering Approved Design Date]]-Table15[[#This Row],[Date Completed]])</f>
        <v>8</v>
      </c>
      <c r="M1507" s="883" t="s">
        <v>9069</v>
      </c>
      <c r="N1507" s="942" t="s">
        <v>739</v>
      </c>
      <c r="O1507" s="1621" t="s">
        <v>376</v>
      </c>
      <c r="P1507" s="1153" t="s">
        <v>120</v>
      </c>
      <c r="Q1507" s="340">
        <f>SUM(Table15[[#This Row],[Shactee Effort]:[KH Hourly Effort]])</f>
        <v>6467.5</v>
      </c>
      <c r="R1507" s="1627" t="s">
        <v>1922</v>
      </c>
      <c r="S1507" s="1228">
        <v>0</v>
      </c>
      <c r="T1507" s="888">
        <v>0</v>
      </c>
      <c r="U1507" s="889">
        <v>6467.5</v>
      </c>
      <c r="V1507" s="1021" t="s">
        <v>376</v>
      </c>
      <c r="W1507" s="1021"/>
      <c r="X1507" s="24" t="s">
        <v>29</v>
      </c>
      <c r="Y1507" s="551"/>
      <c r="Z1507" s="538" t="s">
        <v>29</v>
      </c>
      <c r="AA1507" s="28" t="s">
        <v>29</v>
      </c>
      <c r="AB1507" s="893" t="s">
        <v>29</v>
      </c>
      <c r="AC1507" s="896" t="s">
        <v>29</v>
      </c>
      <c r="AD1507" s="1155" t="s">
        <v>29</v>
      </c>
      <c r="AE1507" s="1633" t="s">
        <v>29</v>
      </c>
      <c r="AF1507" s="896" t="s">
        <v>29</v>
      </c>
      <c r="AG1507" s="897" t="s">
        <v>376</v>
      </c>
      <c r="AH1507" s="1636" t="s">
        <v>376</v>
      </c>
      <c r="AI1507" s="1102" t="s">
        <v>29</v>
      </c>
      <c r="AJ1507" s="1103" t="s">
        <v>29</v>
      </c>
      <c r="AK1507" s="1112" t="s">
        <v>29</v>
      </c>
      <c r="AL1507" s="1030" t="s">
        <v>29</v>
      </c>
      <c r="AM1507" s="542" t="s">
        <v>709</v>
      </c>
      <c r="AN1507" s="924"/>
      <c r="AO1507" s="925"/>
      <c r="AP1507" s="926"/>
      <c r="AQ1507" s="926"/>
      <c r="AR1507" s="926"/>
      <c r="AS1507" s="926"/>
      <c r="AT1507" s="926"/>
      <c r="AU1507" s="926"/>
      <c r="AV1507" s="926"/>
      <c r="AW1507" s="927"/>
      <c r="AX1507" s="926"/>
      <c r="AY1507" s="1538" t="s">
        <v>29</v>
      </c>
      <c r="AZ1507" s="1534"/>
      <c r="BA1507" s="1645">
        <v>4</v>
      </c>
      <c r="BB1507" s="1483" t="s">
        <v>29</v>
      </c>
      <c r="BC1507" s="1651" t="s">
        <v>116</v>
      </c>
      <c r="BD1507" s="951" t="s">
        <v>709</v>
      </c>
      <c r="BE1507" s="952" t="s">
        <v>9027</v>
      </c>
      <c r="BF1507" s="952" t="s">
        <v>709</v>
      </c>
      <c r="BG1507" s="1653" t="s">
        <v>709</v>
      </c>
      <c r="BH1507" s="1023" t="s">
        <v>9070</v>
      </c>
      <c r="BI1507" s="1659" t="s">
        <v>709</v>
      </c>
      <c r="BJ1507" s="1517" t="s">
        <v>709</v>
      </c>
      <c r="BK1507" s="1517" t="s">
        <v>709</v>
      </c>
      <c r="BL1507" s="993" t="s">
        <v>116</v>
      </c>
      <c r="BM1507" s="993" t="s">
        <v>709</v>
      </c>
      <c r="BN1507" s="1517" t="s">
        <v>709</v>
      </c>
      <c r="BO1507" s="993" t="s">
        <v>709</v>
      </c>
      <c r="BP1507" s="1517">
        <v>604</v>
      </c>
      <c r="BQ1507" s="1517">
        <v>3954</v>
      </c>
      <c r="BR1507" s="1517">
        <v>74</v>
      </c>
      <c r="BS1507" s="993">
        <v>954</v>
      </c>
      <c r="BT1507" s="1517" t="s">
        <v>709</v>
      </c>
      <c r="BU1507" s="993" t="s">
        <v>709</v>
      </c>
      <c r="BV1507" s="1517" t="s">
        <v>709</v>
      </c>
      <c r="BW1507" s="993" t="s">
        <v>709</v>
      </c>
      <c r="BX1507" s="1517" t="s">
        <v>709</v>
      </c>
      <c r="BY1507" s="993" t="s">
        <v>709</v>
      </c>
      <c r="BZ1507" s="916" t="s">
        <v>709</v>
      </c>
      <c r="CA1507" s="1494"/>
      <c r="CB1507" s="829"/>
      <c r="CC1507" s="1481" t="b">
        <v>0</v>
      </c>
      <c r="CD1507" s="879" t="str">
        <f>Table15[[#This Row],[Engineering Number]]&amp;Table15[[#This Row],[WO Number]]&amp;Table15[[#This Row],[Date Assigned to Designer]]&amp;Table15[[#This Row],[Date Completed]]</f>
        <v>MR192612119324586745875</v>
      </c>
    </row>
    <row r="1508" spans="1:16378" ht="15" customHeight="1" x14ac:dyDescent="0.25">
      <c r="A1508">
        <v>2025</v>
      </c>
      <c r="B1508" s="879" t="s">
        <v>6798</v>
      </c>
      <c r="C1508" s="939">
        <v>4401062</v>
      </c>
      <c r="D1508" s="939">
        <v>1015197</v>
      </c>
      <c r="E1508" s="879" t="s">
        <v>9071</v>
      </c>
      <c r="F1508" s="879" t="s">
        <v>6643</v>
      </c>
      <c r="G1508" s="879" t="s">
        <v>26</v>
      </c>
      <c r="H1508" s="878" t="s">
        <v>59</v>
      </c>
      <c r="I1508" s="883">
        <v>45727</v>
      </c>
      <c r="J1508" s="882">
        <v>45898</v>
      </c>
      <c r="K1508" s="883">
        <v>45876</v>
      </c>
      <c r="L1508" s="884">
        <f>IF(ISTEXT(Table15[[#This Row],[Engineering Approved Design Date]]),Table15[[#This Row],[Date Completed]]-Table15[[#This Row],[Date Assigned to Designer]],Table15[[#This Row],[Engineering Approved Design Date]]-Table15[[#This Row],[Date Completed]])</f>
        <v>22</v>
      </c>
      <c r="N1508" s="882" t="s">
        <v>739</v>
      </c>
      <c r="O1508" s="1548">
        <v>45870</v>
      </c>
      <c r="P1508" s="1153" t="s">
        <v>739</v>
      </c>
      <c r="Q1508" s="340">
        <f>SUM(Table15[[#This Row],[Shactee Effort]:[KH Hourly Effort]])</f>
        <v>10747.880000000001</v>
      </c>
      <c r="R1508" s="920" t="s">
        <v>1922</v>
      </c>
      <c r="S1508" s="1228">
        <v>1262.8800000000001</v>
      </c>
      <c r="T1508" s="888">
        <v>0</v>
      </c>
      <c r="U1508" s="889">
        <v>9485</v>
      </c>
      <c r="V1508" s="1630">
        <v>0</v>
      </c>
      <c r="W1508" s="1021">
        <v>1</v>
      </c>
      <c r="X1508" s="888">
        <v>25000</v>
      </c>
      <c r="Y1508" s="891"/>
      <c r="Z1508" s="935">
        <v>0</v>
      </c>
      <c r="AA1508" s="934">
        <v>25000</v>
      </c>
      <c r="AB1508" s="893" t="s">
        <v>29</v>
      </c>
      <c r="AC1508" s="894" t="s">
        <v>1177</v>
      </c>
      <c r="AD1508" s="1161" t="s">
        <v>709</v>
      </c>
      <c r="AE1508" s="894" t="s">
        <v>116</v>
      </c>
      <c r="AF1508" s="894" t="s">
        <v>29</v>
      </c>
      <c r="AG1508" s="897" t="s">
        <v>29</v>
      </c>
      <c r="AH1508" s="897" t="s">
        <v>376</v>
      </c>
      <c r="AI1508" s="898"/>
      <c r="AJ1508" s="899"/>
      <c r="AK1508" s="899"/>
      <c r="AL1508" s="1030">
        <f>SUM(Table15[[#This Row],[Nicor Initiated DBE]:[Staffing]])/(Table15[[#This Row],[Amount Invoiced]])</f>
        <v>0</v>
      </c>
      <c r="AM1508" s="542" t="s">
        <v>709</v>
      </c>
      <c r="AN1508" s="924"/>
      <c r="AO1508" s="925"/>
      <c r="AP1508" s="926"/>
      <c r="AQ1508" s="926"/>
      <c r="AR1508" s="926"/>
      <c r="AS1508" s="926"/>
      <c r="AT1508" s="926"/>
      <c r="AU1508" s="926"/>
      <c r="AV1508" s="926"/>
      <c r="AW1508" s="927"/>
      <c r="AX1508" s="926"/>
      <c r="AY1508" s="1538" t="s">
        <v>29</v>
      </c>
      <c r="AZ1508" s="1530"/>
      <c r="BA1508" s="1581" t="s">
        <v>9072</v>
      </c>
      <c r="BB1508" s="1493" t="s">
        <v>9073</v>
      </c>
      <c r="BC1508" s="950" t="s">
        <v>29</v>
      </c>
      <c r="BD1508" s="951" t="s">
        <v>29</v>
      </c>
      <c r="BE1508" s="952" t="s">
        <v>29</v>
      </c>
      <c r="BF1508" s="952" t="s">
        <v>29</v>
      </c>
      <c r="BG1508" s="953" t="s">
        <v>29</v>
      </c>
      <c r="BH1508" s="1023" t="s">
        <v>9074</v>
      </c>
      <c r="BI1508" s="993" t="s">
        <v>709</v>
      </c>
      <c r="BJ1508" s="993" t="s">
        <v>116</v>
      </c>
      <c r="BK1508" s="993" t="s">
        <v>709</v>
      </c>
      <c r="BL1508" s="993" t="s">
        <v>116</v>
      </c>
      <c r="BM1508" s="993" t="s">
        <v>709</v>
      </c>
      <c r="BN1508" s="993" t="s">
        <v>709</v>
      </c>
      <c r="BO1508" s="993" t="s">
        <v>709</v>
      </c>
      <c r="BP1508" s="993" t="s">
        <v>709</v>
      </c>
      <c r="BQ1508" s="993" t="s">
        <v>709</v>
      </c>
      <c r="BR1508" s="993" t="s">
        <v>709</v>
      </c>
      <c r="BS1508" s="993" t="s">
        <v>709</v>
      </c>
      <c r="BT1508" s="993" t="s">
        <v>709</v>
      </c>
      <c r="BU1508" s="993" t="s">
        <v>116</v>
      </c>
      <c r="BV1508" s="993" t="s">
        <v>709</v>
      </c>
      <c r="BW1508" s="993" t="s">
        <v>709</v>
      </c>
      <c r="BX1508" s="993" t="s">
        <v>709</v>
      </c>
      <c r="BY1508" s="993" t="s">
        <v>709</v>
      </c>
      <c r="BZ1508" s="1291" t="s">
        <v>709</v>
      </c>
      <c r="CA1508" s="1494" t="s">
        <v>9025</v>
      </c>
      <c r="CB1508" s="993"/>
      <c r="CC1508" s="1481" t="b">
        <v>0</v>
      </c>
      <c r="CD1508" s="879" t="str">
        <f>Table15[[#This Row],[Engineering Number]]&amp;Table15[[#This Row],[WO Number]]&amp;Table15[[#This Row],[Date Assigned to Designer]]&amp;Table15[[#This Row],[Date Completed]]</f>
        <v>440106210151974572745876</v>
      </c>
    </row>
    <row r="1509" spans="1:16378" ht="15" customHeight="1" x14ac:dyDescent="0.25">
      <c r="A1509">
        <v>2025</v>
      </c>
      <c r="B1509" s="1499" t="s">
        <v>1205</v>
      </c>
      <c r="C1509" s="1499" t="s">
        <v>8105</v>
      </c>
      <c r="D1509" s="1498">
        <v>1215296</v>
      </c>
      <c r="E1509" s="1499" t="s">
        <v>4487</v>
      </c>
      <c r="F1509" s="1499" t="s">
        <v>7735</v>
      </c>
      <c r="G1509" s="1499" t="s">
        <v>7152</v>
      </c>
      <c r="H1509" s="959" t="s">
        <v>59</v>
      </c>
      <c r="I1509" s="1500">
        <v>45765</v>
      </c>
      <c r="J1509" s="945">
        <v>45877</v>
      </c>
      <c r="K1509" s="1500">
        <v>45876</v>
      </c>
      <c r="L1509" s="1587">
        <f>IF(ISTEXT(Table15[[#This Row],[Engineering Approved Design Date]]),Table15[[#This Row],[Date Completed]]-Table15[[#This Row],[Date Assigned to Designer]],Table15[[#This Row],[Engineering Approved Design Date]]-Table15[[#This Row],[Date Completed]])</f>
        <v>1</v>
      </c>
      <c r="M1509" s="1499"/>
      <c r="N1509" s="1598" t="s">
        <v>739</v>
      </c>
      <c r="O1509" s="1588">
        <v>45870</v>
      </c>
      <c r="P1509" s="1501" t="s">
        <v>739</v>
      </c>
      <c r="Q1509" s="933">
        <f>Table15[[#This Row],[Rate]]*Table15[[#This Row],[Construction Cost to Bill From]]</f>
        <v>43088.595299999994</v>
      </c>
      <c r="R1509" s="920">
        <v>0.09</v>
      </c>
      <c r="S1509" s="1628" t="s">
        <v>29</v>
      </c>
      <c r="T1509" s="1629" t="s">
        <v>29</v>
      </c>
      <c r="U1509" s="892" t="s">
        <v>29</v>
      </c>
      <c r="V1509" s="1511">
        <v>507</v>
      </c>
      <c r="W1509" s="1511">
        <v>0</v>
      </c>
      <c r="X1509" s="892">
        <v>403844.97</v>
      </c>
      <c r="Y1509" s="1407"/>
      <c r="Z1509" s="892">
        <v>74917.2</v>
      </c>
      <c r="AA1509" s="892">
        <f>SUM(Table15[[#This Row],[PCTS Investment Amount]:[PCTS Retirement Amount]])</f>
        <v>478762.17</v>
      </c>
      <c r="AB1509" s="1506">
        <v>45882</v>
      </c>
      <c r="AC1509" s="895" t="s">
        <v>116</v>
      </c>
      <c r="AD1509" s="1160" t="s">
        <v>29</v>
      </c>
      <c r="AE1509" s="895" t="s">
        <v>116</v>
      </c>
      <c r="AF1509" s="895" t="s">
        <v>116</v>
      </c>
      <c r="AG1509" s="940" t="s">
        <v>116</v>
      </c>
      <c r="AH1509" s="940" t="s">
        <v>376</v>
      </c>
      <c r="AI1509" s="1512">
        <v>14250</v>
      </c>
      <c r="AJ1509" s="1491"/>
      <c r="AK1509" s="900">
        <v>6603.02</v>
      </c>
      <c r="AL1509" s="1030">
        <f>SUM(Table15[[#This Row],[Nicor Initiated DBE]:[Staffing]])/(Table15[[#This Row],[Amount Invoiced]])</f>
        <v>0.48395683021952685</v>
      </c>
      <c r="AM1509" s="542" t="s">
        <v>116</v>
      </c>
      <c r="AN1509" s="903"/>
      <c r="AO1509" s="1536"/>
      <c r="AP1509" s="1537"/>
      <c r="AQ1509" s="1537"/>
      <c r="AR1509" s="1537"/>
      <c r="AS1509" s="888">
        <f>IF(Table15[[#This Row],[PCTS Approved]]="N",0,Table15[[#This Row],[Investment Amount (1'#'#'#'#'#)]]+Table15[[#This Row],[Retirement Amount (3'#'#'#'#'#)]])</f>
        <v>0</v>
      </c>
      <c r="AT1509" s="888">
        <f>IF(Table15[[#This Row],[Approved Construction Cost]]=0,0,Table15[[#This Row],[Approved Construction Cost]]-Table15[[#This Row],[Construction Cost to Bill From]])</f>
        <v>0</v>
      </c>
      <c r="AU1509" s="888">
        <f>IFERROR(Table15[[#This Row],[Difference in Construction Cost]]*Table15[[#This Row],[Rate]],Table15[[#This Row],[Difference in Construction Cost]]*0.085)</f>
        <v>0</v>
      </c>
      <c r="AV1509" s="905"/>
      <c r="AW1509" s="1509"/>
      <c r="AX1509" s="888"/>
      <c r="AY1509" s="636" t="s">
        <v>709</v>
      </c>
      <c r="AZ1509" s="1535"/>
      <c r="BA1509" s="1595" t="s">
        <v>9075</v>
      </c>
      <c r="BB1509" s="1502" t="s">
        <v>9076</v>
      </c>
      <c r="BC1509" s="1596" t="s">
        <v>709</v>
      </c>
      <c r="BD1509" s="1513" t="s">
        <v>709</v>
      </c>
      <c r="BE1509" s="1514" t="s">
        <v>709</v>
      </c>
      <c r="BF1509" s="1514" t="s">
        <v>9077</v>
      </c>
      <c r="BG1509" s="1597" t="s">
        <v>709</v>
      </c>
      <c r="BH1509" s="1503" t="s">
        <v>9078</v>
      </c>
      <c r="BI1509" s="1504" t="s">
        <v>709</v>
      </c>
      <c r="BJ1509" s="1504" t="s">
        <v>116</v>
      </c>
      <c r="BK1509" s="1504" t="s">
        <v>709</v>
      </c>
      <c r="BL1509" s="1504" t="s">
        <v>709</v>
      </c>
      <c r="BM1509" s="1504" t="s">
        <v>709</v>
      </c>
      <c r="BN1509" s="1504" t="s">
        <v>709</v>
      </c>
      <c r="BO1509" s="1504" t="s">
        <v>709</v>
      </c>
      <c r="BP1509" s="1504">
        <v>507</v>
      </c>
      <c r="BQ1509" s="1504" t="s">
        <v>709</v>
      </c>
      <c r="BR1509" s="1504" t="s">
        <v>709</v>
      </c>
      <c r="BS1509" s="1504" t="s">
        <v>709</v>
      </c>
      <c r="BT1509" s="1504" t="s">
        <v>709</v>
      </c>
      <c r="BU1509" s="1504" t="s">
        <v>709</v>
      </c>
      <c r="BV1509" s="1504" t="s">
        <v>709</v>
      </c>
      <c r="BW1509" s="1504" t="s">
        <v>709</v>
      </c>
      <c r="BX1509" s="1504" t="s">
        <v>709</v>
      </c>
      <c r="BY1509" s="1504" t="s">
        <v>709</v>
      </c>
      <c r="BZ1509" s="1515" t="s">
        <v>709</v>
      </c>
      <c r="CA1509" s="1516"/>
      <c r="CB1509" s="1504"/>
      <c r="CC1509" s="1481" t="b">
        <v>0</v>
      </c>
      <c r="CD1509" s="879" t="str">
        <f>Table15[[#This Row],[Engineering Number]]&amp;Table15[[#This Row],[WO Number]]&amp;Table15[[#This Row],[Date Assigned to Designer]]&amp;Table15[[#This Row],[Date Completed]]</f>
        <v>MR225912152964576545876</v>
      </c>
    </row>
    <row r="1510" spans="1:16378" s="30" customFormat="1" ht="15" customHeight="1" x14ac:dyDescent="0.25">
      <c r="A1510">
        <v>2025</v>
      </c>
      <c r="B1510" s="878" t="s">
        <v>1162</v>
      </c>
      <c r="C1510" s="879" t="s">
        <v>9079</v>
      </c>
      <c r="D1510" s="979" t="s">
        <v>9080</v>
      </c>
      <c r="E1510" s="879" t="s">
        <v>97</v>
      </c>
      <c r="F1510" s="878" t="s">
        <v>784</v>
      </c>
      <c r="G1510" s="878" t="s">
        <v>7152</v>
      </c>
      <c r="H1510" s="878" t="s">
        <v>59</v>
      </c>
      <c r="I1510" s="881">
        <v>45825</v>
      </c>
      <c r="J1510" s="882">
        <v>45881</v>
      </c>
      <c r="K1510" s="883">
        <v>45880</v>
      </c>
      <c r="L1510" s="884">
        <f>IF(ISTEXT(Table15[[#This Row],[Engineering Approved Design Date]]),Table15[[#This Row],[Date Completed]]-Table15[[#This Row],[Date Assigned to Designer]],Table15[[#This Row],[Engineering Approved Design Date]]-Table15[[#This Row],[Date Completed]])</f>
        <v>1</v>
      </c>
      <c r="M1510" s="879"/>
      <c r="N1510" s="885" t="s">
        <v>739</v>
      </c>
      <c r="O1510" s="886" t="s">
        <v>376</v>
      </c>
      <c r="P1510" s="1153" t="s">
        <v>739</v>
      </c>
      <c r="Q1510" s="1150">
        <f>Table15[[#This Row],[Rate]]*Table15[[#This Row],[Construction Cost to Bill From]]</f>
        <v>40275.367299999998</v>
      </c>
      <c r="R1510" s="887">
        <v>7.0000000000000007E-2</v>
      </c>
      <c r="S1510" s="888" t="s">
        <v>29</v>
      </c>
      <c r="T1510" s="888" t="s">
        <v>29</v>
      </c>
      <c r="U1510" s="889" t="s">
        <v>29</v>
      </c>
      <c r="V1510" s="1630">
        <v>2869</v>
      </c>
      <c r="W1510" s="1021">
        <v>0</v>
      </c>
      <c r="X1510" s="888">
        <v>536646.68999999994</v>
      </c>
      <c r="Y1510" s="891"/>
      <c r="Z1510" s="888">
        <v>38715.699999999997</v>
      </c>
      <c r="AA1510" s="1216">
        <f>SUM(Table15[[#This Row],[PCTS Investment Amount]:[PCTS Retirement Amount]])</f>
        <v>575362.3899999999</v>
      </c>
      <c r="AB1510" s="893" t="s">
        <v>9081</v>
      </c>
      <c r="AC1510" s="894" t="s">
        <v>709</v>
      </c>
      <c r="AD1510" s="1161" t="s">
        <v>29</v>
      </c>
      <c r="AE1510" s="940" t="s">
        <v>116</v>
      </c>
      <c r="AF1510" s="895" t="s">
        <v>116</v>
      </c>
      <c r="AG1510" s="896" t="s">
        <v>116</v>
      </c>
      <c r="AH1510" s="897" t="s">
        <v>376</v>
      </c>
      <c r="AI1510" s="898"/>
      <c r="AJ1510" s="899">
        <v>6500</v>
      </c>
      <c r="AK1510" s="899">
        <v>6049.36</v>
      </c>
      <c r="AL1510" s="923">
        <f>SUM(Table15[[#This Row],[Nicor Initiated DBE]:[Staffing]])/(Table15[[#This Row],[Amount Invoiced]])</f>
        <v>0.31158896470200537</v>
      </c>
      <c r="AM1510" s="542" t="s">
        <v>116</v>
      </c>
      <c r="AN1510" s="903"/>
      <c r="AO1510" s="1536"/>
      <c r="AP1510" s="1537"/>
      <c r="AQ1510" s="1537"/>
      <c r="AR1510" s="1537"/>
      <c r="AS1510" s="888">
        <f>IF(Table15[[#This Row],[PCTS Approved]]="N",0,Table15[[#This Row],[Investment Amount (1'#'#'#'#'#)]]+Table15[[#This Row],[Retirement Amount (3'#'#'#'#'#)]])</f>
        <v>0</v>
      </c>
      <c r="AT1510" s="888">
        <f>IF(Table15[[#This Row],[Approved Construction Cost]]=0,0,Table15[[#This Row],[Approved Construction Cost]]-Table15[[#This Row],[Construction Cost to Bill From]])</f>
        <v>0</v>
      </c>
      <c r="AU1510" s="888">
        <f>IFERROR(Table15[[#This Row],[Difference in Construction Cost]]*Table15[[#This Row],[Rate]],Table15[[#This Row],[Difference in Construction Cost]]*0.085)</f>
        <v>0</v>
      </c>
      <c r="AV1510" s="905"/>
      <c r="AW1510" s="1509"/>
      <c r="AX1510" s="888"/>
      <c r="AY1510" s="636" t="s">
        <v>709</v>
      </c>
      <c r="AZ1510" s="1532"/>
      <c r="BA1510" s="910" t="s">
        <v>9082</v>
      </c>
      <c r="BB1510" s="911" t="s">
        <v>9083</v>
      </c>
      <c r="BC1510" s="912" t="s">
        <v>116</v>
      </c>
      <c r="BD1510" s="913" t="s">
        <v>709</v>
      </c>
      <c r="BE1510" s="914" t="s">
        <v>7112</v>
      </c>
      <c r="BF1510" s="914" t="s">
        <v>709</v>
      </c>
      <c r="BG1510" s="915" t="s">
        <v>29</v>
      </c>
      <c r="BH1510" s="1023" t="s">
        <v>9084</v>
      </c>
      <c r="BI1510" s="929" t="s">
        <v>709</v>
      </c>
      <c r="BJ1510" s="929" t="s">
        <v>709</v>
      </c>
      <c r="BK1510" s="916" t="s">
        <v>709</v>
      </c>
      <c r="BL1510" s="916" t="s">
        <v>116</v>
      </c>
      <c r="BM1510" s="916" t="s">
        <v>709</v>
      </c>
      <c r="BN1510" s="916" t="s">
        <v>709</v>
      </c>
      <c r="BO1510" s="916" t="s">
        <v>709</v>
      </c>
      <c r="BP1510" s="916" t="s">
        <v>709</v>
      </c>
      <c r="BQ1510" s="916" t="s">
        <v>709</v>
      </c>
      <c r="BR1510" s="916" t="s">
        <v>709</v>
      </c>
      <c r="BS1510" s="916">
        <v>2869</v>
      </c>
      <c r="BT1510" s="916" t="s">
        <v>709</v>
      </c>
      <c r="BU1510" s="916" t="s">
        <v>709</v>
      </c>
      <c r="BV1510" s="916" t="s">
        <v>709</v>
      </c>
      <c r="BW1510" s="916" t="s">
        <v>709</v>
      </c>
      <c r="BX1510" s="916" t="s">
        <v>709</v>
      </c>
      <c r="BY1510" s="916" t="s">
        <v>709</v>
      </c>
      <c r="BZ1510" s="916" t="s">
        <v>709</v>
      </c>
      <c r="CA1510" s="917"/>
      <c r="CB1510" s="547"/>
      <c r="CC1510" s="1481" t="b">
        <v>0</v>
      </c>
      <c r="CD1510" s="879" t="str">
        <f>Table15[[#This Row],[Engineering Number]]&amp;Table15[[#This Row],[WO Number]]&amp;Table15[[#This Row],[Date Assigned to Designer]]&amp;Table15[[#This Row],[Date Completed]]</f>
        <v>PRIM71912155544582545880</v>
      </c>
      <c r="CE1510"/>
      <c r="CF1510"/>
      <c r="CG1510"/>
      <c r="CH1510"/>
      <c r="CI1510"/>
      <c r="CJ1510"/>
      <c r="CK1510"/>
      <c r="CL1510"/>
      <c r="CM1510"/>
      <c r="CN1510"/>
      <c r="CO1510"/>
      <c r="CP1510"/>
      <c r="CQ1510"/>
      <c r="CR1510"/>
      <c r="CS1510"/>
      <c r="CT1510"/>
      <c r="CU1510"/>
      <c r="CV1510"/>
      <c r="CW1510"/>
      <c r="CX1510"/>
      <c r="CY1510"/>
      <c r="CZ1510"/>
      <c r="DA1510"/>
      <c r="DB1510"/>
      <c r="DC1510"/>
      <c r="DD1510"/>
      <c r="DE1510"/>
      <c r="DF1510"/>
      <c r="DG1510"/>
      <c r="DH1510"/>
      <c r="DI1510"/>
      <c r="DJ1510"/>
      <c r="DK1510"/>
      <c r="DL1510"/>
      <c r="DM1510"/>
      <c r="DN1510"/>
      <c r="DO1510"/>
      <c r="DP1510"/>
      <c r="DQ1510"/>
      <c r="DR1510"/>
      <c r="DS1510"/>
      <c r="DT1510"/>
      <c r="DU1510"/>
      <c r="DV1510"/>
      <c r="DW1510"/>
      <c r="DX1510"/>
      <c r="DY1510"/>
      <c r="DZ1510"/>
      <c r="EA1510"/>
      <c r="EB1510"/>
      <c r="EC1510"/>
      <c r="ED1510"/>
      <c r="EE1510"/>
      <c r="EF1510"/>
      <c r="EG1510"/>
      <c r="EH1510"/>
      <c r="EI1510"/>
      <c r="EJ1510"/>
      <c r="EK1510"/>
      <c r="EL1510"/>
      <c r="EM1510"/>
      <c r="EN1510"/>
      <c r="EO1510"/>
      <c r="EP1510"/>
      <c r="EQ1510"/>
      <c r="ER1510"/>
      <c r="ES1510"/>
      <c r="ET1510"/>
      <c r="EU1510"/>
      <c r="EV1510"/>
      <c r="EW1510"/>
      <c r="EX1510"/>
      <c r="EY1510"/>
      <c r="EZ1510"/>
      <c r="FA1510"/>
      <c r="FB1510"/>
      <c r="FC1510"/>
      <c r="FD1510"/>
      <c r="FE1510"/>
      <c r="FF1510"/>
      <c r="FG1510"/>
      <c r="FH1510"/>
      <c r="FI1510"/>
      <c r="FJ1510"/>
      <c r="FK1510"/>
      <c r="FL1510"/>
      <c r="FM1510"/>
      <c r="FN1510"/>
      <c r="FO1510"/>
      <c r="FP1510"/>
      <c r="FQ1510"/>
      <c r="FR1510"/>
      <c r="FS1510"/>
      <c r="FT1510"/>
      <c r="FU1510"/>
      <c r="FV1510"/>
      <c r="FW1510"/>
      <c r="FX1510"/>
      <c r="FY1510"/>
      <c r="FZ1510"/>
      <c r="GA1510"/>
      <c r="GB1510"/>
      <c r="GC1510"/>
      <c r="GD1510"/>
      <c r="GE1510"/>
      <c r="GF1510"/>
      <c r="GG1510"/>
      <c r="GH1510"/>
      <c r="GI1510"/>
      <c r="GJ1510"/>
      <c r="GK1510"/>
      <c r="GL1510"/>
      <c r="GM1510"/>
      <c r="GN1510"/>
      <c r="GO1510"/>
      <c r="GP1510"/>
      <c r="GQ1510"/>
      <c r="GR1510"/>
      <c r="GS1510"/>
      <c r="GT1510"/>
      <c r="GU1510"/>
      <c r="GV1510"/>
      <c r="GW1510"/>
      <c r="GX1510"/>
      <c r="GY1510"/>
      <c r="GZ1510"/>
      <c r="HA1510"/>
      <c r="HB1510"/>
      <c r="HC1510"/>
      <c r="HD1510"/>
      <c r="HE1510"/>
      <c r="HF1510"/>
      <c r="HG1510"/>
      <c r="HH1510"/>
      <c r="HI1510"/>
      <c r="HJ1510"/>
      <c r="HK1510"/>
      <c r="HL1510"/>
      <c r="HM1510"/>
      <c r="HN1510"/>
      <c r="HO1510"/>
      <c r="HP1510"/>
      <c r="HQ1510"/>
      <c r="HR1510"/>
      <c r="HS1510"/>
      <c r="HT1510"/>
      <c r="HU1510"/>
      <c r="HV1510"/>
      <c r="HW1510"/>
      <c r="HX1510"/>
      <c r="HY1510"/>
      <c r="HZ1510"/>
      <c r="IA1510"/>
      <c r="IB1510"/>
      <c r="IC1510"/>
      <c r="ID1510"/>
      <c r="IE1510"/>
      <c r="IF1510"/>
      <c r="IG1510"/>
      <c r="IH1510"/>
      <c r="II1510"/>
      <c r="IJ1510"/>
      <c r="IK1510"/>
      <c r="IL1510"/>
      <c r="IM1510"/>
      <c r="IN1510"/>
      <c r="IO1510"/>
      <c r="IP1510"/>
      <c r="IQ1510"/>
      <c r="IR1510"/>
      <c r="IS1510"/>
      <c r="IT1510"/>
      <c r="IU1510"/>
      <c r="IV1510"/>
      <c r="IW1510"/>
      <c r="IX1510"/>
      <c r="IY1510"/>
      <c r="IZ1510"/>
      <c r="JA1510"/>
      <c r="JB1510"/>
      <c r="JC1510"/>
      <c r="JD1510"/>
      <c r="JE1510"/>
      <c r="JF1510"/>
      <c r="JG1510"/>
      <c r="JH1510"/>
      <c r="JI1510"/>
      <c r="JJ1510"/>
      <c r="JK1510"/>
      <c r="JL1510"/>
      <c r="JM1510"/>
      <c r="JN1510"/>
      <c r="JO1510"/>
      <c r="JP1510"/>
      <c r="JQ1510"/>
      <c r="JR1510"/>
      <c r="JS1510"/>
      <c r="JT1510"/>
      <c r="JU1510"/>
      <c r="JV1510"/>
      <c r="JW1510"/>
      <c r="JX1510"/>
      <c r="JY1510"/>
      <c r="JZ1510"/>
      <c r="KA1510"/>
      <c r="KB1510"/>
      <c r="KC1510"/>
      <c r="KD1510"/>
      <c r="KE1510"/>
      <c r="KF1510"/>
      <c r="KG1510"/>
      <c r="KH1510"/>
      <c r="KI1510"/>
      <c r="KJ1510"/>
      <c r="KK1510"/>
      <c r="KL1510"/>
      <c r="KM1510"/>
      <c r="KN1510"/>
      <c r="KO1510"/>
      <c r="KP1510"/>
      <c r="KQ1510"/>
      <c r="KR1510"/>
      <c r="KS1510"/>
      <c r="KT1510"/>
      <c r="KU1510"/>
      <c r="KV1510"/>
      <c r="KW1510"/>
      <c r="KX1510"/>
      <c r="KY1510"/>
      <c r="KZ1510"/>
      <c r="LA1510"/>
      <c r="LB1510"/>
      <c r="LC1510"/>
      <c r="LD1510"/>
      <c r="LE1510"/>
      <c r="LF1510"/>
      <c r="LG1510"/>
      <c r="LH1510"/>
      <c r="LI1510"/>
      <c r="LJ1510"/>
      <c r="LK1510"/>
      <c r="LL1510"/>
      <c r="LM1510"/>
      <c r="LN1510"/>
      <c r="LO1510"/>
      <c r="LP1510"/>
      <c r="LQ1510"/>
      <c r="LR1510"/>
      <c r="LS1510"/>
      <c r="LT1510"/>
      <c r="LU1510"/>
      <c r="LV1510"/>
      <c r="LW1510"/>
      <c r="LX1510"/>
      <c r="LY1510"/>
      <c r="LZ1510"/>
      <c r="MA1510"/>
      <c r="MB1510"/>
      <c r="MC1510"/>
      <c r="MD1510"/>
      <c r="ME1510"/>
      <c r="MF1510"/>
      <c r="MG1510"/>
      <c r="MH1510"/>
      <c r="MI1510"/>
      <c r="MJ1510"/>
      <c r="MK1510"/>
      <c r="ML1510"/>
      <c r="MM1510"/>
      <c r="MN1510"/>
      <c r="MO1510"/>
      <c r="MP1510"/>
      <c r="MQ1510"/>
      <c r="MR1510"/>
      <c r="MS1510"/>
      <c r="MT1510"/>
      <c r="MU1510"/>
      <c r="MV1510"/>
      <c r="MW1510"/>
      <c r="MX1510"/>
      <c r="MY1510"/>
      <c r="MZ1510"/>
      <c r="NA1510"/>
      <c r="NB1510"/>
      <c r="NC1510"/>
      <c r="ND1510"/>
      <c r="NE1510"/>
      <c r="NF1510"/>
      <c r="NG1510"/>
      <c r="NH1510"/>
      <c r="NI1510"/>
      <c r="NJ1510"/>
      <c r="NK1510"/>
      <c r="NL1510"/>
      <c r="NM1510"/>
      <c r="NN1510"/>
      <c r="NO1510"/>
      <c r="NP1510"/>
      <c r="NQ1510"/>
      <c r="NR1510"/>
      <c r="NS1510"/>
      <c r="NT1510"/>
      <c r="NU1510"/>
      <c r="NV1510"/>
      <c r="NW1510"/>
      <c r="NX1510"/>
      <c r="NY1510"/>
      <c r="NZ1510"/>
      <c r="OA1510"/>
      <c r="OB1510"/>
      <c r="OC1510"/>
      <c r="OD1510"/>
      <c r="OE1510"/>
      <c r="OF1510"/>
      <c r="OG1510"/>
      <c r="OH1510"/>
      <c r="OI1510"/>
      <c r="OJ1510"/>
      <c r="OK1510"/>
      <c r="OL1510"/>
      <c r="OM1510"/>
      <c r="ON1510"/>
      <c r="OO1510"/>
      <c r="OP1510"/>
      <c r="OQ1510"/>
      <c r="OR1510"/>
      <c r="OS1510"/>
      <c r="OT1510"/>
      <c r="OU1510"/>
      <c r="OV1510"/>
      <c r="OW1510"/>
      <c r="OX1510"/>
      <c r="OY1510"/>
      <c r="OZ1510"/>
      <c r="PA1510"/>
      <c r="PB1510"/>
      <c r="PC1510"/>
      <c r="PD1510"/>
      <c r="PE1510"/>
      <c r="PF1510"/>
      <c r="PG1510"/>
      <c r="PH1510"/>
      <c r="PI1510"/>
      <c r="PJ1510"/>
      <c r="PK1510"/>
      <c r="PL1510"/>
      <c r="PM1510"/>
      <c r="PN1510"/>
      <c r="PO1510"/>
      <c r="PP1510"/>
      <c r="PQ1510"/>
      <c r="PR1510"/>
      <c r="PS1510"/>
      <c r="PT1510"/>
      <c r="PU1510"/>
      <c r="PV1510"/>
      <c r="PW1510"/>
      <c r="PX1510"/>
      <c r="PY1510"/>
      <c r="PZ1510"/>
      <c r="QA1510"/>
      <c r="QB1510"/>
      <c r="QC1510"/>
      <c r="QD1510"/>
      <c r="QE1510"/>
      <c r="QF1510"/>
      <c r="QG1510"/>
      <c r="QH1510"/>
      <c r="QI1510"/>
      <c r="QJ1510"/>
      <c r="QK1510"/>
      <c r="QL1510"/>
      <c r="QM1510"/>
      <c r="QN1510"/>
      <c r="QO1510"/>
      <c r="QP1510"/>
      <c r="QQ1510"/>
      <c r="QR1510"/>
      <c r="QS1510"/>
      <c r="QT1510"/>
      <c r="QU1510"/>
      <c r="QV1510"/>
      <c r="QW1510"/>
      <c r="QX1510"/>
      <c r="QY1510"/>
      <c r="QZ1510"/>
      <c r="RA1510"/>
      <c r="RB1510"/>
      <c r="RC1510"/>
      <c r="RD1510"/>
      <c r="RE1510"/>
      <c r="RF1510"/>
      <c r="RG1510"/>
      <c r="RH1510"/>
      <c r="RI1510"/>
      <c r="RJ1510"/>
      <c r="RK1510"/>
      <c r="RL1510"/>
      <c r="RM1510"/>
      <c r="RN1510"/>
      <c r="RO1510"/>
      <c r="RP1510"/>
      <c r="RQ1510"/>
      <c r="RR1510"/>
      <c r="RS1510"/>
      <c r="RT1510"/>
      <c r="RU1510"/>
      <c r="RV1510"/>
      <c r="RW1510"/>
      <c r="RX1510"/>
      <c r="RY1510"/>
      <c r="RZ1510"/>
      <c r="SA1510"/>
      <c r="SB1510"/>
      <c r="SC1510"/>
      <c r="SD1510"/>
      <c r="SE1510"/>
      <c r="SF1510"/>
      <c r="SG1510"/>
      <c r="SH1510"/>
      <c r="SI1510"/>
      <c r="SJ1510"/>
      <c r="SK1510"/>
      <c r="SL1510"/>
      <c r="SM1510"/>
      <c r="SN1510"/>
      <c r="SO1510"/>
      <c r="SP1510"/>
      <c r="SQ1510"/>
      <c r="SR1510"/>
      <c r="SS1510"/>
      <c r="ST1510"/>
      <c r="SU1510"/>
      <c r="SV1510"/>
      <c r="SW1510"/>
      <c r="SX1510"/>
      <c r="SY1510"/>
      <c r="SZ1510"/>
      <c r="TA1510"/>
      <c r="TB1510"/>
      <c r="TC1510"/>
      <c r="TD1510"/>
      <c r="TE1510"/>
      <c r="TF1510"/>
      <c r="TG1510"/>
      <c r="TH1510"/>
      <c r="TI1510"/>
      <c r="TJ1510"/>
      <c r="TK1510"/>
      <c r="TL1510"/>
      <c r="TM1510"/>
      <c r="TN1510"/>
      <c r="TO1510"/>
      <c r="TP1510"/>
      <c r="TQ1510"/>
      <c r="TR1510"/>
      <c r="TS1510"/>
      <c r="TT1510"/>
      <c r="TU1510"/>
      <c r="TV1510"/>
      <c r="TW1510"/>
      <c r="TX1510"/>
      <c r="TY1510"/>
      <c r="TZ1510"/>
      <c r="UA1510"/>
      <c r="UB1510"/>
      <c r="UC1510"/>
      <c r="UD1510"/>
      <c r="UE1510"/>
      <c r="UF1510"/>
      <c r="UG1510"/>
      <c r="UH1510"/>
      <c r="UI1510"/>
      <c r="UJ1510"/>
      <c r="UK1510"/>
      <c r="UL1510"/>
      <c r="UM1510"/>
      <c r="UN1510"/>
      <c r="UO1510"/>
      <c r="UP1510"/>
      <c r="UQ1510"/>
      <c r="UR1510"/>
      <c r="US1510"/>
      <c r="UT1510"/>
      <c r="UU1510"/>
      <c r="UV1510"/>
      <c r="UW1510"/>
      <c r="UX1510"/>
      <c r="UY1510"/>
      <c r="UZ1510"/>
      <c r="VA1510"/>
      <c r="VB1510"/>
      <c r="VC1510"/>
      <c r="VD1510"/>
      <c r="VE1510"/>
      <c r="VF1510"/>
      <c r="VG1510"/>
      <c r="VH1510"/>
      <c r="VI1510"/>
      <c r="VJ1510"/>
      <c r="VK1510"/>
      <c r="VL1510"/>
      <c r="VM1510"/>
      <c r="VN1510"/>
      <c r="VO1510"/>
      <c r="VP1510"/>
      <c r="VQ1510"/>
      <c r="VR1510"/>
      <c r="VS1510"/>
      <c r="VT1510"/>
      <c r="VU1510"/>
      <c r="VV1510"/>
      <c r="VW1510"/>
      <c r="VX1510"/>
      <c r="VY1510"/>
      <c r="VZ1510"/>
      <c r="WA1510"/>
      <c r="WB1510"/>
      <c r="WC1510"/>
      <c r="WD1510"/>
      <c r="WE1510"/>
      <c r="WF1510"/>
      <c r="WG1510"/>
      <c r="WH1510"/>
      <c r="WI1510"/>
      <c r="WJ1510"/>
      <c r="WK1510"/>
      <c r="WL1510"/>
      <c r="WM1510"/>
      <c r="WN1510"/>
      <c r="WO1510"/>
      <c r="WP1510"/>
      <c r="WQ1510"/>
      <c r="WR1510"/>
      <c r="WS1510"/>
      <c r="WT1510"/>
      <c r="WU1510"/>
      <c r="WV1510"/>
      <c r="WW1510"/>
      <c r="WX1510"/>
      <c r="WY1510"/>
      <c r="WZ1510"/>
      <c r="XA1510"/>
      <c r="XB1510"/>
      <c r="XC1510"/>
      <c r="XD1510"/>
      <c r="XE1510"/>
      <c r="XF1510"/>
      <c r="XG1510"/>
      <c r="XH1510"/>
      <c r="XI1510"/>
      <c r="XJ1510"/>
      <c r="XK1510"/>
      <c r="XL1510"/>
      <c r="XM1510"/>
      <c r="XN1510"/>
      <c r="XO1510"/>
      <c r="XP1510"/>
      <c r="XQ1510"/>
      <c r="XR1510"/>
      <c r="XS1510"/>
      <c r="XT1510"/>
      <c r="XU1510"/>
      <c r="XV1510"/>
      <c r="XW1510"/>
      <c r="XX1510"/>
      <c r="XY1510"/>
      <c r="XZ1510"/>
      <c r="YA1510"/>
      <c r="YB1510"/>
      <c r="YC1510"/>
      <c r="YD1510"/>
      <c r="YE1510"/>
      <c r="YF1510"/>
      <c r="YG1510"/>
      <c r="YH1510"/>
      <c r="YI1510"/>
      <c r="YJ1510"/>
      <c r="YK1510"/>
      <c r="YL1510"/>
      <c r="YM1510"/>
      <c r="YN1510"/>
      <c r="YO1510"/>
      <c r="YP1510"/>
      <c r="YQ1510"/>
      <c r="YR1510"/>
      <c r="YS1510"/>
      <c r="YT1510"/>
      <c r="YU1510"/>
      <c r="YV1510"/>
      <c r="YW1510"/>
      <c r="YX1510"/>
      <c r="YY1510"/>
      <c r="YZ1510"/>
      <c r="ZA1510"/>
      <c r="ZB1510"/>
      <c r="ZC1510"/>
      <c r="ZD1510"/>
      <c r="ZE1510"/>
      <c r="ZF1510"/>
      <c r="ZG1510"/>
      <c r="ZH1510"/>
      <c r="ZI1510"/>
      <c r="ZJ1510"/>
      <c r="ZK1510"/>
      <c r="ZL1510"/>
      <c r="ZM1510"/>
      <c r="ZN1510"/>
      <c r="ZO1510"/>
      <c r="ZP1510"/>
      <c r="ZQ1510"/>
      <c r="ZR1510"/>
      <c r="ZS1510"/>
      <c r="ZT1510"/>
      <c r="ZU1510"/>
      <c r="ZV1510"/>
      <c r="ZW1510"/>
      <c r="ZX1510"/>
      <c r="ZY1510"/>
      <c r="ZZ1510"/>
      <c r="AAA1510"/>
      <c r="AAB1510"/>
      <c r="AAC1510"/>
      <c r="AAD1510"/>
      <c r="AAE1510"/>
      <c r="AAF1510"/>
      <c r="AAG1510"/>
      <c r="AAH1510"/>
      <c r="AAI1510"/>
      <c r="AAJ1510"/>
      <c r="AAK1510"/>
      <c r="AAL1510"/>
      <c r="AAM1510"/>
      <c r="AAN1510"/>
      <c r="AAO1510"/>
      <c r="AAP1510"/>
      <c r="AAQ1510"/>
      <c r="AAR1510"/>
      <c r="AAS1510"/>
      <c r="AAT1510"/>
      <c r="AAU1510"/>
      <c r="AAV1510"/>
      <c r="AAW1510"/>
      <c r="AAX1510"/>
      <c r="AAY1510"/>
      <c r="AAZ1510"/>
      <c r="ABA1510"/>
      <c r="ABB1510"/>
      <c r="ABC1510"/>
      <c r="ABD1510"/>
      <c r="ABE1510"/>
      <c r="ABF1510"/>
      <c r="ABG1510"/>
      <c r="ABH1510"/>
      <c r="ABI1510"/>
      <c r="ABJ1510"/>
      <c r="ABK1510"/>
      <c r="ABL1510"/>
      <c r="ABM1510"/>
      <c r="ABN1510"/>
      <c r="ABO1510"/>
      <c r="ABP1510"/>
      <c r="ABQ1510"/>
      <c r="ABR1510"/>
      <c r="ABS1510"/>
      <c r="ABT1510"/>
      <c r="ABU1510"/>
      <c r="ABV1510"/>
      <c r="ABW1510"/>
      <c r="ABX1510"/>
      <c r="ABY1510"/>
      <c r="ABZ1510"/>
      <c r="ACA1510"/>
      <c r="ACB1510"/>
      <c r="ACC1510"/>
      <c r="ACD1510"/>
      <c r="ACE1510"/>
      <c r="ACF1510"/>
      <c r="ACG1510"/>
      <c r="ACH1510"/>
      <c r="ACI1510"/>
      <c r="ACJ1510"/>
      <c r="ACK1510"/>
      <c r="ACL1510"/>
      <c r="ACM1510"/>
      <c r="ACN1510"/>
      <c r="ACO1510"/>
      <c r="ACP1510"/>
      <c r="ACQ1510"/>
      <c r="ACR1510"/>
      <c r="ACS1510"/>
      <c r="ACT1510"/>
      <c r="ACU1510"/>
      <c r="ACV1510"/>
      <c r="ACW1510"/>
      <c r="ACX1510"/>
      <c r="ACY1510"/>
      <c r="ACZ1510"/>
      <c r="ADA1510"/>
      <c r="ADB1510"/>
      <c r="ADC1510"/>
      <c r="ADD1510"/>
      <c r="ADE1510"/>
      <c r="ADF1510"/>
      <c r="ADG1510"/>
      <c r="ADH1510"/>
      <c r="ADI1510"/>
      <c r="ADJ1510"/>
      <c r="ADK1510"/>
      <c r="ADL1510"/>
      <c r="ADM1510"/>
      <c r="ADN1510"/>
      <c r="ADO1510"/>
      <c r="ADP1510"/>
      <c r="ADQ1510"/>
      <c r="ADR1510"/>
      <c r="ADS1510"/>
      <c r="ADT1510"/>
      <c r="ADU1510"/>
      <c r="ADV1510"/>
      <c r="ADW1510"/>
      <c r="ADX1510"/>
      <c r="ADY1510"/>
      <c r="ADZ1510"/>
      <c r="AEA1510"/>
      <c r="AEB1510"/>
      <c r="AEC1510"/>
      <c r="AED1510"/>
      <c r="AEE1510"/>
      <c r="AEF1510"/>
      <c r="AEG1510"/>
      <c r="AEH1510"/>
      <c r="AEI1510"/>
      <c r="AEJ1510"/>
      <c r="AEK1510"/>
      <c r="AEL1510"/>
      <c r="AEM1510"/>
      <c r="AEN1510"/>
      <c r="AEO1510"/>
      <c r="AEP1510"/>
      <c r="AEQ1510"/>
      <c r="AER1510"/>
      <c r="AES1510"/>
      <c r="AET1510"/>
      <c r="AEU1510"/>
      <c r="AEV1510"/>
      <c r="AEW1510"/>
      <c r="AEX1510"/>
      <c r="AEY1510"/>
      <c r="AEZ1510"/>
      <c r="AFA1510"/>
      <c r="AFB1510"/>
      <c r="AFC1510"/>
      <c r="AFD1510"/>
      <c r="AFE1510"/>
      <c r="AFF1510"/>
      <c r="AFG1510"/>
      <c r="AFH1510"/>
      <c r="AFI1510"/>
      <c r="AFJ1510"/>
      <c r="AFK1510"/>
      <c r="AFL1510"/>
      <c r="AFM1510"/>
      <c r="AFN1510"/>
      <c r="AFO1510"/>
      <c r="AFP1510"/>
      <c r="AFQ1510"/>
      <c r="AFR1510"/>
      <c r="AFS1510"/>
      <c r="AFT1510"/>
      <c r="AFU1510"/>
      <c r="AFV1510"/>
      <c r="AFW1510"/>
      <c r="AFX1510"/>
      <c r="AFY1510"/>
      <c r="AFZ1510"/>
      <c r="AGA1510"/>
      <c r="AGB1510"/>
      <c r="AGC1510"/>
      <c r="AGD1510"/>
      <c r="AGE1510"/>
      <c r="AGF1510"/>
      <c r="AGG1510"/>
      <c r="AGH1510"/>
      <c r="AGI1510"/>
      <c r="AGJ1510"/>
      <c r="AGK1510"/>
      <c r="AGL1510"/>
      <c r="AGM1510"/>
      <c r="AGN1510"/>
      <c r="AGO1510"/>
      <c r="AGP1510"/>
      <c r="AGQ1510"/>
      <c r="AGR1510"/>
      <c r="AGS1510"/>
      <c r="AGT1510"/>
      <c r="AGU1510"/>
      <c r="AGV1510"/>
      <c r="AGW1510"/>
      <c r="AGX1510"/>
      <c r="AGY1510"/>
      <c r="AGZ1510"/>
      <c r="AHA1510"/>
      <c r="AHB1510"/>
      <c r="AHC1510"/>
      <c r="AHD1510"/>
      <c r="AHE1510"/>
      <c r="AHF1510"/>
      <c r="AHG1510"/>
      <c r="AHH1510"/>
      <c r="AHI1510"/>
      <c r="AHJ1510"/>
      <c r="AHK1510"/>
      <c r="AHL1510"/>
      <c r="AHM1510"/>
      <c r="AHN1510"/>
      <c r="AHO1510"/>
      <c r="AHP1510"/>
      <c r="AHQ1510"/>
      <c r="AHR1510"/>
      <c r="AHS1510"/>
      <c r="AHT1510"/>
      <c r="AHU1510"/>
      <c r="AHV1510"/>
      <c r="AHW1510"/>
      <c r="AHX1510"/>
      <c r="AHY1510"/>
      <c r="AHZ1510"/>
      <c r="AIA1510"/>
      <c r="AIB1510"/>
      <c r="AIC1510"/>
      <c r="AID1510"/>
      <c r="AIE1510"/>
      <c r="AIF1510"/>
      <c r="AIG1510"/>
      <c r="AIH1510"/>
      <c r="AII1510"/>
      <c r="AIJ1510"/>
      <c r="AIK1510"/>
      <c r="AIL1510"/>
      <c r="AIM1510"/>
      <c r="AIN1510"/>
      <c r="AIO1510"/>
      <c r="AIP1510"/>
      <c r="AIQ1510"/>
      <c r="AIR1510"/>
      <c r="AIS1510"/>
      <c r="AIT1510"/>
      <c r="AIU1510"/>
      <c r="AIV1510"/>
      <c r="AIW1510"/>
      <c r="AIX1510"/>
      <c r="AIY1510"/>
      <c r="AIZ1510"/>
      <c r="AJA1510"/>
      <c r="AJB1510"/>
      <c r="AJC1510"/>
      <c r="AJD1510"/>
      <c r="AJE1510"/>
      <c r="AJF1510"/>
      <c r="AJG1510"/>
      <c r="AJH1510"/>
      <c r="AJI1510"/>
      <c r="AJJ1510"/>
      <c r="AJK1510"/>
      <c r="AJL1510"/>
      <c r="AJM1510"/>
      <c r="AJN1510"/>
      <c r="AJO1510"/>
      <c r="AJP1510"/>
      <c r="AJQ1510"/>
      <c r="AJR1510"/>
      <c r="AJS1510"/>
      <c r="AJT1510"/>
      <c r="AJU1510"/>
      <c r="AJV1510"/>
      <c r="AJW1510"/>
      <c r="AJX1510"/>
      <c r="AJY1510"/>
      <c r="AJZ1510"/>
      <c r="AKA1510"/>
      <c r="AKB1510"/>
      <c r="AKC1510"/>
      <c r="AKD1510"/>
      <c r="AKE1510"/>
      <c r="AKF1510"/>
      <c r="AKG1510"/>
      <c r="AKH1510"/>
      <c r="AKI1510"/>
      <c r="AKJ1510"/>
      <c r="AKK1510"/>
      <c r="AKL1510"/>
      <c r="AKM1510"/>
      <c r="AKN1510"/>
      <c r="AKO1510"/>
      <c r="AKP1510"/>
      <c r="AKQ1510"/>
      <c r="AKR1510"/>
      <c r="AKS1510"/>
      <c r="AKT1510"/>
      <c r="AKU1510"/>
      <c r="AKV1510"/>
      <c r="AKW1510"/>
      <c r="AKX1510"/>
      <c r="AKY1510"/>
      <c r="AKZ1510"/>
      <c r="ALA1510"/>
      <c r="ALB1510"/>
      <c r="ALC1510"/>
      <c r="ALD1510"/>
      <c r="ALE1510"/>
      <c r="ALF1510"/>
      <c r="ALG1510"/>
      <c r="ALH1510"/>
      <c r="ALI1510"/>
      <c r="ALJ1510"/>
      <c r="ALK1510"/>
      <c r="ALL1510"/>
      <c r="ALM1510"/>
      <c r="ALN1510"/>
      <c r="ALO1510"/>
      <c r="ALP1510"/>
      <c r="ALQ1510"/>
      <c r="ALR1510"/>
      <c r="ALS1510"/>
      <c r="ALT1510"/>
      <c r="ALU1510"/>
      <c r="ALV1510"/>
      <c r="ALW1510"/>
      <c r="ALX1510"/>
      <c r="ALY1510"/>
      <c r="ALZ1510"/>
      <c r="AMA1510"/>
      <c r="AMB1510"/>
      <c r="AMC1510"/>
      <c r="AMD1510"/>
      <c r="AME1510"/>
      <c r="AMF1510"/>
      <c r="AMG1510"/>
      <c r="AMH1510"/>
      <c r="AMI1510"/>
      <c r="AMJ1510"/>
      <c r="AMK1510"/>
      <c r="AML1510"/>
      <c r="AMM1510"/>
      <c r="AMN1510"/>
      <c r="AMO1510"/>
      <c r="AMP1510"/>
      <c r="AMQ1510"/>
      <c r="AMR1510"/>
      <c r="AMS1510"/>
      <c r="AMT1510"/>
      <c r="AMU1510"/>
      <c r="AMV1510"/>
      <c r="AMW1510"/>
      <c r="AMX1510"/>
      <c r="AMY1510"/>
      <c r="AMZ1510"/>
      <c r="ANA1510"/>
      <c r="ANB1510"/>
      <c r="ANC1510"/>
      <c r="AND1510"/>
      <c r="ANE1510"/>
      <c r="ANF1510"/>
      <c r="ANG1510"/>
      <c r="ANH1510"/>
      <c r="ANI1510"/>
      <c r="ANJ1510"/>
      <c r="ANK1510"/>
      <c r="ANL1510"/>
      <c r="ANM1510"/>
      <c r="ANN1510"/>
      <c r="ANO1510"/>
      <c r="ANP1510"/>
      <c r="ANQ1510"/>
      <c r="ANR1510"/>
      <c r="ANS1510"/>
      <c r="ANT1510"/>
      <c r="ANU1510"/>
      <c r="ANV1510"/>
      <c r="ANW1510"/>
      <c r="ANX1510"/>
      <c r="ANY1510"/>
      <c r="ANZ1510"/>
      <c r="AOA1510"/>
      <c r="AOB1510"/>
      <c r="AOC1510"/>
      <c r="AOD1510"/>
      <c r="AOE1510"/>
      <c r="AOF1510"/>
      <c r="AOG1510"/>
      <c r="AOH1510"/>
      <c r="AOI1510"/>
      <c r="AOJ1510"/>
      <c r="AOK1510"/>
      <c r="AOL1510"/>
      <c r="AOM1510"/>
      <c r="AON1510"/>
      <c r="AOO1510"/>
      <c r="AOP1510"/>
      <c r="AOQ1510"/>
      <c r="AOR1510"/>
      <c r="AOS1510"/>
      <c r="AOT1510"/>
      <c r="AOU1510"/>
      <c r="AOV1510"/>
      <c r="AOW1510"/>
      <c r="AOX1510"/>
      <c r="AOY1510"/>
      <c r="AOZ1510"/>
      <c r="APA1510"/>
      <c r="APB1510"/>
      <c r="APC1510"/>
      <c r="APD1510"/>
      <c r="APE1510"/>
      <c r="APF1510"/>
      <c r="APG1510"/>
      <c r="APH1510"/>
      <c r="API1510"/>
      <c r="APJ1510"/>
      <c r="APK1510"/>
      <c r="APL1510"/>
      <c r="APM1510"/>
      <c r="APN1510"/>
      <c r="APO1510"/>
      <c r="APP1510"/>
      <c r="APQ1510"/>
      <c r="APR1510"/>
      <c r="APS1510"/>
      <c r="APT1510"/>
      <c r="APU1510"/>
      <c r="APV1510"/>
      <c r="APW1510"/>
      <c r="APX1510"/>
      <c r="APY1510"/>
      <c r="APZ1510"/>
      <c r="AQA1510"/>
      <c r="AQB1510"/>
      <c r="AQC1510"/>
      <c r="AQD1510"/>
      <c r="AQE1510"/>
      <c r="AQF1510"/>
      <c r="AQG1510"/>
      <c r="AQH1510"/>
      <c r="AQI1510"/>
      <c r="AQJ1510"/>
      <c r="AQK1510"/>
      <c r="AQL1510"/>
      <c r="AQM1510"/>
      <c r="AQN1510"/>
      <c r="AQO1510"/>
      <c r="AQP1510"/>
      <c r="AQQ1510"/>
      <c r="AQR1510"/>
      <c r="AQS1510"/>
      <c r="AQT1510"/>
      <c r="AQU1510"/>
      <c r="AQV1510"/>
      <c r="AQW1510"/>
      <c r="AQX1510"/>
      <c r="AQY1510"/>
      <c r="AQZ1510"/>
      <c r="ARA1510"/>
      <c r="ARB1510"/>
      <c r="ARC1510"/>
      <c r="ARD1510"/>
      <c r="ARE1510"/>
      <c r="ARF1510"/>
      <c r="ARG1510"/>
      <c r="ARH1510"/>
      <c r="ARI1510"/>
      <c r="ARJ1510"/>
      <c r="ARK1510"/>
      <c r="ARL1510"/>
      <c r="ARM1510"/>
      <c r="ARN1510"/>
      <c r="ARO1510"/>
      <c r="ARP1510"/>
      <c r="ARQ1510"/>
      <c r="ARR1510"/>
      <c r="ARS1510"/>
      <c r="ART1510"/>
      <c r="ARU1510"/>
      <c r="ARV1510"/>
      <c r="ARW1510"/>
      <c r="ARX1510"/>
      <c r="ARY1510"/>
      <c r="ARZ1510"/>
      <c r="ASA1510"/>
      <c r="ASB1510"/>
      <c r="ASC1510"/>
      <c r="ASD1510"/>
      <c r="ASE1510"/>
      <c r="ASF1510"/>
      <c r="ASG1510"/>
      <c r="ASH1510"/>
      <c r="ASI1510"/>
      <c r="ASJ1510"/>
      <c r="ASK1510"/>
      <c r="ASL1510"/>
      <c r="ASM1510"/>
      <c r="ASN1510"/>
      <c r="ASO1510"/>
      <c r="ASP1510"/>
      <c r="ASQ1510"/>
      <c r="ASR1510"/>
      <c r="ASS1510"/>
      <c r="AST1510"/>
      <c r="ASU1510"/>
      <c r="ASV1510"/>
      <c r="ASW1510"/>
      <c r="ASX1510"/>
      <c r="ASY1510"/>
      <c r="ASZ1510"/>
      <c r="ATA1510"/>
      <c r="ATB1510"/>
      <c r="ATC1510"/>
      <c r="ATD1510"/>
      <c r="ATE1510"/>
      <c r="ATF1510"/>
      <c r="ATG1510"/>
      <c r="ATH1510"/>
      <c r="ATI1510"/>
      <c r="ATJ1510"/>
      <c r="ATK1510"/>
      <c r="ATL1510"/>
      <c r="ATM1510"/>
      <c r="ATN1510"/>
      <c r="ATO1510"/>
      <c r="ATP1510"/>
      <c r="ATQ1510"/>
      <c r="ATR1510"/>
      <c r="ATS1510"/>
      <c r="ATT1510"/>
      <c r="ATU1510"/>
      <c r="ATV1510"/>
      <c r="ATW1510"/>
      <c r="ATX1510"/>
      <c r="ATY1510"/>
      <c r="ATZ1510"/>
      <c r="AUA1510"/>
      <c r="AUB1510"/>
      <c r="AUC1510"/>
      <c r="AUD1510"/>
      <c r="AUE1510"/>
      <c r="AUF1510"/>
      <c r="AUG1510"/>
      <c r="AUH1510"/>
      <c r="AUI1510"/>
      <c r="AUJ1510"/>
      <c r="AUK1510"/>
      <c r="AUL1510"/>
      <c r="AUM1510"/>
      <c r="AUN1510"/>
      <c r="AUO1510"/>
      <c r="AUP1510"/>
      <c r="AUQ1510"/>
      <c r="AUR1510"/>
      <c r="AUS1510"/>
      <c r="AUT1510"/>
      <c r="AUU1510"/>
      <c r="AUV1510"/>
      <c r="AUW1510"/>
      <c r="AUX1510"/>
      <c r="AUY1510"/>
      <c r="AUZ1510"/>
      <c r="AVA1510"/>
      <c r="AVB1510"/>
      <c r="AVC1510"/>
      <c r="AVD1510"/>
      <c r="AVE1510"/>
      <c r="AVF1510"/>
      <c r="AVG1510"/>
      <c r="AVH1510"/>
      <c r="AVI1510"/>
      <c r="AVJ1510"/>
      <c r="AVK1510"/>
      <c r="AVL1510"/>
      <c r="AVM1510"/>
      <c r="AVN1510"/>
      <c r="AVO1510"/>
      <c r="AVP1510"/>
      <c r="AVQ1510"/>
      <c r="AVR1510"/>
      <c r="AVS1510"/>
      <c r="AVT1510"/>
      <c r="AVU1510"/>
      <c r="AVV1510"/>
      <c r="AVW1510"/>
      <c r="AVX1510"/>
      <c r="AVY1510"/>
      <c r="AVZ1510"/>
      <c r="AWA1510"/>
      <c r="AWB1510"/>
      <c r="AWC1510"/>
      <c r="AWD1510"/>
      <c r="AWE1510"/>
      <c r="AWF1510"/>
      <c r="AWG1510"/>
      <c r="AWH1510"/>
      <c r="AWI1510"/>
      <c r="AWJ1510"/>
      <c r="AWK1510"/>
      <c r="AWL1510"/>
      <c r="AWM1510"/>
      <c r="AWN1510"/>
      <c r="AWO1510"/>
      <c r="AWP1510"/>
      <c r="AWQ1510"/>
      <c r="AWR1510"/>
      <c r="AWS1510"/>
      <c r="AWT1510"/>
      <c r="AWU1510"/>
      <c r="AWV1510"/>
      <c r="AWW1510"/>
      <c r="AWX1510"/>
      <c r="AWY1510"/>
      <c r="AWZ1510"/>
      <c r="AXA1510"/>
      <c r="AXB1510"/>
      <c r="AXC1510"/>
      <c r="AXD1510"/>
      <c r="AXE1510"/>
      <c r="AXF1510"/>
      <c r="AXG1510"/>
      <c r="AXH1510"/>
      <c r="AXI1510"/>
      <c r="AXJ1510"/>
      <c r="AXK1510"/>
      <c r="AXL1510"/>
      <c r="AXM1510"/>
      <c r="AXN1510"/>
      <c r="AXO1510"/>
      <c r="AXP1510"/>
      <c r="AXQ1510"/>
      <c r="AXR1510"/>
      <c r="AXS1510"/>
      <c r="AXT1510"/>
      <c r="AXU1510"/>
      <c r="AXV1510"/>
      <c r="AXW1510"/>
      <c r="AXX1510"/>
      <c r="AXY1510"/>
      <c r="AXZ1510"/>
      <c r="AYA1510"/>
      <c r="AYB1510"/>
      <c r="AYC1510"/>
      <c r="AYD1510"/>
      <c r="AYE1510"/>
      <c r="AYF1510"/>
      <c r="AYG1510"/>
      <c r="AYH1510"/>
      <c r="AYI1510"/>
      <c r="AYJ1510"/>
      <c r="AYK1510"/>
      <c r="AYL1510"/>
      <c r="AYM1510"/>
      <c r="AYN1510"/>
      <c r="AYO1510"/>
      <c r="AYP1510"/>
      <c r="AYQ1510"/>
      <c r="AYR1510"/>
      <c r="AYS1510"/>
      <c r="AYT1510"/>
      <c r="AYU1510"/>
      <c r="AYV1510"/>
      <c r="AYW1510"/>
      <c r="AYX1510"/>
      <c r="AYY1510"/>
      <c r="AYZ1510"/>
      <c r="AZA1510"/>
      <c r="AZB1510"/>
      <c r="AZC1510"/>
      <c r="AZD1510"/>
      <c r="AZE1510"/>
      <c r="AZF1510"/>
      <c r="AZG1510"/>
      <c r="AZH1510"/>
      <c r="AZI1510"/>
      <c r="AZJ1510"/>
      <c r="AZK1510"/>
      <c r="AZL1510"/>
      <c r="AZM1510"/>
      <c r="AZN1510"/>
      <c r="AZO1510"/>
      <c r="AZP1510"/>
      <c r="AZQ1510"/>
      <c r="AZR1510"/>
      <c r="AZS1510"/>
      <c r="AZT1510"/>
      <c r="AZU1510"/>
      <c r="AZV1510"/>
      <c r="AZW1510"/>
      <c r="AZX1510"/>
      <c r="AZY1510"/>
      <c r="AZZ1510"/>
      <c r="BAA1510"/>
      <c r="BAB1510"/>
      <c r="BAC1510"/>
      <c r="BAD1510"/>
      <c r="BAE1510"/>
      <c r="BAF1510"/>
      <c r="BAG1510"/>
      <c r="BAH1510"/>
      <c r="BAI1510"/>
      <c r="BAJ1510"/>
      <c r="BAK1510"/>
      <c r="BAL1510"/>
      <c r="BAM1510"/>
      <c r="BAN1510"/>
      <c r="BAO1510"/>
      <c r="BAP1510"/>
      <c r="BAQ1510"/>
      <c r="BAR1510"/>
      <c r="BAS1510"/>
      <c r="BAT1510"/>
      <c r="BAU1510"/>
      <c r="BAV1510"/>
      <c r="BAW1510"/>
      <c r="BAX1510"/>
      <c r="BAY1510"/>
      <c r="BAZ1510"/>
      <c r="BBA1510"/>
      <c r="BBB1510"/>
      <c r="BBC1510"/>
      <c r="BBD1510"/>
      <c r="BBE1510"/>
      <c r="BBF1510"/>
      <c r="BBG1510"/>
      <c r="BBH1510"/>
      <c r="BBI1510"/>
      <c r="BBJ1510"/>
      <c r="BBK1510"/>
      <c r="BBL1510"/>
      <c r="BBM1510"/>
      <c r="BBN1510"/>
      <c r="BBO1510"/>
      <c r="BBP1510"/>
      <c r="BBQ1510"/>
      <c r="BBR1510"/>
      <c r="BBS1510"/>
      <c r="BBT1510"/>
      <c r="BBU1510"/>
      <c r="BBV1510"/>
      <c r="BBW1510"/>
      <c r="BBX1510"/>
      <c r="BBY1510"/>
      <c r="BBZ1510"/>
      <c r="BCA1510"/>
      <c r="BCB1510"/>
      <c r="BCC1510"/>
      <c r="BCD1510"/>
      <c r="BCE1510"/>
      <c r="BCF1510"/>
      <c r="BCG1510"/>
      <c r="BCH1510"/>
      <c r="BCI1510"/>
      <c r="BCJ1510"/>
      <c r="BCK1510"/>
      <c r="BCL1510"/>
      <c r="BCM1510"/>
      <c r="BCN1510"/>
      <c r="BCO1510"/>
      <c r="BCP1510"/>
      <c r="BCQ1510"/>
      <c r="BCR1510"/>
      <c r="BCS1510"/>
      <c r="BCT1510"/>
      <c r="BCU1510"/>
      <c r="BCV1510"/>
      <c r="BCW1510"/>
      <c r="BCX1510"/>
      <c r="BCY1510"/>
      <c r="BCZ1510"/>
      <c r="BDA1510"/>
      <c r="BDB1510"/>
      <c r="BDC1510"/>
      <c r="BDD1510"/>
      <c r="BDE1510"/>
      <c r="BDF1510"/>
      <c r="BDG1510"/>
      <c r="BDH1510"/>
      <c r="BDI1510"/>
      <c r="BDJ1510"/>
      <c r="BDK1510"/>
      <c r="BDL1510"/>
      <c r="BDM1510"/>
      <c r="BDN1510"/>
      <c r="BDO1510"/>
      <c r="BDP1510"/>
      <c r="BDQ1510"/>
      <c r="BDR1510"/>
      <c r="BDS1510"/>
      <c r="BDT1510"/>
      <c r="BDU1510"/>
      <c r="BDV1510"/>
      <c r="BDW1510"/>
      <c r="BDX1510"/>
      <c r="BDY1510"/>
      <c r="BDZ1510"/>
      <c r="BEA1510"/>
      <c r="BEB1510"/>
      <c r="BEC1510"/>
      <c r="BED1510"/>
      <c r="BEE1510"/>
      <c r="BEF1510"/>
      <c r="BEG1510"/>
      <c r="BEH1510"/>
      <c r="BEI1510"/>
      <c r="BEJ1510"/>
      <c r="BEK1510"/>
      <c r="BEL1510"/>
      <c r="BEM1510"/>
      <c r="BEN1510"/>
      <c r="BEO1510"/>
      <c r="BEP1510"/>
      <c r="BEQ1510"/>
      <c r="BER1510"/>
      <c r="BES1510"/>
      <c r="BET1510"/>
      <c r="BEU1510"/>
      <c r="BEV1510"/>
      <c r="BEW1510"/>
      <c r="BEX1510"/>
      <c r="BEY1510"/>
      <c r="BEZ1510"/>
      <c r="BFA1510"/>
      <c r="BFB1510"/>
      <c r="BFC1510"/>
      <c r="BFD1510"/>
      <c r="BFE1510"/>
      <c r="BFF1510"/>
      <c r="BFG1510"/>
      <c r="BFH1510"/>
      <c r="BFI1510"/>
      <c r="BFJ1510"/>
      <c r="BFK1510"/>
      <c r="BFL1510"/>
      <c r="BFM1510"/>
      <c r="BFN1510"/>
      <c r="BFO1510"/>
      <c r="BFP1510"/>
      <c r="BFQ1510"/>
      <c r="BFR1510"/>
      <c r="BFS1510"/>
      <c r="BFT1510"/>
      <c r="BFU1510"/>
      <c r="BFV1510"/>
      <c r="BFW1510"/>
      <c r="BFX1510"/>
      <c r="BFY1510"/>
      <c r="BFZ1510"/>
      <c r="BGA1510"/>
      <c r="BGB1510"/>
      <c r="BGC1510"/>
      <c r="BGD1510"/>
      <c r="BGE1510"/>
      <c r="BGF1510"/>
      <c r="BGG1510"/>
      <c r="BGH1510"/>
      <c r="BGI1510"/>
      <c r="BGJ1510"/>
      <c r="BGK1510"/>
      <c r="BGL1510"/>
      <c r="BGM1510"/>
      <c r="BGN1510"/>
      <c r="BGO1510"/>
      <c r="BGP1510"/>
      <c r="BGQ1510"/>
      <c r="BGR1510"/>
      <c r="BGS1510"/>
      <c r="BGT1510"/>
      <c r="BGU1510"/>
      <c r="BGV1510"/>
      <c r="BGW1510"/>
      <c r="BGX1510"/>
      <c r="BGY1510"/>
      <c r="BGZ1510"/>
      <c r="BHA1510"/>
      <c r="BHB1510"/>
      <c r="BHC1510"/>
      <c r="BHD1510"/>
      <c r="BHE1510"/>
      <c r="BHF1510"/>
      <c r="BHG1510"/>
      <c r="BHH1510"/>
      <c r="BHI1510"/>
      <c r="BHJ1510"/>
      <c r="BHK1510"/>
      <c r="BHL1510"/>
      <c r="BHM1510"/>
      <c r="BHN1510"/>
      <c r="BHO1510"/>
      <c r="BHP1510"/>
      <c r="BHQ1510"/>
      <c r="BHR1510"/>
      <c r="BHS1510"/>
      <c r="BHT1510"/>
      <c r="BHU1510"/>
      <c r="BHV1510"/>
      <c r="BHW1510"/>
      <c r="BHX1510"/>
      <c r="BHY1510"/>
      <c r="BHZ1510"/>
      <c r="BIA1510"/>
      <c r="BIB1510"/>
      <c r="BIC1510"/>
      <c r="BID1510"/>
      <c r="BIE1510"/>
      <c r="BIF1510"/>
      <c r="BIG1510"/>
      <c r="BIH1510"/>
      <c r="BII1510"/>
      <c r="BIJ1510"/>
      <c r="BIK1510"/>
      <c r="BIL1510"/>
      <c r="BIM1510"/>
      <c r="BIN1510"/>
      <c r="BIO1510"/>
      <c r="BIP1510"/>
      <c r="BIQ1510"/>
      <c r="BIR1510"/>
      <c r="BIS1510"/>
      <c r="BIT1510"/>
      <c r="BIU1510"/>
      <c r="BIV1510"/>
      <c r="BIW1510"/>
      <c r="BIX1510"/>
      <c r="BIY1510"/>
      <c r="BIZ1510"/>
      <c r="BJA1510"/>
      <c r="BJB1510"/>
      <c r="BJC1510"/>
      <c r="BJD1510"/>
      <c r="BJE1510"/>
      <c r="BJF1510"/>
      <c r="BJG1510"/>
      <c r="BJH1510"/>
      <c r="BJI1510"/>
      <c r="BJJ1510"/>
      <c r="BJK1510"/>
      <c r="BJL1510"/>
      <c r="BJM1510"/>
      <c r="BJN1510"/>
      <c r="BJO1510"/>
      <c r="BJP1510"/>
      <c r="BJQ1510"/>
      <c r="BJR1510"/>
      <c r="BJS1510"/>
      <c r="BJT1510"/>
      <c r="BJU1510"/>
      <c r="BJV1510"/>
      <c r="BJW1510"/>
      <c r="BJX1510"/>
      <c r="BJY1510"/>
      <c r="BJZ1510"/>
      <c r="BKA1510"/>
      <c r="BKB1510"/>
      <c r="BKC1510"/>
      <c r="BKD1510"/>
      <c r="BKE1510"/>
      <c r="BKF1510"/>
      <c r="BKG1510"/>
      <c r="BKH1510"/>
      <c r="BKI1510"/>
      <c r="BKJ1510"/>
      <c r="BKK1510"/>
      <c r="BKL1510"/>
      <c r="BKM1510"/>
      <c r="BKN1510"/>
      <c r="BKO1510"/>
      <c r="BKP1510"/>
      <c r="BKQ1510"/>
      <c r="BKR1510"/>
      <c r="BKS1510"/>
      <c r="BKT1510"/>
      <c r="BKU1510"/>
      <c r="BKV1510"/>
      <c r="BKW1510"/>
      <c r="BKX1510"/>
      <c r="BKY1510"/>
      <c r="BKZ1510"/>
      <c r="BLA1510"/>
      <c r="BLB1510"/>
      <c r="BLC1510"/>
      <c r="BLD1510"/>
      <c r="BLE1510"/>
      <c r="BLF1510"/>
      <c r="BLG1510"/>
      <c r="BLH1510"/>
      <c r="BLI1510"/>
      <c r="BLJ1510"/>
      <c r="BLK1510"/>
      <c r="BLL1510"/>
      <c r="BLM1510"/>
      <c r="BLN1510"/>
      <c r="BLO1510"/>
      <c r="BLP1510"/>
      <c r="BLQ1510"/>
      <c r="BLR1510"/>
      <c r="BLS1510"/>
      <c r="BLT1510"/>
      <c r="BLU1510"/>
      <c r="BLV1510"/>
      <c r="BLW1510"/>
      <c r="BLX1510"/>
      <c r="BLY1510"/>
      <c r="BLZ1510"/>
      <c r="BMA1510"/>
      <c r="BMB1510"/>
      <c r="BMC1510"/>
      <c r="BMD1510"/>
      <c r="BME1510"/>
      <c r="BMF1510"/>
      <c r="BMG1510"/>
      <c r="BMH1510"/>
      <c r="BMI1510"/>
      <c r="BMJ1510"/>
      <c r="BMK1510"/>
      <c r="BML1510"/>
      <c r="BMM1510"/>
      <c r="BMN1510"/>
      <c r="BMO1510"/>
      <c r="BMP1510"/>
      <c r="BMQ1510"/>
      <c r="BMR1510"/>
      <c r="BMS1510"/>
      <c r="BMT1510"/>
      <c r="BMU1510"/>
      <c r="BMV1510"/>
      <c r="BMW1510"/>
      <c r="BMX1510"/>
      <c r="BMY1510"/>
      <c r="BMZ1510"/>
      <c r="BNA1510"/>
      <c r="BNB1510"/>
      <c r="BNC1510"/>
      <c r="BND1510"/>
      <c r="BNE1510"/>
      <c r="BNF1510"/>
      <c r="BNG1510"/>
      <c r="BNH1510"/>
      <c r="BNI1510"/>
      <c r="BNJ1510"/>
      <c r="BNK1510"/>
      <c r="BNL1510"/>
      <c r="BNM1510"/>
      <c r="BNN1510"/>
      <c r="BNO1510"/>
      <c r="BNP1510"/>
      <c r="BNQ1510"/>
      <c r="BNR1510"/>
      <c r="BNS1510"/>
      <c r="BNT1510"/>
      <c r="BNU1510"/>
      <c r="BNV1510"/>
      <c r="BNW1510"/>
      <c r="BNX1510"/>
      <c r="BNY1510"/>
      <c r="BNZ1510"/>
      <c r="BOA1510"/>
      <c r="BOB1510"/>
      <c r="BOC1510"/>
      <c r="BOD1510"/>
      <c r="BOE1510"/>
      <c r="BOF1510"/>
      <c r="BOG1510"/>
      <c r="BOH1510"/>
      <c r="BOI1510"/>
      <c r="BOJ1510"/>
      <c r="BOK1510"/>
      <c r="BOL1510"/>
      <c r="BOM1510"/>
      <c r="BON1510"/>
      <c r="BOO1510"/>
      <c r="BOP1510"/>
      <c r="BOQ1510"/>
      <c r="BOR1510"/>
      <c r="BOS1510"/>
      <c r="BOT1510"/>
      <c r="BOU1510"/>
      <c r="BOV1510"/>
      <c r="BOW1510"/>
      <c r="BOX1510"/>
      <c r="BOY1510"/>
      <c r="BOZ1510"/>
      <c r="BPA1510"/>
      <c r="BPB1510"/>
      <c r="BPC1510"/>
      <c r="BPD1510"/>
      <c r="BPE1510"/>
      <c r="BPF1510"/>
      <c r="BPG1510"/>
      <c r="BPH1510"/>
      <c r="BPI1510"/>
      <c r="BPJ1510"/>
      <c r="BPK1510"/>
      <c r="BPL1510"/>
      <c r="BPM1510"/>
      <c r="BPN1510"/>
      <c r="BPO1510"/>
      <c r="BPP1510"/>
      <c r="BPQ1510"/>
      <c r="BPR1510"/>
      <c r="BPS1510"/>
      <c r="BPT1510"/>
      <c r="BPU1510"/>
      <c r="BPV1510"/>
      <c r="BPW1510"/>
      <c r="BPX1510"/>
      <c r="BPY1510"/>
      <c r="BPZ1510"/>
      <c r="BQA1510"/>
      <c r="BQB1510"/>
      <c r="BQC1510"/>
      <c r="BQD1510"/>
      <c r="BQE1510"/>
      <c r="BQF1510"/>
      <c r="BQG1510"/>
      <c r="BQH1510"/>
      <c r="BQI1510"/>
      <c r="BQJ1510"/>
      <c r="BQK1510"/>
      <c r="BQL1510"/>
      <c r="BQM1510"/>
      <c r="BQN1510"/>
      <c r="BQO1510"/>
      <c r="BQP1510"/>
      <c r="BQQ1510"/>
      <c r="BQR1510"/>
      <c r="BQS1510"/>
      <c r="BQT1510"/>
      <c r="BQU1510"/>
      <c r="BQV1510"/>
      <c r="BQW1510"/>
      <c r="BQX1510"/>
      <c r="BQY1510"/>
      <c r="BQZ1510"/>
      <c r="BRA1510"/>
      <c r="BRB1510"/>
      <c r="BRC1510"/>
      <c r="BRD1510"/>
      <c r="BRE1510"/>
      <c r="BRF1510"/>
      <c r="BRG1510"/>
      <c r="BRH1510"/>
      <c r="BRI1510"/>
      <c r="BRJ1510"/>
      <c r="BRK1510"/>
      <c r="BRL1510"/>
      <c r="BRM1510"/>
      <c r="BRN1510"/>
      <c r="BRO1510"/>
      <c r="BRP1510"/>
      <c r="BRQ1510"/>
      <c r="BRR1510"/>
      <c r="BRS1510"/>
      <c r="BRT1510"/>
      <c r="BRU1510"/>
      <c r="BRV1510"/>
      <c r="BRW1510"/>
      <c r="BRX1510"/>
      <c r="BRY1510"/>
      <c r="BRZ1510"/>
      <c r="BSA1510"/>
      <c r="BSB1510"/>
      <c r="BSC1510"/>
      <c r="BSD1510"/>
      <c r="BSE1510"/>
      <c r="BSF1510"/>
      <c r="BSG1510"/>
      <c r="BSH1510"/>
      <c r="BSI1510"/>
      <c r="BSJ1510"/>
      <c r="BSK1510"/>
      <c r="BSL1510"/>
      <c r="BSM1510"/>
      <c r="BSN1510"/>
      <c r="BSO1510"/>
      <c r="BSP1510"/>
      <c r="BSQ1510"/>
      <c r="BSR1510"/>
      <c r="BSS1510"/>
      <c r="BST1510"/>
      <c r="BSU1510"/>
      <c r="BSV1510"/>
      <c r="BSW1510"/>
      <c r="BSX1510"/>
      <c r="BSY1510"/>
      <c r="BSZ1510"/>
      <c r="BTA1510"/>
      <c r="BTB1510"/>
      <c r="BTC1510"/>
      <c r="BTD1510"/>
      <c r="BTE1510"/>
      <c r="BTF1510"/>
      <c r="BTG1510"/>
      <c r="BTH1510"/>
      <c r="BTI1510"/>
      <c r="BTJ1510"/>
      <c r="BTK1510"/>
      <c r="BTL1510"/>
      <c r="BTM1510"/>
      <c r="BTN1510"/>
      <c r="BTO1510"/>
      <c r="BTP1510"/>
      <c r="BTQ1510"/>
      <c r="BTR1510"/>
      <c r="BTS1510"/>
      <c r="BTT1510"/>
      <c r="BTU1510"/>
      <c r="BTV1510"/>
      <c r="BTW1510"/>
      <c r="BTX1510"/>
      <c r="BTY1510"/>
      <c r="BTZ1510"/>
      <c r="BUA1510"/>
      <c r="BUB1510"/>
      <c r="BUC1510"/>
      <c r="BUD1510"/>
      <c r="BUE1510"/>
      <c r="BUF1510"/>
      <c r="BUG1510"/>
      <c r="BUH1510"/>
      <c r="BUI1510"/>
      <c r="BUJ1510"/>
      <c r="BUK1510"/>
      <c r="BUL1510"/>
      <c r="BUM1510"/>
      <c r="BUN1510"/>
      <c r="BUO1510"/>
      <c r="BUP1510"/>
      <c r="BUQ1510"/>
      <c r="BUR1510"/>
      <c r="BUS1510"/>
      <c r="BUT1510"/>
      <c r="BUU1510"/>
      <c r="BUV1510"/>
      <c r="BUW1510"/>
      <c r="BUX1510"/>
      <c r="BUY1510"/>
      <c r="BUZ1510"/>
      <c r="BVA1510"/>
      <c r="BVB1510"/>
      <c r="BVC1510"/>
      <c r="BVD1510"/>
      <c r="BVE1510"/>
      <c r="BVF1510"/>
      <c r="BVG1510"/>
      <c r="BVH1510"/>
      <c r="BVI1510"/>
      <c r="BVJ1510"/>
      <c r="BVK1510"/>
      <c r="BVL1510"/>
      <c r="BVM1510"/>
      <c r="BVN1510"/>
      <c r="BVO1510"/>
      <c r="BVP1510"/>
      <c r="BVQ1510"/>
      <c r="BVR1510"/>
      <c r="BVS1510"/>
      <c r="BVT1510"/>
      <c r="BVU1510"/>
      <c r="BVV1510"/>
      <c r="BVW1510"/>
      <c r="BVX1510"/>
      <c r="BVY1510"/>
      <c r="BVZ1510"/>
      <c r="BWA1510"/>
      <c r="BWB1510"/>
      <c r="BWC1510"/>
      <c r="BWD1510"/>
      <c r="BWE1510"/>
      <c r="BWF1510"/>
      <c r="BWG1510"/>
      <c r="BWH1510"/>
      <c r="BWI1510"/>
      <c r="BWJ1510"/>
      <c r="BWK1510"/>
      <c r="BWL1510"/>
      <c r="BWM1510"/>
      <c r="BWN1510"/>
      <c r="BWO1510"/>
      <c r="BWP1510"/>
      <c r="BWQ1510"/>
      <c r="BWR1510"/>
      <c r="BWS1510"/>
      <c r="BWT1510"/>
      <c r="BWU1510"/>
      <c r="BWV1510"/>
      <c r="BWW1510"/>
      <c r="BWX1510"/>
      <c r="BWY1510"/>
      <c r="BWZ1510"/>
      <c r="BXA1510"/>
      <c r="BXB1510"/>
      <c r="BXC1510"/>
      <c r="BXD1510"/>
      <c r="BXE1510"/>
      <c r="BXF1510"/>
      <c r="BXG1510"/>
      <c r="BXH1510"/>
      <c r="BXI1510"/>
      <c r="BXJ1510"/>
      <c r="BXK1510"/>
      <c r="BXL1510"/>
      <c r="BXM1510"/>
      <c r="BXN1510"/>
      <c r="BXO1510"/>
      <c r="BXP1510"/>
      <c r="BXQ1510"/>
      <c r="BXR1510"/>
      <c r="BXS1510"/>
      <c r="BXT1510"/>
      <c r="BXU1510"/>
      <c r="BXV1510"/>
      <c r="BXW1510"/>
      <c r="BXX1510"/>
      <c r="BXY1510"/>
      <c r="BXZ1510"/>
      <c r="BYA1510"/>
      <c r="BYB1510"/>
      <c r="BYC1510"/>
      <c r="BYD1510"/>
      <c r="BYE1510"/>
      <c r="BYF1510"/>
      <c r="BYG1510"/>
      <c r="BYH1510"/>
      <c r="BYI1510"/>
      <c r="BYJ1510"/>
      <c r="BYK1510"/>
      <c r="BYL1510"/>
      <c r="BYM1510"/>
      <c r="BYN1510"/>
      <c r="BYO1510"/>
      <c r="BYP1510"/>
      <c r="BYQ1510"/>
      <c r="BYR1510"/>
      <c r="BYS1510"/>
      <c r="BYT1510"/>
      <c r="BYU1510"/>
      <c r="BYV1510"/>
      <c r="BYW1510"/>
      <c r="BYX1510"/>
      <c r="BYY1510"/>
      <c r="BYZ1510"/>
      <c r="BZA1510"/>
      <c r="BZB1510"/>
      <c r="BZC1510"/>
      <c r="BZD1510"/>
      <c r="BZE1510"/>
      <c r="BZF1510"/>
      <c r="BZG1510"/>
      <c r="BZH1510"/>
      <c r="BZI1510"/>
      <c r="BZJ1510"/>
      <c r="BZK1510"/>
      <c r="BZL1510"/>
      <c r="BZM1510"/>
      <c r="BZN1510"/>
      <c r="BZO1510"/>
      <c r="BZP1510"/>
      <c r="BZQ1510"/>
      <c r="BZR1510"/>
      <c r="BZS1510"/>
      <c r="BZT1510"/>
      <c r="BZU1510"/>
      <c r="BZV1510"/>
      <c r="BZW1510"/>
      <c r="BZX1510"/>
      <c r="BZY1510"/>
      <c r="BZZ1510"/>
      <c r="CAA1510"/>
      <c r="CAB1510"/>
      <c r="CAC1510"/>
      <c r="CAD1510"/>
      <c r="CAE1510"/>
      <c r="CAF1510"/>
      <c r="CAG1510"/>
      <c r="CAH1510"/>
      <c r="CAI1510"/>
      <c r="CAJ1510"/>
      <c r="CAK1510"/>
      <c r="CAL1510"/>
      <c r="CAM1510"/>
      <c r="CAN1510"/>
      <c r="CAO1510"/>
      <c r="CAP1510"/>
      <c r="CAQ1510"/>
      <c r="CAR1510"/>
      <c r="CAS1510"/>
      <c r="CAT1510"/>
      <c r="CAU1510"/>
      <c r="CAV1510"/>
      <c r="CAW1510"/>
      <c r="CAX1510"/>
      <c r="CAY1510"/>
      <c r="CAZ1510"/>
      <c r="CBA1510"/>
      <c r="CBB1510"/>
      <c r="CBC1510"/>
      <c r="CBD1510"/>
      <c r="CBE1510"/>
      <c r="CBF1510"/>
      <c r="CBG1510"/>
      <c r="CBH1510"/>
      <c r="CBI1510"/>
      <c r="CBJ1510"/>
      <c r="CBK1510"/>
      <c r="CBL1510"/>
      <c r="CBM1510"/>
      <c r="CBN1510"/>
      <c r="CBO1510"/>
      <c r="CBP1510"/>
      <c r="CBQ1510"/>
      <c r="CBR1510"/>
      <c r="CBS1510"/>
      <c r="CBT1510"/>
      <c r="CBU1510"/>
      <c r="CBV1510"/>
      <c r="CBW1510"/>
      <c r="CBX1510"/>
      <c r="CBY1510"/>
      <c r="CBZ1510"/>
      <c r="CCA1510"/>
      <c r="CCB1510"/>
      <c r="CCC1510"/>
      <c r="CCD1510"/>
      <c r="CCE1510"/>
      <c r="CCF1510"/>
      <c r="CCG1510"/>
      <c r="CCH1510"/>
      <c r="CCI1510"/>
      <c r="CCJ1510"/>
      <c r="CCK1510"/>
      <c r="CCL1510"/>
      <c r="CCM1510"/>
      <c r="CCN1510"/>
      <c r="CCO1510"/>
      <c r="CCP1510"/>
      <c r="CCQ1510"/>
      <c r="CCR1510"/>
      <c r="CCS1510"/>
      <c r="CCT1510"/>
      <c r="CCU1510"/>
      <c r="CCV1510"/>
      <c r="CCW1510"/>
      <c r="CCX1510"/>
      <c r="CCY1510"/>
      <c r="CCZ1510"/>
      <c r="CDA1510"/>
      <c r="CDB1510"/>
      <c r="CDC1510"/>
      <c r="CDD1510"/>
      <c r="CDE1510"/>
      <c r="CDF1510"/>
      <c r="CDG1510"/>
      <c r="CDH1510"/>
      <c r="CDI1510"/>
      <c r="CDJ1510"/>
      <c r="CDK1510"/>
      <c r="CDL1510"/>
      <c r="CDM1510"/>
      <c r="CDN1510"/>
      <c r="CDO1510"/>
      <c r="CDP1510"/>
      <c r="CDQ1510"/>
      <c r="CDR1510"/>
      <c r="CDS1510"/>
      <c r="CDT1510"/>
      <c r="CDU1510"/>
      <c r="CDV1510"/>
      <c r="CDW1510"/>
      <c r="CDX1510"/>
      <c r="CDY1510"/>
      <c r="CDZ1510"/>
      <c r="CEA1510"/>
      <c r="CEB1510"/>
      <c r="CEC1510"/>
      <c r="CED1510"/>
      <c r="CEE1510"/>
      <c r="CEF1510"/>
      <c r="CEG1510"/>
      <c r="CEH1510"/>
      <c r="CEI1510"/>
      <c r="CEJ1510"/>
      <c r="CEK1510"/>
      <c r="CEL1510"/>
      <c r="CEM1510"/>
      <c r="CEN1510"/>
      <c r="CEO1510"/>
      <c r="CEP1510"/>
      <c r="CEQ1510"/>
      <c r="CER1510"/>
      <c r="CES1510"/>
      <c r="CET1510"/>
      <c r="CEU1510"/>
      <c r="CEV1510"/>
      <c r="CEW1510"/>
      <c r="CEX1510"/>
      <c r="CEY1510"/>
      <c r="CEZ1510"/>
      <c r="CFA1510"/>
      <c r="CFB1510"/>
      <c r="CFC1510"/>
      <c r="CFD1510"/>
      <c r="CFE1510"/>
      <c r="CFF1510"/>
      <c r="CFG1510"/>
      <c r="CFH1510"/>
      <c r="CFI1510"/>
      <c r="CFJ1510"/>
      <c r="CFK1510"/>
      <c r="CFL1510"/>
      <c r="CFM1510"/>
      <c r="CFN1510"/>
      <c r="CFO1510"/>
      <c r="CFP1510"/>
      <c r="CFQ1510"/>
      <c r="CFR1510"/>
      <c r="CFS1510"/>
      <c r="CFT1510"/>
      <c r="CFU1510"/>
      <c r="CFV1510"/>
      <c r="CFW1510"/>
      <c r="CFX1510"/>
      <c r="CFY1510"/>
      <c r="CFZ1510"/>
      <c r="CGA1510"/>
      <c r="CGB1510"/>
      <c r="CGC1510"/>
      <c r="CGD1510"/>
      <c r="CGE1510"/>
      <c r="CGF1510"/>
      <c r="CGG1510"/>
      <c r="CGH1510"/>
      <c r="CGI1510"/>
      <c r="CGJ1510"/>
      <c r="CGK1510"/>
      <c r="CGL1510"/>
      <c r="CGM1510"/>
      <c r="CGN1510"/>
      <c r="CGO1510"/>
      <c r="CGP1510"/>
      <c r="CGQ1510"/>
      <c r="CGR1510"/>
      <c r="CGS1510"/>
      <c r="CGT1510"/>
      <c r="CGU1510"/>
      <c r="CGV1510"/>
      <c r="CGW1510"/>
      <c r="CGX1510"/>
      <c r="CGY1510"/>
      <c r="CGZ1510"/>
      <c r="CHA1510"/>
      <c r="CHB1510"/>
      <c r="CHC1510"/>
      <c r="CHD1510"/>
      <c r="CHE1510"/>
      <c r="CHF1510"/>
      <c r="CHG1510"/>
      <c r="CHH1510"/>
      <c r="CHI1510"/>
      <c r="CHJ1510"/>
      <c r="CHK1510"/>
      <c r="CHL1510"/>
      <c r="CHM1510"/>
      <c r="CHN1510"/>
      <c r="CHO1510"/>
      <c r="CHP1510"/>
      <c r="CHQ1510"/>
      <c r="CHR1510"/>
      <c r="CHS1510"/>
      <c r="CHT1510"/>
      <c r="CHU1510"/>
      <c r="CHV1510"/>
      <c r="CHW1510"/>
      <c r="CHX1510"/>
      <c r="CHY1510"/>
      <c r="CHZ1510"/>
      <c r="CIA1510"/>
      <c r="CIB1510"/>
      <c r="CIC1510"/>
      <c r="CID1510"/>
      <c r="CIE1510"/>
      <c r="CIF1510"/>
      <c r="CIG1510"/>
      <c r="CIH1510"/>
      <c r="CII1510"/>
      <c r="CIJ1510"/>
      <c r="CIK1510"/>
      <c r="CIL1510"/>
      <c r="CIM1510"/>
      <c r="CIN1510"/>
      <c r="CIO1510"/>
      <c r="CIP1510"/>
      <c r="CIQ1510"/>
      <c r="CIR1510"/>
      <c r="CIS1510"/>
      <c r="CIT1510"/>
      <c r="CIU1510"/>
      <c r="CIV1510"/>
      <c r="CIW1510"/>
      <c r="CIX1510"/>
      <c r="CIY1510"/>
      <c r="CIZ1510"/>
      <c r="CJA1510"/>
      <c r="CJB1510"/>
      <c r="CJC1510"/>
      <c r="CJD1510"/>
      <c r="CJE1510"/>
      <c r="CJF1510"/>
      <c r="CJG1510"/>
      <c r="CJH1510"/>
      <c r="CJI1510"/>
      <c r="CJJ1510"/>
      <c r="CJK1510"/>
      <c r="CJL1510"/>
      <c r="CJM1510"/>
      <c r="CJN1510"/>
      <c r="CJO1510"/>
      <c r="CJP1510"/>
      <c r="CJQ1510"/>
      <c r="CJR1510"/>
      <c r="CJS1510"/>
      <c r="CJT1510"/>
      <c r="CJU1510"/>
      <c r="CJV1510"/>
      <c r="CJW1510"/>
      <c r="CJX1510"/>
      <c r="CJY1510"/>
      <c r="CJZ1510"/>
      <c r="CKA1510"/>
      <c r="CKB1510"/>
      <c r="CKC1510"/>
      <c r="CKD1510"/>
      <c r="CKE1510"/>
      <c r="CKF1510"/>
      <c r="CKG1510"/>
      <c r="CKH1510"/>
      <c r="CKI1510"/>
      <c r="CKJ1510"/>
      <c r="CKK1510"/>
      <c r="CKL1510"/>
      <c r="CKM1510"/>
      <c r="CKN1510"/>
      <c r="CKO1510"/>
      <c r="CKP1510"/>
      <c r="CKQ1510"/>
      <c r="CKR1510"/>
      <c r="CKS1510"/>
      <c r="CKT1510"/>
      <c r="CKU1510"/>
      <c r="CKV1510"/>
      <c r="CKW1510"/>
      <c r="CKX1510"/>
      <c r="CKY1510"/>
      <c r="CKZ1510"/>
      <c r="CLA1510"/>
      <c r="CLB1510"/>
      <c r="CLC1510"/>
      <c r="CLD1510"/>
      <c r="CLE1510"/>
      <c r="CLF1510"/>
      <c r="CLG1510"/>
      <c r="CLH1510"/>
      <c r="CLI1510"/>
      <c r="CLJ1510"/>
      <c r="CLK1510"/>
      <c r="CLL1510"/>
      <c r="CLM1510"/>
      <c r="CLN1510"/>
      <c r="CLO1510"/>
      <c r="CLP1510"/>
      <c r="CLQ1510"/>
      <c r="CLR1510"/>
      <c r="CLS1510"/>
      <c r="CLT1510"/>
      <c r="CLU1510"/>
      <c r="CLV1510"/>
      <c r="CLW1510"/>
      <c r="CLX1510"/>
      <c r="CLY1510"/>
      <c r="CLZ1510"/>
      <c r="CMA1510"/>
      <c r="CMB1510"/>
      <c r="CMC1510"/>
      <c r="CMD1510"/>
      <c r="CME1510"/>
      <c r="CMF1510"/>
      <c r="CMG1510"/>
      <c r="CMH1510"/>
      <c r="CMI1510"/>
      <c r="CMJ1510"/>
      <c r="CMK1510"/>
      <c r="CML1510"/>
      <c r="CMM1510"/>
      <c r="CMN1510"/>
      <c r="CMO1510"/>
      <c r="CMP1510"/>
      <c r="CMQ1510"/>
      <c r="CMR1510"/>
      <c r="CMS1510"/>
      <c r="CMT1510"/>
      <c r="CMU1510"/>
      <c r="CMV1510"/>
      <c r="CMW1510"/>
      <c r="CMX1510"/>
      <c r="CMY1510"/>
      <c r="CMZ1510"/>
      <c r="CNA1510"/>
      <c r="CNB1510"/>
      <c r="CNC1510"/>
      <c r="CND1510"/>
      <c r="CNE1510"/>
      <c r="CNF1510"/>
      <c r="CNG1510"/>
      <c r="CNH1510"/>
      <c r="CNI1510"/>
      <c r="CNJ1510"/>
      <c r="CNK1510"/>
      <c r="CNL1510"/>
      <c r="CNM1510"/>
      <c r="CNN1510"/>
      <c r="CNO1510"/>
      <c r="CNP1510"/>
      <c r="CNQ1510"/>
      <c r="CNR1510"/>
      <c r="CNS1510"/>
      <c r="CNT1510"/>
      <c r="CNU1510"/>
      <c r="CNV1510"/>
      <c r="CNW1510"/>
      <c r="CNX1510"/>
      <c r="CNY1510"/>
      <c r="CNZ1510"/>
      <c r="COA1510"/>
      <c r="COB1510"/>
      <c r="COC1510"/>
      <c r="COD1510"/>
      <c r="COE1510"/>
      <c r="COF1510"/>
      <c r="COG1510"/>
      <c r="COH1510"/>
      <c r="COI1510"/>
      <c r="COJ1510"/>
      <c r="COK1510"/>
      <c r="COL1510"/>
      <c r="COM1510"/>
      <c r="CON1510"/>
      <c r="COO1510"/>
      <c r="COP1510"/>
      <c r="COQ1510"/>
      <c r="COR1510"/>
      <c r="COS1510"/>
      <c r="COT1510"/>
      <c r="COU1510"/>
      <c r="COV1510"/>
      <c r="COW1510"/>
      <c r="COX1510"/>
      <c r="COY1510"/>
      <c r="COZ1510"/>
      <c r="CPA1510"/>
      <c r="CPB1510"/>
      <c r="CPC1510"/>
      <c r="CPD1510"/>
      <c r="CPE1510"/>
      <c r="CPF1510"/>
      <c r="CPG1510"/>
      <c r="CPH1510"/>
      <c r="CPI1510"/>
      <c r="CPJ1510"/>
      <c r="CPK1510"/>
      <c r="CPL1510"/>
      <c r="CPM1510"/>
      <c r="CPN1510"/>
      <c r="CPO1510"/>
      <c r="CPP1510"/>
      <c r="CPQ1510"/>
      <c r="CPR1510"/>
      <c r="CPS1510"/>
      <c r="CPT1510"/>
      <c r="CPU1510"/>
      <c r="CPV1510"/>
      <c r="CPW1510"/>
      <c r="CPX1510"/>
      <c r="CPY1510"/>
      <c r="CPZ1510"/>
      <c r="CQA1510"/>
      <c r="CQB1510"/>
      <c r="CQC1510"/>
      <c r="CQD1510"/>
      <c r="CQE1510"/>
      <c r="CQF1510"/>
      <c r="CQG1510"/>
      <c r="CQH1510"/>
      <c r="CQI1510"/>
      <c r="CQJ1510"/>
      <c r="CQK1510"/>
      <c r="CQL1510"/>
      <c r="CQM1510"/>
      <c r="CQN1510"/>
      <c r="CQO1510"/>
      <c r="CQP1510"/>
      <c r="CQQ1510"/>
      <c r="CQR1510"/>
      <c r="CQS1510"/>
      <c r="CQT1510"/>
      <c r="CQU1510"/>
      <c r="CQV1510"/>
      <c r="CQW1510"/>
      <c r="CQX1510"/>
      <c r="CQY1510"/>
      <c r="CQZ1510"/>
      <c r="CRA1510"/>
      <c r="CRB1510"/>
      <c r="CRC1510"/>
      <c r="CRD1510"/>
      <c r="CRE1510"/>
      <c r="CRF1510"/>
      <c r="CRG1510"/>
      <c r="CRH1510"/>
      <c r="CRI1510"/>
      <c r="CRJ1510"/>
      <c r="CRK1510"/>
      <c r="CRL1510"/>
      <c r="CRM1510"/>
      <c r="CRN1510"/>
      <c r="CRO1510"/>
      <c r="CRP1510"/>
      <c r="CRQ1510"/>
      <c r="CRR1510"/>
      <c r="CRS1510"/>
      <c r="CRT1510"/>
      <c r="CRU1510"/>
      <c r="CRV1510"/>
      <c r="CRW1510"/>
      <c r="CRX1510"/>
      <c r="CRY1510"/>
      <c r="CRZ1510"/>
      <c r="CSA1510"/>
      <c r="CSB1510"/>
      <c r="CSC1510"/>
      <c r="CSD1510"/>
      <c r="CSE1510"/>
      <c r="CSF1510"/>
      <c r="CSG1510"/>
      <c r="CSH1510"/>
      <c r="CSI1510"/>
      <c r="CSJ1510"/>
      <c r="CSK1510"/>
      <c r="CSL1510"/>
      <c r="CSM1510"/>
      <c r="CSN1510"/>
      <c r="CSO1510"/>
      <c r="CSP1510"/>
      <c r="CSQ1510"/>
      <c r="CSR1510"/>
      <c r="CSS1510"/>
      <c r="CST1510"/>
      <c r="CSU1510"/>
      <c r="CSV1510"/>
      <c r="CSW1510"/>
      <c r="CSX1510"/>
      <c r="CSY1510"/>
      <c r="CSZ1510"/>
      <c r="CTA1510"/>
      <c r="CTB1510"/>
      <c r="CTC1510"/>
      <c r="CTD1510"/>
      <c r="CTE1510"/>
      <c r="CTF1510"/>
      <c r="CTG1510"/>
      <c r="CTH1510"/>
      <c r="CTI1510"/>
      <c r="CTJ1510"/>
      <c r="CTK1510"/>
      <c r="CTL1510"/>
      <c r="CTM1510"/>
      <c r="CTN1510"/>
      <c r="CTO1510"/>
      <c r="CTP1510"/>
      <c r="CTQ1510"/>
      <c r="CTR1510"/>
      <c r="CTS1510"/>
      <c r="CTT1510"/>
      <c r="CTU1510"/>
      <c r="CTV1510"/>
      <c r="CTW1510"/>
      <c r="CTX1510"/>
      <c r="CTY1510"/>
      <c r="CTZ1510"/>
      <c r="CUA1510"/>
      <c r="CUB1510"/>
      <c r="CUC1510"/>
      <c r="CUD1510"/>
      <c r="CUE1510"/>
      <c r="CUF1510"/>
      <c r="CUG1510"/>
      <c r="CUH1510"/>
      <c r="CUI1510"/>
      <c r="CUJ1510"/>
      <c r="CUK1510"/>
      <c r="CUL1510"/>
      <c r="CUM1510"/>
      <c r="CUN1510"/>
      <c r="CUO1510"/>
      <c r="CUP1510"/>
      <c r="CUQ1510"/>
      <c r="CUR1510"/>
      <c r="CUS1510"/>
      <c r="CUT1510"/>
      <c r="CUU1510"/>
      <c r="CUV1510"/>
      <c r="CUW1510"/>
      <c r="CUX1510"/>
      <c r="CUY1510"/>
      <c r="CUZ1510"/>
      <c r="CVA1510"/>
      <c r="CVB1510"/>
      <c r="CVC1510"/>
      <c r="CVD1510"/>
      <c r="CVE1510"/>
      <c r="CVF1510"/>
      <c r="CVG1510"/>
      <c r="CVH1510"/>
      <c r="CVI1510"/>
      <c r="CVJ1510"/>
      <c r="CVK1510"/>
      <c r="CVL1510"/>
      <c r="CVM1510"/>
      <c r="CVN1510"/>
      <c r="CVO1510"/>
      <c r="CVP1510"/>
      <c r="CVQ1510"/>
      <c r="CVR1510"/>
      <c r="CVS1510"/>
      <c r="CVT1510"/>
      <c r="CVU1510"/>
      <c r="CVV1510"/>
      <c r="CVW1510"/>
      <c r="CVX1510"/>
      <c r="CVY1510"/>
      <c r="CVZ1510"/>
      <c r="CWA1510"/>
      <c r="CWB1510"/>
      <c r="CWC1510"/>
      <c r="CWD1510"/>
      <c r="CWE1510"/>
      <c r="CWF1510"/>
      <c r="CWG1510"/>
      <c r="CWH1510"/>
      <c r="CWI1510"/>
      <c r="CWJ1510"/>
      <c r="CWK1510"/>
      <c r="CWL1510"/>
      <c r="CWM1510"/>
      <c r="CWN1510"/>
      <c r="CWO1510"/>
      <c r="CWP1510"/>
      <c r="CWQ1510"/>
      <c r="CWR1510"/>
      <c r="CWS1510"/>
      <c r="CWT1510"/>
      <c r="CWU1510"/>
      <c r="CWV1510"/>
      <c r="CWW1510"/>
      <c r="CWX1510"/>
      <c r="CWY1510"/>
      <c r="CWZ1510"/>
      <c r="CXA1510"/>
      <c r="CXB1510"/>
      <c r="CXC1510"/>
      <c r="CXD1510"/>
      <c r="CXE1510"/>
      <c r="CXF1510"/>
      <c r="CXG1510"/>
      <c r="CXH1510"/>
      <c r="CXI1510"/>
      <c r="CXJ1510"/>
      <c r="CXK1510"/>
      <c r="CXL1510"/>
      <c r="CXM1510"/>
      <c r="CXN1510"/>
      <c r="CXO1510"/>
      <c r="CXP1510"/>
      <c r="CXQ1510"/>
      <c r="CXR1510"/>
      <c r="CXS1510"/>
      <c r="CXT1510"/>
      <c r="CXU1510"/>
      <c r="CXV1510"/>
      <c r="CXW1510"/>
      <c r="CXX1510"/>
      <c r="CXY1510"/>
      <c r="CXZ1510"/>
      <c r="CYA1510"/>
      <c r="CYB1510"/>
      <c r="CYC1510"/>
      <c r="CYD1510"/>
      <c r="CYE1510"/>
      <c r="CYF1510"/>
      <c r="CYG1510"/>
      <c r="CYH1510"/>
      <c r="CYI1510"/>
      <c r="CYJ1510"/>
      <c r="CYK1510"/>
      <c r="CYL1510"/>
      <c r="CYM1510"/>
      <c r="CYN1510"/>
      <c r="CYO1510"/>
      <c r="CYP1510"/>
      <c r="CYQ1510"/>
      <c r="CYR1510"/>
      <c r="CYS1510"/>
      <c r="CYT1510"/>
      <c r="CYU1510"/>
      <c r="CYV1510"/>
      <c r="CYW1510"/>
      <c r="CYX1510"/>
      <c r="CYY1510"/>
      <c r="CYZ1510"/>
      <c r="CZA1510"/>
      <c r="CZB1510"/>
      <c r="CZC1510"/>
      <c r="CZD1510"/>
      <c r="CZE1510"/>
      <c r="CZF1510"/>
      <c r="CZG1510"/>
      <c r="CZH1510"/>
      <c r="CZI1510"/>
      <c r="CZJ1510"/>
      <c r="CZK1510"/>
      <c r="CZL1510"/>
      <c r="CZM1510"/>
      <c r="CZN1510"/>
      <c r="CZO1510"/>
      <c r="CZP1510"/>
      <c r="CZQ1510"/>
      <c r="CZR1510"/>
      <c r="CZS1510"/>
      <c r="CZT1510"/>
      <c r="CZU1510"/>
      <c r="CZV1510"/>
      <c r="CZW1510"/>
      <c r="CZX1510"/>
      <c r="CZY1510"/>
      <c r="CZZ1510"/>
      <c r="DAA1510"/>
      <c r="DAB1510"/>
      <c r="DAC1510"/>
      <c r="DAD1510"/>
      <c r="DAE1510"/>
      <c r="DAF1510"/>
      <c r="DAG1510"/>
      <c r="DAH1510"/>
      <c r="DAI1510"/>
      <c r="DAJ1510"/>
      <c r="DAK1510"/>
      <c r="DAL1510"/>
      <c r="DAM1510"/>
      <c r="DAN1510"/>
      <c r="DAO1510"/>
      <c r="DAP1510"/>
      <c r="DAQ1510"/>
      <c r="DAR1510"/>
      <c r="DAS1510"/>
      <c r="DAT1510"/>
      <c r="DAU1510"/>
      <c r="DAV1510"/>
      <c r="DAW1510"/>
      <c r="DAX1510"/>
      <c r="DAY1510"/>
      <c r="DAZ1510"/>
      <c r="DBA1510"/>
      <c r="DBB1510"/>
      <c r="DBC1510"/>
      <c r="DBD1510"/>
      <c r="DBE1510"/>
      <c r="DBF1510"/>
      <c r="DBG1510"/>
      <c r="DBH1510"/>
      <c r="DBI1510"/>
      <c r="DBJ1510"/>
      <c r="DBK1510"/>
      <c r="DBL1510"/>
      <c r="DBM1510"/>
      <c r="DBN1510"/>
      <c r="DBO1510"/>
      <c r="DBP1510"/>
      <c r="DBQ1510"/>
      <c r="DBR1510"/>
      <c r="DBS1510"/>
      <c r="DBT1510"/>
      <c r="DBU1510"/>
      <c r="DBV1510"/>
      <c r="DBW1510"/>
      <c r="DBX1510"/>
      <c r="DBY1510"/>
      <c r="DBZ1510"/>
      <c r="DCA1510"/>
      <c r="DCB1510"/>
      <c r="DCC1510"/>
      <c r="DCD1510"/>
      <c r="DCE1510"/>
      <c r="DCF1510"/>
      <c r="DCG1510"/>
      <c r="DCH1510"/>
      <c r="DCI1510"/>
      <c r="DCJ1510"/>
      <c r="DCK1510"/>
      <c r="DCL1510"/>
      <c r="DCM1510"/>
      <c r="DCN1510"/>
      <c r="DCO1510"/>
      <c r="DCP1510"/>
      <c r="DCQ1510"/>
      <c r="DCR1510"/>
      <c r="DCS1510"/>
      <c r="DCT1510"/>
      <c r="DCU1510"/>
      <c r="DCV1510"/>
      <c r="DCW1510"/>
      <c r="DCX1510"/>
      <c r="DCY1510"/>
      <c r="DCZ1510"/>
      <c r="DDA1510"/>
      <c r="DDB1510"/>
      <c r="DDC1510"/>
      <c r="DDD1510"/>
      <c r="DDE1510"/>
      <c r="DDF1510"/>
      <c r="DDG1510"/>
      <c r="DDH1510"/>
      <c r="DDI1510"/>
      <c r="DDJ1510"/>
      <c r="DDK1510"/>
      <c r="DDL1510"/>
      <c r="DDM1510"/>
      <c r="DDN1510"/>
      <c r="DDO1510"/>
      <c r="DDP1510"/>
      <c r="DDQ1510"/>
      <c r="DDR1510"/>
      <c r="DDS1510"/>
      <c r="DDT1510"/>
      <c r="DDU1510"/>
      <c r="DDV1510"/>
      <c r="DDW1510"/>
      <c r="DDX1510"/>
      <c r="DDY1510"/>
      <c r="DDZ1510"/>
      <c r="DEA1510"/>
      <c r="DEB1510"/>
      <c r="DEC1510"/>
      <c r="DED1510"/>
      <c r="DEE1510"/>
      <c r="DEF1510"/>
      <c r="DEG1510"/>
      <c r="DEH1510"/>
      <c r="DEI1510"/>
      <c r="DEJ1510"/>
      <c r="DEK1510"/>
      <c r="DEL1510"/>
      <c r="DEM1510"/>
      <c r="DEN1510"/>
      <c r="DEO1510"/>
      <c r="DEP1510"/>
      <c r="DEQ1510"/>
      <c r="DER1510"/>
      <c r="DES1510"/>
      <c r="DET1510"/>
      <c r="DEU1510"/>
      <c r="DEV1510"/>
      <c r="DEW1510"/>
      <c r="DEX1510"/>
      <c r="DEY1510"/>
      <c r="DEZ1510"/>
      <c r="DFA1510"/>
      <c r="DFB1510"/>
      <c r="DFC1510"/>
      <c r="DFD1510"/>
      <c r="DFE1510"/>
      <c r="DFF1510"/>
      <c r="DFG1510"/>
      <c r="DFH1510"/>
      <c r="DFI1510"/>
      <c r="DFJ1510"/>
      <c r="DFK1510"/>
      <c r="DFL1510"/>
      <c r="DFM1510"/>
      <c r="DFN1510"/>
      <c r="DFO1510"/>
      <c r="DFP1510"/>
      <c r="DFQ1510"/>
      <c r="DFR1510"/>
      <c r="DFS1510"/>
      <c r="DFT1510"/>
      <c r="DFU1510"/>
      <c r="DFV1510"/>
      <c r="DFW1510"/>
      <c r="DFX1510"/>
      <c r="DFY1510"/>
      <c r="DFZ1510"/>
      <c r="DGA1510"/>
      <c r="DGB1510"/>
      <c r="DGC1510"/>
      <c r="DGD1510"/>
      <c r="DGE1510"/>
      <c r="DGF1510"/>
      <c r="DGG1510"/>
      <c r="DGH1510"/>
      <c r="DGI1510"/>
      <c r="DGJ1510"/>
      <c r="DGK1510"/>
      <c r="DGL1510"/>
      <c r="DGM1510"/>
      <c r="DGN1510"/>
      <c r="DGO1510"/>
      <c r="DGP1510"/>
      <c r="DGQ1510"/>
      <c r="DGR1510"/>
      <c r="DGS1510"/>
      <c r="DGT1510"/>
      <c r="DGU1510"/>
      <c r="DGV1510"/>
      <c r="DGW1510"/>
      <c r="DGX1510"/>
      <c r="DGY1510"/>
      <c r="DGZ1510"/>
      <c r="DHA1510"/>
      <c r="DHB1510"/>
      <c r="DHC1510"/>
      <c r="DHD1510"/>
      <c r="DHE1510"/>
      <c r="DHF1510"/>
      <c r="DHG1510"/>
      <c r="DHH1510"/>
      <c r="DHI1510"/>
      <c r="DHJ1510"/>
      <c r="DHK1510"/>
      <c r="DHL1510"/>
      <c r="DHM1510"/>
      <c r="DHN1510"/>
      <c r="DHO1510"/>
      <c r="DHP1510"/>
      <c r="DHQ1510"/>
      <c r="DHR1510"/>
      <c r="DHS1510"/>
      <c r="DHT1510"/>
      <c r="DHU1510"/>
      <c r="DHV1510"/>
      <c r="DHW1510"/>
      <c r="DHX1510"/>
      <c r="DHY1510"/>
      <c r="DHZ1510"/>
      <c r="DIA1510"/>
      <c r="DIB1510"/>
      <c r="DIC1510"/>
      <c r="DID1510"/>
      <c r="DIE1510"/>
      <c r="DIF1510"/>
      <c r="DIG1510"/>
      <c r="DIH1510"/>
      <c r="DII1510"/>
      <c r="DIJ1510"/>
      <c r="DIK1510"/>
      <c r="DIL1510"/>
      <c r="DIM1510"/>
      <c r="DIN1510"/>
      <c r="DIO1510"/>
      <c r="DIP1510"/>
      <c r="DIQ1510"/>
      <c r="DIR1510"/>
      <c r="DIS1510"/>
      <c r="DIT1510"/>
      <c r="DIU1510"/>
      <c r="DIV1510"/>
      <c r="DIW1510"/>
      <c r="DIX1510"/>
      <c r="DIY1510"/>
      <c r="DIZ1510"/>
      <c r="DJA1510"/>
      <c r="DJB1510"/>
      <c r="DJC1510"/>
      <c r="DJD1510"/>
      <c r="DJE1510"/>
      <c r="DJF1510"/>
      <c r="DJG1510"/>
      <c r="DJH1510"/>
      <c r="DJI1510"/>
      <c r="DJJ1510"/>
      <c r="DJK1510"/>
      <c r="DJL1510"/>
      <c r="DJM1510"/>
      <c r="DJN1510"/>
      <c r="DJO1510"/>
      <c r="DJP1510"/>
      <c r="DJQ1510"/>
      <c r="DJR1510"/>
      <c r="DJS1510"/>
      <c r="DJT1510"/>
      <c r="DJU1510"/>
      <c r="DJV1510"/>
      <c r="DJW1510"/>
      <c r="DJX1510"/>
      <c r="DJY1510"/>
      <c r="DJZ1510"/>
      <c r="DKA1510"/>
      <c r="DKB1510"/>
      <c r="DKC1510"/>
      <c r="DKD1510"/>
      <c r="DKE1510"/>
      <c r="DKF1510"/>
      <c r="DKG1510"/>
      <c r="DKH1510"/>
      <c r="DKI1510"/>
      <c r="DKJ1510"/>
      <c r="DKK1510"/>
      <c r="DKL1510"/>
      <c r="DKM1510"/>
      <c r="DKN1510"/>
      <c r="DKO1510"/>
      <c r="DKP1510"/>
      <c r="DKQ1510"/>
      <c r="DKR1510"/>
      <c r="DKS1510"/>
      <c r="DKT1510"/>
      <c r="DKU1510"/>
      <c r="DKV1510"/>
      <c r="DKW1510"/>
      <c r="DKX1510"/>
      <c r="DKY1510"/>
      <c r="DKZ1510"/>
      <c r="DLA1510"/>
      <c r="DLB1510"/>
      <c r="DLC1510"/>
      <c r="DLD1510"/>
      <c r="DLE1510"/>
      <c r="DLF1510"/>
      <c r="DLG1510"/>
      <c r="DLH1510"/>
      <c r="DLI1510"/>
      <c r="DLJ1510"/>
      <c r="DLK1510"/>
      <c r="DLL1510"/>
      <c r="DLM1510"/>
      <c r="DLN1510"/>
      <c r="DLO1510"/>
      <c r="DLP1510"/>
      <c r="DLQ1510"/>
      <c r="DLR1510"/>
      <c r="DLS1510"/>
      <c r="DLT1510"/>
      <c r="DLU1510"/>
      <c r="DLV1510"/>
      <c r="DLW1510"/>
      <c r="DLX1510"/>
      <c r="DLY1510"/>
      <c r="DLZ1510"/>
      <c r="DMA1510"/>
      <c r="DMB1510"/>
      <c r="DMC1510"/>
      <c r="DMD1510"/>
      <c r="DME1510"/>
      <c r="DMF1510"/>
      <c r="DMG1510"/>
      <c r="DMH1510"/>
      <c r="DMI1510"/>
      <c r="DMJ1510"/>
      <c r="DMK1510"/>
      <c r="DML1510"/>
      <c r="DMM1510"/>
      <c r="DMN1510"/>
      <c r="DMO1510"/>
      <c r="DMP1510"/>
      <c r="DMQ1510"/>
      <c r="DMR1510"/>
      <c r="DMS1510"/>
      <c r="DMT1510"/>
      <c r="DMU1510"/>
      <c r="DMV1510"/>
      <c r="DMW1510"/>
      <c r="DMX1510"/>
      <c r="DMY1510"/>
      <c r="DMZ1510"/>
      <c r="DNA1510"/>
      <c r="DNB1510"/>
      <c r="DNC1510"/>
      <c r="DND1510"/>
      <c r="DNE1510"/>
      <c r="DNF1510"/>
      <c r="DNG1510"/>
      <c r="DNH1510"/>
      <c r="DNI1510"/>
      <c r="DNJ1510"/>
      <c r="DNK1510"/>
      <c r="DNL1510"/>
      <c r="DNM1510"/>
      <c r="DNN1510"/>
      <c r="DNO1510"/>
      <c r="DNP1510"/>
      <c r="DNQ1510"/>
      <c r="DNR1510"/>
      <c r="DNS1510"/>
      <c r="DNT1510"/>
      <c r="DNU1510"/>
      <c r="DNV1510"/>
      <c r="DNW1510"/>
      <c r="DNX1510"/>
      <c r="DNY1510"/>
      <c r="DNZ1510"/>
      <c r="DOA1510"/>
      <c r="DOB1510"/>
      <c r="DOC1510"/>
      <c r="DOD1510"/>
      <c r="DOE1510"/>
      <c r="DOF1510"/>
      <c r="DOG1510"/>
      <c r="DOH1510"/>
      <c r="DOI1510"/>
      <c r="DOJ1510"/>
      <c r="DOK1510"/>
      <c r="DOL1510"/>
      <c r="DOM1510"/>
      <c r="DON1510"/>
      <c r="DOO1510"/>
      <c r="DOP1510"/>
      <c r="DOQ1510"/>
      <c r="DOR1510"/>
      <c r="DOS1510"/>
      <c r="DOT1510"/>
      <c r="DOU1510"/>
      <c r="DOV1510"/>
      <c r="DOW1510"/>
      <c r="DOX1510"/>
      <c r="DOY1510"/>
      <c r="DOZ1510"/>
      <c r="DPA1510"/>
      <c r="DPB1510"/>
      <c r="DPC1510"/>
      <c r="DPD1510"/>
      <c r="DPE1510"/>
      <c r="DPF1510"/>
      <c r="DPG1510"/>
      <c r="DPH1510"/>
      <c r="DPI1510"/>
      <c r="DPJ1510"/>
      <c r="DPK1510"/>
      <c r="DPL1510"/>
      <c r="DPM1510"/>
      <c r="DPN1510"/>
      <c r="DPO1510"/>
      <c r="DPP1510"/>
      <c r="DPQ1510"/>
      <c r="DPR1510"/>
      <c r="DPS1510"/>
      <c r="DPT1510"/>
      <c r="DPU1510"/>
      <c r="DPV1510"/>
      <c r="DPW1510"/>
      <c r="DPX1510"/>
      <c r="DPY1510"/>
      <c r="DPZ1510"/>
      <c r="DQA1510"/>
      <c r="DQB1510"/>
      <c r="DQC1510"/>
      <c r="DQD1510"/>
      <c r="DQE1510"/>
      <c r="DQF1510"/>
      <c r="DQG1510"/>
      <c r="DQH1510"/>
      <c r="DQI1510"/>
      <c r="DQJ1510"/>
      <c r="DQK1510"/>
      <c r="DQL1510"/>
      <c r="DQM1510"/>
      <c r="DQN1510"/>
      <c r="DQO1510"/>
      <c r="DQP1510"/>
      <c r="DQQ1510"/>
      <c r="DQR1510"/>
      <c r="DQS1510"/>
      <c r="DQT1510"/>
      <c r="DQU1510"/>
      <c r="DQV1510"/>
      <c r="DQW1510"/>
      <c r="DQX1510"/>
      <c r="DQY1510"/>
      <c r="DQZ1510"/>
      <c r="DRA1510"/>
      <c r="DRB1510"/>
      <c r="DRC1510"/>
      <c r="DRD1510"/>
      <c r="DRE1510"/>
      <c r="DRF1510"/>
      <c r="DRG1510"/>
      <c r="DRH1510"/>
      <c r="DRI1510"/>
      <c r="DRJ1510"/>
      <c r="DRK1510"/>
      <c r="DRL1510"/>
      <c r="DRM1510"/>
      <c r="DRN1510"/>
      <c r="DRO1510"/>
      <c r="DRP1510"/>
      <c r="DRQ1510"/>
      <c r="DRR1510"/>
      <c r="DRS1510"/>
      <c r="DRT1510"/>
      <c r="DRU1510"/>
      <c r="DRV1510"/>
      <c r="DRW1510"/>
      <c r="DRX1510"/>
      <c r="DRY1510"/>
      <c r="DRZ1510"/>
      <c r="DSA1510"/>
      <c r="DSB1510"/>
      <c r="DSC1510"/>
      <c r="DSD1510"/>
      <c r="DSE1510"/>
      <c r="DSF1510"/>
      <c r="DSG1510"/>
      <c r="DSH1510"/>
      <c r="DSI1510"/>
      <c r="DSJ1510"/>
      <c r="DSK1510"/>
      <c r="DSL1510"/>
      <c r="DSM1510"/>
      <c r="DSN1510"/>
      <c r="DSO1510"/>
      <c r="DSP1510"/>
      <c r="DSQ1510"/>
      <c r="DSR1510"/>
      <c r="DSS1510"/>
      <c r="DST1510"/>
      <c r="DSU1510"/>
      <c r="DSV1510"/>
      <c r="DSW1510"/>
      <c r="DSX1510"/>
      <c r="DSY1510"/>
      <c r="DSZ1510"/>
      <c r="DTA1510"/>
      <c r="DTB1510"/>
      <c r="DTC1510"/>
      <c r="DTD1510"/>
      <c r="DTE1510"/>
      <c r="DTF1510"/>
      <c r="DTG1510"/>
      <c r="DTH1510"/>
      <c r="DTI1510"/>
      <c r="DTJ1510"/>
      <c r="DTK1510"/>
      <c r="DTL1510"/>
      <c r="DTM1510"/>
      <c r="DTN1510"/>
      <c r="DTO1510"/>
      <c r="DTP1510"/>
      <c r="DTQ1510"/>
      <c r="DTR1510"/>
      <c r="DTS1510"/>
      <c r="DTT1510"/>
      <c r="DTU1510"/>
      <c r="DTV1510"/>
      <c r="DTW1510"/>
      <c r="DTX1510"/>
      <c r="DTY1510"/>
      <c r="DTZ1510"/>
      <c r="DUA1510"/>
      <c r="DUB1510"/>
      <c r="DUC1510"/>
      <c r="DUD1510"/>
      <c r="DUE1510"/>
      <c r="DUF1510"/>
      <c r="DUG1510"/>
      <c r="DUH1510"/>
      <c r="DUI1510"/>
      <c r="DUJ1510"/>
      <c r="DUK1510"/>
      <c r="DUL1510"/>
      <c r="DUM1510"/>
      <c r="DUN1510"/>
      <c r="DUO1510"/>
      <c r="DUP1510"/>
      <c r="DUQ1510"/>
      <c r="DUR1510"/>
      <c r="DUS1510"/>
      <c r="DUT1510"/>
      <c r="DUU1510"/>
      <c r="DUV1510"/>
      <c r="DUW1510"/>
      <c r="DUX1510"/>
      <c r="DUY1510"/>
      <c r="DUZ1510"/>
      <c r="DVA1510"/>
      <c r="DVB1510"/>
      <c r="DVC1510"/>
      <c r="DVD1510"/>
      <c r="DVE1510"/>
      <c r="DVF1510"/>
      <c r="DVG1510"/>
      <c r="DVH1510"/>
      <c r="DVI1510"/>
      <c r="DVJ1510"/>
      <c r="DVK1510"/>
      <c r="DVL1510"/>
      <c r="DVM1510"/>
      <c r="DVN1510"/>
      <c r="DVO1510"/>
      <c r="DVP1510"/>
      <c r="DVQ1510"/>
      <c r="DVR1510"/>
      <c r="DVS1510"/>
      <c r="DVT1510"/>
      <c r="DVU1510"/>
      <c r="DVV1510"/>
      <c r="DVW1510"/>
      <c r="DVX1510"/>
      <c r="DVY1510"/>
      <c r="DVZ1510"/>
      <c r="DWA1510"/>
      <c r="DWB1510"/>
      <c r="DWC1510"/>
      <c r="DWD1510"/>
      <c r="DWE1510"/>
      <c r="DWF1510"/>
      <c r="DWG1510"/>
      <c r="DWH1510"/>
      <c r="DWI1510"/>
      <c r="DWJ1510"/>
      <c r="DWK1510"/>
      <c r="DWL1510"/>
      <c r="DWM1510"/>
      <c r="DWN1510"/>
      <c r="DWO1510"/>
      <c r="DWP1510"/>
      <c r="DWQ1510"/>
      <c r="DWR1510"/>
      <c r="DWS1510"/>
      <c r="DWT1510"/>
      <c r="DWU1510"/>
      <c r="DWV1510"/>
      <c r="DWW1510"/>
      <c r="DWX1510"/>
      <c r="DWY1510"/>
      <c r="DWZ1510"/>
      <c r="DXA1510"/>
      <c r="DXB1510"/>
      <c r="DXC1510"/>
      <c r="DXD1510"/>
      <c r="DXE1510"/>
      <c r="DXF1510"/>
      <c r="DXG1510"/>
      <c r="DXH1510"/>
      <c r="DXI1510"/>
      <c r="DXJ1510"/>
      <c r="DXK1510"/>
      <c r="DXL1510"/>
      <c r="DXM1510"/>
      <c r="DXN1510"/>
      <c r="DXO1510"/>
      <c r="DXP1510"/>
      <c r="DXQ1510"/>
      <c r="DXR1510"/>
      <c r="DXS1510"/>
      <c r="DXT1510"/>
      <c r="DXU1510"/>
      <c r="DXV1510"/>
      <c r="DXW1510"/>
      <c r="DXX1510"/>
      <c r="DXY1510"/>
      <c r="DXZ1510"/>
      <c r="DYA1510"/>
      <c r="DYB1510"/>
      <c r="DYC1510"/>
      <c r="DYD1510"/>
      <c r="DYE1510"/>
      <c r="DYF1510"/>
      <c r="DYG1510"/>
      <c r="DYH1510"/>
      <c r="DYI1510"/>
      <c r="DYJ1510"/>
      <c r="DYK1510"/>
      <c r="DYL1510"/>
      <c r="DYM1510"/>
      <c r="DYN1510"/>
      <c r="DYO1510"/>
      <c r="DYP1510"/>
      <c r="DYQ1510"/>
      <c r="DYR1510"/>
      <c r="DYS1510"/>
      <c r="DYT1510"/>
      <c r="DYU1510"/>
      <c r="DYV1510"/>
      <c r="DYW1510"/>
      <c r="DYX1510"/>
      <c r="DYY1510"/>
      <c r="DYZ1510"/>
      <c r="DZA1510"/>
      <c r="DZB1510"/>
      <c r="DZC1510"/>
      <c r="DZD1510"/>
      <c r="DZE1510"/>
      <c r="DZF1510"/>
      <c r="DZG1510"/>
      <c r="DZH1510"/>
      <c r="DZI1510"/>
      <c r="DZJ1510"/>
      <c r="DZK1510"/>
      <c r="DZL1510"/>
      <c r="DZM1510"/>
      <c r="DZN1510"/>
      <c r="DZO1510"/>
      <c r="DZP1510"/>
      <c r="DZQ1510"/>
      <c r="DZR1510"/>
      <c r="DZS1510"/>
      <c r="DZT1510"/>
      <c r="DZU1510"/>
      <c r="DZV1510"/>
      <c r="DZW1510"/>
      <c r="DZX1510"/>
      <c r="DZY1510"/>
      <c r="DZZ1510"/>
      <c r="EAA1510"/>
      <c r="EAB1510"/>
      <c r="EAC1510"/>
      <c r="EAD1510"/>
      <c r="EAE1510"/>
      <c r="EAF1510"/>
      <c r="EAG1510"/>
      <c r="EAH1510"/>
      <c r="EAI1510"/>
      <c r="EAJ1510"/>
      <c r="EAK1510"/>
      <c r="EAL1510"/>
      <c r="EAM1510"/>
      <c r="EAN1510"/>
      <c r="EAO1510"/>
      <c r="EAP1510"/>
      <c r="EAQ1510"/>
      <c r="EAR1510"/>
      <c r="EAS1510"/>
      <c r="EAT1510"/>
      <c r="EAU1510"/>
      <c r="EAV1510"/>
      <c r="EAW1510"/>
      <c r="EAX1510"/>
      <c r="EAY1510"/>
      <c r="EAZ1510"/>
      <c r="EBA1510"/>
      <c r="EBB1510"/>
      <c r="EBC1510"/>
      <c r="EBD1510"/>
      <c r="EBE1510"/>
      <c r="EBF1510"/>
      <c r="EBG1510"/>
      <c r="EBH1510"/>
      <c r="EBI1510"/>
      <c r="EBJ1510"/>
      <c r="EBK1510"/>
      <c r="EBL1510"/>
      <c r="EBM1510"/>
      <c r="EBN1510"/>
      <c r="EBO1510"/>
      <c r="EBP1510"/>
      <c r="EBQ1510"/>
      <c r="EBR1510"/>
      <c r="EBS1510"/>
      <c r="EBT1510"/>
      <c r="EBU1510"/>
      <c r="EBV1510"/>
      <c r="EBW1510"/>
      <c r="EBX1510"/>
      <c r="EBY1510"/>
      <c r="EBZ1510"/>
      <c r="ECA1510"/>
      <c r="ECB1510"/>
      <c r="ECC1510"/>
      <c r="ECD1510"/>
      <c r="ECE1510"/>
      <c r="ECF1510"/>
      <c r="ECG1510"/>
      <c r="ECH1510"/>
      <c r="ECI1510"/>
      <c r="ECJ1510"/>
      <c r="ECK1510"/>
      <c r="ECL1510"/>
      <c r="ECM1510"/>
      <c r="ECN1510"/>
      <c r="ECO1510"/>
      <c r="ECP1510"/>
      <c r="ECQ1510"/>
      <c r="ECR1510"/>
      <c r="ECS1510"/>
      <c r="ECT1510"/>
      <c r="ECU1510"/>
      <c r="ECV1510"/>
      <c r="ECW1510"/>
      <c r="ECX1510"/>
      <c r="ECY1510"/>
      <c r="ECZ1510"/>
      <c r="EDA1510"/>
      <c r="EDB1510"/>
      <c r="EDC1510"/>
      <c r="EDD1510"/>
      <c r="EDE1510"/>
      <c r="EDF1510"/>
      <c r="EDG1510"/>
      <c r="EDH1510"/>
      <c r="EDI1510"/>
      <c r="EDJ1510"/>
      <c r="EDK1510"/>
      <c r="EDL1510"/>
      <c r="EDM1510"/>
      <c r="EDN1510"/>
      <c r="EDO1510"/>
      <c r="EDP1510"/>
      <c r="EDQ1510"/>
      <c r="EDR1510"/>
      <c r="EDS1510"/>
      <c r="EDT1510"/>
      <c r="EDU1510"/>
      <c r="EDV1510"/>
      <c r="EDW1510"/>
      <c r="EDX1510"/>
      <c r="EDY1510"/>
      <c r="EDZ1510"/>
      <c r="EEA1510"/>
      <c r="EEB1510"/>
      <c r="EEC1510"/>
      <c r="EED1510"/>
      <c r="EEE1510"/>
      <c r="EEF1510"/>
      <c r="EEG1510"/>
      <c r="EEH1510"/>
      <c r="EEI1510"/>
      <c r="EEJ1510"/>
      <c r="EEK1510"/>
      <c r="EEL1510"/>
      <c r="EEM1510"/>
      <c r="EEN1510"/>
      <c r="EEO1510"/>
      <c r="EEP1510"/>
      <c r="EEQ1510"/>
      <c r="EER1510"/>
      <c r="EES1510"/>
      <c r="EET1510"/>
      <c r="EEU1510"/>
      <c r="EEV1510"/>
      <c r="EEW1510"/>
      <c r="EEX1510"/>
      <c r="EEY1510"/>
      <c r="EEZ1510"/>
      <c r="EFA1510"/>
      <c r="EFB1510"/>
      <c r="EFC1510"/>
      <c r="EFD1510"/>
      <c r="EFE1510"/>
      <c r="EFF1510"/>
      <c r="EFG1510"/>
      <c r="EFH1510"/>
      <c r="EFI1510"/>
      <c r="EFJ1510"/>
      <c r="EFK1510"/>
      <c r="EFL1510"/>
      <c r="EFM1510"/>
      <c r="EFN1510"/>
      <c r="EFO1510"/>
      <c r="EFP1510"/>
      <c r="EFQ1510"/>
      <c r="EFR1510"/>
      <c r="EFS1510"/>
      <c r="EFT1510"/>
      <c r="EFU1510"/>
      <c r="EFV1510"/>
      <c r="EFW1510"/>
      <c r="EFX1510"/>
      <c r="EFY1510"/>
      <c r="EFZ1510"/>
      <c r="EGA1510"/>
      <c r="EGB1510"/>
      <c r="EGC1510"/>
      <c r="EGD1510"/>
      <c r="EGE1510"/>
      <c r="EGF1510"/>
      <c r="EGG1510"/>
      <c r="EGH1510"/>
      <c r="EGI1510"/>
      <c r="EGJ1510"/>
      <c r="EGK1510"/>
      <c r="EGL1510"/>
      <c r="EGM1510"/>
      <c r="EGN1510"/>
      <c r="EGO1510"/>
      <c r="EGP1510"/>
      <c r="EGQ1510"/>
      <c r="EGR1510"/>
      <c r="EGS1510"/>
      <c r="EGT1510"/>
      <c r="EGU1510"/>
      <c r="EGV1510"/>
      <c r="EGW1510"/>
      <c r="EGX1510"/>
      <c r="EGY1510"/>
      <c r="EGZ1510"/>
      <c r="EHA1510"/>
      <c r="EHB1510"/>
      <c r="EHC1510"/>
      <c r="EHD1510"/>
      <c r="EHE1510"/>
      <c r="EHF1510"/>
      <c r="EHG1510"/>
      <c r="EHH1510"/>
      <c r="EHI1510"/>
      <c r="EHJ1510"/>
      <c r="EHK1510"/>
      <c r="EHL1510"/>
      <c r="EHM1510"/>
      <c r="EHN1510"/>
      <c r="EHO1510"/>
      <c r="EHP1510"/>
      <c r="EHQ1510"/>
      <c r="EHR1510"/>
      <c r="EHS1510"/>
      <c r="EHT1510"/>
      <c r="EHU1510"/>
      <c r="EHV1510"/>
      <c r="EHW1510"/>
      <c r="EHX1510"/>
      <c r="EHY1510"/>
      <c r="EHZ1510"/>
      <c r="EIA1510"/>
      <c r="EIB1510"/>
      <c r="EIC1510"/>
      <c r="EID1510"/>
      <c r="EIE1510"/>
      <c r="EIF1510"/>
      <c r="EIG1510"/>
      <c r="EIH1510"/>
      <c r="EII1510"/>
      <c r="EIJ1510"/>
      <c r="EIK1510"/>
      <c r="EIL1510"/>
      <c r="EIM1510"/>
      <c r="EIN1510"/>
      <c r="EIO1510"/>
      <c r="EIP1510"/>
      <c r="EIQ1510"/>
      <c r="EIR1510"/>
      <c r="EIS1510"/>
      <c r="EIT1510"/>
      <c r="EIU1510"/>
      <c r="EIV1510"/>
      <c r="EIW1510"/>
      <c r="EIX1510"/>
      <c r="EIY1510"/>
      <c r="EIZ1510"/>
      <c r="EJA1510"/>
      <c r="EJB1510"/>
      <c r="EJC1510"/>
      <c r="EJD1510"/>
      <c r="EJE1510"/>
      <c r="EJF1510"/>
      <c r="EJG1510"/>
      <c r="EJH1510"/>
      <c r="EJI1510"/>
      <c r="EJJ1510"/>
      <c r="EJK1510"/>
      <c r="EJL1510"/>
      <c r="EJM1510"/>
      <c r="EJN1510"/>
      <c r="EJO1510"/>
      <c r="EJP1510"/>
      <c r="EJQ1510"/>
      <c r="EJR1510"/>
      <c r="EJS1510"/>
      <c r="EJT1510"/>
      <c r="EJU1510"/>
      <c r="EJV1510"/>
      <c r="EJW1510"/>
      <c r="EJX1510"/>
      <c r="EJY1510"/>
      <c r="EJZ1510"/>
      <c r="EKA1510"/>
      <c r="EKB1510"/>
      <c r="EKC1510"/>
      <c r="EKD1510"/>
      <c r="EKE1510"/>
      <c r="EKF1510"/>
      <c r="EKG1510"/>
      <c r="EKH1510"/>
      <c r="EKI1510"/>
      <c r="EKJ1510"/>
      <c r="EKK1510"/>
      <c r="EKL1510"/>
      <c r="EKM1510"/>
      <c r="EKN1510"/>
      <c r="EKO1510"/>
      <c r="EKP1510"/>
      <c r="EKQ1510"/>
      <c r="EKR1510"/>
      <c r="EKS1510"/>
      <c r="EKT1510"/>
      <c r="EKU1510"/>
      <c r="EKV1510"/>
      <c r="EKW1510"/>
      <c r="EKX1510"/>
      <c r="EKY1510"/>
      <c r="EKZ1510"/>
      <c r="ELA1510"/>
      <c r="ELB1510"/>
      <c r="ELC1510"/>
      <c r="ELD1510"/>
      <c r="ELE1510"/>
      <c r="ELF1510"/>
      <c r="ELG1510"/>
      <c r="ELH1510"/>
      <c r="ELI1510"/>
      <c r="ELJ1510"/>
      <c r="ELK1510"/>
      <c r="ELL1510"/>
      <c r="ELM1510"/>
      <c r="ELN1510"/>
      <c r="ELO1510"/>
      <c r="ELP1510"/>
      <c r="ELQ1510"/>
      <c r="ELR1510"/>
      <c r="ELS1510"/>
      <c r="ELT1510"/>
      <c r="ELU1510"/>
      <c r="ELV1510"/>
      <c r="ELW1510"/>
      <c r="ELX1510"/>
      <c r="ELY1510"/>
      <c r="ELZ1510"/>
      <c r="EMA1510"/>
      <c r="EMB1510"/>
      <c r="EMC1510"/>
      <c r="EMD1510"/>
      <c r="EME1510"/>
      <c r="EMF1510"/>
      <c r="EMG1510"/>
      <c r="EMH1510"/>
      <c r="EMI1510"/>
      <c r="EMJ1510"/>
      <c r="EMK1510"/>
      <c r="EML1510"/>
      <c r="EMM1510"/>
      <c r="EMN1510"/>
      <c r="EMO1510"/>
      <c r="EMP1510"/>
      <c r="EMQ1510"/>
      <c r="EMR1510"/>
      <c r="EMS1510"/>
      <c r="EMT1510"/>
      <c r="EMU1510"/>
      <c r="EMV1510"/>
      <c r="EMW1510"/>
      <c r="EMX1510"/>
      <c r="EMY1510"/>
      <c r="EMZ1510"/>
      <c r="ENA1510"/>
      <c r="ENB1510"/>
      <c r="ENC1510"/>
      <c r="END1510"/>
      <c r="ENE1510"/>
      <c r="ENF1510"/>
      <c r="ENG1510"/>
      <c r="ENH1510"/>
      <c r="ENI1510"/>
      <c r="ENJ1510"/>
      <c r="ENK1510"/>
      <c r="ENL1510"/>
      <c r="ENM1510"/>
      <c r="ENN1510"/>
      <c r="ENO1510"/>
      <c r="ENP1510"/>
      <c r="ENQ1510"/>
      <c r="ENR1510"/>
      <c r="ENS1510"/>
      <c r="ENT1510"/>
      <c r="ENU1510"/>
      <c r="ENV1510"/>
      <c r="ENW1510"/>
      <c r="ENX1510"/>
      <c r="ENY1510"/>
      <c r="ENZ1510"/>
      <c r="EOA1510"/>
      <c r="EOB1510"/>
      <c r="EOC1510"/>
      <c r="EOD1510"/>
      <c r="EOE1510"/>
      <c r="EOF1510"/>
      <c r="EOG1510"/>
      <c r="EOH1510"/>
      <c r="EOI1510"/>
      <c r="EOJ1510"/>
      <c r="EOK1510"/>
      <c r="EOL1510"/>
      <c r="EOM1510"/>
      <c r="EON1510"/>
      <c r="EOO1510"/>
      <c r="EOP1510"/>
      <c r="EOQ1510"/>
      <c r="EOR1510"/>
      <c r="EOS1510"/>
      <c r="EOT1510"/>
      <c r="EOU1510"/>
      <c r="EOV1510"/>
      <c r="EOW1510"/>
      <c r="EOX1510"/>
      <c r="EOY1510"/>
      <c r="EOZ1510"/>
      <c r="EPA1510"/>
      <c r="EPB1510"/>
      <c r="EPC1510"/>
      <c r="EPD1510"/>
      <c r="EPE1510"/>
      <c r="EPF1510"/>
      <c r="EPG1510"/>
      <c r="EPH1510"/>
      <c r="EPI1510"/>
      <c r="EPJ1510"/>
      <c r="EPK1510"/>
      <c r="EPL1510"/>
      <c r="EPM1510"/>
      <c r="EPN1510"/>
      <c r="EPO1510"/>
      <c r="EPP1510"/>
      <c r="EPQ1510"/>
      <c r="EPR1510"/>
      <c r="EPS1510"/>
      <c r="EPT1510"/>
      <c r="EPU1510"/>
      <c r="EPV1510"/>
      <c r="EPW1510"/>
      <c r="EPX1510"/>
      <c r="EPY1510"/>
      <c r="EPZ1510"/>
      <c r="EQA1510"/>
      <c r="EQB1510"/>
      <c r="EQC1510"/>
      <c r="EQD1510"/>
      <c r="EQE1510"/>
      <c r="EQF1510"/>
      <c r="EQG1510"/>
      <c r="EQH1510"/>
      <c r="EQI1510"/>
      <c r="EQJ1510"/>
      <c r="EQK1510"/>
      <c r="EQL1510"/>
      <c r="EQM1510"/>
      <c r="EQN1510"/>
      <c r="EQO1510"/>
      <c r="EQP1510"/>
      <c r="EQQ1510"/>
      <c r="EQR1510"/>
      <c r="EQS1510"/>
      <c r="EQT1510"/>
      <c r="EQU1510"/>
      <c r="EQV1510"/>
      <c r="EQW1510"/>
      <c r="EQX1510"/>
      <c r="EQY1510"/>
      <c r="EQZ1510"/>
      <c r="ERA1510"/>
      <c r="ERB1510"/>
      <c r="ERC1510"/>
      <c r="ERD1510"/>
      <c r="ERE1510"/>
      <c r="ERF1510"/>
      <c r="ERG1510"/>
      <c r="ERH1510"/>
      <c r="ERI1510"/>
      <c r="ERJ1510"/>
      <c r="ERK1510"/>
      <c r="ERL1510"/>
      <c r="ERM1510"/>
      <c r="ERN1510"/>
      <c r="ERO1510"/>
      <c r="ERP1510"/>
      <c r="ERQ1510"/>
      <c r="ERR1510"/>
      <c r="ERS1510"/>
      <c r="ERT1510"/>
      <c r="ERU1510"/>
      <c r="ERV1510"/>
      <c r="ERW1510"/>
      <c r="ERX1510"/>
      <c r="ERY1510"/>
      <c r="ERZ1510"/>
      <c r="ESA1510"/>
      <c r="ESB1510"/>
      <c r="ESC1510"/>
      <c r="ESD1510"/>
      <c r="ESE1510"/>
      <c r="ESF1510"/>
      <c r="ESG1510"/>
      <c r="ESH1510"/>
      <c r="ESI1510"/>
      <c r="ESJ1510"/>
      <c r="ESK1510"/>
      <c r="ESL1510"/>
      <c r="ESM1510"/>
      <c r="ESN1510"/>
      <c r="ESO1510"/>
      <c r="ESP1510"/>
      <c r="ESQ1510"/>
      <c r="ESR1510"/>
      <c r="ESS1510"/>
      <c r="EST1510"/>
      <c r="ESU1510"/>
      <c r="ESV1510"/>
      <c r="ESW1510"/>
      <c r="ESX1510"/>
      <c r="ESY1510"/>
      <c r="ESZ1510"/>
      <c r="ETA1510"/>
      <c r="ETB1510"/>
      <c r="ETC1510"/>
      <c r="ETD1510"/>
      <c r="ETE1510"/>
      <c r="ETF1510"/>
      <c r="ETG1510"/>
      <c r="ETH1510"/>
      <c r="ETI1510"/>
      <c r="ETJ1510"/>
      <c r="ETK1510"/>
      <c r="ETL1510"/>
      <c r="ETM1510"/>
      <c r="ETN1510"/>
      <c r="ETO1510"/>
      <c r="ETP1510"/>
      <c r="ETQ1510"/>
      <c r="ETR1510"/>
      <c r="ETS1510"/>
      <c r="ETT1510"/>
      <c r="ETU1510"/>
      <c r="ETV1510"/>
      <c r="ETW1510"/>
      <c r="ETX1510"/>
      <c r="ETY1510"/>
      <c r="ETZ1510"/>
      <c r="EUA1510"/>
      <c r="EUB1510"/>
      <c r="EUC1510"/>
      <c r="EUD1510"/>
      <c r="EUE1510"/>
      <c r="EUF1510"/>
      <c r="EUG1510"/>
      <c r="EUH1510"/>
      <c r="EUI1510"/>
      <c r="EUJ1510"/>
      <c r="EUK1510"/>
      <c r="EUL1510"/>
      <c r="EUM1510"/>
      <c r="EUN1510"/>
      <c r="EUO1510"/>
      <c r="EUP1510"/>
      <c r="EUQ1510"/>
      <c r="EUR1510"/>
      <c r="EUS1510"/>
      <c r="EUT1510"/>
      <c r="EUU1510"/>
      <c r="EUV1510"/>
      <c r="EUW1510"/>
      <c r="EUX1510"/>
      <c r="EUY1510"/>
      <c r="EUZ1510"/>
      <c r="EVA1510"/>
      <c r="EVB1510"/>
      <c r="EVC1510"/>
      <c r="EVD1510"/>
      <c r="EVE1510"/>
      <c r="EVF1510"/>
      <c r="EVG1510"/>
      <c r="EVH1510"/>
      <c r="EVI1510"/>
      <c r="EVJ1510"/>
      <c r="EVK1510"/>
      <c r="EVL1510"/>
      <c r="EVM1510"/>
      <c r="EVN1510"/>
      <c r="EVO1510"/>
      <c r="EVP1510"/>
      <c r="EVQ1510"/>
      <c r="EVR1510"/>
      <c r="EVS1510"/>
      <c r="EVT1510"/>
      <c r="EVU1510"/>
      <c r="EVV1510"/>
      <c r="EVW1510"/>
      <c r="EVX1510"/>
      <c r="EVY1510"/>
      <c r="EVZ1510"/>
      <c r="EWA1510"/>
      <c r="EWB1510"/>
      <c r="EWC1510"/>
      <c r="EWD1510"/>
      <c r="EWE1510"/>
      <c r="EWF1510"/>
      <c r="EWG1510"/>
      <c r="EWH1510"/>
      <c r="EWI1510"/>
      <c r="EWJ1510"/>
      <c r="EWK1510"/>
      <c r="EWL1510"/>
      <c r="EWM1510"/>
      <c r="EWN1510"/>
      <c r="EWO1510"/>
      <c r="EWP1510"/>
      <c r="EWQ1510"/>
      <c r="EWR1510"/>
      <c r="EWS1510"/>
      <c r="EWT1510"/>
      <c r="EWU1510"/>
      <c r="EWV1510"/>
      <c r="EWW1510"/>
      <c r="EWX1510"/>
      <c r="EWY1510"/>
      <c r="EWZ1510"/>
      <c r="EXA1510"/>
      <c r="EXB1510"/>
      <c r="EXC1510"/>
      <c r="EXD1510"/>
      <c r="EXE1510"/>
      <c r="EXF1510"/>
      <c r="EXG1510"/>
      <c r="EXH1510"/>
      <c r="EXI1510"/>
      <c r="EXJ1510"/>
      <c r="EXK1510"/>
      <c r="EXL1510"/>
      <c r="EXM1510"/>
      <c r="EXN1510"/>
      <c r="EXO1510"/>
      <c r="EXP1510"/>
      <c r="EXQ1510"/>
      <c r="EXR1510"/>
      <c r="EXS1510"/>
      <c r="EXT1510"/>
      <c r="EXU1510"/>
      <c r="EXV1510"/>
      <c r="EXW1510"/>
      <c r="EXX1510"/>
      <c r="EXY1510"/>
      <c r="EXZ1510"/>
      <c r="EYA1510"/>
      <c r="EYB1510"/>
      <c r="EYC1510"/>
      <c r="EYD1510"/>
      <c r="EYE1510"/>
      <c r="EYF1510"/>
      <c r="EYG1510"/>
      <c r="EYH1510"/>
      <c r="EYI1510"/>
      <c r="EYJ1510"/>
      <c r="EYK1510"/>
      <c r="EYL1510"/>
      <c r="EYM1510"/>
      <c r="EYN1510"/>
      <c r="EYO1510"/>
      <c r="EYP1510"/>
      <c r="EYQ1510"/>
      <c r="EYR1510"/>
      <c r="EYS1510"/>
      <c r="EYT1510"/>
      <c r="EYU1510"/>
      <c r="EYV1510"/>
      <c r="EYW1510"/>
      <c r="EYX1510"/>
      <c r="EYY1510"/>
      <c r="EYZ1510"/>
      <c r="EZA1510"/>
      <c r="EZB1510"/>
      <c r="EZC1510"/>
      <c r="EZD1510"/>
      <c r="EZE1510"/>
      <c r="EZF1510"/>
      <c r="EZG1510"/>
      <c r="EZH1510"/>
      <c r="EZI1510"/>
      <c r="EZJ1510"/>
      <c r="EZK1510"/>
      <c r="EZL1510"/>
      <c r="EZM1510"/>
      <c r="EZN1510"/>
      <c r="EZO1510"/>
      <c r="EZP1510"/>
      <c r="EZQ1510"/>
      <c r="EZR1510"/>
      <c r="EZS1510"/>
      <c r="EZT1510"/>
      <c r="EZU1510"/>
      <c r="EZV1510"/>
      <c r="EZW1510"/>
      <c r="EZX1510"/>
      <c r="EZY1510"/>
      <c r="EZZ1510"/>
      <c r="FAA1510"/>
      <c r="FAB1510"/>
      <c r="FAC1510"/>
      <c r="FAD1510"/>
      <c r="FAE1510"/>
      <c r="FAF1510"/>
      <c r="FAG1510"/>
      <c r="FAH1510"/>
      <c r="FAI1510"/>
      <c r="FAJ1510"/>
      <c r="FAK1510"/>
      <c r="FAL1510"/>
      <c r="FAM1510"/>
      <c r="FAN1510"/>
      <c r="FAO1510"/>
      <c r="FAP1510"/>
      <c r="FAQ1510"/>
      <c r="FAR1510"/>
      <c r="FAS1510"/>
      <c r="FAT1510"/>
      <c r="FAU1510"/>
      <c r="FAV1510"/>
      <c r="FAW1510"/>
      <c r="FAX1510"/>
      <c r="FAY1510"/>
      <c r="FAZ1510"/>
      <c r="FBA1510"/>
      <c r="FBB1510"/>
      <c r="FBC1510"/>
      <c r="FBD1510"/>
      <c r="FBE1510"/>
      <c r="FBF1510"/>
      <c r="FBG1510"/>
      <c r="FBH1510"/>
      <c r="FBI1510"/>
      <c r="FBJ1510"/>
      <c r="FBK1510"/>
      <c r="FBL1510"/>
      <c r="FBM1510"/>
      <c r="FBN1510"/>
      <c r="FBO1510"/>
      <c r="FBP1510"/>
      <c r="FBQ1510"/>
      <c r="FBR1510"/>
      <c r="FBS1510"/>
      <c r="FBT1510"/>
      <c r="FBU1510"/>
      <c r="FBV1510"/>
      <c r="FBW1510"/>
      <c r="FBX1510"/>
      <c r="FBY1510"/>
      <c r="FBZ1510"/>
      <c r="FCA1510"/>
      <c r="FCB1510"/>
      <c r="FCC1510"/>
      <c r="FCD1510"/>
      <c r="FCE1510"/>
      <c r="FCF1510"/>
      <c r="FCG1510"/>
      <c r="FCH1510"/>
      <c r="FCI1510"/>
      <c r="FCJ1510"/>
      <c r="FCK1510"/>
      <c r="FCL1510"/>
      <c r="FCM1510"/>
      <c r="FCN1510"/>
      <c r="FCO1510"/>
      <c r="FCP1510"/>
      <c r="FCQ1510"/>
      <c r="FCR1510"/>
      <c r="FCS1510"/>
      <c r="FCT1510"/>
      <c r="FCU1510"/>
      <c r="FCV1510"/>
      <c r="FCW1510"/>
      <c r="FCX1510"/>
      <c r="FCY1510"/>
      <c r="FCZ1510"/>
      <c r="FDA1510"/>
      <c r="FDB1510"/>
      <c r="FDC1510"/>
      <c r="FDD1510"/>
      <c r="FDE1510"/>
      <c r="FDF1510"/>
      <c r="FDG1510"/>
      <c r="FDH1510"/>
      <c r="FDI1510"/>
      <c r="FDJ1510"/>
      <c r="FDK1510"/>
      <c r="FDL1510"/>
      <c r="FDM1510"/>
      <c r="FDN1510"/>
      <c r="FDO1510"/>
      <c r="FDP1510"/>
      <c r="FDQ1510"/>
      <c r="FDR1510"/>
      <c r="FDS1510"/>
      <c r="FDT1510"/>
      <c r="FDU1510"/>
      <c r="FDV1510"/>
      <c r="FDW1510"/>
      <c r="FDX1510"/>
      <c r="FDY1510"/>
      <c r="FDZ1510"/>
      <c r="FEA1510"/>
      <c r="FEB1510"/>
      <c r="FEC1510"/>
      <c r="FED1510"/>
      <c r="FEE1510"/>
      <c r="FEF1510"/>
      <c r="FEG1510"/>
      <c r="FEH1510"/>
      <c r="FEI1510"/>
      <c r="FEJ1510"/>
      <c r="FEK1510"/>
      <c r="FEL1510"/>
      <c r="FEM1510"/>
      <c r="FEN1510"/>
      <c r="FEO1510"/>
      <c r="FEP1510"/>
      <c r="FEQ1510"/>
      <c r="FER1510"/>
      <c r="FES1510"/>
      <c r="FET1510"/>
      <c r="FEU1510"/>
      <c r="FEV1510"/>
      <c r="FEW1510"/>
      <c r="FEX1510"/>
      <c r="FEY1510"/>
      <c r="FEZ1510"/>
      <c r="FFA1510"/>
      <c r="FFB1510"/>
      <c r="FFC1510"/>
      <c r="FFD1510"/>
      <c r="FFE1510"/>
      <c r="FFF1510"/>
      <c r="FFG1510"/>
      <c r="FFH1510"/>
      <c r="FFI1510"/>
      <c r="FFJ1510"/>
      <c r="FFK1510"/>
      <c r="FFL1510"/>
      <c r="FFM1510"/>
      <c r="FFN1510"/>
      <c r="FFO1510"/>
      <c r="FFP1510"/>
      <c r="FFQ1510"/>
      <c r="FFR1510"/>
      <c r="FFS1510"/>
      <c r="FFT1510"/>
      <c r="FFU1510"/>
      <c r="FFV1510"/>
      <c r="FFW1510"/>
      <c r="FFX1510"/>
      <c r="FFY1510"/>
      <c r="FFZ1510"/>
      <c r="FGA1510"/>
      <c r="FGB1510"/>
      <c r="FGC1510"/>
      <c r="FGD1510"/>
      <c r="FGE1510"/>
      <c r="FGF1510"/>
      <c r="FGG1510"/>
      <c r="FGH1510"/>
      <c r="FGI1510"/>
      <c r="FGJ1510"/>
      <c r="FGK1510"/>
      <c r="FGL1510"/>
      <c r="FGM1510"/>
      <c r="FGN1510"/>
      <c r="FGO1510"/>
      <c r="FGP1510"/>
      <c r="FGQ1510"/>
      <c r="FGR1510"/>
      <c r="FGS1510"/>
      <c r="FGT1510"/>
      <c r="FGU1510"/>
      <c r="FGV1510"/>
      <c r="FGW1510"/>
      <c r="FGX1510"/>
      <c r="FGY1510"/>
      <c r="FGZ1510"/>
      <c r="FHA1510"/>
      <c r="FHB1510"/>
      <c r="FHC1510"/>
      <c r="FHD1510"/>
      <c r="FHE1510"/>
      <c r="FHF1510"/>
      <c r="FHG1510"/>
      <c r="FHH1510"/>
      <c r="FHI1510"/>
      <c r="FHJ1510"/>
      <c r="FHK1510"/>
      <c r="FHL1510"/>
      <c r="FHM1510"/>
      <c r="FHN1510"/>
      <c r="FHO1510"/>
      <c r="FHP1510"/>
      <c r="FHQ1510"/>
      <c r="FHR1510"/>
      <c r="FHS1510"/>
      <c r="FHT1510"/>
      <c r="FHU1510"/>
      <c r="FHV1510"/>
      <c r="FHW1510"/>
      <c r="FHX1510"/>
      <c r="FHY1510"/>
      <c r="FHZ1510"/>
      <c r="FIA1510"/>
      <c r="FIB1510"/>
      <c r="FIC1510"/>
      <c r="FID1510"/>
      <c r="FIE1510"/>
      <c r="FIF1510"/>
      <c r="FIG1510"/>
      <c r="FIH1510"/>
      <c r="FII1510"/>
      <c r="FIJ1510"/>
      <c r="FIK1510"/>
      <c r="FIL1510"/>
      <c r="FIM1510"/>
      <c r="FIN1510"/>
      <c r="FIO1510"/>
      <c r="FIP1510"/>
      <c r="FIQ1510"/>
      <c r="FIR1510"/>
      <c r="FIS1510"/>
      <c r="FIT1510"/>
      <c r="FIU1510"/>
      <c r="FIV1510"/>
      <c r="FIW1510"/>
      <c r="FIX1510"/>
      <c r="FIY1510"/>
      <c r="FIZ1510"/>
      <c r="FJA1510"/>
      <c r="FJB1510"/>
      <c r="FJC1510"/>
      <c r="FJD1510"/>
      <c r="FJE1510"/>
      <c r="FJF1510"/>
      <c r="FJG1510"/>
      <c r="FJH1510"/>
      <c r="FJI1510"/>
      <c r="FJJ1510"/>
      <c r="FJK1510"/>
      <c r="FJL1510"/>
      <c r="FJM1510"/>
      <c r="FJN1510"/>
      <c r="FJO1510"/>
      <c r="FJP1510"/>
      <c r="FJQ1510"/>
      <c r="FJR1510"/>
      <c r="FJS1510"/>
      <c r="FJT1510"/>
      <c r="FJU1510"/>
      <c r="FJV1510"/>
      <c r="FJW1510"/>
      <c r="FJX1510"/>
      <c r="FJY1510"/>
      <c r="FJZ1510"/>
      <c r="FKA1510"/>
      <c r="FKB1510"/>
      <c r="FKC1510"/>
      <c r="FKD1510"/>
      <c r="FKE1510"/>
      <c r="FKF1510"/>
      <c r="FKG1510"/>
      <c r="FKH1510"/>
      <c r="FKI1510"/>
      <c r="FKJ1510"/>
      <c r="FKK1510"/>
      <c r="FKL1510"/>
      <c r="FKM1510"/>
      <c r="FKN1510"/>
      <c r="FKO1510"/>
      <c r="FKP1510"/>
      <c r="FKQ1510"/>
      <c r="FKR1510"/>
      <c r="FKS1510"/>
      <c r="FKT1510"/>
      <c r="FKU1510"/>
      <c r="FKV1510"/>
      <c r="FKW1510"/>
      <c r="FKX1510"/>
      <c r="FKY1510"/>
      <c r="FKZ1510"/>
      <c r="FLA1510"/>
      <c r="FLB1510"/>
      <c r="FLC1510"/>
      <c r="FLD1510"/>
      <c r="FLE1510"/>
      <c r="FLF1510"/>
      <c r="FLG1510"/>
      <c r="FLH1510"/>
      <c r="FLI1510"/>
      <c r="FLJ1510"/>
      <c r="FLK1510"/>
      <c r="FLL1510"/>
      <c r="FLM1510"/>
      <c r="FLN1510"/>
      <c r="FLO1510"/>
      <c r="FLP1510"/>
      <c r="FLQ1510"/>
      <c r="FLR1510"/>
      <c r="FLS1510"/>
      <c r="FLT1510"/>
      <c r="FLU1510"/>
      <c r="FLV1510"/>
      <c r="FLW1510"/>
      <c r="FLX1510"/>
      <c r="FLY1510"/>
      <c r="FLZ1510"/>
      <c r="FMA1510"/>
      <c r="FMB1510"/>
      <c r="FMC1510"/>
      <c r="FMD1510"/>
      <c r="FME1510"/>
      <c r="FMF1510"/>
      <c r="FMG1510"/>
      <c r="FMH1510"/>
      <c r="FMI1510"/>
      <c r="FMJ1510"/>
      <c r="FMK1510"/>
      <c r="FML1510"/>
      <c r="FMM1510"/>
      <c r="FMN1510"/>
      <c r="FMO1510"/>
      <c r="FMP1510"/>
      <c r="FMQ1510"/>
      <c r="FMR1510"/>
      <c r="FMS1510"/>
      <c r="FMT1510"/>
      <c r="FMU1510"/>
      <c r="FMV1510"/>
      <c r="FMW1510"/>
      <c r="FMX1510"/>
      <c r="FMY1510"/>
      <c r="FMZ1510"/>
      <c r="FNA1510"/>
      <c r="FNB1510"/>
      <c r="FNC1510"/>
      <c r="FND1510"/>
      <c r="FNE1510"/>
      <c r="FNF1510"/>
      <c r="FNG1510"/>
      <c r="FNH1510"/>
      <c r="FNI1510"/>
      <c r="FNJ1510"/>
      <c r="FNK1510"/>
      <c r="FNL1510"/>
      <c r="FNM1510"/>
      <c r="FNN1510"/>
      <c r="FNO1510"/>
      <c r="FNP1510"/>
      <c r="FNQ1510"/>
      <c r="FNR1510"/>
      <c r="FNS1510"/>
      <c r="FNT1510"/>
      <c r="FNU1510"/>
      <c r="FNV1510"/>
      <c r="FNW1510"/>
      <c r="FNX1510"/>
      <c r="FNY1510"/>
      <c r="FNZ1510"/>
      <c r="FOA1510"/>
      <c r="FOB1510"/>
      <c r="FOC1510"/>
      <c r="FOD1510"/>
      <c r="FOE1510"/>
      <c r="FOF1510"/>
      <c r="FOG1510"/>
      <c r="FOH1510"/>
      <c r="FOI1510"/>
      <c r="FOJ1510"/>
      <c r="FOK1510"/>
      <c r="FOL1510"/>
      <c r="FOM1510"/>
      <c r="FON1510"/>
      <c r="FOO1510"/>
      <c r="FOP1510"/>
      <c r="FOQ1510"/>
      <c r="FOR1510"/>
      <c r="FOS1510"/>
      <c r="FOT1510"/>
      <c r="FOU1510"/>
      <c r="FOV1510"/>
      <c r="FOW1510"/>
      <c r="FOX1510"/>
      <c r="FOY1510"/>
      <c r="FOZ1510"/>
      <c r="FPA1510"/>
      <c r="FPB1510"/>
      <c r="FPC1510"/>
      <c r="FPD1510"/>
      <c r="FPE1510"/>
      <c r="FPF1510"/>
      <c r="FPG1510"/>
      <c r="FPH1510"/>
      <c r="FPI1510"/>
      <c r="FPJ1510"/>
      <c r="FPK1510"/>
      <c r="FPL1510"/>
      <c r="FPM1510"/>
      <c r="FPN1510"/>
      <c r="FPO1510"/>
      <c r="FPP1510"/>
      <c r="FPQ1510"/>
      <c r="FPR1510"/>
      <c r="FPS1510"/>
      <c r="FPT1510"/>
      <c r="FPU1510"/>
      <c r="FPV1510"/>
      <c r="FPW1510"/>
      <c r="FPX1510"/>
      <c r="FPY1510"/>
      <c r="FPZ1510"/>
      <c r="FQA1510"/>
      <c r="FQB1510"/>
      <c r="FQC1510"/>
      <c r="FQD1510"/>
      <c r="FQE1510"/>
      <c r="FQF1510"/>
      <c r="FQG1510"/>
      <c r="FQH1510"/>
      <c r="FQI1510"/>
      <c r="FQJ1510"/>
      <c r="FQK1510"/>
      <c r="FQL1510"/>
      <c r="FQM1510"/>
      <c r="FQN1510"/>
      <c r="FQO1510"/>
      <c r="FQP1510"/>
      <c r="FQQ1510"/>
      <c r="FQR1510"/>
      <c r="FQS1510"/>
      <c r="FQT1510"/>
      <c r="FQU1510"/>
      <c r="FQV1510"/>
      <c r="FQW1510"/>
      <c r="FQX1510"/>
      <c r="FQY1510"/>
      <c r="FQZ1510"/>
      <c r="FRA1510"/>
      <c r="FRB1510"/>
      <c r="FRC1510"/>
      <c r="FRD1510"/>
      <c r="FRE1510"/>
      <c r="FRF1510"/>
      <c r="FRG1510"/>
      <c r="FRH1510"/>
      <c r="FRI1510"/>
      <c r="FRJ1510"/>
      <c r="FRK1510"/>
      <c r="FRL1510"/>
      <c r="FRM1510"/>
      <c r="FRN1510"/>
      <c r="FRO1510"/>
      <c r="FRP1510"/>
      <c r="FRQ1510"/>
      <c r="FRR1510"/>
      <c r="FRS1510"/>
      <c r="FRT1510"/>
      <c r="FRU1510"/>
      <c r="FRV1510"/>
      <c r="FRW1510"/>
      <c r="FRX1510"/>
      <c r="FRY1510"/>
      <c r="FRZ1510"/>
      <c r="FSA1510"/>
      <c r="FSB1510"/>
      <c r="FSC1510"/>
      <c r="FSD1510"/>
      <c r="FSE1510"/>
      <c r="FSF1510"/>
      <c r="FSG1510"/>
      <c r="FSH1510"/>
      <c r="FSI1510"/>
      <c r="FSJ1510"/>
      <c r="FSK1510"/>
      <c r="FSL1510"/>
      <c r="FSM1510"/>
      <c r="FSN1510"/>
      <c r="FSO1510"/>
      <c r="FSP1510"/>
      <c r="FSQ1510"/>
      <c r="FSR1510"/>
      <c r="FSS1510"/>
      <c r="FST1510"/>
      <c r="FSU1510"/>
      <c r="FSV1510"/>
      <c r="FSW1510"/>
      <c r="FSX1510"/>
      <c r="FSY1510"/>
      <c r="FSZ1510"/>
      <c r="FTA1510"/>
      <c r="FTB1510"/>
      <c r="FTC1510"/>
      <c r="FTD1510"/>
      <c r="FTE1510"/>
      <c r="FTF1510"/>
      <c r="FTG1510"/>
      <c r="FTH1510"/>
      <c r="FTI1510"/>
      <c r="FTJ1510"/>
      <c r="FTK1510"/>
      <c r="FTL1510"/>
      <c r="FTM1510"/>
      <c r="FTN1510"/>
      <c r="FTO1510"/>
      <c r="FTP1510"/>
      <c r="FTQ1510"/>
      <c r="FTR1510"/>
      <c r="FTS1510"/>
      <c r="FTT1510"/>
      <c r="FTU1510"/>
      <c r="FTV1510"/>
      <c r="FTW1510"/>
      <c r="FTX1510"/>
      <c r="FTY1510"/>
      <c r="FTZ1510"/>
      <c r="FUA1510"/>
      <c r="FUB1510"/>
      <c r="FUC1510"/>
      <c r="FUD1510"/>
      <c r="FUE1510"/>
      <c r="FUF1510"/>
      <c r="FUG1510"/>
      <c r="FUH1510"/>
      <c r="FUI1510"/>
      <c r="FUJ1510"/>
      <c r="FUK1510"/>
      <c r="FUL1510"/>
      <c r="FUM1510"/>
      <c r="FUN1510"/>
      <c r="FUO1510"/>
      <c r="FUP1510"/>
      <c r="FUQ1510"/>
      <c r="FUR1510"/>
      <c r="FUS1510"/>
      <c r="FUT1510"/>
      <c r="FUU1510"/>
      <c r="FUV1510"/>
      <c r="FUW1510"/>
      <c r="FUX1510"/>
      <c r="FUY1510"/>
      <c r="FUZ1510"/>
      <c r="FVA1510"/>
      <c r="FVB1510"/>
      <c r="FVC1510"/>
      <c r="FVD1510"/>
      <c r="FVE1510"/>
      <c r="FVF1510"/>
      <c r="FVG1510"/>
      <c r="FVH1510"/>
      <c r="FVI1510"/>
      <c r="FVJ1510"/>
      <c r="FVK1510"/>
      <c r="FVL1510"/>
      <c r="FVM1510"/>
      <c r="FVN1510"/>
      <c r="FVO1510"/>
      <c r="FVP1510"/>
      <c r="FVQ1510"/>
      <c r="FVR1510"/>
      <c r="FVS1510"/>
      <c r="FVT1510"/>
      <c r="FVU1510"/>
      <c r="FVV1510"/>
      <c r="FVW1510"/>
      <c r="FVX1510"/>
      <c r="FVY1510"/>
      <c r="FVZ1510"/>
      <c r="FWA1510"/>
      <c r="FWB1510"/>
      <c r="FWC1510"/>
      <c r="FWD1510"/>
      <c r="FWE1510"/>
      <c r="FWF1510"/>
      <c r="FWG1510"/>
      <c r="FWH1510"/>
      <c r="FWI1510"/>
      <c r="FWJ1510"/>
      <c r="FWK1510"/>
      <c r="FWL1510"/>
      <c r="FWM1510"/>
      <c r="FWN1510"/>
      <c r="FWO1510"/>
      <c r="FWP1510"/>
      <c r="FWQ1510"/>
      <c r="FWR1510"/>
      <c r="FWS1510"/>
      <c r="FWT1510"/>
      <c r="FWU1510"/>
      <c r="FWV1510"/>
      <c r="FWW1510"/>
      <c r="FWX1510"/>
      <c r="FWY1510"/>
      <c r="FWZ1510"/>
      <c r="FXA1510"/>
      <c r="FXB1510"/>
      <c r="FXC1510"/>
      <c r="FXD1510"/>
      <c r="FXE1510"/>
      <c r="FXF1510"/>
      <c r="FXG1510"/>
      <c r="FXH1510"/>
      <c r="FXI1510"/>
      <c r="FXJ1510"/>
      <c r="FXK1510"/>
      <c r="FXL1510"/>
      <c r="FXM1510"/>
      <c r="FXN1510"/>
      <c r="FXO1510"/>
      <c r="FXP1510"/>
      <c r="FXQ1510"/>
      <c r="FXR1510"/>
      <c r="FXS1510"/>
      <c r="FXT1510"/>
      <c r="FXU1510"/>
      <c r="FXV1510"/>
      <c r="FXW1510"/>
      <c r="FXX1510"/>
      <c r="FXY1510"/>
      <c r="FXZ1510"/>
      <c r="FYA1510"/>
      <c r="FYB1510"/>
      <c r="FYC1510"/>
      <c r="FYD1510"/>
      <c r="FYE1510"/>
      <c r="FYF1510"/>
      <c r="FYG1510"/>
      <c r="FYH1510"/>
      <c r="FYI1510"/>
      <c r="FYJ1510"/>
      <c r="FYK1510"/>
      <c r="FYL1510"/>
      <c r="FYM1510"/>
      <c r="FYN1510"/>
      <c r="FYO1510"/>
      <c r="FYP1510"/>
      <c r="FYQ1510"/>
      <c r="FYR1510"/>
      <c r="FYS1510"/>
      <c r="FYT1510"/>
      <c r="FYU1510"/>
      <c r="FYV1510"/>
      <c r="FYW1510"/>
      <c r="FYX1510"/>
      <c r="FYY1510"/>
      <c r="FYZ1510"/>
      <c r="FZA1510"/>
      <c r="FZB1510"/>
      <c r="FZC1510"/>
      <c r="FZD1510"/>
      <c r="FZE1510"/>
      <c r="FZF1510"/>
      <c r="FZG1510"/>
      <c r="FZH1510"/>
      <c r="FZI1510"/>
      <c r="FZJ1510"/>
      <c r="FZK1510"/>
      <c r="FZL1510"/>
      <c r="FZM1510"/>
      <c r="FZN1510"/>
      <c r="FZO1510"/>
      <c r="FZP1510"/>
      <c r="FZQ1510"/>
      <c r="FZR1510"/>
      <c r="FZS1510"/>
      <c r="FZT1510"/>
      <c r="FZU1510"/>
      <c r="FZV1510"/>
      <c r="FZW1510"/>
      <c r="FZX1510"/>
      <c r="FZY1510"/>
      <c r="FZZ1510"/>
      <c r="GAA1510"/>
      <c r="GAB1510"/>
      <c r="GAC1510"/>
      <c r="GAD1510"/>
      <c r="GAE1510"/>
      <c r="GAF1510"/>
      <c r="GAG1510"/>
      <c r="GAH1510"/>
      <c r="GAI1510"/>
      <c r="GAJ1510"/>
      <c r="GAK1510"/>
      <c r="GAL1510"/>
      <c r="GAM1510"/>
      <c r="GAN1510"/>
      <c r="GAO1510"/>
      <c r="GAP1510"/>
      <c r="GAQ1510"/>
      <c r="GAR1510"/>
      <c r="GAS1510"/>
      <c r="GAT1510"/>
      <c r="GAU1510"/>
      <c r="GAV1510"/>
      <c r="GAW1510"/>
      <c r="GAX1510"/>
      <c r="GAY1510"/>
      <c r="GAZ1510"/>
      <c r="GBA1510"/>
      <c r="GBB1510"/>
      <c r="GBC1510"/>
      <c r="GBD1510"/>
      <c r="GBE1510"/>
      <c r="GBF1510"/>
      <c r="GBG1510"/>
      <c r="GBH1510"/>
      <c r="GBI1510"/>
      <c r="GBJ1510"/>
      <c r="GBK1510"/>
      <c r="GBL1510"/>
      <c r="GBM1510"/>
      <c r="GBN1510"/>
      <c r="GBO1510"/>
      <c r="GBP1510"/>
      <c r="GBQ1510"/>
      <c r="GBR1510"/>
      <c r="GBS1510"/>
      <c r="GBT1510"/>
      <c r="GBU1510"/>
      <c r="GBV1510"/>
      <c r="GBW1510"/>
      <c r="GBX1510"/>
      <c r="GBY1510"/>
      <c r="GBZ1510"/>
      <c r="GCA1510"/>
      <c r="GCB1510"/>
      <c r="GCC1510"/>
      <c r="GCD1510"/>
      <c r="GCE1510"/>
      <c r="GCF1510"/>
      <c r="GCG1510"/>
      <c r="GCH1510"/>
      <c r="GCI1510"/>
      <c r="GCJ1510"/>
      <c r="GCK1510"/>
      <c r="GCL1510"/>
      <c r="GCM1510"/>
      <c r="GCN1510"/>
      <c r="GCO1510"/>
      <c r="GCP1510"/>
      <c r="GCQ1510"/>
      <c r="GCR1510"/>
      <c r="GCS1510"/>
      <c r="GCT1510"/>
      <c r="GCU1510"/>
      <c r="GCV1510"/>
      <c r="GCW1510"/>
      <c r="GCX1510"/>
      <c r="GCY1510"/>
      <c r="GCZ1510"/>
      <c r="GDA1510"/>
      <c r="GDB1510"/>
      <c r="GDC1510"/>
      <c r="GDD1510"/>
      <c r="GDE1510"/>
      <c r="GDF1510"/>
      <c r="GDG1510"/>
      <c r="GDH1510"/>
      <c r="GDI1510"/>
      <c r="GDJ1510"/>
      <c r="GDK1510"/>
      <c r="GDL1510"/>
      <c r="GDM1510"/>
      <c r="GDN1510"/>
      <c r="GDO1510"/>
      <c r="GDP1510"/>
      <c r="GDQ1510"/>
      <c r="GDR1510"/>
      <c r="GDS1510"/>
      <c r="GDT1510"/>
      <c r="GDU1510"/>
      <c r="GDV1510"/>
      <c r="GDW1510"/>
      <c r="GDX1510"/>
      <c r="GDY1510"/>
      <c r="GDZ1510"/>
      <c r="GEA1510"/>
      <c r="GEB1510"/>
      <c r="GEC1510"/>
      <c r="GED1510"/>
      <c r="GEE1510"/>
      <c r="GEF1510"/>
      <c r="GEG1510"/>
      <c r="GEH1510"/>
      <c r="GEI1510"/>
      <c r="GEJ1510"/>
      <c r="GEK1510"/>
      <c r="GEL1510"/>
      <c r="GEM1510"/>
      <c r="GEN1510"/>
      <c r="GEO1510"/>
      <c r="GEP1510"/>
      <c r="GEQ1510"/>
      <c r="GER1510"/>
      <c r="GES1510"/>
      <c r="GET1510"/>
      <c r="GEU1510"/>
      <c r="GEV1510"/>
      <c r="GEW1510"/>
      <c r="GEX1510"/>
      <c r="GEY1510"/>
      <c r="GEZ1510"/>
      <c r="GFA1510"/>
      <c r="GFB1510"/>
      <c r="GFC1510"/>
      <c r="GFD1510"/>
      <c r="GFE1510"/>
      <c r="GFF1510"/>
      <c r="GFG1510"/>
      <c r="GFH1510"/>
      <c r="GFI1510"/>
      <c r="GFJ1510"/>
      <c r="GFK1510"/>
      <c r="GFL1510"/>
      <c r="GFM1510"/>
      <c r="GFN1510"/>
      <c r="GFO1510"/>
      <c r="GFP1510"/>
      <c r="GFQ1510"/>
      <c r="GFR1510"/>
      <c r="GFS1510"/>
      <c r="GFT1510"/>
      <c r="GFU1510"/>
      <c r="GFV1510"/>
      <c r="GFW1510"/>
      <c r="GFX1510"/>
      <c r="GFY1510"/>
      <c r="GFZ1510"/>
      <c r="GGA1510"/>
      <c r="GGB1510"/>
      <c r="GGC1510"/>
      <c r="GGD1510"/>
      <c r="GGE1510"/>
      <c r="GGF1510"/>
      <c r="GGG1510"/>
      <c r="GGH1510"/>
      <c r="GGI1510"/>
      <c r="GGJ1510"/>
      <c r="GGK1510"/>
      <c r="GGL1510"/>
      <c r="GGM1510"/>
      <c r="GGN1510"/>
      <c r="GGO1510"/>
      <c r="GGP1510"/>
      <c r="GGQ1510"/>
      <c r="GGR1510"/>
      <c r="GGS1510"/>
      <c r="GGT1510"/>
      <c r="GGU1510"/>
      <c r="GGV1510"/>
      <c r="GGW1510"/>
      <c r="GGX1510"/>
      <c r="GGY1510"/>
      <c r="GGZ1510"/>
      <c r="GHA1510"/>
      <c r="GHB1510"/>
      <c r="GHC1510"/>
      <c r="GHD1510"/>
      <c r="GHE1510"/>
      <c r="GHF1510"/>
      <c r="GHG1510"/>
      <c r="GHH1510"/>
      <c r="GHI1510"/>
      <c r="GHJ1510"/>
      <c r="GHK1510"/>
      <c r="GHL1510"/>
      <c r="GHM1510"/>
      <c r="GHN1510"/>
      <c r="GHO1510"/>
      <c r="GHP1510"/>
      <c r="GHQ1510"/>
      <c r="GHR1510"/>
      <c r="GHS1510"/>
      <c r="GHT1510"/>
      <c r="GHU1510"/>
      <c r="GHV1510"/>
      <c r="GHW1510"/>
      <c r="GHX1510"/>
      <c r="GHY1510"/>
      <c r="GHZ1510"/>
      <c r="GIA1510"/>
      <c r="GIB1510"/>
      <c r="GIC1510"/>
      <c r="GID1510"/>
      <c r="GIE1510"/>
      <c r="GIF1510"/>
      <c r="GIG1510"/>
      <c r="GIH1510"/>
      <c r="GII1510"/>
      <c r="GIJ1510"/>
      <c r="GIK1510"/>
      <c r="GIL1510"/>
      <c r="GIM1510"/>
      <c r="GIN1510"/>
      <c r="GIO1510"/>
      <c r="GIP1510"/>
      <c r="GIQ1510"/>
      <c r="GIR1510"/>
      <c r="GIS1510"/>
      <c r="GIT1510"/>
      <c r="GIU1510"/>
      <c r="GIV1510"/>
      <c r="GIW1510"/>
      <c r="GIX1510"/>
      <c r="GIY1510"/>
      <c r="GIZ1510"/>
      <c r="GJA1510"/>
      <c r="GJB1510"/>
      <c r="GJC1510"/>
      <c r="GJD1510"/>
      <c r="GJE1510"/>
      <c r="GJF1510"/>
      <c r="GJG1510"/>
      <c r="GJH1510"/>
      <c r="GJI1510"/>
      <c r="GJJ1510"/>
      <c r="GJK1510"/>
      <c r="GJL1510"/>
      <c r="GJM1510"/>
      <c r="GJN1510"/>
      <c r="GJO1510"/>
      <c r="GJP1510"/>
      <c r="GJQ1510"/>
      <c r="GJR1510"/>
      <c r="GJS1510"/>
      <c r="GJT1510"/>
      <c r="GJU1510"/>
      <c r="GJV1510"/>
      <c r="GJW1510"/>
      <c r="GJX1510"/>
      <c r="GJY1510"/>
      <c r="GJZ1510"/>
      <c r="GKA1510"/>
      <c r="GKB1510"/>
      <c r="GKC1510"/>
      <c r="GKD1510"/>
      <c r="GKE1510"/>
      <c r="GKF1510"/>
      <c r="GKG1510"/>
      <c r="GKH1510"/>
      <c r="GKI1510"/>
      <c r="GKJ1510"/>
      <c r="GKK1510"/>
      <c r="GKL1510"/>
      <c r="GKM1510"/>
      <c r="GKN1510"/>
      <c r="GKO1510"/>
      <c r="GKP1510"/>
      <c r="GKQ1510"/>
      <c r="GKR1510"/>
      <c r="GKS1510"/>
      <c r="GKT1510"/>
      <c r="GKU1510"/>
      <c r="GKV1510"/>
      <c r="GKW1510"/>
      <c r="GKX1510"/>
      <c r="GKY1510"/>
      <c r="GKZ1510"/>
      <c r="GLA1510"/>
      <c r="GLB1510"/>
      <c r="GLC1510"/>
      <c r="GLD1510"/>
      <c r="GLE1510"/>
      <c r="GLF1510"/>
      <c r="GLG1510"/>
      <c r="GLH1510"/>
      <c r="GLI1510"/>
      <c r="GLJ1510"/>
      <c r="GLK1510"/>
      <c r="GLL1510"/>
      <c r="GLM1510"/>
      <c r="GLN1510"/>
      <c r="GLO1510"/>
      <c r="GLP1510"/>
      <c r="GLQ1510"/>
      <c r="GLR1510"/>
      <c r="GLS1510"/>
      <c r="GLT1510"/>
      <c r="GLU1510"/>
      <c r="GLV1510"/>
      <c r="GLW1510"/>
      <c r="GLX1510"/>
      <c r="GLY1510"/>
      <c r="GLZ1510"/>
      <c r="GMA1510"/>
      <c r="GMB1510"/>
      <c r="GMC1510"/>
      <c r="GMD1510"/>
      <c r="GME1510"/>
      <c r="GMF1510"/>
      <c r="GMG1510"/>
      <c r="GMH1510"/>
      <c r="GMI1510"/>
      <c r="GMJ1510"/>
      <c r="GMK1510"/>
      <c r="GML1510"/>
      <c r="GMM1510"/>
      <c r="GMN1510"/>
      <c r="GMO1510"/>
      <c r="GMP1510"/>
      <c r="GMQ1510"/>
      <c r="GMR1510"/>
      <c r="GMS1510"/>
      <c r="GMT1510"/>
      <c r="GMU1510"/>
      <c r="GMV1510"/>
      <c r="GMW1510"/>
      <c r="GMX1510"/>
      <c r="GMY1510"/>
      <c r="GMZ1510"/>
      <c r="GNA1510"/>
      <c r="GNB1510"/>
      <c r="GNC1510"/>
      <c r="GND1510"/>
      <c r="GNE1510"/>
      <c r="GNF1510"/>
      <c r="GNG1510"/>
      <c r="GNH1510"/>
      <c r="GNI1510"/>
      <c r="GNJ1510"/>
      <c r="GNK1510"/>
      <c r="GNL1510"/>
      <c r="GNM1510"/>
      <c r="GNN1510"/>
      <c r="GNO1510"/>
      <c r="GNP1510"/>
      <c r="GNQ1510"/>
      <c r="GNR1510"/>
      <c r="GNS1510"/>
      <c r="GNT1510"/>
      <c r="GNU1510"/>
      <c r="GNV1510"/>
      <c r="GNW1510"/>
      <c r="GNX1510"/>
      <c r="GNY1510"/>
      <c r="GNZ1510"/>
      <c r="GOA1510"/>
      <c r="GOB1510"/>
      <c r="GOC1510"/>
      <c r="GOD1510"/>
      <c r="GOE1510"/>
      <c r="GOF1510"/>
      <c r="GOG1510"/>
      <c r="GOH1510"/>
      <c r="GOI1510"/>
      <c r="GOJ1510"/>
      <c r="GOK1510"/>
      <c r="GOL1510"/>
      <c r="GOM1510"/>
      <c r="GON1510"/>
      <c r="GOO1510"/>
      <c r="GOP1510"/>
      <c r="GOQ1510"/>
      <c r="GOR1510"/>
      <c r="GOS1510"/>
      <c r="GOT1510"/>
      <c r="GOU1510"/>
      <c r="GOV1510"/>
      <c r="GOW1510"/>
      <c r="GOX1510"/>
      <c r="GOY1510"/>
      <c r="GOZ1510"/>
      <c r="GPA1510"/>
      <c r="GPB1510"/>
      <c r="GPC1510"/>
      <c r="GPD1510"/>
      <c r="GPE1510"/>
      <c r="GPF1510"/>
      <c r="GPG1510"/>
      <c r="GPH1510"/>
      <c r="GPI1510"/>
      <c r="GPJ1510"/>
      <c r="GPK1510"/>
      <c r="GPL1510"/>
      <c r="GPM1510"/>
      <c r="GPN1510"/>
      <c r="GPO1510"/>
      <c r="GPP1510"/>
      <c r="GPQ1510"/>
      <c r="GPR1510"/>
      <c r="GPS1510"/>
      <c r="GPT1510"/>
      <c r="GPU1510"/>
      <c r="GPV1510"/>
      <c r="GPW1510"/>
      <c r="GPX1510"/>
      <c r="GPY1510"/>
      <c r="GPZ1510"/>
      <c r="GQA1510"/>
      <c r="GQB1510"/>
      <c r="GQC1510"/>
      <c r="GQD1510"/>
      <c r="GQE1510"/>
      <c r="GQF1510"/>
      <c r="GQG1510"/>
      <c r="GQH1510"/>
      <c r="GQI1510"/>
      <c r="GQJ1510"/>
      <c r="GQK1510"/>
      <c r="GQL1510"/>
      <c r="GQM1510"/>
      <c r="GQN1510"/>
      <c r="GQO1510"/>
      <c r="GQP1510"/>
      <c r="GQQ1510"/>
      <c r="GQR1510"/>
      <c r="GQS1510"/>
      <c r="GQT1510"/>
      <c r="GQU1510"/>
      <c r="GQV1510"/>
      <c r="GQW1510"/>
      <c r="GQX1510"/>
      <c r="GQY1510"/>
      <c r="GQZ1510"/>
      <c r="GRA1510"/>
      <c r="GRB1510"/>
      <c r="GRC1510"/>
      <c r="GRD1510"/>
      <c r="GRE1510"/>
      <c r="GRF1510"/>
      <c r="GRG1510"/>
      <c r="GRH1510"/>
      <c r="GRI1510"/>
      <c r="GRJ1510"/>
      <c r="GRK1510"/>
      <c r="GRL1510"/>
      <c r="GRM1510"/>
      <c r="GRN1510"/>
      <c r="GRO1510"/>
      <c r="GRP1510"/>
      <c r="GRQ1510"/>
      <c r="GRR1510"/>
      <c r="GRS1510"/>
      <c r="GRT1510"/>
      <c r="GRU1510"/>
      <c r="GRV1510"/>
      <c r="GRW1510"/>
      <c r="GRX1510"/>
      <c r="GRY1510"/>
      <c r="GRZ1510"/>
      <c r="GSA1510"/>
      <c r="GSB1510"/>
      <c r="GSC1510"/>
      <c r="GSD1510"/>
      <c r="GSE1510"/>
      <c r="GSF1510"/>
      <c r="GSG1510"/>
      <c r="GSH1510"/>
      <c r="GSI1510"/>
      <c r="GSJ1510"/>
      <c r="GSK1510"/>
      <c r="GSL1510"/>
      <c r="GSM1510"/>
      <c r="GSN1510"/>
      <c r="GSO1510"/>
      <c r="GSP1510"/>
      <c r="GSQ1510"/>
      <c r="GSR1510"/>
      <c r="GSS1510"/>
      <c r="GST1510"/>
      <c r="GSU1510"/>
      <c r="GSV1510"/>
      <c r="GSW1510"/>
      <c r="GSX1510"/>
      <c r="GSY1510"/>
      <c r="GSZ1510"/>
      <c r="GTA1510"/>
      <c r="GTB1510"/>
      <c r="GTC1510"/>
      <c r="GTD1510"/>
      <c r="GTE1510"/>
      <c r="GTF1510"/>
      <c r="GTG1510"/>
      <c r="GTH1510"/>
      <c r="GTI1510"/>
      <c r="GTJ1510"/>
      <c r="GTK1510"/>
      <c r="GTL1510"/>
      <c r="GTM1510"/>
      <c r="GTN1510"/>
      <c r="GTO1510"/>
      <c r="GTP1510"/>
      <c r="GTQ1510"/>
      <c r="GTR1510"/>
      <c r="GTS1510"/>
      <c r="GTT1510"/>
      <c r="GTU1510"/>
      <c r="GTV1510"/>
      <c r="GTW1510"/>
      <c r="GTX1510"/>
      <c r="GTY1510"/>
      <c r="GTZ1510"/>
      <c r="GUA1510"/>
      <c r="GUB1510"/>
      <c r="GUC1510"/>
      <c r="GUD1510"/>
      <c r="GUE1510"/>
      <c r="GUF1510"/>
      <c r="GUG1510"/>
      <c r="GUH1510"/>
      <c r="GUI1510"/>
      <c r="GUJ1510"/>
      <c r="GUK1510"/>
      <c r="GUL1510"/>
      <c r="GUM1510"/>
      <c r="GUN1510"/>
      <c r="GUO1510"/>
      <c r="GUP1510"/>
      <c r="GUQ1510"/>
      <c r="GUR1510"/>
      <c r="GUS1510"/>
      <c r="GUT1510"/>
      <c r="GUU1510"/>
      <c r="GUV1510"/>
      <c r="GUW1510"/>
      <c r="GUX1510"/>
      <c r="GUY1510"/>
      <c r="GUZ1510"/>
      <c r="GVA1510"/>
      <c r="GVB1510"/>
      <c r="GVC1510"/>
      <c r="GVD1510"/>
      <c r="GVE1510"/>
      <c r="GVF1510"/>
      <c r="GVG1510"/>
      <c r="GVH1510"/>
      <c r="GVI1510"/>
      <c r="GVJ1510"/>
      <c r="GVK1510"/>
      <c r="GVL1510"/>
      <c r="GVM1510"/>
      <c r="GVN1510"/>
      <c r="GVO1510"/>
      <c r="GVP1510"/>
      <c r="GVQ1510"/>
      <c r="GVR1510"/>
      <c r="GVS1510"/>
      <c r="GVT1510"/>
      <c r="GVU1510"/>
      <c r="GVV1510"/>
      <c r="GVW1510"/>
      <c r="GVX1510"/>
      <c r="GVY1510"/>
      <c r="GVZ1510"/>
      <c r="GWA1510"/>
      <c r="GWB1510"/>
      <c r="GWC1510"/>
      <c r="GWD1510"/>
      <c r="GWE1510"/>
      <c r="GWF1510"/>
      <c r="GWG1510"/>
      <c r="GWH1510"/>
      <c r="GWI1510"/>
      <c r="GWJ1510"/>
      <c r="GWK1510"/>
      <c r="GWL1510"/>
      <c r="GWM1510"/>
      <c r="GWN1510"/>
      <c r="GWO1510"/>
      <c r="GWP1510"/>
      <c r="GWQ1510"/>
      <c r="GWR1510"/>
      <c r="GWS1510"/>
      <c r="GWT1510"/>
      <c r="GWU1510"/>
      <c r="GWV1510"/>
      <c r="GWW1510"/>
      <c r="GWX1510"/>
      <c r="GWY1510"/>
      <c r="GWZ1510"/>
      <c r="GXA1510"/>
      <c r="GXB1510"/>
      <c r="GXC1510"/>
      <c r="GXD1510"/>
      <c r="GXE1510"/>
      <c r="GXF1510"/>
      <c r="GXG1510"/>
      <c r="GXH1510"/>
      <c r="GXI1510"/>
      <c r="GXJ1510"/>
      <c r="GXK1510"/>
      <c r="GXL1510"/>
      <c r="GXM1510"/>
      <c r="GXN1510"/>
      <c r="GXO1510"/>
      <c r="GXP1510"/>
      <c r="GXQ1510"/>
      <c r="GXR1510"/>
      <c r="GXS1510"/>
      <c r="GXT1510"/>
      <c r="GXU1510"/>
      <c r="GXV1510"/>
      <c r="GXW1510"/>
      <c r="GXX1510"/>
      <c r="GXY1510"/>
      <c r="GXZ1510"/>
      <c r="GYA1510"/>
      <c r="GYB1510"/>
      <c r="GYC1510"/>
      <c r="GYD1510"/>
      <c r="GYE1510"/>
      <c r="GYF1510"/>
      <c r="GYG1510"/>
      <c r="GYH1510"/>
      <c r="GYI1510"/>
      <c r="GYJ1510"/>
      <c r="GYK1510"/>
      <c r="GYL1510"/>
      <c r="GYM1510"/>
      <c r="GYN1510"/>
      <c r="GYO1510"/>
      <c r="GYP1510"/>
      <c r="GYQ1510"/>
      <c r="GYR1510"/>
      <c r="GYS1510"/>
      <c r="GYT1510"/>
      <c r="GYU1510"/>
      <c r="GYV1510"/>
      <c r="GYW1510"/>
      <c r="GYX1510"/>
      <c r="GYY1510"/>
      <c r="GYZ1510"/>
      <c r="GZA1510"/>
      <c r="GZB1510"/>
      <c r="GZC1510"/>
      <c r="GZD1510"/>
      <c r="GZE1510"/>
      <c r="GZF1510"/>
      <c r="GZG1510"/>
      <c r="GZH1510"/>
      <c r="GZI1510"/>
      <c r="GZJ1510"/>
      <c r="GZK1510"/>
      <c r="GZL1510"/>
      <c r="GZM1510"/>
      <c r="GZN1510"/>
      <c r="GZO1510"/>
      <c r="GZP1510"/>
      <c r="GZQ1510"/>
      <c r="GZR1510"/>
      <c r="GZS1510"/>
      <c r="GZT1510"/>
      <c r="GZU1510"/>
      <c r="GZV1510"/>
      <c r="GZW1510"/>
      <c r="GZX1510"/>
      <c r="GZY1510"/>
      <c r="GZZ1510"/>
      <c r="HAA1510"/>
      <c r="HAB1510"/>
      <c r="HAC1510"/>
      <c r="HAD1510"/>
      <c r="HAE1510"/>
      <c r="HAF1510"/>
      <c r="HAG1510"/>
      <c r="HAH1510"/>
      <c r="HAI1510"/>
      <c r="HAJ1510"/>
      <c r="HAK1510"/>
      <c r="HAL1510"/>
      <c r="HAM1510"/>
      <c r="HAN1510"/>
      <c r="HAO1510"/>
      <c r="HAP1510"/>
      <c r="HAQ1510"/>
      <c r="HAR1510"/>
      <c r="HAS1510"/>
      <c r="HAT1510"/>
      <c r="HAU1510"/>
      <c r="HAV1510"/>
      <c r="HAW1510"/>
      <c r="HAX1510"/>
      <c r="HAY1510"/>
      <c r="HAZ1510"/>
      <c r="HBA1510"/>
      <c r="HBB1510"/>
      <c r="HBC1510"/>
      <c r="HBD1510"/>
      <c r="HBE1510"/>
      <c r="HBF1510"/>
      <c r="HBG1510"/>
      <c r="HBH1510"/>
      <c r="HBI1510"/>
      <c r="HBJ1510"/>
      <c r="HBK1510"/>
      <c r="HBL1510"/>
      <c r="HBM1510"/>
      <c r="HBN1510"/>
      <c r="HBO1510"/>
      <c r="HBP1510"/>
      <c r="HBQ1510"/>
      <c r="HBR1510"/>
      <c r="HBS1510"/>
      <c r="HBT1510"/>
      <c r="HBU1510"/>
      <c r="HBV1510"/>
      <c r="HBW1510"/>
      <c r="HBX1510"/>
      <c r="HBY1510"/>
      <c r="HBZ1510"/>
      <c r="HCA1510"/>
      <c r="HCB1510"/>
      <c r="HCC1510"/>
      <c r="HCD1510"/>
      <c r="HCE1510"/>
      <c r="HCF1510"/>
      <c r="HCG1510"/>
      <c r="HCH1510"/>
      <c r="HCI1510"/>
      <c r="HCJ1510"/>
      <c r="HCK1510"/>
      <c r="HCL1510"/>
      <c r="HCM1510"/>
      <c r="HCN1510"/>
      <c r="HCO1510"/>
      <c r="HCP1510"/>
      <c r="HCQ1510"/>
      <c r="HCR1510"/>
      <c r="HCS1510"/>
      <c r="HCT1510"/>
      <c r="HCU1510"/>
      <c r="HCV1510"/>
      <c r="HCW1510"/>
      <c r="HCX1510"/>
      <c r="HCY1510"/>
      <c r="HCZ1510"/>
      <c r="HDA1510"/>
      <c r="HDB1510"/>
      <c r="HDC1510"/>
      <c r="HDD1510"/>
      <c r="HDE1510"/>
      <c r="HDF1510"/>
      <c r="HDG1510"/>
      <c r="HDH1510"/>
      <c r="HDI1510"/>
      <c r="HDJ1510"/>
      <c r="HDK1510"/>
      <c r="HDL1510"/>
      <c r="HDM1510"/>
      <c r="HDN1510"/>
      <c r="HDO1510"/>
      <c r="HDP1510"/>
      <c r="HDQ1510"/>
      <c r="HDR1510"/>
      <c r="HDS1510"/>
      <c r="HDT1510"/>
      <c r="HDU1510"/>
      <c r="HDV1510"/>
      <c r="HDW1510"/>
      <c r="HDX1510"/>
      <c r="HDY1510"/>
      <c r="HDZ1510"/>
      <c r="HEA1510"/>
      <c r="HEB1510"/>
      <c r="HEC1510"/>
      <c r="HED1510"/>
      <c r="HEE1510"/>
      <c r="HEF1510"/>
      <c r="HEG1510"/>
      <c r="HEH1510"/>
      <c r="HEI1510"/>
      <c r="HEJ1510"/>
      <c r="HEK1510"/>
      <c r="HEL1510"/>
      <c r="HEM1510"/>
      <c r="HEN1510"/>
      <c r="HEO1510"/>
      <c r="HEP1510"/>
      <c r="HEQ1510"/>
      <c r="HER1510"/>
      <c r="HES1510"/>
      <c r="HET1510"/>
      <c r="HEU1510"/>
      <c r="HEV1510"/>
      <c r="HEW1510"/>
      <c r="HEX1510"/>
      <c r="HEY1510"/>
      <c r="HEZ1510"/>
      <c r="HFA1510"/>
      <c r="HFB1510"/>
      <c r="HFC1510"/>
      <c r="HFD1510"/>
      <c r="HFE1510"/>
      <c r="HFF1510"/>
      <c r="HFG1510"/>
      <c r="HFH1510"/>
      <c r="HFI1510"/>
      <c r="HFJ1510"/>
      <c r="HFK1510"/>
      <c r="HFL1510"/>
      <c r="HFM1510"/>
      <c r="HFN1510"/>
      <c r="HFO1510"/>
      <c r="HFP1510"/>
      <c r="HFQ1510"/>
      <c r="HFR1510"/>
      <c r="HFS1510"/>
      <c r="HFT1510"/>
      <c r="HFU1510"/>
      <c r="HFV1510"/>
      <c r="HFW1510"/>
      <c r="HFX1510"/>
      <c r="HFY1510"/>
      <c r="HFZ1510"/>
      <c r="HGA1510"/>
      <c r="HGB1510"/>
      <c r="HGC1510"/>
      <c r="HGD1510"/>
      <c r="HGE1510"/>
      <c r="HGF1510"/>
      <c r="HGG1510"/>
      <c r="HGH1510"/>
      <c r="HGI1510"/>
      <c r="HGJ1510"/>
      <c r="HGK1510"/>
      <c r="HGL1510"/>
      <c r="HGM1510"/>
      <c r="HGN1510"/>
      <c r="HGO1510"/>
      <c r="HGP1510"/>
      <c r="HGQ1510"/>
      <c r="HGR1510"/>
      <c r="HGS1510"/>
      <c r="HGT1510"/>
      <c r="HGU1510"/>
      <c r="HGV1510"/>
      <c r="HGW1510"/>
      <c r="HGX1510"/>
      <c r="HGY1510"/>
      <c r="HGZ1510"/>
      <c r="HHA1510"/>
      <c r="HHB1510"/>
      <c r="HHC1510"/>
      <c r="HHD1510"/>
      <c r="HHE1510"/>
      <c r="HHF1510"/>
      <c r="HHG1510"/>
      <c r="HHH1510"/>
      <c r="HHI1510"/>
      <c r="HHJ1510"/>
      <c r="HHK1510"/>
      <c r="HHL1510"/>
      <c r="HHM1510"/>
      <c r="HHN1510"/>
      <c r="HHO1510"/>
      <c r="HHP1510"/>
      <c r="HHQ1510"/>
      <c r="HHR1510"/>
      <c r="HHS1510"/>
      <c r="HHT1510"/>
      <c r="HHU1510"/>
      <c r="HHV1510"/>
      <c r="HHW1510"/>
      <c r="HHX1510"/>
      <c r="HHY1510"/>
      <c r="HHZ1510"/>
      <c r="HIA1510"/>
      <c r="HIB1510"/>
      <c r="HIC1510"/>
      <c r="HID1510"/>
      <c r="HIE1510"/>
      <c r="HIF1510"/>
      <c r="HIG1510"/>
      <c r="HIH1510"/>
      <c r="HII1510"/>
      <c r="HIJ1510"/>
      <c r="HIK1510"/>
      <c r="HIL1510"/>
      <c r="HIM1510"/>
      <c r="HIN1510"/>
      <c r="HIO1510"/>
      <c r="HIP1510"/>
      <c r="HIQ1510"/>
      <c r="HIR1510"/>
      <c r="HIS1510"/>
      <c r="HIT1510"/>
      <c r="HIU1510"/>
      <c r="HIV1510"/>
      <c r="HIW1510"/>
      <c r="HIX1510"/>
      <c r="HIY1510"/>
      <c r="HIZ1510"/>
      <c r="HJA1510"/>
      <c r="HJB1510"/>
      <c r="HJC1510"/>
      <c r="HJD1510"/>
      <c r="HJE1510"/>
      <c r="HJF1510"/>
      <c r="HJG1510"/>
      <c r="HJH1510"/>
      <c r="HJI1510"/>
      <c r="HJJ1510"/>
      <c r="HJK1510"/>
      <c r="HJL1510"/>
      <c r="HJM1510"/>
      <c r="HJN1510"/>
      <c r="HJO1510"/>
      <c r="HJP1510"/>
      <c r="HJQ1510"/>
      <c r="HJR1510"/>
      <c r="HJS1510"/>
      <c r="HJT1510"/>
      <c r="HJU1510"/>
      <c r="HJV1510"/>
      <c r="HJW1510"/>
      <c r="HJX1510"/>
      <c r="HJY1510"/>
      <c r="HJZ1510"/>
      <c r="HKA1510"/>
      <c r="HKB1510"/>
      <c r="HKC1510"/>
      <c r="HKD1510"/>
      <c r="HKE1510"/>
      <c r="HKF1510"/>
      <c r="HKG1510"/>
      <c r="HKH1510"/>
      <c r="HKI1510"/>
      <c r="HKJ1510"/>
      <c r="HKK1510"/>
      <c r="HKL1510"/>
      <c r="HKM1510"/>
      <c r="HKN1510"/>
      <c r="HKO1510"/>
      <c r="HKP1510"/>
      <c r="HKQ1510"/>
      <c r="HKR1510"/>
      <c r="HKS1510"/>
      <c r="HKT1510"/>
      <c r="HKU1510"/>
      <c r="HKV1510"/>
      <c r="HKW1510"/>
      <c r="HKX1510"/>
      <c r="HKY1510"/>
      <c r="HKZ1510"/>
      <c r="HLA1510"/>
      <c r="HLB1510"/>
      <c r="HLC1510"/>
      <c r="HLD1510"/>
      <c r="HLE1510"/>
      <c r="HLF1510"/>
      <c r="HLG1510"/>
      <c r="HLH1510"/>
      <c r="HLI1510"/>
      <c r="HLJ1510"/>
      <c r="HLK1510"/>
      <c r="HLL1510"/>
      <c r="HLM1510"/>
      <c r="HLN1510"/>
      <c r="HLO1510"/>
      <c r="HLP1510"/>
      <c r="HLQ1510"/>
      <c r="HLR1510"/>
      <c r="HLS1510"/>
      <c r="HLT1510"/>
      <c r="HLU1510"/>
      <c r="HLV1510"/>
      <c r="HLW1510"/>
      <c r="HLX1510"/>
      <c r="HLY1510"/>
      <c r="HLZ1510"/>
      <c r="HMA1510"/>
      <c r="HMB1510"/>
      <c r="HMC1510"/>
      <c r="HMD1510"/>
      <c r="HME1510"/>
      <c r="HMF1510"/>
      <c r="HMG1510"/>
      <c r="HMH1510"/>
      <c r="HMI1510"/>
      <c r="HMJ1510"/>
      <c r="HMK1510"/>
      <c r="HML1510"/>
      <c r="HMM1510"/>
      <c r="HMN1510"/>
      <c r="HMO1510"/>
      <c r="HMP1510"/>
      <c r="HMQ1510"/>
      <c r="HMR1510"/>
      <c r="HMS1510"/>
      <c r="HMT1510"/>
      <c r="HMU1510"/>
      <c r="HMV1510"/>
      <c r="HMW1510"/>
      <c r="HMX1510"/>
      <c r="HMY1510"/>
      <c r="HMZ1510"/>
      <c r="HNA1510"/>
      <c r="HNB1510"/>
      <c r="HNC1510"/>
      <c r="HND1510"/>
      <c r="HNE1510"/>
      <c r="HNF1510"/>
      <c r="HNG1510"/>
      <c r="HNH1510"/>
      <c r="HNI1510"/>
      <c r="HNJ1510"/>
      <c r="HNK1510"/>
      <c r="HNL1510"/>
      <c r="HNM1510"/>
      <c r="HNN1510"/>
      <c r="HNO1510"/>
      <c r="HNP1510"/>
      <c r="HNQ1510"/>
      <c r="HNR1510"/>
      <c r="HNS1510"/>
      <c r="HNT1510"/>
      <c r="HNU1510"/>
      <c r="HNV1510"/>
      <c r="HNW1510"/>
      <c r="HNX1510"/>
      <c r="HNY1510"/>
      <c r="HNZ1510"/>
      <c r="HOA1510"/>
      <c r="HOB1510"/>
      <c r="HOC1510"/>
      <c r="HOD1510"/>
      <c r="HOE1510"/>
      <c r="HOF1510"/>
      <c r="HOG1510"/>
      <c r="HOH1510"/>
      <c r="HOI1510"/>
      <c r="HOJ1510"/>
      <c r="HOK1510"/>
      <c r="HOL1510"/>
      <c r="HOM1510"/>
      <c r="HON1510"/>
      <c r="HOO1510"/>
      <c r="HOP1510"/>
      <c r="HOQ1510"/>
      <c r="HOR1510"/>
      <c r="HOS1510"/>
      <c r="HOT1510"/>
      <c r="HOU1510"/>
      <c r="HOV1510"/>
      <c r="HOW1510"/>
      <c r="HOX1510"/>
      <c r="HOY1510"/>
      <c r="HOZ1510"/>
      <c r="HPA1510"/>
      <c r="HPB1510"/>
      <c r="HPC1510"/>
      <c r="HPD1510"/>
      <c r="HPE1510"/>
      <c r="HPF1510"/>
      <c r="HPG1510"/>
      <c r="HPH1510"/>
      <c r="HPI1510"/>
      <c r="HPJ1510"/>
      <c r="HPK1510"/>
      <c r="HPL1510"/>
      <c r="HPM1510"/>
      <c r="HPN1510"/>
      <c r="HPO1510"/>
      <c r="HPP1510"/>
      <c r="HPQ1510"/>
      <c r="HPR1510"/>
      <c r="HPS1510"/>
      <c r="HPT1510"/>
      <c r="HPU1510"/>
      <c r="HPV1510"/>
      <c r="HPW1510"/>
      <c r="HPX1510"/>
      <c r="HPY1510"/>
      <c r="HPZ1510"/>
      <c r="HQA1510"/>
      <c r="HQB1510"/>
      <c r="HQC1510"/>
      <c r="HQD1510"/>
      <c r="HQE1510"/>
      <c r="HQF1510"/>
      <c r="HQG1510"/>
      <c r="HQH1510"/>
      <c r="HQI1510"/>
      <c r="HQJ1510"/>
      <c r="HQK1510"/>
      <c r="HQL1510"/>
      <c r="HQM1510"/>
      <c r="HQN1510"/>
      <c r="HQO1510"/>
      <c r="HQP1510"/>
      <c r="HQQ1510"/>
      <c r="HQR1510"/>
      <c r="HQS1510"/>
      <c r="HQT1510"/>
      <c r="HQU1510"/>
      <c r="HQV1510"/>
      <c r="HQW1510"/>
      <c r="HQX1510"/>
      <c r="HQY1510"/>
      <c r="HQZ1510"/>
      <c r="HRA1510"/>
      <c r="HRB1510"/>
      <c r="HRC1510"/>
      <c r="HRD1510"/>
      <c r="HRE1510"/>
      <c r="HRF1510"/>
      <c r="HRG1510"/>
      <c r="HRH1510"/>
      <c r="HRI1510"/>
      <c r="HRJ1510"/>
      <c r="HRK1510"/>
      <c r="HRL1510"/>
      <c r="HRM1510"/>
      <c r="HRN1510"/>
      <c r="HRO1510"/>
      <c r="HRP1510"/>
      <c r="HRQ1510"/>
      <c r="HRR1510"/>
      <c r="HRS1510"/>
      <c r="HRT1510"/>
      <c r="HRU1510"/>
      <c r="HRV1510"/>
      <c r="HRW1510"/>
      <c r="HRX1510"/>
      <c r="HRY1510"/>
      <c r="HRZ1510"/>
      <c r="HSA1510"/>
      <c r="HSB1510"/>
      <c r="HSC1510"/>
      <c r="HSD1510"/>
      <c r="HSE1510"/>
      <c r="HSF1510"/>
      <c r="HSG1510"/>
      <c r="HSH1510"/>
      <c r="HSI1510"/>
      <c r="HSJ1510"/>
      <c r="HSK1510"/>
      <c r="HSL1510"/>
      <c r="HSM1510"/>
      <c r="HSN1510"/>
      <c r="HSO1510"/>
      <c r="HSP1510"/>
      <c r="HSQ1510"/>
      <c r="HSR1510"/>
      <c r="HSS1510"/>
      <c r="HST1510"/>
      <c r="HSU1510"/>
      <c r="HSV1510"/>
      <c r="HSW1510"/>
      <c r="HSX1510"/>
      <c r="HSY1510"/>
      <c r="HSZ1510"/>
      <c r="HTA1510"/>
      <c r="HTB1510"/>
      <c r="HTC1510"/>
      <c r="HTD1510"/>
      <c r="HTE1510"/>
      <c r="HTF1510"/>
      <c r="HTG1510"/>
      <c r="HTH1510"/>
      <c r="HTI1510"/>
      <c r="HTJ1510"/>
      <c r="HTK1510"/>
      <c r="HTL1510"/>
      <c r="HTM1510"/>
      <c r="HTN1510"/>
      <c r="HTO1510"/>
      <c r="HTP1510"/>
      <c r="HTQ1510"/>
      <c r="HTR1510"/>
      <c r="HTS1510"/>
      <c r="HTT1510"/>
      <c r="HTU1510"/>
      <c r="HTV1510"/>
      <c r="HTW1510"/>
      <c r="HTX1510"/>
      <c r="HTY1510"/>
      <c r="HTZ1510"/>
      <c r="HUA1510"/>
      <c r="HUB1510"/>
      <c r="HUC1510"/>
      <c r="HUD1510"/>
      <c r="HUE1510"/>
      <c r="HUF1510"/>
      <c r="HUG1510"/>
      <c r="HUH1510"/>
      <c r="HUI1510"/>
      <c r="HUJ1510"/>
      <c r="HUK1510"/>
      <c r="HUL1510"/>
      <c r="HUM1510"/>
      <c r="HUN1510"/>
      <c r="HUO1510"/>
      <c r="HUP1510"/>
      <c r="HUQ1510"/>
      <c r="HUR1510"/>
      <c r="HUS1510"/>
      <c r="HUT1510"/>
      <c r="HUU1510"/>
      <c r="HUV1510"/>
      <c r="HUW1510"/>
      <c r="HUX1510"/>
      <c r="HUY1510"/>
      <c r="HUZ1510"/>
      <c r="HVA1510"/>
      <c r="HVB1510"/>
      <c r="HVC1510"/>
      <c r="HVD1510"/>
      <c r="HVE1510"/>
      <c r="HVF1510"/>
      <c r="HVG1510"/>
      <c r="HVH1510"/>
      <c r="HVI1510"/>
      <c r="HVJ1510"/>
      <c r="HVK1510"/>
      <c r="HVL1510"/>
      <c r="HVM1510"/>
      <c r="HVN1510"/>
      <c r="HVO1510"/>
      <c r="HVP1510"/>
      <c r="HVQ1510"/>
      <c r="HVR1510"/>
      <c r="HVS1510"/>
      <c r="HVT1510"/>
      <c r="HVU1510"/>
      <c r="HVV1510"/>
      <c r="HVW1510"/>
      <c r="HVX1510"/>
      <c r="HVY1510"/>
      <c r="HVZ1510"/>
      <c r="HWA1510"/>
      <c r="HWB1510"/>
      <c r="HWC1510"/>
      <c r="HWD1510"/>
      <c r="HWE1510"/>
      <c r="HWF1510"/>
      <c r="HWG1510"/>
      <c r="HWH1510"/>
      <c r="HWI1510"/>
      <c r="HWJ1510"/>
      <c r="HWK1510"/>
      <c r="HWL1510"/>
      <c r="HWM1510"/>
      <c r="HWN1510"/>
      <c r="HWO1510"/>
      <c r="HWP1510"/>
      <c r="HWQ1510"/>
      <c r="HWR1510"/>
      <c r="HWS1510"/>
      <c r="HWT1510"/>
      <c r="HWU1510"/>
      <c r="HWV1510"/>
      <c r="HWW1510"/>
      <c r="HWX1510"/>
      <c r="HWY1510"/>
      <c r="HWZ1510"/>
      <c r="HXA1510"/>
      <c r="HXB1510"/>
      <c r="HXC1510"/>
      <c r="HXD1510"/>
      <c r="HXE1510"/>
      <c r="HXF1510"/>
      <c r="HXG1510"/>
      <c r="HXH1510"/>
      <c r="HXI1510"/>
      <c r="HXJ1510"/>
      <c r="HXK1510"/>
      <c r="HXL1510"/>
      <c r="HXM1510"/>
      <c r="HXN1510"/>
      <c r="HXO1510"/>
      <c r="HXP1510"/>
      <c r="HXQ1510"/>
      <c r="HXR1510"/>
      <c r="HXS1510"/>
      <c r="HXT1510"/>
      <c r="HXU1510"/>
      <c r="HXV1510"/>
      <c r="HXW1510"/>
      <c r="HXX1510"/>
      <c r="HXY1510"/>
      <c r="HXZ1510"/>
      <c r="HYA1510"/>
      <c r="HYB1510"/>
      <c r="HYC1510"/>
      <c r="HYD1510"/>
      <c r="HYE1510"/>
      <c r="HYF1510"/>
      <c r="HYG1510"/>
      <c r="HYH1510"/>
      <c r="HYI1510"/>
      <c r="HYJ1510"/>
      <c r="HYK1510"/>
      <c r="HYL1510"/>
      <c r="HYM1510"/>
      <c r="HYN1510"/>
      <c r="HYO1510"/>
      <c r="HYP1510"/>
      <c r="HYQ1510"/>
      <c r="HYR1510"/>
      <c r="HYS1510"/>
      <c r="HYT1510"/>
      <c r="HYU1510"/>
      <c r="HYV1510"/>
      <c r="HYW1510"/>
      <c r="HYX1510"/>
      <c r="HYY1510"/>
      <c r="HYZ1510"/>
      <c r="HZA1510"/>
      <c r="HZB1510"/>
      <c r="HZC1510"/>
      <c r="HZD1510"/>
      <c r="HZE1510"/>
      <c r="HZF1510"/>
      <c r="HZG1510"/>
      <c r="HZH1510"/>
      <c r="HZI1510"/>
      <c r="HZJ1510"/>
      <c r="HZK1510"/>
      <c r="HZL1510"/>
      <c r="HZM1510"/>
      <c r="HZN1510"/>
      <c r="HZO1510"/>
      <c r="HZP1510"/>
      <c r="HZQ1510"/>
      <c r="HZR1510"/>
      <c r="HZS1510"/>
      <c r="HZT1510"/>
      <c r="HZU1510"/>
      <c r="HZV1510"/>
      <c r="HZW1510"/>
      <c r="HZX1510"/>
      <c r="HZY1510"/>
      <c r="HZZ1510"/>
      <c r="IAA1510"/>
      <c r="IAB1510"/>
      <c r="IAC1510"/>
      <c r="IAD1510"/>
      <c r="IAE1510"/>
      <c r="IAF1510"/>
      <c r="IAG1510"/>
      <c r="IAH1510"/>
      <c r="IAI1510"/>
      <c r="IAJ1510"/>
      <c r="IAK1510"/>
      <c r="IAL1510"/>
      <c r="IAM1510"/>
      <c r="IAN1510"/>
      <c r="IAO1510"/>
      <c r="IAP1510"/>
      <c r="IAQ1510"/>
      <c r="IAR1510"/>
      <c r="IAS1510"/>
      <c r="IAT1510"/>
      <c r="IAU1510"/>
      <c r="IAV1510"/>
      <c r="IAW1510"/>
      <c r="IAX1510"/>
      <c r="IAY1510"/>
      <c r="IAZ1510"/>
      <c r="IBA1510"/>
      <c r="IBB1510"/>
      <c r="IBC1510"/>
      <c r="IBD1510"/>
      <c r="IBE1510"/>
      <c r="IBF1510"/>
      <c r="IBG1510"/>
      <c r="IBH1510"/>
      <c r="IBI1510"/>
      <c r="IBJ1510"/>
      <c r="IBK1510"/>
      <c r="IBL1510"/>
      <c r="IBM1510"/>
      <c r="IBN1510"/>
      <c r="IBO1510"/>
      <c r="IBP1510"/>
      <c r="IBQ1510"/>
      <c r="IBR1510"/>
      <c r="IBS1510"/>
      <c r="IBT1510"/>
      <c r="IBU1510"/>
      <c r="IBV1510"/>
      <c r="IBW1510"/>
      <c r="IBX1510"/>
      <c r="IBY1510"/>
      <c r="IBZ1510"/>
      <c r="ICA1510"/>
      <c r="ICB1510"/>
      <c r="ICC1510"/>
      <c r="ICD1510"/>
      <c r="ICE1510"/>
      <c r="ICF1510"/>
      <c r="ICG1510"/>
      <c r="ICH1510"/>
      <c r="ICI1510"/>
      <c r="ICJ1510"/>
      <c r="ICK1510"/>
      <c r="ICL1510"/>
      <c r="ICM1510"/>
      <c r="ICN1510"/>
      <c r="ICO1510"/>
      <c r="ICP1510"/>
      <c r="ICQ1510"/>
      <c r="ICR1510"/>
      <c r="ICS1510"/>
      <c r="ICT1510"/>
      <c r="ICU1510"/>
      <c r="ICV1510"/>
      <c r="ICW1510"/>
      <c r="ICX1510"/>
      <c r="ICY1510"/>
      <c r="ICZ1510"/>
      <c r="IDA1510"/>
      <c r="IDB1510"/>
      <c r="IDC1510"/>
      <c r="IDD1510"/>
      <c r="IDE1510"/>
      <c r="IDF1510"/>
      <c r="IDG1510"/>
      <c r="IDH1510"/>
      <c r="IDI1510"/>
      <c r="IDJ1510"/>
      <c r="IDK1510"/>
      <c r="IDL1510"/>
      <c r="IDM1510"/>
      <c r="IDN1510"/>
      <c r="IDO1510"/>
      <c r="IDP1510"/>
      <c r="IDQ1510"/>
      <c r="IDR1510"/>
      <c r="IDS1510"/>
      <c r="IDT1510"/>
      <c r="IDU1510"/>
      <c r="IDV1510"/>
      <c r="IDW1510"/>
      <c r="IDX1510"/>
      <c r="IDY1510"/>
      <c r="IDZ1510"/>
      <c r="IEA1510"/>
      <c r="IEB1510"/>
      <c r="IEC1510"/>
      <c r="IED1510"/>
      <c r="IEE1510"/>
      <c r="IEF1510"/>
      <c r="IEG1510"/>
      <c r="IEH1510"/>
      <c r="IEI1510"/>
      <c r="IEJ1510"/>
      <c r="IEK1510"/>
      <c r="IEL1510"/>
      <c r="IEM1510"/>
      <c r="IEN1510"/>
      <c r="IEO1510"/>
      <c r="IEP1510"/>
      <c r="IEQ1510"/>
      <c r="IER1510"/>
      <c r="IES1510"/>
      <c r="IET1510"/>
      <c r="IEU1510"/>
      <c r="IEV1510"/>
      <c r="IEW1510"/>
      <c r="IEX1510"/>
      <c r="IEY1510"/>
      <c r="IEZ1510"/>
      <c r="IFA1510"/>
      <c r="IFB1510"/>
      <c r="IFC1510"/>
      <c r="IFD1510"/>
      <c r="IFE1510"/>
      <c r="IFF1510"/>
      <c r="IFG1510"/>
      <c r="IFH1510"/>
      <c r="IFI1510"/>
      <c r="IFJ1510"/>
      <c r="IFK1510"/>
      <c r="IFL1510"/>
      <c r="IFM1510"/>
      <c r="IFN1510"/>
      <c r="IFO1510"/>
      <c r="IFP1510"/>
      <c r="IFQ1510"/>
      <c r="IFR1510"/>
      <c r="IFS1510"/>
      <c r="IFT1510"/>
      <c r="IFU1510"/>
      <c r="IFV1510"/>
      <c r="IFW1510"/>
      <c r="IFX1510"/>
      <c r="IFY1510"/>
      <c r="IFZ1510"/>
      <c r="IGA1510"/>
      <c r="IGB1510"/>
      <c r="IGC1510"/>
      <c r="IGD1510"/>
      <c r="IGE1510"/>
      <c r="IGF1510"/>
      <c r="IGG1510"/>
      <c r="IGH1510"/>
      <c r="IGI1510"/>
      <c r="IGJ1510"/>
      <c r="IGK1510"/>
      <c r="IGL1510"/>
      <c r="IGM1510"/>
      <c r="IGN1510"/>
      <c r="IGO1510"/>
      <c r="IGP1510"/>
      <c r="IGQ1510"/>
      <c r="IGR1510"/>
      <c r="IGS1510"/>
      <c r="IGT1510"/>
      <c r="IGU1510"/>
      <c r="IGV1510"/>
      <c r="IGW1510"/>
      <c r="IGX1510"/>
      <c r="IGY1510"/>
      <c r="IGZ1510"/>
      <c r="IHA1510"/>
      <c r="IHB1510"/>
      <c r="IHC1510"/>
      <c r="IHD1510"/>
      <c r="IHE1510"/>
      <c r="IHF1510"/>
      <c r="IHG1510"/>
      <c r="IHH1510"/>
      <c r="IHI1510"/>
      <c r="IHJ1510"/>
      <c r="IHK1510"/>
      <c r="IHL1510"/>
      <c r="IHM1510"/>
      <c r="IHN1510"/>
      <c r="IHO1510"/>
      <c r="IHP1510"/>
      <c r="IHQ1510"/>
      <c r="IHR1510"/>
      <c r="IHS1510"/>
      <c r="IHT1510"/>
      <c r="IHU1510"/>
      <c r="IHV1510"/>
      <c r="IHW1510"/>
      <c r="IHX1510"/>
      <c r="IHY1510"/>
      <c r="IHZ1510"/>
      <c r="IIA1510"/>
      <c r="IIB1510"/>
      <c r="IIC1510"/>
      <c r="IID1510"/>
      <c r="IIE1510"/>
      <c r="IIF1510"/>
      <c r="IIG1510"/>
      <c r="IIH1510"/>
      <c r="III1510"/>
      <c r="IIJ1510"/>
      <c r="IIK1510"/>
      <c r="IIL1510"/>
      <c r="IIM1510"/>
      <c r="IIN1510"/>
      <c r="IIO1510"/>
      <c r="IIP1510"/>
      <c r="IIQ1510"/>
      <c r="IIR1510"/>
      <c r="IIS1510"/>
      <c r="IIT1510"/>
      <c r="IIU1510"/>
      <c r="IIV1510"/>
      <c r="IIW1510"/>
      <c r="IIX1510"/>
      <c r="IIY1510"/>
      <c r="IIZ1510"/>
      <c r="IJA1510"/>
      <c r="IJB1510"/>
      <c r="IJC1510"/>
      <c r="IJD1510"/>
      <c r="IJE1510"/>
      <c r="IJF1510"/>
      <c r="IJG1510"/>
      <c r="IJH1510"/>
      <c r="IJI1510"/>
      <c r="IJJ1510"/>
      <c r="IJK1510"/>
      <c r="IJL1510"/>
      <c r="IJM1510"/>
      <c r="IJN1510"/>
      <c r="IJO1510"/>
      <c r="IJP1510"/>
      <c r="IJQ1510"/>
      <c r="IJR1510"/>
      <c r="IJS1510"/>
      <c r="IJT1510"/>
      <c r="IJU1510"/>
      <c r="IJV1510"/>
      <c r="IJW1510"/>
      <c r="IJX1510"/>
      <c r="IJY1510"/>
      <c r="IJZ1510"/>
      <c r="IKA1510"/>
      <c r="IKB1510"/>
      <c r="IKC1510"/>
      <c r="IKD1510"/>
      <c r="IKE1510"/>
      <c r="IKF1510"/>
      <c r="IKG1510"/>
      <c r="IKH1510"/>
      <c r="IKI1510"/>
      <c r="IKJ1510"/>
      <c r="IKK1510"/>
      <c r="IKL1510"/>
      <c r="IKM1510"/>
      <c r="IKN1510"/>
      <c r="IKO1510"/>
      <c r="IKP1510"/>
      <c r="IKQ1510"/>
      <c r="IKR1510"/>
      <c r="IKS1510"/>
      <c r="IKT1510"/>
      <c r="IKU1510"/>
      <c r="IKV1510"/>
      <c r="IKW1510"/>
      <c r="IKX1510"/>
      <c r="IKY1510"/>
      <c r="IKZ1510"/>
      <c r="ILA1510"/>
      <c r="ILB1510"/>
      <c r="ILC1510"/>
      <c r="ILD1510"/>
      <c r="ILE1510"/>
      <c r="ILF1510"/>
      <c r="ILG1510"/>
      <c r="ILH1510"/>
      <c r="ILI1510"/>
      <c r="ILJ1510"/>
      <c r="ILK1510"/>
      <c r="ILL1510"/>
      <c r="ILM1510"/>
      <c r="ILN1510"/>
      <c r="ILO1510"/>
      <c r="ILP1510"/>
      <c r="ILQ1510"/>
      <c r="ILR1510"/>
      <c r="ILS1510"/>
      <c r="ILT1510"/>
      <c r="ILU1510"/>
      <c r="ILV1510"/>
      <c r="ILW1510"/>
      <c r="ILX1510"/>
      <c r="ILY1510"/>
      <c r="ILZ1510"/>
      <c r="IMA1510"/>
      <c r="IMB1510"/>
      <c r="IMC1510"/>
      <c r="IMD1510"/>
      <c r="IME1510"/>
      <c r="IMF1510"/>
      <c r="IMG1510"/>
      <c r="IMH1510"/>
      <c r="IMI1510"/>
      <c r="IMJ1510"/>
      <c r="IMK1510"/>
      <c r="IML1510"/>
      <c r="IMM1510"/>
      <c r="IMN1510"/>
      <c r="IMO1510"/>
      <c r="IMP1510"/>
      <c r="IMQ1510"/>
      <c r="IMR1510"/>
      <c r="IMS1510"/>
      <c r="IMT1510"/>
      <c r="IMU1510"/>
      <c r="IMV1510"/>
      <c r="IMW1510"/>
      <c r="IMX1510"/>
      <c r="IMY1510"/>
      <c r="IMZ1510"/>
      <c r="INA1510"/>
      <c r="INB1510"/>
      <c r="INC1510"/>
      <c r="IND1510"/>
      <c r="INE1510"/>
      <c r="INF1510"/>
      <c r="ING1510"/>
      <c r="INH1510"/>
      <c r="INI1510"/>
      <c r="INJ1510"/>
      <c r="INK1510"/>
      <c r="INL1510"/>
      <c r="INM1510"/>
      <c r="INN1510"/>
      <c r="INO1510"/>
      <c r="INP1510"/>
      <c r="INQ1510"/>
      <c r="INR1510"/>
      <c r="INS1510"/>
      <c r="INT1510"/>
      <c r="INU1510"/>
      <c r="INV1510"/>
      <c r="INW1510"/>
      <c r="INX1510"/>
      <c r="INY1510"/>
      <c r="INZ1510"/>
      <c r="IOA1510"/>
      <c r="IOB1510"/>
      <c r="IOC1510"/>
      <c r="IOD1510"/>
      <c r="IOE1510"/>
      <c r="IOF1510"/>
      <c r="IOG1510"/>
      <c r="IOH1510"/>
      <c r="IOI1510"/>
      <c r="IOJ1510"/>
      <c r="IOK1510"/>
      <c r="IOL1510"/>
      <c r="IOM1510"/>
      <c r="ION1510"/>
      <c r="IOO1510"/>
      <c r="IOP1510"/>
      <c r="IOQ1510"/>
      <c r="IOR1510"/>
      <c r="IOS1510"/>
      <c r="IOT1510"/>
      <c r="IOU1510"/>
      <c r="IOV1510"/>
      <c r="IOW1510"/>
      <c r="IOX1510"/>
      <c r="IOY1510"/>
      <c r="IOZ1510"/>
      <c r="IPA1510"/>
      <c r="IPB1510"/>
      <c r="IPC1510"/>
      <c r="IPD1510"/>
      <c r="IPE1510"/>
      <c r="IPF1510"/>
      <c r="IPG1510"/>
      <c r="IPH1510"/>
      <c r="IPI1510"/>
      <c r="IPJ1510"/>
      <c r="IPK1510"/>
      <c r="IPL1510"/>
      <c r="IPM1510"/>
      <c r="IPN1510"/>
      <c r="IPO1510"/>
      <c r="IPP1510"/>
      <c r="IPQ1510"/>
      <c r="IPR1510"/>
      <c r="IPS1510"/>
      <c r="IPT1510"/>
      <c r="IPU1510"/>
      <c r="IPV1510"/>
      <c r="IPW1510"/>
      <c r="IPX1510"/>
      <c r="IPY1510"/>
      <c r="IPZ1510"/>
      <c r="IQA1510"/>
      <c r="IQB1510"/>
      <c r="IQC1510"/>
      <c r="IQD1510"/>
      <c r="IQE1510"/>
      <c r="IQF1510"/>
      <c r="IQG1510"/>
      <c r="IQH1510"/>
      <c r="IQI1510"/>
      <c r="IQJ1510"/>
      <c r="IQK1510"/>
      <c r="IQL1510"/>
      <c r="IQM1510"/>
      <c r="IQN1510"/>
      <c r="IQO1510"/>
      <c r="IQP1510"/>
      <c r="IQQ1510"/>
      <c r="IQR1510"/>
      <c r="IQS1510"/>
      <c r="IQT1510"/>
      <c r="IQU1510"/>
      <c r="IQV1510"/>
      <c r="IQW1510"/>
      <c r="IQX1510"/>
      <c r="IQY1510"/>
      <c r="IQZ1510"/>
      <c r="IRA1510"/>
      <c r="IRB1510"/>
      <c r="IRC1510"/>
      <c r="IRD1510"/>
      <c r="IRE1510"/>
      <c r="IRF1510"/>
      <c r="IRG1510"/>
      <c r="IRH1510"/>
      <c r="IRI1510"/>
      <c r="IRJ1510"/>
      <c r="IRK1510"/>
      <c r="IRL1510"/>
      <c r="IRM1510"/>
      <c r="IRN1510"/>
      <c r="IRO1510"/>
      <c r="IRP1510"/>
      <c r="IRQ1510"/>
      <c r="IRR1510"/>
      <c r="IRS1510"/>
      <c r="IRT1510"/>
      <c r="IRU1510"/>
      <c r="IRV1510"/>
      <c r="IRW1510"/>
      <c r="IRX1510"/>
      <c r="IRY1510"/>
      <c r="IRZ1510"/>
      <c r="ISA1510"/>
      <c r="ISB1510"/>
      <c r="ISC1510"/>
      <c r="ISD1510"/>
      <c r="ISE1510"/>
      <c r="ISF1510"/>
      <c r="ISG1510"/>
      <c r="ISH1510"/>
      <c r="ISI1510"/>
      <c r="ISJ1510"/>
      <c r="ISK1510"/>
      <c r="ISL1510"/>
      <c r="ISM1510"/>
      <c r="ISN1510"/>
      <c r="ISO1510"/>
      <c r="ISP1510"/>
      <c r="ISQ1510"/>
      <c r="ISR1510"/>
      <c r="ISS1510"/>
      <c r="IST1510"/>
      <c r="ISU1510"/>
      <c r="ISV1510"/>
      <c r="ISW1510"/>
      <c r="ISX1510"/>
      <c r="ISY1510"/>
      <c r="ISZ1510"/>
      <c r="ITA1510"/>
      <c r="ITB1510"/>
      <c r="ITC1510"/>
      <c r="ITD1510"/>
      <c r="ITE1510"/>
      <c r="ITF1510"/>
      <c r="ITG1510"/>
      <c r="ITH1510"/>
      <c r="ITI1510"/>
      <c r="ITJ1510"/>
      <c r="ITK1510"/>
      <c r="ITL1510"/>
      <c r="ITM1510"/>
      <c r="ITN1510"/>
      <c r="ITO1510"/>
      <c r="ITP1510"/>
      <c r="ITQ1510"/>
      <c r="ITR1510"/>
      <c r="ITS1510"/>
      <c r="ITT1510"/>
      <c r="ITU1510"/>
      <c r="ITV1510"/>
      <c r="ITW1510"/>
      <c r="ITX1510"/>
      <c r="ITY1510"/>
      <c r="ITZ1510"/>
      <c r="IUA1510"/>
      <c r="IUB1510"/>
      <c r="IUC1510"/>
      <c r="IUD1510"/>
      <c r="IUE1510"/>
      <c r="IUF1510"/>
      <c r="IUG1510"/>
      <c r="IUH1510"/>
      <c r="IUI1510"/>
      <c r="IUJ1510"/>
      <c r="IUK1510"/>
      <c r="IUL1510"/>
      <c r="IUM1510"/>
      <c r="IUN1510"/>
      <c r="IUO1510"/>
      <c r="IUP1510"/>
      <c r="IUQ1510"/>
      <c r="IUR1510"/>
      <c r="IUS1510"/>
      <c r="IUT1510"/>
      <c r="IUU1510"/>
      <c r="IUV1510"/>
      <c r="IUW1510"/>
      <c r="IUX1510"/>
      <c r="IUY1510"/>
      <c r="IUZ1510"/>
      <c r="IVA1510"/>
      <c r="IVB1510"/>
      <c r="IVC1510"/>
      <c r="IVD1510"/>
      <c r="IVE1510"/>
      <c r="IVF1510"/>
      <c r="IVG1510"/>
      <c r="IVH1510"/>
      <c r="IVI1510"/>
      <c r="IVJ1510"/>
      <c r="IVK1510"/>
      <c r="IVL1510"/>
      <c r="IVM1510"/>
      <c r="IVN1510"/>
      <c r="IVO1510"/>
      <c r="IVP1510"/>
      <c r="IVQ1510"/>
      <c r="IVR1510"/>
      <c r="IVS1510"/>
      <c r="IVT1510"/>
      <c r="IVU1510"/>
      <c r="IVV1510"/>
      <c r="IVW1510"/>
      <c r="IVX1510"/>
      <c r="IVY1510"/>
      <c r="IVZ1510"/>
      <c r="IWA1510"/>
      <c r="IWB1510"/>
      <c r="IWC1510"/>
      <c r="IWD1510"/>
      <c r="IWE1510"/>
      <c r="IWF1510"/>
      <c r="IWG1510"/>
      <c r="IWH1510"/>
      <c r="IWI1510"/>
      <c r="IWJ1510"/>
      <c r="IWK1510"/>
      <c r="IWL1510"/>
      <c r="IWM1510"/>
      <c r="IWN1510"/>
      <c r="IWO1510"/>
      <c r="IWP1510"/>
      <c r="IWQ1510"/>
      <c r="IWR1510"/>
      <c r="IWS1510"/>
      <c r="IWT1510"/>
      <c r="IWU1510"/>
      <c r="IWV1510"/>
      <c r="IWW1510"/>
      <c r="IWX1510"/>
      <c r="IWY1510"/>
      <c r="IWZ1510"/>
      <c r="IXA1510"/>
      <c r="IXB1510"/>
      <c r="IXC1510"/>
      <c r="IXD1510"/>
      <c r="IXE1510"/>
      <c r="IXF1510"/>
      <c r="IXG1510"/>
      <c r="IXH1510"/>
      <c r="IXI1510"/>
      <c r="IXJ1510"/>
      <c r="IXK1510"/>
      <c r="IXL1510"/>
      <c r="IXM1510"/>
      <c r="IXN1510"/>
      <c r="IXO1510"/>
      <c r="IXP1510"/>
      <c r="IXQ1510"/>
      <c r="IXR1510"/>
      <c r="IXS1510"/>
      <c r="IXT1510"/>
      <c r="IXU1510"/>
      <c r="IXV1510"/>
      <c r="IXW1510"/>
      <c r="IXX1510"/>
      <c r="IXY1510"/>
      <c r="IXZ1510"/>
      <c r="IYA1510"/>
      <c r="IYB1510"/>
      <c r="IYC1510"/>
      <c r="IYD1510"/>
      <c r="IYE1510"/>
      <c r="IYF1510"/>
      <c r="IYG1510"/>
      <c r="IYH1510"/>
      <c r="IYI1510"/>
      <c r="IYJ1510"/>
      <c r="IYK1510"/>
      <c r="IYL1510"/>
      <c r="IYM1510"/>
      <c r="IYN1510"/>
      <c r="IYO1510"/>
      <c r="IYP1510"/>
      <c r="IYQ1510"/>
      <c r="IYR1510"/>
      <c r="IYS1510"/>
      <c r="IYT1510"/>
      <c r="IYU1510"/>
      <c r="IYV1510"/>
      <c r="IYW1510"/>
      <c r="IYX1510"/>
      <c r="IYY1510"/>
      <c r="IYZ1510"/>
      <c r="IZA1510"/>
      <c r="IZB1510"/>
      <c r="IZC1510"/>
      <c r="IZD1510"/>
      <c r="IZE1510"/>
      <c r="IZF1510"/>
      <c r="IZG1510"/>
      <c r="IZH1510"/>
      <c r="IZI1510"/>
      <c r="IZJ1510"/>
      <c r="IZK1510"/>
      <c r="IZL1510"/>
      <c r="IZM1510"/>
      <c r="IZN1510"/>
      <c r="IZO1510"/>
      <c r="IZP1510"/>
      <c r="IZQ1510"/>
      <c r="IZR1510"/>
      <c r="IZS1510"/>
      <c r="IZT1510"/>
      <c r="IZU1510"/>
      <c r="IZV1510"/>
      <c r="IZW1510"/>
      <c r="IZX1510"/>
      <c r="IZY1510"/>
      <c r="IZZ1510"/>
      <c r="JAA1510"/>
      <c r="JAB1510"/>
      <c r="JAC1510"/>
      <c r="JAD1510"/>
      <c r="JAE1510"/>
      <c r="JAF1510"/>
      <c r="JAG1510"/>
      <c r="JAH1510"/>
      <c r="JAI1510"/>
      <c r="JAJ1510"/>
      <c r="JAK1510"/>
      <c r="JAL1510"/>
      <c r="JAM1510"/>
      <c r="JAN1510"/>
      <c r="JAO1510"/>
      <c r="JAP1510"/>
      <c r="JAQ1510"/>
      <c r="JAR1510"/>
      <c r="JAS1510"/>
      <c r="JAT1510"/>
      <c r="JAU1510"/>
      <c r="JAV1510"/>
      <c r="JAW1510"/>
      <c r="JAX1510"/>
      <c r="JAY1510"/>
      <c r="JAZ1510"/>
      <c r="JBA1510"/>
      <c r="JBB1510"/>
      <c r="JBC1510"/>
      <c r="JBD1510"/>
      <c r="JBE1510"/>
      <c r="JBF1510"/>
      <c r="JBG1510"/>
      <c r="JBH1510"/>
      <c r="JBI1510"/>
      <c r="JBJ1510"/>
      <c r="JBK1510"/>
      <c r="JBL1510"/>
      <c r="JBM1510"/>
      <c r="JBN1510"/>
      <c r="JBO1510"/>
      <c r="JBP1510"/>
      <c r="JBQ1510"/>
      <c r="JBR1510"/>
      <c r="JBS1510"/>
      <c r="JBT1510"/>
      <c r="JBU1510"/>
      <c r="JBV1510"/>
      <c r="JBW1510"/>
      <c r="JBX1510"/>
      <c r="JBY1510"/>
      <c r="JBZ1510"/>
      <c r="JCA1510"/>
      <c r="JCB1510"/>
      <c r="JCC1510"/>
      <c r="JCD1510"/>
      <c r="JCE1510"/>
      <c r="JCF1510"/>
      <c r="JCG1510"/>
      <c r="JCH1510"/>
      <c r="JCI1510"/>
      <c r="JCJ1510"/>
      <c r="JCK1510"/>
      <c r="JCL1510"/>
      <c r="JCM1510"/>
      <c r="JCN1510"/>
      <c r="JCO1510"/>
      <c r="JCP1510"/>
      <c r="JCQ1510"/>
      <c r="JCR1510"/>
      <c r="JCS1510"/>
      <c r="JCT1510"/>
      <c r="JCU1510"/>
      <c r="JCV1510"/>
      <c r="JCW1510"/>
      <c r="JCX1510"/>
      <c r="JCY1510"/>
      <c r="JCZ1510"/>
      <c r="JDA1510"/>
      <c r="JDB1510"/>
      <c r="JDC1510"/>
      <c r="JDD1510"/>
      <c r="JDE1510"/>
      <c r="JDF1510"/>
      <c r="JDG1510"/>
      <c r="JDH1510"/>
      <c r="JDI1510"/>
      <c r="JDJ1510"/>
      <c r="JDK1510"/>
      <c r="JDL1510"/>
      <c r="JDM1510"/>
      <c r="JDN1510"/>
      <c r="JDO1510"/>
      <c r="JDP1510"/>
      <c r="JDQ1510"/>
      <c r="JDR1510"/>
      <c r="JDS1510"/>
      <c r="JDT1510"/>
      <c r="JDU1510"/>
      <c r="JDV1510"/>
      <c r="JDW1510"/>
      <c r="JDX1510"/>
      <c r="JDY1510"/>
      <c r="JDZ1510"/>
      <c r="JEA1510"/>
      <c r="JEB1510"/>
      <c r="JEC1510"/>
      <c r="JED1510"/>
      <c r="JEE1510"/>
      <c r="JEF1510"/>
      <c r="JEG1510"/>
      <c r="JEH1510"/>
      <c r="JEI1510"/>
      <c r="JEJ1510"/>
      <c r="JEK1510"/>
      <c r="JEL1510"/>
      <c r="JEM1510"/>
      <c r="JEN1510"/>
      <c r="JEO1510"/>
      <c r="JEP1510"/>
      <c r="JEQ1510"/>
      <c r="JER1510"/>
      <c r="JES1510"/>
      <c r="JET1510"/>
      <c r="JEU1510"/>
      <c r="JEV1510"/>
      <c r="JEW1510"/>
      <c r="JEX1510"/>
      <c r="JEY1510"/>
      <c r="JEZ1510"/>
      <c r="JFA1510"/>
      <c r="JFB1510"/>
      <c r="JFC1510"/>
      <c r="JFD1510"/>
      <c r="JFE1510"/>
      <c r="JFF1510"/>
      <c r="JFG1510"/>
      <c r="JFH1510"/>
      <c r="JFI1510"/>
      <c r="JFJ1510"/>
      <c r="JFK1510"/>
      <c r="JFL1510"/>
      <c r="JFM1510"/>
      <c r="JFN1510"/>
      <c r="JFO1510"/>
      <c r="JFP1510"/>
      <c r="JFQ1510"/>
      <c r="JFR1510"/>
      <c r="JFS1510"/>
      <c r="JFT1510"/>
      <c r="JFU1510"/>
      <c r="JFV1510"/>
      <c r="JFW1510"/>
      <c r="JFX1510"/>
      <c r="JFY1510"/>
      <c r="JFZ1510"/>
      <c r="JGA1510"/>
      <c r="JGB1510"/>
      <c r="JGC1510"/>
      <c r="JGD1510"/>
      <c r="JGE1510"/>
      <c r="JGF1510"/>
      <c r="JGG1510"/>
      <c r="JGH1510"/>
      <c r="JGI1510"/>
      <c r="JGJ1510"/>
      <c r="JGK1510"/>
      <c r="JGL1510"/>
      <c r="JGM1510"/>
      <c r="JGN1510"/>
      <c r="JGO1510"/>
      <c r="JGP1510"/>
      <c r="JGQ1510"/>
      <c r="JGR1510"/>
      <c r="JGS1510"/>
      <c r="JGT1510"/>
      <c r="JGU1510"/>
      <c r="JGV1510"/>
      <c r="JGW1510"/>
      <c r="JGX1510"/>
      <c r="JGY1510"/>
      <c r="JGZ1510"/>
      <c r="JHA1510"/>
      <c r="JHB1510"/>
      <c r="JHC1510"/>
      <c r="JHD1510"/>
      <c r="JHE1510"/>
      <c r="JHF1510"/>
      <c r="JHG1510"/>
      <c r="JHH1510"/>
      <c r="JHI1510"/>
      <c r="JHJ1510"/>
      <c r="JHK1510"/>
      <c r="JHL1510"/>
      <c r="JHM1510"/>
      <c r="JHN1510"/>
      <c r="JHO1510"/>
      <c r="JHP1510"/>
      <c r="JHQ1510"/>
      <c r="JHR1510"/>
      <c r="JHS1510"/>
      <c r="JHT1510"/>
      <c r="JHU1510"/>
      <c r="JHV1510"/>
      <c r="JHW1510"/>
      <c r="JHX1510"/>
      <c r="JHY1510"/>
      <c r="JHZ1510"/>
      <c r="JIA1510"/>
      <c r="JIB1510"/>
      <c r="JIC1510"/>
      <c r="JID1510"/>
      <c r="JIE1510"/>
      <c r="JIF1510"/>
      <c r="JIG1510"/>
      <c r="JIH1510"/>
      <c r="JII1510"/>
      <c r="JIJ1510"/>
      <c r="JIK1510"/>
      <c r="JIL1510"/>
      <c r="JIM1510"/>
      <c r="JIN1510"/>
      <c r="JIO1510"/>
      <c r="JIP1510"/>
      <c r="JIQ1510"/>
      <c r="JIR1510"/>
      <c r="JIS1510"/>
      <c r="JIT1510"/>
      <c r="JIU1510"/>
      <c r="JIV1510"/>
      <c r="JIW1510"/>
      <c r="JIX1510"/>
      <c r="JIY1510"/>
      <c r="JIZ1510"/>
      <c r="JJA1510"/>
      <c r="JJB1510"/>
      <c r="JJC1510"/>
      <c r="JJD1510"/>
      <c r="JJE1510"/>
      <c r="JJF1510"/>
      <c r="JJG1510"/>
      <c r="JJH1510"/>
      <c r="JJI1510"/>
      <c r="JJJ1510"/>
      <c r="JJK1510"/>
      <c r="JJL1510"/>
      <c r="JJM1510"/>
      <c r="JJN1510"/>
      <c r="JJO1510"/>
      <c r="JJP1510"/>
      <c r="JJQ1510"/>
      <c r="JJR1510"/>
      <c r="JJS1510"/>
      <c r="JJT1510"/>
      <c r="JJU1510"/>
      <c r="JJV1510"/>
      <c r="JJW1510"/>
      <c r="JJX1510"/>
      <c r="JJY1510"/>
      <c r="JJZ1510"/>
      <c r="JKA1510"/>
      <c r="JKB1510"/>
      <c r="JKC1510"/>
      <c r="JKD1510"/>
      <c r="JKE1510"/>
      <c r="JKF1510"/>
      <c r="JKG1510"/>
      <c r="JKH1510"/>
      <c r="JKI1510"/>
      <c r="JKJ1510"/>
      <c r="JKK1510"/>
      <c r="JKL1510"/>
      <c r="JKM1510"/>
      <c r="JKN1510"/>
      <c r="JKO1510"/>
      <c r="JKP1510"/>
      <c r="JKQ1510"/>
      <c r="JKR1510"/>
      <c r="JKS1510"/>
      <c r="JKT1510"/>
      <c r="JKU1510"/>
      <c r="JKV1510"/>
      <c r="JKW1510"/>
      <c r="JKX1510"/>
      <c r="JKY1510"/>
      <c r="JKZ1510"/>
      <c r="JLA1510"/>
      <c r="JLB1510"/>
      <c r="JLC1510"/>
      <c r="JLD1510"/>
      <c r="JLE1510"/>
      <c r="JLF1510"/>
      <c r="JLG1510"/>
      <c r="JLH1510"/>
      <c r="JLI1510"/>
      <c r="JLJ1510"/>
      <c r="JLK1510"/>
      <c r="JLL1510"/>
      <c r="JLM1510"/>
      <c r="JLN1510"/>
      <c r="JLO1510"/>
      <c r="JLP1510"/>
      <c r="JLQ1510"/>
      <c r="JLR1510"/>
      <c r="JLS1510"/>
      <c r="JLT1510"/>
      <c r="JLU1510"/>
      <c r="JLV1510"/>
      <c r="JLW1510"/>
      <c r="JLX1510"/>
      <c r="JLY1510"/>
      <c r="JLZ1510"/>
      <c r="JMA1510"/>
      <c r="JMB1510"/>
      <c r="JMC1510"/>
      <c r="JMD1510"/>
      <c r="JME1510"/>
      <c r="JMF1510"/>
      <c r="JMG1510"/>
      <c r="JMH1510"/>
      <c r="JMI1510"/>
      <c r="JMJ1510"/>
      <c r="JMK1510"/>
      <c r="JML1510"/>
      <c r="JMM1510"/>
      <c r="JMN1510"/>
      <c r="JMO1510"/>
      <c r="JMP1510"/>
      <c r="JMQ1510"/>
      <c r="JMR1510"/>
      <c r="JMS1510"/>
      <c r="JMT1510"/>
      <c r="JMU1510"/>
      <c r="JMV1510"/>
      <c r="JMW1510"/>
      <c r="JMX1510"/>
      <c r="JMY1510"/>
      <c r="JMZ1510"/>
      <c r="JNA1510"/>
      <c r="JNB1510"/>
      <c r="JNC1510"/>
      <c r="JND1510"/>
      <c r="JNE1510"/>
      <c r="JNF1510"/>
      <c r="JNG1510"/>
      <c r="JNH1510"/>
      <c r="JNI1510"/>
      <c r="JNJ1510"/>
      <c r="JNK1510"/>
      <c r="JNL1510"/>
      <c r="JNM1510"/>
      <c r="JNN1510"/>
      <c r="JNO1510"/>
      <c r="JNP1510"/>
      <c r="JNQ1510"/>
      <c r="JNR1510"/>
      <c r="JNS1510"/>
      <c r="JNT1510"/>
      <c r="JNU1510"/>
      <c r="JNV1510"/>
      <c r="JNW1510"/>
      <c r="JNX1510"/>
      <c r="JNY1510"/>
      <c r="JNZ1510"/>
      <c r="JOA1510"/>
      <c r="JOB1510"/>
      <c r="JOC1510"/>
      <c r="JOD1510"/>
      <c r="JOE1510"/>
      <c r="JOF1510"/>
      <c r="JOG1510"/>
      <c r="JOH1510"/>
      <c r="JOI1510"/>
      <c r="JOJ1510"/>
      <c r="JOK1510"/>
      <c r="JOL1510"/>
      <c r="JOM1510"/>
      <c r="JON1510"/>
      <c r="JOO1510"/>
      <c r="JOP1510"/>
      <c r="JOQ1510"/>
      <c r="JOR1510"/>
      <c r="JOS1510"/>
      <c r="JOT1510"/>
      <c r="JOU1510"/>
      <c r="JOV1510"/>
      <c r="JOW1510"/>
      <c r="JOX1510"/>
      <c r="JOY1510"/>
      <c r="JOZ1510"/>
      <c r="JPA1510"/>
      <c r="JPB1510"/>
      <c r="JPC1510"/>
      <c r="JPD1510"/>
      <c r="JPE1510"/>
      <c r="JPF1510"/>
      <c r="JPG1510"/>
      <c r="JPH1510"/>
      <c r="JPI1510"/>
      <c r="JPJ1510"/>
      <c r="JPK1510"/>
      <c r="JPL1510"/>
      <c r="JPM1510"/>
      <c r="JPN1510"/>
      <c r="JPO1510"/>
      <c r="JPP1510"/>
      <c r="JPQ1510"/>
      <c r="JPR1510"/>
      <c r="JPS1510"/>
      <c r="JPT1510"/>
      <c r="JPU1510"/>
      <c r="JPV1510"/>
      <c r="JPW1510"/>
      <c r="JPX1510"/>
      <c r="JPY1510"/>
      <c r="JPZ1510"/>
      <c r="JQA1510"/>
      <c r="JQB1510"/>
      <c r="JQC1510"/>
      <c r="JQD1510"/>
      <c r="JQE1510"/>
      <c r="JQF1510"/>
      <c r="JQG1510"/>
      <c r="JQH1510"/>
      <c r="JQI1510"/>
      <c r="JQJ1510"/>
      <c r="JQK1510"/>
      <c r="JQL1510"/>
      <c r="JQM1510"/>
      <c r="JQN1510"/>
      <c r="JQO1510"/>
      <c r="JQP1510"/>
      <c r="JQQ1510"/>
      <c r="JQR1510"/>
      <c r="JQS1510"/>
      <c r="JQT1510"/>
      <c r="JQU1510"/>
      <c r="JQV1510"/>
      <c r="JQW1510"/>
      <c r="JQX1510"/>
      <c r="JQY1510"/>
      <c r="JQZ1510"/>
      <c r="JRA1510"/>
      <c r="JRB1510"/>
      <c r="JRC1510"/>
      <c r="JRD1510"/>
      <c r="JRE1510"/>
      <c r="JRF1510"/>
      <c r="JRG1510"/>
      <c r="JRH1510"/>
      <c r="JRI1510"/>
      <c r="JRJ1510"/>
      <c r="JRK1510"/>
      <c r="JRL1510"/>
      <c r="JRM1510"/>
      <c r="JRN1510"/>
      <c r="JRO1510"/>
      <c r="JRP1510"/>
      <c r="JRQ1510"/>
      <c r="JRR1510"/>
      <c r="JRS1510"/>
      <c r="JRT1510"/>
      <c r="JRU1510"/>
      <c r="JRV1510"/>
      <c r="JRW1510"/>
      <c r="JRX1510"/>
      <c r="JRY1510"/>
      <c r="JRZ1510"/>
      <c r="JSA1510"/>
      <c r="JSB1510"/>
      <c r="JSC1510"/>
      <c r="JSD1510"/>
      <c r="JSE1510"/>
      <c r="JSF1510"/>
      <c r="JSG1510"/>
      <c r="JSH1510"/>
      <c r="JSI1510"/>
      <c r="JSJ1510"/>
      <c r="JSK1510"/>
      <c r="JSL1510"/>
      <c r="JSM1510"/>
      <c r="JSN1510"/>
      <c r="JSO1510"/>
      <c r="JSP1510"/>
      <c r="JSQ1510"/>
      <c r="JSR1510"/>
      <c r="JSS1510"/>
      <c r="JST1510"/>
      <c r="JSU1510"/>
      <c r="JSV1510"/>
      <c r="JSW1510"/>
      <c r="JSX1510"/>
      <c r="JSY1510"/>
      <c r="JSZ1510"/>
      <c r="JTA1510"/>
      <c r="JTB1510"/>
      <c r="JTC1510"/>
      <c r="JTD1510"/>
      <c r="JTE1510"/>
      <c r="JTF1510"/>
      <c r="JTG1510"/>
      <c r="JTH1510"/>
      <c r="JTI1510"/>
      <c r="JTJ1510"/>
      <c r="JTK1510"/>
      <c r="JTL1510"/>
      <c r="JTM1510"/>
      <c r="JTN1510"/>
      <c r="JTO1510"/>
      <c r="JTP1510"/>
      <c r="JTQ1510"/>
      <c r="JTR1510"/>
      <c r="JTS1510"/>
      <c r="JTT1510"/>
      <c r="JTU1510"/>
      <c r="JTV1510"/>
      <c r="JTW1510"/>
      <c r="JTX1510"/>
      <c r="JTY1510"/>
      <c r="JTZ1510"/>
      <c r="JUA1510"/>
      <c r="JUB1510"/>
      <c r="JUC1510"/>
      <c r="JUD1510"/>
      <c r="JUE1510"/>
      <c r="JUF1510"/>
      <c r="JUG1510"/>
      <c r="JUH1510"/>
      <c r="JUI1510"/>
      <c r="JUJ1510"/>
      <c r="JUK1510"/>
      <c r="JUL1510"/>
      <c r="JUM1510"/>
      <c r="JUN1510"/>
      <c r="JUO1510"/>
      <c r="JUP1510"/>
      <c r="JUQ1510"/>
      <c r="JUR1510"/>
      <c r="JUS1510"/>
      <c r="JUT1510"/>
      <c r="JUU1510"/>
      <c r="JUV1510"/>
      <c r="JUW1510"/>
      <c r="JUX1510"/>
      <c r="JUY1510"/>
      <c r="JUZ1510"/>
      <c r="JVA1510"/>
      <c r="JVB1510"/>
      <c r="JVC1510"/>
      <c r="JVD1510"/>
      <c r="JVE1510"/>
      <c r="JVF1510"/>
      <c r="JVG1510"/>
      <c r="JVH1510"/>
      <c r="JVI1510"/>
      <c r="JVJ1510"/>
      <c r="JVK1510"/>
      <c r="JVL1510"/>
      <c r="JVM1510"/>
      <c r="JVN1510"/>
      <c r="JVO1510"/>
      <c r="JVP1510"/>
      <c r="JVQ1510"/>
      <c r="JVR1510"/>
      <c r="JVS1510"/>
      <c r="JVT1510"/>
      <c r="JVU1510"/>
      <c r="JVV1510"/>
      <c r="JVW1510"/>
      <c r="JVX1510"/>
      <c r="JVY1510"/>
      <c r="JVZ1510"/>
      <c r="JWA1510"/>
      <c r="JWB1510"/>
      <c r="JWC1510"/>
      <c r="JWD1510"/>
      <c r="JWE1510"/>
      <c r="JWF1510"/>
      <c r="JWG1510"/>
      <c r="JWH1510"/>
      <c r="JWI1510"/>
      <c r="JWJ1510"/>
      <c r="JWK1510"/>
      <c r="JWL1510"/>
      <c r="JWM1510"/>
      <c r="JWN1510"/>
      <c r="JWO1510"/>
      <c r="JWP1510"/>
      <c r="JWQ1510"/>
      <c r="JWR1510"/>
      <c r="JWS1510"/>
      <c r="JWT1510"/>
      <c r="JWU1510"/>
      <c r="JWV1510"/>
      <c r="JWW1510"/>
      <c r="JWX1510"/>
      <c r="JWY1510"/>
      <c r="JWZ1510"/>
      <c r="JXA1510"/>
      <c r="JXB1510"/>
      <c r="JXC1510"/>
      <c r="JXD1510"/>
      <c r="JXE1510"/>
      <c r="JXF1510"/>
      <c r="JXG1510"/>
      <c r="JXH1510"/>
      <c r="JXI1510"/>
      <c r="JXJ1510"/>
      <c r="JXK1510"/>
      <c r="JXL1510"/>
      <c r="JXM1510"/>
      <c r="JXN1510"/>
      <c r="JXO1510"/>
      <c r="JXP1510"/>
      <c r="JXQ1510"/>
      <c r="JXR1510"/>
      <c r="JXS1510"/>
      <c r="JXT1510"/>
      <c r="JXU1510"/>
      <c r="JXV1510"/>
      <c r="JXW1510"/>
      <c r="JXX1510"/>
      <c r="JXY1510"/>
      <c r="JXZ1510"/>
      <c r="JYA1510"/>
      <c r="JYB1510"/>
      <c r="JYC1510"/>
      <c r="JYD1510"/>
      <c r="JYE1510"/>
      <c r="JYF1510"/>
      <c r="JYG1510"/>
      <c r="JYH1510"/>
      <c r="JYI1510"/>
      <c r="JYJ1510"/>
      <c r="JYK1510"/>
      <c r="JYL1510"/>
      <c r="JYM1510"/>
      <c r="JYN1510"/>
      <c r="JYO1510"/>
      <c r="JYP1510"/>
      <c r="JYQ1510"/>
      <c r="JYR1510"/>
      <c r="JYS1510"/>
      <c r="JYT1510"/>
      <c r="JYU1510"/>
      <c r="JYV1510"/>
      <c r="JYW1510"/>
      <c r="JYX1510"/>
      <c r="JYY1510"/>
      <c r="JYZ1510"/>
      <c r="JZA1510"/>
      <c r="JZB1510"/>
      <c r="JZC1510"/>
      <c r="JZD1510"/>
      <c r="JZE1510"/>
      <c r="JZF1510"/>
      <c r="JZG1510"/>
      <c r="JZH1510"/>
      <c r="JZI1510"/>
      <c r="JZJ1510"/>
      <c r="JZK1510"/>
      <c r="JZL1510"/>
      <c r="JZM1510"/>
      <c r="JZN1510"/>
      <c r="JZO1510"/>
      <c r="JZP1510"/>
      <c r="JZQ1510"/>
      <c r="JZR1510"/>
      <c r="JZS1510"/>
      <c r="JZT1510"/>
      <c r="JZU1510"/>
      <c r="JZV1510"/>
      <c r="JZW1510"/>
      <c r="JZX1510"/>
      <c r="JZY1510"/>
      <c r="JZZ1510"/>
      <c r="KAA1510"/>
      <c r="KAB1510"/>
      <c r="KAC1510"/>
      <c r="KAD1510"/>
      <c r="KAE1510"/>
      <c r="KAF1510"/>
      <c r="KAG1510"/>
      <c r="KAH1510"/>
      <c r="KAI1510"/>
      <c r="KAJ1510"/>
      <c r="KAK1510"/>
      <c r="KAL1510"/>
      <c r="KAM1510"/>
      <c r="KAN1510"/>
      <c r="KAO1510"/>
      <c r="KAP1510"/>
      <c r="KAQ1510"/>
      <c r="KAR1510"/>
      <c r="KAS1510"/>
      <c r="KAT1510"/>
      <c r="KAU1510"/>
      <c r="KAV1510"/>
      <c r="KAW1510"/>
      <c r="KAX1510"/>
      <c r="KAY1510"/>
      <c r="KAZ1510"/>
      <c r="KBA1510"/>
      <c r="KBB1510"/>
      <c r="KBC1510"/>
      <c r="KBD1510"/>
      <c r="KBE1510"/>
      <c r="KBF1510"/>
      <c r="KBG1510"/>
      <c r="KBH1510"/>
      <c r="KBI1510"/>
      <c r="KBJ1510"/>
      <c r="KBK1510"/>
      <c r="KBL1510"/>
      <c r="KBM1510"/>
      <c r="KBN1510"/>
      <c r="KBO1510"/>
      <c r="KBP1510"/>
      <c r="KBQ1510"/>
      <c r="KBR1510"/>
      <c r="KBS1510"/>
      <c r="KBT1510"/>
      <c r="KBU1510"/>
      <c r="KBV1510"/>
      <c r="KBW1510"/>
      <c r="KBX1510"/>
      <c r="KBY1510"/>
      <c r="KBZ1510"/>
      <c r="KCA1510"/>
      <c r="KCB1510"/>
      <c r="KCC1510"/>
      <c r="KCD1510"/>
      <c r="KCE1510"/>
      <c r="KCF1510"/>
      <c r="KCG1510"/>
      <c r="KCH1510"/>
      <c r="KCI1510"/>
      <c r="KCJ1510"/>
      <c r="KCK1510"/>
      <c r="KCL1510"/>
      <c r="KCM1510"/>
      <c r="KCN1510"/>
      <c r="KCO1510"/>
      <c r="KCP1510"/>
      <c r="KCQ1510"/>
      <c r="KCR1510"/>
      <c r="KCS1510"/>
      <c r="KCT1510"/>
      <c r="KCU1510"/>
      <c r="KCV1510"/>
      <c r="KCW1510"/>
      <c r="KCX1510"/>
      <c r="KCY1510"/>
      <c r="KCZ1510"/>
      <c r="KDA1510"/>
      <c r="KDB1510"/>
      <c r="KDC1510"/>
      <c r="KDD1510"/>
      <c r="KDE1510"/>
      <c r="KDF1510"/>
      <c r="KDG1510"/>
      <c r="KDH1510"/>
      <c r="KDI1510"/>
      <c r="KDJ1510"/>
      <c r="KDK1510"/>
      <c r="KDL1510"/>
      <c r="KDM1510"/>
      <c r="KDN1510"/>
      <c r="KDO1510"/>
      <c r="KDP1510"/>
      <c r="KDQ1510"/>
      <c r="KDR1510"/>
      <c r="KDS1510"/>
      <c r="KDT1510"/>
      <c r="KDU1510"/>
      <c r="KDV1510"/>
      <c r="KDW1510"/>
      <c r="KDX1510"/>
      <c r="KDY1510"/>
      <c r="KDZ1510"/>
      <c r="KEA1510"/>
      <c r="KEB1510"/>
      <c r="KEC1510"/>
      <c r="KED1510"/>
      <c r="KEE1510"/>
      <c r="KEF1510"/>
      <c r="KEG1510"/>
      <c r="KEH1510"/>
      <c r="KEI1510"/>
      <c r="KEJ1510"/>
      <c r="KEK1510"/>
      <c r="KEL1510"/>
      <c r="KEM1510"/>
      <c r="KEN1510"/>
      <c r="KEO1510"/>
      <c r="KEP1510"/>
      <c r="KEQ1510"/>
      <c r="KER1510"/>
      <c r="KES1510"/>
      <c r="KET1510"/>
      <c r="KEU1510"/>
      <c r="KEV1510"/>
      <c r="KEW1510"/>
      <c r="KEX1510"/>
      <c r="KEY1510"/>
      <c r="KEZ1510"/>
      <c r="KFA1510"/>
      <c r="KFB1510"/>
      <c r="KFC1510"/>
      <c r="KFD1510"/>
      <c r="KFE1510"/>
      <c r="KFF1510"/>
      <c r="KFG1510"/>
      <c r="KFH1510"/>
      <c r="KFI1510"/>
      <c r="KFJ1510"/>
      <c r="KFK1510"/>
      <c r="KFL1510"/>
      <c r="KFM1510"/>
      <c r="KFN1510"/>
      <c r="KFO1510"/>
      <c r="KFP1510"/>
      <c r="KFQ1510"/>
      <c r="KFR1510"/>
      <c r="KFS1510"/>
      <c r="KFT1510"/>
      <c r="KFU1510"/>
      <c r="KFV1510"/>
      <c r="KFW1510"/>
      <c r="KFX1510"/>
      <c r="KFY1510"/>
      <c r="KFZ1510"/>
      <c r="KGA1510"/>
      <c r="KGB1510"/>
      <c r="KGC1510"/>
      <c r="KGD1510"/>
      <c r="KGE1510"/>
      <c r="KGF1510"/>
      <c r="KGG1510"/>
      <c r="KGH1510"/>
      <c r="KGI1510"/>
      <c r="KGJ1510"/>
      <c r="KGK1510"/>
      <c r="KGL1510"/>
      <c r="KGM1510"/>
      <c r="KGN1510"/>
      <c r="KGO1510"/>
      <c r="KGP1510"/>
      <c r="KGQ1510"/>
      <c r="KGR1510"/>
      <c r="KGS1510"/>
      <c r="KGT1510"/>
      <c r="KGU1510"/>
      <c r="KGV1510"/>
      <c r="KGW1510"/>
      <c r="KGX1510"/>
      <c r="KGY1510"/>
      <c r="KGZ1510"/>
      <c r="KHA1510"/>
      <c r="KHB1510"/>
      <c r="KHC1510"/>
      <c r="KHD1510"/>
      <c r="KHE1510"/>
      <c r="KHF1510"/>
      <c r="KHG1510"/>
      <c r="KHH1510"/>
      <c r="KHI1510"/>
      <c r="KHJ1510"/>
      <c r="KHK1510"/>
      <c r="KHL1510"/>
      <c r="KHM1510"/>
      <c r="KHN1510"/>
      <c r="KHO1510"/>
      <c r="KHP1510"/>
      <c r="KHQ1510"/>
      <c r="KHR1510"/>
      <c r="KHS1510"/>
      <c r="KHT1510"/>
      <c r="KHU1510"/>
      <c r="KHV1510"/>
      <c r="KHW1510"/>
      <c r="KHX1510"/>
      <c r="KHY1510"/>
      <c r="KHZ1510"/>
      <c r="KIA1510"/>
      <c r="KIB1510"/>
      <c r="KIC1510"/>
      <c r="KID1510"/>
      <c r="KIE1510"/>
      <c r="KIF1510"/>
      <c r="KIG1510"/>
      <c r="KIH1510"/>
      <c r="KII1510"/>
      <c r="KIJ1510"/>
      <c r="KIK1510"/>
      <c r="KIL1510"/>
      <c r="KIM1510"/>
      <c r="KIN1510"/>
      <c r="KIO1510"/>
      <c r="KIP1510"/>
      <c r="KIQ1510"/>
      <c r="KIR1510"/>
      <c r="KIS1510"/>
      <c r="KIT1510"/>
      <c r="KIU1510"/>
      <c r="KIV1510"/>
      <c r="KIW1510"/>
      <c r="KIX1510"/>
      <c r="KIY1510"/>
      <c r="KIZ1510"/>
      <c r="KJA1510"/>
      <c r="KJB1510"/>
      <c r="KJC1510"/>
      <c r="KJD1510"/>
      <c r="KJE1510"/>
      <c r="KJF1510"/>
      <c r="KJG1510"/>
      <c r="KJH1510"/>
      <c r="KJI1510"/>
      <c r="KJJ1510"/>
      <c r="KJK1510"/>
      <c r="KJL1510"/>
      <c r="KJM1510"/>
      <c r="KJN1510"/>
      <c r="KJO1510"/>
      <c r="KJP1510"/>
      <c r="KJQ1510"/>
      <c r="KJR1510"/>
      <c r="KJS1510"/>
      <c r="KJT1510"/>
      <c r="KJU1510"/>
      <c r="KJV1510"/>
      <c r="KJW1510"/>
      <c r="KJX1510"/>
      <c r="KJY1510"/>
      <c r="KJZ1510"/>
      <c r="KKA1510"/>
      <c r="KKB1510"/>
      <c r="KKC1510"/>
      <c r="KKD1510"/>
      <c r="KKE1510"/>
      <c r="KKF1510"/>
      <c r="KKG1510"/>
      <c r="KKH1510"/>
      <c r="KKI1510"/>
      <c r="KKJ1510"/>
      <c r="KKK1510"/>
      <c r="KKL1510"/>
      <c r="KKM1510"/>
      <c r="KKN1510"/>
      <c r="KKO1510"/>
      <c r="KKP1510"/>
      <c r="KKQ1510"/>
      <c r="KKR1510"/>
      <c r="KKS1510"/>
      <c r="KKT1510"/>
      <c r="KKU1510"/>
      <c r="KKV1510"/>
      <c r="KKW1510"/>
      <c r="KKX1510"/>
      <c r="KKY1510"/>
      <c r="KKZ1510"/>
      <c r="KLA1510"/>
      <c r="KLB1510"/>
      <c r="KLC1510"/>
      <c r="KLD1510"/>
      <c r="KLE1510"/>
      <c r="KLF1510"/>
      <c r="KLG1510"/>
      <c r="KLH1510"/>
      <c r="KLI1510"/>
      <c r="KLJ1510"/>
      <c r="KLK1510"/>
      <c r="KLL1510"/>
      <c r="KLM1510"/>
      <c r="KLN1510"/>
      <c r="KLO1510"/>
      <c r="KLP1510"/>
      <c r="KLQ1510"/>
      <c r="KLR1510"/>
      <c r="KLS1510"/>
      <c r="KLT1510"/>
      <c r="KLU1510"/>
      <c r="KLV1510"/>
      <c r="KLW1510"/>
      <c r="KLX1510"/>
      <c r="KLY1510"/>
      <c r="KLZ1510"/>
      <c r="KMA1510"/>
      <c r="KMB1510"/>
      <c r="KMC1510"/>
      <c r="KMD1510"/>
      <c r="KME1510"/>
      <c r="KMF1510"/>
      <c r="KMG1510"/>
      <c r="KMH1510"/>
      <c r="KMI1510"/>
      <c r="KMJ1510"/>
      <c r="KMK1510"/>
      <c r="KML1510"/>
      <c r="KMM1510"/>
      <c r="KMN1510"/>
      <c r="KMO1510"/>
      <c r="KMP1510"/>
      <c r="KMQ1510"/>
      <c r="KMR1510"/>
      <c r="KMS1510"/>
      <c r="KMT1510"/>
      <c r="KMU1510"/>
      <c r="KMV1510"/>
      <c r="KMW1510"/>
      <c r="KMX1510"/>
      <c r="KMY1510"/>
      <c r="KMZ1510"/>
      <c r="KNA1510"/>
      <c r="KNB1510"/>
      <c r="KNC1510"/>
      <c r="KND1510"/>
      <c r="KNE1510"/>
      <c r="KNF1510"/>
      <c r="KNG1510"/>
      <c r="KNH1510"/>
      <c r="KNI1510"/>
      <c r="KNJ1510"/>
      <c r="KNK1510"/>
      <c r="KNL1510"/>
      <c r="KNM1510"/>
      <c r="KNN1510"/>
      <c r="KNO1510"/>
      <c r="KNP1510"/>
      <c r="KNQ1510"/>
      <c r="KNR1510"/>
      <c r="KNS1510"/>
      <c r="KNT1510"/>
      <c r="KNU1510"/>
      <c r="KNV1510"/>
      <c r="KNW1510"/>
      <c r="KNX1510"/>
      <c r="KNY1510"/>
      <c r="KNZ1510"/>
      <c r="KOA1510"/>
      <c r="KOB1510"/>
      <c r="KOC1510"/>
      <c r="KOD1510"/>
      <c r="KOE1510"/>
      <c r="KOF1510"/>
      <c r="KOG1510"/>
      <c r="KOH1510"/>
      <c r="KOI1510"/>
      <c r="KOJ1510"/>
      <c r="KOK1510"/>
      <c r="KOL1510"/>
      <c r="KOM1510"/>
      <c r="KON1510"/>
      <c r="KOO1510"/>
      <c r="KOP1510"/>
      <c r="KOQ1510"/>
      <c r="KOR1510"/>
      <c r="KOS1510"/>
      <c r="KOT1510"/>
      <c r="KOU1510"/>
      <c r="KOV1510"/>
      <c r="KOW1510"/>
      <c r="KOX1510"/>
      <c r="KOY1510"/>
      <c r="KOZ1510"/>
      <c r="KPA1510"/>
      <c r="KPB1510"/>
      <c r="KPC1510"/>
      <c r="KPD1510"/>
      <c r="KPE1510"/>
      <c r="KPF1510"/>
      <c r="KPG1510"/>
      <c r="KPH1510"/>
      <c r="KPI1510"/>
      <c r="KPJ1510"/>
      <c r="KPK1510"/>
      <c r="KPL1510"/>
      <c r="KPM1510"/>
      <c r="KPN1510"/>
      <c r="KPO1510"/>
      <c r="KPP1510"/>
      <c r="KPQ1510"/>
      <c r="KPR1510"/>
      <c r="KPS1510"/>
      <c r="KPT1510"/>
      <c r="KPU1510"/>
      <c r="KPV1510"/>
      <c r="KPW1510"/>
      <c r="KPX1510"/>
      <c r="KPY1510"/>
      <c r="KPZ1510"/>
      <c r="KQA1510"/>
      <c r="KQB1510"/>
      <c r="KQC1510"/>
      <c r="KQD1510"/>
      <c r="KQE1510"/>
      <c r="KQF1510"/>
      <c r="KQG1510"/>
      <c r="KQH1510"/>
      <c r="KQI1510"/>
      <c r="KQJ1510"/>
      <c r="KQK1510"/>
      <c r="KQL1510"/>
      <c r="KQM1510"/>
      <c r="KQN1510"/>
      <c r="KQO1510"/>
      <c r="KQP1510"/>
      <c r="KQQ1510"/>
      <c r="KQR1510"/>
      <c r="KQS1510"/>
      <c r="KQT1510"/>
      <c r="KQU1510"/>
      <c r="KQV1510"/>
      <c r="KQW1510"/>
      <c r="KQX1510"/>
      <c r="KQY1510"/>
      <c r="KQZ1510"/>
      <c r="KRA1510"/>
      <c r="KRB1510"/>
      <c r="KRC1510"/>
      <c r="KRD1510"/>
      <c r="KRE1510"/>
      <c r="KRF1510"/>
      <c r="KRG1510"/>
      <c r="KRH1510"/>
      <c r="KRI1510"/>
      <c r="KRJ1510"/>
      <c r="KRK1510"/>
      <c r="KRL1510"/>
      <c r="KRM1510"/>
      <c r="KRN1510"/>
      <c r="KRO1510"/>
      <c r="KRP1510"/>
      <c r="KRQ1510"/>
      <c r="KRR1510"/>
      <c r="KRS1510"/>
      <c r="KRT1510"/>
      <c r="KRU1510"/>
      <c r="KRV1510"/>
      <c r="KRW1510"/>
      <c r="KRX1510"/>
      <c r="KRY1510"/>
      <c r="KRZ1510"/>
      <c r="KSA1510"/>
      <c r="KSB1510"/>
      <c r="KSC1510"/>
      <c r="KSD1510"/>
      <c r="KSE1510"/>
      <c r="KSF1510"/>
      <c r="KSG1510"/>
      <c r="KSH1510"/>
      <c r="KSI1510"/>
      <c r="KSJ1510"/>
      <c r="KSK1510"/>
      <c r="KSL1510"/>
      <c r="KSM1510"/>
      <c r="KSN1510"/>
      <c r="KSO1510"/>
      <c r="KSP1510"/>
      <c r="KSQ1510"/>
      <c r="KSR1510"/>
      <c r="KSS1510"/>
      <c r="KST1510"/>
      <c r="KSU1510"/>
      <c r="KSV1510"/>
      <c r="KSW1510"/>
      <c r="KSX1510"/>
      <c r="KSY1510"/>
      <c r="KSZ1510"/>
      <c r="KTA1510"/>
      <c r="KTB1510"/>
      <c r="KTC1510"/>
      <c r="KTD1510"/>
      <c r="KTE1510"/>
      <c r="KTF1510"/>
      <c r="KTG1510"/>
      <c r="KTH1510"/>
      <c r="KTI1510"/>
      <c r="KTJ1510"/>
      <c r="KTK1510"/>
      <c r="KTL1510"/>
      <c r="KTM1510"/>
      <c r="KTN1510"/>
      <c r="KTO1510"/>
      <c r="KTP1510"/>
      <c r="KTQ1510"/>
      <c r="KTR1510"/>
      <c r="KTS1510"/>
      <c r="KTT1510"/>
      <c r="KTU1510"/>
      <c r="KTV1510"/>
      <c r="KTW1510"/>
      <c r="KTX1510"/>
      <c r="KTY1510"/>
      <c r="KTZ1510"/>
      <c r="KUA1510"/>
      <c r="KUB1510"/>
      <c r="KUC1510"/>
      <c r="KUD1510"/>
      <c r="KUE1510"/>
      <c r="KUF1510"/>
      <c r="KUG1510"/>
      <c r="KUH1510"/>
      <c r="KUI1510"/>
      <c r="KUJ1510"/>
      <c r="KUK1510"/>
      <c r="KUL1510"/>
      <c r="KUM1510"/>
      <c r="KUN1510"/>
      <c r="KUO1510"/>
      <c r="KUP1510"/>
      <c r="KUQ1510"/>
      <c r="KUR1510"/>
      <c r="KUS1510"/>
      <c r="KUT1510"/>
      <c r="KUU1510"/>
      <c r="KUV1510"/>
      <c r="KUW1510"/>
      <c r="KUX1510"/>
      <c r="KUY1510"/>
      <c r="KUZ1510"/>
      <c r="KVA1510"/>
      <c r="KVB1510"/>
      <c r="KVC1510"/>
      <c r="KVD1510"/>
      <c r="KVE1510"/>
      <c r="KVF1510"/>
      <c r="KVG1510"/>
      <c r="KVH1510"/>
      <c r="KVI1510"/>
      <c r="KVJ1510"/>
      <c r="KVK1510"/>
      <c r="KVL1510"/>
      <c r="KVM1510"/>
      <c r="KVN1510"/>
      <c r="KVO1510"/>
      <c r="KVP1510"/>
      <c r="KVQ1510"/>
      <c r="KVR1510"/>
      <c r="KVS1510"/>
      <c r="KVT1510"/>
      <c r="KVU1510"/>
      <c r="KVV1510"/>
      <c r="KVW1510"/>
      <c r="KVX1510"/>
      <c r="KVY1510"/>
      <c r="KVZ1510"/>
      <c r="KWA1510"/>
      <c r="KWB1510"/>
      <c r="KWC1510"/>
      <c r="KWD1510"/>
      <c r="KWE1510"/>
      <c r="KWF1510"/>
      <c r="KWG1510"/>
      <c r="KWH1510"/>
      <c r="KWI1510"/>
      <c r="KWJ1510"/>
      <c r="KWK1510"/>
      <c r="KWL1510"/>
      <c r="KWM1510"/>
      <c r="KWN1510"/>
      <c r="KWO1510"/>
      <c r="KWP1510"/>
      <c r="KWQ1510"/>
      <c r="KWR1510"/>
      <c r="KWS1510"/>
      <c r="KWT1510"/>
      <c r="KWU1510"/>
      <c r="KWV1510"/>
      <c r="KWW1510"/>
      <c r="KWX1510"/>
      <c r="KWY1510"/>
      <c r="KWZ1510"/>
      <c r="KXA1510"/>
      <c r="KXB1510"/>
      <c r="KXC1510"/>
      <c r="KXD1510"/>
      <c r="KXE1510"/>
      <c r="KXF1510"/>
      <c r="KXG1510"/>
      <c r="KXH1510"/>
      <c r="KXI1510"/>
      <c r="KXJ1510"/>
      <c r="KXK1510"/>
      <c r="KXL1510"/>
      <c r="KXM1510"/>
      <c r="KXN1510"/>
      <c r="KXO1510"/>
      <c r="KXP1510"/>
      <c r="KXQ1510"/>
      <c r="KXR1510"/>
      <c r="KXS1510"/>
      <c r="KXT1510"/>
      <c r="KXU1510"/>
      <c r="KXV1510"/>
      <c r="KXW1510"/>
      <c r="KXX1510"/>
      <c r="KXY1510"/>
      <c r="KXZ1510"/>
      <c r="KYA1510"/>
      <c r="KYB1510"/>
      <c r="KYC1510"/>
      <c r="KYD1510"/>
      <c r="KYE1510"/>
      <c r="KYF1510"/>
      <c r="KYG1510"/>
      <c r="KYH1510"/>
      <c r="KYI1510"/>
      <c r="KYJ1510"/>
      <c r="KYK1510"/>
      <c r="KYL1510"/>
      <c r="KYM1510"/>
      <c r="KYN1510"/>
      <c r="KYO1510"/>
      <c r="KYP1510"/>
      <c r="KYQ1510"/>
      <c r="KYR1510"/>
      <c r="KYS1510"/>
      <c r="KYT1510"/>
      <c r="KYU1510"/>
      <c r="KYV1510"/>
      <c r="KYW1510"/>
      <c r="KYX1510"/>
      <c r="KYY1510"/>
      <c r="KYZ1510"/>
      <c r="KZA1510"/>
      <c r="KZB1510"/>
      <c r="KZC1510"/>
      <c r="KZD1510"/>
      <c r="KZE1510"/>
      <c r="KZF1510"/>
      <c r="KZG1510"/>
      <c r="KZH1510"/>
      <c r="KZI1510"/>
      <c r="KZJ1510"/>
      <c r="KZK1510"/>
      <c r="KZL1510"/>
      <c r="KZM1510"/>
      <c r="KZN1510"/>
      <c r="KZO1510"/>
      <c r="KZP1510"/>
      <c r="KZQ1510"/>
      <c r="KZR1510"/>
      <c r="KZS1510"/>
      <c r="KZT1510"/>
      <c r="KZU1510"/>
      <c r="KZV1510"/>
      <c r="KZW1510"/>
      <c r="KZX1510"/>
      <c r="KZY1510"/>
      <c r="KZZ1510"/>
      <c r="LAA1510"/>
      <c r="LAB1510"/>
      <c r="LAC1510"/>
      <c r="LAD1510"/>
      <c r="LAE1510"/>
      <c r="LAF1510"/>
      <c r="LAG1510"/>
      <c r="LAH1510"/>
      <c r="LAI1510"/>
      <c r="LAJ1510"/>
      <c r="LAK1510"/>
      <c r="LAL1510"/>
      <c r="LAM1510"/>
      <c r="LAN1510"/>
      <c r="LAO1510"/>
      <c r="LAP1510"/>
      <c r="LAQ1510"/>
      <c r="LAR1510"/>
      <c r="LAS1510"/>
      <c r="LAT1510"/>
      <c r="LAU1510"/>
      <c r="LAV1510"/>
      <c r="LAW1510"/>
      <c r="LAX1510"/>
      <c r="LAY1510"/>
      <c r="LAZ1510"/>
      <c r="LBA1510"/>
      <c r="LBB1510"/>
      <c r="LBC1510"/>
      <c r="LBD1510"/>
      <c r="LBE1510"/>
      <c r="LBF1510"/>
      <c r="LBG1510"/>
      <c r="LBH1510"/>
      <c r="LBI1510"/>
      <c r="LBJ1510"/>
      <c r="LBK1510"/>
      <c r="LBL1510"/>
      <c r="LBM1510"/>
      <c r="LBN1510"/>
      <c r="LBO1510"/>
      <c r="LBP1510"/>
      <c r="LBQ1510"/>
      <c r="LBR1510"/>
      <c r="LBS1510"/>
      <c r="LBT1510"/>
      <c r="LBU1510"/>
      <c r="LBV1510"/>
      <c r="LBW1510"/>
      <c r="LBX1510"/>
      <c r="LBY1510"/>
      <c r="LBZ1510"/>
      <c r="LCA1510"/>
      <c r="LCB1510"/>
      <c r="LCC1510"/>
      <c r="LCD1510"/>
      <c r="LCE1510"/>
      <c r="LCF1510"/>
      <c r="LCG1510"/>
      <c r="LCH1510"/>
      <c r="LCI1510"/>
      <c r="LCJ1510"/>
      <c r="LCK1510"/>
      <c r="LCL1510"/>
      <c r="LCM1510"/>
      <c r="LCN1510"/>
      <c r="LCO1510"/>
      <c r="LCP1510"/>
      <c r="LCQ1510"/>
      <c r="LCR1510"/>
      <c r="LCS1510"/>
      <c r="LCT1510"/>
      <c r="LCU1510"/>
      <c r="LCV1510"/>
      <c r="LCW1510"/>
      <c r="LCX1510"/>
      <c r="LCY1510"/>
      <c r="LCZ1510"/>
      <c r="LDA1510"/>
      <c r="LDB1510"/>
      <c r="LDC1510"/>
      <c r="LDD1510"/>
      <c r="LDE1510"/>
      <c r="LDF1510"/>
      <c r="LDG1510"/>
      <c r="LDH1510"/>
      <c r="LDI1510"/>
      <c r="LDJ1510"/>
      <c r="LDK1510"/>
      <c r="LDL1510"/>
      <c r="LDM1510"/>
      <c r="LDN1510"/>
      <c r="LDO1510"/>
      <c r="LDP1510"/>
      <c r="LDQ1510"/>
      <c r="LDR1510"/>
      <c r="LDS1510"/>
      <c r="LDT1510"/>
      <c r="LDU1510"/>
      <c r="LDV1510"/>
      <c r="LDW1510"/>
      <c r="LDX1510"/>
      <c r="LDY1510"/>
      <c r="LDZ1510"/>
      <c r="LEA1510"/>
      <c r="LEB1510"/>
      <c r="LEC1510"/>
      <c r="LED1510"/>
      <c r="LEE1510"/>
      <c r="LEF1510"/>
      <c r="LEG1510"/>
      <c r="LEH1510"/>
      <c r="LEI1510"/>
      <c r="LEJ1510"/>
      <c r="LEK1510"/>
      <c r="LEL1510"/>
      <c r="LEM1510"/>
      <c r="LEN1510"/>
      <c r="LEO1510"/>
      <c r="LEP1510"/>
      <c r="LEQ1510"/>
      <c r="LER1510"/>
      <c r="LES1510"/>
      <c r="LET1510"/>
      <c r="LEU1510"/>
      <c r="LEV1510"/>
      <c r="LEW1510"/>
      <c r="LEX1510"/>
      <c r="LEY1510"/>
      <c r="LEZ1510"/>
      <c r="LFA1510"/>
      <c r="LFB1510"/>
      <c r="LFC1510"/>
      <c r="LFD1510"/>
      <c r="LFE1510"/>
      <c r="LFF1510"/>
      <c r="LFG1510"/>
      <c r="LFH1510"/>
      <c r="LFI1510"/>
      <c r="LFJ1510"/>
      <c r="LFK1510"/>
      <c r="LFL1510"/>
      <c r="LFM1510"/>
      <c r="LFN1510"/>
      <c r="LFO1510"/>
      <c r="LFP1510"/>
      <c r="LFQ1510"/>
      <c r="LFR1510"/>
      <c r="LFS1510"/>
      <c r="LFT1510"/>
      <c r="LFU1510"/>
      <c r="LFV1510"/>
      <c r="LFW1510"/>
      <c r="LFX1510"/>
      <c r="LFY1510"/>
      <c r="LFZ1510"/>
      <c r="LGA1510"/>
      <c r="LGB1510"/>
      <c r="LGC1510"/>
      <c r="LGD1510"/>
      <c r="LGE1510"/>
      <c r="LGF1510"/>
      <c r="LGG1510"/>
      <c r="LGH1510"/>
      <c r="LGI1510"/>
      <c r="LGJ1510"/>
      <c r="LGK1510"/>
      <c r="LGL1510"/>
      <c r="LGM1510"/>
      <c r="LGN1510"/>
      <c r="LGO1510"/>
      <c r="LGP1510"/>
      <c r="LGQ1510"/>
      <c r="LGR1510"/>
      <c r="LGS1510"/>
      <c r="LGT1510"/>
      <c r="LGU1510"/>
      <c r="LGV1510"/>
      <c r="LGW1510"/>
      <c r="LGX1510"/>
      <c r="LGY1510"/>
      <c r="LGZ1510"/>
      <c r="LHA1510"/>
      <c r="LHB1510"/>
      <c r="LHC1510"/>
      <c r="LHD1510"/>
      <c r="LHE1510"/>
      <c r="LHF1510"/>
      <c r="LHG1510"/>
      <c r="LHH1510"/>
      <c r="LHI1510"/>
      <c r="LHJ1510"/>
      <c r="LHK1510"/>
      <c r="LHL1510"/>
      <c r="LHM1510"/>
      <c r="LHN1510"/>
      <c r="LHO1510"/>
      <c r="LHP1510"/>
      <c r="LHQ1510"/>
      <c r="LHR1510"/>
      <c r="LHS1510"/>
      <c r="LHT1510"/>
      <c r="LHU1510"/>
      <c r="LHV1510"/>
      <c r="LHW1510"/>
      <c r="LHX1510"/>
      <c r="LHY1510"/>
      <c r="LHZ1510"/>
      <c r="LIA1510"/>
      <c r="LIB1510"/>
      <c r="LIC1510"/>
      <c r="LID1510"/>
      <c r="LIE1510"/>
      <c r="LIF1510"/>
      <c r="LIG1510"/>
      <c r="LIH1510"/>
      <c r="LII1510"/>
      <c r="LIJ1510"/>
      <c r="LIK1510"/>
      <c r="LIL1510"/>
      <c r="LIM1510"/>
      <c r="LIN1510"/>
      <c r="LIO1510"/>
      <c r="LIP1510"/>
      <c r="LIQ1510"/>
      <c r="LIR1510"/>
      <c r="LIS1510"/>
      <c r="LIT1510"/>
      <c r="LIU1510"/>
      <c r="LIV1510"/>
      <c r="LIW1510"/>
      <c r="LIX1510"/>
      <c r="LIY1510"/>
      <c r="LIZ1510"/>
      <c r="LJA1510"/>
      <c r="LJB1510"/>
      <c r="LJC1510"/>
      <c r="LJD1510"/>
      <c r="LJE1510"/>
      <c r="LJF1510"/>
      <c r="LJG1510"/>
      <c r="LJH1510"/>
      <c r="LJI1510"/>
      <c r="LJJ1510"/>
      <c r="LJK1510"/>
      <c r="LJL1510"/>
      <c r="LJM1510"/>
      <c r="LJN1510"/>
      <c r="LJO1510"/>
      <c r="LJP1510"/>
      <c r="LJQ1510"/>
      <c r="LJR1510"/>
      <c r="LJS1510"/>
      <c r="LJT1510"/>
      <c r="LJU1510"/>
      <c r="LJV1510"/>
      <c r="LJW1510"/>
      <c r="LJX1510"/>
      <c r="LJY1510"/>
      <c r="LJZ1510"/>
      <c r="LKA1510"/>
      <c r="LKB1510"/>
      <c r="LKC1510"/>
      <c r="LKD1510"/>
      <c r="LKE1510"/>
      <c r="LKF1510"/>
      <c r="LKG1510"/>
      <c r="LKH1510"/>
      <c r="LKI1510"/>
      <c r="LKJ1510"/>
      <c r="LKK1510"/>
      <c r="LKL1510"/>
      <c r="LKM1510"/>
      <c r="LKN1510"/>
      <c r="LKO1510"/>
      <c r="LKP1510"/>
      <c r="LKQ1510"/>
      <c r="LKR1510"/>
      <c r="LKS1510"/>
      <c r="LKT1510"/>
      <c r="LKU1510"/>
      <c r="LKV1510"/>
      <c r="LKW1510"/>
      <c r="LKX1510"/>
      <c r="LKY1510"/>
      <c r="LKZ1510"/>
      <c r="LLA1510"/>
      <c r="LLB1510"/>
      <c r="LLC1510"/>
      <c r="LLD1510"/>
      <c r="LLE1510"/>
      <c r="LLF1510"/>
      <c r="LLG1510"/>
      <c r="LLH1510"/>
      <c r="LLI1510"/>
      <c r="LLJ1510"/>
      <c r="LLK1510"/>
      <c r="LLL1510"/>
      <c r="LLM1510"/>
      <c r="LLN1510"/>
      <c r="LLO1510"/>
      <c r="LLP1510"/>
      <c r="LLQ1510"/>
      <c r="LLR1510"/>
      <c r="LLS1510"/>
      <c r="LLT1510"/>
      <c r="LLU1510"/>
      <c r="LLV1510"/>
      <c r="LLW1510"/>
      <c r="LLX1510"/>
      <c r="LLY1510"/>
      <c r="LLZ1510"/>
      <c r="LMA1510"/>
      <c r="LMB1510"/>
      <c r="LMC1510"/>
      <c r="LMD1510"/>
      <c r="LME1510"/>
      <c r="LMF1510"/>
      <c r="LMG1510"/>
      <c r="LMH1510"/>
      <c r="LMI1510"/>
      <c r="LMJ1510"/>
      <c r="LMK1510"/>
      <c r="LML1510"/>
      <c r="LMM1510"/>
      <c r="LMN1510"/>
      <c r="LMO1510"/>
      <c r="LMP1510"/>
      <c r="LMQ1510"/>
      <c r="LMR1510"/>
      <c r="LMS1510"/>
      <c r="LMT1510"/>
      <c r="LMU1510"/>
      <c r="LMV1510"/>
      <c r="LMW1510"/>
      <c r="LMX1510"/>
      <c r="LMY1510"/>
      <c r="LMZ1510"/>
      <c r="LNA1510"/>
      <c r="LNB1510"/>
      <c r="LNC1510"/>
      <c r="LND1510"/>
      <c r="LNE1510"/>
      <c r="LNF1510"/>
      <c r="LNG1510"/>
      <c r="LNH1510"/>
      <c r="LNI1510"/>
      <c r="LNJ1510"/>
      <c r="LNK1510"/>
      <c r="LNL1510"/>
      <c r="LNM1510"/>
      <c r="LNN1510"/>
      <c r="LNO1510"/>
      <c r="LNP1510"/>
      <c r="LNQ1510"/>
      <c r="LNR1510"/>
      <c r="LNS1510"/>
      <c r="LNT1510"/>
      <c r="LNU1510"/>
      <c r="LNV1510"/>
      <c r="LNW1510"/>
      <c r="LNX1510"/>
      <c r="LNY1510"/>
      <c r="LNZ1510"/>
      <c r="LOA1510"/>
      <c r="LOB1510"/>
      <c r="LOC1510"/>
      <c r="LOD1510"/>
      <c r="LOE1510"/>
      <c r="LOF1510"/>
      <c r="LOG1510"/>
      <c r="LOH1510"/>
      <c r="LOI1510"/>
      <c r="LOJ1510"/>
      <c r="LOK1510"/>
      <c r="LOL1510"/>
      <c r="LOM1510"/>
      <c r="LON1510"/>
      <c r="LOO1510"/>
      <c r="LOP1510"/>
      <c r="LOQ1510"/>
      <c r="LOR1510"/>
      <c r="LOS1510"/>
      <c r="LOT1510"/>
      <c r="LOU1510"/>
      <c r="LOV1510"/>
      <c r="LOW1510"/>
      <c r="LOX1510"/>
      <c r="LOY1510"/>
      <c r="LOZ1510"/>
      <c r="LPA1510"/>
      <c r="LPB1510"/>
      <c r="LPC1510"/>
      <c r="LPD1510"/>
      <c r="LPE1510"/>
      <c r="LPF1510"/>
      <c r="LPG1510"/>
      <c r="LPH1510"/>
      <c r="LPI1510"/>
      <c r="LPJ1510"/>
      <c r="LPK1510"/>
      <c r="LPL1510"/>
      <c r="LPM1510"/>
      <c r="LPN1510"/>
      <c r="LPO1510"/>
      <c r="LPP1510"/>
      <c r="LPQ1510"/>
      <c r="LPR1510"/>
      <c r="LPS1510"/>
      <c r="LPT1510"/>
      <c r="LPU1510"/>
      <c r="LPV1510"/>
      <c r="LPW1510"/>
      <c r="LPX1510"/>
      <c r="LPY1510"/>
      <c r="LPZ1510"/>
      <c r="LQA1510"/>
      <c r="LQB1510"/>
      <c r="LQC1510"/>
      <c r="LQD1510"/>
      <c r="LQE1510"/>
      <c r="LQF1510"/>
      <c r="LQG1510"/>
      <c r="LQH1510"/>
      <c r="LQI1510"/>
      <c r="LQJ1510"/>
      <c r="LQK1510"/>
      <c r="LQL1510"/>
      <c r="LQM1510"/>
      <c r="LQN1510"/>
      <c r="LQO1510"/>
      <c r="LQP1510"/>
      <c r="LQQ1510"/>
      <c r="LQR1510"/>
      <c r="LQS1510"/>
      <c r="LQT1510"/>
      <c r="LQU1510"/>
      <c r="LQV1510"/>
      <c r="LQW1510"/>
      <c r="LQX1510"/>
      <c r="LQY1510"/>
      <c r="LQZ1510"/>
      <c r="LRA1510"/>
      <c r="LRB1510"/>
      <c r="LRC1510"/>
      <c r="LRD1510"/>
      <c r="LRE1510"/>
      <c r="LRF1510"/>
      <c r="LRG1510"/>
      <c r="LRH1510"/>
      <c r="LRI1510"/>
      <c r="LRJ1510"/>
      <c r="LRK1510"/>
      <c r="LRL1510"/>
      <c r="LRM1510"/>
      <c r="LRN1510"/>
      <c r="LRO1510"/>
      <c r="LRP1510"/>
      <c r="LRQ1510"/>
      <c r="LRR1510"/>
      <c r="LRS1510"/>
      <c r="LRT1510"/>
      <c r="LRU1510"/>
      <c r="LRV1510"/>
      <c r="LRW1510"/>
      <c r="LRX1510"/>
      <c r="LRY1510"/>
      <c r="LRZ1510"/>
      <c r="LSA1510"/>
      <c r="LSB1510"/>
      <c r="LSC1510"/>
      <c r="LSD1510"/>
      <c r="LSE1510"/>
      <c r="LSF1510"/>
      <c r="LSG1510"/>
      <c r="LSH1510"/>
      <c r="LSI1510"/>
      <c r="LSJ1510"/>
      <c r="LSK1510"/>
      <c r="LSL1510"/>
      <c r="LSM1510"/>
      <c r="LSN1510"/>
      <c r="LSO1510"/>
      <c r="LSP1510"/>
      <c r="LSQ1510"/>
      <c r="LSR1510"/>
      <c r="LSS1510"/>
      <c r="LST1510"/>
      <c r="LSU1510"/>
      <c r="LSV1510"/>
      <c r="LSW1510"/>
      <c r="LSX1510"/>
      <c r="LSY1510"/>
      <c r="LSZ1510"/>
      <c r="LTA1510"/>
      <c r="LTB1510"/>
      <c r="LTC1510"/>
      <c r="LTD1510"/>
      <c r="LTE1510"/>
      <c r="LTF1510"/>
      <c r="LTG1510"/>
      <c r="LTH1510"/>
      <c r="LTI1510"/>
      <c r="LTJ1510"/>
      <c r="LTK1510"/>
      <c r="LTL1510"/>
      <c r="LTM1510"/>
      <c r="LTN1510"/>
      <c r="LTO1510"/>
      <c r="LTP1510"/>
      <c r="LTQ1510"/>
      <c r="LTR1510"/>
      <c r="LTS1510"/>
      <c r="LTT1510"/>
      <c r="LTU1510"/>
      <c r="LTV1510"/>
      <c r="LTW1510"/>
      <c r="LTX1510"/>
      <c r="LTY1510"/>
      <c r="LTZ1510"/>
      <c r="LUA1510"/>
      <c r="LUB1510"/>
      <c r="LUC1510"/>
      <c r="LUD1510"/>
      <c r="LUE1510"/>
      <c r="LUF1510"/>
      <c r="LUG1510"/>
      <c r="LUH1510"/>
      <c r="LUI1510"/>
      <c r="LUJ1510"/>
      <c r="LUK1510"/>
      <c r="LUL1510"/>
      <c r="LUM1510"/>
      <c r="LUN1510"/>
      <c r="LUO1510"/>
      <c r="LUP1510"/>
      <c r="LUQ1510"/>
      <c r="LUR1510"/>
      <c r="LUS1510"/>
      <c r="LUT1510"/>
      <c r="LUU1510"/>
      <c r="LUV1510"/>
      <c r="LUW1510"/>
      <c r="LUX1510"/>
      <c r="LUY1510"/>
      <c r="LUZ1510"/>
      <c r="LVA1510"/>
      <c r="LVB1510"/>
      <c r="LVC1510"/>
      <c r="LVD1510"/>
      <c r="LVE1510"/>
      <c r="LVF1510"/>
      <c r="LVG1510"/>
      <c r="LVH1510"/>
      <c r="LVI1510"/>
      <c r="LVJ1510"/>
      <c r="LVK1510"/>
      <c r="LVL1510"/>
      <c r="LVM1510"/>
      <c r="LVN1510"/>
      <c r="LVO1510"/>
      <c r="LVP1510"/>
      <c r="LVQ1510"/>
      <c r="LVR1510"/>
      <c r="LVS1510"/>
      <c r="LVT1510"/>
      <c r="LVU1510"/>
      <c r="LVV1510"/>
      <c r="LVW1510"/>
      <c r="LVX1510"/>
      <c r="LVY1510"/>
      <c r="LVZ1510"/>
      <c r="LWA1510"/>
      <c r="LWB1510"/>
      <c r="LWC1510"/>
      <c r="LWD1510"/>
      <c r="LWE1510"/>
      <c r="LWF1510"/>
      <c r="LWG1510"/>
      <c r="LWH1510"/>
      <c r="LWI1510"/>
      <c r="LWJ1510"/>
      <c r="LWK1510"/>
      <c r="LWL1510"/>
      <c r="LWM1510"/>
      <c r="LWN1510"/>
      <c r="LWO1510"/>
      <c r="LWP1510"/>
      <c r="LWQ1510"/>
      <c r="LWR1510"/>
      <c r="LWS1510"/>
      <c r="LWT1510"/>
      <c r="LWU1510"/>
      <c r="LWV1510"/>
      <c r="LWW1510"/>
      <c r="LWX1510"/>
      <c r="LWY1510"/>
      <c r="LWZ1510"/>
      <c r="LXA1510"/>
      <c r="LXB1510"/>
      <c r="LXC1510"/>
      <c r="LXD1510"/>
      <c r="LXE1510"/>
      <c r="LXF1510"/>
      <c r="LXG1510"/>
      <c r="LXH1510"/>
      <c r="LXI1510"/>
      <c r="LXJ1510"/>
      <c r="LXK1510"/>
      <c r="LXL1510"/>
      <c r="LXM1510"/>
      <c r="LXN1510"/>
      <c r="LXO1510"/>
      <c r="LXP1510"/>
      <c r="LXQ1510"/>
      <c r="LXR1510"/>
      <c r="LXS1510"/>
      <c r="LXT1510"/>
      <c r="LXU1510"/>
      <c r="LXV1510"/>
      <c r="LXW1510"/>
      <c r="LXX1510"/>
      <c r="LXY1510"/>
      <c r="LXZ1510"/>
      <c r="LYA1510"/>
      <c r="LYB1510"/>
      <c r="LYC1510"/>
      <c r="LYD1510"/>
      <c r="LYE1510"/>
      <c r="LYF1510"/>
      <c r="LYG1510"/>
      <c r="LYH1510"/>
      <c r="LYI1510"/>
      <c r="LYJ1510"/>
      <c r="LYK1510"/>
      <c r="LYL1510"/>
      <c r="LYM1510"/>
      <c r="LYN1510"/>
      <c r="LYO1510"/>
      <c r="LYP1510"/>
      <c r="LYQ1510"/>
      <c r="LYR1510"/>
      <c r="LYS1510"/>
      <c r="LYT1510"/>
      <c r="LYU1510"/>
      <c r="LYV1510"/>
      <c r="LYW1510"/>
      <c r="LYX1510"/>
      <c r="LYY1510"/>
      <c r="LYZ1510"/>
      <c r="LZA1510"/>
      <c r="LZB1510"/>
      <c r="LZC1510"/>
      <c r="LZD1510"/>
      <c r="LZE1510"/>
      <c r="LZF1510"/>
      <c r="LZG1510"/>
      <c r="LZH1510"/>
      <c r="LZI1510"/>
      <c r="LZJ1510"/>
      <c r="LZK1510"/>
      <c r="LZL1510"/>
      <c r="LZM1510"/>
      <c r="LZN1510"/>
      <c r="LZO1510"/>
      <c r="LZP1510"/>
      <c r="LZQ1510"/>
      <c r="LZR1510"/>
      <c r="LZS1510"/>
      <c r="LZT1510"/>
      <c r="LZU1510"/>
      <c r="LZV1510"/>
      <c r="LZW1510"/>
      <c r="LZX1510"/>
      <c r="LZY1510"/>
      <c r="LZZ1510"/>
      <c r="MAA1510"/>
      <c r="MAB1510"/>
      <c r="MAC1510"/>
      <c r="MAD1510"/>
      <c r="MAE1510"/>
      <c r="MAF1510"/>
      <c r="MAG1510"/>
      <c r="MAH1510"/>
      <c r="MAI1510"/>
      <c r="MAJ1510"/>
      <c r="MAK1510"/>
      <c r="MAL1510"/>
      <c r="MAM1510"/>
      <c r="MAN1510"/>
      <c r="MAO1510"/>
      <c r="MAP1510"/>
      <c r="MAQ1510"/>
      <c r="MAR1510"/>
      <c r="MAS1510"/>
      <c r="MAT1510"/>
      <c r="MAU1510"/>
      <c r="MAV1510"/>
      <c r="MAW1510"/>
      <c r="MAX1510"/>
      <c r="MAY1510"/>
      <c r="MAZ1510"/>
      <c r="MBA1510"/>
      <c r="MBB1510"/>
      <c r="MBC1510"/>
      <c r="MBD1510"/>
      <c r="MBE1510"/>
      <c r="MBF1510"/>
      <c r="MBG1510"/>
      <c r="MBH1510"/>
      <c r="MBI1510"/>
      <c r="MBJ1510"/>
      <c r="MBK1510"/>
      <c r="MBL1510"/>
      <c r="MBM1510"/>
      <c r="MBN1510"/>
      <c r="MBO1510"/>
      <c r="MBP1510"/>
      <c r="MBQ1510"/>
      <c r="MBR1510"/>
      <c r="MBS1510"/>
      <c r="MBT1510"/>
      <c r="MBU1510"/>
      <c r="MBV1510"/>
      <c r="MBW1510"/>
      <c r="MBX1510"/>
      <c r="MBY1510"/>
      <c r="MBZ1510"/>
      <c r="MCA1510"/>
      <c r="MCB1510"/>
      <c r="MCC1510"/>
      <c r="MCD1510"/>
      <c r="MCE1510"/>
      <c r="MCF1510"/>
      <c r="MCG1510"/>
      <c r="MCH1510"/>
      <c r="MCI1510"/>
      <c r="MCJ1510"/>
      <c r="MCK1510"/>
      <c r="MCL1510"/>
      <c r="MCM1510"/>
      <c r="MCN1510"/>
      <c r="MCO1510"/>
      <c r="MCP1510"/>
      <c r="MCQ1510"/>
      <c r="MCR1510"/>
      <c r="MCS1510"/>
      <c r="MCT1510"/>
      <c r="MCU1510"/>
      <c r="MCV1510"/>
      <c r="MCW1510"/>
      <c r="MCX1510"/>
      <c r="MCY1510"/>
      <c r="MCZ1510"/>
      <c r="MDA1510"/>
      <c r="MDB1510"/>
      <c r="MDC1510"/>
      <c r="MDD1510"/>
      <c r="MDE1510"/>
      <c r="MDF1510"/>
      <c r="MDG1510"/>
      <c r="MDH1510"/>
      <c r="MDI1510"/>
      <c r="MDJ1510"/>
      <c r="MDK1510"/>
      <c r="MDL1510"/>
      <c r="MDM1510"/>
      <c r="MDN1510"/>
      <c r="MDO1510"/>
      <c r="MDP1510"/>
      <c r="MDQ1510"/>
      <c r="MDR1510"/>
      <c r="MDS1510"/>
      <c r="MDT1510"/>
      <c r="MDU1510"/>
      <c r="MDV1510"/>
      <c r="MDW1510"/>
      <c r="MDX1510"/>
      <c r="MDY1510"/>
      <c r="MDZ1510"/>
      <c r="MEA1510"/>
      <c r="MEB1510"/>
      <c r="MEC1510"/>
      <c r="MED1510"/>
      <c r="MEE1510"/>
      <c r="MEF1510"/>
      <c r="MEG1510"/>
      <c r="MEH1510"/>
      <c r="MEI1510"/>
      <c r="MEJ1510"/>
      <c r="MEK1510"/>
      <c r="MEL1510"/>
      <c r="MEM1510"/>
      <c r="MEN1510"/>
      <c r="MEO1510"/>
      <c r="MEP1510"/>
      <c r="MEQ1510"/>
      <c r="MER1510"/>
      <c r="MES1510"/>
      <c r="MET1510"/>
      <c r="MEU1510"/>
      <c r="MEV1510"/>
      <c r="MEW1510"/>
      <c r="MEX1510"/>
      <c r="MEY1510"/>
      <c r="MEZ1510"/>
      <c r="MFA1510"/>
      <c r="MFB1510"/>
      <c r="MFC1510"/>
      <c r="MFD1510"/>
      <c r="MFE1510"/>
      <c r="MFF1510"/>
      <c r="MFG1510"/>
      <c r="MFH1510"/>
      <c r="MFI1510"/>
      <c r="MFJ1510"/>
      <c r="MFK1510"/>
      <c r="MFL1510"/>
      <c r="MFM1510"/>
      <c r="MFN1510"/>
      <c r="MFO1510"/>
      <c r="MFP1510"/>
      <c r="MFQ1510"/>
      <c r="MFR1510"/>
      <c r="MFS1510"/>
      <c r="MFT1510"/>
      <c r="MFU1510"/>
      <c r="MFV1510"/>
      <c r="MFW1510"/>
      <c r="MFX1510"/>
      <c r="MFY1510"/>
      <c r="MFZ1510"/>
      <c r="MGA1510"/>
      <c r="MGB1510"/>
      <c r="MGC1510"/>
      <c r="MGD1510"/>
      <c r="MGE1510"/>
      <c r="MGF1510"/>
      <c r="MGG1510"/>
      <c r="MGH1510"/>
      <c r="MGI1510"/>
      <c r="MGJ1510"/>
      <c r="MGK1510"/>
      <c r="MGL1510"/>
      <c r="MGM1510"/>
      <c r="MGN1510"/>
      <c r="MGO1510"/>
      <c r="MGP1510"/>
      <c r="MGQ1510"/>
      <c r="MGR1510"/>
      <c r="MGS1510"/>
      <c r="MGT1510"/>
      <c r="MGU1510"/>
      <c r="MGV1510"/>
      <c r="MGW1510"/>
      <c r="MGX1510"/>
      <c r="MGY1510"/>
      <c r="MGZ1510"/>
      <c r="MHA1510"/>
      <c r="MHB1510"/>
      <c r="MHC1510"/>
      <c r="MHD1510"/>
      <c r="MHE1510"/>
      <c r="MHF1510"/>
      <c r="MHG1510"/>
      <c r="MHH1510"/>
      <c r="MHI1510"/>
      <c r="MHJ1510"/>
      <c r="MHK1510"/>
      <c r="MHL1510"/>
      <c r="MHM1510"/>
      <c r="MHN1510"/>
      <c r="MHO1510"/>
      <c r="MHP1510"/>
      <c r="MHQ1510"/>
      <c r="MHR1510"/>
      <c r="MHS1510"/>
      <c r="MHT1510"/>
      <c r="MHU1510"/>
      <c r="MHV1510"/>
      <c r="MHW1510"/>
      <c r="MHX1510"/>
      <c r="MHY1510"/>
      <c r="MHZ1510"/>
      <c r="MIA1510"/>
      <c r="MIB1510"/>
      <c r="MIC1510"/>
      <c r="MID1510"/>
      <c r="MIE1510"/>
      <c r="MIF1510"/>
      <c r="MIG1510"/>
      <c r="MIH1510"/>
      <c r="MII1510"/>
      <c r="MIJ1510"/>
      <c r="MIK1510"/>
      <c r="MIL1510"/>
      <c r="MIM1510"/>
      <c r="MIN1510"/>
      <c r="MIO1510"/>
      <c r="MIP1510"/>
      <c r="MIQ1510"/>
      <c r="MIR1510"/>
      <c r="MIS1510"/>
      <c r="MIT1510"/>
      <c r="MIU1510"/>
      <c r="MIV1510"/>
      <c r="MIW1510"/>
      <c r="MIX1510"/>
      <c r="MIY1510"/>
      <c r="MIZ1510"/>
      <c r="MJA1510"/>
      <c r="MJB1510"/>
      <c r="MJC1510"/>
      <c r="MJD1510"/>
      <c r="MJE1510"/>
      <c r="MJF1510"/>
      <c r="MJG1510"/>
      <c r="MJH1510"/>
      <c r="MJI1510"/>
      <c r="MJJ1510"/>
      <c r="MJK1510"/>
      <c r="MJL1510"/>
      <c r="MJM1510"/>
      <c r="MJN1510"/>
      <c r="MJO1510"/>
      <c r="MJP1510"/>
      <c r="MJQ1510"/>
      <c r="MJR1510"/>
      <c r="MJS1510"/>
      <c r="MJT1510"/>
      <c r="MJU1510"/>
      <c r="MJV1510"/>
      <c r="MJW1510"/>
      <c r="MJX1510"/>
      <c r="MJY1510"/>
      <c r="MJZ1510"/>
      <c r="MKA1510"/>
      <c r="MKB1510"/>
      <c r="MKC1510"/>
      <c r="MKD1510"/>
      <c r="MKE1510"/>
      <c r="MKF1510"/>
      <c r="MKG1510"/>
      <c r="MKH1510"/>
      <c r="MKI1510"/>
      <c r="MKJ1510"/>
      <c r="MKK1510"/>
      <c r="MKL1510"/>
      <c r="MKM1510"/>
      <c r="MKN1510"/>
      <c r="MKO1510"/>
      <c r="MKP1510"/>
      <c r="MKQ1510"/>
      <c r="MKR1510"/>
      <c r="MKS1510"/>
      <c r="MKT1510"/>
      <c r="MKU1510"/>
      <c r="MKV1510"/>
      <c r="MKW1510"/>
      <c r="MKX1510"/>
      <c r="MKY1510"/>
      <c r="MKZ1510"/>
      <c r="MLA1510"/>
      <c r="MLB1510"/>
      <c r="MLC1510"/>
      <c r="MLD1510"/>
      <c r="MLE1510"/>
      <c r="MLF1510"/>
      <c r="MLG1510"/>
      <c r="MLH1510"/>
      <c r="MLI1510"/>
      <c r="MLJ1510"/>
      <c r="MLK1510"/>
      <c r="MLL1510"/>
      <c r="MLM1510"/>
      <c r="MLN1510"/>
      <c r="MLO1510"/>
      <c r="MLP1510"/>
      <c r="MLQ1510"/>
      <c r="MLR1510"/>
      <c r="MLS1510"/>
      <c r="MLT1510"/>
      <c r="MLU1510"/>
      <c r="MLV1510"/>
      <c r="MLW1510"/>
      <c r="MLX1510"/>
      <c r="MLY1510"/>
      <c r="MLZ1510"/>
      <c r="MMA1510"/>
      <c r="MMB1510"/>
      <c r="MMC1510"/>
      <c r="MMD1510"/>
      <c r="MME1510"/>
      <c r="MMF1510"/>
      <c r="MMG1510"/>
      <c r="MMH1510"/>
      <c r="MMI1510"/>
      <c r="MMJ1510"/>
      <c r="MMK1510"/>
      <c r="MML1510"/>
      <c r="MMM1510"/>
      <c r="MMN1510"/>
      <c r="MMO1510"/>
      <c r="MMP1510"/>
      <c r="MMQ1510"/>
      <c r="MMR1510"/>
      <c r="MMS1510"/>
      <c r="MMT1510"/>
      <c r="MMU1510"/>
      <c r="MMV1510"/>
      <c r="MMW1510"/>
      <c r="MMX1510"/>
      <c r="MMY1510"/>
      <c r="MMZ1510"/>
      <c r="MNA1510"/>
      <c r="MNB1510"/>
      <c r="MNC1510"/>
      <c r="MND1510"/>
      <c r="MNE1510"/>
      <c r="MNF1510"/>
      <c r="MNG1510"/>
      <c r="MNH1510"/>
      <c r="MNI1510"/>
      <c r="MNJ1510"/>
      <c r="MNK1510"/>
      <c r="MNL1510"/>
      <c r="MNM1510"/>
      <c r="MNN1510"/>
      <c r="MNO1510"/>
      <c r="MNP1510"/>
      <c r="MNQ1510"/>
      <c r="MNR1510"/>
      <c r="MNS1510"/>
      <c r="MNT1510"/>
      <c r="MNU1510"/>
      <c r="MNV1510"/>
      <c r="MNW1510"/>
      <c r="MNX1510"/>
      <c r="MNY1510"/>
      <c r="MNZ1510"/>
      <c r="MOA1510"/>
      <c r="MOB1510"/>
      <c r="MOC1510"/>
      <c r="MOD1510"/>
      <c r="MOE1510"/>
      <c r="MOF1510"/>
      <c r="MOG1510"/>
      <c r="MOH1510"/>
      <c r="MOI1510"/>
      <c r="MOJ1510"/>
      <c r="MOK1510"/>
      <c r="MOL1510"/>
      <c r="MOM1510"/>
      <c r="MON1510"/>
      <c r="MOO1510"/>
      <c r="MOP1510"/>
      <c r="MOQ1510"/>
      <c r="MOR1510"/>
      <c r="MOS1510"/>
      <c r="MOT1510"/>
      <c r="MOU1510"/>
      <c r="MOV1510"/>
      <c r="MOW1510"/>
      <c r="MOX1510"/>
      <c r="MOY1510"/>
      <c r="MOZ1510"/>
      <c r="MPA1510"/>
      <c r="MPB1510"/>
      <c r="MPC1510"/>
      <c r="MPD1510"/>
      <c r="MPE1510"/>
      <c r="MPF1510"/>
      <c r="MPG1510"/>
      <c r="MPH1510"/>
      <c r="MPI1510"/>
      <c r="MPJ1510"/>
      <c r="MPK1510"/>
      <c r="MPL1510"/>
      <c r="MPM1510"/>
      <c r="MPN1510"/>
      <c r="MPO1510"/>
      <c r="MPP1510"/>
      <c r="MPQ1510"/>
      <c r="MPR1510"/>
      <c r="MPS1510"/>
      <c r="MPT1510"/>
      <c r="MPU1510"/>
      <c r="MPV1510"/>
      <c r="MPW1510"/>
      <c r="MPX1510"/>
      <c r="MPY1510"/>
      <c r="MPZ1510"/>
      <c r="MQA1510"/>
      <c r="MQB1510"/>
      <c r="MQC1510"/>
      <c r="MQD1510"/>
      <c r="MQE1510"/>
      <c r="MQF1510"/>
      <c r="MQG1510"/>
      <c r="MQH1510"/>
      <c r="MQI1510"/>
      <c r="MQJ1510"/>
      <c r="MQK1510"/>
      <c r="MQL1510"/>
      <c r="MQM1510"/>
      <c r="MQN1510"/>
      <c r="MQO1510"/>
      <c r="MQP1510"/>
      <c r="MQQ1510"/>
      <c r="MQR1510"/>
      <c r="MQS1510"/>
      <c r="MQT1510"/>
      <c r="MQU1510"/>
      <c r="MQV1510"/>
      <c r="MQW1510"/>
      <c r="MQX1510"/>
      <c r="MQY1510"/>
      <c r="MQZ1510"/>
      <c r="MRA1510"/>
      <c r="MRB1510"/>
      <c r="MRC1510"/>
      <c r="MRD1510"/>
      <c r="MRE1510"/>
      <c r="MRF1510"/>
      <c r="MRG1510"/>
      <c r="MRH1510"/>
      <c r="MRI1510"/>
      <c r="MRJ1510"/>
      <c r="MRK1510"/>
      <c r="MRL1510"/>
      <c r="MRM1510"/>
      <c r="MRN1510"/>
      <c r="MRO1510"/>
      <c r="MRP1510"/>
      <c r="MRQ1510"/>
      <c r="MRR1510"/>
      <c r="MRS1510"/>
      <c r="MRT1510"/>
      <c r="MRU1510"/>
      <c r="MRV1510"/>
      <c r="MRW1510"/>
      <c r="MRX1510"/>
      <c r="MRY1510"/>
      <c r="MRZ1510"/>
      <c r="MSA1510"/>
      <c r="MSB1510"/>
      <c r="MSC1510"/>
      <c r="MSD1510"/>
      <c r="MSE1510"/>
      <c r="MSF1510"/>
      <c r="MSG1510"/>
      <c r="MSH1510"/>
      <c r="MSI1510"/>
      <c r="MSJ1510"/>
      <c r="MSK1510"/>
      <c r="MSL1510"/>
      <c r="MSM1510"/>
      <c r="MSN1510"/>
      <c r="MSO1510"/>
      <c r="MSP1510"/>
      <c r="MSQ1510"/>
      <c r="MSR1510"/>
      <c r="MSS1510"/>
      <c r="MST1510"/>
      <c r="MSU1510"/>
      <c r="MSV1510"/>
      <c r="MSW1510"/>
      <c r="MSX1510"/>
      <c r="MSY1510"/>
      <c r="MSZ1510"/>
      <c r="MTA1510"/>
      <c r="MTB1510"/>
      <c r="MTC1510"/>
      <c r="MTD1510"/>
      <c r="MTE1510"/>
      <c r="MTF1510"/>
      <c r="MTG1510"/>
      <c r="MTH1510"/>
      <c r="MTI1510"/>
      <c r="MTJ1510"/>
      <c r="MTK1510"/>
      <c r="MTL1510"/>
      <c r="MTM1510"/>
      <c r="MTN1510"/>
      <c r="MTO1510"/>
      <c r="MTP1510"/>
      <c r="MTQ1510"/>
      <c r="MTR1510"/>
      <c r="MTS1510"/>
      <c r="MTT1510"/>
      <c r="MTU1510"/>
      <c r="MTV1510"/>
      <c r="MTW1510"/>
      <c r="MTX1510"/>
      <c r="MTY1510"/>
      <c r="MTZ1510"/>
      <c r="MUA1510"/>
      <c r="MUB1510"/>
      <c r="MUC1510"/>
      <c r="MUD1510"/>
      <c r="MUE1510"/>
      <c r="MUF1510"/>
      <c r="MUG1510"/>
      <c r="MUH1510"/>
      <c r="MUI1510"/>
      <c r="MUJ1510"/>
      <c r="MUK1510"/>
      <c r="MUL1510"/>
      <c r="MUM1510"/>
      <c r="MUN1510"/>
      <c r="MUO1510"/>
      <c r="MUP1510"/>
      <c r="MUQ1510"/>
      <c r="MUR1510"/>
      <c r="MUS1510"/>
      <c r="MUT1510"/>
      <c r="MUU1510"/>
      <c r="MUV1510"/>
      <c r="MUW1510"/>
      <c r="MUX1510"/>
      <c r="MUY1510"/>
      <c r="MUZ1510"/>
      <c r="MVA1510"/>
      <c r="MVB1510"/>
      <c r="MVC1510"/>
      <c r="MVD1510"/>
      <c r="MVE1510"/>
      <c r="MVF1510"/>
      <c r="MVG1510"/>
      <c r="MVH1510"/>
      <c r="MVI1510"/>
      <c r="MVJ1510"/>
      <c r="MVK1510"/>
      <c r="MVL1510"/>
      <c r="MVM1510"/>
      <c r="MVN1510"/>
      <c r="MVO1510"/>
      <c r="MVP1510"/>
      <c r="MVQ1510"/>
      <c r="MVR1510"/>
      <c r="MVS1510"/>
      <c r="MVT1510"/>
      <c r="MVU1510"/>
      <c r="MVV1510"/>
      <c r="MVW1510"/>
      <c r="MVX1510"/>
      <c r="MVY1510"/>
      <c r="MVZ1510"/>
      <c r="MWA1510"/>
      <c r="MWB1510"/>
      <c r="MWC1510"/>
      <c r="MWD1510"/>
      <c r="MWE1510"/>
      <c r="MWF1510"/>
      <c r="MWG1510"/>
      <c r="MWH1510"/>
      <c r="MWI1510"/>
      <c r="MWJ1510"/>
      <c r="MWK1510"/>
      <c r="MWL1510"/>
      <c r="MWM1510"/>
      <c r="MWN1510"/>
      <c r="MWO1510"/>
      <c r="MWP1510"/>
      <c r="MWQ1510"/>
      <c r="MWR1510"/>
      <c r="MWS1510"/>
      <c r="MWT1510"/>
      <c r="MWU1510"/>
      <c r="MWV1510"/>
      <c r="MWW1510"/>
      <c r="MWX1510"/>
      <c r="MWY1510"/>
      <c r="MWZ1510"/>
      <c r="MXA1510"/>
      <c r="MXB1510"/>
      <c r="MXC1510"/>
      <c r="MXD1510"/>
      <c r="MXE1510"/>
      <c r="MXF1510"/>
      <c r="MXG1510"/>
      <c r="MXH1510"/>
      <c r="MXI1510"/>
      <c r="MXJ1510"/>
      <c r="MXK1510"/>
      <c r="MXL1510"/>
      <c r="MXM1510"/>
      <c r="MXN1510"/>
      <c r="MXO1510"/>
      <c r="MXP1510"/>
      <c r="MXQ1510"/>
      <c r="MXR1510"/>
      <c r="MXS1510"/>
      <c r="MXT1510"/>
      <c r="MXU1510"/>
      <c r="MXV1510"/>
      <c r="MXW1510"/>
      <c r="MXX1510"/>
      <c r="MXY1510"/>
      <c r="MXZ1510"/>
      <c r="MYA1510"/>
      <c r="MYB1510"/>
      <c r="MYC1510"/>
      <c r="MYD1510"/>
      <c r="MYE1510"/>
      <c r="MYF1510"/>
      <c r="MYG1510"/>
      <c r="MYH1510"/>
      <c r="MYI1510"/>
      <c r="MYJ1510"/>
      <c r="MYK1510"/>
      <c r="MYL1510"/>
      <c r="MYM1510"/>
      <c r="MYN1510"/>
      <c r="MYO1510"/>
      <c r="MYP1510"/>
      <c r="MYQ1510"/>
      <c r="MYR1510"/>
      <c r="MYS1510"/>
      <c r="MYT1510"/>
      <c r="MYU1510"/>
      <c r="MYV1510"/>
      <c r="MYW1510"/>
      <c r="MYX1510"/>
      <c r="MYY1510"/>
      <c r="MYZ1510"/>
      <c r="MZA1510"/>
      <c r="MZB1510"/>
      <c r="MZC1510"/>
      <c r="MZD1510"/>
      <c r="MZE1510"/>
      <c r="MZF1510"/>
      <c r="MZG1510"/>
      <c r="MZH1510"/>
      <c r="MZI1510"/>
      <c r="MZJ1510"/>
      <c r="MZK1510"/>
      <c r="MZL1510"/>
      <c r="MZM1510"/>
      <c r="MZN1510"/>
      <c r="MZO1510"/>
      <c r="MZP1510"/>
      <c r="MZQ1510"/>
      <c r="MZR1510"/>
      <c r="MZS1510"/>
      <c r="MZT1510"/>
      <c r="MZU1510"/>
      <c r="MZV1510"/>
      <c r="MZW1510"/>
      <c r="MZX1510"/>
      <c r="MZY1510"/>
      <c r="MZZ1510"/>
      <c r="NAA1510"/>
      <c r="NAB1510"/>
      <c r="NAC1510"/>
      <c r="NAD1510"/>
      <c r="NAE1510"/>
      <c r="NAF1510"/>
      <c r="NAG1510"/>
      <c r="NAH1510"/>
      <c r="NAI1510"/>
      <c r="NAJ1510"/>
      <c r="NAK1510"/>
      <c r="NAL1510"/>
      <c r="NAM1510"/>
      <c r="NAN1510"/>
      <c r="NAO1510"/>
      <c r="NAP1510"/>
      <c r="NAQ1510"/>
      <c r="NAR1510"/>
      <c r="NAS1510"/>
      <c r="NAT1510"/>
      <c r="NAU1510"/>
      <c r="NAV1510"/>
      <c r="NAW1510"/>
      <c r="NAX1510"/>
      <c r="NAY1510"/>
      <c r="NAZ1510"/>
      <c r="NBA1510"/>
      <c r="NBB1510"/>
      <c r="NBC1510"/>
      <c r="NBD1510"/>
      <c r="NBE1510"/>
      <c r="NBF1510"/>
      <c r="NBG1510"/>
      <c r="NBH1510"/>
      <c r="NBI1510"/>
      <c r="NBJ1510"/>
      <c r="NBK1510"/>
      <c r="NBL1510"/>
      <c r="NBM1510"/>
      <c r="NBN1510"/>
      <c r="NBO1510"/>
      <c r="NBP1510"/>
      <c r="NBQ1510"/>
      <c r="NBR1510"/>
      <c r="NBS1510"/>
      <c r="NBT1510"/>
      <c r="NBU1510"/>
      <c r="NBV1510"/>
      <c r="NBW1510"/>
      <c r="NBX1510"/>
      <c r="NBY1510"/>
      <c r="NBZ1510"/>
      <c r="NCA1510"/>
      <c r="NCB1510"/>
      <c r="NCC1510"/>
      <c r="NCD1510"/>
      <c r="NCE1510"/>
      <c r="NCF1510"/>
      <c r="NCG1510"/>
      <c r="NCH1510"/>
      <c r="NCI1510"/>
      <c r="NCJ1510"/>
      <c r="NCK1510"/>
      <c r="NCL1510"/>
      <c r="NCM1510"/>
      <c r="NCN1510"/>
      <c r="NCO1510"/>
      <c r="NCP1510"/>
      <c r="NCQ1510"/>
      <c r="NCR1510"/>
      <c r="NCS1510"/>
      <c r="NCT1510"/>
      <c r="NCU1510"/>
      <c r="NCV1510"/>
      <c r="NCW1510"/>
      <c r="NCX1510"/>
      <c r="NCY1510"/>
      <c r="NCZ1510"/>
      <c r="NDA1510"/>
      <c r="NDB1510"/>
      <c r="NDC1510"/>
      <c r="NDD1510"/>
      <c r="NDE1510"/>
      <c r="NDF1510"/>
      <c r="NDG1510"/>
      <c r="NDH1510"/>
      <c r="NDI1510"/>
      <c r="NDJ1510"/>
      <c r="NDK1510"/>
      <c r="NDL1510"/>
      <c r="NDM1510"/>
      <c r="NDN1510"/>
      <c r="NDO1510"/>
      <c r="NDP1510"/>
      <c r="NDQ1510"/>
      <c r="NDR1510"/>
      <c r="NDS1510"/>
      <c r="NDT1510"/>
      <c r="NDU1510"/>
      <c r="NDV1510"/>
      <c r="NDW1510"/>
      <c r="NDX1510"/>
      <c r="NDY1510"/>
      <c r="NDZ1510"/>
      <c r="NEA1510"/>
      <c r="NEB1510"/>
      <c r="NEC1510"/>
      <c r="NED1510"/>
      <c r="NEE1510"/>
      <c r="NEF1510"/>
      <c r="NEG1510"/>
      <c r="NEH1510"/>
      <c r="NEI1510"/>
      <c r="NEJ1510"/>
      <c r="NEK1510"/>
      <c r="NEL1510"/>
      <c r="NEM1510"/>
      <c r="NEN1510"/>
      <c r="NEO1510"/>
      <c r="NEP1510"/>
      <c r="NEQ1510"/>
      <c r="NER1510"/>
      <c r="NES1510"/>
      <c r="NET1510"/>
      <c r="NEU1510"/>
      <c r="NEV1510"/>
      <c r="NEW1510"/>
      <c r="NEX1510"/>
      <c r="NEY1510"/>
      <c r="NEZ1510"/>
      <c r="NFA1510"/>
      <c r="NFB1510"/>
      <c r="NFC1510"/>
      <c r="NFD1510"/>
      <c r="NFE1510"/>
      <c r="NFF1510"/>
      <c r="NFG1510"/>
      <c r="NFH1510"/>
      <c r="NFI1510"/>
      <c r="NFJ1510"/>
      <c r="NFK1510"/>
      <c r="NFL1510"/>
      <c r="NFM1510"/>
      <c r="NFN1510"/>
      <c r="NFO1510"/>
      <c r="NFP1510"/>
      <c r="NFQ1510"/>
      <c r="NFR1510"/>
      <c r="NFS1510"/>
      <c r="NFT1510"/>
      <c r="NFU1510"/>
      <c r="NFV1510"/>
      <c r="NFW1510"/>
      <c r="NFX1510"/>
      <c r="NFY1510"/>
      <c r="NFZ1510"/>
      <c r="NGA1510"/>
      <c r="NGB1510"/>
      <c r="NGC1510"/>
      <c r="NGD1510"/>
      <c r="NGE1510"/>
      <c r="NGF1510"/>
      <c r="NGG1510"/>
      <c r="NGH1510"/>
      <c r="NGI1510"/>
      <c r="NGJ1510"/>
      <c r="NGK1510"/>
      <c r="NGL1510"/>
      <c r="NGM1510"/>
      <c r="NGN1510"/>
      <c r="NGO1510"/>
      <c r="NGP1510"/>
      <c r="NGQ1510"/>
      <c r="NGR1510"/>
      <c r="NGS1510"/>
      <c r="NGT1510"/>
      <c r="NGU1510"/>
      <c r="NGV1510"/>
      <c r="NGW1510"/>
      <c r="NGX1510"/>
      <c r="NGY1510"/>
      <c r="NGZ1510"/>
      <c r="NHA1510"/>
      <c r="NHB1510"/>
      <c r="NHC1510"/>
      <c r="NHD1510"/>
      <c r="NHE1510"/>
      <c r="NHF1510"/>
      <c r="NHG1510"/>
      <c r="NHH1510"/>
      <c r="NHI1510"/>
      <c r="NHJ1510"/>
      <c r="NHK1510"/>
      <c r="NHL1510"/>
      <c r="NHM1510"/>
      <c r="NHN1510"/>
      <c r="NHO1510"/>
      <c r="NHP1510"/>
      <c r="NHQ1510"/>
      <c r="NHR1510"/>
      <c r="NHS1510"/>
      <c r="NHT1510"/>
      <c r="NHU1510"/>
      <c r="NHV1510"/>
      <c r="NHW1510"/>
      <c r="NHX1510"/>
      <c r="NHY1510"/>
      <c r="NHZ1510"/>
      <c r="NIA1510"/>
      <c r="NIB1510"/>
      <c r="NIC1510"/>
      <c r="NID1510"/>
      <c r="NIE1510"/>
      <c r="NIF1510"/>
      <c r="NIG1510"/>
      <c r="NIH1510"/>
      <c r="NII1510"/>
      <c r="NIJ1510"/>
      <c r="NIK1510"/>
      <c r="NIL1510"/>
      <c r="NIM1510"/>
      <c r="NIN1510"/>
      <c r="NIO1510"/>
      <c r="NIP1510"/>
      <c r="NIQ1510"/>
      <c r="NIR1510"/>
      <c r="NIS1510"/>
      <c r="NIT1510"/>
      <c r="NIU1510"/>
      <c r="NIV1510"/>
      <c r="NIW1510"/>
      <c r="NIX1510"/>
      <c r="NIY1510"/>
      <c r="NIZ1510"/>
      <c r="NJA1510"/>
      <c r="NJB1510"/>
      <c r="NJC1510"/>
      <c r="NJD1510"/>
      <c r="NJE1510"/>
      <c r="NJF1510"/>
      <c r="NJG1510"/>
      <c r="NJH1510"/>
      <c r="NJI1510"/>
      <c r="NJJ1510"/>
      <c r="NJK1510"/>
      <c r="NJL1510"/>
      <c r="NJM1510"/>
      <c r="NJN1510"/>
      <c r="NJO1510"/>
      <c r="NJP1510"/>
      <c r="NJQ1510"/>
      <c r="NJR1510"/>
      <c r="NJS1510"/>
      <c r="NJT1510"/>
      <c r="NJU1510"/>
      <c r="NJV1510"/>
      <c r="NJW1510"/>
      <c r="NJX1510"/>
      <c r="NJY1510"/>
      <c r="NJZ1510"/>
      <c r="NKA1510"/>
      <c r="NKB1510"/>
      <c r="NKC1510"/>
      <c r="NKD1510"/>
      <c r="NKE1510"/>
      <c r="NKF1510"/>
      <c r="NKG1510"/>
      <c r="NKH1510"/>
      <c r="NKI1510"/>
      <c r="NKJ1510"/>
      <c r="NKK1510"/>
      <c r="NKL1510"/>
      <c r="NKM1510"/>
      <c r="NKN1510"/>
      <c r="NKO1510"/>
      <c r="NKP1510"/>
      <c r="NKQ1510"/>
      <c r="NKR1510"/>
      <c r="NKS1510"/>
      <c r="NKT1510"/>
      <c r="NKU1510"/>
      <c r="NKV1510"/>
      <c r="NKW1510"/>
      <c r="NKX1510"/>
      <c r="NKY1510"/>
      <c r="NKZ1510"/>
      <c r="NLA1510"/>
      <c r="NLB1510"/>
      <c r="NLC1510"/>
      <c r="NLD1510"/>
      <c r="NLE1510"/>
      <c r="NLF1510"/>
      <c r="NLG1510"/>
      <c r="NLH1510"/>
      <c r="NLI1510"/>
      <c r="NLJ1510"/>
      <c r="NLK1510"/>
      <c r="NLL1510"/>
      <c r="NLM1510"/>
      <c r="NLN1510"/>
      <c r="NLO1510"/>
      <c r="NLP1510"/>
      <c r="NLQ1510"/>
      <c r="NLR1510"/>
      <c r="NLS1510"/>
      <c r="NLT1510"/>
      <c r="NLU1510"/>
      <c r="NLV1510"/>
      <c r="NLW1510"/>
      <c r="NLX1510"/>
      <c r="NLY1510"/>
      <c r="NLZ1510"/>
      <c r="NMA1510"/>
      <c r="NMB1510"/>
      <c r="NMC1510"/>
      <c r="NMD1510"/>
      <c r="NME1510"/>
      <c r="NMF1510"/>
      <c r="NMG1510"/>
      <c r="NMH1510"/>
      <c r="NMI1510"/>
      <c r="NMJ1510"/>
      <c r="NMK1510"/>
      <c r="NML1510"/>
      <c r="NMM1510"/>
      <c r="NMN1510"/>
      <c r="NMO1510"/>
      <c r="NMP1510"/>
      <c r="NMQ1510"/>
      <c r="NMR1510"/>
      <c r="NMS1510"/>
      <c r="NMT1510"/>
      <c r="NMU1510"/>
      <c r="NMV1510"/>
      <c r="NMW1510"/>
      <c r="NMX1510"/>
      <c r="NMY1510"/>
      <c r="NMZ1510"/>
      <c r="NNA1510"/>
      <c r="NNB1510"/>
      <c r="NNC1510"/>
      <c r="NND1510"/>
      <c r="NNE1510"/>
      <c r="NNF1510"/>
      <c r="NNG1510"/>
      <c r="NNH1510"/>
      <c r="NNI1510"/>
      <c r="NNJ1510"/>
      <c r="NNK1510"/>
      <c r="NNL1510"/>
      <c r="NNM1510"/>
      <c r="NNN1510"/>
      <c r="NNO1510"/>
      <c r="NNP1510"/>
      <c r="NNQ1510"/>
      <c r="NNR1510"/>
      <c r="NNS1510"/>
      <c r="NNT1510"/>
      <c r="NNU1510"/>
      <c r="NNV1510"/>
      <c r="NNW1510"/>
      <c r="NNX1510"/>
      <c r="NNY1510"/>
      <c r="NNZ1510"/>
      <c r="NOA1510"/>
      <c r="NOB1510"/>
      <c r="NOC1510"/>
      <c r="NOD1510"/>
      <c r="NOE1510"/>
      <c r="NOF1510"/>
      <c r="NOG1510"/>
      <c r="NOH1510"/>
      <c r="NOI1510"/>
      <c r="NOJ1510"/>
      <c r="NOK1510"/>
      <c r="NOL1510"/>
      <c r="NOM1510"/>
      <c r="NON1510"/>
      <c r="NOO1510"/>
      <c r="NOP1510"/>
      <c r="NOQ1510"/>
      <c r="NOR1510"/>
      <c r="NOS1510"/>
      <c r="NOT1510"/>
      <c r="NOU1510"/>
      <c r="NOV1510"/>
      <c r="NOW1510"/>
      <c r="NOX1510"/>
      <c r="NOY1510"/>
      <c r="NOZ1510"/>
      <c r="NPA1510"/>
      <c r="NPB1510"/>
      <c r="NPC1510"/>
      <c r="NPD1510"/>
      <c r="NPE1510"/>
      <c r="NPF1510"/>
      <c r="NPG1510"/>
      <c r="NPH1510"/>
      <c r="NPI1510"/>
      <c r="NPJ1510"/>
      <c r="NPK1510"/>
      <c r="NPL1510"/>
      <c r="NPM1510"/>
      <c r="NPN1510"/>
      <c r="NPO1510"/>
      <c r="NPP1510"/>
      <c r="NPQ1510"/>
      <c r="NPR1510"/>
      <c r="NPS1510"/>
      <c r="NPT1510"/>
      <c r="NPU1510"/>
      <c r="NPV1510"/>
      <c r="NPW1510"/>
      <c r="NPX1510"/>
      <c r="NPY1510"/>
      <c r="NPZ1510"/>
      <c r="NQA1510"/>
      <c r="NQB1510"/>
      <c r="NQC1510"/>
      <c r="NQD1510"/>
      <c r="NQE1510"/>
      <c r="NQF1510"/>
      <c r="NQG1510"/>
      <c r="NQH1510"/>
      <c r="NQI1510"/>
      <c r="NQJ1510"/>
      <c r="NQK1510"/>
      <c r="NQL1510"/>
      <c r="NQM1510"/>
      <c r="NQN1510"/>
      <c r="NQO1510"/>
      <c r="NQP1510"/>
      <c r="NQQ1510"/>
      <c r="NQR1510"/>
      <c r="NQS1510"/>
      <c r="NQT1510"/>
      <c r="NQU1510"/>
      <c r="NQV1510"/>
      <c r="NQW1510"/>
      <c r="NQX1510"/>
      <c r="NQY1510"/>
      <c r="NQZ1510"/>
      <c r="NRA1510"/>
      <c r="NRB1510"/>
      <c r="NRC1510"/>
      <c r="NRD1510"/>
      <c r="NRE1510"/>
      <c r="NRF1510"/>
      <c r="NRG1510"/>
      <c r="NRH1510"/>
      <c r="NRI1510"/>
      <c r="NRJ1510"/>
      <c r="NRK1510"/>
      <c r="NRL1510"/>
      <c r="NRM1510"/>
      <c r="NRN1510"/>
      <c r="NRO1510"/>
      <c r="NRP1510"/>
      <c r="NRQ1510"/>
      <c r="NRR1510"/>
      <c r="NRS1510"/>
      <c r="NRT1510"/>
      <c r="NRU1510"/>
      <c r="NRV1510"/>
      <c r="NRW1510"/>
      <c r="NRX1510"/>
      <c r="NRY1510"/>
      <c r="NRZ1510"/>
      <c r="NSA1510"/>
      <c r="NSB1510"/>
      <c r="NSC1510"/>
      <c r="NSD1510"/>
      <c r="NSE1510"/>
      <c r="NSF1510"/>
      <c r="NSG1510"/>
      <c r="NSH1510"/>
      <c r="NSI1510"/>
      <c r="NSJ1510"/>
      <c r="NSK1510"/>
      <c r="NSL1510"/>
      <c r="NSM1510"/>
      <c r="NSN1510"/>
      <c r="NSO1510"/>
      <c r="NSP1510"/>
      <c r="NSQ1510"/>
      <c r="NSR1510"/>
      <c r="NSS1510"/>
      <c r="NST1510"/>
      <c r="NSU1510"/>
      <c r="NSV1510"/>
      <c r="NSW1510"/>
      <c r="NSX1510"/>
      <c r="NSY1510"/>
      <c r="NSZ1510"/>
      <c r="NTA1510"/>
      <c r="NTB1510"/>
      <c r="NTC1510"/>
      <c r="NTD1510"/>
      <c r="NTE1510"/>
      <c r="NTF1510"/>
      <c r="NTG1510"/>
      <c r="NTH1510"/>
      <c r="NTI1510"/>
      <c r="NTJ1510"/>
      <c r="NTK1510"/>
      <c r="NTL1510"/>
      <c r="NTM1510"/>
      <c r="NTN1510"/>
      <c r="NTO1510"/>
      <c r="NTP1510"/>
      <c r="NTQ1510"/>
      <c r="NTR1510"/>
      <c r="NTS1510"/>
      <c r="NTT1510"/>
      <c r="NTU1510"/>
      <c r="NTV1510"/>
      <c r="NTW1510"/>
      <c r="NTX1510"/>
      <c r="NTY1510"/>
      <c r="NTZ1510"/>
      <c r="NUA1510"/>
      <c r="NUB1510"/>
      <c r="NUC1510"/>
      <c r="NUD1510"/>
      <c r="NUE1510"/>
      <c r="NUF1510"/>
      <c r="NUG1510"/>
      <c r="NUH1510"/>
      <c r="NUI1510"/>
      <c r="NUJ1510"/>
      <c r="NUK1510"/>
      <c r="NUL1510"/>
      <c r="NUM1510"/>
      <c r="NUN1510"/>
      <c r="NUO1510"/>
      <c r="NUP1510"/>
      <c r="NUQ1510"/>
      <c r="NUR1510"/>
      <c r="NUS1510"/>
      <c r="NUT1510"/>
      <c r="NUU1510"/>
      <c r="NUV1510"/>
      <c r="NUW1510"/>
      <c r="NUX1510"/>
      <c r="NUY1510"/>
      <c r="NUZ1510"/>
      <c r="NVA1510"/>
      <c r="NVB1510"/>
      <c r="NVC1510"/>
      <c r="NVD1510"/>
      <c r="NVE1510"/>
      <c r="NVF1510"/>
      <c r="NVG1510"/>
      <c r="NVH1510"/>
      <c r="NVI1510"/>
      <c r="NVJ1510"/>
      <c r="NVK1510"/>
      <c r="NVL1510"/>
      <c r="NVM1510"/>
      <c r="NVN1510"/>
      <c r="NVO1510"/>
      <c r="NVP1510"/>
      <c r="NVQ1510"/>
      <c r="NVR1510"/>
      <c r="NVS1510"/>
      <c r="NVT1510"/>
      <c r="NVU1510"/>
      <c r="NVV1510"/>
      <c r="NVW1510"/>
      <c r="NVX1510"/>
      <c r="NVY1510"/>
      <c r="NVZ1510"/>
      <c r="NWA1510"/>
      <c r="NWB1510"/>
      <c r="NWC1510"/>
      <c r="NWD1510"/>
      <c r="NWE1510"/>
      <c r="NWF1510"/>
      <c r="NWG1510"/>
      <c r="NWH1510"/>
      <c r="NWI1510"/>
      <c r="NWJ1510"/>
      <c r="NWK1510"/>
      <c r="NWL1510"/>
      <c r="NWM1510"/>
      <c r="NWN1510"/>
      <c r="NWO1510"/>
      <c r="NWP1510"/>
      <c r="NWQ1510"/>
      <c r="NWR1510"/>
      <c r="NWS1510"/>
      <c r="NWT1510"/>
      <c r="NWU1510"/>
      <c r="NWV1510"/>
      <c r="NWW1510"/>
      <c r="NWX1510"/>
      <c r="NWY1510"/>
      <c r="NWZ1510"/>
      <c r="NXA1510"/>
      <c r="NXB1510"/>
      <c r="NXC1510"/>
      <c r="NXD1510"/>
      <c r="NXE1510"/>
      <c r="NXF1510"/>
      <c r="NXG1510"/>
      <c r="NXH1510"/>
      <c r="NXI1510"/>
      <c r="NXJ1510"/>
      <c r="NXK1510"/>
      <c r="NXL1510"/>
      <c r="NXM1510"/>
      <c r="NXN1510"/>
      <c r="NXO1510"/>
      <c r="NXP1510"/>
      <c r="NXQ1510"/>
      <c r="NXR1510"/>
      <c r="NXS1510"/>
      <c r="NXT1510"/>
      <c r="NXU1510"/>
      <c r="NXV1510"/>
      <c r="NXW1510"/>
      <c r="NXX1510"/>
      <c r="NXY1510"/>
      <c r="NXZ1510"/>
      <c r="NYA1510"/>
      <c r="NYB1510"/>
      <c r="NYC1510"/>
      <c r="NYD1510"/>
      <c r="NYE1510"/>
      <c r="NYF1510"/>
      <c r="NYG1510"/>
      <c r="NYH1510"/>
      <c r="NYI1510"/>
      <c r="NYJ1510"/>
      <c r="NYK1510"/>
      <c r="NYL1510"/>
      <c r="NYM1510"/>
      <c r="NYN1510"/>
      <c r="NYO1510"/>
      <c r="NYP1510"/>
      <c r="NYQ1510"/>
      <c r="NYR1510"/>
      <c r="NYS1510"/>
      <c r="NYT1510"/>
      <c r="NYU1510"/>
      <c r="NYV1510"/>
      <c r="NYW1510"/>
      <c r="NYX1510"/>
      <c r="NYY1510"/>
      <c r="NYZ1510"/>
      <c r="NZA1510"/>
      <c r="NZB1510"/>
      <c r="NZC1510"/>
      <c r="NZD1510"/>
      <c r="NZE1510"/>
      <c r="NZF1510"/>
      <c r="NZG1510"/>
      <c r="NZH1510"/>
      <c r="NZI1510"/>
      <c r="NZJ1510"/>
      <c r="NZK1510"/>
      <c r="NZL1510"/>
      <c r="NZM1510"/>
      <c r="NZN1510"/>
      <c r="NZO1510"/>
      <c r="NZP1510"/>
      <c r="NZQ1510"/>
      <c r="NZR1510"/>
      <c r="NZS1510"/>
      <c r="NZT1510"/>
      <c r="NZU1510"/>
      <c r="NZV1510"/>
      <c r="NZW1510"/>
      <c r="NZX1510"/>
      <c r="NZY1510"/>
      <c r="NZZ1510"/>
      <c r="OAA1510"/>
      <c r="OAB1510"/>
      <c r="OAC1510"/>
      <c r="OAD1510"/>
      <c r="OAE1510"/>
      <c r="OAF1510"/>
      <c r="OAG1510"/>
      <c r="OAH1510"/>
      <c r="OAI1510"/>
      <c r="OAJ1510"/>
      <c r="OAK1510"/>
      <c r="OAL1510"/>
      <c r="OAM1510"/>
      <c r="OAN1510"/>
      <c r="OAO1510"/>
      <c r="OAP1510"/>
      <c r="OAQ1510"/>
      <c r="OAR1510"/>
      <c r="OAS1510"/>
      <c r="OAT1510"/>
      <c r="OAU1510"/>
      <c r="OAV1510"/>
      <c r="OAW1510"/>
      <c r="OAX1510"/>
      <c r="OAY1510"/>
      <c r="OAZ1510"/>
      <c r="OBA1510"/>
      <c r="OBB1510"/>
      <c r="OBC1510"/>
      <c r="OBD1510"/>
      <c r="OBE1510"/>
      <c r="OBF1510"/>
      <c r="OBG1510"/>
      <c r="OBH1510"/>
      <c r="OBI1510"/>
      <c r="OBJ1510"/>
      <c r="OBK1510"/>
      <c r="OBL1510"/>
      <c r="OBM1510"/>
      <c r="OBN1510"/>
      <c r="OBO1510"/>
      <c r="OBP1510"/>
      <c r="OBQ1510"/>
      <c r="OBR1510"/>
      <c r="OBS1510"/>
      <c r="OBT1510"/>
      <c r="OBU1510"/>
      <c r="OBV1510"/>
      <c r="OBW1510"/>
      <c r="OBX1510"/>
      <c r="OBY1510"/>
      <c r="OBZ1510"/>
      <c r="OCA1510"/>
      <c r="OCB1510"/>
      <c r="OCC1510"/>
      <c r="OCD1510"/>
      <c r="OCE1510"/>
      <c r="OCF1510"/>
      <c r="OCG1510"/>
      <c r="OCH1510"/>
      <c r="OCI1510"/>
      <c r="OCJ1510"/>
      <c r="OCK1510"/>
      <c r="OCL1510"/>
      <c r="OCM1510"/>
      <c r="OCN1510"/>
      <c r="OCO1510"/>
      <c r="OCP1510"/>
      <c r="OCQ1510"/>
      <c r="OCR1510"/>
      <c r="OCS1510"/>
      <c r="OCT1510"/>
      <c r="OCU1510"/>
      <c r="OCV1510"/>
      <c r="OCW1510"/>
      <c r="OCX1510"/>
      <c r="OCY1510"/>
      <c r="OCZ1510"/>
      <c r="ODA1510"/>
      <c r="ODB1510"/>
      <c r="ODC1510"/>
      <c r="ODD1510"/>
      <c r="ODE1510"/>
      <c r="ODF1510"/>
      <c r="ODG1510"/>
      <c r="ODH1510"/>
      <c r="ODI1510"/>
      <c r="ODJ1510"/>
      <c r="ODK1510"/>
      <c r="ODL1510"/>
      <c r="ODM1510"/>
      <c r="ODN1510"/>
      <c r="ODO1510"/>
      <c r="ODP1510"/>
      <c r="ODQ1510"/>
      <c r="ODR1510"/>
      <c r="ODS1510"/>
      <c r="ODT1510"/>
      <c r="ODU1510"/>
      <c r="ODV1510"/>
      <c r="ODW1510"/>
      <c r="ODX1510"/>
      <c r="ODY1510"/>
      <c r="ODZ1510"/>
      <c r="OEA1510"/>
      <c r="OEB1510"/>
      <c r="OEC1510"/>
      <c r="OED1510"/>
      <c r="OEE1510"/>
      <c r="OEF1510"/>
      <c r="OEG1510"/>
      <c r="OEH1510"/>
      <c r="OEI1510"/>
      <c r="OEJ1510"/>
      <c r="OEK1510"/>
      <c r="OEL1510"/>
      <c r="OEM1510"/>
      <c r="OEN1510"/>
      <c r="OEO1510"/>
      <c r="OEP1510"/>
      <c r="OEQ1510"/>
      <c r="OER1510"/>
      <c r="OES1510"/>
      <c r="OET1510"/>
      <c r="OEU1510"/>
      <c r="OEV1510"/>
      <c r="OEW1510"/>
      <c r="OEX1510"/>
      <c r="OEY1510"/>
      <c r="OEZ1510"/>
      <c r="OFA1510"/>
      <c r="OFB1510"/>
      <c r="OFC1510"/>
      <c r="OFD1510"/>
      <c r="OFE1510"/>
      <c r="OFF1510"/>
      <c r="OFG1510"/>
      <c r="OFH1510"/>
      <c r="OFI1510"/>
      <c r="OFJ1510"/>
      <c r="OFK1510"/>
      <c r="OFL1510"/>
      <c r="OFM1510"/>
      <c r="OFN1510"/>
      <c r="OFO1510"/>
      <c r="OFP1510"/>
      <c r="OFQ1510"/>
      <c r="OFR1510"/>
      <c r="OFS1510"/>
      <c r="OFT1510"/>
      <c r="OFU1510"/>
      <c r="OFV1510"/>
      <c r="OFW1510"/>
      <c r="OFX1510"/>
      <c r="OFY1510"/>
      <c r="OFZ1510"/>
      <c r="OGA1510"/>
      <c r="OGB1510"/>
      <c r="OGC1510"/>
      <c r="OGD1510"/>
      <c r="OGE1510"/>
      <c r="OGF1510"/>
      <c r="OGG1510"/>
      <c r="OGH1510"/>
      <c r="OGI1510"/>
      <c r="OGJ1510"/>
      <c r="OGK1510"/>
      <c r="OGL1510"/>
      <c r="OGM1510"/>
      <c r="OGN1510"/>
      <c r="OGO1510"/>
      <c r="OGP1510"/>
      <c r="OGQ1510"/>
      <c r="OGR1510"/>
      <c r="OGS1510"/>
      <c r="OGT1510"/>
      <c r="OGU1510"/>
      <c r="OGV1510"/>
      <c r="OGW1510"/>
      <c r="OGX1510"/>
      <c r="OGY1510"/>
      <c r="OGZ1510"/>
      <c r="OHA1510"/>
      <c r="OHB1510"/>
      <c r="OHC1510"/>
      <c r="OHD1510"/>
      <c r="OHE1510"/>
      <c r="OHF1510"/>
      <c r="OHG1510"/>
      <c r="OHH1510"/>
      <c r="OHI1510"/>
      <c r="OHJ1510"/>
      <c r="OHK1510"/>
      <c r="OHL1510"/>
      <c r="OHM1510"/>
      <c r="OHN1510"/>
      <c r="OHO1510"/>
      <c r="OHP1510"/>
      <c r="OHQ1510"/>
      <c r="OHR1510"/>
      <c r="OHS1510"/>
      <c r="OHT1510"/>
      <c r="OHU1510"/>
      <c r="OHV1510"/>
      <c r="OHW1510"/>
      <c r="OHX1510"/>
      <c r="OHY1510"/>
      <c r="OHZ1510"/>
      <c r="OIA1510"/>
      <c r="OIB1510"/>
      <c r="OIC1510"/>
      <c r="OID1510"/>
      <c r="OIE1510"/>
      <c r="OIF1510"/>
      <c r="OIG1510"/>
      <c r="OIH1510"/>
      <c r="OII1510"/>
      <c r="OIJ1510"/>
      <c r="OIK1510"/>
      <c r="OIL1510"/>
      <c r="OIM1510"/>
      <c r="OIN1510"/>
      <c r="OIO1510"/>
      <c r="OIP1510"/>
      <c r="OIQ1510"/>
      <c r="OIR1510"/>
      <c r="OIS1510"/>
      <c r="OIT1510"/>
      <c r="OIU1510"/>
      <c r="OIV1510"/>
      <c r="OIW1510"/>
      <c r="OIX1510"/>
      <c r="OIY1510"/>
      <c r="OIZ1510"/>
      <c r="OJA1510"/>
      <c r="OJB1510"/>
      <c r="OJC1510"/>
      <c r="OJD1510"/>
      <c r="OJE1510"/>
      <c r="OJF1510"/>
      <c r="OJG1510"/>
      <c r="OJH1510"/>
      <c r="OJI1510"/>
      <c r="OJJ1510"/>
      <c r="OJK1510"/>
      <c r="OJL1510"/>
      <c r="OJM1510"/>
      <c r="OJN1510"/>
      <c r="OJO1510"/>
      <c r="OJP1510"/>
      <c r="OJQ1510"/>
      <c r="OJR1510"/>
      <c r="OJS1510"/>
      <c r="OJT1510"/>
      <c r="OJU1510"/>
      <c r="OJV1510"/>
      <c r="OJW1510"/>
      <c r="OJX1510"/>
      <c r="OJY1510"/>
      <c r="OJZ1510"/>
      <c r="OKA1510"/>
      <c r="OKB1510"/>
      <c r="OKC1510"/>
      <c r="OKD1510"/>
      <c r="OKE1510"/>
      <c r="OKF1510"/>
      <c r="OKG1510"/>
      <c r="OKH1510"/>
      <c r="OKI1510"/>
      <c r="OKJ1510"/>
      <c r="OKK1510"/>
      <c r="OKL1510"/>
      <c r="OKM1510"/>
      <c r="OKN1510"/>
      <c r="OKO1510"/>
      <c r="OKP1510"/>
      <c r="OKQ1510"/>
      <c r="OKR1510"/>
      <c r="OKS1510"/>
      <c r="OKT1510"/>
      <c r="OKU1510"/>
      <c r="OKV1510"/>
      <c r="OKW1510"/>
      <c r="OKX1510"/>
      <c r="OKY1510"/>
      <c r="OKZ1510"/>
      <c r="OLA1510"/>
      <c r="OLB1510"/>
      <c r="OLC1510"/>
      <c r="OLD1510"/>
      <c r="OLE1510"/>
      <c r="OLF1510"/>
      <c r="OLG1510"/>
      <c r="OLH1510"/>
      <c r="OLI1510"/>
      <c r="OLJ1510"/>
      <c r="OLK1510"/>
      <c r="OLL1510"/>
      <c r="OLM1510"/>
      <c r="OLN1510"/>
      <c r="OLO1510"/>
      <c r="OLP1510"/>
      <c r="OLQ1510"/>
      <c r="OLR1510"/>
      <c r="OLS1510"/>
      <c r="OLT1510"/>
      <c r="OLU1510"/>
      <c r="OLV1510"/>
      <c r="OLW1510"/>
      <c r="OLX1510"/>
      <c r="OLY1510"/>
      <c r="OLZ1510"/>
      <c r="OMA1510"/>
      <c r="OMB1510"/>
      <c r="OMC1510"/>
      <c r="OMD1510"/>
      <c r="OME1510"/>
      <c r="OMF1510"/>
      <c r="OMG1510"/>
      <c r="OMH1510"/>
      <c r="OMI1510"/>
      <c r="OMJ1510"/>
      <c r="OMK1510"/>
      <c r="OML1510"/>
      <c r="OMM1510"/>
      <c r="OMN1510"/>
      <c r="OMO1510"/>
      <c r="OMP1510"/>
      <c r="OMQ1510"/>
      <c r="OMR1510"/>
      <c r="OMS1510"/>
      <c r="OMT1510"/>
      <c r="OMU1510"/>
      <c r="OMV1510"/>
      <c r="OMW1510"/>
      <c r="OMX1510"/>
      <c r="OMY1510"/>
      <c r="OMZ1510"/>
      <c r="ONA1510"/>
      <c r="ONB1510"/>
      <c r="ONC1510"/>
      <c r="OND1510"/>
      <c r="ONE1510"/>
      <c r="ONF1510"/>
      <c r="ONG1510"/>
      <c r="ONH1510"/>
      <c r="ONI1510"/>
      <c r="ONJ1510"/>
      <c r="ONK1510"/>
      <c r="ONL1510"/>
      <c r="ONM1510"/>
      <c r="ONN1510"/>
      <c r="ONO1510"/>
      <c r="ONP1510"/>
      <c r="ONQ1510"/>
      <c r="ONR1510"/>
      <c r="ONS1510"/>
      <c r="ONT1510"/>
      <c r="ONU1510"/>
      <c r="ONV1510"/>
      <c r="ONW1510"/>
      <c r="ONX1510"/>
      <c r="ONY1510"/>
      <c r="ONZ1510"/>
      <c r="OOA1510"/>
      <c r="OOB1510"/>
      <c r="OOC1510"/>
      <c r="OOD1510"/>
      <c r="OOE1510"/>
      <c r="OOF1510"/>
      <c r="OOG1510"/>
      <c r="OOH1510"/>
      <c r="OOI1510"/>
      <c r="OOJ1510"/>
      <c r="OOK1510"/>
      <c r="OOL1510"/>
      <c r="OOM1510"/>
      <c r="OON1510"/>
      <c r="OOO1510"/>
      <c r="OOP1510"/>
      <c r="OOQ1510"/>
      <c r="OOR1510"/>
      <c r="OOS1510"/>
      <c r="OOT1510"/>
      <c r="OOU1510"/>
      <c r="OOV1510"/>
      <c r="OOW1510"/>
      <c r="OOX1510"/>
      <c r="OOY1510"/>
      <c r="OOZ1510"/>
      <c r="OPA1510"/>
      <c r="OPB1510"/>
      <c r="OPC1510"/>
      <c r="OPD1510"/>
      <c r="OPE1510"/>
      <c r="OPF1510"/>
      <c r="OPG1510"/>
      <c r="OPH1510"/>
      <c r="OPI1510"/>
      <c r="OPJ1510"/>
      <c r="OPK1510"/>
      <c r="OPL1510"/>
      <c r="OPM1510"/>
      <c r="OPN1510"/>
      <c r="OPO1510"/>
      <c r="OPP1510"/>
      <c r="OPQ1510"/>
      <c r="OPR1510"/>
      <c r="OPS1510"/>
      <c r="OPT1510"/>
      <c r="OPU1510"/>
      <c r="OPV1510"/>
      <c r="OPW1510"/>
      <c r="OPX1510"/>
      <c r="OPY1510"/>
      <c r="OPZ1510"/>
      <c r="OQA1510"/>
      <c r="OQB1510"/>
      <c r="OQC1510"/>
      <c r="OQD1510"/>
      <c r="OQE1510"/>
      <c r="OQF1510"/>
      <c r="OQG1510"/>
      <c r="OQH1510"/>
      <c r="OQI1510"/>
      <c r="OQJ1510"/>
      <c r="OQK1510"/>
      <c r="OQL1510"/>
      <c r="OQM1510"/>
      <c r="OQN1510"/>
      <c r="OQO1510"/>
      <c r="OQP1510"/>
      <c r="OQQ1510"/>
      <c r="OQR1510"/>
      <c r="OQS1510"/>
      <c r="OQT1510"/>
      <c r="OQU1510"/>
      <c r="OQV1510"/>
      <c r="OQW1510"/>
      <c r="OQX1510"/>
      <c r="OQY1510"/>
      <c r="OQZ1510"/>
      <c r="ORA1510"/>
      <c r="ORB1510"/>
      <c r="ORC1510"/>
      <c r="ORD1510"/>
      <c r="ORE1510"/>
      <c r="ORF1510"/>
      <c r="ORG1510"/>
      <c r="ORH1510"/>
      <c r="ORI1510"/>
      <c r="ORJ1510"/>
      <c r="ORK1510"/>
      <c r="ORL1510"/>
      <c r="ORM1510"/>
      <c r="ORN1510"/>
      <c r="ORO1510"/>
      <c r="ORP1510"/>
      <c r="ORQ1510"/>
      <c r="ORR1510"/>
      <c r="ORS1510"/>
      <c r="ORT1510"/>
      <c r="ORU1510"/>
      <c r="ORV1510"/>
      <c r="ORW1510"/>
      <c r="ORX1510"/>
      <c r="ORY1510"/>
      <c r="ORZ1510"/>
      <c r="OSA1510"/>
      <c r="OSB1510"/>
      <c r="OSC1510"/>
      <c r="OSD1510"/>
      <c r="OSE1510"/>
      <c r="OSF1510"/>
      <c r="OSG1510"/>
      <c r="OSH1510"/>
      <c r="OSI1510"/>
      <c r="OSJ1510"/>
      <c r="OSK1510"/>
      <c r="OSL1510"/>
      <c r="OSM1510"/>
      <c r="OSN1510"/>
      <c r="OSO1510"/>
      <c r="OSP1510"/>
      <c r="OSQ1510"/>
      <c r="OSR1510"/>
      <c r="OSS1510"/>
      <c r="OST1510"/>
      <c r="OSU1510"/>
      <c r="OSV1510"/>
      <c r="OSW1510"/>
      <c r="OSX1510"/>
      <c r="OSY1510"/>
      <c r="OSZ1510"/>
      <c r="OTA1510"/>
      <c r="OTB1510"/>
      <c r="OTC1510"/>
      <c r="OTD1510"/>
      <c r="OTE1510"/>
      <c r="OTF1510"/>
      <c r="OTG1510"/>
      <c r="OTH1510"/>
      <c r="OTI1510"/>
      <c r="OTJ1510"/>
      <c r="OTK1510"/>
      <c r="OTL1510"/>
      <c r="OTM1510"/>
      <c r="OTN1510"/>
      <c r="OTO1510"/>
      <c r="OTP1510"/>
      <c r="OTQ1510"/>
      <c r="OTR1510"/>
      <c r="OTS1510"/>
      <c r="OTT1510"/>
      <c r="OTU1510"/>
      <c r="OTV1510"/>
      <c r="OTW1510"/>
      <c r="OTX1510"/>
      <c r="OTY1510"/>
      <c r="OTZ1510"/>
      <c r="OUA1510"/>
      <c r="OUB1510"/>
      <c r="OUC1510"/>
      <c r="OUD1510"/>
      <c r="OUE1510"/>
      <c r="OUF1510"/>
      <c r="OUG1510"/>
      <c r="OUH1510"/>
      <c r="OUI1510"/>
      <c r="OUJ1510"/>
      <c r="OUK1510"/>
      <c r="OUL1510"/>
      <c r="OUM1510"/>
      <c r="OUN1510"/>
      <c r="OUO1510"/>
      <c r="OUP1510"/>
      <c r="OUQ1510"/>
      <c r="OUR1510"/>
      <c r="OUS1510"/>
      <c r="OUT1510"/>
      <c r="OUU1510"/>
      <c r="OUV1510"/>
      <c r="OUW1510"/>
      <c r="OUX1510"/>
      <c r="OUY1510"/>
      <c r="OUZ1510"/>
      <c r="OVA1510"/>
      <c r="OVB1510"/>
      <c r="OVC1510"/>
      <c r="OVD1510"/>
      <c r="OVE1510"/>
      <c r="OVF1510"/>
      <c r="OVG1510"/>
      <c r="OVH1510"/>
      <c r="OVI1510"/>
      <c r="OVJ1510"/>
      <c r="OVK1510"/>
      <c r="OVL1510"/>
      <c r="OVM1510"/>
      <c r="OVN1510"/>
      <c r="OVO1510"/>
      <c r="OVP1510"/>
      <c r="OVQ1510"/>
      <c r="OVR1510"/>
      <c r="OVS1510"/>
      <c r="OVT1510"/>
      <c r="OVU1510"/>
      <c r="OVV1510"/>
      <c r="OVW1510"/>
      <c r="OVX1510"/>
      <c r="OVY1510"/>
      <c r="OVZ1510"/>
      <c r="OWA1510"/>
      <c r="OWB1510"/>
      <c r="OWC1510"/>
      <c r="OWD1510"/>
      <c r="OWE1510"/>
      <c r="OWF1510"/>
      <c r="OWG1510"/>
      <c r="OWH1510"/>
      <c r="OWI1510"/>
      <c r="OWJ1510"/>
      <c r="OWK1510"/>
      <c r="OWL1510"/>
      <c r="OWM1510"/>
      <c r="OWN1510"/>
      <c r="OWO1510"/>
      <c r="OWP1510"/>
      <c r="OWQ1510"/>
      <c r="OWR1510"/>
      <c r="OWS1510"/>
      <c r="OWT1510"/>
      <c r="OWU1510"/>
      <c r="OWV1510"/>
      <c r="OWW1510"/>
      <c r="OWX1510"/>
      <c r="OWY1510"/>
      <c r="OWZ1510"/>
      <c r="OXA1510"/>
      <c r="OXB1510"/>
      <c r="OXC1510"/>
      <c r="OXD1510"/>
      <c r="OXE1510"/>
      <c r="OXF1510"/>
      <c r="OXG1510"/>
      <c r="OXH1510"/>
      <c r="OXI1510"/>
      <c r="OXJ1510"/>
      <c r="OXK1510"/>
      <c r="OXL1510"/>
      <c r="OXM1510"/>
      <c r="OXN1510"/>
      <c r="OXO1510"/>
      <c r="OXP1510"/>
      <c r="OXQ1510"/>
      <c r="OXR1510"/>
      <c r="OXS1510"/>
      <c r="OXT1510"/>
      <c r="OXU1510"/>
      <c r="OXV1510"/>
      <c r="OXW1510"/>
      <c r="OXX1510"/>
      <c r="OXY1510"/>
      <c r="OXZ1510"/>
      <c r="OYA1510"/>
      <c r="OYB1510"/>
      <c r="OYC1510"/>
      <c r="OYD1510"/>
      <c r="OYE1510"/>
      <c r="OYF1510"/>
      <c r="OYG1510"/>
      <c r="OYH1510"/>
      <c r="OYI1510"/>
      <c r="OYJ1510"/>
      <c r="OYK1510"/>
      <c r="OYL1510"/>
      <c r="OYM1510"/>
      <c r="OYN1510"/>
      <c r="OYO1510"/>
      <c r="OYP1510"/>
      <c r="OYQ1510"/>
      <c r="OYR1510"/>
      <c r="OYS1510"/>
      <c r="OYT1510"/>
      <c r="OYU1510"/>
      <c r="OYV1510"/>
      <c r="OYW1510"/>
      <c r="OYX1510"/>
      <c r="OYY1510"/>
      <c r="OYZ1510"/>
      <c r="OZA1510"/>
      <c r="OZB1510"/>
      <c r="OZC1510"/>
      <c r="OZD1510"/>
      <c r="OZE1510"/>
      <c r="OZF1510"/>
      <c r="OZG1510"/>
      <c r="OZH1510"/>
      <c r="OZI1510"/>
      <c r="OZJ1510"/>
      <c r="OZK1510"/>
      <c r="OZL1510"/>
      <c r="OZM1510"/>
      <c r="OZN1510"/>
      <c r="OZO1510"/>
      <c r="OZP1510"/>
      <c r="OZQ1510"/>
      <c r="OZR1510"/>
      <c r="OZS1510"/>
      <c r="OZT1510"/>
      <c r="OZU1510"/>
      <c r="OZV1510"/>
      <c r="OZW1510"/>
      <c r="OZX1510"/>
      <c r="OZY1510"/>
      <c r="OZZ1510"/>
      <c r="PAA1510"/>
      <c r="PAB1510"/>
      <c r="PAC1510"/>
      <c r="PAD1510"/>
      <c r="PAE1510"/>
      <c r="PAF1510"/>
      <c r="PAG1510"/>
      <c r="PAH1510"/>
      <c r="PAI1510"/>
      <c r="PAJ1510"/>
      <c r="PAK1510"/>
      <c r="PAL1510"/>
      <c r="PAM1510"/>
      <c r="PAN1510"/>
      <c r="PAO1510"/>
      <c r="PAP1510"/>
      <c r="PAQ1510"/>
      <c r="PAR1510"/>
      <c r="PAS1510"/>
      <c r="PAT1510"/>
      <c r="PAU1510"/>
      <c r="PAV1510"/>
      <c r="PAW1510"/>
      <c r="PAX1510"/>
      <c r="PAY1510"/>
      <c r="PAZ1510"/>
      <c r="PBA1510"/>
      <c r="PBB1510"/>
      <c r="PBC1510"/>
      <c r="PBD1510"/>
      <c r="PBE1510"/>
      <c r="PBF1510"/>
      <c r="PBG1510"/>
      <c r="PBH1510"/>
      <c r="PBI1510"/>
      <c r="PBJ1510"/>
      <c r="PBK1510"/>
      <c r="PBL1510"/>
      <c r="PBM1510"/>
      <c r="PBN1510"/>
      <c r="PBO1510"/>
      <c r="PBP1510"/>
      <c r="PBQ1510"/>
      <c r="PBR1510"/>
      <c r="PBS1510"/>
      <c r="PBT1510"/>
      <c r="PBU1510"/>
      <c r="PBV1510"/>
      <c r="PBW1510"/>
      <c r="PBX1510"/>
      <c r="PBY1510"/>
      <c r="PBZ1510"/>
      <c r="PCA1510"/>
      <c r="PCB1510"/>
      <c r="PCC1510"/>
      <c r="PCD1510"/>
      <c r="PCE1510"/>
      <c r="PCF1510"/>
      <c r="PCG1510"/>
      <c r="PCH1510"/>
      <c r="PCI1510"/>
      <c r="PCJ1510"/>
      <c r="PCK1510"/>
      <c r="PCL1510"/>
      <c r="PCM1510"/>
      <c r="PCN1510"/>
      <c r="PCO1510"/>
      <c r="PCP1510"/>
      <c r="PCQ1510"/>
      <c r="PCR1510"/>
      <c r="PCS1510"/>
      <c r="PCT1510"/>
      <c r="PCU1510"/>
      <c r="PCV1510"/>
      <c r="PCW1510"/>
      <c r="PCX1510"/>
      <c r="PCY1510"/>
      <c r="PCZ1510"/>
      <c r="PDA1510"/>
      <c r="PDB1510"/>
      <c r="PDC1510"/>
      <c r="PDD1510"/>
      <c r="PDE1510"/>
      <c r="PDF1510"/>
      <c r="PDG1510"/>
      <c r="PDH1510"/>
      <c r="PDI1510"/>
      <c r="PDJ1510"/>
      <c r="PDK1510"/>
      <c r="PDL1510"/>
      <c r="PDM1510"/>
      <c r="PDN1510"/>
      <c r="PDO1510"/>
      <c r="PDP1510"/>
      <c r="PDQ1510"/>
      <c r="PDR1510"/>
      <c r="PDS1510"/>
      <c r="PDT1510"/>
      <c r="PDU1510"/>
      <c r="PDV1510"/>
      <c r="PDW1510"/>
      <c r="PDX1510"/>
      <c r="PDY1510"/>
      <c r="PDZ1510"/>
      <c r="PEA1510"/>
      <c r="PEB1510"/>
      <c r="PEC1510"/>
      <c r="PED1510"/>
      <c r="PEE1510"/>
      <c r="PEF1510"/>
      <c r="PEG1510"/>
      <c r="PEH1510"/>
      <c r="PEI1510"/>
      <c r="PEJ1510"/>
      <c r="PEK1510"/>
      <c r="PEL1510"/>
      <c r="PEM1510"/>
      <c r="PEN1510"/>
      <c r="PEO1510"/>
      <c r="PEP1510"/>
      <c r="PEQ1510"/>
      <c r="PER1510"/>
      <c r="PES1510"/>
      <c r="PET1510"/>
      <c r="PEU1510"/>
      <c r="PEV1510"/>
      <c r="PEW1510"/>
      <c r="PEX1510"/>
      <c r="PEY1510"/>
      <c r="PEZ1510"/>
      <c r="PFA1510"/>
      <c r="PFB1510"/>
      <c r="PFC1510"/>
      <c r="PFD1510"/>
      <c r="PFE1510"/>
      <c r="PFF1510"/>
      <c r="PFG1510"/>
      <c r="PFH1510"/>
      <c r="PFI1510"/>
      <c r="PFJ1510"/>
      <c r="PFK1510"/>
      <c r="PFL1510"/>
      <c r="PFM1510"/>
      <c r="PFN1510"/>
      <c r="PFO1510"/>
      <c r="PFP1510"/>
      <c r="PFQ1510"/>
      <c r="PFR1510"/>
      <c r="PFS1510"/>
      <c r="PFT1510"/>
      <c r="PFU1510"/>
      <c r="PFV1510"/>
      <c r="PFW1510"/>
      <c r="PFX1510"/>
      <c r="PFY1510"/>
      <c r="PFZ1510"/>
      <c r="PGA1510"/>
      <c r="PGB1510"/>
      <c r="PGC1510"/>
      <c r="PGD1510"/>
      <c r="PGE1510"/>
      <c r="PGF1510"/>
      <c r="PGG1510"/>
      <c r="PGH1510"/>
      <c r="PGI1510"/>
      <c r="PGJ1510"/>
      <c r="PGK1510"/>
      <c r="PGL1510"/>
      <c r="PGM1510"/>
      <c r="PGN1510"/>
      <c r="PGO1510"/>
      <c r="PGP1510"/>
      <c r="PGQ1510"/>
      <c r="PGR1510"/>
      <c r="PGS1510"/>
      <c r="PGT1510"/>
      <c r="PGU1510"/>
      <c r="PGV1510"/>
      <c r="PGW1510"/>
      <c r="PGX1510"/>
      <c r="PGY1510"/>
      <c r="PGZ1510"/>
      <c r="PHA1510"/>
      <c r="PHB1510"/>
      <c r="PHC1510"/>
      <c r="PHD1510"/>
      <c r="PHE1510"/>
      <c r="PHF1510"/>
      <c r="PHG1510"/>
      <c r="PHH1510"/>
      <c r="PHI1510"/>
      <c r="PHJ1510"/>
      <c r="PHK1510"/>
      <c r="PHL1510"/>
      <c r="PHM1510"/>
      <c r="PHN1510"/>
      <c r="PHO1510"/>
      <c r="PHP1510"/>
      <c r="PHQ1510"/>
      <c r="PHR1510"/>
      <c r="PHS1510"/>
      <c r="PHT1510"/>
      <c r="PHU1510"/>
      <c r="PHV1510"/>
      <c r="PHW1510"/>
      <c r="PHX1510"/>
      <c r="PHY1510"/>
      <c r="PHZ1510"/>
      <c r="PIA1510"/>
      <c r="PIB1510"/>
      <c r="PIC1510"/>
      <c r="PID1510"/>
      <c r="PIE1510"/>
      <c r="PIF1510"/>
      <c r="PIG1510"/>
      <c r="PIH1510"/>
      <c r="PII1510"/>
      <c r="PIJ1510"/>
      <c r="PIK1510"/>
      <c r="PIL1510"/>
      <c r="PIM1510"/>
      <c r="PIN1510"/>
      <c r="PIO1510"/>
      <c r="PIP1510"/>
      <c r="PIQ1510"/>
      <c r="PIR1510"/>
      <c r="PIS1510"/>
      <c r="PIT1510"/>
      <c r="PIU1510"/>
      <c r="PIV1510"/>
      <c r="PIW1510"/>
      <c r="PIX1510"/>
      <c r="PIY1510"/>
      <c r="PIZ1510"/>
      <c r="PJA1510"/>
      <c r="PJB1510"/>
      <c r="PJC1510"/>
      <c r="PJD1510"/>
      <c r="PJE1510"/>
      <c r="PJF1510"/>
      <c r="PJG1510"/>
      <c r="PJH1510"/>
      <c r="PJI1510"/>
      <c r="PJJ1510"/>
      <c r="PJK1510"/>
      <c r="PJL1510"/>
      <c r="PJM1510"/>
      <c r="PJN1510"/>
      <c r="PJO1510"/>
      <c r="PJP1510"/>
      <c r="PJQ1510"/>
      <c r="PJR1510"/>
      <c r="PJS1510"/>
      <c r="PJT1510"/>
      <c r="PJU1510"/>
      <c r="PJV1510"/>
      <c r="PJW1510"/>
      <c r="PJX1510"/>
      <c r="PJY1510"/>
      <c r="PJZ1510"/>
      <c r="PKA1510"/>
      <c r="PKB1510"/>
      <c r="PKC1510"/>
      <c r="PKD1510"/>
      <c r="PKE1510"/>
      <c r="PKF1510"/>
      <c r="PKG1510"/>
      <c r="PKH1510"/>
      <c r="PKI1510"/>
      <c r="PKJ1510"/>
      <c r="PKK1510"/>
      <c r="PKL1510"/>
      <c r="PKM1510"/>
      <c r="PKN1510"/>
      <c r="PKO1510"/>
      <c r="PKP1510"/>
      <c r="PKQ1510"/>
      <c r="PKR1510"/>
      <c r="PKS1510"/>
      <c r="PKT1510"/>
      <c r="PKU1510"/>
      <c r="PKV1510"/>
      <c r="PKW1510"/>
      <c r="PKX1510"/>
      <c r="PKY1510"/>
      <c r="PKZ1510"/>
      <c r="PLA1510"/>
      <c r="PLB1510"/>
      <c r="PLC1510"/>
      <c r="PLD1510"/>
      <c r="PLE1510"/>
      <c r="PLF1510"/>
      <c r="PLG1510"/>
      <c r="PLH1510"/>
      <c r="PLI1510"/>
      <c r="PLJ1510"/>
      <c r="PLK1510"/>
      <c r="PLL1510"/>
      <c r="PLM1510"/>
      <c r="PLN1510"/>
      <c r="PLO1510"/>
      <c r="PLP1510"/>
      <c r="PLQ1510"/>
      <c r="PLR1510"/>
      <c r="PLS1510"/>
      <c r="PLT1510"/>
      <c r="PLU1510"/>
      <c r="PLV1510"/>
      <c r="PLW1510"/>
      <c r="PLX1510"/>
      <c r="PLY1510"/>
      <c r="PLZ1510"/>
      <c r="PMA1510"/>
      <c r="PMB1510"/>
      <c r="PMC1510"/>
      <c r="PMD1510"/>
      <c r="PME1510"/>
      <c r="PMF1510"/>
      <c r="PMG1510"/>
      <c r="PMH1510"/>
      <c r="PMI1510"/>
      <c r="PMJ1510"/>
      <c r="PMK1510"/>
      <c r="PML1510"/>
      <c r="PMM1510"/>
      <c r="PMN1510"/>
      <c r="PMO1510"/>
      <c r="PMP1510"/>
      <c r="PMQ1510"/>
      <c r="PMR1510"/>
      <c r="PMS1510"/>
      <c r="PMT1510"/>
      <c r="PMU1510"/>
      <c r="PMV1510"/>
      <c r="PMW1510"/>
      <c r="PMX1510"/>
      <c r="PMY1510"/>
      <c r="PMZ1510"/>
      <c r="PNA1510"/>
      <c r="PNB1510"/>
      <c r="PNC1510"/>
      <c r="PND1510"/>
      <c r="PNE1510"/>
      <c r="PNF1510"/>
      <c r="PNG1510"/>
      <c r="PNH1510"/>
      <c r="PNI1510"/>
      <c r="PNJ1510"/>
      <c r="PNK1510"/>
      <c r="PNL1510"/>
      <c r="PNM1510"/>
      <c r="PNN1510"/>
      <c r="PNO1510"/>
      <c r="PNP1510"/>
      <c r="PNQ1510"/>
      <c r="PNR1510"/>
      <c r="PNS1510"/>
      <c r="PNT1510"/>
      <c r="PNU1510"/>
      <c r="PNV1510"/>
      <c r="PNW1510"/>
      <c r="PNX1510"/>
      <c r="PNY1510"/>
      <c r="PNZ1510"/>
      <c r="POA1510"/>
      <c r="POB1510"/>
      <c r="POC1510"/>
      <c r="POD1510"/>
      <c r="POE1510"/>
      <c r="POF1510"/>
      <c r="POG1510"/>
      <c r="POH1510"/>
      <c r="POI1510"/>
      <c r="POJ1510"/>
      <c r="POK1510"/>
      <c r="POL1510"/>
      <c r="POM1510"/>
      <c r="PON1510"/>
      <c r="POO1510"/>
      <c r="POP1510"/>
      <c r="POQ1510"/>
      <c r="POR1510"/>
      <c r="POS1510"/>
      <c r="POT1510"/>
      <c r="POU1510"/>
      <c r="POV1510"/>
      <c r="POW1510"/>
      <c r="POX1510"/>
      <c r="POY1510"/>
      <c r="POZ1510"/>
      <c r="PPA1510"/>
      <c r="PPB1510"/>
      <c r="PPC1510"/>
      <c r="PPD1510"/>
      <c r="PPE1510"/>
      <c r="PPF1510"/>
      <c r="PPG1510"/>
      <c r="PPH1510"/>
      <c r="PPI1510"/>
      <c r="PPJ1510"/>
      <c r="PPK1510"/>
      <c r="PPL1510"/>
      <c r="PPM1510"/>
      <c r="PPN1510"/>
      <c r="PPO1510"/>
      <c r="PPP1510"/>
      <c r="PPQ1510"/>
      <c r="PPR1510"/>
      <c r="PPS1510"/>
      <c r="PPT1510"/>
      <c r="PPU1510"/>
      <c r="PPV1510"/>
      <c r="PPW1510"/>
      <c r="PPX1510"/>
      <c r="PPY1510"/>
      <c r="PPZ1510"/>
      <c r="PQA1510"/>
      <c r="PQB1510"/>
      <c r="PQC1510"/>
      <c r="PQD1510"/>
      <c r="PQE1510"/>
      <c r="PQF1510"/>
      <c r="PQG1510"/>
      <c r="PQH1510"/>
      <c r="PQI1510"/>
      <c r="PQJ1510"/>
      <c r="PQK1510"/>
      <c r="PQL1510"/>
      <c r="PQM1510"/>
      <c r="PQN1510"/>
      <c r="PQO1510"/>
      <c r="PQP1510"/>
      <c r="PQQ1510"/>
      <c r="PQR1510"/>
      <c r="PQS1510"/>
      <c r="PQT1510"/>
      <c r="PQU1510"/>
      <c r="PQV1510"/>
      <c r="PQW1510"/>
      <c r="PQX1510"/>
      <c r="PQY1510"/>
      <c r="PQZ1510"/>
      <c r="PRA1510"/>
      <c r="PRB1510"/>
      <c r="PRC1510"/>
      <c r="PRD1510"/>
      <c r="PRE1510"/>
      <c r="PRF1510"/>
      <c r="PRG1510"/>
      <c r="PRH1510"/>
      <c r="PRI1510"/>
      <c r="PRJ1510"/>
      <c r="PRK1510"/>
      <c r="PRL1510"/>
      <c r="PRM1510"/>
      <c r="PRN1510"/>
      <c r="PRO1510"/>
      <c r="PRP1510"/>
      <c r="PRQ1510"/>
      <c r="PRR1510"/>
      <c r="PRS1510"/>
      <c r="PRT1510"/>
      <c r="PRU1510"/>
      <c r="PRV1510"/>
      <c r="PRW1510"/>
      <c r="PRX1510"/>
      <c r="PRY1510"/>
      <c r="PRZ1510"/>
      <c r="PSA1510"/>
      <c r="PSB1510"/>
      <c r="PSC1510"/>
      <c r="PSD1510"/>
      <c r="PSE1510"/>
      <c r="PSF1510"/>
      <c r="PSG1510"/>
      <c r="PSH1510"/>
      <c r="PSI1510"/>
      <c r="PSJ1510"/>
      <c r="PSK1510"/>
      <c r="PSL1510"/>
      <c r="PSM1510"/>
      <c r="PSN1510"/>
      <c r="PSO1510"/>
      <c r="PSP1510"/>
      <c r="PSQ1510"/>
      <c r="PSR1510"/>
      <c r="PSS1510"/>
      <c r="PST1510"/>
      <c r="PSU1510"/>
      <c r="PSV1510"/>
      <c r="PSW1510"/>
      <c r="PSX1510"/>
      <c r="PSY1510"/>
      <c r="PSZ1510"/>
      <c r="PTA1510"/>
      <c r="PTB1510"/>
      <c r="PTC1510"/>
      <c r="PTD1510"/>
      <c r="PTE1510"/>
      <c r="PTF1510"/>
      <c r="PTG1510"/>
      <c r="PTH1510"/>
      <c r="PTI1510"/>
      <c r="PTJ1510"/>
      <c r="PTK1510"/>
      <c r="PTL1510"/>
      <c r="PTM1510"/>
      <c r="PTN1510"/>
      <c r="PTO1510"/>
      <c r="PTP1510"/>
      <c r="PTQ1510"/>
      <c r="PTR1510"/>
      <c r="PTS1510"/>
      <c r="PTT1510"/>
      <c r="PTU1510"/>
      <c r="PTV1510"/>
      <c r="PTW1510"/>
      <c r="PTX1510"/>
      <c r="PTY1510"/>
      <c r="PTZ1510"/>
      <c r="PUA1510"/>
      <c r="PUB1510"/>
      <c r="PUC1510"/>
      <c r="PUD1510"/>
      <c r="PUE1510"/>
      <c r="PUF1510"/>
      <c r="PUG1510"/>
      <c r="PUH1510"/>
      <c r="PUI1510"/>
      <c r="PUJ1510"/>
      <c r="PUK1510"/>
      <c r="PUL1510"/>
      <c r="PUM1510"/>
      <c r="PUN1510"/>
      <c r="PUO1510"/>
      <c r="PUP1510"/>
      <c r="PUQ1510"/>
      <c r="PUR1510"/>
      <c r="PUS1510"/>
      <c r="PUT1510"/>
      <c r="PUU1510"/>
      <c r="PUV1510"/>
      <c r="PUW1510"/>
      <c r="PUX1510"/>
      <c r="PUY1510"/>
      <c r="PUZ1510"/>
      <c r="PVA1510"/>
      <c r="PVB1510"/>
      <c r="PVC1510"/>
      <c r="PVD1510"/>
      <c r="PVE1510"/>
      <c r="PVF1510"/>
      <c r="PVG1510"/>
      <c r="PVH1510"/>
      <c r="PVI1510"/>
      <c r="PVJ1510"/>
      <c r="PVK1510"/>
      <c r="PVL1510"/>
      <c r="PVM1510"/>
      <c r="PVN1510"/>
      <c r="PVO1510"/>
      <c r="PVP1510"/>
      <c r="PVQ1510"/>
      <c r="PVR1510"/>
      <c r="PVS1510"/>
      <c r="PVT1510"/>
      <c r="PVU1510"/>
      <c r="PVV1510"/>
      <c r="PVW1510"/>
      <c r="PVX1510"/>
      <c r="PVY1510"/>
      <c r="PVZ1510"/>
      <c r="PWA1510"/>
      <c r="PWB1510"/>
      <c r="PWC1510"/>
      <c r="PWD1510"/>
      <c r="PWE1510"/>
      <c r="PWF1510"/>
      <c r="PWG1510"/>
      <c r="PWH1510"/>
      <c r="PWI1510"/>
      <c r="PWJ1510"/>
      <c r="PWK1510"/>
      <c r="PWL1510"/>
      <c r="PWM1510"/>
      <c r="PWN1510"/>
      <c r="PWO1510"/>
      <c r="PWP1510"/>
      <c r="PWQ1510"/>
      <c r="PWR1510"/>
      <c r="PWS1510"/>
      <c r="PWT1510"/>
      <c r="PWU1510"/>
      <c r="PWV1510"/>
      <c r="PWW1510"/>
      <c r="PWX1510"/>
      <c r="PWY1510"/>
      <c r="PWZ1510"/>
      <c r="PXA1510"/>
      <c r="PXB1510"/>
      <c r="PXC1510"/>
      <c r="PXD1510"/>
      <c r="PXE1510"/>
      <c r="PXF1510"/>
      <c r="PXG1510"/>
      <c r="PXH1510"/>
      <c r="PXI1510"/>
      <c r="PXJ1510"/>
      <c r="PXK1510"/>
      <c r="PXL1510"/>
      <c r="PXM1510"/>
      <c r="PXN1510"/>
      <c r="PXO1510"/>
      <c r="PXP1510"/>
      <c r="PXQ1510"/>
      <c r="PXR1510"/>
      <c r="PXS1510"/>
      <c r="PXT1510"/>
      <c r="PXU1510"/>
      <c r="PXV1510"/>
      <c r="PXW1510"/>
      <c r="PXX1510"/>
      <c r="PXY1510"/>
      <c r="PXZ1510"/>
      <c r="PYA1510"/>
      <c r="PYB1510"/>
      <c r="PYC1510"/>
      <c r="PYD1510"/>
      <c r="PYE1510"/>
      <c r="PYF1510"/>
      <c r="PYG1510"/>
      <c r="PYH1510"/>
      <c r="PYI1510"/>
      <c r="PYJ1510"/>
      <c r="PYK1510"/>
      <c r="PYL1510"/>
      <c r="PYM1510"/>
      <c r="PYN1510"/>
      <c r="PYO1510"/>
      <c r="PYP1510"/>
      <c r="PYQ1510"/>
      <c r="PYR1510"/>
      <c r="PYS1510"/>
      <c r="PYT1510"/>
      <c r="PYU1510"/>
      <c r="PYV1510"/>
      <c r="PYW1510"/>
      <c r="PYX1510"/>
      <c r="PYY1510"/>
      <c r="PYZ1510"/>
      <c r="PZA1510"/>
      <c r="PZB1510"/>
      <c r="PZC1510"/>
      <c r="PZD1510"/>
      <c r="PZE1510"/>
      <c r="PZF1510"/>
      <c r="PZG1510"/>
      <c r="PZH1510"/>
      <c r="PZI1510"/>
      <c r="PZJ1510"/>
      <c r="PZK1510"/>
      <c r="PZL1510"/>
      <c r="PZM1510"/>
      <c r="PZN1510"/>
      <c r="PZO1510"/>
      <c r="PZP1510"/>
      <c r="PZQ1510"/>
      <c r="PZR1510"/>
      <c r="PZS1510"/>
      <c r="PZT1510"/>
      <c r="PZU1510"/>
      <c r="PZV1510"/>
      <c r="PZW1510"/>
      <c r="PZX1510"/>
      <c r="PZY1510"/>
      <c r="PZZ1510"/>
      <c r="QAA1510"/>
      <c r="QAB1510"/>
      <c r="QAC1510"/>
      <c r="QAD1510"/>
      <c r="QAE1510"/>
      <c r="QAF1510"/>
      <c r="QAG1510"/>
      <c r="QAH1510"/>
      <c r="QAI1510"/>
      <c r="QAJ1510"/>
      <c r="QAK1510"/>
      <c r="QAL1510"/>
      <c r="QAM1510"/>
      <c r="QAN1510"/>
      <c r="QAO1510"/>
      <c r="QAP1510"/>
      <c r="QAQ1510"/>
      <c r="QAR1510"/>
      <c r="QAS1510"/>
      <c r="QAT1510"/>
      <c r="QAU1510"/>
      <c r="QAV1510"/>
      <c r="QAW1510"/>
      <c r="QAX1510"/>
      <c r="QAY1510"/>
      <c r="QAZ1510"/>
      <c r="QBA1510"/>
      <c r="QBB1510"/>
      <c r="QBC1510"/>
      <c r="QBD1510"/>
      <c r="QBE1510"/>
      <c r="QBF1510"/>
      <c r="QBG1510"/>
      <c r="QBH1510"/>
      <c r="QBI1510"/>
      <c r="QBJ1510"/>
      <c r="QBK1510"/>
      <c r="QBL1510"/>
      <c r="QBM1510"/>
      <c r="QBN1510"/>
      <c r="QBO1510"/>
      <c r="QBP1510"/>
      <c r="QBQ1510"/>
      <c r="QBR1510"/>
      <c r="QBS1510"/>
      <c r="QBT1510"/>
      <c r="QBU1510"/>
      <c r="QBV1510"/>
      <c r="QBW1510"/>
      <c r="QBX1510"/>
      <c r="QBY1510"/>
      <c r="QBZ1510"/>
      <c r="QCA1510"/>
      <c r="QCB1510"/>
      <c r="QCC1510"/>
      <c r="QCD1510"/>
      <c r="QCE1510"/>
      <c r="QCF1510"/>
      <c r="QCG1510"/>
      <c r="QCH1510"/>
      <c r="QCI1510"/>
      <c r="QCJ1510"/>
      <c r="QCK1510"/>
      <c r="QCL1510"/>
      <c r="QCM1510"/>
      <c r="QCN1510"/>
      <c r="QCO1510"/>
      <c r="QCP1510"/>
      <c r="QCQ1510"/>
      <c r="QCR1510"/>
      <c r="QCS1510"/>
      <c r="QCT1510"/>
      <c r="QCU1510"/>
      <c r="QCV1510"/>
      <c r="QCW1510"/>
      <c r="QCX1510"/>
      <c r="QCY1510"/>
      <c r="QCZ1510"/>
      <c r="QDA1510"/>
      <c r="QDB1510"/>
      <c r="QDC1510"/>
      <c r="QDD1510"/>
      <c r="QDE1510"/>
      <c r="QDF1510"/>
      <c r="QDG1510"/>
      <c r="QDH1510"/>
      <c r="QDI1510"/>
      <c r="QDJ1510"/>
      <c r="QDK1510"/>
      <c r="QDL1510"/>
      <c r="QDM1510"/>
      <c r="QDN1510"/>
      <c r="QDO1510"/>
      <c r="QDP1510"/>
      <c r="QDQ1510"/>
      <c r="QDR1510"/>
      <c r="QDS1510"/>
      <c r="QDT1510"/>
      <c r="QDU1510"/>
      <c r="QDV1510"/>
      <c r="QDW1510"/>
      <c r="QDX1510"/>
      <c r="QDY1510"/>
      <c r="QDZ1510"/>
      <c r="QEA1510"/>
      <c r="QEB1510"/>
      <c r="QEC1510"/>
      <c r="QED1510"/>
      <c r="QEE1510"/>
      <c r="QEF1510"/>
      <c r="QEG1510"/>
      <c r="QEH1510"/>
      <c r="QEI1510"/>
      <c r="QEJ1510"/>
      <c r="QEK1510"/>
      <c r="QEL1510"/>
      <c r="QEM1510"/>
      <c r="QEN1510"/>
      <c r="QEO1510"/>
      <c r="QEP1510"/>
      <c r="QEQ1510"/>
      <c r="QER1510"/>
      <c r="QES1510"/>
      <c r="QET1510"/>
      <c r="QEU1510"/>
      <c r="QEV1510"/>
      <c r="QEW1510"/>
      <c r="QEX1510"/>
      <c r="QEY1510"/>
      <c r="QEZ1510"/>
      <c r="QFA1510"/>
      <c r="QFB1510"/>
      <c r="QFC1510"/>
      <c r="QFD1510"/>
      <c r="QFE1510"/>
      <c r="QFF1510"/>
      <c r="QFG1510"/>
      <c r="QFH1510"/>
      <c r="QFI1510"/>
      <c r="QFJ1510"/>
      <c r="QFK1510"/>
      <c r="QFL1510"/>
      <c r="QFM1510"/>
      <c r="QFN1510"/>
      <c r="QFO1510"/>
      <c r="QFP1510"/>
      <c r="QFQ1510"/>
      <c r="QFR1510"/>
      <c r="QFS1510"/>
      <c r="QFT1510"/>
      <c r="QFU1510"/>
      <c r="QFV1510"/>
      <c r="QFW1510"/>
      <c r="QFX1510"/>
      <c r="QFY1510"/>
      <c r="QFZ1510"/>
      <c r="QGA1510"/>
      <c r="QGB1510"/>
      <c r="QGC1510"/>
      <c r="QGD1510"/>
      <c r="QGE1510"/>
      <c r="QGF1510"/>
      <c r="QGG1510"/>
      <c r="QGH1510"/>
      <c r="QGI1510"/>
      <c r="QGJ1510"/>
      <c r="QGK1510"/>
      <c r="QGL1510"/>
      <c r="QGM1510"/>
      <c r="QGN1510"/>
      <c r="QGO1510"/>
      <c r="QGP1510"/>
      <c r="QGQ1510"/>
      <c r="QGR1510"/>
      <c r="QGS1510"/>
      <c r="QGT1510"/>
      <c r="QGU1510"/>
      <c r="QGV1510"/>
      <c r="QGW1510"/>
      <c r="QGX1510"/>
      <c r="QGY1510"/>
      <c r="QGZ1510"/>
      <c r="QHA1510"/>
      <c r="QHB1510"/>
      <c r="QHC1510"/>
      <c r="QHD1510"/>
      <c r="QHE1510"/>
      <c r="QHF1510"/>
      <c r="QHG1510"/>
      <c r="QHH1510"/>
      <c r="QHI1510"/>
      <c r="QHJ1510"/>
      <c r="QHK1510"/>
      <c r="QHL1510"/>
      <c r="QHM1510"/>
      <c r="QHN1510"/>
      <c r="QHO1510"/>
      <c r="QHP1510"/>
      <c r="QHQ1510"/>
      <c r="QHR1510"/>
      <c r="QHS1510"/>
      <c r="QHT1510"/>
      <c r="QHU1510"/>
      <c r="QHV1510"/>
      <c r="QHW1510"/>
      <c r="QHX1510"/>
      <c r="QHY1510"/>
      <c r="QHZ1510"/>
      <c r="QIA1510"/>
      <c r="QIB1510"/>
      <c r="QIC1510"/>
      <c r="QID1510"/>
      <c r="QIE1510"/>
      <c r="QIF1510"/>
      <c r="QIG1510"/>
      <c r="QIH1510"/>
      <c r="QII1510"/>
      <c r="QIJ1510"/>
      <c r="QIK1510"/>
      <c r="QIL1510"/>
      <c r="QIM1510"/>
      <c r="QIN1510"/>
      <c r="QIO1510"/>
      <c r="QIP1510"/>
      <c r="QIQ1510"/>
      <c r="QIR1510"/>
      <c r="QIS1510"/>
      <c r="QIT1510"/>
      <c r="QIU1510"/>
      <c r="QIV1510"/>
      <c r="QIW1510"/>
      <c r="QIX1510"/>
      <c r="QIY1510"/>
      <c r="QIZ1510"/>
      <c r="QJA1510"/>
      <c r="QJB1510"/>
      <c r="QJC1510"/>
      <c r="QJD1510"/>
      <c r="QJE1510"/>
      <c r="QJF1510"/>
      <c r="QJG1510"/>
      <c r="QJH1510"/>
      <c r="QJI1510"/>
      <c r="QJJ1510"/>
      <c r="QJK1510"/>
      <c r="QJL1510"/>
      <c r="QJM1510"/>
      <c r="QJN1510"/>
      <c r="QJO1510"/>
      <c r="QJP1510"/>
      <c r="QJQ1510"/>
      <c r="QJR1510"/>
      <c r="QJS1510"/>
      <c r="QJT1510"/>
      <c r="QJU1510"/>
      <c r="QJV1510"/>
      <c r="QJW1510"/>
      <c r="QJX1510"/>
      <c r="QJY1510"/>
      <c r="QJZ1510"/>
      <c r="QKA1510"/>
      <c r="QKB1510"/>
      <c r="QKC1510"/>
      <c r="QKD1510"/>
      <c r="QKE1510"/>
      <c r="QKF1510"/>
      <c r="QKG1510"/>
      <c r="QKH1510"/>
      <c r="QKI1510"/>
      <c r="QKJ1510"/>
      <c r="QKK1510"/>
      <c r="QKL1510"/>
      <c r="QKM1510"/>
      <c r="QKN1510"/>
      <c r="QKO1510"/>
      <c r="QKP1510"/>
      <c r="QKQ1510"/>
      <c r="QKR1510"/>
      <c r="QKS1510"/>
      <c r="QKT1510"/>
      <c r="QKU1510"/>
      <c r="QKV1510"/>
      <c r="QKW1510"/>
      <c r="QKX1510"/>
      <c r="QKY1510"/>
      <c r="QKZ1510"/>
      <c r="QLA1510"/>
      <c r="QLB1510"/>
      <c r="QLC1510"/>
      <c r="QLD1510"/>
      <c r="QLE1510"/>
      <c r="QLF1510"/>
      <c r="QLG1510"/>
      <c r="QLH1510"/>
      <c r="QLI1510"/>
      <c r="QLJ1510"/>
      <c r="QLK1510"/>
      <c r="QLL1510"/>
      <c r="QLM1510"/>
      <c r="QLN1510"/>
      <c r="QLO1510"/>
      <c r="QLP1510"/>
      <c r="QLQ1510"/>
      <c r="QLR1510"/>
      <c r="QLS1510"/>
      <c r="QLT1510"/>
      <c r="QLU1510"/>
      <c r="QLV1510"/>
      <c r="QLW1510"/>
      <c r="QLX1510"/>
      <c r="QLY1510"/>
      <c r="QLZ1510"/>
      <c r="QMA1510"/>
      <c r="QMB1510"/>
      <c r="QMC1510"/>
      <c r="QMD1510"/>
      <c r="QME1510"/>
      <c r="QMF1510"/>
      <c r="QMG1510"/>
      <c r="QMH1510"/>
      <c r="QMI1510"/>
      <c r="QMJ1510"/>
      <c r="QMK1510"/>
      <c r="QML1510"/>
      <c r="QMM1510"/>
      <c r="QMN1510"/>
      <c r="QMO1510"/>
      <c r="QMP1510"/>
      <c r="QMQ1510"/>
      <c r="QMR1510"/>
      <c r="QMS1510"/>
      <c r="QMT1510"/>
      <c r="QMU1510"/>
      <c r="QMV1510"/>
      <c r="QMW1510"/>
      <c r="QMX1510"/>
      <c r="QMY1510"/>
      <c r="QMZ1510"/>
      <c r="QNA1510"/>
      <c r="QNB1510"/>
      <c r="QNC1510"/>
      <c r="QND1510"/>
      <c r="QNE1510"/>
      <c r="QNF1510"/>
      <c r="QNG1510"/>
      <c r="QNH1510"/>
      <c r="QNI1510"/>
      <c r="QNJ1510"/>
      <c r="QNK1510"/>
      <c r="QNL1510"/>
      <c r="QNM1510"/>
      <c r="QNN1510"/>
      <c r="QNO1510"/>
      <c r="QNP1510"/>
      <c r="QNQ1510"/>
      <c r="QNR1510"/>
      <c r="QNS1510"/>
      <c r="QNT1510"/>
      <c r="QNU1510"/>
      <c r="QNV1510"/>
      <c r="QNW1510"/>
      <c r="QNX1510"/>
      <c r="QNY1510"/>
      <c r="QNZ1510"/>
      <c r="QOA1510"/>
      <c r="QOB1510"/>
      <c r="QOC1510"/>
      <c r="QOD1510"/>
      <c r="QOE1510"/>
      <c r="QOF1510"/>
      <c r="QOG1510"/>
      <c r="QOH1510"/>
      <c r="QOI1510"/>
      <c r="QOJ1510"/>
      <c r="QOK1510"/>
      <c r="QOL1510"/>
      <c r="QOM1510"/>
      <c r="QON1510"/>
      <c r="QOO1510"/>
      <c r="QOP1510"/>
      <c r="QOQ1510"/>
      <c r="QOR1510"/>
      <c r="QOS1510"/>
      <c r="QOT1510"/>
      <c r="QOU1510"/>
      <c r="QOV1510"/>
      <c r="QOW1510"/>
      <c r="QOX1510"/>
      <c r="QOY1510"/>
      <c r="QOZ1510"/>
      <c r="QPA1510"/>
      <c r="QPB1510"/>
      <c r="QPC1510"/>
      <c r="QPD1510"/>
      <c r="QPE1510"/>
      <c r="QPF1510"/>
      <c r="QPG1510"/>
      <c r="QPH1510"/>
      <c r="QPI1510"/>
      <c r="QPJ1510"/>
      <c r="QPK1510"/>
      <c r="QPL1510"/>
      <c r="QPM1510"/>
      <c r="QPN1510"/>
      <c r="QPO1510"/>
      <c r="QPP1510"/>
      <c r="QPQ1510"/>
      <c r="QPR1510"/>
      <c r="QPS1510"/>
      <c r="QPT1510"/>
      <c r="QPU1510"/>
      <c r="QPV1510"/>
      <c r="QPW1510"/>
      <c r="QPX1510"/>
      <c r="QPY1510"/>
      <c r="QPZ1510"/>
      <c r="QQA1510"/>
      <c r="QQB1510"/>
      <c r="QQC1510"/>
      <c r="QQD1510"/>
      <c r="QQE1510"/>
      <c r="QQF1510"/>
      <c r="QQG1510"/>
      <c r="QQH1510"/>
      <c r="QQI1510"/>
      <c r="QQJ1510"/>
      <c r="QQK1510"/>
      <c r="QQL1510"/>
      <c r="QQM1510"/>
      <c r="QQN1510"/>
      <c r="QQO1510"/>
      <c r="QQP1510"/>
      <c r="QQQ1510"/>
      <c r="QQR1510"/>
      <c r="QQS1510"/>
      <c r="QQT1510"/>
      <c r="QQU1510"/>
      <c r="QQV1510"/>
      <c r="QQW1510"/>
      <c r="QQX1510"/>
      <c r="QQY1510"/>
      <c r="QQZ1510"/>
      <c r="QRA1510"/>
      <c r="QRB1510"/>
      <c r="QRC1510"/>
      <c r="QRD1510"/>
      <c r="QRE1510"/>
      <c r="QRF1510"/>
      <c r="QRG1510"/>
      <c r="QRH1510"/>
      <c r="QRI1510"/>
      <c r="QRJ1510"/>
      <c r="QRK1510"/>
      <c r="QRL1510"/>
      <c r="QRM1510"/>
      <c r="QRN1510"/>
      <c r="QRO1510"/>
      <c r="QRP1510"/>
      <c r="QRQ1510"/>
      <c r="QRR1510"/>
      <c r="QRS1510"/>
      <c r="QRT1510"/>
      <c r="QRU1510"/>
      <c r="QRV1510"/>
      <c r="QRW1510"/>
      <c r="QRX1510"/>
      <c r="QRY1510"/>
      <c r="QRZ1510"/>
      <c r="QSA1510"/>
      <c r="QSB1510"/>
      <c r="QSC1510"/>
      <c r="QSD1510"/>
      <c r="QSE1510"/>
      <c r="QSF1510"/>
      <c r="QSG1510"/>
      <c r="QSH1510"/>
      <c r="QSI1510"/>
      <c r="QSJ1510"/>
      <c r="QSK1510"/>
      <c r="QSL1510"/>
      <c r="QSM1510"/>
      <c r="QSN1510"/>
      <c r="QSO1510"/>
      <c r="QSP1510"/>
      <c r="QSQ1510"/>
      <c r="QSR1510"/>
      <c r="QSS1510"/>
      <c r="QST1510"/>
      <c r="QSU1510"/>
      <c r="QSV1510"/>
      <c r="QSW1510"/>
      <c r="QSX1510"/>
      <c r="QSY1510"/>
      <c r="QSZ1510"/>
      <c r="QTA1510"/>
      <c r="QTB1510"/>
      <c r="QTC1510"/>
      <c r="QTD1510"/>
      <c r="QTE1510"/>
      <c r="QTF1510"/>
      <c r="QTG1510"/>
      <c r="QTH1510"/>
      <c r="QTI1510"/>
      <c r="QTJ1510"/>
      <c r="QTK1510"/>
      <c r="QTL1510"/>
      <c r="QTM1510"/>
      <c r="QTN1510"/>
      <c r="QTO1510"/>
      <c r="QTP1510"/>
      <c r="QTQ1510"/>
      <c r="QTR1510"/>
      <c r="QTS1510"/>
      <c r="QTT1510"/>
      <c r="QTU1510"/>
      <c r="QTV1510"/>
      <c r="QTW1510"/>
      <c r="QTX1510"/>
      <c r="QTY1510"/>
      <c r="QTZ1510"/>
      <c r="QUA1510"/>
      <c r="QUB1510"/>
      <c r="QUC1510"/>
      <c r="QUD1510"/>
      <c r="QUE1510"/>
      <c r="QUF1510"/>
      <c r="QUG1510"/>
      <c r="QUH1510"/>
      <c r="QUI1510"/>
      <c r="QUJ1510"/>
      <c r="QUK1510"/>
      <c r="QUL1510"/>
      <c r="QUM1510"/>
      <c r="QUN1510"/>
      <c r="QUO1510"/>
      <c r="QUP1510"/>
      <c r="QUQ1510"/>
      <c r="QUR1510"/>
      <c r="QUS1510"/>
      <c r="QUT1510"/>
      <c r="QUU1510"/>
      <c r="QUV1510"/>
      <c r="QUW1510"/>
      <c r="QUX1510"/>
      <c r="QUY1510"/>
      <c r="QUZ1510"/>
      <c r="QVA1510"/>
      <c r="QVB1510"/>
      <c r="QVC1510"/>
      <c r="QVD1510"/>
      <c r="QVE1510"/>
      <c r="QVF1510"/>
      <c r="QVG1510"/>
      <c r="QVH1510"/>
      <c r="QVI1510"/>
      <c r="QVJ1510"/>
      <c r="QVK1510"/>
      <c r="QVL1510"/>
      <c r="QVM1510"/>
      <c r="QVN1510"/>
      <c r="QVO1510"/>
      <c r="QVP1510"/>
      <c r="QVQ1510"/>
      <c r="QVR1510"/>
      <c r="QVS1510"/>
      <c r="QVT1510"/>
      <c r="QVU1510"/>
      <c r="QVV1510"/>
      <c r="QVW1510"/>
      <c r="QVX1510"/>
      <c r="QVY1510"/>
      <c r="QVZ1510"/>
      <c r="QWA1510"/>
      <c r="QWB1510"/>
      <c r="QWC1510"/>
      <c r="QWD1510"/>
      <c r="QWE1510"/>
      <c r="QWF1510"/>
      <c r="QWG1510"/>
      <c r="QWH1510"/>
      <c r="QWI1510"/>
      <c r="QWJ1510"/>
      <c r="QWK1510"/>
      <c r="QWL1510"/>
      <c r="QWM1510"/>
      <c r="QWN1510"/>
      <c r="QWO1510"/>
      <c r="QWP1510"/>
      <c r="QWQ1510"/>
      <c r="QWR1510"/>
      <c r="QWS1510"/>
      <c r="QWT1510"/>
      <c r="QWU1510"/>
      <c r="QWV1510"/>
      <c r="QWW1510"/>
      <c r="QWX1510"/>
      <c r="QWY1510"/>
      <c r="QWZ1510"/>
      <c r="QXA1510"/>
      <c r="QXB1510"/>
      <c r="QXC1510"/>
      <c r="QXD1510"/>
      <c r="QXE1510"/>
      <c r="QXF1510"/>
      <c r="QXG1510"/>
      <c r="QXH1510"/>
      <c r="QXI1510"/>
      <c r="QXJ1510"/>
      <c r="QXK1510"/>
      <c r="QXL1510"/>
      <c r="QXM1510"/>
      <c r="QXN1510"/>
      <c r="QXO1510"/>
      <c r="QXP1510"/>
      <c r="QXQ1510"/>
      <c r="QXR1510"/>
      <c r="QXS1510"/>
      <c r="QXT1510"/>
      <c r="QXU1510"/>
      <c r="QXV1510"/>
      <c r="QXW1510"/>
      <c r="QXX1510"/>
      <c r="QXY1510"/>
      <c r="QXZ1510"/>
      <c r="QYA1510"/>
      <c r="QYB1510"/>
      <c r="QYC1510"/>
      <c r="QYD1510"/>
      <c r="QYE1510"/>
      <c r="QYF1510"/>
      <c r="QYG1510"/>
      <c r="QYH1510"/>
      <c r="QYI1510"/>
      <c r="QYJ1510"/>
      <c r="QYK1510"/>
      <c r="QYL1510"/>
      <c r="QYM1510"/>
      <c r="QYN1510"/>
      <c r="QYO1510"/>
      <c r="QYP1510"/>
      <c r="QYQ1510"/>
      <c r="QYR1510"/>
      <c r="QYS1510"/>
      <c r="QYT1510"/>
      <c r="QYU1510"/>
      <c r="QYV1510"/>
      <c r="QYW1510"/>
      <c r="QYX1510"/>
      <c r="QYY1510"/>
      <c r="QYZ1510"/>
      <c r="QZA1510"/>
      <c r="QZB1510"/>
      <c r="QZC1510"/>
      <c r="QZD1510"/>
      <c r="QZE1510"/>
      <c r="QZF1510"/>
      <c r="QZG1510"/>
      <c r="QZH1510"/>
      <c r="QZI1510"/>
      <c r="QZJ1510"/>
      <c r="QZK1510"/>
      <c r="QZL1510"/>
      <c r="QZM1510"/>
      <c r="QZN1510"/>
      <c r="QZO1510"/>
      <c r="QZP1510"/>
      <c r="QZQ1510"/>
      <c r="QZR1510"/>
      <c r="QZS1510"/>
      <c r="QZT1510"/>
      <c r="QZU1510"/>
      <c r="QZV1510"/>
      <c r="QZW1510"/>
      <c r="QZX1510"/>
      <c r="QZY1510"/>
      <c r="QZZ1510"/>
      <c r="RAA1510"/>
      <c r="RAB1510"/>
      <c r="RAC1510"/>
      <c r="RAD1510"/>
      <c r="RAE1510"/>
      <c r="RAF1510"/>
      <c r="RAG1510"/>
      <c r="RAH1510"/>
      <c r="RAI1510"/>
      <c r="RAJ1510"/>
      <c r="RAK1510"/>
      <c r="RAL1510"/>
      <c r="RAM1510"/>
      <c r="RAN1510"/>
      <c r="RAO1510"/>
      <c r="RAP1510"/>
      <c r="RAQ1510"/>
      <c r="RAR1510"/>
      <c r="RAS1510"/>
      <c r="RAT1510"/>
      <c r="RAU1510"/>
      <c r="RAV1510"/>
      <c r="RAW1510"/>
      <c r="RAX1510"/>
      <c r="RAY1510"/>
      <c r="RAZ1510"/>
      <c r="RBA1510"/>
      <c r="RBB1510"/>
      <c r="RBC1510"/>
      <c r="RBD1510"/>
      <c r="RBE1510"/>
      <c r="RBF1510"/>
      <c r="RBG1510"/>
      <c r="RBH1510"/>
      <c r="RBI1510"/>
      <c r="RBJ1510"/>
      <c r="RBK1510"/>
      <c r="RBL1510"/>
      <c r="RBM1510"/>
      <c r="RBN1510"/>
      <c r="RBO1510"/>
      <c r="RBP1510"/>
      <c r="RBQ1510"/>
      <c r="RBR1510"/>
      <c r="RBS1510"/>
      <c r="RBT1510"/>
      <c r="RBU1510"/>
      <c r="RBV1510"/>
      <c r="RBW1510"/>
      <c r="RBX1510"/>
      <c r="RBY1510"/>
      <c r="RBZ1510"/>
      <c r="RCA1510"/>
      <c r="RCB1510"/>
      <c r="RCC1510"/>
      <c r="RCD1510"/>
      <c r="RCE1510"/>
      <c r="RCF1510"/>
      <c r="RCG1510"/>
      <c r="RCH1510"/>
      <c r="RCI1510"/>
      <c r="RCJ1510"/>
      <c r="RCK1510"/>
      <c r="RCL1510"/>
      <c r="RCM1510"/>
      <c r="RCN1510"/>
      <c r="RCO1510"/>
      <c r="RCP1510"/>
      <c r="RCQ1510"/>
      <c r="RCR1510"/>
      <c r="RCS1510"/>
      <c r="RCT1510"/>
      <c r="RCU1510"/>
      <c r="RCV1510"/>
      <c r="RCW1510"/>
      <c r="RCX1510"/>
      <c r="RCY1510"/>
      <c r="RCZ1510"/>
      <c r="RDA1510"/>
      <c r="RDB1510"/>
      <c r="RDC1510"/>
      <c r="RDD1510"/>
      <c r="RDE1510"/>
      <c r="RDF1510"/>
      <c r="RDG1510"/>
      <c r="RDH1510"/>
      <c r="RDI1510"/>
      <c r="RDJ1510"/>
      <c r="RDK1510"/>
      <c r="RDL1510"/>
      <c r="RDM1510"/>
      <c r="RDN1510"/>
      <c r="RDO1510"/>
      <c r="RDP1510"/>
      <c r="RDQ1510"/>
      <c r="RDR1510"/>
      <c r="RDS1510"/>
      <c r="RDT1510"/>
      <c r="RDU1510"/>
      <c r="RDV1510"/>
      <c r="RDW1510"/>
      <c r="RDX1510"/>
      <c r="RDY1510"/>
      <c r="RDZ1510"/>
      <c r="REA1510"/>
      <c r="REB1510"/>
      <c r="REC1510"/>
      <c r="RED1510"/>
      <c r="REE1510"/>
      <c r="REF1510"/>
      <c r="REG1510"/>
      <c r="REH1510"/>
      <c r="REI1510"/>
      <c r="REJ1510"/>
      <c r="REK1510"/>
      <c r="REL1510"/>
      <c r="REM1510"/>
      <c r="REN1510"/>
      <c r="REO1510"/>
      <c r="REP1510"/>
      <c r="REQ1510"/>
      <c r="RER1510"/>
      <c r="RES1510"/>
      <c r="RET1510"/>
      <c r="REU1510"/>
      <c r="REV1510"/>
      <c r="REW1510"/>
      <c r="REX1510"/>
      <c r="REY1510"/>
      <c r="REZ1510"/>
      <c r="RFA1510"/>
      <c r="RFB1510"/>
      <c r="RFC1510"/>
      <c r="RFD1510"/>
      <c r="RFE1510"/>
      <c r="RFF1510"/>
      <c r="RFG1510"/>
      <c r="RFH1510"/>
      <c r="RFI1510"/>
      <c r="RFJ1510"/>
      <c r="RFK1510"/>
      <c r="RFL1510"/>
      <c r="RFM1510"/>
      <c r="RFN1510"/>
      <c r="RFO1510"/>
      <c r="RFP1510"/>
      <c r="RFQ1510"/>
      <c r="RFR1510"/>
      <c r="RFS1510"/>
      <c r="RFT1510"/>
      <c r="RFU1510"/>
      <c r="RFV1510"/>
      <c r="RFW1510"/>
      <c r="RFX1510"/>
      <c r="RFY1510"/>
      <c r="RFZ1510"/>
      <c r="RGA1510"/>
      <c r="RGB1510"/>
      <c r="RGC1510"/>
      <c r="RGD1510"/>
      <c r="RGE1510"/>
      <c r="RGF1510"/>
      <c r="RGG1510"/>
      <c r="RGH1510"/>
      <c r="RGI1510"/>
      <c r="RGJ1510"/>
      <c r="RGK1510"/>
      <c r="RGL1510"/>
      <c r="RGM1510"/>
      <c r="RGN1510"/>
      <c r="RGO1510"/>
      <c r="RGP1510"/>
      <c r="RGQ1510"/>
      <c r="RGR1510"/>
      <c r="RGS1510"/>
      <c r="RGT1510"/>
      <c r="RGU1510"/>
      <c r="RGV1510"/>
      <c r="RGW1510"/>
      <c r="RGX1510"/>
      <c r="RGY1510"/>
      <c r="RGZ1510"/>
      <c r="RHA1510"/>
      <c r="RHB1510"/>
      <c r="RHC1510"/>
      <c r="RHD1510"/>
      <c r="RHE1510"/>
      <c r="RHF1510"/>
      <c r="RHG1510"/>
      <c r="RHH1510"/>
      <c r="RHI1510"/>
      <c r="RHJ1510"/>
      <c r="RHK1510"/>
      <c r="RHL1510"/>
      <c r="RHM1510"/>
      <c r="RHN1510"/>
      <c r="RHO1510"/>
      <c r="RHP1510"/>
      <c r="RHQ1510"/>
      <c r="RHR1510"/>
      <c r="RHS1510"/>
      <c r="RHT1510"/>
      <c r="RHU1510"/>
      <c r="RHV1510"/>
      <c r="RHW1510"/>
      <c r="RHX1510"/>
      <c r="RHY1510"/>
      <c r="RHZ1510"/>
      <c r="RIA1510"/>
      <c r="RIB1510"/>
      <c r="RIC1510"/>
      <c r="RID1510"/>
      <c r="RIE1510"/>
      <c r="RIF1510"/>
      <c r="RIG1510"/>
      <c r="RIH1510"/>
      <c r="RII1510"/>
      <c r="RIJ1510"/>
      <c r="RIK1510"/>
      <c r="RIL1510"/>
      <c r="RIM1510"/>
      <c r="RIN1510"/>
      <c r="RIO1510"/>
      <c r="RIP1510"/>
      <c r="RIQ1510"/>
      <c r="RIR1510"/>
      <c r="RIS1510"/>
      <c r="RIT1510"/>
      <c r="RIU1510"/>
      <c r="RIV1510"/>
      <c r="RIW1510"/>
      <c r="RIX1510"/>
      <c r="RIY1510"/>
      <c r="RIZ1510"/>
      <c r="RJA1510"/>
      <c r="RJB1510"/>
      <c r="RJC1510"/>
      <c r="RJD1510"/>
      <c r="RJE1510"/>
      <c r="RJF1510"/>
      <c r="RJG1510"/>
      <c r="RJH1510"/>
      <c r="RJI1510"/>
      <c r="RJJ1510"/>
      <c r="RJK1510"/>
      <c r="RJL1510"/>
      <c r="RJM1510"/>
      <c r="RJN1510"/>
      <c r="RJO1510"/>
      <c r="RJP1510"/>
      <c r="RJQ1510"/>
      <c r="RJR1510"/>
      <c r="RJS1510"/>
      <c r="RJT1510"/>
      <c r="RJU1510"/>
      <c r="RJV1510"/>
      <c r="RJW1510"/>
      <c r="RJX1510"/>
      <c r="RJY1510"/>
      <c r="RJZ1510"/>
      <c r="RKA1510"/>
      <c r="RKB1510"/>
      <c r="RKC1510"/>
      <c r="RKD1510"/>
      <c r="RKE1510"/>
      <c r="RKF1510"/>
      <c r="RKG1510"/>
      <c r="RKH1510"/>
      <c r="RKI1510"/>
      <c r="RKJ1510"/>
      <c r="RKK1510"/>
      <c r="RKL1510"/>
      <c r="RKM1510"/>
      <c r="RKN1510"/>
      <c r="RKO1510"/>
      <c r="RKP1510"/>
      <c r="RKQ1510"/>
      <c r="RKR1510"/>
      <c r="RKS1510"/>
      <c r="RKT1510"/>
      <c r="RKU1510"/>
      <c r="RKV1510"/>
      <c r="RKW1510"/>
      <c r="RKX1510"/>
      <c r="RKY1510"/>
      <c r="RKZ1510"/>
      <c r="RLA1510"/>
      <c r="RLB1510"/>
      <c r="RLC1510"/>
      <c r="RLD1510"/>
      <c r="RLE1510"/>
      <c r="RLF1510"/>
      <c r="RLG1510"/>
      <c r="RLH1510"/>
      <c r="RLI1510"/>
      <c r="RLJ1510"/>
      <c r="RLK1510"/>
      <c r="RLL1510"/>
      <c r="RLM1510"/>
      <c r="RLN1510"/>
      <c r="RLO1510"/>
      <c r="RLP1510"/>
      <c r="RLQ1510"/>
      <c r="RLR1510"/>
      <c r="RLS1510"/>
      <c r="RLT1510"/>
      <c r="RLU1510"/>
      <c r="RLV1510"/>
      <c r="RLW1510"/>
      <c r="RLX1510"/>
      <c r="RLY1510"/>
      <c r="RLZ1510"/>
      <c r="RMA1510"/>
      <c r="RMB1510"/>
      <c r="RMC1510"/>
      <c r="RMD1510"/>
      <c r="RME1510"/>
      <c r="RMF1510"/>
      <c r="RMG1510"/>
      <c r="RMH1510"/>
      <c r="RMI1510"/>
      <c r="RMJ1510"/>
      <c r="RMK1510"/>
      <c r="RML1510"/>
      <c r="RMM1510"/>
      <c r="RMN1510"/>
      <c r="RMO1510"/>
      <c r="RMP1510"/>
      <c r="RMQ1510"/>
      <c r="RMR1510"/>
      <c r="RMS1510"/>
      <c r="RMT1510"/>
      <c r="RMU1510"/>
      <c r="RMV1510"/>
      <c r="RMW1510"/>
      <c r="RMX1510"/>
      <c r="RMY1510"/>
      <c r="RMZ1510"/>
      <c r="RNA1510"/>
      <c r="RNB1510"/>
      <c r="RNC1510"/>
      <c r="RND1510"/>
      <c r="RNE1510"/>
      <c r="RNF1510"/>
      <c r="RNG1510"/>
      <c r="RNH1510"/>
      <c r="RNI1510"/>
      <c r="RNJ1510"/>
      <c r="RNK1510"/>
      <c r="RNL1510"/>
      <c r="RNM1510"/>
      <c r="RNN1510"/>
      <c r="RNO1510"/>
      <c r="RNP1510"/>
      <c r="RNQ1510"/>
      <c r="RNR1510"/>
      <c r="RNS1510"/>
      <c r="RNT1510"/>
      <c r="RNU1510"/>
      <c r="RNV1510"/>
      <c r="RNW1510"/>
      <c r="RNX1510"/>
      <c r="RNY1510"/>
      <c r="RNZ1510"/>
      <c r="ROA1510"/>
      <c r="ROB1510"/>
      <c r="ROC1510"/>
      <c r="ROD1510"/>
      <c r="ROE1510"/>
      <c r="ROF1510"/>
      <c r="ROG1510"/>
      <c r="ROH1510"/>
      <c r="ROI1510"/>
      <c r="ROJ1510"/>
      <c r="ROK1510"/>
      <c r="ROL1510"/>
      <c r="ROM1510"/>
      <c r="RON1510"/>
      <c r="ROO1510"/>
      <c r="ROP1510"/>
      <c r="ROQ1510"/>
      <c r="ROR1510"/>
      <c r="ROS1510"/>
      <c r="ROT1510"/>
      <c r="ROU1510"/>
      <c r="ROV1510"/>
      <c r="ROW1510"/>
      <c r="ROX1510"/>
      <c r="ROY1510"/>
      <c r="ROZ1510"/>
      <c r="RPA1510"/>
      <c r="RPB1510"/>
      <c r="RPC1510"/>
      <c r="RPD1510"/>
      <c r="RPE1510"/>
      <c r="RPF1510"/>
      <c r="RPG1510"/>
      <c r="RPH1510"/>
      <c r="RPI1510"/>
      <c r="RPJ1510"/>
      <c r="RPK1510"/>
      <c r="RPL1510"/>
      <c r="RPM1510"/>
      <c r="RPN1510"/>
      <c r="RPO1510"/>
      <c r="RPP1510"/>
      <c r="RPQ1510"/>
      <c r="RPR1510"/>
      <c r="RPS1510"/>
      <c r="RPT1510"/>
      <c r="RPU1510"/>
      <c r="RPV1510"/>
      <c r="RPW1510"/>
      <c r="RPX1510"/>
      <c r="RPY1510"/>
      <c r="RPZ1510"/>
      <c r="RQA1510"/>
      <c r="RQB1510"/>
      <c r="RQC1510"/>
      <c r="RQD1510"/>
      <c r="RQE1510"/>
      <c r="RQF1510"/>
      <c r="RQG1510"/>
      <c r="RQH1510"/>
      <c r="RQI1510"/>
      <c r="RQJ1510"/>
      <c r="RQK1510"/>
      <c r="RQL1510"/>
      <c r="RQM1510"/>
      <c r="RQN1510"/>
      <c r="RQO1510"/>
      <c r="RQP1510"/>
      <c r="RQQ1510"/>
      <c r="RQR1510"/>
      <c r="RQS1510"/>
      <c r="RQT1510"/>
      <c r="RQU1510"/>
      <c r="RQV1510"/>
      <c r="RQW1510"/>
      <c r="RQX1510"/>
      <c r="RQY1510"/>
      <c r="RQZ1510"/>
      <c r="RRA1510"/>
      <c r="RRB1510"/>
      <c r="RRC1510"/>
      <c r="RRD1510"/>
      <c r="RRE1510"/>
      <c r="RRF1510"/>
      <c r="RRG1510"/>
      <c r="RRH1510"/>
      <c r="RRI1510"/>
      <c r="RRJ1510"/>
      <c r="RRK1510"/>
      <c r="RRL1510"/>
      <c r="RRM1510"/>
      <c r="RRN1510"/>
      <c r="RRO1510"/>
      <c r="RRP1510"/>
      <c r="RRQ1510"/>
      <c r="RRR1510"/>
      <c r="RRS1510"/>
      <c r="RRT1510"/>
      <c r="RRU1510"/>
      <c r="RRV1510"/>
      <c r="RRW1510"/>
      <c r="RRX1510"/>
      <c r="RRY1510"/>
      <c r="RRZ1510"/>
      <c r="RSA1510"/>
      <c r="RSB1510"/>
      <c r="RSC1510"/>
      <c r="RSD1510"/>
      <c r="RSE1510"/>
      <c r="RSF1510"/>
      <c r="RSG1510"/>
      <c r="RSH1510"/>
      <c r="RSI1510"/>
      <c r="RSJ1510"/>
      <c r="RSK1510"/>
      <c r="RSL1510"/>
      <c r="RSM1510"/>
      <c r="RSN1510"/>
      <c r="RSO1510"/>
      <c r="RSP1510"/>
      <c r="RSQ1510"/>
      <c r="RSR1510"/>
      <c r="RSS1510"/>
      <c r="RST1510"/>
      <c r="RSU1510"/>
      <c r="RSV1510"/>
      <c r="RSW1510"/>
      <c r="RSX1510"/>
      <c r="RSY1510"/>
      <c r="RSZ1510"/>
      <c r="RTA1510"/>
      <c r="RTB1510"/>
      <c r="RTC1510"/>
      <c r="RTD1510"/>
      <c r="RTE1510"/>
      <c r="RTF1510"/>
      <c r="RTG1510"/>
      <c r="RTH1510"/>
      <c r="RTI1510"/>
      <c r="RTJ1510"/>
      <c r="RTK1510"/>
      <c r="RTL1510"/>
      <c r="RTM1510"/>
      <c r="RTN1510"/>
      <c r="RTO1510"/>
      <c r="RTP1510"/>
      <c r="RTQ1510"/>
      <c r="RTR1510"/>
      <c r="RTS1510"/>
      <c r="RTT1510"/>
      <c r="RTU1510"/>
      <c r="RTV1510"/>
      <c r="RTW1510"/>
      <c r="RTX1510"/>
      <c r="RTY1510"/>
      <c r="RTZ1510"/>
      <c r="RUA1510"/>
      <c r="RUB1510"/>
      <c r="RUC1510"/>
      <c r="RUD1510"/>
      <c r="RUE1510"/>
      <c r="RUF1510"/>
      <c r="RUG1510"/>
      <c r="RUH1510"/>
      <c r="RUI1510"/>
      <c r="RUJ1510"/>
      <c r="RUK1510"/>
      <c r="RUL1510"/>
      <c r="RUM1510"/>
      <c r="RUN1510"/>
      <c r="RUO1510"/>
      <c r="RUP1510"/>
      <c r="RUQ1510"/>
      <c r="RUR1510"/>
      <c r="RUS1510"/>
      <c r="RUT1510"/>
      <c r="RUU1510"/>
      <c r="RUV1510"/>
      <c r="RUW1510"/>
      <c r="RUX1510"/>
      <c r="RUY1510"/>
      <c r="RUZ1510"/>
      <c r="RVA1510"/>
      <c r="RVB1510"/>
      <c r="RVC1510"/>
      <c r="RVD1510"/>
      <c r="RVE1510"/>
      <c r="RVF1510"/>
      <c r="RVG1510"/>
      <c r="RVH1510"/>
      <c r="RVI1510"/>
      <c r="RVJ1510"/>
      <c r="RVK1510"/>
      <c r="RVL1510"/>
      <c r="RVM1510"/>
      <c r="RVN1510"/>
      <c r="RVO1510"/>
      <c r="RVP1510"/>
      <c r="RVQ1510"/>
      <c r="RVR1510"/>
      <c r="RVS1510"/>
      <c r="RVT1510"/>
      <c r="RVU1510"/>
      <c r="RVV1510"/>
      <c r="RVW1510"/>
      <c r="RVX1510"/>
      <c r="RVY1510"/>
      <c r="RVZ1510"/>
      <c r="RWA1510"/>
      <c r="RWB1510"/>
      <c r="RWC1510"/>
      <c r="RWD1510"/>
      <c r="RWE1510"/>
      <c r="RWF1510"/>
      <c r="RWG1510"/>
      <c r="RWH1510"/>
      <c r="RWI1510"/>
      <c r="RWJ1510"/>
      <c r="RWK1510"/>
      <c r="RWL1510"/>
      <c r="RWM1510"/>
      <c r="RWN1510"/>
      <c r="RWO1510"/>
      <c r="RWP1510"/>
      <c r="RWQ1510"/>
      <c r="RWR1510"/>
      <c r="RWS1510"/>
      <c r="RWT1510"/>
      <c r="RWU1510"/>
      <c r="RWV1510"/>
      <c r="RWW1510"/>
      <c r="RWX1510"/>
      <c r="RWY1510"/>
      <c r="RWZ1510"/>
      <c r="RXA1510"/>
      <c r="RXB1510"/>
      <c r="RXC1510"/>
      <c r="RXD1510"/>
      <c r="RXE1510"/>
      <c r="RXF1510"/>
      <c r="RXG1510"/>
      <c r="RXH1510"/>
      <c r="RXI1510"/>
      <c r="RXJ1510"/>
      <c r="RXK1510"/>
      <c r="RXL1510"/>
      <c r="RXM1510"/>
      <c r="RXN1510"/>
      <c r="RXO1510"/>
      <c r="RXP1510"/>
      <c r="RXQ1510"/>
      <c r="RXR1510"/>
      <c r="RXS1510"/>
      <c r="RXT1510"/>
      <c r="RXU1510"/>
      <c r="RXV1510"/>
      <c r="RXW1510"/>
      <c r="RXX1510"/>
      <c r="RXY1510"/>
      <c r="RXZ1510"/>
      <c r="RYA1510"/>
      <c r="RYB1510"/>
      <c r="RYC1510"/>
      <c r="RYD1510"/>
      <c r="RYE1510"/>
      <c r="RYF1510"/>
      <c r="RYG1510"/>
      <c r="RYH1510"/>
      <c r="RYI1510"/>
      <c r="RYJ1510"/>
      <c r="RYK1510"/>
      <c r="RYL1510"/>
      <c r="RYM1510"/>
      <c r="RYN1510"/>
      <c r="RYO1510"/>
      <c r="RYP1510"/>
      <c r="RYQ1510"/>
      <c r="RYR1510"/>
      <c r="RYS1510"/>
      <c r="RYT1510"/>
      <c r="RYU1510"/>
      <c r="RYV1510"/>
      <c r="RYW1510"/>
      <c r="RYX1510"/>
      <c r="RYY1510"/>
      <c r="RYZ1510"/>
      <c r="RZA1510"/>
      <c r="RZB1510"/>
      <c r="RZC1510"/>
      <c r="RZD1510"/>
      <c r="RZE1510"/>
      <c r="RZF1510"/>
      <c r="RZG1510"/>
      <c r="RZH1510"/>
      <c r="RZI1510"/>
      <c r="RZJ1510"/>
      <c r="RZK1510"/>
      <c r="RZL1510"/>
      <c r="RZM1510"/>
      <c r="RZN1510"/>
      <c r="RZO1510"/>
      <c r="RZP1510"/>
      <c r="RZQ1510"/>
      <c r="RZR1510"/>
      <c r="RZS1510"/>
      <c r="RZT1510"/>
      <c r="RZU1510"/>
      <c r="RZV1510"/>
      <c r="RZW1510"/>
      <c r="RZX1510"/>
      <c r="RZY1510"/>
      <c r="RZZ1510"/>
      <c r="SAA1510"/>
      <c r="SAB1510"/>
      <c r="SAC1510"/>
      <c r="SAD1510"/>
      <c r="SAE1510"/>
      <c r="SAF1510"/>
      <c r="SAG1510"/>
      <c r="SAH1510"/>
      <c r="SAI1510"/>
      <c r="SAJ1510"/>
      <c r="SAK1510"/>
      <c r="SAL1510"/>
      <c r="SAM1510"/>
      <c r="SAN1510"/>
      <c r="SAO1510"/>
      <c r="SAP1510"/>
      <c r="SAQ1510"/>
      <c r="SAR1510"/>
      <c r="SAS1510"/>
      <c r="SAT1510"/>
      <c r="SAU1510"/>
      <c r="SAV1510"/>
      <c r="SAW1510"/>
      <c r="SAX1510"/>
      <c r="SAY1510"/>
      <c r="SAZ1510"/>
      <c r="SBA1510"/>
      <c r="SBB1510"/>
      <c r="SBC1510"/>
      <c r="SBD1510"/>
      <c r="SBE1510"/>
      <c r="SBF1510"/>
      <c r="SBG1510"/>
      <c r="SBH1510"/>
      <c r="SBI1510"/>
      <c r="SBJ1510"/>
      <c r="SBK1510"/>
      <c r="SBL1510"/>
      <c r="SBM1510"/>
      <c r="SBN1510"/>
      <c r="SBO1510"/>
      <c r="SBP1510"/>
      <c r="SBQ1510"/>
      <c r="SBR1510"/>
      <c r="SBS1510"/>
      <c r="SBT1510"/>
      <c r="SBU1510"/>
      <c r="SBV1510"/>
      <c r="SBW1510"/>
      <c r="SBX1510"/>
      <c r="SBY1510"/>
      <c r="SBZ1510"/>
      <c r="SCA1510"/>
      <c r="SCB1510"/>
      <c r="SCC1510"/>
      <c r="SCD1510"/>
      <c r="SCE1510"/>
      <c r="SCF1510"/>
      <c r="SCG1510"/>
      <c r="SCH1510"/>
      <c r="SCI1510"/>
      <c r="SCJ1510"/>
      <c r="SCK1510"/>
      <c r="SCL1510"/>
      <c r="SCM1510"/>
      <c r="SCN1510"/>
      <c r="SCO1510"/>
      <c r="SCP1510"/>
      <c r="SCQ1510"/>
      <c r="SCR1510"/>
      <c r="SCS1510"/>
      <c r="SCT1510"/>
      <c r="SCU1510"/>
      <c r="SCV1510"/>
      <c r="SCW1510"/>
      <c r="SCX1510"/>
      <c r="SCY1510"/>
      <c r="SCZ1510"/>
      <c r="SDA1510"/>
      <c r="SDB1510"/>
      <c r="SDC1510"/>
      <c r="SDD1510"/>
      <c r="SDE1510"/>
      <c r="SDF1510"/>
      <c r="SDG1510"/>
      <c r="SDH1510"/>
      <c r="SDI1510"/>
      <c r="SDJ1510"/>
      <c r="SDK1510"/>
      <c r="SDL1510"/>
      <c r="SDM1510"/>
      <c r="SDN1510"/>
      <c r="SDO1510"/>
      <c r="SDP1510"/>
      <c r="SDQ1510"/>
      <c r="SDR1510"/>
      <c r="SDS1510"/>
      <c r="SDT1510"/>
      <c r="SDU1510"/>
      <c r="SDV1510"/>
      <c r="SDW1510"/>
      <c r="SDX1510"/>
      <c r="SDY1510"/>
      <c r="SDZ1510"/>
      <c r="SEA1510"/>
      <c r="SEB1510"/>
      <c r="SEC1510"/>
      <c r="SED1510"/>
      <c r="SEE1510"/>
      <c r="SEF1510"/>
      <c r="SEG1510"/>
      <c r="SEH1510"/>
      <c r="SEI1510"/>
      <c r="SEJ1510"/>
      <c r="SEK1510"/>
      <c r="SEL1510"/>
      <c r="SEM1510"/>
      <c r="SEN1510"/>
      <c r="SEO1510"/>
      <c r="SEP1510"/>
      <c r="SEQ1510"/>
      <c r="SER1510"/>
      <c r="SES1510"/>
      <c r="SET1510"/>
      <c r="SEU1510"/>
      <c r="SEV1510"/>
      <c r="SEW1510"/>
      <c r="SEX1510"/>
      <c r="SEY1510"/>
      <c r="SEZ1510"/>
      <c r="SFA1510"/>
      <c r="SFB1510"/>
      <c r="SFC1510"/>
      <c r="SFD1510"/>
      <c r="SFE1510"/>
      <c r="SFF1510"/>
      <c r="SFG1510"/>
      <c r="SFH1510"/>
      <c r="SFI1510"/>
      <c r="SFJ1510"/>
      <c r="SFK1510"/>
      <c r="SFL1510"/>
      <c r="SFM1510"/>
      <c r="SFN1510"/>
      <c r="SFO1510"/>
      <c r="SFP1510"/>
      <c r="SFQ1510"/>
      <c r="SFR1510"/>
      <c r="SFS1510"/>
      <c r="SFT1510"/>
      <c r="SFU1510"/>
      <c r="SFV1510"/>
      <c r="SFW1510"/>
      <c r="SFX1510"/>
      <c r="SFY1510"/>
      <c r="SFZ1510"/>
      <c r="SGA1510"/>
      <c r="SGB1510"/>
      <c r="SGC1510"/>
      <c r="SGD1510"/>
      <c r="SGE1510"/>
      <c r="SGF1510"/>
      <c r="SGG1510"/>
      <c r="SGH1510"/>
      <c r="SGI1510"/>
      <c r="SGJ1510"/>
      <c r="SGK1510"/>
      <c r="SGL1510"/>
      <c r="SGM1510"/>
      <c r="SGN1510"/>
      <c r="SGO1510"/>
      <c r="SGP1510"/>
      <c r="SGQ1510"/>
      <c r="SGR1510"/>
      <c r="SGS1510"/>
      <c r="SGT1510"/>
      <c r="SGU1510"/>
      <c r="SGV1510"/>
      <c r="SGW1510"/>
      <c r="SGX1510"/>
      <c r="SGY1510"/>
      <c r="SGZ1510"/>
      <c r="SHA1510"/>
      <c r="SHB1510"/>
      <c r="SHC1510"/>
      <c r="SHD1510"/>
      <c r="SHE1510"/>
      <c r="SHF1510"/>
      <c r="SHG1510"/>
      <c r="SHH1510"/>
      <c r="SHI1510"/>
      <c r="SHJ1510"/>
      <c r="SHK1510"/>
      <c r="SHL1510"/>
      <c r="SHM1510"/>
      <c r="SHN1510"/>
      <c r="SHO1510"/>
      <c r="SHP1510"/>
      <c r="SHQ1510"/>
      <c r="SHR1510"/>
      <c r="SHS1510"/>
      <c r="SHT1510"/>
      <c r="SHU1510"/>
      <c r="SHV1510"/>
      <c r="SHW1510"/>
      <c r="SHX1510"/>
      <c r="SHY1510"/>
      <c r="SHZ1510"/>
      <c r="SIA1510"/>
      <c r="SIB1510"/>
      <c r="SIC1510"/>
      <c r="SID1510"/>
      <c r="SIE1510"/>
      <c r="SIF1510"/>
      <c r="SIG1510"/>
      <c r="SIH1510"/>
      <c r="SII1510"/>
      <c r="SIJ1510"/>
      <c r="SIK1510"/>
      <c r="SIL1510"/>
      <c r="SIM1510"/>
      <c r="SIN1510"/>
      <c r="SIO1510"/>
      <c r="SIP1510"/>
      <c r="SIQ1510"/>
      <c r="SIR1510"/>
      <c r="SIS1510"/>
      <c r="SIT1510"/>
      <c r="SIU1510"/>
      <c r="SIV1510"/>
      <c r="SIW1510"/>
      <c r="SIX1510"/>
      <c r="SIY1510"/>
      <c r="SIZ1510"/>
      <c r="SJA1510"/>
      <c r="SJB1510"/>
      <c r="SJC1510"/>
      <c r="SJD1510"/>
      <c r="SJE1510"/>
      <c r="SJF1510"/>
      <c r="SJG1510"/>
      <c r="SJH1510"/>
      <c r="SJI1510"/>
      <c r="SJJ1510"/>
      <c r="SJK1510"/>
      <c r="SJL1510"/>
      <c r="SJM1510"/>
      <c r="SJN1510"/>
      <c r="SJO1510"/>
      <c r="SJP1510"/>
      <c r="SJQ1510"/>
      <c r="SJR1510"/>
      <c r="SJS1510"/>
      <c r="SJT1510"/>
      <c r="SJU1510"/>
      <c r="SJV1510"/>
      <c r="SJW1510"/>
      <c r="SJX1510"/>
      <c r="SJY1510"/>
      <c r="SJZ1510"/>
      <c r="SKA1510"/>
      <c r="SKB1510"/>
      <c r="SKC1510"/>
      <c r="SKD1510"/>
      <c r="SKE1510"/>
      <c r="SKF1510"/>
      <c r="SKG1510"/>
      <c r="SKH1510"/>
      <c r="SKI1510"/>
      <c r="SKJ1510"/>
      <c r="SKK1510"/>
      <c r="SKL1510"/>
      <c r="SKM1510"/>
      <c r="SKN1510"/>
      <c r="SKO1510"/>
      <c r="SKP1510"/>
      <c r="SKQ1510"/>
      <c r="SKR1510"/>
      <c r="SKS1510"/>
      <c r="SKT1510"/>
      <c r="SKU1510"/>
      <c r="SKV1510"/>
      <c r="SKW1510"/>
      <c r="SKX1510"/>
      <c r="SKY1510"/>
      <c r="SKZ1510"/>
      <c r="SLA1510"/>
      <c r="SLB1510"/>
      <c r="SLC1510"/>
      <c r="SLD1510"/>
      <c r="SLE1510"/>
      <c r="SLF1510"/>
      <c r="SLG1510"/>
      <c r="SLH1510"/>
      <c r="SLI1510"/>
      <c r="SLJ1510"/>
      <c r="SLK1510"/>
      <c r="SLL1510"/>
      <c r="SLM1510"/>
      <c r="SLN1510"/>
      <c r="SLO1510"/>
      <c r="SLP1510"/>
      <c r="SLQ1510"/>
      <c r="SLR1510"/>
      <c r="SLS1510"/>
      <c r="SLT1510"/>
      <c r="SLU1510"/>
      <c r="SLV1510"/>
      <c r="SLW1510"/>
      <c r="SLX1510"/>
      <c r="SLY1510"/>
      <c r="SLZ1510"/>
      <c r="SMA1510"/>
      <c r="SMB1510"/>
      <c r="SMC1510"/>
      <c r="SMD1510"/>
      <c r="SME1510"/>
      <c r="SMF1510"/>
      <c r="SMG1510"/>
      <c r="SMH1510"/>
      <c r="SMI1510"/>
      <c r="SMJ1510"/>
      <c r="SMK1510"/>
      <c r="SML1510"/>
      <c r="SMM1510"/>
      <c r="SMN1510"/>
      <c r="SMO1510"/>
      <c r="SMP1510"/>
      <c r="SMQ1510"/>
      <c r="SMR1510"/>
      <c r="SMS1510"/>
      <c r="SMT1510"/>
      <c r="SMU1510"/>
      <c r="SMV1510"/>
      <c r="SMW1510"/>
      <c r="SMX1510"/>
      <c r="SMY1510"/>
      <c r="SMZ1510"/>
      <c r="SNA1510"/>
      <c r="SNB1510"/>
      <c r="SNC1510"/>
      <c r="SND1510"/>
      <c r="SNE1510"/>
      <c r="SNF1510"/>
      <c r="SNG1510"/>
      <c r="SNH1510"/>
      <c r="SNI1510"/>
      <c r="SNJ1510"/>
      <c r="SNK1510"/>
      <c r="SNL1510"/>
      <c r="SNM1510"/>
      <c r="SNN1510"/>
      <c r="SNO1510"/>
      <c r="SNP1510"/>
      <c r="SNQ1510"/>
      <c r="SNR1510"/>
      <c r="SNS1510"/>
      <c r="SNT1510"/>
      <c r="SNU1510"/>
      <c r="SNV1510"/>
      <c r="SNW1510"/>
      <c r="SNX1510"/>
      <c r="SNY1510"/>
      <c r="SNZ1510"/>
      <c r="SOA1510"/>
      <c r="SOB1510"/>
      <c r="SOC1510"/>
      <c r="SOD1510"/>
      <c r="SOE1510"/>
      <c r="SOF1510"/>
      <c r="SOG1510"/>
      <c r="SOH1510"/>
      <c r="SOI1510"/>
      <c r="SOJ1510"/>
      <c r="SOK1510"/>
      <c r="SOL1510"/>
      <c r="SOM1510"/>
      <c r="SON1510"/>
      <c r="SOO1510"/>
      <c r="SOP1510"/>
      <c r="SOQ1510"/>
      <c r="SOR1510"/>
      <c r="SOS1510"/>
      <c r="SOT1510"/>
      <c r="SOU1510"/>
      <c r="SOV1510"/>
      <c r="SOW1510"/>
      <c r="SOX1510"/>
      <c r="SOY1510"/>
      <c r="SOZ1510"/>
      <c r="SPA1510"/>
      <c r="SPB1510"/>
      <c r="SPC1510"/>
      <c r="SPD1510"/>
      <c r="SPE1510"/>
      <c r="SPF1510"/>
      <c r="SPG1510"/>
      <c r="SPH1510"/>
      <c r="SPI1510"/>
      <c r="SPJ1510"/>
      <c r="SPK1510"/>
      <c r="SPL1510"/>
      <c r="SPM1510"/>
      <c r="SPN1510"/>
      <c r="SPO1510"/>
      <c r="SPP1510"/>
      <c r="SPQ1510"/>
      <c r="SPR1510"/>
      <c r="SPS1510"/>
      <c r="SPT1510"/>
      <c r="SPU1510"/>
      <c r="SPV1510"/>
      <c r="SPW1510"/>
      <c r="SPX1510"/>
      <c r="SPY1510"/>
      <c r="SPZ1510"/>
      <c r="SQA1510"/>
      <c r="SQB1510"/>
      <c r="SQC1510"/>
      <c r="SQD1510"/>
      <c r="SQE1510"/>
      <c r="SQF1510"/>
      <c r="SQG1510"/>
      <c r="SQH1510"/>
      <c r="SQI1510"/>
      <c r="SQJ1510"/>
      <c r="SQK1510"/>
      <c r="SQL1510"/>
      <c r="SQM1510"/>
      <c r="SQN1510"/>
      <c r="SQO1510"/>
      <c r="SQP1510"/>
      <c r="SQQ1510"/>
      <c r="SQR1510"/>
      <c r="SQS1510"/>
      <c r="SQT1510"/>
      <c r="SQU1510"/>
      <c r="SQV1510"/>
      <c r="SQW1510"/>
      <c r="SQX1510"/>
      <c r="SQY1510"/>
      <c r="SQZ1510"/>
      <c r="SRA1510"/>
      <c r="SRB1510"/>
      <c r="SRC1510"/>
      <c r="SRD1510"/>
      <c r="SRE1510"/>
      <c r="SRF1510"/>
      <c r="SRG1510"/>
      <c r="SRH1510"/>
      <c r="SRI1510"/>
      <c r="SRJ1510"/>
      <c r="SRK1510"/>
      <c r="SRL1510"/>
      <c r="SRM1510"/>
      <c r="SRN1510"/>
      <c r="SRO1510"/>
      <c r="SRP1510"/>
      <c r="SRQ1510"/>
      <c r="SRR1510"/>
      <c r="SRS1510"/>
      <c r="SRT1510"/>
      <c r="SRU1510"/>
      <c r="SRV1510"/>
      <c r="SRW1510"/>
      <c r="SRX1510"/>
      <c r="SRY1510"/>
      <c r="SRZ1510"/>
      <c r="SSA1510"/>
      <c r="SSB1510"/>
      <c r="SSC1510"/>
      <c r="SSD1510"/>
      <c r="SSE1510"/>
      <c r="SSF1510"/>
      <c r="SSG1510"/>
      <c r="SSH1510"/>
      <c r="SSI1510"/>
      <c r="SSJ1510"/>
      <c r="SSK1510"/>
      <c r="SSL1510"/>
      <c r="SSM1510"/>
      <c r="SSN1510"/>
      <c r="SSO1510"/>
      <c r="SSP1510"/>
      <c r="SSQ1510"/>
      <c r="SSR1510"/>
      <c r="SSS1510"/>
      <c r="SST1510"/>
      <c r="SSU1510"/>
      <c r="SSV1510"/>
      <c r="SSW1510"/>
      <c r="SSX1510"/>
      <c r="SSY1510"/>
      <c r="SSZ1510"/>
      <c r="STA1510"/>
      <c r="STB1510"/>
      <c r="STC1510"/>
      <c r="STD1510"/>
      <c r="STE1510"/>
      <c r="STF1510"/>
      <c r="STG1510"/>
      <c r="STH1510"/>
      <c r="STI1510"/>
      <c r="STJ1510"/>
      <c r="STK1510"/>
      <c r="STL1510"/>
      <c r="STM1510"/>
      <c r="STN1510"/>
      <c r="STO1510"/>
      <c r="STP1510"/>
      <c r="STQ1510"/>
      <c r="STR1510"/>
      <c r="STS1510"/>
      <c r="STT1510"/>
      <c r="STU1510"/>
      <c r="STV1510"/>
      <c r="STW1510"/>
      <c r="STX1510"/>
      <c r="STY1510"/>
      <c r="STZ1510"/>
      <c r="SUA1510"/>
      <c r="SUB1510"/>
      <c r="SUC1510"/>
      <c r="SUD1510"/>
      <c r="SUE1510"/>
      <c r="SUF1510"/>
      <c r="SUG1510"/>
      <c r="SUH1510"/>
      <c r="SUI1510"/>
      <c r="SUJ1510"/>
      <c r="SUK1510"/>
      <c r="SUL1510"/>
      <c r="SUM1510"/>
      <c r="SUN1510"/>
      <c r="SUO1510"/>
      <c r="SUP1510"/>
      <c r="SUQ1510"/>
      <c r="SUR1510"/>
      <c r="SUS1510"/>
      <c r="SUT1510"/>
      <c r="SUU1510"/>
      <c r="SUV1510"/>
      <c r="SUW1510"/>
      <c r="SUX1510"/>
      <c r="SUY1510"/>
      <c r="SUZ1510"/>
      <c r="SVA1510"/>
      <c r="SVB1510"/>
      <c r="SVC1510"/>
      <c r="SVD1510"/>
      <c r="SVE1510"/>
      <c r="SVF1510"/>
      <c r="SVG1510"/>
      <c r="SVH1510"/>
      <c r="SVI1510"/>
      <c r="SVJ1510"/>
      <c r="SVK1510"/>
      <c r="SVL1510"/>
      <c r="SVM1510"/>
      <c r="SVN1510"/>
      <c r="SVO1510"/>
      <c r="SVP1510"/>
      <c r="SVQ1510"/>
      <c r="SVR1510"/>
      <c r="SVS1510"/>
      <c r="SVT1510"/>
      <c r="SVU1510"/>
      <c r="SVV1510"/>
      <c r="SVW1510"/>
      <c r="SVX1510"/>
      <c r="SVY1510"/>
      <c r="SVZ1510"/>
      <c r="SWA1510"/>
      <c r="SWB1510"/>
      <c r="SWC1510"/>
      <c r="SWD1510"/>
      <c r="SWE1510"/>
      <c r="SWF1510"/>
      <c r="SWG1510"/>
      <c r="SWH1510"/>
      <c r="SWI1510"/>
      <c r="SWJ1510"/>
      <c r="SWK1510"/>
      <c r="SWL1510"/>
      <c r="SWM1510"/>
      <c r="SWN1510"/>
      <c r="SWO1510"/>
      <c r="SWP1510"/>
      <c r="SWQ1510"/>
      <c r="SWR1510"/>
      <c r="SWS1510"/>
      <c r="SWT1510"/>
      <c r="SWU1510"/>
      <c r="SWV1510"/>
      <c r="SWW1510"/>
      <c r="SWX1510"/>
      <c r="SWY1510"/>
      <c r="SWZ1510"/>
      <c r="SXA1510"/>
      <c r="SXB1510"/>
      <c r="SXC1510"/>
      <c r="SXD1510"/>
      <c r="SXE1510"/>
      <c r="SXF1510"/>
      <c r="SXG1510"/>
      <c r="SXH1510"/>
      <c r="SXI1510"/>
      <c r="SXJ1510"/>
      <c r="SXK1510"/>
      <c r="SXL1510"/>
      <c r="SXM1510"/>
      <c r="SXN1510"/>
      <c r="SXO1510"/>
      <c r="SXP1510"/>
      <c r="SXQ1510"/>
      <c r="SXR1510"/>
      <c r="SXS1510"/>
      <c r="SXT1510"/>
      <c r="SXU1510"/>
      <c r="SXV1510"/>
      <c r="SXW1510"/>
      <c r="SXX1510"/>
      <c r="SXY1510"/>
      <c r="SXZ1510"/>
      <c r="SYA1510"/>
      <c r="SYB1510"/>
      <c r="SYC1510"/>
      <c r="SYD1510"/>
      <c r="SYE1510"/>
      <c r="SYF1510"/>
      <c r="SYG1510"/>
      <c r="SYH1510"/>
      <c r="SYI1510"/>
      <c r="SYJ1510"/>
      <c r="SYK1510"/>
      <c r="SYL1510"/>
      <c r="SYM1510"/>
      <c r="SYN1510"/>
      <c r="SYO1510"/>
      <c r="SYP1510"/>
      <c r="SYQ1510"/>
      <c r="SYR1510"/>
      <c r="SYS1510"/>
      <c r="SYT1510"/>
      <c r="SYU1510"/>
      <c r="SYV1510"/>
      <c r="SYW1510"/>
      <c r="SYX1510"/>
      <c r="SYY1510"/>
      <c r="SYZ1510"/>
      <c r="SZA1510"/>
      <c r="SZB1510"/>
      <c r="SZC1510"/>
      <c r="SZD1510"/>
      <c r="SZE1510"/>
      <c r="SZF1510"/>
      <c r="SZG1510"/>
      <c r="SZH1510"/>
      <c r="SZI1510"/>
      <c r="SZJ1510"/>
      <c r="SZK1510"/>
      <c r="SZL1510"/>
      <c r="SZM1510"/>
      <c r="SZN1510"/>
      <c r="SZO1510"/>
      <c r="SZP1510"/>
      <c r="SZQ1510"/>
      <c r="SZR1510"/>
      <c r="SZS1510"/>
      <c r="SZT1510"/>
      <c r="SZU1510"/>
      <c r="SZV1510"/>
      <c r="SZW1510"/>
      <c r="SZX1510"/>
      <c r="SZY1510"/>
      <c r="SZZ1510"/>
      <c r="TAA1510"/>
      <c r="TAB1510"/>
      <c r="TAC1510"/>
      <c r="TAD1510"/>
      <c r="TAE1510"/>
      <c r="TAF1510"/>
      <c r="TAG1510"/>
      <c r="TAH1510"/>
      <c r="TAI1510"/>
      <c r="TAJ1510"/>
      <c r="TAK1510"/>
      <c r="TAL1510"/>
      <c r="TAM1510"/>
      <c r="TAN1510"/>
      <c r="TAO1510"/>
      <c r="TAP1510"/>
      <c r="TAQ1510"/>
      <c r="TAR1510"/>
      <c r="TAS1510"/>
      <c r="TAT1510"/>
      <c r="TAU1510"/>
      <c r="TAV1510"/>
      <c r="TAW1510"/>
      <c r="TAX1510"/>
      <c r="TAY1510"/>
      <c r="TAZ1510"/>
      <c r="TBA1510"/>
      <c r="TBB1510"/>
      <c r="TBC1510"/>
      <c r="TBD1510"/>
      <c r="TBE1510"/>
      <c r="TBF1510"/>
      <c r="TBG1510"/>
      <c r="TBH1510"/>
      <c r="TBI1510"/>
      <c r="TBJ1510"/>
      <c r="TBK1510"/>
      <c r="TBL1510"/>
      <c r="TBM1510"/>
      <c r="TBN1510"/>
      <c r="TBO1510"/>
      <c r="TBP1510"/>
      <c r="TBQ1510"/>
      <c r="TBR1510"/>
      <c r="TBS1510"/>
      <c r="TBT1510"/>
      <c r="TBU1510"/>
      <c r="TBV1510"/>
      <c r="TBW1510"/>
      <c r="TBX1510"/>
      <c r="TBY1510"/>
      <c r="TBZ1510"/>
      <c r="TCA1510"/>
      <c r="TCB1510"/>
      <c r="TCC1510"/>
      <c r="TCD1510"/>
      <c r="TCE1510"/>
      <c r="TCF1510"/>
      <c r="TCG1510"/>
      <c r="TCH1510"/>
      <c r="TCI1510"/>
      <c r="TCJ1510"/>
      <c r="TCK1510"/>
      <c r="TCL1510"/>
      <c r="TCM1510"/>
      <c r="TCN1510"/>
      <c r="TCO1510"/>
      <c r="TCP1510"/>
      <c r="TCQ1510"/>
      <c r="TCR1510"/>
      <c r="TCS1510"/>
      <c r="TCT1510"/>
      <c r="TCU1510"/>
      <c r="TCV1510"/>
      <c r="TCW1510"/>
      <c r="TCX1510"/>
      <c r="TCY1510"/>
      <c r="TCZ1510"/>
      <c r="TDA1510"/>
      <c r="TDB1510"/>
      <c r="TDC1510"/>
      <c r="TDD1510"/>
      <c r="TDE1510"/>
      <c r="TDF1510"/>
      <c r="TDG1510"/>
      <c r="TDH1510"/>
      <c r="TDI1510"/>
      <c r="TDJ1510"/>
      <c r="TDK1510"/>
      <c r="TDL1510"/>
      <c r="TDM1510"/>
      <c r="TDN1510"/>
      <c r="TDO1510"/>
      <c r="TDP1510"/>
      <c r="TDQ1510"/>
      <c r="TDR1510"/>
      <c r="TDS1510"/>
      <c r="TDT1510"/>
      <c r="TDU1510"/>
      <c r="TDV1510"/>
      <c r="TDW1510"/>
      <c r="TDX1510"/>
      <c r="TDY1510"/>
      <c r="TDZ1510"/>
      <c r="TEA1510"/>
      <c r="TEB1510"/>
      <c r="TEC1510"/>
      <c r="TED1510"/>
      <c r="TEE1510"/>
      <c r="TEF1510"/>
      <c r="TEG1510"/>
      <c r="TEH1510"/>
      <c r="TEI1510"/>
      <c r="TEJ1510"/>
      <c r="TEK1510"/>
      <c r="TEL1510"/>
      <c r="TEM1510"/>
      <c r="TEN1510"/>
      <c r="TEO1510"/>
      <c r="TEP1510"/>
      <c r="TEQ1510"/>
      <c r="TER1510"/>
      <c r="TES1510"/>
      <c r="TET1510"/>
      <c r="TEU1510"/>
      <c r="TEV1510"/>
      <c r="TEW1510"/>
      <c r="TEX1510"/>
      <c r="TEY1510"/>
      <c r="TEZ1510"/>
      <c r="TFA1510"/>
      <c r="TFB1510"/>
      <c r="TFC1510"/>
      <c r="TFD1510"/>
      <c r="TFE1510"/>
      <c r="TFF1510"/>
      <c r="TFG1510"/>
      <c r="TFH1510"/>
      <c r="TFI1510"/>
      <c r="TFJ1510"/>
      <c r="TFK1510"/>
      <c r="TFL1510"/>
      <c r="TFM1510"/>
      <c r="TFN1510"/>
      <c r="TFO1510"/>
      <c r="TFP1510"/>
      <c r="TFQ1510"/>
      <c r="TFR1510"/>
      <c r="TFS1510"/>
      <c r="TFT1510"/>
      <c r="TFU1510"/>
      <c r="TFV1510"/>
      <c r="TFW1510"/>
      <c r="TFX1510"/>
      <c r="TFY1510"/>
      <c r="TFZ1510"/>
      <c r="TGA1510"/>
      <c r="TGB1510"/>
      <c r="TGC1510"/>
      <c r="TGD1510"/>
      <c r="TGE1510"/>
      <c r="TGF1510"/>
      <c r="TGG1510"/>
      <c r="TGH1510"/>
      <c r="TGI1510"/>
      <c r="TGJ1510"/>
      <c r="TGK1510"/>
      <c r="TGL1510"/>
      <c r="TGM1510"/>
      <c r="TGN1510"/>
      <c r="TGO1510"/>
      <c r="TGP1510"/>
      <c r="TGQ1510"/>
      <c r="TGR1510"/>
      <c r="TGS1510"/>
      <c r="TGT1510"/>
      <c r="TGU1510"/>
      <c r="TGV1510"/>
      <c r="TGW1510"/>
      <c r="TGX1510"/>
      <c r="TGY1510"/>
      <c r="TGZ1510"/>
      <c r="THA1510"/>
      <c r="THB1510"/>
      <c r="THC1510"/>
      <c r="THD1510"/>
      <c r="THE1510"/>
      <c r="THF1510"/>
      <c r="THG1510"/>
      <c r="THH1510"/>
      <c r="THI1510"/>
      <c r="THJ1510"/>
      <c r="THK1510"/>
      <c r="THL1510"/>
      <c r="THM1510"/>
      <c r="THN1510"/>
      <c r="THO1510"/>
      <c r="THP1510"/>
      <c r="THQ1510"/>
      <c r="THR1510"/>
      <c r="THS1510"/>
      <c r="THT1510"/>
      <c r="THU1510"/>
      <c r="THV1510"/>
      <c r="THW1510"/>
      <c r="THX1510"/>
      <c r="THY1510"/>
      <c r="THZ1510"/>
      <c r="TIA1510"/>
      <c r="TIB1510"/>
      <c r="TIC1510"/>
      <c r="TID1510"/>
      <c r="TIE1510"/>
      <c r="TIF1510"/>
      <c r="TIG1510"/>
      <c r="TIH1510"/>
      <c r="TII1510"/>
      <c r="TIJ1510"/>
      <c r="TIK1510"/>
      <c r="TIL1510"/>
      <c r="TIM1510"/>
      <c r="TIN1510"/>
      <c r="TIO1510"/>
      <c r="TIP1510"/>
      <c r="TIQ1510"/>
      <c r="TIR1510"/>
      <c r="TIS1510"/>
      <c r="TIT1510"/>
      <c r="TIU1510"/>
      <c r="TIV1510"/>
      <c r="TIW1510"/>
      <c r="TIX1510"/>
      <c r="TIY1510"/>
      <c r="TIZ1510"/>
      <c r="TJA1510"/>
      <c r="TJB1510"/>
      <c r="TJC1510"/>
      <c r="TJD1510"/>
      <c r="TJE1510"/>
      <c r="TJF1510"/>
      <c r="TJG1510"/>
      <c r="TJH1510"/>
      <c r="TJI1510"/>
      <c r="TJJ1510"/>
      <c r="TJK1510"/>
      <c r="TJL1510"/>
      <c r="TJM1510"/>
      <c r="TJN1510"/>
      <c r="TJO1510"/>
      <c r="TJP1510"/>
      <c r="TJQ1510"/>
      <c r="TJR1510"/>
      <c r="TJS1510"/>
      <c r="TJT1510"/>
      <c r="TJU1510"/>
      <c r="TJV1510"/>
      <c r="TJW1510"/>
      <c r="TJX1510"/>
      <c r="TJY1510"/>
      <c r="TJZ1510"/>
      <c r="TKA1510"/>
      <c r="TKB1510"/>
      <c r="TKC1510"/>
      <c r="TKD1510"/>
      <c r="TKE1510"/>
      <c r="TKF1510"/>
      <c r="TKG1510"/>
      <c r="TKH1510"/>
      <c r="TKI1510"/>
      <c r="TKJ1510"/>
      <c r="TKK1510"/>
      <c r="TKL1510"/>
      <c r="TKM1510"/>
      <c r="TKN1510"/>
      <c r="TKO1510"/>
      <c r="TKP1510"/>
      <c r="TKQ1510"/>
      <c r="TKR1510"/>
      <c r="TKS1510"/>
      <c r="TKT1510"/>
      <c r="TKU1510"/>
      <c r="TKV1510"/>
      <c r="TKW1510"/>
      <c r="TKX1510"/>
      <c r="TKY1510"/>
      <c r="TKZ1510"/>
      <c r="TLA1510"/>
      <c r="TLB1510"/>
      <c r="TLC1510"/>
      <c r="TLD1510"/>
      <c r="TLE1510"/>
      <c r="TLF1510"/>
      <c r="TLG1510"/>
      <c r="TLH1510"/>
      <c r="TLI1510"/>
      <c r="TLJ1510"/>
      <c r="TLK1510"/>
      <c r="TLL1510"/>
      <c r="TLM1510"/>
      <c r="TLN1510"/>
      <c r="TLO1510"/>
      <c r="TLP1510"/>
      <c r="TLQ1510"/>
      <c r="TLR1510"/>
      <c r="TLS1510"/>
      <c r="TLT1510"/>
      <c r="TLU1510"/>
      <c r="TLV1510"/>
      <c r="TLW1510"/>
      <c r="TLX1510"/>
      <c r="TLY1510"/>
      <c r="TLZ1510"/>
      <c r="TMA1510"/>
      <c r="TMB1510"/>
      <c r="TMC1510"/>
      <c r="TMD1510"/>
      <c r="TME1510"/>
      <c r="TMF1510"/>
      <c r="TMG1510"/>
      <c r="TMH1510"/>
      <c r="TMI1510"/>
      <c r="TMJ1510"/>
      <c r="TMK1510"/>
      <c r="TML1510"/>
      <c r="TMM1510"/>
      <c r="TMN1510"/>
      <c r="TMO1510"/>
      <c r="TMP1510"/>
      <c r="TMQ1510"/>
      <c r="TMR1510"/>
      <c r="TMS1510"/>
      <c r="TMT1510"/>
      <c r="TMU1510"/>
      <c r="TMV1510"/>
      <c r="TMW1510"/>
      <c r="TMX1510"/>
      <c r="TMY1510"/>
      <c r="TMZ1510"/>
      <c r="TNA1510"/>
      <c r="TNB1510"/>
      <c r="TNC1510"/>
      <c r="TND1510"/>
      <c r="TNE1510"/>
      <c r="TNF1510"/>
      <c r="TNG1510"/>
      <c r="TNH1510"/>
      <c r="TNI1510"/>
      <c r="TNJ1510"/>
      <c r="TNK1510"/>
      <c r="TNL1510"/>
      <c r="TNM1510"/>
      <c r="TNN1510"/>
      <c r="TNO1510"/>
      <c r="TNP1510"/>
      <c r="TNQ1510"/>
      <c r="TNR1510"/>
      <c r="TNS1510"/>
      <c r="TNT1510"/>
      <c r="TNU1510"/>
      <c r="TNV1510"/>
      <c r="TNW1510"/>
      <c r="TNX1510"/>
      <c r="TNY1510"/>
      <c r="TNZ1510"/>
      <c r="TOA1510"/>
      <c r="TOB1510"/>
      <c r="TOC1510"/>
      <c r="TOD1510"/>
      <c r="TOE1510"/>
      <c r="TOF1510"/>
      <c r="TOG1510"/>
      <c r="TOH1510"/>
      <c r="TOI1510"/>
      <c r="TOJ1510"/>
      <c r="TOK1510"/>
      <c r="TOL1510"/>
      <c r="TOM1510"/>
      <c r="TON1510"/>
      <c r="TOO1510"/>
      <c r="TOP1510"/>
      <c r="TOQ1510"/>
      <c r="TOR1510"/>
      <c r="TOS1510"/>
      <c r="TOT1510"/>
      <c r="TOU1510"/>
      <c r="TOV1510"/>
      <c r="TOW1510"/>
      <c r="TOX1510"/>
      <c r="TOY1510"/>
      <c r="TOZ1510"/>
      <c r="TPA1510"/>
      <c r="TPB1510"/>
      <c r="TPC1510"/>
      <c r="TPD1510"/>
      <c r="TPE1510"/>
      <c r="TPF1510"/>
      <c r="TPG1510"/>
      <c r="TPH1510"/>
      <c r="TPI1510"/>
      <c r="TPJ1510"/>
      <c r="TPK1510"/>
      <c r="TPL1510"/>
      <c r="TPM1510"/>
      <c r="TPN1510"/>
      <c r="TPO1510"/>
      <c r="TPP1510"/>
      <c r="TPQ1510"/>
      <c r="TPR1510"/>
      <c r="TPS1510"/>
      <c r="TPT1510"/>
      <c r="TPU1510"/>
      <c r="TPV1510"/>
      <c r="TPW1510"/>
      <c r="TPX1510"/>
      <c r="TPY1510"/>
      <c r="TPZ1510"/>
      <c r="TQA1510"/>
      <c r="TQB1510"/>
      <c r="TQC1510"/>
      <c r="TQD1510"/>
      <c r="TQE1510"/>
      <c r="TQF1510"/>
      <c r="TQG1510"/>
      <c r="TQH1510"/>
      <c r="TQI1510"/>
      <c r="TQJ1510"/>
      <c r="TQK1510"/>
      <c r="TQL1510"/>
      <c r="TQM1510"/>
      <c r="TQN1510"/>
      <c r="TQO1510"/>
      <c r="TQP1510"/>
      <c r="TQQ1510"/>
      <c r="TQR1510"/>
      <c r="TQS1510"/>
      <c r="TQT1510"/>
      <c r="TQU1510"/>
      <c r="TQV1510"/>
      <c r="TQW1510"/>
      <c r="TQX1510"/>
      <c r="TQY1510"/>
      <c r="TQZ1510"/>
      <c r="TRA1510"/>
      <c r="TRB1510"/>
      <c r="TRC1510"/>
      <c r="TRD1510"/>
      <c r="TRE1510"/>
      <c r="TRF1510"/>
      <c r="TRG1510"/>
      <c r="TRH1510"/>
      <c r="TRI1510"/>
      <c r="TRJ1510"/>
      <c r="TRK1510"/>
      <c r="TRL1510"/>
      <c r="TRM1510"/>
      <c r="TRN1510"/>
      <c r="TRO1510"/>
      <c r="TRP1510"/>
      <c r="TRQ1510"/>
      <c r="TRR1510"/>
      <c r="TRS1510"/>
      <c r="TRT1510"/>
      <c r="TRU1510"/>
      <c r="TRV1510"/>
      <c r="TRW1510"/>
      <c r="TRX1510"/>
      <c r="TRY1510"/>
      <c r="TRZ1510"/>
      <c r="TSA1510"/>
      <c r="TSB1510"/>
      <c r="TSC1510"/>
      <c r="TSD1510"/>
      <c r="TSE1510"/>
      <c r="TSF1510"/>
      <c r="TSG1510"/>
      <c r="TSH1510"/>
      <c r="TSI1510"/>
      <c r="TSJ1510"/>
      <c r="TSK1510"/>
      <c r="TSL1510"/>
      <c r="TSM1510"/>
      <c r="TSN1510"/>
      <c r="TSO1510"/>
      <c r="TSP1510"/>
      <c r="TSQ1510"/>
      <c r="TSR1510"/>
      <c r="TSS1510"/>
      <c r="TST1510"/>
      <c r="TSU1510"/>
      <c r="TSV1510"/>
      <c r="TSW1510"/>
      <c r="TSX1510"/>
      <c r="TSY1510"/>
      <c r="TSZ1510"/>
      <c r="TTA1510"/>
      <c r="TTB1510"/>
      <c r="TTC1510"/>
      <c r="TTD1510"/>
      <c r="TTE1510"/>
      <c r="TTF1510"/>
      <c r="TTG1510"/>
      <c r="TTH1510"/>
      <c r="TTI1510"/>
      <c r="TTJ1510"/>
      <c r="TTK1510"/>
      <c r="TTL1510"/>
      <c r="TTM1510"/>
      <c r="TTN1510"/>
      <c r="TTO1510"/>
      <c r="TTP1510"/>
      <c r="TTQ1510"/>
      <c r="TTR1510"/>
      <c r="TTS1510"/>
      <c r="TTT1510"/>
      <c r="TTU1510"/>
      <c r="TTV1510"/>
      <c r="TTW1510"/>
      <c r="TTX1510"/>
      <c r="TTY1510"/>
      <c r="TTZ1510"/>
      <c r="TUA1510"/>
      <c r="TUB1510"/>
      <c r="TUC1510"/>
      <c r="TUD1510"/>
      <c r="TUE1510"/>
      <c r="TUF1510"/>
      <c r="TUG1510"/>
      <c r="TUH1510"/>
      <c r="TUI1510"/>
      <c r="TUJ1510"/>
      <c r="TUK1510"/>
      <c r="TUL1510"/>
      <c r="TUM1510"/>
      <c r="TUN1510"/>
      <c r="TUO1510"/>
      <c r="TUP1510"/>
      <c r="TUQ1510"/>
      <c r="TUR1510"/>
      <c r="TUS1510"/>
      <c r="TUT1510"/>
      <c r="TUU1510"/>
      <c r="TUV1510"/>
      <c r="TUW1510"/>
      <c r="TUX1510"/>
      <c r="TUY1510"/>
      <c r="TUZ1510"/>
      <c r="TVA1510"/>
      <c r="TVB1510"/>
      <c r="TVC1510"/>
      <c r="TVD1510"/>
      <c r="TVE1510"/>
      <c r="TVF1510"/>
      <c r="TVG1510"/>
      <c r="TVH1510"/>
      <c r="TVI1510"/>
      <c r="TVJ1510"/>
      <c r="TVK1510"/>
      <c r="TVL1510"/>
      <c r="TVM1510"/>
      <c r="TVN1510"/>
      <c r="TVO1510"/>
      <c r="TVP1510"/>
      <c r="TVQ1510"/>
      <c r="TVR1510"/>
      <c r="TVS1510"/>
      <c r="TVT1510"/>
      <c r="TVU1510"/>
      <c r="TVV1510"/>
      <c r="TVW1510"/>
      <c r="TVX1510"/>
      <c r="TVY1510"/>
      <c r="TVZ1510"/>
      <c r="TWA1510"/>
      <c r="TWB1510"/>
      <c r="TWC1510"/>
      <c r="TWD1510"/>
      <c r="TWE1510"/>
      <c r="TWF1510"/>
      <c r="TWG1510"/>
      <c r="TWH1510"/>
      <c r="TWI1510"/>
      <c r="TWJ1510"/>
      <c r="TWK1510"/>
      <c r="TWL1510"/>
      <c r="TWM1510"/>
      <c r="TWN1510"/>
      <c r="TWO1510"/>
      <c r="TWP1510"/>
      <c r="TWQ1510"/>
      <c r="TWR1510"/>
      <c r="TWS1510"/>
      <c r="TWT1510"/>
      <c r="TWU1510"/>
      <c r="TWV1510"/>
      <c r="TWW1510"/>
      <c r="TWX1510"/>
      <c r="TWY1510"/>
      <c r="TWZ1510"/>
      <c r="TXA1510"/>
      <c r="TXB1510"/>
      <c r="TXC1510"/>
      <c r="TXD1510"/>
      <c r="TXE1510"/>
      <c r="TXF1510"/>
      <c r="TXG1510"/>
      <c r="TXH1510"/>
      <c r="TXI1510"/>
      <c r="TXJ1510"/>
      <c r="TXK1510"/>
      <c r="TXL1510"/>
      <c r="TXM1510"/>
      <c r="TXN1510"/>
      <c r="TXO1510"/>
      <c r="TXP1510"/>
      <c r="TXQ1510"/>
      <c r="TXR1510"/>
      <c r="TXS1510"/>
      <c r="TXT1510"/>
      <c r="TXU1510"/>
      <c r="TXV1510"/>
      <c r="TXW1510"/>
      <c r="TXX1510"/>
      <c r="TXY1510"/>
      <c r="TXZ1510"/>
      <c r="TYA1510"/>
      <c r="TYB1510"/>
      <c r="TYC1510"/>
      <c r="TYD1510"/>
      <c r="TYE1510"/>
      <c r="TYF1510"/>
      <c r="TYG1510"/>
      <c r="TYH1510"/>
      <c r="TYI1510"/>
      <c r="TYJ1510"/>
      <c r="TYK1510"/>
      <c r="TYL1510"/>
      <c r="TYM1510"/>
      <c r="TYN1510"/>
      <c r="TYO1510"/>
      <c r="TYP1510"/>
      <c r="TYQ1510"/>
      <c r="TYR1510"/>
      <c r="TYS1510"/>
      <c r="TYT1510"/>
      <c r="TYU1510"/>
      <c r="TYV1510"/>
      <c r="TYW1510"/>
      <c r="TYX1510"/>
      <c r="TYY1510"/>
      <c r="TYZ1510"/>
      <c r="TZA1510"/>
      <c r="TZB1510"/>
      <c r="TZC1510"/>
      <c r="TZD1510"/>
      <c r="TZE1510"/>
      <c r="TZF1510"/>
      <c r="TZG1510"/>
      <c r="TZH1510"/>
      <c r="TZI1510"/>
      <c r="TZJ1510"/>
      <c r="TZK1510"/>
      <c r="TZL1510"/>
      <c r="TZM1510"/>
      <c r="TZN1510"/>
      <c r="TZO1510"/>
      <c r="TZP1510"/>
      <c r="TZQ1510"/>
      <c r="TZR1510"/>
      <c r="TZS1510"/>
      <c r="TZT1510"/>
      <c r="TZU1510"/>
      <c r="TZV1510"/>
      <c r="TZW1510"/>
      <c r="TZX1510"/>
      <c r="TZY1510"/>
      <c r="TZZ1510"/>
      <c r="UAA1510"/>
      <c r="UAB1510"/>
      <c r="UAC1510"/>
      <c r="UAD1510"/>
      <c r="UAE1510"/>
      <c r="UAF1510"/>
      <c r="UAG1510"/>
      <c r="UAH1510"/>
      <c r="UAI1510"/>
      <c r="UAJ1510"/>
      <c r="UAK1510"/>
      <c r="UAL1510"/>
      <c r="UAM1510"/>
      <c r="UAN1510"/>
      <c r="UAO1510"/>
      <c r="UAP1510"/>
      <c r="UAQ1510"/>
      <c r="UAR1510"/>
      <c r="UAS1510"/>
      <c r="UAT1510"/>
      <c r="UAU1510"/>
      <c r="UAV1510"/>
      <c r="UAW1510"/>
      <c r="UAX1510"/>
      <c r="UAY1510"/>
      <c r="UAZ1510"/>
      <c r="UBA1510"/>
      <c r="UBB1510"/>
      <c r="UBC1510"/>
      <c r="UBD1510"/>
      <c r="UBE1510"/>
      <c r="UBF1510"/>
      <c r="UBG1510"/>
      <c r="UBH1510"/>
      <c r="UBI1510"/>
      <c r="UBJ1510"/>
      <c r="UBK1510"/>
      <c r="UBL1510"/>
      <c r="UBM1510"/>
      <c r="UBN1510"/>
      <c r="UBO1510"/>
      <c r="UBP1510"/>
      <c r="UBQ1510"/>
      <c r="UBR1510"/>
      <c r="UBS1510"/>
      <c r="UBT1510"/>
      <c r="UBU1510"/>
      <c r="UBV1510"/>
      <c r="UBW1510"/>
      <c r="UBX1510"/>
      <c r="UBY1510"/>
      <c r="UBZ1510"/>
      <c r="UCA1510"/>
      <c r="UCB1510"/>
      <c r="UCC1510"/>
      <c r="UCD1510"/>
      <c r="UCE1510"/>
      <c r="UCF1510"/>
      <c r="UCG1510"/>
      <c r="UCH1510"/>
      <c r="UCI1510"/>
      <c r="UCJ1510"/>
      <c r="UCK1510"/>
      <c r="UCL1510"/>
      <c r="UCM1510"/>
      <c r="UCN1510"/>
      <c r="UCO1510"/>
      <c r="UCP1510"/>
      <c r="UCQ1510"/>
      <c r="UCR1510"/>
      <c r="UCS1510"/>
      <c r="UCT1510"/>
      <c r="UCU1510"/>
      <c r="UCV1510"/>
      <c r="UCW1510"/>
      <c r="UCX1510"/>
      <c r="UCY1510"/>
      <c r="UCZ1510"/>
      <c r="UDA1510"/>
      <c r="UDB1510"/>
      <c r="UDC1510"/>
      <c r="UDD1510"/>
      <c r="UDE1510"/>
      <c r="UDF1510"/>
      <c r="UDG1510"/>
      <c r="UDH1510"/>
      <c r="UDI1510"/>
      <c r="UDJ1510"/>
      <c r="UDK1510"/>
      <c r="UDL1510"/>
      <c r="UDM1510"/>
      <c r="UDN1510"/>
      <c r="UDO1510"/>
      <c r="UDP1510"/>
      <c r="UDQ1510"/>
      <c r="UDR1510"/>
      <c r="UDS1510"/>
      <c r="UDT1510"/>
      <c r="UDU1510"/>
      <c r="UDV1510"/>
      <c r="UDW1510"/>
      <c r="UDX1510"/>
      <c r="UDY1510"/>
      <c r="UDZ1510"/>
      <c r="UEA1510"/>
      <c r="UEB1510"/>
      <c r="UEC1510"/>
      <c r="UED1510"/>
      <c r="UEE1510"/>
      <c r="UEF1510"/>
      <c r="UEG1510"/>
      <c r="UEH1510"/>
      <c r="UEI1510"/>
      <c r="UEJ1510"/>
      <c r="UEK1510"/>
      <c r="UEL1510"/>
      <c r="UEM1510"/>
      <c r="UEN1510"/>
      <c r="UEO1510"/>
      <c r="UEP1510"/>
      <c r="UEQ1510"/>
      <c r="UER1510"/>
      <c r="UES1510"/>
      <c r="UET1510"/>
      <c r="UEU1510"/>
      <c r="UEV1510"/>
      <c r="UEW1510"/>
      <c r="UEX1510"/>
      <c r="UEY1510"/>
      <c r="UEZ1510"/>
      <c r="UFA1510"/>
      <c r="UFB1510"/>
      <c r="UFC1510"/>
      <c r="UFD1510"/>
      <c r="UFE1510"/>
      <c r="UFF1510"/>
      <c r="UFG1510"/>
      <c r="UFH1510"/>
      <c r="UFI1510"/>
      <c r="UFJ1510"/>
      <c r="UFK1510"/>
      <c r="UFL1510"/>
      <c r="UFM1510"/>
      <c r="UFN1510"/>
      <c r="UFO1510"/>
      <c r="UFP1510"/>
      <c r="UFQ1510"/>
      <c r="UFR1510"/>
      <c r="UFS1510"/>
      <c r="UFT1510"/>
      <c r="UFU1510"/>
      <c r="UFV1510"/>
      <c r="UFW1510"/>
      <c r="UFX1510"/>
      <c r="UFY1510"/>
      <c r="UFZ1510"/>
      <c r="UGA1510"/>
      <c r="UGB1510"/>
      <c r="UGC1510"/>
      <c r="UGD1510"/>
      <c r="UGE1510"/>
      <c r="UGF1510"/>
      <c r="UGG1510"/>
      <c r="UGH1510"/>
      <c r="UGI1510"/>
      <c r="UGJ1510"/>
      <c r="UGK1510"/>
      <c r="UGL1510"/>
      <c r="UGM1510"/>
      <c r="UGN1510"/>
      <c r="UGO1510"/>
      <c r="UGP1510"/>
      <c r="UGQ1510"/>
      <c r="UGR1510"/>
      <c r="UGS1510"/>
      <c r="UGT1510"/>
      <c r="UGU1510"/>
      <c r="UGV1510"/>
      <c r="UGW1510"/>
      <c r="UGX1510"/>
      <c r="UGY1510"/>
      <c r="UGZ1510"/>
      <c r="UHA1510"/>
      <c r="UHB1510"/>
      <c r="UHC1510"/>
      <c r="UHD1510"/>
      <c r="UHE1510"/>
      <c r="UHF1510"/>
      <c r="UHG1510"/>
      <c r="UHH1510"/>
      <c r="UHI1510"/>
      <c r="UHJ1510"/>
      <c r="UHK1510"/>
      <c r="UHL1510"/>
      <c r="UHM1510"/>
      <c r="UHN1510"/>
      <c r="UHO1510"/>
      <c r="UHP1510"/>
      <c r="UHQ1510"/>
      <c r="UHR1510"/>
      <c r="UHS1510"/>
      <c r="UHT1510"/>
      <c r="UHU1510"/>
      <c r="UHV1510"/>
      <c r="UHW1510"/>
      <c r="UHX1510"/>
      <c r="UHY1510"/>
      <c r="UHZ1510"/>
      <c r="UIA1510"/>
      <c r="UIB1510"/>
      <c r="UIC1510"/>
      <c r="UID1510"/>
      <c r="UIE1510"/>
      <c r="UIF1510"/>
      <c r="UIG1510"/>
      <c r="UIH1510"/>
      <c r="UII1510"/>
      <c r="UIJ1510"/>
      <c r="UIK1510"/>
      <c r="UIL1510"/>
      <c r="UIM1510"/>
      <c r="UIN1510"/>
      <c r="UIO1510"/>
      <c r="UIP1510"/>
      <c r="UIQ1510"/>
      <c r="UIR1510"/>
      <c r="UIS1510"/>
      <c r="UIT1510"/>
      <c r="UIU1510"/>
      <c r="UIV1510"/>
      <c r="UIW1510"/>
      <c r="UIX1510"/>
      <c r="UIY1510"/>
      <c r="UIZ1510"/>
      <c r="UJA1510"/>
      <c r="UJB1510"/>
      <c r="UJC1510"/>
      <c r="UJD1510"/>
      <c r="UJE1510"/>
      <c r="UJF1510"/>
      <c r="UJG1510"/>
      <c r="UJH1510"/>
      <c r="UJI1510"/>
      <c r="UJJ1510"/>
      <c r="UJK1510"/>
      <c r="UJL1510"/>
      <c r="UJM1510"/>
      <c r="UJN1510"/>
      <c r="UJO1510"/>
      <c r="UJP1510"/>
      <c r="UJQ1510"/>
      <c r="UJR1510"/>
      <c r="UJS1510"/>
      <c r="UJT1510"/>
      <c r="UJU1510"/>
      <c r="UJV1510"/>
      <c r="UJW1510"/>
      <c r="UJX1510"/>
      <c r="UJY1510"/>
      <c r="UJZ1510"/>
      <c r="UKA1510"/>
      <c r="UKB1510"/>
      <c r="UKC1510"/>
      <c r="UKD1510"/>
      <c r="UKE1510"/>
      <c r="UKF1510"/>
      <c r="UKG1510"/>
      <c r="UKH1510"/>
      <c r="UKI1510"/>
      <c r="UKJ1510"/>
      <c r="UKK1510"/>
      <c r="UKL1510"/>
      <c r="UKM1510"/>
      <c r="UKN1510"/>
      <c r="UKO1510"/>
      <c r="UKP1510"/>
      <c r="UKQ1510"/>
      <c r="UKR1510"/>
      <c r="UKS1510"/>
      <c r="UKT1510"/>
      <c r="UKU1510"/>
      <c r="UKV1510"/>
      <c r="UKW1510"/>
      <c r="UKX1510"/>
      <c r="UKY1510"/>
      <c r="UKZ1510"/>
      <c r="ULA1510"/>
      <c r="ULB1510"/>
      <c r="ULC1510"/>
      <c r="ULD1510"/>
      <c r="ULE1510"/>
      <c r="ULF1510"/>
      <c r="ULG1510"/>
      <c r="ULH1510"/>
      <c r="ULI1510"/>
      <c r="ULJ1510"/>
      <c r="ULK1510"/>
      <c r="ULL1510"/>
      <c r="ULM1510"/>
      <c r="ULN1510"/>
      <c r="ULO1510"/>
      <c r="ULP1510"/>
      <c r="ULQ1510"/>
      <c r="ULR1510"/>
      <c r="ULS1510"/>
      <c r="ULT1510"/>
      <c r="ULU1510"/>
      <c r="ULV1510"/>
      <c r="ULW1510"/>
      <c r="ULX1510"/>
      <c r="ULY1510"/>
      <c r="ULZ1510"/>
      <c r="UMA1510"/>
      <c r="UMB1510"/>
      <c r="UMC1510"/>
      <c r="UMD1510"/>
      <c r="UME1510"/>
      <c r="UMF1510"/>
      <c r="UMG1510"/>
      <c r="UMH1510"/>
      <c r="UMI1510"/>
      <c r="UMJ1510"/>
      <c r="UMK1510"/>
      <c r="UML1510"/>
      <c r="UMM1510"/>
      <c r="UMN1510"/>
      <c r="UMO1510"/>
      <c r="UMP1510"/>
      <c r="UMQ1510"/>
      <c r="UMR1510"/>
      <c r="UMS1510"/>
      <c r="UMT1510"/>
      <c r="UMU1510"/>
      <c r="UMV1510"/>
      <c r="UMW1510"/>
      <c r="UMX1510"/>
      <c r="UMY1510"/>
      <c r="UMZ1510"/>
      <c r="UNA1510"/>
      <c r="UNB1510"/>
      <c r="UNC1510"/>
      <c r="UND1510"/>
      <c r="UNE1510"/>
      <c r="UNF1510"/>
      <c r="UNG1510"/>
      <c r="UNH1510"/>
      <c r="UNI1510"/>
      <c r="UNJ1510"/>
      <c r="UNK1510"/>
      <c r="UNL1510"/>
      <c r="UNM1510"/>
      <c r="UNN1510"/>
      <c r="UNO1510"/>
      <c r="UNP1510"/>
      <c r="UNQ1510"/>
      <c r="UNR1510"/>
      <c r="UNS1510"/>
      <c r="UNT1510"/>
      <c r="UNU1510"/>
      <c r="UNV1510"/>
      <c r="UNW1510"/>
      <c r="UNX1510"/>
      <c r="UNY1510"/>
      <c r="UNZ1510"/>
      <c r="UOA1510"/>
      <c r="UOB1510"/>
      <c r="UOC1510"/>
      <c r="UOD1510"/>
      <c r="UOE1510"/>
      <c r="UOF1510"/>
      <c r="UOG1510"/>
      <c r="UOH1510"/>
      <c r="UOI1510"/>
      <c r="UOJ1510"/>
      <c r="UOK1510"/>
      <c r="UOL1510"/>
      <c r="UOM1510"/>
      <c r="UON1510"/>
      <c r="UOO1510"/>
      <c r="UOP1510"/>
      <c r="UOQ1510"/>
      <c r="UOR1510"/>
      <c r="UOS1510"/>
      <c r="UOT1510"/>
      <c r="UOU1510"/>
      <c r="UOV1510"/>
      <c r="UOW1510"/>
      <c r="UOX1510"/>
      <c r="UOY1510"/>
      <c r="UOZ1510"/>
      <c r="UPA1510"/>
      <c r="UPB1510"/>
      <c r="UPC1510"/>
      <c r="UPD1510"/>
      <c r="UPE1510"/>
      <c r="UPF1510"/>
      <c r="UPG1510"/>
      <c r="UPH1510"/>
      <c r="UPI1510"/>
      <c r="UPJ1510"/>
      <c r="UPK1510"/>
      <c r="UPL1510"/>
      <c r="UPM1510"/>
      <c r="UPN1510"/>
      <c r="UPO1510"/>
      <c r="UPP1510"/>
      <c r="UPQ1510"/>
      <c r="UPR1510"/>
      <c r="UPS1510"/>
      <c r="UPT1510"/>
      <c r="UPU1510"/>
      <c r="UPV1510"/>
      <c r="UPW1510"/>
      <c r="UPX1510"/>
      <c r="UPY1510"/>
      <c r="UPZ1510"/>
      <c r="UQA1510"/>
      <c r="UQB1510"/>
      <c r="UQC1510"/>
      <c r="UQD1510"/>
      <c r="UQE1510"/>
      <c r="UQF1510"/>
      <c r="UQG1510"/>
      <c r="UQH1510"/>
      <c r="UQI1510"/>
      <c r="UQJ1510"/>
      <c r="UQK1510"/>
      <c r="UQL1510"/>
      <c r="UQM1510"/>
      <c r="UQN1510"/>
      <c r="UQO1510"/>
      <c r="UQP1510"/>
      <c r="UQQ1510"/>
      <c r="UQR1510"/>
      <c r="UQS1510"/>
      <c r="UQT1510"/>
      <c r="UQU1510"/>
      <c r="UQV1510"/>
      <c r="UQW1510"/>
      <c r="UQX1510"/>
      <c r="UQY1510"/>
      <c r="UQZ1510"/>
      <c r="URA1510"/>
      <c r="URB1510"/>
      <c r="URC1510"/>
      <c r="URD1510"/>
      <c r="URE1510"/>
      <c r="URF1510"/>
      <c r="URG1510"/>
      <c r="URH1510"/>
      <c r="URI1510"/>
      <c r="URJ1510"/>
      <c r="URK1510"/>
      <c r="URL1510"/>
      <c r="URM1510"/>
      <c r="URN1510"/>
      <c r="URO1510"/>
      <c r="URP1510"/>
      <c r="URQ1510"/>
      <c r="URR1510"/>
      <c r="URS1510"/>
      <c r="URT1510"/>
      <c r="URU1510"/>
      <c r="URV1510"/>
      <c r="URW1510"/>
      <c r="URX1510"/>
      <c r="URY1510"/>
      <c r="URZ1510"/>
      <c r="USA1510"/>
      <c r="USB1510"/>
      <c r="USC1510"/>
      <c r="USD1510"/>
      <c r="USE1510"/>
      <c r="USF1510"/>
      <c r="USG1510"/>
      <c r="USH1510"/>
      <c r="USI1510"/>
      <c r="USJ1510"/>
      <c r="USK1510"/>
      <c r="USL1510"/>
      <c r="USM1510"/>
      <c r="USN1510"/>
      <c r="USO1510"/>
      <c r="USP1510"/>
      <c r="USQ1510"/>
      <c r="USR1510"/>
      <c r="USS1510"/>
      <c r="UST1510"/>
      <c r="USU1510"/>
      <c r="USV1510"/>
      <c r="USW1510"/>
      <c r="USX1510"/>
      <c r="USY1510"/>
      <c r="USZ1510"/>
      <c r="UTA1510"/>
      <c r="UTB1510"/>
      <c r="UTC1510"/>
      <c r="UTD1510"/>
      <c r="UTE1510"/>
      <c r="UTF1510"/>
      <c r="UTG1510"/>
      <c r="UTH1510"/>
      <c r="UTI1510"/>
      <c r="UTJ1510"/>
      <c r="UTK1510"/>
      <c r="UTL1510"/>
      <c r="UTM1510"/>
      <c r="UTN1510"/>
      <c r="UTO1510"/>
      <c r="UTP1510"/>
      <c r="UTQ1510"/>
      <c r="UTR1510"/>
      <c r="UTS1510"/>
      <c r="UTT1510"/>
      <c r="UTU1510"/>
      <c r="UTV1510"/>
      <c r="UTW1510"/>
      <c r="UTX1510"/>
      <c r="UTY1510"/>
      <c r="UTZ1510"/>
      <c r="UUA1510"/>
      <c r="UUB1510"/>
      <c r="UUC1510"/>
      <c r="UUD1510"/>
      <c r="UUE1510"/>
      <c r="UUF1510"/>
      <c r="UUG1510"/>
      <c r="UUH1510"/>
      <c r="UUI1510"/>
      <c r="UUJ1510"/>
      <c r="UUK1510"/>
      <c r="UUL1510"/>
      <c r="UUM1510"/>
      <c r="UUN1510"/>
      <c r="UUO1510"/>
      <c r="UUP1510"/>
      <c r="UUQ1510"/>
      <c r="UUR1510"/>
      <c r="UUS1510"/>
      <c r="UUT1510"/>
      <c r="UUU1510"/>
      <c r="UUV1510"/>
      <c r="UUW1510"/>
      <c r="UUX1510"/>
      <c r="UUY1510"/>
      <c r="UUZ1510"/>
      <c r="UVA1510"/>
      <c r="UVB1510"/>
      <c r="UVC1510"/>
      <c r="UVD1510"/>
      <c r="UVE1510"/>
      <c r="UVF1510"/>
      <c r="UVG1510"/>
      <c r="UVH1510"/>
      <c r="UVI1510"/>
      <c r="UVJ1510"/>
      <c r="UVK1510"/>
      <c r="UVL1510"/>
      <c r="UVM1510"/>
      <c r="UVN1510"/>
      <c r="UVO1510"/>
      <c r="UVP1510"/>
      <c r="UVQ1510"/>
      <c r="UVR1510"/>
      <c r="UVS1510"/>
      <c r="UVT1510"/>
      <c r="UVU1510"/>
      <c r="UVV1510"/>
      <c r="UVW1510"/>
      <c r="UVX1510"/>
      <c r="UVY1510"/>
      <c r="UVZ1510"/>
      <c r="UWA1510"/>
      <c r="UWB1510"/>
      <c r="UWC1510"/>
      <c r="UWD1510"/>
      <c r="UWE1510"/>
      <c r="UWF1510"/>
      <c r="UWG1510"/>
      <c r="UWH1510"/>
      <c r="UWI1510"/>
      <c r="UWJ1510"/>
      <c r="UWK1510"/>
      <c r="UWL1510"/>
      <c r="UWM1510"/>
      <c r="UWN1510"/>
      <c r="UWO1510"/>
      <c r="UWP1510"/>
      <c r="UWQ1510"/>
      <c r="UWR1510"/>
      <c r="UWS1510"/>
      <c r="UWT1510"/>
      <c r="UWU1510"/>
      <c r="UWV1510"/>
      <c r="UWW1510"/>
      <c r="UWX1510"/>
      <c r="UWY1510"/>
      <c r="UWZ1510"/>
      <c r="UXA1510"/>
      <c r="UXB1510"/>
      <c r="UXC1510"/>
      <c r="UXD1510"/>
      <c r="UXE1510"/>
      <c r="UXF1510"/>
      <c r="UXG1510"/>
      <c r="UXH1510"/>
      <c r="UXI1510"/>
      <c r="UXJ1510"/>
      <c r="UXK1510"/>
      <c r="UXL1510"/>
      <c r="UXM1510"/>
      <c r="UXN1510"/>
      <c r="UXO1510"/>
      <c r="UXP1510"/>
      <c r="UXQ1510"/>
      <c r="UXR1510"/>
      <c r="UXS1510"/>
      <c r="UXT1510"/>
      <c r="UXU1510"/>
      <c r="UXV1510"/>
      <c r="UXW1510"/>
      <c r="UXX1510"/>
      <c r="UXY1510"/>
      <c r="UXZ1510"/>
      <c r="UYA1510"/>
      <c r="UYB1510"/>
      <c r="UYC1510"/>
      <c r="UYD1510"/>
      <c r="UYE1510"/>
      <c r="UYF1510"/>
      <c r="UYG1510"/>
      <c r="UYH1510"/>
      <c r="UYI1510"/>
      <c r="UYJ1510"/>
      <c r="UYK1510"/>
      <c r="UYL1510"/>
      <c r="UYM1510"/>
      <c r="UYN1510"/>
      <c r="UYO1510"/>
      <c r="UYP1510"/>
      <c r="UYQ1510"/>
      <c r="UYR1510"/>
      <c r="UYS1510"/>
      <c r="UYT1510"/>
      <c r="UYU1510"/>
      <c r="UYV1510"/>
      <c r="UYW1510"/>
      <c r="UYX1510"/>
      <c r="UYY1510"/>
      <c r="UYZ1510"/>
      <c r="UZA1510"/>
      <c r="UZB1510"/>
      <c r="UZC1510"/>
      <c r="UZD1510"/>
      <c r="UZE1510"/>
      <c r="UZF1510"/>
      <c r="UZG1510"/>
      <c r="UZH1510"/>
      <c r="UZI1510"/>
      <c r="UZJ1510"/>
      <c r="UZK1510"/>
      <c r="UZL1510"/>
      <c r="UZM1510"/>
      <c r="UZN1510"/>
      <c r="UZO1510"/>
      <c r="UZP1510"/>
      <c r="UZQ1510"/>
      <c r="UZR1510"/>
      <c r="UZS1510"/>
      <c r="UZT1510"/>
      <c r="UZU1510"/>
      <c r="UZV1510"/>
      <c r="UZW1510"/>
      <c r="UZX1510"/>
      <c r="UZY1510"/>
      <c r="UZZ1510"/>
      <c r="VAA1510"/>
      <c r="VAB1510"/>
      <c r="VAC1510"/>
      <c r="VAD1510"/>
      <c r="VAE1510"/>
      <c r="VAF1510"/>
      <c r="VAG1510"/>
      <c r="VAH1510"/>
      <c r="VAI1510"/>
      <c r="VAJ1510"/>
      <c r="VAK1510"/>
      <c r="VAL1510"/>
      <c r="VAM1510"/>
      <c r="VAN1510"/>
      <c r="VAO1510"/>
      <c r="VAP1510"/>
      <c r="VAQ1510"/>
      <c r="VAR1510"/>
      <c r="VAS1510"/>
      <c r="VAT1510"/>
      <c r="VAU1510"/>
      <c r="VAV1510"/>
      <c r="VAW1510"/>
      <c r="VAX1510"/>
      <c r="VAY1510"/>
      <c r="VAZ1510"/>
      <c r="VBA1510"/>
      <c r="VBB1510"/>
      <c r="VBC1510"/>
      <c r="VBD1510"/>
      <c r="VBE1510"/>
      <c r="VBF1510"/>
      <c r="VBG1510"/>
      <c r="VBH1510"/>
      <c r="VBI1510"/>
      <c r="VBJ1510"/>
      <c r="VBK1510"/>
      <c r="VBL1510"/>
      <c r="VBM1510"/>
      <c r="VBN1510"/>
      <c r="VBO1510"/>
      <c r="VBP1510"/>
      <c r="VBQ1510"/>
      <c r="VBR1510"/>
      <c r="VBS1510"/>
      <c r="VBT1510"/>
      <c r="VBU1510"/>
      <c r="VBV1510"/>
      <c r="VBW1510"/>
      <c r="VBX1510"/>
      <c r="VBY1510"/>
      <c r="VBZ1510"/>
      <c r="VCA1510"/>
      <c r="VCB1510"/>
      <c r="VCC1510"/>
      <c r="VCD1510"/>
      <c r="VCE1510"/>
      <c r="VCF1510"/>
      <c r="VCG1510"/>
      <c r="VCH1510"/>
      <c r="VCI1510"/>
      <c r="VCJ1510"/>
      <c r="VCK1510"/>
      <c r="VCL1510"/>
      <c r="VCM1510"/>
      <c r="VCN1510"/>
      <c r="VCO1510"/>
      <c r="VCP1510"/>
      <c r="VCQ1510"/>
      <c r="VCR1510"/>
      <c r="VCS1510"/>
      <c r="VCT1510"/>
      <c r="VCU1510"/>
      <c r="VCV1510"/>
      <c r="VCW1510"/>
      <c r="VCX1510"/>
      <c r="VCY1510"/>
      <c r="VCZ1510"/>
      <c r="VDA1510"/>
      <c r="VDB1510"/>
      <c r="VDC1510"/>
      <c r="VDD1510"/>
      <c r="VDE1510"/>
      <c r="VDF1510"/>
      <c r="VDG1510"/>
      <c r="VDH1510"/>
      <c r="VDI1510"/>
      <c r="VDJ1510"/>
      <c r="VDK1510"/>
      <c r="VDL1510"/>
      <c r="VDM1510"/>
      <c r="VDN1510"/>
      <c r="VDO1510"/>
      <c r="VDP1510"/>
      <c r="VDQ1510"/>
      <c r="VDR1510"/>
      <c r="VDS1510"/>
      <c r="VDT1510"/>
      <c r="VDU1510"/>
      <c r="VDV1510"/>
      <c r="VDW1510"/>
      <c r="VDX1510"/>
      <c r="VDY1510"/>
      <c r="VDZ1510"/>
      <c r="VEA1510"/>
      <c r="VEB1510"/>
      <c r="VEC1510"/>
      <c r="VED1510"/>
      <c r="VEE1510"/>
      <c r="VEF1510"/>
      <c r="VEG1510"/>
      <c r="VEH1510"/>
      <c r="VEI1510"/>
      <c r="VEJ1510"/>
      <c r="VEK1510"/>
      <c r="VEL1510"/>
      <c r="VEM1510"/>
      <c r="VEN1510"/>
      <c r="VEO1510"/>
      <c r="VEP1510"/>
      <c r="VEQ1510"/>
      <c r="VER1510"/>
      <c r="VES1510"/>
      <c r="VET1510"/>
      <c r="VEU1510"/>
      <c r="VEV1510"/>
      <c r="VEW1510"/>
      <c r="VEX1510"/>
      <c r="VEY1510"/>
      <c r="VEZ1510"/>
      <c r="VFA1510"/>
      <c r="VFB1510"/>
      <c r="VFC1510"/>
      <c r="VFD1510"/>
      <c r="VFE1510"/>
      <c r="VFF1510"/>
      <c r="VFG1510"/>
      <c r="VFH1510"/>
      <c r="VFI1510"/>
      <c r="VFJ1510"/>
      <c r="VFK1510"/>
      <c r="VFL1510"/>
      <c r="VFM1510"/>
      <c r="VFN1510"/>
      <c r="VFO1510"/>
      <c r="VFP1510"/>
      <c r="VFQ1510"/>
      <c r="VFR1510"/>
      <c r="VFS1510"/>
      <c r="VFT1510"/>
      <c r="VFU1510"/>
      <c r="VFV1510"/>
      <c r="VFW1510"/>
      <c r="VFX1510"/>
      <c r="VFY1510"/>
      <c r="VFZ1510"/>
      <c r="VGA1510"/>
      <c r="VGB1510"/>
      <c r="VGC1510"/>
      <c r="VGD1510"/>
      <c r="VGE1510"/>
      <c r="VGF1510"/>
      <c r="VGG1510"/>
      <c r="VGH1510"/>
      <c r="VGI1510"/>
      <c r="VGJ1510"/>
      <c r="VGK1510"/>
      <c r="VGL1510"/>
      <c r="VGM1510"/>
      <c r="VGN1510"/>
      <c r="VGO1510"/>
      <c r="VGP1510"/>
      <c r="VGQ1510"/>
      <c r="VGR1510"/>
      <c r="VGS1510"/>
      <c r="VGT1510"/>
      <c r="VGU1510"/>
      <c r="VGV1510"/>
      <c r="VGW1510"/>
      <c r="VGX1510"/>
      <c r="VGY1510"/>
      <c r="VGZ1510"/>
      <c r="VHA1510"/>
      <c r="VHB1510"/>
      <c r="VHC1510"/>
      <c r="VHD1510"/>
      <c r="VHE1510"/>
      <c r="VHF1510"/>
      <c r="VHG1510"/>
      <c r="VHH1510"/>
      <c r="VHI1510"/>
      <c r="VHJ1510"/>
      <c r="VHK1510"/>
      <c r="VHL1510"/>
      <c r="VHM1510"/>
      <c r="VHN1510"/>
      <c r="VHO1510"/>
      <c r="VHP1510"/>
      <c r="VHQ1510"/>
      <c r="VHR1510"/>
      <c r="VHS1510"/>
      <c r="VHT1510"/>
      <c r="VHU1510"/>
      <c r="VHV1510"/>
      <c r="VHW1510"/>
      <c r="VHX1510"/>
      <c r="VHY1510"/>
      <c r="VHZ1510"/>
      <c r="VIA1510"/>
      <c r="VIB1510"/>
      <c r="VIC1510"/>
      <c r="VID1510"/>
      <c r="VIE1510"/>
      <c r="VIF1510"/>
      <c r="VIG1510"/>
      <c r="VIH1510"/>
      <c r="VII1510"/>
      <c r="VIJ1510"/>
      <c r="VIK1510"/>
      <c r="VIL1510"/>
      <c r="VIM1510"/>
      <c r="VIN1510"/>
      <c r="VIO1510"/>
      <c r="VIP1510"/>
      <c r="VIQ1510"/>
      <c r="VIR1510"/>
      <c r="VIS1510"/>
      <c r="VIT1510"/>
      <c r="VIU1510"/>
      <c r="VIV1510"/>
      <c r="VIW1510"/>
      <c r="VIX1510"/>
      <c r="VIY1510"/>
      <c r="VIZ1510"/>
      <c r="VJA1510"/>
      <c r="VJB1510"/>
      <c r="VJC1510"/>
      <c r="VJD1510"/>
      <c r="VJE1510"/>
      <c r="VJF1510"/>
      <c r="VJG1510"/>
      <c r="VJH1510"/>
      <c r="VJI1510"/>
      <c r="VJJ1510"/>
      <c r="VJK1510"/>
      <c r="VJL1510"/>
      <c r="VJM1510"/>
      <c r="VJN1510"/>
      <c r="VJO1510"/>
      <c r="VJP1510"/>
      <c r="VJQ1510"/>
      <c r="VJR1510"/>
      <c r="VJS1510"/>
      <c r="VJT1510"/>
      <c r="VJU1510"/>
      <c r="VJV1510"/>
      <c r="VJW1510"/>
      <c r="VJX1510"/>
      <c r="VJY1510"/>
      <c r="VJZ1510"/>
      <c r="VKA1510"/>
      <c r="VKB1510"/>
      <c r="VKC1510"/>
      <c r="VKD1510"/>
      <c r="VKE1510"/>
      <c r="VKF1510"/>
      <c r="VKG1510"/>
      <c r="VKH1510"/>
      <c r="VKI1510"/>
      <c r="VKJ1510"/>
      <c r="VKK1510"/>
      <c r="VKL1510"/>
      <c r="VKM1510"/>
      <c r="VKN1510"/>
      <c r="VKO1510"/>
      <c r="VKP1510"/>
      <c r="VKQ1510"/>
      <c r="VKR1510"/>
      <c r="VKS1510"/>
      <c r="VKT1510"/>
      <c r="VKU1510"/>
      <c r="VKV1510"/>
      <c r="VKW1510"/>
      <c r="VKX1510"/>
      <c r="VKY1510"/>
      <c r="VKZ1510"/>
      <c r="VLA1510"/>
      <c r="VLB1510"/>
      <c r="VLC1510"/>
      <c r="VLD1510"/>
      <c r="VLE1510"/>
      <c r="VLF1510"/>
      <c r="VLG1510"/>
      <c r="VLH1510"/>
      <c r="VLI1510"/>
      <c r="VLJ1510"/>
      <c r="VLK1510"/>
      <c r="VLL1510"/>
      <c r="VLM1510"/>
      <c r="VLN1510"/>
      <c r="VLO1510"/>
      <c r="VLP1510"/>
      <c r="VLQ1510"/>
      <c r="VLR1510"/>
      <c r="VLS1510"/>
      <c r="VLT1510"/>
      <c r="VLU1510"/>
      <c r="VLV1510"/>
      <c r="VLW1510"/>
      <c r="VLX1510"/>
      <c r="VLY1510"/>
      <c r="VLZ1510"/>
      <c r="VMA1510"/>
      <c r="VMB1510"/>
      <c r="VMC1510"/>
      <c r="VMD1510"/>
      <c r="VME1510"/>
      <c r="VMF1510"/>
      <c r="VMG1510"/>
      <c r="VMH1510"/>
      <c r="VMI1510"/>
      <c r="VMJ1510"/>
      <c r="VMK1510"/>
      <c r="VML1510"/>
      <c r="VMM1510"/>
      <c r="VMN1510"/>
      <c r="VMO1510"/>
      <c r="VMP1510"/>
      <c r="VMQ1510"/>
      <c r="VMR1510"/>
      <c r="VMS1510"/>
      <c r="VMT1510"/>
      <c r="VMU1510"/>
      <c r="VMV1510"/>
      <c r="VMW1510"/>
      <c r="VMX1510"/>
      <c r="VMY1510"/>
      <c r="VMZ1510"/>
      <c r="VNA1510"/>
      <c r="VNB1510"/>
      <c r="VNC1510"/>
      <c r="VND1510"/>
      <c r="VNE1510"/>
      <c r="VNF1510"/>
      <c r="VNG1510"/>
      <c r="VNH1510"/>
      <c r="VNI1510"/>
      <c r="VNJ1510"/>
      <c r="VNK1510"/>
      <c r="VNL1510"/>
      <c r="VNM1510"/>
      <c r="VNN1510"/>
      <c r="VNO1510"/>
      <c r="VNP1510"/>
      <c r="VNQ1510"/>
      <c r="VNR1510"/>
      <c r="VNS1510"/>
      <c r="VNT1510"/>
      <c r="VNU1510"/>
      <c r="VNV1510"/>
      <c r="VNW1510"/>
      <c r="VNX1510"/>
      <c r="VNY1510"/>
      <c r="VNZ1510"/>
      <c r="VOA1510"/>
      <c r="VOB1510"/>
      <c r="VOC1510"/>
      <c r="VOD1510"/>
      <c r="VOE1510"/>
      <c r="VOF1510"/>
      <c r="VOG1510"/>
      <c r="VOH1510"/>
      <c r="VOI1510"/>
      <c r="VOJ1510"/>
      <c r="VOK1510"/>
      <c r="VOL1510"/>
      <c r="VOM1510"/>
      <c r="VON1510"/>
      <c r="VOO1510"/>
      <c r="VOP1510"/>
      <c r="VOQ1510"/>
      <c r="VOR1510"/>
      <c r="VOS1510"/>
      <c r="VOT1510"/>
      <c r="VOU1510"/>
      <c r="VOV1510"/>
      <c r="VOW1510"/>
      <c r="VOX1510"/>
      <c r="VOY1510"/>
      <c r="VOZ1510"/>
      <c r="VPA1510"/>
      <c r="VPB1510"/>
      <c r="VPC1510"/>
      <c r="VPD1510"/>
      <c r="VPE1510"/>
      <c r="VPF1510"/>
      <c r="VPG1510"/>
      <c r="VPH1510"/>
      <c r="VPI1510"/>
      <c r="VPJ1510"/>
      <c r="VPK1510"/>
      <c r="VPL1510"/>
      <c r="VPM1510"/>
      <c r="VPN1510"/>
      <c r="VPO1510"/>
      <c r="VPP1510"/>
      <c r="VPQ1510"/>
      <c r="VPR1510"/>
      <c r="VPS1510"/>
      <c r="VPT1510"/>
      <c r="VPU1510"/>
      <c r="VPV1510"/>
      <c r="VPW1510"/>
      <c r="VPX1510"/>
      <c r="VPY1510"/>
      <c r="VPZ1510"/>
      <c r="VQA1510"/>
      <c r="VQB1510"/>
      <c r="VQC1510"/>
      <c r="VQD1510"/>
      <c r="VQE1510"/>
      <c r="VQF1510"/>
      <c r="VQG1510"/>
      <c r="VQH1510"/>
      <c r="VQI1510"/>
      <c r="VQJ1510"/>
      <c r="VQK1510"/>
      <c r="VQL1510"/>
      <c r="VQM1510"/>
      <c r="VQN1510"/>
      <c r="VQO1510"/>
      <c r="VQP1510"/>
      <c r="VQQ1510"/>
      <c r="VQR1510"/>
      <c r="VQS1510"/>
      <c r="VQT1510"/>
      <c r="VQU1510"/>
      <c r="VQV1510"/>
      <c r="VQW1510"/>
      <c r="VQX1510"/>
      <c r="VQY1510"/>
      <c r="VQZ1510"/>
      <c r="VRA1510"/>
      <c r="VRB1510"/>
      <c r="VRC1510"/>
      <c r="VRD1510"/>
      <c r="VRE1510"/>
      <c r="VRF1510"/>
      <c r="VRG1510"/>
      <c r="VRH1510"/>
      <c r="VRI1510"/>
      <c r="VRJ1510"/>
      <c r="VRK1510"/>
      <c r="VRL1510"/>
      <c r="VRM1510"/>
      <c r="VRN1510"/>
      <c r="VRO1510"/>
      <c r="VRP1510"/>
      <c r="VRQ1510"/>
      <c r="VRR1510"/>
      <c r="VRS1510"/>
      <c r="VRT1510"/>
      <c r="VRU1510"/>
      <c r="VRV1510"/>
      <c r="VRW1510"/>
      <c r="VRX1510"/>
      <c r="VRY1510"/>
      <c r="VRZ1510"/>
      <c r="VSA1510"/>
      <c r="VSB1510"/>
      <c r="VSC1510"/>
      <c r="VSD1510"/>
      <c r="VSE1510"/>
      <c r="VSF1510"/>
      <c r="VSG1510"/>
      <c r="VSH1510"/>
      <c r="VSI1510"/>
      <c r="VSJ1510"/>
      <c r="VSK1510"/>
      <c r="VSL1510"/>
      <c r="VSM1510"/>
      <c r="VSN1510"/>
      <c r="VSO1510"/>
      <c r="VSP1510"/>
      <c r="VSQ1510"/>
      <c r="VSR1510"/>
      <c r="VSS1510"/>
      <c r="VST1510"/>
      <c r="VSU1510"/>
      <c r="VSV1510"/>
      <c r="VSW1510"/>
      <c r="VSX1510"/>
      <c r="VSY1510"/>
      <c r="VSZ1510"/>
      <c r="VTA1510"/>
      <c r="VTB1510"/>
      <c r="VTC1510"/>
      <c r="VTD1510"/>
      <c r="VTE1510"/>
      <c r="VTF1510"/>
      <c r="VTG1510"/>
      <c r="VTH1510"/>
      <c r="VTI1510"/>
      <c r="VTJ1510"/>
      <c r="VTK1510"/>
      <c r="VTL1510"/>
      <c r="VTM1510"/>
      <c r="VTN1510"/>
      <c r="VTO1510"/>
      <c r="VTP1510"/>
      <c r="VTQ1510"/>
      <c r="VTR1510"/>
      <c r="VTS1510"/>
      <c r="VTT1510"/>
      <c r="VTU1510"/>
      <c r="VTV1510"/>
      <c r="VTW1510"/>
      <c r="VTX1510"/>
      <c r="VTY1510"/>
      <c r="VTZ1510"/>
      <c r="VUA1510"/>
      <c r="VUB1510"/>
      <c r="VUC1510"/>
      <c r="VUD1510"/>
      <c r="VUE1510"/>
      <c r="VUF1510"/>
      <c r="VUG1510"/>
      <c r="VUH1510"/>
      <c r="VUI1510"/>
      <c r="VUJ1510"/>
      <c r="VUK1510"/>
      <c r="VUL1510"/>
      <c r="VUM1510"/>
      <c r="VUN1510"/>
      <c r="VUO1510"/>
      <c r="VUP1510"/>
      <c r="VUQ1510"/>
      <c r="VUR1510"/>
      <c r="VUS1510"/>
      <c r="VUT1510"/>
      <c r="VUU1510"/>
      <c r="VUV1510"/>
      <c r="VUW1510"/>
      <c r="VUX1510"/>
      <c r="VUY1510"/>
      <c r="VUZ1510"/>
      <c r="VVA1510"/>
      <c r="VVB1510"/>
      <c r="VVC1510"/>
      <c r="VVD1510"/>
      <c r="VVE1510"/>
      <c r="VVF1510"/>
      <c r="VVG1510"/>
      <c r="VVH1510"/>
      <c r="VVI1510"/>
      <c r="VVJ1510"/>
      <c r="VVK1510"/>
      <c r="VVL1510"/>
      <c r="VVM1510"/>
      <c r="VVN1510"/>
      <c r="VVO1510"/>
      <c r="VVP1510"/>
      <c r="VVQ1510"/>
      <c r="VVR1510"/>
      <c r="VVS1510"/>
      <c r="VVT1510"/>
      <c r="VVU1510"/>
      <c r="VVV1510"/>
      <c r="VVW1510"/>
      <c r="VVX1510"/>
      <c r="VVY1510"/>
      <c r="VVZ1510"/>
      <c r="VWA1510"/>
      <c r="VWB1510"/>
      <c r="VWC1510"/>
      <c r="VWD1510"/>
      <c r="VWE1510"/>
      <c r="VWF1510"/>
      <c r="VWG1510"/>
      <c r="VWH1510"/>
      <c r="VWI1510"/>
      <c r="VWJ1510"/>
      <c r="VWK1510"/>
      <c r="VWL1510"/>
      <c r="VWM1510"/>
      <c r="VWN1510"/>
      <c r="VWO1510"/>
      <c r="VWP1510"/>
      <c r="VWQ1510"/>
      <c r="VWR1510"/>
      <c r="VWS1510"/>
      <c r="VWT1510"/>
      <c r="VWU1510"/>
      <c r="VWV1510"/>
      <c r="VWW1510"/>
      <c r="VWX1510"/>
      <c r="VWY1510"/>
      <c r="VWZ1510"/>
      <c r="VXA1510"/>
      <c r="VXB1510"/>
      <c r="VXC1510"/>
      <c r="VXD1510"/>
      <c r="VXE1510"/>
      <c r="VXF1510"/>
      <c r="VXG1510"/>
      <c r="VXH1510"/>
      <c r="VXI1510"/>
      <c r="VXJ1510"/>
      <c r="VXK1510"/>
      <c r="VXL1510"/>
      <c r="VXM1510"/>
      <c r="VXN1510"/>
      <c r="VXO1510"/>
      <c r="VXP1510"/>
      <c r="VXQ1510"/>
      <c r="VXR1510"/>
      <c r="VXS1510"/>
      <c r="VXT1510"/>
      <c r="VXU1510"/>
      <c r="VXV1510"/>
      <c r="VXW1510"/>
      <c r="VXX1510"/>
      <c r="VXY1510"/>
      <c r="VXZ1510"/>
      <c r="VYA1510"/>
      <c r="VYB1510"/>
      <c r="VYC1510"/>
      <c r="VYD1510"/>
      <c r="VYE1510"/>
      <c r="VYF1510"/>
      <c r="VYG1510"/>
      <c r="VYH1510"/>
      <c r="VYI1510"/>
      <c r="VYJ1510"/>
      <c r="VYK1510"/>
      <c r="VYL1510"/>
      <c r="VYM1510"/>
      <c r="VYN1510"/>
      <c r="VYO1510"/>
      <c r="VYP1510"/>
      <c r="VYQ1510"/>
      <c r="VYR1510"/>
      <c r="VYS1510"/>
      <c r="VYT1510"/>
      <c r="VYU1510"/>
      <c r="VYV1510"/>
      <c r="VYW1510"/>
      <c r="VYX1510"/>
      <c r="VYY1510"/>
      <c r="VYZ1510"/>
      <c r="VZA1510"/>
      <c r="VZB1510"/>
      <c r="VZC1510"/>
      <c r="VZD1510"/>
      <c r="VZE1510"/>
      <c r="VZF1510"/>
      <c r="VZG1510"/>
      <c r="VZH1510"/>
      <c r="VZI1510"/>
      <c r="VZJ1510"/>
      <c r="VZK1510"/>
      <c r="VZL1510"/>
      <c r="VZM1510"/>
      <c r="VZN1510"/>
      <c r="VZO1510"/>
      <c r="VZP1510"/>
      <c r="VZQ1510"/>
      <c r="VZR1510"/>
      <c r="VZS1510"/>
      <c r="VZT1510"/>
      <c r="VZU1510"/>
      <c r="VZV1510"/>
      <c r="VZW1510"/>
      <c r="VZX1510"/>
      <c r="VZY1510"/>
      <c r="VZZ1510"/>
      <c r="WAA1510"/>
      <c r="WAB1510"/>
      <c r="WAC1510"/>
      <c r="WAD1510"/>
      <c r="WAE1510"/>
      <c r="WAF1510"/>
      <c r="WAG1510"/>
      <c r="WAH1510"/>
      <c r="WAI1510"/>
      <c r="WAJ1510"/>
      <c r="WAK1510"/>
      <c r="WAL1510"/>
      <c r="WAM1510"/>
      <c r="WAN1510"/>
      <c r="WAO1510"/>
      <c r="WAP1510"/>
      <c r="WAQ1510"/>
      <c r="WAR1510"/>
      <c r="WAS1510"/>
      <c r="WAT1510"/>
      <c r="WAU1510"/>
      <c r="WAV1510"/>
      <c r="WAW1510"/>
      <c r="WAX1510"/>
      <c r="WAY1510"/>
      <c r="WAZ1510"/>
      <c r="WBA1510"/>
      <c r="WBB1510"/>
      <c r="WBC1510"/>
      <c r="WBD1510"/>
      <c r="WBE1510"/>
      <c r="WBF1510"/>
      <c r="WBG1510"/>
      <c r="WBH1510"/>
      <c r="WBI1510"/>
      <c r="WBJ1510"/>
      <c r="WBK1510"/>
      <c r="WBL1510"/>
      <c r="WBM1510"/>
      <c r="WBN1510"/>
      <c r="WBO1510"/>
      <c r="WBP1510"/>
      <c r="WBQ1510"/>
      <c r="WBR1510"/>
      <c r="WBS1510"/>
      <c r="WBT1510"/>
      <c r="WBU1510"/>
      <c r="WBV1510"/>
      <c r="WBW1510"/>
      <c r="WBX1510"/>
      <c r="WBY1510"/>
      <c r="WBZ1510"/>
      <c r="WCA1510"/>
      <c r="WCB1510"/>
      <c r="WCC1510"/>
      <c r="WCD1510"/>
      <c r="WCE1510"/>
      <c r="WCF1510"/>
      <c r="WCG1510"/>
      <c r="WCH1510"/>
      <c r="WCI1510"/>
      <c r="WCJ1510"/>
      <c r="WCK1510"/>
      <c r="WCL1510"/>
      <c r="WCM1510"/>
      <c r="WCN1510"/>
      <c r="WCO1510"/>
      <c r="WCP1510"/>
      <c r="WCQ1510"/>
      <c r="WCR1510"/>
      <c r="WCS1510"/>
      <c r="WCT1510"/>
      <c r="WCU1510"/>
      <c r="WCV1510"/>
      <c r="WCW1510"/>
      <c r="WCX1510"/>
      <c r="WCY1510"/>
      <c r="WCZ1510"/>
      <c r="WDA1510"/>
      <c r="WDB1510"/>
      <c r="WDC1510"/>
      <c r="WDD1510"/>
      <c r="WDE1510"/>
      <c r="WDF1510"/>
      <c r="WDG1510"/>
      <c r="WDH1510"/>
      <c r="WDI1510"/>
      <c r="WDJ1510"/>
      <c r="WDK1510"/>
      <c r="WDL1510"/>
      <c r="WDM1510"/>
      <c r="WDN1510"/>
      <c r="WDO1510"/>
      <c r="WDP1510"/>
      <c r="WDQ1510"/>
      <c r="WDR1510"/>
      <c r="WDS1510"/>
      <c r="WDT1510"/>
      <c r="WDU1510"/>
      <c r="WDV1510"/>
      <c r="WDW1510"/>
      <c r="WDX1510"/>
      <c r="WDY1510"/>
      <c r="WDZ1510"/>
      <c r="WEA1510"/>
      <c r="WEB1510"/>
      <c r="WEC1510"/>
      <c r="WED1510"/>
      <c r="WEE1510"/>
      <c r="WEF1510"/>
      <c r="WEG1510"/>
      <c r="WEH1510"/>
      <c r="WEI1510"/>
      <c r="WEJ1510"/>
      <c r="WEK1510"/>
      <c r="WEL1510"/>
      <c r="WEM1510"/>
      <c r="WEN1510"/>
      <c r="WEO1510"/>
      <c r="WEP1510"/>
      <c r="WEQ1510"/>
      <c r="WER1510"/>
      <c r="WES1510"/>
      <c r="WET1510"/>
      <c r="WEU1510"/>
      <c r="WEV1510"/>
      <c r="WEW1510"/>
      <c r="WEX1510"/>
      <c r="WEY1510"/>
      <c r="WEZ1510"/>
      <c r="WFA1510"/>
      <c r="WFB1510"/>
      <c r="WFC1510"/>
      <c r="WFD1510"/>
      <c r="WFE1510"/>
      <c r="WFF1510"/>
      <c r="WFG1510"/>
      <c r="WFH1510"/>
      <c r="WFI1510"/>
      <c r="WFJ1510"/>
      <c r="WFK1510"/>
      <c r="WFL1510"/>
      <c r="WFM1510"/>
      <c r="WFN1510"/>
      <c r="WFO1510"/>
      <c r="WFP1510"/>
      <c r="WFQ1510"/>
      <c r="WFR1510"/>
      <c r="WFS1510"/>
      <c r="WFT1510"/>
      <c r="WFU1510"/>
      <c r="WFV1510"/>
      <c r="WFW1510"/>
      <c r="WFX1510"/>
      <c r="WFY1510"/>
      <c r="WFZ1510"/>
      <c r="WGA1510"/>
      <c r="WGB1510"/>
      <c r="WGC1510"/>
      <c r="WGD1510"/>
      <c r="WGE1510"/>
      <c r="WGF1510"/>
      <c r="WGG1510"/>
      <c r="WGH1510"/>
      <c r="WGI1510"/>
      <c r="WGJ1510"/>
      <c r="WGK1510"/>
      <c r="WGL1510"/>
      <c r="WGM1510"/>
      <c r="WGN1510"/>
      <c r="WGO1510"/>
      <c r="WGP1510"/>
      <c r="WGQ1510"/>
      <c r="WGR1510"/>
      <c r="WGS1510"/>
      <c r="WGT1510"/>
      <c r="WGU1510"/>
      <c r="WGV1510"/>
      <c r="WGW1510"/>
      <c r="WGX1510"/>
      <c r="WGY1510"/>
      <c r="WGZ1510"/>
      <c r="WHA1510"/>
      <c r="WHB1510"/>
      <c r="WHC1510"/>
      <c r="WHD1510"/>
      <c r="WHE1510"/>
      <c r="WHF1510"/>
      <c r="WHG1510"/>
      <c r="WHH1510"/>
      <c r="WHI1510"/>
      <c r="WHJ1510"/>
      <c r="WHK1510"/>
      <c r="WHL1510"/>
      <c r="WHM1510"/>
      <c r="WHN1510"/>
      <c r="WHO1510"/>
      <c r="WHP1510"/>
      <c r="WHQ1510"/>
      <c r="WHR1510"/>
      <c r="WHS1510"/>
      <c r="WHT1510"/>
      <c r="WHU1510"/>
      <c r="WHV1510"/>
      <c r="WHW1510"/>
      <c r="WHX1510"/>
      <c r="WHY1510"/>
      <c r="WHZ1510"/>
      <c r="WIA1510"/>
      <c r="WIB1510"/>
      <c r="WIC1510"/>
      <c r="WID1510"/>
      <c r="WIE1510"/>
      <c r="WIF1510"/>
      <c r="WIG1510"/>
      <c r="WIH1510"/>
      <c r="WII1510"/>
      <c r="WIJ1510"/>
      <c r="WIK1510"/>
      <c r="WIL1510"/>
      <c r="WIM1510"/>
      <c r="WIN1510"/>
      <c r="WIO1510"/>
      <c r="WIP1510"/>
      <c r="WIQ1510"/>
      <c r="WIR1510"/>
      <c r="WIS1510"/>
      <c r="WIT1510"/>
      <c r="WIU1510"/>
      <c r="WIV1510"/>
      <c r="WIW1510"/>
      <c r="WIX1510"/>
      <c r="WIY1510"/>
      <c r="WIZ1510"/>
      <c r="WJA1510"/>
      <c r="WJB1510"/>
      <c r="WJC1510"/>
      <c r="WJD1510"/>
      <c r="WJE1510"/>
      <c r="WJF1510"/>
      <c r="WJG1510"/>
      <c r="WJH1510"/>
      <c r="WJI1510"/>
      <c r="WJJ1510"/>
      <c r="WJK1510"/>
      <c r="WJL1510"/>
      <c r="WJM1510"/>
      <c r="WJN1510"/>
      <c r="WJO1510"/>
      <c r="WJP1510"/>
      <c r="WJQ1510"/>
      <c r="WJR1510"/>
      <c r="WJS1510"/>
      <c r="WJT1510"/>
      <c r="WJU1510"/>
      <c r="WJV1510"/>
      <c r="WJW1510"/>
      <c r="WJX1510"/>
      <c r="WJY1510"/>
      <c r="WJZ1510"/>
      <c r="WKA1510"/>
      <c r="WKB1510"/>
      <c r="WKC1510"/>
      <c r="WKD1510"/>
      <c r="WKE1510"/>
      <c r="WKF1510"/>
      <c r="WKG1510"/>
      <c r="WKH1510"/>
      <c r="WKI1510"/>
      <c r="WKJ1510"/>
      <c r="WKK1510"/>
      <c r="WKL1510"/>
      <c r="WKM1510"/>
      <c r="WKN1510"/>
      <c r="WKO1510"/>
      <c r="WKP1510"/>
      <c r="WKQ1510"/>
      <c r="WKR1510"/>
      <c r="WKS1510"/>
      <c r="WKT1510"/>
      <c r="WKU1510"/>
      <c r="WKV1510"/>
      <c r="WKW1510"/>
      <c r="WKX1510"/>
      <c r="WKY1510"/>
      <c r="WKZ1510"/>
      <c r="WLA1510"/>
      <c r="WLB1510"/>
      <c r="WLC1510"/>
      <c r="WLD1510"/>
      <c r="WLE1510"/>
      <c r="WLF1510"/>
      <c r="WLG1510"/>
      <c r="WLH1510"/>
      <c r="WLI1510"/>
      <c r="WLJ1510"/>
      <c r="WLK1510"/>
      <c r="WLL1510"/>
      <c r="WLM1510"/>
      <c r="WLN1510"/>
      <c r="WLO1510"/>
      <c r="WLP1510"/>
      <c r="WLQ1510"/>
      <c r="WLR1510"/>
      <c r="WLS1510"/>
      <c r="WLT1510"/>
      <c r="WLU1510"/>
      <c r="WLV1510"/>
      <c r="WLW1510"/>
      <c r="WLX1510"/>
      <c r="WLY1510"/>
      <c r="WLZ1510"/>
      <c r="WMA1510"/>
      <c r="WMB1510"/>
      <c r="WMC1510"/>
      <c r="WMD1510"/>
      <c r="WME1510"/>
      <c r="WMF1510"/>
      <c r="WMG1510"/>
      <c r="WMH1510"/>
      <c r="WMI1510"/>
      <c r="WMJ1510"/>
      <c r="WMK1510"/>
      <c r="WML1510"/>
      <c r="WMM1510"/>
      <c r="WMN1510"/>
      <c r="WMO1510"/>
      <c r="WMP1510"/>
      <c r="WMQ1510"/>
      <c r="WMR1510"/>
      <c r="WMS1510"/>
      <c r="WMT1510"/>
      <c r="WMU1510"/>
      <c r="WMV1510"/>
      <c r="WMW1510"/>
      <c r="WMX1510"/>
      <c r="WMY1510"/>
      <c r="WMZ1510"/>
      <c r="WNA1510"/>
      <c r="WNB1510"/>
      <c r="WNC1510"/>
      <c r="WND1510"/>
      <c r="WNE1510"/>
      <c r="WNF1510"/>
      <c r="WNG1510"/>
      <c r="WNH1510"/>
      <c r="WNI1510"/>
      <c r="WNJ1510"/>
      <c r="WNK1510"/>
      <c r="WNL1510"/>
      <c r="WNM1510"/>
      <c r="WNN1510"/>
      <c r="WNO1510"/>
      <c r="WNP1510"/>
      <c r="WNQ1510"/>
      <c r="WNR1510"/>
      <c r="WNS1510"/>
      <c r="WNT1510"/>
      <c r="WNU1510"/>
      <c r="WNV1510"/>
      <c r="WNW1510"/>
      <c r="WNX1510"/>
      <c r="WNY1510"/>
      <c r="WNZ1510"/>
      <c r="WOA1510"/>
      <c r="WOB1510"/>
      <c r="WOC1510"/>
      <c r="WOD1510"/>
      <c r="WOE1510"/>
      <c r="WOF1510"/>
      <c r="WOG1510"/>
      <c r="WOH1510"/>
      <c r="WOI1510"/>
      <c r="WOJ1510"/>
      <c r="WOK1510"/>
      <c r="WOL1510"/>
      <c r="WOM1510"/>
      <c r="WON1510"/>
      <c r="WOO1510"/>
      <c r="WOP1510"/>
      <c r="WOQ1510"/>
      <c r="WOR1510"/>
      <c r="WOS1510"/>
      <c r="WOT1510"/>
      <c r="WOU1510"/>
      <c r="WOV1510"/>
      <c r="WOW1510"/>
      <c r="WOX1510"/>
      <c r="WOY1510"/>
      <c r="WOZ1510"/>
      <c r="WPA1510"/>
      <c r="WPB1510"/>
      <c r="WPC1510"/>
      <c r="WPD1510"/>
      <c r="WPE1510"/>
      <c r="WPF1510"/>
      <c r="WPG1510"/>
      <c r="WPH1510"/>
      <c r="WPI1510"/>
      <c r="WPJ1510"/>
      <c r="WPK1510"/>
      <c r="WPL1510"/>
      <c r="WPM1510"/>
      <c r="WPN1510"/>
      <c r="WPO1510"/>
      <c r="WPP1510"/>
      <c r="WPQ1510"/>
      <c r="WPR1510"/>
      <c r="WPS1510"/>
      <c r="WPT1510"/>
      <c r="WPU1510"/>
      <c r="WPV1510"/>
      <c r="WPW1510"/>
      <c r="WPX1510"/>
      <c r="WPY1510"/>
      <c r="WPZ1510"/>
      <c r="WQA1510"/>
      <c r="WQB1510"/>
      <c r="WQC1510"/>
      <c r="WQD1510"/>
      <c r="WQE1510"/>
      <c r="WQF1510"/>
      <c r="WQG1510"/>
      <c r="WQH1510"/>
      <c r="WQI1510"/>
      <c r="WQJ1510"/>
      <c r="WQK1510"/>
      <c r="WQL1510"/>
      <c r="WQM1510"/>
      <c r="WQN1510"/>
      <c r="WQO1510"/>
      <c r="WQP1510"/>
      <c r="WQQ1510"/>
      <c r="WQR1510"/>
      <c r="WQS1510"/>
      <c r="WQT1510"/>
      <c r="WQU1510"/>
      <c r="WQV1510"/>
      <c r="WQW1510"/>
      <c r="WQX1510"/>
      <c r="WQY1510"/>
      <c r="WQZ1510"/>
      <c r="WRA1510"/>
      <c r="WRB1510"/>
      <c r="WRC1510"/>
      <c r="WRD1510"/>
      <c r="WRE1510"/>
      <c r="WRF1510"/>
      <c r="WRG1510"/>
      <c r="WRH1510"/>
      <c r="WRI1510"/>
      <c r="WRJ1510"/>
      <c r="WRK1510"/>
      <c r="WRL1510"/>
      <c r="WRM1510"/>
      <c r="WRN1510"/>
      <c r="WRO1510"/>
      <c r="WRP1510"/>
      <c r="WRQ1510"/>
      <c r="WRR1510"/>
      <c r="WRS1510"/>
      <c r="WRT1510"/>
      <c r="WRU1510"/>
      <c r="WRV1510"/>
      <c r="WRW1510"/>
      <c r="WRX1510"/>
      <c r="WRY1510"/>
      <c r="WRZ1510"/>
      <c r="WSA1510"/>
      <c r="WSB1510"/>
      <c r="WSC1510"/>
      <c r="WSD1510"/>
      <c r="WSE1510"/>
      <c r="WSF1510"/>
      <c r="WSG1510"/>
      <c r="WSH1510"/>
      <c r="WSI1510"/>
      <c r="WSJ1510"/>
      <c r="WSK1510"/>
      <c r="WSL1510"/>
      <c r="WSM1510"/>
      <c r="WSN1510"/>
      <c r="WSO1510"/>
      <c r="WSP1510"/>
      <c r="WSQ1510"/>
      <c r="WSR1510"/>
      <c r="WSS1510"/>
      <c r="WST1510"/>
      <c r="WSU1510"/>
      <c r="WSV1510"/>
      <c r="WSW1510"/>
      <c r="WSX1510"/>
      <c r="WSY1510"/>
      <c r="WSZ1510"/>
      <c r="WTA1510"/>
      <c r="WTB1510"/>
      <c r="WTC1510"/>
      <c r="WTD1510"/>
      <c r="WTE1510"/>
      <c r="WTF1510"/>
      <c r="WTG1510"/>
      <c r="WTH1510"/>
      <c r="WTI1510"/>
      <c r="WTJ1510"/>
      <c r="WTK1510"/>
      <c r="WTL1510"/>
      <c r="WTM1510"/>
      <c r="WTN1510"/>
      <c r="WTO1510"/>
      <c r="WTP1510"/>
      <c r="WTQ1510"/>
      <c r="WTR1510"/>
      <c r="WTS1510"/>
      <c r="WTT1510"/>
      <c r="WTU1510"/>
      <c r="WTV1510"/>
      <c r="WTW1510"/>
      <c r="WTX1510"/>
      <c r="WTY1510"/>
      <c r="WTZ1510"/>
      <c r="WUA1510"/>
      <c r="WUB1510"/>
      <c r="WUC1510"/>
      <c r="WUD1510"/>
      <c r="WUE1510"/>
      <c r="WUF1510"/>
      <c r="WUG1510"/>
      <c r="WUH1510"/>
      <c r="WUI1510"/>
      <c r="WUJ1510"/>
      <c r="WUK1510"/>
      <c r="WUL1510"/>
      <c r="WUM1510"/>
      <c r="WUN1510"/>
      <c r="WUO1510"/>
      <c r="WUP1510"/>
      <c r="WUQ1510"/>
      <c r="WUR1510"/>
      <c r="WUS1510"/>
      <c r="WUT1510"/>
      <c r="WUU1510"/>
      <c r="WUV1510"/>
      <c r="WUW1510"/>
      <c r="WUX1510"/>
      <c r="WUY1510"/>
      <c r="WUZ1510"/>
      <c r="WVA1510"/>
      <c r="WVB1510"/>
      <c r="WVC1510"/>
      <c r="WVD1510"/>
      <c r="WVE1510"/>
      <c r="WVF1510"/>
      <c r="WVG1510"/>
      <c r="WVH1510"/>
      <c r="WVI1510"/>
      <c r="WVJ1510"/>
      <c r="WVK1510"/>
      <c r="WVL1510"/>
      <c r="WVM1510"/>
      <c r="WVN1510"/>
      <c r="WVO1510"/>
      <c r="WVP1510"/>
      <c r="WVQ1510"/>
      <c r="WVR1510"/>
      <c r="WVS1510"/>
      <c r="WVT1510"/>
      <c r="WVU1510"/>
      <c r="WVV1510"/>
      <c r="WVW1510"/>
      <c r="WVX1510"/>
      <c r="WVY1510"/>
      <c r="WVZ1510"/>
      <c r="WWA1510"/>
      <c r="WWB1510"/>
      <c r="WWC1510"/>
      <c r="WWD1510"/>
      <c r="WWE1510"/>
      <c r="WWF1510"/>
      <c r="WWG1510"/>
      <c r="WWH1510"/>
      <c r="WWI1510"/>
      <c r="WWJ1510"/>
      <c r="WWK1510"/>
      <c r="WWL1510"/>
      <c r="WWM1510"/>
      <c r="WWN1510"/>
      <c r="WWO1510"/>
      <c r="WWP1510"/>
      <c r="WWQ1510"/>
      <c r="WWR1510"/>
      <c r="WWS1510"/>
      <c r="WWT1510"/>
      <c r="WWU1510"/>
      <c r="WWV1510"/>
      <c r="WWW1510"/>
      <c r="WWX1510"/>
      <c r="WWY1510"/>
      <c r="WWZ1510"/>
      <c r="WXA1510"/>
      <c r="WXB1510"/>
      <c r="WXC1510"/>
      <c r="WXD1510"/>
      <c r="WXE1510"/>
      <c r="WXF1510"/>
      <c r="WXG1510"/>
      <c r="WXH1510"/>
      <c r="WXI1510"/>
      <c r="WXJ1510"/>
      <c r="WXK1510"/>
      <c r="WXL1510"/>
      <c r="WXM1510"/>
      <c r="WXN1510"/>
      <c r="WXO1510"/>
      <c r="WXP1510"/>
      <c r="WXQ1510"/>
      <c r="WXR1510"/>
      <c r="WXS1510"/>
      <c r="WXT1510"/>
      <c r="WXU1510"/>
      <c r="WXV1510"/>
      <c r="WXW1510"/>
      <c r="WXX1510"/>
      <c r="WXY1510"/>
      <c r="WXZ1510"/>
      <c r="WYA1510"/>
      <c r="WYB1510"/>
      <c r="WYC1510"/>
      <c r="WYD1510"/>
      <c r="WYE1510"/>
      <c r="WYF1510"/>
      <c r="WYG1510"/>
      <c r="WYH1510"/>
      <c r="WYI1510"/>
      <c r="WYJ1510"/>
      <c r="WYK1510"/>
      <c r="WYL1510"/>
      <c r="WYM1510"/>
      <c r="WYN1510"/>
      <c r="WYO1510"/>
      <c r="WYP1510"/>
      <c r="WYQ1510"/>
      <c r="WYR1510"/>
      <c r="WYS1510"/>
      <c r="WYT1510"/>
      <c r="WYU1510"/>
      <c r="WYV1510"/>
      <c r="WYW1510"/>
      <c r="WYX1510"/>
      <c r="WYY1510"/>
      <c r="WYZ1510"/>
      <c r="WZA1510"/>
      <c r="WZB1510"/>
      <c r="WZC1510"/>
      <c r="WZD1510"/>
      <c r="WZE1510"/>
      <c r="WZF1510"/>
      <c r="WZG1510"/>
      <c r="WZH1510"/>
      <c r="WZI1510"/>
      <c r="WZJ1510"/>
      <c r="WZK1510"/>
      <c r="WZL1510"/>
      <c r="WZM1510"/>
      <c r="WZN1510"/>
      <c r="WZO1510"/>
      <c r="WZP1510"/>
      <c r="WZQ1510"/>
      <c r="WZR1510"/>
      <c r="WZS1510"/>
      <c r="WZT1510"/>
      <c r="WZU1510"/>
      <c r="WZV1510"/>
      <c r="WZW1510"/>
      <c r="WZX1510"/>
      <c r="WZY1510"/>
      <c r="WZZ1510"/>
      <c r="XAA1510"/>
      <c r="XAB1510"/>
      <c r="XAC1510"/>
      <c r="XAD1510"/>
      <c r="XAE1510"/>
      <c r="XAF1510"/>
      <c r="XAG1510"/>
      <c r="XAH1510"/>
      <c r="XAI1510"/>
      <c r="XAJ1510"/>
      <c r="XAK1510"/>
      <c r="XAL1510"/>
      <c r="XAM1510"/>
      <c r="XAN1510"/>
      <c r="XAO1510"/>
      <c r="XAP1510"/>
      <c r="XAQ1510"/>
      <c r="XAR1510"/>
      <c r="XAS1510"/>
      <c r="XAT1510"/>
      <c r="XAU1510"/>
      <c r="XAV1510"/>
      <c r="XAW1510"/>
      <c r="XAX1510"/>
      <c r="XAY1510"/>
      <c r="XAZ1510"/>
      <c r="XBA1510"/>
      <c r="XBB1510"/>
      <c r="XBC1510"/>
      <c r="XBD1510"/>
      <c r="XBE1510"/>
      <c r="XBF1510"/>
      <c r="XBG1510"/>
      <c r="XBH1510"/>
      <c r="XBI1510"/>
      <c r="XBJ1510"/>
      <c r="XBK1510"/>
      <c r="XBL1510"/>
      <c r="XBM1510"/>
      <c r="XBN1510"/>
      <c r="XBO1510"/>
      <c r="XBP1510"/>
      <c r="XBQ1510"/>
      <c r="XBR1510"/>
      <c r="XBS1510"/>
      <c r="XBT1510"/>
      <c r="XBU1510"/>
      <c r="XBV1510"/>
      <c r="XBW1510"/>
      <c r="XBX1510"/>
      <c r="XBY1510"/>
      <c r="XBZ1510"/>
      <c r="XCA1510"/>
      <c r="XCB1510"/>
      <c r="XCC1510"/>
      <c r="XCD1510"/>
      <c r="XCE1510"/>
      <c r="XCF1510"/>
      <c r="XCG1510"/>
      <c r="XCH1510"/>
      <c r="XCI1510"/>
      <c r="XCJ1510"/>
      <c r="XCK1510"/>
      <c r="XCL1510"/>
      <c r="XCM1510"/>
      <c r="XCN1510"/>
      <c r="XCO1510"/>
      <c r="XCP1510"/>
      <c r="XCQ1510"/>
      <c r="XCR1510"/>
      <c r="XCS1510"/>
      <c r="XCT1510"/>
      <c r="XCU1510"/>
      <c r="XCV1510"/>
      <c r="XCW1510"/>
      <c r="XCX1510"/>
      <c r="XCY1510"/>
      <c r="XCZ1510"/>
      <c r="XDA1510"/>
      <c r="XDB1510"/>
      <c r="XDC1510"/>
      <c r="XDD1510"/>
      <c r="XDE1510"/>
      <c r="XDF1510"/>
      <c r="XDG1510"/>
      <c r="XDH1510"/>
      <c r="XDI1510"/>
      <c r="XDJ1510"/>
      <c r="XDK1510"/>
      <c r="XDL1510"/>
      <c r="XDM1510"/>
      <c r="XDN1510"/>
      <c r="XDO1510"/>
      <c r="XDP1510"/>
      <c r="XDQ1510"/>
      <c r="XDR1510"/>
      <c r="XDS1510"/>
      <c r="XDT1510"/>
      <c r="XDU1510"/>
      <c r="XDV1510"/>
      <c r="XDW1510"/>
      <c r="XDX1510"/>
      <c r="XDY1510"/>
      <c r="XDZ1510"/>
      <c r="XEA1510"/>
      <c r="XEB1510"/>
      <c r="XEC1510"/>
      <c r="XED1510"/>
      <c r="XEE1510"/>
      <c r="XEF1510"/>
      <c r="XEG1510"/>
      <c r="XEH1510"/>
      <c r="XEI1510"/>
      <c r="XEJ1510"/>
      <c r="XEK1510"/>
      <c r="XEL1510"/>
      <c r="XEM1510"/>
      <c r="XEN1510"/>
      <c r="XEO1510"/>
      <c r="XEP1510"/>
      <c r="XEQ1510"/>
      <c r="XER1510"/>
      <c r="XES1510"/>
      <c r="XET1510"/>
      <c r="XEU1510"/>
      <c r="XEV1510"/>
      <c r="XEW1510"/>
      <c r="XEX1510"/>
    </row>
    <row r="1511" spans="1:16378" s="30" customFormat="1" ht="15" customHeight="1" x14ac:dyDescent="0.25">
      <c r="A1511">
        <v>2025</v>
      </c>
      <c r="B1511" s="878" t="s">
        <v>769</v>
      </c>
      <c r="C1511" s="878" t="s">
        <v>466</v>
      </c>
      <c r="D1511" s="878">
        <v>1011934</v>
      </c>
      <c r="E1511" s="878" t="s">
        <v>3731</v>
      </c>
      <c r="F1511" s="878" t="s">
        <v>6643</v>
      </c>
      <c r="G1511" s="878" t="s">
        <v>37</v>
      </c>
      <c r="H1511" s="878" t="s">
        <v>4045</v>
      </c>
      <c r="I1511" s="883">
        <v>45875</v>
      </c>
      <c r="J1511" s="882" t="s">
        <v>2958</v>
      </c>
      <c r="K1511" s="945">
        <v>45881</v>
      </c>
      <c r="L1511" s="919">
        <f>IF(ISTEXT(Table15[[#This Row],[Engineering Approved Design Date]]),Table15[[#This Row],[Date Completed]]-Table15[[#This Row],[Date Assigned to Designer]],Table15[[#This Row],[Engineering Approved Design Date]]-Table15[[#This Row],[Date Completed]])</f>
        <v>6</v>
      </c>
      <c r="M1511" s="883" t="s">
        <v>9085</v>
      </c>
      <c r="N1511" s="99" t="s">
        <v>739</v>
      </c>
      <c r="O1511" s="886">
        <v>45870</v>
      </c>
      <c r="P1511" s="958" t="s">
        <v>120</v>
      </c>
      <c r="Q1511" s="1150">
        <f>SUM(Table15[[#This Row],[Shactee Effort]:[KH Hourly Effort]])</f>
        <v>1962.5</v>
      </c>
      <c r="R1511" s="920" t="s">
        <v>1922</v>
      </c>
      <c r="S1511" s="888">
        <v>0</v>
      </c>
      <c r="T1511" s="888">
        <v>0</v>
      </c>
      <c r="U1511" s="934">
        <v>1962.5</v>
      </c>
      <c r="V1511" s="1630">
        <v>178</v>
      </c>
      <c r="W1511" s="1021">
        <v>1</v>
      </c>
      <c r="X1511" s="888" t="s">
        <v>29</v>
      </c>
      <c r="Y1511" s="935"/>
      <c r="Z1511" s="888" t="s">
        <v>29</v>
      </c>
      <c r="AA1511" s="889" t="s">
        <v>29</v>
      </c>
      <c r="AB1511" s="958" t="s">
        <v>29</v>
      </c>
      <c r="AC1511" s="894" t="s">
        <v>29</v>
      </c>
      <c r="AD1511" s="1160" t="s">
        <v>29</v>
      </c>
      <c r="AE1511" s="894" t="s">
        <v>756</v>
      </c>
      <c r="AF1511" s="896" t="s">
        <v>29</v>
      </c>
      <c r="AG1511" s="896" t="s">
        <v>29</v>
      </c>
      <c r="AH1511" s="897" t="s">
        <v>29</v>
      </c>
      <c r="AI1511" s="921" t="s">
        <v>29</v>
      </c>
      <c r="AJ1511" s="922" t="s">
        <v>29</v>
      </c>
      <c r="AK1511" s="922" t="s">
        <v>29</v>
      </c>
      <c r="AL1511" s="1030" t="s">
        <v>29</v>
      </c>
      <c r="AM1511" s="542" t="s">
        <v>709</v>
      </c>
      <c r="AN1511" s="924"/>
      <c r="AO1511" s="925"/>
      <c r="AP1511" s="926"/>
      <c r="AQ1511" s="926"/>
      <c r="AR1511" s="926"/>
      <c r="AS1511" s="926"/>
      <c r="AT1511" s="926"/>
      <c r="AU1511" s="926"/>
      <c r="AV1511" s="926"/>
      <c r="AW1511" s="927"/>
      <c r="AX1511" s="926"/>
      <c r="AY1511" s="1538" t="s">
        <v>29</v>
      </c>
      <c r="AZ1511" s="1530"/>
      <c r="BA1511" s="954">
        <v>1</v>
      </c>
      <c r="BB1511" s="928" t="s">
        <v>116</v>
      </c>
      <c r="BC1511" s="915" t="s">
        <v>709</v>
      </c>
      <c r="BD1511" s="915" t="s">
        <v>709</v>
      </c>
      <c r="BE1511" s="588" t="s">
        <v>709</v>
      </c>
      <c r="BF1511" s="915" t="s">
        <v>5395</v>
      </c>
      <c r="BG1511" s="915" t="s">
        <v>709</v>
      </c>
      <c r="BH1511" s="1023" t="s">
        <v>9086</v>
      </c>
      <c r="BI1511" s="916" t="s">
        <v>745</v>
      </c>
      <c r="BJ1511" s="916" t="s">
        <v>116</v>
      </c>
      <c r="BK1511" s="916" t="s">
        <v>116</v>
      </c>
      <c r="BL1511" s="916" t="s">
        <v>116</v>
      </c>
      <c r="BM1511" s="916" t="s">
        <v>745</v>
      </c>
      <c r="BN1511" s="929" t="s">
        <v>745</v>
      </c>
      <c r="BO1511" s="916" t="s">
        <v>745</v>
      </c>
      <c r="BP1511" s="944" t="s">
        <v>745</v>
      </c>
      <c r="BQ1511" s="929" t="s">
        <v>745</v>
      </c>
      <c r="BR1511" s="929" t="s">
        <v>709</v>
      </c>
      <c r="BS1511" s="929">
        <v>178</v>
      </c>
      <c r="BT1511" s="929" t="s">
        <v>745</v>
      </c>
      <c r="BU1511" s="929">
        <v>1</v>
      </c>
      <c r="BV1511" s="929" t="s">
        <v>745</v>
      </c>
      <c r="BW1511" s="929" t="s">
        <v>745</v>
      </c>
      <c r="BX1511" s="916">
        <v>1</v>
      </c>
      <c r="BY1511" s="944" t="s">
        <v>745</v>
      </c>
      <c r="BZ1511" s="944" t="s">
        <v>745</v>
      </c>
      <c r="CA1511" s="943"/>
      <c r="CB1511" s="547"/>
      <c r="CC1511" s="879"/>
      <c r="CD1511" s="879"/>
      <c r="CE1511"/>
      <c r="CF1511"/>
      <c r="CG1511"/>
      <c r="CH1511"/>
      <c r="CI1511"/>
      <c r="CJ1511"/>
      <c r="CK1511"/>
      <c r="CL1511"/>
      <c r="CM1511"/>
      <c r="CN1511"/>
      <c r="CO1511"/>
      <c r="CP1511"/>
      <c r="CQ1511"/>
      <c r="CR1511"/>
      <c r="CS1511"/>
      <c r="CT1511"/>
      <c r="CU1511"/>
      <c r="CV1511"/>
      <c r="CW1511"/>
      <c r="CX1511"/>
      <c r="CY1511"/>
      <c r="CZ1511"/>
      <c r="DA1511"/>
      <c r="DB1511"/>
      <c r="DC1511"/>
      <c r="DD1511"/>
      <c r="DE1511"/>
      <c r="DF1511"/>
      <c r="DG1511"/>
      <c r="DH1511"/>
      <c r="DI1511"/>
      <c r="DJ1511"/>
      <c r="DK1511"/>
      <c r="DL1511"/>
      <c r="DM1511"/>
      <c r="DN1511"/>
      <c r="DO1511"/>
      <c r="DP1511"/>
      <c r="DQ1511"/>
      <c r="DR1511"/>
      <c r="DS1511"/>
      <c r="DT1511"/>
      <c r="DU1511"/>
      <c r="DV1511"/>
      <c r="DW1511"/>
      <c r="DX1511"/>
      <c r="DY1511"/>
      <c r="DZ1511"/>
      <c r="EA1511"/>
      <c r="EB1511"/>
      <c r="EC1511"/>
      <c r="ED1511"/>
      <c r="EE1511"/>
      <c r="EF1511"/>
      <c r="EG1511"/>
      <c r="EH1511"/>
      <c r="EI1511"/>
      <c r="EJ1511"/>
      <c r="EK1511"/>
      <c r="EL1511"/>
      <c r="EM1511"/>
      <c r="EN1511"/>
      <c r="EO1511"/>
      <c r="EP1511"/>
      <c r="EQ1511"/>
      <c r="ER1511"/>
      <c r="ES1511"/>
      <c r="ET1511"/>
      <c r="EU1511"/>
      <c r="EV1511"/>
      <c r="EW1511"/>
      <c r="EX1511"/>
      <c r="EY1511"/>
      <c r="EZ1511"/>
      <c r="FA1511"/>
      <c r="FB1511"/>
      <c r="FC1511"/>
      <c r="FD1511"/>
      <c r="FE1511"/>
      <c r="FF1511"/>
      <c r="FG1511"/>
      <c r="FH1511"/>
      <c r="FI1511"/>
      <c r="FJ1511"/>
      <c r="FK1511"/>
      <c r="FL1511"/>
      <c r="FM1511"/>
      <c r="FN1511"/>
      <c r="FO1511"/>
      <c r="FP1511"/>
      <c r="FQ1511"/>
      <c r="FR1511"/>
      <c r="FS1511"/>
      <c r="FT1511"/>
      <c r="FU1511"/>
      <c r="FV1511"/>
      <c r="FW1511"/>
      <c r="FX1511"/>
      <c r="FY1511"/>
      <c r="FZ1511"/>
      <c r="GA1511"/>
      <c r="GB1511"/>
      <c r="GC1511"/>
      <c r="GD1511"/>
      <c r="GE1511"/>
      <c r="GF1511"/>
      <c r="GG1511"/>
      <c r="GH1511"/>
      <c r="GI1511"/>
      <c r="GJ1511"/>
      <c r="GK1511"/>
      <c r="GL1511"/>
      <c r="GM1511"/>
      <c r="GN1511"/>
      <c r="GO1511"/>
      <c r="GP1511"/>
      <c r="GQ1511"/>
      <c r="GR1511"/>
      <c r="GS1511"/>
      <c r="GT1511"/>
      <c r="GU1511"/>
      <c r="GV1511"/>
      <c r="GW1511"/>
      <c r="GX1511"/>
      <c r="GY1511"/>
      <c r="GZ1511"/>
      <c r="HA1511"/>
      <c r="HB1511"/>
      <c r="HC1511"/>
      <c r="HD1511"/>
      <c r="HE1511"/>
      <c r="HF1511"/>
      <c r="HG1511"/>
      <c r="HH1511"/>
      <c r="HI1511"/>
      <c r="HJ1511"/>
      <c r="HK1511"/>
      <c r="HL1511"/>
      <c r="HM1511"/>
      <c r="HN1511"/>
      <c r="HO1511"/>
      <c r="HP1511"/>
      <c r="HQ1511"/>
      <c r="HR1511"/>
      <c r="HS1511"/>
      <c r="HT1511"/>
      <c r="HU1511"/>
      <c r="HV1511"/>
      <c r="HW1511"/>
      <c r="HX1511"/>
      <c r="HY1511"/>
      <c r="HZ1511"/>
      <c r="IA1511"/>
      <c r="IB1511"/>
      <c r="IC1511"/>
      <c r="ID1511"/>
      <c r="IE1511"/>
      <c r="IF1511"/>
      <c r="IG1511"/>
      <c r="IH1511"/>
      <c r="II1511"/>
      <c r="IJ1511"/>
      <c r="IK1511"/>
      <c r="IL1511"/>
      <c r="IM1511"/>
      <c r="IN1511"/>
      <c r="IO1511"/>
      <c r="IP1511"/>
      <c r="IQ1511"/>
      <c r="IR1511"/>
      <c r="IS1511"/>
      <c r="IT1511"/>
      <c r="IU1511"/>
      <c r="IV1511"/>
      <c r="IW1511"/>
      <c r="IX1511"/>
      <c r="IY1511"/>
      <c r="IZ1511"/>
      <c r="JA1511"/>
      <c r="JB1511"/>
      <c r="JC1511"/>
      <c r="JD1511"/>
      <c r="JE1511"/>
      <c r="JF1511"/>
      <c r="JG1511"/>
      <c r="JH1511"/>
      <c r="JI1511"/>
      <c r="JJ1511"/>
      <c r="JK1511"/>
      <c r="JL1511"/>
      <c r="JM1511"/>
      <c r="JN1511"/>
      <c r="JO1511"/>
      <c r="JP1511"/>
      <c r="JQ1511"/>
      <c r="JR1511"/>
      <c r="JS1511"/>
      <c r="JT1511"/>
      <c r="JU1511"/>
      <c r="JV1511"/>
      <c r="JW1511"/>
      <c r="JX1511"/>
      <c r="JY1511"/>
      <c r="JZ1511"/>
      <c r="KA1511"/>
      <c r="KB1511"/>
      <c r="KC1511"/>
      <c r="KD1511"/>
      <c r="KE1511"/>
      <c r="KF1511"/>
      <c r="KG1511"/>
      <c r="KH1511"/>
      <c r="KI1511"/>
      <c r="KJ1511"/>
      <c r="KK1511"/>
      <c r="KL1511"/>
      <c r="KM1511"/>
      <c r="KN1511"/>
      <c r="KO1511"/>
      <c r="KP1511"/>
      <c r="KQ1511"/>
      <c r="KR1511"/>
      <c r="KS1511"/>
      <c r="KT1511"/>
      <c r="KU1511"/>
      <c r="KV1511"/>
      <c r="KW1511"/>
      <c r="KX1511"/>
      <c r="KY1511"/>
      <c r="KZ1511"/>
      <c r="LA1511"/>
      <c r="LB1511"/>
      <c r="LC1511"/>
      <c r="LD1511"/>
      <c r="LE1511"/>
      <c r="LF1511"/>
      <c r="LG1511"/>
      <c r="LH1511"/>
      <c r="LI1511"/>
      <c r="LJ1511"/>
      <c r="LK1511"/>
      <c r="LL1511"/>
      <c r="LM1511"/>
      <c r="LN1511"/>
      <c r="LO1511"/>
      <c r="LP1511"/>
      <c r="LQ1511"/>
      <c r="LR1511"/>
      <c r="LS1511"/>
      <c r="LT1511"/>
      <c r="LU1511"/>
      <c r="LV1511"/>
      <c r="LW1511"/>
      <c r="LX1511"/>
      <c r="LY1511"/>
      <c r="LZ1511"/>
      <c r="MA1511"/>
      <c r="MB1511"/>
      <c r="MC1511"/>
      <c r="MD1511"/>
      <c r="ME1511"/>
      <c r="MF1511"/>
      <c r="MG1511"/>
      <c r="MH1511"/>
      <c r="MI1511"/>
      <c r="MJ1511"/>
      <c r="MK1511"/>
      <c r="ML1511"/>
      <c r="MM1511"/>
      <c r="MN1511"/>
      <c r="MO1511"/>
      <c r="MP1511"/>
      <c r="MQ1511"/>
      <c r="MR1511"/>
      <c r="MS1511"/>
      <c r="MT1511"/>
      <c r="MU1511"/>
      <c r="MV1511"/>
      <c r="MW1511"/>
      <c r="MX1511"/>
      <c r="MY1511"/>
      <c r="MZ1511"/>
      <c r="NA1511"/>
      <c r="NB1511"/>
      <c r="NC1511"/>
      <c r="ND1511"/>
      <c r="NE1511"/>
      <c r="NF1511"/>
      <c r="NG1511"/>
      <c r="NH1511"/>
      <c r="NI1511"/>
      <c r="NJ1511"/>
      <c r="NK1511"/>
      <c r="NL1511"/>
      <c r="NM1511"/>
      <c r="NN1511"/>
      <c r="NO1511"/>
      <c r="NP1511"/>
      <c r="NQ1511"/>
      <c r="NR1511"/>
      <c r="NS1511"/>
      <c r="NT1511"/>
      <c r="NU1511"/>
      <c r="NV1511"/>
      <c r="NW1511"/>
      <c r="NX1511"/>
      <c r="NY1511"/>
      <c r="NZ1511"/>
      <c r="OA1511"/>
      <c r="OB1511"/>
      <c r="OC1511"/>
      <c r="OD1511"/>
      <c r="OE1511"/>
      <c r="OF1511"/>
      <c r="OG1511"/>
      <c r="OH1511"/>
      <c r="OI1511"/>
      <c r="OJ1511"/>
      <c r="OK1511"/>
      <c r="OL1511"/>
      <c r="OM1511"/>
      <c r="ON1511"/>
      <c r="OO1511"/>
      <c r="OP1511"/>
      <c r="OQ1511"/>
      <c r="OR1511"/>
      <c r="OS1511"/>
      <c r="OT1511"/>
      <c r="OU1511"/>
      <c r="OV1511"/>
      <c r="OW1511"/>
      <c r="OX1511"/>
      <c r="OY1511"/>
      <c r="OZ1511"/>
      <c r="PA1511"/>
      <c r="PB1511"/>
      <c r="PC1511"/>
      <c r="PD1511"/>
      <c r="PE1511"/>
      <c r="PF1511"/>
      <c r="PG1511"/>
      <c r="PH1511"/>
      <c r="PI1511"/>
      <c r="PJ1511"/>
      <c r="PK1511"/>
      <c r="PL1511"/>
      <c r="PM1511"/>
      <c r="PN1511"/>
      <c r="PO1511"/>
      <c r="PP1511"/>
      <c r="PQ1511"/>
      <c r="PR1511"/>
      <c r="PS1511"/>
      <c r="PT1511"/>
      <c r="PU1511"/>
      <c r="PV1511"/>
      <c r="PW1511"/>
      <c r="PX1511"/>
      <c r="PY1511"/>
      <c r="PZ1511"/>
      <c r="QA1511"/>
      <c r="QB1511"/>
      <c r="QC1511"/>
      <c r="QD1511"/>
      <c r="QE1511"/>
      <c r="QF1511"/>
      <c r="QG1511"/>
      <c r="QH1511"/>
      <c r="QI1511"/>
      <c r="QJ1511"/>
      <c r="QK1511"/>
      <c r="QL1511"/>
      <c r="QM1511"/>
      <c r="QN1511"/>
      <c r="QO1511"/>
      <c r="QP1511"/>
      <c r="QQ1511"/>
      <c r="QR1511"/>
      <c r="QS1511"/>
      <c r="QT1511"/>
      <c r="QU1511"/>
      <c r="QV1511"/>
      <c r="QW1511"/>
      <c r="QX1511"/>
      <c r="QY1511"/>
      <c r="QZ1511"/>
      <c r="RA1511"/>
      <c r="RB1511"/>
      <c r="RC1511"/>
      <c r="RD1511"/>
      <c r="RE1511"/>
      <c r="RF1511"/>
      <c r="RG1511"/>
      <c r="RH1511"/>
      <c r="RI1511"/>
      <c r="RJ1511"/>
      <c r="RK1511"/>
      <c r="RL1511"/>
      <c r="RM1511"/>
      <c r="RN1511"/>
      <c r="RO1511"/>
      <c r="RP1511"/>
      <c r="RQ1511"/>
      <c r="RR1511"/>
      <c r="RS1511"/>
      <c r="RT1511"/>
      <c r="RU1511"/>
      <c r="RV1511"/>
      <c r="RW1511"/>
      <c r="RX1511"/>
      <c r="RY1511"/>
      <c r="RZ1511"/>
      <c r="SA1511"/>
      <c r="SB1511"/>
      <c r="SC1511"/>
      <c r="SD1511"/>
      <c r="SE1511"/>
      <c r="SF1511"/>
      <c r="SG1511"/>
      <c r="SH1511"/>
      <c r="SI1511"/>
      <c r="SJ1511"/>
      <c r="SK1511"/>
      <c r="SL1511"/>
      <c r="SM1511"/>
      <c r="SN1511"/>
      <c r="SO1511"/>
      <c r="SP1511"/>
      <c r="SQ1511"/>
      <c r="SR1511"/>
      <c r="SS1511"/>
      <c r="ST1511"/>
      <c r="SU1511"/>
      <c r="SV1511"/>
      <c r="SW1511"/>
      <c r="SX1511"/>
      <c r="SY1511"/>
      <c r="SZ1511"/>
      <c r="TA1511"/>
      <c r="TB1511"/>
      <c r="TC1511"/>
      <c r="TD1511"/>
      <c r="TE1511"/>
      <c r="TF1511"/>
      <c r="TG1511"/>
      <c r="TH1511"/>
      <c r="TI1511"/>
      <c r="TJ1511"/>
      <c r="TK1511"/>
      <c r="TL1511"/>
      <c r="TM1511"/>
      <c r="TN1511"/>
      <c r="TO1511"/>
      <c r="TP1511"/>
      <c r="TQ1511"/>
      <c r="TR1511"/>
      <c r="TS1511"/>
      <c r="TT1511"/>
      <c r="TU1511"/>
      <c r="TV1511"/>
      <c r="TW1511"/>
      <c r="TX1511"/>
      <c r="TY1511"/>
      <c r="TZ1511"/>
      <c r="UA1511"/>
      <c r="UB1511"/>
      <c r="UC1511"/>
      <c r="UD1511"/>
      <c r="UE1511"/>
      <c r="UF1511"/>
      <c r="UG1511"/>
      <c r="UH1511"/>
      <c r="UI1511"/>
      <c r="UJ1511"/>
      <c r="UK1511"/>
      <c r="UL1511"/>
      <c r="UM1511"/>
      <c r="UN1511"/>
      <c r="UO1511"/>
      <c r="UP1511"/>
      <c r="UQ1511"/>
      <c r="UR1511"/>
      <c r="US1511"/>
      <c r="UT1511"/>
      <c r="UU1511"/>
      <c r="UV1511"/>
      <c r="UW1511"/>
      <c r="UX1511"/>
      <c r="UY1511"/>
      <c r="UZ1511"/>
      <c r="VA1511"/>
      <c r="VB1511"/>
      <c r="VC1511"/>
      <c r="VD1511"/>
      <c r="VE1511"/>
      <c r="VF1511"/>
      <c r="VG1511"/>
      <c r="VH1511"/>
      <c r="VI1511"/>
      <c r="VJ1511"/>
      <c r="VK1511"/>
      <c r="VL1511"/>
      <c r="VM1511"/>
      <c r="VN1511"/>
      <c r="VO1511"/>
      <c r="VP1511"/>
      <c r="VQ1511"/>
      <c r="VR1511"/>
      <c r="VS1511"/>
      <c r="VT1511"/>
      <c r="VU1511"/>
      <c r="VV1511"/>
      <c r="VW1511"/>
      <c r="VX1511"/>
      <c r="VY1511"/>
      <c r="VZ1511"/>
      <c r="WA1511"/>
      <c r="WB1511"/>
      <c r="WC1511"/>
      <c r="WD1511"/>
      <c r="WE1511"/>
      <c r="WF1511"/>
      <c r="WG1511"/>
      <c r="WH1511"/>
      <c r="WI1511"/>
      <c r="WJ1511"/>
      <c r="WK1511"/>
      <c r="WL1511"/>
      <c r="WM1511"/>
      <c r="WN1511"/>
      <c r="WO1511"/>
      <c r="WP1511"/>
      <c r="WQ1511"/>
      <c r="WR1511"/>
      <c r="WS1511"/>
      <c r="WT1511"/>
      <c r="WU1511"/>
      <c r="WV1511"/>
      <c r="WW1511"/>
      <c r="WX1511"/>
      <c r="WY1511"/>
      <c r="WZ1511"/>
      <c r="XA1511"/>
      <c r="XB1511"/>
      <c r="XC1511"/>
      <c r="XD1511"/>
      <c r="XE1511"/>
      <c r="XF1511"/>
      <c r="XG1511"/>
      <c r="XH1511"/>
      <c r="XI1511"/>
      <c r="XJ1511"/>
      <c r="XK1511"/>
      <c r="XL1511"/>
      <c r="XM1511"/>
      <c r="XN1511"/>
      <c r="XO1511"/>
      <c r="XP1511"/>
      <c r="XQ1511"/>
      <c r="XR1511"/>
      <c r="XS1511"/>
      <c r="XT1511"/>
      <c r="XU1511"/>
      <c r="XV1511"/>
      <c r="XW1511"/>
      <c r="XX1511"/>
      <c r="XY1511"/>
      <c r="XZ1511"/>
      <c r="YA1511"/>
      <c r="YB1511"/>
      <c r="YC1511"/>
      <c r="YD1511"/>
      <c r="YE1511"/>
      <c r="YF1511"/>
      <c r="YG1511"/>
      <c r="YH1511"/>
      <c r="YI1511"/>
      <c r="YJ1511"/>
      <c r="YK1511"/>
      <c r="YL1511"/>
      <c r="YM1511"/>
      <c r="YN1511"/>
      <c r="YO1511"/>
      <c r="YP1511"/>
      <c r="YQ1511"/>
      <c r="YR1511"/>
      <c r="YS1511"/>
      <c r="YT1511"/>
      <c r="YU1511"/>
      <c r="YV1511"/>
      <c r="YW1511"/>
      <c r="YX1511"/>
      <c r="YY1511"/>
      <c r="YZ1511"/>
      <c r="ZA1511"/>
      <c r="ZB1511"/>
      <c r="ZC1511"/>
      <c r="ZD1511"/>
      <c r="ZE1511"/>
      <c r="ZF1511"/>
      <c r="ZG1511"/>
      <c r="ZH1511"/>
      <c r="ZI1511"/>
      <c r="ZJ1511"/>
      <c r="ZK1511"/>
      <c r="ZL1511"/>
      <c r="ZM1511"/>
      <c r="ZN1511"/>
      <c r="ZO1511"/>
      <c r="ZP1511"/>
      <c r="ZQ1511"/>
      <c r="ZR1511"/>
      <c r="ZS1511"/>
      <c r="ZT1511"/>
      <c r="ZU1511"/>
      <c r="ZV1511"/>
      <c r="ZW1511"/>
      <c r="ZX1511"/>
      <c r="ZY1511"/>
      <c r="ZZ1511"/>
      <c r="AAA1511"/>
      <c r="AAB1511"/>
      <c r="AAC1511"/>
      <c r="AAD1511"/>
      <c r="AAE1511"/>
      <c r="AAF1511"/>
      <c r="AAG1511"/>
      <c r="AAH1511"/>
      <c r="AAI1511"/>
      <c r="AAJ1511"/>
      <c r="AAK1511"/>
      <c r="AAL1511"/>
      <c r="AAM1511"/>
      <c r="AAN1511"/>
      <c r="AAO1511"/>
      <c r="AAP1511"/>
      <c r="AAQ1511"/>
      <c r="AAR1511"/>
      <c r="AAS1511"/>
      <c r="AAT1511"/>
      <c r="AAU1511"/>
      <c r="AAV1511"/>
      <c r="AAW1511"/>
      <c r="AAX1511"/>
      <c r="AAY1511"/>
      <c r="AAZ1511"/>
      <c r="ABA1511"/>
      <c r="ABB1511"/>
      <c r="ABC1511"/>
      <c r="ABD1511"/>
      <c r="ABE1511"/>
      <c r="ABF1511"/>
      <c r="ABG1511"/>
      <c r="ABH1511"/>
      <c r="ABI1511"/>
      <c r="ABJ1511"/>
      <c r="ABK1511"/>
      <c r="ABL1511"/>
      <c r="ABM1511"/>
      <c r="ABN1511"/>
      <c r="ABO1511"/>
      <c r="ABP1511"/>
      <c r="ABQ1511"/>
      <c r="ABR1511"/>
      <c r="ABS1511"/>
      <c r="ABT1511"/>
      <c r="ABU1511"/>
      <c r="ABV1511"/>
      <c r="ABW1511"/>
      <c r="ABX1511"/>
      <c r="ABY1511"/>
      <c r="ABZ1511"/>
      <c r="ACA1511"/>
      <c r="ACB1511"/>
      <c r="ACC1511"/>
      <c r="ACD1511"/>
      <c r="ACE1511"/>
      <c r="ACF1511"/>
      <c r="ACG1511"/>
      <c r="ACH1511"/>
      <c r="ACI1511"/>
      <c r="ACJ1511"/>
      <c r="ACK1511"/>
      <c r="ACL1511"/>
      <c r="ACM1511"/>
      <c r="ACN1511"/>
      <c r="ACO1511"/>
      <c r="ACP1511"/>
      <c r="ACQ1511"/>
      <c r="ACR1511"/>
      <c r="ACS1511"/>
      <c r="ACT1511"/>
      <c r="ACU1511"/>
      <c r="ACV1511"/>
      <c r="ACW1511"/>
      <c r="ACX1511"/>
      <c r="ACY1511"/>
      <c r="ACZ1511"/>
      <c r="ADA1511"/>
      <c r="ADB1511"/>
      <c r="ADC1511"/>
      <c r="ADD1511"/>
      <c r="ADE1511"/>
      <c r="ADF1511"/>
      <c r="ADG1511"/>
      <c r="ADH1511"/>
      <c r="ADI1511"/>
      <c r="ADJ1511"/>
      <c r="ADK1511"/>
      <c r="ADL1511"/>
      <c r="ADM1511"/>
      <c r="ADN1511"/>
      <c r="ADO1511"/>
      <c r="ADP1511"/>
      <c r="ADQ1511"/>
      <c r="ADR1511"/>
      <c r="ADS1511"/>
      <c r="ADT1511"/>
      <c r="ADU1511"/>
      <c r="ADV1511"/>
      <c r="ADW1511"/>
      <c r="ADX1511"/>
      <c r="ADY1511"/>
      <c r="ADZ1511"/>
      <c r="AEA1511"/>
      <c r="AEB1511"/>
      <c r="AEC1511"/>
      <c r="AED1511"/>
      <c r="AEE1511"/>
      <c r="AEF1511"/>
      <c r="AEG1511"/>
      <c r="AEH1511"/>
      <c r="AEI1511"/>
      <c r="AEJ1511"/>
      <c r="AEK1511"/>
      <c r="AEL1511"/>
      <c r="AEM1511"/>
      <c r="AEN1511"/>
      <c r="AEO1511"/>
      <c r="AEP1511"/>
      <c r="AEQ1511"/>
      <c r="AER1511"/>
      <c r="AES1511"/>
      <c r="AET1511"/>
      <c r="AEU1511"/>
      <c r="AEV1511"/>
      <c r="AEW1511"/>
      <c r="AEX1511"/>
      <c r="AEY1511"/>
      <c r="AEZ1511"/>
      <c r="AFA1511"/>
      <c r="AFB1511"/>
      <c r="AFC1511"/>
      <c r="AFD1511"/>
      <c r="AFE1511"/>
      <c r="AFF1511"/>
      <c r="AFG1511"/>
      <c r="AFH1511"/>
      <c r="AFI1511"/>
      <c r="AFJ1511"/>
      <c r="AFK1511"/>
      <c r="AFL1511"/>
      <c r="AFM1511"/>
      <c r="AFN1511"/>
      <c r="AFO1511"/>
      <c r="AFP1511"/>
      <c r="AFQ1511"/>
      <c r="AFR1511"/>
      <c r="AFS1511"/>
      <c r="AFT1511"/>
      <c r="AFU1511"/>
      <c r="AFV1511"/>
      <c r="AFW1511"/>
      <c r="AFX1511"/>
      <c r="AFY1511"/>
      <c r="AFZ1511"/>
      <c r="AGA1511"/>
      <c r="AGB1511"/>
      <c r="AGC1511"/>
      <c r="AGD1511"/>
      <c r="AGE1511"/>
      <c r="AGF1511"/>
      <c r="AGG1511"/>
      <c r="AGH1511"/>
      <c r="AGI1511"/>
      <c r="AGJ1511"/>
      <c r="AGK1511"/>
      <c r="AGL1511"/>
      <c r="AGM1511"/>
      <c r="AGN1511"/>
      <c r="AGO1511"/>
      <c r="AGP1511"/>
      <c r="AGQ1511"/>
      <c r="AGR1511"/>
      <c r="AGS1511"/>
      <c r="AGT1511"/>
      <c r="AGU1511"/>
      <c r="AGV1511"/>
      <c r="AGW1511"/>
      <c r="AGX1511"/>
      <c r="AGY1511"/>
      <c r="AGZ1511"/>
      <c r="AHA1511"/>
      <c r="AHB1511"/>
      <c r="AHC1511"/>
      <c r="AHD1511"/>
      <c r="AHE1511"/>
      <c r="AHF1511"/>
      <c r="AHG1511"/>
      <c r="AHH1511"/>
      <c r="AHI1511"/>
      <c r="AHJ1511"/>
      <c r="AHK1511"/>
      <c r="AHL1511"/>
      <c r="AHM1511"/>
      <c r="AHN1511"/>
      <c r="AHO1511"/>
      <c r="AHP1511"/>
      <c r="AHQ1511"/>
      <c r="AHR1511"/>
      <c r="AHS1511"/>
      <c r="AHT1511"/>
      <c r="AHU1511"/>
      <c r="AHV1511"/>
      <c r="AHW1511"/>
      <c r="AHX1511"/>
      <c r="AHY1511"/>
      <c r="AHZ1511"/>
      <c r="AIA1511"/>
      <c r="AIB1511"/>
      <c r="AIC1511"/>
      <c r="AID1511"/>
      <c r="AIE1511"/>
      <c r="AIF1511"/>
      <c r="AIG1511"/>
      <c r="AIH1511"/>
      <c r="AII1511"/>
      <c r="AIJ1511"/>
      <c r="AIK1511"/>
      <c r="AIL1511"/>
      <c r="AIM1511"/>
      <c r="AIN1511"/>
      <c r="AIO1511"/>
      <c r="AIP1511"/>
      <c r="AIQ1511"/>
      <c r="AIR1511"/>
      <c r="AIS1511"/>
      <c r="AIT1511"/>
      <c r="AIU1511"/>
      <c r="AIV1511"/>
      <c r="AIW1511"/>
      <c r="AIX1511"/>
      <c r="AIY1511"/>
      <c r="AIZ1511"/>
      <c r="AJA1511"/>
      <c r="AJB1511"/>
      <c r="AJC1511"/>
      <c r="AJD1511"/>
      <c r="AJE1511"/>
      <c r="AJF1511"/>
      <c r="AJG1511"/>
      <c r="AJH1511"/>
      <c r="AJI1511"/>
      <c r="AJJ1511"/>
      <c r="AJK1511"/>
      <c r="AJL1511"/>
      <c r="AJM1511"/>
      <c r="AJN1511"/>
      <c r="AJO1511"/>
      <c r="AJP1511"/>
      <c r="AJQ1511"/>
      <c r="AJR1511"/>
      <c r="AJS1511"/>
      <c r="AJT1511"/>
      <c r="AJU1511"/>
      <c r="AJV1511"/>
      <c r="AJW1511"/>
      <c r="AJX1511"/>
      <c r="AJY1511"/>
      <c r="AJZ1511"/>
      <c r="AKA1511"/>
      <c r="AKB1511"/>
      <c r="AKC1511"/>
      <c r="AKD1511"/>
      <c r="AKE1511"/>
      <c r="AKF1511"/>
      <c r="AKG1511"/>
      <c r="AKH1511"/>
      <c r="AKI1511"/>
      <c r="AKJ1511"/>
      <c r="AKK1511"/>
      <c r="AKL1511"/>
      <c r="AKM1511"/>
      <c r="AKN1511"/>
      <c r="AKO1511"/>
      <c r="AKP1511"/>
      <c r="AKQ1511"/>
      <c r="AKR1511"/>
      <c r="AKS1511"/>
      <c r="AKT1511"/>
      <c r="AKU1511"/>
      <c r="AKV1511"/>
      <c r="AKW1511"/>
      <c r="AKX1511"/>
      <c r="AKY1511"/>
      <c r="AKZ1511"/>
      <c r="ALA1511"/>
      <c r="ALB1511"/>
      <c r="ALC1511"/>
      <c r="ALD1511"/>
      <c r="ALE1511"/>
      <c r="ALF1511"/>
      <c r="ALG1511"/>
      <c r="ALH1511"/>
      <c r="ALI1511"/>
      <c r="ALJ1511"/>
      <c r="ALK1511"/>
      <c r="ALL1511"/>
      <c r="ALM1511"/>
      <c r="ALN1511"/>
      <c r="ALO1511"/>
      <c r="ALP1511"/>
      <c r="ALQ1511"/>
      <c r="ALR1511"/>
      <c r="ALS1511"/>
      <c r="ALT1511"/>
      <c r="ALU1511"/>
      <c r="ALV1511"/>
      <c r="ALW1511"/>
      <c r="ALX1511"/>
      <c r="ALY1511"/>
      <c r="ALZ1511"/>
      <c r="AMA1511"/>
      <c r="AMB1511"/>
      <c r="AMC1511"/>
      <c r="AMD1511"/>
      <c r="AME1511"/>
      <c r="AMF1511"/>
      <c r="AMG1511"/>
      <c r="AMH1511"/>
      <c r="AMI1511"/>
      <c r="AMJ1511"/>
      <c r="AMK1511"/>
      <c r="AML1511"/>
      <c r="AMM1511"/>
      <c r="AMN1511"/>
      <c r="AMO1511"/>
      <c r="AMP1511"/>
      <c r="AMQ1511"/>
      <c r="AMR1511"/>
      <c r="AMS1511"/>
      <c r="AMT1511"/>
      <c r="AMU1511"/>
      <c r="AMV1511"/>
      <c r="AMW1511"/>
      <c r="AMX1511"/>
      <c r="AMY1511"/>
      <c r="AMZ1511"/>
      <c r="ANA1511"/>
      <c r="ANB1511"/>
      <c r="ANC1511"/>
      <c r="AND1511"/>
      <c r="ANE1511"/>
      <c r="ANF1511"/>
      <c r="ANG1511"/>
      <c r="ANH1511"/>
      <c r="ANI1511"/>
      <c r="ANJ1511"/>
      <c r="ANK1511"/>
      <c r="ANL1511"/>
      <c r="ANM1511"/>
      <c r="ANN1511"/>
      <c r="ANO1511"/>
      <c r="ANP1511"/>
      <c r="ANQ1511"/>
      <c r="ANR1511"/>
      <c r="ANS1511"/>
      <c r="ANT1511"/>
      <c r="ANU1511"/>
      <c r="ANV1511"/>
      <c r="ANW1511"/>
      <c r="ANX1511"/>
      <c r="ANY1511"/>
      <c r="ANZ1511"/>
      <c r="AOA1511"/>
      <c r="AOB1511"/>
      <c r="AOC1511"/>
      <c r="AOD1511"/>
      <c r="AOE1511"/>
      <c r="AOF1511"/>
      <c r="AOG1511"/>
      <c r="AOH1511"/>
      <c r="AOI1511"/>
      <c r="AOJ1511"/>
      <c r="AOK1511"/>
      <c r="AOL1511"/>
      <c r="AOM1511"/>
      <c r="AON1511"/>
      <c r="AOO1511"/>
      <c r="AOP1511"/>
      <c r="AOQ1511"/>
      <c r="AOR1511"/>
      <c r="AOS1511"/>
      <c r="AOT1511"/>
      <c r="AOU1511"/>
      <c r="AOV1511"/>
      <c r="AOW1511"/>
      <c r="AOX1511"/>
      <c r="AOY1511"/>
      <c r="AOZ1511"/>
      <c r="APA1511"/>
      <c r="APB1511"/>
      <c r="APC1511"/>
      <c r="APD1511"/>
      <c r="APE1511"/>
      <c r="APF1511"/>
      <c r="APG1511"/>
      <c r="APH1511"/>
      <c r="API1511"/>
      <c r="APJ1511"/>
      <c r="APK1511"/>
      <c r="APL1511"/>
      <c r="APM1511"/>
      <c r="APN1511"/>
      <c r="APO1511"/>
      <c r="APP1511"/>
      <c r="APQ1511"/>
      <c r="APR1511"/>
      <c r="APS1511"/>
      <c r="APT1511"/>
      <c r="APU1511"/>
      <c r="APV1511"/>
      <c r="APW1511"/>
      <c r="APX1511"/>
      <c r="APY1511"/>
      <c r="APZ1511"/>
      <c r="AQA1511"/>
      <c r="AQB1511"/>
      <c r="AQC1511"/>
      <c r="AQD1511"/>
      <c r="AQE1511"/>
      <c r="AQF1511"/>
      <c r="AQG1511"/>
      <c r="AQH1511"/>
      <c r="AQI1511"/>
      <c r="AQJ1511"/>
      <c r="AQK1511"/>
      <c r="AQL1511"/>
      <c r="AQM1511"/>
      <c r="AQN1511"/>
      <c r="AQO1511"/>
      <c r="AQP1511"/>
      <c r="AQQ1511"/>
      <c r="AQR1511"/>
      <c r="AQS1511"/>
      <c r="AQT1511"/>
      <c r="AQU1511"/>
      <c r="AQV1511"/>
      <c r="AQW1511"/>
      <c r="AQX1511"/>
      <c r="AQY1511"/>
      <c r="AQZ1511"/>
      <c r="ARA1511"/>
      <c r="ARB1511"/>
      <c r="ARC1511"/>
      <c r="ARD1511"/>
      <c r="ARE1511"/>
      <c r="ARF1511"/>
      <c r="ARG1511"/>
      <c r="ARH1511"/>
      <c r="ARI1511"/>
      <c r="ARJ1511"/>
      <c r="ARK1511"/>
      <c r="ARL1511"/>
      <c r="ARM1511"/>
      <c r="ARN1511"/>
      <c r="ARO1511"/>
      <c r="ARP1511"/>
      <c r="ARQ1511"/>
      <c r="ARR1511"/>
      <c r="ARS1511"/>
      <c r="ART1511"/>
      <c r="ARU1511"/>
      <c r="ARV1511"/>
      <c r="ARW1511"/>
      <c r="ARX1511"/>
      <c r="ARY1511"/>
      <c r="ARZ1511"/>
      <c r="ASA1511"/>
      <c r="ASB1511"/>
      <c r="ASC1511"/>
      <c r="ASD1511"/>
      <c r="ASE1511"/>
      <c r="ASF1511"/>
      <c r="ASG1511"/>
      <c r="ASH1511"/>
      <c r="ASI1511"/>
      <c r="ASJ1511"/>
      <c r="ASK1511"/>
      <c r="ASL1511"/>
      <c r="ASM1511"/>
      <c r="ASN1511"/>
      <c r="ASO1511"/>
      <c r="ASP1511"/>
      <c r="ASQ1511"/>
      <c r="ASR1511"/>
      <c r="ASS1511"/>
      <c r="AST1511"/>
      <c r="ASU1511"/>
      <c r="ASV1511"/>
      <c r="ASW1511"/>
      <c r="ASX1511"/>
      <c r="ASY1511"/>
      <c r="ASZ1511"/>
      <c r="ATA1511"/>
      <c r="ATB1511"/>
      <c r="ATC1511"/>
      <c r="ATD1511"/>
      <c r="ATE1511"/>
      <c r="ATF1511"/>
      <c r="ATG1511"/>
      <c r="ATH1511"/>
      <c r="ATI1511"/>
      <c r="ATJ1511"/>
      <c r="ATK1511"/>
      <c r="ATL1511"/>
      <c r="ATM1511"/>
      <c r="ATN1511"/>
      <c r="ATO1511"/>
      <c r="ATP1511"/>
      <c r="ATQ1511"/>
      <c r="ATR1511"/>
      <c r="ATS1511"/>
      <c r="ATT1511"/>
      <c r="ATU1511"/>
      <c r="ATV1511"/>
      <c r="ATW1511"/>
      <c r="ATX1511"/>
      <c r="ATY1511"/>
      <c r="ATZ1511"/>
      <c r="AUA1511"/>
      <c r="AUB1511"/>
      <c r="AUC1511"/>
      <c r="AUD1511"/>
      <c r="AUE1511"/>
      <c r="AUF1511"/>
      <c r="AUG1511"/>
      <c r="AUH1511"/>
      <c r="AUI1511"/>
      <c r="AUJ1511"/>
      <c r="AUK1511"/>
      <c r="AUL1511"/>
      <c r="AUM1511"/>
      <c r="AUN1511"/>
      <c r="AUO1511"/>
      <c r="AUP1511"/>
      <c r="AUQ1511"/>
      <c r="AUR1511"/>
      <c r="AUS1511"/>
      <c r="AUT1511"/>
      <c r="AUU1511"/>
      <c r="AUV1511"/>
      <c r="AUW1511"/>
      <c r="AUX1511"/>
      <c r="AUY1511"/>
      <c r="AUZ1511"/>
      <c r="AVA1511"/>
      <c r="AVB1511"/>
      <c r="AVC1511"/>
      <c r="AVD1511"/>
      <c r="AVE1511"/>
      <c r="AVF1511"/>
      <c r="AVG1511"/>
      <c r="AVH1511"/>
      <c r="AVI1511"/>
      <c r="AVJ1511"/>
      <c r="AVK1511"/>
      <c r="AVL1511"/>
      <c r="AVM1511"/>
      <c r="AVN1511"/>
      <c r="AVO1511"/>
      <c r="AVP1511"/>
      <c r="AVQ1511"/>
      <c r="AVR1511"/>
      <c r="AVS1511"/>
      <c r="AVT1511"/>
      <c r="AVU1511"/>
      <c r="AVV1511"/>
      <c r="AVW1511"/>
      <c r="AVX1511"/>
      <c r="AVY1511"/>
      <c r="AVZ1511"/>
      <c r="AWA1511"/>
      <c r="AWB1511"/>
      <c r="AWC1511"/>
      <c r="AWD1511"/>
      <c r="AWE1511"/>
      <c r="AWF1511"/>
      <c r="AWG1511"/>
      <c r="AWH1511"/>
      <c r="AWI1511"/>
      <c r="AWJ1511"/>
      <c r="AWK1511"/>
      <c r="AWL1511"/>
      <c r="AWM1511"/>
      <c r="AWN1511"/>
      <c r="AWO1511"/>
      <c r="AWP1511"/>
      <c r="AWQ1511"/>
      <c r="AWR1511"/>
      <c r="AWS1511"/>
      <c r="AWT1511"/>
      <c r="AWU1511"/>
      <c r="AWV1511"/>
      <c r="AWW1511"/>
      <c r="AWX1511"/>
      <c r="AWY1511"/>
      <c r="AWZ1511"/>
      <c r="AXA1511"/>
      <c r="AXB1511"/>
      <c r="AXC1511"/>
      <c r="AXD1511"/>
      <c r="AXE1511"/>
      <c r="AXF1511"/>
      <c r="AXG1511"/>
      <c r="AXH1511"/>
      <c r="AXI1511"/>
      <c r="AXJ1511"/>
      <c r="AXK1511"/>
      <c r="AXL1511"/>
      <c r="AXM1511"/>
      <c r="AXN1511"/>
      <c r="AXO1511"/>
      <c r="AXP1511"/>
      <c r="AXQ1511"/>
      <c r="AXR1511"/>
      <c r="AXS1511"/>
      <c r="AXT1511"/>
      <c r="AXU1511"/>
      <c r="AXV1511"/>
      <c r="AXW1511"/>
      <c r="AXX1511"/>
      <c r="AXY1511"/>
      <c r="AXZ1511"/>
      <c r="AYA1511"/>
      <c r="AYB1511"/>
      <c r="AYC1511"/>
      <c r="AYD1511"/>
      <c r="AYE1511"/>
      <c r="AYF1511"/>
      <c r="AYG1511"/>
      <c r="AYH1511"/>
      <c r="AYI1511"/>
      <c r="AYJ1511"/>
      <c r="AYK1511"/>
      <c r="AYL1511"/>
      <c r="AYM1511"/>
      <c r="AYN1511"/>
      <c r="AYO1511"/>
      <c r="AYP1511"/>
      <c r="AYQ1511"/>
      <c r="AYR1511"/>
      <c r="AYS1511"/>
      <c r="AYT1511"/>
      <c r="AYU1511"/>
      <c r="AYV1511"/>
      <c r="AYW1511"/>
      <c r="AYX1511"/>
      <c r="AYY1511"/>
      <c r="AYZ1511"/>
      <c r="AZA1511"/>
      <c r="AZB1511"/>
      <c r="AZC1511"/>
      <c r="AZD1511"/>
      <c r="AZE1511"/>
      <c r="AZF1511"/>
      <c r="AZG1511"/>
      <c r="AZH1511"/>
      <c r="AZI1511"/>
      <c r="AZJ1511"/>
      <c r="AZK1511"/>
      <c r="AZL1511"/>
      <c r="AZM1511"/>
      <c r="AZN1511"/>
      <c r="AZO1511"/>
      <c r="AZP1511"/>
      <c r="AZQ1511"/>
      <c r="AZR1511"/>
      <c r="AZS1511"/>
      <c r="AZT1511"/>
      <c r="AZU1511"/>
      <c r="AZV1511"/>
      <c r="AZW1511"/>
      <c r="AZX1511"/>
      <c r="AZY1511"/>
      <c r="AZZ1511"/>
      <c r="BAA1511"/>
      <c r="BAB1511"/>
      <c r="BAC1511"/>
      <c r="BAD1511"/>
      <c r="BAE1511"/>
      <c r="BAF1511"/>
      <c r="BAG1511"/>
      <c r="BAH1511"/>
      <c r="BAI1511"/>
      <c r="BAJ1511"/>
      <c r="BAK1511"/>
      <c r="BAL1511"/>
      <c r="BAM1511"/>
      <c r="BAN1511"/>
      <c r="BAO1511"/>
      <c r="BAP1511"/>
      <c r="BAQ1511"/>
      <c r="BAR1511"/>
      <c r="BAS1511"/>
      <c r="BAT1511"/>
      <c r="BAU1511"/>
      <c r="BAV1511"/>
      <c r="BAW1511"/>
      <c r="BAX1511"/>
      <c r="BAY1511"/>
      <c r="BAZ1511"/>
      <c r="BBA1511"/>
      <c r="BBB1511"/>
      <c r="BBC1511"/>
      <c r="BBD1511"/>
      <c r="BBE1511"/>
      <c r="BBF1511"/>
      <c r="BBG1511"/>
      <c r="BBH1511"/>
      <c r="BBI1511"/>
      <c r="BBJ1511"/>
      <c r="BBK1511"/>
      <c r="BBL1511"/>
      <c r="BBM1511"/>
      <c r="BBN1511"/>
      <c r="BBO1511"/>
      <c r="BBP1511"/>
      <c r="BBQ1511"/>
      <c r="BBR1511"/>
      <c r="BBS1511"/>
      <c r="BBT1511"/>
      <c r="BBU1511"/>
      <c r="BBV1511"/>
      <c r="BBW1511"/>
      <c r="BBX1511"/>
      <c r="BBY1511"/>
      <c r="BBZ1511"/>
      <c r="BCA1511"/>
      <c r="BCB1511"/>
      <c r="BCC1511"/>
      <c r="BCD1511"/>
      <c r="BCE1511"/>
      <c r="BCF1511"/>
      <c r="BCG1511"/>
      <c r="BCH1511"/>
      <c r="BCI1511"/>
      <c r="BCJ1511"/>
      <c r="BCK1511"/>
      <c r="BCL1511"/>
      <c r="BCM1511"/>
      <c r="BCN1511"/>
      <c r="BCO1511"/>
      <c r="BCP1511"/>
      <c r="BCQ1511"/>
      <c r="BCR1511"/>
      <c r="BCS1511"/>
      <c r="BCT1511"/>
      <c r="BCU1511"/>
      <c r="BCV1511"/>
      <c r="BCW1511"/>
      <c r="BCX1511"/>
      <c r="BCY1511"/>
      <c r="BCZ1511"/>
      <c r="BDA1511"/>
      <c r="BDB1511"/>
      <c r="BDC1511"/>
      <c r="BDD1511"/>
      <c r="BDE1511"/>
      <c r="BDF1511"/>
      <c r="BDG1511"/>
      <c r="BDH1511"/>
      <c r="BDI1511"/>
      <c r="BDJ1511"/>
      <c r="BDK1511"/>
      <c r="BDL1511"/>
      <c r="BDM1511"/>
      <c r="BDN1511"/>
      <c r="BDO1511"/>
      <c r="BDP1511"/>
      <c r="BDQ1511"/>
      <c r="BDR1511"/>
      <c r="BDS1511"/>
      <c r="BDT1511"/>
      <c r="BDU1511"/>
      <c r="BDV1511"/>
      <c r="BDW1511"/>
      <c r="BDX1511"/>
      <c r="BDY1511"/>
      <c r="BDZ1511"/>
      <c r="BEA1511"/>
      <c r="BEB1511"/>
      <c r="BEC1511"/>
      <c r="BED1511"/>
      <c r="BEE1511"/>
      <c r="BEF1511"/>
      <c r="BEG1511"/>
      <c r="BEH1511"/>
      <c r="BEI1511"/>
      <c r="BEJ1511"/>
      <c r="BEK1511"/>
      <c r="BEL1511"/>
      <c r="BEM1511"/>
      <c r="BEN1511"/>
      <c r="BEO1511"/>
      <c r="BEP1511"/>
      <c r="BEQ1511"/>
      <c r="BER1511"/>
      <c r="BES1511"/>
      <c r="BET1511"/>
      <c r="BEU1511"/>
      <c r="BEV1511"/>
      <c r="BEW1511"/>
      <c r="BEX1511"/>
      <c r="BEY1511"/>
      <c r="BEZ1511"/>
      <c r="BFA1511"/>
      <c r="BFB1511"/>
      <c r="BFC1511"/>
      <c r="BFD1511"/>
      <c r="BFE1511"/>
      <c r="BFF1511"/>
      <c r="BFG1511"/>
      <c r="BFH1511"/>
      <c r="BFI1511"/>
      <c r="BFJ1511"/>
      <c r="BFK1511"/>
      <c r="BFL1511"/>
      <c r="BFM1511"/>
      <c r="BFN1511"/>
      <c r="BFO1511"/>
      <c r="BFP1511"/>
      <c r="BFQ1511"/>
      <c r="BFR1511"/>
      <c r="BFS1511"/>
      <c r="BFT1511"/>
      <c r="BFU1511"/>
      <c r="BFV1511"/>
      <c r="BFW1511"/>
      <c r="BFX1511"/>
      <c r="BFY1511"/>
      <c r="BFZ1511"/>
      <c r="BGA1511"/>
      <c r="BGB1511"/>
      <c r="BGC1511"/>
      <c r="BGD1511"/>
      <c r="BGE1511"/>
      <c r="BGF1511"/>
      <c r="BGG1511"/>
      <c r="BGH1511"/>
      <c r="BGI1511"/>
      <c r="BGJ1511"/>
      <c r="BGK1511"/>
      <c r="BGL1511"/>
      <c r="BGM1511"/>
      <c r="BGN1511"/>
      <c r="BGO1511"/>
      <c r="BGP1511"/>
      <c r="BGQ1511"/>
      <c r="BGR1511"/>
      <c r="BGS1511"/>
      <c r="BGT1511"/>
      <c r="BGU1511"/>
      <c r="BGV1511"/>
      <c r="BGW1511"/>
      <c r="BGX1511"/>
      <c r="BGY1511"/>
      <c r="BGZ1511"/>
      <c r="BHA1511"/>
      <c r="BHB1511"/>
      <c r="BHC1511"/>
      <c r="BHD1511"/>
      <c r="BHE1511"/>
      <c r="BHF1511"/>
      <c r="BHG1511"/>
      <c r="BHH1511"/>
      <c r="BHI1511"/>
      <c r="BHJ1511"/>
      <c r="BHK1511"/>
      <c r="BHL1511"/>
      <c r="BHM1511"/>
      <c r="BHN1511"/>
      <c r="BHO1511"/>
      <c r="BHP1511"/>
      <c r="BHQ1511"/>
      <c r="BHR1511"/>
      <c r="BHS1511"/>
      <c r="BHT1511"/>
      <c r="BHU1511"/>
      <c r="BHV1511"/>
      <c r="BHW1511"/>
      <c r="BHX1511"/>
      <c r="BHY1511"/>
      <c r="BHZ1511"/>
      <c r="BIA1511"/>
      <c r="BIB1511"/>
      <c r="BIC1511"/>
      <c r="BID1511"/>
      <c r="BIE1511"/>
      <c r="BIF1511"/>
      <c r="BIG1511"/>
      <c r="BIH1511"/>
      <c r="BII1511"/>
      <c r="BIJ1511"/>
      <c r="BIK1511"/>
      <c r="BIL1511"/>
      <c r="BIM1511"/>
      <c r="BIN1511"/>
      <c r="BIO1511"/>
      <c r="BIP1511"/>
      <c r="BIQ1511"/>
      <c r="BIR1511"/>
      <c r="BIS1511"/>
      <c r="BIT1511"/>
      <c r="BIU1511"/>
      <c r="BIV1511"/>
      <c r="BIW1511"/>
      <c r="BIX1511"/>
      <c r="BIY1511"/>
      <c r="BIZ1511"/>
      <c r="BJA1511"/>
      <c r="BJB1511"/>
      <c r="BJC1511"/>
      <c r="BJD1511"/>
      <c r="BJE1511"/>
      <c r="BJF1511"/>
      <c r="BJG1511"/>
      <c r="BJH1511"/>
      <c r="BJI1511"/>
      <c r="BJJ1511"/>
      <c r="BJK1511"/>
      <c r="BJL1511"/>
      <c r="BJM1511"/>
      <c r="BJN1511"/>
      <c r="BJO1511"/>
      <c r="BJP1511"/>
      <c r="BJQ1511"/>
      <c r="BJR1511"/>
      <c r="BJS1511"/>
      <c r="BJT1511"/>
      <c r="BJU1511"/>
      <c r="BJV1511"/>
      <c r="BJW1511"/>
      <c r="BJX1511"/>
      <c r="BJY1511"/>
      <c r="BJZ1511"/>
      <c r="BKA1511"/>
      <c r="BKB1511"/>
      <c r="BKC1511"/>
      <c r="BKD1511"/>
      <c r="BKE1511"/>
      <c r="BKF1511"/>
      <c r="BKG1511"/>
      <c r="BKH1511"/>
      <c r="BKI1511"/>
      <c r="BKJ1511"/>
      <c r="BKK1511"/>
      <c r="BKL1511"/>
      <c r="BKM1511"/>
      <c r="BKN1511"/>
      <c r="BKO1511"/>
      <c r="BKP1511"/>
      <c r="BKQ1511"/>
      <c r="BKR1511"/>
      <c r="BKS1511"/>
      <c r="BKT1511"/>
      <c r="BKU1511"/>
      <c r="BKV1511"/>
      <c r="BKW1511"/>
      <c r="BKX1511"/>
      <c r="BKY1511"/>
      <c r="BKZ1511"/>
      <c r="BLA1511"/>
      <c r="BLB1511"/>
      <c r="BLC1511"/>
      <c r="BLD1511"/>
      <c r="BLE1511"/>
      <c r="BLF1511"/>
      <c r="BLG1511"/>
      <c r="BLH1511"/>
      <c r="BLI1511"/>
      <c r="BLJ1511"/>
      <c r="BLK1511"/>
      <c r="BLL1511"/>
      <c r="BLM1511"/>
      <c r="BLN1511"/>
      <c r="BLO1511"/>
      <c r="BLP1511"/>
      <c r="BLQ1511"/>
      <c r="BLR1511"/>
      <c r="BLS1511"/>
      <c r="BLT1511"/>
      <c r="BLU1511"/>
      <c r="BLV1511"/>
      <c r="BLW1511"/>
      <c r="BLX1511"/>
      <c r="BLY1511"/>
      <c r="BLZ1511"/>
      <c r="BMA1511"/>
      <c r="BMB1511"/>
      <c r="BMC1511"/>
      <c r="BMD1511"/>
      <c r="BME1511"/>
      <c r="BMF1511"/>
      <c r="BMG1511"/>
      <c r="BMH1511"/>
      <c r="BMI1511"/>
      <c r="BMJ1511"/>
      <c r="BMK1511"/>
      <c r="BML1511"/>
      <c r="BMM1511"/>
      <c r="BMN1511"/>
      <c r="BMO1511"/>
      <c r="BMP1511"/>
      <c r="BMQ1511"/>
      <c r="BMR1511"/>
      <c r="BMS1511"/>
      <c r="BMT1511"/>
      <c r="BMU1511"/>
      <c r="BMV1511"/>
      <c r="BMW1511"/>
      <c r="BMX1511"/>
      <c r="BMY1511"/>
      <c r="BMZ1511"/>
      <c r="BNA1511"/>
      <c r="BNB1511"/>
      <c r="BNC1511"/>
      <c r="BND1511"/>
      <c r="BNE1511"/>
      <c r="BNF1511"/>
      <c r="BNG1511"/>
      <c r="BNH1511"/>
      <c r="BNI1511"/>
      <c r="BNJ1511"/>
      <c r="BNK1511"/>
      <c r="BNL1511"/>
      <c r="BNM1511"/>
      <c r="BNN1511"/>
      <c r="BNO1511"/>
      <c r="BNP1511"/>
      <c r="BNQ1511"/>
      <c r="BNR1511"/>
      <c r="BNS1511"/>
      <c r="BNT1511"/>
      <c r="BNU1511"/>
      <c r="BNV1511"/>
      <c r="BNW1511"/>
      <c r="BNX1511"/>
      <c r="BNY1511"/>
      <c r="BNZ1511"/>
      <c r="BOA1511"/>
      <c r="BOB1511"/>
      <c r="BOC1511"/>
      <c r="BOD1511"/>
      <c r="BOE1511"/>
      <c r="BOF1511"/>
      <c r="BOG1511"/>
      <c r="BOH1511"/>
      <c r="BOI1511"/>
      <c r="BOJ1511"/>
      <c r="BOK1511"/>
      <c r="BOL1511"/>
      <c r="BOM1511"/>
      <c r="BON1511"/>
      <c r="BOO1511"/>
      <c r="BOP1511"/>
      <c r="BOQ1511"/>
      <c r="BOR1511"/>
      <c r="BOS1511"/>
      <c r="BOT1511"/>
      <c r="BOU1511"/>
      <c r="BOV1511"/>
      <c r="BOW1511"/>
      <c r="BOX1511"/>
      <c r="BOY1511"/>
      <c r="BOZ1511"/>
      <c r="BPA1511"/>
      <c r="BPB1511"/>
      <c r="BPC1511"/>
      <c r="BPD1511"/>
      <c r="BPE1511"/>
      <c r="BPF1511"/>
      <c r="BPG1511"/>
      <c r="BPH1511"/>
      <c r="BPI1511"/>
      <c r="BPJ1511"/>
      <c r="BPK1511"/>
      <c r="BPL1511"/>
      <c r="BPM1511"/>
      <c r="BPN1511"/>
      <c r="BPO1511"/>
      <c r="BPP1511"/>
      <c r="BPQ1511"/>
      <c r="BPR1511"/>
      <c r="BPS1511"/>
      <c r="BPT1511"/>
      <c r="BPU1511"/>
      <c r="BPV1511"/>
      <c r="BPW1511"/>
      <c r="BPX1511"/>
      <c r="BPY1511"/>
      <c r="BPZ1511"/>
      <c r="BQA1511"/>
      <c r="BQB1511"/>
      <c r="BQC1511"/>
      <c r="BQD1511"/>
      <c r="BQE1511"/>
      <c r="BQF1511"/>
      <c r="BQG1511"/>
      <c r="BQH1511"/>
      <c r="BQI1511"/>
      <c r="BQJ1511"/>
      <c r="BQK1511"/>
      <c r="BQL1511"/>
      <c r="BQM1511"/>
      <c r="BQN1511"/>
      <c r="BQO1511"/>
      <c r="BQP1511"/>
      <c r="BQQ1511"/>
      <c r="BQR1511"/>
      <c r="BQS1511"/>
      <c r="BQT1511"/>
      <c r="BQU1511"/>
      <c r="BQV1511"/>
      <c r="BQW1511"/>
      <c r="BQX1511"/>
      <c r="BQY1511"/>
      <c r="BQZ1511"/>
      <c r="BRA1511"/>
      <c r="BRB1511"/>
      <c r="BRC1511"/>
      <c r="BRD1511"/>
      <c r="BRE1511"/>
      <c r="BRF1511"/>
      <c r="BRG1511"/>
      <c r="BRH1511"/>
      <c r="BRI1511"/>
      <c r="BRJ1511"/>
      <c r="BRK1511"/>
      <c r="BRL1511"/>
      <c r="BRM1511"/>
      <c r="BRN1511"/>
      <c r="BRO1511"/>
      <c r="BRP1511"/>
      <c r="BRQ1511"/>
      <c r="BRR1511"/>
      <c r="BRS1511"/>
      <c r="BRT1511"/>
      <c r="BRU1511"/>
      <c r="BRV1511"/>
      <c r="BRW1511"/>
      <c r="BRX1511"/>
      <c r="BRY1511"/>
      <c r="BRZ1511"/>
      <c r="BSA1511"/>
      <c r="BSB1511"/>
      <c r="BSC1511"/>
      <c r="BSD1511"/>
      <c r="BSE1511"/>
      <c r="BSF1511"/>
      <c r="BSG1511"/>
      <c r="BSH1511"/>
      <c r="BSI1511"/>
      <c r="BSJ1511"/>
      <c r="BSK1511"/>
      <c r="BSL1511"/>
      <c r="BSM1511"/>
      <c r="BSN1511"/>
      <c r="BSO1511"/>
      <c r="BSP1511"/>
      <c r="BSQ1511"/>
      <c r="BSR1511"/>
      <c r="BSS1511"/>
      <c r="BST1511"/>
      <c r="BSU1511"/>
      <c r="BSV1511"/>
      <c r="BSW1511"/>
      <c r="BSX1511"/>
      <c r="BSY1511"/>
      <c r="BSZ1511"/>
      <c r="BTA1511"/>
      <c r="BTB1511"/>
      <c r="BTC1511"/>
      <c r="BTD1511"/>
      <c r="BTE1511"/>
      <c r="BTF1511"/>
      <c r="BTG1511"/>
      <c r="BTH1511"/>
      <c r="BTI1511"/>
      <c r="BTJ1511"/>
      <c r="BTK1511"/>
      <c r="BTL1511"/>
      <c r="BTM1511"/>
      <c r="BTN1511"/>
      <c r="BTO1511"/>
      <c r="BTP1511"/>
      <c r="BTQ1511"/>
      <c r="BTR1511"/>
      <c r="BTS1511"/>
      <c r="BTT1511"/>
      <c r="BTU1511"/>
      <c r="BTV1511"/>
      <c r="BTW1511"/>
      <c r="BTX1511"/>
      <c r="BTY1511"/>
      <c r="BTZ1511"/>
      <c r="BUA1511"/>
      <c r="BUB1511"/>
      <c r="BUC1511"/>
      <c r="BUD1511"/>
      <c r="BUE1511"/>
      <c r="BUF1511"/>
      <c r="BUG1511"/>
      <c r="BUH1511"/>
      <c r="BUI1511"/>
      <c r="BUJ1511"/>
      <c r="BUK1511"/>
      <c r="BUL1511"/>
      <c r="BUM1511"/>
      <c r="BUN1511"/>
      <c r="BUO1511"/>
      <c r="BUP1511"/>
      <c r="BUQ1511"/>
      <c r="BUR1511"/>
      <c r="BUS1511"/>
      <c r="BUT1511"/>
      <c r="BUU1511"/>
      <c r="BUV1511"/>
      <c r="BUW1511"/>
      <c r="BUX1511"/>
      <c r="BUY1511"/>
      <c r="BUZ1511"/>
      <c r="BVA1511"/>
      <c r="BVB1511"/>
      <c r="BVC1511"/>
      <c r="BVD1511"/>
      <c r="BVE1511"/>
      <c r="BVF1511"/>
      <c r="BVG1511"/>
      <c r="BVH1511"/>
      <c r="BVI1511"/>
      <c r="BVJ1511"/>
      <c r="BVK1511"/>
      <c r="BVL1511"/>
      <c r="BVM1511"/>
      <c r="BVN1511"/>
      <c r="BVO1511"/>
      <c r="BVP1511"/>
      <c r="BVQ1511"/>
      <c r="BVR1511"/>
      <c r="BVS1511"/>
      <c r="BVT1511"/>
      <c r="BVU1511"/>
      <c r="BVV1511"/>
      <c r="BVW1511"/>
      <c r="BVX1511"/>
      <c r="BVY1511"/>
      <c r="BVZ1511"/>
      <c r="BWA1511"/>
      <c r="BWB1511"/>
      <c r="BWC1511"/>
      <c r="BWD1511"/>
      <c r="BWE1511"/>
      <c r="BWF1511"/>
      <c r="BWG1511"/>
      <c r="BWH1511"/>
      <c r="BWI1511"/>
      <c r="BWJ1511"/>
      <c r="BWK1511"/>
      <c r="BWL1511"/>
      <c r="BWM1511"/>
      <c r="BWN1511"/>
      <c r="BWO1511"/>
      <c r="BWP1511"/>
      <c r="BWQ1511"/>
      <c r="BWR1511"/>
      <c r="BWS1511"/>
      <c r="BWT1511"/>
      <c r="BWU1511"/>
      <c r="BWV1511"/>
      <c r="BWW1511"/>
      <c r="BWX1511"/>
      <c r="BWY1511"/>
      <c r="BWZ1511"/>
      <c r="BXA1511"/>
      <c r="BXB1511"/>
      <c r="BXC1511"/>
      <c r="BXD1511"/>
      <c r="BXE1511"/>
      <c r="BXF1511"/>
      <c r="BXG1511"/>
      <c r="BXH1511"/>
      <c r="BXI1511"/>
      <c r="BXJ1511"/>
      <c r="BXK1511"/>
      <c r="BXL1511"/>
      <c r="BXM1511"/>
      <c r="BXN1511"/>
      <c r="BXO1511"/>
      <c r="BXP1511"/>
      <c r="BXQ1511"/>
      <c r="BXR1511"/>
      <c r="BXS1511"/>
      <c r="BXT1511"/>
      <c r="BXU1511"/>
      <c r="BXV1511"/>
      <c r="BXW1511"/>
      <c r="BXX1511"/>
      <c r="BXY1511"/>
      <c r="BXZ1511"/>
      <c r="BYA1511"/>
      <c r="BYB1511"/>
      <c r="BYC1511"/>
      <c r="BYD1511"/>
      <c r="BYE1511"/>
      <c r="BYF1511"/>
      <c r="BYG1511"/>
      <c r="BYH1511"/>
      <c r="BYI1511"/>
      <c r="BYJ1511"/>
      <c r="BYK1511"/>
      <c r="BYL1511"/>
      <c r="BYM1511"/>
      <c r="BYN1511"/>
      <c r="BYO1511"/>
      <c r="BYP1511"/>
      <c r="BYQ1511"/>
      <c r="BYR1511"/>
      <c r="BYS1511"/>
      <c r="BYT1511"/>
      <c r="BYU1511"/>
      <c r="BYV1511"/>
      <c r="BYW1511"/>
      <c r="BYX1511"/>
      <c r="BYY1511"/>
      <c r="BYZ1511"/>
      <c r="BZA1511"/>
      <c r="BZB1511"/>
      <c r="BZC1511"/>
      <c r="BZD1511"/>
      <c r="BZE1511"/>
      <c r="BZF1511"/>
      <c r="BZG1511"/>
      <c r="BZH1511"/>
      <c r="BZI1511"/>
      <c r="BZJ1511"/>
      <c r="BZK1511"/>
      <c r="BZL1511"/>
      <c r="BZM1511"/>
      <c r="BZN1511"/>
      <c r="BZO1511"/>
      <c r="BZP1511"/>
      <c r="BZQ1511"/>
      <c r="BZR1511"/>
      <c r="BZS1511"/>
      <c r="BZT1511"/>
      <c r="BZU1511"/>
      <c r="BZV1511"/>
      <c r="BZW1511"/>
      <c r="BZX1511"/>
      <c r="BZY1511"/>
      <c r="BZZ1511"/>
      <c r="CAA1511"/>
      <c r="CAB1511"/>
      <c r="CAC1511"/>
      <c r="CAD1511"/>
      <c r="CAE1511"/>
      <c r="CAF1511"/>
      <c r="CAG1511"/>
      <c r="CAH1511"/>
      <c r="CAI1511"/>
      <c r="CAJ1511"/>
      <c r="CAK1511"/>
      <c r="CAL1511"/>
      <c r="CAM1511"/>
      <c r="CAN1511"/>
      <c r="CAO1511"/>
      <c r="CAP1511"/>
      <c r="CAQ1511"/>
      <c r="CAR1511"/>
      <c r="CAS1511"/>
      <c r="CAT1511"/>
      <c r="CAU1511"/>
      <c r="CAV1511"/>
      <c r="CAW1511"/>
      <c r="CAX1511"/>
      <c r="CAY1511"/>
      <c r="CAZ1511"/>
      <c r="CBA1511"/>
      <c r="CBB1511"/>
      <c r="CBC1511"/>
      <c r="CBD1511"/>
      <c r="CBE1511"/>
      <c r="CBF1511"/>
      <c r="CBG1511"/>
      <c r="CBH1511"/>
      <c r="CBI1511"/>
      <c r="CBJ1511"/>
      <c r="CBK1511"/>
      <c r="CBL1511"/>
      <c r="CBM1511"/>
      <c r="CBN1511"/>
      <c r="CBO1511"/>
      <c r="CBP1511"/>
      <c r="CBQ1511"/>
      <c r="CBR1511"/>
      <c r="CBS1511"/>
      <c r="CBT1511"/>
      <c r="CBU1511"/>
      <c r="CBV1511"/>
      <c r="CBW1511"/>
      <c r="CBX1511"/>
      <c r="CBY1511"/>
      <c r="CBZ1511"/>
      <c r="CCA1511"/>
      <c r="CCB1511"/>
      <c r="CCC1511"/>
      <c r="CCD1511"/>
      <c r="CCE1511"/>
      <c r="CCF1511"/>
      <c r="CCG1511"/>
      <c r="CCH1511"/>
      <c r="CCI1511"/>
      <c r="CCJ1511"/>
      <c r="CCK1511"/>
      <c r="CCL1511"/>
      <c r="CCM1511"/>
      <c r="CCN1511"/>
      <c r="CCO1511"/>
      <c r="CCP1511"/>
      <c r="CCQ1511"/>
      <c r="CCR1511"/>
      <c r="CCS1511"/>
      <c r="CCT1511"/>
      <c r="CCU1511"/>
      <c r="CCV1511"/>
      <c r="CCW1511"/>
      <c r="CCX1511"/>
      <c r="CCY1511"/>
      <c r="CCZ1511"/>
      <c r="CDA1511"/>
      <c r="CDB1511"/>
      <c r="CDC1511"/>
      <c r="CDD1511"/>
      <c r="CDE1511"/>
      <c r="CDF1511"/>
      <c r="CDG1511"/>
      <c r="CDH1511"/>
      <c r="CDI1511"/>
      <c r="CDJ1511"/>
      <c r="CDK1511"/>
      <c r="CDL1511"/>
      <c r="CDM1511"/>
      <c r="CDN1511"/>
      <c r="CDO1511"/>
      <c r="CDP1511"/>
      <c r="CDQ1511"/>
      <c r="CDR1511"/>
      <c r="CDS1511"/>
      <c r="CDT1511"/>
      <c r="CDU1511"/>
      <c r="CDV1511"/>
      <c r="CDW1511"/>
      <c r="CDX1511"/>
      <c r="CDY1511"/>
      <c r="CDZ1511"/>
      <c r="CEA1511"/>
      <c r="CEB1511"/>
      <c r="CEC1511"/>
      <c r="CED1511"/>
      <c r="CEE1511"/>
      <c r="CEF1511"/>
      <c r="CEG1511"/>
      <c r="CEH1511"/>
      <c r="CEI1511"/>
      <c r="CEJ1511"/>
      <c r="CEK1511"/>
      <c r="CEL1511"/>
      <c r="CEM1511"/>
      <c r="CEN1511"/>
      <c r="CEO1511"/>
      <c r="CEP1511"/>
      <c r="CEQ1511"/>
      <c r="CER1511"/>
      <c r="CES1511"/>
      <c r="CET1511"/>
      <c r="CEU1511"/>
      <c r="CEV1511"/>
      <c r="CEW1511"/>
      <c r="CEX1511"/>
      <c r="CEY1511"/>
      <c r="CEZ1511"/>
      <c r="CFA1511"/>
      <c r="CFB1511"/>
      <c r="CFC1511"/>
      <c r="CFD1511"/>
      <c r="CFE1511"/>
      <c r="CFF1511"/>
      <c r="CFG1511"/>
      <c r="CFH1511"/>
      <c r="CFI1511"/>
      <c r="CFJ1511"/>
      <c r="CFK1511"/>
      <c r="CFL1511"/>
      <c r="CFM1511"/>
      <c r="CFN1511"/>
      <c r="CFO1511"/>
      <c r="CFP1511"/>
      <c r="CFQ1511"/>
      <c r="CFR1511"/>
      <c r="CFS1511"/>
      <c r="CFT1511"/>
      <c r="CFU1511"/>
      <c r="CFV1511"/>
      <c r="CFW1511"/>
      <c r="CFX1511"/>
      <c r="CFY1511"/>
      <c r="CFZ1511"/>
      <c r="CGA1511"/>
      <c r="CGB1511"/>
      <c r="CGC1511"/>
      <c r="CGD1511"/>
      <c r="CGE1511"/>
      <c r="CGF1511"/>
      <c r="CGG1511"/>
      <c r="CGH1511"/>
      <c r="CGI1511"/>
      <c r="CGJ1511"/>
      <c r="CGK1511"/>
      <c r="CGL1511"/>
      <c r="CGM1511"/>
      <c r="CGN1511"/>
      <c r="CGO1511"/>
      <c r="CGP1511"/>
      <c r="CGQ1511"/>
      <c r="CGR1511"/>
      <c r="CGS1511"/>
      <c r="CGT1511"/>
      <c r="CGU1511"/>
      <c r="CGV1511"/>
      <c r="CGW1511"/>
      <c r="CGX1511"/>
      <c r="CGY1511"/>
      <c r="CGZ1511"/>
      <c r="CHA1511"/>
      <c r="CHB1511"/>
      <c r="CHC1511"/>
      <c r="CHD1511"/>
      <c r="CHE1511"/>
      <c r="CHF1511"/>
      <c r="CHG1511"/>
      <c r="CHH1511"/>
      <c r="CHI1511"/>
      <c r="CHJ1511"/>
      <c r="CHK1511"/>
      <c r="CHL1511"/>
      <c r="CHM1511"/>
      <c r="CHN1511"/>
      <c r="CHO1511"/>
      <c r="CHP1511"/>
      <c r="CHQ1511"/>
      <c r="CHR1511"/>
      <c r="CHS1511"/>
      <c r="CHT1511"/>
      <c r="CHU1511"/>
      <c r="CHV1511"/>
      <c r="CHW1511"/>
      <c r="CHX1511"/>
      <c r="CHY1511"/>
      <c r="CHZ1511"/>
      <c r="CIA1511"/>
      <c r="CIB1511"/>
      <c r="CIC1511"/>
      <c r="CID1511"/>
      <c r="CIE1511"/>
      <c r="CIF1511"/>
      <c r="CIG1511"/>
      <c r="CIH1511"/>
      <c r="CII1511"/>
      <c r="CIJ1511"/>
      <c r="CIK1511"/>
      <c r="CIL1511"/>
      <c r="CIM1511"/>
      <c r="CIN1511"/>
      <c r="CIO1511"/>
      <c r="CIP1511"/>
      <c r="CIQ1511"/>
      <c r="CIR1511"/>
      <c r="CIS1511"/>
      <c r="CIT1511"/>
      <c r="CIU1511"/>
      <c r="CIV1511"/>
      <c r="CIW1511"/>
      <c r="CIX1511"/>
      <c r="CIY1511"/>
      <c r="CIZ1511"/>
      <c r="CJA1511"/>
      <c r="CJB1511"/>
      <c r="CJC1511"/>
      <c r="CJD1511"/>
      <c r="CJE1511"/>
      <c r="CJF1511"/>
      <c r="CJG1511"/>
      <c r="CJH1511"/>
      <c r="CJI1511"/>
      <c r="CJJ1511"/>
      <c r="CJK1511"/>
      <c r="CJL1511"/>
      <c r="CJM1511"/>
      <c r="CJN1511"/>
      <c r="CJO1511"/>
      <c r="CJP1511"/>
      <c r="CJQ1511"/>
      <c r="CJR1511"/>
      <c r="CJS1511"/>
      <c r="CJT1511"/>
      <c r="CJU1511"/>
      <c r="CJV1511"/>
      <c r="CJW1511"/>
      <c r="CJX1511"/>
      <c r="CJY1511"/>
      <c r="CJZ1511"/>
      <c r="CKA1511"/>
      <c r="CKB1511"/>
      <c r="CKC1511"/>
      <c r="CKD1511"/>
      <c r="CKE1511"/>
      <c r="CKF1511"/>
      <c r="CKG1511"/>
      <c r="CKH1511"/>
      <c r="CKI1511"/>
      <c r="CKJ1511"/>
      <c r="CKK1511"/>
      <c r="CKL1511"/>
      <c r="CKM1511"/>
      <c r="CKN1511"/>
      <c r="CKO1511"/>
      <c r="CKP1511"/>
      <c r="CKQ1511"/>
      <c r="CKR1511"/>
      <c r="CKS1511"/>
      <c r="CKT1511"/>
      <c r="CKU1511"/>
      <c r="CKV1511"/>
      <c r="CKW1511"/>
      <c r="CKX1511"/>
      <c r="CKY1511"/>
      <c r="CKZ1511"/>
      <c r="CLA1511"/>
      <c r="CLB1511"/>
      <c r="CLC1511"/>
      <c r="CLD1511"/>
      <c r="CLE1511"/>
      <c r="CLF1511"/>
      <c r="CLG1511"/>
      <c r="CLH1511"/>
      <c r="CLI1511"/>
      <c r="CLJ1511"/>
      <c r="CLK1511"/>
      <c r="CLL1511"/>
      <c r="CLM1511"/>
      <c r="CLN1511"/>
      <c r="CLO1511"/>
      <c r="CLP1511"/>
      <c r="CLQ1511"/>
      <c r="CLR1511"/>
      <c r="CLS1511"/>
      <c r="CLT1511"/>
      <c r="CLU1511"/>
      <c r="CLV1511"/>
      <c r="CLW1511"/>
      <c r="CLX1511"/>
      <c r="CLY1511"/>
      <c r="CLZ1511"/>
      <c r="CMA1511"/>
      <c r="CMB1511"/>
      <c r="CMC1511"/>
      <c r="CMD1511"/>
      <c r="CME1511"/>
      <c r="CMF1511"/>
      <c r="CMG1511"/>
      <c r="CMH1511"/>
      <c r="CMI1511"/>
      <c r="CMJ1511"/>
      <c r="CMK1511"/>
      <c r="CML1511"/>
      <c r="CMM1511"/>
      <c r="CMN1511"/>
      <c r="CMO1511"/>
      <c r="CMP1511"/>
      <c r="CMQ1511"/>
      <c r="CMR1511"/>
      <c r="CMS1511"/>
      <c r="CMT1511"/>
      <c r="CMU1511"/>
      <c r="CMV1511"/>
      <c r="CMW1511"/>
      <c r="CMX1511"/>
      <c r="CMY1511"/>
      <c r="CMZ1511"/>
      <c r="CNA1511"/>
      <c r="CNB1511"/>
      <c r="CNC1511"/>
      <c r="CND1511"/>
      <c r="CNE1511"/>
      <c r="CNF1511"/>
      <c r="CNG1511"/>
      <c r="CNH1511"/>
      <c r="CNI1511"/>
      <c r="CNJ1511"/>
      <c r="CNK1511"/>
      <c r="CNL1511"/>
      <c r="CNM1511"/>
      <c r="CNN1511"/>
      <c r="CNO1511"/>
      <c r="CNP1511"/>
      <c r="CNQ1511"/>
      <c r="CNR1511"/>
      <c r="CNS1511"/>
      <c r="CNT1511"/>
      <c r="CNU1511"/>
      <c r="CNV1511"/>
      <c r="CNW1511"/>
      <c r="CNX1511"/>
      <c r="CNY1511"/>
      <c r="CNZ1511"/>
      <c r="COA1511"/>
      <c r="COB1511"/>
      <c r="COC1511"/>
      <c r="COD1511"/>
      <c r="COE1511"/>
      <c r="COF1511"/>
      <c r="COG1511"/>
      <c r="COH1511"/>
      <c r="COI1511"/>
      <c r="COJ1511"/>
      <c r="COK1511"/>
      <c r="COL1511"/>
      <c r="COM1511"/>
      <c r="CON1511"/>
      <c r="COO1511"/>
      <c r="COP1511"/>
      <c r="COQ1511"/>
      <c r="COR1511"/>
      <c r="COS1511"/>
      <c r="COT1511"/>
      <c r="COU1511"/>
      <c r="COV1511"/>
      <c r="COW1511"/>
      <c r="COX1511"/>
      <c r="COY1511"/>
      <c r="COZ1511"/>
      <c r="CPA1511"/>
      <c r="CPB1511"/>
      <c r="CPC1511"/>
      <c r="CPD1511"/>
      <c r="CPE1511"/>
      <c r="CPF1511"/>
      <c r="CPG1511"/>
      <c r="CPH1511"/>
      <c r="CPI1511"/>
      <c r="CPJ1511"/>
      <c r="CPK1511"/>
      <c r="CPL1511"/>
      <c r="CPM1511"/>
      <c r="CPN1511"/>
      <c r="CPO1511"/>
      <c r="CPP1511"/>
      <c r="CPQ1511"/>
      <c r="CPR1511"/>
      <c r="CPS1511"/>
      <c r="CPT1511"/>
      <c r="CPU1511"/>
      <c r="CPV1511"/>
      <c r="CPW1511"/>
      <c r="CPX1511"/>
      <c r="CPY1511"/>
      <c r="CPZ1511"/>
      <c r="CQA1511"/>
      <c r="CQB1511"/>
      <c r="CQC1511"/>
      <c r="CQD1511"/>
      <c r="CQE1511"/>
      <c r="CQF1511"/>
      <c r="CQG1511"/>
      <c r="CQH1511"/>
      <c r="CQI1511"/>
      <c r="CQJ1511"/>
      <c r="CQK1511"/>
      <c r="CQL1511"/>
      <c r="CQM1511"/>
      <c r="CQN1511"/>
      <c r="CQO1511"/>
      <c r="CQP1511"/>
      <c r="CQQ1511"/>
      <c r="CQR1511"/>
      <c r="CQS1511"/>
      <c r="CQT1511"/>
      <c r="CQU1511"/>
      <c r="CQV1511"/>
      <c r="CQW1511"/>
      <c r="CQX1511"/>
      <c r="CQY1511"/>
      <c r="CQZ1511"/>
      <c r="CRA1511"/>
      <c r="CRB1511"/>
      <c r="CRC1511"/>
      <c r="CRD1511"/>
      <c r="CRE1511"/>
      <c r="CRF1511"/>
      <c r="CRG1511"/>
      <c r="CRH1511"/>
      <c r="CRI1511"/>
      <c r="CRJ1511"/>
      <c r="CRK1511"/>
      <c r="CRL1511"/>
      <c r="CRM1511"/>
      <c r="CRN1511"/>
      <c r="CRO1511"/>
      <c r="CRP1511"/>
      <c r="CRQ1511"/>
      <c r="CRR1511"/>
      <c r="CRS1511"/>
      <c r="CRT1511"/>
      <c r="CRU1511"/>
      <c r="CRV1511"/>
      <c r="CRW1511"/>
      <c r="CRX1511"/>
      <c r="CRY1511"/>
      <c r="CRZ1511"/>
      <c r="CSA1511"/>
      <c r="CSB1511"/>
      <c r="CSC1511"/>
      <c r="CSD1511"/>
      <c r="CSE1511"/>
      <c r="CSF1511"/>
      <c r="CSG1511"/>
      <c r="CSH1511"/>
      <c r="CSI1511"/>
      <c r="CSJ1511"/>
      <c r="CSK1511"/>
      <c r="CSL1511"/>
      <c r="CSM1511"/>
      <c r="CSN1511"/>
      <c r="CSO1511"/>
      <c r="CSP1511"/>
      <c r="CSQ1511"/>
      <c r="CSR1511"/>
      <c r="CSS1511"/>
      <c r="CST1511"/>
      <c r="CSU1511"/>
      <c r="CSV1511"/>
      <c r="CSW1511"/>
      <c r="CSX1511"/>
      <c r="CSY1511"/>
      <c r="CSZ1511"/>
      <c r="CTA1511"/>
      <c r="CTB1511"/>
      <c r="CTC1511"/>
      <c r="CTD1511"/>
      <c r="CTE1511"/>
      <c r="CTF1511"/>
      <c r="CTG1511"/>
      <c r="CTH1511"/>
      <c r="CTI1511"/>
      <c r="CTJ1511"/>
      <c r="CTK1511"/>
      <c r="CTL1511"/>
      <c r="CTM1511"/>
      <c r="CTN1511"/>
      <c r="CTO1511"/>
      <c r="CTP1511"/>
      <c r="CTQ1511"/>
      <c r="CTR1511"/>
      <c r="CTS1511"/>
      <c r="CTT1511"/>
      <c r="CTU1511"/>
      <c r="CTV1511"/>
      <c r="CTW1511"/>
      <c r="CTX1511"/>
      <c r="CTY1511"/>
      <c r="CTZ1511"/>
      <c r="CUA1511"/>
      <c r="CUB1511"/>
      <c r="CUC1511"/>
      <c r="CUD1511"/>
      <c r="CUE1511"/>
      <c r="CUF1511"/>
      <c r="CUG1511"/>
      <c r="CUH1511"/>
      <c r="CUI1511"/>
      <c r="CUJ1511"/>
      <c r="CUK1511"/>
      <c r="CUL1511"/>
      <c r="CUM1511"/>
      <c r="CUN1511"/>
      <c r="CUO1511"/>
      <c r="CUP1511"/>
      <c r="CUQ1511"/>
      <c r="CUR1511"/>
      <c r="CUS1511"/>
      <c r="CUT1511"/>
      <c r="CUU1511"/>
      <c r="CUV1511"/>
      <c r="CUW1511"/>
      <c r="CUX1511"/>
      <c r="CUY1511"/>
      <c r="CUZ1511"/>
      <c r="CVA1511"/>
      <c r="CVB1511"/>
      <c r="CVC1511"/>
      <c r="CVD1511"/>
      <c r="CVE1511"/>
      <c r="CVF1511"/>
      <c r="CVG1511"/>
      <c r="CVH1511"/>
      <c r="CVI1511"/>
      <c r="CVJ1511"/>
      <c r="CVK1511"/>
      <c r="CVL1511"/>
      <c r="CVM1511"/>
      <c r="CVN1511"/>
      <c r="CVO1511"/>
      <c r="CVP1511"/>
      <c r="CVQ1511"/>
      <c r="CVR1511"/>
      <c r="CVS1511"/>
      <c r="CVT1511"/>
      <c r="CVU1511"/>
      <c r="CVV1511"/>
      <c r="CVW1511"/>
      <c r="CVX1511"/>
      <c r="CVY1511"/>
      <c r="CVZ1511"/>
      <c r="CWA1511"/>
      <c r="CWB1511"/>
      <c r="CWC1511"/>
      <c r="CWD1511"/>
      <c r="CWE1511"/>
      <c r="CWF1511"/>
      <c r="CWG1511"/>
      <c r="CWH1511"/>
      <c r="CWI1511"/>
      <c r="CWJ1511"/>
      <c r="CWK1511"/>
      <c r="CWL1511"/>
      <c r="CWM1511"/>
      <c r="CWN1511"/>
      <c r="CWO1511"/>
      <c r="CWP1511"/>
      <c r="CWQ1511"/>
      <c r="CWR1511"/>
      <c r="CWS1511"/>
      <c r="CWT1511"/>
      <c r="CWU1511"/>
      <c r="CWV1511"/>
      <c r="CWW1511"/>
      <c r="CWX1511"/>
      <c r="CWY1511"/>
      <c r="CWZ1511"/>
      <c r="CXA1511"/>
      <c r="CXB1511"/>
      <c r="CXC1511"/>
      <c r="CXD1511"/>
      <c r="CXE1511"/>
      <c r="CXF1511"/>
      <c r="CXG1511"/>
      <c r="CXH1511"/>
      <c r="CXI1511"/>
      <c r="CXJ1511"/>
      <c r="CXK1511"/>
      <c r="CXL1511"/>
      <c r="CXM1511"/>
      <c r="CXN1511"/>
      <c r="CXO1511"/>
      <c r="CXP1511"/>
      <c r="CXQ1511"/>
      <c r="CXR1511"/>
      <c r="CXS1511"/>
      <c r="CXT1511"/>
      <c r="CXU1511"/>
      <c r="CXV1511"/>
      <c r="CXW1511"/>
      <c r="CXX1511"/>
      <c r="CXY1511"/>
      <c r="CXZ1511"/>
      <c r="CYA1511"/>
      <c r="CYB1511"/>
      <c r="CYC1511"/>
      <c r="CYD1511"/>
      <c r="CYE1511"/>
      <c r="CYF1511"/>
      <c r="CYG1511"/>
      <c r="CYH1511"/>
      <c r="CYI1511"/>
      <c r="CYJ1511"/>
      <c r="CYK1511"/>
      <c r="CYL1511"/>
      <c r="CYM1511"/>
      <c r="CYN1511"/>
      <c r="CYO1511"/>
      <c r="CYP1511"/>
      <c r="CYQ1511"/>
      <c r="CYR1511"/>
      <c r="CYS1511"/>
      <c r="CYT1511"/>
      <c r="CYU1511"/>
      <c r="CYV1511"/>
      <c r="CYW1511"/>
      <c r="CYX1511"/>
      <c r="CYY1511"/>
      <c r="CYZ1511"/>
      <c r="CZA1511"/>
      <c r="CZB1511"/>
      <c r="CZC1511"/>
      <c r="CZD1511"/>
      <c r="CZE1511"/>
      <c r="CZF1511"/>
      <c r="CZG1511"/>
      <c r="CZH1511"/>
      <c r="CZI1511"/>
      <c r="CZJ1511"/>
      <c r="CZK1511"/>
      <c r="CZL1511"/>
      <c r="CZM1511"/>
      <c r="CZN1511"/>
      <c r="CZO1511"/>
      <c r="CZP1511"/>
      <c r="CZQ1511"/>
      <c r="CZR1511"/>
      <c r="CZS1511"/>
      <c r="CZT1511"/>
      <c r="CZU1511"/>
      <c r="CZV1511"/>
      <c r="CZW1511"/>
      <c r="CZX1511"/>
      <c r="CZY1511"/>
      <c r="CZZ1511"/>
      <c r="DAA1511"/>
      <c r="DAB1511"/>
      <c r="DAC1511"/>
      <c r="DAD1511"/>
      <c r="DAE1511"/>
      <c r="DAF1511"/>
      <c r="DAG1511"/>
      <c r="DAH1511"/>
      <c r="DAI1511"/>
      <c r="DAJ1511"/>
      <c r="DAK1511"/>
      <c r="DAL1511"/>
      <c r="DAM1511"/>
      <c r="DAN1511"/>
      <c r="DAO1511"/>
      <c r="DAP1511"/>
      <c r="DAQ1511"/>
      <c r="DAR1511"/>
      <c r="DAS1511"/>
      <c r="DAT1511"/>
      <c r="DAU1511"/>
      <c r="DAV1511"/>
      <c r="DAW1511"/>
      <c r="DAX1511"/>
      <c r="DAY1511"/>
      <c r="DAZ1511"/>
      <c r="DBA1511"/>
      <c r="DBB1511"/>
      <c r="DBC1511"/>
      <c r="DBD1511"/>
      <c r="DBE1511"/>
      <c r="DBF1511"/>
      <c r="DBG1511"/>
      <c r="DBH1511"/>
      <c r="DBI1511"/>
      <c r="DBJ1511"/>
      <c r="DBK1511"/>
      <c r="DBL1511"/>
      <c r="DBM1511"/>
      <c r="DBN1511"/>
      <c r="DBO1511"/>
      <c r="DBP1511"/>
      <c r="DBQ1511"/>
      <c r="DBR1511"/>
      <c r="DBS1511"/>
      <c r="DBT1511"/>
      <c r="DBU1511"/>
      <c r="DBV1511"/>
      <c r="DBW1511"/>
      <c r="DBX1511"/>
      <c r="DBY1511"/>
      <c r="DBZ1511"/>
      <c r="DCA1511"/>
      <c r="DCB1511"/>
      <c r="DCC1511"/>
      <c r="DCD1511"/>
      <c r="DCE1511"/>
      <c r="DCF1511"/>
      <c r="DCG1511"/>
      <c r="DCH1511"/>
      <c r="DCI1511"/>
      <c r="DCJ1511"/>
      <c r="DCK1511"/>
      <c r="DCL1511"/>
      <c r="DCM1511"/>
      <c r="DCN1511"/>
      <c r="DCO1511"/>
      <c r="DCP1511"/>
      <c r="DCQ1511"/>
      <c r="DCR1511"/>
      <c r="DCS1511"/>
      <c r="DCT1511"/>
      <c r="DCU1511"/>
      <c r="DCV1511"/>
      <c r="DCW1511"/>
      <c r="DCX1511"/>
      <c r="DCY1511"/>
      <c r="DCZ1511"/>
      <c r="DDA1511"/>
      <c r="DDB1511"/>
      <c r="DDC1511"/>
      <c r="DDD1511"/>
      <c r="DDE1511"/>
      <c r="DDF1511"/>
      <c r="DDG1511"/>
      <c r="DDH1511"/>
      <c r="DDI1511"/>
      <c r="DDJ1511"/>
      <c r="DDK1511"/>
      <c r="DDL1511"/>
      <c r="DDM1511"/>
      <c r="DDN1511"/>
      <c r="DDO1511"/>
      <c r="DDP1511"/>
      <c r="DDQ1511"/>
      <c r="DDR1511"/>
      <c r="DDS1511"/>
      <c r="DDT1511"/>
      <c r="DDU1511"/>
      <c r="DDV1511"/>
      <c r="DDW1511"/>
      <c r="DDX1511"/>
      <c r="DDY1511"/>
      <c r="DDZ1511"/>
      <c r="DEA1511"/>
      <c r="DEB1511"/>
      <c r="DEC1511"/>
      <c r="DED1511"/>
      <c r="DEE1511"/>
      <c r="DEF1511"/>
      <c r="DEG1511"/>
      <c r="DEH1511"/>
      <c r="DEI1511"/>
      <c r="DEJ1511"/>
      <c r="DEK1511"/>
      <c r="DEL1511"/>
      <c r="DEM1511"/>
      <c r="DEN1511"/>
      <c r="DEO1511"/>
      <c r="DEP1511"/>
      <c r="DEQ1511"/>
      <c r="DER1511"/>
      <c r="DES1511"/>
      <c r="DET1511"/>
      <c r="DEU1511"/>
      <c r="DEV1511"/>
      <c r="DEW1511"/>
      <c r="DEX1511"/>
      <c r="DEY1511"/>
      <c r="DEZ1511"/>
      <c r="DFA1511"/>
      <c r="DFB1511"/>
      <c r="DFC1511"/>
      <c r="DFD1511"/>
      <c r="DFE1511"/>
      <c r="DFF1511"/>
      <c r="DFG1511"/>
      <c r="DFH1511"/>
      <c r="DFI1511"/>
      <c r="DFJ1511"/>
      <c r="DFK1511"/>
      <c r="DFL1511"/>
      <c r="DFM1511"/>
      <c r="DFN1511"/>
      <c r="DFO1511"/>
      <c r="DFP1511"/>
      <c r="DFQ1511"/>
      <c r="DFR1511"/>
      <c r="DFS1511"/>
      <c r="DFT1511"/>
      <c r="DFU1511"/>
      <c r="DFV1511"/>
      <c r="DFW1511"/>
      <c r="DFX1511"/>
      <c r="DFY1511"/>
      <c r="DFZ1511"/>
      <c r="DGA1511"/>
      <c r="DGB1511"/>
      <c r="DGC1511"/>
      <c r="DGD1511"/>
      <c r="DGE1511"/>
      <c r="DGF1511"/>
      <c r="DGG1511"/>
      <c r="DGH1511"/>
      <c r="DGI1511"/>
      <c r="DGJ1511"/>
      <c r="DGK1511"/>
      <c r="DGL1511"/>
      <c r="DGM1511"/>
      <c r="DGN1511"/>
      <c r="DGO1511"/>
      <c r="DGP1511"/>
      <c r="DGQ1511"/>
      <c r="DGR1511"/>
      <c r="DGS1511"/>
      <c r="DGT1511"/>
      <c r="DGU1511"/>
      <c r="DGV1511"/>
      <c r="DGW1511"/>
      <c r="DGX1511"/>
      <c r="DGY1511"/>
      <c r="DGZ1511"/>
      <c r="DHA1511"/>
      <c r="DHB1511"/>
      <c r="DHC1511"/>
      <c r="DHD1511"/>
      <c r="DHE1511"/>
      <c r="DHF1511"/>
      <c r="DHG1511"/>
      <c r="DHH1511"/>
      <c r="DHI1511"/>
      <c r="DHJ1511"/>
      <c r="DHK1511"/>
      <c r="DHL1511"/>
      <c r="DHM1511"/>
      <c r="DHN1511"/>
      <c r="DHO1511"/>
      <c r="DHP1511"/>
      <c r="DHQ1511"/>
      <c r="DHR1511"/>
      <c r="DHS1511"/>
      <c r="DHT1511"/>
      <c r="DHU1511"/>
      <c r="DHV1511"/>
      <c r="DHW1511"/>
      <c r="DHX1511"/>
      <c r="DHY1511"/>
      <c r="DHZ1511"/>
      <c r="DIA1511"/>
      <c r="DIB1511"/>
      <c r="DIC1511"/>
      <c r="DID1511"/>
      <c r="DIE1511"/>
      <c r="DIF1511"/>
      <c r="DIG1511"/>
      <c r="DIH1511"/>
      <c r="DII1511"/>
      <c r="DIJ1511"/>
      <c r="DIK1511"/>
      <c r="DIL1511"/>
      <c r="DIM1511"/>
      <c r="DIN1511"/>
      <c r="DIO1511"/>
      <c r="DIP1511"/>
      <c r="DIQ1511"/>
      <c r="DIR1511"/>
      <c r="DIS1511"/>
      <c r="DIT1511"/>
      <c r="DIU1511"/>
      <c r="DIV1511"/>
      <c r="DIW1511"/>
      <c r="DIX1511"/>
      <c r="DIY1511"/>
      <c r="DIZ1511"/>
      <c r="DJA1511"/>
      <c r="DJB1511"/>
      <c r="DJC1511"/>
      <c r="DJD1511"/>
      <c r="DJE1511"/>
      <c r="DJF1511"/>
      <c r="DJG1511"/>
      <c r="DJH1511"/>
      <c r="DJI1511"/>
      <c r="DJJ1511"/>
      <c r="DJK1511"/>
      <c r="DJL1511"/>
      <c r="DJM1511"/>
      <c r="DJN1511"/>
      <c r="DJO1511"/>
      <c r="DJP1511"/>
      <c r="DJQ1511"/>
      <c r="DJR1511"/>
      <c r="DJS1511"/>
      <c r="DJT1511"/>
      <c r="DJU1511"/>
      <c r="DJV1511"/>
      <c r="DJW1511"/>
      <c r="DJX1511"/>
      <c r="DJY1511"/>
      <c r="DJZ1511"/>
      <c r="DKA1511"/>
      <c r="DKB1511"/>
      <c r="DKC1511"/>
      <c r="DKD1511"/>
      <c r="DKE1511"/>
      <c r="DKF1511"/>
      <c r="DKG1511"/>
      <c r="DKH1511"/>
      <c r="DKI1511"/>
      <c r="DKJ1511"/>
      <c r="DKK1511"/>
      <c r="DKL1511"/>
      <c r="DKM1511"/>
      <c r="DKN1511"/>
      <c r="DKO1511"/>
      <c r="DKP1511"/>
      <c r="DKQ1511"/>
      <c r="DKR1511"/>
      <c r="DKS1511"/>
      <c r="DKT1511"/>
      <c r="DKU1511"/>
      <c r="DKV1511"/>
      <c r="DKW1511"/>
      <c r="DKX1511"/>
      <c r="DKY1511"/>
      <c r="DKZ1511"/>
      <c r="DLA1511"/>
      <c r="DLB1511"/>
      <c r="DLC1511"/>
      <c r="DLD1511"/>
      <c r="DLE1511"/>
      <c r="DLF1511"/>
      <c r="DLG1511"/>
      <c r="DLH1511"/>
      <c r="DLI1511"/>
      <c r="DLJ1511"/>
      <c r="DLK1511"/>
      <c r="DLL1511"/>
      <c r="DLM1511"/>
      <c r="DLN1511"/>
      <c r="DLO1511"/>
      <c r="DLP1511"/>
      <c r="DLQ1511"/>
      <c r="DLR1511"/>
      <c r="DLS1511"/>
      <c r="DLT1511"/>
      <c r="DLU1511"/>
      <c r="DLV1511"/>
      <c r="DLW1511"/>
      <c r="DLX1511"/>
      <c r="DLY1511"/>
      <c r="DLZ1511"/>
      <c r="DMA1511"/>
      <c r="DMB1511"/>
      <c r="DMC1511"/>
      <c r="DMD1511"/>
      <c r="DME1511"/>
      <c r="DMF1511"/>
      <c r="DMG1511"/>
      <c r="DMH1511"/>
      <c r="DMI1511"/>
      <c r="DMJ1511"/>
      <c r="DMK1511"/>
      <c r="DML1511"/>
      <c r="DMM1511"/>
      <c r="DMN1511"/>
      <c r="DMO1511"/>
      <c r="DMP1511"/>
      <c r="DMQ1511"/>
      <c r="DMR1511"/>
      <c r="DMS1511"/>
      <c r="DMT1511"/>
      <c r="DMU1511"/>
      <c r="DMV1511"/>
      <c r="DMW1511"/>
      <c r="DMX1511"/>
      <c r="DMY1511"/>
      <c r="DMZ1511"/>
      <c r="DNA1511"/>
      <c r="DNB1511"/>
      <c r="DNC1511"/>
      <c r="DND1511"/>
      <c r="DNE1511"/>
      <c r="DNF1511"/>
      <c r="DNG1511"/>
      <c r="DNH1511"/>
      <c r="DNI1511"/>
      <c r="DNJ1511"/>
      <c r="DNK1511"/>
      <c r="DNL1511"/>
      <c r="DNM1511"/>
      <c r="DNN1511"/>
      <c r="DNO1511"/>
      <c r="DNP1511"/>
      <c r="DNQ1511"/>
      <c r="DNR1511"/>
      <c r="DNS1511"/>
      <c r="DNT1511"/>
      <c r="DNU1511"/>
      <c r="DNV1511"/>
      <c r="DNW1511"/>
      <c r="DNX1511"/>
      <c r="DNY1511"/>
      <c r="DNZ1511"/>
      <c r="DOA1511"/>
      <c r="DOB1511"/>
      <c r="DOC1511"/>
      <c r="DOD1511"/>
      <c r="DOE1511"/>
      <c r="DOF1511"/>
      <c r="DOG1511"/>
      <c r="DOH1511"/>
      <c r="DOI1511"/>
      <c r="DOJ1511"/>
      <c r="DOK1511"/>
      <c r="DOL1511"/>
      <c r="DOM1511"/>
      <c r="DON1511"/>
      <c r="DOO1511"/>
      <c r="DOP1511"/>
      <c r="DOQ1511"/>
      <c r="DOR1511"/>
      <c r="DOS1511"/>
      <c r="DOT1511"/>
      <c r="DOU1511"/>
      <c r="DOV1511"/>
      <c r="DOW1511"/>
      <c r="DOX1511"/>
      <c r="DOY1511"/>
      <c r="DOZ1511"/>
      <c r="DPA1511"/>
      <c r="DPB1511"/>
      <c r="DPC1511"/>
      <c r="DPD1511"/>
      <c r="DPE1511"/>
      <c r="DPF1511"/>
      <c r="DPG1511"/>
      <c r="DPH1511"/>
      <c r="DPI1511"/>
      <c r="DPJ1511"/>
      <c r="DPK1511"/>
      <c r="DPL1511"/>
      <c r="DPM1511"/>
      <c r="DPN1511"/>
      <c r="DPO1511"/>
      <c r="DPP1511"/>
      <c r="DPQ1511"/>
      <c r="DPR1511"/>
      <c r="DPS1511"/>
      <c r="DPT1511"/>
      <c r="DPU1511"/>
      <c r="DPV1511"/>
      <c r="DPW1511"/>
      <c r="DPX1511"/>
      <c r="DPY1511"/>
      <c r="DPZ1511"/>
      <c r="DQA1511"/>
      <c r="DQB1511"/>
      <c r="DQC1511"/>
      <c r="DQD1511"/>
      <c r="DQE1511"/>
      <c r="DQF1511"/>
      <c r="DQG1511"/>
      <c r="DQH1511"/>
      <c r="DQI1511"/>
      <c r="DQJ1511"/>
      <c r="DQK1511"/>
      <c r="DQL1511"/>
      <c r="DQM1511"/>
      <c r="DQN1511"/>
      <c r="DQO1511"/>
      <c r="DQP1511"/>
      <c r="DQQ1511"/>
      <c r="DQR1511"/>
      <c r="DQS1511"/>
      <c r="DQT1511"/>
      <c r="DQU1511"/>
      <c r="DQV1511"/>
      <c r="DQW1511"/>
      <c r="DQX1511"/>
      <c r="DQY1511"/>
      <c r="DQZ1511"/>
      <c r="DRA1511"/>
      <c r="DRB1511"/>
      <c r="DRC1511"/>
      <c r="DRD1511"/>
      <c r="DRE1511"/>
      <c r="DRF1511"/>
      <c r="DRG1511"/>
      <c r="DRH1511"/>
      <c r="DRI1511"/>
      <c r="DRJ1511"/>
      <c r="DRK1511"/>
      <c r="DRL1511"/>
      <c r="DRM1511"/>
      <c r="DRN1511"/>
      <c r="DRO1511"/>
      <c r="DRP1511"/>
      <c r="DRQ1511"/>
      <c r="DRR1511"/>
      <c r="DRS1511"/>
      <c r="DRT1511"/>
      <c r="DRU1511"/>
      <c r="DRV1511"/>
      <c r="DRW1511"/>
      <c r="DRX1511"/>
      <c r="DRY1511"/>
      <c r="DRZ1511"/>
      <c r="DSA1511"/>
      <c r="DSB1511"/>
      <c r="DSC1511"/>
      <c r="DSD1511"/>
      <c r="DSE1511"/>
      <c r="DSF1511"/>
      <c r="DSG1511"/>
      <c r="DSH1511"/>
      <c r="DSI1511"/>
      <c r="DSJ1511"/>
      <c r="DSK1511"/>
      <c r="DSL1511"/>
      <c r="DSM1511"/>
      <c r="DSN1511"/>
      <c r="DSO1511"/>
      <c r="DSP1511"/>
      <c r="DSQ1511"/>
      <c r="DSR1511"/>
      <c r="DSS1511"/>
      <c r="DST1511"/>
      <c r="DSU1511"/>
      <c r="DSV1511"/>
      <c r="DSW1511"/>
      <c r="DSX1511"/>
      <c r="DSY1511"/>
      <c r="DSZ1511"/>
      <c r="DTA1511"/>
      <c r="DTB1511"/>
      <c r="DTC1511"/>
      <c r="DTD1511"/>
      <c r="DTE1511"/>
      <c r="DTF1511"/>
      <c r="DTG1511"/>
      <c r="DTH1511"/>
      <c r="DTI1511"/>
      <c r="DTJ1511"/>
      <c r="DTK1511"/>
      <c r="DTL1511"/>
      <c r="DTM1511"/>
      <c r="DTN1511"/>
      <c r="DTO1511"/>
      <c r="DTP1511"/>
      <c r="DTQ1511"/>
      <c r="DTR1511"/>
      <c r="DTS1511"/>
      <c r="DTT1511"/>
      <c r="DTU1511"/>
      <c r="DTV1511"/>
      <c r="DTW1511"/>
      <c r="DTX1511"/>
      <c r="DTY1511"/>
      <c r="DTZ1511"/>
      <c r="DUA1511"/>
      <c r="DUB1511"/>
      <c r="DUC1511"/>
      <c r="DUD1511"/>
      <c r="DUE1511"/>
      <c r="DUF1511"/>
      <c r="DUG1511"/>
      <c r="DUH1511"/>
      <c r="DUI1511"/>
      <c r="DUJ1511"/>
      <c r="DUK1511"/>
      <c r="DUL1511"/>
      <c r="DUM1511"/>
      <c r="DUN1511"/>
      <c r="DUO1511"/>
      <c r="DUP1511"/>
      <c r="DUQ1511"/>
      <c r="DUR1511"/>
      <c r="DUS1511"/>
      <c r="DUT1511"/>
      <c r="DUU1511"/>
      <c r="DUV1511"/>
      <c r="DUW1511"/>
      <c r="DUX1511"/>
      <c r="DUY1511"/>
      <c r="DUZ1511"/>
      <c r="DVA1511"/>
      <c r="DVB1511"/>
      <c r="DVC1511"/>
      <c r="DVD1511"/>
      <c r="DVE1511"/>
      <c r="DVF1511"/>
      <c r="DVG1511"/>
      <c r="DVH1511"/>
      <c r="DVI1511"/>
      <c r="DVJ1511"/>
      <c r="DVK1511"/>
      <c r="DVL1511"/>
      <c r="DVM1511"/>
      <c r="DVN1511"/>
      <c r="DVO1511"/>
      <c r="DVP1511"/>
      <c r="DVQ1511"/>
      <c r="DVR1511"/>
      <c r="DVS1511"/>
      <c r="DVT1511"/>
      <c r="DVU1511"/>
      <c r="DVV1511"/>
      <c r="DVW1511"/>
      <c r="DVX1511"/>
      <c r="DVY1511"/>
      <c r="DVZ1511"/>
      <c r="DWA1511"/>
      <c r="DWB1511"/>
      <c r="DWC1511"/>
      <c r="DWD1511"/>
      <c r="DWE1511"/>
      <c r="DWF1511"/>
      <c r="DWG1511"/>
      <c r="DWH1511"/>
      <c r="DWI1511"/>
      <c r="DWJ1511"/>
      <c r="DWK1511"/>
      <c r="DWL1511"/>
      <c r="DWM1511"/>
      <c r="DWN1511"/>
      <c r="DWO1511"/>
      <c r="DWP1511"/>
      <c r="DWQ1511"/>
      <c r="DWR1511"/>
      <c r="DWS1511"/>
      <c r="DWT1511"/>
      <c r="DWU1511"/>
      <c r="DWV1511"/>
      <c r="DWW1511"/>
      <c r="DWX1511"/>
      <c r="DWY1511"/>
      <c r="DWZ1511"/>
      <c r="DXA1511"/>
      <c r="DXB1511"/>
      <c r="DXC1511"/>
      <c r="DXD1511"/>
      <c r="DXE1511"/>
      <c r="DXF1511"/>
      <c r="DXG1511"/>
      <c r="DXH1511"/>
      <c r="DXI1511"/>
      <c r="DXJ1511"/>
      <c r="DXK1511"/>
      <c r="DXL1511"/>
      <c r="DXM1511"/>
      <c r="DXN1511"/>
      <c r="DXO1511"/>
      <c r="DXP1511"/>
      <c r="DXQ1511"/>
      <c r="DXR1511"/>
      <c r="DXS1511"/>
      <c r="DXT1511"/>
      <c r="DXU1511"/>
      <c r="DXV1511"/>
      <c r="DXW1511"/>
      <c r="DXX1511"/>
      <c r="DXY1511"/>
      <c r="DXZ1511"/>
      <c r="DYA1511"/>
      <c r="DYB1511"/>
      <c r="DYC1511"/>
      <c r="DYD1511"/>
      <c r="DYE1511"/>
      <c r="DYF1511"/>
      <c r="DYG1511"/>
      <c r="DYH1511"/>
      <c r="DYI1511"/>
      <c r="DYJ1511"/>
      <c r="DYK1511"/>
      <c r="DYL1511"/>
      <c r="DYM1511"/>
      <c r="DYN1511"/>
      <c r="DYO1511"/>
      <c r="DYP1511"/>
      <c r="DYQ1511"/>
      <c r="DYR1511"/>
      <c r="DYS1511"/>
      <c r="DYT1511"/>
      <c r="DYU1511"/>
      <c r="DYV1511"/>
      <c r="DYW1511"/>
      <c r="DYX1511"/>
      <c r="DYY1511"/>
      <c r="DYZ1511"/>
      <c r="DZA1511"/>
      <c r="DZB1511"/>
      <c r="DZC1511"/>
      <c r="DZD1511"/>
      <c r="DZE1511"/>
      <c r="DZF1511"/>
      <c r="DZG1511"/>
      <c r="DZH1511"/>
      <c r="DZI1511"/>
      <c r="DZJ1511"/>
      <c r="DZK1511"/>
      <c r="DZL1511"/>
      <c r="DZM1511"/>
      <c r="DZN1511"/>
      <c r="DZO1511"/>
      <c r="DZP1511"/>
      <c r="DZQ1511"/>
      <c r="DZR1511"/>
      <c r="DZS1511"/>
      <c r="DZT1511"/>
      <c r="DZU1511"/>
      <c r="DZV1511"/>
      <c r="DZW1511"/>
      <c r="DZX1511"/>
      <c r="DZY1511"/>
      <c r="DZZ1511"/>
      <c r="EAA1511"/>
      <c r="EAB1511"/>
      <c r="EAC1511"/>
      <c r="EAD1511"/>
      <c r="EAE1511"/>
      <c r="EAF1511"/>
      <c r="EAG1511"/>
      <c r="EAH1511"/>
      <c r="EAI1511"/>
      <c r="EAJ1511"/>
      <c r="EAK1511"/>
      <c r="EAL1511"/>
      <c r="EAM1511"/>
      <c r="EAN1511"/>
      <c r="EAO1511"/>
      <c r="EAP1511"/>
      <c r="EAQ1511"/>
      <c r="EAR1511"/>
      <c r="EAS1511"/>
      <c r="EAT1511"/>
      <c r="EAU1511"/>
      <c r="EAV1511"/>
      <c r="EAW1511"/>
      <c r="EAX1511"/>
      <c r="EAY1511"/>
      <c r="EAZ1511"/>
      <c r="EBA1511"/>
      <c r="EBB1511"/>
      <c r="EBC1511"/>
      <c r="EBD1511"/>
      <c r="EBE1511"/>
      <c r="EBF1511"/>
      <c r="EBG1511"/>
      <c r="EBH1511"/>
      <c r="EBI1511"/>
      <c r="EBJ1511"/>
      <c r="EBK1511"/>
      <c r="EBL1511"/>
      <c r="EBM1511"/>
      <c r="EBN1511"/>
      <c r="EBO1511"/>
      <c r="EBP1511"/>
      <c r="EBQ1511"/>
      <c r="EBR1511"/>
      <c r="EBS1511"/>
      <c r="EBT1511"/>
      <c r="EBU1511"/>
      <c r="EBV1511"/>
      <c r="EBW1511"/>
      <c r="EBX1511"/>
      <c r="EBY1511"/>
      <c r="EBZ1511"/>
      <c r="ECA1511"/>
      <c r="ECB1511"/>
      <c r="ECC1511"/>
      <c r="ECD1511"/>
      <c r="ECE1511"/>
      <c r="ECF1511"/>
      <c r="ECG1511"/>
      <c r="ECH1511"/>
      <c r="ECI1511"/>
      <c r="ECJ1511"/>
      <c r="ECK1511"/>
      <c r="ECL1511"/>
      <c r="ECM1511"/>
      <c r="ECN1511"/>
      <c r="ECO1511"/>
      <c r="ECP1511"/>
      <c r="ECQ1511"/>
      <c r="ECR1511"/>
      <c r="ECS1511"/>
      <c r="ECT1511"/>
      <c r="ECU1511"/>
      <c r="ECV1511"/>
      <c r="ECW1511"/>
      <c r="ECX1511"/>
      <c r="ECY1511"/>
      <c r="ECZ1511"/>
      <c r="EDA1511"/>
      <c r="EDB1511"/>
      <c r="EDC1511"/>
      <c r="EDD1511"/>
      <c r="EDE1511"/>
      <c r="EDF1511"/>
      <c r="EDG1511"/>
      <c r="EDH1511"/>
      <c r="EDI1511"/>
      <c r="EDJ1511"/>
      <c r="EDK1511"/>
      <c r="EDL1511"/>
      <c r="EDM1511"/>
      <c r="EDN1511"/>
      <c r="EDO1511"/>
      <c r="EDP1511"/>
      <c r="EDQ1511"/>
      <c r="EDR1511"/>
      <c r="EDS1511"/>
      <c r="EDT1511"/>
      <c r="EDU1511"/>
      <c r="EDV1511"/>
      <c r="EDW1511"/>
      <c r="EDX1511"/>
      <c r="EDY1511"/>
      <c r="EDZ1511"/>
      <c r="EEA1511"/>
      <c r="EEB1511"/>
      <c r="EEC1511"/>
      <c r="EED1511"/>
      <c r="EEE1511"/>
      <c r="EEF1511"/>
      <c r="EEG1511"/>
      <c r="EEH1511"/>
      <c r="EEI1511"/>
      <c r="EEJ1511"/>
      <c r="EEK1511"/>
      <c r="EEL1511"/>
      <c r="EEM1511"/>
      <c r="EEN1511"/>
      <c r="EEO1511"/>
      <c r="EEP1511"/>
      <c r="EEQ1511"/>
      <c r="EER1511"/>
      <c r="EES1511"/>
      <c r="EET1511"/>
      <c r="EEU1511"/>
      <c r="EEV1511"/>
      <c r="EEW1511"/>
      <c r="EEX1511"/>
      <c r="EEY1511"/>
      <c r="EEZ1511"/>
      <c r="EFA1511"/>
      <c r="EFB1511"/>
      <c r="EFC1511"/>
      <c r="EFD1511"/>
      <c r="EFE1511"/>
      <c r="EFF1511"/>
      <c r="EFG1511"/>
      <c r="EFH1511"/>
      <c r="EFI1511"/>
      <c r="EFJ1511"/>
      <c r="EFK1511"/>
      <c r="EFL1511"/>
      <c r="EFM1511"/>
      <c r="EFN1511"/>
      <c r="EFO1511"/>
      <c r="EFP1511"/>
      <c r="EFQ1511"/>
      <c r="EFR1511"/>
      <c r="EFS1511"/>
      <c r="EFT1511"/>
      <c r="EFU1511"/>
      <c r="EFV1511"/>
      <c r="EFW1511"/>
      <c r="EFX1511"/>
      <c r="EFY1511"/>
      <c r="EFZ1511"/>
      <c r="EGA1511"/>
      <c r="EGB1511"/>
      <c r="EGC1511"/>
      <c r="EGD1511"/>
      <c r="EGE1511"/>
      <c r="EGF1511"/>
      <c r="EGG1511"/>
      <c r="EGH1511"/>
      <c r="EGI1511"/>
      <c r="EGJ1511"/>
      <c r="EGK1511"/>
      <c r="EGL1511"/>
      <c r="EGM1511"/>
      <c r="EGN1511"/>
      <c r="EGO1511"/>
      <c r="EGP1511"/>
      <c r="EGQ1511"/>
      <c r="EGR1511"/>
      <c r="EGS1511"/>
      <c r="EGT1511"/>
      <c r="EGU1511"/>
      <c r="EGV1511"/>
      <c r="EGW1511"/>
      <c r="EGX1511"/>
      <c r="EGY1511"/>
      <c r="EGZ1511"/>
      <c r="EHA1511"/>
      <c r="EHB1511"/>
      <c r="EHC1511"/>
      <c r="EHD1511"/>
      <c r="EHE1511"/>
      <c r="EHF1511"/>
      <c r="EHG1511"/>
      <c r="EHH1511"/>
      <c r="EHI1511"/>
      <c r="EHJ1511"/>
      <c r="EHK1511"/>
      <c r="EHL1511"/>
      <c r="EHM1511"/>
      <c r="EHN1511"/>
      <c r="EHO1511"/>
      <c r="EHP1511"/>
      <c r="EHQ1511"/>
      <c r="EHR1511"/>
      <c r="EHS1511"/>
      <c r="EHT1511"/>
      <c r="EHU1511"/>
      <c r="EHV1511"/>
      <c r="EHW1511"/>
      <c r="EHX1511"/>
      <c r="EHY1511"/>
      <c r="EHZ1511"/>
      <c r="EIA1511"/>
      <c r="EIB1511"/>
      <c r="EIC1511"/>
      <c r="EID1511"/>
      <c r="EIE1511"/>
      <c r="EIF1511"/>
      <c r="EIG1511"/>
      <c r="EIH1511"/>
      <c r="EII1511"/>
      <c r="EIJ1511"/>
      <c r="EIK1511"/>
      <c r="EIL1511"/>
      <c r="EIM1511"/>
      <c r="EIN1511"/>
      <c r="EIO1511"/>
      <c r="EIP1511"/>
      <c r="EIQ1511"/>
      <c r="EIR1511"/>
      <c r="EIS1511"/>
      <c r="EIT1511"/>
      <c r="EIU1511"/>
      <c r="EIV1511"/>
      <c r="EIW1511"/>
      <c r="EIX1511"/>
      <c r="EIY1511"/>
      <c r="EIZ1511"/>
      <c r="EJA1511"/>
      <c r="EJB1511"/>
      <c r="EJC1511"/>
      <c r="EJD1511"/>
      <c r="EJE1511"/>
      <c r="EJF1511"/>
      <c r="EJG1511"/>
      <c r="EJH1511"/>
      <c r="EJI1511"/>
      <c r="EJJ1511"/>
      <c r="EJK1511"/>
      <c r="EJL1511"/>
      <c r="EJM1511"/>
      <c r="EJN1511"/>
      <c r="EJO1511"/>
      <c r="EJP1511"/>
      <c r="EJQ1511"/>
      <c r="EJR1511"/>
      <c r="EJS1511"/>
      <c r="EJT1511"/>
      <c r="EJU1511"/>
      <c r="EJV1511"/>
      <c r="EJW1511"/>
      <c r="EJX1511"/>
      <c r="EJY1511"/>
      <c r="EJZ1511"/>
      <c r="EKA1511"/>
      <c r="EKB1511"/>
      <c r="EKC1511"/>
      <c r="EKD1511"/>
      <c r="EKE1511"/>
      <c r="EKF1511"/>
      <c r="EKG1511"/>
      <c r="EKH1511"/>
      <c r="EKI1511"/>
      <c r="EKJ1511"/>
      <c r="EKK1511"/>
      <c r="EKL1511"/>
      <c r="EKM1511"/>
      <c r="EKN1511"/>
      <c r="EKO1511"/>
      <c r="EKP1511"/>
      <c r="EKQ1511"/>
      <c r="EKR1511"/>
      <c r="EKS1511"/>
      <c r="EKT1511"/>
      <c r="EKU1511"/>
      <c r="EKV1511"/>
      <c r="EKW1511"/>
      <c r="EKX1511"/>
      <c r="EKY1511"/>
      <c r="EKZ1511"/>
      <c r="ELA1511"/>
      <c r="ELB1511"/>
      <c r="ELC1511"/>
      <c r="ELD1511"/>
      <c r="ELE1511"/>
      <c r="ELF1511"/>
      <c r="ELG1511"/>
      <c r="ELH1511"/>
      <c r="ELI1511"/>
      <c r="ELJ1511"/>
      <c r="ELK1511"/>
      <c r="ELL1511"/>
      <c r="ELM1511"/>
      <c r="ELN1511"/>
      <c r="ELO1511"/>
      <c r="ELP1511"/>
      <c r="ELQ1511"/>
      <c r="ELR1511"/>
      <c r="ELS1511"/>
      <c r="ELT1511"/>
      <c r="ELU1511"/>
      <c r="ELV1511"/>
      <c r="ELW1511"/>
      <c r="ELX1511"/>
      <c r="ELY1511"/>
      <c r="ELZ1511"/>
      <c r="EMA1511"/>
      <c r="EMB1511"/>
      <c r="EMC1511"/>
      <c r="EMD1511"/>
      <c r="EME1511"/>
      <c r="EMF1511"/>
      <c r="EMG1511"/>
      <c r="EMH1511"/>
      <c r="EMI1511"/>
      <c r="EMJ1511"/>
      <c r="EMK1511"/>
      <c r="EML1511"/>
      <c r="EMM1511"/>
      <c r="EMN1511"/>
      <c r="EMO1511"/>
      <c r="EMP1511"/>
      <c r="EMQ1511"/>
      <c r="EMR1511"/>
      <c r="EMS1511"/>
      <c r="EMT1511"/>
      <c r="EMU1511"/>
      <c r="EMV1511"/>
      <c r="EMW1511"/>
      <c r="EMX1511"/>
      <c r="EMY1511"/>
      <c r="EMZ1511"/>
      <c r="ENA1511"/>
      <c r="ENB1511"/>
      <c r="ENC1511"/>
      <c r="END1511"/>
      <c r="ENE1511"/>
      <c r="ENF1511"/>
      <c r="ENG1511"/>
      <c r="ENH1511"/>
      <c r="ENI1511"/>
      <c r="ENJ1511"/>
      <c r="ENK1511"/>
      <c r="ENL1511"/>
      <c r="ENM1511"/>
      <c r="ENN1511"/>
      <c r="ENO1511"/>
      <c r="ENP1511"/>
      <c r="ENQ1511"/>
      <c r="ENR1511"/>
      <c r="ENS1511"/>
      <c r="ENT1511"/>
      <c r="ENU1511"/>
      <c r="ENV1511"/>
      <c r="ENW1511"/>
      <c r="ENX1511"/>
      <c r="ENY1511"/>
      <c r="ENZ1511"/>
      <c r="EOA1511"/>
      <c r="EOB1511"/>
      <c r="EOC1511"/>
      <c r="EOD1511"/>
      <c r="EOE1511"/>
      <c r="EOF1511"/>
      <c r="EOG1511"/>
      <c r="EOH1511"/>
      <c r="EOI1511"/>
      <c r="EOJ1511"/>
      <c r="EOK1511"/>
      <c r="EOL1511"/>
      <c r="EOM1511"/>
      <c r="EON1511"/>
      <c r="EOO1511"/>
      <c r="EOP1511"/>
      <c r="EOQ1511"/>
      <c r="EOR1511"/>
      <c r="EOS1511"/>
      <c r="EOT1511"/>
      <c r="EOU1511"/>
      <c r="EOV1511"/>
      <c r="EOW1511"/>
      <c r="EOX1511"/>
      <c r="EOY1511"/>
      <c r="EOZ1511"/>
      <c r="EPA1511"/>
      <c r="EPB1511"/>
      <c r="EPC1511"/>
      <c r="EPD1511"/>
      <c r="EPE1511"/>
      <c r="EPF1511"/>
      <c r="EPG1511"/>
      <c r="EPH1511"/>
      <c r="EPI1511"/>
      <c r="EPJ1511"/>
      <c r="EPK1511"/>
      <c r="EPL1511"/>
      <c r="EPM1511"/>
      <c r="EPN1511"/>
      <c r="EPO1511"/>
      <c r="EPP1511"/>
      <c r="EPQ1511"/>
      <c r="EPR1511"/>
      <c r="EPS1511"/>
      <c r="EPT1511"/>
      <c r="EPU1511"/>
      <c r="EPV1511"/>
      <c r="EPW1511"/>
      <c r="EPX1511"/>
      <c r="EPY1511"/>
      <c r="EPZ1511"/>
      <c r="EQA1511"/>
      <c r="EQB1511"/>
      <c r="EQC1511"/>
      <c r="EQD1511"/>
      <c r="EQE1511"/>
      <c r="EQF1511"/>
      <c r="EQG1511"/>
      <c r="EQH1511"/>
      <c r="EQI1511"/>
      <c r="EQJ1511"/>
      <c r="EQK1511"/>
      <c r="EQL1511"/>
      <c r="EQM1511"/>
      <c r="EQN1511"/>
      <c r="EQO1511"/>
      <c r="EQP1511"/>
      <c r="EQQ1511"/>
      <c r="EQR1511"/>
      <c r="EQS1511"/>
      <c r="EQT1511"/>
      <c r="EQU1511"/>
      <c r="EQV1511"/>
      <c r="EQW1511"/>
      <c r="EQX1511"/>
      <c r="EQY1511"/>
      <c r="EQZ1511"/>
      <c r="ERA1511"/>
      <c r="ERB1511"/>
      <c r="ERC1511"/>
      <c r="ERD1511"/>
      <c r="ERE1511"/>
      <c r="ERF1511"/>
      <c r="ERG1511"/>
      <c r="ERH1511"/>
      <c r="ERI1511"/>
      <c r="ERJ1511"/>
      <c r="ERK1511"/>
      <c r="ERL1511"/>
      <c r="ERM1511"/>
      <c r="ERN1511"/>
      <c r="ERO1511"/>
      <c r="ERP1511"/>
      <c r="ERQ1511"/>
      <c r="ERR1511"/>
      <c r="ERS1511"/>
      <c r="ERT1511"/>
      <c r="ERU1511"/>
      <c r="ERV1511"/>
      <c r="ERW1511"/>
      <c r="ERX1511"/>
      <c r="ERY1511"/>
      <c r="ERZ1511"/>
      <c r="ESA1511"/>
      <c r="ESB1511"/>
      <c r="ESC1511"/>
      <c r="ESD1511"/>
      <c r="ESE1511"/>
      <c r="ESF1511"/>
      <c r="ESG1511"/>
      <c r="ESH1511"/>
      <c r="ESI1511"/>
      <c r="ESJ1511"/>
      <c r="ESK1511"/>
      <c r="ESL1511"/>
      <c r="ESM1511"/>
      <c r="ESN1511"/>
      <c r="ESO1511"/>
      <c r="ESP1511"/>
      <c r="ESQ1511"/>
      <c r="ESR1511"/>
      <c r="ESS1511"/>
      <c r="EST1511"/>
      <c r="ESU1511"/>
      <c r="ESV1511"/>
      <c r="ESW1511"/>
      <c r="ESX1511"/>
      <c r="ESY1511"/>
      <c r="ESZ1511"/>
      <c r="ETA1511"/>
      <c r="ETB1511"/>
      <c r="ETC1511"/>
      <c r="ETD1511"/>
      <c r="ETE1511"/>
      <c r="ETF1511"/>
      <c r="ETG1511"/>
      <c r="ETH1511"/>
      <c r="ETI1511"/>
      <c r="ETJ1511"/>
      <c r="ETK1511"/>
      <c r="ETL1511"/>
      <c r="ETM1511"/>
      <c r="ETN1511"/>
      <c r="ETO1511"/>
      <c r="ETP1511"/>
      <c r="ETQ1511"/>
      <c r="ETR1511"/>
      <c r="ETS1511"/>
      <c r="ETT1511"/>
      <c r="ETU1511"/>
      <c r="ETV1511"/>
      <c r="ETW1511"/>
      <c r="ETX1511"/>
      <c r="ETY1511"/>
      <c r="ETZ1511"/>
      <c r="EUA1511"/>
      <c r="EUB1511"/>
      <c r="EUC1511"/>
      <c r="EUD1511"/>
      <c r="EUE1511"/>
      <c r="EUF1511"/>
      <c r="EUG1511"/>
      <c r="EUH1511"/>
      <c r="EUI1511"/>
      <c r="EUJ1511"/>
      <c r="EUK1511"/>
      <c r="EUL1511"/>
      <c r="EUM1511"/>
      <c r="EUN1511"/>
      <c r="EUO1511"/>
      <c r="EUP1511"/>
      <c r="EUQ1511"/>
      <c r="EUR1511"/>
      <c r="EUS1511"/>
      <c r="EUT1511"/>
      <c r="EUU1511"/>
      <c r="EUV1511"/>
      <c r="EUW1511"/>
      <c r="EUX1511"/>
      <c r="EUY1511"/>
      <c r="EUZ1511"/>
      <c r="EVA1511"/>
      <c r="EVB1511"/>
      <c r="EVC1511"/>
      <c r="EVD1511"/>
      <c r="EVE1511"/>
      <c r="EVF1511"/>
      <c r="EVG1511"/>
      <c r="EVH1511"/>
      <c r="EVI1511"/>
      <c r="EVJ1511"/>
      <c r="EVK1511"/>
      <c r="EVL1511"/>
      <c r="EVM1511"/>
      <c r="EVN1511"/>
      <c r="EVO1511"/>
      <c r="EVP1511"/>
      <c r="EVQ1511"/>
      <c r="EVR1511"/>
      <c r="EVS1511"/>
      <c r="EVT1511"/>
      <c r="EVU1511"/>
      <c r="EVV1511"/>
      <c r="EVW1511"/>
      <c r="EVX1511"/>
      <c r="EVY1511"/>
      <c r="EVZ1511"/>
      <c r="EWA1511"/>
      <c r="EWB1511"/>
      <c r="EWC1511"/>
      <c r="EWD1511"/>
      <c r="EWE1511"/>
      <c r="EWF1511"/>
      <c r="EWG1511"/>
      <c r="EWH1511"/>
      <c r="EWI1511"/>
      <c r="EWJ1511"/>
      <c r="EWK1511"/>
      <c r="EWL1511"/>
      <c r="EWM1511"/>
      <c r="EWN1511"/>
      <c r="EWO1511"/>
      <c r="EWP1511"/>
      <c r="EWQ1511"/>
      <c r="EWR1511"/>
      <c r="EWS1511"/>
      <c r="EWT1511"/>
      <c r="EWU1511"/>
      <c r="EWV1511"/>
      <c r="EWW1511"/>
      <c r="EWX1511"/>
      <c r="EWY1511"/>
      <c r="EWZ1511"/>
      <c r="EXA1511"/>
      <c r="EXB1511"/>
      <c r="EXC1511"/>
      <c r="EXD1511"/>
      <c r="EXE1511"/>
      <c r="EXF1511"/>
      <c r="EXG1511"/>
      <c r="EXH1511"/>
      <c r="EXI1511"/>
      <c r="EXJ1511"/>
      <c r="EXK1511"/>
      <c r="EXL1511"/>
      <c r="EXM1511"/>
      <c r="EXN1511"/>
      <c r="EXO1511"/>
      <c r="EXP1511"/>
      <c r="EXQ1511"/>
      <c r="EXR1511"/>
      <c r="EXS1511"/>
      <c r="EXT1511"/>
      <c r="EXU1511"/>
      <c r="EXV1511"/>
      <c r="EXW1511"/>
      <c r="EXX1511"/>
      <c r="EXY1511"/>
      <c r="EXZ1511"/>
      <c r="EYA1511"/>
      <c r="EYB1511"/>
      <c r="EYC1511"/>
      <c r="EYD1511"/>
      <c r="EYE1511"/>
      <c r="EYF1511"/>
      <c r="EYG1511"/>
      <c r="EYH1511"/>
      <c r="EYI1511"/>
      <c r="EYJ1511"/>
      <c r="EYK1511"/>
      <c r="EYL1511"/>
      <c r="EYM1511"/>
      <c r="EYN1511"/>
      <c r="EYO1511"/>
      <c r="EYP1511"/>
      <c r="EYQ1511"/>
      <c r="EYR1511"/>
      <c r="EYS1511"/>
      <c r="EYT1511"/>
      <c r="EYU1511"/>
      <c r="EYV1511"/>
      <c r="EYW1511"/>
      <c r="EYX1511"/>
      <c r="EYY1511"/>
      <c r="EYZ1511"/>
      <c r="EZA1511"/>
      <c r="EZB1511"/>
      <c r="EZC1511"/>
      <c r="EZD1511"/>
      <c r="EZE1511"/>
      <c r="EZF1511"/>
      <c r="EZG1511"/>
      <c r="EZH1511"/>
      <c r="EZI1511"/>
      <c r="EZJ1511"/>
      <c r="EZK1511"/>
      <c r="EZL1511"/>
      <c r="EZM1511"/>
      <c r="EZN1511"/>
      <c r="EZO1511"/>
      <c r="EZP1511"/>
      <c r="EZQ1511"/>
      <c r="EZR1511"/>
      <c r="EZS1511"/>
      <c r="EZT1511"/>
      <c r="EZU1511"/>
      <c r="EZV1511"/>
      <c r="EZW1511"/>
      <c r="EZX1511"/>
      <c r="EZY1511"/>
      <c r="EZZ1511"/>
      <c r="FAA1511"/>
      <c r="FAB1511"/>
      <c r="FAC1511"/>
      <c r="FAD1511"/>
      <c r="FAE1511"/>
      <c r="FAF1511"/>
      <c r="FAG1511"/>
      <c r="FAH1511"/>
      <c r="FAI1511"/>
      <c r="FAJ1511"/>
      <c r="FAK1511"/>
      <c r="FAL1511"/>
      <c r="FAM1511"/>
      <c r="FAN1511"/>
      <c r="FAO1511"/>
      <c r="FAP1511"/>
      <c r="FAQ1511"/>
      <c r="FAR1511"/>
      <c r="FAS1511"/>
      <c r="FAT1511"/>
      <c r="FAU1511"/>
      <c r="FAV1511"/>
      <c r="FAW1511"/>
      <c r="FAX1511"/>
      <c r="FAY1511"/>
      <c r="FAZ1511"/>
      <c r="FBA1511"/>
      <c r="FBB1511"/>
      <c r="FBC1511"/>
      <c r="FBD1511"/>
      <c r="FBE1511"/>
      <c r="FBF1511"/>
      <c r="FBG1511"/>
      <c r="FBH1511"/>
      <c r="FBI1511"/>
      <c r="FBJ1511"/>
      <c r="FBK1511"/>
      <c r="FBL1511"/>
      <c r="FBM1511"/>
      <c r="FBN1511"/>
      <c r="FBO1511"/>
      <c r="FBP1511"/>
      <c r="FBQ1511"/>
      <c r="FBR1511"/>
      <c r="FBS1511"/>
      <c r="FBT1511"/>
      <c r="FBU1511"/>
      <c r="FBV1511"/>
      <c r="FBW1511"/>
      <c r="FBX1511"/>
      <c r="FBY1511"/>
      <c r="FBZ1511"/>
      <c r="FCA1511"/>
      <c r="FCB1511"/>
      <c r="FCC1511"/>
      <c r="FCD1511"/>
      <c r="FCE1511"/>
      <c r="FCF1511"/>
      <c r="FCG1511"/>
      <c r="FCH1511"/>
      <c r="FCI1511"/>
      <c r="FCJ1511"/>
      <c r="FCK1511"/>
      <c r="FCL1511"/>
      <c r="FCM1511"/>
      <c r="FCN1511"/>
      <c r="FCO1511"/>
      <c r="FCP1511"/>
      <c r="FCQ1511"/>
      <c r="FCR1511"/>
      <c r="FCS1511"/>
      <c r="FCT1511"/>
      <c r="FCU1511"/>
      <c r="FCV1511"/>
      <c r="FCW1511"/>
      <c r="FCX1511"/>
      <c r="FCY1511"/>
      <c r="FCZ1511"/>
      <c r="FDA1511"/>
      <c r="FDB1511"/>
      <c r="FDC1511"/>
      <c r="FDD1511"/>
      <c r="FDE1511"/>
      <c r="FDF1511"/>
      <c r="FDG1511"/>
      <c r="FDH1511"/>
      <c r="FDI1511"/>
      <c r="FDJ1511"/>
      <c r="FDK1511"/>
      <c r="FDL1511"/>
      <c r="FDM1511"/>
      <c r="FDN1511"/>
      <c r="FDO1511"/>
      <c r="FDP1511"/>
      <c r="FDQ1511"/>
      <c r="FDR1511"/>
      <c r="FDS1511"/>
      <c r="FDT1511"/>
      <c r="FDU1511"/>
      <c r="FDV1511"/>
      <c r="FDW1511"/>
      <c r="FDX1511"/>
      <c r="FDY1511"/>
      <c r="FDZ1511"/>
      <c r="FEA1511"/>
      <c r="FEB1511"/>
      <c r="FEC1511"/>
      <c r="FED1511"/>
      <c r="FEE1511"/>
      <c r="FEF1511"/>
      <c r="FEG1511"/>
      <c r="FEH1511"/>
      <c r="FEI1511"/>
      <c r="FEJ1511"/>
      <c r="FEK1511"/>
      <c r="FEL1511"/>
      <c r="FEM1511"/>
      <c r="FEN1511"/>
      <c r="FEO1511"/>
      <c r="FEP1511"/>
      <c r="FEQ1511"/>
      <c r="FER1511"/>
      <c r="FES1511"/>
      <c r="FET1511"/>
      <c r="FEU1511"/>
      <c r="FEV1511"/>
      <c r="FEW1511"/>
      <c r="FEX1511"/>
      <c r="FEY1511"/>
      <c r="FEZ1511"/>
      <c r="FFA1511"/>
      <c r="FFB1511"/>
      <c r="FFC1511"/>
      <c r="FFD1511"/>
      <c r="FFE1511"/>
      <c r="FFF1511"/>
      <c r="FFG1511"/>
      <c r="FFH1511"/>
      <c r="FFI1511"/>
      <c r="FFJ1511"/>
      <c r="FFK1511"/>
      <c r="FFL1511"/>
      <c r="FFM1511"/>
      <c r="FFN1511"/>
      <c r="FFO1511"/>
      <c r="FFP1511"/>
      <c r="FFQ1511"/>
      <c r="FFR1511"/>
      <c r="FFS1511"/>
      <c r="FFT1511"/>
      <c r="FFU1511"/>
      <c r="FFV1511"/>
      <c r="FFW1511"/>
      <c r="FFX1511"/>
      <c r="FFY1511"/>
      <c r="FFZ1511"/>
      <c r="FGA1511"/>
      <c r="FGB1511"/>
      <c r="FGC1511"/>
      <c r="FGD1511"/>
      <c r="FGE1511"/>
      <c r="FGF1511"/>
      <c r="FGG1511"/>
      <c r="FGH1511"/>
      <c r="FGI1511"/>
      <c r="FGJ1511"/>
      <c r="FGK1511"/>
      <c r="FGL1511"/>
      <c r="FGM1511"/>
      <c r="FGN1511"/>
      <c r="FGO1511"/>
      <c r="FGP1511"/>
      <c r="FGQ1511"/>
      <c r="FGR1511"/>
      <c r="FGS1511"/>
      <c r="FGT1511"/>
      <c r="FGU1511"/>
      <c r="FGV1511"/>
      <c r="FGW1511"/>
      <c r="FGX1511"/>
      <c r="FGY1511"/>
      <c r="FGZ1511"/>
      <c r="FHA1511"/>
      <c r="FHB1511"/>
      <c r="FHC1511"/>
      <c r="FHD1511"/>
      <c r="FHE1511"/>
      <c r="FHF1511"/>
      <c r="FHG1511"/>
      <c r="FHH1511"/>
      <c r="FHI1511"/>
      <c r="FHJ1511"/>
      <c r="FHK1511"/>
      <c r="FHL1511"/>
      <c r="FHM1511"/>
      <c r="FHN1511"/>
      <c r="FHO1511"/>
      <c r="FHP1511"/>
      <c r="FHQ1511"/>
      <c r="FHR1511"/>
      <c r="FHS1511"/>
      <c r="FHT1511"/>
      <c r="FHU1511"/>
      <c r="FHV1511"/>
      <c r="FHW1511"/>
      <c r="FHX1511"/>
      <c r="FHY1511"/>
      <c r="FHZ1511"/>
      <c r="FIA1511"/>
      <c r="FIB1511"/>
      <c r="FIC1511"/>
      <c r="FID1511"/>
      <c r="FIE1511"/>
      <c r="FIF1511"/>
      <c r="FIG1511"/>
      <c r="FIH1511"/>
      <c r="FII1511"/>
      <c r="FIJ1511"/>
      <c r="FIK1511"/>
      <c r="FIL1511"/>
      <c r="FIM1511"/>
      <c r="FIN1511"/>
      <c r="FIO1511"/>
      <c r="FIP1511"/>
      <c r="FIQ1511"/>
      <c r="FIR1511"/>
      <c r="FIS1511"/>
      <c r="FIT1511"/>
      <c r="FIU1511"/>
      <c r="FIV1511"/>
      <c r="FIW1511"/>
      <c r="FIX1511"/>
      <c r="FIY1511"/>
      <c r="FIZ1511"/>
      <c r="FJA1511"/>
      <c r="FJB1511"/>
      <c r="FJC1511"/>
      <c r="FJD1511"/>
      <c r="FJE1511"/>
      <c r="FJF1511"/>
      <c r="FJG1511"/>
      <c r="FJH1511"/>
      <c r="FJI1511"/>
      <c r="FJJ1511"/>
      <c r="FJK1511"/>
      <c r="FJL1511"/>
      <c r="FJM1511"/>
      <c r="FJN1511"/>
      <c r="FJO1511"/>
      <c r="FJP1511"/>
      <c r="FJQ1511"/>
      <c r="FJR1511"/>
      <c r="FJS1511"/>
      <c r="FJT1511"/>
      <c r="FJU1511"/>
      <c r="FJV1511"/>
      <c r="FJW1511"/>
      <c r="FJX1511"/>
      <c r="FJY1511"/>
      <c r="FJZ1511"/>
      <c r="FKA1511"/>
      <c r="FKB1511"/>
      <c r="FKC1511"/>
      <c r="FKD1511"/>
      <c r="FKE1511"/>
      <c r="FKF1511"/>
      <c r="FKG1511"/>
      <c r="FKH1511"/>
      <c r="FKI1511"/>
      <c r="FKJ1511"/>
      <c r="FKK1511"/>
      <c r="FKL1511"/>
      <c r="FKM1511"/>
      <c r="FKN1511"/>
      <c r="FKO1511"/>
      <c r="FKP1511"/>
      <c r="FKQ1511"/>
      <c r="FKR1511"/>
      <c r="FKS1511"/>
      <c r="FKT1511"/>
      <c r="FKU1511"/>
      <c r="FKV1511"/>
      <c r="FKW1511"/>
      <c r="FKX1511"/>
      <c r="FKY1511"/>
      <c r="FKZ1511"/>
      <c r="FLA1511"/>
      <c r="FLB1511"/>
      <c r="FLC1511"/>
      <c r="FLD1511"/>
      <c r="FLE1511"/>
      <c r="FLF1511"/>
      <c r="FLG1511"/>
      <c r="FLH1511"/>
      <c r="FLI1511"/>
      <c r="FLJ1511"/>
      <c r="FLK1511"/>
      <c r="FLL1511"/>
      <c r="FLM1511"/>
      <c r="FLN1511"/>
      <c r="FLO1511"/>
      <c r="FLP1511"/>
      <c r="FLQ1511"/>
      <c r="FLR1511"/>
      <c r="FLS1511"/>
      <c r="FLT1511"/>
      <c r="FLU1511"/>
      <c r="FLV1511"/>
      <c r="FLW1511"/>
      <c r="FLX1511"/>
      <c r="FLY1511"/>
      <c r="FLZ1511"/>
      <c r="FMA1511"/>
      <c r="FMB1511"/>
      <c r="FMC1511"/>
      <c r="FMD1511"/>
      <c r="FME1511"/>
      <c r="FMF1511"/>
      <c r="FMG1511"/>
      <c r="FMH1511"/>
      <c r="FMI1511"/>
      <c r="FMJ1511"/>
      <c r="FMK1511"/>
      <c r="FML1511"/>
      <c r="FMM1511"/>
      <c r="FMN1511"/>
      <c r="FMO1511"/>
      <c r="FMP1511"/>
      <c r="FMQ1511"/>
      <c r="FMR1511"/>
      <c r="FMS1511"/>
      <c r="FMT1511"/>
      <c r="FMU1511"/>
      <c r="FMV1511"/>
      <c r="FMW1511"/>
      <c r="FMX1511"/>
      <c r="FMY1511"/>
      <c r="FMZ1511"/>
      <c r="FNA1511"/>
      <c r="FNB1511"/>
      <c r="FNC1511"/>
      <c r="FND1511"/>
      <c r="FNE1511"/>
      <c r="FNF1511"/>
      <c r="FNG1511"/>
      <c r="FNH1511"/>
      <c r="FNI1511"/>
      <c r="FNJ1511"/>
      <c r="FNK1511"/>
      <c r="FNL1511"/>
      <c r="FNM1511"/>
      <c r="FNN1511"/>
      <c r="FNO1511"/>
      <c r="FNP1511"/>
      <c r="FNQ1511"/>
      <c r="FNR1511"/>
      <c r="FNS1511"/>
      <c r="FNT1511"/>
      <c r="FNU1511"/>
      <c r="FNV1511"/>
      <c r="FNW1511"/>
      <c r="FNX1511"/>
      <c r="FNY1511"/>
      <c r="FNZ1511"/>
      <c r="FOA1511"/>
      <c r="FOB1511"/>
      <c r="FOC1511"/>
      <c r="FOD1511"/>
      <c r="FOE1511"/>
      <c r="FOF1511"/>
      <c r="FOG1511"/>
      <c r="FOH1511"/>
      <c r="FOI1511"/>
      <c r="FOJ1511"/>
      <c r="FOK1511"/>
      <c r="FOL1511"/>
      <c r="FOM1511"/>
      <c r="FON1511"/>
      <c r="FOO1511"/>
      <c r="FOP1511"/>
      <c r="FOQ1511"/>
      <c r="FOR1511"/>
      <c r="FOS1511"/>
      <c r="FOT1511"/>
      <c r="FOU1511"/>
      <c r="FOV1511"/>
      <c r="FOW1511"/>
      <c r="FOX1511"/>
      <c r="FOY1511"/>
      <c r="FOZ1511"/>
      <c r="FPA1511"/>
      <c r="FPB1511"/>
      <c r="FPC1511"/>
      <c r="FPD1511"/>
      <c r="FPE1511"/>
      <c r="FPF1511"/>
      <c r="FPG1511"/>
      <c r="FPH1511"/>
      <c r="FPI1511"/>
      <c r="FPJ1511"/>
      <c r="FPK1511"/>
      <c r="FPL1511"/>
      <c r="FPM1511"/>
      <c r="FPN1511"/>
      <c r="FPO1511"/>
      <c r="FPP1511"/>
      <c r="FPQ1511"/>
      <c r="FPR1511"/>
      <c r="FPS1511"/>
      <c r="FPT1511"/>
      <c r="FPU1511"/>
      <c r="FPV1511"/>
      <c r="FPW1511"/>
      <c r="FPX1511"/>
      <c r="FPY1511"/>
      <c r="FPZ1511"/>
      <c r="FQA1511"/>
      <c r="FQB1511"/>
      <c r="FQC1511"/>
      <c r="FQD1511"/>
      <c r="FQE1511"/>
      <c r="FQF1511"/>
      <c r="FQG1511"/>
      <c r="FQH1511"/>
      <c r="FQI1511"/>
      <c r="FQJ1511"/>
      <c r="FQK1511"/>
      <c r="FQL1511"/>
      <c r="FQM1511"/>
      <c r="FQN1511"/>
      <c r="FQO1511"/>
      <c r="FQP1511"/>
      <c r="FQQ1511"/>
      <c r="FQR1511"/>
      <c r="FQS1511"/>
      <c r="FQT1511"/>
      <c r="FQU1511"/>
      <c r="FQV1511"/>
      <c r="FQW1511"/>
      <c r="FQX1511"/>
      <c r="FQY1511"/>
      <c r="FQZ1511"/>
      <c r="FRA1511"/>
      <c r="FRB1511"/>
      <c r="FRC1511"/>
      <c r="FRD1511"/>
      <c r="FRE1511"/>
      <c r="FRF1511"/>
      <c r="FRG1511"/>
      <c r="FRH1511"/>
      <c r="FRI1511"/>
      <c r="FRJ1511"/>
      <c r="FRK1511"/>
      <c r="FRL1511"/>
      <c r="FRM1511"/>
      <c r="FRN1511"/>
      <c r="FRO1511"/>
      <c r="FRP1511"/>
      <c r="FRQ1511"/>
      <c r="FRR1511"/>
      <c r="FRS1511"/>
      <c r="FRT1511"/>
      <c r="FRU1511"/>
      <c r="FRV1511"/>
      <c r="FRW1511"/>
      <c r="FRX1511"/>
      <c r="FRY1511"/>
      <c r="FRZ1511"/>
      <c r="FSA1511"/>
      <c r="FSB1511"/>
      <c r="FSC1511"/>
      <c r="FSD1511"/>
      <c r="FSE1511"/>
      <c r="FSF1511"/>
      <c r="FSG1511"/>
      <c r="FSH1511"/>
      <c r="FSI1511"/>
      <c r="FSJ1511"/>
      <c r="FSK1511"/>
      <c r="FSL1511"/>
      <c r="FSM1511"/>
      <c r="FSN1511"/>
      <c r="FSO1511"/>
      <c r="FSP1511"/>
      <c r="FSQ1511"/>
      <c r="FSR1511"/>
      <c r="FSS1511"/>
      <c r="FST1511"/>
      <c r="FSU1511"/>
      <c r="FSV1511"/>
      <c r="FSW1511"/>
      <c r="FSX1511"/>
      <c r="FSY1511"/>
      <c r="FSZ1511"/>
      <c r="FTA1511"/>
      <c r="FTB1511"/>
      <c r="FTC1511"/>
      <c r="FTD1511"/>
      <c r="FTE1511"/>
      <c r="FTF1511"/>
      <c r="FTG1511"/>
      <c r="FTH1511"/>
      <c r="FTI1511"/>
      <c r="FTJ1511"/>
      <c r="FTK1511"/>
      <c r="FTL1511"/>
      <c r="FTM1511"/>
      <c r="FTN1511"/>
      <c r="FTO1511"/>
      <c r="FTP1511"/>
      <c r="FTQ1511"/>
      <c r="FTR1511"/>
      <c r="FTS1511"/>
      <c r="FTT1511"/>
      <c r="FTU1511"/>
      <c r="FTV1511"/>
      <c r="FTW1511"/>
      <c r="FTX1511"/>
      <c r="FTY1511"/>
      <c r="FTZ1511"/>
      <c r="FUA1511"/>
      <c r="FUB1511"/>
      <c r="FUC1511"/>
      <c r="FUD1511"/>
      <c r="FUE1511"/>
      <c r="FUF1511"/>
      <c r="FUG1511"/>
      <c r="FUH1511"/>
      <c r="FUI1511"/>
      <c r="FUJ1511"/>
      <c r="FUK1511"/>
      <c r="FUL1511"/>
      <c r="FUM1511"/>
      <c r="FUN1511"/>
      <c r="FUO1511"/>
      <c r="FUP1511"/>
      <c r="FUQ1511"/>
      <c r="FUR1511"/>
      <c r="FUS1511"/>
      <c r="FUT1511"/>
      <c r="FUU1511"/>
      <c r="FUV1511"/>
      <c r="FUW1511"/>
      <c r="FUX1511"/>
      <c r="FUY1511"/>
      <c r="FUZ1511"/>
      <c r="FVA1511"/>
      <c r="FVB1511"/>
      <c r="FVC1511"/>
      <c r="FVD1511"/>
      <c r="FVE1511"/>
      <c r="FVF1511"/>
      <c r="FVG1511"/>
      <c r="FVH1511"/>
      <c r="FVI1511"/>
      <c r="FVJ1511"/>
      <c r="FVK1511"/>
      <c r="FVL1511"/>
      <c r="FVM1511"/>
      <c r="FVN1511"/>
      <c r="FVO1511"/>
      <c r="FVP1511"/>
      <c r="FVQ1511"/>
      <c r="FVR1511"/>
      <c r="FVS1511"/>
      <c r="FVT1511"/>
      <c r="FVU1511"/>
      <c r="FVV1511"/>
      <c r="FVW1511"/>
      <c r="FVX1511"/>
      <c r="FVY1511"/>
      <c r="FVZ1511"/>
      <c r="FWA1511"/>
      <c r="FWB1511"/>
      <c r="FWC1511"/>
      <c r="FWD1511"/>
      <c r="FWE1511"/>
      <c r="FWF1511"/>
      <c r="FWG1511"/>
      <c r="FWH1511"/>
      <c r="FWI1511"/>
      <c r="FWJ1511"/>
      <c r="FWK1511"/>
      <c r="FWL1511"/>
      <c r="FWM1511"/>
      <c r="FWN1511"/>
      <c r="FWO1511"/>
      <c r="FWP1511"/>
      <c r="FWQ1511"/>
      <c r="FWR1511"/>
      <c r="FWS1511"/>
      <c r="FWT1511"/>
      <c r="FWU1511"/>
      <c r="FWV1511"/>
      <c r="FWW1511"/>
      <c r="FWX1511"/>
      <c r="FWY1511"/>
      <c r="FWZ1511"/>
      <c r="FXA1511"/>
      <c r="FXB1511"/>
      <c r="FXC1511"/>
      <c r="FXD1511"/>
      <c r="FXE1511"/>
      <c r="FXF1511"/>
      <c r="FXG1511"/>
      <c r="FXH1511"/>
      <c r="FXI1511"/>
      <c r="FXJ1511"/>
      <c r="FXK1511"/>
      <c r="FXL1511"/>
      <c r="FXM1511"/>
      <c r="FXN1511"/>
      <c r="FXO1511"/>
      <c r="FXP1511"/>
      <c r="FXQ1511"/>
      <c r="FXR1511"/>
      <c r="FXS1511"/>
      <c r="FXT1511"/>
      <c r="FXU1511"/>
      <c r="FXV1511"/>
      <c r="FXW1511"/>
      <c r="FXX1511"/>
      <c r="FXY1511"/>
      <c r="FXZ1511"/>
      <c r="FYA1511"/>
      <c r="FYB1511"/>
      <c r="FYC1511"/>
      <c r="FYD1511"/>
      <c r="FYE1511"/>
      <c r="FYF1511"/>
      <c r="FYG1511"/>
      <c r="FYH1511"/>
      <c r="FYI1511"/>
      <c r="FYJ1511"/>
      <c r="FYK1511"/>
      <c r="FYL1511"/>
      <c r="FYM1511"/>
      <c r="FYN1511"/>
      <c r="FYO1511"/>
      <c r="FYP1511"/>
      <c r="FYQ1511"/>
      <c r="FYR1511"/>
      <c r="FYS1511"/>
      <c r="FYT1511"/>
      <c r="FYU1511"/>
      <c r="FYV1511"/>
      <c r="FYW1511"/>
      <c r="FYX1511"/>
      <c r="FYY1511"/>
      <c r="FYZ1511"/>
      <c r="FZA1511"/>
      <c r="FZB1511"/>
      <c r="FZC1511"/>
      <c r="FZD1511"/>
      <c r="FZE1511"/>
      <c r="FZF1511"/>
      <c r="FZG1511"/>
      <c r="FZH1511"/>
      <c r="FZI1511"/>
      <c r="FZJ1511"/>
      <c r="FZK1511"/>
      <c r="FZL1511"/>
      <c r="FZM1511"/>
      <c r="FZN1511"/>
      <c r="FZO1511"/>
      <c r="FZP1511"/>
      <c r="FZQ1511"/>
      <c r="FZR1511"/>
      <c r="FZS1511"/>
      <c r="FZT1511"/>
      <c r="FZU1511"/>
      <c r="FZV1511"/>
      <c r="FZW1511"/>
      <c r="FZX1511"/>
      <c r="FZY1511"/>
      <c r="FZZ1511"/>
      <c r="GAA1511"/>
      <c r="GAB1511"/>
      <c r="GAC1511"/>
      <c r="GAD1511"/>
      <c r="GAE1511"/>
      <c r="GAF1511"/>
      <c r="GAG1511"/>
      <c r="GAH1511"/>
      <c r="GAI1511"/>
      <c r="GAJ1511"/>
      <c r="GAK1511"/>
      <c r="GAL1511"/>
      <c r="GAM1511"/>
      <c r="GAN1511"/>
      <c r="GAO1511"/>
      <c r="GAP1511"/>
      <c r="GAQ1511"/>
      <c r="GAR1511"/>
      <c r="GAS1511"/>
      <c r="GAT1511"/>
      <c r="GAU1511"/>
      <c r="GAV1511"/>
      <c r="GAW1511"/>
      <c r="GAX1511"/>
      <c r="GAY1511"/>
      <c r="GAZ1511"/>
      <c r="GBA1511"/>
      <c r="GBB1511"/>
      <c r="GBC1511"/>
      <c r="GBD1511"/>
      <c r="GBE1511"/>
      <c r="GBF1511"/>
      <c r="GBG1511"/>
      <c r="GBH1511"/>
      <c r="GBI1511"/>
      <c r="GBJ1511"/>
      <c r="GBK1511"/>
      <c r="GBL1511"/>
      <c r="GBM1511"/>
      <c r="GBN1511"/>
      <c r="GBO1511"/>
      <c r="GBP1511"/>
      <c r="GBQ1511"/>
      <c r="GBR1511"/>
      <c r="GBS1511"/>
      <c r="GBT1511"/>
      <c r="GBU1511"/>
      <c r="GBV1511"/>
      <c r="GBW1511"/>
      <c r="GBX1511"/>
      <c r="GBY1511"/>
      <c r="GBZ1511"/>
      <c r="GCA1511"/>
      <c r="GCB1511"/>
      <c r="GCC1511"/>
      <c r="GCD1511"/>
      <c r="GCE1511"/>
      <c r="GCF1511"/>
      <c r="GCG1511"/>
      <c r="GCH1511"/>
      <c r="GCI1511"/>
      <c r="GCJ1511"/>
      <c r="GCK1511"/>
      <c r="GCL1511"/>
      <c r="GCM1511"/>
      <c r="GCN1511"/>
      <c r="GCO1511"/>
      <c r="GCP1511"/>
      <c r="GCQ1511"/>
      <c r="GCR1511"/>
      <c r="GCS1511"/>
      <c r="GCT1511"/>
      <c r="GCU1511"/>
      <c r="GCV1511"/>
      <c r="GCW1511"/>
      <c r="GCX1511"/>
      <c r="GCY1511"/>
      <c r="GCZ1511"/>
      <c r="GDA1511"/>
      <c r="GDB1511"/>
      <c r="GDC1511"/>
      <c r="GDD1511"/>
      <c r="GDE1511"/>
      <c r="GDF1511"/>
      <c r="GDG1511"/>
      <c r="GDH1511"/>
      <c r="GDI1511"/>
      <c r="GDJ1511"/>
      <c r="GDK1511"/>
      <c r="GDL1511"/>
      <c r="GDM1511"/>
      <c r="GDN1511"/>
      <c r="GDO1511"/>
      <c r="GDP1511"/>
      <c r="GDQ1511"/>
      <c r="GDR1511"/>
      <c r="GDS1511"/>
      <c r="GDT1511"/>
      <c r="GDU1511"/>
      <c r="GDV1511"/>
      <c r="GDW1511"/>
      <c r="GDX1511"/>
      <c r="GDY1511"/>
      <c r="GDZ1511"/>
      <c r="GEA1511"/>
      <c r="GEB1511"/>
      <c r="GEC1511"/>
      <c r="GED1511"/>
      <c r="GEE1511"/>
      <c r="GEF1511"/>
      <c r="GEG1511"/>
      <c r="GEH1511"/>
      <c r="GEI1511"/>
      <c r="GEJ1511"/>
      <c r="GEK1511"/>
      <c r="GEL1511"/>
      <c r="GEM1511"/>
      <c r="GEN1511"/>
      <c r="GEO1511"/>
      <c r="GEP1511"/>
      <c r="GEQ1511"/>
      <c r="GER1511"/>
      <c r="GES1511"/>
      <c r="GET1511"/>
      <c r="GEU1511"/>
      <c r="GEV1511"/>
      <c r="GEW1511"/>
      <c r="GEX1511"/>
      <c r="GEY1511"/>
      <c r="GEZ1511"/>
      <c r="GFA1511"/>
      <c r="GFB1511"/>
      <c r="GFC1511"/>
      <c r="GFD1511"/>
      <c r="GFE1511"/>
      <c r="GFF1511"/>
      <c r="GFG1511"/>
      <c r="GFH1511"/>
      <c r="GFI1511"/>
      <c r="GFJ1511"/>
      <c r="GFK1511"/>
      <c r="GFL1511"/>
      <c r="GFM1511"/>
      <c r="GFN1511"/>
      <c r="GFO1511"/>
      <c r="GFP1511"/>
      <c r="GFQ1511"/>
      <c r="GFR1511"/>
      <c r="GFS1511"/>
      <c r="GFT1511"/>
      <c r="GFU1511"/>
      <c r="GFV1511"/>
      <c r="GFW1511"/>
      <c r="GFX1511"/>
      <c r="GFY1511"/>
      <c r="GFZ1511"/>
      <c r="GGA1511"/>
      <c r="GGB1511"/>
      <c r="GGC1511"/>
      <c r="GGD1511"/>
      <c r="GGE1511"/>
      <c r="GGF1511"/>
      <c r="GGG1511"/>
      <c r="GGH1511"/>
      <c r="GGI1511"/>
      <c r="GGJ1511"/>
      <c r="GGK1511"/>
      <c r="GGL1511"/>
      <c r="GGM1511"/>
      <c r="GGN1511"/>
      <c r="GGO1511"/>
      <c r="GGP1511"/>
      <c r="GGQ1511"/>
      <c r="GGR1511"/>
      <c r="GGS1511"/>
      <c r="GGT1511"/>
      <c r="GGU1511"/>
      <c r="GGV1511"/>
      <c r="GGW1511"/>
      <c r="GGX1511"/>
      <c r="GGY1511"/>
      <c r="GGZ1511"/>
      <c r="GHA1511"/>
      <c r="GHB1511"/>
      <c r="GHC1511"/>
      <c r="GHD1511"/>
      <c r="GHE1511"/>
      <c r="GHF1511"/>
      <c r="GHG1511"/>
      <c r="GHH1511"/>
      <c r="GHI1511"/>
      <c r="GHJ1511"/>
      <c r="GHK1511"/>
      <c r="GHL1511"/>
      <c r="GHM1511"/>
      <c r="GHN1511"/>
      <c r="GHO1511"/>
      <c r="GHP1511"/>
      <c r="GHQ1511"/>
      <c r="GHR1511"/>
      <c r="GHS1511"/>
      <c r="GHT1511"/>
      <c r="GHU1511"/>
      <c r="GHV1511"/>
      <c r="GHW1511"/>
      <c r="GHX1511"/>
      <c r="GHY1511"/>
      <c r="GHZ1511"/>
      <c r="GIA1511"/>
      <c r="GIB1511"/>
      <c r="GIC1511"/>
      <c r="GID1511"/>
      <c r="GIE1511"/>
      <c r="GIF1511"/>
      <c r="GIG1511"/>
      <c r="GIH1511"/>
      <c r="GII1511"/>
      <c r="GIJ1511"/>
      <c r="GIK1511"/>
      <c r="GIL1511"/>
      <c r="GIM1511"/>
      <c r="GIN1511"/>
      <c r="GIO1511"/>
      <c r="GIP1511"/>
      <c r="GIQ1511"/>
      <c r="GIR1511"/>
      <c r="GIS1511"/>
      <c r="GIT1511"/>
      <c r="GIU1511"/>
      <c r="GIV1511"/>
      <c r="GIW1511"/>
      <c r="GIX1511"/>
      <c r="GIY1511"/>
      <c r="GIZ1511"/>
      <c r="GJA1511"/>
      <c r="GJB1511"/>
      <c r="GJC1511"/>
      <c r="GJD1511"/>
      <c r="GJE1511"/>
      <c r="GJF1511"/>
      <c r="GJG1511"/>
      <c r="GJH1511"/>
      <c r="GJI1511"/>
      <c r="GJJ1511"/>
      <c r="GJK1511"/>
      <c r="GJL1511"/>
      <c r="GJM1511"/>
      <c r="GJN1511"/>
      <c r="GJO1511"/>
      <c r="GJP1511"/>
      <c r="GJQ1511"/>
      <c r="GJR1511"/>
      <c r="GJS1511"/>
      <c r="GJT1511"/>
      <c r="GJU1511"/>
      <c r="GJV1511"/>
      <c r="GJW1511"/>
      <c r="GJX1511"/>
      <c r="GJY1511"/>
      <c r="GJZ1511"/>
      <c r="GKA1511"/>
      <c r="GKB1511"/>
      <c r="GKC1511"/>
      <c r="GKD1511"/>
      <c r="GKE1511"/>
      <c r="GKF1511"/>
      <c r="GKG1511"/>
      <c r="GKH1511"/>
      <c r="GKI1511"/>
      <c r="GKJ1511"/>
      <c r="GKK1511"/>
      <c r="GKL1511"/>
      <c r="GKM1511"/>
      <c r="GKN1511"/>
      <c r="GKO1511"/>
      <c r="GKP1511"/>
      <c r="GKQ1511"/>
      <c r="GKR1511"/>
      <c r="GKS1511"/>
      <c r="GKT1511"/>
      <c r="GKU1511"/>
      <c r="GKV1511"/>
      <c r="GKW1511"/>
      <c r="GKX1511"/>
      <c r="GKY1511"/>
      <c r="GKZ1511"/>
      <c r="GLA1511"/>
      <c r="GLB1511"/>
      <c r="GLC1511"/>
      <c r="GLD1511"/>
      <c r="GLE1511"/>
      <c r="GLF1511"/>
      <c r="GLG1511"/>
      <c r="GLH1511"/>
      <c r="GLI1511"/>
      <c r="GLJ1511"/>
      <c r="GLK1511"/>
      <c r="GLL1511"/>
      <c r="GLM1511"/>
      <c r="GLN1511"/>
      <c r="GLO1511"/>
      <c r="GLP1511"/>
      <c r="GLQ1511"/>
      <c r="GLR1511"/>
      <c r="GLS1511"/>
      <c r="GLT1511"/>
      <c r="GLU1511"/>
      <c r="GLV1511"/>
      <c r="GLW1511"/>
      <c r="GLX1511"/>
      <c r="GLY1511"/>
      <c r="GLZ1511"/>
      <c r="GMA1511"/>
      <c r="GMB1511"/>
      <c r="GMC1511"/>
      <c r="GMD1511"/>
      <c r="GME1511"/>
      <c r="GMF1511"/>
      <c r="GMG1511"/>
      <c r="GMH1511"/>
      <c r="GMI1511"/>
      <c r="GMJ1511"/>
      <c r="GMK1511"/>
      <c r="GML1511"/>
      <c r="GMM1511"/>
      <c r="GMN1511"/>
      <c r="GMO1511"/>
      <c r="GMP1511"/>
      <c r="GMQ1511"/>
      <c r="GMR1511"/>
      <c r="GMS1511"/>
      <c r="GMT1511"/>
      <c r="GMU1511"/>
      <c r="GMV1511"/>
      <c r="GMW1511"/>
      <c r="GMX1511"/>
      <c r="GMY1511"/>
      <c r="GMZ1511"/>
      <c r="GNA1511"/>
      <c r="GNB1511"/>
      <c r="GNC1511"/>
      <c r="GND1511"/>
      <c r="GNE1511"/>
      <c r="GNF1511"/>
      <c r="GNG1511"/>
      <c r="GNH1511"/>
      <c r="GNI1511"/>
      <c r="GNJ1511"/>
      <c r="GNK1511"/>
      <c r="GNL1511"/>
      <c r="GNM1511"/>
      <c r="GNN1511"/>
      <c r="GNO1511"/>
      <c r="GNP1511"/>
      <c r="GNQ1511"/>
      <c r="GNR1511"/>
      <c r="GNS1511"/>
      <c r="GNT1511"/>
      <c r="GNU1511"/>
      <c r="GNV1511"/>
      <c r="GNW1511"/>
      <c r="GNX1511"/>
      <c r="GNY1511"/>
      <c r="GNZ1511"/>
      <c r="GOA1511"/>
      <c r="GOB1511"/>
      <c r="GOC1511"/>
      <c r="GOD1511"/>
      <c r="GOE1511"/>
      <c r="GOF1511"/>
      <c r="GOG1511"/>
      <c r="GOH1511"/>
      <c r="GOI1511"/>
      <c r="GOJ1511"/>
      <c r="GOK1511"/>
      <c r="GOL1511"/>
      <c r="GOM1511"/>
      <c r="GON1511"/>
      <c r="GOO1511"/>
      <c r="GOP1511"/>
      <c r="GOQ1511"/>
      <c r="GOR1511"/>
      <c r="GOS1511"/>
      <c r="GOT1511"/>
      <c r="GOU1511"/>
      <c r="GOV1511"/>
      <c r="GOW1511"/>
      <c r="GOX1511"/>
      <c r="GOY1511"/>
      <c r="GOZ1511"/>
      <c r="GPA1511"/>
      <c r="GPB1511"/>
      <c r="GPC1511"/>
      <c r="GPD1511"/>
      <c r="GPE1511"/>
      <c r="GPF1511"/>
      <c r="GPG1511"/>
      <c r="GPH1511"/>
      <c r="GPI1511"/>
      <c r="GPJ1511"/>
      <c r="GPK1511"/>
      <c r="GPL1511"/>
      <c r="GPM1511"/>
      <c r="GPN1511"/>
      <c r="GPO1511"/>
      <c r="GPP1511"/>
      <c r="GPQ1511"/>
      <c r="GPR1511"/>
      <c r="GPS1511"/>
      <c r="GPT1511"/>
      <c r="GPU1511"/>
      <c r="GPV1511"/>
      <c r="GPW1511"/>
      <c r="GPX1511"/>
      <c r="GPY1511"/>
      <c r="GPZ1511"/>
      <c r="GQA1511"/>
      <c r="GQB1511"/>
      <c r="GQC1511"/>
      <c r="GQD1511"/>
      <c r="GQE1511"/>
      <c r="GQF1511"/>
      <c r="GQG1511"/>
      <c r="GQH1511"/>
      <c r="GQI1511"/>
      <c r="GQJ1511"/>
      <c r="GQK1511"/>
      <c r="GQL1511"/>
      <c r="GQM1511"/>
      <c r="GQN1511"/>
      <c r="GQO1511"/>
      <c r="GQP1511"/>
      <c r="GQQ1511"/>
      <c r="GQR1511"/>
      <c r="GQS1511"/>
      <c r="GQT1511"/>
      <c r="GQU1511"/>
      <c r="GQV1511"/>
      <c r="GQW1511"/>
      <c r="GQX1511"/>
      <c r="GQY1511"/>
      <c r="GQZ1511"/>
      <c r="GRA1511"/>
      <c r="GRB1511"/>
      <c r="GRC1511"/>
      <c r="GRD1511"/>
      <c r="GRE1511"/>
      <c r="GRF1511"/>
      <c r="GRG1511"/>
      <c r="GRH1511"/>
      <c r="GRI1511"/>
      <c r="GRJ1511"/>
      <c r="GRK1511"/>
      <c r="GRL1511"/>
      <c r="GRM1511"/>
      <c r="GRN1511"/>
      <c r="GRO1511"/>
      <c r="GRP1511"/>
      <c r="GRQ1511"/>
      <c r="GRR1511"/>
      <c r="GRS1511"/>
      <c r="GRT1511"/>
      <c r="GRU1511"/>
      <c r="GRV1511"/>
      <c r="GRW1511"/>
      <c r="GRX1511"/>
      <c r="GRY1511"/>
      <c r="GRZ1511"/>
      <c r="GSA1511"/>
      <c r="GSB1511"/>
      <c r="GSC1511"/>
      <c r="GSD1511"/>
      <c r="GSE1511"/>
      <c r="GSF1511"/>
      <c r="GSG1511"/>
      <c r="GSH1511"/>
      <c r="GSI1511"/>
      <c r="GSJ1511"/>
      <c r="GSK1511"/>
      <c r="GSL1511"/>
      <c r="GSM1511"/>
      <c r="GSN1511"/>
      <c r="GSO1511"/>
      <c r="GSP1511"/>
      <c r="GSQ1511"/>
      <c r="GSR1511"/>
      <c r="GSS1511"/>
      <c r="GST1511"/>
      <c r="GSU1511"/>
      <c r="GSV1511"/>
      <c r="GSW1511"/>
      <c r="GSX1511"/>
      <c r="GSY1511"/>
      <c r="GSZ1511"/>
      <c r="GTA1511"/>
      <c r="GTB1511"/>
      <c r="GTC1511"/>
      <c r="GTD1511"/>
      <c r="GTE1511"/>
      <c r="GTF1511"/>
      <c r="GTG1511"/>
      <c r="GTH1511"/>
      <c r="GTI1511"/>
      <c r="GTJ1511"/>
      <c r="GTK1511"/>
      <c r="GTL1511"/>
      <c r="GTM1511"/>
      <c r="GTN1511"/>
      <c r="GTO1511"/>
      <c r="GTP1511"/>
      <c r="GTQ1511"/>
      <c r="GTR1511"/>
      <c r="GTS1511"/>
      <c r="GTT1511"/>
      <c r="GTU1511"/>
      <c r="GTV1511"/>
      <c r="GTW1511"/>
      <c r="GTX1511"/>
      <c r="GTY1511"/>
      <c r="GTZ1511"/>
      <c r="GUA1511"/>
      <c r="GUB1511"/>
      <c r="GUC1511"/>
      <c r="GUD1511"/>
      <c r="GUE1511"/>
      <c r="GUF1511"/>
      <c r="GUG1511"/>
      <c r="GUH1511"/>
      <c r="GUI1511"/>
      <c r="GUJ1511"/>
      <c r="GUK1511"/>
      <c r="GUL1511"/>
      <c r="GUM1511"/>
      <c r="GUN1511"/>
      <c r="GUO1511"/>
      <c r="GUP1511"/>
      <c r="GUQ1511"/>
      <c r="GUR1511"/>
      <c r="GUS1511"/>
      <c r="GUT1511"/>
      <c r="GUU1511"/>
      <c r="GUV1511"/>
      <c r="GUW1511"/>
      <c r="GUX1511"/>
      <c r="GUY1511"/>
      <c r="GUZ1511"/>
      <c r="GVA1511"/>
      <c r="GVB1511"/>
      <c r="GVC1511"/>
      <c r="GVD1511"/>
      <c r="GVE1511"/>
      <c r="GVF1511"/>
      <c r="GVG1511"/>
      <c r="GVH1511"/>
      <c r="GVI1511"/>
      <c r="GVJ1511"/>
      <c r="GVK1511"/>
      <c r="GVL1511"/>
      <c r="GVM1511"/>
      <c r="GVN1511"/>
      <c r="GVO1511"/>
      <c r="GVP1511"/>
      <c r="GVQ1511"/>
      <c r="GVR1511"/>
      <c r="GVS1511"/>
      <c r="GVT1511"/>
      <c r="GVU1511"/>
      <c r="GVV1511"/>
      <c r="GVW1511"/>
      <c r="GVX1511"/>
      <c r="GVY1511"/>
      <c r="GVZ1511"/>
      <c r="GWA1511"/>
      <c r="GWB1511"/>
      <c r="GWC1511"/>
      <c r="GWD1511"/>
      <c r="GWE1511"/>
      <c r="GWF1511"/>
      <c r="GWG1511"/>
      <c r="GWH1511"/>
      <c r="GWI1511"/>
      <c r="GWJ1511"/>
      <c r="GWK1511"/>
      <c r="GWL1511"/>
      <c r="GWM1511"/>
      <c r="GWN1511"/>
      <c r="GWO1511"/>
      <c r="GWP1511"/>
      <c r="GWQ1511"/>
      <c r="GWR1511"/>
      <c r="GWS1511"/>
      <c r="GWT1511"/>
      <c r="GWU1511"/>
      <c r="GWV1511"/>
      <c r="GWW1511"/>
      <c r="GWX1511"/>
      <c r="GWY1511"/>
      <c r="GWZ1511"/>
      <c r="GXA1511"/>
      <c r="GXB1511"/>
      <c r="GXC1511"/>
      <c r="GXD1511"/>
      <c r="GXE1511"/>
      <c r="GXF1511"/>
      <c r="GXG1511"/>
      <c r="GXH1511"/>
      <c r="GXI1511"/>
      <c r="GXJ1511"/>
      <c r="GXK1511"/>
      <c r="GXL1511"/>
      <c r="GXM1511"/>
      <c r="GXN1511"/>
      <c r="GXO1511"/>
      <c r="GXP1511"/>
      <c r="GXQ1511"/>
      <c r="GXR1511"/>
      <c r="GXS1511"/>
      <c r="GXT1511"/>
      <c r="GXU1511"/>
      <c r="GXV1511"/>
      <c r="GXW1511"/>
      <c r="GXX1511"/>
      <c r="GXY1511"/>
      <c r="GXZ1511"/>
      <c r="GYA1511"/>
      <c r="GYB1511"/>
      <c r="GYC1511"/>
      <c r="GYD1511"/>
      <c r="GYE1511"/>
      <c r="GYF1511"/>
      <c r="GYG1511"/>
      <c r="GYH1511"/>
      <c r="GYI1511"/>
      <c r="GYJ1511"/>
      <c r="GYK1511"/>
      <c r="GYL1511"/>
      <c r="GYM1511"/>
      <c r="GYN1511"/>
      <c r="GYO1511"/>
      <c r="GYP1511"/>
      <c r="GYQ1511"/>
      <c r="GYR1511"/>
      <c r="GYS1511"/>
      <c r="GYT1511"/>
      <c r="GYU1511"/>
      <c r="GYV1511"/>
      <c r="GYW1511"/>
      <c r="GYX1511"/>
      <c r="GYY1511"/>
      <c r="GYZ1511"/>
      <c r="GZA1511"/>
      <c r="GZB1511"/>
      <c r="GZC1511"/>
      <c r="GZD1511"/>
      <c r="GZE1511"/>
      <c r="GZF1511"/>
      <c r="GZG1511"/>
      <c r="GZH1511"/>
      <c r="GZI1511"/>
      <c r="GZJ1511"/>
      <c r="GZK1511"/>
      <c r="GZL1511"/>
      <c r="GZM1511"/>
      <c r="GZN1511"/>
      <c r="GZO1511"/>
      <c r="GZP1511"/>
      <c r="GZQ1511"/>
      <c r="GZR1511"/>
      <c r="GZS1511"/>
      <c r="GZT1511"/>
      <c r="GZU1511"/>
      <c r="GZV1511"/>
      <c r="GZW1511"/>
      <c r="GZX1511"/>
      <c r="GZY1511"/>
      <c r="GZZ1511"/>
      <c r="HAA1511"/>
      <c r="HAB1511"/>
      <c r="HAC1511"/>
      <c r="HAD1511"/>
      <c r="HAE1511"/>
      <c r="HAF1511"/>
      <c r="HAG1511"/>
      <c r="HAH1511"/>
      <c r="HAI1511"/>
      <c r="HAJ1511"/>
      <c r="HAK1511"/>
      <c r="HAL1511"/>
      <c r="HAM1511"/>
      <c r="HAN1511"/>
      <c r="HAO1511"/>
      <c r="HAP1511"/>
      <c r="HAQ1511"/>
      <c r="HAR1511"/>
      <c r="HAS1511"/>
      <c r="HAT1511"/>
      <c r="HAU1511"/>
      <c r="HAV1511"/>
      <c r="HAW1511"/>
      <c r="HAX1511"/>
      <c r="HAY1511"/>
      <c r="HAZ1511"/>
      <c r="HBA1511"/>
      <c r="HBB1511"/>
      <c r="HBC1511"/>
      <c r="HBD1511"/>
      <c r="HBE1511"/>
      <c r="HBF1511"/>
      <c r="HBG1511"/>
      <c r="HBH1511"/>
      <c r="HBI1511"/>
      <c r="HBJ1511"/>
      <c r="HBK1511"/>
      <c r="HBL1511"/>
      <c r="HBM1511"/>
      <c r="HBN1511"/>
      <c r="HBO1511"/>
      <c r="HBP1511"/>
      <c r="HBQ1511"/>
      <c r="HBR1511"/>
      <c r="HBS1511"/>
      <c r="HBT1511"/>
      <c r="HBU1511"/>
      <c r="HBV1511"/>
      <c r="HBW1511"/>
      <c r="HBX1511"/>
      <c r="HBY1511"/>
      <c r="HBZ1511"/>
      <c r="HCA1511"/>
      <c r="HCB1511"/>
      <c r="HCC1511"/>
      <c r="HCD1511"/>
      <c r="HCE1511"/>
      <c r="HCF1511"/>
      <c r="HCG1511"/>
      <c r="HCH1511"/>
      <c r="HCI1511"/>
      <c r="HCJ1511"/>
      <c r="HCK1511"/>
      <c r="HCL1511"/>
      <c r="HCM1511"/>
      <c r="HCN1511"/>
      <c r="HCO1511"/>
      <c r="HCP1511"/>
      <c r="HCQ1511"/>
      <c r="HCR1511"/>
      <c r="HCS1511"/>
      <c r="HCT1511"/>
      <c r="HCU1511"/>
      <c r="HCV1511"/>
      <c r="HCW1511"/>
      <c r="HCX1511"/>
      <c r="HCY1511"/>
      <c r="HCZ1511"/>
      <c r="HDA1511"/>
      <c r="HDB1511"/>
      <c r="HDC1511"/>
      <c r="HDD1511"/>
      <c r="HDE1511"/>
      <c r="HDF1511"/>
      <c r="HDG1511"/>
      <c r="HDH1511"/>
      <c r="HDI1511"/>
      <c r="HDJ1511"/>
      <c r="HDK1511"/>
      <c r="HDL1511"/>
      <c r="HDM1511"/>
      <c r="HDN1511"/>
      <c r="HDO1511"/>
      <c r="HDP1511"/>
      <c r="HDQ1511"/>
      <c r="HDR1511"/>
      <c r="HDS1511"/>
      <c r="HDT1511"/>
      <c r="HDU1511"/>
      <c r="HDV1511"/>
      <c r="HDW1511"/>
      <c r="HDX1511"/>
      <c r="HDY1511"/>
      <c r="HDZ1511"/>
      <c r="HEA1511"/>
      <c r="HEB1511"/>
      <c r="HEC1511"/>
      <c r="HED1511"/>
      <c r="HEE1511"/>
      <c r="HEF1511"/>
      <c r="HEG1511"/>
      <c r="HEH1511"/>
      <c r="HEI1511"/>
      <c r="HEJ1511"/>
      <c r="HEK1511"/>
      <c r="HEL1511"/>
      <c r="HEM1511"/>
      <c r="HEN1511"/>
      <c r="HEO1511"/>
      <c r="HEP1511"/>
      <c r="HEQ1511"/>
      <c r="HER1511"/>
      <c r="HES1511"/>
      <c r="HET1511"/>
      <c r="HEU1511"/>
      <c r="HEV1511"/>
      <c r="HEW1511"/>
      <c r="HEX1511"/>
      <c r="HEY1511"/>
      <c r="HEZ1511"/>
      <c r="HFA1511"/>
      <c r="HFB1511"/>
      <c r="HFC1511"/>
      <c r="HFD1511"/>
      <c r="HFE1511"/>
      <c r="HFF1511"/>
      <c r="HFG1511"/>
      <c r="HFH1511"/>
      <c r="HFI1511"/>
      <c r="HFJ1511"/>
      <c r="HFK1511"/>
      <c r="HFL1511"/>
      <c r="HFM1511"/>
      <c r="HFN1511"/>
      <c r="HFO1511"/>
      <c r="HFP1511"/>
      <c r="HFQ1511"/>
      <c r="HFR1511"/>
      <c r="HFS1511"/>
      <c r="HFT1511"/>
      <c r="HFU1511"/>
      <c r="HFV1511"/>
      <c r="HFW1511"/>
      <c r="HFX1511"/>
      <c r="HFY1511"/>
      <c r="HFZ1511"/>
      <c r="HGA1511"/>
      <c r="HGB1511"/>
      <c r="HGC1511"/>
      <c r="HGD1511"/>
      <c r="HGE1511"/>
      <c r="HGF1511"/>
      <c r="HGG1511"/>
      <c r="HGH1511"/>
      <c r="HGI1511"/>
      <c r="HGJ1511"/>
      <c r="HGK1511"/>
      <c r="HGL1511"/>
      <c r="HGM1511"/>
      <c r="HGN1511"/>
      <c r="HGO1511"/>
      <c r="HGP1511"/>
      <c r="HGQ1511"/>
      <c r="HGR1511"/>
      <c r="HGS1511"/>
      <c r="HGT1511"/>
      <c r="HGU1511"/>
      <c r="HGV1511"/>
      <c r="HGW1511"/>
      <c r="HGX1511"/>
      <c r="HGY1511"/>
      <c r="HGZ1511"/>
      <c r="HHA1511"/>
      <c r="HHB1511"/>
      <c r="HHC1511"/>
      <c r="HHD1511"/>
      <c r="HHE1511"/>
      <c r="HHF1511"/>
      <c r="HHG1511"/>
      <c r="HHH1511"/>
      <c r="HHI1511"/>
      <c r="HHJ1511"/>
      <c r="HHK1511"/>
      <c r="HHL1511"/>
      <c r="HHM1511"/>
      <c r="HHN1511"/>
      <c r="HHO1511"/>
      <c r="HHP1511"/>
      <c r="HHQ1511"/>
      <c r="HHR1511"/>
      <c r="HHS1511"/>
      <c r="HHT1511"/>
      <c r="HHU1511"/>
      <c r="HHV1511"/>
      <c r="HHW1511"/>
      <c r="HHX1511"/>
      <c r="HHY1511"/>
      <c r="HHZ1511"/>
      <c r="HIA1511"/>
      <c r="HIB1511"/>
      <c r="HIC1511"/>
      <c r="HID1511"/>
      <c r="HIE1511"/>
      <c r="HIF1511"/>
      <c r="HIG1511"/>
      <c r="HIH1511"/>
      <c r="HII1511"/>
      <c r="HIJ1511"/>
      <c r="HIK1511"/>
      <c r="HIL1511"/>
      <c r="HIM1511"/>
      <c r="HIN1511"/>
      <c r="HIO1511"/>
      <c r="HIP1511"/>
      <c r="HIQ1511"/>
      <c r="HIR1511"/>
      <c r="HIS1511"/>
      <c r="HIT1511"/>
      <c r="HIU1511"/>
      <c r="HIV1511"/>
      <c r="HIW1511"/>
      <c r="HIX1511"/>
      <c r="HIY1511"/>
      <c r="HIZ1511"/>
      <c r="HJA1511"/>
      <c r="HJB1511"/>
      <c r="HJC1511"/>
      <c r="HJD1511"/>
      <c r="HJE1511"/>
      <c r="HJF1511"/>
      <c r="HJG1511"/>
      <c r="HJH1511"/>
      <c r="HJI1511"/>
      <c r="HJJ1511"/>
      <c r="HJK1511"/>
      <c r="HJL1511"/>
      <c r="HJM1511"/>
      <c r="HJN1511"/>
      <c r="HJO1511"/>
      <c r="HJP1511"/>
      <c r="HJQ1511"/>
      <c r="HJR1511"/>
      <c r="HJS1511"/>
      <c r="HJT1511"/>
      <c r="HJU1511"/>
      <c r="HJV1511"/>
      <c r="HJW1511"/>
      <c r="HJX1511"/>
      <c r="HJY1511"/>
      <c r="HJZ1511"/>
      <c r="HKA1511"/>
      <c r="HKB1511"/>
      <c r="HKC1511"/>
      <c r="HKD1511"/>
      <c r="HKE1511"/>
      <c r="HKF1511"/>
      <c r="HKG1511"/>
      <c r="HKH1511"/>
      <c r="HKI1511"/>
      <c r="HKJ1511"/>
      <c r="HKK1511"/>
      <c r="HKL1511"/>
      <c r="HKM1511"/>
      <c r="HKN1511"/>
      <c r="HKO1511"/>
      <c r="HKP1511"/>
      <c r="HKQ1511"/>
      <c r="HKR1511"/>
      <c r="HKS1511"/>
      <c r="HKT1511"/>
      <c r="HKU1511"/>
      <c r="HKV1511"/>
      <c r="HKW1511"/>
      <c r="HKX1511"/>
      <c r="HKY1511"/>
      <c r="HKZ1511"/>
      <c r="HLA1511"/>
      <c r="HLB1511"/>
      <c r="HLC1511"/>
      <c r="HLD1511"/>
      <c r="HLE1511"/>
      <c r="HLF1511"/>
      <c r="HLG1511"/>
      <c r="HLH1511"/>
      <c r="HLI1511"/>
      <c r="HLJ1511"/>
      <c r="HLK1511"/>
      <c r="HLL1511"/>
      <c r="HLM1511"/>
      <c r="HLN1511"/>
      <c r="HLO1511"/>
      <c r="HLP1511"/>
      <c r="HLQ1511"/>
      <c r="HLR1511"/>
      <c r="HLS1511"/>
      <c r="HLT1511"/>
      <c r="HLU1511"/>
      <c r="HLV1511"/>
      <c r="HLW1511"/>
      <c r="HLX1511"/>
      <c r="HLY1511"/>
      <c r="HLZ1511"/>
      <c r="HMA1511"/>
      <c r="HMB1511"/>
      <c r="HMC1511"/>
      <c r="HMD1511"/>
      <c r="HME1511"/>
      <c r="HMF1511"/>
      <c r="HMG1511"/>
      <c r="HMH1511"/>
      <c r="HMI1511"/>
      <c r="HMJ1511"/>
      <c r="HMK1511"/>
      <c r="HML1511"/>
      <c r="HMM1511"/>
      <c r="HMN1511"/>
      <c r="HMO1511"/>
      <c r="HMP1511"/>
      <c r="HMQ1511"/>
      <c r="HMR1511"/>
      <c r="HMS1511"/>
      <c r="HMT1511"/>
      <c r="HMU1511"/>
      <c r="HMV1511"/>
      <c r="HMW1511"/>
      <c r="HMX1511"/>
      <c r="HMY1511"/>
      <c r="HMZ1511"/>
      <c r="HNA1511"/>
      <c r="HNB1511"/>
      <c r="HNC1511"/>
      <c r="HND1511"/>
      <c r="HNE1511"/>
      <c r="HNF1511"/>
      <c r="HNG1511"/>
      <c r="HNH1511"/>
      <c r="HNI1511"/>
      <c r="HNJ1511"/>
      <c r="HNK1511"/>
      <c r="HNL1511"/>
      <c r="HNM1511"/>
      <c r="HNN1511"/>
      <c r="HNO1511"/>
      <c r="HNP1511"/>
      <c r="HNQ1511"/>
      <c r="HNR1511"/>
      <c r="HNS1511"/>
      <c r="HNT1511"/>
      <c r="HNU1511"/>
      <c r="HNV1511"/>
      <c r="HNW1511"/>
      <c r="HNX1511"/>
      <c r="HNY1511"/>
      <c r="HNZ1511"/>
      <c r="HOA1511"/>
      <c r="HOB1511"/>
      <c r="HOC1511"/>
      <c r="HOD1511"/>
      <c r="HOE1511"/>
      <c r="HOF1511"/>
      <c r="HOG1511"/>
      <c r="HOH1511"/>
      <c r="HOI1511"/>
      <c r="HOJ1511"/>
      <c r="HOK1511"/>
      <c r="HOL1511"/>
      <c r="HOM1511"/>
      <c r="HON1511"/>
      <c r="HOO1511"/>
      <c r="HOP1511"/>
      <c r="HOQ1511"/>
      <c r="HOR1511"/>
      <c r="HOS1511"/>
      <c r="HOT1511"/>
      <c r="HOU1511"/>
      <c r="HOV1511"/>
      <c r="HOW1511"/>
      <c r="HOX1511"/>
      <c r="HOY1511"/>
      <c r="HOZ1511"/>
      <c r="HPA1511"/>
      <c r="HPB1511"/>
      <c r="HPC1511"/>
      <c r="HPD1511"/>
      <c r="HPE1511"/>
      <c r="HPF1511"/>
      <c r="HPG1511"/>
      <c r="HPH1511"/>
      <c r="HPI1511"/>
      <c r="HPJ1511"/>
      <c r="HPK1511"/>
      <c r="HPL1511"/>
      <c r="HPM1511"/>
      <c r="HPN1511"/>
      <c r="HPO1511"/>
      <c r="HPP1511"/>
      <c r="HPQ1511"/>
      <c r="HPR1511"/>
      <c r="HPS1511"/>
      <c r="HPT1511"/>
      <c r="HPU1511"/>
      <c r="HPV1511"/>
      <c r="HPW1511"/>
      <c r="HPX1511"/>
      <c r="HPY1511"/>
      <c r="HPZ1511"/>
      <c r="HQA1511"/>
      <c r="HQB1511"/>
      <c r="HQC1511"/>
      <c r="HQD1511"/>
      <c r="HQE1511"/>
      <c r="HQF1511"/>
      <c r="HQG1511"/>
      <c r="HQH1511"/>
      <c r="HQI1511"/>
      <c r="HQJ1511"/>
      <c r="HQK1511"/>
      <c r="HQL1511"/>
      <c r="HQM1511"/>
      <c r="HQN1511"/>
      <c r="HQO1511"/>
      <c r="HQP1511"/>
      <c r="HQQ1511"/>
      <c r="HQR1511"/>
      <c r="HQS1511"/>
      <c r="HQT1511"/>
      <c r="HQU1511"/>
      <c r="HQV1511"/>
      <c r="HQW1511"/>
      <c r="HQX1511"/>
      <c r="HQY1511"/>
      <c r="HQZ1511"/>
      <c r="HRA1511"/>
      <c r="HRB1511"/>
      <c r="HRC1511"/>
      <c r="HRD1511"/>
      <c r="HRE1511"/>
      <c r="HRF1511"/>
      <c r="HRG1511"/>
      <c r="HRH1511"/>
      <c r="HRI1511"/>
      <c r="HRJ1511"/>
      <c r="HRK1511"/>
      <c r="HRL1511"/>
      <c r="HRM1511"/>
      <c r="HRN1511"/>
      <c r="HRO1511"/>
      <c r="HRP1511"/>
      <c r="HRQ1511"/>
      <c r="HRR1511"/>
      <c r="HRS1511"/>
      <c r="HRT1511"/>
      <c r="HRU1511"/>
      <c r="HRV1511"/>
      <c r="HRW1511"/>
      <c r="HRX1511"/>
      <c r="HRY1511"/>
      <c r="HRZ1511"/>
      <c r="HSA1511"/>
      <c r="HSB1511"/>
      <c r="HSC1511"/>
      <c r="HSD1511"/>
      <c r="HSE1511"/>
      <c r="HSF1511"/>
      <c r="HSG1511"/>
      <c r="HSH1511"/>
      <c r="HSI1511"/>
      <c r="HSJ1511"/>
      <c r="HSK1511"/>
      <c r="HSL1511"/>
      <c r="HSM1511"/>
      <c r="HSN1511"/>
      <c r="HSO1511"/>
      <c r="HSP1511"/>
      <c r="HSQ1511"/>
      <c r="HSR1511"/>
      <c r="HSS1511"/>
      <c r="HST1511"/>
      <c r="HSU1511"/>
      <c r="HSV1511"/>
      <c r="HSW1511"/>
      <c r="HSX1511"/>
      <c r="HSY1511"/>
      <c r="HSZ1511"/>
      <c r="HTA1511"/>
      <c r="HTB1511"/>
      <c r="HTC1511"/>
      <c r="HTD1511"/>
      <c r="HTE1511"/>
      <c r="HTF1511"/>
      <c r="HTG1511"/>
      <c r="HTH1511"/>
      <c r="HTI1511"/>
      <c r="HTJ1511"/>
      <c r="HTK1511"/>
      <c r="HTL1511"/>
      <c r="HTM1511"/>
      <c r="HTN1511"/>
      <c r="HTO1511"/>
      <c r="HTP1511"/>
      <c r="HTQ1511"/>
      <c r="HTR1511"/>
      <c r="HTS1511"/>
      <c r="HTT1511"/>
      <c r="HTU1511"/>
      <c r="HTV1511"/>
      <c r="HTW1511"/>
      <c r="HTX1511"/>
      <c r="HTY1511"/>
      <c r="HTZ1511"/>
      <c r="HUA1511"/>
      <c r="HUB1511"/>
      <c r="HUC1511"/>
      <c r="HUD1511"/>
      <c r="HUE1511"/>
      <c r="HUF1511"/>
      <c r="HUG1511"/>
      <c r="HUH1511"/>
      <c r="HUI1511"/>
      <c r="HUJ1511"/>
      <c r="HUK1511"/>
      <c r="HUL1511"/>
      <c r="HUM1511"/>
      <c r="HUN1511"/>
      <c r="HUO1511"/>
      <c r="HUP1511"/>
      <c r="HUQ1511"/>
      <c r="HUR1511"/>
      <c r="HUS1511"/>
      <c r="HUT1511"/>
      <c r="HUU1511"/>
      <c r="HUV1511"/>
      <c r="HUW1511"/>
      <c r="HUX1511"/>
      <c r="HUY1511"/>
      <c r="HUZ1511"/>
      <c r="HVA1511"/>
      <c r="HVB1511"/>
      <c r="HVC1511"/>
      <c r="HVD1511"/>
      <c r="HVE1511"/>
      <c r="HVF1511"/>
      <c r="HVG1511"/>
      <c r="HVH1511"/>
      <c r="HVI1511"/>
      <c r="HVJ1511"/>
      <c r="HVK1511"/>
      <c r="HVL1511"/>
      <c r="HVM1511"/>
      <c r="HVN1511"/>
      <c r="HVO1511"/>
      <c r="HVP1511"/>
      <c r="HVQ1511"/>
      <c r="HVR1511"/>
      <c r="HVS1511"/>
      <c r="HVT1511"/>
      <c r="HVU1511"/>
      <c r="HVV1511"/>
      <c r="HVW1511"/>
      <c r="HVX1511"/>
      <c r="HVY1511"/>
      <c r="HVZ1511"/>
      <c r="HWA1511"/>
      <c r="HWB1511"/>
      <c r="HWC1511"/>
      <c r="HWD1511"/>
      <c r="HWE1511"/>
      <c r="HWF1511"/>
      <c r="HWG1511"/>
      <c r="HWH1511"/>
      <c r="HWI1511"/>
      <c r="HWJ1511"/>
      <c r="HWK1511"/>
      <c r="HWL1511"/>
      <c r="HWM1511"/>
      <c r="HWN1511"/>
      <c r="HWO1511"/>
      <c r="HWP1511"/>
      <c r="HWQ1511"/>
      <c r="HWR1511"/>
      <c r="HWS1511"/>
      <c r="HWT1511"/>
      <c r="HWU1511"/>
      <c r="HWV1511"/>
      <c r="HWW1511"/>
      <c r="HWX1511"/>
      <c r="HWY1511"/>
      <c r="HWZ1511"/>
      <c r="HXA1511"/>
      <c r="HXB1511"/>
      <c r="HXC1511"/>
      <c r="HXD1511"/>
      <c r="HXE1511"/>
      <c r="HXF1511"/>
      <c r="HXG1511"/>
      <c r="HXH1511"/>
      <c r="HXI1511"/>
      <c r="HXJ1511"/>
      <c r="HXK1511"/>
      <c r="HXL1511"/>
      <c r="HXM1511"/>
      <c r="HXN1511"/>
      <c r="HXO1511"/>
      <c r="HXP1511"/>
      <c r="HXQ1511"/>
      <c r="HXR1511"/>
      <c r="HXS1511"/>
      <c r="HXT1511"/>
      <c r="HXU1511"/>
      <c r="HXV1511"/>
      <c r="HXW1511"/>
      <c r="HXX1511"/>
      <c r="HXY1511"/>
      <c r="HXZ1511"/>
      <c r="HYA1511"/>
      <c r="HYB1511"/>
      <c r="HYC1511"/>
      <c r="HYD1511"/>
      <c r="HYE1511"/>
      <c r="HYF1511"/>
      <c r="HYG1511"/>
      <c r="HYH1511"/>
      <c r="HYI1511"/>
      <c r="HYJ1511"/>
      <c r="HYK1511"/>
      <c r="HYL1511"/>
      <c r="HYM1511"/>
      <c r="HYN1511"/>
      <c r="HYO1511"/>
      <c r="HYP1511"/>
      <c r="HYQ1511"/>
      <c r="HYR1511"/>
      <c r="HYS1511"/>
      <c r="HYT1511"/>
      <c r="HYU1511"/>
      <c r="HYV1511"/>
      <c r="HYW1511"/>
      <c r="HYX1511"/>
      <c r="HYY1511"/>
      <c r="HYZ1511"/>
      <c r="HZA1511"/>
      <c r="HZB1511"/>
      <c r="HZC1511"/>
      <c r="HZD1511"/>
      <c r="HZE1511"/>
      <c r="HZF1511"/>
      <c r="HZG1511"/>
      <c r="HZH1511"/>
      <c r="HZI1511"/>
      <c r="HZJ1511"/>
      <c r="HZK1511"/>
      <c r="HZL1511"/>
      <c r="HZM1511"/>
      <c r="HZN1511"/>
      <c r="HZO1511"/>
      <c r="HZP1511"/>
      <c r="HZQ1511"/>
      <c r="HZR1511"/>
      <c r="HZS1511"/>
      <c r="HZT1511"/>
      <c r="HZU1511"/>
      <c r="HZV1511"/>
      <c r="HZW1511"/>
      <c r="HZX1511"/>
      <c r="HZY1511"/>
      <c r="HZZ1511"/>
      <c r="IAA1511"/>
      <c r="IAB1511"/>
      <c r="IAC1511"/>
      <c r="IAD1511"/>
      <c r="IAE1511"/>
      <c r="IAF1511"/>
      <c r="IAG1511"/>
      <c r="IAH1511"/>
      <c r="IAI1511"/>
      <c r="IAJ1511"/>
      <c r="IAK1511"/>
      <c r="IAL1511"/>
      <c r="IAM1511"/>
      <c r="IAN1511"/>
      <c r="IAO1511"/>
      <c r="IAP1511"/>
      <c r="IAQ1511"/>
      <c r="IAR1511"/>
      <c r="IAS1511"/>
      <c r="IAT1511"/>
      <c r="IAU1511"/>
      <c r="IAV1511"/>
      <c r="IAW1511"/>
      <c r="IAX1511"/>
      <c r="IAY1511"/>
      <c r="IAZ1511"/>
      <c r="IBA1511"/>
      <c r="IBB1511"/>
      <c r="IBC1511"/>
      <c r="IBD1511"/>
      <c r="IBE1511"/>
      <c r="IBF1511"/>
      <c r="IBG1511"/>
      <c r="IBH1511"/>
      <c r="IBI1511"/>
      <c r="IBJ1511"/>
      <c r="IBK1511"/>
      <c r="IBL1511"/>
      <c r="IBM1511"/>
      <c r="IBN1511"/>
      <c r="IBO1511"/>
      <c r="IBP1511"/>
      <c r="IBQ1511"/>
      <c r="IBR1511"/>
      <c r="IBS1511"/>
      <c r="IBT1511"/>
      <c r="IBU1511"/>
      <c r="IBV1511"/>
      <c r="IBW1511"/>
      <c r="IBX1511"/>
      <c r="IBY1511"/>
      <c r="IBZ1511"/>
      <c r="ICA1511"/>
      <c r="ICB1511"/>
      <c r="ICC1511"/>
      <c r="ICD1511"/>
      <c r="ICE1511"/>
      <c r="ICF1511"/>
      <c r="ICG1511"/>
      <c r="ICH1511"/>
      <c r="ICI1511"/>
      <c r="ICJ1511"/>
      <c r="ICK1511"/>
      <c r="ICL1511"/>
      <c r="ICM1511"/>
      <c r="ICN1511"/>
      <c r="ICO1511"/>
      <c r="ICP1511"/>
      <c r="ICQ1511"/>
      <c r="ICR1511"/>
      <c r="ICS1511"/>
      <c r="ICT1511"/>
      <c r="ICU1511"/>
      <c r="ICV1511"/>
      <c r="ICW1511"/>
      <c r="ICX1511"/>
      <c r="ICY1511"/>
      <c r="ICZ1511"/>
      <c r="IDA1511"/>
      <c r="IDB1511"/>
      <c r="IDC1511"/>
      <c r="IDD1511"/>
      <c r="IDE1511"/>
      <c r="IDF1511"/>
      <c r="IDG1511"/>
      <c r="IDH1511"/>
      <c r="IDI1511"/>
      <c r="IDJ1511"/>
      <c r="IDK1511"/>
      <c r="IDL1511"/>
      <c r="IDM1511"/>
      <c r="IDN1511"/>
      <c r="IDO1511"/>
      <c r="IDP1511"/>
      <c r="IDQ1511"/>
      <c r="IDR1511"/>
      <c r="IDS1511"/>
      <c r="IDT1511"/>
      <c r="IDU1511"/>
      <c r="IDV1511"/>
      <c r="IDW1511"/>
      <c r="IDX1511"/>
      <c r="IDY1511"/>
      <c r="IDZ1511"/>
      <c r="IEA1511"/>
      <c r="IEB1511"/>
      <c r="IEC1511"/>
      <c r="IED1511"/>
      <c r="IEE1511"/>
      <c r="IEF1511"/>
      <c r="IEG1511"/>
      <c r="IEH1511"/>
      <c r="IEI1511"/>
      <c r="IEJ1511"/>
      <c r="IEK1511"/>
      <c r="IEL1511"/>
      <c r="IEM1511"/>
      <c r="IEN1511"/>
      <c r="IEO1511"/>
      <c r="IEP1511"/>
      <c r="IEQ1511"/>
      <c r="IER1511"/>
      <c r="IES1511"/>
      <c r="IET1511"/>
      <c r="IEU1511"/>
      <c r="IEV1511"/>
      <c r="IEW1511"/>
      <c r="IEX1511"/>
      <c r="IEY1511"/>
      <c r="IEZ1511"/>
      <c r="IFA1511"/>
      <c r="IFB1511"/>
      <c r="IFC1511"/>
      <c r="IFD1511"/>
      <c r="IFE1511"/>
      <c r="IFF1511"/>
      <c r="IFG1511"/>
      <c r="IFH1511"/>
      <c r="IFI1511"/>
      <c r="IFJ1511"/>
      <c r="IFK1511"/>
      <c r="IFL1511"/>
      <c r="IFM1511"/>
      <c r="IFN1511"/>
      <c r="IFO1511"/>
      <c r="IFP1511"/>
      <c r="IFQ1511"/>
      <c r="IFR1511"/>
      <c r="IFS1511"/>
      <c r="IFT1511"/>
      <c r="IFU1511"/>
      <c r="IFV1511"/>
      <c r="IFW1511"/>
      <c r="IFX1511"/>
      <c r="IFY1511"/>
      <c r="IFZ1511"/>
      <c r="IGA1511"/>
      <c r="IGB1511"/>
      <c r="IGC1511"/>
      <c r="IGD1511"/>
      <c r="IGE1511"/>
      <c r="IGF1511"/>
      <c r="IGG1511"/>
      <c r="IGH1511"/>
      <c r="IGI1511"/>
      <c r="IGJ1511"/>
      <c r="IGK1511"/>
      <c r="IGL1511"/>
      <c r="IGM1511"/>
      <c r="IGN1511"/>
      <c r="IGO1511"/>
      <c r="IGP1511"/>
      <c r="IGQ1511"/>
      <c r="IGR1511"/>
      <c r="IGS1511"/>
      <c r="IGT1511"/>
      <c r="IGU1511"/>
      <c r="IGV1511"/>
      <c r="IGW1511"/>
      <c r="IGX1511"/>
      <c r="IGY1511"/>
      <c r="IGZ1511"/>
      <c r="IHA1511"/>
      <c r="IHB1511"/>
      <c r="IHC1511"/>
      <c r="IHD1511"/>
      <c r="IHE1511"/>
      <c r="IHF1511"/>
      <c r="IHG1511"/>
      <c r="IHH1511"/>
      <c r="IHI1511"/>
      <c r="IHJ1511"/>
      <c r="IHK1511"/>
      <c r="IHL1511"/>
      <c r="IHM1511"/>
      <c r="IHN1511"/>
      <c r="IHO1511"/>
      <c r="IHP1511"/>
      <c r="IHQ1511"/>
      <c r="IHR1511"/>
      <c r="IHS1511"/>
      <c r="IHT1511"/>
      <c r="IHU1511"/>
      <c r="IHV1511"/>
      <c r="IHW1511"/>
      <c r="IHX1511"/>
      <c r="IHY1511"/>
      <c r="IHZ1511"/>
      <c r="IIA1511"/>
      <c r="IIB1511"/>
      <c r="IIC1511"/>
      <c r="IID1511"/>
      <c r="IIE1511"/>
      <c r="IIF1511"/>
      <c r="IIG1511"/>
      <c r="IIH1511"/>
      <c r="III1511"/>
      <c r="IIJ1511"/>
      <c r="IIK1511"/>
      <c r="IIL1511"/>
      <c r="IIM1511"/>
      <c r="IIN1511"/>
      <c r="IIO1511"/>
      <c r="IIP1511"/>
      <c r="IIQ1511"/>
      <c r="IIR1511"/>
      <c r="IIS1511"/>
      <c r="IIT1511"/>
      <c r="IIU1511"/>
      <c r="IIV1511"/>
      <c r="IIW1511"/>
      <c r="IIX1511"/>
      <c r="IIY1511"/>
      <c r="IIZ1511"/>
      <c r="IJA1511"/>
      <c r="IJB1511"/>
      <c r="IJC1511"/>
      <c r="IJD1511"/>
      <c r="IJE1511"/>
      <c r="IJF1511"/>
      <c r="IJG1511"/>
      <c r="IJH1511"/>
      <c r="IJI1511"/>
      <c r="IJJ1511"/>
      <c r="IJK1511"/>
      <c r="IJL1511"/>
      <c r="IJM1511"/>
      <c r="IJN1511"/>
      <c r="IJO1511"/>
      <c r="IJP1511"/>
      <c r="IJQ1511"/>
      <c r="IJR1511"/>
      <c r="IJS1511"/>
      <c r="IJT1511"/>
      <c r="IJU1511"/>
      <c r="IJV1511"/>
      <c r="IJW1511"/>
      <c r="IJX1511"/>
      <c r="IJY1511"/>
      <c r="IJZ1511"/>
      <c r="IKA1511"/>
      <c r="IKB1511"/>
      <c r="IKC1511"/>
      <c r="IKD1511"/>
      <c r="IKE1511"/>
      <c r="IKF1511"/>
      <c r="IKG1511"/>
      <c r="IKH1511"/>
      <c r="IKI1511"/>
      <c r="IKJ1511"/>
      <c r="IKK1511"/>
      <c r="IKL1511"/>
      <c r="IKM1511"/>
      <c r="IKN1511"/>
      <c r="IKO1511"/>
      <c r="IKP1511"/>
      <c r="IKQ1511"/>
      <c r="IKR1511"/>
      <c r="IKS1511"/>
      <c r="IKT1511"/>
      <c r="IKU1511"/>
      <c r="IKV1511"/>
      <c r="IKW1511"/>
      <c r="IKX1511"/>
      <c r="IKY1511"/>
      <c r="IKZ1511"/>
      <c r="ILA1511"/>
      <c r="ILB1511"/>
      <c r="ILC1511"/>
      <c r="ILD1511"/>
      <c r="ILE1511"/>
      <c r="ILF1511"/>
      <c r="ILG1511"/>
      <c r="ILH1511"/>
      <c r="ILI1511"/>
      <c r="ILJ1511"/>
      <c r="ILK1511"/>
      <c r="ILL1511"/>
      <c r="ILM1511"/>
      <c r="ILN1511"/>
      <c r="ILO1511"/>
      <c r="ILP1511"/>
      <c r="ILQ1511"/>
      <c r="ILR1511"/>
      <c r="ILS1511"/>
      <c r="ILT1511"/>
      <c r="ILU1511"/>
      <c r="ILV1511"/>
      <c r="ILW1511"/>
      <c r="ILX1511"/>
      <c r="ILY1511"/>
      <c r="ILZ1511"/>
      <c r="IMA1511"/>
      <c r="IMB1511"/>
      <c r="IMC1511"/>
      <c r="IMD1511"/>
      <c r="IME1511"/>
      <c r="IMF1511"/>
      <c r="IMG1511"/>
      <c r="IMH1511"/>
      <c r="IMI1511"/>
      <c r="IMJ1511"/>
      <c r="IMK1511"/>
      <c r="IML1511"/>
      <c r="IMM1511"/>
      <c r="IMN1511"/>
      <c r="IMO1511"/>
      <c r="IMP1511"/>
      <c r="IMQ1511"/>
      <c r="IMR1511"/>
      <c r="IMS1511"/>
      <c r="IMT1511"/>
      <c r="IMU1511"/>
      <c r="IMV1511"/>
      <c r="IMW1511"/>
      <c r="IMX1511"/>
      <c r="IMY1511"/>
      <c r="IMZ1511"/>
      <c r="INA1511"/>
      <c r="INB1511"/>
      <c r="INC1511"/>
      <c r="IND1511"/>
      <c r="INE1511"/>
      <c r="INF1511"/>
      <c r="ING1511"/>
      <c r="INH1511"/>
      <c r="INI1511"/>
      <c r="INJ1511"/>
      <c r="INK1511"/>
      <c r="INL1511"/>
      <c r="INM1511"/>
      <c r="INN1511"/>
      <c r="INO1511"/>
      <c r="INP1511"/>
      <c r="INQ1511"/>
      <c r="INR1511"/>
      <c r="INS1511"/>
      <c r="INT1511"/>
      <c r="INU1511"/>
      <c r="INV1511"/>
      <c r="INW1511"/>
      <c r="INX1511"/>
      <c r="INY1511"/>
      <c r="INZ1511"/>
      <c r="IOA1511"/>
      <c r="IOB1511"/>
      <c r="IOC1511"/>
      <c r="IOD1511"/>
      <c r="IOE1511"/>
      <c r="IOF1511"/>
      <c r="IOG1511"/>
      <c r="IOH1511"/>
      <c r="IOI1511"/>
      <c r="IOJ1511"/>
      <c r="IOK1511"/>
      <c r="IOL1511"/>
      <c r="IOM1511"/>
      <c r="ION1511"/>
      <c r="IOO1511"/>
      <c r="IOP1511"/>
      <c r="IOQ1511"/>
      <c r="IOR1511"/>
      <c r="IOS1511"/>
      <c r="IOT1511"/>
      <c r="IOU1511"/>
      <c r="IOV1511"/>
      <c r="IOW1511"/>
      <c r="IOX1511"/>
      <c r="IOY1511"/>
      <c r="IOZ1511"/>
      <c r="IPA1511"/>
      <c r="IPB1511"/>
      <c r="IPC1511"/>
      <c r="IPD1511"/>
      <c r="IPE1511"/>
      <c r="IPF1511"/>
      <c r="IPG1511"/>
      <c r="IPH1511"/>
      <c r="IPI1511"/>
      <c r="IPJ1511"/>
      <c r="IPK1511"/>
      <c r="IPL1511"/>
      <c r="IPM1511"/>
      <c r="IPN1511"/>
      <c r="IPO1511"/>
      <c r="IPP1511"/>
      <c r="IPQ1511"/>
      <c r="IPR1511"/>
      <c r="IPS1511"/>
      <c r="IPT1511"/>
      <c r="IPU1511"/>
      <c r="IPV1511"/>
      <c r="IPW1511"/>
      <c r="IPX1511"/>
      <c r="IPY1511"/>
      <c r="IPZ1511"/>
      <c r="IQA1511"/>
      <c r="IQB1511"/>
      <c r="IQC1511"/>
      <c r="IQD1511"/>
      <c r="IQE1511"/>
      <c r="IQF1511"/>
      <c r="IQG1511"/>
      <c r="IQH1511"/>
      <c r="IQI1511"/>
      <c r="IQJ1511"/>
      <c r="IQK1511"/>
      <c r="IQL1511"/>
      <c r="IQM1511"/>
      <c r="IQN1511"/>
      <c r="IQO1511"/>
      <c r="IQP1511"/>
      <c r="IQQ1511"/>
      <c r="IQR1511"/>
      <c r="IQS1511"/>
      <c r="IQT1511"/>
      <c r="IQU1511"/>
      <c r="IQV1511"/>
      <c r="IQW1511"/>
      <c r="IQX1511"/>
      <c r="IQY1511"/>
      <c r="IQZ1511"/>
      <c r="IRA1511"/>
      <c r="IRB1511"/>
      <c r="IRC1511"/>
      <c r="IRD1511"/>
      <c r="IRE1511"/>
      <c r="IRF1511"/>
      <c r="IRG1511"/>
      <c r="IRH1511"/>
      <c r="IRI1511"/>
      <c r="IRJ1511"/>
      <c r="IRK1511"/>
      <c r="IRL1511"/>
      <c r="IRM1511"/>
      <c r="IRN1511"/>
      <c r="IRO1511"/>
      <c r="IRP1511"/>
      <c r="IRQ1511"/>
      <c r="IRR1511"/>
      <c r="IRS1511"/>
      <c r="IRT1511"/>
      <c r="IRU1511"/>
      <c r="IRV1511"/>
      <c r="IRW1511"/>
      <c r="IRX1511"/>
      <c r="IRY1511"/>
      <c r="IRZ1511"/>
      <c r="ISA1511"/>
      <c r="ISB1511"/>
      <c r="ISC1511"/>
      <c r="ISD1511"/>
      <c r="ISE1511"/>
      <c r="ISF1511"/>
      <c r="ISG1511"/>
      <c r="ISH1511"/>
      <c r="ISI1511"/>
      <c r="ISJ1511"/>
      <c r="ISK1511"/>
      <c r="ISL1511"/>
      <c r="ISM1511"/>
      <c r="ISN1511"/>
      <c r="ISO1511"/>
      <c r="ISP1511"/>
      <c r="ISQ1511"/>
      <c r="ISR1511"/>
      <c r="ISS1511"/>
      <c r="IST1511"/>
      <c r="ISU1511"/>
      <c r="ISV1511"/>
      <c r="ISW1511"/>
      <c r="ISX1511"/>
      <c r="ISY1511"/>
      <c r="ISZ1511"/>
      <c r="ITA1511"/>
      <c r="ITB1511"/>
      <c r="ITC1511"/>
      <c r="ITD1511"/>
      <c r="ITE1511"/>
      <c r="ITF1511"/>
      <c r="ITG1511"/>
      <c r="ITH1511"/>
      <c r="ITI1511"/>
      <c r="ITJ1511"/>
      <c r="ITK1511"/>
      <c r="ITL1511"/>
      <c r="ITM1511"/>
      <c r="ITN1511"/>
      <c r="ITO1511"/>
      <c r="ITP1511"/>
      <c r="ITQ1511"/>
      <c r="ITR1511"/>
      <c r="ITS1511"/>
      <c r="ITT1511"/>
      <c r="ITU1511"/>
      <c r="ITV1511"/>
      <c r="ITW1511"/>
      <c r="ITX1511"/>
      <c r="ITY1511"/>
      <c r="ITZ1511"/>
      <c r="IUA1511"/>
      <c r="IUB1511"/>
      <c r="IUC1511"/>
      <c r="IUD1511"/>
      <c r="IUE1511"/>
      <c r="IUF1511"/>
      <c r="IUG1511"/>
      <c r="IUH1511"/>
      <c r="IUI1511"/>
      <c r="IUJ1511"/>
      <c r="IUK1511"/>
      <c r="IUL1511"/>
      <c r="IUM1511"/>
      <c r="IUN1511"/>
      <c r="IUO1511"/>
      <c r="IUP1511"/>
      <c r="IUQ1511"/>
      <c r="IUR1511"/>
      <c r="IUS1511"/>
      <c r="IUT1511"/>
      <c r="IUU1511"/>
      <c r="IUV1511"/>
      <c r="IUW1511"/>
      <c r="IUX1511"/>
      <c r="IUY1511"/>
      <c r="IUZ1511"/>
      <c r="IVA1511"/>
      <c r="IVB1511"/>
      <c r="IVC1511"/>
      <c r="IVD1511"/>
      <c r="IVE1511"/>
      <c r="IVF1511"/>
      <c r="IVG1511"/>
      <c r="IVH1511"/>
      <c r="IVI1511"/>
      <c r="IVJ1511"/>
      <c r="IVK1511"/>
      <c r="IVL1511"/>
      <c r="IVM1511"/>
      <c r="IVN1511"/>
      <c r="IVO1511"/>
      <c r="IVP1511"/>
      <c r="IVQ1511"/>
      <c r="IVR1511"/>
      <c r="IVS1511"/>
      <c r="IVT1511"/>
      <c r="IVU1511"/>
      <c r="IVV1511"/>
      <c r="IVW1511"/>
      <c r="IVX1511"/>
      <c r="IVY1511"/>
      <c r="IVZ1511"/>
      <c r="IWA1511"/>
      <c r="IWB1511"/>
      <c r="IWC1511"/>
      <c r="IWD1511"/>
      <c r="IWE1511"/>
      <c r="IWF1511"/>
      <c r="IWG1511"/>
      <c r="IWH1511"/>
      <c r="IWI1511"/>
      <c r="IWJ1511"/>
      <c r="IWK1511"/>
      <c r="IWL1511"/>
      <c r="IWM1511"/>
      <c r="IWN1511"/>
      <c r="IWO1511"/>
      <c r="IWP1511"/>
      <c r="IWQ1511"/>
      <c r="IWR1511"/>
      <c r="IWS1511"/>
      <c r="IWT1511"/>
      <c r="IWU1511"/>
      <c r="IWV1511"/>
      <c r="IWW1511"/>
      <c r="IWX1511"/>
      <c r="IWY1511"/>
      <c r="IWZ1511"/>
      <c r="IXA1511"/>
      <c r="IXB1511"/>
      <c r="IXC1511"/>
      <c r="IXD1511"/>
      <c r="IXE1511"/>
      <c r="IXF1511"/>
      <c r="IXG1511"/>
      <c r="IXH1511"/>
      <c r="IXI1511"/>
      <c r="IXJ1511"/>
      <c r="IXK1511"/>
      <c r="IXL1511"/>
      <c r="IXM1511"/>
      <c r="IXN1511"/>
      <c r="IXO1511"/>
      <c r="IXP1511"/>
      <c r="IXQ1511"/>
      <c r="IXR1511"/>
      <c r="IXS1511"/>
      <c r="IXT1511"/>
      <c r="IXU1511"/>
      <c r="IXV1511"/>
      <c r="IXW1511"/>
      <c r="IXX1511"/>
      <c r="IXY1511"/>
      <c r="IXZ1511"/>
      <c r="IYA1511"/>
      <c r="IYB1511"/>
      <c r="IYC1511"/>
      <c r="IYD1511"/>
      <c r="IYE1511"/>
      <c r="IYF1511"/>
      <c r="IYG1511"/>
      <c r="IYH1511"/>
      <c r="IYI1511"/>
      <c r="IYJ1511"/>
      <c r="IYK1511"/>
      <c r="IYL1511"/>
      <c r="IYM1511"/>
      <c r="IYN1511"/>
      <c r="IYO1511"/>
      <c r="IYP1511"/>
      <c r="IYQ1511"/>
      <c r="IYR1511"/>
      <c r="IYS1511"/>
      <c r="IYT1511"/>
      <c r="IYU1511"/>
      <c r="IYV1511"/>
      <c r="IYW1511"/>
      <c r="IYX1511"/>
      <c r="IYY1511"/>
      <c r="IYZ1511"/>
      <c r="IZA1511"/>
      <c r="IZB1511"/>
      <c r="IZC1511"/>
      <c r="IZD1511"/>
      <c r="IZE1511"/>
      <c r="IZF1511"/>
      <c r="IZG1511"/>
      <c r="IZH1511"/>
      <c r="IZI1511"/>
      <c r="IZJ1511"/>
      <c r="IZK1511"/>
      <c r="IZL1511"/>
      <c r="IZM1511"/>
      <c r="IZN1511"/>
      <c r="IZO1511"/>
      <c r="IZP1511"/>
      <c r="IZQ1511"/>
      <c r="IZR1511"/>
      <c r="IZS1511"/>
      <c r="IZT1511"/>
      <c r="IZU1511"/>
      <c r="IZV1511"/>
      <c r="IZW1511"/>
      <c r="IZX1511"/>
      <c r="IZY1511"/>
      <c r="IZZ1511"/>
      <c r="JAA1511"/>
      <c r="JAB1511"/>
      <c r="JAC1511"/>
      <c r="JAD1511"/>
      <c r="JAE1511"/>
      <c r="JAF1511"/>
      <c r="JAG1511"/>
      <c r="JAH1511"/>
      <c r="JAI1511"/>
      <c r="JAJ1511"/>
      <c r="JAK1511"/>
      <c r="JAL1511"/>
      <c r="JAM1511"/>
      <c r="JAN1511"/>
      <c r="JAO1511"/>
      <c r="JAP1511"/>
      <c r="JAQ1511"/>
      <c r="JAR1511"/>
      <c r="JAS1511"/>
      <c r="JAT1511"/>
      <c r="JAU1511"/>
      <c r="JAV1511"/>
      <c r="JAW1511"/>
      <c r="JAX1511"/>
      <c r="JAY1511"/>
      <c r="JAZ1511"/>
      <c r="JBA1511"/>
      <c r="JBB1511"/>
      <c r="JBC1511"/>
      <c r="JBD1511"/>
      <c r="JBE1511"/>
      <c r="JBF1511"/>
      <c r="JBG1511"/>
      <c r="JBH1511"/>
      <c r="JBI1511"/>
      <c r="JBJ1511"/>
      <c r="JBK1511"/>
      <c r="JBL1511"/>
      <c r="JBM1511"/>
      <c r="JBN1511"/>
      <c r="JBO1511"/>
      <c r="JBP1511"/>
      <c r="JBQ1511"/>
      <c r="JBR1511"/>
      <c r="JBS1511"/>
      <c r="JBT1511"/>
      <c r="JBU1511"/>
      <c r="JBV1511"/>
      <c r="JBW1511"/>
      <c r="JBX1511"/>
      <c r="JBY1511"/>
      <c r="JBZ1511"/>
      <c r="JCA1511"/>
      <c r="JCB1511"/>
      <c r="JCC1511"/>
      <c r="JCD1511"/>
      <c r="JCE1511"/>
      <c r="JCF1511"/>
      <c r="JCG1511"/>
      <c r="JCH1511"/>
      <c r="JCI1511"/>
      <c r="JCJ1511"/>
      <c r="JCK1511"/>
      <c r="JCL1511"/>
      <c r="JCM1511"/>
      <c r="JCN1511"/>
      <c r="JCO1511"/>
      <c r="JCP1511"/>
      <c r="JCQ1511"/>
      <c r="JCR1511"/>
      <c r="JCS1511"/>
      <c r="JCT1511"/>
      <c r="JCU1511"/>
      <c r="JCV1511"/>
      <c r="JCW1511"/>
      <c r="JCX1511"/>
      <c r="JCY1511"/>
      <c r="JCZ1511"/>
      <c r="JDA1511"/>
      <c r="JDB1511"/>
      <c r="JDC1511"/>
      <c r="JDD1511"/>
      <c r="JDE1511"/>
      <c r="JDF1511"/>
      <c r="JDG1511"/>
      <c r="JDH1511"/>
      <c r="JDI1511"/>
      <c r="JDJ1511"/>
      <c r="JDK1511"/>
      <c r="JDL1511"/>
      <c r="JDM1511"/>
      <c r="JDN1511"/>
      <c r="JDO1511"/>
      <c r="JDP1511"/>
      <c r="JDQ1511"/>
      <c r="JDR1511"/>
      <c r="JDS1511"/>
      <c r="JDT1511"/>
      <c r="JDU1511"/>
      <c r="JDV1511"/>
      <c r="JDW1511"/>
      <c r="JDX1511"/>
      <c r="JDY1511"/>
      <c r="JDZ1511"/>
      <c r="JEA1511"/>
      <c r="JEB1511"/>
      <c r="JEC1511"/>
      <c r="JED1511"/>
      <c r="JEE1511"/>
      <c r="JEF1511"/>
      <c r="JEG1511"/>
      <c r="JEH1511"/>
      <c r="JEI1511"/>
      <c r="JEJ1511"/>
      <c r="JEK1511"/>
      <c r="JEL1511"/>
      <c r="JEM1511"/>
      <c r="JEN1511"/>
      <c r="JEO1511"/>
      <c r="JEP1511"/>
      <c r="JEQ1511"/>
      <c r="JER1511"/>
      <c r="JES1511"/>
      <c r="JET1511"/>
      <c r="JEU1511"/>
      <c r="JEV1511"/>
      <c r="JEW1511"/>
      <c r="JEX1511"/>
      <c r="JEY1511"/>
      <c r="JEZ1511"/>
      <c r="JFA1511"/>
      <c r="JFB1511"/>
      <c r="JFC1511"/>
      <c r="JFD1511"/>
      <c r="JFE1511"/>
      <c r="JFF1511"/>
      <c r="JFG1511"/>
      <c r="JFH1511"/>
      <c r="JFI1511"/>
      <c r="JFJ1511"/>
      <c r="JFK1511"/>
      <c r="JFL1511"/>
      <c r="JFM1511"/>
      <c r="JFN1511"/>
      <c r="JFO1511"/>
      <c r="JFP1511"/>
      <c r="JFQ1511"/>
      <c r="JFR1511"/>
      <c r="JFS1511"/>
      <c r="JFT1511"/>
      <c r="JFU1511"/>
      <c r="JFV1511"/>
      <c r="JFW1511"/>
      <c r="JFX1511"/>
      <c r="JFY1511"/>
      <c r="JFZ1511"/>
      <c r="JGA1511"/>
      <c r="JGB1511"/>
      <c r="JGC1511"/>
      <c r="JGD1511"/>
      <c r="JGE1511"/>
      <c r="JGF1511"/>
      <c r="JGG1511"/>
      <c r="JGH1511"/>
      <c r="JGI1511"/>
      <c r="JGJ1511"/>
      <c r="JGK1511"/>
      <c r="JGL1511"/>
      <c r="JGM1511"/>
      <c r="JGN1511"/>
      <c r="JGO1511"/>
      <c r="JGP1511"/>
      <c r="JGQ1511"/>
      <c r="JGR1511"/>
      <c r="JGS1511"/>
      <c r="JGT1511"/>
      <c r="JGU1511"/>
      <c r="JGV1511"/>
      <c r="JGW1511"/>
      <c r="JGX1511"/>
      <c r="JGY1511"/>
      <c r="JGZ1511"/>
      <c r="JHA1511"/>
      <c r="JHB1511"/>
      <c r="JHC1511"/>
      <c r="JHD1511"/>
      <c r="JHE1511"/>
      <c r="JHF1511"/>
      <c r="JHG1511"/>
      <c r="JHH1511"/>
      <c r="JHI1511"/>
      <c r="JHJ1511"/>
      <c r="JHK1511"/>
      <c r="JHL1511"/>
      <c r="JHM1511"/>
      <c r="JHN1511"/>
      <c r="JHO1511"/>
      <c r="JHP1511"/>
      <c r="JHQ1511"/>
      <c r="JHR1511"/>
      <c r="JHS1511"/>
      <c r="JHT1511"/>
      <c r="JHU1511"/>
      <c r="JHV1511"/>
      <c r="JHW1511"/>
      <c r="JHX1511"/>
      <c r="JHY1511"/>
      <c r="JHZ1511"/>
      <c r="JIA1511"/>
      <c r="JIB1511"/>
      <c r="JIC1511"/>
      <c r="JID1511"/>
      <c r="JIE1511"/>
      <c r="JIF1511"/>
      <c r="JIG1511"/>
      <c r="JIH1511"/>
      <c r="JII1511"/>
      <c r="JIJ1511"/>
      <c r="JIK1511"/>
      <c r="JIL1511"/>
      <c r="JIM1511"/>
      <c r="JIN1511"/>
      <c r="JIO1511"/>
      <c r="JIP1511"/>
      <c r="JIQ1511"/>
      <c r="JIR1511"/>
      <c r="JIS1511"/>
      <c r="JIT1511"/>
      <c r="JIU1511"/>
      <c r="JIV1511"/>
      <c r="JIW1511"/>
      <c r="JIX1511"/>
      <c r="JIY1511"/>
      <c r="JIZ1511"/>
      <c r="JJA1511"/>
      <c r="JJB1511"/>
      <c r="JJC1511"/>
      <c r="JJD1511"/>
      <c r="JJE1511"/>
      <c r="JJF1511"/>
      <c r="JJG1511"/>
      <c r="JJH1511"/>
      <c r="JJI1511"/>
      <c r="JJJ1511"/>
      <c r="JJK1511"/>
      <c r="JJL1511"/>
      <c r="JJM1511"/>
      <c r="JJN1511"/>
      <c r="JJO1511"/>
      <c r="JJP1511"/>
      <c r="JJQ1511"/>
      <c r="JJR1511"/>
      <c r="JJS1511"/>
      <c r="JJT1511"/>
      <c r="JJU1511"/>
      <c r="JJV1511"/>
      <c r="JJW1511"/>
      <c r="JJX1511"/>
      <c r="JJY1511"/>
      <c r="JJZ1511"/>
      <c r="JKA1511"/>
      <c r="JKB1511"/>
      <c r="JKC1511"/>
      <c r="JKD1511"/>
      <c r="JKE1511"/>
      <c r="JKF1511"/>
      <c r="JKG1511"/>
      <c r="JKH1511"/>
      <c r="JKI1511"/>
      <c r="JKJ1511"/>
      <c r="JKK1511"/>
      <c r="JKL1511"/>
      <c r="JKM1511"/>
      <c r="JKN1511"/>
      <c r="JKO1511"/>
      <c r="JKP1511"/>
      <c r="JKQ1511"/>
      <c r="JKR1511"/>
      <c r="JKS1511"/>
      <c r="JKT1511"/>
      <c r="JKU1511"/>
      <c r="JKV1511"/>
      <c r="JKW1511"/>
      <c r="JKX1511"/>
      <c r="JKY1511"/>
      <c r="JKZ1511"/>
      <c r="JLA1511"/>
      <c r="JLB1511"/>
      <c r="JLC1511"/>
      <c r="JLD1511"/>
      <c r="JLE1511"/>
      <c r="JLF1511"/>
      <c r="JLG1511"/>
      <c r="JLH1511"/>
      <c r="JLI1511"/>
      <c r="JLJ1511"/>
      <c r="JLK1511"/>
      <c r="JLL1511"/>
      <c r="JLM1511"/>
      <c r="JLN1511"/>
      <c r="JLO1511"/>
      <c r="JLP1511"/>
      <c r="JLQ1511"/>
      <c r="JLR1511"/>
      <c r="JLS1511"/>
      <c r="JLT1511"/>
      <c r="JLU1511"/>
      <c r="JLV1511"/>
      <c r="JLW1511"/>
      <c r="JLX1511"/>
      <c r="JLY1511"/>
      <c r="JLZ1511"/>
      <c r="JMA1511"/>
      <c r="JMB1511"/>
      <c r="JMC1511"/>
      <c r="JMD1511"/>
      <c r="JME1511"/>
      <c r="JMF1511"/>
      <c r="JMG1511"/>
      <c r="JMH1511"/>
      <c r="JMI1511"/>
      <c r="JMJ1511"/>
      <c r="JMK1511"/>
      <c r="JML1511"/>
      <c r="JMM1511"/>
      <c r="JMN1511"/>
      <c r="JMO1511"/>
      <c r="JMP1511"/>
      <c r="JMQ1511"/>
      <c r="JMR1511"/>
      <c r="JMS1511"/>
      <c r="JMT1511"/>
      <c r="JMU1511"/>
      <c r="JMV1511"/>
      <c r="JMW1511"/>
      <c r="JMX1511"/>
      <c r="JMY1511"/>
      <c r="JMZ1511"/>
      <c r="JNA1511"/>
      <c r="JNB1511"/>
      <c r="JNC1511"/>
      <c r="JND1511"/>
      <c r="JNE1511"/>
      <c r="JNF1511"/>
      <c r="JNG1511"/>
      <c r="JNH1511"/>
      <c r="JNI1511"/>
      <c r="JNJ1511"/>
      <c r="JNK1511"/>
      <c r="JNL1511"/>
      <c r="JNM1511"/>
      <c r="JNN1511"/>
      <c r="JNO1511"/>
      <c r="JNP1511"/>
      <c r="JNQ1511"/>
      <c r="JNR1511"/>
      <c r="JNS1511"/>
      <c r="JNT1511"/>
      <c r="JNU1511"/>
      <c r="JNV1511"/>
      <c r="JNW1511"/>
      <c r="JNX1511"/>
      <c r="JNY1511"/>
      <c r="JNZ1511"/>
      <c r="JOA1511"/>
      <c r="JOB1511"/>
      <c r="JOC1511"/>
      <c r="JOD1511"/>
      <c r="JOE1511"/>
      <c r="JOF1511"/>
      <c r="JOG1511"/>
      <c r="JOH1511"/>
      <c r="JOI1511"/>
      <c r="JOJ1511"/>
      <c r="JOK1511"/>
      <c r="JOL1511"/>
      <c r="JOM1511"/>
      <c r="JON1511"/>
      <c r="JOO1511"/>
      <c r="JOP1511"/>
      <c r="JOQ1511"/>
      <c r="JOR1511"/>
      <c r="JOS1511"/>
      <c r="JOT1511"/>
      <c r="JOU1511"/>
      <c r="JOV1511"/>
      <c r="JOW1511"/>
      <c r="JOX1511"/>
      <c r="JOY1511"/>
      <c r="JOZ1511"/>
      <c r="JPA1511"/>
      <c r="JPB1511"/>
      <c r="JPC1511"/>
      <c r="JPD1511"/>
      <c r="JPE1511"/>
      <c r="JPF1511"/>
      <c r="JPG1511"/>
      <c r="JPH1511"/>
      <c r="JPI1511"/>
      <c r="JPJ1511"/>
      <c r="JPK1511"/>
      <c r="JPL1511"/>
      <c r="JPM1511"/>
      <c r="JPN1511"/>
      <c r="JPO1511"/>
      <c r="JPP1511"/>
      <c r="JPQ1511"/>
      <c r="JPR1511"/>
      <c r="JPS1511"/>
      <c r="JPT1511"/>
      <c r="JPU1511"/>
      <c r="JPV1511"/>
      <c r="JPW1511"/>
      <c r="JPX1511"/>
      <c r="JPY1511"/>
      <c r="JPZ1511"/>
      <c r="JQA1511"/>
      <c r="JQB1511"/>
      <c r="JQC1511"/>
      <c r="JQD1511"/>
      <c r="JQE1511"/>
      <c r="JQF1511"/>
      <c r="JQG1511"/>
      <c r="JQH1511"/>
      <c r="JQI1511"/>
      <c r="JQJ1511"/>
      <c r="JQK1511"/>
      <c r="JQL1511"/>
      <c r="JQM1511"/>
      <c r="JQN1511"/>
      <c r="JQO1511"/>
      <c r="JQP1511"/>
      <c r="JQQ1511"/>
      <c r="JQR1511"/>
      <c r="JQS1511"/>
      <c r="JQT1511"/>
      <c r="JQU1511"/>
      <c r="JQV1511"/>
      <c r="JQW1511"/>
      <c r="JQX1511"/>
      <c r="JQY1511"/>
      <c r="JQZ1511"/>
      <c r="JRA1511"/>
      <c r="JRB1511"/>
      <c r="JRC1511"/>
      <c r="JRD1511"/>
      <c r="JRE1511"/>
      <c r="JRF1511"/>
      <c r="JRG1511"/>
      <c r="JRH1511"/>
      <c r="JRI1511"/>
      <c r="JRJ1511"/>
      <c r="JRK1511"/>
      <c r="JRL1511"/>
      <c r="JRM1511"/>
      <c r="JRN1511"/>
      <c r="JRO1511"/>
      <c r="JRP1511"/>
      <c r="JRQ1511"/>
      <c r="JRR1511"/>
      <c r="JRS1511"/>
      <c r="JRT1511"/>
      <c r="JRU1511"/>
      <c r="JRV1511"/>
      <c r="JRW1511"/>
      <c r="JRX1511"/>
      <c r="JRY1511"/>
      <c r="JRZ1511"/>
      <c r="JSA1511"/>
      <c r="JSB1511"/>
      <c r="JSC1511"/>
      <c r="JSD1511"/>
      <c r="JSE1511"/>
      <c r="JSF1511"/>
      <c r="JSG1511"/>
      <c r="JSH1511"/>
      <c r="JSI1511"/>
      <c r="JSJ1511"/>
      <c r="JSK1511"/>
      <c r="JSL1511"/>
      <c r="JSM1511"/>
      <c r="JSN1511"/>
      <c r="JSO1511"/>
      <c r="JSP1511"/>
      <c r="JSQ1511"/>
      <c r="JSR1511"/>
      <c r="JSS1511"/>
      <c r="JST1511"/>
      <c r="JSU1511"/>
      <c r="JSV1511"/>
      <c r="JSW1511"/>
      <c r="JSX1511"/>
      <c r="JSY1511"/>
      <c r="JSZ1511"/>
      <c r="JTA1511"/>
      <c r="JTB1511"/>
      <c r="JTC1511"/>
      <c r="JTD1511"/>
      <c r="JTE1511"/>
      <c r="JTF1511"/>
      <c r="JTG1511"/>
      <c r="JTH1511"/>
      <c r="JTI1511"/>
      <c r="JTJ1511"/>
      <c r="JTK1511"/>
      <c r="JTL1511"/>
      <c r="JTM1511"/>
      <c r="JTN1511"/>
      <c r="JTO1511"/>
      <c r="JTP1511"/>
      <c r="JTQ1511"/>
      <c r="JTR1511"/>
      <c r="JTS1511"/>
      <c r="JTT1511"/>
      <c r="JTU1511"/>
      <c r="JTV1511"/>
      <c r="JTW1511"/>
      <c r="JTX1511"/>
      <c r="JTY1511"/>
      <c r="JTZ1511"/>
      <c r="JUA1511"/>
      <c r="JUB1511"/>
      <c r="JUC1511"/>
      <c r="JUD1511"/>
      <c r="JUE1511"/>
      <c r="JUF1511"/>
      <c r="JUG1511"/>
      <c r="JUH1511"/>
      <c r="JUI1511"/>
      <c r="JUJ1511"/>
      <c r="JUK1511"/>
      <c r="JUL1511"/>
      <c r="JUM1511"/>
      <c r="JUN1511"/>
      <c r="JUO1511"/>
      <c r="JUP1511"/>
      <c r="JUQ1511"/>
      <c r="JUR1511"/>
      <c r="JUS1511"/>
      <c r="JUT1511"/>
      <c r="JUU1511"/>
      <c r="JUV1511"/>
      <c r="JUW1511"/>
      <c r="JUX1511"/>
      <c r="JUY1511"/>
      <c r="JUZ1511"/>
      <c r="JVA1511"/>
      <c r="JVB1511"/>
      <c r="JVC1511"/>
      <c r="JVD1511"/>
      <c r="JVE1511"/>
      <c r="JVF1511"/>
      <c r="JVG1511"/>
      <c r="JVH1511"/>
      <c r="JVI1511"/>
      <c r="JVJ1511"/>
      <c r="JVK1511"/>
      <c r="JVL1511"/>
      <c r="JVM1511"/>
      <c r="JVN1511"/>
      <c r="JVO1511"/>
      <c r="JVP1511"/>
      <c r="JVQ1511"/>
      <c r="JVR1511"/>
      <c r="JVS1511"/>
      <c r="JVT1511"/>
      <c r="JVU1511"/>
      <c r="JVV1511"/>
      <c r="JVW1511"/>
      <c r="JVX1511"/>
      <c r="JVY1511"/>
      <c r="JVZ1511"/>
      <c r="JWA1511"/>
      <c r="JWB1511"/>
      <c r="JWC1511"/>
      <c r="JWD1511"/>
      <c r="JWE1511"/>
      <c r="JWF1511"/>
      <c r="JWG1511"/>
      <c r="JWH1511"/>
      <c r="JWI1511"/>
      <c r="JWJ1511"/>
      <c r="JWK1511"/>
      <c r="JWL1511"/>
      <c r="JWM1511"/>
      <c r="JWN1511"/>
      <c r="JWO1511"/>
      <c r="JWP1511"/>
      <c r="JWQ1511"/>
      <c r="JWR1511"/>
      <c r="JWS1511"/>
      <c r="JWT1511"/>
      <c r="JWU1511"/>
      <c r="JWV1511"/>
      <c r="JWW1511"/>
      <c r="JWX1511"/>
      <c r="JWY1511"/>
      <c r="JWZ1511"/>
      <c r="JXA1511"/>
      <c r="JXB1511"/>
      <c r="JXC1511"/>
      <c r="JXD1511"/>
      <c r="JXE1511"/>
      <c r="JXF1511"/>
      <c r="JXG1511"/>
      <c r="JXH1511"/>
      <c r="JXI1511"/>
      <c r="JXJ1511"/>
      <c r="JXK1511"/>
      <c r="JXL1511"/>
      <c r="JXM1511"/>
      <c r="JXN1511"/>
      <c r="JXO1511"/>
      <c r="JXP1511"/>
      <c r="JXQ1511"/>
      <c r="JXR1511"/>
      <c r="JXS1511"/>
      <c r="JXT1511"/>
      <c r="JXU1511"/>
      <c r="JXV1511"/>
      <c r="JXW1511"/>
      <c r="JXX1511"/>
      <c r="JXY1511"/>
      <c r="JXZ1511"/>
      <c r="JYA1511"/>
      <c r="JYB1511"/>
      <c r="JYC1511"/>
      <c r="JYD1511"/>
      <c r="JYE1511"/>
      <c r="JYF1511"/>
      <c r="JYG1511"/>
      <c r="JYH1511"/>
      <c r="JYI1511"/>
      <c r="JYJ1511"/>
      <c r="JYK1511"/>
      <c r="JYL1511"/>
      <c r="JYM1511"/>
      <c r="JYN1511"/>
      <c r="JYO1511"/>
      <c r="JYP1511"/>
      <c r="JYQ1511"/>
      <c r="JYR1511"/>
      <c r="JYS1511"/>
      <c r="JYT1511"/>
      <c r="JYU1511"/>
      <c r="JYV1511"/>
      <c r="JYW1511"/>
      <c r="JYX1511"/>
      <c r="JYY1511"/>
      <c r="JYZ1511"/>
      <c r="JZA1511"/>
      <c r="JZB1511"/>
      <c r="JZC1511"/>
      <c r="JZD1511"/>
      <c r="JZE1511"/>
      <c r="JZF1511"/>
      <c r="JZG1511"/>
      <c r="JZH1511"/>
      <c r="JZI1511"/>
      <c r="JZJ1511"/>
      <c r="JZK1511"/>
      <c r="JZL1511"/>
      <c r="JZM1511"/>
      <c r="JZN1511"/>
      <c r="JZO1511"/>
      <c r="JZP1511"/>
      <c r="JZQ1511"/>
      <c r="JZR1511"/>
      <c r="JZS1511"/>
      <c r="JZT1511"/>
      <c r="JZU1511"/>
      <c r="JZV1511"/>
      <c r="JZW1511"/>
      <c r="JZX1511"/>
      <c r="JZY1511"/>
      <c r="JZZ1511"/>
      <c r="KAA1511"/>
      <c r="KAB1511"/>
      <c r="KAC1511"/>
      <c r="KAD1511"/>
      <c r="KAE1511"/>
      <c r="KAF1511"/>
      <c r="KAG1511"/>
      <c r="KAH1511"/>
      <c r="KAI1511"/>
      <c r="KAJ1511"/>
      <c r="KAK1511"/>
      <c r="KAL1511"/>
      <c r="KAM1511"/>
      <c r="KAN1511"/>
      <c r="KAO1511"/>
      <c r="KAP1511"/>
      <c r="KAQ1511"/>
      <c r="KAR1511"/>
      <c r="KAS1511"/>
      <c r="KAT1511"/>
      <c r="KAU1511"/>
      <c r="KAV1511"/>
      <c r="KAW1511"/>
      <c r="KAX1511"/>
      <c r="KAY1511"/>
      <c r="KAZ1511"/>
      <c r="KBA1511"/>
      <c r="KBB1511"/>
      <c r="KBC1511"/>
      <c r="KBD1511"/>
      <c r="KBE1511"/>
      <c r="KBF1511"/>
      <c r="KBG1511"/>
      <c r="KBH1511"/>
      <c r="KBI1511"/>
      <c r="KBJ1511"/>
      <c r="KBK1511"/>
      <c r="KBL1511"/>
      <c r="KBM1511"/>
      <c r="KBN1511"/>
      <c r="KBO1511"/>
      <c r="KBP1511"/>
      <c r="KBQ1511"/>
      <c r="KBR1511"/>
      <c r="KBS1511"/>
      <c r="KBT1511"/>
      <c r="KBU1511"/>
      <c r="KBV1511"/>
      <c r="KBW1511"/>
      <c r="KBX1511"/>
      <c r="KBY1511"/>
      <c r="KBZ1511"/>
      <c r="KCA1511"/>
      <c r="KCB1511"/>
      <c r="KCC1511"/>
      <c r="KCD1511"/>
      <c r="KCE1511"/>
      <c r="KCF1511"/>
      <c r="KCG1511"/>
      <c r="KCH1511"/>
      <c r="KCI1511"/>
      <c r="KCJ1511"/>
      <c r="KCK1511"/>
      <c r="KCL1511"/>
      <c r="KCM1511"/>
      <c r="KCN1511"/>
      <c r="KCO1511"/>
      <c r="KCP1511"/>
      <c r="KCQ1511"/>
      <c r="KCR1511"/>
      <c r="KCS1511"/>
      <c r="KCT1511"/>
      <c r="KCU1511"/>
      <c r="KCV1511"/>
      <c r="KCW1511"/>
      <c r="KCX1511"/>
      <c r="KCY1511"/>
      <c r="KCZ1511"/>
      <c r="KDA1511"/>
      <c r="KDB1511"/>
      <c r="KDC1511"/>
      <c r="KDD1511"/>
      <c r="KDE1511"/>
      <c r="KDF1511"/>
      <c r="KDG1511"/>
      <c r="KDH1511"/>
      <c r="KDI1511"/>
      <c r="KDJ1511"/>
      <c r="KDK1511"/>
      <c r="KDL1511"/>
      <c r="KDM1511"/>
      <c r="KDN1511"/>
      <c r="KDO1511"/>
      <c r="KDP1511"/>
      <c r="KDQ1511"/>
      <c r="KDR1511"/>
      <c r="KDS1511"/>
      <c r="KDT1511"/>
      <c r="KDU1511"/>
      <c r="KDV1511"/>
      <c r="KDW1511"/>
      <c r="KDX1511"/>
      <c r="KDY1511"/>
      <c r="KDZ1511"/>
      <c r="KEA1511"/>
      <c r="KEB1511"/>
      <c r="KEC1511"/>
      <c r="KED1511"/>
      <c r="KEE1511"/>
      <c r="KEF1511"/>
      <c r="KEG1511"/>
      <c r="KEH1511"/>
      <c r="KEI1511"/>
      <c r="KEJ1511"/>
      <c r="KEK1511"/>
      <c r="KEL1511"/>
      <c r="KEM1511"/>
      <c r="KEN1511"/>
      <c r="KEO1511"/>
      <c r="KEP1511"/>
      <c r="KEQ1511"/>
      <c r="KER1511"/>
      <c r="KES1511"/>
      <c r="KET1511"/>
      <c r="KEU1511"/>
      <c r="KEV1511"/>
      <c r="KEW1511"/>
      <c r="KEX1511"/>
      <c r="KEY1511"/>
      <c r="KEZ1511"/>
      <c r="KFA1511"/>
      <c r="KFB1511"/>
      <c r="KFC1511"/>
      <c r="KFD1511"/>
      <c r="KFE1511"/>
      <c r="KFF1511"/>
      <c r="KFG1511"/>
      <c r="KFH1511"/>
      <c r="KFI1511"/>
      <c r="KFJ1511"/>
      <c r="KFK1511"/>
      <c r="KFL1511"/>
      <c r="KFM1511"/>
      <c r="KFN1511"/>
      <c r="KFO1511"/>
      <c r="KFP1511"/>
      <c r="KFQ1511"/>
      <c r="KFR1511"/>
      <c r="KFS1511"/>
      <c r="KFT1511"/>
      <c r="KFU1511"/>
      <c r="KFV1511"/>
      <c r="KFW1511"/>
      <c r="KFX1511"/>
      <c r="KFY1511"/>
      <c r="KFZ1511"/>
      <c r="KGA1511"/>
      <c r="KGB1511"/>
      <c r="KGC1511"/>
      <c r="KGD1511"/>
      <c r="KGE1511"/>
      <c r="KGF1511"/>
      <c r="KGG1511"/>
      <c r="KGH1511"/>
      <c r="KGI1511"/>
      <c r="KGJ1511"/>
      <c r="KGK1511"/>
      <c r="KGL1511"/>
      <c r="KGM1511"/>
      <c r="KGN1511"/>
      <c r="KGO1511"/>
      <c r="KGP1511"/>
      <c r="KGQ1511"/>
      <c r="KGR1511"/>
      <c r="KGS1511"/>
      <c r="KGT1511"/>
      <c r="KGU1511"/>
      <c r="KGV1511"/>
      <c r="KGW1511"/>
      <c r="KGX1511"/>
      <c r="KGY1511"/>
      <c r="KGZ1511"/>
      <c r="KHA1511"/>
      <c r="KHB1511"/>
      <c r="KHC1511"/>
      <c r="KHD1511"/>
      <c r="KHE1511"/>
      <c r="KHF1511"/>
      <c r="KHG1511"/>
      <c r="KHH1511"/>
      <c r="KHI1511"/>
      <c r="KHJ1511"/>
      <c r="KHK1511"/>
      <c r="KHL1511"/>
      <c r="KHM1511"/>
      <c r="KHN1511"/>
      <c r="KHO1511"/>
      <c r="KHP1511"/>
      <c r="KHQ1511"/>
      <c r="KHR1511"/>
      <c r="KHS1511"/>
      <c r="KHT1511"/>
      <c r="KHU1511"/>
      <c r="KHV1511"/>
      <c r="KHW1511"/>
      <c r="KHX1511"/>
      <c r="KHY1511"/>
      <c r="KHZ1511"/>
      <c r="KIA1511"/>
      <c r="KIB1511"/>
      <c r="KIC1511"/>
      <c r="KID1511"/>
      <c r="KIE1511"/>
      <c r="KIF1511"/>
      <c r="KIG1511"/>
      <c r="KIH1511"/>
      <c r="KII1511"/>
      <c r="KIJ1511"/>
      <c r="KIK1511"/>
      <c r="KIL1511"/>
      <c r="KIM1511"/>
      <c r="KIN1511"/>
      <c r="KIO1511"/>
      <c r="KIP1511"/>
      <c r="KIQ1511"/>
      <c r="KIR1511"/>
      <c r="KIS1511"/>
      <c r="KIT1511"/>
      <c r="KIU1511"/>
      <c r="KIV1511"/>
      <c r="KIW1511"/>
      <c r="KIX1511"/>
      <c r="KIY1511"/>
      <c r="KIZ1511"/>
      <c r="KJA1511"/>
      <c r="KJB1511"/>
      <c r="KJC1511"/>
      <c r="KJD1511"/>
      <c r="KJE1511"/>
      <c r="KJF1511"/>
      <c r="KJG1511"/>
      <c r="KJH1511"/>
      <c r="KJI1511"/>
      <c r="KJJ1511"/>
      <c r="KJK1511"/>
      <c r="KJL1511"/>
      <c r="KJM1511"/>
      <c r="KJN1511"/>
      <c r="KJO1511"/>
      <c r="KJP1511"/>
      <c r="KJQ1511"/>
      <c r="KJR1511"/>
      <c r="KJS1511"/>
      <c r="KJT1511"/>
      <c r="KJU1511"/>
      <c r="KJV1511"/>
      <c r="KJW1511"/>
      <c r="KJX1511"/>
      <c r="KJY1511"/>
      <c r="KJZ1511"/>
      <c r="KKA1511"/>
      <c r="KKB1511"/>
      <c r="KKC1511"/>
      <c r="KKD1511"/>
      <c r="KKE1511"/>
      <c r="KKF1511"/>
      <c r="KKG1511"/>
      <c r="KKH1511"/>
      <c r="KKI1511"/>
      <c r="KKJ1511"/>
      <c r="KKK1511"/>
      <c r="KKL1511"/>
      <c r="KKM1511"/>
      <c r="KKN1511"/>
      <c r="KKO1511"/>
      <c r="KKP1511"/>
      <c r="KKQ1511"/>
      <c r="KKR1511"/>
      <c r="KKS1511"/>
      <c r="KKT1511"/>
      <c r="KKU1511"/>
      <c r="KKV1511"/>
      <c r="KKW1511"/>
      <c r="KKX1511"/>
      <c r="KKY1511"/>
      <c r="KKZ1511"/>
      <c r="KLA1511"/>
      <c r="KLB1511"/>
      <c r="KLC1511"/>
      <c r="KLD1511"/>
      <c r="KLE1511"/>
      <c r="KLF1511"/>
      <c r="KLG1511"/>
      <c r="KLH1511"/>
      <c r="KLI1511"/>
      <c r="KLJ1511"/>
      <c r="KLK1511"/>
      <c r="KLL1511"/>
      <c r="KLM1511"/>
      <c r="KLN1511"/>
      <c r="KLO1511"/>
      <c r="KLP1511"/>
      <c r="KLQ1511"/>
      <c r="KLR1511"/>
      <c r="KLS1511"/>
      <c r="KLT1511"/>
      <c r="KLU1511"/>
      <c r="KLV1511"/>
      <c r="KLW1511"/>
      <c r="KLX1511"/>
      <c r="KLY1511"/>
      <c r="KLZ1511"/>
      <c r="KMA1511"/>
      <c r="KMB1511"/>
      <c r="KMC1511"/>
      <c r="KMD1511"/>
      <c r="KME1511"/>
      <c r="KMF1511"/>
      <c r="KMG1511"/>
      <c r="KMH1511"/>
      <c r="KMI1511"/>
      <c r="KMJ1511"/>
      <c r="KMK1511"/>
      <c r="KML1511"/>
      <c r="KMM1511"/>
      <c r="KMN1511"/>
      <c r="KMO1511"/>
      <c r="KMP1511"/>
      <c r="KMQ1511"/>
      <c r="KMR1511"/>
      <c r="KMS1511"/>
      <c r="KMT1511"/>
      <c r="KMU1511"/>
      <c r="KMV1511"/>
      <c r="KMW1511"/>
      <c r="KMX1511"/>
      <c r="KMY1511"/>
      <c r="KMZ1511"/>
      <c r="KNA1511"/>
      <c r="KNB1511"/>
      <c r="KNC1511"/>
      <c r="KND1511"/>
      <c r="KNE1511"/>
      <c r="KNF1511"/>
      <c r="KNG1511"/>
      <c r="KNH1511"/>
      <c r="KNI1511"/>
      <c r="KNJ1511"/>
      <c r="KNK1511"/>
      <c r="KNL1511"/>
      <c r="KNM1511"/>
      <c r="KNN1511"/>
      <c r="KNO1511"/>
      <c r="KNP1511"/>
      <c r="KNQ1511"/>
      <c r="KNR1511"/>
      <c r="KNS1511"/>
      <c r="KNT1511"/>
      <c r="KNU1511"/>
      <c r="KNV1511"/>
      <c r="KNW1511"/>
      <c r="KNX1511"/>
      <c r="KNY1511"/>
      <c r="KNZ1511"/>
      <c r="KOA1511"/>
      <c r="KOB1511"/>
      <c r="KOC1511"/>
      <c r="KOD1511"/>
      <c r="KOE1511"/>
      <c r="KOF1511"/>
      <c r="KOG1511"/>
      <c r="KOH1511"/>
      <c r="KOI1511"/>
      <c r="KOJ1511"/>
      <c r="KOK1511"/>
      <c r="KOL1511"/>
      <c r="KOM1511"/>
      <c r="KON1511"/>
      <c r="KOO1511"/>
      <c r="KOP1511"/>
      <c r="KOQ1511"/>
      <c r="KOR1511"/>
      <c r="KOS1511"/>
      <c r="KOT1511"/>
      <c r="KOU1511"/>
      <c r="KOV1511"/>
      <c r="KOW1511"/>
      <c r="KOX1511"/>
      <c r="KOY1511"/>
      <c r="KOZ1511"/>
      <c r="KPA1511"/>
      <c r="KPB1511"/>
      <c r="KPC1511"/>
      <c r="KPD1511"/>
      <c r="KPE1511"/>
      <c r="KPF1511"/>
      <c r="KPG1511"/>
      <c r="KPH1511"/>
      <c r="KPI1511"/>
      <c r="KPJ1511"/>
      <c r="KPK1511"/>
      <c r="KPL1511"/>
      <c r="KPM1511"/>
      <c r="KPN1511"/>
      <c r="KPO1511"/>
      <c r="KPP1511"/>
      <c r="KPQ1511"/>
      <c r="KPR1511"/>
      <c r="KPS1511"/>
      <c r="KPT1511"/>
      <c r="KPU1511"/>
      <c r="KPV1511"/>
      <c r="KPW1511"/>
      <c r="KPX1511"/>
      <c r="KPY1511"/>
      <c r="KPZ1511"/>
      <c r="KQA1511"/>
      <c r="KQB1511"/>
      <c r="KQC1511"/>
      <c r="KQD1511"/>
      <c r="KQE1511"/>
      <c r="KQF1511"/>
      <c r="KQG1511"/>
      <c r="KQH1511"/>
      <c r="KQI1511"/>
      <c r="KQJ1511"/>
      <c r="KQK1511"/>
      <c r="KQL1511"/>
      <c r="KQM1511"/>
      <c r="KQN1511"/>
      <c r="KQO1511"/>
      <c r="KQP1511"/>
      <c r="KQQ1511"/>
      <c r="KQR1511"/>
      <c r="KQS1511"/>
      <c r="KQT1511"/>
      <c r="KQU1511"/>
      <c r="KQV1511"/>
      <c r="KQW1511"/>
      <c r="KQX1511"/>
      <c r="KQY1511"/>
      <c r="KQZ1511"/>
      <c r="KRA1511"/>
      <c r="KRB1511"/>
      <c r="KRC1511"/>
      <c r="KRD1511"/>
      <c r="KRE1511"/>
      <c r="KRF1511"/>
      <c r="KRG1511"/>
      <c r="KRH1511"/>
      <c r="KRI1511"/>
      <c r="KRJ1511"/>
      <c r="KRK1511"/>
      <c r="KRL1511"/>
      <c r="KRM1511"/>
      <c r="KRN1511"/>
      <c r="KRO1511"/>
      <c r="KRP1511"/>
      <c r="KRQ1511"/>
      <c r="KRR1511"/>
      <c r="KRS1511"/>
      <c r="KRT1511"/>
      <c r="KRU1511"/>
      <c r="KRV1511"/>
      <c r="KRW1511"/>
      <c r="KRX1511"/>
      <c r="KRY1511"/>
      <c r="KRZ1511"/>
      <c r="KSA1511"/>
      <c r="KSB1511"/>
      <c r="KSC1511"/>
      <c r="KSD1511"/>
      <c r="KSE1511"/>
      <c r="KSF1511"/>
      <c r="KSG1511"/>
      <c r="KSH1511"/>
      <c r="KSI1511"/>
      <c r="KSJ1511"/>
      <c r="KSK1511"/>
      <c r="KSL1511"/>
      <c r="KSM1511"/>
      <c r="KSN1511"/>
      <c r="KSO1511"/>
      <c r="KSP1511"/>
      <c r="KSQ1511"/>
      <c r="KSR1511"/>
      <c r="KSS1511"/>
      <c r="KST1511"/>
      <c r="KSU1511"/>
      <c r="KSV1511"/>
      <c r="KSW1511"/>
      <c r="KSX1511"/>
      <c r="KSY1511"/>
      <c r="KSZ1511"/>
      <c r="KTA1511"/>
      <c r="KTB1511"/>
      <c r="KTC1511"/>
      <c r="KTD1511"/>
      <c r="KTE1511"/>
      <c r="KTF1511"/>
      <c r="KTG1511"/>
      <c r="KTH1511"/>
      <c r="KTI1511"/>
      <c r="KTJ1511"/>
      <c r="KTK1511"/>
      <c r="KTL1511"/>
      <c r="KTM1511"/>
      <c r="KTN1511"/>
      <c r="KTO1511"/>
      <c r="KTP1511"/>
      <c r="KTQ1511"/>
      <c r="KTR1511"/>
      <c r="KTS1511"/>
      <c r="KTT1511"/>
      <c r="KTU1511"/>
      <c r="KTV1511"/>
      <c r="KTW1511"/>
      <c r="KTX1511"/>
      <c r="KTY1511"/>
      <c r="KTZ1511"/>
      <c r="KUA1511"/>
      <c r="KUB1511"/>
      <c r="KUC1511"/>
      <c r="KUD1511"/>
      <c r="KUE1511"/>
      <c r="KUF1511"/>
      <c r="KUG1511"/>
      <c r="KUH1511"/>
      <c r="KUI1511"/>
      <c r="KUJ1511"/>
      <c r="KUK1511"/>
      <c r="KUL1511"/>
      <c r="KUM1511"/>
      <c r="KUN1511"/>
      <c r="KUO1511"/>
      <c r="KUP1511"/>
      <c r="KUQ1511"/>
      <c r="KUR1511"/>
      <c r="KUS1511"/>
      <c r="KUT1511"/>
      <c r="KUU1511"/>
      <c r="KUV1511"/>
      <c r="KUW1511"/>
      <c r="KUX1511"/>
      <c r="KUY1511"/>
      <c r="KUZ1511"/>
      <c r="KVA1511"/>
      <c r="KVB1511"/>
      <c r="KVC1511"/>
      <c r="KVD1511"/>
      <c r="KVE1511"/>
      <c r="KVF1511"/>
      <c r="KVG1511"/>
      <c r="KVH1511"/>
      <c r="KVI1511"/>
      <c r="KVJ1511"/>
      <c r="KVK1511"/>
      <c r="KVL1511"/>
      <c r="KVM1511"/>
      <c r="KVN1511"/>
      <c r="KVO1511"/>
      <c r="KVP1511"/>
      <c r="KVQ1511"/>
      <c r="KVR1511"/>
      <c r="KVS1511"/>
      <c r="KVT1511"/>
      <c r="KVU1511"/>
      <c r="KVV1511"/>
      <c r="KVW1511"/>
      <c r="KVX1511"/>
      <c r="KVY1511"/>
      <c r="KVZ1511"/>
      <c r="KWA1511"/>
      <c r="KWB1511"/>
      <c r="KWC1511"/>
      <c r="KWD1511"/>
      <c r="KWE1511"/>
      <c r="KWF1511"/>
      <c r="KWG1511"/>
      <c r="KWH1511"/>
      <c r="KWI1511"/>
      <c r="KWJ1511"/>
      <c r="KWK1511"/>
      <c r="KWL1511"/>
      <c r="KWM1511"/>
      <c r="KWN1511"/>
      <c r="KWO1511"/>
      <c r="KWP1511"/>
      <c r="KWQ1511"/>
      <c r="KWR1511"/>
      <c r="KWS1511"/>
      <c r="KWT1511"/>
      <c r="KWU1511"/>
      <c r="KWV1511"/>
      <c r="KWW1511"/>
      <c r="KWX1511"/>
      <c r="KWY1511"/>
      <c r="KWZ1511"/>
      <c r="KXA1511"/>
      <c r="KXB1511"/>
      <c r="KXC1511"/>
      <c r="KXD1511"/>
      <c r="KXE1511"/>
      <c r="KXF1511"/>
      <c r="KXG1511"/>
      <c r="KXH1511"/>
      <c r="KXI1511"/>
      <c r="KXJ1511"/>
      <c r="KXK1511"/>
      <c r="KXL1511"/>
      <c r="KXM1511"/>
      <c r="KXN1511"/>
      <c r="KXO1511"/>
      <c r="KXP1511"/>
      <c r="KXQ1511"/>
      <c r="KXR1511"/>
      <c r="KXS1511"/>
      <c r="KXT1511"/>
      <c r="KXU1511"/>
      <c r="KXV1511"/>
      <c r="KXW1511"/>
      <c r="KXX1511"/>
      <c r="KXY1511"/>
      <c r="KXZ1511"/>
      <c r="KYA1511"/>
      <c r="KYB1511"/>
      <c r="KYC1511"/>
      <c r="KYD1511"/>
      <c r="KYE1511"/>
      <c r="KYF1511"/>
      <c r="KYG1511"/>
      <c r="KYH1511"/>
      <c r="KYI1511"/>
      <c r="KYJ1511"/>
      <c r="KYK1511"/>
      <c r="KYL1511"/>
      <c r="KYM1511"/>
      <c r="KYN1511"/>
      <c r="KYO1511"/>
      <c r="KYP1511"/>
      <c r="KYQ1511"/>
      <c r="KYR1511"/>
      <c r="KYS1511"/>
      <c r="KYT1511"/>
      <c r="KYU1511"/>
      <c r="KYV1511"/>
      <c r="KYW1511"/>
      <c r="KYX1511"/>
      <c r="KYY1511"/>
      <c r="KYZ1511"/>
      <c r="KZA1511"/>
      <c r="KZB1511"/>
      <c r="KZC1511"/>
      <c r="KZD1511"/>
      <c r="KZE1511"/>
      <c r="KZF1511"/>
      <c r="KZG1511"/>
      <c r="KZH1511"/>
      <c r="KZI1511"/>
      <c r="KZJ1511"/>
      <c r="KZK1511"/>
      <c r="KZL1511"/>
      <c r="KZM1511"/>
      <c r="KZN1511"/>
      <c r="KZO1511"/>
      <c r="KZP1511"/>
      <c r="KZQ1511"/>
      <c r="KZR1511"/>
      <c r="KZS1511"/>
      <c r="KZT1511"/>
      <c r="KZU1511"/>
      <c r="KZV1511"/>
      <c r="KZW1511"/>
      <c r="KZX1511"/>
      <c r="KZY1511"/>
      <c r="KZZ1511"/>
      <c r="LAA1511"/>
      <c r="LAB1511"/>
      <c r="LAC1511"/>
      <c r="LAD1511"/>
      <c r="LAE1511"/>
      <c r="LAF1511"/>
      <c r="LAG1511"/>
      <c r="LAH1511"/>
      <c r="LAI1511"/>
      <c r="LAJ1511"/>
      <c r="LAK1511"/>
      <c r="LAL1511"/>
      <c r="LAM1511"/>
      <c r="LAN1511"/>
      <c r="LAO1511"/>
      <c r="LAP1511"/>
      <c r="LAQ1511"/>
      <c r="LAR1511"/>
      <c r="LAS1511"/>
      <c r="LAT1511"/>
      <c r="LAU1511"/>
      <c r="LAV1511"/>
      <c r="LAW1511"/>
      <c r="LAX1511"/>
      <c r="LAY1511"/>
      <c r="LAZ1511"/>
      <c r="LBA1511"/>
      <c r="LBB1511"/>
      <c r="LBC1511"/>
      <c r="LBD1511"/>
      <c r="LBE1511"/>
      <c r="LBF1511"/>
      <c r="LBG1511"/>
      <c r="LBH1511"/>
      <c r="LBI1511"/>
      <c r="LBJ1511"/>
      <c r="LBK1511"/>
      <c r="LBL1511"/>
      <c r="LBM1511"/>
      <c r="LBN1511"/>
      <c r="LBO1511"/>
      <c r="LBP1511"/>
      <c r="LBQ1511"/>
      <c r="LBR1511"/>
      <c r="LBS1511"/>
      <c r="LBT1511"/>
      <c r="LBU1511"/>
      <c r="LBV1511"/>
      <c r="LBW1511"/>
      <c r="LBX1511"/>
      <c r="LBY1511"/>
      <c r="LBZ1511"/>
      <c r="LCA1511"/>
      <c r="LCB1511"/>
      <c r="LCC1511"/>
      <c r="LCD1511"/>
      <c r="LCE1511"/>
      <c r="LCF1511"/>
      <c r="LCG1511"/>
      <c r="LCH1511"/>
      <c r="LCI1511"/>
      <c r="LCJ1511"/>
      <c r="LCK1511"/>
      <c r="LCL1511"/>
      <c r="LCM1511"/>
      <c r="LCN1511"/>
      <c r="LCO1511"/>
      <c r="LCP1511"/>
      <c r="LCQ1511"/>
      <c r="LCR1511"/>
      <c r="LCS1511"/>
      <c r="LCT1511"/>
      <c r="LCU1511"/>
      <c r="LCV1511"/>
      <c r="LCW1511"/>
      <c r="LCX1511"/>
      <c r="LCY1511"/>
      <c r="LCZ1511"/>
      <c r="LDA1511"/>
      <c r="LDB1511"/>
      <c r="LDC1511"/>
      <c r="LDD1511"/>
      <c r="LDE1511"/>
      <c r="LDF1511"/>
      <c r="LDG1511"/>
      <c r="LDH1511"/>
      <c r="LDI1511"/>
      <c r="LDJ1511"/>
      <c r="LDK1511"/>
      <c r="LDL1511"/>
      <c r="LDM1511"/>
      <c r="LDN1511"/>
      <c r="LDO1511"/>
      <c r="LDP1511"/>
      <c r="LDQ1511"/>
      <c r="LDR1511"/>
      <c r="LDS1511"/>
      <c r="LDT1511"/>
      <c r="LDU1511"/>
      <c r="LDV1511"/>
      <c r="LDW1511"/>
      <c r="LDX1511"/>
      <c r="LDY1511"/>
      <c r="LDZ1511"/>
      <c r="LEA1511"/>
      <c r="LEB1511"/>
      <c r="LEC1511"/>
      <c r="LED1511"/>
      <c r="LEE1511"/>
      <c r="LEF1511"/>
      <c r="LEG1511"/>
      <c r="LEH1511"/>
      <c r="LEI1511"/>
      <c r="LEJ1511"/>
      <c r="LEK1511"/>
      <c r="LEL1511"/>
      <c r="LEM1511"/>
      <c r="LEN1511"/>
      <c r="LEO1511"/>
      <c r="LEP1511"/>
      <c r="LEQ1511"/>
      <c r="LER1511"/>
      <c r="LES1511"/>
      <c r="LET1511"/>
      <c r="LEU1511"/>
      <c r="LEV1511"/>
      <c r="LEW1511"/>
      <c r="LEX1511"/>
      <c r="LEY1511"/>
      <c r="LEZ1511"/>
      <c r="LFA1511"/>
      <c r="LFB1511"/>
      <c r="LFC1511"/>
      <c r="LFD1511"/>
      <c r="LFE1511"/>
      <c r="LFF1511"/>
      <c r="LFG1511"/>
      <c r="LFH1511"/>
      <c r="LFI1511"/>
      <c r="LFJ1511"/>
      <c r="LFK1511"/>
      <c r="LFL1511"/>
      <c r="LFM1511"/>
      <c r="LFN1511"/>
      <c r="LFO1511"/>
      <c r="LFP1511"/>
      <c r="LFQ1511"/>
      <c r="LFR1511"/>
      <c r="LFS1511"/>
      <c r="LFT1511"/>
      <c r="LFU1511"/>
      <c r="LFV1511"/>
      <c r="LFW1511"/>
      <c r="LFX1511"/>
      <c r="LFY1511"/>
      <c r="LFZ1511"/>
      <c r="LGA1511"/>
      <c r="LGB1511"/>
      <c r="LGC1511"/>
      <c r="LGD1511"/>
      <c r="LGE1511"/>
      <c r="LGF1511"/>
      <c r="LGG1511"/>
      <c r="LGH1511"/>
      <c r="LGI1511"/>
      <c r="LGJ1511"/>
      <c r="LGK1511"/>
      <c r="LGL1511"/>
      <c r="LGM1511"/>
      <c r="LGN1511"/>
      <c r="LGO1511"/>
      <c r="LGP1511"/>
      <c r="LGQ1511"/>
      <c r="LGR1511"/>
      <c r="LGS1511"/>
      <c r="LGT1511"/>
      <c r="LGU1511"/>
      <c r="LGV1511"/>
      <c r="LGW1511"/>
      <c r="LGX1511"/>
      <c r="LGY1511"/>
      <c r="LGZ1511"/>
      <c r="LHA1511"/>
      <c r="LHB1511"/>
      <c r="LHC1511"/>
      <c r="LHD1511"/>
      <c r="LHE1511"/>
      <c r="LHF1511"/>
      <c r="LHG1511"/>
      <c r="LHH1511"/>
      <c r="LHI1511"/>
      <c r="LHJ1511"/>
      <c r="LHK1511"/>
      <c r="LHL1511"/>
      <c r="LHM1511"/>
      <c r="LHN1511"/>
      <c r="LHO1511"/>
      <c r="LHP1511"/>
      <c r="LHQ1511"/>
      <c r="LHR1511"/>
      <c r="LHS1511"/>
      <c r="LHT1511"/>
      <c r="LHU1511"/>
      <c r="LHV1511"/>
      <c r="LHW1511"/>
      <c r="LHX1511"/>
      <c r="LHY1511"/>
      <c r="LHZ1511"/>
      <c r="LIA1511"/>
      <c r="LIB1511"/>
      <c r="LIC1511"/>
      <c r="LID1511"/>
      <c r="LIE1511"/>
      <c r="LIF1511"/>
      <c r="LIG1511"/>
      <c r="LIH1511"/>
      <c r="LII1511"/>
      <c r="LIJ1511"/>
      <c r="LIK1511"/>
      <c r="LIL1511"/>
      <c r="LIM1511"/>
      <c r="LIN1511"/>
      <c r="LIO1511"/>
      <c r="LIP1511"/>
      <c r="LIQ1511"/>
      <c r="LIR1511"/>
      <c r="LIS1511"/>
      <c r="LIT1511"/>
      <c r="LIU1511"/>
      <c r="LIV1511"/>
      <c r="LIW1511"/>
      <c r="LIX1511"/>
      <c r="LIY1511"/>
      <c r="LIZ1511"/>
      <c r="LJA1511"/>
      <c r="LJB1511"/>
      <c r="LJC1511"/>
      <c r="LJD1511"/>
      <c r="LJE1511"/>
      <c r="LJF1511"/>
      <c r="LJG1511"/>
      <c r="LJH1511"/>
      <c r="LJI1511"/>
      <c r="LJJ1511"/>
      <c r="LJK1511"/>
      <c r="LJL1511"/>
      <c r="LJM1511"/>
      <c r="LJN1511"/>
      <c r="LJO1511"/>
      <c r="LJP1511"/>
      <c r="LJQ1511"/>
      <c r="LJR1511"/>
      <c r="LJS1511"/>
      <c r="LJT1511"/>
      <c r="LJU1511"/>
      <c r="LJV1511"/>
      <c r="LJW1511"/>
      <c r="LJX1511"/>
      <c r="LJY1511"/>
      <c r="LJZ1511"/>
      <c r="LKA1511"/>
      <c r="LKB1511"/>
      <c r="LKC1511"/>
      <c r="LKD1511"/>
      <c r="LKE1511"/>
      <c r="LKF1511"/>
      <c r="LKG1511"/>
      <c r="LKH1511"/>
      <c r="LKI1511"/>
      <c r="LKJ1511"/>
      <c r="LKK1511"/>
      <c r="LKL1511"/>
      <c r="LKM1511"/>
      <c r="LKN1511"/>
      <c r="LKO1511"/>
      <c r="LKP1511"/>
      <c r="LKQ1511"/>
      <c r="LKR1511"/>
      <c r="LKS1511"/>
      <c r="LKT1511"/>
      <c r="LKU1511"/>
      <c r="LKV1511"/>
      <c r="LKW1511"/>
      <c r="LKX1511"/>
      <c r="LKY1511"/>
      <c r="LKZ1511"/>
      <c r="LLA1511"/>
      <c r="LLB1511"/>
      <c r="LLC1511"/>
      <c r="LLD1511"/>
      <c r="LLE1511"/>
      <c r="LLF1511"/>
      <c r="LLG1511"/>
      <c r="LLH1511"/>
      <c r="LLI1511"/>
      <c r="LLJ1511"/>
      <c r="LLK1511"/>
      <c r="LLL1511"/>
      <c r="LLM1511"/>
      <c r="LLN1511"/>
      <c r="LLO1511"/>
      <c r="LLP1511"/>
      <c r="LLQ1511"/>
      <c r="LLR1511"/>
      <c r="LLS1511"/>
      <c r="LLT1511"/>
      <c r="LLU1511"/>
      <c r="LLV1511"/>
      <c r="LLW1511"/>
      <c r="LLX1511"/>
      <c r="LLY1511"/>
      <c r="LLZ1511"/>
      <c r="LMA1511"/>
      <c r="LMB1511"/>
      <c r="LMC1511"/>
      <c r="LMD1511"/>
      <c r="LME1511"/>
      <c r="LMF1511"/>
      <c r="LMG1511"/>
      <c r="LMH1511"/>
      <c r="LMI1511"/>
      <c r="LMJ1511"/>
      <c r="LMK1511"/>
      <c r="LML1511"/>
      <c r="LMM1511"/>
      <c r="LMN1511"/>
      <c r="LMO1511"/>
      <c r="LMP1511"/>
      <c r="LMQ1511"/>
      <c r="LMR1511"/>
      <c r="LMS1511"/>
      <c r="LMT1511"/>
      <c r="LMU1511"/>
      <c r="LMV1511"/>
      <c r="LMW1511"/>
      <c r="LMX1511"/>
      <c r="LMY1511"/>
      <c r="LMZ1511"/>
      <c r="LNA1511"/>
      <c r="LNB1511"/>
      <c r="LNC1511"/>
      <c r="LND1511"/>
      <c r="LNE1511"/>
      <c r="LNF1511"/>
      <c r="LNG1511"/>
      <c r="LNH1511"/>
      <c r="LNI1511"/>
      <c r="LNJ1511"/>
      <c r="LNK1511"/>
      <c r="LNL1511"/>
      <c r="LNM1511"/>
      <c r="LNN1511"/>
      <c r="LNO1511"/>
      <c r="LNP1511"/>
      <c r="LNQ1511"/>
      <c r="LNR1511"/>
      <c r="LNS1511"/>
      <c r="LNT1511"/>
      <c r="LNU1511"/>
      <c r="LNV1511"/>
      <c r="LNW1511"/>
      <c r="LNX1511"/>
      <c r="LNY1511"/>
      <c r="LNZ1511"/>
      <c r="LOA1511"/>
      <c r="LOB1511"/>
      <c r="LOC1511"/>
      <c r="LOD1511"/>
      <c r="LOE1511"/>
      <c r="LOF1511"/>
      <c r="LOG1511"/>
      <c r="LOH1511"/>
      <c r="LOI1511"/>
      <c r="LOJ1511"/>
      <c r="LOK1511"/>
      <c r="LOL1511"/>
      <c r="LOM1511"/>
      <c r="LON1511"/>
      <c r="LOO1511"/>
      <c r="LOP1511"/>
      <c r="LOQ1511"/>
      <c r="LOR1511"/>
      <c r="LOS1511"/>
      <c r="LOT1511"/>
      <c r="LOU1511"/>
      <c r="LOV1511"/>
      <c r="LOW1511"/>
      <c r="LOX1511"/>
      <c r="LOY1511"/>
      <c r="LOZ1511"/>
      <c r="LPA1511"/>
      <c r="LPB1511"/>
      <c r="LPC1511"/>
      <c r="LPD1511"/>
      <c r="LPE1511"/>
      <c r="LPF1511"/>
      <c r="LPG1511"/>
      <c r="LPH1511"/>
      <c r="LPI1511"/>
      <c r="LPJ1511"/>
      <c r="LPK1511"/>
      <c r="LPL1511"/>
      <c r="LPM1511"/>
      <c r="LPN1511"/>
      <c r="LPO1511"/>
      <c r="LPP1511"/>
      <c r="LPQ1511"/>
      <c r="LPR1511"/>
      <c r="LPS1511"/>
      <c r="LPT1511"/>
      <c r="LPU1511"/>
      <c r="LPV1511"/>
      <c r="LPW1511"/>
      <c r="LPX1511"/>
      <c r="LPY1511"/>
      <c r="LPZ1511"/>
      <c r="LQA1511"/>
      <c r="LQB1511"/>
      <c r="LQC1511"/>
      <c r="LQD1511"/>
      <c r="LQE1511"/>
      <c r="LQF1511"/>
      <c r="LQG1511"/>
      <c r="LQH1511"/>
      <c r="LQI1511"/>
      <c r="LQJ1511"/>
      <c r="LQK1511"/>
      <c r="LQL1511"/>
      <c r="LQM1511"/>
      <c r="LQN1511"/>
      <c r="LQO1511"/>
      <c r="LQP1511"/>
      <c r="LQQ1511"/>
      <c r="LQR1511"/>
      <c r="LQS1511"/>
      <c r="LQT1511"/>
      <c r="LQU1511"/>
      <c r="LQV1511"/>
      <c r="LQW1511"/>
      <c r="LQX1511"/>
      <c r="LQY1511"/>
      <c r="LQZ1511"/>
      <c r="LRA1511"/>
      <c r="LRB1511"/>
      <c r="LRC1511"/>
      <c r="LRD1511"/>
      <c r="LRE1511"/>
      <c r="LRF1511"/>
      <c r="LRG1511"/>
      <c r="LRH1511"/>
      <c r="LRI1511"/>
      <c r="LRJ1511"/>
      <c r="LRK1511"/>
      <c r="LRL1511"/>
      <c r="LRM1511"/>
      <c r="LRN1511"/>
      <c r="LRO1511"/>
      <c r="LRP1511"/>
      <c r="LRQ1511"/>
      <c r="LRR1511"/>
      <c r="LRS1511"/>
      <c r="LRT1511"/>
      <c r="LRU1511"/>
      <c r="LRV1511"/>
      <c r="LRW1511"/>
      <c r="LRX1511"/>
      <c r="LRY1511"/>
      <c r="LRZ1511"/>
      <c r="LSA1511"/>
      <c r="LSB1511"/>
      <c r="LSC1511"/>
      <c r="LSD1511"/>
      <c r="LSE1511"/>
      <c r="LSF1511"/>
      <c r="LSG1511"/>
      <c r="LSH1511"/>
      <c r="LSI1511"/>
      <c r="LSJ1511"/>
      <c r="LSK1511"/>
      <c r="LSL1511"/>
      <c r="LSM1511"/>
      <c r="LSN1511"/>
      <c r="LSO1511"/>
      <c r="LSP1511"/>
      <c r="LSQ1511"/>
      <c r="LSR1511"/>
      <c r="LSS1511"/>
      <c r="LST1511"/>
      <c r="LSU1511"/>
      <c r="LSV1511"/>
      <c r="LSW1511"/>
      <c r="LSX1511"/>
      <c r="LSY1511"/>
      <c r="LSZ1511"/>
      <c r="LTA1511"/>
      <c r="LTB1511"/>
      <c r="LTC1511"/>
      <c r="LTD1511"/>
      <c r="LTE1511"/>
      <c r="LTF1511"/>
      <c r="LTG1511"/>
      <c r="LTH1511"/>
      <c r="LTI1511"/>
      <c r="LTJ1511"/>
      <c r="LTK1511"/>
      <c r="LTL1511"/>
      <c r="LTM1511"/>
      <c r="LTN1511"/>
      <c r="LTO1511"/>
      <c r="LTP1511"/>
      <c r="LTQ1511"/>
      <c r="LTR1511"/>
      <c r="LTS1511"/>
      <c r="LTT1511"/>
      <c r="LTU1511"/>
      <c r="LTV1511"/>
      <c r="LTW1511"/>
      <c r="LTX1511"/>
      <c r="LTY1511"/>
      <c r="LTZ1511"/>
      <c r="LUA1511"/>
      <c r="LUB1511"/>
      <c r="LUC1511"/>
      <c r="LUD1511"/>
      <c r="LUE1511"/>
      <c r="LUF1511"/>
      <c r="LUG1511"/>
      <c r="LUH1511"/>
      <c r="LUI1511"/>
      <c r="LUJ1511"/>
      <c r="LUK1511"/>
      <c r="LUL1511"/>
      <c r="LUM1511"/>
      <c r="LUN1511"/>
      <c r="LUO1511"/>
      <c r="LUP1511"/>
      <c r="LUQ1511"/>
      <c r="LUR1511"/>
      <c r="LUS1511"/>
      <c r="LUT1511"/>
      <c r="LUU1511"/>
      <c r="LUV1511"/>
      <c r="LUW1511"/>
      <c r="LUX1511"/>
      <c r="LUY1511"/>
      <c r="LUZ1511"/>
      <c r="LVA1511"/>
      <c r="LVB1511"/>
      <c r="LVC1511"/>
      <c r="LVD1511"/>
      <c r="LVE1511"/>
      <c r="LVF1511"/>
      <c r="LVG1511"/>
      <c r="LVH1511"/>
      <c r="LVI1511"/>
      <c r="LVJ1511"/>
      <c r="LVK1511"/>
      <c r="LVL1511"/>
      <c r="LVM1511"/>
      <c r="LVN1511"/>
      <c r="LVO1511"/>
      <c r="LVP1511"/>
      <c r="LVQ1511"/>
      <c r="LVR1511"/>
      <c r="LVS1511"/>
      <c r="LVT1511"/>
      <c r="LVU1511"/>
      <c r="LVV1511"/>
      <c r="LVW1511"/>
      <c r="LVX1511"/>
      <c r="LVY1511"/>
      <c r="LVZ1511"/>
      <c r="LWA1511"/>
      <c r="LWB1511"/>
      <c r="LWC1511"/>
      <c r="LWD1511"/>
      <c r="LWE1511"/>
      <c r="LWF1511"/>
      <c r="LWG1511"/>
      <c r="LWH1511"/>
      <c r="LWI1511"/>
      <c r="LWJ1511"/>
      <c r="LWK1511"/>
      <c r="LWL1511"/>
      <c r="LWM1511"/>
      <c r="LWN1511"/>
      <c r="LWO1511"/>
      <c r="LWP1511"/>
      <c r="LWQ1511"/>
      <c r="LWR1511"/>
      <c r="LWS1511"/>
      <c r="LWT1511"/>
      <c r="LWU1511"/>
      <c r="LWV1511"/>
      <c r="LWW1511"/>
      <c r="LWX1511"/>
      <c r="LWY1511"/>
      <c r="LWZ1511"/>
      <c r="LXA1511"/>
      <c r="LXB1511"/>
      <c r="LXC1511"/>
      <c r="LXD1511"/>
      <c r="LXE1511"/>
      <c r="LXF1511"/>
      <c r="LXG1511"/>
      <c r="LXH1511"/>
      <c r="LXI1511"/>
      <c r="LXJ1511"/>
      <c r="LXK1511"/>
      <c r="LXL1511"/>
      <c r="LXM1511"/>
      <c r="LXN1511"/>
      <c r="LXO1511"/>
      <c r="LXP1511"/>
      <c r="LXQ1511"/>
      <c r="LXR1511"/>
      <c r="LXS1511"/>
      <c r="LXT1511"/>
      <c r="LXU1511"/>
      <c r="LXV1511"/>
      <c r="LXW1511"/>
      <c r="LXX1511"/>
      <c r="LXY1511"/>
      <c r="LXZ1511"/>
      <c r="LYA1511"/>
      <c r="LYB1511"/>
      <c r="LYC1511"/>
      <c r="LYD1511"/>
      <c r="LYE1511"/>
      <c r="LYF1511"/>
      <c r="LYG1511"/>
      <c r="LYH1511"/>
      <c r="LYI1511"/>
      <c r="LYJ1511"/>
      <c r="LYK1511"/>
      <c r="LYL1511"/>
      <c r="LYM1511"/>
      <c r="LYN1511"/>
      <c r="LYO1511"/>
      <c r="LYP1511"/>
      <c r="LYQ1511"/>
      <c r="LYR1511"/>
      <c r="LYS1511"/>
      <c r="LYT1511"/>
      <c r="LYU1511"/>
      <c r="LYV1511"/>
      <c r="LYW1511"/>
      <c r="LYX1511"/>
      <c r="LYY1511"/>
      <c r="LYZ1511"/>
      <c r="LZA1511"/>
      <c r="LZB1511"/>
      <c r="LZC1511"/>
      <c r="LZD1511"/>
      <c r="LZE1511"/>
      <c r="LZF1511"/>
      <c r="LZG1511"/>
      <c r="LZH1511"/>
      <c r="LZI1511"/>
      <c r="LZJ1511"/>
      <c r="LZK1511"/>
      <c r="LZL1511"/>
      <c r="LZM1511"/>
      <c r="LZN1511"/>
      <c r="LZO1511"/>
      <c r="LZP1511"/>
      <c r="LZQ1511"/>
      <c r="LZR1511"/>
      <c r="LZS1511"/>
      <c r="LZT1511"/>
      <c r="LZU1511"/>
      <c r="LZV1511"/>
      <c r="LZW1511"/>
      <c r="LZX1511"/>
      <c r="LZY1511"/>
      <c r="LZZ1511"/>
      <c r="MAA1511"/>
      <c r="MAB1511"/>
      <c r="MAC1511"/>
      <c r="MAD1511"/>
      <c r="MAE1511"/>
      <c r="MAF1511"/>
      <c r="MAG1511"/>
      <c r="MAH1511"/>
      <c r="MAI1511"/>
      <c r="MAJ1511"/>
      <c r="MAK1511"/>
      <c r="MAL1511"/>
      <c r="MAM1511"/>
      <c r="MAN1511"/>
      <c r="MAO1511"/>
      <c r="MAP1511"/>
      <c r="MAQ1511"/>
      <c r="MAR1511"/>
      <c r="MAS1511"/>
      <c r="MAT1511"/>
      <c r="MAU1511"/>
      <c r="MAV1511"/>
      <c r="MAW1511"/>
      <c r="MAX1511"/>
      <c r="MAY1511"/>
      <c r="MAZ1511"/>
      <c r="MBA1511"/>
      <c r="MBB1511"/>
      <c r="MBC1511"/>
      <c r="MBD1511"/>
      <c r="MBE1511"/>
      <c r="MBF1511"/>
      <c r="MBG1511"/>
      <c r="MBH1511"/>
      <c r="MBI1511"/>
      <c r="MBJ1511"/>
      <c r="MBK1511"/>
      <c r="MBL1511"/>
      <c r="MBM1511"/>
      <c r="MBN1511"/>
      <c r="MBO1511"/>
      <c r="MBP1511"/>
      <c r="MBQ1511"/>
      <c r="MBR1511"/>
      <c r="MBS1511"/>
      <c r="MBT1511"/>
      <c r="MBU1511"/>
      <c r="MBV1511"/>
      <c r="MBW1511"/>
      <c r="MBX1511"/>
      <c r="MBY1511"/>
      <c r="MBZ1511"/>
      <c r="MCA1511"/>
      <c r="MCB1511"/>
      <c r="MCC1511"/>
      <c r="MCD1511"/>
      <c r="MCE1511"/>
      <c r="MCF1511"/>
      <c r="MCG1511"/>
      <c r="MCH1511"/>
      <c r="MCI1511"/>
      <c r="MCJ1511"/>
      <c r="MCK1511"/>
      <c r="MCL1511"/>
      <c r="MCM1511"/>
      <c r="MCN1511"/>
      <c r="MCO1511"/>
      <c r="MCP1511"/>
      <c r="MCQ1511"/>
      <c r="MCR1511"/>
      <c r="MCS1511"/>
      <c r="MCT1511"/>
      <c r="MCU1511"/>
      <c r="MCV1511"/>
      <c r="MCW1511"/>
      <c r="MCX1511"/>
      <c r="MCY1511"/>
      <c r="MCZ1511"/>
      <c r="MDA1511"/>
      <c r="MDB1511"/>
      <c r="MDC1511"/>
      <c r="MDD1511"/>
      <c r="MDE1511"/>
      <c r="MDF1511"/>
      <c r="MDG1511"/>
      <c r="MDH1511"/>
      <c r="MDI1511"/>
      <c r="MDJ1511"/>
      <c r="MDK1511"/>
      <c r="MDL1511"/>
      <c r="MDM1511"/>
      <c r="MDN1511"/>
      <c r="MDO1511"/>
      <c r="MDP1511"/>
      <c r="MDQ1511"/>
      <c r="MDR1511"/>
      <c r="MDS1511"/>
      <c r="MDT1511"/>
      <c r="MDU1511"/>
      <c r="MDV1511"/>
      <c r="MDW1511"/>
      <c r="MDX1511"/>
      <c r="MDY1511"/>
      <c r="MDZ1511"/>
      <c r="MEA1511"/>
      <c r="MEB1511"/>
      <c r="MEC1511"/>
      <c r="MED1511"/>
      <c r="MEE1511"/>
      <c r="MEF1511"/>
      <c r="MEG1511"/>
      <c r="MEH1511"/>
      <c r="MEI1511"/>
      <c r="MEJ1511"/>
      <c r="MEK1511"/>
      <c r="MEL1511"/>
      <c r="MEM1511"/>
      <c r="MEN1511"/>
      <c r="MEO1511"/>
      <c r="MEP1511"/>
      <c r="MEQ1511"/>
      <c r="MER1511"/>
      <c r="MES1511"/>
      <c r="MET1511"/>
      <c r="MEU1511"/>
      <c r="MEV1511"/>
      <c r="MEW1511"/>
      <c r="MEX1511"/>
      <c r="MEY1511"/>
      <c r="MEZ1511"/>
      <c r="MFA1511"/>
      <c r="MFB1511"/>
      <c r="MFC1511"/>
      <c r="MFD1511"/>
      <c r="MFE1511"/>
      <c r="MFF1511"/>
      <c r="MFG1511"/>
      <c r="MFH1511"/>
      <c r="MFI1511"/>
      <c r="MFJ1511"/>
      <c r="MFK1511"/>
      <c r="MFL1511"/>
      <c r="MFM1511"/>
      <c r="MFN1511"/>
      <c r="MFO1511"/>
      <c r="MFP1511"/>
      <c r="MFQ1511"/>
      <c r="MFR1511"/>
      <c r="MFS1511"/>
      <c r="MFT1511"/>
      <c r="MFU1511"/>
      <c r="MFV1511"/>
      <c r="MFW1511"/>
      <c r="MFX1511"/>
      <c r="MFY1511"/>
      <c r="MFZ1511"/>
      <c r="MGA1511"/>
      <c r="MGB1511"/>
      <c r="MGC1511"/>
      <c r="MGD1511"/>
      <c r="MGE1511"/>
      <c r="MGF1511"/>
      <c r="MGG1511"/>
      <c r="MGH1511"/>
      <c r="MGI1511"/>
      <c r="MGJ1511"/>
      <c r="MGK1511"/>
      <c r="MGL1511"/>
      <c r="MGM1511"/>
      <c r="MGN1511"/>
      <c r="MGO1511"/>
      <c r="MGP1511"/>
      <c r="MGQ1511"/>
      <c r="MGR1511"/>
      <c r="MGS1511"/>
      <c r="MGT1511"/>
      <c r="MGU1511"/>
      <c r="MGV1511"/>
      <c r="MGW1511"/>
      <c r="MGX1511"/>
      <c r="MGY1511"/>
      <c r="MGZ1511"/>
      <c r="MHA1511"/>
      <c r="MHB1511"/>
      <c r="MHC1511"/>
      <c r="MHD1511"/>
      <c r="MHE1511"/>
      <c r="MHF1511"/>
      <c r="MHG1511"/>
      <c r="MHH1511"/>
      <c r="MHI1511"/>
      <c r="MHJ1511"/>
      <c r="MHK1511"/>
      <c r="MHL1511"/>
      <c r="MHM1511"/>
      <c r="MHN1511"/>
      <c r="MHO1511"/>
      <c r="MHP1511"/>
      <c r="MHQ1511"/>
      <c r="MHR1511"/>
      <c r="MHS1511"/>
      <c r="MHT1511"/>
      <c r="MHU1511"/>
      <c r="MHV1511"/>
      <c r="MHW1511"/>
      <c r="MHX1511"/>
      <c r="MHY1511"/>
      <c r="MHZ1511"/>
      <c r="MIA1511"/>
      <c r="MIB1511"/>
      <c r="MIC1511"/>
      <c r="MID1511"/>
      <c r="MIE1511"/>
      <c r="MIF1511"/>
      <c r="MIG1511"/>
      <c r="MIH1511"/>
      <c r="MII1511"/>
      <c r="MIJ1511"/>
      <c r="MIK1511"/>
      <c r="MIL1511"/>
      <c r="MIM1511"/>
      <c r="MIN1511"/>
      <c r="MIO1511"/>
      <c r="MIP1511"/>
      <c r="MIQ1511"/>
      <c r="MIR1511"/>
      <c r="MIS1511"/>
      <c r="MIT1511"/>
      <c r="MIU1511"/>
      <c r="MIV1511"/>
      <c r="MIW1511"/>
      <c r="MIX1511"/>
      <c r="MIY1511"/>
      <c r="MIZ1511"/>
      <c r="MJA1511"/>
      <c r="MJB1511"/>
      <c r="MJC1511"/>
      <c r="MJD1511"/>
      <c r="MJE1511"/>
      <c r="MJF1511"/>
      <c r="MJG1511"/>
      <c r="MJH1511"/>
      <c r="MJI1511"/>
      <c r="MJJ1511"/>
      <c r="MJK1511"/>
      <c r="MJL1511"/>
      <c r="MJM1511"/>
      <c r="MJN1511"/>
      <c r="MJO1511"/>
      <c r="MJP1511"/>
      <c r="MJQ1511"/>
      <c r="MJR1511"/>
      <c r="MJS1511"/>
      <c r="MJT1511"/>
      <c r="MJU1511"/>
      <c r="MJV1511"/>
      <c r="MJW1511"/>
      <c r="MJX1511"/>
      <c r="MJY1511"/>
      <c r="MJZ1511"/>
      <c r="MKA1511"/>
      <c r="MKB1511"/>
      <c r="MKC1511"/>
      <c r="MKD1511"/>
      <c r="MKE1511"/>
      <c r="MKF1511"/>
      <c r="MKG1511"/>
      <c r="MKH1511"/>
      <c r="MKI1511"/>
      <c r="MKJ1511"/>
      <c r="MKK1511"/>
      <c r="MKL1511"/>
      <c r="MKM1511"/>
      <c r="MKN1511"/>
      <c r="MKO1511"/>
      <c r="MKP1511"/>
      <c r="MKQ1511"/>
      <c r="MKR1511"/>
      <c r="MKS1511"/>
      <c r="MKT1511"/>
      <c r="MKU1511"/>
      <c r="MKV1511"/>
      <c r="MKW1511"/>
      <c r="MKX1511"/>
      <c r="MKY1511"/>
      <c r="MKZ1511"/>
      <c r="MLA1511"/>
      <c r="MLB1511"/>
      <c r="MLC1511"/>
      <c r="MLD1511"/>
      <c r="MLE1511"/>
      <c r="MLF1511"/>
      <c r="MLG1511"/>
      <c r="MLH1511"/>
      <c r="MLI1511"/>
      <c r="MLJ1511"/>
      <c r="MLK1511"/>
      <c r="MLL1511"/>
      <c r="MLM1511"/>
      <c r="MLN1511"/>
      <c r="MLO1511"/>
      <c r="MLP1511"/>
      <c r="MLQ1511"/>
      <c r="MLR1511"/>
      <c r="MLS1511"/>
      <c r="MLT1511"/>
      <c r="MLU1511"/>
      <c r="MLV1511"/>
      <c r="MLW1511"/>
      <c r="MLX1511"/>
      <c r="MLY1511"/>
      <c r="MLZ1511"/>
      <c r="MMA1511"/>
      <c r="MMB1511"/>
      <c r="MMC1511"/>
      <c r="MMD1511"/>
      <c r="MME1511"/>
      <c r="MMF1511"/>
      <c r="MMG1511"/>
      <c r="MMH1511"/>
      <c r="MMI1511"/>
      <c r="MMJ1511"/>
      <c r="MMK1511"/>
      <c r="MML1511"/>
      <c r="MMM1511"/>
      <c r="MMN1511"/>
      <c r="MMO1511"/>
      <c r="MMP1511"/>
      <c r="MMQ1511"/>
      <c r="MMR1511"/>
      <c r="MMS1511"/>
      <c r="MMT1511"/>
      <c r="MMU1511"/>
      <c r="MMV1511"/>
      <c r="MMW1511"/>
      <c r="MMX1511"/>
      <c r="MMY1511"/>
      <c r="MMZ1511"/>
      <c r="MNA1511"/>
      <c r="MNB1511"/>
      <c r="MNC1511"/>
      <c r="MND1511"/>
      <c r="MNE1511"/>
      <c r="MNF1511"/>
      <c r="MNG1511"/>
      <c r="MNH1511"/>
      <c r="MNI1511"/>
      <c r="MNJ1511"/>
      <c r="MNK1511"/>
      <c r="MNL1511"/>
      <c r="MNM1511"/>
      <c r="MNN1511"/>
      <c r="MNO1511"/>
      <c r="MNP1511"/>
      <c r="MNQ1511"/>
      <c r="MNR1511"/>
      <c r="MNS1511"/>
      <c r="MNT1511"/>
      <c r="MNU1511"/>
      <c r="MNV1511"/>
      <c r="MNW1511"/>
      <c r="MNX1511"/>
      <c r="MNY1511"/>
      <c r="MNZ1511"/>
      <c r="MOA1511"/>
      <c r="MOB1511"/>
      <c r="MOC1511"/>
      <c r="MOD1511"/>
      <c r="MOE1511"/>
      <c r="MOF1511"/>
      <c r="MOG1511"/>
      <c r="MOH1511"/>
      <c r="MOI1511"/>
      <c r="MOJ1511"/>
      <c r="MOK1511"/>
      <c r="MOL1511"/>
      <c r="MOM1511"/>
      <c r="MON1511"/>
      <c r="MOO1511"/>
      <c r="MOP1511"/>
      <c r="MOQ1511"/>
      <c r="MOR1511"/>
      <c r="MOS1511"/>
      <c r="MOT1511"/>
      <c r="MOU1511"/>
      <c r="MOV1511"/>
      <c r="MOW1511"/>
      <c r="MOX1511"/>
      <c r="MOY1511"/>
      <c r="MOZ1511"/>
      <c r="MPA1511"/>
      <c r="MPB1511"/>
      <c r="MPC1511"/>
      <c r="MPD1511"/>
      <c r="MPE1511"/>
      <c r="MPF1511"/>
      <c r="MPG1511"/>
      <c r="MPH1511"/>
      <c r="MPI1511"/>
      <c r="MPJ1511"/>
      <c r="MPK1511"/>
      <c r="MPL1511"/>
      <c r="MPM1511"/>
      <c r="MPN1511"/>
      <c r="MPO1511"/>
      <c r="MPP1511"/>
      <c r="MPQ1511"/>
      <c r="MPR1511"/>
      <c r="MPS1511"/>
      <c r="MPT1511"/>
      <c r="MPU1511"/>
      <c r="MPV1511"/>
      <c r="MPW1511"/>
      <c r="MPX1511"/>
      <c r="MPY1511"/>
      <c r="MPZ1511"/>
      <c r="MQA1511"/>
      <c r="MQB1511"/>
      <c r="MQC1511"/>
      <c r="MQD1511"/>
      <c r="MQE1511"/>
      <c r="MQF1511"/>
      <c r="MQG1511"/>
      <c r="MQH1511"/>
      <c r="MQI1511"/>
      <c r="MQJ1511"/>
      <c r="MQK1511"/>
      <c r="MQL1511"/>
      <c r="MQM1511"/>
      <c r="MQN1511"/>
      <c r="MQO1511"/>
      <c r="MQP1511"/>
      <c r="MQQ1511"/>
      <c r="MQR1511"/>
      <c r="MQS1511"/>
      <c r="MQT1511"/>
      <c r="MQU1511"/>
      <c r="MQV1511"/>
      <c r="MQW1511"/>
      <c r="MQX1511"/>
      <c r="MQY1511"/>
      <c r="MQZ1511"/>
      <c r="MRA1511"/>
      <c r="MRB1511"/>
      <c r="MRC1511"/>
      <c r="MRD1511"/>
      <c r="MRE1511"/>
      <c r="MRF1511"/>
      <c r="MRG1511"/>
      <c r="MRH1511"/>
      <c r="MRI1511"/>
      <c r="MRJ1511"/>
      <c r="MRK1511"/>
      <c r="MRL1511"/>
      <c r="MRM1511"/>
      <c r="MRN1511"/>
      <c r="MRO1511"/>
      <c r="MRP1511"/>
      <c r="MRQ1511"/>
      <c r="MRR1511"/>
      <c r="MRS1511"/>
      <c r="MRT1511"/>
      <c r="MRU1511"/>
      <c r="MRV1511"/>
      <c r="MRW1511"/>
      <c r="MRX1511"/>
      <c r="MRY1511"/>
      <c r="MRZ1511"/>
      <c r="MSA1511"/>
      <c r="MSB1511"/>
      <c r="MSC1511"/>
      <c r="MSD1511"/>
      <c r="MSE1511"/>
      <c r="MSF1511"/>
      <c r="MSG1511"/>
      <c r="MSH1511"/>
      <c r="MSI1511"/>
      <c r="MSJ1511"/>
      <c r="MSK1511"/>
      <c r="MSL1511"/>
      <c r="MSM1511"/>
      <c r="MSN1511"/>
      <c r="MSO1511"/>
      <c r="MSP1511"/>
      <c r="MSQ1511"/>
      <c r="MSR1511"/>
      <c r="MSS1511"/>
      <c r="MST1511"/>
      <c r="MSU1511"/>
      <c r="MSV1511"/>
      <c r="MSW1511"/>
      <c r="MSX1511"/>
      <c r="MSY1511"/>
      <c r="MSZ1511"/>
      <c r="MTA1511"/>
      <c r="MTB1511"/>
      <c r="MTC1511"/>
      <c r="MTD1511"/>
      <c r="MTE1511"/>
      <c r="MTF1511"/>
      <c r="MTG1511"/>
      <c r="MTH1511"/>
      <c r="MTI1511"/>
      <c r="MTJ1511"/>
      <c r="MTK1511"/>
      <c r="MTL1511"/>
      <c r="MTM1511"/>
      <c r="MTN1511"/>
      <c r="MTO1511"/>
      <c r="MTP1511"/>
      <c r="MTQ1511"/>
      <c r="MTR1511"/>
      <c r="MTS1511"/>
      <c r="MTT1511"/>
      <c r="MTU1511"/>
      <c r="MTV1511"/>
      <c r="MTW1511"/>
      <c r="MTX1511"/>
      <c r="MTY1511"/>
      <c r="MTZ1511"/>
      <c r="MUA1511"/>
      <c r="MUB1511"/>
      <c r="MUC1511"/>
      <c r="MUD1511"/>
      <c r="MUE1511"/>
      <c r="MUF1511"/>
      <c r="MUG1511"/>
      <c r="MUH1511"/>
      <c r="MUI1511"/>
      <c r="MUJ1511"/>
      <c r="MUK1511"/>
      <c r="MUL1511"/>
      <c r="MUM1511"/>
      <c r="MUN1511"/>
      <c r="MUO1511"/>
      <c r="MUP1511"/>
      <c r="MUQ1511"/>
      <c r="MUR1511"/>
      <c r="MUS1511"/>
      <c r="MUT1511"/>
      <c r="MUU1511"/>
      <c r="MUV1511"/>
      <c r="MUW1511"/>
      <c r="MUX1511"/>
      <c r="MUY1511"/>
      <c r="MUZ1511"/>
      <c r="MVA1511"/>
      <c r="MVB1511"/>
      <c r="MVC1511"/>
      <c r="MVD1511"/>
      <c r="MVE1511"/>
      <c r="MVF1511"/>
      <c r="MVG1511"/>
      <c r="MVH1511"/>
      <c r="MVI1511"/>
      <c r="MVJ1511"/>
      <c r="MVK1511"/>
      <c r="MVL1511"/>
      <c r="MVM1511"/>
      <c r="MVN1511"/>
      <c r="MVO1511"/>
      <c r="MVP1511"/>
      <c r="MVQ1511"/>
      <c r="MVR1511"/>
      <c r="MVS1511"/>
      <c r="MVT1511"/>
      <c r="MVU1511"/>
      <c r="MVV1511"/>
      <c r="MVW1511"/>
      <c r="MVX1511"/>
      <c r="MVY1511"/>
      <c r="MVZ1511"/>
      <c r="MWA1511"/>
      <c r="MWB1511"/>
      <c r="MWC1511"/>
      <c r="MWD1511"/>
      <c r="MWE1511"/>
      <c r="MWF1511"/>
      <c r="MWG1511"/>
      <c r="MWH1511"/>
      <c r="MWI1511"/>
      <c r="MWJ1511"/>
      <c r="MWK1511"/>
      <c r="MWL1511"/>
      <c r="MWM1511"/>
      <c r="MWN1511"/>
      <c r="MWO1511"/>
      <c r="MWP1511"/>
      <c r="MWQ1511"/>
      <c r="MWR1511"/>
      <c r="MWS1511"/>
      <c r="MWT1511"/>
      <c r="MWU1511"/>
      <c r="MWV1511"/>
      <c r="MWW1511"/>
      <c r="MWX1511"/>
      <c r="MWY1511"/>
      <c r="MWZ1511"/>
      <c r="MXA1511"/>
      <c r="MXB1511"/>
      <c r="MXC1511"/>
      <c r="MXD1511"/>
      <c r="MXE1511"/>
      <c r="MXF1511"/>
      <c r="MXG1511"/>
      <c r="MXH1511"/>
      <c r="MXI1511"/>
      <c r="MXJ1511"/>
      <c r="MXK1511"/>
      <c r="MXL1511"/>
      <c r="MXM1511"/>
      <c r="MXN1511"/>
      <c r="MXO1511"/>
      <c r="MXP1511"/>
      <c r="MXQ1511"/>
      <c r="MXR1511"/>
      <c r="MXS1511"/>
      <c r="MXT1511"/>
      <c r="MXU1511"/>
      <c r="MXV1511"/>
      <c r="MXW1511"/>
      <c r="MXX1511"/>
      <c r="MXY1511"/>
      <c r="MXZ1511"/>
      <c r="MYA1511"/>
      <c r="MYB1511"/>
      <c r="MYC1511"/>
      <c r="MYD1511"/>
      <c r="MYE1511"/>
      <c r="MYF1511"/>
      <c r="MYG1511"/>
      <c r="MYH1511"/>
      <c r="MYI1511"/>
      <c r="MYJ1511"/>
      <c r="MYK1511"/>
      <c r="MYL1511"/>
      <c r="MYM1511"/>
      <c r="MYN1511"/>
      <c r="MYO1511"/>
      <c r="MYP1511"/>
      <c r="MYQ1511"/>
      <c r="MYR1511"/>
      <c r="MYS1511"/>
      <c r="MYT1511"/>
      <c r="MYU1511"/>
      <c r="MYV1511"/>
      <c r="MYW1511"/>
      <c r="MYX1511"/>
      <c r="MYY1511"/>
      <c r="MYZ1511"/>
      <c r="MZA1511"/>
      <c r="MZB1511"/>
      <c r="MZC1511"/>
      <c r="MZD1511"/>
      <c r="MZE1511"/>
      <c r="MZF1511"/>
      <c r="MZG1511"/>
      <c r="MZH1511"/>
      <c r="MZI1511"/>
      <c r="MZJ1511"/>
      <c r="MZK1511"/>
      <c r="MZL1511"/>
      <c r="MZM1511"/>
      <c r="MZN1511"/>
      <c r="MZO1511"/>
      <c r="MZP1511"/>
      <c r="MZQ1511"/>
      <c r="MZR1511"/>
      <c r="MZS1511"/>
      <c r="MZT1511"/>
      <c r="MZU1511"/>
      <c r="MZV1511"/>
      <c r="MZW1511"/>
      <c r="MZX1511"/>
      <c r="MZY1511"/>
      <c r="MZZ1511"/>
      <c r="NAA1511"/>
      <c r="NAB1511"/>
      <c r="NAC1511"/>
      <c r="NAD1511"/>
      <c r="NAE1511"/>
      <c r="NAF1511"/>
      <c r="NAG1511"/>
      <c r="NAH1511"/>
      <c r="NAI1511"/>
      <c r="NAJ1511"/>
      <c r="NAK1511"/>
      <c r="NAL1511"/>
      <c r="NAM1511"/>
      <c r="NAN1511"/>
      <c r="NAO1511"/>
      <c r="NAP1511"/>
      <c r="NAQ1511"/>
      <c r="NAR1511"/>
      <c r="NAS1511"/>
      <c r="NAT1511"/>
      <c r="NAU1511"/>
      <c r="NAV1511"/>
      <c r="NAW1511"/>
      <c r="NAX1511"/>
      <c r="NAY1511"/>
      <c r="NAZ1511"/>
      <c r="NBA1511"/>
      <c r="NBB1511"/>
      <c r="NBC1511"/>
      <c r="NBD1511"/>
      <c r="NBE1511"/>
      <c r="NBF1511"/>
      <c r="NBG1511"/>
      <c r="NBH1511"/>
      <c r="NBI1511"/>
      <c r="NBJ1511"/>
      <c r="NBK1511"/>
      <c r="NBL1511"/>
      <c r="NBM1511"/>
      <c r="NBN1511"/>
      <c r="NBO1511"/>
      <c r="NBP1511"/>
      <c r="NBQ1511"/>
      <c r="NBR1511"/>
      <c r="NBS1511"/>
      <c r="NBT1511"/>
      <c r="NBU1511"/>
      <c r="NBV1511"/>
      <c r="NBW1511"/>
      <c r="NBX1511"/>
      <c r="NBY1511"/>
      <c r="NBZ1511"/>
      <c r="NCA1511"/>
      <c r="NCB1511"/>
      <c r="NCC1511"/>
      <c r="NCD1511"/>
      <c r="NCE1511"/>
      <c r="NCF1511"/>
      <c r="NCG1511"/>
      <c r="NCH1511"/>
      <c r="NCI1511"/>
      <c r="NCJ1511"/>
      <c r="NCK1511"/>
      <c r="NCL1511"/>
      <c r="NCM1511"/>
      <c r="NCN1511"/>
      <c r="NCO1511"/>
      <c r="NCP1511"/>
      <c r="NCQ1511"/>
      <c r="NCR1511"/>
      <c r="NCS1511"/>
      <c r="NCT1511"/>
      <c r="NCU1511"/>
      <c r="NCV1511"/>
      <c r="NCW1511"/>
      <c r="NCX1511"/>
      <c r="NCY1511"/>
      <c r="NCZ1511"/>
      <c r="NDA1511"/>
      <c r="NDB1511"/>
      <c r="NDC1511"/>
      <c r="NDD1511"/>
      <c r="NDE1511"/>
      <c r="NDF1511"/>
      <c r="NDG1511"/>
      <c r="NDH1511"/>
      <c r="NDI1511"/>
      <c r="NDJ1511"/>
      <c r="NDK1511"/>
      <c r="NDL1511"/>
      <c r="NDM1511"/>
      <c r="NDN1511"/>
      <c r="NDO1511"/>
      <c r="NDP1511"/>
      <c r="NDQ1511"/>
      <c r="NDR1511"/>
      <c r="NDS1511"/>
      <c r="NDT1511"/>
      <c r="NDU1511"/>
      <c r="NDV1511"/>
      <c r="NDW1511"/>
      <c r="NDX1511"/>
      <c r="NDY1511"/>
      <c r="NDZ1511"/>
      <c r="NEA1511"/>
      <c r="NEB1511"/>
      <c r="NEC1511"/>
      <c r="NED1511"/>
      <c r="NEE1511"/>
      <c r="NEF1511"/>
      <c r="NEG1511"/>
      <c r="NEH1511"/>
      <c r="NEI1511"/>
      <c r="NEJ1511"/>
      <c r="NEK1511"/>
      <c r="NEL1511"/>
      <c r="NEM1511"/>
      <c r="NEN1511"/>
      <c r="NEO1511"/>
      <c r="NEP1511"/>
      <c r="NEQ1511"/>
      <c r="NER1511"/>
      <c r="NES1511"/>
      <c r="NET1511"/>
      <c r="NEU1511"/>
      <c r="NEV1511"/>
      <c r="NEW1511"/>
      <c r="NEX1511"/>
      <c r="NEY1511"/>
      <c r="NEZ1511"/>
      <c r="NFA1511"/>
      <c r="NFB1511"/>
      <c r="NFC1511"/>
      <c r="NFD1511"/>
      <c r="NFE1511"/>
      <c r="NFF1511"/>
      <c r="NFG1511"/>
      <c r="NFH1511"/>
      <c r="NFI1511"/>
      <c r="NFJ1511"/>
      <c r="NFK1511"/>
      <c r="NFL1511"/>
      <c r="NFM1511"/>
      <c r="NFN1511"/>
      <c r="NFO1511"/>
      <c r="NFP1511"/>
      <c r="NFQ1511"/>
      <c r="NFR1511"/>
      <c r="NFS1511"/>
      <c r="NFT1511"/>
      <c r="NFU1511"/>
      <c r="NFV1511"/>
      <c r="NFW1511"/>
      <c r="NFX1511"/>
      <c r="NFY1511"/>
      <c r="NFZ1511"/>
      <c r="NGA1511"/>
      <c r="NGB1511"/>
      <c r="NGC1511"/>
      <c r="NGD1511"/>
      <c r="NGE1511"/>
      <c r="NGF1511"/>
      <c r="NGG1511"/>
      <c r="NGH1511"/>
      <c r="NGI1511"/>
      <c r="NGJ1511"/>
      <c r="NGK1511"/>
      <c r="NGL1511"/>
      <c r="NGM1511"/>
      <c r="NGN1511"/>
      <c r="NGO1511"/>
      <c r="NGP1511"/>
      <c r="NGQ1511"/>
      <c r="NGR1511"/>
      <c r="NGS1511"/>
      <c r="NGT1511"/>
      <c r="NGU1511"/>
      <c r="NGV1511"/>
      <c r="NGW1511"/>
      <c r="NGX1511"/>
      <c r="NGY1511"/>
      <c r="NGZ1511"/>
      <c r="NHA1511"/>
      <c r="NHB1511"/>
      <c r="NHC1511"/>
      <c r="NHD1511"/>
      <c r="NHE1511"/>
      <c r="NHF1511"/>
      <c r="NHG1511"/>
      <c r="NHH1511"/>
      <c r="NHI1511"/>
      <c r="NHJ1511"/>
      <c r="NHK1511"/>
      <c r="NHL1511"/>
      <c r="NHM1511"/>
      <c r="NHN1511"/>
      <c r="NHO1511"/>
      <c r="NHP1511"/>
      <c r="NHQ1511"/>
      <c r="NHR1511"/>
      <c r="NHS1511"/>
      <c r="NHT1511"/>
      <c r="NHU1511"/>
      <c r="NHV1511"/>
      <c r="NHW1511"/>
      <c r="NHX1511"/>
      <c r="NHY1511"/>
      <c r="NHZ1511"/>
      <c r="NIA1511"/>
      <c r="NIB1511"/>
      <c r="NIC1511"/>
      <c r="NID1511"/>
      <c r="NIE1511"/>
      <c r="NIF1511"/>
      <c r="NIG1511"/>
      <c r="NIH1511"/>
      <c r="NII1511"/>
      <c r="NIJ1511"/>
      <c r="NIK1511"/>
      <c r="NIL1511"/>
      <c r="NIM1511"/>
      <c r="NIN1511"/>
      <c r="NIO1511"/>
      <c r="NIP1511"/>
      <c r="NIQ1511"/>
      <c r="NIR1511"/>
      <c r="NIS1511"/>
      <c r="NIT1511"/>
      <c r="NIU1511"/>
      <c r="NIV1511"/>
      <c r="NIW1511"/>
      <c r="NIX1511"/>
      <c r="NIY1511"/>
      <c r="NIZ1511"/>
      <c r="NJA1511"/>
      <c r="NJB1511"/>
      <c r="NJC1511"/>
      <c r="NJD1511"/>
      <c r="NJE1511"/>
      <c r="NJF1511"/>
      <c r="NJG1511"/>
      <c r="NJH1511"/>
      <c r="NJI1511"/>
      <c r="NJJ1511"/>
      <c r="NJK1511"/>
      <c r="NJL1511"/>
      <c r="NJM1511"/>
      <c r="NJN1511"/>
      <c r="NJO1511"/>
      <c r="NJP1511"/>
      <c r="NJQ1511"/>
      <c r="NJR1511"/>
      <c r="NJS1511"/>
      <c r="NJT1511"/>
      <c r="NJU1511"/>
      <c r="NJV1511"/>
      <c r="NJW1511"/>
      <c r="NJX1511"/>
      <c r="NJY1511"/>
      <c r="NJZ1511"/>
      <c r="NKA1511"/>
      <c r="NKB1511"/>
      <c r="NKC1511"/>
      <c r="NKD1511"/>
      <c r="NKE1511"/>
      <c r="NKF1511"/>
      <c r="NKG1511"/>
      <c r="NKH1511"/>
      <c r="NKI1511"/>
      <c r="NKJ1511"/>
      <c r="NKK1511"/>
      <c r="NKL1511"/>
      <c r="NKM1511"/>
      <c r="NKN1511"/>
      <c r="NKO1511"/>
      <c r="NKP1511"/>
      <c r="NKQ1511"/>
      <c r="NKR1511"/>
      <c r="NKS1511"/>
      <c r="NKT1511"/>
      <c r="NKU1511"/>
      <c r="NKV1511"/>
      <c r="NKW1511"/>
      <c r="NKX1511"/>
      <c r="NKY1511"/>
      <c r="NKZ1511"/>
      <c r="NLA1511"/>
      <c r="NLB1511"/>
      <c r="NLC1511"/>
      <c r="NLD1511"/>
      <c r="NLE1511"/>
      <c r="NLF1511"/>
      <c r="NLG1511"/>
      <c r="NLH1511"/>
      <c r="NLI1511"/>
      <c r="NLJ1511"/>
      <c r="NLK1511"/>
      <c r="NLL1511"/>
      <c r="NLM1511"/>
      <c r="NLN1511"/>
      <c r="NLO1511"/>
      <c r="NLP1511"/>
      <c r="NLQ1511"/>
      <c r="NLR1511"/>
      <c r="NLS1511"/>
      <c r="NLT1511"/>
      <c r="NLU1511"/>
      <c r="NLV1511"/>
      <c r="NLW1511"/>
      <c r="NLX1511"/>
      <c r="NLY1511"/>
      <c r="NLZ1511"/>
      <c r="NMA1511"/>
      <c r="NMB1511"/>
      <c r="NMC1511"/>
      <c r="NMD1511"/>
      <c r="NME1511"/>
      <c r="NMF1511"/>
      <c r="NMG1511"/>
      <c r="NMH1511"/>
      <c r="NMI1511"/>
      <c r="NMJ1511"/>
      <c r="NMK1511"/>
      <c r="NML1511"/>
      <c r="NMM1511"/>
      <c r="NMN1511"/>
      <c r="NMO1511"/>
      <c r="NMP1511"/>
      <c r="NMQ1511"/>
      <c r="NMR1511"/>
      <c r="NMS1511"/>
      <c r="NMT1511"/>
      <c r="NMU1511"/>
      <c r="NMV1511"/>
      <c r="NMW1511"/>
      <c r="NMX1511"/>
      <c r="NMY1511"/>
      <c r="NMZ1511"/>
      <c r="NNA1511"/>
      <c r="NNB1511"/>
      <c r="NNC1511"/>
      <c r="NND1511"/>
      <c r="NNE1511"/>
      <c r="NNF1511"/>
      <c r="NNG1511"/>
      <c r="NNH1511"/>
      <c r="NNI1511"/>
      <c r="NNJ1511"/>
      <c r="NNK1511"/>
      <c r="NNL1511"/>
      <c r="NNM1511"/>
      <c r="NNN1511"/>
      <c r="NNO1511"/>
      <c r="NNP1511"/>
      <c r="NNQ1511"/>
      <c r="NNR1511"/>
      <c r="NNS1511"/>
      <c r="NNT1511"/>
      <c r="NNU1511"/>
      <c r="NNV1511"/>
      <c r="NNW1511"/>
      <c r="NNX1511"/>
      <c r="NNY1511"/>
      <c r="NNZ1511"/>
      <c r="NOA1511"/>
      <c r="NOB1511"/>
      <c r="NOC1511"/>
      <c r="NOD1511"/>
      <c r="NOE1511"/>
      <c r="NOF1511"/>
      <c r="NOG1511"/>
      <c r="NOH1511"/>
      <c r="NOI1511"/>
      <c r="NOJ1511"/>
      <c r="NOK1511"/>
      <c r="NOL1511"/>
      <c r="NOM1511"/>
      <c r="NON1511"/>
      <c r="NOO1511"/>
      <c r="NOP1511"/>
      <c r="NOQ1511"/>
      <c r="NOR1511"/>
      <c r="NOS1511"/>
      <c r="NOT1511"/>
      <c r="NOU1511"/>
      <c r="NOV1511"/>
      <c r="NOW1511"/>
      <c r="NOX1511"/>
      <c r="NOY1511"/>
      <c r="NOZ1511"/>
      <c r="NPA1511"/>
      <c r="NPB1511"/>
      <c r="NPC1511"/>
      <c r="NPD1511"/>
      <c r="NPE1511"/>
      <c r="NPF1511"/>
      <c r="NPG1511"/>
      <c r="NPH1511"/>
      <c r="NPI1511"/>
      <c r="NPJ1511"/>
      <c r="NPK1511"/>
      <c r="NPL1511"/>
      <c r="NPM1511"/>
      <c r="NPN1511"/>
      <c r="NPO1511"/>
      <c r="NPP1511"/>
      <c r="NPQ1511"/>
      <c r="NPR1511"/>
      <c r="NPS1511"/>
      <c r="NPT1511"/>
      <c r="NPU1511"/>
      <c r="NPV1511"/>
      <c r="NPW1511"/>
      <c r="NPX1511"/>
      <c r="NPY1511"/>
      <c r="NPZ1511"/>
      <c r="NQA1511"/>
      <c r="NQB1511"/>
      <c r="NQC1511"/>
      <c r="NQD1511"/>
      <c r="NQE1511"/>
      <c r="NQF1511"/>
      <c r="NQG1511"/>
      <c r="NQH1511"/>
      <c r="NQI1511"/>
      <c r="NQJ1511"/>
      <c r="NQK1511"/>
      <c r="NQL1511"/>
      <c r="NQM1511"/>
      <c r="NQN1511"/>
      <c r="NQO1511"/>
      <c r="NQP1511"/>
      <c r="NQQ1511"/>
      <c r="NQR1511"/>
      <c r="NQS1511"/>
      <c r="NQT1511"/>
      <c r="NQU1511"/>
      <c r="NQV1511"/>
      <c r="NQW1511"/>
      <c r="NQX1511"/>
      <c r="NQY1511"/>
      <c r="NQZ1511"/>
      <c r="NRA1511"/>
      <c r="NRB1511"/>
      <c r="NRC1511"/>
      <c r="NRD1511"/>
      <c r="NRE1511"/>
      <c r="NRF1511"/>
      <c r="NRG1511"/>
      <c r="NRH1511"/>
      <c r="NRI1511"/>
      <c r="NRJ1511"/>
      <c r="NRK1511"/>
      <c r="NRL1511"/>
      <c r="NRM1511"/>
      <c r="NRN1511"/>
      <c r="NRO1511"/>
      <c r="NRP1511"/>
      <c r="NRQ1511"/>
      <c r="NRR1511"/>
      <c r="NRS1511"/>
      <c r="NRT1511"/>
      <c r="NRU1511"/>
      <c r="NRV1511"/>
      <c r="NRW1511"/>
      <c r="NRX1511"/>
      <c r="NRY1511"/>
      <c r="NRZ1511"/>
      <c r="NSA1511"/>
      <c r="NSB1511"/>
      <c r="NSC1511"/>
      <c r="NSD1511"/>
      <c r="NSE1511"/>
      <c r="NSF1511"/>
      <c r="NSG1511"/>
      <c r="NSH1511"/>
      <c r="NSI1511"/>
      <c r="NSJ1511"/>
      <c r="NSK1511"/>
      <c r="NSL1511"/>
      <c r="NSM1511"/>
      <c r="NSN1511"/>
      <c r="NSO1511"/>
      <c r="NSP1511"/>
      <c r="NSQ1511"/>
      <c r="NSR1511"/>
      <c r="NSS1511"/>
      <c r="NST1511"/>
      <c r="NSU1511"/>
      <c r="NSV1511"/>
      <c r="NSW1511"/>
      <c r="NSX1511"/>
      <c r="NSY1511"/>
      <c r="NSZ1511"/>
      <c r="NTA1511"/>
      <c r="NTB1511"/>
      <c r="NTC1511"/>
      <c r="NTD1511"/>
      <c r="NTE1511"/>
      <c r="NTF1511"/>
      <c r="NTG1511"/>
      <c r="NTH1511"/>
      <c r="NTI1511"/>
      <c r="NTJ1511"/>
      <c r="NTK1511"/>
      <c r="NTL1511"/>
      <c r="NTM1511"/>
      <c r="NTN1511"/>
      <c r="NTO1511"/>
      <c r="NTP1511"/>
      <c r="NTQ1511"/>
      <c r="NTR1511"/>
      <c r="NTS1511"/>
      <c r="NTT1511"/>
      <c r="NTU1511"/>
      <c r="NTV1511"/>
      <c r="NTW1511"/>
      <c r="NTX1511"/>
      <c r="NTY1511"/>
      <c r="NTZ1511"/>
      <c r="NUA1511"/>
      <c r="NUB1511"/>
      <c r="NUC1511"/>
      <c r="NUD1511"/>
      <c r="NUE1511"/>
      <c r="NUF1511"/>
      <c r="NUG1511"/>
      <c r="NUH1511"/>
      <c r="NUI1511"/>
      <c r="NUJ1511"/>
      <c r="NUK1511"/>
      <c r="NUL1511"/>
      <c r="NUM1511"/>
      <c r="NUN1511"/>
      <c r="NUO1511"/>
      <c r="NUP1511"/>
      <c r="NUQ1511"/>
      <c r="NUR1511"/>
      <c r="NUS1511"/>
      <c r="NUT1511"/>
      <c r="NUU1511"/>
      <c r="NUV1511"/>
      <c r="NUW1511"/>
      <c r="NUX1511"/>
      <c r="NUY1511"/>
      <c r="NUZ1511"/>
      <c r="NVA1511"/>
      <c r="NVB1511"/>
      <c r="NVC1511"/>
      <c r="NVD1511"/>
      <c r="NVE1511"/>
      <c r="NVF1511"/>
      <c r="NVG1511"/>
      <c r="NVH1511"/>
      <c r="NVI1511"/>
      <c r="NVJ1511"/>
      <c r="NVK1511"/>
      <c r="NVL1511"/>
      <c r="NVM1511"/>
      <c r="NVN1511"/>
      <c r="NVO1511"/>
      <c r="NVP1511"/>
      <c r="NVQ1511"/>
      <c r="NVR1511"/>
      <c r="NVS1511"/>
      <c r="NVT1511"/>
      <c r="NVU1511"/>
      <c r="NVV1511"/>
      <c r="NVW1511"/>
      <c r="NVX1511"/>
      <c r="NVY1511"/>
      <c r="NVZ1511"/>
      <c r="NWA1511"/>
      <c r="NWB1511"/>
      <c r="NWC1511"/>
      <c r="NWD1511"/>
      <c r="NWE1511"/>
      <c r="NWF1511"/>
      <c r="NWG1511"/>
      <c r="NWH1511"/>
      <c r="NWI1511"/>
      <c r="NWJ1511"/>
      <c r="NWK1511"/>
      <c r="NWL1511"/>
      <c r="NWM1511"/>
      <c r="NWN1511"/>
      <c r="NWO1511"/>
      <c r="NWP1511"/>
      <c r="NWQ1511"/>
      <c r="NWR1511"/>
      <c r="NWS1511"/>
      <c r="NWT1511"/>
      <c r="NWU1511"/>
      <c r="NWV1511"/>
      <c r="NWW1511"/>
      <c r="NWX1511"/>
      <c r="NWY1511"/>
      <c r="NWZ1511"/>
      <c r="NXA1511"/>
      <c r="NXB1511"/>
      <c r="NXC1511"/>
      <c r="NXD1511"/>
      <c r="NXE1511"/>
      <c r="NXF1511"/>
      <c r="NXG1511"/>
      <c r="NXH1511"/>
      <c r="NXI1511"/>
      <c r="NXJ1511"/>
      <c r="NXK1511"/>
      <c r="NXL1511"/>
      <c r="NXM1511"/>
      <c r="NXN1511"/>
      <c r="NXO1511"/>
      <c r="NXP1511"/>
      <c r="NXQ1511"/>
      <c r="NXR1511"/>
      <c r="NXS1511"/>
      <c r="NXT1511"/>
      <c r="NXU1511"/>
      <c r="NXV1511"/>
      <c r="NXW1511"/>
      <c r="NXX1511"/>
      <c r="NXY1511"/>
      <c r="NXZ1511"/>
      <c r="NYA1511"/>
      <c r="NYB1511"/>
      <c r="NYC1511"/>
      <c r="NYD1511"/>
      <c r="NYE1511"/>
      <c r="NYF1511"/>
      <c r="NYG1511"/>
      <c r="NYH1511"/>
      <c r="NYI1511"/>
      <c r="NYJ1511"/>
      <c r="NYK1511"/>
      <c r="NYL1511"/>
      <c r="NYM1511"/>
      <c r="NYN1511"/>
      <c r="NYO1511"/>
      <c r="NYP1511"/>
      <c r="NYQ1511"/>
      <c r="NYR1511"/>
      <c r="NYS1511"/>
      <c r="NYT1511"/>
      <c r="NYU1511"/>
      <c r="NYV1511"/>
      <c r="NYW1511"/>
      <c r="NYX1511"/>
      <c r="NYY1511"/>
      <c r="NYZ1511"/>
      <c r="NZA1511"/>
      <c r="NZB1511"/>
      <c r="NZC1511"/>
      <c r="NZD1511"/>
      <c r="NZE1511"/>
      <c r="NZF1511"/>
      <c r="NZG1511"/>
      <c r="NZH1511"/>
      <c r="NZI1511"/>
      <c r="NZJ1511"/>
      <c r="NZK1511"/>
      <c r="NZL1511"/>
      <c r="NZM1511"/>
      <c r="NZN1511"/>
      <c r="NZO1511"/>
      <c r="NZP1511"/>
      <c r="NZQ1511"/>
      <c r="NZR1511"/>
      <c r="NZS1511"/>
      <c r="NZT1511"/>
      <c r="NZU1511"/>
      <c r="NZV1511"/>
      <c r="NZW1511"/>
      <c r="NZX1511"/>
      <c r="NZY1511"/>
      <c r="NZZ1511"/>
      <c r="OAA1511"/>
      <c r="OAB1511"/>
      <c r="OAC1511"/>
      <c r="OAD1511"/>
      <c r="OAE1511"/>
      <c r="OAF1511"/>
      <c r="OAG1511"/>
      <c r="OAH1511"/>
      <c r="OAI1511"/>
      <c r="OAJ1511"/>
      <c r="OAK1511"/>
      <c r="OAL1511"/>
      <c r="OAM1511"/>
      <c r="OAN1511"/>
      <c r="OAO1511"/>
      <c r="OAP1511"/>
      <c r="OAQ1511"/>
      <c r="OAR1511"/>
      <c r="OAS1511"/>
      <c r="OAT1511"/>
      <c r="OAU1511"/>
      <c r="OAV1511"/>
      <c r="OAW1511"/>
      <c r="OAX1511"/>
      <c r="OAY1511"/>
      <c r="OAZ1511"/>
      <c r="OBA1511"/>
      <c r="OBB1511"/>
      <c r="OBC1511"/>
      <c r="OBD1511"/>
      <c r="OBE1511"/>
      <c r="OBF1511"/>
      <c r="OBG1511"/>
      <c r="OBH1511"/>
      <c r="OBI1511"/>
      <c r="OBJ1511"/>
      <c r="OBK1511"/>
      <c r="OBL1511"/>
      <c r="OBM1511"/>
      <c r="OBN1511"/>
      <c r="OBO1511"/>
      <c r="OBP1511"/>
      <c r="OBQ1511"/>
      <c r="OBR1511"/>
      <c r="OBS1511"/>
      <c r="OBT1511"/>
      <c r="OBU1511"/>
      <c r="OBV1511"/>
      <c r="OBW1511"/>
      <c r="OBX1511"/>
      <c r="OBY1511"/>
      <c r="OBZ1511"/>
      <c r="OCA1511"/>
      <c r="OCB1511"/>
      <c r="OCC1511"/>
      <c r="OCD1511"/>
      <c r="OCE1511"/>
      <c r="OCF1511"/>
      <c r="OCG1511"/>
      <c r="OCH1511"/>
      <c r="OCI1511"/>
      <c r="OCJ1511"/>
      <c r="OCK1511"/>
      <c r="OCL1511"/>
      <c r="OCM1511"/>
      <c r="OCN1511"/>
      <c r="OCO1511"/>
      <c r="OCP1511"/>
      <c r="OCQ1511"/>
      <c r="OCR1511"/>
      <c r="OCS1511"/>
      <c r="OCT1511"/>
      <c r="OCU1511"/>
      <c r="OCV1511"/>
      <c r="OCW1511"/>
      <c r="OCX1511"/>
      <c r="OCY1511"/>
      <c r="OCZ1511"/>
      <c r="ODA1511"/>
      <c r="ODB1511"/>
      <c r="ODC1511"/>
      <c r="ODD1511"/>
      <c r="ODE1511"/>
      <c r="ODF1511"/>
      <c r="ODG1511"/>
      <c r="ODH1511"/>
      <c r="ODI1511"/>
      <c r="ODJ1511"/>
      <c r="ODK1511"/>
      <c r="ODL1511"/>
      <c r="ODM1511"/>
      <c r="ODN1511"/>
      <c r="ODO1511"/>
      <c r="ODP1511"/>
      <c r="ODQ1511"/>
      <c r="ODR1511"/>
      <c r="ODS1511"/>
      <c r="ODT1511"/>
      <c r="ODU1511"/>
      <c r="ODV1511"/>
      <c r="ODW1511"/>
      <c r="ODX1511"/>
      <c r="ODY1511"/>
      <c r="ODZ1511"/>
      <c r="OEA1511"/>
      <c r="OEB1511"/>
      <c r="OEC1511"/>
      <c r="OED1511"/>
      <c r="OEE1511"/>
      <c r="OEF1511"/>
      <c r="OEG1511"/>
      <c r="OEH1511"/>
      <c r="OEI1511"/>
      <c r="OEJ1511"/>
      <c r="OEK1511"/>
      <c r="OEL1511"/>
      <c r="OEM1511"/>
      <c r="OEN1511"/>
      <c r="OEO1511"/>
      <c r="OEP1511"/>
      <c r="OEQ1511"/>
      <c r="OER1511"/>
      <c r="OES1511"/>
      <c r="OET1511"/>
      <c r="OEU1511"/>
      <c r="OEV1511"/>
      <c r="OEW1511"/>
      <c r="OEX1511"/>
      <c r="OEY1511"/>
      <c r="OEZ1511"/>
      <c r="OFA1511"/>
      <c r="OFB1511"/>
      <c r="OFC1511"/>
      <c r="OFD1511"/>
      <c r="OFE1511"/>
      <c r="OFF1511"/>
      <c r="OFG1511"/>
      <c r="OFH1511"/>
      <c r="OFI1511"/>
      <c r="OFJ1511"/>
      <c r="OFK1511"/>
      <c r="OFL1511"/>
      <c r="OFM1511"/>
      <c r="OFN1511"/>
      <c r="OFO1511"/>
      <c r="OFP1511"/>
      <c r="OFQ1511"/>
      <c r="OFR1511"/>
      <c r="OFS1511"/>
      <c r="OFT1511"/>
      <c r="OFU1511"/>
      <c r="OFV1511"/>
      <c r="OFW1511"/>
      <c r="OFX1511"/>
      <c r="OFY1511"/>
      <c r="OFZ1511"/>
      <c r="OGA1511"/>
      <c r="OGB1511"/>
      <c r="OGC1511"/>
      <c r="OGD1511"/>
      <c r="OGE1511"/>
      <c r="OGF1511"/>
      <c r="OGG1511"/>
      <c r="OGH1511"/>
      <c r="OGI1511"/>
      <c r="OGJ1511"/>
      <c r="OGK1511"/>
      <c r="OGL1511"/>
      <c r="OGM1511"/>
      <c r="OGN1511"/>
      <c r="OGO1511"/>
      <c r="OGP1511"/>
      <c r="OGQ1511"/>
      <c r="OGR1511"/>
      <c r="OGS1511"/>
      <c r="OGT1511"/>
      <c r="OGU1511"/>
      <c r="OGV1511"/>
      <c r="OGW1511"/>
      <c r="OGX1511"/>
      <c r="OGY1511"/>
      <c r="OGZ1511"/>
      <c r="OHA1511"/>
      <c r="OHB1511"/>
      <c r="OHC1511"/>
      <c r="OHD1511"/>
      <c r="OHE1511"/>
      <c r="OHF1511"/>
      <c r="OHG1511"/>
      <c r="OHH1511"/>
      <c r="OHI1511"/>
      <c r="OHJ1511"/>
      <c r="OHK1511"/>
      <c r="OHL1511"/>
      <c r="OHM1511"/>
      <c r="OHN1511"/>
      <c r="OHO1511"/>
      <c r="OHP1511"/>
      <c r="OHQ1511"/>
      <c r="OHR1511"/>
      <c r="OHS1511"/>
      <c r="OHT1511"/>
      <c r="OHU1511"/>
      <c r="OHV1511"/>
      <c r="OHW1511"/>
      <c r="OHX1511"/>
      <c r="OHY1511"/>
      <c r="OHZ1511"/>
      <c r="OIA1511"/>
      <c r="OIB1511"/>
      <c r="OIC1511"/>
      <c r="OID1511"/>
      <c r="OIE1511"/>
      <c r="OIF1511"/>
      <c r="OIG1511"/>
      <c r="OIH1511"/>
      <c r="OII1511"/>
      <c r="OIJ1511"/>
      <c r="OIK1511"/>
      <c r="OIL1511"/>
      <c r="OIM1511"/>
      <c r="OIN1511"/>
      <c r="OIO1511"/>
      <c r="OIP1511"/>
      <c r="OIQ1511"/>
      <c r="OIR1511"/>
      <c r="OIS1511"/>
      <c r="OIT1511"/>
      <c r="OIU1511"/>
      <c r="OIV1511"/>
      <c r="OIW1511"/>
      <c r="OIX1511"/>
      <c r="OIY1511"/>
      <c r="OIZ1511"/>
      <c r="OJA1511"/>
      <c r="OJB1511"/>
      <c r="OJC1511"/>
      <c r="OJD1511"/>
      <c r="OJE1511"/>
      <c r="OJF1511"/>
      <c r="OJG1511"/>
      <c r="OJH1511"/>
      <c r="OJI1511"/>
      <c r="OJJ1511"/>
      <c r="OJK1511"/>
      <c r="OJL1511"/>
      <c r="OJM1511"/>
      <c r="OJN1511"/>
      <c r="OJO1511"/>
      <c r="OJP1511"/>
      <c r="OJQ1511"/>
      <c r="OJR1511"/>
      <c r="OJS1511"/>
      <c r="OJT1511"/>
      <c r="OJU1511"/>
      <c r="OJV1511"/>
      <c r="OJW1511"/>
      <c r="OJX1511"/>
      <c r="OJY1511"/>
      <c r="OJZ1511"/>
      <c r="OKA1511"/>
      <c r="OKB1511"/>
      <c r="OKC1511"/>
      <c r="OKD1511"/>
      <c r="OKE1511"/>
      <c r="OKF1511"/>
      <c r="OKG1511"/>
      <c r="OKH1511"/>
      <c r="OKI1511"/>
      <c r="OKJ1511"/>
      <c r="OKK1511"/>
      <c r="OKL1511"/>
      <c r="OKM1511"/>
      <c r="OKN1511"/>
      <c r="OKO1511"/>
      <c r="OKP1511"/>
      <c r="OKQ1511"/>
      <c r="OKR1511"/>
      <c r="OKS1511"/>
      <c r="OKT1511"/>
      <c r="OKU1511"/>
      <c r="OKV1511"/>
      <c r="OKW1511"/>
      <c r="OKX1511"/>
      <c r="OKY1511"/>
      <c r="OKZ1511"/>
      <c r="OLA1511"/>
      <c r="OLB1511"/>
      <c r="OLC1511"/>
      <c r="OLD1511"/>
      <c r="OLE1511"/>
      <c r="OLF1511"/>
      <c r="OLG1511"/>
      <c r="OLH1511"/>
      <c r="OLI1511"/>
      <c r="OLJ1511"/>
      <c r="OLK1511"/>
      <c r="OLL1511"/>
      <c r="OLM1511"/>
      <c r="OLN1511"/>
      <c r="OLO1511"/>
      <c r="OLP1511"/>
      <c r="OLQ1511"/>
      <c r="OLR1511"/>
      <c r="OLS1511"/>
      <c r="OLT1511"/>
      <c r="OLU1511"/>
      <c r="OLV1511"/>
      <c r="OLW1511"/>
      <c r="OLX1511"/>
      <c r="OLY1511"/>
      <c r="OLZ1511"/>
      <c r="OMA1511"/>
      <c r="OMB1511"/>
      <c r="OMC1511"/>
      <c r="OMD1511"/>
      <c r="OME1511"/>
      <c r="OMF1511"/>
      <c r="OMG1511"/>
      <c r="OMH1511"/>
      <c r="OMI1511"/>
      <c r="OMJ1511"/>
      <c r="OMK1511"/>
      <c r="OML1511"/>
      <c r="OMM1511"/>
      <c r="OMN1511"/>
      <c r="OMO1511"/>
      <c r="OMP1511"/>
      <c r="OMQ1511"/>
      <c r="OMR1511"/>
      <c r="OMS1511"/>
      <c r="OMT1511"/>
      <c r="OMU1511"/>
      <c r="OMV1511"/>
      <c r="OMW1511"/>
      <c r="OMX1511"/>
      <c r="OMY1511"/>
      <c r="OMZ1511"/>
      <c r="ONA1511"/>
      <c r="ONB1511"/>
      <c r="ONC1511"/>
      <c r="OND1511"/>
      <c r="ONE1511"/>
      <c r="ONF1511"/>
      <c r="ONG1511"/>
      <c r="ONH1511"/>
      <c r="ONI1511"/>
      <c r="ONJ1511"/>
      <c r="ONK1511"/>
      <c r="ONL1511"/>
      <c r="ONM1511"/>
      <c r="ONN1511"/>
      <c r="ONO1511"/>
      <c r="ONP1511"/>
      <c r="ONQ1511"/>
      <c r="ONR1511"/>
      <c r="ONS1511"/>
      <c r="ONT1511"/>
      <c r="ONU1511"/>
      <c r="ONV1511"/>
      <c r="ONW1511"/>
      <c r="ONX1511"/>
      <c r="ONY1511"/>
      <c r="ONZ1511"/>
      <c r="OOA1511"/>
      <c r="OOB1511"/>
      <c r="OOC1511"/>
      <c r="OOD1511"/>
      <c r="OOE1511"/>
      <c r="OOF1511"/>
      <c r="OOG1511"/>
      <c r="OOH1511"/>
      <c r="OOI1511"/>
      <c r="OOJ1511"/>
      <c r="OOK1511"/>
      <c r="OOL1511"/>
      <c r="OOM1511"/>
      <c r="OON1511"/>
      <c r="OOO1511"/>
      <c r="OOP1511"/>
      <c r="OOQ1511"/>
      <c r="OOR1511"/>
      <c r="OOS1511"/>
      <c r="OOT1511"/>
      <c r="OOU1511"/>
      <c r="OOV1511"/>
      <c r="OOW1511"/>
      <c r="OOX1511"/>
      <c r="OOY1511"/>
      <c r="OOZ1511"/>
      <c r="OPA1511"/>
      <c r="OPB1511"/>
      <c r="OPC1511"/>
      <c r="OPD1511"/>
      <c r="OPE1511"/>
      <c r="OPF1511"/>
      <c r="OPG1511"/>
      <c r="OPH1511"/>
      <c r="OPI1511"/>
      <c r="OPJ1511"/>
      <c r="OPK1511"/>
      <c r="OPL1511"/>
      <c r="OPM1511"/>
      <c r="OPN1511"/>
      <c r="OPO1511"/>
      <c r="OPP1511"/>
      <c r="OPQ1511"/>
      <c r="OPR1511"/>
      <c r="OPS1511"/>
      <c r="OPT1511"/>
      <c r="OPU1511"/>
      <c r="OPV1511"/>
      <c r="OPW1511"/>
      <c r="OPX1511"/>
      <c r="OPY1511"/>
      <c r="OPZ1511"/>
      <c r="OQA1511"/>
      <c r="OQB1511"/>
      <c r="OQC1511"/>
      <c r="OQD1511"/>
      <c r="OQE1511"/>
      <c r="OQF1511"/>
      <c r="OQG1511"/>
      <c r="OQH1511"/>
      <c r="OQI1511"/>
      <c r="OQJ1511"/>
      <c r="OQK1511"/>
      <c r="OQL1511"/>
      <c r="OQM1511"/>
      <c r="OQN1511"/>
      <c r="OQO1511"/>
      <c r="OQP1511"/>
      <c r="OQQ1511"/>
      <c r="OQR1511"/>
      <c r="OQS1511"/>
      <c r="OQT1511"/>
      <c r="OQU1511"/>
      <c r="OQV1511"/>
      <c r="OQW1511"/>
      <c r="OQX1511"/>
      <c r="OQY1511"/>
      <c r="OQZ1511"/>
      <c r="ORA1511"/>
      <c r="ORB1511"/>
      <c r="ORC1511"/>
      <c r="ORD1511"/>
      <c r="ORE1511"/>
      <c r="ORF1511"/>
      <c r="ORG1511"/>
      <c r="ORH1511"/>
      <c r="ORI1511"/>
      <c r="ORJ1511"/>
      <c r="ORK1511"/>
      <c r="ORL1511"/>
      <c r="ORM1511"/>
      <c r="ORN1511"/>
      <c r="ORO1511"/>
      <c r="ORP1511"/>
      <c r="ORQ1511"/>
      <c r="ORR1511"/>
      <c r="ORS1511"/>
      <c r="ORT1511"/>
      <c r="ORU1511"/>
      <c r="ORV1511"/>
      <c r="ORW1511"/>
      <c r="ORX1511"/>
      <c r="ORY1511"/>
      <c r="ORZ1511"/>
      <c r="OSA1511"/>
      <c r="OSB1511"/>
      <c r="OSC1511"/>
      <c r="OSD1511"/>
      <c r="OSE1511"/>
      <c r="OSF1511"/>
      <c r="OSG1511"/>
      <c r="OSH1511"/>
      <c r="OSI1511"/>
      <c r="OSJ1511"/>
      <c r="OSK1511"/>
      <c r="OSL1511"/>
      <c r="OSM1511"/>
      <c r="OSN1511"/>
      <c r="OSO1511"/>
      <c r="OSP1511"/>
      <c r="OSQ1511"/>
      <c r="OSR1511"/>
      <c r="OSS1511"/>
      <c r="OST1511"/>
      <c r="OSU1511"/>
      <c r="OSV1511"/>
      <c r="OSW1511"/>
      <c r="OSX1511"/>
      <c r="OSY1511"/>
      <c r="OSZ1511"/>
      <c r="OTA1511"/>
      <c r="OTB1511"/>
      <c r="OTC1511"/>
      <c r="OTD1511"/>
      <c r="OTE1511"/>
      <c r="OTF1511"/>
      <c r="OTG1511"/>
      <c r="OTH1511"/>
      <c r="OTI1511"/>
      <c r="OTJ1511"/>
      <c r="OTK1511"/>
      <c r="OTL1511"/>
      <c r="OTM1511"/>
      <c r="OTN1511"/>
      <c r="OTO1511"/>
      <c r="OTP1511"/>
      <c r="OTQ1511"/>
      <c r="OTR1511"/>
      <c r="OTS1511"/>
      <c r="OTT1511"/>
      <c r="OTU1511"/>
      <c r="OTV1511"/>
      <c r="OTW1511"/>
      <c r="OTX1511"/>
      <c r="OTY1511"/>
      <c r="OTZ1511"/>
      <c r="OUA1511"/>
      <c r="OUB1511"/>
      <c r="OUC1511"/>
      <c r="OUD1511"/>
      <c r="OUE1511"/>
      <c r="OUF1511"/>
      <c r="OUG1511"/>
      <c r="OUH1511"/>
      <c r="OUI1511"/>
      <c r="OUJ1511"/>
      <c r="OUK1511"/>
      <c r="OUL1511"/>
      <c r="OUM1511"/>
      <c r="OUN1511"/>
      <c r="OUO1511"/>
      <c r="OUP1511"/>
      <c r="OUQ1511"/>
      <c r="OUR1511"/>
      <c r="OUS1511"/>
      <c r="OUT1511"/>
      <c r="OUU1511"/>
      <c r="OUV1511"/>
      <c r="OUW1511"/>
      <c r="OUX1511"/>
      <c r="OUY1511"/>
      <c r="OUZ1511"/>
      <c r="OVA1511"/>
      <c r="OVB1511"/>
      <c r="OVC1511"/>
      <c r="OVD1511"/>
      <c r="OVE1511"/>
      <c r="OVF1511"/>
      <c r="OVG1511"/>
      <c r="OVH1511"/>
      <c r="OVI1511"/>
      <c r="OVJ1511"/>
      <c r="OVK1511"/>
      <c r="OVL1511"/>
      <c r="OVM1511"/>
      <c r="OVN1511"/>
      <c r="OVO1511"/>
      <c r="OVP1511"/>
      <c r="OVQ1511"/>
      <c r="OVR1511"/>
      <c r="OVS1511"/>
      <c r="OVT1511"/>
      <c r="OVU1511"/>
      <c r="OVV1511"/>
      <c r="OVW1511"/>
      <c r="OVX1511"/>
      <c r="OVY1511"/>
      <c r="OVZ1511"/>
      <c r="OWA1511"/>
      <c r="OWB1511"/>
      <c r="OWC1511"/>
      <c r="OWD1511"/>
      <c r="OWE1511"/>
      <c r="OWF1511"/>
      <c r="OWG1511"/>
      <c r="OWH1511"/>
      <c r="OWI1511"/>
      <c r="OWJ1511"/>
      <c r="OWK1511"/>
      <c r="OWL1511"/>
      <c r="OWM1511"/>
      <c r="OWN1511"/>
      <c r="OWO1511"/>
      <c r="OWP1511"/>
      <c r="OWQ1511"/>
      <c r="OWR1511"/>
      <c r="OWS1511"/>
      <c r="OWT1511"/>
      <c r="OWU1511"/>
      <c r="OWV1511"/>
      <c r="OWW1511"/>
      <c r="OWX1511"/>
      <c r="OWY1511"/>
      <c r="OWZ1511"/>
      <c r="OXA1511"/>
      <c r="OXB1511"/>
      <c r="OXC1511"/>
      <c r="OXD1511"/>
      <c r="OXE1511"/>
      <c r="OXF1511"/>
      <c r="OXG1511"/>
      <c r="OXH1511"/>
      <c r="OXI1511"/>
      <c r="OXJ1511"/>
      <c r="OXK1511"/>
      <c r="OXL1511"/>
      <c r="OXM1511"/>
      <c r="OXN1511"/>
      <c r="OXO1511"/>
      <c r="OXP1511"/>
      <c r="OXQ1511"/>
      <c r="OXR1511"/>
      <c r="OXS1511"/>
      <c r="OXT1511"/>
      <c r="OXU1511"/>
      <c r="OXV1511"/>
      <c r="OXW1511"/>
      <c r="OXX1511"/>
      <c r="OXY1511"/>
      <c r="OXZ1511"/>
      <c r="OYA1511"/>
      <c r="OYB1511"/>
      <c r="OYC1511"/>
      <c r="OYD1511"/>
      <c r="OYE1511"/>
      <c r="OYF1511"/>
      <c r="OYG1511"/>
      <c r="OYH1511"/>
      <c r="OYI1511"/>
      <c r="OYJ1511"/>
      <c r="OYK1511"/>
      <c r="OYL1511"/>
      <c r="OYM1511"/>
      <c r="OYN1511"/>
      <c r="OYO1511"/>
      <c r="OYP1511"/>
      <c r="OYQ1511"/>
      <c r="OYR1511"/>
      <c r="OYS1511"/>
      <c r="OYT1511"/>
      <c r="OYU1511"/>
      <c r="OYV1511"/>
      <c r="OYW1511"/>
      <c r="OYX1511"/>
      <c r="OYY1511"/>
      <c r="OYZ1511"/>
      <c r="OZA1511"/>
      <c r="OZB1511"/>
      <c r="OZC1511"/>
      <c r="OZD1511"/>
      <c r="OZE1511"/>
      <c r="OZF1511"/>
      <c r="OZG1511"/>
      <c r="OZH1511"/>
      <c r="OZI1511"/>
      <c r="OZJ1511"/>
      <c r="OZK1511"/>
      <c r="OZL1511"/>
      <c r="OZM1511"/>
      <c r="OZN1511"/>
      <c r="OZO1511"/>
      <c r="OZP1511"/>
      <c r="OZQ1511"/>
      <c r="OZR1511"/>
      <c r="OZS1511"/>
      <c r="OZT1511"/>
      <c r="OZU1511"/>
      <c r="OZV1511"/>
      <c r="OZW1511"/>
      <c r="OZX1511"/>
      <c r="OZY1511"/>
      <c r="OZZ1511"/>
      <c r="PAA1511"/>
      <c r="PAB1511"/>
      <c r="PAC1511"/>
      <c r="PAD1511"/>
      <c r="PAE1511"/>
      <c r="PAF1511"/>
      <c r="PAG1511"/>
      <c r="PAH1511"/>
      <c r="PAI1511"/>
      <c r="PAJ1511"/>
      <c r="PAK1511"/>
      <c r="PAL1511"/>
      <c r="PAM1511"/>
      <c r="PAN1511"/>
      <c r="PAO1511"/>
      <c r="PAP1511"/>
      <c r="PAQ1511"/>
      <c r="PAR1511"/>
      <c r="PAS1511"/>
      <c r="PAT1511"/>
      <c r="PAU1511"/>
      <c r="PAV1511"/>
      <c r="PAW1511"/>
      <c r="PAX1511"/>
      <c r="PAY1511"/>
      <c r="PAZ1511"/>
      <c r="PBA1511"/>
      <c r="PBB1511"/>
      <c r="PBC1511"/>
      <c r="PBD1511"/>
      <c r="PBE1511"/>
      <c r="PBF1511"/>
      <c r="PBG1511"/>
      <c r="PBH1511"/>
      <c r="PBI1511"/>
      <c r="PBJ1511"/>
      <c r="PBK1511"/>
      <c r="PBL1511"/>
      <c r="PBM1511"/>
      <c r="PBN1511"/>
      <c r="PBO1511"/>
      <c r="PBP1511"/>
      <c r="PBQ1511"/>
      <c r="PBR1511"/>
      <c r="PBS1511"/>
      <c r="PBT1511"/>
      <c r="PBU1511"/>
      <c r="PBV1511"/>
      <c r="PBW1511"/>
      <c r="PBX1511"/>
      <c r="PBY1511"/>
      <c r="PBZ1511"/>
      <c r="PCA1511"/>
      <c r="PCB1511"/>
      <c r="PCC1511"/>
      <c r="PCD1511"/>
      <c r="PCE1511"/>
      <c r="PCF1511"/>
      <c r="PCG1511"/>
      <c r="PCH1511"/>
      <c r="PCI1511"/>
      <c r="PCJ1511"/>
      <c r="PCK1511"/>
      <c r="PCL1511"/>
      <c r="PCM1511"/>
      <c r="PCN1511"/>
      <c r="PCO1511"/>
      <c r="PCP1511"/>
      <c r="PCQ1511"/>
      <c r="PCR1511"/>
      <c r="PCS1511"/>
      <c r="PCT1511"/>
      <c r="PCU1511"/>
      <c r="PCV1511"/>
      <c r="PCW1511"/>
      <c r="PCX1511"/>
      <c r="PCY1511"/>
      <c r="PCZ1511"/>
      <c r="PDA1511"/>
      <c r="PDB1511"/>
      <c r="PDC1511"/>
      <c r="PDD1511"/>
      <c r="PDE1511"/>
      <c r="PDF1511"/>
      <c r="PDG1511"/>
      <c r="PDH1511"/>
      <c r="PDI1511"/>
      <c r="PDJ1511"/>
      <c r="PDK1511"/>
      <c r="PDL1511"/>
      <c r="PDM1511"/>
      <c r="PDN1511"/>
      <c r="PDO1511"/>
      <c r="PDP1511"/>
      <c r="PDQ1511"/>
      <c r="PDR1511"/>
      <c r="PDS1511"/>
      <c r="PDT1511"/>
      <c r="PDU1511"/>
      <c r="PDV1511"/>
      <c r="PDW1511"/>
      <c r="PDX1511"/>
      <c r="PDY1511"/>
      <c r="PDZ1511"/>
      <c r="PEA1511"/>
      <c r="PEB1511"/>
      <c r="PEC1511"/>
      <c r="PED1511"/>
      <c r="PEE1511"/>
      <c r="PEF1511"/>
      <c r="PEG1511"/>
      <c r="PEH1511"/>
      <c r="PEI1511"/>
      <c r="PEJ1511"/>
      <c r="PEK1511"/>
      <c r="PEL1511"/>
      <c r="PEM1511"/>
      <c r="PEN1511"/>
      <c r="PEO1511"/>
      <c r="PEP1511"/>
      <c r="PEQ1511"/>
      <c r="PER1511"/>
      <c r="PES1511"/>
      <c r="PET1511"/>
      <c r="PEU1511"/>
      <c r="PEV1511"/>
      <c r="PEW1511"/>
      <c r="PEX1511"/>
      <c r="PEY1511"/>
      <c r="PEZ1511"/>
      <c r="PFA1511"/>
      <c r="PFB1511"/>
      <c r="PFC1511"/>
      <c r="PFD1511"/>
      <c r="PFE1511"/>
      <c r="PFF1511"/>
      <c r="PFG1511"/>
      <c r="PFH1511"/>
      <c r="PFI1511"/>
      <c r="PFJ1511"/>
      <c r="PFK1511"/>
      <c r="PFL1511"/>
      <c r="PFM1511"/>
      <c r="PFN1511"/>
      <c r="PFO1511"/>
      <c r="PFP1511"/>
      <c r="PFQ1511"/>
      <c r="PFR1511"/>
      <c r="PFS1511"/>
      <c r="PFT1511"/>
      <c r="PFU1511"/>
      <c r="PFV1511"/>
      <c r="PFW1511"/>
      <c r="PFX1511"/>
      <c r="PFY1511"/>
      <c r="PFZ1511"/>
      <c r="PGA1511"/>
      <c r="PGB1511"/>
      <c r="PGC1511"/>
      <c r="PGD1511"/>
      <c r="PGE1511"/>
      <c r="PGF1511"/>
      <c r="PGG1511"/>
      <c r="PGH1511"/>
      <c r="PGI1511"/>
      <c r="PGJ1511"/>
      <c r="PGK1511"/>
      <c r="PGL1511"/>
      <c r="PGM1511"/>
      <c r="PGN1511"/>
      <c r="PGO1511"/>
      <c r="PGP1511"/>
      <c r="PGQ1511"/>
      <c r="PGR1511"/>
      <c r="PGS1511"/>
      <c r="PGT1511"/>
      <c r="PGU1511"/>
      <c r="PGV1511"/>
      <c r="PGW1511"/>
      <c r="PGX1511"/>
      <c r="PGY1511"/>
      <c r="PGZ1511"/>
      <c r="PHA1511"/>
      <c r="PHB1511"/>
      <c r="PHC1511"/>
      <c r="PHD1511"/>
      <c r="PHE1511"/>
      <c r="PHF1511"/>
      <c r="PHG1511"/>
      <c r="PHH1511"/>
      <c r="PHI1511"/>
      <c r="PHJ1511"/>
      <c r="PHK1511"/>
      <c r="PHL1511"/>
      <c r="PHM1511"/>
      <c r="PHN1511"/>
      <c r="PHO1511"/>
      <c r="PHP1511"/>
      <c r="PHQ1511"/>
      <c r="PHR1511"/>
      <c r="PHS1511"/>
      <c r="PHT1511"/>
      <c r="PHU1511"/>
      <c r="PHV1511"/>
      <c r="PHW1511"/>
      <c r="PHX1511"/>
      <c r="PHY1511"/>
      <c r="PHZ1511"/>
      <c r="PIA1511"/>
      <c r="PIB1511"/>
      <c r="PIC1511"/>
      <c r="PID1511"/>
      <c r="PIE1511"/>
      <c r="PIF1511"/>
      <c r="PIG1511"/>
      <c r="PIH1511"/>
      <c r="PII1511"/>
      <c r="PIJ1511"/>
      <c r="PIK1511"/>
      <c r="PIL1511"/>
      <c r="PIM1511"/>
      <c r="PIN1511"/>
      <c r="PIO1511"/>
      <c r="PIP1511"/>
      <c r="PIQ1511"/>
      <c r="PIR1511"/>
      <c r="PIS1511"/>
      <c r="PIT1511"/>
      <c r="PIU1511"/>
      <c r="PIV1511"/>
      <c r="PIW1511"/>
      <c r="PIX1511"/>
      <c r="PIY1511"/>
      <c r="PIZ1511"/>
      <c r="PJA1511"/>
      <c r="PJB1511"/>
      <c r="PJC1511"/>
      <c r="PJD1511"/>
      <c r="PJE1511"/>
      <c r="PJF1511"/>
      <c r="PJG1511"/>
      <c r="PJH1511"/>
      <c r="PJI1511"/>
      <c r="PJJ1511"/>
      <c r="PJK1511"/>
      <c r="PJL1511"/>
      <c r="PJM1511"/>
      <c r="PJN1511"/>
      <c r="PJO1511"/>
      <c r="PJP1511"/>
      <c r="PJQ1511"/>
      <c r="PJR1511"/>
      <c r="PJS1511"/>
      <c r="PJT1511"/>
      <c r="PJU1511"/>
      <c r="PJV1511"/>
      <c r="PJW1511"/>
      <c r="PJX1511"/>
      <c r="PJY1511"/>
      <c r="PJZ1511"/>
      <c r="PKA1511"/>
      <c r="PKB1511"/>
      <c r="PKC1511"/>
      <c r="PKD1511"/>
      <c r="PKE1511"/>
      <c r="PKF1511"/>
      <c r="PKG1511"/>
      <c r="PKH1511"/>
      <c r="PKI1511"/>
      <c r="PKJ1511"/>
      <c r="PKK1511"/>
      <c r="PKL1511"/>
      <c r="PKM1511"/>
      <c r="PKN1511"/>
      <c r="PKO1511"/>
      <c r="PKP1511"/>
      <c r="PKQ1511"/>
      <c r="PKR1511"/>
      <c r="PKS1511"/>
      <c r="PKT1511"/>
      <c r="PKU1511"/>
      <c r="PKV1511"/>
      <c r="PKW1511"/>
      <c r="PKX1511"/>
      <c r="PKY1511"/>
      <c r="PKZ1511"/>
      <c r="PLA1511"/>
      <c r="PLB1511"/>
      <c r="PLC1511"/>
      <c r="PLD1511"/>
      <c r="PLE1511"/>
      <c r="PLF1511"/>
      <c r="PLG1511"/>
      <c r="PLH1511"/>
      <c r="PLI1511"/>
      <c r="PLJ1511"/>
      <c r="PLK1511"/>
      <c r="PLL1511"/>
      <c r="PLM1511"/>
      <c r="PLN1511"/>
      <c r="PLO1511"/>
      <c r="PLP1511"/>
      <c r="PLQ1511"/>
      <c r="PLR1511"/>
      <c r="PLS1511"/>
      <c r="PLT1511"/>
      <c r="PLU1511"/>
      <c r="PLV1511"/>
      <c r="PLW1511"/>
      <c r="PLX1511"/>
      <c r="PLY1511"/>
      <c r="PLZ1511"/>
      <c r="PMA1511"/>
      <c r="PMB1511"/>
      <c r="PMC1511"/>
      <c r="PMD1511"/>
      <c r="PME1511"/>
      <c r="PMF1511"/>
      <c r="PMG1511"/>
      <c r="PMH1511"/>
      <c r="PMI1511"/>
      <c r="PMJ1511"/>
      <c r="PMK1511"/>
      <c r="PML1511"/>
      <c r="PMM1511"/>
      <c r="PMN1511"/>
      <c r="PMO1511"/>
      <c r="PMP1511"/>
      <c r="PMQ1511"/>
      <c r="PMR1511"/>
      <c r="PMS1511"/>
      <c r="PMT1511"/>
      <c r="PMU1511"/>
      <c r="PMV1511"/>
      <c r="PMW1511"/>
      <c r="PMX1511"/>
      <c r="PMY1511"/>
      <c r="PMZ1511"/>
      <c r="PNA1511"/>
      <c r="PNB1511"/>
      <c r="PNC1511"/>
      <c r="PND1511"/>
      <c r="PNE1511"/>
      <c r="PNF1511"/>
      <c r="PNG1511"/>
      <c r="PNH1511"/>
      <c r="PNI1511"/>
      <c r="PNJ1511"/>
      <c r="PNK1511"/>
      <c r="PNL1511"/>
      <c r="PNM1511"/>
      <c r="PNN1511"/>
      <c r="PNO1511"/>
      <c r="PNP1511"/>
      <c r="PNQ1511"/>
      <c r="PNR1511"/>
      <c r="PNS1511"/>
      <c r="PNT1511"/>
      <c r="PNU1511"/>
      <c r="PNV1511"/>
      <c r="PNW1511"/>
      <c r="PNX1511"/>
      <c r="PNY1511"/>
      <c r="PNZ1511"/>
      <c r="POA1511"/>
      <c r="POB1511"/>
      <c r="POC1511"/>
      <c r="POD1511"/>
      <c r="POE1511"/>
      <c r="POF1511"/>
      <c r="POG1511"/>
      <c r="POH1511"/>
      <c r="POI1511"/>
      <c r="POJ1511"/>
      <c r="POK1511"/>
      <c r="POL1511"/>
      <c r="POM1511"/>
      <c r="PON1511"/>
      <c r="POO1511"/>
      <c r="POP1511"/>
      <c r="POQ1511"/>
      <c r="POR1511"/>
      <c r="POS1511"/>
      <c r="POT1511"/>
      <c r="POU1511"/>
      <c r="POV1511"/>
      <c r="POW1511"/>
      <c r="POX1511"/>
      <c r="POY1511"/>
      <c r="POZ1511"/>
      <c r="PPA1511"/>
      <c r="PPB1511"/>
      <c r="PPC1511"/>
      <c r="PPD1511"/>
      <c r="PPE1511"/>
      <c r="PPF1511"/>
      <c r="PPG1511"/>
      <c r="PPH1511"/>
      <c r="PPI1511"/>
      <c r="PPJ1511"/>
      <c r="PPK1511"/>
      <c r="PPL1511"/>
      <c r="PPM1511"/>
      <c r="PPN1511"/>
      <c r="PPO1511"/>
      <c r="PPP1511"/>
      <c r="PPQ1511"/>
      <c r="PPR1511"/>
      <c r="PPS1511"/>
      <c r="PPT1511"/>
      <c r="PPU1511"/>
      <c r="PPV1511"/>
      <c r="PPW1511"/>
      <c r="PPX1511"/>
      <c r="PPY1511"/>
      <c r="PPZ1511"/>
      <c r="PQA1511"/>
      <c r="PQB1511"/>
      <c r="PQC1511"/>
      <c r="PQD1511"/>
      <c r="PQE1511"/>
      <c r="PQF1511"/>
      <c r="PQG1511"/>
      <c r="PQH1511"/>
      <c r="PQI1511"/>
      <c r="PQJ1511"/>
      <c r="PQK1511"/>
      <c r="PQL1511"/>
      <c r="PQM1511"/>
      <c r="PQN1511"/>
      <c r="PQO1511"/>
      <c r="PQP1511"/>
      <c r="PQQ1511"/>
      <c r="PQR1511"/>
      <c r="PQS1511"/>
      <c r="PQT1511"/>
      <c r="PQU1511"/>
      <c r="PQV1511"/>
      <c r="PQW1511"/>
      <c r="PQX1511"/>
      <c r="PQY1511"/>
      <c r="PQZ1511"/>
      <c r="PRA1511"/>
      <c r="PRB1511"/>
      <c r="PRC1511"/>
      <c r="PRD1511"/>
      <c r="PRE1511"/>
      <c r="PRF1511"/>
      <c r="PRG1511"/>
      <c r="PRH1511"/>
      <c r="PRI1511"/>
      <c r="PRJ1511"/>
      <c r="PRK1511"/>
      <c r="PRL1511"/>
      <c r="PRM1511"/>
      <c r="PRN1511"/>
      <c r="PRO1511"/>
      <c r="PRP1511"/>
      <c r="PRQ1511"/>
      <c r="PRR1511"/>
      <c r="PRS1511"/>
      <c r="PRT1511"/>
      <c r="PRU1511"/>
      <c r="PRV1511"/>
      <c r="PRW1511"/>
      <c r="PRX1511"/>
      <c r="PRY1511"/>
      <c r="PRZ1511"/>
      <c r="PSA1511"/>
      <c r="PSB1511"/>
      <c r="PSC1511"/>
      <c r="PSD1511"/>
      <c r="PSE1511"/>
      <c r="PSF1511"/>
      <c r="PSG1511"/>
      <c r="PSH1511"/>
      <c r="PSI1511"/>
      <c r="PSJ1511"/>
      <c r="PSK1511"/>
      <c r="PSL1511"/>
      <c r="PSM1511"/>
      <c r="PSN1511"/>
      <c r="PSO1511"/>
      <c r="PSP1511"/>
      <c r="PSQ1511"/>
      <c r="PSR1511"/>
      <c r="PSS1511"/>
      <c r="PST1511"/>
      <c r="PSU1511"/>
      <c r="PSV1511"/>
      <c r="PSW1511"/>
      <c r="PSX1511"/>
      <c r="PSY1511"/>
      <c r="PSZ1511"/>
      <c r="PTA1511"/>
      <c r="PTB1511"/>
      <c r="PTC1511"/>
      <c r="PTD1511"/>
      <c r="PTE1511"/>
      <c r="PTF1511"/>
      <c r="PTG1511"/>
      <c r="PTH1511"/>
      <c r="PTI1511"/>
      <c r="PTJ1511"/>
      <c r="PTK1511"/>
      <c r="PTL1511"/>
      <c r="PTM1511"/>
      <c r="PTN1511"/>
      <c r="PTO1511"/>
      <c r="PTP1511"/>
      <c r="PTQ1511"/>
      <c r="PTR1511"/>
      <c r="PTS1511"/>
      <c r="PTT1511"/>
      <c r="PTU1511"/>
      <c r="PTV1511"/>
      <c r="PTW1511"/>
      <c r="PTX1511"/>
      <c r="PTY1511"/>
      <c r="PTZ1511"/>
      <c r="PUA1511"/>
      <c r="PUB1511"/>
      <c r="PUC1511"/>
      <c r="PUD1511"/>
      <c r="PUE1511"/>
      <c r="PUF1511"/>
      <c r="PUG1511"/>
      <c r="PUH1511"/>
      <c r="PUI1511"/>
      <c r="PUJ1511"/>
      <c r="PUK1511"/>
      <c r="PUL1511"/>
      <c r="PUM1511"/>
      <c r="PUN1511"/>
      <c r="PUO1511"/>
      <c r="PUP1511"/>
      <c r="PUQ1511"/>
      <c r="PUR1511"/>
      <c r="PUS1511"/>
      <c r="PUT1511"/>
      <c r="PUU1511"/>
      <c r="PUV1511"/>
      <c r="PUW1511"/>
      <c r="PUX1511"/>
      <c r="PUY1511"/>
      <c r="PUZ1511"/>
      <c r="PVA1511"/>
      <c r="PVB1511"/>
      <c r="PVC1511"/>
      <c r="PVD1511"/>
      <c r="PVE1511"/>
      <c r="PVF1511"/>
      <c r="PVG1511"/>
      <c r="PVH1511"/>
      <c r="PVI1511"/>
      <c r="PVJ1511"/>
      <c r="PVK1511"/>
      <c r="PVL1511"/>
      <c r="PVM1511"/>
      <c r="PVN1511"/>
      <c r="PVO1511"/>
      <c r="PVP1511"/>
      <c r="PVQ1511"/>
      <c r="PVR1511"/>
      <c r="PVS1511"/>
      <c r="PVT1511"/>
      <c r="PVU1511"/>
      <c r="PVV1511"/>
      <c r="PVW1511"/>
      <c r="PVX1511"/>
      <c r="PVY1511"/>
      <c r="PVZ1511"/>
      <c r="PWA1511"/>
      <c r="PWB1511"/>
      <c r="PWC1511"/>
      <c r="PWD1511"/>
      <c r="PWE1511"/>
      <c r="PWF1511"/>
      <c r="PWG1511"/>
      <c r="PWH1511"/>
      <c r="PWI1511"/>
      <c r="PWJ1511"/>
      <c r="PWK1511"/>
      <c r="PWL1511"/>
      <c r="PWM1511"/>
      <c r="PWN1511"/>
      <c r="PWO1511"/>
      <c r="PWP1511"/>
      <c r="PWQ1511"/>
      <c r="PWR1511"/>
      <c r="PWS1511"/>
      <c r="PWT1511"/>
      <c r="PWU1511"/>
      <c r="PWV1511"/>
      <c r="PWW1511"/>
      <c r="PWX1511"/>
      <c r="PWY1511"/>
      <c r="PWZ1511"/>
      <c r="PXA1511"/>
      <c r="PXB1511"/>
      <c r="PXC1511"/>
      <c r="PXD1511"/>
      <c r="PXE1511"/>
      <c r="PXF1511"/>
      <c r="PXG1511"/>
      <c r="PXH1511"/>
      <c r="PXI1511"/>
      <c r="PXJ1511"/>
      <c r="PXK1511"/>
      <c r="PXL1511"/>
      <c r="PXM1511"/>
      <c r="PXN1511"/>
      <c r="PXO1511"/>
      <c r="PXP1511"/>
      <c r="PXQ1511"/>
      <c r="PXR1511"/>
      <c r="PXS1511"/>
      <c r="PXT1511"/>
      <c r="PXU1511"/>
      <c r="PXV1511"/>
      <c r="PXW1511"/>
      <c r="PXX1511"/>
      <c r="PXY1511"/>
      <c r="PXZ1511"/>
      <c r="PYA1511"/>
      <c r="PYB1511"/>
      <c r="PYC1511"/>
      <c r="PYD1511"/>
      <c r="PYE1511"/>
      <c r="PYF1511"/>
      <c r="PYG1511"/>
      <c r="PYH1511"/>
      <c r="PYI1511"/>
      <c r="PYJ1511"/>
      <c r="PYK1511"/>
      <c r="PYL1511"/>
      <c r="PYM1511"/>
      <c r="PYN1511"/>
      <c r="PYO1511"/>
      <c r="PYP1511"/>
      <c r="PYQ1511"/>
      <c r="PYR1511"/>
      <c r="PYS1511"/>
      <c r="PYT1511"/>
      <c r="PYU1511"/>
      <c r="PYV1511"/>
      <c r="PYW1511"/>
      <c r="PYX1511"/>
      <c r="PYY1511"/>
      <c r="PYZ1511"/>
      <c r="PZA1511"/>
      <c r="PZB1511"/>
      <c r="PZC1511"/>
      <c r="PZD1511"/>
      <c r="PZE1511"/>
      <c r="PZF1511"/>
      <c r="PZG1511"/>
      <c r="PZH1511"/>
      <c r="PZI1511"/>
      <c r="PZJ1511"/>
      <c r="PZK1511"/>
      <c r="PZL1511"/>
      <c r="PZM1511"/>
      <c r="PZN1511"/>
      <c r="PZO1511"/>
      <c r="PZP1511"/>
      <c r="PZQ1511"/>
      <c r="PZR1511"/>
      <c r="PZS1511"/>
      <c r="PZT1511"/>
      <c r="PZU1511"/>
      <c r="PZV1511"/>
      <c r="PZW1511"/>
      <c r="PZX1511"/>
      <c r="PZY1511"/>
      <c r="PZZ1511"/>
      <c r="QAA1511"/>
      <c r="QAB1511"/>
      <c r="QAC1511"/>
      <c r="QAD1511"/>
      <c r="QAE1511"/>
      <c r="QAF1511"/>
      <c r="QAG1511"/>
      <c r="QAH1511"/>
      <c r="QAI1511"/>
      <c r="QAJ1511"/>
      <c r="QAK1511"/>
      <c r="QAL1511"/>
      <c r="QAM1511"/>
      <c r="QAN1511"/>
      <c r="QAO1511"/>
      <c r="QAP1511"/>
      <c r="QAQ1511"/>
      <c r="QAR1511"/>
      <c r="QAS1511"/>
      <c r="QAT1511"/>
      <c r="QAU1511"/>
      <c r="QAV1511"/>
      <c r="QAW1511"/>
      <c r="QAX1511"/>
      <c r="QAY1511"/>
      <c r="QAZ1511"/>
      <c r="QBA1511"/>
      <c r="QBB1511"/>
      <c r="QBC1511"/>
      <c r="QBD1511"/>
      <c r="QBE1511"/>
      <c r="QBF1511"/>
      <c r="QBG1511"/>
      <c r="QBH1511"/>
      <c r="QBI1511"/>
      <c r="QBJ1511"/>
      <c r="QBK1511"/>
      <c r="QBL1511"/>
      <c r="QBM1511"/>
      <c r="QBN1511"/>
      <c r="QBO1511"/>
      <c r="QBP1511"/>
      <c r="QBQ1511"/>
      <c r="QBR1511"/>
      <c r="QBS1511"/>
      <c r="QBT1511"/>
      <c r="QBU1511"/>
      <c r="QBV1511"/>
      <c r="QBW1511"/>
      <c r="QBX1511"/>
      <c r="QBY1511"/>
      <c r="QBZ1511"/>
      <c r="QCA1511"/>
      <c r="QCB1511"/>
      <c r="QCC1511"/>
      <c r="QCD1511"/>
      <c r="QCE1511"/>
      <c r="QCF1511"/>
      <c r="QCG1511"/>
      <c r="QCH1511"/>
      <c r="QCI1511"/>
      <c r="QCJ1511"/>
      <c r="QCK1511"/>
      <c r="QCL1511"/>
      <c r="QCM1511"/>
      <c r="QCN1511"/>
      <c r="QCO1511"/>
      <c r="QCP1511"/>
      <c r="QCQ1511"/>
      <c r="QCR1511"/>
      <c r="QCS1511"/>
      <c r="QCT1511"/>
      <c r="QCU1511"/>
      <c r="QCV1511"/>
      <c r="QCW1511"/>
      <c r="QCX1511"/>
      <c r="QCY1511"/>
      <c r="QCZ1511"/>
      <c r="QDA1511"/>
      <c r="QDB1511"/>
      <c r="QDC1511"/>
      <c r="QDD1511"/>
      <c r="QDE1511"/>
      <c r="QDF1511"/>
      <c r="QDG1511"/>
      <c r="QDH1511"/>
      <c r="QDI1511"/>
      <c r="QDJ1511"/>
      <c r="QDK1511"/>
      <c r="QDL1511"/>
      <c r="QDM1511"/>
      <c r="QDN1511"/>
      <c r="QDO1511"/>
      <c r="QDP1511"/>
      <c r="QDQ1511"/>
      <c r="QDR1511"/>
      <c r="QDS1511"/>
      <c r="QDT1511"/>
      <c r="QDU1511"/>
      <c r="QDV1511"/>
      <c r="QDW1511"/>
      <c r="QDX1511"/>
      <c r="QDY1511"/>
      <c r="QDZ1511"/>
      <c r="QEA1511"/>
      <c r="QEB1511"/>
      <c r="QEC1511"/>
      <c r="QED1511"/>
      <c r="QEE1511"/>
      <c r="QEF1511"/>
      <c r="QEG1511"/>
      <c r="QEH1511"/>
      <c r="QEI1511"/>
      <c r="QEJ1511"/>
      <c r="QEK1511"/>
      <c r="QEL1511"/>
      <c r="QEM1511"/>
      <c r="QEN1511"/>
      <c r="QEO1511"/>
      <c r="QEP1511"/>
      <c r="QEQ1511"/>
      <c r="QER1511"/>
      <c r="QES1511"/>
      <c r="QET1511"/>
      <c r="QEU1511"/>
      <c r="QEV1511"/>
      <c r="QEW1511"/>
      <c r="QEX1511"/>
      <c r="QEY1511"/>
      <c r="QEZ1511"/>
      <c r="QFA1511"/>
      <c r="QFB1511"/>
      <c r="QFC1511"/>
      <c r="QFD1511"/>
      <c r="QFE1511"/>
      <c r="QFF1511"/>
      <c r="QFG1511"/>
      <c r="QFH1511"/>
      <c r="QFI1511"/>
      <c r="QFJ1511"/>
      <c r="QFK1511"/>
      <c r="QFL1511"/>
      <c r="QFM1511"/>
      <c r="QFN1511"/>
      <c r="QFO1511"/>
      <c r="QFP1511"/>
      <c r="QFQ1511"/>
      <c r="QFR1511"/>
      <c r="QFS1511"/>
      <c r="QFT1511"/>
      <c r="QFU1511"/>
      <c r="QFV1511"/>
      <c r="QFW1511"/>
      <c r="QFX1511"/>
      <c r="QFY1511"/>
      <c r="QFZ1511"/>
      <c r="QGA1511"/>
      <c r="QGB1511"/>
      <c r="QGC1511"/>
      <c r="QGD1511"/>
      <c r="QGE1511"/>
      <c r="QGF1511"/>
      <c r="QGG1511"/>
      <c r="QGH1511"/>
      <c r="QGI1511"/>
      <c r="QGJ1511"/>
      <c r="QGK1511"/>
      <c r="QGL1511"/>
      <c r="QGM1511"/>
      <c r="QGN1511"/>
      <c r="QGO1511"/>
      <c r="QGP1511"/>
      <c r="QGQ1511"/>
      <c r="QGR1511"/>
      <c r="QGS1511"/>
      <c r="QGT1511"/>
      <c r="QGU1511"/>
      <c r="QGV1511"/>
      <c r="QGW1511"/>
      <c r="QGX1511"/>
      <c r="QGY1511"/>
      <c r="QGZ1511"/>
      <c r="QHA1511"/>
      <c r="QHB1511"/>
      <c r="QHC1511"/>
      <c r="QHD1511"/>
      <c r="QHE1511"/>
      <c r="QHF1511"/>
      <c r="QHG1511"/>
      <c r="QHH1511"/>
      <c r="QHI1511"/>
      <c r="QHJ1511"/>
      <c r="QHK1511"/>
      <c r="QHL1511"/>
      <c r="QHM1511"/>
      <c r="QHN1511"/>
      <c r="QHO1511"/>
      <c r="QHP1511"/>
      <c r="QHQ1511"/>
      <c r="QHR1511"/>
      <c r="QHS1511"/>
      <c r="QHT1511"/>
      <c r="QHU1511"/>
      <c r="QHV1511"/>
      <c r="QHW1511"/>
      <c r="QHX1511"/>
      <c r="QHY1511"/>
      <c r="QHZ1511"/>
      <c r="QIA1511"/>
      <c r="QIB1511"/>
      <c r="QIC1511"/>
      <c r="QID1511"/>
      <c r="QIE1511"/>
      <c r="QIF1511"/>
      <c r="QIG1511"/>
      <c r="QIH1511"/>
      <c r="QII1511"/>
      <c r="QIJ1511"/>
      <c r="QIK1511"/>
      <c r="QIL1511"/>
      <c r="QIM1511"/>
      <c r="QIN1511"/>
      <c r="QIO1511"/>
      <c r="QIP1511"/>
      <c r="QIQ1511"/>
      <c r="QIR1511"/>
      <c r="QIS1511"/>
      <c r="QIT1511"/>
      <c r="QIU1511"/>
      <c r="QIV1511"/>
      <c r="QIW1511"/>
      <c r="QIX1511"/>
      <c r="QIY1511"/>
      <c r="QIZ1511"/>
      <c r="QJA1511"/>
      <c r="QJB1511"/>
      <c r="QJC1511"/>
      <c r="QJD1511"/>
      <c r="QJE1511"/>
      <c r="QJF1511"/>
      <c r="QJG1511"/>
      <c r="QJH1511"/>
      <c r="QJI1511"/>
      <c r="QJJ1511"/>
      <c r="QJK1511"/>
      <c r="QJL1511"/>
      <c r="QJM1511"/>
      <c r="QJN1511"/>
      <c r="QJO1511"/>
      <c r="QJP1511"/>
      <c r="QJQ1511"/>
      <c r="QJR1511"/>
      <c r="QJS1511"/>
      <c r="QJT1511"/>
      <c r="QJU1511"/>
      <c r="QJV1511"/>
      <c r="QJW1511"/>
      <c r="QJX1511"/>
      <c r="QJY1511"/>
      <c r="QJZ1511"/>
      <c r="QKA1511"/>
      <c r="QKB1511"/>
      <c r="QKC1511"/>
      <c r="QKD1511"/>
      <c r="QKE1511"/>
      <c r="QKF1511"/>
      <c r="QKG1511"/>
      <c r="QKH1511"/>
      <c r="QKI1511"/>
      <c r="QKJ1511"/>
      <c r="QKK1511"/>
      <c r="QKL1511"/>
      <c r="QKM1511"/>
      <c r="QKN1511"/>
      <c r="QKO1511"/>
      <c r="QKP1511"/>
      <c r="QKQ1511"/>
      <c r="QKR1511"/>
      <c r="QKS1511"/>
      <c r="QKT1511"/>
      <c r="QKU1511"/>
      <c r="QKV1511"/>
      <c r="QKW1511"/>
      <c r="QKX1511"/>
      <c r="QKY1511"/>
      <c r="QKZ1511"/>
      <c r="QLA1511"/>
      <c r="QLB1511"/>
      <c r="QLC1511"/>
      <c r="QLD1511"/>
      <c r="QLE1511"/>
      <c r="QLF1511"/>
      <c r="QLG1511"/>
      <c r="QLH1511"/>
      <c r="QLI1511"/>
      <c r="QLJ1511"/>
      <c r="QLK1511"/>
      <c r="QLL1511"/>
      <c r="QLM1511"/>
      <c r="QLN1511"/>
      <c r="QLO1511"/>
      <c r="QLP1511"/>
      <c r="QLQ1511"/>
      <c r="QLR1511"/>
      <c r="QLS1511"/>
      <c r="QLT1511"/>
      <c r="QLU1511"/>
      <c r="QLV1511"/>
      <c r="QLW1511"/>
      <c r="QLX1511"/>
      <c r="QLY1511"/>
      <c r="QLZ1511"/>
      <c r="QMA1511"/>
      <c r="QMB1511"/>
      <c r="QMC1511"/>
      <c r="QMD1511"/>
      <c r="QME1511"/>
      <c r="QMF1511"/>
      <c r="QMG1511"/>
      <c r="QMH1511"/>
      <c r="QMI1511"/>
      <c r="QMJ1511"/>
      <c r="QMK1511"/>
      <c r="QML1511"/>
      <c r="QMM1511"/>
      <c r="QMN1511"/>
      <c r="QMO1511"/>
      <c r="QMP1511"/>
      <c r="QMQ1511"/>
      <c r="QMR1511"/>
      <c r="QMS1511"/>
      <c r="QMT1511"/>
      <c r="QMU1511"/>
      <c r="QMV1511"/>
      <c r="QMW1511"/>
      <c r="QMX1511"/>
      <c r="QMY1511"/>
      <c r="QMZ1511"/>
      <c r="QNA1511"/>
      <c r="QNB1511"/>
      <c r="QNC1511"/>
      <c r="QND1511"/>
      <c r="QNE1511"/>
      <c r="QNF1511"/>
      <c r="QNG1511"/>
      <c r="QNH1511"/>
      <c r="QNI1511"/>
      <c r="QNJ1511"/>
      <c r="QNK1511"/>
      <c r="QNL1511"/>
      <c r="QNM1511"/>
      <c r="QNN1511"/>
      <c r="QNO1511"/>
      <c r="QNP1511"/>
      <c r="QNQ1511"/>
      <c r="QNR1511"/>
      <c r="QNS1511"/>
      <c r="QNT1511"/>
      <c r="QNU1511"/>
      <c r="QNV1511"/>
      <c r="QNW1511"/>
      <c r="QNX1511"/>
      <c r="QNY1511"/>
      <c r="QNZ1511"/>
      <c r="QOA1511"/>
      <c r="QOB1511"/>
      <c r="QOC1511"/>
      <c r="QOD1511"/>
      <c r="QOE1511"/>
      <c r="QOF1511"/>
      <c r="QOG1511"/>
      <c r="QOH1511"/>
      <c r="QOI1511"/>
      <c r="QOJ1511"/>
      <c r="QOK1511"/>
      <c r="QOL1511"/>
      <c r="QOM1511"/>
      <c r="QON1511"/>
      <c r="QOO1511"/>
      <c r="QOP1511"/>
      <c r="QOQ1511"/>
      <c r="QOR1511"/>
      <c r="QOS1511"/>
      <c r="QOT1511"/>
      <c r="QOU1511"/>
      <c r="QOV1511"/>
      <c r="QOW1511"/>
      <c r="QOX1511"/>
      <c r="QOY1511"/>
      <c r="QOZ1511"/>
      <c r="QPA1511"/>
      <c r="QPB1511"/>
      <c r="QPC1511"/>
      <c r="QPD1511"/>
      <c r="QPE1511"/>
      <c r="QPF1511"/>
      <c r="QPG1511"/>
      <c r="QPH1511"/>
      <c r="QPI1511"/>
      <c r="QPJ1511"/>
      <c r="QPK1511"/>
      <c r="QPL1511"/>
      <c r="QPM1511"/>
      <c r="QPN1511"/>
      <c r="QPO1511"/>
      <c r="QPP1511"/>
      <c r="QPQ1511"/>
      <c r="QPR1511"/>
      <c r="QPS1511"/>
      <c r="QPT1511"/>
      <c r="QPU1511"/>
      <c r="QPV1511"/>
      <c r="QPW1511"/>
      <c r="QPX1511"/>
      <c r="QPY1511"/>
      <c r="QPZ1511"/>
      <c r="QQA1511"/>
      <c r="QQB1511"/>
      <c r="QQC1511"/>
      <c r="QQD1511"/>
      <c r="QQE1511"/>
      <c r="QQF1511"/>
      <c r="QQG1511"/>
      <c r="QQH1511"/>
      <c r="QQI1511"/>
      <c r="QQJ1511"/>
      <c r="QQK1511"/>
      <c r="QQL1511"/>
      <c r="QQM1511"/>
      <c r="QQN1511"/>
      <c r="QQO1511"/>
      <c r="QQP1511"/>
      <c r="QQQ1511"/>
      <c r="QQR1511"/>
      <c r="QQS1511"/>
      <c r="QQT1511"/>
      <c r="QQU1511"/>
      <c r="QQV1511"/>
      <c r="QQW1511"/>
      <c r="QQX1511"/>
      <c r="QQY1511"/>
      <c r="QQZ1511"/>
      <c r="QRA1511"/>
      <c r="QRB1511"/>
      <c r="QRC1511"/>
      <c r="QRD1511"/>
      <c r="QRE1511"/>
      <c r="QRF1511"/>
      <c r="QRG1511"/>
      <c r="QRH1511"/>
      <c r="QRI1511"/>
      <c r="QRJ1511"/>
      <c r="QRK1511"/>
      <c r="QRL1511"/>
      <c r="QRM1511"/>
      <c r="QRN1511"/>
      <c r="QRO1511"/>
      <c r="QRP1511"/>
      <c r="QRQ1511"/>
      <c r="QRR1511"/>
      <c r="QRS1511"/>
      <c r="QRT1511"/>
      <c r="QRU1511"/>
      <c r="QRV1511"/>
      <c r="QRW1511"/>
      <c r="QRX1511"/>
      <c r="QRY1511"/>
      <c r="QRZ1511"/>
      <c r="QSA1511"/>
      <c r="QSB1511"/>
      <c r="QSC1511"/>
      <c r="QSD1511"/>
      <c r="QSE1511"/>
      <c r="QSF1511"/>
      <c r="QSG1511"/>
      <c r="QSH1511"/>
      <c r="QSI1511"/>
      <c r="QSJ1511"/>
      <c r="QSK1511"/>
      <c r="QSL1511"/>
      <c r="QSM1511"/>
      <c r="QSN1511"/>
      <c r="QSO1511"/>
      <c r="QSP1511"/>
      <c r="QSQ1511"/>
      <c r="QSR1511"/>
      <c r="QSS1511"/>
      <c r="QST1511"/>
      <c r="QSU1511"/>
      <c r="QSV1511"/>
      <c r="QSW1511"/>
      <c r="QSX1511"/>
      <c r="QSY1511"/>
      <c r="QSZ1511"/>
      <c r="QTA1511"/>
      <c r="QTB1511"/>
      <c r="QTC1511"/>
      <c r="QTD1511"/>
      <c r="QTE1511"/>
      <c r="QTF1511"/>
      <c r="QTG1511"/>
      <c r="QTH1511"/>
      <c r="QTI1511"/>
      <c r="QTJ1511"/>
      <c r="QTK1511"/>
      <c r="QTL1511"/>
      <c r="QTM1511"/>
      <c r="QTN1511"/>
      <c r="QTO1511"/>
      <c r="QTP1511"/>
      <c r="QTQ1511"/>
      <c r="QTR1511"/>
      <c r="QTS1511"/>
      <c r="QTT1511"/>
      <c r="QTU1511"/>
      <c r="QTV1511"/>
      <c r="QTW1511"/>
      <c r="QTX1511"/>
      <c r="QTY1511"/>
      <c r="QTZ1511"/>
      <c r="QUA1511"/>
      <c r="QUB1511"/>
      <c r="QUC1511"/>
      <c r="QUD1511"/>
      <c r="QUE1511"/>
      <c r="QUF1511"/>
      <c r="QUG1511"/>
      <c r="QUH1511"/>
      <c r="QUI1511"/>
      <c r="QUJ1511"/>
      <c r="QUK1511"/>
      <c r="QUL1511"/>
      <c r="QUM1511"/>
      <c r="QUN1511"/>
      <c r="QUO1511"/>
      <c r="QUP1511"/>
      <c r="QUQ1511"/>
      <c r="QUR1511"/>
      <c r="QUS1511"/>
      <c r="QUT1511"/>
      <c r="QUU1511"/>
      <c r="QUV1511"/>
      <c r="QUW1511"/>
      <c r="QUX1511"/>
      <c r="QUY1511"/>
      <c r="QUZ1511"/>
      <c r="QVA1511"/>
      <c r="QVB1511"/>
      <c r="QVC1511"/>
      <c r="QVD1511"/>
      <c r="QVE1511"/>
      <c r="QVF1511"/>
      <c r="QVG1511"/>
      <c r="QVH1511"/>
      <c r="QVI1511"/>
      <c r="QVJ1511"/>
      <c r="QVK1511"/>
      <c r="QVL1511"/>
      <c r="QVM1511"/>
      <c r="QVN1511"/>
      <c r="QVO1511"/>
      <c r="QVP1511"/>
      <c r="QVQ1511"/>
      <c r="QVR1511"/>
      <c r="QVS1511"/>
      <c r="QVT1511"/>
      <c r="QVU1511"/>
      <c r="QVV1511"/>
      <c r="QVW1511"/>
      <c r="QVX1511"/>
      <c r="QVY1511"/>
      <c r="QVZ1511"/>
      <c r="QWA1511"/>
      <c r="QWB1511"/>
      <c r="QWC1511"/>
      <c r="QWD1511"/>
      <c r="QWE1511"/>
      <c r="QWF1511"/>
      <c r="QWG1511"/>
      <c r="QWH1511"/>
      <c r="QWI1511"/>
      <c r="QWJ1511"/>
      <c r="QWK1511"/>
      <c r="QWL1511"/>
      <c r="QWM1511"/>
      <c r="QWN1511"/>
      <c r="QWO1511"/>
      <c r="QWP1511"/>
      <c r="QWQ1511"/>
      <c r="QWR1511"/>
      <c r="QWS1511"/>
      <c r="QWT1511"/>
      <c r="QWU1511"/>
      <c r="QWV1511"/>
      <c r="QWW1511"/>
      <c r="QWX1511"/>
      <c r="QWY1511"/>
      <c r="QWZ1511"/>
      <c r="QXA1511"/>
      <c r="QXB1511"/>
      <c r="QXC1511"/>
      <c r="QXD1511"/>
      <c r="QXE1511"/>
      <c r="QXF1511"/>
      <c r="QXG1511"/>
      <c r="QXH1511"/>
      <c r="QXI1511"/>
      <c r="QXJ1511"/>
      <c r="QXK1511"/>
      <c r="QXL1511"/>
      <c r="QXM1511"/>
      <c r="QXN1511"/>
      <c r="QXO1511"/>
      <c r="QXP1511"/>
      <c r="QXQ1511"/>
      <c r="QXR1511"/>
      <c r="QXS1511"/>
      <c r="QXT1511"/>
      <c r="QXU1511"/>
      <c r="QXV1511"/>
      <c r="QXW1511"/>
      <c r="QXX1511"/>
      <c r="QXY1511"/>
      <c r="QXZ1511"/>
      <c r="QYA1511"/>
      <c r="QYB1511"/>
      <c r="QYC1511"/>
      <c r="QYD1511"/>
      <c r="QYE1511"/>
      <c r="QYF1511"/>
      <c r="QYG1511"/>
      <c r="QYH1511"/>
      <c r="QYI1511"/>
      <c r="QYJ1511"/>
      <c r="QYK1511"/>
      <c r="QYL1511"/>
      <c r="QYM1511"/>
      <c r="QYN1511"/>
      <c r="QYO1511"/>
      <c r="QYP1511"/>
      <c r="QYQ1511"/>
      <c r="QYR1511"/>
      <c r="QYS1511"/>
      <c r="QYT1511"/>
      <c r="QYU1511"/>
      <c r="QYV1511"/>
      <c r="QYW1511"/>
      <c r="QYX1511"/>
      <c r="QYY1511"/>
      <c r="QYZ1511"/>
      <c r="QZA1511"/>
      <c r="QZB1511"/>
      <c r="QZC1511"/>
      <c r="QZD1511"/>
      <c r="QZE1511"/>
      <c r="QZF1511"/>
      <c r="QZG1511"/>
      <c r="QZH1511"/>
      <c r="QZI1511"/>
      <c r="QZJ1511"/>
      <c r="QZK1511"/>
      <c r="QZL1511"/>
      <c r="QZM1511"/>
      <c r="QZN1511"/>
      <c r="QZO1511"/>
      <c r="QZP1511"/>
      <c r="QZQ1511"/>
      <c r="QZR1511"/>
      <c r="QZS1511"/>
      <c r="QZT1511"/>
      <c r="QZU1511"/>
      <c r="QZV1511"/>
      <c r="QZW1511"/>
      <c r="QZX1511"/>
      <c r="QZY1511"/>
      <c r="QZZ1511"/>
      <c r="RAA1511"/>
      <c r="RAB1511"/>
      <c r="RAC1511"/>
      <c r="RAD1511"/>
      <c r="RAE1511"/>
      <c r="RAF1511"/>
      <c r="RAG1511"/>
      <c r="RAH1511"/>
      <c r="RAI1511"/>
      <c r="RAJ1511"/>
      <c r="RAK1511"/>
      <c r="RAL1511"/>
      <c r="RAM1511"/>
      <c r="RAN1511"/>
      <c r="RAO1511"/>
      <c r="RAP1511"/>
      <c r="RAQ1511"/>
      <c r="RAR1511"/>
      <c r="RAS1511"/>
      <c r="RAT1511"/>
      <c r="RAU1511"/>
      <c r="RAV1511"/>
      <c r="RAW1511"/>
      <c r="RAX1511"/>
      <c r="RAY1511"/>
      <c r="RAZ1511"/>
      <c r="RBA1511"/>
      <c r="RBB1511"/>
      <c r="RBC1511"/>
      <c r="RBD1511"/>
      <c r="RBE1511"/>
      <c r="RBF1511"/>
      <c r="RBG1511"/>
      <c r="RBH1511"/>
      <c r="RBI1511"/>
      <c r="RBJ1511"/>
      <c r="RBK1511"/>
      <c r="RBL1511"/>
      <c r="RBM1511"/>
      <c r="RBN1511"/>
      <c r="RBO1511"/>
      <c r="RBP1511"/>
      <c r="RBQ1511"/>
      <c r="RBR1511"/>
      <c r="RBS1511"/>
      <c r="RBT1511"/>
      <c r="RBU1511"/>
      <c r="RBV1511"/>
      <c r="RBW1511"/>
      <c r="RBX1511"/>
      <c r="RBY1511"/>
      <c r="RBZ1511"/>
      <c r="RCA1511"/>
      <c r="RCB1511"/>
      <c r="RCC1511"/>
      <c r="RCD1511"/>
      <c r="RCE1511"/>
      <c r="RCF1511"/>
      <c r="RCG1511"/>
      <c r="RCH1511"/>
      <c r="RCI1511"/>
      <c r="RCJ1511"/>
      <c r="RCK1511"/>
      <c r="RCL1511"/>
      <c r="RCM1511"/>
      <c r="RCN1511"/>
      <c r="RCO1511"/>
      <c r="RCP1511"/>
      <c r="RCQ1511"/>
      <c r="RCR1511"/>
      <c r="RCS1511"/>
      <c r="RCT1511"/>
      <c r="RCU1511"/>
      <c r="RCV1511"/>
      <c r="RCW1511"/>
      <c r="RCX1511"/>
      <c r="RCY1511"/>
      <c r="RCZ1511"/>
      <c r="RDA1511"/>
      <c r="RDB1511"/>
      <c r="RDC1511"/>
      <c r="RDD1511"/>
      <c r="RDE1511"/>
      <c r="RDF1511"/>
      <c r="RDG1511"/>
      <c r="RDH1511"/>
      <c r="RDI1511"/>
      <c r="RDJ1511"/>
      <c r="RDK1511"/>
      <c r="RDL1511"/>
      <c r="RDM1511"/>
      <c r="RDN1511"/>
      <c r="RDO1511"/>
      <c r="RDP1511"/>
      <c r="RDQ1511"/>
      <c r="RDR1511"/>
      <c r="RDS1511"/>
      <c r="RDT1511"/>
      <c r="RDU1511"/>
      <c r="RDV1511"/>
      <c r="RDW1511"/>
      <c r="RDX1511"/>
      <c r="RDY1511"/>
      <c r="RDZ1511"/>
      <c r="REA1511"/>
      <c r="REB1511"/>
      <c r="REC1511"/>
      <c r="RED1511"/>
      <c r="REE1511"/>
      <c r="REF1511"/>
      <c r="REG1511"/>
      <c r="REH1511"/>
      <c r="REI1511"/>
      <c r="REJ1511"/>
      <c r="REK1511"/>
      <c r="REL1511"/>
      <c r="REM1511"/>
      <c r="REN1511"/>
      <c r="REO1511"/>
      <c r="REP1511"/>
      <c r="REQ1511"/>
      <c r="RER1511"/>
      <c r="RES1511"/>
      <c r="RET1511"/>
      <c r="REU1511"/>
      <c r="REV1511"/>
      <c r="REW1511"/>
      <c r="REX1511"/>
      <c r="REY1511"/>
      <c r="REZ1511"/>
      <c r="RFA1511"/>
      <c r="RFB1511"/>
      <c r="RFC1511"/>
      <c r="RFD1511"/>
      <c r="RFE1511"/>
      <c r="RFF1511"/>
      <c r="RFG1511"/>
      <c r="RFH1511"/>
      <c r="RFI1511"/>
      <c r="RFJ1511"/>
      <c r="RFK1511"/>
      <c r="RFL1511"/>
      <c r="RFM1511"/>
      <c r="RFN1511"/>
      <c r="RFO1511"/>
      <c r="RFP1511"/>
      <c r="RFQ1511"/>
      <c r="RFR1511"/>
      <c r="RFS1511"/>
      <c r="RFT1511"/>
      <c r="RFU1511"/>
      <c r="RFV1511"/>
      <c r="RFW1511"/>
      <c r="RFX1511"/>
      <c r="RFY1511"/>
      <c r="RFZ1511"/>
      <c r="RGA1511"/>
      <c r="RGB1511"/>
      <c r="RGC1511"/>
      <c r="RGD1511"/>
      <c r="RGE1511"/>
      <c r="RGF1511"/>
      <c r="RGG1511"/>
      <c r="RGH1511"/>
      <c r="RGI1511"/>
      <c r="RGJ1511"/>
      <c r="RGK1511"/>
      <c r="RGL1511"/>
      <c r="RGM1511"/>
      <c r="RGN1511"/>
      <c r="RGO1511"/>
      <c r="RGP1511"/>
      <c r="RGQ1511"/>
      <c r="RGR1511"/>
      <c r="RGS1511"/>
      <c r="RGT1511"/>
      <c r="RGU1511"/>
      <c r="RGV1511"/>
      <c r="RGW1511"/>
      <c r="RGX1511"/>
      <c r="RGY1511"/>
      <c r="RGZ1511"/>
      <c r="RHA1511"/>
      <c r="RHB1511"/>
      <c r="RHC1511"/>
      <c r="RHD1511"/>
      <c r="RHE1511"/>
      <c r="RHF1511"/>
      <c r="RHG1511"/>
      <c r="RHH1511"/>
      <c r="RHI1511"/>
      <c r="RHJ1511"/>
      <c r="RHK1511"/>
      <c r="RHL1511"/>
      <c r="RHM1511"/>
      <c r="RHN1511"/>
      <c r="RHO1511"/>
      <c r="RHP1511"/>
      <c r="RHQ1511"/>
      <c r="RHR1511"/>
      <c r="RHS1511"/>
      <c r="RHT1511"/>
      <c r="RHU1511"/>
      <c r="RHV1511"/>
      <c r="RHW1511"/>
      <c r="RHX1511"/>
      <c r="RHY1511"/>
      <c r="RHZ1511"/>
      <c r="RIA1511"/>
      <c r="RIB1511"/>
      <c r="RIC1511"/>
      <c r="RID1511"/>
      <c r="RIE1511"/>
      <c r="RIF1511"/>
      <c r="RIG1511"/>
      <c r="RIH1511"/>
      <c r="RII1511"/>
      <c r="RIJ1511"/>
      <c r="RIK1511"/>
      <c r="RIL1511"/>
      <c r="RIM1511"/>
      <c r="RIN1511"/>
      <c r="RIO1511"/>
      <c r="RIP1511"/>
      <c r="RIQ1511"/>
      <c r="RIR1511"/>
      <c r="RIS1511"/>
      <c r="RIT1511"/>
      <c r="RIU1511"/>
      <c r="RIV1511"/>
      <c r="RIW1511"/>
      <c r="RIX1511"/>
      <c r="RIY1511"/>
      <c r="RIZ1511"/>
      <c r="RJA1511"/>
      <c r="RJB1511"/>
      <c r="RJC1511"/>
      <c r="RJD1511"/>
      <c r="RJE1511"/>
      <c r="RJF1511"/>
      <c r="RJG1511"/>
      <c r="RJH1511"/>
      <c r="RJI1511"/>
      <c r="RJJ1511"/>
      <c r="RJK1511"/>
      <c r="RJL1511"/>
      <c r="RJM1511"/>
      <c r="RJN1511"/>
      <c r="RJO1511"/>
      <c r="RJP1511"/>
      <c r="RJQ1511"/>
      <c r="RJR1511"/>
      <c r="RJS1511"/>
      <c r="RJT1511"/>
      <c r="RJU1511"/>
      <c r="RJV1511"/>
      <c r="RJW1511"/>
      <c r="RJX1511"/>
      <c r="RJY1511"/>
      <c r="RJZ1511"/>
      <c r="RKA1511"/>
      <c r="RKB1511"/>
      <c r="RKC1511"/>
      <c r="RKD1511"/>
      <c r="RKE1511"/>
      <c r="RKF1511"/>
      <c r="RKG1511"/>
      <c r="RKH1511"/>
      <c r="RKI1511"/>
      <c r="RKJ1511"/>
      <c r="RKK1511"/>
      <c r="RKL1511"/>
      <c r="RKM1511"/>
      <c r="RKN1511"/>
      <c r="RKO1511"/>
      <c r="RKP1511"/>
      <c r="RKQ1511"/>
      <c r="RKR1511"/>
      <c r="RKS1511"/>
      <c r="RKT1511"/>
      <c r="RKU1511"/>
      <c r="RKV1511"/>
      <c r="RKW1511"/>
      <c r="RKX1511"/>
      <c r="RKY1511"/>
      <c r="RKZ1511"/>
      <c r="RLA1511"/>
      <c r="RLB1511"/>
      <c r="RLC1511"/>
      <c r="RLD1511"/>
      <c r="RLE1511"/>
      <c r="RLF1511"/>
      <c r="RLG1511"/>
      <c r="RLH1511"/>
      <c r="RLI1511"/>
      <c r="RLJ1511"/>
      <c r="RLK1511"/>
      <c r="RLL1511"/>
      <c r="RLM1511"/>
      <c r="RLN1511"/>
      <c r="RLO1511"/>
      <c r="RLP1511"/>
      <c r="RLQ1511"/>
      <c r="RLR1511"/>
      <c r="RLS1511"/>
      <c r="RLT1511"/>
      <c r="RLU1511"/>
      <c r="RLV1511"/>
      <c r="RLW1511"/>
      <c r="RLX1511"/>
      <c r="RLY1511"/>
      <c r="RLZ1511"/>
      <c r="RMA1511"/>
      <c r="RMB1511"/>
      <c r="RMC1511"/>
      <c r="RMD1511"/>
      <c r="RME1511"/>
      <c r="RMF1511"/>
      <c r="RMG1511"/>
      <c r="RMH1511"/>
      <c r="RMI1511"/>
      <c r="RMJ1511"/>
      <c r="RMK1511"/>
      <c r="RML1511"/>
      <c r="RMM1511"/>
      <c r="RMN1511"/>
      <c r="RMO1511"/>
      <c r="RMP1511"/>
      <c r="RMQ1511"/>
      <c r="RMR1511"/>
      <c r="RMS1511"/>
      <c r="RMT1511"/>
      <c r="RMU1511"/>
      <c r="RMV1511"/>
      <c r="RMW1511"/>
      <c r="RMX1511"/>
      <c r="RMY1511"/>
      <c r="RMZ1511"/>
      <c r="RNA1511"/>
      <c r="RNB1511"/>
      <c r="RNC1511"/>
      <c r="RND1511"/>
      <c r="RNE1511"/>
      <c r="RNF1511"/>
      <c r="RNG1511"/>
      <c r="RNH1511"/>
      <c r="RNI1511"/>
      <c r="RNJ1511"/>
      <c r="RNK1511"/>
      <c r="RNL1511"/>
      <c r="RNM1511"/>
      <c r="RNN1511"/>
      <c r="RNO1511"/>
      <c r="RNP1511"/>
      <c r="RNQ1511"/>
      <c r="RNR1511"/>
      <c r="RNS1511"/>
      <c r="RNT1511"/>
      <c r="RNU1511"/>
      <c r="RNV1511"/>
      <c r="RNW1511"/>
      <c r="RNX1511"/>
      <c r="RNY1511"/>
      <c r="RNZ1511"/>
      <c r="ROA1511"/>
      <c r="ROB1511"/>
      <c r="ROC1511"/>
      <c r="ROD1511"/>
      <c r="ROE1511"/>
      <c r="ROF1511"/>
      <c r="ROG1511"/>
      <c r="ROH1511"/>
      <c r="ROI1511"/>
      <c r="ROJ1511"/>
      <c r="ROK1511"/>
      <c r="ROL1511"/>
      <c r="ROM1511"/>
      <c r="RON1511"/>
      <c r="ROO1511"/>
      <c r="ROP1511"/>
      <c r="ROQ1511"/>
      <c r="ROR1511"/>
      <c r="ROS1511"/>
      <c r="ROT1511"/>
      <c r="ROU1511"/>
      <c r="ROV1511"/>
      <c r="ROW1511"/>
      <c r="ROX1511"/>
      <c r="ROY1511"/>
      <c r="ROZ1511"/>
      <c r="RPA1511"/>
      <c r="RPB1511"/>
      <c r="RPC1511"/>
      <c r="RPD1511"/>
      <c r="RPE1511"/>
      <c r="RPF1511"/>
      <c r="RPG1511"/>
      <c r="RPH1511"/>
      <c r="RPI1511"/>
      <c r="RPJ1511"/>
      <c r="RPK1511"/>
      <c r="RPL1511"/>
      <c r="RPM1511"/>
      <c r="RPN1511"/>
      <c r="RPO1511"/>
      <c r="RPP1511"/>
      <c r="RPQ1511"/>
      <c r="RPR1511"/>
      <c r="RPS1511"/>
      <c r="RPT1511"/>
      <c r="RPU1511"/>
      <c r="RPV1511"/>
      <c r="RPW1511"/>
      <c r="RPX1511"/>
      <c r="RPY1511"/>
      <c r="RPZ1511"/>
      <c r="RQA1511"/>
      <c r="RQB1511"/>
      <c r="RQC1511"/>
      <c r="RQD1511"/>
      <c r="RQE1511"/>
      <c r="RQF1511"/>
      <c r="RQG1511"/>
      <c r="RQH1511"/>
      <c r="RQI1511"/>
      <c r="RQJ1511"/>
      <c r="RQK1511"/>
      <c r="RQL1511"/>
      <c r="RQM1511"/>
      <c r="RQN1511"/>
      <c r="RQO1511"/>
      <c r="RQP1511"/>
      <c r="RQQ1511"/>
      <c r="RQR1511"/>
      <c r="RQS1511"/>
      <c r="RQT1511"/>
      <c r="RQU1511"/>
      <c r="RQV1511"/>
      <c r="RQW1511"/>
      <c r="RQX1511"/>
      <c r="RQY1511"/>
      <c r="RQZ1511"/>
      <c r="RRA1511"/>
      <c r="RRB1511"/>
      <c r="RRC1511"/>
      <c r="RRD1511"/>
      <c r="RRE1511"/>
      <c r="RRF1511"/>
      <c r="RRG1511"/>
      <c r="RRH1511"/>
      <c r="RRI1511"/>
      <c r="RRJ1511"/>
      <c r="RRK1511"/>
      <c r="RRL1511"/>
      <c r="RRM1511"/>
      <c r="RRN1511"/>
      <c r="RRO1511"/>
      <c r="RRP1511"/>
      <c r="RRQ1511"/>
      <c r="RRR1511"/>
      <c r="RRS1511"/>
      <c r="RRT1511"/>
      <c r="RRU1511"/>
      <c r="RRV1511"/>
      <c r="RRW1511"/>
      <c r="RRX1511"/>
      <c r="RRY1511"/>
      <c r="RRZ1511"/>
      <c r="RSA1511"/>
      <c r="RSB1511"/>
      <c r="RSC1511"/>
      <c r="RSD1511"/>
      <c r="RSE1511"/>
      <c r="RSF1511"/>
      <c r="RSG1511"/>
      <c r="RSH1511"/>
      <c r="RSI1511"/>
      <c r="RSJ1511"/>
      <c r="RSK1511"/>
      <c r="RSL1511"/>
      <c r="RSM1511"/>
      <c r="RSN1511"/>
      <c r="RSO1511"/>
      <c r="RSP1511"/>
      <c r="RSQ1511"/>
      <c r="RSR1511"/>
      <c r="RSS1511"/>
      <c r="RST1511"/>
      <c r="RSU1511"/>
      <c r="RSV1511"/>
      <c r="RSW1511"/>
      <c r="RSX1511"/>
      <c r="RSY1511"/>
      <c r="RSZ1511"/>
      <c r="RTA1511"/>
      <c r="RTB1511"/>
      <c r="RTC1511"/>
      <c r="RTD1511"/>
      <c r="RTE1511"/>
      <c r="RTF1511"/>
      <c r="RTG1511"/>
      <c r="RTH1511"/>
      <c r="RTI1511"/>
      <c r="RTJ1511"/>
      <c r="RTK1511"/>
      <c r="RTL1511"/>
      <c r="RTM1511"/>
      <c r="RTN1511"/>
      <c r="RTO1511"/>
      <c r="RTP1511"/>
      <c r="RTQ1511"/>
      <c r="RTR1511"/>
      <c r="RTS1511"/>
      <c r="RTT1511"/>
      <c r="RTU1511"/>
      <c r="RTV1511"/>
      <c r="RTW1511"/>
      <c r="RTX1511"/>
      <c r="RTY1511"/>
      <c r="RTZ1511"/>
      <c r="RUA1511"/>
      <c r="RUB1511"/>
      <c r="RUC1511"/>
      <c r="RUD1511"/>
      <c r="RUE1511"/>
      <c r="RUF1511"/>
      <c r="RUG1511"/>
      <c r="RUH1511"/>
      <c r="RUI1511"/>
      <c r="RUJ1511"/>
      <c r="RUK1511"/>
      <c r="RUL1511"/>
      <c r="RUM1511"/>
      <c r="RUN1511"/>
      <c r="RUO1511"/>
      <c r="RUP1511"/>
      <c r="RUQ1511"/>
      <c r="RUR1511"/>
      <c r="RUS1511"/>
      <c r="RUT1511"/>
      <c r="RUU1511"/>
      <c r="RUV1511"/>
      <c r="RUW1511"/>
      <c r="RUX1511"/>
      <c r="RUY1511"/>
      <c r="RUZ1511"/>
      <c r="RVA1511"/>
      <c r="RVB1511"/>
      <c r="RVC1511"/>
      <c r="RVD1511"/>
      <c r="RVE1511"/>
      <c r="RVF1511"/>
      <c r="RVG1511"/>
      <c r="RVH1511"/>
      <c r="RVI1511"/>
      <c r="RVJ1511"/>
      <c r="RVK1511"/>
      <c r="RVL1511"/>
      <c r="RVM1511"/>
      <c r="RVN1511"/>
      <c r="RVO1511"/>
      <c r="RVP1511"/>
      <c r="RVQ1511"/>
      <c r="RVR1511"/>
      <c r="RVS1511"/>
      <c r="RVT1511"/>
      <c r="RVU1511"/>
      <c r="RVV1511"/>
      <c r="RVW1511"/>
      <c r="RVX1511"/>
      <c r="RVY1511"/>
      <c r="RVZ1511"/>
      <c r="RWA1511"/>
      <c r="RWB1511"/>
      <c r="RWC1511"/>
      <c r="RWD1511"/>
      <c r="RWE1511"/>
      <c r="RWF1511"/>
      <c r="RWG1511"/>
      <c r="RWH1511"/>
      <c r="RWI1511"/>
      <c r="RWJ1511"/>
      <c r="RWK1511"/>
      <c r="RWL1511"/>
      <c r="RWM1511"/>
      <c r="RWN1511"/>
      <c r="RWO1511"/>
      <c r="RWP1511"/>
      <c r="RWQ1511"/>
      <c r="RWR1511"/>
      <c r="RWS1511"/>
      <c r="RWT1511"/>
      <c r="RWU1511"/>
      <c r="RWV1511"/>
      <c r="RWW1511"/>
      <c r="RWX1511"/>
      <c r="RWY1511"/>
      <c r="RWZ1511"/>
      <c r="RXA1511"/>
      <c r="RXB1511"/>
      <c r="RXC1511"/>
      <c r="RXD1511"/>
      <c r="RXE1511"/>
      <c r="RXF1511"/>
      <c r="RXG1511"/>
      <c r="RXH1511"/>
      <c r="RXI1511"/>
      <c r="RXJ1511"/>
      <c r="RXK1511"/>
      <c r="RXL1511"/>
      <c r="RXM1511"/>
      <c r="RXN1511"/>
      <c r="RXO1511"/>
      <c r="RXP1511"/>
      <c r="RXQ1511"/>
      <c r="RXR1511"/>
      <c r="RXS1511"/>
      <c r="RXT1511"/>
      <c r="RXU1511"/>
      <c r="RXV1511"/>
      <c r="RXW1511"/>
      <c r="RXX1511"/>
      <c r="RXY1511"/>
      <c r="RXZ1511"/>
      <c r="RYA1511"/>
      <c r="RYB1511"/>
      <c r="RYC1511"/>
      <c r="RYD1511"/>
      <c r="RYE1511"/>
      <c r="RYF1511"/>
      <c r="RYG1511"/>
      <c r="RYH1511"/>
      <c r="RYI1511"/>
      <c r="RYJ1511"/>
      <c r="RYK1511"/>
      <c r="RYL1511"/>
      <c r="RYM1511"/>
      <c r="RYN1511"/>
      <c r="RYO1511"/>
      <c r="RYP1511"/>
      <c r="RYQ1511"/>
      <c r="RYR1511"/>
      <c r="RYS1511"/>
      <c r="RYT1511"/>
      <c r="RYU1511"/>
      <c r="RYV1511"/>
      <c r="RYW1511"/>
      <c r="RYX1511"/>
      <c r="RYY1511"/>
      <c r="RYZ1511"/>
      <c r="RZA1511"/>
      <c r="RZB1511"/>
      <c r="RZC1511"/>
      <c r="RZD1511"/>
      <c r="RZE1511"/>
      <c r="RZF1511"/>
      <c r="RZG1511"/>
      <c r="RZH1511"/>
      <c r="RZI1511"/>
      <c r="RZJ1511"/>
      <c r="RZK1511"/>
      <c r="RZL1511"/>
      <c r="RZM1511"/>
      <c r="RZN1511"/>
      <c r="RZO1511"/>
      <c r="RZP1511"/>
      <c r="RZQ1511"/>
      <c r="RZR1511"/>
      <c r="RZS1511"/>
      <c r="RZT1511"/>
      <c r="RZU1511"/>
      <c r="RZV1511"/>
      <c r="RZW1511"/>
      <c r="RZX1511"/>
      <c r="RZY1511"/>
      <c r="RZZ1511"/>
      <c r="SAA1511"/>
      <c r="SAB1511"/>
      <c r="SAC1511"/>
      <c r="SAD1511"/>
      <c r="SAE1511"/>
      <c r="SAF1511"/>
      <c r="SAG1511"/>
      <c r="SAH1511"/>
      <c r="SAI1511"/>
      <c r="SAJ1511"/>
      <c r="SAK1511"/>
      <c r="SAL1511"/>
      <c r="SAM1511"/>
      <c r="SAN1511"/>
      <c r="SAO1511"/>
      <c r="SAP1511"/>
      <c r="SAQ1511"/>
      <c r="SAR1511"/>
      <c r="SAS1511"/>
      <c r="SAT1511"/>
      <c r="SAU1511"/>
      <c r="SAV1511"/>
      <c r="SAW1511"/>
      <c r="SAX1511"/>
      <c r="SAY1511"/>
      <c r="SAZ1511"/>
      <c r="SBA1511"/>
      <c r="SBB1511"/>
      <c r="SBC1511"/>
      <c r="SBD1511"/>
      <c r="SBE1511"/>
      <c r="SBF1511"/>
      <c r="SBG1511"/>
      <c r="SBH1511"/>
      <c r="SBI1511"/>
      <c r="SBJ1511"/>
      <c r="SBK1511"/>
      <c r="SBL1511"/>
      <c r="SBM1511"/>
      <c r="SBN1511"/>
      <c r="SBO1511"/>
      <c r="SBP1511"/>
      <c r="SBQ1511"/>
      <c r="SBR1511"/>
      <c r="SBS1511"/>
      <c r="SBT1511"/>
      <c r="SBU1511"/>
      <c r="SBV1511"/>
      <c r="SBW1511"/>
      <c r="SBX1511"/>
      <c r="SBY1511"/>
      <c r="SBZ1511"/>
      <c r="SCA1511"/>
      <c r="SCB1511"/>
      <c r="SCC1511"/>
      <c r="SCD1511"/>
      <c r="SCE1511"/>
      <c r="SCF1511"/>
      <c r="SCG1511"/>
      <c r="SCH1511"/>
      <c r="SCI1511"/>
      <c r="SCJ1511"/>
      <c r="SCK1511"/>
      <c r="SCL1511"/>
      <c r="SCM1511"/>
      <c r="SCN1511"/>
      <c r="SCO1511"/>
      <c r="SCP1511"/>
      <c r="SCQ1511"/>
      <c r="SCR1511"/>
      <c r="SCS1511"/>
      <c r="SCT1511"/>
      <c r="SCU1511"/>
      <c r="SCV1511"/>
      <c r="SCW1511"/>
      <c r="SCX1511"/>
      <c r="SCY1511"/>
      <c r="SCZ1511"/>
      <c r="SDA1511"/>
      <c r="SDB1511"/>
      <c r="SDC1511"/>
      <c r="SDD1511"/>
      <c r="SDE1511"/>
      <c r="SDF1511"/>
      <c r="SDG1511"/>
      <c r="SDH1511"/>
      <c r="SDI1511"/>
      <c r="SDJ1511"/>
      <c r="SDK1511"/>
      <c r="SDL1511"/>
      <c r="SDM1511"/>
      <c r="SDN1511"/>
      <c r="SDO1511"/>
      <c r="SDP1511"/>
      <c r="SDQ1511"/>
      <c r="SDR1511"/>
      <c r="SDS1511"/>
      <c r="SDT1511"/>
      <c r="SDU1511"/>
      <c r="SDV1511"/>
      <c r="SDW1511"/>
      <c r="SDX1511"/>
      <c r="SDY1511"/>
      <c r="SDZ1511"/>
      <c r="SEA1511"/>
      <c r="SEB1511"/>
      <c r="SEC1511"/>
      <c r="SED1511"/>
      <c r="SEE1511"/>
      <c r="SEF1511"/>
      <c r="SEG1511"/>
      <c r="SEH1511"/>
      <c r="SEI1511"/>
      <c r="SEJ1511"/>
      <c r="SEK1511"/>
      <c r="SEL1511"/>
      <c r="SEM1511"/>
      <c r="SEN1511"/>
      <c r="SEO1511"/>
      <c r="SEP1511"/>
      <c r="SEQ1511"/>
      <c r="SER1511"/>
      <c r="SES1511"/>
      <c r="SET1511"/>
      <c r="SEU1511"/>
      <c r="SEV1511"/>
      <c r="SEW1511"/>
      <c r="SEX1511"/>
      <c r="SEY1511"/>
      <c r="SEZ1511"/>
      <c r="SFA1511"/>
      <c r="SFB1511"/>
      <c r="SFC1511"/>
      <c r="SFD1511"/>
      <c r="SFE1511"/>
      <c r="SFF1511"/>
      <c r="SFG1511"/>
      <c r="SFH1511"/>
      <c r="SFI1511"/>
      <c r="SFJ1511"/>
      <c r="SFK1511"/>
      <c r="SFL1511"/>
      <c r="SFM1511"/>
      <c r="SFN1511"/>
      <c r="SFO1511"/>
      <c r="SFP1511"/>
      <c r="SFQ1511"/>
      <c r="SFR1511"/>
      <c r="SFS1511"/>
      <c r="SFT1511"/>
      <c r="SFU1511"/>
      <c r="SFV1511"/>
      <c r="SFW1511"/>
      <c r="SFX1511"/>
      <c r="SFY1511"/>
      <c r="SFZ1511"/>
      <c r="SGA1511"/>
      <c r="SGB1511"/>
      <c r="SGC1511"/>
      <c r="SGD1511"/>
      <c r="SGE1511"/>
      <c r="SGF1511"/>
      <c r="SGG1511"/>
      <c r="SGH1511"/>
      <c r="SGI1511"/>
      <c r="SGJ1511"/>
      <c r="SGK1511"/>
      <c r="SGL1511"/>
      <c r="SGM1511"/>
      <c r="SGN1511"/>
      <c r="SGO1511"/>
      <c r="SGP1511"/>
      <c r="SGQ1511"/>
      <c r="SGR1511"/>
      <c r="SGS1511"/>
      <c r="SGT1511"/>
      <c r="SGU1511"/>
      <c r="SGV1511"/>
      <c r="SGW1511"/>
      <c r="SGX1511"/>
      <c r="SGY1511"/>
      <c r="SGZ1511"/>
      <c r="SHA1511"/>
      <c r="SHB1511"/>
      <c r="SHC1511"/>
      <c r="SHD1511"/>
      <c r="SHE1511"/>
      <c r="SHF1511"/>
      <c r="SHG1511"/>
      <c r="SHH1511"/>
      <c r="SHI1511"/>
      <c r="SHJ1511"/>
      <c r="SHK1511"/>
      <c r="SHL1511"/>
      <c r="SHM1511"/>
      <c r="SHN1511"/>
      <c r="SHO1511"/>
      <c r="SHP1511"/>
      <c r="SHQ1511"/>
      <c r="SHR1511"/>
      <c r="SHS1511"/>
      <c r="SHT1511"/>
      <c r="SHU1511"/>
      <c r="SHV1511"/>
      <c r="SHW1511"/>
      <c r="SHX1511"/>
      <c r="SHY1511"/>
      <c r="SHZ1511"/>
      <c r="SIA1511"/>
      <c r="SIB1511"/>
      <c r="SIC1511"/>
      <c r="SID1511"/>
      <c r="SIE1511"/>
      <c r="SIF1511"/>
      <c r="SIG1511"/>
      <c r="SIH1511"/>
      <c r="SII1511"/>
      <c r="SIJ1511"/>
      <c r="SIK1511"/>
      <c r="SIL1511"/>
      <c r="SIM1511"/>
      <c r="SIN1511"/>
      <c r="SIO1511"/>
      <c r="SIP1511"/>
      <c r="SIQ1511"/>
      <c r="SIR1511"/>
      <c r="SIS1511"/>
      <c r="SIT1511"/>
      <c r="SIU1511"/>
      <c r="SIV1511"/>
      <c r="SIW1511"/>
      <c r="SIX1511"/>
      <c r="SIY1511"/>
      <c r="SIZ1511"/>
      <c r="SJA1511"/>
      <c r="SJB1511"/>
      <c r="SJC1511"/>
      <c r="SJD1511"/>
      <c r="SJE1511"/>
      <c r="SJF1511"/>
      <c r="SJG1511"/>
      <c r="SJH1511"/>
      <c r="SJI1511"/>
      <c r="SJJ1511"/>
      <c r="SJK1511"/>
      <c r="SJL1511"/>
      <c r="SJM1511"/>
      <c r="SJN1511"/>
      <c r="SJO1511"/>
      <c r="SJP1511"/>
      <c r="SJQ1511"/>
      <c r="SJR1511"/>
      <c r="SJS1511"/>
      <c r="SJT1511"/>
      <c r="SJU1511"/>
      <c r="SJV1511"/>
      <c r="SJW1511"/>
      <c r="SJX1511"/>
      <c r="SJY1511"/>
      <c r="SJZ1511"/>
      <c r="SKA1511"/>
      <c r="SKB1511"/>
      <c r="SKC1511"/>
      <c r="SKD1511"/>
      <c r="SKE1511"/>
      <c r="SKF1511"/>
      <c r="SKG1511"/>
      <c r="SKH1511"/>
      <c r="SKI1511"/>
      <c r="SKJ1511"/>
      <c r="SKK1511"/>
      <c r="SKL1511"/>
      <c r="SKM1511"/>
      <c r="SKN1511"/>
      <c r="SKO1511"/>
      <c r="SKP1511"/>
      <c r="SKQ1511"/>
      <c r="SKR1511"/>
      <c r="SKS1511"/>
      <c r="SKT1511"/>
      <c r="SKU1511"/>
      <c r="SKV1511"/>
      <c r="SKW1511"/>
      <c r="SKX1511"/>
      <c r="SKY1511"/>
      <c r="SKZ1511"/>
      <c r="SLA1511"/>
      <c r="SLB1511"/>
      <c r="SLC1511"/>
      <c r="SLD1511"/>
      <c r="SLE1511"/>
      <c r="SLF1511"/>
      <c r="SLG1511"/>
      <c r="SLH1511"/>
      <c r="SLI1511"/>
      <c r="SLJ1511"/>
      <c r="SLK1511"/>
      <c r="SLL1511"/>
      <c r="SLM1511"/>
      <c r="SLN1511"/>
      <c r="SLO1511"/>
      <c r="SLP1511"/>
      <c r="SLQ1511"/>
      <c r="SLR1511"/>
      <c r="SLS1511"/>
      <c r="SLT1511"/>
      <c r="SLU1511"/>
      <c r="SLV1511"/>
      <c r="SLW1511"/>
      <c r="SLX1511"/>
      <c r="SLY1511"/>
      <c r="SLZ1511"/>
      <c r="SMA1511"/>
      <c r="SMB1511"/>
      <c r="SMC1511"/>
      <c r="SMD1511"/>
      <c r="SME1511"/>
      <c r="SMF1511"/>
      <c r="SMG1511"/>
      <c r="SMH1511"/>
      <c r="SMI1511"/>
      <c r="SMJ1511"/>
      <c r="SMK1511"/>
      <c r="SML1511"/>
      <c r="SMM1511"/>
      <c r="SMN1511"/>
      <c r="SMO1511"/>
      <c r="SMP1511"/>
      <c r="SMQ1511"/>
      <c r="SMR1511"/>
      <c r="SMS1511"/>
      <c r="SMT1511"/>
      <c r="SMU1511"/>
      <c r="SMV1511"/>
      <c r="SMW1511"/>
      <c r="SMX1511"/>
      <c r="SMY1511"/>
      <c r="SMZ1511"/>
      <c r="SNA1511"/>
      <c r="SNB1511"/>
      <c r="SNC1511"/>
      <c r="SND1511"/>
      <c r="SNE1511"/>
      <c r="SNF1511"/>
      <c r="SNG1511"/>
      <c r="SNH1511"/>
      <c r="SNI1511"/>
      <c r="SNJ1511"/>
      <c r="SNK1511"/>
      <c r="SNL1511"/>
      <c r="SNM1511"/>
      <c r="SNN1511"/>
      <c r="SNO1511"/>
      <c r="SNP1511"/>
      <c r="SNQ1511"/>
      <c r="SNR1511"/>
      <c r="SNS1511"/>
      <c r="SNT1511"/>
      <c r="SNU1511"/>
      <c r="SNV1511"/>
      <c r="SNW1511"/>
      <c r="SNX1511"/>
      <c r="SNY1511"/>
      <c r="SNZ1511"/>
      <c r="SOA1511"/>
      <c r="SOB1511"/>
      <c r="SOC1511"/>
      <c r="SOD1511"/>
      <c r="SOE1511"/>
      <c r="SOF1511"/>
      <c r="SOG1511"/>
      <c r="SOH1511"/>
      <c r="SOI1511"/>
      <c r="SOJ1511"/>
      <c r="SOK1511"/>
      <c r="SOL1511"/>
      <c r="SOM1511"/>
      <c r="SON1511"/>
      <c r="SOO1511"/>
      <c r="SOP1511"/>
      <c r="SOQ1511"/>
      <c r="SOR1511"/>
      <c r="SOS1511"/>
      <c r="SOT1511"/>
      <c r="SOU1511"/>
      <c r="SOV1511"/>
      <c r="SOW1511"/>
      <c r="SOX1511"/>
      <c r="SOY1511"/>
      <c r="SOZ1511"/>
      <c r="SPA1511"/>
      <c r="SPB1511"/>
      <c r="SPC1511"/>
      <c r="SPD1511"/>
      <c r="SPE1511"/>
      <c r="SPF1511"/>
      <c r="SPG1511"/>
      <c r="SPH1511"/>
      <c r="SPI1511"/>
      <c r="SPJ1511"/>
      <c r="SPK1511"/>
      <c r="SPL1511"/>
      <c r="SPM1511"/>
      <c r="SPN1511"/>
      <c r="SPO1511"/>
      <c r="SPP1511"/>
      <c r="SPQ1511"/>
      <c r="SPR1511"/>
      <c r="SPS1511"/>
      <c r="SPT1511"/>
      <c r="SPU1511"/>
      <c r="SPV1511"/>
      <c r="SPW1511"/>
      <c r="SPX1511"/>
      <c r="SPY1511"/>
      <c r="SPZ1511"/>
      <c r="SQA1511"/>
      <c r="SQB1511"/>
      <c r="SQC1511"/>
      <c r="SQD1511"/>
      <c r="SQE1511"/>
      <c r="SQF1511"/>
      <c r="SQG1511"/>
      <c r="SQH1511"/>
      <c r="SQI1511"/>
      <c r="SQJ1511"/>
      <c r="SQK1511"/>
      <c r="SQL1511"/>
      <c r="SQM1511"/>
      <c r="SQN1511"/>
      <c r="SQO1511"/>
      <c r="SQP1511"/>
      <c r="SQQ1511"/>
      <c r="SQR1511"/>
      <c r="SQS1511"/>
      <c r="SQT1511"/>
      <c r="SQU1511"/>
      <c r="SQV1511"/>
      <c r="SQW1511"/>
      <c r="SQX1511"/>
      <c r="SQY1511"/>
      <c r="SQZ1511"/>
      <c r="SRA1511"/>
      <c r="SRB1511"/>
      <c r="SRC1511"/>
      <c r="SRD1511"/>
      <c r="SRE1511"/>
      <c r="SRF1511"/>
      <c r="SRG1511"/>
      <c r="SRH1511"/>
      <c r="SRI1511"/>
      <c r="SRJ1511"/>
      <c r="SRK1511"/>
      <c r="SRL1511"/>
      <c r="SRM1511"/>
      <c r="SRN1511"/>
      <c r="SRO1511"/>
      <c r="SRP1511"/>
      <c r="SRQ1511"/>
      <c r="SRR1511"/>
      <c r="SRS1511"/>
      <c r="SRT1511"/>
      <c r="SRU1511"/>
      <c r="SRV1511"/>
      <c r="SRW1511"/>
      <c r="SRX1511"/>
      <c r="SRY1511"/>
      <c r="SRZ1511"/>
      <c r="SSA1511"/>
      <c r="SSB1511"/>
      <c r="SSC1511"/>
      <c r="SSD1511"/>
      <c r="SSE1511"/>
      <c r="SSF1511"/>
      <c r="SSG1511"/>
      <c r="SSH1511"/>
      <c r="SSI1511"/>
      <c r="SSJ1511"/>
      <c r="SSK1511"/>
      <c r="SSL1511"/>
      <c r="SSM1511"/>
      <c r="SSN1511"/>
      <c r="SSO1511"/>
      <c r="SSP1511"/>
      <c r="SSQ1511"/>
      <c r="SSR1511"/>
      <c r="SSS1511"/>
      <c r="SST1511"/>
      <c r="SSU1511"/>
      <c r="SSV1511"/>
      <c r="SSW1511"/>
      <c r="SSX1511"/>
      <c r="SSY1511"/>
      <c r="SSZ1511"/>
      <c r="STA1511"/>
      <c r="STB1511"/>
      <c r="STC1511"/>
      <c r="STD1511"/>
      <c r="STE1511"/>
      <c r="STF1511"/>
      <c r="STG1511"/>
      <c r="STH1511"/>
      <c r="STI1511"/>
      <c r="STJ1511"/>
      <c r="STK1511"/>
      <c r="STL1511"/>
      <c r="STM1511"/>
      <c r="STN1511"/>
      <c r="STO1511"/>
      <c r="STP1511"/>
      <c r="STQ1511"/>
      <c r="STR1511"/>
      <c r="STS1511"/>
      <c r="STT1511"/>
      <c r="STU1511"/>
      <c r="STV1511"/>
      <c r="STW1511"/>
      <c r="STX1511"/>
      <c r="STY1511"/>
      <c r="STZ1511"/>
      <c r="SUA1511"/>
      <c r="SUB1511"/>
      <c r="SUC1511"/>
      <c r="SUD1511"/>
      <c r="SUE1511"/>
      <c r="SUF1511"/>
      <c r="SUG1511"/>
      <c r="SUH1511"/>
      <c r="SUI1511"/>
      <c r="SUJ1511"/>
      <c r="SUK1511"/>
      <c r="SUL1511"/>
      <c r="SUM1511"/>
      <c r="SUN1511"/>
      <c r="SUO1511"/>
      <c r="SUP1511"/>
      <c r="SUQ1511"/>
      <c r="SUR1511"/>
      <c r="SUS1511"/>
      <c r="SUT1511"/>
      <c r="SUU1511"/>
      <c r="SUV1511"/>
      <c r="SUW1511"/>
      <c r="SUX1511"/>
      <c r="SUY1511"/>
      <c r="SUZ1511"/>
      <c r="SVA1511"/>
      <c r="SVB1511"/>
      <c r="SVC1511"/>
      <c r="SVD1511"/>
      <c r="SVE1511"/>
      <c r="SVF1511"/>
      <c r="SVG1511"/>
      <c r="SVH1511"/>
      <c r="SVI1511"/>
      <c r="SVJ1511"/>
      <c r="SVK1511"/>
      <c r="SVL1511"/>
      <c r="SVM1511"/>
      <c r="SVN1511"/>
      <c r="SVO1511"/>
      <c r="SVP1511"/>
      <c r="SVQ1511"/>
      <c r="SVR1511"/>
      <c r="SVS1511"/>
      <c r="SVT1511"/>
      <c r="SVU1511"/>
      <c r="SVV1511"/>
      <c r="SVW1511"/>
      <c r="SVX1511"/>
      <c r="SVY1511"/>
      <c r="SVZ1511"/>
      <c r="SWA1511"/>
      <c r="SWB1511"/>
      <c r="SWC1511"/>
      <c r="SWD1511"/>
      <c r="SWE1511"/>
      <c r="SWF1511"/>
      <c r="SWG1511"/>
      <c r="SWH1511"/>
      <c r="SWI1511"/>
      <c r="SWJ1511"/>
      <c r="SWK1511"/>
      <c r="SWL1511"/>
      <c r="SWM1511"/>
      <c r="SWN1511"/>
      <c r="SWO1511"/>
      <c r="SWP1511"/>
      <c r="SWQ1511"/>
      <c r="SWR1511"/>
      <c r="SWS1511"/>
      <c r="SWT1511"/>
      <c r="SWU1511"/>
      <c r="SWV1511"/>
      <c r="SWW1511"/>
      <c r="SWX1511"/>
      <c r="SWY1511"/>
      <c r="SWZ1511"/>
      <c r="SXA1511"/>
      <c r="SXB1511"/>
      <c r="SXC1511"/>
      <c r="SXD1511"/>
      <c r="SXE1511"/>
      <c r="SXF1511"/>
      <c r="SXG1511"/>
      <c r="SXH1511"/>
      <c r="SXI1511"/>
      <c r="SXJ1511"/>
      <c r="SXK1511"/>
      <c r="SXL1511"/>
      <c r="SXM1511"/>
      <c r="SXN1511"/>
      <c r="SXO1511"/>
      <c r="SXP1511"/>
      <c r="SXQ1511"/>
      <c r="SXR1511"/>
      <c r="SXS1511"/>
      <c r="SXT1511"/>
      <c r="SXU1511"/>
      <c r="SXV1511"/>
      <c r="SXW1511"/>
      <c r="SXX1511"/>
      <c r="SXY1511"/>
      <c r="SXZ1511"/>
      <c r="SYA1511"/>
      <c r="SYB1511"/>
      <c r="SYC1511"/>
      <c r="SYD1511"/>
      <c r="SYE1511"/>
      <c r="SYF1511"/>
      <c r="SYG1511"/>
      <c r="SYH1511"/>
      <c r="SYI1511"/>
      <c r="SYJ1511"/>
      <c r="SYK1511"/>
      <c r="SYL1511"/>
      <c r="SYM1511"/>
      <c r="SYN1511"/>
      <c r="SYO1511"/>
      <c r="SYP1511"/>
      <c r="SYQ1511"/>
      <c r="SYR1511"/>
      <c r="SYS1511"/>
      <c r="SYT1511"/>
      <c r="SYU1511"/>
      <c r="SYV1511"/>
      <c r="SYW1511"/>
      <c r="SYX1511"/>
      <c r="SYY1511"/>
      <c r="SYZ1511"/>
      <c r="SZA1511"/>
      <c r="SZB1511"/>
      <c r="SZC1511"/>
      <c r="SZD1511"/>
      <c r="SZE1511"/>
      <c r="SZF1511"/>
      <c r="SZG1511"/>
      <c r="SZH1511"/>
      <c r="SZI1511"/>
      <c r="SZJ1511"/>
      <c r="SZK1511"/>
      <c r="SZL1511"/>
      <c r="SZM1511"/>
      <c r="SZN1511"/>
      <c r="SZO1511"/>
      <c r="SZP1511"/>
      <c r="SZQ1511"/>
      <c r="SZR1511"/>
      <c r="SZS1511"/>
      <c r="SZT1511"/>
      <c r="SZU1511"/>
      <c r="SZV1511"/>
      <c r="SZW1511"/>
      <c r="SZX1511"/>
      <c r="SZY1511"/>
      <c r="SZZ1511"/>
      <c r="TAA1511"/>
      <c r="TAB1511"/>
      <c r="TAC1511"/>
      <c r="TAD1511"/>
      <c r="TAE1511"/>
      <c r="TAF1511"/>
      <c r="TAG1511"/>
      <c r="TAH1511"/>
      <c r="TAI1511"/>
      <c r="TAJ1511"/>
      <c r="TAK1511"/>
      <c r="TAL1511"/>
      <c r="TAM1511"/>
      <c r="TAN1511"/>
      <c r="TAO1511"/>
      <c r="TAP1511"/>
      <c r="TAQ1511"/>
      <c r="TAR1511"/>
      <c r="TAS1511"/>
      <c r="TAT1511"/>
      <c r="TAU1511"/>
      <c r="TAV1511"/>
      <c r="TAW1511"/>
      <c r="TAX1511"/>
      <c r="TAY1511"/>
      <c r="TAZ1511"/>
      <c r="TBA1511"/>
      <c r="TBB1511"/>
      <c r="TBC1511"/>
      <c r="TBD1511"/>
      <c r="TBE1511"/>
      <c r="TBF1511"/>
      <c r="TBG1511"/>
      <c r="TBH1511"/>
      <c r="TBI1511"/>
      <c r="TBJ1511"/>
      <c r="TBK1511"/>
      <c r="TBL1511"/>
      <c r="TBM1511"/>
      <c r="TBN1511"/>
      <c r="TBO1511"/>
      <c r="TBP1511"/>
      <c r="TBQ1511"/>
      <c r="TBR1511"/>
      <c r="TBS1511"/>
      <c r="TBT1511"/>
      <c r="TBU1511"/>
      <c r="TBV1511"/>
      <c r="TBW1511"/>
      <c r="TBX1511"/>
      <c r="TBY1511"/>
      <c r="TBZ1511"/>
      <c r="TCA1511"/>
      <c r="TCB1511"/>
      <c r="TCC1511"/>
      <c r="TCD1511"/>
      <c r="TCE1511"/>
      <c r="TCF1511"/>
      <c r="TCG1511"/>
      <c r="TCH1511"/>
      <c r="TCI1511"/>
      <c r="TCJ1511"/>
      <c r="TCK1511"/>
      <c r="TCL1511"/>
      <c r="TCM1511"/>
      <c r="TCN1511"/>
      <c r="TCO1511"/>
      <c r="TCP1511"/>
      <c r="TCQ1511"/>
      <c r="TCR1511"/>
      <c r="TCS1511"/>
      <c r="TCT1511"/>
      <c r="TCU1511"/>
      <c r="TCV1511"/>
      <c r="TCW1511"/>
      <c r="TCX1511"/>
      <c r="TCY1511"/>
      <c r="TCZ1511"/>
      <c r="TDA1511"/>
      <c r="TDB1511"/>
      <c r="TDC1511"/>
      <c r="TDD1511"/>
      <c r="TDE1511"/>
      <c r="TDF1511"/>
      <c r="TDG1511"/>
      <c r="TDH1511"/>
      <c r="TDI1511"/>
      <c r="TDJ1511"/>
      <c r="TDK1511"/>
      <c r="TDL1511"/>
      <c r="TDM1511"/>
      <c r="TDN1511"/>
      <c r="TDO1511"/>
      <c r="TDP1511"/>
      <c r="TDQ1511"/>
      <c r="TDR1511"/>
      <c r="TDS1511"/>
      <c r="TDT1511"/>
      <c r="TDU1511"/>
      <c r="TDV1511"/>
      <c r="TDW1511"/>
      <c r="TDX1511"/>
      <c r="TDY1511"/>
      <c r="TDZ1511"/>
      <c r="TEA1511"/>
      <c r="TEB1511"/>
      <c r="TEC1511"/>
      <c r="TED1511"/>
      <c r="TEE1511"/>
      <c r="TEF1511"/>
      <c r="TEG1511"/>
      <c r="TEH1511"/>
      <c r="TEI1511"/>
      <c r="TEJ1511"/>
      <c r="TEK1511"/>
      <c r="TEL1511"/>
      <c r="TEM1511"/>
      <c r="TEN1511"/>
      <c r="TEO1511"/>
      <c r="TEP1511"/>
      <c r="TEQ1511"/>
      <c r="TER1511"/>
      <c r="TES1511"/>
      <c r="TET1511"/>
      <c r="TEU1511"/>
      <c r="TEV1511"/>
      <c r="TEW1511"/>
      <c r="TEX1511"/>
      <c r="TEY1511"/>
      <c r="TEZ1511"/>
      <c r="TFA1511"/>
      <c r="TFB1511"/>
      <c r="TFC1511"/>
      <c r="TFD1511"/>
      <c r="TFE1511"/>
      <c r="TFF1511"/>
      <c r="TFG1511"/>
      <c r="TFH1511"/>
      <c r="TFI1511"/>
      <c r="TFJ1511"/>
      <c r="TFK1511"/>
      <c r="TFL1511"/>
      <c r="TFM1511"/>
      <c r="TFN1511"/>
      <c r="TFO1511"/>
      <c r="TFP1511"/>
      <c r="TFQ1511"/>
      <c r="TFR1511"/>
      <c r="TFS1511"/>
      <c r="TFT1511"/>
      <c r="TFU1511"/>
      <c r="TFV1511"/>
      <c r="TFW1511"/>
      <c r="TFX1511"/>
      <c r="TFY1511"/>
      <c r="TFZ1511"/>
      <c r="TGA1511"/>
      <c r="TGB1511"/>
      <c r="TGC1511"/>
      <c r="TGD1511"/>
      <c r="TGE1511"/>
      <c r="TGF1511"/>
      <c r="TGG1511"/>
      <c r="TGH1511"/>
      <c r="TGI1511"/>
      <c r="TGJ1511"/>
      <c r="TGK1511"/>
      <c r="TGL1511"/>
      <c r="TGM1511"/>
      <c r="TGN1511"/>
      <c r="TGO1511"/>
      <c r="TGP1511"/>
      <c r="TGQ1511"/>
      <c r="TGR1511"/>
      <c r="TGS1511"/>
      <c r="TGT1511"/>
      <c r="TGU1511"/>
      <c r="TGV1511"/>
      <c r="TGW1511"/>
      <c r="TGX1511"/>
      <c r="TGY1511"/>
      <c r="TGZ1511"/>
      <c r="THA1511"/>
      <c r="THB1511"/>
      <c r="THC1511"/>
      <c r="THD1511"/>
      <c r="THE1511"/>
      <c r="THF1511"/>
      <c r="THG1511"/>
      <c r="THH1511"/>
      <c r="THI1511"/>
      <c r="THJ1511"/>
      <c r="THK1511"/>
      <c r="THL1511"/>
      <c r="THM1511"/>
      <c r="THN1511"/>
      <c r="THO1511"/>
      <c r="THP1511"/>
      <c r="THQ1511"/>
      <c r="THR1511"/>
      <c r="THS1511"/>
      <c r="THT1511"/>
      <c r="THU1511"/>
      <c r="THV1511"/>
      <c r="THW1511"/>
      <c r="THX1511"/>
      <c r="THY1511"/>
      <c r="THZ1511"/>
      <c r="TIA1511"/>
      <c r="TIB1511"/>
      <c r="TIC1511"/>
      <c r="TID1511"/>
      <c r="TIE1511"/>
      <c r="TIF1511"/>
      <c r="TIG1511"/>
      <c r="TIH1511"/>
      <c r="TII1511"/>
      <c r="TIJ1511"/>
      <c r="TIK1511"/>
      <c r="TIL1511"/>
      <c r="TIM1511"/>
      <c r="TIN1511"/>
      <c r="TIO1511"/>
      <c r="TIP1511"/>
      <c r="TIQ1511"/>
      <c r="TIR1511"/>
      <c r="TIS1511"/>
      <c r="TIT1511"/>
      <c r="TIU1511"/>
      <c r="TIV1511"/>
      <c r="TIW1511"/>
      <c r="TIX1511"/>
      <c r="TIY1511"/>
      <c r="TIZ1511"/>
      <c r="TJA1511"/>
      <c r="TJB1511"/>
      <c r="TJC1511"/>
      <c r="TJD1511"/>
      <c r="TJE1511"/>
      <c r="TJF1511"/>
      <c r="TJG1511"/>
      <c r="TJH1511"/>
      <c r="TJI1511"/>
      <c r="TJJ1511"/>
      <c r="TJK1511"/>
      <c r="TJL1511"/>
      <c r="TJM1511"/>
      <c r="TJN1511"/>
      <c r="TJO1511"/>
      <c r="TJP1511"/>
      <c r="TJQ1511"/>
      <c r="TJR1511"/>
      <c r="TJS1511"/>
      <c r="TJT1511"/>
      <c r="TJU1511"/>
      <c r="TJV1511"/>
      <c r="TJW1511"/>
      <c r="TJX1511"/>
      <c r="TJY1511"/>
      <c r="TJZ1511"/>
      <c r="TKA1511"/>
      <c r="TKB1511"/>
      <c r="TKC1511"/>
      <c r="TKD1511"/>
      <c r="TKE1511"/>
      <c r="TKF1511"/>
      <c r="TKG1511"/>
      <c r="TKH1511"/>
      <c r="TKI1511"/>
      <c r="TKJ1511"/>
      <c r="TKK1511"/>
      <c r="TKL1511"/>
      <c r="TKM1511"/>
      <c r="TKN1511"/>
      <c r="TKO1511"/>
      <c r="TKP1511"/>
      <c r="TKQ1511"/>
      <c r="TKR1511"/>
      <c r="TKS1511"/>
      <c r="TKT1511"/>
      <c r="TKU1511"/>
      <c r="TKV1511"/>
      <c r="TKW1511"/>
      <c r="TKX1511"/>
      <c r="TKY1511"/>
      <c r="TKZ1511"/>
      <c r="TLA1511"/>
      <c r="TLB1511"/>
      <c r="TLC1511"/>
      <c r="TLD1511"/>
      <c r="TLE1511"/>
      <c r="TLF1511"/>
      <c r="TLG1511"/>
      <c r="TLH1511"/>
      <c r="TLI1511"/>
      <c r="TLJ1511"/>
      <c r="TLK1511"/>
      <c r="TLL1511"/>
      <c r="TLM1511"/>
      <c r="TLN1511"/>
      <c r="TLO1511"/>
      <c r="TLP1511"/>
      <c r="TLQ1511"/>
      <c r="TLR1511"/>
      <c r="TLS1511"/>
      <c r="TLT1511"/>
      <c r="TLU1511"/>
      <c r="TLV1511"/>
      <c r="TLW1511"/>
      <c r="TLX1511"/>
      <c r="TLY1511"/>
      <c r="TLZ1511"/>
      <c r="TMA1511"/>
      <c r="TMB1511"/>
      <c r="TMC1511"/>
      <c r="TMD1511"/>
      <c r="TME1511"/>
      <c r="TMF1511"/>
      <c r="TMG1511"/>
      <c r="TMH1511"/>
      <c r="TMI1511"/>
      <c r="TMJ1511"/>
      <c r="TMK1511"/>
      <c r="TML1511"/>
      <c r="TMM1511"/>
      <c r="TMN1511"/>
      <c r="TMO1511"/>
      <c r="TMP1511"/>
      <c r="TMQ1511"/>
      <c r="TMR1511"/>
      <c r="TMS1511"/>
      <c r="TMT1511"/>
      <c r="TMU1511"/>
      <c r="TMV1511"/>
      <c r="TMW1511"/>
      <c r="TMX1511"/>
      <c r="TMY1511"/>
      <c r="TMZ1511"/>
      <c r="TNA1511"/>
      <c r="TNB1511"/>
      <c r="TNC1511"/>
      <c r="TND1511"/>
      <c r="TNE1511"/>
      <c r="TNF1511"/>
      <c r="TNG1511"/>
      <c r="TNH1511"/>
      <c r="TNI1511"/>
      <c r="TNJ1511"/>
      <c r="TNK1511"/>
      <c r="TNL1511"/>
      <c r="TNM1511"/>
      <c r="TNN1511"/>
      <c r="TNO1511"/>
      <c r="TNP1511"/>
      <c r="TNQ1511"/>
      <c r="TNR1511"/>
      <c r="TNS1511"/>
      <c r="TNT1511"/>
      <c r="TNU1511"/>
      <c r="TNV1511"/>
      <c r="TNW1511"/>
      <c r="TNX1511"/>
      <c r="TNY1511"/>
      <c r="TNZ1511"/>
      <c r="TOA1511"/>
      <c r="TOB1511"/>
      <c r="TOC1511"/>
      <c r="TOD1511"/>
      <c r="TOE1511"/>
      <c r="TOF1511"/>
      <c r="TOG1511"/>
      <c r="TOH1511"/>
      <c r="TOI1511"/>
      <c r="TOJ1511"/>
      <c r="TOK1511"/>
      <c r="TOL1511"/>
      <c r="TOM1511"/>
      <c r="TON1511"/>
      <c r="TOO1511"/>
      <c r="TOP1511"/>
      <c r="TOQ1511"/>
      <c r="TOR1511"/>
      <c r="TOS1511"/>
      <c r="TOT1511"/>
      <c r="TOU1511"/>
      <c r="TOV1511"/>
      <c r="TOW1511"/>
      <c r="TOX1511"/>
      <c r="TOY1511"/>
      <c r="TOZ1511"/>
      <c r="TPA1511"/>
      <c r="TPB1511"/>
      <c r="TPC1511"/>
      <c r="TPD1511"/>
      <c r="TPE1511"/>
      <c r="TPF1511"/>
      <c r="TPG1511"/>
      <c r="TPH1511"/>
      <c r="TPI1511"/>
      <c r="TPJ1511"/>
      <c r="TPK1511"/>
      <c r="TPL1511"/>
      <c r="TPM1511"/>
      <c r="TPN1511"/>
      <c r="TPO1511"/>
      <c r="TPP1511"/>
      <c r="TPQ1511"/>
      <c r="TPR1511"/>
      <c r="TPS1511"/>
      <c r="TPT1511"/>
      <c r="TPU1511"/>
      <c r="TPV1511"/>
      <c r="TPW1511"/>
      <c r="TPX1511"/>
      <c r="TPY1511"/>
      <c r="TPZ1511"/>
      <c r="TQA1511"/>
      <c r="TQB1511"/>
      <c r="TQC1511"/>
      <c r="TQD1511"/>
      <c r="TQE1511"/>
      <c r="TQF1511"/>
      <c r="TQG1511"/>
      <c r="TQH1511"/>
      <c r="TQI1511"/>
      <c r="TQJ1511"/>
      <c r="TQK1511"/>
      <c r="TQL1511"/>
      <c r="TQM1511"/>
      <c r="TQN1511"/>
      <c r="TQO1511"/>
      <c r="TQP1511"/>
      <c r="TQQ1511"/>
      <c r="TQR1511"/>
      <c r="TQS1511"/>
      <c r="TQT1511"/>
      <c r="TQU1511"/>
      <c r="TQV1511"/>
      <c r="TQW1511"/>
      <c r="TQX1511"/>
      <c r="TQY1511"/>
      <c r="TQZ1511"/>
      <c r="TRA1511"/>
      <c r="TRB1511"/>
      <c r="TRC1511"/>
      <c r="TRD1511"/>
      <c r="TRE1511"/>
      <c r="TRF1511"/>
      <c r="TRG1511"/>
      <c r="TRH1511"/>
      <c r="TRI1511"/>
      <c r="TRJ1511"/>
      <c r="TRK1511"/>
      <c r="TRL1511"/>
      <c r="TRM1511"/>
      <c r="TRN1511"/>
      <c r="TRO1511"/>
      <c r="TRP1511"/>
      <c r="TRQ1511"/>
      <c r="TRR1511"/>
      <c r="TRS1511"/>
      <c r="TRT1511"/>
      <c r="TRU1511"/>
      <c r="TRV1511"/>
      <c r="TRW1511"/>
      <c r="TRX1511"/>
      <c r="TRY1511"/>
      <c r="TRZ1511"/>
      <c r="TSA1511"/>
      <c r="TSB1511"/>
      <c r="TSC1511"/>
      <c r="TSD1511"/>
      <c r="TSE1511"/>
      <c r="TSF1511"/>
      <c r="TSG1511"/>
      <c r="TSH1511"/>
      <c r="TSI1511"/>
      <c r="TSJ1511"/>
      <c r="TSK1511"/>
      <c r="TSL1511"/>
      <c r="TSM1511"/>
      <c r="TSN1511"/>
      <c r="TSO1511"/>
      <c r="TSP1511"/>
      <c r="TSQ1511"/>
      <c r="TSR1511"/>
      <c r="TSS1511"/>
      <c r="TST1511"/>
      <c r="TSU1511"/>
      <c r="TSV1511"/>
      <c r="TSW1511"/>
      <c r="TSX1511"/>
      <c r="TSY1511"/>
      <c r="TSZ1511"/>
      <c r="TTA1511"/>
      <c r="TTB1511"/>
      <c r="TTC1511"/>
      <c r="TTD1511"/>
      <c r="TTE1511"/>
      <c r="TTF1511"/>
      <c r="TTG1511"/>
      <c r="TTH1511"/>
      <c r="TTI1511"/>
      <c r="TTJ1511"/>
      <c r="TTK1511"/>
      <c r="TTL1511"/>
      <c r="TTM1511"/>
      <c r="TTN1511"/>
      <c r="TTO1511"/>
      <c r="TTP1511"/>
      <c r="TTQ1511"/>
      <c r="TTR1511"/>
      <c r="TTS1511"/>
      <c r="TTT1511"/>
      <c r="TTU1511"/>
      <c r="TTV1511"/>
      <c r="TTW1511"/>
      <c r="TTX1511"/>
      <c r="TTY1511"/>
      <c r="TTZ1511"/>
      <c r="TUA1511"/>
      <c r="TUB1511"/>
      <c r="TUC1511"/>
      <c r="TUD1511"/>
      <c r="TUE1511"/>
      <c r="TUF1511"/>
      <c r="TUG1511"/>
      <c r="TUH1511"/>
      <c r="TUI1511"/>
      <c r="TUJ1511"/>
      <c r="TUK1511"/>
      <c r="TUL1511"/>
      <c r="TUM1511"/>
      <c r="TUN1511"/>
      <c r="TUO1511"/>
      <c r="TUP1511"/>
      <c r="TUQ1511"/>
      <c r="TUR1511"/>
      <c r="TUS1511"/>
      <c r="TUT1511"/>
      <c r="TUU1511"/>
      <c r="TUV1511"/>
      <c r="TUW1511"/>
      <c r="TUX1511"/>
      <c r="TUY1511"/>
      <c r="TUZ1511"/>
      <c r="TVA1511"/>
      <c r="TVB1511"/>
      <c r="TVC1511"/>
      <c r="TVD1511"/>
      <c r="TVE1511"/>
      <c r="TVF1511"/>
      <c r="TVG1511"/>
      <c r="TVH1511"/>
      <c r="TVI1511"/>
      <c r="TVJ1511"/>
      <c r="TVK1511"/>
      <c r="TVL1511"/>
      <c r="TVM1511"/>
      <c r="TVN1511"/>
      <c r="TVO1511"/>
      <c r="TVP1511"/>
      <c r="TVQ1511"/>
      <c r="TVR1511"/>
      <c r="TVS1511"/>
      <c r="TVT1511"/>
      <c r="TVU1511"/>
      <c r="TVV1511"/>
      <c r="TVW1511"/>
      <c r="TVX1511"/>
      <c r="TVY1511"/>
      <c r="TVZ1511"/>
      <c r="TWA1511"/>
      <c r="TWB1511"/>
      <c r="TWC1511"/>
      <c r="TWD1511"/>
      <c r="TWE1511"/>
      <c r="TWF1511"/>
      <c r="TWG1511"/>
      <c r="TWH1511"/>
      <c r="TWI1511"/>
      <c r="TWJ1511"/>
      <c r="TWK1511"/>
      <c r="TWL1511"/>
      <c r="TWM1511"/>
      <c r="TWN1511"/>
      <c r="TWO1511"/>
      <c r="TWP1511"/>
      <c r="TWQ1511"/>
      <c r="TWR1511"/>
      <c r="TWS1511"/>
      <c r="TWT1511"/>
      <c r="TWU1511"/>
      <c r="TWV1511"/>
      <c r="TWW1511"/>
      <c r="TWX1511"/>
      <c r="TWY1511"/>
      <c r="TWZ1511"/>
      <c r="TXA1511"/>
      <c r="TXB1511"/>
      <c r="TXC1511"/>
      <c r="TXD1511"/>
      <c r="TXE1511"/>
      <c r="TXF1511"/>
      <c r="TXG1511"/>
      <c r="TXH1511"/>
      <c r="TXI1511"/>
      <c r="TXJ1511"/>
      <c r="TXK1511"/>
      <c r="TXL1511"/>
      <c r="TXM1511"/>
      <c r="TXN1511"/>
      <c r="TXO1511"/>
      <c r="TXP1511"/>
      <c r="TXQ1511"/>
      <c r="TXR1511"/>
      <c r="TXS1511"/>
      <c r="TXT1511"/>
      <c r="TXU1511"/>
      <c r="TXV1511"/>
      <c r="TXW1511"/>
      <c r="TXX1511"/>
      <c r="TXY1511"/>
      <c r="TXZ1511"/>
      <c r="TYA1511"/>
      <c r="TYB1511"/>
      <c r="TYC1511"/>
      <c r="TYD1511"/>
      <c r="TYE1511"/>
      <c r="TYF1511"/>
      <c r="TYG1511"/>
      <c r="TYH1511"/>
      <c r="TYI1511"/>
      <c r="TYJ1511"/>
      <c r="TYK1511"/>
      <c r="TYL1511"/>
      <c r="TYM1511"/>
      <c r="TYN1511"/>
      <c r="TYO1511"/>
      <c r="TYP1511"/>
      <c r="TYQ1511"/>
      <c r="TYR1511"/>
      <c r="TYS1511"/>
      <c r="TYT1511"/>
      <c r="TYU1511"/>
      <c r="TYV1511"/>
      <c r="TYW1511"/>
      <c r="TYX1511"/>
      <c r="TYY1511"/>
      <c r="TYZ1511"/>
      <c r="TZA1511"/>
      <c r="TZB1511"/>
      <c r="TZC1511"/>
      <c r="TZD1511"/>
      <c r="TZE1511"/>
      <c r="TZF1511"/>
      <c r="TZG1511"/>
      <c r="TZH1511"/>
      <c r="TZI1511"/>
      <c r="TZJ1511"/>
      <c r="TZK1511"/>
      <c r="TZL1511"/>
      <c r="TZM1511"/>
      <c r="TZN1511"/>
      <c r="TZO1511"/>
      <c r="TZP1511"/>
      <c r="TZQ1511"/>
      <c r="TZR1511"/>
      <c r="TZS1511"/>
      <c r="TZT1511"/>
      <c r="TZU1511"/>
      <c r="TZV1511"/>
      <c r="TZW1511"/>
      <c r="TZX1511"/>
      <c r="TZY1511"/>
      <c r="TZZ1511"/>
      <c r="UAA1511"/>
      <c r="UAB1511"/>
      <c r="UAC1511"/>
      <c r="UAD1511"/>
      <c r="UAE1511"/>
      <c r="UAF1511"/>
      <c r="UAG1511"/>
      <c r="UAH1511"/>
      <c r="UAI1511"/>
      <c r="UAJ1511"/>
      <c r="UAK1511"/>
      <c r="UAL1511"/>
      <c r="UAM1511"/>
      <c r="UAN1511"/>
      <c r="UAO1511"/>
      <c r="UAP1511"/>
      <c r="UAQ1511"/>
      <c r="UAR1511"/>
      <c r="UAS1511"/>
      <c r="UAT1511"/>
      <c r="UAU1511"/>
      <c r="UAV1511"/>
      <c r="UAW1511"/>
      <c r="UAX1511"/>
      <c r="UAY1511"/>
      <c r="UAZ1511"/>
      <c r="UBA1511"/>
      <c r="UBB1511"/>
      <c r="UBC1511"/>
      <c r="UBD1511"/>
      <c r="UBE1511"/>
      <c r="UBF1511"/>
      <c r="UBG1511"/>
      <c r="UBH1511"/>
      <c r="UBI1511"/>
      <c r="UBJ1511"/>
      <c r="UBK1511"/>
      <c r="UBL1511"/>
      <c r="UBM1511"/>
      <c r="UBN1511"/>
      <c r="UBO1511"/>
      <c r="UBP1511"/>
      <c r="UBQ1511"/>
      <c r="UBR1511"/>
      <c r="UBS1511"/>
      <c r="UBT1511"/>
      <c r="UBU1511"/>
      <c r="UBV1511"/>
      <c r="UBW1511"/>
      <c r="UBX1511"/>
      <c r="UBY1511"/>
      <c r="UBZ1511"/>
      <c r="UCA1511"/>
      <c r="UCB1511"/>
      <c r="UCC1511"/>
      <c r="UCD1511"/>
      <c r="UCE1511"/>
      <c r="UCF1511"/>
      <c r="UCG1511"/>
      <c r="UCH1511"/>
      <c r="UCI1511"/>
      <c r="UCJ1511"/>
      <c r="UCK1511"/>
      <c r="UCL1511"/>
      <c r="UCM1511"/>
      <c r="UCN1511"/>
      <c r="UCO1511"/>
      <c r="UCP1511"/>
      <c r="UCQ1511"/>
      <c r="UCR1511"/>
      <c r="UCS1511"/>
      <c r="UCT1511"/>
      <c r="UCU1511"/>
      <c r="UCV1511"/>
      <c r="UCW1511"/>
      <c r="UCX1511"/>
      <c r="UCY1511"/>
      <c r="UCZ1511"/>
      <c r="UDA1511"/>
      <c r="UDB1511"/>
      <c r="UDC1511"/>
      <c r="UDD1511"/>
      <c r="UDE1511"/>
      <c r="UDF1511"/>
      <c r="UDG1511"/>
      <c r="UDH1511"/>
      <c r="UDI1511"/>
      <c r="UDJ1511"/>
      <c r="UDK1511"/>
      <c r="UDL1511"/>
      <c r="UDM1511"/>
      <c r="UDN1511"/>
      <c r="UDO1511"/>
      <c r="UDP1511"/>
      <c r="UDQ1511"/>
      <c r="UDR1511"/>
      <c r="UDS1511"/>
      <c r="UDT1511"/>
      <c r="UDU1511"/>
      <c r="UDV1511"/>
      <c r="UDW1511"/>
      <c r="UDX1511"/>
      <c r="UDY1511"/>
      <c r="UDZ1511"/>
      <c r="UEA1511"/>
      <c r="UEB1511"/>
      <c r="UEC1511"/>
      <c r="UED1511"/>
      <c r="UEE1511"/>
      <c r="UEF1511"/>
      <c r="UEG1511"/>
      <c r="UEH1511"/>
      <c r="UEI1511"/>
      <c r="UEJ1511"/>
      <c r="UEK1511"/>
      <c r="UEL1511"/>
      <c r="UEM1511"/>
      <c r="UEN1511"/>
      <c r="UEO1511"/>
      <c r="UEP1511"/>
      <c r="UEQ1511"/>
      <c r="UER1511"/>
      <c r="UES1511"/>
      <c r="UET1511"/>
      <c r="UEU1511"/>
      <c r="UEV1511"/>
      <c r="UEW1511"/>
      <c r="UEX1511"/>
      <c r="UEY1511"/>
      <c r="UEZ1511"/>
      <c r="UFA1511"/>
      <c r="UFB1511"/>
      <c r="UFC1511"/>
      <c r="UFD1511"/>
      <c r="UFE1511"/>
      <c r="UFF1511"/>
      <c r="UFG1511"/>
      <c r="UFH1511"/>
      <c r="UFI1511"/>
      <c r="UFJ1511"/>
      <c r="UFK1511"/>
      <c r="UFL1511"/>
      <c r="UFM1511"/>
      <c r="UFN1511"/>
      <c r="UFO1511"/>
      <c r="UFP1511"/>
      <c r="UFQ1511"/>
      <c r="UFR1511"/>
      <c r="UFS1511"/>
      <c r="UFT1511"/>
      <c r="UFU1511"/>
      <c r="UFV1511"/>
      <c r="UFW1511"/>
      <c r="UFX1511"/>
      <c r="UFY1511"/>
      <c r="UFZ1511"/>
      <c r="UGA1511"/>
      <c r="UGB1511"/>
      <c r="UGC1511"/>
      <c r="UGD1511"/>
      <c r="UGE1511"/>
      <c r="UGF1511"/>
      <c r="UGG1511"/>
      <c r="UGH1511"/>
      <c r="UGI1511"/>
      <c r="UGJ1511"/>
      <c r="UGK1511"/>
      <c r="UGL1511"/>
      <c r="UGM1511"/>
      <c r="UGN1511"/>
      <c r="UGO1511"/>
      <c r="UGP1511"/>
      <c r="UGQ1511"/>
      <c r="UGR1511"/>
      <c r="UGS1511"/>
      <c r="UGT1511"/>
      <c r="UGU1511"/>
      <c r="UGV1511"/>
      <c r="UGW1511"/>
      <c r="UGX1511"/>
      <c r="UGY1511"/>
      <c r="UGZ1511"/>
      <c r="UHA1511"/>
      <c r="UHB1511"/>
      <c r="UHC1511"/>
      <c r="UHD1511"/>
      <c r="UHE1511"/>
      <c r="UHF1511"/>
      <c r="UHG1511"/>
      <c r="UHH1511"/>
      <c r="UHI1511"/>
      <c r="UHJ1511"/>
      <c r="UHK1511"/>
      <c r="UHL1511"/>
      <c r="UHM1511"/>
      <c r="UHN1511"/>
      <c r="UHO1511"/>
      <c r="UHP1511"/>
      <c r="UHQ1511"/>
      <c r="UHR1511"/>
      <c r="UHS1511"/>
      <c r="UHT1511"/>
      <c r="UHU1511"/>
      <c r="UHV1511"/>
      <c r="UHW1511"/>
      <c r="UHX1511"/>
      <c r="UHY1511"/>
      <c r="UHZ1511"/>
      <c r="UIA1511"/>
      <c r="UIB1511"/>
      <c r="UIC1511"/>
      <c r="UID1511"/>
      <c r="UIE1511"/>
      <c r="UIF1511"/>
      <c r="UIG1511"/>
      <c r="UIH1511"/>
      <c r="UII1511"/>
      <c r="UIJ1511"/>
      <c r="UIK1511"/>
      <c r="UIL1511"/>
      <c r="UIM1511"/>
      <c r="UIN1511"/>
      <c r="UIO1511"/>
      <c r="UIP1511"/>
      <c r="UIQ1511"/>
      <c r="UIR1511"/>
      <c r="UIS1511"/>
      <c r="UIT1511"/>
      <c r="UIU1511"/>
      <c r="UIV1511"/>
      <c r="UIW1511"/>
      <c r="UIX1511"/>
      <c r="UIY1511"/>
      <c r="UIZ1511"/>
      <c r="UJA1511"/>
      <c r="UJB1511"/>
      <c r="UJC1511"/>
      <c r="UJD1511"/>
      <c r="UJE1511"/>
      <c r="UJF1511"/>
      <c r="UJG1511"/>
      <c r="UJH1511"/>
      <c r="UJI1511"/>
      <c r="UJJ1511"/>
      <c r="UJK1511"/>
      <c r="UJL1511"/>
      <c r="UJM1511"/>
      <c r="UJN1511"/>
      <c r="UJO1511"/>
      <c r="UJP1511"/>
      <c r="UJQ1511"/>
      <c r="UJR1511"/>
      <c r="UJS1511"/>
      <c r="UJT1511"/>
      <c r="UJU1511"/>
      <c r="UJV1511"/>
      <c r="UJW1511"/>
      <c r="UJX1511"/>
      <c r="UJY1511"/>
      <c r="UJZ1511"/>
      <c r="UKA1511"/>
      <c r="UKB1511"/>
      <c r="UKC1511"/>
      <c r="UKD1511"/>
      <c r="UKE1511"/>
      <c r="UKF1511"/>
      <c r="UKG1511"/>
      <c r="UKH1511"/>
      <c r="UKI1511"/>
      <c r="UKJ1511"/>
      <c r="UKK1511"/>
      <c r="UKL1511"/>
      <c r="UKM1511"/>
      <c r="UKN1511"/>
      <c r="UKO1511"/>
      <c r="UKP1511"/>
      <c r="UKQ1511"/>
      <c r="UKR1511"/>
      <c r="UKS1511"/>
      <c r="UKT1511"/>
      <c r="UKU1511"/>
      <c r="UKV1511"/>
      <c r="UKW1511"/>
      <c r="UKX1511"/>
      <c r="UKY1511"/>
      <c r="UKZ1511"/>
      <c r="ULA1511"/>
      <c r="ULB1511"/>
      <c r="ULC1511"/>
      <c r="ULD1511"/>
      <c r="ULE1511"/>
      <c r="ULF1511"/>
      <c r="ULG1511"/>
      <c r="ULH1511"/>
      <c r="ULI1511"/>
      <c r="ULJ1511"/>
      <c r="ULK1511"/>
      <c r="ULL1511"/>
      <c r="ULM1511"/>
      <c r="ULN1511"/>
      <c r="ULO1511"/>
      <c r="ULP1511"/>
      <c r="ULQ1511"/>
      <c r="ULR1511"/>
      <c r="ULS1511"/>
      <c r="ULT1511"/>
      <c r="ULU1511"/>
      <c r="ULV1511"/>
      <c r="ULW1511"/>
      <c r="ULX1511"/>
      <c r="ULY1511"/>
      <c r="ULZ1511"/>
      <c r="UMA1511"/>
      <c r="UMB1511"/>
      <c r="UMC1511"/>
      <c r="UMD1511"/>
      <c r="UME1511"/>
      <c r="UMF1511"/>
      <c r="UMG1511"/>
      <c r="UMH1511"/>
      <c r="UMI1511"/>
      <c r="UMJ1511"/>
      <c r="UMK1511"/>
      <c r="UML1511"/>
      <c r="UMM1511"/>
      <c r="UMN1511"/>
      <c r="UMO1511"/>
      <c r="UMP1511"/>
      <c r="UMQ1511"/>
      <c r="UMR1511"/>
      <c r="UMS1511"/>
      <c r="UMT1511"/>
      <c r="UMU1511"/>
      <c r="UMV1511"/>
      <c r="UMW1511"/>
      <c r="UMX1511"/>
      <c r="UMY1511"/>
      <c r="UMZ1511"/>
      <c r="UNA1511"/>
      <c r="UNB1511"/>
      <c r="UNC1511"/>
      <c r="UND1511"/>
      <c r="UNE1511"/>
      <c r="UNF1511"/>
      <c r="UNG1511"/>
      <c r="UNH1511"/>
      <c r="UNI1511"/>
      <c r="UNJ1511"/>
      <c r="UNK1511"/>
      <c r="UNL1511"/>
      <c r="UNM1511"/>
      <c r="UNN1511"/>
      <c r="UNO1511"/>
      <c r="UNP1511"/>
      <c r="UNQ1511"/>
      <c r="UNR1511"/>
      <c r="UNS1511"/>
      <c r="UNT1511"/>
      <c r="UNU1511"/>
      <c r="UNV1511"/>
      <c r="UNW1511"/>
      <c r="UNX1511"/>
      <c r="UNY1511"/>
      <c r="UNZ1511"/>
      <c r="UOA1511"/>
      <c r="UOB1511"/>
      <c r="UOC1511"/>
      <c r="UOD1511"/>
      <c r="UOE1511"/>
      <c r="UOF1511"/>
      <c r="UOG1511"/>
      <c r="UOH1511"/>
      <c r="UOI1511"/>
      <c r="UOJ1511"/>
      <c r="UOK1511"/>
      <c r="UOL1511"/>
      <c r="UOM1511"/>
      <c r="UON1511"/>
      <c r="UOO1511"/>
      <c r="UOP1511"/>
      <c r="UOQ1511"/>
      <c r="UOR1511"/>
      <c r="UOS1511"/>
      <c r="UOT1511"/>
      <c r="UOU1511"/>
      <c r="UOV1511"/>
      <c r="UOW1511"/>
      <c r="UOX1511"/>
      <c r="UOY1511"/>
      <c r="UOZ1511"/>
      <c r="UPA1511"/>
      <c r="UPB1511"/>
      <c r="UPC1511"/>
      <c r="UPD1511"/>
      <c r="UPE1511"/>
      <c r="UPF1511"/>
      <c r="UPG1511"/>
      <c r="UPH1511"/>
      <c r="UPI1511"/>
      <c r="UPJ1511"/>
      <c r="UPK1511"/>
      <c r="UPL1511"/>
      <c r="UPM1511"/>
      <c r="UPN1511"/>
      <c r="UPO1511"/>
      <c r="UPP1511"/>
      <c r="UPQ1511"/>
      <c r="UPR1511"/>
      <c r="UPS1511"/>
      <c r="UPT1511"/>
      <c r="UPU1511"/>
      <c r="UPV1511"/>
      <c r="UPW1511"/>
      <c r="UPX1511"/>
      <c r="UPY1511"/>
      <c r="UPZ1511"/>
      <c r="UQA1511"/>
      <c r="UQB1511"/>
      <c r="UQC1511"/>
      <c r="UQD1511"/>
      <c r="UQE1511"/>
      <c r="UQF1511"/>
      <c r="UQG1511"/>
      <c r="UQH1511"/>
      <c r="UQI1511"/>
      <c r="UQJ1511"/>
      <c r="UQK1511"/>
      <c r="UQL1511"/>
      <c r="UQM1511"/>
      <c r="UQN1511"/>
      <c r="UQO1511"/>
      <c r="UQP1511"/>
      <c r="UQQ1511"/>
      <c r="UQR1511"/>
      <c r="UQS1511"/>
      <c r="UQT1511"/>
      <c r="UQU1511"/>
      <c r="UQV1511"/>
      <c r="UQW1511"/>
      <c r="UQX1511"/>
      <c r="UQY1511"/>
      <c r="UQZ1511"/>
      <c r="URA1511"/>
      <c r="URB1511"/>
      <c r="URC1511"/>
      <c r="URD1511"/>
      <c r="URE1511"/>
      <c r="URF1511"/>
      <c r="URG1511"/>
      <c r="URH1511"/>
      <c r="URI1511"/>
      <c r="URJ1511"/>
      <c r="URK1511"/>
      <c r="URL1511"/>
      <c r="URM1511"/>
      <c r="URN1511"/>
      <c r="URO1511"/>
      <c r="URP1511"/>
      <c r="URQ1511"/>
      <c r="URR1511"/>
      <c r="URS1511"/>
      <c r="URT1511"/>
      <c r="URU1511"/>
      <c r="URV1511"/>
      <c r="URW1511"/>
      <c r="URX1511"/>
      <c r="URY1511"/>
      <c r="URZ1511"/>
      <c r="USA1511"/>
      <c r="USB1511"/>
      <c r="USC1511"/>
      <c r="USD1511"/>
      <c r="USE1511"/>
      <c r="USF1511"/>
      <c r="USG1511"/>
      <c r="USH1511"/>
      <c r="USI1511"/>
      <c r="USJ1511"/>
      <c r="USK1511"/>
      <c r="USL1511"/>
      <c r="USM1511"/>
      <c r="USN1511"/>
      <c r="USO1511"/>
      <c r="USP1511"/>
      <c r="USQ1511"/>
      <c r="USR1511"/>
      <c r="USS1511"/>
      <c r="UST1511"/>
      <c r="USU1511"/>
      <c r="USV1511"/>
      <c r="USW1511"/>
      <c r="USX1511"/>
      <c r="USY1511"/>
      <c r="USZ1511"/>
      <c r="UTA1511"/>
      <c r="UTB1511"/>
      <c r="UTC1511"/>
      <c r="UTD1511"/>
      <c r="UTE1511"/>
      <c r="UTF1511"/>
      <c r="UTG1511"/>
      <c r="UTH1511"/>
      <c r="UTI1511"/>
      <c r="UTJ1511"/>
      <c r="UTK1511"/>
      <c r="UTL1511"/>
      <c r="UTM1511"/>
      <c r="UTN1511"/>
      <c r="UTO1511"/>
      <c r="UTP1511"/>
      <c r="UTQ1511"/>
      <c r="UTR1511"/>
      <c r="UTS1511"/>
      <c r="UTT1511"/>
      <c r="UTU1511"/>
      <c r="UTV1511"/>
      <c r="UTW1511"/>
      <c r="UTX1511"/>
      <c r="UTY1511"/>
      <c r="UTZ1511"/>
      <c r="UUA1511"/>
      <c r="UUB1511"/>
      <c r="UUC1511"/>
      <c r="UUD1511"/>
      <c r="UUE1511"/>
      <c r="UUF1511"/>
      <c r="UUG1511"/>
      <c r="UUH1511"/>
      <c r="UUI1511"/>
      <c r="UUJ1511"/>
      <c r="UUK1511"/>
      <c r="UUL1511"/>
      <c r="UUM1511"/>
      <c r="UUN1511"/>
      <c r="UUO1511"/>
      <c r="UUP1511"/>
      <c r="UUQ1511"/>
      <c r="UUR1511"/>
      <c r="UUS1511"/>
      <c r="UUT1511"/>
      <c r="UUU1511"/>
      <c r="UUV1511"/>
      <c r="UUW1511"/>
      <c r="UUX1511"/>
      <c r="UUY1511"/>
      <c r="UUZ1511"/>
      <c r="UVA1511"/>
      <c r="UVB1511"/>
      <c r="UVC1511"/>
      <c r="UVD1511"/>
      <c r="UVE1511"/>
      <c r="UVF1511"/>
      <c r="UVG1511"/>
      <c r="UVH1511"/>
      <c r="UVI1511"/>
      <c r="UVJ1511"/>
      <c r="UVK1511"/>
      <c r="UVL1511"/>
      <c r="UVM1511"/>
      <c r="UVN1511"/>
      <c r="UVO1511"/>
      <c r="UVP1511"/>
      <c r="UVQ1511"/>
      <c r="UVR1511"/>
      <c r="UVS1511"/>
      <c r="UVT1511"/>
      <c r="UVU1511"/>
      <c r="UVV1511"/>
      <c r="UVW1511"/>
      <c r="UVX1511"/>
      <c r="UVY1511"/>
      <c r="UVZ1511"/>
      <c r="UWA1511"/>
      <c r="UWB1511"/>
      <c r="UWC1511"/>
      <c r="UWD1511"/>
      <c r="UWE1511"/>
      <c r="UWF1511"/>
      <c r="UWG1511"/>
      <c r="UWH1511"/>
      <c r="UWI1511"/>
      <c r="UWJ1511"/>
      <c r="UWK1511"/>
      <c r="UWL1511"/>
      <c r="UWM1511"/>
      <c r="UWN1511"/>
      <c r="UWO1511"/>
      <c r="UWP1511"/>
      <c r="UWQ1511"/>
      <c r="UWR1511"/>
      <c r="UWS1511"/>
      <c r="UWT1511"/>
      <c r="UWU1511"/>
      <c r="UWV1511"/>
      <c r="UWW1511"/>
      <c r="UWX1511"/>
      <c r="UWY1511"/>
      <c r="UWZ1511"/>
      <c r="UXA1511"/>
      <c r="UXB1511"/>
      <c r="UXC1511"/>
      <c r="UXD1511"/>
      <c r="UXE1511"/>
      <c r="UXF1511"/>
      <c r="UXG1511"/>
      <c r="UXH1511"/>
      <c r="UXI1511"/>
      <c r="UXJ1511"/>
      <c r="UXK1511"/>
      <c r="UXL1511"/>
      <c r="UXM1511"/>
      <c r="UXN1511"/>
      <c r="UXO1511"/>
      <c r="UXP1511"/>
      <c r="UXQ1511"/>
      <c r="UXR1511"/>
      <c r="UXS1511"/>
      <c r="UXT1511"/>
      <c r="UXU1511"/>
      <c r="UXV1511"/>
      <c r="UXW1511"/>
      <c r="UXX1511"/>
      <c r="UXY1511"/>
      <c r="UXZ1511"/>
      <c r="UYA1511"/>
      <c r="UYB1511"/>
      <c r="UYC1511"/>
      <c r="UYD1511"/>
      <c r="UYE1511"/>
      <c r="UYF1511"/>
      <c r="UYG1511"/>
      <c r="UYH1511"/>
      <c r="UYI1511"/>
      <c r="UYJ1511"/>
      <c r="UYK1511"/>
      <c r="UYL1511"/>
      <c r="UYM1511"/>
      <c r="UYN1511"/>
      <c r="UYO1511"/>
      <c r="UYP1511"/>
      <c r="UYQ1511"/>
      <c r="UYR1511"/>
      <c r="UYS1511"/>
      <c r="UYT1511"/>
      <c r="UYU1511"/>
      <c r="UYV1511"/>
      <c r="UYW1511"/>
      <c r="UYX1511"/>
      <c r="UYY1511"/>
      <c r="UYZ1511"/>
      <c r="UZA1511"/>
      <c r="UZB1511"/>
      <c r="UZC1511"/>
      <c r="UZD1511"/>
      <c r="UZE1511"/>
      <c r="UZF1511"/>
      <c r="UZG1511"/>
      <c r="UZH1511"/>
      <c r="UZI1511"/>
      <c r="UZJ1511"/>
      <c r="UZK1511"/>
      <c r="UZL1511"/>
      <c r="UZM1511"/>
      <c r="UZN1511"/>
      <c r="UZO1511"/>
      <c r="UZP1511"/>
      <c r="UZQ1511"/>
      <c r="UZR1511"/>
      <c r="UZS1511"/>
      <c r="UZT1511"/>
      <c r="UZU1511"/>
      <c r="UZV1511"/>
      <c r="UZW1511"/>
      <c r="UZX1511"/>
      <c r="UZY1511"/>
      <c r="UZZ1511"/>
      <c r="VAA1511"/>
      <c r="VAB1511"/>
      <c r="VAC1511"/>
      <c r="VAD1511"/>
      <c r="VAE1511"/>
      <c r="VAF1511"/>
      <c r="VAG1511"/>
      <c r="VAH1511"/>
      <c r="VAI1511"/>
      <c r="VAJ1511"/>
      <c r="VAK1511"/>
      <c r="VAL1511"/>
      <c r="VAM1511"/>
      <c r="VAN1511"/>
      <c r="VAO1511"/>
      <c r="VAP1511"/>
      <c r="VAQ1511"/>
      <c r="VAR1511"/>
      <c r="VAS1511"/>
      <c r="VAT1511"/>
      <c r="VAU1511"/>
      <c r="VAV1511"/>
      <c r="VAW1511"/>
      <c r="VAX1511"/>
      <c r="VAY1511"/>
      <c r="VAZ1511"/>
      <c r="VBA1511"/>
      <c r="VBB1511"/>
      <c r="VBC1511"/>
      <c r="VBD1511"/>
      <c r="VBE1511"/>
      <c r="VBF1511"/>
      <c r="VBG1511"/>
      <c r="VBH1511"/>
      <c r="VBI1511"/>
      <c r="VBJ1511"/>
      <c r="VBK1511"/>
      <c r="VBL1511"/>
      <c r="VBM1511"/>
      <c r="VBN1511"/>
      <c r="VBO1511"/>
      <c r="VBP1511"/>
      <c r="VBQ1511"/>
      <c r="VBR1511"/>
      <c r="VBS1511"/>
      <c r="VBT1511"/>
      <c r="VBU1511"/>
      <c r="VBV1511"/>
      <c r="VBW1511"/>
      <c r="VBX1511"/>
      <c r="VBY1511"/>
      <c r="VBZ1511"/>
      <c r="VCA1511"/>
      <c r="VCB1511"/>
      <c r="VCC1511"/>
      <c r="VCD1511"/>
      <c r="VCE1511"/>
      <c r="VCF1511"/>
      <c r="VCG1511"/>
      <c r="VCH1511"/>
      <c r="VCI1511"/>
      <c r="VCJ1511"/>
      <c r="VCK1511"/>
      <c r="VCL1511"/>
      <c r="VCM1511"/>
      <c r="VCN1511"/>
      <c r="VCO1511"/>
      <c r="VCP1511"/>
      <c r="VCQ1511"/>
      <c r="VCR1511"/>
      <c r="VCS1511"/>
      <c r="VCT1511"/>
      <c r="VCU1511"/>
      <c r="VCV1511"/>
      <c r="VCW1511"/>
      <c r="VCX1511"/>
      <c r="VCY1511"/>
      <c r="VCZ1511"/>
      <c r="VDA1511"/>
      <c r="VDB1511"/>
      <c r="VDC1511"/>
      <c r="VDD1511"/>
      <c r="VDE1511"/>
      <c r="VDF1511"/>
      <c r="VDG1511"/>
      <c r="VDH1511"/>
      <c r="VDI1511"/>
      <c r="VDJ1511"/>
      <c r="VDK1511"/>
      <c r="VDL1511"/>
      <c r="VDM1511"/>
      <c r="VDN1511"/>
      <c r="VDO1511"/>
      <c r="VDP1511"/>
      <c r="VDQ1511"/>
      <c r="VDR1511"/>
      <c r="VDS1511"/>
      <c r="VDT1511"/>
      <c r="VDU1511"/>
      <c r="VDV1511"/>
      <c r="VDW1511"/>
      <c r="VDX1511"/>
      <c r="VDY1511"/>
      <c r="VDZ1511"/>
      <c r="VEA1511"/>
      <c r="VEB1511"/>
      <c r="VEC1511"/>
      <c r="VED1511"/>
      <c r="VEE1511"/>
      <c r="VEF1511"/>
      <c r="VEG1511"/>
      <c r="VEH1511"/>
      <c r="VEI1511"/>
      <c r="VEJ1511"/>
      <c r="VEK1511"/>
      <c r="VEL1511"/>
      <c r="VEM1511"/>
      <c r="VEN1511"/>
      <c r="VEO1511"/>
      <c r="VEP1511"/>
      <c r="VEQ1511"/>
      <c r="VER1511"/>
      <c r="VES1511"/>
      <c r="VET1511"/>
      <c r="VEU1511"/>
      <c r="VEV1511"/>
      <c r="VEW1511"/>
      <c r="VEX1511"/>
      <c r="VEY1511"/>
      <c r="VEZ1511"/>
      <c r="VFA1511"/>
      <c r="VFB1511"/>
      <c r="VFC1511"/>
      <c r="VFD1511"/>
      <c r="VFE1511"/>
      <c r="VFF1511"/>
      <c r="VFG1511"/>
      <c r="VFH1511"/>
      <c r="VFI1511"/>
      <c r="VFJ1511"/>
      <c r="VFK1511"/>
      <c r="VFL1511"/>
      <c r="VFM1511"/>
      <c r="VFN1511"/>
      <c r="VFO1511"/>
      <c r="VFP1511"/>
      <c r="VFQ1511"/>
      <c r="VFR1511"/>
      <c r="VFS1511"/>
      <c r="VFT1511"/>
      <c r="VFU1511"/>
      <c r="VFV1511"/>
      <c r="VFW1511"/>
      <c r="VFX1511"/>
      <c r="VFY1511"/>
      <c r="VFZ1511"/>
      <c r="VGA1511"/>
      <c r="VGB1511"/>
      <c r="VGC1511"/>
      <c r="VGD1511"/>
      <c r="VGE1511"/>
      <c r="VGF1511"/>
      <c r="VGG1511"/>
      <c r="VGH1511"/>
      <c r="VGI1511"/>
      <c r="VGJ1511"/>
      <c r="VGK1511"/>
      <c r="VGL1511"/>
      <c r="VGM1511"/>
      <c r="VGN1511"/>
      <c r="VGO1511"/>
      <c r="VGP1511"/>
      <c r="VGQ1511"/>
      <c r="VGR1511"/>
      <c r="VGS1511"/>
      <c r="VGT1511"/>
      <c r="VGU1511"/>
      <c r="VGV1511"/>
      <c r="VGW1511"/>
      <c r="VGX1511"/>
      <c r="VGY1511"/>
      <c r="VGZ1511"/>
      <c r="VHA1511"/>
      <c r="VHB1511"/>
      <c r="VHC1511"/>
      <c r="VHD1511"/>
      <c r="VHE1511"/>
      <c r="VHF1511"/>
      <c r="VHG1511"/>
      <c r="VHH1511"/>
      <c r="VHI1511"/>
      <c r="VHJ1511"/>
      <c r="VHK1511"/>
      <c r="VHL1511"/>
      <c r="VHM1511"/>
      <c r="VHN1511"/>
      <c r="VHO1511"/>
      <c r="VHP1511"/>
      <c r="VHQ1511"/>
      <c r="VHR1511"/>
      <c r="VHS1511"/>
      <c r="VHT1511"/>
      <c r="VHU1511"/>
      <c r="VHV1511"/>
      <c r="VHW1511"/>
      <c r="VHX1511"/>
      <c r="VHY1511"/>
      <c r="VHZ1511"/>
      <c r="VIA1511"/>
      <c r="VIB1511"/>
      <c r="VIC1511"/>
      <c r="VID1511"/>
      <c r="VIE1511"/>
      <c r="VIF1511"/>
      <c r="VIG1511"/>
      <c r="VIH1511"/>
      <c r="VII1511"/>
      <c r="VIJ1511"/>
      <c r="VIK1511"/>
      <c r="VIL1511"/>
      <c r="VIM1511"/>
      <c r="VIN1511"/>
      <c r="VIO1511"/>
      <c r="VIP1511"/>
      <c r="VIQ1511"/>
      <c r="VIR1511"/>
      <c r="VIS1511"/>
      <c r="VIT1511"/>
      <c r="VIU1511"/>
      <c r="VIV1511"/>
      <c r="VIW1511"/>
      <c r="VIX1511"/>
      <c r="VIY1511"/>
      <c r="VIZ1511"/>
      <c r="VJA1511"/>
      <c r="VJB1511"/>
      <c r="VJC1511"/>
      <c r="VJD1511"/>
      <c r="VJE1511"/>
      <c r="VJF1511"/>
      <c r="VJG1511"/>
      <c r="VJH1511"/>
      <c r="VJI1511"/>
      <c r="VJJ1511"/>
      <c r="VJK1511"/>
      <c r="VJL1511"/>
      <c r="VJM1511"/>
      <c r="VJN1511"/>
      <c r="VJO1511"/>
      <c r="VJP1511"/>
      <c r="VJQ1511"/>
      <c r="VJR1511"/>
      <c r="VJS1511"/>
      <c r="VJT1511"/>
      <c r="VJU1511"/>
      <c r="VJV1511"/>
      <c r="VJW1511"/>
      <c r="VJX1511"/>
      <c r="VJY1511"/>
      <c r="VJZ1511"/>
      <c r="VKA1511"/>
      <c r="VKB1511"/>
      <c r="VKC1511"/>
      <c r="VKD1511"/>
      <c r="VKE1511"/>
      <c r="VKF1511"/>
      <c r="VKG1511"/>
      <c r="VKH1511"/>
      <c r="VKI1511"/>
      <c r="VKJ1511"/>
      <c r="VKK1511"/>
      <c r="VKL1511"/>
      <c r="VKM1511"/>
      <c r="VKN1511"/>
      <c r="VKO1511"/>
      <c r="VKP1511"/>
      <c r="VKQ1511"/>
      <c r="VKR1511"/>
      <c r="VKS1511"/>
      <c r="VKT1511"/>
      <c r="VKU1511"/>
      <c r="VKV1511"/>
      <c r="VKW1511"/>
      <c r="VKX1511"/>
      <c r="VKY1511"/>
      <c r="VKZ1511"/>
      <c r="VLA1511"/>
      <c r="VLB1511"/>
      <c r="VLC1511"/>
      <c r="VLD1511"/>
      <c r="VLE1511"/>
      <c r="VLF1511"/>
      <c r="VLG1511"/>
      <c r="VLH1511"/>
      <c r="VLI1511"/>
      <c r="VLJ1511"/>
      <c r="VLK1511"/>
      <c r="VLL1511"/>
      <c r="VLM1511"/>
      <c r="VLN1511"/>
      <c r="VLO1511"/>
      <c r="VLP1511"/>
      <c r="VLQ1511"/>
      <c r="VLR1511"/>
      <c r="VLS1511"/>
      <c r="VLT1511"/>
      <c r="VLU1511"/>
      <c r="VLV1511"/>
      <c r="VLW1511"/>
      <c r="VLX1511"/>
      <c r="VLY1511"/>
      <c r="VLZ1511"/>
      <c r="VMA1511"/>
      <c r="VMB1511"/>
      <c r="VMC1511"/>
      <c r="VMD1511"/>
      <c r="VME1511"/>
      <c r="VMF1511"/>
      <c r="VMG1511"/>
      <c r="VMH1511"/>
      <c r="VMI1511"/>
      <c r="VMJ1511"/>
      <c r="VMK1511"/>
      <c r="VML1511"/>
      <c r="VMM1511"/>
      <c r="VMN1511"/>
      <c r="VMO1511"/>
      <c r="VMP1511"/>
      <c r="VMQ1511"/>
      <c r="VMR1511"/>
      <c r="VMS1511"/>
      <c r="VMT1511"/>
      <c r="VMU1511"/>
      <c r="VMV1511"/>
      <c r="VMW1511"/>
      <c r="VMX1511"/>
      <c r="VMY1511"/>
      <c r="VMZ1511"/>
      <c r="VNA1511"/>
      <c r="VNB1511"/>
      <c r="VNC1511"/>
      <c r="VND1511"/>
      <c r="VNE1511"/>
      <c r="VNF1511"/>
      <c r="VNG1511"/>
      <c r="VNH1511"/>
      <c r="VNI1511"/>
      <c r="VNJ1511"/>
      <c r="VNK1511"/>
      <c r="VNL1511"/>
      <c r="VNM1511"/>
      <c r="VNN1511"/>
      <c r="VNO1511"/>
      <c r="VNP1511"/>
      <c r="VNQ1511"/>
      <c r="VNR1511"/>
      <c r="VNS1511"/>
      <c r="VNT1511"/>
      <c r="VNU1511"/>
      <c r="VNV1511"/>
      <c r="VNW1511"/>
      <c r="VNX1511"/>
      <c r="VNY1511"/>
      <c r="VNZ1511"/>
      <c r="VOA1511"/>
      <c r="VOB1511"/>
      <c r="VOC1511"/>
      <c r="VOD1511"/>
      <c r="VOE1511"/>
      <c r="VOF1511"/>
      <c r="VOG1511"/>
      <c r="VOH1511"/>
      <c r="VOI1511"/>
      <c r="VOJ1511"/>
      <c r="VOK1511"/>
      <c r="VOL1511"/>
      <c r="VOM1511"/>
      <c r="VON1511"/>
      <c r="VOO1511"/>
      <c r="VOP1511"/>
      <c r="VOQ1511"/>
      <c r="VOR1511"/>
      <c r="VOS1511"/>
      <c r="VOT1511"/>
      <c r="VOU1511"/>
      <c r="VOV1511"/>
      <c r="VOW1511"/>
      <c r="VOX1511"/>
      <c r="VOY1511"/>
      <c r="VOZ1511"/>
      <c r="VPA1511"/>
      <c r="VPB1511"/>
      <c r="VPC1511"/>
      <c r="VPD1511"/>
      <c r="VPE1511"/>
      <c r="VPF1511"/>
      <c r="VPG1511"/>
      <c r="VPH1511"/>
      <c r="VPI1511"/>
      <c r="VPJ1511"/>
      <c r="VPK1511"/>
      <c r="VPL1511"/>
      <c r="VPM1511"/>
      <c r="VPN1511"/>
      <c r="VPO1511"/>
      <c r="VPP1511"/>
      <c r="VPQ1511"/>
      <c r="VPR1511"/>
      <c r="VPS1511"/>
      <c r="VPT1511"/>
      <c r="VPU1511"/>
      <c r="VPV1511"/>
      <c r="VPW1511"/>
      <c r="VPX1511"/>
      <c r="VPY1511"/>
      <c r="VPZ1511"/>
      <c r="VQA1511"/>
      <c r="VQB1511"/>
      <c r="VQC1511"/>
      <c r="VQD1511"/>
      <c r="VQE1511"/>
      <c r="VQF1511"/>
      <c r="VQG1511"/>
      <c r="VQH1511"/>
      <c r="VQI1511"/>
      <c r="VQJ1511"/>
      <c r="VQK1511"/>
      <c r="VQL1511"/>
      <c r="VQM1511"/>
      <c r="VQN1511"/>
      <c r="VQO1511"/>
      <c r="VQP1511"/>
      <c r="VQQ1511"/>
      <c r="VQR1511"/>
      <c r="VQS1511"/>
      <c r="VQT1511"/>
      <c r="VQU1511"/>
      <c r="VQV1511"/>
      <c r="VQW1511"/>
      <c r="VQX1511"/>
      <c r="VQY1511"/>
      <c r="VQZ1511"/>
      <c r="VRA1511"/>
      <c r="VRB1511"/>
      <c r="VRC1511"/>
      <c r="VRD1511"/>
      <c r="VRE1511"/>
      <c r="VRF1511"/>
      <c r="VRG1511"/>
      <c r="VRH1511"/>
      <c r="VRI1511"/>
      <c r="VRJ1511"/>
      <c r="VRK1511"/>
      <c r="VRL1511"/>
      <c r="VRM1511"/>
      <c r="VRN1511"/>
      <c r="VRO1511"/>
      <c r="VRP1511"/>
      <c r="VRQ1511"/>
      <c r="VRR1511"/>
      <c r="VRS1511"/>
      <c r="VRT1511"/>
      <c r="VRU1511"/>
      <c r="VRV1511"/>
      <c r="VRW1511"/>
      <c r="VRX1511"/>
      <c r="VRY1511"/>
      <c r="VRZ1511"/>
      <c r="VSA1511"/>
      <c r="VSB1511"/>
      <c r="VSC1511"/>
      <c r="VSD1511"/>
      <c r="VSE1511"/>
      <c r="VSF1511"/>
      <c r="VSG1511"/>
      <c r="VSH1511"/>
      <c r="VSI1511"/>
      <c r="VSJ1511"/>
      <c r="VSK1511"/>
      <c r="VSL1511"/>
      <c r="VSM1511"/>
      <c r="VSN1511"/>
      <c r="VSO1511"/>
      <c r="VSP1511"/>
      <c r="VSQ1511"/>
      <c r="VSR1511"/>
      <c r="VSS1511"/>
      <c r="VST1511"/>
      <c r="VSU1511"/>
      <c r="VSV1511"/>
      <c r="VSW1511"/>
      <c r="VSX1511"/>
      <c r="VSY1511"/>
      <c r="VSZ1511"/>
      <c r="VTA1511"/>
      <c r="VTB1511"/>
      <c r="VTC1511"/>
      <c r="VTD1511"/>
      <c r="VTE1511"/>
      <c r="VTF1511"/>
      <c r="VTG1511"/>
      <c r="VTH1511"/>
      <c r="VTI1511"/>
      <c r="VTJ1511"/>
      <c r="VTK1511"/>
      <c r="VTL1511"/>
      <c r="VTM1511"/>
      <c r="VTN1511"/>
      <c r="VTO1511"/>
      <c r="VTP1511"/>
      <c r="VTQ1511"/>
      <c r="VTR1511"/>
      <c r="VTS1511"/>
      <c r="VTT1511"/>
      <c r="VTU1511"/>
      <c r="VTV1511"/>
      <c r="VTW1511"/>
      <c r="VTX1511"/>
      <c r="VTY1511"/>
      <c r="VTZ1511"/>
      <c r="VUA1511"/>
      <c r="VUB1511"/>
      <c r="VUC1511"/>
      <c r="VUD1511"/>
      <c r="VUE1511"/>
      <c r="VUF1511"/>
      <c r="VUG1511"/>
      <c r="VUH1511"/>
      <c r="VUI1511"/>
      <c r="VUJ1511"/>
      <c r="VUK1511"/>
      <c r="VUL1511"/>
      <c r="VUM1511"/>
      <c r="VUN1511"/>
      <c r="VUO1511"/>
      <c r="VUP1511"/>
      <c r="VUQ1511"/>
      <c r="VUR1511"/>
      <c r="VUS1511"/>
      <c r="VUT1511"/>
      <c r="VUU1511"/>
      <c r="VUV1511"/>
      <c r="VUW1511"/>
      <c r="VUX1511"/>
      <c r="VUY1511"/>
      <c r="VUZ1511"/>
      <c r="VVA1511"/>
      <c r="VVB1511"/>
      <c r="VVC1511"/>
      <c r="VVD1511"/>
      <c r="VVE1511"/>
      <c r="VVF1511"/>
      <c r="VVG1511"/>
      <c r="VVH1511"/>
      <c r="VVI1511"/>
      <c r="VVJ1511"/>
      <c r="VVK1511"/>
      <c r="VVL1511"/>
      <c r="VVM1511"/>
      <c r="VVN1511"/>
      <c r="VVO1511"/>
      <c r="VVP1511"/>
      <c r="VVQ1511"/>
      <c r="VVR1511"/>
      <c r="VVS1511"/>
      <c r="VVT1511"/>
      <c r="VVU1511"/>
      <c r="VVV1511"/>
      <c r="VVW1511"/>
      <c r="VVX1511"/>
      <c r="VVY1511"/>
      <c r="VVZ1511"/>
      <c r="VWA1511"/>
      <c r="VWB1511"/>
      <c r="VWC1511"/>
      <c r="VWD1511"/>
      <c r="VWE1511"/>
      <c r="VWF1511"/>
      <c r="VWG1511"/>
      <c r="VWH1511"/>
      <c r="VWI1511"/>
      <c r="VWJ1511"/>
      <c r="VWK1511"/>
      <c r="VWL1511"/>
      <c r="VWM1511"/>
      <c r="VWN1511"/>
      <c r="VWO1511"/>
      <c r="VWP1511"/>
      <c r="VWQ1511"/>
      <c r="VWR1511"/>
      <c r="VWS1511"/>
      <c r="VWT1511"/>
      <c r="VWU1511"/>
      <c r="VWV1511"/>
      <c r="VWW1511"/>
      <c r="VWX1511"/>
      <c r="VWY1511"/>
      <c r="VWZ1511"/>
      <c r="VXA1511"/>
      <c r="VXB1511"/>
      <c r="VXC1511"/>
      <c r="VXD1511"/>
      <c r="VXE1511"/>
      <c r="VXF1511"/>
      <c r="VXG1511"/>
      <c r="VXH1511"/>
      <c r="VXI1511"/>
      <c r="VXJ1511"/>
      <c r="VXK1511"/>
      <c r="VXL1511"/>
      <c r="VXM1511"/>
      <c r="VXN1511"/>
      <c r="VXO1511"/>
      <c r="VXP1511"/>
      <c r="VXQ1511"/>
      <c r="VXR1511"/>
      <c r="VXS1511"/>
      <c r="VXT1511"/>
      <c r="VXU1511"/>
      <c r="VXV1511"/>
      <c r="VXW1511"/>
      <c r="VXX1511"/>
      <c r="VXY1511"/>
      <c r="VXZ1511"/>
      <c r="VYA1511"/>
      <c r="VYB1511"/>
      <c r="VYC1511"/>
      <c r="VYD1511"/>
      <c r="VYE1511"/>
      <c r="VYF1511"/>
      <c r="VYG1511"/>
      <c r="VYH1511"/>
      <c r="VYI1511"/>
      <c r="VYJ1511"/>
      <c r="VYK1511"/>
      <c r="VYL1511"/>
      <c r="VYM1511"/>
      <c r="VYN1511"/>
      <c r="VYO1511"/>
      <c r="VYP1511"/>
      <c r="VYQ1511"/>
      <c r="VYR1511"/>
      <c r="VYS1511"/>
      <c r="VYT1511"/>
      <c r="VYU1511"/>
      <c r="VYV1511"/>
      <c r="VYW1511"/>
      <c r="VYX1511"/>
      <c r="VYY1511"/>
      <c r="VYZ1511"/>
      <c r="VZA1511"/>
      <c r="VZB1511"/>
      <c r="VZC1511"/>
      <c r="VZD1511"/>
      <c r="VZE1511"/>
      <c r="VZF1511"/>
      <c r="VZG1511"/>
      <c r="VZH1511"/>
      <c r="VZI1511"/>
      <c r="VZJ1511"/>
      <c r="VZK1511"/>
      <c r="VZL1511"/>
      <c r="VZM1511"/>
      <c r="VZN1511"/>
      <c r="VZO1511"/>
      <c r="VZP1511"/>
      <c r="VZQ1511"/>
      <c r="VZR1511"/>
      <c r="VZS1511"/>
      <c r="VZT1511"/>
      <c r="VZU1511"/>
      <c r="VZV1511"/>
      <c r="VZW1511"/>
      <c r="VZX1511"/>
      <c r="VZY1511"/>
      <c r="VZZ1511"/>
      <c r="WAA1511"/>
      <c r="WAB1511"/>
      <c r="WAC1511"/>
      <c r="WAD1511"/>
      <c r="WAE1511"/>
      <c r="WAF1511"/>
      <c r="WAG1511"/>
      <c r="WAH1511"/>
      <c r="WAI1511"/>
      <c r="WAJ1511"/>
      <c r="WAK1511"/>
      <c r="WAL1511"/>
      <c r="WAM1511"/>
      <c r="WAN1511"/>
      <c r="WAO1511"/>
      <c r="WAP1511"/>
      <c r="WAQ1511"/>
      <c r="WAR1511"/>
      <c r="WAS1511"/>
      <c r="WAT1511"/>
      <c r="WAU1511"/>
      <c r="WAV1511"/>
      <c r="WAW1511"/>
      <c r="WAX1511"/>
      <c r="WAY1511"/>
      <c r="WAZ1511"/>
      <c r="WBA1511"/>
      <c r="WBB1511"/>
      <c r="WBC1511"/>
      <c r="WBD1511"/>
      <c r="WBE1511"/>
      <c r="WBF1511"/>
      <c r="WBG1511"/>
      <c r="WBH1511"/>
      <c r="WBI1511"/>
      <c r="WBJ1511"/>
      <c r="WBK1511"/>
      <c r="WBL1511"/>
      <c r="WBM1511"/>
      <c r="WBN1511"/>
      <c r="WBO1511"/>
      <c r="WBP1511"/>
      <c r="WBQ1511"/>
      <c r="WBR1511"/>
      <c r="WBS1511"/>
      <c r="WBT1511"/>
      <c r="WBU1511"/>
      <c r="WBV1511"/>
      <c r="WBW1511"/>
      <c r="WBX1511"/>
      <c r="WBY1511"/>
      <c r="WBZ1511"/>
      <c r="WCA1511"/>
      <c r="WCB1511"/>
      <c r="WCC1511"/>
      <c r="WCD1511"/>
      <c r="WCE1511"/>
      <c r="WCF1511"/>
      <c r="WCG1511"/>
      <c r="WCH1511"/>
      <c r="WCI1511"/>
      <c r="WCJ1511"/>
      <c r="WCK1511"/>
      <c r="WCL1511"/>
      <c r="WCM1511"/>
      <c r="WCN1511"/>
      <c r="WCO1511"/>
      <c r="WCP1511"/>
      <c r="WCQ1511"/>
      <c r="WCR1511"/>
      <c r="WCS1511"/>
      <c r="WCT1511"/>
      <c r="WCU1511"/>
      <c r="WCV1511"/>
      <c r="WCW1511"/>
      <c r="WCX1511"/>
      <c r="WCY1511"/>
      <c r="WCZ1511"/>
      <c r="WDA1511"/>
      <c r="WDB1511"/>
      <c r="WDC1511"/>
      <c r="WDD1511"/>
      <c r="WDE1511"/>
      <c r="WDF1511"/>
      <c r="WDG1511"/>
      <c r="WDH1511"/>
      <c r="WDI1511"/>
      <c r="WDJ1511"/>
      <c r="WDK1511"/>
      <c r="WDL1511"/>
      <c r="WDM1511"/>
      <c r="WDN1511"/>
      <c r="WDO1511"/>
      <c r="WDP1511"/>
      <c r="WDQ1511"/>
      <c r="WDR1511"/>
      <c r="WDS1511"/>
      <c r="WDT1511"/>
      <c r="WDU1511"/>
      <c r="WDV1511"/>
      <c r="WDW1511"/>
      <c r="WDX1511"/>
      <c r="WDY1511"/>
      <c r="WDZ1511"/>
      <c r="WEA1511"/>
      <c r="WEB1511"/>
      <c r="WEC1511"/>
      <c r="WED1511"/>
      <c r="WEE1511"/>
      <c r="WEF1511"/>
      <c r="WEG1511"/>
      <c r="WEH1511"/>
      <c r="WEI1511"/>
      <c r="WEJ1511"/>
      <c r="WEK1511"/>
      <c r="WEL1511"/>
      <c r="WEM1511"/>
      <c r="WEN1511"/>
      <c r="WEO1511"/>
      <c r="WEP1511"/>
      <c r="WEQ1511"/>
      <c r="WER1511"/>
      <c r="WES1511"/>
      <c r="WET1511"/>
      <c r="WEU1511"/>
      <c r="WEV1511"/>
      <c r="WEW1511"/>
      <c r="WEX1511"/>
      <c r="WEY1511"/>
      <c r="WEZ1511"/>
      <c r="WFA1511"/>
      <c r="WFB1511"/>
      <c r="WFC1511"/>
      <c r="WFD1511"/>
      <c r="WFE1511"/>
      <c r="WFF1511"/>
      <c r="WFG1511"/>
      <c r="WFH1511"/>
      <c r="WFI1511"/>
      <c r="WFJ1511"/>
      <c r="WFK1511"/>
      <c r="WFL1511"/>
      <c r="WFM1511"/>
      <c r="WFN1511"/>
      <c r="WFO1511"/>
      <c r="WFP1511"/>
      <c r="WFQ1511"/>
      <c r="WFR1511"/>
      <c r="WFS1511"/>
      <c r="WFT1511"/>
      <c r="WFU1511"/>
      <c r="WFV1511"/>
      <c r="WFW1511"/>
      <c r="WFX1511"/>
      <c r="WFY1511"/>
      <c r="WFZ1511"/>
      <c r="WGA1511"/>
      <c r="WGB1511"/>
      <c r="WGC1511"/>
      <c r="WGD1511"/>
      <c r="WGE1511"/>
      <c r="WGF1511"/>
      <c r="WGG1511"/>
      <c r="WGH1511"/>
      <c r="WGI1511"/>
      <c r="WGJ1511"/>
      <c r="WGK1511"/>
      <c r="WGL1511"/>
      <c r="WGM1511"/>
      <c r="WGN1511"/>
      <c r="WGO1511"/>
      <c r="WGP1511"/>
      <c r="WGQ1511"/>
      <c r="WGR1511"/>
      <c r="WGS1511"/>
      <c r="WGT1511"/>
      <c r="WGU1511"/>
      <c r="WGV1511"/>
      <c r="WGW1511"/>
      <c r="WGX1511"/>
      <c r="WGY1511"/>
      <c r="WGZ1511"/>
      <c r="WHA1511"/>
      <c r="WHB1511"/>
      <c r="WHC1511"/>
      <c r="WHD1511"/>
      <c r="WHE1511"/>
      <c r="WHF1511"/>
      <c r="WHG1511"/>
      <c r="WHH1511"/>
      <c r="WHI1511"/>
      <c r="WHJ1511"/>
      <c r="WHK1511"/>
      <c r="WHL1511"/>
      <c r="WHM1511"/>
      <c r="WHN1511"/>
      <c r="WHO1511"/>
      <c r="WHP1511"/>
      <c r="WHQ1511"/>
      <c r="WHR1511"/>
      <c r="WHS1511"/>
      <c r="WHT1511"/>
      <c r="WHU1511"/>
      <c r="WHV1511"/>
      <c r="WHW1511"/>
      <c r="WHX1511"/>
      <c r="WHY1511"/>
      <c r="WHZ1511"/>
      <c r="WIA1511"/>
      <c r="WIB1511"/>
      <c r="WIC1511"/>
      <c r="WID1511"/>
      <c r="WIE1511"/>
      <c r="WIF1511"/>
      <c r="WIG1511"/>
      <c r="WIH1511"/>
      <c r="WII1511"/>
      <c r="WIJ1511"/>
      <c r="WIK1511"/>
      <c r="WIL1511"/>
      <c r="WIM1511"/>
      <c r="WIN1511"/>
      <c r="WIO1511"/>
      <c r="WIP1511"/>
      <c r="WIQ1511"/>
      <c r="WIR1511"/>
      <c r="WIS1511"/>
      <c r="WIT1511"/>
      <c r="WIU1511"/>
      <c r="WIV1511"/>
      <c r="WIW1511"/>
      <c r="WIX1511"/>
      <c r="WIY1511"/>
      <c r="WIZ1511"/>
      <c r="WJA1511"/>
      <c r="WJB1511"/>
      <c r="WJC1511"/>
      <c r="WJD1511"/>
      <c r="WJE1511"/>
      <c r="WJF1511"/>
      <c r="WJG1511"/>
      <c r="WJH1511"/>
      <c r="WJI1511"/>
      <c r="WJJ1511"/>
      <c r="WJK1511"/>
      <c r="WJL1511"/>
      <c r="WJM1511"/>
      <c r="WJN1511"/>
      <c r="WJO1511"/>
      <c r="WJP1511"/>
      <c r="WJQ1511"/>
      <c r="WJR1511"/>
      <c r="WJS1511"/>
      <c r="WJT1511"/>
      <c r="WJU1511"/>
      <c r="WJV1511"/>
      <c r="WJW1511"/>
      <c r="WJX1511"/>
      <c r="WJY1511"/>
      <c r="WJZ1511"/>
      <c r="WKA1511"/>
      <c r="WKB1511"/>
      <c r="WKC1511"/>
      <c r="WKD1511"/>
      <c r="WKE1511"/>
      <c r="WKF1511"/>
      <c r="WKG1511"/>
      <c r="WKH1511"/>
      <c r="WKI1511"/>
      <c r="WKJ1511"/>
      <c r="WKK1511"/>
      <c r="WKL1511"/>
      <c r="WKM1511"/>
      <c r="WKN1511"/>
      <c r="WKO1511"/>
      <c r="WKP1511"/>
      <c r="WKQ1511"/>
      <c r="WKR1511"/>
      <c r="WKS1511"/>
      <c r="WKT1511"/>
      <c r="WKU1511"/>
      <c r="WKV1511"/>
      <c r="WKW1511"/>
      <c r="WKX1511"/>
      <c r="WKY1511"/>
      <c r="WKZ1511"/>
      <c r="WLA1511"/>
      <c r="WLB1511"/>
      <c r="WLC1511"/>
      <c r="WLD1511"/>
      <c r="WLE1511"/>
      <c r="WLF1511"/>
      <c r="WLG1511"/>
      <c r="WLH1511"/>
      <c r="WLI1511"/>
      <c r="WLJ1511"/>
      <c r="WLK1511"/>
      <c r="WLL1511"/>
      <c r="WLM1511"/>
      <c r="WLN1511"/>
      <c r="WLO1511"/>
      <c r="WLP1511"/>
      <c r="WLQ1511"/>
      <c r="WLR1511"/>
      <c r="WLS1511"/>
      <c r="WLT1511"/>
      <c r="WLU1511"/>
      <c r="WLV1511"/>
      <c r="WLW1511"/>
      <c r="WLX1511"/>
      <c r="WLY1511"/>
      <c r="WLZ1511"/>
      <c r="WMA1511"/>
      <c r="WMB1511"/>
      <c r="WMC1511"/>
      <c r="WMD1511"/>
      <c r="WME1511"/>
      <c r="WMF1511"/>
      <c r="WMG1511"/>
      <c r="WMH1511"/>
      <c r="WMI1511"/>
      <c r="WMJ1511"/>
      <c r="WMK1511"/>
      <c r="WML1511"/>
      <c r="WMM1511"/>
      <c r="WMN1511"/>
      <c r="WMO1511"/>
      <c r="WMP1511"/>
      <c r="WMQ1511"/>
      <c r="WMR1511"/>
      <c r="WMS1511"/>
      <c r="WMT1511"/>
      <c r="WMU1511"/>
      <c r="WMV1511"/>
      <c r="WMW1511"/>
      <c r="WMX1511"/>
      <c r="WMY1511"/>
      <c r="WMZ1511"/>
      <c r="WNA1511"/>
      <c r="WNB1511"/>
      <c r="WNC1511"/>
      <c r="WND1511"/>
      <c r="WNE1511"/>
      <c r="WNF1511"/>
      <c r="WNG1511"/>
      <c r="WNH1511"/>
      <c r="WNI1511"/>
      <c r="WNJ1511"/>
      <c r="WNK1511"/>
      <c r="WNL1511"/>
      <c r="WNM1511"/>
      <c r="WNN1511"/>
      <c r="WNO1511"/>
      <c r="WNP1511"/>
      <c r="WNQ1511"/>
      <c r="WNR1511"/>
      <c r="WNS1511"/>
      <c r="WNT1511"/>
      <c r="WNU1511"/>
      <c r="WNV1511"/>
      <c r="WNW1511"/>
      <c r="WNX1511"/>
      <c r="WNY1511"/>
      <c r="WNZ1511"/>
      <c r="WOA1511"/>
      <c r="WOB1511"/>
      <c r="WOC1511"/>
      <c r="WOD1511"/>
      <c r="WOE1511"/>
      <c r="WOF1511"/>
      <c r="WOG1511"/>
      <c r="WOH1511"/>
      <c r="WOI1511"/>
      <c r="WOJ1511"/>
      <c r="WOK1511"/>
      <c r="WOL1511"/>
      <c r="WOM1511"/>
      <c r="WON1511"/>
      <c r="WOO1511"/>
      <c r="WOP1511"/>
      <c r="WOQ1511"/>
      <c r="WOR1511"/>
      <c r="WOS1511"/>
      <c r="WOT1511"/>
      <c r="WOU1511"/>
      <c r="WOV1511"/>
      <c r="WOW1511"/>
      <c r="WOX1511"/>
      <c r="WOY1511"/>
      <c r="WOZ1511"/>
      <c r="WPA1511"/>
      <c r="WPB1511"/>
      <c r="WPC1511"/>
      <c r="WPD1511"/>
      <c r="WPE1511"/>
      <c r="WPF1511"/>
      <c r="WPG1511"/>
      <c r="WPH1511"/>
      <c r="WPI1511"/>
      <c r="WPJ1511"/>
      <c r="WPK1511"/>
      <c r="WPL1511"/>
      <c r="WPM1511"/>
      <c r="WPN1511"/>
      <c r="WPO1511"/>
      <c r="WPP1511"/>
      <c r="WPQ1511"/>
      <c r="WPR1511"/>
      <c r="WPS1511"/>
      <c r="WPT1511"/>
      <c r="WPU1511"/>
      <c r="WPV1511"/>
      <c r="WPW1511"/>
      <c r="WPX1511"/>
      <c r="WPY1511"/>
      <c r="WPZ1511"/>
      <c r="WQA1511"/>
      <c r="WQB1511"/>
      <c r="WQC1511"/>
      <c r="WQD1511"/>
      <c r="WQE1511"/>
      <c r="WQF1511"/>
      <c r="WQG1511"/>
      <c r="WQH1511"/>
      <c r="WQI1511"/>
      <c r="WQJ1511"/>
      <c r="WQK1511"/>
      <c r="WQL1511"/>
      <c r="WQM1511"/>
      <c r="WQN1511"/>
      <c r="WQO1511"/>
      <c r="WQP1511"/>
      <c r="WQQ1511"/>
      <c r="WQR1511"/>
      <c r="WQS1511"/>
      <c r="WQT1511"/>
      <c r="WQU1511"/>
      <c r="WQV1511"/>
      <c r="WQW1511"/>
      <c r="WQX1511"/>
      <c r="WQY1511"/>
      <c r="WQZ1511"/>
      <c r="WRA1511"/>
      <c r="WRB1511"/>
      <c r="WRC1511"/>
      <c r="WRD1511"/>
      <c r="WRE1511"/>
      <c r="WRF1511"/>
      <c r="WRG1511"/>
      <c r="WRH1511"/>
      <c r="WRI1511"/>
      <c r="WRJ1511"/>
      <c r="WRK1511"/>
      <c r="WRL1511"/>
      <c r="WRM1511"/>
      <c r="WRN1511"/>
      <c r="WRO1511"/>
      <c r="WRP1511"/>
      <c r="WRQ1511"/>
      <c r="WRR1511"/>
      <c r="WRS1511"/>
      <c r="WRT1511"/>
      <c r="WRU1511"/>
      <c r="WRV1511"/>
      <c r="WRW1511"/>
      <c r="WRX1511"/>
      <c r="WRY1511"/>
      <c r="WRZ1511"/>
      <c r="WSA1511"/>
      <c r="WSB1511"/>
      <c r="WSC1511"/>
      <c r="WSD1511"/>
      <c r="WSE1511"/>
      <c r="WSF1511"/>
      <c r="WSG1511"/>
      <c r="WSH1511"/>
      <c r="WSI1511"/>
      <c r="WSJ1511"/>
      <c r="WSK1511"/>
      <c r="WSL1511"/>
      <c r="WSM1511"/>
      <c r="WSN1511"/>
      <c r="WSO1511"/>
      <c r="WSP1511"/>
      <c r="WSQ1511"/>
      <c r="WSR1511"/>
      <c r="WSS1511"/>
      <c r="WST1511"/>
      <c r="WSU1511"/>
      <c r="WSV1511"/>
      <c r="WSW1511"/>
      <c r="WSX1511"/>
      <c r="WSY1511"/>
      <c r="WSZ1511"/>
      <c r="WTA1511"/>
      <c r="WTB1511"/>
      <c r="WTC1511"/>
      <c r="WTD1511"/>
      <c r="WTE1511"/>
      <c r="WTF1511"/>
      <c r="WTG1511"/>
      <c r="WTH1511"/>
      <c r="WTI1511"/>
      <c r="WTJ1511"/>
      <c r="WTK1511"/>
      <c r="WTL1511"/>
      <c r="WTM1511"/>
      <c r="WTN1511"/>
      <c r="WTO1511"/>
      <c r="WTP1511"/>
      <c r="WTQ1511"/>
      <c r="WTR1511"/>
      <c r="WTS1511"/>
      <c r="WTT1511"/>
      <c r="WTU1511"/>
      <c r="WTV1511"/>
      <c r="WTW1511"/>
      <c r="WTX1511"/>
      <c r="WTY1511"/>
      <c r="WTZ1511"/>
      <c r="WUA1511"/>
      <c r="WUB1511"/>
      <c r="WUC1511"/>
      <c r="WUD1511"/>
      <c r="WUE1511"/>
      <c r="WUF1511"/>
      <c r="WUG1511"/>
      <c r="WUH1511"/>
      <c r="WUI1511"/>
      <c r="WUJ1511"/>
      <c r="WUK1511"/>
      <c r="WUL1511"/>
      <c r="WUM1511"/>
      <c r="WUN1511"/>
      <c r="WUO1511"/>
      <c r="WUP1511"/>
      <c r="WUQ1511"/>
      <c r="WUR1511"/>
      <c r="WUS1511"/>
      <c r="WUT1511"/>
      <c r="WUU1511"/>
      <c r="WUV1511"/>
      <c r="WUW1511"/>
      <c r="WUX1511"/>
      <c r="WUY1511"/>
      <c r="WUZ1511"/>
      <c r="WVA1511"/>
      <c r="WVB1511"/>
      <c r="WVC1511"/>
      <c r="WVD1511"/>
      <c r="WVE1511"/>
      <c r="WVF1511"/>
      <c r="WVG1511"/>
      <c r="WVH1511"/>
      <c r="WVI1511"/>
      <c r="WVJ1511"/>
      <c r="WVK1511"/>
      <c r="WVL1511"/>
      <c r="WVM1511"/>
      <c r="WVN1511"/>
      <c r="WVO1511"/>
      <c r="WVP1511"/>
      <c r="WVQ1511"/>
      <c r="WVR1511"/>
      <c r="WVS1511"/>
      <c r="WVT1511"/>
      <c r="WVU1511"/>
      <c r="WVV1511"/>
      <c r="WVW1511"/>
      <c r="WVX1511"/>
      <c r="WVY1511"/>
      <c r="WVZ1511"/>
      <c r="WWA1511"/>
      <c r="WWB1511"/>
      <c r="WWC1511"/>
      <c r="WWD1511"/>
      <c r="WWE1511"/>
      <c r="WWF1511"/>
      <c r="WWG1511"/>
      <c r="WWH1511"/>
      <c r="WWI1511"/>
      <c r="WWJ1511"/>
      <c r="WWK1511"/>
      <c r="WWL1511"/>
      <c r="WWM1511"/>
      <c r="WWN1511"/>
      <c r="WWO1511"/>
      <c r="WWP1511"/>
      <c r="WWQ1511"/>
      <c r="WWR1511"/>
      <c r="WWS1511"/>
      <c r="WWT1511"/>
      <c r="WWU1511"/>
      <c r="WWV1511"/>
      <c r="WWW1511"/>
      <c r="WWX1511"/>
      <c r="WWY1511"/>
      <c r="WWZ1511"/>
      <c r="WXA1511"/>
      <c r="WXB1511"/>
      <c r="WXC1511"/>
      <c r="WXD1511"/>
      <c r="WXE1511"/>
      <c r="WXF1511"/>
      <c r="WXG1511"/>
      <c r="WXH1511"/>
      <c r="WXI1511"/>
      <c r="WXJ1511"/>
      <c r="WXK1511"/>
      <c r="WXL1511"/>
      <c r="WXM1511"/>
      <c r="WXN1511"/>
      <c r="WXO1511"/>
      <c r="WXP1511"/>
      <c r="WXQ1511"/>
      <c r="WXR1511"/>
      <c r="WXS1511"/>
      <c r="WXT1511"/>
      <c r="WXU1511"/>
      <c r="WXV1511"/>
      <c r="WXW1511"/>
      <c r="WXX1511"/>
      <c r="WXY1511"/>
      <c r="WXZ1511"/>
      <c r="WYA1511"/>
      <c r="WYB1511"/>
      <c r="WYC1511"/>
      <c r="WYD1511"/>
      <c r="WYE1511"/>
      <c r="WYF1511"/>
      <c r="WYG1511"/>
      <c r="WYH1511"/>
      <c r="WYI1511"/>
      <c r="WYJ1511"/>
      <c r="WYK1511"/>
      <c r="WYL1511"/>
      <c r="WYM1511"/>
      <c r="WYN1511"/>
      <c r="WYO1511"/>
      <c r="WYP1511"/>
      <c r="WYQ1511"/>
      <c r="WYR1511"/>
      <c r="WYS1511"/>
      <c r="WYT1511"/>
      <c r="WYU1511"/>
      <c r="WYV1511"/>
      <c r="WYW1511"/>
      <c r="WYX1511"/>
      <c r="WYY1511"/>
      <c r="WYZ1511"/>
      <c r="WZA1511"/>
      <c r="WZB1511"/>
      <c r="WZC1511"/>
      <c r="WZD1511"/>
      <c r="WZE1511"/>
      <c r="WZF1511"/>
      <c r="WZG1511"/>
      <c r="WZH1511"/>
      <c r="WZI1511"/>
      <c r="WZJ1511"/>
      <c r="WZK1511"/>
      <c r="WZL1511"/>
      <c r="WZM1511"/>
      <c r="WZN1511"/>
      <c r="WZO1511"/>
      <c r="WZP1511"/>
      <c r="WZQ1511"/>
      <c r="WZR1511"/>
      <c r="WZS1511"/>
      <c r="WZT1511"/>
      <c r="WZU1511"/>
      <c r="WZV1511"/>
      <c r="WZW1511"/>
      <c r="WZX1511"/>
      <c r="WZY1511"/>
      <c r="WZZ1511"/>
      <c r="XAA1511"/>
      <c r="XAB1511"/>
      <c r="XAC1511"/>
      <c r="XAD1511"/>
      <c r="XAE1511"/>
      <c r="XAF1511"/>
      <c r="XAG1511"/>
      <c r="XAH1511"/>
      <c r="XAI1511"/>
      <c r="XAJ1511"/>
      <c r="XAK1511"/>
      <c r="XAL1511"/>
      <c r="XAM1511"/>
      <c r="XAN1511"/>
      <c r="XAO1511"/>
      <c r="XAP1511"/>
      <c r="XAQ1511"/>
      <c r="XAR1511"/>
      <c r="XAS1511"/>
      <c r="XAT1511"/>
      <c r="XAU1511"/>
      <c r="XAV1511"/>
      <c r="XAW1511"/>
      <c r="XAX1511"/>
      <c r="XAY1511"/>
      <c r="XAZ1511"/>
      <c r="XBA1511"/>
      <c r="XBB1511"/>
      <c r="XBC1511"/>
      <c r="XBD1511"/>
      <c r="XBE1511"/>
      <c r="XBF1511"/>
      <c r="XBG1511"/>
      <c r="XBH1511"/>
      <c r="XBI1511"/>
      <c r="XBJ1511"/>
      <c r="XBK1511"/>
      <c r="XBL1511"/>
      <c r="XBM1511"/>
      <c r="XBN1511"/>
      <c r="XBO1511"/>
      <c r="XBP1511"/>
      <c r="XBQ1511"/>
      <c r="XBR1511"/>
      <c r="XBS1511"/>
      <c r="XBT1511"/>
      <c r="XBU1511"/>
      <c r="XBV1511"/>
      <c r="XBW1511"/>
      <c r="XBX1511"/>
      <c r="XBY1511"/>
      <c r="XBZ1511"/>
      <c r="XCA1511"/>
      <c r="XCB1511"/>
      <c r="XCC1511"/>
      <c r="XCD1511"/>
      <c r="XCE1511"/>
      <c r="XCF1511"/>
      <c r="XCG1511"/>
      <c r="XCH1511"/>
      <c r="XCI1511"/>
      <c r="XCJ1511"/>
      <c r="XCK1511"/>
      <c r="XCL1511"/>
      <c r="XCM1511"/>
      <c r="XCN1511"/>
      <c r="XCO1511"/>
      <c r="XCP1511"/>
      <c r="XCQ1511"/>
      <c r="XCR1511"/>
      <c r="XCS1511"/>
      <c r="XCT1511"/>
      <c r="XCU1511"/>
      <c r="XCV1511"/>
      <c r="XCW1511"/>
      <c r="XCX1511"/>
      <c r="XCY1511"/>
      <c r="XCZ1511"/>
      <c r="XDA1511"/>
      <c r="XDB1511"/>
      <c r="XDC1511"/>
      <c r="XDD1511"/>
      <c r="XDE1511"/>
      <c r="XDF1511"/>
      <c r="XDG1511"/>
      <c r="XDH1511"/>
      <c r="XDI1511"/>
      <c r="XDJ1511"/>
      <c r="XDK1511"/>
      <c r="XDL1511"/>
      <c r="XDM1511"/>
      <c r="XDN1511"/>
      <c r="XDO1511"/>
      <c r="XDP1511"/>
      <c r="XDQ1511"/>
      <c r="XDR1511"/>
      <c r="XDS1511"/>
      <c r="XDT1511"/>
      <c r="XDU1511"/>
      <c r="XDV1511"/>
      <c r="XDW1511"/>
      <c r="XDX1511"/>
      <c r="XDY1511"/>
      <c r="XDZ1511"/>
      <c r="XEA1511"/>
      <c r="XEB1511"/>
      <c r="XEC1511"/>
      <c r="XED1511"/>
      <c r="XEE1511"/>
      <c r="XEF1511"/>
      <c r="XEG1511"/>
      <c r="XEH1511"/>
      <c r="XEI1511"/>
      <c r="XEJ1511"/>
      <c r="XEK1511"/>
      <c r="XEL1511"/>
      <c r="XEM1511"/>
      <c r="XEN1511"/>
      <c r="XEO1511"/>
      <c r="XEP1511"/>
      <c r="XEQ1511"/>
      <c r="XER1511"/>
    </row>
    <row r="1512" spans="1:16378" s="30" customFormat="1" ht="15" customHeight="1" x14ac:dyDescent="0.25">
      <c r="A1512">
        <v>2025</v>
      </c>
      <c r="B1512" s="878" t="s">
        <v>4</v>
      </c>
      <c r="C1512" s="878" t="s">
        <v>8939</v>
      </c>
      <c r="D1512" s="878" t="s">
        <v>8940</v>
      </c>
      <c r="E1512" s="8" t="s">
        <v>2217</v>
      </c>
      <c r="F1512" s="878" t="s">
        <v>6874</v>
      </c>
      <c r="G1512" s="878" t="s">
        <v>27</v>
      </c>
      <c r="H1512" s="878" t="s">
        <v>4189</v>
      </c>
      <c r="I1512" s="883">
        <v>45874</v>
      </c>
      <c r="J1512" s="918" t="s">
        <v>2052</v>
      </c>
      <c r="K1512" s="945">
        <v>45881</v>
      </c>
      <c r="L1512" s="884">
        <f>IF(ISTEXT(Table15[[#This Row],[Engineering Approved Design Date]]),Table15[[#This Row],[Date Completed]]-Table15[[#This Row],[Date Assigned to Designer]],Table15[[#This Row],[Engineering Approved Design Date]]-Table15[[#This Row],[Date Completed]])</f>
        <v>7</v>
      </c>
      <c r="M1512" s="919" t="s">
        <v>9087</v>
      </c>
      <c r="N1512" s="883" t="s">
        <v>739</v>
      </c>
      <c r="O1512" s="886">
        <v>45870</v>
      </c>
      <c r="P1512" s="1153" t="s">
        <v>739</v>
      </c>
      <c r="Q1512" s="1151">
        <f>SUM(Table15[[#This Row],[Shactee Effort]:[KH Hourly Effort]])</f>
        <v>7805</v>
      </c>
      <c r="R1512" s="887" t="s">
        <v>1922</v>
      </c>
      <c r="S1512" s="888">
        <v>0</v>
      </c>
      <c r="T1512" s="888">
        <v>0</v>
      </c>
      <c r="U1512" s="889">
        <v>7805</v>
      </c>
      <c r="V1512" s="890" t="s">
        <v>29</v>
      </c>
      <c r="W1512" s="1021" t="s">
        <v>29</v>
      </c>
      <c r="X1512" s="888" t="s">
        <v>29</v>
      </c>
      <c r="Y1512" s="935"/>
      <c r="Z1512" s="888" t="s">
        <v>29</v>
      </c>
      <c r="AA1512" s="888" t="s">
        <v>29</v>
      </c>
      <c r="AB1512" s="893">
        <v>45881</v>
      </c>
      <c r="AC1512" s="897" t="s">
        <v>709</v>
      </c>
      <c r="AD1512" s="1304" t="s">
        <v>116</v>
      </c>
      <c r="AE1512" s="894" t="s">
        <v>756</v>
      </c>
      <c r="AF1512" s="895" t="s">
        <v>756</v>
      </c>
      <c r="AG1512" s="896" t="s">
        <v>116</v>
      </c>
      <c r="AH1512" s="985" t="s">
        <v>376</v>
      </c>
      <c r="AI1512" s="921" t="s">
        <v>29</v>
      </c>
      <c r="AJ1512" s="922" t="s">
        <v>29</v>
      </c>
      <c r="AK1512" s="922" t="s">
        <v>29</v>
      </c>
      <c r="AL1512" s="1030" t="s">
        <v>29</v>
      </c>
      <c r="AM1512" s="542" t="s">
        <v>709</v>
      </c>
      <c r="AN1512" s="924"/>
      <c r="AO1512" s="925"/>
      <c r="AP1512" s="926"/>
      <c r="AQ1512" s="926"/>
      <c r="AR1512" s="926"/>
      <c r="AS1512" s="926"/>
      <c r="AT1512" s="926"/>
      <c r="AU1512" s="926"/>
      <c r="AV1512" s="926"/>
      <c r="AW1512" s="927"/>
      <c r="AX1512" s="926"/>
      <c r="AY1512" s="1528" t="s">
        <v>29</v>
      </c>
      <c r="AZ1512" s="1530"/>
      <c r="BA1512" s="910" t="s">
        <v>4650</v>
      </c>
      <c r="BB1512" s="1000" t="s">
        <v>1092</v>
      </c>
      <c r="BC1512" s="915" t="s">
        <v>709</v>
      </c>
      <c r="BD1512" s="915" t="s">
        <v>9088</v>
      </c>
      <c r="BE1512" s="912" t="s">
        <v>5212</v>
      </c>
      <c r="BF1512" s="913" t="s">
        <v>709</v>
      </c>
      <c r="BG1512" s="1001" t="s">
        <v>709</v>
      </c>
      <c r="BH1512" s="1023" t="s">
        <v>9089</v>
      </c>
      <c r="BI1512" s="916" t="s">
        <v>745</v>
      </c>
      <c r="BJ1512" s="916" t="s">
        <v>745</v>
      </c>
      <c r="BK1512" s="916" t="s">
        <v>745</v>
      </c>
      <c r="BL1512" s="916" t="s">
        <v>116</v>
      </c>
      <c r="BM1512" s="916" t="s">
        <v>745</v>
      </c>
      <c r="BN1512" s="916" t="s">
        <v>745</v>
      </c>
      <c r="BO1512" s="916" t="s">
        <v>745</v>
      </c>
      <c r="BP1512" s="916" t="s">
        <v>745</v>
      </c>
      <c r="BQ1512" s="916">
        <f>1384+255+1839</f>
        <v>3478</v>
      </c>
      <c r="BR1512" s="916">
        <f>212+298</f>
        <v>510</v>
      </c>
      <c r="BS1512" s="916">
        <v>308</v>
      </c>
      <c r="BT1512" s="916" t="s">
        <v>709</v>
      </c>
      <c r="BU1512" s="916" t="s">
        <v>745</v>
      </c>
      <c r="BV1512" s="916" t="s">
        <v>745</v>
      </c>
      <c r="BW1512" s="916" t="s">
        <v>745</v>
      </c>
      <c r="BX1512" s="916" t="s">
        <v>745</v>
      </c>
      <c r="BY1512" s="916" t="s">
        <v>745</v>
      </c>
      <c r="BZ1512" s="916" t="s">
        <v>745</v>
      </c>
      <c r="CA1512" s="917" t="s">
        <v>709</v>
      </c>
      <c r="CB1512" s="547"/>
      <c r="CC1512" s="879"/>
      <c r="CD1512" s="879"/>
      <c r="CE1512"/>
      <c r="CF1512"/>
      <c r="CG1512"/>
      <c r="CH1512"/>
      <c r="CI1512"/>
      <c r="CJ1512"/>
      <c r="CK1512"/>
      <c r="CL1512"/>
      <c r="CM1512"/>
      <c r="CN1512"/>
      <c r="CO1512"/>
      <c r="CP1512"/>
      <c r="CQ1512"/>
      <c r="CR1512"/>
      <c r="CS1512"/>
      <c r="CT1512"/>
      <c r="CU1512"/>
      <c r="CV1512"/>
      <c r="CW1512"/>
      <c r="CX1512"/>
      <c r="CY1512"/>
      <c r="CZ1512"/>
      <c r="DA1512"/>
      <c r="DB1512"/>
      <c r="DC1512"/>
      <c r="DD1512"/>
      <c r="DE1512"/>
      <c r="DF1512"/>
      <c r="DG1512"/>
      <c r="DH1512"/>
      <c r="DI1512"/>
      <c r="DJ1512"/>
      <c r="DK1512"/>
      <c r="DL1512"/>
      <c r="DM1512"/>
      <c r="DN1512"/>
      <c r="DO1512"/>
      <c r="DP1512"/>
      <c r="DQ1512"/>
      <c r="DR1512"/>
      <c r="DS1512"/>
      <c r="DT1512"/>
      <c r="DU1512"/>
      <c r="DV1512"/>
      <c r="DW1512"/>
      <c r="DX1512"/>
      <c r="DY1512"/>
      <c r="DZ1512"/>
      <c r="EA1512"/>
      <c r="EB1512"/>
      <c r="EC1512"/>
      <c r="ED1512"/>
      <c r="EE1512"/>
      <c r="EF1512"/>
      <c r="EG1512"/>
      <c r="EH1512"/>
      <c r="EI1512"/>
      <c r="EJ1512"/>
      <c r="EK1512"/>
      <c r="EL1512"/>
      <c r="EM1512"/>
      <c r="EN1512"/>
      <c r="EO1512"/>
      <c r="EP1512"/>
      <c r="EQ1512"/>
      <c r="ER1512"/>
      <c r="ES1512"/>
      <c r="ET1512"/>
      <c r="EU1512"/>
      <c r="EV1512"/>
      <c r="EW1512"/>
      <c r="EX1512"/>
      <c r="EY1512"/>
      <c r="EZ1512"/>
      <c r="FA1512"/>
      <c r="FB1512"/>
      <c r="FC1512"/>
      <c r="FD1512"/>
      <c r="FE1512"/>
      <c r="FF1512"/>
      <c r="FG1512"/>
      <c r="FH1512"/>
      <c r="FI1512"/>
      <c r="FJ1512"/>
      <c r="FK1512"/>
      <c r="FL1512"/>
      <c r="FM1512"/>
      <c r="FN1512"/>
      <c r="FO1512"/>
      <c r="FP1512"/>
      <c r="FQ1512"/>
      <c r="FR1512"/>
      <c r="FS1512"/>
      <c r="FT1512"/>
      <c r="FU1512"/>
      <c r="FV1512"/>
      <c r="FW1512"/>
      <c r="FX1512"/>
      <c r="FY1512"/>
      <c r="FZ1512"/>
      <c r="GA1512"/>
      <c r="GB1512"/>
      <c r="GC1512"/>
      <c r="GD1512"/>
      <c r="GE1512"/>
      <c r="GF1512"/>
      <c r="GG1512"/>
      <c r="GH1512"/>
      <c r="GI1512"/>
      <c r="GJ1512"/>
      <c r="GK1512"/>
      <c r="GL1512"/>
      <c r="GM1512"/>
      <c r="GN1512"/>
      <c r="GO1512"/>
      <c r="GP1512"/>
      <c r="GQ1512"/>
      <c r="GR1512"/>
      <c r="GS1512"/>
      <c r="GT1512"/>
      <c r="GU1512"/>
      <c r="GV1512"/>
      <c r="GW1512"/>
      <c r="GX1512"/>
      <c r="GY1512"/>
      <c r="GZ1512"/>
      <c r="HA1512"/>
      <c r="HB1512"/>
      <c r="HC1512"/>
      <c r="HD1512"/>
      <c r="HE1512"/>
      <c r="HF1512"/>
      <c r="HG1512"/>
      <c r="HH1512"/>
      <c r="HI1512"/>
      <c r="HJ1512"/>
      <c r="HK1512"/>
      <c r="HL1512"/>
      <c r="HM1512"/>
      <c r="HN1512"/>
      <c r="HO1512"/>
      <c r="HP1512"/>
      <c r="HQ1512"/>
      <c r="HR1512"/>
      <c r="HS1512"/>
      <c r="HT1512"/>
      <c r="HU1512"/>
      <c r="HV1512"/>
      <c r="HW1512"/>
      <c r="HX1512"/>
      <c r="HY1512"/>
      <c r="HZ1512"/>
      <c r="IA1512"/>
      <c r="IB1512"/>
      <c r="IC1512"/>
      <c r="ID1512"/>
      <c r="IE1512"/>
      <c r="IF1512"/>
      <c r="IG1512"/>
      <c r="IH1512"/>
      <c r="II1512"/>
      <c r="IJ1512"/>
      <c r="IK1512"/>
      <c r="IL1512"/>
      <c r="IM1512"/>
      <c r="IN1512"/>
      <c r="IO1512"/>
      <c r="IP1512"/>
      <c r="IQ1512"/>
      <c r="IR1512"/>
      <c r="IS1512"/>
      <c r="IT1512"/>
      <c r="IU1512"/>
      <c r="IV1512"/>
      <c r="IW1512"/>
      <c r="IX1512"/>
      <c r="IY1512"/>
      <c r="IZ1512"/>
      <c r="JA1512"/>
      <c r="JB1512"/>
      <c r="JC1512"/>
      <c r="JD1512"/>
      <c r="JE1512"/>
      <c r="JF1512"/>
      <c r="JG1512"/>
      <c r="JH1512"/>
      <c r="JI1512"/>
      <c r="JJ1512"/>
      <c r="JK1512"/>
      <c r="JL1512"/>
      <c r="JM1512"/>
      <c r="JN1512"/>
      <c r="JO1512"/>
      <c r="JP1512"/>
      <c r="JQ1512"/>
      <c r="JR1512"/>
      <c r="JS1512"/>
      <c r="JT1512"/>
      <c r="JU1512"/>
      <c r="JV1512"/>
      <c r="JW1512"/>
      <c r="JX1512"/>
      <c r="JY1512"/>
      <c r="JZ1512"/>
      <c r="KA1512"/>
      <c r="KB1512"/>
      <c r="KC1512"/>
      <c r="KD1512"/>
      <c r="KE1512"/>
      <c r="KF1512"/>
      <c r="KG1512"/>
      <c r="KH1512"/>
      <c r="KI1512"/>
      <c r="KJ1512"/>
      <c r="KK1512"/>
      <c r="KL1512"/>
      <c r="KM1512"/>
      <c r="KN1512"/>
      <c r="KO1512"/>
      <c r="KP1512"/>
      <c r="KQ1512"/>
      <c r="KR1512"/>
      <c r="KS1512"/>
      <c r="KT1512"/>
      <c r="KU1512"/>
      <c r="KV1512"/>
      <c r="KW1512"/>
      <c r="KX1512"/>
      <c r="KY1512"/>
      <c r="KZ1512"/>
      <c r="LA1512"/>
      <c r="LB1512"/>
      <c r="LC1512"/>
      <c r="LD1512"/>
      <c r="LE1512"/>
      <c r="LF1512"/>
      <c r="LG1512"/>
      <c r="LH1512"/>
      <c r="LI1512"/>
      <c r="LJ1512"/>
      <c r="LK1512"/>
      <c r="LL1512"/>
      <c r="LM1512"/>
      <c r="LN1512"/>
      <c r="LO1512"/>
      <c r="LP1512"/>
      <c r="LQ1512"/>
      <c r="LR1512"/>
      <c r="LS1512"/>
      <c r="LT1512"/>
      <c r="LU1512"/>
      <c r="LV1512"/>
      <c r="LW1512"/>
      <c r="LX1512"/>
      <c r="LY1512"/>
      <c r="LZ1512"/>
      <c r="MA1512"/>
      <c r="MB1512"/>
      <c r="MC1512"/>
      <c r="MD1512"/>
      <c r="ME1512"/>
      <c r="MF1512"/>
      <c r="MG1512"/>
      <c r="MH1512"/>
      <c r="MI1512"/>
      <c r="MJ1512"/>
      <c r="MK1512"/>
      <c r="ML1512"/>
      <c r="MM1512"/>
      <c r="MN1512"/>
      <c r="MO1512"/>
      <c r="MP1512"/>
      <c r="MQ1512"/>
      <c r="MR1512"/>
      <c r="MS1512"/>
      <c r="MT1512"/>
      <c r="MU1512"/>
      <c r="MV1512"/>
      <c r="MW1512"/>
      <c r="MX1512"/>
      <c r="MY1512"/>
      <c r="MZ1512"/>
      <c r="NA1512"/>
      <c r="NB1512"/>
      <c r="NC1512"/>
      <c r="ND1512"/>
      <c r="NE1512"/>
      <c r="NF1512"/>
      <c r="NG1512"/>
      <c r="NH1512"/>
      <c r="NI1512"/>
      <c r="NJ1512"/>
      <c r="NK1512"/>
      <c r="NL1512"/>
      <c r="NM1512"/>
      <c r="NN1512"/>
      <c r="NO1512"/>
      <c r="NP1512"/>
      <c r="NQ1512"/>
      <c r="NR1512"/>
      <c r="NS1512"/>
      <c r="NT1512"/>
      <c r="NU1512"/>
      <c r="NV1512"/>
      <c r="NW1512"/>
      <c r="NX1512"/>
      <c r="NY1512"/>
      <c r="NZ1512"/>
      <c r="OA1512"/>
      <c r="OB1512"/>
      <c r="OC1512"/>
      <c r="OD1512"/>
      <c r="OE1512"/>
      <c r="OF1512"/>
      <c r="OG1512"/>
      <c r="OH1512"/>
      <c r="OI1512"/>
      <c r="OJ1512"/>
      <c r="OK1512"/>
      <c r="OL1512"/>
      <c r="OM1512"/>
      <c r="ON1512"/>
      <c r="OO1512"/>
      <c r="OP1512"/>
      <c r="OQ1512"/>
      <c r="OR1512"/>
      <c r="OS1512"/>
      <c r="OT1512"/>
      <c r="OU1512"/>
      <c r="OV1512"/>
      <c r="OW1512"/>
      <c r="OX1512"/>
      <c r="OY1512"/>
      <c r="OZ1512"/>
      <c r="PA1512"/>
      <c r="PB1512"/>
      <c r="PC1512"/>
      <c r="PD1512"/>
      <c r="PE1512"/>
      <c r="PF1512"/>
      <c r="PG1512"/>
      <c r="PH1512"/>
      <c r="PI1512"/>
      <c r="PJ1512"/>
      <c r="PK1512"/>
      <c r="PL1512"/>
      <c r="PM1512"/>
      <c r="PN1512"/>
      <c r="PO1512"/>
      <c r="PP1512"/>
      <c r="PQ1512"/>
      <c r="PR1512"/>
      <c r="PS1512"/>
      <c r="PT1512"/>
      <c r="PU1512"/>
      <c r="PV1512"/>
      <c r="PW1512"/>
      <c r="PX1512"/>
      <c r="PY1512"/>
      <c r="PZ1512"/>
      <c r="QA1512"/>
      <c r="QB1512"/>
      <c r="QC1512"/>
      <c r="QD1512"/>
      <c r="QE1512"/>
      <c r="QF1512"/>
      <c r="QG1512"/>
      <c r="QH1512"/>
      <c r="QI1512"/>
      <c r="QJ1512"/>
      <c r="QK1512"/>
      <c r="QL1512"/>
      <c r="QM1512"/>
      <c r="QN1512"/>
      <c r="QO1512"/>
      <c r="QP1512"/>
      <c r="QQ1512"/>
      <c r="QR1512"/>
      <c r="QS1512"/>
      <c r="QT1512"/>
      <c r="QU1512"/>
      <c r="QV1512"/>
      <c r="QW1512"/>
      <c r="QX1512"/>
      <c r="QY1512"/>
      <c r="QZ1512"/>
      <c r="RA1512"/>
      <c r="RB1512"/>
      <c r="RC1512"/>
      <c r="RD1512"/>
      <c r="RE1512"/>
      <c r="RF1512"/>
      <c r="RG1512"/>
      <c r="RH1512"/>
      <c r="RI1512"/>
      <c r="RJ1512"/>
      <c r="RK1512"/>
      <c r="RL1512"/>
      <c r="RM1512"/>
      <c r="RN1512"/>
      <c r="RO1512"/>
      <c r="RP1512"/>
      <c r="RQ1512"/>
      <c r="RR1512"/>
      <c r="RS1512"/>
      <c r="RT1512"/>
      <c r="RU1512"/>
      <c r="RV1512"/>
      <c r="RW1512"/>
      <c r="RX1512"/>
      <c r="RY1512"/>
      <c r="RZ1512"/>
      <c r="SA1512"/>
      <c r="SB1512"/>
      <c r="SC1512"/>
      <c r="SD1512"/>
      <c r="SE1512"/>
      <c r="SF1512"/>
      <c r="SG1512"/>
      <c r="SH1512"/>
      <c r="SI1512"/>
      <c r="SJ1512"/>
      <c r="SK1512"/>
      <c r="SL1512"/>
      <c r="SM1512"/>
      <c r="SN1512"/>
      <c r="SO1512"/>
      <c r="SP1512"/>
      <c r="SQ1512"/>
      <c r="SR1512"/>
      <c r="SS1512"/>
      <c r="ST1512"/>
      <c r="SU1512"/>
      <c r="SV1512"/>
      <c r="SW1512"/>
      <c r="SX1512"/>
      <c r="SY1512"/>
      <c r="SZ1512"/>
      <c r="TA1512"/>
      <c r="TB1512"/>
      <c r="TC1512"/>
      <c r="TD1512"/>
      <c r="TE1512"/>
      <c r="TF1512"/>
      <c r="TG1512"/>
      <c r="TH1512"/>
      <c r="TI1512"/>
      <c r="TJ1512"/>
      <c r="TK1512"/>
      <c r="TL1512"/>
      <c r="TM1512"/>
      <c r="TN1512"/>
      <c r="TO1512"/>
      <c r="TP1512"/>
      <c r="TQ1512"/>
      <c r="TR1512"/>
      <c r="TS1512"/>
      <c r="TT1512"/>
      <c r="TU1512"/>
      <c r="TV1512"/>
      <c r="TW1512"/>
      <c r="TX1512"/>
      <c r="TY1512"/>
      <c r="TZ1512"/>
      <c r="UA1512"/>
      <c r="UB1512"/>
      <c r="UC1512"/>
      <c r="UD1512"/>
      <c r="UE1512"/>
      <c r="UF1512"/>
      <c r="UG1512"/>
      <c r="UH1512"/>
      <c r="UI1512"/>
      <c r="UJ1512"/>
      <c r="UK1512"/>
      <c r="UL1512"/>
      <c r="UM1512"/>
      <c r="UN1512"/>
      <c r="UO1512"/>
      <c r="UP1512"/>
      <c r="UQ1512"/>
      <c r="UR1512"/>
      <c r="US1512"/>
      <c r="UT1512"/>
      <c r="UU1512"/>
      <c r="UV1512"/>
      <c r="UW1512"/>
      <c r="UX1512"/>
      <c r="UY1512"/>
      <c r="UZ1512"/>
      <c r="VA1512"/>
      <c r="VB1512"/>
      <c r="VC1512"/>
      <c r="VD1512"/>
      <c r="VE1512"/>
      <c r="VF1512"/>
      <c r="VG1512"/>
      <c r="VH1512"/>
      <c r="VI1512"/>
      <c r="VJ1512"/>
      <c r="VK1512"/>
      <c r="VL1512"/>
      <c r="VM1512"/>
      <c r="VN1512"/>
      <c r="VO1512"/>
      <c r="VP1512"/>
      <c r="VQ1512"/>
      <c r="VR1512"/>
      <c r="VS1512"/>
      <c r="VT1512"/>
      <c r="VU1512"/>
      <c r="VV1512"/>
      <c r="VW1512"/>
      <c r="VX1512"/>
      <c r="VY1512"/>
      <c r="VZ1512"/>
      <c r="WA1512"/>
      <c r="WB1512"/>
      <c r="WC1512"/>
      <c r="WD1512"/>
      <c r="WE1512"/>
      <c r="WF1512"/>
      <c r="WG1512"/>
      <c r="WH1512"/>
      <c r="WI1512"/>
      <c r="WJ1512"/>
      <c r="WK1512"/>
      <c r="WL1512"/>
      <c r="WM1512"/>
      <c r="WN1512"/>
      <c r="WO1512"/>
      <c r="WP1512"/>
      <c r="WQ1512"/>
      <c r="WR1512"/>
      <c r="WS1512"/>
      <c r="WT1512"/>
      <c r="WU1512"/>
      <c r="WV1512"/>
      <c r="WW1512"/>
      <c r="WX1512"/>
      <c r="WY1512"/>
      <c r="WZ1512"/>
      <c r="XA1512"/>
      <c r="XB1512"/>
      <c r="XC1512"/>
      <c r="XD1512"/>
      <c r="XE1512"/>
      <c r="XF1512"/>
      <c r="XG1512"/>
      <c r="XH1512"/>
      <c r="XI1512"/>
      <c r="XJ1512"/>
      <c r="XK1512"/>
      <c r="XL1512"/>
      <c r="XM1512"/>
      <c r="XN1512"/>
      <c r="XO1512"/>
      <c r="XP1512"/>
      <c r="XQ1512"/>
      <c r="XR1512"/>
      <c r="XS1512"/>
      <c r="XT1512"/>
      <c r="XU1512"/>
      <c r="XV1512"/>
      <c r="XW1512"/>
      <c r="XX1512"/>
      <c r="XY1512"/>
      <c r="XZ1512"/>
      <c r="YA1512"/>
      <c r="YB1512"/>
      <c r="YC1512"/>
      <c r="YD1512"/>
      <c r="YE1512"/>
      <c r="YF1512"/>
      <c r="YG1512"/>
      <c r="YH1512"/>
      <c r="YI1512"/>
      <c r="YJ1512"/>
      <c r="YK1512"/>
      <c r="YL1512"/>
      <c r="YM1512"/>
      <c r="YN1512"/>
      <c r="YO1512"/>
      <c r="YP1512"/>
      <c r="YQ1512"/>
      <c r="YR1512"/>
      <c r="YS1512"/>
      <c r="YT1512"/>
      <c r="YU1512"/>
      <c r="YV1512"/>
      <c r="YW1512"/>
      <c r="YX1512"/>
      <c r="YY1512"/>
      <c r="YZ1512"/>
      <c r="ZA1512"/>
      <c r="ZB1512"/>
      <c r="ZC1512"/>
      <c r="ZD1512"/>
      <c r="ZE1512"/>
      <c r="ZF1512"/>
      <c r="ZG1512"/>
      <c r="ZH1512"/>
      <c r="ZI1512"/>
      <c r="ZJ1512"/>
      <c r="ZK1512"/>
      <c r="ZL1512"/>
      <c r="ZM1512"/>
      <c r="ZN1512"/>
      <c r="ZO1512"/>
      <c r="ZP1512"/>
      <c r="ZQ1512"/>
      <c r="ZR1512"/>
      <c r="ZS1512"/>
      <c r="ZT1512"/>
      <c r="ZU1512"/>
      <c r="ZV1512"/>
      <c r="ZW1512"/>
      <c r="ZX1512"/>
      <c r="ZY1512"/>
      <c r="ZZ1512"/>
      <c r="AAA1512"/>
      <c r="AAB1512"/>
      <c r="AAC1512"/>
      <c r="AAD1512"/>
      <c r="AAE1512"/>
      <c r="AAF1512"/>
      <c r="AAG1512"/>
      <c r="AAH1512"/>
      <c r="AAI1512"/>
      <c r="AAJ1512"/>
      <c r="AAK1512"/>
      <c r="AAL1512"/>
      <c r="AAM1512"/>
      <c r="AAN1512"/>
      <c r="AAO1512"/>
      <c r="AAP1512"/>
      <c r="AAQ1512"/>
      <c r="AAR1512"/>
      <c r="AAS1512"/>
      <c r="AAT1512"/>
      <c r="AAU1512"/>
      <c r="AAV1512"/>
      <c r="AAW1512"/>
      <c r="AAX1512"/>
      <c r="AAY1512"/>
      <c r="AAZ1512"/>
      <c r="ABA1512"/>
      <c r="ABB1512"/>
      <c r="ABC1512"/>
      <c r="ABD1512"/>
      <c r="ABE1512"/>
      <c r="ABF1512"/>
      <c r="ABG1512"/>
      <c r="ABH1512"/>
      <c r="ABI1512"/>
      <c r="ABJ1512"/>
      <c r="ABK1512"/>
      <c r="ABL1512"/>
      <c r="ABM1512"/>
      <c r="ABN1512"/>
      <c r="ABO1512"/>
      <c r="ABP1512"/>
      <c r="ABQ1512"/>
      <c r="ABR1512"/>
      <c r="ABS1512"/>
      <c r="ABT1512"/>
      <c r="ABU1512"/>
      <c r="ABV1512"/>
      <c r="ABW1512"/>
      <c r="ABX1512"/>
      <c r="ABY1512"/>
      <c r="ABZ1512"/>
      <c r="ACA1512"/>
      <c r="ACB1512"/>
      <c r="ACC1512"/>
      <c r="ACD1512"/>
      <c r="ACE1512"/>
      <c r="ACF1512"/>
      <c r="ACG1512"/>
      <c r="ACH1512"/>
      <c r="ACI1512"/>
      <c r="ACJ1512"/>
      <c r="ACK1512"/>
      <c r="ACL1512"/>
      <c r="ACM1512"/>
      <c r="ACN1512"/>
      <c r="ACO1512"/>
      <c r="ACP1512"/>
      <c r="ACQ1512"/>
      <c r="ACR1512"/>
      <c r="ACS1512"/>
      <c r="ACT1512"/>
      <c r="ACU1512"/>
      <c r="ACV1512"/>
      <c r="ACW1512"/>
      <c r="ACX1512"/>
      <c r="ACY1512"/>
      <c r="ACZ1512"/>
      <c r="ADA1512"/>
      <c r="ADB1512"/>
      <c r="ADC1512"/>
      <c r="ADD1512"/>
      <c r="ADE1512"/>
      <c r="ADF1512"/>
      <c r="ADG1512"/>
      <c r="ADH1512"/>
      <c r="ADI1512"/>
      <c r="ADJ1512"/>
      <c r="ADK1512"/>
      <c r="ADL1512"/>
      <c r="ADM1512"/>
      <c r="ADN1512"/>
      <c r="ADO1512"/>
      <c r="ADP1512"/>
      <c r="ADQ1512"/>
      <c r="ADR1512"/>
      <c r="ADS1512"/>
      <c r="ADT1512"/>
      <c r="ADU1512"/>
      <c r="ADV1512"/>
      <c r="ADW1512"/>
      <c r="ADX1512"/>
      <c r="ADY1512"/>
      <c r="ADZ1512"/>
      <c r="AEA1512"/>
      <c r="AEB1512"/>
      <c r="AEC1512"/>
      <c r="AED1512"/>
      <c r="AEE1512"/>
      <c r="AEF1512"/>
      <c r="AEG1512"/>
      <c r="AEH1512"/>
      <c r="AEI1512"/>
      <c r="AEJ1512"/>
      <c r="AEK1512"/>
      <c r="AEL1512"/>
      <c r="AEM1512"/>
      <c r="AEN1512"/>
      <c r="AEO1512"/>
      <c r="AEP1512"/>
      <c r="AEQ1512"/>
      <c r="AER1512"/>
      <c r="AES1512"/>
      <c r="AET1512"/>
      <c r="AEU1512"/>
      <c r="AEV1512"/>
      <c r="AEW1512"/>
      <c r="AEX1512"/>
      <c r="AEY1512"/>
      <c r="AEZ1512"/>
      <c r="AFA1512"/>
      <c r="AFB1512"/>
      <c r="AFC1512"/>
      <c r="AFD1512"/>
      <c r="AFE1512"/>
      <c r="AFF1512"/>
      <c r="AFG1512"/>
      <c r="AFH1512"/>
      <c r="AFI1512"/>
      <c r="AFJ1512"/>
      <c r="AFK1512"/>
      <c r="AFL1512"/>
      <c r="AFM1512"/>
      <c r="AFN1512"/>
      <c r="AFO1512"/>
      <c r="AFP1512"/>
      <c r="AFQ1512"/>
      <c r="AFR1512"/>
      <c r="AFS1512"/>
      <c r="AFT1512"/>
      <c r="AFU1512"/>
      <c r="AFV1512"/>
      <c r="AFW1512"/>
      <c r="AFX1512"/>
      <c r="AFY1512"/>
      <c r="AFZ1512"/>
      <c r="AGA1512"/>
      <c r="AGB1512"/>
      <c r="AGC1512"/>
      <c r="AGD1512"/>
      <c r="AGE1512"/>
      <c r="AGF1512"/>
      <c r="AGG1512"/>
      <c r="AGH1512"/>
      <c r="AGI1512"/>
      <c r="AGJ1512"/>
      <c r="AGK1512"/>
      <c r="AGL1512"/>
      <c r="AGM1512"/>
      <c r="AGN1512"/>
      <c r="AGO1512"/>
      <c r="AGP1512"/>
      <c r="AGQ1512"/>
      <c r="AGR1512"/>
      <c r="AGS1512"/>
      <c r="AGT1512"/>
      <c r="AGU1512"/>
      <c r="AGV1512"/>
      <c r="AGW1512"/>
      <c r="AGX1512"/>
      <c r="AGY1512"/>
      <c r="AGZ1512"/>
      <c r="AHA1512"/>
      <c r="AHB1512"/>
      <c r="AHC1512"/>
      <c r="AHD1512"/>
      <c r="AHE1512"/>
      <c r="AHF1512"/>
      <c r="AHG1512"/>
      <c r="AHH1512"/>
      <c r="AHI1512"/>
      <c r="AHJ1512"/>
      <c r="AHK1512"/>
      <c r="AHL1512"/>
      <c r="AHM1512"/>
      <c r="AHN1512"/>
      <c r="AHO1512"/>
      <c r="AHP1512"/>
      <c r="AHQ1512"/>
      <c r="AHR1512"/>
      <c r="AHS1512"/>
      <c r="AHT1512"/>
      <c r="AHU1512"/>
      <c r="AHV1512"/>
      <c r="AHW1512"/>
      <c r="AHX1512"/>
      <c r="AHY1512"/>
      <c r="AHZ1512"/>
      <c r="AIA1512"/>
      <c r="AIB1512"/>
      <c r="AIC1512"/>
      <c r="AID1512"/>
      <c r="AIE1512"/>
      <c r="AIF1512"/>
      <c r="AIG1512"/>
      <c r="AIH1512"/>
      <c r="AII1512"/>
      <c r="AIJ1512"/>
      <c r="AIK1512"/>
      <c r="AIL1512"/>
      <c r="AIM1512"/>
      <c r="AIN1512"/>
      <c r="AIO1512"/>
      <c r="AIP1512"/>
      <c r="AIQ1512"/>
      <c r="AIR1512"/>
      <c r="AIS1512"/>
      <c r="AIT1512"/>
      <c r="AIU1512"/>
      <c r="AIV1512"/>
      <c r="AIW1512"/>
      <c r="AIX1512"/>
      <c r="AIY1512"/>
      <c r="AIZ1512"/>
      <c r="AJA1512"/>
      <c r="AJB1512"/>
      <c r="AJC1512"/>
      <c r="AJD1512"/>
      <c r="AJE1512"/>
      <c r="AJF1512"/>
      <c r="AJG1512"/>
      <c r="AJH1512"/>
      <c r="AJI1512"/>
      <c r="AJJ1512"/>
      <c r="AJK1512"/>
      <c r="AJL1512"/>
      <c r="AJM1512"/>
      <c r="AJN1512"/>
      <c r="AJO1512"/>
      <c r="AJP1512"/>
      <c r="AJQ1512"/>
      <c r="AJR1512"/>
      <c r="AJS1512"/>
      <c r="AJT1512"/>
      <c r="AJU1512"/>
      <c r="AJV1512"/>
      <c r="AJW1512"/>
      <c r="AJX1512"/>
      <c r="AJY1512"/>
      <c r="AJZ1512"/>
      <c r="AKA1512"/>
      <c r="AKB1512"/>
      <c r="AKC1512"/>
      <c r="AKD1512"/>
      <c r="AKE1512"/>
      <c r="AKF1512"/>
      <c r="AKG1512"/>
      <c r="AKH1512"/>
      <c r="AKI1512"/>
      <c r="AKJ1512"/>
      <c r="AKK1512"/>
      <c r="AKL1512"/>
      <c r="AKM1512"/>
      <c r="AKN1512"/>
      <c r="AKO1512"/>
      <c r="AKP1512"/>
      <c r="AKQ1512"/>
      <c r="AKR1512"/>
      <c r="AKS1512"/>
      <c r="AKT1512"/>
      <c r="AKU1512"/>
      <c r="AKV1512"/>
      <c r="AKW1512"/>
      <c r="AKX1512"/>
      <c r="AKY1512"/>
      <c r="AKZ1512"/>
      <c r="ALA1512"/>
      <c r="ALB1512"/>
      <c r="ALC1512"/>
      <c r="ALD1512"/>
      <c r="ALE1512"/>
      <c r="ALF1512"/>
      <c r="ALG1512"/>
      <c r="ALH1512"/>
      <c r="ALI1512"/>
      <c r="ALJ1512"/>
      <c r="ALK1512"/>
      <c r="ALL1512"/>
      <c r="ALM1512"/>
      <c r="ALN1512"/>
      <c r="ALO1512"/>
      <c r="ALP1512"/>
      <c r="ALQ1512"/>
      <c r="ALR1512"/>
      <c r="ALS1512"/>
      <c r="ALT1512"/>
      <c r="ALU1512"/>
      <c r="ALV1512"/>
      <c r="ALW1512"/>
      <c r="ALX1512"/>
      <c r="ALY1512"/>
      <c r="ALZ1512"/>
      <c r="AMA1512"/>
      <c r="AMB1512"/>
      <c r="AMC1512"/>
      <c r="AMD1512"/>
      <c r="AME1512"/>
      <c r="AMF1512"/>
      <c r="AMG1512"/>
      <c r="AMH1512"/>
      <c r="AMI1512"/>
      <c r="AMJ1512"/>
      <c r="AMK1512"/>
      <c r="AML1512"/>
      <c r="AMM1512"/>
      <c r="AMN1512"/>
      <c r="AMO1512"/>
      <c r="AMP1512"/>
      <c r="AMQ1512"/>
      <c r="AMR1512"/>
      <c r="AMS1512"/>
      <c r="AMT1512"/>
      <c r="AMU1512"/>
      <c r="AMV1512"/>
      <c r="AMW1512"/>
      <c r="AMX1512"/>
      <c r="AMY1512"/>
      <c r="AMZ1512"/>
      <c r="ANA1512"/>
      <c r="ANB1512"/>
      <c r="ANC1512"/>
      <c r="AND1512"/>
      <c r="ANE1512"/>
      <c r="ANF1512"/>
      <c r="ANG1512"/>
      <c r="ANH1512"/>
      <c r="ANI1512"/>
      <c r="ANJ1512"/>
      <c r="ANK1512"/>
      <c r="ANL1512"/>
      <c r="ANM1512"/>
      <c r="ANN1512"/>
      <c r="ANO1512"/>
      <c r="ANP1512"/>
      <c r="ANQ1512"/>
      <c r="ANR1512"/>
      <c r="ANS1512"/>
      <c r="ANT1512"/>
      <c r="ANU1512"/>
      <c r="ANV1512"/>
      <c r="ANW1512"/>
      <c r="ANX1512"/>
      <c r="ANY1512"/>
      <c r="ANZ1512"/>
      <c r="AOA1512"/>
      <c r="AOB1512"/>
      <c r="AOC1512"/>
      <c r="AOD1512"/>
      <c r="AOE1512"/>
      <c r="AOF1512"/>
      <c r="AOG1512"/>
      <c r="AOH1512"/>
      <c r="AOI1512"/>
      <c r="AOJ1512"/>
      <c r="AOK1512"/>
      <c r="AOL1512"/>
      <c r="AOM1512"/>
      <c r="AON1512"/>
      <c r="AOO1512"/>
      <c r="AOP1512"/>
      <c r="AOQ1512"/>
      <c r="AOR1512"/>
      <c r="AOS1512"/>
      <c r="AOT1512"/>
      <c r="AOU1512"/>
      <c r="AOV1512"/>
      <c r="AOW1512"/>
      <c r="AOX1512"/>
      <c r="AOY1512"/>
      <c r="AOZ1512"/>
      <c r="APA1512"/>
      <c r="APB1512"/>
      <c r="APC1512"/>
      <c r="APD1512"/>
      <c r="APE1512"/>
      <c r="APF1512"/>
      <c r="APG1512"/>
      <c r="APH1512"/>
      <c r="API1512"/>
      <c r="APJ1512"/>
      <c r="APK1512"/>
      <c r="APL1512"/>
      <c r="APM1512"/>
      <c r="APN1512"/>
      <c r="APO1512"/>
      <c r="APP1512"/>
      <c r="APQ1512"/>
      <c r="APR1512"/>
      <c r="APS1512"/>
      <c r="APT1512"/>
      <c r="APU1512"/>
      <c r="APV1512"/>
      <c r="APW1512"/>
      <c r="APX1512"/>
      <c r="APY1512"/>
      <c r="APZ1512"/>
      <c r="AQA1512"/>
      <c r="AQB1512"/>
      <c r="AQC1512"/>
      <c r="AQD1512"/>
      <c r="AQE1512"/>
      <c r="AQF1512"/>
      <c r="AQG1512"/>
      <c r="AQH1512"/>
      <c r="AQI1512"/>
      <c r="AQJ1512"/>
      <c r="AQK1512"/>
      <c r="AQL1512"/>
      <c r="AQM1512"/>
      <c r="AQN1512"/>
      <c r="AQO1512"/>
      <c r="AQP1512"/>
      <c r="AQQ1512"/>
      <c r="AQR1512"/>
      <c r="AQS1512"/>
      <c r="AQT1512"/>
      <c r="AQU1512"/>
      <c r="AQV1512"/>
      <c r="AQW1512"/>
      <c r="AQX1512"/>
      <c r="AQY1512"/>
      <c r="AQZ1512"/>
      <c r="ARA1512"/>
      <c r="ARB1512"/>
      <c r="ARC1512"/>
      <c r="ARD1512"/>
      <c r="ARE1512"/>
      <c r="ARF1512"/>
      <c r="ARG1512"/>
      <c r="ARH1512"/>
      <c r="ARI1512"/>
      <c r="ARJ1512"/>
      <c r="ARK1512"/>
      <c r="ARL1512"/>
      <c r="ARM1512"/>
      <c r="ARN1512"/>
      <c r="ARO1512"/>
      <c r="ARP1512"/>
      <c r="ARQ1512"/>
      <c r="ARR1512"/>
      <c r="ARS1512"/>
      <c r="ART1512"/>
      <c r="ARU1512"/>
      <c r="ARV1512"/>
      <c r="ARW1512"/>
      <c r="ARX1512"/>
      <c r="ARY1512"/>
      <c r="ARZ1512"/>
      <c r="ASA1512"/>
      <c r="ASB1512"/>
      <c r="ASC1512"/>
      <c r="ASD1512"/>
      <c r="ASE1512"/>
      <c r="ASF1512"/>
      <c r="ASG1512"/>
      <c r="ASH1512"/>
      <c r="ASI1512"/>
      <c r="ASJ1512"/>
      <c r="ASK1512"/>
      <c r="ASL1512"/>
      <c r="ASM1512"/>
      <c r="ASN1512"/>
      <c r="ASO1512"/>
      <c r="ASP1512"/>
      <c r="ASQ1512"/>
      <c r="ASR1512"/>
      <c r="ASS1512"/>
      <c r="AST1512"/>
      <c r="ASU1512"/>
      <c r="ASV1512"/>
      <c r="ASW1512"/>
      <c r="ASX1512"/>
      <c r="ASY1512"/>
      <c r="ASZ1512"/>
      <c r="ATA1512"/>
      <c r="ATB1512"/>
      <c r="ATC1512"/>
      <c r="ATD1512"/>
      <c r="ATE1512"/>
      <c r="ATF1512"/>
      <c r="ATG1512"/>
      <c r="ATH1512"/>
      <c r="ATI1512"/>
      <c r="ATJ1512"/>
      <c r="ATK1512"/>
      <c r="ATL1512"/>
      <c r="ATM1512"/>
      <c r="ATN1512"/>
      <c r="ATO1512"/>
      <c r="ATP1512"/>
      <c r="ATQ1512"/>
      <c r="ATR1512"/>
      <c r="ATS1512"/>
      <c r="ATT1512"/>
      <c r="ATU1512"/>
      <c r="ATV1512"/>
      <c r="ATW1512"/>
      <c r="ATX1512"/>
      <c r="ATY1512"/>
      <c r="ATZ1512"/>
      <c r="AUA1512"/>
      <c r="AUB1512"/>
      <c r="AUC1512"/>
      <c r="AUD1512"/>
      <c r="AUE1512"/>
      <c r="AUF1512"/>
      <c r="AUG1512"/>
      <c r="AUH1512"/>
      <c r="AUI1512"/>
      <c r="AUJ1512"/>
      <c r="AUK1512"/>
      <c r="AUL1512"/>
      <c r="AUM1512"/>
      <c r="AUN1512"/>
      <c r="AUO1512"/>
      <c r="AUP1512"/>
      <c r="AUQ1512"/>
      <c r="AUR1512"/>
      <c r="AUS1512"/>
      <c r="AUT1512"/>
      <c r="AUU1512"/>
      <c r="AUV1512"/>
      <c r="AUW1512"/>
      <c r="AUX1512"/>
      <c r="AUY1512"/>
      <c r="AUZ1512"/>
      <c r="AVA1512"/>
      <c r="AVB1512"/>
      <c r="AVC1512"/>
      <c r="AVD1512"/>
      <c r="AVE1512"/>
      <c r="AVF1512"/>
      <c r="AVG1512"/>
      <c r="AVH1512"/>
      <c r="AVI1512"/>
      <c r="AVJ1512"/>
      <c r="AVK1512"/>
      <c r="AVL1512"/>
      <c r="AVM1512"/>
      <c r="AVN1512"/>
      <c r="AVO1512"/>
      <c r="AVP1512"/>
      <c r="AVQ1512"/>
      <c r="AVR1512"/>
      <c r="AVS1512"/>
      <c r="AVT1512"/>
      <c r="AVU1512"/>
      <c r="AVV1512"/>
      <c r="AVW1512"/>
      <c r="AVX1512"/>
      <c r="AVY1512"/>
      <c r="AVZ1512"/>
      <c r="AWA1512"/>
      <c r="AWB1512"/>
      <c r="AWC1512"/>
      <c r="AWD1512"/>
      <c r="AWE1512"/>
      <c r="AWF1512"/>
      <c r="AWG1512"/>
      <c r="AWH1512"/>
      <c r="AWI1512"/>
      <c r="AWJ1512"/>
      <c r="AWK1512"/>
      <c r="AWL1512"/>
      <c r="AWM1512"/>
      <c r="AWN1512"/>
      <c r="AWO1512"/>
      <c r="AWP1512"/>
      <c r="AWQ1512"/>
      <c r="AWR1512"/>
      <c r="AWS1512"/>
      <c r="AWT1512"/>
      <c r="AWU1512"/>
      <c r="AWV1512"/>
      <c r="AWW1512"/>
      <c r="AWX1512"/>
      <c r="AWY1512"/>
      <c r="AWZ1512"/>
      <c r="AXA1512"/>
      <c r="AXB1512"/>
      <c r="AXC1512"/>
      <c r="AXD1512"/>
      <c r="AXE1512"/>
      <c r="AXF1512"/>
      <c r="AXG1512"/>
      <c r="AXH1512"/>
      <c r="AXI1512"/>
      <c r="AXJ1512"/>
      <c r="AXK1512"/>
      <c r="AXL1512"/>
      <c r="AXM1512"/>
      <c r="AXN1512"/>
      <c r="AXO1512"/>
      <c r="AXP1512"/>
      <c r="AXQ1512"/>
      <c r="AXR1512"/>
      <c r="AXS1512"/>
      <c r="AXT1512"/>
      <c r="AXU1512"/>
      <c r="AXV1512"/>
      <c r="AXW1512"/>
      <c r="AXX1512"/>
      <c r="AXY1512"/>
      <c r="AXZ1512"/>
      <c r="AYA1512"/>
      <c r="AYB1512"/>
      <c r="AYC1512"/>
      <c r="AYD1512"/>
      <c r="AYE1512"/>
      <c r="AYF1512"/>
      <c r="AYG1512"/>
      <c r="AYH1512"/>
      <c r="AYI1512"/>
      <c r="AYJ1512"/>
      <c r="AYK1512"/>
      <c r="AYL1512"/>
      <c r="AYM1512"/>
      <c r="AYN1512"/>
      <c r="AYO1512"/>
      <c r="AYP1512"/>
      <c r="AYQ1512"/>
      <c r="AYR1512"/>
      <c r="AYS1512"/>
      <c r="AYT1512"/>
      <c r="AYU1512"/>
      <c r="AYV1512"/>
      <c r="AYW1512"/>
      <c r="AYX1512"/>
      <c r="AYY1512"/>
      <c r="AYZ1512"/>
      <c r="AZA1512"/>
      <c r="AZB1512"/>
      <c r="AZC1512"/>
      <c r="AZD1512"/>
      <c r="AZE1512"/>
      <c r="AZF1512"/>
      <c r="AZG1512"/>
      <c r="AZH1512"/>
      <c r="AZI1512"/>
      <c r="AZJ1512"/>
      <c r="AZK1512"/>
      <c r="AZL1512"/>
      <c r="AZM1512"/>
      <c r="AZN1512"/>
      <c r="AZO1512"/>
      <c r="AZP1512"/>
      <c r="AZQ1512"/>
      <c r="AZR1512"/>
      <c r="AZS1512"/>
      <c r="AZT1512"/>
      <c r="AZU1512"/>
      <c r="AZV1512"/>
      <c r="AZW1512"/>
      <c r="AZX1512"/>
      <c r="AZY1512"/>
      <c r="AZZ1512"/>
      <c r="BAA1512"/>
      <c r="BAB1512"/>
      <c r="BAC1512"/>
      <c r="BAD1512"/>
      <c r="BAE1512"/>
      <c r="BAF1512"/>
      <c r="BAG1512"/>
      <c r="BAH1512"/>
      <c r="BAI1512"/>
      <c r="BAJ1512"/>
      <c r="BAK1512"/>
      <c r="BAL1512"/>
      <c r="BAM1512"/>
      <c r="BAN1512"/>
      <c r="BAO1512"/>
      <c r="BAP1512"/>
      <c r="BAQ1512"/>
      <c r="BAR1512"/>
      <c r="BAS1512"/>
      <c r="BAT1512"/>
      <c r="BAU1512"/>
      <c r="BAV1512"/>
      <c r="BAW1512"/>
      <c r="BAX1512"/>
      <c r="BAY1512"/>
      <c r="BAZ1512"/>
      <c r="BBA1512"/>
      <c r="BBB1512"/>
      <c r="BBC1512"/>
      <c r="BBD1512"/>
      <c r="BBE1512"/>
      <c r="BBF1512"/>
      <c r="BBG1512"/>
      <c r="BBH1512"/>
      <c r="BBI1512"/>
      <c r="BBJ1512"/>
      <c r="BBK1512"/>
      <c r="BBL1512"/>
      <c r="BBM1512"/>
      <c r="BBN1512"/>
      <c r="BBO1512"/>
      <c r="BBP1512"/>
      <c r="BBQ1512"/>
      <c r="BBR1512"/>
      <c r="BBS1512"/>
      <c r="BBT1512"/>
      <c r="BBU1512"/>
      <c r="BBV1512"/>
      <c r="BBW1512"/>
      <c r="BBX1512"/>
      <c r="BBY1512"/>
      <c r="BBZ1512"/>
      <c r="BCA1512"/>
      <c r="BCB1512"/>
      <c r="BCC1512"/>
      <c r="BCD1512"/>
      <c r="BCE1512"/>
      <c r="BCF1512"/>
      <c r="BCG1512"/>
      <c r="BCH1512"/>
      <c r="BCI1512"/>
      <c r="BCJ1512"/>
      <c r="BCK1512"/>
      <c r="BCL1512"/>
      <c r="BCM1512"/>
      <c r="BCN1512"/>
      <c r="BCO1512"/>
      <c r="BCP1512"/>
      <c r="BCQ1512"/>
      <c r="BCR1512"/>
      <c r="BCS1512"/>
      <c r="BCT1512"/>
      <c r="BCU1512"/>
      <c r="BCV1512"/>
      <c r="BCW1512"/>
      <c r="BCX1512"/>
      <c r="BCY1512"/>
      <c r="BCZ1512"/>
      <c r="BDA1512"/>
      <c r="BDB1512"/>
      <c r="BDC1512"/>
      <c r="BDD1512"/>
      <c r="BDE1512"/>
      <c r="BDF1512"/>
      <c r="BDG1512"/>
      <c r="BDH1512"/>
      <c r="BDI1512"/>
      <c r="BDJ1512"/>
      <c r="BDK1512"/>
      <c r="BDL1512"/>
      <c r="BDM1512"/>
      <c r="BDN1512"/>
      <c r="BDO1512"/>
      <c r="BDP1512"/>
      <c r="BDQ1512"/>
      <c r="BDR1512"/>
      <c r="BDS1512"/>
      <c r="BDT1512"/>
      <c r="BDU1512"/>
      <c r="BDV1512"/>
      <c r="BDW1512"/>
      <c r="BDX1512"/>
      <c r="BDY1512"/>
      <c r="BDZ1512"/>
      <c r="BEA1512"/>
      <c r="BEB1512"/>
      <c r="BEC1512"/>
      <c r="BED1512"/>
      <c r="BEE1512"/>
      <c r="BEF1512"/>
      <c r="BEG1512"/>
      <c r="BEH1512"/>
      <c r="BEI1512"/>
      <c r="BEJ1512"/>
      <c r="BEK1512"/>
      <c r="BEL1512"/>
      <c r="BEM1512"/>
      <c r="BEN1512"/>
      <c r="BEO1512"/>
      <c r="BEP1512"/>
      <c r="BEQ1512"/>
      <c r="BER1512"/>
      <c r="BES1512"/>
      <c r="BET1512"/>
      <c r="BEU1512"/>
      <c r="BEV1512"/>
      <c r="BEW1512"/>
      <c r="BEX1512"/>
      <c r="BEY1512"/>
      <c r="BEZ1512"/>
      <c r="BFA1512"/>
      <c r="BFB1512"/>
      <c r="BFC1512"/>
      <c r="BFD1512"/>
      <c r="BFE1512"/>
      <c r="BFF1512"/>
      <c r="BFG1512"/>
      <c r="BFH1512"/>
      <c r="BFI1512"/>
      <c r="BFJ1512"/>
      <c r="BFK1512"/>
      <c r="BFL1512"/>
      <c r="BFM1512"/>
      <c r="BFN1512"/>
      <c r="BFO1512"/>
      <c r="BFP1512"/>
      <c r="BFQ1512"/>
      <c r="BFR1512"/>
      <c r="BFS1512"/>
      <c r="BFT1512"/>
      <c r="BFU1512"/>
      <c r="BFV1512"/>
      <c r="BFW1512"/>
      <c r="BFX1512"/>
      <c r="BFY1512"/>
      <c r="BFZ1512"/>
      <c r="BGA1512"/>
      <c r="BGB1512"/>
      <c r="BGC1512"/>
      <c r="BGD1512"/>
      <c r="BGE1512"/>
      <c r="BGF1512"/>
      <c r="BGG1512"/>
      <c r="BGH1512"/>
      <c r="BGI1512"/>
      <c r="BGJ1512"/>
      <c r="BGK1512"/>
      <c r="BGL1512"/>
      <c r="BGM1512"/>
      <c r="BGN1512"/>
      <c r="BGO1512"/>
      <c r="BGP1512"/>
      <c r="BGQ1512"/>
      <c r="BGR1512"/>
      <c r="BGS1512"/>
      <c r="BGT1512"/>
      <c r="BGU1512"/>
      <c r="BGV1512"/>
      <c r="BGW1512"/>
      <c r="BGX1512"/>
      <c r="BGY1512"/>
      <c r="BGZ1512"/>
      <c r="BHA1512"/>
      <c r="BHB1512"/>
      <c r="BHC1512"/>
      <c r="BHD1512"/>
      <c r="BHE1512"/>
      <c r="BHF1512"/>
      <c r="BHG1512"/>
      <c r="BHH1512"/>
      <c r="BHI1512"/>
      <c r="BHJ1512"/>
      <c r="BHK1512"/>
      <c r="BHL1512"/>
      <c r="BHM1512"/>
      <c r="BHN1512"/>
      <c r="BHO1512"/>
      <c r="BHP1512"/>
      <c r="BHQ1512"/>
      <c r="BHR1512"/>
      <c r="BHS1512"/>
      <c r="BHT1512"/>
      <c r="BHU1512"/>
      <c r="BHV1512"/>
      <c r="BHW1512"/>
      <c r="BHX1512"/>
      <c r="BHY1512"/>
      <c r="BHZ1512"/>
      <c r="BIA1512"/>
      <c r="BIB1512"/>
      <c r="BIC1512"/>
      <c r="BID1512"/>
      <c r="BIE1512"/>
      <c r="BIF1512"/>
      <c r="BIG1512"/>
      <c r="BIH1512"/>
      <c r="BII1512"/>
      <c r="BIJ1512"/>
      <c r="BIK1512"/>
      <c r="BIL1512"/>
      <c r="BIM1512"/>
      <c r="BIN1512"/>
      <c r="BIO1512"/>
      <c r="BIP1512"/>
      <c r="BIQ1512"/>
      <c r="BIR1512"/>
      <c r="BIS1512"/>
      <c r="BIT1512"/>
      <c r="BIU1512"/>
      <c r="BIV1512"/>
      <c r="BIW1512"/>
      <c r="BIX1512"/>
      <c r="BIY1512"/>
      <c r="BIZ1512"/>
      <c r="BJA1512"/>
      <c r="BJB1512"/>
      <c r="BJC1512"/>
      <c r="BJD1512"/>
      <c r="BJE1512"/>
      <c r="BJF1512"/>
      <c r="BJG1512"/>
      <c r="BJH1512"/>
      <c r="BJI1512"/>
      <c r="BJJ1512"/>
      <c r="BJK1512"/>
      <c r="BJL1512"/>
      <c r="BJM1512"/>
      <c r="BJN1512"/>
      <c r="BJO1512"/>
      <c r="BJP1512"/>
      <c r="BJQ1512"/>
      <c r="BJR1512"/>
      <c r="BJS1512"/>
      <c r="BJT1512"/>
      <c r="BJU1512"/>
      <c r="BJV1512"/>
      <c r="BJW1512"/>
      <c r="BJX1512"/>
      <c r="BJY1512"/>
      <c r="BJZ1512"/>
      <c r="BKA1512"/>
      <c r="BKB1512"/>
      <c r="BKC1512"/>
      <c r="BKD1512"/>
      <c r="BKE1512"/>
      <c r="BKF1512"/>
      <c r="BKG1512"/>
      <c r="BKH1512"/>
      <c r="BKI1512"/>
      <c r="BKJ1512"/>
      <c r="BKK1512"/>
      <c r="BKL1512"/>
      <c r="BKM1512"/>
      <c r="BKN1512"/>
      <c r="BKO1512"/>
      <c r="BKP1512"/>
      <c r="BKQ1512"/>
      <c r="BKR1512"/>
      <c r="BKS1512"/>
      <c r="BKT1512"/>
      <c r="BKU1512"/>
      <c r="BKV1512"/>
      <c r="BKW1512"/>
      <c r="BKX1512"/>
      <c r="BKY1512"/>
      <c r="BKZ1512"/>
      <c r="BLA1512"/>
      <c r="BLB1512"/>
      <c r="BLC1512"/>
      <c r="BLD1512"/>
      <c r="BLE1512"/>
      <c r="BLF1512"/>
      <c r="BLG1512"/>
      <c r="BLH1512"/>
      <c r="BLI1512"/>
      <c r="BLJ1512"/>
      <c r="BLK1512"/>
      <c r="BLL1512"/>
      <c r="BLM1512"/>
      <c r="BLN1512"/>
      <c r="BLO1512"/>
      <c r="BLP1512"/>
      <c r="BLQ1512"/>
      <c r="BLR1512"/>
      <c r="BLS1512"/>
      <c r="BLT1512"/>
      <c r="BLU1512"/>
      <c r="BLV1512"/>
      <c r="BLW1512"/>
      <c r="BLX1512"/>
      <c r="BLY1512"/>
      <c r="BLZ1512"/>
      <c r="BMA1512"/>
      <c r="BMB1512"/>
      <c r="BMC1512"/>
      <c r="BMD1512"/>
      <c r="BME1512"/>
      <c r="BMF1512"/>
      <c r="BMG1512"/>
      <c r="BMH1512"/>
      <c r="BMI1512"/>
      <c r="BMJ1512"/>
      <c r="BMK1512"/>
      <c r="BML1512"/>
      <c r="BMM1512"/>
      <c r="BMN1512"/>
      <c r="BMO1512"/>
      <c r="BMP1512"/>
      <c r="BMQ1512"/>
      <c r="BMR1512"/>
      <c r="BMS1512"/>
      <c r="BMT1512"/>
      <c r="BMU1512"/>
      <c r="BMV1512"/>
      <c r="BMW1512"/>
      <c r="BMX1512"/>
      <c r="BMY1512"/>
      <c r="BMZ1512"/>
      <c r="BNA1512"/>
      <c r="BNB1512"/>
      <c r="BNC1512"/>
      <c r="BND1512"/>
      <c r="BNE1512"/>
      <c r="BNF1512"/>
      <c r="BNG1512"/>
      <c r="BNH1512"/>
      <c r="BNI1512"/>
      <c r="BNJ1512"/>
      <c r="BNK1512"/>
      <c r="BNL1512"/>
      <c r="BNM1512"/>
      <c r="BNN1512"/>
      <c r="BNO1512"/>
      <c r="BNP1512"/>
      <c r="BNQ1512"/>
      <c r="BNR1512"/>
      <c r="BNS1512"/>
      <c r="BNT1512"/>
      <c r="BNU1512"/>
      <c r="BNV1512"/>
      <c r="BNW1512"/>
      <c r="BNX1512"/>
      <c r="BNY1512"/>
      <c r="BNZ1512"/>
      <c r="BOA1512"/>
      <c r="BOB1512"/>
      <c r="BOC1512"/>
      <c r="BOD1512"/>
      <c r="BOE1512"/>
      <c r="BOF1512"/>
      <c r="BOG1512"/>
      <c r="BOH1512"/>
      <c r="BOI1512"/>
      <c r="BOJ1512"/>
      <c r="BOK1512"/>
      <c r="BOL1512"/>
      <c r="BOM1512"/>
      <c r="BON1512"/>
      <c r="BOO1512"/>
      <c r="BOP1512"/>
      <c r="BOQ1512"/>
      <c r="BOR1512"/>
      <c r="BOS1512"/>
      <c r="BOT1512"/>
      <c r="BOU1512"/>
      <c r="BOV1512"/>
      <c r="BOW1512"/>
      <c r="BOX1512"/>
      <c r="BOY1512"/>
      <c r="BOZ1512"/>
      <c r="BPA1512"/>
      <c r="BPB1512"/>
      <c r="BPC1512"/>
      <c r="BPD1512"/>
      <c r="BPE1512"/>
      <c r="BPF1512"/>
      <c r="BPG1512"/>
      <c r="BPH1512"/>
      <c r="BPI1512"/>
      <c r="BPJ1512"/>
      <c r="BPK1512"/>
      <c r="BPL1512"/>
      <c r="BPM1512"/>
      <c r="BPN1512"/>
      <c r="BPO1512"/>
      <c r="BPP1512"/>
      <c r="BPQ1512"/>
      <c r="BPR1512"/>
      <c r="BPS1512"/>
      <c r="BPT1512"/>
      <c r="BPU1512"/>
      <c r="BPV1512"/>
      <c r="BPW1512"/>
      <c r="BPX1512"/>
      <c r="BPY1512"/>
      <c r="BPZ1512"/>
      <c r="BQA1512"/>
      <c r="BQB1512"/>
      <c r="BQC1512"/>
      <c r="BQD1512"/>
      <c r="BQE1512"/>
      <c r="BQF1512"/>
      <c r="BQG1512"/>
      <c r="BQH1512"/>
      <c r="BQI1512"/>
      <c r="BQJ1512"/>
      <c r="BQK1512"/>
      <c r="BQL1512"/>
      <c r="BQM1512"/>
      <c r="BQN1512"/>
      <c r="BQO1512"/>
      <c r="BQP1512"/>
      <c r="BQQ1512"/>
      <c r="BQR1512"/>
      <c r="BQS1512"/>
      <c r="BQT1512"/>
      <c r="BQU1512"/>
      <c r="BQV1512"/>
      <c r="BQW1512"/>
      <c r="BQX1512"/>
      <c r="BQY1512"/>
      <c r="BQZ1512"/>
      <c r="BRA1512"/>
      <c r="BRB1512"/>
      <c r="BRC1512"/>
      <c r="BRD1512"/>
      <c r="BRE1512"/>
      <c r="BRF1512"/>
      <c r="BRG1512"/>
      <c r="BRH1512"/>
      <c r="BRI1512"/>
      <c r="BRJ1512"/>
      <c r="BRK1512"/>
      <c r="BRL1512"/>
      <c r="BRM1512"/>
      <c r="BRN1512"/>
      <c r="BRO1512"/>
      <c r="BRP1512"/>
      <c r="BRQ1512"/>
      <c r="BRR1512"/>
      <c r="BRS1512"/>
      <c r="BRT1512"/>
      <c r="BRU1512"/>
      <c r="BRV1512"/>
      <c r="BRW1512"/>
      <c r="BRX1512"/>
      <c r="BRY1512"/>
      <c r="BRZ1512"/>
      <c r="BSA1512"/>
      <c r="BSB1512"/>
      <c r="BSC1512"/>
      <c r="BSD1512"/>
      <c r="BSE1512"/>
      <c r="BSF1512"/>
      <c r="BSG1512"/>
      <c r="BSH1512"/>
      <c r="BSI1512"/>
      <c r="BSJ1512"/>
      <c r="BSK1512"/>
      <c r="BSL1512"/>
      <c r="BSM1512"/>
      <c r="BSN1512"/>
      <c r="BSO1512"/>
      <c r="BSP1512"/>
      <c r="BSQ1512"/>
      <c r="BSR1512"/>
      <c r="BSS1512"/>
      <c r="BST1512"/>
      <c r="BSU1512"/>
      <c r="BSV1512"/>
      <c r="BSW1512"/>
      <c r="BSX1512"/>
      <c r="BSY1512"/>
      <c r="BSZ1512"/>
      <c r="BTA1512"/>
      <c r="BTB1512"/>
      <c r="BTC1512"/>
      <c r="BTD1512"/>
      <c r="BTE1512"/>
      <c r="BTF1512"/>
      <c r="BTG1512"/>
      <c r="BTH1512"/>
      <c r="BTI1512"/>
      <c r="BTJ1512"/>
      <c r="BTK1512"/>
      <c r="BTL1512"/>
      <c r="BTM1512"/>
      <c r="BTN1512"/>
      <c r="BTO1512"/>
      <c r="BTP1512"/>
      <c r="BTQ1512"/>
      <c r="BTR1512"/>
      <c r="BTS1512"/>
      <c r="BTT1512"/>
      <c r="BTU1512"/>
      <c r="BTV1512"/>
      <c r="BTW1512"/>
      <c r="BTX1512"/>
      <c r="BTY1512"/>
      <c r="BTZ1512"/>
      <c r="BUA1512"/>
      <c r="BUB1512"/>
      <c r="BUC1512"/>
      <c r="BUD1512"/>
      <c r="BUE1512"/>
      <c r="BUF1512"/>
      <c r="BUG1512"/>
      <c r="BUH1512"/>
      <c r="BUI1512"/>
      <c r="BUJ1512"/>
      <c r="BUK1512"/>
      <c r="BUL1512"/>
      <c r="BUM1512"/>
      <c r="BUN1512"/>
      <c r="BUO1512"/>
      <c r="BUP1512"/>
      <c r="BUQ1512"/>
      <c r="BUR1512"/>
      <c r="BUS1512"/>
      <c r="BUT1512"/>
      <c r="BUU1512"/>
      <c r="BUV1512"/>
      <c r="BUW1512"/>
      <c r="BUX1512"/>
      <c r="BUY1512"/>
      <c r="BUZ1512"/>
      <c r="BVA1512"/>
      <c r="BVB1512"/>
      <c r="BVC1512"/>
      <c r="BVD1512"/>
      <c r="BVE1512"/>
      <c r="BVF1512"/>
      <c r="BVG1512"/>
      <c r="BVH1512"/>
      <c r="BVI1512"/>
      <c r="BVJ1512"/>
      <c r="BVK1512"/>
      <c r="BVL1512"/>
      <c r="BVM1512"/>
      <c r="BVN1512"/>
      <c r="BVO1512"/>
      <c r="BVP1512"/>
      <c r="BVQ1512"/>
      <c r="BVR1512"/>
      <c r="BVS1512"/>
      <c r="BVT1512"/>
      <c r="BVU1512"/>
      <c r="BVV1512"/>
      <c r="BVW1512"/>
      <c r="BVX1512"/>
      <c r="BVY1512"/>
      <c r="BVZ1512"/>
      <c r="BWA1512"/>
      <c r="BWB1512"/>
      <c r="BWC1512"/>
      <c r="BWD1512"/>
      <c r="BWE1512"/>
      <c r="BWF1512"/>
      <c r="BWG1512"/>
      <c r="BWH1512"/>
      <c r="BWI1512"/>
      <c r="BWJ1512"/>
      <c r="BWK1512"/>
      <c r="BWL1512"/>
      <c r="BWM1512"/>
      <c r="BWN1512"/>
      <c r="BWO1512"/>
      <c r="BWP1512"/>
      <c r="BWQ1512"/>
      <c r="BWR1512"/>
      <c r="BWS1512"/>
      <c r="BWT1512"/>
      <c r="BWU1512"/>
      <c r="BWV1512"/>
      <c r="BWW1512"/>
      <c r="BWX1512"/>
      <c r="BWY1512"/>
      <c r="BWZ1512"/>
      <c r="BXA1512"/>
      <c r="BXB1512"/>
      <c r="BXC1512"/>
      <c r="BXD1512"/>
      <c r="BXE1512"/>
      <c r="BXF1512"/>
      <c r="BXG1512"/>
      <c r="BXH1512"/>
      <c r="BXI1512"/>
      <c r="BXJ1512"/>
      <c r="BXK1512"/>
      <c r="BXL1512"/>
      <c r="BXM1512"/>
      <c r="BXN1512"/>
      <c r="BXO1512"/>
      <c r="BXP1512"/>
      <c r="BXQ1512"/>
      <c r="BXR1512"/>
      <c r="BXS1512"/>
      <c r="BXT1512"/>
      <c r="BXU1512"/>
      <c r="BXV1512"/>
      <c r="BXW1512"/>
      <c r="BXX1512"/>
      <c r="BXY1512"/>
      <c r="BXZ1512"/>
      <c r="BYA1512"/>
      <c r="BYB1512"/>
      <c r="BYC1512"/>
      <c r="BYD1512"/>
      <c r="BYE1512"/>
      <c r="BYF1512"/>
      <c r="BYG1512"/>
      <c r="BYH1512"/>
      <c r="BYI1512"/>
      <c r="BYJ1512"/>
      <c r="BYK1512"/>
      <c r="BYL1512"/>
      <c r="BYM1512"/>
      <c r="BYN1512"/>
      <c r="BYO1512"/>
      <c r="BYP1512"/>
      <c r="BYQ1512"/>
      <c r="BYR1512"/>
      <c r="BYS1512"/>
      <c r="BYT1512"/>
      <c r="BYU1512"/>
      <c r="BYV1512"/>
      <c r="BYW1512"/>
      <c r="BYX1512"/>
      <c r="BYY1512"/>
      <c r="BYZ1512"/>
      <c r="BZA1512"/>
      <c r="BZB1512"/>
      <c r="BZC1512"/>
      <c r="BZD1512"/>
      <c r="BZE1512"/>
      <c r="BZF1512"/>
      <c r="BZG1512"/>
      <c r="BZH1512"/>
      <c r="BZI1512"/>
      <c r="BZJ1512"/>
      <c r="BZK1512"/>
      <c r="BZL1512"/>
      <c r="BZM1512"/>
      <c r="BZN1512"/>
      <c r="BZO1512"/>
      <c r="BZP1512"/>
      <c r="BZQ1512"/>
      <c r="BZR1512"/>
      <c r="BZS1512"/>
      <c r="BZT1512"/>
      <c r="BZU1512"/>
      <c r="BZV1512"/>
      <c r="BZW1512"/>
      <c r="BZX1512"/>
      <c r="BZY1512"/>
      <c r="BZZ1512"/>
      <c r="CAA1512"/>
      <c r="CAB1512"/>
      <c r="CAC1512"/>
      <c r="CAD1512"/>
      <c r="CAE1512"/>
      <c r="CAF1512"/>
      <c r="CAG1512"/>
      <c r="CAH1512"/>
      <c r="CAI1512"/>
      <c r="CAJ1512"/>
      <c r="CAK1512"/>
      <c r="CAL1512"/>
      <c r="CAM1512"/>
      <c r="CAN1512"/>
      <c r="CAO1512"/>
      <c r="CAP1512"/>
      <c r="CAQ1512"/>
      <c r="CAR1512"/>
      <c r="CAS1512"/>
      <c r="CAT1512"/>
      <c r="CAU1512"/>
      <c r="CAV1512"/>
      <c r="CAW1512"/>
      <c r="CAX1512"/>
      <c r="CAY1512"/>
      <c r="CAZ1512"/>
      <c r="CBA1512"/>
      <c r="CBB1512"/>
      <c r="CBC1512"/>
      <c r="CBD1512"/>
      <c r="CBE1512"/>
      <c r="CBF1512"/>
      <c r="CBG1512"/>
      <c r="CBH1512"/>
      <c r="CBI1512"/>
      <c r="CBJ1512"/>
      <c r="CBK1512"/>
      <c r="CBL1512"/>
      <c r="CBM1512"/>
      <c r="CBN1512"/>
      <c r="CBO1512"/>
      <c r="CBP1512"/>
      <c r="CBQ1512"/>
      <c r="CBR1512"/>
      <c r="CBS1512"/>
      <c r="CBT1512"/>
      <c r="CBU1512"/>
      <c r="CBV1512"/>
      <c r="CBW1512"/>
      <c r="CBX1512"/>
      <c r="CBY1512"/>
      <c r="CBZ1512"/>
      <c r="CCA1512"/>
      <c r="CCB1512"/>
      <c r="CCC1512"/>
      <c r="CCD1512"/>
      <c r="CCE1512"/>
      <c r="CCF1512"/>
      <c r="CCG1512"/>
      <c r="CCH1512"/>
      <c r="CCI1512"/>
      <c r="CCJ1512"/>
      <c r="CCK1512"/>
      <c r="CCL1512"/>
      <c r="CCM1512"/>
      <c r="CCN1512"/>
      <c r="CCO1512"/>
      <c r="CCP1512"/>
      <c r="CCQ1512"/>
      <c r="CCR1512"/>
      <c r="CCS1512"/>
      <c r="CCT1512"/>
      <c r="CCU1512"/>
      <c r="CCV1512"/>
      <c r="CCW1512"/>
      <c r="CCX1512"/>
      <c r="CCY1512"/>
      <c r="CCZ1512"/>
      <c r="CDA1512"/>
      <c r="CDB1512"/>
      <c r="CDC1512"/>
      <c r="CDD1512"/>
      <c r="CDE1512"/>
      <c r="CDF1512"/>
      <c r="CDG1512"/>
      <c r="CDH1512"/>
      <c r="CDI1512"/>
      <c r="CDJ1512"/>
      <c r="CDK1512"/>
      <c r="CDL1512"/>
      <c r="CDM1512"/>
      <c r="CDN1512"/>
      <c r="CDO1512"/>
      <c r="CDP1512"/>
      <c r="CDQ1512"/>
      <c r="CDR1512"/>
      <c r="CDS1512"/>
      <c r="CDT1512"/>
      <c r="CDU1512"/>
      <c r="CDV1512"/>
      <c r="CDW1512"/>
      <c r="CDX1512"/>
      <c r="CDY1512"/>
      <c r="CDZ1512"/>
      <c r="CEA1512"/>
      <c r="CEB1512"/>
      <c r="CEC1512"/>
      <c r="CED1512"/>
      <c r="CEE1512"/>
      <c r="CEF1512"/>
      <c r="CEG1512"/>
      <c r="CEH1512"/>
      <c r="CEI1512"/>
      <c r="CEJ1512"/>
      <c r="CEK1512"/>
      <c r="CEL1512"/>
      <c r="CEM1512"/>
      <c r="CEN1512"/>
      <c r="CEO1512"/>
      <c r="CEP1512"/>
      <c r="CEQ1512"/>
      <c r="CER1512"/>
      <c r="CES1512"/>
      <c r="CET1512"/>
      <c r="CEU1512"/>
      <c r="CEV1512"/>
      <c r="CEW1512"/>
      <c r="CEX1512"/>
      <c r="CEY1512"/>
      <c r="CEZ1512"/>
      <c r="CFA1512"/>
      <c r="CFB1512"/>
      <c r="CFC1512"/>
      <c r="CFD1512"/>
      <c r="CFE1512"/>
      <c r="CFF1512"/>
      <c r="CFG1512"/>
      <c r="CFH1512"/>
      <c r="CFI1512"/>
      <c r="CFJ1512"/>
      <c r="CFK1512"/>
      <c r="CFL1512"/>
      <c r="CFM1512"/>
      <c r="CFN1512"/>
      <c r="CFO1512"/>
      <c r="CFP1512"/>
      <c r="CFQ1512"/>
      <c r="CFR1512"/>
      <c r="CFS1512"/>
      <c r="CFT1512"/>
      <c r="CFU1512"/>
      <c r="CFV1512"/>
      <c r="CFW1512"/>
      <c r="CFX1512"/>
      <c r="CFY1512"/>
      <c r="CFZ1512"/>
      <c r="CGA1512"/>
      <c r="CGB1512"/>
      <c r="CGC1512"/>
      <c r="CGD1512"/>
      <c r="CGE1512"/>
      <c r="CGF1512"/>
      <c r="CGG1512"/>
      <c r="CGH1512"/>
      <c r="CGI1512"/>
      <c r="CGJ1512"/>
      <c r="CGK1512"/>
      <c r="CGL1512"/>
      <c r="CGM1512"/>
      <c r="CGN1512"/>
      <c r="CGO1512"/>
      <c r="CGP1512"/>
      <c r="CGQ1512"/>
      <c r="CGR1512"/>
      <c r="CGS1512"/>
      <c r="CGT1512"/>
      <c r="CGU1512"/>
      <c r="CGV1512"/>
      <c r="CGW1512"/>
      <c r="CGX1512"/>
      <c r="CGY1512"/>
      <c r="CGZ1512"/>
      <c r="CHA1512"/>
      <c r="CHB1512"/>
      <c r="CHC1512"/>
      <c r="CHD1512"/>
      <c r="CHE1512"/>
      <c r="CHF1512"/>
      <c r="CHG1512"/>
      <c r="CHH1512"/>
      <c r="CHI1512"/>
      <c r="CHJ1512"/>
      <c r="CHK1512"/>
      <c r="CHL1512"/>
      <c r="CHM1512"/>
      <c r="CHN1512"/>
      <c r="CHO1512"/>
      <c r="CHP1512"/>
      <c r="CHQ1512"/>
      <c r="CHR1512"/>
      <c r="CHS1512"/>
      <c r="CHT1512"/>
      <c r="CHU1512"/>
      <c r="CHV1512"/>
      <c r="CHW1512"/>
      <c r="CHX1512"/>
      <c r="CHY1512"/>
      <c r="CHZ1512"/>
      <c r="CIA1512"/>
      <c r="CIB1512"/>
      <c r="CIC1512"/>
      <c r="CID1512"/>
      <c r="CIE1512"/>
      <c r="CIF1512"/>
      <c r="CIG1512"/>
      <c r="CIH1512"/>
      <c r="CII1512"/>
      <c r="CIJ1512"/>
      <c r="CIK1512"/>
      <c r="CIL1512"/>
      <c r="CIM1512"/>
      <c r="CIN1512"/>
      <c r="CIO1512"/>
      <c r="CIP1512"/>
      <c r="CIQ1512"/>
      <c r="CIR1512"/>
      <c r="CIS1512"/>
      <c r="CIT1512"/>
      <c r="CIU1512"/>
      <c r="CIV1512"/>
      <c r="CIW1512"/>
      <c r="CIX1512"/>
      <c r="CIY1512"/>
      <c r="CIZ1512"/>
      <c r="CJA1512"/>
      <c r="CJB1512"/>
      <c r="CJC1512"/>
      <c r="CJD1512"/>
      <c r="CJE1512"/>
      <c r="CJF1512"/>
      <c r="CJG1512"/>
      <c r="CJH1512"/>
      <c r="CJI1512"/>
      <c r="CJJ1512"/>
      <c r="CJK1512"/>
      <c r="CJL1512"/>
      <c r="CJM1512"/>
      <c r="CJN1512"/>
      <c r="CJO1512"/>
      <c r="CJP1512"/>
      <c r="CJQ1512"/>
      <c r="CJR1512"/>
      <c r="CJS1512"/>
      <c r="CJT1512"/>
      <c r="CJU1512"/>
      <c r="CJV1512"/>
      <c r="CJW1512"/>
      <c r="CJX1512"/>
      <c r="CJY1512"/>
      <c r="CJZ1512"/>
      <c r="CKA1512"/>
      <c r="CKB1512"/>
      <c r="CKC1512"/>
      <c r="CKD1512"/>
      <c r="CKE1512"/>
      <c r="CKF1512"/>
      <c r="CKG1512"/>
      <c r="CKH1512"/>
      <c r="CKI1512"/>
      <c r="CKJ1512"/>
      <c r="CKK1512"/>
      <c r="CKL1512"/>
      <c r="CKM1512"/>
      <c r="CKN1512"/>
      <c r="CKO1512"/>
      <c r="CKP1512"/>
      <c r="CKQ1512"/>
      <c r="CKR1512"/>
      <c r="CKS1512"/>
      <c r="CKT1512"/>
      <c r="CKU1512"/>
      <c r="CKV1512"/>
      <c r="CKW1512"/>
      <c r="CKX1512"/>
      <c r="CKY1512"/>
      <c r="CKZ1512"/>
      <c r="CLA1512"/>
      <c r="CLB1512"/>
      <c r="CLC1512"/>
      <c r="CLD1512"/>
      <c r="CLE1512"/>
      <c r="CLF1512"/>
      <c r="CLG1512"/>
      <c r="CLH1512"/>
      <c r="CLI1512"/>
      <c r="CLJ1512"/>
      <c r="CLK1512"/>
      <c r="CLL1512"/>
      <c r="CLM1512"/>
      <c r="CLN1512"/>
      <c r="CLO1512"/>
      <c r="CLP1512"/>
      <c r="CLQ1512"/>
      <c r="CLR1512"/>
      <c r="CLS1512"/>
      <c r="CLT1512"/>
      <c r="CLU1512"/>
      <c r="CLV1512"/>
      <c r="CLW1512"/>
      <c r="CLX1512"/>
      <c r="CLY1512"/>
      <c r="CLZ1512"/>
      <c r="CMA1512"/>
      <c r="CMB1512"/>
      <c r="CMC1512"/>
      <c r="CMD1512"/>
      <c r="CME1512"/>
      <c r="CMF1512"/>
      <c r="CMG1512"/>
      <c r="CMH1512"/>
      <c r="CMI1512"/>
      <c r="CMJ1512"/>
      <c r="CMK1512"/>
      <c r="CML1512"/>
      <c r="CMM1512"/>
      <c r="CMN1512"/>
      <c r="CMO1512"/>
      <c r="CMP1512"/>
      <c r="CMQ1512"/>
      <c r="CMR1512"/>
      <c r="CMS1512"/>
      <c r="CMT1512"/>
      <c r="CMU1512"/>
      <c r="CMV1512"/>
      <c r="CMW1512"/>
      <c r="CMX1512"/>
      <c r="CMY1512"/>
      <c r="CMZ1512"/>
      <c r="CNA1512"/>
      <c r="CNB1512"/>
      <c r="CNC1512"/>
      <c r="CND1512"/>
      <c r="CNE1512"/>
      <c r="CNF1512"/>
      <c r="CNG1512"/>
      <c r="CNH1512"/>
      <c r="CNI1512"/>
      <c r="CNJ1512"/>
      <c r="CNK1512"/>
      <c r="CNL1512"/>
      <c r="CNM1512"/>
      <c r="CNN1512"/>
      <c r="CNO1512"/>
      <c r="CNP1512"/>
      <c r="CNQ1512"/>
      <c r="CNR1512"/>
      <c r="CNS1512"/>
      <c r="CNT1512"/>
      <c r="CNU1512"/>
      <c r="CNV1512"/>
      <c r="CNW1512"/>
      <c r="CNX1512"/>
      <c r="CNY1512"/>
      <c r="CNZ1512"/>
      <c r="COA1512"/>
      <c r="COB1512"/>
      <c r="COC1512"/>
      <c r="COD1512"/>
      <c r="COE1512"/>
      <c r="COF1512"/>
      <c r="COG1512"/>
      <c r="COH1512"/>
      <c r="COI1512"/>
      <c r="COJ1512"/>
      <c r="COK1512"/>
      <c r="COL1512"/>
      <c r="COM1512"/>
      <c r="CON1512"/>
      <c r="COO1512"/>
      <c r="COP1512"/>
      <c r="COQ1512"/>
      <c r="COR1512"/>
      <c r="COS1512"/>
      <c r="COT1512"/>
      <c r="COU1512"/>
      <c r="COV1512"/>
      <c r="COW1512"/>
      <c r="COX1512"/>
      <c r="COY1512"/>
      <c r="COZ1512"/>
      <c r="CPA1512"/>
      <c r="CPB1512"/>
      <c r="CPC1512"/>
      <c r="CPD1512"/>
      <c r="CPE1512"/>
      <c r="CPF1512"/>
      <c r="CPG1512"/>
      <c r="CPH1512"/>
      <c r="CPI1512"/>
      <c r="CPJ1512"/>
      <c r="CPK1512"/>
      <c r="CPL1512"/>
      <c r="CPM1512"/>
      <c r="CPN1512"/>
      <c r="CPO1512"/>
      <c r="CPP1512"/>
      <c r="CPQ1512"/>
      <c r="CPR1512"/>
      <c r="CPS1512"/>
      <c r="CPT1512"/>
      <c r="CPU1512"/>
      <c r="CPV1512"/>
      <c r="CPW1512"/>
      <c r="CPX1512"/>
      <c r="CPY1512"/>
      <c r="CPZ1512"/>
      <c r="CQA1512"/>
      <c r="CQB1512"/>
      <c r="CQC1512"/>
      <c r="CQD1512"/>
      <c r="CQE1512"/>
      <c r="CQF1512"/>
      <c r="CQG1512"/>
      <c r="CQH1512"/>
      <c r="CQI1512"/>
      <c r="CQJ1512"/>
      <c r="CQK1512"/>
      <c r="CQL1512"/>
      <c r="CQM1512"/>
      <c r="CQN1512"/>
      <c r="CQO1512"/>
      <c r="CQP1512"/>
      <c r="CQQ1512"/>
      <c r="CQR1512"/>
      <c r="CQS1512"/>
      <c r="CQT1512"/>
      <c r="CQU1512"/>
      <c r="CQV1512"/>
      <c r="CQW1512"/>
      <c r="CQX1512"/>
      <c r="CQY1512"/>
      <c r="CQZ1512"/>
      <c r="CRA1512"/>
      <c r="CRB1512"/>
      <c r="CRC1512"/>
      <c r="CRD1512"/>
      <c r="CRE1512"/>
      <c r="CRF1512"/>
      <c r="CRG1512"/>
      <c r="CRH1512"/>
      <c r="CRI1512"/>
      <c r="CRJ1512"/>
      <c r="CRK1512"/>
      <c r="CRL1512"/>
      <c r="CRM1512"/>
      <c r="CRN1512"/>
      <c r="CRO1512"/>
      <c r="CRP1512"/>
      <c r="CRQ1512"/>
      <c r="CRR1512"/>
      <c r="CRS1512"/>
      <c r="CRT1512"/>
      <c r="CRU1512"/>
      <c r="CRV1512"/>
      <c r="CRW1512"/>
      <c r="CRX1512"/>
      <c r="CRY1512"/>
      <c r="CRZ1512"/>
      <c r="CSA1512"/>
      <c r="CSB1512"/>
      <c r="CSC1512"/>
      <c r="CSD1512"/>
      <c r="CSE1512"/>
      <c r="CSF1512"/>
      <c r="CSG1512"/>
      <c r="CSH1512"/>
      <c r="CSI1512"/>
      <c r="CSJ1512"/>
      <c r="CSK1512"/>
      <c r="CSL1512"/>
      <c r="CSM1512"/>
      <c r="CSN1512"/>
      <c r="CSO1512"/>
      <c r="CSP1512"/>
      <c r="CSQ1512"/>
      <c r="CSR1512"/>
      <c r="CSS1512"/>
      <c r="CST1512"/>
      <c r="CSU1512"/>
      <c r="CSV1512"/>
      <c r="CSW1512"/>
      <c r="CSX1512"/>
      <c r="CSY1512"/>
      <c r="CSZ1512"/>
      <c r="CTA1512"/>
      <c r="CTB1512"/>
      <c r="CTC1512"/>
      <c r="CTD1512"/>
      <c r="CTE1512"/>
      <c r="CTF1512"/>
      <c r="CTG1512"/>
      <c r="CTH1512"/>
      <c r="CTI1512"/>
      <c r="CTJ1512"/>
      <c r="CTK1512"/>
      <c r="CTL1512"/>
      <c r="CTM1512"/>
      <c r="CTN1512"/>
      <c r="CTO1512"/>
      <c r="CTP1512"/>
      <c r="CTQ1512"/>
      <c r="CTR1512"/>
      <c r="CTS1512"/>
      <c r="CTT1512"/>
      <c r="CTU1512"/>
      <c r="CTV1512"/>
      <c r="CTW1512"/>
      <c r="CTX1512"/>
      <c r="CTY1512"/>
      <c r="CTZ1512"/>
      <c r="CUA1512"/>
      <c r="CUB1512"/>
      <c r="CUC1512"/>
      <c r="CUD1512"/>
      <c r="CUE1512"/>
      <c r="CUF1512"/>
      <c r="CUG1512"/>
      <c r="CUH1512"/>
      <c r="CUI1512"/>
      <c r="CUJ1512"/>
      <c r="CUK1512"/>
      <c r="CUL1512"/>
      <c r="CUM1512"/>
      <c r="CUN1512"/>
      <c r="CUO1512"/>
      <c r="CUP1512"/>
      <c r="CUQ1512"/>
      <c r="CUR1512"/>
      <c r="CUS1512"/>
      <c r="CUT1512"/>
      <c r="CUU1512"/>
      <c r="CUV1512"/>
      <c r="CUW1512"/>
      <c r="CUX1512"/>
      <c r="CUY1512"/>
      <c r="CUZ1512"/>
      <c r="CVA1512"/>
      <c r="CVB1512"/>
      <c r="CVC1512"/>
      <c r="CVD1512"/>
      <c r="CVE1512"/>
      <c r="CVF1512"/>
      <c r="CVG1512"/>
      <c r="CVH1512"/>
      <c r="CVI1512"/>
      <c r="CVJ1512"/>
      <c r="CVK1512"/>
      <c r="CVL1512"/>
      <c r="CVM1512"/>
      <c r="CVN1512"/>
      <c r="CVO1512"/>
      <c r="CVP1512"/>
      <c r="CVQ1512"/>
      <c r="CVR1512"/>
      <c r="CVS1512"/>
      <c r="CVT1512"/>
      <c r="CVU1512"/>
      <c r="CVV1512"/>
      <c r="CVW1512"/>
      <c r="CVX1512"/>
      <c r="CVY1512"/>
      <c r="CVZ1512"/>
      <c r="CWA1512"/>
      <c r="CWB1512"/>
      <c r="CWC1512"/>
      <c r="CWD1512"/>
      <c r="CWE1512"/>
      <c r="CWF1512"/>
      <c r="CWG1512"/>
      <c r="CWH1512"/>
      <c r="CWI1512"/>
      <c r="CWJ1512"/>
      <c r="CWK1512"/>
      <c r="CWL1512"/>
      <c r="CWM1512"/>
      <c r="CWN1512"/>
      <c r="CWO1512"/>
      <c r="CWP1512"/>
      <c r="CWQ1512"/>
      <c r="CWR1512"/>
      <c r="CWS1512"/>
      <c r="CWT1512"/>
      <c r="CWU1512"/>
      <c r="CWV1512"/>
      <c r="CWW1512"/>
      <c r="CWX1512"/>
      <c r="CWY1512"/>
      <c r="CWZ1512"/>
      <c r="CXA1512"/>
      <c r="CXB1512"/>
      <c r="CXC1512"/>
      <c r="CXD1512"/>
      <c r="CXE1512"/>
      <c r="CXF1512"/>
      <c r="CXG1512"/>
      <c r="CXH1512"/>
      <c r="CXI1512"/>
      <c r="CXJ1512"/>
      <c r="CXK1512"/>
      <c r="CXL1512"/>
      <c r="CXM1512"/>
      <c r="CXN1512"/>
      <c r="CXO1512"/>
      <c r="CXP1512"/>
      <c r="CXQ1512"/>
      <c r="CXR1512"/>
      <c r="CXS1512"/>
      <c r="CXT1512"/>
      <c r="CXU1512"/>
      <c r="CXV1512"/>
      <c r="CXW1512"/>
      <c r="CXX1512"/>
      <c r="CXY1512"/>
      <c r="CXZ1512"/>
      <c r="CYA1512"/>
      <c r="CYB1512"/>
      <c r="CYC1512"/>
      <c r="CYD1512"/>
      <c r="CYE1512"/>
      <c r="CYF1512"/>
      <c r="CYG1512"/>
      <c r="CYH1512"/>
      <c r="CYI1512"/>
      <c r="CYJ1512"/>
      <c r="CYK1512"/>
      <c r="CYL1512"/>
      <c r="CYM1512"/>
      <c r="CYN1512"/>
      <c r="CYO1512"/>
      <c r="CYP1512"/>
      <c r="CYQ1512"/>
      <c r="CYR1512"/>
      <c r="CYS1512"/>
      <c r="CYT1512"/>
      <c r="CYU1512"/>
      <c r="CYV1512"/>
      <c r="CYW1512"/>
      <c r="CYX1512"/>
      <c r="CYY1512"/>
      <c r="CYZ1512"/>
      <c r="CZA1512"/>
      <c r="CZB1512"/>
      <c r="CZC1512"/>
      <c r="CZD1512"/>
      <c r="CZE1512"/>
      <c r="CZF1512"/>
      <c r="CZG1512"/>
      <c r="CZH1512"/>
      <c r="CZI1512"/>
      <c r="CZJ1512"/>
      <c r="CZK1512"/>
      <c r="CZL1512"/>
      <c r="CZM1512"/>
      <c r="CZN1512"/>
      <c r="CZO1512"/>
      <c r="CZP1512"/>
      <c r="CZQ1512"/>
      <c r="CZR1512"/>
      <c r="CZS1512"/>
      <c r="CZT1512"/>
      <c r="CZU1512"/>
      <c r="CZV1512"/>
      <c r="CZW1512"/>
      <c r="CZX1512"/>
      <c r="CZY1512"/>
      <c r="CZZ1512"/>
      <c r="DAA1512"/>
      <c r="DAB1512"/>
      <c r="DAC1512"/>
      <c r="DAD1512"/>
      <c r="DAE1512"/>
      <c r="DAF1512"/>
      <c r="DAG1512"/>
      <c r="DAH1512"/>
      <c r="DAI1512"/>
      <c r="DAJ1512"/>
      <c r="DAK1512"/>
      <c r="DAL1512"/>
      <c r="DAM1512"/>
      <c r="DAN1512"/>
      <c r="DAO1512"/>
      <c r="DAP1512"/>
      <c r="DAQ1512"/>
      <c r="DAR1512"/>
      <c r="DAS1512"/>
      <c r="DAT1512"/>
      <c r="DAU1512"/>
      <c r="DAV1512"/>
      <c r="DAW1512"/>
      <c r="DAX1512"/>
      <c r="DAY1512"/>
      <c r="DAZ1512"/>
      <c r="DBA1512"/>
      <c r="DBB1512"/>
      <c r="DBC1512"/>
      <c r="DBD1512"/>
      <c r="DBE1512"/>
      <c r="DBF1512"/>
      <c r="DBG1512"/>
      <c r="DBH1512"/>
      <c r="DBI1512"/>
      <c r="DBJ1512"/>
      <c r="DBK1512"/>
      <c r="DBL1512"/>
      <c r="DBM1512"/>
      <c r="DBN1512"/>
      <c r="DBO1512"/>
      <c r="DBP1512"/>
      <c r="DBQ1512"/>
      <c r="DBR1512"/>
      <c r="DBS1512"/>
      <c r="DBT1512"/>
      <c r="DBU1512"/>
      <c r="DBV1512"/>
      <c r="DBW1512"/>
      <c r="DBX1512"/>
      <c r="DBY1512"/>
      <c r="DBZ1512"/>
      <c r="DCA1512"/>
      <c r="DCB1512"/>
      <c r="DCC1512"/>
      <c r="DCD1512"/>
      <c r="DCE1512"/>
      <c r="DCF1512"/>
      <c r="DCG1512"/>
      <c r="DCH1512"/>
      <c r="DCI1512"/>
      <c r="DCJ1512"/>
      <c r="DCK1512"/>
      <c r="DCL1512"/>
      <c r="DCM1512"/>
      <c r="DCN1512"/>
      <c r="DCO1512"/>
      <c r="DCP1512"/>
      <c r="DCQ1512"/>
      <c r="DCR1512"/>
      <c r="DCS1512"/>
      <c r="DCT1512"/>
      <c r="DCU1512"/>
      <c r="DCV1512"/>
      <c r="DCW1512"/>
      <c r="DCX1512"/>
      <c r="DCY1512"/>
      <c r="DCZ1512"/>
      <c r="DDA1512"/>
      <c r="DDB1512"/>
      <c r="DDC1512"/>
      <c r="DDD1512"/>
      <c r="DDE1512"/>
      <c r="DDF1512"/>
      <c r="DDG1512"/>
      <c r="DDH1512"/>
      <c r="DDI1512"/>
      <c r="DDJ1512"/>
      <c r="DDK1512"/>
      <c r="DDL1512"/>
      <c r="DDM1512"/>
      <c r="DDN1512"/>
      <c r="DDO1512"/>
      <c r="DDP1512"/>
      <c r="DDQ1512"/>
      <c r="DDR1512"/>
      <c r="DDS1512"/>
      <c r="DDT1512"/>
      <c r="DDU1512"/>
      <c r="DDV1512"/>
      <c r="DDW1512"/>
      <c r="DDX1512"/>
      <c r="DDY1512"/>
      <c r="DDZ1512"/>
      <c r="DEA1512"/>
      <c r="DEB1512"/>
      <c r="DEC1512"/>
      <c r="DED1512"/>
      <c r="DEE1512"/>
      <c r="DEF1512"/>
      <c r="DEG1512"/>
      <c r="DEH1512"/>
      <c r="DEI1512"/>
      <c r="DEJ1512"/>
      <c r="DEK1512"/>
      <c r="DEL1512"/>
      <c r="DEM1512"/>
      <c r="DEN1512"/>
      <c r="DEO1512"/>
      <c r="DEP1512"/>
      <c r="DEQ1512"/>
      <c r="DER1512"/>
      <c r="DES1512"/>
      <c r="DET1512"/>
      <c r="DEU1512"/>
      <c r="DEV1512"/>
      <c r="DEW1512"/>
      <c r="DEX1512"/>
      <c r="DEY1512"/>
      <c r="DEZ1512"/>
      <c r="DFA1512"/>
      <c r="DFB1512"/>
      <c r="DFC1512"/>
      <c r="DFD1512"/>
      <c r="DFE1512"/>
      <c r="DFF1512"/>
      <c r="DFG1512"/>
      <c r="DFH1512"/>
      <c r="DFI1512"/>
      <c r="DFJ1512"/>
      <c r="DFK1512"/>
      <c r="DFL1512"/>
      <c r="DFM1512"/>
      <c r="DFN1512"/>
      <c r="DFO1512"/>
      <c r="DFP1512"/>
      <c r="DFQ1512"/>
      <c r="DFR1512"/>
      <c r="DFS1512"/>
      <c r="DFT1512"/>
      <c r="DFU1512"/>
      <c r="DFV1512"/>
      <c r="DFW1512"/>
      <c r="DFX1512"/>
      <c r="DFY1512"/>
      <c r="DFZ1512"/>
      <c r="DGA1512"/>
      <c r="DGB1512"/>
      <c r="DGC1512"/>
      <c r="DGD1512"/>
      <c r="DGE1512"/>
      <c r="DGF1512"/>
      <c r="DGG1512"/>
      <c r="DGH1512"/>
      <c r="DGI1512"/>
      <c r="DGJ1512"/>
      <c r="DGK1512"/>
      <c r="DGL1512"/>
      <c r="DGM1512"/>
      <c r="DGN1512"/>
      <c r="DGO1512"/>
      <c r="DGP1512"/>
      <c r="DGQ1512"/>
      <c r="DGR1512"/>
      <c r="DGS1512"/>
      <c r="DGT1512"/>
      <c r="DGU1512"/>
      <c r="DGV1512"/>
      <c r="DGW1512"/>
      <c r="DGX1512"/>
      <c r="DGY1512"/>
      <c r="DGZ1512"/>
      <c r="DHA1512"/>
      <c r="DHB1512"/>
      <c r="DHC1512"/>
      <c r="DHD1512"/>
      <c r="DHE1512"/>
      <c r="DHF1512"/>
      <c r="DHG1512"/>
      <c r="DHH1512"/>
      <c r="DHI1512"/>
      <c r="DHJ1512"/>
      <c r="DHK1512"/>
      <c r="DHL1512"/>
      <c r="DHM1512"/>
      <c r="DHN1512"/>
      <c r="DHO1512"/>
      <c r="DHP1512"/>
      <c r="DHQ1512"/>
      <c r="DHR1512"/>
      <c r="DHS1512"/>
      <c r="DHT1512"/>
      <c r="DHU1512"/>
      <c r="DHV1512"/>
      <c r="DHW1512"/>
      <c r="DHX1512"/>
      <c r="DHY1512"/>
      <c r="DHZ1512"/>
      <c r="DIA1512"/>
      <c r="DIB1512"/>
      <c r="DIC1512"/>
      <c r="DID1512"/>
      <c r="DIE1512"/>
      <c r="DIF1512"/>
      <c r="DIG1512"/>
      <c r="DIH1512"/>
      <c r="DII1512"/>
      <c r="DIJ1512"/>
      <c r="DIK1512"/>
      <c r="DIL1512"/>
      <c r="DIM1512"/>
      <c r="DIN1512"/>
      <c r="DIO1512"/>
      <c r="DIP1512"/>
      <c r="DIQ1512"/>
      <c r="DIR1512"/>
      <c r="DIS1512"/>
      <c r="DIT1512"/>
      <c r="DIU1512"/>
      <c r="DIV1512"/>
      <c r="DIW1512"/>
      <c r="DIX1512"/>
      <c r="DIY1512"/>
      <c r="DIZ1512"/>
      <c r="DJA1512"/>
      <c r="DJB1512"/>
      <c r="DJC1512"/>
      <c r="DJD1512"/>
      <c r="DJE1512"/>
      <c r="DJF1512"/>
      <c r="DJG1512"/>
      <c r="DJH1512"/>
      <c r="DJI1512"/>
      <c r="DJJ1512"/>
      <c r="DJK1512"/>
      <c r="DJL1512"/>
      <c r="DJM1512"/>
      <c r="DJN1512"/>
      <c r="DJO1512"/>
      <c r="DJP1512"/>
      <c r="DJQ1512"/>
      <c r="DJR1512"/>
      <c r="DJS1512"/>
      <c r="DJT1512"/>
      <c r="DJU1512"/>
      <c r="DJV1512"/>
      <c r="DJW1512"/>
      <c r="DJX1512"/>
      <c r="DJY1512"/>
      <c r="DJZ1512"/>
      <c r="DKA1512"/>
      <c r="DKB1512"/>
      <c r="DKC1512"/>
      <c r="DKD1512"/>
      <c r="DKE1512"/>
      <c r="DKF1512"/>
      <c r="DKG1512"/>
      <c r="DKH1512"/>
      <c r="DKI1512"/>
      <c r="DKJ1512"/>
      <c r="DKK1512"/>
      <c r="DKL1512"/>
      <c r="DKM1512"/>
      <c r="DKN1512"/>
      <c r="DKO1512"/>
      <c r="DKP1512"/>
      <c r="DKQ1512"/>
      <c r="DKR1512"/>
      <c r="DKS1512"/>
      <c r="DKT1512"/>
      <c r="DKU1512"/>
      <c r="DKV1512"/>
      <c r="DKW1512"/>
      <c r="DKX1512"/>
      <c r="DKY1512"/>
      <c r="DKZ1512"/>
      <c r="DLA1512"/>
      <c r="DLB1512"/>
      <c r="DLC1512"/>
      <c r="DLD1512"/>
      <c r="DLE1512"/>
      <c r="DLF1512"/>
      <c r="DLG1512"/>
      <c r="DLH1512"/>
      <c r="DLI1512"/>
      <c r="DLJ1512"/>
      <c r="DLK1512"/>
      <c r="DLL1512"/>
      <c r="DLM1512"/>
      <c r="DLN1512"/>
      <c r="DLO1512"/>
      <c r="DLP1512"/>
      <c r="DLQ1512"/>
      <c r="DLR1512"/>
      <c r="DLS1512"/>
      <c r="DLT1512"/>
      <c r="DLU1512"/>
      <c r="DLV1512"/>
      <c r="DLW1512"/>
      <c r="DLX1512"/>
      <c r="DLY1512"/>
      <c r="DLZ1512"/>
      <c r="DMA1512"/>
      <c r="DMB1512"/>
      <c r="DMC1512"/>
      <c r="DMD1512"/>
      <c r="DME1512"/>
      <c r="DMF1512"/>
      <c r="DMG1512"/>
      <c r="DMH1512"/>
      <c r="DMI1512"/>
      <c r="DMJ1512"/>
      <c r="DMK1512"/>
      <c r="DML1512"/>
      <c r="DMM1512"/>
      <c r="DMN1512"/>
      <c r="DMO1512"/>
      <c r="DMP1512"/>
      <c r="DMQ1512"/>
      <c r="DMR1512"/>
      <c r="DMS1512"/>
      <c r="DMT1512"/>
      <c r="DMU1512"/>
      <c r="DMV1512"/>
      <c r="DMW1512"/>
      <c r="DMX1512"/>
      <c r="DMY1512"/>
      <c r="DMZ1512"/>
      <c r="DNA1512"/>
      <c r="DNB1512"/>
      <c r="DNC1512"/>
      <c r="DND1512"/>
      <c r="DNE1512"/>
      <c r="DNF1512"/>
      <c r="DNG1512"/>
      <c r="DNH1512"/>
      <c r="DNI1512"/>
      <c r="DNJ1512"/>
      <c r="DNK1512"/>
      <c r="DNL1512"/>
      <c r="DNM1512"/>
      <c r="DNN1512"/>
      <c r="DNO1512"/>
      <c r="DNP1512"/>
      <c r="DNQ1512"/>
      <c r="DNR1512"/>
      <c r="DNS1512"/>
      <c r="DNT1512"/>
      <c r="DNU1512"/>
      <c r="DNV1512"/>
      <c r="DNW1512"/>
      <c r="DNX1512"/>
      <c r="DNY1512"/>
      <c r="DNZ1512"/>
      <c r="DOA1512"/>
      <c r="DOB1512"/>
      <c r="DOC1512"/>
      <c r="DOD1512"/>
      <c r="DOE1512"/>
      <c r="DOF1512"/>
      <c r="DOG1512"/>
      <c r="DOH1512"/>
      <c r="DOI1512"/>
      <c r="DOJ1512"/>
      <c r="DOK1512"/>
      <c r="DOL1512"/>
      <c r="DOM1512"/>
      <c r="DON1512"/>
      <c r="DOO1512"/>
      <c r="DOP1512"/>
      <c r="DOQ1512"/>
      <c r="DOR1512"/>
      <c r="DOS1512"/>
      <c r="DOT1512"/>
      <c r="DOU1512"/>
      <c r="DOV1512"/>
      <c r="DOW1512"/>
      <c r="DOX1512"/>
      <c r="DOY1512"/>
      <c r="DOZ1512"/>
      <c r="DPA1512"/>
      <c r="DPB1512"/>
      <c r="DPC1512"/>
      <c r="DPD1512"/>
      <c r="DPE1512"/>
      <c r="DPF1512"/>
      <c r="DPG1512"/>
      <c r="DPH1512"/>
      <c r="DPI1512"/>
      <c r="DPJ1512"/>
      <c r="DPK1512"/>
      <c r="DPL1512"/>
      <c r="DPM1512"/>
      <c r="DPN1512"/>
      <c r="DPO1512"/>
      <c r="DPP1512"/>
      <c r="DPQ1512"/>
      <c r="DPR1512"/>
      <c r="DPS1512"/>
      <c r="DPT1512"/>
      <c r="DPU1512"/>
      <c r="DPV1512"/>
      <c r="DPW1512"/>
      <c r="DPX1512"/>
      <c r="DPY1512"/>
      <c r="DPZ1512"/>
      <c r="DQA1512"/>
      <c r="DQB1512"/>
      <c r="DQC1512"/>
      <c r="DQD1512"/>
      <c r="DQE1512"/>
      <c r="DQF1512"/>
      <c r="DQG1512"/>
      <c r="DQH1512"/>
      <c r="DQI1512"/>
      <c r="DQJ1512"/>
      <c r="DQK1512"/>
      <c r="DQL1512"/>
      <c r="DQM1512"/>
      <c r="DQN1512"/>
      <c r="DQO1512"/>
      <c r="DQP1512"/>
      <c r="DQQ1512"/>
      <c r="DQR1512"/>
      <c r="DQS1512"/>
      <c r="DQT1512"/>
      <c r="DQU1512"/>
      <c r="DQV1512"/>
      <c r="DQW1512"/>
      <c r="DQX1512"/>
      <c r="DQY1512"/>
      <c r="DQZ1512"/>
      <c r="DRA1512"/>
      <c r="DRB1512"/>
      <c r="DRC1512"/>
      <c r="DRD1512"/>
      <c r="DRE1512"/>
      <c r="DRF1512"/>
      <c r="DRG1512"/>
      <c r="DRH1512"/>
      <c r="DRI1512"/>
      <c r="DRJ1512"/>
      <c r="DRK1512"/>
      <c r="DRL1512"/>
      <c r="DRM1512"/>
      <c r="DRN1512"/>
      <c r="DRO1512"/>
      <c r="DRP1512"/>
      <c r="DRQ1512"/>
      <c r="DRR1512"/>
      <c r="DRS1512"/>
      <c r="DRT1512"/>
      <c r="DRU1512"/>
      <c r="DRV1512"/>
      <c r="DRW1512"/>
      <c r="DRX1512"/>
      <c r="DRY1512"/>
      <c r="DRZ1512"/>
      <c r="DSA1512"/>
      <c r="DSB1512"/>
      <c r="DSC1512"/>
      <c r="DSD1512"/>
      <c r="DSE1512"/>
      <c r="DSF1512"/>
      <c r="DSG1512"/>
      <c r="DSH1512"/>
      <c r="DSI1512"/>
      <c r="DSJ1512"/>
      <c r="DSK1512"/>
      <c r="DSL1512"/>
      <c r="DSM1512"/>
      <c r="DSN1512"/>
      <c r="DSO1512"/>
      <c r="DSP1512"/>
      <c r="DSQ1512"/>
      <c r="DSR1512"/>
      <c r="DSS1512"/>
      <c r="DST1512"/>
      <c r="DSU1512"/>
      <c r="DSV1512"/>
      <c r="DSW1512"/>
      <c r="DSX1512"/>
      <c r="DSY1512"/>
      <c r="DSZ1512"/>
      <c r="DTA1512"/>
      <c r="DTB1512"/>
      <c r="DTC1512"/>
      <c r="DTD1512"/>
      <c r="DTE1512"/>
      <c r="DTF1512"/>
      <c r="DTG1512"/>
      <c r="DTH1512"/>
      <c r="DTI1512"/>
      <c r="DTJ1512"/>
      <c r="DTK1512"/>
      <c r="DTL1512"/>
      <c r="DTM1512"/>
      <c r="DTN1512"/>
      <c r="DTO1512"/>
      <c r="DTP1512"/>
      <c r="DTQ1512"/>
      <c r="DTR1512"/>
      <c r="DTS1512"/>
      <c r="DTT1512"/>
      <c r="DTU1512"/>
      <c r="DTV1512"/>
      <c r="DTW1512"/>
      <c r="DTX1512"/>
      <c r="DTY1512"/>
      <c r="DTZ1512"/>
      <c r="DUA1512"/>
      <c r="DUB1512"/>
      <c r="DUC1512"/>
      <c r="DUD1512"/>
      <c r="DUE1512"/>
      <c r="DUF1512"/>
      <c r="DUG1512"/>
      <c r="DUH1512"/>
      <c r="DUI1512"/>
      <c r="DUJ1512"/>
      <c r="DUK1512"/>
      <c r="DUL1512"/>
      <c r="DUM1512"/>
      <c r="DUN1512"/>
      <c r="DUO1512"/>
      <c r="DUP1512"/>
      <c r="DUQ1512"/>
      <c r="DUR1512"/>
      <c r="DUS1512"/>
      <c r="DUT1512"/>
      <c r="DUU1512"/>
      <c r="DUV1512"/>
      <c r="DUW1512"/>
      <c r="DUX1512"/>
      <c r="DUY1512"/>
      <c r="DUZ1512"/>
      <c r="DVA1512"/>
      <c r="DVB1512"/>
      <c r="DVC1512"/>
      <c r="DVD1512"/>
      <c r="DVE1512"/>
      <c r="DVF1512"/>
      <c r="DVG1512"/>
      <c r="DVH1512"/>
      <c r="DVI1512"/>
      <c r="DVJ1512"/>
      <c r="DVK1512"/>
      <c r="DVL1512"/>
      <c r="DVM1512"/>
      <c r="DVN1512"/>
      <c r="DVO1512"/>
      <c r="DVP1512"/>
      <c r="DVQ1512"/>
      <c r="DVR1512"/>
      <c r="DVS1512"/>
      <c r="DVT1512"/>
      <c r="DVU1512"/>
      <c r="DVV1512"/>
      <c r="DVW1512"/>
      <c r="DVX1512"/>
      <c r="DVY1512"/>
      <c r="DVZ1512"/>
      <c r="DWA1512"/>
      <c r="DWB1512"/>
      <c r="DWC1512"/>
      <c r="DWD1512"/>
      <c r="DWE1512"/>
      <c r="DWF1512"/>
      <c r="DWG1512"/>
      <c r="DWH1512"/>
      <c r="DWI1512"/>
      <c r="DWJ1512"/>
      <c r="DWK1512"/>
      <c r="DWL1512"/>
      <c r="DWM1512"/>
      <c r="DWN1512"/>
      <c r="DWO1512"/>
      <c r="DWP1512"/>
      <c r="DWQ1512"/>
      <c r="DWR1512"/>
      <c r="DWS1512"/>
      <c r="DWT1512"/>
      <c r="DWU1512"/>
      <c r="DWV1512"/>
      <c r="DWW1512"/>
      <c r="DWX1512"/>
      <c r="DWY1512"/>
      <c r="DWZ1512"/>
      <c r="DXA1512"/>
      <c r="DXB1512"/>
      <c r="DXC1512"/>
      <c r="DXD1512"/>
      <c r="DXE1512"/>
      <c r="DXF1512"/>
      <c r="DXG1512"/>
      <c r="DXH1512"/>
      <c r="DXI1512"/>
      <c r="DXJ1512"/>
      <c r="DXK1512"/>
      <c r="DXL1512"/>
      <c r="DXM1512"/>
      <c r="DXN1512"/>
      <c r="DXO1512"/>
      <c r="DXP1512"/>
      <c r="DXQ1512"/>
      <c r="DXR1512"/>
      <c r="DXS1512"/>
      <c r="DXT1512"/>
      <c r="DXU1512"/>
      <c r="DXV1512"/>
      <c r="DXW1512"/>
      <c r="DXX1512"/>
      <c r="DXY1512"/>
      <c r="DXZ1512"/>
      <c r="DYA1512"/>
      <c r="DYB1512"/>
      <c r="DYC1512"/>
      <c r="DYD1512"/>
      <c r="DYE1512"/>
      <c r="DYF1512"/>
      <c r="DYG1512"/>
      <c r="DYH1512"/>
      <c r="DYI1512"/>
      <c r="DYJ1512"/>
      <c r="DYK1512"/>
      <c r="DYL1512"/>
      <c r="DYM1512"/>
      <c r="DYN1512"/>
      <c r="DYO1512"/>
      <c r="DYP1512"/>
      <c r="DYQ1512"/>
      <c r="DYR1512"/>
      <c r="DYS1512"/>
      <c r="DYT1512"/>
      <c r="DYU1512"/>
      <c r="DYV1512"/>
      <c r="DYW1512"/>
      <c r="DYX1512"/>
      <c r="DYY1512"/>
      <c r="DYZ1512"/>
      <c r="DZA1512"/>
      <c r="DZB1512"/>
      <c r="DZC1512"/>
      <c r="DZD1512"/>
      <c r="DZE1512"/>
      <c r="DZF1512"/>
      <c r="DZG1512"/>
      <c r="DZH1512"/>
      <c r="DZI1512"/>
      <c r="DZJ1512"/>
      <c r="DZK1512"/>
      <c r="DZL1512"/>
      <c r="DZM1512"/>
      <c r="DZN1512"/>
      <c r="DZO1512"/>
      <c r="DZP1512"/>
      <c r="DZQ1512"/>
      <c r="DZR1512"/>
      <c r="DZS1512"/>
      <c r="DZT1512"/>
      <c r="DZU1512"/>
      <c r="DZV1512"/>
      <c r="DZW1512"/>
      <c r="DZX1512"/>
      <c r="DZY1512"/>
      <c r="DZZ1512"/>
      <c r="EAA1512"/>
      <c r="EAB1512"/>
      <c r="EAC1512"/>
      <c r="EAD1512"/>
      <c r="EAE1512"/>
      <c r="EAF1512"/>
      <c r="EAG1512"/>
      <c r="EAH1512"/>
      <c r="EAI1512"/>
      <c r="EAJ1512"/>
      <c r="EAK1512"/>
      <c r="EAL1512"/>
      <c r="EAM1512"/>
      <c r="EAN1512"/>
      <c r="EAO1512"/>
      <c r="EAP1512"/>
      <c r="EAQ1512"/>
      <c r="EAR1512"/>
      <c r="EAS1512"/>
      <c r="EAT1512"/>
      <c r="EAU1512"/>
      <c r="EAV1512"/>
      <c r="EAW1512"/>
      <c r="EAX1512"/>
      <c r="EAY1512"/>
      <c r="EAZ1512"/>
      <c r="EBA1512"/>
      <c r="EBB1512"/>
      <c r="EBC1512"/>
      <c r="EBD1512"/>
      <c r="EBE1512"/>
      <c r="EBF1512"/>
      <c r="EBG1512"/>
      <c r="EBH1512"/>
      <c r="EBI1512"/>
      <c r="EBJ1512"/>
      <c r="EBK1512"/>
      <c r="EBL1512"/>
      <c r="EBM1512"/>
      <c r="EBN1512"/>
      <c r="EBO1512"/>
      <c r="EBP1512"/>
      <c r="EBQ1512"/>
      <c r="EBR1512"/>
      <c r="EBS1512"/>
      <c r="EBT1512"/>
      <c r="EBU1512"/>
      <c r="EBV1512"/>
      <c r="EBW1512"/>
      <c r="EBX1512"/>
      <c r="EBY1512"/>
      <c r="EBZ1512"/>
      <c r="ECA1512"/>
      <c r="ECB1512"/>
      <c r="ECC1512"/>
      <c r="ECD1512"/>
      <c r="ECE1512"/>
      <c r="ECF1512"/>
      <c r="ECG1512"/>
      <c r="ECH1512"/>
      <c r="ECI1512"/>
      <c r="ECJ1512"/>
      <c r="ECK1512"/>
      <c r="ECL1512"/>
      <c r="ECM1512"/>
      <c r="ECN1512"/>
      <c r="ECO1512"/>
      <c r="ECP1512"/>
      <c r="ECQ1512"/>
      <c r="ECR1512"/>
      <c r="ECS1512"/>
      <c r="ECT1512"/>
      <c r="ECU1512"/>
      <c r="ECV1512"/>
      <c r="ECW1512"/>
      <c r="ECX1512"/>
      <c r="ECY1512"/>
      <c r="ECZ1512"/>
      <c r="EDA1512"/>
      <c r="EDB1512"/>
      <c r="EDC1512"/>
      <c r="EDD1512"/>
      <c r="EDE1512"/>
      <c r="EDF1512"/>
      <c r="EDG1512"/>
      <c r="EDH1512"/>
      <c r="EDI1512"/>
      <c r="EDJ1512"/>
      <c r="EDK1512"/>
      <c r="EDL1512"/>
      <c r="EDM1512"/>
      <c r="EDN1512"/>
      <c r="EDO1512"/>
      <c r="EDP1512"/>
      <c r="EDQ1512"/>
      <c r="EDR1512"/>
      <c r="EDS1512"/>
      <c r="EDT1512"/>
      <c r="EDU1512"/>
      <c r="EDV1512"/>
      <c r="EDW1512"/>
      <c r="EDX1512"/>
      <c r="EDY1512"/>
      <c r="EDZ1512"/>
      <c r="EEA1512"/>
      <c r="EEB1512"/>
      <c r="EEC1512"/>
      <c r="EED1512"/>
      <c r="EEE1512"/>
      <c r="EEF1512"/>
      <c r="EEG1512"/>
      <c r="EEH1512"/>
      <c r="EEI1512"/>
      <c r="EEJ1512"/>
      <c r="EEK1512"/>
      <c r="EEL1512"/>
      <c r="EEM1512"/>
      <c r="EEN1512"/>
      <c r="EEO1512"/>
      <c r="EEP1512"/>
      <c r="EEQ1512"/>
      <c r="EER1512"/>
      <c r="EES1512"/>
      <c r="EET1512"/>
      <c r="EEU1512"/>
      <c r="EEV1512"/>
      <c r="EEW1512"/>
      <c r="EEX1512"/>
      <c r="EEY1512"/>
      <c r="EEZ1512"/>
      <c r="EFA1512"/>
      <c r="EFB1512"/>
      <c r="EFC1512"/>
      <c r="EFD1512"/>
      <c r="EFE1512"/>
      <c r="EFF1512"/>
      <c r="EFG1512"/>
      <c r="EFH1512"/>
      <c r="EFI1512"/>
      <c r="EFJ1512"/>
      <c r="EFK1512"/>
      <c r="EFL1512"/>
      <c r="EFM1512"/>
      <c r="EFN1512"/>
      <c r="EFO1512"/>
      <c r="EFP1512"/>
      <c r="EFQ1512"/>
      <c r="EFR1512"/>
      <c r="EFS1512"/>
      <c r="EFT1512"/>
      <c r="EFU1512"/>
      <c r="EFV1512"/>
      <c r="EFW1512"/>
      <c r="EFX1512"/>
      <c r="EFY1512"/>
      <c r="EFZ1512"/>
      <c r="EGA1512"/>
      <c r="EGB1512"/>
      <c r="EGC1512"/>
      <c r="EGD1512"/>
      <c r="EGE1512"/>
      <c r="EGF1512"/>
      <c r="EGG1512"/>
      <c r="EGH1512"/>
      <c r="EGI1512"/>
      <c r="EGJ1512"/>
      <c r="EGK1512"/>
      <c r="EGL1512"/>
      <c r="EGM1512"/>
      <c r="EGN1512"/>
      <c r="EGO1512"/>
      <c r="EGP1512"/>
      <c r="EGQ1512"/>
      <c r="EGR1512"/>
      <c r="EGS1512"/>
      <c r="EGT1512"/>
      <c r="EGU1512"/>
      <c r="EGV1512"/>
      <c r="EGW1512"/>
      <c r="EGX1512"/>
      <c r="EGY1512"/>
      <c r="EGZ1512"/>
      <c r="EHA1512"/>
      <c r="EHB1512"/>
      <c r="EHC1512"/>
      <c r="EHD1512"/>
      <c r="EHE1512"/>
      <c r="EHF1512"/>
      <c r="EHG1512"/>
      <c r="EHH1512"/>
      <c r="EHI1512"/>
      <c r="EHJ1512"/>
      <c r="EHK1512"/>
      <c r="EHL1512"/>
      <c r="EHM1512"/>
      <c r="EHN1512"/>
      <c r="EHO1512"/>
      <c r="EHP1512"/>
      <c r="EHQ1512"/>
      <c r="EHR1512"/>
      <c r="EHS1512"/>
      <c r="EHT1512"/>
      <c r="EHU1512"/>
      <c r="EHV1512"/>
      <c r="EHW1512"/>
      <c r="EHX1512"/>
      <c r="EHY1512"/>
      <c r="EHZ1512"/>
      <c r="EIA1512"/>
      <c r="EIB1512"/>
      <c r="EIC1512"/>
      <c r="EID1512"/>
      <c r="EIE1512"/>
      <c r="EIF1512"/>
      <c r="EIG1512"/>
      <c r="EIH1512"/>
      <c r="EII1512"/>
      <c r="EIJ1512"/>
      <c r="EIK1512"/>
      <c r="EIL1512"/>
      <c r="EIM1512"/>
      <c r="EIN1512"/>
      <c r="EIO1512"/>
      <c r="EIP1512"/>
      <c r="EIQ1512"/>
      <c r="EIR1512"/>
      <c r="EIS1512"/>
      <c r="EIT1512"/>
      <c r="EIU1512"/>
      <c r="EIV1512"/>
      <c r="EIW1512"/>
      <c r="EIX1512"/>
      <c r="EIY1512"/>
      <c r="EIZ1512"/>
      <c r="EJA1512"/>
      <c r="EJB1512"/>
      <c r="EJC1512"/>
      <c r="EJD1512"/>
      <c r="EJE1512"/>
      <c r="EJF1512"/>
      <c r="EJG1512"/>
      <c r="EJH1512"/>
      <c r="EJI1512"/>
      <c r="EJJ1512"/>
      <c r="EJK1512"/>
      <c r="EJL1512"/>
      <c r="EJM1512"/>
      <c r="EJN1512"/>
      <c r="EJO1512"/>
      <c r="EJP1512"/>
      <c r="EJQ1512"/>
      <c r="EJR1512"/>
      <c r="EJS1512"/>
      <c r="EJT1512"/>
      <c r="EJU1512"/>
      <c r="EJV1512"/>
      <c r="EJW1512"/>
      <c r="EJX1512"/>
      <c r="EJY1512"/>
      <c r="EJZ1512"/>
      <c r="EKA1512"/>
      <c r="EKB1512"/>
      <c r="EKC1512"/>
      <c r="EKD1512"/>
      <c r="EKE1512"/>
      <c r="EKF1512"/>
      <c r="EKG1512"/>
      <c r="EKH1512"/>
      <c r="EKI1512"/>
      <c r="EKJ1512"/>
      <c r="EKK1512"/>
      <c r="EKL1512"/>
      <c r="EKM1512"/>
      <c r="EKN1512"/>
      <c r="EKO1512"/>
      <c r="EKP1512"/>
      <c r="EKQ1512"/>
      <c r="EKR1512"/>
      <c r="EKS1512"/>
      <c r="EKT1512"/>
      <c r="EKU1512"/>
      <c r="EKV1512"/>
      <c r="EKW1512"/>
      <c r="EKX1512"/>
      <c r="EKY1512"/>
      <c r="EKZ1512"/>
      <c r="ELA1512"/>
      <c r="ELB1512"/>
      <c r="ELC1512"/>
      <c r="ELD1512"/>
      <c r="ELE1512"/>
      <c r="ELF1512"/>
      <c r="ELG1512"/>
      <c r="ELH1512"/>
      <c r="ELI1512"/>
      <c r="ELJ1512"/>
      <c r="ELK1512"/>
      <c r="ELL1512"/>
      <c r="ELM1512"/>
      <c r="ELN1512"/>
      <c r="ELO1512"/>
      <c r="ELP1512"/>
      <c r="ELQ1512"/>
      <c r="ELR1512"/>
      <c r="ELS1512"/>
      <c r="ELT1512"/>
      <c r="ELU1512"/>
      <c r="ELV1512"/>
      <c r="ELW1512"/>
      <c r="ELX1512"/>
      <c r="ELY1512"/>
      <c r="ELZ1512"/>
      <c r="EMA1512"/>
      <c r="EMB1512"/>
      <c r="EMC1512"/>
      <c r="EMD1512"/>
      <c r="EME1512"/>
      <c r="EMF1512"/>
      <c r="EMG1512"/>
      <c r="EMH1512"/>
      <c r="EMI1512"/>
      <c r="EMJ1512"/>
      <c r="EMK1512"/>
      <c r="EML1512"/>
      <c r="EMM1512"/>
      <c r="EMN1512"/>
      <c r="EMO1512"/>
      <c r="EMP1512"/>
      <c r="EMQ1512"/>
      <c r="EMR1512"/>
      <c r="EMS1512"/>
      <c r="EMT1512"/>
      <c r="EMU1512"/>
      <c r="EMV1512"/>
      <c r="EMW1512"/>
      <c r="EMX1512"/>
      <c r="EMY1512"/>
      <c r="EMZ1512"/>
      <c r="ENA1512"/>
      <c r="ENB1512"/>
      <c r="ENC1512"/>
      <c r="END1512"/>
      <c r="ENE1512"/>
      <c r="ENF1512"/>
      <c r="ENG1512"/>
      <c r="ENH1512"/>
      <c r="ENI1512"/>
      <c r="ENJ1512"/>
      <c r="ENK1512"/>
      <c r="ENL1512"/>
      <c r="ENM1512"/>
      <c r="ENN1512"/>
      <c r="ENO1512"/>
      <c r="ENP1512"/>
      <c r="ENQ1512"/>
      <c r="ENR1512"/>
      <c r="ENS1512"/>
      <c r="ENT1512"/>
      <c r="ENU1512"/>
      <c r="ENV1512"/>
      <c r="ENW1512"/>
      <c r="ENX1512"/>
      <c r="ENY1512"/>
      <c r="ENZ1512"/>
      <c r="EOA1512"/>
      <c r="EOB1512"/>
      <c r="EOC1512"/>
      <c r="EOD1512"/>
      <c r="EOE1512"/>
      <c r="EOF1512"/>
      <c r="EOG1512"/>
      <c r="EOH1512"/>
      <c r="EOI1512"/>
      <c r="EOJ1512"/>
      <c r="EOK1512"/>
      <c r="EOL1512"/>
      <c r="EOM1512"/>
      <c r="EON1512"/>
      <c r="EOO1512"/>
      <c r="EOP1512"/>
      <c r="EOQ1512"/>
      <c r="EOR1512"/>
      <c r="EOS1512"/>
      <c r="EOT1512"/>
      <c r="EOU1512"/>
      <c r="EOV1512"/>
      <c r="EOW1512"/>
      <c r="EOX1512"/>
      <c r="EOY1512"/>
      <c r="EOZ1512"/>
      <c r="EPA1512"/>
      <c r="EPB1512"/>
      <c r="EPC1512"/>
      <c r="EPD1512"/>
      <c r="EPE1512"/>
      <c r="EPF1512"/>
      <c r="EPG1512"/>
      <c r="EPH1512"/>
      <c r="EPI1512"/>
      <c r="EPJ1512"/>
      <c r="EPK1512"/>
      <c r="EPL1512"/>
      <c r="EPM1512"/>
      <c r="EPN1512"/>
      <c r="EPO1512"/>
      <c r="EPP1512"/>
      <c r="EPQ1512"/>
      <c r="EPR1512"/>
      <c r="EPS1512"/>
      <c r="EPT1512"/>
      <c r="EPU1512"/>
      <c r="EPV1512"/>
      <c r="EPW1512"/>
      <c r="EPX1512"/>
      <c r="EPY1512"/>
      <c r="EPZ1512"/>
      <c r="EQA1512"/>
      <c r="EQB1512"/>
      <c r="EQC1512"/>
      <c r="EQD1512"/>
      <c r="EQE1512"/>
      <c r="EQF1512"/>
      <c r="EQG1512"/>
      <c r="EQH1512"/>
      <c r="EQI1512"/>
      <c r="EQJ1512"/>
      <c r="EQK1512"/>
      <c r="EQL1512"/>
      <c r="EQM1512"/>
      <c r="EQN1512"/>
      <c r="EQO1512"/>
      <c r="EQP1512"/>
      <c r="EQQ1512"/>
      <c r="EQR1512"/>
      <c r="EQS1512"/>
      <c r="EQT1512"/>
      <c r="EQU1512"/>
      <c r="EQV1512"/>
      <c r="EQW1512"/>
      <c r="EQX1512"/>
      <c r="EQY1512"/>
      <c r="EQZ1512"/>
      <c r="ERA1512"/>
      <c r="ERB1512"/>
      <c r="ERC1512"/>
      <c r="ERD1512"/>
      <c r="ERE1512"/>
      <c r="ERF1512"/>
      <c r="ERG1512"/>
      <c r="ERH1512"/>
      <c r="ERI1512"/>
      <c r="ERJ1512"/>
      <c r="ERK1512"/>
      <c r="ERL1512"/>
      <c r="ERM1512"/>
      <c r="ERN1512"/>
      <c r="ERO1512"/>
      <c r="ERP1512"/>
      <c r="ERQ1512"/>
      <c r="ERR1512"/>
      <c r="ERS1512"/>
      <c r="ERT1512"/>
      <c r="ERU1512"/>
      <c r="ERV1512"/>
      <c r="ERW1512"/>
      <c r="ERX1512"/>
      <c r="ERY1512"/>
      <c r="ERZ1512"/>
      <c r="ESA1512"/>
      <c r="ESB1512"/>
      <c r="ESC1512"/>
      <c r="ESD1512"/>
      <c r="ESE1512"/>
      <c r="ESF1512"/>
      <c r="ESG1512"/>
      <c r="ESH1512"/>
      <c r="ESI1512"/>
      <c r="ESJ1512"/>
      <c r="ESK1512"/>
      <c r="ESL1512"/>
      <c r="ESM1512"/>
      <c r="ESN1512"/>
      <c r="ESO1512"/>
      <c r="ESP1512"/>
      <c r="ESQ1512"/>
      <c r="ESR1512"/>
      <c r="ESS1512"/>
      <c r="EST1512"/>
      <c r="ESU1512"/>
      <c r="ESV1512"/>
      <c r="ESW1512"/>
      <c r="ESX1512"/>
      <c r="ESY1512"/>
      <c r="ESZ1512"/>
      <c r="ETA1512"/>
      <c r="ETB1512"/>
      <c r="ETC1512"/>
      <c r="ETD1512"/>
      <c r="ETE1512"/>
      <c r="ETF1512"/>
      <c r="ETG1512"/>
      <c r="ETH1512"/>
      <c r="ETI1512"/>
      <c r="ETJ1512"/>
      <c r="ETK1512"/>
      <c r="ETL1512"/>
      <c r="ETM1512"/>
      <c r="ETN1512"/>
      <c r="ETO1512"/>
      <c r="ETP1512"/>
      <c r="ETQ1512"/>
      <c r="ETR1512"/>
      <c r="ETS1512"/>
      <c r="ETT1512"/>
      <c r="ETU1512"/>
      <c r="ETV1512"/>
      <c r="ETW1512"/>
      <c r="ETX1512"/>
      <c r="ETY1512"/>
      <c r="ETZ1512"/>
      <c r="EUA1512"/>
      <c r="EUB1512"/>
      <c r="EUC1512"/>
      <c r="EUD1512"/>
      <c r="EUE1512"/>
      <c r="EUF1512"/>
      <c r="EUG1512"/>
      <c r="EUH1512"/>
      <c r="EUI1512"/>
      <c r="EUJ1512"/>
      <c r="EUK1512"/>
      <c r="EUL1512"/>
      <c r="EUM1512"/>
      <c r="EUN1512"/>
      <c r="EUO1512"/>
      <c r="EUP1512"/>
      <c r="EUQ1512"/>
      <c r="EUR1512"/>
      <c r="EUS1512"/>
      <c r="EUT1512"/>
      <c r="EUU1512"/>
      <c r="EUV1512"/>
      <c r="EUW1512"/>
      <c r="EUX1512"/>
      <c r="EUY1512"/>
      <c r="EUZ1512"/>
      <c r="EVA1512"/>
      <c r="EVB1512"/>
      <c r="EVC1512"/>
      <c r="EVD1512"/>
      <c r="EVE1512"/>
      <c r="EVF1512"/>
      <c r="EVG1512"/>
      <c r="EVH1512"/>
      <c r="EVI1512"/>
      <c r="EVJ1512"/>
      <c r="EVK1512"/>
      <c r="EVL1512"/>
      <c r="EVM1512"/>
      <c r="EVN1512"/>
      <c r="EVO1512"/>
      <c r="EVP1512"/>
      <c r="EVQ1512"/>
      <c r="EVR1512"/>
      <c r="EVS1512"/>
      <c r="EVT1512"/>
      <c r="EVU1512"/>
      <c r="EVV1512"/>
      <c r="EVW1512"/>
      <c r="EVX1512"/>
      <c r="EVY1512"/>
      <c r="EVZ1512"/>
      <c r="EWA1512"/>
      <c r="EWB1512"/>
      <c r="EWC1512"/>
      <c r="EWD1512"/>
      <c r="EWE1512"/>
      <c r="EWF1512"/>
      <c r="EWG1512"/>
      <c r="EWH1512"/>
      <c r="EWI1512"/>
      <c r="EWJ1512"/>
      <c r="EWK1512"/>
      <c r="EWL1512"/>
      <c r="EWM1512"/>
      <c r="EWN1512"/>
      <c r="EWO1512"/>
      <c r="EWP1512"/>
      <c r="EWQ1512"/>
      <c r="EWR1512"/>
      <c r="EWS1512"/>
      <c r="EWT1512"/>
      <c r="EWU1512"/>
      <c r="EWV1512"/>
      <c r="EWW1512"/>
      <c r="EWX1512"/>
      <c r="EWY1512"/>
      <c r="EWZ1512"/>
      <c r="EXA1512"/>
      <c r="EXB1512"/>
      <c r="EXC1512"/>
      <c r="EXD1512"/>
      <c r="EXE1512"/>
      <c r="EXF1512"/>
      <c r="EXG1512"/>
      <c r="EXH1512"/>
      <c r="EXI1512"/>
      <c r="EXJ1512"/>
      <c r="EXK1512"/>
      <c r="EXL1512"/>
      <c r="EXM1512"/>
      <c r="EXN1512"/>
      <c r="EXO1512"/>
      <c r="EXP1512"/>
      <c r="EXQ1512"/>
      <c r="EXR1512"/>
      <c r="EXS1512"/>
      <c r="EXT1512"/>
      <c r="EXU1512"/>
      <c r="EXV1512"/>
      <c r="EXW1512"/>
      <c r="EXX1512"/>
      <c r="EXY1512"/>
      <c r="EXZ1512"/>
      <c r="EYA1512"/>
      <c r="EYB1512"/>
      <c r="EYC1512"/>
      <c r="EYD1512"/>
      <c r="EYE1512"/>
      <c r="EYF1512"/>
      <c r="EYG1512"/>
      <c r="EYH1512"/>
      <c r="EYI1512"/>
      <c r="EYJ1512"/>
      <c r="EYK1512"/>
      <c r="EYL1512"/>
      <c r="EYM1512"/>
      <c r="EYN1512"/>
      <c r="EYO1512"/>
      <c r="EYP1512"/>
      <c r="EYQ1512"/>
      <c r="EYR1512"/>
      <c r="EYS1512"/>
      <c r="EYT1512"/>
      <c r="EYU1512"/>
      <c r="EYV1512"/>
      <c r="EYW1512"/>
      <c r="EYX1512"/>
      <c r="EYY1512"/>
      <c r="EYZ1512"/>
      <c r="EZA1512"/>
      <c r="EZB1512"/>
      <c r="EZC1512"/>
      <c r="EZD1512"/>
      <c r="EZE1512"/>
      <c r="EZF1512"/>
      <c r="EZG1512"/>
      <c r="EZH1512"/>
      <c r="EZI1512"/>
      <c r="EZJ1512"/>
      <c r="EZK1512"/>
      <c r="EZL1512"/>
      <c r="EZM1512"/>
      <c r="EZN1512"/>
      <c r="EZO1512"/>
      <c r="EZP1512"/>
      <c r="EZQ1512"/>
      <c r="EZR1512"/>
      <c r="EZS1512"/>
      <c r="EZT1512"/>
      <c r="EZU1512"/>
      <c r="EZV1512"/>
      <c r="EZW1512"/>
      <c r="EZX1512"/>
      <c r="EZY1512"/>
      <c r="EZZ1512"/>
      <c r="FAA1512"/>
      <c r="FAB1512"/>
      <c r="FAC1512"/>
      <c r="FAD1512"/>
      <c r="FAE1512"/>
      <c r="FAF1512"/>
      <c r="FAG1512"/>
      <c r="FAH1512"/>
      <c r="FAI1512"/>
      <c r="FAJ1512"/>
      <c r="FAK1512"/>
      <c r="FAL1512"/>
      <c r="FAM1512"/>
      <c r="FAN1512"/>
      <c r="FAO1512"/>
      <c r="FAP1512"/>
      <c r="FAQ1512"/>
      <c r="FAR1512"/>
      <c r="FAS1512"/>
      <c r="FAT1512"/>
      <c r="FAU1512"/>
      <c r="FAV1512"/>
      <c r="FAW1512"/>
      <c r="FAX1512"/>
      <c r="FAY1512"/>
      <c r="FAZ1512"/>
      <c r="FBA1512"/>
      <c r="FBB1512"/>
      <c r="FBC1512"/>
      <c r="FBD1512"/>
      <c r="FBE1512"/>
      <c r="FBF1512"/>
      <c r="FBG1512"/>
      <c r="FBH1512"/>
      <c r="FBI1512"/>
      <c r="FBJ1512"/>
      <c r="FBK1512"/>
      <c r="FBL1512"/>
      <c r="FBM1512"/>
      <c r="FBN1512"/>
      <c r="FBO1512"/>
      <c r="FBP1512"/>
      <c r="FBQ1512"/>
      <c r="FBR1512"/>
      <c r="FBS1512"/>
      <c r="FBT1512"/>
      <c r="FBU1512"/>
      <c r="FBV1512"/>
      <c r="FBW1512"/>
      <c r="FBX1512"/>
      <c r="FBY1512"/>
      <c r="FBZ1512"/>
      <c r="FCA1512"/>
      <c r="FCB1512"/>
      <c r="FCC1512"/>
      <c r="FCD1512"/>
      <c r="FCE1512"/>
      <c r="FCF1512"/>
      <c r="FCG1512"/>
      <c r="FCH1512"/>
      <c r="FCI1512"/>
      <c r="FCJ1512"/>
      <c r="FCK1512"/>
      <c r="FCL1512"/>
      <c r="FCM1512"/>
      <c r="FCN1512"/>
      <c r="FCO1512"/>
      <c r="FCP1512"/>
      <c r="FCQ1512"/>
      <c r="FCR1512"/>
      <c r="FCS1512"/>
      <c r="FCT1512"/>
      <c r="FCU1512"/>
      <c r="FCV1512"/>
      <c r="FCW1512"/>
      <c r="FCX1512"/>
      <c r="FCY1512"/>
      <c r="FCZ1512"/>
      <c r="FDA1512"/>
      <c r="FDB1512"/>
      <c r="FDC1512"/>
      <c r="FDD1512"/>
      <c r="FDE1512"/>
      <c r="FDF1512"/>
      <c r="FDG1512"/>
      <c r="FDH1512"/>
      <c r="FDI1512"/>
      <c r="FDJ1512"/>
      <c r="FDK1512"/>
      <c r="FDL1512"/>
      <c r="FDM1512"/>
      <c r="FDN1512"/>
      <c r="FDO1512"/>
      <c r="FDP1512"/>
      <c r="FDQ1512"/>
      <c r="FDR1512"/>
      <c r="FDS1512"/>
      <c r="FDT1512"/>
      <c r="FDU1512"/>
      <c r="FDV1512"/>
      <c r="FDW1512"/>
      <c r="FDX1512"/>
      <c r="FDY1512"/>
      <c r="FDZ1512"/>
      <c r="FEA1512"/>
      <c r="FEB1512"/>
      <c r="FEC1512"/>
      <c r="FED1512"/>
      <c r="FEE1512"/>
      <c r="FEF1512"/>
      <c r="FEG1512"/>
      <c r="FEH1512"/>
      <c r="FEI1512"/>
      <c r="FEJ1512"/>
      <c r="FEK1512"/>
      <c r="FEL1512"/>
      <c r="FEM1512"/>
      <c r="FEN1512"/>
      <c r="FEO1512"/>
      <c r="FEP1512"/>
      <c r="FEQ1512"/>
      <c r="FER1512"/>
      <c r="FES1512"/>
      <c r="FET1512"/>
      <c r="FEU1512"/>
      <c r="FEV1512"/>
      <c r="FEW1512"/>
      <c r="FEX1512"/>
      <c r="FEY1512"/>
      <c r="FEZ1512"/>
      <c r="FFA1512"/>
      <c r="FFB1512"/>
      <c r="FFC1512"/>
      <c r="FFD1512"/>
      <c r="FFE1512"/>
      <c r="FFF1512"/>
      <c r="FFG1512"/>
      <c r="FFH1512"/>
      <c r="FFI1512"/>
      <c r="FFJ1512"/>
      <c r="FFK1512"/>
      <c r="FFL1512"/>
      <c r="FFM1512"/>
      <c r="FFN1512"/>
      <c r="FFO1512"/>
      <c r="FFP1512"/>
      <c r="FFQ1512"/>
      <c r="FFR1512"/>
      <c r="FFS1512"/>
      <c r="FFT1512"/>
      <c r="FFU1512"/>
      <c r="FFV1512"/>
      <c r="FFW1512"/>
      <c r="FFX1512"/>
      <c r="FFY1512"/>
      <c r="FFZ1512"/>
      <c r="FGA1512"/>
      <c r="FGB1512"/>
      <c r="FGC1512"/>
      <c r="FGD1512"/>
      <c r="FGE1512"/>
      <c r="FGF1512"/>
      <c r="FGG1512"/>
      <c r="FGH1512"/>
      <c r="FGI1512"/>
      <c r="FGJ1512"/>
      <c r="FGK1512"/>
      <c r="FGL1512"/>
      <c r="FGM1512"/>
      <c r="FGN1512"/>
      <c r="FGO1512"/>
      <c r="FGP1512"/>
      <c r="FGQ1512"/>
      <c r="FGR1512"/>
      <c r="FGS1512"/>
      <c r="FGT1512"/>
      <c r="FGU1512"/>
      <c r="FGV1512"/>
      <c r="FGW1512"/>
      <c r="FGX1512"/>
      <c r="FGY1512"/>
      <c r="FGZ1512"/>
      <c r="FHA1512"/>
      <c r="FHB1512"/>
      <c r="FHC1512"/>
      <c r="FHD1512"/>
      <c r="FHE1512"/>
      <c r="FHF1512"/>
      <c r="FHG1512"/>
      <c r="FHH1512"/>
      <c r="FHI1512"/>
      <c r="FHJ1512"/>
      <c r="FHK1512"/>
      <c r="FHL1512"/>
      <c r="FHM1512"/>
      <c r="FHN1512"/>
      <c r="FHO1512"/>
      <c r="FHP1512"/>
      <c r="FHQ1512"/>
      <c r="FHR1512"/>
      <c r="FHS1512"/>
      <c r="FHT1512"/>
      <c r="FHU1512"/>
      <c r="FHV1512"/>
      <c r="FHW1512"/>
      <c r="FHX1512"/>
      <c r="FHY1512"/>
      <c r="FHZ1512"/>
      <c r="FIA1512"/>
      <c r="FIB1512"/>
      <c r="FIC1512"/>
      <c r="FID1512"/>
      <c r="FIE1512"/>
      <c r="FIF1512"/>
      <c r="FIG1512"/>
      <c r="FIH1512"/>
      <c r="FII1512"/>
      <c r="FIJ1512"/>
      <c r="FIK1512"/>
      <c r="FIL1512"/>
      <c r="FIM1512"/>
      <c r="FIN1512"/>
      <c r="FIO1512"/>
      <c r="FIP1512"/>
      <c r="FIQ1512"/>
      <c r="FIR1512"/>
      <c r="FIS1512"/>
      <c r="FIT1512"/>
      <c r="FIU1512"/>
      <c r="FIV1512"/>
      <c r="FIW1512"/>
      <c r="FIX1512"/>
      <c r="FIY1512"/>
      <c r="FIZ1512"/>
      <c r="FJA1512"/>
      <c r="FJB1512"/>
      <c r="FJC1512"/>
      <c r="FJD1512"/>
      <c r="FJE1512"/>
      <c r="FJF1512"/>
      <c r="FJG1512"/>
      <c r="FJH1512"/>
      <c r="FJI1512"/>
      <c r="FJJ1512"/>
      <c r="FJK1512"/>
      <c r="FJL1512"/>
      <c r="FJM1512"/>
      <c r="FJN1512"/>
      <c r="FJO1512"/>
      <c r="FJP1512"/>
      <c r="FJQ1512"/>
      <c r="FJR1512"/>
      <c r="FJS1512"/>
      <c r="FJT1512"/>
      <c r="FJU1512"/>
      <c r="FJV1512"/>
      <c r="FJW1512"/>
      <c r="FJX1512"/>
      <c r="FJY1512"/>
      <c r="FJZ1512"/>
      <c r="FKA1512"/>
      <c r="FKB1512"/>
      <c r="FKC1512"/>
      <c r="FKD1512"/>
      <c r="FKE1512"/>
      <c r="FKF1512"/>
      <c r="FKG1512"/>
      <c r="FKH1512"/>
      <c r="FKI1512"/>
      <c r="FKJ1512"/>
      <c r="FKK1512"/>
      <c r="FKL1512"/>
      <c r="FKM1512"/>
      <c r="FKN1512"/>
      <c r="FKO1512"/>
      <c r="FKP1512"/>
      <c r="FKQ1512"/>
      <c r="FKR1512"/>
      <c r="FKS1512"/>
      <c r="FKT1512"/>
      <c r="FKU1512"/>
      <c r="FKV1512"/>
      <c r="FKW1512"/>
      <c r="FKX1512"/>
      <c r="FKY1512"/>
      <c r="FKZ1512"/>
      <c r="FLA1512"/>
      <c r="FLB1512"/>
      <c r="FLC1512"/>
      <c r="FLD1512"/>
      <c r="FLE1512"/>
      <c r="FLF1512"/>
      <c r="FLG1512"/>
      <c r="FLH1512"/>
      <c r="FLI1512"/>
      <c r="FLJ1512"/>
      <c r="FLK1512"/>
      <c r="FLL1512"/>
      <c r="FLM1512"/>
      <c r="FLN1512"/>
      <c r="FLO1512"/>
      <c r="FLP1512"/>
      <c r="FLQ1512"/>
      <c r="FLR1512"/>
      <c r="FLS1512"/>
      <c r="FLT1512"/>
      <c r="FLU1512"/>
      <c r="FLV1512"/>
      <c r="FLW1512"/>
      <c r="FLX1512"/>
      <c r="FLY1512"/>
      <c r="FLZ1512"/>
      <c r="FMA1512"/>
      <c r="FMB1512"/>
      <c r="FMC1512"/>
      <c r="FMD1512"/>
      <c r="FME1512"/>
      <c r="FMF1512"/>
      <c r="FMG1512"/>
      <c r="FMH1512"/>
      <c r="FMI1512"/>
      <c r="FMJ1512"/>
      <c r="FMK1512"/>
      <c r="FML1512"/>
      <c r="FMM1512"/>
      <c r="FMN1512"/>
      <c r="FMO1512"/>
      <c r="FMP1512"/>
      <c r="FMQ1512"/>
      <c r="FMR1512"/>
      <c r="FMS1512"/>
      <c r="FMT1512"/>
      <c r="FMU1512"/>
      <c r="FMV1512"/>
      <c r="FMW1512"/>
      <c r="FMX1512"/>
      <c r="FMY1512"/>
      <c r="FMZ1512"/>
      <c r="FNA1512"/>
      <c r="FNB1512"/>
      <c r="FNC1512"/>
      <c r="FND1512"/>
      <c r="FNE1512"/>
      <c r="FNF1512"/>
      <c r="FNG1512"/>
      <c r="FNH1512"/>
      <c r="FNI1512"/>
      <c r="FNJ1512"/>
      <c r="FNK1512"/>
      <c r="FNL1512"/>
      <c r="FNM1512"/>
      <c r="FNN1512"/>
      <c r="FNO1512"/>
      <c r="FNP1512"/>
      <c r="FNQ1512"/>
      <c r="FNR1512"/>
      <c r="FNS1512"/>
      <c r="FNT1512"/>
      <c r="FNU1512"/>
      <c r="FNV1512"/>
      <c r="FNW1512"/>
      <c r="FNX1512"/>
      <c r="FNY1512"/>
      <c r="FNZ1512"/>
      <c r="FOA1512"/>
      <c r="FOB1512"/>
      <c r="FOC1512"/>
      <c r="FOD1512"/>
      <c r="FOE1512"/>
      <c r="FOF1512"/>
      <c r="FOG1512"/>
      <c r="FOH1512"/>
      <c r="FOI1512"/>
      <c r="FOJ1512"/>
      <c r="FOK1512"/>
      <c r="FOL1512"/>
      <c r="FOM1512"/>
      <c r="FON1512"/>
      <c r="FOO1512"/>
      <c r="FOP1512"/>
      <c r="FOQ1512"/>
      <c r="FOR1512"/>
      <c r="FOS1512"/>
      <c r="FOT1512"/>
      <c r="FOU1512"/>
      <c r="FOV1512"/>
      <c r="FOW1512"/>
      <c r="FOX1512"/>
      <c r="FOY1512"/>
      <c r="FOZ1512"/>
      <c r="FPA1512"/>
      <c r="FPB1512"/>
      <c r="FPC1512"/>
      <c r="FPD1512"/>
      <c r="FPE1512"/>
      <c r="FPF1512"/>
      <c r="FPG1512"/>
      <c r="FPH1512"/>
      <c r="FPI1512"/>
      <c r="FPJ1512"/>
      <c r="FPK1512"/>
      <c r="FPL1512"/>
      <c r="FPM1512"/>
      <c r="FPN1512"/>
      <c r="FPO1512"/>
      <c r="FPP1512"/>
      <c r="FPQ1512"/>
      <c r="FPR1512"/>
      <c r="FPS1512"/>
      <c r="FPT1512"/>
      <c r="FPU1512"/>
      <c r="FPV1512"/>
      <c r="FPW1512"/>
      <c r="FPX1512"/>
      <c r="FPY1512"/>
      <c r="FPZ1512"/>
      <c r="FQA1512"/>
      <c r="FQB1512"/>
      <c r="FQC1512"/>
      <c r="FQD1512"/>
      <c r="FQE1512"/>
      <c r="FQF1512"/>
      <c r="FQG1512"/>
      <c r="FQH1512"/>
      <c r="FQI1512"/>
      <c r="FQJ1512"/>
      <c r="FQK1512"/>
      <c r="FQL1512"/>
      <c r="FQM1512"/>
      <c r="FQN1512"/>
      <c r="FQO1512"/>
      <c r="FQP1512"/>
      <c r="FQQ1512"/>
      <c r="FQR1512"/>
      <c r="FQS1512"/>
      <c r="FQT1512"/>
      <c r="FQU1512"/>
      <c r="FQV1512"/>
      <c r="FQW1512"/>
      <c r="FQX1512"/>
      <c r="FQY1512"/>
      <c r="FQZ1512"/>
      <c r="FRA1512"/>
      <c r="FRB1512"/>
      <c r="FRC1512"/>
      <c r="FRD1512"/>
      <c r="FRE1512"/>
      <c r="FRF1512"/>
      <c r="FRG1512"/>
      <c r="FRH1512"/>
      <c r="FRI1512"/>
      <c r="FRJ1512"/>
      <c r="FRK1512"/>
      <c r="FRL1512"/>
      <c r="FRM1512"/>
      <c r="FRN1512"/>
      <c r="FRO1512"/>
      <c r="FRP1512"/>
      <c r="FRQ1512"/>
      <c r="FRR1512"/>
      <c r="FRS1512"/>
      <c r="FRT1512"/>
      <c r="FRU1512"/>
      <c r="FRV1512"/>
      <c r="FRW1512"/>
      <c r="FRX1512"/>
      <c r="FRY1512"/>
      <c r="FRZ1512"/>
      <c r="FSA1512"/>
      <c r="FSB1512"/>
      <c r="FSC1512"/>
      <c r="FSD1512"/>
      <c r="FSE1512"/>
      <c r="FSF1512"/>
      <c r="FSG1512"/>
      <c r="FSH1512"/>
      <c r="FSI1512"/>
      <c r="FSJ1512"/>
      <c r="FSK1512"/>
      <c r="FSL1512"/>
      <c r="FSM1512"/>
      <c r="FSN1512"/>
      <c r="FSO1512"/>
      <c r="FSP1512"/>
      <c r="FSQ1512"/>
      <c r="FSR1512"/>
      <c r="FSS1512"/>
      <c r="FST1512"/>
      <c r="FSU1512"/>
      <c r="FSV1512"/>
      <c r="FSW1512"/>
      <c r="FSX1512"/>
      <c r="FSY1512"/>
      <c r="FSZ1512"/>
      <c r="FTA1512"/>
      <c r="FTB1512"/>
      <c r="FTC1512"/>
      <c r="FTD1512"/>
      <c r="FTE1512"/>
      <c r="FTF1512"/>
      <c r="FTG1512"/>
      <c r="FTH1512"/>
      <c r="FTI1512"/>
      <c r="FTJ1512"/>
      <c r="FTK1512"/>
      <c r="FTL1512"/>
      <c r="FTM1512"/>
      <c r="FTN1512"/>
      <c r="FTO1512"/>
      <c r="FTP1512"/>
      <c r="FTQ1512"/>
      <c r="FTR1512"/>
      <c r="FTS1512"/>
      <c r="FTT1512"/>
      <c r="FTU1512"/>
      <c r="FTV1512"/>
      <c r="FTW1512"/>
      <c r="FTX1512"/>
      <c r="FTY1512"/>
      <c r="FTZ1512"/>
      <c r="FUA1512"/>
      <c r="FUB1512"/>
      <c r="FUC1512"/>
      <c r="FUD1512"/>
      <c r="FUE1512"/>
      <c r="FUF1512"/>
      <c r="FUG1512"/>
      <c r="FUH1512"/>
      <c r="FUI1512"/>
      <c r="FUJ1512"/>
      <c r="FUK1512"/>
      <c r="FUL1512"/>
      <c r="FUM1512"/>
      <c r="FUN1512"/>
      <c r="FUO1512"/>
      <c r="FUP1512"/>
      <c r="FUQ1512"/>
      <c r="FUR1512"/>
      <c r="FUS1512"/>
      <c r="FUT1512"/>
      <c r="FUU1512"/>
      <c r="FUV1512"/>
      <c r="FUW1512"/>
      <c r="FUX1512"/>
      <c r="FUY1512"/>
      <c r="FUZ1512"/>
      <c r="FVA1512"/>
      <c r="FVB1512"/>
      <c r="FVC1512"/>
      <c r="FVD1512"/>
      <c r="FVE1512"/>
      <c r="FVF1512"/>
      <c r="FVG1512"/>
      <c r="FVH1512"/>
      <c r="FVI1512"/>
      <c r="FVJ1512"/>
      <c r="FVK1512"/>
      <c r="FVL1512"/>
      <c r="FVM1512"/>
      <c r="FVN1512"/>
      <c r="FVO1512"/>
      <c r="FVP1512"/>
      <c r="FVQ1512"/>
      <c r="FVR1512"/>
      <c r="FVS1512"/>
      <c r="FVT1512"/>
      <c r="FVU1512"/>
      <c r="FVV1512"/>
      <c r="FVW1512"/>
      <c r="FVX1512"/>
      <c r="FVY1512"/>
      <c r="FVZ1512"/>
      <c r="FWA1512"/>
      <c r="FWB1512"/>
      <c r="FWC1512"/>
      <c r="FWD1512"/>
      <c r="FWE1512"/>
      <c r="FWF1512"/>
      <c r="FWG1512"/>
      <c r="FWH1512"/>
      <c r="FWI1512"/>
      <c r="FWJ1512"/>
      <c r="FWK1512"/>
      <c r="FWL1512"/>
      <c r="FWM1512"/>
      <c r="FWN1512"/>
      <c r="FWO1512"/>
      <c r="FWP1512"/>
      <c r="FWQ1512"/>
      <c r="FWR1512"/>
      <c r="FWS1512"/>
      <c r="FWT1512"/>
      <c r="FWU1512"/>
      <c r="FWV1512"/>
      <c r="FWW1512"/>
      <c r="FWX1512"/>
      <c r="FWY1512"/>
      <c r="FWZ1512"/>
      <c r="FXA1512"/>
      <c r="FXB1512"/>
      <c r="FXC1512"/>
      <c r="FXD1512"/>
      <c r="FXE1512"/>
      <c r="FXF1512"/>
      <c r="FXG1512"/>
      <c r="FXH1512"/>
      <c r="FXI1512"/>
      <c r="FXJ1512"/>
      <c r="FXK1512"/>
      <c r="FXL1512"/>
      <c r="FXM1512"/>
      <c r="FXN1512"/>
      <c r="FXO1512"/>
      <c r="FXP1512"/>
      <c r="FXQ1512"/>
      <c r="FXR1512"/>
      <c r="FXS1512"/>
      <c r="FXT1512"/>
      <c r="FXU1512"/>
      <c r="FXV1512"/>
      <c r="FXW1512"/>
      <c r="FXX1512"/>
      <c r="FXY1512"/>
      <c r="FXZ1512"/>
      <c r="FYA1512"/>
      <c r="FYB1512"/>
      <c r="FYC1512"/>
      <c r="FYD1512"/>
      <c r="FYE1512"/>
      <c r="FYF1512"/>
      <c r="FYG1512"/>
      <c r="FYH1512"/>
      <c r="FYI1512"/>
      <c r="FYJ1512"/>
      <c r="FYK1512"/>
      <c r="FYL1512"/>
      <c r="FYM1512"/>
      <c r="FYN1512"/>
      <c r="FYO1512"/>
      <c r="FYP1512"/>
      <c r="FYQ1512"/>
      <c r="FYR1512"/>
      <c r="FYS1512"/>
      <c r="FYT1512"/>
      <c r="FYU1512"/>
      <c r="FYV1512"/>
      <c r="FYW1512"/>
      <c r="FYX1512"/>
      <c r="FYY1512"/>
      <c r="FYZ1512"/>
      <c r="FZA1512"/>
      <c r="FZB1512"/>
      <c r="FZC1512"/>
      <c r="FZD1512"/>
      <c r="FZE1512"/>
      <c r="FZF1512"/>
      <c r="FZG1512"/>
      <c r="FZH1512"/>
      <c r="FZI1512"/>
      <c r="FZJ1512"/>
      <c r="FZK1512"/>
      <c r="FZL1512"/>
      <c r="FZM1512"/>
      <c r="FZN1512"/>
      <c r="FZO1512"/>
      <c r="FZP1512"/>
      <c r="FZQ1512"/>
      <c r="FZR1512"/>
      <c r="FZS1512"/>
      <c r="FZT1512"/>
      <c r="FZU1512"/>
      <c r="FZV1512"/>
      <c r="FZW1512"/>
      <c r="FZX1512"/>
      <c r="FZY1512"/>
      <c r="FZZ1512"/>
      <c r="GAA1512"/>
      <c r="GAB1512"/>
      <c r="GAC1512"/>
      <c r="GAD1512"/>
      <c r="GAE1512"/>
      <c r="GAF1512"/>
      <c r="GAG1512"/>
      <c r="GAH1512"/>
      <c r="GAI1512"/>
      <c r="GAJ1512"/>
      <c r="GAK1512"/>
      <c r="GAL1512"/>
      <c r="GAM1512"/>
      <c r="GAN1512"/>
      <c r="GAO1512"/>
      <c r="GAP1512"/>
      <c r="GAQ1512"/>
      <c r="GAR1512"/>
      <c r="GAS1512"/>
      <c r="GAT1512"/>
      <c r="GAU1512"/>
      <c r="GAV1512"/>
      <c r="GAW1512"/>
      <c r="GAX1512"/>
      <c r="GAY1512"/>
      <c r="GAZ1512"/>
      <c r="GBA1512"/>
      <c r="GBB1512"/>
      <c r="GBC1512"/>
      <c r="GBD1512"/>
      <c r="GBE1512"/>
      <c r="GBF1512"/>
      <c r="GBG1512"/>
      <c r="GBH1512"/>
      <c r="GBI1512"/>
      <c r="GBJ1512"/>
      <c r="GBK1512"/>
      <c r="GBL1512"/>
      <c r="GBM1512"/>
      <c r="GBN1512"/>
      <c r="GBO1512"/>
      <c r="GBP1512"/>
      <c r="GBQ1512"/>
      <c r="GBR1512"/>
      <c r="GBS1512"/>
      <c r="GBT1512"/>
      <c r="GBU1512"/>
      <c r="GBV1512"/>
      <c r="GBW1512"/>
      <c r="GBX1512"/>
      <c r="GBY1512"/>
      <c r="GBZ1512"/>
      <c r="GCA1512"/>
      <c r="GCB1512"/>
      <c r="GCC1512"/>
      <c r="GCD1512"/>
      <c r="GCE1512"/>
      <c r="GCF1512"/>
      <c r="GCG1512"/>
      <c r="GCH1512"/>
      <c r="GCI1512"/>
      <c r="GCJ1512"/>
      <c r="GCK1512"/>
      <c r="GCL1512"/>
      <c r="GCM1512"/>
      <c r="GCN1512"/>
      <c r="GCO1512"/>
      <c r="GCP1512"/>
      <c r="GCQ1512"/>
      <c r="GCR1512"/>
      <c r="GCS1512"/>
      <c r="GCT1512"/>
      <c r="GCU1512"/>
      <c r="GCV1512"/>
      <c r="GCW1512"/>
      <c r="GCX1512"/>
      <c r="GCY1512"/>
      <c r="GCZ1512"/>
      <c r="GDA1512"/>
      <c r="GDB1512"/>
      <c r="GDC1512"/>
      <c r="GDD1512"/>
      <c r="GDE1512"/>
      <c r="GDF1512"/>
      <c r="GDG1512"/>
      <c r="GDH1512"/>
      <c r="GDI1512"/>
      <c r="GDJ1512"/>
      <c r="GDK1512"/>
      <c r="GDL1512"/>
      <c r="GDM1512"/>
      <c r="GDN1512"/>
      <c r="GDO1512"/>
      <c r="GDP1512"/>
      <c r="GDQ1512"/>
      <c r="GDR1512"/>
      <c r="GDS1512"/>
      <c r="GDT1512"/>
      <c r="GDU1512"/>
      <c r="GDV1512"/>
      <c r="GDW1512"/>
      <c r="GDX1512"/>
      <c r="GDY1512"/>
      <c r="GDZ1512"/>
      <c r="GEA1512"/>
      <c r="GEB1512"/>
      <c r="GEC1512"/>
      <c r="GED1512"/>
      <c r="GEE1512"/>
      <c r="GEF1512"/>
      <c r="GEG1512"/>
      <c r="GEH1512"/>
      <c r="GEI1512"/>
      <c r="GEJ1512"/>
      <c r="GEK1512"/>
      <c r="GEL1512"/>
      <c r="GEM1512"/>
      <c r="GEN1512"/>
      <c r="GEO1512"/>
      <c r="GEP1512"/>
      <c r="GEQ1512"/>
      <c r="GER1512"/>
      <c r="GES1512"/>
      <c r="GET1512"/>
      <c r="GEU1512"/>
      <c r="GEV1512"/>
      <c r="GEW1512"/>
      <c r="GEX1512"/>
      <c r="GEY1512"/>
      <c r="GEZ1512"/>
      <c r="GFA1512"/>
      <c r="GFB1512"/>
      <c r="GFC1512"/>
      <c r="GFD1512"/>
      <c r="GFE1512"/>
      <c r="GFF1512"/>
      <c r="GFG1512"/>
      <c r="GFH1512"/>
      <c r="GFI1512"/>
      <c r="GFJ1512"/>
      <c r="GFK1512"/>
      <c r="GFL1512"/>
      <c r="GFM1512"/>
      <c r="GFN1512"/>
      <c r="GFO1512"/>
      <c r="GFP1512"/>
      <c r="GFQ1512"/>
      <c r="GFR1512"/>
      <c r="GFS1512"/>
      <c r="GFT1512"/>
      <c r="GFU1512"/>
      <c r="GFV1512"/>
      <c r="GFW1512"/>
      <c r="GFX1512"/>
      <c r="GFY1512"/>
      <c r="GFZ1512"/>
      <c r="GGA1512"/>
      <c r="GGB1512"/>
      <c r="GGC1512"/>
      <c r="GGD1512"/>
      <c r="GGE1512"/>
      <c r="GGF1512"/>
      <c r="GGG1512"/>
      <c r="GGH1512"/>
      <c r="GGI1512"/>
      <c r="GGJ1512"/>
      <c r="GGK1512"/>
      <c r="GGL1512"/>
      <c r="GGM1512"/>
      <c r="GGN1512"/>
      <c r="GGO1512"/>
      <c r="GGP1512"/>
      <c r="GGQ1512"/>
      <c r="GGR1512"/>
      <c r="GGS1512"/>
      <c r="GGT1512"/>
      <c r="GGU1512"/>
      <c r="GGV1512"/>
      <c r="GGW1512"/>
      <c r="GGX1512"/>
      <c r="GGY1512"/>
      <c r="GGZ1512"/>
      <c r="GHA1512"/>
      <c r="GHB1512"/>
      <c r="GHC1512"/>
      <c r="GHD1512"/>
      <c r="GHE1512"/>
      <c r="GHF1512"/>
      <c r="GHG1512"/>
      <c r="GHH1512"/>
      <c r="GHI1512"/>
      <c r="GHJ1512"/>
      <c r="GHK1512"/>
      <c r="GHL1512"/>
      <c r="GHM1512"/>
      <c r="GHN1512"/>
      <c r="GHO1512"/>
      <c r="GHP1512"/>
      <c r="GHQ1512"/>
      <c r="GHR1512"/>
      <c r="GHS1512"/>
      <c r="GHT1512"/>
      <c r="GHU1512"/>
      <c r="GHV1512"/>
      <c r="GHW1512"/>
      <c r="GHX1512"/>
      <c r="GHY1512"/>
      <c r="GHZ1512"/>
      <c r="GIA1512"/>
      <c r="GIB1512"/>
      <c r="GIC1512"/>
      <c r="GID1512"/>
      <c r="GIE1512"/>
      <c r="GIF1512"/>
      <c r="GIG1512"/>
      <c r="GIH1512"/>
      <c r="GII1512"/>
      <c r="GIJ1512"/>
      <c r="GIK1512"/>
      <c r="GIL1512"/>
      <c r="GIM1512"/>
      <c r="GIN1512"/>
      <c r="GIO1512"/>
      <c r="GIP1512"/>
      <c r="GIQ1512"/>
      <c r="GIR1512"/>
      <c r="GIS1512"/>
      <c r="GIT1512"/>
      <c r="GIU1512"/>
      <c r="GIV1512"/>
      <c r="GIW1512"/>
      <c r="GIX1512"/>
      <c r="GIY1512"/>
      <c r="GIZ1512"/>
      <c r="GJA1512"/>
      <c r="GJB1512"/>
      <c r="GJC1512"/>
      <c r="GJD1512"/>
      <c r="GJE1512"/>
      <c r="GJF1512"/>
      <c r="GJG1512"/>
      <c r="GJH1512"/>
      <c r="GJI1512"/>
      <c r="GJJ1512"/>
      <c r="GJK1512"/>
      <c r="GJL1512"/>
      <c r="GJM1512"/>
      <c r="GJN1512"/>
      <c r="GJO1512"/>
      <c r="GJP1512"/>
      <c r="GJQ1512"/>
      <c r="GJR1512"/>
      <c r="GJS1512"/>
      <c r="GJT1512"/>
      <c r="GJU1512"/>
      <c r="GJV1512"/>
      <c r="GJW1512"/>
      <c r="GJX1512"/>
      <c r="GJY1512"/>
      <c r="GJZ1512"/>
      <c r="GKA1512"/>
      <c r="GKB1512"/>
      <c r="GKC1512"/>
      <c r="GKD1512"/>
      <c r="GKE1512"/>
      <c r="GKF1512"/>
      <c r="GKG1512"/>
      <c r="GKH1512"/>
      <c r="GKI1512"/>
      <c r="GKJ1512"/>
      <c r="GKK1512"/>
      <c r="GKL1512"/>
      <c r="GKM1512"/>
      <c r="GKN1512"/>
      <c r="GKO1512"/>
      <c r="GKP1512"/>
      <c r="GKQ1512"/>
      <c r="GKR1512"/>
      <c r="GKS1512"/>
      <c r="GKT1512"/>
      <c r="GKU1512"/>
      <c r="GKV1512"/>
      <c r="GKW1512"/>
      <c r="GKX1512"/>
      <c r="GKY1512"/>
      <c r="GKZ1512"/>
      <c r="GLA1512"/>
      <c r="GLB1512"/>
      <c r="GLC1512"/>
      <c r="GLD1512"/>
      <c r="GLE1512"/>
      <c r="GLF1512"/>
      <c r="GLG1512"/>
      <c r="GLH1512"/>
      <c r="GLI1512"/>
      <c r="GLJ1512"/>
      <c r="GLK1512"/>
      <c r="GLL1512"/>
      <c r="GLM1512"/>
      <c r="GLN1512"/>
      <c r="GLO1512"/>
      <c r="GLP1512"/>
      <c r="GLQ1512"/>
      <c r="GLR1512"/>
      <c r="GLS1512"/>
      <c r="GLT1512"/>
      <c r="GLU1512"/>
      <c r="GLV1512"/>
      <c r="GLW1512"/>
      <c r="GLX1512"/>
      <c r="GLY1512"/>
      <c r="GLZ1512"/>
      <c r="GMA1512"/>
      <c r="GMB1512"/>
      <c r="GMC1512"/>
      <c r="GMD1512"/>
      <c r="GME1512"/>
      <c r="GMF1512"/>
      <c r="GMG1512"/>
      <c r="GMH1512"/>
      <c r="GMI1512"/>
      <c r="GMJ1512"/>
      <c r="GMK1512"/>
      <c r="GML1512"/>
      <c r="GMM1512"/>
      <c r="GMN1512"/>
      <c r="GMO1512"/>
      <c r="GMP1512"/>
      <c r="GMQ1512"/>
      <c r="GMR1512"/>
      <c r="GMS1512"/>
      <c r="GMT1512"/>
      <c r="GMU1512"/>
      <c r="GMV1512"/>
      <c r="GMW1512"/>
      <c r="GMX1512"/>
      <c r="GMY1512"/>
      <c r="GMZ1512"/>
      <c r="GNA1512"/>
      <c r="GNB1512"/>
      <c r="GNC1512"/>
      <c r="GND1512"/>
      <c r="GNE1512"/>
      <c r="GNF1512"/>
      <c r="GNG1512"/>
      <c r="GNH1512"/>
      <c r="GNI1512"/>
      <c r="GNJ1512"/>
      <c r="GNK1512"/>
      <c r="GNL1512"/>
      <c r="GNM1512"/>
      <c r="GNN1512"/>
      <c r="GNO1512"/>
      <c r="GNP1512"/>
      <c r="GNQ1512"/>
      <c r="GNR1512"/>
      <c r="GNS1512"/>
      <c r="GNT1512"/>
      <c r="GNU1512"/>
      <c r="GNV1512"/>
      <c r="GNW1512"/>
      <c r="GNX1512"/>
      <c r="GNY1512"/>
      <c r="GNZ1512"/>
      <c r="GOA1512"/>
      <c r="GOB1512"/>
      <c r="GOC1512"/>
      <c r="GOD1512"/>
      <c r="GOE1512"/>
      <c r="GOF1512"/>
      <c r="GOG1512"/>
      <c r="GOH1512"/>
      <c r="GOI1512"/>
      <c r="GOJ1512"/>
      <c r="GOK1512"/>
      <c r="GOL1512"/>
      <c r="GOM1512"/>
      <c r="GON1512"/>
      <c r="GOO1512"/>
      <c r="GOP1512"/>
      <c r="GOQ1512"/>
      <c r="GOR1512"/>
      <c r="GOS1512"/>
      <c r="GOT1512"/>
      <c r="GOU1512"/>
      <c r="GOV1512"/>
      <c r="GOW1512"/>
      <c r="GOX1512"/>
      <c r="GOY1512"/>
      <c r="GOZ1512"/>
      <c r="GPA1512"/>
      <c r="GPB1512"/>
      <c r="GPC1512"/>
      <c r="GPD1512"/>
      <c r="GPE1512"/>
      <c r="GPF1512"/>
      <c r="GPG1512"/>
      <c r="GPH1512"/>
      <c r="GPI1512"/>
      <c r="GPJ1512"/>
      <c r="GPK1512"/>
      <c r="GPL1512"/>
      <c r="GPM1512"/>
      <c r="GPN1512"/>
      <c r="GPO1512"/>
      <c r="GPP1512"/>
      <c r="GPQ1512"/>
      <c r="GPR1512"/>
      <c r="GPS1512"/>
      <c r="GPT1512"/>
      <c r="GPU1512"/>
      <c r="GPV1512"/>
      <c r="GPW1512"/>
      <c r="GPX1512"/>
      <c r="GPY1512"/>
      <c r="GPZ1512"/>
      <c r="GQA1512"/>
      <c r="GQB1512"/>
      <c r="GQC1512"/>
      <c r="GQD1512"/>
      <c r="GQE1512"/>
      <c r="GQF1512"/>
      <c r="GQG1512"/>
      <c r="GQH1512"/>
      <c r="GQI1512"/>
      <c r="GQJ1512"/>
      <c r="GQK1512"/>
      <c r="GQL1512"/>
      <c r="GQM1512"/>
      <c r="GQN1512"/>
      <c r="GQO1512"/>
      <c r="GQP1512"/>
      <c r="GQQ1512"/>
      <c r="GQR1512"/>
      <c r="GQS1512"/>
      <c r="GQT1512"/>
      <c r="GQU1512"/>
      <c r="GQV1512"/>
      <c r="GQW1512"/>
      <c r="GQX1512"/>
      <c r="GQY1512"/>
      <c r="GQZ1512"/>
      <c r="GRA1512"/>
      <c r="GRB1512"/>
      <c r="GRC1512"/>
      <c r="GRD1512"/>
      <c r="GRE1512"/>
      <c r="GRF1512"/>
      <c r="GRG1512"/>
      <c r="GRH1512"/>
      <c r="GRI1512"/>
      <c r="GRJ1512"/>
      <c r="GRK1512"/>
      <c r="GRL1512"/>
      <c r="GRM1512"/>
      <c r="GRN1512"/>
      <c r="GRO1512"/>
      <c r="GRP1512"/>
      <c r="GRQ1512"/>
      <c r="GRR1512"/>
      <c r="GRS1512"/>
      <c r="GRT1512"/>
      <c r="GRU1512"/>
      <c r="GRV1512"/>
      <c r="GRW1512"/>
      <c r="GRX1512"/>
      <c r="GRY1512"/>
      <c r="GRZ1512"/>
      <c r="GSA1512"/>
      <c r="GSB1512"/>
      <c r="GSC1512"/>
      <c r="GSD1512"/>
      <c r="GSE1512"/>
      <c r="GSF1512"/>
      <c r="GSG1512"/>
      <c r="GSH1512"/>
      <c r="GSI1512"/>
      <c r="GSJ1512"/>
      <c r="GSK1512"/>
      <c r="GSL1512"/>
      <c r="GSM1512"/>
      <c r="GSN1512"/>
      <c r="GSO1512"/>
      <c r="GSP1512"/>
      <c r="GSQ1512"/>
      <c r="GSR1512"/>
      <c r="GSS1512"/>
      <c r="GST1512"/>
      <c r="GSU1512"/>
      <c r="GSV1512"/>
      <c r="GSW1512"/>
      <c r="GSX1512"/>
      <c r="GSY1512"/>
      <c r="GSZ1512"/>
      <c r="GTA1512"/>
      <c r="GTB1512"/>
      <c r="GTC1512"/>
      <c r="GTD1512"/>
      <c r="GTE1512"/>
      <c r="GTF1512"/>
      <c r="GTG1512"/>
      <c r="GTH1512"/>
      <c r="GTI1512"/>
      <c r="GTJ1512"/>
      <c r="GTK1512"/>
      <c r="GTL1512"/>
      <c r="GTM1512"/>
      <c r="GTN1512"/>
      <c r="GTO1512"/>
      <c r="GTP1512"/>
      <c r="GTQ1512"/>
      <c r="GTR1512"/>
      <c r="GTS1512"/>
      <c r="GTT1512"/>
      <c r="GTU1512"/>
      <c r="GTV1512"/>
      <c r="GTW1512"/>
      <c r="GTX1512"/>
      <c r="GTY1512"/>
      <c r="GTZ1512"/>
      <c r="GUA1512"/>
      <c r="GUB1512"/>
      <c r="GUC1512"/>
      <c r="GUD1512"/>
      <c r="GUE1512"/>
      <c r="GUF1512"/>
      <c r="GUG1512"/>
      <c r="GUH1512"/>
      <c r="GUI1512"/>
      <c r="GUJ1512"/>
      <c r="GUK1512"/>
      <c r="GUL1512"/>
      <c r="GUM1512"/>
      <c r="GUN1512"/>
      <c r="GUO1512"/>
      <c r="GUP1512"/>
      <c r="GUQ1512"/>
      <c r="GUR1512"/>
      <c r="GUS1512"/>
      <c r="GUT1512"/>
      <c r="GUU1512"/>
      <c r="GUV1512"/>
      <c r="GUW1512"/>
      <c r="GUX1512"/>
      <c r="GUY1512"/>
      <c r="GUZ1512"/>
      <c r="GVA1512"/>
      <c r="GVB1512"/>
      <c r="GVC1512"/>
      <c r="GVD1512"/>
      <c r="GVE1512"/>
      <c r="GVF1512"/>
      <c r="GVG1512"/>
      <c r="GVH1512"/>
      <c r="GVI1512"/>
      <c r="GVJ1512"/>
      <c r="GVK1512"/>
      <c r="GVL1512"/>
      <c r="GVM1512"/>
      <c r="GVN1512"/>
      <c r="GVO1512"/>
      <c r="GVP1512"/>
      <c r="GVQ1512"/>
      <c r="GVR1512"/>
      <c r="GVS1512"/>
      <c r="GVT1512"/>
      <c r="GVU1512"/>
      <c r="GVV1512"/>
      <c r="GVW1512"/>
      <c r="GVX1512"/>
      <c r="GVY1512"/>
      <c r="GVZ1512"/>
      <c r="GWA1512"/>
      <c r="GWB1512"/>
      <c r="GWC1512"/>
      <c r="GWD1512"/>
      <c r="GWE1512"/>
      <c r="GWF1512"/>
      <c r="GWG1512"/>
      <c r="GWH1512"/>
      <c r="GWI1512"/>
      <c r="GWJ1512"/>
      <c r="GWK1512"/>
      <c r="GWL1512"/>
      <c r="GWM1512"/>
      <c r="GWN1512"/>
      <c r="GWO1512"/>
      <c r="GWP1512"/>
      <c r="GWQ1512"/>
      <c r="GWR1512"/>
      <c r="GWS1512"/>
      <c r="GWT1512"/>
      <c r="GWU1512"/>
      <c r="GWV1512"/>
      <c r="GWW1512"/>
      <c r="GWX1512"/>
      <c r="GWY1512"/>
      <c r="GWZ1512"/>
      <c r="GXA1512"/>
      <c r="GXB1512"/>
      <c r="GXC1512"/>
      <c r="GXD1512"/>
      <c r="GXE1512"/>
      <c r="GXF1512"/>
      <c r="GXG1512"/>
      <c r="GXH1512"/>
      <c r="GXI1512"/>
      <c r="GXJ1512"/>
      <c r="GXK1512"/>
      <c r="GXL1512"/>
      <c r="GXM1512"/>
      <c r="GXN1512"/>
      <c r="GXO1512"/>
      <c r="GXP1512"/>
      <c r="GXQ1512"/>
      <c r="GXR1512"/>
      <c r="GXS1512"/>
      <c r="GXT1512"/>
      <c r="GXU1512"/>
      <c r="GXV1512"/>
      <c r="GXW1512"/>
      <c r="GXX1512"/>
      <c r="GXY1512"/>
      <c r="GXZ1512"/>
      <c r="GYA1512"/>
      <c r="GYB1512"/>
      <c r="GYC1512"/>
      <c r="GYD1512"/>
      <c r="GYE1512"/>
      <c r="GYF1512"/>
      <c r="GYG1512"/>
      <c r="GYH1512"/>
      <c r="GYI1512"/>
      <c r="GYJ1512"/>
      <c r="GYK1512"/>
      <c r="GYL1512"/>
      <c r="GYM1512"/>
      <c r="GYN1512"/>
      <c r="GYO1512"/>
      <c r="GYP1512"/>
      <c r="GYQ1512"/>
      <c r="GYR1512"/>
      <c r="GYS1512"/>
      <c r="GYT1512"/>
      <c r="GYU1512"/>
      <c r="GYV1512"/>
      <c r="GYW1512"/>
      <c r="GYX1512"/>
      <c r="GYY1512"/>
      <c r="GYZ1512"/>
      <c r="GZA1512"/>
      <c r="GZB1512"/>
      <c r="GZC1512"/>
      <c r="GZD1512"/>
      <c r="GZE1512"/>
      <c r="GZF1512"/>
      <c r="GZG1512"/>
      <c r="GZH1512"/>
      <c r="GZI1512"/>
      <c r="GZJ1512"/>
      <c r="GZK1512"/>
      <c r="GZL1512"/>
      <c r="GZM1512"/>
      <c r="GZN1512"/>
      <c r="GZO1512"/>
      <c r="GZP1512"/>
      <c r="GZQ1512"/>
      <c r="GZR1512"/>
      <c r="GZS1512"/>
      <c r="GZT1512"/>
      <c r="GZU1512"/>
      <c r="GZV1512"/>
      <c r="GZW1512"/>
      <c r="GZX1512"/>
      <c r="GZY1512"/>
      <c r="GZZ1512"/>
      <c r="HAA1512"/>
      <c r="HAB1512"/>
      <c r="HAC1512"/>
      <c r="HAD1512"/>
      <c r="HAE1512"/>
      <c r="HAF1512"/>
      <c r="HAG1512"/>
      <c r="HAH1512"/>
      <c r="HAI1512"/>
      <c r="HAJ1512"/>
      <c r="HAK1512"/>
      <c r="HAL1512"/>
      <c r="HAM1512"/>
      <c r="HAN1512"/>
      <c r="HAO1512"/>
      <c r="HAP1512"/>
      <c r="HAQ1512"/>
      <c r="HAR1512"/>
      <c r="HAS1512"/>
      <c r="HAT1512"/>
      <c r="HAU1512"/>
      <c r="HAV1512"/>
      <c r="HAW1512"/>
      <c r="HAX1512"/>
      <c r="HAY1512"/>
      <c r="HAZ1512"/>
      <c r="HBA1512"/>
      <c r="HBB1512"/>
      <c r="HBC1512"/>
      <c r="HBD1512"/>
      <c r="HBE1512"/>
      <c r="HBF1512"/>
      <c r="HBG1512"/>
      <c r="HBH1512"/>
      <c r="HBI1512"/>
      <c r="HBJ1512"/>
      <c r="HBK1512"/>
      <c r="HBL1512"/>
      <c r="HBM1512"/>
      <c r="HBN1512"/>
      <c r="HBO1512"/>
      <c r="HBP1512"/>
      <c r="HBQ1512"/>
      <c r="HBR1512"/>
      <c r="HBS1512"/>
      <c r="HBT1512"/>
      <c r="HBU1512"/>
      <c r="HBV1512"/>
      <c r="HBW1512"/>
      <c r="HBX1512"/>
      <c r="HBY1512"/>
      <c r="HBZ1512"/>
      <c r="HCA1512"/>
      <c r="HCB1512"/>
      <c r="HCC1512"/>
      <c r="HCD1512"/>
      <c r="HCE1512"/>
      <c r="HCF1512"/>
      <c r="HCG1512"/>
      <c r="HCH1512"/>
      <c r="HCI1512"/>
      <c r="HCJ1512"/>
      <c r="HCK1512"/>
      <c r="HCL1512"/>
      <c r="HCM1512"/>
      <c r="HCN1512"/>
      <c r="HCO1512"/>
      <c r="HCP1512"/>
      <c r="HCQ1512"/>
      <c r="HCR1512"/>
      <c r="HCS1512"/>
      <c r="HCT1512"/>
      <c r="HCU1512"/>
      <c r="HCV1512"/>
      <c r="HCW1512"/>
      <c r="HCX1512"/>
      <c r="HCY1512"/>
      <c r="HCZ1512"/>
      <c r="HDA1512"/>
      <c r="HDB1512"/>
      <c r="HDC1512"/>
      <c r="HDD1512"/>
      <c r="HDE1512"/>
      <c r="HDF1512"/>
      <c r="HDG1512"/>
      <c r="HDH1512"/>
      <c r="HDI1512"/>
      <c r="HDJ1512"/>
      <c r="HDK1512"/>
      <c r="HDL1512"/>
      <c r="HDM1512"/>
      <c r="HDN1512"/>
      <c r="HDO1512"/>
      <c r="HDP1512"/>
      <c r="HDQ1512"/>
      <c r="HDR1512"/>
      <c r="HDS1512"/>
      <c r="HDT1512"/>
      <c r="HDU1512"/>
      <c r="HDV1512"/>
      <c r="HDW1512"/>
      <c r="HDX1512"/>
      <c r="HDY1512"/>
      <c r="HDZ1512"/>
      <c r="HEA1512"/>
      <c r="HEB1512"/>
      <c r="HEC1512"/>
      <c r="HED1512"/>
      <c r="HEE1512"/>
      <c r="HEF1512"/>
      <c r="HEG1512"/>
      <c r="HEH1512"/>
      <c r="HEI1512"/>
      <c r="HEJ1512"/>
      <c r="HEK1512"/>
      <c r="HEL1512"/>
      <c r="HEM1512"/>
      <c r="HEN1512"/>
      <c r="HEO1512"/>
      <c r="HEP1512"/>
      <c r="HEQ1512"/>
      <c r="HER1512"/>
      <c r="HES1512"/>
      <c r="HET1512"/>
      <c r="HEU1512"/>
      <c r="HEV1512"/>
      <c r="HEW1512"/>
      <c r="HEX1512"/>
      <c r="HEY1512"/>
      <c r="HEZ1512"/>
      <c r="HFA1512"/>
      <c r="HFB1512"/>
      <c r="HFC1512"/>
      <c r="HFD1512"/>
      <c r="HFE1512"/>
      <c r="HFF1512"/>
      <c r="HFG1512"/>
      <c r="HFH1512"/>
      <c r="HFI1512"/>
      <c r="HFJ1512"/>
      <c r="HFK1512"/>
      <c r="HFL1512"/>
      <c r="HFM1512"/>
      <c r="HFN1512"/>
      <c r="HFO1512"/>
      <c r="HFP1512"/>
      <c r="HFQ1512"/>
      <c r="HFR1512"/>
      <c r="HFS1512"/>
      <c r="HFT1512"/>
      <c r="HFU1512"/>
      <c r="HFV1512"/>
      <c r="HFW1512"/>
      <c r="HFX1512"/>
      <c r="HFY1512"/>
      <c r="HFZ1512"/>
      <c r="HGA1512"/>
      <c r="HGB1512"/>
      <c r="HGC1512"/>
      <c r="HGD1512"/>
      <c r="HGE1512"/>
      <c r="HGF1512"/>
      <c r="HGG1512"/>
      <c r="HGH1512"/>
      <c r="HGI1512"/>
      <c r="HGJ1512"/>
      <c r="HGK1512"/>
      <c r="HGL1512"/>
      <c r="HGM1512"/>
      <c r="HGN1512"/>
      <c r="HGO1512"/>
      <c r="HGP1512"/>
      <c r="HGQ1512"/>
      <c r="HGR1512"/>
      <c r="HGS1512"/>
      <c r="HGT1512"/>
      <c r="HGU1512"/>
      <c r="HGV1512"/>
      <c r="HGW1512"/>
      <c r="HGX1512"/>
      <c r="HGY1512"/>
      <c r="HGZ1512"/>
      <c r="HHA1512"/>
      <c r="HHB1512"/>
      <c r="HHC1512"/>
      <c r="HHD1512"/>
      <c r="HHE1512"/>
      <c r="HHF1512"/>
      <c r="HHG1512"/>
      <c r="HHH1512"/>
      <c r="HHI1512"/>
      <c r="HHJ1512"/>
      <c r="HHK1512"/>
      <c r="HHL1512"/>
      <c r="HHM1512"/>
      <c r="HHN1512"/>
      <c r="HHO1512"/>
      <c r="HHP1512"/>
      <c r="HHQ1512"/>
      <c r="HHR1512"/>
      <c r="HHS1512"/>
      <c r="HHT1512"/>
      <c r="HHU1512"/>
      <c r="HHV1512"/>
      <c r="HHW1512"/>
      <c r="HHX1512"/>
      <c r="HHY1512"/>
      <c r="HHZ1512"/>
      <c r="HIA1512"/>
      <c r="HIB1512"/>
      <c r="HIC1512"/>
      <c r="HID1512"/>
      <c r="HIE1512"/>
      <c r="HIF1512"/>
      <c r="HIG1512"/>
      <c r="HIH1512"/>
      <c r="HII1512"/>
      <c r="HIJ1512"/>
      <c r="HIK1512"/>
      <c r="HIL1512"/>
      <c r="HIM1512"/>
      <c r="HIN1512"/>
      <c r="HIO1512"/>
      <c r="HIP1512"/>
      <c r="HIQ1512"/>
      <c r="HIR1512"/>
      <c r="HIS1512"/>
      <c r="HIT1512"/>
      <c r="HIU1512"/>
      <c r="HIV1512"/>
      <c r="HIW1512"/>
      <c r="HIX1512"/>
      <c r="HIY1512"/>
      <c r="HIZ1512"/>
      <c r="HJA1512"/>
      <c r="HJB1512"/>
      <c r="HJC1512"/>
      <c r="HJD1512"/>
      <c r="HJE1512"/>
      <c r="HJF1512"/>
      <c r="HJG1512"/>
      <c r="HJH1512"/>
      <c r="HJI1512"/>
      <c r="HJJ1512"/>
      <c r="HJK1512"/>
      <c r="HJL1512"/>
      <c r="HJM1512"/>
      <c r="HJN1512"/>
      <c r="HJO1512"/>
      <c r="HJP1512"/>
      <c r="HJQ1512"/>
      <c r="HJR1512"/>
      <c r="HJS1512"/>
      <c r="HJT1512"/>
      <c r="HJU1512"/>
      <c r="HJV1512"/>
      <c r="HJW1512"/>
      <c r="HJX1512"/>
      <c r="HJY1512"/>
      <c r="HJZ1512"/>
      <c r="HKA1512"/>
      <c r="HKB1512"/>
      <c r="HKC1512"/>
      <c r="HKD1512"/>
      <c r="HKE1512"/>
      <c r="HKF1512"/>
      <c r="HKG1512"/>
      <c r="HKH1512"/>
      <c r="HKI1512"/>
      <c r="HKJ1512"/>
      <c r="HKK1512"/>
      <c r="HKL1512"/>
      <c r="HKM1512"/>
      <c r="HKN1512"/>
      <c r="HKO1512"/>
      <c r="HKP1512"/>
      <c r="HKQ1512"/>
      <c r="HKR1512"/>
      <c r="HKS1512"/>
      <c r="HKT1512"/>
      <c r="HKU1512"/>
      <c r="HKV1512"/>
      <c r="HKW1512"/>
      <c r="HKX1512"/>
      <c r="HKY1512"/>
      <c r="HKZ1512"/>
      <c r="HLA1512"/>
      <c r="HLB1512"/>
      <c r="HLC1512"/>
      <c r="HLD1512"/>
      <c r="HLE1512"/>
      <c r="HLF1512"/>
      <c r="HLG1512"/>
      <c r="HLH1512"/>
      <c r="HLI1512"/>
      <c r="HLJ1512"/>
      <c r="HLK1512"/>
      <c r="HLL1512"/>
      <c r="HLM1512"/>
      <c r="HLN1512"/>
      <c r="HLO1512"/>
      <c r="HLP1512"/>
      <c r="HLQ1512"/>
      <c r="HLR1512"/>
      <c r="HLS1512"/>
      <c r="HLT1512"/>
      <c r="HLU1512"/>
      <c r="HLV1512"/>
      <c r="HLW1512"/>
      <c r="HLX1512"/>
      <c r="HLY1512"/>
      <c r="HLZ1512"/>
      <c r="HMA1512"/>
      <c r="HMB1512"/>
      <c r="HMC1512"/>
      <c r="HMD1512"/>
      <c r="HME1512"/>
      <c r="HMF1512"/>
      <c r="HMG1512"/>
      <c r="HMH1512"/>
      <c r="HMI1512"/>
      <c r="HMJ1512"/>
      <c r="HMK1512"/>
      <c r="HML1512"/>
      <c r="HMM1512"/>
      <c r="HMN1512"/>
      <c r="HMO1512"/>
      <c r="HMP1512"/>
      <c r="HMQ1512"/>
      <c r="HMR1512"/>
      <c r="HMS1512"/>
      <c r="HMT1512"/>
      <c r="HMU1512"/>
      <c r="HMV1512"/>
      <c r="HMW1512"/>
      <c r="HMX1512"/>
      <c r="HMY1512"/>
      <c r="HMZ1512"/>
      <c r="HNA1512"/>
      <c r="HNB1512"/>
      <c r="HNC1512"/>
      <c r="HND1512"/>
      <c r="HNE1512"/>
      <c r="HNF1512"/>
      <c r="HNG1512"/>
      <c r="HNH1512"/>
      <c r="HNI1512"/>
      <c r="HNJ1512"/>
      <c r="HNK1512"/>
      <c r="HNL1512"/>
      <c r="HNM1512"/>
      <c r="HNN1512"/>
      <c r="HNO1512"/>
      <c r="HNP1512"/>
      <c r="HNQ1512"/>
      <c r="HNR1512"/>
      <c r="HNS1512"/>
      <c r="HNT1512"/>
      <c r="HNU1512"/>
      <c r="HNV1512"/>
      <c r="HNW1512"/>
      <c r="HNX1512"/>
      <c r="HNY1512"/>
      <c r="HNZ1512"/>
      <c r="HOA1512"/>
      <c r="HOB1512"/>
      <c r="HOC1512"/>
      <c r="HOD1512"/>
      <c r="HOE1512"/>
      <c r="HOF1512"/>
      <c r="HOG1512"/>
      <c r="HOH1512"/>
      <c r="HOI1512"/>
      <c r="HOJ1512"/>
      <c r="HOK1512"/>
      <c r="HOL1512"/>
      <c r="HOM1512"/>
      <c r="HON1512"/>
      <c r="HOO1512"/>
      <c r="HOP1512"/>
      <c r="HOQ1512"/>
      <c r="HOR1512"/>
      <c r="HOS1512"/>
      <c r="HOT1512"/>
      <c r="HOU1512"/>
      <c r="HOV1512"/>
      <c r="HOW1512"/>
      <c r="HOX1512"/>
      <c r="HOY1512"/>
      <c r="HOZ1512"/>
      <c r="HPA1512"/>
      <c r="HPB1512"/>
      <c r="HPC1512"/>
      <c r="HPD1512"/>
      <c r="HPE1512"/>
      <c r="HPF1512"/>
      <c r="HPG1512"/>
      <c r="HPH1512"/>
      <c r="HPI1512"/>
      <c r="HPJ1512"/>
      <c r="HPK1512"/>
      <c r="HPL1512"/>
      <c r="HPM1512"/>
      <c r="HPN1512"/>
      <c r="HPO1512"/>
      <c r="HPP1512"/>
      <c r="HPQ1512"/>
      <c r="HPR1512"/>
      <c r="HPS1512"/>
      <c r="HPT1512"/>
      <c r="HPU1512"/>
      <c r="HPV1512"/>
      <c r="HPW1512"/>
      <c r="HPX1512"/>
      <c r="HPY1512"/>
      <c r="HPZ1512"/>
      <c r="HQA1512"/>
      <c r="HQB1512"/>
      <c r="HQC1512"/>
      <c r="HQD1512"/>
      <c r="HQE1512"/>
      <c r="HQF1512"/>
      <c r="HQG1512"/>
      <c r="HQH1512"/>
      <c r="HQI1512"/>
      <c r="HQJ1512"/>
      <c r="HQK1512"/>
      <c r="HQL1512"/>
      <c r="HQM1512"/>
      <c r="HQN1512"/>
      <c r="HQO1512"/>
      <c r="HQP1512"/>
      <c r="HQQ1512"/>
      <c r="HQR1512"/>
      <c r="HQS1512"/>
      <c r="HQT1512"/>
      <c r="HQU1512"/>
      <c r="HQV1512"/>
      <c r="HQW1512"/>
      <c r="HQX1512"/>
      <c r="HQY1512"/>
      <c r="HQZ1512"/>
      <c r="HRA1512"/>
      <c r="HRB1512"/>
      <c r="HRC1512"/>
      <c r="HRD1512"/>
      <c r="HRE1512"/>
      <c r="HRF1512"/>
      <c r="HRG1512"/>
      <c r="HRH1512"/>
      <c r="HRI1512"/>
      <c r="HRJ1512"/>
      <c r="HRK1512"/>
      <c r="HRL1512"/>
      <c r="HRM1512"/>
      <c r="HRN1512"/>
      <c r="HRO1512"/>
      <c r="HRP1512"/>
      <c r="HRQ1512"/>
      <c r="HRR1512"/>
      <c r="HRS1512"/>
      <c r="HRT1512"/>
      <c r="HRU1512"/>
      <c r="HRV1512"/>
      <c r="HRW1512"/>
      <c r="HRX1512"/>
      <c r="HRY1512"/>
      <c r="HRZ1512"/>
      <c r="HSA1512"/>
      <c r="HSB1512"/>
      <c r="HSC1512"/>
      <c r="HSD1512"/>
      <c r="HSE1512"/>
      <c r="HSF1512"/>
      <c r="HSG1512"/>
      <c r="HSH1512"/>
      <c r="HSI1512"/>
      <c r="HSJ1512"/>
      <c r="HSK1512"/>
      <c r="HSL1512"/>
      <c r="HSM1512"/>
      <c r="HSN1512"/>
      <c r="HSO1512"/>
      <c r="HSP1512"/>
      <c r="HSQ1512"/>
      <c r="HSR1512"/>
      <c r="HSS1512"/>
      <c r="HST1512"/>
      <c r="HSU1512"/>
      <c r="HSV1512"/>
      <c r="HSW1512"/>
      <c r="HSX1512"/>
      <c r="HSY1512"/>
      <c r="HSZ1512"/>
      <c r="HTA1512"/>
      <c r="HTB1512"/>
      <c r="HTC1512"/>
      <c r="HTD1512"/>
      <c r="HTE1512"/>
      <c r="HTF1512"/>
      <c r="HTG1512"/>
      <c r="HTH1512"/>
      <c r="HTI1512"/>
      <c r="HTJ1512"/>
      <c r="HTK1512"/>
      <c r="HTL1512"/>
      <c r="HTM1512"/>
      <c r="HTN1512"/>
      <c r="HTO1512"/>
      <c r="HTP1512"/>
      <c r="HTQ1512"/>
      <c r="HTR1512"/>
      <c r="HTS1512"/>
      <c r="HTT1512"/>
      <c r="HTU1512"/>
      <c r="HTV1512"/>
      <c r="HTW1512"/>
      <c r="HTX1512"/>
      <c r="HTY1512"/>
      <c r="HTZ1512"/>
      <c r="HUA1512"/>
      <c r="HUB1512"/>
      <c r="HUC1512"/>
      <c r="HUD1512"/>
      <c r="HUE1512"/>
      <c r="HUF1512"/>
      <c r="HUG1512"/>
      <c r="HUH1512"/>
      <c r="HUI1512"/>
      <c r="HUJ1512"/>
      <c r="HUK1512"/>
      <c r="HUL1512"/>
      <c r="HUM1512"/>
      <c r="HUN1512"/>
      <c r="HUO1512"/>
      <c r="HUP1512"/>
      <c r="HUQ1512"/>
      <c r="HUR1512"/>
      <c r="HUS1512"/>
      <c r="HUT1512"/>
      <c r="HUU1512"/>
      <c r="HUV1512"/>
      <c r="HUW1512"/>
      <c r="HUX1512"/>
      <c r="HUY1512"/>
      <c r="HUZ1512"/>
      <c r="HVA1512"/>
      <c r="HVB1512"/>
      <c r="HVC1512"/>
      <c r="HVD1512"/>
      <c r="HVE1512"/>
      <c r="HVF1512"/>
      <c r="HVG1512"/>
      <c r="HVH1512"/>
      <c r="HVI1512"/>
      <c r="HVJ1512"/>
      <c r="HVK1512"/>
      <c r="HVL1512"/>
      <c r="HVM1512"/>
      <c r="HVN1512"/>
      <c r="HVO1512"/>
      <c r="HVP1512"/>
      <c r="HVQ1512"/>
      <c r="HVR1512"/>
      <c r="HVS1512"/>
      <c r="HVT1512"/>
      <c r="HVU1512"/>
      <c r="HVV1512"/>
      <c r="HVW1512"/>
      <c r="HVX1512"/>
      <c r="HVY1512"/>
      <c r="HVZ1512"/>
      <c r="HWA1512"/>
      <c r="HWB1512"/>
      <c r="HWC1512"/>
      <c r="HWD1512"/>
      <c r="HWE1512"/>
      <c r="HWF1512"/>
      <c r="HWG1512"/>
      <c r="HWH1512"/>
      <c r="HWI1512"/>
      <c r="HWJ1512"/>
      <c r="HWK1512"/>
      <c r="HWL1512"/>
      <c r="HWM1512"/>
      <c r="HWN1512"/>
      <c r="HWO1512"/>
      <c r="HWP1512"/>
      <c r="HWQ1512"/>
      <c r="HWR1512"/>
      <c r="HWS1512"/>
      <c r="HWT1512"/>
      <c r="HWU1512"/>
      <c r="HWV1512"/>
      <c r="HWW1512"/>
      <c r="HWX1512"/>
      <c r="HWY1512"/>
      <c r="HWZ1512"/>
      <c r="HXA1512"/>
      <c r="HXB1512"/>
      <c r="HXC1512"/>
      <c r="HXD1512"/>
      <c r="HXE1512"/>
      <c r="HXF1512"/>
      <c r="HXG1512"/>
      <c r="HXH1512"/>
      <c r="HXI1512"/>
      <c r="HXJ1512"/>
      <c r="HXK1512"/>
      <c r="HXL1512"/>
      <c r="HXM1512"/>
      <c r="HXN1512"/>
      <c r="HXO1512"/>
      <c r="HXP1512"/>
      <c r="HXQ1512"/>
      <c r="HXR1512"/>
      <c r="HXS1512"/>
      <c r="HXT1512"/>
      <c r="HXU1512"/>
      <c r="HXV1512"/>
      <c r="HXW1512"/>
      <c r="HXX1512"/>
      <c r="HXY1512"/>
      <c r="HXZ1512"/>
      <c r="HYA1512"/>
      <c r="HYB1512"/>
      <c r="HYC1512"/>
      <c r="HYD1512"/>
      <c r="HYE1512"/>
      <c r="HYF1512"/>
      <c r="HYG1512"/>
      <c r="HYH1512"/>
      <c r="HYI1512"/>
      <c r="HYJ1512"/>
      <c r="HYK1512"/>
      <c r="HYL1512"/>
      <c r="HYM1512"/>
      <c r="HYN1512"/>
      <c r="HYO1512"/>
      <c r="HYP1512"/>
      <c r="HYQ1512"/>
      <c r="HYR1512"/>
      <c r="HYS1512"/>
      <c r="HYT1512"/>
      <c r="HYU1512"/>
      <c r="HYV1512"/>
      <c r="HYW1512"/>
      <c r="HYX1512"/>
      <c r="HYY1512"/>
      <c r="HYZ1512"/>
      <c r="HZA1512"/>
      <c r="HZB1512"/>
      <c r="HZC1512"/>
      <c r="HZD1512"/>
      <c r="HZE1512"/>
      <c r="HZF1512"/>
      <c r="HZG1512"/>
      <c r="HZH1512"/>
      <c r="HZI1512"/>
      <c r="HZJ1512"/>
      <c r="HZK1512"/>
      <c r="HZL1512"/>
      <c r="HZM1512"/>
      <c r="HZN1512"/>
      <c r="HZO1512"/>
      <c r="HZP1512"/>
      <c r="HZQ1512"/>
      <c r="HZR1512"/>
      <c r="HZS1512"/>
      <c r="HZT1512"/>
      <c r="HZU1512"/>
      <c r="HZV1512"/>
      <c r="HZW1512"/>
      <c r="HZX1512"/>
      <c r="HZY1512"/>
      <c r="HZZ1512"/>
      <c r="IAA1512"/>
      <c r="IAB1512"/>
      <c r="IAC1512"/>
      <c r="IAD1512"/>
      <c r="IAE1512"/>
      <c r="IAF1512"/>
      <c r="IAG1512"/>
      <c r="IAH1512"/>
      <c r="IAI1512"/>
      <c r="IAJ1512"/>
      <c r="IAK1512"/>
      <c r="IAL1512"/>
      <c r="IAM1512"/>
      <c r="IAN1512"/>
      <c r="IAO1512"/>
      <c r="IAP1512"/>
      <c r="IAQ1512"/>
      <c r="IAR1512"/>
      <c r="IAS1512"/>
      <c r="IAT1512"/>
      <c r="IAU1512"/>
      <c r="IAV1512"/>
      <c r="IAW1512"/>
      <c r="IAX1512"/>
      <c r="IAY1512"/>
      <c r="IAZ1512"/>
      <c r="IBA1512"/>
      <c r="IBB1512"/>
      <c r="IBC1512"/>
      <c r="IBD1512"/>
      <c r="IBE1512"/>
      <c r="IBF1512"/>
      <c r="IBG1512"/>
      <c r="IBH1512"/>
      <c r="IBI1512"/>
      <c r="IBJ1512"/>
      <c r="IBK1512"/>
      <c r="IBL1512"/>
      <c r="IBM1512"/>
      <c r="IBN1512"/>
      <c r="IBO1512"/>
      <c r="IBP1512"/>
      <c r="IBQ1512"/>
      <c r="IBR1512"/>
      <c r="IBS1512"/>
      <c r="IBT1512"/>
      <c r="IBU1512"/>
      <c r="IBV1512"/>
      <c r="IBW1512"/>
      <c r="IBX1512"/>
      <c r="IBY1512"/>
      <c r="IBZ1512"/>
      <c r="ICA1512"/>
      <c r="ICB1512"/>
      <c r="ICC1512"/>
      <c r="ICD1512"/>
      <c r="ICE1512"/>
      <c r="ICF1512"/>
      <c r="ICG1512"/>
      <c r="ICH1512"/>
      <c r="ICI1512"/>
      <c r="ICJ1512"/>
      <c r="ICK1512"/>
      <c r="ICL1512"/>
      <c r="ICM1512"/>
      <c r="ICN1512"/>
      <c r="ICO1512"/>
      <c r="ICP1512"/>
      <c r="ICQ1512"/>
      <c r="ICR1512"/>
      <c r="ICS1512"/>
      <c r="ICT1512"/>
      <c r="ICU1512"/>
      <c r="ICV1512"/>
      <c r="ICW1512"/>
      <c r="ICX1512"/>
      <c r="ICY1512"/>
      <c r="ICZ1512"/>
      <c r="IDA1512"/>
      <c r="IDB1512"/>
      <c r="IDC1512"/>
      <c r="IDD1512"/>
      <c r="IDE1512"/>
      <c r="IDF1512"/>
      <c r="IDG1512"/>
      <c r="IDH1512"/>
      <c r="IDI1512"/>
      <c r="IDJ1512"/>
      <c r="IDK1512"/>
      <c r="IDL1512"/>
      <c r="IDM1512"/>
      <c r="IDN1512"/>
      <c r="IDO1512"/>
      <c r="IDP1512"/>
      <c r="IDQ1512"/>
      <c r="IDR1512"/>
      <c r="IDS1512"/>
      <c r="IDT1512"/>
      <c r="IDU1512"/>
      <c r="IDV1512"/>
      <c r="IDW1512"/>
      <c r="IDX1512"/>
      <c r="IDY1512"/>
      <c r="IDZ1512"/>
      <c r="IEA1512"/>
      <c r="IEB1512"/>
      <c r="IEC1512"/>
      <c r="IED1512"/>
      <c r="IEE1512"/>
      <c r="IEF1512"/>
      <c r="IEG1512"/>
      <c r="IEH1512"/>
      <c r="IEI1512"/>
      <c r="IEJ1512"/>
      <c r="IEK1512"/>
      <c r="IEL1512"/>
      <c r="IEM1512"/>
      <c r="IEN1512"/>
      <c r="IEO1512"/>
      <c r="IEP1512"/>
      <c r="IEQ1512"/>
      <c r="IER1512"/>
      <c r="IES1512"/>
      <c r="IET1512"/>
      <c r="IEU1512"/>
      <c r="IEV1512"/>
      <c r="IEW1512"/>
      <c r="IEX1512"/>
      <c r="IEY1512"/>
      <c r="IEZ1512"/>
      <c r="IFA1512"/>
      <c r="IFB1512"/>
      <c r="IFC1512"/>
      <c r="IFD1512"/>
      <c r="IFE1512"/>
      <c r="IFF1512"/>
      <c r="IFG1512"/>
      <c r="IFH1512"/>
      <c r="IFI1512"/>
      <c r="IFJ1512"/>
      <c r="IFK1512"/>
      <c r="IFL1512"/>
      <c r="IFM1512"/>
      <c r="IFN1512"/>
      <c r="IFO1512"/>
      <c r="IFP1512"/>
      <c r="IFQ1512"/>
      <c r="IFR1512"/>
      <c r="IFS1512"/>
      <c r="IFT1512"/>
      <c r="IFU1512"/>
      <c r="IFV1512"/>
      <c r="IFW1512"/>
      <c r="IFX1512"/>
      <c r="IFY1512"/>
      <c r="IFZ1512"/>
      <c r="IGA1512"/>
      <c r="IGB1512"/>
      <c r="IGC1512"/>
      <c r="IGD1512"/>
      <c r="IGE1512"/>
      <c r="IGF1512"/>
      <c r="IGG1512"/>
      <c r="IGH1512"/>
      <c r="IGI1512"/>
      <c r="IGJ1512"/>
      <c r="IGK1512"/>
      <c r="IGL1512"/>
      <c r="IGM1512"/>
      <c r="IGN1512"/>
      <c r="IGO1512"/>
      <c r="IGP1512"/>
      <c r="IGQ1512"/>
      <c r="IGR1512"/>
      <c r="IGS1512"/>
      <c r="IGT1512"/>
      <c r="IGU1512"/>
      <c r="IGV1512"/>
      <c r="IGW1512"/>
      <c r="IGX1512"/>
      <c r="IGY1512"/>
      <c r="IGZ1512"/>
      <c r="IHA1512"/>
      <c r="IHB1512"/>
      <c r="IHC1512"/>
      <c r="IHD1512"/>
      <c r="IHE1512"/>
      <c r="IHF1512"/>
      <c r="IHG1512"/>
      <c r="IHH1512"/>
      <c r="IHI1512"/>
      <c r="IHJ1512"/>
      <c r="IHK1512"/>
      <c r="IHL1512"/>
      <c r="IHM1512"/>
      <c r="IHN1512"/>
      <c r="IHO1512"/>
      <c r="IHP1512"/>
      <c r="IHQ1512"/>
      <c r="IHR1512"/>
      <c r="IHS1512"/>
      <c r="IHT1512"/>
      <c r="IHU1512"/>
      <c r="IHV1512"/>
      <c r="IHW1512"/>
      <c r="IHX1512"/>
      <c r="IHY1512"/>
      <c r="IHZ1512"/>
      <c r="IIA1512"/>
      <c r="IIB1512"/>
      <c r="IIC1512"/>
      <c r="IID1512"/>
      <c r="IIE1512"/>
      <c r="IIF1512"/>
      <c r="IIG1512"/>
      <c r="IIH1512"/>
      <c r="III1512"/>
      <c r="IIJ1512"/>
      <c r="IIK1512"/>
      <c r="IIL1512"/>
      <c r="IIM1512"/>
      <c r="IIN1512"/>
      <c r="IIO1512"/>
      <c r="IIP1512"/>
      <c r="IIQ1512"/>
      <c r="IIR1512"/>
      <c r="IIS1512"/>
      <c r="IIT1512"/>
      <c r="IIU1512"/>
      <c r="IIV1512"/>
      <c r="IIW1512"/>
      <c r="IIX1512"/>
      <c r="IIY1512"/>
      <c r="IIZ1512"/>
      <c r="IJA1512"/>
      <c r="IJB1512"/>
      <c r="IJC1512"/>
      <c r="IJD1512"/>
      <c r="IJE1512"/>
      <c r="IJF1512"/>
      <c r="IJG1512"/>
      <c r="IJH1512"/>
      <c r="IJI1512"/>
      <c r="IJJ1512"/>
      <c r="IJK1512"/>
      <c r="IJL1512"/>
      <c r="IJM1512"/>
      <c r="IJN1512"/>
      <c r="IJO1512"/>
      <c r="IJP1512"/>
      <c r="IJQ1512"/>
      <c r="IJR1512"/>
      <c r="IJS1512"/>
      <c r="IJT1512"/>
      <c r="IJU1512"/>
      <c r="IJV1512"/>
      <c r="IJW1512"/>
      <c r="IJX1512"/>
      <c r="IJY1512"/>
      <c r="IJZ1512"/>
      <c r="IKA1512"/>
      <c r="IKB1512"/>
      <c r="IKC1512"/>
      <c r="IKD1512"/>
      <c r="IKE1512"/>
      <c r="IKF1512"/>
      <c r="IKG1512"/>
      <c r="IKH1512"/>
      <c r="IKI1512"/>
      <c r="IKJ1512"/>
      <c r="IKK1512"/>
      <c r="IKL1512"/>
      <c r="IKM1512"/>
      <c r="IKN1512"/>
      <c r="IKO1512"/>
      <c r="IKP1512"/>
      <c r="IKQ1512"/>
      <c r="IKR1512"/>
      <c r="IKS1512"/>
      <c r="IKT1512"/>
      <c r="IKU1512"/>
      <c r="IKV1512"/>
      <c r="IKW1512"/>
      <c r="IKX1512"/>
      <c r="IKY1512"/>
      <c r="IKZ1512"/>
      <c r="ILA1512"/>
      <c r="ILB1512"/>
      <c r="ILC1512"/>
      <c r="ILD1512"/>
      <c r="ILE1512"/>
      <c r="ILF1512"/>
      <c r="ILG1512"/>
      <c r="ILH1512"/>
      <c r="ILI1512"/>
      <c r="ILJ1512"/>
      <c r="ILK1512"/>
      <c r="ILL1512"/>
      <c r="ILM1512"/>
      <c r="ILN1512"/>
      <c r="ILO1512"/>
      <c r="ILP1512"/>
      <c r="ILQ1512"/>
      <c r="ILR1512"/>
      <c r="ILS1512"/>
      <c r="ILT1512"/>
      <c r="ILU1512"/>
      <c r="ILV1512"/>
      <c r="ILW1512"/>
      <c r="ILX1512"/>
      <c r="ILY1512"/>
      <c r="ILZ1512"/>
      <c r="IMA1512"/>
      <c r="IMB1512"/>
      <c r="IMC1512"/>
      <c r="IMD1512"/>
      <c r="IME1512"/>
      <c r="IMF1512"/>
      <c r="IMG1512"/>
      <c r="IMH1512"/>
      <c r="IMI1512"/>
      <c r="IMJ1512"/>
      <c r="IMK1512"/>
      <c r="IML1512"/>
      <c r="IMM1512"/>
      <c r="IMN1512"/>
      <c r="IMO1512"/>
      <c r="IMP1512"/>
      <c r="IMQ1512"/>
      <c r="IMR1512"/>
      <c r="IMS1512"/>
      <c r="IMT1512"/>
      <c r="IMU1512"/>
      <c r="IMV1512"/>
      <c r="IMW1512"/>
      <c r="IMX1512"/>
      <c r="IMY1512"/>
      <c r="IMZ1512"/>
      <c r="INA1512"/>
      <c r="INB1512"/>
      <c r="INC1512"/>
      <c r="IND1512"/>
      <c r="INE1512"/>
      <c r="INF1512"/>
      <c r="ING1512"/>
      <c r="INH1512"/>
      <c r="INI1512"/>
      <c r="INJ1512"/>
      <c r="INK1512"/>
      <c r="INL1512"/>
      <c r="INM1512"/>
      <c r="INN1512"/>
      <c r="INO1512"/>
      <c r="INP1512"/>
      <c r="INQ1512"/>
      <c r="INR1512"/>
      <c r="INS1512"/>
      <c r="INT1512"/>
      <c r="INU1512"/>
      <c r="INV1512"/>
      <c r="INW1512"/>
      <c r="INX1512"/>
      <c r="INY1512"/>
      <c r="INZ1512"/>
      <c r="IOA1512"/>
      <c r="IOB1512"/>
      <c r="IOC1512"/>
      <c r="IOD1512"/>
      <c r="IOE1512"/>
      <c r="IOF1512"/>
      <c r="IOG1512"/>
      <c r="IOH1512"/>
      <c r="IOI1512"/>
      <c r="IOJ1512"/>
      <c r="IOK1512"/>
      <c r="IOL1512"/>
      <c r="IOM1512"/>
      <c r="ION1512"/>
      <c r="IOO1512"/>
      <c r="IOP1512"/>
      <c r="IOQ1512"/>
      <c r="IOR1512"/>
      <c r="IOS1512"/>
      <c r="IOT1512"/>
      <c r="IOU1512"/>
      <c r="IOV1512"/>
      <c r="IOW1512"/>
      <c r="IOX1512"/>
      <c r="IOY1512"/>
      <c r="IOZ1512"/>
      <c r="IPA1512"/>
      <c r="IPB1512"/>
      <c r="IPC1512"/>
      <c r="IPD1512"/>
      <c r="IPE1512"/>
      <c r="IPF1512"/>
      <c r="IPG1512"/>
      <c r="IPH1512"/>
      <c r="IPI1512"/>
      <c r="IPJ1512"/>
      <c r="IPK1512"/>
      <c r="IPL1512"/>
      <c r="IPM1512"/>
      <c r="IPN1512"/>
      <c r="IPO1512"/>
      <c r="IPP1512"/>
      <c r="IPQ1512"/>
      <c r="IPR1512"/>
      <c r="IPS1512"/>
      <c r="IPT1512"/>
      <c r="IPU1512"/>
      <c r="IPV1512"/>
      <c r="IPW1512"/>
      <c r="IPX1512"/>
      <c r="IPY1512"/>
      <c r="IPZ1512"/>
      <c r="IQA1512"/>
      <c r="IQB1512"/>
      <c r="IQC1512"/>
      <c r="IQD1512"/>
      <c r="IQE1512"/>
      <c r="IQF1512"/>
      <c r="IQG1512"/>
      <c r="IQH1512"/>
      <c r="IQI1512"/>
      <c r="IQJ1512"/>
      <c r="IQK1512"/>
      <c r="IQL1512"/>
      <c r="IQM1512"/>
      <c r="IQN1512"/>
      <c r="IQO1512"/>
      <c r="IQP1512"/>
      <c r="IQQ1512"/>
      <c r="IQR1512"/>
      <c r="IQS1512"/>
      <c r="IQT1512"/>
      <c r="IQU1512"/>
      <c r="IQV1512"/>
      <c r="IQW1512"/>
      <c r="IQX1512"/>
      <c r="IQY1512"/>
      <c r="IQZ1512"/>
      <c r="IRA1512"/>
      <c r="IRB1512"/>
      <c r="IRC1512"/>
      <c r="IRD1512"/>
      <c r="IRE1512"/>
      <c r="IRF1512"/>
      <c r="IRG1512"/>
      <c r="IRH1512"/>
      <c r="IRI1512"/>
      <c r="IRJ1512"/>
      <c r="IRK1512"/>
      <c r="IRL1512"/>
      <c r="IRM1512"/>
      <c r="IRN1512"/>
      <c r="IRO1512"/>
      <c r="IRP1512"/>
      <c r="IRQ1512"/>
      <c r="IRR1512"/>
      <c r="IRS1512"/>
      <c r="IRT1512"/>
      <c r="IRU1512"/>
      <c r="IRV1512"/>
      <c r="IRW1512"/>
      <c r="IRX1512"/>
      <c r="IRY1512"/>
      <c r="IRZ1512"/>
      <c r="ISA1512"/>
      <c r="ISB1512"/>
      <c r="ISC1512"/>
      <c r="ISD1512"/>
      <c r="ISE1512"/>
      <c r="ISF1512"/>
      <c r="ISG1512"/>
      <c r="ISH1512"/>
      <c r="ISI1512"/>
      <c r="ISJ1512"/>
      <c r="ISK1512"/>
      <c r="ISL1512"/>
      <c r="ISM1512"/>
      <c r="ISN1512"/>
      <c r="ISO1512"/>
      <c r="ISP1512"/>
      <c r="ISQ1512"/>
      <c r="ISR1512"/>
      <c r="ISS1512"/>
      <c r="IST1512"/>
      <c r="ISU1512"/>
      <c r="ISV1512"/>
      <c r="ISW1512"/>
      <c r="ISX1512"/>
      <c r="ISY1512"/>
      <c r="ISZ1512"/>
      <c r="ITA1512"/>
      <c r="ITB1512"/>
      <c r="ITC1512"/>
      <c r="ITD1512"/>
      <c r="ITE1512"/>
      <c r="ITF1512"/>
      <c r="ITG1512"/>
      <c r="ITH1512"/>
      <c r="ITI1512"/>
      <c r="ITJ1512"/>
      <c r="ITK1512"/>
      <c r="ITL1512"/>
      <c r="ITM1512"/>
      <c r="ITN1512"/>
      <c r="ITO1512"/>
      <c r="ITP1512"/>
      <c r="ITQ1512"/>
      <c r="ITR1512"/>
      <c r="ITS1512"/>
      <c r="ITT1512"/>
      <c r="ITU1512"/>
      <c r="ITV1512"/>
      <c r="ITW1512"/>
      <c r="ITX1512"/>
      <c r="ITY1512"/>
      <c r="ITZ1512"/>
      <c r="IUA1512"/>
      <c r="IUB1512"/>
      <c r="IUC1512"/>
      <c r="IUD1512"/>
      <c r="IUE1512"/>
      <c r="IUF1512"/>
      <c r="IUG1512"/>
      <c r="IUH1512"/>
      <c r="IUI1512"/>
      <c r="IUJ1512"/>
      <c r="IUK1512"/>
      <c r="IUL1512"/>
      <c r="IUM1512"/>
      <c r="IUN1512"/>
      <c r="IUO1512"/>
      <c r="IUP1512"/>
      <c r="IUQ1512"/>
      <c r="IUR1512"/>
      <c r="IUS1512"/>
      <c r="IUT1512"/>
      <c r="IUU1512"/>
      <c r="IUV1512"/>
      <c r="IUW1512"/>
      <c r="IUX1512"/>
      <c r="IUY1512"/>
      <c r="IUZ1512"/>
      <c r="IVA1512"/>
      <c r="IVB1512"/>
      <c r="IVC1512"/>
      <c r="IVD1512"/>
      <c r="IVE1512"/>
      <c r="IVF1512"/>
      <c r="IVG1512"/>
      <c r="IVH1512"/>
      <c r="IVI1512"/>
      <c r="IVJ1512"/>
      <c r="IVK1512"/>
      <c r="IVL1512"/>
      <c r="IVM1512"/>
      <c r="IVN1512"/>
      <c r="IVO1512"/>
      <c r="IVP1512"/>
      <c r="IVQ1512"/>
      <c r="IVR1512"/>
      <c r="IVS1512"/>
      <c r="IVT1512"/>
      <c r="IVU1512"/>
      <c r="IVV1512"/>
      <c r="IVW1512"/>
      <c r="IVX1512"/>
      <c r="IVY1512"/>
      <c r="IVZ1512"/>
      <c r="IWA1512"/>
      <c r="IWB1512"/>
      <c r="IWC1512"/>
      <c r="IWD1512"/>
      <c r="IWE1512"/>
      <c r="IWF1512"/>
      <c r="IWG1512"/>
      <c r="IWH1512"/>
      <c r="IWI1512"/>
      <c r="IWJ1512"/>
      <c r="IWK1512"/>
      <c r="IWL1512"/>
      <c r="IWM1512"/>
      <c r="IWN1512"/>
      <c r="IWO1512"/>
      <c r="IWP1512"/>
      <c r="IWQ1512"/>
      <c r="IWR1512"/>
      <c r="IWS1512"/>
      <c r="IWT1512"/>
      <c r="IWU1512"/>
      <c r="IWV1512"/>
      <c r="IWW1512"/>
      <c r="IWX1512"/>
      <c r="IWY1512"/>
      <c r="IWZ1512"/>
      <c r="IXA1512"/>
      <c r="IXB1512"/>
      <c r="IXC1512"/>
      <c r="IXD1512"/>
      <c r="IXE1512"/>
      <c r="IXF1512"/>
      <c r="IXG1512"/>
      <c r="IXH1512"/>
      <c r="IXI1512"/>
      <c r="IXJ1512"/>
      <c r="IXK1512"/>
      <c r="IXL1512"/>
      <c r="IXM1512"/>
      <c r="IXN1512"/>
      <c r="IXO1512"/>
      <c r="IXP1512"/>
      <c r="IXQ1512"/>
      <c r="IXR1512"/>
      <c r="IXS1512"/>
      <c r="IXT1512"/>
      <c r="IXU1512"/>
      <c r="IXV1512"/>
      <c r="IXW1512"/>
      <c r="IXX1512"/>
      <c r="IXY1512"/>
      <c r="IXZ1512"/>
      <c r="IYA1512"/>
      <c r="IYB1512"/>
      <c r="IYC1512"/>
      <c r="IYD1512"/>
      <c r="IYE1512"/>
      <c r="IYF1512"/>
      <c r="IYG1512"/>
      <c r="IYH1512"/>
      <c r="IYI1512"/>
      <c r="IYJ1512"/>
      <c r="IYK1512"/>
      <c r="IYL1512"/>
      <c r="IYM1512"/>
      <c r="IYN1512"/>
      <c r="IYO1512"/>
      <c r="IYP1512"/>
      <c r="IYQ1512"/>
      <c r="IYR1512"/>
      <c r="IYS1512"/>
      <c r="IYT1512"/>
      <c r="IYU1512"/>
      <c r="IYV1512"/>
      <c r="IYW1512"/>
      <c r="IYX1512"/>
      <c r="IYY1512"/>
      <c r="IYZ1512"/>
      <c r="IZA1512"/>
      <c r="IZB1512"/>
      <c r="IZC1512"/>
      <c r="IZD1512"/>
      <c r="IZE1512"/>
      <c r="IZF1512"/>
      <c r="IZG1512"/>
      <c r="IZH1512"/>
      <c r="IZI1512"/>
      <c r="IZJ1512"/>
      <c r="IZK1512"/>
      <c r="IZL1512"/>
      <c r="IZM1512"/>
      <c r="IZN1512"/>
      <c r="IZO1512"/>
      <c r="IZP1512"/>
      <c r="IZQ1512"/>
      <c r="IZR1512"/>
      <c r="IZS1512"/>
      <c r="IZT1512"/>
      <c r="IZU1512"/>
      <c r="IZV1512"/>
      <c r="IZW1512"/>
      <c r="IZX1512"/>
      <c r="IZY1512"/>
      <c r="IZZ1512"/>
      <c r="JAA1512"/>
      <c r="JAB1512"/>
      <c r="JAC1512"/>
      <c r="JAD1512"/>
      <c r="JAE1512"/>
      <c r="JAF1512"/>
      <c r="JAG1512"/>
      <c r="JAH1512"/>
      <c r="JAI1512"/>
      <c r="JAJ1512"/>
      <c r="JAK1512"/>
      <c r="JAL1512"/>
      <c r="JAM1512"/>
      <c r="JAN1512"/>
      <c r="JAO1512"/>
      <c r="JAP1512"/>
      <c r="JAQ1512"/>
      <c r="JAR1512"/>
      <c r="JAS1512"/>
      <c r="JAT1512"/>
      <c r="JAU1512"/>
      <c r="JAV1512"/>
      <c r="JAW1512"/>
      <c r="JAX1512"/>
      <c r="JAY1512"/>
      <c r="JAZ1512"/>
      <c r="JBA1512"/>
      <c r="JBB1512"/>
      <c r="JBC1512"/>
      <c r="JBD1512"/>
      <c r="JBE1512"/>
      <c r="JBF1512"/>
      <c r="JBG1512"/>
      <c r="JBH1512"/>
      <c r="JBI1512"/>
      <c r="JBJ1512"/>
      <c r="JBK1512"/>
      <c r="JBL1512"/>
      <c r="JBM1512"/>
      <c r="JBN1512"/>
      <c r="JBO1512"/>
      <c r="JBP1512"/>
      <c r="JBQ1512"/>
      <c r="JBR1512"/>
      <c r="JBS1512"/>
      <c r="JBT1512"/>
      <c r="JBU1512"/>
      <c r="JBV1512"/>
      <c r="JBW1512"/>
      <c r="JBX1512"/>
      <c r="JBY1512"/>
      <c r="JBZ1512"/>
      <c r="JCA1512"/>
      <c r="JCB1512"/>
      <c r="JCC1512"/>
      <c r="JCD1512"/>
      <c r="JCE1512"/>
      <c r="JCF1512"/>
      <c r="JCG1512"/>
      <c r="JCH1512"/>
      <c r="JCI1512"/>
      <c r="JCJ1512"/>
      <c r="JCK1512"/>
      <c r="JCL1512"/>
      <c r="JCM1512"/>
      <c r="JCN1512"/>
      <c r="JCO1512"/>
      <c r="JCP1512"/>
      <c r="JCQ1512"/>
      <c r="JCR1512"/>
      <c r="JCS1512"/>
      <c r="JCT1512"/>
      <c r="JCU1512"/>
      <c r="JCV1512"/>
      <c r="JCW1512"/>
      <c r="JCX1512"/>
      <c r="JCY1512"/>
      <c r="JCZ1512"/>
      <c r="JDA1512"/>
      <c r="JDB1512"/>
      <c r="JDC1512"/>
      <c r="JDD1512"/>
      <c r="JDE1512"/>
      <c r="JDF1512"/>
      <c r="JDG1512"/>
      <c r="JDH1512"/>
      <c r="JDI1512"/>
      <c r="JDJ1512"/>
      <c r="JDK1512"/>
      <c r="JDL1512"/>
      <c r="JDM1512"/>
      <c r="JDN1512"/>
      <c r="JDO1512"/>
      <c r="JDP1512"/>
      <c r="JDQ1512"/>
      <c r="JDR1512"/>
      <c r="JDS1512"/>
      <c r="JDT1512"/>
      <c r="JDU1512"/>
      <c r="JDV1512"/>
      <c r="JDW1512"/>
      <c r="JDX1512"/>
      <c r="JDY1512"/>
      <c r="JDZ1512"/>
      <c r="JEA1512"/>
      <c r="JEB1512"/>
      <c r="JEC1512"/>
      <c r="JED1512"/>
      <c r="JEE1512"/>
      <c r="JEF1512"/>
      <c r="JEG1512"/>
      <c r="JEH1512"/>
      <c r="JEI1512"/>
      <c r="JEJ1512"/>
      <c r="JEK1512"/>
      <c r="JEL1512"/>
      <c r="JEM1512"/>
      <c r="JEN1512"/>
      <c r="JEO1512"/>
      <c r="JEP1512"/>
      <c r="JEQ1512"/>
      <c r="JER1512"/>
      <c r="JES1512"/>
      <c r="JET1512"/>
      <c r="JEU1512"/>
      <c r="JEV1512"/>
      <c r="JEW1512"/>
      <c r="JEX1512"/>
      <c r="JEY1512"/>
      <c r="JEZ1512"/>
      <c r="JFA1512"/>
      <c r="JFB1512"/>
      <c r="JFC1512"/>
      <c r="JFD1512"/>
      <c r="JFE1512"/>
      <c r="JFF1512"/>
      <c r="JFG1512"/>
      <c r="JFH1512"/>
      <c r="JFI1512"/>
      <c r="JFJ1512"/>
      <c r="JFK1512"/>
      <c r="JFL1512"/>
      <c r="JFM1512"/>
      <c r="JFN1512"/>
      <c r="JFO1512"/>
      <c r="JFP1512"/>
      <c r="JFQ1512"/>
      <c r="JFR1512"/>
      <c r="JFS1512"/>
      <c r="JFT1512"/>
      <c r="JFU1512"/>
      <c r="JFV1512"/>
      <c r="JFW1512"/>
      <c r="JFX1512"/>
      <c r="JFY1512"/>
      <c r="JFZ1512"/>
      <c r="JGA1512"/>
      <c r="JGB1512"/>
      <c r="JGC1512"/>
      <c r="JGD1512"/>
      <c r="JGE1512"/>
      <c r="JGF1512"/>
      <c r="JGG1512"/>
      <c r="JGH1512"/>
      <c r="JGI1512"/>
      <c r="JGJ1512"/>
      <c r="JGK1512"/>
      <c r="JGL1512"/>
      <c r="JGM1512"/>
      <c r="JGN1512"/>
      <c r="JGO1512"/>
      <c r="JGP1512"/>
      <c r="JGQ1512"/>
      <c r="JGR1512"/>
      <c r="JGS1512"/>
      <c r="JGT1512"/>
      <c r="JGU1512"/>
      <c r="JGV1512"/>
      <c r="JGW1512"/>
      <c r="JGX1512"/>
      <c r="JGY1512"/>
      <c r="JGZ1512"/>
      <c r="JHA1512"/>
      <c r="JHB1512"/>
      <c r="JHC1512"/>
      <c r="JHD1512"/>
      <c r="JHE1512"/>
      <c r="JHF1512"/>
      <c r="JHG1512"/>
      <c r="JHH1512"/>
      <c r="JHI1512"/>
      <c r="JHJ1512"/>
      <c r="JHK1512"/>
      <c r="JHL1512"/>
      <c r="JHM1512"/>
      <c r="JHN1512"/>
      <c r="JHO1512"/>
      <c r="JHP1512"/>
      <c r="JHQ1512"/>
      <c r="JHR1512"/>
      <c r="JHS1512"/>
      <c r="JHT1512"/>
      <c r="JHU1512"/>
      <c r="JHV1512"/>
      <c r="JHW1512"/>
      <c r="JHX1512"/>
      <c r="JHY1512"/>
      <c r="JHZ1512"/>
      <c r="JIA1512"/>
      <c r="JIB1512"/>
      <c r="JIC1512"/>
      <c r="JID1512"/>
      <c r="JIE1512"/>
      <c r="JIF1512"/>
      <c r="JIG1512"/>
      <c r="JIH1512"/>
      <c r="JII1512"/>
      <c r="JIJ1512"/>
      <c r="JIK1512"/>
      <c r="JIL1512"/>
      <c r="JIM1512"/>
      <c r="JIN1512"/>
      <c r="JIO1512"/>
      <c r="JIP1512"/>
      <c r="JIQ1512"/>
      <c r="JIR1512"/>
      <c r="JIS1512"/>
      <c r="JIT1512"/>
      <c r="JIU1512"/>
      <c r="JIV1512"/>
      <c r="JIW1512"/>
      <c r="JIX1512"/>
      <c r="JIY1512"/>
      <c r="JIZ1512"/>
      <c r="JJA1512"/>
      <c r="JJB1512"/>
      <c r="JJC1512"/>
      <c r="JJD1512"/>
      <c r="JJE1512"/>
      <c r="JJF1512"/>
      <c r="JJG1512"/>
      <c r="JJH1512"/>
      <c r="JJI1512"/>
      <c r="JJJ1512"/>
      <c r="JJK1512"/>
      <c r="JJL1512"/>
      <c r="JJM1512"/>
      <c r="JJN1512"/>
      <c r="JJO1512"/>
      <c r="JJP1512"/>
      <c r="JJQ1512"/>
      <c r="JJR1512"/>
      <c r="JJS1512"/>
      <c r="JJT1512"/>
      <c r="JJU1512"/>
      <c r="JJV1512"/>
      <c r="JJW1512"/>
      <c r="JJX1512"/>
      <c r="JJY1512"/>
      <c r="JJZ1512"/>
      <c r="JKA1512"/>
      <c r="JKB1512"/>
      <c r="JKC1512"/>
      <c r="JKD1512"/>
      <c r="JKE1512"/>
      <c r="JKF1512"/>
      <c r="JKG1512"/>
      <c r="JKH1512"/>
      <c r="JKI1512"/>
      <c r="JKJ1512"/>
      <c r="JKK1512"/>
      <c r="JKL1512"/>
      <c r="JKM1512"/>
      <c r="JKN1512"/>
      <c r="JKO1512"/>
      <c r="JKP1512"/>
      <c r="JKQ1512"/>
      <c r="JKR1512"/>
      <c r="JKS1512"/>
      <c r="JKT1512"/>
      <c r="JKU1512"/>
      <c r="JKV1512"/>
      <c r="JKW1512"/>
      <c r="JKX1512"/>
      <c r="JKY1512"/>
      <c r="JKZ1512"/>
      <c r="JLA1512"/>
      <c r="JLB1512"/>
      <c r="JLC1512"/>
      <c r="JLD1512"/>
      <c r="JLE1512"/>
      <c r="JLF1512"/>
      <c r="JLG1512"/>
      <c r="JLH1512"/>
      <c r="JLI1512"/>
      <c r="JLJ1512"/>
      <c r="JLK1512"/>
      <c r="JLL1512"/>
      <c r="JLM1512"/>
      <c r="JLN1512"/>
      <c r="JLO1512"/>
      <c r="JLP1512"/>
      <c r="JLQ1512"/>
      <c r="JLR1512"/>
      <c r="JLS1512"/>
      <c r="JLT1512"/>
      <c r="JLU1512"/>
      <c r="JLV1512"/>
      <c r="JLW1512"/>
      <c r="JLX1512"/>
      <c r="JLY1512"/>
      <c r="JLZ1512"/>
      <c r="JMA1512"/>
      <c r="JMB1512"/>
      <c r="JMC1512"/>
      <c r="JMD1512"/>
      <c r="JME1512"/>
      <c r="JMF1512"/>
      <c r="JMG1512"/>
      <c r="JMH1512"/>
      <c r="JMI1512"/>
      <c r="JMJ1512"/>
      <c r="JMK1512"/>
      <c r="JML1512"/>
      <c r="JMM1512"/>
      <c r="JMN1512"/>
      <c r="JMO1512"/>
      <c r="JMP1512"/>
      <c r="JMQ1512"/>
      <c r="JMR1512"/>
      <c r="JMS1512"/>
      <c r="JMT1512"/>
      <c r="JMU1512"/>
      <c r="JMV1512"/>
      <c r="JMW1512"/>
      <c r="JMX1512"/>
      <c r="JMY1512"/>
      <c r="JMZ1512"/>
      <c r="JNA1512"/>
      <c r="JNB1512"/>
      <c r="JNC1512"/>
      <c r="JND1512"/>
      <c r="JNE1512"/>
      <c r="JNF1512"/>
      <c r="JNG1512"/>
      <c r="JNH1512"/>
      <c r="JNI1512"/>
      <c r="JNJ1512"/>
      <c r="JNK1512"/>
      <c r="JNL1512"/>
      <c r="JNM1512"/>
      <c r="JNN1512"/>
      <c r="JNO1512"/>
      <c r="JNP1512"/>
      <c r="JNQ1512"/>
      <c r="JNR1512"/>
      <c r="JNS1512"/>
      <c r="JNT1512"/>
      <c r="JNU1512"/>
      <c r="JNV1512"/>
      <c r="JNW1512"/>
      <c r="JNX1512"/>
      <c r="JNY1512"/>
      <c r="JNZ1512"/>
      <c r="JOA1512"/>
      <c r="JOB1512"/>
      <c r="JOC1512"/>
      <c r="JOD1512"/>
      <c r="JOE1512"/>
      <c r="JOF1512"/>
      <c r="JOG1512"/>
      <c r="JOH1512"/>
      <c r="JOI1512"/>
      <c r="JOJ1512"/>
      <c r="JOK1512"/>
      <c r="JOL1512"/>
      <c r="JOM1512"/>
      <c r="JON1512"/>
      <c r="JOO1512"/>
      <c r="JOP1512"/>
      <c r="JOQ1512"/>
      <c r="JOR1512"/>
      <c r="JOS1512"/>
      <c r="JOT1512"/>
      <c r="JOU1512"/>
      <c r="JOV1512"/>
      <c r="JOW1512"/>
      <c r="JOX1512"/>
      <c r="JOY1512"/>
      <c r="JOZ1512"/>
      <c r="JPA1512"/>
      <c r="JPB1512"/>
      <c r="JPC1512"/>
      <c r="JPD1512"/>
      <c r="JPE1512"/>
      <c r="JPF1512"/>
      <c r="JPG1512"/>
      <c r="JPH1512"/>
      <c r="JPI1512"/>
      <c r="JPJ1512"/>
      <c r="JPK1512"/>
      <c r="JPL1512"/>
      <c r="JPM1512"/>
      <c r="JPN1512"/>
      <c r="JPO1512"/>
      <c r="JPP1512"/>
      <c r="JPQ1512"/>
      <c r="JPR1512"/>
      <c r="JPS1512"/>
      <c r="JPT1512"/>
      <c r="JPU1512"/>
      <c r="JPV1512"/>
      <c r="JPW1512"/>
      <c r="JPX1512"/>
      <c r="JPY1512"/>
      <c r="JPZ1512"/>
      <c r="JQA1512"/>
      <c r="JQB1512"/>
      <c r="JQC1512"/>
      <c r="JQD1512"/>
      <c r="JQE1512"/>
      <c r="JQF1512"/>
      <c r="JQG1512"/>
      <c r="JQH1512"/>
      <c r="JQI1512"/>
      <c r="JQJ1512"/>
      <c r="JQK1512"/>
      <c r="JQL1512"/>
      <c r="JQM1512"/>
      <c r="JQN1512"/>
      <c r="JQO1512"/>
      <c r="JQP1512"/>
      <c r="JQQ1512"/>
      <c r="JQR1512"/>
      <c r="JQS1512"/>
      <c r="JQT1512"/>
      <c r="JQU1512"/>
      <c r="JQV1512"/>
      <c r="JQW1512"/>
      <c r="JQX1512"/>
      <c r="JQY1512"/>
      <c r="JQZ1512"/>
      <c r="JRA1512"/>
      <c r="JRB1512"/>
      <c r="JRC1512"/>
      <c r="JRD1512"/>
      <c r="JRE1512"/>
      <c r="JRF1512"/>
      <c r="JRG1512"/>
      <c r="JRH1512"/>
      <c r="JRI1512"/>
      <c r="JRJ1512"/>
      <c r="JRK1512"/>
      <c r="JRL1512"/>
      <c r="JRM1512"/>
      <c r="JRN1512"/>
      <c r="JRO1512"/>
      <c r="JRP1512"/>
      <c r="JRQ1512"/>
      <c r="JRR1512"/>
      <c r="JRS1512"/>
      <c r="JRT1512"/>
      <c r="JRU1512"/>
      <c r="JRV1512"/>
      <c r="JRW1512"/>
      <c r="JRX1512"/>
      <c r="JRY1512"/>
      <c r="JRZ1512"/>
      <c r="JSA1512"/>
      <c r="JSB1512"/>
      <c r="JSC1512"/>
      <c r="JSD1512"/>
      <c r="JSE1512"/>
      <c r="JSF1512"/>
      <c r="JSG1512"/>
      <c r="JSH1512"/>
      <c r="JSI1512"/>
      <c r="JSJ1512"/>
      <c r="JSK1512"/>
      <c r="JSL1512"/>
      <c r="JSM1512"/>
      <c r="JSN1512"/>
      <c r="JSO1512"/>
      <c r="JSP1512"/>
      <c r="JSQ1512"/>
      <c r="JSR1512"/>
      <c r="JSS1512"/>
      <c r="JST1512"/>
      <c r="JSU1512"/>
      <c r="JSV1512"/>
      <c r="JSW1512"/>
      <c r="JSX1512"/>
      <c r="JSY1512"/>
      <c r="JSZ1512"/>
      <c r="JTA1512"/>
      <c r="JTB1512"/>
      <c r="JTC1512"/>
      <c r="JTD1512"/>
      <c r="JTE1512"/>
      <c r="JTF1512"/>
      <c r="JTG1512"/>
      <c r="JTH1512"/>
      <c r="JTI1512"/>
      <c r="JTJ1512"/>
      <c r="JTK1512"/>
      <c r="JTL1512"/>
      <c r="JTM1512"/>
      <c r="JTN1512"/>
      <c r="JTO1512"/>
      <c r="JTP1512"/>
      <c r="JTQ1512"/>
      <c r="JTR1512"/>
      <c r="JTS1512"/>
      <c r="JTT1512"/>
      <c r="JTU1512"/>
      <c r="JTV1512"/>
      <c r="JTW1512"/>
      <c r="JTX1512"/>
      <c r="JTY1512"/>
      <c r="JTZ1512"/>
      <c r="JUA1512"/>
      <c r="JUB1512"/>
      <c r="JUC1512"/>
      <c r="JUD1512"/>
      <c r="JUE1512"/>
      <c r="JUF1512"/>
      <c r="JUG1512"/>
      <c r="JUH1512"/>
      <c r="JUI1512"/>
      <c r="JUJ1512"/>
      <c r="JUK1512"/>
      <c r="JUL1512"/>
      <c r="JUM1512"/>
      <c r="JUN1512"/>
      <c r="JUO1512"/>
      <c r="JUP1512"/>
      <c r="JUQ1512"/>
      <c r="JUR1512"/>
      <c r="JUS1512"/>
      <c r="JUT1512"/>
      <c r="JUU1512"/>
      <c r="JUV1512"/>
      <c r="JUW1512"/>
      <c r="JUX1512"/>
      <c r="JUY1512"/>
      <c r="JUZ1512"/>
      <c r="JVA1512"/>
      <c r="JVB1512"/>
      <c r="JVC1512"/>
      <c r="JVD1512"/>
      <c r="JVE1512"/>
      <c r="JVF1512"/>
      <c r="JVG1512"/>
      <c r="JVH1512"/>
      <c r="JVI1512"/>
      <c r="JVJ1512"/>
      <c r="JVK1512"/>
      <c r="JVL1512"/>
      <c r="JVM1512"/>
      <c r="JVN1512"/>
      <c r="JVO1512"/>
      <c r="JVP1512"/>
      <c r="JVQ1512"/>
      <c r="JVR1512"/>
      <c r="JVS1512"/>
      <c r="JVT1512"/>
      <c r="JVU1512"/>
      <c r="JVV1512"/>
      <c r="JVW1512"/>
      <c r="JVX1512"/>
      <c r="JVY1512"/>
      <c r="JVZ1512"/>
      <c r="JWA1512"/>
      <c r="JWB1512"/>
      <c r="JWC1512"/>
      <c r="JWD1512"/>
      <c r="JWE1512"/>
      <c r="JWF1512"/>
      <c r="JWG1512"/>
      <c r="JWH1512"/>
      <c r="JWI1512"/>
      <c r="JWJ1512"/>
      <c r="JWK1512"/>
      <c r="JWL1512"/>
      <c r="JWM1512"/>
      <c r="JWN1512"/>
      <c r="JWO1512"/>
      <c r="JWP1512"/>
      <c r="JWQ1512"/>
      <c r="JWR1512"/>
      <c r="JWS1512"/>
      <c r="JWT1512"/>
      <c r="JWU1512"/>
      <c r="JWV1512"/>
      <c r="JWW1512"/>
      <c r="JWX1512"/>
      <c r="JWY1512"/>
      <c r="JWZ1512"/>
      <c r="JXA1512"/>
      <c r="JXB1512"/>
      <c r="JXC1512"/>
      <c r="JXD1512"/>
      <c r="JXE1512"/>
      <c r="JXF1512"/>
      <c r="JXG1512"/>
      <c r="JXH1512"/>
      <c r="JXI1512"/>
      <c r="JXJ1512"/>
      <c r="JXK1512"/>
      <c r="JXL1512"/>
      <c r="JXM1512"/>
      <c r="JXN1512"/>
      <c r="JXO1512"/>
      <c r="JXP1512"/>
      <c r="JXQ1512"/>
      <c r="JXR1512"/>
      <c r="JXS1512"/>
      <c r="JXT1512"/>
      <c r="JXU1512"/>
      <c r="JXV1512"/>
      <c r="JXW1512"/>
      <c r="JXX1512"/>
      <c r="JXY1512"/>
      <c r="JXZ1512"/>
      <c r="JYA1512"/>
      <c r="JYB1512"/>
      <c r="JYC1512"/>
      <c r="JYD1512"/>
      <c r="JYE1512"/>
      <c r="JYF1512"/>
      <c r="JYG1512"/>
      <c r="JYH1512"/>
      <c r="JYI1512"/>
      <c r="JYJ1512"/>
      <c r="JYK1512"/>
      <c r="JYL1512"/>
      <c r="JYM1512"/>
      <c r="JYN1512"/>
      <c r="JYO1512"/>
      <c r="JYP1512"/>
      <c r="JYQ1512"/>
      <c r="JYR1512"/>
      <c r="JYS1512"/>
      <c r="JYT1512"/>
      <c r="JYU1512"/>
      <c r="JYV1512"/>
      <c r="JYW1512"/>
      <c r="JYX1512"/>
      <c r="JYY1512"/>
      <c r="JYZ1512"/>
      <c r="JZA1512"/>
      <c r="JZB1512"/>
      <c r="JZC1512"/>
      <c r="JZD1512"/>
      <c r="JZE1512"/>
      <c r="JZF1512"/>
      <c r="JZG1512"/>
      <c r="JZH1512"/>
      <c r="JZI1512"/>
      <c r="JZJ1512"/>
      <c r="JZK1512"/>
      <c r="JZL1512"/>
      <c r="JZM1512"/>
      <c r="JZN1512"/>
      <c r="JZO1512"/>
      <c r="JZP1512"/>
      <c r="JZQ1512"/>
      <c r="JZR1512"/>
      <c r="JZS1512"/>
      <c r="JZT1512"/>
      <c r="JZU1512"/>
      <c r="JZV1512"/>
      <c r="JZW1512"/>
      <c r="JZX1512"/>
      <c r="JZY1512"/>
      <c r="JZZ1512"/>
      <c r="KAA1512"/>
      <c r="KAB1512"/>
      <c r="KAC1512"/>
      <c r="KAD1512"/>
      <c r="KAE1512"/>
      <c r="KAF1512"/>
      <c r="KAG1512"/>
      <c r="KAH1512"/>
      <c r="KAI1512"/>
      <c r="KAJ1512"/>
      <c r="KAK1512"/>
      <c r="KAL1512"/>
      <c r="KAM1512"/>
      <c r="KAN1512"/>
      <c r="KAO1512"/>
      <c r="KAP1512"/>
      <c r="KAQ1512"/>
      <c r="KAR1512"/>
      <c r="KAS1512"/>
      <c r="KAT1512"/>
      <c r="KAU1512"/>
      <c r="KAV1512"/>
      <c r="KAW1512"/>
      <c r="KAX1512"/>
      <c r="KAY1512"/>
      <c r="KAZ1512"/>
      <c r="KBA1512"/>
      <c r="KBB1512"/>
      <c r="KBC1512"/>
      <c r="KBD1512"/>
      <c r="KBE1512"/>
      <c r="KBF1512"/>
      <c r="KBG1512"/>
      <c r="KBH1512"/>
      <c r="KBI1512"/>
      <c r="KBJ1512"/>
      <c r="KBK1512"/>
      <c r="KBL1512"/>
      <c r="KBM1512"/>
      <c r="KBN1512"/>
      <c r="KBO1512"/>
      <c r="KBP1512"/>
      <c r="KBQ1512"/>
      <c r="KBR1512"/>
      <c r="KBS1512"/>
      <c r="KBT1512"/>
      <c r="KBU1512"/>
      <c r="KBV1512"/>
      <c r="KBW1512"/>
      <c r="KBX1512"/>
      <c r="KBY1512"/>
      <c r="KBZ1512"/>
      <c r="KCA1512"/>
      <c r="KCB1512"/>
      <c r="KCC1512"/>
      <c r="KCD1512"/>
      <c r="KCE1512"/>
      <c r="KCF1512"/>
      <c r="KCG1512"/>
      <c r="KCH1512"/>
      <c r="KCI1512"/>
      <c r="KCJ1512"/>
      <c r="KCK1512"/>
      <c r="KCL1512"/>
      <c r="KCM1512"/>
      <c r="KCN1512"/>
      <c r="KCO1512"/>
      <c r="KCP1512"/>
      <c r="KCQ1512"/>
      <c r="KCR1512"/>
      <c r="KCS1512"/>
      <c r="KCT1512"/>
      <c r="KCU1512"/>
      <c r="KCV1512"/>
      <c r="KCW1512"/>
      <c r="KCX1512"/>
      <c r="KCY1512"/>
      <c r="KCZ1512"/>
      <c r="KDA1512"/>
      <c r="KDB1512"/>
      <c r="KDC1512"/>
      <c r="KDD1512"/>
      <c r="KDE1512"/>
      <c r="KDF1512"/>
      <c r="KDG1512"/>
      <c r="KDH1512"/>
      <c r="KDI1512"/>
      <c r="KDJ1512"/>
      <c r="KDK1512"/>
      <c r="KDL1512"/>
      <c r="KDM1512"/>
      <c r="KDN1512"/>
      <c r="KDO1512"/>
      <c r="KDP1512"/>
      <c r="KDQ1512"/>
      <c r="KDR1512"/>
      <c r="KDS1512"/>
      <c r="KDT1512"/>
      <c r="KDU1512"/>
      <c r="KDV1512"/>
      <c r="KDW1512"/>
      <c r="KDX1512"/>
      <c r="KDY1512"/>
      <c r="KDZ1512"/>
      <c r="KEA1512"/>
      <c r="KEB1512"/>
      <c r="KEC1512"/>
      <c r="KED1512"/>
      <c r="KEE1512"/>
      <c r="KEF1512"/>
      <c r="KEG1512"/>
      <c r="KEH1512"/>
      <c r="KEI1512"/>
      <c r="KEJ1512"/>
      <c r="KEK1512"/>
      <c r="KEL1512"/>
      <c r="KEM1512"/>
      <c r="KEN1512"/>
      <c r="KEO1512"/>
      <c r="KEP1512"/>
      <c r="KEQ1512"/>
      <c r="KER1512"/>
      <c r="KES1512"/>
      <c r="KET1512"/>
      <c r="KEU1512"/>
      <c r="KEV1512"/>
      <c r="KEW1512"/>
      <c r="KEX1512"/>
      <c r="KEY1512"/>
      <c r="KEZ1512"/>
      <c r="KFA1512"/>
      <c r="KFB1512"/>
      <c r="KFC1512"/>
      <c r="KFD1512"/>
      <c r="KFE1512"/>
      <c r="KFF1512"/>
      <c r="KFG1512"/>
      <c r="KFH1512"/>
      <c r="KFI1512"/>
      <c r="KFJ1512"/>
      <c r="KFK1512"/>
      <c r="KFL1512"/>
      <c r="KFM1512"/>
      <c r="KFN1512"/>
      <c r="KFO1512"/>
      <c r="KFP1512"/>
      <c r="KFQ1512"/>
      <c r="KFR1512"/>
      <c r="KFS1512"/>
      <c r="KFT1512"/>
      <c r="KFU1512"/>
      <c r="KFV1512"/>
      <c r="KFW1512"/>
      <c r="KFX1512"/>
      <c r="KFY1512"/>
      <c r="KFZ1512"/>
      <c r="KGA1512"/>
      <c r="KGB1512"/>
      <c r="KGC1512"/>
      <c r="KGD1512"/>
      <c r="KGE1512"/>
      <c r="KGF1512"/>
      <c r="KGG1512"/>
      <c r="KGH1512"/>
      <c r="KGI1512"/>
      <c r="KGJ1512"/>
      <c r="KGK1512"/>
      <c r="KGL1512"/>
      <c r="KGM1512"/>
      <c r="KGN1512"/>
      <c r="KGO1512"/>
      <c r="KGP1512"/>
      <c r="KGQ1512"/>
      <c r="KGR1512"/>
      <c r="KGS1512"/>
      <c r="KGT1512"/>
      <c r="KGU1512"/>
      <c r="KGV1512"/>
      <c r="KGW1512"/>
      <c r="KGX1512"/>
      <c r="KGY1512"/>
      <c r="KGZ1512"/>
      <c r="KHA1512"/>
      <c r="KHB1512"/>
      <c r="KHC1512"/>
      <c r="KHD1512"/>
      <c r="KHE1512"/>
      <c r="KHF1512"/>
      <c r="KHG1512"/>
      <c r="KHH1512"/>
      <c r="KHI1512"/>
      <c r="KHJ1512"/>
      <c r="KHK1512"/>
      <c r="KHL1512"/>
      <c r="KHM1512"/>
      <c r="KHN1512"/>
      <c r="KHO1512"/>
      <c r="KHP1512"/>
      <c r="KHQ1512"/>
      <c r="KHR1512"/>
      <c r="KHS1512"/>
      <c r="KHT1512"/>
      <c r="KHU1512"/>
      <c r="KHV1512"/>
      <c r="KHW1512"/>
      <c r="KHX1512"/>
      <c r="KHY1512"/>
      <c r="KHZ1512"/>
      <c r="KIA1512"/>
      <c r="KIB1512"/>
      <c r="KIC1512"/>
      <c r="KID1512"/>
      <c r="KIE1512"/>
      <c r="KIF1512"/>
      <c r="KIG1512"/>
      <c r="KIH1512"/>
      <c r="KII1512"/>
      <c r="KIJ1512"/>
      <c r="KIK1512"/>
      <c r="KIL1512"/>
      <c r="KIM1512"/>
      <c r="KIN1512"/>
      <c r="KIO1512"/>
      <c r="KIP1512"/>
      <c r="KIQ1512"/>
      <c r="KIR1512"/>
      <c r="KIS1512"/>
      <c r="KIT1512"/>
      <c r="KIU1512"/>
      <c r="KIV1512"/>
      <c r="KIW1512"/>
      <c r="KIX1512"/>
      <c r="KIY1512"/>
      <c r="KIZ1512"/>
      <c r="KJA1512"/>
      <c r="KJB1512"/>
      <c r="KJC1512"/>
      <c r="KJD1512"/>
      <c r="KJE1512"/>
      <c r="KJF1512"/>
      <c r="KJG1512"/>
      <c r="KJH1512"/>
      <c r="KJI1512"/>
      <c r="KJJ1512"/>
      <c r="KJK1512"/>
      <c r="KJL1512"/>
      <c r="KJM1512"/>
      <c r="KJN1512"/>
      <c r="KJO1512"/>
      <c r="KJP1512"/>
      <c r="KJQ1512"/>
      <c r="KJR1512"/>
      <c r="KJS1512"/>
      <c r="KJT1512"/>
      <c r="KJU1512"/>
      <c r="KJV1512"/>
      <c r="KJW1512"/>
      <c r="KJX1512"/>
      <c r="KJY1512"/>
      <c r="KJZ1512"/>
      <c r="KKA1512"/>
      <c r="KKB1512"/>
      <c r="KKC1512"/>
      <c r="KKD1512"/>
      <c r="KKE1512"/>
      <c r="KKF1512"/>
      <c r="KKG1512"/>
      <c r="KKH1512"/>
      <c r="KKI1512"/>
      <c r="KKJ1512"/>
      <c r="KKK1512"/>
      <c r="KKL1512"/>
      <c r="KKM1512"/>
      <c r="KKN1512"/>
      <c r="KKO1512"/>
      <c r="KKP1512"/>
      <c r="KKQ1512"/>
      <c r="KKR1512"/>
      <c r="KKS1512"/>
      <c r="KKT1512"/>
      <c r="KKU1512"/>
      <c r="KKV1512"/>
      <c r="KKW1512"/>
      <c r="KKX1512"/>
      <c r="KKY1512"/>
      <c r="KKZ1512"/>
      <c r="KLA1512"/>
      <c r="KLB1512"/>
      <c r="KLC1512"/>
      <c r="KLD1512"/>
      <c r="KLE1512"/>
      <c r="KLF1512"/>
      <c r="KLG1512"/>
      <c r="KLH1512"/>
      <c r="KLI1512"/>
      <c r="KLJ1512"/>
      <c r="KLK1512"/>
      <c r="KLL1512"/>
      <c r="KLM1512"/>
      <c r="KLN1512"/>
      <c r="KLO1512"/>
      <c r="KLP1512"/>
      <c r="KLQ1512"/>
      <c r="KLR1512"/>
      <c r="KLS1512"/>
      <c r="KLT1512"/>
      <c r="KLU1512"/>
      <c r="KLV1512"/>
      <c r="KLW1512"/>
      <c r="KLX1512"/>
      <c r="KLY1512"/>
      <c r="KLZ1512"/>
      <c r="KMA1512"/>
      <c r="KMB1512"/>
      <c r="KMC1512"/>
      <c r="KMD1512"/>
      <c r="KME1512"/>
      <c r="KMF1512"/>
      <c r="KMG1512"/>
      <c r="KMH1512"/>
      <c r="KMI1512"/>
      <c r="KMJ1512"/>
      <c r="KMK1512"/>
      <c r="KML1512"/>
      <c r="KMM1512"/>
      <c r="KMN1512"/>
      <c r="KMO1512"/>
      <c r="KMP1512"/>
      <c r="KMQ1512"/>
      <c r="KMR1512"/>
      <c r="KMS1512"/>
      <c r="KMT1512"/>
      <c r="KMU1512"/>
      <c r="KMV1512"/>
      <c r="KMW1512"/>
      <c r="KMX1512"/>
      <c r="KMY1512"/>
      <c r="KMZ1512"/>
      <c r="KNA1512"/>
      <c r="KNB1512"/>
      <c r="KNC1512"/>
      <c r="KND1512"/>
      <c r="KNE1512"/>
      <c r="KNF1512"/>
      <c r="KNG1512"/>
      <c r="KNH1512"/>
      <c r="KNI1512"/>
      <c r="KNJ1512"/>
      <c r="KNK1512"/>
      <c r="KNL1512"/>
      <c r="KNM1512"/>
      <c r="KNN1512"/>
      <c r="KNO1512"/>
      <c r="KNP1512"/>
      <c r="KNQ1512"/>
      <c r="KNR1512"/>
      <c r="KNS1512"/>
      <c r="KNT1512"/>
      <c r="KNU1512"/>
      <c r="KNV1512"/>
      <c r="KNW1512"/>
      <c r="KNX1512"/>
      <c r="KNY1512"/>
      <c r="KNZ1512"/>
      <c r="KOA1512"/>
      <c r="KOB1512"/>
      <c r="KOC1512"/>
      <c r="KOD1512"/>
      <c r="KOE1512"/>
      <c r="KOF1512"/>
      <c r="KOG1512"/>
      <c r="KOH1512"/>
      <c r="KOI1512"/>
      <c r="KOJ1512"/>
      <c r="KOK1512"/>
      <c r="KOL1512"/>
      <c r="KOM1512"/>
      <c r="KON1512"/>
      <c r="KOO1512"/>
      <c r="KOP1512"/>
      <c r="KOQ1512"/>
      <c r="KOR1512"/>
      <c r="KOS1512"/>
      <c r="KOT1512"/>
      <c r="KOU1512"/>
      <c r="KOV1512"/>
      <c r="KOW1512"/>
      <c r="KOX1512"/>
      <c r="KOY1512"/>
      <c r="KOZ1512"/>
      <c r="KPA1512"/>
      <c r="KPB1512"/>
      <c r="KPC1512"/>
      <c r="KPD1512"/>
      <c r="KPE1512"/>
      <c r="KPF1512"/>
      <c r="KPG1512"/>
      <c r="KPH1512"/>
      <c r="KPI1512"/>
      <c r="KPJ1512"/>
      <c r="KPK1512"/>
      <c r="KPL1512"/>
      <c r="KPM1512"/>
      <c r="KPN1512"/>
      <c r="KPO1512"/>
      <c r="KPP1512"/>
      <c r="KPQ1512"/>
      <c r="KPR1512"/>
      <c r="KPS1512"/>
      <c r="KPT1512"/>
      <c r="KPU1512"/>
      <c r="KPV1512"/>
      <c r="KPW1512"/>
      <c r="KPX1512"/>
      <c r="KPY1512"/>
      <c r="KPZ1512"/>
      <c r="KQA1512"/>
      <c r="KQB1512"/>
      <c r="KQC1512"/>
      <c r="KQD1512"/>
      <c r="KQE1512"/>
      <c r="KQF1512"/>
      <c r="KQG1512"/>
      <c r="KQH1512"/>
      <c r="KQI1512"/>
      <c r="KQJ1512"/>
      <c r="KQK1512"/>
      <c r="KQL1512"/>
      <c r="KQM1512"/>
      <c r="KQN1512"/>
      <c r="KQO1512"/>
      <c r="KQP1512"/>
      <c r="KQQ1512"/>
      <c r="KQR1512"/>
      <c r="KQS1512"/>
      <c r="KQT1512"/>
      <c r="KQU1512"/>
      <c r="KQV1512"/>
      <c r="KQW1512"/>
      <c r="KQX1512"/>
      <c r="KQY1512"/>
      <c r="KQZ1512"/>
      <c r="KRA1512"/>
      <c r="KRB1512"/>
      <c r="KRC1512"/>
      <c r="KRD1512"/>
      <c r="KRE1512"/>
      <c r="KRF1512"/>
      <c r="KRG1512"/>
      <c r="KRH1512"/>
      <c r="KRI1512"/>
      <c r="KRJ1512"/>
      <c r="KRK1512"/>
      <c r="KRL1512"/>
      <c r="KRM1512"/>
      <c r="KRN1512"/>
      <c r="KRO1512"/>
      <c r="KRP1512"/>
      <c r="KRQ1512"/>
      <c r="KRR1512"/>
      <c r="KRS1512"/>
      <c r="KRT1512"/>
      <c r="KRU1512"/>
      <c r="KRV1512"/>
      <c r="KRW1512"/>
      <c r="KRX1512"/>
      <c r="KRY1512"/>
      <c r="KRZ1512"/>
      <c r="KSA1512"/>
      <c r="KSB1512"/>
      <c r="KSC1512"/>
      <c r="KSD1512"/>
      <c r="KSE1512"/>
      <c r="KSF1512"/>
      <c r="KSG1512"/>
      <c r="KSH1512"/>
      <c r="KSI1512"/>
      <c r="KSJ1512"/>
      <c r="KSK1512"/>
      <c r="KSL1512"/>
      <c r="KSM1512"/>
      <c r="KSN1512"/>
      <c r="KSO1512"/>
      <c r="KSP1512"/>
      <c r="KSQ1512"/>
      <c r="KSR1512"/>
      <c r="KSS1512"/>
      <c r="KST1512"/>
      <c r="KSU1512"/>
      <c r="KSV1512"/>
      <c r="KSW1512"/>
      <c r="KSX1512"/>
      <c r="KSY1512"/>
      <c r="KSZ1512"/>
      <c r="KTA1512"/>
      <c r="KTB1512"/>
      <c r="KTC1512"/>
      <c r="KTD1512"/>
      <c r="KTE1512"/>
      <c r="KTF1512"/>
      <c r="KTG1512"/>
      <c r="KTH1512"/>
      <c r="KTI1512"/>
      <c r="KTJ1512"/>
      <c r="KTK1512"/>
      <c r="KTL1512"/>
      <c r="KTM1512"/>
      <c r="KTN1512"/>
      <c r="KTO1512"/>
      <c r="KTP1512"/>
      <c r="KTQ1512"/>
      <c r="KTR1512"/>
      <c r="KTS1512"/>
      <c r="KTT1512"/>
      <c r="KTU1512"/>
      <c r="KTV1512"/>
      <c r="KTW1512"/>
      <c r="KTX1512"/>
      <c r="KTY1512"/>
      <c r="KTZ1512"/>
      <c r="KUA1512"/>
      <c r="KUB1512"/>
      <c r="KUC1512"/>
      <c r="KUD1512"/>
      <c r="KUE1512"/>
      <c r="KUF1512"/>
      <c r="KUG1512"/>
      <c r="KUH1512"/>
      <c r="KUI1512"/>
      <c r="KUJ1512"/>
      <c r="KUK1512"/>
      <c r="KUL1512"/>
      <c r="KUM1512"/>
      <c r="KUN1512"/>
      <c r="KUO1512"/>
      <c r="KUP1512"/>
      <c r="KUQ1512"/>
      <c r="KUR1512"/>
      <c r="KUS1512"/>
      <c r="KUT1512"/>
      <c r="KUU1512"/>
      <c r="KUV1512"/>
      <c r="KUW1512"/>
      <c r="KUX1512"/>
      <c r="KUY1512"/>
      <c r="KUZ1512"/>
      <c r="KVA1512"/>
      <c r="KVB1512"/>
      <c r="KVC1512"/>
      <c r="KVD1512"/>
      <c r="KVE1512"/>
      <c r="KVF1512"/>
      <c r="KVG1512"/>
      <c r="KVH1512"/>
      <c r="KVI1512"/>
      <c r="KVJ1512"/>
      <c r="KVK1512"/>
      <c r="KVL1512"/>
      <c r="KVM1512"/>
      <c r="KVN1512"/>
      <c r="KVO1512"/>
      <c r="KVP1512"/>
      <c r="KVQ1512"/>
      <c r="KVR1512"/>
      <c r="KVS1512"/>
      <c r="KVT1512"/>
      <c r="KVU1512"/>
      <c r="KVV1512"/>
      <c r="KVW1512"/>
      <c r="KVX1512"/>
      <c r="KVY1512"/>
      <c r="KVZ1512"/>
      <c r="KWA1512"/>
      <c r="KWB1512"/>
      <c r="KWC1512"/>
      <c r="KWD1512"/>
      <c r="KWE1512"/>
      <c r="KWF1512"/>
      <c r="KWG1512"/>
      <c r="KWH1512"/>
      <c r="KWI1512"/>
      <c r="KWJ1512"/>
      <c r="KWK1512"/>
      <c r="KWL1512"/>
      <c r="KWM1512"/>
      <c r="KWN1512"/>
      <c r="KWO1512"/>
      <c r="KWP1512"/>
      <c r="KWQ1512"/>
      <c r="KWR1512"/>
      <c r="KWS1512"/>
      <c r="KWT1512"/>
      <c r="KWU1512"/>
      <c r="KWV1512"/>
      <c r="KWW1512"/>
      <c r="KWX1512"/>
      <c r="KWY1512"/>
      <c r="KWZ1512"/>
      <c r="KXA1512"/>
      <c r="KXB1512"/>
      <c r="KXC1512"/>
      <c r="KXD1512"/>
      <c r="KXE1512"/>
      <c r="KXF1512"/>
      <c r="KXG1512"/>
      <c r="KXH1512"/>
      <c r="KXI1512"/>
      <c r="KXJ1512"/>
      <c r="KXK1512"/>
      <c r="KXL1512"/>
      <c r="KXM1512"/>
      <c r="KXN1512"/>
      <c r="KXO1512"/>
      <c r="KXP1512"/>
      <c r="KXQ1512"/>
      <c r="KXR1512"/>
      <c r="KXS1512"/>
      <c r="KXT1512"/>
      <c r="KXU1512"/>
      <c r="KXV1512"/>
      <c r="KXW1512"/>
      <c r="KXX1512"/>
      <c r="KXY1512"/>
      <c r="KXZ1512"/>
      <c r="KYA1512"/>
      <c r="KYB1512"/>
      <c r="KYC1512"/>
      <c r="KYD1512"/>
      <c r="KYE1512"/>
      <c r="KYF1512"/>
      <c r="KYG1512"/>
      <c r="KYH1512"/>
      <c r="KYI1512"/>
      <c r="KYJ1512"/>
      <c r="KYK1512"/>
      <c r="KYL1512"/>
      <c r="KYM1512"/>
      <c r="KYN1512"/>
      <c r="KYO1512"/>
      <c r="KYP1512"/>
      <c r="KYQ1512"/>
      <c r="KYR1512"/>
      <c r="KYS1512"/>
      <c r="KYT1512"/>
      <c r="KYU1512"/>
      <c r="KYV1512"/>
      <c r="KYW1512"/>
      <c r="KYX1512"/>
      <c r="KYY1512"/>
      <c r="KYZ1512"/>
      <c r="KZA1512"/>
      <c r="KZB1512"/>
      <c r="KZC1512"/>
      <c r="KZD1512"/>
      <c r="KZE1512"/>
      <c r="KZF1512"/>
      <c r="KZG1512"/>
      <c r="KZH1512"/>
      <c r="KZI1512"/>
      <c r="KZJ1512"/>
      <c r="KZK1512"/>
      <c r="KZL1512"/>
      <c r="KZM1512"/>
      <c r="KZN1512"/>
      <c r="KZO1512"/>
      <c r="KZP1512"/>
      <c r="KZQ1512"/>
      <c r="KZR1512"/>
      <c r="KZS1512"/>
      <c r="KZT1512"/>
      <c r="KZU1512"/>
      <c r="KZV1512"/>
      <c r="KZW1512"/>
      <c r="KZX1512"/>
      <c r="KZY1512"/>
      <c r="KZZ1512"/>
      <c r="LAA1512"/>
      <c r="LAB1512"/>
      <c r="LAC1512"/>
      <c r="LAD1512"/>
      <c r="LAE1512"/>
      <c r="LAF1512"/>
      <c r="LAG1512"/>
      <c r="LAH1512"/>
      <c r="LAI1512"/>
      <c r="LAJ1512"/>
      <c r="LAK1512"/>
      <c r="LAL1512"/>
      <c r="LAM1512"/>
      <c r="LAN1512"/>
      <c r="LAO1512"/>
      <c r="LAP1512"/>
      <c r="LAQ1512"/>
      <c r="LAR1512"/>
      <c r="LAS1512"/>
      <c r="LAT1512"/>
      <c r="LAU1512"/>
      <c r="LAV1512"/>
      <c r="LAW1512"/>
      <c r="LAX1512"/>
      <c r="LAY1512"/>
      <c r="LAZ1512"/>
      <c r="LBA1512"/>
      <c r="LBB1512"/>
      <c r="LBC1512"/>
      <c r="LBD1512"/>
      <c r="LBE1512"/>
      <c r="LBF1512"/>
      <c r="LBG1512"/>
      <c r="LBH1512"/>
      <c r="LBI1512"/>
      <c r="LBJ1512"/>
      <c r="LBK1512"/>
      <c r="LBL1512"/>
      <c r="LBM1512"/>
      <c r="LBN1512"/>
      <c r="LBO1512"/>
      <c r="LBP1512"/>
      <c r="LBQ1512"/>
      <c r="LBR1512"/>
      <c r="LBS1512"/>
      <c r="LBT1512"/>
      <c r="LBU1512"/>
      <c r="LBV1512"/>
      <c r="LBW1512"/>
      <c r="LBX1512"/>
      <c r="LBY1512"/>
      <c r="LBZ1512"/>
      <c r="LCA1512"/>
      <c r="LCB1512"/>
      <c r="LCC1512"/>
      <c r="LCD1512"/>
      <c r="LCE1512"/>
      <c r="LCF1512"/>
      <c r="LCG1512"/>
      <c r="LCH1512"/>
      <c r="LCI1512"/>
      <c r="LCJ1512"/>
      <c r="LCK1512"/>
      <c r="LCL1512"/>
      <c r="LCM1512"/>
      <c r="LCN1512"/>
      <c r="LCO1512"/>
      <c r="LCP1512"/>
      <c r="LCQ1512"/>
      <c r="LCR1512"/>
      <c r="LCS1512"/>
      <c r="LCT1512"/>
      <c r="LCU1512"/>
      <c r="LCV1512"/>
      <c r="LCW1512"/>
      <c r="LCX1512"/>
      <c r="LCY1512"/>
      <c r="LCZ1512"/>
      <c r="LDA1512"/>
      <c r="LDB1512"/>
      <c r="LDC1512"/>
      <c r="LDD1512"/>
      <c r="LDE1512"/>
      <c r="LDF1512"/>
      <c r="LDG1512"/>
      <c r="LDH1512"/>
      <c r="LDI1512"/>
      <c r="LDJ1512"/>
      <c r="LDK1512"/>
      <c r="LDL1512"/>
      <c r="LDM1512"/>
      <c r="LDN1512"/>
      <c r="LDO1512"/>
      <c r="LDP1512"/>
      <c r="LDQ1512"/>
      <c r="LDR1512"/>
      <c r="LDS1512"/>
      <c r="LDT1512"/>
      <c r="LDU1512"/>
      <c r="LDV1512"/>
      <c r="LDW1512"/>
      <c r="LDX1512"/>
      <c r="LDY1512"/>
      <c r="LDZ1512"/>
      <c r="LEA1512"/>
      <c r="LEB1512"/>
      <c r="LEC1512"/>
      <c r="LED1512"/>
      <c r="LEE1512"/>
      <c r="LEF1512"/>
      <c r="LEG1512"/>
      <c r="LEH1512"/>
      <c r="LEI1512"/>
      <c r="LEJ1512"/>
      <c r="LEK1512"/>
      <c r="LEL1512"/>
      <c r="LEM1512"/>
      <c r="LEN1512"/>
      <c r="LEO1512"/>
      <c r="LEP1512"/>
      <c r="LEQ1512"/>
      <c r="LER1512"/>
      <c r="LES1512"/>
      <c r="LET1512"/>
      <c r="LEU1512"/>
      <c r="LEV1512"/>
      <c r="LEW1512"/>
      <c r="LEX1512"/>
      <c r="LEY1512"/>
      <c r="LEZ1512"/>
      <c r="LFA1512"/>
      <c r="LFB1512"/>
      <c r="LFC1512"/>
      <c r="LFD1512"/>
      <c r="LFE1512"/>
      <c r="LFF1512"/>
      <c r="LFG1512"/>
      <c r="LFH1512"/>
      <c r="LFI1512"/>
      <c r="LFJ1512"/>
      <c r="LFK1512"/>
      <c r="LFL1512"/>
      <c r="LFM1512"/>
      <c r="LFN1512"/>
      <c r="LFO1512"/>
      <c r="LFP1512"/>
      <c r="LFQ1512"/>
      <c r="LFR1512"/>
      <c r="LFS1512"/>
      <c r="LFT1512"/>
      <c r="LFU1512"/>
      <c r="LFV1512"/>
      <c r="LFW1512"/>
      <c r="LFX1512"/>
      <c r="LFY1512"/>
      <c r="LFZ1512"/>
      <c r="LGA1512"/>
      <c r="LGB1512"/>
      <c r="LGC1512"/>
      <c r="LGD1512"/>
      <c r="LGE1512"/>
      <c r="LGF1512"/>
      <c r="LGG1512"/>
      <c r="LGH1512"/>
      <c r="LGI1512"/>
      <c r="LGJ1512"/>
      <c r="LGK1512"/>
      <c r="LGL1512"/>
      <c r="LGM1512"/>
      <c r="LGN1512"/>
      <c r="LGO1512"/>
      <c r="LGP1512"/>
      <c r="LGQ1512"/>
      <c r="LGR1512"/>
      <c r="LGS1512"/>
      <c r="LGT1512"/>
      <c r="LGU1512"/>
      <c r="LGV1512"/>
      <c r="LGW1512"/>
      <c r="LGX1512"/>
      <c r="LGY1512"/>
      <c r="LGZ1512"/>
      <c r="LHA1512"/>
      <c r="LHB1512"/>
      <c r="LHC1512"/>
      <c r="LHD1512"/>
      <c r="LHE1512"/>
      <c r="LHF1512"/>
      <c r="LHG1512"/>
      <c r="LHH1512"/>
      <c r="LHI1512"/>
      <c r="LHJ1512"/>
      <c r="LHK1512"/>
      <c r="LHL1512"/>
      <c r="LHM1512"/>
      <c r="LHN1512"/>
      <c r="LHO1512"/>
      <c r="LHP1512"/>
      <c r="LHQ1512"/>
      <c r="LHR1512"/>
      <c r="LHS1512"/>
      <c r="LHT1512"/>
      <c r="LHU1512"/>
      <c r="LHV1512"/>
      <c r="LHW1512"/>
      <c r="LHX1512"/>
      <c r="LHY1512"/>
      <c r="LHZ1512"/>
      <c r="LIA1512"/>
      <c r="LIB1512"/>
      <c r="LIC1512"/>
      <c r="LID1512"/>
      <c r="LIE1512"/>
      <c r="LIF1512"/>
      <c r="LIG1512"/>
      <c r="LIH1512"/>
      <c r="LII1512"/>
      <c r="LIJ1512"/>
      <c r="LIK1512"/>
      <c r="LIL1512"/>
      <c r="LIM1512"/>
      <c r="LIN1512"/>
      <c r="LIO1512"/>
      <c r="LIP1512"/>
      <c r="LIQ1512"/>
      <c r="LIR1512"/>
      <c r="LIS1512"/>
      <c r="LIT1512"/>
      <c r="LIU1512"/>
      <c r="LIV1512"/>
      <c r="LIW1512"/>
      <c r="LIX1512"/>
      <c r="LIY1512"/>
      <c r="LIZ1512"/>
      <c r="LJA1512"/>
      <c r="LJB1512"/>
      <c r="LJC1512"/>
      <c r="LJD1512"/>
      <c r="LJE1512"/>
      <c r="LJF1512"/>
      <c r="LJG1512"/>
      <c r="LJH1512"/>
      <c r="LJI1512"/>
      <c r="LJJ1512"/>
      <c r="LJK1512"/>
      <c r="LJL1512"/>
      <c r="LJM1512"/>
      <c r="LJN1512"/>
      <c r="LJO1512"/>
      <c r="LJP1512"/>
      <c r="LJQ1512"/>
      <c r="LJR1512"/>
      <c r="LJS1512"/>
      <c r="LJT1512"/>
      <c r="LJU1512"/>
      <c r="LJV1512"/>
      <c r="LJW1512"/>
      <c r="LJX1512"/>
      <c r="LJY1512"/>
      <c r="LJZ1512"/>
      <c r="LKA1512"/>
      <c r="LKB1512"/>
      <c r="LKC1512"/>
      <c r="LKD1512"/>
      <c r="LKE1512"/>
      <c r="LKF1512"/>
      <c r="LKG1512"/>
      <c r="LKH1512"/>
      <c r="LKI1512"/>
      <c r="LKJ1512"/>
      <c r="LKK1512"/>
      <c r="LKL1512"/>
      <c r="LKM1512"/>
      <c r="LKN1512"/>
      <c r="LKO1512"/>
      <c r="LKP1512"/>
      <c r="LKQ1512"/>
      <c r="LKR1512"/>
      <c r="LKS1512"/>
      <c r="LKT1512"/>
      <c r="LKU1512"/>
      <c r="LKV1512"/>
      <c r="LKW1512"/>
      <c r="LKX1512"/>
      <c r="LKY1512"/>
      <c r="LKZ1512"/>
      <c r="LLA1512"/>
      <c r="LLB1512"/>
      <c r="LLC1512"/>
      <c r="LLD1512"/>
      <c r="LLE1512"/>
      <c r="LLF1512"/>
      <c r="LLG1512"/>
      <c r="LLH1512"/>
      <c r="LLI1512"/>
      <c r="LLJ1512"/>
      <c r="LLK1512"/>
      <c r="LLL1512"/>
      <c r="LLM1512"/>
      <c r="LLN1512"/>
      <c r="LLO1512"/>
      <c r="LLP1512"/>
      <c r="LLQ1512"/>
      <c r="LLR1512"/>
      <c r="LLS1512"/>
      <c r="LLT1512"/>
      <c r="LLU1512"/>
      <c r="LLV1512"/>
      <c r="LLW1512"/>
      <c r="LLX1512"/>
      <c r="LLY1512"/>
      <c r="LLZ1512"/>
      <c r="LMA1512"/>
      <c r="LMB1512"/>
      <c r="LMC1512"/>
      <c r="LMD1512"/>
      <c r="LME1512"/>
      <c r="LMF1512"/>
      <c r="LMG1512"/>
      <c r="LMH1512"/>
      <c r="LMI1512"/>
      <c r="LMJ1512"/>
      <c r="LMK1512"/>
      <c r="LML1512"/>
      <c r="LMM1512"/>
      <c r="LMN1512"/>
      <c r="LMO1512"/>
      <c r="LMP1512"/>
      <c r="LMQ1512"/>
      <c r="LMR1512"/>
      <c r="LMS1512"/>
      <c r="LMT1512"/>
      <c r="LMU1512"/>
      <c r="LMV1512"/>
      <c r="LMW1512"/>
      <c r="LMX1512"/>
      <c r="LMY1512"/>
      <c r="LMZ1512"/>
      <c r="LNA1512"/>
      <c r="LNB1512"/>
      <c r="LNC1512"/>
      <c r="LND1512"/>
      <c r="LNE1512"/>
      <c r="LNF1512"/>
      <c r="LNG1512"/>
      <c r="LNH1512"/>
      <c r="LNI1512"/>
      <c r="LNJ1512"/>
      <c r="LNK1512"/>
      <c r="LNL1512"/>
      <c r="LNM1512"/>
      <c r="LNN1512"/>
      <c r="LNO1512"/>
      <c r="LNP1512"/>
      <c r="LNQ1512"/>
      <c r="LNR1512"/>
      <c r="LNS1512"/>
      <c r="LNT1512"/>
      <c r="LNU1512"/>
      <c r="LNV1512"/>
      <c r="LNW1512"/>
      <c r="LNX1512"/>
      <c r="LNY1512"/>
      <c r="LNZ1512"/>
      <c r="LOA1512"/>
      <c r="LOB1512"/>
      <c r="LOC1512"/>
      <c r="LOD1512"/>
      <c r="LOE1512"/>
      <c r="LOF1512"/>
      <c r="LOG1512"/>
      <c r="LOH1512"/>
      <c r="LOI1512"/>
      <c r="LOJ1512"/>
      <c r="LOK1512"/>
      <c r="LOL1512"/>
      <c r="LOM1512"/>
      <c r="LON1512"/>
      <c r="LOO1512"/>
      <c r="LOP1512"/>
      <c r="LOQ1512"/>
      <c r="LOR1512"/>
      <c r="LOS1512"/>
      <c r="LOT1512"/>
      <c r="LOU1512"/>
      <c r="LOV1512"/>
      <c r="LOW1512"/>
      <c r="LOX1512"/>
      <c r="LOY1512"/>
      <c r="LOZ1512"/>
      <c r="LPA1512"/>
      <c r="LPB1512"/>
      <c r="LPC1512"/>
      <c r="LPD1512"/>
      <c r="LPE1512"/>
      <c r="LPF1512"/>
      <c r="LPG1512"/>
      <c r="LPH1512"/>
      <c r="LPI1512"/>
      <c r="LPJ1512"/>
      <c r="LPK1512"/>
      <c r="LPL1512"/>
      <c r="LPM1512"/>
      <c r="LPN1512"/>
      <c r="LPO1512"/>
      <c r="LPP1512"/>
      <c r="LPQ1512"/>
      <c r="LPR1512"/>
      <c r="LPS1512"/>
      <c r="LPT1512"/>
      <c r="LPU1512"/>
      <c r="LPV1512"/>
      <c r="LPW1512"/>
      <c r="LPX1512"/>
      <c r="LPY1512"/>
      <c r="LPZ1512"/>
      <c r="LQA1512"/>
      <c r="LQB1512"/>
      <c r="LQC1512"/>
      <c r="LQD1512"/>
      <c r="LQE1512"/>
      <c r="LQF1512"/>
      <c r="LQG1512"/>
      <c r="LQH1512"/>
      <c r="LQI1512"/>
      <c r="LQJ1512"/>
      <c r="LQK1512"/>
      <c r="LQL1512"/>
      <c r="LQM1512"/>
      <c r="LQN1512"/>
      <c r="LQO1512"/>
      <c r="LQP1512"/>
      <c r="LQQ1512"/>
      <c r="LQR1512"/>
      <c r="LQS1512"/>
      <c r="LQT1512"/>
      <c r="LQU1512"/>
      <c r="LQV1512"/>
      <c r="LQW1512"/>
      <c r="LQX1512"/>
      <c r="LQY1512"/>
      <c r="LQZ1512"/>
      <c r="LRA1512"/>
      <c r="LRB1512"/>
      <c r="LRC1512"/>
      <c r="LRD1512"/>
      <c r="LRE1512"/>
      <c r="LRF1512"/>
      <c r="LRG1512"/>
      <c r="LRH1512"/>
      <c r="LRI1512"/>
      <c r="LRJ1512"/>
      <c r="LRK1512"/>
      <c r="LRL1512"/>
      <c r="LRM1512"/>
      <c r="LRN1512"/>
      <c r="LRO1512"/>
      <c r="LRP1512"/>
      <c r="LRQ1512"/>
      <c r="LRR1512"/>
      <c r="LRS1512"/>
      <c r="LRT1512"/>
      <c r="LRU1512"/>
      <c r="LRV1512"/>
      <c r="LRW1512"/>
      <c r="LRX1512"/>
      <c r="LRY1512"/>
      <c r="LRZ1512"/>
      <c r="LSA1512"/>
      <c r="LSB1512"/>
      <c r="LSC1512"/>
      <c r="LSD1512"/>
      <c r="LSE1512"/>
      <c r="LSF1512"/>
      <c r="LSG1512"/>
      <c r="LSH1512"/>
      <c r="LSI1512"/>
      <c r="LSJ1512"/>
      <c r="LSK1512"/>
      <c r="LSL1512"/>
      <c r="LSM1512"/>
      <c r="LSN1512"/>
      <c r="LSO1512"/>
      <c r="LSP1512"/>
      <c r="LSQ1512"/>
      <c r="LSR1512"/>
      <c r="LSS1512"/>
      <c r="LST1512"/>
      <c r="LSU1512"/>
      <c r="LSV1512"/>
      <c r="LSW1512"/>
      <c r="LSX1512"/>
      <c r="LSY1512"/>
      <c r="LSZ1512"/>
      <c r="LTA1512"/>
      <c r="LTB1512"/>
      <c r="LTC1512"/>
      <c r="LTD1512"/>
      <c r="LTE1512"/>
      <c r="LTF1512"/>
      <c r="LTG1512"/>
      <c r="LTH1512"/>
      <c r="LTI1512"/>
      <c r="LTJ1512"/>
      <c r="LTK1512"/>
      <c r="LTL1512"/>
      <c r="LTM1512"/>
      <c r="LTN1512"/>
      <c r="LTO1512"/>
      <c r="LTP1512"/>
      <c r="LTQ1512"/>
      <c r="LTR1512"/>
      <c r="LTS1512"/>
      <c r="LTT1512"/>
      <c r="LTU1512"/>
      <c r="LTV1512"/>
      <c r="LTW1512"/>
      <c r="LTX1512"/>
      <c r="LTY1512"/>
      <c r="LTZ1512"/>
      <c r="LUA1512"/>
      <c r="LUB1512"/>
      <c r="LUC1512"/>
      <c r="LUD1512"/>
      <c r="LUE1512"/>
      <c r="LUF1512"/>
      <c r="LUG1512"/>
      <c r="LUH1512"/>
      <c r="LUI1512"/>
      <c r="LUJ1512"/>
      <c r="LUK1512"/>
      <c r="LUL1512"/>
      <c r="LUM1512"/>
      <c r="LUN1512"/>
      <c r="LUO1512"/>
      <c r="LUP1512"/>
      <c r="LUQ1512"/>
      <c r="LUR1512"/>
      <c r="LUS1512"/>
      <c r="LUT1512"/>
      <c r="LUU1512"/>
      <c r="LUV1512"/>
      <c r="LUW1512"/>
      <c r="LUX1512"/>
      <c r="LUY1512"/>
      <c r="LUZ1512"/>
      <c r="LVA1512"/>
      <c r="LVB1512"/>
      <c r="LVC1512"/>
      <c r="LVD1512"/>
      <c r="LVE1512"/>
      <c r="LVF1512"/>
      <c r="LVG1512"/>
      <c r="LVH1512"/>
      <c r="LVI1512"/>
      <c r="LVJ1512"/>
      <c r="LVK1512"/>
      <c r="LVL1512"/>
      <c r="LVM1512"/>
      <c r="LVN1512"/>
      <c r="LVO1512"/>
      <c r="LVP1512"/>
      <c r="LVQ1512"/>
      <c r="LVR1512"/>
      <c r="LVS1512"/>
      <c r="LVT1512"/>
      <c r="LVU1512"/>
      <c r="LVV1512"/>
      <c r="LVW1512"/>
      <c r="LVX1512"/>
      <c r="LVY1512"/>
      <c r="LVZ1512"/>
      <c r="LWA1512"/>
      <c r="LWB1512"/>
      <c r="LWC1512"/>
      <c r="LWD1512"/>
      <c r="LWE1512"/>
      <c r="LWF1512"/>
      <c r="LWG1512"/>
      <c r="LWH1512"/>
      <c r="LWI1512"/>
      <c r="LWJ1512"/>
      <c r="LWK1512"/>
      <c r="LWL1512"/>
      <c r="LWM1512"/>
      <c r="LWN1512"/>
      <c r="LWO1512"/>
      <c r="LWP1512"/>
      <c r="LWQ1512"/>
      <c r="LWR1512"/>
      <c r="LWS1512"/>
      <c r="LWT1512"/>
      <c r="LWU1512"/>
      <c r="LWV1512"/>
      <c r="LWW1512"/>
      <c r="LWX1512"/>
      <c r="LWY1512"/>
      <c r="LWZ1512"/>
      <c r="LXA1512"/>
      <c r="LXB1512"/>
      <c r="LXC1512"/>
      <c r="LXD1512"/>
      <c r="LXE1512"/>
      <c r="LXF1512"/>
      <c r="LXG1512"/>
      <c r="LXH1512"/>
      <c r="LXI1512"/>
      <c r="LXJ1512"/>
      <c r="LXK1512"/>
      <c r="LXL1512"/>
      <c r="LXM1512"/>
      <c r="LXN1512"/>
      <c r="LXO1512"/>
      <c r="LXP1512"/>
      <c r="LXQ1512"/>
      <c r="LXR1512"/>
      <c r="LXS1512"/>
      <c r="LXT1512"/>
      <c r="LXU1512"/>
      <c r="LXV1512"/>
      <c r="LXW1512"/>
      <c r="LXX1512"/>
      <c r="LXY1512"/>
      <c r="LXZ1512"/>
      <c r="LYA1512"/>
      <c r="LYB1512"/>
      <c r="LYC1512"/>
      <c r="LYD1512"/>
      <c r="LYE1512"/>
      <c r="LYF1512"/>
      <c r="LYG1512"/>
      <c r="LYH1512"/>
      <c r="LYI1512"/>
      <c r="LYJ1512"/>
      <c r="LYK1512"/>
      <c r="LYL1512"/>
      <c r="LYM1512"/>
      <c r="LYN1512"/>
      <c r="LYO1512"/>
      <c r="LYP1512"/>
      <c r="LYQ1512"/>
      <c r="LYR1512"/>
      <c r="LYS1512"/>
      <c r="LYT1512"/>
      <c r="LYU1512"/>
      <c r="LYV1512"/>
      <c r="LYW1512"/>
      <c r="LYX1512"/>
      <c r="LYY1512"/>
      <c r="LYZ1512"/>
      <c r="LZA1512"/>
      <c r="LZB1512"/>
      <c r="LZC1512"/>
      <c r="LZD1512"/>
      <c r="LZE1512"/>
      <c r="LZF1512"/>
      <c r="LZG1512"/>
      <c r="LZH1512"/>
      <c r="LZI1512"/>
      <c r="LZJ1512"/>
      <c r="LZK1512"/>
      <c r="LZL1512"/>
      <c r="LZM1512"/>
      <c r="LZN1512"/>
      <c r="LZO1512"/>
      <c r="LZP1512"/>
      <c r="LZQ1512"/>
      <c r="LZR1512"/>
      <c r="LZS1512"/>
      <c r="LZT1512"/>
      <c r="LZU1512"/>
      <c r="LZV1512"/>
      <c r="LZW1512"/>
      <c r="LZX1512"/>
      <c r="LZY1512"/>
      <c r="LZZ1512"/>
      <c r="MAA1512"/>
      <c r="MAB1512"/>
      <c r="MAC1512"/>
      <c r="MAD1512"/>
      <c r="MAE1512"/>
      <c r="MAF1512"/>
      <c r="MAG1512"/>
      <c r="MAH1512"/>
      <c r="MAI1512"/>
      <c r="MAJ1512"/>
      <c r="MAK1512"/>
      <c r="MAL1512"/>
      <c r="MAM1512"/>
      <c r="MAN1512"/>
      <c r="MAO1512"/>
      <c r="MAP1512"/>
      <c r="MAQ1512"/>
      <c r="MAR1512"/>
      <c r="MAS1512"/>
      <c r="MAT1512"/>
      <c r="MAU1512"/>
      <c r="MAV1512"/>
      <c r="MAW1512"/>
      <c r="MAX1512"/>
      <c r="MAY1512"/>
      <c r="MAZ1512"/>
      <c r="MBA1512"/>
      <c r="MBB1512"/>
      <c r="MBC1512"/>
      <c r="MBD1512"/>
      <c r="MBE1512"/>
      <c r="MBF1512"/>
      <c r="MBG1512"/>
      <c r="MBH1512"/>
      <c r="MBI1512"/>
      <c r="MBJ1512"/>
      <c r="MBK1512"/>
      <c r="MBL1512"/>
      <c r="MBM1512"/>
      <c r="MBN1512"/>
      <c r="MBO1512"/>
      <c r="MBP1512"/>
      <c r="MBQ1512"/>
      <c r="MBR1512"/>
      <c r="MBS1512"/>
      <c r="MBT1512"/>
      <c r="MBU1512"/>
      <c r="MBV1512"/>
      <c r="MBW1512"/>
      <c r="MBX1512"/>
      <c r="MBY1512"/>
      <c r="MBZ1512"/>
      <c r="MCA1512"/>
      <c r="MCB1512"/>
      <c r="MCC1512"/>
      <c r="MCD1512"/>
      <c r="MCE1512"/>
      <c r="MCF1512"/>
      <c r="MCG1512"/>
      <c r="MCH1512"/>
      <c r="MCI1512"/>
      <c r="MCJ1512"/>
      <c r="MCK1512"/>
      <c r="MCL1512"/>
      <c r="MCM1512"/>
      <c r="MCN1512"/>
      <c r="MCO1512"/>
      <c r="MCP1512"/>
      <c r="MCQ1512"/>
      <c r="MCR1512"/>
      <c r="MCS1512"/>
      <c r="MCT1512"/>
      <c r="MCU1512"/>
      <c r="MCV1512"/>
      <c r="MCW1512"/>
      <c r="MCX1512"/>
      <c r="MCY1512"/>
      <c r="MCZ1512"/>
      <c r="MDA1512"/>
      <c r="MDB1512"/>
      <c r="MDC1512"/>
      <c r="MDD1512"/>
      <c r="MDE1512"/>
      <c r="MDF1512"/>
      <c r="MDG1512"/>
      <c r="MDH1512"/>
      <c r="MDI1512"/>
      <c r="MDJ1512"/>
      <c r="MDK1512"/>
      <c r="MDL1512"/>
      <c r="MDM1512"/>
      <c r="MDN1512"/>
      <c r="MDO1512"/>
      <c r="MDP1512"/>
      <c r="MDQ1512"/>
      <c r="MDR1512"/>
      <c r="MDS1512"/>
      <c r="MDT1512"/>
      <c r="MDU1512"/>
      <c r="MDV1512"/>
      <c r="MDW1512"/>
      <c r="MDX1512"/>
      <c r="MDY1512"/>
      <c r="MDZ1512"/>
      <c r="MEA1512"/>
      <c r="MEB1512"/>
      <c r="MEC1512"/>
      <c r="MED1512"/>
      <c r="MEE1512"/>
      <c r="MEF1512"/>
      <c r="MEG1512"/>
      <c r="MEH1512"/>
      <c r="MEI1512"/>
      <c r="MEJ1512"/>
      <c r="MEK1512"/>
      <c r="MEL1512"/>
      <c r="MEM1512"/>
      <c r="MEN1512"/>
      <c r="MEO1512"/>
      <c r="MEP1512"/>
      <c r="MEQ1512"/>
      <c r="MER1512"/>
      <c r="MES1512"/>
      <c r="MET1512"/>
      <c r="MEU1512"/>
      <c r="MEV1512"/>
      <c r="MEW1512"/>
      <c r="MEX1512"/>
      <c r="MEY1512"/>
      <c r="MEZ1512"/>
      <c r="MFA1512"/>
      <c r="MFB1512"/>
      <c r="MFC1512"/>
      <c r="MFD1512"/>
      <c r="MFE1512"/>
      <c r="MFF1512"/>
      <c r="MFG1512"/>
      <c r="MFH1512"/>
      <c r="MFI1512"/>
      <c r="MFJ1512"/>
      <c r="MFK1512"/>
      <c r="MFL1512"/>
      <c r="MFM1512"/>
      <c r="MFN1512"/>
      <c r="MFO1512"/>
      <c r="MFP1512"/>
      <c r="MFQ1512"/>
      <c r="MFR1512"/>
      <c r="MFS1512"/>
      <c r="MFT1512"/>
      <c r="MFU1512"/>
      <c r="MFV1512"/>
      <c r="MFW1512"/>
      <c r="MFX1512"/>
      <c r="MFY1512"/>
      <c r="MFZ1512"/>
      <c r="MGA1512"/>
      <c r="MGB1512"/>
      <c r="MGC1512"/>
      <c r="MGD1512"/>
      <c r="MGE1512"/>
      <c r="MGF1512"/>
      <c r="MGG1512"/>
      <c r="MGH1512"/>
      <c r="MGI1512"/>
      <c r="MGJ1512"/>
      <c r="MGK1512"/>
      <c r="MGL1512"/>
      <c r="MGM1512"/>
      <c r="MGN1512"/>
      <c r="MGO1512"/>
      <c r="MGP1512"/>
      <c r="MGQ1512"/>
      <c r="MGR1512"/>
      <c r="MGS1512"/>
      <c r="MGT1512"/>
      <c r="MGU1512"/>
      <c r="MGV1512"/>
      <c r="MGW1512"/>
      <c r="MGX1512"/>
      <c r="MGY1512"/>
      <c r="MGZ1512"/>
      <c r="MHA1512"/>
      <c r="MHB1512"/>
      <c r="MHC1512"/>
      <c r="MHD1512"/>
      <c r="MHE1512"/>
      <c r="MHF1512"/>
      <c r="MHG1512"/>
      <c r="MHH1512"/>
      <c r="MHI1512"/>
      <c r="MHJ1512"/>
      <c r="MHK1512"/>
      <c r="MHL1512"/>
      <c r="MHM1512"/>
      <c r="MHN1512"/>
      <c r="MHO1512"/>
      <c r="MHP1512"/>
      <c r="MHQ1512"/>
      <c r="MHR1512"/>
      <c r="MHS1512"/>
      <c r="MHT1512"/>
      <c r="MHU1512"/>
      <c r="MHV1512"/>
      <c r="MHW1512"/>
      <c r="MHX1512"/>
      <c r="MHY1512"/>
      <c r="MHZ1512"/>
      <c r="MIA1512"/>
      <c r="MIB1512"/>
      <c r="MIC1512"/>
      <c r="MID1512"/>
      <c r="MIE1512"/>
      <c r="MIF1512"/>
      <c r="MIG1512"/>
      <c r="MIH1512"/>
      <c r="MII1512"/>
      <c r="MIJ1512"/>
      <c r="MIK1512"/>
      <c r="MIL1512"/>
      <c r="MIM1512"/>
      <c r="MIN1512"/>
      <c r="MIO1512"/>
      <c r="MIP1512"/>
      <c r="MIQ1512"/>
      <c r="MIR1512"/>
      <c r="MIS1512"/>
      <c r="MIT1512"/>
      <c r="MIU1512"/>
      <c r="MIV1512"/>
      <c r="MIW1512"/>
      <c r="MIX1512"/>
      <c r="MIY1512"/>
      <c r="MIZ1512"/>
      <c r="MJA1512"/>
      <c r="MJB1512"/>
      <c r="MJC1512"/>
      <c r="MJD1512"/>
      <c r="MJE1512"/>
      <c r="MJF1512"/>
      <c r="MJG1512"/>
      <c r="MJH1512"/>
      <c r="MJI1512"/>
      <c r="MJJ1512"/>
      <c r="MJK1512"/>
      <c r="MJL1512"/>
      <c r="MJM1512"/>
      <c r="MJN1512"/>
      <c r="MJO1512"/>
      <c r="MJP1512"/>
      <c r="MJQ1512"/>
      <c r="MJR1512"/>
      <c r="MJS1512"/>
      <c r="MJT1512"/>
      <c r="MJU1512"/>
      <c r="MJV1512"/>
      <c r="MJW1512"/>
      <c r="MJX1512"/>
      <c r="MJY1512"/>
      <c r="MJZ1512"/>
      <c r="MKA1512"/>
      <c r="MKB1512"/>
      <c r="MKC1512"/>
      <c r="MKD1512"/>
      <c r="MKE1512"/>
      <c r="MKF1512"/>
      <c r="MKG1512"/>
      <c r="MKH1512"/>
      <c r="MKI1512"/>
      <c r="MKJ1512"/>
      <c r="MKK1512"/>
      <c r="MKL1512"/>
      <c r="MKM1512"/>
      <c r="MKN1512"/>
      <c r="MKO1512"/>
      <c r="MKP1512"/>
      <c r="MKQ1512"/>
      <c r="MKR1512"/>
      <c r="MKS1512"/>
      <c r="MKT1512"/>
      <c r="MKU1512"/>
      <c r="MKV1512"/>
      <c r="MKW1512"/>
      <c r="MKX1512"/>
      <c r="MKY1512"/>
      <c r="MKZ1512"/>
      <c r="MLA1512"/>
      <c r="MLB1512"/>
      <c r="MLC1512"/>
      <c r="MLD1512"/>
      <c r="MLE1512"/>
      <c r="MLF1512"/>
      <c r="MLG1512"/>
      <c r="MLH1512"/>
      <c r="MLI1512"/>
      <c r="MLJ1512"/>
      <c r="MLK1512"/>
      <c r="MLL1512"/>
      <c r="MLM1512"/>
      <c r="MLN1512"/>
      <c r="MLO1512"/>
      <c r="MLP1512"/>
      <c r="MLQ1512"/>
      <c r="MLR1512"/>
      <c r="MLS1512"/>
      <c r="MLT1512"/>
      <c r="MLU1512"/>
      <c r="MLV1512"/>
      <c r="MLW1512"/>
      <c r="MLX1512"/>
      <c r="MLY1512"/>
      <c r="MLZ1512"/>
      <c r="MMA1512"/>
      <c r="MMB1512"/>
      <c r="MMC1512"/>
      <c r="MMD1512"/>
      <c r="MME1512"/>
      <c r="MMF1512"/>
      <c r="MMG1512"/>
      <c r="MMH1512"/>
      <c r="MMI1512"/>
      <c r="MMJ1512"/>
      <c r="MMK1512"/>
      <c r="MML1512"/>
      <c r="MMM1512"/>
      <c r="MMN1512"/>
      <c r="MMO1512"/>
      <c r="MMP1512"/>
      <c r="MMQ1512"/>
      <c r="MMR1512"/>
      <c r="MMS1512"/>
      <c r="MMT1512"/>
      <c r="MMU1512"/>
      <c r="MMV1512"/>
      <c r="MMW1512"/>
      <c r="MMX1512"/>
      <c r="MMY1512"/>
      <c r="MMZ1512"/>
      <c r="MNA1512"/>
      <c r="MNB1512"/>
      <c r="MNC1512"/>
      <c r="MND1512"/>
      <c r="MNE1512"/>
      <c r="MNF1512"/>
      <c r="MNG1512"/>
      <c r="MNH1512"/>
      <c r="MNI1512"/>
      <c r="MNJ1512"/>
      <c r="MNK1512"/>
      <c r="MNL1512"/>
      <c r="MNM1512"/>
      <c r="MNN1512"/>
      <c r="MNO1512"/>
      <c r="MNP1512"/>
      <c r="MNQ1512"/>
      <c r="MNR1512"/>
      <c r="MNS1512"/>
      <c r="MNT1512"/>
      <c r="MNU1512"/>
      <c r="MNV1512"/>
      <c r="MNW1512"/>
      <c r="MNX1512"/>
      <c r="MNY1512"/>
      <c r="MNZ1512"/>
      <c r="MOA1512"/>
      <c r="MOB1512"/>
      <c r="MOC1512"/>
      <c r="MOD1512"/>
      <c r="MOE1512"/>
      <c r="MOF1512"/>
      <c r="MOG1512"/>
      <c r="MOH1512"/>
      <c r="MOI1512"/>
      <c r="MOJ1512"/>
      <c r="MOK1512"/>
      <c r="MOL1512"/>
      <c r="MOM1512"/>
      <c r="MON1512"/>
      <c r="MOO1512"/>
      <c r="MOP1512"/>
      <c r="MOQ1512"/>
      <c r="MOR1512"/>
      <c r="MOS1512"/>
      <c r="MOT1512"/>
      <c r="MOU1512"/>
      <c r="MOV1512"/>
      <c r="MOW1512"/>
      <c r="MOX1512"/>
      <c r="MOY1512"/>
      <c r="MOZ1512"/>
      <c r="MPA1512"/>
      <c r="MPB1512"/>
      <c r="MPC1512"/>
      <c r="MPD1512"/>
      <c r="MPE1512"/>
      <c r="MPF1512"/>
      <c r="MPG1512"/>
      <c r="MPH1512"/>
      <c r="MPI1512"/>
      <c r="MPJ1512"/>
      <c r="MPK1512"/>
      <c r="MPL1512"/>
      <c r="MPM1512"/>
      <c r="MPN1512"/>
      <c r="MPO1512"/>
      <c r="MPP1512"/>
      <c r="MPQ1512"/>
      <c r="MPR1512"/>
      <c r="MPS1512"/>
      <c r="MPT1512"/>
      <c r="MPU1512"/>
      <c r="MPV1512"/>
      <c r="MPW1512"/>
      <c r="MPX1512"/>
      <c r="MPY1512"/>
      <c r="MPZ1512"/>
      <c r="MQA1512"/>
      <c r="MQB1512"/>
      <c r="MQC1512"/>
      <c r="MQD1512"/>
      <c r="MQE1512"/>
      <c r="MQF1512"/>
      <c r="MQG1512"/>
      <c r="MQH1512"/>
      <c r="MQI1512"/>
      <c r="MQJ1512"/>
      <c r="MQK1512"/>
      <c r="MQL1512"/>
      <c r="MQM1512"/>
      <c r="MQN1512"/>
      <c r="MQO1512"/>
      <c r="MQP1512"/>
      <c r="MQQ1512"/>
      <c r="MQR1512"/>
      <c r="MQS1512"/>
      <c r="MQT1512"/>
      <c r="MQU1512"/>
      <c r="MQV1512"/>
      <c r="MQW1512"/>
      <c r="MQX1512"/>
      <c r="MQY1512"/>
      <c r="MQZ1512"/>
      <c r="MRA1512"/>
      <c r="MRB1512"/>
      <c r="MRC1512"/>
      <c r="MRD1512"/>
      <c r="MRE1512"/>
      <c r="MRF1512"/>
      <c r="MRG1512"/>
      <c r="MRH1512"/>
      <c r="MRI1512"/>
      <c r="MRJ1512"/>
      <c r="MRK1512"/>
      <c r="MRL1512"/>
      <c r="MRM1512"/>
      <c r="MRN1512"/>
      <c r="MRO1512"/>
      <c r="MRP1512"/>
      <c r="MRQ1512"/>
      <c r="MRR1512"/>
      <c r="MRS1512"/>
      <c r="MRT1512"/>
      <c r="MRU1512"/>
      <c r="MRV1512"/>
      <c r="MRW1512"/>
      <c r="MRX1512"/>
      <c r="MRY1512"/>
      <c r="MRZ1512"/>
      <c r="MSA1512"/>
      <c r="MSB1512"/>
      <c r="MSC1512"/>
      <c r="MSD1512"/>
      <c r="MSE1512"/>
      <c r="MSF1512"/>
      <c r="MSG1512"/>
      <c r="MSH1512"/>
      <c r="MSI1512"/>
      <c r="MSJ1512"/>
      <c r="MSK1512"/>
      <c r="MSL1512"/>
      <c r="MSM1512"/>
      <c r="MSN1512"/>
      <c r="MSO1512"/>
      <c r="MSP1512"/>
      <c r="MSQ1512"/>
      <c r="MSR1512"/>
      <c r="MSS1512"/>
      <c r="MST1512"/>
      <c r="MSU1512"/>
      <c r="MSV1512"/>
      <c r="MSW1512"/>
      <c r="MSX1512"/>
      <c r="MSY1512"/>
      <c r="MSZ1512"/>
      <c r="MTA1512"/>
      <c r="MTB1512"/>
      <c r="MTC1512"/>
      <c r="MTD1512"/>
      <c r="MTE1512"/>
      <c r="MTF1512"/>
      <c r="MTG1512"/>
      <c r="MTH1512"/>
      <c r="MTI1512"/>
      <c r="MTJ1512"/>
      <c r="MTK1512"/>
      <c r="MTL1512"/>
      <c r="MTM1512"/>
      <c r="MTN1512"/>
      <c r="MTO1512"/>
      <c r="MTP1512"/>
      <c r="MTQ1512"/>
      <c r="MTR1512"/>
      <c r="MTS1512"/>
      <c r="MTT1512"/>
      <c r="MTU1512"/>
      <c r="MTV1512"/>
      <c r="MTW1512"/>
      <c r="MTX1512"/>
      <c r="MTY1512"/>
      <c r="MTZ1512"/>
      <c r="MUA1512"/>
      <c r="MUB1512"/>
      <c r="MUC1512"/>
      <c r="MUD1512"/>
      <c r="MUE1512"/>
      <c r="MUF1512"/>
      <c r="MUG1512"/>
      <c r="MUH1512"/>
      <c r="MUI1512"/>
      <c r="MUJ1512"/>
      <c r="MUK1512"/>
      <c r="MUL1512"/>
      <c r="MUM1512"/>
      <c r="MUN1512"/>
      <c r="MUO1512"/>
      <c r="MUP1512"/>
      <c r="MUQ1512"/>
      <c r="MUR1512"/>
      <c r="MUS1512"/>
      <c r="MUT1512"/>
      <c r="MUU1512"/>
      <c r="MUV1512"/>
      <c r="MUW1512"/>
      <c r="MUX1512"/>
      <c r="MUY1512"/>
      <c r="MUZ1512"/>
      <c r="MVA1512"/>
      <c r="MVB1512"/>
      <c r="MVC1512"/>
      <c r="MVD1512"/>
      <c r="MVE1512"/>
      <c r="MVF1512"/>
      <c r="MVG1512"/>
      <c r="MVH1512"/>
      <c r="MVI1512"/>
      <c r="MVJ1512"/>
      <c r="MVK1512"/>
      <c r="MVL1512"/>
      <c r="MVM1512"/>
      <c r="MVN1512"/>
      <c r="MVO1512"/>
      <c r="MVP1512"/>
      <c r="MVQ1512"/>
      <c r="MVR1512"/>
      <c r="MVS1512"/>
      <c r="MVT1512"/>
      <c r="MVU1512"/>
      <c r="MVV1512"/>
      <c r="MVW1512"/>
      <c r="MVX1512"/>
      <c r="MVY1512"/>
      <c r="MVZ1512"/>
      <c r="MWA1512"/>
      <c r="MWB1512"/>
      <c r="MWC1512"/>
      <c r="MWD1512"/>
      <c r="MWE1512"/>
      <c r="MWF1512"/>
      <c r="MWG1512"/>
      <c r="MWH1512"/>
      <c r="MWI1512"/>
      <c r="MWJ1512"/>
      <c r="MWK1512"/>
      <c r="MWL1512"/>
      <c r="MWM1512"/>
      <c r="MWN1512"/>
      <c r="MWO1512"/>
      <c r="MWP1512"/>
      <c r="MWQ1512"/>
      <c r="MWR1512"/>
      <c r="MWS1512"/>
      <c r="MWT1512"/>
      <c r="MWU1512"/>
      <c r="MWV1512"/>
      <c r="MWW1512"/>
      <c r="MWX1512"/>
      <c r="MWY1512"/>
      <c r="MWZ1512"/>
      <c r="MXA1512"/>
      <c r="MXB1512"/>
      <c r="MXC1512"/>
      <c r="MXD1512"/>
      <c r="MXE1512"/>
      <c r="MXF1512"/>
      <c r="MXG1512"/>
      <c r="MXH1512"/>
      <c r="MXI1512"/>
      <c r="MXJ1512"/>
      <c r="MXK1512"/>
      <c r="MXL1512"/>
      <c r="MXM1512"/>
      <c r="MXN1512"/>
      <c r="MXO1512"/>
      <c r="MXP1512"/>
      <c r="MXQ1512"/>
      <c r="MXR1512"/>
      <c r="MXS1512"/>
      <c r="MXT1512"/>
      <c r="MXU1512"/>
      <c r="MXV1512"/>
      <c r="MXW1512"/>
      <c r="MXX1512"/>
      <c r="MXY1512"/>
      <c r="MXZ1512"/>
      <c r="MYA1512"/>
      <c r="MYB1512"/>
      <c r="MYC1512"/>
      <c r="MYD1512"/>
      <c r="MYE1512"/>
      <c r="MYF1512"/>
      <c r="MYG1512"/>
      <c r="MYH1512"/>
      <c r="MYI1512"/>
      <c r="MYJ1512"/>
      <c r="MYK1512"/>
      <c r="MYL1512"/>
      <c r="MYM1512"/>
      <c r="MYN1512"/>
      <c r="MYO1512"/>
      <c r="MYP1512"/>
      <c r="MYQ1512"/>
      <c r="MYR1512"/>
      <c r="MYS1512"/>
      <c r="MYT1512"/>
      <c r="MYU1512"/>
      <c r="MYV1512"/>
      <c r="MYW1512"/>
      <c r="MYX1512"/>
      <c r="MYY1512"/>
      <c r="MYZ1512"/>
      <c r="MZA1512"/>
      <c r="MZB1512"/>
      <c r="MZC1512"/>
      <c r="MZD1512"/>
      <c r="MZE1512"/>
      <c r="MZF1512"/>
      <c r="MZG1512"/>
      <c r="MZH1512"/>
      <c r="MZI1512"/>
      <c r="MZJ1512"/>
      <c r="MZK1512"/>
      <c r="MZL1512"/>
      <c r="MZM1512"/>
      <c r="MZN1512"/>
      <c r="MZO1512"/>
      <c r="MZP1512"/>
      <c r="MZQ1512"/>
      <c r="MZR1512"/>
      <c r="MZS1512"/>
      <c r="MZT1512"/>
      <c r="MZU1512"/>
      <c r="MZV1512"/>
      <c r="MZW1512"/>
      <c r="MZX1512"/>
      <c r="MZY1512"/>
      <c r="MZZ1512"/>
      <c r="NAA1512"/>
      <c r="NAB1512"/>
      <c r="NAC1512"/>
      <c r="NAD1512"/>
      <c r="NAE1512"/>
      <c r="NAF1512"/>
      <c r="NAG1512"/>
      <c r="NAH1512"/>
      <c r="NAI1512"/>
      <c r="NAJ1512"/>
      <c r="NAK1512"/>
      <c r="NAL1512"/>
      <c r="NAM1512"/>
      <c r="NAN1512"/>
      <c r="NAO1512"/>
      <c r="NAP1512"/>
      <c r="NAQ1512"/>
      <c r="NAR1512"/>
      <c r="NAS1512"/>
      <c r="NAT1512"/>
      <c r="NAU1512"/>
      <c r="NAV1512"/>
      <c r="NAW1512"/>
      <c r="NAX1512"/>
      <c r="NAY1512"/>
      <c r="NAZ1512"/>
      <c r="NBA1512"/>
      <c r="NBB1512"/>
      <c r="NBC1512"/>
      <c r="NBD1512"/>
      <c r="NBE1512"/>
      <c r="NBF1512"/>
      <c r="NBG1512"/>
      <c r="NBH1512"/>
      <c r="NBI1512"/>
      <c r="NBJ1512"/>
      <c r="NBK1512"/>
      <c r="NBL1512"/>
      <c r="NBM1512"/>
      <c r="NBN1512"/>
      <c r="NBO1512"/>
      <c r="NBP1512"/>
      <c r="NBQ1512"/>
      <c r="NBR1512"/>
      <c r="NBS1512"/>
      <c r="NBT1512"/>
      <c r="NBU1512"/>
      <c r="NBV1512"/>
      <c r="NBW1512"/>
      <c r="NBX1512"/>
      <c r="NBY1512"/>
      <c r="NBZ1512"/>
      <c r="NCA1512"/>
      <c r="NCB1512"/>
      <c r="NCC1512"/>
      <c r="NCD1512"/>
      <c r="NCE1512"/>
      <c r="NCF1512"/>
      <c r="NCG1512"/>
      <c r="NCH1512"/>
      <c r="NCI1512"/>
      <c r="NCJ1512"/>
      <c r="NCK1512"/>
      <c r="NCL1512"/>
      <c r="NCM1512"/>
      <c r="NCN1512"/>
      <c r="NCO1512"/>
      <c r="NCP1512"/>
      <c r="NCQ1512"/>
      <c r="NCR1512"/>
      <c r="NCS1512"/>
      <c r="NCT1512"/>
      <c r="NCU1512"/>
      <c r="NCV1512"/>
      <c r="NCW1512"/>
      <c r="NCX1512"/>
      <c r="NCY1512"/>
      <c r="NCZ1512"/>
      <c r="NDA1512"/>
      <c r="NDB1512"/>
      <c r="NDC1512"/>
      <c r="NDD1512"/>
      <c r="NDE1512"/>
      <c r="NDF1512"/>
      <c r="NDG1512"/>
      <c r="NDH1512"/>
      <c r="NDI1512"/>
      <c r="NDJ1512"/>
      <c r="NDK1512"/>
      <c r="NDL1512"/>
      <c r="NDM1512"/>
      <c r="NDN1512"/>
      <c r="NDO1512"/>
      <c r="NDP1512"/>
      <c r="NDQ1512"/>
      <c r="NDR1512"/>
      <c r="NDS1512"/>
      <c r="NDT1512"/>
      <c r="NDU1512"/>
      <c r="NDV1512"/>
      <c r="NDW1512"/>
      <c r="NDX1512"/>
      <c r="NDY1512"/>
      <c r="NDZ1512"/>
      <c r="NEA1512"/>
      <c r="NEB1512"/>
      <c r="NEC1512"/>
      <c r="NED1512"/>
      <c r="NEE1512"/>
      <c r="NEF1512"/>
      <c r="NEG1512"/>
      <c r="NEH1512"/>
      <c r="NEI1512"/>
      <c r="NEJ1512"/>
      <c r="NEK1512"/>
      <c r="NEL1512"/>
      <c r="NEM1512"/>
      <c r="NEN1512"/>
      <c r="NEO1512"/>
      <c r="NEP1512"/>
      <c r="NEQ1512"/>
      <c r="NER1512"/>
      <c r="NES1512"/>
      <c r="NET1512"/>
      <c r="NEU1512"/>
      <c r="NEV1512"/>
      <c r="NEW1512"/>
      <c r="NEX1512"/>
      <c r="NEY1512"/>
      <c r="NEZ1512"/>
      <c r="NFA1512"/>
      <c r="NFB1512"/>
      <c r="NFC1512"/>
      <c r="NFD1512"/>
      <c r="NFE1512"/>
      <c r="NFF1512"/>
      <c r="NFG1512"/>
      <c r="NFH1512"/>
      <c r="NFI1512"/>
      <c r="NFJ1512"/>
      <c r="NFK1512"/>
      <c r="NFL1512"/>
      <c r="NFM1512"/>
      <c r="NFN1512"/>
      <c r="NFO1512"/>
      <c r="NFP1512"/>
      <c r="NFQ1512"/>
      <c r="NFR1512"/>
      <c r="NFS1512"/>
      <c r="NFT1512"/>
      <c r="NFU1512"/>
      <c r="NFV1512"/>
      <c r="NFW1512"/>
      <c r="NFX1512"/>
      <c r="NFY1512"/>
      <c r="NFZ1512"/>
      <c r="NGA1512"/>
      <c r="NGB1512"/>
      <c r="NGC1512"/>
      <c r="NGD1512"/>
      <c r="NGE1512"/>
      <c r="NGF1512"/>
      <c r="NGG1512"/>
      <c r="NGH1512"/>
      <c r="NGI1512"/>
      <c r="NGJ1512"/>
      <c r="NGK1512"/>
      <c r="NGL1512"/>
      <c r="NGM1512"/>
      <c r="NGN1512"/>
      <c r="NGO1512"/>
      <c r="NGP1512"/>
      <c r="NGQ1512"/>
      <c r="NGR1512"/>
      <c r="NGS1512"/>
      <c r="NGT1512"/>
      <c r="NGU1512"/>
      <c r="NGV1512"/>
      <c r="NGW1512"/>
      <c r="NGX1512"/>
      <c r="NGY1512"/>
      <c r="NGZ1512"/>
      <c r="NHA1512"/>
      <c r="NHB1512"/>
      <c r="NHC1512"/>
      <c r="NHD1512"/>
      <c r="NHE1512"/>
      <c r="NHF1512"/>
      <c r="NHG1512"/>
      <c r="NHH1512"/>
      <c r="NHI1512"/>
      <c r="NHJ1512"/>
      <c r="NHK1512"/>
      <c r="NHL1512"/>
      <c r="NHM1512"/>
      <c r="NHN1512"/>
      <c r="NHO1512"/>
      <c r="NHP1512"/>
      <c r="NHQ1512"/>
      <c r="NHR1512"/>
      <c r="NHS1512"/>
      <c r="NHT1512"/>
      <c r="NHU1512"/>
      <c r="NHV1512"/>
      <c r="NHW1512"/>
      <c r="NHX1512"/>
      <c r="NHY1512"/>
      <c r="NHZ1512"/>
      <c r="NIA1512"/>
      <c r="NIB1512"/>
      <c r="NIC1512"/>
      <c r="NID1512"/>
      <c r="NIE1512"/>
      <c r="NIF1512"/>
      <c r="NIG1512"/>
      <c r="NIH1512"/>
      <c r="NII1512"/>
      <c r="NIJ1512"/>
      <c r="NIK1512"/>
      <c r="NIL1512"/>
      <c r="NIM1512"/>
      <c r="NIN1512"/>
      <c r="NIO1512"/>
      <c r="NIP1512"/>
      <c r="NIQ1512"/>
      <c r="NIR1512"/>
      <c r="NIS1512"/>
      <c r="NIT1512"/>
      <c r="NIU1512"/>
      <c r="NIV1512"/>
      <c r="NIW1512"/>
      <c r="NIX1512"/>
      <c r="NIY1512"/>
      <c r="NIZ1512"/>
      <c r="NJA1512"/>
      <c r="NJB1512"/>
      <c r="NJC1512"/>
      <c r="NJD1512"/>
      <c r="NJE1512"/>
      <c r="NJF1512"/>
      <c r="NJG1512"/>
      <c r="NJH1512"/>
      <c r="NJI1512"/>
      <c r="NJJ1512"/>
      <c r="NJK1512"/>
      <c r="NJL1512"/>
      <c r="NJM1512"/>
      <c r="NJN1512"/>
      <c r="NJO1512"/>
      <c r="NJP1512"/>
      <c r="NJQ1512"/>
      <c r="NJR1512"/>
      <c r="NJS1512"/>
      <c r="NJT1512"/>
      <c r="NJU1512"/>
      <c r="NJV1512"/>
      <c r="NJW1512"/>
      <c r="NJX1512"/>
      <c r="NJY1512"/>
      <c r="NJZ1512"/>
      <c r="NKA1512"/>
      <c r="NKB1512"/>
      <c r="NKC1512"/>
      <c r="NKD1512"/>
      <c r="NKE1512"/>
      <c r="NKF1512"/>
      <c r="NKG1512"/>
      <c r="NKH1512"/>
      <c r="NKI1512"/>
      <c r="NKJ1512"/>
      <c r="NKK1512"/>
      <c r="NKL1512"/>
      <c r="NKM1512"/>
      <c r="NKN1512"/>
      <c r="NKO1512"/>
      <c r="NKP1512"/>
      <c r="NKQ1512"/>
      <c r="NKR1512"/>
      <c r="NKS1512"/>
      <c r="NKT1512"/>
      <c r="NKU1512"/>
      <c r="NKV1512"/>
      <c r="NKW1512"/>
      <c r="NKX1512"/>
      <c r="NKY1512"/>
      <c r="NKZ1512"/>
      <c r="NLA1512"/>
      <c r="NLB1512"/>
      <c r="NLC1512"/>
      <c r="NLD1512"/>
      <c r="NLE1512"/>
      <c r="NLF1512"/>
      <c r="NLG1512"/>
      <c r="NLH1512"/>
      <c r="NLI1512"/>
      <c r="NLJ1512"/>
      <c r="NLK1512"/>
      <c r="NLL1512"/>
      <c r="NLM1512"/>
      <c r="NLN1512"/>
      <c r="NLO1512"/>
      <c r="NLP1512"/>
      <c r="NLQ1512"/>
      <c r="NLR1512"/>
      <c r="NLS1512"/>
      <c r="NLT1512"/>
      <c r="NLU1512"/>
      <c r="NLV1512"/>
      <c r="NLW1512"/>
      <c r="NLX1512"/>
      <c r="NLY1512"/>
      <c r="NLZ1512"/>
      <c r="NMA1512"/>
      <c r="NMB1512"/>
      <c r="NMC1512"/>
      <c r="NMD1512"/>
      <c r="NME1512"/>
      <c r="NMF1512"/>
      <c r="NMG1512"/>
      <c r="NMH1512"/>
      <c r="NMI1512"/>
      <c r="NMJ1512"/>
      <c r="NMK1512"/>
      <c r="NML1512"/>
      <c r="NMM1512"/>
      <c r="NMN1512"/>
      <c r="NMO1512"/>
      <c r="NMP1512"/>
      <c r="NMQ1512"/>
      <c r="NMR1512"/>
      <c r="NMS1512"/>
      <c r="NMT1512"/>
      <c r="NMU1512"/>
      <c r="NMV1512"/>
      <c r="NMW1512"/>
      <c r="NMX1512"/>
      <c r="NMY1512"/>
      <c r="NMZ1512"/>
      <c r="NNA1512"/>
      <c r="NNB1512"/>
      <c r="NNC1512"/>
      <c r="NND1512"/>
      <c r="NNE1512"/>
      <c r="NNF1512"/>
      <c r="NNG1512"/>
      <c r="NNH1512"/>
      <c r="NNI1512"/>
      <c r="NNJ1512"/>
      <c r="NNK1512"/>
      <c r="NNL1512"/>
      <c r="NNM1512"/>
      <c r="NNN1512"/>
      <c r="NNO1512"/>
      <c r="NNP1512"/>
      <c r="NNQ1512"/>
      <c r="NNR1512"/>
      <c r="NNS1512"/>
      <c r="NNT1512"/>
      <c r="NNU1512"/>
      <c r="NNV1512"/>
      <c r="NNW1512"/>
      <c r="NNX1512"/>
      <c r="NNY1512"/>
      <c r="NNZ1512"/>
      <c r="NOA1512"/>
      <c r="NOB1512"/>
      <c r="NOC1512"/>
      <c r="NOD1512"/>
      <c r="NOE1512"/>
      <c r="NOF1512"/>
      <c r="NOG1512"/>
      <c r="NOH1512"/>
      <c r="NOI1512"/>
      <c r="NOJ1512"/>
      <c r="NOK1512"/>
      <c r="NOL1512"/>
      <c r="NOM1512"/>
      <c r="NON1512"/>
      <c r="NOO1512"/>
      <c r="NOP1512"/>
      <c r="NOQ1512"/>
      <c r="NOR1512"/>
      <c r="NOS1512"/>
      <c r="NOT1512"/>
      <c r="NOU1512"/>
      <c r="NOV1512"/>
      <c r="NOW1512"/>
      <c r="NOX1512"/>
      <c r="NOY1512"/>
      <c r="NOZ1512"/>
      <c r="NPA1512"/>
      <c r="NPB1512"/>
      <c r="NPC1512"/>
      <c r="NPD1512"/>
      <c r="NPE1512"/>
      <c r="NPF1512"/>
      <c r="NPG1512"/>
      <c r="NPH1512"/>
      <c r="NPI1512"/>
      <c r="NPJ1512"/>
      <c r="NPK1512"/>
      <c r="NPL1512"/>
      <c r="NPM1512"/>
      <c r="NPN1512"/>
      <c r="NPO1512"/>
      <c r="NPP1512"/>
      <c r="NPQ1512"/>
      <c r="NPR1512"/>
      <c r="NPS1512"/>
      <c r="NPT1512"/>
      <c r="NPU1512"/>
      <c r="NPV1512"/>
      <c r="NPW1512"/>
      <c r="NPX1512"/>
      <c r="NPY1512"/>
      <c r="NPZ1512"/>
      <c r="NQA1512"/>
      <c r="NQB1512"/>
      <c r="NQC1512"/>
      <c r="NQD1512"/>
      <c r="NQE1512"/>
      <c r="NQF1512"/>
      <c r="NQG1512"/>
      <c r="NQH1512"/>
      <c r="NQI1512"/>
      <c r="NQJ1512"/>
      <c r="NQK1512"/>
      <c r="NQL1512"/>
      <c r="NQM1512"/>
      <c r="NQN1512"/>
      <c r="NQO1512"/>
      <c r="NQP1512"/>
      <c r="NQQ1512"/>
      <c r="NQR1512"/>
      <c r="NQS1512"/>
      <c r="NQT1512"/>
      <c r="NQU1512"/>
      <c r="NQV1512"/>
      <c r="NQW1512"/>
      <c r="NQX1512"/>
      <c r="NQY1512"/>
      <c r="NQZ1512"/>
      <c r="NRA1512"/>
      <c r="NRB1512"/>
      <c r="NRC1512"/>
      <c r="NRD1512"/>
      <c r="NRE1512"/>
      <c r="NRF1512"/>
      <c r="NRG1512"/>
      <c r="NRH1512"/>
      <c r="NRI1512"/>
      <c r="NRJ1512"/>
      <c r="NRK1512"/>
      <c r="NRL1512"/>
      <c r="NRM1512"/>
      <c r="NRN1512"/>
      <c r="NRO1512"/>
      <c r="NRP1512"/>
      <c r="NRQ1512"/>
      <c r="NRR1512"/>
      <c r="NRS1512"/>
      <c r="NRT1512"/>
      <c r="NRU1512"/>
      <c r="NRV1512"/>
      <c r="NRW1512"/>
      <c r="NRX1512"/>
      <c r="NRY1512"/>
      <c r="NRZ1512"/>
      <c r="NSA1512"/>
      <c r="NSB1512"/>
      <c r="NSC1512"/>
      <c r="NSD1512"/>
      <c r="NSE1512"/>
      <c r="NSF1512"/>
      <c r="NSG1512"/>
      <c r="NSH1512"/>
      <c r="NSI1512"/>
      <c r="NSJ1512"/>
      <c r="NSK1512"/>
      <c r="NSL1512"/>
      <c r="NSM1512"/>
      <c r="NSN1512"/>
      <c r="NSO1512"/>
      <c r="NSP1512"/>
      <c r="NSQ1512"/>
      <c r="NSR1512"/>
      <c r="NSS1512"/>
      <c r="NST1512"/>
      <c r="NSU1512"/>
      <c r="NSV1512"/>
      <c r="NSW1512"/>
      <c r="NSX1512"/>
      <c r="NSY1512"/>
      <c r="NSZ1512"/>
      <c r="NTA1512"/>
      <c r="NTB1512"/>
      <c r="NTC1512"/>
      <c r="NTD1512"/>
      <c r="NTE1512"/>
      <c r="NTF1512"/>
      <c r="NTG1512"/>
      <c r="NTH1512"/>
      <c r="NTI1512"/>
      <c r="NTJ1512"/>
      <c r="NTK1512"/>
      <c r="NTL1512"/>
      <c r="NTM1512"/>
      <c r="NTN1512"/>
      <c r="NTO1512"/>
      <c r="NTP1512"/>
      <c r="NTQ1512"/>
      <c r="NTR1512"/>
      <c r="NTS1512"/>
      <c r="NTT1512"/>
      <c r="NTU1512"/>
      <c r="NTV1512"/>
      <c r="NTW1512"/>
      <c r="NTX1512"/>
      <c r="NTY1512"/>
      <c r="NTZ1512"/>
      <c r="NUA1512"/>
      <c r="NUB1512"/>
      <c r="NUC1512"/>
      <c r="NUD1512"/>
      <c r="NUE1512"/>
      <c r="NUF1512"/>
      <c r="NUG1512"/>
      <c r="NUH1512"/>
      <c r="NUI1512"/>
      <c r="NUJ1512"/>
      <c r="NUK1512"/>
      <c r="NUL1512"/>
      <c r="NUM1512"/>
      <c r="NUN1512"/>
      <c r="NUO1512"/>
      <c r="NUP1512"/>
      <c r="NUQ1512"/>
      <c r="NUR1512"/>
      <c r="NUS1512"/>
      <c r="NUT1512"/>
      <c r="NUU1512"/>
      <c r="NUV1512"/>
      <c r="NUW1512"/>
      <c r="NUX1512"/>
      <c r="NUY1512"/>
      <c r="NUZ1512"/>
      <c r="NVA1512"/>
      <c r="NVB1512"/>
      <c r="NVC1512"/>
      <c r="NVD1512"/>
      <c r="NVE1512"/>
      <c r="NVF1512"/>
      <c r="NVG1512"/>
      <c r="NVH1512"/>
      <c r="NVI1512"/>
      <c r="NVJ1512"/>
      <c r="NVK1512"/>
      <c r="NVL1512"/>
      <c r="NVM1512"/>
      <c r="NVN1512"/>
      <c r="NVO1512"/>
      <c r="NVP1512"/>
      <c r="NVQ1512"/>
      <c r="NVR1512"/>
      <c r="NVS1512"/>
      <c r="NVT1512"/>
      <c r="NVU1512"/>
      <c r="NVV1512"/>
      <c r="NVW1512"/>
      <c r="NVX1512"/>
      <c r="NVY1512"/>
      <c r="NVZ1512"/>
      <c r="NWA1512"/>
      <c r="NWB1512"/>
      <c r="NWC1512"/>
      <c r="NWD1512"/>
      <c r="NWE1512"/>
      <c r="NWF1512"/>
      <c r="NWG1512"/>
      <c r="NWH1512"/>
      <c r="NWI1512"/>
      <c r="NWJ1512"/>
      <c r="NWK1512"/>
      <c r="NWL1512"/>
      <c r="NWM1512"/>
      <c r="NWN1512"/>
      <c r="NWO1512"/>
      <c r="NWP1512"/>
      <c r="NWQ1512"/>
      <c r="NWR1512"/>
      <c r="NWS1512"/>
      <c r="NWT1512"/>
      <c r="NWU1512"/>
      <c r="NWV1512"/>
      <c r="NWW1512"/>
      <c r="NWX1512"/>
      <c r="NWY1512"/>
      <c r="NWZ1512"/>
      <c r="NXA1512"/>
      <c r="NXB1512"/>
      <c r="NXC1512"/>
      <c r="NXD1512"/>
      <c r="NXE1512"/>
      <c r="NXF1512"/>
      <c r="NXG1512"/>
      <c r="NXH1512"/>
      <c r="NXI1512"/>
      <c r="NXJ1512"/>
      <c r="NXK1512"/>
      <c r="NXL1512"/>
      <c r="NXM1512"/>
      <c r="NXN1512"/>
      <c r="NXO1512"/>
      <c r="NXP1512"/>
      <c r="NXQ1512"/>
      <c r="NXR1512"/>
      <c r="NXS1512"/>
      <c r="NXT1512"/>
      <c r="NXU1512"/>
      <c r="NXV1512"/>
      <c r="NXW1512"/>
      <c r="NXX1512"/>
      <c r="NXY1512"/>
      <c r="NXZ1512"/>
      <c r="NYA1512"/>
      <c r="NYB1512"/>
      <c r="NYC1512"/>
      <c r="NYD1512"/>
      <c r="NYE1512"/>
      <c r="NYF1512"/>
      <c r="NYG1512"/>
      <c r="NYH1512"/>
      <c r="NYI1512"/>
      <c r="NYJ1512"/>
      <c r="NYK1512"/>
      <c r="NYL1512"/>
      <c r="NYM1512"/>
      <c r="NYN1512"/>
      <c r="NYO1512"/>
      <c r="NYP1512"/>
      <c r="NYQ1512"/>
      <c r="NYR1512"/>
      <c r="NYS1512"/>
      <c r="NYT1512"/>
      <c r="NYU1512"/>
      <c r="NYV1512"/>
      <c r="NYW1512"/>
      <c r="NYX1512"/>
      <c r="NYY1512"/>
      <c r="NYZ1512"/>
      <c r="NZA1512"/>
      <c r="NZB1512"/>
      <c r="NZC1512"/>
      <c r="NZD1512"/>
      <c r="NZE1512"/>
      <c r="NZF1512"/>
      <c r="NZG1512"/>
      <c r="NZH1512"/>
      <c r="NZI1512"/>
      <c r="NZJ1512"/>
      <c r="NZK1512"/>
      <c r="NZL1512"/>
      <c r="NZM1512"/>
      <c r="NZN1512"/>
      <c r="NZO1512"/>
      <c r="NZP1512"/>
      <c r="NZQ1512"/>
      <c r="NZR1512"/>
      <c r="NZS1512"/>
      <c r="NZT1512"/>
      <c r="NZU1512"/>
      <c r="NZV1512"/>
      <c r="NZW1512"/>
      <c r="NZX1512"/>
      <c r="NZY1512"/>
      <c r="NZZ1512"/>
      <c r="OAA1512"/>
      <c r="OAB1512"/>
      <c r="OAC1512"/>
      <c r="OAD1512"/>
      <c r="OAE1512"/>
      <c r="OAF1512"/>
      <c r="OAG1512"/>
      <c r="OAH1512"/>
      <c r="OAI1512"/>
      <c r="OAJ1512"/>
      <c r="OAK1512"/>
      <c r="OAL1512"/>
      <c r="OAM1512"/>
      <c r="OAN1512"/>
      <c r="OAO1512"/>
      <c r="OAP1512"/>
      <c r="OAQ1512"/>
      <c r="OAR1512"/>
      <c r="OAS1512"/>
      <c r="OAT1512"/>
      <c r="OAU1512"/>
      <c r="OAV1512"/>
      <c r="OAW1512"/>
      <c r="OAX1512"/>
      <c r="OAY1512"/>
      <c r="OAZ1512"/>
      <c r="OBA1512"/>
      <c r="OBB1512"/>
      <c r="OBC1512"/>
      <c r="OBD1512"/>
      <c r="OBE1512"/>
      <c r="OBF1512"/>
      <c r="OBG1512"/>
      <c r="OBH1512"/>
      <c r="OBI1512"/>
      <c r="OBJ1512"/>
      <c r="OBK1512"/>
      <c r="OBL1512"/>
      <c r="OBM1512"/>
      <c r="OBN1512"/>
      <c r="OBO1512"/>
      <c r="OBP1512"/>
      <c r="OBQ1512"/>
      <c r="OBR1512"/>
      <c r="OBS1512"/>
      <c r="OBT1512"/>
      <c r="OBU1512"/>
      <c r="OBV1512"/>
      <c r="OBW1512"/>
      <c r="OBX1512"/>
      <c r="OBY1512"/>
      <c r="OBZ1512"/>
      <c r="OCA1512"/>
      <c r="OCB1512"/>
      <c r="OCC1512"/>
      <c r="OCD1512"/>
      <c r="OCE1512"/>
      <c r="OCF1512"/>
      <c r="OCG1512"/>
      <c r="OCH1512"/>
      <c r="OCI1512"/>
      <c r="OCJ1512"/>
      <c r="OCK1512"/>
      <c r="OCL1512"/>
      <c r="OCM1512"/>
      <c r="OCN1512"/>
      <c r="OCO1512"/>
      <c r="OCP1512"/>
      <c r="OCQ1512"/>
      <c r="OCR1512"/>
      <c r="OCS1512"/>
      <c r="OCT1512"/>
      <c r="OCU1512"/>
      <c r="OCV1512"/>
      <c r="OCW1512"/>
      <c r="OCX1512"/>
      <c r="OCY1512"/>
      <c r="OCZ1512"/>
      <c r="ODA1512"/>
      <c r="ODB1512"/>
      <c r="ODC1512"/>
      <c r="ODD1512"/>
      <c r="ODE1512"/>
      <c r="ODF1512"/>
      <c r="ODG1512"/>
      <c r="ODH1512"/>
      <c r="ODI1512"/>
      <c r="ODJ1512"/>
      <c r="ODK1512"/>
      <c r="ODL1512"/>
      <c r="ODM1512"/>
      <c r="ODN1512"/>
      <c r="ODO1512"/>
      <c r="ODP1512"/>
      <c r="ODQ1512"/>
      <c r="ODR1512"/>
      <c r="ODS1512"/>
      <c r="ODT1512"/>
      <c r="ODU1512"/>
      <c r="ODV1512"/>
      <c r="ODW1512"/>
      <c r="ODX1512"/>
      <c r="ODY1512"/>
      <c r="ODZ1512"/>
      <c r="OEA1512"/>
      <c r="OEB1512"/>
      <c r="OEC1512"/>
      <c r="OED1512"/>
      <c r="OEE1512"/>
      <c r="OEF1512"/>
      <c r="OEG1512"/>
      <c r="OEH1512"/>
      <c r="OEI1512"/>
      <c r="OEJ1512"/>
      <c r="OEK1512"/>
      <c r="OEL1512"/>
      <c r="OEM1512"/>
      <c r="OEN1512"/>
      <c r="OEO1512"/>
      <c r="OEP1512"/>
      <c r="OEQ1512"/>
      <c r="OER1512"/>
      <c r="OES1512"/>
      <c r="OET1512"/>
      <c r="OEU1512"/>
      <c r="OEV1512"/>
      <c r="OEW1512"/>
      <c r="OEX1512"/>
      <c r="OEY1512"/>
      <c r="OEZ1512"/>
      <c r="OFA1512"/>
      <c r="OFB1512"/>
      <c r="OFC1512"/>
      <c r="OFD1512"/>
      <c r="OFE1512"/>
      <c r="OFF1512"/>
      <c r="OFG1512"/>
      <c r="OFH1512"/>
      <c r="OFI1512"/>
      <c r="OFJ1512"/>
      <c r="OFK1512"/>
      <c r="OFL1512"/>
      <c r="OFM1512"/>
      <c r="OFN1512"/>
      <c r="OFO1512"/>
      <c r="OFP1512"/>
      <c r="OFQ1512"/>
      <c r="OFR1512"/>
      <c r="OFS1512"/>
      <c r="OFT1512"/>
      <c r="OFU1512"/>
      <c r="OFV1512"/>
      <c r="OFW1512"/>
      <c r="OFX1512"/>
      <c r="OFY1512"/>
      <c r="OFZ1512"/>
      <c r="OGA1512"/>
      <c r="OGB1512"/>
      <c r="OGC1512"/>
      <c r="OGD1512"/>
      <c r="OGE1512"/>
      <c r="OGF1512"/>
      <c r="OGG1512"/>
      <c r="OGH1512"/>
      <c r="OGI1512"/>
      <c r="OGJ1512"/>
      <c r="OGK1512"/>
      <c r="OGL1512"/>
      <c r="OGM1512"/>
      <c r="OGN1512"/>
      <c r="OGO1512"/>
      <c r="OGP1512"/>
      <c r="OGQ1512"/>
      <c r="OGR1512"/>
      <c r="OGS1512"/>
      <c r="OGT1512"/>
      <c r="OGU1512"/>
      <c r="OGV1512"/>
      <c r="OGW1512"/>
      <c r="OGX1512"/>
      <c r="OGY1512"/>
      <c r="OGZ1512"/>
      <c r="OHA1512"/>
      <c r="OHB1512"/>
      <c r="OHC1512"/>
      <c r="OHD1512"/>
      <c r="OHE1512"/>
      <c r="OHF1512"/>
      <c r="OHG1512"/>
      <c r="OHH1512"/>
      <c r="OHI1512"/>
      <c r="OHJ1512"/>
      <c r="OHK1512"/>
      <c r="OHL1512"/>
      <c r="OHM1512"/>
      <c r="OHN1512"/>
      <c r="OHO1512"/>
      <c r="OHP1512"/>
      <c r="OHQ1512"/>
      <c r="OHR1512"/>
      <c r="OHS1512"/>
      <c r="OHT1512"/>
      <c r="OHU1512"/>
      <c r="OHV1512"/>
      <c r="OHW1512"/>
      <c r="OHX1512"/>
      <c r="OHY1512"/>
      <c r="OHZ1512"/>
      <c r="OIA1512"/>
      <c r="OIB1512"/>
      <c r="OIC1512"/>
      <c r="OID1512"/>
      <c r="OIE1512"/>
      <c r="OIF1512"/>
      <c r="OIG1512"/>
      <c r="OIH1512"/>
      <c r="OII1512"/>
      <c r="OIJ1512"/>
      <c r="OIK1512"/>
      <c r="OIL1512"/>
      <c r="OIM1512"/>
      <c r="OIN1512"/>
      <c r="OIO1512"/>
      <c r="OIP1512"/>
      <c r="OIQ1512"/>
      <c r="OIR1512"/>
      <c r="OIS1512"/>
      <c r="OIT1512"/>
      <c r="OIU1512"/>
      <c r="OIV1512"/>
      <c r="OIW1512"/>
      <c r="OIX1512"/>
      <c r="OIY1512"/>
      <c r="OIZ1512"/>
      <c r="OJA1512"/>
      <c r="OJB1512"/>
      <c r="OJC1512"/>
      <c r="OJD1512"/>
      <c r="OJE1512"/>
      <c r="OJF1512"/>
      <c r="OJG1512"/>
      <c r="OJH1512"/>
      <c r="OJI1512"/>
      <c r="OJJ1512"/>
      <c r="OJK1512"/>
      <c r="OJL1512"/>
      <c r="OJM1512"/>
      <c r="OJN1512"/>
      <c r="OJO1512"/>
      <c r="OJP1512"/>
      <c r="OJQ1512"/>
      <c r="OJR1512"/>
      <c r="OJS1512"/>
      <c r="OJT1512"/>
      <c r="OJU1512"/>
      <c r="OJV1512"/>
      <c r="OJW1512"/>
      <c r="OJX1512"/>
      <c r="OJY1512"/>
      <c r="OJZ1512"/>
      <c r="OKA1512"/>
      <c r="OKB1512"/>
      <c r="OKC1512"/>
      <c r="OKD1512"/>
      <c r="OKE1512"/>
      <c r="OKF1512"/>
      <c r="OKG1512"/>
      <c r="OKH1512"/>
      <c r="OKI1512"/>
      <c r="OKJ1512"/>
      <c r="OKK1512"/>
      <c r="OKL1512"/>
      <c r="OKM1512"/>
      <c r="OKN1512"/>
      <c r="OKO1512"/>
      <c r="OKP1512"/>
      <c r="OKQ1512"/>
      <c r="OKR1512"/>
      <c r="OKS1512"/>
      <c r="OKT1512"/>
      <c r="OKU1512"/>
      <c r="OKV1512"/>
      <c r="OKW1512"/>
      <c r="OKX1512"/>
      <c r="OKY1512"/>
      <c r="OKZ1512"/>
      <c r="OLA1512"/>
      <c r="OLB1512"/>
      <c r="OLC1512"/>
      <c r="OLD1512"/>
      <c r="OLE1512"/>
      <c r="OLF1512"/>
      <c r="OLG1512"/>
      <c r="OLH1512"/>
      <c r="OLI1512"/>
      <c r="OLJ1512"/>
      <c r="OLK1512"/>
      <c r="OLL1512"/>
      <c r="OLM1512"/>
      <c r="OLN1512"/>
      <c r="OLO1512"/>
      <c r="OLP1512"/>
      <c r="OLQ1512"/>
      <c r="OLR1512"/>
      <c r="OLS1512"/>
      <c r="OLT1512"/>
      <c r="OLU1512"/>
      <c r="OLV1512"/>
      <c r="OLW1512"/>
      <c r="OLX1512"/>
      <c r="OLY1512"/>
      <c r="OLZ1512"/>
      <c r="OMA1512"/>
      <c r="OMB1512"/>
      <c r="OMC1512"/>
      <c r="OMD1512"/>
      <c r="OME1512"/>
      <c r="OMF1512"/>
      <c r="OMG1512"/>
      <c r="OMH1512"/>
      <c r="OMI1512"/>
      <c r="OMJ1512"/>
      <c r="OMK1512"/>
      <c r="OML1512"/>
      <c r="OMM1512"/>
      <c r="OMN1512"/>
      <c r="OMO1512"/>
      <c r="OMP1512"/>
      <c r="OMQ1512"/>
      <c r="OMR1512"/>
      <c r="OMS1512"/>
      <c r="OMT1512"/>
      <c r="OMU1512"/>
      <c r="OMV1512"/>
      <c r="OMW1512"/>
      <c r="OMX1512"/>
      <c r="OMY1512"/>
      <c r="OMZ1512"/>
      <c r="ONA1512"/>
      <c r="ONB1512"/>
      <c r="ONC1512"/>
      <c r="OND1512"/>
      <c r="ONE1512"/>
      <c r="ONF1512"/>
      <c r="ONG1512"/>
      <c r="ONH1512"/>
      <c r="ONI1512"/>
      <c r="ONJ1512"/>
      <c r="ONK1512"/>
      <c r="ONL1512"/>
      <c r="ONM1512"/>
      <c r="ONN1512"/>
      <c r="ONO1512"/>
      <c r="ONP1512"/>
      <c r="ONQ1512"/>
      <c r="ONR1512"/>
      <c r="ONS1512"/>
      <c r="ONT1512"/>
      <c r="ONU1512"/>
      <c r="ONV1512"/>
      <c r="ONW1512"/>
      <c r="ONX1512"/>
      <c r="ONY1512"/>
      <c r="ONZ1512"/>
      <c r="OOA1512"/>
      <c r="OOB1512"/>
      <c r="OOC1512"/>
      <c r="OOD1512"/>
      <c r="OOE1512"/>
      <c r="OOF1512"/>
      <c r="OOG1512"/>
      <c r="OOH1512"/>
      <c r="OOI1512"/>
      <c r="OOJ1512"/>
      <c r="OOK1512"/>
      <c r="OOL1512"/>
      <c r="OOM1512"/>
      <c r="OON1512"/>
      <c r="OOO1512"/>
      <c r="OOP1512"/>
      <c r="OOQ1512"/>
      <c r="OOR1512"/>
      <c r="OOS1512"/>
      <c r="OOT1512"/>
      <c r="OOU1512"/>
      <c r="OOV1512"/>
      <c r="OOW1512"/>
      <c r="OOX1512"/>
      <c r="OOY1512"/>
      <c r="OOZ1512"/>
      <c r="OPA1512"/>
      <c r="OPB1512"/>
      <c r="OPC1512"/>
      <c r="OPD1512"/>
      <c r="OPE1512"/>
      <c r="OPF1512"/>
      <c r="OPG1512"/>
      <c r="OPH1512"/>
      <c r="OPI1512"/>
      <c r="OPJ1512"/>
      <c r="OPK1512"/>
      <c r="OPL1512"/>
      <c r="OPM1512"/>
      <c r="OPN1512"/>
      <c r="OPO1512"/>
      <c r="OPP1512"/>
      <c r="OPQ1512"/>
      <c r="OPR1512"/>
      <c r="OPS1512"/>
      <c r="OPT1512"/>
      <c r="OPU1512"/>
      <c r="OPV1512"/>
      <c r="OPW1512"/>
      <c r="OPX1512"/>
      <c r="OPY1512"/>
      <c r="OPZ1512"/>
      <c r="OQA1512"/>
      <c r="OQB1512"/>
      <c r="OQC1512"/>
      <c r="OQD1512"/>
      <c r="OQE1512"/>
      <c r="OQF1512"/>
      <c r="OQG1512"/>
      <c r="OQH1512"/>
      <c r="OQI1512"/>
      <c r="OQJ1512"/>
      <c r="OQK1512"/>
      <c r="OQL1512"/>
      <c r="OQM1512"/>
      <c r="OQN1512"/>
      <c r="OQO1512"/>
      <c r="OQP1512"/>
      <c r="OQQ1512"/>
      <c r="OQR1512"/>
      <c r="OQS1512"/>
      <c r="OQT1512"/>
      <c r="OQU1512"/>
      <c r="OQV1512"/>
      <c r="OQW1512"/>
      <c r="OQX1512"/>
      <c r="OQY1512"/>
      <c r="OQZ1512"/>
      <c r="ORA1512"/>
      <c r="ORB1512"/>
      <c r="ORC1512"/>
      <c r="ORD1512"/>
      <c r="ORE1512"/>
      <c r="ORF1512"/>
      <c r="ORG1512"/>
      <c r="ORH1512"/>
      <c r="ORI1512"/>
      <c r="ORJ1512"/>
      <c r="ORK1512"/>
      <c r="ORL1512"/>
      <c r="ORM1512"/>
      <c r="ORN1512"/>
      <c r="ORO1512"/>
      <c r="ORP1512"/>
      <c r="ORQ1512"/>
      <c r="ORR1512"/>
      <c r="ORS1512"/>
      <c r="ORT1512"/>
      <c r="ORU1512"/>
      <c r="ORV1512"/>
      <c r="ORW1512"/>
      <c r="ORX1512"/>
      <c r="ORY1512"/>
      <c r="ORZ1512"/>
      <c r="OSA1512"/>
      <c r="OSB1512"/>
      <c r="OSC1512"/>
      <c r="OSD1512"/>
      <c r="OSE1512"/>
      <c r="OSF1512"/>
      <c r="OSG1512"/>
      <c r="OSH1512"/>
      <c r="OSI1512"/>
      <c r="OSJ1512"/>
      <c r="OSK1512"/>
      <c r="OSL1512"/>
      <c r="OSM1512"/>
      <c r="OSN1512"/>
      <c r="OSO1512"/>
      <c r="OSP1512"/>
      <c r="OSQ1512"/>
      <c r="OSR1512"/>
      <c r="OSS1512"/>
      <c r="OST1512"/>
      <c r="OSU1512"/>
      <c r="OSV1512"/>
      <c r="OSW1512"/>
      <c r="OSX1512"/>
      <c r="OSY1512"/>
      <c r="OSZ1512"/>
      <c r="OTA1512"/>
      <c r="OTB1512"/>
      <c r="OTC1512"/>
      <c r="OTD1512"/>
      <c r="OTE1512"/>
      <c r="OTF1512"/>
      <c r="OTG1512"/>
      <c r="OTH1512"/>
      <c r="OTI1512"/>
      <c r="OTJ1512"/>
      <c r="OTK1512"/>
      <c r="OTL1512"/>
      <c r="OTM1512"/>
      <c r="OTN1512"/>
      <c r="OTO1512"/>
      <c r="OTP1512"/>
      <c r="OTQ1512"/>
      <c r="OTR1512"/>
      <c r="OTS1512"/>
      <c r="OTT1512"/>
      <c r="OTU1512"/>
      <c r="OTV1512"/>
      <c r="OTW1512"/>
      <c r="OTX1512"/>
      <c r="OTY1512"/>
      <c r="OTZ1512"/>
      <c r="OUA1512"/>
      <c r="OUB1512"/>
      <c r="OUC1512"/>
      <c r="OUD1512"/>
      <c r="OUE1512"/>
      <c r="OUF1512"/>
      <c r="OUG1512"/>
      <c r="OUH1512"/>
      <c r="OUI1512"/>
      <c r="OUJ1512"/>
      <c r="OUK1512"/>
      <c r="OUL1512"/>
      <c r="OUM1512"/>
      <c r="OUN1512"/>
      <c r="OUO1512"/>
      <c r="OUP1512"/>
      <c r="OUQ1512"/>
      <c r="OUR1512"/>
      <c r="OUS1512"/>
      <c r="OUT1512"/>
      <c r="OUU1512"/>
      <c r="OUV1512"/>
      <c r="OUW1512"/>
      <c r="OUX1512"/>
      <c r="OUY1512"/>
      <c r="OUZ1512"/>
      <c r="OVA1512"/>
      <c r="OVB1512"/>
      <c r="OVC1512"/>
      <c r="OVD1512"/>
      <c r="OVE1512"/>
      <c r="OVF1512"/>
      <c r="OVG1512"/>
      <c r="OVH1512"/>
      <c r="OVI1512"/>
      <c r="OVJ1512"/>
      <c r="OVK1512"/>
      <c r="OVL1512"/>
      <c r="OVM1512"/>
      <c r="OVN1512"/>
      <c r="OVO1512"/>
      <c r="OVP1512"/>
      <c r="OVQ1512"/>
      <c r="OVR1512"/>
      <c r="OVS1512"/>
      <c r="OVT1512"/>
      <c r="OVU1512"/>
      <c r="OVV1512"/>
      <c r="OVW1512"/>
      <c r="OVX1512"/>
      <c r="OVY1512"/>
      <c r="OVZ1512"/>
      <c r="OWA1512"/>
      <c r="OWB1512"/>
      <c r="OWC1512"/>
      <c r="OWD1512"/>
      <c r="OWE1512"/>
      <c r="OWF1512"/>
      <c r="OWG1512"/>
      <c r="OWH1512"/>
      <c r="OWI1512"/>
      <c r="OWJ1512"/>
      <c r="OWK1512"/>
      <c r="OWL1512"/>
      <c r="OWM1512"/>
      <c r="OWN1512"/>
      <c r="OWO1512"/>
      <c r="OWP1512"/>
      <c r="OWQ1512"/>
      <c r="OWR1512"/>
      <c r="OWS1512"/>
      <c r="OWT1512"/>
      <c r="OWU1512"/>
      <c r="OWV1512"/>
      <c r="OWW1512"/>
      <c r="OWX1512"/>
      <c r="OWY1512"/>
      <c r="OWZ1512"/>
      <c r="OXA1512"/>
      <c r="OXB1512"/>
      <c r="OXC1512"/>
      <c r="OXD1512"/>
      <c r="OXE1512"/>
      <c r="OXF1512"/>
      <c r="OXG1512"/>
      <c r="OXH1512"/>
      <c r="OXI1512"/>
      <c r="OXJ1512"/>
      <c r="OXK1512"/>
      <c r="OXL1512"/>
      <c r="OXM1512"/>
      <c r="OXN1512"/>
      <c r="OXO1512"/>
      <c r="OXP1512"/>
      <c r="OXQ1512"/>
      <c r="OXR1512"/>
      <c r="OXS1512"/>
      <c r="OXT1512"/>
      <c r="OXU1512"/>
      <c r="OXV1512"/>
      <c r="OXW1512"/>
      <c r="OXX1512"/>
      <c r="OXY1512"/>
      <c r="OXZ1512"/>
      <c r="OYA1512"/>
      <c r="OYB1512"/>
      <c r="OYC1512"/>
      <c r="OYD1512"/>
      <c r="OYE1512"/>
      <c r="OYF1512"/>
      <c r="OYG1512"/>
      <c r="OYH1512"/>
      <c r="OYI1512"/>
      <c r="OYJ1512"/>
      <c r="OYK1512"/>
      <c r="OYL1512"/>
      <c r="OYM1512"/>
      <c r="OYN1512"/>
      <c r="OYO1512"/>
      <c r="OYP1512"/>
      <c r="OYQ1512"/>
      <c r="OYR1512"/>
      <c r="OYS1512"/>
      <c r="OYT1512"/>
      <c r="OYU1512"/>
      <c r="OYV1512"/>
      <c r="OYW1512"/>
      <c r="OYX1512"/>
      <c r="OYY1512"/>
      <c r="OYZ1512"/>
      <c r="OZA1512"/>
      <c r="OZB1512"/>
      <c r="OZC1512"/>
      <c r="OZD1512"/>
      <c r="OZE1512"/>
      <c r="OZF1512"/>
      <c r="OZG1512"/>
      <c r="OZH1512"/>
      <c r="OZI1512"/>
      <c r="OZJ1512"/>
      <c r="OZK1512"/>
      <c r="OZL1512"/>
      <c r="OZM1512"/>
      <c r="OZN1512"/>
      <c r="OZO1512"/>
      <c r="OZP1512"/>
      <c r="OZQ1512"/>
      <c r="OZR1512"/>
      <c r="OZS1512"/>
      <c r="OZT1512"/>
      <c r="OZU1512"/>
      <c r="OZV1512"/>
      <c r="OZW1512"/>
      <c r="OZX1512"/>
      <c r="OZY1512"/>
      <c r="OZZ1512"/>
      <c r="PAA1512"/>
      <c r="PAB1512"/>
      <c r="PAC1512"/>
      <c r="PAD1512"/>
      <c r="PAE1512"/>
      <c r="PAF1512"/>
      <c r="PAG1512"/>
      <c r="PAH1512"/>
      <c r="PAI1512"/>
      <c r="PAJ1512"/>
      <c r="PAK1512"/>
      <c r="PAL1512"/>
      <c r="PAM1512"/>
      <c r="PAN1512"/>
      <c r="PAO1512"/>
      <c r="PAP1512"/>
      <c r="PAQ1512"/>
      <c r="PAR1512"/>
      <c r="PAS1512"/>
      <c r="PAT1512"/>
      <c r="PAU1512"/>
      <c r="PAV1512"/>
      <c r="PAW1512"/>
      <c r="PAX1512"/>
      <c r="PAY1512"/>
      <c r="PAZ1512"/>
      <c r="PBA1512"/>
      <c r="PBB1512"/>
      <c r="PBC1512"/>
      <c r="PBD1512"/>
      <c r="PBE1512"/>
      <c r="PBF1512"/>
      <c r="PBG1512"/>
      <c r="PBH1512"/>
      <c r="PBI1512"/>
      <c r="PBJ1512"/>
      <c r="PBK1512"/>
      <c r="PBL1512"/>
      <c r="PBM1512"/>
      <c r="PBN1512"/>
      <c r="PBO1512"/>
      <c r="PBP1512"/>
      <c r="PBQ1512"/>
      <c r="PBR1512"/>
      <c r="PBS1512"/>
      <c r="PBT1512"/>
      <c r="PBU1512"/>
      <c r="PBV1512"/>
      <c r="PBW1512"/>
      <c r="PBX1512"/>
      <c r="PBY1512"/>
      <c r="PBZ1512"/>
      <c r="PCA1512"/>
      <c r="PCB1512"/>
      <c r="PCC1512"/>
      <c r="PCD1512"/>
      <c r="PCE1512"/>
      <c r="PCF1512"/>
      <c r="PCG1512"/>
      <c r="PCH1512"/>
      <c r="PCI1512"/>
      <c r="PCJ1512"/>
      <c r="PCK1512"/>
      <c r="PCL1512"/>
      <c r="PCM1512"/>
      <c r="PCN1512"/>
      <c r="PCO1512"/>
      <c r="PCP1512"/>
      <c r="PCQ1512"/>
      <c r="PCR1512"/>
      <c r="PCS1512"/>
      <c r="PCT1512"/>
      <c r="PCU1512"/>
      <c r="PCV1512"/>
      <c r="PCW1512"/>
      <c r="PCX1512"/>
      <c r="PCY1512"/>
      <c r="PCZ1512"/>
      <c r="PDA1512"/>
      <c r="PDB1512"/>
      <c r="PDC1512"/>
      <c r="PDD1512"/>
      <c r="PDE1512"/>
      <c r="PDF1512"/>
      <c r="PDG1512"/>
      <c r="PDH1512"/>
      <c r="PDI1512"/>
      <c r="PDJ1512"/>
      <c r="PDK1512"/>
      <c r="PDL1512"/>
      <c r="PDM1512"/>
      <c r="PDN1512"/>
      <c r="PDO1512"/>
      <c r="PDP1512"/>
      <c r="PDQ1512"/>
      <c r="PDR1512"/>
      <c r="PDS1512"/>
      <c r="PDT1512"/>
      <c r="PDU1512"/>
      <c r="PDV1512"/>
      <c r="PDW1512"/>
      <c r="PDX1512"/>
      <c r="PDY1512"/>
      <c r="PDZ1512"/>
      <c r="PEA1512"/>
      <c r="PEB1512"/>
      <c r="PEC1512"/>
      <c r="PED1512"/>
      <c r="PEE1512"/>
      <c r="PEF1512"/>
      <c r="PEG1512"/>
      <c r="PEH1512"/>
      <c r="PEI1512"/>
      <c r="PEJ1512"/>
      <c r="PEK1512"/>
      <c r="PEL1512"/>
      <c r="PEM1512"/>
      <c r="PEN1512"/>
      <c r="PEO1512"/>
      <c r="PEP1512"/>
      <c r="PEQ1512"/>
      <c r="PER1512"/>
      <c r="PES1512"/>
      <c r="PET1512"/>
      <c r="PEU1512"/>
      <c r="PEV1512"/>
      <c r="PEW1512"/>
      <c r="PEX1512"/>
      <c r="PEY1512"/>
      <c r="PEZ1512"/>
      <c r="PFA1512"/>
      <c r="PFB1512"/>
      <c r="PFC1512"/>
      <c r="PFD1512"/>
      <c r="PFE1512"/>
      <c r="PFF1512"/>
      <c r="PFG1512"/>
      <c r="PFH1512"/>
      <c r="PFI1512"/>
      <c r="PFJ1512"/>
      <c r="PFK1512"/>
      <c r="PFL1512"/>
      <c r="PFM1512"/>
      <c r="PFN1512"/>
      <c r="PFO1512"/>
      <c r="PFP1512"/>
      <c r="PFQ1512"/>
      <c r="PFR1512"/>
      <c r="PFS1512"/>
      <c r="PFT1512"/>
      <c r="PFU1512"/>
      <c r="PFV1512"/>
      <c r="PFW1512"/>
      <c r="PFX1512"/>
      <c r="PFY1512"/>
      <c r="PFZ1512"/>
      <c r="PGA1512"/>
      <c r="PGB1512"/>
      <c r="PGC1512"/>
      <c r="PGD1512"/>
      <c r="PGE1512"/>
      <c r="PGF1512"/>
      <c r="PGG1512"/>
      <c r="PGH1512"/>
      <c r="PGI1512"/>
      <c r="PGJ1512"/>
      <c r="PGK1512"/>
      <c r="PGL1512"/>
      <c r="PGM1512"/>
      <c r="PGN1512"/>
      <c r="PGO1512"/>
      <c r="PGP1512"/>
      <c r="PGQ1512"/>
      <c r="PGR1512"/>
      <c r="PGS1512"/>
      <c r="PGT1512"/>
      <c r="PGU1512"/>
      <c r="PGV1512"/>
      <c r="PGW1512"/>
      <c r="PGX1512"/>
      <c r="PGY1512"/>
      <c r="PGZ1512"/>
      <c r="PHA1512"/>
      <c r="PHB1512"/>
      <c r="PHC1512"/>
      <c r="PHD1512"/>
      <c r="PHE1512"/>
      <c r="PHF1512"/>
      <c r="PHG1512"/>
      <c r="PHH1512"/>
      <c r="PHI1512"/>
      <c r="PHJ1512"/>
      <c r="PHK1512"/>
      <c r="PHL1512"/>
      <c r="PHM1512"/>
      <c r="PHN1512"/>
      <c r="PHO1512"/>
      <c r="PHP1512"/>
      <c r="PHQ1512"/>
      <c r="PHR1512"/>
      <c r="PHS1512"/>
      <c r="PHT1512"/>
      <c r="PHU1512"/>
      <c r="PHV1512"/>
      <c r="PHW1512"/>
      <c r="PHX1512"/>
      <c r="PHY1512"/>
      <c r="PHZ1512"/>
      <c r="PIA1512"/>
      <c r="PIB1512"/>
      <c r="PIC1512"/>
      <c r="PID1512"/>
      <c r="PIE1512"/>
      <c r="PIF1512"/>
      <c r="PIG1512"/>
      <c r="PIH1512"/>
      <c r="PII1512"/>
      <c r="PIJ1512"/>
      <c r="PIK1512"/>
      <c r="PIL1512"/>
      <c r="PIM1512"/>
      <c r="PIN1512"/>
      <c r="PIO1512"/>
      <c r="PIP1512"/>
      <c r="PIQ1512"/>
      <c r="PIR1512"/>
      <c r="PIS1512"/>
      <c r="PIT1512"/>
      <c r="PIU1512"/>
      <c r="PIV1512"/>
      <c r="PIW1512"/>
      <c r="PIX1512"/>
      <c r="PIY1512"/>
      <c r="PIZ1512"/>
      <c r="PJA1512"/>
      <c r="PJB1512"/>
      <c r="PJC1512"/>
      <c r="PJD1512"/>
      <c r="PJE1512"/>
      <c r="PJF1512"/>
      <c r="PJG1512"/>
      <c r="PJH1512"/>
      <c r="PJI1512"/>
      <c r="PJJ1512"/>
      <c r="PJK1512"/>
      <c r="PJL1512"/>
      <c r="PJM1512"/>
      <c r="PJN1512"/>
      <c r="PJO1512"/>
      <c r="PJP1512"/>
      <c r="PJQ1512"/>
      <c r="PJR1512"/>
      <c r="PJS1512"/>
      <c r="PJT1512"/>
      <c r="PJU1512"/>
      <c r="PJV1512"/>
      <c r="PJW1512"/>
      <c r="PJX1512"/>
      <c r="PJY1512"/>
      <c r="PJZ1512"/>
      <c r="PKA1512"/>
      <c r="PKB1512"/>
      <c r="PKC1512"/>
      <c r="PKD1512"/>
      <c r="PKE1512"/>
      <c r="PKF1512"/>
      <c r="PKG1512"/>
      <c r="PKH1512"/>
      <c r="PKI1512"/>
      <c r="PKJ1512"/>
      <c r="PKK1512"/>
      <c r="PKL1512"/>
      <c r="PKM1512"/>
      <c r="PKN1512"/>
      <c r="PKO1512"/>
      <c r="PKP1512"/>
      <c r="PKQ1512"/>
      <c r="PKR1512"/>
      <c r="PKS1512"/>
      <c r="PKT1512"/>
      <c r="PKU1512"/>
      <c r="PKV1512"/>
      <c r="PKW1512"/>
      <c r="PKX1512"/>
      <c r="PKY1512"/>
      <c r="PKZ1512"/>
      <c r="PLA1512"/>
      <c r="PLB1512"/>
      <c r="PLC1512"/>
      <c r="PLD1512"/>
      <c r="PLE1512"/>
      <c r="PLF1512"/>
      <c r="PLG1512"/>
      <c r="PLH1512"/>
      <c r="PLI1512"/>
      <c r="PLJ1512"/>
      <c r="PLK1512"/>
      <c r="PLL1512"/>
      <c r="PLM1512"/>
      <c r="PLN1512"/>
      <c r="PLO1512"/>
      <c r="PLP1512"/>
      <c r="PLQ1512"/>
      <c r="PLR1512"/>
      <c r="PLS1512"/>
      <c r="PLT1512"/>
      <c r="PLU1512"/>
      <c r="PLV1512"/>
      <c r="PLW1512"/>
      <c r="PLX1512"/>
      <c r="PLY1512"/>
      <c r="PLZ1512"/>
      <c r="PMA1512"/>
      <c r="PMB1512"/>
      <c r="PMC1512"/>
      <c r="PMD1512"/>
      <c r="PME1512"/>
      <c r="PMF1512"/>
      <c r="PMG1512"/>
      <c r="PMH1512"/>
      <c r="PMI1512"/>
      <c r="PMJ1512"/>
      <c r="PMK1512"/>
      <c r="PML1512"/>
      <c r="PMM1512"/>
      <c r="PMN1512"/>
      <c r="PMO1512"/>
      <c r="PMP1512"/>
      <c r="PMQ1512"/>
      <c r="PMR1512"/>
      <c r="PMS1512"/>
      <c r="PMT1512"/>
      <c r="PMU1512"/>
      <c r="PMV1512"/>
      <c r="PMW1512"/>
      <c r="PMX1512"/>
      <c r="PMY1512"/>
      <c r="PMZ1512"/>
      <c r="PNA1512"/>
      <c r="PNB1512"/>
      <c r="PNC1512"/>
      <c r="PND1512"/>
      <c r="PNE1512"/>
      <c r="PNF1512"/>
      <c r="PNG1512"/>
      <c r="PNH1512"/>
      <c r="PNI1512"/>
      <c r="PNJ1512"/>
      <c r="PNK1512"/>
      <c r="PNL1512"/>
      <c r="PNM1512"/>
      <c r="PNN1512"/>
      <c r="PNO1512"/>
      <c r="PNP1512"/>
      <c r="PNQ1512"/>
      <c r="PNR1512"/>
      <c r="PNS1512"/>
      <c r="PNT1512"/>
      <c r="PNU1512"/>
      <c r="PNV1512"/>
      <c r="PNW1512"/>
      <c r="PNX1512"/>
      <c r="PNY1512"/>
      <c r="PNZ1512"/>
      <c r="POA1512"/>
      <c r="POB1512"/>
      <c r="POC1512"/>
      <c r="POD1512"/>
      <c r="POE1512"/>
      <c r="POF1512"/>
      <c r="POG1512"/>
      <c r="POH1512"/>
      <c r="POI1512"/>
      <c r="POJ1512"/>
      <c r="POK1512"/>
      <c r="POL1512"/>
      <c r="POM1512"/>
      <c r="PON1512"/>
      <c r="POO1512"/>
      <c r="POP1512"/>
      <c r="POQ1512"/>
      <c r="POR1512"/>
      <c r="POS1512"/>
      <c r="POT1512"/>
      <c r="POU1512"/>
      <c r="POV1512"/>
      <c r="POW1512"/>
      <c r="POX1512"/>
      <c r="POY1512"/>
      <c r="POZ1512"/>
      <c r="PPA1512"/>
      <c r="PPB1512"/>
      <c r="PPC1512"/>
      <c r="PPD1512"/>
      <c r="PPE1512"/>
      <c r="PPF1512"/>
      <c r="PPG1512"/>
      <c r="PPH1512"/>
      <c r="PPI1512"/>
      <c r="PPJ1512"/>
      <c r="PPK1512"/>
      <c r="PPL1512"/>
      <c r="PPM1512"/>
      <c r="PPN1512"/>
      <c r="PPO1512"/>
      <c r="PPP1512"/>
      <c r="PPQ1512"/>
      <c r="PPR1512"/>
      <c r="PPS1512"/>
      <c r="PPT1512"/>
      <c r="PPU1512"/>
      <c r="PPV1512"/>
      <c r="PPW1512"/>
      <c r="PPX1512"/>
      <c r="PPY1512"/>
      <c r="PPZ1512"/>
      <c r="PQA1512"/>
      <c r="PQB1512"/>
      <c r="PQC1512"/>
      <c r="PQD1512"/>
      <c r="PQE1512"/>
      <c r="PQF1512"/>
      <c r="PQG1512"/>
      <c r="PQH1512"/>
      <c r="PQI1512"/>
      <c r="PQJ1512"/>
      <c r="PQK1512"/>
      <c r="PQL1512"/>
      <c r="PQM1512"/>
      <c r="PQN1512"/>
      <c r="PQO1512"/>
      <c r="PQP1512"/>
      <c r="PQQ1512"/>
      <c r="PQR1512"/>
      <c r="PQS1512"/>
      <c r="PQT1512"/>
      <c r="PQU1512"/>
      <c r="PQV1512"/>
      <c r="PQW1512"/>
      <c r="PQX1512"/>
      <c r="PQY1512"/>
      <c r="PQZ1512"/>
      <c r="PRA1512"/>
      <c r="PRB1512"/>
      <c r="PRC1512"/>
      <c r="PRD1512"/>
      <c r="PRE1512"/>
      <c r="PRF1512"/>
      <c r="PRG1512"/>
      <c r="PRH1512"/>
      <c r="PRI1512"/>
      <c r="PRJ1512"/>
      <c r="PRK1512"/>
      <c r="PRL1512"/>
      <c r="PRM1512"/>
      <c r="PRN1512"/>
      <c r="PRO1512"/>
      <c r="PRP1512"/>
      <c r="PRQ1512"/>
      <c r="PRR1512"/>
      <c r="PRS1512"/>
      <c r="PRT1512"/>
      <c r="PRU1512"/>
      <c r="PRV1512"/>
      <c r="PRW1512"/>
      <c r="PRX1512"/>
      <c r="PRY1512"/>
      <c r="PRZ1512"/>
      <c r="PSA1512"/>
      <c r="PSB1512"/>
      <c r="PSC1512"/>
      <c r="PSD1512"/>
      <c r="PSE1512"/>
      <c r="PSF1512"/>
      <c r="PSG1512"/>
      <c r="PSH1512"/>
      <c r="PSI1512"/>
      <c r="PSJ1512"/>
      <c r="PSK1512"/>
      <c r="PSL1512"/>
      <c r="PSM1512"/>
      <c r="PSN1512"/>
      <c r="PSO1512"/>
      <c r="PSP1512"/>
      <c r="PSQ1512"/>
      <c r="PSR1512"/>
      <c r="PSS1512"/>
      <c r="PST1512"/>
      <c r="PSU1512"/>
      <c r="PSV1512"/>
      <c r="PSW1512"/>
      <c r="PSX1512"/>
      <c r="PSY1512"/>
      <c r="PSZ1512"/>
      <c r="PTA1512"/>
      <c r="PTB1512"/>
      <c r="PTC1512"/>
      <c r="PTD1512"/>
      <c r="PTE1512"/>
      <c r="PTF1512"/>
      <c r="PTG1512"/>
      <c r="PTH1512"/>
      <c r="PTI1512"/>
      <c r="PTJ1512"/>
      <c r="PTK1512"/>
      <c r="PTL1512"/>
      <c r="PTM1512"/>
      <c r="PTN1512"/>
      <c r="PTO1512"/>
      <c r="PTP1512"/>
      <c r="PTQ1512"/>
      <c r="PTR1512"/>
      <c r="PTS1512"/>
      <c r="PTT1512"/>
      <c r="PTU1512"/>
      <c r="PTV1512"/>
      <c r="PTW1512"/>
      <c r="PTX1512"/>
      <c r="PTY1512"/>
      <c r="PTZ1512"/>
      <c r="PUA1512"/>
      <c r="PUB1512"/>
      <c r="PUC1512"/>
      <c r="PUD1512"/>
      <c r="PUE1512"/>
      <c r="PUF1512"/>
      <c r="PUG1512"/>
      <c r="PUH1512"/>
      <c r="PUI1512"/>
      <c r="PUJ1512"/>
      <c r="PUK1512"/>
      <c r="PUL1512"/>
      <c r="PUM1512"/>
      <c r="PUN1512"/>
      <c r="PUO1512"/>
      <c r="PUP1512"/>
      <c r="PUQ1512"/>
      <c r="PUR1512"/>
      <c r="PUS1512"/>
      <c r="PUT1512"/>
      <c r="PUU1512"/>
      <c r="PUV1512"/>
      <c r="PUW1512"/>
      <c r="PUX1512"/>
      <c r="PUY1512"/>
      <c r="PUZ1512"/>
      <c r="PVA1512"/>
      <c r="PVB1512"/>
      <c r="PVC1512"/>
      <c r="PVD1512"/>
      <c r="PVE1512"/>
      <c r="PVF1512"/>
      <c r="PVG1512"/>
      <c r="PVH1512"/>
      <c r="PVI1512"/>
      <c r="PVJ1512"/>
      <c r="PVK1512"/>
      <c r="PVL1512"/>
      <c r="PVM1512"/>
      <c r="PVN1512"/>
      <c r="PVO1512"/>
      <c r="PVP1512"/>
      <c r="PVQ1512"/>
      <c r="PVR1512"/>
      <c r="PVS1512"/>
      <c r="PVT1512"/>
      <c r="PVU1512"/>
      <c r="PVV1512"/>
      <c r="PVW1512"/>
      <c r="PVX1512"/>
      <c r="PVY1512"/>
      <c r="PVZ1512"/>
      <c r="PWA1512"/>
      <c r="PWB1512"/>
      <c r="PWC1512"/>
      <c r="PWD1512"/>
      <c r="PWE1512"/>
      <c r="PWF1512"/>
      <c r="PWG1512"/>
      <c r="PWH1512"/>
      <c r="PWI1512"/>
      <c r="PWJ1512"/>
      <c r="PWK1512"/>
      <c r="PWL1512"/>
      <c r="PWM1512"/>
      <c r="PWN1512"/>
      <c r="PWO1512"/>
      <c r="PWP1512"/>
      <c r="PWQ1512"/>
      <c r="PWR1512"/>
      <c r="PWS1512"/>
      <c r="PWT1512"/>
      <c r="PWU1512"/>
      <c r="PWV1512"/>
      <c r="PWW1512"/>
      <c r="PWX1512"/>
      <c r="PWY1512"/>
      <c r="PWZ1512"/>
      <c r="PXA1512"/>
      <c r="PXB1512"/>
      <c r="PXC1512"/>
      <c r="PXD1512"/>
      <c r="PXE1512"/>
      <c r="PXF1512"/>
      <c r="PXG1512"/>
      <c r="PXH1512"/>
      <c r="PXI1512"/>
      <c r="PXJ1512"/>
      <c r="PXK1512"/>
      <c r="PXL1512"/>
      <c r="PXM1512"/>
      <c r="PXN1512"/>
      <c r="PXO1512"/>
      <c r="PXP1512"/>
      <c r="PXQ1512"/>
      <c r="PXR1512"/>
      <c r="PXS1512"/>
      <c r="PXT1512"/>
      <c r="PXU1512"/>
      <c r="PXV1512"/>
      <c r="PXW1512"/>
      <c r="PXX1512"/>
      <c r="PXY1512"/>
      <c r="PXZ1512"/>
      <c r="PYA1512"/>
      <c r="PYB1512"/>
      <c r="PYC1512"/>
      <c r="PYD1512"/>
      <c r="PYE1512"/>
      <c r="PYF1512"/>
      <c r="PYG1512"/>
      <c r="PYH1512"/>
      <c r="PYI1512"/>
      <c r="PYJ1512"/>
      <c r="PYK1512"/>
      <c r="PYL1512"/>
      <c r="PYM1512"/>
      <c r="PYN1512"/>
      <c r="PYO1512"/>
      <c r="PYP1512"/>
      <c r="PYQ1512"/>
      <c r="PYR1512"/>
      <c r="PYS1512"/>
      <c r="PYT1512"/>
      <c r="PYU1512"/>
      <c r="PYV1512"/>
      <c r="PYW1512"/>
      <c r="PYX1512"/>
      <c r="PYY1512"/>
      <c r="PYZ1512"/>
      <c r="PZA1512"/>
      <c r="PZB1512"/>
      <c r="PZC1512"/>
      <c r="PZD1512"/>
      <c r="PZE1512"/>
      <c r="PZF1512"/>
      <c r="PZG1512"/>
      <c r="PZH1512"/>
      <c r="PZI1512"/>
      <c r="PZJ1512"/>
      <c r="PZK1512"/>
      <c r="PZL1512"/>
      <c r="PZM1512"/>
      <c r="PZN1512"/>
      <c r="PZO1512"/>
      <c r="PZP1512"/>
      <c r="PZQ1512"/>
      <c r="PZR1512"/>
      <c r="PZS1512"/>
      <c r="PZT1512"/>
      <c r="PZU1512"/>
      <c r="PZV1512"/>
      <c r="PZW1512"/>
      <c r="PZX1512"/>
      <c r="PZY1512"/>
      <c r="PZZ1512"/>
      <c r="QAA1512"/>
      <c r="QAB1512"/>
      <c r="QAC1512"/>
      <c r="QAD1512"/>
      <c r="QAE1512"/>
      <c r="QAF1512"/>
      <c r="QAG1512"/>
      <c r="QAH1512"/>
      <c r="QAI1512"/>
      <c r="QAJ1512"/>
      <c r="QAK1512"/>
      <c r="QAL1512"/>
      <c r="QAM1512"/>
      <c r="QAN1512"/>
      <c r="QAO1512"/>
      <c r="QAP1512"/>
      <c r="QAQ1512"/>
      <c r="QAR1512"/>
      <c r="QAS1512"/>
      <c r="QAT1512"/>
      <c r="QAU1512"/>
      <c r="QAV1512"/>
      <c r="QAW1512"/>
      <c r="QAX1512"/>
      <c r="QAY1512"/>
      <c r="QAZ1512"/>
      <c r="QBA1512"/>
      <c r="QBB1512"/>
      <c r="QBC1512"/>
      <c r="QBD1512"/>
      <c r="QBE1512"/>
      <c r="QBF1512"/>
      <c r="QBG1512"/>
      <c r="QBH1512"/>
      <c r="QBI1512"/>
      <c r="QBJ1512"/>
      <c r="QBK1512"/>
      <c r="QBL1512"/>
      <c r="QBM1512"/>
      <c r="QBN1512"/>
      <c r="QBO1512"/>
      <c r="QBP1512"/>
      <c r="QBQ1512"/>
      <c r="QBR1512"/>
      <c r="QBS1512"/>
      <c r="QBT1512"/>
      <c r="QBU1512"/>
      <c r="QBV1512"/>
      <c r="QBW1512"/>
      <c r="QBX1512"/>
      <c r="QBY1512"/>
      <c r="QBZ1512"/>
      <c r="QCA1512"/>
      <c r="QCB1512"/>
      <c r="QCC1512"/>
      <c r="QCD1512"/>
      <c r="QCE1512"/>
      <c r="QCF1512"/>
      <c r="QCG1512"/>
      <c r="QCH1512"/>
      <c r="QCI1512"/>
      <c r="QCJ1512"/>
      <c r="QCK1512"/>
      <c r="QCL1512"/>
      <c r="QCM1512"/>
      <c r="QCN1512"/>
      <c r="QCO1512"/>
      <c r="QCP1512"/>
      <c r="QCQ1512"/>
      <c r="QCR1512"/>
      <c r="QCS1512"/>
      <c r="QCT1512"/>
      <c r="QCU1512"/>
      <c r="QCV1512"/>
      <c r="QCW1512"/>
      <c r="QCX1512"/>
      <c r="QCY1512"/>
      <c r="QCZ1512"/>
      <c r="QDA1512"/>
      <c r="QDB1512"/>
      <c r="QDC1512"/>
      <c r="QDD1512"/>
      <c r="QDE1512"/>
      <c r="QDF1512"/>
      <c r="QDG1512"/>
      <c r="QDH1512"/>
      <c r="QDI1512"/>
      <c r="QDJ1512"/>
      <c r="QDK1512"/>
      <c r="QDL1512"/>
      <c r="QDM1512"/>
      <c r="QDN1512"/>
      <c r="QDO1512"/>
      <c r="QDP1512"/>
      <c r="QDQ1512"/>
      <c r="QDR1512"/>
      <c r="QDS1512"/>
      <c r="QDT1512"/>
      <c r="QDU1512"/>
      <c r="QDV1512"/>
      <c r="QDW1512"/>
      <c r="QDX1512"/>
      <c r="QDY1512"/>
      <c r="QDZ1512"/>
      <c r="QEA1512"/>
      <c r="QEB1512"/>
      <c r="QEC1512"/>
      <c r="QED1512"/>
      <c r="QEE1512"/>
      <c r="QEF1512"/>
      <c r="QEG1512"/>
      <c r="QEH1512"/>
      <c r="QEI1512"/>
      <c r="QEJ1512"/>
      <c r="QEK1512"/>
      <c r="QEL1512"/>
      <c r="QEM1512"/>
      <c r="QEN1512"/>
      <c r="QEO1512"/>
      <c r="QEP1512"/>
      <c r="QEQ1512"/>
      <c r="QER1512"/>
      <c r="QES1512"/>
      <c r="QET1512"/>
      <c r="QEU1512"/>
      <c r="QEV1512"/>
      <c r="QEW1512"/>
      <c r="QEX1512"/>
      <c r="QEY1512"/>
      <c r="QEZ1512"/>
      <c r="QFA1512"/>
      <c r="QFB1512"/>
      <c r="QFC1512"/>
      <c r="QFD1512"/>
      <c r="QFE1512"/>
      <c r="QFF1512"/>
      <c r="QFG1512"/>
      <c r="QFH1512"/>
      <c r="QFI1512"/>
      <c r="QFJ1512"/>
      <c r="QFK1512"/>
      <c r="QFL1512"/>
      <c r="QFM1512"/>
      <c r="QFN1512"/>
      <c r="QFO1512"/>
      <c r="QFP1512"/>
      <c r="QFQ1512"/>
      <c r="QFR1512"/>
      <c r="QFS1512"/>
      <c r="QFT1512"/>
      <c r="QFU1512"/>
      <c r="QFV1512"/>
      <c r="QFW1512"/>
      <c r="QFX1512"/>
      <c r="QFY1512"/>
      <c r="QFZ1512"/>
      <c r="QGA1512"/>
      <c r="QGB1512"/>
      <c r="QGC1512"/>
      <c r="QGD1512"/>
      <c r="QGE1512"/>
      <c r="QGF1512"/>
      <c r="QGG1512"/>
      <c r="QGH1512"/>
      <c r="QGI1512"/>
      <c r="QGJ1512"/>
      <c r="QGK1512"/>
      <c r="QGL1512"/>
      <c r="QGM1512"/>
      <c r="QGN1512"/>
      <c r="QGO1512"/>
      <c r="QGP1512"/>
      <c r="QGQ1512"/>
      <c r="QGR1512"/>
      <c r="QGS1512"/>
      <c r="QGT1512"/>
      <c r="QGU1512"/>
      <c r="QGV1512"/>
      <c r="QGW1512"/>
      <c r="QGX1512"/>
      <c r="QGY1512"/>
      <c r="QGZ1512"/>
      <c r="QHA1512"/>
      <c r="QHB1512"/>
      <c r="QHC1512"/>
      <c r="QHD1512"/>
      <c r="QHE1512"/>
      <c r="QHF1512"/>
      <c r="QHG1512"/>
      <c r="QHH1512"/>
      <c r="QHI1512"/>
      <c r="QHJ1512"/>
      <c r="QHK1512"/>
      <c r="QHL1512"/>
      <c r="QHM1512"/>
      <c r="QHN1512"/>
      <c r="QHO1512"/>
      <c r="QHP1512"/>
      <c r="QHQ1512"/>
      <c r="QHR1512"/>
      <c r="QHS1512"/>
      <c r="QHT1512"/>
      <c r="QHU1512"/>
      <c r="QHV1512"/>
      <c r="QHW1512"/>
      <c r="QHX1512"/>
      <c r="QHY1512"/>
      <c r="QHZ1512"/>
      <c r="QIA1512"/>
      <c r="QIB1512"/>
      <c r="QIC1512"/>
      <c r="QID1512"/>
      <c r="QIE1512"/>
      <c r="QIF1512"/>
      <c r="QIG1512"/>
      <c r="QIH1512"/>
      <c r="QII1512"/>
      <c r="QIJ1512"/>
      <c r="QIK1512"/>
      <c r="QIL1512"/>
      <c r="QIM1512"/>
      <c r="QIN1512"/>
      <c r="QIO1512"/>
      <c r="QIP1512"/>
      <c r="QIQ1512"/>
      <c r="QIR1512"/>
      <c r="QIS1512"/>
      <c r="QIT1512"/>
      <c r="QIU1512"/>
      <c r="QIV1512"/>
      <c r="QIW1512"/>
      <c r="QIX1512"/>
      <c r="QIY1512"/>
      <c r="QIZ1512"/>
      <c r="QJA1512"/>
      <c r="QJB1512"/>
      <c r="QJC1512"/>
      <c r="QJD1512"/>
      <c r="QJE1512"/>
      <c r="QJF1512"/>
      <c r="QJG1512"/>
      <c r="QJH1512"/>
      <c r="QJI1512"/>
      <c r="QJJ1512"/>
      <c r="QJK1512"/>
      <c r="QJL1512"/>
      <c r="QJM1512"/>
      <c r="QJN1512"/>
      <c r="QJO1512"/>
      <c r="QJP1512"/>
      <c r="QJQ1512"/>
      <c r="QJR1512"/>
      <c r="QJS1512"/>
      <c r="QJT1512"/>
      <c r="QJU1512"/>
      <c r="QJV1512"/>
      <c r="QJW1512"/>
      <c r="QJX1512"/>
      <c r="QJY1512"/>
      <c r="QJZ1512"/>
      <c r="QKA1512"/>
      <c r="QKB1512"/>
      <c r="QKC1512"/>
      <c r="QKD1512"/>
      <c r="QKE1512"/>
      <c r="QKF1512"/>
      <c r="QKG1512"/>
      <c r="QKH1512"/>
      <c r="QKI1512"/>
      <c r="QKJ1512"/>
      <c r="QKK1512"/>
      <c r="QKL1512"/>
      <c r="QKM1512"/>
      <c r="QKN1512"/>
      <c r="QKO1512"/>
      <c r="QKP1512"/>
      <c r="QKQ1512"/>
      <c r="QKR1512"/>
      <c r="QKS1512"/>
      <c r="QKT1512"/>
      <c r="QKU1512"/>
      <c r="QKV1512"/>
      <c r="QKW1512"/>
      <c r="QKX1512"/>
      <c r="QKY1512"/>
      <c r="QKZ1512"/>
      <c r="QLA1512"/>
      <c r="QLB1512"/>
      <c r="QLC1512"/>
      <c r="QLD1512"/>
      <c r="QLE1512"/>
      <c r="QLF1512"/>
      <c r="QLG1512"/>
      <c r="QLH1512"/>
      <c r="QLI1512"/>
      <c r="QLJ1512"/>
      <c r="QLK1512"/>
      <c r="QLL1512"/>
      <c r="QLM1512"/>
      <c r="QLN1512"/>
      <c r="QLO1512"/>
      <c r="QLP1512"/>
      <c r="QLQ1512"/>
      <c r="QLR1512"/>
      <c r="QLS1512"/>
      <c r="QLT1512"/>
      <c r="QLU1512"/>
      <c r="QLV1512"/>
      <c r="QLW1512"/>
      <c r="QLX1512"/>
      <c r="QLY1512"/>
      <c r="QLZ1512"/>
      <c r="QMA1512"/>
      <c r="QMB1512"/>
      <c r="QMC1512"/>
      <c r="QMD1512"/>
      <c r="QME1512"/>
      <c r="QMF1512"/>
      <c r="QMG1512"/>
      <c r="QMH1512"/>
      <c r="QMI1512"/>
      <c r="QMJ1512"/>
      <c r="QMK1512"/>
      <c r="QML1512"/>
      <c r="QMM1512"/>
      <c r="QMN1512"/>
      <c r="QMO1512"/>
      <c r="QMP1512"/>
      <c r="QMQ1512"/>
      <c r="QMR1512"/>
      <c r="QMS1512"/>
      <c r="QMT1512"/>
      <c r="QMU1512"/>
      <c r="QMV1512"/>
      <c r="QMW1512"/>
      <c r="QMX1512"/>
      <c r="QMY1512"/>
      <c r="QMZ1512"/>
      <c r="QNA1512"/>
      <c r="QNB1512"/>
      <c r="QNC1512"/>
      <c r="QND1512"/>
      <c r="QNE1512"/>
      <c r="QNF1512"/>
      <c r="QNG1512"/>
      <c r="QNH1512"/>
      <c r="QNI1512"/>
      <c r="QNJ1512"/>
      <c r="QNK1512"/>
      <c r="QNL1512"/>
      <c r="QNM1512"/>
      <c r="QNN1512"/>
      <c r="QNO1512"/>
      <c r="QNP1512"/>
      <c r="QNQ1512"/>
      <c r="QNR1512"/>
      <c r="QNS1512"/>
      <c r="QNT1512"/>
      <c r="QNU1512"/>
      <c r="QNV1512"/>
      <c r="QNW1512"/>
      <c r="QNX1512"/>
      <c r="QNY1512"/>
      <c r="QNZ1512"/>
      <c r="QOA1512"/>
      <c r="QOB1512"/>
      <c r="QOC1512"/>
      <c r="QOD1512"/>
      <c r="QOE1512"/>
      <c r="QOF1512"/>
      <c r="QOG1512"/>
      <c r="QOH1512"/>
      <c r="QOI1512"/>
      <c r="QOJ1512"/>
      <c r="QOK1512"/>
      <c r="QOL1512"/>
      <c r="QOM1512"/>
      <c r="QON1512"/>
      <c r="QOO1512"/>
      <c r="QOP1512"/>
      <c r="QOQ1512"/>
      <c r="QOR1512"/>
      <c r="QOS1512"/>
      <c r="QOT1512"/>
      <c r="QOU1512"/>
      <c r="QOV1512"/>
      <c r="QOW1512"/>
      <c r="QOX1512"/>
      <c r="QOY1512"/>
      <c r="QOZ1512"/>
      <c r="QPA1512"/>
      <c r="QPB1512"/>
      <c r="QPC1512"/>
      <c r="QPD1512"/>
      <c r="QPE1512"/>
      <c r="QPF1512"/>
      <c r="QPG1512"/>
      <c r="QPH1512"/>
      <c r="QPI1512"/>
      <c r="QPJ1512"/>
      <c r="QPK1512"/>
      <c r="QPL1512"/>
      <c r="QPM1512"/>
      <c r="QPN1512"/>
      <c r="QPO1512"/>
      <c r="QPP1512"/>
      <c r="QPQ1512"/>
      <c r="QPR1512"/>
      <c r="QPS1512"/>
      <c r="QPT1512"/>
      <c r="QPU1512"/>
      <c r="QPV1512"/>
      <c r="QPW1512"/>
      <c r="QPX1512"/>
      <c r="QPY1512"/>
      <c r="QPZ1512"/>
      <c r="QQA1512"/>
      <c r="QQB1512"/>
      <c r="QQC1512"/>
      <c r="QQD1512"/>
      <c r="QQE1512"/>
      <c r="QQF1512"/>
      <c r="QQG1512"/>
      <c r="QQH1512"/>
      <c r="QQI1512"/>
      <c r="QQJ1512"/>
      <c r="QQK1512"/>
      <c r="QQL1512"/>
      <c r="QQM1512"/>
      <c r="QQN1512"/>
      <c r="QQO1512"/>
      <c r="QQP1512"/>
      <c r="QQQ1512"/>
      <c r="QQR1512"/>
      <c r="QQS1512"/>
      <c r="QQT1512"/>
      <c r="QQU1512"/>
      <c r="QQV1512"/>
      <c r="QQW1512"/>
      <c r="QQX1512"/>
      <c r="QQY1512"/>
      <c r="QQZ1512"/>
      <c r="QRA1512"/>
      <c r="QRB1512"/>
      <c r="QRC1512"/>
      <c r="QRD1512"/>
      <c r="QRE1512"/>
      <c r="QRF1512"/>
      <c r="QRG1512"/>
      <c r="QRH1512"/>
      <c r="QRI1512"/>
      <c r="QRJ1512"/>
      <c r="QRK1512"/>
      <c r="QRL1512"/>
      <c r="QRM1512"/>
      <c r="QRN1512"/>
      <c r="QRO1512"/>
      <c r="QRP1512"/>
      <c r="QRQ1512"/>
      <c r="QRR1512"/>
      <c r="QRS1512"/>
      <c r="QRT1512"/>
      <c r="QRU1512"/>
      <c r="QRV1512"/>
      <c r="QRW1512"/>
      <c r="QRX1512"/>
      <c r="QRY1512"/>
      <c r="QRZ1512"/>
      <c r="QSA1512"/>
      <c r="QSB1512"/>
      <c r="QSC1512"/>
      <c r="QSD1512"/>
      <c r="QSE1512"/>
      <c r="QSF1512"/>
      <c r="QSG1512"/>
      <c r="QSH1512"/>
      <c r="QSI1512"/>
      <c r="QSJ1512"/>
      <c r="QSK1512"/>
      <c r="QSL1512"/>
      <c r="QSM1512"/>
      <c r="QSN1512"/>
      <c r="QSO1512"/>
      <c r="QSP1512"/>
      <c r="QSQ1512"/>
      <c r="QSR1512"/>
      <c r="QSS1512"/>
      <c r="QST1512"/>
      <c r="QSU1512"/>
      <c r="QSV1512"/>
      <c r="QSW1512"/>
      <c r="QSX1512"/>
      <c r="QSY1512"/>
      <c r="QSZ1512"/>
      <c r="QTA1512"/>
      <c r="QTB1512"/>
      <c r="QTC1512"/>
      <c r="QTD1512"/>
      <c r="QTE1512"/>
      <c r="QTF1512"/>
      <c r="QTG1512"/>
      <c r="QTH1512"/>
      <c r="QTI1512"/>
      <c r="QTJ1512"/>
      <c r="QTK1512"/>
      <c r="QTL1512"/>
      <c r="QTM1512"/>
      <c r="QTN1512"/>
      <c r="QTO1512"/>
      <c r="QTP1512"/>
      <c r="QTQ1512"/>
      <c r="QTR1512"/>
      <c r="QTS1512"/>
      <c r="QTT1512"/>
      <c r="QTU1512"/>
      <c r="QTV1512"/>
      <c r="QTW1512"/>
      <c r="QTX1512"/>
      <c r="QTY1512"/>
      <c r="QTZ1512"/>
      <c r="QUA1512"/>
      <c r="QUB1512"/>
      <c r="QUC1512"/>
      <c r="QUD1512"/>
      <c r="QUE1512"/>
      <c r="QUF1512"/>
      <c r="QUG1512"/>
      <c r="QUH1512"/>
      <c r="QUI1512"/>
      <c r="QUJ1512"/>
      <c r="QUK1512"/>
      <c r="QUL1512"/>
      <c r="QUM1512"/>
      <c r="QUN1512"/>
      <c r="QUO1512"/>
      <c r="QUP1512"/>
      <c r="QUQ1512"/>
      <c r="QUR1512"/>
      <c r="QUS1512"/>
      <c r="QUT1512"/>
      <c r="QUU1512"/>
      <c r="QUV1512"/>
      <c r="QUW1512"/>
      <c r="QUX1512"/>
      <c r="QUY1512"/>
      <c r="QUZ1512"/>
      <c r="QVA1512"/>
      <c r="QVB1512"/>
      <c r="QVC1512"/>
      <c r="QVD1512"/>
      <c r="QVE1512"/>
      <c r="QVF1512"/>
      <c r="QVG1512"/>
      <c r="QVH1512"/>
      <c r="QVI1512"/>
      <c r="QVJ1512"/>
      <c r="QVK1512"/>
      <c r="QVL1512"/>
      <c r="QVM1512"/>
      <c r="QVN1512"/>
      <c r="QVO1512"/>
      <c r="QVP1512"/>
      <c r="QVQ1512"/>
      <c r="QVR1512"/>
      <c r="QVS1512"/>
      <c r="QVT1512"/>
      <c r="QVU1512"/>
      <c r="QVV1512"/>
      <c r="QVW1512"/>
      <c r="QVX1512"/>
      <c r="QVY1512"/>
      <c r="QVZ1512"/>
      <c r="QWA1512"/>
      <c r="QWB1512"/>
      <c r="QWC1512"/>
      <c r="QWD1512"/>
      <c r="QWE1512"/>
      <c r="QWF1512"/>
      <c r="QWG1512"/>
      <c r="QWH1512"/>
      <c r="QWI1512"/>
      <c r="QWJ1512"/>
      <c r="QWK1512"/>
      <c r="QWL1512"/>
      <c r="QWM1512"/>
      <c r="QWN1512"/>
      <c r="QWO1512"/>
      <c r="QWP1512"/>
      <c r="QWQ1512"/>
      <c r="QWR1512"/>
      <c r="QWS1512"/>
      <c r="QWT1512"/>
      <c r="QWU1512"/>
      <c r="QWV1512"/>
      <c r="QWW1512"/>
      <c r="QWX1512"/>
      <c r="QWY1512"/>
      <c r="QWZ1512"/>
      <c r="QXA1512"/>
      <c r="QXB1512"/>
      <c r="QXC1512"/>
      <c r="QXD1512"/>
      <c r="QXE1512"/>
      <c r="QXF1512"/>
      <c r="QXG1512"/>
      <c r="QXH1512"/>
      <c r="QXI1512"/>
      <c r="QXJ1512"/>
      <c r="QXK1512"/>
      <c r="QXL1512"/>
      <c r="QXM1512"/>
      <c r="QXN1512"/>
      <c r="QXO1512"/>
      <c r="QXP1512"/>
      <c r="QXQ1512"/>
      <c r="QXR1512"/>
      <c r="QXS1512"/>
      <c r="QXT1512"/>
      <c r="QXU1512"/>
      <c r="QXV1512"/>
      <c r="QXW1512"/>
      <c r="QXX1512"/>
      <c r="QXY1512"/>
      <c r="QXZ1512"/>
      <c r="QYA1512"/>
      <c r="QYB1512"/>
      <c r="QYC1512"/>
      <c r="QYD1512"/>
      <c r="QYE1512"/>
      <c r="QYF1512"/>
      <c r="QYG1512"/>
      <c r="QYH1512"/>
      <c r="QYI1512"/>
      <c r="QYJ1512"/>
      <c r="QYK1512"/>
      <c r="QYL1512"/>
      <c r="QYM1512"/>
      <c r="QYN1512"/>
      <c r="QYO1512"/>
      <c r="QYP1512"/>
      <c r="QYQ1512"/>
      <c r="QYR1512"/>
      <c r="QYS1512"/>
      <c r="QYT1512"/>
      <c r="QYU1512"/>
      <c r="QYV1512"/>
      <c r="QYW1512"/>
      <c r="QYX1512"/>
      <c r="QYY1512"/>
      <c r="QYZ1512"/>
      <c r="QZA1512"/>
      <c r="QZB1512"/>
      <c r="QZC1512"/>
      <c r="QZD1512"/>
      <c r="QZE1512"/>
      <c r="QZF1512"/>
      <c r="QZG1512"/>
      <c r="QZH1512"/>
      <c r="QZI1512"/>
      <c r="QZJ1512"/>
      <c r="QZK1512"/>
      <c r="QZL1512"/>
      <c r="QZM1512"/>
      <c r="QZN1512"/>
      <c r="QZO1512"/>
      <c r="QZP1512"/>
      <c r="QZQ1512"/>
      <c r="QZR1512"/>
      <c r="QZS1512"/>
      <c r="QZT1512"/>
      <c r="QZU1512"/>
      <c r="QZV1512"/>
      <c r="QZW1512"/>
      <c r="QZX1512"/>
      <c r="QZY1512"/>
      <c r="QZZ1512"/>
      <c r="RAA1512"/>
      <c r="RAB1512"/>
      <c r="RAC1512"/>
      <c r="RAD1512"/>
      <c r="RAE1512"/>
      <c r="RAF1512"/>
      <c r="RAG1512"/>
      <c r="RAH1512"/>
      <c r="RAI1512"/>
      <c r="RAJ1512"/>
      <c r="RAK1512"/>
      <c r="RAL1512"/>
      <c r="RAM1512"/>
      <c r="RAN1512"/>
      <c r="RAO1512"/>
      <c r="RAP1512"/>
      <c r="RAQ1512"/>
      <c r="RAR1512"/>
      <c r="RAS1512"/>
      <c r="RAT1512"/>
      <c r="RAU1512"/>
      <c r="RAV1512"/>
      <c r="RAW1512"/>
      <c r="RAX1512"/>
      <c r="RAY1512"/>
      <c r="RAZ1512"/>
      <c r="RBA1512"/>
      <c r="RBB1512"/>
      <c r="RBC1512"/>
      <c r="RBD1512"/>
      <c r="RBE1512"/>
      <c r="RBF1512"/>
      <c r="RBG1512"/>
      <c r="RBH1512"/>
      <c r="RBI1512"/>
      <c r="RBJ1512"/>
      <c r="RBK1512"/>
      <c r="RBL1512"/>
      <c r="RBM1512"/>
      <c r="RBN1512"/>
      <c r="RBO1512"/>
      <c r="RBP1512"/>
      <c r="RBQ1512"/>
      <c r="RBR1512"/>
      <c r="RBS1512"/>
      <c r="RBT1512"/>
      <c r="RBU1512"/>
      <c r="RBV1512"/>
      <c r="RBW1512"/>
      <c r="RBX1512"/>
      <c r="RBY1512"/>
      <c r="RBZ1512"/>
      <c r="RCA1512"/>
      <c r="RCB1512"/>
      <c r="RCC1512"/>
      <c r="RCD1512"/>
      <c r="RCE1512"/>
      <c r="RCF1512"/>
      <c r="RCG1512"/>
      <c r="RCH1512"/>
      <c r="RCI1512"/>
      <c r="RCJ1512"/>
      <c r="RCK1512"/>
      <c r="RCL1512"/>
      <c r="RCM1512"/>
      <c r="RCN1512"/>
      <c r="RCO1512"/>
      <c r="RCP1512"/>
      <c r="RCQ1512"/>
      <c r="RCR1512"/>
      <c r="RCS1512"/>
      <c r="RCT1512"/>
      <c r="RCU1512"/>
      <c r="RCV1512"/>
      <c r="RCW1512"/>
      <c r="RCX1512"/>
      <c r="RCY1512"/>
      <c r="RCZ1512"/>
      <c r="RDA1512"/>
      <c r="RDB1512"/>
      <c r="RDC1512"/>
      <c r="RDD1512"/>
      <c r="RDE1512"/>
      <c r="RDF1512"/>
      <c r="RDG1512"/>
      <c r="RDH1512"/>
      <c r="RDI1512"/>
      <c r="RDJ1512"/>
      <c r="RDK1512"/>
      <c r="RDL1512"/>
      <c r="RDM1512"/>
      <c r="RDN1512"/>
      <c r="RDO1512"/>
      <c r="RDP1512"/>
      <c r="RDQ1512"/>
      <c r="RDR1512"/>
      <c r="RDS1512"/>
      <c r="RDT1512"/>
      <c r="RDU1512"/>
      <c r="RDV1512"/>
      <c r="RDW1512"/>
      <c r="RDX1512"/>
      <c r="RDY1512"/>
      <c r="RDZ1512"/>
      <c r="REA1512"/>
      <c r="REB1512"/>
      <c r="REC1512"/>
      <c r="RED1512"/>
      <c r="REE1512"/>
      <c r="REF1512"/>
      <c r="REG1512"/>
      <c r="REH1512"/>
      <c r="REI1512"/>
      <c r="REJ1512"/>
      <c r="REK1512"/>
      <c r="REL1512"/>
      <c r="REM1512"/>
      <c r="REN1512"/>
      <c r="REO1512"/>
      <c r="REP1512"/>
      <c r="REQ1512"/>
      <c r="RER1512"/>
      <c r="RES1512"/>
      <c r="RET1512"/>
      <c r="REU1512"/>
      <c r="REV1512"/>
      <c r="REW1512"/>
      <c r="REX1512"/>
      <c r="REY1512"/>
      <c r="REZ1512"/>
      <c r="RFA1512"/>
      <c r="RFB1512"/>
      <c r="RFC1512"/>
      <c r="RFD1512"/>
      <c r="RFE1512"/>
      <c r="RFF1512"/>
      <c r="RFG1512"/>
      <c r="RFH1512"/>
      <c r="RFI1512"/>
      <c r="RFJ1512"/>
      <c r="RFK1512"/>
      <c r="RFL1512"/>
      <c r="RFM1512"/>
      <c r="RFN1512"/>
      <c r="RFO1512"/>
      <c r="RFP1512"/>
      <c r="RFQ1512"/>
      <c r="RFR1512"/>
      <c r="RFS1512"/>
      <c r="RFT1512"/>
      <c r="RFU1512"/>
      <c r="RFV1512"/>
      <c r="RFW1512"/>
      <c r="RFX1512"/>
      <c r="RFY1512"/>
      <c r="RFZ1512"/>
      <c r="RGA1512"/>
      <c r="RGB1512"/>
      <c r="RGC1512"/>
      <c r="RGD1512"/>
      <c r="RGE1512"/>
      <c r="RGF1512"/>
      <c r="RGG1512"/>
      <c r="RGH1512"/>
      <c r="RGI1512"/>
      <c r="RGJ1512"/>
      <c r="RGK1512"/>
      <c r="RGL1512"/>
      <c r="RGM1512"/>
      <c r="RGN1512"/>
      <c r="RGO1512"/>
      <c r="RGP1512"/>
      <c r="RGQ1512"/>
      <c r="RGR1512"/>
      <c r="RGS1512"/>
      <c r="RGT1512"/>
      <c r="RGU1512"/>
      <c r="RGV1512"/>
      <c r="RGW1512"/>
      <c r="RGX1512"/>
      <c r="RGY1512"/>
      <c r="RGZ1512"/>
      <c r="RHA1512"/>
      <c r="RHB1512"/>
      <c r="RHC1512"/>
      <c r="RHD1512"/>
      <c r="RHE1512"/>
      <c r="RHF1512"/>
      <c r="RHG1512"/>
      <c r="RHH1512"/>
      <c r="RHI1512"/>
      <c r="RHJ1512"/>
      <c r="RHK1512"/>
      <c r="RHL1512"/>
      <c r="RHM1512"/>
      <c r="RHN1512"/>
      <c r="RHO1512"/>
      <c r="RHP1512"/>
      <c r="RHQ1512"/>
      <c r="RHR1512"/>
      <c r="RHS1512"/>
      <c r="RHT1512"/>
      <c r="RHU1512"/>
      <c r="RHV1512"/>
      <c r="RHW1512"/>
      <c r="RHX1512"/>
      <c r="RHY1512"/>
      <c r="RHZ1512"/>
      <c r="RIA1512"/>
      <c r="RIB1512"/>
      <c r="RIC1512"/>
      <c r="RID1512"/>
      <c r="RIE1512"/>
      <c r="RIF1512"/>
      <c r="RIG1512"/>
      <c r="RIH1512"/>
      <c r="RII1512"/>
      <c r="RIJ1512"/>
      <c r="RIK1512"/>
      <c r="RIL1512"/>
      <c r="RIM1512"/>
      <c r="RIN1512"/>
      <c r="RIO1512"/>
      <c r="RIP1512"/>
      <c r="RIQ1512"/>
      <c r="RIR1512"/>
      <c r="RIS1512"/>
      <c r="RIT1512"/>
      <c r="RIU1512"/>
      <c r="RIV1512"/>
      <c r="RIW1512"/>
      <c r="RIX1512"/>
      <c r="RIY1512"/>
      <c r="RIZ1512"/>
      <c r="RJA1512"/>
      <c r="RJB1512"/>
      <c r="RJC1512"/>
      <c r="RJD1512"/>
      <c r="RJE1512"/>
      <c r="RJF1512"/>
      <c r="RJG1512"/>
      <c r="RJH1512"/>
      <c r="RJI1512"/>
      <c r="RJJ1512"/>
      <c r="RJK1512"/>
      <c r="RJL1512"/>
      <c r="RJM1512"/>
      <c r="RJN1512"/>
      <c r="RJO1512"/>
      <c r="RJP1512"/>
      <c r="RJQ1512"/>
      <c r="RJR1512"/>
      <c r="RJS1512"/>
      <c r="RJT1512"/>
      <c r="RJU1512"/>
      <c r="RJV1512"/>
      <c r="RJW1512"/>
      <c r="RJX1512"/>
      <c r="RJY1512"/>
      <c r="RJZ1512"/>
      <c r="RKA1512"/>
      <c r="RKB1512"/>
      <c r="RKC1512"/>
      <c r="RKD1512"/>
      <c r="RKE1512"/>
      <c r="RKF1512"/>
      <c r="RKG1512"/>
      <c r="RKH1512"/>
      <c r="RKI1512"/>
      <c r="RKJ1512"/>
      <c r="RKK1512"/>
      <c r="RKL1512"/>
      <c r="RKM1512"/>
      <c r="RKN1512"/>
      <c r="RKO1512"/>
      <c r="RKP1512"/>
      <c r="RKQ1512"/>
      <c r="RKR1512"/>
      <c r="RKS1512"/>
      <c r="RKT1512"/>
      <c r="RKU1512"/>
      <c r="RKV1512"/>
      <c r="RKW1512"/>
      <c r="RKX1512"/>
      <c r="RKY1512"/>
      <c r="RKZ1512"/>
      <c r="RLA1512"/>
      <c r="RLB1512"/>
      <c r="RLC1512"/>
      <c r="RLD1512"/>
      <c r="RLE1512"/>
      <c r="RLF1512"/>
      <c r="RLG1512"/>
      <c r="RLH1512"/>
      <c r="RLI1512"/>
      <c r="RLJ1512"/>
      <c r="RLK1512"/>
      <c r="RLL1512"/>
      <c r="RLM1512"/>
      <c r="RLN1512"/>
      <c r="RLO1512"/>
      <c r="RLP1512"/>
      <c r="RLQ1512"/>
      <c r="RLR1512"/>
      <c r="RLS1512"/>
      <c r="RLT1512"/>
      <c r="RLU1512"/>
      <c r="RLV1512"/>
      <c r="RLW1512"/>
      <c r="RLX1512"/>
      <c r="RLY1512"/>
      <c r="RLZ1512"/>
      <c r="RMA1512"/>
      <c r="RMB1512"/>
      <c r="RMC1512"/>
      <c r="RMD1512"/>
      <c r="RME1512"/>
      <c r="RMF1512"/>
      <c r="RMG1512"/>
      <c r="RMH1512"/>
      <c r="RMI1512"/>
      <c r="RMJ1512"/>
      <c r="RMK1512"/>
      <c r="RML1512"/>
      <c r="RMM1512"/>
      <c r="RMN1512"/>
      <c r="RMO1512"/>
      <c r="RMP1512"/>
      <c r="RMQ1512"/>
      <c r="RMR1512"/>
      <c r="RMS1512"/>
      <c r="RMT1512"/>
      <c r="RMU1512"/>
      <c r="RMV1512"/>
      <c r="RMW1512"/>
      <c r="RMX1512"/>
      <c r="RMY1512"/>
      <c r="RMZ1512"/>
      <c r="RNA1512"/>
      <c r="RNB1512"/>
      <c r="RNC1512"/>
      <c r="RND1512"/>
      <c r="RNE1512"/>
      <c r="RNF1512"/>
      <c r="RNG1512"/>
      <c r="RNH1512"/>
      <c r="RNI1512"/>
      <c r="RNJ1512"/>
      <c r="RNK1512"/>
      <c r="RNL1512"/>
      <c r="RNM1512"/>
      <c r="RNN1512"/>
      <c r="RNO1512"/>
      <c r="RNP1512"/>
      <c r="RNQ1512"/>
      <c r="RNR1512"/>
      <c r="RNS1512"/>
      <c r="RNT1512"/>
      <c r="RNU1512"/>
      <c r="RNV1512"/>
      <c r="RNW1512"/>
      <c r="RNX1512"/>
      <c r="RNY1512"/>
      <c r="RNZ1512"/>
      <c r="ROA1512"/>
      <c r="ROB1512"/>
      <c r="ROC1512"/>
      <c r="ROD1512"/>
      <c r="ROE1512"/>
      <c r="ROF1512"/>
      <c r="ROG1512"/>
      <c r="ROH1512"/>
      <c r="ROI1512"/>
      <c r="ROJ1512"/>
      <c r="ROK1512"/>
      <c r="ROL1512"/>
      <c r="ROM1512"/>
      <c r="RON1512"/>
      <c r="ROO1512"/>
      <c r="ROP1512"/>
      <c r="ROQ1512"/>
      <c r="ROR1512"/>
      <c r="ROS1512"/>
      <c r="ROT1512"/>
      <c r="ROU1512"/>
      <c r="ROV1512"/>
      <c r="ROW1512"/>
      <c r="ROX1512"/>
      <c r="ROY1512"/>
      <c r="ROZ1512"/>
      <c r="RPA1512"/>
      <c r="RPB1512"/>
      <c r="RPC1512"/>
      <c r="RPD1512"/>
      <c r="RPE1512"/>
      <c r="RPF1512"/>
      <c r="RPG1512"/>
      <c r="RPH1512"/>
      <c r="RPI1512"/>
      <c r="RPJ1512"/>
      <c r="RPK1512"/>
      <c r="RPL1512"/>
      <c r="RPM1512"/>
      <c r="RPN1512"/>
      <c r="RPO1512"/>
      <c r="RPP1512"/>
      <c r="RPQ1512"/>
      <c r="RPR1512"/>
      <c r="RPS1512"/>
      <c r="RPT1512"/>
      <c r="RPU1512"/>
      <c r="RPV1512"/>
      <c r="RPW1512"/>
      <c r="RPX1512"/>
      <c r="RPY1512"/>
      <c r="RPZ1512"/>
      <c r="RQA1512"/>
      <c r="RQB1512"/>
      <c r="RQC1512"/>
      <c r="RQD1512"/>
      <c r="RQE1512"/>
      <c r="RQF1512"/>
      <c r="RQG1512"/>
      <c r="RQH1512"/>
      <c r="RQI1512"/>
      <c r="RQJ1512"/>
      <c r="RQK1512"/>
      <c r="RQL1512"/>
      <c r="RQM1512"/>
      <c r="RQN1512"/>
      <c r="RQO1512"/>
      <c r="RQP1512"/>
      <c r="RQQ1512"/>
      <c r="RQR1512"/>
      <c r="RQS1512"/>
      <c r="RQT1512"/>
      <c r="RQU1512"/>
      <c r="RQV1512"/>
      <c r="RQW1512"/>
      <c r="RQX1512"/>
      <c r="RQY1512"/>
      <c r="RQZ1512"/>
      <c r="RRA1512"/>
      <c r="RRB1512"/>
      <c r="RRC1512"/>
      <c r="RRD1512"/>
      <c r="RRE1512"/>
      <c r="RRF1512"/>
      <c r="RRG1512"/>
      <c r="RRH1512"/>
      <c r="RRI1512"/>
      <c r="RRJ1512"/>
      <c r="RRK1512"/>
      <c r="RRL1512"/>
      <c r="RRM1512"/>
      <c r="RRN1512"/>
      <c r="RRO1512"/>
      <c r="RRP1512"/>
      <c r="RRQ1512"/>
      <c r="RRR1512"/>
      <c r="RRS1512"/>
      <c r="RRT1512"/>
      <c r="RRU1512"/>
      <c r="RRV1512"/>
      <c r="RRW1512"/>
      <c r="RRX1512"/>
      <c r="RRY1512"/>
      <c r="RRZ1512"/>
      <c r="RSA1512"/>
      <c r="RSB1512"/>
      <c r="RSC1512"/>
      <c r="RSD1512"/>
      <c r="RSE1512"/>
      <c r="RSF1512"/>
      <c r="RSG1512"/>
      <c r="RSH1512"/>
      <c r="RSI1512"/>
      <c r="RSJ1512"/>
      <c r="RSK1512"/>
      <c r="RSL1512"/>
      <c r="RSM1512"/>
      <c r="RSN1512"/>
      <c r="RSO1512"/>
      <c r="RSP1512"/>
      <c r="RSQ1512"/>
      <c r="RSR1512"/>
      <c r="RSS1512"/>
      <c r="RST1512"/>
      <c r="RSU1512"/>
      <c r="RSV1512"/>
      <c r="RSW1512"/>
      <c r="RSX1512"/>
      <c r="RSY1512"/>
      <c r="RSZ1512"/>
      <c r="RTA1512"/>
      <c r="RTB1512"/>
      <c r="RTC1512"/>
      <c r="RTD1512"/>
      <c r="RTE1512"/>
      <c r="RTF1512"/>
      <c r="RTG1512"/>
      <c r="RTH1512"/>
      <c r="RTI1512"/>
      <c r="RTJ1512"/>
      <c r="RTK1512"/>
      <c r="RTL1512"/>
      <c r="RTM1512"/>
      <c r="RTN1512"/>
      <c r="RTO1512"/>
      <c r="RTP1512"/>
      <c r="RTQ1512"/>
      <c r="RTR1512"/>
      <c r="RTS1512"/>
      <c r="RTT1512"/>
      <c r="RTU1512"/>
      <c r="RTV1512"/>
      <c r="RTW1512"/>
      <c r="RTX1512"/>
      <c r="RTY1512"/>
      <c r="RTZ1512"/>
      <c r="RUA1512"/>
      <c r="RUB1512"/>
      <c r="RUC1512"/>
      <c r="RUD1512"/>
      <c r="RUE1512"/>
      <c r="RUF1512"/>
      <c r="RUG1512"/>
      <c r="RUH1512"/>
      <c r="RUI1512"/>
      <c r="RUJ1512"/>
      <c r="RUK1512"/>
      <c r="RUL1512"/>
      <c r="RUM1512"/>
      <c r="RUN1512"/>
      <c r="RUO1512"/>
      <c r="RUP1512"/>
      <c r="RUQ1512"/>
      <c r="RUR1512"/>
      <c r="RUS1512"/>
      <c r="RUT1512"/>
      <c r="RUU1512"/>
      <c r="RUV1512"/>
      <c r="RUW1512"/>
      <c r="RUX1512"/>
      <c r="RUY1512"/>
      <c r="RUZ1512"/>
      <c r="RVA1512"/>
      <c r="RVB1512"/>
      <c r="RVC1512"/>
      <c r="RVD1512"/>
      <c r="RVE1512"/>
      <c r="RVF1512"/>
      <c r="RVG1512"/>
      <c r="RVH1512"/>
      <c r="RVI1512"/>
      <c r="RVJ1512"/>
      <c r="RVK1512"/>
      <c r="RVL1512"/>
      <c r="RVM1512"/>
      <c r="RVN1512"/>
      <c r="RVO1512"/>
      <c r="RVP1512"/>
      <c r="RVQ1512"/>
      <c r="RVR1512"/>
      <c r="RVS1512"/>
      <c r="RVT1512"/>
      <c r="RVU1512"/>
      <c r="RVV1512"/>
      <c r="RVW1512"/>
      <c r="RVX1512"/>
      <c r="RVY1512"/>
      <c r="RVZ1512"/>
      <c r="RWA1512"/>
      <c r="RWB1512"/>
      <c r="RWC1512"/>
      <c r="RWD1512"/>
      <c r="RWE1512"/>
      <c r="RWF1512"/>
      <c r="RWG1512"/>
      <c r="RWH1512"/>
      <c r="RWI1512"/>
      <c r="RWJ1512"/>
      <c r="RWK1512"/>
      <c r="RWL1512"/>
      <c r="RWM1512"/>
      <c r="RWN1512"/>
      <c r="RWO1512"/>
      <c r="RWP1512"/>
      <c r="RWQ1512"/>
      <c r="RWR1512"/>
      <c r="RWS1512"/>
      <c r="RWT1512"/>
      <c r="RWU1512"/>
      <c r="RWV1512"/>
      <c r="RWW1512"/>
      <c r="RWX1512"/>
      <c r="RWY1512"/>
      <c r="RWZ1512"/>
      <c r="RXA1512"/>
      <c r="RXB1512"/>
      <c r="RXC1512"/>
      <c r="RXD1512"/>
      <c r="RXE1512"/>
      <c r="RXF1512"/>
      <c r="RXG1512"/>
      <c r="RXH1512"/>
      <c r="RXI1512"/>
      <c r="RXJ1512"/>
      <c r="RXK1512"/>
      <c r="RXL1512"/>
      <c r="RXM1512"/>
      <c r="RXN1512"/>
      <c r="RXO1512"/>
      <c r="RXP1512"/>
      <c r="RXQ1512"/>
      <c r="RXR1512"/>
      <c r="RXS1512"/>
      <c r="RXT1512"/>
      <c r="RXU1512"/>
      <c r="RXV1512"/>
      <c r="RXW1512"/>
      <c r="RXX1512"/>
      <c r="RXY1512"/>
      <c r="RXZ1512"/>
      <c r="RYA1512"/>
      <c r="RYB1512"/>
      <c r="RYC1512"/>
      <c r="RYD1512"/>
      <c r="RYE1512"/>
      <c r="RYF1512"/>
      <c r="RYG1512"/>
      <c r="RYH1512"/>
      <c r="RYI1512"/>
      <c r="RYJ1512"/>
      <c r="RYK1512"/>
      <c r="RYL1512"/>
      <c r="RYM1512"/>
      <c r="RYN1512"/>
      <c r="RYO1512"/>
      <c r="RYP1512"/>
      <c r="RYQ1512"/>
      <c r="RYR1512"/>
      <c r="RYS1512"/>
      <c r="RYT1512"/>
      <c r="RYU1512"/>
      <c r="RYV1512"/>
      <c r="RYW1512"/>
      <c r="RYX1512"/>
      <c r="RYY1512"/>
      <c r="RYZ1512"/>
      <c r="RZA1512"/>
      <c r="RZB1512"/>
      <c r="RZC1512"/>
      <c r="RZD1512"/>
      <c r="RZE1512"/>
      <c r="RZF1512"/>
      <c r="RZG1512"/>
      <c r="RZH1512"/>
      <c r="RZI1512"/>
      <c r="RZJ1512"/>
      <c r="RZK1512"/>
      <c r="RZL1512"/>
      <c r="RZM1512"/>
      <c r="RZN1512"/>
      <c r="RZO1512"/>
      <c r="RZP1512"/>
      <c r="RZQ1512"/>
      <c r="RZR1512"/>
      <c r="RZS1512"/>
      <c r="RZT1512"/>
      <c r="RZU1512"/>
      <c r="RZV1512"/>
      <c r="RZW1512"/>
      <c r="RZX1512"/>
      <c r="RZY1512"/>
      <c r="RZZ1512"/>
      <c r="SAA1512"/>
      <c r="SAB1512"/>
      <c r="SAC1512"/>
      <c r="SAD1512"/>
      <c r="SAE1512"/>
      <c r="SAF1512"/>
      <c r="SAG1512"/>
      <c r="SAH1512"/>
      <c r="SAI1512"/>
      <c r="SAJ1512"/>
      <c r="SAK1512"/>
      <c r="SAL1512"/>
      <c r="SAM1512"/>
      <c r="SAN1512"/>
      <c r="SAO1512"/>
      <c r="SAP1512"/>
      <c r="SAQ1512"/>
      <c r="SAR1512"/>
      <c r="SAS1512"/>
      <c r="SAT1512"/>
      <c r="SAU1512"/>
      <c r="SAV1512"/>
      <c r="SAW1512"/>
      <c r="SAX1512"/>
      <c r="SAY1512"/>
      <c r="SAZ1512"/>
      <c r="SBA1512"/>
      <c r="SBB1512"/>
      <c r="SBC1512"/>
      <c r="SBD1512"/>
      <c r="SBE1512"/>
      <c r="SBF1512"/>
      <c r="SBG1512"/>
      <c r="SBH1512"/>
      <c r="SBI1512"/>
      <c r="SBJ1512"/>
      <c r="SBK1512"/>
      <c r="SBL1512"/>
      <c r="SBM1512"/>
      <c r="SBN1512"/>
      <c r="SBO1512"/>
      <c r="SBP1512"/>
      <c r="SBQ1512"/>
      <c r="SBR1512"/>
      <c r="SBS1512"/>
      <c r="SBT1512"/>
      <c r="SBU1512"/>
      <c r="SBV1512"/>
      <c r="SBW1512"/>
      <c r="SBX1512"/>
      <c r="SBY1512"/>
      <c r="SBZ1512"/>
      <c r="SCA1512"/>
      <c r="SCB1512"/>
      <c r="SCC1512"/>
      <c r="SCD1512"/>
      <c r="SCE1512"/>
      <c r="SCF1512"/>
      <c r="SCG1512"/>
      <c r="SCH1512"/>
      <c r="SCI1512"/>
      <c r="SCJ1512"/>
      <c r="SCK1512"/>
      <c r="SCL1512"/>
      <c r="SCM1512"/>
      <c r="SCN1512"/>
      <c r="SCO1512"/>
      <c r="SCP1512"/>
      <c r="SCQ1512"/>
      <c r="SCR1512"/>
      <c r="SCS1512"/>
      <c r="SCT1512"/>
      <c r="SCU1512"/>
      <c r="SCV1512"/>
      <c r="SCW1512"/>
      <c r="SCX1512"/>
      <c r="SCY1512"/>
      <c r="SCZ1512"/>
      <c r="SDA1512"/>
      <c r="SDB1512"/>
      <c r="SDC1512"/>
      <c r="SDD1512"/>
      <c r="SDE1512"/>
      <c r="SDF1512"/>
      <c r="SDG1512"/>
      <c r="SDH1512"/>
      <c r="SDI1512"/>
      <c r="SDJ1512"/>
      <c r="SDK1512"/>
      <c r="SDL1512"/>
      <c r="SDM1512"/>
      <c r="SDN1512"/>
      <c r="SDO1512"/>
      <c r="SDP1512"/>
      <c r="SDQ1512"/>
      <c r="SDR1512"/>
      <c r="SDS1512"/>
      <c r="SDT1512"/>
      <c r="SDU1512"/>
      <c r="SDV1512"/>
      <c r="SDW1512"/>
      <c r="SDX1512"/>
      <c r="SDY1512"/>
      <c r="SDZ1512"/>
      <c r="SEA1512"/>
      <c r="SEB1512"/>
      <c r="SEC1512"/>
      <c r="SED1512"/>
      <c r="SEE1512"/>
      <c r="SEF1512"/>
      <c r="SEG1512"/>
      <c r="SEH1512"/>
      <c r="SEI1512"/>
      <c r="SEJ1512"/>
      <c r="SEK1512"/>
      <c r="SEL1512"/>
      <c r="SEM1512"/>
      <c r="SEN1512"/>
      <c r="SEO1512"/>
      <c r="SEP1512"/>
      <c r="SEQ1512"/>
      <c r="SER1512"/>
      <c r="SES1512"/>
      <c r="SET1512"/>
      <c r="SEU1512"/>
      <c r="SEV1512"/>
      <c r="SEW1512"/>
      <c r="SEX1512"/>
      <c r="SEY1512"/>
      <c r="SEZ1512"/>
      <c r="SFA1512"/>
      <c r="SFB1512"/>
      <c r="SFC1512"/>
      <c r="SFD1512"/>
      <c r="SFE1512"/>
      <c r="SFF1512"/>
      <c r="SFG1512"/>
      <c r="SFH1512"/>
      <c r="SFI1512"/>
      <c r="SFJ1512"/>
      <c r="SFK1512"/>
      <c r="SFL1512"/>
      <c r="SFM1512"/>
      <c r="SFN1512"/>
      <c r="SFO1512"/>
      <c r="SFP1512"/>
      <c r="SFQ1512"/>
      <c r="SFR1512"/>
      <c r="SFS1512"/>
      <c r="SFT1512"/>
      <c r="SFU1512"/>
      <c r="SFV1512"/>
      <c r="SFW1512"/>
      <c r="SFX1512"/>
      <c r="SFY1512"/>
      <c r="SFZ1512"/>
      <c r="SGA1512"/>
      <c r="SGB1512"/>
      <c r="SGC1512"/>
      <c r="SGD1512"/>
      <c r="SGE1512"/>
      <c r="SGF1512"/>
      <c r="SGG1512"/>
      <c r="SGH1512"/>
      <c r="SGI1512"/>
      <c r="SGJ1512"/>
      <c r="SGK1512"/>
      <c r="SGL1512"/>
      <c r="SGM1512"/>
      <c r="SGN1512"/>
      <c r="SGO1512"/>
      <c r="SGP1512"/>
      <c r="SGQ1512"/>
      <c r="SGR1512"/>
      <c r="SGS1512"/>
      <c r="SGT1512"/>
      <c r="SGU1512"/>
      <c r="SGV1512"/>
      <c r="SGW1512"/>
      <c r="SGX1512"/>
      <c r="SGY1512"/>
      <c r="SGZ1512"/>
      <c r="SHA1512"/>
      <c r="SHB1512"/>
      <c r="SHC1512"/>
      <c r="SHD1512"/>
      <c r="SHE1512"/>
      <c r="SHF1512"/>
      <c r="SHG1512"/>
      <c r="SHH1512"/>
      <c r="SHI1512"/>
      <c r="SHJ1512"/>
      <c r="SHK1512"/>
      <c r="SHL1512"/>
      <c r="SHM1512"/>
      <c r="SHN1512"/>
      <c r="SHO1512"/>
      <c r="SHP1512"/>
      <c r="SHQ1512"/>
      <c r="SHR1512"/>
      <c r="SHS1512"/>
      <c r="SHT1512"/>
      <c r="SHU1512"/>
      <c r="SHV1512"/>
      <c r="SHW1512"/>
      <c r="SHX1512"/>
      <c r="SHY1512"/>
      <c r="SHZ1512"/>
      <c r="SIA1512"/>
      <c r="SIB1512"/>
      <c r="SIC1512"/>
      <c r="SID1512"/>
      <c r="SIE1512"/>
      <c r="SIF1512"/>
      <c r="SIG1512"/>
      <c r="SIH1512"/>
      <c r="SII1512"/>
      <c r="SIJ1512"/>
      <c r="SIK1512"/>
      <c r="SIL1512"/>
      <c r="SIM1512"/>
      <c r="SIN1512"/>
      <c r="SIO1512"/>
      <c r="SIP1512"/>
      <c r="SIQ1512"/>
      <c r="SIR1512"/>
      <c r="SIS1512"/>
      <c r="SIT1512"/>
      <c r="SIU1512"/>
      <c r="SIV1512"/>
      <c r="SIW1512"/>
      <c r="SIX1512"/>
      <c r="SIY1512"/>
      <c r="SIZ1512"/>
      <c r="SJA1512"/>
      <c r="SJB1512"/>
      <c r="SJC1512"/>
      <c r="SJD1512"/>
      <c r="SJE1512"/>
      <c r="SJF1512"/>
      <c r="SJG1512"/>
      <c r="SJH1512"/>
      <c r="SJI1512"/>
      <c r="SJJ1512"/>
      <c r="SJK1512"/>
      <c r="SJL1512"/>
      <c r="SJM1512"/>
      <c r="SJN1512"/>
      <c r="SJO1512"/>
      <c r="SJP1512"/>
      <c r="SJQ1512"/>
      <c r="SJR1512"/>
      <c r="SJS1512"/>
      <c r="SJT1512"/>
      <c r="SJU1512"/>
      <c r="SJV1512"/>
      <c r="SJW1512"/>
      <c r="SJX1512"/>
      <c r="SJY1512"/>
      <c r="SJZ1512"/>
      <c r="SKA1512"/>
      <c r="SKB1512"/>
      <c r="SKC1512"/>
      <c r="SKD1512"/>
      <c r="SKE1512"/>
      <c r="SKF1512"/>
      <c r="SKG1512"/>
      <c r="SKH1512"/>
      <c r="SKI1512"/>
      <c r="SKJ1512"/>
      <c r="SKK1512"/>
      <c r="SKL1512"/>
      <c r="SKM1512"/>
      <c r="SKN1512"/>
      <c r="SKO1512"/>
      <c r="SKP1512"/>
      <c r="SKQ1512"/>
      <c r="SKR1512"/>
      <c r="SKS1512"/>
      <c r="SKT1512"/>
      <c r="SKU1512"/>
      <c r="SKV1512"/>
      <c r="SKW1512"/>
      <c r="SKX1512"/>
      <c r="SKY1512"/>
      <c r="SKZ1512"/>
      <c r="SLA1512"/>
      <c r="SLB1512"/>
      <c r="SLC1512"/>
      <c r="SLD1512"/>
      <c r="SLE1512"/>
      <c r="SLF1512"/>
      <c r="SLG1512"/>
      <c r="SLH1512"/>
      <c r="SLI1512"/>
      <c r="SLJ1512"/>
      <c r="SLK1512"/>
      <c r="SLL1512"/>
      <c r="SLM1512"/>
      <c r="SLN1512"/>
      <c r="SLO1512"/>
      <c r="SLP1512"/>
      <c r="SLQ1512"/>
      <c r="SLR1512"/>
      <c r="SLS1512"/>
      <c r="SLT1512"/>
      <c r="SLU1512"/>
      <c r="SLV1512"/>
      <c r="SLW1512"/>
      <c r="SLX1512"/>
      <c r="SLY1512"/>
      <c r="SLZ1512"/>
      <c r="SMA1512"/>
      <c r="SMB1512"/>
      <c r="SMC1512"/>
      <c r="SMD1512"/>
      <c r="SME1512"/>
      <c r="SMF1512"/>
      <c r="SMG1512"/>
      <c r="SMH1512"/>
      <c r="SMI1512"/>
      <c r="SMJ1512"/>
      <c r="SMK1512"/>
      <c r="SML1512"/>
      <c r="SMM1512"/>
      <c r="SMN1512"/>
      <c r="SMO1512"/>
      <c r="SMP1512"/>
      <c r="SMQ1512"/>
      <c r="SMR1512"/>
      <c r="SMS1512"/>
      <c r="SMT1512"/>
      <c r="SMU1512"/>
      <c r="SMV1512"/>
      <c r="SMW1512"/>
      <c r="SMX1512"/>
      <c r="SMY1512"/>
      <c r="SMZ1512"/>
      <c r="SNA1512"/>
      <c r="SNB1512"/>
      <c r="SNC1512"/>
      <c r="SND1512"/>
      <c r="SNE1512"/>
      <c r="SNF1512"/>
      <c r="SNG1512"/>
      <c r="SNH1512"/>
      <c r="SNI1512"/>
      <c r="SNJ1512"/>
      <c r="SNK1512"/>
      <c r="SNL1512"/>
      <c r="SNM1512"/>
      <c r="SNN1512"/>
      <c r="SNO1512"/>
      <c r="SNP1512"/>
      <c r="SNQ1512"/>
      <c r="SNR1512"/>
      <c r="SNS1512"/>
      <c r="SNT1512"/>
      <c r="SNU1512"/>
      <c r="SNV1512"/>
      <c r="SNW1512"/>
      <c r="SNX1512"/>
      <c r="SNY1512"/>
      <c r="SNZ1512"/>
      <c r="SOA1512"/>
      <c r="SOB1512"/>
      <c r="SOC1512"/>
      <c r="SOD1512"/>
      <c r="SOE1512"/>
      <c r="SOF1512"/>
      <c r="SOG1512"/>
      <c r="SOH1512"/>
      <c r="SOI1512"/>
      <c r="SOJ1512"/>
      <c r="SOK1512"/>
      <c r="SOL1512"/>
      <c r="SOM1512"/>
      <c r="SON1512"/>
      <c r="SOO1512"/>
      <c r="SOP1512"/>
      <c r="SOQ1512"/>
      <c r="SOR1512"/>
      <c r="SOS1512"/>
      <c r="SOT1512"/>
      <c r="SOU1512"/>
      <c r="SOV1512"/>
      <c r="SOW1512"/>
      <c r="SOX1512"/>
      <c r="SOY1512"/>
      <c r="SOZ1512"/>
      <c r="SPA1512"/>
      <c r="SPB1512"/>
      <c r="SPC1512"/>
      <c r="SPD1512"/>
      <c r="SPE1512"/>
      <c r="SPF1512"/>
      <c r="SPG1512"/>
      <c r="SPH1512"/>
      <c r="SPI1512"/>
      <c r="SPJ1512"/>
      <c r="SPK1512"/>
      <c r="SPL1512"/>
      <c r="SPM1512"/>
      <c r="SPN1512"/>
      <c r="SPO1512"/>
      <c r="SPP1512"/>
      <c r="SPQ1512"/>
      <c r="SPR1512"/>
      <c r="SPS1512"/>
      <c r="SPT1512"/>
      <c r="SPU1512"/>
      <c r="SPV1512"/>
      <c r="SPW1512"/>
      <c r="SPX1512"/>
      <c r="SPY1512"/>
      <c r="SPZ1512"/>
      <c r="SQA1512"/>
      <c r="SQB1512"/>
      <c r="SQC1512"/>
      <c r="SQD1512"/>
      <c r="SQE1512"/>
      <c r="SQF1512"/>
      <c r="SQG1512"/>
      <c r="SQH1512"/>
      <c r="SQI1512"/>
      <c r="SQJ1512"/>
      <c r="SQK1512"/>
      <c r="SQL1512"/>
      <c r="SQM1512"/>
      <c r="SQN1512"/>
      <c r="SQO1512"/>
      <c r="SQP1512"/>
      <c r="SQQ1512"/>
      <c r="SQR1512"/>
      <c r="SQS1512"/>
      <c r="SQT1512"/>
      <c r="SQU1512"/>
      <c r="SQV1512"/>
      <c r="SQW1512"/>
      <c r="SQX1512"/>
      <c r="SQY1512"/>
      <c r="SQZ1512"/>
      <c r="SRA1512"/>
      <c r="SRB1512"/>
      <c r="SRC1512"/>
      <c r="SRD1512"/>
      <c r="SRE1512"/>
      <c r="SRF1512"/>
      <c r="SRG1512"/>
      <c r="SRH1512"/>
      <c r="SRI1512"/>
      <c r="SRJ1512"/>
      <c r="SRK1512"/>
      <c r="SRL1512"/>
      <c r="SRM1512"/>
      <c r="SRN1512"/>
      <c r="SRO1512"/>
      <c r="SRP1512"/>
      <c r="SRQ1512"/>
      <c r="SRR1512"/>
      <c r="SRS1512"/>
      <c r="SRT1512"/>
      <c r="SRU1512"/>
      <c r="SRV1512"/>
      <c r="SRW1512"/>
      <c r="SRX1512"/>
      <c r="SRY1512"/>
      <c r="SRZ1512"/>
      <c r="SSA1512"/>
      <c r="SSB1512"/>
      <c r="SSC1512"/>
      <c r="SSD1512"/>
      <c r="SSE1512"/>
      <c r="SSF1512"/>
      <c r="SSG1512"/>
      <c r="SSH1512"/>
      <c r="SSI1512"/>
      <c r="SSJ1512"/>
      <c r="SSK1512"/>
      <c r="SSL1512"/>
      <c r="SSM1512"/>
      <c r="SSN1512"/>
      <c r="SSO1512"/>
      <c r="SSP1512"/>
      <c r="SSQ1512"/>
      <c r="SSR1512"/>
      <c r="SSS1512"/>
      <c r="SST1512"/>
      <c r="SSU1512"/>
      <c r="SSV1512"/>
      <c r="SSW1512"/>
      <c r="SSX1512"/>
      <c r="SSY1512"/>
      <c r="SSZ1512"/>
      <c r="STA1512"/>
      <c r="STB1512"/>
      <c r="STC1512"/>
      <c r="STD1512"/>
      <c r="STE1512"/>
      <c r="STF1512"/>
      <c r="STG1512"/>
      <c r="STH1512"/>
      <c r="STI1512"/>
      <c r="STJ1512"/>
      <c r="STK1512"/>
      <c r="STL1512"/>
      <c r="STM1512"/>
      <c r="STN1512"/>
      <c r="STO1512"/>
      <c r="STP1512"/>
      <c r="STQ1512"/>
      <c r="STR1512"/>
      <c r="STS1512"/>
      <c r="STT1512"/>
      <c r="STU1512"/>
      <c r="STV1512"/>
      <c r="STW1512"/>
      <c r="STX1512"/>
      <c r="STY1512"/>
      <c r="STZ1512"/>
      <c r="SUA1512"/>
      <c r="SUB1512"/>
      <c r="SUC1512"/>
      <c r="SUD1512"/>
      <c r="SUE1512"/>
      <c r="SUF1512"/>
      <c r="SUG1512"/>
      <c r="SUH1512"/>
      <c r="SUI1512"/>
      <c r="SUJ1512"/>
      <c r="SUK1512"/>
      <c r="SUL1512"/>
      <c r="SUM1512"/>
      <c r="SUN1512"/>
      <c r="SUO1512"/>
      <c r="SUP1512"/>
      <c r="SUQ1512"/>
      <c r="SUR1512"/>
      <c r="SUS1512"/>
      <c r="SUT1512"/>
      <c r="SUU1512"/>
      <c r="SUV1512"/>
      <c r="SUW1512"/>
      <c r="SUX1512"/>
      <c r="SUY1512"/>
      <c r="SUZ1512"/>
      <c r="SVA1512"/>
      <c r="SVB1512"/>
      <c r="SVC1512"/>
      <c r="SVD1512"/>
      <c r="SVE1512"/>
      <c r="SVF1512"/>
      <c r="SVG1512"/>
      <c r="SVH1512"/>
      <c r="SVI1512"/>
      <c r="SVJ1512"/>
      <c r="SVK1512"/>
      <c r="SVL1512"/>
      <c r="SVM1512"/>
      <c r="SVN1512"/>
      <c r="SVO1512"/>
      <c r="SVP1512"/>
      <c r="SVQ1512"/>
      <c r="SVR1512"/>
      <c r="SVS1512"/>
      <c r="SVT1512"/>
      <c r="SVU1512"/>
      <c r="SVV1512"/>
      <c r="SVW1512"/>
      <c r="SVX1512"/>
      <c r="SVY1512"/>
      <c r="SVZ1512"/>
      <c r="SWA1512"/>
      <c r="SWB1512"/>
      <c r="SWC1512"/>
      <c r="SWD1512"/>
      <c r="SWE1512"/>
      <c r="SWF1512"/>
      <c r="SWG1512"/>
      <c r="SWH1512"/>
      <c r="SWI1512"/>
      <c r="SWJ1512"/>
      <c r="SWK1512"/>
      <c r="SWL1512"/>
      <c r="SWM1512"/>
      <c r="SWN1512"/>
      <c r="SWO1512"/>
      <c r="SWP1512"/>
      <c r="SWQ1512"/>
      <c r="SWR1512"/>
      <c r="SWS1512"/>
      <c r="SWT1512"/>
      <c r="SWU1512"/>
      <c r="SWV1512"/>
      <c r="SWW1512"/>
      <c r="SWX1512"/>
      <c r="SWY1512"/>
      <c r="SWZ1512"/>
      <c r="SXA1512"/>
      <c r="SXB1512"/>
      <c r="SXC1512"/>
      <c r="SXD1512"/>
      <c r="SXE1512"/>
      <c r="SXF1512"/>
      <c r="SXG1512"/>
      <c r="SXH1512"/>
      <c r="SXI1512"/>
      <c r="SXJ1512"/>
      <c r="SXK1512"/>
      <c r="SXL1512"/>
      <c r="SXM1512"/>
      <c r="SXN1512"/>
      <c r="SXO1512"/>
      <c r="SXP1512"/>
      <c r="SXQ1512"/>
      <c r="SXR1512"/>
      <c r="SXS1512"/>
      <c r="SXT1512"/>
      <c r="SXU1512"/>
      <c r="SXV1512"/>
      <c r="SXW1512"/>
      <c r="SXX1512"/>
      <c r="SXY1512"/>
      <c r="SXZ1512"/>
      <c r="SYA1512"/>
      <c r="SYB1512"/>
      <c r="SYC1512"/>
      <c r="SYD1512"/>
      <c r="SYE1512"/>
      <c r="SYF1512"/>
      <c r="SYG1512"/>
      <c r="SYH1512"/>
      <c r="SYI1512"/>
      <c r="SYJ1512"/>
      <c r="SYK1512"/>
      <c r="SYL1512"/>
      <c r="SYM1512"/>
      <c r="SYN1512"/>
      <c r="SYO1512"/>
      <c r="SYP1512"/>
      <c r="SYQ1512"/>
      <c r="SYR1512"/>
      <c r="SYS1512"/>
      <c r="SYT1512"/>
      <c r="SYU1512"/>
      <c r="SYV1512"/>
      <c r="SYW1512"/>
      <c r="SYX1512"/>
      <c r="SYY1512"/>
      <c r="SYZ1512"/>
      <c r="SZA1512"/>
      <c r="SZB1512"/>
      <c r="SZC1512"/>
      <c r="SZD1512"/>
      <c r="SZE1512"/>
      <c r="SZF1512"/>
      <c r="SZG1512"/>
      <c r="SZH1512"/>
      <c r="SZI1512"/>
      <c r="SZJ1512"/>
      <c r="SZK1512"/>
      <c r="SZL1512"/>
      <c r="SZM1512"/>
      <c r="SZN1512"/>
      <c r="SZO1512"/>
      <c r="SZP1512"/>
      <c r="SZQ1512"/>
      <c r="SZR1512"/>
      <c r="SZS1512"/>
      <c r="SZT1512"/>
      <c r="SZU1512"/>
      <c r="SZV1512"/>
      <c r="SZW1512"/>
      <c r="SZX1512"/>
      <c r="SZY1512"/>
      <c r="SZZ1512"/>
      <c r="TAA1512"/>
      <c r="TAB1512"/>
      <c r="TAC1512"/>
      <c r="TAD1512"/>
      <c r="TAE1512"/>
      <c r="TAF1512"/>
      <c r="TAG1512"/>
      <c r="TAH1512"/>
      <c r="TAI1512"/>
      <c r="TAJ1512"/>
      <c r="TAK1512"/>
      <c r="TAL1512"/>
      <c r="TAM1512"/>
      <c r="TAN1512"/>
      <c r="TAO1512"/>
      <c r="TAP1512"/>
      <c r="TAQ1512"/>
      <c r="TAR1512"/>
      <c r="TAS1512"/>
      <c r="TAT1512"/>
      <c r="TAU1512"/>
      <c r="TAV1512"/>
      <c r="TAW1512"/>
      <c r="TAX1512"/>
      <c r="TAY1512"/>
      <c r="TAZ1512"/>
      <c r="TBA1512"/>
      <c r="TBB1512"/>
      <c r="TBC1512"/>
      <c r="TBD1512"/>
      <c r="TBE1512"/>
      <c r="TBF1512"/>
      <c r="TBG1512"/>
      <c r="TBH1512"/>
      <c r="TBI1512"/>
      <c r="TBJ1512"/>
      <c r="TBK1512"/>
      <c r="TBL1512"/>
      <c r="TBM1512"/>
      <c r="TBN1512"/>
      <c r="TBO1512"/>
      <c r="TBP1512"/>
      <c r="TBQ1512"/>
      <c r="TBR1512"/>
      <c r="TBS1512"/>
      <c r="TBT1512"/>
      <c r="TBU1512"/>
      <c r="TBV1512"/>
      <c r="TBW1512"/>
      <c r="TBX1512"/>
      <c r="TBY1512"/>
      <c r="TBZ1512"/>
      <c r="TCA1512"/>
      <c r="TCB1512"/>
      <c r="TCC1512"/>
      <c r="TCD1512"/>
      <c r="TCE1512"/>
      <c r="TCF1512"/>
      <c r="TCG1512"/>
      <c r="TCH1512"/>
      <c r="TCI1512"/>
      <c r="TCJ1512"/>
      <c r="TCK1512"/>
      <c r="TCL1512"/>
      <c r="TCM1512"/>
      <c r="TCN1512"/>
      <c r="TCO1512"/>
      <c r="TCP1512"/>
      <c r="TCQ1512"/>
      <c r="TCR1512"/>
      <c r="TCS1512"/>
      <c r="TCT1512"/>
      <c r="TCU1512"/>
      <c r="TCV1512"/>
      <c r="TCW1512"/>
      <c r="TCX1512"/>
      <c r="TCY1512"/>
      <c r="TCZ1512"/>
      <c r="TDA1512"/>
      <c r="TDB1512"/>
      <c r="TDC1512"/>
      <c r="TDD1512"/>
      <c r="TDE1512"/>
      <c r="TDF1512"/>
      <c r="TDG1512"/>
      <c r="TDH1512"/>
      <c r="TDI1512"/>
      <c r="TDJ1512"/>
      <c r="TDK1512"/>
      <c r="TDL1512"/>
      <c r="TDM1512"/>
      <c r="TDN1512"/>
      <c r="TDO1512"/>
      <c r="TDP1512"/>
      <c r="TDQ1512"/>
      <c r="TDR1512"/>
      <c r="TDS1512"/>
      <c r="TDT1512"/>
      <c r="TDU1512"/>
      <c r="TDV1512"/>
      <c r="TDW1512"/>
      <c r="TDX1512"/>
      <c r="TDY1512"/>
      <c r="TDZ1512"/>
      <c r="TEA1512"/>
      <c r="TEB1512"/>
      <c r="TEC1512"/>
      <c r="TED1512"/>
      <c r="TEE1512"/>
      <c r="TEF1512"/>
      <c r="TEG1512"/>
      <c r="TEH1512"/>
      <c r="TEI1512"/>
      <c r="TEJ1512"/>
      <c r="TEK1512"/>
      <c r="TEL1512"/>
      <c r="TEM1512"/>
      <c r="TEN1512"/>
      <c r="TEO1512"/>
      <c r="TEP1512"/>
      <c r="TEQ1512"/>
      <c r="TER1512"/>
      <c r="TES1512"/>
      <c r="TET1512"/>
      <c r="TEU1512"/>
      <c r="TEV1512"/>
      <c r="TEW1512"/>
      <c r="TEX1512"/>
      <c r="TEY1512"/>
      <c r="TEZ1512"/>
      <c r="TFA1512"/>
      <c r="TFB1512"/>
      <c r="TFC1512"/>
      <c r="TFD1512"/>
      <c r="TFE1512"/>
      <c r="TFF1512"/>
      <c r="TFG1512"/>
      <c r="TFH1512"/>
      <c r="TFI1512"/>
      <c r="TFJ1512"/>
      <c r="TFK1512"/>
      <c r="TFL1512"/>
      <c r="TFM1512"/>
      <c r="TFN1512"/>
      <c r="TFO1512"/>
      <c r="TFP1512"/>
      <c r="TFQ1512"/>
      <c r="TFR1512"/>
      <c r="TFS1512"/>
      <c r="TFT1512"/>
      <c r="TFU1512"/>
      <c r="TFV1512"/>
      <c r="TFW1512"/>
      <c r="TFX1512"/>
      <c r="TFY1512"/>
      <c r="TFZ1512"/>
      <c r="TGA1512"/>
      <c r="TGB1512"/>
      <c r="TGC1512"/>
      <c r="TGD1512"/>
      <c r="TGE1512"/>
      <c r="TGF1512"/>
      <c r="TGG1512"/>
      <c r="TGH1512"/>
      <c r="TGI1512"/>
      <c r="TGJ1512"/>
      <c r="TGK1512"/>
      <c r="TGL1512"/>
      <c r="TGM1512"/>
      <c r="TGN1512"/>
      <c r="TGO1512"/>
      <c r="TGP1512"/>
      <c r="TGQ1512"/>
      <c r="TGR1512"/>
      <c r="TGS1512"/>
      <c r="TGT1512"/>
      <c r="TGU1512"/>
      <c r="TGV1512"/>
      <c r="TGW1512"/>
      <c r="TGX1512"/>
      <c r="TGY1512"/>
      <c r="TGZ1512"/>
      <c r="THA1512"/>
      <c r="THB1512"/>
      <c r="THC1512"/>
      <c r="THD1512"/>
      <c r="THE1512"/>
      <c r="THF1512"/>
      <c r="THG1512"/>
      <c r="THH1512"/>
      <c r="THI1512"/>
      <c r="THJ1512"/>
      <c r="THK1512"/>
      <c r="THL1512"/>
      <c r="THM1512"/>
      <c r="THN1512"/>
      <c r="THO1512"/>
      <c r="THP1512"/>
      <c r="THQ1512"/>
      <c r="THR1512"/>
      <c r="THS1512"/>
      <c r="THT1512"/>
      <c r="THU1512"/>
      <c r="THV1512"/>
      <c r="THW1512"/>
      <c r="THX1512"/>
      <c r="THY1512"/>
      <c r="THZ1512"/>
      <c r="TIA1512"/>
      <c r="TIB1512"/>
      <c r="TIC1512"/>
      <c r="TID1512"/>
      <c r="TIE1512"/>
      <c r="TIF1512"/>
      <c r="TIG1512"/>
      <c r="TIH1512"/>
      <c r="TII1512"/>
      <c r="TIJ1512"/>
      <c r="TIK1512"/>
      <c r="TIL1512"/>
      <c r="TIM1512"/>
      <c r="TIN1512"/>
      <c r="TIO1512"/>
      <c r="TIP1512"/>
      <c r="TIQ1512"/>
      <c r="TIR1512"/>
      <c r="TIS1512"/>
      <c r="TIT1512"/>
      <c r="TIU1512"/>
      <c r="TIV1512"/>
      <c r="TIW1512"/>
      <c r="TIX1512"/>
      <c r="TIY1512"/>
      <c r="TIZ1512"/>
      <c r="TJA1512"/>
      <c r="TJB1512"/>
      <c r="TJC1512"/>
      <c r="TJD1512"/>
      <c r="TJE1512"/>
      <c r="TJF1512"/>
      <c r="TJG1512"/>
      <c r="TJH1512"/>
      <c r="TJI1512"/>
      <c r="TJJ1512"/>
      <c r="TJK1512"/>
      <c r="TJL1512"/>
      <c r="TJM1512"/>
      <c r="TJN1512"/>
      <c r="TJO1512"/>
      <c r="TJP1512"/>
      <c r="TJQ1512"/>
      <c r="TJR1512"/>
      <c r="TJS1512"/>
      <c r="TJT1512"/>
      <c r="TJU1512"/>
      <c r="TJV1512"/>
      <c r="TJW1512"/>
      <c r="TJX1512"/>
      <c r="TJY1512"/>
      <c r="TJZ1512"/>
      <c r="TKA1512"/>
      <c r="TKB1512"/>
      <c r="TKC1512"/>
      <c r="TKD1512"/>
      <c r="TKE1512"/>
      <c r="TKF1512"/>
      <c r="TKG1512"/>
      <c r="TKH1512"/>
      <c r="TKI1512"/>
      <c r="TKJ1512"/>
      <c r="TKK1512"/>
      <c r="TKL1512"/>
      <c r="TKM1512"/>
      <c r="TKN1512"/>
      <c r="TKO1512"/>
      <c r="TKP1512"/>
      <c r="TKQ1512"/>
      <c r="TKR1512"/>
      <c r="TKS1512"/>
      <c r="TKT1512"/>
      <c r="TKU1512"/>
      <c r="TKV1512"/>
      <c r="TKW1512"/>
      <c r="TKX1512"/>
      <c r="TKY1512"/>
      <c r="TKZ1512"/>
      <c r="TLA1512"/>
      <c r="TLB1512"/>
      <c r="TLC1512"/>
      <c r="TLD1512"/>
      <c r="TLE1512"/>
      <c r="TLF1512"/>
      <c r="TLG1512"/>
      <c r="TLH1512"/>
      <c r="TLI1512"/>
      <c r="TLJ1512"/>
      <c r="TLK1512"/>
      <c r="TLL1512"/>
      <c r="TLM1512"/>
      <c r="TLN1512"/>
      <c r="TLO1512"/>
      <c r="TLP1512"/>
      <c r="TLQ1512"/>
      <c r="TLR1512"/>
      <c r="TLS1512"/>
      <c r="TLT1512"/>
      <c r="TLU1512"/>
      <c r="TLV1512"/>
      <c r="TLW1512"/>
      <c r="TLX1512"/>
      <c r="TLY1512"/>
      <c r="TLZ1512"/>
      <c r="TMA1512"/>
      <c r="TMB1512"/>
      <c r="TMC1512"/>
      <c r="TMD1512"/>
      <c r="TME1512"/>
      <c r="TMF1512"/>
      <c r="TMG1512"/>
      <c r="TMH1512"/>
      <c r="TMI1512"/>
      <c r="TMJ1512"/>
      <c r="TMK1512"/>
      <c r="TML1512"/>
      <c r="TMM1512"/>
      <c r="TMN1512"/>
      <c r="TMO1512"/>
      <c r="TMP1512"/>
      <c r="TMQ1512"/>
      <c r="TMR1512"/>
      <c r="TMS1512"/>
      <c r="TMT1512"/>
      <c r="TMU1512"/>
      <c r="TMV1512"/>
      <c r="TMW1512"/>
      <c r="TMX1512"/>
      <c r="TMY1512"/>
      <c r="TMZ1512"/>
      <c r="TNA1512"/>
      <c r="TNB1512"/>
      <c r="TNC1512"/>
      <c r="TND1512"/>
      <c r="TNE1512"/>
      <c r="TNF1512"/>
      <c r="TNG1512"/>
      <c r="TNH1512"/>
      <c r="TNI1512"/>
      <c r="TNJ1512"/>
      <c r="TNK1512"/>
      <c r="TNL1512"/>
      <c r="TNM1512"/>
      <c r="TNN1512"/>
      <c r="TNO1512"/>
      <c r="TNP1512"/>
      <c r="TNQ1512"/>
      <c r="TNR1512"/>
      <c r="TNS1512"/>
      <c r="TNT1512"/>
      <c r="TNU1512"/>
      <c r="TNV1512"/>
      <c r="TNW1512"/>
      <c r="TNX1512"/>
      <c r="TNY1512"/>
      <c r="TNZ1512"/>
      <c r="TOA1512"/>
      <c r="TOB1512"/>
      <c r="TOC1512"/>
      <c r="TOD1512"/>
      <c r="TOE1512"/>
      <c r="TOF1512"/>
      <c r="TOG1512"/>
      <c r="TOH1512"/>
      <c r="TOI1512"/>
      <c r="TOJ1512"/>
      <c r="TOK1512"/>
      <c r="TOL1512"/>
      <c r="TOM1512"/>
      <c r="TON1512"/>
      <c r="TOO1512"/>
      <c r="TOP1512"/>
      <c r="TOQ1512"/>
      <c r="TOR1512"/>
      <c r="TOS1512"/>
      <c r="TOT1512"/>
      <c r="TOU1512"/>
      <c r="TOV1512"/>
      <c r="TOW1512"/>
      <c r="TOX1512"/>
      <c r="TOY1512"/>
      <c r="TOZ1512"/>
      <c r="TPA1512"/>
      <c r="TPB1512"/>
      <c r="TPC1512"/>
      <c r="TPD1512"/>
      <c r="TPE1512"/>
      <c r="TPF1512"/>
      <c r="TPG1512"/>
      <c r="TPH1512"/>
      <c r="TPI1512"/>
      <c r="TPJ1512"/>
      <c r="TPK1512"/>
      <c r="TPL1512"/>
      <c r="TPM1512"/>
      <c r="TPN1512"/>
      <c r="TPO1512"/>
      <c r="TPP1512"/>
      <c r="TPQ1512"/>
      <c r="TPR1512"/>
      <c r="TPS1512"/>
      <c r="TPT1512"/>
      <c r="TPU1512"/>
      <c r="TPV1512"/>
      <c r="TPW1512"/>
      <c r="TPX1512"/>
      <c r="TPY1512"/>
      <c r="TPZ1512"/>
      <c r="TQA1512"/>
      <c r="TQB1512"/>
      <c r="TQC1512"/>
      <c r="TQD1512"/>
      <c r="TQE1512"/>
      <c r="TQF1512"/>
      <c r="TQG1512"/>
      <c r="TQH1512"/>
      <c r="TQI1512"/>
      <c r="TQJ1512"/>
      <c r="TQK1512"/>
      <c r="TQL1512"/>
      <c r="TQM1512"/>
      <c r="TQN1512"/>
      <c r="TQO1512"/>
      <c r="TQP1512"/>
      <c r="TQQ1512"/>
      <c r="TQR1512"/>
      <c r="TQS1512"/>
      <c r="TQT1512"/>
      <c r="TQU1512"/>
      <c r="TQV1512"/>
      <c r="TQW1512"/>
      <c r="TQX1512"/>
      <c r="TQY1512"/>
      <c r="TQZ1512"/>
      <c r="TRA1512"/>
      <c r="TRB1512"/>
      <c r="TRC1512"/>
      <c r="TRD1512"/>
      <c r="TRE1512"/>
      <c r="TRF1512"/>
      <c r="TRG1512"/>
      <c r="TRH1512"/>
      <c r="TRI1512"/>
      <c r="TRJ1512"/>
      <c r="TRK1512"/>
      <c r="TRL1512"/>
      <c r="TRM1512"/>
      <c r="TRN1512"/>
      <c r="TRO1512"/>
      <c r="TRP1512"/>
      <c r="TRQ1512"/>
      <c r="TRR1512"/>
      <c r="TRS1512"/>
      <c r="TRT1512"/>
      <c r="TRU1512"/>
      <c r="TRV1512"/>
      <c r="TRW1512"/>
      <c r="TRX1512"/>
      <c r="TRY1512"/>
      <c r="TRZ1512"/>
      <c r="TSA1512"/>
      <c r="TSB1512"/>
      <c r="TSC1512"/>
      <c r="TSD1512"/>
      <c r="TSE1512"/>
      <c r="TSF1512"/>
      <c r="TSG1512"/>
      <c r="TSH1512"/>
      <c r="TSI1512"/>
      <c r="TSJ1512"/>
      <c r="TSK1512"/>
      <c r="TSL1512"/>
      <c r="TSM1512"/>
      <c r="TSN1512"/>
      <c r="TSO1512"/>
      <c r="TSP1512"/>
      <c r="TSQ1512"/>
      <c r="TSR1512"/>
      <c r="TSS1512"/>
      <c r="TST1512"/>
      <c r="TSU1512"/>
      <c r="TSV1512"/>
      <c r="TSW1512"/>
      <c r="TSX1512"/>
      <c r="TSY1512"/>
      <c r="TSZ1512"/>
      <c r="TTA1512"/>
      <c r="TTB1512"/>
      <c r="TTC1512"/>
      <c r="TTD1512"/>
      <c r="TTE1512"/>
      <c r="TTF1512"/>
      <c r="TTG1512"/>
      <c r="TTH1512"/>
      <c r="TTI1512"/>
      <c r="TTJ1512"/>
      <c r="TTK1512"/>
      <c r="TTL1512"/>
      <c r="TTM1512"/>
      <c r="TTN1512"/>
      <c r="TTO1512"/>
      <c r="TTP1512"/>
      <c r="TTQ1512"/>
      <c r="TTR1512"/>
      <c r="TTS1512"/>
      <c r="TTT1512"/>
      <c r="TTU1512"/>
      <c r="TTV1512"/>
      <c r="TTW1512"/>
      <c r="TTX1512"/>
      <c r="TTY1512"/>
      <c r="TTZ1512"/>
      <c r="TUA1512"/>
      <c r="TUB1512"/>
      <c r="TUC1512"/>
      <c r="TUD1512"/>
      <c r="TUE1512"/>
      <c r="TUF1512"/>
      <c r="TUG1512"/>
      <c r="TUH1512"/>
      <c r="TUI1512"/>
      <c r="TUJ1512"/>
      <c r="TUK1512"/>
      <c r="TUL1512"/>
      <c r="TUM1512"/>
      <c r="TUN1512"/>
      <c r="TUO1512"/>
      <c r="TUP1512"/>
      <c r="TUQ1512"/>
      <c r="TUR1512"/>
      <c r="TUS1512"/>
      <c r="TUT1512"/>
      <c r="TUU1512"/>
      <c r="TUV1512"/>
      <c r="TUW1512"/>
      <c r="TUX1512"/>
      <c r="TUY1512"/>
      <c r="TUZ1512"/>
      <c r="TVA1512"/>
      <c r="TVB1512"/>
      <c r="TVC1512"/>
      <c r="TVD1512"/>
      <c r="TVE1512"/>
      <c r="TVF1512"/>
      <c r="TVG1512"/>
      <c r="TVH1512"/>
      <c r="TVI1512"/>
      <c r="TVJ1512"/>
      <c r="TVK1512"/>
      <c r="TVL1512"/>
      <c r="TVM1512"/>
      <c r="TVN1512"/>
      <c r="TVO1512"/>
      <c r="TVP1512"/>
      <c r="TVQ1512"/>
      <c r="TVR1512"/>
      <c r="TVS1512"/>
      <c r="TVT1512"/>
      <c r="TVU1512"/>
      <c r="TVV1512"/>
      <c r="TVW1512"/>
      <c r="TVX1512"/>
      <c r="TVY1512"/>
      <c r="TVZ1512"/>
      <c r="TWA1512"/>
      <c r="TWB1512"/>
      <c r="TWC1512"/>
      <c r="TWD1512"/>
      <c r="TWE1512"/>
      <c r="TWF1512"/>
      <c r="TWG1512"/>
      <c r="TWH1512"/>
      <c r="TWI1512"/>
      <c r="TWJ1512"/>
      <c r="TWK1512"/>
      <c r="TWL1512"/>
      <c r="TWM1512"/>
      <c r="TWN1512"/>
      <c r="TWO1512"/>
      <c r="TWP1512"/>
      <c r="TWQ1512"/>
      <c r="TWR1512"/>
      <c r="TWS1512"/>
      <c r="TWT1512"/>
      <c r="TWU1512"/>
      <c r="TWV1512"/>
      <c r="TWW1512"/>
      <c r="TWX1512"/>
      <c r="TWY1512"/>
      <c r="TWZ1512"/>
      <c r="TXA1512"/>
      <c r="TXB1512"/>
      <c r="TXC1512"/>
      <c r="TXD1512"/>
      <c r="TXE1512"/>
      <c r="TXF1512"/>
      <c r="TXG1512"/>
      <c r="TXH1512"/>
      <c r="TXI1512"/>
      <c r="TXJ1512"/>
      <c r="TXK1512"/>
      <c r="TXL1512"/>
      <c r="TXM1512"/>
      <c r="TXN1512"/>
      <c r="TXO1512"/>
      <c r="TXP1512"/>
      <c r="TXQ1512"/>
      <c r="TXR1512"/>
      <c r="TXS1512"/>
      <c r="TXT1512"/>
      <c r="TXU1512"/>
      <c r="TXV1512"/>
      <c r="TXW1512"/>
      <c r="TXX1512"/>
      <c r="TXY1512"/>
      <c r="TXZ1512"/>
      <c r="TYA1512"/>
      <c r="TYB1512"/>
      <c r="TYC1512"/>
      <c r="TYD1512"/>
      <c r="TYE1512"/>
      <c r="TYF1512"/>
      <c r="TYG1512"/>
      <c r="TYH1512"/>
      <c r="TYI1512"/>
      <c r="TYJ1512"/>
      <c r="TYK1512"/>
      <c r="TYL1512"/>
      <c r="TYM1512"/>
      <c r="TYN1512"/>
      <c r="TYO1512"/>
      <c r="TYP1512"/>
      <c r="TYQ1512"/>
      <c r="TYR1512"/>
      <c r="TYS1512"/>
      <c r="TYT1512"/>
      <c r="TYU1512"/>
      <c r="TYV1512"/>
      <c r="TYW1512"/>
      <c r="TYX1512"/>
      <c r="TYY1512"/>
      <c r="TYZ1512"/>
      <c r="TZA1512"/>
      <c r="TZB1512"/>
      <c r="TZC1512"/>
      <c r="TZD1512"/>
      <c r="TZE1512"/>
      <c r="TZF1512"/>
      <c r="TZG1512"/>
      <c r="TZH1512"/>
      <c r="TZI1512"/>
      <c r="TZJ1512"/>
      <c r="TZK1512"/>
      <c r="TZL1512"/>
      <c r="TZM1512"/>
      <c r="TZN1512"/>
      <c r="TZO1512"/>
      <c r="TZP1512"/>
      <c r="TZQ1512"/>
      <c r="TZR1512"/>
      <c r="TZS1512"/>
      <c r="TZT1512"/>
      <c r="TZU1512"/>
      <c r="TZV1512"/>
      <c r="TZW1512"/>
      <c r="TZX1512"/>
      <c r="TZY1512"/>
      <c r="TZZ1512"/>
      <c r="UAA1512"/>
      <c r="UAB1512"/>
      <c r="UAC1512"/>
      <c r="UAD1512"/>
      <c r="UAE1512"/>
      <c r="UAF1512"/>
      <c r="UAG1512"/>
      <c r="UAH1512"/>
      <c r="UAI1512"/>
      <c r="UAJ1512"/>
      <c r="UAK1512"/>
      <c r="UAL1512"/>
      <c r="UAM1512"/>
      <c r="UAN1512"/>
      <c r="UAO1512"/>
      <c r="UAP1512"/>
      <c r="UAQ1512"/>
      <c r="UAR1512"/>
      <c r="UAS1512"/>
      <c r="UAT1512"/>
      <c r="UAU1512"/>
      <c r="UAV1512"/>
      <c r="UAW1512"/>
      <c r="UAX1512"/>
      <c r="UAY1512"/>
      <c r="UAZ1512"/>
      <c r="UBA1512"/>
      <c r="UBB1512"/>
      <c r="UBC1512"/>
      <c r="UBD1512"/>
      <c r="UBE1512"/>
      <c r="UBF1512"/>
      <c r="UBG1512"/>
      <c r="UBH1512"/>
      <c r="UBI1512"/>
      <c r="UBJ1512"/>
      <c r="UBK1512"/>
      <c r="UBL1512"/>
      <c r="UBM1512"/>
      <c r="UBN1512"/>
      <c r="UBO1512"/>
      <c r="UBP1512"/>
      <c r="UBQ1512"/>
      <c r="UBR1512"/>
      <c r="UBS1512"/>
      <c r="UBT1512"/>
      <c r="UBU1512"/>
      <c r="UBV1512"/>
      <c r="UBW1512"/>
      <c r="UBX1512"/>
      <c r="UBY1512"/>
      <c r="UBZ1512"/>
      <c r="UCA1512"/>
      <c r="UCB1512"/>
      <c r="UCC1512"/>
      <c r="UCD1512"/>
      <c r="UCE1512"/>
      <c r="UCF1512"/>
      <c r="UCG1512"/>
      <c r="UCH1512"/>
      <c r="UCI1512"/>
      <c r="UCJ1512"/>
      <c r="UCK1512"/>
      <c r="UCL1512"/>
      <c r="UCM1512"/>
      <c r="UCN1512"/>
      <c r="UCO1512"/>
      <c r="UCP1512"/>
      <c r="UCQ1512"/>
      <c r="UCR1512"/>
      <c r="UCS1512"/>
      <c r="UCT1512"/>
      <c r="UCU1512"/>
      <c r="UCV1512"/>
      <c r="UCW1512"/>
      <c r="UCX1512"/>
      <c r="UCY1512"/>
      <c r="UCZ1512"/>
      <c r="UDA1512"/>
      <c r="UDB1512"/>
      <c r="UDC1512"/>
      <c r="UDD1512"/>
      <c r="UDE1512"/>
      <c r="UDF1512"/>
      <c r="UDG1512"/>
      <c r="UDH1512"/>
      <c r="UDI1512"/>
      <c r="UDJ1512"/>
      <c r="UDK1512"/>
      <c r="UDL1512"/>
      <c r="UDM1512"/>
      <c r="UDN1512"/>
      <c r="UDO1512"/>
      <c r="UDP1512"/>
      <c r="UDQ1512"/>
      <c r="UDR1512"/>
      <c r="UDS1512"/>
      <c r="UDT1512"/>
      <c r="UDU1512"/>
      <c r="UDV1512"/>
      <c r="UDW1512"/>
      <c r="UDX1512"/>
      <c r="UDY1512"/>
      <c r="UDZ1512"/>
      <c r="UEA1512"/>
      <c r="UEB1512"/>
      <c r="UEC1512"/>
      <c r="UED1512"/>
      <c r="UEE1512"/>
      <c r="UEF1512"/>
      <c r="UEG1512"/>
      <c r="UEH1512"/>
      <c r="UEI1512"/>
      <c r="UEJ1512"/>
      <c r="UEK1512"/>
      <c r="UEL1512"/>
      <c r="UEM1512"/>
      <c r="UEN1512"/>
      <c r="UEO1512"/>
      <c r="UEP1512"/>
      <c r="UEQ1512"/>
      <c r="UER1512"/>
      <c r="UES1512"/>
      <c r="UET1512"/>
      <c r="UEU1512"/>
      <c r="UEV1512"/>
      <c r="UEW1512"/>
      <c r="UEX1512"/>
      <c r="UEY1512"/>
      <c r="UEZ1512"/>
      <c r="UFA1512"/>
      <c r="UFB1512"/>
      <c r="UFC1512"/>
      <c r="UFD1512"/>
      <c r="UFE1512"/>
      <c r="UFF1512"/>
      <c r="UFG1512"/>
      <c r="UFH1512"/>
      <c r="UFI1512"/>
      <c r="UFJ1512"/>
      <c r="UFK1512"/>
      <c r="UFL1512"/>
      <c r="UFM1512"/>
      <c r="UFN1512"/>
      <c r="UFO1512"/>
      <c r="UFP1512"/>
      <c r="UFQ1512"/>
      <c r="UFR1512"/>
      <c r="UFS1512"/>
      <c r="UFT1512"/>
      <c r="UFU1512"/>
      <c r="UFV1512"/>
      <c r="UFW1512"/>
      <c r="UFX1512"/>
      <c r="UFY1512"/>
      <c r="UFZ1512"/>
      <c r="UGA1512"/>
      <c r="UGB1512"/>
      <c r="UGC1512"/>
      <c r="UGD1512"/>
      <c r="UGE1512"/>
      <c r="UGF1512"/>
      <c r="UGG1512"/>
      <c r="UGH1512"/>
      <c r="UGI1512"/>
      <c r="UGJ1512"/>
      <c r="UGK1512"/>
      <c r="UGL1512"/>
      <c r="UGM1512"/>
      <c r="UGN1512"/>
      <c r="UGO1512"/>
      <c r="UGP1512"/>
      <c r="UGQ1512"/>
      <c r="UGR1512"/>
      <c r="UGS1512"/>
      <c r="UGT1512"/>
      <c r="UGU1512"/>
      <c r="UGV1512"/>
      <c r="UGW1512"/>
      <c r="UGX1512"/>
      <c r="UGY1512"/>
      <c r="UGZ1512"/>
      <c r="UHA1512"/>
      <c r="UHB1512"/>
      <c r="UHC1512"/>
      <c r="UHD1512"/>
      <c r="UHE1512"/>
      <c r="UHF1512"/>
      <c r="UHG1512"/>
      <c r="UHH1512"/>
      <c r="UHI1512"/>
      <c r="UHJ1512"/>
      <c r="UHK1512"/>
      <c r="UHL1512"/>
      <c r="UHM1512"/>
      <c r="UHN1512"/>
      <c r="UHO1512"/>
      <c r="UHP1512"/>
      <c r="UHQ1512"/>
      <c r="UHR1512"/>
      <c r="UHS1512"/>
      <c r="UHT1512"/>
      <c r="UHU1512"/>
      <c r="UHV1512"/>
      <c r="UHW1512"/>
      <c r="UHX1512"/>
      <c r="UHY1512"/>
      <c r="UHZ1512"/>
      <c r="UIA1512"/>
      <c r="UIB1512"/>
      <c r="UIC1512"/>
      <c r="UID1512"/>
      <c r="UIE1512"/>
      <c r="UIF1512"/>
      <c r="UIG1512"/>
      <c r="UIH1512"/>
      <c r="UII1512"/>
      <c r="UIJ1512"/>
      <c r="UIK1512"/>
      <c r="UIL1512"/>
      <c r="UIM1512"/>
      <c r="UIN1512"/>
      <c r="UIO1512"/>
      <c r="UIP1512"/>
      <c r="UIQ1512"/>
      <c r="UIR1512"/>
      <c r="UIS1512"/>
      <c r="UIT1512"/>
      <c r="UIU1512"/>
      <c r="UIV1512"/>
      <c r="UIW1512"/>
      <c r="UIX1512"/>
      <c r="UIY1512"/>
      <c r="UIZ1512"/>
      <c r="UJA1512"/>
      <c r="UJB1512"/>
      <c r="UJC1512"/>
      <c r="UJD1512"/>
      <c r="UJE1512"/>
      <c r="UJF1512"/>
      <c r="UJG1512"/>
      <c r="UJH1512"/>
      <c r="UJI1512"/>
      <c r="UJJ1512"/>
      <c r="UJK1512"/>
      <c r="UJL1512"/>
      <c r="UJM1512"/>
      <c r="UJN1512"/>
      <c r="UJO1512"/>
      <c r="UJP1512"/>
      <c r="UJQ1512"/>
      <c r="UJR1512"/>
      <c r="UJS1512"/>
      <c r="UJT1512"/>
      <c r="UJU1512"/>
      <c r="UJV1512"/>
      <c r="UJW1512"/>
      <c r="UJX1512"/>
      <c r="UJY1512"/>
      <c r="UJZ1512"/>
      <c r="UKA1512"/>
      <c r="UKB1512"/>
      <c r="UKC1512"/>
      <c r="UKD1512"/>
      <c r="UKE1512"/>
      <c r="UKF1512"/>
      <c r="UKG1512"/>
      <c r="UKH1512"/>
      <c r="UKI1512"/>
      <c r="UKJ1512"/>
      <c r="UKK1512"/>
      <c r="UKL1512"/>
      <c r="UKM1512"/>
      <c r="UKN1512"/>
      <c r="UKO1512"/>
      <c r="UKP1512"/>
      <c r="UKQ1512"/>
      <c r="UKR1512"/>
      <c r="UKS1512"/>
      <c r="UKT1512"/>
      <c r="UKU1512"/>
      <c r="UKV1512"/>
      <c r="UKW1512"/>
      <c r="UKX1512"/>
      <c r="UKY1512"/>
      <c r="UKZ1512"/>
      <c r="ULA1512"/>
      <c r="ULB1512"/>
      <c r="ULC1512"/>
      <c r="ULD1512"/>
      <c r="ULE1512"/>
      <c r="ULF1512"/>
      <c r="ULG1512"/>
      <c r="ULH1512"/>
      <c r="ULI1512"/>
      <c r="ULJ1512"/>
      <c r="ULK1512"/>
      <c r="ULL1512"/>
      <c r="ULM1512"/>
      <c r="ULN1512"/>
      <c r="ULO1512"/>
      <c r="ULP1512"/>
      <c r="ULQ1512"/>
      <c r="ULR1512"/>
      <c r="ULS1512"/>
      <c r="ULT1512"/>
      <c r="ULU1512"/>
      <c r="ULV1512"/>
      <c r="ULW1512"/>
      <c r="ULX1512"/>
      <c r="ULY1512"/>
      <c r="ULZ1512"/>
      <c r="UMA1512"/>
      <c r="UMB1512"/>
      <c r="UMC1512"/>
      <c r="UMD1512"/>
      <c r="UME1512"/>
      <c r="UMF1512"/>
      <c r="UMG1512"/>
      <c r="UMH1512"/>
      <c r="UMI1512"/>
      <c r="UMJ1512"/>
      <c r="UMK1512"/>
      <c r="UML1512"/>
      <c r="UMM1512"/>
      <c r="UMN1512"/>
      <c r="UMO1512"/>
      <c r="UMP1512"/>
      <c r="UMQ1512"/>
      <c r="UMR1512"/>
      <c r="UMS1512"/>
      <c r="UMT1512"/>
      <c r="UMU1512"/>
      <c r="UMV1512"/>
      <c r="UMW1512"/>
      <c r="UMX1512"/>
      <c r="UMY1512"/>
      <c r="UMZ1512"/>
      <c r="UNA1512"/>
      <c r="UNB1512"/>
      <c r="UNC1512"/>
      <c r="UND1512"/>
      <c r="UNE1512"/>
      <c r="UNF1512"/>
      <c r="UNG1512"/>
      <c r="UNH1512"/>
      <c r="UNI1512"/>
      <c r="UNJ1512"/>
      <c r="UNK1512"/>
      <c r="UNL1512"/>
      <c r="UNM1512"/>
      <c r="UNN1512"/>
      <c r="UNO1512"/>
      <c r="UNP1512"/>
      <c r="UNQ1512"/>
      <c r="UNR1512"/>
      <c r="UNS1512"/>
      <c r="UNT1512"/>
      <c r="UNU1512"/>
      <c r="UNV1512"/>
      <c r="UNW1512"/>
      <c r="UNX1512"/>
      <c r="UNY1512"/>
      <c r="UNZ1512"/>
      <c r="UOA1512"/>
      <c r="UOB1512"/>
      <c r="UOC1512"/>
      <c r="UOD1512"/>
      <c r="UOE1512"/>
      <c r="UOF1512"/>
      <c r="UOG1512"/>
      <c r="UOH1512"/>
      <c r="UOI1512"/>
      <c r="UOJ1512"/>
      <c r="UOK1512"/>
      <c r="UOL1512"/>
      <c r="UOM1512"/>
      <c r="UON1512"/>
      <c r="UOO1512"/>
      <c r="UOP1512"/>
      <c r="UOQ1512"/>
      <c r="UOR1512"/>
      <c r="UOS1512"/>
      <c r="UOT1512"/>
      <c r="UOU1512"/>
      <c r="UOV1512"/>
      <c r="UOW1512"/>
      <c r="UOX1512"/>
      <c r="UOY1512"/>
      <c r="UOZ1512"/>
      <c r="UPA1512"/>
      <c r="UPB1512"/>
      <c r="UPC1512"/>
      <c r="UPD1512"/>
      <c r="UPE1512"/>
      <c r="UPF1512"/>
      <c r="UPG1512"/>
      <c r="UPH1512"/>
      <c r="UPI1512"/>
      <c r="UPJ1512"/>
      <c r="UPK1512"/>
      <c r="UPL1512"/>
      <c r="UPM1512"/>
      <c r="UPN1512"/>
      <c r="UPO1512"/>
      <c r="UPP1512"/>
      <c r="UPQ1512"/>
      <c r="UPR1512"/>
      <c r="UPS1512"/>
      <c r="UPT1512"/>
      <c r="UPU1512"/>
      <c r="UPV1512"/>
      <c r="UPW1512"/>
      <c r="UPX1512"/>
      <c r="UPY1512"/>
      <c r="UPZ1512"/>
      <c r="UQA1512"/>
      <c r="UQB1512"/>
      <c r="UQC1512"/>
      <c r="UQD1512"/>
      <c r="UQE1512"/>
      <c r="UQF1512"/>
      <c r="UQG1512"/>
      <c r="UQH1512"/>
      <c r="UQI1512"/>
      <c r="UQJ1512"/>
      <c r="UQK1512"/>
      <c r="UQL1512"/>
      <c r="UQM1512"/>
      <c r="UQN1512"/>
      <c r="UQO1512"/>
      <c r="UQP1512"/>
      <c r="UQQ1512"/>
      <c r="UQR1512"/>
      <c r="UQS1512"/>
      <c r="UQT1512"/>
      <c r="UQU1512"/>
      <c r="UQV1512"/>
      <c r="UQW1512"/>
      <c r="UQX1512"/>
      <c r="UQY1512"/>
      <c r="UQZ1512"/>
      <c r="URA1512"/>
      <c r="URB1512"/>
      <c r="URC1512"/>
      <c r="URD1512"/>
      <c r="URE1512"/>
      <c r="URF1512"/>
      <c r="URG1512"/>
      <c r="URH1512"/>
      <c r="URI1512"/>
      <c r="URJ1512"/>
      <c r="URK1512"/>
      <c r="URL1512"/>
      <c r="URM1512"/>
      <c r="URN1512"/>
      <c r="URO1512"/>
      <c r="URP1512"/>
      <c r="URQ1512"/>
      <c r="URR1512"/>
      <c r="URS1512"/>
      <c r="URT1512"/>
      <c r="URU1512"/>
      <c r="URV1512"/>
      <c r="URW1512"/>
      <c r="URX1512"/>
      <c r="URY1512"/>
      <c r="URZ1512"/>
      <c r="USA1512"/>
      <c r="USB1512"/>
      <c r="USC1512"/>
      <c r="USD1512"/>
      <c r="USE1512"/>
      <c r="USF1512"/>
      <c r="USG1512"/>
      <c r="USH1512"/>
      <c r="USI1512"/>
      <c r="USJ1512"/>
      <c r="USK1512"/>
      <c r="USL1512"/>
      <c r="USM1512"/>
      <c r="USN1512"/>
      <c r="USO1512"/>
      <c r="USP1512"/>
      <c r="USQ1512"/>
      <c r="USR1512"/>
      <c r="USS1512"/>
      <c r="UST1512"/>
      <c r="USU1512"/>
      <c r="USV1512"/>
      <c r="USW1512"/>
      <c r="USX1512"/>
      <c r="USY1512"/>
      <c r="USZ1512"/>
      <c r="UTA1512"/>
      <c r="UTB1512"/>
      <c r="UTC1512"/>
      <c r="UTD1512"/>
      <c r="UTE1512"/>
      <c r="UTF1512"/>
      <c r="UTG1512"/>
      <c r="UTH1512"/>
      <c r="UTI1512"/>
      <c r="UTJ1512"/>
      <c r="UTK1512"/>
      <c r="UTL1512"/>
      <c r="UTM1512"/>
      <c r="UTN1512"/>
      <c r="UTO1512"/>
      <c r="UTP1512"/>
      <c r="UTQ1512"/>
      <c r="UTR1512"/>
      <c r="UTS1512"/>
      <c r="UTT1512"/>
      <c r="UTU1512"/>
      <c r="UTV1512"/>
      <c r="UTW1512"/>
      <c r="UTX1512"/>
      <c r="UTY1512"/>
      <c r="UTZ1512"/>
      <c r="UUA1512"/>
      <c r="UUB1512"/>
      <c r="UUC1512"/>
      <c r="UUD1512"/>
      <c r="UUE1512"/>
      <c r="UUF1512"/>
      <c r="UUG1512"/>
      <c r="UUH1512"/>
      <c r="UUI1512"/>
      <c r="UUJ1512"/>
      <c r="UUK1512"/>
      <c r="UUL1512"/>
      <c r="UUM1512"/>
      <c r="UUN1512"/>
      <c r="UUO1512"/>
      <c r="UUP1512"/>
      <c r="UUQ1512"/>
      <c r="UUR1512"/>
      <c r="UUS1512"/>
      <c r="UUT1512"/>
      <c r="UUU1512"/>
      <c r="UUV1512"/>
      <c r="UUW1512"/>
      <c r="UUX1512"/>
      <c r="UUY1512"/>
      <c r="UUZ1512"/>
      <c r="UVA1512"/>
      <c r="UVB1512"/>
      <c r="UVC1512"/>
      <c r="UVD1512"/>
      <c r="UVE1512"/>
      <c r="UVF1512"/>
      <c r="UVG1512"/>
      <c r="UVH1512"/>
      <c r="UVI1512"/>
      <c r="UVJ1512"/>
      <c r="UVK1512"/>
      <c r="UVL1512"/>
      <c r="UVM1512"/>
      <c r="UVN1512"/>
      <c r="UVO1512"/>
      <c r="UVP1512"/>
      <c r="UVQ1512"/>
      <c r="UVR1512"/>
      <c r="UVS1512"/>
      <c r="UVT1512"/>
      <c r="UVU1512"/>
      <c r="UVV1512"/>
      <c r="UVW1512"/>
      <c r="UVX1512"/>
      <c r="UVY1512"/>
      <c r="UVZ1512"/>
      <c r="UWA1512"/>
      <c r="UWB1512"/>
      <c r="UWC1512"/>
      <c r="UWD1512"/>
      <c r="UWE1512"/>
      <c r="UWF1512"/>
      <c r="UWG1512"/>
      <c r="UWH1512"/>
      <c r="UWI1512"/>
      <c r="UWJ1512"/>
      <c r="UWK1512"/>
      <c r="UWL1512"/>
      <c r="UWM1512"/>
      <c r="UWN1512"/>
      <c r="UWO1512"/>
      <c r="UWP1512"/>
      <c r="UWQ1512"/>
      <c r="UWR1512"/>
      <c r="UWS1512"/>
      <c r="UWT1512"/>
      <c r="UWU1512"/>
      <c r="UWV1512"/>
      <c r="UWW1512"/>
      <c r="UWX1512"/>
      <c r="UWY1512"/>
      <c r="UWZ1512"/>
      <c r="UXA1512"/>
      <c r="UXB1512"/>
      <c r="UXC1512"/>
      <c r="UXD1512"/>
      <c r="UXE1512"/>
      <c r="UXF1512"/>
      <c r="UXG1512"/>
      <c r="UXH1512"/>
      <c r="UXI1512"/>
      <c r="UXJ1512"/>
      <c r="UXK1512"/>
      <c r="UXL1512"/>
      <c r="UXM1512"/>
      <c r="UXN1512"/>
      <c r="UXO1512"/>
      <c r="UXP1512"/>
      <c r="UXQ1512"/>
      <c r="UXR1512"/>
      <c r="UXS1512"/>
      <c r="UXT1512"/>
      <c r="UXU1512"/>
      <c r="UXV1512"/>
      <c r="UXW1512"/>
      <c r="UXX1512"/>
      <c r="UXY1512"/>
      <c r="UXZ1512"/>
      <c r="UYA1512"/>
      <c r="UYB1512"/>
      <c r="UYC1512"/>
      <c r="UYD1512"/>
      <c r="UYE1512"/>
      <c r="UYF1512"/>
      <c r="UYG1512"/>
      <c r="UYH1512"/>
      <c r="UYI1512"/>
      <c r="UYJ1512"/>
      <c r="UYK1512"/>
      <c r="UYL1512"/>
      <c r="UYM1512"/>
      <c r="UYN1512"/>
      <c r="UYO1512"/>
      <c r="UYP1512"/>
      <c r="UYQ1512"/>
      <c r="UYR1512"/>
      <c r="UYS1512"/>
      <c r="UYT1512"/>
      <c r="UYU1512"/>
      <c r="UYV1512"/>
      <c r="UYW1512"/>
      <c r="UYX1512"/>
      <c r="UYY1512"/>
      <c r="UYZ1512"/>
      <c r="UZA1512"/>
      <c r="UZB1512"/>
      <c r="UZC1512"/>
      <c r="UZD1512"/>
      <c r="UZE1512"/>
      <c r="UZF1512"/>
      <c r="UZG1512"/>
      <c r="UZH1512"/>
      <c r="UZI1512"/>
      <c r="UZJ1512"/>
      <c r="UZK1512"/>
      <c r="UZL1512"/>
      <c r="UZM1512"/>
      <c r="UZN1512"/>
      <c r="UZO1512"/>
      <c r="UZP1512"/>
      <c r="UZQ1512"/>
      <c r="UZR1512"/>
      <c r="UZS1512"/>
      <c r="UZT1512"/>
      <c r="UZU1512"/>
      <c r="UZV1512"/>
      <c r="UZW1512"/>
      <c r="UZX1512"/>
      <c r="UZY1512"/>
      <c r="UZZ1512"/>
      <c r="VAA1512"/>
      <c r="VAB1512"/>
      <c r="VAC1512"/>
      <c r="VAD1512"/>
      <c r="VAE1512"/>
      <c r="VAF1512"/>
      <c r="VAG1512"/>
      <c r="VAH1512"/>
      <c r="VAI1512"/>
      <c r="VAJ1512"/>
      <c r="VAK1512"/>
      <c r="VAL1512"/>
      <c r="VAM1512"/>
      <c r="VAN1512"/>
      <c r="VAO1512"/>
      <c r="VAP1512"/>
      <c r="VAQ1512"/>
      <c r="VAR1512"/>
      <c r="VAS1512"/>
      <c r="VAT1512"/>
      <c r="VAU1512"/>
      <c r="VAV1512"/>
      <c r="VAW1512"/>
      <c r="VAX1512"/>
      <c r="VAY1512"/>
      <c r="VAZ1512"/>
      <c r="VBA1512"/>
      <c r="VBB1512"/>
      <c r="VBC1512"/>
      <c r="VBD1512"/>
      <c r="VBE1512"/>
      <c r="VBF1512"/>
      <c r="VBG1512"/>
      <c r="VBH1512"/>
      <c r="VBI1512"/>
      <c r="VBJ1512"/>
      <c r="VBK1512"/>
      <c r="VBL1512"/>
      <c r="VBM1512"/>
      <c r="VBN1512"/>
      <c r="VBO1512"/>
      <c r="VBP1512"/>
      <c r="VBQ1512"/>
      <c r="VBR1512"/>
      <c r="VBS1512"/>
      <c r="VBT1512"/>
      <c r="VBU1512"/>
      <c r="VBV1512"/>
      <c r="VBW1512"/>
      <c r="VBX1512"/>
      <c r="VBY1512"/>
      <c r="VBZ1512"/>
      <c r="VCA1512"/>
      <c r="VCB1512"/>
      <c r="VCC1512"/>
      <c r="VCD1512"/>
      <c r="VCE1512"/>
      <c r="VCF1512"/>
      <c r="VCG1512"/>
      <c r="VCH1512"/>
      <c r="VCI1512"/>
      <c r="VCJ1512"/>
      <c r="VCK1512"/>
      <c r="VCL1512"/>
      <c r="VCM1512"/>
      <c r="VCN1512"/>
      <c r="VCO1512"/>
      <c r="VCP1512"/>
      <c r="VCQ1512"/>
      <c r="VCR1512"/>
      <c r="VCS1512"/>
      <c r="VCT1512"/>
      <c r="VCU1512"/>
      <c r="VCV1512"/>
      <c r="VCW1512"/>
      <c r="VCX1512"/>
      <c r="VCY1512"/>
      <c r="VCZ1512"/>
      <c r="VDA1512"/>
      <c r="VDB1512"/>
      <c r="VDC1512"/>
      <c r="VDD1512"/>
      <c r="VDE1512"/>
      <c r="VDF1512"/>
      <c r="VDG1512"/>
      <c r="VDH1512"/>
      <c r="VDI1512"/>
      <c r="VDJ1512"/>
      <c r="VDK1512"/>
      <c r="VDL1512"/>
      <c r="VDM1512"/>
      <c r="VDN1512"/>
      <c r="VDO1512"/>
      <c r="VDP1512"/>
      <c r="VDQ1512"/>
      <c r="VDR1512"/>
      <c r="VDS1512"/>
      <c r="VDT1512"/>
      <c r="VDU1512"/>
      <c r="VDV1512"/>
      <c r="VDW1512"/>
      <c r="VDX1512"/>
      <c r="VDY1512"/>
      <c r="VDZ1512"/>
      <c r="VEA1512"/>
      <c r="VEB1512"/>
      <c r="VEC1512"/>
      <c r="VED1512"/>
      <c r="VEE1512"/>
      <c r="VEF1512"/>
      <c r="VEG1512"/>
      <c r="VEH1512"/>
      <c r="VEI1512"/>
      <c r="VEJ1512"/>
      <c r="VEK1512"/>
      <c r="VEL1512"/>
      <c r="VEM1512"/>
      <c r="VEN1512"/>
      <c r="VEO1512"/>
      <c r="VEP1512"/>
      <c r="VEQ1512"/>
      <c r="VER1512"/>
      <c r="VES1512"/>
      <c r="VET1512"/>
      <c r="VEU1512"/>
      <c r="VEV1512"/>
      <c r="VEW1512"/>
      <c r="VEX1512"/>
      <c r="VEY1512"/>
      <c r="VEZ1512"/>
      <c r="VFA1512"/>
      <c r="VFB1512"/>
      <c r="VFC1512"/>
      <c r="VFD1512"/>
      <c r="VFE1512"/>
      <c r="VFF1512"/>
      <c r="VFG1512"/>
      <c r="VFH1512"/>
      <c r="VFI1512"/>
      <c r="VFJ1512"/>
      <c r="VFK1512"/>
      <c r="VFL1512"/>
      <c r="VFM1512"/>
      <c r="VFN1512"/>
      <c r="VFO1512"/>
      <c r="VFP1512"/>
      <c r="VFQ1512"/>
      <c r="VFR1512"/>
      <c r="VFS1512"/>
      <c r="VFT1512"/>
      <c r="VFU1512"/>
      <c r="VFV1512"/>
      <c r="VFW1512"/>
      <c r="VFX1512"/>
      <c r="VFY1512"/>
      <c r="VFZ1512"/>
      <c r="VGA1512"/>
      <c r="VGB1512"/>
      <c r="VGC1512"/>
      <c r="VGD1512"/>
      <c r="VGE1512"/>
      <c r="VGF1512"/>
      <c r="VGG1512"/>
      <c r="VGH1512"/>
      <c r="VGI1512"/>
      <c r="VGJ1512"/>
      <c r="VGK1512"/>
      <c r="VGL1512"/>
      <c r="VGM1512"/>
      <c r="VGN1512"/>
      <c r="VGO1512"/>
      <c r="VGP1512"/>
      <c r="VGQ1512"/>
      <c r="VGR1512"/>
      <c r="VGS1512"/>
      <c r="VGT1512"/>
      <c r="VGU1512"/>
      <c r="VGV1512"/>
      <c r="VGW1512"/>
      <c r="VGX1512"/>
      <c r="VGY1512"/>
      <c r="VGZ1512"/>
      <c r="VHA1512"/>
      <c r="VHB1512"/>
      <c r="VHC1512"/>
      <c r="VHD1512"/>
      <c r="VHE1512"/>
      <c r="VHF1512"/>
      <c r="VHG1512"/>
      <c r="VHH1512"/>
      <c r="VHI1512"/>
      <c r="VHJ1512"/>
      <c r="VHK1512"/>
      <c r="VHL1512"/>
      <c r="VHM1512"/>
      <c r="VHN1512"/>
      <c r="VHO1512"/>
      <c r="VHP1512"/>
      <c r="VHQ1512"/>
      <c r="VHR1512"/>
      <c r="VHS1512"/>
      <c r="VHT1512"/>
      <c r="VHU1512"/>
      <c r="VHV1512"/>
      <c r="VHW1512"/>
      <c r="VHX1512"/>
      <c r="VHY1512"/>
      <c r="VHZ1512"/>
      <c r="VIA1512"/>
      <c r="VIB1512"/>
      <c r="VIC1512"/>
      <c r="VID1512"/>
      <c r="VIE1512"/>
      <c r="VIF1512"/>
      <c r="VIG1512"/>
      <c r="VIH1512"/>
      <c r="VII1512"/>
      <c r="VIJ1512"/>
      <c r="VIK1512"/>
      <c r="VIL1512"/>
      <c r="VIM1512"/>
      <c r="VIN1512"/>
      <c r="VIO1512"/>
      <c r="VIP1512"/>
      <c r="VIQ1512"/>
      <c r="VIR1512"/>
      <c r="VIS1512"/>
      <c r="VIT1512"/>
      <c r="VIU1512"/>
      <c r="VIV1512"/>
      <c r="VIW1512"/>
      <c r="VIX1512"/>
      <c r="VIY1512"/>
      <c r="VIZ1512"/>
      <c r="VJA1512"/>
      <c r="VJB1512"/>
      <c r="VJC1512"/>
      <c r="VJD1512"/>
      <c r="VJE1512"/>
      <c r="VJF1512"/>
      <c r="VJG1512"/>
      <c r="VJH1512"/>
      <c r="VJI1512"/>
      <c r="VJJ1512"/>
      <c r="VJK1512"/>
      <c r="VJL1512"/>
      <c r="VJM1512"/>
      <c r="VJN1512"/>
      <c r="VJO1512"/>
      <c r="VJP1512"/>
      <c r="VJQ1512"/>
      <c r="VJR1512"/>
      <c r="VJS1512"/>
      <c r="VJT1512"/>
      <c r="VJU1512"/>
      <c r="VJV1512"/>
      <c r="VJW1512"/>
      <c r="VJX1512"/>
      <c r="VJY1512"/>
      <c r="VJZ1512"/>
      <c r="VKA1512"/>
      <c r="VKB1512"/>
      <c r="VKC1512"/>
      <c r="VKD1512"/>
      <c r="VKE1512"/>
      <c r="VKF1512"/>
      <c r="VKG1512"/>
      <c r="VKH1512"/>
      <c r="VKI1512"/>
      <c r="VKJ1512"/>
      <c r="VKK1512"/>
      <c r="VKL1512"/>
      <c r="VKM1512"/>
      <c r="VKN1512"/>
      <c r="VKO1512"/>
      <c r="VKP1512"/>
      <c r="VKQ1512"/>
      <c r="VKR1512"/>
      <c r="VKS1512"/>
      <c r="VKT1512"/>
      <c r="VKU1512"/>
      <c r="VKV1512"/>
      <c r="VKW1512"/>
      <c r="VKX1512"/>
      <c r="VKY1512"/>
      <c r="VKZ1512"/>
      <c r="VLA1512"/>
      <c r="VLB1512"/>
      <c r="VLC1512"/>
      <c r="VLD1512"/>
      <c r="VLE1512"/>
      <c r="VLF1512"/>
      <c r="VLG1512"/>
      <c r="VLH1512"/>
      <c r="VLI1512"/>
      <c r="VLJ1512"/>
      <c r="VLK1512"/>
      <c r="VLL1512"/>
      <c r="VLM1512"/>
      <c r="VLN1512"/>
      <c r="VLO1512"/>
      <c r="VLP1512"/>
      <c r="VLQ1512"/>
      <c r="VLR1512"/>
      <c r="VLS1512"/>
      <c r="VLT1512"/>
      <c r="VLU1512"/>
      <c r="VLV1512"/>
      <c r="VLW1512"/>
      <c r="VLX1512"/>
      <c r="VLY1512"/>
      <c r="VLZ1512"/>
      <c r="VMA1512"/>
      <c r="VMB1512"/>
      <c r="VMC1512"/>
      <c r="VMD1512"/>
      <c r="VME1512"/>
      <c r="VMF1512"/>
      <c r="VMG1512"/>
      <c r="VMH1512"/>
      <c r="VMI1512"/>
      <c r="VMJ1512"/>
      <c r="VMK1512"/>
      <c r="VML1512"/>
      <c r="VMM1512"/>
      <c r="VMN1512"/>
      <c r="VMO1512"/>
      <c r="VMP1512"/>
      <c r="VMQ1512"/>
      <c r="VMR1512"/>
      <c r="VMS1512"/>
      <c r="VMT1512"/>
      <c r="VMU1512"/>
      <c r="VMV1512"/>
      <c r="VMW1512"/>
      <c r="VMX1512"/>
      <c r="VMY1512"/>
      <c r="VMZ1512"/>
      <c r="VNA1512"/>
      <c r="VNB1512"/>
      <c r="VNC1512"/>
      <c r="VND1512"/>
      <c r="VNE1512"/>
      <c r="VNF1512"/>
      <c r="VNG1512"/>
      <c r="VNH1512"/>
      <c r="VNI1512"/>
      <c r="VNJ1512"/>
      <c r="VNK1512"/>
      <c r="VNL1512"/>
      <c r="VNM1512"/>
      <c r="VNN1512"/>
      <c r="VNO1512"/>
      <c r="VNP1512"/>
      <c r="VNQ1512"/>
      <c r="VNR1512"/>
      <c r="VNS1512"/>
      <c r="VNT1512"/>
      <c r="VNU1512"/>
      <c r="VNV1512"/>
      <c r="VNW1512"/>
      <c r="VNX1512"/>
      <c r="VNY1512"/>
      <c r="VNZ1512"/>
      <c r="VOA1512"/>
      <c r="VOB1512"/>
      <c r="VOC1512"/>
      <c r="VOD1512"/>
      <c r="VOE1512"/>
      <c r="VOF1512"/>
      <c r="VOG1512"/>
      <c r="VOH1512"/>
      <c r="VOI1512"/>
      <c r="VOJ1512"/>
      <c r="VOK1512"/>
      <c r="VOL1512"/>
      <c r="VOM1512"/>
      <c r="VON1512"/>
      <c r="VOO1512"/>
      <c r="VOP1512"/>
      <c r="VOQ1512"/>
      <c r="VOR1512"/>
      <c r="VOS1512"/>
      <c r="VOT1512"/>
      <c r="VOU1512"/>
      <c r="VOV1512"/>
      <c r="VOW1512"/>
      <c r="VOX1512"/>
      <c r="VOY1512"/>
      <c r="VOZ1512"/>
      <c r="VPA1512"/>
      <c r="VPB1512"/>
      <c r="VPC1512"/>
      <c r="VPD1512"/>
      <c r="VPE1512"/>
      <c r="VPF1512"/>
      <c r="VPG1512"/>
      <c r="VPH1512"/>
      <c r="VPI1512"/>
      <c r="VPJ1512"/>
      <c r="VPK1512"/>
      <c r="VPL1512"/>
      <c r="VPM1512"/>
      <c r="VPN1512"/>
      <c r="VPO1512"/>
      <c r="VPP1512"/>
      <c r="VPQ1512"/>
      <c r="VPR1512"/>
      <c r="VPS1512"/>
      <c r="VPT1512"/>
      <c r="VPU1512"/>
      <c r="VPV1512"/>
      <c r="VPW1512"/>
      <c r="VPX1512"/>
      <c r="VPY1512"/>
      <c r="VPZ1512"/>
      <c r="VQA1512"/>
      <c r="VQB1512"/>
      <c r="VQC1512"/>
      <c r="VQD1512"/>
      <c r="VQE1512"/>
      <c r="VQF1512"/>
      <c r="VQG1512"/>
      <c r="VQH1512"/>
      <c r="VQI1512"/>
      <c r="VQJ1512"/>
      <c r="VQK1512"/>
      <c r="VQL1512"/>
      <c r="VQM1512"/>
      <c r="VQN1512"/>
      <c r="VQO1512"/>
      <c r="VQP1512"/>
      <c r="VQQ1512"/>
      <c r="VQR1512"/>
      <c r="VQS1512"/>
      <c r="VQT1512"/>
      <c r="VQU1512"/>
      <c r="VQV1512"/>
      <c r="VQW1512"/>
      <c r="VQX1512"/>
      <c r="VQY1512"/>
      <c r="VQZ1512"/>
      <c r="VRA1512"/>
      <c r="VRB1512"/>
      <c r="VRC1512"/>
      <c r="VRD1512"/>
      <c r="VRE1512"/>
      <c r="VRF1512"/>
      <c r="VRG1512"/>
      <c r="VRH1512"/>
      <c r="VRI1512"/>
      <c r="VRJ1512"/>
      <c r="VRK1512"/>
      <c r="VRL1512"/>
      <c r="VRM1512"/>
      <c r="VRN1512"/>
      <c r="VRO1512"/>
      <c r="VRP1512"/>
      <c r="VRQ1512"/>
      <c r="VRR1512"/>
      <c r="VRS1512"/>
      <c r="VRT1512"/>
      <c r="VRU1512"/>
      <c r="VRV1512"/>
      <c r="VRW1512"/>
      <c r="VRX1512"/>
      <c r="VRY1512"/>
      <c r="VRZ1512"/>
      <c r="VSA1512"/>
      <c r="VSB1512"/>
      <c r="VSC1512"/>
      <c r="VSD1512"/>
      <c r="VSE1512"/>
      <c r="VSF1512"/>
      <c r="VSG1512"/>
      <c r="VSH1512"/>
      <c r="VSI1512"/>
      <c r="VSJ1512"/>
      <c r="VSK1512"/>
      <c r="VSL1512"/>
      <c r="VSM1512"/>
      <c r="VSN1512"/>
      <c r="VSO1512"/>
      <c r="VSP1512"/>
      <c r="VSQ1512"/>
      <c r="VSR1512"/>
      <c r="VSS1512"/>
      <c r="VST1512"/>
      <c r="VSU1512"/>
      <c r="VSV1512"/>
      <c r="VSW1512"/>
      <c r="VSX1512"/>
      <c r="VSY1512"/>
      <c r="VSZ1512"/>
      <c r="VTA1512"/>
      <c r="VTB1512"/>
      <c r="VTC1512"/>
      <c r="VTD1512"/>
      <c r="VTE1512"/>
      <c r="VTF1512"/>
      <c r="VTG1512"/>
      <c r="VTH1512"/>
      <c r="VTI1512"/>
      <c r="VTJ1512"/>
      <c r="VTK1512"/>
      <c r="VTL1512"/>
      <c r="VTM1512"/>
      <c r="VTN1512"/>
      <c r="VTO1512"/>
      <c r="VTP1512"/>
      <c r="VTQ1512"/>
      <c r="VTR1512"/>
      <c r="VTS1512"/>
      <c r="VTT1512"/>
      <c r="VTU1512"/>
      <c r="VTV1512"/>
      <c r="VTW1512"/>
      <c r="VTX1512"/>
      <c r="VTY1512"/>
      <c r="VTZ1512"/>
      <c r="VUA1512"/>
      <c r="VUB1512"/>
      <c r="VUC1512"/>
      <c r="VUD1512"/>
      <c r="VUE1512"/>
      <c r="VUF1512"/>
      <c r="VUG1512"/>
      <c r="VUH1512"/>
      <c r="VUI1512"/>
      <c r="VUJ1512"/>
      <c r="VUK1512"/>
      <c r="VUL1512"/>
      <c r="VUM1512"/>
      <c r="VUN1512"/>
      <c r="VUO1512"/>
      <c r="VUP1512"/>
      <c r="VUQ1512"/>
      <c r="VUR1512"/>
      <c r="VUS1512"/>
      <c r="VUT1512"/>
      <c r="VUU1512"/>
      <c r="VUV1512"/>
      <c r="VUW1512"/>
      <c r="VUX1512"/>
      <c r="VUY1512"/>
      <c r="VUZ1512"/>
      <c r="VVA1512"/>
      <c r="VVB1512"/>
      <c r="VVC1512"/>
      <c r="VVD1512"/>
      <c r="VVE1512"/>
      <c r="VVF1512"/>
      <c r="VVG1512"/>
      <c r="VVH1512"/>
      <c r="VVI1512"/>
      <c r="VVJ1512"/>
      <c r="VVK1512"/>
      <c r="VVL1512"/>
      <c r="VVM1512"/>
      <c r="VVN1512"/>
      <c r="VVO1512"/>
      <c r="VVP1512"/>
      <c r="VVQ1512"/>
      <c r="VVR1512"/>
      <c r="VVS1512"/>
      <c r="VVT1512"/>
      <c r="VVU1512"/>
      <c r="VVV1512"/>
      <c r="VVW1512"/>
      <c r="VVX1512"/>
      <c r="VVY1512"/>
      <c r="VVZ1512"/>
      <c r="VWA1512"/>
      <c r="VWB1512"/>
      <c r="VWC1512"/>
      <c r="VWD1512"/>
      <c r="VWE1512"/>
      <c r="VWF1512"/>
      <c r="VWG1512"/>
      <c r="VWH1512"/>
      <c r="VWI1512"/>
      <c r="VWJ1512"/>
      <c r="VWK1512"/>
      <c r="VWL1512"/>
      <c r="VWM1512"/>
      <c r="VWN1512"/>
      <c r="VWO1512"/>
      <c r="VWP1512"/>
      <c r="VWQ1512"/>
      <c r="VWR1512"/>
      <c r="VWS1512"/>
      <c r="VWT1512"/>
      <c r="VWU1512"/>
      <c r="VWV1512"/>
      <c r="VWW1512"/>
      <c r="VWX1512"/>
      <c r="VWY1512"/>
      <c r="VWZ1512"/>
      <c r="VXA1512"/>
      <c r="VXB1512"/>
      <c r="VXC1512"/>
      <c r="VXD1512"/>
      <c r="VXE1512"/>
      <c r="VXF1512"/>
      <c r="VXG1512"/>
      <c r="VXH1512"/>
      <c r="VXI1512"/>
      <c r="VXJ1512"/>
      <c r="VXK1512"/>
      <c r="VXL1512"/>
      <c r="VXM1512"/>
      <c r="VXN1512"/>
      <c r="VXO1512"/>
      <c r="VXP1512"/>
      <c r="VXQ1512"/>
      <c r="VXR1512"/>
      <c r="VXS1512"/>
      <c r="VXT1512"/>
      <c r="VXU1512"/>
      <c r="VXV1512"/>
      <c r="VXW1512"/>
      <c r="VXX1512"/>
      <c r="VXY1512"/>
      <c r="VXZ1512"/>
      <c r="VYA1512"/>
      <c r="VYB1512"/>
      <c r="VYC1512"/>
      <c r="VYD1512"/>
      <c r="VYE1512"/>
      <c r="VYF1512"/>
      <c r="VYG1512"/>
      <c r="VYH1512"/>
      <c r="VYI1512"/>
      <c r="VYJ1512"/>
      <c r="VYK1512"/>
      <c r="VYL1512"/>
      <c r="VYM1512"/>
      <c r="VYN1512"/>
      <c r="VYO1512"/>
      <c r="VYP1512"/>
      <c r="VYQ1512"/>
      <c r="VYR1512"/>
      <c r="VYS1512"/>
      <c r="VYT1512"/>
      <c r="VYU1512"/>
      <c r="VYV1512"/>
      <c r="VYW1512"/>
      <c r="VYX1512"/>
      <c r="VYY1512"/>
      <c r="VYZ1512"/>
      <c r="VZA1512"/>
      <c r="VZB1512"/>
      <c r="VZC1512"/>
      <c r="VZD1512"/>
      <c r="VZE1512"/>
      <c r="VZF1512"/>
      <c r="VZG1512"/>
      <c r="VZH1512"/>
      <c r="VZI1512"/>
      <c r="VZJ1512"/>
      <c r="VZK1512"/>
      <c r="VZL1512"/>
      <c r="VZM1512"/>
      <c r="VZN1512"/>
      <c r="VZO1512"/>
      <c r="VZP1512"/>
      <c r="VZQ1512"/>
      <c r="VZR1512"/>
      <c r="VZS1512"/>
      <c r="VZT1512"/>
      <c r="VZU1512"/>
      <c r="VZV1512"/>
      <c r="VZW1512"/>
      <c r="VZX1512"/>
      <c r="VZY1512"/>
      <c r="VZZ1512"/>
      <c r="WAA1512"/>
      <c r="WAB1512"/>
      <c r="WAC1512"/>
      <c r="WAD1512"/>
      <c r="WAE1512"/>
      <c r="WAF1512"/>
      <c r="WAG1512"/>
      <c r="WAH1512"/>
      <c r="WAI1512"/>
      <c r="WAJ1512"/>
      <c r="WAK1512"/>
      <c r="WAL1512"/>
      <c r="WAM1512"/>
      <c r="WAN1512"/>
      <c r="WAO1512"/>
      <c r="WAP1512"/>
      <c r="WAQ1512"/>
      <c r="WAR1512"/>
      <c r="WAS1512"/>
      <c r="WAT1512"/>
      <c r="WAU1512"/>
      <c r="WAV1512"/>
      <c r="WAW1512"/>
      <c r="WAX1512"/>
      <c r="WAY1512"/>
      <c r="WAZ1512"/>
      <c r="WBA1512"/>
      <c r="WBB1512"/>
      <c r="WBC1512"/>
      <c r="WBD1512"/>
      <c r="WBE1512"/>
      <c r="WBF1512"/>
      <c r="WBG1512"/>
      <c r="WBH1512"/>
      <c r="WBI1512"/>
      <c r="WBJ1512"/>
      <c r="WBK1512"/>
      <c r="WBL1512"/>
      <c r="WBM1512"/>
      <c r="WBN1512"/>
      <c r="WBO1512"/>
      <c r="WBP1512"/>
      <c r="WBQ1512"/>
      <c r="WBR1512"/>
      <c r="WBS1512"/>
      <c r="WBT1512"/>
      <c r="WBU1512"/>
      <c r="WBV1512"/>
      <c r="WBW1512"/>
      <c r="WBX1512"/>
      <c r="WBY1512"/>
      <c r="WBZ1512"/>
      <c r="WCA1512"/>
      <c r="WCB1512"/>
      <c r="WCC1512"/>
      <c r="WCD1512"/>
      <c r="WCE1512"/>
      <c r="WCF1512"/>
      <c r="WCG1512"/>
      <c r="WCH1512"/>
      <c r="WCI1512"/>
      <c r="WCJ1512"/>
      <c r="WCK1512"/>
      <c r="WCL1512"/>
      <c r="WCM1512"/>
      <c r="WCN1512"/>
      <c r="WCO1512"/>
      <c r="WCP1512"/>
      <c r="WCQ1512"/>
      <c r="WCR1512"/>
      <c r="WCS1512"/>
      <c r="WCT1512"/>
      <c r="WCU1512"/>
      <c r="WCV1512"/>
      <c r="WCW1512"/>
      <c r="WCX1512"/>
      <c r="WCY1512"/>
      <c r="WCZ1512"/>
      <c r="WDA1512"/>
      <c r="WDB1512"/>
      <c r="WDC1512"/>
      <c r="WDD1512"/>
      <c r="WDE1512"/>
      <c r="WDF1512"/>
      <c r="WDG1512"/>
      <c r="WDH1512"/>
      <c r="WDI1512"/>
      <c r="WDJ1512"/>
      <c r="WDK1512"/>
      <c r="WDL1512"/>
      <c r="WDM1512"/>
      <c r="WDN1512"/>
      <c r="WDO1512"/>
      <c r="WDP1512"/>
      <c r="WDQ1512"/>
      <c r="WDR1512"/>
      <c r="WDS1512"/>
      <c r="WDT1512"/>
      <c r="WDU1512"/>
      <c r="WDV1512"/>
      <c r="WDW1512"/>
      <c r="WDX1512"/>
      <c r="WDY1512"/>
      <c r="WDZ1512"/>
      <c r="WEA1512"/>
      <c r="WEB1512"/>
      <c r="WEC1512"/>
      <c r="WED1512"/>
      <c r="WEE1512"/>
      <c r="WEF1512"/>
      <c r="WEG1512"/>
      <c r="WEH1512"/>
      <c r="WEI1512"/>
      <c r="WEJ1512"/>
      <c r="WEK1512"/>
      <c r="WEL1512"/>
      <c r="WEM1512"/>
      <c r="WEN1512"/>
      <c r="WEO1512"/>
      <c r="WEP1512"/>
      <c r="WEQ1512"/>
      <c r="WER1512"/>
      <c r="WES1512"/>
      <c r="WET1512"/>
      <c r="WEU1512"/>
      <c r="WEV1512"/>
      <c r="WEW1512"/>
      <c r="WEX1512"/>
      <c r="WEY1512"/>
      <c r="WEZ1512"/>
      <c r="WFA1512"/>
      <c r="WFB1512"/>
      <c r="WFC1512"/>
      <c r="WFD1512"/>
      <c r="WFE1512"/>
      <c r="WFF1512"/>
      <c r="WFG1512"/>
      <c r="WFH1512"/>
      <c r="WFI1512"/>
      <c r="WFJ1512"/>
      <c r="WFK1512"/>
      <c r="WFL1512"/>
      <c r="WFM1512"/>
      <c r="WFN1512"/>
      <c r="WFO1512"/>
      <c r="WFP1512"/>
      <c r="WFQ1512"/>
      <c r="WFR1512"/>
      <c r="WFS1512"/>
      <c r="WFT1512"/>
      <c r="WFU1512"/>
      <c r="WFV1512"/>
      <c r="WFW1512"/>
      <c r="WFX1512"/>
      <c r="WFY1512"/>
      <c r="WFZ1512"/>
      <c r="WGA1512"/>
      <c r="WGB1512"/>
      <c r="WGC1512"/>
      <c r="WGD1512"/>
      <c r="WGE1512"/>
      <c r="WGF1512"/>
      <c r="WGG1512"/>
      <c r="WGH1512"/>
      <c r="WGI1512"/>
      <c r="WGJ1512"/>
      <c r="WGK1512"/>
      <c r="WGL1512"/>
      <c r="WGM1512"/>
      <c r="WGN1512"/>
      <c r="WGO1512"/>
      <c r="WGP1512"/>
      <c r="WGQ1512"/>
      <c r="WGR1512"/>
      <c r="WGS1512"/>
      <c r="WGT1512"/>
      <c r="WGU1512"/>
      <c r="WGV1512"/>
      <c r="WGW1512"/>
      <c r="WGX1512"/>
      <c r="WGY1512"/>
      <c r="WGZ1512"/>
      <c r="WHA1512"/>
      <c r="WHB1512"/>
      <c r="WHC1512"/>
      <c r="WHD1512"/>
      <c r="WHE1512"/>
      <c r="WHF1512"/>
      <c r="WHG1512"/>
      <c r="WHH1512"/>
      <c r="WHI1512"/>
      <c r="WHJ1512"/>
      <c r="WHK1512"/>
      <c r="WHL1512"/>
      <c r="WHM1512"/>
      <c r="WHN1512"/>
      <c r="WHO1512"/>
      <c r="WHP1512"/>
      <c r="WHQ1512"/>
      <c r="WHR1512"/>
      <c r="WHS1512"/>
      <c r="WHT1512"/>
      <c r="WHU1512"/>
      <c r="WHV1512"/>
      <c r="WHW1512"/>
      <c r="WHX1512"/>
      <c r="WHY1512"/>
      <c r="WHZ1512"/>
      <c r="WIA1512"/>
      <c r="WIB1512"/>
      <c r="WIC1512"/>
      <c r="WID1512"/>
      <c r="WIE1512"/>
      <c r="WIF1512"/>
      <c r="WIG1512"/>
      <c r="WIH1512"/>
      <c r="WII1512"/>
      <c r="WIJ1512"/>
      <c r="WIK1512"/>
      <c r="WIL1512"/>
      <c r="WIM1512"/>
      <c r="WIN1512"/>
      <c r="WIO1512"/>
      <c r="WIP1512"/>
      <c r="WIQ1512"/>
      <c r="WIR1512"/>
      <c r="WIS1512"/>
      <c r="WIT1512"/>
      <c r="WIU1512"/>
      <c r="WIV1512"/>
      <c r="WIW1512"/>
      <c r="WIX1512"/>
      <c r="WIY1512"/>
      <c r="WIZ1512"/>
      <c r="WJA1512"/>
      <c r="WJB1512"/>
      <c r="WJC1512"/>
      <c r="WJD1512"/>
      <c r="WJE1512"/>
      <c r="WJF1512"/>
      <c r="WJG1512"/>
      <c r="WJH1512"/>
      <c r="WJI1512"/>
      <c r="WJJ1512"/>
      <c r="WJK1512"/>
      <c r="WJL1512"/>
      <c r="WJM1512"/>
      <c r="WJN1512"/>
      <c r="WJO1512"/>
      <c r="WJP1512"/>
      <c r="WJQ1512"/>
      <c r="WJR1512"/>
      <c r="WJS1512"/>
      <c r="WJT1512"/>
      <c r="WJU1512"/>
      <c r="WJV1512"/>
      <c r="WJW1512"/>
      <c r="WJX1512"/>
      <c r="WJY1512"/>
      <c r="WJZ1512"/>
      <c r="WKA1512"/>
      <c r="WKB1512"/>
      <c r="WKC1512"/>
      <c r="WKD1512"/>
      <c r="WKE1512"/>
      <c r="WKF1512"/>
      <c r="WKG1512"/>
      <c r="WKH1512"/>
      <c r="WKI1512"/>
      <c r="WKJ1512"/>
      <c r="WKK1512"/>
      <c r="WKL1512"/>
      <c r="WKM1512"/>
      <c r="WKN1512"/>
      <c r="WKO1512"/>
      <c r="WKP1512"/>
      <c r="WKQ1512"/>
      <c r="WKR1512"/>
      <c r="WKS1512"/>
      <c r="WKT1512"/>
      <c r="WKU1512"/>
      <c r="WKV1512"/>
      <c r="WKW1512"/>
      <c r="WKX1512"/>
      <c r="WKY1512"/>
      <c r="WKZ1512"/>
      <c r="WLA1512"/>
      <c r="WLB1512"/>
      <c r="WLC1512"/>
      <c r="WLD1512"/>
      <c r="WLE1512"/>
      <c r="WLF1512"/>
      <c r="WLG1512"/>
      <c r="WLH1512"/>
      <c r="WLI1512"/>
      <c r="WLJ1512"/>
      <c r="WLK1512"/>
      <c r="WLL1512"/>
      <c r="WLM1512"/>
      <c r="WLN1512"/>
      <c r="WLO1512"/>
      <c r="WLP1512"/>
      <c r="WLQ1512"/>
      <c r="WLR1512"/>
      <c r="WLS1512"/>
      <c r="WLT1512"/>
      <c r="WLU1512"/>
      <c r="WLV1512"/>
      <c r="WLW1512"/>
      <c r="WLX1512"/>
      <c r="WLY1512"/>
      <c r="WLZ1512"/>
      <c r="WMA1512"/>
      <c r="WMB1512"/>
      <c r="WMC1512"/>
      <c r="WMD1512"/>
      <c r="WME1512"/>
      <c r="WMF1512"/>
      <c r="WMG1512"/>
      <c r="WMH1512"/>
      <c r="WMI1512"/>
      <c r="WMJ1512"/>
      <c r="WMK1512"/>
      <c r="WML1512"/>
      <c r="WMM1512"/>
      <c r="WMN1512"/>
      <c r="WMO1512"/>
      <c r="WMP1512"/>
      <c r="WMQ1512"/>
      <c r="WMR1512"/>
      <c r="WMS1512"/>
      <c r="WMT1512"/>
      <c r="WMU1512"/>
      <c r="WMV1512"/>
      <c r="WMW1512"/>
      <c r="WMX1512"/>
      <c r="WMY1512"/>
      <c r="WMZ1512"/>
      <c r="WNA1512"/>
      <c r="WNB1512"/>
      <c r="WNC1512"/>
      <c r="WND1512"/>
      <c r="WNE1512"/>
      <c r="WNF1512"/>
      <c r="WNG1512"/>
      <c r="WNH1512"/>
      <c r="WNI1512"/>
      <c r="WNJ1512"/>
      <c r="WNK1512"/>
      <c r="WNL1512"/>
      <c r="WNM1512"/>
      <c r="WNN1512"/>
      <c r="WNO1512"/>
      <c r="WNP1512"/>
      <c r="WNQ1512"/>
      <c r="WNR1512"/>
      <c r="WNS1512"/>
      <c r="WNT1512"/>
      <c r="WNU1512"/>
      <c r="WNV1512"/>
      <c r="WNW1512"/>
      <c r="WNX1512"/>
      <c r="WNY1512"/>
      <c r="WNZ1512"/>
      <c r="WOA1512"/>
      <c r="WOB1512"/>
      <c r="WOC1512"/>
      <c r="WOD1512"/>
      <c r="WOE1512"/>
      <c r="WOF1512"/>
      <c r="WOG1512"/>
      <c r="WOH1512"/>
      <c r="WOI1512"/>
      <c r="WOJ1512"/>
      <c r="WOK1512"/>
      <c r="WOL1512"/>
      <c r="WOM1512"/>
      <c r="WON1512"/>
      <c r="WOO1512"/>
      <c r="WOP1512"/>
      <c r="WOQ1512"/>
      <c r="WOR1512"/>
      <c r="WOS1512"/>
      <c r="WOT1512"/>
      <c r="WOU1512"/>
      <c r="WOV1512"/>
      <c r="WOW1512"/>
      <c r="WOX1512"/>
      <c r="WOY1512"/>
      <c r="WOZ1512"/>
      <c r="WPA1512"/>
      <c r="WPB1512"/>
      <c r="WPC1512"/>
      <c r="WPD1512"/>
      <c r="WPE1512"/>
      <c r="WPF1512"/>
      <c r="WPG1512"/>
      <c r="WPH1512"/>
      <c r="WPI1512"/>
      <c r="WPJ1512"/>
      <c r="WPK1512"/>
      <c r="WPL1512"/>
      <c r="WPM1512"/>
      <c r="WPN1512"/>
      <c r="WPO1512"/>
      <c r="WPP1512"/>
      <c r="WPQ1512"/>
      <c r="WPR1512"/>
      <c r="WPS1512"/>
      <c r="WPT1512"/>
      <c r="WPU1512"/>
      <c r="WPV1512"/>
      <c r="WPW1512"/>
      <c r="WPX1512"/>
      <c r="WPY1512"/>
      <c r="WPZ1512"/>
      <c r="WQA1512"/>
      <c r="WQB1512"/>
      <c r="WQC1512"/>
      <c r="WQD1512"/>
      <c r="WQE1512"/>
      <c r="WQF1512"/>
      <c r="WQG1512"/>
      <c r="WQH1512"/>
      <c r="WQI1512"/>
      <c r="WQJ1512"/>
      <c r="WQK1512"/>
      <c r="WQL1512"/>
      <c r="WQM1512"/>
      <c r="WQN1512"/>
      <c r="WQO1512"/>
      <c r="WQP1512"/>
      <c r="WQQ1512"/>
      <c r="WQR1512"/>
      <c r="WQS1512"/>
      <c r="WQT1512"/>
      <c r="WQU1512"/>
      <c r="WQV1512"/>
      <c r="WQW1512"/>
      <c r="WQX1512"/>
      <c r="WQY1512"/>
      <c r="WQZ1512"/>
      <c r="WRA1512"/>
      <c r="WRB1512"/>
      <c r="WRC1512"/>
      <c r="WRD1512"/>
      <c r="WRE1512"/>
      <c r="WRF1512"/>
      <c r="WRG1512"/>
      <c r="WRH1512"/>
      <c r="WRI1512"/>
      <c r="WRJ1512"/>
      <c r="WRK1512"/>
      <c r="WRL1512"/>
      <c r="WRM1512"/>
      <c r="WRN1512"/>
      <c r="WRO1512"/>
      <c r="WRP1512"/>
      <c r="WRQ1512"/>
      <c r="WRR1512"/>
      <c r="WRS1512"/>
      <c r="WRT1512"/>
      <c r="WRU1512"/>
      <c r="WRV1512"/>
      <c r="WRW1512"/>
      <c r="WRX1512"/>
      <c r="WRY1512"/>
      <c r="WRZ1512"/>
      <c r="WSA1512"/>
      <c r="WSB1512"/>
      <c r="WSC1512"/>
      <c r="WSD1512"/>
      <c r="WSE1512"/>
      <c r="WSF1512"/>
      <c r="WSG1512"/>
      <c r="WSH1512"/>
      <c r="WSI1512"/>
      <c r="WSJ1512"/>
      <c r="WSK1512"/>
      <c r="WSL1512"/>
      <c r="WSM1512"/>
      <c r="WSN1512"/>
      <c r="WSO1512"/>
      <c r="WSP1512"/>
      <c r="WSQ1512"/>
      <c r="WSR1512"/>
      <c r="WSS1512"/>
      <c r="WST1512"/>
      <c r="WSU1512"/>
      <c r="WSV1512"/>
      <c r="WSW1512"/>
      <c r="WSX1512"/>
      <c r="WSY1512"/>
      <c r="WSZ1512"/>
      <c r="WTA1512"/>
      <c r="WTB1512"/>
      <c r="WTC1512"/>
      <c r="WTD1512"/>
      <c r="WTE1512"/>
      <c r="WTF1512"/>
      <c r="WTG1512"/>
      <c r="WTH1512"/>
      <c r="WTI1512"/>
      <c r="WTJ1512"/>
      <c r="WTK1512"/>
      <c r="WTL1512"/>
      <c r="WTM1512"/>
      <c r="WTN1512"/>
      <c r="WTO1512"/>
      <c r="WTP1512"/>
      <c r="WTQ1512"/>
      <c r="WTR1512"/>
      <c r="WTS1512"/>
      <c r="WTT1512"/>
      <c r="WTU1512"/>
      <c r="WTV1512"/>
      <c r="WTW1512"/>
      <c r="WTX1512"/>
      <c r="WTY1512"/>
      <c r="WTZ1512"/>
      <c r="WUA1512"/>
      <c r="WUB1512"/>
      <c r="WUC1512"/>
      <c r="WUD1512"/>
      <c r="WUE1512"/>
      <c r="WUF1512"/>
      <c r="WUG1512"/>
      <c r="WUH1512"/>
      <c r="WUI1512"/>
      <c r="WUJ1512"/>
      <c r="WUK1512"/>
      <c r="WUL1512"/>
      <c r="WUM1512"/>
      <c r="WUN1512"/>
      <c r="WUO1512"/>
      <c r="WUP1512"/>
      <c r="WUQ1512"/>
      <c r="WUR1512"/>
      <c r="WUS1512"/>
      <c r="WUT1512"/>
      <c r="WUU1512"/>
      <c r="WUV1512"/>
      <c r="WUW1512"/>
      <c r="WUX1512"/>
      <c r="WUY1512"/>
      <c r="WUZ1512"/>
      <c r="WVA1512"/>
      <c r="WVB1512"/>
      <c r="WVC1512"/>
      <c r="WVD1512"/>
      <c r="WVE1512"/>
      <c r="WVF1512"/>
      <c r="WVG1512"/>
      <c r="WVH1512"/>
      <c r="WVI1512"/>
      <c r="WVJ1512"/>
      <c r="WVK1512"/>
      <c r="WVL1512"/>
      <c r="WVM1512"/>
      <c r="WVN1512"/>
      <c r="WVO1512"/>
      <c r="WVP1512"/>
      <c r="WVQ1512"/>
      <c r="WVR1512"/>
      <c r="WVS1512"/>
      <c r="WVT1512"/>
      <c r="WVU1512"/>
      <c r="WVV1512"/>
      <c r="WVW1512"/>
      <c r="WVX1512"/>
      <c r="WVY1512"/>
      <c r="WVZ1512"/>
      <c r="WWA1512"/>
      <c r="WWB1512"/>
      <c r="WWC1512"/>
      <c r="WWD1512"/>
      <c r="WWE1512"/>
      <c r="WWF1512"/>
      <c r="WWG1512"/>
      <c r="WWH1512"/>
      <c r="WWI1512"/>
      <c r="WWJ1512"/>
      <c r="WWK1512"/>
      <c r="WWL1512"/>
      <c r="WWM1512"/>
      <c r="WWN1512"/>
      <c r="WWO1512"/>
      <c r="WWP1512"/>
      <c r="WWQ1512"/>
      <c r="WWR1512"/>
      <c r="WWS1512"/>
      <c r="WWT1512"/>
      <c r="WWU1512"/>
      <c r="WWV1512"/>
      <c r="WWW1512"/>
      <c r="WWX1512"/>
      <c r="WWY1512"/>
      <c r="WWZ1512"/>
      <c r="WXA1512"/>
      <c r="WXB1512"/>
      <c r="WXC1512"/>
      <c r="WXD1512"/>
      <c r="WXE1512"/>
      <c r="WXF1512"/>
      <c r="WXG1512"/>
      <c r="WXH1512"/>
      <c r="WXI1512"/>
      <c r="WXJ1512"/>
      <c r="WXK1512"/>
      <c r="WXL1512"/>
      <c r="WXM1512"/>
      <c r="WXN1512"/>
      <c r="WXO1512"/>
      <c r="WXP1512"/>
      <c r="WXQ1512"/>
      <c r="WXR1512"/>
      <c r="WXS1512"/>
      <c r="WXT1512"/>
      <c r="WXU1512"/>
      <c r="WXV1512"/>
      <c r="WXW1512"/>
      <c r="WXX1512"/>
      <c r="WXY1512"/>
      <c r="WXZ1512"/>
      <c r="WYA1512"/>
      <c r="WYB1512"/>
      <c r="WYC1512"/>
      <c r="WYD1512"/>
      <c r="WYE1512"/>
      <c r="WYF1512"/>
      <c r="WYG1512"/>
      <c r="WYH1512"/>
      <c r="WYI1512"/>
      <c r="WYJ1512"/>
      <c r="WYK1512"/>
      <c r="WYL1512"/>
      <c r="WYM1512"/>
      <c r="WYN1512"/>
      <c r="WYO1512"/>
      <c r="WYP1512"/>
      <c r="WYQ1512"/>
      <c r="WYR1512"/>
      <c r="WYS1512"/>
      <c r="WYT1512"/>
      <c r="WYU1512"/>
      <c r="WYV1512"/>
      <c r="WYW1512"/>
      <c r="WYX1512"/>
      <c r="WYY1512"/>
      <c r="WYZ1512"/>
      <c r="WZA1512"/>
      <c r="WZB1512"/>
      <c r="WZC1512"/>
      <c r="WZD1512"/>
      <c r="WZE1512"/>
      <c r="WZF1512"/>
      <c r="WZG1512"/>
      <c r="WZH1512"/>
      <c r="WZI1512"/>
      <c r="WZJ1512"/>
      <c r="WZK1512"/>
      <c r="WZL1512"/>
      <c r="WZM1512"/>
      <c r="WZN1512"/>
      <c r="WZO1512"/>
      <c r="WZP1512"/>
      <c r="WZQ1512"/>
      <c r="WZR1512"/>
      <c r="WZS1512"/>
      <c r="WZT1512"/>
      <c r="WZU1512"/>
      <c r="WZV1512"/>
      <c r="WZW1512"/>
      <c r="WZX1512"/>
      <c r="WZY1512"/>
      <c r="WZZ1512"/>
      <c r="XAA1512"/>
      <c r="XAB1512"/>
      <c r="XAC1512"/>
      <c r="XAD1512"/>
      <c r="XAE1512"/>
      <c r="XAF1512"/>
      <c r="XAG1512"/>
      <c r="XAH1512"/>
      <c r="XAI1512"/>
      <c r="XAJ1512"/>
      <c r="XAK1512"/>
      <c r="XAL1512"/>
      <c r="XAM1512"/>
      <c r="XAN1512"/>
      <c r="XAO1512"/>
      <c r="XAP1512"/>
      <c r="XAQ1512"/>
      <c r="XAR1512"/>
      <c r="XAS1512"/>
      <c r="XAT1512"/>
      <c r="XAU1512"/>
      <c r="XAV1512"/>
      <c r="XAW1512"/>
      <c r="XAX1512"/>
      <c r="XAY1512"/>
      <c r="XAZ1512"/>
      <c r="XBA1512"/>
      <c r="XBB1512"/>
      <c r="XBC1512"/>
      <c r="XBD1512"/>
      <c r="XBE1512"/>
      <c r="XBF1512"/>
      <c r="XBG1512"/>
      <c r="XBH1512"/>
      <c r="XBI1512"/>
      <c r="XBJ1512"/>
      <c r="XBK1512"/>
      <c r="XBL1512"/>
      <c r="XBM1512"/>
      <c r="XBN1512"/>
      <c r="XBO1512"/>
      <c r="XBP1512"/>
      <c r="XBQ1512"/>
      <c r="XBR1512"/>
      <c r="XBS1512"/>
      <c r="XBT1512"/>
      <c r="XBU1512"/>
      <c r="XBV1512"/>
      <c r="XBW1512"/>
      <c r="XBX1512"/>
      <c r="XBY1512"/>
      <c r="XBZ1512"/>
      <c r="XCA1512"/>
      <c r="XCB1512"/>
      <c r="XCC1512"/>
      <c r="XCD1512"/>
      <c r="XCE1512"/>
      <c r="XCF1512"/>
      <c r="XCG1512"/>
      <c r="XCH1512"/>
      <c r="XCI1512"/>
      <c r="XCJ1512"/>
      <c r="XCK1512"/>
      <c r="XCL1512"/>
      <c r="XCM1512"/>
      <c r="XCN1512"/>
      <c r="XCO1512"/>
      <c r="XCP1512"/>
      <c r="XCQ1512"/>
      <c r="XCR1512"/>
      <c r="XCS1512"/>
      <c r="XCT1512"/>
      <c r="XCU1512"/>
      <c r="XCV1512"/>
      <c r="XCW1512"/>
      <c r="XCX1512"/>
      <c r="XCY1512"/>
      <c r="XCZ1512"/>
      <c r="XDA1512"/>
      <c r="XDB1512"/>
      <c r="XDC1512"/>
      <c r="XDD1512"/>
      <c r="XDE1512"/>
      <c r="XDF1512"/>
      <c r="XDG1512"/>
      <c r="XDH1512"/>
      <c r="XDI1512"/>
      <c r="XDJ1512"/>
      <c r="XDK1512"/>
      <c r="XDL1512"/>
      <c r="XDM1512"/>
      <c r="XDN1512"/>
      <c r="XDO1512"/>
      <c r="XDP1512"/>
      <c r="XDQ1512"/>
      <c r="XDR1512"/>
      <c r="XDS1512"/>
      <c r="XDT1512"/>
      <c r="XDU1512"/>
      <c r="XDV1512"/>
      <c r="XDW1512"/>
      <c r="XDX1512"/>
      <c r="XDY1512"/>
      <c r="XDZ1512"/>
      <c r="XEA1512"/>
      <c r="XEB1512"/>
      <c r="XEC1512"/>
      <c r="XED1512"/>
      <c r="XEE1512"/>
      <c r="XEF1512"/>
      <c r="XEG1512"/>
      <c r="XEH1512"/>
      <c r="XEI1512"/>
      <c r="XEJ1512"/>
      <c r="XEK1512"/>
      <c r="XEL1512"/>
      <c r="XEM1512"/>
      <c r="XEN1512"/>
      <c r="XEO1512"/>
      <c r="XEP1512"/>
      <c r="XEQ1512"/>
      <c r="XER1512"/>
      <c r="XES1512"/>
      <c r="XET1512"/>
      <c r="XEU1512"/>
      <c r="XEV1512"/>
      <c r="XEW1512"/>
      <c r="XEX1512"/>
    </row>
    <row r="1513" spans="1:16378" s="30" customFormat="1" ht="15" customHeight="1" x14ac:dyDescent="0.25">
      <c r="A1513">
        <v>2026</v>
      </c>
      <c r="B1513" s="879" t="s">
        <v>4</v>
      </c>
      <c r="C1513" s="879" t="s">
        <v>8298</v>
      </c>
      <c r="D1513" s="939">
        <v>1214810</v>
      </c>
      <c r="E1513" s="965" t="s">
        <v>1117</v>
      </c>
      <c r="F1513" s="879" t="s">
        <v>784</v>
      </c>
      <c r="G1513" s="879" t="s">
        <v>7455</v>
      </c>
      <c r="H1513" s="8" t="s">
        <v>4462</v>
      </c>
      <c r="I1513" s="883">
        <v>45877</v>
      </c>
      <c r="J1513" s="918" t="s">
        <v>2052</v>
      </c>
      <c r="K1513" s="945">
        <v>45881</v>
      </c>
      <c r="L1513" s="884">
        <f>IF(ISTEXT(Table15[[#This Row],[Engineering Approved Design Date]]),Table15[[#This Row],[Date Completed]]-Table15[[#This Row],[Date Assigned to Designer]],Table15[[#This Row],[Engineering Approved Design Date]]-Table15[[#This Row],[Date Completed]])</f>
        <v>4</v>
      </c>
      <c r="M1513" s="1545" t="s">
        <v>9090</v>
      </c>
      <c r="N1513" s="885" t="s">
        <v>120</v>
      </c>
      <c r="O1513" s="886">
        <v>45870</v>
      </c>
      <c r="P1513" s="1153" t="s">
        <v>739</v>
      </c>
      <c r="Q1513" s="1151" t="s">
        <v>115</v>
      </c>
      <c r="R1513" s="1150" t="s">
        <v>115</v>
      </c>
      <c r="S1513" s="888" t="s">
        <v>29</v>
      </c>
      <c r="T1513" s="888" t="s">
        <v>29</v>
      </c>
      <c r="U1513" s="889" t="s">
        <v>29</v>
      </c>
      <c r="V1513" s="1630" t="s">
        <v>29</v>
      </c>
      <c r="W1513" s="1021" t="s">
        <v>29</v>
      </c>
      <c r="X1513" s="888" t="s">
        <v>29</v>
      </c>
      <c r="Y1513" s="935"/>
      <c r="Z1513" s="888" t="s">
        <v>29</v>
      </c>
      <c r="AA1513" s="888" t="s">
        <v>29</v>
      </c>
      <c r="AB1513" s="893">
        <v>45881</v>
      </c>
      <c r="AC1513" s="894" t="s">
        <v>29</v>
      </c>
      <c r="AD1513" s="1161" t="s">
        <v>29</v>
      </c>
      <c r="AE1513" s="940" t="s">
        <v>756</v>
      </c>
      <c r="AF1513" s="897" t="s">
        <v>29</v>
      </c>
      <c r="AG1513" s="897" t="s">
        <v>29</v>
      </c>
      <c r="AH1513" s="940" t="s">
        <v>376</v>
      </c>
      <c r="AI1513" s="921" t="s">
        <v>29</v>
      </c>
      <c r="AJ1513" s="922" t="s">
        <v>29</v>
      </c>
      <c r="AK1513" s="922" t="s">
        <v>29</v>
      </c>
      <c r="AL1513" s="1030" t="s">
        <v>29</v>
      </c>
      <c r="AM1513" s="542" t="s">
        <v>709</v>
      </c>
      <c r="AN1513" s="924"/>
      <c r="AO1513" s="925"/>
      <c r="AP1513" s="926"/>
      <c r="AQ1513" s="926"/>
      <c r="AR1513" s="926"/>
      <c r="AS1513" s="926"/>
      <c r="AT1513" s="926"/>
      <c r="AU1513" s="926"/>
      <c r="AV1513" s="926"/>
      <c r="AW1513" s="927"/>
      <c r="AX1513" s="926"/>
      <c r="AY1513" s="1528" t="s">
        <v>29</v>
      </c>
      <c r="AZ1513" s="1530"/>
      <c r="BA1513" s="966">
        <v>4</v>
      </c>
      <c r="BB1513" s="911" t="s">
        <v>1120</v>
      </c>
      <c r="BC1513" s="915" t="s">
        <v>709</v>
      </c>
      <c r="BD1513" s="915" t="s">
        <v>709</v>
      </c>
      <c r="BE1513" s="914" t="s">
        <v>5832</v>
      </c>
      <c r="BF1513" s="544" t="s">
        <v>709</v>
      </c>
      <c r="BG1513" s="915" t="s">
        <v>709</v>
      </c>
      <c r="BH1513" s="1023" t="s">
        <v>9091</v>
      </c>
      <c r="BI1513" s="1032" t="s">
        <v>709</v>
      </c>
      <c r="BJ1513" s="1032" t="s">
        <v>745</v>
      </c>
      <c r="BK1513" s="1032" t="s">
        <v>745</v>
      </c>
      <c r="BL1513" s="1032" t="s">
        <v>116</v>
      </c>
      <c r="BM1513" s="1032" t="s">
        <v>745</v>
      </c>
      <c r="BN1513" s="1032" t="s">
        <v>745</v>
      </c>
      <c r="BO1513" s="1032" t="s">
        <v>745</v>
      </c>
      <c r="BP1513" s="1032" t="s">
        <v>745</v>
      </c>
      <c r="BQ1513" s="1032" t="s">
        <v>745</v>
      </c>
      <c r="BR1513" s="1032">
        <v>85</v>
      </c>
      <c r="BS1513" s="1032" t="s">
        <v>709</v>
      </c>
      <c r="BT1513" s="1032" t="s">
        <v>745</v>
      </c>
      <c r="BU1513" s="1032" t="s">
        <v>745</v>
      </c>
      <c r="BV1513" s="1032" t="s">
        <v>745</v>
      </c>
      <c r="BW1513" s="1032" t="s">
        <v>745</v>
      </c>
      <c r="BX1513" s="1032" t="s">
        <v>745</v>
      </c>
      <c r="BY1513" s="1032" t="s">
        <v>745</v>
      </c>
      <c r="BZ1513" s="1032" t="s">
        <v>709</v>
      </c>
      <c r="CA1513" s="485" t="s">
        <v>8303</v>
      </c>
      <c r="CB1513" s="547"/>
      <c r="CC1513" s="879"/>
      <c r="CD1513" s="879"/>
      <c r="CE1513" s="879"/>
      <c r="CF1513" s="879"/>
      <c r="CG1513" s="879"/>
      <c r="CH1513" s="879"/>
      <c r="CI1513" s="879"/>
      <c r="CJ1513" s="879"/>
      <c r="CK1513" s="879"/>
      <c r="CL1513" s="879"/>
      <c r="CM1513" s="879"/>
      <c r="CN1513" s="879"/>
      <c r="CO1513" s="879"/>
      <c r="CP1513" s="879"/>
      <c r="CQ1513" s="879"/>
      <c r="CR1513" s="879"/>
      <c r="CS1513" s="879"/>
      <c r="CT1513" s="879"/>
      <c r="CU1513" s="879"/>
      <c r="CV1513" s="879"/>
      <c r="CW1513" s="879"/>
      <c r="CX1513" s="879"/>
      <c r="CY1513" s="879"/>
      <c r="CZ1513" s="879"/>
      <c r="DA1513" s="879"/>
      <c r="DB1513" s="879"/>
      <c r="DC1513" s="879"/>
      <c r="DD1513" s="879"/>
      <c r="DE1513" s="879"/>
      <c r="DF1513" s="879"/>
      <c r="DG1513" s="879"/>
      <c r="DH1513" s="879"/>
      <c r="DI1513" s="879"/>
      <c r="DJ1513" s="879"/>
      <c r="DK1513" s="879"/>
      <c r="DL1513" s="879"/>
      <c r="DM1513" s="879"/>
      <c r="DN1513" s="879"/>
      <c r="DO1513" s="879"/>
      <c r="DP1513" s="879"/>
      <c r="DQ1513" s="879"/>
      <c r="DR1513" s="879"/>
      <c r="DS1513" s="879"/>
      <c r="DT1513" s="879"/>
      <c r="DU1513" s="879"/>
      <c r="DV1513" s="879"/>
      <c r="DW1513" s="879"/>
      <c r="DX1513" s="879"/>
      <c r="DY1513" s="879"/>
      <c r="DZ1513" s="879"/>
      <c r="EA1513" s="879"/>
      <c r="EB1513" s="879"/>
      <c r="EC1513" s="879"/>
      <c r="ED1513" s="879"/>
      <c r="EE1513" s="879"/>
      <c r="EF1513" s="879"/>
      <c r="EG1513" s="879"/>
      <c r="EH1513" s="879"/>
      <c r="EI1513" s="879"/>
      <c r="EJ1513" s="879"/>
      <c r="EK1513" s="879"/>
      <c r="EL1513" s="879"/>
      <c r="EM1513" s="879"/>
      <c r="EN1513" s="879"/>
      <c r="EO1513" s="879"/>
      <c r="EP1513" s="879"/>
      <c r="EQ1513" s="879"/>
      <c r="ER1513" s="879"/>
      <c r="ES1513" s="879"/>
      <c r="ET1513" s="879"/>
      <c r="EU1513" s="879"/>
      <c r="EV1513" s="879"/>
      <c r="EW1513" s="879"/>
      <c r="EX1513" s="879"/>
      <c r="EY1513" s="879"/>
      <c r="EZ1513" s="879"/>
      <c r="FA1513" s="879"/>
      <c r="FB1513" s="879"/>
      <c r="FC1513" s="879"/>
      <c r="FD1513" s="879"/>
      <c r="FE1513" s="879"/>
      <c r="FF1513" s="879"/>
      <c r="FG1513" s="879"/>
      <c r="FH1513" s="879"/>
      <c r="FI1513" s="879"/>
      <c r="FJ1513" s="879"/>
      <c r="FK1513" s="879"/>
      <c r="FL1513" s="879"/>
      <c r="FM1513" s="879"/>
      <c r="FN1513" s="879"/>
      <c r="FO1513" s="879"/>
      <c r="FP1513" s="879"/>
      <c r="FQ1513" s="879"/>
      <c r="FR1513" s="879"/>
      <c r="FS1513" s="879"/>
      <c r="FT1513" s="879"/>
      <c r="FU1513" s="879"/>
      <c r="FV1513" s="879"/>
      <c r="FW1513" s="879"/>
      <c r="FX1513" s="879"/>
      <c r="FY1513" s="879"/>
      <c r="FZ1513" s="879"/>
      <c r="GA1513" s="879"/>
      <c r="GB1513" s="879"/>
      <c r="GC1513" s="879"/>
      <c r="GD1513" s="879"/>
      <c r="GE1513" s="879"/>
      <c r="GF1513" s="879"/>
      <c r="GG1513" s="879"/>
      <c r="GH1513" s="879"/>
      <c r="GI1513" s="879"/>
      <c r="GJ1513" s="879"/>
      <c r="GK1513" s="879"/>
      <c r="GL1513" s="879"/>
      <c r="GM1513" s="879"/>
      <c r="GN1513" s="879"/>
      <c r="GO1513" s="879"/>
      <c r="GP1513" s="879"/>
      <c r="GQ1513" s="879"/>
      <c r="GR1513" s="879"/>
      <c r="GS1513" s="879"/>
      <c r="GT1513" s="879"/>
      <c r="GU1513" s="879"/>
      <c r="GV1513" s="879"/>
      <c r="GW1513" s="879"/>
      <c r="GX1513" s="879"/>
      <c r="GY1513" s="879"/>
      <c r="GZ1513" s="879"/>
      <c r="HA1513" s="879"/>
      <c r="HB1513" s="879"/>
      <c r="HC1513" s="879"/>
      <c r="HD1513" s="879"/>
      <c r="HE1513" s="879"/>
      <c r="HF1513" s="879"/>
      <c r="HG1513" s="879"/>
      <c r="HH1513" s="879"/>
      <c r="HI1513" s="879"/>
      <c r="HJ1513" s="879"/>
      <c r="HK1513" s="879"/>
      <c r="HL1513" s="879"/>
      <c r="HM1513" s="879"/>
      <c r="HN1513" s="879"/>
      <c r="HO1513" s="879"/>
      <c r="HP1513" s="879"/>
      <c r="HQ1513" s="879"/>
      <c r="HR1513" s="879"/>
      <c r="HS1513" s="879"/>
      <c r="HT1513" s="879"/>
      <c r="HU1513" s="879"/>
      <c r="HV1513" s="879"/>
      <c r="HW1513" s="879"/>
      <c r="HX1513" s="879"/>
      <c r="HY1513" s="879"/>
      <c r="HZ1513" s="879"/>
      <c r="IA1513" s="879"/>
      <c r="IB1513" s="879"/>
      <c r="IC1513" s="879"/>
      <c r="ID1513" s="879"/>
      <c r="IE1513" s="879"/>
      <c r="IF1513" s="879"/>
      <c r="IG1513" s="879"/>
      <c r="IH1513" s="879"/>
      <c r="II1513" s="879"/>
      <c r="IJ1513" s="879"/>
      <c r="IK1513" s="879"/>
      <c r="IL1513" s="879"/>
      <c r="IM1513" s="879"/>
      <c r="IN1513" s="879"/>
      <c r="IO1513" s="879"/>
      <c r="IP1513" s="879"/>
      <c r="IQ1513" s="879"/>
      <c r="IR1513" s="879"/>
      <c r="IS1513" s="879"/>
      <c r="IT1513" s="879"/>
      <c r="IU1513" s="879"/>
      <c r="IV1513" s="879"/>
      <c r="IW1513" s="879"/>
      <c r="IX1513" s="879"/>
      <c r="IY1513" s="879"/>
      <c r="IZ1513" s="879"/>
      <c r="JA1513" s="879"/>
      <c r="JB1513" s="879"/>
      <c r="JC1513" s="879"/>
      <c r="JD1513" s="879"/>
      <c r="JE1513" s="879"/>
      <c r="JF1513" s="879"/>
      <c r="JG1513" s="879"/>
      <c r="JH1513" s="879"/>
      <c r="JI1513" s="879"/>
      <c r="JJ1513" s="879"/>
      <c r="JK1513" s="879"/>
      <c r="JL1513" s="879"/>
      <c r="JM1513" s="879"/>
      <c r="JN1513" s="879"/>
      <c r="JO1513" s="879"/>
      <c r="JP1513" s="879"/>
      <c r="JQ1513" s="879"/>
      <c r="JR1513" s="879"/>
      <c r="JS1513" s="879"/>
      <c r="JT1513" s="879"/>
      <c r="JU1513" s="879"/>
      <c r="JV1513" s="879"/>
      <c r="JW1513" s="879"/>
      <c r="JX1513" s="879"/>
      <c r="JY1513" s="879"/>
      <c r="JZ1513" s="879"/>
      <c r="KA1513" s="879"/>
      <c r="KB1513" s="879"/>
      <c r="KC1513" s="879"/>
      <c r="KD1513" s="879"/>
      <c r="KE1513" s="879"/>
      <c r="KF1513" s="879"/>
      <c r="KG1513" s="879"/>
      <c r="KH1513" s="879"/>
      <c r="KI1513" s="879"/>
      <c r="KJ1513" s="879"/>
      <c r="KK1513" s="879"/>
      <c r="KL1513" s="879"/>
      <c r="KM1513" s="879"/>
      <c r="KN1513" s="879"/>
      <c r="KO1513" s="879"/>
      <c r="KP1513" s="879"/>
      <c r="KQ1513" s="879"/>
      <c r="KR1513" s="879"/>
      <c r="KS1513" s="879"/>
      <c r="KT1513" s="879"/>
      <c r="KU1513" s="879"/>
      <c r="KV1513" s="879"/>
      <c r="KW1513" s="879"/>
      <c r="KX1513" s="879"/>
      <c r="KY1513" s="879"/>
      <c r="KZ1513" s="879"/>
      <c r="LA1513" s="879"/>
      <c r="LB1513" s="879"/>
      <c r="LC1513" s="879"/>
      <c r="LD1513" s="879"/>
      <c r="LE1513" s="879"/>
      <c r="LF1513" s="879"/>
      <c r="LG1513" s="879"/>
      <c r="LH1513" s="879"/>
      <c r="LI1513" s="879"/>
      <c r="LJ1513" s="879"/>
      <c r="LK1513" s="879"/>
      <c r="LL1513" s="879"/>
      <c r="LM1513" s="879"/>
      <c r="LN1513" s="879"/>
      <c r="LO1513" s="879"/>
      <c r="LP1513" s="879"/>
      <c r="LQ1513" s="879"/>
      <c r="LR1513" s="879"/>
      <c r="LS1513" s="879"/>
      <c r="LT1513" s="879"/>
      <c r="LU1513" s="879"/>
      <c r="LV1513" s="879"/>
      <c r="LW1513" s="879"/>
      <c r="LX1513" s="879"/>
      <c r="LY1513" s="879"/>
      <c r="LZ1513" s="879"/>
      <c r="MA1513" s="879"/>
      <c r="MB1513" s="879"/>
      <c r="MC1513" s="879"/>
      <c r="MD1513" s="879"/>
      <c r="ME1513" s="879"/>
      <c r="MF1513" s="879"/>
      <c r="MG1513" s="879"/>
      <c r="MH1513" s="879"/>
      <c r="MI1513" s="879"/>
      <c r="MJ1513" s="879"/>
      <c r="MK1513" s="879"/>
      <c r="ML1513" s="879"/>
      <c r="MM1513" s="879"/>
      <c r="MN1513" s="879"/>
      <c r="MO1513" s="879"/>
      <c r="MP1513" s="879"/>
      <c r="MQ1513" s="879"/>
      <c r="MR1513" s="879"/>
      <c r="MS1513" s="879"/>
      <c r="MT1513" s="879"/>
      <c r="MU1513" s="879"/>
      <c r="MV1513" s="879"/>
      <c r="MW1513" s="879"/>
      <c r="MX1513" s="879"/>
      <c r="MY1513" s="879"/>
      <c r="MZ1513" s="879"/>
      <c r="NA1513" s="879"/>
      <c r="NB1513" s="879"/>
      <c r="NC1513" s="879"/>
      <c r="ND1513" s="879"/>
      <c r="NE1513" s="879"/>
      <c r="NF1513" s="879"/>
      <c r="NG1513" s="879"/>
      <c r="NH1513" s="879"/>
      <c r="NI1513" s="879"/>
      <c r="NJ1513" s="879"/>
      <c r="NK1513" s="879"/>
      <c r="NL1513" s="879"/>
      <c r="NM1513" s="879"/>
      <c r="NN1513" s="879"/>
      <c r="NO1513" s="879"/>
      <c r="NP1513" s="879"/>
      <c r="NQ1513" s="879"/>
      <c r="NR1513" s="879"/>
      <c r="NS1513" s="879"/>
      <c r="NT1513" s="879"/>
      <c r="NU1513" s="879"/>
      <c r="NV1513" s="879"/>
      <c r="NW1513" s="879"/>
      <c r="NX1513" s="879"/>
      <c r="NY1513" s="879"/>
      <c r="NZ1513" s="879"/>
      <c r="OA1513" s="879"/>
      <c r="OB1513" s="879"/>
      <c r="OC1513" s="879"/>
      <c r="OD1513" s="879"/>
      <c r="OE1513" s="879"/>
      <c r="OF1513" s="879"/>
      <c r="OG1513" s="879"/>
      <c r="OH1513" s="879"/>
      <c r="OI1513" s="879"/>
      <c r="OJ1513" s="879"/>
      <c r="OK1513" s="879"/>
      <c r="OL1513" s="879"/>
      <c r="OM1513" s="879"/>
      <c r="ON1513" s="879"/>
      <c r="OO1513" s="879"/>
      <c r="OP1513" s="879"/>
      <c r="OQ1513" s="879"/>
      <c r="OR1513" s="879"/>
      <c r="OS1513" s="879"/>
      <c r="OT1513" s="879"/>
      <c r="OU1513" s="879"/>
      <c r="OV1513" s="879"/>
      <c r="OW1513" s="879"/>
      <c r="OX1513" s="879"/>
      <c r="OY1513" s="879"/>
      <c r="OZ1513" s="879"/>
      <c r="PA1513" s="879"/>
      <c r="PB1513" s="879"/>
      <c r="PC1513" s="879"/>
      <c r="PD1513" s="879"/>
      <c r="PE1513" s="879"/>
      <c r="PF1513" s="879"/>
      <c r="PG1513" s="879"/>
      <c r="PH1513" s="879"/>
      <c r="PI1513" s="879"/>
      <c r="PJ1513" s="879"/>
      <c r="PK1513" s="879"/>
      <c r="PL1513" s="879"/>
      <c r="PM1513" s="879"/>
      <c r="PN1513" s="879"/>
      <c r="PO1513" s="879"/>
      <c r="PP1513" s="879"/>
      <c r="PQ1513" s="879"/>
      <c r="PR1513" s="879"/>
      <c r="PS1513" s="879"/>
      <c r="PT1513" s="879"/>
      <c r="PU1513" s="879"/>
      <c r="PV1513" s="879"/>
      <c r="PW1513" s="879"/>
      <c r="PX1513" s="879"/>
      <c r="PY1513" s="879"/>
      <c r="PZ1513" s="879"/>
      <c r="QA1513" s="879"/>
      <c r="QB1513" s="879"/>
      <c r="QC1513" s="879"/>
      <c r="QD1513" s="879"/>
      <c r="QE1513" s="879"/>
      <c r="QF1513" s="879"/>
      <c r="QG1513" s="879"/>
      <c r="QH1513" s="879"/>
      <c r="QI1513" s="879"/>
      <c r="QJ1513" s="879"/>
      <c r="QK1513" s="879"/>
      <c r="QL1513" s="879"/>
      <c r="QM1513" s="879"/>
      <c r="QN1513" s="879"/>
      <c r="QO1513" s="879"/>
      <c r="QP1513" s="879"/>
      <c r="QQ1513" s="879"/>
      <c r="QR1513" s="879"/>
      <c r="QS1513" s="879"/>
      <c r="QT1513" s="879"/>
      <c r="QU1513" s="879"/>
      <c r="QV1513" s="879"/>
      <c r="QW1513" s="879"/>
      <c r="QX1513" s="879"/>
      <c r="QY1513" s="879"/>
      <c r="QZ1513" s="879"/>
      <c r="RA1513" s="879"/>
      <c r="RB1513" s="879"/>
      <c r="RC1513" s="879"/>
      <c r="RD1513" s="879"/>
      <c r="RE1513" s="879"/>
      <c r="RF1513" s="879"/>
      <c r="RG1513" s="879"/>
      <c r="RH1513" s="879"/>
      <c r="RI1513" s="879"/>
      <c r="RJ1513" s="879"/>
      <c r="RK1513" s="879"/>
      <c r="RL1513" s="879"/>
      <c r="RM1513" s="879"/>
      <c r="RN1513" s="879"/>
      <c r="RO1513" s="879"/>
      <c r="RP1513" s="879"/>
      <c r="RQ1513" s="879"/>
      <c r="RR1513" s="879"/>
      <c r="RS1513" s="879"/>
      <c r="RT1513" s="879"/>
      <c r="RU1513" s="879"/>
      <c r="RV1513" s="879"/>
      <c r="RW1513" s="879"/>
      <c r="RX1513" s="879"/>
      <c r="RY1513" s="879"/>
      <c r="RZ1513" s="879"/>
      <c r="SA1513" s="879"/>
      <c r="SB1513" s="879"/>
      <c r="SC1513" s="879"/>
      <c r="SD1513" s="879"/>
      <c r="SE1513" s="879"/>
      <c r="SF1513" s="879"/>
      <c r="SG1513" s="879"/>
      <c r="SH1513" s="879"/>
      <c r="SI1513" s="879"/>
      <c r="SJ1513" s="879"/>
      <c r="SK1513" s="879"/>
      <c r="SL1513" s="879"/>
      <c r="SM1513" s="879"/>
      <c r="SN1513" s="879"/>
      <c r="SO1513" s="879"/>
      <c r="SP1513" s="879"/>
      <c r="SQ1513" s="879"/>
      <c r="SR1513" s="879"/>
      <c r="SS1513" s="879"/>
      <c r="ST1513" s="879"/>
      <c r="SU1513" s="879"/>
      <c r="SV1513" s="879"/>
      <c r="SW1513" s="879"/>
      <c r="SX1513" s="879"/>
      <c r="SY1513" s="879"/>
      <c r="SZ1513" s="879"/>
      <c r="TA1513" s="879"/>
      <c r="TB1513" s="879"/>
      <c r="TC1513" s="879"/>
      <c r="TD1513" s="879"/>
      <c r="TE1513" s="879"/>
      <c r="TF1513" s="879"/>
      <c r="TG1513" s="879"/>
      <c r="TH1513" s="879"/>
      <c r="TI1513" s="879"/>
      <c r="TJ1513" s="879"/>
      <c r="TK1513" s="879"/>
      <c r="TL1513" s="879"/>
      <c r="TM1513" s="879"/>
      <c r="TN1513" s="879"/>
      <c r="TO1513" s="879"/>
      <c r="TP1513" s="879"/>
      <c r="TQ1513" s="879"/>
      <c r="TR1513" s="879"/>
      <c r="TS1513" s="879"/>
      <c r="TT1513" s="879"/>
      <c r="TU1513" s="879"/>
      <c r="TV1513" s="879"/>
      <c r="TW1513" s="879"/>
      <c r="TX1513" s="879"/>
      <c r="TY1513" s="879"/>
      <c r="TZ1513" s="879"/>
      <c r="UA1513" s="879"/>
      <c r="UB1513" s="879"/>
      <c r="UC1513" s="879"/>
      <c r="UD1513" s="879"/>
      <c r="UE1513" s="879"/>
      <c r="UF1513" s="879"/>
      <c r="UG1513" s="879"/>
      <c r="UH1513" s="879"/>
      <c r="UI1513" s="879"/>
      <c r="UJ1513" s="879"/>
      <c r="UK1513" s="879"/>
      <c r="UL1513" s="879"/>
      <c r="UM1513" s="879"/>
      <c r="UN1513" s="879"/>
      <c r="UO1513" s="879"/>
      <c r="UP1513" s="879"/>
      <c r="UQ1513" s="879"/>
      <c r="UR1513" s="879"/>
      <c r="US1513" s="879"/>
      <c r="UT1513" s="879"/>
      <c r="UU1513" s="879"/>
      <c r="UV1513" s="879"/>
      <c r="UW1513" s="879"/>
      <c r="UX1513" s="879"/>
      <c r="UY1513" s="879"/>
      <c r="UZ1513" s="879"/>
      <c r="VA1513" s="879"/>
      <c r="VB1513" s="879"/>
      <c r="VC1513" s="879"/>
      <c r="VD1513" s="879"/>
      <c r="VE1513" s="879"/>
      <c r="VF1513" s="879"/>
      <c r="VG1513" s="879"/>
      <c r="VH1513" s="879"/>
      <c r="VI1513" s="879"/>
      <c r="VJ1513" s="879"/>
      <c r="VK1513" s="879"/>
      <c r="VL1513" s="879"/>
      <c r="VM1513" s="879"/>
      <c r="VN1513" s="879"/>
      <c r="VO1513" s="879"/>
      <c r="VP1513" s="879"/>
      <c r="VQ1513" s="879"/>
      <c r="VR1513" s="879"/>
      <c r="VS1513" s="879"/>
      <c r="VT1513" s="879"/>
      <c r="VU1513" s="879"/>
      <c r="VV1513" s="879"/>
      <c r="VW1513" s="879"/>
      <c r="VX1513" s="879"/>
      <c r="VY1513" s="879"/>
      <c r="VZ1513" s="879"/>
      <c r="WA1513" s="879"/>
      <c r="WB1513" s="879"/>
      <c r="WC1513" s="879"/>
      <c r="WD1513" s="879"/>
      <c r="WE1513" s="879"/>
      <c r="WF1513" s="879"/>
      <c r="WG1513" s="879"/>
      <c r="WH1513" s="879"/>
      <c r="WI1513" s="879"/>
      <c r="WJ1513" s="879"/>
      <c r="WK1513" s="879"/>
      <c r="WL1513" s="879"/>
      <c r="WM1513" s="879"/>
      <c r="WN1513" s="879"/>
      <c r="WO1513" s="879"/>
      <c r="WP1513" s="879"/>
      <c r="WQ1513" s="879"/>
      <c r="WR1513" s="879"/>
      <c r="WS1513" s="879"/>
      <c r="WT1513" s="879"/>
      <c r="WU1513" s="879"/>
      <c r="WV1513" s="879"/>
      <c r="WW1513" s="879"/>
      <c r="WX1513" s="879"/>
      <c r="WY1513" s="879"/>
      <c r="WZ1513" s="879"/>
      <c r="XA1513" s="879"/>
      <c r="XB1513" s="879"/>
      <c r="XC1513" s="879"/>
      <c r="XD1513" s="879"/>
      <c r="XE1513" s="879"/>
      <c r="XF1513" s="879"/>
      <c r="XG1513" s="879"/>
      <c r="XH1513" s="879"/>
      <c r="XI1513" s="879"/>
      <c r="XJ1513" s="879"/>
      <c r="XK1513" s="879"/>
      <c r="XL1513" s="879"/>
      <c r="XM1513" s="879"/>
      <c r="XN1513" s="879"/>
      <c r="XO1513" s="879"/>
      <c r="XP1513" s="879"/>
      <c r="XQ1513" s="879"/>
      <c r="XR1513" s="879"/>
      <c r="XS1513" s="879"/>
      <c r="XT1513" s="879"/>
      <c r="XU1513" s="879"/>
      <c r="XV1513" s="879"/>
      <c r="XW1513" s="879"/>
      <c r="XX1513" s="879"/>
      <c r="XY1513" s="879"/>
      <c r="XZ1513" s="879"/>
      <c r="YA1513" s="879"/>
      <c r="YB1513" s="879"/>
      <c r="YC1513" s="879"/>
      <c r="YD1513" s="879"/>
      <c r="YE1513" s="879"/>
      <c r="YF1513" s="879"/>
      <c r="YG1513" s="879"/>
      <c r="YH1513" s="879"/>
      <c r="YI1513" s="879"/>
      <c r="YJ1513" s="879"/>
      <c r="YK1513" s="879"/>
      <c r="YL1513" s="879"/>
      <c r="YM1513" s="879"/>
      <c r="YN1513" s="879"/>
      <c r="YO1513" s="879"/>
      <c r="YP1513" s="879"/>
      <c r="YQ1513" s="879"/>
      <c r="YR1513" s="879"/>
      <c r="YS1513" s="879"/>
      <c r="YT1513" s="879"/>
      <c r="YU1513" s="879"/>
      <c r="YV1513" s="879"/>
      <c r="YW1513" s="879"/>
      <c r="YX1513" s="879"/>
      <c r="YY1513" s="879"/>
      <c r="YZ1513" s="879"/>
      <c r="ZA1513" s="879"/>
      <c r="ZB1513" s="879"/>
      <c r="ZC1513" s="879"/>
      <c r="ZD1513" s="879"/>
      <c r="ZE1513" s="879"/>
      <c r="ZF1513" s="879"/>
      <c r="ZG1513" s="879"/>
      <c r="ZH1513" s="879"/>
      <c r="ZI1513" s="879"/>
      <c r="ZJ1513" s="879"/>
      <c r="ZK1513" s="879"/>
      <c r="ZL1513" s="879"/>
      <c r="ZM1513" s="879"/>
      <c r="ZN1513" s="879"/>
      <c r="ZO1513" s="879"/>
      <c r="ZP1513" s="879"/>
      <c r="ZQ1513" s="879"/>
      <c r="ZR1513" s="879"/>
      <c r="ZS1513" s="879"/>
      <c r="ZT1513" s="879"/>
      <c r="ZU1513" s="879"/>
      <c r="ZV1513" s="879"/>
      <c r="ZW1513" s="879"/>
      <c r="ZX1513" s="879"/>
      <c r="ZY1513" s="879"/>
      <c r="ZZ1513" s="879"/>
      <c r="AAA1513" s="879"/>
      <c r="AAB1513" s="879"/>
      <c r="AAC1513" s="879"/>
      <c r="AAD1513" s="879"/>
      <c r="AAE1513" s="879"/>
      <c r="AAF1513" s="879"/>
      <c r="AAG1513" s="879"/>
      <c r="AAH1513" s="879"/>
      <c r="AAI1513" s="879"/>
      <c r="AAJ1513" s="879"/>
      <c r="AAK1513" s="879"/>
      <c r="AAL1513" s="879"/>
      <c r="AAM1513" s="879"/>
      <c r="AAN1513" s="879"/>
      <c r="AAO1513" s="879"/>
      <c r="AAP1513" s="879"/>
      <c r="AAQ1513" s="879"/>
      <c r="AAR1513" s="879"/>
      <c r="AAS1513" s="879"/>
      <c r="AAT1513" s="879"/>
      <c r="AAU1513" s="879"/>
      <c r="AAV1513" s="879"/>
      <c r="AAW1513" s="879"/>
      <c r="AAX1513" s="879"/>
      <c r="AAY1513" s="879"/>
      <c r="AAZ1513" s="879"/>
      <c r="ABA1513" s="879"/>
      <c r="ABB1513" s="879"/>
      <c r="ABC1513" s="879"/>
      <c r="ABD1513" s="879"/>
      <c r="ABE1513" s="879"/>
      <c r="ABF1513" s="879"/>
      <c r="ABG1513" s="879"/>
      <c r="ABH1513" s="879"/>
      <c r="ABI1513" s="879"/>
      <c r="ABJ1513" s="879"/>
      <c r="ABK1513" s="879"/>
      <c r="ABL1513" s="879"/>
      <c r="ABM1513" s="879"/>
      <c r="ABN1513" s="879"/>
      <c r="ABO1513" s="879"/>
      <c r="ABP1513" s="879"/>
      <c r="ABQ1513" s="879"/>
      <c r="ABR1513" s="879"/>
      <c r="ABS1513" s="879"/>
      <c r="ABT1513" s="879"/>
      <c r="ABU1513" s="879"/>
      <c r="ABV1513" s="879"/>
      <c r="ABW1513" s="879"/>
      <c r="ABX1513" s="879"/>
      <c r="ABY1513" s="879"/>
      <c r="ABZ1513" s="879"/>
      <c r="ACA1513" s="879"/>
      <c r="ACB1513" s="879"/>
      <c r="ACC1513" s="879"/>
      <c r="ACD1513" s="879"/>
      <c r="ACE1513" s="879"/>
      <c r="ACF1513" s="879"/>
      <c r="ACG1513" s="879"/>
      <c r="ACH1513" s="879"/>
      <c r="ACI1513" s="879"/>
      <c r="ACJ1513" s="879"/>
      <c r="ACK1513" s="879"/>
      <c r="ACL1513" s="879"/>
      <c r="ACM1513" s="879"/>
      <c r="ACN1513" s="879"/>
      <c r="ACO1513" s="879"/>
      <c r="ACP1513" s="879"/>
      <c r="ACQ1513" s="879"/>
      <c r="ACR1513" s="879"/>
      <c r="ACS1513" s="879"/>
      <c r="ACT1513" s="879"/>
      <c r="ACU1513" s="879"/>
      <c r="ACV1513" s="879"/>
      <c r="ACW1513" s="879"/>
      <c r="ACX1513" s="879"/>
      <c r="ACY1513" s="879"/>
      <c r="ACZ1513" s="879"/>
      <c r="ADA1513" s="879"/>
      <c r="ADB1513" s="879"/>
      <c r="ADC1513" s="879"/>
      <c r="ADD1513" s="879"/>
      <c r="ADE1513" s="879"/>
      <c r="ADF1513" s="879"/>
      <c r="ADG1513" s="879"/>
      <c r="ADH1513" s="879"/>
      <c r="ADI1513" s="879"/>
      <c r="ADJ1513" s="879"/>
      <c r="ADK1513" s="879"/>
      <c r="ADL1513" s="879"/>
      <c r="ADM1513" s="879"/>
      <c r="ADN1513" s="879"/>
      <c r="ADO1513" s="879"/>
      <c r="ADP1513" s="879"/>
      <c r="ADQ1513" s="879"/>
      <c r="ADR1513" s="879"/>
      <c r="ADS1513" s="879"/>
      <c r="ADT1513" s="879"/>
      <c r="ADU1513" s="879"/>
      <c r="ADV1513" s="879"/>
      <c r="ADW1513" s="879"/>
      <c r="ADX1513" s="879"/>
      <c r="ADY1513" s="879"/>
      <c r="ADZ1513" s="879"/>
      <c r="AEA1513" s="879"/>
      <c r="AEB1513" s="879"/>
      <c r="AEC1513" s="879"/>
      <c r="AED1513" s="879"/>
      <c r="AEE1513" s="879"/>
      <c r="AEF1513" s="879"/>
      <c r="AEG1513" s="879"/>
      <c r="AEH1513" s="879"/>
      <c r="AEI1513" s="879"/>
      <c r="AEJ1513" s="879"/>
      <c r="AEK1513" s="879"/>
      <c r="AEL1513" s="879"/>
      <c r="AEM1513" s="879"/>
      <c r="AEN1513" s="879"/>
      <c r="AEO1513" s="879"/>
      <c r="AEP1513" s="879"/>
      <c r="AEQ1513" s="879"/>
      <c r="AER1513" s="879"/>
      <c r="AES1513" s="879"/>
      <c r="AET1513" s="879"/>
      <c r="AEU1513" s="879"/>
      <c r="AEV1513" s="879"/>
      <c r="AEW1513" s="879"/>
      <c r="AEX1513" s="879"/>
      <c r="AEY1513" s="879"/>
      <c r="AEZ1513" s="879"/>
      <c r="AFA1513" s="879"/>
      <c r="AFB1513" s="879"/>
      <c r="AFC1513" s="879"/>
      <c r="AFD1513" s="879"/>
      <c r="AFE1513" s="879"/>
      <c r="AFF1513" s="879"/>
      <c r="AFG1513" s="879"/>
      <c r="AFH1513" s="879"/>
      <c r="AFI1513" s="879"/>
      <c r="AFJ1513" s="879"/>
      <c r="AFK1513" s="879"/>
      <c r="AFL1513" s="879"/>
      <c r="AFM1513" s="879"/>
      <c r="AFN1513" s="879"/>
      <c r="AFO1513" s="879"/>
      <c r="AFP1513" s="879"/>
      <c r="AFQ1513" s="879"/>
      <c r="AFR1513" s="879"/>
      <c r="AFS1513" s="879"/>
      <c r="AFT1513" s="879"/>
      <c r="AFU1513" s="879"/>
      <c r="AFV1513" s="879"/>
      <c r="AFW1513" s="879"/>
      <c r="AFX1513" s="879"/>
      <c r="AFY1513" s="879"/>
      <c r="AFZ1513" s="879"/>
      <c r="AGA1513" s="879"/>
      <c r="AGB1513" s="879"/>
      <c r="AGC1513" s="879"/>
      <c r="AGD1513" s="879"/>
      <c r="AGE1513" s="879"/>
      <c r="AGF1513" s="879"/>
      <c r="AGG1513" s="879"/>
      <c r="AGH1513" s="879"/>
      <c r="AGI1513" s="879"/>
      <c r="AGJ1513" s="879"/>
      <c r="AGK1513" s="879"/>
      <c r="AGL1513" s="879"/>
      <c r="AGM1513" s="879"/>
      <c r="AGN1513" s="879"/>
      <c r="AGO1513" s="879"/>
      <c r="AGP1513" s="879"/>
      <c r="AGQ1513" s="879"/>
      <c r="AGR1513" s="879"/>
      <c r="AGS1513" s="879"/>
      <c r="AGT1513" s="879"/>
      <c r="AGU1513" s="879"/>
      <c r="AGV1513" s="879"/>
      <c r="AGW1513" s="879"/>
      <c r="AGX1513" s="879"/>
      <c r="AGY1513" s="879"/>
      <c r="AGZ1513" s="879"/>
      <c r="AHA1513" s="879"/>
      <c r="AHB1513" s="879"/>
      <c r="AHC1513" s="879"/>
      <c r="AHD1513" s="879"/>
      <c r="AHE1513" s="879"/>
      <c r="AHF1513" s="879"/>
      <c r="AHG1513" s="879"/>
      <c r="AHH1513" s="879"/>
      <c r="AHI1513" s="879"/>
      <c r="AHJ1513" s="879"/>
      <c r="AHK1513" s="879"/>
      <c r="AHL1513" s="879"/>
      <c r="AHM1513" s="879"/>
      <c r="AHN1513" s="879"/>
      <c r="AHO1513" s="879"/>
      <c r="AHP1513" s="879"/>
      <c r="AHQ1513" s="879"/>
      <c r="AHR1513" s="879"/>
      <c r="AHS1513" s="879"/>
      <c r="AHT1513" s="879"/>
      <c r="AHU1513" s="879"/>
      <c r="AHV1513" s="879"/>
      <c r="AHW1513" s="879"/>
      <c r="AHX1513" s="879"/>
      <c r="AHY1513" s="879"/>
      <c r="AHZ1513" s="879"/>
      <c r="AIA1513" s="879"/>
      <c r="AIB1513" s="879"/>
      <c r="AIC1513" s="879"/>
      <c r="AID1513" s="879"/>
      <c r="AIE1513" s="879"/>
      <c r="AIF1513" s="879"/>
      <c r="AIG1513" s="879"/>
      <c r="AIH1513" s="879"/>
      <c r="AII1513" s="879"/>
      <c r="AIJ1513" s="879"/>
      <c r="AIK1513" s="879"/>
      <c r="AIL1513" s="879"/>
      <c r="AIM1513" s="879"/>
      <c r="AIN1513" s="879"/>
      <c r="AIO1513" s="879"/>
      <c r="AIP1513" s="879"/>
      <c r="AIQ1513" s="879"/>
      <c r="AIR1513" s="879"/>
      <c r="AIS1513" s="879"/>
      <c r="AIT1513" s="879"/>
      <c r="AIU1513" s="879"/>
      <c r="AIV1513" s="879"/>
      <c r="AIW1513" s="879"/>
      <c r="AIX1513" s="879"/>
      <c r="AIY1513" s="879"/>
      <c r="AIZ1513" s="879"/>
      <c r="AJA1513" s="879"/>
      <c r="AJB1513" s="879"/>
      <c r="AJC1513" s="879"/>
      <c r="AJD1513" s="879"/>
      <c r="AJE1513" s="879"/>
      <c r="AJF1513" s="879"/>
      <c r="AJG1513" s="879"/>
      <c r="AJH1513" s="879"/>
      <c r="AJI1513" s="879"/>
      <c r="AJJ1513" s="879"/>
      <c r="AJK1513" s="879"/>
      <c r="AJL1513" s="879"/>
      <c r="AJM1513" s="879"/>
      <c r="AJN1513" s="879"/>
      <c r="AJO1513" s="879"/>
      <c r="AJP1513" s="879"/>
      <c r="AJQ1513" s="879"/>
      <c r="AJR1513" s="879"/>
      <c r="AJS1513" s="879"/>
      <c r="AJT1513" s="879"/>
      <c r="AJU1513" s="879"/>
      <c r="AJV1513" s="879"/>
      <c r="AJW1513" s="879"/>
      <c r="AJX1513" s="879"/>
      <c r="AJY1513" s="879"/>
      <c r="AJZ1513" s="879"/>
      <c r="AKA1513" s="879"/>
      <c r="AKB1513" s="879"/>
      <c r="AKC1513" s="879"/>
      <c r="AKD1513" s="879"/>
      <c r="AKE1513" s="879"/>
      <c r="AKF1513" s="879"/>
      <c r="AKG1513" s="879"/>
      <c r="AKH1513" s="879"/>
      <c r="AKI1513" s="879"/>
      <c r="AKJ1513" s="879"/>
      <c r="AKK1513" s="879"/>
      <c r="AKL1513" s="879"/>
      <c r="AKM1513" s="879"/>
      <c r="AKN1513" s="879"/>
      <c r="AKO1513" s="879"/>
      <c r="AKP1513" s="879"/>
      <c r="AKQ1513" s="879"/>
      <c r="AKR1513" s="879"/>
      <c r="AKS1513" s="879"/>
      <c r="AKT1513" s="879"/>
      <c r="AKU1513" s="879"/>
      <c r="AKV1513" s="879"/>
      <c r="AKW1513" s="879"/>
      <c r="AKX1513" s="879"/>
      <c r="AKY1513" s="879"/>
      <c r="AKZ1513" s="879"/>
      <c r="ALA1513" s="879"/>
      <c r="ALB1513" s="879"/>
      <c r="ALC1513" s="879"/>
      <c r="ALD1513" s="879"/>
      <c r="ALE1513" s="879"/>
      <c r="ALF1513" s="879"/>
      <c r="ALG1513" s="879"/>
      <c r="ALH1513" s="879"/>
      <c r="ALI1513" s="879"/>
      <c r="ALJ1513" s="879"/>
      <c r="ALK1513" s="879"/>
      <c r="ALL1513" s="879"/>
      <c r="ALM1513" s="879"/>
      <c r="ALN1513" s="879"/>
      <c r="ALO1513" s="879"/>
      <c r="ALP1513" s="879"/>
      <c r="ALQ1513" s="879"/>
      <c r="ALR1513" s="879"/>
      <c r="ALS1513" s="879"/>
      <c r="ALT1513" s="879"/>
      <c r="ALU1513" s="879"/>
      <c r="ALV1513" s="879"/>
      <c r="ALW1513" s="879"/>
      <c r="ALX1513" s="879"/>
      <c r="ALY1513" s="879"/>
      <c r="ALZ1513" s="879"/>
      <c r="AMA1513" s="879"/>
      <c r="AMB1513" s="879"/>
      <c r="AMC1513" s="879"/>
      <c r="AMD1513" s="879"/>
      <c r="AME1513" s="879"/>
      <c r="AMF1513" s="879"/>
      <c r="AMG1513" s="879"/>
      <c r="AMH1513" s="879"/>
      <c r="AMI1513" s="879"/>
      <c r="AMJ1513" s="879"/>
      <c r="AMK1513" s="879"/>
      <c r="AML1513" s="879"/>
      <c r="AMM1513" s="879"/>
      <c r="AMN1513" s="879"/>
      <c r="AMO1513" s="879"/>
      <c r="AMP1513" s="879"/>
      <c r="AMQ1513" s="879"/>
      <c r="AMR1513" s="879"/>
      <c r="AMS1513" s="879"/>
      <c r="AMT1513" s="879"/>
      <c r="AMU1513" s="879"/>
      <c r="AMV1513" s="879"/>
      <c r="AMW1513" s="879"/>
      <c r="AMX1513" s="879"/>
      <c r="AMY1513" s="879"/>
      <c r="AMZ1513" s="879"/>
      <c r="ANA1513" s="879"/>
      <c r="ANB1513" s="879"/>
      <c r="ANC1513" s="879"/>
      <c r="AND1513" s="879"/>
      <c r="ANE1513" s="879"/>
      <c r="ANF1513" s="879"/>
      <c r="ANG1513" s="879"/>
      <c r="ANH1513" s="879"/>
      <c r="ANI1513" s="879"/>
      <c r="ANJ1513" s="879"/>
      <c r="ANK1513" s="879"/>
      <c r="ANL1513" s="879"/>
      <c r="ANM1513" s="879"/>
      <c r="ANN1513" s="879"/>
      <c r="ANO1513" s="879"/>
      <c r="ANP1513" s="879"/>
      <c r="ANQ1513" s="879"/>
      <c r="ANR1513" s="879"/>
      <c r="ANS1513" s="879"/>
      <c r="ANT1513" s="879"/>
      <c r="ANU1513" s="879"/>
      <c r="ANV1513" s="879"/>
      <c r="ANW1513" s="879"/>
      <c r="ANX1513" s="879"/>
      <c r="ANY1513" s="879"/>
      <c r="ANZ1513" s="879"/>
      <c r="AOA1513" s="879"/>
      <c r="AOB1513" s="879"/>
      <c r="AOC1513" s="879"/>
      <c r="AOD1513" s="879"/>
      <c r="AOE1513" s="879"/>
      <c r="AOF1513" s="879"/>
      <c r="AOG1513" s="879"/>
      <c r="AOH1513" s="879"/>
      <c r="AOI1513" s="879"/>
      <c r="AOJ1513" s="879"/>
      <c r="AOK1513" s="879"/>
      <c r="AOL1513" s="879"/>
      <c r="AOM1513" s="879"/>
      <c r="AON1513" s="879"/>
      <c r="AOO1513" s="879"/>
      <c r="AOP1513" s="879"/>
      <c r="AOQ1513" s="879"/>
      <c r="AOR1513" s="879"/>
      <c r="AOS1513" s="879"/>
      <c r="AOT1513" s="879"/>
      <c r="AOU1513" s="879"/>
      <c r="AOV1513" s="879"/>
      <c r="AOW1513" s="879"/>
      <c r="AOX1513" s="879"/>
      <c r="AOY1513" s="879"/>
      <c r="AOZ1513" s="879"/>
      <c r="APA1513" s="879"/>
      <c r="APB1513" s="879"/>
      <c r="APC1513" s="879"/>
      <c r="APD1513" s="879"/>
      <c r="APE1513" s="879"/>
      <c r="APF1513" s="879"/>
      <c r="APG1513" s="879"/>
      <c r="APH1513" s="879"/>
      <c r="API1513" s="879"/>
      <c r="APJ1513" s="879"/>
      <c r="APK1513" s="879"/>
      <c r="APL1513" s="879"/>
      <c r="APM1513" s="879"/>
      <c r="APN1513" s="879"/>
      <c r="APO1513" s="879"/>
      <c r="APP1513" s="879"/>
      <c r="APQ1513" s="879"/>
      <c r="APR1513" s="879"/>
      <c r="APS1513" s="879"/>
      <c r="APT1513" s="879"/>
      <c r="APU1513" s="879"/>
      <c r="APV1513" s="879"/>
      <c r="APW1513" s="879"/>
      <c r="APX1513" s="879"/>
      <c r="APY1513" s="879"/>
      <c r="APZ1513" s="879"/>
      <c r="AQA1513" s="879"/>
      <c r="AQB1513" s="879"/>
      <c r="AQC1513" s="879"/>
      <c r="AQD1513" s="879"/>
      <c r="AQE1513" s="879"/>
      <c r="AQF1513" s="879"/>
      <c r="AQG1513" s="879"/>
      <c r="AQH1513" s="879"/>
      <c r="AQI1513" s="879"/>
      <c r="AQJ1513" s="879"/>
      <c r="AQK1513" s="879"/>
      <c r="AQL1513" s="879"/>
      <c r="AQM1513" s="879"/>
      <c r="AQN1513" s="879"/>
      <c r="AQO1513" s="879"/>
      <c r="AQP1513" s="879"/>
      <c r="AQQ1513" s="879"/>
      <c r="AQR1513" s="879"/>
      <c r="AQS1513" s="879"/>
      <c r="AQT1513" s="879"/>
      <c r="AQU1513" s="879"/>
      <c r="AQV1513" s="879"/>
      <c r="AQW1513" s="879"/>
      <c r="AQX1513" s="879"/>
      <c r="AQY1513" s="879"/>
      <c r="AQZ1513" s="879"/>
      <c r="ARA1513" s="879"/>
      <c r="ARB1513" s="879"/>
      <c r="ARC1513" s="879"/>
      <c r="ARD1513" s="879"/>
      <c r="ARE1513" s="879"/>
      <c r="ARF1513" s="879"/>
      <c r="ARG1513" s="879"/>
      <c r="ARH1513" s="879"/>
      <c r="ARI1513" s="879"/>
      <c r="ARJ1513" s="879"/>
      <c r="ARK1513" s="879"/>
      <c r="ARL1513" s="879"/>
      <c r="ARM1513" s="879"/>
      <c r="ARN1513" s="879"/>
      <c r="ARO1513" s="879"/>
      <c r="ARP1513" s="879"/>
      <c r="ARQ1513" s="879"/>
      <c r="ARR1513" s="879"/>
      <c r="ARS1513" s="879"/>
      <c r="ART1513" s="879"/>
      <c r="ARU1513" s="879"/>
      <c r="ARV1513" s="879"/>
      <c r="ARW1513" s="879"/>
      <c r="ARX1513" s="879"/>
      <c r="ARY1513" s="879"/>
      <c r="ARZ1513" s="879"/>
      <c r="ASA1513" s="879"/>
      <c r="ASB1513" s="879"/>
      <c r="ASC1513" s="879"/>
      <c r="ASD1513" s="879"/>
      <c r="ASE1513" s="879"/>
      <c r="ASF1513" s="879"/>
      <c r="ASG1513" s="879"/>
      <c r="ASH1513" s="879"/>
      <c r="ASI1513" s="879"/>
      <c r="ASJ1513" s="879"/>
      <c r="ASK1513" s="879"/>
      <c r="ASL1513" s="879"/>
      <c r="ASM1513" s="879"/>
      <c r="ASN1513" s="879"/>
      <c r="ASO1513" s="879"/>
      <c r="ASP1513" s="879"/>
      <c r="ASQ1513" s="879"/>
      <c r="ASR1513" s="879"/>
      <c r="ASS1513" s="879"/>
      <c r="AST1513" s="879"/>
      <c r="ASU1513" s="879"/>
      <c r="ASV1513" s="879"/>
      <c r="ASW1513" s="879"/>
      <c r="ASX1513" s="879"/>
      <c r="ASY1513" s="879"/>
      <c r="ASZ1513" s="879"/>
      <c r="ATA1513" s="879"/>
      <c r="ATB1513" s="879"/>
      <c r="ATC1513" s="879"/>
      <c r="ATD1513" s="879"/>
      <c r="ATE1513" s="879"/>
      <c r="ATF1513" s="879"/>
      <c r="ATG1513" s="879"/>
      <c r="ATH1513" s="879"/>
      <c r="ATI1513" s="879"/>
      <c r="ATJ1513" s="879"/>
      <c r="ATK1513" s="879"/>
      <c r="ATL1513" s="879"/>
      <c r="ATM1513" s="879"/>
      <c r="ATN1513" s="879"/>
      <c r="ATO1513" s="879"/>
      <c r="ATP1513" s="879"/>
      <c r="ATQ1513" s="879"/>
      <c r="ATR1513" s="879"/>
      <c r="ATS1513" s="879"/>
      <c r="ATT1513" s="879"/>
      <c r="ATU1513" s="879"/>
      <c r="ATV1513" s="879"/>
      <c r="ATW1513" s="879"/>
      <c r="ATX1513" s="879"/>
      <c r="ATY1513" s="879"/>
      <c r="ATZ1513" s="879"/>
      <c r="AUA1513" s="879"/>
      <c r="AUB1513" s="879"/>
      <c r="AUC1513" s="879"/>
      <c r="AUD1513" s="879"/>
      <c r="AUE1513" s="879"/>
      <c r="AUF1513" s="879"/>
      <c r="AUG1513" s="879"/>
      <c r="AUH1513" s="879"/>
      <c r="AUI1513" s="879"/>
      <c r="AUJ1513" s="879"/>
      <c r="AUK1513" s="879"/>
      <c r="AUL1513" s="879"/>
      <c r="AUM1513" s="879"/>
      <c r="AUN1513" s="879"/>
      <c r="AUO1513" s="879"/>
      <c r="AUP1513" s="879"/>
      <c r="AUQ1513" s="879"/>
      <c r="AUR1513" s="879"/>
      <c r="AUS1513" s="879"/>
      <c r="AUT1513" s="879"/>
      <c r="AUU1513" s="879"/>
      <c r="AUV1513" s="879"/>
      <c r="AUW1513" s="879"/>
      <c r="AUX1513" s="879"/>
      <c r="AUY1513" s="879"/>
      <c r="AUZ1513" s="879"/>
      <c r="AVA1513" s="879"/>
      <c r="AVB1513" s="879"/>
      <c r="AVC1513" s="879"/>
      <c r="AVD1513" s="879"/>
      <c r="AVE1513" s="879"/>
      <c r="AVF1513" s="879"/>
      <c r="AVG1513" s="879"/>
      <c r="AVH1513" s="879"/>
      <c r="AVI1513" s="879"/>
      <c r="AVJ1513" s="879"/>
      <c r="AVK1513" s="879"/>
      <c r="AVL1513" s="879"/>
      <c r="AVM1513" s="879"/>
      <c r="AVN1513" s="879"/>
      <c r="AVO1513" s="879"/>
      <c r="AVP1513" s="879"/>
      <c r="AVQ1513" s="879"/>
      <c r="AVR1513" s="879"/>
      <c r="AVS1513" s="879"/>
      <c r="AVT1513" s="879"/>
      <c r="AVU1513" s="879"/>
      <c r="AVV1513" s="879"/>
      <c r="AVW1513" s="879"/>
      <c r="AVX1513" s="879"/>
      <c r="AVY1513" s="879"/>
      <c r="AVZ1513" s="879"/>
      <c r="AWA1513" s="879"/>
      <c r="AWB1513" s="879"/>
      <c r="AWC1513" s="879"/>
      <c r="AWD1513" s="879"/>
      <c r="AWE1513" s="879"/>
      <c r="AWF1513" s="879"/>
      <c r="AWG1513" s="879"/>
      <c r="AWH1513" s="879"/>
      <c r="AWI1513" s="879"/>
      <c r="AWJ1513" s="879"/>
      <c r="AWK1513" s="879"/>
      <c r="AWL1513" s="879"/>
      <c r="AWM1513" s="879"/>
      <c r="AWN1513" s="879"/>
      <c r="AWO1513" s="879"/>
      <c r="AWP1513" s="879"/>
      <c r="AWQ1513" s="879"/>
      <c r="AWR1513" s="879"/>
      <c r="AWS1513" s="879"/>
      <c r="AWT1513" s="879"/>
      <c r="AWU1513" s="879"/>
      <c r="AWV1513" s="879"/>
      <c r="AWW1513" s="879"/>
      <c r="AWX1513" s="879"/>
      <c r="AWY1513" s="879"/>
      <c r="AWZ1513" s="879"/>
      <c r="AXA1513" s="879"/>
      <c r="AXB1513" s="879"/>
      <c r="AXC1513" s="879"/>
      <c r="AXD1513" s="879"/>
      <c r="AXE1513" s="879"/>
      <c r="AXF1513" s="879"/>
      <c r="AXG1513" s="879"/>
      <c r="AXH1513" s="879"/>
      <c r="AXI1513" s="879"/>
      <c r="AXJ1513" s="879"/>
      <c r="AXK1513" s="879"/>
      <c r="AXL1513" s="879"/>
      <c r="AXM1513" s="879"/>
      <c r="AXN1513" s="879"/>
      <c r="AXO1513" s="879"/>
      <c r="AXP1513" s="879"/>
      <c r="AXQ1513" s="879"/>
      <c r="AXR1513" s="879"/>
      <c r="AXS1513" s="879"/>
      <c r="AXT1513" s="879"/>
      <c r="AXU1513" s="879"/>
      <c r="AXV1513" s="879"/>
      <c r="AXW1513" s="879"/>
      <c r="AXX1513" s="879"/>
      <c r="AXY1513" s="879"/>
      <c r="AXZ1513" s="879"/>
      <c r="AYA1513" s="879"/>
      <c r="AYB1513" s="879"/>
      <c r="AYC1513" s="879"/>
      <c r="AYD1513" s="879"/>
      <c r="AYE1513" s="879"/>
      <c r="AYF1513" s="879"/>
      <c r="AYG1513" s="879"/>
      <c r="AYH1513" s="879"/>
      <c r="AYI1513" s="879"/>
      <c r="AYJ1513" s="879"/>
      <c r="AYK1513" s="879"/>
      <c r="AYL1513" s="879"/>
      <c r="AYM1513" s="879"/>
      <c r="AYN1513" s="879"/>
      <c r="AYO1513" s="879"/>
      <c r="AYP1513" s="879"/>
      <c r="AYQ1513" s="879"/>
      <c r="AYR1513" s="879"/>
      <c r="AYS1513" s="879"/>
      <c r="AYT1513" s="879"/>
      <c r="AYU1513" s="879"/>
      <c r="AYV1513" s="879"/>
      <c r="AYW1513" s="879"/>
      <c r="AYX1513" s="879"/>
      <c r="AYY1513" s="879"/>
      <c r="AYZ1513" s="879"/>
      <c r="AZA1513" s="879"/>
      <c r="AZB1513" s="879"/>
      <c r="AZC1513" s="879"/>
      <c r="AZD1513" s="879"/>
      <c r="AZE1513" s="879"/>
      <c r="AZF1513" s="879"/>
      <c r="AZG1513" s="879"/>
      <c r="AZH1513" s="879"/>
      <c r="AZI1513" s="879"/>
      <c r="AZJ1513" s="879"/>
      <c r="AZK1513" s="879"/>
      <c r="AZL1513" s="879"/>
      <c r="AZM1513" s="879"/>
      <c r="AZN1513" s="879"/>
      <c r="AZO1513" s="879"/>
      <c r="AZP1513" s="879"/>
      <c r="AZQ1513" s="879"/>
      <c r="AZR1513" s="879"/>
      <c r="AZS1513" s="879"/>
      <c r="AZT1513" s="879"/>
      <c r="AZU1513" s="879"/>
      <c r="AZV1513" s="879"/>
      <c r="AZW1513" s="879"/>
      <c r="AZX1513" s="879"/>
      <c r="AZY1513" s="879"/>
      <c r="AZZ1513" s="879"/>
      <c r="BAA1513" s="879"/>
      <c r="BAB1513" s="879"/>
      <c r="BAC1513" s="879"/>
      <c r="BAD1513" s="879"/>
      <c r="BAE1513" s="879"/>
      <c r="BAF1513" s="879"/>
      <c r="BAG1513" s="879"/>
      <c r="BAH1513" s="879"/>
      <c r="BAI1513" s="879"/>
      <c r="BAJ1513" s="879"/>
      <c r="BAK1513" s="879"/>
      <c r="BAL1513" s="879"/>
      <c r="BAM1513" s="879"/>
      <c r="BAN1513" s="879"/>
      <c r="BAO1513" s="879"/>
      <c r="BAP1513" s="879"/>
      <c r="BAQ1513" s="879"/>
      <c r="BAR1513" s="879"/>
      <c r="BAS1513" s="879"/>
      <c r="BAT1513" s="879"/>
      <c r="BAU1513" s="879"/>
      <c r="BAV1513" s="879"/>
      <c r="BAW1513" s="879"/>
      <c r="BAX1513" s="879"/>
      <c r="BAY1513" s="879"/>
      <c r="BAZ1513" s="879"/>
      <c r="BBA1513" s="879"/>
      <c r="BBB1513" s="879"/>
      <c r="BBC1513" s="879"/>
      <c r="BBD1513" s="879"/>
      <c r="BBE1513" s="879"/>
      <c r="BBF1513" s="879"/>
      <c r="BBG1513" s="879"/>
      <c r="BBH1513" s="879"/>
      <c r="BBI1513" s="879"/>
      <c r="BBJ1513" s="879"/>
      <c r="BBK1513" s="879"/>
      <c r="BBL1513" s="879"/>
      <c r="BBM1513" s="879"/>
      <c r="BBN1513" s="879"/>
      <c r="BBO1513" s="879"/>
      <c r="BBP1513" s="879"/>
      <c r="BBQ1513" s="879"/>
      <c r="BBR1513" s="879"/>
      <c r="BBS1513" s="879"/>
      <c r="BBT1513" s="879"/>
      <c r="BBU1513" s="879"/>
      <c r="BBV1513" s="879"/>
      <c r="BBW1513" s="879"/>
      <c r="BBX1513" s="879"/>
      <c r="BBY1513" s="879"/>
      <c r="BBZ1513" s="879"/>
      <c r="BCA1513" s="879"/>
      <c r="BCB1513" s="879"/>
      <c r="BCC1513" s="879"/>
      <c r="BCD1513" s="879"/>
      <c r="BCE1513" s="879"/>
      <c r="BCF1513" s="879"/>
      <c r="BCG1513" s="879"/>
      <c r="BCH1513" s="879"/>
      <c r="BCI1513" s="879"/>
      <c r="BCJ1513" s="879"/>
      <c r="BCK1513" s="879"/>
      <c r="BCL1513" s="879"/>
      <c r="BCM1513" s="879"/>
      <c r="BCN1513" s="879"/>
      <c r="BCO1513" s="879"/>
      <c r="BCP1513" s="879"/>
      <c r="BCQ1513" s="879"/>
      <c r="BCR1513" s="879"/>
      <c r="BCS1513" s="879"/>
      <c r="BCT1513" s="879"/>
      <c r="BCU1513" s="879"/>
      <c r="BCV1513" s="879"/>
      <c r="BCW1513" s="879"/>
      <c r="BCX1513" s="879"/>
      <c r="BCY1513" s="879"/>
      <c r="BCZ1513" s="879"/>
      <c r="BDA1513" s="879"/>
      <c r="BDB1513" s="879"/>
      <c r="BDC1513" s="879"/>
      <c r="BDD1513" s="879"/>
      <c r="BDE1513" s="879"/>
      <c r="BDF1513" s="879"/>
      <c r="BDG1513" s="879"/>
      <c r="BDH1513" s="879"/>
      <c r="BDI1513" s="879"/>
      <c r="BDJ1513" s="879"/>
      <c r="BDK1513" s="879"/>
      <c r="BDL1513" s="879"/>
      <c r="BDM1513" s="879"/>
      <c r="BDN1513" s="879"/>
      <c r="BDO1513" s="879"/>
      <c r="BDP1513" s="879"/>
      <c r="BDQ1513" s="879"/>
      <c r="BDR1513" s="879"/>
      <c r="BDS1513" s="879"/>
      <c r="BDT1513" s="879"/>
      <c r="BDU1513" s="879"/>
      <c r="BDV1513" s="879"/>
      <c r="BDW1513" s="879"/>
      <c r="BDX1513" s="879"/>
      <c r="BDY1513" s="879"/>
      <c r="BDZ1513" s="879"/>
      <c r="BEA1513" s="879"/>
      <c r="BEB1513" s="879"/>
      <c r="BEC1513" s="879"/>
      <c r="BED1513" s="879"/>
      <c r="BEE1513" s="879"/>
      <c r="BEF1513" s="879"/>
      <c r="BEG1513" s="879"/>
      <c r="BEH1513" s="879"/>
      <c r="BEI1513" s="879"/>
      <c r="BEJ1513" s="879"/>
      <c r="BEK1513" s="879"/>
      <c r="BEL1513" s="879"/>
      <c r="BEM1513" s="879"/>
      <c r="BEN1513" s="879"/>
      <c r="BEO1513" s="879"/>
      <c r="BEP1513" s="879"/>
      <c r="BEQ1513" s="879"/>
      <c r="BER1513" s="879"/>
      <c r="BES1513" s="879"/>
      <c r="BET1513" s="879"/>
      <c r="BEU1513" s="879"/>
      <c r="BEV1513" s="879"/>
      <c r="BEW1513" s="879"/>
      <c r="BEX1513" s="879"/>
      <c r="BEY1513" s="879"/>
      <c r="BEZ1513" s="879"/>
      <c r="BFA1513" s="879"/>
      <c r="BFB1513" s="879"/>
      <c r="BFC1513" s="879"/>
      <c r="BFD1513" s="879"/>
      <c r="BFE1513" s="879"/>
      <c r="BFF1513" s="879"/>
      <c r="BFG1513" s="879"/>
      <c r="BFH1513" s="879"/>
      <c r="BFI1513" s="879"/>
      <c r="BFJ1513" s="879"/>
      <c r="BFK1513" s="879"/>
      <c r="BFL1513" s="879"/>
      <c r="BFM1513" s="879"/>
      <c r="BFN1513" s="879"/>
      <c r="BFO1513" s="879"/>
      <c r="BFP1513" s="879"/>
      <c r="BFQ1513" s="879"/>
      <c r="BFR1513" s="879"/>
      <c r="BFS1513" s="879"/>
      <c r="BFT1513" s="879"/>
      <c r="BFU1513" s="879"/>
      <c r="BFV1513" s="879"/>
      <c r="BFW1513" s="879"/>
      <c r="BFX1513" s="879"/>
      <c r="BFY1513" s="879"/>
      <c r="BFZ1513" s="879"/>
      <c r="BGA1513" s="879"/>
      <c r="BGB1513" s="879"/>
      <c r="BGC1513" s="879"/>
      <c r="BGD1513" s="879"/>
      <c r="BGE1513" s="879"/>
      <c r="BGF1513" s="879"/>
      <c r="BGG1513" s="879"/>
      <c r="BGH1513" s="879"/>
      <c r="BGI1513" s="879"/>
      <c r="BGJ1513" s="879"/>
      <c r="BGK1513" s="879"/>
      <c r="BGL1513" s="879"/>
      <c r="BGM1513" s="879"/>
      <c r="BGN1513" s="879"/>
      <c r="BGO1513" s="879"/>
      <c r="BGP1513" s="879"/>
      <c r="BGQ1513" s="879"/>
      <c r="BGR1513" s="879"/>
      <c r="BGS1513" s="879"/>
      <c r="BGT1513" s="879"/>
      <c r="BGU1513" s="879"/>
      <c r="BGV1513" s="879"/>
      <c r="BGW1513" s="879"/>
      <c r="BGX1513" s="879"/>
      <c r="BGY1513" s="879"/>
      <c r="BGZ1513" s="879"/>
      <c r="BHA1513" s="879"/>
      <c r="BHB1513" s="879"/>
      <c r="BHC1513" s="879"/>
      <c r="BHD1513" s="879"/>
      <c r="BHE1513" s="879"/>
      <c r="BHF1513" s="879"/>
      <c r="BHG1513" s="879"/>
      <c r="BHH1513" s="879"/>
      <c r="BHI1513" s="879"/>
      <c r="BHJ1513" s="879"/>
      <c r="BHK1513" s="879"/>
      <c r="BHL1513" s="879"/>
      <c r="BHM1513" s="879"/>
      <c r="BHN1513" s="879"/>
      <c r="BHO1513" s="879"/>
      <c r="BHP1513" s="879"/>
      <c r="BHQ1513" s="879"/>
      <c r="BHR1513" s="879"/>
      <c r="BHS1513" s="879"/>
      <c r="BHT1513" s="879"/>
      <c r="BHU1513" s="879"/>
      <c r="BHV1513" s="879"/>
      <c r="BHW1513" s="879"/>
      <c r="BHX1513" s="879"/>
      <c r="BHY1513" s="879"/>
      <c r="BHZ1513" s="879"/>
      <c r="BIA1513" s="879"/>
      <c r="BIB1513" s="879"/>
      <c r="BIC1513" s="879"/>
      <c r="BID1513" s="879"/>
      <c r="BIE1513" s="879"/>
      <c r="BIF1513" s="879"/>
      <c r="BIG1513" s="879"/>
      <c r="BIH1513" s="879"/>
      <c r="BII1513" s="879"/>
      <c r="BIJ1513" s="879"/>
      <c r="BIK1513" s="879"/>
      <c r="BIL1513" s="879"/>
      <c r="BIM1513" s="879"/>
      <c r="BIN1513" s="879"/>
      <c r="BIO1513" s="879"/>
      <c r="BIP1513" s="879"/>
      <c r="BIQ1513" s="879"/>
      <c r="BIR1513" s="879"/>
      <c r="BIS1513" s="879"/>
      <c r="BIT1513" s="879"/>
      <c r="BIU1513" s="879"/>
      <c r="BIV1513" s="879"/>
      <c r="BIW1513" s="879"/>
      <c r="BIX1513" s="879"/>
      <c r="BIY1513" s="879"/>
      <c r="BIZ1513" s="879"/>
      <c r="BJA1513" s="879"/>
      <c r="BJB1513" s="879"/>
      <c r="BJC1513" s="879"/>
      <c r="BJD1513" s="879"/>
      <c r="BJE1513" s="879"/>
      <c r="BJF1513" s="879"/>
      <c r="BJG1513" s="879"/>
      <c r="BJH1513" s="879"/>
      <c r="BJI1513" s="879"/>
      <c r="BJJ1513" s="879"/>
      <c r="BJK1513" s="879"/>
      <c r="BJL1513" s="879"/>
      <c r="BJM1513" s="879"/>
      <c r="BJN1513" s="879"/>
      <c r="BJO1513" s="879"/>
      <c r="BJP1513" s="879"/>
      <c r="BJQ1513" s="879"/>
      <c r="BJR1513" s="879"/>
      <c r="BJS1513" s="879"/>
      <c r="BJT1513" s="879"/>
      <c r="BJU1513" s="879"/>
      <c r="BJV1513" s="879"/>
      <c r="BJW1513" s="879"/>
      <c r="BJX1513" s="879"/>
      <c r="BJY1513" s="879"/>
      <c r="BJZ1513" s="879"/>
      <c r="BKA1513" s="879"/>
      <c r="BKB1513" s="879"/>
      <c r="BKC1513" s="879"/>
      <c r="BKD1513" s="879"/>
      <c r="BKE1513" s="879"/>
      <c r="BKF1513" s="879"/>
      <c r="BKG1513" s="879"/>
      <c r="BKH1513" s="879"/>
      <c r="BKI1513" s="879"/>
      <c r="BKJ1513" s="879"/>
      <c r="BKK1513" s="879"/>
      <c r="BKL1513" s="879"/>
      <c r="BKM1513" s="879"/>
      <c r="BKN1513" s="879"/>
      <c r="BKO1513" s="879"/>
      <c r="BKP1513" s="879"/>
      <c r="BKQ1513" s="879"/>
      <c r="BKR1513" s="879"/>
      <c r="BKS1513" s="879"/>
      <c r="BKT1513" s="879"/>
      <c r="BKU1513" s="879"/>
      <c r="BKV1513" s="879"/>
      <c r="BKW1513" s="879"/>
      <c r="BKX1513" s="879"/>
      <c r="BKY1513" s="879"/>
      <c r="BKZ1513" s="879"/>
      <c r="BLA1513" s="879"/>
      <c r="BLB1513" s="879"/>
      <c r="BLC1513" s="879"/>
      <c r="BLD1513" s="879"/>
      <c r="BLE1513" s="879"/>
      <c r="BLF1513" s="879"/>
      <c r="BLG1513" s="879"/>
      <c r="BLH1513" s="879"/>
      <c r="BLI1513" s="879"/>
      <c r="BLJ1513" s="879"/>
      <c r="BLK1513" s="879"/>
      <c r="BLL1513" s="879"/>
      <c r="BLM1513" s="879"/>
      <c r="BLN1513" s="879"/>
      <c r="BLO1513" s="879"/>
      <c r="BLP1513" s="879"/>
      <c r="BLQ1513" s="879"/>
      <c r="BLR1513" s="879"/>
      <c r="BLS1513" s="879"/>
      <c r="BLT1513" s="879"/>
      <c r="BLU1513" s="879"/>
      <c r="BLV1513" s="879"/>
      <c r="BLW1513" s="879"/>
      <c r="BLX1513" s="879"/>
      <c r="BLY1513" s="879"/>
      <c r="BLZ1513" s="879"/>
      <c r="BMA1513" s="879"/>
      <c r="BMB1513" s="879"/>
      <c r="BMC1513" s="879"/>
      <c r="BMD1513" s="879"/>
      <c r="BME1513" s="879"/>
      <c r="BMF1513" s="879"/>
      <c r="BMG1513" s="879"/>
      <c r="BMH1513" s="879"/>
      <c r="BMI1513" s="879"/>
      <c r="BMJ1513" s="879"/>
      <c r="BMK1513" s="879"/>
      <c r="BML1513" s="879"/>
      <c r="BMM1513" s="879"/>
      <c r="BMN1513" s="879"/>
      <c r="BMO1513" s="879"/>
      <c r="BMP1513" s="879"/>
      <c r="BMQ1513" s="879"/>
      <c r="BMR1513" s="879"/>
      <c r="BMS1513" s="879"/>
      <c r="BMT1513" s="879"/>
      <c r="BMU1513" s="879"/>
      <c r="BMV1513" s="879"/>
      <c r="BMW1513" s="879"/>
      <c r="BMX1513" s="879"/>
      <c r="BMY1513" s="879"/>
      <c r="BMZ1513" s="879"/>
      <c r="BNA1513" s="879"/>
      <c r="BNB1513" s="879"/>
      <c r="BNC1513" s="879"/>
      <c r="BND1513" s="879"/>
      <c r="BNE1513" s="879"/>
      <c r="BNF1513" s="879"/>
      <c r="BNG1513" s="879"/>
      <c r="BNH1513" s="879"/>
      <c r="BNI1513" s="879"/>
      <c r="BNJ1513" s="879"/>
      <c r="BNK1513" s="879"/>
      <c r="BNL1513" s="879"/>
      <c r="BNM1513" s="879"/>
      <c r="BNN1513" s="879"/>
      <c r="BNO1513" s="879"/>
      <c r="BNP1513" s="879"/>
      <c r="BNQ1513" s="879"/>
      <c r="BNR1513" s="879"/>
      <c r="BNS1513" s="879"/>
      <c r="BNT1513" s="879"/>
      <c r="BNU1513" s="879"/>
      <c r="BNV1513" s="879"/>
      <c r="BNW1513" s="879"/>
      <c r="BNX1513" s="879"/>
      <c r="BNY1513" s="879"/>
      <c r="BNZ1513" s="879"/>
      <c r="BOA1513" s="879"/>
      <c r="BOB1513" s="879"/>
      <c r="BOC1513" s="879"/>
      <c r="BOD1513" s="879"/>
      <c r="BOE1513" s="879"/>
      <c r="BOF1513" s="879"/>
      <c r="BOG1513" s="879"/>
      <c r="BOH1513" s="879"/>
      <c r="BOI1513" s="879"/>
      <c r="BOJ1513" s="879"/>
      <c r="BOK1513" s="879"/>
      <c r="BOL1513" s="879"/>
      <c r="BOM1513" s="879"/>
      <c r="BON1513" s="879"/>
      <c r="BOO1513" s="879"/>
      <c r="BOP1513" s="879"/>
      <c r="BOQ1513" s="879"/>
      <c r="BOR1513" s="879"/>
      <c r="BOS1513" s="879"/>
      <c r="BOT1513" s="879"/>
      <c r="BOU1513" s="879"/>
      <c r="BOV1513" s="879"/>
      <c r="BOW1513" s="879"/>
      <c r="BOX1513" s="879"/>
      <c r="BOY1513" s="879"/>
      <c r="BOZ1513" s="879"/>
      <c r="BPA1513" s="879"/>
      <c r="BPB1513" s="879"/>
      <c r="BPC1513" s="879"/>
      <c r="BPD1513" s="879"/>
      <c r="BPE1513" s="879"/>
      <c r="BPF1513" s="879"/>
      <c r="BPG1513" s="879"/>
      <c r="BPH1513" s="879"/>
      <c r="BPI1513" s="879"/>
      <c r="BPJ1513" s="879"/>
      <c r="BPK1513" s="879"/>
      <c r="BPL1513" s="879"/>
      <c r="BPM1513" s="879"/>
      <c r="BPN1513" s="879"/>
      <c r="BPO1513" s="879"/>
      <c r="BPP1513" s="879"/>
      <c r="BPQ1513" s="879"/>
      <c r="BPR1513" s="879"/>
      <c r="BPS1513" s="879"/>
      <c r="BPT1513" s="879"/>
      <c r="BPU1513" s="879"/>
      <c r="BPV1513" s="879"/>
      <c r="BPW1513" s="879"/>
      <c r="BPX1513" s="879"/>
      <c r="BPY1513" s="879"/>
      <c r="BPZ1513" s="879"/>
      <c r="BQA1513" s="879"/>
      <c r="BQB1513" s="879"/>
      <c r="BQC1513" s="879"/>
      <c r="BQD1513" s="879"/>
      <c r="BQE1513" s="879"/>
      <c r="BQF1513" s="879"/>
      <c r="BQG1513" s="879"/>
      <c r="BQH1513" s="879"/>
      <c r="BQI1513" s="879"/>
      <c r="BQJ1513" s="879"/>
      <c r="BQK1513" s="879"/>
      <c r="BQL1513" s="879"/>
      <c r="BQM1513" s="879"/>
      <c r="BQN1513" s="879"/>
      <c r="BQO1513" s="879"/>
      <c r="BQP1513" s="879"/>
      <c r="BQQ1513" s="879"/>
      <c r="BQR1513" s="879"/>
      <c r="BQS1513" s="879"/>
      <c r="BQT1513" s="879"/>
      <c r="BQU1513" s="879"/>
      <c r="BQV1513" s="879"/>
      <c r="BQW1513" s="879"/>
      <c r="BQX1513" s="879"/>
      <c r="BQY1513" s="879"/>
      <c r="BQZ1513" s="879"/>
      <c r="BRA1513" s="879"/>
      <c r="BRB1513" s="879"/>
      <c r="BRC1513" s="879"/>
      <c r="BRD1513" s="879"/>
      <c r="BRE1513" s="879"/>
      <c r="BRF1513" s="879"/>
      <c r="BRG1513" s="879"/>
      <c r="BRH1513" s="879"/>
      <c r="BRI1513" s="879"/>
      <c r="BRJ1513" s="879"/>
      <c r="BRK1513" s="879"/>
      <c r="BRL1513" s="879"/>
      <c r="BRM1513" s="879"/>
      <c r="BRN1513" s="879"/>
      <c r="BRO1513" s="879"/>
      <c r="BRP1513" s="879"/>
      <c r="BRQ1513" s="879"/>
      <c r="BRR1513" s="879"/>
      <c r="BRS1513" s="879"/>
      <c r="BRT1513" s="879"/>
      <c r="BRU1513" s="879"/>
      <c r="BRV1513" s="879"/>
      <c r="BRW1513" s="879"/>
      <c r="BRX1513" s="879"/>
      <c r="BRY1513" s="879"/>
      <c r="BRZ1513" s="879"/>
      <c r="BSA1513" s="879"/>
      <c r="BSB1513" s="879"/>
      <c r="BSC1513" s="879"/>
      <c r="BSD1513" s="879"/>
      <c r="BSE1513" s="879"/>
      <c r="BSF1513" s="879"/>
      <c r="BSG1513" s="879"/>
      <c r="BSH1513" s="879"/>
      <c r="BSI1513" s="879"/>
      <c r="BSJ1513" s="879"/>
      <c r="BSK1513" s="879"/>
      <c r="BSL1513" s="879"/>
      <c r="BSM1513" s="879"/>
      <c r="BSN1513" s="879"/>
      <c r="BSO1513" s="879"/>
      <c r="BSP1513" s="879"/>
      <c r="BSQ1513" s="879"/>
      <c r="BSR1513" s="879"/>
      <c r="BSS1513" s="879"/>
      <c r="BST1513" s="879"/>
      <c r="BSU1513" s="879"/>
      <c r="BSV1513" s="879"/>
      <c r="BSW1513" s="879"/>
      <c r="BSX1513" s="879"/>
      <c r="BSY1513" s="879"/>
      <c r="BSZ1513" s="879"/>
      <c r="BTA1513" s="879"/>
      <c r="BTB1513" s="879"/>
      <c r="BTC1513" s="879"/>
      <c r="BTD1513" s="879"/>
      <c r="BTE1513" s="879"/>
      <c r="BTF1513" s="879"/>
      <c r="BTG1513" s="879"/>
      <c r="BTH1513" s="879"/>
      <c r="BTI1513" s="879"/>
      <c r="BTJ1513" s="879"/>
      <c r="BTK1513" s="879"/>
      <c r="BTL1513" s="879"/>
      <c r="BTM1513" s="879"/>
      <c r="BTN1513" s="879"/>
      <c r="BTO1513" s="879"/>
      <c r="BTP1513" s="879"/>
      <c r="BTQ1513" s="879"/>
      <c r="BTR1513" s="879"/>
      <c r="BTS1513" s="879"/>
      <c r="BTT1513" s="879"/>
      <c r="BTU1513" s="879"/>
      <c r="BTV1513" s="879"/>
      <c r="BTW1513" s="879"/>
      <c r="BTX1513" s="879"/>
      <c r="BTY1513" s="879"/>
      <c r="BTZ1513" s="879"/>
      <c r="BUA1513" s="879"/>
      <c r="BUB1513" s="879"/>
      <c r="BUC1513" s="879"/>
      <c r="BUD1513" s="879"/>
      <c r="BUE1513" s="879"/>
      <c r="BUF1513" s="879"/>
      <c r="BUG1513" s="879"/>
      <c r="BUH1513" s="879"/>
      <c r="BUI1513" s="879"/>
      <c r="BUJ1513" s="879"/>
      <c r="BUK1513" s="879"/>
      <c r="BUL1513" s="879"/>
      <c r="BUM1513" s="879"/>
      <c r="BUN1513" s="879"/>
      <c r="BUO1513" s="879"/>
      <c r="BUP1513" s="879"/>
      <c r="BUQ1513" s="879"/>
      <c r="BUR1513" s="879"/>
      <c r="BUS1513" s="879"/>
      <c r="BUT1513" s="879"/>
      <c r="BUU1513" s="879"/>
      <c r="BUV1513" s="879"/>
      <c r="BUW1513" s="879"/>
      <c r="BUX1513" s="879"/>
      <c r="BUY1513" s="879"/>
      <c r="BUZ1513" s="879"/>
      <c r="BVA1513" s="879"/>
      <c r="BVB1513" s="879"/>
      <c r="BVC1513" s="879"/>
      <c r="BVD1513" s="879"/>
      <c r="BVE1513" s="879"/>
      <c r="BVF1513" s="879"/>
      <c r="BVG1513" s="879"/>
      <c r="BVH1513" s="879"/>
      <c r="BVI1513" s="879"/>
      <c r="BVJ1513" s="879"/>
      <c r="BVK1513" s="879"/>
      <c r="BVL1513" s="879"/>
      <c r="BVM1513" s="879"/>
      <c r="BVN1513" s="879"/>
      <c r="BVO1513" s="879"/>
      <c r="BVP1513" s="879"/>
      <c r="BVQ1513" s="879"/>
      <c r="BVR1513" s="879"/>
      <c r="BVS1513" s="879"/>
      <c r="BVT1513" s="879"/>
      <c r="BVU1513" s="879"/>
      <c r="BVV1513" s="879"/>
      <c r="BVW1513" s="879"/>
      <c r="BVX1513" s="879"/>
      <c r="BVY1513" s="879"/>
      <c r="BVZ1513" s="879"/>
      <c r="BWA1513" s="879"/>
      <c r="BWB1513" s="879"/>
      <c r="BWC1513" s="879"/>
      <c r="BWD1513" s="879"/>
      <c r="BWE1513" s="879"/>
      <c r="BWF1513" s="879"/>
      <c r="BWG1513" s="879"/>
      <c r="BWH1513" s="879"/>
      <c r="BWI1513" s="879"/>
      <c r="BWJ1513" s="879"/>
      <c r="BWK1513" s="879"/>
      <c r="BWL1513" s="879"/>
      <c r="BWM1513" s="879"/>
      <c r="BWN1513" s="879"/>
      <c r="BWO1513" s="879"/>
      <c r="BWP1513" s="879"/>
      <c r="BWQ1513" s="879"/>
      <c r="BWR1513" s="879"/>
      <c r="BWS1513" s="879"/>
      <c r="BWT1513" s="879"/>
      <c r="BWU1513" s="879"/>
      <c r="BWV1513" s="879"/>
      <c r="BWW1513" s="879"/>
      <c r="BWX1513" s="879"/>
      <c r="BWY1513" s="879"/>
      <c r="BWZ1513" s="879"/>
      <c r="BXA1513" s="879"/>
      <c r="BXB1513" s="879"/>
      <c r="BXC1513" s="879"/>
      <c r="BXD1513" s="879"/>
      <c r="BXE1513" s="879"/>
      <c r="BXF1513" s="879"/>
      <c r="BXG1513" s="879"/>
      <c r="BXH1513" s="879"/>
      <c r="BXI1513" s="879"/>
      <c r="BXJ1513" s="879"/>
      <c r="BXK1513" s="879"/>
      <c r="BXL1513" s="879"/>
      <c r="BXM1513" s="879"/>
      <c r="BXN1513" s="879"/>
      <c r="BXO1513" s="879"/>
      <c r="BXP1513" s="879"/>
      <c r="BXQ1513" s="879"/>
      <c r="BXR1513" s="879"/>
      <c r="BXS1513" s="879"/>
      <c r="BXT1513" s="879"/>
      <c r="BXU1513" s="879"/>
      <c r="BXV1513" s="879"/>
      <c r="BXW1513" s="879"/>
      <c r="BXX1513" s="879"/>
      <c r="BXY1513" s="879"/>
      <c r="BXZ1513" s="879"/>
      <c r="BYA1513" s="879"/>
      <c r="BYB1513" s="879"/>
      <c r="BYC1513" s="879"/>
      <c r="BYD1513" s="879"/>
      <c r="BYE1513" s="879"/>
      <c r="BYF1513" s="879"/>
      <c r="BYG1513" s="879"/>
      <c r="BYH1513" s="879"/>
      <c r="BYI1513" s="879"/>
      <c r="BYJ1513" s="879"/>
      <c r="BYK1513" s="879"/>
      <c r="BYL1513" s="879"/>
      <c r="BYM1513" s="879"/>
      <c r="BYN1513" s="879"/>
      <c r="BYO1513" s="879"/>
      <c r="BYP1513" s="879"/>
      <c r="BYQ1513" s="879"/>
      <c r="BYR1513" s="879"/>
      <c r="BYS1513" s="879"/>
      <c r="BYT1513" s="879"/>
      <c r="BYU1513" s="879"/>
      <c r="BYV1513" s="879"/>
      <c r="BYW1513" s="879"/>
      <c r="BYX1513" s="879"/>
      <c r="BYY1513" s="879"/>
      <c r="BYZ1513" s="879"/>
      <c r="BZA1513" s="879"/>
      <c r="BZB1513" s="879"/>
      <c r="BZC1513" s="879"/>
      <c r="BZD1513" s="879"/>
      <c r="BZE1513" s="879"/>
      <c r="BZF1513" s="879"/>
      <c r="BZG1513" s="879"/>
      <c r="BZH1513" s="879"/>
      <c r="BZI1513" s="879"/>
      <c r="BZJ1513" s="879"/>
      <c r="BZK1513" s="879"/>
      <c r="BZL1513" s="879"/>
      <c r="BZM1513" s="879"/>
      <c r="BZN1513" s="879"/>
      <c r="BZO1513" s="879"/>
      <c r="BZP1513" s="879"/>
      <c r="BZQ1513" s="879"/>
      <c r="BZR1513" s="879"/>
      <c r="BZS1513" s="879"/>
      <c r="BZT1513" s="879"/>
      <c r="BZU1513" s="879"/>
      <c r="BZV1513" s="879"/>
      <c r="BZW1513" s="879"/>
      <c r="BZX1513" s="879"/>
      <c r="BZY1513" s="879"/>
      <c r="BZZ1513" s="879"/>
      <c r="CAA1513" s="879"/>
      <c r="CAB1513" s="879"/>
      <c r="CAC1513" s="879"/>
      <c r="CAD1513" s="879"/>
      <c r="CAE1513" s="879"/>
      <c r="CAF1513" s="879"/>
      <c r="CAG1513" s="879"/>
      <c r="CAH1513" s="879"/>
      <c r="CAI1513" s="879"/>
      <c r="CAJ1513" s="879"/>
      <c r="CAK1513" s="879"/>
      <c r="CAL1513" s="879"/>
      <c r="CAM1513" s="879"/>
      <c r="CAN1513" s="879"/>
      <c r="CAO1513" s="879"/>
      <c r="CAP1513" s="879"/>
      <c r="CAQ1513" s="879"/>
      <c r="CAR1513" s="879"/>
      <c r="CAS1513" s="879"/>
      <c r="CAT1513" s="879"/>
      <c r="CAU1513" s="879"/>
      <c r="CAV1513" s="879"/>
      <c r="CAW1513" s="879"/>
      <c r="CAX1513" s="879"/>
      <c r="CAY1513" s="879"/>
      <c r="CAZ1513" s="879"/>
      <c r="CBA1513" s="879"/>
      <c r="CBB1513" s="879"/>
      <c r="CBC1513" s="879"/>
      <c r="CBD1513" s="879"/>
      <c r="CBE1513" s="879"/>
      <c r="CBF1513" s="879"/>
      <c r="CBG1513" s="879"/>
      <c r="CBH1513" s="879"/>
      <c r="CBI1513" s="879"/>
      <c r="CBJ1513" s="879"/>
      <c r="CBK1513" s="879"/>
      <c r="CBL1513" s="879"/>
      <c r="CBM1513" s="879"/>
      <c r="CBN1513" s="879"/>
      <c r="CBO1513" s="879"/>
      <c r="CBP1513" s="879"/>
      <c r="CBQ1513" s="879"/>
      <c r="CBR1513" s="879"/>
      <c r="CBS1513" s="879"/>
      <c r="CBT1513" s="879"/>
      <c r="CBU1513" s="879"/>
      <c r="CBV1513" s="879"/>
      <c r="CBW1513" s="879"/>
      <c r="CBX1513" s="879"/>
      <c r="CBY1513" s="879"/>
      <c r="CBZ1513" s="879"/>
      <c r="CCA1513" s="879"/>
      <c r="CCB1513" s="879"/>
      <c r="CCC1513" s="879"/>
      <c r="CCD1513" s="879"/>
      <c r="CCE1513" s="879"/>
      <c r="CCF1513" s="879"/>
      <c r="CCG1513" s="879"/>
      <c r="CCH1513" s="879"/>
      <c r="CCI1513" s="879"/>
      <c r="CCJ1513" s="879"/>
      <c r="CCK1513" s="879"/>
      <c r="CCL1513" s="879"/>
      <c r="CCM1513" s="879"/>
      <c r="CCN1513" s="879"/>
      <c r="CCO1513" s="879"/>
      <c r="CCP1513" s="879"/>
      <c r="CCQ1513" s="879"/>
      <c r="CCR1513" s="879"/>
      <c r="CCS1513" s="879"/>
      <c r="CCT1513" s="879"/>
      <c r="CCU1513" s="879"/>
      <c r="CCV1513" s="879"/>
      <c r="CCW1513" s="879"/>
      <c r="CCX1513" s="879"/>
      <c r="CCY1513" s="879"/>
      <c r="CCZ1513" s="879"/>
      <c r="CDA1513" s="879"/>
      <c r="CDB1513" s="879"/>
      <c r="CDC1513" s="879"/>
      <c r="CDD1513" s="879"/>
      <c r="CDE1513" s="879"/>
      <c r="CDF1513" s="879"/>
      <c r="CDG1513" s="879"/>
      <c r="CDH1513" s="879"/>
      <c r="CDI1513" s="879"/>
      <c r="CDJ1513" s="879"/>
      <c r="CDK1513" s="879"/>
      <c r="CDL1513" s="879"/>
      <c r="CDM1513" s="879"/>
      <c r="CDN1513" s="879"/>
      <c r="CDO1513" s="879"/>
      <c r="CDP1513" s="879"/>
      <c r="CDQ1513" s="879"/>
      <c r="CDR1513" s="879"/>
      <c r="CDS1513" s="879"/>
      <c r="CDT1513" s="879"/>
      <c r="CDU1513" s="879"/>
      <c r="CDV1513" s="879"/>
      <c r="CDW1513" s="879"/>
      <c r="CDX1513" s="879"/>
      <c r="CDY1513" s="879"/>
      <c r="CDZ1513" s="879"/>
      <c r="CEA1513" s="879"/>
      <c r="CEB1513" s="879"/>
      <c r="CEC1513" s="879"/>
      <c r="CED1513" s="879"/>
      <c r="CEE1513" s="879"/>
      <c r="CEF1513" s="879"/>
      <c r="CEG1513" s="879"/>
      <c r="CEH1513" s="879"/>
      <c r="CEI1513" s="879"/>
      <c r="CEJ1513" s="879"/>
      <c r="CEK1513" s="879"/>
      <c r="CEL1513" s="879"/>
      <c r="CEM1513" s="879"/>
      <c r="CEN1513" s="879"/>
      <c r="CEO1513" s="879"/>
      <c r="CEP1513" s="879"/>
      <c r="CEQ1513" s="879"/>
      <c r="CER1513" s="879"/>
      <c r="CES1513" s="879"/>
      <c r="CET1513" s="879"/>
      <c r="CEU1513" s="879"/>
      <c r="CEV1513" s="879"/>
      <c r="CEW1513" s="879"/>
      <c r="CEX1513" s="879"/>
      <c r="CEY1513" s="879"/>
      <c r="CEZ1513" s="879"/>
      <c r="CFA1513" s="879"/>
      <c r="CFB1513" s="879"/>
      <c r="CFC1513" s="879"/>
      <c r="CFD1513" s="879"/>
      <c r="CFE1513" s="879"/>
      <c r="CFF1513" s="879"/>
      <c r="CFG1513" s="879"/>
      <c r="CFH1513" s="879"/>
      <c r="CFI1513" s="879"/>
      <c r="CFJ1513" s="879"/>
      <c r="CFK1513" s="879"/>
      <c r="CFL1513" s="879"/>
      <c r="CFM1513" s="879"/>
      <c r="CFN1513" s="879"/>
      <c r="CFO1513" s="879"/>
      <c r="CFP1513" s="879"/>
      <c r="CFQ1513" s="879"/>
      <c r="CFR1513" s="879"/>
      <c r="CFS1513" s="879"/>
      <c r="CFT1513" s="879"/>
      <c r="CFU1513" s="879"/>
      <c r="CFV1513" s="879"/>
      <c r="CFW1513" s="879"/>
      <c r="CFX1513" s="879"/>
      <c r="CFY1513" s="879"/>
      <c r="CFZ1513" s="879"/>
      <c r="CGA1513" s="879"/>
      <c r="CGB1513" s="879"/>
      <c r="CGC1513" s="879"/>
      <c r="CGD1513" s="879"/>
      <c r="CGE1513" s="879"/>
      <c r="CGF1513" s="879"/>
      <c r="CGG1513" s="879"/>
      <c r="CGH1513" s="879"/>
      <c r="CGI1513" s="879"/>
      <c r="CGJ1513" s="879"/>
      <c r="CGK1513" s="879"/>
      <c r="CGL1513" s="879"/>
      <c r="CGM1513" s="879"/>
      <c r="CGN1513" s="879"/>
      <c r="CGO1513" s="879"/>
      <c r="CGP1513" s="879"/>
      <c r="CGQ1513" s="879"/>
      <c r="CGR1513" s="879"/>
      <c r="CGS1513" s="879"/>
      <c r="CGT1513" s="879"/>
      <c r="CGU1513" s="879"/>
      <c r="CGV1513" s="879"/>
      <c r="CGW1513" s="879"/>
      <c r="CGX1513" s="879"/>
      <c r="CGY1513" s="879"/>
      <c r="CGZ1513" s="879"/>
      <c r="CHA1513" s="879"/>
      <c r="CHB1513" s="879"/>
      <c r="CHC1513" s="879"/>
      <c r="CHD1513" s="879"/>
      <c r="CHE1513" s="879"/>
      <c r="CHF1513" s="879"/>
      <c r="CHG1513" s="879"/>
      <c r="CHH1513" s="879"/>
      <c r="CHI1513" s="879"/>
      <c r="CHJ1513" s="879"/>
      <c r="CHK1513" s="879"/>
      <c r="CHL1513" s="879"/>
      <c r="CHM1513" s="879"/>
      <c r="CHN1513" s="879"/>
      <c r="CHO1513" s="879"/>
      <c r="CHP1513" s="879"/>
      <c r="CHQ1513" s="879"/>
      <c r="CHR1513" s="879"/>
      <c r="CHS1513" s="879"/>
      <c r="CHT1513" s="879"/>
      <c r="CHU1513" s="879"/>
      <c r="CHV1513" s="879"/>
      <c r="CHW1513" s="879"/>
      <c r="CHX1513" s="879"/>
      <c r="CHY1513" s="879"/>
      <c r="CHZ1513" s="879"/>
      <c r="CIA1513" s="879"/>
      <c r="CIB1513" s="879"/>
      <c r="CIC1513" s="879"/>
      <c r="CID1513" s="879"/>
      <c r="CIE1513" s="879"/>
      <c r="CIF1513" s="879"/>
      <c r="CIG1513" s="879"/>
      <c r="CIH1513" s="879"/>
      <c r="CII1513" s="879"/>
      <c r="CIJ1513" s="879"/>
      <c r="CIK1513" s="879"/>
      <c r="CIL1513" s="879"/>
      <c r="CIM1513" s="879"/>
      <c r="CIN1513" s="879"/>
      <c r="CIO1513" s="879"/>
      <c r="CIP1513" s="879"/>
      <c r="CIQ1513" s="879"/>
      <c r="CIR1513" s="879"/>
      <c r="CIS1513" s="879"/>
      <c r="CIT1513" s="879"/>
      <c r="CIU1513" s="879"/>
      <c r="CIV1513" s="879"/>
      <c r="CIW1513" s="879"/>
      <c r="CIX1513" s="879"/>
      <c r="CIY1513" s="879"/>
      <c r="CIZ1513" s="879"/>
      <c r="CJA1513" s="879"/>
      <c r="CJB1513" s="879"/>
      <c r="CJC1513" s="879"/>
      <c r="CJD1513" s="879"/>
      <c r="CJE1513" s="879"/>
      <c r="CJF1513" s="879"/>
      <c r="CJG1513" s="879"/>
      <c r="CJH1513" s="879"/>
      <c r="CJI1513" s="879"/>
      <c r="CJJ1513" s="879"/>
      <c r="CJK1513" s="879"/>
      <c r="CJL1513" s="879"/>
      <c r="CJM1513" s="879"/>
      <c r="CJN1513" s="879"/>
      <c r="CJO1513" s="879"/>
      <c r="CJP1513" s="879"/>
      <c r="CJQ1513" s="879"/>
      <c r="CJR1513" s="879"/>
      <c r="CJS1513" s="879"/>
      <c r="CJT1513" s="879"/>
      <c r="CJU1513" s="879"/>
      <c r="CJV1513" s="879"/>
      <c r="CJW1513" s="879"/>
      <c r="CJX1513" s="879"/>
      <c r="CJY1513" s="879"/>
      <c r="CJZ1513" s="879"/>
      <c r="CKA1513" s="879"/>
      <c r="CKB1513" s="879"/>
      <c r="CKC1513" s="879"/>
      <c r="CKD1513" s="879"/>
      <c r="CKE1513" s="879"/>
      <c r="CKF1513" s="879"/>
      <c r="CKG1513" s="879"/>
      <c r="CKH1513" s="879"/>
      <c r="CKI1513" s="879"/>
      <c r="CKJ1513" s="879"/>
      <c r="CKK1513" s="879"/>
      <c r="CKL1513" s="879"/>
      <c r="CKM1513" s="879"/>
      <c r="CKN1513" s="879"/>
      <c r="CKO1513" s="879"/>
      <c r="CKP1513" s="879"/>
      <c r="CKQ1513" s="879"/>
      <c r="CKR1513" s="879"/>
      <c r="CKS1513" s="879"/>
      <c r="CKT1513" s="879"/>
      <c r="CKU1513" s="879"/>
      <c r="CKV1513" s="879"/>
      <c r="CKW1513" s="879"/>
      <c r="CKX1513" s="879"/>
      <c r="CKY1513" s="879"/>
      <c r="CKZ1513" s="879"/>
      <c r="CLA1513" s="879"/>
      <c r="CLB1513" s="879"/>
      <c r="CLC1513" s="879"/>
      <c r="CLD1513" s="879"/>
      <c r="CLE1513" s="879"/>
      <c r="CLF1513" s="879"/>
      <c r="CLG1513" s="879"/>
      <c r="CLH1513" s="879"/>
      <c r="CLI1513" s="879"/>
      <c r="CLJ1513" s="879"/>
      <c r="CLK1513" s="879"/>
      <c r="CLL1513" s="879"/>
      <c r="CLM1513" s="879"/>
      <c r="CLN1513" s="879"/>
      <c r="CLO1513" s="879"/>
      <c r="CLP1513" s="879"/>
      <c r="CLQ1513" s="879"/>
      <c r="CLR1513" s="879"/>
      <c r="CLS1513" s="879"/>
      <c r="CLT1513" s="879"/>
      <c r="CLU1513" s="879"/>
      <c r="CLV1513" s="879"/>
      <c r="CLW1513" s="879"/>
      <c r="CLX1513" s="879"/>
      <c r="CLY1513" s="879"/>
      <c r="CLZ1513" s="879"/>
      <c r="CMA1513" s="879"/>
      <c r="CMB1513" s="879"/>
      <c r="CMC1513" s="879"/>
      <c r="CMD1513" s="879"/>
      <c r="CME1513" s="879"/>
      <c r="CMF1513" s="879"/>
      <c r="CMG1513" s="879"/>
      <c r="CMH1513" s="879"/>
      <c r="CMI1513" s="879"/>
      <c r="CMJ1513" s="879"/>
      <c r="CMK1513" s="879"/>
      <c r="CML1513" s="879"/>
      <c r="CMM1513" s="879"/>
      <c r="CMN1513" s="879"/>
      <c r="CMO1513" s="879"/>
      <c r="CMP1513" s="879"/>
      <c r="CMQ1513" s="879"/>
      <c r="CMR1513" s="879"/>
      <c r="CMS1513" s="879"/>
      <c r="CMT1513" s="879"/>
      <c r="CMU1513" s="879"/>
      <c r="CMV1513" s="879"/>
      <c r="CMW1513" s="879"/>
      <c r="CMX1513" s="879"/>
      <c r="CMY1513" s="879"/>
      <c r="CMZ1513" s="879"/>
      <c r="CNA1513" s="879"/>
      <c r="CNB1513" s="879"/>
      <c r="CNC1513" s="879"/>
      <c r="CND1513" s="879"/>
      <c r="CNE1513" s="879"/>
      <c r="CNF1513" s="879"/>
      <c r="CNG1513" s="879"/>
      <c r="CNH1513" s="879"/>
      <c r="CNI1513" s="879"/>
      <c r="CNJ1513" s="879"/>
      <c r="CNK1513" s="879"/>
      <c r="CNL1513" s="879"/>
      <c r="CNM1513" s="879"/>
      <c r="CNN1513" s="879"/>
      <c r="CNO1513" s="879"/>
      <c r="CNP1513" s="879"/>
      <c r="CNQ1513" s="879"/>
      <c r="CNR1513" s="879"/>
      <c r="CNS1513" s="879"/>
      <c r="CNT1513" s="879"/>
      <c r="CNU1513" s="879"/>
      <c r="CNV1513" s="879"/>
      <c r="CNW1513" s="879"/>
      <c r="CNX1513" s="879"/>
      <c r="CNY1513" s="879"/>
      <c r="CNZ1513" s="879"/>
      <c r="COA1513" s="879"/>
      <c r="COB1513" s="879"/>
      <c r="COC1513" s="879"/>
      <c r="COD1513" s="879"/>
      <c r="COE1513" s="879"/>
      <c r="COF1513" s="879"/>
      <c r="COG1513" s="879"/>
      <c r="COH1513" s="879"/>
      <c r="COI1513" s="879"/>
      <c r="COJ1513" s="879"/>
      <c r="COK1513" s="879"/>
      <c r="COL1513" s="879"/>
      <c r="COM1513" s="879"/>
      <c r="CON1513" s="879"/>
      <c r="COO1513" s="879"/>
      <c r="COP1513" s="879"/>
      <c r="COQ1513" s="879"/>
      <c r="COR1513" s="879"/>
      <c r="COS1513" s="879"/>
      <c r="COT1513" s="879"/>
      <c r="COU1513" s="879"/>
      <c r="COV1513" s="879"/>
      <c r="COW1513" s="879"/>
      <c r="COX1513" s="879"/>
      <c r="COY1513" s="879"/>
      <c r="COZ1513" s="879"/>
      <c r="CPA1513" s="879"/>
      <c r="CPB1513" s="879"/>
      <c r="CPC1513" s="879"/>
      <c r="CPD1513" s="879"/>
      <c r="CPE1513" s="879"/>
      <c r="CPF1513" s="879"/>
      <c r="CPG1513" s="879"/>
      <c r="CPH1513" s="879"/>
      <c r="CPI1513" s="879"/>
      <c r="CPJ1513" s="879"/>
      <c r="CPK1513" s="879"/>
      <c r="CPL1513" s="879"/>
      <c r="CPM1513" s="879"/>
      <c r="CPN1513" s="879"/>
      <c r="CPO1513" s="879"/>
      <c r="CPP1513" s="879"/>
      <c r="CPQ1513" s="879"/>
      <c r="CPR1513" s="879"/>
      <c r="CPS1513" s="879"/>
      <c r="CPT1513" s="879"/>
      <c r="CPU1513" s="879"/>
      <c r="CPV1513" s="879"/>
      <c r="CPW1513" s="879"/>
      <c r="CPX1513" s="879"/>
      <c r="CPY1513" s="879"/>
      <c r="CPZ1513" s="879"/>
      <c r="CQA1513" s="879"/>
      <c r="CQB1513" s="879"/>
      <c r="CQC1513" s="879"/>
      <c r="CQD1513" s="879"/>
      <c r="CQE1513" s="879"/>
      <c r="CQF1513" s="879"/>
      <c r="CQG1513" s="879"/>
      <c r="CQH1513" s="879"/>
      <c r="CQI1513" s="879"/>
      <c r="CQJ1513" s="879"/>
      <c r="CQK1513" s="879"/>
      <c r="CQL1513" s="879"/>
      <c r="CQM1513" s="879"/>
      <c r="CQN1513" s="879"/>
      <c r="CQO1513" s="879"/>
      <c r="CQP1513" s="879"/>
      <c r="CQQ1513" s="879"/>
      <c r="CQR1513" s="879"/>
      <c r="CQS1513" s="879"/>
      <c r="CQT1513" s="879"/>
      <c r="CQU1513" s="879"/>
      <c r="CQV1513" s="879"/>
      <c r="CQW1513" s="879"/>
      <c r="CQX1513" s="879"/>
      <c r="CQY1513" s="879"/>
      <c r="CQZ1513" s="879"/>
      <c r="CRA1513" s="879"/>
      <c r="CRB1513" s="879"/>
      <c r="CRC1513" s="879"/>
      <c r="CRD1513" s="879"/>
      <c r="CRE1513" s="879"/>
      <c r="CRF1513" s="879"/>
      <c r="CRG1513" s="879"/>
      <c r="CRH1513" s="879"/>
      <c r="CRI1513" s="879"/>
      <c r="CRJ1513" s="879"/>
      <c r="CRK1513" s="879"/>
      <c r="CRL1513" s="879"/>
      <c r="CRM1513" s="879"/>
      <c r="CRN1513" s="879"/>
      <c r="CRO1513" s="879"/>
      <c r="CRP1513" s="879"/>
      <c r="CRQ1513" s="879"/>
      <c r="CRR1513" s="879"/>
      <c r="CRS1513" s="879"/>
      <c r="CRT1513" s="879"/>
      <c r="CRU1513" s="879"/>
      <c r="CRV1513" s="879"/>
      <c r="CRW1513" s="879"/>
      <c r="CRX1513" s="879"/>
      <c r="CRY1513" s="879"/>
      <c r="CRZ1513" s="879"/>
      <c r="CSA1513" s="879"/>
      <c r="CSB1513" s="879"/>
      <c r="CSC1513" s="879"/>
      <c r="CSD1513" s="879"/>
      <c r="CSE1513" s="879"/>
      <c r="CSF1513" s="879"/>
      <c r="CSG1513" s="879"/>
      <c r="CSH1513" s="879"/>
      <c r="CSI1513" s="879"/>
      <c r="CSJ1513" s="879"/>
      <c r="CSK1513" s="879"/>
      <c r="CSL1513" s="879"/>
      <c r="CSM1513" s="879"/>
      <c r="CSN1513" s="879"/>
      <c r="CSO1513" s="879"/>
      <c r="CSP1513" s="879"/>
      <c r="CSQ1513" s="879"/>
      <c r="CSR1513" s="879"/>
      <c r="CSS1513" s="879"/>
      <c r="CST1513" s="879"/>
      <c r="CSU1513" s="879"/>
      <c r="CSV1513" s="879"/>
      <c r="CSW1513" s="879"/>
      <c r="CSX1513" s="879"/>
      <c r="CSY1513" s="879"/>
      <c r="CSZ1513" s="879"/>
      <c r="CTA1513" s="879"/>
      <c r="CTB1513" s="879"/>
      <c r="CTC1513" s="879"/>
      <c r="CTD1513" s="879"/>
      <c r="CTE1513" s="879"/>
      <c r="CTF1513" s="879"/>
      <c r="CTG1513" s="879"/>
      <c r="CTH1513" s="879"/>
      <c r="CTI1513" s="879"/>
      <c r="CTJ1513" s="879"/>
      <c r="CTK1513" s="879"/>
      <c r="CTL1513" s="879"/>
      <c r="CTM1513" s="879"/>
      <c r="CTN1513" s="879"/>
      <c r="CTO1513" s="879"/>
      <c r="CTP1513" s="879"/>
      <c r="CTQ1513" s="879"/>
      <c r="CTR1513" s="879"/>
      <c r="CTS1513" s="879"/>
      <c r="CTT1513" s="879"/>
      <c r="CTU1513" s="879"/>
      <c r="CTV1513" s="879"/>
      <c r="CTW1513" s="879"/>
      <c r="CTX1513" s="879"/>
      <c r="CTY1513" s="879"/>
      <c r="CTZ1513" s="879"/>
      <c r="CUA1513" s="879"/>
      <c r="CUB1513" s="879"/>
      <c r="CUC1513" s="879"/>
      <c r="CUD1513" s="879"/>
      <c r="CUE1513" s="879"/>
      <c r="CUF1513" s="879"/>
      <c r="CUG1513" s="879"/>
      <c r="CUH1513" s="879"/>
      <c r="CUI1513" s="879"/>
      <c r="CUJ1513" s="879"/>
      <c r="CUK1513" s="879"/>
      <c r="CUL1513" s="879"/>
      <c r="CUM1513" s="879"/>
      <c r="CUN1513" s="879"/>
      <c r="CUO1513" s="879"/>
      <c r="CUP1513" s="879"/>
      <c r="CUQ1513" s="879"/>
      <c r="CUR1513" s="879"/>
      <c r="CUS1513" s="879"/>
      <c r="CUT1513" s="879"/>
      <c r="CUU1513" s="879"/>
      <c r="CUV1513" s="879"/>
      <c r="CUW1513" s="879"/>
      <c r="CUX1513" s="879"/>
      <c r="CUY1513" s="879"/>
      <c r="CUZ1513" s="879"/>
      <c r="CVA1513" s="879"/>
      <c r="CVB1513" s="879"/>
      <c r="CVC1513" s="879"/>
      <c r="CVD1513" s="879"/>
      <c r="CVE1513" s="879"/>
      <c r="CVF1513" s="879"/>
      <c r="CVG1513" s="879"/>
      <c r="CVH1513" s="879"/>
      <c r="CVI1513" s="879"/>
      <c r="CVJ1513" s="879"/>
      <c r="CVK1513" s="879"/>
      <c r="CVL1513" s="879"/>
      <c r="CVM1513" s="879"/>
      <c r="CVN1513" s="879"/>
      <c r="CVO1513" s="879"/>
      <c r="CVP1513" s="879"/>
      <c r="CVQ1513" s="879"/>
      <c r="CVR1513" s="879"/>
      <c r="CVS1513" s="879"/>
      <c r="CVT1513" s="879"/>
      <c r="CVU1513" s="879"/>
      <c r="CVV1513" s="879"/>
      <c r="CVW1513" s="879"/>
      <c r="CVX1513" s="879"/>
      <c r="CVY1513" s="879"/>
      <c r="CVZ1513" s="879"/>
      <c r="CWA1513" s="879"/>
      <c r="CWB1513" s="879"/>
      <c r="CWC1513" s="879"/>
      <c r="CWD1513" s="879"/>
      <c r="CWE1513" s="879"/>
      <c r="CWF1513" s="879"/>
      <c r="CWG1513" s="879"/>
      <c r="CWH1513" s="879"/>
      <c r="CWI1513" s="879"/>
      <c r="CWJ1513" s="879"/>
      <c r="CWK1513" s="879"/>
      <c r="CWL1513" s="879"/>
      <c r="CWM1513" s="879"/>
      <c r="CWN1513" s="879"/>
      <c r="CWO1513" s="879"/>
      <c r="CWP1513" s="879"/>
      <c r="CWQ1513" s="879"/>
      <c r="CWR1513" s="879"/>
      <c r="CWS1513" s="879"/>
      <c r="CWT1513" s="879"/>
      <c r="CWU1513" s="879"/>
      <c r="CWV1513" s="879"/>
      <c r="CWW1513" s="879"/>
      <c r="CWX1513" s="879"/>
      <c r="CWY1513" s="879"/>
      <c r="CWZ1513" s="879"/>
      <c r="CXA1513" s="879"/>
      <c r="CXB1513" s="879"/>
      <c r="CXC1513" s="879"/>
      <c r="CXD1513" s="879"/>
      <c r="CXE1513" s="879"/>
      <c r="CXF1513" s="879"/>
      <c r="CXG1513" s="879"/>
      <c r="CXH1513" s="879"/>
      <c r="CXI1513" s="879"/>
      <c r="CXJ1513" s="879"/>
      <c r="CXK1513" s="879"/>
      <c r="CXL1513" s="879"/>
      <c r="CXM1513" s="879"/>
      <c r="CXN1513" s="879"/>
      <c r="CXO1513" s="879"/>
      <c r="CXP1513" s="879"/>
      <c r="CXQ1513" s="879"/>
      <c r="CXR1513" s="879"/>
      <c r="CXS1513" s="879"/>
      <c r="CXT1513" s="879"/>
      <c r="CXU1513" s="879"/>
      <c r="CXV1513" s="879"/>
      <c r="CXW1513" s="879"/>
      <c r="CXX1513" s="879"/>
      <c r="CXY1513" s="879"/>
      <c r="CXZ1513" s="879"/>
      <c r="CYA1513" s="879"/>
      <c r="CYB1513" s="879"/>
      <c r="CYC1513" s="879"/>
      <c r="CYD1513" s="879"/>
      <c r="CYE1513" s="879"/>
      <c r="CYF1513" s="879"/>
      <c r="CYG1513" s="879"/>
      <c r="CYH1513" s="879"/>
      <c r="CYI1513" s="879"/>
      <c r="CYJ1513" s="879"/>
      <c r="CYK1513" s="879"/>
      <c r="CYL1513" s="879"/>
      <c r="CYM1513" s="879"/>
      <c r="CYN1513" s="879"/>
      <c r="CYO1513" s="879"/>
      <c r="CYP1513" s="879"/>
      <c r="CYQ1513" s="879"/>
      <c r="CYR1513" s="879"/>
      <c r="CYS1513" s="879"/>
      <c r="CYT1513" s="879"/>
      <c r="CYU1513" s="879"/>
      <c r="CYV1513" s="879"/>
      <c r="CYW1513" s="879"/>
      <c r="CYX1513" s="879"/>
      <c r="CYY1513" s="879"/>
      <c r="CYZ1513" s="879"/>
      <c r="CZA1513" s="879"/>
      <c r="CZB1513" s="879"/>
      <c r="CZC1513" s="879"/>
      <c r="CZD1513" s="879"/>
      <c r="CZE1513" s="879"/>
      <c r="CZF1513" s="879"/>
      <c r="CZG1513" s="879"/>
      <c r="CZH1513" s="879"/>
      <c r="CZI1513" s="879"/>
      <c r="CZJ1513" s="879"/>
      <c r="CZK1513" s="879"/>
      <c r="CZL1513" s="879"/>
      <c r="CZM1513" s="879"/>
      <c r="CZN1513" s="879"/>
      <c r="CZO1513" s="879"/>
      <c r="CZP1513" s="879"/>
      <c r="CZQ1513" s="879"/>
      <c r="CZR1513" s="879"/>
      <c r="CZS1513" s="879"/>
      <c r="CZT1513" s="879"/>
      <c r="CZU1513" s="879"/>
      <c r="CZV1513" s="879"/>
      <c r="CZW1513" s="879"/>
      <c r="CZX1513" s="879"/>
      <c r="CZY1513" s="879"/>
      <c r="CZZ1513" s="879"/>
      <c r="DAA1513" s="879"/>
      <c r="DAB1513" s="879"/>
      <c r="DAC1513" s="879"/>
      <c r="DAD1513" s="879"/>
      <c r="DAE1513" s="879"/>
      <c r="DAF1513" s="879"/>
      <c r="DAG1513" s="879"/>
      <c r="DAH1513" s="879"/>
      <c r="DAI1513" s="879"/>
      <c r="DAJ1513" s="879"/>
      <c r="DAK1513" s="879"/>
      <c r="DAL1513" s="879"/>
      <c r="DAM1513" s="879"/>
      <c r="DAN1513" s="879"/>
      <c r="DAO1513" s="879"/>
      <c r="DAP1513" s="879"/>
      <c r="DAQ1513" s="879"/>
      <c r="DAR1513" s="879"/>
      <c r="DAS1513" s="879"/>
      <c r="DAT1513" s="879"/>
      <c r="DAU1513" s="879"/>
      <c r="DAV1513" s="879"/>
      <c r="DAW1513" s="879"/>
      <c r="DAX1513" s="879"/>
      <c r="DAY1513" s="879"/>
      <c r="DAZ1513" s="879"/>
      <c r="DBA1513" s="879"/>
      <c r="DBB1513" s="879"/>
      <c r="DBC1513" s="879"/>
      <c r="DBD1513" s="879"/>
      <c r="DBE1513" s="879"/>
      <c r="DBF1513" s="879"/>
      <c r="DBG1513" s="879"/>
      <c r="DBH1513" s="879"/>
      <c r="DBI1513" s="879"/>
      <c r="DBJ1513" s="879"/>
      <c r="DBK1513" s="879"/>
      <c r="DBL1513" s="879"/>
      <c r="DBM1513" s="879"/>
      <c r="DBN1513" s="879"/>
      <c r="DBO1513" s="879"/>
      <c r="DBP1513" s="879"/>
      <c r="DBQ1513" s="879"/>
      <c r="DBR1513" s="879"/>
      <c r="DBS1513" s="879"/>
      <c r="DBT1513" s="879"/>
      <c r="DBU1513" s="879"/>
      <c r="DBV1513" s="879"/>
      <c r="DBW1513" s="879"/>
      <c r="DBX1513" s="879"/>
      <c r="DBY1513" s="879"/>
      <c r="DBZ1513" s="879"/>
      <c r="DCA1513" s="879"/>
      <c r="DCB1513" s="879"/>
      <c r="DCC1513" s="879"/>
      <c r="DCD1513" s="879"/>
      <c r="DCE1513" s="879"/>
      <c r="DCF1513" s="879"/>
      <c r="DCG1513" s="879"/>
      <c r="DCH1513" s="879"/>
      <c r="DCI1513" s="879"/>
      <c r="DCJ1513" s="879"/>
      <c r="DCK1513" s="879"/>
      <c r="DCL1513" s="879"/>
      <c r="DCM1513" s="879"/>
      <c r="DCN1513" s="879"/>
      <c r="DCO1513" s="879"/>
      <c r="DCP1513" s="879"/>
      <c r="DCQ1513" s="879"/>
      <c r="DCR1513" s="879"/>
      <c r="DCS1513" s="879"/>
      <c r="DCT1513" s="879"/>
      <c r="DCU1513" s="879"/>
      <c r="DCV1513" s="879"/>
      <c r="DCW1513" s="879"/>
      <c r="DCX1513" s="879"/>
      <c r="DCY1513" s="879"/>
      <c r="DCZ1513" s="879"/>
      <c r="DDA1513" s="879"/>
      <c r="DDB1513" s="879"/>
      <c r="DDC1513" s="879"/>
      <c r="DDD1513" s="879"/>
      <c r="DDE1513" s="879"/>
      <c r="DDF1513" s="879"/>
      <c r="DDG1513" s="879"/>
      <c r="DDH1513" s="879"/>
      <c r="DDI1513" s="879"/>
      <c r="DDJ1513" s="879"/>
      <c r="DDK1513" s="879"/>
      <c r="DDL1513" s="879"/>
      <c r="DDM1513" s="879"/>
      <c r="DDN1513" s="879"/>
      <c r="DDO1513" s="879"/>
      <c r="DDP1513" s="879"/>
      <c r="DDQ1513" s="879"/>
      <c r="DDR1513" s="879"/>
      <c r="DDS1513" s="879"/>
      <c r="DDT1513" s="879"/>
      <c r="DDU1513" s="879"/>
      <c r="DDV1513" s="879"/>
      <c r="DDW1513" s="879"/>
      <c r="DDX1513" s="879"/>
      <c r="DDY1513" s="879"/>
      <c r="DDZ1513" s="879"/>
      <c r="DEA1513" s="879"/>
      <c r="DEB1513" s="879"/>
      <c r="DEC1513" s="879"/>
      <c r="DED1513" s="879"/>
      <c r="DEE1513" s="879"/>
      <c r="DEF1513" s="879"/>
      <c r="DEG1513" s="879"/>
      <c r="DEH1513" s="879"/>
      <c r="DEI1513" s="879"/>
      <c r="DEJ1513" s="879"/>
      <c r="DEK1513" s="879"/>
      <c r="DEL1513" s="879"/>
      <c r="DEM1513" s="879"/>
      <c r="DEN1513" s="879"/>
      <c r="DEO1513" s="879"/>
      <c r="DEP1513" s="879"/>
      <c r="DEQ1513" s="879"/>
      <c r="DER1513" s="879"/>
      <c r="DES1513" s="879"/>
      <c r="DET1513" s="879"/>
      <c r="DEU1513" s="879"/>
      <c r="DEV1513" s="879"/>
      <c r="DEW1513" s="879"/>
      <c r="DEX1513" s="879"/>
      <c r="DEY1513" s="879"/>
      <c r="DEZ1513" s="879"/>
      <c r="DFA1513" s="879"/>
      <c r="DFB1513" s="879"/>
      <c r="DFC1513" s="879"/>
      <c r="DFD1513" s="879"/>
      <c r="DFE1513" s="879"/>
      <c r="DFF1513" s="879"/>
      <c r="DFG1513" s="879"/>
      <c r="DFH1513" s="879"/>
      <c r="DFI1513" s="879"/>
      <c r="DFJ1513" s="879"/>
      <c r="DFK1513" s="879"/>
      <c r="DFL1513" s="879"/>
      <c r="DFM1513" s="879"/>
      <c r="DFN1513" s="879"/>
      <c r="DFO1513" s="879"/>
      <c r="DFP1513" s="879"/>
      <c r="DFQ1513" s="879"/>
      <c r="DFR1513" s="879"/>
      <c r="DFS1513" s="879"/>
      <c r="DFT1513" s="879"/>
      <c r="DFU1513" s="879"/>
      <c r="DFV1513" s="879"/>
      <c r="DFW1513" s="879"/>
      <c r="DFX1513" s="879"/>
      <c r="DFY1513" s="879"/>
      <c r="DFZ1513" s="879"/>
      <c r="DGA1513" s="879"/>
      <c r="DGB1513" s="879"/>
      <c r="DGC1513" s="879"/>
      <c r="DGD1513" s="879"/>
      <c r="DGE1513" s="879"/>
      <c r="DGF1513" s="879"/>
      <c r="DGG1513" s="879"/>
      <c r="DGH1513" s="879"/>
      <c r="DGI1513" s="879"/>
      <c r="DGJ1513" s="879"/>
      <c r="DGK1513" s="879"/>
      <c r="DGL1513" s="879"/>
      <c r="DGM1513" s="879"/>
      <c r="DGN1513" s="879"/>
      <c r="DGO1513" s="879"/>
      <c r="DGP1513" s="879"/>
      <c r="DGQ1513" s="879"/>
      <c r="DGR1513" s="879"/>
      <c r="DGS1513" s="879"/>
      <c r="DGT1513" s="879"/>
      <c r="DGU1513" s="879"/>
      <c r="DGV1513" s="879"/>
      <c r="DGW1513" s="879"/>
      <c r="DGX1513" s="879"/>
      <c r="DGY1513" s="879"/>
      <c r="DGZ1513" s="879"/>
      <c r="DHA1513" s="879"/>
      <c r="DHB1513" s="879"/>
      <c r="DHC1513" s="879"/>
      <c r="DHD1513" s="879"/>
      <c r="DHE1513" s="879"/>
      <c r="DHF1513" s="879"/>
      <c r="DHG1513" s="879"/>
      <c r="DHH1513" s="879"/>
      <c r="DHI1513" s="879"/>
      <c r="DHJ1513" s="879"/>
      <c r="DHK1513" s="879"/>
      <c r="DHL1513" s="879"/>
      <c r="DHM1513" s="879"/>
      <c r="DHN1513" s="879"/>
      <c r="DHO1513" s="879"/>
      <c r="DHP1513" s="879"/>
      <c r="DHQ1513" s="879"/>
      <c r="DHR1513" s="879"/>
      <c r="DHS1513" s="879"/>
      <c r="DHT1513" s="879"/>
      <c r="DHU1513" s="879"/>
      <c r="DHV1513" s="879"/>
      <c r="DHW1513" s="879"/>
      <c r="DHX1513" s="879"/>
      <c r="DHY1513" s="879"/>
      <c r="DHZ1513" s="879"/>
      <c r="DIA1513" s="879"/>
      <c r="DIB1513" s="879"/>
      <c r="DIC1513" s="879"/>
      <c r="DID1513" s="879"/>
      <c r="DIE1513" s="879"/>
      <c r="DIF1513" s="879"/>
      <c r="DIG1513" s="879"/>
      <c r="DIH1513" s="879"/>
      <c r="DII1513" s="879"/>
      <c r="DIJ1513" s="879"/>
      <c r="DIK1513" s="879"/>
      <c r="DIL1513" s="879"/>
      <c r="DIM1513" s="879"/>
      <c r="DIN1513" s="879"/>
      <c r="DIO1513" s="879"/>
      <c r="DIP1513" s="879"/>
      <c r="DIQ1513" s="879"/>
      <c r="DIR1513" s="879"/>
      <c r="DIS1513" s="879"/>
      <c r="DIT1513" s="879"/>
      <c r="DIU1513" s="879"/>
      <c r="DIV1513" s="879"/>
      <c r="DIW1513" s="879"/>
      <c r="DIX1513" s="879"/>
      <c r="DIY1513" s="879"/>
      <c r="DIZ1513" s="879"/>
      <c r="DJA1513" s="879"/>
      <c r="DJB1513" s="879"/>
      <c r="DJC1513" s="879"/>
      <c r="DJD1513" s="879"/>
      <c r="DJE1513" s="879"/>
      <c r="DJF1513" s="879"/>
      <c r="DJG1513" s="879"/>
      <c r="DJH1513" s="879"/>
      <c r="DJI1513" s="879"/>
      <c r="DJJ1513" s="879"/>
      <c r="DJK1513" s="879"/>
      <c r="DJL1513" s="879"/>
      <c r="DJM1513" s="879"/>
      <c r="DJN1513" s="879"/>
      <c r="DJO1513" s="879"/>
      <c r="DJP1513" s="879"/>
      <c r="DJQ1513" s="879"/>
      <c r="DJR1513" s="879"/>
      <c r="DJS1513" s="879"/>
      <c r="DJT1513" s="879"/>
      <c r="DJU1513" s="879"/>
      <c r="DJV1513" s="879"/>
      <c r="DJW1513" s="879"/>
      <c r="DJX1513" s="879"/>
      <c r="DJY1513" s="879"/>
      <c r="DJZ1513" s="879"/>
      <c r="DKA1513" s="879"/>
      <c r="DKB1513" s="879"/>
      <c r="DKC1513" s="879"/>
      <c r="DKD1513" s="879"/>
      <c r="DKE1513" s="879"/>
      <c r="DKF1513" s="879"/>
      <c r="DKG1513" s="879"/>
      <c r="DKH1513" s="879"/>
      <c r="DKI1513" s="879"/>
      <c r="DKJ1513" s="879"/>
      <c r="DKK1513" s="879"/>
      <c r="DKL1513" s="879"/>
      <c r="DKM1513" s="879"/>
      <c r="DKN1513" s="879"/>
      <c r="DKO1513" s="879"/>
      <c r="DKP1513" s="879"/>
      <c r="DKQ1513" s="879"/>
      <c r="DKR1513" s="879"/>
      <c r="DKS1513" s="879"/>
      <c r="DKT1513" s="879"/>
      <c r="DKU1513" s="879"/>
      <c r="DKV1513" s="879"/>
      <c r="DKW1513" s="879"/>
      <c r="DKX1513" s="879"/>
      <c r="DKY1513" s="879"/>
      <c r="DKZ1513" s="879"/>
      <c r="DLA1513" s="879"/>
      <c r="DLB1513" s="879"/>
      <c r="DLC1513" s="879"/>
      <c r="DLD1513" s="879"/>
      <c r="DLE1513" s="879"/>
      <c r="DLF1513" s="879"/>
      <c r="DLG1513" s="879"/>
      <c r="DLH1513" s="879"/>
      <c r="DLI1513" s="879"/>
      <c r="DLJ1513" s="879"/>
      <c r="DLK1513" s="879"/>
      <c r="DLL1513" s="879"/>
      <c r="DLM1513" s="879"/>
      <c r="DLN1513" s="879"/>
      <c r="DLO1513" s="879"/>
      <c r="DLP1513" s="879"/>
      <c r="DLQ1513" s="879"/>
      <c r="DLR1513" s="879"/>
      <c r="DLS1513" s="879"/>
      <c r="DLT1513" s="879"/>
      <c r="DLU1513" s="879"/>
      <c r="DLV1513" s="879"/>
      <c r="DLW1513" s="879"/>
      <c r="DLX1513" s="879"/>
      <c r="DLY1513" s="879"/>
      <c r="DLZ1513" s="879"/>
      <c r="DMA1513" s="879"/>
      <c r="DMB1513" s="879"/>
      <c r="DMC1513" s="879"/>
      <c r="DMD1513" s="879"/>
      <c r="DME1513" s="879"/>
      <c r="DMF1513" s="879"/>
      <c r="DMG1513" s="879"/>
      <c r="DMH1513" s="879"/>
      <c r="DMI1513" s="879"/>
      <c r="DMJ1513" s="879"/>
      <c r="DMK1513" s="879"/>
      <c r="DML1513" s="879"/>
      <c r="DMM1513" s="879"/>
      <c r="DMN1513" s="879"/>
      <c r="DMO1513" s="879"/>
      <c r="DMP1513" s="879"/>
      <c r="DMQ1513" s="879"/>
      <c r="DMR1513" s="879"/>
      <c r="DMS1513" s="879"/>
      <c r="DMT1513" s="879"/>
      <c r="DMU1513" s="879"/>
      <c r="DMV1513" s="879"/>
      <c r="DMW1513" s="879"/>
      <c r="DMX1513" s="879"/>
      <c r="DMY1513" s="879"/>
      <c r="DMZ1513" s="879"/>
      <c r="DNA1513" s="879"/>
      <c r="DNB1513" s="879"/>
      <c r="DNC1513" s="879"/>
      <c r="DND1513" s="879"/>
      <c r="DNE1513" s="879"/>
      <c r="DNF1513" s="879"/>
      <c r="DNG1513" s="879"/>
      <c r="DNH1513" s="879"/>
      <c r="DNI1513" s="879"/>
      <c r="DNJ1513" s="879"/>
      <c r="DNK1513" s="879"/>
      <c r="DNL1513" s="879"/>
      <c r="DNM1513" s="879"/>
      <c r="DNN1513" s="879"/>
      <c r="DNO1513" s="879"/>
      <c r="DNP1513" s="879"/>
      <c r="DNQ1513" s="879"/>
      <c r="DNR1513" s="879"/>
      <c r="DNS1513" s="879"/>
      <c r="DNT1513" s="879"/>
      <c r="DNU1513" s="879"/>
      <c r="DNV1513" s="879"/>
      <c r="DNW1513" s="879"/>
      <c r="DNX1513" s="879"/>
      <c r="DNY1513" s="879"/>
      <c r="DNZ1513" s="879"/>
      <c r="DOA1513" s="879"/>
      <c r="DOB1513" s="879"/>
      <c r="DOC1513" s="879"/>
      <c r="DOD1513" s="879"/>
      <c r="DOE1513" s="879"/>
      <c r="DOF1513" s="879"/>
      <c r="DOG1513" s="879"/>
      <c r="DOH1513" s="879"/>
      <c r="DOI1513" s="879"/>
      <c r="DOJ1513" s="879"/>
      <c r="DOK1513" s="879"/>
      <c r="DOL1513" s="879"/>
      <c r="DOM1513" s="879"/>
      <c r="DON1513" s="879"/>
      <c r="DOO1513" s="879"/>
      <c r="DOP1513" s="879"/>
      <c r="DOQ1513" s="879"/>
      <c r="DOR1513" s="879"/>
      <c r="DOS1513" s="879"/>
      <c r="DOT1513" s="879"/>
      <c r="DOU1513" s="879"/>
      <c r="DOV1513" s="879"/>
      <c r="DOW1513" s="879"/>
      <c r="DOX1513" s="879"/>
      <c r="DOY1513" s="879"/>
      <c r="DOZ1513" s="879"/>
      <c r="DPA1513" s="879"/>
      <c r="DPB1513" s="879"/>
      <c r="DPC1513" s="879"/>
      <c r="DPD1513" s="879"/>
      <c r="DPE1513" s="879"/>
      <c r="DPF1513" s="879"/>
      <c r="DPG1513" s="879"/>
      <c r="DPH1513" s="879"/>
      <c r="DPI1513" s="879"/>
      <c r="DPJ1513" s="879"/>
      <c r="DPK1513" s="879"/>
      <c r="DPL1513" s="879"/>
      <c r="DPM1513" s="879"/>
      <c r="DPN1513" s="879"/>
      <c r="DPO1513" s="879"/>
      <c r="DPP1513" s="879"/>
      <c r="DPQ1513" s="879"/>
      <c r="DPR1513" s="879"/>
      <c r="DPS1513" s="879"/>
      <c r="DPT1513" s="879"/>
      <c r="DPU1513" s="879"/>
      <c r="DPV1513" s="879"/>
      <c r="DPW1513" s="879"/>
      <c r="DPX1513" s="879"/>
      <c r="DPY1513" s="879"/>
      <c r="DPZ1513" s="879"/>
      <c r="DQA1513" s="879"/>
      <c r="DQB1513" s="879"/>
      <c r="DQC1513" s="879"/>
      <c r="DQD1513" s="879"/>
      <c r="DQE1513" s="879"/>
      <c r="DQF1513" s="879"/>
      <c r="DQG1513" s="879"/>
      <c r="DQH1513" s="879"/>
      <c r="DQI1513" s="879"/>
      <c r="DQJ1513" s="879"/>
      <c r="DQK1513" s="879"/>
      <c r="DQL1513" s="879"/>
      <c r="DQM1513" s="879"/>
      <c r="DQN1513" s="879"/>
      <c r="DQO1513" s="879"/>
      <c r="DQP1513" s="879"/>
      <c r="DQQ1513" s="879"/>
      <c r="DQR1513" s="879"/>
      <c r="DQS1513" s="879"/>
      <c r="DQT1513" s="879"/>
      <c r="DQU1513" s="879"/>
      <c r="DQV1513" s="879"/>
      <c r="DQW1513" s="879"/>
      <c r="DQX1513" s="879"/>
      <c r="DQY1513" s="879"/>
      <c r="DQZ1513" s="879"/>
      <c r="DRA1513" s="879"/>
      <c r="DRB1513" s="879"/>
      <c r="DRC1513" s="879"/>
      <c r="DRD1513" s="879"/>
      <c r="DRE1513" s="879"/>
      <c r="DRF1513" s="879"/>
      <c r="DRG1513" s="879"/>
      <c r="DRH1513" s="879"/>
      <c r="DRI1513" s="879"/>
      <c r="DRJ1513" s="879"/>
      <c r="DRK1513" s="879"/>
      <c r="DRL1513" s="879"/>
      <c r="DRM1513" s="879"/>
      <c r="DRN1513" s="879"/>
      <c r="DRO1513" s="879"/>
      <c r="DRP1513" s="879"/>
      <c r="DRQ1513" s="879"/>
      <c r="DRR1513" s="879"/>
      <c r="DRS1513" s="879"/>
      <c r="DRT1513" s="879"/>
      <c r="DRU1513" s="879"/>
      <c r="DRV1513" s="879"/>
      <c r="DRW1513" s="879"/>
      <c r="DRX1513" s="879"/>
      <c r="DRY1513" s="879"/>
      <c r="DRZ1513" s="879"/>
      <c r="DSA1513" s="879"/>
      <c r="DSB1513" s="879"/>
      <c r="DSC1513" s="879"/>
      <c r="DSD1513" s="879"/>
      <c r="DSE1513" s="879"/>
      <c r="DSF1513" s="879"/>
      <c r="DSG1513" s="879"/>
      <c r="DSH1513" s="879"/>
      <c r="DSI1513" s="879"/>
      <c r="DSJ1513" s="879"/>
      <c r="DSK1513" s="879"/>
      <c r="DSL1513" s="879"/>
      <c r="DSM1513" s="879"/>
      <c r="DSN1513" s="879"/>
      <c r="DSO1513" s="879"/>
      <c r="DSP1513" s="879"/>
      <c r="DSQ1513" s="879"/>
      <c r="DSR1513" s="879"/>
      <c r="DSS1513" s="879"/>
      <c r="DST1513" s="879"/>
      <c r="DSU1513" s="879"/>
      <c r="DSV1513" s="879"/>
      <c r="DSW1513" s="879"/>
      <c r="DSX1513" s="879"/>
      <c r="DSY1513" s="879"/>
      <c r="DSZ1513" s="879"/>
      <c r="DTA1513" s="879"/>
      <c r="DTB1513" s="879"/>
      <c r="DTC1513" s="879"/>
      <c r="DTD1513" s="879"/>
      <c r="DTE1513" s="879"/>
      <c r="DTF1513" s="879"/>
      <c r="DTG1513" s="879"/>
      <c r="DTH1513" s="879"/>
      <c r="DTI1513" s="879"/>
      <c r="DTJ1513" s="879"/>
      <c r="DTK1513" s="879"/>
      <c r="DTL1513" s="879"/>
      <c r="DTM1513" s="879"/>
      <c r="DTN1513" s="879"/>
      <c r="DTO1513" s="879"/>
      <c r="DTP1513" s="879"/>
      <c r="DTQ1513" s="879"/>
      <c r="DTR1513" s="879"/>
      <c r="DTS1513" s="879"/>
      <c r="DTT1513" s="879"/>
      <c r="DTU1513" s="879"/>
      <c r="DTV1513" s="879"/>
      <c r="DTW1513" s="879"/>
      <c r="DTX1513" s="879"/>
      <c r="DTY1513" s="879"/>
      <c r="DTZ1513" s="879"/>
      <c r="DUA1513" s="879"/>
      <c r="DUB1513" s="879"/>
      <c r="DUC1513" s="879"/>
      <c r="DUD1513" s="879"/>
      <c r="DUE1513" s="879"/>
      <c r="DUF1513" s="879"/>
      <c r="DUG1513" s="879"/>
      <c r="DUH1513" s="879"/>
      <c r="DUI1513" s="879"/>
      <c r="DUJ1513" s="879"/>
      <c r="DUK1513" s="879"/>
      <c r="DUL1513" s="879"/>
      <c r="DUM1513" s="879"/>
      <c r="DUN1513" s="879"/>
      <c r="DUO1513" s="879"/>
      <c r="DUP1513" s="879"/>
      <c r="DUQ1513" s="879"/>
      <c r="DUR1513" s="879"/>
      <c r="DUS1513" s="879"/>
      <c r="DUT1513" s="879"/>
      <c r="DUU1513" s="879"/>
      <c r="DUV1513" s="879"/>
      <c r="DUW1513" s="879"/>
      <c r="DUX1513" s="879"/>
      <c r="DUY1513" s="879"/>
      <c r="DUZ1513" s="879"/>
      <c r="DVA1513" s="879"/>
      <c r="DVB1513" s="879"/>
      <c r="DVC1513" s="879"/>
      <c r="DVD1513" s="879"/>
      <c r="DVE1513" s="879"/>
      <c r="DVF1513" s="879"/>
      <c r="DVG1513" s="879"/>
      <c r="DVH1513" s="879"/>
      <c r="DVI1513" s="879"/>
      <c r="DVJ1513" s="879"/>
      <c r="DVK1513" s="879"/>
      <c r="DVL1513" s="879"/>
      <c r="DVM1513" s="879"/>
      <c r="DVN1513" s="879"/>
      <c r="DVO1513" s="879"/>
      <c r="DVP1513" s="879"/>
      <c r="DVQ1513" s="879"/>
      <c r="DVR1513" s="879"/>
      <c r="DVS1513" s="879"/>
      <c r="DVT1513" s="879"/>
      <c r="DVU1513" s="879"/>
      <c r="DVV1513" s="879"/>
      <c r="DVW1513" s="879"/>
      <c r="DVX1513" s="879"/>
      <c r="DVY1513" s="879"/>
      <c r="DVZ1513" s="879"/>
      <c r="DWA1513" s="879"/>
      <c r="DWB1513" s="879"/>
      <c r="DWC1513" s="879"/>
      <c r="DWD1513" s="879"/>
      <c r="DWE1513" s="879"/>
      <c r="DWF1513" s="879"/>
      <c r="DWG1513" s="879"/>
      <c r="DWH1513" s="879"/>
      <c r="DWI1513" s="879"/>
      <c r="DWJ1513" s="879"/>
      <c r="DWK1513" s="879"/>
      <c r="DWL1513" s="879"/>
      <c r="DWM1513" s="879"/>
      <c r="DWN1513" s="879"/>
      <c r="DWO1513" s="879"/>
      <c r="DWP1513" s="879"/>
      <c r="DWQ1513" s="879"/>
      <c r="DWR1513" s="879"/>
      <c r="DWS1513" s="879"/>
      <c r="DWT1513" s="879"/>
      <c r="DWU1513" s="879"/>
      <c r="DWV1513" s="879"/>
      <c r="DWW1513" s="879"/>
      <c r="DWX1513" s="879"/>
      <c r="DWY1513" s="879"/>
      <c r="DWZ1513" s="879"/>
      <c r="DXA1513" s="879"/>
      <c r="DXB1513" s="879"/>
      <c r="DXC1513" s="879"/>
      <c r="DXD1513" s="879"/>
      <c r="DXE1513" s="879"/>
      <c r="DXF1513" s="879"/>
      <c r="DXG1513" s="879"/>
      <c r="DXH1513" s="879"/>
      <c r="DXI1513" s="879"/>
      <c r="DXJ1513" s="879"/>
      <c r="DXK1513" s="879"/>
      <c r="DXL1513" s="879"/>
      <c r="DXM1513" s="879"/>
      <c r="DXN1513" s="879"/>
      <c r="DXO1513" s="879"/>
      <c r="DXP1513" s="879"/>
      <c r="DXQ1513" s="879"/>
      <c r="DXR1513" s="879"/>
      <c r="DXS1513" s="879"/>
      <c r="DXT1513" s="879"/>
      <c r="DXU1513" s="879"/>
      <c r="DXV1513" s="879"/>
      <c r="DXW1513" s="879"/>
      <c r="DXX1513" s="879"/>
      <c r="DXY1513" s="879"/>
      <c r="DXZ1513" s="879"/>
      <c r="DYA1513" s="879"/>
      <c r="DYB1513" s="879"/>
      <c r="DYC1513" s="879"/>
      <c r="DYD1513" s="879"/>
      <c r="DYE1513" s="879"/>
      <c r="DYF1513" s="879"/>
      <c r="DYG1513" s="879"/>
      <c r="DYH1513" s="879"/>
      <c r="DYI1513" s="879"/>
      <c r="DYJ1513" s="879"/>
      <c r="DYK1513" s="879"/>
      <c r="DYL1513" s="879"/>
      <c r="DYM1513" s="879"/>
      <c r="DYN1513" s="879"/>
      <c r="DYO1513" s="879"/>
      <c r="DYP1513" s="879"/>
      <c r="DYQ1513" s="879"/>
      <c r="DYR1513" s="879"/>
      <c r="DYS1513" s="879"/>
      <c r="DYT1513" s="879"/>
      <c r="DYU1513" s="879"/>
      <c r="DYV1513" s="879"/>
      <c r="DYW1513" s="879"/>
      <c r="DYX1513" s="879"/>
      <c r="DYY1513" s="879"/>
      <c r="DYZ1513" s="879"/>
      <c r="DZA1513" s="879"/>
      <c r="DZB1513" s="879"/>
      <c r="DZC1513" s="879"/>
      <c r="DZD1513" s="879"/>
      <c r="DZE1513" s="879"/>
      <c r="DZF1513" s="879"/>
      <c r="DZG1513" s="879"/>
      <c r="DZH1513" s="879"/>
      <c r="DZI1513" s="879"/>
      <c r="DZJ1513" s="879"/>
      <c r="DZK1513" s="879"/>
      <c r="DZL1513" s="879"/>
      <c r="DZM1513" s="879"/>
      <c r="DZN1513" s="879"/>
      <c r="DZO1513" s="879"/>
      <c r="DZP1513" s="879"/>
      <c r="DZQ1513" s="879"/>
      <c r="DZR1513" s="879"/>
      <c r="DZS1513" s="879"/>
      <c r="DZT1513" s="879"/>
      <c r="DZU1513" s="879"/>
      <c r="DZV1513" s="879"/>
      <c r="DZW1513" s="879"/>
      <c r="DZX1513" s="879"/>
      <c r="DZY1513" s="879"/>
      <c r="DZZ1513" s="879"/>
      <c r="EAA1513" s="879"/>
      <c r="EAB1513" s="879"/>
      <c r="EAC1513" s="879"/>
      <c r="EAD1513" s="879"/>
      <c r="EAE1513" s="879"/>
      <c r="EAF1513" s="879"/>
      <c r="EAG1513" s="879"/>
      <c r="EAH1513" s="879"/>
      <c r="EAI1513" s="879"/>
      <c r="EAJ1513" s="879"/>
      <c r="EAK1513" s="879"/>
      <c r="EAL1513" s="879"/>
      <c r="EAM1513" s="879"/>
      <c r="EAN1513" s="879"/>
      <c r="EAO1513" s="879"/>
      <c r="EAP1513" s="879"/>
      <c r="EAQ1513" s="879"/>
      <c r="EAR1513" s="879"/>
      <c r="EAS1513" s="879"/>
      <c r="EAT1513" s="879"/>
      <c r="EAU1513" s="879"/>
      <c r="EAV1513" s="879"/>
      <c r="EAW1513" s="879"/>
      <c r="EAX1513" s="879"/>
      <c r="EAY1513" s="879"/>
      <c r="EAZ1513" s="879"/>
      <c r="EBA1513" s="879"/>
      <c r="EBB1513" s="879"/>
      <c r="EBC1513" s="879"/>
      <c r="EBD1513" s="879"/>
      <c r="EBE1513" s="879"/>
      <c r="EBF1513" s="879"/>
      <c r="EBG1513" s="879"/>
      <c r="EBH1513" s="879"/>
      <c r="EBI1513" s="879"/>
      <c r="EBJ1513" s="879"/>
      <c r="EBK1513" s="879"/>
      <c r="EBL1513" s="879"/>
      <c r="EBM1513" s="879"/>
      <c r="EBN1513" s="879"/>
      <c r="EBO1513" s="879"/>
      <c r="EBP1513" s="879"/>
      <c r="EBQ1513" s="879"/>
      <c r="EBR1513" s="879"/>
      <c r="EBS1513" s="879"/>
      <c r="EBT1513" s="879"/>
      <c r="EBU1513" s="879"/>
      <c r="EBV1513" s="879"/>
      <c r="EBW1513" s="879"/>
      <c r="EBX1513" s="879"/>
      <c r="EBY1513" s="879"/>
      <c r="EBZ1513" s="879"/>
      <c r="ECA1513" s="879"/>
      <c r="ECB1513" s="879"/>
      <c r="ECC1513" s="879"/>
      <c r="ECD1513" s="879"/>
      <c r="ECE1513" s="879"/>
      <c r="ECF1513" s="879"/>
      <c r="ECG1513" s="879"/>
      <c r="ECH1513" s="879"/>
      <c r="ECI1513" s="879"/>
      <c r="ECJ1513" s="879"/>
      <c r="ECK1513" s="879"/>
      <c r="ECL1513" s="879"/>
      <c r="ECM1513" s="879"/>
      <c r="ECN1513" s="879"/>
      <c r="ECO1513" s="879"/>
      <c r="ECP1513" s="879"/>
      <c r="ECQ1513" s="879"/>
      <c r="ECR1513" s="879"/>
      <c r="ECS1513" s="879"/>
      <c r="ECT1513" s="879"/>
      <c r="ECU1513" s="879"/>
      <c r="ECV1513" s="879"/>
      <c r="ECW1513" s="879"/>
      <c r="ECX1513" s="879"/>
      <c r="ECY1513" s="879"/>
      <c r="ECZ1513" s="879"/>
      <c r="EDA1513" s="879"/>
      <c r="EDB1513" s="879"/>
      <c r="EDC1513" s="879"/>
      <c r="EDD1513" s="879"/>
      <c r="EDE1513" s="879"/>
      <c r="EDF1513" s="879"/>
      <c r="EDG1513" s="879"/>
      <c r="EDH1513" s="879"/>
      <c r="EDI1513" s="879"/>
      <c r="EDJ1513" s="879"/>
      <c r="EDK1513" s="879"/>
      <c r="EDL1513" s="879"/>
      <c r="EDM1513" s="879"/>
      <c r="EDN1513" s="879"/>
      <c r="EDO1513" s="879"/>
      <c r="EDP1513" s="879"/>
      <c r="EDQ1513" s="879"/>
      <c r="EDR1513" s="879"/>
      <c r="EDS1513" s="879"/>
      <c r="EDT1513" s="879"/>
      <c r="EDU1513" s="879"/>
      <c r="EDV1513" s="879"/>
      <c r="EDW1513" s="879"/>
      <c r="EDX1513" s="879"/>
      <c r="EDY1513" s="879"/>
      <c r="EDZ1513" s="879"/>
      <c r="EEA1513" s="879"/>
      <c r="EEB1513" s="879"/>
      <c r="EEC1513" s="879"/>
      <c r="EED1513" s="879"/>
      <c r="EEE1513" s="879"/>
      <c r="EEF1513" s="879"/>
      <c r="EEG1513" s="879"/>
      <c r="EEH1513" s="879"/>
      <c r="EEI1513" s="879"/>
      <c r="EEJ1513" s="879"/>
      <c r="EEK1513" s="879"/>
      <c r="EEL1513" s="879"/>
      <c r="EEM1513" s="879"/>
      <c r="EEN1513" s="879"/>
      <c r="EEO1513" s="879"/>
      <c r="EEP1513" s="879"/>
      <c r="EEQ1513" s="879"/>
      <c r="EER1513" s="879"/>
      <c r="EES1513" s="879"/>
      <c r="EET1513" s="879"/>
      <c r="EEU1513" s="879"/>
      <c r="EEV1513" s="879"/>
      <c r="EEW1513" s="879"/>
      <c r="EEX1513" s="879"/>
      <c r="EEY1513" s="879"/>
      <c r="EEZ1513" s="879"/>
      <c r="EFA1513" s="879"/>
      <c r="EFB1513" s="879"/>
      <c r="EFC1513" s="879"/>
      <c r="EFD1513" s="879"/>
      <c r="EFE1513" s="879"/>
      <c r="EFF1513" s="879"/>
      <c r="EFG1513" s="879"/>
      <c r="EFH1513" s="879"/>
      <c r="EFI1513" s="879"/>
      <c r="EFJ1513" s="879"/>
      <c r="EFK1513" s="879"/>
      <c r="EFL1513" s="879"/>
      <c r="EFM1513" s="879"/>
      <c r="EFN1513" s="879"/>
      <c r="EFO1513" s="879"/>
      <c r="EFP1513" s="879"/>
      <c r="EFQ1513" s="879"/>
      <c r="EFR1513" s="879"/>
      <c r="EFS1513" s="879"/>
      <c r="EFT1513" s="879"/>
      <c r="EFU1513" s="879"/>
      <c r="EFV1513" s="879"/>
      <c r="EFW1513" s="879"/>
      <c r="EFX1513" s="879"/>
      <c r="EFY1513" s="879"/>
      <c r="EFZ1513" s="879"/>
      <c r="EGA1513" s="879"/>
      <c r="EGB1513" s="879"/>
      <c r="EGC1513" s="879"/>
      <c r="EGD1513" s="879"/>
      <c r="EGE1513" s="879"/>
      <c r="EGF1513" s="879"/>
      <c r="EGG1513" s="879"/>
      <c r="EGH1513" s="879"/>
      <c r="EGI1513" s="879"/>
      <c r="EGJ1513" s="879"/>
      <c r="EGK1513" s="879"/>
      <c r="EGL1513" s="879"/>
      <c r="EGM1513" s="879"/>
      <c r="EGN1513" s="879"/>
      <c r="EGO1513" s="879"/>
      <c r="EGP1513" s="879"/>
      <c r="EGQ1513" s="879"/>
      <c r="EGR1513" s="879"/>
      <c r="EGS1513" s="879"/>
      <c r="EGT1513" s="879"/>
      <c r="EGU1513" s="879"/>
      <c r="EGV1513" s="879"/>
      <c r="EGW1513" s="879"/>
      <c r="EGX1513" s="879"/>
      <c r="EGY1513" s="879"/>
      <c r="EGZ1513" s="879"/>
      <c r="EHA1513" s="879"/>
      <c r="EHB1513" s="879"/>
      <c r="EHC1513" s="879"/>
      <c r="EHD1513" s="879"/>
      <c r="EHE1513" s="879"/>
      <c r="EHF1513" s="879"/>
      <c r="EHG1513" s="879"/>
      <c r="EHH1513" s="879"/>
      <c r="EHI1513" s="879"/>
      <c r="EHJ1513" s="879"/>
      <c r="EHK1513" s="879"/>
      <c r="EHL1513" s="879"/>
      <c r="EHM1513" s="879"/>
      <c r="EHN1513" s="879"/>
      <c r="EHO1513" s="879"/>
      <c r="EHP1513" s="879"/>
      <c r="EHQ1513" s="879"/>
      <c r="EHR1513" s="879"/>
      <c r="EHS1513" s="879"/>
      <c r="EHT1513" s="879"/>
      <c r="EHU1513" s="879"/>
      <c r="EHV1513" s="879"/>
      <c r="EHW1513" s="879"/>
      <c r="EHX1513" s="879"/>
      <c r="EHY1513" s="879"/>
      <c r="EHZ1513" s="879"/>
      <c r="EIA1513" s="879"/>
      <c r="EIB1513" s="879"/>
      <c r="EIC1513" s="879"/>
      <c r="EID1513" s="879"/>
      <c r="EIE1513" s="879"/>
      <c r="EIF1513" s="879"/>
      <c r="EIG1513" s="879"/>
      <c r="EIH1513" s="879"/>
      <c r="EII1513" s="879"/>
      <c r="EIJ1513" s="879"/>
      <c r="EIK1513" s="879"/>
      <c r="EIL1513" s="879"/>
      <c r="EIM1513" s="879"/>
      <c r="EIN1513" s="879"/>
      <c r="EIO1513" s="879"/>
      <c r="EIP1513" s="879"/>
      <c r="EIQ1513" s="879"/>
      <c r="EIR1513" s="879"/>
      <c r="EIS1513" s="879"/>
      <c r="EIT1513" s="879"/>
      <c r="EIU1513" s="879"/>
      <c r="EIV1513" s="879"/>
      <c r="EIW1513" s="879"/>
      <c r="EIX1513" s="879"/>
      <c r="EIY1513" s="879"/>
      <c r="EIZ1513" s="879"/>
      <c r="EJA1513" s="879"/>
      <c r="EJB1513" s="879"/>
      <c r="EJC1513" s="879"/>
      <c r="EJD1513" s="879"/>
      <c r="EJE1513" s="879"/>
      <c r="EJF1513" s="879"/>
      <c r="EJG1513" s="879"/>
      <c r="EJH1513" s="879"/>
      <c r="EJI1513" s="879"/>
      <c r="EJJ1513" s="879"/>
      <c r="EJK1513" s="879"/>
      <c r="EJL1513" s="879"/>
      <c r="EJM1513" s="879"/>
      <c r="EJN1513" s="879"/>
      <c r="EJO1513" s="879"/>
      <c r="EJP1513" s="879"/>
      <c r="EJQ1513" s="879"/>
      <c r="EJR1513" s="879"/>
      <c r="EJS1513" s="879"/>
      <c r="EJT1513" s="879"/>
      <c r="EJU1513" s="879"/>
      <c r="EJV1513" s="879"/>
      <c r="EJW1513" s="879"/>
      <c r="EJX1513" s="879"/>
      <c r="EJY1513" s="879"/>
      <c r="EJZ1513" s="879"/>
      <c r="EKA1513" s="879"/>
      <c r="EKB1513" s="879"/>
      <c r="EKC1513" s="879"/>
      <c r="EKD1513" s="879"/>
      <c r="EKE1513" s="879"/>
      <c r="EKF1513" s="879"/>
      <c r="EKG1513" s="879"/>
      <c r="EKH1513" s="879"/>
      <c r="EKI1513" s="879"/>
      <c r="EKJ1513" s="879"/>
      <c r="EKK1513" s="879"/>
      <c r="EKL1513" s="879"/>
      <c r="EKM1513" s="879"/>
      <c r="EKN1513" s="879"/>
      <c r="EKO1513" s="879"/>
      <c r="EKP1513" s="879"/>
      <c r="EKQ1513" s="879"/>
      <c r="EKR1513" s="879"/>
      <c r="EKS1513" s="879"/>
      <c r="EKT1513" s="879"/>
      <c r="EKU1513" s="879"/>
      <c r="EKV1513" s="879"/>
      <c r="EKW1513" s="879"/>
      <c r="EKX1513" s="879"/>
      <c r="EKY1513" s="879"/>
      <c r="EKZ1513" s="879"/>
      <c r="ELA1513" s="879"/>
      <c r="ELB1513" s="879"/>
      <c r="ELC1513" s="879"/>
      <c r="ELD1513" s="879"/>
      <c r="ELE1513" s="879"/>
      <c r="ELF1513" s="879"/>
      <c r="ELG1513" s="879"/>
      <c r="ELH1513" s="879"/>
      <c r="ELI1513" s="879"/>
      <c r="ELJ1513" s="879"/>
      <c r="ELK1513" s="879"/>
      <c r="ELL1513" s="879"/>
      <c r="ELM1513" s="879"/>
      <c r="ELN1513" s="879"/>
      <c r="ELO1513" s="879"/>
      <c r="ELP1513" s="879"/>
      <c r="ELQ1513" s="879"/>
      <c r="ELR1513" s="879"/>
      <c r="ELS1513" s="879"/>
      <c r="ELT1513" s="879"/>
      <c r="ELU1513" s="879"/>
      <c r="ELV1513" s="879"/>
      <c r="ELW1513" s="879"/>
      <c r="ELX1513" s="879"/>
      <c r="ELY1513" s="879"/>
      <c r="ELZ1513" s="879"/>
      <c r="EMA1513" s="879"/>
      <c r="EMB1513" s="879"/>
      <c r="EMC1513" s="879"/>
      <c r="EMD1513" s="879"/>
      <c r="EME1513" s="879"/>
      <c r="EMF1513" s="879"/>
      <c r="EMG1513" s="879"/>
      <c r="EMH1513" s="879"/>
      <c r="EMI1513" s="879"/>
      <c r="EMJ1513" s="879"/>
      <c r="EMK1513" s="879"/>
      <c r="EML1513" s="879"/>
      <c r="EMM1513" s="879"/>
      <c r="EMN1513" s="879"/>
      <c r="EMO1513" s="879"/>
      <c r="EMP1513" s="879"/>
      <c r="EMQ1513" s="879"/>
      <c r="EMR1513" s="879"/>
      <c r="EMS1513" s="879"/>
      <c r="EMT1513" s="879"/>
      <c r="EMU1513" s="879"/>
      <c r="EMV1513" s="879"/>
      <c r="EMW1513" s="879"/>
      <c r="EMX1513" s="879"/>
      <c r="EMY1513" s="879"/>
      <c r="EMZ1513" s="879"/>
      <c r="ENA1513" s="879"/>
      <c r="ENB1513" s="879"/>
      <c r="ENC1513" s="879"/>
      <c r="END1513" s="879"/>
      <c r="ENE1513" s="879"/>
      <c r="ENF1513" s="879"/>
      <c r="ENG1513" s="879"/>
      <c r="ENH1513" s="879"/>
      <c r="ENI1513" s="879"/>
      <c r="ENJ1513" s="879"/>
      <c r="ENK1513" s="879"/>
      <c r="ENL1513" s="879"/>
      <c r="ENM1513" s="879"/>
      <c r="ENN1513" s="879"/>
      <c r="ENO1513" s="879"/>
      <c r="ENP1513" s="879"/>
      <c r="ENQ1513" s="879"/>
      <c r="ENR1513" s="879"/>
      <c r="ENS1513" s="879"/>
      <c r="ENT1513" s="879"/>
      <c r="ENU1513" s="879"/>
      <c r="ENV1513" s="879"/>
      <c r="ENW1513" s="879"/>
      <c r="ENX1513" s="879"/>
      <c r="ENY1513" s="879"/>
      <c r="ENZ1513" s="879"/>
      <c r="EOA1513" s="879"/>
      <c r="EOB1513" s="879"/>
      <c r="EOC1513" s="879"/>
      <c r="EOD1513" s="879"/>
      <c r="EOE1513" s="879"/>
      <c r="EOF1513" s="879"/>
      <c r="EOG1513" s="879"/>
      <c r="EOH1513" s="879"/>
      <c r="EOI1513" s="879"/>
      <c r="EOJ1513" s="879"/>
      <c r="EOK1513" s="879"/>
      <c r="EOL1513" s="879"/>
      <c r="EOM1513" s="879"/>
      <c r="EON1513" s="879"/>
      <c r="EOO1513" s="879"/>
      <c r="EOP1513" s="879"/>
      <c r="EOQ1513" s="879"/>
      <c r="EOR1513" s="879"/>
      <c r="EOS1513" s="879"/>
      <c r="EOT1513" s="879"/>
      <c r="EOU1513" s="879"/>
      <c r="EOV1513" s="879"/>
      <c r="EOW1513" s="879"/>
      <c r="EOX1513" s="879"/>
      <c r="EOY1513" s="879"/>
      <c r="EOZ1513" s="879"/>
      <c r="EPA1513" s="879"/>
      <c r="EPB1513" s="879"/>
      <c r="EPC1513" s="879"/>
      <c r="EPD1513" s="879"/>
      <c r="EPE1513" s="879"/>
      <c r="EPF1513" s="879"/>
      <c r="EPG1513" s="879"/>
      <c r="EPH1513" s="879"/>
      <c r="EPI1513" s="879"/>
      <c r="EPJ1513" s="879"/>
      <c r="EPK1513" s="879"/>
      <c r="EPL1513" s="879"/>
      <c r="EPM1513" s="879"/>
      <c r="EPN1513" s="879"/>
      <c r="EPO1513" s="879"/>
      <c r="EPP1513" s="879"/>
      <c r="EPQ1513" s="879"/>
      <c r="EPR1513" s="879"/>
      <c r="EPS1513" s="879"/>
      <c r="EPT1513" s="879"/>
      <c r="EPU1513" s="879"/>
      <c r="EPV1513" s="879"/>
      <c r="EPW1513" s="879"/>
      <c r="EPX1513" s="879"/>
      <c r="EPY1513" s="879"/>
      <c r="EPZ1513" s="879"/>
      <c r="EQA1513" s="879"/>
      <c r="EQB1513" s="879"/>
      <c r="EQC1513" s="879"/>
      <c r="EQD1513" s="879"/>
      <c r="EQE1513" s="879"/>
      <c r="EQF1513" s="879"/>
      <c r="EQG1513" s="879"/>
      <c r="EQH1513" s="879"/>
      <c r="EQI1513" s="879"/>
      <c r="EQJ1513" s="879"/>
      <c r="EQK1513" s="879"/>
      <c r="EQL1513" s="879"/>
      <c r="EQM1513" s="879"/>
      <c r="EQN1513" s="879"/>
      <c r="EQO1513" s="879"/>
      <c r="EQP1513" s="879"/>
      <c r="EQQ1513" s="879"/>
      <c r="EQR1513" s="879"/>
      <c r="EQS1513" s="879"/>
      <c r="EQT1513" s="879"/>
      <c r="EQU1513" s="879"/>
      <c r="EQV1513" s="879"/>
      <c r="EQW1513" s="879"/>
      <c r="EQX1513" s="879"/>
      <c r="EQY1513" s="879"/>
      <c r="EQZ1513" s="879"/>
      <c r="ERA1513" s="879"/>
      <c r="ERB1513" s="879"/>
      <c r="ERC1513" s="879"/>
      <c r="ERD1513" s="879"/>
      <c r="ERE1513" s="879"/>
      <c r="ERF1513" s="879"/>
      <c r="ERG1513" s="879"/>
      <c r="ERH1513" s="879"/>
      <c r="ERI1513" s="879"/>
      <c r="ERJ1513" s="879"/>
      <c r="ERK1513" s="879"/>
      <c r="ERL1513" s="879"/>
      <c r="ERM1513" s="879"/>
      <c r="ERN1513" s="879"/>
      <c r="ERO1513" s="879"/>
      <c r="ERP1513" s="879"/>
      <c r="ERQ1513" s="879"/>
      <c r="ERR1513" s="879"/>
      <c r="ERS1513" s="879"/>
      <c r="ERT1513" s="879"/>
      <c r="ERU1513" s="879"/>
      <c r="ERV1513" s="879"/>
      <c r="ERW1513" s="879"/>
      <c r="ERX1513" s="879"/>
      <c r="ERY1513" s="879"/>
      <c r="ERZ1513" s="879"/>
      <c r="ESA1513" s="879"/>
      <c r="ESB1513" s="879"/>
      <c r="ESC1513" s="879"/>
      <c r="ESD1513" s="879"/>
      <c r="ESE1513" s="879"/>
      <c r="ESF1513" s="879"/>
      <c r="ESG1513" s="879"/>
      <c r="ESH1513" s="879"/>
      <c r="ESI1513" s="879"/>
      <c r="ESJ1513" s="879"/>
      <c r="ESK1513" s="879"/>
      <c r="ESL1513" s="879"/>
      <c r="ESM1513" s="879"/>
      <c r="ESN1513" s="879"/>
      <c r="ESO1513" s="879"/>
      <c r="ESP1513" s="879"/>
      <c r="ESQ1513" s="879"/>
      <c r="ESR1513" s="879"/>
      <c r="ESS1513" s="879"/>
      <c r="EST1513" s="879"/>
      <c r="ESU1513" s="879"/>
      <c r="ESV1513" s="879"/>
      <c r="ESW1513" s="879"/>
      <c r="ESX1513" s="879"/>
      <c r="ESY1513" s="879"/>
      <c r="ESZ1513" s="879"/>
      <c r="ETA1513" s="879"/>
      <c r="ETB1513" s="879"/>
      <c r="ETC1513" s="879"/>
      <c r="ETD1513" s="879"/>
      <c r="ETE1513" s="879"/>
      <c r="ETF1513" s="879"/>
      <c r="ETG1513" s="879"/>
      <c r="ETH1513" s="879"/>
      <c r="ETI1513" s="879"/>
      <c r="ETJ1513" s="879"/>
      <c r="ETK1513" s="879"/>
      <c r="ETL1513" s="879"/>
      <c r="ETM1513" s="879"/>
      <c r="ETN1513" s="879"/>
      <c r="ETO1513" s="879"/>
      <c r="ETP1513" s="879"/>
      <c r="ETQ1513" s="879"/>
      <c r="ETR1513" s="879"/>
      <c r="ETS1513" s="879"/>
      <c r="ETT1513" s="879"/>
      <c r="ETU1513" s="879"/>
      <c r="ETV1513" s="879"/>
      <c r="ETW1513" s="879"/>
      <c r="ETX1513" s="879"/>
      <c r="ETY1513" s="879"/>
      <c r="ETZ1513" s="879"/>
      <c r="EUA1513" s="879"/>
      <c r="EUB1513" s="879"/>
      <c r="EUC1513" s="879"/>
      <c r="EUD1513" s="879"/>
      <c r="EUE1513" s="879"/>
      <c r="EUF1513" s="879"/>
      <c r="EUG1513" s="879"/>
      <c r="EUH1513" s="879"/>
      <c r="EUI1513" s="879"/>
      <c r="EUJ1513" s="879"/>
      <c r="EUK1513" s="879"/>
      <c r="EUL1513" s="879"/>
      <c r="EUM1513" s="879"/>
      <c r="EUN1513" s="879"/>
      <c r="EUO1513" s="879"/>
      <c r="EUP1513" s="879"/>
      <c r="EUQ1513" s="879"/>
      <c r="EUR1513" s="879"/>
      <c r="EUS1513" s="879"/>
      <c r="EUT1513" s="879"/>
      <c r="EUU1513" s="879"/>
      <c r="EUV1513" s="879"/>
      <c r="EUW1513" s="879"/>
      <c r="EUX1513" s="879"/>
      <c r="EUY1513" s="879"/>
      <c r="EUZ1513" s="879"/>
      <c r="EVA1513" s="879"/>
      <c r="EVB1513" s="879"/>
      <c r="EVC1513" s="879"/>
      <c r="EVD1513" s="879"/>
      <c r="EVE1513" s="879"/>
      <c r="EVF1513" s="879"/>
      <c r="EVG1513" s="879"/>
      <c r="EVH1513" s="879"/>
      <c r="EVI1513" s="879"/>
      <c r="EVJ1513" s="879"/>
      <c r="EVK1513" s="879"/>
      <c r="EVL1513" s="879"/>
      <c r="EVM1513" s="879"/>
      <c r="EVN1513" s="879"/>
      <c r="EVO1513" s="879"/>
      <c r="EVP1513" s="879"/>
      <c r="EVQ1513" s="879"/>
      <c r="EVR1513" s="879"/>
      <c r="EVS1513" s="879"/>
      <c r="EVT1513" s="879"/>
      <c r="EVU1513" s="879"/>
      <c r="EVV1513" s="879"/>
      <c r="EVW1513" s="879"/>
      <c r="EVX1513" s="879"/>
      <c r="EVY1513" s="879"/>
      <c r="EVZ1513" s="879"/>
      <c r="EWA1513" s="879"/>
      <c r="EWB1513" s="879"/>
      <c r="EWC1513" s="879"/>
      <c r="EWD1513" s="879"/>
      <c r="EWE1513" s="879"/>
      <c r="EWF1513" s="879"/>
      <c r="EWG1513" s="879"/>
      <c r="EWH1513" s="879"/>
      <c r="EWI1513" s="879"/>
      <c r="EWJ1513" s="879"/>
      <c r="EWK1513" s="879"/>
      <c r="EWL1513" s="879"/>
      <c r="EWM1513" s="879"/>
      <c r="EWN1513" s="879"/>
      <c r="EWO1513" s="879"/>
      <c r="EWP1513" s="879"/>
      <c r="EWQ1513" s="879"/>
      <c r="EWR1513" s="879"/>
      <c r="EWS1513" s="879"/>
      <c r="EWT1513" s="879"/>
      <c r="EWU1513" s="879"/>
      <c r="EWV1513" s="879"/>
      <c r="EWW1513" s="879"/>
      <c r="EWX1513" s="879"/>
      <c r="EWY1513" s="879"/>
      <c r="EWZ1513" s="879"/>
      <c r="EXA1513" s="879"/>
      <c r="EXB1513" s="879"/>
      <c r="EXC1513" s="879"/>
      <c r="EXD1513" s="879"/>
      <c r="EXE1513" s="879"/>
      <c r="EXF1513" s="879"/>
      <c r="EXG1513" s="879"/>
      <c r="EXH1513" s="879"/>
      <c r="EXI1513" s="879"/>
      <c r="EXJ1513" s="879"/>
      <c r="EXK1513" s="879"/>
      <c r="EXL1513" s="879"/>
      <c r="EXM1513" s="879"/>
      <c r="EXN1513" s="879"/>
      <c r="EXO1513" s="879"/>
      <c r="EXP1513" s="879"/>
      <c r="EXQ1513" s="879"/>
      <c r="EXR1513" s="879"/>
      <c r="EXS1513" s="879"/>
      <c r="EXT1513" s="879"/>
      <c r="EXU1513" s="879"/>
      <c r="EXV1513" s="879"/>
      <c r="EXW1513" s="879"/>
      <c r="EXX1513" s="879"/>
      <c r="EXY1513" s="879"/>
      <c r="EXZ1513" s="879"/>
      <c r="EYA1513" s="879"/>
      <c r="EYB1513" s="879"/>
      <c r="EYC1513" s="879"/>
      <c r="EYD1513" s="879"/>
      <c r="EYE1513" s="879"/>
      <c r="EYF1513" s="879"/>
      <c r="EYG1513" s="879"/>
      <c r="EYH1513" s="879"/>
      <c r="EYI1513" s="879"/>
      <c r="EYJ1513" s="879"/>
      <c r="EYK1513" s="879"/>
      <c r="EYL1513" s="879"/>
      <c r="EYM1513" s="879"/>
      <c r="EYN1513" s="879"/>
      <c r="EYO1513" s="879"/>
      <c r="EYP1513" s="879"/>
      <c r="EYQ1513" s="879"/>
      <c r="EYR1513" s="879"/>
      <c r="EYS1513" s="879"/>
      <c r="EYT1513" s="879"/>
      <c r="EYU1513" s="879"/>
      <c r="EYV1513" s="879"/>
      <c r="EYW1513" s="879"/>
      <c r="EYX1513" s="879"/>
      <c r="EYY1513" s="879"/>
      <c r="EYZ1513" s="879"/>
      <c r="EZA1513" s="879"/>
      <c r="EZB1513" s="879"/>
      <c r="EZC1513" s="879"/>
      <c r="EZD1513" s="879"/>
      <c r="EZE1513" s="879"/>
      <c r="EZF1513" s="879"/>
      <c r="EZG1513" s="879"/>
      <c r="EZH1513" s="879"/>
      <c r="EZI1513" s="879"/>
      <c r="EZJ1513" s="879"/>
      <c r="EZK1513" s="879"/>
      <c r="EZL1513" s="879"/>
      <c r="EZM1513" s="879"/>
      <c r="EZN1513" s="879"/>
      <c r="EZO1513" s="879"/>
      <c r="EZP1513" s="879"/>
      <c r="EZQ1513" s="879"/>
      <c r="EZR1513" s="879"/>
      <c r="EZS1513" s="879"/>
      <c r="EZT1513" s="879"/>
      <c r="EZU1513" s="879"/>
      <c r="EZV1513" s="879"/>
      <c r="EZW1513" s="879"/>
      <c r="EZX1513" s="879"/>
      <c r="EZY1513" s="879"/>
      <c r="EZZ1513" s="879"/>
      <c r="FAA1513" s="879"/>
      <c r="FAB1513" s="879"/>
      <c r="FAC1513" s="879"/>
      <c r="FAD1513" s="879"/>
      <c r="FAE1513" s="879"/>
      <c r="FAF1513" s="879"/>
      <c r="FAG1513" s="879"/>
      <c r="FAH1513" s="879"/>
      <c r="FAI1513" s="879"/>
      <c r="FAJ1513" s="879"/>
      <c r="FAK1513" s="879"/>
      <c r="FAL1513" s="879"/>
      <c r="FAM1513" s="879"/>
      <c r="FAN1513" s="879"/>
      <c r="FAO1513" s="879"/>
      <c r="FAP1513" s="879"/>
      <c r="FAQ1513" s="879"/>
      <c r="FAR1513" s="879"/>
      <c r="FAS1513" s="879"/>
      <c r="FAT1513" s="879"/>
      <c r="FAU1513" s="879"/>
      <c r="FAV1513" s="879"/>
      <c r="FAW1513" s="879"/>
      <c r="FAX1513" s="879"/>
      <c r="FAY1513" s="879"/>
      <c r="FAZ1513" s="879"/>
      <c r="FBA1513" s="879"/>
      <c r="FBB1513" s="879"/>
      <c r="FBC1513" s="879"/>
      <c r="FBD1513" s="879"/>
      <c r="FBE1513" s="879"/>
      <c r="FBF1513" s="879"/>
      <c r="FBG1513" s="879"/>
      <c r="FBH1513" s="879"/>
      <c r="FBI1513" s="879"/>
      <c r="FBJ1513" s="879"/>
      <c r="FBK1513" s="879"/>
      <c r="FBL1513" s="879"/>
      <c r="FBM1513" s="879"/>
      <c r="FBN1513" s="879"/>
      <c r="FBO1513" s="879"/>
      <c r="FBP1513" s="879"/>
      <c r="FBQ1513" s="879"/>
      <c r="FBR1513" s="879"/>
      <c r="FBS1513" s="879"/>
      <c r="FBT1513" s="879"/>
      <c r="FBU1513" s="879"/>
      <c r="FBV1513" s="879"/>
      <c r="FBW1513" s="879"/>
      <c r="FBX1513" s="879"/>
      <c r="FBY1513" s="879"/>
      <c r="FBZ1513" s="879"/>
      <c r="FCA1513" s="879"/>
      <c r="FCB1513" s="879"/>
      <c r="FCC1513" s="879"/>
      <c r="FCD1513" s="879"/>
      <c r="FCE1513" s="879"/>
      <c r="FCF1513" s="879"/>
      <c r="FCG1513" s="879"/>
      <c r="FCH1513" s="879"/>
      <c r="FCI1513" s="879"/>
      <c r="FCJ1513" s="879"/>
      <c r="FCK1513" s="879"/>
      <c r="FCL1513" s="879"/>
      <c r="FCM1513" s="879"/>
      <c r="FCN1513" s="879"/>
      <c r="FCO1513" s="879"/>
      <c r="FCP1513" s="879"/>
      <c r="FCQ1513" s="879"/>
      <c r="FCR1513" s="879"/>
      <c r="FCS1513" s="879"/>
      <c r="FCT1513" s="879"/>
      <c r="FCU1513" s="879"/>
      <c r="FCV1513" s="879"/>
      <c r="FCW1513" s="879"/>
      <c r="FCX1513" s="879"/>
      <c r="FCY1513" s="879"/>
      <c r="FCZ1513" s="879"/>
      <c r="FDA1513" s="879"/>
      <c r="FDB1513" s="879"/>
      <c r="FDC1513" s="879"/>
      <c r="FDD1513" s="879"/>
      <c r="FDE1513" s="879"/>
      <c r="FDF1513" s="879"/>
      <c r="FDG1513" s="879"/>
      <c r="FDH1513" s="879"/>
      <c r="FDI1513" s="879"/>
      <c r="FDJ1513" s="879"/>
      <c r="FDK1513" s="879"/>
      <c r="FDL1513" s="879"/>
      <c r="FDM1513" s="879"/>
      <c r="FDN1513" s="879"/>
      <c r="FDO1513" s="879"/>
      <c r="FDP1513" s="879"/>
      <c r="FDQ1513" s="879"/>
      <c r="FDR1513" s="879"/>
      <c r="FDS1513" s="879"/>
      <c r="FDT1513" s="879"/>
      <c r="FDU1513" s="879"/>
      <c r="FDV1513" s="879"/>
      <c r="FDW1513" s="879"/>
      <c r="FDX1513" s="879"/>
      <c r="FDY1513" s="879"/>
      <c r="FDZ1513" s="879"/>
      <c r="FEA1513" s="879"/>
      <c r="FEB1513" s="879"/>
      <c r="FEC1513" s="879"/>
      <c r="FED1513" s="879"/>
      <c r="FEE1513" s="879"/>
      <c r="FEF1513" s="879"/>
      <c r="FEG1513" s="879"/>
      <c r="FEH1513" s="879"/>
      <c r="FEI1513" s="879"/>
      <c r="FEJ1513" s="879"/>
      <c r="FEK1513" s="879"/>
      <c r="FEL1513" s="879"/>
      <c r="FEM1513" s="879"/>
      <c r="FEN1513" s="879"/>
      <c r="FEO1513" s="879"/>
      <c r="FEP1513" s="879"/>
      <c r="FEQ1513" s="879"/>
      <c r="FER1513" s="879"/>
      <c r="FES1513" s="879"/>
      <c r="FET1513" s="879"/>
      <c r="FEU1513" s="879"/>
      <c r="FEV1513" s="879"/>
      <c r="FEW1513" s="879"/>
      <c r="FEX1513" s="879"/>
      <c r="FEY1513" s="879"/>
      <c r="FEZ1513" s="879"/>
      <c r="FFA1513" s="879"/>
      <c r="FFB1513" s="879"/>
      <c r="FFC1513" s="879"/>
      <c r="FFD1513" s="879"/>
      <c r="FFE1513" s="879"/>
      <c r="FFF1513" s="879"/>
      <c r="FFG1513" s="879"/>
      <c r="FFH1513" s="879"/>
      <c r="FFI1513" s="879"/>
      <c r="FFJ1513" s="879"/>
      <c r="FFK1513" s="879"/>
      <c r="FFL1513" s="879"/>
      <c r="FFM1513" s="879"/>
      <c r="FFN1513" s="879"/>
      <c r="FFO1513" s="879"/>
      <c r="FFP1513" s="879"/>
      <c r="FFQ1513" s="879"/>
      <c r="FFR1513" s="879"/>
      <c r="FFS1513" s="879"/>
      <c r="FFT1513" s="879"/>
      <c r="FFU1513" s="879"/>
      <c r="FFV1513" s="879"/>
      <c r="FFW1513" s="879"/>
      <c r="FFX1513" s="879"/>
      <c r="FFY1513" s="879"/>
      <c r="FFZ1513" s="879"/>
      <c r="FGA1513" s="879"/>
      <c r="FGB1513" s="879"/>
      <c r="FGC1513" s="879"/>
      <c r="FGD1513" s="879"/>
      <c r="FGE1513" s="879"/>
      <c r="FGF1513" s="879"/>
      <c r="FGG1513" s="879"/>
      <c r="FGH1513" s="879"/>
      <c r="FGI1513" s="879"/>
      <c r="FGJ1513" s="879"/>
      <c r="FGK1513" s="879"/>
      <c r="FGL1513" s="879"/>
      <c r="FGM1513" s="879"/>
      <c r="FGN1513" s="879"/>
      <c r="FGO1513" s="879"/>
      <c r="FGP1513" s="879"/>
      <c r="FGQ1513" s="879"/>
      <c r="FGR1513" s="879"/>
      <c r="FGS1513" s="879"/>
      <c r="FGT1513" s="879"/>
      <c r="FGU1513" s="879"/>
      <c r="FGV1513" s="879"/>
      <c r="FGW1513" s="879"/>
      <c r="FGX1513" s="879"/>
      <c r="FGY1513" s="879"/>
      <c r="FGZ1513" s="879"/>
      <c r="FHA1513" s="879"/>
      <c r="FHB1513" s="879"/>
      <c r="FHC1513" s="879"/>
      <c r="FHD1513" s="879"/>
      <c r="FHE1513" s="879"/>
      <c r="FHF1513" s="879"/>
      <c r="FHG1513" s="879"/>
      <c r="FHH1513" s="879"/>
      <c r="FHI1513" s="879"/>
      <c r="FHJ1513" s="879"/>
      <c r="FHK1513" s="879"/>
      <c r="FHL1513" s="879"/>
      <c r="FHM1513" s="879"/>
      <c r="FHN1513" s="879"/>
      <c r="FHO1513" s="879"/>
      <c r="FHP1513" s="879"/>
      <c r="FHQ1513" s="879"/>
      <c r="FHR1513" s="879"/>
      <c r="FHS1513" s="879"/>
      <c r="FHT1513" s="879"/>
      <c r="FHU1513" s="879"/>
      <c r="FHV1513" s="879"/>
      <c r="FHW1513" s="879"/>
      <c r="FHX1513" s="879"/>
      <c r="FHY1513" s="879"/>
      <c r="FHZ1513" s="879"/>
      <c r="FIA1513" s="879"/>
      <c r="FIB1513" s="879"/>
      <c r="FIC1513" s="879"/>
      <c r="FID1513" s="879"/>
      <c r="FIE1513" s="879"/>
      <c r="FIF1513" s="879"/>
      <c r="FIG1513" s="879"/>
      <c r="FIH1513" s="879"/>
      <c r="FII1513" s="879"/>
      <c r="FIJ1513" s="879"/>
      <c r="FIK1513" s="879"/>
      <c r="FIL1513" s="879"/>
      <c r="FIM1513" s="879"/>
      <c r="FIN1513" s="879"/>
      <c r="FIO1513" s="879"/>
      <c r="FIP1513" s="879"/>
      <c r="FIQ1513" s="879"/>
      <c r="FIR1513" s="879"/>
      <c r="FIS1513" s="879"/>
      <c r="FIT1513" s="879"/>
      <c r="FIU1513" s="879"/>
      <c r="FIV1513" s="879"/>
      <c r="FIW1513" s="879"/>
      <c r="FIX1513" s="879"/>
      <c r="FIY1513" s="879"/>
      <c r="FIZ1513" s="879"/>
      <c r="FJA1513" s="879"/>
      <c r="FJB1513" s="879"/>
      <c r="FJC1513" s="879"/>
      <c r="FJD1513" s="879"/>
      <c r="FJE1513" s="879"/>
      <c r="FJF1513" s="879"/>
      <c r="FJG1513" s="879"/>
      <c r="FJH1513" s="879"/>
      <c r="FJI1513" s="879"/>
      <c r="FJJ1513" s="879"/>
      <c r="FJK1513" s="879"/>
      <c r="FJL1513" s="879"/>
      <c r="FJM1513" s="879"/>
      <c r="FJN1513" s="879"/>
      <c r="FJO1513" s="879"/>
      <c r="FJP1513" s="879"/>
      <c r="FJQ1513" s="879"/>
      <c r="FJR1513" s="879"/>
      <c r="FJS1513" s="879"/>
      <c r="FJT1513" s="879"/>
      <c r="FJU1513" s="879"/>
      <c r="FJV1513" s="879"/>
      <c r="FJW1513" s="879"/>
      <c r="FJX1513" s="879"/>
      <c r="FJY1513" s="879"/>
      <c r="FJZ1513" s="879"/>
      <c r="FKA1513" s="879"/>
      <c r="FKB1513" s="879"/>
      <c r="FKC1513" s="879"/>
      <c r="FKD1513" s="879"/>
      <c r="FKE1513" s="879"/>
      <c r="FKF1513" s="879"/>
      <c r="FKG1513" s="879"/>
      <c r="FKH1513" s="879"/>
      <c r="FKI1513" s="879"/>
      <c r="FKJ1513" s="879"/>
      <c r="FKK1513" s="879"/>
      <c r="FKL1513" s="879"/>
      <c r="FKM1513" s="879"/>
      <c r="FKN1513" s="879"/>
      <c r="FKO1513" s="879"/>
      <c r="FKP1513" s="879"/>
      <c r="FKQ1513" s="879"/>
      <c r="FKR1513" s="879"/>
      <c r="FKS1513" s="879"/>
      <c r="FKT1513" s="879"/>
      <c r="FKU1513" s="879"/>
      <c r="FKV1513" s="879"/>
      <c r="FKW1513" s="879"/>
      <c r="FKX1513" s="879"/>
      <c r="FKY1513" s="879"/>
      <c r="FKZ1513" s="879"/>
      <c r="FLA1513" s="879"/>
      <c r="FLB1513" s="879"/>
      <c r="FLC1513" s="879"/>
      <c r="FLD1513" s="879"/>
      <c r="FLE1513" s="879"/>
      <c r="FLF1513" s="879"/>
      <c r="FLG1513" s="879"/>
      <c r="FLH1513" s="879"/>
      <c r="FLI1513" s="879"/>
      <c r="FLJ1513" s="879"/>
      <c r="FLK1513" s="879"/>
      <c r="FLL1513" s="879"/>
      <c r="FLM1513" s="879"/>
      <c r="FLN1513" s="879"/>
      <c r="FLO1513" s="879"/>
      <c r="FLP1513" s="879"/>
      <c r="FLQ1513" s="879"/>
      <c r="FLR1513" s="879"/>
      <c r="FLS1513" s="879"/>
      <c r="FLT1513" s="879"/>
      <c r="FLU1513" s="879"/>
      <c r="FLV1513" s="879"/>
      <c r="FLW1513" s="879"/>
      <c r="FLX1513" s="879"/>
      <c r="FLY1513" s="879"/>
      <c r="FLZ1513" s="879"/>
      <c r="FMA1513" s="879"/>
      <c r="FMB1513" s="879"/>
      <c r="FMC1513" s="879"/>
      <c r="FMD1513" s="879"/>
      <c r="FME1513" s="879"/>
      <c r="FMF1513" s="879"/>
      <c r="FMG1513" s="879"/>
      <c r="FMH1513" s="879"/>
      <c r="FMI1513" s="879"/>
      <c r="FMJ1513" s="879"/>
      <c r="FMK1513" s="879"/>
      <c r="FML1513" s="879"/>
      <c r="FMM1513" s="879"/>
      <c r="FMN1513" s="879"/>
      <c r="FMO1513" s="879"/>
      <c r="FMP1513" s="879"/>
      <c r="FMQ1513" s="879"/>
      <c r="FMR1513" s="879"/>
      <c r="FMS1513" s="879"/>
      <c r="FMT1513" s="879"/>
      <c r="FMU1513" s="879"/>
      <c r="FMV1513" s="879"/>
      <c r="FMW1513" s="879"/>
      <c r="FMX1513" s="879"/>
      <c r="FMY1513" s="879"/>
      <c r="FMZ1513" s="879"/>
      <c r="FNA1513" s="879"/>
      <c r="FNB1513" s="879"/>
      <c r="FNC1513" s="879"/>
      <c r="FND1513" s="879"/>
      <c r="FNE1513" s="879"/>
      <c r="FNF1513" s="879"/>
      <c r="FNG1513" s="879"/>
      <c r="FNH1513" s="879"/>
      <c r="FNI1513" s="879"/>
      <c r="FNJ1513" s="879"/>
      <c r="FNK1513" s="879"/>
      <c r="FNL1513" s="879"/>
      <c r="FNM1513" s="879"/>
      <c r="FNN1513" s="879"/>
      <c r="FNO1513" s="879"/>
      <c r="FNP1513" s="879"/>
      <c r="FNQ1513" s="879"/>
      <c r="FNR1513" s="879"/>
      <c r="FNS1513" s="879"/>
      <c r="FNT1513" s="879"/>
      <c r="FNU1513" s="879"/>
      <c r="FNV1513" s="879"/>
      <c r="FNW1513" s="879"/>
      <c r="FNX1513" s="879"/>
      <c r="FNY1513" s="879"/>
      <c r="FNZ1513" s="879"/>
      <c r="FOA1513" s="879"/>
      <c r="FOB1513" s="879"/>
      <c r="FOC1513" s="879"/>
      <c r="FOD1513" s="879"/>
      <c r="FOE1513" s="879"/>
      <c r="FOF1513" s="879"/>
      <c r="FOG1513" s="879"/>
      <c r="FOH1513" s="879"/>
      <c r="FOI1513" s="879"/>
      <c r="FOJ1513" s="879"/>
      <c r="FOK1513" s="879"/>
      <c r="FOL1513" s="879"/>
      <c r="FOM1513" s="879"/>
      <c r="FON1513" s="879"/>
      <c r="FOO1513" s="879"/>
      <c r="FOP1513" s="879"/>
      <c r="FOQ1513" s="879"/>
      <c r="FOR1513" s="879"/>
      <c r="FOS1513" s="879"/>
      <c r="FOT1513" s="879"/>
      <c r="FOU1513" s="879"/>
      <c r="FOV1513" s="879"/>
      <c r="FOW1513" s="879"/>
      <c r="FOX1513" s="879"/>
      <c r="FOY1513" s="879"/>
      <c r="FOZ1513" s="879"/>
      <c r="FPA1513" s="879"/>
      <c r="FPB1513" s="879"/>
      <c r="FPC1513" s="879"/>
      <c r="FPD1513" s="879"/>
      <c r="FPE1513" s="879"/>
      <c r="FPF1513" s="879"/>
      <c r="FPG1513" s="879"/>
      <c r="FPH1513" s="879"/>
      <c r="FPI1513" s="879"/>
      <c r="FPJ1513" s="879"/>
      <c r="FPK1513" s="879"/>
      <c r="FPL1513" s="879"/>
      <c r="FPM1513" s="879"/>
      <c r="FPN1513" s="879"/>
      <c r="FPO1513" s="879"/>
      <c r="FPP1513" s="879"/>
      <c r="FPQ1513" s="879"/>
      <c r="FPR1513" s="879"/>
      <c r="FPS1513" s="879"/>
      <c r="FPT1513" s="879"/>
      <c r="FPU1513" s="879"/>
      <c r="FPV1513" s="879"/>
      <c r="FPW1513" s="879"/>
      <c r="FPX1513" s="879"/>
      <c r="FPY1513" s="879"/>
      <c r="FPZ1513" s="879"/>
      <c r="FQA1513" s="879"/>
      <c r="FQB1513" s="879"/>
      <c r="FQC1513" s="879"/>
      <c r="FQD1513" s="879"/>
      <c r="FQE1513" s="879"/>
      <c r="FQF1513" s="879"/>
      <c r="FQG1513" s="879"/>
      <c r="FQH1513" s="879"/>
      <c r="FQI1513" s="879"/>
      <c r="FQJ1513" s="879"/>
      <c r="FQK1513" s="879"/>
      <c r="FQL1513" s="879"/>
      <c r="FQM1513" s="879"/>
      <c r="FQN1513" s="879"/>
      <c r="FQO1513" s="879"/>
      <c r="FQP1513" s="879"/>
      <c r="FQQ1513" s="879"/>
      <c r="FQR1513" s="879"/>
      <c r="FQS1513" s="879"/>
      <c r="FQT1513" s="879"/>
      <c r="FQU1513" s="879"/>
      <c r="FQV1513" s="879"/>
      <c r="FQW1513" s="879"/>
      <c r="FQX1513" s="879"/>
      <c r="FQY1513" s="879"/>
      <c r="FQZ1513" s="879"/>
      <c r="FRA1513" s="879"/>
      <c r="FRB1513" s="879"/>
      <c r="FRC1513" s="879"/>
      <c r="FRD1513" s="879"/>
      <c r="FRE1513" s="879"/>
      <c r="FRF1513" s="879"/>
      <c r="FRG1513" s="879"/>
      <c r="FRH1513" s="879"/>
      <c r="FRI1513" s="879"/>
      <c r="FRJ1513" s="879"/>
      <c r="FRK1513" s="879"/>
      <c r="FRL1513" s="879"/>
      <c r="FRM1513" s="879"/>
      <c r="FRN1513" s="879"/>
      <c r="FRO1513" s="879"/>
      <c r="FRP1513" s="879"/>
      <c r="FRQ1513" s="879"/>
      <c r="FRR1513" s="879"/>
      <c r="FRS1513" s="879"/>
      <c r="FRT1513" s="879"/>
      <c r="FRU1513" s="879"/>
      <c r="FRV1513" s="879"/>
      <c r="FRW1513" s="879"/>
      <c r="FRX1513" s="879"/>
      <c r="FRY1513" s="879"/>
      <c r="FRZ1513" s="879"/>
      <c r="FSA1513" s="879"/>
      <c r="FSB1513" s="879"/>
      <c r="FSC1513" s="879"/>
      <c r="FSD1513" s="879"/>
      <c r="FSE1513" s="879"/>
      <c r="FSF1513" s="879"/>
      <c r="FSG1513" s="879"/>
      <c r="FSH1513" s="879"/>
      <c r="FSI1513" s="879"/>
      <c r="FSJ1513" s="879"/>
      <c r="FSK1513" s="879"/>
      <c r="FSL1513" s="879"/>
      <c r="FSM1513" s="879"/>
      <c r="FSN1513" s="879"/>
      <c r="FSO1513" s="879"/>
      <c r="FSP1513" s="879"/>
      <c r="FSQ1513" s="879"/>
      <c r="FSR1513" s="879"/>
      <c r="FSS1513" s="879"/>
      <c r="FST1513" s="879"/>
      <c r="FSU1513" s="879"/>
      <c r="FSV1513" s="879"/>
      <c r="FSW1513" s="879"/>
      <c r="FSX1513" s="879"/>
      <c r="FSY1513" s="879"/>
      <c r="FSZ1513" s="879"/>
      <c r="FTA1513" s="879"/>
      <c r="FTB1513" s="879"/>
      <c r="FTC1513" s="879"/>
      <c r="FTD1513" s="879"/>
      <c r="FTE1513" s="879"/>
      <c r="FTF1513" s="879"/>
      <c r="FTG1513" s="879"/>
      <c r="FTH1513" s="879"/>
      <c r="FTI1513" s="879"/>
      <c r="FTJ1513" s="879"/>
      <c r="FTK1513" s="879"/>
      <c r="FTL1513" s="879"/>
      <c r="FTM1513" s="879"/>
      <c r="FTN1513" s="879"/>
      <c r="FTO1513" s="879"/>
      <c r="FTP1513" s="879"/>
      <c r="FTQ1513" s="879"/>
      <c r="FTR1513" s="879"/>
      <c r="FTS1513" s="879"/>
      <c r="FTT1513" s="879"/>
      <c r="FTU1513" s="879"/>
      <c r="FTV1513" s="879"/>
      <c r="FTW1513" s="879"/>
      <c r="FTX1513" s="879"/>
      <c r="FTY1513" s="879"/>
      <c r="FTZ1513" s="879"/>
      <c r="FUA1513" s="879"/>
      <c r="FUB1513" s="879"/>
      <c r="FUC1513" s="879"/>
      <c r="FUD1513" s="879"/>
      <c r="FUE1513" s="879"/>
      <c r="FUF1513" s="879"/>
      <c r="FUG1513" s="879"/>
      <c r="FUH1513" s="879"/>
      <c r="FUI1513" s="879"/>
      <c r="FUJ1513" s="879"/>
      <c r="FUK1513" s="879"/>
      <c r="FUL1513" s="879"/>
      <c r="FUM1513" s="879"/>
      <c r="FUN1513" s="879"/>
      <c r="FUO1513" s="879"/>
      <c r="FUP1513" s="879"/>
      <c r="FUQ1513" s="879"/>
      <c r="FUR1513" s="879"/>
      <c r="FUS1513" s="879"/>
      <c r="FUT1513" s="879"/>
      <c r="FUU1513" s="879"/>
      <c r="FUV1513" s="879"/>
      <c r="FUW1513" s="879"/>
      <c r="FUX1513" s="879"/>
      <c r="FUY1513" s="879"/>
      <c r="FUZ1513" s="879"/>
      <c r="FVA1513" s="879"/>
      <c r="FVB1513" s="879"/>
      <c r="FVC1513" s="879"/>
      <c r="FVD1513" s="879"/>
      <c r="FVE1513" s="879"/>
      <c r="FVF1513" s="879"/>
      <c r="FVG1513" s="879"/>
      <c r="FVH1513" s="879"/>
      <c r="FVI1513" s="879"/>
      <c r="FVJ1513" s="879"/>
      <c r="FVK1513" s="879"/>
      <c r="FVL1513" s="879"/>
      <c r="FVM1513" s="879"/>
      <c r="FVN1513" s="879"/>
      <c r="FVO1513" s="879"/>
      <c r="FVP1513" s="879"/>
      <c r="FVQ1513" s="879"/>
      <c r="FVR1513" s="879"/>
      <c r="FVS1513" s="879"/>
      <c r="FVT1513" s="879"/>
      <c r="FVU1513" s="879"/>
      <c r="FVV1513" s="879"/>
      <c r="FVW1513" s="879"/>
      <c r="FVX1513" s="879"/>
      <c r="FVY1513" s="879"/>
      <c r="FVZ1513" s="879"/>
      <c r="FWA1513" s="879"/>
      <c r="FWB1513" s="879"/>
      <c r="FWC1513" s="879"/>
      <c r="FWD1513" s="879"/>
      <c r="FWE1513" s="879"/>
      <c r="FWF1513" s="879"/>
      <c r="FWG1513" s="879"/>
      <c r="FWH1513" s="879"/>
      <c r="FWI1513" s="879"/>
      <c r="FWJ1513" s="879"/>
      <c r="FWK1513" s="879"/>
      <c r="FWL1513" s="879"/>
      <c r="FWM1513" s="879"/>
      <c r="FWN1513" s="879"/>
      <c r="FWO1513" s="879"/>
      <c r="FWP1513" s="879"/>
      <c r="FWQ1513" s="879"/>
      <c r="FWR1513" s="879"/>
      <c r="FWS1513" s="879"/>
      <c r="FWT1513" s="879"/>
      <c r="FWU1513" s="879"/>
      <c r="FWV1513" s="879"/>
      <c r="FWW1513" s="879"/>
      <c r="FWX1513" s="879"/>
      <c r="FWY1513" s="879"/>
      <c r="FWZ1513" s="879"/>
      <c r="FXA1513" s="879"/>
      <c r="FXB1513" s="879"/>
      <c r="FXC1513" s="879"/>
      <c r="FXD1513" s="879"/>
      <c r="FXE1513" s="879"/>
      <c r="FXF1513" s="879"/>
      <c r="FXG1513" s="879"/>
      <c r="FXH1513" s="879"/>
      <c r="FXI1513" s="879"/>
      <c r="FXJ1513" s="879"/>
      <c r="FXK1513" s="879"/>
      <c r="FXL1513" s="879"/>
      <c r="FXM1513" s="879"/>
      <c r="FXN1513" s="879"/>
      <c r="FXO1513" s="879"/>
      <c r="FXP1513" s="879"/>
      <c r="FXQ1513" s="879"/>
      <c r="FXR1513" s="879"/>
      <c r="FXS1513" s="879"/>
      <c r="FXT1513" s="879"/>
      <c r="FXU1513" s="879"/>
      <c r="FXV1513" s="879"/>
      <c r="FXW1513" s="879"/>
      <c r="FXX1513" s="879"/>
      <c r="FXY1513" s="879"/>
      <c r="FXZ1513" s="879"/>
      <c r="FYA1513" s="879"/>
      <c r="FYB1513" s="879"/>
      <c r="FYC1513" s="879"/>
      <c r="FYD1513" s="879"/>
      <c r="FYE1513" s="879"/>
      <c r="FYF1513" s="879"/>
      <c r="FYG1513" s="879"/>
      <c r="FYH1513" s="879"/>
      <c r="FYI1513" s="879"/>
      <c r="FYJ1513" s="879"/>
      <c r="FYK1513" s="879"/>
      <c r="FYL1513" s="879"/>
      <c r="FYM1513" s="879"/>
      <c r="FYN1513" s="879"/>
      <c r="FYO1513" s="879"/>
      <c r="FYP1513" s="879"/>
      <c r="FYQ1513" s="879"/>
      <c r="FYR1513" s="879"/>
      <c r="FYS1513" s="879"/>
      <c r="FYT1513" s="879"/>
      <c r="FYU1513" s="879"/>
      <c r="FYV1513" s="879"/>
      <c r="FYW1513" s="879"/>
      <c r="FYX1513" s="879"/>
      <c r="FYY1513" s="879"/>
      <c r="FYZ1513" s="879"/>
      <c r="FZA1513" s="879"/>
      <c r="FZB1513" s="879"/>
      <c r="FZC1513" s="879"/>
      <c r="FZD1513" s="879"/>
      <c r="FZE1513" s="879"/>
      <c r="FZF1513" s="879"/>
      <c r="FZG1513" s="879"/>
      <c r="FZH1513" s="879"/>
      <c r="FZI1513" s="879"/>
      <c r="FZJ1513" s="879"/>
      <c r="FZK1513" s="879"/>
      <c r="FZL1513" s="879"/>
      <c r="FZM1513" s="879"/>
      <c r="FZN1513" s="879"/>
      <c r="FZO1513" s="879"/>
      <c r="FZP1513" s="879"/>
      <c r="FZQ1513" s="879"/>
      <c r="FZR1513" s="879"/>
      <c r="FZS1513" s="879"/>
      <c r="FZT1513" s="879"/>
      <c r="FZU1513" s="879"/>
      <c r="FZV1513" s="879"/>
      <c r="FZW1513" s="879"/>
      <c r="FZX1513" s="879"/>
      <c r="FZY1513" s="879"/>
      <c r="FZZ1513" s="879"/>
      <c r="GAA1513" s="879"/>
      <c r="GAB1513" s="879"/>
      <c r="GAC1513" s="879"/>
      <c r="GAD1513" s="879"/>
      <c r="GAE1513" s="879"/>
      <c r="GAF1513" s="879"/>
      <c r="GAG1513" s="879"/>
      <c r="GAH1513" s="879"/>
      <c r="GAI1513" s="879"/>
      <c r="GAJ1513" s="879"/>
      <c r="GAK1513" s="879"/>
      <c r="GAL1513" s="879"/>
      <c r="GAM1513" s="879"/>
      <c r="GAN1513" s="879"/>
      <c r="GAO1513" s="879"/>
      <c r="GAP1513" s="879"/>
      <c r="GAQ1513" s="879"/>
      <c r="GAR1513" s="879"/>
      <c r="GAS1513" s="879"/>
      <c r="GAT1513" s="879"/>
      <c r="GAU1513" s="879"/>
      <c r="GAV1513" s="879"/>
      <c r="GAW1513" s="879"/>
      <c r="GAX1513" s="879"/>
      <c r="GAY1513" s="879"/>
      <c r="GAZ1513" s="879"/>
      <c r="GBA1513" s="879"/>
      <c r="GBB1513" s="879"/>
      <c r="GBC1513" s="879"/>
      <c r="GBD1513" s="879"/>
      <c r="GBE1513" s="879"/>
      <c r="GBF1513" s="879"/>
      <c r="GBG1513" s="879"/>
      <c r="GBH1513" s="879"/>
      <c r="GBI1513" s="879"/>
      <c r="GBJ1513" s="879"/>
      <c r="GBK1513" s="879"/>
      <c r="GBL1513" s="879"/>
      <c r="GBM1513" s="879"/>
      <c r="GBN1513" s="879"/>
      <c r="GBO1513" s="879"/>
      <c r="GBP1513" s="879"/>
      <c r="GBQ1513" s="879"/>
      <c r="GBR1513" s="879"/>
      <c r="GBS1513" s="879"/>
      <c r="GBT1513" s="879"/>
      <c r="GBU1513" s="879"/>
      <c r="GBV1513" s="879"/>
      <c r="GBW1513" s="879"/>
      <c r="GBX1513" s="879"/>
      <c r="GBY1513" s="879"/>
      <c r="GBZ1513" s="879"/>
      <c r="GCA1513" s="879"/>
      <c r="GCB1513" s="879"/>
      <c r="GCC1513" s="879"/>
      <c r="GCD1513" s="879"/>
      <c r="GCE1513" s="879"/>
      <c r="GCF1513" s="879"/>
      <c r="GCG1513" s="879"/>
      <c r="GCH1513" s="879"/>
      <c r="GCI1513" s="879"/>
      <c r="GCJ1513" s="879"/>
      <c r="GCK1513" s="879"/>
      <c r="GCL1513" s="879"/>
      <c r="GCM1513" s="879"/>
      <c r="GCN1513" s="879"/>
      <c r="GCO1513" s="879"/>
      <c r="GCP1513" s="879"/>
      <c r="GCQ1513" s="879"/>
      <c r="GCR1513" s="879"/>
      <c r="GCS1513" s="879"/>
      <c r="GCT1513" s="879"/>
      <c r="GCU1513" s="879"/>
      <c r="GCV1513" s="879"/>
      <c r="GCW1513" s="879"/>
      <c r="GCX1513" s="879"/>
      <c r="GCY1513" s="879"/>
      <c r="GCZ1513" s="879"/>
      <c r="GDA1513" s="879"/>
      <c r="GDB1513" s="879"/>
      <c r="GDC1513" s="879"/>
      <c r="GDD1513" s="879"/>
      <c r="GDE1513" s="879"/>
      <c r="GDF1513" s="879"/>
      <c r="GDG1513" s="879"/>
      <c r="GDH1513" s="879"/>
      <c r="GDI1513" s="879"/>
      <c r="GDJ1513" s="879"/>
      <c r="GDK1513" s="879"/>
      <c r="GDL1513" s="879"/>
      <c r="GDM1513" s="879"/>
      <c r="GDN1513" s="879"/>
      <c r="GDO1513" s="879"/>
      <c r="GDP1513" s="879"/>
      <c r="GDQ1513" s="879"/>
      <c r="GDR1513" s="879"/>
      <c r="GDS1513" s="879"/>
      <c r="GDT1513" s="879"/>
      <c r="GDU1513" s="879"/>
      <c r="GDV1513" s="879"/>
      <c r="GDW1513" s="879"/>
      <c r="GDX1513" s="879"/>
      <c r="GDY1513" s="879"/>
      <c r="GDZ1513" s="879"/>
      <c r="GEA1513" s="879"/>
      <c r="GEB1513" s="879"/>
      <c r="GEC1513" s="879"/>
      <c r="GED1513" s="879"/>
      <c r="GEE1513" s="879"/>
      <c r="GEF1513" s="879"/>
      <c r="GEG1513" s="879"/>
      <c r="GEH1513" s="879"/>
      <c r="GEI1513" s="879"/>
      <c r="GEJ1513" s="879"/>
      <c r="GEK1513" s="879"/>
      <c r="GEL1513" s="879"/>
      <c r="GEM1513" s="879"/>
      <c r="GEN1513" s="879"/>
      <c r="GEO1513" s="879"/>
      <c r="GEP1513" s="879"/>
      <c r="GEQ1513" s="879"/>
      <c r="GER1513" s="879"/>
      <c r="GES1513" s="879"/>
      <c r="GET1513" s="879"/>
      <c r="GEU1513" s="879"/>
      <c r="GEV1513" s="879"/>
      <c r="GEW1513" s="879"/>
      <c r="GEX1513" s="879"/>
      <c r="GEY1513" s="879"/>
      <c r="GEZ1513" s="879"/>
      <c r="GFA1513" s="879"/>
      <c r="GFB1513" s="879"/>
      <c r="GFC1513" s="879"/>
      <c r="GFD1513" s="879"/>
      <c r="GFE1513" s="879"/>
      <c r="GFF1513" s="879"/>
      <c r="GFG1513" s="879"/>
      <c r="GFH1513" s="879"/>
      <c r="GFI1513" s="879"/>
      <c r="GFJ1513" s="879"/>
      <c r="GFK1513" s="879"/>
      <c r="GFL1513" s="879"/>
      <c r="GFM1513" s="879"/>
      <c r="GFN1513" s="879"/>
      <c r="GFO1513" s="879"/>
      <c r="GFP1513" s="879"/>
      <c r="GFQ1513" s="879"/>
      <c r="GFR1513" s="879"/>
      <c r="GFS1513" s="879"/>
      <c r="GFT1513" s="879"/>
      <c r="GFU1513" s="879"/>
      <c r="GFV1513" s="879"/>
      <c r="GFW1513" s="879"/>
      <c r="GFX1513" s="879"/>
      <c r="GFY1513" s="879"/>
      <c r="GFZ1513" s="879"/>
      <c r="GGA1513" s="879"/>
      <c r="GGB1513" s="879"/>
      <c r="GGC1513" s="879"/>
      <c r="GGD1513" s="879"/>
      <c r="GGE1513" s="879"/>
      <c r="GGF1513" s="879"/>
      <c r="GGG1513" s="879"/>
      <c r="GGH1513" s="879"/>
      <c r="GGI1513" s="879"/>
      <c r="GGJ1513" s="879"/>
      <c r="GGK1513" s="879"/>
      <c r="GGL1513" s="879"/>
      <c r="GGM1513" s="879"/>
      <c r="GGN1513" s="879"/>
      <c r="GGO1513" s="879"/>
      <c r="GGP1513" s="879"/>
      <c r="GGQ1513" s="879"/>
      <c r="GGR1513" s="879"/>
      <c r="GGS1513" s="879"/>
      <c r="GGT1513" s="879"/>
      <c r="GGU1513" s="879"/>
      <c r="GGV1513" s="879"/>
      <c r="GGW1513" s="879"/>
      <c r="GGX1513" s="879"/>
      <c r="GGY1513" s="879"/>
      <c r="GGZ1513" s="879"/>
      <c r="GHA1513" s="879"/>
      <c r="GHB1513" s="879"/>
      <c r="GHC1513" s="879"/>
      <c r="GHD1513" s="879"/>
      <c r="GHE1513" s="879"/>
      <c r="GHF1513" s="879"/>
      <c r="GHG1513" s="879"/>
      <c r="GHH1513" s="879"/>
      <c r="GHI1513" s="879"/>
      <c r="GHJ1513" s="879"/>
      <c r="GHK1513" s="879"/>
      <c r="GHL1513" s="879"/>
      <c r="GHM1513" s="879"/>
      <c r="GHN1513" s="879"/>
      <c r="GHO1513" s="879"/>
      <c r="GHP1513" s="879"/>
      <c r="GHQ1513" s="879"/>
      <c r="GHR1513" s="879"/>
      <c r="GHS1513" s="879"/>
      <c r="GHT1513" s="879"/>
      <c r="GHU1513" s="879"/>
      <c r="GHV1513" s="879"/>
      <c r="GHW1513" s="879"/>
      <c r="GHX1513" s="879"/>
      <c r="GHY1513" s="879"/>
      <c r="GHZ1513" s="879"/>
      <c r="GIA1513" s="879"/>
      <c r="GIB1513" s="879"/>
      <c r="GIC1513" s="879"/>
      <c r="GID1513" s="879"/>
      <c r="GIE1513" s="879"/>
      <c r="GIF1513" s="879"/>
      <c r="GIG1513" s="879"/>
      <c r="GIH1513" s="879"/>
      <c r="GII1513" s="879"/>
      <c r="GIJ1513" s="879"/>
      <c r="GIK1513" s="879"/>
      <c r="GIL1513" s="879"/>
      <c r="GIM1513" s="879"/>
      <c r="GIN1513" s="879"/>
      <c r="GIO1513" s="879"/>
      <c r="GIP1513" s="879"/>
      <c r="GIQ1513" s="879"/>
      <c r="GIR1513" s="879"/>
      <c r="GIS1513" s="879"/>
      <c r="GIT1513" s="879"/>
      <c r="GIU1513" s="879"/>
      <c r="GIV1513" s="879"/>
      <c r="GIW1513" s="879"/>
      <c r="GIX1513" s="879"/>
      <c r="GIY1513" s="879"/>
      <c r="GIZ1513" s="879"/>
      <c r="GJA1513" s="879"/>
      <c r="GJB1513" s="879"/>
      <c r="GJC1513" s="879"/>
      <c r="GJD1513" s="879"/>
      <c r="GJE1513" s="879"/>
      <c r="GJF1513" s="879"/>
      <c r="GJG1513" s="879"/>
      <c r="GJH1513" s="879"/>
      <c r="GJI1513" s="879"/>
      <c r="GJJ1513" s="879"/>
      <c r="GJK1513" s="879"/>
      <c r="GJL1513" s="879"/>
      <c r="GJM1513" s="879"/>
      <c r="GJN1513" s="879"/>
      <c r="GJO1513" s="879"/>
      <c r="GJP1513" s="879"/>
      <c r="GJQ1513" s="879"/>
      <c r="GJR1513" s="879"/>
      <c r="GJS1513" s="879"/>
      <c r="GJT1513" s="879"/>
      <c r="GJU1513" s="879"/>
      <c r="GJV1513" s="879"/>
      <c r="GJW1513" s="879"/>
      <c r="GJX1513" s="879"/>
      <c r="GJY1513" s="879"/>
      <c r="GJZ1513" s="879"/>
      <c r="GKA1513" s="879"/>
      <c r="GKB1513" s="879"/>
      <c r="GKC1513" s="879"/>
      <c r="GKD1513" s="879"/>
      <c r="GKE1513" s="879"/>
      <c r="GKF1513" s="879"/>
      <c r="GKG1513" s="879"/>
      <c r="GKH1513" s="879"/>
      <c r="GKI1513" s="879"/>
      <c r="GKJ1513" s="879"/>
      <c r="GKK1513" s="879"/>
      <c r="GKL1513" s="879"/>
      <c r="GKM1513" s="879"/>
      <c r="GKN1513" s="879"/>
      <c r="GKO1513" s="879"/>
      <c r="GKP1513" s="879"/>
      <c r="GKQ1513" s="879"/>
      <c r="GKR1513" s="879"/>
      <c r="GKS1513" s="879"/>
      <c r="GKT1513" s="879"/>
      <c r="GKU1513" s="879"/>
      <c r="GKV1513" s="879"/>
      <c r="GKW1513" s="879"/>
      <c r="GKX1513" s="879"/>
      <c r="GKY1513" s="879"/>
      <c r="GKZ1513" s="879"/>
      <c r="GLA1513" s="879"/>
      <c r="GLB1513" s="879"/>
      <c r="GLC1513" s="879"/>
      <c r="GLD1513" s="879"/>
      <c r="GLE1513" s="879"/>
      <c r="GLF1513" s="879"/>
      <c r="GLG1513" s="879"/>
      <c r="GLH1513" s="879"/>
      <c r="GLI1513" s="879"/>
      <c r="GLJ1513" s="879"/>
      <c r="GLK1513" s="879"/>
      <c r="GLL1513" s="879"/>
      <c r="GLM1513" s="879"/>
      <c r="GLN1513" s="879"/>
      <c r="GLO1513" s="879"/>
      <c r="GLP1513" s="879"/>
      <c r="GLQ1513" s="879"/>
      <c r="GLR1513" s="879"/>
      <c r="GLS1513" s="879"/>
      <c r="GLT1513" s="879"/>
      <c r="GLU1513" s="879"/>
      <c r="GLV1513" s="879"/>
      <c r="GLW1513" s="879"/>
      <c r="GLX1513" s="879"/>
      <c r="GLY1513" s="879"/>
      <c r="GLZ1513" s="879"/>
      <c r="GMA1513" s="879"/>
      <c r="GMB1513" s="879"/>
      <c r="GMC1513" s="879"/>
      <c r="GMD1513" s="879"/>
      <c r="GME1513" s="879"/>
      <c r="GMF1513" s="879"/>
      <c r="GMG1513" s="879"/>
      <c r="GMH1513" s="879"/>
      <c r="GMI1513" s="879"/>
      <c r="GMJ1513" s="879"/>
      <c r="GMK1513" s="879"/>
      <c r="GML1513" s="879"/>
      <c r="GMM1513" s="879"/>
      <c r="GMN1513" s="879"/>
      <c r="GMO1513" s="879"/>
      <c r="GMP1513" s="879"/>
      <c r="GMQ1513" s="879"/>
      <c r="GMR1513" s="879"/>
      <c r="GMS1513" s="879"/>
      <c r="GMT1513" s="879"/>
      <c r="GMU1513" s="879"/>
      <c r="GMV1513" s="879"/>
      <c r="GMW1513" s="879"/>
      <c r="GMX1513" s="879"/>
      <c r="GMY1513" s="879"/>
      <c r="GMZ1513" s="879"/>
      <c r="GNA1513" s="879"/>
      <c r="GNB1513" s="879"/>
      <c r="GNC1513" s="879"/>
      <c r="GND1513" s="879"/>
      <c r="GNE1513" s="879"/>
      <c r="GNF1513" s="879"/>
      <c r="GNG1513" s="879"/>
      <c r="GNH1513" s="879"/>
      <c r="GNI1513" s="879"/>
      <c r="GNJ1513" s="879"/>
      <c r="GNK1513" s="879"/>
      <c r="GNL1513" s="879"/>
      <c r="GNM1513" s="879"/>
      <c r="GNN1513" s="879"/>
      <c r="GNO1513" s="879"/>
      <c r="GNP1513" s="879"/>
      <c r="GNQ1513" s="879"/>
      <c r="GNR1513" s="879"/>
      <c r="GNS1513" s="879"/>
      <c r="GNT1513" s="879"/>
      <c r="GNU1513" s="879"/>
      <c r="GNV1513" s="879"/>
      <c r="GNW1513" s="879"/>
      <c r="GNX1513" s="879"/>
      <c r="GNY1513" s="879"/>
      <c r="GNZ1513" s="879"/>
      <c r="GOA1513" s="879"/>
      <c r="GOB1513" s="879"/>
      <c r="GOC1513" s="879"/>
      <c r="GOD1513" s="879"/>
      <c r="GOE1513" s="879"/>
      <c r="GOF1513" s="879"/>
      <c r="GOG1513" s="879"/>
      <c r="GOH1513" s="879"/>
      <c r="GOI1513" s="879"/>
      <c r="GOJ1513" s="879"/>
      <c r="GOK1513" s="879"/>
      <c r="GOL1513" s="879"/>
      <c r="GOM1513" s="879"/>
      <c r="GON1513" s="879"/>
      <c r="GOO1513" s="879"/>
      <c r="GOP1513" s="879"/>
      <c r="GOQ1513" s="879"/>
      <c r="GOR1513" s="879"/>
      <c r="GOS1513" s="879"/>
      <c r="GOT1513" s="879"/>
      <c r="GOU1513" s="879"/>
      <c r="GOV1513" s="879"/>
      <c r="GOW1513" s="879"/>
      <c r="GOX1513" s="879"/>
      <c r="GOY1513" s="879"/>
      <c r="GOZ1513" s="879"/>
      <c r="GPA1513" s="879"/>
      <c r="GPB1513" s="879"/>
      <c r="GPC1513" s="879"/>
      <c r="GPD1513" s="879"/>
      <c r="GPE1513" s="879"/>
      <c r="GPF1513" s="879"/>
      <c r="GPG1513" s="879"/>
      <c r="GPH1513" s="879"/>
      <c r="GPI1513" s="879"/>
      <c r="GPJ1513" s="879"/>
      <c r="GPK1513" s="879"/>
      <c r="GPL1513" s="879"/>
      <c r="GPM1513" s="879"/>
      <c r="GPN1513" s="879"/>
      <c r="GPO1513" s="879"/>
      <c r="GPP1513" s="879"/>
      <c r="GPQ1513" s="879"/>
      <c r="GPR1513" s="879"/>
      <c r="GPS1513" s="879"/>
      <c r="GPT1513" s="879"/>
      <c r="GPU1513" s="879"/>
      <c r="GPV1513" s="879"/>
      <c r="GPW1513" s="879"/>
      <c r="GPX1513" s="879"/>
      <c r="GPY1513" s="879"/>
      <c r="GPZ1513" s="879"/>
      <c r="GQA1513" s="879"/>
      <c r="GQB1513" s="879"/>
      <c r="GQC1513" s="879"/>
      <c r="GQD1513" s="879"/>
      <c r="GQE1513" s="879"/>
      <c r="GQF1513" s="879"/>
      <c r="GQG1513" s="879"/>
      <c r="GQH1513" s="879"/>
      <c r="GQI1513" s="879"/>
      <c r="GQJ1513" s="879"/>
      <c r="GQK1513" s="879"/>
      <c r="GQL1513" s="879"/>
      <c r="GQM1513" s="879"/>
      <c r="GQN1513" s="879"/>
      <c r="GQO1513" s="879"/>
      <c r="GQP1513" s="879"/>
      <c r="GQQ1513" s="879"/>
      <c r="GQR1513" s="879"/>
      <c r="GQS1513" s="879"/>
      <c r="GQT1513" s="879"/>
      <c r="GQU1513" s="879"/>
      <c r="GQV1513" s="879"/>
      <c r="GQW1513" s="879"/>
      <c r="GQX1513" s="879"/>
      <c r="GQY1513" s="879"/>
      <c r="GQZ1513" s="879"/>
      <c r="GRA1513" s="879"/>
      <c r="GRB1513" s="879"/>
      <c r="GRC1513" s="879"/>
      <c r="GRD1513" s="879"/>
      <c r="GRE1513" s="879"/>
      <c r="GRF1513" s="879"/>
      <c r="GRG1513" s="879"/>
      <c r="GRH1513" s="879"/>
      <c r="GRI1513" s="879"/>
      <c r="GRJ1513" s="879"/>
      <c r="GRK1513" s="879"/>
      <c r="GRL1513" s="879"/>
      <c r="GRM1513" s="879"/>
      <c r="GRN1513" s="879"/>
      <c r="GRO1513" s="879"/>
      <c r="GRP1513" s="879"/>
      <c r="GRQ1513" s="879"/>
      <c r="GRR1513" s="879"/>
      <c r="GRS1513" s="879"/>
      <c r="GRT1513" s="879"/>
      <c r="GRU1513" s="879"/>
      <c r="GRV1513" s="879"/>
      <c r="GRW1513" s="879"/>
      <c r="GRX1513" s="879"/>
      <c r="GRY1513" s="879"/>
      <c r="GRZ1513" s="879"/>
      <c r="GSA1513" s="879"/>
      <c r="GSB1513" s="879"/>
      <c r="GSC1513" s="879"/>
      <c r="GSD1513" s="879"/>
      <c r="GSE1513" s="879"/>
      <c r="GSF1513" s="879"/>
      <c r="GSG1513" s="879"/>
      <c r="GSH1513" s="879"/>
      <c r="GSI1513" s="879"/>
      <c r="GSJ1513" s="879"/>
      <c r="GSK1513" s="879"/>
      <c r="GSL1513" s="879"/>
      <c r="GSM1513" s="879"/>
      <c r="GSN1513" s="879"/>
      <c r="GSO1513" s="879"/>
      <c r="GSP1513" s="879"/>
      <c r="GSQ1513" s="879"/>
      <c r="GSR1513" s="879"/>
      <c r="GSS1513" s="879"/>
      <c r="GST1513" s="879"/>
      <c r="GSU1513" s="879"/>
      <c r="GSV1513" s="879"/>
      <c r="GSW1513" s="879"/>
      <c r="GSX1513" s="879"/>
      <c r="GSY1513" s="879"/>
      <c r="GSZ1513" s="879"/>
      <c r="GTA1513" s="879"/>
      <c r="GTB1513" s="879"/>
      <c r="GTC1513" s="879"/>
      <c r="GTD1513" s="879"/>
      <c r="GTE1513" s="879"/>
      <c r="GTF1513" s="879"/>
      <c r="GTG1513" s="879"/>
      <c r="GTH1513" s="879"/>
      <c r="GTI1513" s="879"/>
      <c r="GTJ1513" s="879"/>
      <c r="GTK1513" s="879"/>
      <c r="GTL1513" s="879"/>
      <c r="GTM1513" s="879"/>
      <c r="GTN1513" s="879"/>
      <c r="GTO1513" s="879"/>
      <c r="GTP1513" s="879"/>
      <c r="GTQ1513" s="879"/>
      <c r="GTR1513" s="879"/>
      <c r="GTS1513" s="879"/>
      <c r="GTT1513" s="879"/>
      <c r="GTU1513" s="879"/>
      <c r="GTV1513" s="879"/>
      <c r="GTW1513" s="879"/>
      <c r="GTX1513" s="879"/>
      <c r="GTY1513" s="879"/>
      <c r="GTZ1513" s="879"/>
      <c r="GUA1513" s="879"/>
      <c r="GUB1513" s="879"/>
      <c r="GUC1513" s="879"/>
      <c r="GUD1513" s="879"/>
      <c r="GUE1513" s="879"/>
      <c r="GUF1513" s="879"/>
      <c r="GUG1513" s="879"/>
      <c r="GUH1513" s="879"/>
      <c r="GUI1513" s="879"/>
      <c r="GUJ1513" s="879"/>
      <c r="GUK1513" s="879"/>
      <c r="GUL1513" s="879"/>
      <c r="GUM1513" s="879"/>
      <c r="GUN1513" s="879"/>
      <c r="GUO1513" s="879"/>
      <c r="GUP1513" s="879"/>
      <c r="GUQ1513" s="879"/>
      <c r="GUR1513" s="879"/>
      <c r="GUS1513" s="879"/>
      <c r="GUT1513" s="879"/>
      <c r="GUU1513" s="879"/>
      <c r="GUV1513" s="879"/>
      <c r="GUW1513" s="879"/>
      <c r="GUX1513" s="879"/>
      <c r="GUY1513" s="879"/>
      <c r="GUZ1513" s="879"/>
      <c r="GVA1513" s="879"/>
      <c r="GVB1513" s="879"/>
      <c r="GVC1513" s="879"/>
      <c r="GVD1513" s="879"/>
      <c r="GVE1513" s="879"/>
      <c r="GVF1513" s="879"/>
      <c r="GVG1513" s="879"/>
      <c r="GVH1513" s="879"/>
      <c r="GVI1513" s="879"/>
      <c r="GVJ1513" s="879"/>
      <c r="GVK1513" s="879"/>
      <c r="GVL1513" s="879"/>
      <c r="GVM1513" s="879"/>
      <c r="GVN1513" s="879"/>
      <c r="GVO1513" s="879"/>
      <c r="GVP1513" s="879"/>
      <c r="GVQ1513" s="879"/>
      <c r="GVR1513" s="879"/>
      <c r="GVS1513" s="879"/>
      <c r="GVT1513" s="879"/>
      <c r="GVU1513" s="879"/>
      <c r="GVV1513" s="879"/>
      <c r="GVW1513" s="879"/>
      <c r="GVX1513" s="879"/>
      <c r="GVY1513" s="879"/>
      <c r="GVZ1513" s="879"/>
      <c r="GWA1513" s="879"/>
      <c r="GWB1513" s="879"/>
      <c r="GWC1513" s="879"/>
      <c r="GWD1513" s="879"/>
      <c r="GWE1513" s="879"/>
      <c r="GWF1513" s="879"/>
      <c r="GWG1513" s="879"/>
      <c r="GWH1513" s="879"/>
      <c r="GWI1513" s="879"/>
      <c r="GWJ1513" s="879"/>
      <c r="GWK1513" s="879"/>
      <c r="GWL1513" s="879"/>
      <c r="GWM1513" s="879"/>
      <c r="GWN1513" s="879"/>
      <c r="GWO1513" s="879"/>
      <c r="GWP1513" s="879"/>
      <c r="GWQ1513" s="879"/>
      <c r="GWR1513" s="879"/>
      <c r="GWS1513" s="879"/>
      <c r="GWT1513" s="879"/>
      <c r="GWU1513" s="879"/>
      <c r="GWV1513" s="879"/>
      <c r="GWW1513" s="879"/>
      <c r="GWX1513" s="879"/>
      <c r="GWY1513" s="879"/>
      <c r="GWZ1513" s="879"/>
      <c r="GXA1513" s="879"/>
      <c r="GXB1513" s="879"/>
      <c r="GXC1513" s="879"/>
      <c r="GXD1513" s="879"/>
      <c r="GXE1513" s="879"/>
      <c r="GXF1513" s="879"/>
      <c r="GXG1513" s="879"/>
      <c r="GXH1513" s="879"/>
      <c r="GXI1513" s="879"/>
      <c r="GXJ1513" s="879"/>
      <c r="GXK1513" s="879"/>
      <c r="GXL1513" s="879"/>
      <c r="GXM1513" s="879"/>
      <c r="GXN1513" s="879"/>
      <c r="GXO1513" s="879"/>
      <c r="GXP1513" s="879"/>
      <c r="GXQ1513" s="879"/>
      <c r="GXR1513" s="879"/>
      <c r="GXS1513" s="879"/>
      <c r="GXT1513" s="879"/>
      <c r="GXU1513" s="879"/>
      <c r="GXV1513" s="879"/>
      <c r="GXW1513" s="879"/>
      <c r="GXX1513" s="879"/>
      <c r="GXY1513" s="879"/>
      <c r="GXZ1513" s="879"/>
      <c r="GYA1513" s="879"/>
      <c r="GYB1513" s="879"/>
      <c r="GYC1513" s="879"/>
      <c r="GYD1513" s="879"/>
      <c r="GYE1513" s="879"/>
      <c r="GYF1513" s="879"/>
      <c r="GYG1513" s="879"/>
      <c r="GYH1513" s="879"/>
      <c r="GYI1513" s="879"/>
      <c r="GYJ1513" s="879"/>
      <c r="GYK1513" s="879"/>
      <c r="GYL1513" s="879"/>
      <c r="GYM1513" s="879"/>
      <c r="GYN1513" s="879"/>
      <c r="GYO1513" s="879"/>
      <c r="GYP1513" s="879"/>
      <c r="GYQ1513" s="879"/>
      <c r="GYR1513" s="879"/>
      <c r="GYS1513" s="879"/>
      <c r="GYT1513" s="879"/>
      <c r="GYU1513" s="879"/>
      <c r="GYV1513" s="879"/>
      <c r="GYW1513" s="879"/>
      <c r="GYX1513" s="879"/>
      <c r="GYY1513" s="879"/>
      <c r="GYZ1513" s="879"/>
      <c r="GZA1513" s="879"/>
      <c r="GZB1513" s="879"/>
      <c r="GZC1513" s="879"/>
      <c r="GZD1513" s="879"/>
      <c r="GZE1513" s="879"/>
      <c r="GZF1513" s="879"/>
      <c r="GZG1513" s="879"/>
      <c r="GZH1513" s="879"/>
      <c r="GZI1513" s="879"/>
      <c r="GZJ1513" s="879"/>
      <c r="GZK1513" s="879"/>
      <c r="GZL1513" s="879"/>
      <c r="GZM1513" s="879"/>
      <c r="GZN1513" s="879"/>
      <c r="GZO1513" s="879"/>
      <c r="GZP1513" s="879"/>
      <c r="GZQ1513" s="879"/>
      <c r="GZR1513" s="879"/>
      <c r="GZS1513" s="879"/>
      <c r="GZT1513" s="879"/>
      <c r="GZU1513" s="879"/>
      <c r="GZV1513" s="879"/>
      <c r="GZW1513" s="879"/>
      <c r="GZX1513" s="879"/>
      <c r="GZY1513" s="879"/>
      <c r="GZZ1513" s="879"/>
      <c r="HAA1513" s="879"/>
      <c r="HAB1513" s="879"/>
      <c r="HAC1513" s="879"/>
      <c r="HAD1513" s="879"/>
      <c r="HAE1513" s="879"/>
      <c r="HAF1513" s="879"/>
      <c r="HAG1513" s="879"/>
      <c r="HAH1513" s="879"/>
      <c r="HAI1513" s="879"/>
      <c r="HAJ1513" s="879"/>
      <c r="HAK1513" s="879"/>
      <c r="HAL1513" s="879"/>
      <c r="HAM1513" s="879"/>
      <c r="HAN1513" s="879"/>
      <c r="HAO1513" s="879"/>
      <c r="HAP1513" s="879"/>
      <c r="HAQ1513" s="879"/>
      <c r="HAR1513" s="879"/>
      <c r="HAS1513" s="879"/>
      <c r="HAT1513" s="879"/>
      <c r="HAU1513" s="879"/>
      <c r="HAV1513" s="879"/>
      <c r="HAW1513" s="879"/>
      <c r="HAX1513" s="879"/>
      <c r="HAY1513" s="879"/>
      <c r="HAZ1513" s="879"/>
      <c r="HBA1513" s="879"/>
      <c r="HBB1513" s="879"/>
      <c r="HBC1513" s="879"/>
      <c r="HBD1513" s="879"/>
      <c r="HBE1513" s="879"/>
      <c r="HBF1513" s="879"/>
      <c r="HBG1513" s="879"/>
      <c r="HBH1513" s="879"/>
      <c r="HBI1513" s="879"/>
      <c r="HBJ1513" s="879"/>
      <c r="HBK1513" s="879"/>
      <c r="HBL1513" s="879"/>
      <c r="HBM1513" s="879"/>
      <c r="HBN1513" s="879"/>
      <c r="HBO1513" s="879"/>
      <c r="HBP1513" s="879"/>
      <c r="HBQ1513" s="879"/>
      <c r="HBR1513" s="879"/>
      <c r="HBS1513" s="879"/>
      <c r="HBT1513" s="879"/>
      <c r="HBU1513" s="879"/>
      <c r="HBV1513" s="879"/>
      <c r="HBW1513" s="879"/>
      <c r="HBX1513" s="879"/>
      <c r="HBY1513" s="879"/>
      <c r="HBZ1513" s="879"/>
      <c r="HCA1513" s="879"/>
      <c r="HCB1513" s="879"/>
      <c r="HCC1513" s="879"/>
      <c r="HCD1513" s="879"/>
      <c r="HCE1513" s="879"/>
      <c r="HCF1513" s="879"/>
      <c r="HCG1513" s="879"/>
      <c r="HCH1513" s="879"/>
      <c r="HCI1513" s="879"/>
      <c r="HCJ1513" s="879"/>
      <c r="HCK1513" s="879"/>
      <c r="HCL1513" s="879"/>
      <c r="HCM1513" s="879"/>
      <c r="HCN1513" s="879"/>
      <c r="HCO1513" s="879"/>
      <c r="HCP1513" s="879"/>
      <c r="HCQ1513" s="879"/>
      <c r="HCR1513" s="879"/>
      <c r="HCS1513" s="879"/>
      <c r="HCT1513" s="879"/>
      <c r="HCU1513" s="879"/>
      <c r="HCV1513" s="879"/>
      <c r="HCW1513" s="879"/>
      <c r="HCX1513" s="879"/>
      <c r="HCY1513" s="879"/>
      <c r="HCZ1513" s="879"/>
      <c r="HDA1513" s="879"/>
      <c r="HDB1513" s="879"/>
      <c r="HDC1513" s="879"/>
      <c r="HDD1513" s="879"/>
      <c r="HDE1513" s="879"/>
      <c r="HDF1513" s="879"/>
      <c r="HDG1513" s="879"/>
      <c r="HDH1513" s="879"/>
      <c r="HDI1513" s="879"/>
      <c r="HDJ1513" s="879"/>
      <c r="HDK1513" s="879"/>
      <c r="HDL1513" s="879"/>
      <c r="HDM1513" s="879"/>
      <c r="HDN1513" s="879"/>
      <c r="HDO1513" s="879"/>
      <c r="HDP1513" s="879"/>
      <c r="HDQ1513" s="879"/>
      <c r="HDR1513" s="879"/>
      <c r="HDS1513" s="879"/>
      <c r="HDT1513" s="879"/>
      <c r="HDU1513" s="879"/>
      <c r="HDV1513" s="879"/>
      <c r="HDW1513" s="879"/>
      <c r="HDX1513" s="879"/>
      <c r="HDY1513" s="879"/>
      <c r="HDZ1513" s="879"/>
      <c r="HEA1513" s="879"/>
      <c r="HEB1513" s="879"/>
      <c r="HEC1513" s="879"/>
      <c r="HED1513" s="879"/>
      <c r="HEE1513" s="879"/>
      <c r="HEF1513" s="879"/>
      <c r="HEG1513" s="879"/>
      <c r="HEH1513" s="879"/>
      <c r="HEI1513" s="879"/>
      <c r="HEJ1513" s="879"/>
      <c r="HEK1513" s="879"/>
      <c r="HEL1513" s="879"/>
      <c r="HEM1513" s="879"/>
      <c r="HEN1513" s="879"/>
      <c r="HEO1513" s="879"/>
      <c r="HEP1513" s="879"/>
      <c r="HEQ1513" s="879"/>
      <c r="HER1513" s="879"/>
      <c r="HES1513" s="879"/>
      <c r="HET1513" s="879"/>
      <c r="HEU1513" s="879"/>
      <c r="HEV1513" s="879"/>
      <c r="HEW1513" s="879"/>
      <c r="HEX1513" s="879"/>
      <c r="HEY1513" s="879"/>
      <c r="HEZ1513" s="879"/>
      <c r="HFA1513" s="879"/>
      <c r="HFB1513" s="879"/>
      <c r="HFC1513" s="879"/>
      <c r="HFD1513" s="879"/>
      <c r="HFE1513" s="879"/>
      <c r="HFF1513" s="879"/>
      <c r="HFG1513" s="879"/>
      <c r="HFH1513" s="879"/>
      <c r="HFI1513" s="879"/>
      <c r="HFJ1513" s="879"/>
      <c r="HFK1513" s="879"/>
      <c r="HFL1513" s="879"/>
      <c r="HFM1513" s="879"/>
      <c r="HFN1513" s="879"/>
      <c r="HFO1513" s="879"/>
      <c r="HFP1513" s="879"/>
      <c r="HFQ1513" s="879"/>
      <c r="HFR1513" s="879"/>
      <c r="HFS1513" s="879"/>
      <c r="HFT1513" s="879"/>
      <c r="HFU1513" s="879"/>
      <c r="HFV1513" s="879"/>
      <c r="HFW1513" s="879"/>
      <c r="HFX1513" s="879"/>
      <c r="HFY1513" s="879"/>
      <c r="HFZ1513" s="879"/>
      <c r="HGA1513" s="879"/>
      <c r="HGB1513" s="879"/>
      <c r="HGC1513" s="879"/>
      <c r="HGD1513" s="879"/>
      <c r="HGE1513" s="879"/>
      <c r="HGF1513" s="879"/>
      <c r="HGG1513" s="879"/>
      <c r="HGH1513" s="879"/>
      <c r="HGI1513" s="879"/>
      <c r="HGJ1513" s="879"/>
      <c r="HGK1513" s="879"/>
      <c r="HGL1513" s="879"/>
      <c r="HGM1513" s="879"/>
      <c r="HGN1513" s="879"/>
      <c r="HGO1513" s="879"/>
      <c r="HGP1513" s="879"/>
      <c r="HGQ1513" s="879"/>
      <c r="HGR1513" s="879"/>
      <c r="HGS1513" s="879"/>
      <c r="HGT1513" s="879"/>
      <c r="HGU1513" s="879"/>
      <c r="HGV1513" s="879"/>
      <c r="HGW1513" s="879"/>
      <c r="HGX1513" s="879"/>
      <c r="HGY1513" s="879"/>
      <c r="HGZ1513" s="879"/>
      <c r="HHA1513" s="879"/>
      <c r="HHB1513" s="879"/>
      <c r="HHC1513" s="879"/>
      <c r="HHD1513" s="879"/>
      <c r="HHE1513" s="879"/>
      <c r="HHF1513" s="879"/>
      <c r="HHG1513" s="879"/>
      <c r="HHH1513" s="879"/>
      <c r="HHI1513" s="879"/>
      <c r="HHJ1513" s="879"/>
      <c r="HHK1513" s="879"/>
      <c r="HHL1513" s="879"/>
      <c r="HHM1513" s="879"/>
      <c r="HHN1513" s="879"/>
      <c r="HHO1513" s="879"/>
      <c r="HHP1513" s="879"/>
      <c r="HHQ1513" s="879"/>
      <c r="HHR1513" s="879"/>
      <c r="HHS1513" s="879"/>
      <c r="HHT1513" s="879"/>
      <c r="HHU1513" s="879"/>
      <c r="HHV1513" s="879"/>
      <c r="HHW1513" s="879"/>
      <c r="HHX1513" s="879"/>
      <c r="HHY1513" s="879"/>
      <c r="HHZ1513" s="879"/>
      <c r="HIA1513" s="879"/>
      <c r="HIB1513" s="879"/>
      <c r="HIC1513" s="879"/>
      <c r="HID1513" s="879"/>
      <c r="HIE1513" s="879"/>
      <c r="HIF1513" s="879"/>
      <c r="HIG1513" s="879"/>
      <c r="HIH1513" s="879"/>
      <c r="HII1513" s="879"/>
      <c r="HIJ1513" s="879"/>
      <c r="HIK1513" s="879"/>
      <c r="HIL1513" s="879"/>
      <c r="HIM1513" s="879"/>
      <c r="HIN1513" s="879"/>
      <c r="HIO1513" s="879"/>
      <c r="HIP1513" s="879"/>
      <c r="HIQ1513" s="879"/>
      <c r="HIR1513" s="879"/>
      <c r="HIS1513" s="879"/>
      <c r="HIT1513" s="879"/>
      <c r="HIU1513" s="879"/>
      <c r="HIV1513" s="879"/>
      <c r="HIW1513" s="879"/>
      <c r="HIX1513" s="879"/>
      <c r="HIY1513" s="879"/>
      <c r="HIZ1513" s="879"/>
      <c r="HJA1513" s="879"/>
      <c r="HJB1513" s="879"/>
      <c r="HJC1513" s="879"/>
      <c r="HJD1513" s="879"/>
      <c r="HJE1513" s="879"/>
      <c r="HJF1513" s="879"/>
      <c r="HJG1513" s="879"/>
      <c r="HJH1513" s="879"/>
      <c r="HJI1513" s="879"/>
      <c r="HJJ1513" s="879"/>
      <c r="HJK1513" s="879"/>
      <c r="HJL1513" s="879"/>
      <c r="HJM1513" s="879"/>
      <c r="HJN1513" s="879"/>
      <c r="HJO1513" s="879"/>
      <c r="HJP1513" s="879"/>
      <c r="HJQ1513" s="879"/>
      <c r="HJR1513" s="879"/>
      <c r="HJS1513" s="879"/>
      <c r="HJT1513" s="879"/>
      <c r="HJU1513" s="879"/>
      <c r="HJV1513" s="879"/>
      <c r="HJW1513" s="879"/>
      <c r="HJX1513" s="879"/>
      <c r="HJY1513" s="879"/>
      <c r="HJZ1513" s="879"/>
      <c r="HKA1513" s="879"/>
      <c r="HKB1513" s="879"/>
      <c r="HKC1513" s="879"/>
      <c r="HKD1513" s="879"/>
      <c r="HKE1513" s="879"/>
      <c r="HKF1513" s="879"/>
      <c r="HKG1513" s="879"/>
      <c r="HKH1513" s="879"/>
      <c r="HKI1513" s="879"/>
      <c r="HKJ1513" s="879"/>
      <c r="HKK1513" s="879"/>
      <c r="HKL1513" s="879"/>
      <c r="HKM1513" s="879"/>
      <c r="HKN1513" s="879"/>
      <c r="HKO1513" s="879"/>
      <c r="HKP1513" s="879"/>
      <c r="HKQ1513" s="879"/>
      <c r="HKR1513" s="879"/>
      <c r="HKS1513" s="879"/>
      <c r="HKT1513" s="879"/>
      <c r="HKU1513" s="879"/>
      <c r="HKV1513" s="879"/>
      <c r="HKW1513" s="879"/>
      <c r="HKX1513" s="879"/>
      <c r="HKY1513" s="879"/>
      <c r="HKZ1513" s="879"/>
      <c r="HLA1513" s="879"/>
      <c r="HLB1513" s="879"/>
      <c r="HLC1513" s="879"/>
      <c r="HLD1513" s="879"/>
      <c r="HLE1513" s="879"/>
      <c r="HLF1513" s="879"/>
      <c r="HLG1513" s="879"/>
      <c r="HLH1513" s="879"/>
      <c r="HLI1513" s="879"/>
      <c r="HLJ1513" s="879"/>
      <c r="HLK1513" s="879"/>
      <c r="HLL1513" s="879"/>
      <c r="HLM1513" s="879"/>
      <c r="HLN1513" s="879"/>
      <c r="HLO1513" s="879"/>
      <c r="HLP1513" s="879"/>
      <c r="HLQ1513" s="879"/>
      <c r="HLR1513" s="879"/>
      <c r="HLS1513" s="879"/>
      <c r="HLT1513" s="879"/>
      <c r="HLU1513" s="879"/>
      <c r="HLV1513" s="879"/>
      <c r="HLW1513" s="879"/>
      <c r="HLX1513" s="879"/>
      <c r="HLY1513" s="879"/>
      <c r="HLZ1513" s="879"/>
      <c r="HMA1513" s="879"/>
      <c r="HMB1513" s="879"/>
      <c r="HMC1513" s="879"/>
      <c r="HMD1513" s="879"/>
      <c r="HME1513" s="879"/>
      <c r="HMF1513" s="879"/>
      <c r="HMG1513" s="879"/>
      <c r="HMH1513" s="879"/>
      <c r="HMI1513" s="879"/>
      <c r="HMJ1513" s="879"/>
      <c r="HMK1513" s="879"/>
      <c r="HML1513" s="879"/>
      <c r="HMM1513" s="879"/>
      <c r="HMN1513" s="879"/>
      <c r="HMO1513" s="879"/>
      <c r="HMP1513" s="879"/>
      <c r="HMQ1513" s="879"/>
      <c r="HMR1513" s="879"/>
      <c r="HMS1513" s="879"/>
      <c r="HMT1513" s="879"/>
      <c r="HMU1513" s="879"/>
      <c r="HMV1513" s="879"/>
      <c r="HMW1513" s="879"/>
      <c r="HMX1513" s="879"/>
      <c r="HMY1513" s="879"/>
      <c r="HMZ1513" s="879"/>
      <c r="HNA1513" s="879"/>
      <c r="HNB1513" s="879"/>
      <c r="HNC1513" s="879"/>
      <c r="HND1513" s="879"/>
      <c r="HNE1513" s="879"/>
      <c r="HNF1513" s="879"/>
      <c r="HNG1513" s="879"/>
      <c r="HNH1513" s="879"/>
      <c r="HNI1513" s="879"/>
      <c r="HNJ1513" s="879"/>
      <c r="HNK1513" s="879"/>
      <c r="HNL1513" s="879"/>
      <c r="HNM1513" s="879"/>
      <c r="HNN1513" s="879"/>
      <c r="HNO1513" s="879"/>
      <c r="HNP1513" s="879"/>
      <c r="HNQ1513" s="879"/>
      <c r="HNR1513" s="879"/>
      <c r="HNS1513" s="879"/>
      <c r="HNT1513" s="879"/>
      <c r="HNU1513" s="879"/>
      <c r="HNV1513" s="879"/>
      <c r="HNW1513" s="879"/>
      <c r="HNX1513" s="879"/>
      <c r="HNY1513" s="879"/>
      <c r="HNZ1513" s="879"/>
      <c r="HOA1513" s="879"/>
      <c r="HOB1513" s="879"/>
      <c r="HOC1513" s="879"/>
      <c r="HOD1513" s="879"/>
      <c r="HOE1513" s="879"/>
      <c r="HOF1513" s="879"/>
      <c r="HOG1513" s="879"/>
      <c r="HOH1513" s="879"/>
      <c r="HOI1513" s="879"/>
      <c r="HOJ1513" s="879"/>
      <c r="HOK1513" s="879"/>
      <c r="HOL1513" s="879"/>
      <c r="HOM1513" s="879"/>
      <c r="HON1513" s="879"/>
      <c r="HOO1513" s="879"/>
      <c r="HOP1513" s="879"/>
      <c r="HOQ1513" s="879"/>
      <c r="HOR1513" s="879"/>
      <c r="HOS1513" s="879"/>
      <c r="HOT1513" s="879"/>
      <c r="HOU1513" s="879"/>
      <c r="HOV1513" s="879"/>
      <c r="HOW1513" s="879"/>
      <c r="HOX1513" s="879"/>
      <c r="HOY1513" s="879"/>
      <c r="HOZ1513" s="879"/>
      <c r="HPA1513" s="879"/>
      <c r="HPB1513" s="879"/>
      <c r="HPC1513" s="879"/>
      <c r="HPD1513" s="879"/>
      <c r="HPE1513" s="879"/>
      <c r="HPF1513" s="879"/>
      <c r="HPG1513" s="879"/>
      <c r="HPH1513" s="879"/>
      <c r="HPI1513" s="879"/>
      <c r="HPJ1513" s="879"/>
      <c r="HPK1513" s="879"/>
      <c r="HPL1513" s="879"/>
      <c r="HPM1513" s="879"/>
      <c r="HPN1513" s="879"/>
      <c r="HPO1513" s="879"/>
      <c r="HPP1513" s="879"/>
      <c r="HPQ1513" s="879"/>
      <c r="HPR1513" s="879"/>
      <c r="HPS1513" s="879"/>
      <c r="HPT1513" s="879"/>
      <c r="HPU1513" s="879"/>
      <c r="HPV1513" s="879"/>
      <c r="HPW1513" s="879"/>
      <c r="HPX1513" s="879"/>
      <c r="HPY1513" s="879"/>
      <c r="HPZ1513" s="879"/>
      <c r="HQA1513" s="879"/>
      <c r="HQB1513" s="879"/>
      <c r="HQC1513" s="879"/>
      <c r="HQD1513" s="879"/>
      <c r="HQE1513" s="879"/>
      <c r="HQF1513" s="879"/>
      <c r="HQG1513" s="879"/>
      <c r="HQH1513" s="879"/>
      <c r="HQI1513" s="879"/>
      <c r="HQJ1513" s="879"/>
      <c r="HQK1513" s="879"/>
      <c r="HQL1513" s="879"/>
      <c r="HQM1513" s="879"/>
      <c r="HQN1513" s="879"/>
      <c r="HQO1513" s="879"/>
      <c r="HQP1513" s="879"/>
      <c r="HQQ1513" s="879"/>
      <c r="HQR1513" s="879"/>
      <c r="HQS1513" s="879"/>
      <c r="HQT1513" s="879"/>
      <c r="HQU1513" s="879"/>
      <c r="HQV1513" s="879"/>
      <c r="HQW1513" s="879"/>
      <c r="HQX1513" s="879"/>
      <c r="HQY1513" s="879"/>
      <c r="HQZ1513" s="879"/>
      <c r="HRA1513" s="879"/>
      <c r="HRB1513" s="879"/>
      <c r="HRC1513" s="879"/>
      <c r="HRD1513" s="879"/>
      <c r="HRE1513" s="879"/>
      <c r="HRF1513" s="879"/>
      <c r="HRG1513" s="879"/>
      <c r="HRH1513" s="879"/>
      <c r="HRI1513" s="879"/>
      <c r="HRJ1513" s="879"/>
      <c r="HRK1513" s="879"/>
      <c r="HRL1513" s="879"/>
      <c r="HRM1513" s="879"/>
      <c r="HRN1513" s="879"/>
      <c r="HRO1513" s="879"/>
      <c r="HRP1513" s="879"/>
      <c r="HRQ1513" s="879"/>
      <c r="HRR1513" s="879"/>
      <c r="HRS1513" s="879"/>
      <c r="HRT1513" s="879"/>
      <c r="HRU1513" s="879"/>
      <c r="HRV1513" s="879"/>
      <c r="HRW1513" s="879"/>
      <c r="HRX1513" s="879"/>
      <c r="HRY1513" s="879"/>
      <c r="HRZ1513" s="879"/>
      <c r="HSA1513" s="879"/>
      <c r="HSB1513" s="879"/>
      <c r="HSC1513" s="879"/>
      <c r="HSD1513" s="879"/>
      <c r="HSE1513" s="879"/>
      <c r="HSF1513" s="879"/>
      <c r="HSG1513" s="879"/>
      <c r="HSH1513" s="879"/>
      <c r="HSI1513" s="879"/>
      <c r="HSJ1513" s="879"/>
      <c r="HSK1513" s="879"/>
      <c r="HSL1513" s="879"/>
      <c r="HSM1513" s="879"/>
      <c r="HSN1513" s="879"/>
      <c r="HSO1513" s="879"/>
      <c r="HSP1513" s="879"/>
      <c r="HSQ1513" s="879"/>
      <c r="HSR1513" s="879"/>
      <c r="HSS1513" s="879"/>
      <c r="HST1513" s="879"/>
      <c r="HSU1513" s="879"/>
      <c r="HSV1513" s="879"/>
      <c r="HSW1513" s="879"/>
      <c r="HSX1513" s="879"/>
      <c r="HSY1513" s="879"/>
      <c r="HSZ1513" s="879"/>
      <c r="HTA1513" s="879"/>
      <c r="HTB1513" s="879"/>
      <c r="HTC1513" s="879"/>
      <c r="HTD1513" s="879"/>
      <c r="HTE1513" s="879"/>
      <c r="HTF1513" s="879"/>
      <c r="HTG1513" s="879"/>
      <c r="HTH1513" s="879"/>
      <c r="HTI1513" s="879"/>
      <c r="HTJ1513" s="879"/>
      <c r="HTK1513" s="879"/>
      <c r="HTL1513" s="879"/>
      <c r="HTM1513" s="879"/>
      <c r="HTN1513" s="879"/>
      <c r="HTO1513" s="879"/>
      <c r="HTP1513" s="879"/>
      <c r="HTQ1513" s="879"/>
      <c r="HTR1513" s="879"/>
      <c r="HTS1513" s="879"/>
      <c r="HTT1513" s="879"/>
      <c r="HTU1513" s="879"/>
      <c r="HTV1513" s="879"/>
      <c r="HTW1513" s="879"/>
      <c r="HTX1513" s="879"/>
      <c r="HTY1513" s="879"/>
      <c r="HTZ1513" s="879"/>
      <c r="HUA1513" s="879"/>
      <c r="HUB1513" s="879"/>
      <c r="HUC1513" s="879"/>
      <c r="HUD1513" s="879"/>
      <c r="HUE1513" s="879"/>
      <c r="HUF1513" s="879"/>
      <c r="HUG1513" s="879"/>
      <c r="HUH1513" s="879"/>
      <c r="HUI1513" s="879"/>
      <c r="HUJ1513" s="879"/>
      <c r="HUK1513" s="879"/>
      <c r="HUL1513" s="879"/>
      <c r="HUM1513" s="879"/>
      <c r="HUN1513" s="879"/>
      <c r="HUO1513" s="879"/>
      <c r="HUP1513" s="879"/>
      <c r="HUQ1513" s="879"/>
      <c r="HUR1513" s="879"/>
      <c r="HUS1513" s="879"/>
      <c r="HUT1513" s="879"/>
      <c r="HUU1513" s="879"/>
      <c r="HUV1513" s="879"/>
      <c r="HUW1513" s="879"/>
      <c r="HUX1513" s="879"/>
      <c r="HUY1513" s="879"/>
      <c r="HUZ1513" s="879"/>
      <c r="HVA1513" s="879"/>
      <c r="HVB1513" s="879"/>
      <c r="HVC1513" s="879"/>
      <c r="HVD1513" s="879"/>
      <c r="HVE1513" s="879"/>
      <c r="HVF1513" s="879"/>
      <c r="HVG1513" s="879"/>
      <c r="HVH1513" s="879"/>
      <c r="HVI1513" s="879"/>
      <c r="HVJ1513" s="879"/>
      <c r="HVK1513" s="879"/>
      <c r="HVL1513" s="879"/>
      <c r="HVM1513" s="879"/>
      <c r="HVN1513" s="879"/>
      <c r="HVO1513" s="879"/>
      <c r="HVP1513" s="879"/>
      <c r="HVQ1513" s="879"/>
      <c r="HVR1513" s="879"/>
      <c r="HVS1513" s="879"/>
      <c r="HVT1513" s="879"/>
      <c r="HVU1513" s="879"/>
      <c r="HVV1513" s="879"/>
      <c r="HVW1513" s="879"/>
      <c r="HVX1513" s="879"/>
      <c r="HVY1513" s="879"/>
      <c r="HVZ1513" s="879"/>
      <c r="HWA1513" s="879"/>
      <c r="HWB1513" s="879"/>
      <c r="HWC1513" s="879"/>
      <c r="HWD1513" s="879"/>
      <c r="HWE1513" s="879"/>
      <c r="HWF1513" s="879"/>
      <c r="HWG1513" s="879"/>
      <c r="HWH1513" s="879"/>
      <c r="HWI1513" s="879"/>
      <c r="HWJ1513" s="879"/>
      <c r="HWK1513" s="879"/>
      <c r="HWL1513" s="879"/>
      <c r="HWM1513" s="879"/>
      <c r="HWN1513" s="879"/>
      <c r="HWO1513" s="879"/>
      <c r="HWP1513" s="879"/>
      <c r="HWQ1513" s="879"/>
      <c r="HWR1513" s="879"/>
      <c r="HWS1513" s="879"/>
      <c r="HWT1513" s="879"/>
      <c r="HWU1513" s="879"/>
      <c r="HWV1513" s="879"/>
      <c r="HWW1513" s="879"/>
      <c r="HWX1513" s="879"/>
      <c r="HWY1513" s="879"/>
      <c r="HWZ1513" s="879"/>
      <c r="HXA1513" s="879"/>
      <c r="HXB1513" s="879"/>
      <c r="HXC1513" s="879"/>
      <c r="HXD1513" s="879"/>
      <c r="HXE1513" s="879"/>
      <c r="HXF1513" s="879"/>
      <c r="HXG1513" s="879"/>
      <c r="HXH1513" s="879"/>
      <c r="HXI1513" s="879"/>
      <c r="HXJ1513" s="879"/>
      <c r="HXK1513" s="879"/>
      <c r="HXL1513" s="879"/>
      <c r="HXM1513" s="879"/>
      <c r="HXN1513" s="879"/>
      <c r="HXO1513" s="879"/>
      <c r="HXP1513" s="879"/>
      <c r="HXQ1513" s="879"/>
      <c r="HXR1513" s="879"/>
      <c r="HXS1513" s="879"/>
      <c r="HXT1513" s="879"/>
      <c r="HXU1513" s="879"/>
      <c r="HXV1513" s="879"/>
      <c r="HXW1513" s="879"/>
      <c r="HXX1513" s="879"/>
      <c r="HXY1513" s="879"/>
      <c r="HXZ1513" s="879"/>
      <c r="HYA1513" s="879"/>
      <c r="HYB1513" s="879"/>
      <c r="HYC1513" s="879"/>
      <c r="HYD1513" s="879"/>
      <c r="HYE1513" s="879"/>
      <c r="HYF1513" s="879"/>
      <c r="HYG1513" s="879"/>
      <c r="HYH1513" s="879"/>
      <c r="HYI1513" s="879"/>
      <c r="HYJ1513" s="879"/>
      <c r="HYK1513" s="879"/>
      <c r="HYL1513" s="879"/>
      <c r="HYM1513" s="879"/>
      <c r="HYN1513" s="879"/>
      <c r="HYO1513" s="879"/>
      <c r="HYP1513" s="879"/>
      <c r="HYQ1513" s="879"/>
      <c r="HYR1513" s="879"/>
      <c r="HYS1513" s="879"/>
      <c r="HYT1513" s="879"/>
      <c r="HYU1513" s="879"/>
      <c r="HYV1513" s="879"/>
      <c r="HYW1513" s="879"/>
      <c r="HYX1513" s="879"/>
      <c r="HYY1513" s="879"/>
      <c r="HYZ1513" s="879"/>
      <c r="HZA1513" s="879"/>
      <c r="HZB1513" s="879"/>
      <c r="HZC1513" s="879"/>
      <c r="HZD1513" s="879"/>
      <c r="HZE1513" s="879"/>
      <c r="HZF1513" s="879"/>
      <c r="HZG1513" s="879"/>
      <c r="HZH1513" s="879"/>
      <c r="HZI1513" s="879"/>
      <c r="HZJ1513" s="879"/>
      <c r="HZK1513" s="879"/>
      <c r="HZL1513" s="879"/>
      <c r="HZM1513" s="879"/>
      <c r="HZN1513" s="879"/>
      <c r="HZO1513" s="879"/>
      <c r="HZP1513" s="879"/>
      <c r="HZQ1513" s="879"/>
      <c r="HZR1513" s="879"/>
      <c r="HZS1513" s="879"/>
      <c r="HZT1513" s="879"/>
      <c r="HZU1513" s="879"/>
      <c r="HZV1513" s="879"/>
      <c r="HZW1513" s="879"/>
      <c r="HZX1513" s="879"/>
      <c r="HZY1513" s="879"/>
      <c r="HZZ1513" s="879"/>
      <c r="IAA1513" s="879"/>
      <c r="IAB1513" s="879"/>
      <c r="IAC1513" s="879"/>
      <c r="IAD1513" s="879"/>
      <c r="IAE1513" s="879"/>
      <c r="IAF1513" s="879"/>
      <c r="IAG1513" s="879"/>
      <c r="IAH1513" s="879"/>
      <c r="IAI1513" s="879"/>
      <c r="IAJ1513" s="879"/>
      <c r="IAK1513" s="879"/>
      <c r="IAL1513" s="879"/>
      <c r="IAM1513" s="879"/>
      <c r="IAN1513" s="879"/>
      <c r="IAO1513" s="879"/>
      <c r="IAP1513" s="879"/>
      <c r="IAQ1513" s="879"/>
      <c r="IAR1513" s="879"/>
      <c r="IAS1513" s="879"/>
      <c r="IAT1513" s="879"/>
      <c r="IAU1513" s="879"/>
      <c r="IAV1513" s="879"/>
      <c r="IAW1513" s="879"/>
      <c r="IAX1513" s="879"/>
      <c r="IAY1513" s="879"/>
      <c r="IAZ1513" s="879"/>
      <c r="IBA1513" s="879"/>
      <c r="IBB1513" s="879"/>
      <c r="IBC1513" s="879"/>
      <c r="IBD1513" s="879"/>
      <c r="IBE1513" s="879"/>
      <c r="IBF1513" s="879"/>
      <c r="IBG1513" s="879"/>
      <c r="IBH1513" s="879"/>
      <c r="IBI1513" s="879"/>
      <c r="IBJ1513" s="879"/>
      <c r="IBK1513" s="879"/>
      <c r="IBL1513" s="879"/>
      <c r="IBM1513" s="879"/>
      <c r="IBN1513" s="879"/>
      <c r="IBO1513" s="879"/>
      <c r="IBP1513" s="879"/>
      <c r="IBQ1513" s="879"/>
      <c r="IBR1513" s="879"/>
      <c r="IBS1513" s="879"/>
      <c r="IBT1513" s="879"/>
      <c r="IBU1513" s="879"/>
      <c r="IBV1513" s="879"/>
      <c r="IBW1513" s="879"/>
      <c r="IBX1513" s="879"/>
      <c r="IBY1513" s="879"/>
      <c r="IBZ1513" s="879"/>
      <c r="ICA1513" s="879"/>
      <c r="ICB1513" s="879"/>
      <c r="ICC1513" s="879"/>
      <c r="ICD1513" s="879"/>
      <c r="ICE1513" s="879"/>
      <c r="ICF1513" s="879"/>
      <c r="ICG1513" s="879"/>
      <c r="ICH1513" s="879"/>
      <c r="ICI1513" s="879"/>
      <c r="ICJ1513" s="879"/>
      <c r="ICK1513" s="879"/>
      <c r="ICL1513" s="879"/>
      <c r="ICM1513" s="879"/>
      <c r="ICN1513" s="879"/>
      <c r="ICO1513" s="879"/>
      <c r="ICP1513" s="879"/>
      <c r="ICQ1513" s="879"/>
      <c r="ICR1513" s="879"/>
      <c r="ICS1513" s="879"/>
      <c r="ICT1513" s="879"/>
      <c r="ICU1513" s="879"/>
      <c r="ICV1513" s="879"/>
      <c r="ICW1513" s="879"/>
      <c r="ICX1513" s="879"/>
      <c r="ICY1513" s="879"/>
      <c r="ICZ1513" s="879"/>
      <c r="IDA1513" s="879"/>
      <c r="IDB1513" s="879"/>
      <c r="IDC1513" s="879"/>
      <c r="IDD1513" s="879"/>
      <c r="IDE1513" s="879"/>
      <c r="IDF1513" s="879"/>
      <c r="IDG1513" s="879"/>
      <c r="IDH1513" s="879"/>
      <c r="IDI1513" s="879"/>
      <c r="IDJ1513" s="879"/>
      <c r="IDK1513" s="879"/>
      <c r="IDL1513" s="879"/>
      <c r="IDM1513" s="879"/>
      <c r="IDN1513" s="879"/>
      <c r="IDO1513" s="879"/>
      <c r="IDP1513" s="879"/>
      <c r="IDQ1513" s="879"/>
      <c r="IDR1513" s="879"/>
      <c r="IDS1513" s="879"/>
      <c r="IDT1513" s="879"/>
      <c r="IDU1513" s="879"/>
      <c r="IDV1513" s="879"/>
      <c r="IDW1513" s="879"/>
      <c r="IDX1513" s="879"/>
      <c r="IDY1513" s="879"/>
      <c r="IDZ1513" s="879"/>
      <c r="IEA1513" s="879"/>
      <c r="IEB1513" s="879"/>
      <c r="IEC1513" s="879"/>
      <c r="IED1513" s="879"/>
      <c r="IEE1513" s="879"/>
      <c r="IEF1513" s="879"/>
      <c r="IEG1513" s="879"/>
      <c r="IEH1513" s="879"/>
      <c r="IEI1513" s="879"/>
      <c r="IEJ1513" s="879"/>
      <c r="IEK1513" s="879"/>
      <c r="IEL1513" s="879"/>
      <c r="IEM1513" s="879"/>
      <c r="IEN1513" s="879"/>
      <c r="IEO1513" s="879"/>
      <c r="IEP1513" s="879"/>
      <c r="IEQ1513" s="879"/>
      <c r="IER1513" s="879"/>
      <c r="IES1513" s="879"/>
      <c r="IET1513" s="879"/>
      <c r="IEU1513" s="879"/>
      <c r="IEV1513" s="879"/>
      <c r="IEW1513" s="879"/>
      <c r="IEX1513" s="879"/>
      <c r="IEY1513" s="879"/>
      <c r="IEZ1513" s="879"/>
      <c r="IFA1513" s="879"/>
      <c r="IFB1513" s="879"/>
      <c r="IFC1513" s="879"/>
      <c r="IFD1513" s="879"/>
      <c r="IFE1513" s="879"/>
      <c r="IFF1513" s="879"/>
      <c r="IFG1513" s="879"/>
      <c r="IFH1513" s="879"/>
      <c r="IFI1513" s="879"/>
      <c r="IFJ1513" s="879"/>
      <c r="IFK1513" s="879"/>
      <c r="IFL1513" s="879"/>
      <c r="IFM1513" s="879"/>
      <c r="IFN1513" s="879"/>
      <c r="IFO1513" s="879"/>
      <c r="IFP1513" s="879"/>
      <c r="IFQ1513" s="879"/>
      <c r="IFR1513" s="879"/>
      <c r="IFS1513" s="879"/>
      <c r="IFT1513" s="879"/>
      <c r="IFU1513" s="879"/>
      <c r="IFV1513" s="879"/>
      <c r="IFW1513" s="879"/>
      <c r="IFX1513" s="879"/>
      <c r="IFY1513" s="879"/>
      <c r="IFZ1513" s="879"/>
      <c r="IGA1513" s="879"/>
      <c r="IGB1513" s="879"/>
      <c r="IGC1513" s="879"/>
      <c r="IGD1513" s="879"/>
      <c r="IGE1513" s="879"/>
      <c r="IGF1513" s="879"/>
      <c r="IGG1513" s="879"/>
      <c r="IGH1513" s="879"/>
      <c r="IGI1513" s="879"/>
      <c r="IGJ1513" s="879"/>
      <c r="IGK1513" s="879"/>
      <c r="IGL1513" s="879"/>
      <c r="IGM1513" s="879"/>
      <c r="IGN1513" s="879"/>
      <c r="IGO1513" s="879"/>
      <c r="IGP1513" s="879"/>
      <c r="IGQ1513" s="879"/>
      <c r="IGR1513" s="879"/>
      <c r="IGS1513" s="879"/>
      <c r="IGT1513" s="879"/>
      <c r="IGU1513" s="879"/>
      <c r="IGV1513" s="879"/>
      <c r="IGW1513" s="879"/>
      <c r="IGX1513" s="879"/>
      <c r="IGY1513" s="879"/>
      <c r="IGZ1513" s="879"/>
      <c r="IHA1513" s="879"/>
      <c r="IHB1513" s="879"/>
      <c r="IHC1513" s="879"/>
      <c r="IHD1513" s="879"/>
      <c r="IHE1513" s="879"/>
      <c r="IHF1513" s="879"/>
      <c r="IHG1513" s="879"/>
      <c r="IHH1513" s="879"/>
      <c r="IHI1513" s="879"/>
      <c r="IHJ1513" s="879"/>
      <c r="IHK1513" s="879"/>
      <c r="IHL1513" s="879"/>
      <c r="IHM1513" s="879"/>
      <c r="IHN1513" s="879"/>
      <c r="IHO1513" s="879"/>
      <c r="IHP1513" s="879"/>
      <c r="IHQ1513" s="879"/>
      <c r="IHR1513" s="879"/>
      <c r="IHS1513" s="879"/>
      <c r="IHT1513" s="879"/>
      <c r="IHU1513" s="879"/>
      <c r="IHV1513" s="879"/>
      <c r="IHW1513" s="879"/>
      <c r="IHX1513" s="879"/>
      <c r="IHY1513" s="879"/>
      <c r="IHZ1513" s="879"/>
      <c r="IIA1513" s="879"/>
      <c r="IIB1513" s="879"/>
      <c r="IIC1513" s="879"/>
      <c r="IID1513" s="879"/>
      <c r="IIE1513" s="879"/>
      <c r="IIF1513" s="879"/>
      <c r="IIG1513" s="879"/>
      <c r="IIH1513" s="879"/>
      <c r="III1513" s="879"/>
      <c r="IIJ1513" s="879"/>
      <c r="IIK1513" s="879"/>
      <c r="IIL1513" s="879"/>
      <c r="IIM1513" s="879"/>
      <c r="IIN1513" s="879"/>
      <c r="IIO1513" s="879"/>
      <c r="IIP1513" s="879"/>
      <c r="IIQ1513" s="879"/>
      <c r="IIR1513" s="879"/>
      <c r="IIS1513" s="879"/>
      <c r="IIT1513" s="879"/>
      <c r="IIU1513" s="879"/>
      <c r="IIV1513" s="879"/>
      <c r="IIW1513" s="879"/>
      <c r="IIX1513" s="879"/>
      <c r="IIY1513" s="879"/>
      <c r="IIZ1513" s="879"/>
      <c r="IJA1513" s="879"/>
      <c r="IJB1513" s="879"/>
      <c r="IJC1513" s="879"/>
      <c r="IJD1513" s="879"/>
      <c r="IJE1513" s="879"/>
      <c r="IJF1513" s="879"/>
      <c r="IJG1513" s="879"/>
      <c r="IJH1513" s="879"/>
      <c r="IJI1513" s="879"/>
      <c r="IJJ1513" s="879"/>
      <c r="IJK1513" s="879"/>
      <c r="IJL1513" s="879"/>
      <c r="IJM1513" s="879"/>
      <c r="IJN1513" s="879"/>
      <c r="IJO1513" s="879"/>
      <c r="IJP1513" s="879"/>
      <c r="IJQ1513" s="879"/>
      <c r="IJR1513" s="879"/>
      <c r="IJS1513" s="879"/>
      <c r="IJT1513" s="879"/>
      <c r="IJU1513" s="879"/>
      <c r="IJV1513" s="879"/>
      <c r="IJW1513" s="879"/>
      <c r="IJX1513" s="879"/>
      <c r="IJY1513" s="879"/>
      <c r="IJZ1513" s="879"/>
      <c r="IKA1513" s="879"/>
      <c r="IKB1513" s="879"/>
      <c r="IKC1513" s="879"/>
      <c r="IKD1513" s="879"/>
      <c r="IKE1513" s="879"/>
      <c r="IKF1513" s="879"/>
      <c r="IKG1513" s="879"/>
      <c r="IKH1513" s="879"/>
      <c r="IKI1513" s="879"/>
      <c r="IKJ1513" s="879"/>
      <c r="IKK1513" s="879"/>
      <c r="IKL1513" s="879"/>
      <c r="IKM1513" s="879"/>
      <c r="IKN1513" s="879"/>
      <c r="IKO1513" s="879"/>
      <c r="IKP1513" s="879"/>
      <c r="IKQ1513" s="879"/>
      <c r="IKR1513" s="879"/>
      <c r="IKS1513" s="879"/>
      <c r="IKT1513" s="879"/>
      <c r="IKU1513" s="879"/>
      <c r="IKV1513" s="879"/>
      <c r="IKW1513" s="879"/>
      <c r="IKX1513" s="879"/>
      <c r="IKY1513" s="879"/>
      <c r="IKZ1513" s="879"/>
      <c r="ILA1513" s="879"/>
      <c r="ILB1513" s="879"/>
      <c r="ILC1513" s="879"/>
      <c r="ILD1513" s="879"/>
      <c r="ILE1513" s="879"/>
      <c r="ILF1513" s="879"/>
      <c r="ILG1513" s="879"/>
      <c r="ILH1513" s="879"/>
      <c r="ILI1513" s="879"/>
      <c r="ILJ1513" s="879"/>
      <c r="ILK1513" s="879"/>
      <c r="ILL1513" s="879"/>
      <c r="ILM1513" s="879"/>
      <c r="ILN1513" s="879"/>
      <c r="ILO1513" s="879"/>
      <c r="ILP1513" s="879"/>
      <c r="ILQ1513" s="879"/>
      <c r="ILR1513" s="879"/>
      <c r="ILS1513" s="879"/>
      <c r="ILT1513" s="879"/>
      <c r="ILU1513" s="879"/>
      <c r="ILV1513" s="879"/>
      <c r="ILW1513" s="879"/>
      <c r="ILX1513" s="879"/>
      <c r="ILY1513" s="879"/>
      <c r="ILZ1513" s="879"/>
      <c r="IMA1513" s="879"/>
      <c r="IMB1513" s="879"/>
      <c r="IMC1513" s="879"/>
      <c r="IMD1513" s="879"/>
      <c r="IME1513" s="879"/>
      <c r="IMF1513" s="879"/>
      <c r="IMG1513" s="879"/>
      <c r="IMH1513" s="879"/>
      <c r="IMI1513" s="879"/>
      <c r="IMJ1513" s="879"/>
      <c r="IMK1513" s="879"/>
      <c r="IML1513" s="879"/>
      <c r="IMM1513" s="879"/>
      <c r="IMN1513" s="879"/>
      <c r="IMO1513" s="879"/>
      <c r="IMP1513" s="879"/>
      <c r="IMQ1513" s="879"/>
      <c r="IMR1513" s="879"/>
      <c r="IMS1513" s="879"/>
      <c r="IMT1513" s="879"/>
      <c r="IMU1513" s="879"/>
      <c r="IMV1513" s="879"/>
      <c r="IMW1513" s="879"/>
      <c r="IMX1513" s="879"/>
      <c r="IMY1513" s="879"/>
      <c r="IMZ1513" s="879"/>
      <c r="INA1513" s="879"/>
      <c r="INB1513" s="879"/>
      <c r="INC1513" s="879"/>
      <c r="IND1513" s="879"/>
      <c r="INE1513" s="879"/>
      <c r="INF1513" s="879"/>
      <c r="ING1513" s="879"/>
      <c r="INH1513" s="879"/>
      <c r="INI1513" s="879"/>
      <c r="INJ1513" s="879"/>
      <c r="INK1513" s="879"/>
      <c r="INL1513" s="879"/>
      <c r="INM1513" s="879"/>
      <c r="INN1513" s="879"/>
      <c r="INO1513" s="879"/>
      <c r="INP1513" s="879"/>
      <c r="INQ1513" s="879"/>
      <c r="INR1513" s="879"/>
      <c r="INS1513" s="879"/>
      <c r="INT1513" s="879"/>
      <c r="INU1513" s="879"/>
      <c r="INV1513" s="879"/>
      <c r="INW1513" s="879"/>
      <c r="INX1513" s="879"/>
      <c r="INY1513" s="879"/>
      <c r="INZ1513" s="879"/>
      <c r="IOA1513" s="879"/>
      <c r="IOB1513" s="879"/>
      <c r="IOC1513" s="879"/>
      <c r="IOD1513" s="879"/>
      <c r="IOE1513" s="879"/>
      <c r="IOF1513" s="879"/>
      <c r="IOG1513" s="879"/>
      <c r="IOH1513" s="879"/>
      <c r="IOI1513" s="879"/>
      <c r="IOJ1513" s="879"/>
      <c r="IOK1513" s="879"/>
      <c r="IOL1513" s="879"/>
      <c r="IOM1513" s="879"/>
      <c r="ION1513" s="879"/>
      <c r="IOO1513" s="879"/>
      <c r="IOP1513" s="879"/>
      <c r="IOQ1513" s="879"/>
      <c r="IOR1513" s="879"/>
      <c r="IOS1513" s="879"/>
      <c r="IOT1513" s="879"/>
      <c r="IOU1513" s="879"/>
      <c r="IOV1513" s="879"/>
      <c r="IOW1513" s="879"/>
      <c r="IOX1513" s="879"/>
      <c r="IOY1513" s="879"/>
      <c r="IOZ1513" s="879"/>
      <c r="IPA1513" s="879"/>
      <c r="IPB1513" s="879"/>
      <c r="IPC1513" s="879"/>
      <c r="IPD1513" s="879"/>
      <c r="IPE1513" s="879"/>
      <c r="IPF1513" s="879"/>
      <c r="IPG1513" s="879"/>
      <c r="IPH1513" s="879"/>
      <c r="IPI1513" s="879"/>
      <c r="IPJ1513" s="879"/>
      <c r="IPK1513" s="879"/>
      <c r="IPL1513" s="879"/>
      <c r="IPM1513" s="879"/>
      <c r="IPN1513" s="879"/>
      <c r="IPO1513" s="879"/>
      <c r="IPP1513" s="879"/>
      <c r="IPQ1513" s="879"/>
      <c r="IPR1513" s="879"/>
      <c r="IPS1513" s="879"/>
      <c r="IPT1513" s="879"/>
      <c r="IPU1513" s="879"/>
      <c r="IPV1513" s="879"/>
      <c r="IPW1513" s="879"/>
      <c r="IPX1513" s="879"/>
      <c r="IPY1513" s="879"/>
      <c r="IPZ1513" s="879"/>
      <c r="IQA1513" s="879"/>
      <c r="IQB1513" s="879"/>
      <c r="IQC1513" s="879"/>
      <c r="IQD1513" s="879"/>
      <c r="IQE1513" s="879"/>
      <c r="IQF1513" s="879"/>
      <c r="IQG1513" s="879"/>
      <c r="IQH1513" s="879"/>
      <c r="IQI1513" s="879"/>
      <c r="IQJ1513" s="879"/>
      <c r="IQK1513" s="879"/>
      <c r="IQL1513" s="879"/>
      <c r="IQM1513" s="879"/>
      <c r="IQN1513" s="879"/>
      <c r="IQO1513" s="879"/>
      <c r="IQP1513" s="879"/>
      <c r="IQQ1513" s="879"/>
      <c r="IQR1513" s="879"/>
      <c r="IQS1513" s="879"/>
      <c r="IQT1513" s="879"/>
      <c r="IQU1513" s="879"/>
      <c r="IQV1513" s="879"/>
      <c r="IQW1513" s="879"/>
      <c r="IQX1513" s="879"/>
      <c r="IQY1513" s="879"/>
      <c r="IQZ1513" s="879"/>
      <c r="IRA1513" s="879"/>
      <c r="IRB1513" s="879"/>
      <c r="IRC1513" s="879"/>
      <c r="IRD1513" s="879"/>
      <c r="IRE1513" s="879"/>
      <c r="IRF1513" s="879"/>
      <c r="IRG1513" s="879"/>
      <c r="IRH1513" s="879"/>
      <c r="IRI1513" s="879"/>
      <c r="IRJ1513" s="879"/>
      <c r="IRK1513" s="879"/>
      <c r="IRL1513" s="879"/>
      <c r="IRM1513" s="879"/>
      <c r="IRN1513" s="879"/>
      <c r="IRO1513" s="879"/>
      <c r="IRP1513" s="879"/>
      <c r="IRQ1513" s="879"/>
      <c r="IRR1513" s="879"/>
      <c r="IRS1513" s="879"/>
      <c r="IRT1513" s="879"/>
      <c r="IRU1513" s="879"/>
      <c r="IRV1513" s="879"/>
      <c r="IRW1513" s="879"/>
      <c r="IRX1513" s="879"/>
      <c r="IRY1513" s="879"/>
      <c r="IRZ1513" s="879"/>
      <c r="ISA1513" s="879"/>
      <c r="ISB1513" s="879"/>
      <c r="ISC1513" s="879"/>
      <c r="ISD1513" s="879"/>
      <c r="ISE1513" s="879"/>
      <c r="ISF1513" s="879"/>
      <c r="ISG1513" s="879"/>
      <c r="ISH1513" s="879"/>
      <c r="ISI1513" s="879"/>
      <c r="ISJ1513" s="879"/>
      <c r="ISK1513" s="879"/>
      <c r="ISL1513" s="879"/>
      <c r="ISM1513" s="879"/>
      <c r="ISN1513" s="879"/>
      <c r="ISO1513" s="879"/>
      <c r="ISP1513" s="879"/>
      <c r="ISQ1513" s="879"/>
      <c r="ISR1513" s="879"/>
      <c r="ISS1513" s="879"/>
      <c r="IST1513" s="879"/>
      <c r="ISU1513" s="879"/>
      <c r="ISV1513" s="879"/>
      <c r="ISW1513" s="879"/>
      <c r="ISX1513" s="879"/>
      <c r="ISY1513" s="879"/>
      <c r="ISZ1513" s="879"/>
      <c r="ITA1513" s="879"/>
      <c r="ITB1513" s="879"/>
      <c r="ITC1513" s="879"/>
      <c r="ITD1513" s="879"/>
      <c r="ITE1513" s="879"/>
      <c r="ITF1513" s="879"/>
      <c r="ITG1513" s="879"/>
      <c r="ITH1513" s="879"/>
      <c r="ITI1513" s="879"/>
      <c r="ITJ1513" s="879"/>
      <c r="ITK1513" s="879"/>
      <c r="ITL1513" s="879"/>
      <c r="ITM1513" s="879"/>
      <c r="ITN1513" s="879"/>
      <c r="ITO1513" s="879"/>
      <c r="ITP1513" s="879"/>
      <c r="ITQ1513" s="879"/>
      <c r="ITR1513" s="879"/>
      <c r="ITS1513" s="879"/>
      <c r="ITT1513" s="879"/>
      <c r="ITU1513" s="879"/>
      <c r="ITV1513" s="879"/>
      <c r="ITW1513" s="879"/>
      <c r="ITX1513" s="879"/>
      <c r="ITY1513" s="879"/>
      <c r="ITZ1513" s="879"/>
      <c r="IUA1513" s="879"/>
      <c r="IUB1513" s="879"/>
      <c r="IUC1513" s="879"/>
      <c r="IUD1513" s="879"/>
      <c r="IUE1513" s="879"/>
      <c r="IUF1513" s="879"/>
      <c r="IUG1513" s="879"/>
      <c r="IUH1513" s="879"/>
      <c r="IUI1513" s="879"/>
      <c r="IUJ1513" s="879"/>
      <c r="IUK1513" s="879"/>
      <c r="IUL1513" s="879"/>
      <c r="IUM1513" s="879"/>
      <c r="IUN1513" s="879"/>
      <c r="IUO1513" s="879"/>
      <c r="IUP1513" s="879"/>
      <c r="IUQ1513" s="879"/>
      <c r="IUR1513" s="879"/>
      <c r="IUS1513" s="879"/>
      <c r="IUT1513" s="879"/>
      <c r="IUU1513" s="879"/>
      <c r="IUV1513" s="879"/>
      <c r="IUW1513" s="879"/>
      <c r="IUX1513" s="879"/>
      <c r="IUY1513" s="879"/>
      <c r="IUZ1513" s="879"/>
      <c r="IVA1513" s="879"/>
      <c r="IVB1513" s="879"/>
      <c r="IVC1513" s="879"/>
      <c r="IVD1513" s="879"/>
      <c r="IVE1513" s="879"/>
      <c r="IVF1513" s="879"/>
      <c r="IVG1513" s="879"/>
      <c r="IVH1513" s="879"/>
      <c r="IVI1513" s="879"/>
      <c r="IVJ1513" s="879"/>
      <c r="IVK1513" s="879"/>
      <c r="IVL1513" s="879"/>
      <c r="IVM1513" s="879"/>
      <c r="IVN1513" s="879"/>
      <c r="IVO1513" s="879"/>
      <c r="IVP1513" s="879"/>
      <c r="IVQ1513" s="879"/>
      <c r="IVR1513" s="879"/>
      <c r="IVS1513" s="879"/>
      <c r="IVT1513" s="879"/>
      <c r="IVU1513" s="879"/>
      <c r="IVV1513" s="879"/>
      <c r="IVW1513" s="879"/>
      <c r="IVX1513" s="879"/>
      <c r="IVY1513" s="879"/>
      <c r="IVZ1513" s="879"/>
      <c r="IWA1513" s="879"/>
      <c r="IWB1513" s="879"/>
      <c r="IWC1513" s="879"/>
      <c r="IWD1513" s="879"/>
      <c r="IWE1513" s="879"/>
      <c r="IWF1513" s="879"/>
      <c r="IWG1513" s="879"/>
      <c r="IWH1513" s="879"/>
      <c r="IWI1513" s="879"/>
      <c r="IWJ1513" s="879"/>
      <c r="IWK1513" s="879"/>
      <c r="IWL1513" s="879"/>
      <c r="IWM1513" s="879"/>
      <c r="IWN1513" s="879"/>
      <c r="IWO1513" s="879"/>
      <c r="IWP1513" s="879"/>
      <c r="IWQ1513" s="879"/>
      <c r="IWR1513" s="879"/>
      <c r="IWS1513" s="879"/>
      <c r="IWT1513" s="879"/>
      <c r="IWU1513" s="879"/>
      <c r="IWV1513" s="879"/>
      <c r="IWW1513" s="879"/>
      <c r="IWX1513" s="879"/>
      <c r="IWY1513" s="879"/>
      <c r="IWZ1513" s="879"/>
      <c r="IXA1513" s="879"/>
      <c r="IXB1513" s="879"/>
      <c r="IXC1513" s="879"/>
      <c r="IXD1513" s="879"/>
      <c r="IXE1513" s="879"/>
      <c r="IXF1513" s="879"/>
      <c r="IXG1513" s="879"/>
      <c r="IXH1513" s="879"/>
      <c r="IXI1513" s="879"/>
      <c r="IXJ1513" s="879"/>
      <c r="IXK1513" s="879"/>
      <c r="IXL1513" s="879"/>
      <c r="IXM1513" s="879"/>
      <c r="IXN1513" s="879"/>
      <c r="IXO1513" s="879"/>
      <c r="IXP1513" s="879"/>
      <c r="IXQ1513" s="879"/>
      <c r="IXR1513" s="879"/>
      <c r="IXS1513" s="879"/>
      <c r="IXT1513" s="879"/>
      <c r="IXU1513" s="879"/>
      <c r="IXV1513" s="879"/>
      <c r="IXW1513" s="879"/>
      <c r="IXX1513" s="879"/>
      <c r="IXY1513" s="879"/>
      <c r="IXZ1513" s="879"/>
      <c r="IYA1513" s="879"/>
      <c r="IYB1513" s="879"/>
      <c r="IYC1513" s="879"/>
      <c r="IYD1513" s="879"/>
      <c r="IYE1513" s="879"/>
      <c r="IYF1513" s="879"/>
      <c r="IYG1513" s="879"/>
      <c r="IYH1513" s="879"/>
      <c r="IYI1513" s="879"/>
      <c r="IYJ1513" s="879"/>
      <c r="IYK1513" s="879"/>
      <c r="IYL1513" s="879"/>
      <c r="IYM1513" s="879"/>
      <c r="IYN1513" s="879"/>
      <c r="IYO1513" s="879"/>
      <c r="IYP1513" s="879"/>
      <c r="IYQ1513" s="879"/>
      <c r="IYR1513" s="879"/>
      <c r="IYS1513" s="879"/>
      <c r="IYT1513" s="879"/>
      <c r="IYU1513" s="879"/>
      <c r="IYV1513" s="879"/>
      <c r="IYW1513" s="879"/>
      <c r="IYX1513" s="879"/>
      <c r="IYY1513" s="879"/>
      <c r="IYZ1513" s="879"/>
      <c r="IZA1513" s="879"/>
      <c r="IZB1513" s="879"/>
      <c r="IZC1513" s="879"/>
      <c r="IZD1513" s="879"/>
      <c r="IZE1513" s="879"/>
      <c r="IZF1513" s="879"/>
      <c r="IZG1513" s="879"/>
      <c r="IZH1513" s="879"/>
      <c r="IZI1513" s="879"/>
      <c r="IZJ1513" s="879"/>
      <c r="IZK1513" s="879"/>
      <c r="IZL1513" s="879"/>
      <c r="IZM1513" s="879"/>
      <c r="IZN1513" s="879"/>
      <c r="IZO1513" s="879"/>
      <c r="IZP1513" s="879"/>
      <c r="IZQ1513" s="879"/>
      <c r="IZR1513" s="879"/>
      <c r="IZS1513" s="879"/>
      <c r="IZT1513" s="879"/>
      <c r="IZU1513" s="879"/>
      <c r="IZV1513" s="879"/>
      <c r="IZW1513" s="879"/>
      <c r="IZX1513" s="879"/>
      <c r="IZY1513" s="879"/>
      <c r="IZZ1513" s="879"/>
      <c r="JAA1513" s="879"/>
      <c r="JAB1513" s="879"/>
      <c r="JAC1513" s="879"/>
      <c r="JAD1513" s="879"/>
      <c r="JAE1513" s="879"/>
      <c r="JAF1513" s="879"/>
      <c r="JAG1513" s="879"/>
      <c r="JAH1513" s="879"/>
      <c r="JAI1513" s="879"/>
      <c r="JAJ1513" s="879"/>
      <c r="JAK1513" s="879"/>
      <c r="JAL1513" s="879"/>
      <c r="JAM1513" s="879"/>
      <c r="JAN1513" s="879"/>
      <c r="JAO1513" s="879"/>
      <c r="JAP1513" s="879"/>
      <c r="JAQ1513" s="879"/>
      <c r="JAR1513" s="879"/>
      <c r="JAS1513" s="879"/>
      <c r="JAT1513" s="879"/>
      <c r="JAU1513" s="879"/>
      <c r="JAV1513" s="879"/>
      <c r="JAW1513" s="879"/>
      <c r="JAX1513" s="879"/>
      <c r="JAY1513" s="879"/>
      <c r="JAZ1513" s="879"/>
      <c r="JBA1513" s="879"/>
      <c r="JBB1513" s="879"/>
      <c r="JBC1513" s="879"/>
      <c r="JBD1513" s="879"/>
      <c r="JBE1513" s="879"/>
      <c r="JBF1513" s="879"/>
      <c r="JBG1513" s="879"/>
      <c r="JBH1513" s="879"/>
      <c r="JBI1513" s="879"/>
      <c r="JBJ1513" s="879"/>
      <c r="JBK1513" s="879"/>
      <c r="JBL1513" s="879"/>
      <c r="JBM1513" s="879"/>
      <c r="JBN1513" s="879"/>
      <c r="JBO1513" s="879"/>
      <c r="JBP1513" s="879"/>
      <c r="JBQ1513" s="879"/>
      <c r="JBR1513" s="879"/>
      <c r="JBS1513" s="879"/>
      <c r="JBT1513" s="879"/>
      <c r="JBU1513" s="879"/>
      <c r="JBV1513" s="879"/>
      <c r="JBW1513" s="879"/>
      <c r="JBX1513" s="879"/>
      <c r="JBY1513" s="879"/>
      <c r="JBZ1513" s="879"/>
      <c r="JCA1513" s="879"/>
      <c r="JCB1513" s="879"/>
      <c r="JCC1513" s="879"/>
      <c r="JCD1513" s="879"/>
      <c r="JCE1513" s="879"/>
      <c r="JCF1513" s="879"/>
      <c r="JCG1513" s="879"/>
      <c r="JCH1513" s="879"/>
      <c r="JCI1513" s="879"/>
      <c r="JCJ1513" s="879"/>
      <c r="JCK1513" s="879"/>
      <c r="JCL1513" s="879"/>
      <c r="JCM1513" s="879"/>
      <c r="JCN1513" s="879"/>
      <c r="JCO1513" s="879"/>
      <c r="JCP1513" s="879"/>
      <c r="JCQ1513" s="879"/>
      <c r="JCR1513" s="879"/>
      <c r="JCS1513" s="879"/>
      <c r="JCT1513" s="879"/>
      <c r="JCU1513" s="879"/>
      <c r="JCV1513" s="879"/>
      <c r="JCW1513" s="879"/>
      <c r="JCX1513" s="879"/>
      <c r="JCY1513" s="879"/>
      <c r="JCZ1513" s="879"/>
      <c r="JDA1513" s="879"/>
      <c r="JDB1513" s="879"/>
      <c r="JDC1513" s="879"/>
      <c r="JDD1513" s="879"/>
      <c r="JDE1513" s="879"/>
      <c r="JDF1513" s="879"/>
      <c r="JDG1513" s="879"/>
      <c r="JDH1513" s="879"/>
      <c r="JDI1513" s="879"/>
      <c r="JDJ1513" s="879"/>
      <c r="JDK1513" s="879"/>
      <c r="JDL1513" s="879"/>
      <c r="JDM1513" s="879"/>
      <c r="JDN1513" s="879"/>
      <c r="JDO1513" s="879"/>
      <c r="JDP1513" s="879"/>
      <c r="JDQ1513" s="879"/>
      <c r="JDR1513" s="879"/>
      <c r="JDS1513" s="879"/>
      <c r="JDT1513" s="879"/>
      <c r="JDU1513" s="879"/>
      <c r="JDV1513" s="879"/>
      <c r="JDW1513" s="879"/>
      <c r="JDX1513" s="879"/>
      <c r="JDY1513" s="879"/>
      <c r="JDZ1513" s="879"/>
      <c r="JEA1513" s="879"/>
      <c r="JEB1513" s="879"/>
      <c r="JEC1513" s="879"/>
      <c r="JED1513" s="879"/>
      <c r="JEE1513" s="879"/>
      <c r="JEF1513" s="879"/>
      <c r="JEG1513" s="879"/>
      <c r="JEH1513" s="879"/>
      <c r="JEI1513" s="879"/>
      <c r="JEJ1513" s="879"/>
      <c r="JEK1513" s="879"/>
      <c r="JEL1513" s="879"/>
      <c r="JEM1513" s="879"/>
      <c r="JEN1513" s="879"/>
      <c r="JEO1513" s="879"/>
      <c r="JEP1513" s="879"/>
      <c r="JEQ1513" s="879"/>
      <c r="JER1513" s="879"/>
      <c r="JES1513" s="879"/>
      <c r="JET1513" s="879"/>
      <c r="JEU1513" s="879"/>
      <c r="JEV1513" s="879"/>
      <c r="JEW1513" s="879"/>
      <c r="JEX1513" s="879"/>
      <c r="JEY1513" s="879"/>
      <c r="JEZ1513" s="879"/>
      <c r="JFA1513" s="879"/>
      <c r="JFB1513" s="879"/>
      <c r="JFC1513" s="879"/>
      <c r="JFD1513" s="879"/>
      <c r="JFE1513" s="879"/>
      <c r="JFF1513" s="879"/>
      <c r="JFG1513" s="879"/>
      <c r="JFH1513" s="879"/>
      <c r="JFI1513" s="879"/>
      <c r="JFJ1513" s="879"/>
      <c r="JFK1513" s="879"/>
      <c r="JFL1513" s="879"/>
      <c r="JFM1513" s="879"/>
      <c r="JFN1513" s="879"/>
      <c r="JFO1513" s="879"/>
      <c r="JFP1513" s="879"/>
      <c r="JFQ1513" s="879"/>
      <c r="JFR1513" s="879"/>
      <c r="JFS1513" s="879"/>
      <c r="JFT1513" s="879"/>
      <c r="JFU1513" s="879"/>
      <c r="JFV1513" s="879"/>
      <c r="JFW1513" s="879"/>
      <c r="JFX1513" s="879"/>
      <c r="JFY1513" s="879"/>
      <c r="JFZ1513" s="879"/>
      <c r="JGA1513" s="879"/>
      <c r="JGB1513" s="879"/>
      <c r="JGC1513" s="879"/>
      <c r="JGD1513" s="879"/>
      <c r="JGE1513" s="879"/>
      <c r="JGF1513" s="879"/>
      <c r="JGG1513" s="879"/>
      <c r="JGH1513" s="879"/>
      <c r="JGI1513" s="879"/>
      <c r="JGJ1513" s="879"/>
      <c r="JGK1513" s="879"/>
      <c r="JGL1513" s="879"/>
      <c r="JGM1513" s="879"/>
      <c r="JGN1513" s="879"/>
      <c r="JGO1513" s="879"/>
      <c r="JGP1513" s="879"/>
      <c r="JGQ1513" s="879"/>
      <c r="JGR1513" s="879"/>
      <c r="JGS1513" s="879"/>
      <c r="JGT1513" s="879"/>
      <c r="JGU1513" s="879"/>
      <c r="JGV1513" s="879"/>
      <c r="JGW1513" s="879"/>
      <c r="JGX1513" s="879"/>
      <c r="JGY1513" s="879"/>
      <c r="JGZ1513" s="879"/>
      <c r="JHA1513" s="879"/>
      <c r="JHB1513" s="879"/>
      <c r="JHC1513" s="879"/>
      <c r="JHD1513" s="879"/>
      <c r="JHE1513" s="879"/>
      <c r="JHF1513" s="879"/>
      <c r="JHG1513" s="879"/>
      <c r="JHH1513" s="879"/>
      <c r="JHI1513" s="879"/>
      <c r="JHJ1513" s="879"/>
      <c r="JHK1513" s="879"/>
      <c r="JHL1513" s="879"/>
      <c r="JHM1513" s="879"/>
      <c r="JHN1513" s="879"/>
      <c r="JHO1513" s="879"/>
      <c r="JHP1513" s="879"/>
      <c r="JHQ1513" s="879"/>
      <c r="JHR1513" s="879"/>
      <c r="JHS1513" s="879"/>
      <c r="JHT1513" s="879"/>
      <c r="JHU1513" s="879"/>
      <c r="JHV1513" s="879"/>
      <c r="JHW1513" s="879"/>
      <c r="JHX1513" s="879"/>
      <c r="JHY1513" s="879"/>
      <c r="JHZ1513" s="879"/>
      <c r="JIA1513" s="879"/>
      <c r="JIB1513" s="879"/>
      <c r="JIC1513" s="879"/>
      <c r="JID1513" s="879"/>
      <c r="JIE1513" s="879"/>
      <c r="JIF1513" s="879"/>
      <c r="JIG1513" s="879"/>
      <c r="JIH1513" s="879"/>
      <c r="JII1513" s="879"/>
      <c r="JIJ1513" s="879"/>
      <c r="JIK1513" s="879"/>
      <c r="JIL1513" s="879"/>
      <c r="JIM1513" s="879"/>
      <c r="JIN1513" s="879"/>
      <c r="JIO1513" s="879"/>
      <c r="JIP1513" s="879"/>
      <c r="JIQ1513" s="879"/>
      <c r="JIR1513" s="879"/>
      <c r="JIS1513" s="879"/>
      <c r="JIT1513" s="879"/>
      <c r="JIU1513" s="879"/>
      <c r="JIV1513" s="879"/>
      <c r="JIW1513" s="879"/>
      <c r="JIX1513" s="879"/>
      <c r="JIY1513" s="879"/>
      <c r="JIZ1513" s="879"/>
      <c r="JJA1513" s="879"/>
      <c r="JJB1513" s="879"/>
      <c r="JJC1513" s="879"/>
      <c r="JJD1513" s="879"/>
      <c r="JJE1513" s="879"/>
      <c r="JJF1513" s="879"/>
      <c r="JJG1513" s="879"/>
      <c r="JJH1513" s="879"/>
      <c r="JJI1513" s="879"/>
      <c r="JJJ1513" s="879"/>
      <c r="JJK1513" s="879"/>
      <c r="JJL1513" s="879"/>
      <c r="JJM1513" s="879"/>
      <c r="JJN1513" s="879"/>
      <c r="JJO1513" s="879"/>
      <c r="JJP1513" s="879"/>
      <c r="JJQ1513" s="879"/>
      <c r="JJR1513" s="879"/>
      <c r="JJS1513" s="879"/>
      <c r="JJT1513" s="879"/>
      <c r="JJU1513" s="879"/>
      <c r="JJV1513" s="879"/>
      <c r="JJW1513" s="879"/>
      <c r="JJX1513" s="879"/>
      <c r="JJY1513" s="879"/>
      <c r="JJZ1513" s="879"/>
      <c r="JKA1513" s="879"/>
      <c r="JKB1513" s="879"/>
      <c r="JKC1513" s="879"/>
      <c r="JKD1513" s="879"/>
      <c r="JKE1513" s="879"/>
      <c r="JKF1513" s="879"/>
      <c r="JKG1513" s="879"/>
      <c r="JKH1513" s="879"/>
      <c r="JKI1513" s="879"/>
      <c r="JKJ1513" s="879"/>
      <c r="JKK1513" s="879"/>
      <c r="JKL1513" s="879"/>
      <c r="JKM1513" s="879"/>
      <c r="JKN1513" s="879"/>
      <c r="JKO1513" s="879"/>
      <c r="JKP1513" s="879"/>
      <c r="JKQ1513" s="879"/>
      <c r="JKR1513" s="879"/>
      <c r="JKS1513" s="879"/>
      <c r="JKT1513" s="879"/>
      <c r="JKU1513" s="879"/>
      <c r="JKV1513" s="879"/>
      <c r="JKW1513" s="879"/>
      <c r="JKX1513" s="879"/>
      <c r="JKY1513" s="879"/>
      <c r="JKZ1513" s="879"/>
      <c r="JLA1513" s="879"/>
      <c r="JLB1513" s="879"/>
      <c r="JLC1513" s="879"/>
      <c r="JLD1513" s="879"/>
      <c r="JLE1513" s="879"/>
      <c r="JLF1513" s="879"/>
      <c r="JLG1513" s="879"/>
      <c r="JLH1513" s="879"/>
      <c r="JLI1513" s="879"/>
      <c r="JLJ1513" s="879"/>
      <c r="JLK1513" s="879"/>
      <c r="JLL1513" s="879"/>
      <c r="JLM1513" s="879"/>
      <c r="JLN1513" s="879"/>
      <c r="JLO1513" s="879"/>
      <c r="JLP1513" s="879"/>
      <c r="JLQ1513" s="879"/>
      <c r="JLR1513" s="879"/>
      <c r="JLS1513" s="879"/>
      <c r="JLT1513" s="879"/>
      <c r="JLU1513" s="879"/>
      <c r="JLV1513" s="879"/>
      <c r="JLW1513" s="879"/>
      <c r="JLX1513" s="879"/>
      <c r="JLY1513" s="879"/>
      <c r="JLZ1513" s="879"/>
      <c r="JMA1513" s="879"/>
      <c r="JMB1513" s="879"/>
      <c r="JMC1513" s="879"/>
      <c r="JMD1513" s="879"/>
      <c r="JME1513" s="879"/>
      <c r="JMF1513" s="879"/>
      <c r="JMG1513" s="879"/>
      <c r="JMH1513" s="879"/>
      <c r="JMI1513" s="879"/>
      <c r="JMJ1513" s="879"/>
      <c r="JMK1513" s="879"/>
      <c r="JML1513" s="879"/>
      <c r="JMM1513" s="879"/>
      <c r="JMN1513" s="879"/>
      <c r="JMO1513" s="879"/>
      <c r="JMP1513" s="879"/>
      <c r="JMQ1513" s="879"/>
      <c r="JMR1513" s="879"/>
      <c r="JMS1513" s="879"/>
      <c r="JMT1513" s="879"/>
      <c r="JMU1513" s="879"/>
      <c r="JMV1513" s="879"/>
      <c r="JMW1513" s="879"/>
      <c r="JMX1513" s="879"/>
      <c r="JMY1513" s="879"/>
      <c r="JMZ1513" s="879"/>
      <c r="JNA1513" s="879"/>
      <c r="JNB1513" s="879"/>
      <c r="JNC1513" s="879"/>
      <c r="JND1513" s="879"/>
      <c r="JNE1513" s="879"/>
      <c r="JNF1513" s="879"/>
      <c r="JNG1513" s="879"/>
      <c r="JNH1513" s="879"/>
      <c r="JNI1513" s="879"/>
      <c r="JNJ1513" s="879"/>
      <c r="JNK1513" s="879"/>
      <c r="JNL1513" s="879"/>
      <c r="JNM1513" s="879"/>
      <c r="JNN1513" s="879"/>
      <c r="JNO1513" s="879"/>
      <c r="JNP1513" s="879"/>
      <c r="JNQ1513" s="879"/>
      <c r="JNR1513" s="879"/>
      <c r="JNS1513" s="879"/>
      <c r="JNT1513" s="879"/>
      <c r="JNU1513" s="879"/>
      <c r="JNV1513" s="879"/>
      <c r="JNW1513" s="879"/>
      <c r="JNX1513" s="879"/>
      <c r="JNY1513" s="879"/>
      <c r="JNZ1513" s="879"/>
      <c r="JOA1513" s="879"/>
      <c r="JOB1513" s="879"/>
      <c r="JOC1513" s="879"/>
      <c r="JOD1513" s="879"/>
      <c r="JOE1513" s="879"/>
      <c r="JOF1513" s="879"/>
      <c r="JOG1513" s="879"/>
      <c r="JOH1513" s="879"/>
      <c r="JOI1513" s="879"/>
      <c r="JOJ1513" s="879"/>
      <c r="JOK1513" s="879"/>
      <c r="JOL1513" s="879"/>
      <c r="JOM1513" s="879"/>
      <c r="JON1513" s="879"/>
      <c r="JOO1513" s="879"/>
      <c r="JOP1513" s="879"/>
      <c r="JOQ1513" s="879"/>
      <c r="JOR1513" s="879"/>
      <c r="JOS1513" s="879"/>
      <c r="JOT1513" s="879"/>
      <c r="JOU1513" s="879"/>
      <c r="JOV1513" s="879"/>
      <c r="JOW1513" s="879"/>
      <c r="JOX1513" s="879"/>
      <c r="JOY1513" s="879"/>
      <c r="JOZ1513" s="879"/>
      <c r="JPA1513" s="879"/>
      <c r="JPB1513" s="879"/>
      <c r="JPC1513" s="879"/>
      <c r="JPD1513" s="879"/>
      <c r="JPE1513" s="879"/>
      <c r="JPF1513" s="879"/>
      <c r="JPG1513" s="879"/>
      <c r="JPH1513" s="879"/>
      <c r="JPI1513" s="879"/>
      <c r="JPJ1513" s="879"/>
      <c r="JPK1513" s="879"/>
      <c r="JPL1513" s="879"/>
      <c r="JPM1513" s="879"/>
      <c r="JPN1513" s="879"/>
      <c r="JPO1513" s="879"/>
      <c r="JPP1513" s="879"/>
      <c r="JPQ1513" s="879"/>
      <c r="JPR1513" s="879"/>
      <c r="JPS1513" s="879"/>
      <c r="JPT1513" s="879"/>
      <c r="JPU1513" s="879"/>
      <c r="JPV1513" s="879"/>
      <c r="JPW1513" s="879"/>
      <c r="JPX1513" s="879"/>
      <c r="JPY1513" s="879"/>
      <c r="JPZ1513" s="879"/>
      <c r="JQA1513" s="879"/>
      <c r="JQB1513" s="879"/>
      <c r="JQC1513" s="879"/>
      <c r="JQD1513" s="879"/>
      <c r="JQE1513" s="879"/>
      <c r="JQF1513" s="879"/>
      <c r="JQG1513" s="879"/>
      <c r="JQH1513" s="879"/>
      <c r="JQI1513" s="879"/>
      <c r="JQJ1513" s="879"/>
      <c r="JQK1513" s="879"/>
      <c r="JQL1513" s="879"/>
      <c r="JQM1513" s="879"/>
      <c r="JQN1513" s="879"/>
      <c r="JQO1513" s="879"/>
      <c r="JQP1513" s="879"/>
      <c r="JQQ1513" s="879"/>
      <c r="JQR1513" s="879"/>
      <c r="JQS1513" s="879"/>
      <c r="JQT1513" s="879"/>
      <c r="JQU1513" s="879"/>
      <c r="JQV1513" s="879"/>
      <c r="JQW1513" s="879"/>
      <c r="JQX1513" s="879"/>
      <c r="JQY1513" s="879"/>
      <c r="JQZ1513" s="879"/>
      <c r="JRA1513" s="879"/>
      <c r="JRB1513" s="879"/>
      <c r="JRC1513" s="879"/>
      <c r="JRD1513" s="879"/>
      <c r="JRE1513" s="879"/>
      <c r="JRF1513" s="879"/>
      <c r="JRG1513" s="879"/>
      <c r="JRH1513" s="879"/>
      <c r="JRI1513" s="879"/>
      <c r="JRJ1513" s="879"/>
      <c r="JRK1513" s="879"/>
      <c r="JRL1513" s="879"/>
      <c r="JRM1513" s="879"/>
      <c r="JRN1513" s="879"/>
      <c r="JRO1513" s="879"/>
      <c r="JRP1513" s="879"/>
      <c r="JRQ1513" s="879"/>
      <c r="JRR1513" s="879"/>
      <c r="JRS1513" s="879"/>
      <c r="JRT1513" s="879"/>
      <c r="JRU1513" s="879"/>
      <c r="JRV1513" s="879"/>
      <c r="JRW1513" s="879"/>
      <c r="JRX1513" s="879"/>
      <c r="JRY1513" s="879"/>
      <c r="JRZ1513" s="879"/>
      <c r="JSA1513" s="879"/>
      <c r="JSB1513" s="879"/>
      <c r="JSC1513" s="879"/>
      <c r="JSD1513" s="879"/>
      <c r="JSE1513" s="879"/>
      <c r="JSF1513" s="879"/>
      <c r="JSG1513" s="879"/>
      <c r="JSH1513" s="879"/>
      <c r="JSI1513" s="879"/>
      <c r="JSJ1513" s="879"/>
      <c r="JSK1513" s="879"/>
      <c r="JSL1513" s="879"/>
      <c r="JSM1513" s="879"/>
      <c r="JSN1513" s="879"/>
      <c r="JSO1513" s="879"/>
      <c r="JSP1513" s="879"/>
      <c r="JSQ1513" s="879"/>
      <c r="JSR1513" s="879"/>
      <c r="JSS1513" s="879"/>
      <c r="JST1513" s="879"/>
      <c r="JSU1513" s="879"/>
      <c r="JSV1513" s="879"/>
      <c r="JSW1513" s="879"/>
      <c r="JSX1513" s="879"/>
      <c r="JSY1513" s="879"/>
      <c r="JSZ1513" s="879"/>
      <c r="JTA1513" s="879"/>
      <c r="JTB1513" s="879"/>
      <c r="JTC1513" s="879"/>
      <c r="JTD1513" s="879"/>
      <c r="JTE1513" s="879"/>
      <c r="JTF1513" s="879"/>
      <c r="JTG1513" s="879"/>
      <c r="JTH1513" s="879"/>
      <c r="JTI1513" s="879"/>
      <c r="JTJ1513" s="879"/>
      <c r="JTK1513" s="879"/>
      <c r="JTL1513" s="879"/>
      <c r="JTM1513" s="879"/>
      <c r="JTN1513" s="879"/>
      <c r="JTO1513" s="879"/>
      <c r="JTP1513" s="879"/>
      <c r="JTQ1513" s="879"/>
      <c r="JTR1513" s="879"/>
      <c r="JTS1513" s="879"/>
      <c r="JTT1513" s="879"/>
      <c r="JTU1513" s="879"/>
      <c r="JTV1513" s="879"/>
      <c r="JTW1513" s="879"/>
      <c r="JTX1513" s="879"/>
      <c r="JTY1513" s="879"/>
      <c r="JTZ1513" s="879"/>
      <c r="JUA1513" s="879"/>
      <c r="JUB1513" s="879"/>
      <c r="JUC1513" s="879"/>
      <c r="JUD1513" s="879"/>
      <c r="JUE1513" s="879"/>
      <c r="JUF1513" s="879"/>
      <c r="JUG1513" s="879"/>
      <c r="JUH1513" s="879"/>
      <c r="JUI1513" s="879"/>
      <c r="JUJ1513" s="879"/>
      <c r="JUK1513" s="879"/>
      <c r="JUL1513" s="879"/>
      <c r="JUM1513" s="879"/>
      <c r="JUN1513" s="879"/>
      <c r="JUO1513" s="879"/>
      <c r="JUP1513" s="879"/>
      <c r="JUQ1513" s="879"/>
      <c r="JUR1513" s="879"/>
      <c r="JUS1513" s="879"/>
      <c r="JUT1513" s="879"/>
      <c r="JUU1513" s="879"/>
      <c r="JUV1513" s="879"/>
      <c r="JUW1513" s="879"/>
      <c r="JUX1513" s="879"/>
      <c r="JUY1513" s="879"/>
      <c r="JUZ1513" s="879"/>
      <c r="JVA1513" s="879"/>
      <c r="JVB1513" s="879"/>
      <c r="JVC1513" s="879"/>
      <c r="JVD1513" s="879"/>
      <c r="JVE1513" s="879"/>
      <c r="JVF1513" s="879"/>
      <c r="JVG1513" s="879"/>
      <c r="JVH1513" s="879"/>
      <c r="JVI1513" s="879"/>
      <c r="JVJ1513" s="879"/>
      <c r="JVK1513" s="879"/>
      <c r="JVL1513" s="879"/>
      <c r="JVM1513" s="879"/>
      <c r="JVN1513" s="879"/>
      <c r="JVO1513" s="879"/>
      <c r="JVP1513" s="879"/>
      <c r="JVQ1513" s="879"/>
      <c r="JVR1513" s="879"/>
      <c r="JVS1513" s="879"/>
      <c r="JVT1513" s="879"/>
      <c r="JVU1513" s="879"/>
      <c r="JVV1513" s="879"/>
      <c r="JVW1513" s="879"/>
      <c r="JVX1513" s="879"/>
      <c r="JVY1513" s="879"/>
      <c r="JVZ1513" s="879"/>
      <c r="JWA1513" s="879"/>
      <c r="JWB1513" s="879"/>
      <c r="JWC1513" s="879"/>
      <c r="JWD1513" s="879"/>
      <c r="JWE1513" s="879"/>
      <c r="JWF1513" s="879"/>
      <c r="JWG1513" s="879"/>
      <c r="JWH1513" s="879"/>
      <c r="JWI1513" s="879"/>
      <c r="JWJ1513" s="879"/>
      <c r="JWK1513" s="879"/>
      <c r="JWL1513" s="879"/>
      <c r="JWM1513" s="879"/>
      <c r="JWN1513" s="879"/>
      <c r="JWO1513" s="879"/>
      <c r="JWP1513" s="879"/>
      <c r="JWQ1513" s="879"/>
      <c r="JWR1513" s="879"/>
      <c r="JWS1513" s="879"/>
      <c r="JWT1513" s="879"/>
      <c r="JWU1513" s="879"/>
      <c r="JWV1513" s="879"/>
      <c r="JWW1513" s="879"/>
      <c r="JWX1513" s="879"/>
      <c r="JWY1513" s="879"/>
      <c r="JWZ1513" s="879"/>
      <c r="JXA1513" s="879"/>
      <c r="JXB1513" s="879"/>
      <c r="JXC1513" s="879"/>
      <c r="JXD1513" s="879"/>
      <c r="JXE1513" s="879"/>
      <c r="JXF1513" s="879"/>
      <c r="JXG1513" s="879"/>
      <c r="JXH1513" s="879"/>
      <c r="JXI1513" s="879"/>
      <c r="JXJ1513" s="879"/>
      <c r="JXK1513" s="879"/>
      <c r="JXL1513" s="879"/>
      <c r="JXM1513" s="879"/>
      <c r="JXN1513" s="879"/>
      <c r="JXO1513" s="879"/>
      <c r="JXP1513" s="879"/>
      <c r="JXQ1513" s="879"/>
      <c r="JXR1513" s="879"/>
      <c r="JXS1513" s="879"/>
      <c r="JXT1513" s="879"/>
      <c r="JXU1513" s="879"/>
      <c r="JXV1513" s="879"/>
      <c r="JXW1513" s="879"/>
      <c r="JXX1513" s="879"/>
      <c r="JXY1513" s="879"/>
      <c r="JXZ1513" s="879"/>
      <c r="JYA1513" s="879"/>
      <c r="JYB1513" s="879"/>
      <c r="JYC1513" s="879"/>
      <c r="JYD1513" s="879"/>
      <c r="JYE1513" s="879"/>
      <c r="JYF1513" s="879"/>
      <c r="JYG1513" s="879"/>
      <c r="JYH1513" s="879"/>
      <c r="JYI1513" s="879"/>
      <c r="JYJ1513" s="879"/>
      <c r="JYK1513" s="879"/>
      <c r="JYL1513" s="879"/>
      <c r="JYM1513" s="879"/>
      <c r="JYN1513" s="879"/>
      <c r="JYO1513" s="879"/>
      <c r="JYP1513" s="879"/>
      <c r="JYQ1513" s="879"/>
      <c r="JYR1513" s="879"/>
      <c r="JYS1513" s="879"/>
      <c r="JYT1513" s="879"/>
      <c r="JYU1513" s="879"/>
      <c r="JYV1513" s="879"/>
      <c r="JYW1513" s="879"/>
      <c r="JYX1513" s="879"/>
      <c r="JYY1513" s="879"/>
      <c r="JYZ1513" s="879"/>
      <c r="JZA1513" s="879"/>
      <c r="JZB1513" s="879"/>
      <c r="JZC1513" s="879"/>
      <c r="JZD1513" s="879"/>
      <c r="JZE1513" s="879"/>
      <c r="JZF1513" s="879"/>
      <c r="JZG1513" s="879"/>
      <c r="JZH1513" s="879"/>
      <c r="JZI1513" s="879"/>
      <c r="JZJ1513" s="879"/>
      <c r="JZK1513" s="879"/>
      <c r="JZL1513" s="879"/>
      <c r="JZM1513" s="879"/>
      <c r="JZN1513" s="879"/>
      <c r="JZO1513" s="879"/>
      <c r="JZP1513" s="879"/>
      <c r="JZQ1513" s="879"/>
      <c r="JZR1513" s="879"/>
      <c r="JZS1513" s="879"/>
      <c r="JZT1513" s="879"/>
      <c r="JZU1513" s="879"/>
      <c r="JZV1513" s="879"/>
      <c r="JZW1513" s="879"/>
      <c r="JZX1513" s="879"/>
      <c r="JZY1513" s="879"/>
      <c r="JZZ1513" s="879"/>
      <c r="KAA1513" s="879"/>
      <c r="KAB1513" s="879"/>
      <c r="KAC1513" s="879"/>
      <c r="KAD1513" s="879"/>
      <c r="KAE1513" s="879"/>
      <c r="KAF1513" s="879"/>
      <c r="KAG1513" s="879"/>
      <c r="KAH1513" s="879"/>
      <c r="KAI1513" s="879"/>
      <c r="KAJ1513" s="879"/>
      <c r="KAK1513" s="879"/>
      <c r="KAL1513" s="879"/>
      <c r="KAM1513" s="879"/>
      <c r="KAN1513" s="879"/>
      <c r="KAO1513" s="879"/>
      <c r="KAP1513" s="879"/>
      <c r="KAQ1513" s="879"/>
      <c r="KAR1513" s="879"/>
      <c r="KAS1513" s="879"/>
      <c r="KAT1513" s="879"/>
      <c r="KAU1513" s="879"/>
      <c r="KAV1513" s="879"/>
      <c r="KAW1513" s="879"/>
      <c r="KAX1513" s="879"/>
      <c r="KAY1513" s="879"/>
      <c r="KAZ1513" s="879"/>
      <c r="KBA1513" s="879"/>
      <c r="KBB1513" s="879"/>
      <c r="KBC1513" s="879"/>
      <c r="KBD1513" s="879"/>
      <c r="KBE1513" s="879"/>
      <c r="KBF1513" s="879"/>
      <c r="KBG1513" s="879"/>
      <c r="KBH1513" s="879"/>
      <c r="KBI1513" s="879"/>
      <c r="KBJ1513" s="879"/>
      <c r="KBK1513" s="879"/>
      <c r="KBL1513" s="879"/>
      <c r="KBM1513" s="879"/>
      <c r="KBN1513" s="879"/>
      <c r="KBO1513" s="879"/>
      <c r="KBP1513" s="879"/>
      <c r="KBQ1513" s="879"/>
      <c r="KBR1513" s="879"/>
      <c r="KBS1513" s="879"/>
      <c r="KBT1513" s="879"/>
      <c r="KBU1513" s="879"/>
      <c r="KBV1513" s="879"/>
      <c r="KBW1513" s="879"/>
      <c r="KBX1513" s="879"/>
      <c r="KBY1513" s="879"/>
      <c r="KBZ1513" s="879"/>
      <c r="KCA1513" s="879"/>
      <c r="KCB1513" s="879"/>
      <c r="KCC1513" s="879"/>
      <c r="KCD1513" s="879"/>
      <c r="KCE1513" s="879"/>
      <c r="KCF1513" s="879"/>
      <c r="KCG1513" s="879"/>
      <c r="KCH1513" s="879"/>
      <c r="KCI1513" s="879"/>
      <c r="KCJ1513" s="879"/>
      <c r="KCK1513" s="879"/>
      <c r="KCL1513" s="879"/>
      <c r="KCM1513" s="879"/>
      <c r="KCN1513" s="879"/>
      <c r="KCO1513" s="879"/>
      <c r="KCP1513" s="879"/>
      <c r="KCQ1513" s="879"/>
      <c r="KCR1513" s="879"/>
      <c r="KCS1513" s="879"/>
      <c r="KCT1513" s="879"/>
      <c r="KCU1513" s="879"/>
      <c r="KCV1513" s="879"/>
      <c r="KCW1513" s="879"/>
      <c r="KCX1513" s="879"/>
      <c r="KCY1513" s="879"/>
      <c r="KCZ1513" s="879"/>
      <c r="KDA1513" s="879"/>
      <c r="KDB1513" s="879"/>
      <c r="KDC1513" s="879"/>
      <c r="KDD1513" s="879"/>
      <c r="KDE1513" s="879"/>
      <c r="KDF1513" s="879"/>
      <c r="KDG1513" s="879"/>
      <c r="KDH1513" s="879"/>
      <c r="KDI1513" s="879"/>
      <c r="KDJ1513" s="879"/>
      <c r="KDK1513" s="879"/>
      <c r="KDL1513" s="879"/>
      <c r="KDM1513" s="879"/>
      <c r="KDN1513" s="879"/>
      <c r="KDO1513" s="879"/>
      <c r="KDP1513" s="879"/>
      <c r="KDQ1513" s="879"/>
      <c r="KDR1513" s="879"/>
      <c r="KDS1513" s="879"/>
      <c r="KDT1513" s="879"/>
      <c r="KDU1513" s="879"/>
      <c r="KDV1513" s="879"/>
      <c r="KDW1513" s="879"/>
      <c r="KDX1513" s="879"/>
      <c r="KDY1513" s="879"/>
      <c r="KDZ1513" s="879"/>
      <c r="KEA1513" s="879"/>
      <c r="KEB1513" s="879"/>
      <c r="KEC1513" s="879"/>
      <c r="KED1513" s="879"/>
      <c r="KEE1513" s="879"/>
      <c r="KEF1513" s="879"/>
      <c r="KEG1513" s="879"/>
      <c r="KEH1513" s="879"/>
      <c r="KEI1513" s="879"/>
      <c r="KEJ1513" s="879"/>
      <c r="KEK1513" s="879"/>
      <c r="KEL1513" s="879"/>
      <c r="KEM1513" s="879"/>
      <c r="KEN1513" s="879"/>
      <c r="KEO1513" s="879"/>
      <c r="KEP1513" s="879"/>
      <c r="KEQ1513" s="879"/>
      <c r="KER1513" s="879"/>
      <c r="KES1513" s="879"/>
      <c r="KET1513" s="879"/>
      <c r="KEU1513" s="879"/>
      <c r="KEV1513" s="879"/>
      <c r="KEW1513" s="879"/>
      <c r="KEX1513" s="879"/>
      <c r="KEY1513" s="879"/>
      <c r="KEZ1513" s="879"/>
      <c r="KFA1513" s="879"/>
      <c r="KFB1513" s="879"/>
      <c r="KFC1513" s="879"/>
      <c r="KFD1513" s="879"/>
      <c r="KFE1513" s="879"/>
      <c r="KFF1513" s="879"/>
      <c r="KFG1513" s="879"/>
      <c r="KFH1513" s="879"/>
      <c r="KFI1513" s="879"/>
      <c r="KFJ1513" s="879"/>
      <c r="KFK1513" s="879"/>
      <c r="KFL1513" s="879"/>
      <c r="KFM1513" s="879"/>
      <c r="KFN1513" s="879"/>
      <c r="KFO1513" s="879"/>
      <c r="KFP1513" s="879"/>
      <c r="KFQ1513" s="879"/>
      <c r="KFR1513" s="879"/>
      <c r="KFS1513" s="879"/>
      <c r="KFT1513" s="879"/>
      <c r="KFU1513" s="879"/>
      <c r="KFV1513" s="879"/>
      <c r="KFW1513" s="879"/>
      <c r="KFX1513" s="879"/>
      <c r="KFY1513" s="879"/>
      <c r="KFZ1513" s="879"/>
      <c r="KGA1513" s="879"/>
      <c r="KGB1513" s="879"/>
      <c r="KGC1513" s="879"/>
      <c r="KGD1513" s="879"/>
      <c r="KGE1513" s="879"/>
      <c r="KGF1513" s="879"/>
      <c r="KGG1513" s="879"/>
      <c r="KGH1513" s="879"/>
      <c r="KGI1513" s="879"/>
      <c r="KGJ1513" s="879"/>
      <c r="KGK1513" s="879"/>
      <c r="KGL1513" s="879"/>
      <c r="KGM1513" s="879"/>
      <c r="KGN1513" s="879"/>
      <c r="KGO1513" s="879"/>
      <c r="KGP1513" s="879"/>
      <c r="KGQ1513" s="879"/>
      <c r="KGR1513" s="879"/>
      <c r="KGS1513" s="879"/>
      <c r="KGT1513" s="879"/>
      <c r="KGU1513" s="879"/>
      <c r="KGV1513" s="879"/>
      <c r="KGW1513" s="879"/>
      <c r="KGX1513" s="879"/>
      <c r="KGY1513" s="879"/>
      <c r="KGZ1513" s="879"/>
      <c r="KHA1513" s="879"/>
      <c r="KHB1513" s="879"/>
      <c r="KHC1513" s="879"/>
      <c r="KHD1513" s="879"/>
      <c r="KHE1513" s="879"/>
      <c r="KHF1513" s="879"/>
      <c r="KHG1513" s="879"/>
      <c r="KHH1513" s="879"/>
      <c r="KHI1513" s="879"/>
      <c r="KHJ1513" s="879"/>
      <c r="KHK1513" s="879"/>
      <c r="KHL1513" s="879"/>
      <c r="KHM1513" s="879"/>
      <c r="KHN1513" s="879"/>
      <c r="KHO1513" s="879"/>
      <c r="KHP1513" s="879"/>
      <c r="KHQ1513" s="879"/>
      <c r="KHR1513" s="879"/>
      <c r="KHS1513" s="879"/>
      <c r="KHT1513" s="879"/>
      <c r="KHU1513" s="879"/>
      <c r="KHV1513" s="879"/>
      <c r="KHW1513" s="879"/>
      <c r="KHX1513" s="879"/>
      <c r="KHY1513" s="879"/>
      <c r="KHZ1513" s="879"/>
      <c r="KIA1513" s="879"/>
      <c r="KIB1513" s="879"/>
      <c r="KIC1513" s="879"/>
      <c r="KID1513" s="879"/>
      <c r="KIE1513" s="879"/>
      <c r="KIF1513" s="879"/>
      <c r="KIG1513" s="879"/>
      <c r="KIH1513" s="879"/>
      <c r="KII1513" s="879"/>
      <c r="KIJ1513" s="879"/>
      <c r="KIK1513" s="879"/>
      <c r="KIL1513" s="879"/>
      <c r="KIM1513" s="879"/>
      <c r="KIN1513" s="879"/>
      <c r="KIO1513" s="879"/>
      <c r="KIP1513" s="879"/>
      <c r="KIQ1513" s="879"/>
      <c r="KIR1513" s="879"/>
      <c r="KIS1513" s="879"/>
      <c r="KIT1513" s="879"/>
      <c r="KIU1513" s="879"/>
      <c r="KIV1513" s="879"/>
      <c r="KIW1513" s="879"/>
      <c r="KIX1513" s="879"/>
      <c r="KIY1513" s="879"/>
      <c r="KIZ1513" s="879"/>
      <c r="KJA1513" s="879"/>
      <c r="KJB1513" s="879"/>
      <c r="KJC1513" s="879"/>
      <c r="KJD1513" s="879"/>
      <c r="KJE1513" s="879"/>
      <c r="KJF1513" s="879"/>
      <c r="KJG1513" s="879"/>
      <c r="KJH1513" s="879"/>
      <c r="KJI1513" s="879"/>
      <c r="KJJ1513" s="879"/>
      <c r="KJK1513" s="879"/>
      <c r="KJL1513" s="879"/>
      <c r="KJM1513" s="879"/>
      <c r="KJN1513" s="879"/>
      <c r="KJO1513" s="879"/>
      <c r="KJP1513" s="879"/>
      <c r="KJQ1513" s="879"/>
      <c r="KJR1513" s="879"/>
      <c r="KJS1513" s="879"/>
      <c r="KJT1513" s="879"/>
      <c r="KJU1513" s="879"/>
      <c r="KJV1513" s="879"/>
      <c r="KJW1513" s="879"/>
      <c r="KJX1513" s="879"/>
      <c r="KJY1513" s="879"/>
      <c r="KJZ1513" s="879"/>
      <c r="KKA1513" s="879"/>
      <c r="KKB1513" s="879"/>
      <c r="KKC1513" s="879"/>
      <c r="KKD1513" s="879"/>
      <c r="KKE1513" s="879"/>
      <c r="KKF1513" s="879"/>
      <c r="KKG1513" s="879"/>
      <c r="KKH1513" s="879"/>
      <c r="KKI1513" s="879"/>
      <c r="KKJ1513" s="879"/>
      <c r="KKK1513" s="879"/>
      <c r="KKL1513" s="879"/>
      <c r="KKM1513" s="879"/>
      <c r="KKN1513" s="879"/>
      <c r="KKO1513" s="879"/>
      <c r="KKP1513" s="879"/>
      <c r="KKQ1513" s="879"/>
      <c r="KKR1513" s="879"/>
      <c r="KKS1513" s="879"/>
      <c r="KKT1513" s="879"/>
      <c r="KKU1513" s="879"/>
      <c r="KKV1513" s="879"/>
      <c r="KKW1513" s="879"/>
      <c r="KKX1513" s="879"/>
      <c r="KKY1513" s="879"/>
      <c r="KKZ1513" s="879"/>
      <c r="KLA1513" s="879"/>
      <c r="KLB1513" s="879"/>
      <c r="KLC1513" s="879"/>
      <c r="KLD1513" s="879"/>
      <c r="KLE1513" s="879"/>
      <c r="KLF1513" s="879"/>
      <c r="KLG1513" s="879"/>
      <c r="KLH1513" s="879"/>
      <c r="KLI1513" s="879"/>
      <c r="KLJ1513" s="879"/>
      <c r="KLK1513" s="879"/>
      <c r="KLL1513" s="879"/>
      <c r="KLM1513" s="879"/>
      <c r="KLN1513" s="879"/>
      <c r="KLO1513" s="879"/>
      <c r="KLP1513" s="879"/>
      <c r="KLQ1513" s="879"/>
      <c r="KLR1513" s="879"/>
      <c r="KLS1513" s="879"/>
      <c r="KLT1513" s="879"/>
      <c r="KLU1513" s="879"/>
      <c r="KLV1513" s="879"/>
      <c r="KLW1513" s="879"/>
      <c r="KLX1513" s="879"/>
      <c r="KLY1513" s="879"/>
      <c r="KLZ1513" s="879"/>
      <c r="KMA1513" s="879"/>
      <c r="KMB1513" s="879"/>
      <c r="KMC1513" s="879"/>
      <c r="KMD1513" s="879"/>
      <c r="KME1513" s="879"/>
      <c r="KMF1513" s="879"/>
      <c r="KMG1513" s="879"/>
      <c r="KMH1513" s="879"/>
      <c r="KMI1513" s="879"/>
      <c r="KMJ1513" s="879"/>
      <c r="KMK1513" s="879"/>
      <c r="KML1513" s="879"/>
      <c r="KMM1513" s="879"/>
      <c r="KMN1513" s="879"/>
      <c r="KMO1513" s="879"/>
      <c r="KMP1513" s="879"/>
      <c r="KMQ1513" s="879"/>
      <c r="KMR1513" s="879"/>
      <c r="KMS1513" s="879"/>
      <c r="KMT1513" s="879"/>
      <c r="KMU1513" s="879"/>
      <c r="KMV1513" s="879"/>
      <c r="KMW1513" s="879"/>
      <c r="KMX1513" s="879"/>
      <c r="KMY1513" s="879"/>
      <c r="KMZ1513" s="879"/>
      <c r="KNA1513" s="879"/>
      <c r="KNB1513" s="879"/>
      <c r="KNC1513" s="879"/>
      <c r="KND1513" s="879"/>
      <c r="KNE1513" s="879"/>
      <c r="KNF1513" s="879"/>
      <c r="KNG1513" s="879"/>
      <c r="KNH1513" s="879"/>
      <c r="KNI1513" s="879"/>
      <c r="KNJ1513" s="879"/>
      <c r="KNK1513" s="879"/>
      <c r="KNL1513" s="879"/>
      <c r="KNM1513" s="879"/>
      <c r="KNN1513" s="879"/>
      <c r="KNO1513" s="879"/>
      <c r="KNP1513" s="879"/>
      <c r="KNQ1513" s="879"/>
      <c r="KNR1513" s="879"/>
      <c r="KNS1513" s="879"/>
      <c r="KNT1513" s="879"/>
      <c r="KNU1513" s="879"/>
      <c r="KNV1513" s="879"/>
      <c r="KNW1513" s="879"/>
      <c r="KNX1513" s="879"/>
      <c r="KNY1513" s="879"/>
      <c r="KNZ1513" s="879"/>
      <c r="KOA1513" s="879"/>
      <c r="KOB1513" s="879"/>
      <c r="KOC1513" s="879"/>
      <c r="KOD1513" s="879"/>
      <c r="KOE1513" s="879"/>
      <c r="KOF1513" s="879"/>
      <c r="KOG1513" s="879"/>
      <c r="KOH1513" s="879"/>
      <c r="KOI1513" s="879"/>
      <c r="KOJ1513" s="879"/>
      <c r="KOK1513" s="879"/>
      <c r="KOL1513" s="879"/>
      <c r="KOM1513" s="879"/>
      <c r="KON1513" s="879"/>
      <c r="KOO1513" s="879"/>
      <c r="KOP1513" s="879"/>
      <c r="KOQ1513" s="879"/>
      <c r="KOR1513" s="879"/>
      <c r="KOS1513" s="879"/>
      <c r="KOT1513" s="879"/>
      <c r="KOU1513" s="879"/>
      <c r="KOV1513" s="879"/>
      <c r="KOW1513" s="879"/>
      <c r="KOX1513" s="879"/>
      <c r="KOY1513" s="879"/>
      <c r="KOZ1513" s="879"/>
      <c r="KPA1513" s="879"/>
      <c r="KPB1513" s="879"/>
      <c r="KPC1513" s="879"/>
      <c r="KPD1513" s="879"/>
      <c r="KPE1513" s="879"/>
      <c r="KPF1513" s="879"/>
      <c r="KPG1513" s="879"/>
      <c r="KPH1513" s="879"/>
      <c r="KPI1513" s="879"/>
      <c r="KPJ1513" s="879"/>
      <c r="KPK1513" s="879"/>
      <c r="KPL1513" s="879"/>
      <c r="KPM1513" s="879"/>
      <c r="KPN1513" s="879"/>
      <c r="KPO1513" s="879"/>
      <c r="KPP1513" s="879"/>
      <c r="KPQ1513" s="879"/>
      <c r="KPR1513" s="879"/>
      <c r="KPS1513" s="879"/>
      <c r="KPT1513" s="879"/>
      <c r="KPU1513" s="879"/>
      <c r="KPV1513" s="879"/>
      <c r="KPW1513" s="879"/>
      <c r="KPX1513" s="879"/>
      <c r="KPY1513" s="879"/>
      <c r="KPZ1513" s="879"/>
      <c r="KQA1513" s="879"/>
      <c r="KQB1513" s="879"/>
      <c r="KQC1513" s="879"/>
      <c r="KQD1513" s="879"/>
      <c r="KQE1513" s="879"/>
      <c r="KQF1513" s="879"/>
      <c r="KQG1513" s="879"/>
      <c r="KQH1513" s="879"/>
      <c r="KQI1513" s="879"/>
      <c r="KQJ1513" s="879"/>
      <c r="KQK1513" s="879"/>
      <c r="KQL1513" s="879"/>
      <c r="KQM1513" s="879"/>
      <c r="KQN1513" s="879"/>
      <c r="KQO1513" s="879"/>
      <c r="KQP1513" s="879"/>
      <c r="KQQ1513" s="879"/>
      <c r="KQR1513" s="879"/>
      <c r="KQS1513" s="879"/>
      <c r="KQT1513" s="879"/>
      <c r="KQU1513" s="879"/>
      <c r="KQV1513" s="879"/>
      <c r="KQW1513" s="879"/>
      <c r="KQX1513" s="879"/>
      <c r="KQY1513" s="879"/>
      <c r="KQZ1513" s="879"/>
      <c r="KRA1513" s="879"/>
      <c r="KRB1513" s="879"/>
      <c r="KRC1513" s="879"/>
      <c r="KRD1513" s="879"/>
      <c r="KRE1513" s="879"/>
      <c r="KRF1513" s="879"/>
      <c r="KRG1513" s="879"/>
      <c r="KRH1513" s="879"/>
      <c r="KRI1513" s="879"/>
      <c r="KRJ1513" s="879"/>
      <c r="KRK1513" s="879"/>
      <c r="KRL1513" s="879"/>
      <c r="KRM1513" s="879"/>
      <c r="KRN1513" s="879"/>
      <c r="KRO1513" s="879"/>
      <c r="KRP1513" s="879"/>
      <c r="KRQ1513" s="879"/>
      <c r="KRR1513" s="879"/>
      <c r="KRS1513" s="879"/>
      <c r="KRT1513" s="879"/>
      <c r="KRU1513" s="879"/>
      <c r="KRV1513" s="879"/>
      <c r="KRW1513" s="879"/>
      <c r="KRX1513" s="879"/>
      <c r="KRY1513" s="879"/>
      <c r="KRZ1513" s="879"/>
      <c r="KSA1513" s="879"/>
      <c r="KSB1513" s="879"/>
      <c r="KSC1513" s="879"/>
      <c r="KSD1513" s="879"/>
      <c r="KSE1513" s="879"/>
      <c r="KSF1513" s="879"/>
      <c r="KSG1513" s="879"/>
      <c r="KSH1513" s="879"/>
      <c r="KSI1513" s="879"/>
      <c r="KSJ1513" s="879"/>
      <c r="KSK1513" s="879"/>
      <c r="KSL1513" s="879"/>
      <c r="KSM1513" s="879"/>
      <c r="KSN1513" s="879"/>
      <c r="KSO1513" s="879"/>
      <c r="KSP1513" s="879"/>
      <c r="KSQ1513" s="879"/>
      <c r="KSR1513" s="879"/>
      <c r="KSS1513" s="879"/>
      <c r="KST1513" s="879"/>
      <c r="KSU1513" s="879"/>
      <c r="KSV1513" s="879"/>
      <c r="KSW1513" s="879"/>
      <c r="KSX1513" s="879"/>
      <c r="KSY1513" s="879"/>
      <c r="KSZ1513" s="879"/>
      <c r="KTA1513" s="879"/>
      <c r="KTB1513" s="879"/>
      <c r="KTC1513" s="879"/>
      <c r="KTD1513" s="879"/>
      <c r="KTE1513" s="879"/>
      <c r="KTF1513" s="879"/>
      <c r="KTG1513" s="879"/>
      <c r="KTH1513" s="879"/>
      <c r="KTI1513" s="879"/>
      <c r="KTJ1513" s="879"/>
      <c r="KTK1513" s="879"/>
      <c r="KTL1513" s="879"/>
      <c r="KTM1513" s="879"/>
      <c r="KTN1513" s="879"/>
      <c r="KTO1513" s="879"/>
      <c r="KTP1513" s="879"/>
      <c r="KTQ1513" s="879"/>
      <c r="KTR1513" s="879"/>
      <c r="KTS1513" s="879"/>
      <c r="KTT1513" s="879"/>
      <c r="KTU1513" s="879"/>
      <c r="KTV1513" s="879"/>
      <c r="KTW1513" s="879"/>
      <c r="KTX1513" s="879"/>
      <c r="KTY1513" s="879"/>
      <c r="KTZ1513" s="879"/>
      <c r="KUA1513" s="879"/>
      <c r="KUB1513" s="879"/>
      <c r="KUC1513" s="879"/>
      <c r="KUD1513" s="879"/>
      <c r="KUE1513" s="879"/>
      <c r="KUF1513" s="879"/>
      <c r="KUG1513" s="879"/>
      <c r="KUH1513" s="879"/>
      <c r="KUI1513" s="879"/>
      <c r="KUJ1513" s="879"/>
      <c r="KUK1513" s="879"/>
      <c r="KUL1513" s="879"/>
      <c r="KUM1513" s="879"/>
      <c r="KUN1513" s="879"/>
      <c r="KUO1513" s="879"/>
      <c r="KUP1513" s="879"/>
      <c r="KUQ1513" s="879"/>
      <c r="KUR1513" s="879"/>
      <c r="KUS1513" s="879"/>
      <c r="KUT1513" s="879"/>
      <c r="KUU1513" s="879"/>
      <c r="KUV1513" s="879"/>
      <c r="KUW1513" s="879"/>
      <c r="KUX1513" s="879"/>
      <c r="KUY1513" s="879"/>
      <c r="KUZ1513" s="879"/>
      <c r="KVA1513" s="879"/>
      <c r="KVB1513" s="879"/>
      <c r="KVC1513" s="879"/>
      <c r="KVD1513" s="879"/>
      <c r="KVE1513" s="879"/>
      <c r="KVF1513" s="879"/>
      <c r="KVG1513" s="879"/>
      <c r="KVH1513" s="879"/>
      <c r="KVI1513" s="879"/>
      <c r="KVJ1513" s="879"/>
      <c r="KVK1513" s="879"/>
      <c r="KVL1513" s="879"/>
      <c r="KVM1513" s="879"/>
      <c r="KVN1513" s="879"/>
      <c r="KVO1513" s="879"/>
      <c r="KVP1513" s="879"/>
      <c r="KVQ1513" s="879"/>
      <c r="KVR1513" s="879"/>
      <c r="KVS1513" s="879"/>
      <c r="KVT1513" s="879"/>
      <c r="KVU1513" s="879"/>
      <c r="KVV1513" s="879"/>
      <c r="KVW1513" s="879"/>
      <c r="KVX1513" s="879"/>
      <c r="KVY1513" s="879"/>
      <c r="KVZ1513" s="879"/>
      <c r="KWA1513" s="879"/>
      <c r="KWB1513" s="879"/>
      <c r="KWC1513" s="879"/>
      <c r="KWD1513" s="879"/>
      <c r="KWE1513" s="879"/>
      <c r="KWF1513" s="879"/>
      <c r="KWG1513" s="879"/>
      <c r="KWH1513" s="879"/>
      <c r="KWI1513" s="879"/>
      <c r="KWJ1513" s="879"/>
      <c r="KWK1513" s="879"/>
      <c r="KWL1513" s="879"/>
      <c r="KWM1513" s="879"/>
      <c r="KWN1513" s="879"/>
      <c r="KWO1513" s="879"/>
      <c r="KWP1513" s="879"/>
      <c r="KWQ1513" s="879"/>
      <c r="KWR1513" s="879"/>
      <c r="KWS1513" s="879"/>
      <c r="KWT1513" s="879"/>
      <c r="KWU1513" s="879"/>
      <c r="KWV1513" s="879"/>
      <c r="KWW1513" s="879"/>
      <c r="KWX1513" s="879"/>
      <c r="KWY1513" s="879"/>
      <c r="KWZ1513" s="879"/>
      <c r="KXA1513" s="879"/>
      <c r="KXB1513" s="879"/>
      <c r="KXC1513" s="879"/>
      <c r="KXD1513" s="879"/>
      <c r="KXE1513" s="879"/>
      <c r="KXF1513" s="879"/>
      <c r="KXG1513" s="879"/>
      <c r="KXH1513" s="879"/>
      <c r="KXI1513" s="879"/>
      <c r="KXJ1513" s="879"/>
      <c r="KXK1513" s="879"/>
      <c r="KXL1513" s="879"/>
      <c r="KXM1513" s="879"/>
      <c r="KXN1513" s="879"/>
      <c r="KXO1513" s="879"/>
      <c r="KXP1513" s="879"/>
      <c r="KXQ1513" s="879"/>
      <c r="KXR1513" s="879"/>
      <c r="KXS1513" s="879"/>
      <c r="KXT1513" s="879"/>
      <c r="KXU1513" s="879"/>
      <c r="KXV1513" s="879"/>
      <c r="KXW1513" s="879"/>
      <c r="KXX1513" s="879"/>
      <c r="KXY1513" s="879"/>
      <c r="KXZ1513" s="879"/>
      <c r="KYA1513" s="879"/>
      <c r="KYB1513" s="879"/>
      <c r="KYC1513" s="879"/>
      <c r="KYD1513" s="879"/>
      <c r="KYE1513" s="879"/>
      <c r="KYF1513" s="879"/>
      <c r="KYG1513" s="879"/>
      <c r="KYH1513" s="879"/>
      <c r="KYI1513" s="879"/>
      <c r="KYJ1513" s="879"/>
      <c r="KYK1513" s="879"/>
      <c r="KYL1513" s="879"/>
      <c r="KYM1513" s="879"/>
      <c r="KYN1513" s="879"/>
      <c r="KYO1513" s="879"/>
      <c r="KYP1513" s="879"/>
      <c r="KYQ1513" s="879"/>
      <c r="KYR1513" s="879"/>
      <c r="KYS1513" s="879"/>
      <c r="KYT1513" s="879"/>
      <c r="KYU1513" s="879"/>
      <c r="KYV1513" s="879"/>
      <c r="KYW1513" s="879"/>
      <c r="KYX1513" s="879"/>
      <c r="KYY1513" s="879"/>
      <c r="KYZ1513" s="879"/>
      <c r="KZA1513" s="879"/>
      <c r="KZB1513" s="879"/>
      <c r="KZC1513" s="879"/>
      <c r="KZD1513" s="879"/>
      <c r="KZE1513" s="879"/>
      <c r="KZF1513" s="879"/>
      <c r="KZG1513" s="879"/>
      <c r="KZH1513" s="879"/>
      <c r="KZI1513" s="879"/>
      <c r="KZJ1513" s="879"/>
      <c r="KZK1513" s="879"/>
      <c r="KZL1513" s="879"/>
      <c r="KZM1513" s="879"/>
      <c r="KZN1513" s="879"/>
      <c r="KZO1513" s="879"/>
      <c r="KZP1513" s="879"/>
      <c r="KZQ1513" s="879"/>
      <c r="KZR1513" s="879"/>
      <c r="KZS1513" s="879"/>
      <c r="KZT1513" s="879"/>
      <c r="KZU1513" s="879"/>
      <c r="KZV1513" s="879"/>
      <c r="KZW1513" s="879"/>
      <c r="KZX1513" s="879"/>
      <c r="KZY1513" s="879"/>
      <c r="KZZ1513" s="879"/>
      <c r="LAA1513" s="879"/>
      <c r="LAB1513" s="879"/>
      <c r="LAC1513" s="879"/>
      <c r="LAD1513" s="879"/>
      <c r="LAE1513" s="879"/>
      <c r="LAF1513" s="879"/>
      <c r="LAG1513" s="879"/>
      <c r="LAH1513" s="879"/>
      <c r="LAI1513" s="879"/>
      <c r="LAJ1513" s="879"/>
      <c r="LAK1513" s="879"/>
      <c r="LAL1513" s="879"/>
      <c r="LAM1513" s="879"/>
      <c r="LAN1513" s="879"/>
      <c r="LAO1513" s="879"/>
      <c r="LAP1513" s="879"/>
      <c r="LAQ1513" s="879"/>
      <c r="LAR1513" s="879"/>
      <c r="LAS1513" s="879"/>
      <c r="LAT1513" s="879"/>
      <c r="LAU1513" s="879"/>
      <c r="LAV1513" s="879"/>
      <c r="LAW1513" s="879"/>
      <c r="LAX1513" s="879"/>
      <c r="LAY1513" s="879"/>
      <c r="LAZ1513" s="879"/>
      <c r="LBA1513" s="879"/>
      <c r="LBB1513" s="879"/>
      <c r="LBC1513" s="879"/>
      <c r="LBD1513" s="879"/>
      <c r="LBE1513" s="879"/>
      <c r="LBF1513" s="879"/>
      <c r="LBG1513" s="879"/>
      <c r="LBH1513" s="879"/>
      <c r="LBI1513" s="879"/>
      <c r="LBJ1513" s="879"/>
      <c r="LBK1513" s="879"/>
      <c r="LBL1513" s="879"/>
      <c r="LBM1513" s="879"/>
      <c r="LBN1513" s="879"/>
      <c r="LBO1513" s="879"/>
      <c r="LBP1513" s="879"/>
      <c r="LBQ1513" s="879"/>
      <c r="LBR1513" s="879"/>
      <c r="LBS1513" s="879"/>
      <c r="LBT1513" s="879"/>
      <c r="LBU1513" s="879"/>
      <c r="LBV1513" s="879"/>
      <c r="LBW1513" s="879"/>
      <c r="LBX1513" s="879"/>
      <c r="LBY1513" s="879"/>
      <c r="LBZ1513" s="879"/>
      <c r="LCA1513" s="879"/>
      <c r="LCB1513" s="879"/>
      <c r="LCC1513" s="879"/>
      <c r="LCD1513" s="879"/>
      <c r="LCE1513" s="879"/>
      <c r="LCF1513" s="879"/>
      <c r="LCG1513" s="879"/>
      <c r="LCH1513" s="879"/>
      <c r="LCI1513" s="879"/>
      <c r="LCJ1513" s="879"/>
      <c r="LCK1513" s="879"/>
      <c r="LCL1513" s="879"/>
      <c r="LCM1513" s="879"/>
      <c r="LCN1513" s="879"/>
      <c r="LCO1513" s="879"/>
      <c r="LCP1513" s="879"/>
      <c r="LCQ1513" s="879"/>
      <c r="LCR1513" s="879"/>
      <c r="LCS1513" s="879"/>
      <c r="LCT1513" s="879"/>
      <c r="LCU1513" s="879"/>
      <c r="LCV1513" s="879"/>
      <c r="LCW1513" s="879"/>
      <c r="LCX1513" s="879"/>
      <c r="LCY1513" s="879"/>
      <c r="LCZ1513" s="879"/>
      <c r="LDA1513" s="879"/>
      <c r="LDB1513" s="879"/>
      <c r="LDC1513" s="879"/>
      <c r="LDD1513" s="879"/>
      <c r="LDE1513" s="879"/>
      <c r="LDF1513" s="879"/>
      <c r="LDG1513" s="879"/>
      <c r="LDH1513" s="879"/>
      <c r="LDI1513" s="879"/>
      <c r="LDJ1513" s="879"/>
      <c r="LDK1513" s="879"/>
      <c r="LDL1513" s="879"/>
      <c r="LDM1513" s="879"/>
      <c r="LDN1513" s="879"/>
      <c r="LDO1513" s="879"/>
      <c r="LDP1513" s="879"/>
      <c r="LDQ1513" s="879"/>
      <c r="LDR1513" s="879"/>
      <c r="LDS1513" s="879"/>
      <c r="LDT1513" s="879"/>
      <c r="LDU1513" s="879"/>
      <c r="LDV1513" s="879"/>
      <c r="LDW1513" s="879"/>
      <c r="LDX1513" s="879"/>
      <c r="LDY1513" s="879"/>
      <c r="LDZ1513" s="879"/>
      <c r="LEA1513" s="879"/>
      <c r="LEB1513" s="879"/>
      <c r="LEC1513" s="879"/>
      <c r="LED1513" s="879"/>
      <c r="LEE1513" s="879"/>
      <c r="LEF1513" s="879"/>
      <c r="LEG1513" s="879"/>
      <c r="LEH1513" s="879"/>
      <c r="LEI1513" s="879"/>
      <c r="LEJ1513" s="879"/>
      <c r="LEK1513" s="879"/>
      <c r="LEL1513" s="879"/>
      <c r="LEM1513" s="879"/>
      <c r="LEN1513" s="879"/>
      <c r="LEO1513" s="879"/>
      <c r="LEP1513" s="879"/>
      <c r="LEQ1513" s="879"/>
      <c r="LER1513" s="879"/>
      <c r="LES1513" s="879"/>
      <c r="LET1513" s="879"/>
      <c r="LEU1513" s="879"/>
      <c r="LEV1513" s="879"/>
      <c r="LEW1513" s="879"/>
      <c r="LEX1513" s="879"/>
      <c r="LEY1513" s="879"/>
      <c r="LEZ1513" s="879"/>
      <c r="LFA1513" s="879"/>
      <c r="LFB1513" s="879"/>
      <c r="LFC1513" s="879"/>
      <c r="LFD1513" s="879"/>
      <c r="LFE1513" s="879"/>
      <c r="LFF1513" s="879"/>
      <c r="LFG1513" s="879"/>
      <c r="LFH1513" s="879"/>
      <c r="LFI1513" s="879"/>
      <c r="LFJ1513" s="879"/>
      <c r="LFK1513" s="879"/>
      <c r="LFL1513" s="879"/>
      <c r="LFM1513" s="879"/>
      <c r="LFN1513" s="879"/>
      <c r="LFO1513" s="879"/>
      <c r="LFP1513" s="879"/>
      <c r="LFQ1513" s="879"/>
      <c r="LFR1513" s="879"/>
      <c r="LFS1513" s="879"/>
      <c r="LFT1513" s="879"/>
      <c r="LFU1513" s="879"/>
      <c r="LFV1513" s="879"/>
      <c r="LFW1513" s="879"/>
      <c r="LFX1513" s="879"/>
      <c r="LFY1513" s="879"/>
      <c r="LFZ1513" s="879"/>
      <c r="LGA1513" s="879"/>
      <c r="LGB1513" s="879"/>
      <c r="LGC1513" s="879"/>
      <c r="LGD1513" s="879"/>
      <c r="LGE1513" s="879"/>
      <c r="LGF1513" s="879"/>
      <c r="LGG1513" s="879"/>
      <c r="LGH1513" s="879"/>
      <c r="LGI1513" s="879"/>
      <c r="LGJ1513" s="879"/>
      <c r="LGK1513" s="879"/>
      <c r="LGL1513" s="879"/>
      <c r="LGM1513" s="879"/>
      <c r="LGN1513" s="879"/>
      <c r="LGO1513" s="879"/>
      <c r="LGP1513" s="879"/>
      <c r="LGQ1513" s="879"/>
      <c r="LGR1513" s="879"/>
      <c r="LGS1513" s="879"/>
      <c r="LGT1513" s="879"/>
      <c r="LGU1513" s="879"/>
      <c r="LGV1513" s="879"/>
      <c r="LGW1513" s="879"/>
      <c r="LGX1513" s="879"/>
      <c r="LGY1513" s="879"/>
      <c r="LGZ1513" s="879"/>
      <c r="LHA1513" s="879"/>
      <c r="LHB1513" s="879"/>
      <c r="LHC1513" s="879"/>
      <c r="LHD1513" s="879"/>
      <c r="LHE1513" s="879"/>
      <c r="LHF1513" s="879"/>
      <c r="LHG1513" s="879"/>
      <c r="LHH1513" s="879"/>
      <c r="LHI1513" s="879"/>
      <c r="LHJ1513" s="879"/>
      <c r="LHK1513" s="879"/>
      <c r="LHL1513" s="879"/>
      <c r="LHM1513" s="879"/>
      <c r="LHN1513" s="879"/>
      <c r="LHO1513" s="879"/>
      <c r="LHP1513" s="879"/>
      <c r="LHQ1513" s="879"/>
      <c r="LHR1513" s="879"/>
      <c r="LHS1513" s="879"/>
      <c r="LHT1513" s="879"/>
      <c r="LHU1513" s="879"/>
      <c r="LHV1513" s="879"/>
      <c r="LHW1513" s="879"/>
      <c r="LHX1513" s="879"/>
      <c r="LHY1513" s="879"/>
      <c r="LHZ1513" s="879"/>
      <c r="LIA1513" s="879"/>
      <c r="LIB1513" s="879"/>
      <c r="LIC1513" s="879"/>
      <c r="LID1513" s="879"/>
      <c r="LIE1513" s="879"/>
      <c r="LIF1513" s="879"/>
      <c r="LIG1513" s="879"/>
      <c r="LIH1513" s="879"/>
      <c r="LII1513" s="879"/>
      <c r="LIJ1513" s="879"/>
      <c r="LIK1513" s="879"/>
      <c r="LIL1513" s="879"/>
      <c r="LIM1513" s="879"/>
      <c r="LIN1513" s="879"/>
      <c r="LIO1513" s="879"/>
      <c r="LIP1513" s="879"/>
      <c r="LIQ1513" s="879"/>
      <c r="LIR1513" s="879"/>
      <c r="LIS1513" s="879"/>
      <c r="LIT1513" s="879"/>
      <c r="LIU1513" s="879"/>
      <c r="LIV1513" s="879"/>
      <c r="LIW1513" s="879"/>
      <c r="LIX1513" s="879"/>
      <c r="LIY1513" s="879"/>
      <c r="LIZ1513" s="879"/>
      <c r="LJA1513" s="879"/>
      <c r="LJB1513" s="879"/>
      <c r="LJC1513" s="879"/>
      <c r="LJD1513" s="879"/>
      <c r="LJE1513" s="879"/>
      <c r="LJF1513" s="879"/>
      <c r="LJG1513" s="879"/>
      <c r="LJH1513" s="879"/>
      <c r="LJI1513" s="879"/>
      <c r="LJJ1513" s="879"/>
      <c r="LJK1513" s="879"/>
      <c r="LJL1513" s="879"/>
      <c r="LJM1513" s="879"/>
      <c r="LJN1513" s="879"/>
      <c r="LJO1513" s="879"/>
      <c r="LJP1513" s="879"/>
      <c r="LJQ1513" s="879"/>
      <c r="LJR1513" s="879"/>
      <c r="LJS1513" s="879"/>
      <c r="LJT1513" s="879"/>
      <c r="LJU1513" s="879"/>
      <c r="LJV1513" s="879"/>
      <c r="LJW1513" s="879"/>
      <c r="LJX1513" s="879"/>
      <c r="LJY1513" s="879"/>
      <c r="LJZ1513" s="879"/>
      <c r="LKA1513" s="879"/>
      <c r="LKB1513" s="879"/>
      <c r="LKC1513" s="879"/>
      <c r="LKD1513" s="879"/>
      <c r="LKE1513" s="879"/>
      <c r="LKF1513" s="879"/>
      <c r="LKG1513" s="879"/>
      <c r="LKH1513" s="879"/>
      <c r="LKI1513" s="879"/>
      <c r="LKJ1513" s="879"/>
      <c r="LKK1513" s="879"/>
      <c r="LKL1513" s="879"/>
      <c r="LKM1513" s="879"/>
      <c r="LKN1513" s="879"/>
      <c r="LKO1513" s="879"/>
      <c r="LKP1513" s="879"/>
      <c r="LKQ1513" s="879"/>
      <c r="LKR1513" s="879"/>
      <c r="LKS1513" s="879"/>
      <c r="LKT1513" s="879"/>
      <c r="LKU1513" s="879"/>
      <c r="LKV1513" s="879"/>
      <c r="LKW1513" s="879"/>
      <c r="LKX1513" s="879"/>
      <c r="LKY1513" s="879"/>
      <c r="LKZ1513" s="879"/>
      <c r="LLA1513" s="879"/>
      <c r="LLB1513" s="879"/>
      <c r="LLC1513" s="879"/>
      <c r="LLD1513" s="879"/>
      <c r="LLE1513" s="879"/>
      <c r="LLF1513" s="879"/>
      <c r="LLG1513" s="879"/>
      <c r="LLH1513" s="879"/>
      <c r="LLI1513" s="879"/>
      <c r="LLJ1513" s="879"/>
      <c r="LLK1513" s="879"/>
      <c r="LLL1513" s="879"/>
      <c r="LLM1513" s="879"/>
      <c r="LLN1513" s="879"/>
      <c r="LLO1513" s="879"/>
      <c r="LLP1513" s="879"/>
      <c r="LLQ1513" s="879"/>
      <c r="LLR1513" s="879"/>
      <c r="LLS1513" s="879"/>
      <c r="LLT1513" s="879"/>
      <c r="LLU1513" s="879"/>
      <c r="LLV1513" s="879"/>
      <c r="LLW1513" s="879"/>
      <c r="LLX1513" s="879"/>
      <c r="LLY1513" s="879"/>
      <c r="LLZ1513" s="879"/>
      <c r="LMA1513" s="879"/>
      <c r="LMB1513" s="879"/>
      <c r="LMC1513" s="879"/>
      <c r="LMD1513" s="879"/>
      <c r="LME1513" s="879"/>
      <c r="LMF1513" s="879"/>
      <c r="LMG1513" s="879"/>
      <c r="LMH1513" s="879"/>
      <c r="LMI1513" s="879"/>
      <c r="LMJ1513" s="879"/>
      <c r="LMK1513" s="879"/>
      <c r="LML1513" s="879"/>
      <c r="LMM1513" s="879"/>
      <c r="LMN1513" s="879"/>
      <c r="LMO1513" s="879"/>
      <c r="LMP1513" s="879"/>
      <c r="LMQ1513" s="879"/>
      <c r="LMR1513" s="879"/>
      <c r="LMS1513" s="879"/>
      <c r="LMT1513" s="879"/>
      <c r="LMU1513" s="879"/>
      <c r="LMV1513" s="879"/>
      <c r="LMW1513" s="879"/>
      <c r="LMX1513" s="879"/>
      <c r="LMY1513" s="879"/>
      <c r="LMZ1513" s="879"/>
      <c r="LNA1513" s="879"/>
      <c r="LNB1513" s="879"/>
      <c r="LNC1513" s="879"/>
      <c r="LND1513" s="879"/>
      <c r="LNE1513" s="879"/>
      <c r="LNF1513" s="879"/>
      <c r="LNG1513" s="879"/>
      <c r="LNH1513" s="879"/>
      <c r="LNI1513" s="879"/>
      <c r="LNJ1513" s="879"/>
      <c r="LNK1513" s="879"/>
      <c r="LNL1513" s="879"/>
      <c r="LNM1513" s="879"/>
      <c r="LNN1513" s="879"/>
      <c r="LNO1513" s="879"/>
      <c r="LNP1513" s="879"/>
      <c r="LNQ1513" s="879"/>
      <c r="LNR1513" s="879"/>
      <c r="LNS1513" s="879"/>
      <c r="LNT1513" s="879"/>
      <c r="LNU1513" s="879"/>
      <c r="LNV1513" s="879"/>
      <c r="LNW1513" s="879"/>
      <c r="LNX1513" s="879"/>
      <c r="LNY1513" s="879"/>
      <c r="LNZ1513" s="879"/>
      <c r="LOA1513" s="879"/>
      <c r="LOB1513" s="879"/>
      <c r="LOC1513" s="879"/>
      <c r="LOD1513" s="879"/>
      <c r="LOE1513" s="879"/>
      <c r="LOF1513" s="879"/>
      <c r="LOG1513" s="879"/>
      <c r="LOH1513" s="879"/>
      <c r="LOI1513" s="879"/>
      <c r="LOJ1513" s="879"/>
      <c r="LOK1513" s="879"/>
      <c r="LOL1513" s="879"/>
      <c r="LOM1513" s="879"/>
      <c r="LON1513" s="879"/>
      <c r="LOO1513" s="879"/>
      <c r="LOP1513" s="879"/>
      <c r="LOQ1513" s="879"/>
      <c r="LOR1513" s="879"/>
      <c r="LOS1513" s="879"/>
      <c r="LOT1513" s="879"/>
      <c r="LOU1513" s="879"/>
      <c r="LOV1513" s="879"/>
      <c r="LOW1513" s="879"/>
      <c r="LOX1513" s="879"/>
      <c r="LOY1513" s="879"/>
      <c r="LOZ1513" s="879"/>
      <c r="LPA1513" s="879"/>
      <c r="LPB1513" s="879"/>
      <c r="LPC1513" s="879"/>
      <c r="LPD1513" s="879"/>
      <c r="LPE1513" s="879"/>
      <c r="LPF1513" s="879"/>
      <c r="LPG1513" s="879"/>
      <c r="LPH1513" s="879"/>
      <c r="LPI1513" s="879"/>
      <c r="LPJ1513" s="879"/>
      <c r="LPK1513" s="879"/>
      <c r="LPL1513" s="879"/>
      <c r="LPM1513" s="879"/>
      <c r="LPN1513" s="879"/>
      <c r="LPO1513" s="879"/>
      <c r="LPP1513" s="879"/>
      <c r="LPQ1513" s="879"/>
      <c r="LPR1513" s="879"/>
      <c r="LPS1513" s="879"/>
      <c r="LPT1513" s="879"/>
      <c r="LPU1513" s="879"/>
      <c r="LPV1513" s="879"/>
      <c r="LPW1513" s="879"/>
      <c r="LPX1513" s="879"/>
      <c r="LPY1513" s="879"/>
      <c r="LPZ1513" s="879"/>
      <c r="LQA1513" s="879"/>
      <c r="LQB1513" s="879"/>
      <c r="LQC1513" s="879"/>
      <c r="LQD1513" s="879"/>
      <c r="LQE1513" s="879"/>
      <c r="LQF1513" s="879"/>
      <c r="LQG1513" s="879"/>
      <c r="LQH1513" s="879"/>
      <c r="LQI1513" s="879"/>
      <c r="LQJ1513" s="879"/>
      <c r="LQK1513" s="879"/>
      <c r="LQL1513" s="879"/>
      <c r="LQM1513" s="879"/>
      <c r="LQN1513" s="879"/>
      <c r="LQO1513" s="879"/>
      <c r="LQP1513" s="879"/>
      <c r="LQQ1513" s="879"/>
      <c r="LQR1513" s="879"/>
      <c r="LQS1513" s="879"/>
      <c r="LQT1513" s="879"/>
      <c r="LQU1513" s="879"/>
      <c r="LQV1513" s="879"/>
      <c r="LQW1513" s="879"/>
      <c r="LQX1513" s="879"/>
      <c r="LQY1513" s="879"/>
      <c r="LQZ1513" s="879"/>
      <c r="LRA1513" s="879"/>
      <c r="LRB1513" s="879"/>
      <c r="LRC1513" s="879"/>
      <c r="LRD1513" s="879"/>
      <c r="LRE1513" s="879"/>
      <c r="LRF1513" s="879"/>
      <c r="LRG1513" s="879"/>
      <c r="LRH1513" s="879"/>
      <c r="LRI1513" s="879"/>
      <c r="LRJ1513" s="879"/>
      <c r="LRK1513" s="879"/>
      <c r="LRL1513" s="879"/>
      <c r="LRM1513" s="879"/>
      <c r="LRN1513" s="879"/>
      <c r="LRO1513" s="879"/>
      <c r="LRP1513" s="879"/>
      <c r="LRQ1513" s="879"/>
      <c r="LRR1513" s="879"/>
      <c r="LRS1513" s="879"/>
      <c r="LRT1513" s="879"/>
      <c r="LRU1513" s="879"/>
      <c r="LRV1513" s="879"/>
      <c r="LRW1513" s="879"/>
      <c r="LRX1513" s="879"/>
      <c r="LRY1513" s="879"/>
      <c r="LRZ1513" s="879"/>
      <c r="LSA1513" s="879"/>
      <c r="LSB1513" s="879"/>
      <c r="LSC1513" s="879"/>
      <c r="LSD1513" s="879"/>
      <c r="LSE1513" s="879"/>
      <c r="LSF1513" s="879"/>
      <c r="LSG1513" s="879"/>
      <c r="LSH1513" s="879"/>
      <c r="LSI1513" s="879"/>
      <c r="LSJ1513" s="879"/>
      <c r="LSK1513" s="879"/>
      <c r="LSL1513" s="879"/>
      <c r="LSM1513" s="879"/>
      <c r="LSN1513" s="879"/>
      <c r="LSO1513" s="879"/>
      <c r="LSP1513" s="879"/>
      <c r="LSQ1513" s="879"/>
      <c r="LSR1513" s="879"/>
      <c r="LSS1513" s="879"/>
      <c r="LST1513" s="879"/>
      <c r="LSU1513" s="879"/>
      <c r="LSV1513" s="879"/>
      <c r="LSW1513" s="879"/>
      <c r="LSX1513" s="879"/>
      <c r="LSY1513" s="879"/>
      <c r="LSZ1513" s="879"/>
      <c r="LTA1513" s="879"/>
      <c r="LTB1513" s="879"/>
      <c r="LTC1513" s="879"/>
      <c r="LTD1513" s="879"/>
      <c r="LTE1513" s="879"/>
      <c r="LTF1513" s="879"/>
      <c r="LTG1513" s="879"/>
      <c r="LTH1513" s="879"/>
      <c r="LTI1513" s="879"/>
      <c r="LTJ1513" s="879"/>
      <c r="LTK1513" s="879"/>
      <c r="LTL1513" s="879"/>
      <c r="LTM1513" s="879"/>
      <c r="LTN1513" s="879"/>
      <c r="LTO1513" s="879"/>
      <c r="LTP1513" s="879"/>
      <c r="LTQ1513" s="879"/>
      <c r="LTR1513" s="879"/>
      <c r="LTS1513" s="879"/>
      <c r="LTT1513" s="879"/>
      <c r="LTU1513" s="879"/>
      <c r="LTV1513" s="879"/>
      <c r="LTW1513" s="879"/>
      <c r="LTX1513" s="879"/>
      <c r="LTY1513" s="879"/>
      <c r="LTZ1513" s="879"/>
      <c r="LUA1513" s="879"/>
      <c r="LUB1513" s="879"/>
      <c r="LUC1513" s="879"/>
      <c r="LUD1513" s="879"/>
      <c r="LUE1513" s="879"/>
      <c r="LUF1513" s="879"/>
      <c r="LUG1513" s="879"/>
      <c r="LUH1513" s="879"/>
      <c r="LUI1513" s="879"/>
      <c r="LUJ1513" s="879"/>
      <c r="LUK1513" s="879"/>
      <c r="LUL1513" s="879"/>
      <c r="LUM1513" s="879"/>
      <c r="LUN1513" s="879"/>
      <c r="LUO1513" s="879"/>
      <c r="LUP1513" s="879"/>
      <c r="LUQ1513" s="879"/>
      <c r="LUR1513" s="879"/>
      <c r="LUS1513" s="879"/>
      <c r="LUT1513" s="879"/>
      <c r="LUU1513" s="879"/>
      <c r="LUV1513" s="879"/>
      <c r="LUW1513" s="879"/>
      <c r="LUX1513" s="879"/>
      <c r="LUY1513" s="879"/>
      <c r="LUZ1513" s="879"/>
      <c r="LVA1513" s="879"/>
      <c r="LVB1513" s="879"/>
      <c r="LVC1513" s="879"/>
      <c r="LVD1513" s="879"/>
      <c r="LVE1513" s="879"/>
      <c r="LVF1513" s="879"/>
      <c r="LVG1513" s="879"/>
      <c r="LVH1513" s="879"/>
      <c r="LVI1513" s="879"/>
      <c r="LVJ1513" s="879"/>
      <c r="LVK1513" s="879"/>
      <c r="LVL1513" s="879"/>
      <c r="LVM1513" s="879"/>
      <c r="LVN1513" s="879"/>
      <c r="LVO1513" s="879"/>
      <c r="LVP1513" s="879"/>
      <c r="LVQ1513" s="879"/>
      <c r="LVR1513" s="879"/>
      <c r="LVS1513" s="879"/>
      <c r="LVT1513" s="879"/>
      <c r="LVU1513" s="879"/>
      <c r="LVV1513" s="879"/>
      <c r="LVW1513" s="879"/>
      <c r="LVX1513" s="879"/>
      <c r="LVY1513" s="879"/>
      <c r="LVZ1513" s="879"/>
      <c r="LWA1513" s="879"/>
      <c r="LWB1513" s="879"/>
      <c r="LWC1513" s="879"/>
      <c r="LWD1513" s="879"/>
      <c r="LWE1513" s="879"/>
      <c r="LWF1513" s="879"/>
      <c r="LWG1513" s="879"/>
      <c r="LWH1513" s="879"/>
      <c r="LWI1513" s="879"/>
      <c r="LWJ1513" s="879"/>
      <c r="LWK1513" s="879"/>
      <c r="LWL1513" s="879"/>
      <c r="LWM1513" s="879"/>
      <c r="LWN1513" s="879"/>
      <c r="LWO1513" s="879"/>
      <c r="LWP1513" s="879"/>
      <c r="LWQ1513" s="879"/>
      <c r="LWR1513" s="879"/>
      <c r="LWS1513" s="879"/>
      <c r="LWT1513" s="879"/>
      <c r="LWU1513" s="879"/>
      <c r="LWV1513" s="879"/>
      <c r="LWW1513" s="879"/>
      <c r="LWX1513" s="879"/>
      <c r="LWY1513" s="879"/>
      <c r="LWZ1513" s="879"/>
      <c r="LXA1513" s="879"/>
      <c r="LXB1513" s="879"/>
      <c r="LXC1513" s="879"/>
      <c r="LXD1513" s="879"/>
      <c r="LXE1513" s="879"/>
      <c r="LXF1513" s="879"/>
      <c r="LXG1513" s="879"/>
      <c r="LXH1513" s="879"/>
      <c r="LXI1513" s="879"/>
      <c r="LXJ1513" s="879"/>
      <c r="LXK1513" s="879"/>
      <c r="LXL1513" s="879"/>
      <c r="LXM1513" s="879"/>
      <c r="LXN1513" s="879"/>
      <c r="LXO1513" s="879"/>
      <c r="LXP1513" s="879"/>
      <c r="LXQ1513" s="879"/>
      <c r="LXR1513" s="879"/>
      <c r="LXS1513" s="879"/>
      <c r="LXT1513" s="879"/>
      <c r="LXU1513" s="879"/>
      <c r="LXV1513" s="879"/>
      <c r="LXW1513" s="879"/>
      <c r="LXX1513" s="879"/>
      <c r="LXY1513" s="879"/>
      <c r="LXZ1513" s="879"/>
      <c r="LYA1513" s="879"/>
      <c r="LYB1513" s="879"/>
      <c r="LYC1513" s="879"/>
      <c r="LYD1513" s="879"/>
      <c r="LYE1513" s="879"/>
      <c r="LYF1513" s="879"/>
      <c r="LYG1513" s="879"/>
      <c r="LYH1513" s="879"/>
      <c r="LYI1513" s="879"/>
      <c r="LYJ1513" s="879"/>
      <c r="LYK1513" s="879"/>
      <c r="LYL1513" s="879"/>
      <c r="LYM1513" s="879"/>
      <c r="LYN1513" s="879"/>
      <c r="LYO1513" s="879"/>
      <c r="LYP1513" s="879"/>
      <c r="LYQ1513" s="879"/>
      <c r="LYR1513" s="879"/>
      <c r="LYS1513" s="879"/>
      <c r="LYT1513" s="879"/>
      <c r="LYU1513" s="879"/>
      <c r="LYV1513" s="879"/>
      <c r="LYW1513" s="879"/>
      <c r="LYX1513" s="879"/>
      <c r="LYY1513" s="879"/>
      <c r="LYZ1513" s="879"/>
      <c r="LZA1513" s="879"/>
      <c r="LZB1513" s="879"/>
      <c r="LZC1513" s="879"/>
      <c r="LZD1513" s="879"/>
      <c r="LZE1513" s="879"/>
      <c r="LZF1513" s="879"/>
      <c r="LZG1513" s="879"/>
      <c r="LZH1513" s="879"/>
      <c r="LZI1513" s="879"/>
      <c r="LZJ1513" s="879"/>
      <c r="LZK1513" s="879"/>
      <c r="LZL1513" s="879"/>
      <c r="LZM1513" s="879"/>
      <c r="LZN1513" s="879"/>
      <c r="LZO1513" s="879"/>
      <c r="LZP1513" s="879"/>
      <c r="LZQ1513" s="879"/>
      <c r="LZR1513" s="879"/>
      <c r="LZS1513" s="879"/>
      <c r="LZT1513" s="879"/>
      <c r="LZU1513" s="879"/>
      <c r="LZV1513" s="879"/>
      <c r="LZW1513" s="879"/>
      <c r="LZX1513" s="879"/>
      <c r="LZY1513" s="879"/>
      <c r="LZZ1513" s="879"/>
      <c r="MAA1513" s="879"/>
      <c r="MAB1513" s="879"/>
      <c r="MAC1513" s="879"/>
      <c r="MAD1513" s="879"/>
      <c r="MAE1513" s="879"/>
      <c r="MAF1513" s="879"/>
      <c r="MAG1513" s="879"/>
      <c r="MAH1513" s="879"/>
      <c r="MAI1513" s="879"/>
      <c r="MAJ1513" s="879"/>
      <c r="MAK1513" s="879"/>
      <c r="MAL1513" s="879"/>
      <c r="MAM1513" s="879"/>
      <c r="MAN1513" s="879"/>
      <c r="MAO1513" s="879"/>
      <c r="MAP1513" s="879"/>
      <c r="MAQ1513" s="879"/>
      <c r="MAR1513" s="879"/>
      <c r="MAS1513" s="879"/>
      <c r="MAT1513" s="879"/>
      <c r="MAU1513" s="879"/>
      <c r="MAV1513" s="879"/>
      <c r="MAW1513" s="879"/>
      <c r="MAX1513" s="879"/>
      <c r="MAY1513" s="879"/>
      <c r="MAZ1513" s="879"/>
      <c r="MBA1513" s="879"/>
      <c r="MBB1513" s="879"/>
      <c r="MBC1513" s="879"/>
      <c r="MBD1513" s="879"/>
      <c r="MBE1513" s="879"/>
      <c r="MBF1513" s="879"/>
      <c r="MBG1513" s="879"/>
      <c r="MBH1513" s="879"/>
      <c r="MBI1513" s="879"/>
      <c r="MBJ1513" s="879"/>
      <c r="MBK1513" s="879"/>
      <c r="MBL1513" s="879"/>
      <c r="MBM1513" s="879"/>
      <c r="MBN1513" s="879"/>
      <c r="MBO1513" s="879"/>
      <c r="MBP1513" s="879"/>
      <c r="MBQ1513" s="879"/>
      <c r="MBR1513" s="879"/>
      <c r="MBS1513" s="879"/>
      <c r="MBT1513" s="879"/>
      <c r="MBU1513" s="879"/>
      <c r="MBV1513" s="879"/>
      <c r="MBW1513" s="879"/>
      <c r="MBX1513" s="879"/>
      <c r="MBY1513" s="879"/>
      <c r="MBZ1513" s="879"/>
      <c r="MCA1513" s="879"/>
      <c r="MCB1513" s="879"/>
      <c r="MCC1513" s="879"/>
      <c r="MCD1513" s="879"/>
      <c r="MCE1513" s="879"/>
      <c r="MCF1513" s="879"/>
      <c r="MCG1513" s="879"/>
      <c r="MCH1513" s="879"/>
      <c r="MCI1513" s="879"/>
      <c r="MCJ1513" s="879"/>
      <c r="MCK1513" s="879"/>
      <c r="MCL1513" s="879"/>
      <c r="MCM1513" s="879"/>
      <c r="MCN1513" s="879"/>
      <c r="MCO1513" s="879"/>
      <c r="MCP1513" s="879"/>
      <c r="MCQ1513" s="879"/>
      <c r="MCR1513" s="879"/>
      <c r="MCS1513" s="879"/>
      <c r="MCT1513" s="879"/>
      <c r="MCU1513" s="879"/>
      <c r="MCV1513" s="879"/>
      <c r="MCW1513" s="879"/>
      <c r="MCX1513" s="879"/>
      <c r="MCY1513" s="879"/>
      <c r="MCZ1513" s="879"/>
      <c r="MDA1513" s="879"/>
      <c r="MDB1513" s="879"/>
      <c r="MDC1513" s="879"/>
      <c r="MDD1513" s="879"/>
      <c r="MDE1513" s="879"/>
      <c r="MDF1513" s="879"/>
      <c r="MDG1513" s="879"/>
      <c r="MDH1513" s="879"/>
      <c r="MDI1513" s="879"/>
      <c r="MDJ1513" s="879"/>
      <c r="MDK1513" s="879"/>
      <c r="MDL1513" s="879"/>
      <c r="MDM1513" s="879"/>
      <c r="MDN1513" s="879"/>
      <c r="MDO1513" s="879"/>
      <c r="MDP1513" s="879"/>
      <c r="MDQ1513" s="879"/>
      <c r="MDR1513" s="879"/>
      <c r="MDS1513" s="879"/>
      <c r="MDT1513" s="879"/>
      <c r="MDU1513" s="879"/>
      <c r="MDV1513" s="879"/>
      <c r="MDW1513" s="879"/>
      <c r="MDX1513" s="879"/>
      <c r="MDY1513" s="879"/>
      <c r="MDZ1513" s="879"/>
      <c r="MEA1513" s="879"/>
      <c r="MEB1513" s="879"/>
      <c r="MEC1513" s="879"/>
      <c r="MED1513" s="879"/>
      <c r="MEE1513" s="879"/>
      <c r="MEF1513" s="879"/>
      <c r="MEG1513" s="879"/>
      <c r="MEH1513" s="879"/>
      <c r="MEI1513" s="879"/>
      <c r="MEJ1513" s="879"/>
      <c r="MEK1513" s="879"/>
      <c r="MEL1513" s="879"/>
      <c r="MEM1513" s="879"/>
      <c r="MEN1513" s="879"/>
      <c r="MEO1513" s="879"/>
      <c r="MEP1513" s="879"/>
      <c r="MEQ1513" s="879"/>
      <c r="MER1513" s="879"/>
      <c r="MES1513" s="879"/>
      <c r="MET1513" s="879"/>
      <c r="MEU1513" s="879"/>
      <c r="MEV1513" s="879"/>
      <c r="MEW1513" s="879"/>
      <c r="MEX1513" s="879"/>
      <c r="MEY1513" s="879"/>
      <c r="MEZ1513" s="879"/>
      <c r="MFA1513" s="879"/>
      <c r="MFB1513" s="879"/>
      <c r="MFC1513" s="879"/>
      <c r="MFD1513" s="879"/>
      <c r="MFE1513" s="879"/>
      <c r="MFF1513" s="879"/>
      <c r="MFG1513" s="879"/>
      <c r="MFH1513" s="879"/>
      <c r="MFI1513" s="879"/>
      <c r="MFJ1513" s="879"/>
      <c r="MFK1513" s="879"/>
      <c r="MFL1513" s="879"/>
      <c r="MFM1513" s="879"/>
      <c r="MFN1513" s="879"/>
      <c r="MFO1513" s="879"/>
      <c r="MFP1513" s="879"/>
      <c r="MFQ1513" s="879"/>
      <c r="MFR1513" s="879"/>
      <c r="MFS1513" s="879"/>
      <c r="MFT1513" s="879"/>
      <c r="MFU1513" s="879"/>
      <c r="MFV1513" s="879"/>
      <c r="MFW1513" s="879"/>
      <c r="MFX1513" s="879"/>
      <c r="MFY1513" s="879"/>
      <c r="MFZ1513" s="879"/>
      <c r="MGA1513" s="879"/>
      <c r="MGB1513" s="879"/>
      <c r="MGC1513" s="879"/>
      <c r="MGD1513" s="879"/>
      <c r="MGE1513" s="879"/>
      <c r="MGF1513" s="879"/>
      <c r="MGG1513" s="879"/>
      <c r="MGH1513" s="879"/>
      <c r="MGI1513" s="879"/>
      <c r="MGJ1513" s="879"/>
      <c r="MGK1513" s="879"/>
      <c r="MGL1513" s="879"/>
      <c r="MGM1513" s="879"/>
      <c r="MGN1513" s="879"/>
      <c r="MGO1513" s="879"/>
      <c r="MGP1513" s="879"/>
      <c r="MGQ1513" s="879"/>
      <c r="MGR1513" s="879"/>
      <c r="MGS1513" s="879"/>
      <c r="MGT1513" s="879"/>
      <c r="MGU1513" s="879"/>
      <c r="MGV1513" s="879"/>
      <c r="MGW1513" s="879"/>
      <c r="MGX1513" s="879"/>
      <c r="MGY1513" s="879"/>
      <c r="MGZ1513" s="879"/>
      <c r="MHA1513" s="879"/>
      <c r="MHB1513" s="879"/>
      <c r="MHC1513" s="879"/>
      <c r="MHD1513" s="879"/>
      <c r="MHE1513" s="879"/>
      <c r="MHF1513" s="879"/>
      <c r="MHG1513" s="879"/>
      <c r="MHH1513" s="879"/>
      <c r="MHI1513" s="879"/>
      <c r="MHJ1513" s="879"/>
      <c r="MHK1513" s="879"/>
      <c r="MHL1513" s="879"/>
      <c r="MHM1513" s="879"/>
      <c r="MHN1513" s="879"/>
      <c r="MHO1513" s="879"/>
      <c r="MHP1513" s="879"/>
      <c r="MHQ1513" s="879"/>
      <c r="MHR1513" s="879"/>
      <c r="MHS1513" s="879"/>
      <c r="MHT1513" s="879"/>
      <c r="MHU1513" s="879"/>
      <c r="MHV1513" s="879"/>
      <c r="MHW1513" s="879"/>
      <c r="MHX1513" s="879"/>
      <c r="MHY1513" s="879"/>
      <c r="MHZ1513" s="879"/>
      <c r="MIA1513" s="879"/>
      <c r="MIB1513" s="879"/>
      <c r="MIC1513" s="879"/>
      <c r="MID1513" s="879"/>
      <c r="MIE1513" s="879"/>
      <c r="MIF1513" s="879"/>
      <c r="MIG1513" s="879"/>
      <c r="MIH1513" s="879"/>
      <c r="MII1513" s="879"/>
      <c r="MIJ1513" s="879"/>
      <c r="MIK1513" s="879"/>
      <c r="MIL1513" s="879"/>
      <c r="MIM1513" s="879"/>
      <c r="MIN1513" s="879"/>
      <c r="MIO1513" s="879"/>
      <c r="MIP1513" s="879"/>
      <c r="MIQ1513" s="879"/>
      <c r="MIR1513" s="879"/>
      <c r="MIS1513" s="879"/>
      <c r="MIT1513" s="879"/>
      <c r="MIU1513" s="879"/>
      <c r="MIV1513" s="879"/>
      <c r="MIW1513" s="879"/>
      <c r="MIX1513" s="879"/>
      <c r="MIY1513" s="879"/>
      <c r="MIZ1513" s="879"/>
      <c r="MJA1513" s="879"/>
      <c r="MJB1513" s="879"/>
      <c r="MJC1513" s="879"/>
      <c r="MJD1513" s="879"/>
      <c r="MJE1513" s="879"/>
      <c r="MJF1513" s="879"/>
      <c r="MJG1513" s="879"/>
      <c r="MJH1513" s="879"/>
      <c r="MJI1513" s="879"/>
      <c r="MJJ1513" s="879"/>
      <c r="MJK1513" s="879"/>
      <c r="MJL1513" s="879"/>
      <c r="MJM1513" s="879"/>
      <c r="MJN1513" s="879"/>
      <c r="MJO1513" s="879"/>
      <c r="MJP1513" s="879"/>
      <c r="MJQ1513" s="879"/>
      <c r="MJR1513" s="879"/>
      <c r="MJS1513" s="879"/>
      <c r="MJT1513" s="879"/>
      <c r="MJU1513" s="879"/>
      <c r="MJV1513" s="879"/>
      <c r="MJW1513" s="879"/>
      <c r="MJX1513" s="879"/>
      <c r="MJY1513" s="879"/>
      <c r="MJZ1513" s="879"/>
      <c r="MKA1513" s="879"/>
      <c r="MKB1513" s="879"/>
      <c r="MKC1513" s="879"/>
      <c r="MKD1513" s="879"/>
      <c r="MKE1513" s="879"/>
      <c r="MKF1513" s="879"/>
      <c r="MKG1513" s="879"/>
      <c r="MKH1513" s="879"/>
      <c r="MKI1513" s="879"/>
      <c r="MKJ1513" s="879"/>
      <c r="MKK1513" s="879"/>
      <c r="MKL1513" s="879"/>
      <c r="MKM1513" s="879"/>
      <c r="MKN1513" s="879"/>
      <c r="MKO1513" s="879"/>
      <c r="MKP1513" s="879"/>
      <c r="MKQ1513" s="879"/>
      <c r="MKR1513" s="879"/>
      <c r="MKS1513" s="879"/>
      <c r="MKT1513" s="879"/>
      <c r="MKU1513" s="879"/>
      <c r="MKV1513" s="879"/>
      <c r="MKW1513" s="879"/>
      <c r="MKX1513" s="879"/>
      <c r="MKY1513" s="879"/>
      <c r="MKZ1513" s="879"/>
      <c r="MLA1513" s="879"/>
      <c r="MLB1513" s="879"/>
      <c r="MLC1513" s="879"/>
      <c r="MLD1513" s="879"/>
      <c r="MLE1513" s="879"/>
      <c r="MLF1513" s="879"/>
      <c r="MLG1513" s="879"/>
      <c r="MLH1513" s="879"/>
      <c r="MLI1513" s="879"/>
      <c r="MLJ1513" s="879"/>
      <c r="MLK1513" s="879"/>
      <c r="MLL1513" s="879"/>
      <c r="MLM1513" s="879"/>
      <c r="MLN1513" s="879"/>
      <c r="MLO1513" s="879"/>
      <c r="MLP1513" s="879"/>
      <c r="MLQ1513" s="879"/>
      <c r="MLR1513" s="879"/>
      <c r="MLS1513" s="879"/>
      <c r="MLT1513" s="879"/>
      <c r="MLU1513" s="879"/>
      <c r="MLV1513" s="879"/>
      <c r="MLW1513" s="879"/>
      <c r="MLX1513" s="879"/>
      <c r="MLY1513" s="879"/>
      <c r="MLZ1513" s="879"/>
      <c r="MMA1513" s="879"/>
      <c r="MMB1513" s="879"/>
      <c r="MMC1513" s="879"/>
      <c r="MMD1513" s="879"/>
      <c r="MME1513" s="879"/>
      <c r="MMF1513" s="879"/>
      <c r="MMG1513" s="879"/>
      <c r="MMH1513" s="879"/>
      <c r="MMI1513" s="879"/>
      <c r="MMJ1513" s="879"/>
      <c r="MMK1513" s="879"/>
      <c r="MML1513" s="879"/>
      <c r="MMM1513" s="879"/>
      <c r="MMN1513" s="879"/>
      <c r="MMO1513" s="879"/>
      <c r="MMP1513" s="879"/>
      <c r="MMQ1513" s="879"/>
      <c r="MMR1513" s="879"/>
      <c r="MMS1513" s="879"/>
      <c r="MMT1513" s="879"/>
      <c r="MMU1513" s="879"/>
      <c r="MMV1513" s="879"/>
      <c r="MMW1513" s="879"/>
      <c r="MMX1513" s="879"/>
      <c r="MMY1513" s="879"/>
      <c r="MMZ1513" s="879"/>
      <c r="MNA1513" s="879"/>
      <c r="MNB1513" s="879"/>
      <c r="MNC1513" s="879"/>
      <c r="MND1513" s="879"/>
      <c r="MNE1513" s="879"/>
      <c r="MNF1513" s="879"/>
      <c r="MNG1513" s="879"/>
      <c r="MNH1513" s="879"/>
      <c r="MNI1513" s="879"/>
      <c r="MNJ1513" s="879"/>
      <c r="MNK1513" s="879"/>
      <c r="MNL1513" s="879"/>
      <c r="MNM1513" s="879"/>
      <c r="MNN1513" s="879"/>
      <c r="MNO1513" s="879"/>
      <c r="MNP1513" s="879"/>
      <c r="MNQ1513" s="879"/>
      <c r="MNR1513" s="879"/>
      <c r="MNS1513" s="879"/>
      <c r="MNT1513" s="879"/>
      <c r="MNU1513" s="879"/>
      <c r="MNV1513" s="879"/>
      <c r="MNW1513" s="879"/>
      <c r="MNX1513" s="879"/>
      <c r="MNY1513" s="879"/>
      <c r="MNZ1513" s="879"/>
      <c r="MOA1513" s="879"/>
      <c r="MOB1513" s="879"/>
      <c r="MOC1513" s="879"/>
      <c r="MOD1513" s="879"/>
      <c r="MOE1513" s="879"/>
      <c r="MOF1513" s="879"/>
      <c r="MOG1513" s="879"/>
      <c r="MOH1513" s="879"/>
      <c r="MOI1513" s="879"/>
      <c r="MOJ1513" s="879"/>
      <c r="MOK1513" s="879"/>
      <c r="MOL1513" s="879"/>
      <c r="MOM1513" s="879"/>
      <c r="MON1513" s="879"/>
      <c r="MOO1513" s="879"/>
      <c r="MOP1513" s="879"/>
      <c r="MOQ1513" s="879"/>
      <c r="MOR1513" s="879"/>
      <c r="MOS1513" s="879"/>
      <c r="MOT1513" s="879"/>
      <c r="MOU1513" s="879"/>
      <c r="MOV1513" s="879"/>
      <c r="MOW1513" s="879"/>
      <c r="MOX1513" s="879"/>
      <c r="MOY1513" s="879"/>
      <c r="MOZ1513" s="879"/>
      <c r="MPA1513" s="879"/>
      <c r="MPB1513" s="879"/>
      <c r="MPC1513" s="879"/>
      <c r="MPD1513" s="879"/>
      <c r="MPE1513" s="879"/>
      <c r="MPF1513" s="879"/>
      <c r="MPG1513" s="879"/>
      <c r="MPH1513" s="879"/>
      <c r="MPI1513" s="879"/>
      <c r="MPJ1513" s="879"/>
      <c r="MPK1513" s="879"/>
      <c r="MPL1513" s="879"/>
      <c r="MPM1513" s="879"/>
      <c r="MPN1513" s="879"/>
      <c r="MPO1513" s="879"/>
      <c r="MPP1513" s="879"/>
      <c r="MPQ1513" s="879"/>
      <c r="MPR1513" s="879"/>
      <c r="MPS1513" s="879"/>
      <c r="MPT1513" s="879"/>
      <c r="MPU1513" s="879"/>
      <c r="MPV1513" s="879"/>
      <c r="MPW1513" s="879"/>
      <c r="MPX1513" s="879"/>
      <c r="MPY1513" s="879"/>
      <c r="MPZ1513" s="879"/>
      <c r="MQA1513" s="879"/>
      <c r="MQB1513" s="879"/>
      <c r="MQC1513" s="879"/>
      <c r="MQD1513" s="879"/>
      <c r="MQE1513" s="879"/>
      <c r="MQF1513" s="879"/>
      <c r="MQG1513" s="879"/>
      <c r="MQH1513" s="879"/>
      <c r="MQI1513" s="879"/>
      <c r="MQJ1513" s="879"/>
      <c r="MQK1513" s="879"/>
      <c r="MQL1513" s="879"/>
      <c r="MQM1513" s="879"/>
      <c r="MQN1513" s="879"/>
      <c r="MQO1513" s="879"/>
      <c r="MQP1513" s="879"/>
      <c r="MQQ1513" s="879"/>
      <c r="MQR1513" s="879"/>
      <c r="MQS1513" s="879"/>
      <c r="MQT1513" s="879"/>
      <c r="MQU1513" s="879"/>
      <c r="MQV1513" s="879"/>
      <c r="MQW1513" s="879"/>
      <c r="MQX1513" s="879"/>
      <c r="MQY1513" s="879"/>
      <c r="MQZ1513" s="879"/>
      <c r="MRA1513" s="879"/>
      <c r="MRB1513" s="879"/>
      <c r="MRC1513" s="879"/>
      <c r="MRD1513" s="879"/>
      <c r="MRE1513" s="879"/>
      <c r="MRF1513" s="879"/>
      <c r="MRG1513" s="879"/>
      <c r="MRH1513" s="879"/>
      <c r="MRI1513" s="879"/>
      <c r="MRJ1513" s="879"/>
      <c r="MRK1513" s="879"/>
      <c r="MRL1513" s="879"/>
      <c r="MRM1513" s="879"/>
      <c r="MRN1513" s="879"/>
      <c r="MRO1513" s="879"/>
      <c r="MRP1513" s="879"/>
      <c r="MRQ1513" s="879"/>
      <c r="MRR1513" s="879"/>
      <c r="MRS1513" s="879"/>
      <c r="MRT1513" s="879"/>
      <c r="MRU1513" s="879"/>
      <c r="MRV1513" s="879"/>
      <c r="MRW1513" s="879"/>
      <c r="MRX1513" s="879"/>
      <c r="MRY1513" s="879"/>
      <c r="MRZ1513" s="879"/>
      <c r="MSA1513" s="879"/>
      <c r="MSB1513" s="879"/>
      <c r="MSC1513" s="879"/>
      <c r="MSD1513" s="879"/>
      <c r="MSE1513" s="879"/>
      <c r="MSF1513" s="879"/>
      <c r="MSG1513" s="879"/>
      <c r="MSH1513" s="879"/>
      <c r="MSI1513" s="879"/>
      <c r="MSJ1513" s="879"/>
      <c r="MSK1513" s="879"/>
      <c r="MSL1513" s="879"/>
      <c r="MSM1513" s="879"/>
      <c r="MSN1513" s="879"/>
      <c r="MSO1513" s="879"/>
      <c r="MSP1513" s="879"/>
      <c r="MSQ1513" s="879"/>
      <c r="MSR1513" s="879"/>
      <c r="MSS1513" s="879"/>
      <c r="MST1513" s="879"/>
      <c r="MSU1513" s="879"/>
      <c r="MSV1513" s="879"/>
      <c r="MSW1513" s="879"/>
      <c r="MSX1513" s="879"/>
      <c r="MSY1513" s="879"/>
      <c r="MSZ1513" s="879"/>
      <c r="MTA1513" s="879"/>
      <c r="MTB1513" s="879"/>
      <c r="MTC1513" s="879"/>
      <c r="MTD1513" s="879"/>
      <c r="MTE1513" s="879"/>
      <c r="MTF1513" s="879"/>
      <c r="MTG1513" s="879"/>
      <c r="MTH1513" s="879"/>
      <c r="MTI1513" s="879"/>
      <c r="MTJ1513" s="879"/>
      <c r="MTK1513" s="879"/>
      <c r="MTL1513" s="879"/>
      <c r="MTM1513" s="879"/>
      <c r="MTN1513" s="879"/>
      <c r="MTO1513" s="879"/>
      <c r="MTP1513" s="879"/>
      <c r="MTQ1513" s="879"/>
      <c r="MTR1513" s="879"/>
      <c r="MTS1513" s="879"/>
      <c r="MTT1513" s="879"/>
      <c r="MTU1513" s="879"/>
      <c r="MTV1513" s="879"/>
      <c r="MTW1513" s="879"/>
      <c r="MTX1513" s="879"/>
      <c r="MTY1513" s="879"/>
      <c r="MTZ1513" s="879"/>
      <c r="MUA1513" s="879"/>
      <c r="MUB1513" s="879"/>
      <c r="MUC1513" s="879"/>
      <c r="MUD1513" s="879"/>
      <c r="MUE1513" s="879"/>
      <c r="MUF1513" s="879"/>
      <c r="MUG1513" s="879"/>
      <c r="MUH1513" s="879"/>
      <c r="MUI1513" s="879"/>
      <c r="MUJ1513" s="879"/>
      <c r="MUK1513" s="879"/>
      <c r="MUL1513" s="879"/>
      <c r="MUM1513" s="879"/>
      <c r="MUN1513" s="879"/>
      <c r="MUO1513" s="879"/>
      <c r="MUP1513" s="879"/>
      <c r="MUQ1513" s="879"/>
      <c r="MUR1513" s="879"/>
      <c r="MUS1513" s="879"/>
      <c r="MUT1513" s="879"/>
      <c r="MUU1513" s="879"/>
      <c r="MUV1513" s="879"/>
      <c r="MUW1513" s="879"/>
      <c r="MUX1513" s="879"/>
      <c r="MUY1513" s="879"/>
      <c r="MUZ1513" s="879"/>
      <c r="MVA1513" s="879"/>
      <c r="MVB1513" s="879"/>
      <c r="MVC1513" s="879"/>
      <c r="MVD1513" s="879"/>
      <c r="MVE1513" s="879"/>
      <c r="MVF1513" s="879"/>
      <c r="MVG1513" s="879"/>
      <c r="MVH1513" s="879"/>
      <c r="MVI1513" s="879"/>
      <c r="MVJ1513" s="879"/>
      <c r="MVK1513" s="879"/>
      <c r="MVL1513" s="879"/>
      <c r="MVM1513" s="879"/>
      <c r="MVN1513" s="879"/>
      <c r="MVO1513" s="879"/>
      <c r="MVP1513" s="879"/>
      <c r="MVQ1513" s="879"/>
      <c r="MVR1513" s="879"/>
      <c r="MVS1513" s="879"/>
      <c r="MVT1513" s="879"/>
      <c r="MVU1513" s="879"/>
      <c r="MVV1513" s="879"/>
      <c r="MVW1513" s="879"/>
      <c r="MVX1513" s="879"/>
      <c r="MVY1513" s="879"/>
      <c r="MVZ1513" s="879"/>
      <c r="MWA1513" s="879"/>
      <c r="MWB1513" s="879"/>
      <c r="MWC1513" s="879"/>
      <c r="MWD1513" s="879"/>
      <c r="MWE1513" s="879"/>
      <c r="MWF1513" s="879"/>
      <c r="MWG1513" s="879"/>
      <c r="MWH1513" s="879"/>
      <c r="MWI1513" s="879"/>
      <c r="MWJ1513" s="879"/>
      <c r="MWK1513" s="879"/>
      <c r="MWL1513" s="879"/>
      <c r="MWM1513" s="879"/>
      <c r="MWN1513" s="879"/>
      <c r="MWO1513" s="879"/>
      <c r="MWP1513" s="879"/>
      <c r="MWQ1513" s="879"/>
      <c r="MWR1513" s="879"/>
      <c r="MWS1513" s="879"/>
      <c r="MWT1513" s="879"/>
      <c r="MWU1513" s="879"/>
      <c r="MWV1513" s="879"/>
      <c r="MWW1513" s="879"/>
      <c r="MWX1513" s="879"/>
      <c r="MWY1513" s="879"/>
      <c r="MWZ1513" s="879"/>
      <c r="MXA1513" s="879"/>
      <c r="MXB1513" s="879"/>
      <c r="MXC1513" s="879"/>
      <c r="MXD1513" s="879"/>
      <c r="MXE1513" s="879"/>
      <c r="MXF1513" s="879"/>
      <c r="MXG1513" s="879"/>
      <c r="MXH1513" s="879"/>
      <c r="MXI1513" s="879"/>
      <c r="MXJ1513" s="879"/>
      <c r="MXK1513" s="879"/>
      <c r="MXL1513" s="879"/>
      <c r="MXM1513" s="879"/>
      <c r="MXN1513" s="879"/>
      <c r="MXO1513" s="879"/>
      <c r="MXP1513" s="879"/>
      <c r="MXQ1513" s="879"/>
      <c r="MXR1513" s="879"/>
      <c r="MXS1513" s="879"/>
      <c r="MXT1513" s="879"/>
      <c r="MXU1513" s="879"/>
      <c r="MXV1513" s="879"/>
      <c r="MXW1513" s="879"/>
      <c r="MXX1513" s="879"/>
      <c r="MXY1513" s="879"/>
      <c r="MXZ1513" s="879"/>
      <c r="MYA1513" s="879"/>
      <c r="MYB1513" s="879"/>
      <c r="MYC1513" s="879"/>
      <c r="MYD1513" s="879"/>
      <c r="MYE1513" s="879"/>
      <c r="MYF1513" s="879"/>
      <c r="MYG1513" s="879"/>
      <c r="MYH1513" s="879"/>
      <c r="MYI1513" s="879"/>
      <c r="MYJ1513" s="879"/>
      <c r="MYK1513" s="879"/>
      <c r="MYL1513" s="879"/>
      <c r="MYM1513" s="879"/>
      <c r="MYN1513" s="879"/>
      <c r="MYO1513" s="879"/>
      <c r="MYP1513" s="879"/>
      <c r="MYQ1513" s="879"/>
      <c r="MYR1513" s="879"/>
      <c r="MYS1513" s="879"/>
      <c r="MYT1513" s="879"/>
      <c r="MYU1513" s="879"/>
      <c r="MYV1513" s="879"/>
      <c r="MYW1513" s="879"/>
      <c r="MYX1513" s="879"/>
      <c r="MYY1513" s="879"/>
      <c r="MYZ1513" s="879"/>
      <c r="MZA1513" s="879"/>
      <c r="MZB1513" s="879"/>
      <c r="MZC1513" s="879"/>
      <c r="MZD1513" s="879"/>
      <c r="MZE1513" s="879"/>
      <c r="MZF1513" s="879"/>
      <c r="MZG1513" s="879"/>
      <c r="MZH1513" s="879"/>
      <c r="MZI1513" s="879"/>
      <c r="MZJ1513" s="879"/>
      <c r="MZK1513" s="879"/>
      <c r="MZL1513" s="879"/>
      <c r="MZM1513" s="879"/>
      <c r="MZN1513" s="879"/>
      <c r="MZO1513" s="879"/>
      <c r="MZP1513" s="879"/>
      <c r="MZQ1513" s="879"/>
      <c r="MZR1513" s="879"/>
      <c r="MZS1513" s="879"/>
      <c r="MZT1513" s="879"/>
      <c r="MZU1513" s="879"/>
      <c r="MZV1513" s="879"/>
      <c r="MZW1513" s="879"/>
      <c r="MZX1513" s="879"/>
      <c r="MZY1513" s="879"/>
      <c r="MZZ1513" s="879"/>
      <c r="NAA1513" s="879"/>
      <c r="NAB1513" s="879"/>
      <c r="NAC1513" s="879"/>
      <c r="NAD1513" s="879"/>
      <c r="NAE1513" s="879"/>
      <c r="NAF1513" s="879"/>
      <c r="NAG1513" s="879"/>
      <c r="NAH1513" s="879"/>
      <c r="NAI1513" s="879"/>
      <c r="NAJ1513" s="879"/>
      <c r="NAK1513" s="879"/>
      <c r="NAL1513" s="879"/>
      <c r="NAM1513" s="879"/>
      <c r="NAN1513" s="879"/>
      <c r="NAO1513" s="879"/>
      <c r="NAP1513" s="879"/>
      <c r="NAQ1513" s="879"/>
      <c r="NAR1513" s="879"/>
      <c r="NAS1513" s="879"/>
      <c r="NAT1513" s="879"/>
      <c r="NAU1513" s="879"/>
      <c r="NAV1513" s="879"/>
      <c r="NAW1513" s="879"/>
      <c r="NAX1513" s="879"/>
      <c r="NAY1513" s="879"/>
      <c r="NAZ1513" s="879"/>
      <c r="NBA1513" s="879"/>
      <c r="NBB1513" s="879"/>
      <c r="NBC1513" s="879"/>
      <c r="NBD1513" s="879"/>
      <c r="NBE1513" s="879"/>
      <c r="NBF1513" s="879"/>
      <c r="NBG1513" s="879"/>
      <c r="NBH1513" s="879"/>
      <c r="NBI1513" s="879"/>
      <c r="NBJ1513" s="879"/>
      <c r="NBK1513" s="879"/>
      <c r="NBL1513" s="879"/>
      <c r="NBM1513" s="879"/>
      <c r="NBN1513" s="879"/>
      <c r="NBO1513" s="879"/>
      <c r="NBP1513" s="879"/>
      <c r="NBQ1513" s="879"/>
      <c r="NBR1513" s="879"/>
      <c r="NBS1513" s="879"/>
      <c r="NBT1513" s="879"/>
      <c r="NBU1513" s="879"/>
      <c r="NBV1513" s="879"/>
      <c r="NBW1513" s="879"/>
      <c r="NBX1513" s="879"/>
      <c r="NBY1513" s="879"/>
      <c r="NBZ1513" s="879"/>
      <c r="NCA1513" s="879"/>
      <c r="NCB1513" s="879"/>
      <c r="NCC1513" s="879"/>
      <c r="NCD1513" s="879"/>
      <c r="NCE1513" s="879"/>
      <c r="NCF1513" s="879"/>
      <c r="NCG1513" s="879"/>
      <c r="NCH1513" s="879"/>
      <c r="NCI1513" s="879"/>
      <c r="NCJ1513" s="879"/>
      <c r="NCK1513" s="879"/>
      <c r="NCL1513" s="879"/>
      <c r="NCM1513" s="879"/>
      <c r="NCN1513" s="879"/>
      <c r="NCO1513" s="879"/>
      <c r="NCP1513" s="879"/>
      <c r="NCQ1513" s="879"/>
      <c r="NCR1513" s="879"/>
      <c r="NCS1513" s="879"/>
      <c r="NCT1513" s="879"/>
      <c r="NCU1513" s="879"/>
      <c r="NCV1513" s="879"/>
      <c r="NCW1513" s="879"/>
      <c r="NCX1513" s="879"/>
      <c r="NCY1513" s="879"/>
      <c r="NCZ1513" s="879"/>
      <c r="NDA1513" s="879"/>
      <c r="NDB1513" s="879"/>
      <c r="NDC1513" s="879"/>
      <c r="NDD1513" s="879"/>
      <c r="NDE1513" s="879"/>
      <c r="NDF1513" s="879"/>
      <c r="NDG1513" s="879"/>
      <c r="NDH1513" s="879"/>
      <c r="NDI1513" s="879"/>
      <c r="NDJ1513" s="879"/>
      <c r="NDK1513" s="879"/>
      <c r="NDL1513" s="879"/>
      <c r="NDM1513" s="879"/>
      <c r="NDN1513" s="879"/>
      <c r="NDO1513" s="879"/>
      <c r="NDP1513" s="879"/>
      <c r="NDQ1513" s="879"/>
      <c r="NDR1513" s="879"/>
      <c r="NDS1513" s="879"/>
      <c r="NDT1513" s="879"/>
      <c r="NDU1513" s="879"/>
      <c r="NDV1513" s="879"/>
      <c r="NDW1513" s="879"/>
      <c r="NDX1513" s="879"/>
      <c r="NDY1513" s="879"/>
      <c r="NDZ1513" s="879"/>
      <c r="NEA1513" s="879"/>
      <c r="NEB1513" s="879"/>
      <c r="NEC1513" s="879"/>
      <c r="NED1513" s="879"/>
      <c r="NEE1513" s="879"/>
      <c r="NEF1513" s="879"/>
      <c r="NEG1513" s="879"/>
      <c r="NEH1513" s="879"/>
      <c r="NEI1513" s="879"/>
      <c r="NEJ1513" s="879"/>
      <c r="NEK1513" s="879"/>
      <c r="NEL1513" s="879"/>
      <c r="NEM1513" s="879"/>
      <c r="NEN1513" s="879"/>
      <c r="NEO1513" s="879"/>
      <c r="NEP1513" s="879"/>
      <c r="NEQ1513" s="879"/>
      <c r="NER1513" s="879"/>
      <c r="NES1513" s="879"/>
      <c r="NET1513" s="879"/>
      <c r="NEU1513" s="879"/>
      <c r="NEV1513" s="879"/>
      <c r="NEW1513" s="879"/>
      <c r="NEX1513" s="879"/>
      <c r="NEY1513" s="879"/>
      <c r="NEZ1513" s="879"/>
      <c r="NFA1513" s="879"/>
      <c r="NFB1513" s="879"/>
      <c r="NFC1513" s="879"/>
      <c r="NFD1513" s="879"/>
      <c r="NFE1513" s="879"/>
      <c r="NFF1513" s="879"/>
      <c r="NFG1513" s="879"/>
      <c r="NFH1513" s="879"/>
      <c r="NFI1513" s="879"/>
      <c r="NFJ1513" s="879"/>
      <c r="NFK1513" s="879"/>
      <c r="NFL1513" s="879"/>
      <c r="NFM1513" s="879"/>
      <c r="NFN1513" s="879"/>
      <c r="NFO1513" s="879"/>
      <c r="NFP1513" s="879"/>
      <c r="NFQ1513" s="879"/>
      <c r="NFR1513" s="879"/>
      <c r="NFS1513" s="879"/>
      <c r="NFT1513" s="879"/>
      <c r="NFU1513" s="879"/>
      <c r="NFV1513" s="879"/>
      <c r="NFW1513" s="879"/>
      <c r="NFX1513" s="879"/>
      <c r="NFY1513" s="879"/>
      <c r="NFZ1513" s="879"/>
      <c r="NGA1513" s="879"/>
      <c r="NGB1513" s="879"/>
      <c r="NGC1513" s="879"/>
      <c r="NGD1513" s="879"/>
      <c r="NGE1513" s="879"/>
      <c r="NGF1513" s="879"/>
      <c r="NGG1513" s="879"/>
      <c r="NGH1513" s="879"/>
      <c r="NGI1513" s="879"/>
      <c r="NGJ1513" s="879"/>
      <c r="NGK1513" s="879"/>
      <c r="NGL1513" s="879"/>
      <c r="NGM1513" s="879"/>
      <c r="NGN1513" s="879"/>
      <c r="NGO1513" s="879"/>
      <c r="NGP1513" s="879"/>
      <c r="NGQ1513" s="879"/>
      <c r="NGR1513" s="879"/>
      <c r="NGS1513" s="879"/>
      <c r="NGT1513" s="879"/>
      <c r="NGU1513" s="879"/>
      <c r="NGV1513" s="879"/>
      <c r="NGW1513" s="879"/>
      <c r="NGX1513" s="879"/>
      <c r="NGY1513" s="879"/>
      <c r="NGZ1513" s="879"/>
      <c r="NHA1513" s="879"/>
      <c r="NHB1513" s="879"/>
      <c r="NHC1513" s="879"/>
      <c r="NHD1513" s="879"/>
      <c r="NHE1513" s="879"/>
      <c r="NHF1513" s="879"/>
      <c r="NHG1513" s="879"/>
      <c r="NHH1513" s="879"/>
      <c r="NHI1513" s="879"/>
      <c r="NHJ1513" s="879"/>
      <c r="NHK1513" s="879"/>
      <c r="NHL1513" s="879"/>
      <c r="NHM1513" s="879"/>
      <c r="NHN1513" s="879"/>
      <c r="NHO1513" s="879"/>
      <c r="NHP1513" s="879"/>
      <c r="NHQ1513" s="879"/>
      <c r="NHR1513" s="879"/>
      <c r="NHS1513" s="879"/>
      <c r="NHT1513" s="879"/>
      <c r="NHU1513" s="879"/>
      <c r="NHV1513" s="879"/>
      <c r="NHW1513" s="879"/>
      <c r="NHX1513" s="879"/>
      <c r="NHY1513" s="879"/>
      <c r="NHZ1513" s="879"/>
      <c r="NIA1513" s="879"/>
      <c r="NIB1513" s="879"/>
      <c r="NIC1513" s="879"/>
      <c r="NID1513" s="879"/>
      <c r="NIE1513" s="879"/>
      <c r="NIF1513" s="879"/>
      <c r="NIG1513" s="879"/>
      <c r="NIH1513" s="879"/>
      <c r="NII1513" s="879"/>
      <c r="NIJ1513" s="879"/>
      <c r="NIK1513" s="879"/>
      <c r="NIL1513" s="879"/>
      <c r="NIM1513" s="879"/>
      <c r="NIN1513" s="879"/>
      <c r="NIO1513" s="879"/>
      <c r="NIP1513" s="879"/>
      <c r="NIQ1513" s="879"/>
      <c r="NIR1513" s="879"/>
      <c r="NIS1513" s="879"/>
      <c r="NIT1513" s="879"/>
      <c r="NIU1513" s="879"/>
      <c r="NIV1513" s="879"/>
      <c r="NIW1513" s="879"/>
      <c r="NIX1513" s="879"/>
      <c r="NIY1513" s="879"/>
      <c r="NIZ1513" s="879"/>
      <c r="NJA1513" s="879"/>
      <c r="NJB1513" s="879"/>
      <c r="NJC1513" s="879"/>
      <c r="NJD1513" s="879"/>
      <c r="NJE1513" s="879"/>
      <c r="NJF1513" s="879"/>
      <c r="NJG1513" s="879"/>
      <c r="NJH1513" s="879"/>
      <c r="NJI1513" s="879"/>
      <c r="NJJ1513" s="879"/>
      <c r="NJK1513" s="879"/>
      <c r="NJL1513" s="879"/>
      <c r="NJM1513" s="879"/>
      <c r="NJN1513" s="879"/>
      <c r="NJO1513" s="879"/>
      <c r="NJP1513" s="879"/>
      <c r="NJQ1513" s="879"/>
      <c r="NJR1513" s="879"/>
      <c r="NJS1513" s="879"/>
      <c r="NJT1513" s="879"/>
      <c r="NJU1513" s="879"/>
      <c r="NJV1513" s="879"/>
      <c r="NJW1513" s="879"/>
      <c r="NJX1513" s="879"/>
      <c r="NJY1513" s="879"/>
      <c r="NJZ1513" s="879"/>
      <c r="NKA1513" s="879"/>
      <c r="NKB1513" s="879"/>
      <c r="NKC1513" s="879"/>
      <c r="NKD1513" s="879"/>
      <c r="NKE1513" s="879"/>
      <c r="NKF1513" s="879"/>
      <c r="NKG1513" s="879"/>
      <c r="NKH1513" s="879"/>
      <c r="NKI1513" s="879"/>
      <c r="NKJ1513" s="879"/>
      <c r="NKK1513" s="879"/>
      <c r="NKL1513" s="879"/>
      <c r="NKM1513" s="879"/>
      <c r="NKN1513" s="879"/>
      <c r="NKO1513" s="879"/>
      <c r="NKP1513" s="879"/>
      <c r="NKQ1513" s="879"/>
      <c r="NKR1513" s="879"/>
      <c r="NKS1513" s="879"/>
      <c r="NKT1513" s="879"/>
      <c r="NKU1513" s="879"/>
      <c r="NKV1513" s="879"/>
      <c r="NKW1513" s="879"/>
      <c r="NKX1513" s="879"/>
      <c r="NKY1513" s="879"/>
      <c r="NKZ1513" s="879"/>
      <c r="NLA1513" s="879"/>
      <c r="NLB1513" s="879"/>
      <c r="NLC1513" s="879"/>
      <c r="NLD1513" s="879"/>
      <c r="NLE1513" s="879"/>
      <c r="NLF1513" s="879"/>
      <c r="NLG1513" s="879"/>
      <c r="NLH1513" s="879"/>
      <c r="NLI1513" s="879"/>
      <c r="NLJ1513" s="879"/>
      <c r="NLK1513" s="879"/>
      <c r="NLL1513" s="879"/>
      <c r="NLM1513" s="879"/>
      <c r="NLN1513" s="879"/>
      <c r="NLO1513" s="879"/>
      <c r="NLP1513" s="879"/>
      <c r="NLQ1513" s="879"/>
      <c r="NLR1513" s="879"/>
      <c r="NLS1513" s="879"/>
      <c r="NLT1513" s="879"/>
      <c r="NLU1513" s="879"/>
      <c r="NLV1513" s="879"/>
      <c r="NLW1513" s="879"/>
      <c r="NLX1513" s="879"/>
      <c r="NLY1513" s="879"/>
      <c r="NLZ1513" s="879"/>
      <c r="NMA1513" s="879"/>
      <c r="NMB1513" s="879"/>
      <c r="NMC1513" s="879"/>
      <c r="NMD1513" s="879"/>
      <c r="NME1513" s="879"/>
      <c r="NMF1513" s="879"/>
      <c r="NMG1513" s="879"/>
      <c r="NMH1513" s="879"/>
      <c r="NMI1513" s="879"/>
      <c r="NMJ1513" s="879"/>
      <c r="NMK1513" s="879"/>
      <c r="NML1513" s="879"/>
      <c r="NMM1513" s="879"/>
      <c r="NMN1513" s="879"/>
      <c r="NMO1513" s="879"/>
      <c r="NMP1513" s="879"/>
      <c r="NMQ1513" s="879"/>
      <c r="NMR1513" s="879"/>
      <c r="NMS1513" s="879"/>
      <c r="NMT1513" s="879"/>
      <c r="NMU1513" s="879"/>
      <c r="NMV1513" s="879"/>
      <c r="NMW1513" s="879"/>
      <c r="NMX1513" s="879"/>
      <c r="NMY1513" s="879"/>
      <c r="NMZ1513" s="879"/>
      <c r="NNA1513" s="879"/>
      <c r="NNB1513" s="879"/>
      <c r="NNC1513" s="879"/>
      <c r="NND1513" s="879"/>
      <c r="NNE1513" s="879"/>
      <c r="NNF1513" s="879"/>
      <c r="NNG1513" s="879"/>
      <c r="NNH1513" s="879"/>
      <c r="NNI1513" s="879"/>
      <c r="NNJ1513" s="879"/>
      <c r="NNK1513" s="879"/>
      <c r="NNL1513" s="879"/>
      <c r="NNM1513" s="879"/>
      <c r="NNN1513" s="879"/>
      <c r="NNO1513" s="879"/>
      <c r="NNP1513" s="879"/>
      <c r="NNQ1513" s="879"/>
      <c r="NNR1513" s="879"/>
      <c r="NNS1513" s="879"/>
      <c r="NNT1513" s="879"/>
      <c r="NNU1513" s="879"/>
      <c r="NNV1513" s="879"/>
      <c r="NNW1513" s="879"/>
      <c r="NNX1513" s="879"/>
      <c r="NNY1513" s="879"/>
      <c r="NNZ1513" s="879"/>
      <c r="NOA1513" s="879"/>
      <c r="NOB1513" s="879"/>
      <c r="NOC1513" s="879"/>
      <c r="NOD1513" s="879"/>
      <c r="NOE1513" s="879"/>
      <c r="NOF1513" s="879"/>
      <c r="NOG1513" s="879"/>
      <c r="NOH1513" s="879"/>
      <c r="NOI1513" s="879"/>
      <c r="NOJ1513" s="879"/>
      <c r="NOK1513" s="879"/>
      <c r="NOL1513" s="879"/>
      <c r="NOM1513" s="879"/>
      <c r="NON1513" s="879"/>
      <c r="NOO1513" s="879"/>
      <c r="NOP1513" s="879"/>
      <c r="NOQ1513" s="879"/>
      <c r="NOR1513" s="879"/>
      <c r="NOS1513" s="879"/>
      <c r="NOT1513" s="879"/>
      <c r="NOU1513" s="879"/>
      <c r="NOV1513" s="879"/>
      <c r="NOW1513" s="879"/>
      <c r="NOX1513" s="879"/>
      <c r="NOY1513" s="879"/>
      <c r="NOZ1513" s="879"/>
      <c r="NPA1513" s="879"/>
      <c r="NPB1513" s="879"/>
      <c r="NPC1513" s="879"/>
      <c r="NPD1513" s="879"/>
      <c r="NPE1513" s="879"/>
      <c r="NPF1513" s="879"/>
      <c r="NPG1513" s="879"/>
      <c r="NPH1513" s="879"/>
      <c r="NPI1513" s="879"/>
      <c r="NPJ1513" s="879"/>
      <c r="NPK1513" s="879"/>
      <c r="NPL1513" s="879"/>
      <c r="NPM1513" s="879"/>
      <c r="NPN1513" s="879"/>
      <c r="NPO1513" s="879"/>
      <c r="NPP1513" s="879"/>
      <c r="NPQ1513" s="879"/>
      <c r="NPR1513" s="879"/>
      <c r="NPS1513" s="879"/>
      <c r="NPT1513" s="879"/>
      <c r="NPU1513" s="879"/>
      <c r="NPV1513" s="879"/>
      <c r="NPW1513" s="879"/>
      <c r="NPX1513" s="879"/>
      <c r="NPY1513" s="879"/>
      <c r="NPZ1513" s="879"/>
      <c r="NQA1513" s="879"/>
      <c r="NQB1513" s="879"/>
      <c r="NQC1513" s="879"/>
      <c r="NQD1513" s="879"/>
      <c r="NQE1513" s="879"/>
      <c r="NQF1513" s="879"/>
      <c r="NQG1513" s="879"/>
      <c r="NQH1513" s="879"/>
      <c r="NQI1513" s="879"/>
      <c r="NQJ1513" s="879"/>
      <c r="NQK1513" s="879"/>
      <c r="NQL1513" s="879"/>
      <c r="NQM1513" s="879"/>
      <c r="NQN1513" s="879"/>
      <c r="NQO1513" s="879"/>
      <c r="NQP1513" s="879"/>
      <c r="NQQ1513" s="879"/>
      <c r="NQR1513" s="879"/>
      <c r="NQS1513" s="879"/>
      <c r="NQT1513" s="879"/>
      <c r="NQU1513" s="879"/>
      <c r="NQV1513" s="879"/>
      <c r="NQW1513" s="879"/>
      <c r="NQX1513" s="879"/>
      <c r="NQY1513" s="879"/>
      <c r="NQZ1513" s="879"/>
      <c r="NRA1513" s="879"/>
      <c r="NRB1513" s="879"/>
      <c r="NRC1513" s="879"/>
      <c r="NRD1513" s="879"/>
      <c r="NRE1513" s="879"/>
      <c r="NRF1513" s="879"/>
      <c r="NRG1513" s="879"/>
      <c r="NRH1513" s="879"/>
      <c r="NRI1513" s="879"/>
      <c r="NRJ1513" s="879"/>
      <c r="NRK1513" s="879"/>
      <c r="NRL1513" s="879"/>
      <c r="NRM1513" s="879"/>
      <c r="NRN1513" s="879"/>
      <c r="NRO1513" s="879"/>
      <c r="NRP1513" s="879"/>
      <c r="NRQ1513" s="879"/>
      <c r="NRR1513" s="879"/>
      <c r="NRS1513" s="879"/>
      <c r="NRT1513" s="879"/>
      <c r="NRU1513" s="879"/>
      <c r="NRV1513" s="879"/>
      <c r="NRW1513" s="879"/>
      <c r="NRX1513" s="879"/>
      <c r="NRY1513" s="879"/>
      <c r="NRZ1513" s="879"/>
      <c r="NSA1513" s="879"/>
      <c r="NSB1513" s="879"/>
      <c r="NSC1513" s="879"/>
      <c r="NSD1513" s="879"/>
      <c r="NSE1513" s="879"/>
      <c r="NSF1513" s="879"/>
      <c r="NSG1513" s="879"/>
      <c r="NSH1513" s="879"/>
      <c r="NSI1513" s="879"/>
      <c r="NSJ1513" s="879"/>
      <c r="NSK1513" s="879"/>
      <c r="NSL1513" s="879"/>
      <c r="NSM1513" s="879"/>
      <c r="NSN1513" s="879"/>
      <c r="NSO1513" s="879"/>
      <c r="NSP1513" s="879"/>
      <c r="NSQ1513" s="879"/>
      <c r="NSR1513" s="879"/>
      <c r="NSS1513" s="879"/>
      <c r="NST1513" s="879"/>
      <c r="NSU1513" s="879"/>
      <c r="NSV1513" s="879"/>
      <c r="NSW1513" s="879"/>
      <c r="NSX1513" s="879"/>
      <c r="NSY1513" s="879"/>
      <c r="NSZ1513" s="879"/>
      <c r="NTA1513" s="879"/>
      <c r="NTB1513" s="879"/>
      <c r="NTC1513" s="879"/>
      <c r="NTD1513" s="879"/>
      <c r="NTE1513" s="879"/>
      <c r="NTF1513" s="879"/>
      <c r="NTG1513" s="879"/>
      <c r="NTH1513" s="879"/>
      <c r="NTI1513" s="879"/>
      <c r="NTJ1513" s="879"/>
      <c r="NTK1513" s="879"/>
      <c r="NTL1513" s="879"/>
      <c r="NTM1513" s="879"/>
      <c r="NTN1513" s="879"/>
      <c r="NTO1513" s="879"/>
      <c r="NTP1513" s="879"/>
      <c r="NTQ1513" s="879"/>
      <c r="NTR1513" s="879"/>
      <c r="NTS1513" s="879"/>
      <c r="NTT1513" s="879"/>
      <c r="NTU1513" s="879"/>
      <c r="NTV1513" s="879"/>
      <c r="NTW1513" s="879"/>
      <c r="NTX1513" s="879"/>
      <c r="NTY1513" s="879"/>
      <c r="NTZ1513" s="879"/>
      <c r="NUA1513" s="879"/>
      <c r="NUB1513" s="879"/>
      <c r="NUC1513" s="879"/>
      <c r="NUD1513" s="879"/>
      <c r="NUE1513" s="879"/>
      <c r="NUF1513" s="879"/>
      <c r="NUG1513" s="879"/>
      <c r="NUH1513" s="879"/>
      <c r="NUI1513" s="879"/>
      <c r="NUJ1513" s="879"/>
      <c r="NUK1513" s="879"/>
      <c r="NUL1513" s="879"/>
      <c r="NUM1513" s="879"/>
      <c r="NUN1513" s="879"/>
      <c r="NUO1513" s="879"/>
      <c r="NUP1513" s="879"/>
      <c r="NUQ1513" s="879"/>
      <c r="NUR1513" s="879"/>
      <c r="NUS1513" s="879"/>
      <c r="NUT1513" s="879"/>
      <c r="NUU1513" s="879"/>
      <c r="NUV1513" s="879"/>
      <c r="NUW1513" s="879"/>
      <c r="NUX1513" s="879"/>
      <c r="NUY1513" s="879"/>
      <c r="NUZ1513" s="879"/>
      <c r="NVA1513" s="879"/>
      <c r="NVB1513" s="879"/>
      <c r="NVC1513" s="879"/>
      <c r="NVD1513" s="879"/>
      <c r="NVE1513" s="879"/>
      <c r="NVF1513" s="879"/>
      <c r="NVG1513" s="879"/>
      <c r="NVH1513" s="879"/>
      <c r="NVI1513" s="879"/>
      <c r="NVJ1513" s="879"/>
      <c r="NVK1513" s="879"/>
      <c r="NVL1513" s="879"/>
      <c r="NVM1513" s="879"/>
      <c r="NVN1513" s="879"/>
      <c r="NVO1513" s="879"/>
      <c r="NVP1513" s="879"/>
      <c r="NVQ1513" s="879"/>
      <c r="NVR1513" s="879"/>
      <c r="NVS1513" s="879"/>
      <c r="NVT1513" s="879"/>
      <c r="NVU1513" s="879"/>
      <c r="NVV1513" s="879"/>
      <c r="NVW1513" s="879"/>
      <c r="NVX1513" s="879"/>
      <c r="NVY1513" s="879"/>
      <c r="NVZ1513" s="879"/>
      <c r="NWA1513" s="879"/>
      <c r="NWB1513" s="879"/>
      <c r="NWC1513" s="879"/>
      <c r="NWD1513" s="879"/>
      <c r="NWE1513" s="879"/>
      <c r="NWF1513" s="879"/>
      <c r="NWG1513" s="879"/>
      <c r="NWH1513" s="879"/>
      <c r="NWI1513" s="879"/>
      <c r="NWJ1513" s="879"/>
      <c r="NWK1513" s="879"/>
      <c r="NWL1513" s="879"/>
      <c r="NWM1513" s="879"/>
      <c r="NWN1513" s="879"/>
      <c r="NWO1513" s="879"/>
      <c r="NWP1513" s="879"/>
      <c r="NWQ1513" s="879"/>
      <c r="NWR1513" s="879"/>
      <c r="NWS1513" s="879"/>
      <c r="NWT1513" s="879"/>
      <c r="NWU1513" s="879"/>
      <c r="NWV1513" s="879"/>
      <c r="NWW1513" s="879"/>
      <c r="NWX1513" s="879"/>
      <c r="NWY1513" s="879"/>
      <c r="NWZ1513" s="879"/>
      <c r="NXA1513" s="879"/>
      <c r="NXB1513" s="879"/>
      <c r="NXC1513" s="879"/>
      <c r="NXD1513" s="879"/>
      <c r="NXE1513" s="879"/>
      <c r="NXF1513" s="879"/>
      <c r="NXG1513" s="879"/>
      <c r="NXH1513" s="879"/>
      <c r="NXI1513" s="879"/>
      <c r="NXJ1513" s="879"/>
      <c r="NXK1513" s="879"/>
      <c r="NXL1513" s="879"/>
      <c r="NXM1513" s="879"/>
      <c r="NXN1513" s="879"/>
      <c r="NXO1513" s="879"/>
      <c r="NXP1513" s="879"/>
      <c r="NXQ1513" s="879"/>
      <c r="NXR1513" s="879"/>
      <c r="NXS1513" s="879"/>
      <c r="NXT1513" s="879"/>
      <c r="NXU1513" s="879"/>
      <c r="NXV1513" s="879"/>
      <c r="NXW1513" s="879"/>
      <c r="NXX1513" s="879"/>
      <c r="NXY1513" s="879"/>
      <c r="NXZ1513" s="879"/>
      <c r="NYA1513" s="879"/>
      <c r="NYB1513" s="879"/>
      <c r="NYC1513" s="879"/>
      <c r="NYD1513" s="879"/>
      <c r="NYE1513" s="879"/>
      <c r="NYF1513" s="879"/>
      <c r="NYG1513" s="879"/>
      <c r="NYH1513" s="879"/>
      <c r="NYI1513" s="879"/>
      <c r="NYJ1513" s="879"/>
      <c r="NYK1513" s="879"/>
      <c r="NYL1513" s="879"/>
      <c r="NYM1513" s="879"/>
      <c r="NYN1513" s="879"/>
      <c r="NYO1513" s="879"/>
      <c r="NYP1513" s="879"/>
      <c r="NYQ1513" s="879"/>
      <c r="NYR1513" s="879"/>
      <c r="NYS1513" s="879"/>
      <c r="NYT1513" s="879"/>
      <c r="NYU1513" s="879"/>
      <c r="NYV1513" s="879"/>
      <c r="NYW1513" s="879"/>
      <c r="NYX1513" s="879"/>
      <c r="NYY1513" s="879"/>
      <c r="NYZ1513" s="879"/>
      <c r="NZA1513" s="879"/>
      <c r="NZB1513" s="879"/>
      <c r="NZC1513" s="879"/>
      <c r="NZD1513" s="879"/>
      <c r="NZE1513" s="879"/>
      <c r="NZF1513" s="879"/>
      <c r="NZG1513" s="879"/>
      <c r="NZH1513" s="879"/>
      <c r="NZI1513" s="879"/>
      <c r="NZJ1513" s="879"/>
      <c r="NZK1513" s="879"/>
      <c r="NZL1513" s="879"/>
      <c r="NZM1513" s="879"/>
      <c r="NZN1513" s="879"/>
      <c r="NZO1513" s="879"/>
      <c r="NZP1513" s="879"/>
      <c r="NZQ1513" s="879"/>
      <c r="NZR1513" s="879"/>
      <c r="NZS1513" s="879"/>
      <c r="NZT1513" s="879"/>
      <c r="NZU1513" s="879"/>
      <c r="NZV1513" s="879"/>
      <c r="NZW1513" s="879"/>
      <c r="NZX1513" s="879"/>
      <c r="NZY1513" s="879"/>
      <c r="NZZ1513" s="879"/>
      <c r="OAA1513" s="879"/>
      <c r="OAB1513" s="879"/>
      <c r="OAC1513" s="879"/>
      <c r="OAD1513" s="879"/>
      <c r="OAE1513" s="879"/>
      <c r="OAF1513" s="879"/>
      <c r="OAG1513" s="879"/>
      <c r="OAH1513" s="879"/>
      <c r="OAI1513" s="879"/>
      <c r="OAJ1513" s="879"/>
      <c r="OAK1513" s="879"/>
      <c r="OAL1513" s="879"/>
      <c r="OAM1513" s="879"/>
      <c r="OAN1513" s="879"/>
      <c r="OAO1513" s="879"/>
      <c r="OAP1513" s="879"/>
      <c r="OAQ1513" s="879"/>
      <c r="OAR1513" s="879"/>
      <c r="OAS1513" s="879"/>
      <c r="OAT1513" s="879"/>
      <c r="OAU1513" s="879"/>
      <c r="OAV1513" s="879"/>
      <c r="OAW1513" s="879"/>
      <c r="OAX1513" s="879"/>
      <c r="OAY1513" s="879"/>
      <c r="OAZ1513" s="879"/>
      <c r="OBA1513" s="879"/>
      <c r="OBB1513" s="879"/>
      <c r="OBC1513" s="879"/>
      <c r="OBD1513" s="879"/>
      <c r="OBE1513" s="879"/>
      <c r="OBF1513" s="879"/>
      <c r="OBG1513" s="879"/>
      <c r="OBH1513" s="879"/>
      <c r="OBI1513" s="879"/>
      <c r="OBJ1513" s="879"/>
      <c r="OBK1513" s="879"/>
      <c r="OBL1513" s="879"/>
      <c r="OBM1513" s="879"/>
      <c r="OBN1513" s="879"/>
      <c r="OBO1513" s="879"/>
      <c r="OBP1513" s="879"/>
      <c r="OBQ1513" s="879"/>
      <c r="OBR1513" s="879"/>
      <c r="OBS1513" s="879"/>
      <c r="OBT1513" s="879"/>
      <c r="OBU1513" s="879"/>
      <c r="OBV1513" s="879"/>
      <c r="OBW1513" s="879"/>
      <c r="OBX1513" s="879"/>
      <c r="OBY1513" s="879"/>
      <c r="OBZ1513" s="879"/>
      <c r="OCA1513" s="879"/>
      <c r="OCB1513" s="879"/>
      <c r="OCC1513" s="879"/>
      <c r="OCD1513" s="879"/>
      <c r="OCE1513" s="879"/>
      <c r="OCF1513" s="879"/>
      <c r="OCG1513" s="879"/>
      <c r="OCH1513" s="879"/>
      <c r="OCI1513" s="879"/>
      <c r="OCJ1513" s="879"/>
      <c r="OCK1513" s="879"/>
      <c r="OCL1513" s="879"/>
      <c r="OCM1513" s="879"/>
      <c r="OCN1513" s="879"/>
      <c r="OCO1513" s="879"/>
      <c r="OCP1513" s="879"/>
      <c r="OCQ1513" s="879"/>
      <c r="OCR1513" s="879"/>
      <c r="OCS1513" s="879"/>
      <c r="OCT1513" s="879"/>
      <c r="OCU1513" s="879"/>
      <c r="OCV1513" s="879"/>
      <c r="OCW1513" s="879"/>
      <c r="OCX1513" s="879"/>
      <c r="OCY1513" s="879"/>
      <c r="OCZ1513" s="879"/>
      <c r="ODA1513" s="879"/>
      <c r="ODB1513" s="879"/>
      <c r="ODC1513" s="879"/>
      <c r="ODD1513" s="879"/>
      <c r="ODE1513" s="879"/>
      <c r="ODF1513" s="879"/>
      <c r="ODG1513" s="879"/>
      <c r="ODH1513" s="879"/>
      <c r="ODI1513" s="879"/>
      <c r="ODJ1513" s="879"/>
      <c r="ODK1513" s="879"/>
      <c r="ODL1513" s="879"/>
      <c r="ODM1513" s="879"/>
      <c r="ODN1513" s="879"/>
      <c r="ODO1513" s="879"/>
      <c r="ODP1513" s="879"/>
      <c r="ODQ1513" s="879"/>
      <c r="ODR1513" s="879"/>
      <c r="ODS1513" s="879"/>
      <c r="ODT1513" s="879"/>
      <c r="ODU1513" s="879"/>
      <c r="ODV1513" s="879"/>
      <c r="ODW1513" s="879"/>
      <c r="ODX1513" s="879"/>
      <c r="ODY1513" s="879"/>
      <c r="ODZ1513" s="879"/>
      <c r="OEA1513" s="879"/>
      <c r="OEB1513" s="879"/>
      <c r="OEC1513" s="879"/>
      <c r="OED1513" s="879"/>
      <c r="OEE1513" s="879"/>
      <c r="OEF1513" s="879"/>
      <c r="OEG1513" s="879"/>
      <c r="OEH1513" s="879"/>
      <c r="OEI1513" s="879"/>
      <c r="OEJ1513" s="879"/>
      <c r="OEK1513" s="879"/>
      <c r="OEL1513" s="879"/>
      <c r="OEM1513" s="879"/>
      <c r="OEN1513" s="879"/>
      <c r="OEO1513" s="879"/>
      <c r="OEP1513" s="879"/>
      <c r="OEQ1513" s="879"/>
      <c r="OER1513" s="879"/>
      <c r="OES1513" s="879"/>
      <c r="OET1513" s="879"/>
      <c r="OEU1513" s="879"/>
      <c r="OEV1513" s="879"/>
      <c r="OEW1513" s="879"/>
      <c r="OEX1513" s="879"/>
      <c r="OEY1513" s="879"/>
      <c r="OEZ1513" s="879"/>
      <c r="OFA1513" s="879"/>
      <c r="OFB1513" s="879"/>
      <c r="OFC1513" s="879"/>
      <c r="OFD1513" s="879"/>
      <c r="OFE1513" s="879"/>
      <c r="OFF1513" s="879"/>
      <c r="OFG1513" s="879"/>
      <c r="OFH1513" s="879"/>
      <c r="OFI1513" s="879"/>
      <c r="OFJ1513" s="879"/>
      <c r="OFK1513" s="879"/>
      <c r="OFL1513" s="879"/>
      <c r="OFM1513" s="879"/>
      <c r="OFN1513" s="879"/>
      <c r="OFO1513" s="879"/>
      <c r="OFP1513" s="879"/>
      <c r="OFQ1513" s="879"/>
      <c r="OFR1513" s="879"/>
      <c r="OFS1513" s="879"/>
      <c r="OFT1513" s="879"/>
      <c r="OFU1513" s="879"/>
      <c r="OFV1513" s="879"/>
      <c r="OFW1513" s="879"/>
      <c r="OFX1513" s="879"/>
      <c r="OFY1513" s="879"/>
      <c r="OFZ1513" s="879"/>
      <c r="OGA1513" s="879"/>
      <c r="OGB1513" s="879"/>
      <c r="OGC1513" s="879"/>
      <c r="OGD1513" s="879"/>
      <c r="OGE1513" s="879"/>
      <c r="OGF1513" s="879"/>
      <c r="OGG1513" s="879"/>
      <c r="OGH1513" s="879"/>
      <c r="OGI1513" s="879"/>
      <c r="OGJ1513" s="879"/>
      <c r="OGK1513" s="879"/>
      <c r="OGL1513" s="879"/>
      <c r="OGM1513" s="879"/>
      <c r="OGN1513" s="879"/>
      <c r="OGO1513" s="879"/>
      <c r="OGP1513" s="879"/>
      <c r="OGQ1513" s="879"/>
      <c r="OGR1513" s="879"/>
      <c r="OGS1513" s="879"/>
      <c r="OGT1513" s="879"/>
      <c r="OGU1513" s="879"/>
      <c r="OGV1513" s="879"/>
      <c r="OGW1513" s="879"/>
      <c r="OGX1513" s="879"/>
      <c r="OGY1513" s="879"/>
      <c r="OGZ1513" s="879"/>
      <c r="OHA1513" s="879"/>
      <c r="OHB1513" s="879"/>
      <c r="OHC1513" s="879"/>
      <c r="OHD1513" s="879"/>
      <c r="OHE1513" s="879"/>
      <c r="OHF1513" s="879"/>
      <c r="OHG1513" s="879"/>
      <c r="OHH1513" s="879"/>
      <c r="OHI1513" s="879"/>
      <c r="OHJ1513" s="879"/>
      <c r="OHK1513" s="879"/>
      <c r="OHL1513" s="879"/>
      <c r="OHM1513" s="879"/>
      <c r="OHN1513" s="879"/>
      <c r="OHO1513" s="879"/>
      <c r="OHP1513" s="879"/>
      <c r="OHQ1513" s="879"/>
      <c r="OHR1513" s="879"/>
      <c r="OHS1513" s="879"/>
      <c r="OHT1513" s="879"/>
      <c r="OHU1513" s="879"/>
      <c r="OHV1513" s="879"/>
      <c r="OHW1513" s="879"/>
      <c r="OHX1513" s="879"/>
      <c r="OHY1513" s="879"/>
      <c r="OHZ1513" s="879"/>
      <c r="OIA1513" s="879"/>
      <c r="OIB1513" s="879"/>
      <c r="OIC1513" s="879"/>
      <c r="OID1513" s="879"/>
      <c r="OIE1513" s="879"/>
      <c r="OIF1513" s="879"/>
      <c r="OIG1513" s="879"/>
      <c r="OIH1513" s="879"/>
      <c r="OII1513" s="879"/>
      <c r="OIJ1513" s="879"/>
      <c r="OIK1513" s="879"/>
      <c r="OIL1513" s="879"/>
      <c r="OIM1513" s="879"/>
      <c r="OIN1513" s="879"/>
      <c r="OIO1513" s="879"/>
      <c r="OIP1513" s="879"/>
      <c r="OIQ1513" s="879"/>
      <c r="OIR1513" s="879"/>
      <c r="OIS1513" s="879"/>
      <c r="OIT1513" s="879"/>
      <c r="OIU1513" s="879"/>
      <c r="OIV1513" s="879"/>
      <c r="OIW1513" s="879"/>
      <c r="OIX1513" s="879"/>
      <c r="OIY1513" s="879"/>
      <c r="OIZ1513" s="879"/>
      <c r="OJA1513" s="879"/>
      <c r="OJB1513" s="879"/>
      <c r="OJC1513" s="879"/>
      <c r="OJD1513" s="879"/>
      <c r="OJE1513" s="879"/>
      <c r="OJF1513" s="879"/>
      <c r="OJG1513" s="879"/>
      <c r="OJH1513" s="879"/>
      <c r="OJI1513" s="879"/>
      <c r="OJJ1513" s="879"/>
      <c r="OJK1513" s="879"/>
      <c r="OJL1513" s="879"/>
      <c r="OJM1513" s="879"/>
      <c r="OJN1513" s="879"/>
      <c r="OJO1513" s="879"/>
      <c r="OJP1513" s="879"/>
      <c r="OJQ1513" s="879"/>
      <c r="OJR1513" s="879"/>
      <c r="OJS1513" s="879"/>
      <c r="OJT1513" s="879"/>
      <c r="OJU1513" s="879"/>
      <c r="OJV1513" s="879"/>
      <c r="OJW1513" s="879"/>
      <c r="OJX1513" s="879"/>
      <c r="OJY1513" s="879"/>
      <c r="OJZ1513" s="879"/>
      <c r="OKA1513" s="879"/>
      <c r="OKB1513" s="879"/>
      <c r="OKC1513" s="879"/>
      <c r="OKD1513" s="879"/>
      <c r="OKE1513" s="879"/>
      <c r="OKF1513" s="879"/>
      <c r="OKG1513" s="879"/>
      <c r="OKH1513" s="879"/>
      <c r="OKI1513" s="879"/>
      <c r="OKJ1513" s="879"/>
      <c r="OKK1513" s="879"/>
      <c r="OKL1513" s="879"/>
      <c r="OKM1513" s="879"/>
      <c r="OKN1513" s="879"/>
      <c r="OKO1513" s="879"/>
      <c r="OKP1513" s="879"/>
      <c r="OKQ1513" s="879"/>
      <c r="OKR1513" s="879"/>
      <c r="OKS1513" s="879"/>
      <c r="OKT1513" s="879"/>
      <c r="OKU1513" s="879"/>
      <c r="OKV1513" s="879"/>
      <c r="OKW1513" s="879"/>
      <c r="OKX1513" s="879"/>
      <c r="OKY1513" s="879"/>
      <c r="OKZ1513" s="879"/>
      <c r="OLA1513" s="879"/>
      <c r="OLB1513" s="879"/>
      <c r="OLC1513" s="879"/>
      <c r="OLD1513" s="879"/>
      <c r="OLE1513" s="879"/>
      <c r="OLF1513" s="879"/>
      <c r="OLG1513" s="879"/>
      <c r="OLH1513" s="879"/>
      <c r="OLI1513" s="879"/>
      <c r="OLJ1513" s="879"/>
      <c r="OLK1513" s="879"/>
      <c r="OLL1513" s="879"/>
      <c r="OLM1513" s="879"/>
      <c r="OLN1513" s="879"/>
      <c r="OLO1513" s="879"/>
      <c r="OLP1513" s="879"/>
      <c r="OLQ1513" s="879"/>
      <c r="OLR1513" s="879"/>
      <c r="OLS1513" s="879"/>
      <c r="OLT1513" s="879"/>
      <c r="OLU1513" s="879"/>
      <c r="OLV1513" s="879"/>
      <c r="OLW1513" s="879"/>
      <c r="OLX1513" s="879"/>
      <c r="OLY1513" s="879"/>
      <c r="OLZ1513" s="879"/>
      <c r="OMA1513" s="879"/>
      <c r="OMB1513" s="879"/>
      <c r="OMC1513" s="879"/>
      <c r="OMD1513" s="879"/>
      <c r="OME1513" s="879"/>
      <c r="OMF1513" s="879"/>
      <c r="OMG1513" s="879"/>
      <c r="OMH1513" s="879"/>
      <c r="OMI1513" s="879"/>
      <c r="OMJ1513" s="879"/>
      <c r="OMK1513" s="879"/>
      <c r="OML1513" s="879"/>
      <c r="OMM1513" s="879"/>
      <c r="OMN1513" s="879"/>
      <c r="OMO1513" s="879"/>
      <c r="OMP1513" s="879"/>
      <c r="OMQ1513" s="879"/>
      <c r="OMR1513" s="879"/>
      <c r="OMS1513" s="879"/>
      <c r="OMT1513" s="879"/>
      <c r="OMU1513" s="879"/>
      <c r="OMV1513" s="879"/>
      <c r="OMW1513" s="879"/>
      <c r="OMX1513" s="879"/>
      <c r="OMY1513" s="879"/>
      <c r="OMZ1513" s="879"/>
      <c r="ONA1513" s="879"/>
      <c r="ONB1513" s="879"/>
      <c r="ONC1513" s="879"/>
      <c r="OND1513" s="879"/>
      <c r="ONE1513" s="879"/>
      <c r="ONF1513" s="879"/>
      <c r="ONG1513" s="879"/>
      <c r="ONH1513" s="879"/>
      <c r="ONI1513" s="879"/>
      <c r="ONJ1513" s="879"/>
      <c r="ONK1513" s="879"/>
      <c r="ONL1513" s="879"/>
      <c r="ONM1513" s="879"/>
      <c r="ONN1513" s="879"/>
      <c r="ONO1513" s="879"/>
      <c r="ONP1513" s="879"/>
      <c r="ONQ1513" s="879"/>
      <c r="ONR1513" s="879"/>
      <c r="ONS1513" s="879"/>
      <c r="ONT1513" s="879"/>
      <c r="ONU1513" s="879"/>
      <c r="ONV1513" s="879"/>
      <c r="ONW1513" s="879"/>
      <c r="ONX1513" s="879"/>
      <c r="ONY1513" s="879"/>
      <c r="ONZ1513" s="879"/>
      <c r="OOA1513" s="879"/>
      <c r="OOB1513" s="879"/>
      <c r="OOC1513" s="879"/>
      <c r="OOD1513" s="879"/>
      <c r="OOE1513" s="879"/>
      <c r="OOF1513" s="879"/>
      <c r="OOG1513" s="879"/>
      <c r="OOH1513" s="879"/>
      <c r="OOI1513" s="879"/>
      <c r="OOJ1513" s="879"/>
      <c r="OOK1513" s="879"/>
      <c r="OOL1513" s="879"/>
      <c r="OOM1513" s="879"/>
      <c r="OON1513" s="879"/>
      <c r="OOO1513" s="879"/>
      <c r="OOP1513" s="879"/>
      <c r="OOQ1513" s="879"/>
      <c r="OOR1513" s="879"/>
      <c r="OOS1513" s="879"/>
      <c r="OOT1513" s="879"/>
      <c r="OOU1513" s="879"/>
      <c r="OOV1513" s="879"/>
      <c r="OOW1513" s="879"/>
      <c r="OOX1513" s="879"/>
      <c r="OOY1513" s="879"/>
      <c r="OOZ1513" s="879"/>
      <c r="OPA1513" s="879"/>
      <c r="OPB1513" s="879"/>
      <c r="OPC1513" s="879"/>
      <c r="OPD1513" s="879"/>
      <c r="OPE1513" s="879"/>
      <c r="OPF1513" s="879"/>
      <c r="OPG1513" s="879"/>
      <c r="OPH1513" s="879"/>
      <c r="OPI1513" s="879"/>
      <c r="OPJ1513" s="879"/>
      <c r="OPK1513" s="879"/>
      <c r="OPL1513" s="879"/>
      <c r="OPM1513" s="879"/>
      <c r="OPN1513" s="879"/>
      <c r="OPO1513" s="879"/>
      <c r="OPP1513" s="879"/>
      <c r="OPQ1513" s="879"/>
      <c r="OPR1513" s="879"/>
      <c r="OPS1513" s="879"/>
      <c r="OPT1513" s="879"/>
      <c r="OPU1513" s="879"/>
      <c r="OPV1513" s="879"/>
      <c r="OPW1513" s="879"/>
      <c r="OPX1513" s="879"/>
      <c r="OPY1513" s="879"/>
      <c r="OPZ1513" s="879"/>
      <c r="OQA1513" s="879"/>
      <c r="OQB1513" s="879"/>
      <c r="OQC1513" s="879"/>
      <c r="OQD1513" s="879"/>
      <c r="OQE1513" s="879"/>
      <c r="OQF1513" s="879"/>
      <c r="OQG1513" s="879"/>
      <c r="OQH1513" s="879"/>
      <c r="OQI1513" s="879"/>
      <c r="OQJ1513" s="879"/>
      <c r="OQK1513" s="879"/>
      <c r="OQL1513" s="879"/>
      <c r="OQM1513" s="879"/>
      <c r="OQN1513" s="879"/>
      <c r="OQO1513" s="879"/>
      <c r="OQP1513" s="879"/>
      <c r="OQQ1513" s="879"/>
      <c r="OQR1513" s="879"/>
      <c r="OQS1513" s="879"/>
      <c r="OQT1513" s="879"/>
      <c r="OQU1513" s="879"/>
      <c r="OQV1513" s="879"/>
      <c r="OQW1513" s="879"/>
      <c r="OQX1513" s="879"/>
      <c r="OQY1513" s="879"/>
      <c r="OQZ1513" s="879"/>
      <c r="ORA1513" s="879"/>
      <c r="ORB1513" s="879"/>
      <c r="ORC1513" s="879"/>
      <c r="ORD1513" s="879"/>
      <c r="ORE1513" s="879"/>
      <c r="ORF1513" s="879"/>
      <c r="ORG1513" s="879"/>
      <c r="ORH1513" s="879"/>
      <c r="ORI1513" s="879"/>
      <c r="ORJ1513" s="879"/>
      <c r="ORK1513" s="879"/>
      <c r="ORL1513" s="879"/>
      <c r="ORM1513" s="879"/>
      <c r="ORN1513" s="879"/>
      <c r="ORO1513" s="879"/>
      <c r="ORP1513" s="879"/>
      <c r="ORQ1513" s="879"/>
      <c r="ORR1513" s="879"/>
      <c r="ORS1513" s="879"/>
      <c r="ORT1513" s="879"/>
      <c r="ORU1513" s="879"/>
      <c r="ORV1513" s="879"/>
      <c r="ORW1513" s="879"/>
      <c r="ORX1513" s="879"/>
      <c r="ORY1513" s="879"/>
      <c r="ORZ1513" s="879"/>
      <c r="OSA1513" s="879"/>
      <c r="OSB1513" s="879"/>
      <c r="OSC1513" s="879"/>
      <c r="OSD1513" s="879"/>
      <c r="OSE1513" s="879"/>
      <c r="OSF1513" s="879"/>
      <c r="OSG1513" s="879"/>
      <c r="OSH1513" s="879"/>
      <c r="OSI1513" s="879"/>
      <c r="OSJ1513" s="879"/>
      <c r="OSK1513" s="879"/>
      <c r="OSL1513" s="879"/>
      <c r="OSM1513" s="879"/>
      <c r="OSN1513" s="879"/>
      <c r="OSO1513" s="879"/>
      <c r="OSP1513" s="879"/>
      <c r="OSQ1513" s="879"/>
      <c r="OSR1513" s="879"/>
      <c r="OSS1513" s="879"/>
      <c r="OST1513" s="879"/>
      <c r="OSU1513" s="879"/>
      <c r="OSV1513" s="879"/>
      <c r="OSW1513" s="879"/>
      <c r="OSX1513" s="879"/>
      <c r="OSY1513" s="879"/>
      <c r="OSZ1513" s="879"/>
      <c r="OTA1513" s="879"/>
      <c r="OTB1513" s="879"/>
      <c r="OTC1513" s="879"/>
      <c r="OTD1513" s="879"/>
      <c r="OTE1513" s="879"/>
      <c r="OTF1513" s="879"/>
      <c r="OTG1513" s="879"/>
      <c r="OTH1513" s="879"/>
      <c r="OTI1513" s="879"/>
      <c r="OTJ1513" s="879"/>
      <c r="OTK1513" s="879"/>
      <c r="OTL1513" s="879"/>
      <c r="OTM1513" s="879"/>
      <c r="OTN1513" s="879"/>
      <c r="OTO1513" s="879"/>
      <c r="OTP1513" s="879"/>
      <c r="OTQ1513" s="879"/>
      <c r="OTR1513" s="879"/>
      <c r="OTS1513" s="879"/>
      <c r="OTT1513" s="879"/>
      <c r="OTU1513" s="879"/>
      <c r="OTV1513" s="879"/>
      <c r="OTW1513" s="879"/>
      <c r="OTX1513" s="879"/>
      <c r="OTY1513" s="879"/>
      <c r="OTZ1513" s="879"/>
      <c r="OUA1513" s="879"/>
      <c r="OUB1513" s="879"/>
      <c r="OUC1513" s="879"/>
      <c r="OUD1513" s="879"/>
      <c r="OUE1513" s="879"/>
      <c r="OUF1513" s="879"/>
      <c r="OUG1513" s="879"/>
      <c r="OUH1513" s="879"/>
      <c r="OUI1513" s="879"/>
      <c r="OUJ1513" s="879"/>
      <c r="OUK1513" s="879"/>
      <c r="OUL1513" s="879"/>
      <c r="OUM1513" s="879"/>
      <c r="OUN1513" s="879"/>
      <c r="OUO1513" s="879"/>
      <c r="OUP1513" s="879"/>
      <c r="OUQ1513" s="879"/>
      <c r="OUR1513" s="879"/>
      <c r="OUS1513" s="879"/>
      <c r="OUT1513" s="879"/>
      <c r="OUU1513" s="879"/>
      <c r="OUV1513" s="879"/>
      <c r="OUW1513" s="879"/>
      <c r="OUX1513" s="879"/>
      <c r="OUY1513" s="879"/>
      <c r="OUZ1513" s="879"/>
      <c r="OVA1513" s="879"/>
      <c r="OVB1513" s="879"/>
      <c r="OVC1513" s="879"/>
      <c r="OVD1513" s="879"/>
      <c r="OVE1513" s="879"/>
      <c r="OVF1513" s="879"/>
      <c r="OVG1513" s="879"/>
      <c r="OVH1513" s="879"/>
      <c r="OVI1513" s="879"/>
      <c r="OVJ1513" s="879"/>
      <c r="OVK1513" s="879"/>
      <c r="OVL1513" s="879"/>
      <c r="OVM1513" s="879"/>
      <c r="OVN1513" s="879"/>
      <c r="OVO1513" s="879"/>
      <c r="OVP1513" s="879"/>
      <c r="OVQ1513" s="879"/>
      <c r="OVR1513" s="879"/>
      <c r="OVS1513" s="879"/>
      <c r="OVT1513" s="879"/>
      <c r="OVU1513" s="879"/>
      <c r="OVV1513" s="879"/>
      <c r="OVW1513" s="879"/>
      <c r="OVX1513" s="879"/>
      <c r="OVY1513" s="879"/>
      <c r="OVZ1513" s="879"/>
      <c r="OWA1513" s="879"/>
      <c r="OWB1513" s="879"/>
      <c r="OWC1513" s="879"/>
      <c r="OWD1513" s="879"/>
      <c r="OWE1513" s="879"/>
      <c r="OWF1513" s="879"/>
      <c r="OWG1513" s="879"/>
      <c r="OWH1513" s="879"/>
      <c r="OWI1513" s="879"/>
      <c r="OWJ1513" s="879"/>
      <c r="OWK1513" s="879"/>
      <c r="OWL1513" s="879"/>
      <c r="OWM1513" s="879"/>
      <c r="OWN1513" s="879"/>
      <c r="OWO1513" s="879"/>
      <c r="OWP1513" s="879"/>
      <c r="OWQ1513" s="879"/>
      <c r="OWR1513" s="879"/>
      <c r="OWS1513" s="879"/>
      <c r="OWT1513" s="879"/>
      <c r="OWU1513" s="879"/>
      <c r="OWV1513" s="879"/>
      <c r="OWW1513" s="879"/>
      <c r="OWX1513" s="879"/>
      <c r="OWY1513" s="879"/>
      <c r="OWZ1513" s="879"/>
      <c r="OXA1513" s="879"/>
      <c r="OXB1513" s="879"/>
      <c r="OXC1513" s="879"/>
      <c r="OXD1513" s="879"/>
      <c r="OXE1513" s="879"/>
      <c r="OXF1513" s="879"/>
      <c r="OXG1513" s="879"/>
      <c r="OXH1513" s="879"/>
      <c r="OXI1513" s="879"/>
      <c r="OXJ1513" s="879"/>
      <c r="OXK1513" s="879"/>
      <c r="OXL1513" s="879"/>
      <c r="OXM1513" s="879"/>
      <c r="OXN1513" s="879"/>
      <c r="OXO1513" s="879"/>
      <c r="OXP1513" s="879"/>
      <c r="OXQ1513" s="879"/>
      <c r="OXR1513" s="879"/>
      <c r="OXS1513" s="879"/>
      <c r="OXT1513" s="879"/>
      <c r="OXU1513" s="879"/>
      <c r="OXV1513" s="879"/>
      <c r="OXW1513" s="879"/>
      <c r="OXX1513" s="879"/>
      <c r="OXY1513" s="879"/>
      <c r="OXZ1513" s="879"/>
      <c r="OYA1513" s="879"/>
      <c r="OYB1513" s="879"/>
      <c r="OYC1513" s="879"/>
      <c r="OYD1513" s="879"/>
      <c r="OYE1513" s="879"/>
      <c r="OYF1513" s="879"/>
      <c r="OYG1513" s="879"/>
      <c r="OYH1513" s="879"/>
      <c r="OYI1513" s="879"/>
      <c r="OYJ1513" s="879"/>
      <c r="OYK1513" s="879"/>
      <c r="OYL1513" s="879"/>
      <c r="OYM1513" s="879"/>
      <c r="OYN1513" s="879"/>
      <c r="OYO1513" s="879"/>
      <c r="OYP1513" s="879"/>
      <c r="OYQ1513" s="879"/>
      <c r="OYR1513" s="879"/>
      <c r="OYS1513" s="879"/>
      <c r="OYT1513" s="879"/>
      <c r="OYU1513" s="879"/>
      <c r="OYV1513" s="879"/>
      <c r="OYW1513" s="879"/>
      <c r="OYX1513" s="879"/>
      <c r="OYY1513" s="879"/>
      <c r="OYZ1513" s="879"/>
      <c r="OZA1513" s="879"/>
      <c r="OZB1513" s="879"/>
      <c r="OZC1513" s="879"/>
      <c r="OZD1513" s="879"/>
      <c r="OZE1513" s="879"/>
      <c r="OZF1513" s="879"/>
      <c r="OZG1513" s="879"/>
      <c r="OZH1513" s="879"/>
      <c r="OZI1513" s="879"/>
      <c r="OZJ1513" s="879"/>
      <c r="OZK1513" s="879"/>
      <c r="OZL1513" s="879"/>
      <c r="OZM1513" s="879"/>
      <c r="OZN1513" s="879"/>
      <c r="OZO1513" s="879"/>
      <c r="OZP1513" s="879"/>
      <c r="OZQ1513" s="879"/>
      <c r="OZR1513" s="879"/>
      <c r="OZS1513" s="879"/>
      <c r="OZT1513" s="879"/>
      <c r="OZU1513" s="879"/>
      <c r="OZV1513" s="879"/>
      <c r="OZW1513" s="879"/>
      <c r="OZX1513" s="879"/>
      <c r="OZY1513" s="879"/>
      <c r="OZZ1513" s="879"/>
      <c r="PAA1513" s="879"/>
      <c r="PAB1513" s="879"/>
      <c r="PAC1513" s="879"/>
      <c r="PAD1513" s="879"/>
      <c r="PAE1513" s="879"/>
      <c r="PAF1513" s="879"/>
      <c r="PAG1513" s="879"/>
      <c r="PAH1513" s="879"/>
      <c r="PAI1513" s="879"/>
      <c r="PAJ1513" s="879"/>
      <c r="PAK1513" s="879"/>
      <c r="PAL1513" s="879"/>
      <c r="PAM1513" s="879"/>
      <c r="PAN1513" s="879"/>
      <c r="PAO1513" s="879"/>
      <c r="PAP1513" s="879"/>
      <c r="PAQ1513" s="879"/>
      <c r="PAR1513" s="879"/>
      <c r="PAS1513" s="879"/>
      <c r="PAT1513" s="879"/>
      <c r="PAU1513" s="879"/>
      <c r="PAV1513" s="879"/>
      <c r="PAW1513" s="879"/>
      <c r="PAX1513" s="879"/>
      <c r="PAY1513" s="879"/>
      <c r="PAZ1513" s="879"/>
      <c r="PBA1513" s="879"/>
      <c r="PBB1513" s="879"/>
      <c r="PBC1513" s="879"/>
      <c r="PBD1513" s="879"/>
      <c r="PBE1513" s="879"/>
      <c r="PBF1513" s="879"/>
      <c r="PBG1513" s="879"/>
      <c r="PBH1513" s="879"/>
      <c r="PBI1513" s="879"/>
      <c r="PBJ1513" s="879"/>
      <c r="PBK1513" s="879"/>
      <c r="PBL1513" s="879"/>
      <c r="PBM1513" s="879"/>
      <c r="PBN1513" s="879"/>
      <c r="PBO1513" s="879"/>
      <c r="PBP1513" s="879"/>
      <c r="PBQ1513" s="879"/>
      <c r="PBR1513" s="879"/>
      <c r="PBS1513" s="879"/>
      <c r="PBT1513" s="879"/>
      <c r="PBU1513" s="879"/>
      <c r="PBV1513" s="879"/>
      <c r="PBW1513" s="879"/>
      <c r="PBX1513" s="879"/>
      <c r="PBY1513" s="879"/>
      <c r="PBZ1513" s="879"/>
      <c r="PCA1513" s="879"/>
      <c r="PCB1513" s="879"/>
      <c r="PCC1513" s="879"/>
      <c r="PCD1513" s="879"/>
      <c r="PCE1513" s="879"/>
      <c r="PCF1513" s="879"/>
      <c r="PCG1513" s="879"/>
      <c r="PCH1513" s="879"/>
      <c r="PCI1513" s="879"/>
      <c r="PCJ1513" s="879"/>
      <c r="PCK1513" s="879"/>
      <c r="PCL1513" s="879"/>
      <c r="PCM1513" s="879"/>
      <c r="PCN1513" s="879"/>
      <c r="PCO1513" s="879"/>
      <c r="PCP1513" s="879"/>
      <c r="PCQ1513" s="879"/>
      <c r="PCR1513" s="879"/>
      <c r="PCS1513" s="879"/>
      <c r="PCT1513" s="879"/>
      <c r="PCU1513" s="879"/>
      <c r="PCV1513" s="879"/>
      <c r="PCW1513" s="879"/>
      <c r="PCX1513" s="879"/>
      <c r="PCY1513" s="879"/>
      <c r="PCZ1513" s="879"/>
      <c r="PDA1513" s="879"/>
      <c r="PDB1513" s="879"/>
      <c r="PDC1513" s="879"/>
      <c r="PDD1513" s="879"/>
      <c r="PDE1513" s="879"/>
      <c r="PDF1513" s="879"/>
      <c r="PDG1513" s="879"/>
      <c r="PDH1513" s="879"/>
      <c r="PDI1513" s="879"/>
      <c r="PDJ1513" s="879"/>
      <c r="PDK1513" s="879"/>
      <c r="PDL1513" s="879"/>
      <c r="PDM1513" s="879"/>
      <c r="PDN1513" s="879"/>
      <c r="PDO1513" s="879"/>
      <c r="PDP1513" s="879"/>
      <c r="PDQ1513" s="879"/>
      <c r="PDR1513" s="879"/>
      <c r="PDS1513" s="879"/>
      <c r="PDT1513" s="879"/>
      <c r="PDU1513" s="879"/>
      <c r="PDV1513" s="879"/>
      <c r="PDW1513" s="879"/>
      <c r="PDX1513" s="879"/>
      <c r="PDY1513" s="879"/>
      <c r="PDZ1513" s="879"/>
      <c r="PEA1513" s="879"/>
      <c r="PEB1513" s="879"/>
      <c r="PEC1513" s="879"/>
      <c r="PED1513" s="879"/>
      <c r="PEE1513" s="879"/>
      <c r="PEF1513" s="879"/>
      <c r="PEG1513" s="879"/>
      <c r="PEH1513" s="879"/>
      <c r="PEI1513" s="879"/>
      <c r="PEJ1513" s="879"/>
      <c r="PEK1513" s="879"/>
      <c r="PEL1513" s="879"/>
      <c r="PEM1513" s="879"/>
      <c r="PEN1513" s="879"/>
      <c r="PEO1513" s="879"/>
      <c r="PEP1513" s="879"/>
      <c r="PEQ1513" s="879"/>
      <c r="PER1513" s="879"/>
      <c r="PES1513" s="879"/>
      <c r="PET1513" s="879"/>
      <c r="PEU1513" s="879"/>
      <c r="PEV1513" s="879"/>
      <c r="PEW1513" s="879"/>
      <c r="PEX1513" s="879"/>
      <c r="PEY1513" s="879"/>
      <c r="PEZ1513" s="879"/>
      <c r="PFA1513" s="879"/>
      <c r="PFB1513" s="879"/>
      <c r="PFC1513" s="879"/>
      <c r="PFD1513" s="879"/>
      <c r="PFE1513" s="879"/>
      <c r="PFF1513" s="879"/>
      <c r="PFG1513" s="879"/>
      <c r="PFH1513" s="879"/>
      <c r="PFI1513" s="879"/>
      <c r="PFJ1513" s="879"/>
      <c r="PFK1513" s="879"/>
      <c r="PFL1513" s="879"/>
      <c r="PFM1513" s="879"/>
      <c r="PFN1513" s="879"/>
      <c r="PFO1513" s="879"/>
      <c r="PFP1513" s="879"/>
      <c r="PFQ1513" s="879"/>
      <c r="PFR1513" s="879"/>
      <c r="PFS1513" s="879"/>
      <c r="PFT1513" s="879"/>
      <c r="PFU1513" s="879"/>
      <c r="PFV1513" s="879"/>
      <c r="PFW1513" s="879"/>
      <c r="PFX1513" s="879"/>
      <c r="PFY1513" s="879"/>
      <c r="PFZ1513" s="879"/>
      <c r="PGA1513" s="879"/>
      <c r="PGB1513" s="879"/>
      <c r="PGC1513" s="879"/>
      <c r="PGD1513" s="879"/>
      <c r="PGE1513" s="879"/>
      <c r="PGF1513" s="879"/>
      <c r="PGG1513" s="879"/>
      <c r="PGH1513" s="879"/>
      <c r="PGI1513" s="879"/>
      <c r="PGJ1513" s="879"/>
      <c r="PGK1513" s="879"/>
      <c r="PGL1513" s="879"/>
      <c r="PGM1513" s="879"/>
      <c r="PGN1513" s="879"/>
      <c r="PGO1513" s="879"/>
      <c r="PGP1513" s="879"/>
      <c r="PGQ1513" s="879"/>
      <c r="PGR1513" s="879"/>
      <c r="PGS1513" s="879"/>
      <c r="PGT1513" s="879"/>
      <c r="PGU1513" s="879"/>
      <c r="PGV1513" s="879"/>
      <c r="PGW1513" s="879"/>
      <c r="PGX1513" s="879"/>
      <c r="PGY1513" s="879"/>
      <c r="PGZ1513" s="879"/>
      <c r="PHA1513" s="879"/>
      <c r="PHB1513" s="879"/>
      <c r="PHC1513" s="879"/>
      <c r="PHD1513" s="879"/>
      <c r="PHE1513" s="879"/>
      <c r="PHF1513" s="879"/>
      <c r="PHG1513" s="879"/>
      <c r="PHH1513" s="879"/>
      <c r="PHI1513" s="879"/>
      <c r="PHJ1513" s="879"/>
      <c r="PHK1513" s="879"/>
      <c r="PHL1513" s="879"/>
      <c r="PHM1513" s="879"/>
      <c r="PHN1513" s="879"/>
      <c r="PHO1513" s="879"/>
      <c r="PHP1513" s="879"/>
      <c r="PHQ1513" s="879"/>
      <c r="PHR1513" s="879"/>
      <c r="PHS1513" s="879"/>
      <c r="PHT1513" s="879"/>
      <c r="PHU1513" s="879"/>
      <c r="PHV1513" s="879"/>
      <c r="PHW1513" s="879"/>
      <c r="PHX1513" s="879"/>
      <c r="PHY1513" s="879"/>
      <c r="PHZ1513" s="879"/>
      <c r="PIA1513" s="879"/>
      <c r="PIB1513" s="879"/>
      <c r="PIC1513" s="879"/>
      <c r="PID1513" s="879"/>
      <c r="PIE1513" s="879"/>
      <c r="PIF1513" s="879"/>
      <c r="PIG1513" s="879"/>
      <c r="PIH1513" s="879"/>
      <c r="PII1513" s="879"/>
      <c r="PIJ1513" s="879"/>
      <c r="PIK1513" s="879"/>
      <c r="PIL1513" s="879"/>
      <c r="PIM1513" s="879"/>
      <c r="PIN1513" s="879"/>
      <c r="PIO1513" s="879"/>
      <c r="PIP1513" s="879"/>
      <c r="PIQ1513" s="879"/>
      <c r="PIR1513" s="879"/>
      <c r="PIS1513" s="879"/>
      <c r="PIT1513" s="879"/>
      <c r="PIU1513" s="879"/>
      <c r="PIV1513" s="879"/>
      <c r="PIW1513" s="879"/>
      <c r="PIX1513" s="879"/>
      <c r="PIY1513" s="879"/>
      <c r="PIZ1513" s="879"/>
      <c r="PJA1513" s="879"/>
      <c r="PJB1513" s="879"/>
      <c r="PJC1513" s="879"/>
      <c r="PJD1513" s="879"/>
      <c r="PJE1513" s="879"/>
      <c r="PJF1513" s="879"/>
      <c r="PJG1513" s="879"/>
      <c r="PJH1513" s="879"/>
      <c r="PJI1513" s="879"/>
      <c r="PJJ1513" s="879"/>
      <c r="PJK1513" s="879"/>
      <c r="PJL1513" s="879"/>
      <c r="PJM1513" s="879"/>
      <c r="PJN1513" s="879"/>
      <c r="PJO1513" s="879"/>
      <c r="PJP1513" s="879"/>
      <c r="PJQ1513" s="879"/>
      <c r="PJR1513" s="879"/>
      <c r="PJS1513" s="879"/>
      <c r="PJT1513" s="879"/>
      <c r="PJU1513" s="879"/>
      <c r="PJV1513" s="879"/>
      <c r="PJW1513" s="879"/>
      <c r="PJX1513" s="879"/>
      <c r="PJY1513" s="879"/>
      <c r="PJZ1513" s="879"/>
      <c r="PKA1513" s="879"/>
      <c r="PKB1513" s="879"/>
      <c r="PKC1513" s="879"/>
      <c r="PKD1513" s="879"/>
      <c r="PKE1513" s="879"/>
      <c r="PKF1513" s="879"/>
      <c r="PKG1513" s="879"/>
      <c r="PKH1513" s="879"/>
      <c r="PKI1513" s="879"/>
      <c r="PKJ1513" s="879"/>
      <c r="PKK1513" s="879"/>
      <c r="PKL1513" s="879"/>
      <c r="PKM1513" s="879"/>
      <c r="PKN1513" s="879"/>
      <c r="PKO1513" s="879"/>
      <c r="PKP1513" s="879"/>
      <c r="PKQ1513" s="879"/>
      <c r="PKR1513" s="879"/>
      <c r="PKS1513" s="879"/>
      <c r="PKT1513" s="879"/>
      <c r="PKU1513" s="879"/>
      <c r="PKV1513" s="879"/>
      <c r="PKW1513" s="879"/>
      <c r="PKX1513" s="879"/>
      <c r="PKY1513" s="879"/>
      <c r="PKZ1513" s="879"/>
      <c r="PLA1513" s="879"/>
      <c r="PLB1513" s="879"/>
      <c r="PLC1513" s="879"/>
      <c r="PLD1513" s="879"/>
      <c r="PLE1513" s="879"/>
      <c r="PLF1513" s="879"/>
      <c r="PLG1513" s="879"/>
      <c r="PLH1513" s="879"/>
      <c r="PLI1513" s="879"/>
      <c r="PLJ1513" s="879"/>
      <c r="PLK1513" s="879"/>
      <c r="PLL1513" s="879"/>
      <c r="PLM1513" s="879"/>
      <c r="PLN1513" s="879"/>
      <c r="PLO1513" s="879"/>
      <c r="PLP1513" s="879"/>
      <c r="PLQ1513" s="879"/>
      <c r="PLR1513" s="879"/>
      <c r="PLS1513" s="879"/>
      <c r="PLT1513" s="879"/>
      <c r="PLU1513" s="879"/>
      <c r="PLV1513" s="879"/>
      <c r="PLW1513" s="879"/>
      <c r="PLX1513" s="879"/>
      <c r="PLY1513" s="879"/>
      <c r="PLZ1513" s="879"/>
      <c r="PMA1513" s="879"/>
      <c r="PMB1513" s="879"/>
      <c r="PMC1513" s="879"/>
      <c r="PMD1513" s="879"/>
      <c r="PME1513" s="879"/>
      <c r="PMF1513" s="879"/>
      <c r="PMG1513" s="879"/>
      <c r="PMH1513" s="879"/>
      <c r="PMI1513" s="879"/>
      <c r="PMJ1513" s="879"/>
      <c r="PMK1513" s="879"/>
      <c r="PML1513" s="879"/>
      <c r="PMM1513" s="879"/>
      <c r="PMN1513" s="879"/>
      <c r="PMO1513" s="879"/>
      <c r="PMP1513" s="879"/>
      <c r="PMQ1513" s="879"/>
      <c r="PMR1513" s="879"/>
      <c r="PMS1513" s="879"/>
      <c r="PMT1513" s="879"/>
      <c r="PMU1513" s="879"/>
      <c r="PMV1513" s="879"/>
      <c r="PMW1513" s="879"/>
      <c r="PMX1513" s="879"/>
      <c r="PMY1513" s="879"/>
      <c r="PMZ1513" s="879"/>
      <c r="PNA1513" s="879"/>
      <c r="PNB1513" s="879"/>
      <c r="PNC1513" s="879"/>
      <c r="PND1513" s="879"/>
      <c r="PNE1513" s="879"/>
      <c r="PNF1513" s="879"/>
      <c r="PNG1513" s="879"/>
      <c r="PNH1513" s="879"/>
      <c r="PNI1513" s="879"/>
      <c r="PNJ1513" s="879"/>
      <c r="PNK1513" s="879"/>
      <c r="PNL1513" s="879"/>
      <c r="PNM1513" s="879"/>
      <c r="PNN1513" s="879"/>
      <c r="PNO1513" s="879"/>
      <c r="PNP1513" s="879"/>
      <c r="PNQ1513" s="879"/>
      <c r="PNR1513" s="879"/>
      <c r="PNS1513" s="879"/>
      <c r="PNT1513" s="879"/>
      <c r="PNU1513" s="879"/>
      <c r="PNV1513" s="879"/>
      <c r="PNW1513" s="879"/>
      <c r="PNX1513" s="879"/>
      <c r="PNY1513" s="879"/>
      <c r="PNZ1513" s="879"/>
      <c r="POA1513" s="879"/>
      <c r="POB1513" s="879"/>
      <c r="POC1513" s="879"/>
      <c r="POD1513" s="879"/>
      <c r="POE1513" s="879"/>
      <c r="POF1513" s="879"/>
      <c r="POG1513" s="879"/>
      <c r="POH1513" s="879"/>
      <c r="POI1513" s="879"/>
      <c r="POJ1513" s="879"/>
      <c r="POK1513" s="879"/>
      <c r="POL1513" s="879"/>
      <c r="POM1513" s="879"/>
      <c r="PON1513" s="879"/>
      <c r="POO1513" s="879"/>
      <c r="POP1513" s="879"/>
      <c r="POQ1513" s="879"/>
      <c r="POR1513" s="879"/>
      <c r="POS1513" s="879"/>
      <c r="POT1513" s="879"/>
      <c r="POU1513" s="879"/>
      <c r="POV1513" s="879"/>
      <c r="POW1513" s="879"/>
      <c r="POX1513" s="879"/>
      <c r="POY1513" s="879"/>
      <c r="POZ1513" s="879"/>
      <c r="PPA1513" s="879"/>
      <c r="PPB1513" s="879"/>
      <c r="PPC1513" s="879"/>
      <c r="PPD1513" s="879"/>
      <c r="PPE1513" s="879"/>
      <c r="PPF1513" s="879"/>
      <c r="PPG1513" s="879"/>
      <c r="PPH1513" s="879"/>
      <c r="PPI1513" s="879"/>
      <c r="PPJ1513" s="879"/>
      <c r="PPK1513" s="879"/>
      <c r="PPL1513" s="879"/>
      <c r="PPM1513" s="879"/>
      <c r="PPN1513" s="879"/>
      <c r="PPO1513" s="879"/>
      <c r="PPP1513" s="879"/>
      <c r="PPQ1513" s="879"/>
      <c r="PPR1513" s="879"/>
      <c r="PPS1513" s="879"/>
      <c r="PPT1513" s="879"/>
      <c r="PPU1513" s="879"/>
      <c r="PPV1513" s="879"/>
      <c r="PPW1513" s="879"/>
      <c r="PPX1513" s="879"/>
      <c r="PPY1513" s="879"/>
      <c r="PPZ1513" s="879"/>
      <c r="PQA1513" s="879"/>
      <c r="PQB1513" s="879"/>
      <c r="PQC1513" s="879"/>
      <c r="PQD1513" s="879"/>
      <c r="PQE1513" s="879"/>
      <c r="PQF1513" s="879"/>
      <c r="PQG1513" s="879"/>
      <c r="PQH1513" s="879"/>
      <c r="PQI1513" s="879"/>
      <c r="PQJ1513" s="879"/>
      <c r="PQK1513" s="879"/>
      <c r="PQL1513" s="879"/>
      <c r="PQM1513" s="879"/>
      <c r="PQN1513" s="879"/>
      <c r="PQO1513" s="879"/>
      <c r="PQP1513" s="879"/>
      <c r="PQQ1513" s="879"/>
      <c r="PQR1513" s="879"/>
      <c r="PQS1513" s="879"/>
      <c r="PQT1513" s="879"/>
      <c r="PQU1513" s="879"/>
      <c r="PQV1513" s="879"/>
      <c r="PQW1513" s="879"/>
      <c r="PQX1513" s="879"/>
      <c r="PQY1513" s="879"/>
      <c r="PQZ1513" s="879"/>
      <c r="PRA1513" s="879"/>
      <c r="PRB1513" s="879"/>
      <c r="PRC1513" s="879"/>
      <c r="PRD1513" s="879"/>
      <c r="PRE1513" s="879"/>
      <c r="PRF1513" s="879"/>
      <c r="PRG1513" s="879"/>
      <c r="PRH1513" s="879"/>
      <c r="PRI1513" s="879"/>
      <c r="PRJ1513" s="879"/>
      <c r="PRK1513" s="879"/>
      <c r="PRL1513" s="879"/>
      <c r="PRM1513" s="879"/>
      <c r="PRN1513" s="879"/>
      <c r="PRO1513" s="879"/>
      <c r="PRP1513" s="879"/>
      <c r="PRQ1513" s="879"/>
      <c r="PRR1513" s="879"/>
      <c r="PRS1513" s="879"/>
      <c r="PRT1513" s="879"/>
      <c r="PRU1513" s="879"/>
      <c r="PRV1513" s="879"/>
      <c r="PRW1513" s="879"/>
      <c r="PRX1513" s="879"/>
      <c r="PRY1513" s="879"/>
      <c r="PRZ1513" s="879"/>
      <c r="PSA1513" s="879"/>
      <c r="PSB1513" s="879"/>
      <c r="PSC1513" s="879"/>
      <c r="PSD1513" s="879"/>
      <c r="PSE1513" s="879"/>
      <c r="PSF1513" s="879"/>
      <c r="PSG1513" s="879"/>
      <c r="PSH1513" s="879"/>
      <c r="PSI1513" s="879"/>
      <c r="PSJ1513" s="879"/>
      <c r="PSK1513" s="879"/>
      <c r="PSL1513" s="879"/>
      <c r="PSM1513" s="879"/>
      <c r="PSN1513" s="879"/>
      <c r="PSO1513" s="879"/>
      <c r="PSP1513" s="879"/>
      <c r="PSQ1513" s="879"/>
      <c r="PSR1513" s="879"/>
      <c r="PSS1513" s="879"/>
      <c r="PST1513" s="879"/>
      <c r="PSU1513" s="879"/>
      <c r="PSV1513" s="879"/>
      <c r="PSW1513" s="879"/>
      <c r="PSX1513" s="879"/>
      <c r="PSY1513" s="879"/>
      <c r="PSZ1513" s="879"/>
      <c r="PTA1513" s="879"/>
      <c r="PTB1513" s="879"/>
      <c r="PTC1513" s="879"/>
      <c r="PTD1513" s="879"/>
      <c r="PTE1513" s="879"/>
      <c r="PTF1513" s="879"/>
      <c r="PTG1513" s="879"/>
      <c r="PTH1513" s="879"/>
      <c r="PTI1513" s="879"/>
      <c r="PTJ1513" s="879"/>
      <c r="PTK1513" s="879"/>
      <c r="PTL1513" s="879"/>
      <c r="PTM1513" s="879"/>
      <c r="PTN1513" s="879"/>
      <c r="PTO1513" s="879"/>
      <c r="PTP1513" s="879"/>
      <c r="PTQ1513" s="879"/>
      <c r="PTR1513" s="879"/>
      <c r="PTS1513" s="879"/>
      <c r="PTT1513" s="879"/>
      <c r="PTU1513" s="879"/>
      <c r="PTV1513" s="879"/>
      <c r="PTW1513" s="879"/>
      <c r="PTX1513" s="879"/>
      <c r="PTY1513" s="879"/>
      <c r="PTZ1513" s="879"/>
      <c r="PUA1513" s="879"/>
      <c r="PUB1513" s="879"/>
      <c r="PUC1513" s="879"/>
      <c r="PUD1513" s="879"/>
      <c r="PUE1513" s="879"/>
      <c r="PUF1513" s="879"/>
      <c r="PUG1513" s="879"/>
      <c r="PUH1513" s="879"/>
      <c r="PUI1513" s="879"/>
      <c r="PUJ1513" s="879"/>
      <c r="PUK1513" s="879"/>
      <c r="PUL1513" s="879"/>
      <c r="PUM1513" s="879"/>
      <c r="PUN1513" s="879"/>
      <c r="PUO1513" s="879"/>
      <c r="PUP1513" s="879"/>
      <c r="PUQ1513" s="879"/>
      <c r="PUR1513" s="879"/>
      <c r="PUS1513" s="879"/>
      <c r="PUT1513" s="879"/>
      <c r="PUU1513" s="879"/>
      <c r="PUV1513" s="879"/>
      <c r="PUW1513" s="879"/>
      <c r="PUX1513" s="879"/>
      <c r="PUY1513" s="879"/>
      <c r="PUZ1513" s="879"/>
      <c r="PVA1513" s="879"/>
      <c r="PVB1513" s="879"/>
      <c r="PVC1513" s="879"/>
      <c r="PVD1513" s="879"/>
      <c r="PVE1513" s="879"/>
      <c r="PVF1513" s="879"/>
      <c r="PVG1513" s="879"/>
      <c r="PVH1513" s="879"/>
      <c r="PVI1513" s="879"/>
      <c r="PVJ1513" s="879"/>
      <c r="PVK1513" s="879"/>
      <c r="PVL1513" s="879"/>
      <c r="PVM1513" s="879"/>
      <c r="PVN1513" s="879"/>
      <c r="PVO1513" s="879"/>
      <c r="PVP1513" s="879"/>
      <c r="PVQ1513" s="879"/>
      <c r="PVR1513" s="879"/>
      <c r="PVS1513" s="879"/>
      <c r="PVT1513" s="879"/>
      <c r="PVU1513" s="879"/>
      <c r="PVV1513" s="879"/>
      <c r="PVW1513" s="879"/>
      <c r="PVX1513" s="879"/>
      <c r="PVY1513" s="879"/>
      <c r="PVZ1513" s="879"/>
      <c r="PWA1513" s="879"/>
      <c r="PWB1513" s="879"/>
      <c r="PWC1513" s="879"/>
      <c r="PWD1513" s="879"/>
      <c r="PWE1513" s="879"/>
      <c r="PWF1513" s="879"/>
      <c r="PWG1513" s="879"/>
      <c r="PWH1513" s="879"/>
      <c r="PWI1513" s="879"/>
      <c r="PWJ1513" s="879"/>
      <c r="PWK1513" s="879"/>
      <c r="PWL1513" s="879"/>
      <c r="PWM1513" s="879"/>
      <c r="PWN1513" s="879"/>
      <c r="PWO1513" s="879"/>
      <c r="PWP1513" s="879"/>
      <c r="PWQ1513" s="879"/>
      <c r="PWR1513" s="879"/>
      <c r="PWS1513" s="879"/>
      <c r="PWT1513" s="879"/>
      <c r="PWU1513" s="879"/>
      <c r="PWV1513" s="879"/>
      <c r="PWW1513" s="879"/>
      <c r="PWX1513" s="879"/>
      <c r="PWY1513" s="879"/>
      <c r="PWZ1513" s="879"/>
      <c r="PXA1513" s="879"/>
      <c r="PXB1513" s="879"/>
      <c r="PXC1513" s="879"/>
      <c r="PXD1513" s="879"/>
      <c r="PXE1513" s="879"/>
      <c r="PXF1513" s="879"/>
      <c r="PXG1513" s="879"/>
      <c r="PXH1513" s="879"/>
      <c r="PXI1513" s="879"/>
      <c r="PXJ1513" s="879"/>
      <c r="PXK1513" s="879"/>
      <c r="PXL1513" s="879"/>
      <c r="PXM1513" s="879"/>
      <c r="PXN1513" s="879"/>
      <c r="PXO1513" s="879"/>
      <c r="PXP1513" s="879"/>
      <c r="PXQ1513" s="879"/>
      <c r="PXR1513" s="879"/>
      <c r="PXS1513" s="879"/>
      <c r="PXT1513" s="879"/>
      <c r="PXU1513" s="879"/>
      <c r="PXV1513" s="879"/>
      <c r="PXW1513" s="879"/>
      <c r="PXX1513" s="879"/>
      <c r="PXY1513" s="879"/>
      <c r="PXZ1513" s="879"/>
      <c r="PYA1513" s="879"/>
      <c r="PYB1513" s="879"/>
      <c r="PYC1513" s="879"/>
      <c r="PYD1513" s="879"/>
      <c r="PYE1513" s="879"/>
      <c r="PYF1513" s="879"/>
      <c r="PYG1513" s="879"/>
      <c r="PYH1513" s="879"/>
      <c r="PYI1513" s="879"/>
      <c r="PYJ1513" s="879"/>
      <c r="PYK1513" s="879"/>
      <c r="PYL1513" s="879"/>
      <c r="PYM1513" s="879"/>
      <c r="PYN1513" s="879"/>
      <c r="PYO1513" s="879"/>
      <c r="PYP1513" s="879"/>
      <c r="PYQ1513" s="879"/>
      <c r="PYR1513" s="879"/>
      <c r="PYS1513" s="879"/>
      <c r="PYT1513" s="879"/>
      <c r="PYU1513" s="879"/>
      <c r="PYV1513" s="879"/>
      <c r="PYW1513" s="879"/>
      <c r="PYX1513" s="879"/>
      <c r="PYY1513" s="879"/>
      <c r="PYZ1513" s="879"/>
      <c r="PZA1513" s="879"/>
      <c r="PZB1513" s="879"/>
      <c r="PZC1513" s="879"/>
      <c r="PZD1513" s="879"/>
      <c r="PZE1513" s="879"/>
      <c r="PZF1513" s="879"/>
      <c r="PZG1513" s="879"/>
      <c r="PZH1513" s="879"/>
      <c r="PZI1513" s="879"/>
      <c r="PZJ1513" s="879"/>
      <c r="PZK1513" s="879"/>
      <c r="PZL1513" s="879"/>
      <c r="PZM1513" s="879"/>
      <c r="PZN1513" s="879"/>
      <c r="PZO1513" s="879"/>
      <c r="PZP1513" s="879"/>
      <c r="PZQ1513" s="879"/>
      <c r="PZR1513" s="879"/>
      <c r="PZS1513" s="879"/>
      <c r="PZT1513" s="879"/>
      <c r="PZU1513" s="879"/>
      <c r="PZV1513" s="879"/>
      <c r="PZW1513" s="879"/>
      <c r="PZX1513" s="879"/>
      <c r="PZY1513" s="879"/>
      <c r="PZZ1513" s="879"/>
      <c r="QAA1513" s="879"/>
      <c r="QAB1513" s="879"/>
      <c r="QAC1513" s="879"/>
      <c r="QAD1513" s="879"/>
      <c r="QAE1513" s="879"/>
      <c r="QAF1513" s="879"/>
      <c r="QAG1513" s="879"/>
      <c r="QAH1513" s="879"/>
      <c r="QAI1513" s="879"/>
      <c r="QAJ1513" s="879"/>
      <c r="QAK1513" s="879"/>
      <c r="QAL1513" s="879"/>
      <c r="QAM1513" s="879"/>
      <c r="QAN1513" s="879"/>
      <c r="QAO1513" s="879"/>
      <c r="QAP1513" s="879"/>
      <c r="QAQ1513" s="879"/>
      <c r="QAR1513" s="879"/>
      <c r="QAS1513" s="879"/>
      <c r="QAT1513" s="879"/>
      <c r="QAU1513" s="879"/>
      <c r="QAV1513" s="879"/>
      <c r="QAW1513" s="879"/>
      <c r="QAX1513" s="879"/>
      <c r="QAY1513" s="879"/>
      <c r="QAZ1513" s="879"/>
      <c r="QBA1513" s="879"/>
      <c r="QBB1513" s="879"/>
      <c r="QBC1513" s="879"/>
      <c r="QBD1513" s="879"/>
      <c r="QBE1513" s="879"/>
      <c r="QBF1513" s="879"/>
      <c r="QBG1513" s="879"/>
      <c r="QBH1513" s="879"/>
      <c r="QBI1513" s="879"/>
      <c r="QBJ1513" s="879"/>
      <c r="QBK1513" s="879"/>
      <c r="QBL1513" s="879"/>
      <c r="QBM1513" s="879"/>
      <c r="QBN1513" s="879"/>
      <c r="QBO1513" s="879"/>
      <c r="QBP1513" s="879"/>
      <c r="QBQ1513" s="879"/>
      <c r="QBR1513" s="879"/>
      <c r="QBS1513" s="879"/>
      <c r="QBT1513" s="879"/>
      <c r="QBU1513" s="879"/>
      <c r="QBV1513" s="879"/>
      <c r="QBW1513" s="879"/>
      <c r="QBX1513" s="879"/>
      <c r="QBY1513" s="879"/>
      <c r="QBZ1513" s="879"/>
      <c r="QCA1513" s="879"/>
      <c r="QCB1513" s="879"/>
      <c r="QCC1513" s="879"/>
      <c r="QCD1513" s="879"/>
      <c r="QCE1513" s="879"/>
      <c r="QCF1513" s="879"/>
      <c r="QCG1513" s="879"/>
      <c r="QCH1513" s="879"/>
      <c r="QCI1513" s="879"/>
      <c r="QCJ1513" s="879"/>
      <c r="QCK1513" s="879"/>
      <c r="QCL1513" s="879"/>
      <c r="QCM1513" s="879"/>
      <c r="QCN1513" s="879"/>
      <c r="QCO1513" s="879"/>
      <c r="QCP1513" s="879"/>
      <c r="QCQ1513" s="879"/>
      <c r="QCR1513" s="879"/>
      <c r="QCS1513" s="879"/>
      <c r="QCT1513" s="879"/>
      <c r="QCU1513" s="879"/>
      <c r="QCV1513" s="879"/>
      <c r="QCW1513" s="879"/>
      <c r="QCX1513" s="879"/>
      <c r="QCY1513" s="879"/>
      <c r="QCZ1513" s="879"/>
      <c r="QDA1513" s="879"/>
      <c r="QDB1513" s="879"/>
      <c r="QDC1513" s="879"/>
      <c r="QDD1513" s="879"/>
      <c r="QDE1513" s="879"/>
      <c r="QDF1513" s="879"/>
      <c r="QDG1513" s="879"/>
      <c r="QDH1513" s="879"/>
      <c r="QDI1513" s="879"/>
      <c r="QDJ1513" s="879"/>
      <c r="QDK1513" s="879"/>
      <c r="QDL1513" s="879"/>
      <c r="QDM1513" s="879"/>
      <c r="QDN1513" s="879"/>
      <c r="QDO1513" s="879"/>
      <c r="QDP1513" s="879"/>
      <c r="QDQ1513" s="879"/>
      <c r="QDR1513" s="879"/>
      <c r="QDS1513" s="879"/>
      <c r="QDT1513" s="879"/>
      <c r="QDU1513" s="879"/>
      <c r="QDV1513" s="879"/>
      <c r="QDW1513" s="879"/>
      <c r="QDX1513" s="879"/>
      <c r="QDY1513" s="879"/>
      <c r="QDZ1513" s="879"/>
      <c r="QEA1513" s="879"/>
      <c r="QEB1513" s="879"/>
      <c r="QEC1513" s="879"/>
      <c r="QED1513" s="879"/>
      <c r="QEE1513" s="879"/>
      <c r="QEF1513" s="879"/>
      <c r="QEG1513" s="879"/>
      <c r="QEH1513" s="879"/>
      <c r="QEI1513" s="879"/>
      <c r="QEJ1513" s="879"/>
      <c r="QEK1513" s="879"/>
      <c r="QEL1513" s="879"/>
      <c r="QEM1513" s="879"/>
      <c r="QEN1513" s="879"/>
      <c r="QEO1513" s="879"/>
      <c r="QEP1513" s="879"/>
      <c r="QEQ1513" s="879"/>
      <c r="QER1513" s="879"/>
      <c r="QES1513" s="879"/>
      <c r="QET1513" s="879"/>
      <c r="QEU1513" s="879"/>
      <c r="QEV1513" s="879"/>
      <c r="QEW1513" s="879"/>
      <c r="QEX1513" s="879"/>
      <c r="QEY1513" s="879"/>
      <c r="QEZ1513" s="879"/>
      <c r="QFA1513" s="879"/>
      <c r="QFB1513" s="879"/>
      <c r="QFC1513" s="879"/>
      <c r="QFD1513" s="879"/>
      <c r="QFE1513" s="879"/>
      <c r="QFF1513" s="879"/>
      <c r="QFG1513" s="879"/>
      <c r="QFH1513" s="879"/>
      <c r="QFI1513" s="879"/>
      <c r="QFJ1513" s="879"/>
      <c r="QFK1513" s="879"/>
      <c r="QFL1513" s="879"/>
      <c r="QFM1513" s="879"/>
      <c r="QFN1513" s="879"/>
      <c r="QFO1513" s="879"/>
      <c r="QFP1513" s="879"/>
      <c r="QFQ1513" s="879"/>
      <c r="QFR1513" s="879"/>
      <c r="QFS1513" s="879"/>
      <c r="QFT1513" s="879"/>
      <c r="QFU1513" s="879"/>
      <c r="QFV1513" s="879"/>
      <c r="QFW1513" s="879"/>
      <c r="QFX1513" s="879"/>
      <c r="QFY1513" s="879"/>
      <c r="QFZ1513" s="879"/>
      <c r="QGA1513" s="879"/>
      <c r="QGB1513" s="879"/>
      <c r="QGC1513" s="879"/>
      <c r="QGD1513" s="879"/>
      <c r="QGE1513" s="879"/>
      <c r="QGF1513" s="879"/>
      <c r="QGG1513" s="879"/>
      <c r="QGH1513" s="879"/>
      <c r="QGI1513" s="879"/>
      <c r="QGJ1513" s="879"/>
      <c r="QGK1513" s="879"/>
      <c r="QGL1513" s="879"/>
      <c r="QGM1513" s="879"/>
      <c r="QGN1513" s="879"/>
      <c r="QGO1513" s="879"/>
      <c r="QGP1513" s="879"/>
      <c r="QGQ1513" s="879"/>
      <c r="QGR1513" s="879"/>
      <c r="QGS1513" s="879"/>
      <c r="QGT1513" s="879"/>
      <c r="QGU1513" s="879"/>
      <c r="QGV1513" s="879"/>
      <c r="QGW1513" s="879"/>
      <c r="QGX1513" s="879"/>
      <c r="QGY1513" s="879"/>
      <c r="QGZ1513" s="879"/>
      <c r="QHA1513" s="879"/>
      <c r="QHB1513" s="879"/>
      <c r="QHC1513" s="879"/>
      <c r="QHD1513" s="879"/>
      <c r="QHE1513" s="879"/>
      <c r="QHF1513" s="879"/>
      <c r="QHG1513" s="879"/>
      <c r="QHH1513" s="879"/>
      <c r="QHI1513" s="879"/>
      <c r="QHJ1513" s="879"/>
      <c r="QHK1513" s="879"/>
      <c r="QHL1513" s="879"/>
      <c r="QHM1513" s="879"/>
      <c r="QHN1513" s="879"/>
      <c r="QHO1513" s="879"/>
      <c r="QHP1513" s="879"/>
      <c r="QHQ1513" s="879"/>
      <c r="QHR1513" s="879"/>
      <c r="QHS1513" s="879"/>
      <c r="QHT1513" s="879"/>
      <c r="QHU1513" s="879"/>
      <c r="QHV1513" s="879"/>
      <c r="QHW1513" s="879"/>
      <c r="QHX1513" s="879"/>
      <c r="QHY1513" s="879"/>
      <c r="QHZ1513" s="879"/>
      <c r="QIA1513" s="879"/>
      <c r="QIB1513" s="879"/>
      <c r="QIC1513" s="879"/>
      <c r="QID1513" s="879"/>
      <c r="QIE1513" s="879"/>
      <c r="QIF1513" s="879"/>
      <c r="QIG1513" s="879"/>
      <c r="QIH1513" s="879"/>
      <c r="QII1513" s="879"/>
      <c r="QIJ1513" s="879"/>
      <c r="QIK1513" s="879"/>
      <c r="QIL1513" s="879"/>
      <c r="QIM1513" s="879"/>
      <c r="QIN1513" s="879"/>
      <c r="QIO1513" s="879"/>
      <c r="QIP1513" s="879"/>
      <c r="QIQ1513" s="879"/>
      <c r="QIR1513" s="879"/>
      <c r="QIS1513" s="879"/>
      <c r="QIT1513" s="879"/>
      <c r="QIU1513" s="879"/>
      <c r="QIV1513" s="879"/>
      <c r="QIW1513" s="879"/>
      <c r="QIX1513" s="879"/>
      <c r="QIY1513" s="879"/>
      <c r="QIZ1513" s="879"/>
      <c r="QJA1513" s="879"/>
      <c r="QJB1513" s="879"/>
      <c r="QJC1513" s="879"/>
      <c r="QJD1513" s="879"/>
      <c r="QJE1513" s="879"/>
      <c r="QJF1513" s="879"/>
      <c r="QJG1513" s="879"/>
      <c r="QJH1513" s="879"/>
      <c r="QJI1513" s="879"/>
      <c r="QJJ1513" s="879"/>
      <c r="QJK1513" s="879"/>
      <c r="QJL1513" s="879"/>
      <c r="QJM1513" s="879"/>
      <c r="QJN1513" s="879"/>
      <c r="QJO1513" s="879"/>
      <c r="QJP1513" s="879"/>
      <c r="QJQ1513" s="879"/>
      <c r="QJR1513" s="879"/>
      <c r="QJS1513" s="879"/>
      <c r="QJT1513" s="879"/>
      <c r="QJU1513" s="879"/>
      <c r="QJV1513" s="879"/>
      <c r="QJW1513" s="879"/>
      <c r="QJX1513" s="879"/>
      <c r="QJY1513" s="879"/>
      <c r="QJZ1513" s="879"/>
      <c r="QKA1513" s="879"/>
      <c r="QKB1513" s="879"/>
      <c r="QKC1513" s="879"/>
      <c r="QKD1513" s="879"/>
      <c r="QKE1513" s="879"/>
      <c r="QKF1513" s="879"/>
      <c r="QKG1513" s="879"/>
      <c r="QKH1513" s="879"/>
      <c r="QKI1513" s="879"/>
      <c r="QKJ1513" s="879"/>
      <c r="QKK1513" s="879"/>
      <c r="QKL1513" s="879"/>
      <c r="QKM1513" s="879"/>
      <c r="QKN1513" s="879"/>
      <c r="QKO1513" s="879"/>
      <c r="QKP1513" s="879"/>
      <c r="QKQ1513" s="879"/>
      <c r="QKR1513" s="879"/>
      <c r="QKS1513" s="879"/>
      <c r="QKT1513" s="879"/>
      <c r="QKU1513" s="879"/>
      <c r="QKV1513" s="879"/>
      <c r="QKW1513" s="879"/>
      <c r="QKX1513" s="879"/>
      <c r="QKY1513" s="879"/>
      <c r="QKZ1513" s="879"/>
      <c r="QLA1513" s="879"/>
      <c r="QLB1513" s="879"/>
      <c r="QLC1513" s="879"/>
      <c r="QLD1513" s="879"/>
      <c r="QLE1513" s="879"/>
      <c r="QLF1513" s="879"/>
      <c r="QLG1513" s="879"/>
      <c r="QLH1513" s="879"/>
      <c r="QLI1513" s="879"/>
      <c r="QLJ1513" s="879"/>
      <c r="QLK1513" s="879"/>
      <c r="QLL1513" s="879"/>
      <c r="QLM1513" s="879"/>
      <c r="QLN1513" s="879"/>
      <c r="QLO1513" s="879"/>
      <c r="QLP1513" s="879"/>
      <c r="QLQ1513" s="879"/>
      <c r="QLR1513" s="879"/>
      <c r="QLS1513" s="879"/>
      <c r="QLT1513" s="879"/>
      <c r="QLU1513" s="879"/>
      <c r="QLV1513" s="879"/>
      <c r="QLW1513" s="879"/>
      <c r="QLX1513" s="879"/>
      <c r="QLY1513" s="879"/>
      <c r="QLZ1513" s="879"/>
      <c r="QMA1513" s="879"/>
      <c r="QMB1513" s="879"/>
      <c r="QMC1513" s="879"/>
      <c r="QMD1513" s="879"/>
      <c r="QME1513" s="879"/>
      <c r="QMF1513" s="879"/>
      <c r="QMG1513" s="879"/>
      <c r="QMH1513" s="879"/>
      <c r="QMI1513" s="879"/>
      <c r="QMJ1513" s="879"/>
      <c r="QMK1513" s="879"/>
      <c r="QML1513" s="879"/>
      <c r="QMM1513" s="879"/>
      <c r="QMN1513" s="879"/>
      <c r="QMO1513" s="879"/>
      <c r="QMP1513" s="879"/>
      <c r="QMQ1513" s="879"/>
      <c r="QMR1513" s="879"/>
      <c r="QMS1513" s="879"/>
      <c r="QMT1513" s="879"/>
      <c r="QMU1513" s="879"/>
      <c r="QMV1513" s="879"/>
      <c r="QMW1513" s="879"/>
      <c r="QMX1513" s="879"/>
      <c r="QMY1513" s="879"/>
      <c r="QMZ1513" s="879"/>
      <c r="QNA1513" s="879"/>
      <c r="QNB1513" s="879"/>
      <c r="QNC1513" s="879"/>
      <c r="QND1513" s="879"/>
      <c r="QNE1513" s="879"/>
      <c r="QNF1513" s="879"/>
      <c r="QNG1513" s="879"/>
      <c r="QNH1513" s="879"/>
      <c r="QNI1513" s="879"/>
      <c r="QNJ1513" s="879"/>
      <c r="QNK1513" s="879"/>
      <c r="QNL1513" s="879"/>
      <c r="QNM1513" s="879"/>
      <c r="QNN1513" s="879"/>
      <c r="QNO1513" s="879"/>
      <c r="QNP1513" s="879"/>
      <c r="QNQ1513" s="879"/>
      <c r="QNR1513" s="879"/>
      <c r="QNS1513" s="879"/>
      <c r="QNT1513" s="879"/>
      <c r="QNU1513" s="879"/>
      <c r="QNV1513" s="879"/>
      <c r="QNW1513" s="879"/>
      <c r="QNX1513" s="879"/>
      <c r="QNY1513" s="879"/>
      <c r="QNZ1513" s="879"/>
      <c r="QOA1513" s="879"/>
      <c r="QOB1513" s="879"/>
      <c r="QOC1513" s="879"/>
      <c r="QOD1513" s="879"/>
      <c r="QOE1513" s="879"/>
      <c r="QOF1513" s="879"/>
      <c r="QOG1513" s="879"/>
      <c r="QOH1513" s="879"/>
      <c r="QOI1513" s="879"/>
      <c r="QOJ1513" s="879"/>
      <c r="QOK1513" s="879"/>
      <c r="QOL1513" s="879"/>
      <c r="QOM1513" s="879"/>
      <c r="QON1513" s="879"/>
      <c r="QOO1513" s="879"/>
      <c r="QOP1513" s="879"/>
      <c r="QOQ1513" s="879"/>
      <c r="QOR1513" s="879"/>
      <c r="QOS1513" s="879"/>
      <c r="QOT1513" s="879"/>
      <c r="QOU1513" s="879"/>
      <c r="QOV1513" s="879"/>
      <c r="QOW1513" s="879"/>
      <c r="QOX1513" s="879"/>
      <c r="QOY1513" s="879"/>
      <c r="QOZ1513" s="879"/>
      <c r="QPA1513" s="879"/>
      <c r="QPB1513" s="879"/>
      <c r="QPC1513" s="879"/>
      <c r="QPD1513" s="879"/>
      <c r="QPE1513" s="879"/>
      <c r="QPF1513" s="879"/>
      <c r="QPG1513" s="879"/>
      <c r="QPH1513" s="879"/>
      <c r="QPI1513" s="879"/>
      <c r="QPJ1513" s="879"/>
      <c r="QPK1513" s="879"/>
      <c r="QPL1513" s="879"/>
      <c r="QPM1513" s="879"/>
      <c r="QPN1513" s="879"/>
      <c r="QPO1513" s="879"/>
      <c r="QPP1513" s="879"/>
      <c r="QPQ1513" s="879"/>
      <c r="QPR1513" s="879"/>
      <c r="QPS1513" s="879"/>
      <c r="QPT1513" s="879"/>
      <c r="QPU1513" s="879"/>
      <c r="QPV1513" s="879"/>
      <c r="QPW1513" s="879"/>
      <c r="QPX1513" s="879"/>
      <c r="QPY1513" s="879"/>
      <c r="QPZ1513" s="879"/>
      <c r="QQA1513" s="879"/>
      <c r="QQB1513" s="879"/>
      <c r="QQC1513" s="879"/>
      <c r="QQD1513" s="879"/>
      <c r="QQE1513" s="879"/>
      <c r="QQF1513" s="879"/>
      <c r="QQG1513" s="879"/>
      <c r="QQH1513" s="879"/>
      <c r="QQI1513" s="879"/>
      <c r="QQJ1513" s="879"/>
      <c r="QQK1513" s="879"/>
      <c r="QQL1513" s="879"/>
      <c r="QQM1513" s="879"/>
      <c r="QQN1513" s="879"/>
      <c r="QQO1513" s="879"/>
      <c r="QQP1513" s="879"/>
      <c r="QQQ1513" s="879"/>
      <c r="QQR1513" s="879"/>
      <c r="QQS1513" s="879"/>
      <c r="QQT1513" s="879"/>
      <c r="QQU1513" s="879"/>
      <c r="QQV1513" s="879"/>
      <c r="QQW1513" s="879"/>
      <c r="QQX1513" s="879"/>
      <c r="QQY1513" s="879"/>
      <c r="QQZ1513" s="879"/>
      <c r="QRA1513" s="879"/>
      <c r="QRB1513" s="879"/>
      <c r="QRC1513" s="879"/>
      <c r="QRD1513" s="879"/>
      <c r="QRE1513" s="879"/>
      <c r="QRF1513" s="879"/>
      <c r="QRG1513" s="879"/>
      <c r="QRH1513" s="879"/>
      <c r="QRI1513" s="879"/>
      <c r="QRJ1513" s="879"/>
      <c r="QRK1513" s="879"/>
      <c r="QRL1513" s="879"/>
      <c r="QRM1513" s="879"/>
      <c r="QRN1513" s="879"/>
      <c r="QRO1513" s="879"/>
      <c r="QRP1513" s="879"/>
      <c r="QRQ1513" s="879"/>
      <c r="QRR1513" s="879"/>
      <c r="QRS1513" s="879"/>
      <c r="QRT1513" s="879"/>
      <c r="QRU1513" s="879"/>
      <c r="QRV1513" s="879"/>
      <c r="QRW1513" s="879"/>
      <c r="QRX1513" s="879"/>
      <c r="QRY1513" s="879"/>
      <c r="QRZ1513" s="879"/>
      <c r="QSA1513" s="879"/>
      <c r="QSB1513" s="879"/>
      <c r="QSC1513" s="879"/>
      <c r="QSD1513" s="879"/>
      <c r="QSE1513" s="879"/>
      <c r="QSF1513" s="879"/>
      <c r="QSG1513" s="879"/>
      <c r="QSH1513" s="879"/>
      <c r="QSI1513" s="879"/>
      <c r="QSJ1513" s="879"/>
      <c r="QSK1513" s="879"/>
      <c r="QSL1513" s="879"/>
      <c r="QSM1513" s="879"/>
      <c r="QSN1513" s="879"/>
      <c r="QSO1513" s="879"/>
      <c r="QSP1513" s="879"/>
      <c r="QSQ1513" s="879"/>
      <c r="QSR1513" s="879"/>
      <c r="QSS1513" s="879"/>
      <c r="QST1513" s="879"/>
      <c r="QSU1513" s="879"/>
      <c r="QSV1513" s="879"/>
      <c r="QSW1513" s="879"/>
      <c r="QSX1513" s="879"/>
      <c r="QSY1513" s="879"/>
      <c r="QSZ1513" s="879"/>
      <c r="QTA1513" s="879"/>
      <c r="QTB1513" s="879"/>
      <c r="QTC1513" s="879"/>
      <c r="QTD1513" s="879"/>
      <c r="QTE1513" s="879"/>
      <c r="QTF1513" s="879"/>
      <c r="QTG1513" s="879"/>
      <c r="QTH1513" s="879"/>
      <c r="QTI1513" s="879"/>
      <c r="QTJ1513" s="879"/>
      <c r="QTK1513" s="879"/>
      <c r="QTL1513" s="879"/>
      <c r="QTM1513" s="879"/>
      <c r="QTN1513" s="879"/>
      <c r="QTO1513" s="879"/>
      <c r="QTP1513" s="879"/>
      <c r="QTQ1513" s="879"/>
      <c r="QTR1513" s="879"/>
      <c r="QTS1513" s="879"/>
      <c r="QTT1513" s="879"/>
      <c r="QTU1513" s="879"/>
      <c r="QTV1513" s="879"/>
      <c r="QTW1513" s="879"/>
      <c r="QTX1513" s="879"/>
      <c r="QTY1513" s="879"/>
      <c r="QTZ1513" s="879"/>
      <c r="QUA1513" s="879"/>
      <c r="QUB1513" s="879"/>
      <c r="QUC1513" s="879"/>
      <c r="QUD1513" s="879"/>
      <c r="QUE1513" s="879"/>
      <c r="QUF1513" s="879"/>
      <c r="QUG1513" s="879"/>
      <c r="QUH1513" s="879"/>
      <c r="QUI1513" s="879"/>
      <c r="QUJ1513" s="879"/>
      <c r="QUK1513" s="879"/>
      <c r="QUL1513" s="879"/>
      <c r="QUM1513" s="879"/>
      <c r="QUN1513" s="879"/>
      <c r="QUO1513" s="879"/>
      <c r="QUP1513" s="879"/>
      <c r="QUQ1513" s="879"/>
      <c r="QUR1513" s="879"/>
      <c r="QUS1513" s="879"/>
      <c r="QUT1513" s="879"/>
      <c r="QUU1513" s="879"/>
      <c r="QUV1513" s="879"/>
      <c r="QUW1513" s="879"/>
      <c r="QUX1513" s="879"/>
      <c r="QUY1513" s="879"/>
      <c r="QUZ1513" s="879"/>
      <c r="QVA1513" s="879"/>
      <c r="QVB1513" s="879"/>
      <c r="QVC1513" s="879"/>
      <c r="QVD1513" s="879"/>
      <c r="QVE1513" s="879"/>
      <c r="QVF1513" s="879"/>
      <c r="QVG1513" s="879"/>
      <c r="QVH1513" s="879"/>
      <c r="QVI1513" s="879"/>
      <c r="QVJ1513" s="879"/>
      <c r="QVK1513" s="879"/>
      <c r="QVL1513" s="879"/>
      <c r="QVM1513" s="879"/>
      <c r="QVN1513" s="879"/>
      <c r="QVO1513" s="879"/>
      <c r="QVP1513" s="879"/>
      <c r="QVQ1513" s="879"/>
      <c r="QVR1513" s="879"/>
      <c r="QVS1513" s="879"/>
      <c r="QVT1513" s="879"/>
      <c r="QVU1513" s="879"/>
      <c r="QVV1513" s="879"/>
      <c r="QVW1513" s="879"/>
      <c r="QVX1513" s="879"/>
      <c r="QVY1513" s="879"/>
      <c r="QVZ1513" s="879"/>
      <c r="QWA1513" s="879"/>
      <c r="QWB1513" s="879"/>
      <c r="QWC1513" s="879"/>
      <c r="QWD1513" s="879"/>
      <c r="QWE1513" s="879"/>
      <c r="QWF1513" s="879"/>
      <c r="QWG1513" s="879"/>
      <c r="QWH1513" s="879"/>
      <c r="QWI1513" s="879"/>
      <c r="QWJ1513" s="879"/>
      <c r="QWK1513" s="879"/>
      <c r="QWL1513" s="879"/>
      <c r="QWM1513" s="879"/>
      <c r="QWN1513" s="879"/>
      <c r="QWO1513" s="879"/>
      <c r="QWP1513" s="879"/>
      <c r="QWQ1513" s="879"/>
      <c r="QWR1513" s="879"/>
      <c r="QWS1513" s="879"/>
      <c r="QWT1513" s="879"/>
      <c r="QWU1513" s="879"/>
      <c r="QWV1513" s="879"/>
      <c r="QWW1513" s="879"/>
      <c r="QWX1513" s="879"/>
      <c r="QWY1513" s="879"/>
      <c r="QWZ1513" s="879"/>
      <c r="QXA1513" s="879"/>
      <c r="QXB1513" s="879"/>
      <c r="QXC1513" s="879"/>
      <c r="QXD1513" s="879"/>
      <c r="QXE1513" s="879"/>
      <c r="QXF1513" s="879"/>
      <c r="QXG1513" s="879"/>
      <c r="QXH1513" s="879"/>
      <c r="QXI1513" s="879"/>
      <c r="QXJ1513" s="879"/>
      <c r="QXK1513" s="879"/>
      <c r="QXL1513" s="879"/>
      <c r="QXM1513" s="879"/>
      <c r="QXN1513" s="879"/>
      <c r="QXO1513" s="879"/>
      <c r="QXP1513" s="879"/>
      <c r="QXQ1513" s="879"/>
      <c r="QXR1513" s="879"/>
      <c r="QXS1513" s="879"/>
      <c r="QXT1513" s="879"/>
      <c r="QXU1513" s="879"/>
      <c r="QXV1513" s="879"/>
      <c r="QXW1513" s="879"/>
      <c r="QXX1513" s="879"/>
      <c r="QXY1513" s="879"/>
      <c r="QXZ1513" s="879"/>
      <c r="QYA1513" s="879"/>
      <c r="QYB1513" s="879"/>
      <c r="QYC1513" s="879"/>
      <c r="QYD1513" s="879"/>
      <c r="QYE1513" s="879"/>
      <c r="QYF1513" s="879"/>
      <c r="QYG1513" s="879"/>
      <c r="QYH1513" s="879"/>
      <c r="QYI1513" s="879"/>
      <c r="QYJ1513" s="879"/>
      <c r="QYK1513" s="879"/>
      <c r="QYL1513" s="879"/>
      <c r="QYM1513" s="879"/>
      <c r="QYN1513" s="879"/>
      <c r="QYO1513" s="879"/>
      <c r="QYP1513" s="879"/>
      <c r="QYQ1513" s="879"/>
      <c r="QYR1513" s="879"/>
      <c r="QYS1513" s="879"/>
      <c r="QYT1513" s="879"/>
      <c r="QYU1513" s="879"/>
      <c r="QYV1513" s="879"/>
      <c r="QYW1513" s="879"/>
      <c r="QYX1513" s="879"/>
      <c r="QYY1513" s="879"/>
      <c r="QYZ1513" s="879"/>
      <c r="QZA1513" s="879"/>
      <c r="QZB1513" s="879"/>
      <c r="QZC1513" s="879"/>
      <c r="QZD1513" s="879"/>
      <c r="QZE1513" s="879"/>
      <c r="QZF1513" s="879"/>
      <c r="QZG1513" s="879"/>
      <c r="QZH1513" s="879"/>
      <c r="QZI1513" s="879"/>
      <c r="QZJ1513" s="879"/>
      <c r="QZK1513" s="879"/>
      <c r="QZL1513" s="879"/>
      <c r="QZM1513" s="879"/>
      <c r="QZN1513" s="879"/>
      <c r="QZO1513" s="879"/>
      <c r="QZP1513" s="879"/>
      <c r="QZQ1513" s="879"/>
      <c r="QZR1513" s="879"/>
      <c r="QZS1513" s="879"/>
      <c r="QZT1513" s="879"/>
      <c r="QZU1513" s="879"/>
      <c r="QZV1513" s="879"/>
      <c r="QZW1513" s="879"/>
      <c r="QZX1513" s="879"/>
      <c r="QZY1513" s="879"/>
      <c r="QZZ1513" s="879"/>
      <c r="RAA1513" s="879"/>
      <c r="RAB1513" s="879"/>
      <c r="RAC1513" s="879"/>
      <c r="RAD1513" s="879"/>
      <c r="RAE1513" s="879"/>
      <c r="RAF1513" s="879"/>
      <c r="RAG1513" s="879"/>
      <c r="RAH1513" s="879"/>
      <c r="RAI1513" s="879"/>
      <c r="RAJ1513" s="879"/>
      <c r="RAK1513" s="879"/>
      <c r="RAL1513" s="879"/>
      <c r="RAM1513" s="879"/>
      <c r="RAN1513" s="879"/>
      <c r="RAO1513" s="879"/>
      <c r="RAP1513" s="879"/>
      <c r="RAQ1513" s="879"/>
      <c r="RAR1513" s="879"/>
      <c r="RAS1513" s="879"/>
      <c r="RAT1513" s="879"/>
      <c r="RAU1513" s="879"/>
      <c r="RAV1513" s="879"/>
      <c r="RAW1513" s="879"/>
      <c r="RAX1513" s="879"/>
      <c r="RAY1513" s="879"/>
      <c r="RAZ1513" s="879"/>
      <c r="RBA1513" s="879"/>
      <c r="RBB1513" s="879"/>
      <c r="RBC1513" s="879"/>
      <c r="RBD1513" s="879"/>
      <c r="RBE1513" s="879"/>
      <c r="RBF1513" s="879"/>
      <c r="RBG1513" s="879"/>
      <c r="RBH1513" s="879"/>
      <c r="RBI1513" s="879"/>
      <c r="RBJ1513" s="879"/>
      <c r="RBK1513" s="879"/>
      <c r="RBL1513" s="879"/>
      <c r="RBM1513" s="879"/>
      <c r="RBN1513" s="879"/>
      <c r="RBO1513" s="879"/>
      <c r="RBP1513" s="879"/>
      <c r="RBQ1513" s="879"/>
      <c r="RBR1513" s="879"/>
      <c r="RBS1513" s="879"/>
      <c r="RBT1513" s="879"/>
      <c r="RBU1513" s="879"/>
      <c r="RBV1513" s="879"/>
      <c r="RBW1513" s="879"/>
      <c r="RBX1513" s="879"/>
      <c r="RBY1513" s="879"/>
      <c r="RBZ1513" s="879"/>
      <c r="RCA1513" s="879"/>
      <c r="RCB1513" s="879"/>
      <c r="RCC1513" s="879"/>
      <c r="RCD1513" s="879"/>
      <c r="RCE1513" s="879"/>
      <c r="RCF1513" s="879"/>
      <c r="RCG1513" s="879"/>
      <c r="RCH1513" s="879"/>
      <c r="RCI1513" s="879"/>
      <c r="RCJ1513" s="879"/>
      <c r="RCK1513" s="879"/>
      <c r="RCL1513" s="879"/>
      <c r="RCM1513" s="879"/>
      <c r="RCN1513" s="879"/>
      <c r="RCO1513" s="879"/>
      <c r="RCP1513" s="879"/>
      <c r="RCQ1513" s="879"/>
      <c r="RCR1513" s="879"/>
      <c r="RCS1513" s="879"/>
      <c r="RCT1513" s="879"/>
      <c r="RCU1513" s="879"/>
      <c r="RCV1513" s="879"/>
      <c r="RCW1513" s="879"/>
      <c r="RCX1513" s="879"/>
      <c r="RCY1513" s="879"/>
      <c r="RCZ1513" s="879"/>
      <c r="RDA1513" s="879"/>
      <c r="RDB1513" s="879"/>
      <c r="RDC1513" s="879"/>
      <c r="RDD1513" s="879"/>
      <c r="RDE1513" s="879"/>
      <c r="RDF1513" s="879"/>
      <c r="RDG1513" s="879"/>
      <c r="RDH1513" s="879"/>
      <c r="RDI1513" s="879"/>
      <c r="RDJ1513" s="879"/>
      <c r="RDK1513" s="879"/>
      <c r="RDL1513" s="879"/>
      <c r="RDM1513" s="879"/>
      <c r="RDN1513" s="879"/>
      <c r="RDO1513" s="879"/>
      <c r="RDP1513" s="879"/>
      <c r="RDQ1513" s="879"/>
      <c r="RDR1513" s="879"/>
      <c r="RDS1513" s="879"/>
      <c r="RDT1513" s="879"/>
      <c r="RDU1513" s="879"/>
      <c r="RDV1513" s="879"/>
      <c r="RDW1513" s="879"/>
      <c r="RDX1513" s="879"/>
      <c r="RDY1513" s="879"/>
      <c r="RDZ1513" s="879"/>
      <c r="REA1513" s="879"/>
      <c r="REB1513" s="879"/>
      <c r="REC1513" s="879"/>
      <c r="RED1513" s="879"/>
      <c r="REE1513" s="879"/>
      <c r="REF1513" s="879"/>
      <c r="REG1513" s="879"/>
      <c r="REH1513" s="879"/>
      <c r="REI1513" s="879"/>
      <c r="REJ1513" s="879"/>
      <c r="REK1513" s="879"/>
      <c r="REL1513" s="879"/>
      <c r="REM1513" s="879"/>
      <c r="REN1513" s="879"/>
      <c r="REO1513" s="879"/>
      <c r="REP1513" s="879"/>
      <c r="REQ1513" s="879"/>
      <c r="RER1513" s="879"/>
      <c r="RES1513" s="879"/>
      <c r="RET1513" s="879"/>
      <c r="REU1513" s="879"/>
      <c r="REV1513" s="879"/>
      <c r="REW1513" s="879"/>
      <c r="REX1513" s="879"/>
      <c r="REY1513" s="879"/>
      <c r="REZ1513" s="879"/>
      <c r="RFA1513" s="879"/>
      <c r="RFB1513" s="879"/>
      <c r="RFC1513" s="879"/>
      <c r="RFD1513" s="879"/>
      <c r="RFE1513" s="879"/>
      <c r="RFF1513" s="879"/>
      <c r="RFG1513" s="879"/>
      <c r="RFH1513" s="879"/>
      <c r="RFI1513" s="879"/>
      <c r="RFJ1513" s="879"/>
      <c r="RFK1513" s="879"/>
      <c r="RFL1513" s="879"/>
      <c r="RFM1513" s="879"/>
      <c r="RFN1513" s="879"/>
      <c r="RFO1513" s="879"/>
      <c r="RFP1513" s="879"/>
      <c r="RFQ1513" s="879"/>
      <c r="RFR1513" s="879"/>
      <c r="RFS1513" s="879"/>
      <c r="RFT1513" s="879"/>
      <c r="RFU1513" s="879"/>
      <c r="RFV1513" s="879"/>
      <c r="RFW1513" s="879"/>
      <c r="RFX1513" s="879"/>
      <c r="RFY1513" s="879"/>
      <c r="RFZ1513" s="879"/>
      <c r="RGA1513" s="879"/>
      <c r="RGB1513" s="879"/>
      <c r="RGC1513" s="879"/>
      <c r="RGD1513" s="879"/>
      <c r="RGE1513" s="879"/>
      <c r="RGF1513" s="879"/>
      <c r="RGG1513" s="879"/>
      <c r="RGH1513" s="879"/>
      <c r="RGI1513" s="879"/>
      <c r="RGJ1513" s="879"/>
      <c r="RGK1513" s="879"/>
      <c r="RGL1513" s="879"/>
      <c r="RGM1513" s="879"/>
      <c r="RGN1513" s="879"/>
      <c r="RGO1513" s="879"/>
      <c r="RGP1513" s="879"/>
      <c r="RGQ1513" s="879"/>
      <c r="RGR1513" s="879"/>
      <c r="RGS1513" s="879"/>
      <c r="RGT1513" s="879"/>
      <c r="RGU1513" s="879"/>
      <c r="RGV1513" s="879"/>
      <c r="RGW1513" s="879"/>
      <c r="RGX1513" s="879"/>
      <c r="RGY1513" s="879"/>
      <c r="RGZ1513" s="879"/>
      <c r="RHA1513" s="879"/>
      <c r="RHB1513" s="879"/>
      <c r="RHC1513" s="879"/>
      <c r="RHD1513" s="879"/>
      <c r="RHE1513" s="879"/>
      <c r="RHF1513" s="879"/>
      <c r="RHG1513" s="879"/>
      <c r="RHH1513" s="879"/>
      <c r="RHI1513" s="879"/>
      <c r="RHJ1513" s="879"/>
      <c r="RHK1513" s="879"/>
      <c r="RHL1513" s="879"/>
      <c r="RHM1513" s="879"/>
      <c r="RHN1513" s="879"/>
      <c r="RHO1513" s="879"/>
      <c r="RHP1513" s="879"/>
      <c r="RHQ1513" s="879"/>
      <c r="RHR1513" s="879"/>
      <c r="RHS1513" s="879"/>
      <c r="RHT1513" s="879"/>
      <c r="RHU1513" s="879"/>
      <c r="RHV1513" s="879"/>
      <c r="RHW1513" s="879"/>
      <c r="RHX1513" s="879"/>
      <c r="RHY1513" s="879"/>
      <c r="RHZ1513" s="879"/>
      <c r="RIA1513" s="879"/>
      <c r="RIB1513" s="879"/>
      <c r="RIC1513" s="879"/>
      <c r="RID1513" s="879"/>
      <c r="RIE1513" s="879"/>
      <c r="RIF1513" s="879"/>
      <c r="RIG1513" s="879"/>
      <c r="RIH1513" s="879"/>
      <c r="RII1513" s="879"/>
      <c r="RIJ1513" s="879"/>
      <c r="RIK1513" s="879"/>
      <c r="RIL1513" s="879"/>
      <c r="RIM1513" s="879"/>
      <c r="RIN1513" s="879"/>
      <c r="RIO1513" s="879"/>
      <c r="RIP1513" s="879"/>
      <c r="RIQ1513" s="879"/>
      <c r="RIR1513" s="879"/>
      <c r="RIS1513" s="879"/>
      <c r="RIT1513" s="879"/>
      <c r="RIU1513" s="879"/>
      <c r="RIV1513" s="879"/>
      <c r="RIW1513" s="879"/>
      <c r="RIX1513" s="879"/>
      <c r="RIY1513" s="879"/>
      <c r="RIZ1513" s="879"/>
      <c r="RJA1513" s="879"/>
      <c r="RJB1513" s="879"/>
      <c r="RJC1513" s="879"/>
      <c r="RJD1513" s="879"/>
      <c r="RJE1513" s="879"/>
      <c r="RJF1513" s="879"/>
      <c r="RJG1513" s="879"/>
      <c r="RJH1513" s="879"/>
      <c r="RJI1513" s="879"/>
      <c r="RJJ1513" s="879"/>
      <c r="RJK1513" s="879"/>
      <c r="RJL1513" s="879"/>
      <c r="RJM1513" s="879"/>
      <c r="RJN1513" s="879"/>
      <c r="RJO1513" s="879"/>
      <c r="RJP1513" s="879"/>
      <c r="RJQ1513" s="879"/>
      <c r="RJR1513" s="879"/>
      <c r="RJS1513" s="879"/>
      <c r="RJT1513" s="879"/>
      <c r="RJU1513" s="879"/>
      <c r="RJV1513" s="879"/>
      <c r="RJW1513" s="879"/>
      <c r="RJX1513" s="879"/>
      <c r="RJY1513" s="879"/>
      <c r="RJZ1513" s="879"/>
      <c r="RKA1513" s="879"/>
      <c r="RKB1513" s="879"/>
      <c r="RKC1513" s="879"/>
      <c r="RKD1513" s="879"/>
      <c r="RKE1513" s="879"/>
      <c r="RKF1513" s="879"/>
      <c r="RKG1513" s="879"/>
      <c r="RKH1513" s="879"/>
      <c r="RKI1513" s="879"/>
      <c r="RKJ1513" s="879"/>
      <c r="RKK1513" s="879"/>
      <c r="RKL1513" s="879"/>
      <c r="RKM1513" s="879"/>
      <c r="RKN1513" s="879"/>
      <c r="RKO1513" s="879"/>
      <c r="RKP1513" s="879"/>
      <c r="RKQ1513" s="879"/>
      <c r="RKR1513" s="879"/>
      <c r="RKS1513" s="879"/>
      <c r="RKT1513" s="879"/>
      <c r="RKU1513" s="879"/>
      <c r="RKV1513" s="879"/>
      <c r="RKW1513" s="879"/>
      <c r="RKX1513" s="879"/>
      <c r="RKY1513" s="879"/>
      <c r="RKZ1513" s="879"/>
      <c r="RLA1513" s="879"/>
      <c r="RLB1513" s="879"/>
      <c r="RLC1513" s="879"/>
      <c r="RLD1513" s="879"/>
      <c r="RLE1513" s="879"/>
      <c r="RLF1513" s="879"/>
      <c r="RLG1513" s="879"/>
      <c r="RLH1513" s="879"/>
      <c r="RLI1513" s="879"/>
      <c r="RLJ1513" s="879"/>
      <c r="RLK1513" s="879"/>
      <c r="RLL1513" s="879"/>
      <c r="RLM1513" s="879"/>
      <c r="RLN1513" s="879"/>
      <c r="RLO1513" s="879"/>
      <c r="RLP1513" s="879"/>
      <c r="RLQ1513" s="879"/>
      <c r="RLR1513" s="879"/>
      <c r="RLS1513" s="879"/>
      <c r="RLT1513" s="879"/>
      <c r="RLU1513" s="879"/>
      <c r="RLV1513" s="879"/>
      <c r="RLW1513" s="879"/>
      <c r="RLX1513" s="879"/>
      <c r="RLY1513" s="879"/>
      <c r="RLZ1513" s="879"/>
      <c r="RMA1513" s="879"/>
      <c r="RMB1513" s="879"/>
      <c r="RMC1513" s="879"/>
      <c r="RMD1513" s="879"/>
      <c r="RME1513" s="879"/>
      <c r="RMF1513" s="879"/>
      <c r="RMG1513" s="879"/>
      <c r="RMH1513" s="879"/>
      <c r="RMI1513" s="879"/>
      <c r="RMJ1513" s="879"/>
      <c r="RMK1513" s="879"/>
      <c r="RML1513" s="879"/>
      <c r="RMM1513" s="879"/>
      <c r="RMN1513" s="879"/>
      <c r="RMO1513" s="879"/>
      <c r="RMP1513" s="879"/>
      <c r="RMQ1513" s="879"/>
      <c r="RMR1513" s="879"/>
      <c r="RMS1513" s="879"/>
      <c r="RMT1513" s="879"/>
      <c r="RMU1513" s="879"/>
      <c r="RMV1513" s="879"/>
      <c r="RMW1513" s="879"/>
      <c r="RMX1513" s="879"/>
      <c r="RMY1513" s="879"/>
      <c r="RMZ1513" s="879"/>
      <c r="RNA1513" s="879"/>
      <c r="RNB1513" s="879"/>
      <c r="RNC1513" s="879"/>
      <c r="RND1513" s="879"/>
      <c r="RNE1513" s="879"/>
      <c r="RNF1513" s="879"/>
      <c r="RNG1513" s="879"/>
      <c r="RNH1513" s="879"/>
      <c r="RNI1513" s="879"/>
      <c r="RNJ1513" s="879"/>
      <c r="RNK1513" s="879"/>
      <c r="RNL1513" s="879"/>
      <c r="RNM1513" s="879"/>
      <c r="RNN1513" s="879"/>
      <c r="RNO1513" s="879"/>
      <c r="RNP1513" s="879"/>
      <c r="RNQ1513" s="879"/>
      <c r="RNR1513" s="879"/>
      <c r="RNS1513" s="879"/>
      <c r="RNT1513" s="879"/>
      <c r="RNU1513" s="879"/>
      <c r="RNV1513" s="879"/>
      <c r="RNW1513" s="879"/>
      <c r="RNX1513" s="879"/>
      <c r="RNY1513" s="879"/>
      <c r="RNZ1513" s="879"/>
      <c r="ROA1513" s="879"/>
      <c r="ROB1513" s="879"/>
      <c r="ROC1513" s="879"/>
      <c r="ROD1513" s="879"/>
      <c r="ROE1513" s="879"/>
      <c r="ROF1513" s="879"/>
      <c r="ROG1513" s="879"/>
      <c r="ROH1513" s="879"/>
      <c r="ROI1513" s="879"/>
      <c r="ROJ1513" s="879"/>
      <c r="ROK1513" s="879"/>
      <c r="ROL1513" s="879"/>
      <c r="ROM1513" s="879"/>
      <c r="RON1513" s="879"/>
      <c r="ROO1513" s="879"/>
      <c r="ROP1513" s="879"/>
      <c r="ROQ1513" s="879"/>
      <c r="ROR1513" s="879"/>
      <c r="ROS1513" s="879"/>
      <c r="ROT1513" s="879"/>
      <c r="ROU1513" s="879"/>
      <c r="ROV1513" s="879"/>
      <c r="ROW1513" s="879"/>
      <c r="ROX1513" s="879"/>
      <c r="ROY1513" s="879"/>
      <c r="ROZ1513" s="879"/>
      <c r="RPA1513" s="879"/>
      <c r="RPB1513" s="879"/>
      <c r="RPC1513" s="879"/>
      <c r="RPD1513" s="879"/>
      <c r="RPE1513" s="879"/>
      <c r="RPF1513" s="879"/>
      <c r="RPG1513" s="879"/>
      <c r="RPH1513" s="879"/>
      <c r="RPI1513" s="879"/>
      <c r="RPJ1513" s="879"/>
      <c r="RPK1513" s="879"/>
      <c r="RPL1513" s="879"/>
      <c r="RPM1513" s="879"/>
      <c r="RPN1513" s="879"/>
      <c r="RPO1513" s="879"/>
      <c r="RPP1513" s="879"/>
      <c r="RPQ1513" s="879"/>
      <c r="RPR1513" s="879"/>
      <c r="RPS1513" s="879"/>
      <c r="RPT1513" s="879"/>
      <c r="RPU1513" s="879"/>
      <c r="RPV1513" s="879"/>
      <c r="RPW1513" s="879"/>
      <c r="RPX1513" s="879"/>
      <c r="RPY1513" s="879"/>
      <c r="RPZ1513" s="879"/>
      <c r="RQA1513" s="879"/>
      <c r="RQB1513" s="879"/>
      <c r="RQC1513" s="879"/>
      <c r="RQD1513" s="879"/>
      <c r="RQE1513" s="879"/>
      <c r="RQF1513" s="879"/>
      <c r="RQG1513" s="879"/>
      <c r="RQH1513" s="879"/>
      <c r="RQI1513" s="879"/>
      <c r="RQJ1513" s="879"/>
      <c r="RQK1513" s="879"/>
      <c r="RQL1513" s="879"/>
      <c r="RQM1513" s="879"/>
      <c r="RQN1513" s="879"/>
      <c r="RQO1513" s="879"/>
      <c r="RQP1513" s="879"/>
      <c r="RQQ1513" s="879"/>
      <c r="RQR1513" s="879"/>
      <c r="RQS1513" s="879"/>
      <c r="RQT1513" s="879"/>
      <c r="RQU1513" s="879"/>
      <c r="RQV1513" s="879"/>
      <c r="RQW1513" s="879"/>
      <c r="RQX1513" s="879"/>
      <c r="RQY1513" s="879"/>
      <c r="RQZ1513" s="879"/>
      <c r="RRA1513" s="879"/>
      <c r="RRB1513" s="879"/>
      <c r="RRC1513" s="879"/>
      <c r="RRD1513" s="879"/>
      <c r="RRE1513" s="879"/>
      <c r="RRF1513" s="879"/>
      <c r="RRG1513" s="879"/>
      <c r="RRH1513" s="879"/>
      <c r="RRI1513" s="879"/>
      <c r="RRJ1513" s="879"/>
      <c r="RRK1513" s="879"/>
      <c r="RRL1513" s="879"/>
      <c r="RRM1513" s="879"/>
      <c r="RRN1513" s="879"/>
      <c r="RRO1513" s="879"/>
      <c r="RRP1513" s="879"/>
      <c r="RRQ1513" s="879"/>
      <c r="RRR1513" s="879"/>
      <c r="RRS1513" s="879"/>
      <c r="RRT1513" s="879"/>
      <c r="RRU1513" s="879"/>
      <c r="RRV1513" s="879"/>
      <c r="RRW1513" s="879"/>
      <c r="RRX1513" s="879"/>
      <c r="RRY1513" s="879"/>
      <c r="RRZ1513" s="879"/>
      <c r="RSA1513" s="879"/>
      <c r="RSB1513" s="879"/>
      <c r="RSC1513" s="879"/>
      <c r="RSD1513" s="879"/>
      <c r="RSE1513" s="879"/>
      <c r="RSF1513" s="879"/>
      <c r="RSG1513" s="879"/>
      <c r="RSH1513" s="879"/>
      <c r="RSI1513" s="879"/>
      <c r="RSJ1513" s="879"/>
      <c r="RSK1513" s="879"/>
      <c r="RSL1513" s="879"/>
      <c r="RSM1513" s="879"/>
      <c r="RSN1513" s="879"/>
      <c r="RSO1513" s="879"/>
      <c r="RSP1513" s="879"/>
      <c r="RSQ1513" s="879"/>
      <c r="RSR1513" s="879"/>
      <c r="RSS1513" s="879"/>
      <c r="RST1513" s="879"/>
      <c r="RSU1513" s="879"/>
      <c r="RSV1513" s="879"/>
      <c r="RSW1513" s="879"/>
      <c r="RSX1513" s="879"/>
      <c r="RSY1513" s="879"/>
      <c r="RSZ1513" s="879"/>
      <c r="RTA1513" s="879"/>
      <c r="RTB1513" s="879"/>
      <c r="RTC1513" s="879"/>
      <c r="RTD1513" s="879"/>
      <c r="RTE1513" s="879"/>
      <c r="RTF1513" s="879"/>
      <c r="RTG1513" s="879"/>
      <c r="RTH1513" s="879"/>
      <c r="RTI1513" s="879"/>
      <c r="RTJ1513" s="879"/>
      <c r="RTK1513" s="879"/>
      <c r="RTL1513" s="879"/>
      <c r="RTM1513" s="879"/>
      <c r="RTN1513" s="879"/>
      <c r="RTO1513" s="879"/>
      <c r="RTP1513" s="879"/>
      <c r="RTQ1513" s="879"/>
      <c r="RTR1513" s="879"/>
      <c r="RTS1513" s="879"/>
      <c r="RTT1513" s="879"/>
      <c r="RTU1513" s="879"/>
      <c r="RTV1513" s="879"/>
      <c r="RTW1513" s="879"/>
      <c r="RTX1513" s="879"/>
      <c r="RTY1513" s="879"/>
      <c r="RTZ1513" s="879"/>
      <c r="RUA1513" s="879"/>
      <c r="RUB1513" s="879"/>
      <c r="RUC1513" s="879"/>
      <c r="RUD1513" s="879"/>
      <c r="RUE1513" s="879"/>
      <c r="RUF1513" s="879"/>
      <c r="RUG1513" s="879"/>
      <c r="RUH1513" s="879"/>
      <c r="RUI1513" s="879"/>
      <c r="RUJ1513" s="879"/>
      <c r="RUK1513" s="879"/>
      <c r="RUL1513" s="879"/>
      <c r="RUM1513" s="879"/>
      <c r="RUN1513" s="879"/>
      <c r="RUO1513" s="879"/>
      <c r="RUP1513" s="879"/>
      <c r="RUQ1513" s="879"/>
      <c r="RUR1513" s="879"/>
      <c r="RUS1513" s="879"/>
      <c r="RUT1513" s="879"/>
      <c r="RUU1513" s="879"/>
      <c r="RUV1513" s="879"/>
      <c r="RUW1513" s="879"/>
      <c r="RUX1513" s="879"/>
      <c r="RUY1513" s="879"/>
      <c r="RUZ1513" s="879"/>
      <c r="RVA1513" s="879"/>
      <c r="RVB1513" s="879"/>
      <c r="RVC1513" s="879"/>
      <c r="RVD1513" s="879"/>
      <c r="RVE1513" s="879"/>
      <c r="RVF1513" s="879"/>
      <c r="RVG1513" s="879"/>
      <c r="RVH1513" s="879"/>
      <c r="RVI1513" s="879"/>
      <c r="RVJ1513" s="879"/>
      <c r="RVK1513" s="879"/>
      <c r="RVL1513" s="879"/>
      <c r="RVM1513" s="879"/>
      <c r="RVN1513" s="879"/>
      <c r="RVO1513" s="879"/>
      <c r="RVP1513" s="879"/>
      <c r="RVQ1513" s="879"/>
      <c r="RVR1513" s="879"/>
      <c r="RVS1513" s="879"/>
      <c r="RVT1513" s="879"/>
      <c r="RVU1513" s="879"/>
      <c r="RVV1513" s="879"/>
      <c r="RVW1513" s="879"/>
      <c r="RVX1513" s="879"/>
      <c r="RVY1513" s="879"/>
      <c r="RVZ1513" s="879"/>
      <c r="RWA1513" s="879"/>
      <c r="RWB1513" s="879"/>
      <c r="RWC1513" s="879"/>
      <c r="RWD1513" s="879"/>
      <c r="RWE1513" s="879"/>
      <c r="RWF1513" s="879"/>
      <c r="RWG1513" s="879"/>
      <c r="RWH1513" s="879"/>
      <c r="RWI1513" s="879"/>
      <c r="RWJ1513" s="879"/>
      <c r="RWK1513" s="879"/>
      <c r="RWL1513" s="879"/>
      <c r="RWM1513" s="879"/>
      <c r="RWN1513" s="879"/>
      <c r="RWO1513" s="879"/>
      <c r="RWP1513" s="879"/>
      <c r="RWQ1513" s="879"/>
      <c r="RWR1513" s="879"/>
      <c r="RWS1513" s="879"/>
      <c r="RWT1513" s="879"/>
      <c r="RWU1513" s="879"/>
      <c r="RWV1513" s="879"/>
      <c r="RWW1513" s="879"/>
      <c r="RWX1513" s="879"/>
      <c r="RWY1513" s="879"/>
      <c r="RWZ1513" s="879"/>
      <c r="RXA1513" s="879"/>
      <c r="RXB1513" s="879"/>
      <c r="RXC1513" s="879"/>
      <c r="RXD1513" s="879"/>
      <c r="RXE1513" s="879"/>
      <c r="RXF1513" s="879"/>
      <c r="RXG1513" s="879"/>
      <c r="RXH1513" s="879"/>
      <c r="RXI1513" s="879"/>
      <c r="RXJ1513" s="879"/>
      <c r="RXK1513" s="879"/>
      <c r="RXL1513" s="879"/>
      <c r="RXM1513" s="879"/>
      <c r="RXN1513" s="879"/>
      <c r="RXO1513" s="879"/>
      <c r="RXP1513" s="879"/>
      <c r="RXQ1513" s="879"/>
      <c r="RXR1513" s="879"/>
      <c r="RXS1513" s="879"/>
      <c r="RXT1513" s="879"/>
      <c r="RXU1513" s="879"/>
      <c r="RXV1513" s="879"/>
      <c r="RXW1513" s="879"/>
      <c r="RXX1513" s="879"/>
      <c r="RXY1513" s="879"/>
      <c r="RXZ1513" s="879"/>
      <c r="RYA1513" s="879"/>
      <c r="RYB1513" s="879"/>
      <c r="RYC1513" s="879"/>
      <c r="RYD1513" s="879"/>
      <c r="RYE1513" s="879"/>
      <c r="RYF1513" s="879"/>
      <c r="RYG1513" s="879"/>
      <c r="RYH1513" s="879"/>
      <c r="RYI1513" s="879"/>
      <c r="RYJ1513" s="879"/>
      <c r="RYK1513" s="879"/>
      <c r="RYL1513" s="879"/>
      <c r="RYM1513" s="879"/>
      <c r="RYN1513" s="879"/>
      <c r="RYO1513" s="879"/>
      <c r="RYP1513" s="879"/>
      <c r="RYQ1513" s="879"/>
      <c r="RYR1513" s="879"/>
      <c r="RYS1513" s="879"/>
      <c r="RYT1513" s="879"/>
      <c r="RYU1513" s="879"/>
      <c r="RYV1513" s="879"/>
      <c r="RYW1513" s="879"/>
      <c r="RYX1513" s="879"/>
      <c r="RYY1513" s="879"/>
      <c r="RYZ1513" s="879"/>
      <c r="RZA1513" s="879"/>
      <c r="RZB1513" s="879"/>
      <c r="RZC1513" s="879"/>
      <c r="RZD1513" s="879"/>
      <c r="RZE1513" s="879"/>
      <c r="RZF1513" s="879"/>
      <c r="RZG1513" s="879"/>
      <c r="RZH1513" s="879"/>
      <c r="RZI1513" s="879"/>
      <c r="RZJ1513" s="879"/>
      <c r="RZK1513" s="879"/>
      <c r="RZL1513" s="879"/>
      <c r="RZM1513" s="879"/>
      <c r="RZN1513" s="879"/>
      <c r="RZO1513" s="879"/>
      <c r="RZP1513" s="879"/>
      <c r="RZQ1513" s="879"/>
      <c r="RZR1513" s="879"/>
      <c r="RZS1513" s="879"/>
      <c r="RZT1513" s="879"/>
      <c r="RZU1513" s="879"/>
      <c r="RZV1513" s="879"/>
      <c r="RZW1513" s="879"/>
      <c r="RZX1513" s="879"/>
      <c r="RZY1513" s="879"/>
      <c r="RZZ1513" s="879"/>
      <c r="SAA1513" s="879"/>
      <c r="SAB1513" s="879"/>
      <c r="SAC1513" s="879"/>
      <c r="SAD1513" s="879"/>
      <c r="SAE1513" s="879"/>
      <c r="SAF1513" s="879"/>
      <c r="SAG1513" s="879"/>
      <c r="SAH1513" s="879"/>
      <c r="SAI1513" s="879"/>
      <c r="SAJ1513" s="879"/>
      <c r="SAK1513" s="879"/>
      <c r="SAL1513" s="879"/>
      <c r="SAM1513" s="879"/>
      <c r="SAN1513" s="879"/>
      <c r="SAO1513" s="879"/>
      <c r="SAP1513" s="879"/>
      <c r="SAQ1513" s="879"/>
      <c r="SAR1513" s="879"/>
      <c r="SAS1513" s="879"/>
      <c r="SAT1513" s="879"/>
      <c r="SAU1513" s="879"/>
      <c r="SAV1513" s="879"/>
      <c r="SAW1513" s="879"/>
      <c r="SAX1513" s="879"/>
      <c r="SAY1513" s="879"/>
      <c r="SAZ1513" s="879"/>
      <c r="SBA1513" s="879"/>
      <c r="SBB1513" s="879"/>
      <c r="SBC1513" s="879"/>
      <c r="SBD1513" s="879"/>
      <c r="SBE1513" s="879"/>
      <c r="SBF1513" s="879"/>
      <c r="SBG1513" s="879"/>
      <c r="SBH1513" s="879"/>
      <c r="SBI1513" s="879"/>
      <c r="SBJ1513" s="879"/>
      <c r="SBK1513" s="879"/>
      <c r="SBL1513" s="879"/>
      <c r="SBM1513" s="879"/>
      <c r="SBN1513" s="879"/>
      <c r="SBO1513" s="879"/>
      <c r="SBP1513" s="879"/>
      <c r="SBQ1513" s="879"/>
      <c r="SBR1513" s="879"/>
      <c r="SBS1513" s="879"/>
      <c r="SBT1513" s="879"/>
      <c r="SBU1513" s="879"/>
      <c r="SBV1513" s="879"/>
      <c r="SBW1513" s="879"/>
      <c r="SBX1513" s="879"/>
      <c r="SBY1513" s="879"/>
      <c r="SBZ1513" s="879"/>
      <c r="SCA1513" s="879"/>
      <c r="SCB1513" s="879"/>
      <c r="SCC1513" s="879"/>
      <c r="SCD1513" s="879"/>
      <c r="SCE1513" s="879"/>
      <c r="SCF1513" s="879"/>
      <c r="SCG1513" s="879"/>
      <c r="SCH1513" s="879"/>
      <c r="SCI1513" s="879"/>
      <c r="SCJ1513" s="879"/>
      <c r="SCK1513" s="879"/>
      <c r="SCL1513" s="879"/>
      <c r="SCM1513" s="879"/>
      <c r="SCN1513" s="879"/>
      <c r="SCO1513" s="879"/>
      <c r="SCP1513" s="879"/>
      <c r="SCQ1513" s="879"/>
      <c r="SCR1513" s="879"/>
      <c r="SCS1513" s="879"/>
      <c r="SCT1513" s="879"/>
      <c r="SCU1513" s="879"/>
      <c r="SCV1513" s="879"/>
      <c r="SCW1513" s="879"/>
      <c r="SCX1513" s="879"/>
      <c r="SCY1513" s="879"/>
      <c r="SCZ1513" s="879"/>
      <c r="SDA1513" s="879"/>
      <c r="SDB1513" s="879"/>
      <c r="SDC1513" s="879"/>
      <c r="SDD1513" s="879"/>
      <c r="SDE1513" s="879"/>
      <c r="SDF1513" s="879"/>
      <c r="SDG1513" s="879"/>
      <c r="SDH1513" s="879"/>
      <c r="SDI1513" s="879"/>
      <c r="SDJ1513" s="879"/>
      <c r="SDK1513" s="879"/>
      <c r="SDL1513" s="879"/>
      <c r="SDM1513" s="879"/>
      <c r="SDN1513" s="879"/>
      <c r="SDO1513" s="879"/>
      <c r="SDP1513" s="879"/>
      <c r="SDQ1513" s="879"/>
      <c r="SDR1513" s="879"/>
      <c r="SDS1513" s="879"/>
      <c r="SDT1513" s="879"/>
      <c r="SDU1513" s="879"/>
      <c r="SDV1513" s="879"/>
      <c r="SDW1513" s="879"/>
      <c r="SDX1513" s="879"/>
      <c r="SDY1513" s="879"/>
      <c r="SDZ1513" s="879"/>
      <c r="SEA1513" s="879"/>
      <c r="SEB1513" s="879"/>
      <c r="SEC1513" s="879"/>
      <c r="SED1513" s="879"/>
      <c r="SEE1513" s="879"/>
      <c r="SEF1513" s="879"/>
      <c r="SEG1513" s="879"/>
      <c r="SEH1513" s="879"/>
      <c r="SEI1513" s="879"/>
      <c r="SEJ1513" s="879"/>
      <c r="SEK1513" s="879"/>
      <c r="SEL1513" s="879"/>
      <c r="SEM1513" s="879"/>
      <c r="SEN1513" s="879"/>
      <c r="SEO1513" s="879"/>
      <c r="SEP1513" s="879"/>
      <c r="SEQ1513" s="879"/>
      <c r="SER1513" s="879"/>
      <c r="SES1513" s="879"/>
      <c r="SET1513" s="879"/>
      <c r="SEU1513" s="879"/>
      <c r="SEV1513" s="879"/>
      <c r="SEW1513" s="879"/>
      <c r="SEX1513" s="879"/>
      <c r="SEY1513" s="879"/>
      <c r="SEZ1513" s="879"/>
      <c r="SFA1513" s="879"/>
      <c r="SFB1513" s="879"/>
      <c r="SFC1513" s="879"/>
      <c r="SFD1513" s="879"/>
      <c r="SFE1513" s="879"/>
      <c r="SFF1513" s="879"/>
      <c r="SFG1513" s="879"/>
      <c r="SFH1513" s="879"/>
      <c r="SFI1513" s="879"/>
      <c r="SFJ1513" s="879"/>
      <c r="SFK1513" s="879"/>
      <c r="SFL1513" s="879"/>
      <c r="SFM1513" s="879"/>
      <c r="SFN1513" s="879"/>
      <c r="SFO1513" s="879"/>
      <c r="SFP1513" s="879"/>
      <c r="SFQ1513" s="879"/>
      <c r="SFR1513" s="879"/>
      <c r="SFS1513" s="879"/>
      <c r="SFT1513" s="879"/>
      <c r="SFU1513" s="879"/>
      <c r="SFV1513" s="879"/>
      <c r="SFW1513" s="879"/>
      <c r="SFX1513" s="879"/>
      <c r="SFY1513" s="879"/>
      <c r="SFZ1513" s="879"/>
      <c r="SGA1513" s="879"/>
      <c r="SGB1513" s="879"/>
      <c r="SGC1513" s="879"/>
      <c r="SGD1513" s="879"/>
      <c r="SGE1513" s="879"/>
      <c r="SGF1513" s="879"/>
      <c r="SGG1513" s="879"/>
      <c r="SGH1513" s="879"/>
      <c r="SGI1513" s="879"/>
      <c r="SGJ1513" s="879"/>
      <c r="SGK1513" s="879"/>
      <c r="SGL1513" s="879"/>
      <c r="SGM1513" s="879"/>
      <c r="SGN1513" s="879"/>
      <c r="SGO1513" s="879"/>
      <c r="SGP1513" s="879"/>
      <c r="SGQ1513" s="879"/>
      <c r="SGR1513" s="879"/>
      <c r="SGS1513" s="879"/>
      <c r="SGT1513" s="879"/>
      <c r="SGU1513" s="879"/>
      <c r="SGV1513" s="879"/>
      <c r="SGW1513" s="879"/>
      <c r="SGX1513" s="879"/>
      <c r="SGY1513" s="879"/>
      <c r="SGZ1513" s="879"/>
      <c r="SHA1513" s="879"/>
      <c r="SHB1513" s="879"/>
      <c r="SHC1513" s="879"/>
      <c r="SHD1513" s="879"/>
      <c r="SHE1513" s="879"/>
      <c r="SHF1513" s="879"/>
      <c r="SHG1513" s="879"/>
      <c r="SHH1513" s="879"/>
      <c r="SHI1513" s="879"/>
      <c r="SHJ1513" s="879"/>
      <c r="SHK1513" s="879"/>
      <c r="SHL1513" s="879"/>
      <c r="SHM1513" s="879"/>
      <c r="SHN1513" s="879"/>
      <c r="SHO1513" s="879"/>
      <c r="SHP1513" s="879"/>
      <c r="SHQ1513" s="879"/>
      <c r="SHR1513" s="879"/>
      <c r="SHS1513" s="879"/>
      <c r="SHT1513" s="879"/>
      <c r="SHU1513" s="879"/>
      <c r="SHV1513" s="879"/>
      <c r="SHW1513" s="879"/>
      <c r="SHX1513" s="879"/>
      <c r="SHY1513" s="879"/>
      <c r="SHZ1513" s="879"/>
      <c r="SIA1513" s="879"/>
      <c r="SIB1513" s="879"/>
      <c r="SIC1513" s="879"/>
      <c r="SID1513" s="879"/>
      <c r="SIE1513" s="879"/>
      <c r="SIF1513" s="879"/>
      <c r="SIG1513" s="879"/>
      <c r="SIH1513" s="879"/>
      <c r="SII1513" s="879"/>
      <c r="SIJ1513" s="879"/>
      <c r="SIK1513" s="879"/>
      <c r="SIL1513" s="879"/>
      <c r="SIM1513" s="879"/>
      <c r="SIN1513" s="879"/>
      <c r="SIO1513" s="879"/>
      <c r="SIP1513" s="879"/>
      <c r="SIQ1513" s="879"/>
      <c r="SIR1513" s="879"/>
      <c r="SIS1513" s="879"/>
      <c r="SIT1513" s="879"/>
      <c r="SIU1513" s="879"/>
      <c r="SIV1513" s="879"/>
      <c r="SIW1513" s="879"/>
      <c r="SIX1513" s="879"/>
      <c r="SIY1513" s="879"/>
      <c r="SIZ1513" s="879"/>
      <c r="SJA1513" s="879"/>
      <c r="SJB1513" s="879"/>
      <c r="SJC1513" s="879"/>
      <c r="SJD1513" s="879"/>
      <c r="SJE1513" s="879"/>
      <c r="SJF1513" s="879"/>
      <c r="SJG1513" s="879"/>
      <c r="SJH1513" s="879"/>
      <c r="SJI1513" s="879"/>
      <c r="SJJ1513" s="879"/>
      <c r="SJK1513" s="879"/>
      <c r="SJL1513" s="879"/>
      <c r="SJM1513" s="879"/>
      <c r="SJN1513" s="879"/>
      <c r="SJO1513" s="879"/>
      <c r="SJP1513" s="879"/>
      <c r="SJQ1513" s="879"/>
      <c r="SJR1513" s="879"/>
      <c r="SJS1513" s="879"/>
      <c r="SJT1513" s="879"/>
      <c r="SJU1513" s="879"/>
      <c r="SJV1513" s="879"/>
      <c r="SJW1513" s="879"/>
      <c r="SJX1513" s="879"/>
      <c r="SJY1513" s="879"/>
      <c r="SJZ1513" s="879"/>
      <c r="SKA1513" s="879"/>
      <c r="SKB1513" s="879"/>
      <c r="SKC1513" s="879"/>
      <c r="SKD1513" s="879"/>
      <c r="SKE1513" s="879"/>
      <c r="SKF1513" s="879"/>
      <c r="SKG1513" s="879"/>
      <c r="SKH1513" s="879"/>
      <c r="SKI1513" s="879"/>
      <c r="SKJ1513" s="879"/>
      <c r="SKK1513" s="879"/>
      <c r="SKL1513" s="879"/>
      <c r="SKM1513" s="879"/>
      <c r="SKN1513" s="879"/>
      <c r="SKO1513" s="879"/>
      <c r="SKP1513" s="879"/>
      <c r="SKQ1513" s="879"/>
      <c r="SKR1513" s="879"/>
      <c r="SKS1513" s="879"/>
      <c r="SKT1513" s="879"/>
      <c r="SKU1513" s="879"/>
      <c r="SKV1513" s="879"/>
      <c r="SKW1513" s="879"/>
      <c r="SKX1513" s="879"/>
      <c r="SKY1513" s="879"/>
      <c r="SKZ1513" s="879"/>
      <c r="SLA1513" s="879"/>
      <c r="SLB1513" s="879"/>
      <c r="SLC1513" s="879"/>
      <c r="SLD1513" s="879"/>
      <c r="SLE1513" s="879"/>
      <c r="SLF1513" s="879"/>
      <c r="SLG1513" s="879"/>
      <c r="SLH1513" s="879"/>
      <c r="SLI1513" s="879"/>
      <c r="SLJ1513" s="879"/>
      <c r="SLK1513" s="879"/>
      <c r="SLL1513" s="879"/>
      <c r="SLM1513" s="879"/>
      <c r="SLN1513" s="879"/>
      <c r="SLO1513" s="879"/>
      <c r="SLP1513" s="879"/>
      <c r="SLQ1513" s="879"/>
      <c r="SLR1513" s="879"/>
      <c r="SLS1513" s="879"/>
      <c r="SLT1513" s="879"/>
      <c r="SLU1513" s="879"/>
      <c r="SLV1513" s="879"/>
      <c r="SLW1513" s="879"/>
      <c r="SLX1513" s="879"/>
      <c r="SLY1513" s="879"/>
      <c r="SLZ1513" s="879"/>
      <c r="SMA1513" s="879"/>
      <c r="SMB1513" s="879"/>
      <c r="SMC1513" s="879"/>
      <c r="SMD1513" s="879"/>
      <c r="SME1513" s="879"/>
      <c r="SMF1513" s="879"/>
      <c r="SMG1513" s="879"/>
      <c r="SMH1513" s="879"/>
      <c r="SMI1513" s="879"/>
      <c r="SMJ1513" s="879"/>
      <c r="SMK1513" s="879"/>
      <c r="SML1513" s="879"/>
      <c r="SMM1513" s="879"/>
      <c r="SMN1513" s="879"/>
      <c r="SMO1513" s="879"/>
      <c r="SMP1513" s="879"/>
      <c r="SMQ1513" s="879"/>
      <c r="SMR1513" s="879"/>
      <c r="SMS1513" s="879"/>
      <c r="SMT1513" s="879"/>
      <c r="SMU1513" s="879"/>
      <c r="SMV1513" s="879"/>
      <c r="SMW1513" s="879"/>
      <c r="SMX1513" s="879"/>
      <c r="SMY1513" s="879"/>
      <c r="SMZ1513" s="879"/>
      <c r="SNA1513" s="879"/>
      <c r="SNB1513" s="879"/>
      <c r="SNC1513" s="879"/>
      <c r="SND1513" s="879"/>
      <c r="SNE1513" s="879"/>
      <c r="SNF1513" s="879"/>
      <c r="SNG1513" s="879"/>
      <c r="SNH1513" s="879"/>
      <c r="SNI1513" s="879"/>
      <c r="SNJ1513" s="879"/>
      <c r="SNK1513" s="879"/>
      <c r="SNL1513" s="879"/>
      <c r="SNM1513" s="879"/>
      <c r="SNN1513" s="879"/>
      <c r="SNO1513" s="879"/>
      <c r="SNP1513" s="879"/>
      <c r="SNQ1513" s="879"/>
      <c r="SNR1513" s="879"/>
      <c r="SNS1513" s="879"/>
      <c r="SNT1513" s="879"/>
      <c r="SNU1513" s="879"/>
      <c r="SNV1513" s="879"/>
      <c r="SNW1513" s="879"/>
      <c r="SNX1513" s="879"/>
      <c r="SNY1513" s="879"/>
      <c r="SNZ1513" s="879"/>
      <c r="SOA1513" s="879"/>
      <c r="SOB1513" s="879"/>
      <c r="SOC1513" s="879"/>
      <c r="SOD1513" s="879"/>
      <c r="SOE1513" s="879"/>
      <c r="SOF1513" s="879"/>
      <c r="SOG1513" s="879"/>
      <c r="SOH1513" s="879"/>
      <c r="SOI1513" s="879"/>
      <c r="SOJ1513" s="879"/>
      <c r="SOK1513" s="879"/>
      <c r="SOL1513" s="879"/>
      <c r="SOM1513" s="879"/>
      <c r="SON1513" s="879"/>
      <c r="SOO1513" s="879"/>
      <c r="SOP1513" s="879"/>
      <c r="SOQ1513" s="879"/>
      <c r="SOR1513" s="879"/>
      <c r="SOS1513" s="879"/>
      <c r="SOT1513" s="879"/>
      <c r="SOU1513" s="879"/>
      <c r="SOV1513" s="879"/>
      <c r="SOW1513" s="879"/>
      <c r="SOX1513" s="879"/>
      <c r="SOY1513" s="879"/>
      <c r="SOZ1513" s="879"/>
      <c r="SPA1513" s="879"/>
      <c r="SPB1513" s="879"/>
      <c r="SPC1513" s="879"/>
      <c r="SPD1513" s="879"/>
      <c r="SPE1513" s="879"/>
      <c r="SPF1513" s="879"/>
      <c r="SPG1513" s="879"/>
      <c r="SPH1513" s="879"/>
      <c r="SPI1513" s="879"/>
      <c r="SPJ1513" s="879"/>
      <c r="SPK1513" s="879"/>
      <c r="SPL1513" s="879"/>
      <c r="SPM1513" s="879"/>
      <c r="SPN1513" s="879"/>
      <c r="SPO1513" s="879"/>
      <c r="SPP1513" s="879"/>
      <c r="SPQ1513" s="879"/>
      <c r="SPR1513" s="879"/>
      <c r="SPS1513" s="879"/>
      <c r="SPT1513" s="879"/>
      <c r="SPU1513" s="879"/>
      <c r="SPV1513" s="879"/>
      <c r="SPW1513" s="879"/>
      <c r="SPX1513" s="879"/>
      <c r="SPY1513" s="879"/>
      <c r="SPZ1513" s="879"/>
      <c r="SQA1513" s="879"/>
      <c r="SQB1513" s="879"/>
      <c r="SQC1513" s="879"/>
      <c r="SQD1513" s="879"/>
      <c r="SQE1513" s="879"/>
      <c r="SQF1513" s="879"/>
      <c r="SQG1513" s="879"/>
      <c r="SQH1513" s="879"/>
      <c r="SQI1513" s="879"/>
      <c r="SQJ1513" s="879"/>
      <c r="SQK1513" s="879"/>
      <c r="SQL1513" s="879"/>
      <c r="SQM1513" s="879"/>
      <c r="SQN1513" s="879"/>
      <c r="SQO1513" s="879"/>
      <c r="SQP1513" s="879"/>
      <c r="SQQ1513" s="879"/>
      <c r="SQR1513" s="879"/>
      <c r="SQS1513" s="879"/>
      <c r="SQT1513" s="879"/>
      <c r="SQU1513" s="879"/>
      <c r="SQV1513" s="879"/>
      <c r="SQW1513" s="879"/>
      <c r="SQX1513" s="879"/>
      <c r="SQY1513" s="879"/>
      <c r="SQZ1513" s="879"/>
      <c r="SRA1513" s="879"/>
      <c r="SRB1513" s="879"/>
      <c r="SRC1513" s="879"/>
      <c r="SRD1513" s="879"/>
      <c r="SRE1513" s="879"/>
      <c r="SRF1513" s="879"/>
      <c r="SRG1513" s="879"/>
      <c r="SRH1513" s="879"/>
      <c r="SRI1513" s="879"/>
      <c r="SRJ1513" s="879"/>
      <c r="SRK1513" s="879"/>
      <c r="SRL1513" s="879"/>
      <c r="SRM1513" s="879"/>
      <c r="SRN1513" s="879"/>
      <c r="SRO1513" s="879"/>
      <c r="SRP1513" s="879"/>
      <c r="SRQ1513" s="879"/>
      <c r="SRR1513" s="879"/>
      <c r="SRS1513" s="879"/>
      <c r="SRT1513" s="879"/>
      <c r="SRU1513" s="879"/>
      <c r="SRV1513" s="879"/>
      <c r="SRW1513" s="879"/>
      <c r="SRX1513" s="879"/>
      <c r="SRY1513" s="879"/>
      <c r="SRZ1513" s="879"/>
      <c r="SSA1513" s="879"/>
      <c r="SSB1513" s="879"/>
      <c r="SSC1513" s="879"/>
      <c r="SSD1513" s="879"/>
      <c r="SSE1513" s="879"/>
      <c r="SSF1513" s="879"/>
      <c r="SSG1513" s="879"/>
      <c r="SSH1513" s="879"/>
      <c r="SSI1513" s="879"/>
      <c r="SSJ1513" s="879"/>
      <c r="SSK1513" s="879"/>
      <c r="SSL1513" s="879"/>
      <c r="SSM1513" s="879"/>
      <c r="SSN1513" s="879"/>
      <c r="SSO1513" s="879"/>
      <c r="SSP1513" s="879"/>
      <c r="SSQ1513" s="879"/>
      <c r="SSR1513" s="879"/>
      <c r="SSS1513" s="879"/>
      <c r="SST1513" s="879"/>
      <c r="SSU1513" s="879"/>
      <c r="SSV1513" s="879"/>
      <c r="SSW1513" s="879"/>
      <c r="SSX1513" s="879"/>
      <c r="SSY1513" s="879"/>
      <c r="SSZ1513" s="879"/>
      <c r="STA1513" s="879"/>
      <c r="STB1513" s="879"/>
      <c r="STC1513" s="879"/>
      <c r="STD1513" s="879"/>
      <c r="STE1513" s="879"/>
      <c r="STF1513" s="879"/>
      <c r="STG1513" s="879"/>
      <c r="STH1513" s="879"/>
      <c r="STI1513" s="879"/>
      <c r="STJ1513" s="879"/>
      <c r="STK1513" s="879"/>
      <c r="STL1513" s="879"/>
      <c r="STM1513" s="879"/>
      <c r="STN1513" s="879"/>
      <c r="STO1513" s="879"/>
      <c r="STP1513" s="879"/>
      <c r="STQ1513" s="879"/>
      <c r="STR1513" s="879"/>
      <c r="STS1513" s="879"/>
      <c r="STT1513" s="879"/>
      <c r="STU1513" s="879"/>
      <c r="STV1513" s="879"/>
      <c r="STW1513" s="879"/>
      <c r="STX1513" s="879"/>
      <c r="STY1513" s="879"/>
      <c r="STZ1513" s="879"/>
      <c r="SUA1513" s="879"/>
      <c r="SUB1513" s="879"/>
      <c r="SUC1513" s="879"/>
      <c r="SUD1513" s="879"/>
      <c r="SUE1513" s="879"/>
      <c r="SUF1513" s="879"/>
      <c r="SUG1513" s="879"/>
      <c r="SUH1513" s="879"/>
      <c r="SUI1513" s="879"/>
      <c r="SUJ1513" s="879"/>
      <c r="SUK1513" s="879"/>
      <c r="SUL1513" s="879"/>
      <c r="SUM1513" s="879"/>
      <c r="SUN1513" s="879"/>
      <c r="SUO1513" s="879"/>
      <c r="SUP1513" s="879"/>
      <c r="SUQ1513" s="879"/>
      <c r="SUR1513" s="879"/>
      <c r="SUS1513" s="879"/>
      <c r="SUT1513" s="879"/>
      <c r="SUU1513" s="879"/>
      <c r="SUV1513" s="879"/>
      <c r="SUW1513" s="879"/>
      <c r="SUX1513" s="879"/>
      <c r="SUY1513" s="879"/>
      <c r="SUZ1513" s="879"/>
      <c r="SVA1513" s="879"/>
      <c r="SVB1513" s="879"/>
      <c r="SVC1513" s="879"/>
      <c r="SVD1513" s="879"/>
      <c r="SVE1513" s="879"/>
      <c r="SVF1513" s="879"/>
      <c r="SVG1513" s="879"/>
      <c r="SVH1513" s="879"/>
      <c r="SVI1513" s="879"/>
      <c r="SVJ1513" s="879"/>
      <c r="SVK1513" s="879"/>
      <c r="SVL1513" s="879"/>
      <c r="SVM1513" s="879"/>
      <c r="SVN1513" s="879"/>
      <c r="SVO1513" s="879"/>
      <c r="SVP1513" s="879"/>
      <c r="SVQ1513" s="879"/>
      <c r="SVR1513" s="879"/>
      <c r="SVS1513" s="879"/>
      <c r="SVT1513" s="879"/>
      <c r="SVU1513" s="879"/>
      <c r="SVV1513" s="879"/>
      <c r="SVW1513" s="879"/>
      <c r="SVX1513" s="879"/>
      <c r="SVY1513" s="879"/>
      <c r="SVZ1513" s="879"/>
      <c r="SWA1513" s="879"/>
      <c r="SWB1513" s="879"/>
      <c r="SWC1513" s="879"/>
      <c r="SWD1513" s="879"/>
      <c r="SWE1513" s="879"/>
      <c r="SWF1513" s="879"/>
      <c r="SWG1513" s="879"/>
      <c r="SWH1513" s="879"/>
      <c r="SWI1513" s="879"/>
      <c r="SWJ1513" s="879"/>
      <c r="SWK1513" s="879"/>
      <c r="SWL1513" s="879"/>
      <c r="SWM1513" s="879"/>
      <c r="SWN1513" s="879"/>
      <c r="SWO1513" s="879"/>
      <c r="SWP1513" s="879"/>
      <c r="SWQ1513" s="879"/>
      <c r="SWR1513" s="879"/>
      <c r="SWS1513" s="879"/>
      <c r="SWT1513" s="879"/>
      <c r="SWU1513" s="879"/>
      <c r="SWV1513" s="879"/>
      <c r="SWW1513" s="879"/>
      <c r="SWX1513" s="879"/>
      <c r="SWY1513" s="879"/>
      <c r="SWZ1513" s="879"/>
      <c r="SXA1513" s="879"/>
      <c r="SXB1513" s="879"/>
      <c r="SXC1513" s="879"/>
      <c r="SXD1513" s="879"/>
      <c r="SXE1513" s="879"/>
      <c r="SXF1513" s="879"/>
      <c r="SXG1513" s="879"/>
      <c r="SXH1513" s="879"/>
      <c r="SXI1513" s="879"/>
      <c r="SXJ1513" s="879"/>
      <c r="SXK1513" s="879"/>
      <c r="SXL1513" s="879"/>
      <c r="SXM1513" s="879"/>
      <c r="SXN1513" s="879"/>
      <c r="SXO1513" s="879"/>
      <c r="SXP1513" s="879"/>
      <c r="SXQ1513" s="879"/>
      <c r="SXR1513" s="879"/>
      <c r="SXS1513" s="879"/>
      <c r="SXT1513" s="879"/>
      <c r="SXU1513" s="879"/>
      <c r="SXV1513" s="879"/>
      <c r="SXW1513" s="879"/>
      <c r="SXX1513" s="879"/>
      <c r="SXY1513" s="879"/>
      <c r="SXZ1513" s="879"/>
      <c r="SYA1513" s="879"/>
      <c r="SYB1513" s="879"/>
      <c r="SYC1513" s="879"/>
      <c r="SYD1513" s="879"/>
      <c r="SYE1513" s="879"/>
      <c r="SYF1513" s="879"/>
      <c r="SYG1513" s="879"/>
      <c r="SYH1513" s="879"/>
      <c r="SYI1513" s="879"/>
      <c r="SYJ1513" s="879"/>
      <c r="SYK1513" s="879"/>
      <c r="SYL1513" s="879"/>
      <c r="SYM1513" s="879"/>
      <c r="SYN1513" s="879"/>
      <c r="SYO1513" s="879"/>
      <c r="SYP1513" s="879"/>
      <c r="SYQ1513" s="879"/>
      <c r="SYR1513" s="879"/>
      <c r="SYS1513" s="879"/>
      <c r="SYT1513" s="879"/>
      <c r="SYU1513" s="879"/>
      <c r="SYV1513" s="879"/>
      <c r="SYW1513" s="879"/>
      <c r="SYX1513" s="879"/>
      <c r="SYY1513" s="879"/>
      <c r="SYZ1513" s="879"/>
      <c r="SZA1513" s="879"/>
      <c r="SZB1513" s="879"/>
      <c r="SZC1513" s="879"/>
      <c r="SZD1513" s="879"/>
      <c r="SZE1513" s="879"/>
      <c r="SZF1513" s="879"/>
      <c r="SZG1513" s="879"/>
      <c r="SZH1513" s="879"/>
      <c r="SZI1513" s="879"/>
      <c r="SZJ1513" s="879"/>
      <c r="SZK1513" s="879"/>
      <c r="SZL1513" s="879"/>
      <c r="SZM1513" s="879"/>
      <c r="SZN1513" s="879"/>
      <c r="SZO1513" s="879"/>
      <c r="SZP1513" s="879"/>
      <c r="SZQ1513" s="879"/>
      <c r="SZR1513" s="879"/>
      <c r="SZS1513" s="879"/>
      <c r="SZT1513" s="879"/>
      <c r="SZU1513" s="879"/>
      <c r="SZV1513" s="879"/>
      <c r="SZW1513" s="879"/>
      <c r="SZX1513" s="879"/>
      <c r="SZY1513" s="879"/>
      <c r="SZZ1513" s="879"/>
      <c r="TAA1513" s="879"/>
      <c r="TAB1513" s="879"/>
      <c r="TAC1513" s="879"/>
      <c r="TAD1513" s="879"/>
      <c r="TAE1513" s="879"/>
      <c r="TAF1513" s="879"/>
      <c r="TAG1513" s="879"/>
      <c r="TAH1513" s="879"/>
      <c r="TAI1513" s="879"/>
      <c r="TAJ1513" s="879"/>
      <c r="TAK1513" s="879"/>
      <c r="TAL1513" s="879"/>
      <c r="TAM1513" s="879"/>
      <c r="TAN1513" s="879"/>
      <c r="TAO1513" s="879"/>
      <c r="TAP1513" s="879"/>
      <c r="TAQ1513" s="879"/>
      <c r="TAR1513" s="879"/>
      <c r="TAS1513" s="879"/>
      <c r="TAT1513" s="879"/>
      <c r="TAU1513" s="879"/>
      <c r="TAV1513" s="879"/>
      <c r="TAW1513" s="879"/>
      <c r="TAX1513" s="879"/>
      <c r="TAY1513" s="879"/>
      <c r="TAZ1513" s="879"/>
      <c r="TBA1513" s="879"/>
      <c r="TBB1513" s="879"/>
      <c r="TBC1513" s="879"/>
      <c r="TBD1513" s="879"/>
      <c r="TBE1513" s="879"/>
      <c r="TBF1513" s="879"/>
      <c r="TBG1513" s="879"/>
      <c r="TBH1513" s="879"/>
      <c r="TBI1513" s="879"/>
      <c r="TBJ1513" s="879"/>
      <c r="TBK1513" s="879"/>
      <c r="TBL1513" s="879"/>
      <c r="TBM1513" s="879"/>
      <c r="TBN1513" s="879"/>
      <c r="TBO1513" s="879"/>
      <c r="TBP1513" s="879"/>
      <c r="TBQ1513" s="879"/>
      <c r="TBR1513" s="879"/>
      <c r="TBS1513" s="879"/>
      <c r="TBT1513" s="879"/>
      <c r="TBU1513" s="879"/>
      <c r="TBV1513" s="879"/>
      <c r="TBW1513" s="879"/>
      <c r="TBX1513" s="879"/>
      <c r="TBY1513" s="879"/>
      <c r="TBZ1513" s="879"/>
      <c r="TCA1513" s="879"/>
      <c r="TCB1513" s="879"/>
      <c r="TCC1513" s="879"/>
      <c r="TCD1513" s="879"/>
      <c r="TCE1513" s="879"/>
      <c r="TCF1513" s="879"/>
      <c r="TCG1513" s="879"/>
      <c r="TCH1513" s="879"/>
      <c r="TCI1513" s="879"/>
      <c r="TCJ1513" s="879"/>
      <c r="TCK1513" s="879"/>
      <c r="TCL1513" s="879"/>
      <c r="TCM1513" s="879"/>
      <c r="TCN1513" s="879"/>
      <c r="TCO1513" s="879"/>
      <c r="TCP1513" s="879"/>
      <c r="TCQ1513" s="879"/>
      <c r="TCR1513" s="879"/>
      <c r="TCS1513" s="879"/>
      <c r="TCT1513" s="879"/>
      <c r="TCU1513" s="879"/>
      <c r="TCV1513" s="879"/>
      <c r="TCW1513" s="879"/>
      <c r="TCX1513" s="879"/>
      <c r="TCY1513" s="879"/>
      <c r="TCZ1513" s="879"/>
      <c r="TDA1513" s="879"/>
      <c r="TDB1513" s="879"/>
      <c r="TDC1513" s="879"/>
      <c r="TDD1513" s="879"/>
      <c r="TDE1513" s="879"/>
      <c r="TDF1513" s="879"/>
      <c r="TDG1513" s="879"/>
      <c r="TDH1513" s="879"/>
      <c r="TDI1513" s="879"/>
      <c r="TDJ1513" s="879"/>
      <c r="TDK1513" s="879"/>
      <c r="TDL1513" s="879"/>
      <c r="TDM1513" s="879"/>
      <c r="TDN1513" s="879"/>
      <c r="TDO1513" s="879"/>
      <c r="TDP1513" s="879"/>
      <c r="TDQ1513" s="879"/>
      <c r="TDR1513" s="879"/>
      <c r="TDS1513" s="879"/>
      <c r="TDT1513" s="879"/>
      <c r="TDU1513" s="879"/>
      <c r="TDV1513" s="879"/>
      <c r="TDW1513" s="879"/>
      <c r="TDX1513" s="879"/>
      <c r="TDY1513" s="879"/>
      <c r="TDZ1513" s="879"/>
      <c r="TEA1513" s="879"/>
      <c r="TEB1513" s="879"/>
      <c r="TEC1513" s="879"/>
      <c r="TED1513" s="879"/>
      <c r="TEE1513" s="879"/>
      <c r="TEF1513" s="879"/>
      <c r="TEG1513" s="879"/>
      <c r="TEH1513" s="879"/>
      <c r="TEI1513" s="879"/>
      <c r="TEJ1513" s="879"/>
      <c r="TEK1513" s="879"/>
      <c r="TEL1513" s="879"/>
      <c r="TEM1513" s="879"/>
      <c r="TEN1513" s="879"/>
      <c r="TEO1513" s="879"/>
      <c r="TEP1513" s="879"/>
      <c r="TEQ1513" s="879"/>
      <c r="TER1513" s="879"/>
      <c r="TES1513" s="879"/>
      <c r="TET1513" s="879"/>
      <c r="TEU1513" s="879"/>
      <c r="TEV1513" s="879"/>
      <c r="TEW1513" s="879"/>
      <c r="TEX1513" s="879"/>
      <c r="TEY1513" s="879"/>
      <c r="TEZ1513" s="879"/>
      <c r="TFA1513" s="879"/>
      <c r="TFB1513" s="879"/>
      <c r="TFC1513" s="879"/>
      <c r="TFD1513" s="879"/>
      <c r="TFE1513" s="879"/>
      <c r="TFF1513" s="879"/>
      <c r="TFG1513" s="879"/>
      <c r="TFH1513" s="879"/>
      <c r="TFI1513" s="879"/>
      <c r="TFJ1513" s="879"/>
      <c r="TFK1513" s="879"/>
      <c r="TFL1513" s="879"/>
      <c r="TFM1513" s="879"/>
      <c r="TFN1513" s="879"/>
      <c r="TFO1513" s="879"/>
      <c r="TFP1513" s="879"/>
      <c r="TFQ1513" s="879"/>
      <c r="TFR1513" s="879"/>
      <c r="TFS1513" s="879"/>
      <c r="TFT1513" s="879"/>
      <c r="TFU1513" s="879"/>
      <c r="TFV1513" s="879"/>
      <c r="TFW1513" s="879"/>
      <c r="TFX1513" s="879"/>
      <c r="TFY1513" s="879"/>
      <c r="TFZ1513" s="879"/>
      <c r="TGA1513" s="879"/>
      <c r="TGB1513" s="879"/>
      <c r="TGC1513" s="879"/>
      <c r="TGD1513" s="879"/>
      <c r="TGE1513" s="879"/>
      <c r="TGF1513" s="879"/>
      <c r="TGG1513" s="879"/>
      <c r="TGH1513" s="879"/>
      <c r="TGI1513" s="879"/>
      <c r="TGJ1513" s="879"/>
      <c r="TGK1513" s="879"/>
      <c r="TGL1513" s="879"/>
      <c r="TGM1513" s="879"/>
      <c r="TGN1513" s="879"/>
      <c r="TGO1513" s="879"/>
      <c r="TGP1513" s="879"/>
      <c r="TGQ1513" s="879"/>
      <c r="TGR1513" s="879"/>
      <c r="TGS1513" s="879"/>
      <c r="TGT1513" s="879"/>
      <c r="TGU1513" s="879"/>
      <c r="TGV1513" s="879"/>
      <c r="TGW1513" s="879"/>
      <c r="TGX1513" s="879"/>
      <c r="TGY1513" s="879"/>
      <c r="TGZ1513" s="879"/>
      <c r="THA1513" s="879"/>
      <c r="THB1513" s="879"/>
      <c r="THC1513" s="879"/>
      <c r="THD1513" s="879"/>
      <c r="THE1513" s="879"/>
      <c r="THF1513" s="879"/>
      <c r="THG1513" s="879"/>
      <c r="THH1513" s="879"/>
      <c r="THI1513" s="879"/>
      <c r="THJ1513" s="879"/>
      <c r="THK1513" s="879"/>
      <c r="THL1513" s="879"/>
      <c r="THM1513" s="879"/>
      <c r="THN1513" s="879"/>
      <c r="THO1513" s="879"/>
      <c r="THP1513" s="879"/>
      <c r="THQ1513" s="879"/>
      <c r="THR1513" s="879"/>
      <c r="THS1513" s="879"/>
      <c r="THT1513" s="879"/>
      <c r="THU1513" s="879"/>
      <c r="THV1513" s="879"/>
      <c r="THW1513" s="879"/>
      <c r="THX1513" s="879"/>
      <c r="THY1513" s="879"/>
      <c r="THZ1513" s="879"/>
      <c r="TIA1513" s="879"/>
      <c r="TIB1513" s="879"/>
      <c r="TIC1513" s="879"/>
      <c r="TID1513" s="879"/>
      <c r="TIE1513" s="879"/>
      <c r="TIF1513" s="879"/>
      <c r="TIG1513" s="879"/>
      <c r="TIH1513" s="879"/>
      <c r="TII1513" s="879"/>
      <c r="TIJ1513" s="879"/>
      <c r="TIK1513" s="879"/>
      <c r="TIL1513" s="879"/>
      <c r="TIM1513" s="879"/>
      <c r="TIN1513" s="879"/>
      <c r="TIO1513" s="879"/>
      <c r="TIP1513" s="879"/>
      <c r="TIQ1513" s="879"/>
      <c r="TIR1513" s="879"/>
      <c r="TIS1513" s="879"/>
      <c r="TIT1513" s="879"/>
      <c r="TIU1513" s="879"/>
      <c r="TIV1513" s="879"/>
      <c r="TIW1513" s="879"/>
      <c r="TIX1513" s="879"/>
      <c r="TIY1513" s="879"/>
      <c r="TIZ1513" s="879"/>
      <c r="TJA1513" s="879"/>
      <c r="TJB1513" s="879"/>
      <c r="TJC1513" s="879"/>
      <c r="TJD1513" s="879"/>
      <c r="TJE1513" s="879"/>
      <c r="TJF1513" s="879"/>
      <c r="TJG1513" s="879"/>
      <c r="TJH1513" s="879"/>
      <c r="TJI1513" s="879"/>
      <c r="TJJ1513" s="879"/>
      <c r="TJK1513" s="879"/>
      <c r="TJL1513" s="879"/>
      <c r="TJM1513" s="879"/>
      <c r="TJN1513" s="879"/>
      <c r="TJO1513" s="879"/>
      <c r="TJP1513" s="879"/>
      <c r="TJQ1513" s="879"/>
      <c r="TJR1513" s="879"/>
      <c r="TJS1513" s="879"/>
      <c r="TJT1513" s="879"/>
      <c r="TJU1513" s="879"/>
      <c r="TJV1513" s="879"/>
      <c r="TJW1513" s="879"/>
      <c r="TJX1513" s="879"/>
      <c r="TJY1513" s="879"/>
      <c r="TJZ1513" s="879"/>
      <c r="TKA1513" s="879"/>
      <c r="TKB1513" s="879"/>
      <c r="TKC1513" s="879"/>
      <c r="TKD1513" s="879"/>
      <c r="TKE1513" s="879"/>
      <c r="TKF1513" s="879"/>
      <c r="TKG1513" s="879"/>
      <c r="TKH1513" s="879"/>
      <c r="TKI1513" s="879"/>
      <c r="TKJ1513" s="879"/>
      <c r="TKK1513" s="879"/>
      <c r="TKL1513" s="879"/>
      <c r="TKM1513" s="879"/>
      <c r="TKN1513" s="879"/>
      <c r="TKO1513" s="879"/>
      <c r="TKP1513" s="879"/>
      <c r="TKQ1513" s="879"/>
      <c r="TKR1513" s="879"/>
      <c r="TKS1513" s="879"/>
      <c r="TKT1513" s="879"/>
      <c r="TKU1513" s="879"/>
      <c r="TKV1513" s="879"/>
      <c r="TKW1513" s="879"/>
      <c r="TKX1513" s="879"/>
      <c r="TKY1513" s="879"/>
      <c r="TKZ1513" s="879"/>
      <c r="TLA1513" s="879"/>
      <c r="TLB1513" s="879"/>
      <c r="TLC1513" s="879"/>
      <c r="TLD1513" s="879"/>
      <c r="TLE1513" s="879"/>
      <c r="TLF1513" s="879"/>
      <c r="TLG1513" s="879"/>
      <c r="TLH1513" s="879"/>
      <c r="TLI1513" s="879"/>
      <c r="TLJ1513" s="879"/>
      <c r="TLK1513" s="879"/>
      <c r="TLL1513" s="879"/>
      <c r="TLM1513" s="879"/>
      <c r="TLN1513" s="879"/>
      <c r="TLO1513" s="879"/>
      <c r="TLP1513" s="879"/>
      <c r="TLQ1513" s="879"/>
      <c r="TLR1513" s="879"/>
      <c r="TLS1513" s="879"/>
      <c r="TLT1513" s="879"/>
      <c r="TLU1513" s="879"/>
      <c r="TLV1513" s="879"/>
      <c r="TLW1513" s="879"/>
      <c r="TLX1513" s="879"/>
      <c r="TLY1513" s="879"/>
      <c r="TLZ1513" s="879"/>
      <c r="TMA1513" s="879"/>
      <c r="TMB1513" s="879"/>
      <c r="TMC1513" s="879"/>
      <c r="TMD1513" s="879"/>
      <c r="TME1513" s="879"/>
      <c r="TMF1513" s="879"/>
      <c r="TMG1513" s="879"/>
      <c r="TMH1513" s="879"/>
      <c r="TMI1513" s="879"/>
      <c r="TMJ1513" s="879"/>
      <c r="TMK1513" s="879"/>
      <c r="TML1513" s="879"/>
      <c r="TMM1513" s="879"/>
      <c r="TMN1513" s="879"/>
      <c r="TMO1513" s="879"/>
      <c r="TMP1513" s="879"/>
      <c r="TMQ1513" s="879"/>
      <c r="TMR1513" s="879"/>
      <c r="TMS1513" s="879"/>
      <c r="TMT1513" s="879"/>
      <c r="TMU1513" s="879"/>
      <c r="TMV1513" s="879"/>
      <c r="TMW1513" s="879"/>
      <c r="TMX1513" s="879"/>
      <c r="TMY1513" s="879"/>
      <c r="TMZ1513" s="879"/>
      <c r="TNA1513" s="879"/>
      <c r="TNB1513" s="879"/>
      <c r="TNC1513" s="879"/>
      <c r="TND1513" s="879"/>
      <c r="TNE1513" s="879"/>
      <c r="TNF1513" s="879"/>
      <c r="TNG1513" s="879"/>
      <c r="TNH1513" s="879"/>
      <c r="TNI1513" s="879"/>
      <c r="TNJ1513" s="879"/>
      <c r="TNK1513" s="879"/>
      <c r="TNL1513" s="879"/>
      <c r="TNM1513" s="879"/>
      <c r="TNN1513" s="879"/>
      <c r="TNO1513" s="879"/>
      <c r="TNP1513" s="879"/>
      <c r="TNQ1513" s="879"/>
      <c r="TNR1513" s="879"/>
      <c r="TNS1513" s="879"/>
      <c r="TNT1513" s="879"/>
      <c r="TNU1513" s="879"/>
      <c r="TNV1513" s="879"/>
      <c r="TNW1513" s="879"/>
      <c r="TNX1513" s="879"/>
      <c r="TNY1513" s="879"/>
      <c r="TNZ1513" s="879"/>
      <c r="TOA1513" s="879"/>
      <c r="TOB1513" s="879"/>
      <c r="TOC1513" s="879"/>
      <c r="TOD1513" s="879"/>
      <c r="TOE1513" s="879"/>
      <c r="TOF1513" s="879"/>
      <c r="TOG1513" s="879"/>
      <c r="TOH1513" s="879"/>
      <c r="TOI1513" s="879"/>
      <c r="TOJ1513" s="879"/>
      <c r="TOK1513" s="879"/>
      <c r="TOL1513" s="879"/>
      <c r="TOM1513" s="879"/>
      <c r="TON1513" s="879"/>
      <c r="TOO1513" s="879"/>
      <c r="TOP1513" s="879"/>
      <c r="TOQ1513" s="879"/>
      <c r="TOR1513" s="879"/>
      <c r="TOS1513" s="879"/>
      <c r="TOT1513" s="879"/>
      <c r="TOU1513" s="879"/>
      <c r="TOV1513" s="879"/>
      <c r="TOW1513" s="879"/>
      <c r="TOX1513" s="879"/>
      <c r="TOY1513" s="879"/>
      <c r="TOZ1513" s="879"/>
      <c r="TPA1513" s="879"/>
      <c r="TPB1513" s="879"/>
      <c r="TPC1513" s="879"/>
      <c r="TPD1513" s="879"/>
      <c r="TPE1513" s="879"/>
      <c r="TPF1513" s="879"/>
      <c r="TPG1513" s="879"/>
      <c r="TPH1513" s="879"/>
      <c r="TPI1513" s="879"/>
      <c r="TPJ1513" s="879"/>
      <c r="TPK1513" s="879"/>
      <c r="TPL1513" s="879"/>
      <c r="TPM1513" s="879"/>
      <c r="TPN1513" s="879"/>
      <c r="TPO1513" s="879"/>
      <c r="TPP1513" s="879"/>
      <c r="TPQ1513" s="879"/>
      <c r="TPR1513" s="879"/>
      <c r="TPS1513" s="879"/>
      <c r="TPT1513" s="879"/>
      <c r="TPU1513" s="879"/>
      <c r="TPV1513" s="879"/>
      <c r="TPW1513" s="879"/>
      <c r="TPX1513" s="879"/>
      <c r="TPY1513" s="879"/>
      <c r="TPZ1513" s="879"/>
      <c r="TQA1513" s="879"/>
      <c r="TQB1513" s="879"/>
      <c r="TQC1513" s="879"/>
      <c r="TQD1513" s="879"/>
      <c r="TQE1513" s="879"/>
      <c r="TQF1513" s="879"/>
      <c r="TQG1513" s="879"/>
      <c r="TQH1513" s="879"/>
      <c r="TQI1513" s="879"/>
      <c r="TQJ1513" s="879"/>
      <c r="TQK1513" s="879"/>
      <c r="TQL1513" s="879"/>
      <c r="TQM1513" s="879"/>
      <c r="TQN1513" s="879"/>
      <c r="TQO1513" s="879"/>
      <c r="TQP1513" s="879"/>
      <c r="TQQ1513" s="879"/>
      <c r="TQR1513" s="879"/>
      <c r="TQS1513" s="879"/>
      <c r="TQT1513" s="879"/>
      <c r="TQU1513" s="879"/>
      <c r="TQV1513" s="879"/>
      <c r="TQW1513" s="879"/>
      <c r="TQX1513" s="879"/>
      <c r="TQY1513" s="879"/>
      <c r="TQZ1513" s="879"/>
      <c r="TRA1513" s="879"/>
      <c r="TRB1513" s="879"/>
      <c r="TRC1513" s="879"/>
      <c r="TRD1513" s="879"/>
      <c r="TRE1513" s="879"/>
      <c r="TRF1513" s="879"/>
      <c r="TRG1513" s="879"/>
      <c r="TRH1513" s="879"/>
      <c r="TRI1513" s="879"/>
      <c r="TRJ1513" s="879"/>
      <c r="TRK1513" s="879"/>
      <c r="TRL1513" s="879"/>
      <c r="TRM1513" s="879"/>
      <c r="TRN1513" s="879"/>
      <c r="TRO1513" s="879"/>
      <c r="TRP1513" s="879"/>
      <c r="TRQ1513" s="879"/>
      <c r="TRR1513" s="879"/>
      <c r="TRS1513" s="879"/>
      <c r="TRT1513" s="879"/>
      <c r="TRU1513" s="879"/>
      <c r="TRV1513" s="879"/>
      <c r="TRW1513" s="879"/>
      <c r="TRX1513" s="879"/>
      <c r="TRY1513" s="879"/>
      <c r="TRZ1513" s="879"/>
      <c r="TSA1513" s="879"/>
      <c r="TSB1513" s="879"/>
      <c r="TSC1513" s="879"/>
      <c r="TSD1513" s="879"/>
      <c r="TSE1513" s="879"/>
      <c r="TSF1513" s="879"/>
      <c r="TSG1513" s="879"/>
      <c r="TSH1513" s="879"/>
      <c r="TSI1513" s="879"/>
      <c r="TSJ1513" s="879"/>
      <c r="TSK1513" s="879"/>
      <c r="TSL1513" s="879"/>
      <c r="TSM1513" s="879"/>
      <c r="TSN1513" s="879"/>
      <c r="TSO1513" s="879"/>
      <c r="TSP1513" s="879"/>
      <c r="TSQ1513" s="879"/>
      <c r="TSR1513" s="879"/>
      <c r="TSS1513" s="879"/>
      <c r="TST1513" s="879"/>
      <c r="TSU1513" s="879"/>
      <c r="TSV1513" s="879"/>
      <c r="TSW1513" s="879"/>
      <c r="TSX1513" s="879"/>
      <c r="TSY1513" s="879"/>
      <c r="TSZ1513" s="879"/>
      <c r="TTA1513" s="879"/>
      <c r="TTB1513" s="879"/>
      <c r="TTC1513" s="879"/>
      <c r="TTD1513" s="879"/>
      <c r="TTE1513" s="879"/>
      <c r="TTF1513" s="879"/>
      <c r="TTG1513" s="879"/>
      <c r="TTH1513" s="879"/>
      <c r="TTI1513" s="879"/>
      <c r="TTJ1513" s="879"/>
      <c r="TTK1513" s="879"/>
      <c r="TTL1513" s="879"/>
      <c r="TTM1513" s="879"/>
      <c r="TTN1513" s="879"/>
      <c r="TTO1513" s="879"/>
      <c r="TTP1513" s="879"/>
      <c r="TTQ1513" s="879"/>
      <c r="TTR1513" s="879"/>
      <c r="TTS1513" s="879"/>
      <c r="TTT1513" s="879"/>
      <c r="TTU1513" s="879"/>
      <c r="TTV1513" s="879"/>
      <c r="TTW1513" s="879"/>
      <c r="TTX1513" s="879"/>
      <c r="TTY1513" s="879"/>
      <c r="TTZ1513" s="879"/>
      <c r="TUA1513" s="879"/>
      <c r="TUB1513" s="879"/>
      <c r="TUC1513" s="879"/>
      <c r="TUD1513" s="879"/>
      <c r="TUE1513" s="879"/>
      <c r="TUF1513" s="879"/>
      <c r="TUG1513" s="879"/>
      <c r="TUH1513" s="879"/>
      <c r="TUI1513" s="879"/>
      <c r="TUJ1513" s="879"/>
      <c r="TUK1513" s="879"/>
      <c r="TUL1513" s="879"/>
      <c r="TUM1513" s="879"/>
      <c r="TUN1513" s="879"/>
      <c r="TUO1513" s="879"/>
      <c r="TUP1513" s="879"/>
      <c r="TUQ1513" s="879"/>
      <c r="TUR1513" s="879"/>
      <c r="TUS1513" s="879"/>
      <c r="TUT1513" s="879"/>
      <c r="TUU1513" s="879"/>
      <c r="TUV1513" s="879"/>
      <c r="TUW1513" s="879"/>
      <c r="TUX1513" s="879"/>
      <c r="TUY1513" s="879"/>
      <c r="TUZ1513" s="879"/>
      <c r="TVA1513" s="879"/>
      <c r="TVB1513" s="879"/>
      <c r="TVC1513" s="879"/>
      <c r="TVD1513" s="879"/>
      <c r="TVE1513" s="879"/>
      <c r="TVF1513" s="879"/>
      <c r="TVG1513" s="879"/>
      <c r="TVH1513" s="879"/>
      <c r="TVI1513" s="879"/>
      <c r="TVJ1513" s="879"/>
      <c r="TVK1513" s="879"/>
      <c r="TVL1513" s="879"/>
      <c r="TVM1513" s="879"/>
      <c r="TVN1513" s="879"/>
      <c r="TVO1513" s="879"/>
      <c r="TVP1513" s="879"/>
      <c r="TVQ1513" s="879"/>
      <c r="TVR1513" s="879"/>
      <c r="TVS1513" s="879"/>
      <c r="TVT1513" s="879"/>
      <c r="TVU1513" s="879"/>
      <c r="TVV1513" s="879"/>
      <c r="TVW1513" s="879"/>
      <c r="TVX1513" s="879"/>
      <c r="TVY1513" s="879"/>
      <c r="TVZ1513" s="879"/>
      <c r="TWA1513" s="879"/>
      <c r="TWB1513" s="879"/>
      <c r="TWC1513" s="879"/>
      <c r="TWD1513" s="879"/>
      <c r="TWE1513" s="879"/>
      <c r="TWF1513" s="879"/>
      <c r="TWG1513" s="879"/>
      <c r="TWH1513" s="879"/>
      <c r="TWI1513" s="879"/>
      <c r="TWJ1513" s="879"/>
      <c r="TWK1513" s="879"/>
      <c r="TWL1513" s="879"/>
      <c r="TWM1513" s="879"/>
      <c r="TWN1513" s="879"/>
      <c r="TWO1513" s="879"/>
      <c r="TWP1513" s="879"/>
      <c r="TWQ1513" s="879"/>
      <c r="TWR1513" s="879"/>
      <c r="TWS1513" s="879"/>
      <c r="TWT1513" s="879"/>
      <c r="TWU1513" s="879"/>
      <c r="TWV1513" s="879"/>
      <c r="TWW1513" s="879"/>
      <c r="TWX1513" s="879"/>
      <c r="TWY1513" s="879"/>
      <c r="TWZ1513" s="879"/>
      <c r="TXA1513" s="879"/>
      <c r="TXB1513" s="879"/>
      <c r="TXC1513" s="879"/>
      <c r="TXD1513" s="879"/>
      <c r="TXE1513" s="879"/>
      <c r="TXF1513" s="879"/>
      <c r="TXG1513" s="879"/>
      <c r="TXH1513" s="879"/>
      <c r="TXI1513" s="879"/>
      <c r="TXJ1513" s="879"/>
      <c r="TXK1513" s="879"/>
      <c r="TXL1513" s="879"/>
      <c r="TXM1513" s="879"/>
      <c r="TXN1513" s="879"/>
      <c r="TXO1513" s="879"/>
      <c r="TXP1513" s="879"/>
      <c r="TXQ1513" s="879"/>
      <c r="TXR1513" s="879"/>
      <c r="TXS1513" s="879"/>
      <c r="TXT1513" s="879"/>
      <c r="TXU1513" s="879"/>
      <c r="TXV1513" s="879"/>
      <c r="TXW1513" s="879"/>
      <c r="TXX1513" s="879"/>
      <c r="TXY1513" s="879"/>
      <c r="TXZ1513" s="879"/>
      <c r="TYA1513" s="879"/>
      <c r="TYB1513" s="879"/>
      <c r="TYC1513" s="879"/>
      <c r="TYD1513" s="879"/>
      <c r="TYE1513" s="879"/>
      <c r="TYF1513" s="879"/>
      <c r="TYG1513" s="879"/>
      <c r="TYH1513" s="879"/>
      <c r="TYI1513" s="879"/>
      <c r="TYJ1513" s="879"/>
      <c r="TYK1513" s="879"/>
      <c r="TYL1513" s="879"/>
      <c r="TYM1513" s="879"/>
      <c r="TYN1513" s="879"/>
      <c r="TYO1513" s="879"/>
      <c r="TYP1513" s="879"/>
      <c r="TYQ1513" s="879"/>
      <c r="TYR1513" s="879"/>
      <c r="TYS1513" s="879"/>
      <c r="TYT1513" s="879"/>
      <c r="TYU1513" s="879"/>
      <c r="TYV1513" s="879"/>
      <c r="TYW1513" s="879"/>
      <c r="TYX1513" s="879"/>
      <c r="TYY1513" s="879"/>
      <c r="TYZ1513" s="879"/>
      <c r="TZA1513" s="879"/>
      <c r="TZB1513" s="879"/>
      <c r="TZC1513" s="879"/>
      <c r="TZD1513" s="879"/>
      <c r="TZE1513" s="879"/>
      <c r="TZF1513" s="879"/>
      <c r="TZG1513" s="879"/>
      <c r="TZH1513" s="879"/>
      <c r="TZI1513" s="879"/>
      <c r="TZJ1513" s="879"/>
      <c r="TZK1513" s="879"/>
      <c r="TZL1513" s="879"/>
      <c r="TZM1513" s="879"/>
      <c r="TZN1513" s="879"/>
      <c r="TZO1513" s="879"/>
      <c r="TZP1513" s="879"/>
      <c r="TZQ1513" s="879"/>
      <c r="TZR1513" s="879"/>
      <c r="TZS1513" s="879"/>
      <c r="TZT1513" s="879"/>
      <c r="TZU1513" s="879"/>
      <c r="TZV1513" s="879"/>
      <c r="TZW1513" s="879"/>
      <c r="TZX1513" s="879"/>
      <c r="TZY1513" s="879"/>
      <c r="TZZ1513" s="879"/>
      <c r="UAA1513" s="879"/>
      <c r="UAB1513" s="879"/>
      <c r="UAC1513" s="879"/>
      <c r="UAD1513" s="879"/>
      <c r="UAE1513" s="879"/>
      <c r="UAF1513" s="879"/>
      <c r="UAG1513" s="879"/>
      <c r="UAH1513" s="879"/>
      <c r="UAI1513" s="879"/>
      <c r="UAJ1513" s="879"/>
      <c r="UAK1513" s="879"/>
      <c r="UAL1513" s="879"/>
      <c r="UAM1513" s="879"/>
      <c r="UAN1513" s="879"/>
      <c r="UAO1513" s="879"/>
      <c r="UAP1513" s="879"/>
      <c r="UAQ1513" s="879"/>
      <c r="UAR1513" s="879"/>
      <c r="UAS1513" s="879"/>
      <c r="UAT1513" s="879"/>
      <c r="UAU1513" s="879"/>
      <c r="UAV1513" s="879"/>
      <c r="UAW1513" s="879"/>
      <c r="UAX1513" s="879"/>
      <c r="UAY1513" s="879"/>
      <c r="UAZ1513" s="879"/>
      <c r="UBA1513" s="879"/>
      <c r="UBB1513" s="879"/>
      <c r="UBC1513" s="879"/>
      <c r="UBD1513" s="879"/>
      <c r="UBE1513" s="879"/>
      <c r="UBF1513" s="879"/>
      <c r="UBG1513" s="879"/>
      <c r="UBH1513" s="879"/>
      <c r="UBI1513" s="879"/>
      <c r="UBJ1513" s="879"/>
      <c r="UBK1513" s="879"/>
      <c r="UBL1513" s="879"/>
      <c r="UBM1513" s="879"/>
      <c r="UBN1513" s="879"/>
      <c r="UBO1513" s="879"/>
      <c r="UBP1513" s="879"/>
      <c r="UBQ1513" s="879"/>
      <c r="UBR1513" s="879"/>
      <c r="UBS1513" s="879"/>
      <c r="UBT1513" s="879"/>
      <c r="UBU1513" s="879"/>
      <c r="UBV1513" s="879"/>
      <c r="UBW1513" s="879"/>
      <c r="UBX1513" s="879"/>
      <c r="UBY1513" s="879"/>
      <c r="UBZ1513" s="879"/>
      <c r="UCA1513" s="879"/>
      <c r="UCB1513" s="879"/>
      <c r="UCC1513" s="879"/>
      <c r="UCD1513" s="879"/>
      <c r="UCE1513" s="879"/>
      <c r="UCF1513" s="879"/>
      <c r="UCG1513" s="879"/>
      <c r="UCH1513" s="879"/>
      <c r="UCI1513" s="879"/>
      <c r="UCJ1513" s="879"/>
      <c r="UCK1513" s="879"/>
      <c r="UCL1513" s="879"/>
      <c r="UCM1513" s="879"/>
      <c r="UCN1513" s="879"/>
      <c r="UCO1513" s="879"/>
      <c r="UCP1513" s="879"/>
      <c r="UCQ1513" s="879"/>
      <c r="UCR1513" s="879"/>
      <c r="UCS1513" s="879"/>
      <c r="UCT1513" s="879"/>
      <c r="UCU1513" s="879"/>
      <c r="UCV1513" s="879"/>
      <c r="UCW1513" s="879"/>
      <c r="UCX1513" s="879"/>
      <c r="UCY1513" s="879"/>
      <c r="UCZ1513" s="879"/>
      <c r="UDA1513" s="879"/>
      <c r="UDB1513" s="879"/>
      <c r="UDC1513" s="879"/>
      <c r="UDD1513" s="879"/>
      <c r="UDE1513" s="879"/>
      <c r="UDF1513" s="879"/>
      <c r="UDG1513" s="879"/>
      <c r="UDH1513" s="879"/>
      <c r="UDI1513" s="879"/>
      <c r="UDJ1513" s="879"/>
      <c r="UDK1513" s="879"/>
      <c r="UDL1513" s="879"/>
      <c r="UDM1513" s="879"/>
      <c r="UDN1513" s="879"/>
      <c r="UDO1513" s="879"/>
      <c r="UDP1513" s="879"/>
      <c r="UDQ1513" s="879"/>
      <c r="UDR1513" s="879"/>
      <c r="UDS1513" s="879"/>
      <c r="UDT1513" s="879"/>
      <c r="UDU1513" s="879"/>
      <c r="UDV1513" s="879"/>
      <c r="UDW1513" s="879"/>
      <c r="UDX1513" s="879"/>
      <c r="UDY1513" s="879"/>
      <c r="UDZ1513" s="879"/>
      <c r="UEA1513" s="879"/>
      <c r="UEB1513" s="879"/>
      <c r="UEC1513" s="879"/>
      <c r="UED1513" s="879"/>
      <c r="UEE1513" s="879"/>
      <c r="UEF1513" s="879"/>
      <c r="UEG1513" s="879"/>
      <c r="UEH1513" s="879"/>
      <c r="UEI1513" s="879"/>
      <c r="UEJ1513" s="879"/>
      <c r="UEK1513" s="879"/>
      <c r="UEL1513" s="879"/>
      <c r="UEM1513" s="879"/>
      <c r="UEN1513" s="879"/>
      <c r="UEO1513" s="879"/>
      <c r="UEP1513" s="879"/>
      <c r="UEQ1513" s="879"/>
      <c r="UER1513" s="879"/>
      <c r="UES1513" s="879"/>
      <c r="UET1513" s="879"/>
      <c r="UEU1513" s="879"/>
      <c r="UEV1513" s="879"/>
      <c r="UEW1513" s="879"/>
      <c r="UEX1513" s="879"/>
      <c r="UEY1513" s="879"/>
      <c r="UEZ1513" s="879"/>
      <c r="UFA1513" s="879"/>
      <c r="UFB1513" s="879"/>
      <c r="UFC1513" s="879"/>
      <c r="UFD1513" s="879"/>
      <c r="UFE1513" s="879"/>
      <c r="UFF1513" s="879"/>
      <c r="UFG1513" s="879"/>
      <c r="UFH1513" s="879"/>
      <c r="UFI1513" s="879"/>
      <c r="UFJ1513" s="879"/>
      <c r="UFK1513" s="879"/>
      <c r="UFL1513" s="879"/>
      <c r="UFM1513" s="879"/>
      <c r="UFN1513" s="879"/>
      <c r="UFO1513" s="879"/>
      <c r="UFP1513" s="879"/>
      <c r="UFQ1513" s="879"/>
      <c r="UFR1513" s="879"/>
      <c r="UFS1513" s="879"/>
      <c r="UFT1513" s="879"/>
      <c r="UFU1513" s="879"/>
      <c r="UFV1513" s="879"/>
      <c r="UFW1513" s="879"/>
      <c r="UFX1513" s="879"/>
      <c r="UFY1513" s="879"/>
      <c r="UFZ1513" s="879"/>
      <c r="UGA1513" s="879"/>
      <c r="UGB1513" s="879"/>
      <c r="UGC1513" s="879"/>
      <c r="UGD1513" s="879"/>
      <c r="UGE1513" s="879"/>
      <c r="UGF1513" s="879"/>
      <c r="UGG1513" s="879"/>
      <c r="UGH1513" s="879"/>
      <c r="UGI1513" s="879"/>
      <c r="UGJ1513" s="879"/>
      <c r="UGK1513" s="879"/>
      <c r="UGL1513" s="879"/>
      <c r="UGM1513" s="879"/>
      <c r="UGN1513" s="879"/>
      <c r="UGO1513" s="879"/>
      <c r="UGP1513" s="879"/>
      <c r="UGQ1513" s="879"/>
      <c r="UGR1513" s="879"/>
      <c r="UGS1513" s="879"/>
      <c r="UGT1513" s="879"/>
      <c r="UGU1513" s="879"/>
      <c r="UGV1513" s="879"/>
      <c r="UGW1513" s="879"/>
      <c r="UGX1513" s="879"/>
      <c r="UGY1513" s="879"/>
      <c r="UGZ1513" s="879"/>
      <c r="UHA1513" s="879"/>
      <c r="UHB1513" s="879"/>
      <c r="UHC1513" s="879"/>
      <c r="UHD1513" s="879"/>
      <c r="UHE1513" s="879"/>
      <c r="UHF1513" s="879"/>
      <c r="UHG1513" s="879"/>
      <c r="UHH1513" s="879"/>
      <c r="UHI1513" s="879"/>
      <c r="UHJ1513" s="879"/>
      <c r="UHK1513" s="879"/>
      <c r="UHL1513" s="879"/>
      <c r="UHM1513" s="879"/>
      <c r="UHN1513" s="879"/>
      <c r="UHO1513" s="879"/>
      <c r="UHP1513" s="879"/>
      <c r="UHQ1513" s="879"/>
      <c r="UHR1513" s="879"/>
      <c r="UHS1513" s="879"/>
      <c r="UHT1513" s="879"/>
      <c r="UHU1513" s="879"/>
      <c r="UHV1513" s="879"/>
      <c r="UHW1513" s="879"/>
      <c r="UHX1513" s="879"/>
      <c r="UHY1513" s="879"/>
      <c r="UHZ1513" s="879"/>
      <c r="UIA1513" s="879"/>
      <c r="UIB1513" s="879"/>
      <c r="UIC1513" s="879"/>
      <c r="UID1513" s="879"/>
      <c r="UIE1513" s="879"/>
      <c r="UIF1513" s="879"/>
      <c r="UIG1513" s="879"/>
      <c r="UIH1513" s="879"/>
      <c r="UII1513" s="879"/>
      <c r="UIJ1513" s="879"/>
      <c r="UIK1513" s="879"/>
      <c r="UIL1513" s="879"/>
      <c r="UIM1513" s="879"/>
      <c r="UIN1513" s="879"/>
      <c r="UIO1513" s="879"/>
      <c r="UIP1513" s="879"/>
      <c r="UIQ1513" s="879"/>
      <c r="UIR1513" s="879"/>
      <c r="UIS1513" s="879"/>
      <c r="UIT1513" s="879"/>
      <c r="UIU1513" s="879"/>
      <c r="UIV1513" s="879"/>
      <c r="UIW1513" s="879"/>
      <c r="UIX1513" s="879"/>
      <c r="UIY1513" s="879"/>
      <c r="UIZ1513" s="879"/>
      <c r="UJA1513" s="879"/>
      <c r="UJB1513" s="879"/>
      <c r="UJC1513" s="879"/>
      <c r="UJD1513" s="879"/>
      <c r="UJE1513" s="879"/>
      <c r="UJF1513" s="879"/>
      <c r="UJG1513" s="879"/>
      <c r="UJH1513" s="879"/>
      <c r="UJI1513" s="879"/>
      <c r="UJJ1513" s="879"/>
      <c r="UJK1513" s="879"/>
      <c r="UJL1513" s="879"/>
      <c r="UJM1513" s="879"/>
      <c r="UJN1513" s="879"/>
      <c r="UJO1513" s="879"/>
      <c r="UJP1513" s="879"/>
      <c r="UJQ1513" s="879"/>
      <c r="UJR1513" s="879"/>
      <c r="UJS1513" s="879"/>
      <c r="UJT1513" s="879"/>
      <c r="UJU1513" s="879"/>
      <c r="UJV1513" s="879"/>
      <c r="UJW1513" s="879"/>
      <c r="UJX1513" s="879"/>
      <c r="UJY1513" s="879"/>
      <c r="UJZ1513" s="879"/>
      <c r="UKA1513" s="879"/>
      <c r="UKB1513" s="879"/>
      <c r="UKC1513" s="879"/>
      <c r="UKD1513" s="879"/>
      <c r="UKE1513" s="879"/>
      <c r="UKF1513" s="879"/>
      <c r="UKG1513" s="879"/>
      <c r="UKH1513" s="879"/>
      <c r="UKI1513" s="879"/>
      <c r="UKJ1513" s="879"/>
      <c r="UKK1513" s="879"/>
      <c r="UKL1513" s="879"/>
      <c r="UKM1513" s="879"/>
      <c r="UKN1513" s="879"/>
      <c r="UKO1513" s="879"/>
      <c r="UKP1513" s="879"/>
      <c r="UKQ1513" s="879"/>
      <c r="UKR1513" s="879"/>
      <c r="UKS1513" s="879"/>
      <c r="UKT1513" s="879"/>
      <c r="UKU1513" s="879"/>
      <c r="UKV1513" s="879"/>
      <c r="UKW1513" s="879"/>
      <c r="UKX1513" s="879"/>
      <c r="UKY1513" s="879"/>
      <c r="UKZ1513" s="879"/>
      <c r="ULA1513" s="879"/>
      <c r="ULB1513" s="879"/>
      <c r="ULC1513" s="879"/>
      <c r="ULD1513" s="879"/>
      <c r="ULE1513" s="879"/>
      <c r="ULF1513" s="879"/>
      <c r="ULG1513" s="879"/>
      <c r="ULH1513" s="879"/>
      <c r="ULI1513" s="879"/>
      <c r="ULJ1513" s="879"/>
      <c r="ULK1513" s="879"/>
      <c r="ULL1513" s="879"/>
      <c r="ULM1513" s="879"/>
      <c r="ULN1513" s="879"/>
      <c r="ULO1513" s="879"/>
      <c r="ULP1513" s="879"/>
      <c r="ULQ1513" s="879"/>
      <c r="ULR1513" s="879"/>
      <c r="ULS1513" s="879"/>
      <c r="ULT1513" s="879"/>
      <c r="ULU1513" s="879"/>
      <c r="ULV1513" s="879"/>
      <c r="ULW1513" s="879"/>
      <c r="ULX1513" s="879"/>
      <c r="ULY1513" s="879"/>
      <c r="ULZ1513" s="879"/>
      <c r="UMA1513" s="879"/>
      <c r="UMB1513" s="879"/>
      <c r="UMC1513" s="879"/>
      <c r="UMD1513" s="879"/>
      <c r="UME1513" s="879"/>
      <c r="UMF1513" s="879"/>
      <c r="UMG1513" s="879"/>
      <c r="UMH1513" s="879"/>
      <c r="UMI1513" s="879"/>
      <c r="UMJ1513" s="879"/>
      <c r="UMK1513" s="879"/>
      <c r="UML1513" s="879"/>
      <c r="UMM1513" s="879"/>
      <c r="UMN1513" s="879"/>
      <c r="UMO1513" s="879"/>
      <c r="UMP1513" s="879"/>
      <c r="UMQ1513" s="879"/>
      <c r="UMR1513" s="879"/>
      <c r="UMS1513" s="879"/>
      <c r="UMT1513" s="879"/>
      <c r="UMU1513" s="879"/>
      <c r="UMV1513" s="879"/>
      <c r="UMW1513" s="879"/>
      <c r="UMX1513" s="879"/>
      <c r="UMY1513" s="879"/>
      <c r="UMZ1513" s="879"/>
      <c r="UNA1513" s="879"/>
      <c r="UNB1513" s="879"/>
      <c r="UNC1513" s="879"/>
      <c r="UND1513" s="879"/>
      <c r="UNE1513" s="879"/>
      <c r="UNF1513" s="879"/>
      <c r="UNG1513" s="879"/>
      <c r="UNH1513" s="879"/>
      <c r="UNI1513" s="879"/>
      <c r="UNJ1513" s="879"/>
      <c r="UNK1513" s="879"/>
      <c r="UNL1513" s="879"/>
      <c r="UNM1513" s="879"/>
      <c r="UNN1513" s="879"/>
      <c r="UNO1513" s="879"/>
      <c r="UNP1513" s="879"/>
      <c r="UNQ1513" s="879"/>
      <c r="UNR1513" s="879"/>
      <c r="UNS1513" s="879"/>
      <c r="UNT1513" s="879"/>
      <c r="UNU1513" s="879"/>
      <c r="UNV1513" s="879"/>
      <c r="UNW1513" s="879"/>
      <c r="UNX1513" s="879"/>
      <c r="UNY1513" s="879"/>
      <c r="UNZ1513" s="879"/>
      <c r="UOA1513" s="879"/>
      <c r="UOB1513" s="879"/>
      <c r="UOC1513" s="879"/>
      <c r="UOD1513" s="879"/>
      <c r="UOE1513" s="879"/>
      <c r="UOF1513" s="879"/>
      <c r="UOG1513" s="879"/>
      <c r="UOH1513" s="879"/>
      <c r="UOI1513" s="879"/>
      <c r="UOJ1513" s="879"/>
      <c r="UOK1513" s="879"/>
      <c r="UOL1513" s="879"/>
      <c r="UOM1513" s="879"/>
      <c r="UON1513" s="879"/>
      <c r="UOO1513" s="879"/>
      <c r="UOP1513" s="879"/>
      <c r="UOQ1513" s="879"/>
      <c r="UOR1513" s="879"/>
      <c r="UOS1513" s="879"/>
      <c r="UOT1513" s="879"/>
      <c r="UOU1513" s="879"/>
      <c r="UOV1513" s="879"/>
      <c r="UOW1513" s="879"/>
      <c r="UOX1513" s="879"/>
      <c r="UOY1513" s="879"/>
      <c r="UOZ1513" s="879"/>
      <c r="UPA1513" s="879"/>
      <c r="UPB1513" s="879"/>
      <c r="UPC1513" s="879"/>
      <c r="UPD1513" s="879"/>
      <c r="UPE1513" s="879"/>
      <c r="UPF1513" s="879"/>
      <c r="UPG1513" s="879"/>
      <c r="UPH1513" s="879"/>
      <c r="UPI1513" s="879"/>
      <c r="UPJ1513" s="879"/>
      <c r="UPK1513" s="879"/>
      <c r="UPL1513" s="879"/>
      <c r="UPM1513" s="879"/>
      <c r="UPN1513" s="879"/>
      <c r="UPO1513" s="879"/>
      <c r="UPP1513" s="879"/>
      <c r="UPQ1513" s="879"/>
      <c r="UPR1513" s="879"/>
      <c r="UPS1513" s="879"/>
      <c r="UPT1513" s="879"/>
      <c r="UPU1513" s="879"/>
      <c r="UPV1513" s="879"/>
      <c r="UPW1513" s="879"/>
      <c r="UPX1513" s="879"/>
      <c r="UPY1513" s="879"/>
      <c r="UPZ1513" s="879"/>
      <c r="UQA1513" s="879"/>
      <c r="UQB1513" s="879"/>
      <c r="UQC1513" s="879"/>
      <c r="UQD1513" s="879"/>
      <c r="UQE1513" s="879"/>
      <c r="UQF1513" s="879"/>
      <c r="UQG1513" s="879"/>
      <c r="UQH1513" s="879"/>
      <c r="UQI1513" s="879"/>
      <c r="UQJ1513" s="879"/>
      <c r="UQK1513" s="879"/>
      <c r="UQL1513" s="879"/>
      <c r="UQM1513" s="879"/>
      <c r="UQN1513" s="879"/>
      <c r="UQO1513" s="879"/>
      <c r="UQP1513" s="879"/>
      <c r="UQQ1513" s="879"/>
      <c r="UQR1513" s="879"/>
      <c r="UQS1513" s="879"/>
      <c r="UQT1513" s="879"/>
      <c r="UQU1513" s="879"/>
      <c r="UQV1513" s="879"/>
      <c r="UQW1513" s="879"/>
      <c r="UQX1513" s="879"/>
      <c r="UQY1513" s="879"/>
      <c r="UQZ1513" s="879"/>
      <c r="URA1513" s="879"/>
      <c r="URB1513" s="879"/>
      <c r="URC1513" s="879"/>
      <c r="URD1513" s="879"/>
      <c r="URE1513" s="879"/>
      <c r="URF1513" s="879"/>
      <c r="URG1513" s="879"/>
      <c r="URH1513" s="879"/>
      <c r="URI1513" s="879"/>
      <c r="URJ1513" s="879"/>
      <c r="URK1513" s="879"/>
      <c r="URL1513" s="879"/>
      <c r="URM1513" s="879"/>
      <c r="URN1513" s="879"/>
      <c r="URO1513" s="879"/>
      <c r="URP1513" s="879"/>
      <c r="URQ1513" s="879"/>
      <c r="URR1513" s="879"/>
      <c r="URS1513" s="879"/>
      <c r="URT1513" s="879"/>
      <c r="URU1513" s="879"/>
      <c r="URV1513" s="879"/>
      <c r="URW1513" s="879"/>
      <c r="URX1513" s="879"/>
      <c r="URY1513" s="879"/>
      <c r="URZ1513" s="879"/>
      <c r="USA1513" s="879"/>
      <c r="USB1513" s="879"/>
      <c r="USC1513" s="879"/>
      <c r="USD1513" s="879"/>
      <c r="USE1513" s="879"/>
      <c r="USF1513" s="879"/>
      <c r="USG1513" s="879"/>
      <c r="USH1513" s="879"/>
      <c r="USI1513" s="879"/>
      <c r="USJ1513" s="879"/>
      <c r="USK1513" s="879"/>
      <c r="USL1513" s="879"/>
      <c r="USM1513" s="879"/>
      <c r="USN1513" s="879"/>
      <c r="USO1513" s="879"/>
      <c r="USP1513" s="879"/>
      <c r="USQ1513" s="879"/>
      <c r="USR1513" s="879"/>
      <c r="USS1513" s="879"/>
      <c r="UST1513" s="879"/>
      <c r="USU1513" s="879"/>
      <c r="USV1513" s="879"/>
      <c r="USW1513" s="879"/>
      <c r="USX1513" s="879"/>
      <c r="USY1513" s="879"/>
      <c r="USZ1513" s="879"/>
      <c r="UTA1513" s="879"/>
      <c r="UTB1513" s="879"/>
      <c r="UTC1513" s="879"/>
      <c r="UTD1513" s="879"/>
      <c r="UTE1513" s="879"/>
      <c r="UTF1513" s="879"/>
      <c r="UTG1513" s="879"/>
      <c r="UTH1513" s="879"/>
      <c r="UTI1513" s="879"/>
      <c r="UTJ1513" s="879"/>
      <c r="UTK1513" s="879"/>
      <c r="UTL1513" s="879"/>
      <c r="UTM1513" s="879"/>
      <c r="UTN1513" s="879"/>
      <c r="UTO1513" s="879"/>
      <c r="UTP1513" s="879"/>
      <c r="UTQ1513" s="879"/>
      <c r="UTR1513" s="879"/>
      <c r="UTS1513" s="879"/>
      <c r="UTT1513" s="879"/>
      <c r="UTU1513" s="879"/>
      <c r="UTV1513" s="879"/>
      <c r="UTW1513" s="879"/>
      <c r="UTX1513" s="879"/>
      <c r="UTY1513" s="879"/>
      <c r="UTZ1513" s="879"/>
      <c r="UUA1513" s="879"/>
      <c r="UUB1513" s="879"/>
      <c r="UUC1513" s="879"/>
      <c r="UUD1513" s="879"/>
      <c r="UUE1513" s="879"/>
      <c r="UUF1513" s="879"/>
      <c r="UUG1513" s="879"/>
      <c r="UUH1513" s="879"/>
      <c r="UUI1513" s="879"/>
      <c r="UUJ1513" s="879"/>
      <c r="UUK1513" s="879"/>
      <c r="UUL1513" s="879"/>
      <c r="UUM1513" s="879"/>
      <c r="UUN1513" s="879"/>
      <c r="UUO1513" s="879"/>
      <c r="UUP1513" s="879"/>
      <c r="UUQ1513" s="879"/>
      <c r="UUR1513" s="879"/>
      <c r="UUS1513" s="879"/>
      <c r="UUT1513" s="879"/>
      <c r="UUU1513" s="879"/>
      <c r="UUV1513" s="879"/>
      <c r="UUW1513" s="879"/>
      <c r="UUX1513" s="879"/>
      <c r="UUY1513" s="879"/>
      <c r="UUZ1513" s="879"/>
      <c r="UVA1513" s="879"/>
      <c r="UVB1513" s="879"/>
      <c r="UVC1513" s="879"/>
      <c r="UVD1513" s="879"/>
      <c r="UVE1513" s="879"/>
      <c r="UVF1513" s="879"/>
      <c r="UVG1513" s="879"/>
      <c r="UVH1513" s="879"/>
      <c r="UVI1513" s="879"/>
      <c r="UVJ1513" s="879"/>
      <c r="UVK1513" s="879"/>
      <c r="UVL1513" s="879"/>
      <c r="UVM1513" s="879"/>
      <c r="UVN1513" s="879"/>
      <c r="UVO1513" s="879"/>
      <c r="UVP1513" s="879"/>
      <c r="UVQ1513" s="879"/>
      <c r="UVR1513" s="879"/>
      <c r="UVS1513" s="879"/>
      <c r="UVT1513" s="879"/>
      <c r="UVU1513" s="879"/>
      <c r="UVV1513" s="879"/>
      <c r="UVW1513" s="879"/>
      <c r="UVX1513" s="879"/>
      <c r="UVY1513" s="879"/>
      <c r="UVZ1513" s="879"/>
      <c r="UWA1513" s="879"/>
      <c r="UWB1513" s="879"/>
      <c r="UWC1513" s="879"/>
      <c r="UWD1513" s="879"/>
      <c r="UWE1513" s="879"/>
      <c r="UWF1513" s="879"/>
      <c r="UWG1513" s="879"/>
      <c r="UWH1513" s="879"/>
      <c r="UWI1513" s="879"/>
      <c r="UWJ1513" s="879"/>
      <c r="UWK1513" s="879"/>
      <c r="UWL1513" s="879"/>
      <c r="UWM1513" s="879"/>
      <c r="UWN1513" s="879"/>
      <c r="UWO1513" s="879"/>
      <c r="UWP1513" s="879"/>
      <c r="UWQ1513" s="879"/>
      <c r="UWR1513" s="879"/>
      <c r="UWS1513" s="879"/>
      <c r="UWT1513" s="879"/>
      <c r="UWU1513" s="879"/>
      <c r="UWV1513" s="879"/>
      <c r="UWW1513" s="879"/>
      <c r="UWX1513" s="879"/>
      <c r="UWY1513" s="879"/>
      <c r="UWZ1513" s="879"/>
      <c r="UXA1513" s="879"/>
      <c r="UXB1513" s="879"/>
      <c r="UXC1513" s="879"/>
      <c r="UXD1513" s="879"/>
      <c r="UXE1513" s="879"/>
      <c r="UXF1513" s="879"/>
      <c r="UXG1513" s="879"/>
      <c r="UXH1513" s="879"/>
      <c r="UXI1513" s="879"/>
      <c r="UXJ1513" s="879"/>
      <c r="UXK1513" s="879"/>
      <c r="UXL1513" s="879"/>
      <c r="UXM1513" s="879"/>
      <c r="UXN1513" s="879"/>
      <c r="UXO1513" s="879"/>
      <c r="UXP1513" s="879"/>
      <c r="UXQ1513" s="879"/>
      <c r="UXR1513" s="879"/>
      <c r="UXS1513" s="879"/>
      <c r="UXT1513" s="879"/>
      <c r="UXU1513" s="879"/>
      <c r="UXV1513" s="879"/>
      <c r="UXW1513" s="879"/>
      <c r="UXX1513" s="879"/>
      <c r="UXY1513" s="879"/>
      <c r="UXZ1513" s="879"/>
      <c r="UYA1513" s="879"/>
      <c r="UYB1513" s="879"/>
      <c r="UYC1513" s="879"/>
      <c r="UYD1513" s="879"/>
      <c r="UYE1513" s="879"/>
      <c r="UYF1513" s="879"/>
      <c r="UYG1513" s="879"/>
      <c r="UYH1513" s="879"/>
      <c r="UYI1513" s="879"/>
      <c r="UYJ1513" s="879"/>
      <c r="UYK1513" s="879"/>
      <c r="UYL1513" s="879"/>
      <c r="UYM1513" s="879"/>
      <c r="UYN1513" s="879"/>
      <c r="UYO1513" s="879"/>
      <c r="UYP1513" s="879"/>
      <c r="UYQ1513" s="879"/>
      <c r="UYR1513" s="879"/>
      <c r="UYS1513" s="879"/>
      <c r="UYT1513" s="879"/>
      <c r="UYU1513" s="879"/>
      <c r="UYV1513" s="879"/>
      <c r="UYW1513" s="879"/>
      <c r="UYX1513" s="879"/>
      <c r="UYY1513" s="879"/>
      <c r="UYZ1513" s="879"/>
      <c r="UZA1513" s="879"/>
      <c r="UZB1513" s="879"/>
      <c r="UZC1513" s="879"/>
      <c r="UZD1513" s="879"/>
      <c r="UZE1513" s="879"/>
      <c r="UZF1513" s="879"/>
      <c r="UZG1513" s="879"/>
      <c r="UZH1513" s="879"/>
      <c r="UZI1513" s="879"/>
      <c r="UZJ1513" s="879"/>
      <c r="UZK1513" s="879"/>
      <c r="UZL1513" s="879"/>
      <c r="UZM1513" s="879"/>
      <c r="UZN1513" s="879"/>
      <c r="UZO1513" s="879"/>
      <c r="UZP1513" s="879"/>
      <c r="UZQ1513" s="879"/>
      <c r="UZR1513" s="879"/>
      <c r="UZS1513" s="879"/>
      <c r="UZT1513" s="879"/>
      <c r="UZU1513" s="879"/>
      <c r="UZV1513" s="879"/>
      <c r="UZW1513" s="879"/>
      <c r="UZX1513" s="879"/>
      <c r="UZY1513" s="879"/>
      <c r="UZZ1513" s="879"/>
      <c r="VAA1513" s="879"/>
      <c r="VAB1513" s="879"/>
      <c r="VAC1513" s="879"/>
      <c r="VAD1513" s="879"/>
      <c r="VAE1513" s="879"/>
      <c r="VAF1513" s="879"/>
      <c r="VAG1513" s="879"/>
      <c r="VAH1513" s="879"/>
      <c r="VAI1513" s="879"/>
      <c r="VAJ1513" s="879"/>
      <c r="VAK1513" s="879"/>
      <c r="VAL1513" s="879"/>
      <c r="VAM1513" s="879"/>
      <c r="VAN1513" s="879"/>
      <c r="VAO1513" s="879"/>
      <c r="VAP1513" s="879"/>
      <c r="VAQ1513" s="879"/>
      <c r="VAR1513" s="879"/>
      <c r="VAS1513" s="879"/>
      <c r="VAT1513" s="879"/>
      <c r="VAU1513" s="879"/>
      <c r="VAV1513" s="879"/>
      <c r="VAW1513" s="879"/>
      <c r="VAX1513" s="879"/>
      <c r="VAY1513" s="879"/>
      <c r="VAZ1513" s="879"/>
      <c r="VBA1513" s="879"/>
      <c r="VBB1513" s="879"/>
      <c r="VBC1513" s="879"/>
      <c r="VBD1513" s="879"/>
      <c r="VBE1513" s="879"/>
      <c r="VBF1513" s="879"/>
      <c r="VBG1513" s="879"/>
      <c r="VBH1513" s="879"/>
      <c r="VBI1513" s="879"/>
      <c r="VBJ1513" s="879"/>
      <c r="VBK1513" s="879"/>
      <c r="VBL1513" s="879"/>
      <c r="VBM1513" s="879"/>
      <c r="VBN1513" s="879"/>
      <c r="VBO1513" s="879"/>
      <c r="VBP1513" s="879"/>
      <c r="VBQ1513" s="879"/>
      <c r="VBR1513" s="879"/>
      <c r="VBS1513" s="879"/>
      <c r="VBT1513" s="879"/>
      <c r="VBU1513" s="879"/>
      <c r="VBV1513" s="879"/>
      <c r="VBW1513" s="879"/>
      <c r="VBX1513" s="879"/>
      <c r="VBY1513" s="879"/>
      <c r="VBZ1513" s="879"/>
      <c r="VCA1513" s="879"/>
      <c r="VCB1513" s="879"/>
      <c r="VCC1513" s="879"/>
      <c r="VCD1513" s="879"/>
      <c r="VCE1513" s="879"/>
      <c r="VCF1513" s="879"/>
      <c r="VCG1513" s="879"/>
      <c r="VCH1513" s="879"/>
      <c r="VCI1513" s="879"/>
      <c r="VCJ1513" s="879"/>
      <c r="VCK1513" s="879"/>
      <c r="VCL1513" s="879"/>
      <c r="VCM1513" s="879"/>
      <c r="VCN1513" s="879"/>
      <c r="VCO1513" s="879"/>
      <c r="VCP1513" s="879"/>
      <c r="VCQ1513" s="879"/>
      <c r="VCR1513" s="879"/>
      <c r="VCS1513" s="879"/>
      <c r="VCT1513" s="879"/>
      <c r="VCU1513" s="879"/>
      <c r="VCV1513" s="879"/>
      <c r="VCW1513" s="879"/>
      <c r="VCX1513" s="879"/>
      <c r="VCY1513" s="879"/>
      <c r="VCZ1513" s="879"/>
      <c r="VDA1513" s="879"/>
      <c r="VDB1513" s="879"/>
      <c r="VDC1513" s="879"/>
      <c r="VDD1513" s="879"/>
      <c r="VDE1513" s="879"/>
      <c r="VDF1513" s="879"/>
      <c r="VDG1513" s="879"/>
      <c r="VDH1513" s="879"/>
      <c r="VDI1513" s="879"/>
      <c r="VDJ1513" s="879"/>
      <c r="VDK1513" s="879"/>
      <c r="VDL1513" s="879"/>
      <c r="VDM1513" s="879"/>
      <c r="VDN1513" s="879"/>
      <c r="VDO1513" s="879"/>
      <c r="VDP1513" s="879"/>
      <c r="VDQ1513" s="879"/>
      <c r="VDR1513" s="879"/>
      <c r="VDS1513" s="879"/>
      <c r="VDT1513" s="879"/>
      <c r="VDU1513" s="879"/>
      <c r="VDV1513" s="879"/>
      <c r="VDW1513" s="879"/>
      <c r="VDX1513" s="879"/>
      <c r="VDY1513" s="879"/>
      <c r="VDZ1513" s="879"/>
      <c r="VEA1513" s="879"/>
      <c r="VEB1513" s="879"/>
      <c r="VEC1513" s="879"/>
      <c r="VED1513" s="879"/>
      <c r="VEE1513" s="879"/>
      <c r="VEF1513" s="879"/>
      <c r="VEG1513" s="879"/>
      <c r="VEH1513" s="879"/>
      <c r="VEI1513" s="879"/>
      <c r="VEJ1513" s="879"/>
      <c r="VEK1513" s="879"/>
      <c r="VEL1513" s="879"/>
      <c r="VEM1513" s="879"/>
      <c r="VEN1513" s="879"/>
      <c r="VEO1513" s="879"/>
      <c r="VEP1513" s="879"/>
      <c r="VEQ1513" s="879"/>
      <c r="VER1513" s="879"/>
      <c r="VES1513" s="879"/>
      <c r="VET1513" s="879"/>
      <c r="VEU1513" s="879"/>
      <c r="VEV1513" s="879"/>
      <c r="VEW1513" s="879"/>
      <c r="VEX1513" s="879"/>
      <c r="VEY1513" s="879"/>
      <c r="VEZ1513" s="879"/>
      <c r="VFA1513" s="879"/>
      <c r="VFB1513" s="879"/>
      <c r="VFC1513" s="879"/>
      <c r="VFD1513" s="879"/>
      <c r="VFE1513" s="879"/>
      <c r="VFF1513" s="879"/>
      <c r="VFG1513" s="879"/>
      <c r="VFH1513" s="879"/>
      <c r="VFI1513" s="879"/>
      <c r="VFJ1513" s="879"/>
      <c r="VFK1513" s="879"/>
      <c r="VFL1513" s="879"/>
      <c r="VFM1513" s="879"/>
      <c r="VFN1513" s="879"/>
      <c r="VFO1513" s="879"/>
      <c r="VFP1513" s="879"/>
      <c r="VFQ1513" s="879"/>
      <c r="VFR1513" s="879"/>
      <c r="VFS1513" s="879"/>
      <c r="VFT1513" s="879"/>
      <c r="VFU1513" s="879"/>
      <c r="VFV1513" s="879"/>
      <c r="VFW1513" s="879"/>
      <c r="VFX1513" s="879"/>
      <c r="VFY1513" s="879"/>
      <c r="VFZ1513" s="879"/>
      <c r="VGA1513" s="879"/>
      <c r="VGB1513" s="879"/>
      <c r="VGC1513" s="879"/>
      <c r="VGD1513" s="879"/>
      <c r="VGE1513" s="879"/>
      <c r="VGF1513" s="879"/>
      <c r="VGG1513" s="879"/>
      <c r="VGH1513" s="879"/>
      <c r="VGI1513" s="879"/>
      <c r="VGJ1513" s="879"/>
      <c r="VGK1513" s="879"/>
      <c r="VGL1513" s="879"/>
      <c r="VGM1513" s="879"/>
      <c r="VGN1513" s="879"/>
      <c r="VGO1513" s="879"/>
      <c r="VGP1513" s="879"/>
      <c r="VGQ1513" s="879"/>
      <c r="VGR1513" s="879"/>
      <c r="VGS1513" s="879"/>
      <c r="VGT1513" s="879"/>
      <c r="VGU1513" s="879"/>
      <c r="VGV1513" s="879"/>
      <c r="VGW1513" s="879"/>
      <c r="VGX1513" s="879"/>
      <c r="VGY1513" s="879"/>
      <c r="VGZ1513" s="879"/>
      <c r="VHA1513" s="879"/>
      <c r="VHB1513" s="879"/>
      <c r="VHC1513" s="879"/>
      <c r="VHD1513" s="879"/>
      <c r="VHE1513" s="879"/>
      <c r="VHF1513" s="879"/>
      <c r="VHG1513" s="879"/>
      <c r="VHH1513" s="879"/>
      <c r="VHI1513" s="879"/>
      <c r="VHJ1513" s="879"/>
      <c r="VHK1513" s="879"/>
      <c r="VHL1513" s="879"/>
      <c r="VHM1513" s="879"/>
      <c r="VHN1513" s="879"/>
      <c r="VHO1513" s="879"/>
      <c r="VHP1513" s="879"/>
      <c r="VHQ1513" s="879"/>
      <c r="VHR1513" s="879"/>
      <c r="VHS1513" s="879"/>
      <c r="VHT1513" s="879"/>
      <c r="VHU1513" s="879"/>
      <c r="VHV1513" s="879"/>
      <c r="VHW1513" s="879"/>
      <c r="VHX1513" s="879"/>
      <c r="VHY1513" s="879"/>
      <c r="VHZ1513" s="879"/>
      <c r="VIA1513" s="879"/>
      <c r="VIB1513" s="879"/>
      <c r="VIC1513" s="879"/>
      <c r="VID1513" s="879"/>
      <c r="VIE1513" s="879"/>
      <c r="VIF1513" s="879"/>
      <c r="VIG1513" s="879"/>
      <c r="VIH1513" s="879"/>
      <c r="VII1513" s="879"/>
      <c r="VIJ1513" s="879"/>
      <c r="VIK1513" s="879"/>
      <c r="VIL1513" s="879"/>
      <c r="VIM1513" s="879"/>
      <c r="VIN1513" s="879"/>
      <c r="VIO1513" s="879"/>
      <c r="VIP1513" s="879"/>
      <c r="VIQ1513" s="879"/>
      <c r="VIR1513" s="879"/>
      <c r="VIS1513" s="879"/>
      <c r="VIT1513" s="879"/>
      <c r="VIU1513" s="879"/>
      <c r="VIV1513" s="879"/>
      <c r="VIW1513" s="879"/>
      <c r="VIX1513" s="879"/>
      <c r="VIY1513" s="879"/>
      <c r="VIZ1513" s="879"/>
      <c r="VJA1513" s="879"/>
      <c r="VJB1513" s="879"/>
      <c r="VJC1513" s="879"/>
      <c r="VJD1513" s="879"/>
      <c r="VJE1513" s="879"/>
      <c r="VJF1513" s="879"/>
      <c r="VJG1513" s="879"/>
      <c r="VJH1513" s="879"/>
      <c r="VJI1513" s="879"/>
      <c r="VJJ1513" s="879"/>
      <c r="VJK1513" s="879"/>
      <c r="VJL1513" s="879"/>
      <c r="VJM1513" s="879"/>
      <c r="VJN1513" s="879"/>
      <c r="VJO1513" s="879"/>
      <c r="VJP1513" s="879"/>
      <c r="VJQ1513" s="879"/>
      <c r="VJR1513" s="879"/>
      <c r="VJS1513" s="879"/>
      <c r="VJT1513" s="879"/>
      <c r="VJU1513" s="879"/>
      <c r="VJV1513" s="879"/>
      <c r="VJW1513" s="879"/>
      <c r="VJX1513" s="879"/>
      <c r="VJY1513" s="879"/>
      <c r="VJZ1513" s="879"/>
      <c r="VKA1513" s="879"/>
      <c r="VKB1513" s="879"/>
      <c r="VKC1513" s="879"/>
      <c r="VKD1513" s="879"/>
      <c r="VKE1513" s="879"/>
      <c r="VKF1513" s="879"/>
      <c r="VKG1513" s="879"/>
      <c r="VKH1513" s="879"/>
      <c r="VKI1513" s="879"/>
      <c r="VKJ1513" s="879"/>
      <c r="VKK1513" s="879"/>
      <c r="VKL1513" s="879"/>
      <c r="VKM1513" s="879"/>
      <c r="VKN1513" s="879"/>
      <c r="VKO1513" s="879"/>
      <c r="VKP1513" s="879"/>
      <c r="VKQ1513" s="879"/>
      <c r="VKR1513" s="879"/>
      <c r="VKS1513" s="879"/>
      <c r="VKT1513" s="879"/>
      <c r="VKU1513" s="879"/>
      <c r="VKV1513" s="879"/>
      <c r="VKW1513" s="879"/>
      <c r="VKX1513" s="879"/>
      <c r="VKY1513" s="879"/>
      <c r="VKZ1513" s="879"/>
      <c r="VLA1513" s="879"/>
      <c r="VLB1513" s="879"/>
      <c r="VLC1513" s="879"/>
      <c r="VLD1513" s="879"/>
      <c r="VLE1513" s="879"/>
      <c r="VLF1513" s="879"/>
      <c r="VLG1513" s="879"/>
      <c r="VLH1513" s="879"/>
      <c r="VLI1513" s="879"/>
      <c r="VLJ1513" s="879"/>
      <c r="VLK1513" s="879"/>
      <c r="VLL1513" s="879"/>
      <c r="VLM1513" s="879"/>
      <c r="VLN1513" s="879"/>
      <c r="VLO1513" s="879"/>
      <c r="VLP1513" s="879"/>
      <c r="VLQ1513" s="879"/>
      <c r="VLR1513" s="879"/>
      <c r="VLS1513" s="879"/>
      <c r="VLT1513" s="879"/>
      <c r="VLU1513" s="879"/>
      <c r="VLV1513" s="879"/>
      <c r="VLW1513" s="879"/>
      <c r="VLX1513" s="879"/>
      <c r="VLY1513" s="879"/>
      <c r="VLZ1513" s="879"/>
      <c r="VMA1513" s="879"/>
      <c r="VMB1513" s="879"/>
      <c r="VMC1513" s="879"/>
      <c r="VMD1513" s="879"/>
      <c r="VME1513" s="879"/>
      <c r="VMF1513" s="879"/>
      <c r="VMG1513" s="879"/>
      <c r="VMH1513" s="879"/>
      <c r="VMI1513" s="879"/>
      <c r="VMJ1513" s="879"/>
      <c r="VMK1513" s="879"/>
      <c r="VML1513" s="879"/>
      <c r="VMM1513" s="879"/>
      <c r="VMN1513" s="879"/>
      <c r="VMO1513" s="879"/>
      <c r="VMP1513" s="879"/>
      <c r="VMQ1513" s="879"/>
      <c r="VMR1513" s="879"/>
      <c r="VMS1513" s="879"/>
      <c r="VMT1513" s="879"/>
      <c r="VMU1513" s="879"/>
      <c r="VMV1513" s="879"/>
      <c r="VMW1513" s="879"/>
      <c r="VMX1513" s="879"/>
      <c r="VMY1513" s="879"/>
      <c r="VMZ1513" s="879"/>
      <c r="VNA1513" s="879"/>
      <c r="VNB1513" s="879"/>
      <c r="VNC1513" s="879"/>
      <c r="VND1513" s="879"/>
      <c r="VNE1513" s="879"/>
      <c r="VNF1513" s="879"/>
      <c r="VNG1513" s="879"/>
      <c r="VNH1513" s="879"/>
      <c r="VNI1513" s="879"/>
      <c r="VNJ1513" s="879"/>
      <c r="VNK1513" s="879"/>
      <c r="VNL1513" s="879"/>
      <c r="VNM1513" s="879"/>
      <c r="VNN1513" s="879"/>
      <c r="VNO1513" s="879"/>
      <c r="VNP1513" s="879"/>
      <c r="VNQ1513" s="879"/>
      <c r="VNR1513" s="879"/>
      <c r="VNS1513" s="879"/>
      <c r="VNT1513" s="879"/>
      <c r="VNU1513" s="879"/>
      <c r="VNV1513" s="879"/>
      <c r="VNW1513" s="879"/>
      <c r="VNX1513" s="879"/>
      <c r="VNY1513" s="879"/>
      <c r="VNZ1513" s="879"/>
      <c r="VOA1513" s="879"/>
      <c r="VOB1513" s="879"/>
      <c r="VOC1513" s="879"/>
      <c r="VOD1513" s="879"/>
      <c r="VOE1513" s="879"/>
      <c r="VOF1513" s="879"/>
      <c r="VOG1513" s="879"/>
      <c r="VOH1513" s="879"/>
      <c r="VOI1513" s="879"/>
      <c r="VOJ1513" s="879"/>
      <c r="VOK1513" s="879"/>
      <c r="VOL1513" s="879"/>
      <c r="VOM1513" s="879"/>
      <c r="VON1513" s="879"/>
      <c r="VOO1513" s="879"/>
      <c r="VOP1513" s="879"/>
      <c r="VOQ1513" s="879"/>
      <c r="VOR1513" s="879"/>
      <c r="VOS1513" s="879"/>
      <c r="VOT1513" s="879"/>
      <c r="VOU1513" s="879"/>
      <c r="VOV1513" s="879"/>
      <c r="VOW1513" s="879"/>
      <c r="VOX1513" s="879"/>
      <c r="VOY1513" s="879"/>
      <c r="VOZ1513" s="879"/>
      <c r="VPA1513" s="879"/>
      <c r="VPB1513" s="879"/>
      <c r="VPC1513" s="879"/>
      <c r="VPD1513" s="879"/>
      <c r="VPE1513" s="879"/>
      <c r="VPF1513" s="879"/>
      <c r="VPG1513" s="879"/>
      <c r="VPH1513" s="879"/>
      <c r="VPI1513" s="879"/>
      <c r="VPJ1513" s="879"/>
      <c r="VPK1513" s="879"/>
      <c r="VPL1513" s="879"/>
      <c r="VPM1513" s="879"/>
      <c r="VPN1513" s="879"/>
      <c r="VPO1513" s="879"/>
      <c r="VPP1513" s="879"/>
      <c r="VPQ1513" s="879"/>
      <c r="VPR1513" s="879"/>
      <c r="VPS1513" s="879"/>
      <c r="VPT1513" s="879"/>
      <c r="VPU1513" s="879"/>
      <c r="VPV1513" s="879"/>
      <c r="VPW1513" s="879"/>
      <c r="VPX1513" s="879"/>
      <c r="VPY1513" s="879"/>
      <c r="VPZ1513" s="879"/>
      <c r="VQA1513" s="879"/>
      <c r="VQB1513" s="879"/>
      <c r="VQC1513" s="879"/>
      <c r="VQD1513" s="879"/>
      <c r="VQE1513" s="879"/>
      <c r="VQF1513" s="879"/>
      <c r="VQG1513" s="879"/>
      <c r="VQH1513" s="879"/>
      <c r="VQI1513" s="879"/>
      <c r="VQJ1513" s="879"/>
      <c r="VQK1513" s="879"/>
      <c r="VQL1513" s="879"/>
      <c r="VQM1513" s="879"/>
      <c r="VQN1513" s="879"/>
      <c r="VQO1513" s="879"/>
      <c r="VQP1513" s="879"/>
      <c r="VQQ1513" s="879"/>
      <c r="VQR1513" s="879"/>
      <c r="VQS1513" s="879"/>
      <c r="VQT1513" s="879"/>
      <c r="VQU1513" s="879"/>
      <c r="VQV1513" s="879"/>
      <c r="VQW1513" s="879"/>
      <c r="VQX1513" s="879"/>
      <c r="VQY1513" s="879"/>
      <c r="VQZ1513" s="879"/>
      <c r="VRA1513" s="879"/>
      <c r="VRB1513" s="879"/>
      <c r="VRC1513" s="879"/>
      <c r="VRD1513" s="879"/>
      <c r="VRE1513" s="879"/>
      <c r="VRF1513" s="879"/>
      <c r="VRG1513" s="879"/>
      <c r="VRH1513" s="879"/>
      <c r="VRI1513" s="879"/>
      <c r="VRJ1513" s="879"/>
      <c r="VRK1513" s="879"/>
      <c r="VRL1513" s="879"/>
      <c r="VRM1513" s="879"/>
      <c r="VRN1513" s="879"/>
      <c r="VRO1513" s="879"/>
      <c r="VRP1513" s="879"/>
      <c r="VRQ1513" s="879"/>
      <c r="VRR1513" s="879"/>
      <c r="VRS1513" s="879"/>
      <c r="VRT1513" s="879"/>
      <c r="VRU1513" s="879"/>
      <c r="VRV1513" s="879"/>
      <c r="VRW1513" s="879"/>
      <c r="VRX1513" s="879"/>
      <c r="VRY1513" s="879"/>
      <c r="VRZ1513" s="879"/>
      <c r="VSA1513" s="879"/>
      <c r="VSB1513" s="879"/>
      <c r="VSC1513" s="879"/>
      <c r="VSD1513" s="879"/>
      <c r="VSE1513" s="879"/>
      <c r="VSF1513" s="879"/>
      <c r="VSG1513" s="879"/>
      <c r="VSH1513" s="879"/>
      <c r="VSI1513" s="879"/>
      <c r="VSJ1513" s="879"/>
      <c r="VSK1513" s="879"/>
      <c r="VSL1513" s="879"/>
      <c r="VSM1513" s="879"/>
      <c r="VSN1513" s="879"/>
      <c r="VSO1513" s="879"/>
      <c r="VSP1513" s="879"/>
      <c r="VSQ1513" s="879"/>
      <c r="VSR1513" s="879"/>
      <c r="VSS1513" s="879"/>
      <c r="VST1513" s="879"/>
      <c r="VSU1513" s="879"/>
      <c r="VSV1513" s="879"/>
      <c r="VSW1513" s="879"/>
      <c r="VSX1513" s="879"/>
      <c r="VSY1513" s="879"/>
      <c r="VSZ1513" s="879"/>
      <c r="VTA1513" s="879"/>
      <c r="VTB1513" s="879"/>
      <c r="VTC1513" s="879"/>
      <c r="VTD1513" s="879"/>
      <c r="VTE1513" s="879"/>
      <c r="VTF1513" s="879"/>
      <c r="VTG1513" s="879"/>
      <c r="VTH1513" s="879"/>
      <c r="VTI1513" s="879"/>
      <c r="VTJ1513" s="879"/>
      <c r="VTK1513" s="879"/>
      <c r="VTL1513" s="879"/>
      <c r="VTM1513" s="879"/>
      <c r="VTN1513" s="879"/>
      <c r="VTO1513" s="879"/>
      <c r="VTP1513" s="879"/>
      <c r="VTQ1513" s="879"/>
      <c r="VTR1513" s="879"/>
      <c r="VTS1513" s="879"/>
      <c r="VTT1513" s="879"/>
      <c r="VTU1513" s="879"/>
      <c r="VTV1513" s="879"/>
      <c r="VTW1513" s="879"/>
      <c r="VTX1513" s="879"/>
      <c r="VTY1513" s="879"/>
      <c r="VTZ1513" s="879"/>
      <c r="VUA1513" s="879"/>
      <c r="VUB1513" s="879"/>
      <c r="VUC1513" s="879"/>
      <c r="VUD1513" s="879"/>
      <c r="VUE1513" s="879"/>
      <c r="VUF1513" s="879"/>
      <c r="VUG1513" s="879"/>
      <c r="VUH1513" s="879"/>
      <c r="VUI1513" s="879"/>
      <c r="VUJ1513" s="879"/>
      <c r="VUK1513" s="879"/>
      <c r="VUL1513" s="879"/>
      <c r="VUM1513" s="879"/>
      <c r="VUN1513" s="879"/>
      <c r="VUO1513" s="879"/>
      <c r="VUP1513" s="879"/>
      <c r="VUQ1513" s="879"/>
      <c r="VUR1513" s="879"/>
      <c r="VUS1513" s="879"/>
      <c r="VUT1513" s="879"/>
      <c r="VUU1513" s="879"/>
      <c r="VUV1513" s="879"/>
      <c r="VUW1513" s="879"/>
      <c r="VUX1513" s="879"/>
      <c r="VUY1513" s="879"/>
      <c r="VUZ1513" s="879"/>
      <c r="VVA1513" s="879"/>
      <c r="VVB1513" s="879"/>
      <c r="VVC1513" s="879"/>
      <c r="VVD1513" s="879"/>
      <c r="VVE1513" s="879"/>
      <c r="VVF1513" s="879"/>
      <c r="VVG1513" s="879"/>
      <c r="VVH1513" s="879"/>
      <c r="VVI1513" s="879"/>
      <c r="VVJ1513" s="879"/>
      <c r="VVK1513" s="879"/>
      <c r="VVL1513" s="879"/>
      <c r="VVM1513" s="879"/>
      <c r="VVN1513" s="879"/>
      <c r="VVO1513" s="879"/>
      <c r="VVP1513" s="879"/>
      <c r="VVQ1513" s="879"/>
      <c r="VVR1513" s="879"/>
      <c r="VVS1513" s="879"/>
      <c r="VVT1513" s="879"/>
      <c r="VVU1513" s="879"/>
      <c r="VVV1513" s="879"/>
      <c r="VVW1513" s="879"/>
      <c r="VVX1513" s="879"/>
      <c r="VVY1513" s="879"/>
      <c r="VVZ1513" s="879"/>
      <c r="VWA1513" s="879"/>
      <c r="VWB1513" s="879"/>
      <c r="VWC1513" s="879"/>
      <c r="VWD1513" s="879"/>
      <c r="VWE1513" s="879"/>
      <c r="VWF1513" s="879"/>
      <c r="VWG1513" s="879"/>
      <c r="VWH1513" s="879"/>
      <c r="VWI1513" s="879"/>
      <c r="VWJ1513" s="879"/>
      <c r="VWK1513" s="879"/>
      <c r="VWL1513" s="879"/>
      <c r="VWM1513" s="879"/>
      <c r="VWN1513" s="879"/>
      <c r="VWO1513" s="879"/>
      <c r="VWP1513" s="879"/>
      <c r="VWQ1513" s="879"/>
      <c r="VWR1513" s="879"/>
      <c r="VWS1513" s="879"/>
      <c r="VWT1513" s="879"/>
      <c r="VWU1513" s="879"/>
      <c r="VWV1513" s="879"/>
      <c r="VWW1513" s="879"/>
      <c r="VWX1513" s="879"/>
      <c r="VWY1513" s="879"/>
      <c r="VWZ1513" s="879"/>
      <c r="VXA1513" s="879"/>
      <c r="VXB1513" s="879"/>
      <c r="VXC1513" s="879"/>
      <c r="VXD1513" s="879"/>
      <c r="VXE1513" s="879"/>
      <c r="VXF1513" s="879"/>
      <c r="VXG1513" s="879"/>
      <c r="VXH1513" s="879"/>
      <c r="VXI1513" s="879"/>
      <c r="VXJ1513" s="879"/>
      <c r="VXK1513" s="879"/>
      <c r="VXL1513" s="879"/>
      <c r="VXM1513" s="879"/>
      <c r="VXN1513" s="879"/>
      <c r="VXO1513" s="879"/>
      <c r="VXP1513" s="879"/>
      <c r="VXQ1513" s="879"/>
      <c r="VXR1513" s="879"/>
      <c r="VXS1513" s="879"/>
      <c r="VXT1513" s="879"/>
      <c r="VXU1513" s="879"/>
      <c r="VXV1513" s="879"/>
      <c r="VXW1513" s="879"/>
      <c r="VXX1513" s="879"/>
      <c r="VXY1513" s="879"/>
      <c r="VXZ1513" s="879"/>
      <c r="VYA1513" s="879"/>
      <c r="VYB1513" s="879"/>
      <c r="VYC1513" s="879"/>
      <c r="VYD1513" s="879"/>
      <c r="VYE1513" s="879"/>
      <c r="VYF1513" s="879"/>
      <c r="VYG1513" s="879"/>
      <c r="VYH1513" s="879"/>
      <c r="VYI1513" s="879"/>
      <c r="VYJ1513" s="879"/>
      <c r="VYK1513" s="879"/>
      <c r="VYL1513" s="879"/>
      <c r="VYM1513" s="879"/>
      <c r="VYN1513" s="879"/>
      <c r="VYO1513" s="879"/>
      <c r="VYP1513" s="879"/>
      <c r="VYQ1513" s="879"/>
      <c r="VYR1513" s="879"/>
      <c r="VYS1513" s="879"/>
      <c r="VYT1513" s="879"/>
      <c r="VYU1513" s="879"/>
      <c r="VYV1513" s="879"/>
      <c r="VYW1513" s="879"/>
      <c r="VYX1513" s="879"/>
      <c r="VYY1513" s="879"/>
      <c r="VYZ1513" s="879"/>
      <c r="VZA1513" s="879"/>
      <c r="VZB1513" s="879"/>
      <c r="VZC1513" s="879"/>
      <c r="VZD1513" s="879"/>
      <c r="VZE1513" s="879"/>
      <c r="VZF1513" s="879"/>
      <c r="VZG1513" s="879"/>
      <c r="VZH1513" s="879"/>
      <c r="VZI1513" s="879"/>
      <c r="VZJ1513" s="879"/>
      <c r="VZK1513" s="879"/>
      <c r="VZL1513" s="879"/>
      <c r="VZM1513" s="879"/>
      <c r="VZN1513" s="879"/>
      <c r="VZO1513" s="879"/>
      <c r="VZP1513" s="879"/>
      <c r="VZQ1513" s="879"/>
      <c r="VZR1513" s="879"/>
      <c r="VZS1513" s="879"/>
      <c r="VZT1513" s="879"/>
      <c r="VZU1513" s="879"/>
      <c r="VZV1513" s="879"/>
      <c r="VZW1513" s="879"/>
      <c r="VZX1513" s="879"/>
      <c r="VZY1513" s="879"/>
      <c r="VZZ1513" s="879"/>
      <c r="WAA1513" s="879"/>
      <c r="WAB1513" s="879"/>
      <c r="WAC1513" s="879"/>
      <c r="WAD1513" s="879"/>
      <c r="WAE1513" s="879"/>
      <c r="WAF1513" s="879"/>
      <c r="WAG1513" s="879"/>
      <c r="WAH1513" s="879"/>
      <c r="WAI1513" s="879"/>
      <c r="WAJ1513" s="879"/>
      <c r="WAK1513" s="879"/>
      <c r="WAL1513" s="879"/>
      <c r="WAM1513" s="879"/>
      <c r="WAN1513" s="879"/>
      <c r="WAO1513" s="879"/>
      <c r="WAP1513" s="879"/>
      <c r="WAQ1513" s="879"/>
      <c r="WAR1513" s="879"/>
      <c r="WAS1513" s="879"/>
      <c r="WAT1513" s="879"/>
      <c r="WAU1513" s="879"/>
      <c r="WAV1513" s="879"/>
      <c r="WAW1513" s="879"/>
      <c r="WAX1513" s="879"/>
      <c r="WAY1513" s="879"/>
      <c r="WAZ1513" s="879"/>
      <c r="WBA1513" s="879"/>
      <c r="WBB1513" s="879"/>
      <c r="WBC1513" s="879"/>
      <c r="WBD1513" s="879"/>
      <c r="WBE1513" s="879"/>
      <c r="WBF1513" s="879"/>
      <c r="WBG1513" s="879"/>
      <c r="WBH1513" s="879"/>
      <c r="WBI1513" s="879"/>
      <c r="WBJ1513" s="879"/>
      <c r="WBK1513" s="879"/>
      <c r="WBL1513" s="879"/>
      <c r="WBM1513" s="879"/>
      <c r="WBN1513" s="879"/>
      <c r="WBO1513" s="879"/>
      <c r="WBP1513" s="879"/>
      <c r="WBQ1513" s="879"/>
      <c r="WBR1513" s="879"/>
      <c r="WBS1513" s="879"/>
      <c r="WBT1513" s="879"/>
      <c r="WBU1513" s="879"/>
      <c r="WBV1513" s="879"/>
      <c r="WBW1513" s="879"/>
      <c r="WBX1513" s="879"/>
      <c r="WBY1513" s="879"/>
      <c r="WBZ1513" s="879"/>
      <c r="WCA1513" s="879"/>
      <c r="WCB1513" s="879"/>
      <c r="WCC1513" s="879"/>
      <c r="WCD1513" s="879"/>
      <c r="WCE1513" s="879"/>
      <c r="WCF1513" s="879"/>
      <c r="WCG1513" s="879"/>
      <c r="WCH1513" s="879"/>
      <c r="WCI1513" s="879"/>
      <c r="WCJ1513" s="879"/>
      <c r="WCK1513" s="879"/>
      <c r="WCL1513" s="879"/>
      <c r="WCM1513" s="879"/>
      <c r="WCN1513" s="879"/>
      <c r="WCO1513" s="879"/>
      <c r="WCP1513" s="879"/>
      <c r="WCQ1513" s="879"/>
      <c r="WCR1513" s="879"/>
      <c r="WCS1513" s="879"/>
      <c r="WCT1513" s="879"/>
      <c r="WCU1513" s="879"/>
      <c r="WCV1513" s="879"/>
      <c r="WCW1513" s="879"/>
      <c r="WCX1513" s="879"/>
      <c r="WCY1513" s="879"/>
      <c r="WCZ1513" s="879"/>
      <c r="WDA1513" s="879"/>
      <c r="WDB1513" s="879"/>
      <c r="WDC1513" s="879"/>
      <c r="WDD1513" s="879"/>
      <c r="WDE1513" s="879"/>
      <c r="WDF1513" s="879"/>
      <c r="WDG1513" s="879"/>
      <c r="WDH1513" s="879"/>
      <c r="WDI1513" s="879"/>
      <c r="WDJ1513" s="879"/>
      <c r="WDK1513" s="879"/>
      <c r="WDL1513" s="879"/>
      <c r="WDM1513" s="879"/>
      <c r="WDN1513" s="879"/>
      <c r="WDO1513" s="879"/>
      <c r="WDP1513" s="879"/>
      <c r="WDQ1513" s="879"/>
      <c r="WDR1513" s="879"/>
      <c r="WDS1513" s="879"/>
      <c r="WDT1513" s="879"/>
      <c r="WDU1513" s="879"/>
      <c r="WDV1513" s="879"/>
      <c r="WDW1513" s="879"/>
      <c r="WDX1513" s="879"/>
      <c r="WDY1513" s="879"/>
      <c r="WDZ1513" s="879"/>
      <c r="WEA1513" s="879"/>
      <c r="WEB1513" s="879"/>
      <c r="WEC1513" s="879"/>
      <c r="WED1513" s="879"/>
      <c r="WEE1513" s="879"/>
      <c r="WEF1513" s="879"/>
      <c r="WEG1513" s="879"/>
      <c r="WEH1513" s="879"/>
      <c r="WEI1513" s="879"/>
      <c r="WEJ1513" s="879"/>
      <c r="WEK1513" s="879"/>
      <c r="WEL1513" s="879"/>
      <c r="WEM1513" s="879"/>
      <c r="WEN1513" s="879"/>
      <c r="WEO1513" s="879"/>
      <c r="WEP1513" s="879"/>
      <c r="WEQ1513" s="879"/>
      <c r="WER1513" s="879"/>
      <c r="WES1513" s="879"/>
      <c r="WET1513" s="879"/>
      <c r="WEU1513" s="879"/>
      <c r="WEV1513" s="879"/>
      <c r="WEW1513" s="879"/>
      <c r="WEX1513" s="879"/>
      <c r="WEY1513" s="879"/>
      <c r="WEZ1513" s="879"/>
      <c r="WFA1513" s="879"/>
      <c r="WFB1513" s="879"/>
      <c r="WFC1513" s="879"/>
      <c r="WFD1513" s="879"/>
      <c r="WFE1513" s="879"/>
      <c r="WFF1513" s="879"/>
      <c r="WFG1513" s="879"/>
      <c r="WFH1513" s="879"/>
      <c r="WFI1513" s="879"/>
      <c r="WFJ1513" s="879"/>
      <c r="WFK1513" s="879"/>
      <c r="WFL1513" s="879"/>
      <c r="WFM1513" s="879"/>
      <c r="WFN1513" s="879"/>
      <c r="WFO1513" s="879"/>
      <c r="WFP1513" s="879"/>
      <c r="WFQ1513" s="879"/>
      <c r="WFR1513" s="879"/>
      <c r="WFS1513" s="879"/>
      <c r="WFT1513" s="879"/>
      <c r="WFU1513" s="879"/>
      <c r="WFV1513" s="879"/>
      <c r="WFW1513" s="879"/>
      <c r="WFX1513" s="879"/>
      <c r="WFY1513" s="879"/>
      <c r="WFZ1513" s="879"/>
      <c r="WGA1513" s="879"/>
      <c r="WGB1513" s="879"/>
      <c r="WGC1513" s="879"/>
      <c r="WGD1513" s="879"/>
      <c r="WGE1513" s="879"/>
      <c r="WGF1513" s="879"/>
      <c r="WGG1513" s="879"/>
      <c r="WGH1513" s="879"/>
      <c r="WGI1513" s="879"/>
      <c r="WGJ1513" s="879"/>
      <c r="WGK1513" s="879"/>
      <c r="WGL1513" s="879"/>
      <c r="WGM1513" s="879"/>
      <c r="WGN1513" s="879"/>
      <c r="WGO1513" s="879"/>
      <c r="WGP1513" s="879"/>
      <c r="WGQ1513" s="879"/>
      <c r="WGR1513" s="879"/>
      <c r="WGS1513" s="879"/>
      <c r="WGT1513" s="879"/>
      <c r="WGU1513" s="879"/>
      <c r="WGV1513" s="879"/>
      <c r="WGW1513" s="879"/>
      <c r="WGX1513" s="879"/>
      <c r="WGY1513" s="879"/>
      <c r="WGZ1513" s="879"/>
      <c r="WHA1513" s="879"/>
      <c r="WHB1513" s="879"/>
      <c r="WHC1513" s="879"/>
      <c r="WHD1513" s="879"/>
      <c r="WHE1513" s="879"/>
      <c r="WHF1513" s="879"/>
      <c r="WHG1513" s="879"/>
      <c r="WHH1513" s="879"/>
      <c r="WHI1513" s="879"/>
      <c r="WHJ1513" s="879"/>
      <c r="WHK1513" s="879"/>
      <c r="WHL1513" s="879"/>
      <c r="WHM1513" s="879"/>
      <c r="WHN1513" s="879"/>
      <c r="WHO1513" s="879"/>
      <c r="WHP1513" s="879"/>
      <c r="WHQ1513" s="879"/>
      <c r="WHR1513" s="879"/>
      <c r="WHS1513" s="879"/>
      <c r="WHT1513" s="879"/>
      <c r="WHU1513" s="879"/>
      <c r="WHV1513" s="879"/>
      <c r="WHW1513" s="879"/>
      <c r="WHX1513" s="879"/>
      <c r="WHY1513" s="879"/>
      <c r="WHZ1513" s="879"/>
      <c r="WIA1513" s="879"/>
      <c r="WIB1513" s="879"/>
      <c r="WIC1513" s="879"/>
      <c r="WID1513" s="879"/>
      <c r="WIE1513" s="879"/>
      <c r="WIF1513" s="879"/>
      <c r="WIG1513" s="879"/>
      <c r="WIH1513" s="879"/>
      <c r="WII1513" s="879"/>
      <c r="WIJ1513" s="879"/>
      <c r="WIK1513" s="879"/>
      <c r="WIL1513" s="879"/>
      <c r="WIM1513" s="879"/>
      <c r="WIN1513" s="879"/>
      <c r="WIO1513" s="879"/>
      <c r="WIP1513" s="879"/>
      <c r="WIQ1513" s="879"/>
      <c r="WIR1513" s="879"/>
      <c r="WIS1513" s="879"/>
      <c r="WIT1513" s="879"/>
      <c r="WIU1513" s="879"/>
      <c r="WIV1513" s="879"/>
      <c r="WIW1513" s="879"/>
      <c r="WIX1513" s="879"/>
      <c r="WIY1513" s="879"/>
      <c r="WIZ1513" s="879"/>
      <c r="WJA1513" s="879"/>
      <c r="WJB1513" s="879"/>
      <c r="WJC1513" s="879"/>
      <c r="WJD1513" s="879"/>
      <c r="WJE1513" s="879"/>
      <c r="WJF1513" s="879"/>
      <c r="WJG1513" s="879"/>
      <c r="WJH1513" s="879"/>
      <c r="WJI1513" s="879"/>
      <c r="WJJ1513" s="879"/>
      <c r="WJK1513" s="879"/>
      <c r="WJL1513" s="879"/>
      <c r="WJM1513" s="879"/>
      <c r="WJN1513" s="879"/>
      <c r="WJO1513" s="879"/>
      <c r="WJP1513" s="879"/>
      <c r="WJQ1513" s="879"/>
      <c r="WJR1513" s="879"/>
      <c r="WJS1513" s="879"/>
      <c r="WJT1513" s="879"/>
      <c r="WJU1513" s="879"/>
      <c r="WJV1513" s="879"/>
      <c r="WJW1513" s="879"/>
      <c r="WJX1513" s="879"/>
      <c r="WJY1513" s="879"/>
      <c r="WJZ1513" s="879"/>
      <c r="WKA1513" s="879"/>
      <c r="WKB1513" s="879"/>
      <c r="WKC1513" s="879"/>
      <c r="WKD1513" s="879"/>
      <c r="WKE1513" s="879"/>
      <c r="WKF1513" s="879"/>
      <c r="WKG1513" s="879"/>
      <c r="WKH1513" s="879"/>
      <c r="WKI1513" s="879"/>
      <c r="WKJ1513" s="879"/>
      <c r="WKK1513" s="879"/>
      <c r="WKL1513" s="879"/>
      <c r="WKM1513" s="879"/>
      <c r="WKN1513" s="879"/>
      <c r="WKO1513" s="879"/>
      <c r="WKP1513" s="879"/>
      <c r="WKQ1513" s="879"/>
      <c r="WKR1513" s="879"/>
      <c r="WKS1513" s="879"/>
      <c r="WKT1513" s="879"/>
      <c r="WKU1513" s="879"/>
      <c r="WKV1513" s="879"/>
      <c r="WKW1513" s="879"/>
      <c r="WKX1513" s="879"/>
      <c r="WKY1513" s="879"/>
      <c r="WKZ1513" s="879"/>
      <c r="WLA1513" s="879"/>
      <c r="WLB1513" s="879"/>
      <c r="WLC1513" s="879"/>
      <c r="WLD1513" s="879"/>
      <c r="WLE1513" s="879"/>
      <c r="WLF1513" s="879"/>
      <c r="WLG1513" s="879"/>
      <c r="WLH1513" s="879"/>
      <c r="WLI1513" s="879"/>
      <c r="WLJ1513" s="879"/>
      <c r="WLK1513" s="879"/>
      <c r="WLL1513" s="879"/>
      <c r="WLM1513" s="879"/>
      <c r="WLN1513" s="879"/>
      <c r="WLO1513" s="879"/>
      <c r="WLP1513" s="879"/>
      <c r="WLQ1513" s="879"/>
      <c r="WLR1513" s="879"/>
      <c r="WLS1513" s="879"/>
      <c r="WLT1513" s="879"/>
      <c r="WLU1513" s="879"/>
      <c r="WLV1513" s="879"/>
      <c r="WLW1513" s="879"/>
      <c r="WLX1513" s="879"/>
      <c r="WLY1513" s="879"/>
      <c r="WLZ1513" s="879"/>
      <c r="WMA1513" s="879"/>
      <c r="WMB1513" s="879"/>
      <c r="WMC1513" s="879"/>
      <c r="WMD1513" s="879"/>
      <c r="WME1513" s="879"/>
      <c r="WMF1513" s="879"/>
      <c r="WMG1513" s="879"/>
      <c r="WMH1513" s="879"/>
      <c r="WMI1513" s="879"/>
      <c r="WMJ1513" s="879"/>
      <c r="WMK1513" s="879"/>
      <c r="WML1513" s="879"/>
      <c r="WMM1513" s="879"/>
      <c r="WMN1513" s="879"/>
      <c r="WMO1513" s="879"/>
      <c r="WMP1513" s="879"/>
      <c r="WMQ1513" s="879"/>
      <c r="WMR1513" s="879"/>
      <c r="WMS1513" s="879"/>
      <c r="WMT1513" s="879"/>
      <c r="WMU1513" s="879"/>
      <c r="WMV1513" s="879"/>
      <c r="WMW1513" s="879"/>
      <c r="WMX1513" s="879"/>
      <c r="WMY1513" s="879"/>
      <c r="WMZ1513" s="879"/>
      <c r="WNA1513" s="879"/>
      <c r="WNB1513" s="879"/>
      <c r="WNC1513" s="879"/>
      <c r="WND1513" s="879"/>
      <c r="WNE1513" s="879"/>
      <c r="WNF1513" s="879"/>
      <c r="WNG1513" s="879"/>
      <c r="WNH1513" s="879"/>
      <c r="WNI1513" s="879"/>
      <c r="WNJ1513" s="879"/>
      <c r="WNK1513" s="879"/>
      <c r="WNL1513" s="879"/>
      <c r="WNM1513" s="879"/>
      <c r="WNN1513" s="879"/>
      <c r="WNO1513" s="879"/>
      <c r="WNP1513" s="879"/>
      <c r="WNQ1513" s="879"/>
      <c r="WNR1513" s="879"/>
      <c r="WNS1513" s="879"/>
      <c r="WNT1513" s="879"/>
      <c r="WNU1513" s="879"/>
      <c r="WNV1513" s="879"/>
      <c r="WNW1513" s="879"/>
      <c r="WNX1513" s="879"/>
      <c r="WNY1513" s="879"/>
      <c r="WNZ1513" s="879"/>
      <c r="WOA1513" s="879"/>
      <c r="WOB1513" s="879"/>
      <c r="WOC1513" s="879"/>
      <c r="WOD1513" s="879"/>
      <c r="WOE1513" s="879"/>
      <c r="WOF1513" s="879"/>
      <c r="WOG1513" s="879"/>
      <c r="WOH1513" s="879"/>
      <c r="WOI1513" s="879"/>
      <c r="WOJ1513" s="879"/>
      <c r="WOK1513" s="879"/>
      <c r="WOL1513" s="879"/>
      <c r="WOM1513" s="879"/>
      <c r="WON1513" s="879"/>
      <c r="WOO1513" s="879"/>
      <c r="WOP1513" s="879"/>
      <c r="WOQ1513" s="879"/>
      <c r="WOR1513" s="879"/>
      <c r="WOS1513" s="879"/>
      <c r="WOT1513" s="879"/>
      <c r="WOU1513" s="879"/>
      <c r="WOV1513" s="879"/>
      <c r="WOW1513" s="879"/>
      <c r="WOX1513" s="879"/>
      <c r="WOY1513" s="879"/>
      <c r="WOZ1513" s="879"/>
      <c r="WPA1513" s="879"/>
      <c r="WPB1513" s="879"/>
      <c r="WPC1513" s="879"/>
      <c r="WPD1513" s="879"/>
      <c r="WPE1513" s="879"/>
      <c r="WPF1513" s="879"/>
      <c r="WPG1513" s="879"/>
      <c r="WPH1513" s="879"/>
      <c r="WPI1513" s="879"/>
      <c r="WPJ1513" s="879"/>
      <c r="WPK1513" s="879"/>
      <c r="WPL1513" s="879"/>
      <c r="WPM1513" s="879"/>
      <c r="WPN1513" s="879"/>
      <c r="WPO1513" s="879"/>
      <c r="WPP1513" s="879"/>
      <c r="WPQ1513" s="879"/>
      <c r="WPR1513" s="879"/>
      <c r="WPS1513" s="879"/>
      <c r="WPT1513" s="879"/>
      <c r="WPU1513" s="879"/>
      <c r="WPV1513" s="879"/>
      <c r="WPW1513" s="879"/>
      <c r="WPX1513" s="879"/>
      <c r="WPY1513" s="879"/>
      <c r="WPZ1513" s="879"/>
      <c r="WQA1513" s="879"/>
      <c r="WQB1513" s="879"/>
      <c r="WQC1513" s="879"/>
      <c r="WQD1513" s="879"/>
      <c r="WQE1513" s="879"/>
      <c r="WQF1513" s="879"/>
      <c r="WQG1513" s="879"/>
      <c r="WQH1513" s="879"/>
      <c r="WQI1513" s="879"/>
      <c r="WQJ1513" s="879"/>
      <c r="WQK1513" s="879"/>
      <c r="WQL1513" s="879"/>
      <c r="WQM1513" s="879"/>
      <c r="WQN1513" s="879"/>
      <c r="WQO1513" s="879"/>
      <c r="WQP1513" s="879"/>
      <c r="WQQ1513" s="879"/>
      <c r="WQR1513" s="879"/>
      <c r="WQS1513" s="879"/>
      <c r="WQT1513" s="879"/>
      <c r="WQU1513" s="879"/>
      <c r="WQV1513" s="879"/>
      <c r="WQW1513" s="879"/>
      <c r="WQX1513" s="879"/>
      <c r="WQY1513" s="879"/>
      <c r="WQZ1513" s="879"/>
      <c r="WRA1513" s="879"/>
      <c r="WRB1513" s="879"/>
      <c r="WRC1513" s="879"/>
      <c r="WRD1513" s="879"/>
      <c r="WRE1513" s="879"/>
      <c r="WRF1513" s="879"/>
      <c r="WRG1513" s="879"/>
      <c r="WRH1513" s="879"/>
      <c r="WRI1513" s="879"/>
      <c r="WRJ1513" s="879"/>
      <c r="WRK1513" s="879"/>
      <c r="WRL1513" s="879"/>
      <c r="WRM1513" s="879"/>
      <c r="WRN1513" s="879"/>
      <c r="WRO1513" s="879"/>
      <c r="WRP1513" s="879"/>
      <c r="WRQ1513" s="879"/>
      <c r="WRR1513" s="879"/>
      <c r="WRS1513" s="879"/>
      <c r="WRT1513" s="879"/>
      <c r="WRU1513" s="879"/>
      <c r="WRV1513" s="879"/>
      <c r="WRW1513" s="879"/>
      <c r="WRX1513" s="879"/>
      <c r="WRY1513" s="879"/>
      <c r="WRZ1513" s="879"/>
      <c r="WSA1513" s="879"/>
      <c r="WSB1513" s="879"/>
      <c r="WSC1513" s="879"/>
      <c r="WSD1513" s="879"/>
      <c r="WSE1513" s="879"/>
      <c r="WSF1513" s="879"/>
      <c r="WSG1513" s="879"/>
      <c r="WSH1513" s="879"/>
      <c r="WSI1513" s="879"/>
      <c r="WSJ1513" s="879"/>
      <c r="WSK1513" s="879"/>
      <c r="WSL1513" s="879"/>
      <c r="WSM1513" s="879"/>
      <c r="WSN1513" s="879"/>
      <c r="WSO1513" s="879"/>
      <c r="WSP1513" s="879"/>
      <c r="WSQ1513" s="879"/>
      <c r="WSR1513" s="879"/>
      <c r="WSS1513" s="879"/>
      <c r="WST1513" s="879"/>
      <c r="WSU1513" s="879"/>
      <c r="WSV1513" s="879"/>
      <c r="WSW1513" s="879"/>
      <c r="WSX1513" s="879"/>
      <c r="WSY1513" s="879"/>
      <c r="WSZ1513" s="879"/>
      <c r="WTA1513" s="879"/>
      <c r="WTB1513" s="879"/>
      <c r="WTC1513" s="879"/>
      <c r="WTD1513" s="879"/>
      <c r="WTE1513" s="879"/>
      <c r="WTF1513" s="879"/>
      <c r="WTG1513" s="879"/>
      <c r="WTH1513" s="879"/>
      <c r="WTI1513" s="879"/>
      <c r="WTJ1513" s="879"/>
      <c r="WTK1513" s="879"/>
      <c r="WTL1513" s="879"/>
      <c r="WTM1513" s="879"/>
      <c r="WTN1513" s="879"/>
      <c r="WTO1513" s="879"/>
      <c r="WTP1513" s="879"/>
      <c r="WTQ1513" s="879"/>
      <c r="WTR1513" s="879"/>
      <c r="WTS1513" s="879"/>
      <c r="WTT1513" s="879"/>
      <c r="WTU1513" s="879"/>
      <c r="WTV1513" s="879"/>
      <c r="WTW1513" s="879"/>
      <c r="WTX1513" s="879"/>
      <c r="WTY1513" s="879"/>
      <c r="WTZ1513" s="879"/>
      <c r="WUA1513" s="879"/>
      <c r="WUB1513" s="879"/>
      <c r="WUC1513" s="879"/>
      <c r="WUD1513" s="879"/>
      <c r="WUE1513" s="879"/>
      <c r="WUF1513" s="879"/>
      <c r="WUG1513" s="879"/>
      <c r="WUH1513" s="879"/>
      <c r="WUI1513" s="879"/>
      <c r="WUJ1513" s="879"/>
      <c r="WUK1513" s="879"/>
      <c r="WUL1513" s="879"/>
      <c r="WUM1513" s="879"/>
      <c r="WUN1513" s="879"/>
      <c r="WUO1513" s="879"/>
      <c r="WUP1513" s="879"/>
      <c r="WUQ1513" s="879"/>
      <c r="WUR1513" s="879"/>
      <c r="WUS1513" s="879"/>
      <c r="WUT1513" s="879"/>
      <c r="WUU1513" s="879"/>
      <c r="WUV1513" s="879"/>
      <c r="WUW1513" s="879"/>
      <c r="WUX1513" s="879"/>
      <c r="WUY1513" s="879"/>
      <c r="WUZ1513" s="879"/>
      <c r="WVA1513" s="879"/>
      <c r="WVB1513" s="879"/>
      <c r="WVC1513" s="879"/>
      <c r="WVD1513" s="879"/>
      <c r="WVE1513" s="879"/>
      <c r="WVF1513" s="879"/>
      <c r="WVG1513" s="879"/>
      <c r="WVH1513" s="879"/>
      <c r="WVI1513" s="879"/>
      <c r="WVJ1513" s="879"/>
      <c r="WVK1513" s="879"/>
      <c r="WVL1513" s="879"/>
      <c r="WVM1513" s="879"/>
      <c r="WVN1513" s="879"/>
      <c r="WVO1513" s="879"/>
      <c r="WVP1513" s="879"/>
      <c r="WVQ1513" s="879"/>
      <c r="WVR1513" s="879"/>
      <c r="WVS1513" s="879"/>
      <c r="WVT1513" s="879"/>
      <c r="WVU1513" s="879"/>
      <c r="WVV1513" s="879"/>
      <c r="WVW1513" s="879"/>
      <c r="WVX1513" s="879"/>
      <c r="WVY1513" s="879"/>
      <c r="WVZ1513" s="879"/>
      <c r="WWA1513" s="879"/>
      <c r="WWB1513" s="879"/>
      <c r="WWC1513" s="879"/>
      <c r="WWD1513" s="879"/>
      <c r="WWE1513" s="879"/>
      <c r="WWF1513" s="879"/>
      <c r="WWG1513" s="879"/>
      <c r="WWH1513" s="879"/>
      <c r="WWI1513" s="879"/>
      <c r="WWJ1513" s="879"/>
      <c r="WWK1513" s="879"/>
      <c r="WWL1513" s="879"/>
      <c r="WWM1513" s="879"/>
      <c r="WWN1513" s="879"/>
      <c r="WWO1513" s="879"/>
      <c r="WWP1513" s="879"/>
      <c r="WWQ1513" s="879"/>
      <c r="WWR1513" s="879"/>
      <c r="WWS1513" s="879"/>
      <c r="WWT1513" s="879"/>
      <c r="WWU1513" s="879"/>
      <c r="WWV1513" s="879"/>
      <c r="WWW1513" s="879"/>
      <c r="WWX1513" s="879"/>
      <c r="WWY1513" s="879"/>
      <c r="WWZ1513" s="879"/>
      <c r="WXA1513" s="879"/>
      <c r="WXB1513" s="879"/>
      <c r="WXC1513" s="879"/>
      <c r="WXD1513" s="879"/>
      <c r="WXE1513" s="879"/>
      <c r="WXF1513" s="879"/>
      <c r="WXG1513" s="879"/>
      <c r="WXH1513" s="879"/>
      <c r="WXI1513" s="879"/>
      <c r="WXJ1513" s="879"/>
      <c r="WXK1513" s="879"/>
      <c r="WXL1513" s="879"/>
      <c r="WXM1513" s="879"/>
      <c r="WXN1513" s="879"/>
      <c r="WXO1513" s="879"/>
      <c r="WXP1513" s="879"/>
      <c r="WXQ1513" s="879"/>
      <c r="WXR1513" s="879"/>
      <c r="WXS1513" s="879"/>
      <c r="WXT1513" s="879"/>
      <c r="WXU1513" s="879"/>
      <c r="WXV1513" s="879"/>
      <c r="WXW1513" s="879"/>
      <c r="WXX1513" s="879"/>
      <c r="WXY1513" s="879"/>
      <c r="WXZ1513" s="879"/>
      <c r="WYA1513" s="879"/>
      <c r="WYB1513" s="879"/>
      <c r="WYC1513" s="879"/>
      <c r="WYD1513" s="879"/>
      <c r="WYE1513" s="879"/>
      <c r="WYF1513" s="879"/>
      <c r="WYG1513" s="879"/>
      <c r="WYH1513" s="879"/>
      <c r="WYI1513" s="879"/>
      <c r="WYJ1513" s="879"/>
      <c r="WYK1513" s="879"/>
      <c r="WYL1513" s="879"/>
      <c r="WYM1513" s="879"/>
      <c r="WYN1513" s="879"/>
      <c r="WYO1513" s="879"/>
      <c r="WYP1513" s="879"/>
      <c r="WYQ1513" s="879"/>
      <c r="WYR1513" s="879"/>
      <c r="WYS1513" s="879"/>
      <c r="WYT1513" s="879"/>
      <c r="WYU1513" s="879"/>
      <c r="WYV1513" s="879"/>
      <c r="WYW1513" s="879"/>
      <c r="WYX1513" s="879"/>
      <c r="WYY1513" s="879"/>
      <c r="WYZ1513" s="879"/>
      <c r="WZA1513" s="879"/>
      <c r="WZB1513" s="879"/>
      <c r="WZC1513" s="879"/>
      <c r="WZD1513" s="879"/>
      <c r="WZE1513" s="879"/>
      <c r="WZF1513" s="879"/>
      <c r="WZG1513" s="879"/>
      <c r="WZH1513" s="879"/>
      <c r="WZI1513" s="879"/>
      <c r="WZJ1513" s="879"/>
      <c r="WZK1513" s="879"/>
      <c r="WZL1513" s="879"/>
      <c r="WZM1513" s="879"/>
      <c r="WZN1513" s="879"/>
      <c r="WZO1513" s="879"/>
      <c r="WZP1513" s="879"/>
      <c r="WZQ1513" s="879"/>
      <c r="WZR1513" s="879"/>
      <c r="WZS1513" s="879"/>
      <c r="WZT1513" s="879"/>
      <c r="WZU1513" s="879"/>
      <c r="WZV1513" s="879"/>
      <c r="WZW1513" s="879"/>
      <c r="WZX1513" s="879"/>
      <c r="WZY1513" s="879"/>
      <c r="WZZ1513" s="879"/>
      <c r="XAA1513" s="879"/>
      <c r="XAB1513" s="879"/>
      <c r="XAC1513" s="879"/>
      <c r="XAD1513" s="879"/>
      <c r="XAE1513" s="879"/>
      <c r="XAF1513" s="879"/>
      <c r="XAG1513" s="879"/>
      <c r="XAH1513" s="879"/>
      <c r="XAI1513" s="879"/>
      <c r="XAJ1513" s="879"/>
      <c r="XAK1513" s="879"/>
      <c r="XAL1513" s="879"/>
      <c r="XAM1513" s="879"/>
      <c r="XAN1513" s="879"/>
      <c r="XAO1513" s="879"/>
      <c r="XAP1513" s="879"/>
      <c r="XAQ1513" s="879"/>
      <c r="XAR1513" s="879"/>
      <c r="XAS1513" s="879"/>
      <c r="XAT1513" s="879"/>
      <c r="XAU1513" s="879"/>
      <c r="XAV1513" s="879"/>
      <c r="XAW1513" s="879"/>
      <c r="XAX1513" s="879"/>
      <c r="XAY1513" s="879"/>
      <c r="XAZ1513" s="879"/>
      <c r="XBA1513" s="879"/>
      <c r="XBB1513" s="879"/>
      <c r="XBC1513" s="879"/>
      <c r="XBD1513" s="879"/>
      <c r="XBE1513" s="879"/>
      <c r="XBF1513" s="879"/>
      <c r="XBG1513" s="879"/>
      <c r="XBH1513" s="879"/>
      <c r="XBI1513" s="879"/>
      <c r="XBJ1513" s="879"/>
      <c r="XBK1513" s="879"/>
      <c r="XBL1513" s="879"/>
      <c r="XBM1513" s="879"/>
      <c r="XBN1513" s="879"/>
      <c r="XBO1513" s="879"/>
      <c r="XBP1513" s="879"/>
      <c r="XBQ1513" s="879"/>
      <c r="XBR1513" s="879"/>
      <c r="XBS1513" s="879"/>
      <c r="XBT1513" s="879"/>
      <c r="XBU1513" s="879"/>
      <c r="XBV1513" s="879"/>
      <c r="XBW1513" s="879"/>
      <c r="XBX1513" s="879"/>
      <c r="XBY1513" s="879"/>
      <c r="XBZ1513" s="879"/>
      <c r="XCA1513" s="879"/>
      <c r="XCB1513" s="879"/>
      <c r="XCC1513" s="879"/>
      <c r="XCD1513" s="879"/>
      <c r="XCE1513" s="879"/>
      <c r="XCF1513" s="879"/>
      <c r="XCG1513" s="879"/>
      <c r="XCH1513" s="879"/>
      <c r="XCI1513" s="879"/>
      <c r="XCJ1513" s="879"/>
      <c r="XCK1513" s="879"/>
      <c r="XCL1513" s="879"/>
      <c r="XCM1513" s="879"/>
      <c r="XCN1513" s="879"/>
      <c r="XCO1513" s="879"/>
      <c r="XCP1513" s="879"/>
      <c r="XCQ1513" s="879"/>
      <c r="XCR1513" s="879"/>
      <c r="XCS1513" s="879"/>
      <c r="XCT1513" s="879"/>
      <c r="XCU1513" s="879"/>
      <c r="XCV1513" s="879"/>
      <c r="XCW1513" s="879"/>
      <c r="XCX1513" s="879"/>
      <c r="XCY1513" s="879"/>
      <c r="XCZ1513" s="879"/>
      <c r="XDA1513" s="879"/>
      <c r="XDB1513" s="879"/>
      <c r="XDC1513" s="879"/>
      <c r="XDD1513" s="879"/>
      <c r="XDE1513" s="879"/>
      <c r="XDF1513" s="879"/>
      <c r="XDG1513" s="879"/>
      <c r="XDH1513" s="879"/>
      <c r="XDI1513" s="879"/>
      <c r="XDJ1513" s="879"/>
      <c r="XDK1513" s="879"/>
      <c r="XDL1513" s="879"/>
      <c r="XDM1513" s="879"/>
      <c r="XDN1513" s="879"/>
      <c r="XDO1513" s="879"/>
      <c r="XDP1513" s="879"/>
      <c r="XDQ1513" s="879"/>
      <c r="XDR1513" s="879"/>
      <c r="XDS1513" s="879"/>
      <c r="XDT1513" s="879"/>
      <c r="XDU1513" s="879"/>
      <c r="XDV1513" s="879"/>
      <c r="XDW1513" s="879"/>
      <c r="XDX1513" s="879"/>
      <c r="XDY1513" s="879"/>
      <c r="XDZ1513" s="879"/>
      <c r="XEA1513" s="879"/>
      <c r="XEB1513" s="879"/>
      <c r="XEC1513" s="879"/>
      <c r="XED1513" s="879"/>
      <c r="XEE1513" s="879"/>
      <c r="XEF1513" s="879"/>
      <c r="XEG1513" s="879"/>
      <c r="XEH1513" s="879"/>
      <c r="XEI1513" s="879"/>
      <c r="XEJ1513" s="879"/>
      <c r="XEK1513" s="879"/>
      <c r="XEL1513" s="879"/>
      <c r="XEM1513" s="879"/>
      <c r="XEN1513" s="879"/>
      <c r="XEO1513" s="879"/>
      <c r="XEP1513" s="879"/>
      <c r="XEQ1513" s="879"/>
      <c r="XER1513" s="879"/>
      <c r="XES1513" s="879"/>
      <c r="XET1513" s="879"/>
      <c r="XEU1513" s="879"/>
      <c r="XEV1513" s="879"/>
      <c r="XEW1513" s="879"/>
      <c r="XEX1513" s="879"/>
    </row>
    <row r="1514" spans="1:16378" s="30" customFormat="1" ht="15" customHeight="1" x14ac:dyDescent="0.25">
      <c r="A1514">
        <v>2025</v>
      </c>
      <c r="B1514" s="8" t="s">
        <v>771</v>
      </c>
      <c r="C1514" s="8" t="s">
        <v>353</v>
      </c>
      <c r="D1514" s="8">
        <v>1212044</v>
      </c>
      <c r="E1514" s="8" t="s">
        <v>354</v>
      </c>
      <c r="F1514" s="8" t="s">
        <v>784</v>
      </c>
      <c r="G1514" s="8" t="s">
        <v>25</v>
      </c>
      <c r="H1514" s="8" t="s">
        <v>2611</v>
      </c>
      <c r="I1514" s="642">
        <v>45880</v>
      </c>
      <c r="J1514" s="175" t="s">
        <v>2612</v>
      </c>
      <c r="K1514" s="97">
        <v>45882</v>
      </c>
      <c r="L1514" s="16">
        <f>IF(ISTEXT(Table15[[#This Row],[Engineering Approved Design Date]]),Table15[[#This Row],[Date Completed]]-Table15[[#This Row],[Date Assigned to Designer]],Table15[[#This Row],[Engineering Approved Design Date]]-Table15[[#This Row],[Date Completed]])</f>
        <v>2</v>
      </c>
      <c r="M1514" t="s">
        <v>9092</v>
      </c>
      <c r="N1514" s="642" t="s">
        <v>739</v>
      </c>
      <c r="O1514" s="1025">
        <v>45870</v>
      </c>
      <c r="P1514" s="21" t="s">
        <v>120</v>
      </c>
      <c r="Q1514" s="1151">
        <f>SUM(Table15[[#This Row],[Shactee Effort]:[KH Hourly Effort]])</f>
        <v>2690</v>
      </c>
      <c r="R1514" s="920" t="s">
        <v>1922</v>
      </c>
      <c r="S1514" s="538">
        <v>0</v>
      </c>
      <c r="T1514" s="538">
        <v>0</v>
      </c>
      <c r="U1514" s="300">
        <v>2690</v>
      </c>
      <c r="V1514" s="1630" t="s">
        <v>29</v>
      </c>
      <c r="W1514" s="1021" t="s">
        <v>29</v>
      </c>
      <c r="X1514" s="888" t="s">
        <v>29</v>
      </c>
      <c r="Y1514" s="888" t="s">
        <v>29</v>
      </c>
      <c r="Z1514" s="892" t="s">
        <v>29</v>
      </c>
      <c r="AA1514" s="892" t="s">
        <v>29</v>
      </c>
      <c r="AB1514" s="893" t="s">
        <v>29</v>
      </c>
      <c r="AC1514" s="896" t="s">
        <v>29</v>
      </c>
      <c r="AD1514" s="1155" t="s">
        <v>29</v>
      </c>
      <c r="AE1514" s="580" t="s">
        <v>29</v>
      </c>
      <c r="AF1514" s="580" t="s">
        <v>29</v>
      </c>
      <c r="AG1514" s="580" t="s">
        <v>29</v>
      </c>
      <c r="AH1514" s="542" t="s">
        <v>29</v>
      </c>
      <c r="AI1514" s="1028" t="s">
        <v>29</v>
      </c>
      <c r="AJ1514" s="1029" t="s">
        <v>29</v>
      </c>
      <c r="AK1514" s="1029" t="s">
        <v>29</v>
      </c>
      <c r="AL1514" s="1030" t="s">
        <v>29</v>
      </c>
      <c r="AM1514" s="542" t="s">
        <v>709</v>
      </c>
      <c r="AN1514" s="924"/>
      <c r="AO1514" s="925"/>
      <c r="AP1514" s="926"/>
      <c r="AQ1514" s="926"/>
      <c r="AR1514" s="926"/>
      <c r="AS1514" s="926"/>
      <c r="AT1514" s="926"/>
      <c r="AU1514" s="926"/>
      <c r="AV1514" s="926"/>
      <c r="AW1514" s="927"/>
      <c r="AX1514" s="926"/>
      <c r="AY1514" s="1538" t="s">
        <v>29</v>
      </c>
      <c r="AZ1514" s="1530"/>
      <c r="BA1514" s="1031" t="s">
        <v>29</v>
      </c>
      <c r="BB1514" s="644" t="s">
        <v>29</v>
      </c>
      <c r="BC1514" s="544" t="s">
        <v>116</v>
      </c>
      <c r="BD1514" s="544" t="s">
        <v>709</v>
      </c>
      <c r="BE1514" s="544" t="s">
        <v>588</v>
      </c>
      <c r="BF1514" s="544" t="s">
        <v>709</v>
      </c>
      <c r="BG1514" s="544"/>
      <c r="BH1514" s="741" t="s">
        <v>9093</v>
      </c>
      <c r="BI1514" s="980"/>
      <c r="BJ1514" s="980"/>
      <c r="BK1514" s="980"/>
      <c r="BL1514" s="980"/>
      <c r="BM1514" s="980"/>
      <c r="BN1514" s="980"/>
      <c r="BO1514" s="980"/>
      <c r="BP1514" s="980"/>
      <c r="BQ1514" s="980"/>
      <c r="BR1514" s="980"/>
      <c r="BS1514" s="980"/>
      <c r="BT1514" s="980"/>
      <c r="BU1514" s="980"/>
      <c r="BV1514" s="980"/>
      <c r="BW1514" s="980"/>
      <c r="BX1514" s="980"/>
      <c r="BY1514" s="980"/>
      <c r="BZ1514" s="980"/>
      <c r="CA1514" s="984"/>
      <c r="CB1514" s="547"/>
      <c r="CC1514"/>
      <c r="CD1514"/>
      <c r="CE1514" s="879"/>
      <c r="CF1514" s="879"/>
      <c r="CG1514" s="879"/>
      <c r="CH1514" s="879"/>
      <c r="CI1514" s="879"/>
      <c r="CJ1514" s="879"/>
      <c r="CK1514" s="879"/>
      <c r="CL1514" s="879"/>
      <c r="CM1514" s="879"/>
      <c r="CN1514" s="879"/>
      <c r="CO1514" s="879"/>
      <c r="CP1514" s="879"/>
      <c r="CQ1514" s="879"/>
      <c r="CR1514" s="879"/>
      <c r="CS1514" s="879"/>
      <c r="CT1514" s="879"/>
      <c r="CU1514" s="879"/>
      <c r="CV1514" s="879"/>
      <c r="CW1514" s="879"/>
      <c r="CX1514" s="879"/>
      <c r="CY1514" s="879"/>
      <c r="CZ1514" s="879"/>
      <c r="DA1514" s="879"/>
      <c r="DB1514" s="879"/>
      <c r="DC1514" s="879"/>
      <c r="DD1514" s="879"/>
      <c r="DE1514" s="879"/>
      <c r="DF1514" s="879"/>
      <c r="DG1514" s="879"/>
      <c r="DH1514" s="879"/>
      <c r="DI1514" s="879"/>
      <c r="DJ1514" s="879"/>
      <c r="DK1514" s="879"/>
      <c r="DL1514" s="879"/>
      <c r="DM1514" s="879"/>
      <c r="DN1514" s="879"/>
      <c r="DO1514" s="879"/>
      <c r="DP1514" s="879"/>
      <c r="DQ1514" s="879"/>
      <c r="DR1514" s="879"/>
      <c r="DS1514" s="879"/>
      <c r="DT1514" s="879"/>
      <c r="DU1514" s="879"/>
      <c r="DV1514" s="879"/>
      <c r="DW1514" s="879"/>
      <c r="DX1514" s="879"/>
      <c r="DY1514" s="879"/>
      <c r="DZ1514" s="879"/>
      <c r="EA1514" s="879"/>
      <c r="EB1514" s="879"/>
      <c r="EC1514" s="879"/>
      <c r="ED1514" s="879"/>
      <c r="EE1514" s="879"/>
      <c r="EF1514" s="879"/>
      <c r="EG1514" s="879"/>
      <c r="EH1514" s="879"/>
      <c r="EI1514" s="879"/>
      <c r="EJ1514" s="879"/>
      <c r="EK1514" s="879"/>
      <c r="EL1514" s="879"/>
      <c r="EM1514" s="879"/>
      <c r="EN1514" s="879"/>
      <c r="EO1514" s="879"/>
      <c r="EP1514" s="879"/>
      <c r="EQ1514" s="879"/>
      <c r="ER1514" s="879"/>
      <c r="ES1514" s="879"/>
      <c r="ET1514" s="879"/>
      <c r="EU1514" s="879"/>
      <c r="EV1514" s="879"/>
      <c r="EW1514" s="879"/>
      <c r="EX1514" s="879"/>
      <c r="EY1514" s="879"/>
      <c r="EZ1514" s="879"/>
      <c r="FA1514" s="879"/>
      <c r="FB1514" s="879"/>
      <c r="FC1514" s="879"/>
      <c r="FD1514" s="879"/>
      <c r="FE1514" s="879"/>
      <c r="FF1514" s="879"/>
      <c r="FG1514" s="879"/>
      <c r="FH1514" s="879"/>
      <c r="FI1514" s="879"/>
      <c r="FJ1514" s="879"/>
      <c r="FK1514" s="879"/>
      <c r="FL1514" s="879"/>
      <c r="FM1514" s="879"/>
      <c r="FN1514" s="879"/>
      <c r="FO1514" s="879"/>
      <c r="FP1514" s="879"/>
      <c r="FQ1514" s="879"/>
      <c r="FR1514" s="879"/>
      <c r="FS1514" s="879"/>
      <c r="FT1514" s="879"/>
      <c r="FU1514" s="879"/>
      <c r="FV1514" s="879"/>
      <c r="FW1514" s="879"/>
      <c r="FX1514" s="879"/>
      <c r="FY1514" s="879"/>
      <c r="FZ1514" s="879"/>
      <c r="GA1514" s="879"/>
      <c r="GB1514" s="879"/>
      <c r="GC1514" s="879"/>
      <c r="GD1514" s="879"/>
      <c r="GE1514" s="879"/>
      <c r="GF1514" s="879"/>
      <c r="GG1514" s="879"/>
      <c r="GH1514" s="879"/>
      <c r="GI1514" s="879"/>
      <c r="GJ1514" s="879"/>
      <c r="GK1514" s="879"/>
      <c r="GL1514" s="879"/>
      <c r="GM1514" s="879"/>
      <c r="GN1514" s="879"/>
      <c r="GO1514" s="879"/>
      <c r="GP1514" s="879"/>
      <c r="GQ1514" s="879"/>
      <c r="GR1514" s="879"/>
      <c r="GS1514" s="879"/>
      <c r="GT1514" s="879"/>
      <c r="GU1514" s="879"/>
      <c r="GV1514" s="879"/>
      <c r="GW1514" s="879"/>
      <c r="GX1514" s="879"/>
      <c r="GY1514" s="879"/>
      <c r="GZ1514" s="879"/>
      <c r="HA1514" s="879"/>
      <c r="HB1514" s="879"/>
      <c r="HC1514" s="879"/>
      <c r="HD1514" s="879"/>
      <c r="HE1514" s="879"/>
      <c r="HF1514" s="879"/>
      <c r="HG1514" s="879"/>
      <c r="HH1514" s="879"/>
      <c r="HI1514" s="879"/>
      <c r="HJ1514" s="879"/>
      <c r="HK1514" s="879"/>
      <c r="HL1514" s="879"/>
      <c r="HM1514" s="879"/>
      <c r="HN1514" s="879"/>
      <c r="HO1514" s="879"/>
      <c r="HP1514" s="879"/>
      <c r="HQ1514" s="879"/>
      <c r="HR1514" s="879"/>
      <c r="HS1514" s="879"/>
      <c r="HT1514" s="879"/>
      <c r="HU1514" s="879"/>
      <c r="HV1514" s="879"/>
      <c r="HW1514" s="879"/>
      <c r="HX1514" s="879"/>
      <c r="HY1514" s="879"/>
      <c r="HZ1514" s="879"/>
      <c r="IA1514" s="879"/>
      <c r="IB1514" s="879"/>
      <c r="IC1514" s="879"/>
      <c r="ID1514" s="879"/>
      <c r="IE1514" s="879"/>
      <c r="IF1514" s="879"/>
      <c r="IG1514" s="879"/>
      <c r="IH1514" s="879"/>
      <c r="II1514" s="879"/>
      <c r="IJ1514" s="879"/>
      <c r="IK1514" s="879"/>
      <c r="IL1514" s="879"/>
      <c r="IM1514" s="879"/>
      <c r="IN1514" s="879"/>
      <c r="IO1514" s="879"/>
      <c r="IP1514" s="879"/>
      <c r="IQ1514" s="879"/>
      <c r="IR1514" s="879"/>
      <c r="IS1514" s="879"/>
      <c r="IT1514" s="879"/>
      <c r="IU1514" s="879"/>
      <c r="IV1514" s="879"/>
      <c r="IW1514" s="879"/>
      <c r="IX1514" s="879"/>
      <c r="IY1514" s="879"/>
      <c r="IZ1514" s="879"/>
      <c r="JA1514" s="879"/>
      <c r="JB1514" s="879"/>
      <c r="JC1514" s="879"/>
      <c r="JD1514" s="879"/>
      <c r="JE1514" s="879"/>
      <c r="JF1514" s="879"/>
      <c r="JG1514" s="879"/>
      <c r="JH1514" s="879"/>
      <c r="JI1514" s="879"/>
      <c r="JJ1514" s="879"/>
      <c r="JK1514" s="879"/>
      <c r="JL1514" s="879"/>
      <c r="JM1514" s="879"/>
      <c r="JN1514" s="879"/>
      <c r="JO1514" s="879"/>
      <c r="JP1514" s="879"/>
      <c r="JQ1514" s="879"/>
      <c r="JR1514" s="879"/>
      <c r="JS1514" s="879"/>
      <c r="JT1514" s="879"/>
      <c r="JU1514" s="879"/>
      <c r="JV1514" s="879"/>
      <c r="JW1514" s="879"/>
      <c r="JX1514" s="879"/>
      <c r="JY1514" s="879"/>
      <c r="JZ1514" s="879"/>
      <c r="KA1514" s="879"/>
      <c r="KB1514" s="879"/>
      <c r="KC1514" s="879"/>
      <c r="KD1514" s="879"/>
      <c r="KE1514" s="879"/>
      <c r="KF1514" s="879"/>
      <c r="KG1514" s="879"/>
      <c r="KH1514" s="879"/>
      <c r="KI1514" s="879"/>
      <c r="KJ1514" s="879"/>
      <c r="KK1514" s="879"/>
      <c r="KL1514" s="879"/>
      <c r="KM1514" s="879"/>
      <c r="KN1514" s="879"/>
      <c r="KO1514" s="879"/>
      <c r="KP1514" s="879"/>
      <c r="KQ1514" s="879"/>
      <c r="KR1514" s="879"/>
      <c r="KS1514" s="879"/>
      <c r="KT1514" s="879"/>
      <c r="KU1514" s="879"/>
      <c r="KV1514" s="879"/>
      <c r="KW1514" s="879"/>
      <c r="KX1514" s="879"/>
      <c r="KY1514" s="879"/>
      <c r="KZ1514" s="879"/>
      <c r="LA1514" s="879"/>
      <c r="LB1514" s="879"/>
      <c r="LC1514" s="879"/>
      <c r="LD1514" s="879"/>
      <c r="LE1514" s="879"/>
      <c r="LF1514" s="879"/>
      <c r="LG1514" s="879"/>
      <c r="LH1514" s="879"/>
      <c r="LI1514" s="879"/>
      <c r="LJ1514" s="879"/>
      <c r="LK1514" s="879"/>
      <c r="LL1514" s="879"/>
      <c r="LM1514" s="879"/>
      <c r="LN1514" s="879"/>
      <c r="LO1514" s="879"/>
      <c r="LP1514" s="879"/>
      <c r="LQ1514" s="879"/>
      <c r="LR1514" s="879"/>
      <c r="LS1514" s="879"/>
      <c r="LT1514" s="879"/>
      <c r="LU1514" s="879"/>
      <c r="LV1514" s="879"/>
      <c r="LW1514" s="879"/>
      <c r="LX1514" s="879"/>
      <c r="LY1514" s="879"/>
      <c r="LZ1514" s="879"/>
      <c r="MA1514" s="879"/>
      <c r="MB1514" s="879"/>
      <c r="MC1514" s="879"/>
      <c r="MD1514" s="879"/>
      <c r="ME1514" s="879"/>
      <c r="MF1514" s="879"/>
      <c r="MG1514" s="879"/>
      <c r="MH1514" s="879"/>
      <c r="MI1514" s="879"/>
      <c r="MJ1514" s="879"/>
      <c r="MK1514" s="879"/>
      <c r="ML1514" s="879"/>
      <c r="MM1514" s="879"/>
      <c r="MN1514" s="879"/>
      <c r="MO1514" s="879"/>
      <c r="MP1514" s="879"/>
      <c r="MQ1514" s="879"/>
      <c r="MR1514" s="879"/>
      <c r="MS1514" s="879"/>
      <c r="MT1514" s="879"/>
      <c r="MU1514" s="879"/>
      <c r="MV1514" s="879"/>
      <c r="MW1514" s="879"/>
      <c r="MX1514" s="879"/>
      <c r="MY1514" s="879"/>
      <c r="MZ1514" s="879"/>
      <c r="NA1514" s="879"/>
      <c r="NB1514" s="879"/>
      <c r="NC1514" s="879"/>
      <c r="ND1514" s="879"/>
      <c r="NE1514" s="879"/>
      <c r="NF1514" s="879"/>
      <c r="NG1514" s="879"/>
      <c r="NH1514" s="879"/>
      <c r="NI1514" s="879"/>
      <c r="NJ1514" s="879"/>
      <c r="NK1514" s="879"/>
      <c r="NL1514" s="879"/>
      <c r="NM1514" s="879"/>
      <c r="NN1514" s="879"/>
      <c r="NO1514" s="879"/>
      <c r="NP1514" s="879"/>
      <c r="NQ1514" s="879"/>
      <c r="NR1514" s="879"/>
      <c r="NS1514" s="879"/>
      <c r="NT1514" s="879"/>
      <c r="NU1514" s="879"/>
      <c r="NV1514" s="879"/>
      <c r="NW1514" s="879"/>
      <c r="NX1514" s="879"/>
      <c r="NY1514" s="879"/>
      <c r="NZ1514" s="879"/>
      <c r="OA1514" s="879"/>
      <c r="OB1514" s="879"/>
      <c r="OC1514" s="879"/>
      <c r="OD1514" s="879"/>
      <c r="OE1514" s="879"/>
      <c r="OF1514" s="879"/>
      <c r="OG1514" s="879"/>
      <c r="OH1514" s="879"/>
      <c r="OI1514" s="879"/>
      <c r="OJ1514" s="879"/>
      <c r="OK1514" s="879"/>
      <c r="OL1514" s="879"/>
      <c r="OM1514" s="879"/>
      <c r="ON1514" s="879"/>
      <c r="OO1514" s="879"/>
      <c r="OP1514" s="879"/>
      <c r="OQ1514" s="879"/>
      <c r="OR1514" s="879"/>
      <c r="OS1514" s="879"/>
      <c r="OT1514" s="879"/>
      <c r="OU1514" s="879"/>
      <c r="OV1514" s="879"/>
      <c r="OW1514" s="879"/>
      <c r="OX1514" s="879"/>
      <c r="OY1514" s="879"/>
      <c r="OZ1514" s="879"/>
      <c r="PA1514" s="879"/>
      <c r="PB1514" s="879"/>
      <c r="PC1514" s="879"/>
      <c r="PD1514" s="879"/>
      <c r="PE1514" s="879"/>
      <c r="PF1514" s="879"/>
      <c r="PG1514" s="879"/>
      <c r="PH1514" s="879"/>
      <c r="PI1514" s="879"/>
      <c r="PJ1514" s="879"/>
      <c r="PK1514" s="879"/>
      <c r="PL1514" s="879"/>
      <c r="PM1514" s="879"/>
      <c r="PN1514" s="879"/>
      <c r="PO1514" s="879"/>
      <c r="PP1514" s="879"/>
      <c r="PQ1514" s="879"/>
      <c r="PR1514" s="879"/>
      <c r="PS1514" s="879"/>
      <c r="PT1514" s="879"/>
      <c r="PU1514" s="879"/>
      <c r="PV1514" s="879"/>
      <c r="PW1514" s="879"/>
      <c r="PX1514" s="879"/>
      <c r="PY1514" s="879"/>
      <c r="PZ1514" s="879"/>
      <c r="QA1514" s="879"/>
      <c r="QB1514" s="879"/>
      <c r="QC1514" s="879"/>
      <c r="QD1514" s="879"/>
      <c r="QE1514" s="879"/>
      <c r="QF1514" s="879"/>
      <c r="QG1514" s="879"/>
      <c r="QH1514" s="879"/>
      <c r="QI1514" s="879"/>
      <c r="QJ1514" s="879"/>
      <c r="QK1514" s="879"/>
      <c r="QL1514" s="879"/>
      <c r="QM1514" s="879"/>
      <c r="QN1514" s="879"/>
      <c r="QO1514" s="879"/>
      <c r="QP1514" s="879"/>
      <c r="QQ1514" s="879"/>
      <c r="QR1514" s="879"/>
      <c r="QS1514" s="879"/>
      <c r="QT1514" s="879"/>
      <c r="QU1514" s="879"/>
      <c r="QV1514" s="879"/>
      <c r="QW1514" s="879"/>
      <c r="QX1514" s="879"/>
      <c r="QY1514" s="879"/>
      <c r="QZ1514" s="879"/>
      <c r="RA1514" s="879"/>
      <c r="RB1514" s="879"/>
      <c r="RC1514" s="879"/>
      <c r="RD1514" s="879"/>
      <c r="RE1514" s="879"/>
      <c r="RF1514" s="879"/>
      <c r="RG1514" s="879"/>
      <c r="RH1514" s="879"/>
      <c r="RI1514" s="879"/>
      <c r="RJ1514" s="879"/>
      <c r="RK1514" s="879"/>
      <c r="RL1514" s="879"/>
      <c r="RM1514" s="879"/>
      <c r="RN1514" s="879"/>
      <c r="RO1514" s="879"/>
      <c r="RP1514" s="879"/>
      <c r="RQ1514" s="879"/>
      <c r="RR1514" s="879"/>
      <c r="RS1514" s="879"/>
      <c r="RT1514" s="879"/>
      <c r="RU1514" s="879"/>
      <c r="RV1514" s="879"/>
      <c r="RW1514" s="879"/>
      <c r="RX1514" s="879"/>
      <c r="RY1514" s="879"/>
      <c r="RZ1514" s="879"/>
      <c r="SA1514" s="879"/>
      <c r="SB1514" s="879"/>
      <c r="SC1514" s="879"/>
      <c r="SD1514" s="879"/>
      <c r="SE1514" s="879"/>
      <c r="SF1514" s="879"/>
      <c r="SG1514" s="879"/>
      <c r="SH1514" s="879"/>
      <c r="SI1514" s="879"/>
      <c r="SJ1514" s="879"/>
      <c r="SK1514" s="879"/>
      <c r="SL1514" s="879"/>
      <c r="SM1514" s="879"/>
      <c r="SN1514" s="879"/>
      <c r="SO1514" s="879"/>
      <c r="SP1514" s="879"/>
      <c r="SQ1514" s="879"/>
      <c r="SR1514" s="879"/>
      <c r="SS1514" s="879"/>
      <c r="ST1514" s="879"/>
      <c r="SU1514" s="879"/>
      <c r="SV1514" s="879"/>
      <c r="SW1514" s="879"/>
      <c r="SX1514" s="879"/>
      <c r="SY1514" s="879"/>
      <c r="SZ1514" s="879"/>
      <c r="TA1514" s="879"/>
      <c r="TB1514" s="879"/>
      <c r="TC1514" s="879"/>
      <c r="TD1514" s="879"/>
      <c r="TE1514" s="879"/>
      <c r="TF1514" s="879"/>
      <c r="TG1514" s="879"/>
      <c r="TH1514" s="879"/>
      <c r="TI1514" s="879"/>
      <c r="TJ1514" s="879"/>
      <c r="TK1514" s="879"/>
      <c r="TL1514" s="879"/>
      <c r="TM1514" s="879"/>
      <c r="TN1514" s="879"/>
      <c r="TO1514" s="879"/>
      <c r="TP1514" s="879"/>
      <c r="TQ1514" s="879"/>
      <c r="TR1514" s="879"/>
      <c r="TS1514" s="879"/>
      <c r="TT1514" s="879"/>
      <c r="TU1514" s="879"/>
      <c r="TV1514" s="879"/>
      <c r="TW1514" s="879"/>
      <c r="TX1514" s="879"/>
      <c r="TY1514" s="879"/>
      <c r="TZ1514" s="879"/>
      <c r="UA1514" s="879"/>
      <c r="UB1514" s="879"/>
      <c r="UC1514" s="879"/>
      <c r="UD1514" s="879"/>
      <c r="UE1514" s="879"/>
      <c r="UF1514" s="879"/>
      <c r="UG1514" s="879"/>
      <c r="UH1514" s="879"/>
      <c r="UI1514" s="879"/>
      <c r="UJ1514" s="879"/>
      <c r="UK1514" s="879"/>
      <c r="UL1514" s="879"/>
      <c r="UM1514" s="879"/>
      <c r="UN1514" s="879"/>
      <c r="UO1514" s="879"/>
      <c r="UP1514" s="879"/>
      <c r="UQ1514" s="879"/>
      <c r="UR1514" s="879"/>
      <c r="US1514" s="879"/>
      <c r="UT1514" s="879"/>
      <c r="UU1514" s="879"/>
      <c r="UV1514" s="879"/>
      <c r="UW1514" s="879"/>
      <c r="UX1514" s="879"/>
      <c r="UY1514" s="879"/>
      <c r="UZ1514" s="879"/>
      <c r="VA1514" s="879"/>
      <c r="VB1514" s="879"/>
      <c r="VC1514" s="879"/>
      <c r="VD1514" s="879"/>
      <c r="VE1514" s="879"/>
      <c r="VF1514" s="879"/>
      <c r="VG1514" s="879"/>
      <c r="VH1514" s="879"/>
      <c r="VI1514" s="879"/>
      <c r="VJ1514" s="879"/>
      <c r="VK1514" s="879"/>
      <c r="VL1514" s="879"/>
      <c r="VM1514" s="879"/>
      <c r="VN1514" s="879"/>
      <c r="VO1514" s="879"/>
      <c r="VP1514" s="879"/>
      <c r="VQ1514" s="879"/>
      <c r="VR1514" s="879"/>
      <c r="VS1514" s="879"/>
      <c r="VT1514" s="879"/>
      <c r="VU1514" s="879"/>
      <c r="VV1514" s="879"/>
      <c r="VW1514" s="879"/>
      <c r="VX1514" s="879"/>
      <c r="VY1514" s="879"/>
      <c r="VZ1514" s="879"/>
      <c r="WA1514" s="879"/>
      <c r="WB1514" s="879"/>
      <c r="WC1514" s="879"/>
      <c r="WD1514" s="879"/>
      <c r="WE1514" s="879"/>
      <c r="WF1514" s="879"/>
      <c r="WG1514" s="879"/>
      <c r="WH1514" s="879"/>
      <c r="WI1514" s="879"/>
      <c r="WJ1514" s="879"/>
      <c r="WK1514" s="879"/>
      <c r="WL1514" s="879"/>
      <c r="WM1514" s="879"/>
      <c r="WN1514" s="879"/>
      <c r="WO1514" s="879"/>
      <c r="WP1514" s="879"/>
      <c r="WQ1514" s="879"/>
      <c r="WR1514" s="879"/>
      <c r="WS1514" s="879"/>
      <c r="WT1514" s="879"/>
      <c r="WU1514" s="879"/>
      <c r="WV1514" s="879"/>
      <c r="WW1514" s="879"/>
      <c r="WX1514" s="879"/>
      <c r="WY1514" s="879"/>
      <c r="WZ1514" s="879"/>
      <c r="XA1514" s="879"/>
      <c r="XB1514" s="879"/>
      <c r="XC1514" s="879"/>
      <c r="XD1514" s="879"/>
      <c r="XE1514" s="879"/>
      <c r="XF1514" s="879"/>
      <c r="XG1514" s="879"/>
      <c r="XH1514" s="879"/>
      <c r="XI1514" s="879"/>
      <c r="XJ1514" s="879"/>
      <c r="XK1514" s="879"/>
      <c r="XL1514" s="879"/>
      <c r="XM1514" s="879"/>
      <c r="XN1514" s="879"/>
      <c r="XO1514" s="879"/>
      <c r="XP1514" s="879"/>
      <c r="XQ1514" s="879"/>
      <c r="XR1514" s="879"/>
      <c r="XS1514" s="879"/>
      <c r="XT1514" s="879"/>
      <c r="XU1514" s="879"/>
      <c r="XV1514" s="879"/>
      <c r="XW1514" s="879"/>
      <c r="XX1514" s="879"/>
      <c r="XY1514" s="879"/>
      <c r="XZ1514" s="879"/>
      <c r="YA1514" s="879"/>
      <c r="YB1514" s="879"/>
      <c r="YC1514" s="879"/>
      <c r="YD1514" s="879"/>
      <c r="YE1514" s="879"/>
      <c r="YF1514" s="879"/>
      <c r="YG1514" s="879"/>
      <c r="YH1514" s="879"/>
      <c r="YI1514" s="879"/>
      <c r="YJ1514" s="879"/>
      <c r="YK1514" s="879"/>
      <c r="YL1514" s="879"/>
      <c r="YM1514" s="879"/>
      <c r="YN1514" s="879"/>
      <c r="YO1514" s="879"/>
      <c r="YP1514" s="879"/>
      <c r="YQ1514" s="879"/>
      <c r="YR1514" s="879"/>
      <c r="YS1514" s="879"/>
      <c r="YT1514" s="879"/>
      <c r="YU1514" s="879"/>
      <c r="YV1514" s="879"/>
      <c r="YW1514" s="879"/>
      <c r="YX1514" s="879"/>
      <c r="YY1514" s="879"/>
      <c r="YZ1514" s="879"/>
      <c r="ZA1514" s="879"/>
      <c r="ZB1514" s="879"/>
      <c r="ZC1514" s="879"/>
      <c r="ZD1514" s="879"/>
      <c r="ZE1514" s="879"/>
      <c r="ZF1514" s="879"/>
      <c r="ZG1514" s="879"/>
      <c r="ZH1514" s="879"/>
      <c r="ZI1514" s="879"/>
      <c r="ZJ1514" s="879"/>
      <c r="ZK1514" s="879"/>
      <c r="ZL1514" s="879"/>
      <c r="ZM1514" s="879"/>
      <c r="ZN1514" s="879"/>
      <c r="ZO1514" s="879"/>
      <c r="ZP1514" s="879"/>
      <c r="ZQ1514" s="879"/>
      <c r="ZR1514" s="879"/>
      <c r="ZS1514" s="879"/>
      <c r="ZT1514" s="879"/>
      <c r="ZU1514" s="879"/>
      <c r="ZV1514" s="879"/>
      <c r="ZW1514" s="879"/>
      <c r="ZX1514" s="879"/>
      <c r="ZY1514" s="879"/>
      <c r="ZZ1514" s="879"/>
      <c r="AAA1514" s="879"/>
      <c r="AAB1514" s="879"/>
      <c r="AAC1514" s="879"/>
      <c r="AAD1514" s="879"/>
      <c r="AAE1514" s="879"/>
      <c r="AAF1514" s="879"/>
      <c r="AAG1514" s="879"/>
      <c r="AAH1514" s="879"/>
      <c r="AAI1514" s="879"/>
      <c r="AAJ1514" s="879"/>
      <c r="AAK1514" s="879"/>
      <c r="AAL1514" s="879"/>
      <c r="AAM1514" s="879"/>
      <c r="AAN1514" s="879"/>
      <c r="AAO1514" s="879"/>
      <c r="AAP1514" s="879"/>
      <c r="AAQ1514" s="879"/>
      <c r="AAR1514" s="879"/>
      <c r="AAS1514" s="879"/>
      <c r="AAT1514" s="879"/>
      <c r="AAU1514" s="879"/>
      <c r="AAV1514" s="879"/>
      <c r="AAW1514" s="879"/>
      <c r="AAX1514" s="879"/>
      <c r="AAY1514" s="879"/>
      <c r="AAZ1514" s="879"/>
      <c r="ABA1514" s="879"/>
      <c r="ABB1514" s="879"/>
      <c r="ABC1514" s="879"/>
      <c r="ABD1514" s="879"/>
      <c r="ABE1514" s="879"/>
      <c r="ABF1514" s="879"/>
      <c r="ABG1514" s="879"/>
      <c r="ABH1514" s="879"/>
      <c r="ABI1514" s="879"/>
      <c r="ABJ1514" s="879"/>
      <c r="ABK1514" s="879"/>
      <c r="ABL1514" s="879"/>
      <c r="ABM1514" s="879"/>
      <c r="ABN1514" s="879"/>
      <c r="ABO1514" s="879"/>
      <c r="ABP1514" s="879"/>
      <c r="ABQ1514" s="879"/>
      <c r="ABR1514" s="879"/>
      <c r="ABS1514" s="879"/>
      <c r="ABT1514" s="879"/>
      <c r="ABU1514" s="879"/>
      <c r="ABV1514" s="879"/>
      <c r="ABW1514" s="879"/>
      <c r="ABX1514" s="879"/>
      <c r="ABY1514" s="879"/>
      <c r="ABZ1514" s="879"/>
      <c r="ACA1514" s="879"/>
      <c r="ACB1514" s="879"/>
      <c r="ACC1514" s="879"/>
      <c r="ACD1514" s="879"/>
      <c r="ACE1514" s="879"/>
      <c r="ACF1514" s="879"/>
      <c r="ACG1514" s="879"/>
      <c r="ACH1514" s="879"/>
      <c r="ACI1514" s="879"/>
      <c r="ACJ1514" s="879"/>
      <c r="ACK1514" s="879"/>
      <c r="ACL1514" s="879"/>
      <c r="ACM1514" s="879"/>
      <c r="ACN1514" s="879"/>
      <c r="ACO1514" s="879"/>
      <c r="ACP1514" s="879"/>
      <c r="ACQ1514" s="879"/>
      <c r="ACR1514" s="879"/>
      <c r="ACS1514" s="879"/>
      <c r="ACT1514" s="879"/>
      <c r="ACU1514" s="879"/>
      <c r="ACV1514" s="879"/>
      <c r="ACW1514" s="879"/>
      <c r="ACX1514" s="879"/>
      <c r="ACY1514" s="879"/>
      <c r="ACZ1514" s="879"/>
      <c r="ADA1514" s="879"/>
      <c r="ADB1514" s="879"/>
      <c r="ADC1514" s="879"/>
      <c r="ADD1514" s="879"/>
      <c r="ADE1514" s="879"/>
      <c r="ADF1514" s="879"/>
      <c r="ADG1514" s="879"/>
      <c r="ADH1514" s="879"/>
      <c r="ADI1514" s="879"/>
      <c r="ADJ1514" s="879"/>
      <c r="ADK1514" s="879"/>
      <c r="ADL1514" s="879"/>
      <c r="ADM1514" s="879"/>
      <c r="ADN1514" s="879"/>
      <c r="ADO1514" s="879"/>
      <c r="ADP1514" s="879"/>
      <c r="ADQ1514" s="879"/>
      <c r="ADR1514" s="879"/>
      <c r="ADS1514" s="879"/>
      <c r="ADT1514" s="879"/>
      <c r="ADU1514" s="879"/>
      <c r="ADV1514" s="879"/>
      <c r="ADW1514" s="879"/>
      <c r="ADX1514" s="879"/>
      <c r="ADY1514" s="879"/>
      <c r="ADZ1514" s="879"/>
      <c r="AEA1514" s="879"/>
      <c r="AEB1514" s="879"/>
      <c r="AEC1514" s="879"/>
      <c r="AED1514" s="879"/>
      <c r="AEE1514" s="879"/>
      <c r="AEF1514" s="879"/>
      <c r="AEG1514" s="879"/>
      <c r="AEH1514" s="879"/>
      <c r="AEI1514" s="879"/>
      <c r="AEJ1514" s="879"/>
      <c r="AEK1514" s="879"/>
      <c r="AEL1514" s="879"/>
      <c r="AEM1514" s="879"/>
      <c r="AEN1514" s="879"/>
      <c r="AEO1514" s="879"/>
      <c r="AEP1514" s="879"/>
      <c r="AEQ1514" s="879"/>
      <c r="AER1514" s="879"/>
      <c r="AES1514" s="879"/>
      <c r="AET1514" s="879"/>
      <c r="AEU1514" s="879"/>
      <c r="AEV1514" s="879"/>
      <c r="AEW1514" s="879"/>
      <c r="AEX1514" s="879"/>
      <c r="AEY1514" s="879"/>
      <c r="AEZ1514" s="879"/>
      <c r="AFA1514" s="879"/>
      <c r="AFB1514" s="879"/>
      <c r="AFC1514" s="879"/>
      <c r="AFD1514" s="879"/>
      <c r="AFE1514" s="879"/>
      <c r="AFF1514" s="879"/>
      <c r="AFG1514" s="879"/>
      <c r="AFH1514" s="879"/>
      <c r="AFI1514" s="879"/>
      <c r="AFJ1514" s="879"/>
      <c r="AFK1514" s="879"/>
      <c r="AFL1514" s="879"/>
      <c r="AFM1514" s="879"/>
      <c r="AFN1514" s="879"/>
      <c r="AFO1514" s="879"/>
      <c r="AFP1514" s="879"/>
      <c r="AFQ1514" s="879"/>
      <c r="AFR1514" s="879"/>
      <c r="AFS1514" s="879"/>
      <c r="AFT1514" s="879"/>
      <c r="AFU1514" s="879"/>
      <c r="AFV1514" s="879"/>
      <c r="AFW1514" s="879"/>
      <c r="AFX1514" s="879"/>
      <c r="AFY1514" s="879"/>
      <c r="AFZ1514" s="879"/>
      <c r="AGA1514" s="879"/>
      <c r="AGB1514" s="879"/>
      <c r="AGC1514" s="879"/>
      <c r="AGD1514" s="879"/>
      <c r="AGE1514" s="879"/>
      <c r="AGF1514" s="879"/>
      <c r="AGG1514" s="879"/>
      <c r="AGH1514" s="879"/>
      <c r="AGI1514" s="879"/>
      <c r="AGJ1514" s="879"/>
      <c r="AGK1514" s="879"/>
      <c r="AGL1514" s="879"/>
      <c r="AGM1514" s="879"/>
      <c r="AGN1514" s="879"/>
      <c r="AGO1514" s="879"/>
      <c r="AGP1514" s="879"/>
      <c r="AGQ1514" s="879"/>
      <c r="AGR1514" s="879"/>
      <c r="AGS1514" s="879"/>
      <c r="AGT1514" s="879"/>
      <c r="AGU1514" s="879"/>
      <c r="AGV1514" s="879"/>
      <c r="AGW1514" s="879"/>
      <c r="AGX1514" s="879"/>
      <c r="AGY1514" s="879"/>
      <c r="AGZ1514" s="879"/>
      <c r="AHA1514" s="879"/>
      <c r="AHB1514" s="879"/>
      <c r="AHC1514" s="879"/>
      <c r="AHD1514" s="879"/>
      <c r="AHE1514" s="879"/>
      <c r="AHF1514" s="879"/>
      <c r="AHG1514" s="879"/>
      <c r="AHH1514" s="879"/>
      <c r="AHI1514" s="879"/>
      <c r="AHJ1514" s="879"/>
      <c r="AHK1514" s="879"/>
      <c r="AHL1514" s="879"/>
      <c r="AHM1514" s="879"/>
      <c r="AHN1514" s="879"/>
      <c r="AHO1514" s="879"/>
      <c r="AHP1514" s="879"/>
      <c r="AHQ1514" s="879"/>
      <c r="AHR1514" s="879"/>
      <c r="AHS1514" s="879"/>
      <c r="AHT1514" s="879"/>
      <c r="AHU1514" s="879"/>
      <c r="AHV1514" s="879"/>
      <c r="AHW1514" s="879"/>
      <c r="AHX1514" s="879"/>
      <c r="AHY1514" s="879"/>
      <c r="AHZ1514" s="879"/>
      <c r="AIA1514" s="879"/>
      <c r="AIB1514" s="879"/>
      <c r="AIC1514" s="879"/>
      <c r="AID1514" s="879"/>
      <c r="AIE1514" s="879"/>
      <c r="AIF1514" s="879"/>
      <c r="AIG1514" s="879"/>
      <c r="AIH1514" s="879"/>
      <c r="AII1514" s="879"/>
      <c r="AIJ1514" s="879"/>
      <c r="AIK1514" s="879"/>
      <c r="AIL1514" s="879"/>
      <c r="AIM1514" s="879"/>
      <c r="AIN1514" s="879"/>
      <c r="AIO1514" s="879"/>
      <c r="AIP1514" s="879"/>
      <c r="AIQ1514" s="879"/>
      <c r="AIR1514" s="879"/>
      <c r="AIS1514" s="879"/>
      <c r="AIT1514" s="879"/>
      <c r="AIU1514" s="879"/>
      <c r="AIV1514" s="879"/>
      <c r="AIW1514" s="879"/>
      <c r="AIX1514" s="879"/>
      <c r="AIY1514" s="879"/>
      <c r="AIZ1514" s="879"/>
      <c r="AJA1514" s="879"/>
      <c r="AJB1514" s="879"/>
      <c r="AJC1514" s="879"/>
      <c r="AJD1514" s="879"/>
      <c r="AJE1514" s="879"/>
      <c r="AJF1514" s="879"/>
      <c r="AJG1514" s="879"/>
      <c r="AJH1514" s="879"/>
      <c r="AJI1514" s="879"/>
      <c r="AJJ1514" s="879"/>
      <c r="AJK1514" s="879"/>
      <c r="AJL1514" s="879"/>
      <c r="AJM1514" s="879"/>
      <c r="AJN1514" s="879"/>
      <c r="AJO1514" s="879"/>
      <c r="AJP1514" s="879"/>
      <c r="AJQ1514" s="879"/>
      <c r="AJR1514" s="879"/>
      <c r="AJS1514" s="879"/>
      <c r="AJT1514" s="879"/>
      <c r="AJU1514" s="879"/>
      <c r="AJV1514" s="879"/>
      <c r="AJW1514" s="879"/>
      <c r="AJX1514" s="879"/>
      <c r="AJY1514" s="879"/>
      <c r="AJZ1514" s="879"/>
      <c r="AKA1514" s="879"/>
      <c r="AKB1514" s="879"/>
      <c r="AKC1514" s="879"/>
      <c r="AKD1514" s="879"/>
      <c r="AKE1514" s="879"/>
      <c r="AKF1514" s="879"/>
      <c r="AKG1514" s="879"/>
      <c r="AKH1514" s="879"/>
      <c r="AKI1514" s="879"/>
      <c r="AKJ1514" s="879"/>
      <c r="AKK1514" s="879"/>
      <c r="AKL1514" s="879"/>
      <c r="AKM1514" s="879"/>
      <c r="AKN1514" s="879"/>
      <c r="AKO1514" s="879"/>
      <c r="AKP1514" s="879"/>
      <c r="AKQ1514" s="879"/>
      <c r="AKR1514" s="879"/>
      <c r="AKS1514" s="879"/>
      <c r="AKT1514" s="879"/>
      <c r="AKU1514" s="879"/>
      <c r="AKV1514" s="879"/>
      <c r="AKW1514" s="879"/>
      <c r="AKX1514" s="879"/>
      <c r="AKY1514" s="879"/>
      <c r="AKZ1514" s="879"/>
      <c r="ALA1514" s="879"/>
      <c r="ALB1514" s="879"/>
      <c r="ALC1514" s="879"/>
      <c r="ALD1514" s="879"/>
      <c r="ALE1514" s="879"/>
      <c r="ALF1514" s="879"/>
      <c r="ALG1514" s="879"/>
      <c r="ALH1514" s="879"/>
      <c r="ALI1514" s="879"/>
      <c r="ALJ1514" s="879"/>
      <c r="ALK1514" s="879"/>
      <c r="ALL1514" s="879"/>
      <c r="ALM1514" s="879"/>
      <c r="ALN1514" s="879"/>
      <c r="ALO1514" s="879"/>
      <c r="ALP1514" s="879"/>
      <c r="ALQ1514" s="879"/>
      <c r="ALR1514" s="879"/>
      <c r="ALS1514" s="879"/>
      <c r="ALT1514" s="879"/>
      <c r="ALU1514" s="879"/>
      <c r="ALV1514" s="879"/>
      <c r="ALW1514" s="879"/>
      <c r="ALX1514" s="879"/>
      <c r="ALY1514" s="879"/>
      <c r="ALZ1514" s="879"/>
      <c r="AMA1514" s="879"/>
      <c r="AMB1514" s="879"/>
      <c r="AMC1514" s="879"/>
      <c r="AMD1514" s="879"/>
      <c r="AME1514" s="879"/>
      <c r="AMF1514" s="879"/>
      <c r="AMG1514" s="879"/>
      <c r="AMH1514" s="879"/>
      <c r="AMI1514" s="879"/>
      <c r="AMJ1514" s="879"/>
      <c r="AMK1514" s="879"/>
      <c r="AML1514" s="879"/>
      <c r="AMM1514" s="879"/>
      <c r="AMN1514" s="879"/>
      <c r="AMO1514" s="879"/>
      <c r="AMP1514" s="879"/>
      <c r="AMQ1514" s="879"/>
      <c r="AMR1514" s="879"/>
      <c r="AMS1514" s="879"/>
      <c r="AMT1514" s="879"/>
      <c r="AMU1514" s="879"/>
      <c r="AMV1514" s="879"/>
      <c r="AMW1514" s="879"/>
      <c r="AMX1514" s="879"/>
      <c r="AMY1514" s="879"/>
      <c r="AMZ1514" s="879"/>
      <c r="ANA1514" s="879"/>
      <c r="ANB1514" s="879"/>
      <c r="ANC1514" s="879"/>
      <c r="AND1514" s="879"/>
      <c r="ANE1514" s="879"/>
      <c r="ANF1514" s="879"/>
      <c r="ANG1514" s="879"/>
      <c r="ANH1514" s="879"/>
      <c r="ANI1514" s="879"/>
      <c r="ANJ1514" s="879"/>
      <c r="ANK1514" s="879"/>
      <c r="ANL1514" s="879"/>
      <c r="ANM1514" s="879"/>
      <c r="ANN1514" s="879"/>
      <c r="ANO1514" s="879"/>
      <c r="ANP1514" s="879"/>
      <c r="ANQ1514" s="879"/>
      <c r="ANR1514" s="879"/>
      <c r="ANS1514" s="879"/>
      <c r="ANT1514" s="879"/>
      <c r="ANU1514" s="879"/>
      <c r="ANV1514" s="879"/>
      <c r="ANW1514" s="879"/>
      <c r="ANX1514" s="879"/>
      <c r="ANY1514" s="879"/>
      <c r="ANZ1514" s="879"/>
      <c r="AOA1514" s="879"/>
      <c r="AOB1514" s="879"/>
      <c r="AOC1514" s="879"/>
      <c r="AOD1514" s="879"/>
      <c r="AOE1514" s="879"/>
      <c r="AOF1514" s="879"/>
      <c r="AOG1514" s="879"/>
      <c r="AOH1514" s="879"/>
      <c r="AOI1514" s="879"/>
      <c r="AOJ1514" s="879"/>
      <c r="AOK1514" s="879"/>
      <c r="AOL1514" s="879"/>
      <c r="AOM1514" s="879"/>
      <c r="AON1514" s="879"/>
      <c r="AOO1514" s="879"/>
      <c r="AOP1514" s="879"/>
      <c r="AOQ1514" s="879"/>
      <c r="AOR1514" s="879"/>
      <c r="AOS1514" s="879"/>
      <c r="AOT1514" s="879"/>
      <c r="AOU1514" s="879"/>
      <c r="AOV1514" s="879"/>
      <c r="AOW1514" s="879"/>
      <c r="AOX1514" s="879"/>
      <c r="AOY1514" s="879"/>
      <c r="AOZ1514" s="879"/>
      <c r="APA1514" s="879"/>
      <c r="APB1514" s="879"/>
      <c r="APC1514" s="879"/>
      <c r="APD1514" s="879"/>
      <c r="APE1514" s="879"/>
      <c r="APF1514" s="879"/>
      <c r="APG1514" s="879"/>
      <c r="APH1514" s="879"/>
      <c r="API1514" s="879"/>
      <c r="APJ1514" s="879"/>
      <c r="APK1514" s="879"/>
      <c r="APL1514" s="879"/>
      <c r="APM1514" s="879"/>
      <c r="APN1514" s="879"/>
      <c r="APO1514" s="879"/>
      <c r="APP1514" s="879"/>
      <c r="APQ1514" s="879"/>
      <c r="APR1514" s="879"/>
      <c r="APS1514" s="879"/>
      <c r="APT1514" s="879"/>
      <c r="APU1514" s="879"/>
      <c r="APV1514" s="879"/>
      <c r="APW1514" s="879"/>
      <c r="APX1514" s="879"/>
      <c r="APY1514" s="879"/>
      <c r="APZ1514" s="879"/>
      <c r="AQA1514" s="879"/>
      <c r="AQB1514" s="879"/>
      <c r="AQC1514" s="879"/>
      <c r="AQD1514" s="879"/>
      <c r="AQE1514" s="879"/>
      <c r="AQF1514" s="879"/>
      <c r="AQG1514" s="879"/>
      <c r="AQH1514" s="879"/>
      <c r="AQI1514" s="879"/>
      <c r="AQJ1514" s="879"/>
      <c r="AQK1514" s="879"/>
      <c r="AQL1514" s="879"/>
      <c r="AQM1514" s="879"/>
      <c r="AQN1514" s="879"/>
      <c r="AQO1514" s="879"/>
      <c r="AQP1514" s="879"/>
      <c r="AQQ1514" s="879"/>
      <c r="AQR1514" s="879"/>
      <c r="AQS1514" s="879"/>
      <c r="AQT1514" s="879"/>
      <c r="AQU1514" s="879"/>
      <c r="AQV1514" s="879"/>
      <c r="AQW1514" s="879"/>
      <c r="AQX1514" s="879"/>
      <c r="AQY1514" s="879"/>
      <c r="AQZ1514" s="879"/>
      <c r="ARA1514" s="879"/>
      <c r="ARB1514" s="879"/>
      <c r="ARC1514" s="879"/>
      <c r="ARD1514" s="879"/>
      <c r="ARE1514" s="879"/>
      <c r="ARF1514" s="879"/>
      <c r="ARG1514" s="879"/>
      <c r="ARH1514" s="879"/>
      <c r="ARI1514" s="879"/>
      <c r="ARJ1514" s="879"/>
      <c r="ARK1514" s="879"/>
      <c r="ARL1514" s="879"/>
      <c r="ARM1514" s="879"/>
      <c r="ARN1514" s="879"/>
      <c r="ARO1514" s="879"/>
      <c r="ARP1514" s="879"/>
      <c r="ARQ1514" s="879"/>
      <c r="ARR1514" s="879"/>
      <c r="ARS1514" s="879"/>
      <c r="ART1514" s="879"/>
      <c r="ARU1514" s="879"/>
      <c r="ARV1514" s="879"/>
      <c r="ARW1514" s="879"/>
      <c r="ARX1514" s="879"/>
      <c r="ARY1514" s="879"/>
      <c r="ARZ1514" s="879"/>
      <c r="ASA1514" s="879"/>
      <c r="ASB1514" s="879"/>
      <c r="ASC1514" s="879"/>
      <c r="ASD1514" s="879"/>
      <c r="ASE1514" s="879"/>
      <c r="ASF1514" s="879"/>
      <c r="ASG1514" s="879"/>
      <c r="ASH1514" s="879"/>
      <c r="ASI1514" s="879"/>
      <c r="ASJ1514" s="879"/>
      <c r="ASK1514" s="879"/>
      <c r="ASL1514" s="879"/>
      <c r="ASM1514" s="879"/>
      <c r="ASN1514" s="879"/>
      <c r="ASO1514" s="879"/>
      <c r="ASP1514" s="879"/>
      <c r="ASQ1514" s="879"/>
      <c r="ASR1514" s="879"/>
      <c r="ASS1514" s="879"/>
      <c r="AST1514" s="879"/>
      <c r="ASU1514" s="879"/>
      <c r="ASV1514" s="879"/>
      <c r="ASW1514" s="879"/>
      <c r="ASX1514" s="879"/>
      <c r="ASY1514" s="879"/>
      <c r="ASZ1514" s="879"/>
      <c r="ATA1514" s="879"/>
      <c r="ATB1514" s="879"/>
      <c r="ATC1514" s="879"/>
      <c r="ATD1514" s="879"/>
      <c r="ATE1514" s="879"/>
      <c r="ATF1514" s="879"/>
      <c r="ATG1514" s="879"/>
      <c r="ATH1514" s="879"/>
      <c r="ATI1514" s="879"/>
      <c r="ATJ1514" s="879"/>
      <c r="ATK1514" s="879"/>
      <c r="ATL1514" s="879"/>
      <c r="ATM1514" s="879"/>
      <c r="ATN1514" s="879"/>
      <c r="ATO1514" s="879"/>
      <c r="ATP1514" s="879"/>
      <c r="ATQ1514" s="879"/>
      <c r="ATR1514" s="879"/>
      <c r="ATS1514" s="879"/>
      <c r="ATT1514" s="879"/>
      <c r="ATU1514" s="879"/>
      <c r="ATV1514" s="879"/>
      <c r="ATW1514" s="879"/>
      <c r="ATX1514" s="879"/>
      <c r="ATY1514" s="879"/>
      <c r="ATZ1514" s="879"/>
      <c r="AUA1514" s="879"/>
      <c r="AUB1514" s="879"/>
      <c r="AUC1514" s="879"/>
      <c r="AUD1514" s="879"/>
      <c r="AUE1514" s="879"/>
      <c r="AUF1514" s="879"/>
      <c r="AUG1514" s="879"/>
      <c r="AUH1514" s="879"/>
      <c r="AUI1514" s="879"/>
      <c r="AUJ1514" s="879"/>
      <c r="AUK1514" s="879"/>
      <c r="AUL1514" s="879"/>
      <c r="AUM1514" s="879"/>
      <c r="AUN1514" s="879"/>
      <c r="AUO1514" s="879"/>
      <c r="AUP1514" s="879"/>
      <c r="AUQ1514" s="879"/>
      <c r="AUR1514" s="879"/>
      <c r="AUS1514" s="879"/>
      <c r="AUT1514" s="879"/>
      <c r="AUU1514" s="879"/>
      <c r="AUV1514" s="879"/>
      <c r="AUW1514" s="879"/>
      <c r="AUX1514" s="879"/>
      <c r="AUY1514" s="879"/>
      <c r="AUZ1514" s="879"/>
      <c r="AVA1514" s="879"/>
      <c r="AVB1514" s="879"/>
      <c r="AVC1514" s="879"/>
      <c r="AVD1514" s="879"/>
      <c r="AVE1514" s="879"/>
      <c r="AVF1514" s="879"/>
      <c r="AVG1514" s="879"/>
      <c r="AVH1514" s="879"/>
      <c r="AVI1514" s="879"/>
      <c r="AVJ1514" s="879"/>
      <c r="AVK1514" s="879"/>
      <c r="AVL1514" s="879"/>
      <c r="AVM1514" s="879"/>
      <c r="AVN1514" s="879"/>
      <c r="AVO1514" s="879"/>
      <c r="AVP1514" s="879"/>
      <c r="AVQ1514" s="879"/>
      <c r="AVR1514" s="879"/>
      <c r="AVS1514" s="879"/>
      <c r="AVT1514" s="879"/>
      <c r="AVU1514" s="879"/>
      <c r="AVV1514" s="879"/>
      <c r="AVW1514" s="879"/>
      <c r="AVX1514" s="879"/>
      <c r="AVY1514" s="879"/>
      <c r="AVZ1514" s="879"/>
      <c r="AWA1514" s="879"/>
      <c r="AWB1514" s="879"/>
      <c r="AWC1514" s="879"/>
      <c r="AWD1514" s="879"/>
      <c r="AWE1514" s="879"/>
      <c r="AWF1514" s="879"/>
      <c r="AWG1514" s="879"/>
      <c r="AWH1514" s="879"/>
      <c r="AWI1514" s="879"/>
      <c r="AWJ1514" s="879"/>
      <c r="AWK1514" s="879"/>
      <c r="AWL1514" s="879"/>
      <c r="AWM1514" s="879"/>
      <c r="AWN1514" s="879"/>
      <c r="AWO1514" s="879"/>
      <c r="AWP1514" s="879"/>
      <c r="AWQ1514" s="879"/>
      <c r="AWR1514" s="879"/>
      <c r="AWS1514" s="879"/>
      <c r="AWT1514" s="879"/>
      <c r="AWU1514" s="879"/>
      <c r="AWV1514" s="879"/>
      <c r="AWW1514" s="879"/>
      <c r="AWX1514" s="879"/>
      <c r="AWY1514" s="879"/>
      <c r="AWZ1514" s="879"/>
      <c r="AXA1514" s="879"/>
      <c r="AXB1514" s="879"/>
      <c r="AXC1514" s="879"/>
      <c r="AXD1514" s="879"/>
      <c r="AXE1514" s="879"/>
      <c r="AXF1514" s="879"/>
      <c r="AXG1514" s="879"/>
      <c r="AXH1514" s="879"/>
      <c r="AXI1514" s="879"/>
      <c r="AXJ1514" s="879"/>
      <c r="AXK1514" s="879"/>
      <c r="AXL1514" s="879"/>
      <c r="AXM1514" s="879"/>
      <c r="AXN1514" s="879"/>
      <c r="AXO1514" s="879"/>
      <c r="AXP1514" s="879"/>
      <c r="AXQ1514" s="879"/>
      <c r="AXR1514" s="879"/>
      <c r="AXS1514" s="879"/>
      <c r="AXT1514" s="879"/>
      <c r="AXU1514" s="879"/>
      <c r="AXV1514" s="879"/>
      <c r="AXW1514" s="879"/>
      <c r="AXX1514" s="879"/>
      <c r="AXY1514" s="879"/>
      <c r="AXZ1514" s="879"/>
      <c r="AYA1514" s="879"/>
      <c r="AYB1514" s="879"/>
      <c r="AYC1514" s="879"/>
      <c r="AYD1514" s="879"/>
      <c r="AYE1514" s="879"/>
      <c r="AYF1514" s="879"/>
      <c r="AYG1514" s="879"/>
      <c r="AYH1514" s="879"/>
      <c r="AYI1514" s="879"/>
      <c r="AYJ1514" s="879"/>
      <c r="AYK1514" s="879"/>
      <c r="AYL1514" s="879"/>
      <c r="AYM1514" s="879"/>
      <c r="AYN1514" s="879"/>
      <c r="AYO1514" s="879"/>
      <c r="AYP1514" s="879"/>
      <c r="AYQ1514" s="879"/>
      <c r="AYR1514" s="879"/>
      <c r="AYS1514" s="879"/>
      <c r="AYT1514" s="879"/>
      <c r="AYU1514" s="879"/>
      <c r="AYV1514" s="879"/>
      <c r="AYW1514" s="879"/>
      <c r="AYX1514" s="879"/>
      <c r="AYY1514" s="879"/>
      <c r="AYZ1514" s="879"/>
      <c r="AZA1514" s="879"/>
      <c r="AZB1514" s="879"/>
      <c r="AZC1514" s="879"/>
      <c r="AZD1514" s="879"/>
      <c r="AZE1514" s="879"/>
      <c r="AZF1514" s="879"/>
      <c r="AZG1514" s="879"/>
      <c r="AZH1514" s="879"/>
      <c r="AZI1514" s="879"/>
      <c r="AZJ1514" s="879"/>
      <c r="AZK1514" s="879"/>
      <c r="AZL1514" s="879"/>
      <c r="AZM1514" s="879"/>
      <c r="AZN1514" s="879"/>
      <c r="AZO1514" s="879"/>
      <c r="AZP1514" s="879"/>
      <c r="AZQ1514" s="879"/>
      <c r="AZR1514" s="879"/>
      <c r="AZS1514" s="879"/>
      <c r="AZT1514" s="879"/>
      <c r="AZU1514" s="879"/>
      <c r="AZV1514" s="879"/>
      <c r="AZW1514" s="879"/>
      <c r="AZX1514" s="879"/>
      <c r="AZY1514" s="879"/>
      <c r="AZZ1514" s="879"/>
      <c r="BAA1514" s="879"/>
      <c r="BAB1514" s="879"/>
      <c r="BAC1514" s="879"/>
      <c r="BAD1514" s="879"/>
      <c r="BAE1514" s="879"/>
      <c r="BAF1514" s="879"/>
      <c r="BAG1514" s="879"/>
      <c r="BAH1514" s="879"/>
      <c r="BAI1514" s="879"/>
      <c r="BAJ1514" s="879"/>
      <c r="BAK1514" s="879"/>
      <c r="BAL1514" s="879"/>
      <c r="BAM1514" s="879"/>
      <c r="BAN1514" s="879"/>
      <c r="BAO1514" s="879"/>
      <c r="BAP1514" s="879"/>
      <c r="BAQ1514" s="879"/>
      <c r="BAR1514" s="879"/>
      <c r="BAS1514" s="879"/>
      <c r="BAT1514" s="879"/>
      <c r="BAU1514" s="879"/>
      <c r="BAV1514" s="879"/>
      <c r="BAW1514" s="879"/>
      <c r="BAX1514" s="879"/>
      <c r="BAY1514" s="879"/>
      <c r="BAZ1514" s="879"/>
      <c r="BBA1514" s="879"/>
      <c r="BBB1514" s="879"/>
      <c r="BBC1514" s="879"/>
      <c r="BBD1514" s="879"/>
      <c r="BBE1514" s="879"/>
      <c r="BBF1514" s="879"/>
      <c r="BBG1514" s="879"/>
      <c r="BBH1514" s="879"/>
      <c r="BBI1514" s="879"/>
      <c r="BBJ1514" s="879"/>
      <c r="BBK1514" s="879"/>
      <c r="BBL1514" s="879"/>
      <c r="BBM1514" s="879"/>
      <c r="BBN1514" s="879"/>
      <c r="BBO1514" s="879"/>
      <c r="BBP1514" s="879"/>
      <c r="BBQ1514" s="879"/>
      <c r="BBR1514" s="879"/>
      <c r="BBS1514" s="879"/>
      <c r="BBT1514" s="879"/>
      <c r="BBU1514" s="879"/>
      <c r="BBV1514" s="879"/>
      <c r="BBW1514" s="879"/>
      <c r="BBX1514" s="879"/>
      <c r="BBY1514" s="879"/>
      <c r="BBZ1514" s="879"/>
      <c r="BCA1514" s="879"/>
      <c r="BCB1514" s="879"/>
      <c r="BCC1514" s="879"/>
      <c r="BCD1514" s="879"/>
      <c r="BCE1514" s="879"/>
      <c r="BCF1514" s="879"/>
      <c r="BCG1514" s="879"/>
      <c r="BCH1514" s="879"/>
      <c r="BCI1514" s="879"/>
      <c r="BCJ1514" s="879"/>
      <c r="BCK1514" s="879"/>
      <c r="BCL1514" s="879"/>
      <c r="BCM1514" s="879"/>
      <c r="BCN1514" s="879"/>
      <c r="BCO1514" s="879"/>
      <c r="BCP1514" s="879"/>
      <c r="BCQ1514" s="879"/>
      <c r="BCR1514" s="879"/>
      <c r="BCS1514" s="879"/>
      <c r="BCT1514" s="879"/>
      <c r="BCU1514" s="879"/>
      <c r="BCV1514" s="879"/>
      <c r="BCW1514" s="879"/>
      <c r="BCX1514" s="879"/>
      <c r="BCY1514" s="879"/>
      <c r="BCZ1514" s="879"/>
      <c r="BDA1514" s="879"/>
      <c r="BDB1514" s="879"/>
      <c r="BDC1514" s="879"/>
      <c r="BDD1514" s="879"/>
      <c r="BDE1514" s="879"/>
      <c r="BDF1514" s="879"/>
      <c r="BDG1514" s="879"/>
      <c r="BDH1514" s="879"/>
      <c r="BDI1514" s="879"/>
      <c r="BDJ1514" s="879"/>
      <c r="BDK1514" s="879"/>
      <c r="BDL1514" s="879"/>
      <c r="BDM1514" s="879"/>
      <c r="BDN1514" s="879"/>
      <c r="BDO1514" s="879"/>
      <c r="BDP1514" s="879"/>
      <c r="BDQ1514" s="879"/>
      <c r="BDR1514" s="879"/>
      <c r="BDS1514" s="879"/>
      <c r="BDT1514" s="879"/>
      <c r="BDU1514" s="879"/>
      <c r="BDV1514" s="879"/>
      <c r="BDW1514" s="879"/>
      <c r="BDX1514" s="879"/>
      <c r="BDY1514" s="879"/>
      <c r="BDZ1514" s="879"/>
      <c r="BEA1514" s="879"/>
      <c r="BEB1514" s="879"/>
      <c r="BEC1514" s="879"/>
      <c r="BED1514" s="879"/>
      <c r="BEE1514" s="879"/>
      <c r="BEF1514" s="879"/>
      <c r="BEG1514" s="879"/>
      <c r="BEH1514" s="879"/>
      <c r="BEI1514" s="879"/>
      <c r="BEJ1514" s="879"/>
      <c r="BEK1514" s="879"/>
      <c r="BEL1514" s="879"/>
      <c r="BEM1514" s="879"/>
      <c r="BEN1514" s="879"/>
      <c r="BEO1514" s="879"/>
      <c r="BEP1514" s="879"/>
      <c r="BEQ1514" s="879"/>
      <c r="BER1514" s="879"/>
      <c r="BES1514" s="879"/>
      <c r="BET1514" s="879"/>
      <c r="BEU1514" s="879"/>
      <c r="BEV1514" s="879"/>
      <c r="BEW1514" s="879"/>
      <c r="BEX1514" s="879"/>
      <c r="BEY1514" s="879"/>
      <c r="BEZ1514" s="879"/>
      <c r="BFA1514" s="879"/>
      <c r="BFB1514" s="879"/>
      <c r="BFC1514" s="879"/>
      <c r="BFD1514" s="879"/>
      <c r="BFE1514" s="879"/>
      <c r="BFF1514" s="879"/>
      <c r="BFG1514" s="879"/>
      <c r="BFH1514" s="879"/>
      <c r="BFI1514" s="879"/>
      <c r="BFJ1514" s="879"/>
      <c r="BFK1514" s="879"/>
      <c r="BFL1514" s="879"/>
      <c r="BFM1514" s="879"/>
      <c r="BFN1514" s="879"/>
      <c r="BFO1514" s="879"/>
      <c r="BFP1514" s="879"/>
      <c r="BFQ1514" s="879"/>
      <c r="BFR1514" s="879"/>
      <c r="BFS1514" s="879"/>
      <c r="BFT1514" s="879"/>
      <c r="BFU1514" s="879"/>
      <c r="BFV1514" s="879"/>
      <c r="BFW1514" s="879"/>
      <c r="BFX1514" s="879"/>
      <c r="BFY1514" s="879"/>
      <c r="BFZ1514" s="879"/>
      <c r="BGA1514" s="879"/>
      <c r="BGB1514" s="879"/>
      <c r="BGC1514" s="879"/>
      <c r="BGD1514" s="879"/>
      <c r="BGE1514" s="879"/>
      <c r="BGF1514" s="879"/>
      <c r="BGG1514" s="879"/>
      <c r="BGH1514" s="879"/>
      <c r="BGI1514" s="879"/>
      <c r="BGJ1514" s="879"/>
      <c r="BGK1514" s="879"/>
      <c r="BGL1514" s="879"/>
      <c r="BGM1514" s="879"/>
      <c r="BGN1514" s="879"/>
      <c r="BGO1514" s="879"/>
      <c r="BGP1514" s="879"/>
      <c r="BGQ1514" s="879"/>
      <c r="BGR1514" s="879"/>
      <c r="BGS1514" s="879"/>
      <c r="BGT1514" s="879"/>
      <c r="BGU1514" s="879"/>
      <c r="BGV1514" s="879"/>
      <c r="BGW1514" s="879"/>
      <c r="BGX1514" s="879"/>
      <c r="BGY1514" s="879"/>
      <c r="BGZ1514" s="879"/>
      <c r="BHA1514" s="879"/>
      <c r="BHB1514" s="879"/>
      <c r="BHC1514" s="879"/>
      <c r="BHD1514" s="879"/>
      <c r="BHE1514" s="879"/>
      <c r="BHF1514" s="879"/>
      <c r="BHG1514" s="879"/>
      <c r="BHH1514" s="879"/>
      <c r="BHI1514" s="879"/>
      <c r="BHJ1514" s="879"/>
      <c r="BHK1514" s="879"/>
      <c r="BHL1514" s="879"/>
      <c r="BHM1514" s="879"/>
      <c r="BHN1514" s="879"/>
      <c r="BHO1514" s="879"/>
      <c r="BHP1514" s="879"/>
      <c r="BHQ1514" s="879"/>
      <c r="BHR1514" s="879"/>
      <c r="BHS1514" s="879"/>
      <c r="BHT1514" s="879"/>
      <c r="BHU1514" s="879"/>
      <c r="BHV1514" s="879"/>
      <c r="BHW1514" s="879"/>
      <c r="BHX1514" s="879"/>
      <c r="BHY1514" s="879"/>
      <c r="BHZ1514" s="879"/>
      <c r="BIA1514" s="879"/>
      <c r="BIB1514" s="879"/>
      <c r="BIC1514" s="879"/>
      <c r="BID1514" s="879"/>
      <c r="BIE1514" s="879"/>
      <c r="BIF1514" s="879"/>
      <c r="BIG1514" s="879"/>
      <c r="BIH1514" s="879"/>
      <c r="BII1514" s="879"/>
      <c r="BIJ1514" s="879"/>
      <c r="BIK1514" s="879"/>
      <c r="BIL1514" s="879"/>
      <c r="BIM1514" s="879"/>
      <c r="BIN1514" s="879"/>
      <c r="BIO1514" s="879"/>
      <c r="BIP1514" s="879"/>
      <c r="BIQ1514" s="879"/>
      <c r="BIR1514" s="879"/>
      <c r="BIS1514" s="879"/>
      <c r="BIT1514" s="879"/>
      <c r="BIU1514" s="879"/>
      <c r="BIV1514" s="879"/>
      <c r="BIW1514" s="879"/>
      <c r="BIX1514" s="879"/>
      <c r="BIY1514" s="879"/>
      <c r="BIZ1514" s="879"/>
      <c r="BJA1514" s="879"/>
      <c r="BJB1514" s="879"/>
      <c r="BJC1514" s="879"/>
      <c r="BJD1514" s="879"/>
      <c r="BJE1514" s="879"/>
      <c r="BJF1514" s="879"/>
      <c r="BJG1514" s="879"/>
      <c r="BJH1514" s="879"/>
      <c r="BJI1514" s="879"/>
      <c r="BJJ1514" s="879"/>
      <c r="BJK1514" s="879"/>
      <c r="BJL1514" s="879"/>
      <c r="BJM1514" s="879"/>
      <c r="BJN1514" s="879"/>
      <c r="BJO1514" s="879"/>
      <c r="BJP1514" s="879"/>
      <c r="BJQ1514" s="879"/>
      <c r="BJR1514" s="879"/>
      <c r="BJS1514" s="879"/>
      <c r="BJT1514" s="879"/>
      <c r="BJU1514" s="879"/>
      <c r="BJV1514" s="879"/>
      <c r="BJW1514" s="879"/>
      <c r="BJX1514" s="879"/>
      <c r="BJY1514" s="879"/>
      <c r="BJZ1514" s="879"/>
      <c r="BKA1514" s="879"/>
      <c r="BKB1514" s="879"/>
      <c r="BKC1514" s="879"/>
      <c r="BKD1514" s="879"/>
      <c r="BKE1514" s="879"/>
      <c r="BKF1514" s="879"/>
      <c r="BKG1514" s="879"/>
      <c r="BKH1514" s="879"/>
      <c r="BKI1514" s="879"/>
      <c r="BKJ1514" s="879"/>
      <c r="BKK1514" s="879"/>
      <c r="BKL1514" s="879"/>
      <c r="BKM1514" s="879"/>
      <c r="BKN1514" s="879"/>
      <c r="BKO1514" s="879"/>
      <c r="BKP1514" s="879"/>
      <c r="BKQ1514" s="879"/>
      <c r="BKR1514" s="879"/>
      <c r="BKS1514" s="879"/>
      <c r="BKT1514" s="879"/>
      <c r="BKU1514" s="879"/>
      <c r="BKV1514" s="879"/>
      <c r="BKW1514" s="879"/>
      <c r="BKX1514" s="879"/>
      <c r="BKY1514" s="879"/>
      <c r="BKZ1514" s="879"/>
      <c r="BLA1514" s="879"/>
      <c r="BLB1514" s="879"/>
      <c r="BLC1514" s="879"/>
      <c r="BLD1514" s="879"/>
      <c r="BLE1514" s="879"/>
      <c r="BLF1514" s="879"/>
      <c r="BLG1514" s="879"/>
      <c r="BLH1514" s="879"/>
      <c r="BLI1514" s="879"/>
      <c r="BLJ1514" s="879"/>
      <c r="BLK1514" s="879"/>
      <c r="BLL1514" s="879"/>
      <c r="BLM1514" s="879"/>
      <c r="BLN1514" s="879"/>
      <c r="BLO1514" s="879"/>
      <c r="BLP1514" s="879"/>
      <c r="BLQ1514" s="879"/>
      <c r="BLR1514" s="879"/>
      <c r="BLS1514" s="879"/>
      <c r="BLT1514" s="879"/>
      <c r="BLU1514" s="879"/>
      <c r="BLV1514" s="879"/>
      <c r="BLW1514" s="879"/>
      <c r="BLX1514" s="879"/>
      <c r="BLY1514" s="879"/>
      <c r="BLZ1514" s="879"/>
      <c r="BMA1514" s="879"/>
      <c r="BMB1514" s="879"/>
      <c r="BMC1514" s="879"/>
      <c r="BMD1514" s="879"/>
      <c r="BME1514" s="879"/>
      <c r="BMF1514" s="879"/>
      <c r="BMG1514" s="879"/>
      <c r="BMH1514" s="879"/>
      <c r="BMI1514" s="879"/>
      <c r="BMJ1514" s="879"/>
      <c r="BMK1514" s="879"/>
      <c r="BML1514" s="879"/>
      <c r="BMM1514" s="879"/>
      <c r="BMN1514" s="879"/>
      <c r="BMO1514" s="879"/>
      <c r="BMP1514" s="879"/>
      <c r="BMQ1514" s="879"/>
      <c r="BMR1514" s="879"/>
      <c r="BMS1514" s="879"/>
      <c r="BMT1514" s="879"/>
      <c r="BMU1514" s="879"/>
      <c r="BMV1514" s="879"/>
      <c r="BMW1514" s="879"/>
      <c r="BMX1514" s="879"/>
      <c r="BMY1514" s="879"/>
      <c r="BMZ1514" s="879"/>
      <c r="BNA1514" s="879"/>
      <c r="BNB1514" s="879"/>
      <c r="BNC1514" s="879"/>
      <c r="BND1514" s="879"/>
      <c r="BNE1514" s="879"/>
      <c r="BNF1514" s="879"/>
      <c r="BNG1514" s="879"/>
      <c r="BNH1514" s="879"/>
      <c r="BNI1514" s="879"/>
      <c r="BNJ1514" s="879"/>
      <c r="BNK1514" s="879"/>
      <c r="BNL1514" s="879"/>
      <c r="BNM1514" s="879"/>
      <c r="BNN1514" s="879"/>
      <c r="BNO1514" s="879"/>
      <c r="BNP1514" s="879"/>
      <c r="BNQ1514" s="879"/>
      <c r="BNR1514" s="879"/>
      <c r="BNS1514" s="879"/>
      <c r="BNT1514" s="879"/>
      <c r="BNU1514" s="879"/>
      <c r="BNV1514" s="879"/>
      <c r="BNW1514" s="879"/>
      <c r="BNX1514" s="879"/>
      <c r="BNY1514" s="879"/>
      <c r="BNZ1514" s="879"/>
      <c r="BOA1514" s="879"/>
      <c r="BOB1514" s="879"/>
      <c r="BOC1514" s="879"/>
      <c r="BOD1514" s="879"/>
      <c r="BOE1514" s="879"/>
      <c r="BOF1514" s="879"/>
      <c r="BOG1514" s="879"/>
      <c r="BOH1514" s="879"/>
      <c r="BOI1514" s="879"/>
      <c r="BOJ1514" s="879"/>
      <c r="BOK1514" s="879"/>
      <c r="BOL1514" s="879"/>
      <c r="BOM1514" s="879"/>
      <c r="BON1514" s="879"/>
      <c r="BOO1514" s="879"/>
      <c r="BOP1514" s="879"/>
      <c r="BOQ1514" s="879"/>
      <c r="BOR1514" s="879"/>
      <c r="BOS1514" s="879"/>
      <c r="BOT1514" s="879"/>
      <c r="BOU1514" s="879"/>
      <c r="BOV1514" s="879"/>
      <c r="BOW1514" s="879"/>
      <c r="BOX1514" s="879"/>
      <c r="BOY1514" s="879"/>
      <c r="BOZ1514" s="879"/>
      <c r="BPA1514" s="879"/>
      <c r="BPB1514" s="879"/>
      <c r="BPC1514" s="879"/>
      <c r="BPD1514" s="879"/>
      <c r="BPE1514" s="879"/>
      <c r="BPF1514" s="879"/>
      <c r="BPG1514" s="879"/>
      <c r="BPH1514" s="879"/>
      <c r="BPI1514" s="879"/>
      <c r="BPJ1514" s="879"/>
      <c r="BPK1514" s="879"/>
      <c r="BPL1514" s="879"/>
      <c r="BPM1514" s="879"/>
      <c r="BPN1514" s="879"/>
      <c r="BPO1514" s="879"/>
      <c r="BPP1514" s="879"/>
      <c r="BPQ1514" s="879"/>
      <c r="BPR1514" s="879"/>
      <c r="BPS1514" s="879"/>
      <c r="BPT1514" s="879"/>
      <c r="BPU1514" s="879"/>
      <c r="BPV1514" s="879"/>
      <c r="BPW1514" s="879"/>
      <c r="BPX1514" s="879"/>
      <c r="BPY1514" s="879"/>
      <c r="BPZ1514" s="879"/>
      <c r="BQA1514" s="879"/>
      <c r="BQB1514" s="879"/>
      <c r="BQC1514" s="879"/>
      <c r="BQD1514" s="879"/>
      <c r="BQE1514" s="879"/>
      <c r="BQF1514" s="879"/>
      <c r="BQG1514" s="879"/>
      <c r="BQH1514" s="879"/>
      <c r="BQI1514" s="879"/>
      <c r="BQJ1514" s="879"/>
      <c r="BQK1514" s="879"/>
      <c r="BQL1514" s="879"/>
      <c r="BQM1514" s="879"/>
      <c r="BQN1514" s="879"/>
      <c r="BQO1514" s="879"/>
      <c r="BQP1514" s="879"/>
      <c r="BQQ1514" s="879"/>
      <c r="BQR1514" s="879"/>
      <c r="BQS1514" s="879"/>
      <c r="BQT1514" s="879"/>
      <c r="BQU1514" s="879"/>
      <c r="BQV1514" s="879"/>
      <c r="BQW1514" s="879"/>
      <c r="BQX1514" s="879"/>
      <c r="BQY1514" s="879"/>
      <c r="BQZ1514" s="879"/>
      <c r="BRA1514" s="879"/>
      <c r="BRB1514" s="879"/>
      <c r="BRC1514" s="879"/>
      <c r="BRD1514" s="879"/>
      <c r="BRE1514" s="879"/>
      <c r="BRF1514" s="879"/>
      <c r="BRG1514" s="879"/>
      <c r="BRH1514" s="879"/>
      <c r="BRI1514" s="879"/>
      <c r="BRJ1514" s="879"/>
      <c r="BRK1514" s="879"/>
      <c r="BRL1514" s="879"/>
      <c r="BRM1514" s="879"/>
      <c r="BRN1514" s="879"/>
      <c r="BRO1514" s="879"/>
      <c r="BRP1514" s="879"/>
      <c r="BRQ1514" s="879"/>
      <c r="BRR1514" s="879"/>
      <c r="BRS1514" s="879"/>
      <c r="BRT1514" s="879"/>
      <c r="BRU1514" s="879"/>
      <c r="BRV1514" s="879"/>
      <c r="BRW1514" s="879"/>
      <c r="BRX1514" s="879"/>
      <c r="BRY1514" s="879"/>
      <c r="BRZ1514" s="879"/>
      <c r="BSA1514" s="879"/>
      <c r="BSB1514" s="879"/>
      <c r="BSC1514" s="879"/>
      <c r="BSD1514" s="879"/>
      <c r="BSE1514" s="879"/>
      <c r="BSF1514" s="879"/>
      <c r="BSG1514" s="879"/>
      <c r="BSH1514" s="879"/>
      <c r="BSI1514" s="879"/>
      <c r="BSJ1514" s="879"/>
      <c r="BSK1514" s="879"/>
      <c r="BSL1514" s="879"/>
      <c r="BSM1514" s="879"/>
      <c r="BSN1514" s="879"/>
      <c r="BSO1514" s="879"/>
      <c r="BSP1514" s="879"/>
      <c r="BSQ1514" s="879"/>
      <c r="BSR1514" s="879"/>
      <c r="BSS1514" s="879"/>
      <c r="BST1514" s="879"/>
      <c r="BSU1514" s="879"/>
      <c r="BSV1514" s="879"/>
      <c r="BSW1514" s="879"/>
      <c r="BSX1514" s="879"/>
      <c r="BSY1514" s="879"/>
      <c r="BSZ1514" s="879"/>
      <c r="BTA1514" s="879"/>
      <c r="BTB1514" s="879"/>
      <c r="BTC1514" s="879"/>
      <c r="BTD1514" s="879"/>
      <c r="BTE1514" s="879"/>
      <c r="BTF1514" s="879"/>
      <c r="BTG1514" s="879"/>
      <c r="BTH1514" s="879"/>
      <c r="BTI1514" s="879"/>
      <c r="BTJ1514" s="879"/>
      <c r="BTK1514" s="879"/>
      <c r="BTL1514" s="879"/>
      <c r="BTM1514" s="879"/>
      <c r="BTN1514" s="879"/>
      <c r="BTO1514" s="879"/>
      <c r="BTP1514" s="879"/>
      <c r="BTQ1514" s="879"/>
      <c r="BTR1514" s="879"/>
      <c r="BTS1514" s="879"/>
      <c r="BTT1514" s="879"/>
      <c r="BTU1514" s="879"/>
      <c r="BTV1514" s="879"/>
      <c r="BTW1514" s="879"/>
      <c r="BTX1514" s="879"/>
      <c r="BTY1514" s="879"/>
      <c r="BTZ1514" s="879"/>
      <c r="BUA1514" s="879"/>
      <c r="BUB1514" s="879"/>
      <c r="BUC1514" s="879"/>
      <c r="BUD1514" s="879"/>
      <c r="BUE1514" s="879"/>
      <c r="BUF1514" s="879"/>
      <c r="BUG1514" s="879"/>
      <c r="BUH1514" s="879"/>
      <c r="BUI1514" s="879"/>
      <c r="BUJ1514" s="879"/>
      <c r="BUK1514" s="879"/>
      <c r="BUL1514" s="879"/>
      <c r="BUM1514" s="879"/>
      <c r="BUN1514" s="879"/>
      <c r="BUO1514" s="879"/>
      <c r="BUP1514" s="879"/>
      <c r="BUQ1514" s="879"/>
      <c r="BUR1514" s="879"/>
      <c r="BUS1514" s="879"/>
      <c r="BUT1514" s="879"/>
      <c r="BUU1514" s="879"/>
      <c r="BUV1514" s="879"/>
      <c r="BUW1514" s="879"/>
      <c r="BUX1514" s="879"/>
      <c r="BUY1514" s="879"/>
      <c r="BUZ1514" s="879"/>
      <c r="BVA1514" s="879"/>
      <c r="BVB1514" s="879"/>
      <c r="BVC1514" s="879"/>
      <c r="BVD1514" s="879"/>
      <c r="BVE1514" s="879"/>
      <c r="BVF1514" s="879"/>
      <c r="BVG1514" s="879"/>
      <c r="BVH1514" s="879"/>
      <c r="BVI1514" s="879"/>
      <c r="BVJ1514" s="879"/>
      <c r="BVK1514" s="879"/>
      <c r="BVL1514" s="879"/>
      <c r="BVM1514" s="879"/>
      <c r="BVN1514" s="879"/>
      <c r="BVO1514" s="879"/>
      <c r="BVP1514" s="879"/>
      <c r="BVQ1514" s="879"/>
      <c r="BVR1514" s="879"/>
      <c r="BVS1514" s="879"/>
      <c r="BVT1514" s="879"/>
      <c r="BVU1514" s="879"/>
      <c r="BVV1514" s="879"/>
      <c r="BVW1514" s="879"/>
      <c r="BVX1514" s="879"/>
      <c r="BVY1514" s="879"/>
      <c r="BVZ1514" s="879"/>
      <c r="BWA1514" s="879"/>
      <c r="BWB1514" s="879"/>
      <c r="BWC1514" s="879"/>
      <c r="BWD1514" s="879"/>
      <c r="BWE1514" s="879"/>
      <c r="BWF1514" s="879"/>
      <c r="BWG1514" s="879"/>
      <c r="BWH1514" s="879"/>
      <c r="BWI1514" s="879"/>
      <c r="BWJ1514" s="879"/>
      <c r="BWK1514" s="879"/>
      <c r="BWL1514" s="879"/>
      <c r="BWM1514" s="879"/>
      <c r="BWN1514" s="879"/>
      <c r="BWO1514" s="879"/>
      <c r="BWP1514" s="879"/>
      <c r="BWQ1514" s="879"/>
      <c r="BWR1514" s="879"/>
      <c r="BWS1514" s="879"/>
      <c r="BWT1514" s="879"/>
      <c r="BWU1514" s="879"/>
      <c r="BWV1514" s="879"/>
      <c r="BWW1514" s="879"/>
      <c r="BWX1514" s="879"/>
      <c r="BWY1514" s="879"/>
      <c r="BWZ1514" s="879"/>
      <c r="BXA1514" s="879"/>
      <c r="BXB1514" s="879"/>
      <c r="BXC1514" s="879"/>
      <c r="BXD1514" s="879"/>
      <c r="BXE1514" s="879"/>
      <c r="BXF1514" s="879"/>
      <c r="BXG1514" s="879"/>
      <c r="BXH1514" s="879"/>
      <c r="BXI1514" s="879"/>
      <c r="BXJ1514" s="879"/>
      <c r="BXK1514" s="879"/>
      <c r="BXL1514" s="879"/>
      <c r="BXM1514" s="879"/>
      <c r="BXN1514" s="879"/>
      <c r="BXO1514" s="879"/>
      <c r="BXP1514" s="879"/>
      <c r="BXQ1514" s="879"/>
      <c r="BXR1514" s="879"/>
      <c r="BXS1514" s="879"/>
      <c r="BXT1514" s="879"/>
      <c r="BXU1514" s="879"/>
      <c r="BXV1514" s="879"/>
      <c r="BXW1514" s="879"/>
      <c r="BXX1514" s="879"/>
      <c r="BXY1514" s="879"/>
      <c r="BXZ1514" s="879"/>
      <c r="BYA1514" s="879"/>
      <c r="BYB1514" s="879"/>
      <c r="BYC1514" s="879"/>
      <c r="BYD1514" s="879"/>
      <c r="BYE1514" s="879"/>
      <c r="BYF1514" s="879"/>
      <c r="BYG1514" s="879"/>
      <c r="BYH1514" s="879"/>
      <c r="BYI1514" s="879"/>
      <c r="BYJ1514" s="879"/>
      <c r="BYK1514" s="879"/>
      <c r="BYL1514" s="879"/>
      <c r="BYM1514" s="879"/>
      <c r="BYN1514" s="879"/>
      <c r="BYO1514" s="879"/>
      <c r="BYP1514" s="879"/>
      <c r="BYQ1514" s="879"/>
      <c r="BYR1514" s="879"/>
      <c r="BYS1514" s="879"/>
      <c r="BYT1514" s="879"/>
      <c r="BYU1514" s="879"/>
      <c r="BYV1514" s="879"/>
      <c r="BYW1514" s="879"/>
      <c r="BYX1514" s="879"/>
      <c r="BYY1514" s="879"/>
      <c r="BYZ1514" s="879"/>
      <c r="BZA1514" s="879"/>
      <c r="BZB1514" s="879"/>
      <c r="BZC1514" s="879"/>
      <c r="BZD1514" s="879"/>
      <c r="BZE1514" s="879"/>
      <c r="BZF1514" s="879"/>
      <c r="BZG1514" s="879"/>
      <c r="BZH1514" s="879"/>
      <c r="BZI1514" s="879"/>
      <c r="BZJ1514" s="879"/>
      <c r="BZK1514" s="879"/>
      <c r="BZL1514" s="879"/>
      <c r="BZM1514" s="879"/>
      <c r="BZN1514" s="879"/>
      <c r="BZO1514" s="879"/>
      <c r="BZP1514" s="879"/>
      <c r="BZQ1514" s="879"/>
      <c r="BZR1514" s="879"/>
      <c r="BZS1514" s="879"/>
      <c r="BZT1514" s="879"/>
      <c r="BZU1514" s="879"/>
      <c r="BZV1514" s="879"/>
      <c r="BZW1514" s="879"/>
      <c r="BZX1514" s="879"/>
      <c r="BZY1514" s="879"/>
      <c r="BZZ1514" s="879"/>
      <c r="CAA1514" s="879"/>
      <c r="CAB1514" s="879"/>
      <c r="CAC1514" s="879"/>
      <c r="CAD1514" s="879"/>
      <c r="CAE1514" s="879"/>
      <c r="CAF1514" s="879"/>
      <c r="CAG1514" s="879"/>
      <c r="CAH1514" s="879"/>
      <c r="CAI1514" s="879"/>
      <c r="CAJ1514" s="879"/>
      <c r="CAK1514" s="879"/>
      <c r="CAL1514" s="879"/>
      <c r="CAM1514" s="879"/>
      <c r="CAN1514" s="879"/>
      <c r="CAO1514" s="879"/>
      <c r="CAP1514" s="879"/>
      <c r="CAQ1514" s="879"/>
      <c r="CAR1514" s="879"/>
      <c r="CAS1514" s="879"/>
      <c r="CAT1514" s="879"/>
      <c r="CAU1514" s="879"/>
      <c r="CAV1514" s="879"/>
      <c r="CAW1514" s="879"/>
      <c r="CAX1514" s="879"/>
      <c r="CAY1514" s="879"/>
      <c r="CAZ1514" s="879"/>
      <c r="CBA1514" s="879"/>
      <c r="CBB1514" s="879"/>
      <c r="CBC1514" s="879"/>
      <c r="CBD1514" s="879"/>
      <c r="CBE1514" s="879"/>
      <c r="CBF1514" s="879"/>
      <c r="CBG1514" s="879"/>
      <c r="CBH1514" s="879"/>
      <c r="CBI1514" s="879"/>
      <c r="CBJ1514" s="879"/>
      <c r="CBK1514" s="879"/>
      <c r="CBL1514" s="879"/>
      <c r="CBM1514" s="879"/>
      <c r="CBN1514" s="879"/>
      <c r="CBO1514" s="879"/>
      <c r="CBP1514" s="879"/>
      <c r="CBQ1514" s="879"/>
      <c r="CBR1514" s="879"/>
      <c r="CBS1514" s="879"/>
      <c r="CBT1514" s="879"/>
      <c r="CBU1514" s="879"/>
      <c r="CBV1514" s="879"/>
      <c r="CBW1514" s="879"/>
      <c r="CBX1514" s="879"/>
      <c r="CBY1514" s="879"/>
      <c r="CBZ1514" s="879"/>
      <c r="CCA1514" s="879"/>
      <c r="CCB1514" s="879"/>
      <c r="CCC1514" s="879"/>
      <c r="CCD1514" s="879"/>
      <c r="CCE1514" s="879"/>
      <c r="CCF1514" s="879"/>
      <c r="CCG1514" s="879"/>
      <c r="CCH1514" s="879"/>
      <c r="CCI1514" s="879"/>
      <c r="CCJ1514" s="879"/>
      <c r="CCK1514" s="879"/>
      <c r="CCL1514" s="879"/>
      <c r="CCM1514" s="879"/>
      <c r="CCN1514" s="879"/>
      <c r="CCO1514" s="879"/>
      <c r="CCP1514" s="879"/>
      <c r="CCQ1514" s="879"/>
      <c r="CCR1514" s="879"/>
      <c r="CCS1514" s="879"/>
      <c r="CCT1514" s="879"/>
      <c r="CCU1514" s="879"/>
      <c r="CCV1514" s="879"/>
      <c r="CCW1514" s="879"/>
      <c r="CCX1514" s="879"/>
      <c r="CCY1514" s="879"/>
      <c r="CCZ1514" s="879"/>
      <c r="CDA1514" s="879"/>
      <c r="CDB1514" s="879"/>
      <c r="CDC1514" s="879"/>
      <c r="CDD1514" s="879"/>
      <c r="CDE1514" s="879"/>
      <c r="CDF1514" s="879"/>
      <c r="CDG1514" s="879"/>
      <c r="CDH1514" s="879"/>
      <c r="CDI1514" s="879"/>
      <c r="CDJ1514" s="879"/>
      <c r="CDK1514" s="879"/>
      <c r="CDL1514" s="879"/>
      <c r="CDM1514" s="879"/>
      <c r="CDN1514" s="879"/>
      <c r="CDO1514" s="879"/>
      <c r="CDP1514" s="879"/>
      <c r="CDQ1514" s="879"/>
      <c r="CDR1514" s="879"/>
      <c r="CDS1514" s="879"/>
      <c r="CDT1514" s="879"/>
      <c r="CDU1514" s="879"/>
      <c r="CDV1514" s="879"/>
      <c r="CDW1514" s="879"/>
      <c r="CDX1514" s="879"/>
      <c r="CDY1514" s="879"/>
      <c r="CDZ1514" s="879"/>
      <c r="CEA1514" s="879"/>
      <c r="CEB1514" s="879"/>
      <c r="CEC1514" s="879"/>
      <c r="CED1514" s="879"/>
      <c r="CEE1514" s="879"/>
      <c r="CEF1514" s="879"/>
      <c r="CEG1514" s="879"/>
      <c r="CEH1514" s="879"/>
      <c r="CEI1514" s="879"/>
      <c r="CEJ1514" s="879"/>
      <c r="CEK1514" s="879"/>
      <c r="CEL1514" s="879"/>
      <c r="CEM1514" s="879"/>
      <c r="CEN1514" s="879"/>
      <c r="CEO1514" s="879"/>
      <c r="CEP1514" s="879"/>
      <c r="CEQ1514" s="879"/>
      <c r="CER1514" s="879"/>
      <c r="CES1514" s="879"/>
      <c r="CET1514" s="879"/>
      <c r="CEU1514" s="879"/>
      <c r="CEV1514" s="879"/>
      <c r="CEW1514" s="879"/>
      <c r="CEX1514" s="879"/>
      <c r="CEY1514" s="879"/>
      <c r="CEZ1514" s="879"/>
      <c r="CFA1514" s="879"/>
      <c r="CFB1514" s="879"/>
      <c r="CFC1514" s="879"/>
      <c r="CFD1514" s="879"/>
      <c r="CFE1514" s="879"/>
      <c r="CFF1514" s="879"/>
      <c r="CFG1514" s="879"/>
      <c r="CFH1514" s="879"/>
      <c r="CFI1514" s="879"/>
      <c r="CFJ1514" s="879"/>
      <c r="CFK1514" s="879"/>
      <c r="CFL1514" s="879"/>
      <c r="CFM1514" s="879"/>
      <c r="CFN1514" s="879"/>
      <c r="CFO1514" s="879"/>
      <c r="CFP1514" s="879"/>
      <c r="CFQ1514" s="879"/>
      <c r="CFR1514" s="879"/>
      <c r="CFS1514" s="879"/>
      <c r="CFT1514" s="879"/>
      <c r="CFU1514" s="879"/>
      <c r="CFV1514" s="879"/>
      <c r="CFW1514" s="879"/>
      <c r="CFX1514" s="879"/>
      <c r="CFY1514" s="879"/>
      <c r="CFZ1514" s="879"/>
      <c r="CGA1514" s="879"/>
      <c r="CGB1514" s="879"/>
      <c r="CGC1514" s="879"/>
      <c r="CGD1514" s="879"/>
      <c r="CGE1514" s="879"/>
      <c r="CGF1514" s="879"/>
      <c r="CGG1514" s="879"/>
      <c r="CGH1514" s="879"/>
      <c r="CGI1514" s="879"/>
      <c r="CGJ1514" s="879"/>
      <c r="CGK1514" s="879"/>
      <c r="CGL1514" s="879"/>
      <c r="CGM1514" s="879"/>
      <c r="CGN1514" s="879"/>
      <c r="CGO1514" s="879"/>
      <c r="CGP1514" s="879"/>
      <c r="CGQ1514" s="879"/>
      <c r="CGR1514" s="879"/>
      <c r="CGS1514" s="879"/>
      <c r="CGT1514" s="879"/>
      <c r="CGU1514" s="879"/>
      <c r="CGV1514" s="879"/>
      <c r="CGW1514" s="879"/>
      <c r="CGX1514" s="879"/>
      <c r="CGY1514" s="879"/>
      <c r="CGZ1514" s="879"/>
      <c r="CHA1514" s="879"/>
      <c r="CHB1514" s="879"/>
      <c r="CHC1514" s="879"/>
      <c r="CHD1514" s="879"/>
      <c r="CHE1514" s="879"/>
      <c r="CHF1514" s="879"/>
      <c r="CHG1514" s="879"/>
      <c r="CHH1514" s="879"/>
      <c r="CHI1514" s="879"/>
      <c r="CHJ1514" s="879"/>
      <c r="CHK1514" s="879"/>
      <c r="CHL1514" s="879"/>
      <c r="CHM1514" s="879"/>
      <c r="CHN1514" s="879"/>
      <c r="CHO1514" s="879"/>
      <c r="CHP1514" s="879"/>
      <c r="CHQ1514" s="879"/>
      <c r="CHR1514" s="879"/>
      <c r="CHS1514" s="879"/>
      <c r="CHT1514" s="879"/>
      <c r="CHU1514" s="879"/>
      <c r="CHV1514" s="879"/>
      <c r="CHW1514" s="879"/>
      <c r="CHX1514" s="879"/>
      <c r="CHY1514" s="879"/>
      <c r="CHZ1514" s="879"/>
      <c r="CIA1514" s="879"/>
      <c r="CIB1514" s="879"/>
      <c r="CIC1514" s="879"/>
      <c r="CID1514" s="879"/>
      <c r="CIE1514" s="879"/>
      <c r="CIF1514" s="879"/>
      <c r="CIG1514" s="879"/>
      <c r="CIH1514" s="879"/>
      <c r="CII1514" s="879"/>
      <c r="CIJ1514" s="879"/>
      <c r="CIK1514" s="879"/>
      <c r="CIL1514" s="879"/>
      <c r="CIM1514" s="879"/>
      <c r="CIN1514" s="879"/>
      <c r="CIO1514" s="879"/>
      <c r="CIP1514" s="879"/>
      <c r="CIQ1514" s="879"/>
      <c r="CIR1514" s="879"/>
      <c r="CIS1514" s="879"/>
      <c r="CIT1514" s="879"/>
      <c r="CIU1514" s="879"/>
      <c r="CIV1514" s="879"/>
      <c r="CIW1514" s="879"/>
      <c r="CIX1514" s="879"/>
      <c r="CIY1514" s="879"/>
      <c r="CIZ1514" s="879"/>
      <c r="CJA1514" s="879"/>
      <c r="CJB1514" s="879"/>
      <c r="CJC1514" s="879"/>
      <c r="CJD1514" s="879"/>
      <c r="CJE1514" s="879"/>
      <c r="CJF1514" s="879"/>
      <c r="CJG1514" s="879"/>
      <c r="CJH1514" s="879"/>
      <c r="CJI1514" s="879"/>
      <c r="CJJ1514" s="879"/>
      <c r="CJK1514" s="879"/>
      <c r="CJL1514" s="879"/>
      <c r="CJM1514" s="879"/>
      <c r="CJN1514" s="879"/>
      <c r="CJO1514" s="879"/>
      <c r="CJP1514" s="879"/>
      <c r="CJQ1514" s="879"/>
      <c r="CJR1514" s="879"/>
      <c r="CJS1514" s="879"/>
      <c r="CJT1514" s="879"/>
      <c r="CJU1514" s="879"/>
      <c r="CJV1514" s="879"/>
      <c r="CJW1514" s="879"/>
      <c r="CJX1514" s="879"/>
      <c r="CJY1514" s="879"/>
      <c r="CJZ1514" s="879"/>
      <c r="CKA1514" s="879"/>
      <c r="CKB1514" s="879"/>
      <c r="CKC1514" s="879"/>
      <c r="CKD1514" s="879"/>
      <c r="CKE1514" s="879"/>
      <c r="CKF1514" s="879"/>
      <c r="CKG1514" s="879"/>
      <c r="CKH1514" s="879"/>
      <c r="CKI1514" s="879"/>
      <c r="CKJ1514" s="879"/>
      <c r="CKK1514" s="879"/>
      <c r="CKL1514" s="879"/>
      <c r="CKM1514" s="879"/>
      <c r="CKN1514" s="879"/>
      <c r="CKO1514" s="879"/>
      <c r="CKP1514" s="879"/>
      <c r="CKQ1514" s="879"/>
      <c r="CKR1514" s="879"/>
      <c r="CKS1514" s="879"/>
      <c r="CKT1514" s="879"/>
      <c r="CKU1514" s="879"/>
      <c r="CKV1514" s="879"/>
      <c r="CKW1514" s="879"/>
      <c r="CKX1514" s="879"/>
      <c r="CKY1514" s="879"/>
      <c r="CKZ1514" s="879"/>
      <c r="CLA1514" s="879"/>
      <c r="CLB1514" s="879"/>
      <c r="CLC1514" s="879"/>
      <c r="CLD1514" s="879"/>
      <c r="CLE1514" s="879"/>
      <c r="CLF1514" s="879"/>
      <c r="CLG1514" s="879"/>
      <c r="CLH1514" s="879"/>
      <c r="CLI1514" s="879"/>
      <c r="CLJ1514" s="879"/>
      <c r="CLK1514" s="879"/>
      <c r="CLL1514" s="879"/>
      <c r="CLM1514" s="879"/>
      <c r="CLN1514" s="879"/>
      <c r="CLO1514" s="879"/>
      <c r="CLP1514" s="879"/>
      <c r="CLQ1514" s="879"/>
      <c r="CLR1514" s="879"/>
      <c r="CLS1514" s="879"/>
      <c r="CLT1514" s="879"/>
      <c r="CLU1514" s="879"/>
      <c r="CLV1514" s="879"/>
      <c r="CLW1514" s="879"/>
      <c r="CLX1514" s="879"/>
      <c r="CLY1514" s="879"/>
      <c r="CLZ1514" s="879"/>
      <c r="CMA1514" s="879"/>
      <c r="CMB1514" s="879"/>
      <c r="CMC1514" s="879"/>
      <c r="CMD1514" s="879"/>
      <c r="CME1514" s="879"/>
      <c r="CMF1514" s="879"/>
      <c r="CMG1514" s="879"/>
      <c r="CMH1514" s="879"/>
      <c r="CMI1514" s="879"/>
      <c r="CMJ1514" s="879"/>
      <c r="CMK1514" s="879"/>
      <c r="CML1514" s="879"/>
      <c r="CMM1514" s="879"/>
      <c r="CMN1514" s="879"/>
      <c r="CMO1514" s="879"/>
      <c r="CMP1514" s="879"/>
      <c r="CMQ1514" s="879"/>
      <c r="CMR1514" s="879"/>
      <c r="CMS1514" s="879"/>
      <c r="CMT1514" s="879"/>
      <c r="CMU1514" s="879"/>
      <c r="CMV1514" s="879"/>
      <c r="CMW1514" s="879"/>
      <c r="CMX1514" s="879"/>
      <c r="CMY1514" s="879"/>
      <c r="CMZ1514" s="879"/>
      <c r="CNA1514" s="879"/>
      <c r="CNB1514" s="879"/>
      <c r="CNC1514" s="879"/>
      <c r="CND1514" s="879"/>
      <c r="CNE1514" s="879"/>
      <c r="CNF1514" s="879"/>
      <c r="CNG1514" s="879"/>
      <c r="CNH1514" s="879"/>
      <c r="CNI1514" s="879"/>
      <c r="CNJ1514" s="879"/>
      <c r="CNK1514" s="879"/>
      <c r="CNL1514" s="879"/>
      <c r="CNM1514" s="879"/>
      <c r="CNN1514" s="879"/>
      <c r="CNO1514" s="879"/>
      <c r="CNP1514" s="879"/>
      <c r="CNQ1514" s="879"/>
      <c r="CNR1514" s="879"/>
      <c r="CNS1514" s="879"/>
      <c r="CNT1514" s="879"/>
      <c r="CNU1514" s="879"/>
      <c r="CNV1514" s="879"/>
      <c r="CNW1514" s="879"/>
      <c r="CNX1514" s="879"/>
      <c r="CNY1514" s="879"/>
      <c r="CNZ1514" s="879"/>
      <c r="COA1514" s="879"/>
      <c r="COB1514" s="879"/>
      <c r="COC1514" s="879"/>
      <c r="COD1514" s="879"/>
      <c r="COE1514" s="879"/>
      <c r="COF1514" s="879"/>
      <c r="COG1514" s="879"/>
      <c r="COH1514" s="879"/>
      <c r="COI1514" s="879"/>
      <c r="COJ1514" s="879"/>
      <c r="COK1514" s="879"/>
      <c r="COL1514" s="879"/>
      <c r="COM1514" s="879"/>
      <c r="CON1514" s="879"/>
      <c r="COO1514" s="879"/>
      <c r="COP1514" s="879"/>
      <c r="COQ1514" s="879"/>
      <c r="COR1514" s="879"/>
      <c r="COS1514" s="879"/>
      <c r="COT1514" s="879"/>
      <c r="COU1514" s="879"/>
      <c r="COV1514" s="879"/>
      <c r="COW1514" s="879"/>
      <c r="COX1514" s="879"/>
      <c r="COY1514" s="879"/>
      <c r="COZ1514" s="879"/>
      <c r="CPA1514" s="879"/>
      <c r="CPB1514" s="879"/>
      <c r="CPC1514" s="879"/>
      <c r="CPD1514" s="879"/>
      <c r="CPE1514" s="879"/>
      <c r="CPF1514" s="879"/>
      <c r="CPG1514" s="879"/>
      <c r="CPH1514" s="879"/>
      <c r="CPI1514" s="879"/>
      <c r="CPJ1514" s="879"/>
      <c r="CPK1514" s="879"/>
      <c r="CPL1514" s="879"/>
      <c r="CPM1514" s="879"/>
      <c r="CPN1514" s="879"/>
      <c r="CPO1514" s="879"/>
      <c r="CPP1514" s="879"/>
      <c r="CPQ1514" s="879"/>
      <c r="CPR1514" s="879"/>
      <c r="CPS1514" s="879"/>
      <c r="CPT1514" s="879"/>
      <c r="CPU1514" s="879"/>
      <c r="CPV1514" s="879"/>
      <c r="CPW1514" s="879"/>
      <c r="CPX1514" s="879"/>
      <c r="CPY1514" s="879"/>
      <c r="CPZ1514" s="879"/>
      <c r="CQA1514" s="879"/>
      <c r="CQB1514" s="879"/>
      <c r="CQC1514" s="879"/>
      <c r="CQD1514" s="879"/>
      <c r="CQE1514" s="879"/>
      <c r="CQF1514" s="879"/>
      <c r="CQG1514" s="879"/>
      <c r="CQH1514" s="879"/>
      <c r="CQI1514" s="879"/>
      <c r="CQJ1514" s="879"/>
      <c r="CQK1514" s="879"/>
      <c r="CQL1514" s="879"/>
      <c r="CQM1514" s="879"/>
      <c r="CQN1514" s="879"/>
      <c r="CQO1514" s="879"/>
      <c r="CQP1514" s="879"/>
      <c r="CQQ1514" s="879"/>
      <c r="CQR1514" s="879"/>
      <c r="CQS1514" s="879"/>
      <c r="CQT1514" s="879"/>
      <c r="CQU1514" s="879"/>
      <c r="CQV1514" s="879"/>
      <c r="CQW1514" s="879"/>
      <c r="CQX1514" s="879"/>
      <c r="CQY1514" s="879"/>
      <c r="CQZ1514" s="879"/>
      <c r="CRA1514" s="879"/>
      <c r="CRB1514" s="879"/>
      <c r="CRC1514" s="879"/>
      <c r="CRD1514" s="879"/>
      <c r="CRE1514" s="879"/>
      <c r="CRF1514" s="879"/>
      <c r="CRG1514" s="879"/>
      <c r="CRH1514" s="879"/>
      <c r="CRI1514" s="879"/>
      <c r="CRJ1514" s="879"/>
      <c r="CRK1514" s="879"/>
      <c r="CRL1514" s="879"/>
      <c r="CRM1514" s="879"/>
      <c r="CRN1514" s="879"/>
      <c r="CRO1514" s="879"/>
      <c r="CRP1514" s="879"/>
      <c r="CRQ1514" s="879"/>
      <c r="CRR1514" s="879"/>
      <c r="CRS1514" s="879"/>
      <c r="CRT1514" s="879"/>
      <c r="CRU1514" s="879"/>
      <c r="CRV1514" s="879"/>
      <c r="CRW1514" s="879"/>
      <c r="CRX1514" s="879"/>
      <c r="CRY1514" s="879"/>
      <c r="CRZ1514" s="879"/>
      <c r="CSA1514" s="879"/>
      <c r="CSB1514" s="879"/>
      <c r="CSC1514" s="879"/>
      <c r="CSD1514" s="879"/>
      <c r="CSE1514" s="879"/>
      <c r="CSF1514" s="879"/>
      <c r="CSG1514" s="879"/>
      <c r="CSH1514" s="879"/>
      <c r="CSI1514" s="879"/>
      <c r="CSJ1514" s="879"/>
      <c r="CSK1514" s="879"/>
      <c r="CSL1514" s="879"/>
      <c r="CSM1514" s="879"/>
      <c r="CSN1514" s="879"/>
      <c r="CSO1514" s="879"/>
      <c r="CSP1514" s="879"/>
      <c r="CSQ1514" s="879"/>
      <c r="CSR1514" s="879"/>
      <c r="CSS1514" s="879"/>
      <c r="CST1514" s="879"/>
      <c r="CSU1514" s="879"/>
      <c r="CSV1514" s="879"/>
      <c r="CSW1514" s="879"/>
      <c r="CSX1514" s="879"/>
      <c r="CSY1514" s="879"/>
      <c r="CSZ1514" s="879"/>
      <c r="CTA1514" s="879"/>
      <c r="CTB1514" s="879"/>
      <c r="CTC1514" s="879"/>
      <c r="CTD1514" s="879"/>
      <c r="CTE1514" s="879"/>
      <c r="CTF1514" s="879"/>
      <c r="CTG1514" s="879"/>
      <c r="CTH1514" s="879"/>
      <c r="CTI1514" s="879"/>
      <c r="CTJ1514" s="879"/>
      <c r="CTK1514" s="879"/>
      <c r="CTL1514" s="879"/>
      <c r="CTM1514" s="879"/>
      <c r="CTN1514" s="879"/>
      <c r="CTO1514" s="879"/>
      <c r="CTP1514" s="879"/>
      <c r="CTQ1514" s="879"/>
      <c r="CTR1514" s="879"/>
      <c r="CTS1514" s="879"/>
      <c r="CTT1514" s="879"/>
      <c r="CTU1514" s="879"/>
      <c r="CTV1514" s="879"/>
      <c r="CTW1514" s="879"/>
      <c r="CTX1514" s="879"/>
      <c r="CTY1514" s="879"/>
      <c r="CTZ1514" s="879"/>
      <c r="CUA1514" s="879"/>
      <c r="CUB1514" s="879"/>
      <c r="CUC1514" s="879"/>
      <c r="CUD1514" s="879"/>
      <c r="CUE1514" s="879"/>
      <c r="CUF1514" s="879"/>
      <c r="CUG1514" s="879"/>
      <c r="CUH1514" s="879"/>
      <c r="CUI1514" s="879"/>
      <c r="CUJ1514" s="879"/>
      <c r="CUK1514" s="879"/>
      <c r="CUL1514" s="879"/>
      <c r="CUM1514" s="879"/>
      <c r="CUN1514" s="879"/>
      <c r="CUO1514" s="879"/>
      <c r="CUP1514" s="879"/>
      <c r="CUQ1514" s="879"/>
      <c r="CUR1514" s="879"/>
      <c r="CUS1514" s="879"/>
      <c r="CUT1514" s="879"/>
      <c r="CUU1514" s="879"/>
      <c r="CUV1514" s="879"/>
      <c r="CUW1514" s="879"/>
      <c r="CUX1514" s="879"/>
      <c r="CUY1514" s="879"/>
      <c r="CUZ1514" s="879"/>
      <c r="CVA1514" s="879"/>
      <c r="CVB1514" s="879"/>
      <c r="CVC1514" s="879"/>
      <c r="CVD1514" s="879"/>
      <c r="CVE1514" s="879"/>
      <c r="CVF1514" s="879"/>
      <c r="CVG1514" s="879"/>
      <c r="CVH1514" s="879"/>
      <c r="CVI1514" s="879"/>
      <c r="CVJ1514" s="879"/>
      <c r="CVK1514" s="879"/>
      <c r="CVL1514" s="879"/>
      <c r="CVM1514" s="879"/>
      <c r="CVN1514" s="879"/>
      <c r="CVO1514" s="879"/>
      <c r="CVP1514" s="879"/>
      <c r="CVQ1514" s="879"/>
      <c r="CVR1514" s="879"/>
      <c r="CVS1514" s="879"/>
      <c r="CVT1514" s="879"/>
      <c r="CVU1514" s="879"/>
      <c r="CVV1514" s="879"/>
      <c r="CVW1514" s="879"/>
      <c r="CVX1514" s="879"/>
      <c r="CVY1514" s="879"/>
      <c r="CVZ1514" s="879"/>
      <c r="CWA1514" s="879"/>
      <c r="CWB1514" s="879"/>
      <c r="CWC1514" s="879"/>
      <c r="CWD1514" s="879"/>
      <c r="CWE1514" s="879"/>
      <c r="CWF1514" s="879"/>
      <c r="CWG1514" s="879"/>
      <c r="CWH1514" s="879"/>
      <c r="CWI1514" s="879"/>
      <c r="CWJ1514" s="879"/>
      <c r="CWK1514" s="879"/>
      <c r="CWL1514" s="879"/>
      <c r="CWM1514" s="879"/>
      <c r="CWN1514" s="879"/>
      <c r="CWO1514" s="879"/>
      <c r="CWP1514" s="879"/>
      <c r="CWQ1514" s="879"/>
      <c r="CWR1514" s="879"/>
      <c r="CWS1514" s="879"/>
      <c r="CWT1514" s="879"/>
      <c r="CWU1514" s="879"/>
      <c r="CWV1514" s="879"/>
      <c r="CWW1514" s="879"/>
      <c r="CWX1514" s="879"/>
      <c r="CWY1514" s="879"/>
      <c r="CWZ1514" s="879"/>
      <c r="CXA1514" s="879"/>
      <c r="CXB1514" s="879"/>
      <c r="CXC1514" s="879"/>
      <c r="CXD1514" s="879"/>
      <c r="CXE1514" s="879"/>
      <c r="CXF1514" s="879"/>
      <c r="CXG1514" s="879"/>
      <c r="CXH1514" s="879"/>
      <c r="CXI1514" s="879"/>
      <c r="CXJ1514" s="879"/>
      <c r="CXK1514" s="879"/>
      <c r="CXL1514" s="879"/>
      <c r="CXM1514" s="879"/>
      <c r="CXN1514" s="879"/>
      <c r="CXO1514" s="879"/>
      <c r="CXP1514" s="879"/>
      <c r="CXQ1514" s="879"/>
      <c r="CXR1514" s="879"/>
      <c r="CXS1514" s="879"/>
      <c r="CXT1514" s="879"/>
      <c r="CXU1514" s="879"/>
      <c r="CXV1514" s="879"/>
      <c r="CXW1514" s="879"/>
      <c r="CXX1514" s="879"/>
      <c r="CXY1514" s="879"/>
      <c r="CXZ1514" s="879"/>
      <c r="CYA1514" s="879"/>
      <c r="CYB1514" s="879"/>
      <c r="CYC1514" s="879"/>
      <c r="CYD1514" s="879"/>
      <c r="CYE1514" s="879"/>
      <c r="CYF1514" s="879"/>
      <c r="CYG1514" s="879"/>
      <c r="CYH1514" s="879"/>
      <c r="CYI1514" s="879"/>
      <c r="CYJ1514" s="879"/>
      <c r="CYK1514" s="879"/>
      <c r="CYL1514" s="879"/>
      <c r="CYM1514" s="879"/>
      <c r="CYN1514" s="879"/>
      <c r="CYO1514" s="879"/>
      <c r="CYP1514" s="879"/>
      <c r="CYQ1514" s="879"/>
      <c r="CYR1514" s="879"/>
      <c r="CYS1514" s="879"/>
      <c r="CYT1514" s="879"/>
      <c r="CYU1514" s="879"/>
      <c r="CYV1514" s="879"/>
      <c r="CYW1514" s="879"/>
      <c r="CYX1514" s="879"/>
      <c r="CYY1514" s="879"/>
      <c r="CYZ1514" s="879"/>
      <c r="CZA1514" s="879"/>
      <c r="CZB1514" s="879"/>
      <c r="CZC1514" s="879"/>
      <c r="CZD1514" s="879"/>
      <c r="CZE1514" s="879"/>
      <c r="CZF1514" s="879"/>
      <c r="CZG1514" s="879"/>
      <c r="CZH1514" s="879"/>
      <c r="CZI1514" s="879"/>
      <c r="CZJ1514" s="879"/>
      <c r="CZK1514" s="879"/>
      <c r="CZL1514" s="879"/>
      <c r="CZM1514" s="879"/>
      <c r="CZN1514" s="879"/>
      <c r="CZO1514" s="879"/>
      <c r="CZP1514" s="879"/>
      <c r="CZQ1514" s="879"/>
      <c r="CZR1514" s="879"/>
      <c r="CZS1514" s="879"/>
      <c r="CZT1514" s="879"/>
      <c r="CZU1514" s="879"/>
      <c r="CZV1514" s="879"/>
      <c r="CZW1514" s="879"/>
      <c r="CZX1514" s="879"/>
      <c r="CZY1514" s="879"/>
      <c r="CZZ1514" s="879"/>
      <c r="DAA1514" s="879"/>
      <c r="DAB1514" s="879"/>
      <c r="DAC1514" s="879"/>
      <c r="DAD1514" s="879"/>
      <c r="DAE1514" s="879"/>
      <c r="DAF1514" s="879"/>
      <c r="DAG1514" s="879"/>
      <c r="DAH1514" s="879"/>
      <c r="DAI1514" s="879"/>
      <c r="DAJ1514" s="879"/>
      <c r="DAK1514" s="879"/>
      <c r="DAL1514" s="879"/>
      <c r="DAM1514" s="879"/>
      <c r="DAN1514" s="879"/>
      <c r="DAO1514" s="879"/>
      <c r="DAP1514" s="879"/>
      <c r="DAQ1514" s="879"/>
      <c r="DAR1514" s="879"/>
      <c r="DAS1514" s="879"/>
      <c r="DAT1514" s="879"/>
      <c r="DAU1514" s="879"/>
      <c r="DAV1514" s="879"/>
      <c r="DAW1514" s="879"/>
      <c r="DAX1514" s="879"/>
      <c r="DAY1514" s="879"/>
      <c r="DAZ1514" s="879"/>
      <c r="DBA1514" s="879"/>
      <c r="DBB1514" s="879"/>
      <c r="DBC1514" s="879"/>
      <c r="DBD1514" s="879"/>
      <c r="DBE1514" s="879"/>
      <c r="DBF1514" s="879"/>
      <c r="DBG1514" s="879"/>
      <c r="DBH1514" s="879"/>
      <c r="DBI1514" s="879"/>
      <c r="DBJ1514" s="879"/>
      <c r="DBK1514" s="879"/>
      <c r="DBL1514" s="879"/>
      <c r="DBM1514" s="879"/>
      <c r="DBN1514" s="879"/>
      <c r="DBO1514" s="879"/>
      <c r="DBP1514" s="879"/>
      <c r="DBQ1514" s="879"/>
      <c r="DBR1514" s="879"/>
      <c r="DBS1514" s="879"/>
      <c r="DBT1514" s="879"/>
      <c r="DBU1514" s="879"/>
      <c r="DBV1514" s="879"/>
      <c r="DBW1514" s="879"/>
      <c r="DBX1514" s="879"/>
      <c r="DBY1514" s="879"/>
      <c r="DBZ1514" s="879"/>
      <c r="DCA1514" s="879"/>
      <c r="DCB1514" s="879"/>
      <c r="DCC1514" s="879"/>
      <c r="DCD1514" s="879"/>
      <c r="DCE1514" s="879"/>
      <c r="DCF1514" s="879"/>
      <c r="DCG1514" s="879"/>
      <c r="DCH1514" s="879"/>
      <c r="DCI1514" s="879"/>
      <c r="DCJ1514" s="879"/>
      <c r="DCK1514" s="879"/>
      <c r="DCL1514" s="879"/>
      <c r="DCM1514" s="879"/>
      <c r="DCN1514" s="879"/>
      <c r="DCO1514" s="879"/>
      <c r="DCP1514" s="879"/>
      <c r="DCQ1514" s="879"/>
      <c r="DCR1514" s="879"/>
      <c r="DCS1514" s="879"/>
      <c r="DCT1514" s="879"/>
      <c r="DCU1514" s="879"/>
      <c r="DCV1514" s="879"/>
      <c r="DCW1514" s="879"/>
      <c r="DCX1514" s="879"/>
      <c r="DCY1514" s="879"/>
      <c r="DCZ1514" s="879"/>
      <c r="DDA1514" s="879"/>
      <c r="DDB1514" s="879"/>
      <c r="DDC1514" s="879"/>
      <c r="DDD1514" s="879"/>
      <c r="DDE1514" s="879"/>
      <c r="DDF1514" s="879"/>
      <c r="DDG1514" s="879"/>
      <c r="DDH1514" s="879"/>
      <c r="DDI1514" s="879"/>
      <c r="DDJ1514" s="879"/>
      <c r="DDK1514" s="879"/>
      <c r="DDL1514" s="879"/>
      <c r="DDM1514" s="879"/>
      <c r="DDN1514" s="879"/>
      <c r="DDO1514" s="879"/>
      <c r="DDP1514" s="879"/>
      <c r="DDQ1514" s="879"/>
      <c r="DDR1514" s="879"/>
      <c r="DDS1514" s="879"/>
      <c r="DDT1514" s="879"/>
      <c r="DDU1514" s="879"/>
      <c r="DDV1514" s="879"/>
      <c r="DDW1514" s="879"/>
      <c r="DDX1514" s="879"/>
      <c r="DDY1514" s="879"/>
      <c r="DDZ1514" s="879"/>
      <c r="DEA1514" s="879"/>
      <c r="DEB1514" s="879"/>
      <c r="DEC1514" s="879"/>
      <c r="DED1514" s="879"/>
      <c r="DEE1514" s="879"/>
      <c r="DEF1514" s="879"/>
      <c r="DEG1514" s="879"/>
      <c r="DEH1514" s="879"/>
      <c r="DEI1514" s="879"/>
      <c r="DEJ1514" s="879"/>
      <c r="DEK1514" s="879"/>
      <c r="DEL1514" s="879"/>
      <c r="DEM1514" s="879"/>
      <c r="DEN1514" s="879"/>
      <c r="DEO1514" s="879"/>
      <c r="DEP1514" s="879"/>
      <c r="DEQ1514" s="879"/>
      <c r="DER1514" s="879"/>
      <c r="DES1514" s="879"/>
      <c r="DET1514" s="879"/>
      <c r="DEU1514" s="879"/>
      <c r="DEV1514" s="879"/>
      <c r="DEW1514" s="879"/>
      <c r="DEX1514" s="879"/>
      <c r="DEY1514" s="879"/>
      <c r="DEZ1514" s="879"/>
      <c r="DFA1514" s="879"/>
      <c r="DFB1514" s="879"/>
      <c r="DFC1514" s="879"/>
      <c r="DFD1514" s="879"/>
      <c r="DFE1514" s="879"/>
      <c r="DFF1514" s="879"/>
      <c r="DFG1514" s="879"/>
      <c r="DFH1514" s="879"/>
      <c r="DFI1514" s="879"/>
      <c r="DFJ1514" s="879"/>
      <c r="DFK1514" s="879"/>
      <c r="DFL1514" s="879"/>
      <c r="DFM1514" s="879"/>
      <c r="DFN1514" s="879"/>
      <c r="DFO1514" s="879"/>
      <c r="DFP1514" s="879"/>
      <c r="DFQ1514" s="879"/>
      <c r="DFR1514" s="879"/>
      <c r="DFS1514" s="879"/>
      <c r="DFT1514" s="879"/>
      <c r="DFU1514" s="879"/>
      <c r="DFV1514" s="879"/>
      <c r="DFW1514" s="879"/>
      <c r="DFX1514" s="879"/>
      <c r="DFY1514" s="879"/>
      <c r="DFZ1514" s="879"/>
      <c r="DGA1514" s="879"/>
      <c r="DGB1514" s="879"/>
      <c r="DGC1514" s="879"/>
      <c r="DGD1514" s="879"/>
      <c r="DGE1514" s="879"/>
      <c r="DGF1514" s="879"/>
      <c r="DGG1514" s="879"/>
      <c r="DGH1514" s="879"/>
      <c r="DGI1514" s="879"/>
      <c r="DGJ1514" s="879"/>
      <c r="DGK1514" s="879"/>
      <c r="DGL1514" s="879"/>
      <c r="DGM1514" s="879"/>
      <c r="DGN1514" s="879"/>
      <c r="DGO1514" s="879"/>
      <c r="DGP1514" s="879"/>
      <c r="DGQ1514" s="879"/>
      <c r="DGR1514" s="879"/>
      <c r="DGS1514" s="879"/>
      <c r="DGT1514" s="879"/>
      <c r="DGU1514" s="879"/>
      <c r="DGV1514" s="879"/>
      <c r="DGW1514" s="879"/>
      <c r="DGX1514" s="879"/>
      <c r="DGY1514" s="879"/>
      <c r="DGZ1514" s="879"/>
      <c r="DHA1514" s="879"/>
      <c r="DHB1514" s="879"/>
      <c r="DHC1514" s="879"/>
      <c r="DHD1514" s="879"/>
      <c r="DHE1514" s="879"/>
      <c r="DHF1514" s="879"/>
      <c r="DHG1514" s="879"/>
      <c r="DHH1514" s="879"/>
      <c r="DHI1514" s="879"/>
      <c r="DHJ1514" s="879"/>
      <c r="DHK1514" s="879"/>
      <c r="DHL1514" s="879"/>
      <c r="DHM1514" s="879"/>
      <c r="DHN1514" s="879"/>
      <c r="DHO1514" s="879"/>
      <c r="DHP1514" s="879"/>
      <c r="DHQ1514" s="879"/>
      <c r="DHR1514" s="879"/>
      <c r="DHS1514" s="879"/>
      <c r="DHT1514" s="879"/>
      <c r="DHU1514" s="879"/>
      <c r="DHV1514" s="879"/>
      <c r="DHW1514" s="879"/>
      <c r="DHX1514" s="879"/>
      <c r="DHY1514" s="879"/>
      <c r="DHZ1514" s="879"/>
      <c r="DIA1514" s="879"/>
      <c r="DIB1514" s="879"/>
      <c r="DIC1514" s="879"/>
      <c r="DID1514" s="879"/>
      <c r="DIE1514" s="879"/>
      <c r="DIF1514" s="879"/>
      <c r="DIG1514" s="879"/>
      <c r="DIH1514" s="879"/>
      <c r="DII1514" s="879"/>
      <c r="DIJ1514" s="879"/>
      <c r="DIK1514" s="879"/>
      <c r="DIL1514" s="879"/>
      <c r="DIM1514" s="879"/>
      <c r="DIN1514" s="879"/>
      <c r="DIO1514" s="879"/>
      <c r="DIP1514" s="879"/>
      <c r="DIQ1514" s="879"/>
      <c r="DIR1514" s="879"/>
      <c r="DIS1514" s="879"/>
      <c r="DIT1514" s="879"/>
      <c r="DIU1514" s="879"/>
      <c r="DIV1514" s="879"/>
      <c r="DIW1514" s="879"/>
      <c r="DIX1514" s="879"/>
      <c r="DIY1514" s="879"/>
      <c r="DIZ1514" s="879"/>
      <c r="DJA1514" s="879"/>
      <c r="DJB1514" s="879"/>
      <c r="DJC1514" s="879"/>
      <c r="DJD1514" s="879"/>
      <c r="DJE1514" s="879"/>
      <c r="DJF1514" s="879"/>
      <c r="DJG1514" s="879"/>
      <c r="DJH1514" s="879"/>
      <c r="DJI1514" s="879"/>
      <c r="DJJ1514" s="879"/>
      <c r="DJK1514" s="879"/>
      <c r="DJL1514" s="879"/>
      <c r="DJM1514" s="879"/>
      <c r="DJN1514" s="879"/>
      <c r="DJO1514" s="879"/>
      <c r="DJP1514" s="879"/>
      <c r="DJQ1514" s="879"/>
      <c r="DJR1514" s="879"/>
      <c r="DJS1514" s="879"/>
      <c r="DJT1514" s="879"/>
      <c r="DJU1514" s="879"/>
      <c r="DJV1514" s="879"/>
      <c r="DJW1514" s="879"/>
      <c r="DJX1514" s="879"/>
      <c r="DJY1514" s="879"/>
      <c r="DJZ1514" s="879"/>
      <c r="DKA1514" s="879"/>
      <c r="DKB1514" s="879"/>
      <c r="DKC1514" s="879"/>
      <c r="DKD1514" s="879"/>
      <c r="DKE1514" s="879"/>
      <c r="DKF1514" s="879"/>
      <c r="DKG1514" s="879"/>
      <c r="DKH1514" s="879"/>
      <c r="DKI1514" s="879"/>
      <c r="DKJ1514" s="879"/>
      <c r="DKK1514" s="879"/>
      <c r="DKL1514" s="879"/>
      <c r="DKM1514" s="879"/>
      <c r="DKN1514" s="879"/>
      <c r="DKO1514" s="879"/>
      <c r="DKP1514" s="879"/>
      <c r="DKQ1514" s="879"/>
      <c r="DKR1514" s="879"/>
      <c r="DKS1514" s="879"/>
      <c r="DKT1514" s="879"/>
      <c r="DKU1514" s="879"/>
      <c r="DKV1514" s="879"/>
      <c r="DKW1514" s="879"/>
      <c r="DKX1514" s="879"/>
      <c r="DKY1514" s="879"/>
      <c r="DKZ1514" s="879"/>
      <c r="DLA1514" s="879"/>
      <c r="DLB1514" s="879"/>
      <c r="DLC1514" s="879"/>
      <c r="DLD1514" s="879"/>
      <c r="DLE1514" s="879"/>
      <c r="DLF1514" s="879"/>
      <c r="DLG1514" s="879"/>
      <c r="DLH1514" s="879"/>
      <c r="DLI1514" s="879"/>
      <c r="DLJ1514" s="879"/>
      <c r="DLK1514" s="879"/>
      <c r="DLL1514" s="879"/>
      <c r="DLM1514" s="879"/>
      <c r="DLN1514" s="879"/>
      <c r="DLO1514" s="879"/>
      <c r="DLP1514" s="879"/>
      <c r="DLQ1514" s="879"/>
      <c r="DLR1514" s="879"/>
      <c r="DLS1514" s="879"/>
      <c r="DLT1514" s="879"/>
      <c r="DLU1514" s="879"/>
      <c r="DLV1514" s="879"/>
      <c r="DLW1514" s="879"/>
      <c r="DLX1514" s="879"/>
      <c r="DLY1514" s="879"/>
      <c r="DLZ1514" s="879"/>
      <c r="DMA1514" s="879"/>
      <c r="DMB1514" s="879"/>
      <c r="DMC1514" s="879"/>
      <c r="DMD1514" s="879"/>
      <c r="DME1514" s="879"/>
      <c r="DMF1514" s="879"/>
      <c r="DMG1514" s="879"/>
      <c r="DMH1514" s="879"/>
      <c r="DMI1514" s="879"/>
      <c r="DMJ1514" s="879"/>
      <c r="DMK1514" s="879"/>
      <c r="DML1514" s="879"/>
      <c r="DMM1514" s="879"/>
      <c r="DMN1514" s="879"/>
      <c r="DMO1514" s="879"/>
      <c r="DMP1514" s="879"/>
      <c r="DMQ1514" s="879"/>
      <c r="DMR1514" s="879"/>
      <c r="DMS1514" s="879"/>
      <c r="DMT1514" s="879"/>
      <c r="DMU1514" s="879"/>
      <c r="DMV1514" s="879"/>
      <c r="DMW1514" s="879"/>
      <c r="DMX1514" s="879"/>
      <c r="DMY1514" s="879"/>
      <c r="DMZ1514" s="879"/>
      <c r="DNA1514" s="879"/>
      <c r="DNB1514" s="879"/>
      <c r="DNC1514" s="879"/>
      <c r="DND1514" s="879"/>
      <c r="DNE1514" s="879"/>
      <c r="DNF1514" s="879"/>
      <c r="DNG1514" s="879"/>
      <c r="DNH1514" s="879"/>
      <c r="DNI1514" s="879"/>
      <c r="DNJ1514" s="879"/>
      <c r="DNK1514" s="879"/>
      <c r="DNL1514" s="879"/>
      <c r="DNM1514" s="879"/>
      <c r="DNN1514" s="879"/>
      <c r="DNO1514" s="879"/>
      <c r="DNP1514" s="879"/>
      <c r="DNQ1514" s="879"/>
      <c r="DNR1514" s="879"/>
      <c r="DNS1514" s="879"/>
      <c r="DNT1514" s="879"/>
      <c r="DNU1514" s="879"/>
      <c r="DNV1514" s="879"/>
      <c r="DNW1514" s="879"/>
      <c r="DNX1514" s="879"/>
      <c r="DNY1514" s="879"/>
      <c r="DNZ1514" s="879"/>
      <c r="DOA1514" s="879"/>
      <c r="DOB1514" s="879"/>
      <c r="DOC1514" s="879"/>
      <c r="DOD1514" s="879"/>
      <c r="DOE1514" s="879"/>
      <c r="DOF1514" s="879"/>
      <c r="DOG1514" s="879"/>
      <c r="DOH1514" s="879"/>
      <c r="DOI1514" s="879"/>
      <c r="DOJ1514" s="879"/>
      <c r="DOK1514" s="879"/>
      <c r="DOL1514" s="879"/>
      <c r="DOM1514" s="879"/>
      <c r="DON1514" s="879"/>
      <c r="DOO1514" s="879"/>
      <c r="DOP1514" s="879"/>
      <c r="DOQ1514" s="879"/>
      <c r="DOR1514" s="879"/>
      <c r="DOS1514" s="879"/>
      <c r="DOT1514" s="879"/>
      <c r="DOU1514" s="879"/>
      <c r="DOV1514" s="879"/>
      <c r="DOW1514" s="879"/>
      <c r="DOX1514" s="879"/>
      <c r="DOY1514" s="879"/>
      <c r="DOZ1514" s="879"/>
      <c r="DPA1514" s="879"/>
      <c r="DPB1514" s="879"/>
      <c r="DPC1514" s="879"/>
      <c r="DPD1514" s="879"/>
      <c r="DPE1514" s="879"/>
      <c r="DPF1514" s="879"/>
      <c r="DPG1514" s="879"/>
      <c r="DPH1514" s="879"/>
      <c r="DPI1514" s="879"/>
      <c r="DPJ1514" s="879"/>
      <c r="DPK1514" s="879"/>
      <c r="DPL1514" s="879"/>
      <c r="DPM1514" s="879"/>
      <c r="DPN1514" s="879"/>
      <c r="DPO1514" s="879"/>
      <c r="DPP1514" s="879"/>
      <c r="DPQ1514" s="879"/>
      <c r="DPR1514" s="879"/>
      <c r="DPS1514" s="879"/>
      <c r="DPT1514" s="879"/>
      <c r="DPU1514" s="879"/>
      <c r="DPV1514" s="879"/>
      <c r="DPW1514" s="879"/>
      <c r="DPX1514" s="879"/>
      <c r="DPY1514" s="879"/>
      <c r="DPZ1514" s="879"/>
      <c r="DQA1514" s="879"/>
      <c r="DQB1514" s="879"/>
      <c r="DQC1514" s="879"/>
      <c r="DQD1514" s="879"/>
      <c r="DQE1514" s="879"/>
      <c r="DQF1514" s="879"/>
      <c r="DQG1514" s="879"/>
      <c r="DQH1514" s="879"/>
      <c r="DQI1514" s="879"/>
      <c r="DQJ1514" s="879"/>
      <c r="DQK1514" s="879"/>
      <c r="DQL1514" s="879"/>
      <c r="DQM1514" s="879"/>
      <c r="DQN1514" s="879"/>
      <c r="DQO1514" s="879"/>
      <c r="DQP1514" s="879"/>
      <c r="DQQ1514" s="879"/>
      <c r="DQR1514" s="879"/>
      <c r="DQS1514" s="879"/>
      <c r="DQT1514" s="879"/>
      <c r="DQU1514" s="879"/>
      <c r="DQV1514" s="879"/>
      <c r="DQW1514" s="879"/>
      <c r="DQX1514" s="879"/>
      <c r="DQY1514" s="879"/>
      <c r="DQZ1514" s="879"/>
      <c r="DRA1514" s="879"/>
      <c r="DRB1514" s="879"/>
      <c r="DRC1514" s="879"/>
      <c r="DRD1514" s="879"/>
      <c r="DRE1514" s="879"/>
      <c r="DRF1514" s="879"/>
      <c r="DRG1514" s="879"/>
      <c r="DRH1514" s="879"/>
      <c r="DRI1514" s="879"/>
      <c r="DRJ1514" s="879"/>
      <c r="DRK1514" s="879"/>
      <c r="DRL1514" s="879"/>
      <c r="DRM1514" s="879"/>
      <c r="DRN1514" s="879"/>
      <c r="DRO1514" s="879"/>
      <c r="DRP1514" s="879"/>
      <c r="DRQ1514" s="879"/>
      <c r="DRR1514" s="879"/>
      <c r="DRS1514" s="879"/>
      <c r="DRT1514" s="879"/>
      <c r="DRU1514" s="879"/>
      <c r="DRV1514" s="879"/>
      <c r="DRW1514" s="879"/>
      <c r="DRX1514" s="879"/>
      <c r="DRY1514" s="879"/>
      <c r="DRZ1514" s="879"/>
      <c r="DSA1514" s="879"/>
      <c r="DSB1514" s="879"/>
      <c r="DSC1514" s="879"/>
      <c r="DSD1514" s="879"/>
      <c r="DSE1514" s="879"/>
      <c r="DSF1514" s="879"/>
      <c r="DSG1514" s="879"/>
      <c r="DSH1514" s="879"/>
      <c r="DSI1514" s="879"/>
      <c r="DSJ1514" s="879"/>
      <c r="DSK1514" s="879"/>
      <c r="DSL1514" s="879"/>
      <c r="DSM1514" s="879"/>
      <c r="DSN1514" s="879"/>
      <c r="DSO1514" s="879"/>
      <c r="DSP1514" s="879"/>
      <c r="DSQ1514" s="879"/>
      <c r="DSR1514" s="879"/>
      <c r="DSS1514" s="879"/>
      <c r="DST1514" s="879"/>
      <c r="DSU1514" s="879"/>
      <c r="DSV1514" s="879"/>
      <c r="DSW1514" s="879"/>
      <c r="DSX1514" s="879"/>
      <c r="DSY1514" s="879"/>
      <c r="DSZ1514" s="879"/>
      <c r="DTA1514" s="879"/>
      <c r="DTB1514" s="879"/>
      <c r="DTC1514" s="879"/>
      <c r="DTD1514" s="879"/>
      <c r="DTE1514" s="879"/>
      <c r="DTF1514" s="879"/>
      <c r="DTG1514" s="879"/>
      <c r="DTH1514" s="879"/>
      <c r="DTI1514" s="879"/>
      <c r="DTJ1514" s="879"/>
      <c r="DTK1514" s="879"/>
      <c r="DTL1514" s="879"/>
      <c r="DTM1514" s="879"/>
      <c r="DTN1514" s="879"/>
      <c r="DTO1514" s="879"/>
      <c r="DTP1514" s="879"/>
      <c r="DTQ1514" s="879"/>
      <c r="DTR1514" s="879"/>
      <c r="DTS1514" s="879"/>
      <c r="DTT1514" s="879"/>
      <c r="DTU1514" s="879"/>
      <c r="DTV1514" s="879"/>
      <c r="DTW1514" s="879"/>
      <c r="DTX1514" s="879"/>
      <c r="DTY1514" s="879"/>
      <c r="DTZ1514" s="879"/>
      <c r="DUA1514" s="879"/>
      <c r="DUB1514" s="879"/>
      <c r="DUC1514" s="879"/>
      <c r="DUD1514" s="879"/>
      <c r="DUE1514" s="879"/>
      <c r="DUF1514" s="879"/>
      <c r="DUG1514" s="879"/>
      <c r="DUH1514" s="879"/>
      <c r="DUI1514" s="879"/>
      <c r="DUJ1514" s="879"/>
      <c r="DUK1514" s="879"/>
      <c r="DUL1514" s="879"/>
      <c r="DUM1514" s="879"/>
      <c r="DUN1514" s="879"/>
      <c r="DUO1514" s="879"/>
      <c r="DUP1514" s="879"/>
      <c r="DUQ1514" s="879"/>
      <c r="DUR1514" s="879"/>
      <c r="DUS1514" s="879"/>
      <c r="DUT1514" s="879"/>
      <c r="DUU1514" s="879"/>
      <c r="DUV1514" s="879"/>
      <c r="DUW1514" s="879"/>
      <c r="DUX1514" s="879"/>
      <c r="DUY1514" s="879"/>
      <c r="DUZ1514" s="879"/>
      <c r="DVA1514" s="879"/>
      <c r="DVB1514" s="879"/>
      <c r="DVC1514" s="879"/>
      <c r="DVD1514" s="879"/>
      <c r="DVE1514" s="879"/>
      <c r="DVF1514" s="879"/>
      <c r="DVG1514" s="879"/>
      <c r="DVH1514" s="879"/>
      <c r="DVI1514" s="879"/>
      <c r="DVJ1514" s="879"/>
      <c r="DVK1514" s="879"/>
      <c r="DVL1514" s="879"/>
      <c r="DVM1514" s="879"/>
      <c r="DVN1514" s="879"/>
      <c r="DVO1514" s="879"/>
      <c r="DVP1514" s="879"/>
      <c r="DVQ1514" s="879"/>
      <c r="DVR1514" s="879"/>
      <c r="DVS1514" s="879"/>
      <c r="DVT1514" s="879"/>
      <c r="DVU1514" s="879"/>
      <c r="DVV1514" s="879"/>
      <c r="DVW1514" s="879"/>
      <c r="DVX1514" s="879"/>
      <c r="DVY1514" s="879"/>
      <c r="DVZ1514" s="879"/>
      <c r="DWA1514" s="879"/>
      <c r="DWB1514" s="879"/>
      <c r="DWC1514" s="879"/>
      <c r="DWD1514" s="879"/>
      <c r="DWE1514" s="879"/>
      <c r="DWF1514" s="879"/>
      <c r="DWG1514" s="879"/>
      <c r="DWH1514" s="879"/>
      <c r="DWI1514" s="879"/>
      <c r="DWJ1514" s="879"/>
      <c r="DWK1514" s="879"/>
      <c r="DWL1514" s="879"/>
      <c r="DWM1514" s="879"/>
      <c r="DWN1514" s="879"/>
      <c r="DWO1514" s="879"/>
      <c r="DWP1514" s="879"/>
      <c r="DWQ1514" s="879"/>
      <c r="DWR1514" s="879"/>
      <c r="DWS1514" s="879"/>
      <c r="DWT1514" s="879"/>
      <c r="DWU1514" s="879"/>
      <c r="DWV1514" s="879"/>
      <c r="DWW1514" s="879"/>
      <c r="DWX1514" s="879"/>
      <c r="DWY1514" s="879"/>
      <c r="DWZ1514" s="879"/>
      <c r="DXA1514" s="879"/>
      <c r="DXB1514" s="879"/>
      <c r="DXC1514" s="879"/>
      <c r="DXD1514" s="879"/>
      <c r="DXE1514" s="879"/>
      <c r="DXF1514" s="879"/>
      <c r="DXG1514" s="879"/>
      <c r="DXH1514" s="879"/>
      <c r="DXI1514" s="879"/>
      <c r="DXJ1514" s="879"/>
      <c r="DXK1514" s="879"/>
      <c r="DXL1514" s="879"/>
      <c r="DXM1514" s="879"/>
      <c r="DXN1514" s="879"/>
      <c r="DXO1514" s="879"/>
      <c r="DXP1514" s="879"/>
      <c r="DXQ1514" s="879"/>
      <c r="DXR1514" s="879"/>
      <c r="DXS1514" s="879"/>
      <c r="DXT1514" s="879"/>
      <c r="DXU1514" s="879"/>
      <c r="DXV1514" s="879"/>
      <c r="DXW1514" s="879"/>
      <c r="DXX1514" s="879"/>
      <c r="DXY1514" s="879"/>
      <c r="DXZ1514" s="879"/>
      <c r="DYA1514" s="879"/>
      <c r="DYB1514" s="879"/>
      <c r="DYC1514" s="879"/>
      <c r="DYD1514" s="879"/>
      <c r="DYE1514" s="879"/>
      <c r="DYF1514" s="879"/>
      <c r="DYG1514" s="879"/>
      <c r="DYH1514" s="879"/>
      <c r="DYI1514" s="879"/>
      <c r="DYJ1514" s="879"/>
      <c r="DYK1514" s="879"/>
      <c r="DYL1514" s="879"/>
      <c r="DYM1514" s="879"/>
      <c r="DYN1514" s="879"/>
      <c r="DYO1514" s="879"/>
      <c r="DYP1514" s="879"/>
      <c r="DYQ1514" s="879"/>
      <c r="DYR1514" s="879"/>
      <c r="DYS1514" s="879"/>
      <c r="DYT1514" s="879"/>
      <c r="DYU1514" s="879"/>
      <c r="DYV1514" s="879"/>
      <c r="DYW1514" s="879"/>
      <c r="DYX1514" s="879"/>
      <c r="DYY1514" s="879"/>
      <c r="DYZ1514" s="879"/>
      <c r="DZA1514" s="879"/>
      <c r="DZB1514" s="879"/>
      <c r="DZC1514" s="879"/>
      <c r="DZD1514" s="879"/>
      <c r="DZE1514" s="879"/>
      <c r="DZF1514" s="879"/>
      <c r="DZG1514" s="879"/>
      <c r="DZH1514" s="879"/>
      <c r="DZI1514" s="879"/>
      <c r="DZJ1514" s="879"/>
      <c r="DZK1514" s="879"/>
      <c r="DZL1514" s="879"/>
      <c r="DZM1514" s="879"/>
      <c r="DZN1514" s="879"/>
      <c r="DZO1514" s="879"/>
      <c r="DZP1514" s="879"/>
      <c r="DZQ1514" s="879"/>
      <c r="DZR1514" s="879"/>
      <c r="DZS1514" s="879"/>
      <c r="DZT1514" s="879"/>
      <c r="DZU1514" s="879"/>
      <c r="DZV1514" s="879"/>
      <c r="DZW1514" s="879"/>
      <c r="DZX1514" s="879"/>
      <c r="DZY1514" s="879"/>
      <c r="DZZ1514" s="879"/>
      <c r="EAA1514" s="879"/>
      <c r="EAB1514" s="879"/>
      <c r="EAC1514" s="879"/>
      <c r="EAD1514" s="879"/>
      <c r="EAE1514" s="879"/>
      <c r="EAF1514" s="879"/>
      <c r="EAG1514" s="879"/>
      <c r="EAH1514" s="879"/>
      <c r="EAI1514" s="879"/>
      <c r="EAJ1514" s="879"/>
      <c r="EAK1514" s="879"/>
      <c r="EAL1514" s="879"/>
      <c r="EAM1514" s="879"/>
      <c r="EAN1514" s="879"/>
      <c r="EAO1514" s="879"/>
      <c r="EAP1514" s="879"/>
      <c r="EAQ1514" s="879"/>
      <c r="EAR1514" s="879"/>
      <c r="EAS1514" s="879"/>
      <c r="EAT1514" s="879"/>
      <c r="EAU1514" s="879"/>
      <c r="EAV1514" s="879"/>
      <c r="EAW1514" s="879"/>
      <c r="EAX1514" s="879"/>
      <c r="EAY1514" s="879"/>
      <c r="EAZ1514" s="879"/>
      <c r="EBA1514" s="879"/>
      <c r="EBB1514" s="879"/>
      <c r="EBC1514" s="879"/>
      <c r="EBD1514" s="879"/>
      <c r="EBE1514" s="879"/>
      <c r="EBF1514" s="879"/>
      <c r="EBG1514" s="879"/>
      <c r="EBH1514" s="879"/>
      <c r="EBI1514" s="879"/>
      <c r="EBJ1514" s="879"/>
      <c r="EBK1514" s="879"/>
      <c r="EBL1514" s="879"/>
      <c r="EBM1514" s="879"/>
      <c r="EBN1514" s="879"/>
      <c r="EBO1514" s="879"/>
      <c r="EBP1514" s="879"/>
      <c r="EBQ1514" s="879"/>
      <c r="EBR1514" s="879"/>
      <c r="EBS1514" s="879"/>
      <c r="EBT1514" s="879"/>
      <c r="EBU1514" s="879"/>
      <c r="EBV1514" s="879"/>
      <c r="EBW1514" s="879"/>
      <c r="EBX1514" s="879"/>
      <c r="EBY1514" s="879"/>
      <c r="EBZ1514" s="879"/>
      <c r="ECA1514" s="879"/>
      <c r="ECB1514" s="879"/>
      <c r="ECC1514" s="879"/>
      <c r="ECD1514" s="879"/>
      <c r="ECE1514" s="879"/>
      <c r="ECF1514" s="879"/>
      <c r="ECG1514" s="879"/>
      <c r="ECH1514" s="879"/>
      <c r="ECI1514" s="879"/>
      <c r="ECJ1514" s="879"/>
      <c r="ECK1514" s="879"/>
      <c r="ECL1514" s="879"/>
      <c r="ECM1514" s="879"/>
      <c r="ECN1514" s="879"/>
      <c r="ECO1514" s="879"/>
      <c r="ECP1514" s="879"/>
      <c r="ECQ1514" s="879"/>
      <c r="ECR1514" s="879"/>
      <c r="ECS1514" s="879"/>
      <c r="ECT1514" s="879"/>
      <c r="ECU1514" s="879"/>
      <c r="ECV1514" s="879"/>
      <c r="ECW1514" s="879"/>
      <c r="ECX1514" s="879"/>
      <c r="ECY1514" s="879"/>
      <c r="ECZ1514" s="879"/>
      <c r="EDA1514" s="879"/>
      <c r="EDB1514" s="879"/>
      <c r="EDC1514" s="879"/>
      <c r="EDD1514" s="879"/>
      <c r="EDE1514" s="879"/>
      <c r="EDF1514" s="879"/>
      <c r="EDG1514" s="879"/>
      <c r="EDH1514" s="879"/>
      <c r="EDI1514" s="879"/>
      <c r="EDJ1514" s="879"/>
      <c r="EDK1514" s="879"/>
      <c r="EDL1514" s="879"/>
      <c r="EDM1514" s="879"/>
      <c r="EDN1514" s="879"/>
      <c r="EDO1514" s="879"/>
      <c r="EDP1514" s="879"/>
      <c r="EDQ1514" s="879"/>
      <c r="EDR1514" s="879"/>
      <c r="EDS1514" s="879"/>
      <c r="EDT1514" s="879"/>
      <c r="EDU1514" s="879"/>
      <c r="EDV1514" s="879"/>
      <c r="EDW1514" s="879"/>
      <c r="EDX1514" s="879"/>
      <c r="EDY1514" s="879"/>
      <c r="EDZ1514" s="879"/>
      <c r="EEA1514" s="879"/>
      <c r="EEB1514" s="879"/>
      <c r="EEC1514" s="879"/>
      <c r="EED1514" s="879"/>
      <c r="EEE1514" s="879"/>
      <c r="EEF1514" s="879"/>
      <c r="EEG1514" s="879"/>
      <c r="EEH1514" s="879"/>
      <c r="EEI1514" s="879"/>
      <c r="EEJ1514" s="879"/>
      <c r="EEK1514" s="879"/>
      <c r="EEL1514" s="879"/>
      <c r="EEM1514" s="879"/>
      <c r="EEN1514" s="879"/>
      <c r="EEO1514" s="879"/>
      <c r="EEP1514" s="879"/>
      <c r="EEQ1514" s="879"/>
      <c r="EER1514" s="879"/>
      <c r="EES1514" s="879"/>
      <c r="EET1514" s="879"/>
      <c r="EEU1514" s="879"/>
      <c r="EEV1514" s="879"/>
      <c r="EEW1514" s="879"/>
      <c r="EEX1514" s="879"/>
      <c r="EEY1514" s="879"/>
      <c r="EEZ1514" s="879"/>
      <c r="EFA1514" s="879"/>
      <c r="EFB1514" s="879"/>
      <c r="EFC1514" s="879"/>
      <c r="EFD1514" s="879"/>
      <c r="EFE1514" s="879"/>
      <c r="EFF1514" s="879"/>
      <c r="EFG1514" s="879"/>
      <c r="EFH1514" s="879"/>
      <c r="EFI1514" s="879"/>
      <c r="EFJ1514" s="879"/>
      <c r="EFK1514" s="879"/>
      <c r="EFL1514" s="879"/>
      <c r="EFM1514" s="879"/>
      <c r="EFN1514" s="879"/>
      <c r="EFO1514" s="879"/>
      <c r="EFP1514" s="879"/>
      <c r="EFQ1514" s="879"/>
      <c r="EFR1514" s="879"/>
      <c r="EFS1514" s="879"/>
      <c r="EFT1514" s="879"/>
      <c r="EFU1514" s="879"/>
      <c r="EFV1514" s="879"/>
      <c r="EFW1514" s="879"/>
      <c r="EFX1514" s="879"/>
      <c r="EFY1514" s="879"/>
      <c r="EFZ1514" s="879"/>
      <c r="EGA1514" s="879"/>
      <c r="EGB1514" s="879"/>
      <c r="EGC1514" s="879"/>
      <c r="EGD1514" s="879"/>
      <c r="EGE1514" s="879"/>
      <c r="EGF1514" s="879"/>
      <c r="EGG1514" s="879"/>
      <c r="EGH1514" s="879"/>
      <c r="EGI1514" s="879"/>
      <c r="EGJ1514" s="879"/>
      <c r="EGK1514" s="879"/>
      <c r="EGL1514" s="879"/>
      <c r="EGM1514" s="879"/>
      <c r="EGN1514" s="879"/>
      <c r="EGO1514" s="879"/>
      <c r="EGP1514" s="879"/>
      <c r="EGQ1514" s="879"/>
      <c r="EGR1514" s="879"/>
      <c r="EGS1514" s="879"/>
      <c r="EGT1514" s="879"/>
      <c r="EGU1514" s="879"/>
      <c r="EGV1514" s="879"/>
      <c r="EGW1514" s="879"/>
      <c r="EGX1514" s="879"/>
      <c r="EGY1514" s="879"/>
      <c r="EGZ1514" s="879"/>
      <c r="EHA1514" s="879"/>
      <c r="EHB1514" s="879"/>
      <c r="EHC1514" s="879"/>
      <c r="EHD1514" s="879"/>
      <c r="EHE1514" s="879"/>
      <c r="EHF1514" s="879"/>
      <c r="EHG1514" s="879"/>
      <c r="EHH1514" s="879"/>
      <c r="EHI1514" s="879"/>
      <c r="EHJ1514" s="879"/>
      <c r="EHK1514" s="879"/>
      <c r="EHL1514" s="879"/>
      <c r="EHM1514" s="879"/>
      <c r="EHN1514" s="879"/>
      <c r="EHO1514" s="879"/>
      <c r="EHP1514" s="879"/>
      <c r="EHQ1514" s="879"/>
      <c r="EHR1514" s="879"/>
      <c r="EHS1514" s="879"/>
      <c r="EHT1514" s="879"/>
      <c r="EHU1514" s="879"/>
      <c r="EHV1514" s="879"/>
      <c r="EHW1514" s="879"/>
      <c r="EHX1514" s="879"/>
      <c r="EHY1514" s="879"/>
      <c r="EHZ1514" s="879"/>
      <c r="EIA1514" s="879"/>
      <c r="EIB1514" s="879"/>
      <c r="EIC1514" s="879"/>
      <c r="EID1514" s="879"/>
      <c r="EIE1514" s="879"/>
      <c r="EIF1514" s="879"/>
      <c r="EIG1514" s="879"/>
      <c r="EIH1514" s="879"/>
      <c r="EII1514" s="879"/>
      <c r="EIJ1514" s="879"/>
      <c r="EIK1514" s="879"/>
      <c r="EIL1514" s="879"/>
      <c r="EIM1514" s="879"/>
      <c r="EIN1514" s="879"/>
      <c r="EIO1514" s="879"/>
      <c r="EIP1514" s="879"/>
      <c r="EIQ1514" s="879"/>
      <c r="EIR1514" s="879"/>
      <c r="EIS1514" s="879"/>
      <c r="EIT1514" s="879"/>
      <c r="EIU1514" s="879"/>
      <c r="EIV1514" s="879"/>
      <c r="EIW1514" s="879"/>
      <c r="EIX1514" s="879"/>
      <c r="EIY1514" s="879"/>
      <c r="EIZ1514" s="879"/>
      <c r="EJA1514" s="879"/>
      <c r="EJB1514" s="879"/>
      <c r="EJC1514" s="879"/>
      <c r="EJD1514" s="879"/>
      <c r="EJE1514" s="879"/>
      <c r="EJF1514" s="879"/>
      <c r="EJG1514" s="879"/>
      <c r="EJH1514" s="879"/>
      <c r="EJI1514" s="879"/>
      <c r="EJJ1514" s="879"/>
      <c r="EJK1514" s="879"/>
      <c r="EJL1514" s="879"/>
      <c r="EJM1514" s="879"/>
      <c r="EJN1514" s="879"/>
      <c r="EJO1514" s="879"/>
      <c r="EJP1514" s="879"/>
      <c r="EJQ1514" s="879"/>
      <c r="EJR1514" s="879"/>
      <c r="EJS1514" s="879"/>
      <c r="EJT1514" s="879"/>
      <c r="EJU1514" s="879"/>
      <c r="EJV1514" s="879"/>
      <c r="EJW1514" s="879"/>
      <c r="EJX1514" s="879"/>
      <c r="EJY1514" s="879"/>
      <c r="EJZ1514" s="879"/>
      <c r="EKA1514" s="879"/>
      <c r="EKB1514" s="879"/>
      <c r="EKC1514" s="879"/>
      <c r="EKD1514" s="879"/>
      <c r="EKE1514" s="879"/>
      <c r="EKF1514" s="879"/>
      <c r="EKG1514" s="879"/>
      <c r="EKH1514" s="879"/>
      <c r="EKI1514" s="879"/>
      <c r="EKJ1514" s="879"/>
      <c r="EKK1514" s="879"/>
      <c r="EKL1514" s="879"/>
      <c r="EKM1514" s="879"/>
      <c r="EKN1514" s="879"/>
      <c r="EKO1514" s="879"/>
      <c r="EKP1514" s="879"/>
      <c r="EKQ1514" s="879"/>
      <c r="EKR1514" s="879"/>
      <c r="EKS1514" s="879"/>
      <c r="EKT1514" s="879"/>
      <c r="EKU1514" s="879"/>
      <c r="EKV1514" s="879"/>
      <c r="EKW1514" s="879"/>
      <c r="EKX1514" s="879"/>
      <c r="EKY1514" s="879"/>
      <c r="EKZ1514" s="879"/>
      <c r="ELA1514" s="879"/>
      <c r="ELB1514" s="879"/>
      <c r="ELC1514" s="879"/>
      <c r="ELD1514" s="879"/>
      <c r="ELE1514" s="879"/>
      <c r="ELF1514" s="879"/>
      <c r="ELG1514" s="879"/>
      <c r="ELH1514" s="879"/>
      <c r="ELI1514" s="879"/>
      <c r="ELJ1514" s="879"/>
      <c r="ELK1514" s="879"/>
      <c r="ELL1514" s="879"/>
      <c r="ELM1514" s="879"/>
      <c r="ELN1514" s="879"/>
      <c r="ELO1514" s="879"/>
      <c r="ELP1514" s="879"/>
      <c r="ELQ1514" s="879"/>
      <c r="ELR1514" s="879"/>
      <c r="ELS1514" s="879"/>
      <c r="ELT1514" s="879"/>
      <c r="ELU1514" s="879"/>
      <c r="ELV1514" s="879"/>
      <c r="ELW1514" s="879"/>
      <c r="ELX1514" s="879"/>
      <c r="ELY1514" s="879"/>
      <c r="ELZ1514" s="879"/>
      <c r="EMA1514" s="879"/>
      <c r="EMB1514" s="879"/>
      <c r="EMC1514" s="879"/>
      <c r="EMD1514" s="879"/>
      <c r="EME1514" s="879"/>
      <c r="EMF1514" s="879"/>
      <c r="EMG1514" s="879"/>
      <c r="EMH1514" s="879"/>
      <c r="EMI1514" s="879"/>
      <c r="EMJ1514" s="879"/>
      <c r="EMK1514" s="879"/>
      <c r="EML1514" s="879"/>
      <c r="EMM1514" s="879"/>
      <c r="EMN1514" s="879"/>
      <c r="EMO1514" s="879"/>
      <c r="EMP1514" s="879"/>
      <c r="EMQ1514" s="879"/>
      <c r="EMR1514" s="879"/>
      <c r="EMS1514" s="879"/>
      <c r="EMT1514" s="879"/>
      <c r="EMU1514" s="879"/>
      <c r="EMV1514" s="879"/>
      <c r="EMW1514" s="879"/>
      <c r="EMX1514" s="879"/>
      <c r="EMY1514" s="879"/>
      <c r="EMZ1514" s="879"/>
      <c r="ENA1514" s="879"/>
      <c r="ENB1514" s="879"/>
      <c r="ENC1514" s="879"/>
      <c r="END1514" s="879"/>
      <c r="ENE1514" s="879"/>
      <c r="ENF1514" s="879"/>
      <c r="ENG1514" s="879"/>
      <c r="ENH1514" s="879"/>
      <c r="ENI1514" s="879"/>
      <c r="ENJ1514" s="879"/>
      <c r="ENK1514" s="879"/>
      <c r="ENL1514" s="879"/>
      <c r="ENM1514" s="879"/>
      <c r="ENN1514" s="879"/>
      <c r="ENO1514" s="879"/>
      <c r="ENP1514" s="879"/>
      <c r="ENQ1514" s="879"/>
      <c r="ENR1514" s="879"/>
      <c r="ENS1514" s="879"/>
      <c r="ENT1514" s="879"/>
      <c r="ENU1514" s="879"/>
      <c r="ENV1514" s="879"/>
      <c r="ENW1514" s="879"/>
      <c r="ENX1514" s="879"/>
      <c r="ENY1514" s="879"/>
      <c r="ENZ1514" s="879"/>
      <c r="EOA1514" s="879"/>
      <c r="EOB1514" s="879"/>
      <c r="EOC1514" s="879"/>
      <c r="EOD1514" s="879"/>
      <c r="EOE1514" s="879"/>
      <c r="EOF1514" s="879"/>
      <c r="EOG1514" s="879"/>
      <c r="EOH1514" s="879"/>
      <c r="EOI1514" s="879"/>
      <c r="EOJ1514" s="879"/>
      <c r="EOK1514" s="879"/>
      <c r="EOL1514" s="879"/>
      <c r="EOM1514" s="879"/>
      <c r="EON1514" s="879"/>
      <c r="EOO1514" s="879"/>
      <c r="EOP1514" s="879"/>
      <c r="EOQ1514" s="879"/>
      <c r="EOR1514" s="879"/>
      <c r="EOS1514" s="879"/>
      <c r="EOT1514" s="879"/>
      <c r="EOU1514" s="879"/>
      <c r="EOV1514" s="879"/>
      <c r="EOW1514" s="879"/>
      <c r="EOX1514" s="879"/>
      <c r="EOY1514" s="879"/>
      <c r="EOZ1514" s="879"/>
      <c r="EPA1514" s="879"/>
      <c r="EPB1514" s="879"/>
      <c r="EPC1514" s="879"/>
      <c r="EPD1514" s="879"/>
      <c r="EPE1514" s="879"/>
      <c r="EPF1514" s="879"/>
      <c r="EPG1514" s="879"/>
      <c r="EPH1514" s="879"/>
      <c r="EPI1514" s="879"/>
      <c r="EPJ1514" s="879"/>
      <c r="EPK1514" s="879"/>
      <c r="EPL1514" s="879"/>
      <c r="EPM1514" s="879"/>
      <c r="EPN1514" s="879"/>
      <c r="EPO1514" s="879"/>
      <c r="EPP1514" s="879"/>
      <c r="EPQ1514" s="879"/>
      <c r="EPR1514" s="879"/>
      <c r="EPS1514" s="879"/>
      <c r="EPT1514" s="879"/>
      <c r="EPU1514" s="879"/>
      <c r="EPV1514" s="879"/>
      <c r="EPW1514" s="879"/>
      <c r="EPX1514" s="879"/>
      <c r="EPY1514" s="879"/>
      <c r="EPZ1514" s="879"/>
      <c r="EQA1514" s="879"/>
      <c r="EQB1514" s="879"/>
      <c r="EQC1514" s="879"/>
      <c r="EQD1514" s="879"/>
      <c r="EQE1514" s="879"/>
      <c r="EQF1514" s="879"/>
      <c r="EQG1514" s="879"/>
      <c r="EQH1514" s="879"/>
      <c r="EQI1514" s="879"/>
      <c r="EQJ1514" s="879"/>
      <c r="EQK1514" s="879"/>
      <c r="EQL1514" s="879"/>
      <c r="EQM1514" s="879"/>
      <c r="EQN1514" s="879"/>
      <c r="EQO1514" s="879"/>
      <c r="EQP1514" s="879"/>
      <c r="EQQ1514" s="879"/>
      <c r="EQR1514" s="879"/>
      <c r="EQS1514" s="879"/>
      <c r="EQT1514" s="879"/>
      <c r="EQU1514" s="879"/>
      <c r="EQV1514" s="879"/>
      <c r="EQW1514" s="879"/>
      <c r="EQX1514" s="879"/>
      <c r="EQY1514" s="879"/>
      <c r="EQZ1514" s="879"/>
      <c r="ERA1514" s="879"/>
      <c r="ERB1514" s="879"/>
      <c r="ERC1514" s="879"/>
      <c r="ERD1514" s="879"/>
      <c r="ERE1514" s="879"/>
      <c r="ERF1514" s="879"/>
      <c r="ERG1514" s="879"/>
      <c r="ERH1514" s="879"/>
      <c r="ERI1514" s="879"/>
      <c r="ERJ1514" s="879"/>
      <c r="ERK1514" s="879"/>
      <c r="ERL1514" s="879"/>
      <c r="ERM1514" s="879"/>
      <c r="ERN1514" s="879"/>
      <c r="ERO1514" s="879"/>
      <c r="ERP1514" s="879"/>
      <c r="ERQ1514" s="879"/>
      <c r="ERR1514" s="879"/>
      <c r="ERS1514" s="879"/>
      <c r="ERT1514" s="879"/>
      <c r="ERU1514" s="879"/>
      <c r="ERV1514" s="879"/>
      <c r="ERW1514" s="879"/>
      <c r="ERX1514" s="879"/>
      <c r="ERY1514" s="879"/>
      <c r="ERZ1514" s="879"/>
      <c r="ESA1514" s="879"/>
      <c r="ESB1514" s="879"/>
      <c r="ESC1514" s="879"/>
      <c r="ESD1514" s="879"/>
      <c r="ESE1514" s="879"/>
      <c r="ESF1514" s="879"/>
      <c r="ESG1514" s="879"/>
      <c r="ESH1514" s="879"/>
      <c r="ESI1514" s="879"/>
      <c r="ESJ1514" s="879"/>
      <c r="ESK1514" s="879"/>
      <c r="ESL1514" s="879"/>
      <c r="ESM1514" s="879"/>
      <c r="ESN1514" s="879"/>
      <c r="ESO1514" s="879"/>
      <c r="ESP1514" s="879"/>
      <c r="ESQ1514" s="879"/>
      <c r="ESR1514" s="879"/>
      <c r="ESS1514" s="879"/>
      <c r="EST1514" s="879"/>
      <c r="ESU1514" s="879"/>
      <c r="ESV1514" s="879"/>
      <c r="ESW1514" s="879"/>
      <c r="ESX1514" s="879"/>
      <c r="ESY1514" s="879"/>
      <c r="ESZ1514" s="879"/>
      <c r="ETA1514" s="879"/>
      <c r="ETB1514" s="879"/>
      <c r="ETC1514" s="879"/>
      <c r="ETD1514" s="879"/>
      <c r="ETE1514" s="879"/>
      <c r="ETF1514" s="879"/>
      <c r="ETG1514" s="879"/>
      <c r="ETH1514" s="879"/>
      <c r="ETI1514" s="879"/>
      <c r="ETJ1514" s="879"/>
      <c r="ETK1514" s="879"/>
      <c r="ETL1514" s="879"/>
      <c r="ETM1514" s="879"/>
      <c r="ETN1514" s="879"/>
      <c r="ETO1514" s="879"/>
      <c r="ETP1514" s="879"/>
      <c r="ETQ1514" s="879"/>
      <c r="ETR1514" s="879"/>
      <c r="ETS1514" s="879"/>
      <c r="ETT1514" s="879"/>
      <c r="ETU1514" s="879"/>
      <c r="ETV1514" s="879"/>
      <c r="ETW1514" s="879"/>
      <c r="ETX1514" s="879"/>
      <c r="ETY1514" s="879"/>
      <c r="ETZ1514" s="879"/>
      <c r="EUA1514" s="879"/>
      <c r="EUB1514" s="879"/>
      <c r="EUC1514" s="879"/>
      <c r="EUD1514" s="879"/>
      <c r="EUE1514" s="879"/>
      <c r="EUF1514" s="879"/>
      <c r="EUG1514" s="879"/>
      <c r="EUH1514" s="879"/>
      <c r="EUI1514" s="879"/>
      <c r="EUJ1514" s="879"/>
      <c r="EUK1514" s="879"/>
      <c r="EUL1514" s="879"/>
      <c r="EUM1514" s="879"/>
      <c r="EUN1514" s="879"/>
      <c r="EUO1514" s="879"/>
      <c r="EUP1514" s="879"/>
      <c r="EUQ1514" s="879"/>
      <c r="EUR1514" s="879"/>
      <c r="EUS1514" s="879"/>
      <c r="EUT1514" s="879"/>
      <c r="EUU1514" s="879"/>
      <c r="EUV1514" s="879"/>
      <c r="EUW1514" s="879"/>
      <c r="EUX1514" s="879"/>
      <c r="EUY1514" s="879"/>
      <c r="EUZ1514" s="879"/>
      <c r="EVA1514" s="879"/>
      <c r="EVB1514" s="879"/>
      <c r="EVC1514" s="879"/>
      <c r="EVD1514" s="879"/>
      <c r="EVE1514" s="879"/>
      <c r="EVF1514" s="879"/>
      <c r="EVG1514" s="879"/>
      <c r="EVH1514" s="879"/>
      <c r="EVI1514" s="879"/>
      <c r="EVJ1514" s="879"/>
      <c r="EVK1514" s="879"/>
      <c r="EVL1514" s="879"/>
      <c r="EVM1514" s="879"/>
      <c r="EVN1514" s="879"/>
      <c r="EVO1514" s="879"/>
      <c r="EVP1514" s="879"/>
      <c r="EVQ1514" s="879"/>
      <c r="EVR1514" s="879"/>
      <c r="EVS1514" s="879"/>
      <c r="EVT1514" s="879"/>
      <c r="EVU1514" s="879"/>
      <c r="EVV1514" s="879"/>
      <c r="EVW1514" s="879"/>
      <c r="EVX1514" s="879"/>
      <c r="EVY1514" s="879"/>
      <c r="EVZ1514" s="879"/>
      <c r="EWA1514" s="879"/>
      <c r="EWB1514" s="879"/>
      <c r="EWC1514" s="879"/>
      <c r="EWD1514" s="879"/>
      <c r="EWE1514" s="879"/>
      <c r="EWF1514" s="879"/>
      <c r="EWG1514" s="879"/>
      <c r="EWH1514" s="879"/>
      <c r="EWI1514" s="879"/>
      <c r="EWJ1514" s="879"/>
      <c r="EWK1514" s="879"/>
      <c r="EWL1514" s="879"/>
      <c r="EWM1514" s="879"/>
      <c r="EWN1514" s="879"/>
      <c r="EWO1514" s="879"/>
      <c r="EWP1514" s="879"/>
      <c r="EWQ1514" s="879"/>
      <c r="EWR1514" s="879"/>
      <c r="EWS1514" s="879"/>
      <c r="EWT1514" s="879"/>
      <c r="EWU1514" s="879"/>
      <c r="EWV1514" s="879"/>
      <c r="EWW1514" s="879"/>
      <c r="EWX1514" s="879"/>
      <c r="EWY1514" s="879"/>
      <c r="EWZ1514" s="879"/>
      <c r="EXA1514" s="879"/>
      <c r="EXB1514" s="879"/>
      <c r="EXC1514" s="879"/>
      <c r="EXD1514" s="879"/>
      <c r="EXE1514" s="879"/>
      <c r="EXF1514" s="879"/>
      <c r="EXG1514" s="879"/>
      <c r="EXH1514" s="879"/>
      <c r="EXI1514" s="879"/>
      <c r="EXJ1514" s="879"/>
      <c r="EXK1514" s="879"/>
      <c r="EXL1514" s="879"/>
      <c r="EXM1514" s="879"/>
      <c r="EXN1514" s="879"/>
      <c r="EXO1514" s="879"/>
      <c r="EXP1514" s="879"/>
      <c r="EXQ1514" s="879"/>
      <c r="EXR1514" s="879"/>
      <c r="EXS1514" s="879"/>
      <c r="EXT1514" s="879"/>
      <c r="EXU1514" s="879"/>
      <c r="EXV1514" s="879"/>
      <c r="EXW1514" s="879"/>
      <c r="EXX1514" s="879"/>
      <c r="EXY1514" s="879"/>
      <c r="EXZ1514" s="879"/>
      <c r="EYA1514" s="879"/>
      <c r="EYB1514" s="879"/>
      <c r="EYC1514" s="879"/>
      <c r="EYD1514" s="879"/>
      <c r="EYE1514" s="879"/>
      <c r="EYF1514" s="879"/>
      <c r="EYG1514" s="879"/>
      <c r="EYH1514" s="879"/>
      <c r="EYI1514" s="879"/>
      <c r="EYJ1514" s="879"/>
      <c r="EYK1514" s="879"/>
      <c r="EYL1514" s="879"/>
      <c r="EYM1514" s="879"/>
      <c r="EYN1514" s="879"/>
      <c r="EYO1514" s="879"/>
      <c r="EYP1514" s="879"/>
      <c r="EYQ1514" s="879"/>
      <c r="EYR1514" s="879"/>
      <c r="EYS1514" s="879"/>
      <c r="EYT1514" s="879"/>
      <c r="EYU1514" s="879"/>
      <c r="EYV1514" s="879"/>
      <c r="EYW1514" s="879"/>
      <c r="EYX1514" s="879"/>
      <c r="EYY1514" s="879"/>
      <c r="EYZ1514" s="879"/>
      <c r="EZA1514" s="879"/>
      <c r="EZB1514" s="879"/>
      <c r="EZC1514" s="879"/>
      <c r="EZD1514" s="879"/>
      <c r="EZE1514" s="879"/>
      <c r="EZF1514" s="879"/>
      <c r="EZG1514" s="879"/>
      <c r="EZH1514" s="879"/>
      <c r="EZI1514" s="879"/>
      <c r="EZJ1514" s="879"/>
      <c r="EZK1514" s="879"/>
      <c r="EZL1514" s="879"/>
      <c r="EZM1514" s="879"/>
      <c r="EZN1514" s="879"/>
      <c r="EZO1514" s="879"/>
      <c r="EZP1514" s="879"/>
      <c r="EZQ1514" s="879"/>
      <c r="EZR1514" s="879"/>
      <c r="EZS1514" s="879"/>
      <c r="EZT1514" s="879"/>
      <c r="EZU1514" s="879"/>
      <c r="EZV1514" s="879"/>
      <c r="EZW1514" s="879"/>
      <c r="EZX1514" s="879"/>
      <c r="EZY1514" s="879"/>
      <c r="EZZ1514" s="879"/>
      <c r="FAA1514" s="879"/>
      <c r="FAB1514" s="879"/>
      <c r="FAC1514" s="879"/>
      <c r="FAD1514" s="879"/>
      <c r="FAE1514" s="879"/>
      <c r="FAF1514" s="879"/>
      <c r="FAG1514" s="879"/>
      <c r="FAH1514" s="879"/>
      <c r="FAI1514" s="879"/>
      <c r="FAJ1514" s="879"/>
      <c r="FAK1514" s="879"/>
      <c r="FAL1514" s="879"/>
      <c r="FAM1514" s="879"/>
      <c r="FAN1514" s="879"/>
      <c r="FAO1514" s="879"/>
      <c r="FAP1514" s="879"/>
      <c r="FAQ1514" s="879"/>
      <c r="FAR1514" s="879"/>
      <c r="FAS1514" s="879"/>
      <c r="FAT1514" s="879"/>
      <c r="FAU1514" s="879"/>
      <c r="FAV1514" s="879"/>
      <c r="FAW1514" s="879"/>
      <c r="FAX1514" s="879"/>
      <c r="FAY1514" s="879"/>
      <c r="FAZ1514" s="879"/>
      <c r="FBA1514" s="879"/>
      <c r="FBB1514" s="879"/>
      <c r="FBC1514" s="879"/>
      <c r="FBD1514" s="879"/>
      <c r="FBE1514" s="879"/>
      <c r="FBF1514" s="879"/>
      <c r="FBG1514" s="879"/>
      <c r="FBH1514" s="879"/>
      <c r="FBI1514" s="879"/>
      <c r="FBJ1514" s="879"/>
      <c r="FBK1514" s="879"/>
      <c r="FBL1514" s="879"/>
      <c r="FBM1514" s="879"/>
      <c r="FBN1514" s="879"/>
      <c r="FBO1514" s="879"/>
      <c r="FBP1514" s="879"/>
      <c r="FBQ1514" s="879"/>
      <c r="FBR1514" s="879"/>
      <c r="FBS1514" s="879"/>
      <c r="FBT1514" s="879"/>
      <c r="FBU1514" s="879"/>
      <c r="FBV1514" s="879"/>
      <c r="FBW1514" s="879"/>
      <c r="FBX1514" s="879"/>
      <c r="FBY1514" s="879"/>
      <c r="FBZ1514" s="879"/>
      <c r="FCA1514" s="879"/>
      <c r="FCB1514" s="879"/>
      <c r="FCC1514" s="879"/>
      <c r="FCD1514" s="879"/>
      <c r="FCE1514" s="879"/>
      <c r="FCF1514" s="879"/>
      <c r="FCG1514" s="879"/>
      <c r="FCH1514" s="879"/>
      <c r="FCI1514" s="879"/>
      <c r="FCJ1514" s="879"/>
      <c r="FCK1514" s="879"/>
      <c r="FCL1514" s="879"/>
      <c r="FCM1514" s="879"/>
      <c r="FCN1514" s="879"/>
      <c r="FCO1514" s="879"/>
      <c r="FCP1514" s="879"/>
      <c r="FCQ1514" s="879"/>
      <c r="FCR1514" s="879"/>
      <c r="FCS1514" s="879"/>
      <c r="FCT1514" s="879"/>
      <c r="FCU1514" s="879"/>
      <c r="FCV1514" s="879"/>
      <c r="FCW1514" s="879"/>
      <c r="FCX1514" s="879"/>
      <c r="FCY1514" s="879"/>
      <c r="FCZ1514" s="879"/>
      <c r="FDA1514" s="879"/>
      <c r="FDB1514" s="879"/>
      <c r="FDC1514" s="879"/>
      <c r="FDD1514" s="879"/>
      <c r="FDE1514" s="879"/>
      <c r="FDF1514" s="879"/>
      <c r="FDG1514" s="879"/>
      <c r="FDH1514" s="879"/>
      <c r="FDI1514" s="879"/>
      <c r="FDJ1514" s="879"/>
      <c r="FDK1514" s="879"/>
      <c r="FDL1514" s="879"/>
      <c r="FDM1514" s="879"/>
      <c r="FDN1514" s="879"/>
      <c r="FDO1514" s="879"/>
      <c r="FDP1514" s="879"/>
      <c r="FDQ1514" s="879"/>
      <c r="FDR1514" s="879"/>
      <c r="FDS1514" s="879"/>
      <c r="FDT1514" s="879"/>
      <c r="FDU1514" s="879"/>
      <c r="FDV1514" s="879"/>
      <c r="FDW1514" s="879"/>
      <c r="FDX1514" s="879"/>
      <c r="FDY1514" s="879"/>
      <c r="FDZ1514" s="879"/>
      <c r="FEA1514" s="879"/>
      <c r="FEB1514" s="879"/>
      <c r="FEC1514" s="879"/>
      <c r="FED1514" s="879"/>
      <c r="FEE1514" s="879"/>
      <c r="FEF1514" s="879"/>
      <c r="FEG1514" s="879"/>
      <c r="FEH1514" s="879"/>
      <c r="FEI1514" s="879"/>
      <c r="FEJ1514" s="879"/>
      <c r="FEK1514" s="879"/>
      <c r="FEL1514" s="879"/>
      <c r="FEM1514" s="879"/>
      <c r="FEN1514" s="879"/>
      <c r="FEO1514" s="879"/>
      <c r="FEP1514" s="879"/>
      <c r="FEQ1514" s="879"/>
      <c r="FER1514" s="879"/>
      <c r="FES1514" s="879"/>
      <c r="FET1514" s="879"/>
      <c r="FEU1514" s="879"/>
      <c r="FEV1514" s="879"/>
      <c r="FEW1514" s="879"/>
      <c r="FEX1514" s="879"/>
      <c r="FEY1514" s="879"/>
      <c r="FEZ1514" s="879"/>
      <c r="FFA1514" s="879"/>
      <c r="FFB1514" s="879"/>
      <c r="FFC1514" s="879"/>
      <c r="FFD1514" s="879"/>
      <c r="FFE1514" s="879"/>
      <c r="FFF1514" s="879"/>
      <c r="FFG1514" s="879"/>
      <c r="FFH1514" s="879"/>
      <c r="FFI1514" s="879"/>
      <c r="FFJ1514" s="879"/>
      <c r="FFK1514" s="879"/>
      <c r="FFL1514" s="879"/>
      <c r="FFM1514" s="879"/>
      <c r="FFN1514" s="879"/>
      <c r="FFO1514" s="879"/>
      <c r="FFP1514" s="879"/>
      <c r="FFQ1514" s="879"/>
      <c r="FFR1514" s="879"/>
      <c r="FFS1514" s="879"/>
      <c r="FFT1514" s="879"/>
      <c r="FFU1514" s="879"/>
      <c r="FFV1514" s="879"/>
      <c r="FFW1514" s="879"/>
      <c r="FFX1514" s="879"/>
      <c r="FFY1514" s="879"/>
      <c r="FFZ1514" s="879"/>
      <c r="FGA1514" s="879"/>
      <c r="FGB1514" s="879"/>
      <c r="FGC1514" s="879"/>
      <c r="FGD1514" s="879"/>
      <c r="FGE1514" s="879"/>
      <c r="FGF1514" s="879"/>
      <c r="FGG1514" s="879"/>
      <c r="FGH1514" s="879"/>
      <c r="FGI1514" s="879"/>
      <c r="FGJ1514" s="879"/>
      <c r="FGK1514" s="879"/>
      <c r="FGL1514" s="879"/>
      <c r="FGM1514" s="879"/>
      <c r="FGN1514" s="879"/>
      <c r="FGO1514" s="879"/>
      <c r="FGP1514" s="879"/>
      <c r="FGQ1514" s="879"/>
      <c r="FGR1514" s="879"/>
      <c r="FGS1514" s="879"/>
      <c r="FGT1514" s="879"/>
      <c r="FGU1514" s="879"/>
      <c r="FGV1514" s="879"/>
      <c r="FGW1514" s="879"/>
      <c r="FGX1514" s="879"/>
      <c r="FGY1514" s="879"/>
      <c r="FGZ1514" s="879"/>
      <c r="FHA1514" s="879"/>
      <c r="FHB1514" s="879"/>
      <c r="FHC1514" s="879"/>
      <c r="FHD1514" s="879"/>
      <c r="FHE1514" s="879"/>
      <c r="FHF1514" s="879"/>
      <c r="FHG1514" s="879"/>
      <c r="FHH1514" s="879"/>
      <c r="FHI1514" s="879"/>
      <c r="FHJ1514" s="879"/>
      <c r="FHK1514" s="879"/>
      <c r="FHL1514" s="879"/>
      <c r="FHM1514" s="879"/>
      <c r="FHN1514" s="879"/>
      <c r="FHO1514" s="879"/>
      <c r="FHP1514" s="879"/>
      <c r="FHQ1514" s="879"/>
      <c r="FHR1514" s="879"/>
      <c r="FHS1514" s="879"/>
      <c r="FHT1514" s="879"/>
      <c r="FHU1514" s="879"/>
      <c r="FHV1514" s="879"/>
      <c r="FHW1514" s="879"/>
      <c r="FHX1514" s="879"/>
      <c r="FHY1514" s="879"/>
      <c r="FHZ1514" s="879"/>
      <c r="FIA1514" s="879"/>
      <c r="FIB1514" s="879"/>
      <c r="FIC1514" s="879"/>
      <c r="FID1514" s="879"/>
      <c r="FIE1514" s="879"/>
      <c r="FIF1514" s="879"/>
      <c r="FIG1514" s="879"/>
      <c r="FIH1514" s="879"/>
      <c r="FII1514" s="879"/>
      <c r="FIJ1514" s="879"/>
      <c r="FIK1514" s="879"/>
      <c r="FIL1514" s="879"/>
      <c r="FIM1514" s="879"/>
      <c r="FIN1514" s="879"/>
      <c r="FIO1514" s="879"/>
      <c r="FIP1514" s="879"/>
      <c r="FIQ1514" s="879"/>
      <c r="FIR1514" s="879"/>
      <c r="FIS1514" s="879"/>
      <c r="FIT1514" s="879"/>
      <c r="FIU1514" s="879"/>
      <c r="FIV1514" s="879"/>
      <c r="FIW1514" s="879"/>
      <c r="FIX1514" s="879"/>
      <c r="FIY1514" s="879"/>
      <c r="FIZ1514" s="879"/>
      <c r="FJA1514" s="879"/>
      <c r="FJB1514" s="879"/>
      <c r="FJC1514" s="879"/>
      <c r="FJD1514" s="879"/>
      <c r="FJE1514" s="879"/>
      <c r="FJF1514" s="879"/>
      <c r="FJG1514" s="879"/>
      <c r="FJH1514" s="879"/>
      <c r="FJI1514" s="879"/>
      <c r="FJJ1514" s="879"/>
      <c r="FJK1514" s="879"/>
      <c r="FJL1514" s="879"/>
      <c r="FJM1514" s="879"/>
      <c r="FJN1514" s="879"/>
      <c r="FJO1514" s="879"/>
      <c r="FJP1514" s="879"/>
      <c r="FJQ1514" s="879"/>
      <c r="FJR1514" s="879"/>
      <c r="FJS1514" s="879"/>
      <c r="FJT1514" s="879"/>
      <c r="FJU1514" s="879"/>
      <c r="FJV1514" s="879"/>
      <c r="FJW1514" s="879"/>
      <c r="FJX1514" s="879"/>
      <c r="FJY1514" s="879"/>
      <c r="FJZ1514" s="879"/>
      <c r="FKA1514" s="879"/>
      <c r="FKB1514" s="879"/>
      <c r="FKC1514" s="879"/>
      <c r="FKD1514" s="879"/>
      <c r="FKE1514" s="879"/>
      <c r="FKF1514" s="879"/>
      <c r="FKG1514" s="879"/>
      <c r="FKH1514" s="879"/>
      <c r="FKI1514" s="879"/>
      <c r="FKJ1514" s="879"/>
      <c r="FKK1514" s="879"/>
      <c r="FKL1514" s="879"/>
      <c r="FKM1514" s="879"/>
      <c r="FKN1514" s="879"/>
      <c r="FKO1514" s="879"/>
      <c r="FKP1514" s="879"/>
      <c r="FKQ1514" s="879"/>
      <c r="FKR1514" s="879"/>
      <c r="FKS1514" s="879"/>
      <c r="FKT1514" s="879"/>
      <c r="FKU1514" s="879"/>
      <c r="FKV1514" s="879"/>
      <c r="FKW1514" s="879"/>
      <c r="FKX1514" s="879"/>
      <c r="FKY1514" s="879"/>
      <c r="FKZ1514" s="879"/>
      <c r="FLA1514" s="879"/>
      <c r="FLB1514" s="879"/>
      <c r="FLC1514" s="879"/>
      <c r="FLD1514" s="879"/>
      <c r="FLE1514" s="879"/>
      <c r="FLF1514" s="879"/>
      <c r="FLG1514" s="879"/>
      <c r="FLH1514" s="879"/>
      <c r="FLI1514" s="879"/>
      <c r="FLJ1514" s="879"/>
      <c r="FLK1514" s="879"/>
      <c r="FLL1514" s="879"/>
      <c r="FLM1514" s="879"/>
      <c r="FLN1514" s="879"/>
      <c r="FLO1514" s="879"/>
      <c r="FLP1514" s="879"/>
      <c r="FLQ1514" s="879"/>
      <c r="FLR1514" s="879"/>
      <c r="FLS1514" s="879"/>
      <c r="FLT1514" s="879"/>
      <c r="FLU1514" s="879"/>
      <c r="FLV1514" s="879"/>
      <c r="FLW1514" s="879"/>
      <c r="FLX1514" s="879"/>
      <c r="FLY1514" s="879"/>
      <c r="FLZ1514" s="879"/>
      <c r="FMA1514" s="879"/>
      <c r="FMB1514" s="879"/>
      <c r="FMC1514" s="879"/>
      <c r="FMD1514" s="879"/>
      <c r="FME1514" s="879"/>
      <c r="FMF1514" s="879"/>
      <c r="FMG1514" s="879"/>
      <c r="FMH1514" s="879"/>
      <c r="FMI1514" s="879"/>
      <c r="FMJ1514" s="879"/>
      <c r="FMK1514" s="879"/>
      <c r="FML1514" s="879"/>
      <c r="FMM1514" s="879"/>
      <c r="FMN1514" s="879"/>
      <c r="FMO1514" s="879"/>
      <c r="FMP1514" s="879"/>
      <c r="FMQ1514" s="879"/>
      <c r="FMR1514" s="879"/>
      <c r="FMS1514" s="879"/>
      <c r="FMT1514" s="879"/>
      <c r="FMU1514" s="879"/>
      <c r="FMV1514" s="879"/>
      <c r="FMW1514" s="879"/>
      <c r="FMX1514" s="879"/>
      <c r="FMY1514" s="879"/>
      <c r="FMZ1514" s="879"/>
      <c r="FNA1514" s="879"/>
      <c r="FNB1514" s="879"/>
      <c r="FNC1514" s="879"/>
      <c r="FND1514" s="879"/>
      <c r="FNE1514" s="879"/>
      <c r="FNF1514" s="879"/>
      <c r="FNG1514" s="879"/>
      <c r="FNH1514" s="879"/>
      <c r="FNI1514" s="879"/>
      <c r="FNJ1514" s="879"/>
      <c r="FNK1514" s="879"/>
      <c r="FNL1514" s="879"/>
      <c r="FNM1514" s="879"/>
      <c r="FNN1514" s="879"/>
      <c r="FNO1514" s="879"/>
      <c r="FNP1514" s="879"/>
      <c r="FNQ1514" s="879"/>
      <c r="FNR1514" s="879"/>
      <c r="FNS1514" s="879"/>
      <c r="FNT1514" s="879"/>
      <c r="FNU1514" s="879"/>
      <c r="FNV1514" s="879"/>
      <c r="FNW1514" s="879"/>
      <c r="FNX1514" s="879"/>
      <c r="FNY1514" s="879"/>
      <c r="FNZ1514" s="879"/>
      <c r="FOA1514" s="879"/>
      <c r="FOB1514" s="879"/>
      <c r="FOC1514" s="879"/>
      <c r="FOD1514" s="879"/>
      <c r="FOE1514" s="879"/>
      <c r="FOF1514" s="879"/>
      <c r="FOG1514" s="879"/>
      <c r="FOH1514" s="879"/>
      <c r="FOI1514" s="879"/>
      <c r="FOJ1514" s="879"/>
      <c r="FOK1514" s="879"/>
      <c r="FOL1514" s="879"/>
      <c r="FOM1514" s="879"/>
      <c r="FON1514" s="879"/>
      <c r="FOO1514" s="879"/>
      <c r="FOP1514" s="879"/>
      <c r="FOQ1514" s="879"/>
      <c r="FOR1514" s="879"/>
      <c r="FOS1514" s="879"/>
      <c r="FOT1514" s="879"/>
      <c r="FOU1514" s="879"/>
      <c r="FOV1514" s="879"/>
      <c r="FOW1514" s="879"/>
      <c r="FOX1514" s="879"/>
      <c r="FOY1514" s="879"/>
      <c r="FOZ1514" s="879"/>
      <c r="FPA1514" s="879"/>
      <c r="FPB1514" s="879"/>
      <c r="FPC1514" s="879"/>
      <c r="FPD1514" s="879"/>
      <c r="FPE1514" s="879"/>
      <c r="FPF1514" s="879"/>
      <c r="FPG1514" s="879"/>
      <c r="FPH1514" s="879"/>
      <c r="FPI1514" s="879"/>
      <c r="FPJ1514" s="879"/>
      <c r="FPK1514" s="879"/>
      <c r="FPL1514" s="879"/>
      <c r="FPM1514" s="879"/>
      <c r="FPN1514" s="879"/>
      <c r="FPO1514" s="879"/>
      <c r="FPP1514" s="879"/>
      <c r="FPQ1514" s="879"/>
      <c r="FPR1514" s="879"/>
      <c r="FPS1514" s="879"/>
      <c r="FPT1514" s="879"/>
      <c r="FPU1514" s="879"/>
      <c r="FPV1514" s="879"/>
      <c r="FPW1514" s="879"/>
      <c r="FPX1514" s="879"/>
      <c r="FPY1514" s="879"/>
      <c r="FPZ1514" s="879"/>
      <c r="FQA1514" s="879"/>
      <c r="FQB1514" s="879"/>
      <c r="FQC1514" s="879"/>
      <c r="FQD1514" s="879"/>
      <c r="FQE1514" s="879"/>
      <c r="FQF1514" s="879"/>
      <c r="FQG1514" s="879"/>
      <c r="FQH1514" s="879"/>
      <c r="FQI1514" s="879"/>
      <c r="FQJ1514" s="879"/>
      <c r="FQK1514" s="879"/>
      <c r="FQL1514" s="879"/>
      <c r="FQM1514" s="879"/>
      <c r="FQN1514" s="879"/>
      <c r="FQO1514" s="879"/>
      <c r="FQP1514" s="879"/>
      <c r="FQQ1514" s="879"/>
      <c r="FQR1514" s="879"/>
      <c r="FQS1514" s="879"/>
      <c r="FQT1514" s="879"/>
      <c r="FQU1514" s="879"/>
      <c r="FQV1514" s="879"/>
      <c r="FQW1514" s="879"/>
      <c r="FQX1514" s="879"/>
      <c r="FQY1514" s="879"/>
      <c r="FQZ1514" s="879"/>
      <c r="FRA1514" s="879"/>
      <c r="FRB1514" s="879"/>
      <c r="FRC1514" s="879"/>
      <c r="FRD1514" s="879"/>
      <c r="FRE1514" s="879"/>
      <c r="FRF1514" s="879"/>
      <c r="FRG1514" s="879"/>
      <c r="FRH1514" s="879"/>
      <c r="FRI1514" s="879"/>
      <c r="FRJ1514" s="879"/>
      <c r="FRK1514" s="879"/>
      <c r="FRL1514" s="879"/>
      <c r="FRM1514" s="879"/>
      <c r="FRN1514" s="879"/>
      <c r="FRO1514" s="879"/>
      <c r="FRP1514" s="879"/>
      <c r="FRQ1514" s="879"/>
      <c r="FRR1514" s="879"/>
      <c r="FRS1514" s="879"/>
      <c r="FRT1514" s="879"/>
      <c r="FRU1514" s="879"/>
      <c r="FRV1514" s="879"/>
      <c r="FRW1514" s="879"/>
      <c r="FRX1514" s="879"/>
      <c r="FRY1514" s="879"/>
      <c r="FRZ1514" s="879"/>
      <c r="FSA1514" s="879"/>
      <c r="FSB1514" s="879"/>
      <c r="FSC1514" s="879"/>
      <c r="FSD1514" s="879"/>
      <c r="FSE1514" s="879"/>
      <c r="FSF1514" s="879"/>
      <c r="FSG1514" s="879"/>
      <c r="FSH1514" s="879"/>
      <c r="FSI1514" s="879"/>
      <c r="FSJ1514" s="879"/>
      <c r="FSK1514" s="879"/>
      <c r="FSL1514" s="879"/>
      <c r="FSM1514" s="879"/>
      <c r="FSN1514" s="879"/>
      <c r="FSO1514" s="879"/>
      <c r="FSP1514" s="879"/>
      <c r="FSQ1514" s="879"/>
      <c r="FSR1514" s="879"/>
      <c r="FSS1514" s="879"/>
      <c r="FST1514" s="879"/>
      <c r="FSU1514" s="879"/>
      <c r="FSV1514" s="879"/>
      <c r="FSW1514" s="879"/>
      <c r="FSX1514" s="879"/>
      <c r="FSY1514" s="879"/>
      <c r="FSZ1514" s="879"/>
      <c r="FTA1514" s="879"/>
      <c r="FTB1514" s="879"/>
      <c r="FTC1514" s="879"/>
      <c r="FTD1514" s="879"/>
      <c r="FTE1514" s="879"/>
      <c r="FTF1514" s="879"/>
      <c r="FTG1514" s="879"/>
      <c r="FTH1514" s="879"/>
      <c r="FTI1514" s="879"/>
      <c r="FTJ1514" s="879"/>
      <c r="FTK1514" s="879"/>
      <c r="FTL1514" s="879"/>
      <c r="FTM1514" s="879"/>
      <c r="FTN1514" s="879"/>
      <c r="FTO1514" s="879"/>
      <c r="FTP1514" s="879"/>
      <c r="FTQ1514" s="879"/>
      <c r="FTR1514" s="879"/>
      <c r="FTS1514" s="879"/>
      <c r="FTT1514" s="879"/>
      <c r="FTU1514" s="879"/>
      <c r="FTV1514" s="879"/>
      <c r="FTW1514" s="879"/>
      <c r="FTX1514" s="879"/>
      <c r="FTY1514" s="879"/>
      <c r="FTZ1514" s="879"/>
      <c r="FUA1514" s="879"/>
      <c r="FUB1514" s="879"/>
      <c r="FUC1514" s="879"/>
      <c r="FUD1514" s="879"/>
      <c r="FUE1514" s="879"/>
      <c r="FUF1514" s="879"/>
      <c r="FUG1514" s="879"/>
      <c r="FUH1514" s="879"/>
      <c r="FUI1514" s="879"/>
      <c r="FUJ1514" s="879"/>
      <c r="FUK1514" s="879"/>
      <c r="FUL1514" s="879"/>
      <c r="FUM1514" s="879"/>
      <c r="FUN1514" s="879"/>
      <c r="FUO1514" s="879"/>
      <c r="FUP1514" s="879"/>
      <c r="FUQ1514" s="879"/>
      <c r="FUR1514" s="879"/>
      <c r="FUS1514" s="879"/>
      <c r="FUT1514" s="879"/>
      <c r="FUU1514" s="879"/>
      <c r="FUV1514" s="879"/>
      <c r="FUW1514" s="879"/>
      <c r="FUX1514" s="879"/>
      <c r="FUY1514" s="879"/>
      <c r="FUZ1514" s="879"/>
      <c r="FVA1514" s="879"/>
      <c r="FVB1514" s="879"/>
      <c r="FVC1514" s="879"/>
      <c r="FVD1514" s="879"/>
      <c r="FVE1514" s="879"/>
      <c r="FVF1514" s="879"/>
      <c r="FVG1514" s="879"/>
      <c r="FVH1514" s="879"/>
      <c r="FVI1514" s="879"/>
      <c r="FVJ1514" s="879"/>
      <c r="FVK1514" s="879"/>
      <c r="FVL1514" s="879"/>
      <c r="FVM1514" s="879"/>
      <c r="FVN1514" s="879"/>
      <c r="FVO1514" s="879"/>
      <c r="FVP1514" s="879"/>
      <c r="FVQ1514" s="879"/>
      <c r="FVR1514" s="879"/>
      <c r="FVS1514" s="879"/>
      <c r="FVT1514" s="879"/>
      <c r="FVU1514" s="879"/>
      <c r="FVV1514" s="879"/>
      <c r="FVW1514" s="879"/>
      <c r="FVX1514" s="879"/>
      <c r="FVY1514" s="879"/>
      <c r="FVZ1514" s="879"/>
      <c r="FWA1514" s="879"/>
      <c r="FWB1514" s="879"/>
      <c r="FWC1514" s="879"/>
      <c r="FWD1514" s="879"/>
      <c r="FWE1514" s="879"/>
      <c r="FWF1514" s="879"/>
      <c r="FWG1514" s="879"/>
      <c r="FWH1514" s="879"/>
      <c r="FWI1514" s="879"/>
      <c r="FWJ1514" s="879"/>
      <c r="FWK1514" s="879"/>
      <c r="FWL1514" s="879"/>
      <c r="FWM1514" s="879"/>
      <c r="FWN1514" s="879"/>
      <c r="FWO1514" s="879"/>
      <c r="FWP1514" s="879"/>
      <c r="FWQ1514" s="879"/>
      <c r="FWR1514" s="879"/>
      <c r="FWS1514" s="879"/>
      <c r="FWT1514" s="879"/>
      <c r="FWU1514" s="879"/>
      <c r="FWV1514" s="879"/>
      <c r="FWW1514" s="879"/>
      <c r="FWX1514" s="879"/>
      <c r="FWY1514" s="879"/>
      <c r="FWZ1514" s="879"/>
      <c r="FXA1514" s="879"/>
      <c r="FXB1514" s="879"/>
      <c r="FXC1514" s="879"/>
      <c r="FXD1514" s="879"/>
      <c r="FXE1514" s="879"/>
      <c r="FXF1514" s="879"/>
      <c r="FXG1514" s="879"/>
      <c r="FXH1514" s="879"/>
      <c r="FXI1514" s="879"/>
      <c r="FXJ1514" s="879"/>
      <c r="FXK1514" s="879"/>
      <c r="FXL1514" s="879"/>
      <c r="FXM1514" s="879"/>
      <c r="FXN1514" s="879"/>
      <c r="FXO1514" s="879"/>
      <c r="FXP1514" s="879"/>
      <c r="FXQ1514" s="879"/>
      <c r="FXR1514" s="879"/>
      <c r="FXS1514" s="879"/>
      <c r="FXT1514" s="879"/>
      <c r="FXU1514" s="879"/>
      <c r="FXV1514" s="879"/>
      <c r="FXW1514" s="879"/>
      <c r="FXX1514" s="879"/>
      <c r="FXY1514" s="879"/>
      <c r="FXZ1514" s="879"/>
      <c r="FYA1514" s="879"/>
      <c r="FYB1514" s="879"/>
      <c r="FYC1514" s="879"/>
      <c r="FYD1514" s="879"/>
      <c r="FYE1514" s="879"/>
      <c r="FYF1514" s="879"/>
      <c r="FYG1514" s="879"/>
      <c r="FYH1514" s="879"/>
      <c r="FYI1514" s="879"/>
      <c r="FYJ1514" s="879"/>
      <c r="FYK1514" s="879"/>
      <c r="FYL1514" s="879"/>
      <c r="FYM1514" s="879"/>
      <c r="FYN1514" s="879"/>
      <c r="FYO1514" s="879"/>
      <c r="FYP1514" s="879"/>
      <c r="FYQ1514" s="879"/>
      <c r="FYR1514" s="879"/>
      <c r="FYS1514" s="879"/>
      <c r="FYT1514" s="879"/>
      <c r="FYU1514" s="879"/>
      <c r="FYV1514" s="879"/>
      <c r="FYW1514" s="879"/>
      <c r="FYX1514" s="879"/>
      <c r="FYY1514" s="879"/>
      <c r="FYZ1514" s="879"/>
      <c r="FZA1514" s="879"/>
      <c r="FZB1514" s="879"/>
      <c r="FZC1514" s="879"/>
      <c r="FZD1514" s="879"/>
      <c r="FZE1514" s="879"/>
      <c r="FZF1514" s="879"/>
      <c r="FZG1514" s="879"/>
      <c r="FZH1514" s="879"/>
      <c r="FZI1514" s="879"/>
      <c r="FZJ1514" s="879"/>
      <c r="FZK1514" s="879"/>
      <c r="FZL1514" s="879"/>
      <c r="FZM1514" s="879"/>
      <c r="FZN1514" s="879"/>
      <c r="FZO1514" s="879"/>
      <c r="FZP1514" s="879"/>
      <c r="FZQ1514" s="879"/>
      <c r="FZR1514" s="879"/>
      <c r="FZS1514" s="879"/>
      <c r="FZT1514" s="879"/>
      <c r="FZU1514" s="879"/>
      <c r="FZV1514" s="879"/>
      <c r="FZW1514" s="879"/>
      <c r="FZX1514" s="879"/>
      <c r="FZY1514" s="879"/>
      <c r="FZZ1514" s="879"/>
      <c r="GAA1514" s="879"/>
      <c r="GAB1514" s="879"/>
      <c r="GAC1514" s="879"/>
      <c r="GAD1514" s="879"/>
      <c r="GAE1514" s="879"/>
      <c r="GAF1514" s="879"/>
      <c r="GAG1514" s="879"/>
      <c r="GAH1514" s="879"/>
      <c r="GAI1514" s="879"/>
      <c r="GAJ1514" s="879"/>
      <c r="GAK1514" s="879"/>
      <c r="GAL1514" s="879"/>
      <c r="GAM1514" s="879"/>
      <c r="GAN1514" s="879"/>
      <c r="GAO1514" s="879"/>
      <c r="GAP1514" s="879"/>
      <c r="GAQ1514" s="879"/>
      <c r="GAR1514" s="879"/>
      <c r="GAS1514" s="879"/>
      <c r="GAT1514" s="879"/>
      <c r="GAU1514" s="879"/>
      <c r="GAV1514" s="879"/>
      <c r="GAW1514" s="879"/>
      <c r="GAX1514" s="879"/>
      <c r="GAY1514" s="879"/>
      <c r="GAZ1514" s="879"/>
      <c r="GBA1514" s="879"/>
      <c r="GBB1514" s="879"/>
      <c r="GBC1514" s="879"/>
      <c r="GBD1514" s="879"/>
      <c r="GBE1514" s="879"/>
      <c r="GBF1514" s="879"/>
      <c r="GBG1514" s="879"/>
      <c r="GBH1514" s="879"/>
      <c r="GBI1514" s="879"/>
      <c r="GBJ1514" s="879"/>
      <c r="GBK1514" s="879"/>
      <c r="GBL1514" s="879"/>
      <c r="GBM1514" s="879"/>
      <c r="GBN1514" s="879"/>
      <c r="GBO1514" s="879"/>
      <c r="GBP1514" s="879"/>
      <c r="GBQ1514" s="879"/>
      <c r="GBR1514" s="879"/>
      <c r="GBS1514" s="879"/>
      <c r="GBT1514" s="879"/>
      <c r="GBU1514" s="879"/>
      <c r="GBV1514" s="879"/>
      <c r="GBW1514" s="879"/>
      <c r="GBX1514" s="879"/>
      <c r="GBY1514" s="879"/>
      <c r="GBZ1514" s="879"/>
      <c r="GCA1514" s="879"/>
      <c r="GCB1514" s="879"/>
      <c r="GCC1514" s="879"/>
      <c r="GCD1514" s="879"/>
      <c r="GCE1514" s="879"/>
      <c r="GCF1514" s="879"/>
      <c r="GCG1514" s="879"/>
      <c r="GCH1514" s="879"/>
      <c r="GCI1514" s="879"/>
      <c r="GCJ1514" s="879"/>
      <c r="GCK1514" s="879"/>
      <c r="GCL1514" s="879"/>
      <c r="GCM1514" s="879"/>
      <c r="GCN1514" s="879"/>
      <c r="GCO1514" s="879"/>
      <c r="GCP1514" s="879"/>
      <c r="GCQ1514" s="879"/>
      <c r="GCR1514" s="879"/>
      <c r="GCS1514" s="879"/>
      <c r="GCT1514" s="879"/>
      <c r="GCU1514" s="879"/>
      <c r="GCV1514" s="879"/>
      <c r="GCW1514" s="879"/>
      <c r="GCX1514" s="879"/>
      <c r="GCY1514" s="879"/>
      <c r="GCZ1514" s="879"/>
      <c r="GDA1514" s="879"/>
      <c r="GDB1514" s="879"/>
      <c r="GDC1514" s="879"/>
      <c r="GDD1514" s="879"/>
      <c r="GDE1514" s="879"/>
      <c r="GDF1514" s="879"/>
      <c r="GDG1514" s="879"/>
      <c r="GDH1514" s="879"/>
      <c r="GDI1514" s="879"/>
      <c r="GDJ1514" s="879"/>
      <c r="GDK1514" s="879"/>
      <c r="GDL1514" s="879"/>
      <c r="GDM1514" s="879"/>
      <c r="GDN1514" s="879"/>
      <c r="GDO1514" s="879"/>
      <c r="GDP1514" s="879"/>
      <c r="GDQ1514" s="879"/>
      <c r="GDR1514" s="879"/>
      <c r="GDS1514" s="879"/>
      <c r="GDT1514" s="879"/>
      <c r="GDU1514" s="879"/>
      <c r="GDV1514" s="879"/>
      <c r="GDW1514" s="879"/>
      <c r="GDX1514" s="879"/>
      <c r="GDY1514" s="879"/>
      <c r="GDZ1514" s="879"/>
      <c r="GEA1514" s="879"/>
      <c r="GEB1514" s="879"/>
      <c r="GEC1514" s="879"/>
      <c r="GED1514" s="879"/>
      <c r="GEE1514" s="879"/>
      <c r="GEF1514" s="879"/>
      <c r="GEG1514" s="879"/>
      <c r="GEH1514" s="879"/>
      <c r="GEI1514" s="879"/>
      <c r="GEJ1514" s="879"/>
      <c r="GEK1514" s="879"/>
      <c r="GEL1514" s="879"/>
      <c r="GEM1514" s="879"/>
      <c r="GEN1514" s="879"/>
      <c r="GEO1514" s="879"/>
      <c r="GEP1514" s="879"/>
      <c r="GEQ1514" s="879"/>
      <c r="GER1514" s="879"/>
      <c r="GES1514" s="879"/>
      <c r="GET1514" s="879"/>
      <c r="GEU1514" s="879"/>
      <c r="GEV1514" s="879"/>
      <c r="GEW1514" s="879"/>
      <c r="GEX1514" s="879"/>
      <c r="GEY1514" s="879"/>
      <c r="GEZ1514" s="879"/>
      <c r="GFA1514" s="879"/>
      <c r="GFB1514" s="879"/>
      <c r="GFC1514" s="879"/>
      <c r="GFD1514" s="879"/>
      <c r="GFE1514" s="879"/>
      <c r="GFF1514" s="879"/>
      <c r="GFG1514" s="879"/>
      <c r="GFH1514" s="879"/>
      <c r="GFI1514" s="879"/>
      <c r="GFJ1514" s="879"/>
      <c r="GFK1514" s="879"/>
      <c r="GFL1514" s="879"/>
      <c r="GFM1514" s="879"/>
      <c r="GFN1514" s="879"/>
      <c r="GFO1514" s="879"/>
      <c r="GFP1514" s="879"/>
      <c r="GFQ1514" s="879"/>
      <c r="GFR1514" s="879"/>
      <c r="GFS1514" s="879"/>
      <c r="GFT1514" s="879"/>
      <c r="GFU1514" s="879"/>
      <c r="GFV1514" s="879"/>
      <c r="GFW1514" s="879"/>
      <c r="GFX1514" s="879"/>
      <c r="GFY1514" s="879"/>
      <c r="GFZ1514" s="879"/>
      <c r="GGA1514" s="879"/>
      <c r="GGB1514" s="879"/>
      <c r="GGC1514" s="879"/>
      <c r="GGD1514" s="879"/>
      <c r="GGE1514" s="879"/>
      <c r="GGF1514" s="879"/>
      <c r="GGG1514" s="879"/>
      <c r="GGH1514" s="879"/>
      <c r="GGI1514" s="879"/>
      <c r="GGJ1514" s="879"/>
      <c r="GGK1514" s="879"/>
      <c r="GGL1514" s="879"/>
      <c r="GGM1514" s="879"/>
      <c r="GGN1514" s="879"/>
      <c r="GGO1514" s="879"/>
      <c r="GGP1514" s="879"/>
      <c r="GGQ1514" s="879"/>
      <c r="GGR1514" s="879"/>
      <c r="GGS1514" s="879"/>
      <c r="GGT1514" s="879"/>
      <c r="GGU1514" s="879"/>
      <c r="GGV1514" s="879"/>
      <c r="GGW1514" s="879"/>
      <c r="GGX1514" s="879"/>
      <c r="GGY1514" s="879"/>
      <c r="GGZ1514" s="879"/>
      <c r="GHA1514" s="879"/>
      <c r="GHB1514" s="879"/>
      <c r="GHC1514" s="879"/>
      <c r="GHD1514" s="879"/>
      <c r="GHE1514" s="879"/>
      <c r="GHF1514" s="879"/>
      <c r="GHG1514" s="879"/>
      <c r="GHH1514" s="879"/>
      <c r="GHI1514" s="879"/>
      <c r="GHJ1514" s="879"/>
      <c r="GHK1514" s="879"/>
      <c r="GHL1514" s="879"/>
      <c r="GHM1514" s="879"/>
      <c r="GHN1514" s="879"/>
      <c r="GHO1514" s="879"/>
      <c r="GHP1514" s="879"/>
      <c r="GHQ1514" s="879"/>
      <c r="GHR1514" s="879"/>
      <c r="GHS1514" s="879"/>
      <c r="GHT1514" s="879"/>
      <c r="GHU1514" s="879"/>
      <c r="GHV1514" s="879"/>
      <c r="GHW1514" s="879"/>
      <c r="GHX1514" s="879"/>
      <c r="GHY1514" s="879"/>
      <c r="GHZ1514" s="879"/>
      <c r="GIA1514" s="879"/>
      <c r="GIB1514" s="879"/>
      <c r="GIC1514" s="879"/>
      <c r="GID1514" s="879"/>
      <c r="GIE1514" s="879"/>
      <c r="GIF1514" s="879"/>
      <c r="GIG1514" s="879"/>
      <c r="GIH1514" s="879"/>
      <c r="GII1514" s="879"/>
      <c r="GIJ1514" s="879"/>
      <c r="GIK1514" s="879"/>
      <c r="GIL1514" s="879"/>
      <c r="GIM1514" s="879"/>
      <c r="GIN1514" s="879"/>
      <c r="GIO1514" s="879"/>
      <c r="GIP1514" s="879"/>
      <c r="GIQ1514" s="879"/>
      <c r="GIR1514" s="879"/>
      <c r="GIS1514" s="879"/>
      <c r="GIT1514" s="879"/>
      <c r="GIU1514" s="879"/>
      <c r="GIV1514" s="879"/>
      <c r="GIW1514" s="879"/>
      <c r="GIX1514" s="879"/>
      <c r="GIY1514" s="879"/>
      <c r="GIZ1514" s="879"/>
      <c r="GJA1514" s="879"/>
      <c r="GJB1514" s="879"/>
      <c r="GJC1514" s="879"/>
      <c r="GJD1514" s="879"/>
      <c r="GJE1514" s="879"/>
      <c r="GJF1514" s="879"/>
      <c r="GJG1514" s="879"/>
      <c r="GJH1514" s="879"/>
      <c r="GJI1514" s="879"/>
      <c r="GJJ1514" s="879"/>
      <c r="GJK1514" s="879"/>
      <c r="GJL1514" s="879"/>
      <c r="GJM1514" s="879"/>
      <c r="GJN1514" s="879"/>
      <c r="GJO1514" s="879"/>
      <c r="GJP1514" s="879"/>
      <c r="GJQ1514" s="879"/>
      <c r="GJR1514" s="879"/>
      <c r="GJS1514" s="879"/>
      <c r="GJT1514" s="879"/>
      <c r="GJU1514" s="879"/>
      <c r="GJV1514" s="879"/>
      <c r="GJW1514" s="879"/>
      <c r="GJX1514" s="879"/>
      <c r="GJY1514" s="879"/>
      <c r="GJZ1514" s="879"/>
      <c r="GKA1514" s="879"/>
      <c r="GKB1514" s="879"/>
      <c r="GKC1514" s="879"/>
      <c r="GKD1514" s="879"/>
      <c r="GKE1514" s="879"/>
      <c r="GKF1514" s="879"/>
      <c r="GKG1514" s="879"/>
      <c r="GKH1514" s="879"/>
      <c r="GKI1514" s="879"/>
      <c r="GKJ1514" s="879"/>
      <c r="GKK1514" s="879"/>
      <c r="GKL1514" s="879"/>
      <c r="GKM1514" s="879"/>
      <c r="GKN1514" s="879"/>
      <c r="GKO1514" s="879"/>
      <c r="GKP1514" s="879"/>
      <c r="GKQ1514" s="879"/>
      <c r="GKR1514" s="879"/>
      <c r="GKS1514" s="879"/>
      <c r="GKT1514" s="879"/>
      <c r="GKU1514" s="879"/>
      <c r="GKV1514" s="879"/>
      <c r="GKW1514" s="879"/>
      <c r="GKX1514" s="879"/>
      <c r="GKY1514" s="879"/>
      <c r="GKZ1514" s="879"/>
      <c r="GLA1514" s="879"/>
      <c r="GLB1514" s="879"/>
      <c r="GLC1514" s="879"/>
      <c r="GLD1514" s="879"/>
      <c r="GLE1514" s="879"/>
      <c r="GLF1514" s="879"/>
      <c r="GLG1514" s="879"/>
      <c r="GLH1514" s="879"/>
      <c r="GLI1514" s="879"/>
      <c r="GLJ1514" s="879"/>
      <c r="GLK1514" s="879"/>
      <c r="GLL1514" s="879"/>
      <c r="GLM1514" s="879"/>
      <c r="GLN1514" s="879"/>
      <c r="GLO1514" s="879"/>
      <c r="GLP1514" s="879"/>
      <c r="GLQ1514" s="879"/>
      <c r="GLR1514" s="879"/>
      <c r="GLS1514" s="879"/>
      <c r="GLT1514" s="879"/>
      <c r="GLU1514" s="879"/>
      <c r="GLV1514" s="879"/>
      <c r="GLW1514" s="879"/>
      <c r="GLX1514" s="879"/>
      <c r="GLY1514" s="879"/>
      <c r="GLZ1514" s="879"/>
      <c r="GMA1514" s="879"/>
      <c r="GMB1514" s="879"/>
      <c r="GMC1514" s="879"/>
      <c r="GMD1514" s="879"/>
      <c r="GME1514" s="879"/>
      <c r="GMF1514" s="879"/>
      <c r="GMG1514" s="879"/>
      <c r="GMH1514" s="879"/>
      <c r="GMI1514" s="879"/>
      <c r="GMJ1514" s="879"/>
      <c r="GMK1514" s="879"/>
      <c r="GML1514" s="879"/>
      <c r="GMM1514" s="879"/>
      <c r="GMN1514" s="879"/>
      <c r="GMO1514" s="879"/>
      <c r="GMP1514" s="879"/>
      <c r="GMQ1514" s="879"/>
      <c r="GMR1514" s="879"/>
      <c r="GMS1514" s="879"/>
      <c r="GMT1514" s="879"/>
      <c r="GMU1514" s="879"/>
      <c r="GMV1514" s="879"/>
      <c r="GMW1514" s="879"/>
      <c r="GMX1514" s="879"/>
      <c r="GMY1514" s="879"/>
      <c r="GMZ1514" s="879"/>
      <c r="GNA1514" s="879"/>
      <c r="GNB1514" s="879"/>
      <c r="GNC1514" s="879"/>
      <c r="GND1514" s="879"/>
      <c r="GNE1514" s="879"/>
      <c r="GNF1514" s="879"/>
      <c r="GNG1514" s="879"/>
      <c r="GNH1514" s="879"/>
      <c r="GNI1514" s="879"/>
      <c r="GNJ1514" s="879"/>
      <c r="GNK1514" s="879"/>
      <c r="GNL1514" s="879"/>
      <c r="GNM1514" s="879"/>
      <c r="GNN1514" s="879"/>
      <c r="GNO1514" s="879"/>
      <c r="GNP1514" s="879"/>
      <c r="GNQ1514" s="879"/>
      <c r="GNR1514" s="879"/>
      <c r="GNS1514" s="879"/>
      <c r="GNT1514" s="879"/>
      <c r="GNU1514" s="879"/>
      <c r="GNV1514" s="879"/>
      <c r="GNW1514" s="879"/>
      <c r="GNX1514" s="879"/>
      <c r="GNY1514" s="879"/>
      <c r="GNZ1514" s="879"/>
      <c r="GOA1514" s="879"/>
      <c r="GOB1514" s="879"/>
      <c r="GOC1514" s="879"/>
      <c r="GOD1514" s="879"/>
      <c r="GOE1514" s="879"/>
      <c r="GOF1514" s="879"/>
      <c r="GOG1514" s="879"/>
      <c r="GOH1514" s="879"/>
      <c r="GOI1514" s="879"/>
      <c r="GOJ1514" s="879"/>
      <c r="GOK1514" s="879"/>
      <c r="GOL1514" s="879"/>
      <c r="GOM1514" s="879"/>
      <c r="GON1514" s="879"/>
      <c r="GOO1514" s="879"/>
      <c r="GOP1514" s="879"/>
      <c r="GOQ1514" s="879"/>
      <c r="GOR1514" s="879"/>
      <c r="GOS1514" s="879"/>
      <c r="GOT1514" s="879"/>
      <c r="GOU1514" s="879"/>
      <c r="GOV1514" s="879"/>
      <c r="GOW1514" s="879"/>
      <c r="GOX1514" s="879"/>
      <c r="GOY1514" s="879"/>
      <c r="GOZ1514" s="879"/>
      <c r="GPA1514" s="879"/>
      <c r="GPB1514" s="879"/>
      <c r="GPC1514" s="879"/>
      <c r="GPD1514" s="879"/>
      <c r="GPE1514" s="879"/>
      <c r="GPF1514" s="879"/>
      <c r="GPG1514" s="879"/>
      <c r="GPH1514" s="879"/>
      <c r="GPI1514" s="879"/>
      <c r="GPJ1514" s="879"/>
      <c r="GPK1514" s="879"/>
      <c r="GPL1514" s="879"/>
      <c r="GPM1514" s="879"/>
      <c r="GPN1514" s="879"/>
      <c r="GPO1514" s="879"/>
      <c r="GPP1514" s="879"/>
      <c r="GPQ1514" s="879"/>
      <c r="GPR1514" s="879"/>
      <c r="GPS1514" s="879"/>
      <c r="GPT1514" s="879"/>
      <c r="GPU1514" s="879"/>
      <c r="GPV1514" s="879"/>
      <c r="GPW1514" s="879"/>
      <c r="GPX1514" s="879"/>
      <c r="GPY1514" s="879"/>
      <c r="GPZ1514" s="879"/>
      <c r="GQA1514" s="879"/>
      <c r="GQB1514" s="879"/>
      <c r="GQC1514" s="879"/>
      <c r="GQD1514" s="879"/>
      <c r="GQE1514" s="879"/>
      <c r="GQF1514" s="879"/>
      <c r="GQG1514" s="879"/>
      <c r="GQH1514" s="879"/>
      <c r="GQI1514" s="879"/>
      <c r="GQJ1514" s="879"/>
      <c r="GQK1514" s="879"/>
      <c r="GQL1514" s="879"/>
      <c r="GQM1514" s="879"/>
      <c r="GQN1514" s="879"/>
      <c r="GQO1514" s="879"/>
      <c r="GQP1514" s="879"/>
      <c r="GQQ1514" s="879"/>
      <c r="GQR1514" s="879"/>
      <c r="GQS1514" s="879"/>
      <c r="GQT1514" s="879"/>
      <c r="GQU1514" s="879"/>
      <c r="GQV1514" s="879"/>
      <c r="GQW1514" s="879"/>
      <c r="GQX1514" s="879"/>
      <c r="GQY1514" s="879"/>
      <c r="GQZ1514" s="879"/>
      <c r="GRA1514" s="879"/>
      <c r="GRB1514" s="879"/>
      <c r="GRC1514" s="879"/>
      <c r="GRD1514" s="879"/>
      <c r="GRE1514" s="879"/>
      <c r="GRF1514" s="879"/>
      <c r="GRG1514" s="879"/>
      <c r="GRH1514" s="879"/>
      <c r="GRI1514" s="879"/>
      <c r="GRJ1514" s="879"/>
      <c r="GRK1514" s="879"/>
      <c r="GRL1514" s="879"/>
      <c r="GRM1514" s="879"/>
      <c r="GRN1514" s="879"/>
      <c r="GRO1514" s="879"/>
      <c r="GRP1514" s="879"/>
      <c r="GRQ1514" s="879"/>
      <c r="GRR1514" s="879"/>
      <c r="GRS1514" s="879"/>
      <c r="GRT1514" s="879"/>
      <c r="GRU1514" s="879"/>
      <c r="GRV1514" s="879"/>
      <c r="GRW1514" s="879"/>
      <c r="GRX1514" s="879"/>
      <c r="GRY1514" s="879"/>
      <c r="GRZ1514" s="879"/>
      <c r="GSA1514" s="879"/>
      <c r="GSB1514" s="879"/>
      <c r="GSC1514" s="879"/>
      <c r="GSD1514" s="879"/>
      <c r="GSE1514" s="879"/>
      <c r="GSF1514" s="879"/>
      <c r="GSG1514" s="879"/>
      <c r="GSH1514" s="879"/>
      <c r="GSI1514" s="879"/>
      <c r="GSJ1514" s="879"/>
      <c r="GSK1514" s="879"/>
      <c r="GSL1514" s="879"/>
      <c r="GSM1514" s="879"/>
      <c r="GSN1514" s="879"/>
      <c r="GSO1514" s="879"/>
      <c r="GSP1514" s="879"/>
      <c r="GSQ1514" s="879"/>
      <c r="GSR1514" s="879"/>
      <c r="GSS1514" s="879"/>
      <c r="GST1514" s="879"/>
      <c r="GSU1514" s="879"/>
      <c r="GSV1514" s="879"/>
      <c r="GSW1514" s="879"/>
      <c r="GSX1514" s="879"/>
      <c r="GSY1514" s="879"/>
      <c r="GSZ1514" s="879"/>
      <c r="GTA1514" s="879"/>
      <c r="GTB1514" s="879"/>
      <c r="GTC1514" s="879"/>
      <c r="GTD1514" s="879"/>
      <c r="GTE1514" s="879"/>
      <c r="GTF1514" s="879"/>
      <c r="GTG1514" s="879"/>
      <c r="GTH1514" s="879"/>
      <c r="GTI1514" s="879"/>
      <c r="GTJ1514" s="879"/>
      <c r="GTK1514" s="879"/>
      <c r="GTL1514" s="879"/>
      <c r="GTM1514" s="879"/>
      <c r="GTN1514" s="879"/>
      <c r="GTO1514" s="879"/>
      <c r="GTP1514" s="879"/>
      <c r="GTQ1514" s="879"/>
      <c r="GTR1514" s="879"/>
      <c r="GTS1514" s="879"/>
      <c r="GTT1514" s="879"/>
      <c r="GTU1514" s="879"/>
      <c r="GTV1514" s="879"/>
      <c r="GTW1514" s="879"/>
      <c r="GTX1514" s="879"/>
      <c r="GTY1514" s="879"/>
      <c r="GTZ1514" s="879"/>
      <c r="GUA1514" s="879"/>
      <c r="GUB1514" s="879"/>
      <c r="GUC1514" s="879"/>
      <c r="GUD1514" s="879"/>
      <c r="GUE1514" s="879"/>
      <c r="GUF1514" s="879"/>
      <c r="GUG1514" s="879"/>
      <c r="GUH1514" s="879"/>
      <c r="GUI1514" s="879"/>
      <c r="GUJ1514" s="879"/>
      <c r="GUK1514" s="879"/>
      <c r="GUL1514" s="879"/>
      <c r="GUM1514" s="879"/>
      <c r="GUN1514" s="879"/>
      <c r="GUO1514" s="879"/>
      <c r="GUP1514" s="879"/>
      <c r="GUQ1514" s="879"/>
      <c r="GUR1514" s="879"/>
      <c r="GUS1514" s="879"/>
      <c r="GUT1514" s="879"/>
      <c r="GUU1514" s="879"/>
      <c r="GUV1514" s="879"/>
      <c r="GUW1514" s="879"/>
      <c r="GUX1514" s="879"/>
      <c r="GUY1514" s="879"/>
      <c r="GUZ1514" s="879"/>
      <c r="GVA1514" s="879"/>
      <c r="GVB1514" s="879"/>
      <c r="GVC1514" s="879"/>
      <c r="GVD1514" s="879"/>
      <c r="GVE1514" s="879"/>
      <c r="GVF1514" s="879"/>
      <c r="GVG1514" s="879"/>
      <c r="GVH1514" s="879"/>
      <c r="GVI1514" s="879"/>
      <c r="GVJ1514" s="879"/>
      <c r="GVK1514" s="879"/>
      <c r="GVL1514" s="879"/>
      <c r="GVM1514" s="879"/>
      <c r="GVN1514" s="879"/>
      <c r="GVO1514" s="879"/>
      <c r="GVP1514" s="879"/>
      <c r="GVQ1514" s="879"/>
      <c r="GVR1514" s="879"/>
      <c r="GVS1514" s="879"/>
      <c r="GVT1514" s="879"/>
      <c r="GVU1514" s="879"/>
      <c r="GVV1514" s="879"/>
      <c r="GVW1514" s="879"/>
      <c r="GVX1514" s="879"/>
      <c r="GVY1514" s="879"/>
      <c r="GVZ1514" s="879"/>
      <c r="GWA1514" s="879"/>
      <c r="GWB1514" s="879"/>
      <c r="GWC1514" s="879"/>
      <c r="GWD1514" s="879"/>
      <c r="GWE1514" s="879"/>
      <c r="GWF1514" s="879"/>
      <c r="GWG1514" s="879"/>
      <c r="GWH1514" s="879"/>
      <c r="GWI1514" s="879"/>
      <c r="GWJ1514" s="879"/>
      <c r="GWK1514" s="879"/>
      <c r="GWL1514" s="879"/>
      <c r="GWM1514" s="879"/>
      <c r="GWN1514" s="879"/>
      <c r="GWO1514" s="879"/>
      <c r="GWP1514" s="879"/>
      <c r="GWQ1514" s="879"/>
      <c r="GWR1514" s="879"/>
      <c r="GWS1514" s="879"/>
      <c r="GWT1514" s="879"/>
      <c r="GWU1514" s="879"/>
      <c r="GWV1514" s="879"/>
      <c r="GWW1514" s="879"/>
      <c r="GWX1514" s="879"/>
      <c r="GWY1514" s="879"/>
      <c r="GWZ1514" s="879"/>
      <c r="GXA1514" s="879"/>
      <c r="GXB1514" s="879"/>
      <c r="GXC1514" s="879"/>
      <c r="GXD1514" s="879"/>
      <c r="GXE1514" s="879"/>
      <c r="GXF1514" s="879"/>
      <c r="GXG1514" s="879"/>
      <c r="GXH1514" s="879"/>
      <c r="GXI1514" s="879"/>
      <c r="GXJ1514" s="879"/>
      <c r="GXK1514" s="879"/>
      <c r="GXL1514" s="879"/>
      <c r="GXM1514" s="879"/>
      <c r="GXN1514" s="879"/>
      <c r="GXO1514" s="879"/>
      <c r="GXP1514" s="879"/>
      <c r="GXQ1514" s="879"/>
      <c r="GXR1514" s="879"/>
      <c r="GXS1514" s="879"/>
      <c r="GXT1514" s="879"/>
      <c r="GXU1514" s="879"/>
      <c r="GXV1514" s="879"/>
      <c r="GXW1514" s="879"/>
      <c r="GXX1514" s="879"/>
      <c r="GXY1514" s="879"/>
      <c r="GXZ1514" s="879"/>
      <c r="GYA1514" s="879"/>
      <c r="GYB1514" s="879"/>
      <c r="GYC1514" s="879"/>
      <c r="GYD1514" s="879"/>
      <c r="GYE1514" s="879"/>
      <c r="GYF1514" s="879"/>
      <c r="GYG1514" s="879"/>
      <c r="GYH1514" s="879"/>
      <c r="GYI1514" s="879"/>
      <c r="GYJ1514" s="879"/>
      <c r="GYK1514" s="879"/>
      <c r="GYL1514" s="879"/>
      <c r="GYM1514" s="879"/>
      <c r="GYN1514" s="879"/>
      <c r="GYO1514" s="879"/>
      <c r="GYP1514" s="879"/>
      <c r="GYQ1514" s="879"/>
      <c r="GYR1514" s="879"/>
      <c r="GYS1514" s="879"/>
      <c r="GYT1514" s="879"/>
      <c r="GYU1514" s="879"/>
      <c r="GYV1514" s="879"/>
      <c r="GYW1514" s="879"/>
      <c r="GYX1514" s="879"/>
      <c r="GYY1514" s="879"/>
      <c r="GYZ1514" s="879"/>
      <c r="GZA1514" s="879"/>
      <c r="GZB1514" s="879"/>
      <c r="GZC1514" s="879"/>
      <c r="GZD1514" s="879"/>
      <c r="GZE1514" s="879"/>
      <c r="GZF1514" s="879"/>
      <c r="GZG1514" s="879"/>
      <c r="GZH1514" s="879"/>
      <c r="GZI1514" s="879"/>
      <c r="GZJ1514" s="879"/>
      <c r="GZK1514" s="879"/>
      <c r="GZL1514" s="879"/>
      <c r="GZM1514" s="879"/>
      <c r="GZN1514" s="879"/>
      <c r="GZO1514" s="879"/>
      <c r="GZP1514" s="879"/>
      <c r="GZQ1514" s="879"/>
      <c r="GZR1514" s="879"/>
      <c r="GZS1514" s="879"/>
      <c r="GZT1514" s="879"/>
      <c r="GZU1514" s="879"/>
      <c r="GZV1514" s="879"/>
      <c r="GZW1514" s="879"/>
      <c r="GZX1514" s="879"/>
      <c r="GZY1514" s="879"/>
      <c r="GZZ1514" s="879"/>
      <c r="HAA1514" s="879"/>
      <c r="HAB1514" s="879"/>
      <c r="HAC1514" s="879"/>
      <c r="HAD1514" s="879"/>
      <c r="HAE1514" s="879"/>
      <c r="HAF1514" s="879"/>
      <c r="HAG1514" s="879"/>
      <c r="HAH1514" s="879"/>
      <c r="HAI1514" s="879"/>
      <c r="HAJ1514" s="879"/>
      <c r="HAK1514" s="879"/>
      <c r="HAL1514" s="879"/>
      <c r="HAM1514" s="879"/>
      <c r="HAN1514" s="879"/>
      <c r="HAO1514" s="879"/>
      <c r="HAP1514" s="879"/>
      <c r="HAQ1514" s="879"/>
      <c r="HAR1514" s="879"/>
      <c r="HAS1514" s="879"/>
      <c r="HAT1514" s="879"/>
      <c r="HAU1514" s="879"/>
      <c r="HAV1514" s="879"/>
      <c r="HAW1514" s="879"/>
      <c r="HAX1514" s="879"/>
      <c r="HAY1514" s="879"/>
      <c r="HAZ1514" s="879"/>
      <c r="HBA1514" s="879"/>
      <c r="HBB1514" s="879"/>
      <c r="HBC1514" s="879"/>
      <c r="HBD1514" s="879"/>
      <c r="HBE1514" s="879"/>
      <c r="HBF1514" s="879"/>
      <c r="HBG1514" s="879"/>
      <c r="HBH1514" s="879"/>
      <c r="HBI1514" s="879"/>
      <c r="HBJ1514" s="879"/>
      <c r="HBK1514" s="879"/>
      <c r="HBL1514" s="879"/>
      <c r="HBM1514" s="879"/>
      <c r="HBN1514" s="879"/>
      <c r="HBO1514" s="879"/>
      <c r="HBP1514" s="879"/>
      <c r="HBQ1514" s="879"/>
      <c r="HBR1514" s="879"/>
      <c r="HBS1514" s="879"/>
      <c r="HBT1514" s="879"/>
      <c r="HBU1514" s="879"/>
      <c r="HBV1514" s="879"/>
      <c r="HBW1514" s="879"/>
      <c r="HBX1514" s="879"/>
      <c r="HBY1514" s="879"/>
      <c r="HBZ1514" s="879"/>
      <c r="HCA1514" s="879"/>
      <c r="HCB1514" s="879"/>
      <c r="HCC1514" s="879"/>
      <c r="HCD1514" s="879"/>
      <c r="HCE1514" s="879"/>
      <c r="HCF1514" s="879"/>
      <c r="HCG1514" s="879"/>
      <c r="HCH1514" s="879"/>
      <c r="HCI1514" s="879"/>
      <c r="HCJ1514" s="879"/>
      <c r="HCK1514" s="879"/>
      <c r="HCL1514" s="879"/>
      <c r="HCM1514" s="879"/>
      <c r="HCN1514" s="879"/>
      <c r="HCO1514" s="879"/>
      <c r="HCP1514" s="879"/>
      <c r="HCQ1514" s="879"/>
      <c r="HCR1514" s="879"/>
      <c r="HCS1514" s="879"/>
      <c r="HCT1514" s="879"/>
      <c r="HCU1514" s="879"/>
      <c r="HCV1514" s="879"/>
      <c r="HCW1514" s="879"/>
      <c r="HCX1514" s="879"/>
      <c r="HCY1514" s="879"/>
      <c r="HCZ1514" s="879"/>
      <c r="HDA1514" s="879"/>
      <c r="HDB1514" s="879"/>
      <c r="HDC1514" s="879"/>
      <c r="HDD1514" s="879"/>
      <c r="HDE1514" s="879"/>
      <c r="HDF1514" s="879"/>
      <c r="HDG1514" s="879"/>
      <c r="HDH1514" s="879"/>
      <c r="HDI1514" s="879"/>
      <c r="HDJ1514" s="879"/>
      <c r="HDK1514" s="879"/>
      <c r="HDL1514" s="879"/>
      <c r="HDM1514" s="879"/>
      <c r="HDN1514" s="879"/>
      <c r="HDO1514" s="879"/>
      <c r="HDP1514" s="879"/>
      <c r="HDQ1514" s="879"/>
      <c r="HDR1514" s="879"/>
      <c r="HDS1514" s="879"/>
      <c r="HDT1514" s="879"/>
      <c r="HDU1514" s="879"/>
      <c r="HDV1514" s="879"/>
      <c r="HDW1514" s="879"/>
      <c r="HDX1514" s="879"/>
      <c r="HDY1514" s="879"/>
      <c r="HDZ1514" s="879"/>
      <c r="HEA1514" s="879"/>
      <c r="HEB1514" s="879"/>
      <c r="HEC1514" s="879"/>
      <c r="HED1514" s="879"/>
      <c r="HEE1514" s="879"/>
      <c r="HEF1514" s="879"/>
      <c r="HEG1514" s="879"/>
      <c r="HEH1514" s="879"/>
      <c r="HEI1514" s="879"/>
      <c r="HEJ1514" s="879"/>
      <c r="HEK1514" s="879"/>
      <c r="HEL1514" s="879"/>
      <c r="HEM1514" s="879"/>
      <c r="HEN1514" s="879"/>
      <c r="HEO1514" s="879"/>
      <c r="HEP1514" s="879"/>
      <c r="HEQ1514" s="879"/>
      <c r="HER1514" s="879"/>
      <c r="HES1514" s="879"/>
      <c r="HET1514" s="879"/>
      <c r="HEU1514" s="879"/>
      <c r="HEV1514" s="879"/>
      <c r="HEW1514" s="879"/>
      <c r="HEX1514" s="879"/>
      <c r="HEY1514" s="879"/>
      <c r="HEZ1514" s="879"/>
      <c r="HFA1514" s="879"/>
      <c r="HFB1514" s="879"/>
      <c r="HFC1514" s="879"/>
      <c r="HFD1514" s="879"/>
      <c r="HFE1514" s="879"/>
      <c r="HFF1514" s="879"/>
      <c r="HFG1514" s="879"/>
      <c r="HFH1514" s="879"/>
      <c r="HFI1514" s="879"/>
      <c r="HFJ1514" s="879"/>
      <c r="HFK1514" s="879"/>
      <c r="HFL1514" s="879"/>
      <c r="HFM1514" s="879"/>
      <c r="HFN1514" s="879"/>
      <c r="HFO1514" s="879"/>
      <c r="HFP1514" s="879"/>
      <c r="HFQ1514" s="879"/>
      <c r="HFR1514" s="879"/>
      <c r="HFS1514" s="879"/>
      <c r="HFT1514" s="879"/>
      <c r="HFU1514" s="879"/>
      <c r="HFV1514" s="879"/>
      <c r="HFW1514" s="879"/>
      <c r="HFX1514" s="879"/>
      <c r="HFY1514" s="879"/>
      <c r="HFZ1514" s="879"/>
      <c r="HGA1514" s="879"/>
      <c r="HGB1514" s="879"/>
      <c r="HGC1514" s="879"/>
      <c r="HGD1514" s="879"/>
      <c r="HGE1514" s="879"/>
      <c r="HGF1514" s="879"/>
      <c r="HGG1514" s="879"/>
      <c r="HGH1514" s="879"/>
      <c r="HGI1514" s="879"/>
      <c r="HGJ1514" s="879"/>
      <c r="HGK1514" s="879"/>
      <c r="HGL1514" s="879"/>
      <c r="HGM1514" s="879"/>
      <c r="HGN1514" s="879"/>
      <c r="HGO1514" s="879"/>
      <c r="HGP1514" s="879"/>
      <c r="HGQ1514" s="879"/>
      <c r="HGR1514" s="879"/>
      <c r="HGS1514" s="879"/>
      <c r="HGT1514" s="879"/>
      <c r="HGU1514" s="879"/>
      <c r="HGV1514" s="879"/>
      <c r="HGW1514" s="879"/>
      <c r="HGX1514" s="879"/>
      <c r="HGY1514" s="879"/>
      <c r="HGZ1514" s="879"/>
      <c r="HHA1514" s="879"/>
      <c r="HHB1514" s="879"/>
      <c r="HHC1514" s="879"/>
      <c r="HHD1514" s="879"/>
      <c r="HHE1514" s="879"/>
      <c r="HHF1514" s="879"/>
      <c r="HHG1514" s="879"/>
      <c r="HHH1514" s="879"/>
      <c r="HHI1514" s="879"/>
      <c r="HHJ1514" s="879"/>
      <c r="HHK1514" s="879"/>
      <c r="HHL1514" s="879"/>
      <c r="HHM1514" s="879"/>
      <c r="HHN1514" s="879"/>
      <c r="HHO1514" s="879"/>
      <c r="HHP1514" s="879"/>
      <c r="HHQ1514" s="879"/>
      <c r="HHR1514" s="879"/>
      <c r="HHS1514" s="879"/>
      <c r="HHT1514" s="879"/>
      <c r="HHU1514" s="879"/>
      <c r="HHV1514" s="879"/>
      <c r="HHW1514" s="879"/>
      <c r="HHX1514" s="879"/>
      <c r="HHY1514" s="879"/>
      <c r="HHZ1514" s="879"/>
      <c r="HIA1514" s="879"/>
      <c r="HIB1514" s="879"/>
      <c r="HIC1514" s="879"/>
      <c r="HID1514" s="879"/>
      <c r="HIE1514" s="879"/>
      <c r="HIF1514" s="879"/>
      <c r="HIG1514" s="879"/>
      <c r="HIH1514" s="879"/>
      <c r="HII1514" s="879"/>
      <c r="HIJ1514" s="879"/>
      <c r="HIK1514" s="879"/>
      <c r="HIL1514" s="879"/>
      <c r="HIM1514" s="879"/>
      <c r="HIN1514" s="879"/>
      <c r="HIO1514" s="879"/>
      <c r="HIP1514" s="879"/>
      <c r="HIQ1514" s="879"/>
      <c r="HIR1514" s="879"/>
      <c r="HIS1514" s="879"/>
      <c r="HIT1514" s="879"/>
      <c r="HIU1514" s="879"/>
      <c r="HIV1514" s="879"/>
      <c r="HIW1514" s="879"/>
      <c r="HIX1514" s="879"/>
      <c r="HIY1514" s="879"/>
      <c r="HIZ1514" s="879"/>
      <c r="HJA1514" s="879"/>
      <c r="HJB1514" s="879"/>
      <c r="HJC1514" s="879"/>
      <c r="HJD1514" s="879"/>
      <c r="HJE1514" s="879"/>
      <c r="HJF1514" s="879"/>
      <c r="HJG1514" s="879"/>
      <c r="HJH1514" s="879"/>
      <c r="HJI1514" s="879"/>
      <c r="HJJ1514" s="879"/>
      <c r="HJK1514" s="879"/>
      <c r="HJL1514" s="879"/>
      <c r="HJM1514" s="879"/>
      <c r="HJN1514" s="879"/>
      <c r="HJO1514" s="879"/>
      <c r="HJP1514" s="879"/>
      <c r="HJQ1514" s="879"/>
      <c r="HJR1514" s="879"/>
      <c r="HJS1514" s="879"/>
      <c r="HJT1514" s="879"/>
      <c r="HJU1514" s="879"/>
      <c r="HJV1514" s="879"/>
      <c r="HJW1514" s="879"/>
      <c r="HJX1514" s="879"/>
      <c r="HJY1514" s="879"/>
      <c r="HJZ1514" s="879"/>
      <c r="HKA1514" s="879"/>
      <c r="HKB1514" s="879"/>
      <c r="HKC1514" s="879"/>
      <c r="HKD1514" s="879"/>
      <c r="HKE1514" s="879"/>
      <c r="HKF1514" s="879"/>
      <c r="HKG1514" s="879"/>
      <c r="HKH1514" s="879"/>
      <c r="HKI1514" s="879"/>
      <c r="HKJ1514" s="879"/>
      <c r="HKK1514" s="879"/>
      <c r="HKL1514" s="879"/>
      <c r="HKM1514" s="879"/>
      <c r="HKN1514" s="879"/>
      <c r="HKO1514" s="879"/>
      <c r="HKP1514" s="879"/>
      <c r="HKQ1514" s="879"/>
      <c r="HKR1514" s="879"/>
      <c r="HKS1514" s="879"/>
      <c r="HKT1514" s="879"/>
      <c r="HKU1514" s="879"/>
      <c r="HKV1514" s="879"/>
      <c r="HKW1514" s="879"/>
      <c r="HKX1514" s="879"/>
      <c r="HKY1514" s="879"/>
      <c r="HKZ1514" s="879"/>
      <c r="HLA1514" s="879"/>
      <c r="HLB1514" s="879"/>
      <c r="HLC1514" s="879"/>
      <c r="HLD1514" s="879"/>
      <c r="HLE1514" s="879"/>
      <c r="HLF1514" s="879"/>
      <c r="HLG1514" s="879"/>
      <c r="HLH1514" s="879"/>
      <c r="HLI1514" s="879"/>
      <c r="HLJ1514" s="879"/>
      <c r="HLK1514" s="879"/>
      <c r="HLL1514" s="879"/>
      <c r="HLM1514" s="879"/>
      <c r="HLN1514" s="879"/>
      <c r="HLO1514" s="879"/>
      <c r="HLP1514" s="879"/>
      <c r="HLQ1514" s="879"/>
      <c r="HLR1514" s="879"/>
      <c r="HLS1514" s="879"/>
      <c r="HLT1514" s="879"/>
      <c r="HLU1514" s="879"/>
      <c r="HLV1514" s="879"/>
      <c r="HLW1514" s="879"/>
      <c r="HLX1514" s="879"/>
      <c r="HLY1514" s="879"/>
      <c r="HLZ1514" s="879"/>
      <c r="HMA1514" s="879"/>
      <c r="HMB1514" s="879"/>
      <c r="HMC1514" s="879"/>
      <c r="HMD1514" s="879"/>
      <c r="HME1514" s="879"/>
      <c r="HMF1514" s="879"/>
      <c r="HMG1514" s="879"/>
      <c r="HMH1514" s="879"/>
      <c r="HMI1514" s="879"/>
      <c r="HMJ1514" s="879"/>
      <c r="HMK1514" s="879"/>
      <c r="HML1514" s="879"/>
      <c r="HMM1514" s="879"/>
      <c r="HMN1514" s="879"/>
      <c r="HMO1514" s="879"/>
      <c r="HMP1514" s="879"/>
      <c r="HMQ1514" s="879"/>
      <c r="HMR1514" s="879"/>
      <c r="HMS1514" s="879"/>
      <c r="HMT1514" s="879"/>
      <c r="HMU1514" s="879"/>
      <c r="HMV1514" s="879"/>
      <c r="HMW1514" s="879"/>
      <c r="HMX1514" s="879"/>
      <c r="HMY1514" s="879"/>
      <c r="HMZ1514" s="879"/>
      <c r="HNA1514" s="879"/>
      <c r="HNB1514" s="879"/>
      <c r="HNC1514" s="879"/>
      <c r="HND1514" s="879"/>
      <c r="HNE1514" s="879"/>
      <c r="HNF1514" s="879"/>
      <c r="HNG1514" s="879"/>
      <c r="HNH1514" s="879"/>
      <c r="HNI1514" s="879"/>
      <c r="HNJ1514" s="879"/>
      <c r="HNK1514" s="879"/>
      <c r="HNL1514" s="879"/>
      <c r="HNM1514" s="879"/>
      <c r="HNN1514" s="879"/>
      <c r="HNO1514" s="879"/>
      <c r="HNP1514" s="879"/>
      <c r="HNQ1514" s="879"/>
      <c r="HNR1514" s="879"/>
      <c r="HNS1514" s="879"/>
      <c r="HNT1514" s="879"/>
      <c r="HNU1514" s="879"/>
      <c r="HNV1514" s="879"/>
      <c r="HNW1514" s="879"/>
      <c r="HNX1514" s="879"/>
      <c r="HNY1514" s="879"/>
      <c r="HNZ1514" s="879"/>
      <c r="HOA1514" s="879"/>
      <c r="HOB1514" s="879"/>
      <c r="HOC1514" s="879"/>
      <c r="HOD1514" s="879"/>
      <c r="HOE1514" s="879"/>
      <c r="HOF1514" s="879"/>
      <c r="HOG1514" s="879"/>
      <c r="HOH1514" s="879"/>
      <c r="HOI1514" s="879"/>
      <c r="HOJ1514" s="879"/>
      <c r="HOK1514" s="879"/>
      <c r="HOL1514" s="879"/>
      <c r="HOM1514" s="879"/>
      <c r="HON1514" s="879"/>
      <c r="HOO1514" s="879"/>
      <c r="HOP1514" s="879"/>
      <c r="HOQ1514" s="879"/>
      <c r="HOR1514" s="879"/>
      <c r="HOS1514" s="879"/>
      <c r="HOT1514" s="879"/>
      <c r="HOU1514" s="879"/>
      <c r="HOV1514" s="879"/>
      <c r="HOW1514" s="879"/>
      <c r="HOX1514" s="879"/>
      <c r="HOY1514" s="879"/>
      <c r="HOZ1514" s="879"/>
      <c r="HPA1514" s="879"/>
      <c r="HPB1514" s="879"/>
      <c r="HPC1514" s="879"/>
      <c r="HPD1514" s="879"/>
      <c r="HPE1514" s="879"/>
      <c r="HPF1514" s="879"/>
      <c r="HPG1514" s="879"/>
      <c r="HPH1514" s="879"/>
      <c r="HPI1514" s="879"/>
      <c r="HPJ1514" s="879"/>
      <c r="HPK1514" s="879"/>
      <c r="HPL1514" s="879"/>
      <c r="HPM1514" s="879"/>
      <c r="HPN1514" s="879"/>
      <c r="HPO1514" s="879"/>
      <c r="HPP1514" s="879"/>
      <c r="HPQ1514" s="879"/>
      <c r="HPR1514" s="879"/>
      <c r="HPS1514" s="879"/>
      <c r="HPT1514" s="879"/>
      <c r="HPU1514" s="879"/>
      <c r="HPV1514" s="879"/>
      <c r="HPW1514" s="879"/>
      <c r="HPX1514" s="879"/>
      <c r="HPY1514" s="879"/>
      <c r="HPZ1514" s="879"/>
      <c r="HQA1514" s="879"/>
      <c r="HQB1514" s="879"/>
      <c r="HQC1514" s="879"/>
      <c r="HQD1514" s="879"/>
      <c r="HQE1514" s="879"/>
      <c r="HQF1514" s="879"/>
      <c r="HQG1514" s="879"/>
      <c r="HQH1514" s="879"/>
      <c r="HQI1514" s="879"/>
      <c r="HQJ1514" s="879"/>
      <c r="HQK1514" s="879"/>
      <c r="HQL1514" s="879"/>
      <c r="HQM1514" s="879"/>
      <c r="HQN1514" s="879"/>
      <c r="HQO1514" s="879"/>
      <c r="HQP1514" s="879"/>
      <c r="HQQ1514" s="879"/>
      <c r="HQR1514" s="879"/>
      <c r="HQS1514" s="879"/>
      <c r="HQT1514" s="879"/>
      <c r="HQU1514" s="879"/>
      <c r="HQV1514" s="879"/>
      <c r="HQW1514" s="879"/>
      <c r="HQX1514" s="879"/>
      <c r="HQY1514" s="879"/>
      <c r="HQZ1514" s="879"/>
      <c r="HRA1514" s="879"/>
      <c r="HRB1514" s="879"/>
      <c r="HRC1514" s="879"/>
      <c r="HRD1514" s="879"/>
      <c r="HRE1514" s="879"/>
      <c r="HRF1514" s="879"/>
      <c r="HRG1514" s="879"/>
      <c r="HRH1514" s="879"/>
      <c r="HRI1514" s="879"/>
      <c r="HRJ1514" s="879"/>
      <c r="HRK1514" s="879"/>
      <c r="HRL1514" s="879"/>
      <c r="HRM1514" s="879"/>
      <c r="HRN1514" s="879"/>
      <c r="HRO1514" s="879"/>
      <c r="HRP1514" s="879"/>
      <c r="HRQ1514" s="879"/>
      <c r="HRR1514" s="879"/>
      <c r="HRS1514" s="879"/>
      <c r="HRT1514" s="879"/>
      <c r="HRU1514" s="879"/>
      <c r="HRV1514" s="879"/>
      <c r="HRW1514" s="879"/>
      <c r="HRX1514" s="879"/>
      <c r="HRY1514" s="879"/>
      <c r="HRZ1514" s="879"/>
      <c r="HSA1514" s="879"/>
      <c r="HSB1514" s="879"/>
      <c r="HSC1514" s="879"/>
      <c r="HSD1514" s="879"/>
      <c r="HSE1514" s="879"/>
      <c r="HSF1514" s="879"/>
      <c r="HSG1514" s="879"/>
      <c r="HSH1514" s="879"/>
      <c r="HSI1514" s="879"/>
      <c r="HSJ1514" s="879"/>
      <c r="HSK1514" s="879"/>
      <c r="HSL1514" s="879"/>
      <c r="HSM1514" s="879"/>
      <c r="HSN1514" s="879"/>
      <c r="HSO1514" s="879"/>
      <c r="HSP1514" s="879"/>
      <c r="HSQ1514" s="879"/>
      <c r="HSR1514" s="879"/>
      <c r="HSS1514" s="879"/>
      <c r="HST1514" s="879"/>
      <c r="HSU1514" s="879"/>
      <c r="HSV1514" s="879"/>
      <c r="HSW1514" s="879"/>
      <c r="HSX1514" s="879"/>
      <c r="HSY1514" s="879"/>
      <c r="HSZ1514" s="879"/>
      <c r="HTA1514" s="879"/>
      <c r="HTB1514" s="879"/>
      <c r="HTC1514" s="879"/>
      <c r="HTD1514" s="879"/>
      <c r="HTE1514" s="879"/>
      <c r="HTF1514" s="879"/>
      <c r="HTG1514" s="879"/>
      <c r="HTH1514" s="879"/>
      <c r="HTI1514" s="879"/>
      <c r="HTJ1514" s="879"/>
      <c r="HTK1514" s="879"/>
      <c r="HTL1514" s="879"/>
      <c r="HTM1514" s="879"/>
      <c r="HTN1514" s="879"/>
      <c r="HTO1514" s="879"/>
      <c r="HTP1514" s="879"/>
      <c r="HTQ1514" s="879"/>
      <c r="HTR1514" s="879"/>
      <c r="HTS1514" s="879"/>
      <c r="HTT1514" s="879"/>
      <c r="HTU1514" s="879"/>
      <c r="HTV1514" s="879"/>
      <c r="HTW1514" s="879"/>
      <c r="HTX1514" s="879"/>
      <c r="HTY1514" s="879"/>
      <c r="HTZ1514" s="879"/>
      <c r="HUA1514" s="879"/>
      <c r="HUB1514" s="879"/>
      <c r="HUC1514" s="879"/>
      <c r="HUD1514" s="879"/>
      <c r="HUE1514" s="879"/>
      <c r="HUF1514" s="879"/>
      <c r="HUG1514" s="879"/>
      <c r="HUH1514" s="879"/>
      <c r="HUI1514" s="879"/>
      <c r="HUJ1514" s="879"/>
      <c r="HUK1514" s="879"/>
      <c r="HUL1514" s="879"/>
      <c r="HUM1514" s="879"/>
      <c r="HUN1514" s="879"/>
      <c r="HUO1514" s="879"/>
      <c r="HUP1514" s="879"/>
      <c r="HUQ1514" s="879"/>
      <c r="HUR1514" s="879"/>
      <c r="HUS1514" s="879"/>
      <c r="HUT1514" s="879"/>
      <c r="HUU1514" s="879"/>
      <c r="HUV1514" s="879"/>
      <c r="HUW1514" s="879"/>
      <c r="HUX1514" s="879"/>
      <c r="HUY1514" s="879"/>
      <c r="HUZ1514" s="879"/>
      <c r="HVA1514" s="879"/>
      <c r="HVB1514" s="879"/>
      <c r="HVC1514" s="879"/>
      <c r="HVD1514" s="879"/>
      <c r="HVE1514" s="879"/>
      <c r="HVF1514" s="879"/>
      <c r="HVG1514" s="879"/>
      <c r="HVH1514" s="879"/>
      <c r="HVI1514" s="879"/>
      <c r="HVJ1514" s="879"/>
      <c r="HVK1514" s="879"/>
      <c r="HVL1514" s="879"/>
      <c r="HVM1514" s="879"/>
      <c r="HVN1514" s="879"/>
      <c r="HVO1514" s="879"/>
      <c r="HVP1514" s="879"/>
      <c r="HVQ1514" s="879"/>
      <c r="HVR1514" s="879"/>
      <c r="HVS1514" s="879"/>
      <c r="HVT1514" s="879"/>
      <c r="HVU1514" s="879"/>
      <c r="HVV1514" s="879"/>
      <c r="HVW1514" s="879"/>
      <c r="HVX1514" s="879"/>
      <c r="HVY1514" s="879"/>
      <c r="HVZ1514" s="879"/>
      <c r="HWA1514" s="879"/>
      <c r="HWB1514" s="879"/>
      <c r="HWC1514" s="879"/>
      <c r="HWD1514" s="879"/>
      <c r="HWE1514" s="879"/>
      <c r="HWF1514" s="879"/>
      <c r="HWG1514" s="879"/>
      <c r="HWH1514" s="879"/>
      <c r="HWI1514" s="879"/>
      <c r="HWJ1514" s="879"/>
      <c r="HWK1514" s="879"/>
      <c r="HWL1514" s="879"/>
      <c r="HWM1514" s="879"/>
      <c r="HWN1514" s="879"/>
      <c r="HWO1514" s="879"/>
      <c r="HWP1514" s="879"/>
      <c r="HWQ1514" s="879"/>
      <c r="HWR1514" s="879"/>
      <c r="HWS1514" s="879"/>
      <c r="HWT1514" s="879"/>
      <c r="HWU1514" s="879"/>
      <c r="HWV1514" s="879"/>
      <c r="HWW1514" s="879"/>
      <c r="HWX1514" s="879"/>
      <c r="HWY1514" s="879"/>
      <c r="HWZ1514" s="879"/>
      <c r="HXA1514" s="879"/>
      <c r="HXB1514" s="879"/>
      <c r="HXC1514" s="879"/>
      <c r="HXD1514" s="879"/>
      <c r="HXE1514" s="879"/>
      <c r="HXF1514" s="879"/>
      <c r="HXG1514" s="879"/>
      <c r="HXH1514" s="879"/>
      <c r="HXI1514" s="879"/>
      <c r="HXJ1514" s="879"/>
      <c r="HXK1514" s="879"/>
      <c r="HXL1514" s="879"/>
      <c r="HXM1514" s="879"/>
      <c r="HXN1514" s="879"/>
      <c r="HXO1514" s="879"/>
      <c r="HXP1514" s="879"/>
      <c r="HXQ1514" s="879"/>
      <c r="HXR1514" s="879"/>
      <c r="HXS1514" s="879"/>
      <c r="HXT1514" s="879"/>
      <c r="HXU1514" s="879"/>
      <c r="HXV1514" s="879"/>
      <c r="HXW1514" s="879"/>
      <c r="HXX1514" s="879"/>
      <c r="HXY1514" s="879"/>
      <c r="HXZ1514" s="879"/>
      <c r="HYA1514" s="879"/>
      <c r="HYB1514" s="879"/>
      <c r="HYC1514" s="879"/>
      <c r="HYD1514" s="879"/>
      <c r="HYE1514" s="879"/>
      <c r="HYF1514" s="879"/>
      <c r="HYG1514" s="879"/>
      <c r="HYH1514" s="879"/>
      <c r="HYI1514" s="879"/>
      <c r="HYJ1514" s="879"/>
      <c r="HYK1514" s="879"/>
      <c r="HYL1514" s="879"/>
      <c r="HYM1514" s="879"/>
      <c r="HYN1514" s="879"/>
      <c r="HYO1514" s="879"/>
      <c r="HYP1514" s="879"/>
      <c r="HYQ1514" s="879"/>
      <c r="HYR1514" s="879"/>
      <c r="HYS1514" s="879"/>
      <c r="HYT1514" s="879"/>
      <c r="HYU1514" s="879"/>
      <c r="HYV1514" s="879"/>
      <c r="HYW1514" s="879"/>
      <c r="HYX1514" s="879"/>
      <c r="HYY1514" s="879"/>
      <c r="HYZ1514" s="879"/>
      <c r="HZA1514" s="879"/>
      <c r="HZB1514" s="879"/>
      <c r="HZC1514" s="879"/>
      <c r="HZD1514" s="879"/>
      <c r="HZE1514" s="879"/>
      <c r="HZF1514" s="879"/>
      <c r="HZG1514" s="879"/>
      <c r="HZH1514" s="879"/>
      <c r="HZI1514" s="879"/>
      <c r="HZJ1514" s="879"/>
      <c r="HZK1514" s="879"/>
      <c r="HZL1514" s="879"/>
      <c r="HZM1514" s="879"/>
      <c r="HZN1514" s="879"/>
      <c r="HZO1514" s="879"/>
      <c r="HZP1514" s="879"/>
      <c r="HZQ1514" s="879"/>
      <c r="HZR1514" s="879"/>
      <c r="HZS1514" s="879"/>
      <c r="HZT1514" s="879"/>
      <c r="HZU1514" s="879"/>
      <c r="HZV1514" s="879"/>
      <c r="HZW1514" s="879"/>
      <c r="HZX1514" s="879"/>
      <c r="HZY1514" s="879"/>
      <c r="HZZ1514" s="879"/>
      <c r="IAA1514" s="879"/>
      <c r="IAB1514" s="879"/>
      <c r="IAC1514" s="879"/>
      <c r="IAD1514" s="879"/>
      <c r="IAE1514" s="879"/>
      <c r="IAF1514" s="879"/>
      <c r="IAG1514" s="879"/>
      <c r="IAH1514" s="879"/>
      <c r="IAI1514" s="879"/>
      <c r="IAJ1514" s="879"/>
      <c r="IAK1514" s="879"/>
      <c r="IAL1514" s="879"/>
      <c r="IAM1514" s="879"/>
      <c r="IAN1514" s="879"/>
      <c r="IAO1514" s="879"/>
      <c r="IAP1514" s="879"/>
      <c r="IAQ1514" s="879"/>
      <c r="IAR1514" s="879"/>
      <c r="IAS1514" s="879"/>
      <c r="IAT1514" s="879"/>
      <c r="IAU1514" s="879"/>
      <c r="IAV1514" s="879"/>
      <c r="IAW1514" s="879"/>
      <c r="IAX1514" s="879"/>
      <c r="IAY1514" s="879"/>
      <c r="IAZ1514" s="879"/>
      <c r="IBA1514" s="879"/>
      <c r="IBB1514" s="879"/>
      <c r="IBC1514" s="879"/>
      <c r="IBD1514" s="879"/>
      <c r="IBE1514" s="879"/>
      <c r="IBF1514" s="879"/>
      <c r="IBG1514" s="879"/>
      <c r="IBH1514" s="879"/>
      <c r="IBI1514" s="879"/>
      <c r="IBJ1514" s="879"/>
      <c r="IBK1514" s="879"/>
      <c r="IBL1514" s="879"/>
      <c r="IBM1514" s="879"/>
      <c r="IBN1514" s="879"/>
      <c r="IBO1514" s="879"/>
      <c r="IBP1514" s="879"/>
      <c r="IBQ1514" s="879"/>
      <c r="IBR1514" s="879"/>
      <c r="IBS1514" s="879"/>
      <c r="IBT1514" s="879"/>
      <c r="IBU1514" s="879"/>
      <c r="IBV1514" s="879"/>
      <c r="IBW1514" s="879"/>
      <c r="IBX1514" s="879"/>
      <c r="IBY1514" s="879"/>
      <c r="IBZ1514" s="879"/>
      <c r="ICA1514" s="879"/>
      <c r="ICB1514" s="879"/>
      <c r="ICC1514" s="879"/>
      <c r="ICD1514" s="879"/>
      <c r="ICE1514" s="879"/>
      <c r="ICF1514" s="879"/>
      <c r="ICG1514" s="879"/>
      <c r="ICH1514" s="879"/>
      <c r="ICI1514" s="879"/>
      <c r="ICJ1514" s="879"/>
      <c r="ICK1514" s="879"/>
      <c r="ICL1514" s="879"/>
      <c r="ICM1514" s="879"/>
      <c r="ICN1514" s="879"/>
      <c r="ICO1514" s="879"/>
      <c r="ICP1514" s="879"/>
      <c r="ICQ1514" s="879"/>
      <c r="ICR1514" s="879"/>
      <c r="ICS1514" s="879"/>
      <c r="ICT1514" s="879"/>
      <c r="ICU1514" s="879"/>
      <c r="ICV1514" s="879"/>
      <c r="ICW1514" s="879"/>
      <c r="ICX1514" s="879"/>
      <c r="ICY1514" s="879"/>
      <c r="ICZ1514" s="879"/>
      <c r="IDA1514" s="879"/>
      <c r="IDB1514" s="879"/>
      <c r="IDC1514" s="879"/>
      <c r="IDD1514" s="879"/>
      <c r="IDE1514" s="879"/>
      <c r="IDF1514" s="879"/>
      <c r="IDG1514" s="879"/>
      <c r="IDH1514" s="879"/>
      <c r="IDI1514" s="879"/>
      <c r="IDJ1514" s="879"/>
      <c r="IDK1514" s="879"/>
      <c r="IDL1514" s="879"/>
      <c r="IDM1514" s="879"/>
      <c r="IDN1514" s="879"/>
      <c r="IDO1514" s="879"/>
      <c r="IDP1514" s="879"/>
      <c r="IDQ1514" s="879"/>
      <c r="IDR1514" s="879"/>
      <c r="IDS1514" s="879"/>
      <c r="IDT1514" s="879"/>
      <c r="IDU1514" s="879"/>
      <c r="IDV1514" s="879"/>
      <c r="IDW1514" s="879"/>
      <c r="IDX1514" s="879"/>
      <c r="IDY1514" s="879"/>
      <c r="IDZ1514" s="879"/>
      <c r="IEA1514" s="879"/>
      <c r="IEB1514" s="879"/>
      <c r="IEC1514" s="879"/>
      <c r="IED1514" s="879"/>
      <c r="IEE1514" s="879"/>
      <c r="IEF1514" s="879"/>
      <c r="IEG1514" s="879"/>
      <c r="IEH1514" s="879"/>
      <c r="IEI1514" s="879"/>
      <c r="IEJ1514" s="879"/>
      <c r="IEK1514" s="879"/>
      <c r="IEL1514" s="879"/>
      <c r="IEM1514" s="879"/>
      <c r="IEN1514" s="879"/>
      <c r="IEO1514" s="879"/>
      <c r="IEP1514" s="879"/>
      <c r="IEQ1514" s="879"/>
      <c r="IER1514" s="879"/>
      <c r="IES1514" s="879"/>
      <c r="IET1514" s="879"/>
      <c r="IEU1514" s="879"/>
      <c r="IEV1514" s="879"/>
      <c r="IEW1514" s="879"/>
      <c r="IEX1514" s="879"/>
      <c r="IEY1514" s="879"/>
      <c r="IEZ1514" s="879"/>
      <c r="IFA1514" s="879"/>
      <c r="IFB1514" s="879"/>
      <c r="IFC1514" s="879"/>
      <c r="IFD1514" s="879"/>
      <c r="IFE1514" s="879"/>
      <c r="IFF1514" s="879"/>
      <c r="IFG1514" s="879"/>
      <c r="IFH1514" s="879"/>
      <c r="IFI1514" s="879"/>
      <c r="IFJ1514" s="879"/>
      <c r="IFK1514" s="879"/>
      <c r="IFL1514" s="879"/>
      <c r="IFM1514" s="879"/>
      <c r="IFN1514" s="879"/>
      <c r="IFO1514" s="879"/>
      <c r="IFP1514" s="879"/>
      <c r="IFQ1514" s="879"/>
      <c r="IFR1514" s="879"/>
      <c r="IFS1514" s="879"/>
      <c r="IFT1514" s="879"/>
      <c r="IFU1514" s="879"/>
      <c r="IFV1514" s="879"/>
      <c r="IFW1514" s="879"/>
      <c r="IFX1514" s="879"/>
      <c r="IFY1514" s="879"/>
      <c r="IFZ1514" s="879"/>
      <c r="IGA1514" s="879"/>
      <c r="IGB1514" s="879"/>
      <c r="IGC1514" s="879"/>
      <c r="IGD1514" s="879"/>
      <c r="IGE1514" s="879"/>
      <c r="IGF1514" s="879"/>
      <c r="IGG1514" s="879"/>
      <c r="IGH1514" s="879"/>
      <c r="IGI1514" s="879"/>
      <c r="IGJ1514" s="879"/>
      <c r="IGK1514" s="879"/>
      <c r="IGL1514" s="879"/>
      <c r="IGM1514" s="879"/>
      <c r="IGN1514" s="879"/>
      <c r="IGO1514" s="879"/>
      <c r="IGP1514" s="879"/>
      <c r="IGQ1514" s="879"/>
      <c r="IGR1514" s="879"/>
      <c r="IGS1514" s="879"/>
      <c r="IGT1514" s="879"/>
      <c r="IGU1514" s="879"/>
      <c r="IGV1514" s="879"/>
      <c r="IGW1514" s="879"/>
      <c r="IGX1514" s="879"/>
      <c r="IGY1514" s="879"/>
      <c r="IGZ1514" s="879"/>
      <c r="IHA1514" s="879"/>
      <c r="IHB1514" s="879"/>
      <c r="IHC1514" s="879"/>
      <c r="IHD1514" s="879"/>
      <c r="IHE1514" s="879"/>
      <c r="IHF1514" s="879"/>
      <c r="IHG1514" s="879"/>
      <c r="IHH1514" s="879"/>
      <c r="IHI1514" s="879"/>
      <c r="IHJ1514" s="879"/>
      <c r="IHK1514" s="879"/>
      <c r="IHL1514" s="879"/>
      <c r="IHM1514" s="879"/>
      <c r="IHN1514" s="879"/>
      <c r="IHO1514" s="879"/>
      <c r="IHP1514" s="879"/>
      <c r="IHQ1514" s="879"/>
      <c r="IHR1514" s="879"/>
      <c r="IHS1514" s="879"/>
      <c r="IHT1514" s="879"/>
      <c r="IHU1514" s="879"/>
      <c r="IHV1514" s="879"/>
      <c r="IHW1514" s="879"/>
      <c r="IHX1514" s="879"/>
      <c r="IHY1514" s="879"/>
      <c r="IHZ1514" s="879"/>
      <c r="IIA1514" s="879"/>
      <c r="IIB1514" s="879"/>
      <c r="IIC1514" s="879"/>
      <c r="IID1514" s="879"/>
      <c r="IIE1514" s="879"/>
      <c r="IIF1514" s="879"/>
      <c r="IIG1514" s="879"/>
      <c r="IIH1514" s="879"/>
      <c r="III1514" s="879"/>
      <c r="IIJ1514" s="879"/>
      <c r="IIK1514" s="879"/>
      <c r="IIL1514" s="879"/>
      <c r="IIM1514" s="879"/>
      <c r="IIN1514" s="879"/>
      <c r="IIO1514" s="879"/>
      <c r="IIP1514" s="879"/>
      <c r="IIQ1514" s="879"/>
      <c r="IIR1514" s="879"/>
      <c r="IIS1514" s="879"/>
      <c r="IIT1514" s="879"/>
      <c r="IIU1514" s="879"/>
      <c r="IIV1514" s="879"/>
      <c r="IIW1514" s="879"/>
      <c r="IIX1514" s="879"/>
      <c r="IIY1514" s="879"/>
      <c r="IIZ1514" s="879"/>
      <c r="IJA1514" s="879"/>
      <c r="IJB1514" s="879"/>
      <c r="IJC1514" s="879"/>
      <c r="IJD1514" s="879"/>
      <c r="IJE1514" s="879"/>
      <c r="IJF1514" s="879"/>
      <c r="IJG1514" s="879"/>
      <c r="IJH1514" s="879"/>
      <c r="IJI1514" s="879"/>
      <c r="IJJ1514" s="879"/>
      <c r="IJK1514" s="879"/>
      <c r="IJL1514" s="879"/>
      <c r="IJM1514" s="879"/>
      <c r="IJN1514" s="879"/>
      <c r="IJO1514" s="879"/>
      <c r="IJP1514" s="879"/>
      <c r="IJQ1514" s="879"/>
      <c r="IJR1514" s="879"/>
      <c r="IJS1514" s="879"/>
      <c r="IJT1514" s="879"/>
      <c r="IJU1514" s="879"/>
      <c r="IJV1514" s="879"/>
      <c r="IJW1514" s="879"/>
      <c r="IJX1514" s="879"/>
      <c r="IJY1514" s="879"/>
      <c r="IJZ1514" s="879"/>
      <c r="IKA1514" s="879"/>
      <c r="IKB1514" s="879"/>
      <c r="IKC1514" s="879"/>
      <c r="IKD1514" s="879"/>
      <c r="IKE1514" s="879"/>
      <c r="IKF1514" s="879"/>
      <c r="IKG1514" s="879"/>
      <c r="IKH1514" s="879"/>
      <c r="IKI1514" s="879"/>
      <c r="IKJ1514" s="879"/>
      <c r="IKK1514" s="879"/>
      <c r="IKL1514" s="879"/>
      <c r="IKM1514" s="879"/>
      <c r="IKN1514" s="879"/>
      <c r="IKO1514" s="879"/>
      <c r="IKP1514" s="879"/>
      <c r="IKQ1514" s="879"/>
      <c r="IKR1514" s="879"/>
      <c r="IKS1514" s="879"/>
      <c r="IKT1514" s="879"/>
      <c r="IKU1514" s="879"/>
      <c r="IKV1514" s="879"/>
      <c r="IKW1514" s="879"/>
      <c r="IKX1514" s="879"/>
      <c r="IKY1514" s="879"/>
      <c r="IKZ1514" s="879"/>
      <c r="ILA1514" s="879"/>
      <c r="ILB1514" s="879"/>
      <c r="ILC1514" s="879"/>
      <c r="ILD1514" s="879"/>
      <c r="ILE1514" s="879"/>
      <c r="ILF1514" s="879"/>
      <c r="ILG1514" s="879"/>
      <c r="ILH1514" s="879"/>
      <c r="ILI1514" s="879"/>
      <c r="ILJ1514" s="879"/>
      <c r="ILK1514" s="879"/>
      <c r="ILL1514" s="879"/>
      <c r="ILM1514" s="879"/>
      <c r="ILN1514" s="879"/>
      <c r="ILO1514" s="879"/>
      <c r="ILP1514" s="879"/>
      <c r="ILQ1514" s="879"/>
      <c r="ILR1514" s="879"/>
      <c r="ILS1514" s="879"/>
      <c r="ILT1514" s="879"/>
      <c r="ILU1514" s="879"/>
      <c r="ILV1514" s="879"/>
      <c r="ILW1514" s="879"/>
      <c r="ILX1514" s="879"/>
      <c r="ILY1514" s="879"/>
      <c r="ILZ1514" s="879"/>
      <c r="IMA1514" s="879"/>
      <c r="IMB1514" s="879"/>
      <c r="IMC1514" s="879"/>
      <c r="IMD1514" s="879"/>
      <c r="IME1514" s="879"/>
      <c r="IMF1514" s="879"/>
      <c r="IMG1514" s="879"/>
      <c r="IMH1514" s="879"/>
      <c r="IMI1514" s="879"/>
      <c r="IMJ1514" s="879"/>
      <c r="IMK1514" s="879"/>
      <c r="IML1514" s="879"/>
      <c r="IMM1514" s="879"/>
      <c r="IMN1514" s="879"/>
      <c r="IMO1514" s="879"/>
      <c r="IMP1514" s="879"/>
      <c r="IMQ1514" s="879"/>
      <c r="IMR1514" s="879"/>
      <c r="IMS1514" s="879"/>
      <c r="IMT1514" s="879"/>
      <c r="IMU1514" s="879"/>
      <c r="IMV1514" s="879"/>
      <c r="IMW1514" s="879"/>
      <c r="IMX1514" s="879"/>
      <c r="IMY1514" s="879"/>
      <c r="IMZ1514" s="879"/>
      <c r="INA1514" s="879"/>
      <c r="INB1514" s="879"/>
      <c r="INC1514" s="879"/>
      <c r="IND1514" s="879"/>
      <c r="INE1514" s="879"/>
      <c r="INF1514" s="879"/>
      <c r="ING1514" s="879"/>
      <c r="INH1514" s="879"/>
      <c r="INI1514" s="879"/>
      <c r="INJ1514" s="879"/>
      <c r="INK1514" s="879"/>
      <c r="INL1514" s="879"/>
      <c r="INM1514" s="879"/>
      <c r="INN1514" s="879"/>
      <c r="INO1514" s="879"/>
      <c r="INP1514" s="879"/>
      <c r="INQ1514" s="879"/>
      <c r="INR1514" s="879"/>
      <c r="INS1514" s="879"/>
      <c r="INT1514" s="879"/>
      <c r="INU1514" s="879"/>
      <c r="INV1514" s="879"/>
      <c r="INW1514" s="879"/>
      <c r="INX1514" s="879"/>
      <c r="INY1514" s="879"/>
      <c r="INZ1514" s="879"/>
      <c r="IOA1514" s="879"/>
      <c r="IOB1514" s="879"/>
      <c r="IOC1514" s="879"/>
      <c r="IOD1514" s="879"/>
      <c r="IOE1514" s="879"/>
      <c r="IOF1514" s="879"/>
      <c r="IOG1514" s="879"/>
      <c r="IOH1514" s="879"/>
      <c r="IOI1514" s="879"/>
      <c r="IOJ1514" s="879"/>
      <c r="IOK1514" s="879"/>
      <c r="IOL1514" s="879"/>
      <c r="IOM1514" s="879"/>
      <c r="ION1514" s="879"/>
      <c r="IOO1514" s="879"/>
      <c r="IOP1514" s="879"/>
      <c r="IOQ1514" s="879"/>
      <c r="IOR1514" s="879"/>
      <c r="IOS1514" s="879"/>
      <c r="IOT1514" s="879"/>
      <c r="IOU1514" s="879"/>
      <c r="IOV1514" s="879"/>
      <c r="IOW1514" s="879"/>
      <c r="IOX1514" s="879"/>
      <c r="IOY1514" s="879"/>
      <c r="IOZ1514" s="879"/>
      <c r="IPA1514" s="879"/>
      <c r="IPB1514" s="879"/>
      <c r="IPC1514" s="879"/>
      <c r="IPD1514" s="879"/>
      <c r="IPE1514" s="879"/>
      <c r="IPF1514" s="879"/>
      <c r="IPG1514" s="879"/>
      <c r="IPH1514" s="879"/>
      <c r="IPI1514" s="879"/>
      <c r="IPJ1514" s="879"/>
      <c r="IPK1514" s="879"/>
      <c r="IPL1514" s="879"/>
      <c r="IPM1514" s="879"/>
      <c r="IPN1514" s="879"/>
      <c r="IPO1514" s="879"/>
      <c r="IPP1514" s="879"/>
      <c r="IPQ1514" s="879"/>
      <c r="IPR1514" s="879"/>
      <c r="IPS1514" s="879"/>
      <c r="IPT1514" s="879"/>
      <c r="IPU1514" s="879"/>
      <c r="IPV1514" s="879"/>
      <c r="IPW1514" s="879"/>
      <c r="IPX1514" s="879"/>
      <c r="IPY1514" s="879"/>
      <c r="IPZ1514" s="879"/>
      <c r="IQA1514" s="879"/>
      <c r="IQB1514" s="879"/>
      <c r="IQC1514" s="879"/>
      <c r="IQD1514" s="879"/>
      <c r="IQE1514" s="879"/>
      <c r="IQF1514" s="879"/>
      <c r="IQG1514" s="879"/>
      <c r="IQH1514" s="879"/>
      <c r="IQI1514" s="879"/>
      <c r="IQJ1514" s="879"/>
      <c r="IQK1514" s="879"/>
      <c r="IQL1514" s="879"/>
      <c r="IQM1514" s="879"/>
      <c r="IQN1514" s="879"/>
      <c r="IQO1514" s="879"/>
      <c r="IQP1514" s="879"/>
      <c r="IQQ1514" s="879"/>
      <c r="IQR1514" s="879"/>
      <c r="IQS1514" s="879"/>
      <c r="IQT1514" s="879"/>
      <c r="IQU1514" s="879"/>
      <c r="IQV1514" s="879"/>
      <c r="IQW1514" s="879"/>
      <c r="IQX1514" s="879"/>
      <c r="IQY1514" s="879"/>
      <c r="IQZ1514" s="879"/>
      <c r="IRA1514" s="879"/>
      <c r="IRB1514" s="879"/>
      <c r="IRC1514" s="879"/>
      <c r="IRD1514" s="879"/>
      <c r="IRE1514" s="879"/>
      <c r="IRF1514" s="879"/>
      <c r="IRG1514" s="879"/>
      <c r="IRH1514" s="879"/>
      <c r="IRI1514" s="879"/>
      <c r="IRJ1514" s="879"/>
      <c r="IRK1514" s="879"/>
      <c r="IRL1514" s="879"/>
      <c r="IRM1514" s="879"/>
      <c r="IRN1514" s="879"/>
      <c r="IRO1514" s="879"/>
      <c r="IRP1514" s="879"/>
      <c r="IRQ1514" s="879"/>
      <c r="IRR1514" s="879"/>
      <c r="IRS1514" s="879"/>
      <c r="IRT1514" s="879"/>
      <c r="IRU1514" s="879"/>
      <c r="IRV1514" s="879"/>
      <c r="IRW1514" s="879"/>
      <c r="IRX1514" s="879"/>
      <c r="IRY1514" s="879"/>
      <c r="IRZ1514" s="879"/>
      <c r="ISA1514" s="879"/>
      <c r="ISB1514" s="879"/>
      <c r="ISC1514" s="879"/>
      <c r="ISD1514" s="879"/>
      <c r="ISE1514" s="879"/>
      <c r="ISF1514" s="879"/>
      <c r="ISG1514" s="879"/>
      <c r="ISH1514" s="879"/>
      <c r="ISI1514" s="879"/>
      <c r="ISJ1514" s="879"/>
      <c r="ISK1514" s="879"/>
      <c r="ISL1514" s="879"/>
      <c r="ISM1514" s="879"/>
      <c r="ISN1514" s="879"/>
      <c r="ISO1514" s="879"/>
      <c r="ISP1514" s="879"/>
      <c r="ISQ1514" s="879"/>
      <c r="ISR1514" s="879"/>
      <c r="ISS1514" s="879"/>
      <c r="IST1514" s="879"/>
      <c r="ISU1514" s="879"/>
      <c r="ISV1514" s="879"/>
      <c r="ISW1514" s="879"/>
      <c r="ISX1514" s="879"/>
      <c r="ISY1514" s="879"/>
      <c r="ISZ1514" s="879"/>
      <c r="ITA1514" s="879"/>
      <c r="ITB1514" s="879"/>
      <c r="ITC1514" s="879"/>
      <c r="ITD1514" s="879"/>
      <c r="ITE1514" s="879"/>
      <c r="ITF1514" s="879"/>
      <c r="ITG1514" s="879"/>
      <c r="ITH1514" s="879"/>
      <c r="ITI1514" s="879"/>
      <c r="ITJ1514" s="879"/>
      <c r="ITK1514" s="879"/>
      <c r="ITL1514" s="879"/>
      <c r="ITM1514" s="879"/>
      <c r="ITN1514" s="879"/>
      <c r="ITO1514" s="879"/>
      <c r="ITP1514" s="879"/>
      <c r="ITQ1514" s="879"/>
      <c r="ITR1514" s="879"/>
      <c r="ITS1514" s="879"/>
      <c r="ITT1514" s="879"/>
      <c r="ITU1514" s="879"/>
      <c r="ITV1514" s="879"/>
      <c r="ITW1514" s="879"/>
      <c r="ITX1514" s="879"/>
      <c r="ITY1514" s="879"/>
      <c r="ITZ1514" s="879"/>
      <c r="IUA1514" s="879"/>
      <c r="IUB1514" s="879"/>
      <c r="IUC1514" s="879"/>
      <c r="IUD1514" s="879"/>
      <c r="IUE1514" s="879"/>
      <c r="IUF1514" s="879"/>
      <c r="IUG1514" s="879"/>
      <c r="IUH1514" s="879"/>
      <c r="IUI1514" s="879"/>
      <c r="IUJ1514" s="879"/>
      <c r="IUK1514" s="879"/>
      <c r="IUL1514" s="879"/>
      <c r="IUM1514" s="879"/>
      <c r="IUN1514" s="879"/>
      <c r="IUO1514" s="879"/>
      <c r="IUP1514" s="879"/>
      <c r="IUQ1514" s="879"/>
      <c r="IUR1514" s="879"/>
      <c r="IUS1514" s="879"/>
      <c r="IUT1514" s="879"/>
      <c r="IUU1514" s="879"/>
      <c r="IUV1514" s="879"/>
      <c r="IUW1514" s="879"/>
      <c r="IUX1514" s="879"/>
      <c r="IUY1514" s="879"/>
      <c r="IUZ1514" s="879"/>
      <c r="IVA1514" s="879"/>
      <c r="IVB1514" s="879"/>
      <c r="IVC1514" s="879"/>
      <c r="IVD1514" s="879"/>
      <c r="IVE1514" s="879"/>
      <c r="IVF1514" s="879"/>
      <c r="IVG1514" s="879"/>
      <c r="IVH1514" s="879"/>
      <c r="IVI1514" s="879"/>
      <c r="IVJ1514" s="879"/>
      <c r="IVK1514" s="879"/>
      <c r="IVL1514" s="879"/>
      <c r="IVM1514" s="879"/>
      <c r="IVN1514" s="879"/>
      <c r="IVO1514" s="879"/>
      <c r="IVP1514" s="879"/>
      <c r="IVQ1514" s="879"/>
      <c r="IVR1514" s="879"/>
      <c r="IVS1514" s="879"/>
      <c r="IVT1514" s="879"/>
      <c r="IVU1514" s="879"/>
      <c r="IVV1514" s="879"/>
      <c r="IVW1514" s="879"/>
      <c r="IVX1514" s="879"/>
      <c r="IVY1514" s="879"/>
      <c r="IVZ1514" s="879"/>
      <c r="IWA1514" s="879"/>
      <c r="IWB1514" s="879"/>
      <c r="IWC1514" s="879"/>
      <c r="IWD1514" s="879"/>
      <c r="IWE1514" s="879"/>
      <c r="IWF1514" s="879"/>
      <c r="IWG1514" s="879"/>
      <c r="IWH1514" s="879"/>
      <c r="IWI1514" s="879"/>
      <c r="IWJ1514" s="879"/>
      <c r="IWK1514" s="879"/>
      <c r="IWL1514" s="879"/>
      <c r="IWM1514" s="879"/>
      <c r="IWN1514" s="879"/>
      <c r="IWO1514" s="879"/>
      <c r="IWP1514" s="879"/>
      <c r="IWQ1514" s="879"/>
      <c r="IWR1514" s="879"/>
      <c r="IWS1514" s="879"/>
      <c r="IWT1514" s="879"/>
      <c r="IWU1514" s="879"/>
      <c r="IWV1514" s="879"/>
      <c r="IWW1514" s="879"/>
      <c r="IWX1514" s="879"/>
      <c r="IWY1514" s="879"/>
      <c r="IWZ1514" s="879"/>
      <c r="IXA1514" s="879"/>
      <c r="IXB1514" s="879"/>
      <c r="IXC1514" s="879"/>
      <c r="IXD1514" s="879"/>
      <c r="IXE1514" s="879"/>
      <c r="IXF1514" s="879"/>
      <c r="IXG1514" s="879"/>
      <c r="IXH1514" s="879"/>
      <c r="IXI1514" s="879"/>
      <c r="IXJ1514" s="879"/>
      <c r="IXK1514" s="879"/>
      <c r="IXL1514" s="879"/>
      <c r="IXM1514" s="879"/>
      <c r="IXN1514" s="879"/>
      <c r="IXO1514" s="879"/>
      <c r="IXP1514" s="879"/>
      <c r="IXQ1514" s="879"/>
      <c r="IXR1514" s="879"/>
      <c r="IXS1514" s="879"/>
      <c r="IXT1514" s="879"/>
      <c r="IXU1514" s="879"/>
      <c r="IXV1514" s="879"/>
      <c r="IXW1514" s="879"/>
      <c r="IXX1514" s="879"/>
      <c r="IXY1514" s="879"/>
      <c r="IXZ1514" s="879"/>
      <c r="IYA1514" s="879"/>
      <c r="IYB1514" s="879"/>
      <c r="IYC1514" s="879"/>
      <c r="IYD1514" s="879"/>
      <c r="IYE1514" s="879"/>
      <c r="IYF1514" s="879"/>
      <c r="IYG1514" s="879"/>
      <c r="IYH1514" s="879"/>
      <c r="IYI1514" s="879"/>
      <c r="IYJ1514" s="879"/>
      <c r="IYK1514" s="879"/>
      <c r="IYL1514" s="879"/>
      <c r="IYM1514" s="879"/>
      <c r="IYN1514" s="879"/>
      <c r="IYO1514" s="879"/>
      <c r="IYP1514" s="879"/>
      <c r="IYQ1514" s="879"/>
      <c r="IYR1514" s="879"/>
      <c r="IYS1514" s="879"/>
      <c r="IYT1514" s="879"/>
      <c r="IYU1514" s="879"/>
      <c r="IYV1514" s="879"/>
      <c r="IYW1514" s="879"/>
      <c r="IYX1514" s="879"/>
      <c r="IYY1514" s="879"/>
      <c r="IYZ1514" s="879"/>
      <c r="IZA1514" s="879"/>
      <c r="IZB1514" s="879"/>
      <c r="IZC1514" s="879"/>
      <c r="IZD1514" s="879"/>
      <c r="IZE1514" s="879"/>
      <c r="IZF1514" s="879"/>
      <c r="IZG1514" s="879"/>
      <c r="IZH1514" s="879"/>
      <c r="IZI1514" s="879"/>
      <c r="IZJ1514" s="879"/>
      <c r="IZK1514" s="879"/>
      <c r="IZL1514" s="879"/>
      <c r="IZM1514" s="879"/>
      <c r="IZN1514" s="879"/>
      <c r="IZO1514" s="879"/>
      <c r="IZP1514" s="879"/>
      <c r="IZQ1514" s="879"/>
      <c r="IZR1514" s="879"/>
      <c r="IZS1514" s="879"/>
      <c r="IZT1514" s="879"/>
      <c r="IZU1514" s="879"/>
      <c r="IZV1514" s="879"/>
      <c r="IZW1514" s="879"/>
      <c r="IZX1514" s="879"/>
      <c r="IZY1514" s="879"/>
      <c r="IZZ1514" s="879"/>
      <c r="JAA1514" s="879"/>
      <c r="JAB1514" s="879"/>
      <c r="JAC1514" s="879"/>
      <c r="JAD1514" s="879"/>
      <c r="JAE1514" s="879"/>
      <c r="JAF1514" s="879"/>
      <c r="JAG1514" s="879"/>
      <c r="JAH1514" s="879"/>
      <c r="JAI1514" s="879"/>
      <c r="JAJ1514" s="879"/>
      <c r="JAK1514" s="879"/>
      <c r="JAL1514" s="879"/>
      <c r="JAM1514" s="879"/>
      <c r="JAN1514" s="879"/>
      <c r="JAO1514" s="879"/>
      <c r="JAP1514" s="879"/>
      <c r="JAQ1514" s="879"/>
      <c r="JAR1514" s="879"/>
      <c r="JAS1514" s="879"/>
      <c r="JAT1514" s="879"/>
      <c r="JAU1514" s="879"/>
      <c r="JAV1514" s="879"/>
      <c r="JAW1514" s="879"/>
      <c r="JAX1514" s="879"/>
      <c r="JAY1514" s="879"/>
      <c r="JAZ1514" s="879"/>
      <c r="JBA1514" s="879"/>
      <c r="JBB1514" s="879"/>
      <c r="JBC1514" s="879"/>
      <c r="JBD1514" s="879"/>
      <c r="JBE1514" s="879"/>
      <c r="JBF1514" s="879"/>
      <c r="JBG1514" s="879"/>
      <c r="JBH1514" s="879"/>
      <c r="JBI1514" s="879"/>
      <c r="JBJ1514" s="879"/>
      <c r="JBK1514" s="879"/>
      <c r="JBL1514" s="879"/>
      <c r="JBM1514" s="879"/>
      <c r="JBN1514" s="879"/>
      <c r="JBO1514" s="879"/>
      <c r="JBP1514" s="879"/>
      <c r="JBQ1514" s="879"/>
      <c r="JBR1514" s="879"/>
      <c r="JBS1514" s="879"/>
      <c r="JBT1514" s="879"/>
      <c r="JBU1514" s="879"/>
      <c r="JBV1514" s="879"/>
      <c r="JBW1514" s="879"/>
      <c r="JBX1514" s="879"/>
      <c r="JBY1514" s="879"/>
      <c r="JBZ1514" s="879"/>
      <c r="JCA1514" s="879"/>
      <c r="JCB1514" s="879"/>
      <c r="JCC1514" s="879"/>
      <c r="JCD1514" s="879"/>
      <c r="JCE1514" s="879"/>
      <c r="JCF1514" s="879"/>
      <c r="JCG1514" s="879"/>
      <c r="JCH1514" s="879"/>
      <c r="JCI1514" s="879"/>
      <c r="JCJ1514" s="879"/>
      <c r="JCK1514" s="879"/>
      <c r="JCL1514" s="879"/>
      <c r="JCM1514" s="879"/>
      <c r="JCN1514" s="879"/>
      <c r="JCO1514" s="879"/>
      <c r="JCP1514" s="879"/>
      <c r="JCQ1514" s="879"/>
      <c r="JCR1514" s="879"/>
      <c r="JCS1514" s="879"/>
      <c r="JCT1514" s="879"/>
      <c r="JCU1514" s="879"/>
      <c r="JCV1514" s="879"/>
      <c r="JCW1514" s="879"/>
      <c r="JCX1514" s="879"/>
      <c r="JCY1514" s="879"/>
      <c r="JCZ1514" s="879"/>
      <c r="JDA1514" s="879"/>
      <c r="JDB1514" s="879"/>
      <c r="JDC1514" s="879"/>
      <c r="JDD1514" s="879"/>
      <c r="JDE1514" s="879"/>
      <c r="JDF1514" s="879"/>
      <c r="JDG1514" s="879"/>
      <c r="JDH1514" s="879"/>
      <c r="JDI1514" s="879"/>
      <c r="JDJ1514" s="879"/>
      <c r="JDK1514" s="879"/>
      <c r="JDL1514" s="879"/>
      <c r="JDM1514" s="879"/>
      <c r="JDN1514" s="879"/>
      <c r="JDO1514" s="879"/>
      <c r="JDP1514" s="879"/>
      <c r="JDQ1514" s="879"/>
      <c r="JDR1514" s="879"/>
      <c r="JDS1514" s="879"/>
      <c r="JDT1514" s="879"/>
      <c r="JDU1514" s="879"/>
      <c r="JDV1514" s="879"/>
      <c r="JDW1514" s="879"/>
      <c r="JDX1514" s="879"/>
      <c r="JDY1514" s="879"/>
      <c r="JDZ1514" s="879"/>
      <c r="JEA1514" s="879"/>
      <c r="JEB1514" s="879"/>
      <c r="JEC1514" s="879"/>
      <c r="JED1514" s="879"/>
      <c r="JEE1514" s="879"/>
      <c r="JEF1514" s="879"/>
      <c r="JEG1514" s="879"/>
      <c r="JEH1514" s="879"/>
      <c r="JEI1514" s="879"/>
      <c r="JEJ1514" s="879"/>
      <c r="JEK1514" s="879"/>
      <c r="JEL1514" s="879"/>
      <c r="JEM1514" s="879"/>
      <c r="JEN1514" s="879"/>
      <c r="JEO1514" s="879"/>
      <c r="JEP1514" s="879"/>
      <c r="JEQ1514" s="879"/>
      <c r="JER1514" s="879"/>
      <c r="JES1514" s="879"/>
      <c r="JET1514" s="879"/>
      <c r="JEU1514" s="879"/>
      <c r="JEV1514" s="879"/>
      <c r="JEW1514" s="879"/>
      <c r="JEX1514" s="879"/>
      <c r="JEY1514" s="879"/>
      <c r="JEZ1514" s="879"/>
      <c r="JFA1514" s="879"/>
      <c r="JFB1514" s="879"/>
      <c r="JFC1514" s="879"/>
      <c r="JFD1514" s="879"/>
      <c r="JFE1514" s="879"/>
      <c r="JFF1514" s="879"/>
      <c r="JFG1514" s="879"/>
      <c r="JFH1514" s="879"/>
      <c r="JFI1514" s="879"/>
      <c r="JFJ1514" s="879"/>
      <c r="JFK1514" s="879"/>
      <c r="JFL1514" s="879"/>
      <c r="JFM1514" s="879"/>
      <c r="JFN1514" s="879"/>
      <c r="JFO1514" s="879"/>
      <c r="JFP1514" s="879"/>
      <c r="JFQ1514" s="879"/>
      <c r="JFR1514" s="879"/>
      <c r="JFS1514" s="879"/>
      <c r="JFT1514" s="879"/>
      <c r="JFU1514" s="879"/>
      <c r="JFV1514" s="879"/>
      <c r="JFW1514" s="879"/>
      <c r="JFX1514" s="879"/>
      <c r="JFY1514" s="879"/>
      <c r="JFZ1514" s="879"/>
      <c r="JGA1514" s="879"/>
      <c r="JGB1514" s="879"/>
      <c r="JGC1514" s="879"/>
      <c r="JGD1514" s="879"/>
      <c r="JGE1514" s="879"/>
      <c r="JGF1514" s="879"/>
      <c r="JGG1514" s="879"/>
      <c r="JGH1514" s="879"/>
      <c r="JGI1514" s="879"/>
      <c r="JGJ1514" s="879"/>
      <c r="JGK1514" s="879"/>
      <c r="JGL1514" s="879"/>
      <c r="JGM1514" s="879"/>
      <c r="JGN1514" s="879"/>
      <c r="JGO1514" s="879"/>
      <c r="JGP1514" s="879"/>
      <c r="JGQ1514" s="879"/>
      <c r="JGR1514" s="879"/>
      <c r="JGS1514" s="879"/>
      <c r="JGT1514" s="879"/>
      <c r="JGU1514" s="879"/>
      <c r="JGV1514" s="879"/>
      <c r="JGW1514" s="879"/>
      <c r="JGX1514" s="879"/>
      <c r="JGY1514" s="879"/>
      <c r="JGZ1514" s="879"/>
      <c r="JHA1514" s="879"/>
      <c r="JHB1514" s="879"/>
      <c r="JHC1514" s="879"/>
      <c r="JHD1514" s="879"/>
      <c r="JHE1514" s="879"/>
      <c r="JHF1514" s="879"/>
      <c r="JHG1514" s="879"/>
      <c r="JHH1514" s="879"/>
      <c r="JHI1514" s="879"/>
      <c r="JHJ1514" s="879"/>
      <c r="JHK1514" s="879"/>
      <c r="JHL1514" s="879"/>
      <c r="JHM1514" s="879"/>
      <c r="JHN1514" s="879"/>
      <c r="JHO1514" s="879"/>
      <c r="JHP1514" s="879"/>
      <c r="JHQ1514" s="879"/>
      <c r="JHR1514" s="879"/>
      <c r="JHS1514" s="879"/>
      <c r="JHT1514" s="879"/>
      <c r="JHU1514" s="879"/>
      <c r="JHV1514" s="879"/>
      <c r="JHW1514" s="879"/>
      <c r="JHX1514" s="879"/>
      <c r="JHY1514" s="879"/>
      <c r="JHZ1514" s="879"/>
      <c r="JIA1514" s="879"/>
      <c r="JIB1514" s="879"/>
      <c r="JIC1514" s="879"/>
      <c r="JID1514" s="879"/>
      <c r="JIE1514" s="879"/>
      <c r="JIF1514" s="879"/>
      <c r="JIG1514" s="879"/>
      <c r="JIH1514" s="879"/>
      <c r="JII1514" s="879"/>
      <c r="JIJ1514" s="879"/>
      <c r="JIK1514" s="879"/>
      <c r="JIL1514" s="879"/>
      <c r="JIM1514" s="879"/>
      <c r="JIN1514" s="879"/>
      <c r="JIO1514" s="879"/>
      <c r="JIP1514" s="879"/>
      <c r="JIQ1514" s="879"/>
      <c r="JIR1514" s="879"/>
      <c r="JIS1514" s="879"/>
      <c r="JIT1514" s="879"/>
      <c r="JIU1514" s="879"/>
      <c r="JIV1514" s="879"/>
      <c r="JIW1514" s="879"/>
      <c r="JIX1514" s="879"/>
      <c r="JIY1514" s="879"/>
      <c r="JIZ1514" s="879"/>
      <c r="JJA1514" s="879"/>
      <c r="JJB1514" s="879"/>
      <c r="JJC1514" s="879"/>
      <c r="JJD1514" s="879"/>
      <c r="JJE1514" s="879"/>
      <c r="JJF1514" s="879"/>
      <c r="JJG1514" s="879"/>
      <c r="JJH1514" s="879"/>
      <c r="JJI1514" s="879"/>
      <c r="JJJ1514" s="879"/>
      <c r="JJK1514" s="879"/>
      <c r="JJL1514" s="879"/>
      <c r="JJM1514" s="879"/>
      <c r="JJN1514" s="879"/>
      <c r="JJO1514" s="879"/>
      <c r="JJP1514" s="879"/>
      <c r="JJQ1514" s="879"/>
      <c r="JJR1514" s="879"/>
      <c r="JJS1514" s="879"/>
      <c r="JJT1514" s="879"/>
      <c r="JJU1514" s="879"/>
      <c r="JJV1514" s="879"/>
      <c r="JJW1514" s="879"/>
      <c r="JJX1514" s="879"/>
      <c r="JJY1514" s="879"/>
      <c r="JJZ1514" s="879"/>
      <c r="JKA1514" s="879"/>
      <c r="JKB1514" s="879"/>
      <c r="JKC1514" s="879"/>
      <c r="JKD1514" s="879"/>
      <c r="JKE1514" s="879"/>
      <c r="JKF1514" s="879"/>
      <c r="JKG1514" s="879"/>
      <c r="JKH1514" s="879"/>
      <c r="JKI1514" s="879"/>
      <c r="JKJ1514" s="879"/>
      <c r="JKK1514" s="879"/>
      <c r="JKL1514" s="879"/>
      <c r="JKM1514" s="879"/>
      <c r="JKN1514" s="879"/>
      <c r="JKO1514" s="879"/>
      <c r="JKP1514" s="879"/>
      <c r="JKQ1514" s="879"/>
      <c r="JKR1514" s="879"/>
      <c r="JKS1514" s="879"/>
      <c r="JKT1514" s="879"/>
      <c r="JKU1514" s="879"/>
      <c r="JKV1514" s="879"/>
      <c r="JKW1514" s="879"/>
      <c r="JKX1514" s="879"/>
      <c r="JKY1514" s="879"/>
      <c r="JKZ1514" s="879"/>
      <c r="JLA1514" s="879"/>
      <c r="JLB1514" s="879"/>
      <c r="JLC1514" s="879"/>
      <c r="JLD1514" s="879"/>
      <c r="JLE1514" s="879"/>
      <c r="JLF1514" s="879"/>
      <c r="JLG1514" s="879"/>
      <c r="JLH1514" s="879"/>
      <c r="JLI1514" s="879"/>
      <c r="JLJ1514" s="879"/>
      <c r="JLK1514" s="879"/>
      <c r="JLL1514" s="879"/>
      <c r="JLM1514" s="879"/>
      <c r="JLN1514" s="879"/>
      <c r="JLO1514" s="879"/>
      <c r="JLP1514" s="879"/>
      <c r="JLQ1514" s="879"/>
      <c r="JLR1514" s="879"/>
      <c r="JLS1514" s="879"/>
      <c r="JLT1514" s="879"/>
      <c r="JLU1514" s="879"/>
      <c r="JLV1514" s="879"/>
      <c r="JLW1514" s="879"/>
      <c r="JLX1514" s="879"/>
      <c r="JLY1514" s="879"/>
      <c r="JLZ1514" s="879"/>
      <c r="JMA1514" s="879"/>
      <c r="JMB1514" s="879"/>
      <c r="JMC1514" s="879"/>
      <c r="JMD1514" s="879"/>
      <c r="JME1514" s="879"/>
      <c r="JMF1514" s="879"/>
      <c r="JMG1514" s="879"/>
      <c r="JMH1514" s="879"/>
      <c r="JMI1514" s="879"/>
      <c r="JMJ1514" s="879"/>
      <c r="JMK1514" s="879"/>
      <c r="JML1514" s="879"/>
      <c r="JMM1514" s="879"/>
      <c r="JMN1514" s="879"/>
      <c r="JMO1514" s="879"/>
      <c r="JMP1514" s="879"/>
      <c r="JMQ1514" s="879"/>
      <c r="JMR1514" s="879"/>
      <c r="JMS1514" s="879"/>
      <c r="JMT1514" s="879"/>
      <c r="JMU1514" s="879"/>
      <c r="JMV1514" s="879"/>
      <c r="JMW1514" s="879"/>
      <c r="JMX1514" s="879"/>
      <c r="JMY1514" s="879"/>
      <c r="JMZ1514" s="879"/>
      <c r="JNA1514" s="879"/>
      <c r="JNB1514" s="879"/>
      <c r="JNC1514" s="879"/>
      <c r="JND1514" s="879"/>
      <c r="JNE1514" s="879"/>
      <c r="JNF1514" s="879"/>
      <c r="JNG1514" s="879"/>
      <c r="JNH1514" s="879"/>
      <c r="JNI1514" s="879"/>
      <c r="JNJ1514" s="879"/>
      <c r="JNK1514" s="879"/>
      <c r="JNL1514" s="879"/>
      <c r="JNM1514" s="879"/>
      <c r="JNN1514" s="879"/>
      <c r="JNO1514" s="879"/>
      <c r="JNP1514" s="879"/>
      <c r="JNQ1514" s="879"/>
      <c r="JNR1514" s="879"/>
      <c r="JNS1514" s="879"/>
      <c r="JNT1514" s="879"/>
      <c r="JNU1514" s="879"/>
      <c r="JNV1514" s="879"/>
      <c r="JNW1514" s="879"/>
      <c r="JNX1514" s="879"/>
      <c r="JNY1514" s="879"/>
      <c r="JNZ1514" s="879"/>
      <c r="JOA1514" s="879"/>
      <c r="JOB1514" s="879"/>
      <c r="JOC1514" s="879"/>
      <c r="JOD1514" s="879"/>
      <c r="JOE1514" s="879"/>
      <c r="JOF1514" s="879"/>
      <c r="JOG1514" s="879"/>
      <c r="JOH1514" s="879"/>
      <c r="JOI1514" s="879"/>
      <c r="JOJ1514" s="879"/>
      <c r="JOK1514" s="879"/>
      <c r="JOL1514" s="879"/>
      <c r="JOM1514" s="879"/>
      <c r="JON1514" s="879"/>
      <c r="JOO1514" s="879"/>
      <c r="JOP1514" s="879"/>
      <c r="JOQ1514" s="879"/>
      <c r="JOR1514" s="879"/>
      <c r="JOS1514" s="879"/>
      <c r="JOT1514" s="879"/>
      <c r="JOU1514" s="879"/>
      <c r="JOV1514" s="879"/>
      <c r="JOW1514" s="879"/>
      <c r="JOX1514" s="879"/>
      <c r="JOY1514" s="879"/>
      <c r="JOZ1514" s="879"/>
      <c r="JPA1514" s="879"/>
      <c r="JPB1514" s="879"/>
      <c r="JPC1514" s="879"/>
      <c r="JPD1514" s="879"/>
      <c r="JPE1514" s="879"/>
      <c r="JPF1514" s="879"/>
      <c r="JPG1514" s="879"/>
      <c r="JPH1514" s="879"/>
      <c r="JPI1514" s="879"/>
      <c r="JPJ1514" s="879"/>
      <c r="JPK1514" s="879"/>
      <c r="JPL1514" s="879"/>
      <c r="JPM1514" s="879"/>
      <c r="JPN1514" s="879"/>
      <c r="JPO1514" s="879"/>
      <c r="JPP1514" s="879"/>
      <c r="JPQ1514" s="879"/>
      <c r="JPR1514" s="879"/>
      <c r="JPS1514" s="879"/>
      <c r="JPT1514" s="879"/>
      <c r="JPU1514" s="879"/>
      <c r="JPV1514" s="879"/>
      <c r="JPW1514" s="879"/>
      <c r="JPX1514" s="879"/>
      <c r="JPY1514" s="879"/>
      <c r="JPZ1514" s="879"/>
      <c r="JQA1514" s="879"/>
      <c r="JQB1514" s="879"/>
      <c r="JQC1514" s="879"/>
      <c r="JQD1514" s="879"/>
      <c r="JQE1514" s="879"/>
      <c r="JQF1514" s="879"/>
      <c r="JQG1514" s="879"/>
      <c r="JQH1514" s="879"/>
      <c r="JQI1514" s="879"/>
      <c r="JQJ1514" s="879"/>
      <c r="JQK1514" s="879"/>
      <c r="JQL1514" s="879"/>
      <c r="JQM1514" s="879"/>
      <c r="JQN1514" s="879"/>
      <c r="JQO1514" s="879"/>
      <c r="JQP1514" s="879"/>
      <c r="JQQ1514" s="879"/>
      <c r="JQR1514" s="879"/>
      <c r="JQS1514" s="879"/>
      <c r="JQT1514" s="879"/>
      <c r="JQU1514" s="879"/>
      <c r="JQV1514" s="879"/>
      <c r="JQW1514" s="879"/>
      <c r="JQX1514" s="879"/>
      <c r="JQY1514" s="879"/>
      <c r="JQZ1514" s="879"/>
      <c r="JRA1514" s="879"/>
      <c r="JRB1514" s="879"/>
      <c r="JRC1514" s="879"/>
      <c r="JRD1514" s="879"/>
      <c r="JRE1514" s="879"/>
      <c r="JRF1514" s="879"/>
      <c r="JRG1514" s="879"/>
      <c r="JRH1514" s="879"/>
      <c r="JRI1514" s="879"/>
      <c r="JRJ1514" s="879"/>
      <c r="JRK1514" s="879"/>
      <c r="JRL1514" s="879"/>
      <c r="JRM1514" s="879"/>
      <c r="JRN1514" s="879"/>
      <c r="JRO1514" s="879"/>
      <c r="JRP1514" s="879"/>
      <c r="JRQ1514" s="879"/>
      <c r="JRR1514" s="879"/>
      <c r="JRS1514" s="879"/>
      <c r="JRT1514" s="879"/>
      <c r="JRU1514" s="879"/>
      <c r="JRV1514" s="879"/>
      <c r="JRW1514" s="879"/>
      <c r="JRX1514" s="879"/>
      <c r="JRY1514" s="879"/>
      <c r="JRZ1514" s="879"/>
      <c r="JSA1514" s="879"/>
      <c r="JSB1514" s="879"/>
      <c r="JSC1514" s="879"/>
      <c r="JSD1514" s="879"/>
      <c r="JSE1514" s="879"/>
      <c r="JSF1514" s="879"/>
      <c r="JSG1514" s="879"/>
      <c r="JSH1514" s="879"/>
      <c r="JSI1514" s="879"/>
      <c r="JSJ1514" s="879"/>
      <c r="JSK1514" s="879"/>
      <c r="JSL1514" s="879"/>
      <c r="JSM1514" s="879"/>
      <c r="JSN1514" s="879"/>
      <c r="JSO1514" s="879"/>
      <c r="JSP1514" s="879"/>
      <c r="JSQ1514" s="879"/>
      <c r="JSR1514" s="879"/>
      <c r="JSS1514" s="879"/>
      <c r="JST1514" s="879"/>
      <c r="JSU1514" s="879"/>
      <c r="JSV1514" s="879"/>
      <c r="JSW1514" s="879"/>
      <c r="JSX1514" s="879"/>
      <c r="JSY1514" s="879"/>
      <c r="JSZ1514" s="879"/>
      <c r="JTA1514" s="879"/>
      <c r="JTB1514" s="879"/>
      <c r="JTC1514" s="879"/>
      <c r="JTD1514" s="879"/>
      <c r="JTE1514" s="879"/>
      <c r="JTF1514" s="879"/>
      <c r="JTG1514" s="879"/>
      <c r="JTH1514" s="879"/>
      <c r="JTI1514" s="879"/>
      <c r="JTJ1514" s="879"/>
      <c r="JTK1514" s="879"/>
      <c r="JTL1514" s="879"/>
      <c r="JTM1514" s="879"/>
      <c r="JTN1514" s="879"/>
      <c r="JTO1514" s="879"/>
      <c r="JTP1514" s="879"/>
      <c r="JTQ1514" s="879"/>
      <c r="JTR1514" s="879"/>
      <c r="JTS1514" s="879"/>
      <c r="JTT1514" s="879"/>
      <c r="JTU1514" s="879"/>
      <c r="JTV1514" s="879"/>
      <c r="JTW1514" s="879"/>
      <c r="JTX1514" s="879"/>
      <c r="JTY1514" s="879"/>
      <c r="JTZ1514" s="879"/>
      <c r="JUA1514" s="879"/>
      <c r="JUB1514" s="879"/>
      <c r="JUC1514" s="879"/>
      <c r="JUD1514" s="879"/>
      <c r="JUE1514" s="879"/>
      <c r="JUF1514" s="879"/>
      <c r="JUG1514" s="879"/>
      <c r="JUH1514" s="879"/>
      <c r="JUI1514" s="879"/>
      <c r="JUJ1514" s="879"/>
      <c r="JUK1514" s="879"/>
      <c r="JUL1514" s="879"/>
      <c r="JUM1514" s="879"/>
      <c r="JUN1514" s="879"/>
      <c r="JUO1514" s="879"/>
      <c r="JUP1514" s="879"/>
      <c r="JUQ1514" s="879"/>
      <c r="JUR1514" s="879"/>
      <c r="JUS1514" s="879"/>
      <c r="JUT1514" s="879"/>
      <c r="JUU1514" s="879"/>
      <c r="JUV1514" s="879"/>
      <c r="JUW1514" s="879"/>
      <c r="JUX1514" s="879"/>
      <c r="JUY1514" s="879"/>
      <c r="JUZ1514" s="879"/>
      <c r="JVA1514" s="879"/>
      <c r="JVB1514" s="879"/>
      <c r="JVC1514" s="879"/>
      <c r="JVD1514" s="879"/>
      <c r="JVE1514" s="879"/>
      <c r="JVF1514" s="879"/>
      <c r="JVG1514" s="879"/>
      <c r="JVH1514" s="879"/>
      <c r="JVI1514" s="879"/>
      <c r="JVJ1514" s="879"/>
      <c r="JVK1514" s="879"/>
      <c r="JVL1514" s="879"/>
      <c r="JVM1514" s="879"/>
      <c r="JVN1514" s="879"/>
      <c r="JVO1514" s="879"/>
      <c r="JVP1514" s="879"/>
      <c r="JVQ1514" s="879"/>
      <c r="JVR1514" s="879"/>
      <c r="JVS1514" s="879"/>
      <c r="JVT1514" s="879"/>
      <c r="JVU1514" s="879"/>
      <c r="JVV1514" s="879"/>
      <c r="JVW1514" s="879"/>
      <c r="JVX1514" s="879"/>
      <c r="JVY1514" s="879"/>
      <c r="JVZ1514" s="879"/>
      <c r="JWA1514" s="879"/>
      <c r="JWB1514" s="879"/>
      <c r="JWC1514" s="879"/>
      <c r="JWD1514" s="879"/>
      <c r="JWE1514" s="879"/>
      <c r="JWF1514" s="879"/>
      <c r="JWG1514" s="879"/>
      <c r="JWH1514" s="879"/>
      <c r="JWI1514" s="879"/>
      <c r="JWJ1514" s="879"/>
      <c r="JWK1514" s="879"/>
      <c r="JWL1514" s="879"/>
      <c r="JWM1514" s="879"/>
      <c r="JWN1514" s="879"/>
      <c r="JWO1514" s="879"/>
      <c r="JWP1514" s="879"/>
      <c r="JWQ1514" s="879"/>
      <c r="JWR1514" s="879"/>
      <c r="JWS1514" s="879"/>
      <c r="JWT1514" s="879"/>
      <c r="JWU1514" s="879"/>
      <c r="JWV1514" s="879"/>
      <c r="JWW1514" s="879"/>
      <c r="JWX1514" s="879"/>
      <c r="JWY1514" s="879"/>
      <c r="JWZ1514" s="879"/>
      <c r="JXA1514" s="879"/>
      <c r="JXB1514" s="879"/>
      <c r="JXC1514" s="879"/>
      <c r="JXD1514" s="879"/>
      <c r="JXE1514" s="879"/>
      <c r="JXF1514" s="879"/>
      <c r="JXG1514" s="879"/>
      <c r="JXH1514" s="879"/>
      <c r="JXI1514" s="879"/>
      <c r="JXJ1514" s="879"/>
      <c r="JXK1514" s="879"/>
      <c r="JXL1514" s="879"/>
      <c r="JXM1514" s="879"/>
      <c r="JXN1514" s="879"/>
      <c r="JXO1514" s="879"/>
      <c r="JXP1514" s="879"/>
      <c r="JXQ1514" s="879"/>
      <c r="JXR1514" s="879"/>
      <c r="JXS1514" s="879"/>
      <c r="JXT1514" s="879"/>
      <c r="JXU1514" s="879"/>
      <c r="JXV1514" s="879"/>
      <c r="JXW1514" s="879"/>
      <c r="JXX1514" s="879"/>
      <c r="JXY1514" s="879"/>
      <c r="JXZ1514" s="879"/>
      <c r="JYA1514" s="879"/>
      <c r="JYB1514" s="879"/>
      <c r="JYC1514" s="879"/>
      <c r="JYD1514" s="879"/>
      <c r="JYE1514" s="879"/>
      <c r="JYF1514" s="879"/>
      <c r="JYG1514" s="879"/>
      <c r="JYH1514" s="879"/>
      <c r="JYI1514" s="879"/>
      <c r="JYJ1514" s="879"/>
      <c r="JYK1514" s="879"/>
      <c r="JYL1514" s="879"/>
      <c r="JYM1514" s="879"/>
      <c r="JYN1514" s="879"/>
      <c r="JYO1514" s="879"/>
      <c r="JYP1514" s="879"/>
      <c r="JYQ1514" s="879"/>
      <c r="JYR1514" s="879"/>
      <c r="JYS1514" s="879"/>
      <c r="JYT1514" s="879"/>
      <c r="JYU1514" s="879"/>
      <c r="JYV1514" s="879"/>
      <c r="JYW1514" s="879"/>
      <c r="JYX1514" s="879"/>
      <c r="JYY1514" s="879"/>
      <c r="JYZ1514" s="879"/>
      <c r="JZA1514" s="879"/>
      <c r="JZB1514" s="879"/>
      <c r="JZC1514" s="879"/>
      <c r="JZD1514" s="879"/>
      <c r="JZE1514" s="879"/>
      <c r="JZF1514" s="879"/>
      <c r="JZG1514" s="879"/>
      <c r="JZH1514" s="879"/>
      <c r="JZI1514" s="879"/>
      <c r="JZJ1514" s="879"/>
      <c r="JZK1514" s="879"/>
      <c r="JZL1514" s="879"/>
      <c r="JZM1514" s="879"/>
      <c r="JZN1514" s="879"/>
      <c r="JZO1514" s="879"/>
      <c r="JZP1514" s="879"/>
      <c r="JZQ1514" s="879"/>
      <c r="JZR1514" s="879"/>
      <c r="JZS1514" s="879"/>
      <c r="JZT1514" s="879"/>
      <c r="JZU1514" s="879"/>
      <c r="JZV1514" s="879"/>
      <c r="JZW1514" s="879"/>
      <c r="JZX1514" s="879"/>
      <c r="JZY1514" s="879"/>
      <c r="JZZ1514" s="879"/>
      <c r="KAA1514" s="879"/>
      <c r="KAB1514" s="879"/>
      <c r="KAC1514" s="879"/>
      <c r="KAD1514" s="879"/>
      <c r="KAE1514" s="879"/>
      <c r="KAF1514" s="879"/>
      <c r="KAG1514" s="879"/>
      <c r="KAH1514" s="879"/>
      <c r="KAI1514" s="879"/>
      <c r="KAJ1514" s="879"/>
      <c r="KAK1514" s="879"/>
      <c r="KAL1514" s="879"/>
      <c r="KAM1514" s="879"/>
      <c r="KAN1514" s="879"/>
      <c r="KAO1514" s="879"/>
      <c r="KAP1514" s="879"/>
      <c r="KAQ1514" s="879"/>
      <c r="KAR1514" s="879"/>
      <c r="KAS1514" s="879"/>
      <c r="KAT1514" s="879"/>
      <c r="KAU1514" s="879"/>
      <c r="KAV1514" s="879"/>
      <c r="KAW1514" s="879"/>
      <c r="KAX1514" s="879"/>
      <c r="KAY1514" s="879"/>
      <c r="KAZ1514" s="879"/>
      <c r="KBA1514" s="879"/>
      <c r="KBB1514" s="879"/>
      <c r="KBC1514" s="879"/>
      <c r="KBD1514" s="879"/>
      <c r="KBE1514" s="879"/>
      <c r="KBF1514" s="879"/>
      <c r="KBG1514" s="879"/>
      <c r="KBH1514" s="879"/>
      <c r="KBI1514" s="879"/>
      <c r="KBJ1514" s="879"/>
      <c r="KBK1514" s="879"/>
      <c r="KBL1514" s="879"/>
      <c r="KBM1514" s="879"/>
      <c r="KBN1514" s="879"/>
      <c r="KBO1514" s="879"/>
      <c r="KBP1514" s="879"/>
      <c r="KBQ1514" s="879"/>
      <c r="KBR1514" s="879"/>
      <c r="KBS1514" s="879"/>
      <c r="KBT1514" s="879"/>
      <c r="KBU1514" s="879"/>
      <c r="KBV1514" s="879"/>
      <c r="KBW1514" s="879"/>
      <c r="KBX1514" s="879"/>
      <c r="KBY1514" s="879"/>
      <c r="KBZ1514" s="879"/>
      <c r="KCA1514" s="879"/>
      <c r="KCB1514" s="879"/>
      <c r="KCC1514" s="879"/>
      <c r="KCD1514" s="879"/>
      <c r="KCE1514" s="879"/>
      <c r="KCF1514" s="879"/>
      <c r="KCG1514" s="879"/>
      <c r="KCH1514" s="879"/>
      <c r="KCI1514" s="879"/>
      <c r="KCJ1514" s="879"/>
      <c r="KCK1514" s="879"/>
      <c r="KCL1514" s="879"/>
      <c r="KCM1514" s="879"/>
      <c r="KCN1514" s="879"/>
      <c r="KCO1514" s="879"/>
      <c r="KCP1514" s="879"/>
      <c r="KCQ1514" s="879"/>
      <c r="KCR1514" s="879"/>
      <c r="KCS1514" s="879"/>
      <c r="KCT1514" s="879"/>
      <c r="KCU1514" s="879"/>
      <c r="KCV1514" s="879"/>
      <c r="KCW1514" s="879"/>
      <c r="KCX1514" s="879"/>
      <c r="KCY1514" s="879"/>
      <c r="KCZ1514" s="879"/>
      <c r="KDA1514" s="879"/>
      <c r="KDB1514" s="879"/>
      <c r="KDC1514" s="879"/>
      <c r="KDD1514" s="879"/>
      <c r="KDE1514" s="879"/>
      <c r="KDF1514" s="879"/>
      <c r="KDG1514" s="879"/>
      <c r="KDH1514" s="879"/>
      <c r="KDI1514" s="879"/>
      <c r="KDJ1514" s="879"/>
      <c r="KDK1514" s="879"/>
      <c r="KDL1514" s="879"/>
      <c r="KDM1514" s="879"/>
      <c r="KDN1514" s="879"/>
      <c r="KDO1514" s="879"/>
      <c r="KDP1514" s="879"/>
      <c r="KDQ1514" s="879"/>
      <c r="KDR1514" s="879"/>
      <c r="KDS1514" s="879"/>
      <c r="KDT1514" s="879"/>
      <c r="KDU1514" s="879"/>
      <c r="KDV1514" s="879"/>
      <c r="KDW1514" s="879"/>
      <c r="KDX1514" s="879"/>
      <c r="KDY1514" s="879"/>
      <c r="KDZ1514" s="879"/>
      <c r="KEA1514" s="879"/>
      <c r="KEB1514" s="879"/>
      <c r="KEC1514" s="879"/>
      <c r="KED1514" s="879"/>
      <c r="KEE1514" s="879"/>
      <c r="KEF1514" s="879"/>
      <c r="KEG1514" s="879"/>
      <c r="KEH1514" s="879"/>
      <c r="KEI1514" s="879"/>
      <c r="KEJ1514" s="879"/>
      <c r="KEK1514" s="879"/>
      <c r="KEL1514" s="879"/>
      <c r="KEM1514" s="879"/>
      <c r="KEN1514" s="879"/>
      <c r="KEO1514" s="879"/>
      <c r="KEP1514" s="879"/>
      <c r="KEQ1514" s="879"/>
      <c r="KER1514" s="879"/>
      <c r="KES1514" s="879"/>
      <c r="KET1514" s="879"/>
      <c r="KEU1514" s="879"/>
      <c r="KEV1514" s="879"/>
      <c r="KEW1514" s="879"/>
      <c r="KEX1514" s="879"/>
      <c r="KEY1514" s="879"/>
      <c r="KEZ1514" s="879"/>
      <c r="KFA1514" s="879"/>
      <c r="KFB1514" s="879"/>
      <c r="KFC1514" s="879"/>
      <c r="KFD1514" s="879"/>
      <c r="KFE1514" s="879"/>
      <c r="KFF1514" s="879"/>
      <c r="KFG1514" s="879"/>
      <c r="KFH1514" s="879"/>
      <c r="KFI1514" s="879"/>
      <c r="KFJ1514" s="879"/>
      <c r="KFK1514" s="879"/>
      <c r="KFL1514" s="879"/>
      <c r="KFM1514" s="879"/>
      <c r="KFN1514" s="879"/>
      <c r="KFO1514" s="879"/>
      <c r="KFP1514" s="879"/>
      <c r="KFQ1514" s="879"/>
      <c r="KFR1514" s="879"/>
      <c r="KFS1514" s="879"/>
      <c r="KFT1514" s="879"/>
      <c r="KFU1514" s="879"/>
      <c r="KFV1514" s="879"/>
      <c r="KFW1514" s="879"/>
      <c r="KFX1514" s="879"/>
      <c r="KFY1514" s="879"/>
      <c r="KFZ1514" s="879"/>
      <c r="KGA1514" s="879"/>
      <c r="KGB1514" s="879"/>
      <c r="KGC1514" s="879"/>
      <c r="KGD1514" s="879"/>
      <c r="KGE1514" s="879"/>
      <c r="KGF1514" s="879"/>
      <c r="KGG1514" s="879"/>
      <c r="KGH1514" s="879"/>
      <c r="KGI1514" s="879"/>
      <c r="KGJ1514" s="879"/>
      <c r="KGK1514" s="879"/>
      <c r="KGL1514" s="879"/>
      <c r="KGM1514" s="879"/>
      <c r="KGN1514" s="879"/>
      <c r="KGO1514" s="879"/>
      <c r="KGP1514" s="879"/>
      <c r="KGQ1514" s="879"/>
      <c r="KGR1514" s="879"/>
      <c r="KGS1514" s="879"/>
      <c r="KGT1514" s="879"/>
      <c r="KGU1514" s="879"/>
      <c r="KGV1514" s="879"/>
      <c r="KGW1514" s="879"/>
      <c r="KGX1514" s="879"/>
      <c r="KGY1514" s="879"/>
      <c r="KGZ1514" s="879"/>
      <c r="KHA1514" s="879"/>
      <c r="KHB1514" s="879"/>
      <c r="KHC1514" s="879"/>
      <c r="KHD1514" s="879"/>
      <c r="KHE1514" s="879"/>
      <c r="KHF1514" s="879"/>
      <c r="KHG1514" s="879"/>
      <c r="KHH1514" s="879"/>
      <c r="KHI1514" s="879"/>
      <c r="KHJ1514" s="879"/>
      <c r="KHK1514" s="879"/>
      <c r="KHL1514" s="879"/>
      <c r="KHM1514" s="879"/>
      <c r="KHN1514" s="879"/>
      <c r="KHO1514" s="879"/>
      <c r="KHP1514" s="879"/>
      <c r="KHQ1514" s="879"/>
      <c r="KHR1514" s="879"/>
      <c r="KHS1514" s="879"/>
      <c r="KHT1514" s="879"/>
      <c r="KHU1514" s="879"/>
      <c r="KHV1514" s="879"/>
      <c r="KHW1514" s="879"/>
      <c r="KHX1514" s="879"/>
      <c r="KHY1514" s="879"/>
      <c r="KHZ1514" s="879"/>
      <c r="KIA1514" s="879"/>
      <c r="KIB1514" s="879"/>
      <c r="KIC1514" s="879"/>
      <c r="KID1514" s="879"/>
      <c r="KIE1514" s="879"/>
      <c r="KIF1514" s="879"/>
      <c r="KIG1514" s="879"/>
      <c r="KIH1514" s="879"/>
      <c r="KII1514" s="879"/>
      <c r="KIJ1514" s="879"/>
      <c r="KIK1514" s="879"/>
      <c r="KIL1514" s="879"/>
      <c r="KIM1514" s="879"/>
      <c r="KIN1514" s="879"/>
      <c r="KIO1514" s="879"/>
      <c r="KIP1514" s="879"/>
      <c r="KIQ1514" s="879"/>
      <c r="KIR1514" s="879"/>
      <c r="KIS1514" s="879"/>
      <c r="KIT1514" s="879"/>
      <c r="KIU1514" s="879"/>
      <c r="KIV1514" s="879"/>
      <c r="KIW1514" s="879"/>
      <c r="KIX1514" s="879"/>
      <c r="KIY1514" s="879"/>
      <c r="KIZ1514" s="879"/>
      <c r="KJA1514" s="879"/>
      <c r="KJB1514" s="879"/>
      <c r="KJC1514" s="879"/>
      <c r="KJD1514" s="879"/>
      <c r="KJE1514" s="879"/>
      <c r="KJF1514" s="879"/>
      <c r="KJG1514" s="879"/>
      <c r="KJH1514" s="879"/>
      <c r="KJI1514" s="879"/>
      <c r="KJJ1514" s="879"/>
      <c r="KJK1514" s="879"/>
      <c r="KJL1514" s="879"/>
      <c r="KJM1514" s="879"/>
      <c r="KJN1514" s="879"/>
      <c r="KJO1514" s="879"/>
      <c r="KJP1514" s="879"/>
      <c r="KJQ1514" s="879"/>
      <c r="KJR1514" s="879"/>
      <c r="KJS1514" s="879"/>
      <c r="KJT1514" s="879"/>
      <c r="KJU1514" s="879"/>
      <c r="KJV1514" s="879"/>
      <c r="KJW1514" s="879"/>
      <c r="KJX1514" s="879"/>
      <c r="KJY1514" s="879"/>
      <c r="KJZ1514" s="879"/>
      <c r="KKA1514" s="879"/>
      <c r="KKB1514" s="879"/>
      <c r="KKC1514" s="879"/>
      <c r="KKD1514" s="879"/>
      <c r="KKE1514" s="879"/>
      <c r="KKF1514" s="879"/>
      <c r="KKG1514" s="879"/>
      <c r="KKH1514" s="879"/>
      <c r="KKI1514" s="879"/>
      <c r="KKJ1514" s="879"/>
      <c r="KKK1514" s="879"/>
      <c r="KKL1514" s="879"/>
      <c r="KKM1514" s="879"/>
      <c r="KKN1514" s="879"/>
      <c r="KKO1514" s="879"/>
      <c r="KKP1514" s="879"/>
      <c r="KKQ1514" s="879"/>
      <c r="KKR1514" s="879"/>
      <c r="KKS1514" s="879"/>
      <c r="KKT1514" s="879"/>
      <c r="KKU1514" s="879"/>
      <c r="KKV1514" s="879"/>
      <c r="KKW1514" s="879"/>
      <c r="KKX1514" s="879"/>
      <c r="KKY1514" s="879"/>
      <c r="KKZ1514" s="879"/>
      <c r="KLA1514" s="879"/>
      <c r="KLB1514" s="879"/>
      <c r="KLC1514" s="879"/>
      <c r="KLD1514" s="879"/>
      <c r="KLE1514" s="879"/>
      <c r="KLF1514" s="879"/>
      <c r="KLG1514" s="879"/>
      <c r="KLH1514" s="879"/>
      <c r="KLI1514" s="879"/>
      <c r="KLJ1514" s="879"/>
      <c r="KLK1514" s="879"/>
      <c r="KLL1514" s="879"/>
      <c r="KLM1514" s="879"/>
      <c r="KLN1514" s="879"/>
      <c r="KLO1514" s="879"/>
      <c r="KLP1514" s="879"/>
      <c r="KLQ1514" s="879"/>
      <c r="KLR1514" s="879"/>
      <c r="KLS1514" s="879"/>
      <c r="KLT1514" s="879"/>
      <c r="KLU1514" s="879"/>
      <c r="KLV1514" s="879"/>
      <c r="KLW1514" s="879"/>
      <c r="KLX1514" s="879"/>
      <c r="KLY1514" s="879"/>
      <c r="KLZ1514" s="879"/>
      <c r="KMA1514" s="879"/>
      <c r="KMB1514" s="879"/>
      <c r="KMC1514" s="879"/>
      <c r="KMD1514" s="879"/>
      <c r="KME1514" s="879"/>
      <c r="KMF1514" s="879"/>
      <c r="KMG1514" s="879"/>
      <c r="KMH1514" s="879"/>
      <c r="KMI1514" s="879"/>
      <c r="KMJ1514" s="879"/>
      <c r="KMK1514" s="879"/>
      <c r="KML1514" s="879"/>
      <c r="KMM1514" s="879"/>
      <c r="KMN1514" s="879"/>
      <c r="KMO1514" s="879"/>
      <c r="KMP1514" s="879"/>
      <c r="KMQ1514" s="879"/>
      <c r="KMR1514" s="879"/>
      <c r="KMS1514" s="879"/>
      <c r="KMT1514" s="879"/>
      <c r="KMU1514" s="879"/>
      <c r="KMV1514" s="879"/>
      <c r="KMW1514" s="879"/>
      <c r="KMX1514" s="879"/>
      <c r="KMY1514" s="879"/>
      <c r="KMZ1514" s="879"/>
      <c r="KNA1514" s="879"/>
      <c r="KNB1514" s="879"/>
      <c r="KNC1514" s="879"/>
      <c r="KND1514" s="879"/>
      <c r="KNE1514" s="879"/>
      <c r="KNF1514" s="879"/>
      <c r="KNG1514" s="879"/>
      <c r="KNH1514" s="879"/>
      <c r="KNI1514" s="879"/>
      <c r="KNJ1514" s="879"/>
      <c r="KNK1514" s="879"/>
      <c r="KNL1514" s="879"/>
      <c r="KNM1514" s="879"/>
      <c r="KNN1514" s="879"/>
      <c r="KNO1514" s="879"/>
      <c r="KNP1514" s="879"/>
      <c r="KNQ1514" s="879"/>
      <c r="KNR1514" s="879"/>
      <c r="KNS1514" s="879"/>
      <c r="KNT1514" s="879"/>
      <c r="KNU1514" s="879"/>
      <c r="KNV1514" s="879"/>
      <c r="KNW1514" s="879"/>
      <c r="KNX1514" s="879"/>
      <c r="KNY1514" s="879"/>
      <c r="KNZ1514" s="879"/>
      <c r="KOA1514" s="879"/>
      <c r="KOB1514" s="879"/>
      <c r="KOC1514" s="879"/>
      <c r="KOD1514" s="879"/>
      <c r="KOE1514" s="879"/>
      <c r="KOF1514" s="879"/>
      <c r="KOG1514" s="879"/>
      <c r="KOH1514" s="879"/>
      <c r="KOI1514" s="879"/>
      <c r="KOJ1514" s="879"/>
      <c r="KOK1514" s="879"/>
      <c r="KOL1514" s="879"/>
      <c r="KOM1514" s="879"/>
      <c r="KON1514" s="879"/>
      <c r="KOO1514" s="879"/>
      <c r="KOP1514" s="879"/>
      <c r="KOQ1514" s="879"/>
      <c r="KOR1514" s="879"/>
      <c r="KOS1514" s="879"/>
      <c r="KOT1514" s="879"/>
      <c r="KOU1514" s="879"/>
      <c r="KOV1514" s="879"/>
      <c r="KOW1514" s="879"/>
      <c r="KOX1514" s="879"/>
      <c r="KOY1514" s="879"/>
      <c r="KOZ1514" s="879"/>
      <c r="KPA1514" s="879"/>
      <c r="KPB1514" s="879"/>
      <c r="KPC1514" s="879"/>
      <c r="KPD1514" s="879"/>
      <c r="KPE1514" s="879"/>
      <c r="KPF1514" s="879"/>
      <c r="KPG1514" s="879"/>
      <c r="KPH1514" s="879"/>
      <c r="KPI1514" s="879"/>
      <c r="KPJ1514" s="879"/>
      <c r="KPK1514" s="879"/>
      <c r="KPL1514" s="879"/>
      <c r="KPM1514" s="879"/>
      <c r="KPN1514" s="879"/>
      <c r="KPO1514" s="879"/>
      <c r="KPP1514" s="879"/>
      <c r="KPQ1514" s="879"/>
      <c r="KPR1514" s="879"/>
      <c r="KPS1514" s="879"/>
      <c r="KPT1514" s="879"/>
      <c r="KPU1514" s="879"/>
      <c r="KPV1514" s="879"/>
      <c r="KPW1514" s="879"/>
      <c r="KPX1514" s="879"/>
      <c r="KPY1514" s="879"/>
      <c r="KPZ1514" s="879"/>
      <c r="KQA1514" s="879"/>
      <c r="KQB1514" s="879"/>
      <c r="KQC1514" s="879"/>
      <c r="KQD1514" s="879"/>
      <c r="KQE1514" s="879"/>
      <c r="KQF1514" s="879"/>
      <c r="KQG1514" s="879"/>
      <c r="KQH1514" s="879"/>
      <c r="KQI1514" s="879"/>
      <c r="KQJ1514" s="879"/>
      <c r="KQK1514" s="879"/>
      <c r="KQL1514" s="879"/>
      <c r="KQM1514" s="879"/>
      <c r="KQN1514" s="879"/>
      <c r="KQO1514" s="879"/>
      <c r="KQP1514" s="879"/>
      <c r="KQQ1514" s="879"/>
      <c r="KQR1514" s="879"/>
      <c r="KQS1514" s="879"/>
      <c r="KQT1514" s="879"/>
      <c r="KQU1514" s="879"/>
      <c r="KQV1514" s="879"/>
      <c r="KQW1514" s="879"/>
      <c r="KQX1514" s="879"/>
      <c r="KQY1514" s="879"/>
      <c r="KQZ1514" s="879"/>
      <c r="KRA1514" s="879"/>
      <c r="KRB1514" s="879"/>
      <c r="KRC1514" s="879"/>
      <c r="KRD1514" s="879"/>
      <c r="KRE1514" s="879"/>
      <c r="KRF1514" s="879"/>
      <c r="KRG1514" s="879"/>
      <c r="KRH1514" s="879"/>
      <c r="KRI1514" s="879"/>
      <c r="KRJ1514" s="879"/>
      <c r="KRK1514" s="879"/>
      <c r="KRL1514" s="879"/>
      <c r="KRM1514" s="879"/>
      <c r="KRN1514" s="879"/>
      <c r="KRO1514" s="879"/>
      <c r="KRP1514" s="879"/>
      <c r="KRQ1514" s="879"/>
      <c r="KRR1514" s="879"/>
      <c r="KRS1514" s="879"/>
      <c r="KRT1514" s="879"/>
      <c r="KRU1514" s="879"/>
      <c r="KRV1514" s="879"/>
      <c r="KRW1514" s="879"/>
      <c r="KRX1514" s="879"/>
      <c r="KRY1514" s="879"/>
      <c r="KRZ1514" s="879"/>
      <c r="KSA1514" s="879"/>
      <c r="KSB1514" s="879"/>
      <c r="KSC1514" s="879"/>
      <c r="KSD1514" s="879"/>
      <c r="KSE1514" s="879"/>
      <c r="KSF1514" s="879"/>
      <c r="KSG1514" s="879"/>
      <c r="KSH1514" s="879"/>
      <c r="KSI1514" s="879"/>
      <c r="KSJ1514" s="879"/>
      <c r="KSK1514" s="879"/>
      <c r="KSL1514" s="879"/>
      <c r="KSM1514" s="879"/>
      <c r="KSN1514" s="879"/>
      <c r="KSO1514" s="879"/>
      <c r="KSP1514" s="879"/>
      <c r="KSQ1514" s="879"/>
      <c r="KSR1514" s="879"/>
      <c r="KSS1514" s="879"/>
      <c r="KST1514" s="879"/>
      <c r="KSU1514" s="879"/>
      <c r="KSV1514" s="879"/>
      <c r="KSW1514" s="879"/>
      <c r="KSX1514" s="879"/>
      <c r="KSY1514" s="879"/>
      <c r="KSZ1514" s="879"/>
      <c r="KTA1514" s="879"/>
      <c r="KTB1514" s="879"/>
      <c r="KTC1514" s="879"/>
      <c r="KTD1514" s="879"/>
      <c r="KTE1514" s="879"/>
      <c r="KTF1514" s="879"/>
      <c r="KTG1514" s="879"/>
      <c r="KTH1514" s="879"/>
      <c r="KTI1514" s="879"/>
      <c r="KTJ1514" s="879"/>
      <c r="KTK1514" s="879"/>
      <c r="KTL1514" s="879"/>
      <c r="KTM1514" s="879"/>
      <c r="KTN1514" s="879"/>
      <c r="KTO1514" s="879"/>
      <c r="KTP1514" s="879"/>
      <c r="KTQ1514" s="879"/>
      <c r="KTR1514" s="879"/>
      <c r="KTS1514" s="879"/>
      <c r="KTT1514" s="879"/>
      <c r="KTU1514" s="879"/>
      <c r="KTV1514" s="879"/>
      <c r="KTW1514" s="879"/>
      <c r="KTX1514" s="879"/>
      <c r="KTY1514" s="879"/>
      <c r="KTZ1514" s="879"/>
      <c r="KUA1514" s="879"/>
      <c r="KUB1514" s="879"/>
      <c r="KUC1514" s="879"/>
      <c r="KUD1514" s="879"/>
      <c r="KUE1514" s="879"/>
      <c r="KUF1514" s="879"/>
      <c r="KUG1514" s="879"/>
      <c r="KUH1514" s="879"/>
      <c r="KUI1514" s="879"/>
      <c r="KUJ1514" s="879"/>
      <c r="KUK1514" s="879"/>
      <c r="KUL1514" s="879"/>
      <c r="KUM1514" s="879"/>
      <c r="KUN1514" s="879"/>
      <c r="KUO1514" s="879"/>
      <c r="KUP1514" s="879"/>
      <c r="KUQ1514" s="879"/>
      <c r="KUR1514" s="879"/>
      <c r="KUS1514" s="879"/>
      <c r="KUT1514" s="879"/>
      <c r="KUU1514" s="879"/>
      <c r="KUV1514" s="879"/>
      <c r="KUW1514" s="879"/>
      <c r="KUX1514" s="879"/>
      <c r="KUY1514" s="879"/>
      <c r="KUZ1514" s="879"/>
      <c r="KVA1514" s="879"/>
      <c r="KVB1514" s="879"/>
      <c r="KVC1514" s="879"/>
      <c r="KVD1514" s="879"/>
      <c r="KVE1514" s="879"/>
      <c r="KVF1514" s="879"/>
      <c r="KVG1514" s="879"/>
      <c r="KVH1514" s="879"/>
      <c r="KVI1514" s="879"/>
      <c r="KVJ1514" s="879"/>
      <c r="KVK1514" s="879"/>
      <c r="KVL1514" s="879"/>
      <c r="KVM1514" s="879"/>
      <c r="KVN1514" s="879"/>
      <c r="KVO1514" s="879"/>
      <c r="KVP1514" s="879"/>
      <c r="KVQ1514" s="879"/>
      <c r="KVR1514" s="879"/>
      <c r="KVS1514" s="879"/>
      <c r="KVT1514" s="879"/>
      <c r="KVU1514" s="879"/>
      <c r="KVV1514" s="879"/>
      <c r="KVW1514" s="879"/>
      <c r="KVX1514" s="879"/>
      <c r="KVY1514" s="879"/>
      <c r="KVZ1514" s="879"/>
      <c r="KWA1514" s="879"/>
      <c r="KWB1514" s="879"/>
      <c r="KWC1514" s="879"/>
      <c r="KWD1514" s="879"/>
      <c r="KWE1514" s="879"/>
      <c r="KWF1514" s="879"/>
      <c r="KWG1514" s="879"/>
      <c r="KWH1514" s="879"/>
      <c r="KWI1514" s="879"/>
      <c r="KWJ1514" s="879"/>
      <c r="KWK1514" s="879"/>
      <c r="KWL1514" s="879"/>
      <c r="KWM1514" s="879"/>
      <c r="KWN1514" s="879"/>
      <c r="KWO1514" s="879"/>
      <c r="KWP1514" s="879"/>
      <c r="KWQ1514" s="879"/>
      <c r="KWR1514" s="879"/>
      <c r="KWS1514" s="879"/>
      <c r="KWT1514" s="879"/>
      <c r="KWU1514" s="879"/>
      <c r="KWV1514" s="879"/>
      <c r="KWW1514" s="879"/>
      <c r="KWX1514" s="879"/>
      <c r="KWY1514" s="879"/>
      <c r="KWZ1514" s="879"/>
      <c r="KXA1514" s="879"/>
      <c r="KXB1514" s="879"/>
      <c r="KXC1514" s="879"/>
      <c r="KXD1514" s="879"/>
      <c r="KXE1514" s="879"/>
      <c r="KXF1514" s="879"/>
      <c r="KXG1514" s="879"/>
      <c r="KXH1514" s="879"/>
      <c r="KXI1514" s="879"/>
      <c r="KXJ1514" s="879"/>
      <c r="KXK1514" s="879"/>
      <c r="KXL1514" s="879"/>
      <c r="KXM1514" s="879"/>
      <c r="KXN1514" s="879"/>
      <c r="KXO1514" s="879"/>
      <c r="KXP1514" s="879"/>
      <c r="KXQ1514" s="879"/>
      <c r="KXR1514" s="879"/>
      <c r="KXS1514" s="879"/>
      <c r="KXT1514" s="879"/>
      <c r="KXU1514" s="879"/>
      <c r="KXV1514" s="879"/>
      <c r="KXW1514" s="879"/>
      <c r="KXX1514" s="879"/>
      <c r="KXY1514" s="879"/>
      <c r="KXZ1514" s="879"/>
      <c r="KYA1514" s="879"/>
      <c r="KYB1514" s="879"/>
      <c r="KYC1514" s="879"/>
      <c r="KYD1514" s="879"/>
      <c r="KYE1514" s="879"/>
      <c r="KYF1514" s="879"/>
      <c r="KYG1514" s="879"/>
      <c r="KYH1514" s="879"/>
      <c r="KYI1514" s="879"/>
      <c r="KYJ1514" s="879"/>
      <c r="KYK1514" s="879"/>
      <c r="KYL1514" s="879"/>
      <c r="KYM1514" s="879"/>
      <c r="KYN1514" s="879"/>
      <c r="KYO1514" s="879"/>
      <c r="KYP1514" s="879"/>
      <c r="KYQ1514" s="879"/>
      <c r="KYR1514" s="879"/>
      <c r="KYS1514" s="879"/>
      <c r="KYT1514" s="879"/>
      <c r="KYU1514" s="879"/>
      <c r="KYV1514" s="879"/>
      <c r="KYW1514" s="879"/>
      <c r="KYX1514" s="879"/>
      <c r="KYY1514" s="879"/>
      <c r="KYZ1514" s="879"/>
      <c r="KZA1514" s="879"/>
      <c r="KZB1514" s="879"/>
      <c r="KZC1514" s="879"/>
      <c r="KZD1514" s="879"/>
      <c r="KZE1514" s="879"/>
      <c r="KZF1514" s="879"/>
      <c r="KZG1514" s="879"/>
      <c r="KZH1514" s="879"/>
      <c r="KZI1514" s="879"/>
      <c r="KZJ1514" s="879"/>
      <c r="KZK1514" s="879"/>
      <c r="KZL1514" s="879"/>
      <c r="KZM1514" s="879"/>
      <c r="KZN1514" s="879"/>
      <c r="KZO1514" s="879"/>
      <c r="KZP1514" s="879"/>
      <c r="KZQ1514" s="879"/>
      <c r="KZR1514" s="879"/>
      <c r="KZS1514" s="879"/>
      <c r="KZT1514" s="879"/>
      <c r="KZU1514" s="879"/>
      <c r="KZV1514" s="879"/>
      <c r="KZW1514" s="879"/>
      <c r="KZX1514" s="879"/>
      <c r="KZY1514" s="879"/>
      <c r="KZZ1514" s="879"/>
      <c r="LAA1514" s="879"/>
      <c r="LAB1514" s="879"/>
      <c r="LAC1514" s="879"/>
      <c r="LAD1514" s="879"/>
      <c r="LAE1514" s="879"/>
      <c r="LAF1514" s="879"/>
      <c r="LAG1514" s="879"/>
      <c r="LAH1514" s="879"/>
      <c r="LAI1514" s="879"/>
      <c r="LAJ1514" s="879"/>
      <c r="LAK1514" s="879"/>
      <c r="LAL1514" s="879"/>
      <c r="LAM1514" s="879"/>
      <c r="LAN1514" s="879"/>
      <c r="LAO1514" s="879"/>
      <c r="LAP1514" s="879"/>
      <c r="LAQ1514" s="879"/>
      <c r="LAR1514" s="879"/>
      <c r="LAS1514" s="879"/>
      <c r="LAT1514" s="879"/>
      <c r="LAU1514" s="879"/>
      <c r="LAV1514" s="879"/>
      <c r="LAW1514" s="879"/>
      <c r="LAX1514" s="879"/>
      <c r="LAY1514" s="879"/>
      <c r="LAZ1514" s="879"/>
      <c r="LBA1514" s="879"/>
      <c r="LBB1514" s="879"/>
      <c r="LBC1514" s="879"/>
      <c r="LBD1514" s="879"/>
      <c r="LBE1514" s="879"/>
      <c r="LBF1514" s="879"/>
      <c r="LBG1514" s="879"/>
      <c r="LBH1514" s="879"/>
      <c r="LBI1514" s="879"/>
      <c r="LBJ1514" s="879"/>
      <c r="LBK1514" s="879"/>
      <c r="LBL1514" s="879"/>
      <c r="LBM1514" s="879"/>
      <c r="LBN1514" s="879"/>
      <c r="LBO1514" s="879"/>
      <c r="LBP1514" s="879"/>
      <c r="LBQ1514" s="879"/>
      <c r="LBR1514" s="879"/>
      <c r="LBS1514" s="879"/>
      <c r="LBT1514" s="879"/>
      <c r="LBU1514" s="879"/>
      <c r="LBV1514" s="879"/>
      <c r="LBW1514" s="879"/>
      <c r="LBX1514" s="879"/>
      <c r="LBY1514" s="879"/>
      <c r="LBZ1514" s="879"/>
      <c r="LCA1514" s="879"/>
      <c r="LCB1514" s="879"/>
      <c r="LCC1514" s="879"/>
      <c r="LCD1514" s="879"/>
      <c r="LCE1514" s="879"/>
      <c r="LCF1514" s="879"/>
      <c r="LCG1514" s="879"/>
      <c r="LCH1514" s="879"/>
      <c r="LCI1514" s="879"/>
      <c r="LCJ1514" s="879"/>
      <c r="LCK1514" s="879"/>
      <c r="LCL1514" s="879"/>
      <c r="LCM1514" s="879"/>
      <c r="LCN1514" s="879"/>
      <c r="LCO1514" s="879"/>
      <c r="LCP1514" s="879"/>
      <c r="LCQ1514" s="879"/>
      <c r="LCR1514" s="879"/>
      <c r="LCS1514" s="879"/>
      <c r="LCT1514" s="879"/>
      <c r="LCU1514" s="879"/>
      <c r="LCV1514" s="879"/>
      <c r="LCW1514" s="879"/>
      <c r="LCX1514" s="879"/>
      <c r="LCY1514" s="879"/>
      <c r="LCZ1514" s="879"/>
      <c r="LDA1514" s="879"/>
      <c r="LDB1514" s="879"/>
      <c r="LDC1514" s="879"/>
      <c r="LDD1514" s="879"/>
      <c r="LDE1514" s="879"/>
      <c r="LDF1514" s="879"/>
      <c r="LDG1514" s="879"/>
      <c r="LDH1514" s="879"/>
      <c r="LDI1514" s="879"/>
      <c r="LDJ1514" s="879"/>
      <c r="LDK1514" s="879"/>
      <c r="LDL1514" s="879"/>
      <c r="LDM1514" s="879"/>
      <c r="LDN1514" s="879"/>
      <c r="LDO1514" s="879"/>
      <c r="LDP1514" s="879"/>
      <c r="LDQ1514" s="879"/>
      <c r="LDR1514" s="879"/>
      <c r="LDS1514" s="879"/>
      <c r="LDT1514" s="879"/>
      <c r="LDU1514" s="879"/>
      <c r="LDV1514" s="879"/>
      <c r="LDW1514" s="879"/>
      <c r="LDX1514" s="879"/>
      <c r="LDY1514" s="879"/>
      <c r="LDZ1514" s="879"/>
      <c r="LEA1514" s="879"/>
      <c r="LEB1514" s="879"/>
      <c r="LEC1514" s="879"/>
      <c r="LED1514" s="879"/>
      <c r="LEE1514" s="879"/>
      <c r="LEF1514" s="879"/>
      <c r="LEG1514" s="879"/>
      <c r="LEH1514" s="879"/>
      <c r="LEI1514" s="879"/>
      <c r="LEJ1514" s="879"/>
      <c r="LEK1514" s="879"/>
      <c r="LEL1514" s="879"/>
      <c r="LEM1514" s="879"/>
      <c r="LEN1514" s="879"/>
      <c r="LEO1514" s="879"/>
      <c r="LEP1514" s="879"/>
      <c r="LEQ1514" s="879"/>
      <c r="LER1514" s="879"/>
      <c r="LES1514" s="879"/>
      <c r="LET1514" s="879"/>
      <c r="LEU1514" s="879"/>
      <c r="LEV1514" s="879"/>
      <c r="LEW1514" s="879"/>
      <c r="LEX1514" s="879"/>
      <c r="LEY1514" s="879"/>
      <c r="LEZ1514" s="879"/>
      <c r="LFA1514" s="879"/>
      <c r="LFB1514" s="879"/>
      <c r="LFC1514" s="879"/>
      <c r="LFD1514" s="879"/>
      <c r="LFE1514" s="879"/>
      <c r="LFF1514" s="879"/>
      <c r="LFG1514" s="879"/>
      <c r="LFH1514" s="879"/>
      <c r="LFI1514" s="879"/>
      <c r="LFJ1514" s="879"/>
      <c r="LFK1514" s="879"/>
      <c r="LFL1514" s="879"/>
      <c r="LFM1514" s="879"/>
      <c r="LFN1514" s="879"/>
      <c r="LFO1514" s="879"/>
      <c r="LFP1514" s="879"/>
      <c r="LFQ1514" s="879"/>
      <c r="LFR1514" s="879"/>
      <c r="LFS1514" s="879"/>
      <c r="LFT1514" s="879"/>
      <c r="LFU1514" s="879"/>
      <c r="LFV1514" s="879"/>
      <c r="LFW1514" s="879"/>
      <c r="LFX1514" s="879"/>
      <c r="LFY1514" s="879"/>
      <c r="LFZ1514" s="879"/>
      <c r="LGA1514" s="879"/>
      <c r="LGB1514" s="879"/>
      <c r="LGC1514" s="879"/>
      <c r="LGD1514" s="879"/>
      <c r="LGE1514" s="879"/>
      <c r="LGF1514" s="879"/>
      <c r="LGG1514" s="879"/>
      <c r="LGH1514" s="879"/>
      <c r="LGI1514" s="879"/>
      <c r="LGJ1514" s="879"/>
      <c r="LGK1514" s="879"/>
      <c r="LGL1514" s="879"/>
      <c r="LGM1514" s="879"/>
      <c r="LGN1514" s="879"/>
      <c r="LGO1514" s="879"/>
      <c r="LGP1514" s="879"/>
      <c r="LGQ1514" s="879"/>
      <c r="LGR1514" s="879"/>
      <c r="LGS1514" s="879"/>
      <c r="LGT1514" s="879"/>
      <c r="LGU1514" s="879"/>
      <c r="LGV1514" s="879"/>
      <c r="LGW1514" s="879"/>
      <c r="LGX1514" s="879"/>
      <c r="LGY1514" s="879"/>
      <c r="LGZ1514" s="879"/>
      <c r="LHA1514" s="879"/>
      <c r="LHB1514" s="879"/>
      <c r="LHC1514" s="879"/>
      <c r="LHD1514" s="879"/>
      <c r="LHE1514" s="879"/>
      <c r="LHF1514" s="879"/>
      <c r="LHG1514" s="879"/>
      <c r="LHH1514" s="879"/>
      <c r="LHI1514" s="879"/>
      <c r="LHJ1514" s="879"/>
      <c r="LHK1514" s="879"/>
      <c r="LHL1514" s="879"/>
      <c r="LHM1514" s="879"/>
      <c r="LHN1514" s="879"/>
      <c r="LHO1514" s="879"/>
      <c r="LHP1514" s="879"/>
      <c r="LHQ1514" s="879"/>
      <c r="LHR1514" s="879"/>
      <c r="LHS1514" s="879"/>
      <c r="LHT1514" s="879"/>
      <c r="LHU1514" s="879"/>
      <c r="LHV1514" s="879"/>
      <c r="LHW1514" s="879"/>
      <c r="LHX1514" s="879"/>
      <c r="LHY1514" s="879"/>
      <c r="LHZ1514" s="879"/>
      <c r="LIA1514" s="879"/>
      <c r="LIB1514" s="879"/>
      <c r="LIC1514" s="879"/>
      <c r="LID1514" s="879"/>
      <c r="LIE1514" s="879"/>
      <c r="LIF1514" s="879"/>
      <c r="LIG1514" s="879"/>
      <c r="LIH1514" s="879"/>
      <c r="LII1514" s="879"/>
      <c r="LIJ1514" s="879"/>
      <c r="LIK1514" s="879"/>
      <c r="LIL1514" s="879"/>
      <c r="LIM1514" s="879"/>
      <c r="LIN1514" s="879"/>
      <c r="LIO1514" s="879"/>
      <c r="LIP1514" s="879"/>
      <c r="LIQ1514" s="879"/>
      <c r="LIR1514" s="879"/>
      <c r="LIS1514" s="879"/>
      <c r="LIT1514" s="879"/>
      <c r="LIU1514" s="879"/>
      <c r="LIV1514" s="879"/>
      <c r="LIW1514" s="879"/>
      <c r="LIX1514" s="879"/>
      <c r="LIY1514" s="879"/>
      <c r="LIZ1514" s="879"/>
      <c r="LJA1514" s="879"/>
      <c r="LJB1514" s="879"/>
      <c r="LJC1514" s="879"/>
      <c r="LJD1514" s="879"/>
      <c r="LJE1514" s="879"/>
      <c r="LJF1514" s="879"/>
      <c r="LJG1514" s="879"/>
      <c r="LJH1514" s="879"/>
      <c r="LJI1514" s="879"/>
      <c r="LJJ1514" s="879"/>
      <c r="LJK1514" s="879"/>
      <c r="LJL1514" s="879"/>
      <c r="LJM1514" s="879"/>
      <c r="LJN1514" s="879"/>
      <c r="LJO1514" s="879"/>
      <c r="LJP1514" s="879"/>
      <c r="LJQ1514" s="879"/>
      <c r="LJR1514" s="879"/>
      <c r="LJS1514" s="879"/>
      <c r="LJT1514" s="879"/>
      <c r="LJU1514" s="879"/>
      <c r="LJV1514" s="879"/>
      <c r="LJW1514" s="879"/>
      <c r="LJX1514" s="879"/>
      <c r="LJY1514" s="879"/>
      <c r="LJZ1514" s="879"/>
      <c r="LKA1514" s="879"/>
      <c r="LKB1514" s="879"/>
      <c r="LKC1514" s="879"/>
      <c r="LKD1514" s="879"/>
      <c r="LKE1514" s="879"/>
      <c r="LKF1514" s="879"/>
      <c r="LKG1514" s="879"/>
      <c r="LKH1514" s="879"/>
      <c r="LKI1514" s="879"/>
      <c r="LKJ1514" s="879"/>
      <c r="LKK1514" s="879"/>
      <c r="LKL1514" s="879"/>
      <c r="LKM1514" s="879"/>
      <c r="LKN1514" s="879"/>
      <c r="LKO1514" s="879"/>
      <c r="LKP1514" s="879"/>
      <c r="LKQ1514" s="879"/>
      <c r="LKR1514" s="879"/>
      <c r="LKS1514" s="879"/>
      <c r="LKT1514" s="879"/>
      <c r="LKU1514" s="879"/>
      <c r="LKV1514" s="879"/>
      <c r="LKW1514" s="879"/>
      <c r="LKX1514" s="879"/>
      <c r="LKY1514" s="879"/>
      <c r="LKZ1514" s="879"/>
      <c r="LLA1514" s="879"/>
      <c r="LLB1514" s="879"/>
      <c r="LLC1514" s="879"/>
      <c r="LLD1514" s="879"/>
      <c r="LLE1514" s="879"/>
      <c r="LLF1514" s="879"/>
      <c r="LLG1514" s="879"/>
      <c r="LLH1514" s="879"/>
      <c r="LLI1514" s="879"/>
      <c r="LLJ1514" s="879"/>
      <c r="LLK1514" s="879"/>
      <c r="LLL1514" s="879"/>
      <c r="LLM1514" s="879"/>
      <c r="LLN1514" s="879"/>
      <c r="LLO1514" s="879"/>
      <c r="LLP1514" s="879"/>
      <c r="LLQ1514" s="879"/>
      <c r="LLR1514" s="879"/>
      <c r="LLS1514" s="879"/>
      <c r="LLT1514" s="879"/>
      <c r="LLU1514" s="879"/>
      <c r="LLV1514" s="879"/>
      <c r="LLW1514" s="879"/>
      <c r="LLX1514" s="879"/>
      <c r="LLY1514" s="879"/>
      <c r="LLZ1514" s="879"/>
      <c r="LMA1514" s="879"/>
      <c r="LMB1514" s="879"/>
      <c r="LMC1514" s="879"/>
      <c r="LMD1514" s="879"/>
      <c r="LME1514" s="879"/>
      <c r="LMF1514" s="879"/>
      <c r="LMG1514" s="879"/>
      <c r="LMH1514" s="879"/>
      <c r="LMI1514" s="879"/>
      <c r="LMJ1514" s="879"/>
      <c r="LMK1514" s="879"/>
      <c r="LML1514" s="879"/>
      <c r="LMM1514" s="879"/>
      <c r="LMN1514" s="879"/>
      <c r="LMO1514" s="879"/>
      <c r="LMP1514" s="879"/>
      <c r="LMQ1514" s="879"/>
      <c r="LMR1514" s="879"/>
      <c r="LMS1514" s="879"/>
      <c r="LMT1514" s="879"/>
      <c r="LMU1514" s="879"/>
      <c r="LMV1514" s="879"/>
      <c r="LMW1514" s="879"/>
      <c r="LMX1514" s="879"/>
      <c r="LMY1514" s="879"/>
      <c r="LMZ1514" s="879"/>
      <c r="LNA1514" s="879"/>
      <c r="LNB1514" s="879"/>
      <c r="LNC1514" s="879"/>
      <c r="LND1514" s="879"/>
      <c r="LNE1514" s="879"/>
      <c r="LNF1514" s="879"/>
      <c r="LNG1514" s="879"/>
      <c r="LNH1514" s="879"/>
      <c r="LNI1514" s="879"/>
      <c r="LNJ1514" s="879"/>
      <c r="LNK1514" s="879"/>
      <c r="LNL1514" s="879"/>
      <c r="LNM1514" s="879"/>
      <c r="LNN1514" s="879"/>
      <c r="LNO1514" s="879"/>
      <c r="LNP1514" s="879"/>
      <c r="LNQ1514" s="879"/>
      <c r="LNR1514" s="879"/>
      <c r="LNS1514" s="879"/>
      <c r="LNT1514" s="879"/>
      <c r="LNU1514" s="879"/>
      <c r="LNV1514" s="879"/>
      <c r="LNW1514" s="879"/>
      <c r="LNX1514" s="879"/>
      <c r="LNY1514" s="879"/>
      <c r="LNZ1514" s="879"/>
      <c r="LOA1514" s="879"/>
      <c r="LOB1514" s="879"/>
      <c r="LOC1514" s="879"/>
      <c r="LOD1514" s="879"/>
      <c r="LOE1514" s="879"/>
      <c r="LOF1514" s="879"/>
      <c r="LOG1514" s="879"/>
      <c r="LOH1514" s="879"/>
      <c r="LOI1514" s="879"/>
      <c r="LOJ1514" s="879"/>
      <c r="LOK1514" s="879"/>
      <c r="LOL1514" s="879"/>
      <c r="LOM1514" s="879"/>
      <c r="LON1514" s="879"/>
      <c r="LOO1514" s="879"/>
      <c r="LOP1514" s="879"/>
      <c r="LOQ1514" s="879"/>
      <c r="LOR1514" s="879"/>
      <c r="LOS1514" s="879"/>
      <c r="LOT1514" s="879"/>
      <c r="LOU1514" s="879"/>
      <c r="LOV1514" s="879"/>
      <c r="LOW1514" s="879"/>
      <c r="LOX1514" s="879"/>
      <c r="LOY1514" s="879"/>
      <c r="LOZ1514" s="879"/>
      <c r="LPA1514" s="879"/>
      <c r="LPB1514" s="879"/>
      <c r="LPC1514" s="879"/>
      <c r="LPD1514" s="879"/>
      <c r="LPE1514" s="879"/>
      <c r="LPF1514" s="879"/>
      <c r="LPG1514" s="879"/>
      <c r="LPH1514" s="879"/>
      <c r="LPI1514" s="879"/>
      <c r="LPJ1514" s="879"/>
      <c r="LPK1514" s="879"/>
      <c r="LPL1514" s="879"/>
      <c r="LPM1514" s="879"/>
      <c r="LPN1514" s="879"/>
      <c r="LPO1514" s="879"/>
      <c r="LPP1514" s="879"/>
      <c r="LPQ1514" s="879"/>
      <c r="LPR1514" s="879"/>
      <c r="LPS1514" s="879"/>
      <c r="LPT1514" s="879"/>
      <c r="LPU1514" s="879"/>
      <c r="LPV1514" s="879"/>
      <c r="LPW1514" s="879"/>
      <c r="LPX1514" s="879"/>
      <c r="LPY1514" s="879"/>
      <c r="LPZ1514" s="879"/>
      <c r="LQA1514" s="879"/>
      <c r="LQB1514" s="879"/>
      <c r="LQC1514" s="879"/>
      <c r="LQD1514" s="879"/>
      <c r="LQE1514" s="879"/>
      <c r="LQF1514" s="879"/>
      <c r="LQG1514" s="879"/>
      <c r="LQH1514" s="879"/>
      <c r="LQI1514" s="879"/>
      <c r="LQJ1514" s="879"/>
      <c r="LQK1514" s="879"/>
      <c r="LQL1514" s="879"/>
      <c r="LQM1514" s="879"/>
      <c r="LQN1514" s="879"/>
      <c r="LQO1514" s="879"/>
      <c r="LQP1514" s="879"/>
      <c r="LQQ1514" s="879"/>
      <c r="LQR1514" s="879"/>
      <c r="LQS1514" s="879"/>
      <c r="LQT1514" s="879"/>
      <c r="LQU1514" s="879"/>
      <c r="LQV1514" s="879"/>
      <c r="LQW1514" s="879"/>
      <c r="LQX1514" s="879"/>
      <c r="LQY1514" s="879"/>
      <c r="LQZ1514" s="879"/>
      <c r="LRA1514" s="879"/>
      <c r="LRB1514" s="879"/>
      <c r="LRC1514" s="879"/>
      <c r="LRD1514" s="879"/>
      <c r="LRE1514" s="879"/>
      <c r="LRF1514" s="879"/>
      <c r="LRG1514" s="879"/>
      <c r="LRH1514" s="879"/>
      <c r="LRI1514" s="879"/>
      <c r="LRJ1514" s="879"/>
      <c r="LRK1514" s="879"/>
      <c r="LRL1514" s="879"/>
      <c r="LRM1514" s="879"/>
      <c r="LRN1514" s="879"/>
      <c r="LRO1514" s="879"/>
      <c r="LRP1514" s="879"/>
      <c r="LRQ1514" s="879"/>
      <c r="LRR1514" s="879"/>
      <c r="LRS1514" s="879"/>
      <c r="LRT1514" s="879"/>
      <c r="LRU1514" s="879"/>
      <c r="LRV1514" s="879"/>
      <c r="LRW1514" s="879"/>
      <c r="LRX1514" s="879"/>
      <c r="LRY1514" s="879"/>
      <c r="LRZ1514" s="879"/>
      <c r="LSA1514" s="879"/>
      <c r="LSB1514" s="879"/>
      <c r="LSC1514" s="879"/>
      <c r="LSD1514" s="879"/>
      <c r="LSE1514" s="879"/>
      <c r="LSF1514" s="879"/>
      <c r="LSG1514" s="879"/>
      <c r="LSH1514" s="879"/>
      <c r="LSI1514" s="879"/>
      <c r="LSJ1514" s="879"/>
      <c r="LSK1514" s="879"/>
      <c r="LSL1514" s="879"/>
      <c r="LSM1514" s="879"/>
      <c r="LSN1514" s="879"/>
      <c r="LSO1514" s="879"/>
      <c r="LSP1514" s="879"/>
      <c r="LSQ1514" s="879"/>
      <c r="LSR1514" s="879"/>
      <c r="LSS1514" s="879"/>
      <c r="LST1514" s="879"/>
      <c r="LSU1514" s="879"/>
      <c r="LSV1514" s="879"/>
      <c r="LSW1514" s="879"/>
      <c r="LSX1514" s="879"/>
      <c r="LSY1514" s="879"/>
      <c r="LSZ1514" s="879"/>
      <c r="LTA1514" s="879"/>
      <c r="LTB1514" s="879"/>
      <c r="LTC1514" s="879"/>
      <c r="LTD1514" s="879"/>
      <c r="LTE1514" s="879"/>
      <c r="LTF1514" s="879"/>
      <c r="LTG1514" s="879"/>
      <c r="LTH1514" s="879"/>
      <c r="LTI1514" s="879"/>
      <c r="LTJ1514" s="879"/>
      <c r="LTK1514" s="879"/>
      <c r="LTL1514" s="879"/>
      <c r="LTM1514" s="879"/>
      <c r="LTN1514" s="879"/>
      <c r="LTO1514" s="879"/>
      <c r="LTP1514" s="879"/>
      <c r="LTQ1514" s="879"/>
      <c r="LTR1514" s="879"/>
      <c r="LTS1514" s="879"/>
      <c r="LTT1514" s="879"/>
      <c r="LTU1514" s="879"/>
      <c r="LTV1514" s="879"/>
      <c r="LTW1514" s="879"/>
      <c r="LTX1514" s="879"/>
      <c r="LTY1514" s="879"/>
      <c r="LTZ1514" s="879"/>
      <c r="LUA1514" s="879"/>
      <c r="LUB1514" s="879"/>
      <c r="LUC1514" s="879"/>
      <c r="LUD1514" s="879"/>
      <c r="LUE1514" s="879"/>
      <c r="LUF1514" s="879"/>
      <c r="LUG1514" s="879"/>
      <c r="LUH1514" s="879"/>
      <c r="LUI1514" s="879"/>
      <c r="LUJ1514" s="879"/>
      <c r="LUK1514" s="879"/>
      <c r="LUL1514" s="879"/>
      <c r="LUM1514" s="879"/>
      <c r="LUN1514" s="879"/>
      <c r="LUO1514" s="879"/>
      <c r="LUP1514" s="879"/>
      <c r="LUQ1514" s="879"/>
      <c r="LUR1514" s="879"/>
      <c r="LUS1514" s="879"/>
      <c r="LUT1514" s="879"/>
      <c r="LUU1514" s="879"/>
      <c r="LUV1514" s="879"/>
      <c r="LUW1514" s="879"/>
      <c r="LUX1514" s="879"/>
      <c r="LUY1514" s="879"/>
      <c r="LUZ1514" s="879"/>
      <c r="LVA1514" s="879"/>
      <c r="LVB1514" s="879"/>
      <c r="LVC1514" s="879"/>
      <c r="LVD1514" s="879"/>
      <c r="LVE1514" s="879"/>
      <c r="LVF1514" s="879"/>
      <c r="LVG1514" s="879"/>
      <c r="LVH1514" s="879"/>
      <c r="LVI1514" s="879"/>
      <c r="LVJ1514" s="879"/>
      <c r="LVK1514" s="879"/>
      <c r="LVL1514" s="879"/>
      <c r="LVM1514" s="879"/>
      <c r="LVN1514" s="879"/>
      <c r="LVO1514" s="879"/>
      <c r="LVP1514" s="879"/>
      <c r="LVQ1514" s="879"/>
      <c r="LVR1514" s="879"/>
      <c r="LVS1514" s="879"/>
      <c r="LVT1514" s="879"/>
      <c r="LVU1514" s="879"/>
      <c r="LVV1514" s="879"/>
      <c r="LVW1514" s="879"/>
      <c r="LVX1514" s="879"/>
      <c r="LVY1514" s="879"/>
      <c r="LVZ1514" s="879"/>
      <c r="LWA1514" s="879"/>
      <c r="LWB1514" s="879"/>
      <c r="LWC1514" s="879"/>
      <c r="LWD1514" s="879"/>
      <c r="LWE1514" s="879"/>
      <c r="LWF1514" s="879"/>
      <c r="LWG1514" s="879"/>
      <c r="LWH1514" s="879"/>
      <c r="LWI1514" s="879"/>
      <c r="LWJ1514" s="879"/>
      <c r="LWK1514" s="879"/>
      <c r="LWL1514" s="879"/>
      <c r="LWM1514" s="879"/>
      <c r="LWN1514" s="879"/>
      <c r="LWO1514" s="879"/>
      <c r="LWP1514" s="879"/>
      <c r="LWQ1514" s="879"/>
      <c r="LWR1514" s="879"/>
      <c r="LWS1514" s="879"/>
      <c r="LWT1514" s="879"/>
      <c r="LWU1514" s="879"/>
      <c r="LWV1514" s="879"/>
      <c r="LWW1514" s="879"/>
      <c r="LWX1514" s="879"/>
      <c r="LWY1514" s="879"/>
      <c r="LWZ1514" s="879"/>
      <c r="LXA1514" s="879"/>
      <c r="LXB1514" s="879"/>
      <c r="LXC1514" s="879"/>
      <c r="LXD1514" s="879"/>
      <c r="LXE1514" s="879"/>
      <c r="LXF1514" s="879"/>
      <c r="LXG1514" s="879"/>
      <c r="LXH1514" s="879"/>
      <c r="LXI1514" s="879"/>
      <c r="LXJ1514" s="879"/>
      <c r="LXK1514" s="879"/>
      <c r="LXL1514" s="879"/>
      <c r="LXM1514" s="879"/>
      <c r="LXN1514" s="879"/>
      <c r="LXO1514" s="879"/>
      <c r="LXP1514" s="879"/>
      <c r="LXQ1514" s="879"/>
      <c r="LXR1514" s="879"/>
      <c r="LXS1514" s="879"/>
      <c r="LXT1514" s="879"/>
      <c r="LXU1514" s="879"/>
      <c r="LXV1514" s="879"/>
      <c r="LXW1514" s="879"/>
      <c r="LXX1514" s="879"/>
      <c r="LXY1514" s="879"/>
      <c r="LXZ1514" s="879"/>
      <c r="LYA1514" s="879"/>
      <c r="LYB1514" s="879"/>
      <c r="LYC1514" s="879"/>
      <c r="LYD1514" s="879"/>
      <c r="LYE1514" s="879"/>
      <c r="LYF1514" s="879"/>
      <c r="LYG1514" s="879"/>
      <c r="LYH1514" s="879"/>
      <c r="LYI1514" s="879"/>
      <c r="LYJ1514" s="879"/>
      <c r="LYK1514" s="879"/>
      <c r="LYL1514" s="879"/>
      <c r="LYM1514" s="879"/>
      <c r="LYN1514" s="879"/>
      <c r="LYO1514" s="879"/>
      <c r="LYP1514" s="879"/>
      <c r="LYQ1514" s="879"/>
      <c r="LYR1514" s="879"/>
      <c r="LYS1514" s="879"/>
      <c r="LYT1514" s="879"/>
      <c r="LYU1514" s="879"/>
      <c r="LYV1514" s="879"/>
      <c r="LYW1514" s="879"/>
      <c r="LYX1514" s="879"/>
      <c r="LYY1514" s="879"/>
      <c r="LYZ1514" s="879"/>
      <c r="LZA1514" s="879"/>
      <c r="LZB1514" s="879"/>
      <c r="LZC1514" s="879"/>
      <c r="LZD1514" s="879"/>
      <c r="LZE1514" s="879"/>
      <c r="LZF1514" s="879"/>
      <c r="LZG1514" s="879"/>
      <c r="LZH1514" s="879"/>
      <c r="LZI1514" s="879"/>
      <c r="LZJ1514" s="879"/>
      <c r="LZK1514" s="879"/>
      <c r="LZL1514" s="879"/>
      <c r="LZM1514" s="879"/>
      <c r="LZN1514" s="879"/>
      <c r="LZO1514" s="879"/>
      <c r="LZP1514" s="879"/>
      <c r="LZQ1514" s="879"/>
      <c r="LZR1514" s="879"/>
      <c r="LZS1514" s="879"/>
      <c r="LZT1514" s="879"/>
      <c r="LZU1514" s="879"/>
      <c r="LZV1514" s="879"/>
      <c r="LZW1514" s="879"/>
      <c r="LZX1514" s="879"/>
      <c r="LZY1514" s="879"/>
      <c r="LZZ1514" s="879"/>
      <c r="MAA1514" s="879"/>
      <c r="MAB1514" s="879"/>
      <c r="MAC1514" s="879"/>
      <c r="MAD1514" s="879"/>
      <c r="MAE1514" s="879"/>
      <c r="MAF1514" s="879"/>
      <c r="MAG1514" s="879"/>
      <c r="MAH1514" s="879"/>
      <c r="MAI1514" s="879"/>
      <c r="MAJ1514" s="879"/>
      <c r="MAK1514" s="879"/>
      <c r="MAL1514" s="879"/>
      <c r="MAM1514" s="879"/>
      <c r="MAN1514" s="879"/>
      <c r="MAO1514" s="879"/>
      <c r="MAP1514" s="879"/>
      <c r="MAQ1514" s="879"/>
      <c r="MAR1514" s="879"/>
      <c r="MAS1514" s="879"/>
      <c r="MAT1514" s="879"/>
      <c r="MAU1514" s="879"/>
      <c r="MAV1514" s="879"/>
      <c r="MAW1514" s="879"/>
      <c r="MAX1514" s="879"/>
      <c r="MAY1514" s="879"/>
      <c r="MAZ1514" s="879"/>
      <c r="MBA1514" s="879"/>
      <c r="MBB1514" s="879"/>
      <c r="MBC1514" s="879"/>
      <c r="MBD1514" s="879"/>
      <c r="MBE1514" s="879"/>
      <c r="MBF1514" s="879"/>
      <c r="MBG1514" s="879"/>
      <c r="MBH1514" s="879"/>
      <c r="MBI1514" s="879"/>
      <c r="MBJ1514" s="879"/>
      <c r="MBK1514" s="879"/>
      <c r="MBL1514" s="879"/>
      <c r="MBM1514" s="879"/>
      <c r="MBN1514" s="879"/>
      <c r="MBO1514" s="879"/>
      <c r="MBP1514" s="879"/>
      <c r="MBQ1514" s="879"/>
      <c r="MBR1514" s="879"/>
      <c r="MBS1514" s="879"/>
      <c r="MBT1514" s="879"/>
      <c r="MBU1514" s="879"/>
      <c r="MBV1514" s="879"/>
      <c r="MBW1514" s="879"/>
      <c r="MBX1514" s="879"/>
      <c r="MBY1514" s="879"/>
      <c r="MBZ1514" s="879"/>
      <c r="MCA1514" s="879"/>
      <c r="MCB1514" s="879"/>
      <c r="MCC1514" s="879"/>
      <c r="MCD1514" s="879"/>
      <c r="MCE1514" s="879"/>
      <c r="MCF1514" s="879"/>
      <c r="MCG1514" s="879"/>
      <c r="MCH1514" s="879"/>
      <c r="MCI1514" s="879"/>
      <c r="MCJ1514" s="879"/>
      <c r="MCK1514" s="879"/>
      <c r="MCL1514" s="879"/>
      <c r="MCM1514" s="879"/>
      <c r="MCN1514" s="879"/>
      <c r="MCO1514" s="879"/>
      <c r="MCP1514" s="879"/>
      <c r="MCQ1514" s="879"/>
      <c r="MCR1514" s="879"/>
      <c r="MCS1514" s="879"/>
      <c r="MCT1514" s="879"/>
      <c r="MCU1514" s="879"/>
      <c r="MCV1514" s="879"/>
      <c r="MCW1514" s="879"/>
      <c r="MCX1514" s="879"/>
      <c r="MCY1514" s="879"/>
      <c r="MCZ1514" s="879"/>
      <c r="MDA1514" s="879"/>
      <c r="MDB1514" s="879"/>
      <c r="MDC1514" s="879"/>
      <c r="MDD1514" s="879"/>
      <c r="MDE1514" s="879"/>
      <c r="MDF1514" s="879"/>
      <c r="MDG1514" s="879"/>
      <c r="MDH1514" s="879"/>
      <c r="MDI1514" s="879"/>
      <c r="MDJ1514" s="879"/>
      <c r="MDK1514" s="879"/>
      <c r="MDL1514" s="879"/>
      <c r="MDM1514" s="879"/>
      <c r="MDN1514" s="879"/>
      <c r="MDO1514" s="879"/>
      <c r="MDP1514" s="879"/>
      <c r="MDQ1514" s="879"/>
      <c r="MDR1514" s="879"/>
      <c r="MDS1514" s="879"/>
      <c r="MDT1514" s="879"/>
      <c r="MDU1514" s="879"/>
      <c r="MDV1514" s="879"/>
      <c r="MDW1514" s="879"/>
      <c r="MDX1514" s="879"/>
      <c r="MDY1514" s="879"/>
      <c r="MDZ1514" s="879"/>
      <c r="MEA1514" s="879"/>
      <c r="MEB1514" s="879"/>
      <c r="MEC1514" s="879"/>
      <c r="MED1514" s="879"/>
      <c r="MEE1514" s="879"/>
      <c r="MEF1514" s="879"/>
      <c r="MEG1514" s="879"/>
      <c r="MEH1514" s="879"/>
      <c r="MEI1514" s="879"/>
      <c r="MEJ1514" s="879"/>
      <c r="MEK1514" s="879"/>
      <c r="MEL1514" s="879"/>
      <c r="MEM1514" s="879"/>
      <c r="MEN1514" s="879"/>
      <c r="MEO1514" s="879"/>
      <c r="MEP1514" s="879"/>
      <c r="MEQ1514" s="879"/>
      <c r="MER1514" s="879"/>
      <c r="MES1514" s="879"/>
      <c r="MET1514" s="879"/>
      <c r="MEU1514" s="879"/>
      <c r="MEV1514" s="879"/>
      <c r="MEW1514" s="879"/>
      <c r="MEX1514" s="879"/>
      <c r="MEY1514" s="879"/>
      <c r="MEZ1514" s="879"/>
      <c r="MFA1514" s="879"/>
      <c r="MFB1514" s="879"/>
      <c r="MFC1514" s="879"/>
      <c r="MFD1514" s="879"/>
      <c r="MFE1514" s="879"/>
      <c r="MFF1514" s="879"/>
      <c r="MFG1514" s="879"/>
      <c r="MFH1514" s="879"/>
      <c r="MFI1514" s="879"/>
      <c r="MFJ1514" s="879"/>
      <c r="MFK1514" s="879"/>
      <c r="MFL1514" s="879"/>
      <c r="MFM1514" s="879"/>
      <c r="MFN1514" s="879"/>
      <c r="MFO1514" s="879"/>
      <c r="MFP1514" s="879"/>
      <c r="MFQ1514" s="879"/>
      <c r="MFR1514" s="879"/>
      <c r="MFS1514" s="879"/>
      <c r="MFT1514" s="879"/>
      <c r="MFU1514" s="879"/>
      <c r="MFV1514" s="879"/>
      <c r="MFW1514" s="879"/>
      <c r="MFX1514" s="879"/>
      <c r="MFY1514" s="879"/>
      <c r="MFZ1514" s="879"/>
      <c r="MGA1514" s="879"/>
      <c r="MGB1514" s="879"/>
      <c r="MGC1514" s="879"/>
      <c r="MGD1514" s="879"/>
      <c r="MGE1514" s="879"/>
      <c r="MGF1514" s="879"/>
      <c r="MGG1514" s="879"/>
      <c r="MGH1514" s="879"/>
      <c r="MGI1514" s="879"/>
      <c r="MGJ1514" s="879"/>
      <c r="MGK1514" s="879"/>
      <c r="MGL1514" s="879"/>
      <c r="MGM1514" s="879"/>
      <c r="MGN1514" s="879"/>
      <c r="MGO1514" s="879"/>
      <c r="MGP1514" s="879"/>
      <c r="MGQ1514" s="879"/>
      <c r="MGR1514" s="879"/>
      <c r="MGS1514" s="879"/>
      <c r="MGT1514" s="879"/>
      <c r="MGU1514" s="879"/>
      <c r="MGV1514" s="879"/>
      <c r="MGW1514" s="879"/>
      <c r="MGX1514" s="879"/>
      <c r="MGY1514" s="879"/>
      <c r="MGZ1514" s="879"/>
      <c r="MHA1514" s="879"/>
      <c r="MHB1514" s="879"/>
      <c r="MHC1514" s="879"/>
      <c r="MHD1514" s="879"/>
      <c r="MHE1514" s="879"/>
      <c r="MHF1514" s="879"/>
      <c r="MHG1514" s="879"/>
      <c r="MHH1514" s="879"/>
      <c r="MHI1514" s="879"/>
      <c r="MHJ1514" s="879"/>
      <c r="MHK1514" s="879"/>
      <c r="MHL1514" s="879"/>
      <c r="MHM1514" s="879"/>
      <c r="MHN1514" s="879"/>
      <c r="MHO1514" s="879"/>
      <c r="MHP1514" s="879"/>
      <c r="MHQ1514" s="879"/>
      <c r="MHR1514" s="879"/>
      <c r="MHS1514" s="879"/>
      <c r="MHT1514" s="879"/>
      <c r="MHU1514" s="879"/>
      <c r="MHV1514" s="879"/>
      <c r="MHW1514" s="879"/>
      <c r="MHX1514" s="879"/>
      <c r="MHY1514" s="879"/>
      <c r="MHZ1514" s="879"/>
      <c r="MIA1514" s="879"/>
      <c r="MIB1514" s="879"/>
      <c r="MIC1514" s="879"/>
      <c r="MID1514" s="879"/>
      <c r="MIE1514" s="879"/>
      <c r="MIF1514" s="879"/>
      <c r="MIG1514" s="879"/>
      <c r="MIH1514" s="879"/>
      <c r="MII1514" s="879"/>
      <c r="MIJ1514" s="879"/>
      <c r="MIK1514" s="879"/>
      <c r="MIL1514" s="879"/>
      <c r="MIM1514" s="879"/>
      <c r="MIN1514" s="879"/>
      <c r="MIO1514" s="879"/>
      <c r="MIP1514" s="879"/>
      <c r="MIQ1514" s="879"/>
      <c r="MIR1514" s="879"/>
      <c r="MIS1514" s="879"/>
      <c r="MIT1514" s="879"/>
      <c r="MIU1514" s="879"/>
      <c r="MIV1514" s="879"/>
      <c r="MIW1514" s="879"/>
      <c r="MIX1514" s="879"/>
      <c r="MIY1514" s="879"/>
      <c r="MIZ1514" s="879"/>
      <c r="MJA1514" s="879"/>
      <c r="MJB1514" s="879"/>
      <c r="MJC1514" s="879"/>
      <c r="MJD1514" s="879"/>
      <c r="MJE1514" s="879"/>
      <c r="MJF1514" s="879"/>
      <c r="MJG1514" s="879"/>
      <c r="MJH1514" s="879"/>
      <c r="MJI1514" s="879"/>
      <c r="MJJ1514" s="879"/>
      <c r="MJK1514" s="879"/>
      <c r="MJL1514" s="879"/>
      <c r="MJM1514" s="879"/>
      <c r="MJN1514" s="879"/>
      <c r="MJO1514" s="879"/>
      <c r="MJP1514" s="879"/>
      <c r="MJQ1514" s="879"/>
      <c r="MJR1514" s="879"/>
      <c r="MJS1514" s="879"/>
      <c r="MJT1514" s="879"/>
      <c r="MJU1514" s="879"/>
      <c r="MJV1514" s="879"/>
      <c r="MJW1514" s="879"/>
      <c r="MJX1514" s="879"/>
      <c r="MJY1514" s="879"/>
      <c r="MJZ1514" s="879"/>
      <c r="MKA1514" s="879"/>
      <c r="MKB1514" s="879"/>
      <c r="MKC1514" s="879"/>
      <c r="MKD1514" s="879"/>
      <c r="MKE1514" s="879"/>
      <c r="MKF1514" s="879"/>
      <c r="MKG1514" s="879"/>
      <c r="MKH1514" s="879"/>
      <c r="MKI1514" s="879"/>
      <c r="MKJ1514" s="879"/>
      <c r="MKK1514" s="879"/>
      <c r="MKL1514" s="879"/>
      <c r="MKM1514" s="879"/>
      <c r="MKN1514" s="879"/>
      <c r="MKO1514" s="879"/>
      <c r="MKP1514" s="879"/>
      <c r="MKQ1514" s="879"/>
      <c r="MKR1514" s="879"/>
      <c r="MKS1514" s="879"/>
      <c r="MKT1514" s="879"/>
      <c r="MKU1514" s="879"/>
      <c r="MKV1514" s="879"/>
      <c r="MKW1514" s="879"/>
      <c r="MKX1514" s="879"/>
      <c r="MKY1514" s="879"/>
      <c r="MKZ1514" s="879"/>
      <c r="MLA1514" s="879"/>
      <c r="MLB1514" s="879"/>
      <c r="MLC1514" s="879"/>
      <c r="MLD1514" s="879"/>
      <c r="MLE1514" s="879"/>
      <c r="MLF1514" s="879"/>
      <c r="MLG1514" s="879"/>
      <c r="MLH1514" s="879"/>
      <c r="MLI1514" s="879"/>
      <c r="MLJ1514" s="879"/>
      <c r="MLK1514" s="879"/>
      <c r="MLL1514" s="879"/>
      <c r="MLM1514" s="879"/>
      <c r="MLN1514" s="879"/>
      <c r="MLO1514" s="879"/>
      <c r="MLP1514" s="879"/>
      <c r="MLQ1514" s="879"/>
      <c r="MLR1514" s="879"/>
      <c r="MLS1514" s="879"/>
      <c r="MLT1514" s="879"/>
      <c r="MLU1514" s="879"/>
      <c r="MLV1514" s="879"/>
      <c r="MLW1514" s="879"/>
      <c r="MLX1514" s="879"/>
      <c r="MLY1514" s="879"/>
      <c r="MLZ1514" s="879"/>
      <c r="MMA1514" s="879"/>
      <c r="MMB1514" s="879"/>
      <c r="MMC1514" s="879"/>
      <c r="MMD1514" s="879"/>
      <c r="MME1514" s="879"/>
      <c r="MMF1514" s="879"/>
      <c r="MMG1514" s="879"/>
      <c r="MMH1514" s="879"/>
      <c r="MMI1514" s="879"/>
      <c r="MMJ1514" s="879"/>
      <c r="MMK1514" s="879"/>
      <c r="MML1514" s="879"/>
      <c r="MMM1514" s="879"/>
      <c r="MMN1514" s="879"/>
      <c r="MMO1514" s="879"/>
      <c r="MMP1514" s="879"/>
      <c r="MMQ1514" s="879"/>
      <c r="MMR1514" s="879"/>
      <c r="MMS1514" s="879"/>
      <c r="MMT1514" s="879"/>
      <c r="MMU1514" s="879"/>
      <c r="MMV1514" s="879"/>
      <c r="MMW1514" s="879"/>
      <c r="MMX1514" s="879"/>
      <c r="MMY1514" s="879"/>
      <c r="MMZ1514" s="879"/>
      <c r="MNA1514" s="879"/>
      <c r="MNB1514" s="879"/>
      <c r="MNC1514" s="879"/>
      <c r="MND1514" s="879"/>
      <c r="MNE1514" s="879"/>
      <c r="MNF1514" s="879"/>
      <c r="MNG1514" s="879"/>
      <c r="MNH1514" s="879"/>
      <c r="MNI1514" s="879"/>
      <c r="MNJ1514" s="879"/>
      <c r="MNK1514" s="879"/>
      <c r="MNL1514" s="879"/>
      <c r="MNM1514" s="879"/>
      <c r="MNN1514" s="879"/>
      <c r="MNO1514" s="879"/>
      <c r="MNP1514" s="879"/>
      <c r="MNQ1514" s="879"/>
      <c r="MNR1514" s="879"/>
      <c r="MNS1514" s="879"/>
      <c r="MNT1514" s="879"/>
      <c r="MNU1514" s="879"/>
      <c r="MNV1514" s="879"/>
      <c r="MNW1514" s="879"/>
      <c r="MNX1514" s="879"/>
      <c r="MNY1514" s="879"/>
      <c r="MNZ1514" s="879"/>
      <c r="MOA1514" s="879"/>
      <c r="MOB1514" s="879"/>
      <c r="MOC1514" s="879"/>
      <c r="MOD1514" s="879"/>
      <c r="MOE1514" s="879"/>
      <c r="MOF1514" s="879"/>
      <c r="MOG1514" s="879"/>
      <c r="MOH1514" s="879"/>
      <c r="MOI1514" s="879"/>
      <c r="MOJ1514" s="879"/>
      <c r="MOK1514" s="879"/>
      <c r="MOL1514" s="879"/>
      <c r="MOM1514" s="879"/>
      <c r="MON1514" s="879"/>
      <c r="MOO1514" s="879"/>
      <c r="MOP1514" s="879"/>
      <c r="MOQ1514" s="879"/>
      <c r="MOR1514" s="879"/>
      <c r="MOS1514" s="879"/>
      <c r="MOT1514" s="879"/>
      <c r="MOU1514" s="879"/>
      <c r="MOV1514" s="879"/>
      <c r="MOW1514" s="879"/>
      <c r="MOX1514" s="879"/>
      <c r="MOY1514" s="879"/>
      <c r="MOZ1514" s="879"/>
      <c r="MPA1514" s="879"/>
      <c r="MPB1514" s="879"/>
      <c r="MPC1514" s="879"/>
      <c r="MPD1514" s="879"/>
      <c r="MPE1514" s="879"/>
      <c r="MPF1514" s="879"/>
      <c r="MPG1514" s="879"/>
      <c r="MPH1514" s="879"/>
      <c r="MPI1514" s="879"/>
      <c r="MPJ1514" s="879"/>
      <c r="MPK1514" s="879"/>
      <c r="MPL1514" s="879"/>
      <c r="MPM1514" s="879"/>
      <c r="MPN1514" s="879"/>
      <c r="MPO1514" s="879"/>
      <c r="MPP1514" s="879"/>
      <c r="MPQ1514" s="879"/>
      <c r="MPR1514" s="879"/>
      <c r="MPS1514" s="879"/>
      <c r="MPT1514" s="879"/>
      <c r="MPU1514" s="879"/>
      <c r="MPV1514" s="879"/>
      <c r="MPW1514" s="879"/>
      <c r="MPX1514" s="879"/>
      <c r="MPY1514" s="879"/>
      <c r="MPZ1514" s="879"/>
      <c r="MQA1514" s="879"/>
      <c r="MQB1514" s="879"/>
      <c r="MQC1514" s="879"/>
      <c r="MQD1514" s="879"/>
      <c r="MQE1514" s="879"/>
      <c r="MQF1514" s="879"/>
      <c r="MQG1514" s="879"/>
      <c r="MQH1514" s="879"/>
      <c r="MQI1514" s="879"/>
      <c r="MQJ1514" s="879"/>
      <c r="MQK1514" s="879"/>
      <c r="MQL1514" s="879"/>
      <c r="MQM1514" s="879"/>
      <c r="MQN1514" s="879"/>
      <c r="MQO1514" s="879"/>
      <c r="MQP1514" s="879"/>
      <c r="MQQ1514" s="879"/>
      <c r="MQR1514" s="879"/>
      <c r="MQS1514" s="879"/>
      <c r="MQT1514" s="879"/>
      <c r="MQU1514" s="879"/>
      <c r="MQV1514" s="879"/>
      <c r="MQW1514" s="879"/>
      <c r="MQX1514" s="879"/>
      <c r="MQY1514" s="879"/>
      <c r="MQZ1514" s="879"/>
      <c r="MRA1514" s="879"/>
      <c r="MRB1514" s="879"/>
      <c r="MRC1514" s="879"/>
      <c r="MRD1514" s="879"/>
      <c r="MRE1514" s="879"/>
      <c r="MRF1514" s="879"/>
      <c r="MRG1514" s="879"/>
      <c r="MRH1514" s="879"/>
      <c r="MRI1514" s="879"/>
      <c r="MRJ1514" s="879"/>
      <c r="MRK1514" s="879"/>
      <c r="MRL1514" s="879"/>
      <c r="MRM1514" s="879"/>
      <c r="MRN1514" s="879"/>
      <c r="MRO1514" s="879"/>
      <c r="MRP1514" s="879"/>
      <c r="MRQ1514" s="879"/>
      <c r="MRR1514" s="879"/>
      <c r="MRS1514" s="879"/>
      <c r="MRT1514" s="879"/>
      <c r="MRU1514" s="879"/>
      <c r="MRV1514" s="879"/>
      <c r="MRW1514" s="879"/>
      <c r="MRX1514" s="879"/>
      <c r="MRY1514" s="879"/>
      <c r="MRZ1514" s="879"/>
      <c r="MSA1514" s="879"/>
      <c r="MSB1514" s="879"/>
      <c r="MSC1514" s="879"/>
      <c r="MSD1514" s="879"/>
      <c r="MSE1514" s="879"/>
      <c r="MSF1514" s="879"/>
      <c r="MSG1514" s="879"/>
      <c r="MSH1514" s="879"/>
      <c r="MSI1514" s="879"/>
      <c r="MSJ1514" s="879"/>
      <c r="MSK1514" s="879"/>
      <c r="MSL1514" s="879"/>
      <c r="MSM1514" s="879"/>
      <c r="MSN1514" s="879"/>
      <c r="MSO1514" s="879"/>
      <c r="MSP1514" s="879"/>
      <c r="MSQ1514" s="879"/>
      <c r="MSR1514" s="879"/>
      <c r="MSS1514" s="879"/>
      <c r="MST1514" s="879"/>
      <c r="MSU1514" s="879"/>
      <c r="MSV1514" s="879"/>
      <c r="MSW1514" s="879"/>
      <c r="MSX1514" s="879"/>
      <c r="MSY1514" s="879"/>
      <c r="MSZ1514" s="879"/>
      <c r="MTA1514" s="879"/>
      <c r="MTB1514" s="879"/>
      <c r="MTC1514" s="879"/>
      <c r="MTD1514" s="879"/>
      <c r="MTE1514" s="879"/>
      <c r="MTF1514" s="879"/>
      <c r="MTG1514" s="879"/>
      <c r="MTH1514" s="879"/>
      <c r="MTI1514" s="879"/>
      <c r="MTJ1514" s="879"/>
      <c r="MTK1514" s="879"/>
      <c r="MTL1514" s="879"/>
      <c r="MTM1514" s="879"/>
      <c r="MTN1514" s="879"/>
      <c r="MTO1514" s="879"/>
      <c r="MTP1514" s="879"/>
      <c r="MTQ1514" s="879"/>
      <c r="MTR1514" s="879"/>
      <c r="MTS1514" s="879"/>
      <c r="MTT1514" s="879"/>
      <c r="MTU1514" s="879"/>
      <c r="MTV1514" s="879"/>
      <c r="MTW1514" s="879"/>
      <c r="MTX1514" s="879"/>
      <c r="MTY1514" s="879"/>
      <c r="MTZ1514" s="879"/>
      <c r="MUA1514" s="879"/>
      <c r="MUB1514" s="879"/>
      <c r="MUC1514" s="879"/>
      <c r="MUD1514" s="879"/>
      <c r="MUE1514" s="879"/>
      <c r="MUF1514" s="879"/>
      <c r="MUG1514" s="879"/>
      <c r="MUH1514" s="879"/>
      <c r="MUI1514" s="879"/>
      <c r="MUJ1514" s="879"/>
      <c r="MUK1514" s="879"/>
      <c r="MUL1514" s="879"/>
      <c r="MUM1514" s="879"/>
      <c r="MUN1514" s="879"/>
      <c r="MUO1514" s="879"/>
      <c r="MUP1514" s="879"/>
      <c r="MUQ1514" s="879"/>
      <c r="MUR1514" s="879"/>
      <c r="MUS1514" s="879"/>
      <c r="MUT1514" s="879"/>
      <c r="MUU1514" s="879"/>
      <c r="MUV1514" s="879"/>
      <c r="MUW1514" s="879"/>
      <c r="MUX1514" s="879"/>
      <c r="MUY1514" s="879"/>
      <c r="MUZ1514" s="879"/>
      <c r="MVA1514" s="879"/>
      <c r="MVB1514" s="879"/>
      <c r="MVC1514" s="879"/>
      <c r="MVD1514" s="879"/>
      <c r="MVE1514" s="879"/>
      <c r="MVF1514" s="879"/>
      <c r="MVG1514" s="879"/>
      <c r="MVH1514" s="879"/>
      <c r="MVI1514" s="879"/>
      <c r="MVJ1514" s="879"/>
      <c r="MVK1514" s="879"/>
      <c r="MVL1514" s="879"/>
      <c r="MVM1514" s="879"/>
      <c r="MVN1514" s="879"/>
      <c r="MVO1514" s="879"/>
      <c r="MVP1514" s="879"/>
      <c r="MVQ1514" s="879"/>
      <c r="MVR1514" s="879"/>
      <c r="MVS1514" s="879"/>
      <c r="MVT1514" s="879"/>
      <c r="MVU1514" s="879"/>
      <c r="MVV1514" s="879"/>
      <c r="MVW1514" s="879"/>
      <c r="MVX1514" s="879"/>
      <c r="MVY1514" s="879"/>
      <c r="MVZ1514" s="879"/>
      <c r="MWA1514" s="879"/>
      <c r="MWB1514" s="879"/>
      <c r="MWC1514" s="879"/>
      <c r="MWD1514" s="879"/>
      <c r="MWE1514" s="879"/>
      <c r="MWF1514" s="879"/>
      <c r="MWG1514" s="879"/>
      <c r="MWH1514" s="879"/>
      <c r="MWI1514" s="879"/>
      <c r="MWJ1514" s="879"/>
      <c r="MWK1514" s="879"/>
      <c r="MWL1514" s="879"/>
      <c r="MWM1514" s="879"/>
      <c r="MWN1514" s="879"/>
      <c r="MWO1514" s="879"/>
      <c r="MWP1514" s="879"/>
      <c r="MWQ1514" s="879"/>
      <c r="MWR1514" s="879"/>
      <c r="MWS1514" s="879"/>
      <c r="MWT1514" s="879"/>
      <c r="MWU1514" s="879"/>
      <c r="MWV1514" s="879"/>
      <c r="MWW1514" s="879"/>
      <c r="MWX1514" s="879"/>
      <c r="MWY1514" s="879"/>
      <c r="MWZ1514" s="879"/>
      <c r="MXA1514" s="879"/>
      <c r="MXB1514" s="879"/>
      <c r="MXC1514" s="879"/>
      <c r="MXD1514" s="879"/>
      <c r="MXE1514" s="879"/>
      <c r="MXF1514" s="879"/>
      <c r="MXG1514" s="879"/>
      <c r="MXH1514" s="879"/>
      <c r="MXI1514" s="879"/>
      <c r="MXJ1514" s="879"/>
      <c r="MXK1514" s="879"/>
      <c r="MXL1514" s="879"/>
      <c r="MXM1514" s="879"/>
      <c r="MXN1514" s="879"/>
      <c r="MXO1514" s="879"/>
      <c r="MXP1514" s="879"/>
      <c r="MXQ1514" s="879"/>
      <c r="MXR1514" s="879"/>
      <c r="MXS1514" s="879"/>
      <c r="MXT1514" s="879"/>
      <c r="MXU1514" s="879"/>
      <c r="MXV1514" s="879"/>
      <c r="MXW1514" s="879"/>
      <c r="MXX1514" s="879"/>
      <c r="MXY1514" s="879"/>
      <c r="MXZ1514" s="879"/>
      <c r="MYA1514" s="879"/>
      <c r="MYB1514" s="879"/>
      <c r="MYC1514" s="879"/>
      <c r="MYD1514" s="879"/>
      <c r="MYE1514" s="879"/>
      <c r="MYF1514" s="879"/>
      <c r="MYG1514" s="879"/>
      <c r="MYH1514" s="879"/>
      <c r="MYI1514" s="879"/>
      <c r="MYJ1514" s="879"/>
      <c r="MYK1514" s="879"/>
      <c r="MYL1514" s="879"/>
      <c r="MYM1514" s="879"/>
      <c r="MYN1514" s="879"/>
      <c r="MYO1514" s="879"/>
      <c r="MYP1514" s="879"/>
      <c r="MYQ1514" s="879"/>
      <c r="MYR1514" s="879"/>
      <c r="MYS1514" s="879"/>
      <c r="MYT1514" s="879"/>
      <c r="MYU1514" s="879"/>
      <c r="MYV1514" s="879"/>
      <c r="MYW1514" s="879"/>
      <c r="MYX1514" s="879"/>
      <c r="MYY1514" s="879"/>
      <c r="MYZ1514" s="879"/>
      <c r="MZA1514" s="879"/>
      <c r="MZB1514" s="879"/>
      <c r="MZC1514" s="879"/>
      <c r="MZD1514" s="879"/>
      <c r="MZE1514" s="879"/>
      <c r="MZF1514" s="879"/>
      <c r="MZG1514" s="879"/>
      <c r="MZH1514" s="879"/>
      <c r="MZI1514" s="879"/>
      <c r="MZJ1514" s="879"/>
      <c r="MZK1514" s="879"/>
      <c r="MZL1514" s="879"/>
      <c r="MZM1514" s="879"/>
      <c r="MZN1514" s="879"/>
      <c r="MZO1514" s="879"/>
      <c r="MZP1514" s="879"/>
      <c r="MZQ1514" s="879"/>
      <c r="MZR1514" s="879"/>
      <c r="MZS1514" s="879"/>
      <c r="MZT1514" s="879"/>
      <c r="MZU1514" s="879"/>
      <c r="MZV1514" s="879"/>
      <c r="MZW1514" s="879"/>
      <c r="MZX1514" s="879"/>
      <c r="MZY1514" s="879"/>
      <c r="MZZ1514" s="879"/>
      <c r="NAA1514" s="879"/>
      <c r="NAB1514" s="879"/>
      <c r="NAC1514" s="879"/>
      <c r="NAD1514" s="879"/>
      <c r="NAE1514" s="879"/>
      <c r="NAF1514" s="879"/>
      <c r="NAG1514" s="879"/>
      <c r="NAH1514" s="879"/>
      <c r="NAI1514" s="879"/>
      <c r="NAJ1514" s="879"/>
      <c r="NAK1514" s="879"/>
      <c r="NAL1514" s="879"/>
      <c r="NAM1514" s="879"/>
      <c r="NAN1514" s="879"/>
      <c r="NAO1514" s="879"/>
      <c r="NAP1514" s="879"/>
      <c r="NAQ1514" s="879"/>
      <c r="NAR1514" s="879"/>
      <c r="NAS1514" s="879"/>
      <c r="NAT1514" s="879"/>
      <c r="NAU1514" s="879"/>
      <c r="NAV1514" s="879"/>
      <c r="NAW1514" s="879"/>
      <c r="NAX1514" s="879"/>
      <c r="NAY1514" s="879"/>
      <c r="NAZ1514" s="879"/>
      <c r="NBA1514" s="879"/>
      <c r="NBB1514" s="879"/>
      <c r="NBC1514" s="879"/>
      <c r="NBD1514" s="879"/>
      <c r="NBE1514" s="879"/>
      <c r="NBF1514" s="879"/>
      <c r="NBG1514" s="879"/>
      <c r="NBH1514" s="879"/>
      <c r="NBI1514" s="879"/>
      <c r="NBJ1514" s="879"/>
      <c r="NBK1514" s="879"/>
      <c r="NBL1514" s="879"/>
      <c r="NBM1514" s="879"/>
      <c r="NBN1514" s="879"/>
      <c r="NBO1514" s="879"/>
      <c r="NBP1514" s="879"/>
      <c r="NBQ1514" s="879"/>
      <c r="NBR1514" s="879"/>
      <c r="NBS1514" s="879"/>
      <c r="NBT1514" s="879"/>
      <c r="NBU1514" s="879"/>
      <c r="NBV1514" s="879"/>
      <c r="NBW1514" s="879"/>
      <c r="NBX1514" s="879"/>
      <c r="NBY1514" s="879"/>
      <c r="NBZ1514" s="879"/>
      <c r="NCA1514" s="879"/>
      <c r="NCB1514" s="879"/>
      <c r="NCC1514" s="879"/>
      <c r="NCD1514" s="879"/>
      <c r="NCE1514" s="879"/>
      <c r="NCF1514" s="879"/>
      <c r="NCG1514" s="879"/>
      <c r="NCH1514" s="879"/>
      <c r="NCI1514" s="879"/>
      <c r="NCJ1514" s="879"/>
      <c r="NCK1514" s="879"/>
      <c r="NCL1514" s="879"/>
      <c r="NCM1514" s="879"/>
      <c r="NCN1514" s="879"/>
      <c r="NCO1514" s="879"/>
      <c r="NCP1514" s="879"/>
      <c r="NCQ1514" s="879"/>
      <c r="NCR1514" s="879"/>
      <c r="NCS1514" s="879"/>
      <c r="NCT1514" s="879"/>
      <c r="NCU1514" s="879"/>
      <c r="NCV1514" s="879"/>
      <c r="NCW1514" s="879"/>
      <c r="NCX1514" s="879"/>
      <c r="NCY1514" s="879"/>
      <c r="NCZ1514" s="879"/>
      <c r="NDA1514" s="879"/>
      <c r="NDB1514" s="879"/>
      <c r="NDC1514" s="879"/>
      <c r="NDD1514" s="879"/>
      <c r="NDE1514" s="879"/>
      <c r="NDF1514" s="879"/>
      <c r="NDG1514" s="879"/>
      <c r="NDH1514" s="879"/>
      <c r="NDI1514" s="879"/>
      <c r="NDJ1514" s="879"/>
      <c r="NDK1514" s="879"/>
      <c r="NDL1514" s="879"/>
      <c r="NDM1514" s="879"/>
      <c r="NDN1514" s="879"/>
      <c r="NDO1514" s="879"/>
      <c r="NDP1514" s="879"/>
      <c r="NDQ1514" s="879"/>
      <c r="NDR1514" s="879"/>
      <c r="NDS1514" s="879"/>
      <c r="NDT1514" s="879"/>
      <c r="NDU1514" s="879"/>
      <c r="NDV1514" s="879"/>
      <c r="NDW1514" s="879"/>
      <c r="NDX1514" s="879"/>
      <c r="NDY1514" s="879"/>
      <c r="NDZ1514" s="879"/>
      <c r="NEA1514" s="879"/>
      <c r="NEB1514" s="879"/>
      <c r="NEC1514" s="879"/>
      <c r="NED1514" s="879"/>
      <c r="NEE1514" s="879"/>
      <c r="NEF1514" s="879"/>
      <c r="NEG1514" s="879"/>
      <c r="NEH1514" s="879"/>
      <c r="NEI1514" s="879"/>
      <c r="NEJ1514" s="879"/>
      <c r="NEK1514" s="879"/>
      <c r="NEL1514" s="879"/>
      <c r="NEM1514" s="879"/>
      <c r="NEN1514" s="879"/>
      <c r="NEO1514" s="879"/>
      <c r="NEP1514" s="879"/>
      <c r="NEQ1514" s="879"/>
      <c r="NER1514" s="879"/>
      <c r="NES1514" s="879"/>
      <c r="NET1514" s="879"/>
      <c r="NEU1514" s="879"/>
      <c r="NEV1514" s="879"/>
      <c r="NEW1514" s="879"/>
      <c r="NEX1514" s="879"/>
      <c r="NEY1514" s="879"/>
      <c r="NEZ1514" s="879"/>
      <c r="NFA1514" s="879"/>
      <c r="NFB1514" s="879"/>
      <c r="NFC1514" s="879"/>
      <c r="NFD1514" s="879"/>
      <c r="NFE1514" s="879"/>
      <c r="NFF1514" s="879"/>
      <c r="NFG1514" s="879"/>
      <c r="NFH1514" s="879"/>
      <c r="NFI1514" s="879"/>
      <c r="NFJ1514" s="879"/>
      <c r="NFK1514" s="879"/>
      <c r="NFL1514" s="879"/>
      <c r="NFM1514" s="879"/>
      <c r="NFN1514" s="879"/>
      <c r="NFO1514" s="879"/>
      <c r="NFP1514" s="879"/>
      <c r="NFQ1514" s="879"/>
      <c r="NFR1514" s="879"/>
      <c r="NFS1514" s="879"/>
      <c r="NFT1514" s="879"/>
      <c r="NFU1514" s="879"/>
      <c r="NFV1514" s="879"/>
      <c r="NFW1514" s="879"/>
      <c r="NFX1514" s="879"/>
      <c r="NFY1514" s="879"/>
      <c r="NFZ1514" s="879"/>
      <c r="NGA1514" s="879"/>
      <c r="NGB1514" s="879"/>
      <c r="NGC1514" s="879"/>
      <c r="NGD1514" s="879"/>
      <c r="NGE1514" s="879"/>
      <c r="NGF1514" s="879"/>
      <c r="NGG1514" s="879"/>
      <c r="NGH1514" s="879"/>
      <c r="NGI1514" s="879"/>
      <c r="NGJ1514" s="879"/>
      <c r="NGK1514" s="879"/>
      <c r="NGL1514" s="879"/>
      <c r="NGM1514" s="879"/>
      <c r="NGN1514" s="879"/>
      <c r="NGO1514" s="879"/>
      <c r="NGP1514" s="879"/>
      <c r="NGQ1514" s="879"/>
      <c r="NGR1514" s="879"/>
      <c r="NGS1514" s="879"/>
      <c r="NGT1514" s="879"/>
      <c r="NGU1514" s="879"/>
      <c r="NGV1514" s="879"/>
      <c r="NGW1514" s="879"/>
      <c r="NGX1514" s="879"/>
      <c r="NGY1514" s="879"/>
      <c r="NGZ1514" s="879"/>
      <c r="NHA1514" s="879"/>
      <c r="NHB1514" s="879"/>
      <c r="NHC1514" s="879"/>
      <c r="NHD1514" s="879"/>
      <c r="NHE1514" s="879"/>
      <c r="NHF1514" s="879"/>
      <c r="NHG1514" s="879"/>
      <c r="NHH1514" s="879"/>
      <c r="NHI1514" s="879"/>
      <c r="NHJ1514" s="879"/>
      <c r="NHK1514" s="879"/>
      <c r="NHL1514" s="879"/>
      <c r="NHM1514" s="879"/>
      <c r="NHN1514" s="879"/>
      <c r="NHO1514" s="879"/>
      <c r="NHP1514" s="879"/>
      <c r="NHQ1514" s="879"/>
      <c r="NHR1514" s="879"/>
      <c r="NHS1514" s="879"/>
      <c r="NHT1514" s="879"/>
      <c r="NHU1514" s="879"/>
      <c r="NHV1514" s="879"/>
      <c r="NHW1514" s="879"/>
      <c r="NHX1514" s="879"/>
      <c r="NHY1514" s="879"/>
      <c r="NHZ1514" s="879"/>
      <c r="NIA1514" s="879"/>
      <c r="NIB1514" s="879"/>
      <c r="NIC1514" s="879"/>
      <c r="NID1514" s="879"/>
      <c r="NIE1514" s="879"/>
      <c r="NIF1514" s="879"/>
      <c r="NIG1514" s="879"/>
      <c r="NIH1514" s="879"/>
      <c r="NII1514" s="879"/>
      <c r="NIJ1514" s="879"/>
      <c r="NIK1514" s="879"/>
      <c r="NIL1514" s="879"/>
      <c r="NIM1514" s="879"/>
      <c r="NIN1514" s="879"/>
      <c r="NIO1514" s="879"/>
      <c r="NIP1514" s="879"/>
      <c r="NIQ1514" s="879"/>
      <c r="NIR1514" s="879"/>
      <c r="NIS1514" s="879"/>
      <c r="NIT1514" s="879"/>
      <c r="NIU1514" s="879"/>
      <c r="NIV1514" s="879"/>
      <c r="NIW1514" s="879"/>
      <c r="NIX1514" s="879"/>
      <c r="NIY1514" s="879"/>
      <c r="NIZ1514" s="879"/>
      <c r="NJA1514" s="879"/>
      <c r="NJB1514" s="879"/>
      <c r="NJC1514" s="879"/>
      <c r="NJD1514" s="879"/>
      <c r="NJE1514" s="879"/>
      <c r="NJF1514" s="879"/>
      <c r="NJG1514" s="879"/>
      <c r="NJH1514" s="879"/>
      <c r="NJI1514" s="879"/>
      <c r="NJJ1514" s="879"/>
      <c r="NJK1514" s="879"/>
      <c r="NJL1514" s="879"/>
      <c r="NJM1514" s="879"/>
      <c r="NJN1514" s="879"/>
      <c r="NJO1514" s="879"/>
      <c r="NJP1514" s="879"/>
      <c r="NJQ1514" s="879"/>
      <c r="NJR1514" s="879"/>
      <c r="NJS1514" s="879"/>
      <c r="NJT1514" s="879"/>
      <c r="NJU1514" s="879"/>
      <c r="NJV1514" s="879"/>
      <c r="NJW1514" s="879"/>
      <c r="NJX1514" s="879"/>
      <c r="NJY1514" s="879"/>
      <c r="NJZ1514" s="879"/>
      <c r="NKA1514" s="879"/>
      <c r="NKB1514" s="879"/>
      <c r="NKC1514" s="879"/>
      <c r="NKD1514" s="879"/>
      <c r="NKE1514" s="879"/>
      <c r="NKF1514" s="879"/>
      <c r="NKG1514" s="879"/>
      <c r="NKH1514" s="879"/>
      <c r="NKI1514" s="879"/>
      <c r="NKJ1514" s="879"/>
      <c r="NKK1514" s="879"/>
      <c r="NKL1514" s="879"/>
      <c r="NKM1514" s="879"/>
      <c r="NKN1514" s="879"/>
      <c r="NKO1514" s="879"/>
      <c r="NKP1514" s="879"/>
      <c r="NKQ1514" s="879"/>
      <c r="NKR1514" s="879"/>
      <c r="NKS1514" s="879"/>
      <c r="NKT1514" s="879"/>
      <c r="NKU1514" s="879"/>
      <c r="NKV1514" s="879"/>
      <c r="NKW1514" s="879"/>
      <c r="NKX1514" s="879"/>
      <c r="NKY1514" s="879"/>
      <c r="NKZ1514" s="879"/>
      <c r="NLA1514" s="879"/>
      <c r="NLB1514" s="879"/>
      <c r="NLC1514" s="879"/>
      <c r="NLD1514" s="879"/>
      <c r="NLE1514" s="879"/>
      <c r="NLF1514" s="879"/>
      <c r="NLG1514" s="879"/>
      <c r="NLH1514" s="879"/>
      <c r="NLI1514" s="879"/>
      <c r="NLJ1514" s="879"/>
      <c r="NLK1514" s="879"/>
      <c r="NLL1514" s="879"/>
      <c r="NLM1514" s="879"/>
      <c r="NLN1514" s="879"/>
      <c r="NLO1514" s="879"/>
      <c r="NLP1514" s="879"/>
      <c r="NLQ1514" s="879"/>
      <c r="NLR1514" s="879"/>
      <c r="NLS1514" s="879"/>
      <c r="NLT1514" s="879"/>
      <c r="NLU1514" s="879"/>
      <c r="NLV1514" s="879"/>
      <c r="NLW1514" s="879"/>
      <c r="NLX1514" s="879"/>
      <c r="NLY1514" s="879"/>
      <c r="NLZ1514" s="879"/>
      <c r="NMA1514" s="879"/>
      <c r="NMB1514" s="879"/>
      <c r="NMC1514" s="879"/>
      <c r="NMD1514" s="879"/>
      <c r="NME1514" s="879"/>
      <c r="NMF1514" s="879"/>
      <c r="NMG1514" s="879"/>
      <c r="NMH1514" s="879"/>
      <c r="NMI1514" s="879"/>
      <c r="NMJ1514" s="879"/>
      <c r="NMK1514" s="879"/>
      <c r="NML1514" s="879"/>
      <c r="NMM1514" s="879"/>
      <c r="NMN1514" s="879"/>
      <c r="NMO1514" s="879"/>
      <c r="NMP1514" s="879"/>
      <c r="NMQ1514" s="879"/>
      <c r="NMR1514" s="879"/>
      <c r="NMS1514" s="879"/>
      <c r="NMT1514" s="879"/>
      <c r="NMU1514" s="879"/>
      <c r="NMV1514" s="879"/>
      <c r="NMW1514" s="879"/>
      <c r="NMX1514" s="879"/>
      <c r="NMY1514" s="879"/>
      <c r="NMZ1514" s="879"/>
      <c r="NNA1514" s="879"/>
      <c r="NNB1514" s="879"/>
      <c r="NNC1514" s="879"/>
      <c r="NND1514" s="879"/>
      <c r="NNE1514" s="879"/>
      <c r="NNF1514" s="879"/>
      <c r="NNG1514" s="879"/>
      <c r="NNH1514" s="879"/>
      <c r="NNI1514" s="879"/>
      <c r="NNJ1514" s="879"/>
      <c r="NNK1514" s="879"/>
      <c r="NNL1514" s="879"/>
      <c r="NNM1514" s="879"/>
      <c r="NNN1514" s="879"/>
      <c r="NNO1514" s="879"/>
      <c r="NNP1514" s="879"/>
      <c r="NNQ1514" s="879"/>
      <c r="NNR1514" s="879"/>
      <c r="NNS1514" s="879"/>
      <c r="NNT1514" s="879"/>
      <c r="NNU1514" s="879"/>
      <c r="NNV1514" s="879"/>
      <c r="NNW1514" s="879"/>
      <c r="NNX1514" s="879"/>
      <c r="NNY1514" s="879"/>
      <c r="NNZ1514" s="879"/>
      <c r="NOA1514" s="879"/>
      <c r="NOB1514" s="879"/>
      <c r="NOC1514" s="879"/>
      <c r="NOD1514" s="879"/>
      <c r="NOE1514" s="879"/>
      <c r="NOF1514" s="879"/>
      <c r="NOG1514" s="879"/>
      <c r="NOH1514" s="879"/>
      <c r="NOI1514" s="879"/>
      <c r="NOJ1514" s="879"/>
      <c r="NOK1514" s="879"/>
      <c r="NOL1514" s="879"/>
      <c r="NOM1514" s="879"/>
      <c r="NON1514" s="879"/>
      <c r="NOO1514" s="879"/>
      <c r="NOP1514" s="879"/>
      <c r="NOQ1514" s="879"/>
      <c r="NOR1514" s="879"/>
      <c r="NOS1514" s="879"/>
      <c r="NOT1514" s="879"/>
      <c r="NOU1514" s="879"/>
      <c r="NOV1514" s="879"/>
      <c r="NOW1514" s="879"/>
      <c r="NOX1514" s="879"/>
      <c r="NOY1514" s="879"/>
      <c r="NOZ1514" s="879"/>
      <c r="NPA1514" s="879"/>
      <c r="NPB1514" s="879"/>
      <c r="NPC1514" s="879"/>
      <c r="NPD1514" s="879"/>
      <c r="NPE1514" s="879"/>
      <c r="NPF1514" s="879"/>
      <c r="NPG1514" s="879"/>
      <c r="NPH1514" s="879"/>
      <c r="NPI1514" s="879"/>
      <c r="NPJ1514" s="879"/>
      <c r="NPK1514" s="879"/>
      <c r="NPL1514" s="879"/>
      <c r="NPM1514" s="879"/>
      <c r="NPN1514" s="879"/>
      <c r="NPO1514" s="879"/>
      <c r="NPP1514" s="879"/>
      <c r="NPQ1514" s="879"/>
      <c r="NPR1514" s="879"/>
      <c r="NPS1514" s="879"/>
      <c r="NPT1514" s="879"/>
      <c r="NPU1514" s="879"/>
      <c r="NPV1514" s="879"/>
      <c r="NPW1514" s="879"/>
      <c r="NPX1514" s="879"/>
      <c r="NPY1514" s="879"/>
      <c r="NPZ1514" s="879"/>
      <c r="NQA1514" s="879"/>
      <c r="NQB1514" s="879"/>
      <c r="NQC1514" s="879"/>
      <c r="NQD1514" s="879"/>
      <c r="NQE1514" s="879"/>
      <c r="NQF1514" s="879"/>
      <c r="NQG1514" s="879"/>
      <c r="NQH1514" s="879"/>
      <c r="NQI1514" s="879"/>
      <c r="NQJ1514" s="879"/>
      <c r="NQK1514" s="879"/>
      <c r="NQL1514" s="879"/>
      <c r="NQM1514" s="879"/>
      <c r="NQN1514" s="879"/>
      <c r="NQO1514" s="879"/>
      <c r="NQP1514" s="879"/>
      <c r="NQQ1514" s="879"/>
      <c r="NQR1514" s="879"/>
      <c r="NQS1514" s="879"/>
      <c r="NQT1514" s="879"/>
      <c r="NQU1514" s="879"/>
      <c r="NQV1514" s="879"/>
      <c r="NQW1514" s="879"/>
      <c r="NQX1514" s="879"/>
      <c r="NQY1514" s="879"/>
      <c r="NQZ1514" s="879"/>
      <c r="NRA1514" s="879"/>
      <c r="NRB1514" s="879"/>
      <c r="NRC1514" s="879"/>
      <c r="NRD1514" s="879"/>
      <c r="NRE1514" s="879"/>
      <c r="NRF1514" s="879"/>
      <c r="NRG1514" s="879"/>
      <c r="NRH1514" s="879"/>
      <c r="NRI1514" s="879"/>
      <c r="NRJ1514" s="879"/>
      <c r="NRK1514" s="879"/>
      <c r="NRL1514" s="879"/>
      <c r="NRM1514" s="879"/>
      <c r="NRN1514" s="879"/>
      <c r="NRO1514" s="879"/>
      <c r="NRP1514" s="879"/>
      <c r="NRQ1514" s="879"/>
      <c r="NRR1514" s="879"/>
      <c r="NRS1514" s="879"/>
      <c r="NRT1514" s="879"/>
      <c r="NRU1514" s="879"/>
      <c r="NRV1514" s="879"/>
      <c r="NRW1514" s="879"/>
      <c r="NRX1514" s="879"/>
      <c r="NRY1514" s="879"/>
      <c r="NRZ1514" s="879"/>
      <c r="NSA1514" s="879"/>
      <c r="NSB1514" s="879"/>
      <c r="NSC1514" s="879"/>
      <c r="NSD1514" s="879"/>
      <c r="NSE1514" s="879"/>
      <c r="NSF1514" s="879"/>
      <c r="NSG1514" s="879"/>
      <c r="NSH1514" s="879"/>
      <c r="NSI1514" s="879"/>
      <c r="NSJ1514" s="879"/>
      <c r="NSK1514" s="879"/>
      <c r="NSL1514" s="879"/>
      <c r="NSM1514" s="879"/>
      <c r="NSN1514" s="879"/>
      <c r="NSO1514" s="879"/>
      <c r="NSP1514" s="879"/>
      <c r="NSQ1514" s="879"/>
      <c r="NSR1514" s="879"/>
      <c r="NSS1514" s="879"/>
      <c r="NST1514" s="879"/>
      <c r="NSU1514" s="879"/>
      <c r="NSV1514" s="879"/>
      <c r="NSW1514" s="879"/>
      <c r="NSX1514" s="879"/>
      <c r="NSY1514" s="879"/>
      <c r="NSZ1514" s="879"/>
      <c r="NTA1514" s="879"/>
      <c r="NTB1514" s="879"/>
      <c r="NTC1514" s="879"/>
      <c r="NTD1514" s="879"/>
      <c r="NTE1514" s="879"/>
      <c r="NTF1514" s="879"/>
      <c r="NTG1514" s="879"/>
      <c r="NTH1514" s="879"/>
      <c r="NTI1514" s="879"/>
      <c r="NTJ1514" s="879"/>
      <c r="NTK1514" s="879"/>
      <c r="NTL1514" s="879"/>
      <c r="NTM1514" s="879"/>
      <c r="NTN1514" s="879"/>
      <c r="NTO1514" s="879"/>
      <c r="NTP1514" s="879"/>
      <c r="NTQ1514" s="879"/>
      <c r="NTR1514" s="879"/>
      <c r="NTS1514" s="879"/>
      <c r="NTT1514" s="879"/>
      <c r="NTU1514" s="879"/>
      <c r="NTV1514" s="879"/>
      <c r="NTW1514" s="879"/>
      <c r="NTX1514" s="879"/>
      <c r="NTY1514" s="879"/>
      <c r="NTZ1514" s="879"/>
      <c r="NUA1514" s="879"/>
      <c r="NUB1514" s="879"/>
      <c r="NUC1514" s="879"/>
      <c r="NUD1514" s="879"/>
      <c r="NUE1514" s="879"/>
      <c r="NUF1514" s="879"/>
      <c r="NUG1514" s="879"/>
      <c r="NUH1514" s="879"/>
      <c r="NUI1514" s="879"/>
      <c r="NUJ1514" s="879"/>
      <c r="NUK1514" s="879"/>
      <c r="NUL1514" s="879"/>
      <c r="NUM1514" s="879"/>
      <c r="NUN1514" s="879"/>
      <c r="NUO1514" s="879"/>
      <c r="NUP1514" s="879"/>
      <c r="NUQ1514" s="879"/>
      <c r="NUR1514" s="879"/>
      <c r="NUS1514" s="879"/>
      <c r="NUT1514" s="879"/>
      <c r="NUU1514" s="879"/>
      <c r="NUV1514" s="879"/>
      <c r="NUW1514" s="879"/>
      <c r="NUX1514" s="879"/>
      <c r="NUY1514" s="879"/>
      <c r="NUZ1514" s="879"/>
      <c r="NVA1514" s="879"/>
      <c r="NVB1514" s="879"/>
      <c r="NVC1514" s="879"/>
      <c r="NVD1514" s="879"/>
      <c r="NVE1514" s="879"/>
      <c r="NVF1514" s="879"/>
      <c r="NVG1514" s="879"/>
      <c r="NVH1514" s="879"/>
      <c r="NVI1514" s="879"/>
      <c r="NVJ1514" s="879"/>
      <c r="NVK1514" s="879"/>
      <c r="NVL1514" s="879"/>
      <c r="NVM1514" s="879"/>
      <c r="NVN1514" s="879"/>
      <c r="NVO1514" s="879"/>
      <c r="NVP1514" s="879"/>
      <c r="NVQ1514" s="879"/>
      <c r="NVR1514" s="879"/>
      <c r="NVS1514" s="879"/>
      <c r="NVT1514" s="879"/>
      <c r="NVU1514" s="879"/>
      <c r="NVV1514" s="879"/>
      <c r="NVW1514" s="879"/>
      <c r="NVX1514" s="879"/>
      <c r="NVY1514" s="879"/>
      <c r="NVZ1514" s="879"/>
      <c r="NWA1514" s="879"/>
      <c r="NWB1514" s="879"/>
      <c r="NWC1514" s="879"/>
      <c r="NWD1514" s="879"/>
      <c r="NWE1514" s="879"/>
      <c r="NWF1514" s="879"/>
      <c r="NWG1514" s="879"/>
      <c r="NWH1514" s="879"/>
      <c r="NWI1514" s="879"/>
      <c r="NWJ1514" s="879"/>
      <c r="NWK1514" s="879"/>
      <c r="NWL1514" s="879"/>
      <c r="NWM1514" s="879"/>
      <c r="NWN1514" s="879"/>
      <c r="NWO1514" s="879"/>
      <c r="NWP1514" s="879"/>
      <c r="NWQ1514" s="879"/>
      <c r="NWR1514" s="879"/>
      <c r="NWS1514" s="879"/>
      <c r="NWT1514" s="879"/>
      <c r="NWU1514" s="879"/>
      <c r="NWV1514" s="879"/>
      <c r="NWW1514" s="879"/>
      <c r="NWX1514" s="879"/>
      <c r="NWY1514" s="879"/>
      <c r="NWZ1514" s="879"/>
      <c r="NXA1514" s="879"/>
      <c r="NXB1514" s="879"/>
      <c r="NXC1514" s="879"/>
      <c r="NXD1514" s="879"/>
      <c r="NXE1514" s="879"/>
      <c r="NXF1514" s="879"/>
      <c r="NXG1514" s="879"/>
      <c r="NXH1514" s="879"/>
      <c r="NXI1514" s="879"/>
      <c r="NXJ1514" s="879"/>
      <c r="NXK1514" s="879"/>
      <c r="NXL1514" s="879"/>
      <c r="NXM1514" s="879"/>
      <c r="NXN1514" s="879"/>
      <c r="NXO1514" s="879"/>
      <c r="NXP1514" s="879"/>
      <c r="NXQ1514" s="879"/>
      <c r="NXR1514" s="879"/>
      <c r="NXS1514" s="879"/>
      <c r="NXT1514" s="879"/>
      <c r="NXU1514" s="879"/>
      <c r="NXV1514" s="879"/>
      <c r="NXW1514" s="879"/>
      <c r="NXX1514" s="879"/>
      <c r="NXY1514" s="879"/>
      <c r="NXZ1514" s="879"/>
      <c r="NYA1514" s="879"/>
      <c r="NYB1514" s="879"/>
      <c r="NYC1514" s="879"/>
      <c r="NYD1514" s="879"/>
      <c r="NYE1514" s="879"/>
      <c r="NYF1514" s="879"/>
      <c r="NYG1514" s="879"/>
      <c r="NYH1514" s="879"/>
      <c r="NYI1514" s="879"/>
      <c r="NYJ1514" s="879"/>
      <c r="NYK1514" s="879"/>
      <c r="NYL1514" s="879"/>
      <c r="NYM1514" s="879"/>
      <c r="NYN1514" s="879"/>
      <c r="NYO1514" s="879"/>
      <c r="NYP1514" s="879"/>
      <c r="NYQ1514" s="879"/>
      <c r="NYR1514" s="879"/>
      <c r="NYS1514" s="879"/>
      <c r="NYT1514" s="879"/>
      <c r="NYU1514" s="879"/>
      <c r="NYV1514" s="879"/>
      <c r="NYW1514" s="879"/>
      <c r="NYX1514" s="879"/>
      <c r="NYY1514" s="879"/>
      <c r="NYZ1514" s="879"/>
      <c r="NZA1514" s="879"/>
      <c r="NZB1514" s="879"/>
      <c r="NZC1514" s="879"/>
      <c r="NZD1514" s="879"/>
      <c r="NZE1514" s="879"/>
      <c r="NZF1514" s="879"/>
      <c r="NZG1514" s="879"/>
      <c r="NZH1514" s="879"/>
      <c r="NZI1514" s="879"/>
      <c r="NZJ1514" s="879"/>
      <c r="NZK1514" s="879"/>
      <c r="NZL1514" s="879"/>
      <c r="NZM1514" s="879"/>
      <c r="NZN1514" s="879"/>
      <c r="NZO1514" s="879"/>
      <c r="NZP1514" s="879"/>
      <c r="NZQ1514" s="879"/>
      <c r="NZR1514" s="879"/>
      <c r="NZS1514" s="879"/>
      <c r="NZT1514" s="879"/>
      <c r="NZU1514" s="879"/>
      <c r="NZV1514" s="879"/>
      <c r="NZW1514" s="879"/>
      <c r="NZX1514" s="879"/>
      <c r="NZY1514" s="879"/>
      <c r="NZZ1514" s="879"/>
      <c r="OAA1514" s="879"/>
      <c r="OAB1514" s="879"/>
      <c r="OAC1514" s="879"/>
      <c r="OAD1514" s="879"/>
      <c r="OAE1514" s="879"/>
      <c r="OAF1514" s="879"/>
      <c r="OAG1514" s="879"/>
      <c r="OAH1514" s="879"/>
      <c r="OAI1514" s="879"/>
      <c r="OAJ1514" s="879"/>
      <c r="OAK1514" s="879"/>
      <c r="OAL1514" s="879"/>
      <c r="OAM1514" s="879"/>
      <c r="OAN1514" s="879"/>
      <c r="OAO1514" s="879"/>
      <c r="OAP1514" s="879"/>
      <c r="OAQ1514" s="879"/>
      <c r="OAR1514" s="879"/>
      <c r="OAS1514" s="879"/>
      <c r="OAT1514" s="879"/>
      <c r="OAU1514" s="879"/>
      <c r="OAV1514" s="879"/>
      <c r="OAW1514" s="879"/>
      <c r="OAX1514" s="879"/>
      <c r="OAY1514" s="879"/>
      <c r="OAZ1514" s="879"/>
      <c r="OBA1514" s="879"/>
      <c r="OBB1514" s="879"/>
      <c r="OBC1514" s="879"/>
      <c r="OBD1514" s="879"/>
      <c r="OBE1514" s="879"/>
      <c r="OBF1514" s="879"/>
      <c r="OBG1514" s="879"/>
      <c r="OBH1514" s="879"/>
      <c r="OBI1514" s="879"/>
      <c r="OBJ1514" s="879"/>
      <c r="OBK1514" s="879"/>
      <c r="OBL1514" s="879"/>
      <c r="OBM1514" s="879"/>
      <c r="OBN1514" s="879"/>
      <c r="OBO1514" s="879"/>
      <c r="OBP1514" s="879"/>
      <c r="OBQ1514" s="879"/>
      <c r="OBR1514" s="879"/>
      <c r="OBS1514" s="879"/>
      <c r="OBT1514" s="879"/>
      <c r="OBU1514" s="879"/>
      <c r="OBV1514" s="879"/>
      <c r="OBW1514" s="879"/>
      <c r="OBX1514" s="879"/>
      <c r="OBY1514" s="879"/>
      <c r="OBZ1514" s="879"/>
      <c r="OCA1514" s="879"/>
      <c r="OCB1514" s="879"/>
      <c r="OCC1514" s="879"/>
      <c r="OCD1514" s="879"/>
      <c r="OCE1514" s="879"/>
      <c r="OCF1514" s="879"/>
      <c r="OCG1514" s="879"/>
      <c r="OCH1514" s="879"/>
      <c r="OCI1514" s="879"/>
      <c r="OCJ1514" s="879"/>
      <c r="OCK1514" s="879"/>
      <c r="OCL1514" s="879"/>
      <c r="OCM1514" s="879"/>
      <c r="OCN1514" s="879"/>
      <c r="OCO1514" s="879"/>
      <c r="OCP1514" s="879"/>
      <c r="OCQ1514" s="879"/>
      <c r="OCR1514" s="879"/>
      <c r="OCS1514" s="879"/>
      <c r="OCT1514" s="879"/>
      <c r="OCU1514" s="879"/>
      <c r="OCV1514" s="879"/>
      <c r="OCW1514" s="879"/>
      <c r="OCX1514" s="879"/>
      <c r="OCY1514" s="879"/>
      <c r="OCZ1514" s="879"/>
      <c r="ODA1514" s="879"/>
      <c r="ODB1514" s="879"/>
      <c r="ODC1514" s="879"/>
      <c r="ODD1514" s="879"/>
      <c r="ODE1514" s="879"/>
      <c r="ODF1514" s="879"/>
      <c r="ODG1514" s="879"/>
      <c r="ODH1514" s="879"/>
      <c r="ODI1514" s="879"/>
      <c r="ODJ1514" s="879"/>
      <c r="ODK1514" s="879"/>
      <c r="ODL1514" s="879"/>
      <c r="ODM1514" s="879"/>
      <c r="ODN1514" s="879"/>
      <c r="ODO1514" s="879"/>
      <c r="ODP1514" s="879"/>
      <c r="ODQ1514" s="879"/>
      <c r="ODR1514" s="879"/>
      <c r="ODS1514" s="879"/>
      <c r="ODT1514" s="879"/>
      <c r="ODU1514" s="879"/>
      <c r="ODV1514" s="879"/>
      <c r="ODW1514" s="879"/>
      <c r="ODX1514" s="879"/>
      <c r="ODY1514" s="879"/>
      <c r="ODZ1514" s="879"/>
      <c r="OEA1514" s="879"/>
      <c r="OEB1514" s="879"/>
      <c r="OEC1514" s="879"/>
      <c r="OED1514" s="879"/>
      <c r="OEE1514" s="879"/>
      <c r="OEF1514" s="879"/>
      <c r="OEG1514" s="879"/>
      <c r="OEH1514" s="879"/>
      <c r="OEI1514" s="879"/>
      <c r="OEJ1514" s="879"/>
      <c r="OEK1514" s="879"/>
      <c r="OEL1514" s="879"/>
      <c r="OEM1514" s="879"/>
      <c r="OEN1514" s="879"/>
      <c r="OEO1514" s="879"/>
      <c r="OEP1514" s="879"/>
      <c r="OEQ1514" s="879"/>
      <c r="OER1514" s="879"/>
      <c r="OES1514" s="879"/>
      <c r="OET1514" s="879"/>
      <c r="OEU1514" s="879"/>
      <c r="OEV1514" s="879"/>
      <c r="OEW1514" s="879"/>
      <c r="OEX1514" s="879"/>
      <c r="OEY1514" s="879"/>
      <c r="OEZ1514" s="879"/>
      <c r="OFA1514" s="879"/>
      <c r="OFB1514" s="879"/>
      <c r="OFC1514" s="879"/>
      <c r="OFD1514" s="879"/>
      <c r="OFE1514" s="879"/>
      <c r="OFF1514" s="879"/>
      <c r="OFG1514" s="879"/>
      <c r="OFH1514" s="879"/>
      <c r="OFI1514" s="879"/>
      <c r="OFJ1514" s="879"/>
      <c r="OFK1514" s="879"/>
      <c r="OFL1514" s="879"/>
      <c r="OFM1514" s="879"/>
      <c r="OFN1514" s="879"/>
      <c r="OFO1514" s="879"/>
      <c r="OFP1514" s="879"/>
      <c r="OFQ1514" s="879"/>
      <c r="OFR1514" s="879"/>
      <c r="OFS1514" s="879"/>
      <c r="OFT1514" s="879"/>
      <c r="OFU1514" s="879"/>
      <c r="OFV1514" s="879"/>
      <c r="OFW1514" s="879"/>
      <c r="OFX1514" s="879"/>
      <c r="OFY1514" s="879"/>
      <c r="OFZ1514" s="879"/>
      <c r="OGA1514" s="879"/>
      <c r="OGB1514" s="879"/>
      <c r="OGC1514" s="879"/>
      <c r="OGD1514" s="879"/>
      <c r="OGE1514" s="879"/>
      <c r="OGF1514" s="879"/>
      <c r="OGG1514" s="879"/>
      <c r="OGH1514" s="879"/>
      <c r="OGI1514" s="879"/>
      <c r="OGJ1514" s="879"/>
      <c r="OGK1514" s="879"/>
      <c r="OGL1514" s="879"/>
      <c r="OGM1514" s="879"/>
      <c r="OGN1514" s="879"/>
      <c r="OGO1514" s="879"/>
      <c r="OGP1514" s="879"/>
      <c r="OGQ1514" s="879"/>
      <c r="OGR1514" s="879"/>
      <c r="OGS1514" s="879"/>
      <c r="OGT1514" s="879"/>
      <c r="OGU1514" s="879"/>
      <c r="OGV1514" s="879"/>
      <c r="OGW1514" s="879"/>
      <c r="OGX1514" s="879"/>
      <c r="OGY1514" s="879"/>
      <c r="OGZ1514" s="879"/>
      <c r="OHA1514" s="879"/>
      <c r="OHB1514" s="879"/>
      <c r="OHC1514" s="879"/>
      <c r="OHD1514" s="879"/>
      <c r="OHE1514" s="879"/>
      <c r="OHF1514" s="879"/>
      <c r="OHG1514" s="879"/>
      <c r="OHH1514" s="879"/>
      <c r="OHI1514" s="879"/>
      <c r="OHJ1514" s="879"/>
      <c r="OHK1514" s="879"/>
      <c r="OHL1514" s="879"/>
      <c r="OHM1514" s="879"/>
      <c r="OHN1514" s="879"/>
      <c r="OHO1514" s="879"/>
      <c r="OHP1514" s="879"/>
      <c r="OHQ1514" s="879"/>
      <c r="OHR1514" s="879"/>
      <c r="OHS1514" s="879"/>
      <c r="OHT1514" s="879"/>
      <c r="OHU1514" s="879"/>
      <c r="OHV1514" s="879"/>
      <c r="OHW1514" s="879"/>
      <c r="OHX1514" s="879"/>
      <c r="OHY1514" s="879"/>
      <c r="OHZ1514" s="879"/>
      <c r="OIA1514" s="879"/>
      <c r="OIB1514" s="879"/>
      <c r="OIC1514" s="879"/>
      <c r="OID1514" s="879"/>
      <c r="OIE1514" s="879"/>
      <c r="OIF1514" s="879"/>
      <c r="OIG1514" s="879"/>
      <c r="OIH1514" s="879"/>
      <c r="OII1514" s="879"/>
      <c r="OIJ1514" s="879"/>
      <c r="OIK1514" s="879"/>
      <c r="OIL1514" s="879"/>
      <c r="OIM1514" s="879"/>
      <c r="OIN1514" s="879"/>
      <c r="OIO1514" s="879"/>
      <c r="OIP1514" s="879"/>
      <c r="OIQ1514" s="879"/>
      <c r="OIR1514" s="879"/>
      <c r="OIS1514" s="879"/>
      <c r="OIT1514" s="879"/>
      <c r="OIU1514" s="879"/>
      <c r="OIV1514" s="879"/>
      <c r="OIW1514" s="879"/>
      <c r="OIX1514" s="879"/>
      <c r="OIY1514" s="879"/>
      <c r="OIZ1514" s="879"/>
      <c r="OJA1514" s="879"/>
      <c r="OJB1514" s="879"/>
      <c r="OJC1514" s="879"/>
      <c r="OJD1514" s="879"/>
      <c r="OJE1514" s="879"/>
      <c r="OJF1514" s="879"/>
      <c r="OJG1514" s="879"/>
      <c r="OJH1514" s="879"/>
      <c r="OJI1514" s="879"/>
      <c r="OJJ1514" s="879"/>
      <c r="OJK1514" s="879"/>
      <c r="OJL1514" s="879"/>
      <c r="OJM1514" s="879"/>
      <c r="OJN1514" s="879"/>
      <c r="OJO1514" s="879"/>
      <c r="OJP1514" s="879"/>
      <c r="OJQ1514" s="879"/>
      <c r="OJR1514" s="879"/>
      <c r="OJS1514" s="879"/>
      <c r="OJT1514" s="879"/>
      <c r="OJU1514" s="879"/>
      <c r="OJV1514" s="879"/>
      <c r="OJW1514" s="879"/>
      <c r="OJX1514" s="879"/>
      <c r="OJY1514" s="879"/>
      <c r="OJZ1514" s="879"/>
      <c r="OKA1514" s="879"/>
      <c r="OKB1514" s="879"/>
      <c r="OKC1514" s="879"/>
      <c r="OKD1514" s="879"/>
      <c r="OKE1514" s="879"/>
      <c r="OKF1514" s="879"/>
      <c r="OKG1514" s="879"/>
      <c r="OKH1514" s="879"/>
      <c r="OKI1514" s="879"/>
      <c r="OKJ1514" s="879"/>
      <c r="OKK1514" s="879"/>
      <c r="OKL1514" s="879"/>
      <c r="OKM1514" s="879"/>
      <c r="OKN1514" s="879"/>
      <c r="OKO1514" s="879"/>
      <c r="OKP1514" s="879"/>
      <c r="OKQ1514" s="879"/>
      <c r="OKR1514" s="879"/>
      <c r="OKS1514" s="879"/>
      <c r="OKT1514" s="879"/>
      <c r="OKU1514" s="879"/>
      <c r="OKV1514" s="879"/>
      <c r="OKW1514" s="879"/>
      <c r="OKX1514" s="879"/>
      <c r="OKY1514" s="879"/>
      <c r="OKZ1514" s="879"/>
      <c r="OLA1514" s="879"/>
      <c r="OLB1514" s="879"/>
      <c r="OLC1514" s="879"/>
      <c r="OLD1514" s="879"/>
      <c r="OLE1514" s="879"/>
      <c r="OLF1514" s="879"/>
      <c r="OLG1514" s="879"/>
      <c r="OLH1514" s="879"/>
      <c r="OLI1514" s="879"/>
      <c r="OLJ1514" s="879"/>
      <c r="OLK1514" s="879"/>
      <c r="OLL1514" s="879"/>
      <c r="OLM1514" s="879"/>
      <c r="OLN1514" s="879"/>
      <c r="OLO1514" s="879"/>
      <c r="OLP1514" s="879"/>
      <c r="OLQ1514" s="879"/>
      <c r="OLR1514" s="879"/>
      <c r="OLS1514" s="879"/>
      <c r="OLT1514" s="879"/>
      <c r="OLU1514" s="879"/>
      <c r="OLV1514" s="879"/>
      <c r="OLW1514" s="879"/>
      <c r="OLX1514" s="879"/>
      <c r="OLY1514" s="879"/>
      <c r="OLZ1514" s="879"/>
      <c r="OMA1514" s="879"/>
      <c r="OMB1514" s="879"/>
      <c r="OMC1514" s="879"/>
      <c r="OMD1514" s="879"/>
      <c r="OME1514" s="879"/>
      <c r="OMF1514" s="879"/>
      <c r="OMG1514" s="879"/>
      <c r="OMH1514" s="879"/>
      <c r="OMI1514" s="879"/>
      <c r="OMJ1514" s="879"/>
      <c r="OMK1514" s="879"/>
      <c r="OML1514" s="879"/>
      <c r="OMM1514" s="879"/>
      <c r="OMN1514" s="879"/>
      <c r="OMO1514" s="879"/>
      <c r="OMP1514" s="879"/>
      <c r="OMQ1514" s="879"/>
      <c r="OMR1514" s="879"/>
      <c r="OMS1514" s="879"/>
      <c r="OMT1514" s="879"/>
      <c r="OMU1514" s="879"/>
      <c r="OMV1514" s="879"/>
      <c r="OMW1514" s="879"/>
      <c r="OMX1514" s="879"/>
      <c r="OMY1514" s="879"/>
      <c r="OMZ1514" s="879"/>
      <c r="ONA1514" s="879"/>
      <c r="ONB1514" s="879"/>
      <c r="ONC1514" s="879"/>
      <c r="OND1514" s="879"/>
      <c r="ONE1514" s="879"/>
      <c r="ONF1514" s="879"/>
      <c r="ONG1514" s="879"/>
      <c r="ONH1514" s="879"/>
      <c r="ONI1514" s="879"/>
      <c r="ONJ1514" s="879"/>
      <c r="ONK1514" s="879"/>
      <c r="ONL1514" s="879"/>
      <c r="ONM1514" s="879"/>
      <c r="ONN1514" s="879"/>
      <c r="ONO1514" s="879"/>
      <c r="ONP1514" s="879"/>
      <c r="ONQ1514" s="879"/>
      <c r="ONR1514" s="879"/>
      <c r="ONS1514" s="879"/>
      <c r="ONT1514" s="879"/>
      <c r="ONU1514" s="879"/>
      <c r="ONV1514" s="879"/>
      <c r="ONW1514" s="879"/>
      <c r="ONX1514" s="879"/>
      <c r="ONY1514" s="879"/>
      <c r="ONZ1514" s="879"/>
      <c r="OOA1514" s="879"/>
      <c r="OOB1514" s="879"/>
      <c r="OOC1514" s="879"/>
      <c r="OOD1514" s="879"/>
      <c r="OOE1514" s="879"/>
      <c r="OOF1514" s="879"/>
      <c r="OOG1514" s="879"/>
      <c r="OOH1514" s="879"/>
      <c r="OOI1514" s="879"/>
      <c r="OOJ1514" s="879"/>
      <c r="OOK1514" s="879"/>
      <c r="OOL1514" s="879"/>
      <c r="OOM1514" s="879"/>
      <c r="OON1514" s="879"/>
      <c r="OOO1514" s="879"/>
      <c r="OOP1514" s="879"/>
      <c r="OOQ1514" s="879"/>
      <c r="OOR1514" s="879"/>
      <c r="OOS1514" s="879"/>
      <c r="OOT1514" s="879"/>
      <c r="OOU1514" s="879"/>
      <c r="OOV1514" s="879"/>
      <c r="OOW1514" s="879"/>
      <c r="OOX1514" s="879"/>
      <c r="OOY1514" s="879"/>
      <c r="OOZ1514" s="879"/>
      <c r="OPA1514" s="879"/>
      <c r="OPB1514" s="879"/>
      <c r="OPC1514" s="879"/>
      <c r="OPD1514" s="879"/>
      <c r="OPE1514" s="879"/>
      <c r="OPF1514" s="879"/>
      <c r="OPG1514" s="879"/>
      <c r="OPH1514" s="879"/>
      <c r="OPI1514" s="879"/>
      <c r="OPJ1514" s="879"/>
      <c r="OPK1514" s="879"/>
      <c r="OPL1514" s="879"/>
      <c r="OPM1514" s="879"/>
      <c r="OPN1514" s="879"/>
      <c r="OPO1514" s="879"/>
      <c r="OPP1514" s="879"/>
      <c r="OPQ1514" s="879"/>
      <c r="OPR1514" s="879"/>
      <c r="OPS1514" s="879"/>
      <c r="OPT1514" s="879"/>
      <c r="OPU1514" s="879"/>
      <c r="OPV1514" s="879"/>
      <c r="OPW1514" s="879"/>
      <c r="OPX1514" s="879"/>
      <c r="OPY1514" s="879"/>
      <c r="OPZ1514" s="879"/>
      <c r="OQA1514" s="879"/>
      <c r="OQB1514" s="879"/>
      <c r="OQC1514" s="879"/>
      <c r="OQD1514" s="879"/>
      <c r="OQE1514" s="879"/>
      <c r="OQF1514" s="879"/>
      <c r="OQG1514" s="879"/>
      <c r="OQH1514" s="879"/>
      <c r="OQI1514" s="879"/>
      <c r="OQJ1514" s="879"/>
      <c r="OQK1514" s="879"/>
      <c r="OQL1514" s="879"/>
      <c r="OQM1514" s="879"/>
      <c r="OQN1514" s="879"/>
      <c r="OQO1514" s="879"/>
      <c r="OQP1514" s="879"/>
      <c r="OQQ1514" s="879"/>
      <c r="OQR1514" s="879"/>
      <c r="OQS1514" s="879"/>
      <c r="OQT1514" s="879"/>
      <c r="OQU1514" s="879"/>
      <c r="OQV1514" s="879"/>
      <c r="OQW1514" s="879"/>
      <c r="OQX1514" s="879"/>
      <c r="OQY1514" s="879"/>
      <c r="OQZ1514" s="879"/>
      <c r="ORA1514" s="879"/>
      <c r="ORB1514" s="879"/>
      <c r="ORC1514" s="879"/>
      <c r="ORD1514" s="879"/>
      <c r="ORE1514" s="879"/>
      <c r="ORF1514" s="879"/>
      <c r="ORG1514" s="879"/>
      <c r="ORH1514" s="879"/>
      <c r="ORI1514" s="879"/>
      <c r="ORJ1514" s="879"/>
      <c r="ORK1514" s="879"/>
      <c r="ORL1514" s="879"/>
      <c r="ORM1514" s="879"/>
      <c r="ORN1514" s="879"/>
      <c r="ORO1514" s="879"/>
      <c r="ORP1514" s="879"/>
      <c r="ORQ1514" s="879"/>
      <c r="ORR1514" s="879"/>
      <c r="ORS1514" s="879"/>
      <c r="ORT1514" s="879"/>
      <c r="ORU1514" s="879"/>
      <c r="ORV1514" s="879"/>
      <c r="ORW1514" s="879"/>
      <c r="ORX1514" s="879"/>
      <c r="ORY1514" s="879"/>
      <c r="ORZ1514" s="879"/>
      <c r="OSA1514" s="879"/>
      <c r="OSB1514" s="879"/>
      <c r="OSC1514" s="879"/>
      <c r="OSD1514" s="879"/>
      <c r="OSE1514" s="879"/>
      <c r="OSF1514" s="879"/>
      <c r="OSG1514" s="879"/>
      <c r="OSH1514" s="879"/>
      <c r="OSI1514" s="879"/>
      <c r="OSJ1514" s="879"/>
      <c r="OSK1514" s="879"/>
      <c r="OSL1514" s="879"/>
      <c r="OSM1514" s="879"/>
      <c r="OSN1514" s="879"/>
      <c r="OSO1514" s="879"/>
      <c r="OSP1514" s="879"/>
      <c r="OSQ1514" s="879"/>
      <c r="OSR1514" s="879"/>
      <c r="OSS1514" s="879"/>
      <c r="OST1514" s="879"/>
      <c r="OSU1514" s="879"/>
      <c r="OSV1514" s="879"/>
      <c r="OSW1514" s="879"/>
      <c r="OSX1514" s="879"/>
      <c r="OSY1514" s="879"/>
      <c r="OSZ1514" s="879"/>
      <c r="OTA1514" s="879"/>
      <c r="OTB1514" s="879"/>
      <c r="OTC1514" s="879"/>
      <c r="OTD1514" s="879"/>
      <c r="OTE1514" s="879"/>
      <c r="OTF1514" s="879"/>
      <c r="OTG1514" s="879"/>
      <c r="OTH1514" s="879"/>
      <c r="OTI1514" s="879"/>
      <c r="OTJ1514" s="879"/>
      <c r="OTK1514" s="879"/>
      <c r="OTL1514" s="879"/>
      <c r="OTM1514" s="879"/>
      <c r="OTN1514" s="879"/>
      <c r="OTO1514" s="879"/>
      <c r="OTP1514" s="879"/>
      <c r="OTQ1514" s="879"/>
      <c r="OTR1514" s="879"/>
      <c r="OTS1514" s="879"/>
      <c r="OTT1514" s="879"/>
      <c r="OTU1514" s="879"/>
      <c r="OTV1514" s="879"/>
      <c r="OTW1514" s="879"/>
      <c r="OTX1514" s="879"/>
      <c r="OTY1514" s="879"/>
      <c r="OTZ1514" s="879"/>
      <c r="OUA1514" s="879"/>
      <c r="OUB1514" s="879"/>
      <c r="OUC1514" s="879"/>
      <c r="OUD1514" s="879"/>
      <c r="OUE1514" s="879"/>
      <c r="OUF1514" s="879"/>
      <c r="OUG1514" s="879"/>
      <c r="OUH1514" s="879"/>
      <c r="OUI1514" s="879"/>
      <c r="OUJ1514" s="879"/>
      <c r="OUK1514" s="879"/>
      <c r="OUL1514" s="879"/>
      <c r="OUM1514" s="879"/>
      <c r="OUN1514" s="879"/>
      <c r="OUO1514" s="879"/>
      <c r="OUP1514" s="879"/>
      <c r="OUQ1514" s="879"/>
      <c r="OUR1514" s="879"/>
      <c r="OUS1514" s="879"/>
      <c r="OUT1514" s="879"/>
      <c r="OUU1514" s="879"/>
      <c r="OUV1514" s="879"/>
      <c r="OUW1514" s="879"/>
      <c r="OUX1514" s="879"/>
      <c r="OUY1514" s="879"/>
      <c r="OUZ1514" s="879"/>
      <c r="OVA1514" s="879"/>
      <c r="OVB1514" s="879"/>
      <c r="OVC1514" s="879"/>
      <c r="OVD1514" s="879"/>
      <c r="OVE1514" s="879"/>
      <c r="OVF1514" s="879"/>
      <c r="OVG1514" s="879"/>
      <c r="OVH1514" s="879"/>
      <c r="OVI1514" s="879"/>
      <c r="OVJ1514" s="879"/>
      <c r="OVK1514" s="879"/>
      <c r="OVL1514" s="879"/>
      <c r="OVM1514" s="879"/>
      <c r="OVN1514" s="879"/>
      <c r="OVO1514" s="879"/>
      <c r="OVP1514" s="879"/>
      <c r="OVQ1514" s="879"/>
      <c r="OVR1514" s="879"/>
      <c r="OVS1514" s="879"/>
      <c r="OVT1514" s="879"/>
      <c r="OVU1514" s="879"/>
      <c r="OVV1514" s="879"/>
      <c r="OVW1514" s="879"/>
      <c r="OVX1514" s="879"/>
      <c r="OVY1514" s="879"/>
      <c r="OVZ1514" s="879"/>
      <c r="OWA1514" s="879"/>
      <c r="OWB1514" s="879"/>
      <c r="OWC1514" s="879"/>
      <c r="OWD1514" s="879"/>
      <c r="OWE1514" s="879"/>
      <c r="OWF1514" s="879"/>
      <c r="OWG1514" s="879"/>
      <c r="OWH1514" s="879"/>
      <c r="OWI1514" s="879"/>
      <c r="OWJ1514" s="879"/>
      <c r="OWK1514" s="879"/>
      <c r="OWL1514" s="879"/>
      <c r="OWM1514" s="879"/>
      <c r="OWN1514" s="879"/>
      <c r="OWO1514" s="879"/>
      <c r="OWP1514" s="879"/>
      <c r="OWQ1514" s="879"/>
      <c r="OWR1514" s="879"/>
      <c r="OWS1514" s="879"/>
      <c r="OWT1514" s="879"/>
      <c r="OWU1514" s="879"/>
      <c r="OWV1514" s="879"/>
      <c r="OWW1514" s="879"/>
      <c r="OWX1514" s="879"/>
      <c r="OWY1514" s="879"/>
      <c r="OWZ1514" s="879"/>
      <c r="OXA1514" s="879"/>
      <c r="OXB1514" s="879"/>
      <c r="OXC1514" s="879"/>
      <c r="OXD1514" s="879"/>
      <c r="OXE1514" s="879"/>
      <c r="OXF1514" s="879"/>
      <c r="OXG1514" s="879"/>
      <c r="OXH1514" s="879"/>
      <c r="OXI1514" s="879"/>
      <c r="OXJ1514" s="879"/>
      <c r="OXK1514" s="879"/>
      <c r="OXL1514" s="879"/>
      <c r="OXM1514" s="879"/>
      <c r="OXN1514" s="879"/>
      <c r="OXO1514" s="879"/>
      <c r="OXP1514" s="879"/>
      <c r="OXQ1514" s="879"/>
      <c r="OXR1514" s="879"/>
      <c r="OXS1514" s="879"/>
      <c r="OXT1514" s="879"/>
      <c r="OXU1514" s="879"/>
      <c r="OXV1514" s="879"/>
      <c r="OXW1514" s="879"/>
      <c r="OXX1514" s="879"/>
      <c r="OXY1514" s="879"/>
      <c r="OXZ1514" s="879"/>
      <c r="OYA1514" s="879"/>
      <c r="OYB1514" s="879"/>
      <c r="OYC1514" s="879"/>
      <c r="OYD1514" s="879"/>
      <c r="OYE1514" s="879"/>
      <c r="OYF1514" s="879"/>
      <c r="OYG1514" s="879"/>
      <c r="OYH1514" s="879"/>
      <c r="OYI1514" s="879"/>
      <c r="OYJ1514" s="879"/>
      <c r="OYK1514" s="879"/>
      <c r="OYL1514" s="879"/>
      <c r="OYM1514" s="879"/>
      <c r="OYN1514" s="879"/>
      <c r="OYO1514" s="879"/>
      <c r="OYP1514" s="879"/>
      <c r="OYQ1514" s="879"/>
      <c r="OYR1514" s="879"/>
      <c r="OYS1514" s="879"/>
      <c r="OYT1514" s="879"/>
      <c r="OYU1514" s="879"/>
      <c r="OYV1514" s="879"/>
      <c r="OYW1514" s="879"/>
      <c r="OYX1514" s="879"/>
      <c r="OYY1514" s="879"/>
      <c r="OYZ1514" s="879"/>
      <c r="OZA1514" s="879"/>
      <c r="OZB1514" s="879"/>
      <c r="OZC1514" s="879"/>
      <c r="OZD1514" s="879"/>
      <c r="OZE1514" s="879"/>
      <c r="OZF1514" s="879"/>
      <c r="OZG1514" s="879"/>
      <c r="OZH1514" s="879"/>
      <c r="OZI1514" s="879"/>
      <c r="OZJ1514" s="879"/>
      <c r="OZK1514" s="879"/>
      <c r="OZL1514" s="879"/>
      <c r="OZM1514" s="879"/>
      <c r="OZN1514" s="879"/>
      <c r="OZO1514" s="879"/>
      <c r="OZP1514" s="879"/>
      <c r="OZQ1514" s="879"/>
      <c r="OZR1514" s="879"/>
      <c r="OZS1514" s="879"/>
      <c r="OZT1514" s="879"/>
      <c r="OZU1514" s="879"/>
      <c r="OZV1514" s="879"/>
      <c r="OZW1514" s="879"/>
      <c r="OZX1514" s="879"/>
      <c r="OZY1514" s="879"/>
      <c r="OZZ1514" s="879"/>
      <c r="PAA1514" s="879"/>
      <c r="PAB1514" s="879"/>
      <c r="PAC1514" s="879"/>
      <c r="PAD1514" s="879"/>
      <c r="PAE1514" s="879"/>
      <c r="PAF1514" s="879"/>
      <c r="PAG1514" s="879"/>
      <c r="PAH1514" s="879"/>
      <c r="PAI1514" s="879"/>
      <c r="PAJ1514" s="879"/>
      <c r="PAK1514" s="879"/>
      <c r="PAL1514" s="879"/>
      <c r="PAM1514" s="879"/>
      <c r="PAN1514" s="879"/>
      <c r="PAO1514" s="879"/>
      <c r="PAP1514" s="879"/>
      <c r="PAQ1514" s="879"/>
      <c r="PAR1514" s="879"/>
      <c r="PAS1514" s="879"/>
      <c r="PAT1514" s="879"/>
      <c r="PAU1514" s="879"/>
      <c r="PAV1514" s="879"/>
      <c r="PAW1514" s="879"/>
      <c r="PAX1514" s="879"/>
      <c r="PAY1514" s="879"/>
      <c r="PAZ1514" s="879"/>
      <c r="PBA1514" s="879"/>
      <c r="PBB1514" s="879"/>
      <c r="PBC1514" s="879"/>
      <c r="PBD1514" s="879"/>
      <c r="PBE1514" s="879"/>
      <c r="PBF1514" s="879"/>
      <c r="PBG1514" s="879"/>
      <c r="PBH1514" s="879"/>
      <c r="PBI1514" s="879"/>
      <c r="PBJ1514" s="879"/>
      <c r="PBK1514" s="879"/>
      <c r="PBL1514" s="879"/>
      <c r="PBM1514" s="879"/>
      <c r="PBN1514" s="879"/>
      <c r="PBO1514" s="879"/>
      <c r="PBP1514" s="879"/>
      <c r="PBQ1514" s="879"/>
      <c r="PBR1514" s="879"/>
      <c r="PBS1514" s="879"/>
      <c r="PBT1514" s="879"/>
      <c r="PBU1514" s="879"/>
      <c r="PBV1514" s="879"/>
      <c r="PBW1514" s="879"/>
      <c r="PBX1514" s="879"/>
      <c r="PBY1514" s="879"/>
      <c r="PBZ1514" s="879"/>
      <c r="PCA1514" s="879"/>
      <c r="PCB1514" s="879"/>
      <c r="PCC1514" s="879"/>
      <c r="PCD1514" s="879"/>
      <c r="PCE1514" s="879"/>
      <c r="PCF1514" s="879"/>
      <c r="PCG1514" s="879"/>
      <c r="PCH1514" s="879"/>
      <c r="PCI1514" s="879"/>
      <c r="PCJ1514" s="879"/>
      <c r="PCK1514" s="879"/>
      <c r="PCL1514" s="879"/>
      <c r="PCM1514" s="879"/>
      <c r="PCN1514" s="879"/>
      <c r="PCO1514" s="879"/>
      <c r="PCP1514" s="879"/>
      <c r="PCQ1514" s="879"/>
      <c r="PCR1514" s="879"/>
      <c r="PCS1514" s="879"/>
      <c r="PCT1514" s="879"/>
      <c r="PCU1514" s="879"/>
      <c r="PCV1514" s="879"/>
      <c r="PCW1514" s="879"/>
      <c r="PCX1514" s="879"/>
      <c r="PCY1514" s="879"/>
      <c r="PCZ1514" s="879"/>
      <c r="PDA1514" s="879"/>
      <c r="PDB1514" s="879"/>
      <c r="PDC1514" s="879"/>
      <c r="PDD1514" s="879"/>
      <c r="PDE1514" s="879"/>
      <c r="PDF1514" s="879"/>
      <c r="PDG1514" s="879"/>
      <c r="PDH1514" s="879"/>
      <c r="PDI1514" s="879"/>
      <c r="PDJ1514" s="879"/>
      <c r="PDK1514" s="879"/>
      <c r="PDL1514" s="879"/>
      <c r="PDM1514" s="879"/>
      <c r="PDN1514" s="879"/>
      <c r="PDO1514" s="879"/>
      <c r="PDP1514" s="879"/>
      <c r="PDQ1514" s="879"/>
      <c r="PDR1514" s="879"/>
      <c r="PDS1514" s="879"/>
      <c r="PDT1514" s="879"/>
      <c r="PDU1514" s="879"/>
      <c r="PDV1514" s="879"/>
      <c r="PDW1514" s="879"/>
      <c r="PDX1514" s="879"/>
      <c r="PDY1514" s="879"/>
      <c r="PDZ1514" s="879"/>
      <c r="PEA1514" s="879"/>
      <c r="PEB1514" s="879"/>
      <c r="PEC1514" s="879"/>
      <c r="PED1514" s="879"/>
      <c r="PEE1514" s="879"/>
      <c r="PEF1514" s="879"/>
      <c r="PEG1514" s="879"/>
      <c r="PEH1514" s="879"/>
      <c r="PEI1514" s="879"/>
      <c r="PEJ1514" s="879"/>
      <c r="PEK1514" s="879"/>
      <c r="PEL1514" s="879"/>
      <c r="PEM1514" s="879"/>
      <c r="PEN1514" s="879"/>
      <c r="PEO1514" s="879"/>
      <c r="PEP1514" s="879"/>
      <c r="PEQ1514" s="879"/>
      <c r="PER1514" s="879"/>
      <c r="PES1514" s="879"/>
      <c r="PET1514" s="879"/>
      <c r="PEU1514" s="879"/>
      <c r="PEV1514" s="879"/>
      <c r="PEW1514" s="879"/>
      <c r="PEX1514" s="879"/>
      <c r="PEY1514" s="879"/>
      <c r="PEZ1514" s="879"/>
      <c r="PFA1514" s="879"/>
      <c r="PFB1514" s="879"/>
      <c r="PFC1514" s="879"/>
      <c r="PFD1514" s="879"/>
      <c r="PFE1514" s="879"/>
      <c r="PFF1514" s="879"/>
      <c r="PFG1514" s="879"/>
      <c r="PFH1514" s="879"/>
      <c r="PFI1514" s="879"/>
      <c r="PFJ1514" s="879"/>
      <c r="PFK1514" s="879"/>
      <c r="PFL1514" s="879"/>
      <c r="PFM1514" s="879"/>
      <c r="PFN1514" s="879"/>
      <c r="PFO1514" s="879"/>
      <c r="PFP1514" s="879"/>
      <c r="PFQ1514" s="879"/>
      <c r="PFR1514" s="879"/>
      <c r="PFS1514" s="879"/>
      <c r="PFT1514" s="879"/>
      <c r="PFU1514" s="879"/>
      <c r="PFV1514" s="879"/>
      <c r="PFW1514" s="879"/>
      <c r="PFX1514" s="879"/>
      <c r="PFY1514" s="879"/>
      <c r="PFZ1514" s="879"/>
      <c r="PGA1514" s="879"/>
      <c r="PGB1514" s="879"/>
      <c r="PGC1514" s="879"/>
      <c r="PGD1514" s="879"/>
      <c r="PGE1514" s="879"/>
      <c r="PGF1514" s="879"/>
      <c r="PGG1514" s="879"/>
      <c r="PGH1514" s="879"/>
      <c r="PGI1514" s="879"/>
      <c r="PGJ1514" s="879"/>
      <c r="PGK1514" s="879"/>
      <c r="PGL1514" s="879"/>
      <c r="PGM1514" s="879"/>
      <c r="PGN1514" s="879"/>
      <c r="PGO1514" s="879"/>
      <c r="PGP1514" s="879"/>
      <c r="PGQ1514" s="879"/>
      <c r="PGR1514" s="879"/>
      <c r="PGS1514" s="879"/>
      <c r="PGT1514" s="879"/>
      <c r="PGU1514" s="879"/>
      <c r="PGV1514" s="879"/>
      <c r="PGW1514" s="879"/>
      <c r="PGX1514" s="879"/>
      <c r="PGY1514" s="879"/>
      <c r="PGZ1514" s="879"/>
      <c r="PHA1514" s="879"/>
      <c r="PHB1514" s="879"/>
      <c r="PHC1514" s="879"/>
      <c r="PHD1514" s="879"/>
      <c r="PHE1514" s="879"/>
      <c r="PHF1514" s="879"/>
      <c r="PHG1514" s="879"/>
      <c r="PHH1514" s="879"/>
      <c r="PHI1514" s="879"/>
      <c r="PHJ1514" s="879"/>
      <c r="PHK1514" s="879"/>
      <c r="PHL1514" s="879"/>
      <c r="PHM1514" s="879"/>
      <c r="PHN1514" s="879"/>
      <c r="PHO1514" s="879"/>
      <c r="PHP1514" s="879"/>
      <c r="PHQ1514" s="879"/>
      <c r="PHR1514" s="879"/>
      <c r="PHS1514" s="879"/>
      <c r="PHT1514" s="879"/>
      <c r="PHU1514" s="879"/>
      <c r="PHV1514" s="879"/>
      <c r="PHW1514" s="879"/>
      <c r="PHX1514" s="879"/>
      <c r="PHY1514" s="879"/>
      <c r="PHZ1514" s="879"/>
      <c r="PIA1514" s="879"/>
      <c r="PIB1514" s="879"/>
      <c r="PIC1514" s="879"/>
      <c r="PID1514" s="879"/>
      <c r="PIE1514" s="879"/>
      <c r="PIF1514" s="879"/>
      <c r="PIG1514" s="879"/>
      <c r="PIH1514" s="879"/>
      <c r="PII1514" s="879"/>
      <c r="PIJ1514" s="879"/>
      <c r="PIK1514" s="879"/>
      <c r="PIL1514" s="879"/>
      <c r="PIM1514" s="879"/>
      <c r="PIN1514" s="879"/>
      <c r="PIO1514" s="879"/>
      <c r="PIP1514" s="879"/>
      <c r="PIQ1514" s="879"/>
      <c r="PIR1514" s="879"/>
      <c r="PIS1514" s="879"/>
      <c r="PIT1514" s="879"/>
      <c r="PIU1514" s="879"/>
      <c r="PIV1514" s="879"/>
      <c r="PIW1514" s="879"/>
      <c r="PIX1514" s="879"/>
      <c r="PIY1514" s="879"/>
      <c r="PIZ1514" s="879"/>
      <c r="PJA1514" s="879"/>
      <c r="PJB1514" s="879"/>
      <c r="PJC1514" s="879"/>
      <c r="PJD1514" s="879"/>
      <c r="PJE1514" s="879"/>
      <c r="PJF1514" s="879"/>
      <c r="PJG1514" s="879"/>
      <c r="PJH1514" s="879"/>
      <c r="PJI1514" s="879"/>
      <c r="PJJ1514" s="879"/>
      <c r="PJK1514" s="879"/>
      <c r="PJL1514" s="879"/>
      <c r="PJM1514" s="879"/>
      <c r="PJN1514" s="879"/>
      <c r="PJO1514" s="879"/>
      <c r="PJP1514" s="879"/>
      <c r="PJQ1514" s="879"/>
      <c r="PJR1514" s="879"/>
      <c r="PJS1514" s="879"/>
      <c r="PJT1514" s="879"/>
      <c r="PJU1514" s="879"/>
      <c r="PJV1514" s="879"/>
      <c r="PJW1514" s="879"/>
      <c r="PJX1514" s="879"/>
      <c r="PJY1514" s="879"/>
      <c r="PJZ1514" s="879"/>
      <c r="PKA1514" s="879"/>
      <c r="PKB1514" s="879"/>
      <c r="PKC1514" s="879"/>
      <c r="PKD1514" s="879"/>
      <c r="PKE1514" s="879"/>
      <c r="PKF1514" s="879"/>
      <c r="PKG1514" s="879"/>
      <c r="PKH1514" s="879"/>
      <c r="PKI1514" s="879"/>
      <c r="PKJ1514" s="879"/>
      <c r="PKK1514" s="879"/>
      <c r="PKL1514" s="879"/>
      <c r="PKM1514" s="879"/>
      <c r="PKN1514" s="879"/>
      <c r="PKO1514" s="879"/>
      <c r="PKP1514" s="879"/>
      <c r="PKQ1514" s="879"/>
      <c r="PKR1514" s="879"/>
      <c r="PKS1514" s="879"/>
      <c r="PKT1514" s="879"/>
      <c r="PKU1514" s="879"/>
      <c r="PKV1514" s="879"/>
      <c r="PKW1514" s="879"/>
      <c r="PKX1514" s="879"/>
      <c r="PKY1514" s="879"/>
      <c r="PKZ1514" s="879"/>
      <c r="PLA1514" s="879"/>
      <c r="PLB1514" s="879"/>
      <c r="PLC1514" s="879"/>
      <c r="PLD1514" s="879"/>
      <c r="PLE1514" s="879"/>
      <c r="PLF1514" s="879"/>
      <c r="PLG1514" s="879"/>
      <c r="PLH1514" s="879"/>
      <c r="PLI1514" s="879"/>
      <c r="PLJ1514" s="879"/>
      <c r="PLK1514" s="879"/>
      <c r="PLL1514" s="879"/>
      <c r="PLM1514" s="879"/>
      <c r="PLN1514" s="879"/>
      <c r="PLO1514" s="879"/>
      <c r="PLP1514" s="879"/>
      <c r="PLQ1514" s="879"/>
      <c r="PLR1514" s="879"/>
      <c r="PLS1514" s="879"/>
      <c r="PLT1514" s="879"/>
      <c r="PLU1514" s="879"/>
      <c r="PLV1514" s="879"/>
      <c r="PLW1514" s="879"/>
      <c r="PLX1514" s="879"/>
      <c r="PLY1514" s="879"/>
      <c r="PLZ1514" s="879"/>
      <c r="PMA1514" s="879"/>
      <c r="PMB1514" s="879"/>
      <c r="PMC1514" s="879"/>
      <c r="PMD1514" s="879"/>
      <c r="PME1514" s="879"/>
      <c r="PMF1514" s="879"/>
      <c r="PMG1514" s="879"/>
      <c r="PMH1514" s="879"/>
      <c r="PMI1514" s="879"/>
      <c r="PMJ1514" s="879"/>
      <c r="PMK1514" s="879"/>
      <c r="PML1514" s="879"/>
      <c r="PMM1514" s="879"/>
      <c r="PMN1514" s="879"/>
      <c r="PMO1514" s="879"/>
      <c r="PMP1514" s="879"/>
      <c r="PMQ1514" s="879"/>
      <c r="PMR1514" s="879"/>
      <c r="PMS1514" s="879"/>
      <c r="PMT1514" s="879"/>
      <c r="PMU1514" s="879"/>
      <c r="PMV1514" s="879"/>
      <c r="PMW1514" s="879"/>
      <c r="PMX1514" s="879"/>
      <c r="PMY1514" s="879"/>
      <c r="PMZ1514" s="879"/>
      <c r="PNA1514" s="879"/>
      <c r="PNB1514" s="879"/>
      <c r="PNC1514" s="879"/>
      <c r="PND1514" s="879"/>
      <c r="PNE1514" s="879"/>
      <c r="PNF1514" s="879"/>
      <c r="PNG1514" s="879"/>
      <c r="PNH1514" s="879"/>
      <c r="PNI1514" s="879"/>
      <c r="PNJ1514" s="879"/>
      <c r="PNK1514" s="879"/>
      <c r="PNL1514" s="879"/>
      <c r="PNM1514" s="879"/>
      <c r="PNN1514" s="879"/>
      <c r="PNO1514" s="879"/>
      <c r="PNP1514" s="879"/>
      <c r="PNQ1514" s="879"/>
      <c r="PNR1514" s="879"/>
      <c r="PNS1514" s="879"/>
      <c r="PNT1514" s="879"/>
      <c r="PNU1514" s="879"/>
      <c r="PNV1514" s="879"/>
      <c r="PNW1514" s="879"/>
      <c r="PNX1514" s="879"/>
      <c r="PNY1514" s="879"/>
      <c r="PNZ1514" s="879"/>
      <c r="POA1514" s="879"/>
      <c r="POB1514" s="879"/>
      <c r="POC1514" s="879"/>
      <c r="POD1514" s="879"/>
      <c r="POE1514" s="879"/>
      <c r="POF1514" s="879"/>
      <c r="POG1514" s="879"/>
      <c r="POH1514" s="879"/>
      <c r="POI1514" s="879"/>
      <c r="POJ1514" s="879"/>
      <c r="POK1514" s="879"/>
      <c r="POL1514" s="879"/>
      <c r="POM1514" s="879"/>
      <c r="PON1514" s="879"/>
      <c r="POO1514" s="879"/>
      <c r="POP1514" s="879"/>
      <c r="POQ1514" s="879"/>
      <c r="POR1514" s="879"/>
      <c r="POS1514" s="879"/>
      <c r="POT1514" s="879"/>
      <c r="POU1514" s="879"/>
      <c r="POV1514" s="879"/>
      <c r="POW1514" s="879"/>
      <c r="POX1514" s="879"/>
      <c r="POY1514" s="879"/>
      <c r="POZ1514" s="879"/>
      <c r="PPA1514" s="879"/>
      <c r="PPB1514" s="879"/>
      <c r="PPC1514" s="879"/>
      <c r="PPD1514" s="879"/>
      <c r="PPE1514" s="879"/>
      <c r="PPF1514" s="879"/>
      <c r="PPG1514" s="879"/>
      <c r="PPH1514" s="879"/>
      <c r="PPI1514" s="879"/>
      <c r="PPJ1514" s="879"/>
      <c r="PPK1514" s="879"/>
      <c r="PPL1514" s="879"/>
      <c r="PPM1514" s="879"/>
      <c r="PPN1514" s="879"/>
      <c r="PPO1514" s="879"/>
      <c r="PPP1514" s="879"/>
      <c r="PPQ1514" s="879"/>
      <c r="PPR1514" s="879"/>
      <c r="PPS1514" s="879"/>
      <c r="PPT1514" s="879"/>
      <c r="PPU1514" s="879"/>
      <c r="PPV1514" s="879"/>
      <c r="PPW1514" s="879"/>
      <c r="PPX1514" s="879"/>
      <c r="PPY1514" s="879"/>
      <c r="PPZ1514" s="879"/>
      <c r="PQA1514" s="879"/>
      <c r="PQB1514" s="879"/>
      <c r="PQC1514" s="879"/>
      <c r="PQD1514" s="879"/>
      <c r="PQE1514" s="879"/>
      <c r="PQF1514" s="879"/>
      <c r="PQG1514" s="879"/>
      <c r="PQH1514" s="879"/>
      <c r="PQI1514" s="879"/>
      <c r="PQJ1514" s="879"/>
      <c r="PQK1514" s="879"/>
      <c r="PQL1514" s="879"/>
      <c r="PQM1514" s="879"/>
      <c r="PQN1514" s="879"/>
      <c r="PQO1514" s="879"/>
      <c r="PQP1514" s="879"/>
      <c r="PQQ1514" s="879"/>
      <c r="PQR1514" s="879"/>
      <c r="PQS1514" s="879"/>
      <c r="PQT1514" s="879"/>
      <c r="PQU1514" s="879"/>
      <c r="PQV1514" s="879"/>
      <c r="PQW1514" s="879"/>
      <c r="PQX1514" s="879"/>
      <c r="PQY1514" s="879"/>
      <c r="PQZ1514" s="879"/>
      <c r="PRA1514" s="879"/>
      <c r="PRB1514" s="879"/>
      <c r="PRC1514" s="879"/>
      <c r="PRD1514" s="879"/>
      <c r="PRE1514" s="879"/>
      <c r="PRF1514" s="879"/>
      <c r="PRG1514" s="879"/>
      <c r="PRH1514" s="879"/>
      <c r="PRI1514" s="879"/>
      <c r="PRJ1514" s="879"/>
      <c r="PRK1514" s="879"/>
      <c r="PRL1514" s="879"/>
      <c r="PRM1514" s="879"/>
      <c r="PRN1514" s="879"/>
      <c r="PRO1514" s="879"/>
      <c r="PRP1514" s="879"/>
      <c r="PRQ1514" s="879"/>
      <c r="PRR1514" s="879"/>
      <c r="PRS1514" s="879"/>
      <c r="PRT1514" s="879"/>
      <c r="PRU1514" s="879"/>
      <c r="PRV1514" s="879"/>
      <c r="PRW1514" s="879"/>
      <c r="PRX1514" s="879"/>
      <c r="PRY1514" s="879"/>
      <c r="PRZ1514" s="879"/>
      <c r="PSA1514" s="879"/>
      <c r="PSB1514" s="879"/>
      <c r="PSC1514" s="879"/>
      <c r="PSD1514" s="879"/>
      <c r="PSE1514" s="879"/>
      <c r="PSF1514" s="879"/>
      <c r="PSG1514" s="879"/>
      <c r="PSH1514" s="879"/>
      <c r="PSI1514" s="879"/>
      <c r="PSJ1514" s="879"/>
      <c r="PSK1514" s="879"/>
      <c r="PSL1514" s="879"/>
      <c r="PSM1514" s="879"/>
      <c r="PSN1514" s="879"/>
      <c r="PSO1514" s="879"/>
      <c r="PSP1514" s="879"/>
      <c r="PSQ1514" s="879"/>
      <c r="PSR1514" s="879"/>
      <c r="PSS1514" s="879"/>
      <c r="PST1514" s="879"/>
      <c r="PSU1514" s="879"/>
      <c r="PSV1514" s="879"/>
      <c r="PSW1514" s="879"/>
      <c r="PSX1514" s="879"/>
      <c r="PSY1514" s="879"/>
      <c r="PSZ1514" s="879"/>
      <c r="PTA1514" s="879"/>
      <c r="PTB1514" s="879"/>
      <c r="PTC1514" s="879"/>
      <c r="PTD1514" s="879"/>
      <c r="PTE1514" s="879"/>
      <c r="PTF1514" s="879"/>
      <c r="PTG1514" s="879"/>
      <c r="PTH1514" s="879"/>
      <c r="PTI1514" s="879"/>
      <c r="PTJ1514" s="879"/>
      <c r="PTK1514" s="879"/>
      <c r="PTL1514" s="879"/>
      <c r="PTM1514" s="879"/>
      <c r="PTN1514" s="879"/>
      <c r="PTO1514" s="879"/>
      <c r="PTP1514" s="879"/>
      <c r="PTQ1514" s="879"/>
      <c r="PTR1514" s="879"/>
      <c r="PTS1514" s="879"/>
      <c r="PTT1514" s="879"/>
      <c r="PTU1514" s="879"/>
      <c r="PTV1514" s="879"/>
      <c r="PTW1514" s="879"/>
      <c r="PTX1514" s="879"/>
      <c r="PTY1514" s="879"/>
      <c r="PTZ1514" s="879"/>
      <c r="PUA1514" s="879"/>
      <c r="PUB1514" s="879"/>
      <c r="PUC1514" s="879"/>
      <c r="PUD1514" s="879"/>
      <c r="PUE1514" s="879"/>
      <c r="PUF1514" s="879"/>
      <c r="PUG1514" s="879"/>
      <c r="PUH1514" s="879"/>
      <c r="PUI1514" s="879"/>
      <c r="PUJ1514" s="879"/>
      <c r="PUK1514" s="879"/>
      <c r="PUL1514" s="879"/>
      <c r="PUM1514" s="879"/>
      <c r="PUN1514" s="879"/>
      <c r="PUO1514" s="879"/>
      <c r="PUP1514" s="879"/>
      <c r="PUQ1514" s="879"/>
      <c r="PUR1514" s="879"/>
      <c r="PUS1514" s="879"/>
      <c r="PUT1514" s="879"/>
      <c r="PUU1514" s="879"/>
      <c r="PUV1514" s="879"/>
      <c r="PUW1514" s="879"/>
      <c r="PUX1514" s="879"/>
      <c r="PUY1514" s="879"/>
      <c r="PUZ1514" s="879"/>
      <c r="PVA1514" s="879"/>
      <c r="PVB1514" s="879"/>
      <c r="PVC1514" s="879"/>
      <c r="PVD1514" s="879"/>
      <c r="PVE1514" s="879"/>
      <c r="PVF1514" s="879"/>
      <c r="PVG1514" s="879"/>
      <c r="PVH1514" s="879"/>
      <c r="PVI1514" s="879"/>
      <c r="PVJ1514" s="879"/>
      <c r="PVK1514" s="879"/>
      <c r="PVL1514" s="879"/>
      <c r="PVM1514" s="879"/>
      <c r="PVN1514" s="879"/>
      <c r="PVO1514" s="879"/>
      <c r="PVP1514" s="879"/>
      <c r="PVQ1514" s="879"/>
      <c r="PVR1514" s="879"/>
      <c r="PVS1514" s="879"/>
      <c r="PVT1514" s="879"/>
      <c r="PVU1514" s="879"/>
      <c r="PVV1514" s="879"/>
      <c r="PVW1514" s="879"/>
      <c r="PVX1514" s="879"/>
      <c r="PVY1514" s="879"/>
      <c r="PVZ1514" s="879"/>
      <c r="PWA1514" s="879"/>
      <c r="PWB1514" s="879"/>
      <c r="PWC1514" s="879"/>
      <c r="PWD1514" s="879"/>
      <c r="PWE1514" s="879"/>
      <c r="PWF1514" s="879"/>
      <c r="PWG1514" s="879"/>
      <c r="PWH1514" s="879"/>
      <c r="PWI1514" s="879"/>
      <c r="PWJ1514" s="879"/>
      <c r="PWK1514" s="879"/>
      <c r="PWL1514" s="879"/>
      <c r="PWM1514" s="879"/>
      <c r="PWN1514" s="879"/>
      <c r="PWO1514" s="879"/>
      <c r="PWP1514" s="879"/>
      <c r="PWQ1514" s="879"/>
      <c r="PWR1514" s="879"/>
      <c r="PWS1514" s="879"/>
      <c r="PWT1514" s="879"/>
      <c r="PWU1514" s="879"/>
      <c r="PWV1514" s="879"/>
      <c r="PWW1514" s="879"/>
      <c r="PWX1514" s="879"/>
      <c r="PWY1514" s="879"/>
      <c r="PWZ1514" s="879"/>
      <c r="PXA1514" s="879"/>
      <c r="PXB1514" s="879"/>
      <c r="PXC1514" s="879"/>
      <c r="PXD1514" s="879"/>
      <c r="PXE1514" s="879"/>
      <c r="PXF1514" s="879"/>
      <c r="PXG1514" s="879"/>
      <c r="PXH1514" s="879"/>
      <c r="PXI1514" s="879"/>
      <c r="PXJ1514" s="879"/>
      <c r="PXK1514" s="879"/>
      <c r="PXL1514" s="879"/>
      <c r="PXM1514" s="879"/>
      <c r="PXN1514" s="879"/>
      <c r="PXO1514" s="879"/>
      <c r="PXP1514" s="879"/>
      <c r="PXQ1514" s="879"/>
      <c r="PXR1514" s="879"/>
      <c r="PXS1514" s="879"/>
      <c r="PXT1514" s="879"/>
      <c r="PXU1514" s="879"/>
      <c r="PXV1514" s="879"/>
      <c r="PXW1514" s="879"/>
      <c r="PXX1514" s="879"/>
      <c r="PXY1514" s="879"/>
      <c r="PXZ1514" s="879"/>
      <c r="PYA1514" s="879"/>
      <c r="PYB1514" s="879"/>
      <c r="PYC1514" s="879"/>
      <c r="PYD1514" s="879"/>
      <c r="PYE1514" s="879"/>
      <c r="PYF1514" s="879"/>
      <c r="PYG1514" s="879"/>
      <c r="PYH1514" s="879"/>
      <c r="PYI1514" s="879"/>
      <c r="PYJ1514" s="879"/>
      <c r="PYK1514" s="879"/>
      <c r="PYL1514" s="879"/>
      <c r="PYM1514" s="879"/>
      <c r="PYN1514" s="879"/>
      <c r="PYO1514" s="879"/>
      <c r="PYP1514" s="879"/>
      <c r="PYQ1514" s="879"/>
      <c r="PYR1514" s="879"/>
      <c r="PYS1514" s="879"/>
      <c r="PYT1514" s="879"/>
      <c r="PYU1514" s="879"/>
      <c r="PYV1514" s="879"/>
      <c r="PYW1514" s="879"/>
      <c r="PYX1514" s="879"/>
      <c r="PYY1514" s="879"/>
      <c r="PYZ1514" s="879"/>
      <c r="PZA1514" s="879"/>
      <c r="PZB1514" s="879"/>
      <c r="PZC1514" s="879"/>
      <c r="PZD1514" s="879"/>
      <c r="PZE1514" s="879"/>
      <c r="PZF1514" s="879"/>
      <c r="PZG1514" s="879"/>
      <c r="PZH1514" s="879"/>
      <c r="PZI1514" s="879"/>
      <c r="PZJ1514" s="879"/>
      <c r="PZK1514" s="879"/>
      <c r="PZL1514" s="879"/>
      <c r="PZM1514" s="879"/>
      <c r="PZN1514" s="879"/>
      <c r="PZO1514" s="879"/>
      <c r="PZP1514" s="879"/>
      <c r="PZQ1514" s="879"/>
      <c r="PZR1514" s="879"/>
      <c r="PZS1514" s="879"/>
      <c r="PZT1514" s="879"/>
      <c r="PZU1514" s="879"/>
      <c r="PZV1514" s="879"/>
      <c r="PZW1514" s="879"/>
      <c r="PZX1514" s="879"/>
      <c r="PZY1514" s="879"/>
      <c r="PZZ1514" s="879"/>
      <c r="QAA1514" s="879"/>
      <c r="QAB1514" s="879"/>
      <c r="QAC1514" s="879"/>
      <c r="QAD1514" s="879"/>
      <c r="QAE1514" s="879"/>
      <c r="QAF1514" s="879"/>
      <c r="QAG1514" s="879"/>
      <c r="QAH1514" s="879"/>
      <c r="QAI1514" s="879"/>
      <c r="QAJ1514" s="879"/>
      <c r="QAK1514" s="879"/>
      <c r="QAL1514" s="879"/>
      <c r="QAM1514" s="879"/>
      <c r="QAN1514" s="879"/>
      <c r="QAO1514" s="879"/>
      <c r="QAP1514" s="879"/>
      <c r="QAQ1514" s="879"/>
      <c r="QAR1514" s="879"/>
      <c r="QAS1514" s="879"/>
      <c r="QAT1514" s="879"/>
      <c r="QAU1514" s="879"/>
      <c r="QAV1514" s="879"/>
      <c r="QAW1514" s="879"/>
      <c r="QAX1514" s="879"/>
      <c r="QAY1514" s="879"/>
      <c r="QAZ1514" s="879"/>
      <c r="QBA1514" s="879"/>
      <c r="QBB1514" s="879"/>
      <c r="QBC1514" s="879"/>
      <c r="QBD1514" s="879"/>
      <c r="QBE1514" s="879"/>
      <c r="QBF1514" s="879"/>
      <c r="QBG1514" s="879"/>
      <c r="QBH1514" s="879"/>
      <c r="QBI1514" s="879"/>
      <c r="QBJ1514" s="879"/>
      <c r="QBK1514" s="879"/>
      <c r="QBL1514" s="879"/>
      <c r="QBM1514" s="879"/>
      <c r="QBN1514" s="879"/>
      <c r="QBO1514" s="879"/>
      <c r="QBP1514" s="879"/>
      <c r="QBQ1514" s="879"/>
      <c r="QBR1514" s="879"/>
      <c r="QBS1514" s="879"/>
      <c r="QBT1514" s="879"/>
      <c r="QBU1514" s="879"/>
      <c r="QBV1514" s="879"/>
      <c r="QBW1514" s="879"/>
      <c r="QBX1514" s="879"/>
      <c r="QBY1514" s="879"/>
      <c r="QBZ1514" s="879"/>
      <c r="QCA1514" s="879"/>
      <c r="QCB1514" s="879"/>
      <c r="QCC1514" s="879"/>
      <c r="QCD1514" s="879"/>
      <c r="QCE1514" s="879"/>
      <c r="QCF1514" s="879"/>
      <c r="QCG1514" s="879"/>
      <c r="QCH1514" s="879"/>
      <c r="QCI1514" s="879"/>
      <c r="QCJ1514" s="879"/>
      <c r="QCK1514" s="879"/>
      <c r="QCL1514" s="879"/>
      <c r="QCM1514" s="879"/>
      <c r="QCN1514" s="879"/>
      <c r="QCO1514" s="879"/>
      <c r="QCP1514" s="879"/>
      <c r="QCQ1514" s="879"/>
      <c r="QCR1514" s="879"/>
      <c r="QCS1514" s="879"/>
      <c r="QCT1514" s="879"/>
      <c r="QCU1514" s="879"/>
      <c r="QCV1514" s="879"/>
      <c r="QCW1514" s="879"/>
      <c r="QCX1514" s="879"/>
      <c r="QCY1514" s="879"/>
      <c r="QCZ1514" s="879"/>
      <c r="QDA1514" s="879"/>
      <c r="QDB1514" s="879"/>
      <c r="QDC1514" s="879"/>
      <c r="QDD1514" s="879"/>
      <c r="QDE1514" s="879"/>
      <c r="QDF1514" s="879"/>
      <c r="QDG1514" s="879"/>
      <c r="QDH1514" s="879"/>
      <c r="QDI1514" s="879"/>
      <c r="QDJ1514" s="879"/>
      <c r="QDK1514" s="879"/>
      <c r="QDL1514" s="879"/>
      <c r="QDM1514" s="879"/>
      <c r="QDN1514" s="879"/>
      <c r="QDO1514" s="879"/>
      <c r="QDP1514" s="879"/>
      <c r="QDQ1514" s="879"/>
      <c r="QDR1514" s="879"/>
      <c r="QDS1514" s="879"/>
      <c r="QDT1514" s="879"/>
      <c r="QDU1514" s="879"/>
      <c r="QDV1514" s="879"/>
      <c r="QDW1514" s="879"/>
      <c r="QDX1514" s="879"/>
      <c r="QDY1514" s="879"/>
      <c r="QDZ1514" s="879"/>
      <c r="QEA1514" s="879"/>
      <c r="QEB1514" s="879"/>
      <c r="QEC1514" s="879"/>
      <c r="QED1514" s="879"/>
      <c r="QEE1514" s="879"/>
      <c r="QEF1514" s="879"/>
      <c r="QEG1514" s="879"/>
      <c r="QEH1514" s="879"/>
      <c r="QEI1514" s="879"/>
      <c r="QEJ1514" s="879"/>
      <c r="QEK1514" s="879"/>
      <c r="QEL1514" s="879"/>
      <c r="QEM1514" s="879"/>
      <c r="QEN1514" s="879"/>
      <c r="QEO1514" s="879"/>
      <c r="QEP1514" s="879"/>
      <c r="QEQ1514" s="879"/>
      <c r="QER1514" s="879"/>
      <c r="QES1514" s="879"/>
      <c r="QET1514" s="879"/>
      <c r="QEU1514" s="879"/>
      <c r="QEV1514" s="879"/>
      <c r="QEW1514" s="879"/>
      <c r="QEX1514" s="879"/>
      <c r="QEY1514" s="879"/>
      <c r="QEZ1514" s="879"/>
      <c r="QFA1514" s="879"/>
      <c r="QFB1514" s="879"/>
      <c r="QFC1514" s="879"/>
      <c r="QFD1514" s="879"/>
      <c r="QFE1514" s="879"/>
      <c r="QFF1514" s="879"/>
      <c r="QFG1514" s="879"/>
      <c r="QFH1514" s="879"/>
      <c r="QFI1514" s="879"/>
      <c r="QFJ1514" s="879"/>
      <c r="QFK1514" s="879"/>
      <c r="QFL1514" s="879"/>
      <c r="QFM1514" s="879"/>
      <c r="QFN1514" s="879"/>
      <c r="QFO1514" s="879"/>
      <c r="QFP1514" s="879"/>
      <c r="QFQ1514" s="879"/>
      <c r="QFR1514" s="879"/>
      <c r="QFS1514" s="879"/>
      <c r="QFT1514" s="879"/>
      <c r="QFU1514" s="879"/>
      <c r="QFV1514" s="879"/>
      <c r="QFW1514" s="879"/>
      <c r="QFX1514" s="879"/>
      <c r="QFY1514" s="879"/>
      <c r="QFZ1514" s="879"/>
      <c r="QGA1514" s="879"/>
      <c r="QGB1514" s="879"/>
      <c r="QGC1514" s="879"/>
      <c r="QGD1514" s="879"/>
      <c r="QGE1514" s="879"/>
      <c r="QGF1514" s="879"/>
      <c r="QGG1514" s="879"/>
      <c r="QGH1514" s="879"/>
      <c r="QGI1514" s="879"/>
      <c r="QGJ1514" s="879"/>
      <c r="QGK1514" s="879"/>
      <c r="QGL1514" s="879"/>
      <c r="QGM1514" s="879"/>
      <c r="QGN1514" s="879"/>
      <c r="QGO1514" s="879"/>
      <c r="QGP1514" s="879"/>
      <c r="QGQ1514" s="879"/>
      <c r="QGR1514" s="879"/>
      <c r="QGS1514" s="879"/>
      <c r="QGT1514" s="879"/>
      <c r="QGU1514" s="879"/>
      <c r="QGV1514" s="879"/>
      <c r="QGW1514" s="879"/>
      <c r="QGX1514" s="879"/>
      <c r="QGY1514" s="879"/>
      <c r="QGZ1514" s="879"/>
      <c r="QHA1514" s="879"/>
      <c r="QHB1514" s="879"/>
      <c r="QHC1514" s="879"/>
      <c r="QHD1514" s="879"/>
      <c r="QHE1514" s="879"/>
      <c r="QHF1514" s="879"/>
      <c r="QHG1514" s="879"/>
      <c r="QHH1514" s="879"/>
      <c r="QHI1514" s="879"/>
      <c r="QHJ1514" s="879"/>
      <c r="QHK1514" s="879"/>
      <c r="QHL1514" s="879"/>
      <c r="QHM1514" s="879"/>
      <c r="QHN1514" s="879"/>
      <c r="QHO1514" s="879"/>
      <c r="QHP1514" s="879"/>
      <c r="QHQ1514" s="879"/>
      <c r="QHR1514" s="879"/>
      <c r="QHS1514" s="879"/>
      <c r="QHT1514" s="879"/>
      <c r="QHU1514" s="879"/>
      <c r="QHV1514" s="879"/>
      <c r="QHW1514" s="879"/>
      <c r="QHX1514" s="879"/>
      <c r="QHY1514" s="879"/>
      <c r="QHZ1514" s="879"/>
      <c r="QIA1514" s="879"/>
      <c r="QIB1514" s="879"/>
      <c r="QIC1514" s="879"/>
      <c r="QID1514" s="879"/>
      <c r="QIE1514" s="879"/>
      <c r="QIF1514" s="879"/>
      <c r="QIG1514" s="879"/>
      <c r="QIH1514" s="879"/>
      <c r="QII1514" s="879"/>
      <c r="QIJ1514" s="879"/>
      <c r="QIK1514" s="879"/>
      <c r="QIL1514" s="879"/>
      <c r="QIM1514" s="879"/>
      <c r="QIN1514" s="879"/>
      <c r="QIO1514" s="879"/>
      <c r="QIP1514" s="879"/>
      <c r="QIQ1514" s="879"/>
      <c r="QIR1514" s="879"/>
      <c r="QIS1514" s="879"/>
      <c r="QIT1514" s="879"/>
      <c r="QIU1514" s="879"/>
      <c r="QIV1514" s="879"/>
      <c r="QIW1514" s="879"/>
      <c r="QIX1514" s="879"/>
      <c r="QIY1514" s="879"/>
      <c r="QIZ1514" s="879"/>
      <c r="QJA1514" s="879"/>
      <c r="QJB1514" s="879"/>
      <c r="QJC1514" s="879"/>
      <c r="QJD1514" s="879"/>
      <c r="QJE1514" s="879"/>
      <c r="QJF1514" s="879"/>
      <c r="QJG1514" s="879"/>
      <c r="QJH1514" s="879"/>
      <c r="QJI1514" s="879"/>
      <c r="QJJ1514" s="879"/>
      <c r="QJK1514" s="879"/>
      <c r="QJL1514" s="879"/>
      <c r="QJM1514" s="879"/>
      <c r="QJN1514" s="879"/>
      <c r="QJO1514" s="879"/>
      <c r="QJP1514" s="879"/>
      <c r="QJQ1514" s="879"/>
      <c r="QJR1514" s="879"/>
      <c r="QJS1514" s="879"/>
      <c r="QJT1514" s="879"/>
      <c r="QJU1514" s="879"/>
      <c r="QJV1514" s="879"/>
      <c r="QJW1514" s="879"/>
      <c r="QJX1514" s="879"/>
      <c r="QJY1514" s="879"/>
      <c r="QJZ1514" s="879"/>
      <c r="QKA1514" s="879"/>
      <c r="QKB1514" s="879"/>
      <c r="QKC1514" s="879"/>
      <c r="QKD1514" s="879"/>
      <c r="QKE1514" s="879"/>
      <c r="QKF1514" s="879"/>
      <c r="QKG1514" s="879"/>
      <c r="QKH1514" s="879"/>
      <c r="QKI1514" s="879"/>
      <c r="QKJ1514" s="879"/>
      <c r="QKK1514" s="879"/>
      <c r="QKL1514" s="879"/>
      <c r="QKM1514" s="879"/>
      <c r="QKN1514" s="879"/>
      <c r="QKO1514" s="879"/>
      <c r="QKP1514" s="879"/>
      <c r="QKQ1514" s="879"/>
      <c r="QKR1514" s="879"/>
      <c r="QKS1514" s="879"/>
      <c r="QKT1514" s="879"/>
      <c r="QKU1514" s="879"/>
      <c r="QKV1514" s="879"/>
      <c r="QKW1514" s="879"/>
      <c r="QKX1514" s="879"/>
      <c r="QKY1514" s="879"/>
      <c r="QKZ1514" s="879"/>
      <c r="QLA1514" s="879"/>
      <c r="QLB1514" s="879"/>
      <c r="QLC1514" s="879"/>
      <c r="QLD1514" s="879"/>
      <c r="QLE1514" s="879"/>
      <c r="QLF1514" s="879"/>
      <c r="QLG1514" s="879"/>
      <c r="QLH1514" s="879"/>
      <c r="QLI1514" s="879"/>
      <c r="QLJ1514" s="879"/>
      <c r="QLK1514" s="879"/>
      <c r="QLL1514" s="879"/>
      <c r="QLM1514" s="879"/>
      <c r="QLN1514" s="879"/>
      <c r="QLO1514" s="879"/>
      <c r="QLP1514" s="879"/>
      <c r="QLQ1514" s="879"/>
      <c r="QLR1514" s="879"/>
      <c r="QLS1514" s="879"/>
      <c r="QLT1514" s="879"/>
      <c r="QLU1514" s="879"/>
      <c r="QLV1514" s="879"/>
      <c r="QLW1514" s="879"/>
      <c r="QLX1514" s="879"/>
      <c r="QLY1514" s="879"/>
      <c r="QLZ1514" s="879"/>
      <c r="QMA1514" s="879"/>
      <c r="QMB1514" s="879"/>
      <c r="QMC1514" s="879"/>
      <c r="QMD1514" s="879"/>
      <c r="QME1514" s="879"/>
      <c r="QMF1514" s="879"/>
      <c r="QMG1514" s="879"/>
      <c r="QMH1514" s="879"/>
      <c r="QMI1514" s="879"/>
      <c r="QMJ1514" s="879"/>
      <c r="QMK1514" s="879"/>
      <c r="QML1514" s="879"/>
      <c r="QMM1514" s="879"/>
      <c r="QMN1514" s="879"/>
      <c r="QMO1514" s="879"/>
      <c r="QMP1514" s="879"/>
      <c r="QMQ1514" s="879"/>
      <c r="QMR1514" s="879"/>
      <c r="QMS1514" s="879"/>
      <c r="QMT1514" s="879"/>
      <c r="QMU1514" s="879"/>
      <c r="QMV1514" s="879"/>
      <c r="QMW1514" s="879"/>
      <c r="QMX1514" s="879"/>
      <c r="QMY1514" s="879"/>
      <c r="QMZ1514" s="879"/>
      <c r="QNA1514" s="879"/>
      <c r="QNB1514" s="879"/>
      <c r="QNC1514" s="879"/>
      <c r="QND1514" s="879"/>
      <c r="QNE1514" s="879"/>
      <c r="QNF1514" s="879"/>
      <c r="QNG1514" s="879"/>
      <c r="QNH1514" s="879"/>
      <c r="QNI1514" s="879"/>
      <c r="QNJ1514" s="879"/>
      <c r="QNK1514" s="879"/>
      <c r="QNL1514" s="879"/>
      <c r="QNM1514" s="879"/>
      <c r="QNN1514" s="879"/>
      <c r="QNO1514" s="879"/>
      <c r="QNP1514" s="879"/>
      <c r="QNQ1514" s="879"/>
      <c r="QNR1514" s="879"/>
      <c r="QNS1514" s="879"/>
      <c r="QNT1514" s="879"/>
      <c r="QNU1514" s="879"/>
      <c r="QNV1514" s="879"/>
      <c r="QNW1514" s="879"/>
      <c r="QNX1514" s="879"/>
      <c r="QNY1514" s="879"/>
      <c r="QNZ1514" s="879"/>
      <c r="QOA1514" s="879"/>
      <c r="QOB1514" s="879"/>
      <c r="QOC1514" s="879"/>
      <c r="QOD1514" s="879"/>
      <c r="QOE1514" s="879"/>
      <c r="QOF1514" s="879"/>
      <c r="QOG1514" s="879"/>
      <c r="QOH1514" s="879"/>
      <c r="QOI1514" s="879"/>
      <c r="QOJ1514" s="879"/>
      <c r="QOK1514" s="879"/>
      <c r="QOL1514" s="879"/>
      <c r="QOM1514" s="879"/>
      <c r="QON1514" s="879"/>
      <c r="QOO1514" s="879"/>
      <c r="QOP1514" s="879"/>
      <c r="QOQ1514" s="879"/>
      <c r="QOR1514" s="879"/>
      <c r="QOS1514" s="879"/>
      <c r="QOT1514" s="879"/>
      <c r="QOU1514" s="879"/>
      <c r="QOV1514" s="879"/>
      <c r="QOW1514" s="879"/>
      <c r="QOX1514" s="879"/>
      <c r="QOY1514" s="879"/>
      <c r="QOZ1514" s="879"/>
      <c r="QPA1514" s="879"/>
      <c r="QPB1514" s="879"/>
      <c r="QPC1514" s="879"/>
      <c r="QPD1514" s="879"/>
      <c r="QPE1514" s="879"/>
      <c r="QPF1514" s="879"/>
      <c r="QPG1514" s="879"/>
      <c r="QPH1514" s="879"/>
      <c r="QPI1514" s="879"/>
      <c r="QPJ1514" s="879"/>
      <c r="QPK1514" s="879"/>
      <c r="QPL1514" s="879"/>
      <c r="QPM1514" s="879"/>
      <c r="QPN1514" s="879"/>
      <c r="QPO1514" s="879"/>
      <c r="QPP1514" s="879"/>
      <c r="QPQ1514" s="879"/>
      <c r="QPR1514" s="879"/>
      <c r="QPS1514" s="879"/>
      <c r="QPT1514" s="879"/>
      <c r="QPU1514" s="879"/>
      <c r="QPV1514" s="879"/>
      <c r="QPW1514" s="879"/>
      <c r="QPX1514" s="879"/>
      <c r="QPY1514" s="879"/>
      <c r="QPZ1514" s="879"/>
      <c r="QQA1514" s="879"/>
      <c r="QQB1514" s="879"/>
      <c r="QQC1514" s="879"/>
      <c r="QQD1514" s="879"/>
      <c r="QQE1514" s="879"/>
      <c r="QQF1514" s="879"/>
      <c r="QQG1514" s="879"/>
      <c r="QQH1514" s="879"/>
      <c r="QQI1514" s="879"/>
      <c r="QQJ1514" s="879"/>
      <c r="QQK1514" s="879"/>
      <c r="QQL1514" s="879"/>
      <c r="QQM1514" s="879"/>
      <c r="QQN1514" s="879"/>
      <c r="QQO1514" s="879"/>
      <c r="QQP1514" s="879"/>
      <c r="QQQ1514" s="879"/>
      <c r="QQR1514" s="879"/>
      <c r="QQS1514" s="879"/>
      <c r="QQT1514" s="879"/>
      <c r="QQU1514" s="879"/>
      <c r="QQV1514" s="879"/>
      <c r="QQW1514" s="879"/>
      <c r="QQX1514" s="879"/>
      <c r="QQY1514" s="879"/>
      <c r="QQZ1514" s="879"/>
      <c r="QRA1514" s="879"/>
      <c r="QRB1514" s="879"/>
      <c r="QRC1514" s="879"/>
      <c r="QRD1514" s="879"/>
      <c r="QRE1514" s="879"/>
      <c r="QRF1514" s="879"/>
      <c r="QRG1514" s="879"/>
      <c r="QRH1514" s="879"/>
      <c r="QRI1514" s="879"/>
      <c r="QRJ1514" s="879"/>
      <c r="QRK1514" s="879"/>
      <c r="QRL1514" s="879"/>
      <c r="QRM1514" s="879"/>
      <c r="QRN1514" s="879"/>
      <c r="QRO1514" s="879"/>
      <c r="QRP1514" s="879"/>
      <c r="QRQ1514" s="879"/>
      <c r="QRR1514" s="879"/>
      <c r="QRS1514" s="879"/>
      <c r="QRT1514" s="879"/>
      <c r="QRU1514" s="879"/>
      <c r="QRV1514" s="879"/>
      <c r="QRW1514" s="879"/>
      <c r="QRX1514" s="879"/>
      <c r="QRY1514" s="879"/>
      <c r="QRZ1514" s="879"/>
      <c r="QSA1514" s="879"/>
      <c r="QSB1514" s="879"/>
      <c r="QSC1514" s="879"/>
      <c r="QSD1514" s="879"/>
      <c r="QSE1514" s="879"/>
      <c r="QSF1514" s="879"/>
      <c r="QSG1514" s="879"/>
      <c r="QSH1514" s="879"/>
      <c r="QSI1514" s="879"/>
      <c r="QSJ1514" s="879"/>
      <c r="QSK1514" s="879"/>
      <c r="QSL1514" s="879"/>
      <c r="QSM1514" s="879"/>
      <c r="QSN1514" s="879"/>
      <c r="QSO1514" s="879"/>
      <c r="QSP1514" s="879"/>
      <c r="QSQ1514" s="879"/>
      <c r="QSR1514" s="879"/>
      <c r="QSS1514" s="879"/>
      <c r="QST1514" s="879"/>
      <c r="QSU1514" s="879"/>
      <c r="QSV1514" s="879"/>
      <c r="QSW1514" s="879"/>
      <c r="QSX1514" s="879"/>
      <c r="QSY1514" s="879"/>
      <c r="QSZ1514" s="879"/>
      <c r="QTA1514" s="879"/>
      <c r="QTB1514" s="879"/>
      <c r="QTC1514" s="879"/>
      <c r="QTD1514" s="879"/>
      <c r="QTE1514" s="879"/>
      <c r="QTF1514" s="879"/>
      <c r="QTG1514" s="879"/>
      <c r="QTH1514" s="879"/>
      <c r="QTI1514" s="879"/>
      <c r="QTJ1514" s="879"/>
      <c r="QTK1514" s="879"/>
      <c r="QTL1514" s="879"/>
      <c r="QTM1514" s="879"/>
      <c r="QTN1514" s="879"/>
      <c r="QTO1514" s="879"/>
      <c r="QTP1514" s="879"/>
      <c r="QTQ1514" s="879"/>
      <c r="QTR1514" s="879"/>
      <c r="QTS1514" s="879"/>
      <c r="QTT1514" s="879"/>
      <c r="QTU1514" s="879"/>
      <c r="QTV1514" s="879"/>
      <c r="QTW1514" s="879"/>
      <c r="QTX1514" s="879"/>
      <c r="QTY1514" s="879"/>
      <c r="QTZ1514" s="879"/>
      <c r="QUA1514" s="879"/>
      <c r="QUB1514" s="879"/>
      <c r="QUC1514" s="879"/>
      <c r="QUD1514" s="879"/>
      <c r="QUE1514" s="879"/>
      <c r="QUF1514" s="879"/>
      <c r="QUG1514" s="879"/>
      <c r="QUH1514" s="879"/>
      <c r="QUI1514" s="879"/>
      <c r="QUJ1514" s="879"/>
      <c r="QUK1514" s="879"/>
      <c r="QUL1514" s="879"/>
      <c r="QUM1514" s="879"/>
      <c r="QUN1514" s="879"/>
      <c r="QUO1514" s="879"/>
      <c r="QUP1514" s="879"/>
      <c r="QUQ1514" s="879"/>
      <c r="QUR1514" s="879"/>
      <c r="QUS1514" s="879"/>
      <c r="QUT1514" s="879"/>
      <c r="QUU1514" s="879"/>
      <c r="QUV1514" s="879"/>
      <c r="QUW1514" s="879"/>
      <c r="QUX1514" s="879"/>
      <c r="QUY1514" s="879"/>
      <c r="QUZ1514" s="879"/>
      <c r="QVA1514" s="879"/>
      <c r="QVB1514" s="879"/>
      <c r="QVC1514" s="879"/>
      <c r="QVD1514" s="879"/>
      <c r="QVE1514" s="879"/>
      <c r="QVF1514" s="879"/>
      <c r="QVG1514" s="879"/>
      <c r="QVH1514" s="879"/>
      <c r="QVI1514" s="879"/>
      <c r="QVJ1514" s="879"/>
      <c r="QVK1514" s="879"/>
      <c r="QVL1514" s="879"/>
      <c r="QVM1514" s="879"/>
      <c r="QVN1514" s="879"/>
      <c r="QVO1514" s="879"/>
      <c r="QVP1514" s="879"/>
      <c r="QVQ1514" s="879"/>
      <c r="QVR1514" s="879"/>
      <c r="QVS1514" s="879"/>
      <c r="QVT1514" s="879"/>
      <c r="QVU1514" s="879"/>
      <c r="QVV1514" s="879"/>
      <c r="QVW1514" s="879"/>
      <c r="QVX1514" s="879"/>
      <c r="QVY1514" s="879"/>
      <c r="QVZ1514" s="879"/>
      <c r="QWA1514" s="879"/>
      <c r="QWB1514" s="879"/>
      <c r="QWC1514" s="879"/>
      <c r="QWD1514" s="879"/>
      <c r="QWE1514" s="879"/>
      <c r="QWF1514" s="879"/>
      <c r="QWG1514" s="879"/>
      <c r="QWH1514" s="879"/>
      <c r="QWI1514" s="879"/>
      <c r="QWJ1514" s="879"/>
      <c r="QWK1514" s="879"/>
      <c r="QWL1514" s="879"/>
      <c r="QWM1514" s="879"/>
      <c r="QWN1514" s="879"/>
      <c r="QWO1514" s="879"/>
      <c r="QWP1514" s="879"/>
      <c r="QWQ1514" s="879"/>
      <c r="QWR1514" s="879"/>
      <c r="QWS1514" s="879"/>
      <c r="QWT1514" s="879"/>
      <c r="QWU1514" s="879"/>
      <c r="QWV1514" s="879"/>
      <c r="QWW1514" s="879"/>
      <c r="QWX1514" s="879"/>
      <c r="QWY1514" s="879"/>
      <c r="QWZ1514" s="879"/>
      <c r="QXA1514" s="879"/>
      <c r="QXB1514" s="879"/>
      <c r="QXC1514" s="879"/>
      <c r="QXD1514" s="879"/>
      <c r="QXE1514" s="879"/>
      <c r="QXF1514" s="879"/>
      <c r="QXG1514" s="879"/>
      <c r="QXH1514" s="879"/>
      <c r="QXI1514" s="879"/>
      <c r="QXJ1514" s="879"/>
      <c r="QXK1514" s="879"/>
      <c r="QXL1514" s="879"/>
      <c r="QXM1514" s="879"/>
      <c r="QXN1514" s="879"/>
      <c r="QXO1514" s="879"/>
      <c r="QXP1514" s="879"/>
      <c r="QXQ1514" s="879"/>
      <c r="QXR1514" s="879"/>
      <c r="QXS1514" s="879"/>
      <c r="QXT1514" s="879"/>
      <c r="QXU1514" s="879"/>
      <c r="QXV1514" s="879"/>
      <c r="QXW1514" s="879"/>
      <c r="QXX1514" s="879"/>
      <c r="QXY1514" s="879"/>
      <c r="QXZ1514" s="879"/>
      <c r="QYA1514" s="879"/>
      <c r="QYB1514" s="879"/>
      <c r="QYC1514" s="879"/>
      <c r="QYD1514" s="879"/>
      <c r="QYE1514" s="879"/>
      <c r="QYF1514" s="879"/>
      <c r="QYG1514" s="879"/>
      <c r="QYH1514" s="879"/>
      <c r="QYI1514" s="879"/>
      <c r="QYJ1514" s="879"/>
      <c r="QYK1514" s="879"/>
      <c r="QYL1514" s="879"/>
      <c r="QYM1514" s="879"/>
      <c r="QYN1514" s="879"/>
      <c r="QYO1514" s="879"/>
      <c r="QYP1514" s="879"/>
      <c r="QYQ1514" s="879"/>
      <c r="QYR1514" s="879"/>
      <c r="QYS1514" s="879"/>
      <c r="QYT1514" s="879"/>
      <c r="QYU1514" s="879"/>
      <c r="QYV1514" s="879"/>
      <c r="QYW1514" s="879"/>
      <c r="QYX1514" s="879"/>
      <c r="QYY1514" s="879"/>
      <c r="QYZ1514" s="879"/>
      <c r="QZA1514" s="879"/>
      <c r="QZB1514" s="879"/>
      <c r="QZC1514" s="879"/>
      <c r="QZD1514" s="879"/>
      <c r="QZE1514" s="879"/>
      <c r="QZF1514" s="879"/>
      <c r="QZG1514" s="879"/>
      <c r="QZH1514" s="879"/>
      <c r="QZI1514" s="879"/>
      <c r="QZJ1514" s="879"/>
      <c r="QZK1514" s="879"/>
      <c r="QZL1514" s="879"/>
      <c r="QZM1514" s="879"/>
      <c r="QZN1514" s="879"/>
      <c r="QZO1514" s="879"/>
      <c r="QZP1514" s="879"/>
      <c r="QZQ1514" s="879"/>
      <c r="QZR1514" s="879"/>
      <c r="QZS1514" s="879"/>
      <c r="QZT1514" s="879"/>
      <c r="QZU1514" s="879"/>
      <c r="QZV1514" s="879"/>
      <c r="QZW1514" s="879"/>
      <c r="QZX1514" s="879"/>
      <c r="QZY1514" s="879"/>
      <c r="QZZ1514" s="879"/>
      <c r="RAA1514" s="879"/>
      <c r="RAB1514" s="879"/>
      <c r="RAC1514" s="879"/>
      <c r="RAD1514" s="879"/>
      <c r="RAE1514" s="879"/>
      <c r="RAF1514" s="879"/>
      <c r="RAG1514" s="879"/>
      <c r="RAH1514" s="879"/>
      <c r="RAI1514" s="879"/>
      <c r="RAJ1514" s="879"/>
      <c r="RAK1514" s="879"/>
      <c r="RAL1514" s="879"/>
      <c r="RAM1514" s="879"/>
      <c r="RAN1514" s="879"/>
      <c r="RAO1514" s="879"/>
      <c r="RAP1514" s="879"/>
      <c r="RAQ1514" s="879"/>
      <c r="RAR1514" s="879"/>
      <c r="RAS1514" s="879"/>
      <c r="RAT1514" s="879"/>
      <c r="RAU1514" s="879"/>
      <c r="RAV1514" s="879"/>
      <c r="RAW1514" s="879"/>
      <c r="RAX1514" s="879"/>
      <c r="RAY1514" s="879"/>
      <c r="RAZ1514" s="879"/>
      <c r="RBA1514" s="879"/>
      <c r="RBB1514" s="879"/>
      <c r="RBC1514" s="879"/>
      <c r="RBD1514" s="879"/>
      <c r="RBE1514" s="879"/>
      <c r="RBF1514" s="879"/>
      <c r="RBG1514" s="879"/>
      <c r="RBH1514" s="879"/>
      <c r="RBI1514" s="879"/>
      <c r="RBJ1514" s="879"/>
      <c r="RBK1514" s="879"/>
      <c r="RBL1514" s="879"/>
      <c r="RBM1514" s="879"/>
      <c r="RBN1514" s="879"/>
      <c r="RBO1514" s="879"/>
      <c r="RBP1514" s="879"/>
      <c r="RBQ1514" s="879"/>
      <c r="RBR1514" s="879"/>
      <c r="RBS1514" s="879"/>
      <c r="RBT1514" s="879"/>
      <c r="RBU1514" s="879"/>
      <c r="RBV1514" s="879"/>
      <c r="RBW1514" s="879"/>
      <c r="RBX1514" s="879"/>
      <c r="RBY1514" s="879"/>
      <c r="RBZ1514" s="879"/>
      <c r="RCA1514" s="879"/>
      <c r="RCB1514" s="879"/>
      <c r="RCC1514" s="879"/>
      <c r="RCD1514" s="879"/>
      <c r="RCE1514" s="879"/>
      <c r="RCF1514" s="879"/>
      <c r="RCG1514" s="879"/>
      <c r="RCH1514" s="879"/>
      <c r="RCI1514" s="879"/>
      <c r="RCJ1514" s="879"/>
      <c r="RCK1514" s="879"/>
      <c r="RCL1514" s="879"/>
      <c r="RCM1514" s="879"/>
      <c r="RCN1514" s="879"/>
      <c r="RCO1514" s="879"/>
      <c r="RCP1514" s="879"/>
      <c r="RCQ1514" s="879"/>
      <c r="RCR1514" s="879"/>
      <c r="RCS1514" s="879"/>
      <c r="RCT1514" s="879"/>
      <c r="RCU1514" s="879"/>
      <c r="RCV1514" s="879"/>
      <c r="RCW1514" s="879"/>
      <c r="RCX1514" s="879"/>
      <c r="RCY1514" s="879"/>
      <c r="RCZ1514" s="879"/>
      <c r="RDA1514" s="879"/>
      <c r="RDB1514" s="879"/>
      <c r="RDC1514" s="879"/>
      <c r="RDD1514" s="879"/>
      <c r="RDE1514" s="879"/>
      <c r="RDF1514" s="879"/>
      <c r="RDG1514" s="879"/>
      <c r="RDH1514" s="879"/>
      <c r="RDI1514" s="879"/>
      <c r="RDJ1514" s="879"/>
      <c r="RDK1514" s="879"/>
      <c r="RDL1514" s="879"/>
      <c r="RDM1514" s="879"/>
      <c r="RDN1514" s="879"/>
      <c r="RDO1514" s="879"/>
      <c r="RDP1514" s="879"/>
      <c r="RDQ1514" s="879"/>
      <c r="RDR1514" s="879"/>
      <c r="RDS1514" s="879"/>
      <c r="RDT1514" s="879"/>
      <c r="RDU1514" s="879"/>
      <c r="RDV1514" s="879"/>
      <c r="RDW1514" s="879"/>
      <c r="RDX1514" s="879"/>
      <c r="RDY1514" s="879"/>
      <c r="RDZ1514" s="879"/>
      <c r="REA1514" s="879"/>
      <c r="REB1514" s="879"/>
      <c r="REC1514" s="879"/>
      <c r="RED1514" s="879"/>
      <c r="REE1514" s="879"/>
      <c r="REF1514" s="879"/>
      <c r="REG1514" s="879"/>
      <c r="REH1514" s="879"/>
      <c r="REI1514" s="879"/>
      <c r="REJ1514" s="879"/>
      <c r="REK1514" s="879"/>
      <c r="REL1514" s="879"/>
      <c r="REM1514" s="879"/>
      <c r="REN1514" s="879"/>
      <c r="REO1514" s="879"/>
      <c r="REP1514" s="879"/>
      <c r="REQ1514" s="879"/>
      <c r="RER1514" s="879"/>
      <c r="RES1514" s="879"/>
      <c r="RET1514" s="879"/>
      <c r="REU1514" s="879"/>
      <c r="REV1514" s="879"/>
      <c r="REW1514" s="879"/>
      <c r="REX1514" s="879"/>
      <c r="REY1514" s="879"/>
      <c r="REZ1514" s="879"/>
      <c r="RFA1514" s="879"/>
      <c r="RFB1514" s="879"/>
      <c r="RFC1514" s="879"/>
      <c r="RFD1514" s="879"/>
      <c r="RFE1514" s="879"/>
      <c r="RFF1514" s="879"/>
      <c r="RFG1514" s="879"/>
      <c r="RFH1514" s="879"/>
      <c r="RFI1514" s="879"/>
      <c r="RFJ1514" s="879"/>
      <c r="RFK1514" s="879"/>
      <c r="RFL1514" s="879"/>
      <c r="RFM1514" s="879"/>
      <c r="RFN1514" s="879"/>
      <c r="RFO1514" s="879"/>
      <c r="RFP1514" s="879"/>
      <c r="RFQ1514" s="879"/>
      <c r="RFR1514" s="879"/>
      <c r="RFS1514" s="879"/>
      <c r="RFT1514" s="879"/>
      <c r="RFU1514" s="879"/>
      <c r="RFV1514" s="879"/>
      <c r="RFW1514" s="879"/>
      <c r="RFX1514" s="879"/>
      <c r="RFY1514" s="879"/>
      <c r="RFZ1514" s="879"/>
      <c r="RGA1514" s="879"/>
      <c r="RGB1514" s="879"/>
      <c r="RGC1514" s="879"/>
      <c r="RGD1514" s="879"/>
      <c r="RGE1514" s="879"/>
      <c r="RGF1514" s="879"/>
      <c r="RGG1514" s="879"/>
      <c r="RGH1514" s="879"/>
      <c r="RGI1514" s="879"/>
      <c r="RGJ1514" s="879"/>
      <c r="RGK1514" s="879"/>
      <c r="RGL1514" s="879"/>
      <c r="RGM1514" s="879"/>
      <c r="RGN1514" s="879"/>
      <c r="RGO1514" s="879"/>
      <c r="RGP1514" s="879"/>
      <c r="RGQ1514" s="879"/>
      <c r="RGR1514" s="879"/>
      <c r="RGS1514" s="879"/>
      <c r="RGT1514" s="879"/>
      <c r="RGU1514" s="879"/>
      <c r="RGV1514" s="879"/>
      <c r="RGW1514" s="879"/>
      <c r="RGX1514" s="879"/>
      <c r="RGY1514" s="879"/>
      <c r="RGZ1514" s="879"/>
      <c r="RHA1514" s="879"/>
      <c r="RHB1514" s="879"/>
      <c r="RHC1514" s="879"/>
      <c r="RHD1514" s="879"/>
      <c r="RHE1514" s="879"/>
      <c r="RHF1514" s="879"/>
      <c r="RHG1514" s="879"/>
      <c r="RHH1514" s="879"/>
      <c r="RHI1514" s="879"/>
      <c r="RHJ1514" s="879"/>
      <c r="RHK1514" s="879"/>
      <c r="RHL1514" s="879"/>
      <c r="RHM1514" s="879"/>
      <c r="RHN1514" s="879"/>
      <c r="RHO1514" s="879"/>
      <c r="RHP1514" s="879"/>
      <c r="RHQ1514" s="879"/>
      <c r="RHR1514" s="879"/>
      <c r="RHS1514" s="879"/>
      <c r="RHT1514" s="879"/>
      <c r="RHU1514" s="879"/>
      <c r="RHV1514" s="879"/>
      <c r="RHW1514" s="879"/>
      <c r="RHX1514" s="879"/>
      <c r="RHY1514" s="879"/>
      <c r="RHZ1514" s="879"/>
      <c r="RIA1514" s="879"/>
      <c r="RIB1514" s="879"/>
      <c r="RIC1514" s="879"/>
      <c r="RID1514" s="879"/>
      <c r="RIE1514" s="879"/>
      <c r="RIF1514" s="879"/>
      <c r="RIG1514" s="879"/>
      <c r="RIH1514" s="879"/>
      <c r="RII1514" s="879"/>
      <c r="RIJ1514" s="879"/>
      <c r="RIK1514" s="879"/>
      <c r="RIL1514" s="879"/>
      <c r="RIM1514" s="879"/>
      <c r="RIN1514" s="879"/>
      <c r="RIO1514" s="879"/>
      <c r="RIP1514" s="879"/>
      <c r="RIQ1514" s="879"/>
      <c r="RIR1514" s="879"/>
      <c r="RIS1514" s="879"/>
      <c r="RIT1514" s="879"/>
      <c r="RIU1514" s="879"/>
      <c r="RIV1514" s="879"/>
      <c r="RIW1514" s="879"/>
      <c r="RIX1514" s="879"/>
      <c r="RIY1514" s="879"/>
      <c r="RIZ1514" s="879"/>
      <c r="RJA1514" s="879"/>
      <c r="RJB1514" s="879"/>
      <c r="RJC1514" s="879"/>
      <c r="RJD1514" s="879"/>
      <c r="RJE1514" s="879"/>
      <c r="RJF1514" s="879"/>
      <c r="RJG1514" s="879"/>
      <c r="RJH1514" s="879"/>
      <c r="RJI1514" s="879"/>
      <c r="RJJ1514" s="879"/>
      <c r="RJK1514" s="879"/>
      <c r="RJL1514" s="879"/>
      <c r="RJM1514" s="879"/>
      <c r="RJN1514" s="879"/>
      <c r="RJO1514" s="879"/>
      <c r="RJP1514" s="879"/>
      <c r="RJQ1514" s="879"/>
      <c r="RJR1514" s="879"/>
      <c r="RJS1514" s="879"/>
      <c r="RJT1514" s="879"/>
      <c r="RJU1514" s="879"/>
      <c r="RJV1514" s="879"/>
      <c r="RJW1514" s="879"/>
      <c r="RJX1514" s="879"/>
      <c r="RJY1514" s="879"/>
      <c r="RJZ1514" s="879"/>
      <c r="RKA1514" s="879"/>
      <c r="RKB1514" s="879"/>
      <c r="RKC1514" s="879"/>
      <c r="RKD1514" s="879"/>
      <c r="RKE1514" s="879"/>
      <c r="RKF1514" s="879"/>
      <c r="RKG1514" s="879"/>
      <c r="RKH1514" s="879"/>
      <c r="RKI1514" s="879"/>
      <c r="RKJ1514" s="879"/>
      <c r="RKK1514" s="879"/>
      <c r="RKL1514" s="879"/>
      <c r="RKM1514" s="879"/>
      <c r="RKN1514" s="879"/>
      <c r="RKO1514" s="879"/>
      <c r="RKP1514" s="879"/>
      <c r="RKQ1514" s="879"/>
      <c r="RKR1514" s="879"/>
      <c r="RKS1514" s="879"/>
      <c r="RKT1514" s="879"/>
      <c r="RKU1514" s="879"/>
      <c r="RKV1514" s="879"/>
      <c r="RKW1514" s="879"/>
      <c r="RKX1514" s="879"/>
      <c r="RKY1514" s="879"/>
      <c r="RKZ1514" s="879"/>
      <c r="RLA1514" s="879"/>
      <c r="RLB1514" s="879"/>
      <c r="RLC1514" s="879"/>
      <c r="RLD1514" s="879"/>
      <c r="RLE1514" s="879"/>
      <c r="RLF1514" s="879"/>
      <c r="RLG1514" s="879"/>
      <c r="RLH1514" s="879"/>
      <c r="RLI1514" s="879"/>
      <c r="RLJ1514" s="879"/>
      <c r="RLK1514" s="879"/>
      <c r="RLL1514" s="879"/>
      <c r="RLM1514" s="879"/>
      <c r="RLN1514" s="879"/>
      <c r="RLO1514" s="879"/>
      <c r="RLP1514" s="879"/>
      <c r="RLQ1514" s="879"/>
      <c r="RLR1514" s="879"/>
      <c r="RLS1514" s="879"/>
      <c r="RLT1514" s="879"/>
      <c r="RLU1514" s="879"/>
      <c r="RLV1514" s="879"/>
      <c r="RLW1514" s="879"/>
      <c r="RLX1514" s="879"/>
      <c r="RLY1514" s="879"/>
      <c r="RLZ1514" s="879"/>
      <c r="RMA1514" s="879"/>
      <c r="RMB1514" s="879"/>
      <c r="RMC1514" s="879"/>
      <c r="RMD1514" s="879"/>
      <c r="RME1514" s="879"/>
      <c r="RMF1514" s="879"/>
      <c r="RMG1514" s="879"/>
      <c r="RMH1514" s="879"/>
      <c r="RMI1514" s="879"/>
      <c r="RMJ1514" s="879"/>
      <c r="RMK1514" s="879"/>
      <c r="RML1514" s="879"/>
      <c r="RMM1514" s="879"/>
      <c r="RMN1514" s="879"/>
      <c r="RMO1514" s="879"/>
      <c r="RMP1514" s="879"/>
      <c r="RMQ1514" s="879"/>
      <c r="RMR1514" s="879"/>
      <c r="RMS1514" s="879"/>
      <c r="RMT1514" s="879"/>
      <c r="RMU1514" s="879"/>
      <c r="RMV1514" s="879"/>
      <c r="RMW1514" s="879"/>
      <c r="RMX1514" s="879"/>
      <c r="RMY1514" s="879"/>
      <c r="RMZ1514" s="879"/>
      <c r="RNA1514" s="879"/>
      <c r="RNB1514" s="879"/>
      <c r="RNC1514" s="879"/>
      <c r="RND1514" s="879"/>
      <c r="RNE1514" s="879"/>
      <c r="RNF1514" s="879"/>
      <c r="RNG1514" s="879"/>
      <c r="RNH1514" s="879"/>
      <c r="RNI1514" s="879"/>
      <c r="RNJ1514" s="879"/>
      <c r="RNK1514" s="879"/>
      <c r="RNL1514" s="879"/>
      <c r="RNM1514" s="879"/>
      <c r="RNN1514" s="879"/>
      <c r="RNO1514" s="879"/>
      <c r="RNP1514" s="879"/>
      <c r="RNQ1514" s="879"/>
      <c r="RNR1514" s="879"/>
      <c r="RNS1514" s="879"/>
      <c r="RNT1514" s="879"/>
      <c r="RNU1514" s="879"/>
      <c r="RNV1514" s="879"/>
      <c r="RNW1514" s="879"/>
      <c r="RNX1514" s="879"/>
      <c r="RNY1514" s="879"/>
      <c r="RNZ1514" s="879"/>
      <c r="ROA1514" s="879"/>
      <c r="ROB1514" s="879"/>
      <c r="ROC1514" s="879"/>
      <c r="ROD1514" s="879"/>
      <c r="ROE1514" s="879"/>
      <c r="ROF1514" s="879"/>
      <c r="ROG1514" s="879"/>
      <c r="ROH1514" s="879"/>
      <c r="ROI1514" s="879"/>
      <c r="ROJ1514" s="879"/>
      <c r="ROK1514" s="879"/>
      <c r="ROL1514" s="879"/>
      <c r="ROM1514" s="879"/>
      <c r="RON1514" s="879"/>
      <c r="ROO1514" s="879"/>
      <c r="ROP1514" s="879"/>
      <c r="ROQ1514" s="879"/>
      <c r="ROR1514" s="879"/>
      <c r="ROS1514" s="879"/>
      <c r="ROT1514" s="879"/>
      <c r="ROU1514" s="879"/>
      <c r="ROV1514" s="879"/>
      <c r="ROW1514" s="879"/>
      <c r="ROX1514" s="879"/>
      <c r="ROY1514" s="879"/>
      <c r="ROZ1514" s="879"/>
      <c r="RPA1514" s="879"/>
      <c r="RPB1514" s="879"/>
      <c r="RPC1514" s="879"/>
      <c r="RPD1514" s="879"/>
      <c r="RPE1514" s="879"/>
      <c r="RPF1514" s="879"/>
      <c r="RPG1514" s="879"/>
      <c r="RPH1514" s="879"/>
      <c r="RPI1514" s="879"/>
      <c r="RPJ1514" s="879"/>
      <c r="RPK1514" s="879"/>
      <c r="RPL1514" s="879"/>
      <c r="RPM1514" s="879"/>
      <c r="RPN1514" s="879"/>
      <c r="RPO1514" s="879"/>
      <c r="RPP1514" s="879"/>
      <c r="RPQ1514" s="879"/>
      <c r="RPR1514" s="879"/>
      <c r="RPS1514" s="879"/>
      <c r="RPT1514" s="879"/>
      <c r="RPU1514" s="879"/>
      <c r="RPV1514" s="879"/>
      <c r="RPW1514" s="879"/>
      <c r="RPX1514" s="879"/>
      <c r="RPY1514" s="879"/>
      <c r="RPZ1514" s="879"/>
      <c r="RQA1514" s="879"/>
      <c r="RQB1514" s="879"/>
      <c r="RQC1514" s="879"/>
      <c r="RQD1514" s="879"/>
      <c r="RQE1514" s="879"/>
      <c r="RQF1514" s="879"/>
      <c r="RQG1514" s="879"/>
      <c r="RQH1514" s="879"/>
      <c r="RQI1514" s="879"/>
      <c r="RQJ1514" s="879"/>
      <c r="RQK1514" s="879"/>
      <c r="RQL1514" s="879"/>
      <c r="RQM1514" s="879"/>
      <c r="RQN1514" s="879"/>
      <c r="RQO1514" s="879"/>
      <c r="RQP1514" s="879"/>
      <c r="RQQ1514" s="879"/>
      <c r="RQR1514" s="879"/>
      <c r="RQS1514" s="879"/>
      <c r="RQT1514" s="879"/>
      <c r="RQU1514" s="879"/>
      <c r="RQV1514" s="879"/>
      <c r="RQW1514" s="879"/>
      <c r="RQX1514" s="879"/>
      <c r="RQY1514" s="879"/>
      <c r="RQZ1514" s="879"/>
      <c r="RRA1514" s="879"/>
      <c r="RRB1514" s="879"/>
      <c r="RRC1514" s="879"/>
      <c r="RRD1514" s="879"/>
      <c r="RRE1514" s="879"/>
      <c r="RRF1514" s="879"/>
      <c r="RRG1514" s="879"/>
      <c r="RRH1514" s="879"/>
      <c r="RRI1514" s="879"/>
      <c r="RRJ1514" s="879"/>
      <c r="RRK1514" s="879"/>
      <c r="RRL1514" s="879"/>
      <c r="RRM1514" s="879"/>
      <c r="RRN1514" s="879"/>
      <c r="RRO1514" s="879"/>
      <c r="RRP1514" s="879"/>
      <c r="RRQ1514" s="879"/>
      <c r="RRR1514" s="879"/>
      <c r="RRS1514" s="879"/>
      <c r="RRT1514" s="879"/>
      <c r="RRU1514" s="879"/>
      <c r="RRV1514" s="879"/>
      <c r="RRW1514" s="879"/>
      <c r="RRX1514" s="879"/>
      <c r="RRY1514" s="879"/>
      <c r="RRZ1514" s="879"/>
      <c r="RSA1514" s="879"/>
      <c r="RSB1514" s="879"/>
      <c r="RSC1514" s="879"/>
      <c r="RSD1514" s="879"/>
      <c r="RSE1514" s="879"/>
      <c r="RSF1514" s="879"/>
      <c r="RSG1514" s="879"/>
      <c r="RSH1514" s="879"/>
      <c r="RSI1514" s="879"/>
      <c r="RSJ1514" s="879"/>
      <c r="RSK1514" s="879"/>
      <c r="RSL1514" s="879"/>
      <c r="RSM1514" s="879"/>
      <c r="RSN1514" s="879"/>
      <c r="RSO1514" s="879"/>
      <c r="RSP1514" s="879"/>
      <c r="RSQ1514" s="879"/>
      <c r="RSR1514" s="879"/>
      <c r="RSS1514" s="879"/>
      <c r="RST1514" s="879"/>
      <c r="RSU1514" s="879"/>
      <c r="RSV1514" s="879"/>
      <c r="RSW1514" s="879"/>
      <c r="RSX1514" s="879"/>
      <c r="RSY1514" s="879"/>
      <c r="RSZ1514" s="879"/>
      <c r="RTA1514" s="879"/>
      <c r="RTB1514" s="879"/>
      <c r="RTC1514" s="879"/>
      <c r="RTD1514" s="879"/>
      <c r="RTE1514" s="879"/>
      <c r="RTF1514" s="879"/>
      <c r="RTG1514" s="879"/>
      <c r="RTH1514" s="879"/>
      <c r="RTI1514" s="879"/>
      <c r="RTJ1514" s="879"/>
      <c r="RTK1514" s="879"/>
      <c r="RTL1514" s="879"/>
      <c r="RTM1514" s="879"/>
      <c r="RTN1514" s="879"/>
      <c r="RTO1514" s="879"/>
      <c r="RTP1514" s="879"/>
      <c r="RTQ1514" s="879"/>
      <c r="RTR1514" s="879"/>
      <c r="RTS1514" s="879"/>
      <c r="RTT1514" s="879"/>
      <c r="RTU1514" s="879"/>
      <c r="RTV1514" s="879"/>
      <c r="RTW1514" s="879"/>
      <c r="RTX1514" s="879"/>
      <c r="RTY1514" s="879"/>
      <c r="RTZ1514" s="879"/>
      <c r="RUA1514" s="879"/>
      <c r="RUB1514" s="879"/>
      <c r="RUC1514" s="879"/>
      <c r="RUD1514" s="879"/>
      <c r="RUE1514" s="879"/>
      <c r="RUF1514" s="879"/>
      <c r="RUG1514" s="879"/>
      <c r="RUH1514" s="879"/>
      <c r="RUI1514" s="879"/>
      <c r="RUJ1514" s="879"/>
      <c r="RUK1514" s="879"/>
      <c r="RUL1514" s="879"/>
      <c r="RUM1514" s="879"/>
      <c r="RUN1514" s="879"/>
      <c r="RUO1514" s="879"/>
      <c r="RUP1514" s="879"/>
      <c r="RUQ1514" s="879"/>
      <c r="RUR1514" s="879"/>
      <c r="RUS1514" s="879"/>
      <c r="RUT1514" s="879"/>
      <c r="RUU1514" s="879"/>
      <c r="RUV1514" s="879"/>
      <c r="RUW1514" s="879"/>
      <c r="RUX1514" s="879"/>
      <c r="RUY1514" s="879"/>
      <c r="RUZ1514" s="879"/>
      <c r="RVA1514" s="879"/>
      <c r="RVB1514" s="879"/>
      <c r="RVC1514" s="879"/>
      <c r="RVD1514" s="879"/>
      <c r="RVE1514" s="879"/>
      <c r="RVF1514" s="879"/>
      <c r="RVG1514" s="879"/>
      <c r="RVH1514" s="879"/>
      <c r="RVI1514" s="879"/>
      <c r="RVJ1514" s="879"/>
      <c r="RVK1514" s="879"/>
      <c r="RVL1514" s="879"/>
      <c r="RVM1514" s="879"/>
      <c r="RVN1514" s="879"/>
      <c r="RVO1514" s="879"/>
      <c r="RVP1514" s="879"/>
      <c r="RVQ1514" s="879"/>
      <c r="RVR1514" s="879"/>
      <c r="RVS1514" s="879"/>
      <c r="RVT1514" s="879"/>
      <c r="RVU1514" s="879"/>
      <c r="RVV1514" s="879"/>
      <c r="RVW1514" s="879"/>
      <c r="RVX1514" s="879"/>
      <c r="RVY1514" s="879"/>
      <c r="RVZ1514" s="879"/>
      <c r="RWA1514" s="879"/>
      <c r="RWB1514" s="879"/>
      <c r="RWC1514" s="879"/>
      <c r="RWD1514" s="879"/>
      <c r="RWE1514" s="879"/>
      <c r="RWF1514" s="879"/>
      <c r="RWG1514" s="879"/>
      <c r="RWH1514" s="879"/>
      <c r="RWI1514" s="879"/>
      <c r="RWJ1514" s="879"/>
      <c r="RWK1514" s="879"/>
      <c r="RWL1514" s="879"/>
      <c r="RWM1514" s="879"/>
      <c r="RWN1514" s="879"/>
      <c r="RWO1514" s="879"/>
      <c r="RWP1514" s="879"/>
      <c r="RWQ1514" s="879"/>
      <c r="RWR1514" s="879"/>
      <c r="RWS1514" s="879"/>
      <c r="RWT1514" s="879"/>
      <c r="RWU1514" s="879"/>
      <c r="RWV1514" s="879"/>
      <c r="RWW1514" s="879"/>
      <c r="RWX1514" s="879"/>
      <c r="RWY1514" s="879"/>
      <c r="RWZ1514" s="879"/>
      <c r="RXA1514" s="879"/>
      <c r="RXB1514" s="879"/>
      <c r="RXC1514" s="879"/>
      <c r="RXD1514" s="879"/>
      <c r="RXE1514" s="879"/>
      <c r="RXF1514" s="879"/>
      <c r="RXG1514" s="879"/>
      <c r="RXH1514" s="879"/>
      <c r="RXI1514" s="879"/>
      <c r="RXJ1514" s="879"/>
      <c r="RXK1514" s="879"/>
      <c r="RXL1514" s="879"/>
      <c r="RXM1514" s="879"/>
      <c r="RXN1514" s="879"/>
      <c r="RXO1514" s="879"/>
      <c r="RXP1514" s="879"/>
      <c r="RXQ1514" s="879"/>
      <c r="RXR1514" s="879"/>
      <c r="RXS1514" s="879"/>
      <c r="RXT1514" s="879"/>
      <c r="RXU1514" s="879"/>
      <c r="RXV1514" s="879"/>
      <c r="RXW1514" s="879"/>
      <c r="RXX1514" s="879"/>
      <c r="RXY1514" s="879"/>
      <c r="RXZ1514" s="879"/>
      <c r="RYA1514" s="879"/>
      <c r="RYB1514" s="879"/>
      <c r="RYC1514" s="879"/>
      <c r="RYD1514" s="879"/>
      <c r="RYE1514" s="879"/>
      <c r="RYF1514" s="879"/>
      <c r="RYG1514" s="879"/>
      <c r="RYH1514" s="879"/>
      <c r="RYI1514" s="879"/>
      <c r="RYJ1514" s="879"/>
      <c r="RYK1514" s="879"/>
      <c r="RYL1514" s="879"/>
      <c r="RYM1514" s="879"/>
      <c r="RYN1514" s="879"/>
      <c r="RYO1514" s="879"/>
      <c r="RYP1514" s="879"/>
      <c r="RYQ1514" s="879"/>
      <c r="RYR1514" s="879"/>
      <c r="RYS1514" s="879"/>
      <c r="RYT1514" s="879"/>
      <c r="RYU1514" s="879"/>
      <c r="RYV1514" s="879"/>
      <c r="RYW1514" s="879"/>
      <c r="RYX1514" s="879"/>
      <c r="RYY1514" s="879"/>
      <c r="RYZ1514" s="879"/>
      <c r="RZA1514" s="879"/>
      <c r="RZB1514" s="879"/>
      <c r="RZC1514" s="879"/>
      <c r="RZD1514" s="879"/>
      <c r="RZE1514" s="879"/>
      <c r="RZF1514" s="879"/>
      <c r="RZG1514" s="879"/>
      <c r="RZH1514" s="879"/>
      <c r="RZI1514" s="879"/>
      <c r="RZJ1514" s="879"/>
      <c r="RZK1514" s="879"/>
      <c r="RZL1514" s="879"/>
      <c r="RZM1514" s="879"/>
      <c r="RZN1514" s="879"/>
      <c r="RZO1514" s="879"/>
      <c r="RZP1514" s="879"/>
      <c r="RZQ1514" s="879"/>
      <c r="RZR1514" s="879"/>
      <c r="RZS1514" s="879"/>
      <c r="RZT1514" s="879"/>
      <c r="RZU1514" s="879"/>
      <c r="RZV1514" s="879"/>
      <c r="RZW1514" s="879"/>
      <c r="RZX1514" s="879"/>
      <c r="RZY1514" s="879"/>
      <c r="RZZ1514" s="879"/>
      <c r="SAA1514" s="879"/>
      <c r="SAB1514" s="879"/>
      <c r="SAC1514" s="879"/>
      <c r="SAD1514" s="879"/>
      <c r="SAE1514" s="879"/>
      <c r="SAF1514" s="879"/>
      <c r="SAG1514" s="879"/>
      <c r="SAH1514" s="879"/>
      <c r="SAI1514" s="879"/>
      <c r="SAJ1514" s="879"/>
      <c r="SAK1514" s="879"/>
      <c r="SAL1514" s="879"/>
      <c r="SAM1514" s="879"/>
      <c r="SAN1514" s="879"/>
      <c r="SAO1514" s="879"/>
      <c r="SAP1514" s="879"/>
      <c r="SAQ1514" s="879"/>
      <c r="SAR1514" s="879"/>
      <c r="SAS1514" s="879"/>
      <c r="SAT1514" s="879"/>
      <c r="SAU1514" s="879"/>
      <c r="SAV1514" s="879"/>
      <c r="SAW1514" s="879"/>
      <c r="SAX1514" s="879"/>
      <c r="SAY1514" s="879"/>
      <c r="SAZ1514" s="879"/>
      <c r="SBA1514" s="879"/>
      <c r="SBB1514" s="879"/>
      <c r="SBC1514" s="879"/>
      <c r="SBD1514" s="879"/>
      <c r="SBE1514" s="879"/>
      <c r="SBF1514" s="879"/>
      <c r="SBG1514" s="879"/>
      <c r="SBH1514" s="879"/>
      <c r="SBI1514" s="879"/>
      <c r="SBJ1514" s="879"/>
      <c r="SBK1514" s="879"/>
      <c r="SBL1514" s="879"/>
      <c r="SBM1514" s="879"/>
      <c r="SBN1514" s="879"/>
      <c r="SBO1514" s="879"/>
      <c r="SBP1514" s="879"/>
      <c r="SBQ1514" s="879"/>
      <c r="SBR1514" s="879"/>
      <c r="SBS1514" s="879"/>
      <c r="SBT1514" s="879"/>
      <c r="SBU1514" s="879"/>
      <c r="SBV1514" s="879"/>
      <c r="SBW1514" s="879"/>
      <c r="SBX1514" s="879"/>
      <c r="SBY1514" s="879"/>
      <c r="SBZ1514" s="879"/>
      <c r="SCA1514" s="879"/>
      <c r="SCB1514" s="879"/>
      <c r="SCC1514" s="879"/>
      <c r="SCD1514" s="879"/>
      <c r="SCE1514" s="879"/>
      <c r="SCF1514" s="879"/>
      <c r="SCG1514" s="879"/>
      <c r="SCH1514" s="879"/>
      <c r="SCI1514" s="879"/>
      <c r="SCJ1514" s="879"/>
      <c r="SCK1514" s="879"/>
      <c r="SCL1514" s="879"/>
      <c r="SCM1514" s="879"/>
      <c r="SCN1514" s="879"/>
      <c r="SCO1514" s="879"/>
      <c r="SCP1514" s="879"/>
      <c r="SCQ1514" s="879"/>
      <c r="SCR1514" s="879"/>
      <c r="SCS1514" s="879"/>
      <c r="SCT1514" s="879"/>
      <c r="SCU1514" s="879"/>
      <c r="SCV1514" s="879"/>
      <c r="SCW1514" s="879"/>
      <c r="SCX1514" s="879"/>
      <c r="SCY1514" s="879"/>
      <c r="SCZ1514" s="879"/>
      <c r="SDA1514" s="879"/>
      <c r="SDB1514" s="879"/>
      <c r="SDC1514" s="879"/>
      <c r="SDD1514" s="879"/>
      <c r="SDE1514" s="879"/>
      <c r="SDF1514" s="879"/>
      <c r="SDG1514" s="879"/>
      <c r="SDH1514" s="879"/>
      <c r="SDI1514" s="879"/>
      <c r="SDJ1514" s="879"/>
      <c r="SDK1514" s="879"/>
      <c r="SDL1514" s="879"/>
      <c r="SDM1514" s="879"/>
      <c r="SDN1514" s="879"/>
      <c r="SDO1514" s="879"/>
      <c r="SDP1514" s="879"/>
      <c r="SDQ1514" s="879"/>
      <c r="SDR1514" s="879"/>
      <c r="SDS1514" s="879"/>
      <c r="SDT1514" s="879"/>
      <c r="SDU1514" s="879"/>
      <c r="SDV1514" s="879"/>
      <c r="SDW1514" s="879"/>
      <c r="SDX1514" s="879"/>
      <c r="SDY1514" s="879"/>
      <c r="SDZ1514" s="879"/>
      <c r="SEA1514" s="879"/>
      <c r="SEB1514" s="879"/>
      <c r="SEC1514" s="879"/>
      <c r="SED1514" s="879"/>
      <c r="SEE1514" s="879"/>
      <c r="SEF1514" s="879"/>
      <c r="SEG1514" s="879"/>
      <c r="SEH1514" s="879"/>
      <c r="SEI1514" s="879"/>
      <c r="SEJ1514" s="879"/>
      <c r="SEK1514" s="879"/>
      <c r="SEL1514" s="879"/>
      <c r="SEM1514" s="879"/>
      <c r="SEN1514" s="879"/>
      <c r="SEO1514" s="879"/>
      <c r="SEP1514" s="879"/>
      <c r="SEQ1514" s="879"/>
      <c r="SER1514" s="879"/>
      <c r="SES1514" s="879"/>
      <c r="SET1514" s="879"/>
      <c r="SEU1514" s="879"/>
      <c r="SEV1514" s="879"/>
      <c r="SEW1514" s="879"/>
      <c r="SEX1514" s="879"/>
      <c r="SEY1514" s="879"/>
      <c r="SEZ1514" s="879"/>
      <c r="SFA1514" s="879"/>
      <c r="SFB1514" s="879"/>
      <c r="SFC1514" s="879"/>
      <c r="SFD1514" s="879"/>
      <c r="SFE1514" s="879"/>
      <c r="SFF1514" s="879"/>
      <c r="SFG1514" s="879"/>
      <c r="SFH1514" s="879"/>
      <c r="SFI1514" s="879"/>
      <c r="SFJ1514" s="879"/>
      <c r="SFK1514" s="879"/>
      <c r="SFL1514" s="879"/>
      <c r="SFM1514" s="879"/>
      <c r="SFN1514" s="879"/>
      <c r="SFO1514" s="879"/>
      <c r="SFP1514" s="879"/>
      <c r="SFQ1514" s="879"/>
      <c r="SFR1514" s="879"/>
      <c r="SFS1514" s="879"/>
      <c r="SFT1514" s="879"/>
      <c r="SFU1514" s="879"/>
      <c r="SFV1514" s="879"/>
      <c r="SFW1514" s="879"/>
      <c r="SFX1514" s="879"/>
      <c r="SFY1514" s="879"/>
      <c r="SFZ1514" s="879"/>
      <c r="SGA1514" s="879"/>
      <c r="SGB1514" s="879"/>
      <c r="SGC1514" s="879"/>
      <c r="SGD1514" s="879"/>
      <c r="SGE1514" s="879"/>
      <c r="SGF1514" s="879"/>
      <c r="SGG1514" s="879"/>
      <c r="SGH1514" s="879"/>
      <c r="SGI1514" s="879"/>
      <c r="SGJ1514" s="879"/>
      <c r="SGK1514" s="879"/>
      <c r="SGL1514" s="879"/>
      <c r="SGM1514" s="879"/>
      <c r="SGN1514" s="879"/>
      <c r="SGO1514" s="879"/>
      <c r="SGP1514" s="879"/>
      <c r="SGQ1514" s="879"/>
      <c r="SGR1514" s="879"/>
      <c r="SGS1514" s="879"/>
      <c r="SGT1514" s="879"/>
      <c r="SGU1514" s="879"/>
      <c r="SGV1514" s="879"/>
      <c r="SGW1514" s="879"/>
      <c r="SGX1514" s="879"/>
      <c r="SGY1514" s="879"/>
      <c r="SGZ1514" s="879"/>
      <c r="SHA1514" s="879"/>
      <c r="SHB1514" s="879"/>
      <c r="SHC1514" s="879"/>
      <c r="SHD1514" s="879"/>
      <c r="SHE1514" s="879"/>
      <c r="SHF1514" s="879"/>
      <c r="SHG1514" s="879"/>
      <c r="SHH1514" s="879"/>
      <c r="SHI1514" s="879"/>
      <c r="SHJ1514" s="879"/>
      <c r="SHK1514" s="879"/>
      <c r="SHL1514" s="879"/>
      <c r="SHM1514" s="879"/>
      <c r="SHN1514" s="879"/>
      <c r="SHO1514" s="879"/>
      <c r="SHP1514" s="879"/>
      <c r="SHQ1514" s="879"/>
      <c r="SHR1514" s="879"/>
      <c r="SHS1514" s="879"/>
      <c r="SHT1514" s="879"/>
      <c r="SHU1514" s="879"/>
      <c r="SHV1514" s="879"/>
      <c r="SHW1514" s="879"/>
      <c r="SHX1514" s="879"/>
      <c r="SHY1514" s="879"/>
      <c r="SHZ1514" s="879"/>
      <c r="SIA1514" s="879"/>
      <c r="SIB1514" s="879"/>
      <c r="SIC1514" s="879"/>
      <c r="SID1514" s="879"/>
      <c r="SIE1514" s="879"/>
      <c r="SIF1514" s="879"/>
      <c r="SIG1514" s="879"/>
      <c r="SIH1514" s="879"/>
      <c r="SII1514" s="879"/>
      <c r="SIJ1514" s="879"/>
      <c r="SIK1514" s="879"/>
      <c r="SIL1514" s="879"/>
      <c r="SIM1514" s="879"/>
      <c r="SIN1514" s="879"/>
      <c r="SIO1514" s="879"/>
      <c r="SIP1514" s="879"/>
      <c r="SIQ1514" s="879"/>
      <c r="SIR1514" s="879"/>
      <c r="SIS1514" s="879"/>
      <c r="SIT1514" s="879"/>
      <c r="SIU1514" s="879"/>
      <c r="SIV1514" s="879"/>
      <c r="SIW1514" s="879"/>
      <c r="SIX1514" s="879"/>
      <c r="SIY1514" s="879"/>
      <c r="SIZ1514" s="879"/>
      <c r="SJA1514" s="879"/>
      <c r="SJB1514" s="879"/>
      <c r="SJC1514" s="879"/>
      <c r="SJD1514" s="879"/>
      <c r="SJE1514" s="879"/>
      <c r="SJF1514" s="879"/>
      <c r="SJG1514" s="879"/>
      <c r="SJH1514" s="879"/>
      <c r="SJI1514" s="879"/>
      <c r="SJJ1514" s="879"/>
      <c r="SJK1514" s="879"/>
      <c r="SJL1514" s="879"/>
      <c r="SJM1514" s="879"/>
      <c r="SJN1514" s="879"/>
      <c r="SJO1514" s="879"/>
      <c r="SJP1514" s="879"/>
      <c r="SJQ1514" s="879"/>
      <c r="SJR1514" s="879"/>
      <c r="SJS1514" s="879"/>
      <c r="SJT1514" s="879"/>
      <c r="SJU1514" s="879"/>
      <c r="SJV1514" s="879"/>
      <c r="SJW1514" s="879"/>
      <c r="SJX1514" s="879"/>
      <c r="SJY1514" s="879"/>
      <c r="SJZ1514" s="879"/>
      <c r="SKA1514" s="879"/>
      <c r="SKB1514" s="879"/>
      <c r="SKC1514" s="879"/>
      <c r="SKD1514" s="879"/>
      <c r="SKE1514" s="879"/>
      <c r="SKF1514" s="879"/>
      <c r="SKG1514" s="879"/>
      <c r="SKH1514" s="879"/>
      <c r="SKI1514" s="879"/>
      <c r="SKJ1514" s="879"/>
      <c r="SKK1514" s="879"/>
      <c r="SKL1514" s="879"/>
      <c r="SKM1514" s="879"/>
      <c r="SKN1514" s="879"/>
      <c r="SKO1514" s="879"/>
      <c r="SKP1514" s="879"/>
      <c r="SKQ1514" s="879"/>
      <c r="SKR1514" s="879"/>
      <c r="SKS1514" s="879"/>
      <c r="SKT1514" s="879"/>
      <c r="SKU1514" s="879"/>
      <c r="SKV1514" s="879"/>
      <c r="SKW1514" s="879"/>
      <c r="SKX1514" s="879"/>
      <c r="SKY1514" s="879"/>
      <c r="SKZ1514" s="879"/>
      <c r="SLA1514" s="879"/>
      <c r="SLB1514" s="879"/>
      <c r="SLC1514" s="879"/>
      <c r="SLD1514" s="879"/>
      <c r="SLE1514" s="879"/>
      <c r="SLF1514" s="879"/>
      <c r="SLG1514" s="879"/>
      <c r="SLH1514" s="879"/>
      <c r="SLI1514" s="879"/>
      <c r="SLJ1514" s="879"/>
      <c r="SLK1514" s="879"/>
      <c r="SLL1514" s="879"/>
      <c r="SLM1514" s="879"/>
      <c r="SLN1514" s="879"/>
      <c r="SLO1514" s="879"/>
      <c r="SLP1514" s="879"/>
      <c r="SLQ1514" s="879"/>
      <c r="SLR1514" s="879"/>
      <c r="SLS1514" s="879"/>
      <c r="SLT1514" s="879"/>
      <c r="SLU1514" s="879"/>
      <c r="SLV1514" s="879"/>
      <c r="SLW1514" s="879"/>
      <c r="SLX1514" s="879"/>
      <c r="SLY1514" s="879"/>
      <c r="SLZ1514" s="879"/>
      <c r="SMA1514" s="879"/>
      <c r="SMB1514" s="879"/>
      <c r="SMC1514" s="879"/>
      <c r="SMD1514" s="879"/>
      <c r="SME1514" s="879"/>
      <c r="SMF1514" s="879"/>
      <c r="SMG1514" s="879"/>
      <c r="SMH1514" s="879"/>
      <c r="SMI1514" s="879"/>
      <c r="SMJ1514" s="879"/>
      <c r="SMK1514" s="879"/>
      <c r="SML1514" s="879"/>
      <c r="SMM1514" s="879"/>
      <c r="SMN1514" s="879"/>
      <c r="SMO1514" s="879"/>
      <c r="SMP1514" s="879"/>
      <c r="SMQ1514" s="879"/>
      <c r="SMR1514" s="879"/>
      <c r="SMS1514" s="879"/>
      <c r="SMT1514" s="879"/>
      <c r="SMU1514" s="879"/>
      <c r="SMV1514" s="879"/>
      <c r="SMW1514" s="879"/>
      <c r="SMX1514" s="879"/>
      <c r="SMY1514" s="879"/>
      <c r="SMZ1514" s="879"/>
      <c r="SNA1514" s="879"/>
      <c r="SNB1514" s="879"/>
      <c r="SNC1514" s="879"/>
      <c r="SND1514" s="879"/>
      <c r="SNE1514" s="879"/>
      <c r="SNF1514" s="879"/>
      <c r="SNG1514" s="879"/>
      <c r="SNH1514" s="879"/>
      <c r="SNI1514" s="879"/>
      <c r="SNJ1514" s="879"/>
      <c r="SNK1514" s="879"/>
      <c r="SNL1514" s="879"/>
      <c r="SNM1514" s="879"/>
      <c r="SNN1514" s="879"/>
      <c r="SNO1514" s="879"/>
      <c r="SNP1514" s="879"/>
      <c r="SNQ1514" s="879"/>
      <c r="SNR1514" s="879"/>
      <c r="SNS1514" s="879"/>
      <c r="SNT1514" s="879"/>
      <c r="SNU1514" s="879"/>
      <c r="SNV1514" s="879"/>
      <c r="SNW1514" s="879"/>
      <c r="SNX1514" s="879"/>
      <c r="SNY1514" s="879"/>
      <c r="SNZ1514" s="879"/>
      <c r="SOA1514" s="879"/>
      <c r="SOB1514" s="879"/>
      <c r="SOC1514" s="879"/>
      <c r="SOD1514" s="879"/>
      <c r="SOE1514" s="879"/>
      <c r="SOF1514" s="879"/>
      <c r="SOG1514" s="879"/>
      <c r="SOH1514" s="879"/>
      <c r="SOI1514" s="879"/>
      <c r="SOJ1514" s="879"/>
      <c r="SOK1514" s="879"/>
      <c r="SOL1514" s="879"/>
      <c r="SOM1514" s="879"/>
      <c r="SON1514" s="879"/>
      <c r="SOO1514" s="879"/>
      <c r="SOP1514" s="879"/>
      <c r="SOQ1514" s="879"/>
      <c r="SOR1514" s="879"/>
      <c r="SOS1514" s="879"/>
      <c r="SOT1514" s="879"/>
      <c r="SOU1514" s="879"/>
      <c r="SOV1514" s="879"/>
      <c r="SOW1514" s="879"/>
      <c r="SOX1514" s="879"/>
      <c r="SOY1514" s="879"/>
      <c r="SOZ1514" s="879"/>
      <c r="SPA1514" s="879"/>
      <c r="SPB1514" s="879"/>
      <c r="SPC1514" s="879"/>
      <c r="SPD1514" s="879"/>
      <c r="SPE1514" s="879"/>
      <c r="SPF1514" s="879"/>
      <c r="SPG1514" s="879"/>
      <c r="SPH1514" s="879"/>
      <c r="SPI1514" s="879"/>
      <c r="SPJ1514" s="879"/>
      <c r="SPK1514" s="879"/>
      <c r="SPL1514" s="879"/>
      <c r="SPM1514" s="879"/>
      <c r="SPN1514" s="879"/>
      <c r="SPO1514" s="879"/>
      <c r="SPP1514" s="879"/>
      <c r="SPQ1514" s="879"/>
      <c r="SPR1514" s="879"/>
      <c r="SPS1514" s="879"/>
      <c r="SPT1514" s="879"/>
      <c r="SPU1514" s="879"/>
      <c r="SPV1514" s="879"/>
      <c r="SPW1514" s="879"/>
      <c r="SPX1514" s="879"/>
      <c r="SPY1514" s="879"/>
      <c r="SPZ1514" s="879"/>
      <c r="SQA1514" s="879"/>
      <c r="SQB1514" s="879"/>
      <c r="SQC1514" s="879"/>
      <c r="SQD1514" s="879"/>
      <c r="SQE1514" s="879"/>
      <c r="SQF1514" s="879"/>
      <c r="SQG1514" s="879"/>
      <c r="SQH1514" s="879"/>
      <c r="SQI1514" s="879"/>
      <c r="SQJ1514" s="879"/>
      <c r="SQK1514" s="879"/>
      <c r="SQL1514" s="879"/>
      <c r="SQM1514" s="879"/>
      <c r="SQN1514" s="879"/>
      <c r="SQO1514" s="879"/>
      <c r="SQP1514" s="879"/>
      <c r="SQQ1514" s="879"/>
      <c r="SQR1514" s="879"/>
      <c r="SQS1514" s="879"/>
      <c r="SQT1514" s="879"/>
      <c r="SQU1514" s="879"/>
      <c r="SQV1514" s="879"/>
      <c r="SQW1514" s="879"/>
      <c r="SQX1514" s="879"/>
      <c r="SQY1514" s="879"/>
      <c r="SQZ1514" s="879"/>
      <c r="SRA1514" s="879"/>
      <c r="SRB1514" s="879"/>
      <c r="SRC1514" s="879"/>
      <c r="SRD1514" s="879"/>
      <c r="SRE1514" s="879"/>
      <c r="SRF1514" s="879"/>
      <c r="SRG1514" s="879"/>
      <c r="SRH1514" s="879"/>
      <c r="SRI1514" s="879"/>
      <c r="SRJ1514" s="879"/>
      <c r="SRK1514" s="879"/>
      <c r="SRL1514" s="879"/>
      <c r="SRM1514" s="879"/>
      <c r="SRN1514" s="879"/>
      <c r="SRO1514" s="879"/>
      <c r="SRP1514" s="879"/>
      <c r="SRQ1514" s="879"/>
      <c r="SRR1514" s="879"/>
      <c r="SRS1514" s="879"/>
      <c r="SRT1514" s="879"/>
      <c r="SRU1514" s="879"/>
      <c r="SRV1514" s="879"/>
      <c r="SRW1514" s="879"/>
      <c r="SRX1514" s="879"/>
      <c r="SRY1514" s="879"/>
      <c r="SRZ1514" s="879"/>
      <c r="SSA1514" s="879"/>
      <c r="SSB1514" s="879"/>
      <c r="SSC1514" s="879"/>
      <c r="SSD1514" s="879"/>
      <c r="SSE1514" s="879"/>
      <c r="SSF1514" s="879"/>
      <c r="SSG1514" s="879"/>
      <c r="SSH1514" s="879"/>
      <c r="SSI1514" s="879"/>
      <c r="SSJ1514" s="879"/>
      <c r="SSK1514" s="879"/>
      <c r="SSL1514" s="879"/>
      <c r="SSM1514" s="879"/>
      <c r="SSN1514" s="879"/>
      <c r="SSO1514" s="879"/>
      <c r="SSP1514" s="879"/>
      <c r="SSQ1514" s="879"/>
      <c r="SSR1514" s="879"/>
      <c r="SSS1514" s="879"/>
      <c r="SST1514" s="879"/>
      <c r="SSU1514" s="879"/>
      <c r="SSV1514" s="879"/>
      <c r="SSW1514" s="879"/>
      <c r="SSX1514" s="879"/>
      <c r="SSY1514" s="879"/>
      <c r="SSZ1514" s="879"/>
      <c r="STA1514" s="879"/>
      <c r="STB1514" s="879"/>
      <c r="STC1514" s="879"/>
      <c r="STD1514" s="879"/>
      <c r="STE1514" s="879"/>
      <c r="STF1514" s="879"/>
      <c r="STG1514" s="879"/>
      <c r="STH1514" s="879"/>
      <c r="STI1514" s="879"/>
      <c r="STJ1514" s="879"/>
      <c r="STK1514" s="879"/>
      <c r="STL1514" s="879"/>
      <c r="STM1514" s="879"/>
      <c r="STN1514" s="879"/>
      <c r="STO1514" s="879"/>
      <c r="STP1514" s="879"/>
      <c r="STQ1514" s="879"/>
      <c r="STR1514" s="879"/>
      <c r="STS1514" s="879"/>
      <c r="STT1514" s="879"/>
      <c r="STU1514" s="879"/>
      <c r="STV1514" s="879"/>
      <c r="STW1514" s="879"/>
      <c r="STX1514" s="879"/>
      <c r="STY1514" s="879"/>
      <c r="STZ1514" s="879"/>
      <c r="SUA1514" s="879"/>
      <c r="SUB1514" s="879"/>
      <c r="SUC1514" s="879"/>
      <c r="SUD1514" s="879"/>
      <c r="SUE1514" s="879"/>
      <c r="SUF1514" s="879"/>
      <c r="SUG1514" s="879"/>
      <c r="SUH1514" s="879"/>
      <c r="SUI1514" s="879"/>
      <c r="SUJ1514" s="879"/>
      <c r="SUK1514" s="879"/>
      <c r="SUL1514" s="879"/>
      <c r="SUM1514" s="879"/>
      <c r="SUN1514" s="879"/>
      <c r="SUO1514" s="879"/>
      <c r="SUP1514" s="879"/>
      <c r="SUQ1514" s="879"/>
      <c r="SUR1514" s="879"/>
      <c r="SUS1514" s="879"/>
      <c r="SUT1514" s="879"/>
      <c r="SUU1514" s="879"/>
      <c r="SUV1514" s="879"/>
      <c r="SUW1514" s="879"/>
      <c r="SUX1514" s="879"/>
      <c r="SUY1514" s="879"/>
      <c r="SUZ1514" s="879"/>
      <c r="SVA1514" s="879"/>
      <c r="SVB1514" s="879"/>
      <c r="SVC1514" s="879"/>
      <c r="SVD1514" s="879"/>
      <c r="SVE1514" s="879"/>
      <c r="SVF1514" s="879"/>
      <c r="SVG1514" s="879"/>
      <c r="SVH1514" s="879"/>
      <c r="SVI1514" s="879"/>
      <c r="SVJ1514" s="879"/>
      <c r="SVK1514" s="879"/>
      <c r="SVL1514" s="879"/>
      <c r="SVM1514" s="879"/>
      <c r="SVN1514" s="879"/>
      <c r="SVO1514" s="879"/>
      <c r="SVP1514" s="879"/>
      <c r="SVQ1514" s="879"/>
      <c r="SVR1514" s="879"/>
      <c r="SVS1514" s="879"/>
      <c r="SVT1514" s="879"/>
      <c r="SVU1514" s="879"/>
      <c r="SVV1514" s="879"/>
      <c r="SVW1514" s="879"/>
      <c r="SVX1514" s="879"/>
      <c r="SVY1514" s="879"/>
      <c r="SVZ1514" s="879"/>
      <c r="SWA1514" s="879"/>
      <c r="SWB1514" s="879"/>
      <c r="SWC1514" s="879"/>
      <c r="SWD1514" s="879"/>
      <c r="SWE1514" s="879"/>
      <c r="SWF1514" s="879"/>
      <c r="SWG1514" s="879"/>
      <c r="SWH1514" s="879"/>
      <c r="SWI1514" s="879"/>
      <c r="SWJ1514" s="879"/>
      <c r="SWK1514" s="879"/>
      <c r="SWL1514" s="879"/>
      <c r="SWM1514" s="879"/>
      <c r="SWN1514" s="879"/>
      <c r="SWO1514" s="879"/>
      <c r="SWP1514" s="879"/>
      <c r="SWQ1514" s="879"/>
      <c r="SWR1514" s="879"/>
      <c r="SWS1514" s="879"/>
      <c r="SWT1514" s="879"/>
      <c r="SWU1514" s="879"/>
      <c r="SWV1514" s="879"/>
      <c r="SWW1514" s="879"/>
      <c r="SWX1514" s="879"/>
      <c r="SWY1514" s="879"/>
      <c r="SWZ1514" s="879"/>
      <c r="SXA1514" s="879"/>
      <c r="SXB1514" s="879"/>
      <c r="SXC1514" s="879"/>
      <c r="SXD1514" s="879"/>
      <c r="SXE1514" s="879"/>
      <c r="SXF1514" s="879"/>
      <c r="SXG1514" s="879"/>
      <c r="SXH1514" s="879"/>
      <c r="SXI1514" s="879"/>
      <c r="SXJ1514" s="879"/>
      <c r="SXK1514" s="879"/>
      <c r="SXL1514" s="879"/>
      <c r="SXM1514" s="879"/>
      <c r="SXN1514" s="879"/>
      <c r="SXO1514" s="879"/>
      <c r="SXP1514" s="879"/>
      <c r="SXQ1514" s="879"/>
      <c r="SXR1514" s="879"/>
      <c r="SXS1514" s="879"/>
      <c r="SXT1514" s="879"/>
      <c r="SXU1514" s="879"/>
      <c r="SXV1514" s="879"/>
      <c r="SXW1514" s="879"/>
      <c r="SXX1514" s="879"/>
      <c r="SXY1514" s="879"/>
      <c r="SXZ1514" s="879"/>
      <c r="SYA1514" s="879"/>
      <c r="SYB1514" s="879"/>
      <c r="SYC1514" s="879"/>
      <c r="SYD1514" s="879"/>
      <c r="SYE1514" s="879"/>
      <c r="SYF1514" s="879"/>
      <c r="SYG1514" s="879"/>
      <c r="SYH1514" s="879"/>
      <c r="SYI1514" s="879"/>
      <c r="SYJ1514" s="879"/>
      <c r="SYK1514" s="879"/>
      <c r="SYL1514" s="879"/>
      <c r="SYM1514" s="879"/>
      <c r="SYN1514" s="879"/>
      <c r="SYO1514" s="879"/>
      <c r="SYP1514" s="879"/>
      <c r="SYQ1514" s="879"/>
      <c r="SYR1514" s="879"/>
      <c r="SYS1514" s="879"/>
      <c r="SYT1514" s="879"/>
      <c r="SYU1514" s="879"/>
      <c r="SYV1514" s="879"/>
      <c r="SYW1514" s="879"/>
      <c r="SYX1514" s="879"/>
      <c r="SYY1514" s="879"/>
      <c r="SYZ1514" s="879"/>
      <c r="SZA1514" s="879"/>
      <c r="SZB1514" s="879"/>
      <c r="SZC1514" s="879"/>
      <c r="SZD1514" s="879"/>
      <c r="SZE1514" s="879"/>
      <c r="SZF1514" s="879"/>
      <c r="SZG1514" s="879"/>
      <c r="SZH1514" s="879"/>
      <c r="SZI1514" s="879"/>
      <c r="SZJ1514" s="879"/>
      <c r="SZK1514" s="879"/>
      <c r="SZL1514" s="879"/>
      <c r="SZM1514" s="879"/>
      <c r="SZN1514" s="879"/>
      <c r="SZO1514" s="879"/>
      <c r="SZP1514" s="879"/>
      <c r="SZQ1514" s="879"/>
      <c r="SZR1514" s="879"/>
      <c r="SZS1514" s="879"/>
      <c r="SZT1514" s="879"/>
      <c r="SZU1514" s="879"/>
      <c r="SZV1514" s="879"/>
      <c r="SZW1514" s="879"/>
      <c r="SZX1514" s="879"/>
      <c r="SZY1514" s="879"/>
      <c r="SZZ1514" s="879"/>
      <c r="TAA1514" s="879"/>
      <c r="TAB1514" s="879"/>
      <c r="TAC1514" s="879"/>
      <c r="TAD1514" s="879"/>
      <c r="TAE1514" s="879"/>
      <c r="TAF1514" s="879"/>
      <c r="TAG1514" s="879"/>
      <c r="TAH1514" s="879"/>
      <c r="TAI1514" s="879"/>
      <c r="TAJ1514" s="879"/>
      <c r="TAK1514" s="879"/>
      <c r="TAL1514" s="879"/>
      <c r="TAM1514" s="879"/>
      <c r="TAN1514" s="879"/>
      <c r="TAO1514" s="879"/>
      <c r="TAP1514" s="879"/>
      <c r="TAQ1514" s="879"/>
      <c r="TAR1514" s="879"/>
      <c r="TAS1514" s="879"/>
      <c r="TAT1514" s="879"/>
      <c r="TAU1514" s="879"/>
      <c r="TAV1514" s="879"/>
      <c r="TAW1514" s="879"/>
      <c r="TAX1514" s="879"/>
      <c r="TAY1514" s="879"/>
      <c r="TAZ1514" s="879"/>
      <c r="TBA1514" s="879"/>
      <c r="TBB1514" s="879"/>
      <c r="TBC1514" s="879"/>
      <c r="TBD1514" s="879"/>
      <c r="TBE1514" s="879"/>
      <c r="TBF1514" s="879"/>
      <c r="TBG1514" s="879"/>
      <c r="TBH1514" s="879"/>
      <c r="TBI1514" s="879"/>
      <c r="TBJ1514" s="879"/>
      <c r="TBK1514" s="879"/>
      <c r="TBL1514" s="879"/>
      <c r="TBM1514" s="879"/>
      <c r="TBN1514" s="879"/>
      <c r="TBO1514" s="879"/>
      <c r="TBP1514" s="879"/>
      <c r="TBQ1514" s="879"/>
      <c r="TBR1514" s="879"/>
      <c r="TBS1514" s="879"/>
      <c r="TBT1514" s="879"/>
      <c r="TBU1514" s="879"/>
      <c r="TBV1514" s="879"/>
      <c r="TBW1514" s="879"/>
      <c r="TBX1514" s="879"/>
      <c r="TBY1514" s="879"/>
      <c r="TBZ1514" s="879"/>
      <c r="TCA1514" s="879"/>
      <c r="TCB1514" s="879"/>
      <c r="TCC1514" s="879"/>
      <c r="TCD1514" s="879"/>
      <c r="TCE1514" s="879"/>
      <c r="TCF1514" s="879"/>
      <c r="TCG1514" s="879"/>
      <c r="TCH1514" s="879"/>
      <c r="TCI1514" s="879"/>
      <c r="TCJ1514" s="879"/>
      <c r="TCK1514" s="879"/>
      <c r="TCL1514" s="879"/>
      <c r="TCM1514" s="879"/>
      <c r="TCN1514" s="879"/>
      <c r="TCO1514" s="879"/>
      <c r="TCP1514" s="879"/>
      <c r="TCQ1514" s="879"/>
      <c r="TCR1514" s="879"/>
      <c r="TCS1514" s="879"/>
      <c r="TCT1514" s="879"/>
      <c r="TCU1514" s="879"/>
      <c r="TCV1514" s="879"/>
      <c r="TCW1514" s="879"/>
      <c r="TCX1514" s="879"/>
      <c r="TCY1514" s="879"/>
      <c r="TCZ1514" s="879"/>
      <c r="TDA1514" s="879"/>
      <c r="TDB1514" s="879"/>
      <c r="TDC1514" s="879"/>
      <c r="TDD1514" s="879"/>
      <c r="TDE1514" s="879"/>
      <c r="TDF1514" s="879"/>
      <c r="TDG1514" s="879"/>
      <c r="TDH1514" s="879"/>
      <c r="TDI1514" s="879"/>
      <c r="TDJ1514" s="879"/>
      <c r="TDK1514" s="879"/>
      <c r="TDL1514" s="879"/>
      <c r="TDM1514" s="879"/>
      <c r="TDN1514" s="879"/>
      <c r="TDO1514" s="879"/>
      <c r="TDP1514" s="879"/>
      <c r="TDQ1514" s="879"/>
      <c r="TDR1514" s="879"/>
      <c r="TDS1514" s="879"/>
      <c r="TDT1514" s="879"/>
      <c r="TDU1514" s="879"/>
      <c r="TDV1514" s="879"/>
      <c r="TDW1514" s="879"/>
      <c r="TDX1514" s="879"/>
      <c r="TDY1514" s="879"/>
      <c r="TDZ1514" s="879"/>
      <c r="TEA1514" s="879"/>
      <c r="TEB1514" s="879"/>
      <c r="TEC1514" s="879"/>
      <c r="TED1514" s="879"/>
      <c r="TEE1514" s="879"/>
      <c r="TEF1514" s="879"/>
      <c r="TEG1514" s="879"/>
      <c r="TEH1514" s="879"/>
      <c r="TEI1514" s="879"/>
      <c r="TEJ1514" s="879"/>
      <c r="TEK1514" s="879"/>
      <c r="TEL1514" s="879"/>
      <c r="TEM1514" s="879"/>
      <c r="TEN1514" s="879"/>
      <c r="TEO1514" s="879"/>
      <c r="TEP1514" s="879"/>
      <c r="TEQ1514" s="879"/>
      <c r="TER1514" s="879"/>
      <c r="TES1514" s="879"/>
      <c r="TET1514" s="879"/>
      <c r="TEU1514" s="879"/>
      <c r="TEV1514" s="879"/>
      <c r="TEW1514" s="879"/>
      <c r="TEX1514" s="879"/>
      <c r="TEY1514" s="879"/>
      <c r="TEZ1514" s="879"/>
      <c r="TFA1514" s="879"/>
      <c r="TFB1514" s="879"/>
      <c r="TFC1514" s="879"/>
      <c r="TFD1514" s="879"/>
      <c r="TFE1514" s="879"/>
      <c r="TFF1514" s="879"/>
      <c r="TFG1514" s="879"/>
      <c r="TFH1514" s="879"/>
      <c r="TFI1514" s="879"/>
      <c r="TFJ1514" s="879"/>
      <c r="TFK1514" s="879"/>
      <c r="TFL1514" s="879"/>
      <c r="TFM1514" s="879"/>
      <c r="TFN1514" s="879"/>
      <c r="TFO1514" s="879"/>
      <c r="TFP1514" s="879"/>
      <c r="TFQ1514" s="879"/>
      <c r="TFR1514" s="879"/>
      <c r="TFS1514" s="879"/>
      <c r="TFT1514" s="879"/>
      <c r="TFU1514" s="879"/>
      <c r="TFV1514" s="879"/>
      <c r="TFW1514" s="879"/>
      <c r="TFX1514" s="879"/>
      <c r="TFY1514" s="879"/>
      <c r="TFZ1514" s="879"/>
      <c r="TGA1514" s="879"/>
      <c r="TGB1514" s="879"/>
      <c r="TGC1514" s="879"/>
      <c r="TGD1514" s="879"/>
      <c r="TGE1514" s="879"/>
      <c r="TGF1514" s="879"/>
      <c r="TGG1514" s="879"/>
      <c r="TGH1514" s="879"/>
      <c r="TGI1514" s="879"/>
      <c r="TGJ1514" s="879"/>
      <c r="TGK1514" s="879"/>
      <c r="TGL1514" s="879"/>
      <c r="TGM1514" s="879"/>
      <c r="TGN1514" s="879"/>
      <c r="TGO1514" s="879"/>
      <c r="TGP1514" s="879"/>
      <c r="TGQ1514" s="879"/>
      <c r="TGR1514" s="879"/>
      <c r="TGS1514" s="879"/>
      <c r="TGT1514" s="879"/>
      <c r="TGU1514" s="879"/>
      <c r="TGV1514" s="879"/>
      <c r="TGW1514" s="879"/>
      <c r="TGX1514" s="879"/>
      <c r="TGY1514" s="879"/>
      <c r="TGZ1514" s="879"/>
      <c r="THA1514" s="879"/>
      <c r="THB1514" s="879"/>
      <c r="THC1514" s="879"/>
      <c r="THD1514" s="879"/>
      <c r="THE1514" s="879"/>
      <c r="THF1514" s="879"/>
      <c r="THG1514" s="879"/>
      <c r="THH1514" s="879"/>
      <c r="THI1514" s="879"/>
      <c r="THJ1514" s="879"/>
      <c r="THK1514" s="879"/>
      <c r="THL1514" s="879"/>
      <c r="THM1514" s="879"/>
      <c r="THN1514" s="879"/>
      <c r="THO1514" s="879"/>
      <c r="THP1514" s="879"/>
      <c r="THQ1514" s="879"/>
      <c r="THR1514" s="879"/>
      <c r="THS1514" s="879"/>
      <c r="THT1514" s="879"/>
      <c r="THU1514" s="879"/>
      <c r="THV1514" s="879"/>
      <c r="THW1514" s="879"/>
      <c r="THX1514" s="879"/>
      <c r="THY1514" s="879"/>
      <c r="THZ1514" s="879"/>
      <c r="TIA1514" s="879"/>
      <c r="TIB1514" s="879"/>
      <c r="TIC1514" s="879"/>
      <c r="TID1514" s="879"/>
      <c r="TIE1514" s="879"/>
      <c r="TIF1514" s="879"/>
      <c r="TIG1514" s="879"/>
      <c r="TIH1514" s="879"/>
      <c r="TII1514" s="879"/>
      <c r="TIJ1514" s="879"/>
      <c r="TIK1514" s="879"/>
      <c r="TIL1514" s="879"/>
      <c r="TIM1514" s="879"/>
      <c r="TIN1514" s="879"/>
      <c r="TIO1514" s="879"/>
      <c r="TIP1514" s="879"/>
      <c r="TIQ1514" s="879"/>
      <c r="TIR1514" s="879"/>
      <c r="TIS1514" s="879"/>
      <c r="TIT1514" s="879"/>
      <c r="TIU1514" s="879"/>
      <c r="TIV1514" s="879"/>
      <c r="TIW1514" s="879"/>
      <c r="TIX1514" s="879"/>
      <c r="TIY1514" s="879"/>
      <c r="TIZ1514" s="879"/>
      <c r="TJA1514" s="879"/>
      <c r="TJB1514" s="879"/>
      <c r="TJC1514" s="879"/>
      <c r="TJD1514" s="879"/>
      <c r="TJE1514" s="879"/>
      <c r="TJF1514" s="879"/>
      <c r="TJG1514" s="879"/>
      <c r="TJH1514" s="879"/>
      <c r="TJI1514" s="879"/>
      <c r="TJJ1514" s="879"/>
      <c r="TJK1514" s="879"/>
      <c r="TJL1514" s="879"/>
      <c r="TJM1514" s="879"/>
      <c r="TJN1514" s="879"/>
      <c r="TJO1514" s="879"/>
      <c r="TJP1514" s="879"/>
      <c r="TJQ1514" s="879"/>
      <c r="TJR1514" s="879"/>
      <c r="TJS1514" s="879"/>
      <c r="TJT1514" s="879"/>
      <c r="TJU1514" s="879"/>
      <c r="TJV1514" s="879"/>
      <c r="TJW1514" s="879"/>
      <c r="TJX1514" s="879"/>
      <c r="TJY1514" s="879"/>
      <c r="TJZ1514" s="879"/>
      <c r="TKA1514" s="879"/>
      <c r="TKB1514" s="879"/>
      <c r="TKC1514" s="879"/>
      <c r="TKD1514" s="879"/>
      <c r="TKE1514" s="879"/>
      <c r="TKF1514" s="879"/>
      <c r="TKG1514" s="879"/>
      <c r="TKH1514" s="879"/>
      <c r="TKI1514" s="879"/>
      <c r="TKJ1514" s="879"/>
      <c r="TKK1514" s="879"/>
      <c r="TKL1514" s="879"/>
      <c r="TKM1514" s="879"/>
      <c r="TKN1514" s="879"/>
      <c r="TKO1514" s="879"/>
      <c r="TKP1514" s="879"/>
      <c r="TKQ1514" s="879"/>
      <c r="TKR1514" s="879"/>
      <c r="TKS1514" s="879"/>
      <c r="TKT1514" s="879"/>
      <c r="TKU1514" s="879"/>
      <c r="TKV1514" s="879"/>
      <c r="TKW1514" s="879"/>
      <c r="TKX1514" s="879"/>
      <c r="TKY1514" s="879"/>
      <c r="TKZ1514" s="879"/>
      <c r="TLA1514" s="879"/>
      <c r="TLB1514" s="879"/>
      <c r="TLC1514" s="879"/>
      <c r="TLD1514" s="879"/>
      <c r="TLE1514" s="879"/>
      <c r="TLF1514" s="879"/>
      <c r="TLG1514" s="879"/>
      <c r="TLH1514" s="879"/>
      <c r="TLI1514" s="879"/>
      <c r="TLJ1514" s="879"/>
      <c r="TLK1514" s="879"/>
      <c r="TLL1514" s="879"/>
      <c r="TLM1514" s="879"/>
      <c r="TLN1514" s="879"/>
      <c r="TLO1514" s="879"/>
      <c r="TLP1514" s="879"/>
      <c r="TLQ1514" s="879"/>
      <c r="TLR1514" s="879"/>
      <c r="TLS1514" s="879"/>
      <c r="TLT1514" s="879"/>
      <c r="TLU1514" s="879"/>
      <c r="TLV1514" s="879"/>
      <c r="TLW1514" s="879"/>
      <c r="TLX1514" s="879"/>
      <c r="TLY1514" s="879"/>
      <c r="TLZ1514" s="879"/>
      <c r="TMA1514" s="879"/>
      <c r="TMB1514" s="879"/>
      <c r="TMC1514" s="879"/>
      <c r="TMD1514" s="879"/>
      <c r="TME1514" s="879"/>
      <c r="TMF1514" s="879"/>
      <c r="TMG1514" s="879"/>
      <c r="TMH1514" s="879"/>
      <c r="TMI1514" s="879"/>
      <c r="TMJ1514" s="879"/>
      <c r="TMK1514" s="879"/>
      <c r="TML1514" s="879"/>
      <c r="TMM1514" s="879"/>
      <c r="TMN1514" s="879"/>
      <c r="TMO1514" s="879"/>
      <c r="TMP1514" s="879"/>
      <c r="TMQ1514" s="879"/>
      <c r="TMR1514" s="879"/>
      <c r="TMS1514" s="879"/>
      <c r="TMT1514" s="879"/>
      <c r="TMU1514" s="879"/>
      <c r="TMV1514" s="879"/>
      <c r="TMW1514" s="879"/>
      <c r="TMX1514" s="879"/>
      <c r="TMY1514" s="879"/>
      <c r="TMZ1514" s="879"/>
      <c r="TNA1514" s="879"/>
      <c r="TNB1514" s="879"/>
      <c r="TNC1514" s="879"/>
      <c r="TND1514" s="879"/>
      <c r="TNE1514" s="879"/>
      <c r="TNF1514" s="879"/>
      <c r="TNG1514" s="879"/>
      <c r="TNH1514" s="879"/>
      <c r="TNI1514" s="879"/>
      <c r="TNJ1514" s="879"/>
      <c r="TNK1514" s="879"/>
      <c r="TNL1514" s="879"/>
      <c r="TNM1514" s="879"/>
      <c r="TNN1514" s="879"/>
      <c r="TNO1514" s="879"/>
      <c r="TNP1514" s="879"/>
      <c r="TNQ1514" s="879"/>
      <c r="TNR1514" s="879"/>
      <c r="TNS1514" s="879"/>
      <c r="TNT1514" s="879"/>
      <c r="TNU1514" s="879"/>
      <c r="TNV1514" s="879"/>
      <c r="TNW1514" s="879"/>
      <c r="TNX1514" s="879"/>
      <c r="TNY1514" s="879"/>
      <c r="TNZ1514" s="879"/>
      <c r="TOA1514" s="879"/>
      <c r="TOB1514" s="879"/>
      <c r="TOC1514" s="879"/>
      <c r="TOD1514" s="879"/>
      <c r="TOE1514" s="879"/>
      <c r="TOF1514" s="879"/>
      <c r="TOG1514" s="879"/>
      <c r="TOH1514" s="879"/>
      <c r="TOI1514" s="879"/>
      <c r="TOJ1514" s="879"/>
      <c r="TOK1514" s="879"/>
      <c r="TOL1514" s="879"/>
      <c r="TOM1514" s="879"/>
      <c r="TON1514" s="879"/>
      <c r="TOO1514" s="879"/>
      <c r="TOP1514" s="879"/>
      <c r="TOQ1514" s="879"/>
      <c r="TOR1514" s="879"/>
      <c r="TOS1514" s="879"/>
      <c r="TOT1514" s="879"/>
      <c r="TOU1514" s="879"/>
      <c r="TOV1514" s="879"/>
      <c r="TOW1514" s="879"/>
      <c r="TOX1514" s="879"/>
      <c r="TOY1514" s="879"/>
      <c r="TOZ1514" s="879"/>
      <c r="TPA1514" s="879"/>
      <c r="TPB1514" s="879"/>
      <c r="TPC1514" s="879"/>
      <c r="TPD1514" s="879"/>
      <c r="TPE1514" s="879"/>
      <c r="TPF1514" s="879"/>
      <c r="TPG1514" s="879"/>
      <c r="TPH1514" s="879"/>
      <c r="TPI1514" s="879"/>
      <c r="TPJ1514" s="879"/>
      <c r="TPK1514" s="879"/>
      <c r="TPL1514" s="879"/>
      <c r="TPM1514" s="879"/>
      <c r="TPN1514" s="879"/>
      <c r="TPO1514" s="879"/>
      <c r="TPP1514" s="879"/>
      <c r="TPQ1514" s="879"/>
      <c r="TPR1514" s="879"/>
      <c r="TPS1514" s="879"/>
      <c r="TPT1514" s="879"/>
      <c r="TPU1514" s="879"/>
      <c r="TPV1514" s="879"/>
      <c r="TPW1514" s="879"/>
      <c r="TPX1514" s="879"/>
      <c r="TPY1514" s="879"/>
      <c r="TPZ1514" s="879"/>
      <c r="TQA1514" s="879"/>
      <c r="TQB1514" s="879"/>
      <c r="TQC1514" s="879"/>
      <c r="TQD1514" s="879"/>
      <c r="TQE1514" s="879"/>
      <c r="TQF1514" s="879"/>
      <c r="TQG1514" s="879"/>
      <c r="TQH1514" s="879"/>
      <c r="TQI1514" s="879"/>
      <c r="TQJ1514" s="879"/>
      <c r="TQK1514" s="879"/>
      <c r="TQL1514" s="879"/>
      <c r="TQM1514" s="879"/>
      <c r="TQN1514" s="879"/>
      <c r="TQO1514" s="879"/>
      <c r="TQP1514" s="879"/>
      <c r="TQQ1514" s="879"/>
      <c r="TQR1514" s="879"/>
      <c r="TQS1514" s="879"/>
      <c r="TQT1514" s="879"/>
      <c r="TQU1514" s="879"/>
      <c r="TQV1514" s="879"/>
      <c r="TQW1514" s="879"/>
      <c r="TQX1514" s="879"/>
      <c r="TQY1514" s="879"/>
      <c r="TQZ1514" s="879"/>
      <c r="TRA1514" s="879"/>
      <c r="TRB1514" s="879"/>
      <c r="TRC1514" s="879"/>
      <c r="TRD1514" s="879"/>
      <c r="TRE1514" s="879"/>
      <c r="TRF1514" s="879"/>
      <c r="TRG1514" s="879"/>
      <c r="TRH1514" s="879"/>
      <c r="TRI1514" s="879"/>
      <c r="TRJ1514" s="879"/>
      <c r="TRK1514" s="879"/>
      <c r="TRL1514" s="879"/>
      <c r="TRM1514" s="879"/>
      <c r="TRN1514" s="879"/>
      <c r="TRO1514" s="879"/>
      <c r="TRP1514" s="879"/>
      <c r="TRQ1514" s="879"/>
      <c r="TRR1514" s="879"/>
      <c r="TRS1514" s="879"/>
      <c r="TRT1514" s="879"/>
      <c r="TRU1514" s="879"/>
      <c r="TRV1514" s="879"/>
      <c r="TRW1514" s="879"/>
      <c r="TRX1514" s="879"/>
      <c r="TRY1514" s="879"/>
      <c r="TRZ1514" s="879"/>
      <c r="TSA1514" s="879"/>
      <c r="TSB1514" s="879"/>
      <c r="TSC1514" s="879"/>
      <c r="TSD1514" s="879"/>
      <c r="TSE1514" s="879"/>
      <c r="TSF1514" s="879"/>
      <c r="TSG1514" s="879"/>
      <c r="TSH1514" s="879"/>
      <c r="TSI1514" s="879"/>
      <c r="TSJ1514" s="879"/>
      <c r="TSK1514" s="879"/>
      <c r="TSL1514" s="879"/>
      <c r="TSM1514" s="879"/>
      <c r="TSN1514" s="879"/>
      <c r="TSO1514" s="879"/>
      <c r="TSP1514" s="879"/>
      <c r="TSQ1514" s="879"/>
      <c r="TSR1514" s="879"/>
      <c r="TSS1514" s="879"/>
      <c r="TST1514" s="879"/>
      <c r="TSU1514" s="879"/>
      <c r="TSV1514" s="879"/>
      <c r="TSW1514" s="879"/>
      <c r="TSX1514" s="879"/>
      <c r="TSY1514" s="879"/>
      <c r="TSZ1514" s="879"/>
      <c r="TTA1514" s="879"/>
      <c r="TTB1514" s="879"/>
      <c r="TTC1514" s="879"/>
      <c r="TTD1514" s="879"/>
      <c r="TTE1514" s="879"/>
      <c r="TTF1514" s="879"/>
      <c r="TTG1514" s="879"/>
      <c r="TTH1514" s="879"/>
      <c r="TTI1514" s="879"/>
      <c r="TTJ1514" s="879"/>
      <c r="TTK1514" s="879"/>
      <c r="TTL1514" s="879"/>
      <c r="TTM1514" s="879"/>
      <c r="TTN1514" s="879"/>
      <c r="TTO1514" s="879"/>
      <c r="TTP1514" s="879"/>
      <c r="TTQ1514" s="879"/>
      <c r="TTR1514" s="879"/>
      <c r="TTS1514" s="879"/>
      <c r="TTT1514" s="879"/>
      <c r="TTU1514" s="879"/>
      <c r="TTV1514" s="879"/>
      <c r="TTW1514" s="879"/>
      <c r="TTX1514" s="879"/>
      <c r="TTY1514" s="879"/>
      <c r="TTZ1514" s="879"/>
      <c r="TUA1514" s="879"/>
      <c r="TUB1514" s="879"/>
      <c r="TUC1514" s="879"/>
      <c r="TUD1514" s="879"/>
      <c r="TUE1514" s="879"/>
      <c r="TUF1514" s="879"/>
      <c r="TUG1514" s="879"/>
      <c r="TUH1514" s="879"/>
      <c r="TUI1514" s="879"/>
      <c r="TUJ1514" s="879"/>
      <c r="TUK1514" s="879"/>
      <c r="TUL1514" s="879"/>
      <c r="TUM1514" s="879"/>
      <c r="TUN1514" s="879"/>
      <c r="TUO1514" s="879"/>
      <c r="TUP1514" s="879"/>
      <c r="TUQ1514" s="879"/>
      <c r="TUR1514" s="879"/>
      <c r="TUS1514" s="879"/>
      <c r="TUT1514" s="879"/>
      <c r="TUU1514" s="879"/>
      <c r="TUV1514" s="879"/>
      <c r="TUW1514" s="879"/>
      <c r="TUX1514" s="879"/>
      <c r="TUY1514" s="879"/>
      <c r="TUZ1514" s="879"/>
      <c r="TVA1514" s="879"/>
      <c r="TVB1514" s="879"/>
      <c r="TVC1514" s="879"/>
      <c r="TVD1514" s="879"/>
      <c r="TVE1514" s="879"/>
      <c r="TVF1514" s="879"/>
      <c r="TVG1514" s="879"/>
      <c r="TVH1514" s="879"/>
      <c r="TVI1514" s="879"/>
      <c r="TVJ1514" s="879"/>
      <c r="TVK1514" s="879"/>
      <c r="TVL1514" s="879"/>
      <c r="TVM1514" s="879"/>
      <c r="TVN1514" s="879"/>
      <c r="TVO1514" s="879"/>
      <c r="TVP1514" s="879"/>
      <c r="TVQ1514" s="879"/>
      <c r="TVR1514" s="879"/>
      <c r="TVS1514" s="879"/>
      <c r="TVT1514" s="879"/>
      <c r="TVU1514" s="879"/>
      <c r="TVV1514" s="879"/>
      <c r="TVW1514" s="879"/>
      <c r="TVX1514" s="879"/>
      <c r="TVY1514" s="879"/>
      <c r="TVZ1514" s="879"/>
      <c r="TWA1514" s="879"/>
      <c r="TWB1514" s="879"/>
      <c r="TWC1514" s="879"/>
      <c r="TWD1514" s="879"/>
      <c r="TWE1514" s="879"/>
      <c r="TWF1514" s="879"/>
      <c r="TWG1514" s="879"/>
      <c r="TWH1514" s="879"/>
      <c r="TWI1514" s="879"/>
      <c r="TWJ1514" s="879"/>
      <c r="TWK1514" s="879"/>
      <c r="TWL1514" s="879"/>
      <c r="TWM1514" s="879"/>
      <c r="TWN1514" s="879"/>
      <c r="TWO1514" s="879"/>
      <c r="TWP1514" s="879"/>
      <c r="TWQ1514" s="879"/>
      <c r="TWR1514" s="879"/>
      <c r="TWS1514" s="879"/>
      <c r="TWT1514" s="879"/>
      <c r="TWU1514" s="879"/>
      <c r="TWV1514" s="879"/>
      <c r="TWW1514" s="879"/>
      <c r="TWX1514" s="879"/>
      <c r="TWY1514" s="879"/>
      <c r="TWZ1514" s="879"/>
      <c r="TXA1514" s="879"/>
      <c r="TXB1514" s="879"/>
      <c r="TXC1514" s="879"/>
      <c r="TXD1514" s="879"/>
      <c r="TXE1514" s="879"/>
      <c r="TXF1514" s="879"/>
      <c r="TXG1514" s="879"/>
      <c r="TXH1514" s="879"/>
      <c r="TXI1514" s="879"/>
      <c r="TXJ1514" s="879"/>
      <c r="TXK1514" s="879"/>
      <c r="TXL1514" s="879"/>
      <c r="TXM1514" s="879"/>
      <c r="TXN1514" s="879"/>
      <c r="TXO1514" s="879"/>
      <c r="TXP1514" s="879"/>
      <c r="TXQ1514" s="879"/>
      <c r="TXR1514" s="879"/>
      <c r="TXS1514" s="879"/>
      <c r="TXT1514" s="879"/>
      <c r="TXU1514" s="879"/>
      <c r="TXV1514" s="879"/>
      <c r="TXW1514" s="879"/>
      <c r="TXX1514" s="879"/>
      <c r="TXY1514" s="879"/>
      <c r="TXZ1514" s="879"/>
      <c r="TYA1514" s="879"/>
      <c r="TYB1514" s="879"/>
      <c r="TYC1514" s="879"/>
      <c r="TYD1514" s="879"/>
      <c r="TYE1514" s="879"/>
      <c r="TYF1514" s="879"/>
      <c r="TYG1514" s="879"/>
      <c r="TYH1514" s="879"/>
      <c r="TYI1514" s="879"/>
      <c r="TYJ1514" s="879"/>
      <c r="TYK1514" s="879"/>
      <c r="TYL1514" s="879"/>
      <c r="TYM1514" s="879"/>
      <c r="TYN1514" s="879"/>
      <c r="TYO1514" s="879"/>
      <c r="TYP1514" s="879"/>
      <c r="TYQ1514" s="879"/>
      <c r="TYR1514" s="879"/>
      <c r="TYS1514" s="879"/>
      <c r="TYT1514" s="879"/>
      <c r="TYU1514" s="879"/>
      <c r="TYV1514" s="879"/>
      <c r="TYW1514" s="879"/>
      <c r="TYX1514" s="879"/>
      <c r="TYY1514" s="879"/>
      <c r="TYZ1514" s="879"/>
      <c r="TZA1514" s="879"/>
      <c r="TZB1514" s="879"/>
      <c r="TZC1514" s="879"/>
      <c r="TZD1514" s="879"/>
      <c r="TZE1514" s="879"/>
      <c r="TZF1514" s="879"/>
      <c r="TZG1514" s="879"/>
      <c r="TZH1514" s="879"/>
      <c r="TZI1514" s="879"/>
      <c r="TZJ1514" s="879"/>
      <c r="TZK1514" s="879"/>
      <c r="TZL1514" s="879"/>
      <c r="TZM1514" s="879"/>
      <c r="TZN1514" s="879"/>
      <c r="TZO1514" s="879"/>
      <c r="TZP1514" s="879"/>
      <c r="TZQ1514" s="879"/>
      <c r="TZR1514" s="879"/>
      <c r="TZS1514" s="879"/>
      <c r="TZT1514" s="879"/>
      <c r="TZU1514" s="879"/>
      <c r="TZV1514" s="879"/>
      <c r="TZW1514" s="879"/>
      <c r="TZX1514" s="879"/>
      <c r="TZY1514" s="879"/>
      <c r="TZZ1514" s="879"/>
      <c r="UAA1514" s="879"/>
      <c r="UAB1514" s="879"/>
      <c r="UAC1514" s="879"/>
      <c r="UAD1514" s="879"/>
      <c r="UAE1514" s="879"/>
      <c r="UAF1514" s="879"/>
      <c r="UAG1514" s="879"/>
      <c r="UAH1514" s="879"/>
      <c r="UAI1514" s="879"/>
      <c r="UAJ1514" s="879"/>
      <c r="UAK1514" s="879"/>
      <c r="UAL1514" s="879"/>
      <c r="UAM1514" s="879"/>
      <c r="UAN1514" s="879"/>
      <c r="UAO1514" s="879"/>
      <c r="UAP1514" s="879"/>
      <c r="UAQ1514" s="879"/>
      <c r="UAR1514" s="879"/>
      <c r="UAS1514" s="879"/>
      <c r="UAT1514" s="879"/>
      <c r="UAU1514" s="879"/>
      <c r="UAV1514" s="879"/>
      <c r="UAW1514" s="879"/>
      <c r="UAX1514" s="879"/>
      <c r="UAY1514" s="879"/>
      <c r="UAZ1514" s="879"/>
      <c r="UBA1514" s="879"/>
      <c r="UBB1514" s="879"/>
      <c r="UBC1514" s="879"/>
      <c r="UBD1514" s="879"/>
      <c r="UBE1514" s="879"/>
      <c r="UBF1514" s="879"/>
      <c r="UBG1514" s="879"/>
      <c r="UBH1514" s="879"/>
      <c r="UBI1514" s="879"/>
      <c r="UBJ1514" s="879"/>
      <c r="UBK1514" s="879"/>
      <c r="UBL1514" s="879"/>
      <c r="UBM1514" s="879"/>
      <c r="UBN1514" s="879"/>
      <c r="UBO1514" s="879"/>
      <c r="UBP1514" s="879"/>
      <c r="UBQ1514" s="879"/>
      <c r="UBR1514" s="879"/>
      <c r="UBS1514" s="879"/>
      <c r="UBT1514" s="879"/>
      <c r="UBU1514" s="879"/>
      <c r="UBV1514" s="879"/>
      <c r="UBW1514" s="879"/>
      <c r="UBX1514" s="879"/>
      <c r="UBY1514" s="879"/>
      <c r="UBZ1514" s="879"/>
      <c r="UCA1514" s="879"/>
      <c r="UCB1514" s="879"/>
      <c r="UCC1514" s="879"/>
      <c r="UCD1514" s="879"/>
      <c r="UCE1514" s="879"/>
      <c r="UCF1514" s="879"/>
      <c r="UCG1514" s="879"/>
      <c r="UCH1514" s="879"/>
      <c r="UCI1514" s="879"/>
      <c r="UCJ1514" s="879"/>
      <c r="UCK1514" s="879"/>
      <c r="UCL1514" s="879"/>
      <c r="UCM1514" s="879"/>
      <c r="UCN1514" s="879"/>
      <c r="UCO1514" s="879"/>
      <c r="UCP1514" s="879"/>
      <c r="UCQ1514" s="879"/>
      <c r="UCR1514" s="879"/>
      <c r="UCS1514" s="879"/>
      <c r="UCT1514" s="879"/>
      <c r="UCU1514" s="879"/>
      <c r="UCV1514" s="879"/>
      <c r="UCW1514" s="879"/>
      <c r="UCX1514" s="879"/>
      <c r="UCY1514" s="879"/>
      <c r="UCZ1514" s="879"/>
      <c r="UDA1514" s="879"/>
      <c r="UDB1514" s="879"/>
      <c r="UDC1514" s="879"/>
      <c r="UDD1514" s="879"/>
      <c r="UDE1514" s="879"/>
      <c r="UDF1514" s="879"/>
      <c r="UDG1514" s="879"/>
      <c r="UDH1514" s="879"/>
      <c r="UDI1514" s="879"/>
      <c r="UDJ1514" s="879"/>
      <c r="UDK1514" s="879"/>
      <c r="UDL1514" s="879"/>
      <c r="UDM1514" s="879"/>
      <c r="UDN1514" s="879"/>
      <c r="UDO1514" s="879"/>
      <c r="UDP1514" s="879"/>
      <c r="UDQ1514" s="879"/>
      <c r="UDR1514" s="879"/>
      <c r="UDS1514" s="879"/>
      <c r="UDT1514" s="879"/>
      <c r="UDU1514" s="879"/>
      <c r="UDV1514" s="879"/>
      <c r="UDW1514" s="879"/>
      <c r="UDX1514" s="879"/>
      <c r="UDY1514" s="879"/>
      <c r="UDZ1514" s="879"/>
      <c r="UEA1514" s="879"/>
      <c r="UEB1514" s="879"/>
      <c r="UEC1514" s="879"/>
      <c r="UED1514" s="879"/>
      <c r="UEE1514" s="879"/>
      <c r="UEF1514" s="879"/>
      <c r="UEG1514" s="879"/>
      <c r="UEH1514" s="879"/>
      <c r="UEI1514" s="879"/>
      <c r="UEJ1514" s="879"/>
      <c r="UEK1514" s="879"/>
      <c r="UEL1514" s="879"/>
      <c r="UEM1514" s="879"/>
      <c r="UEN1514" s="879"/>
      <c r="UEO1514" s="879"/>
      <c r="UEP1514" s="879"/>
      <c r="UEQ1514" s="879"/>
      <c r="UER1514" s="879"/>
      <c r="UES1514" s="879"/>
      <c r="UET1514" s="879"/>
      <c r="UEU1514" s="879"/>
      <c r="UEV1514" s="879"/>
      <c r="UEW1514" s="879"/>
      <c r="UEX1514" s="879"/>
      <c r="UEY1514" s="879"/>
      <c r="UEZ1514" s="879"/>
      <c r="UFA1514" s="879"/>
      <c r="UFB1514" s="879"/>
      <c r="UFC1514" s="879"/>
      <c r="UFD1514" s="879"/>
      <c r="UFE1514" s="879"/>
      <c r="UFF1514" s="879"/>
      <c r="UFG1514" s="879"/>
      <c r="UFH1514" s="879"/>
      <c r="UFI1514" s="879"/>
      <c r="UFJ1514" s="879"/>
      <c r="UFK1514" s="879"/>
      <c r="UFL1514" s="879"/>
      <c r="UFM1514" s="879"/>
      <c r="UFN1514" s="879"/>
      <c r="UFO1514" s="879"/>
      <c r="UFP1514" s="879"/>
      <c r="UFQ1514" s="879"/>
      <c r="UFR1514" s="879"/>
      <c r="UFS1514" s="879"/>
      <c r="UFT1514" s="879"/>
      <c r="UFU1514" s="879"/>
      <c r="UFV1514" s="879"/>
      <c r="UFW1514" s="879"/>
      <c r="UFX1514" s="879"/>
      <c r="UFY1514" s="879"/>
      <c r="UFZ1514" s="879"/>
      <c r="UGA1514" s="879"/>
      <c r="UGB1514" s="879"/>
      <c r="UGC1514" s="879"/>
      <c r="UGD1514" s="879"/>
      <c r="UGE1514" s="879"/>
      <c r="UGF1514" s="879"/>
      <c r="UGG1514" s="879"/>
      <c r="UGH1514" s="879"/>
      <c r="UGI1514" s="879"/>
      <c r="UGJ1514" s="879"/>
      <c r="UGK1514" s="879"/>
      <c r="UGL1514" s="879"/>
      <c r="UGM1514" s="879"/>
      <c r="UGN1514" s="879"/>
      <c r="UGO1514" s="879"/>
      <c r="UGP1514" s="879"/>
      <c r="UGQ1514" s="879"/>
      <c r="UGR1514" s="879"/>
      <c r="UGS1514" s="879"/>
      <c r="UGT1514" s="879"/>
      <c r="UGU1514" s="879"/>
      <c r="UGV1514" s="879"/>
      <c r="UGW1514" s="879"/>
      <c r="UGX1514" s="879"/>
      <c r="UGY1514" s="879"/>
      <c r="UGZ1514" s="879"/>
      <c r="UHA1514" s="879"/>
      <c r="UHB1514" s="879"/>
      <c r="UHC1514" s="879"/>
      <c r="UHD1514" s="879"/>
      <c r="UHE1514" s="879"/>
      <c r="UHF1514" s="879"/>
      <c r="UHG1514" s="879"/>
      <c r="UHH1514" s="879"/>
      <c r="UHI1514" s="879"/>
      <c r="UHJ1514" s="879"/>
      <c r="UHK1514" s="879"/>
      <c r="UHL1514" s="879"/>
      <c r="UHM1514" s="879"/>
      <c r="UHN1514" s="879"/>
      <c r="UHO1514" s="879"/>
      <c r="UHP1514" s="879"/>
      <c r="UHQ1514" s="879"/>
      <c r="UHR1514" s="879"/>
      <c r="UHS1514" s="879"/>
      <c r="UHT1514" s="879"/>
      <c r="UHU1514" s="879"/>
      <c r="UHV1514" s="879"/>
      <c r="UHW1514" s="879"/>
      <c r="UHX1514" s="879"/>
      <c r="UHY1514" s="879"/>
      <c r="UHZ1514" s="879"/>
      <c r="UIA1514" s="879"/>
      <c r="UIB1514" s="879"/>
      <c r="UIC1514" s="879"/>
      <c r="UID1514" s="879"/>
      <c r="UIE1514" s="879"/>
      <c r="UIF1514" s="879"/>
      <c r="UIG1514" s="879"/>
      <c r="UIH1514" s="879"/>
      <c r="UII1514" s="879"/>
      <c r="UIJ1514" s="879"/>
      <c r="UIK1514" s="879"/>
      <c r="UIL1514" s="879"/>
      <c r="UIM1514" s="879"/>
      <c r="UIN1514" s="879"/>
      <c r="UIO1514" s="879"/>
      <c r="UIP1514" s="879"/>
      <c r="UIQ1514" s="879"/>
      <c r="UIR1514" s="879"/>
      <c r="UIS1514" s="879"/>
      <c r="UIT1514" s="879"/>
      <c r="UIU1514" s="879"/>
      <c r="UIV1514" s="879"/>
      <c r="UIW1514" s="879"/>
      <c r="UIX1514" s="879"/>
      <c r="UIY1514" s="879"/>
      <c r="UIZ1514" s="879"/>
      <c r="UJA1514" s="879"/>
      <c r="UJB1514" s="879"/>
      <c r="UJC1514" s="879"/>
      <c r="UJD1514" s="879"/>
      <c r="UJE1514" s="879"/>
      <c r="UJF1514" s="879"/>
      <c r="UJG1514" s="879"/>
      <c r="UJH1514" s="879"/>
      <c r="UJI1514" s="879"/>
      <c r="UJJ1514" s="879"/>
      <c r="UJK1514" s="879"/>
      <c r="UJL1514" s="879"/>
      <c r="UJM1514" s="879"/>
      <c r="UJN1514" s="879"/>
      <c r="UJO1514" s="879"/>
      <c r="UJP1514" s="879"/>
      <c r="UJQ1514" s="879"/>
      <c r="UJR1514" s="879"/>
      <c r="UJS1514" s="879"/>
      <c r="UJT1514" s="879"/>
      <c r="UJU1514" s="879"/>
      <c r="UJV1514" s="879"/>
      <c r="UJW1514" s="879"/>
      <c r="UJX1514" s="879"/>
      <c r="UJY1514" s="879"/>
      <c r="UJZ1514" s="879"/>
      <c r="UKA1514" s="879"/>
      <c r="UKB1514" s="879"/>
      <c r="UKC1514" s="879"/>
      <c r="UKD1514" s="879"/>
      <c r="UKE1514" s="879"/>
      <c r="UKF1514" s="879"/>
      <c r="UKG1514" s="879"/>
      <c r="UKH1514" s="879"/>
      <c r="UKI1514" s="879"/>
      <c r="UKJ1514" s="879"/>
      <c r="UKK1514" s="879"/>
      <c r="UKL1514" s="879"/>
      <c r="UKM1514" s="879"/>
      <c r="UKN1514" s="879"/>
      <c r="UKO1514" s="879"/>
      <c r="UKP1514" s="879"/>
      <c r="UKQ1514" s="879"/>
      <c r="UKR1514" s="879"/>
      <c r="UKS1514" s="879"/>
      <c r="UKT1514" s="879"/>
      <c r="UKU1514" s="879"/>
      <c r="UKV1514" s="879"/>
      <c r="UKW1514" s="879"/>
      <c r="UKX1514" s="879"/>
      <c r="UKY1514" s="879"/>
      <c r="UKZ1514" s="879"/>
      <c r="ULA1514" s="879"/>
      <c r="ULB1514" s="879"/>
      <c r="ULC1514" s="879"/>
      <c r="ULD1514" s="879"/>
      <c r="ULE1514" s="879"/>
      <c r="ULF1514" s="879"/>
      <c r="ULG1514" s="879"/>
      <c r="ULH1514" s="879"/>
      <c r="ULI1514" s="879"/>
      <c r="ULJ1514" s="879"/>
      <c r="ULK1514" s="879"/>
      <c r="ULL1514" s="879"/>
      <c r="ULM1514" s="879"/>
      <c r="ULN1514" s="879"/>
      <c r="ULO1514" s="879"/>
      <c r="ULP1514" s="879"/>
      <c r="ULQ1514" s="879"/>
      <c r="ULR1514" s="879"/>
      <c r="ULS1514" s="879"/>
      <c r="ULT1514" s="879"/>
      <c r="ULU1514" s="879"/>
      <c r="ULV1514" s="879"/>
      <c r="ULW1514" s="879"/>
      <c r="ULX1514" s="879"/>
      <c r="ULY1514" s="879"/>
      <c r="ULZ1514" s="879"/>
      <c r="UMA1514" s="879"/>
      <c r="UMB1514" s="879"/>
      <c r="UMC1514" s="879"/>
      <c r="UMD1514" s="879"/>
      <c r="UME1514" s="879"/>
      <c r="UMF1514" s="879"/>
      <c r="UMG1514" s="879"/>
      <c r="UMH1514" s="879"/>
      <c r="UMI1514" s="879"/>
      <c r="UMJ1514" s="879"/>
      <c r="UMK1514" s="879"/>
      <c r="UML1514" s="879"/>
      <c r="UMM1514" s="879"/>
      <c r="UMN1514" s="879"/>
      <c r="UMO1514" s="879"/>
      <c r="UMP1514" s="879"/>
      <c r="UMQ1514" s="879"/>
      <c r="UMR1514" s="879"/>
      <c r="UMS1514" s="879"/>
      <c r="UMT1514" s="879"/>
      <c r="UMU1514" s="879"/>
      <c r="UMV1514" s="879"/>
      <c r="UMW1514" s="879"/>
      <c r="UMX1514" s="879"/>
      <c r="UMY1514" s="879"/>
      <c r="UMZ1514" s="879"/>
      <c r="UNA1514" s="879"/>
      <c r="UNB1514" s="879"/>
      <c r="UNC1514" s="879"/>
      <c r="UND1514" s="879"/>
      <c r="UNE1514" s="879"/>
      <c r="UNF1514" s="879"/>
      <c r="UNG1514" s="879"/>
      <c r="UNH1514" s="879"/>
      <c r="UNI1514" s="879"/>
      <c r="UNJ1514" s="879"/>
      <c r="UNK1514" s="879"/>
      <c r="UNL1514" s="879"/>
      <c r="UNM1514" s="879"/>
      <c r="UNN1514" s="879"/>
      <c r="UNO1514" s="879"/>
      <c r="UNP1514" s="879"/>
      <c r="UNQ1514" s="879"/>
      <c r="UNR1514" s="879"/>
      <c r="UNS1514" s="879"/>
      <c r="UNT1514" s="879"/>
      <c r="UNU1514" s="879"/>
      <c r="UNV1514" s="879"/>
      <c r="UNW1514" s="879"/>
      <c r="UNX1514" s="879"/>
      <c r="UNY1514" s="879"/>
      <c r="UNZ1514" s="879"/>
      <c r="UOA1514" s="879"/>
      <c r="UOB1514" s="879"/>
      <c r="UOC1514" s="879"/>
      <c r="UOD1514" s="879"/>
      <c r="UOE1514" s="879"/>
      <c r="UOF1514" s="879"/>
      <c r="UOG1514" s="879"/>
      <c r="UOH1514" s="879"/>
      <c r="UOI1514" s="879"/>
      <c r="UOJ1514" s="879"/>
      <c r="UOK1514" s="879"/>
      <c r="UOL1514" s="879"/>
      <c r="UOM1514" s="879"/>
      <c r="UON1514" s="879"/>
      <c r="UOO1514" s="879"/>
      <c r="UOP1514" s="879"/>
      <c r="UOQ1514" s="879"/>
      <c r="UOR1514" s="879"/>
      <c r="UOS1514" s="879"/>
      <c r="UOT1514" s="879"/>
      <c r="UOU1514" s="879"/>
      <c r="UOV1514" s="879"/>
      <c r="UOW1514" s="879"/>
      <c r="UOX1514" s="879"/>
      <c r="UOY1514" s="879"/>
      <c r="UOZ1514" s="879"/>
      <c r="UPA1514" s="879"/>
      <c r="UPB1514" s="879"/>
      <c r="UPC1514" s="879"/>
      <c r="UPD1514" s="879"/>
      <c r="UPE1514" s="879"/>
      <c r="UPF1514" s="879"/>
      <c r="UPG1514" s="879"/>
      <c r="UPH1514" s="879"/>
      <c r="UPI1514" s="879"/>
      <c r="UPJ1514" s="879"/>
      <c r="UPK1514" s="879"/>
      <c r="UPL1514" s="879"/>
      <c r="UPM1514" s="879"/>
      <c r="UPN1514" s="879"/>
      <c r="UPO1514" s="879"/>
      <c r="UPP1514" s="879"/>
      <c r="UPQ1514" s="879"/>
      <c r="UPR1514" s="879"/>
      <c r="UPS1514" s="879"/>
      <c r="UPT1514" s="879"/>
      <c r="UPU1514" s="879"/>
      <c r="UPV1514" s="879"/>
      <c r="UPW1514" s="879"/>
      <c r="UPX1514" s="879"/>
      <c r="UPY1514" s="879"/>
      <c r="UPZ1514" s="879"/>
      <c r="UQA1514" s="879"/>
      <c r="UQB1514" s="879"/>
      <c r="UQC1514" s="879"/>
      <c r="UQD1514" s="879"/>
      <c r="UQE1514" s="879"/>
      <c r="UQF1514" s="879"/>
      <c r="UQG1514" s="879"/>
      <c r="UQH1514" s="879"/>
      <c r="UQI1514" s="879"/>
      <c r="UQJ1514" s="879"/>
      <c r="UQK1514" s="879"/>
      <c r="UQL1514" s="879"/>
      <c r="UQM1514" s="879"/>
      <c r="UQN1514" s="879"/>
      <c r="UQO1514" s="879"/>
      <c r="UQP1514" s="879"/>
      <c r="UQQ1514" s="879"/>
      <c r="UQR1514" s="879"/>
      <c r="UQS1514" s="879"/>
      <c r="UQT1514" s="879"/>
      <c r="UQU1514" s="879"/>
      <c r="UQV1514" s="879"/>
      <c r="UQW1514" s="879"/>
      <c r="UQX1514" s="879"/>
      <c r="UQY1514" s="879"/>
      <c r="UQZ1514" s="879"/>
      <c r="URA1514" s="879"/>
      <c r="URB1514" s="879"/>
      <c r="URC1514" s="879"/>
      <c r="URD1514" s="879"/>
      <c r="URE1514" s="879"/>
      <c r="URF1514" s="879"/>
      <c r="URG1514" s="879"/>
      <c r="URH1514" s="879"/>
      <c r="URI1514" s="879"/>
      <c r="URJ1514" s="879"/>
      <c r="URK1514" s="879"/>
      <c r="URL1514" s="879"/>
      <c r="URM1514" s="879"/>
      <c r="URN1514" s="879"/>
      <c r="URO1514" s="879"/>
      <c r="URP1514" s="879"/>
      <c r="URQ1514" s="879"/>
      <c r="URR1514" s="879"/>
      <c r="URS1514" s="879"/>
      <c r="URT1514" s="879"/>
      <c r="URU1514" s="879"/>
      <c r="URV1514" s="879"/>
      <c r="URW1514" s="879"/>
      <c r="URX1514" s="879"/>
      <c r="URY1514" s="879"/>
      <c r="URZ1514" s="879"/>
      <c r="USA1514" s="879"/>
      <c r="USB1514" s="879"/>
      <c r="USC1514" s="879"/>
      <c r="USD1514" s="879"/>
      <c r="USE1514" s="879"/>
      <c r="USF1514" s="879"/>
      <c r="USG1514" s="879"/>
      <c r="USH1514" s="879"/>
      <c r="USI1514" s="879"/>
      <c r="USJ1514" s="879"/>
      <c r="USK1514" s="879"/>
      <c r="USL1514" s="879"/>
      <c r="USM1514" s="879"/>
      <c r="USN1514" s="879"/>
      <c r="USO1514" s="879"/>
      <c r="USP1514" s="879"/>
      <c r="USQ1514" s="879"/>
      <c r="USR1514" s="879"/>
      <c r="USS1514" s="879"/>
      <c r="UST1514" s="879"/>
      <c r="USU1514" s="879"/>
      <c r="USV1514" s="879"/>
      <c r="USW1514" s="879"/>
      <c r="USX1514" s="879"/>
      <c r="USY1514" s="879"/>
      <c r="USZ1514" s="879"/>
      <c r="UTA1514" s="879"/>
      <c r="UTB1514" s="879"/>
      <c r="UTC1514" s="879"/>
      <c r="UTD1514" s="879"/>
      <c r="UTE1514" s="879"/>
      <c r="UTF1514" s="879"/>
      <c r="UTG1514" s="879"/>
      <c r="UTH1514" s="879"/>
      <c r="UTI1514" s="879"/>
      <c r="UTJ1514" s="879"/>
      <c r="UTK1514" s="879"/>
      <c r="UTL1514" s="879"/>
      <c r="UTM1514" s="879"/>
      <c r="UTN1514" s="879"/>
      <c r="UTO1514" s="879"/>
      <c r="UTP1514" s="879"/>
      <c r="UTQ1514" s="879"/>
      <c r="UTR1514" s="879"/>
      <c r="UTS1514" s="879"/>
      <c r="UTT1514" s="879"/>
      <c r="UTU1514" s="879"/>
      <c r="UTV1514" s="879"/>
      <c r="UTW1514" s="879"/>
      <c r="UTX1514" s="879"/>
      <c r="UTY1514" s="879"/>
      <c r="UTZ1514" s="879"/>
      <c r="UUA1514" s="879"/>
      <c r="UUB1514" s="879"/>
      <c r="UUC1514" s="879"/>
      <c r="UUD1514" s="879"/>
      <c r="UUE1514" s="879"/>
      <c r="UUF1514" s="879"/>
      <c r="UUG1514" s="879"/>
      <c r="UUH1514" s="879"/>
      <c r="UUI1514" s="879"/>
      <c r="UUJ1514" s="879"/>
      <c r="UUK1514" s="879"/>
      <c r="UUL1514" s="879"/>
      <c r="UUM1514" s="879"/>
      <c r="UUN1514" s="879"/>
      <c r="UUO1514" s="879"/>
      <c r="UUP1514" s="879"/>
      <c r="UUQ1514" s="879"/>
      <c r="UUR1514" s="879"/>
      <c r="UUS1514" s="879"/>
      <c r="UUT1514" s="879"/>
      <c r="UUU1514" s="879"/>
      <c r="UUV1514" s="879"/>
      <c r="UUW1514" s="879"/>
      <c r="UUX1514" s="879"/>
      <c r="UUY1514" s="879"/>
      <c r="UUZ1514" s="879"/>
      <c r="UVA1514" s="879"/>
      <c r="UVB1514" s="879"/>
      <c r="UVC1514" s="879"/>
      <c r="UVD1514" s="879"/>
      <c r="UVE1514" s="879"/>
      <c r="UVF1514" s="879"/>
      <c r="UVG1514" s="879"/>
      <c r="UVH1514" s="879"/>
      <c r="UVI1514" s="879"/>
      <c r="UVJ1514" s="879"/>
      <c r="UVK1514" s="879"/>
      <c r="UVL1514" s="879"/>
      <c r="UVM1514" s="879"/>
      <c r="UVN1514" s="879"/>
      <c r="UVO1514" s="879"/>
      <c r="UVP1514" s="879"/>
      <c r="UVQ1514" s="879"/>
      <c r="UVR1514" s="879"/>
      <c r="UVS1514" s="879"/>
      <c r="UVT1514" s="879"/>
      <c r="UVU1514" s="879"/>
      <c r="UVV1514" s="879"/>
      <c r="UVW1514" s="879"/>
      <c r="UVX1514" s="879"/>
      <c r="UVY1514" s="879"/>
      <c r="UVZ1514" s="879"/>
      <c r="UWA1514" s="879"/>
      <c r="UWB1514" s="879"/>
      <c r="UWC1514" s="879"/>
      <c r="UWD1514" s="879"/>
      <c r="UWE1514" s="879"/>
      <c r="UWF1514" s="879"/>
      <c r="UWG1514" s="879"/>
      <c r="UWH1514" s="879"/>
      <c r="UWI1514" s="879"/>
      <c r="UWJ1514" s="879"/>
      <c r="UWK1514" s="879"/>
      <c r="UWL1514" s="879"/>
      <c r="UWM1514" s="879"/>
      <c r="UWN1514" s="879"/>
      <c r="UWO1514" s="879"/>
      <c r="UWP1514" s="879"/>
      <c r="UWQ1514" s="879"/>
      <c r="UWR1514" s="879"/>
      <c r="UWS1514" s="879"/>
      <c r="UWT1514" s="879"/>
      <c r="UWU1514" s="879"/>
      <c r="UWV1514" s="879"/>
      <c r="UWW1514" s="879"/>
      <c r="UWX1514" s="879"/>
      <c r="UWY1514" s="879"/>
      <c r="UWZ1514" s="879"/>
      <c r="UXA1514" s="879"/>
      <c r="UXB1514" s="879"/>
      <c r="UXC1514" s="879"/>
      <c r="UXD1514" s="879"/>
      <c r="UXE1514" s="879"/>
      <c r="UXF1514" s="879"/>
      <c r="UXG1514" s="879"/>
      <c r="UXH1514" s="879"/>
      <c r="UXI1514" s="879"/>
      <c r="UXJ1514" s="879"/>
      <c r="UXK1514" s="879"/>
      <c r="UXL1514" s="879"/>
      <c r="UXM1514" s="879"/>
      <c r="UXN1514" s="879"/>
      <c r="UXO1514" s="879"/>
      <c r="UXP1514" s="879"/>
      <c r="UXQ1514" s="879"/>
      <c r="UXR1514" s="879"/>
      <c r="UXS1514" s="879"/>
      <c r="UXT1514" s="879"/>
      <c r="UXU1514" s="879"/>
      <c r="UXV1514" s="879"/>
      <c r="UXW1514" s="879"/>
      <c r="UXX1514" s="879"/>
      <c r="UXY1514" s="879"/>
      <c r="UXZ1514" s="879"/>
      <c r="UYA1514" s="879"/>
      <c r="UYB1514" s="879"/>
      <c r="UYC1514" s="879"/>
      <c r="UYD1514" s="879"/>
      <c r="UYE1514" s="879"/>
      <c r="UYF1514" s="879"/>
      <c r="UYG1514" s="879"/>
      <c r="UYH1514" s="879"/>
      <c r="UYI1514" s="879"/>
      <c r="UYJ1514" s="879"/>
      <c r="UYK1514" s="879"/>
      <c r="UYL1514" s="879"/>
      <c r="UYM1514" s="879"/>
      <c r="UYN1514" s="879"/>
      <c r="UYO1514" s="879"/>
      <c r="UYP1514" s="879"/>
      <c r="UYQ1514" s="879"/>
      <c r="UYR1514" s="879"/>
      <c r="UYS1514" s="879"/>
      <c r="UYT1514" s="879"/>
      <c r="UYU1514" s="879"/>
      <c r="UYV1514" s="879"/>
      <c r="UYW1514" s="879"/>
      <c r="UYX1514" s="879"/>
      <c r="UYY1514" s="879"/>
      <c r="UYZ1514" s="879"/>
      <c r="UZA1514" s="879"/>
      <c r="UZB1514" s="879"/>
      <c r="UZC1514" s="879"/>
      <c r="UZD1514" s="879"/>
      <c r="UZE1514" s="879"/>
      <c r="UZF1514" s="879"/>
      <c r="UZG1514" s="879"/>
      <c r="UZH1514" s="879"/>
      <c r="UZI1514" s="879"/>
      <c r="UZJ1514" s="879"/>
      <c r="UZK1514" s="879"/>
      <c r="UZL1514" s="879"/>
      <c r="UZM1514" s="879"/>
      <c r="UZN1514" s="879"/>
      <c r="UZO1514" s="879"/>
      <c r="UZP1514" s="879"/>
      <c r="UZQ1514" s="879"/>
      <c r="UZR1514" s="879"/>
      <c r="UZS1514" s="879"/>
      <c r="UZT1514" s="879"/>
      <c r="UZU1514" s="879"/>
      <c r="UZV1514" s="879"/>
      <c r="UZW1514" s="879"/>
      <c r="UZX1514" s="879"/>
      <c r="UZY1514" s="879"/>
      <c r="UZZ1514" s="879"/>
      <c r="VAA1514" s="879"/>
      <c r="VAB1514" s="879"/>
      <c r="VAC1514" s="879"/>
      <c r="VAD1514" s="879"/>
      <c r="VAE1514" s="879"/>
      <c r="VAF1514" s="879"/>
      <c r="VAG1514" s="879"/>
      <c r="VAH1514" s="879"/>
      <c r="VAI1514" s="879"/>
      <c r="VAJ1514" s="879"/>
      <c r="VAK1514" s="879"/>
      <c r="VAL1514" s="879"/>
      <c r="VAM1514" s="879"/>
      <c r="VAN1514" s="879"/>
      <c r="VAO1514" s="879"/>
      <c r="VAP1514" s="879"/>
      <c r="VAQ1514" s="879"/>
      <c r="VAR1514" s="879"/>
      <c r="VAS1514" s="879"/>
      <c r="VAT1514" s="879"/>
      <c r="VAU1514" s="879"/>
      <c r="VAV1514" s="879"/>
      <c r="VAW1514" s="879"/>
      <c r="VAX1514" s="879"/>
      <c r="VAY1514" s="879"/>
      <c r="VAZ1514" s="879"/>
      <c r="VBA1514" s="879"/>
      <c r="VBB1514" s="879"/>
      <c r="VBC1514" s="879"/>
      <c r="VBD1514" s="879"/>
      <c r="VBE1514" s="879"/>
      <c r="VBF1514" s="879"/>
      <c r="VBG1514" s="879"/>
      <c r="VBH1514" s="879"/>
      <c r="VBI1514" s="879"/>
      <c r="VBJ1514" s="879"/>
      <c r="VBK1514" s="879"/>
      <c r="VBL1514" s="879"/>
      <c r="VBM1514" s="879"/>
      <c r="VBN1514" s="879"/>
      <c r="VBO1514" s="879"/>
      <c r="VBP1514" s="879"/>
      <c r="VBQ1514" s="879"/>
      <c r="VBR1514" s="879"/>
      <c r="VBS1514" s="879"/>
      <c r="VBT1514" s="879"/>
      <c r="VBU1514" s="879"/>
      <c r="VBV1514" s="879"/>
      <c r="VBW1514" s="879"/>
      <c r="VBX1514" s="879"/>
      <c r="VBY1514" s="879"/>
      <c r="VBZ1514" s="879"/>
      <c r="VCA1514" s="879"/>
      <c r="VCB1514" s="879"/>
      <c r="VCC1514" s="879"/>
      <c r="VCD1514" s="879"/>
      <c r="VCE1514" s="879"/>
      <c r="VCF1514" s="879"/>
      <c r="VCG1514" s="879"/>
      <c r="VCH1514" s="879"/>
      <c r="VCI1514" s="879"/>
      <c r="VCJ1514" s="879"/>
      <c r="VCK1514" s="879"/>
      <c r="VCL1514" s="879"/>
      <c r="VCM1514" s="879"/>
      <c r="VCN1514" s="879"/>
      <c r="VCO1514" s="879"/>
      <c r="VCP1514" s="879"/>
      <c r="VCQ1514" s="879"/>
      <c r="VCR1514" s="879"/>
      <c r="VCS1514" s="879"/>
      <c r="VCT1514" s="879"/>
      <c r="VCU1514" s="879"/>
      <c r="VCV1514" s="879"/>
      <c r="VCW1514" s="879"/>
      <c r="VCX1514" s="879"/>
      <c r="VCY1514" s="879"/>
      <c r="VCZ1514" s="879"/>
      <c r="VDA1514" s="879"/>
      <c r="VDB1514" s="879"/>
      <c r="VDC1514" s="879"/>
      <c r="VDD1514" s="879"/>
      <c r="VDE1514" s="879"/>
      <c r="VDF1514" s="879"/>
      <c r="VDG1514" s="879"/>
      <c r="VDH1514" s="879"/>
      <c r="VDI1514" s="879"/>
      <c r="VDJ1514" s="879"/>
      <c r="VDK1514" s="879"/>
      <c r="VDL1514" s="879"/>
      <c r="VDM1514" s="879"/>
      <c r="VDN1514" s="879"/>
      <c r="VDO1514" s="879"/>
      <c r="VDP1514" s="879"/>
      <c r="VDQ1514" s="879"/>
      <c r="VDR1514" s="879"/>
      <c r="VDS1514" s="879"/>
      <c r="VDT1514" s="879"/>
      <c r="VDU1514" s="879"/>
      <c r="VDV1514" s="879"/>
      <c r="VDW1514" s="879"/>
      <c r="VDX1514" s="879"/>
      <c r="VDY1514" s="879"/>
      <c r="VDZ1514" s="879"/>
      <c r="VEA1514" s="879"/>
      <c r="VEB1514" s="879"/>
      <c r="VEC1514" s="879"/>
      <c r="VED1514" s="879"/>
      <c r="VEE1514" s="879"/>
      <c r="VEF1514" s="879"/>
      <c r="VEG1514" s="879"/>
      <c r="VEH1514" s="879"/>
      <c r="VEI1514" s="879"/>
      <c r="VEJ1514" s="879"/>
      <c r="VEK1514" s="879"/>
      <c r="VEL1514" s="879"/>
      <c r="VEM1514" s="879"/>
      <c r="VEN1514" s="879"/>
      <c r="VEO1514" s="879"/>
      <c r="VEP1514" s="879"/>
      <c r="VEQ1514" s="879"/>
      <c r="VER1514" s="879"/>
      <c r="VES1514" s="879"/>
      <c r="VET1514" s="879"/>
      <c r="VEU1514" s="879"/>
      <c r="VEV1514" s="879"/>
      <c r="VEW1514" s="879"/>
      <c r="VEX1514" s="879"/>
      <c r="VEY1514" s="879"/>
      <c r="VEZ1514" s="879"/>
      <c r="VFA1514" s="879"/>
      <c r="VFB1514" s="879"/>
      <c r="VFC1514" s="879"/>
      <c r="VFD1514" s="879"/>
      <c r="VFE1514" s="879"/>
      <c r="VFF1514" s="879"/>
      <c r="VFG1514" s="879"/>
      <c r="VFH1514" s="879"/>
      <c r="VFI1514" s="879"/>
      <c r="VFJ1514" s="879"/>
      <c r="VFK1514" s="879"/>
      <c r="VFL1514" s="879"/>
      <c r="VFM1514" s="879"/>
      <c r="VFN1514" s="879"/>
      <c r="VFO1514" s="879"/>
      <c r="VFP1514" s="879"/>
      <c r="VFQ1514" s="879"/>
      <c r="VFR1514" s="879"/>
      <c r="VFS1514" s="879"/>
      <c r="VFT1514" s="879"/>
      <c r="VFU1514" s="879"/>
      <c r="VFV1514" s="879"/>
      <c r="VFW1514" s="879"/>
      <c r="VFX1514" s="879"/>
      <c r="VFY1514" s="879"/>
      <c r="VFZ1514" s="879"/>
      <c r="VGA1514" s="879"/>
      <c r="VGB1514" s="879"/>
      <c r="VGC1514" s="879"/>
      <c r="VGD1514" s="879"/>
      <c r="VGE1514" s="879"/>
      <c r="VGF1514" s="879"/>
      <c r="VGG1514" s="879"/>
      <c r="VGH1514" s="879"/>
      <c r="VGI1514" s="879"/>
      <c r="VGJ1514" s="879"/>
      <c r="VGK1514" s="879"/>
      <c r="VGL1514" s="879"/>
      <c r="VGM1514" s="879"/>
      <c r="VGN1514" s="879"/>
      <c r="VGO1514" s="879"/>
      <c r="VGP1514" s="879"/>
      <c r="VGQ1514" s="879"/>
      <c r="VGR1514" s="879"/>
      <c r="VGS1514" s="879"/>
      <c r="VGT1514" s="879"/>
      <c r="VGU1514" s="879"/>
      <c r="VGV1514" s="879"/>
      <c r="VGW1514" s="879"/>
      <c r="VGX1514" s="879"/>
      <c r="VGY1514" s="879"/>
      <c r="VGZ1514" s="879"/>
      <c r="VHA1514" s="879"/>
      <c r="VHB1514" s="879"/>
      <c r="VHC1514" s="879"/>
      <c r="VHD1514" s="879"/>
      <c r="VHE1514" s="879"/>
      <c r="VHF1514" s="879"/>
      <c r="VHG1514" s="879"/>
      <c r="VHH1514" s="879"/>
      <c r="VHI1514" s="879"/>
      <c r="VHJ1514" s="879"/>
      <c r="VHK1514" s="879"/>
      <c r="VHL1514" s="879"/>
      <c r="VHM1514" s="879"/>
      <c r="VHN1514" s="879"/>
      <c r="VHO1514" s="879"/>
      <c r="VHP1514" s="879"/>
      <c r="VHQ1514" s="879"/>
      <c r="VHR1514" s="879"/>
      <c r="VHS1514" s="879"/>
      <c r="VHT1514" s="879"/>
      <c r="VHU1514" s="879"/>
      <c r="VHV1514" s="879"/>
      <c r="VHW1514" s="879"/>
      <c r="VHX1514" s="879"/>
      <c r="VHY1514" s="879"/>
      <c r="VHZ1514" s="879"/>
      <c r="VIA1514" s="879"/>
      <c r="VIB1514" s="879"/>
      <c r="VIC1514" s="879"/>
      <c r="VID1514" s="879"/>
      <c r="VIE1514" s="879"/>
      <c r="VIF1514" s="879"/>
      <c r="VIG1514" s="879"/>
      <c r="VIH1514" s="879"/>
      <c r="VII1514" s="879"/>
      <c r="VIJ1514" s="879"/>
      <c r="VIK1514" s="879"/>
      <c r="VIL1514" s="879"/>
      <c r="VIM1514" s="879"/>
      <c r="VIN1514" s="879"/>
      <c r="VIO1514" s="879"/>
      <c r="VIP1514" s="879"/>
      <c r="VIQ1514" s="879"/>
      <c r="VIR1514" s="879"/>
      <c r="VIS1514" s="879"/>
      <c r="VIT1514" s="879"/>
      <c r="VIU1514" s="879"/>
      <c r="VIV1514" s="879"/>
      <c r="VIW1514" s="879"/>
      <c r="VIX1514" s="879"/>
      <c r="VIY1514" s="879"/>
      <c r="VIZ1514" s="879"/>
      <c r="VJA1514" s="879"/>
      <c r="VJB1514" s="879"/>
      <c r="VJC1514" s="879"/>
      <c r="VJD1514" s="879"/>
      <c r="VJE1514" s="879"/>
      <c r="VJF1514" s="879"/>
      <c r="VJG1514" s="879"/>
      <c r="VJH1514" s="879"/>
      <c r="VJI1514" s="879"/>
      <c r="VJJ1514" s="879"/>
      <c r="VJK1514" s="879"/>
      <c r="VJL1514" s="879"/>
      <c r="VJM1514" s="879"/>
      <c r="VJN1514" s="879"/>
      <c r="VJO1514" s="879"/>
      <c r="VJP1514" s="879"/>
      <c r="VJQ1514" s="879"/>
      <c r="VJR1514" s="879"/>
      <c r="VJS1514" s="879"/>
      <c r="VJT1514" s="879"/>
      <c r="VJU1514" s="879"/>
      <c r="VJV1514" s="879"/>
      <c r="VJW1514" s="879"/>
      <c r="VJX1514" s="879"/>
      <c r="VJY1514" s="879"/>
      <c r="VJZ1514" s="879"/>
      <c r="VKA1514" s="879"/>
      <c r="VKB1514" s="879"/>
      <c r="VKC1514" s="879"/>
      <c r="VKD1514" s="879"/>
      <c r="VKE1514" s="879"/>
      <c r="VKF1514" s="879"/>
      <c r="VKG1514" s="879"/>
      <c r="VKH1514" s="879"/>
      <c r="VKI1514" s="879"/>
      <c r="VKJ1514" s="879"/>
      <c r="VKK1514" s="879"/>
      <c r="VKL1514" s="879"/>
      <c r="VKM1514" s="879"/>
      <c r="VKN1514" s="879"/>
      <c r="VKO1514" s="879"/>
      <c r="VKP1514" s="879"/>
      <c r="VKQ1514" s="879"/>
      <c r="VKR1514" s="879"/>
      <c r="VKS1514" s="879"/>
      <c r="VKT1514" s="879"/>
      <c r="VKU1514" s="879"/>
      <c r="VKV1514" s="879"/>
      <c r="VKW1514" s="879"/>
      <c r="VKX1514" s="879"/>
      <c r="VKY1514" s="879"/>
      <c r="VKZ1514" s="879"/>
      <c r="VLA1514" s="879"/>
      <c r="VLB1514" s="879"/>
      <c r="VLC1514" s="879"/>
      <c r="VLD1514" s="879"/>
      <c r="VLE1514" s="879"/>
      <c r="VLF1514" s="879"/>
      <c r="VLG1514" s="879"/>
      <c r="VLH1514" s="879"/>
      <c r="VLI1514" s="879"/>
      <c r="VLJ1514" s="879"/>
      <c r="VLK1514" s="879"/>
      <c r="VLL1514" s="879"/>
      <c r="VLM1514" s="879"/>
      <c r="VLN1514" s="879"/>
      <c r="VLO1514" s="879"/>
      <c r="VLP1514" s="879"/>
      <c r="VLQ1514" s="879"/>
      <c r="VLR1514" s="879"/>
      <c r="VLS1514" s="879"/>
      <c r="VLT1514" s="879"/>
      <c r="VLU1514" s="879"/>
      <c r="VLV1514" s="879"/>
      <c r="VLW1514" s="879"/>
      <c r="VLX1514" s="879"/>
      <c r="VLY1514" s="879"/>
      <c r="VLZ1514" s="879"/>
      <c r="VMA1514" s="879"/>
      <c r="VMB1514" s="879"/>
      <c r="VMC1514" s="879"/>
      <c r="VMD1514" s="879"/>
      <c r="VME1514" s="879"/>
      <c r="VMF1514" s="879"/>
      <c r="VMG1514" s="879"/>
      <c r="VMH1514" s="879"/>
      <c r="VMI1514" s="879"/>
      <c r="VMJ1514" s="879"/>
      <c r="VMK1514" s="879"/>
      <c r="VML1514" s="879"/>
      <c r="VMM1514" s="879"/>
      <c r="VMN1514" s="879"/>
      <c r="VMO1514" s="879"/>
      <c r="VMP1514" s="879"/>
      <c r="VMQ1514" s="879"/>
      <c r="VMR1514" s="879"/>
      <c r="VMS1514" s="879"/>
      <c r="VMT1514" s="879"/>
      <c r="VMU1514" s="879"/>
      <c r="VMV1514" s="879"/>
      <c r="VMW1514" s="879"/>
      <c r="VMX1514" s="879"/>
      <c r="VMY1514" s="879"/>
      <c r="VMZ1514" s="879"/>
      <c r="VNA1514" s="879"/>
      <c r="VNB1514" s="879"/>
      <c r="VNC1514" s="879"/>
      <c r="VND1514" s="879"/>
      <c r="VNE1514" s="879"/>
      <c r="VNF1514" s="879"/>
      <c r="VNG1514" s="879"/>
      <c r="VNH1514" s="879"/>
      <c r="VNI1514" s="879"/>
      <c r="VNJ1514" s="879"/>
      <c r="VNK1514" s="879"/>
      <c r="VNL1514" s="879"/>
      <c r="VNM1514" s="879"/>
      <c r="VNN1514" s="879"/>
      <c r="VNO1514" s="879"/>
      <c r="VNP1514" s="879"/>
      <c r="VNQ1514" s="879"/>
      <c r="VNR1514" s="879"/>
      <c r="VNS1514" s="879"/>
      <c r="VNT1514" s="879"/>
      <c r="VNU1514" s="879"/>
      <c r="VNV1514" s="879"/>
      <c r="VNW1514" s="879"/>
      <c r="VNX1514" s="879"/>
      <c r="VNY1514" s="879"/>
      <c r="VNZ1514" s="879"/>
      <c r="VOA1514" s="879"/>
      <c r="VOB1514" s="879"/>
      <c r="VOC1514" s="879"/>
      <c r="VOD1514" s="879"/>
      <c r="VOE1514" s="879"/>
      <c r="VOF1514" s="879"/>
      <c r="VOG1514" s="879"/>
      <c r="VOH1514" s="879"/>
      <c r="VOI1514" s="879"/>
      <c r="VOJ1514" s="879"/>
      <c r="VOK1514" s="879"/>
      <c r="VOL1514" s="879"/>
      <c r="VOM1514" s="879"/>
      <c r="VON1514" s="879"/>
      <c r="VOO1514" s="879"/>
      <c r="VOP1514" s="879"/>
      <c r="VOQ1514" s="879"/>
      <c r="VOR1514" s="879"/>
      <c r="VOS1514" s="879"/>
      <c r="VOT1514" s="879"/>
      <c r="VOU1514" s="879"/>
      <c r="VOV1514" s="879"/>
      <c r="VOW1514" s="879"/>
      <c r="VOX1514" s="879"/>
      <c r="VOY1514" s="879"/>
      <c r="VOZ1514" s="879"/>
      <c r="VPA1514" s="879"/>
      <c r="VPB1514" s="879"/>
      <c r="VPC1514" s="879"/>
      <c r="VPD1514" s="879"/>
      <c r="VPE1514" s="879"/>
      <c r="VPF1514" s="879"/>
      <c r="VPG1514" s="879"/>
      <c r="VPH1514" s="879"/>
      <c r="VPI1514" s="879"/>
      <c r="VPJ1514" s="879"/>
      <c r="VPK1514" s="879"/>
      <c r="VPL1514" s="879"/>
      <c r="VPM1514" s="879"/>
      <c r="VPN1514" s="879"/>
      <c r="VPO1514" s="879"/>
      <c r="VPP1514" s="879"/>
      <c r="VPQ1514" s="879"/>
      <c r="VPR1514" s="879"/>
      <c r="VPS1514" s="879"/>
      <c r="VPT1514" s="879"/>
      <c r="VPU1514" s="879"/>
      <c r="VPV1514" s="879"/>
      <c r="VPW1514" s="879"/>
      <c r="VPX1514" s="879"/>
      <c r="VPY1514" s="879"/>
      <c r="VPZ1514" s="879"/>
      <c r="VQA1514" s="879"/>
      <c r="VQB1514" s="879"/>
      <c r="VQC1514" s="879"/>
      <c r="VQD1514" s="879"/>
      <c r="VQE1514" s="879"/>
      <c r="VQF1514" s="879"/>
      <c r="VQG1514" s="879"/>
      <c r="VQH1514" s="879"/>
      <c r="VQI1514" s="879"/>
      <c r="VQJ1514" s="879"/>
      <c r="VQK1514" s="879"/>
      <c r="VQL1514" s="879"/>
      <c r="VQM1514" s="879"/>
      <c r="VQN1514" s="879"/>
      <c r="VQO1514" s="879"/>
      <c r="VQP1514" s="879"/>
      <c r="VQQ1514" s="879"/>
      <c r="VQR1514" s="879"/>
      <c r="VQS1514" s="879"/>
      <c r="VQT1514" s="879"/>
      <c r="VQU1514" s="879"/>
      <c r="VQV1514" s="879"/>
      <c r="VQW1514" s="879"/>
      <c r="VQX1514" s="879"/>
      <c r="VQY1514" s="879"/>
      <c r="VQZ1514" s="879"/>
      <c r="VRA1514" s="879"/>
      <c r="VRB1514" s="879"/>
      <c r="VRC1514" s="879"/>
      <c r="VRD1514" s="879"/>
      <c r="VRE1514" s="879"/>
      <c r="VRF1514" s="879"/>
      <c r="VRG1514" s="879"/>
      <c r="VRH1514" s="879"/>
      <c r="VRI1514" s="879"/>
      <c r="VRJ1514" s="879"/>
      <c r="VRK1514" s="879"/>
      <c r="VRL1514" s="879"/>
      <c r="VRM1514" s="879"/>
      <c r="VRN1514" s="879"/>
      <c r="VRO1514" s="879"/>
      <c r="VRP1514" s="879"/>
      <c r="VRQ1514" s="879"/>
      <c r="VRR1514" s="879"/>
      <c r="VRS1514" s="879"/>
      <c r="VRT1514" s="879"/>
      <c r="VRU1514" s="879"/>
      <c r="VRV1514" s="879"/>
      <c r="VRW1514" s="879"/>
      <c r="VRX1514" s="879"/>
      <c r="VRY1514" s="879"/>
      <c r="VRZ1514" s="879"/>
      <c r="VSA1514" s="879"/>
      <c r="VSB1514" s="879"/>
      <c r="VSC1514" s="879"/>
      <c r="VSD1514" s="879"/>
      <c r="VSE1514" s="879"/>
      <c r="VSF1514" s="879"/>
      <c r="VSG1514" s="879"/>
      <c r="VSH1514" s="879"/>
      <c r="VSI1514" s="879"/>
      <c r="VSJ1514" s="879"/>
      <c r="VSK1514" s="879"/>
      <c r="VSL1514" s="879"/>
      <c r="VSM1514" s="879"/>
      <c r="VSN1514" s="879"/>
      <c r="VSO1514" s="879"/>
      <c r="VSP1514" s="879"/>
      <c r="VSQ1514" s="879"/>
      <c r="VSR1514" s="879"/>
      <c r="VSS1514" s="879"/>
      <c r="VST1514" s="879"/>
      <c r="VSU1514" s="879"/>
      <c r="VSV1514" s="879"/>
      <c r="VSW1514" s="879"/>
      <c r="VSX1514" s="879"/>
      <c r="VSY1514" s="879"/>
      <c r="VSZ1514" s="879"/>
      <c r="VTA1514" s="879"/>
      <c r="VTB1514" s="879"/>
      <c r="VTC1514" s="879"/>
      <c r="VTD1514" s="879"/>
      <c r="VTE1514" s="879"/>
      <c r="VTF1514" s="879"/>
      <c r="VTG1514" s="879"/>
      <c r="VTH1514" s="879"/>
      <c r="VTI1514" s="879"/>
      <c r="VTJ1514" s="879"/>
      <c r="VTK1514" s="879"/>
      <c r="VTL1514" s="879"/>
      <c r="VTM1514" s="879"/>
      <c r="VTN1514" s="879"/>
      <c r="VTO1514" s="879"/>
      <c r="VTP1514" s="879"/>
      <c r="VTQ1514" s="879"/>
      <c r="VTR1514" s="879"/>
      <c r="VTS1514" s="879"/>
      <c r="VTT1514" s="879"/>
      <c r="VTU1514" s="879"/>
      <c r="VTV1514" s="879"/>
      <c r="VTW1514" s="879"/>
      <c r="VTX1514" s="879"/>
      <c r="VTY1514" s="879"/>
      <c r="VTZ1514" s="879"/>
      <c r="VUA1514" s="879"/>
      <c r="VUB1514" s="879"/>
      <c r="VUC1514" s="879"/>
      <c r="VUD1514" s="879"/>
      <c r="VUE1514" s="879"/>
      <c r="VUF1514" s="879"/>
      <c r="VUG1514" s="879"/>
      <c r="VUH1514" s="879"/>
      <c r="VUI1514" s="879"/>
      <c r="VUJ1514" s="879"/>
      <c r="VUK1514" s="879"/>
      <c r="VUL1514" s="879"/>
      <c r="VUM1514" s="879"/>
      <c r="VUN1514" s="879"/>
      <c r="VUO1514" s="879"/>
      <c r="VUP1514" s="879"/>
      <c r="VUQ1514" s="879"/>
      <c r="VUR1514" s="879"/>
      <c r="VUS1514" s="879"/>
      <c r="VUT1514" s="879"/>
      <c r="VUU1514" s="879"/>
      <c r="VUV1514" s="879"/>
      <c r="VUW1514" s="879"/>
      <c r="VUX1514" s="879"/>
      <c r="VUY1514" s="879"/>
      <c r="VUZ1514" s="879"/>
      <c r="VVA1514" s="879"/>
      <c r="VVB1514" s="879"/>
      <c r="VVC1514" s="879"/>
      <c r="VVD1514" s="879"/>
      <c r="VVE1514" s="879"/>
      <c r="VVF1514" s="879"/>
      <c r="VVG1514" s="879"/>
      <c r="VVH1514" s="879"/>
      <c r="VVI1514" s="879"/>
      <c r="VVJ1514" s="879"/>
      <c r="VVK1514" s="879"/>
      <c r="VVL1514" s="879"/>
      <c r="VVM1514" s="879"/>
      <c r="VVN1514" s="879"/>
      <c r="VVO1514" s="879"/>
      <c r="VVP1514" s="879"/>
      <c r="VVQ1514" s="879"/>
      <c r="VVR1514" s="879"/>
      <c r="VVS1514" s="879"/>
      <c r="VVT1514" s="879"/>
      <c r="VVU1514" s="879"/>
      <c r="VVV1514" s="879"/>
      <c r="VVW1514" s="879"/>
      <c r="VVX1514" s="879"/>
      <c r="VVY1514" s="879"/>
      <c r="VVZ1514" s="879"/>
      <c r="VWA1514" s="879"/>
      <c r="VWB1514" s="879"/>
      <c r="VWC1514" s="879"/>
      <c r="VWD1514" s="879"/>
      <c r="VWE1514" s="879"/>
      <c r="VWF1514" s="879"/>
      <c r="VWG1514" s="879"/>
      <c r="VWH1514" s="879"/>
      <c r="VWI1514" s="879"/>
      <c r="VWJ1514" s="879"/>
      <c r="VWK1514" s="879"/>
      <c r="VWL1514" s="879"/>
      <c r="VWM1514" s="879"/>
      <c r="VWN1514" s="879"/>
      <c r="VWO1514" s="879"/>
      <c r="VWP1514" s="879"/>
      <c r="VWQ1514" s="879"/>
      <c r="VWR1514" s="879"/>
      <c r="VWS1514" s="879"/>
      <c r="VWT1514" s="879"/>
      <c r="VWU1514" s="879"/>
      <c r="VWV1514" s="879"/>
      <c r="VWW1514" s="879"/>
      <c r="VWX1514" s="879"/>
      <c r="VWY1514" s="879"/>
      <c r="VWZ1514" s="879"/>
      <c r="VXA1514" s="879"/>
      <c r="VXB1514" s="879"/>
      <c r="VXC1514" s="879"/>
      <c r="VXD1514" s="879"/>
      <c r="VXE1514" s="879"/>
      <c r="VXF1514" s="879"/>
      <c r="VXG1514" s="879"/>
      <c r="VXH1514" s="879"/>
      <c r="VXI1514" s="879"/>
      <c r="VXJ1514" s="879"/>
      <c r="VXK1514" s="879"/>
      <c r="VXL1514" s="879"/>
      <c r="VXM1514" s="879"/>
      <c r="VXN1514" s="879"/>
      <c r="VXO1514" s="879"/>
      <c r="VXP1514" s="879"/>
      <c r="VXQ1514" s="879"/>
      <c r="VXR1514" s="879"/>
      <c r="VXS1514" s="879"/>
      <c r="VXT1514" s="879"/>
      <c r="VXU1514" s="879"/>
      <c r="VXV1514" s="879"/>
      <c r="VXW1514" s="879"/>
      <c r="VXX1514" s="879"/>
      <c r="VXY1514" s="879"/>
      <c r="VXZ1514" s="879"/>
      <c r="VYA1514" s="879"/>
      <c r="VYB1514" s="879"/>
      <c r="VYC1514" s="879"/>
      <c r="VYD1514" s="879"/>
      <c r="VYE1514" s="879"/>
      <c r="VYF1514" s="879"/>
      <c r="VYG1514" s="879"/>
      <c r="VYH1514" s="879"/>
      <c r="VYI1514" s="879"/>
      <c r="VYJ1514" s="879"/>
      <c r="VYK1514" s="879"/>
      <c r="VYL1514" s="879"/>
      <c r="VYM1514" s="879"/>
      <c r="VYN1514" s="879"/>
      <c r="VYO1514" s="879"/>
      <c r="VYP1514" s="879"/>
      <c r="VYQ1514" s="879"/>
      <c r="VYR1514" s="879"/>
      <c r="VYS1514" s="879"/>
      <c r="VYT1514" s="879"/>
      <c r="VYU1514" s="879"/>
      <c r="VYV1514" s="879"/>
      <c r="VYW1514" s="879"/>
      <c r="VYX1514" s="879"/>
      <c r="VYY1514" s="879"/>
      <c r="VYZ1514" s="879"/>
      <c r="VZA1514" s="879"/>
      <c r="VZB1514" s="879"/>
      <c r="VZC1514" s="879"/>
      <c r="VZD1514" s="879"/>
      <c r="VZE1514" s="879"/>
      <c r="VZF1514" s="879"/>
      <c r="VZG1514" s="879"/>
      <c r="VZH1514" s="879"/>
      <c r="VZI1514" s="879"/>
      <c r="VZJ1514" s="879"/>
      <c r="VZK1514" s="879"/>
      <c r="VZL1514" s="879"/>
      <c r="VZM1514" s="879"/>
      <c r="VZN1514" s="879"/>
      <c r="VZO1514" s="879"/>
      <c r="VZP1514" s="879"/>
      <c r="VZQ1514" s="879"/>
      <c r="VZR1514" s="879"/>
      <c r="VZS1514" s="879"/>
      <c r="VZT1514" s="879"/>
      <c r="VZU1514" s="879"/>
      <c r="VZV1514" s="879"/>
      <c r="VZW1514" s="879"/>
      <c r="VZX1514" s="879"/>
      <c r="VZY1514" s="879"/>
      <c r="VZZ1514" s="879"/>
      <c r="WAA1514" s="879"/>
      <c r="WAB1514" s="879"/>
      <c r="WAC1514" s="879"/>
      <c r="WAD1514" s="879"/>
      <c r="WAE1514" s="879"/>
      <c r="WAF1514" s="879"/>
      <c r="WAG1514" s="879"/>
      <c r="WAH1514" s="879"/>
      <c r="WAI1514" s="879"/>
      <c r="WAJ1514" s="879"/>
      <c r="WAK1514" s="879"/>
      <c r="WAL1514" s="879"/>
      <c r="WAM1514" s="879"/>
      <c r="WAN1514" s="879"/>
      <c r="WAO1514" s="879"/>
      <c r="WAP1514" s="879"/>
      <c r="WAQ1514" s="879"/>
      <c r="WAR1514" s="879"/>
      <c r="WAS1514" s="879"/>
      <c r="WAT1514" s="879"/>
      <c r="WAU1514" s="879"/>
      <c r="WAV1514" s="879"/>
      <c r="WAW1514" s="879"/>
      <c r="WAX1514" s="879"/>
      <c r="WAY1514" s="879"/>
      <c r="WAZ1514" s="879"/>
      <c r="WBA1514" s="879"/>
      <c r="WBB1514" s="879"/>
      <c r="WBC1514" s="879"/>
      <c r="WBD1514" s="879"/>
      <c r="WBE1514" s="879"/>
      <c r="WBF1514" s="879"/>
      <c r="WBG1514" s="879"/>
      <c r="WBH1514" s="879"/>
      <c r="WBI1514" s="879"/>
      <c r="WBJ1514" s="879"/>
      <c r="WBK1514" s="879"/>
      <c r="WBL1514" s="879"/>
      <c r="WBM1514" s="879"/>
      <c r="WBN1514" s="879"/>
      <c r="WBO1514" s="879"/>
      <c r="WBP1514" s="879"/>
      <c r="WBQ1514" s="879"/>
      <c r="WBR1514" s="879"/>
      <c r="WBS1514" s="879"/>
      <c r="WBT1514" s="879"/>
      <c r="WBU1514" s="879"/>
      <c r="WBV1514" s="879"/>
      <c r="WBW1514" s="879"/>
      <c r="WBX1514" s="879"/>
      <c r="WBY1514" s="879"/>
      <c r="WBZ1514" s="879"/>
      <c r="WCA1514" s="879"/>
      <c r="WCB1514" s="879"/>
      <c r="WCC1514" s="879"/>
      <c r="WCD1514" s="879"/>
      <c r="WCE1514" s="879"/>
      <c r="WCF1514" s="879"/>
      <c r="WCG1514" s="879"/>
      <c r="WCH1514" s="879"/>
      <c r="WCI1514" s="879"/>
      <c r="WCJ1514" s="879"/>
      <c r="WCK1514" s="879"/>
      <c r="WCL1514" s="879"/>
      <c r="WCM1514" s="879"/>
      <c r="WCN1514" s="879"/>
      <c r="WCO1514" s="879"/>
      <c r="WCP1514" s="879"/>
      <c r="WCQ1514" s="879"/>
      <c r="WCR1514" s="879"/>
      <c r="WCS1514" s="879"/>
      <c r="WCT1514" s="879"/>
      <c r="WCU1514" s="879"/>
      <c r="WCV1514" s="879"/>
      <c r="WCW1514" s="879"/>
      <c r="WCX1514" s="879"/>
      <c r="WCY1514" s="879"/>
      <c r="WCZ1514" s="879"/>
      <c r="WDA1514" s="879"/>
      <c r="WDB1514" s="879"/>
      <c r="WDC1514" s="879"/>
      <c r="WDD1514" s="879"/>
      <c r="WDE1514" s="879"/>
      <c r="WDF1514" s="879"/>
      <c r="WDG1514" s="879"/>
      <c r="WDH1514" s="879"/>
      <c r="WDI1514" s="879"/>
      <c r="WDJ1514" s="879"/>
      <c r="WDK1514" s="879"/>
      <c r="WDL1514" s="879"/>
      <c r="WDM1514" s="879"/>
      <c r="WDN1514" s="879"/>
      <c r="WDO1514" s="879"/>
      <c r="WDP1514" s="879"/>
      <c r="WDQ1514" s="879"/>
      <c r="WDR1514" s="879"/>
      <c r="WDS1514" s="879"/>
      <c r="WDT1514" s="879"/>
      <c r="WDU1514" s="879"/>
      <c r="WDV1514" s="879"/>
      <c r="WDW1514" s="879"/>
      <c r="WDX1514" s="879"/>
      <c r="WDY1514" s="879"/>
      <c r="WDZ1514" s="879"/>
      <c r="WEA1514" s="879"/>
      <c r="WEB1514" s="879"/>
      <c r="WEC1514" s="879"/>
      <c r="WED1514" s="879"/>
      <c r="WEE1514" s="879"/>
      <c r="WEF1514" s="879"/>
      <c r="WEG1514" s="879"/>
      <c r="WEH1514" s="879"/>
      <c r="WEI1514" s="879"/>
      <c r="WEJ1514" s="879"/>
      <c r="WEK1514" s="879"/>
      <c r="WEL1514" s="879"/>
      <c r="WEM1514" s="879"/>
      <c r="WEN1514" s="879"/>
      <c r="WEO1514" s="879"/>
      <c r="WEP1514" s="879"/>
      <c r="WEQ1514" s="879"/>
      <c r="WER1514" s="879"/>
      <c r="WES1514" s="879"/>
      <c r="WET1514" s="879"/>
      <c r="WEU1514" s="879"/>
      <c r="WEV1514" s="879"/>
      <c r="WEW1514" s="879"/>
      <c r="WEX1514" s="879"/>
      <c r="WEY1514" s="879"/>
      <c r="WEZ1514" s="879"/>
      <c r="WFA1514" s="879"/>
      <c r="WFB1514" s="879"/>
      <c r="WFC1514" s="879"/>
      <c r="WFD1514" s="879"/>
      <c r="WFE1514" s="879"/>
      <c r="WFF1514" s="879"/>
      <c r="WFG1514" s="879"/>
      <c r="WFH1514" s="879"/>
      <c r="WFI1514" s="879"/>
      <c r="WFJ1514" s="879"/>
      <c r="WFK1514" s="879"/>
      <c r="WFL1514" s="879"/>
      <c r="WFM1514" s="879"/>
      <c r="WFN1514" s="879"/>
      <c r="WFO1514" s="879"/>
      <c r="WFP1514" s="879"/>
      <c r="WFQ1514" s="879"/>
      <c r="WFR1514" s="879"/>
      <c r="WFS1514" s="879"/>
      <c r="WFT1514" s="879"/>
      <c r="WFU1514" s="879"/>
      <c r="WFV1514" s="879"/>
      <c r="WFW1514" s="879"/>
      <c r="WFX1514" s="879"/>
      <c r="WFY1514" s="879"/>
      <c r="WFZ1514" s="879"/>
      <c r="WGA1514" s="879"/>
      <c r="WGB1514" s="879"/>
      <c r="WGC1514" s="879"/>
      <c r="WGD1514" s="879"/>
      <c r="WGE1514" s="879"/>
      <c r="WGF1514" s="879"/>
      <c r="WGG1514" s="879"/>
      <c r="WGH1514" s="879"/>
      <c r="WGI1514" s="879"/>
      <c r="WGJ1514" s="879"/>
      <c r="WGK1514" s="879"/>
      <c r="WGL1514" s="879"/>
      <c r="WGM1514" s="879"/>
      <c r="WGN1514" s="879"/>
      <c r="WGO1514" s="879"/>
      <c r="WGP1514" s="879"/>
      <c r="WGQ1514" s="879"/>
      <c r="WGR1514" s="879"/>
      <c r="WGS1514" s="879"/>
      <c r="WGT1514" s="879"/>
      <c r="WGU1514" s="879"/>
      <c r="WGV1514" s="879"/>
      <c r="WGW1514" s="879"/>
      <c r="WGX1514" s="879"/>
      <c r="WGY1514" s="879"/>
      <c r="WGZ1514" s="879"/>
      <c r="WHA1514" s="879"/>
      <c r="WHB1514" s="879"/>
      <c r="WHC1514" s="879"/>
      <c r="WHD1514" s="879"/>
      <c r="WHE1514" s="879"/>
      <c r="WHF1514" s="879"/>
      <c r="WHG1514" s="879"/>
      <c r="WHH1514" s="879"/>
      <c r="WHI1514" s="879"/>
      <c r="WHJ1514" s="879"/>
      <c r="WHK1514" s="879"/>
      <c r="WHL1514" s="879"/>
      <c r="WHM1514" s="879"/>
      <c r="WHN1514" s="879"/>
      <c r="WHO1514" s="879"/>
      <c r="WHP1514" s="879"/>
      <c r="WHQ1514" s="879"/>
      <c r="WHR1514" s="879"/>
      <c r="WHS1514" s="879"/>
      <c r="WHT1514" s="879"/>
      <c r="WHU1514" s="879"/>
      <c r="WHV1514" s="879"/>
      <c r="WHW1514" s="879"/>
      <c r="WHX1514" s="879"/>
      <c r="WHY1514" s="879"/>
      <c r="WHZ1514" s="879"/>
      <c r="WIA1514" s="879"/>
      <c r="WIB1514" s="879"/>
      <c r="WIC1514" s="879"/>
      <c r="WID1514" s="879"/>
      <c r="WIE1514" s="879"/>
      <c r="WIF1514" s="879"/>
      <c r="WIG1514" s="879"/>
      <c r="WIH1514" s="879"/>
      <c r="WII1514" s="879"/>
      <c r="WIJ1514" s="879"/>
      <c r="WIK1514" s="879"/>
      <c r="WIL1514" s="879"/>
      <c r="WIM1514" s="879"/>
      <c r="WIN1514" s="879"/>
      <c r="WIO1514" s="879"/>
      <c r="WIP1514" s="879"/>
      <c r="WIQ1514" s="879"/>
      <c r="WIR1514" s="879"/>
      <c r="WIS1514" s="879"/>
      <c r="WIT1514" s="879"/>
      <c r="WIU1514" s="879"/>
      <c r="WIV1514" s="879"/>
      <c r="WIW1514" s="879"/>
      <c r="WIX1514" s="879"/>
      <c r="WIY1514" s="879"/>
      <c r="WIZ1514" s="879"/>
      <c r="WJA1514" s="879"/>
      <c r="WJB1514" s="879"/>
      <c r="WJC1514" s="879"/>
      <c r="WJD1514" s="879"/>
      <c r="WJE1514" s="879"/>
      <c r="WJF1514" s="879"/>
      <c r="WJG1514" s="879"/>
      <c r="WJH1514" s="879"/>
      <c r="WJI1514" s="879"/>
      <c r="WJJ1514" s="879"/>
      <c r="WJK1514" s="879"/>
      <c r="WJL1514" s="879"/>
      <c r="WJM1514" s="879"/>
      <c r="WJN1514" s="879"/>
      <c r="WJO1514" s="879"/>
      <c r="WJP1514" s="879"/>
      <c r="WJQ1514" s="879"/>
      <c r="WJR1514" s="879"/>
      <c r="WJS1514" s="879"/>
      <c r="WJT1514" s="879"/>
      <c r="WJU1514" s="879"/>
      <c r="WJV1514" s="879"/>
      <c r="WJW1514" s="879"/>
      <c r="WJX1514" s="879"/>
      <c r="WJY1514" s="879"/>
      <c r="WJZ1514" s="879"/>
      <c r="WKA1514" s="879"/>
      <c r="WKB1514" s="879"/>
      <c r="WKC1514" s="879"/>
      <c r="WKD1514" s="879"/>
      <c r="WKE1514" s="879"/>
      <c r="WKF1514" s="879"/>
      <c r="WKG1514" s="879"/>
      <c r="WKH1514" s="879"/>
      <c r="WKI1514" s="879"/>
      <c r="WKJ1514" s="879"/>
      <c r="WKK1514" s="879"/>
      <c r="WKL1514" s="879"/>
      <c r="WKM1514" s="879"/>
      <c r="WKN1514" s="879"/>
      <c r="WKO1514" s="879"/>
      <c r="WKP1514" s="879"/>
      <c r="WKQ1514" s="879"/>
      <c r="WKR1514" s="879"/>
      <c r="WKS1514" s="879"/>
      <c r="WKT1514" s="879"/>
      <c r="WKU1514" s="879"/>
      <c r="WKV1514" s="879"/>
      <c r="WKW1514" s="879"/>
      <c r="WKX1514" s="879"/>
      <c r="WKY1514" s="879"/>
      <c r="WKZ1514" s="879"/>
      <c r="WLA1514" s="879"/>
      <c r="WLB1514" s="879"/>
      <c r="WLC1514" s="879"/>
      <c r="WLD1514" s="879"/>
      <c r="WLE1514" s="879"/>
      <c r="WLF1514" s="879"/>
      <c r="WLG1514" s="879"/>
      <c r="WLH1514" s="879"/>
      <c r="WLI1514" s="879"/>
      <c r="WLJ1514" s="879"/>
      <c r="WLK1514" s="879"/>
      <c r="WLL1514" s="879"/>
      <c r="WLM1514" s="879"/>
      <c r="WLN1514" s="879"/>
      <c r="WLO1514" s="879"/>
      <c r="WLP1514" s="879"/>
      <c r="WLQ1514" s="879"/>
      <c r="WLR1514" s="879"/>
      <c r="WLS1514" s="879"/>
      <c r="WLT1514" s="879"/>
      <c r="WLU1514" s="879"/>
      <c r="WLV1514" s="879"/>
      <c r="WLW1514" s="879"/>
      <c r="WLX1514" s="879"/>
      <c r="WLY1514" s="879"/>
      <c r="WLZ1514" s="879"/>
      <c r="WMA1514" s="879"/>
      <c r="WMB1514" s="879"/>
      <c r="WMC1514" s="879"/>
      <c r="WMD1514" s="879"/>
      <c r="WME1514" s="879"/>
      <c r="WMF1514" s="879"/>
      <c r="WMG1514" s="879"/>
      <c r="WMH1514" s="879"/>
      <c r="WMI1514" s="879"/>
      <c r="WMJ1514" s="879"/>
      <c r="WMK1514" s="879"/>
      <c r="WML1514" s="879"/>
      <c r="WMM1514" s="879"/>
      <c r="WMN1514" s="879"/>
      <c r="WMO1514" s="879"/>
      <c r="WMP1514" s="879"/>
      <c r="WMQ1514" s="879"/>
      <c r="WMR1514" s="879"/>
      <c r="WMS1514" s="879"/>
      <c r="WMT1514" s="879"/>
      <c r="WMU1514" s="879"/>
      <c r="WMV1514" s="879"/>
      <c r="WMW1514" s="879"/>
      <c r="WMX1514" s="879"/>
      <c r="WMY1514" s="879"/>
      <c r="WMZ1514" s="879"/>
      <c r="WNA1514" s="879"/>
      <c r="WNB1514" s="879"/>
      <c r="WNC1514" s="879"/>
      <c r="WND1514" s="879"/>
      <c r="WNE1514" s="879"/>
      <c r="WNF1514" s="879"/>
      <c r="WNG1514" s="879"/>
      <c r="WNH1514" s="879"/>
      <c r="WNI1514" s="879"/>
      <c r="WNJ1514" s="879"/>
      <c r="WNK1514" s="879"/>
      <c r="WNL1514" s="879"/>
      <c r="WNM1514" s="879"/>
      <c r="WNN1514" s="879"/>
      <c r="WNO1514" s="879"/>
      <c r="WNP1514" s="879"/>
      <c r="WNQ1514" s="879"/>
      <c r="WNR1514" s="879"/>
      <c r="WNS1514" s="879"/>
      <c r="WNT1514" s="879"/>
      <c r="WNU1514" s="879"/>
      <c r="WNV1514" s="879"/>
      <c r="WNW1514" s="879"/>
      <c r="WNX1514" s="879"/>
      <c r="WNY1514" s="879"/>
      <c r="WNZ1514" s="879"/>
      <c r="WOA1514" s="879"/>
      <c r="WOB1514" s="879"/>
      <c r="WOC1514" s="879"/>
      <c r="WOD1514" s="879"/>
      <c r="WOE1514" s="879"/>
      <c r="WOF1514" s="879"/>
      <c r="WOG1514" s="879"/>
      <c r="WOH1514" s="879"/>
      <c r="WOI1514" s="879"/>
      <c r="WOJ1514" s="879"/>
      <c r="WOK1514" s="879"/>
      <c r="WOL1514" s="879"/>
      <c r="WOM1514" s="879"/>
      <c r="WON1514" s="879"/>
      <c r="WOO1514" s="879"/>
      <c r="WOP1514" s="879"/>
      <c r="WOQ1514" s="879"/>
      <c r="WOR1514" s="879"/>
      <c r="WOS1514" s="879"/>
      <c r="WOT1514" s="879"/>
      <c r="WOU1514" s="879"/>
      <c r="WOV1514" s="879"/>
      <c r="WOW1514" s="879"/>
      <c r="WOX1514" s="879"/>
      <c r="WOY1514" s="879"/>
      <c r="WOZ1514" s="879"/>
      <c r="WPA1514" s="879"/>
      <c r="WPB1514" s="879"/>
      <c r="WPC1514" s="879"/>
      <c r="WPD1514" s="879"/>
      <c r="WPE1514" s="879"/>
      <c r="WPF1514" s="879"/>
      <c r="WPG1514" s="879"/>
      <c r="WPH1514" s="879"/>
      <c r="WPI1514" s="879"/>
      <c r="WPJ1514" s="879"/>
      <c r="WPK1514" s="879"/>
      <c r="WPL1514" s="879"/>
      <c r="WPM1514" s="879"/>
      <c r="WPN1514" s="879"/>
      <c r="WPO1514" s="879"/>
      <c r="WPP1514" s="879"/>
      <c r="WPQ1514" s="879"/>
      <c r="WPR1514" s="879"/>
      <c r="WPS1514" s="879"/>
      <c r="WPT1514" s="879"/>
      <c r="WPU1514" s="879"/>
      <c r="WPV1514" s="879"/>
      <c r="WPW1514" s="879"/>
      <c r="WPX1514" s="879"/>
      <c r="WPY1514" s="879"/>
      <c r="WPZ1514" s="879"/>
      <c r="WQA1514" s="879"/>
      <c r="WQB1514" s="879"/>
      <c r="WQC1514" s="879"/>
      <c r="WQD1514" s="879"/>
      <c r="WQE1514" s="879"/>
      <c r="WQF1514" s="879"/>
      <c r="WQG1514" s="879"/>
      <c r="WQH1514" s="879"/>
      <c r="WQI1514" s="879"/>
      <c r="WQJ1514" s="879"/>
      <c r="WQK1514" s="879"/>
      <c r="WQL1514" s="879"/>
      <c r="WQM1514" s="879"/>
      <c r="WQN1514" s="879"/>
      <c r="WQO1514" s="879"/>
      <c r="WQP1514" s="879"/>
      <c r="WQQ1514" s="879"/>
      <c r="WQR1514" s="879"/>
      <c r="WQS1514" s="879"/>
      <c r="WQT1514" s="879"/>
      <c r="WQU1514" s="879"/>
      <c r="WQV1514" s="879"/>
      <c r="WQW1514" s="879"/>
      <c r="WQX1514" s="879"/>
      <c r="WQY1514" s="879"/>
      <c r="WQZ1514" s="879"/>
      <c r="WRA1514" s="879"/>
      <c r="WRB1514" s="879"/>
      <c r="WRC1514" s="879"/>
      <c r="WRD1514" s="879"/>
      <c r="WRE1514" s="879"/>
      <c r="WRF1514" s="879"/>
      <c r="WRG1514" s="879"/>
      <c r="WRH1514" s="879"/>
      <c r="WRI1514" s="879"/>
      <c r="WRJ1514" s="879"/>
      <c r="WRK1514" s="879"/>
      <c r="WRL1514" s="879"/>
      <c r="WRM1514" s="879"/>
      <c r="WRN1514" s="879"/>
      <c r="WRO1514" s="879"/>
      <c r="WRP1514" s="879"/>
      <c r="WRQ1514" s="879"/>
      <c r="WRR1514" s="879"/>
      <c r="WRS1514" s="879"/>
      <c r="WRT1514" s="879"/>
      <c r="WRU1514" s="879"/>
      <c r="WRV1514" s="879"/>
      <c r="WRW1514" s="879"/>
      <c r="WRX1514" s="879"/>
      <c r="WRY1514" s="879"/>
      <c r="WRZ1514" s="879"/>
      <c r="WSA1514" s="879"/>
      <c r="WSB1514" s="879"/>
      <c r="WSC1514" s="879"/>
      <c r="WSD1514" s="879"/>
      <c r="WSE1514" s="879"/>
      <c r="WSF1514" s="879"/>
      <c r="WSG1514" s="879"/>
      <c r="WSH1514" s="879"/>
      <c r="WSI1514" s="879"/>
      <c r="WSJ1514" s="879"/>
      <c r="WSK1514" s="879"/>
      <c r="WSL1514" s="879"/>
      <c r="WSM1514" s="879"/>
      <c r="WSN1514" s="879"/>
      <c r="WSO1514" s="879"/>
      <c r="WSP1514" s="879"/>
      <c r="WSQ1514" s="879"/>
      <c r="WSR1514" s="879"/>
      <c r="WSS1514" s="879"/>
      <c r="WST1514" s="879"/>
      <c r="WSU1514" s="879"/>
      <c r="WSV1514" s="879"/>
      <c r="WSW1514" s="879"/>
      <c r="WSX1514" s="879"/>
      <c r="WSY1514" s="879"/>
      <c r="WSZ1514" s="879"/>
      <c r="WTA1514" s="879"/>
      <c r="WTB1514" s="879"/>
      <c r="WTC1514" s="879"/>
      <c r="WTD1514" s="879"/>
      <c r="WTE1514" s="879"/>
      <c r="WTF1514" s="879"/>
      <c r="WTG1514" s="879"/>
      <c r="WTH1514" s="879"/>
      <c r="WTI1514" s="879"/>
      <c r="WTJ1514" s="879"/>
      <c r="WTK1514" s="879"/>
      <c r="WTL1514" s="879"/>
      <c r="WTM1514" s="879"/>
      <c r="WTN1514" s="879"/>
      <c r="WTO1514" s="879"/>
      <c r="WTP1514" s="879"/>
      <c r="WTQ1514" s="879"/>
      <c r="WTR1514" s="879"/>
      <c r="WTS1514" s="879"/>
      <c r="WTT1514" s="879"/>
      <c r="WTU1514" s="879"/>
      <c r="WTV1514" s="879"/>
      <c r="WTW1514" s="879"/>
      <c r="WTX1514" s="879"/>
      <c r="WTY1514" s="879"/>
      <c r="WTZ1514" s="879"/>
      <c r="WUA1514" s="879"/>
      <c r="WUB1514" s="879"/>
      <c r="WUC1514" s="879"/>
      <c r="WUD1514" s="879"/>
      <c r="WUE1514" s="879"/>
      <c r="WUF1514" s="879"/>
      <c r="WUG1514" s="879"/>
      <c r="WUH1514" s="879"/>
      <c r="WUI1514" s="879"/>
      <c r="WUJ1514" s="879"/>
      <c r="WUK1514" s="879"/>
      <c r="WUL1514" s="879"/>
      <c r="WUM1514" s="879"/>
      <c r="WUN1514" s="879"/>
      <c r="WUO1514" s="879"/>
      <c r="WUP1514" s="879"/>
      <c r="WUQ1514" s="879"/>
      <c r="WUR1514" s="879"/>
      <c r="WUS1514" s="879"/>
      <c r="WUT1514" s="879"/>
      <c r="WUU1514" s="879"/>
      <c r="WUV1514" s="879"/>
      <c r="WUW1514" s="879"/>
      <c r="WUX1514" s="879"/>
      <c r="WUY1514" s="879"/>
      <c r="WUZ1514" s="879"/>
      <c r="WVA1514" s="879"/>
      <c r="WVB1514" s="879"/>
      <c r="WVC1514" s="879"/>
      <c r="WVD1514" s="879"/>
      <c r="WVE1514" s="879"/>
      <c r="WVF1514" s="879"/>
      <c r="WVG1514" s="879"/>
      <c r="WVH1514" s="879"/>
      <c r="WVI1514" s="879"/>
      <c r="WVJ1514" s="879"/>
      <c r="WVK1514" s="879"/>
      <c r="WVL1514" s="879"/>
      <c r="WVM1514" s="879"/>
      <c r="WVN1514" s="879"/>
      <c r="WVO1514" s="879"/>
      <c r="WVP1514" s="879"/>
      <c r="WVQ1514" s="879"/>
      <c r="WVR1514" s="879"/>
      <c r="WVS1514" s="879"/>
      <c r="WVT1514" s="879"/>
      <c r="WVU1514" s="879"/>
      <c r="WVV1514" s="879"/>
      <c r="WVW1514" s="879"/>
      <c r="WVX1514" s="879"/>
      <c r="WVY1514" s="879"/>
      <c r="WVZ1514" s="879"/>
      <c r="WWA1514" s="879"/>
      <c r="WWB1514" s="879"/>
      <c r="WWC1514" s="879"/>
      <c r="WWD1514" s="879"/>
      <c r="WWE1514" s="879"/>
      <c r="WWF1514" s="879"/>
      <c r="WWG1514" s="879"/>
      <c r="WWH1514" s="879"/>
      <c r="WWI1514" s="879"/>
      <c r="WWJ1514" s="879"/>
      <c r="WWK1514" s="879"/>
      <c r="WWL1514" s="879"/>
      <c r="WWM1514" s="879"/>
      <c r="WWN1514" s="879"/>
      <c r="WWO1514" s="879"/>
      <c r="WWP1514" s="879"/>
      <c r="WWQ1514" s="879"/>
      <c r="WWR1514" s="879"/>
      <c r="WWS1514" s="879"/>
      <c r="WWT1514" s="879"/>
      <c r="WWU1514" s="879"/>
      <c r="WWV1514" s="879"/>
      <c r="WWW1514" s="879"/>
      <c r="WWX1514" s="879"/>
      <c r="WWY1514" s="879"/>
      <c r="WWZ1514" s="879"/>
      <c r="WXA1514" s="879"/>
      <c r="WXB1514" s="879"/>
      <c r="WXC1514" s="879"/>
      <c r="WXD1514" s="879"/>
      <c r="WXE1514" s="879"/>
      <c r="WXF1514" s="879"/>
      <c r="WXG1514" s="879"/>
      <c r="WXH1514" s="879"/>
      <c r="WXI1514" s="879"/>
      <c r="WXJ1514" s="879"/>
      <c r="WXK1514" s="879"/>
      <c r="WXL1514" s="879"/>
      <c r="WXM1514" s="879"/>
      <c r="WXN1514" s="879"/>
      <c r="WXO1514" s="879"/>
      <c r="WXP1514" s="879"/>
      <c r="WXQ1514" s="879"/>
      <c r="WXR1514" s="879"/>
      <c r="WXS1514" s="879"/>
      <c r="WXT1514" s="879"/>
      <c r="WXU1514" s="879"/>
      <c r="WXV1514" s="879"/>
      <c r="WXW1514" s="879"/>
      <c r="WXX1514" s="879"/>
      <c r="WXY1514" s="879"/>
      <c r="WXZ1514" s="879"/>
      <c r="WYA1514" s="879"/>
      <c r="WYB1514" s="879"/>
      <c r="WYC1514" s="879"/>
      <c r="WYD1514" s="879"/>
      <c r="WYE1514" s="879"/>
      <c r="WYF1514" s="879"/>
      <c r="WYG1514" s="879"/>
      <c r="WYH1514" s="879"/>
      <c r="WYI1514" s="879"/>
      <c r="WYJ1514" s="879"/>
      <c r="WYK1514" s="879"/>
      <c r="WYL1514" s="879"/>
      <c r="WYM1514" s="879"/>
      <c r="WYN1514" s="879"/>
      <c r="WYO1514" s="879"/>
      <c r="WYP1514" s="879"/>
      <c r="WYQ1514" s="879"/>
      <c r="WYR1514" s="879"/>
      <c r="WYS1514" s="879"/>
      <c r="WYT1514" s="879"/>
      <c r="WYU1514" s="879"/>
      <c r="WYV1514" s="879"/>
      <c r="WYW1514" s="879"/>
      <c r="WYX1514" s="879"/>
      <c r="WYY1514" s="879"/>
      <c r="WYZ1514" s="879"/>
      <c r="WZA1514" s="879"/>
      <c r="WZB1514" s="879"/>
      <c r="WZC1514" s="879"/>
      <c r="WZD1514" s="879"/>
      <c r="WZE1514" s="879"/>
      <c r="WZF1514" s="879"/>
      <c r="WZG1514" s="879"/>
      <c r="WZH1514" s="879"/>
      <c r="WZI1514" s="879"/>
      <c r="WZJ1514" s="879"/>
      <c r="WZK1514" s="879"/>
      <c r="WZL1514" s="879"/>
      <c r="WZM1514" s="879"/>
      <c r="WZN1514" s="879"/>
      <c r="WZO1514" s="879"/>
      <c r="WZP1514" s="879"/>
      <c r="WZQ1514" s="879"/>
      <c r="WZR1514" s="879"/>
      <c r="WZS1514" s="879"/>
      <c r="WZT1514" s="879"/>
      <c r="WZU1514" s="879"/>
      <c r="WZV1514" s="879"/>
      <c r="WZW1514" s="879"/>
      <c r="WZX1514" s="879"/>
      <c r="WZY1514" s="879"/>
      <c r="WZZ1514" s="879"/>
      <c r="XAA1514" s="879"/>
      <c r="XAB1514" s="879"/>
      <c r="XAC1514" s="879"/>
      <c r="XAD1514" s="879"/>
      <c r="XAE1514" s="879"/>
      <c r="XAF1514" s="879"/>
      <c r="XAG1514" s="879"/>
      <c r="XAH1514" s="879"/>
      <c r="XAI1514" s="879"/>
      <c r="XAJ1514" s="879"/>
      <c r="XAK1514" s="879"/>
      <c r="XAL1514" s="879"/>
      <c r="XAM1514" s="879"/>
      <c r="XAN1514" s="879"/>
      <c r="XAO1514" s="879"/>
      <c r="XAP1514" s="879"/>
      <c r="XAQ1514" s="879"/>
      <c r="XAR1514" s="879"/>
      <c r="XAS1514" s="879"/>
      <c r="XAT1514" s="879"/>
      <c r="XAU1514" s="879"/>
      <c r="XAV1514" s="879"/>
      <c r="XAW1514" s="879"/>
      <c r="XAX1514" s="879"/>
      <c r="XAY1514" s="879"/>
      <c r="XAZ1514" s="879"/>
      <c r="XBA1514" s="879"/>
      <c r="XBB1514" s="879"/>
      <c r="XBC1514" s="879"/>
      <c r="XBD1514" s="879"/>
      <c r="XBE1514" s="879"/>
      <c r="XBF1514" s="879"/>
      <c r="XBG1514" s="879"/>
      <c r="XBH1514" s="879"/>
      <c r="XBI1514" s="879"/>
      <c r="XBJ1514" s="879"/>
      <c r="XBK1514" s="879"/>
      <c r="XBL1514" s="879"/>
      <c r="XBM1514" s="879"/>
      <c r="XBN1514" s="879"/>
      <c r="XBO1514" s="879"/>
      <c r="XBP1514" s="879"/>
      <c r="XBQ1514" s="879"/>
      <c r="XBR1514" s="879"/>
      <c r="XBS1514" s="879"/>
      <c r="XBT1514" s="879"/>
      <c r="XBU1514" s="879"/>
      <c r="XBV1514" s="879"/>
      <c r="XBW1514" s="879"/>
      <c r="XBX1514" s="879"/>
      <c r="XBY1514" s="879"/>
      <c r="XBZ1514" s="879"/>
      <c r="XCA1514" s="879"/>
      <c r="XCB1514" s="879"/>
      <c r="XCC1514" s="879"/>
      <c r="XCD1514" s="879"/>
      <c r="XCE1514" s="879"/>
      <c r="XCF1514" s="879"/>
      <c r="XCG1514" s="879"/>
      <c r="XCH1514" s="879"/>
      <c r="XCI1514" s="879"/>
      <c r="XCJ1514" s="879"/>
      <c r="XCK1514" s="879"/>
      <c r="XCL1514" s="879"/>
      <c r="XCM1514" s="879"/>
      <c r="XCN1514" s="879"/>
      <c r="XCO1514" s="879"/>
      <c r="XCP1514" s="879"/>
      <c r="XCQ1514" s="879"/>
      <c r="XCR1514" s="879"/>
      <c r="XCS1514" s="879"/>
      <c r="XCT1514" s="879"/>
      <c r="XCU1514" s="879"/>
      <c r="XCV1514" s="879"/>
      <c r="XCW1514" s="879"/>
      <c r="XCX1514" s="879"/>
      <c r="XCY1514" s="879"/>
      <c r="XCZ1514" s="879"/>
      <c r="XDA1514" s="879"/>
      <c r="XDB1514" s="879"/>
      <c r="XDC1514" s="879"/>
      <c r="XDD1514" s="879"/>
      <c r="XDE1514" s="879"/>
      <c r="XDF1514" s="879"/>
      <c r="XDG1514" s="879"/>
      <c r="XDH1514" s="879"/>
      <c r="XDI1514" s="879"/>
      <c r="XDJ1514" s="879"/>
      <c r="XDK1514" s="879"/>
      <c r="XDL1514" s="879"/>
      <c r="XDM1514" s="879"/>
      <c r="XDN1514" s="879"/>
      <c r="XDO1514" s="879"/>
      <c r="XDP1514" s="879"/>
      <c r="XDQ1514" s="879"/>
      <c r="XDR1514" s="879"/>
      <c r="XDS1514" s="879"/>
      <c r="XDT1514" s="879"/>
      <c r="XDU1514" s="879"/>
      <c r="XDV1514" s="879"/>
      <c r="XDW1514" s="879"/>
      <c r="XDX1514" s="879"/>
      <c r="XDY1514" s="879"/>
      <c r="XDZ1514" s="879"/>
      <c r="XEA1514" s="879"/>
      <c r="XEB1514" s="879"/>
      <c r="XEC1514" s="879"/>
      <c r="XED1514" s="879"/>
      <c r="XEE1514" s="879"/>
      <c r="XEF1514" s="879"/>
      <c r="XEG1514" s="879"/>
      <c r="XEH1514" s="879"/>
      <c r="XEI1514" s="879"/>
      <c r="XEJ1514" s="879"/>
      <c r="XEK1514" s="879"/>
      <c r="XEL1514" s="879"/>
      <c r="XEM1514" s="879"/>
      <c r="XEN1514" s="879"/>
      <c r="XEO1514" s="879"/>
      <c r="XEP1514" s="879"/>
      <c r="XEQ1514" s="879"/>
      <c r="XER1514" s="879"/>
    </row>
    <row r="1515" spans="1:16378" s="30" customFormat="1" ht="15" customHeight="1" x14ac:dyDescent="0.25">
      <c r="A1515" s="879">
        <v>2025</v>
      </c>
      <c r="B1515" s="879" t="s">
        <v>1205</v>
      </c>
      <c r="C1515" s="879" t="s">
        <v>9094</v>
      </c>
      <c r="D1515" s="879" t="s">
        <v>9095</v>
      </c>
      <c r="E1515" s="879" t="s">
        <v>9096</v>
      </c>
      <c r="F1515" s="879" t="s">
        <v>7735</v>
      </c>
      <c r="G1515" s="879" t="s">
        <v>26</v>
      </c>
      <c r="H1515" s="878" t="s">
        <v>59</v>
      </c>
      <c r="I1515" s="883">
        <v>45765</v>
      </c>
      <c r="J1515" s="882">
        <v>45884</v>
      </c>
      <c r="K1515" s="883">
        <v>45882</v>
      </c>
      <c r="L1515" s="884">
        <f>IF(ISTEXT(Table15[[#This Row],[Engineering Approved Design Date]]),Table15[[#This Row],[Date Completed]]-Table15[[#This Row],[Date Assigned to Designer]],Table15[[#This Row],[Engineering Approved Design Date]]-Table15[[#This Row],[Date Completed]])</f>
        <v>2</v>
      </c>
      <c r="M1515" s="879"/>
      <c r="N1515" s="885" t="s">
        <v>739</v>
      </c>
      <c r="O1515" s="1548">
        <v>45870</v>
      </c>
      <c r="P1515" s="1153" t="s">
        <v>739</v>
      </c>
      <c r="Q1515" s="1150">
        <f>Table15[[#This Row],[Rate]]*Table15[[#This Row],[Construction Cost to Bill From]]</f>
        <v>26177.079600000001</v>
      </c>
      <c r="R1515" s="920">
        <v>0.09</v>
      </c>
      <c r="S1515" s="888" t="s">
        <v>29</v>
      </c>
      <c r="T1515" s="888" t="s">
        <v>29</v>
      </c>
      <c r="U1515" s="889" t="s">
        <v>29</v>
      </c>
      <c r="V1515" s="1021">
        <v>286</v>
      </c>
      <c r="W1515" s="1021" t="s">
        <v>29</v>
      </c>
      <c r="X1515" s="1228">
        <v>234309.79</v>
      </c>
      <c r="Y1515" s="891"/>
      <c r="Z1515" s="892">
        <v>56546.65</v>
      </c>
      <c r="AA1515" s="1216">
        <f>SUM(Table15[[#This Row],[PCTS Investment Amount]:[PCTS Retirement Amount]])</f>
        <v>290856.44</v>
      </c>
      <c r="AB1515" s="1506">
        <v>45883</v>
      </c>
      <c r="AC1515" s="895" t="s">
        <v>29</v>
      </c>
      <c r="AD1515" s="1155" t="s">
        <v>29</v>
      </c>
      <c r="AE1515" s="1633" t="s">
        <v>116</v>
      </c>
      <c r="AF1515" s="894" t="s">
        <v>29</v>
      </c>
      <c r="AG1515" s="897" t="s">
        <v>29</v>
      </c>
      <c r="AH1515" s="1304" t="s">
        <v>376</v>
      </c>
      <c r="AI1515" s="1125">
        <v>13950</v>
      </c>
      <c r="AJ1515" s="1491" t="s">
        <v>29</v>
      </c>
      <c r="AK1515" s="1489">
        <v>6254.54</v>
      </c>
      <c r="AL1515" s="1030">
        <f>SUM(Table15[[#This Row],[Nicor Initiated DBE]:[Staffing]])/(Table15[[#This Row],[Amount Invoiced]])</f>
        <v>0.77184087410575775</v>
      </c>
      <c r="AM1515" s="542"/>
      <c r="AN1515" s="924"/>
      <c r="AO1515" s="925"/>
      <c r="AP1515" s="926"/>
      <c r="AQ1515" s="926"/>
      <c r="AR1515" s="926"/>
      <c r="AS1515" s="926">
        <f>IF(Table15[[#This Row],[PCTS Approved]]="N",0,Table15[[#This Row],[Investment Amount (1'#'#'#'#'#)]]+Table15[[#This Row],[Retirement Amount (3'#'#'#'#'#)]])</f>
        <v>0</v>
      </c>
      <c r="AT1515" s="926">
        <f>IF(Table15[[#This Row],[Approved Construction Cost]]=0,0,Table15[[#This Row],[Approved Construction Cost]]-Table15[[#This Row],[Construction Cost to Bill From]])</f>
        <v>0</v>
      </c>
      <c r="AU1515" s="926">
        <f>Table15[[#This Row],[Difference in Construction Cost]]*Table15[[#This Row],[Rate]]</f>
        <v>0</v>
      </c>
      <c r="AV1515" s="926"/>
      <c r="AW1515" s="927"/>
      <c r="AX1515" s="926"/>
      <c r="AY1515" s="1546"/>
      <c r="AZ1515" s="1532"/>
      <c r="BA1515" s="910" t="s">
        <v>9097</v>
      </c>
      <c r="BB1515" s="990" t="s">
        <v>9098</v>
      </c>
      <c r="BC1515" s="912" t="s">
        <v>709</v>
      </c>
      <c r="BD1515" s="913" t="s">
        <v>709</v>
      </c>
      <c r="BE1515" s="914" t="s">
        <v>709</v>
      </c>
      <c r="BF1515" s="914" t="s">
        <v>9099</v>
      </c>
      <c r="BG1515" s="915" t="s">
        <v>709</v>
      </c>
      <c r="BH1515" s="1023" t="s">
        <v>9100</v>
      </c>
      <c r="BI1515" s="916" t="s">
        <v>116</v>
      </c>
      <c r="BJ1515" s="916" t="s">
        <v>745</v>
      </c>
      <c r="BK1515" s="916" t="s">
        <v>745</v>
      </c>
      <c r="BL1515" s="916" t="s">
        <v>709</v>
      </c>
      <c r="BM1515" s="916" t="s">
        <v>745</v>
      </c>
      <c r="BN1515" s="916" t="s">
        <v>745</v>
      </c>
      <c r="BO1515" s="916" t="s">
        <v>745</v>
      </c>
      <c r="BP1515" s="916" t="s">
        <v>745</v>
      </c>
      <c r="BQ1515" s="916" t="s">
        <v>745</v>
      </c>
      <c r="BR1515" s="916">
        <v>286</v>
      </c>
      <c r="BS1515" s="916" t="s">
        <v>745</v>
      </c>
      <c r="BT1515" s="916" t="s">
        <v>745</v>
      </c>
      <c r="BU1515" s="916" t="s">
        <v>745</v>
      </c>
      <c r="BV1515" s="916" t="s">
        <v>745</v>
      </c>
      <c r="BW1515" s="916" t="s">
        <v>745</v>
      </c>
      <c r="BX1515" s="916" t="s">
        <v>745</v>
      </c>
      <c r="BY1515" s="916" t="s">
        <v>745</v>
      </c>
      <c r="BZ1515" s="1291" t="s">
        <v>745</v>
      </c>
      <c r="CA1515" s="917"/>
      <c r="CB1515" s="916"/>
      <c r="CC1515" s="879"/>
      <c r="CD1515" s="879" t="str">
        <f>Table15[[#This Row],[Engineering Number]]&amp;Table15[[#This Row],[WO Number]]&amp;Table15[[#This Row],[Date Assigned to Designer]]&amp;Table15[[#This Row],[Date Completed]]</f>
        <v>MR226114153044576545882</v>
      </c>
      <c r="CE1515" s="879"/>
      <c r="CF1515" s="879"/>
      <c r="CG1515" s="879"/>
      <c r="CH1515" s="879"/>
      <c r="CI1515" s="879"/>
      <c r="CJ1515" s="879"/>
      <c r="CK1515" s="879"/>
      <c r="CL1515" s="879"/>
      <c r="CM1515" s="879"/>
      <c r="CN1515" s="879"/>
      <c r="CO1515" s="879"/>
      <c r="CP1515" s="879"/>
      <c r="CQ1515" s="879"/>
      <c r="CR1515" s="879"/>
      <c r="CS1515" s="879"/>
      <c r="CT1515" s="879"/>
      <c r="CU1515" s="879"/>
      <c r="CV1515" s="879"/>
      <c r="CW1515" s="879"/>
      <c r="CX1515" s="879"/>
      <c r="CY1515" s="879"/>
      <c r="CZ1515" s="879"/>
      <c r="DA1515" s="879"/>
      <c r="DB1515" s="879"/>
      <c r="DC1515" s="879"/>
      <c r="DD1515" s="879"/>
      <c r="DE1515" s="879"/>
      <c r="DF1515" s="879"/>
      <c r="DG1515" s="879"/>
      <c r="DH1515" s="879"/>
      <c r="DI1515" s="879"/>
      <c r="DJ1515" s="879"/>
      <c r="DK1515" s="879"/>
      <c r="DL1515" s="879"/>
      <c r="DM1515" s="879"/>
      <c r="DN1515" s="879"/>
      <c r="DO1515" s="879"/>
      <c r="DP1515" s="879"/>
      <c r="DQ1515" s="879"/>
      <c r="DR1515" s="879"/>
      <c r="DS1515" s="879"/>
      <c r="DT1515" s="879"/>
      <c r="DU1515" s="879"/>
      <c r="DV1515" s="879"/>
      <c r="DW1515" s="879"/>
      <c r="DX1515" s="879"/>
      <c r="DY1515" s="879"/>
      <c r="DZ1515" s="879"/>
      <c r="EA1515" s="879"/>
      <c r="EB1515" s="879"/>
      <c r="EC1515" s="879"/>
      <c r="ED1515" s="879"/>
      <c r="EE1515" s="879"/>
      <c r="EF1515" s="879"/>
      <c r="EG1515" s="879"/>
      <c r="EH1515" s="879"/>
      <c r="EI1515" s="879"/>
      <c r="EJ1515" s="879"/>
      <c r="EK1515" s="879"/>
      <c r="EL1515" s="879"/>
      <c r="EM1515" s="879"/>
      <c r="EN1515" s="879"/>
      <c r="EO1515" s="879"/>
      <c r="EP1515" s="879"/>
      <c r="EQ1515" s="879"/>
      <c r="ER1515" s="879"/>
      <c r="ES1515" s="879"/>
      <c r="ET1515" s="879"/>
      <c r="EU1515" s="879"/>
      <c r="EV1515" s="879"/>
      <c r="EW1515" s="879"/>
      <c r="EX1515" s="879"/>
      <c r="EY1515" s="879"/>
      <c r="EZ1515" s="879"/>
      <c r="FA1515" s="879"/>
      <c r="FB1515" s="879"/>
      <c r="FC1515" s="879"/>
      <c r="FD1515" s="879"/>
      <c r="FE1515" s="879"/>
      <c r="FF1515" s="879"/>
      <c r="FG1515" s="879"/>
      <c r="FH1515" s="879"/>
      <c r="FI1515" s="879"/>
      <c r="FJ1515" s="879"/>
      <c r="FK1515" s="879"/>
      <c r="FL1515" s="879"/>
      <c r="FM1515" s="879"/>
      <c r="FN1515" s="879"/>
      <c r="FO1515" s="879"/>
      <c r="FP1515" s="879"/>
      <c r="FQ1515" s="879"/>
      <c r="FR1515" s="879"/>
      <c r="FS1515" s="879"/>
      <c r="FT1515" s="879"/>
      <c r="FU1515" s="879"/>
      <c r="FV1515" s="879"/>
      <c r="FW1515" s="879"/>
      <c r="FX1515" s="879"/>
      <c r="FY1515" s="879"/>
      <c r="FZ1515" s="879"/>
      <c r="GA1515" s="879"/>
      <c r="GB1515" s="879"/>
      <c r="GC1515" s="879"/>
      <c r="GD1515" s="879"/>
      <c r="GE1515" s="879"/>
      <c r="GF1515" s="879"/>
      <c r="GG1515" s="879"/>
      <c r="GH1515" s="879"/>
      <c r="GI1515" s="879"/>
      <c r="GJ1515" s="879"/>
      <c r="GK1515" s="879"/>
      <c r="GL1515" s="879"/>
      <c r="GM1515" s="879"/>
      <c r="GN1515" s="879"/>
      <c r="GO1515" s="879"/>
      <c r="GP1515" s="879"/>
      <c r="GQ1515" s="879"/>
      <c r="GR1515" s="879"/>
      <c r="GS1515" s="879"/>
      <c r="GT1515" s="879"/>
      <c r="GU1515" s="879"/>
      <c r="GV1515" s="879"/>
      <c r="GW1515" s="879"/>
      <c r="GX1515" s="879"/>
      <c r="GY1515" s="879"/>
      <c r="GZ1515" s="879"/>
      <c r="HA1515" s="879"/>
      <c r="HB1515" s="879"/>
      <c r="HC1515" s="879"/>
      <c r="HD1515" s="879"/>
      <c r="HE1515" s="879"/>
      <c r="HF1515" s="879"/>
      <c r="HG1515" s="879"/>
      <c r="HH1515" s="879"/>
      <c r="HI1515" s="879"/>
      <c r="HJ1515" s="879"/>
      <c r="HK1515" s="879"/>
      <c r="HL1515" s="879"/>
      <c r="HM1515" s="879"/>
      <c r="HN1515" s="879"/>
      <c r="HO1515" s="879"/>
      <c r="HP1515" s="879"/>
      <c r="HQ1515" s="879"/>
      <c r="HR1515" s="879"/>
      <c r="HS1515" s="879"/>
      <c r="HT1515" s="879"/>
      <c r="HU1515" s="879"/>
      <c r="HV1515" s="879"/>
      <c r="HW1515" s="879"/>
      <c r="HX1515" s="879"/>
      <c r="HY1515" s="879"/>
      <c r="HZ1515" s="879"/>
      <c r="IA1515" s="879"/>
      <c r="IB1515" s="879"/>
      <c r="IC1515" s="879"/>
      <c r="ID1515" s="879"/>
      <c r="IE1515" s="879"/>
      <c r="IF1515" s="879"/>
      <c r="IG1515" s="879"/>
      <c r="IH1515" s="879"/>
      <c r="II1515" s="879"/>
      <c r="IJ1515" s="879"/>
      <c r="IK1515" s="879"/>
      <c r="IL1515" s="879"/>
      <c r="IM1515" s="879"/>
      <c r="IN1515" s="879"/>
      <c r="IO1515" s="879"/>
      <c r="IP1515" s="879"/>
      <c r="IQ1515" s="879"/>
      <c r="IR1515" s="879"/>
      <c r="IS1515" s="879"/>
      <c r="IT1515" s="879"/>
      <c r="IU1515" s="879"/>
      <c r="IV1515" s="879"/>
      <c r="IW1515" s="879"/>
      <c r="IX1515" s="879"/>
      <c r="IY1515" s="879"/>
      <c r="IZ1515" s="879"/>
      <c r="JA1515" s="879"/>
      <c r="JB1515" s="879"/>
      <c r="JC1515" s="879"/>
      <c r="JD1515" s="879"/>
      <c r="JE1515" s="879"/>
      <c r="JF1515" s="879"/>
      <c r="JG1515" s="879"/>
      <c r="JH1515" s="879"/>
      <c r="JI1515" s="879"/>
      <c r="JJ1515" s="879"/>
      <c r="JK1515" s="879"/>
      <c r="JL1515" s="879"/>
      <c r="JM1515" s="879"/>
      <c r="JN1515" s="879"/>
      <c r="JO1515" s="879"/>
      <c r="JP1515" s="879"/>
      <c r="JQ1515" s="879"/>
      <c r="JR1515" s="879"/>
      <c r="JS1515" s="879"/>
      <c r="JT1515" s="879"/>
      <c r="JU1515" s="879"/>
      <c r="JV1515" s="879"/>
      <c r="JW1515" s="879"/>
      <c r="JX1515" s="879"/>
      <c r="JY1515" s="879"/>
      <c r="JZ1515" s="879"/>
      <c r="KA1515" s="879"/>
      <c r="KB1515" s="879"/>
      <c r="KC1515" s="879"/>
      <c r="KD1515" s="879"/>
      <c r="KE1515" s="879"/>
      <c r="KF1515" s="879"/>
      <c r="KG1515" s="879"/>
      <c r="KH1515" s="879"/>
      <c r="KI1515" s="879"/>
      <c r="KJ1515" s="879"/>
      <c r="KK1515" s="879"/>
      <c r="KL1515" s="879"/>
      <c r="KM1515" s="879"/>
      <c r="KN1515" s="879"/>
      <c r="KO1515" s="879"/>
      <c r="KP1515" s="879"/>
      <c r="KQ1515" s="879"/>
      <c r="KR1515" s="879"/>
      <c r="KS1515" s="879"/>
      <c r="KT1515" s="879"/>
      <c r="KU1515" s="879"/>
      <c r="KV1515" s="879"/>
      <c r="KW1515" s="879"/>
      <c r="KX1515" s="879"/>
      <c r="KY1515" s="879"/>
      <c r="KZ1515" s="879"/>
      <c r="LA1515" s="879"/>
      <c r="LB1515" s="879"/>
      <c r="LC1515" s="879"/>
      <c r="LD1515" s="879"/>
      <c r="LE1515" s="879"/>
      <c r="LF1515" s="879"/>
      <c r="LG1515" s="879"/>
      <c r="LH1515" s="879"/>
      <c r="LI1515" s="879"/>
      <c r="LJ1515" s="879"/>
      <c r="LK1515" s="879"/>
      <c r="LL1515" s="879"/>
      <c r="LM1515" s="879"/>
      <c r="LN1515" s="879"/>
      <c r="LO1515" s="879"/>
      <c r="LP1515" s="879"/>
      <c r="LQ1515" s="879"/>
      <c r="LR1515" s="879"/>
      <c r="LS1515" s="879"/>
      <c r="LT1515" s="879"/>
      <c r="LU1515" s="879"/>
      <c r="LV1515" s="879"/>
      <c r="LW1515" s="879"/>
      <c r="LX1515" s="879"/>
      <c r="LY1515" s="879"/>
      <c r="LZ1515" s="879"/>
      <c r="MA1515" s="879"/>
      <c r="MB1515" s="879"/>
      <c r="MC1515" s="879"/>
      <c r="MD1515" s="879"/>
      <c r="ME1515" s="879"/>
      <c r="MF1515" s="879"/>
      <c r="MG1515" s="879"/>
      <c r="MH1515" s="879"/>
      <c r="MI1515" s="879"/>
      <c r="MJ1515" s="879"/>
      <c r="MK1515" s="879"/>
      <c r="ML1515" s="879"/>
      <c r="MM1515" s="879"/>
      <c r="MN1515" s="879"/>
      <c r="MO1515" s="879"/>
      <c r="MP1515" s="879"/>
      <c r="MQ1515" s="879"/>
      <c r="MR1515" s="879"/>
      <c r="MS1515" s="879"/>
      <c r="MT1515" s="879"/>
      <c r="MU1515" s="879"/>
      <c r="MV1515" s="879"/>
      <c r="MW1515" s="879"/>
      <c r="MX1515" s="879"/>
      <c r="MY1515" s="879"/>
      <c r="MZ1515" s="879"/>
      <c r="NA1515" s="879"/>
      <c r="NB1515" s="879"/>
      <c r="NC1515" s="879"/>
      <c r="ND1515" s="879"/>
      <c r="NE1515" s="879"/>
      <c r="NF1515" s="879"/>
      <c r="NG1515" s="879"/>
      <c r="NH1515" s="879"/>
      <c r="NI1515" s="879"/>
      <c r="NJ1515" s="879"/>
      <c r="NK1515" s="879"/>
      <c r="NL1515" s="879"/>
      <c r="NM1515" s="879"/>
      <c r="NN1515" s="879"/>
      <c r="NO1515" s="879"/>
      <c r="NP1515" s="879"/>
      <c r="NQ1515" s="879"/>
      <c r="NR1515" s="879"/>
      <c r="NS1515" s="879"/>
      <c r="NT1515" s="879"/>
      <c r="NU1515" s="879"/>
      <c r="NV1515" s="879"/>
      <c r="NW1515" s="879"/>
      <c r="NX1515" s="879"/>
      <c r="NY1515" s="879"/>
      <c r="NZ1515" s="879"/>
      <c r="OA1515" s="879"/>
      <c r="OB1515" s="879"/>
      <c r="OC1515" s="879"/>
      <c r="OD1515" s="879"/>
      <c r="OE1515" s="879"/>
      <c r="OF1515" s="879"/>
      <c r="OG1515" s="879"/>
      <c r="OH1515" s="879"/>
      <c r="OI1515" s="879"/>
      <c r="OJ1515" s="879"/>
      <c r="OK1515" s="879"/>
      <c r="OL1515" s="879"/>
      <c r="OM1515" s="879"/>
      <c r="ON1515" s="879"/>
      <c r="OO1515" s="879"/>
      <c r="OP1515" s="879"/>
      <c r="OQ1515" s="879"/>
      <c r="OR1515" s="879"/>
      <c r="OS1515" s="879"/>
      <c r="OT1515" s="879"/>
      <c r="OU1515" s="879"/>
      <c r="OV1515" s="879"/>
      <c r="OW1515" s="879"/>
      <c r="OX1515" s="879"/>
      <c r="OY1515" s="879"/>
      <c r="OZ1515" s="879"/>
      <c r="PA1515" s="879"/>
      <c r="PB1515" s="879"/>
      <c r="PC1515" s="879"/>
      <c r="PD1515" s="879"/>
      <c r="PE1515" s="879"/>
      <c r="PF1515" s="879"/>
      <c r="PG1515" s="879"/>
      <c r="PH1515" s="879"/>
      <c r="PI1515" s="879"/>
      <c r="PJ1515" s="879"/>
      <c r="PK1515" s="879"/>
      <c r="PL1515" s="879"/>
      <c r="PM1515" s="879"/>
      <c r="PN1515" s="879"/>
      <c r="PO1515" s="879"/>
      <c r="PP1515" s="879"/>
      <c r="PQ1515" s="879"/>
      <c r="PR1515" s="879"/>
      <c r="PS1515" s="879"/>
      <c r="PT1515" s="879"/>
      <c r="PU1515" s="879"/>
      <c r="PV1515" s="879"/>
      <c r="PW1515" s="879"/>
      <c r="PX1515" s="879"/>
      <c r="PY1515" s="879"/>
      <c r="PZ1515" s="879"/>
      <c r="QA1515" s="879"/>
      <c r="QB1515" s="879"/>
      <c r="QC1515" s="879"/>
      <c r="QD1515" s="879"/>
      <c r="QE1515" s="879"/>
      <c r="QF1515" s="879"/>
      <c r="QG1515" s="879"/>
      <c r="QH1515" s="879"/>
      <c r="QI1515" s="879"/>
      <c r="QJ1515" s="879"/>
      <c r="QK1515" s="879"/>
      <c r="QL1515" s="879"/>
      <c r="QM1515" s="879"/>
      <c r="QN1515" s="879"/>
      <c r="QO1515" s="879"/>
      <c r="QP1515" s="879"/>
      <c r="QQ1515" s="879"/>
      <c r="QR1515" s="879"/>
      <c r="QS1515" s="879"/>
      <c r="QT1515" s="879"/>
      <c r="QU1515" s="879"/>
      <c r="QV1515" s="879"/>
      <c r="QW1515" s="879"/>
      <c r="QX1515" s="879"/>
      <c r="QY1515" s="879"/>
      <c r="QZ1515" s="879"/>
      <c r="RA1515" s="879"/>
      <c r="RB1515" s="879"/>
      <c r="RC1515" s="879"/>
      <c r="RD1515" s="879"/>
      <c r="RE1515" s="879"/>
      <c r="RF1515" s="879"/>
      <c r="RG1515" s="879"/>
      <c r="RH1515" s="879"/>
      <c r="RI1515" s="879"/>
      <c r="RJ1515" s="879"/>
      <c r="RK1515" s="879"/>
      <c r="RL1515" s="879"/>
      <c r="RM1515" s="879"/>
      <c r="RN1515" s="879"/>
      <c r="RO1515" s="879"/>
      <c r="RP1515" s="879"/>
      <c r="RQ1515" s="879"/>
      <c r="RR1515" s="879"/>
      <c r="RS1515" s="879"/>
      <c r="RT1515" s="879"/>
      <c r="RU1515" s="879"/>
      <c r="RV1515" s="879"/>
      <c r="RW1515" s="879"/>
      <c r="RX1515" s="879"/>
      <c r="RY1515" s="879"/>
      <c r="RZ1515" s="879"/>
      <c r="SA1515" s="879"/>
      <c r="SB1515" s="879"/>
      <c r="SC1515" s="879"/>
      <c r="SD1515" s="879"/>
      <c r="SE1515" s="879"/>
      <c r="SF1515" s="879"/>
      <c r="SG1515" s="879"/>
      <c r="SH1515" s="879"/>
      <c r="SI1515" s="879"/>
      <c r="SJ1515" s="879"/>
      <c r="SK1515" s="879"/>
      <c r="SL1515" s="879"/>
      <c r="SM1515" s="879"/>
      <c r="SN1515" s="879"/>
      <c r="SO1515" s="879"/>
      <c r="SP1515" s="879"/>
      <c r="SQ1515" s="879"/>
      <c r="SR1515" s="879"/>
      <c r="SS1515" s="879"/>
      <c r="ST1515" s="879"/>
      <c r="SU1515" s="879"/>
      <c r="SV1515" s="879"/>
      <c r="SW1515" s="879"/>
      <c r="SX1515" s="879"/>
      <c r="SY1515" s="879"/>
      <c r="SZ1515" s="879"/>
      <c r="TA1515" s="879"/>
      <c r="TB1515" s="879"/>
      <c r="TC1515" s="879"/>
      <c r="TD1515" s="879"/>
      <c r="TE1515" s="879"/>
      <c r="TF1515" s="879"/>
      <c r="TG1515" s="879"/>
      <c r="TH1515" s="879"/>
      <c r="TI1515" s="879"/>
      <c r="TJ1515" s="879"/>
      <c r="TK1515" s="879"/>
      <c r="TL1515" s="879"/>
      <c r="TM1515" s="879"/>
      <c r="TN1515" s="879"/>
      <c r="TO1515" s="879"/>
      <c r="TP1515" s="879"/>
      <c r="TQ1515" s="879"/>
      <c r="TR1515" s="879"/>
      <c r="TS1515" s="879"/>
      <c r="TT1515" s="879"/>
      <c r="TU1515" s="879"/>
      <c r="TV1515" s="879"/>
      <c r="TW1515" s="879"/>
      <c r="TX1515" s="879"/>
      <c r="TY1515" s="879"/>
      <c r="TZ1515" s="879"/>
      <c r="UA1515" s="879"/>
      <c r="UB1515" s="879"/>
      <c r="UC1515" s="879"/>
      <c r="UD1515" s="879"/>
      <c r="UE1515" s="879"/>
      <c r="UF1515" s="879"/>
      <c r="UG1515" s="879"/>
      <c r="UH1515" s="879"/>
      <c r="UI1515" s="879"/>
      <c r="UJ1515" s="879"/>
      <c r="UK1515" s="879"/>
      <c r="UL1515" s="879"/>
      <c r="UM1515" s="879"/>
      <c r="UN1515" s="879"/>
      <c r="UO1515" s="879"/>
      <c r="UP1515" s="879"/>
      <c r="UQ1515" s="879"/>
      <c r="UR1515" s="879"/>
      <c r="US1515" s="879"/>
      <c r="UT1515" s="879"/>
      <c r="UU1515" s="879"/>
      <c r="UV1515" s="879"/>
      <c r="UW1515" s="879"/>
      <c r="UX1515" s="879"/>
      <c r="UY1515" s="879"/>
      <c r="UZ1515" s="879"/>
      <c r="VA1515" s="879"/>
      <c r="VB1515" s="879"/>
      <c r="VC1515" s="879"/>
      <c r="VD1515" s="879"/>
      <c r="VE1515" s="879"/>
      <c r="VF1515" s="879"/>
      <c r="VG1515" s="879"/>
      <c r="VH1515" s="879"/>
      <c r="VI1515" s="879"/>
      <c r="VJ1515" s="879"/>
      <c r="VK1515" s="879"/>
      <c r="VL1515" s="879"/>
      <c r="VM1515" s="879"/>
      <c r="VN1515" s="879"/>
      <c r="VO1515" s="879"/>
      <c r="VP1515" s="879"/>
      <c r="VQ1515" s="879"/>
      <c r="VR1515" s="879"/>
      <c r="VS1515" s="879"/>
      <c r="VT1515" s="879"/>
      <c r="VU1515" s="879"/>
      <c r="VV1515" s="879"/>
      <c r="VW1515" s="879"/>
      <c r="VX1515" s="879"/>
      <c r="VY1515" s="879"/>
      <c r="VZ1515" s="879"/>
      <c r="WA1515" s="879"/>
      <c r="WB1515" s="879"/>
      <c r="WC1515" s="879"/>
      <c r="WD1515" s="879"/>
      <c r="WE1515" s="879"/>
      <c r="WF1515" s="879"/>
      <c r="WG1515" s="879"/>
      <c r="WH1515" s="879"/>
      <c r="WI1515" s="879"/>
      <c r="WJ1515" s="879"/>
      <c r="WK1515" s="879"/>
      <c r="WL1515" s="879"/>
      <c r="WM1515" s="879"/>
      <c r="WN1515" s="879"/>
      <c r="WO1515" s="879"/>
      <c r="WP1515" s="879"/>
      <c r="WQ1515" s="879"/>
      <c r="WR1515" s="879"/>
      <c r="WS1515" s="879"/>
      <c r="WT1515" s="879"/>
      <c r="WU1515" s="879"/>
      <c r="WV1515" s="879"/>
      <c r="WW1515" s="879"/>
      <c r="WX1515" s="879"/>
      <c r="WY1515" s="879"/>
      <c r="WZ1515" s="879"/>
      <c r="XA1515" s="879"/>
      <c r="XB1515" s="879"/>
      <c r="XC1515" s="879"/>
      <c r="XD1515" s="879"/>
      <c r="XE1515" s="879"/>
      <c r="XF1515" s="879"/>
      <c r="XG1515" s="879"/>
      <c r="XH1515" s="879"/>
      <c r="XI1515" s="879"/>
      <c r="XJ1515" s="879"/>
      <c r="XK1515" s="879"/>
      <c r="XL1515" s="879"/>
      <c r="XM1515" s="879"/>
      <c r="XN1515" s="879"/>
      <c r="XO1515" s="879"/>
      <c r="XP1515" s="879"/>
      <c r="XQ1515" s="879"/>
      <c r="XR1515" s="879"/>
      <c r="XS1515" s="879"/>
      <c r="XT1515" s="879"/>
      <c r="XU1515" s="879"/>
      <c r="XV1515" s="879"/>
      <c r="XW1515" s="879"/>
      <c r="XX1515" s="879"/>
      <c r="XY1515" s="879"/>
      <c r="XZ1515" s="879"/>
      <c r="YA1515" s="879"/>
      <c r="YB1515" s="879"/>
      <c r="YC1515" s="879"/>
      <c r="YD1515" s="879"/>
      <c r="YE1515" s="879"/>
      <c r="YF1515" s="879"/>
      <c r="YG1515" s="879"/>
      <c r="YH1515" s="879"/>
      <c r="YI1515" s="879"/>
      <c r="YJ1515" s="879"/>
      <c r="YK1515" s="879"/>
      <c r="YL1515" s="879"/>
      <c r="YM1515" s="879"/>
      <c r="YN1515" s="879"/>
      <c r="YO1515" s="879"/>
      <c r="YP1515" s="879"/>
      <c r="YQ1515" s="879"/>
      <c r="YR1515" s="879"/>
      <c r="YS1515" s="879"/>
      <c r="YT1515" s="879"/>
      <c r="YU1515" s="879"/>
      <c r="YV1515" s="879"/>
      <c r="YW1515" s="879"/>
      <c r="YX1515" s="879"/>
      <c r="YY1515" s="879"/>
      <c r="YZ1515" s="879"/>
      <c r="ZA1515" s="879"/>
      <c r="ZB1515" s="879"/>
      <c r="ZC1515" s="879"/>
      <c r="ZD1515" s="879"/>
      <c r="ZE1515" s="879"/>
      <c r="ZF1515" s="879"/>
      <c r="ZG1515" s="879"/>
      <c r="ZH1515" s="879"/>
      <c r="ZI1515" s="879"/>
      <c r="ZJ1515" s="879"/>
      <c r="ZK1515" s="879"/>
      <c r="ZL1515" s="879"/>
      <c r="ZM1515" s="879"/>
      <c r="ZN1515" s="879"/>
      <c r="ZO1515" s="879"/>
      <c r="ZP1515" s="879"/>
      <c r="ZQ1515" s="879"/>
      <c r="ZR1515" s="879"/>
      <c r="ZS1515" s="879"/>
      <c r="ZT1515" s="879"/>
      <c r="ZU1515" s="879"/>
      <c r="ZV1515" s="879"/>
      <c r="ZW1515" s="879"/>
      <c r="ZX1515" s="879"/>
      <c r="ZY1515" s="879"/>
      <c r="ZZ1515" s="879"/>
      <c r="AAA1515" s="879"/>
      <c r="AAB1515" s="879"/>
      <c r="AAC1515" s="879"/>
      <c r="AAD1515" s="879"/>
      <c r="AAE1515" s="879"/>
      <c r="AAF1515" s="879"/>
      <c r="AAG1515" s="879"/>
      <c r="AAH1515" s="879"/>
      <c r="AAI1515" s="879"/>
      <c r="AAJ1515" s="879"/>
      <c r="AAK1515" s="879"/>
      <c r="AAL1515" s="879"/>
      <c r="AAM1515" s="879"/>
      <c r="AAN1515" s="879"/>
      <c r="AAO1515" s="879"/>
      <c r="AAP1515" s="879"/>
      <c r="AAQ1515" s="879"/>
      <c r="AAR1515" s="879"/>
      <c r="AAS1515" s="879"/>
      <c r="AAT1515" s="879"/>
      <c r="AAU1515" s="879"/>
      <c r="AAV1515" s="879"/>
      <c r="AAW1515" s="879"/>
      <c r="AAX1515" s="879"/>
      <c r="AAY1515" s="879"/>
      <c r="AAZ1515" s="879"/>
      <c r="ABA1515" s="879"/>
      <c r="ABB1515" s="879"/>
      <c r="ABC1515" s="879"/>
      <c r="ABD1515" s="879"/>
      <c r="ABE1515" s="879"/>
      <c r="ABF1515" s="879"/>
      <c r="ABG1515" s="879"/>
      <c r="ABH1515" s="879"/>
      <c r="ABI1515" s="879"/>
      <c r="ABJ1515" s="879"/>
      <c r="ABK1515" s="879"/>
      <c r="ABL1515" s="879"/>
      <c r="ABM1515" s="879"/>
      <c r="ABN1515" s="879"/>
      <c r="ABO1515" s="879"/>
      <c r="ABP1515" s="879"/>
      <c r="ABQ1515" s="879"/>
      <c r="ABR1515" s="879"/>
      <c r="ABS1515" s="879"/>
      <c r="ABT1515" s="879"/>
      <c r="ABU1515" s="879"/>
      <c r="ABV1515" s="879"/>
      <c r="ABW1515" s="879"/>
      <c r="ABX1515" s="879"/>
      <c r="ABY1515" s="879"/>
      <c r="ABZ1515" s="879"/>
      <c r="ACA1515" s="879"/>
      <c r="ACB1515" s="879"/>
      <c r="ACC1515" s="879"/>
      <c r="ACD1515" s="879"/>
      <c r="ACE1515" s="879"/>
      <c r="ACF1515" s="879"/>
      <c r="ACG1515" s="879"/>
      <c r="ACH1515" s="879"/>
      <c r="ACI1515" s="879"/>
      <c r="ACJ1515" s="879"/>
      <c r="ACK1515" s="879"/>
      <c r="ACL1515" s="879"/>
      <c r="ACM1515" s="879"/>
      <c r="ACN1515" s="879"/>
      <c r="ACO1515" s="879"/>
      <c r="ACP1515" s="879"/>
      <c r="ACQ1515" s="879"/>
      <c r="ACR1515" s="879"/>
      <c r="ACS1515" s="879"/>
      <c r="ACT1515" s="879"/>
      <c r="ACU1515" s="879"/>
      <c r="ACV1515" s="879"/>
      <c r="ACW1515" s="879"/>
      <c r="ACX1515" s="879"/>
      <c r="ACY1515" s="879"/>
      <c r="ACZ1515" s="879"/>
      <c r="ADA1515" s="879"/>
      <c r="ADB1515" s="879"/>
      <c r="ADC1515" s="879"/>
      <c r="ADD1515" s="879"/>
      <c r="ADE1515" s="879"/>
      <c r="ADF1515" s="879"/>
      <c r="ADG1515" s="879"/>
      <c r="ADH1515" s="879"/>
      <c r="ADI1515" s="879"/>
      <c r="ADJ1515" s="879"/>
      <c r="ADK1515" s="879"/>
      <c r="ADL1515" s="879"/>
      <c r="ADM1515" s="879"/>
      <c r="ADN1515" s="879"/>
      <c r="ADO1515" s="879"/>
      <c r="ADP1515" s="879"/>
      <c r="ADQ1515" s="879"/>
      <c r="ADR1515" s="879"/>
      <c r="ADS1515" s="879"/>
      <c r="ADT1515" s="879"/>
      <c r="ADU1515" s="879"/>
      <c r="ADV1515" s="879"/>
      <c r="ADW1515" s="879"/>
      <c r="ADX1515" s="879"/>
      <c r="ADY1515" s="879"/>
      <c r="ADZ1515" s="879"/>
      <c r="AEA1515" s="879"/>
      <c r="AEB1515" s="879"/>
      <c r="AEC1515" s="879"/>
      <c r="AED1515" s="879"/>
      <c r="AEE1515" s="879"/>
      <c r="AEF1515" s="879"/>
      <c r="AEG1515" s="879"/>
      <c r="AEH1515" s="879"/>
      <c r="AEI1515" s="879"/>
      <c r="AEJ1515" s="879"/>
      <c r="AEK1515" s="879"/>
      <c r="AEL1515" s="879"/>
      <c r="AEM1515" s="879"/>
      <c r="AEN1515" s="879"/>
      <c r="AEO1515" s="879"/>
      <c r="AEP1515" s="879"/>
      <c r="AEQ1515" s="879"/>
      <c r="AER1515" s="879"/>
      <c r="AES1515" s="879"/>
      <c r="AET1515" s="879"/>
      <c r="AEU1515" s="879"/>
      <c r="AEV1515" s="879"/>
      <c r="AEW1515" s="879"/>
      <c r="AEX1515" s="879"/>
      <c r="AEY1515" s="879"/>
      <c r="AEZ1515" s="879"/>
      <c r="AFA1515" s="879"/>
      <c r="AFB1515" s="879"/>
      <c r="AFC1515" s="879"/>
      <c r="AFD1515" s="879"/>
      <c r="AFE1515" s="879"/>
      <c r="AFF1515" s="879"/>
      <c r="AFG1515" s="879"/>
      <c r="AFH1515" s="879"/>
      <c r="AFI1515" s="879"/>
      <c r="AFJ1515" s="879"/>
      <c r="AFK1515" s="879"/>
      <c r="AFL1515" s="879"/>
      <c r="AFM1515" s="879"/>
      <c r="AFN1515" s="879"/>
      <c r="AFO1515" s="879"/>
      <c r="AFP1515" s="879"/>
      <c r="AFQ1515" s="879"/>
      <c r="AFR1515" s="879"/>
      <c r="AFS1515" s="879"/>
      <c r="AFT1515" s="879"/>
      <c r="AFU1515" s="879"/>
      <c r="AFV1515" s="879"/>
      <c r="AFW1515" s="879"/>
      <c r="AFX1515" s="879"/>
      <c r="AFY1515" s="879"/>
      <c r="AFZ1515" s="879"/>
      <c r="AGA1515" s="879"/>
      <c r="AGB1515" s="879"/>
      <c r="AGC1515" s="879"/>
      <c r="AGD1515" s="879"/>
      <c r="AGE1515" s="879"/>
      <c r="AGF1515" s="879"/>
      <c r="AGG1515" s="879"/>
      <c r="AGH1515" s="879"/>
      <c r="AGI1515" s="879"/>
      <c r="AGJ1515" s="879"/>
      <c r="AGK1515" s="879"/>
      <c r="AGL1515" s="879"/>
      <c r="AGM1515" s="879"/>
      <c r="AGN1515" s="879"/>
      <c r="AGO1515" s="879"/>
      <c r="AGP1515" s="879"/>
      <c r="AGQ1515" s="879"/>
      <c r="AGR1515" s="879"/>
      <c r="AGS1515" s="879"/>
      <c r="AGT1515" s="879"/>
      <c r="AGU1515" s="879"/>
      <c r="AGV1515" s="879"/>
      <c r="AGW1515" s="879"/>
      <c r="AGX1515" s="879"/>
      <c r="AGY1515" s="879"/>
      <c r="AGZ1515" s="879"/>
      <c r="AHA1515" s="879"/>
      <c r="AHB1515" s="879"/>
      <c r="AHC1515" s="879"/>
      <c r="AHD1515" s="879"/>
      <c r="AHE1515" s="879"/>
      <c r="AHF1515" s="879"/>
      <c r="AHG1515" s="879"/>
      <c r="AHH1515" s="879"/>
      <c r="AHI1515" s="879"/>
      <c r="AHJ1515" s="879"/>
      <c r="AHK1515" s="879"/>
      <c r="AHL1515" s="879"/>
      <c r="AHM1515" s="879"/>
      <c r="AHN1515" s="879"/>
      <c r="AHO1515" s="879"/>
      <c r="AHP1515" s="879"/>
      <c r="AHQ1515" s="879"/>
      <c r="AHR1515" s="879"/>
      <c r="AHS1515" s="879"/>
      <c r="AHT1515" s="879"/>
      <c r="AHU1515" s="879"/>
      <c r="AHV1515" s="879"/>
      <c r="AHW1515" s="879"/>
      <c r="AHX1515" s="879"/>
      <c r="AHY1515" s="879"/>
      <c r="AHZ1515" s="879"/>
      <c r="AIA1515" s="879"/>
      <c r="AIB1515" s="879"/>
      <c r="AIC1515" s="879"/>
      <c r="AID1515" s="879"/>
      <c r="AIE1515" s="879"/>
      <c r="AIF1515" s="879"/>
      <c r="AIG1515" s="879"/>
      <c r="AIH1515" s="879"/>
      <c r="AII1515" s="879"/>
      <c r="AIJ1515" s="879"/>
      <c r="AIK1515" s="879"/>
      <c r="AIL1515" s="879"/>
      <c r="AIM1515" s="879"/>
      <c r="AIN1515" s="879"/>
      <c r="AIO1515" s="879"/>
      <c r="AIP1515" s="879"/>
      <c r="AIQ1515" s="879"/>
      <c r="AIR1515" s="879"/>
      <c r="AIS1515" s="879"/>
      <c r="AIT1515" s="879"/>
      <c r="AIU1515" s="879"/>
      <c r="AIV1515" s="879"/>
      <c r="AIW1515" s="879"/>
      <c r="AIX1515" s="879"/>
      <c r="AIY1515" s="879"/>
      <c r="AIZ1515" s="879"/>
      <c r="AJA1515" s="879"/>
      <c r="AJB1515" s="879"/>
      <c r="AJC1515" s="879"/>
      <c r="AJD1515" s="879"/>
      <c r="AJE1515" s="879"/>
      <c r="AJF1515" s="879"/>
      <c r="AJG1515" s="879"/>
      <c r="AJH1515" s="879"/>
      <c r="AJI1515" s="879"/>
      <c r="AJJ1515" s="879"/>
      <c r="AJK1515" s="879"/>
      <c r="AJL1515" s="879"/>
      <c r="AJM1515" s="879"/>
      <c r="AJN1515" s="879"/>
      <c r="AJO1515" s="879"/>
      <c r="AJP1515" s="879"/>
      <c r="AJQ1515" s="879"/>
      <c r="AJR1515" s="879"/>
      <c r="AJS1515" s="879"/>
      <c r="AJT1515" s="879"/>
      <c r="AJU1515" s="879"/>
      <c r="AJV1515" s="879"/>
      <c r="AJW1515" s="879"/>
      <c r="AJX1515" s="879"/>
      <c r="AJY1515" s="879"/>
      <c r="AJZ1515" s="879"/>
      <c r="AKA1515" s="879"/>
      <c r="AKB1515" s="879"/>
      <c r="AKC1515" s="879"/>
      <c r="AKD1515" s="879"/>
      <c r="AKE1515" s="879"/>
      <c r="AKF1515" s="879"/>
      <c r="AKG1515" s="879"/>
      <c r="AKH1515" s="879"/>
      <c r="AKI1515" s="879"/>
      <c r="AKJ1515" s="879"/>
      <c r="AKK1515" s="879"/>
      <c r="AKL1515" s="879"/>
      <c r="AKM1515" s="879"/>
      <c r="AKN1515" s="879"/>
      <c r="AKO1515" s="879"/>
      <c r="AKP1515" s="879"/>
      <c r="AKQ1515" s="879"/>
      <c r="AKR1515" s="879"/>
      <c r="AKS1515" s="879"/>
      <c r="AKT1515" s="879"/>
      <c r="AKU1515" s="879"/>
      <c r="AKV1515" s="879"/>
      <c r="AKW1515" s="879"/>
      <c r="AKX1515" s="879"/>
      <c r="AKY1515" s="879"/>
      <c r="AKZ1515" s="879"/>
      <c r="ALA1515" s="879"/>
      <c r="ALB1515" s="879"/>
      <c r="ALC1515" s="879"/>
      <c r="ALD1515" s="879"/>
      <c r="ALE1515" s="879"/>
      <c r="ALF1515" s="879"/>
      <c r="ALG1515" s="879"/>
      <c r="ALH1515" s="879"/>
      <c r="ALI1515" s="879"/>
      <c r="ALJ1515" s="879"/>
      <c r="ALK1515" s="879"/>
      <c r="ALL1515" s="879"/>
      <c r="ALM1515" s="879"/>
      <c r="ALN1515" s="879"/>
      <c r="ALO1515" s="879"/>
      <c r="ALP1515" s="879"/>
      <c r="ALQ1515" s="879"/>
      <c r="ALR1515" s="879"/>
      <c r="ALS1515" s="879"/>
      <c r="ALT1515" s="879"/>
      <c r="ALU1515" s="879"/>
      <c r="ALV1515" s="879"/>
      <c r="ALW1515" s="879"/>
      <c r="ALX1515" s="879"/>
      <c r="ALY1515" s="879"/>
      <c r="ALZ1515" s="879"/>
      <c r="AMA1515" s="879"/>
      <c r="AMB1515" s="879"/>
      <c r="AMC1515" s="879"/>
      <c r="AMD1515" s="879"/>
      <c r="AME1515" s="879"/>
      <c r="AMF1515" s="879"/>
      <c r="AMG1515" s="879"/>
      <c r="AMH1515" s="879"/>
      <c r="AMI1515" s="879"/>
      <c r="AMJ1515" s="879"/>
      <c r="AMK1515" s="879"/>
      <c r="AML1515" s="879"/>
      <c r="AMM1515" s="879"/>
      <c r="AMN1515" s="879"/>
      <c r="AMO1515" s="879"/>
      <c r="AMP1515" s="879"/>
      <c r="AMQ1515" s="879"/>
      <c r="AMR1515" s="879"/>
      <c r="AMS1515" s="879"/>
      <c r="AMT1515" s="879"/>
      <c r="AMU1515" s="879"/>
      <c r="AMV1515" s="879"/>
      <c r="AMW1515" s="879"/>
      <c r="AMX1515" s="879"/>
      <c r="AMY1515" s="879"/>
      <c r="AMZ1515" s="879"/>
      <c r="ANA1515" s="879"/>
      <c r="ANB1515" s="879"/>
      <c r="ANC1515" s="879"/>
      <c r="AND1515" s="879"/>
      <c r="ANE1515" s="879"/>
      <c r="ANF1515" s="879"/>
      <c r="ANG1515" s="879"/>
      <c r="ANH1515" s="879"/>
      <c r="ANI1515" s="879"/>
      <c r="ANJ1515" s="879"/>
      <c r="ANK1515" s="879"/>
      <c r="ANL1515" s="879"/>
      <c r="ANM1515" s="879"/>
      <c r="ANN1515" s="879"/>
      <c r="ANO1515" s="879"/>
      <c r="ANP1515" s="879"/>
      <c r="ANQ1515" s="879"/>
      <c r="ANR1515" s="879"/>
      <c r="ANS1515" s="879"/>
      <c r="ANT1515" s="879"/>
      <c r="ANU1515" s="879"/>
      <c r="ANV1515" s="879"/>
      <c r="ANW1515" s="879"/>
      <c r="ANX1515" s="879"/>
      <c r="ANY1515" s="879"/>
      <c r="ANZ1515" s="879"/>
      <c r="AOA1515" s="879"/>
      <c r="AOB1515" s="879"/>
      <c r="AOC1515" s="879"/>
      <c r="AOD1515" s="879"/>
      <c r="AOE1515" s="879"/>
      <c r="AOF1515" s="879"/>
      <c r="AOG1515" s="879"/>
      <c r="AOH1515" s="879"/>
      <c r="AOI1515" s="879"/>
      <c r="AOJ1515" s="879"/>
      <c r="AOK1515" s="879"/>
      <c r="AOL1515" s="879"/>
      <c r="AOM1515" s="879"/>
      <c r="AON1515" s="879"/>
      <c r="AOO1515" s="879"/>
      <c r="AOP1515" s="879"/>
      <c r="AOQ1515" s="879"/>
      <c r="AOR1515" s="879"/>
      <c r="AOS1515" s="879"/>
      <c r="AOT1515" s="879"/>
      <c r="AOU1515" s="879"/>
      <c r="AOV1515" s="879"/>
      <c r="AOW1515" s="879"/>
      <c r="AOX1515" s="879"/>
      <c r="AOY1515" s="879"/>
      <c r="AOZ1515" s="879"/>
      <c r="APA1515" s="879"/>
      <c r="APB1515" s="879"/>
      <c r="APC1515" s="879"/>
      <c r="APD1515" s="879"/>
      <c r="APE1515" s="879"/>
      <c r="APF1515" s="879"/>
      <c r="APG1515" s="879"/>
      <c r="APH1515" s="879"/>
      <c r="API1515" s="879"/>
      <c r="APJ1515" s="879"/>
      <c r="APK1515" s="879"/>
      <c r="APL1515" s="879"/>
      <c r="APM1515" s="879"/>
      <c r="APN1515" s="879"/>
      <c r="APO1515" s="879"/>
      <c r="APP1515" s="879"/>
      <c r="APQ1515" s="879"/>
      <c r="APR1515" s="879"/>
      <c r="APS1515" s="879"/>
      <c r="APT1515" s="879"/>
      <c r="APU1515" s="879"/>
      <c r="APV1515" s="879"/>
      <c r="APW1515" s="879"/>
      <c r="APX1515" s="879"/>
      <c r="APY1515" s="879"/>
      <c r="APZ1515" s="879"/>
      <c r="AQA1515" s="879"/>
      <c r="AQB1515" s="879"/>
      <c r="AQC1515" s="879"/>
      <c r="AQD1515" s="879"/>
      <c r="AQE1515" s="879"/>
      <c r="AQF1515" s="879"/>
      <c r="AQG1515" s="879"/>
      <c r="AQH1515" s="879"/>
      <c r="AQI1515" s="879"/>
      <c r="AQJ1515" s="879"/>
      <c r="AQK1515" s="879"/>
      <c r="AQL1515" s="879"/>
      <c r="AQM1515" s="879"/>
      <c r="AQN1515" s="879"/>
      <c r="AQO1515" s="879"/>
      <c r="AQP1515" s="879"/>
      <c r="AQQ1515" s="879"/>
      <c r="AQR1515" s="879"/>
      <c r="AQS1515" s="879"/>
      <c r="AQT1515" s="879"/>
      <c r="AQU1515" s="879"/>
      <c r="AQV1515" s="879"/>
      <c r="AQW1515" s="879"/>
      <c r="AQX1515" s="879"/>
      <c r="AQY1515" s="879"/>
      <c r="AQZ1515" s="879"/>
      <c r="ARA1515" s="879"/>
      <c r="ARB1515" s="879"/>
      <c r="ARC1515" s="879"/>
      <c r="ARD1515" s="879"/>
      <c r="ARE1515" s="879"/>
      <c r="ARF1515" s="879"/>
      <c r="ARG1515" s="879"/>
      <c r="ARH1515" s="879"/>
      <c r="ARI1515" s="879"/>
      <c r="ARJ1515" s="879"/>
      <c r="ARK1515" s="879"/>
      <c r="ARL1515" s="879"/>
      <c r="ARM1515" s="879"/>
      <c r="ARN1515" s="879"/>
      <c r="ARO1515" s="879"/>
      <c r="ARP1515" s="879"/>
      <c r="ARQ1515" s="879"/>
      <c r="ARR1515" s="879"/>
      <c r="ARS1515" s="879"/>
      <c r="ART1515" s="879"/>
      <c r="ARU1515" s="879"/>
      <c r="ARV1515" s="879"/>
      <c r="ARW1515" s="879"/>
      <c r="ARX1515" s="879"/>
      <c r="ARY1515" s="879"/>
      <c r="ARZ1515" s="879"/>
      <c r="ASA1515" s="879"/>
      <c r="ASB1515" s="879"/>
      <c r="ASC1515" s="879"/>
      <c r="ASD1515" s="879"/>
      <c r="ASE1515" s="879"/>
      <c r="ASF1515" s="879"/>
      <c r="ASG1515" s="879"/>
      <c r="ASH1515" s="879"/>
      <c r="ASI1515" s="879"/>
      <c r="ASJ1515" s="879"/>
      <c r="ASK1515" s="879"/>
      <c r="ASL1515" s="879"/>
      <c r="ASM1515" s="879"/>
      <c r="ASN1515" s="879"/>
      <c r="ASO1515" s="879"/>
      <c r="ASP1515" s="879"/>
      <c r="ASQ1515" s="879"/>
      <c r="ASR1515" s="879"/>
      <c r="ASS1515" s="879"/>
      <c r="AST1515" s="879"/>
      <c r="ASU1515" s="879"/>
      <c r="ASV1515" s="879"/>
      <c r="ASW1515" s="879"/>
      <c r="ASX1515" s="879"/>
      <c r="ASY1515" s="879"/>
      <c r="ASZ1515" s="879"/>
      <c r="ATA1515" s="879"/>
      <c r="ATB1515" s="879"/>
      <c r="ATC1515" s="879"/>
      <c r="ATD1515" s="879"/>
      <c r="ATE1515" s="879"/>
      <c r="ATF1515" s="879"/>
      <c r="ATG1515" s="879"/>
      <c r="ATH1515" s="879"/>
      <c r="ATI1515" s="879"/>
      <c r="ATJ1515" s="879"/>
      <c r="ATK1515" s="879"/>
      <c r="ATL1515" s="879"/>
      <c r="ATM1515" s="879"/>
      <c r="ATN1515" s="879"/>
      <c r="ATO1515" s="879"/>
      <c r="ATP1515" s="879"/>
      <c r="ATQ1515" s="879"/>
      <c r="ATR1515" s="879"/>
      <c r="ATS1515" s="879"/>
      <c r="ATT1515" s="879"/>
      <c r="ATU1515" s="879"/>
      <c r="ATV1515" s="879"/>
      <c r="ATW1515" s="879"/>
      <c r="ATX1515" s="879"/>
      <c r="ATY1515" s="879"/>
      <c r="ATZ1515" s="879"/>
      <c r="AUA1515" s="879"/>
      <c r="AUB1515" s="879"/>
      <c r="AUC1515" s="879"/>
      <c r="AUD1515" s="879"/>
      <c r="AUE1515" s="879"/>
      <c r="AUF1515" s="879"/>
      <c r="AUG1515" s="879"/>
      <c r="AUH1515" s="879"/>
      <c r="AUI1515" s="879"/>
      <c r="AUJ1515" s="879"/>
      <c r="AUK1515" s="879"/>
      <c r="AUL1515" s="879"/>
      <c r="AUM1515" s="879"/>
      <c r="AUN1515" s="879"/>
      <c r="AUO1515" s="879"/>
      <c r="AUP1515" s="879"/>
      <c r="AUQ1515" s="879"/>
      <c r="AUR1515" s="879"/>
      <c r="AUS1515" s="879"/>
      <c r="AUT1515" s="879"/>
      <c r="AUU1515" s="879"/>
      <c r="AUV1515" s="879"/>
      <c r="AUW1515" s="879"/>
      <c r="AUX1515" s="879"/>
      <c r="AUY1515" s="879"/>
      <c r="AUZ1515" s="879"/>
      <c r="AVA1515" s="879"/>
      <c r="AVB1515" s="879"/>
      <c r="AVC1515" s="879"/>
      <c r="AVD1515" s="879"/>
      <c r="AVE1515" s="879"/>
      <c r="AVF1515" s="879"/>
      <c r="AVG1515" s="879"/>
      <c r="AVH1515" s="879"/>
      <c r="AVI1515" s="879"/>
      <c r="AVJ1515" s="879"/>
      <c r="AVK1515" s="879"/>
      <c r="AVL1515" s="879"/>
      <c r="AVM1515" s="879"/>
      <c r="AVN1515" s="879"/>
      <c r="AVO1515" s="879"/>
      <c r="AVP1515" s="879"/>
      <c r="AVQ1515" s="879"/>
      <c r="AVR1515" s="879"/>
      <c r="AVS1515" s="879"/>
      <c r="AVT1515" s="879"/>
      <c r="AVU1515" s="879"/>
      <c r="AVV1515" s="879"/>
      <c r="AVW1515" s="879"/>
      <c r="AVX1515" s="879"/>
      <c r="AVY1515" s="879"/>
      <c r="AVZ1515" s="879"/>
      <c r="AWA1515" s="879"/>
      <c r="AWB1515" s="879"/>
      <c r="AWC1515" s="879"/>
      <c r="AWD1515" s="879"/>
      <c r="AWE1515" s="879"/>
      <c r="AWF1515" s="879"/>
      <c r="AWG1515" s="879"/>
      <c r="AWH1515" s="879"/>
      <c r="AWI1515" s="879"/>
      <c r="AWJ1515" s="879"/>
      <c r="AWK1515" s="879"/>
      <c r="AWL1515" s="879"/>
      <c r="AWM1515" s="879"/>
      <c r="AWN1515" s="879"/>
      <c r="AWO1515" s="879"/>
      <c r="AWP1515" s="879"/>
      <c r="AWQ1515" s="879"/>
      <c r="AWR1515" s="879"/>
      <c r="AWS1515" s="879"/>
      <c r="AWT1515" s="879"/>
      <c r="AWU1515" s="879"/>
      <c r="AWV1515" s="879"/>
      <c r="AWW1515" s="879"/>
      <c r="AWX1515" s="879"/>
      <c r="AWY1515" s="879"/>
      <c r="AWZ1515" s="879"/>
      <c r="AXA1515" s="879"/>
      <c r="AXB1515" s="879"/>
      <c r="AXC1515" s="879"/>
      <c r="AXD1515" s="879"/>
      <c r="AXE1515" s="879"/>
      <c r="AXF1515" s="879"/>
      <c r="AXG1515" s="879"/>
      <c r="AXH1515" s="879"/>
      <c r="AXI1515" s="879"/>
      <c r="AXJ1515" s="879"/>
      <c r="AXK1515" s="879"/>
      <c r="AXL1515" s="879"/>
      <c r="AXM1515" s="879"/>
      <c r="AXN1515" s="879"/>
      <c r="AXO1515" s="879"/>
      <c r="AXP1515" s="879"/>
      <c r="AXQ1515" s="879"/>
      <c r="AXR1515" s="879"/>
      <c r="AXS1515" s="879"/>
      <c r="AXT1515" s="879"/>
      <c r="AXU1515" s="879"/>
      <c r="AXV1515" s="879"/>
      <c r="AXW1515" s="879"/>
      <c r="AXX1515" s="879"/>
      <c r="AXY1515" s="879"/>
      <c r="AXZ1515" s="879"/>
      <c r="AYA1515" s="879"/>
      <c r="AYB1515" s="879"/>
      <c r="AYC1515" s="879"/>
      <c r="AYD1515" s="879"/>
      <c r="AYE1515" s="879"/>
      <c r="AYF1515" s="879"/>
      <c r="AYG1515" s="879"/>
      <c r="AYH1515" s="879"/>
      <c r="AYI1515" s="879"/>
      <c r="AYJ1515" s="879"/>
      <c r="AYK1515" s="879"/>
      <c r="AYL1515" s="879"/>
      <c r="AYM1515" s="879"/>
      <c r="AYN1515" s="879"/>
      <c r="AYO1515" s="879"/>
      <c r="AYP1515" s="879"/>
      <c r="AYQ1515" s="879"/>
      <c r="AYR1515" s="879"/>
      <c r="AYS1515" s="879"/>
      <c r="AYT1515" s="879"/>
      <c r="AYU1515" s="879"/>
      <c r="AYV1515" s="879"/>
      <c r="AYW1515" s="879"/>
      <c r="AYX1515" s="879"/>
      <c r="AYY1515" s="879"/>
      <c r="AYZ1515" s="879"/>
      <c r="AZA1515" s="879"/>
      <c r="AZB1515" s="879"/>
      <c r="AZC1515" s="879"/>
      <c r="AZD1515" s="879"/>
      <c r="AZE1515" s="879"/>
      <c r="AZF1515" s="879"/>
      <c r="AZG1515" s="879"/>
      <c r="AZH1515" s="879"/>
      <c r="AZI1515" s="879"/>
      <c r="AZJ1515" s="879"/>
      <c r="AZK1515" s="879"/>
      <c r="AZL1515" s="879"/>
      <c r="AZM1515" s="879"/>
      <c r="AZN1515" s="879"/>
      <c r="AZO1515" s="879"/>
      <c r="AZP1515" s="879"/>
      <c r="AZQ1515" s="879"/>
      <c r="AZR1515" s="879"/>
      <c r="AZS1515" s="879"/>
      <c r="AZT1515" s="879"/>
      <c r="AZU1515" s="879"/>
      <c r="AZV1515" s="879"/>
      <c r="AZW1515" s="879"/>
      <c r="AZX1515" s="879"/>
      <c r="AZY1515" s="879"/>
      <c r="AZZ1515" s="879"/>
      <c r="BAA1515" s="879"/>
      <c r="BAB1515" s="879"/>
      <c r="BAC1515" s="879"/>
      <c r="BAD1515" s="879"/>
      <c r="BAE1515" s="879"/>
      <c r="BAF1515" s="879"/>
      <c r="BAG1515" s="879"/>
      <c r="BAH1515" s="879"/>
      <c r="BAI1515" s="879"/>
      <c r="BAJ1515" s="879"/>
      <c r="BAK1515" s="879"/>
      <c r="BAL1515" s="879"/>
      <c r="BAM1515" s="879"/>
      <c r="BAN1515" s="879"/>
      <c r="BAO1515" s="879"/>
      <c r="BAP1515" s="879"/>
      <c r="BAQ1515" s="879"/>
      <c r="BAR1515" s="879"/>
      <c r="BAS1515" s="879"/>
      <c r="BAT1515" s="879"/>
      <c r="BAU1515" s="879"/>
      <c r="BAV1515" s="879"/>
      <c r="BAW1515" s="879"/>
      <c r="BAX1515" s="879"/>
      <c r="BAY1515" s="879"/>
      <c r="BAZ1515" s="879"/>
      <c r="BBA1515" s="879"/>
      <c r="BBB1515" s="879"/>
      <c r="BBC1515" s="879"/>
      <c r="BBD1515" s="879"/>
      <c r="BBE1515" s="879"/>
      <c r="BBF1515" s="879"/>
      <c r="BBG1515" s="879"/>
      <c r="BBH1515" s="879"/>
      <c r="BBI1515" s="879"/>
      <c r="BBJ1515" s="879"/>
      <c r="BBK1515" s="879"/>
      <c r="BBL1515" s="879"/>
      <c r="BBM1515" s="879"/>
      <c r="BBN1515" s="879"/>
      <c r="BBO1515" s="879"/>
      <c r="BBP1515" s="879"/>
      <c r="BBQ1515" s="879"/>
      <c r="BBR1515" s="879"/>
      <c r="BBS1515" s="879"/>
      <c r="BBT1515" s="879"/>
      <c r="BBU1515" s="879"/>
      <c r="BBV1515" s="879"/>
      <c r="BBW1515" s="879"/>
      <c r="BBX1515" s="879"/>
      <c r="BBY1515" s="879"/>
      <c r="BBZ1515" s="879"/>
      <c r="BCA1515" s="879"/>
      <c r="BCB1515" s="879"/>
      <c r="BCC1515" s="879"/>
      <c r="BCD1515" s="879"/>
      <c r="BCE1515" s="879"/>
      <c r="BCF1515" s="879"/>
      <c r="BCG1515" s="879"/>
      <c r="BCH1515" s="879"/>
      <c r="BCI1515" s="879"/>
      <c r="BCJ1515" s="879"/>
      <c r="BCK1515" s="879"/>
      <c r="BCL1515" s="879"/>
      <c r="BCM1515" s="879"/>
      <c r="BCN1515" s="879"/>
      <c r="BCO1515" s="879"/>
      <c r="BCP1515" s="879"/>
      <c r="BCQ1515" s="879"/>
      <c r="BCR1515" s="879"/>
      <c r="BCS1515" s="879"/>
      <c r="BCT1515" s="879"/>
      <c r="BCU1515" s="879"/>
      <c r="BCV1515" s="879"/>
      <c r="BCW1515" s="879"/>
      <c r="BCX1515" s="879"/>
      <c r="BCY1515" s="879"/>
      <c r="BCZ1515" s="879"/>
      <c r="BDA1515" s="879"/>
      <c r="BDB1515" s="879"/>
      <c r="BDC1515" s="879"/>
      <c r="BDD1515" s="879"/>
      <c r="BDE1515" s="879"/>
      <c r="BDF1515" s="879"/>
      <c r="BDG1515" s="879"/>
      <c r="BDH1515" s="879"/>
      <c r="BDI1515" s="879"/>
      <c r="BDJ1515" s="879"/>
      <c r="BDK1515" s="879"/>
      <c r="BDL1515" s="879"/>
      <c r="BDM1515" s="879"/>
      <c r="BDN1515" s="879"/>
      <c r="BDO1515" s="879"/>
      <c r="BDP1515" s="879"/>
      <c r="BDQ1515" s="879"/>
      <c r="BDR1515" s="879"/>
      <c r="BDS1515" s="879"/>
      <c r="BDT1515" s="879"/>
      <c r="BDU1515" s="879"/>
      <c r="BDV1515" s="879"/>
      <c r="BDW1515" s="879"/>
      <c r="BDX1515" s="879"/>
      <c r="BDY1515" s="879"/>
      <c r="BDZ1515" s="879"/>
      <c r="BEA1515" s="879"/>
      <c r="BEB1515" s="879"/>
      <c r="BEC1515" s="879"/>
      <c r="BED1515" s="879"/>
      <c r="BEE1515" s="879"/>
      <c r="BEF1515" s="879"/>
      <c r="BEG1515" s="879"/>
      <c r="BEH1515" s="879"/>
      <c r="BEI1515" s="879"/>
      <c r="BEJ1515" s="879"/>
      <c r="BEK1515" s="879"/>
      <c r="BEL1515" s="879"/>
      <c r="BEM1515" s="879"/>
      <c r="BEN1515" s="879"/>
      <c r="BEO1515" s="879"/>
      <c r="BEP1515" s="879"/>
      <c r="BEQ1515" s="879"/>
      <c r="BER1515" s="879"/>
      <c r="BES1515" s="879"/>
      <c r="BET1515" s="879"/>
      <c r="BEU1515" s="879"/>
      <c r="BEV1515" s="879"/>
      <c r="BEW1515" s="879"/>
      <c r="BEX1515" s="879"/>
      <c r="BEY1515" s="879"/>
      <c r="BEZ1515" s="879"/>
      <c r="BFA1515" s="879"/>
      <c r="BFB1515" s="879"/>
      <c r="BFC1515" s="879"/>
      <c r="BFD1515" s="879"/>
      <c r="BFE1515" s="879"/>
      <c r="BFF1515" s="879"/>
      <c r="BFG1515" s="879"/>
      <c r="BFH1515" s="879"/>
      <c r="BFI1515" s="879"/>
      <c r="BFJ1515" s="879"/>
      <c r="BFK1515" s="879"/>
      <c r="BFL1515" s="879"/>
      <c r="BFM1515" s="879"/>
      <c r="BFN1515" s="879"/>
      <c r="BFO1515" s="879"/>
      <c r="BFP1515" s="879"/>
      <c r="BFQ1515" s="879"/>
      <c r="BFR1515" s="879"/>
      <c r="BFS1515" s="879"/>
      <c r="BFT1515" s="879"/>
      <c r="BFU1515" s="879"/>
      <c r="BFV1515" s="879"/>
      <c r="BFW1515" s="879"/>
      <c r="BFX1515" s="879"/>
      <c r="BFY1515" s="879"/>
      <c r="BFZ1515" s="879"/>
      <c r="BGA1515" s="879"/>
      <c r="BGB1515" s="879"/>
      <c r="BGC1515" s="879"/>
      <c r="BGD1515" s="879"/>
      <c r="BGE1515" s="879"/>
      <c r="BGF1515" s="879"/>
      <c r="BGG1515" s="879"/>
      <c r="BGH1515" s="879"/>
      <c r="BGI1515" s="879"/>
      <c r="BGJ1515" s="879"/>
      <c r="BGK1515" s="879"/>
      <c r="BGL1515" s="879"/>
      <c r="BGM1515" s="879"/>
      <c r="BGN1515" s="879"/>
      <c r="BGO1515" s="879"/>
      <c r="BGP1515" s="879"/>
      <c r="BGQ1515" s="879"/>
      <c r="BGR1515" s="879"/>
      <c r="BGS1515" s="879"/>
      <c r="BGT1515" s="879"/>
      <c r="BGU1515" s="879"/>
      <c r="BGV1515" s="879"/>
      <c r="BGW1515" s="879"/>
      <c r="BGX1515" s="879"/>
      <c r="BGY1515" s="879"/>
      <c r="BGZ1515" s="879"/>
      <c r="BHA1515" s="879"/>
      <c r="BHB1515" s="879"/>
      <c r="BHC1515" s="879"/>
      <c r="BHD1515" s="879"/>
      <c r="BHE1515" s="879"/>
      <c r="BHF1515" s="879"/>
      <c r="BHG1515" s="879"/>
      <c r="BHH1515" s="879"/>
      <c r="BHI1515" s="879"/>
      <c r="BHJ1515" s="879"/>
      <c r="BHK1515" s="879"/>
      <c r="BHL1515" s="879"/>
      <c r="BHM1515" s="879"/>
      <c r="BHN1515" s="879"/>
      <c r="BHO1515" s="879"/>
      <c r="BHP1515" s="879"/>
      <c r="BHQ1515" s="879"/>
      <c r="BHR1515" s="879"/>
      <c r="BHS1515" s="879"/>
      <c r="BHT1515" s="879"/>
      <c r="BHU1515" s="879"/>
      <c r="BHV1515" s="879"/>
      <c r="BHW1515" s="879"/>
      <c r="BHX1515" s="879"/>
      <c r="BHY1515" s="879"/>
      <c r="BHZ1515" s="879"/>
      <c r="BIA1515" s="879"/>
      <c r="BIB1515" s="879"/>
      <c r="BIC1515" s="879"/>
      <c r="BID1515" s="879"/>
      <c r="BIE1515" s="879"/>
      <c r="BIF1515" s="879"/>
      <c r="BIG1515" s="879"/>
      <c r="BIH1515" s="879"/>
      <c r="BII1515" s="879"/>
      <c r="BIJ1515" s="879"/>
      <c r="BIK1515" s="879"/>
      <c r="BIL1515" s="879"/>
      <c r="BIM1515" s="879"/>
      <c r="BIN1515" s="879"/>
      <c r="BIO1515" s="879"/>
      <c r="BIP1515" s="879"/>
      <c r="BIQ1515" s="879"/>
      <c r="BIR1515" s="879"/>
      <c r="BIS1515" s="879"/>
      <c r="BIT1515" s="879"/>
      <c r="BIU1515" s="879"/>
      <c r="BIV1515" s="879"/>
      <c r="BIW1515" s="879"/>
      <c r="BIX1515" s="879"/>
      <c r="BIY1515" s="879"/>
      <c r="BIZ1515" s="879"/>
      <c r="BJA1515" s="879"/>
      <c r="BJB1515" s="879"/>
      <c r="BJC1515" s="879"/>
      <c r="BJD1515" s="879"/>
      <c r="BJE1515" s="879"/>
      <c r="BJF1515" s="879"/>
      <c r="BJG1515" s="879"/>
      <c r="BJH1515" s="879"/>
      <c r="BJI1515" s="879"/>
      <c r="BJJ1515" s="879"/>
      <c r="BJK1515" s="879"/>
      <c r="BJL1515" s="879"/>
      <c r="BJM1515" s="879"/>
      <c r="BJN1515" s="879"/>
      <c r="BJO1515" s="879"/>
      <c r="BJP1515" s="879"/>
      <c r="BJQ1515" s="879"/>
      <c r="BJR1515" s="879"/>
      <c r="BJS1515" s="879"/>
      <c r="BJT1515" s="879"/>
      <c r="BJU1515" s="879"/>
      <c r="BJV1515" s="879"/>
      <c r="BJW1515" s="879"/>
      <c r="BJX1515" s="879"/>
      <c r="BJY1515" s="879"/>
      <c r="BJZ1515" s="879"/>
      <c r="BKA1515" s="879"/>
      <c r="BKB1515" s="879"/>
      <c r="BKC1515" s="879"/>
      <c r="BKD1515" s="879"/>
      <c r="BKE1515" s="879"/>
      <c r="BKF1515" s="879"/>
      <c r="BKG1515" s="879"/>
      <c r="BKH1515" s="879"/>
      <c r="BKI1515" s="879"/>
      <c r="BKJ1515" s="879"/>
      <c r="BKK1515" s="879"/>
      <c r="BKL1515" s="879"/>
      <c r="BKM1515" s="879"/>
      <c r="BKN1515" s="879"/>
      <c r="BKO1515" s="879"/>
      <c r="BKP1515" s="879"/>
      <c r="BKQ1515" s="879"/>
      <c r="BKR1515" s="879"/>
      <c r="BKS1515" s="879"/>
      <c r="BKT1515" s="879"/>
      <c r="BKU1515" s="879"/>
      <c r="BKV1515" s="879"/>
      <c r="BKW1515" s="879"/>
      <c r="BKX1515" s="879"/>
      <c r="BKY1515" s="879"/>
      <c r="BKZ1515" s="879"/>
      <c r="BLA1515" s="879"/>
      <c r="BLB1515" s="879"/>
      <c r="BLC1515" s="879"/>
      <c r="BLD1515" s="879"/>
      <c r="BLE1515" s="879"/>
      <c r="BLF1515" s="879"/>
      <c r="BLG1515" s="879"/>
      <c r="BLH1515" s="879"/>
      <c r="BLI1515" s="879"/>
      <c r="BLJ1515" s="879"/>
      <c r="BLK1515" s="879"/>
      <c r="BLL1515" s="879"/>
      <c r="BLM1515" s="879"/>
      <c r="BLN1515" s="879"/>
      <c r="BLO1515" s="879"/>
      <c r="BLP1515" s="879"/>
      <c r="BLQ1515" s="879"/>
      <c r="BLR1515" s="879"/>
      <c r="BLS1515" s="879"/>
      <c r="BLT1515" s="879"/>
      <c r="BLU1515" s="879"/>
      <c r="BLV1515" s="879"/>
      <c r="BLW1515" s="879"/>
      <c r="BLX1515" s="879"/>
      <c r="BLY1515" s="879"/>
      <c r="BLZ1515" s="879"/>
      <c r="BMA1515" s="879"/>
      <c r="BMB1515" s="879"/>
      <c r="BMC1515" s="879"/>
      <c r="BMD1515" s="879"/>
      <c r="BME1515" s="879"/>
      <c r="BMF1515" s="879"/>
      <c r="BMG1515" s="879"/>
      <c r="BMH1515" s="879"/>
      <c r="BMI1515" s="879"/>
      <c r="BMJ1515" s="879"/>
      <c r="BMK1515" s="879"/>
      <c r="BML1515" s="879"/>
      <c r="BMM1515" s="879"/>
      <c r="BMN1515" s="879"/>
      <c r="BMO1515" s="879"/>
      <c r="BMP1515" s="879"/>
      <c r="BMQ1515" s="879"/>
      <c r="BMR1515" s="879"/>
      <c r="BMS1515" s="879"/>
      <c r="BMT1515" s="879"/>
      <c r="BMU1515" s="879"/>
      <c r="BMV1515" s="879"/>
      <c r="BMW1515" s="879"/>
      <c r="BMX1515" s="879"/>
      <c r="BMY1515" s="879"/>
      <c r="BMZ1515" s="879"/>
      <c r="BNA1515" s="879"/>
      <c r="BNB1515" s="879"/>
      <c r="BNC1515" s="879"/>
      <c r="BND1515" s="879"/>
      <c r="BNE1515" s="879"/>
      <c r="BNF1515" s="879"/>
      <c r="BNG1515" s="879"/>
      <c r="BNH1515" s="879"/>
      <c r="BNI1515" s="879"/>
      <c r="BNJ1515" s="879"/>
      <c r="BNK1515" s="879"/>
      <c r="BNL1515" s="879"/>
      <c r="BNM1515" s="879"/>
      <c r="BNN1515" s="879"/>
      <c r="BNO1515" s="879"/>
      <c r="BNP1515" s="879"/>
      <c r="BNQ1515" s="879"/>
      <c r="BNR1515" s="879"/>
      <c r="BNS1515" s="879"/>
      <c r="BNT1515" s="879"/>
      <c r="BNU1515" s="879"/>
      <c r="BNV1515" s="879"/>
      <c r="BNW1515" s="879"/>
      <c r="BNX1515" s="879"/>
      <c r="BNY1515" s="879"/>
      <c r="BNZ1515" s="879"/>
      <c r="BOA1515" s="879"/>
      <c r="BOB1515" s="879"/>
      <c r="BOC1515" s="879"/>
      <c r="BOD1515" s="879"/>
      <c r="BOE1515" s="879"/>
      <c r="BOF1515" s="879"/>
      <c r="BOG1515" s="879"/>
      <c r="BOH1515" s="879"/>
      <c r="BOI1515" s="879"/>
      <c r="BOJ1515" s="879"/>
      <c r="BOK1515" s="879"/>
      <c r="BOL1515" s="879"/>
      <c r="BOM1515" s="879"/>
      <c r="BON1515" s="879"/>
      <c r="BOO1515" s="879"/>
      <c r="BOP1515" s="879"/>
      <c r="BOQ1515" s="879"/>
      <c r="BOR1515" s="879"/>
      <c r="BOS1515" s="879"/>
      <c r="BOT1515" s="879"/>
      <c r="BOU1515" s="879"/>
      <c r="BOV1515" s="879"/>
      <c r="BOW1515" s="879"/>
      <c r="BOX1515" s="879"/>
      <c r="BOY1515" s="879"/>
      <c r="BOZ1515" s="879"/>
      <c r="BPA1515" s="879"/>
      <c r="BPB1515" s="879"/>
      <c r="BPC1515" s="879"/>
      <c r="BPD1515" s="879"/>
      <c r="BPE1515" s="879"/>
      <c r="BPF1515" s="879"/>
      <c r="BPG1515" s="879"/>
      <c r="BPH1515" s="879"/>
      <c r="BPI1515" s="879"/>
      <c r="BPJ1515" s="879"/>
      <c r="BPK1515" s="879"/>
      <c r="BPL1515" s="879"/>
      <c r="BPM1515" s="879"/>
      <c r="BPN1515" s="879"/>
      <c r="BPO1515" s="879"/>
      <c r="BPP1515" s="879"/>
      <c r="BPQ1515" s="879"/>
      <c r="BPR1515" s="879"/>
      <c r="BPS1515" s="879"/>
      <c r="BPT1515" s="879"/>
      <c r="BPU1515" s="879"/>
      <c r="BPV1515" s="879"/>
      <c r="BPW1515" s="879"/>
      <c r="BPX1515" s="879"/>
      <c r="BPY1515" s="879"/>
      <c r="BPZ1515" s="879"/>
      <c r="BQA1515" s="879"/>
      <c r="BQB1515" s="879"/>
      <c r="BQC1515" s="879"/>
      <c r="BQD1515" s="879"/>
      <c r="BQE1515" s="879"/>
      <c r="BQF1515" s="879"/>
      <c r="BQG1515" s="879"/>
      <c r="BQH1515" s="879"/>
      <c r="BQI1515" s="879"/>
      <c r="BQJ1515" s="879"/>
      <c r="BQK1515" s="879"/>
      <c r="BQL1515" s="879"/>
      <c r="BQM1515" s="879"/>
      <c r="BQN1515" s="879"/>
      <c r="BQO1515" s="879"/>
      <c r="BQP1515" s="879"/>
      <c r="BQQ1515" s="879"/>
      <c r="BQR1515" s="879"/>
      <c r="BQS1515" s="879"/>
      <c r="BQT1515" s="879"/>
      <c r="BQU1515" s="879"/>
      <c r="BQV1515" s="879"/>
      <c r="BQW1515" s="879"/>
      <c r="BQX1515" s="879"/>
      <c r="BQY1515" s="879"/>
      <c r="BQZ1515" s="879"/>
      <c r="BRA1515" s="879"/>
      <c r="BRB1515" s="879"/>
      <c r="BRC1515" s="879"/>
      <c r="BRD1515" s="879"/>
      <c r="BRE1515" s="879"/>
      <c r="BRF1515" s="879"/>
      <c r="BRG1515" s="879"/>
      <c r="BRH1515" s="879"/>
      <c r="BRI1515" s="879"/>
      <c r="BRJ1515" s="879"/>
      <c r="BRK1515" s="879"/>
      <c r="BRL1515" s="879"/>
      <c r="BRM1515" s="879"/>
      <c r="BRN1515" s="879"/>
      <c r="BRO1515" s="879"/>
      <c r="BRP1515" s="879"/>
      <c r="BRQ1515" s="879"/>
      <c r="BRR1515" s="879"/>
      <c r="BRS1515" s="879"/>
      <c r="BRT1515" s="879"/>
      <c r="BRU1515" s="879"/>
      <c r="BRV1515" s="879"/>
      <c r="BRW1515" s="879"/>
      <c r="BRX1515" s="879"/>
      <c r="BRY1515" s="879"/>
      <c r="BRZ1515" s="879"/>
      <c r="BSA1515" s="879"/>
      <c r="BSB1515" s="879"/>
      <c r="BSC1515" s="879"/>
      <c r="BSD1515" s="879"/>
      <c r="BSE1515" s="879"/>
      <c r="BSF1515" s="879"/>
      <c r="BSG1515" s="879"/>
      <c r="BSH1515" s="879"/>
      <c r="BSI1515" s="879"/>
      <c r="BSJ1515" s="879"/>
      <c r="BSK1515" s="879"/>
      <c r="BSL1515" s="879"/>
      <c r="BSM1515" s="879"/>
      <c r="BSN1515" s="879"/>
      <c r="BSO1515" s="879"/>
      <c r="BSP1515" s="879"/>
      <c r="BSQ1515" s="879"/>
      <c r="BSR1515" s="879"/>
      <c r="BSS1515" s="879"/>
      <c r="BST1515" s="879"/>
      <c r="BSU1515" s="879"/>
      <c r="BSV1515" s="879"/>
      <c r="BSW1515" s="879"/>
      <c r="BSX1515" s="879"/>
      <c r="BSY1515" s="879"/>
      <c r="BSZ1515" s="879"/>
      <c r="BTA1515" s="879"/>
      <c r="BTB1515" s="879"/>
      <c r="BTC1515" s="879"/>
      <c r="BTD1515" s="879"/>
      <c r="BTE1515" s="879"/>
      <c r="BTF1515" s="879"/>
      <c r="BTG1515" s="879"/>
      <c r="BTH1515" s="879"/>
      <c r="BTI1515" s="879"/>
      <c r="BTJ1515" s="879"/>
      <c r="BTK1515" s="879"/>
      <c r="BTL1515" s="879"/>
      <c r="BTM1515" s="879"/>
      <c r="BTN1515" s="879"/>
      <c r="BTO1515" s="879"/>
      <c r="BTP1515" s="879"/>
      <c r="BTQ1515" s="879"/>
      <c r="BTR1515" s="879"/>
      <c r="BTS1515" s="879"/>
      <c r="BTT1515" s="879"/>
      <c r="BTU1515" s="879"/>
      <c r="BTV1515" s="879"/>
      <c r="BTW1515" s="879"/>
      <c r="BTX1515" s="879"/>
      <c r="BTY1515" s="879"/>
      <c r="BTZ1515" s="879"/>
      <c r="BUA1515" s="879"/>
      <c r="BUB1515" s="879"/>
      <c r="BUC1515" s="879"/>
      <c r="BUD1515" s="879"/>
      <c r="BUE1515" s="879"/>
      <c r="BUF1515" s="879"/>
      <c r="BUG1515" s="879"/>
      <c r="BUH1515" s="879"/>
      <c r="BUI1515" s="879"/>
      <c r="BUJ1515" s="879"/>
      <c r="BUK1515" s="879"/>
      <c r="BUL1515" s="879"/>
      <c r="BUM1515" s="879"/>
      <c r="BUN1515" s="879"/>
      <c r="BUO1515" s="879"/>
      <c r="BUP1515" s="879"/>
      <c r="BUQ1515" s="879"/>
      <c r="BUR1515" s="879"/>
      <c r="BUS1515" s="879"/>
      <c r="BUT1515" s="879"/>
      <c r="BUU1515" s="879"/>
      <c r="BUV1515" s="879"/>
      <c r="BUW1515" s="879"/>
      <c r="BUX1515" s="879"/>
      <c r="BUY1515" s="879"/>
      <c r="BUZ1515" s="879"/>
      <c r="BVA1515" s="879"/>
      <c r="BVB1515" s="879"/>
      <c r="BVC1515" s="879"/>
      <c r="BVD1515" s="879"/>
      <c r="BVE1515" s="879"/>
      <c r="BVF1515" s="879"/>
      <c r="BVG1515" s="879"/>
      <c r="BVH1515" s="879"/>
      <c r="BVI1515" s="879"/>
      <c r="BVJ1515" s="879"/>
      <c r="BVK1515" s="879"/>
      <c r="BVL1515" s="879"/>
      <c r="BVM1515" s="879"/>
      <c r="BVN1515" s="879"/>
      <c r="BVO1515" s="879"/>
      <c r="BVP1515" s="879"/>
      <c r="BVQ1515" s="879"/>
      <c r="BVR1515" s="879"/>
      <c r="BVS1515" s="879"/>
      <c r="BVT1515" s="879"/>
      <c r="BVU1515" s="879"/>
      <c r="BVV1515" s="879"/>
      <c r="BVW1515" s="879"/>
      <c r="BVX1515" s="879"/>
      <c r="BVY1515" s="879"/>
      <c r="BVZ1515" s="879"/>
      <c r="BWA1515" s="879"/>
      <c r="BWB1515" s="879"/>
      <c r="BWC1515" s="879"/>
      <c r="BWD1515" s="879"/>
      <c r="BWE1515" s="879"/>
      <c r="BWF1515" s="879"/>
      <c r="BWG1515" s="879"/>
      <c r="BWH1515" s="879"/>
      <c r="BWI1515" s="879"/>
      <c r="BWJ1515" s="879"/>
      <c r="BWK1515" s="879"/>
      <c r="BWL1515" s="879"/>
      <c r="BWM1515" s="879"/>
      <c r="BWN1515" s="879"/>
      <c r="BWO1515" s="879"/>
      <c r="BWP1515" s="879"/>
      <c r="BWQ1515" s="879"/>
      <c r="BWR1515" s="879"/>
      <c r="BWS1515" s="879"/>
      <c r="BWT1515" s="879"/>
      <c r="BWU1515" s="879"/>
      <c r="BWV1515" s="879"/>
      <c r="BWW1515" s="879"/>
      <c r="BWX1515" s="879"/>
      <c r="BWY1515" s="879"/>
      <c r="BWZ1515" s="879"/>
      <c r="BXA1515" s="879"/>
      <c r="BXB1515" s="879"/>
      <c r="BXC1515" s="879"/>
      <c r="BXD1515" s="879"/>
      <c r="BXE1515" s="879"/>
      <c r="BXF1515" s="879"/>
      <c r="BXG1515" s="879"/>
      <c r="BXH1515" s="879"/>
      <c r="BXI1515" s="879"/>
      <c r="BXJ1515" s="879"/>
      <c r="BXK1515" s="879"/>
      <c r="BXL1515" s="879"/>
      <c r="BXM1515" s="879"/>
      <c r="BXN1515" s="879"/>
      <c r="BXO1515" s="879"/>
      <c r="BXP1515" s="879"/>
      <c r="BXQ1515" s="879"/>
      <c r="BXR1515" s="879"/>
      <c r="BXS1515" s="879"/>
      <c r="BXT1515" s="879"/>
      <c r="BXU1515" s="879"/>
      <c r="BXV1515" s="879"/>
      <c r="BXW1515" s="879"/>
      <c r="BXX1515" s="879"/>
      <c r="BXY1515" s="879"/>
      <c r="BXZ1515" s="879"/>
      <c r="BYA1515" s="879"/>
      <c r="BYB1515" s="879"/>
      <c r="BYC1515" s="879"/>
      <c r="BYD1515" s="879"/>
      <c r="BYE1515" s="879"/>
      <c r="BYF1515" s="879"/>
      <c r="BYG1515" s="879"/>
      <c r="BYH1515" s="879"/>
      <c r="BYI1515" s="879"/>
      <c r="BYJ1515" s="879"/>
      <c r="BYK1515" s="879"/>
      <c r="BYL1515" s="879"/>
      <c r="BYM1515" s="879"/>
      <c r="BYN1515" s="879"/>
      <c r="BYO1515" s="879"/>
      <c r="BYP1515" s="879"/>
      <c r="BYQ1515" s="879"/>
      <c r="BYR1515" s="879"/>
      <c r="BYS1515" s="879"/>
      <c r="BYT1515" s="879"/>
      <c r="BYU1515" s="879"/>
      <c r="BYV1515" s="879"/>
      <c r="BYW1515" s="879"/>
      <c r="BYX1515" s="879"/>
      <c r="BYY1515" s="879"/>
      <c r="BYZ1515" s="879"/>
      <c r="BZA1515" s="879"/>
      <c r="BZB1515" s="879"/>
      <c r="BZC1515" s="879"/>
      <c r="BZD1515" s="879"/>
      <c r="BZE1515" s="879"/>
      <c r="BZF1515" s="879"/>
      <c r="BZG1515" s="879"/>
      <c r="BZH1515" s="879"/>
      <c r="BZI1515" s="879"/>
      <c r="BZJ1515" s="879"/>
      <c r="BZK1515" s="879"/>
      <c r="BZL1515" s="879"/>
      <c r="BZM1515" s="879"/>
      <c r="BZN1515" s="879"/>
      <c r="BZO1515" s="879"/>
      <c r="BZP1515" s="879"/>
      <c r="BZQ1515" s="879"/>
      <c r="BZR1515" s="879"/>
      <c r="BZS1515" s="879"/>
      <c r="BZT1515" s="879"/>
      <c r="BZU1515" s="879"/>
      <c r="BZV1515" s="879"/>
      <c r="BZW1515" s="879"/>
      <c r="BZX1515" s="879"/>
      <c r="BZY1515" s="879"/>
      <c r="BZZ1515" s="879"/>
      <c r="CAA1515" s="879"/>
      <c r="CAB1515" s="879"/>
      <c r="CAC1515" s="879"/>
      <c r="CAD1515" s="879"/>
      <c r="CAE1515" s="879"/>
      <c r="CAF1515" s="879"/>
      <c r="CAG1515" s="879"/>
      <c r="CAH1515" s="879"/>
      <c r="CAI1515" s="879"/>
      <c r="CAJ1515" s="879"/>
      <c r="CAK1515" s="879"/>
      <c r="CAL1515" s="879"/>
      <c r="CAM1515" s="879"/>
      <c r="CAN1515" s="879"/>
      <c r="CAO1515" s="879"/>
      <c r="CAP1515" s="879"/>
      <c r="CAQ1515" s="879"/>
      <c r="CAR1515" s="879"/>
      <c r="CAS1515" s="879"/>
      <c r="CAT1515" s="879"/>
      <c r="CAU1515" s="879"/>
      <c r="CAV1515" s="879"/>
      <c r="CAW1515" s="879"/>
      <c r="CAX1515" s="879"/>
      <c r="CAY1515" s="879"/>
      <c r="CAZ1515" s="879"/>
      <c r="CBA1515" s="879"/>
      <c r="CBB1515" s="879"/>
      <c r="CBC1515" s="879"/>
      <c r="CBD1515" s="879"/>
      <c r="CBE1515" s="879"/>
      <c r="CBF1515" s="879"/>
      <c r="CBG1515" s="879"/>
      <c r="CBH1515" s="879"/>
      <c r="CBI1515" s="879"/>
      <c r="CBJ1515" s="879"/>
      <c r="CBK1515" s="879"/>
      <c r="CBL1515" s="879"/>
      <c r="CBM1515" s="879"/>
      <c r="CBN1515" s="879"/>
      <c r="CBO1515" s="879"/>
      <c r="CBP1515" s="879"/>
      <c r="CBQ1515" s="879"/>
      <c r="CBR1515" s="879"/>
      <c r="CBS1515" s="879"/>
      <c r="CBT1515" s="879"/>
      <c r="CBU1515" s="879"/>
      <c r="CBV1515" s="879"/>
      <c r="CBW1515" s="879"/>
      <c r="CBX1515" s="879"/>
      <c r="CBY1515" s="879"/>
      <c r="CBZ1515" s="879"/>
      <c r="CCA1515" s="879"/>
      <c r="CCB1515" s="879"/>
      <c r="CCC1515" s="879"/>
      <c r="CCD1515" s="879"/>
      <c r="CCE1515" s="879"/>
      <c r="CCF1515" s="879"/>
      <c r="CCG1515" s="879"/>
      <c r="CCH1515" s="879"/>
      <c r="CCI1515" s="879"/>
      <c r="CCJ1515" s="879"/>
      <c r="CCK1515" s="879"/>
      <c r="CCL1515" s="879"/>
      <c r="CCM1515" s="879"/>
      <c r="CCN1515" s="879"/>
      <c r="CCO1515" s="879"/>
      <c r="CCP1515" s="879"/>
      <c r="CCQ1515" s="879"/>
      <c r="CCR1515" s="879"/>
      <c r="CCS1515" s="879"/>
      <c r="CCT1515" s="879"/>
      <c r="CCU1515" s="879"/>
      <c r="CCV1515" s="879"/>
      <c r="CCW1515" s="879"/>
      <c r="CCX1515" s="879"/>
      <c r="CCY1515" s="879"/>
      <c r="CCZ1515" s="879"/>
      <c r="CDA1515" s="879"/>
      <c r="CDB1515" s="879"/>
      <c r="CDC1515" s="879"/>
      <c r="CDD1515" s="879"/>
      <c r="CDE1515" s="879"/>
      <c r="CDF1515" s="879"/>
      <c r="CDG1515" s="879"/>
      <c r="CDH1515" s="879"/>
      <c r="CDI1515" s="879"/>
      <c r="CDJ1515" s="879"/>
      <c r="CDK1515" s="879"/>
      <c r="CDL1515" s="879"/>
      <c r="CDM1515" s="879"/>
      <c r="CDN1515" s="879"/>
      <c r="CDO1515" s="879"/>
      <c r="CDP1515" s="879"/>
      <c r="CDQ1515" s="879"/>
      <c r="CDR1515" s="879"/>
      <c r="CDS1515" s="879"/>
      <c r="CDT1515" s="879"/>
      <c r="CDU1515" s="879"/>
      <c r="CDV1515" s="879"/>
      <c r="CDW1515" s="879"/>
      <c r="CDX1515" s="879"/>
      <c r="CDY1515" s="879"/>
      <c r="CDZ1515" s="879"/>
      <c r="CEA1515" s="879"/>
      <c r="CEB1515" s="879"/>
      <c r="CEC1515" s="879"/>
      <c r="CED1515" s="879"/>
      <c r="CEE1515" s="879"/>
      <c r="CEF1515" s="879"/>
      <c r="CEG1515" s="879"/>
      <c r="CEH1515" s="879"/>
      <c r="CEI1515" s="879"/>
      <c r="CEJ1515" s="879"/>
      <c r="CEK1515" s="879"/>
      <c r="CEL1515" s="879"/>
      <c r="CEM1515" s="879"/>
      <c r="CEN1515" s="879"/>
      <c r="CEO1515" s="879"/>
      <c r="CEP1515" s="879"/>
      <c r="CEQ1515" s="879"/>
      <c r="CER1515" s="879"/>
      <c r="CES1515" s="879"/>
      <c r="CET1515" s="879"/>
      <c r="CEU1515" s="879"/>
      <c r="CEV1515" s="879"/>
      <c r="CEW1515" s="879"/>
      <c r="CEX1515" s="879"/>
      <c r="CEY1515" s="879"/>
      <c r="CEZ1515" s="879"/>
      <c r="CFA1515" s="879"/>
      <c r="CFB1515" s="879"/>
      <c r="CFC1515" s="879"/>
      <c r="CFD1515" s="879"/>
      <c r="CFE1515" s="879"/>
      <c r="CFF1515" s="879"/>
      <c r="CFG1515" s="879"/>
      <c r="CFH1515" s="879"/>
      <c r="CFI1515" s="879"/>
      <c r="CFJ1515" s="879"/>
      <c r="CFK1515" s="879"/>
      <c r="CFL1515" s="879"/>
      <c r="CFM1515" s="879"/>
      <c r="CFN1515" s="879"/>
      <c r="CFO1515" s="879"/>
      <c r="CFP1515" s="879"/>
      <c r="CFQ1515" s="879"/>
      <c r="CFR1515" s="879"/>
      <c r="CFS1515" s="879"/>
      <c r="CFT1515" s="879"/>
      <c r="CFU1515" s="879"/>
      <c r="CFV1515" s="879"/>
      <c r="CFW1515" s="879"/>
      <c r="CFX1515" s="879"/>
      <c r="CFY1515" s="879"/>
      <c r="CFZ1515" s="879"/>
      <c r="CGA1515" s="879"/>
      <c r="CGB1515" s="879"/>
      <c r="CGC1515" s="879"/>
      <c r="CGD1515" s="879"/>
      <c r="CGE1515" s="879"/>
      <c r="CGF1515" s="879"/>
      <c r="CGG1515" s="879"/>
      <c r="CGH1515" s="879"/>
      <c r="CGI1515" s="879"/>
      <c r="CGJ1515" s="879"/>
      <c r="CGK1515" s="879"/>
      <c r="CGL1515" s="879"/>
      <c r="CGM1515" s="879"/>
      <c r="CGN1515" s="879"/>
      <c r="CGO1515" s="879"/>
      <c r="CGP1515" s="879"/>
      <c r="CGQ1515" s="879"/>
      <c r="CGR1515" s="879"/>
      <c r="CGS1515" s="879"/>
      <c r="CGT1515" s="879"/>
      <c r="CGU1515" s="879"/>
      <c r="CGV1515" s="879"/>
      <c r="CGW1515" s="879"/>
      <c r="CGX1515" s="879"/>
      <c r="CGY1515" s="879"/>
      <c r="CGZ1515" s="879"/>
      <c r="CHA1515" s="879"/>
      <c r="CHB1515" s="879"/>
      <c r="CHC1515" s="879"/>
      <c r="CHD1515" s="879"/>
      <c r="CHE1515" s="879"/>
      <c r="CHF1515" s="879"/>
      <c r="CHG1515" s="879"/>
      <c r="CHH1515" s="879"/>
      <c r="CHI1515" s="879"/>
      <c r="CHJ1515" s="879"/>
      <c r="CHK1515" s="879"/>
      <c r="CHL1515" s="879"/>
      <c r="CHM1515" s="879"/>
      <c r="CHN1515" s="879"/>
      <c r="CHO1515" s="879"/>
      <c r="CHP1515" s="879"/>
      <c r="CHQ1515" s="879"/>
      <c r="CHR1515" s="879"/>
      <c r="CHS1515" s="879"/>
      <c r="CHT1515" s="879"/>
      <c r="CHU1515" s="879"/>
      <c r="CHV1515" s="879"/>
      <c r="CHW1515" s="879"/>
      <c r="CHX1515" s="879"/>
      <c r="CHY1515" s="879"/>
      <c r="CHZ1515" s="879"/>
      <c r="CIA1515" s="879"/>
      <c r="CIB1515" s="879"/>
      <c r="CIC1515" s="879"/>
      <c r="CID1515" s="879"/>
      <c r="CIE1515" s="879"/>
      <c r="CIF1515" s="879"/>
      <c r="CIG1515" s="879"/>
      <c r="CIH1515" s="879"/>
      <c r="CII1515" s="879"/>
      <c r="CIJ1515" s="879"/>
      <c r="CIK1515" s="879"/>
      <c r="CIL1515" s="879"/>
      <c r="CIM1515" s="879"/>
      <c r="CIN1515" s="879"/>
      <c r="CIO1515" s="879"/>
      <c r="CIP1515" s="879"/>
      <c r="CIQ1515" s="879"/>
      <c r="CIR1515" s="879"/>
      <c r="CIS1515" s="879"/>
      <c r="CIT1515" s="879"/>
      <c r="CIU1515" s="879"/>
      <c r="CIV1515" s="879"/>
      <c r="CIW1515" s="879"/>
      <c r="CIX1515" s="879"/>
      <c r="CIY1515" s="879"/>
      <c r="CIZ1515" s="879"/>
      <c r="CJA1515" s="879"/>
      <c r="CJB1515" s="879"/>
      <c r="CJC1515" s="879"/>
      <c r="CJD1515" s="879"/>
      <c r="CJE1515" s="879"/>
      <c r="CJF1515" s="879"/>
      <c r="CJG1515" s="879"/>
      <c r="CJH1515" s="879"/>
      <c r="CJI1515" s="879"/>
      <c r="CJJ1515" s="879"/>
      <c r="CJK1515" s="879"/>
      <c r="CJL1515" s="879"/>
      <c r="CJM1515" s="879"/>
      <c r="CJN1515" s="879"/>
      <c r="CJO1515" s="879"/>
      <c r="CJP1515" s="879"/>
      <c r="CJQ1515" s="879"/>
      <c r="CJR1515" s="879"/>
      <c r="CJS1515" s="879"/>
      <c r="CJT1515" s="879"/>
      <c r="CJU1515" s="879"/>
      <c r="CJV1515" s="879"/>
      <c r="CJW1515" s="879"/>
      <c r="CJX1515" s="879"/>
      <c r="CJY1515" s="879"/>
      <c r="CJZ1515" s="879"/>
      <c r="CKA1515" s="879"/>
      <c r="CKB1515" s="879"/>
      <c r="CKC1515" s="879"/>
      <c r="CKD1515" s="879"/>
      <c r="CKE1515" s="879"/>
      <c r="CKF1515" s="879"/>
      <c r="CKG1515" s="879"/>
      <c r="CKH1515" s="879"/>
      <c r="CKI1515" s="879"/>
      <c r="CKJ1515" s="879"/>
      <c r="CKK1515" s="879"/>
      <c r="CKL1515" s="879"/>
      <c r="CKM1515" s="879"/>
      <c r="CKN1515" s="879"/>
      <c r="CKO1515" s="879"/>
      <c r="CKP1515" s="879"/>
      <c r="CKQ1515" s="879"/>
      <c r="CKR1515" s="879"/>
      <c r="CKS1515" s="879"/>
      <c r="CKT1515" s="879"/>
      <c r="CKU1515" s="879"/>
      <c r="CKV1515" s="879"/>
      <c r="CKW1515" s="879"/>
      <c r="CKX1515" s="879"/>
      <c r="CKY1515" s="879"/>
      <c r="CKZ1515" s="879"/>
      <c r="CLA1515" s="879"/>
      <c r="CLB1515" s="879"/>
      <c r="CLC1515" s="879"/>
      <c r="CLD1515" s="879"/>
      <c r="CLE1515" s="879"/>
      <c r="CLF1515" s="879"/>
      <c r="CLG1515" s="879"/>
      <c r="CLH1515" s="879"/>
      <c r="CLI1515" s="879"/>
      <c r="CLJ1515" s="879"/>
      <c r="CLK1515" s="879"/>
      <c r="CLL1515" s="879"/>
      <c r="CLM1515" s="879"/>
      <c r="CLN1515" s="879"/>
      <c r="CLO1515" s="879"/>
      <c r="CLP1515" s="879"/>
      <c r="CLQ1515" s="879"/>
      <c r="CLR1515" s="879"/>
      <c r="CLS1515" s="879"/>
      <c r="CLT1515" s="879"/>
      <c r="CLU1515" s="879"/>
      <c r="CLV1515" s="879"/>
      <c r="CLW1515" s="879"/>
      <c r="CLX1515" s="879"/>
      <c r="CLY1515" s="879"/>
      <c r="CLZ1515" s="879"/>
      <c r="CMA1515" s="879"/>
      <c r="CMB1515" s="879"/>
      <c r="CMC1515" s="879"/>
      <c r="CMD1515" s="879"/>
      <c r="CME1515" s="879"/>
      <c r="CMF1515" s="879"/>
      <c r="CMG1515" s="879"/>
      <c r="CMH1515" s="879"/>
      <c r="CMI1515" s="879"/>
      <c r="CMJ1515" s="879"/>
      <c r="CMK1515" s="879"/>
      <c r="CML1515" s="879"/>
      <c r="CMM1515" s="879"/>
      <c r="CMN1515" s="879"/>
      <c r="CMO1515" s="879"/>
      <c r="CMP1515" s="879"/>
      <c r="CMQ1515" s="879"/>
      <c r="CMR1515" s="879"/>
      <c r="CMS1515" s="879"/>
      <c r="CMT1515" s="879"/>
      <c r="CMU1515" s="879"/>
      <c r="CMV1515" s="879"/>
      <c r="CMW1515" s="879"/>
      <c r="CMX1515" s="879"/>
      <c r="CMY1515" s="879"/>
      <c r="CMZ1515" s="879"/>
      <c r="CNA1515" s="879"/>
      <c r="CNB1515" s="879"/>
      <c r="CNC1515" s="879"/>
      <c r="CND1515" s="879"/>
      <c r="CNE1515" s="879"/>
      <c r="CNF1515" s="879"/>
      <c r="CNG1515" s="879"/>
      <c r="CNH1515" s="879"/>
      <c r="CNI1515" s="879"/>
      <c r="CNJ1515" s="879"/>
      <c r="CNK1515" s="879"/>
      <c r="CNL1515" s="879"/>
      <c r="CNM1515" s="879"/>
      <c r="CNN1515" s="879"/>
      <c r="CNO1515" s="879"/>
      <c r="CNP1515" s="879"/>
      <c r="CNQ1515" s="879"/>
      <c r="CNR1515" s="879"/>
      <c r="CNS1515" s="879"/>
      <c r="CNT1515" s="879"/>
      <c r="CNU1515" s="879"/>
      <c r="CNV1515" s="879"/>
      <c r="CNW1515" s="879"/>
      <c r="CNX1515" s="879"/>
      <c r="CNY1515" s="879"/>
      <c r="CNZ1515" s="879"/>
      <c r="COA1515" s="879"/>
      <c r="COB1515" s="879"/>
      <c r="COC1515" s="879"/>
      <c r="COD1515" s="879"/>
      <c r="COE1515" s="879"/>
      <c r="COF1515" s="879"/>
      <c r="COG1515" s="879"/>
      <c r="COH1515" s="879"/>
      <c r="COI1515" s="879"/>
      <c r="COJ1515" s="879"/>
      <c r="COK1515" s="879"/>
      <c r="COL1515" s="879"/>
      <c r="COM1515" s="879"/>
      <c r="CON1515" s="879"/>
      <c r="COO1515" s="879"/>
      <c r="COP1515" s="879"/>
      <c r="COQ1515" s="879"/>
      <c r="COR1515" s="879"/>
      <c r="COS1515" s="879"/>
      <c r="COT1515" s="879"/>
      <c r="COU1515" s="879"/>
      <c r="COV1515" s="879"/>
      <c r="COW1515" s="879"/>
      <c r="COX1515" s="879"/>
      <c r="COY1515" s="879"/>
      <c r="COZ1515" s="879"/>
      <c r="CPA1515" s="879"/>
      <c r="CPB1515" s="879"/>
      <c r="CPC1515" s="879"/>
      <c r="CPD1515" s="879"/>
      <c r="CPE1515" s="879"/>
      <c r="CPF1515" s="879"/>
      <c r="CPG1515" s="879"/>
      <c r="CPH1515" s="879"/>
      <c r="CPI1515" s="879"/>
      <c r="CPJ1515" s="879"/>
      <c r="CPK1515" s="879"/>
      <c r="CPL1515" s="879"/>
      <c r="CPM1515" s="879"/>
      <c r="CPN1515" s="879"/>
      <c r="CPO1515" s="879"/>
      <c r="CPP1515" s="879"/>
      <c r="CPQ1515" s="879"/>
      <c r="CPR1515" s="879"/>
      <c r="CPS1515" s="879"/>
      <c r="CPT1515" s="879"/>
      <c r="CPU1515" s="879"/>
      <c r="CPV1515" s="879"/>
      <c r="CPW1515" s="879"/>
      <c r="CPX1515" s="879"/>
      <c r="CPY1515" s="879"/>
      <c r="CPZ1515" s="879"/>
      <c r="CQA1515" s="879"/>
      <c r="CQB1515" s="879"/>
      <c r="CQC1515" s="879"/>
      <c r="CQD1515" s="879"/>
      <c r="CQE1515" s="879"/>
      <c r="CQF1515" s="879"/>
      <c r="CQG1515" s="879"/>
      <c r="CQH1515" s="879"/>
      <c r="CQI1515" s="879"/>
      <c r="CQJ1515" s="879"/>
      <c r="CQK1515" s="879"/>
      <c r="CQL1515" s="879"/>
      <c r="CQM1515" s="879"/>
      <c r="CQN1515" s="879"/>
      <c r="CQO1515" s="879"/>
      <c r="CQP1515" s="879"/>
      <c r="CQQ1515" s="879"/>
      <c r="CQR1515" s="879"/>
      <c r="CQS1515" s="879"/>
      <c r="CQT1515" s="879"/>
      <c r="CQU1515" s="879"/>
      <c r="CQV1515" s="879"/>
      <c r="CQW1515" s="879"/>
      <c r="CQX1515" s="879"/>
      <c r="CQY1515" s="879"/>
      <c r="CQZ1515" s="879"/>
      <c r="CRA1515" s="879"/>
      <c r="CRB1515" s="879"/>
      <c r="CRC1515" s="879"/>
      <c r="CRD1515" s="879"/>
      <c r="CRE1515" s="879"/>
      <c r="CRF1515" s="879"/>
      <c r="CRG1515" s="879"/>
      <c r="CRH1515" s="879"/>
      <c r="CRI1515" s="879"/>
      <c r="CRJ1515" s="879"/>
      <c r="CRK1515" s="879"/>
      <c r="CRL1515" s="879"/>
      <c r="CRM1515" s="879"/>
      <c r="CRN1515" s="879"/>
      <c r="CRO1515" s="879"/>
      <c r="CRP1515" s="879"/>
      <c r="CRQ1515" s="879"/>
      <c r="CRR1515" s="879"/>
      <c r="CRS1515" s="879"/>
      <c r="CRT1515" s="879"/>
      <c r="CRU1515" s="879"/>
      <c r="CRV1515" s="879"/>
      <c r="CRW1515" s="879"/>
      <c r="CRX1515" s="879"/>
      <c r="CRY1515" s="879"/>
      <c r="CRZ1515" s="879"/>
      <c r="CSA1515" s="879"/>
      <c r="CSB1515" s="879"/>
      <c r="CSC1515" s="879"/>
      <c r="CSD1515" s="879"/>
      <c r="CSE1515" s="879"/>
      <c r="CSF1515" s="879"/>
      <c r="CSG1515" s="879"/>
      <c r="CSH1515" s="879"/>
      <c r="CSI1515" s="879"/>
      <c r="CSJ1515" s="879"/>
      <c r="CSK1515" s="879"/>
      <c r="CSL1515" s="879"/>
      <c r="CSM1515" s="879"/>
      <c r="CSN1515" s="879"/>
      <c r="CSO1515" s="879"/>
      <c r="CSP1515" s="879"/>
      <c r="CSQ1515" s="879"/>
      <c r="CSR1515" s="879"/>
      <c r="CSS1515" s="879"/>
      <c r="CST1515" s="879"/>
      <c r="CSU1515" s="879"/>
      <c r="CSV1515" s="879"/>
      <c r="CSW1515" s="879"/>
      <c r="CSX1515" s="879"/>
      <c r="CSY1515" s="879"/>
      <c r="CSZ1515" s="879"/>
      <c r="CTA1515" s="879"/>
      <c r="CTB1515" s="879"/>
      <c r="CTC1515" s="879"/>
      <c r="CTD1515" s="879"/>
      <c r="CTE1515" s="879"/>
      <c r="CTF1515" s="879"/>
      <c r="CTG1515" s="879"/>
      <c r="CTH1515" s="879"/>
      <c r="CTI1515" s="879"/>
      <c r="CTJ1515" s="879"/>
      <c r="CTK1515" s="879"/>
      <c r="CTL1515" s="879"/>
      <c r="CTM1515" s="879"/>
      <c r="CTN1515" s="879"/>
      <c r="CTO1515" s="879"/>
      <c r="CTP1515" s="879"/>
      <c r="CTQ1515" s="879"/>
      <c r="CTR1515" s="879"/>
      <c r="CTS1515" s="879"/>
      <c r="CTT1515" s="879"/>
      <c r="CTU1515" s="879"/>
      <c r="CTV1515" s="879"/>
      <c r="CTW1515" s="879"/>
      <c r="CTX1515" s="879"/>
      <c r="CTY1515" s="879"/>
      <c r="CTZ1515" s="879"/>
      <c r="CUA1515" s="879"/>
      <c r="CUB1515" s="879"/>
      <c r="CUC1515" s="879"/>
      <c r="CUD1515" s="879"/>
      <c r="CUE1515" s="879"/>
      <c r="CUF1515" s="879"/>
      <c r="CUG1515" s="879"/>
      <c r="CUH1515" s="879"/>
      <c r="CUI1515" s="879"/>
      <c r="CUJ1515" s="879"/>
      <c r="CUK1515" s="879"/>
      <c r="CUL1515" s="879"/>
      <c r="CUM1515" s="879"/>
      <c r="CUN1515" s="879"/>
      <c r="CUO1515" s="879"/>
      <c r="CUP1515" s="879"/>
      <c r="CUQ1515" s="879"/>
      <c r="CUR1515" s="879"/>
      <c r="CUS1515" s="879"/>
      <c r="CUT1515" s="879"/>
      <c r="CUU1515" s="879"/>
      <c r="CUV1515" s="879"/>
      <c r="CUW1515" s="879"/>
      <c r="CUX1515" s="879"/>
      <c r="CUY1515" s="879"/>
      <c r="CUZ1515" s="879"/>
      <c r="CVA1515" s="879"/>
      <c r="CVB1515" s="879"/>
      <c r="CVC1515" s="879"/>
      <c r="CVD1515" s="879"/>
      <c r="CVE1515" s="879"/>
      <c r="CVF1515" s="879"/>
      <c r="CVG1515" s="879"/>
      <c r="CVH1515" s="879"/>
      <c r="CVI1515" s="879"/>
      <c r="CVJ1515" s="879"/>
      <c r="CVK1515" s="879"/>
      <c r="CVL1515" s="879"/>
      <c r="CVM1515" s="879"/>
      <c r="CVN1515" s="879"/>
      <c r="CVO1515" s="879"/>
      <c r="CVP1515" s="879"/>
      <c r="CVQ1515" s="879"/>
      <c r="CVR1515" s="879"/>
      <c r="CVS1515" s="879"/>
      <c r="CVT1515" s="879"/>
      <c r="CVU1515" s="879"/>
      <c r="CVV1515" s="879"/>
      <c r="CVW1515" s="879"/>
      <c r="CVX1515" s="879"/>
      <c r="CVY1515" s="879"/>
      <c r="CVZ1515" s="879"/>
      <c r="CWA1515" s="879"/>
      <c r="CWB1515" s="879"/>
      <c r="CWC1515" s="879"/>
      <c r="CWD1515" s="879"/>
      <c r="CWE1515" s="879"/>
      <c r="CWF1515" s="879"/>
      <c r="CWG1515" s="879"/>
      <c r="CWH1515" s="879"/>
      <c r="CWI1515" s="879"/>
      <c r="CWJ1515" s="879"/>
      <c r="CWK1515" s="879"/>
      <c r="CWL1515" s="879"/>
      <c r="CWM1515" s="879"/>
      <c r="CWN1515" s="879"/>
      <c r="CWO1515" s="879"/>
      <c r="CWP1515" s="879"/>
      <c r="CWQ1515" s="879"/>
      <c r="CWR1515" s="879"/>
      <c r="CWS1515" s="879"/>
      <c r="CWT1515" s="879"/>
      <c r="CWU1515" s="879"/>
      <c r="CWV1515" s="879"/>
      <c r="CWW1515" s="879"/>
      <c r="CWX1515" s="879"/>
      <c r="CWY1515" s="879"/>
      <c r="CWZ1515" s="879"/>
      <c r="CXA1515" s="879"/>
      <c r="CXB1515" s="879"/>
      <c r="CXC1515" s="879"/>
      <c r="CXD1515" s="879"/>
      <c r="CXE1515" s="879"/>
      <c r="CXF1515" s="879"/>
      <c r="CXG1515" s="879"/>
      <c r="CXH1515" s="879"/>
      <c r="CXI1515" s="879"/>
      <c r="CXJ1515" s="879"/>
      <c r="CXK1515" s="879"/>
      <c r="CXL1515" s="879"/>
      <c r="CXM1515" s="879"/>
      <c r="CXN1515" s="879"/>
      <c r="CXO1515" s="879"/>
      <c r="CXP1515" s="879"/>
      <c r="CXQ1515" s="879"/>
      <c r="CXR1515" s="879"/>
      <c r="CXS1515" s="879"/>
      <c r="CXT1515" s="879"/>
      <c r="CXU1515" s="879"/>
      <c r="CXV1515" s="879"/>
      <c r="CXW1515" s="879"/>
      <c r="CXX1515" s="879"/>
      <c r="CXY1515" s="879"/>
      <c r="CXZ1515" s="879"/>
      <c r="CYA1515" s="879"/>
      <c r="CYB1515" s="879"/>
      <c r="CYC1515" s="879"/>
      <c r="CYD1515" s="879"/>
      <c r="CYE1515" s="879"/>
      <c r="CYF1515" s="879"/>
      <c r="CYG1515" s="879"/>
      <c r="CYH1515" s="879"/>
      <c r="CYI1515" s="879"/>
      <c r="CYJ1515" s="879"/>
      <c r="CYK1515" s="879"/>
      <c r="CYL1515" s="879"/>
      <c r="CYM1515" s="879"/>
      <c r="CYN1515" s="879"/>
      <c r="CYO1515" s="879"/>
      <c r="CYP1515" s="879"/>
      <c r="CYQ1515" s="879"/>
      <c r="CYR1515" s="879"/>
      <c r="CYS1515" s="879"/>
      <c r="CYT1515" s="879"/>
      <c r="CYU1515" s="879"/>
      <c r="CYV1515" s="879"/>
      <c r="CYW1515" s="879"/>
      <c r="CYX1515" s="879"/>
      <c r="CYY1515" s="879"/>
      <c r="CYZ1515" s="879"/>
      <c r="CZA1515" s="879"/>
      <c r="CZB1515" s="879"/>
      <c r="CZC1515" s="879"/>
      <c r="CZD1515" s="879"/>
      <c r="CZE1515" s="879"/>
      <c r="CZF1515" s="879"/>
      <c r="CZG1515" s="879"/>
      <c r="CZH1515" s="879"/>
      <c r="CZI1515" s="879"/>
      <c r="CZJ1515" s="879"/>
      <c r="CZK1515" s="879"/>
      <c r="CZL1515" s="879"/>
      <c r="CZM1515" s="879"/>
      <c r="CZN1515" s="879"/>
      <c r="CZO1515" s="879"/>
      <c r="CZP1515" s="879"/>
      <c r="CZQ1515" s="879"/>
      <c r="CZR1515" s="879"/>
      <c r="CZS1515" s="879"/>
      <c r="CZT1515" s="879"/>
      <c r="CZU1515" s="879"/>
      <c r="CZV1515" s="879"/>
      <c r="CZW1515" s="879"/>
      <c r="CZX1515" s="879"/>
      <c r="CZY1515" s="879"/>
      <c r="CZZ1515" s="879"/>
      <c r="DAA1515" s="879"/>
      <c r="DAB1515" s="879"/>
      <c r="DAC1515" s="879"/>
      <c r="DAD1515" s="879"/>
      <c r="DAE1515" s="879"/>
      <c r="DAF1515" s="879"/>
      <c r="DAG1515" s="879"/>
      <c r="DAH1515" s="879"/>
      <c r="DAI1515" s="879"/>
      <c r="DAJ1515" s="879"/>
      <c r="DAK1515" s="879"/>
      <c r="DAL1515" s="879"/>
      <c r="DAM1515" s="879"/>
      <c r="DAN1515" s="879"/>
      <c r="DAO1515" s="879"/>
      <c r="DAP1515" s="879"/>
      <c r="DAQ1515" s="879"/>
      <c r="DAR1515" s="879"/>
      <c r="DAS1515" s="879"/>
      <c r="DAT1515" s="879"/>
      <c r="DAU1515" s="879"/>
      <c r="DAV1515" s="879"/>
      <c r="DAW1515" s="879"/>
      <c r="DAX1515" s="879"/>
      <c r="DAY1515" s="879"/>
      <c r="DAZ1515" s="879"/>
      <c r="DBA1515" s="879"/>
      <c r="DBB1515" s="879"/>
      <c r="DBC1515" s="879"/>
      <c r="DBD1515" s="879"/>
      <c r="DBE1515" s="879"/>
      <c r="DBF1515" s="879"/>
      <c r="DBG1515" s="879"/>
      <c r="DBH1515" s="879"/>
      <c r="DBI1515" s="879"/>
      <c r="DBJ1515" s="879"/>
      <c r="DBK1515" s="879"/>
      <c r="DBL1515" s="879"/>
      <c r="DBM1515" s="879"/>
      <c r="DBN1515" s="879"/>
      <c r="DBO1515" s="879"/>
      <c r="DBP1515" s="879"/>
      <c r="DBQ1515" s="879"/>
      <c r="DBR1515" s="879"/>
      <c r="DBS1515" s="879"/>
      <c r="DBT1515" s="879"/>
      <c r="DBU1515" s="879"/>
      <c r="DBV1515" s="879"/>
      <c r="DBW1515" s="879"/>
      <c r="DBX1515" s="879"/>
      <c r="DBY1515" s="879"/>
      <c r="DBZ1515" s="879"/>
      <c r="DCA1515" s="879"/>
      <c r="DCB1515" s="879"/>
      <c r="DCC1515" s="879"/>
      <c r="DCD1515" s="879"/>
      <c r="DCE1515" s="879"/>
      <c r="DCF1515" s="879"/>
      <c r="DCG1515" s="879"/>
      <c r="DCH1515" s="879"/>
      <c r="DCI1515" s="879"/>
      <c r="DCJ1515" s="879"/>
      <c r="DCK1515" s="879"/>
      <c r="DCL1515" s="879"/>
      <c r="DCM1515" s="879"/>
      <c r="DCN1515" s="879"/>
      <c r="DCO1515" s="879"/>
      <c r="DCP1515" s="879"/>
      <c r="DCQ1515" s="879"/>
      <c r="DCR1515" s="879"/>
      <c r="DCS1515" s="879"/>
      <c r="DCT1515" s="879"/>
      <c r="DCU1515" s="879"/>
      <c r="DCV1515" s="879"/>
      <c r="DCW1515" s="879"/>
      <c r="DCX1515" s="879"/>
      <c r="DCY1515" s="879"/>
      <c r="DCZ1515" s="879"/>
      <c r="DDA1515" s="879"/>
      <c r="DDB1515" s="879"/>
      <c r="DDC1515" s="879"/>
      <c r="DDD1515" s="879"/>
      <c r="DDE1515" s="879"/>
      <c r="DDF1515" s="879"/>
      <c r="DDG1515" s="879"/>
      <c r="DDH1515" s="879"/>
      <c r="DDI1515" s="879"/>
      <c r="DDJ1515" s="879"/>
      <c r="DDK1515" s="879"/>
      <c r="DDL1515" s="879"/>
      <c r="DDM1515" s="879"/>
      <c r="DDN1515" s="879"/>
      <c r="DDO1515" s="879"/>
      <c r="DDP1515" s="879"/>
      <c r="DDQ1515" s="879"/>
      <c r="DDR1515" s="879"/>
      <c r="DDS1515" s="879"/>
      <c r="DDT1515" s="879"/>
      <c r="DDU1515" s="879"/>
      <c r="DDV1515" s="879"/>
      <c r="DDW1515" s="879"/>
      <c r="DDX1515" s="879"/>
      <c r="DDY1515" s="879"/>
      <c r="DDZ1515" s="879"/>
      <c r="DEA1515" s="879"/>
      <c r="DEB1515" s="879"/>
      <c r="DEC1515" s="879"/>
      <c r="DED1515" s="879"/>
      <c r="DEE1515" s="879"/>
      <c r="DEF1515" s="879"/>
      <c r="DEG1515" s="879"/>
      <c r="DEH1515" s="879"/>
      <c r="DEI1515" s="879"/>
      <c r="DEJ1515" s="879"/>
      <c r="DEK1515" s="879"/>
      <c r="DEL1515" s="879"/>
      <c r="DEM1515" s="879"/>
      <c r="DEN1515" s="879"/>
      <c r="DEO1515" s="879"/>
      <c r="DEP1515" s="879"/>
      <c r="DEQ1515" s="879"/>
      <c r="DER1515" s="879"/>
      <c r="DES1515" s="879"/>
      <c r="DET1515" s="879"/>
      <c r="DEU1515" s="879"/>
      <c r="DEV1515" s="879"/>
      <c r="DEW1515" s="879"/>
      <c r="DEX1515" s="879"/>
      <c r="DEY1515" s="879"/>
      <c r="DEZ1515" s="879"/>
      <c r="DFA1515" s="879"/>
      <c r="DFB1515" s="879"/>
      <c r="DFC1515" s="879"/>
      <c r="DFD1515" s="879"/>
      <c r="DFE1515" s="879"/>
      <c r="DFF1515" s="879"/>
      <c r="DFG1515" s="879"/>
      <c r="DFH1515" s="879"/>
      <c r="DFI1515" s="879"/>
      <c r="DFJ1515" s="879"/>
      <c r="DFK1515" s="879"/>
      <c r="DFL1515" s="879"/>
      <c r="DFM1515" s="879"/>
      <c r="DFN1515" s="879"/>
      <c r="DFO1515" s="879"/>
      <c r="DFP1515" s="879"/>
      <c r="DFQ1515" s="879"/>
      <c r="DFR1515" s="879"/>
      <c r="DFS1515" s="879"/>
      <c r="DFT1515" s="879"/>
      <c r="DFU1515" s="879"/>
      <c r="DFV1515" s="879"/>
      <c r="DFW1515" s="879"/>
      <c r="DFX1515" s="879"/>
      <c r="DFY1515" s="879"/>
      <c r="DFZ1515" s="879"/>
      <c r="DGA1515" s="879"/>
      <c r="DGB1515" s="879"/>
      <c r="DGC1515" s="879"/>
      <c r="DGD1515" s="879"/>
      <c r="DGE1515" s="879"/>
      <c r="DGF1515" s="879"/>
      <c r="DGG1515" s="879"/>
      <c r="DGH1515" s="879"/>
      <c r="DGI1515" s="879"/>
      <c r="DGJ1515" s="879"/>
      <c r="DGK1515" s="879"/>
      <c r="DGL1515" s="879"/>
      <c r="DGM1515" s="879"/>
      <c r="DGN1515" s="879"/>
      <c r="DGO1515" s="879"/>
      <c r="DGP1515" s="879"/>
      <c r="DGQ1515" s="879"/>
      <c r="DGR1515" s="879"/>
      <c r="DGS1515" s="879"/>
      <c r="DGT1515" s="879"/>
      <c r="DGU1515" s="879"/>
      <c r="DGV1515" s="879"/>
      <c r="DGW1515" s="879"/>
      <c r="DGX1515" s="879"/>
      <c r="DGY1515" s="879"/>
      <c r="DGZ1515" s="879"/>
      <c r="DHA1515" s="879"/>
      <c r="DHB1515" s="879"/>
      <c r="DHC1515" s="879"/>
      <c r="DHD1515" s="879"/>
      <c r="DHE1515" s="879"/>
      <c r="DHF1515" s="879"/>
      <c r="DHG1515" s="879"/>
      <c r="DHH1515" s="879"/>
      <c r="DHI1515" s="879"/>
      <c r="DHJ1515" s="879"/>
      <c r="DHK1515" s="879"/>
      <c r="DHL1515" s="879"/>
      <c r="DHM1515" s="879"/>
      <c r="DHN1515" s="879"/>
      <c r="DHO1515" s="879"/>
      <c r="DHP1515" s="879"/>
      <c r="DHQ1515" s="879"/>
      <c r="DHR1515" s="879"/>
      <c r="DHS1515" s="879"/>
      <c r="DHT1515" s="879"/>
      <c r="DHU1515" s="879"/>
      <c r="DHV1515" s="879"/>
      <c r="DHW1515" s="879"/>
      <c r="DHX1515" s="879"/>
      <c r="DHY1515" s="879"/>
      <c r="DHZ1515" s="879"/>
      <c r="DIA1515" s="879"/>
      <c r="DIB1515" s="879"/>
      <c r="DIC1515" s="879"/>
      <c r="DID1515" s="879"/>
      <c r="DIE1515" s="879"/>
      <c r="DIF1515" s="879"/>
      <c r="DIG1515" s="879"/>
      <c r="DIH1515" s="879"/>
      <c r="DII1515" s="879"/>
      <c r="DIJ1515" s="879"/>
      <c r="DIK1515" s="879"/>
      <c r="DIL1515" s="879"/>
      <c r="DIM1515" s="879"/>
      <c r="DIN1515" s="879"/>
      <c r="DIO1515" s="879"/>
      <c r="DIP1515" s="879"/>
      <c r="DIQ1515" s="879"/>
      <c r="DIR1515" s="879"/>
      <c r="DIS1515" s="879"/>
      <c r="DIT1515" s="879"/>
      <c r="DIU1515" s="879"/>
      <c r="DIV1515" s="879"/>
      <c r="DIW1515" s="879"/>
      <c r="DIX1515" s="879"/>
      <c r="DIY1515" s="879"/>
      <c r="DIZ1515" s="879"/>
      <c r="DJA1515" s="879"/>
      <c r="DJB1515" s="879"/>
      <c r="DJC1515" s="879"/>
      <c r="DJD1515" s="879"/>
      <c r="DJE1515" s="879"/>
      <c r="DJF1515" s="879"/>
      <c r="DJG1515" s="879"/>
      <c r="DJH1515" s="879"/>
      <c r="DJI1515" s="879"/>
      <c r="DJJ1515" s="879"/>
      <c r="DJK1515" s="879"/>
      <c r="DJL1515" s="879"/>
      <c r="DJM1515" s="879"/>
      <c r="DJN1515" s="879"/>
      <c r="DJO1515" s="879"/>
      <c r="DJP1515" s="879"/>
      <c r="DJQ1515" s="879"/>
      <c r="DJR1515" s="879"/>
      <c r="DJS1515" s="879"/>
      <c r="DJT1515" s="879"/>
      <c r="DJU1515" s="879"/>
      <c r="DJV1515" s="879"/>
      <c r="DJW1515" s="879"/>
      <c r="DJX1515" s="879"/>
      <c r="DJY1515" s="879"/>
      <c r="DJZ1515" s="879"/>
      <c r="DKA1515" s="879"/>
      <c r="DKB1515" s="879"/>
      <c r="DKC1515" s="879"/>
      <c r="DKD1515" s="879"/>
      <c r="DKE1515" s="879"/>
      <c r="DKF1515" s="879"/>
      <c r="DKG1515" s="879"/>
      <c r="DKH1515" s="879"/>
      <c r="DKI1515" s="879"/>
      <c r="DKJ1515" s="879"/>
      <c r="DKK1515" s="879"/>
      <c r="DKL1515" s="879"/>
      <c r="DKM1515" s="879"/>
      <c r="DKN1515" s="879"/>
      <c r="DKO1515" s="879"/>
      <c r="DKP1515" s="879"/>
      <c r="DKQ1515" s="879"/>
      <c r="DKR1515" s="879"/>
      <c r="DKS1515" s="879"/>
      <c r="DKT1515" s="879"/>
      <c r="DKU1515" s="879"/>
      <c r="DKV1515" s="879"/>
      <c r="DKW1515" s="879"/>
      <c r="DKX1515" s="879"/>
      <c r="DKY1515" s="879"/>
      <c r="DKZ1515" s="879"/>
      <c r="DLA1515" s="879"/>
      <c r="DLB1515" s="879"/>
      <c r="DLC1515" s="879"/>
      <c r="DLD1515" s="879"/>
      <c r="DLE1515" s="879"/>
      <c r="DLF1515" s="879"/>
      <c r="DLG1515" s="879"/>
      <c r="DLH1515" s="879"/>
      <c r="DLI1515" s="879"/>
      <c r="DLJ1515" s="879"/>
      <c r="DLK1515" s="879"/>
      <c r="DLL1515" s="879"/>
      <c r="DLM1515" s="879"/>
      <c r="DLN1515" s="879"/>
      <c r="DLO1515" s="879"/>
      <c r="DLP1515" s="879"/>
      <c r="DLQ1515" s="879"/>
      <c r="DLR1515" s="879"/>
      <c r="DLS1515" s="879"/>
      <c r="DLT1515" s="879"/>
      <c r="DLU1515" s="879"/>
      <c r="DLV1515" s="879"/>
      <c r="DLW1515" s="879"/>
      <c r="DLX1515" s="879"/>
      <c r="DLY1515" s="879"/>
      <c r="DLZ1515" s="879"/>
      <c r="DMA1515" s="879"/>
      <c r="DMB1515" s="879"/>
      <c r="DMC1515" s="879"/>
      <c r="DMD1515" s="879"/>
      <c r="DME1515" s="879"/>
      <c r="DMF1515" s="879"/>
      <c r="DMG1515" s="879"/>
      <c r="DMH1515" s="879"/>
      <c r="DMI1515" s="879"/>
      <c r="DMJ1515" s="879"/>
      <c r="DMK1515" s="879"/>
      <c r="DML1515" s="879"/>
      <c r="DMM1515" s="879"/>
      <c r="DMN1515" s="879"/>
      <c r="DMO1515" s="879"/>
      <c r="DMP1515" s="879"/>
      <c r="DMQ1515" s="879"/>
      <c r="DMR1515" s="879"/>
      <c r="DMS1515" s="879"/>
      <c r="DMT1515" s="879"/>
      <c r="DMU1515" s="879"/>
      <c r="DMV1515" s="879"/>
      <c r="DMW1515" s="879"/>
      <c r="DMX1515" s="879"/>
      <c r="DMY1515" s="879"/>
      <c r="DMZ1515" s="879"/>
      <c r="DNA1515" s="879"/>
      <c r="DNB1515" s="879"/>
      <c r="DNC1515" s="879"/>
      <c r="DND1515" s="879"/>
      <c r="DNE1515" s="879"/>
      <c r="DNF1515" s="879"/>
      <c r="DNG1515" s="879"/>
      <c r="DNH1515" s="879"/>
      <c r="DNI1515" s="879"/>
      <c r="DNJ1515" s="879"/>
      <c r="DNK1515" s="879"/>
      <c r="DNL1515" s="879"/>
      <c r="DNM1515" s="879"/>
      <c r="DNN1515" s="879"/>
      <c r="DNO1515" s="879"/>
      <c r="DNP1515" s="879"/>
      <c r="DNQ1515" s="879"/>
      <c r="DNR1515" s="879"/>
      <c r="DNS1515" s="879"/>
      <c r="DNT1515" s="879"/>
      <c r="DNU1515" s="879"/>
      <c r="DNV1515" s="879"/>
      <c r="DNW1515" s="879"/>
      <c r="DNX1515" s="879"/>
      <c r="DNY1515" s="879"/>
      <c r="DNZ1515" s="879"/>
      <c r="DOA1515" s="879"/>
      <c r="DOB1515" s="879"/>
      <c r="DOC1515" s="879"/>
      <c r="DOD1515" s="879"/>
      <c r="DOE1515" s="879"/>
      <c r="DOF1515" s="879"/>
      <c r="DOG1515" s="879"/>
      <c r="DOH1515" s="879"/>
      <c r="DOI1515" s="879"/>
      <c r="DOJ1515" s="879"/>
      <c r="DOK1515" s="879"/>
      <c r="DOL1515" s="879"/>
      <c r="DOM1515" s="879"/>
      <c r="DON1515" s="879"/>
      <c r="DOO1515" s="879"/>
      <c r="DOP1515" s="879"/>
      <c r="DOQ1515" s="879"/>
      <c r="DOR1515" s="879"/>
      <c r="DOS1515" s="879"/>
      <c r="DOT1515" s="879"/>
      <c r="DOU1515" s="879"/>
      <c r="DOV1515" s="879"/>
      <c r="DOW1515" s="879"/>
      <c r="DOX1515" s="879"/>
      <c r="DOY1515" s="879"/>
      <c r="DOZ1515" s="879"/>
      <c r="DPA1515" s="879"/>
      <c r="DPB1515" s="879"/>
      <c r="DPC1515" s="879"/>
      <c r="DPD1515" s="879"/>
      <c r="DPE1515" s="879"/>
      <c r="DPF1515" s="879"/>
      <c r="DPG1515" s="879"/>
      <c r="DPH1515" s="879"/>
      <c r="DPI1515" s="879"/>
      <c r="DPJ1515" s="879"/>
      <c r="DPK1515" s="879"/>
      <c r="DPL1515" s="879"/>
      <c r="DPM1515" s="879"/>
      <c r="DPN1515" s="879"/>
      <c r="DPO1515" s="879"/>
      <c r="DPP1515" s="879"/>
      <c r="DPQ1515" s="879"/>
      <c r="DPR1515" s="879"/>
      <c r="DPS1515" s="879"/>
      <c r="DPT1515" s="879"/>
      <c r="DPU1515" s="879"/>
      <c r="DPV1515" s="879"/>
      <c r="DPW1515" s="879"/>
      <c r="DPX1515" s="879"/>
      <c r="DPY1515" s="879"/>
      <c r="DPZ1515" s="879"/>
      <c r="DQA1515" s="879"/>
      <c r="DQB1515" s="879"/>
      <c r="DQC1515" s="879"/>
      <c r="DQD1515" s="879"/>
      <c r="DQE1515" s="879"/>
      <c r="DQF1515" s="879"/>
      <c r="DQG1515" s="879"/>
      <c r="DQH1515" s="879"/>
      <c r="DQI1515" s="879"/>
      <c r="DQJ1515" s="879"/>
      <c r="DQK1515" s="879"/>
      <c r="DQL1515" s="879"/>
      <c r="DQM1515" s="879"/>
      <c r="DQN1515" s="879"/>
      <c r="DQO1515" s="879"/>
      <c r="DQP1515" s="879"/>
      <c r="DQQ1515" s="879"/>
      <c r="DQR1515" s="879"/>
      <c r="DQS1515" s="879"/>
      <c r="DQT1515" s="879"/>
      <c r="DQU1515" s="879"/>
      <c r="DQV1515" s="879"/>
      <c r="DQW1515" s="879"/>
      <c r="DQX1515" s="879"/>
      <c r="DQY1515" s="879"/>
      <c r="DQZ1515" s="879"/>
      <c r="DRA1515" s="879"/>
      <c r="DRB1515" s="879"/>
      <c r="DRC1515" s="879"/>
      <c r="DRD1515" s="879"/>
      <c r="DRE1515" s="879"/>
      <c r="DRF1515" s="879"/>
      <c r="DRG1515" s="879"/>
      <c r="DRH1515" s="879"/>
      <c r="DRI1515" s="879"/>
      <c r="DRJ1515" s="879"/>
      <c r="DRK1515" s="879"/>
      <c r="DRL1515" s="879"/>
      <c r="DRM1515" s="879"/>
      <c r="DRN1515" s="879"/>
      <c r="DRO1515" s="879"/>
      <c r="DRP1515" s="879"/>
      <c r="DRQ1515" s="879"/>
      <c r="DRR1515" s="879"/>
      <c r="DRS1515" s="879"/>
      <c r="DRT1515" s="879"/>
      <c r="DRU1515" s="879"/>
      <c r="DRV1515" s="879"/>
      <c r="DRW1515" s="879"/>
      <c r="DRX1515" s="879"/>
      <c r="DRY1515" s="879"/>
      <c r="DRZ1515" s="879"/>
      <c r="DSA1515" s="879"/>
      <c r="DSB1515" s="879"/>
      <c r="DSC1515" s="879"/>
      <c r="DSD1515" s="879"/>
      <c r="DSE1515" s="879"/>
      <c r="DSF1515" s="879"/>
      <c r="DSG1515" s="879"/>
      <c r="DSH1515" s="879"/>
      <c r="DSI1515" s="879"/>
      <c r="DSJ1515" s="879"/>
      <c r="DSK1515" s="879"/>
      <c r="DSL1515" s="879"/>
      <c r="DSM1515" s="879"/>
      <c r="DSN1515" s="879"/>
      <c r="DSO1515" s="879"/>
      <c r="DSP1515" s="879"/>
      <c r="DSQ1515" s="879"/>
      <c r="DSR1515" s="879"/>
      <c r="DSS1515" s="879"/>
      <c r="DST1515" s="879"/>
      <c r="DSU1515" s="879"/>
      <c r="DSV1515" s="879"/>
      <c r="DSW1515" s="879"/>
      <c r="DSX1515" s="879"/>
      <c r="DSY1515" s="879"/>
      <c r="DSZ1515" s="879"/>
      <c r="DTA1515" s="879"/>
      <c r="DTB1515" s="879"/>
      <c r="DTC1515" s="879"/>
      <c r="DTD1515" s="879"/>
      <c r="DTE1515" s="879"/>
      <c r="DTF1515" s="879"/>
      <c r="DTG1515" s="879"/>
      <c r="DTH1515" s="879"/>
      <c r="DTI1515" s="879"/>
      <c r="DTJ1515" s="879"/>
      <c r="DTK1515" s="879"/>
      <c r="DTL1515" s="879"/>
      <c r="DTM1515" s="879"/>
      <c r="DTN1515" s="879"/>
      <c r="DTO1515" s="879"/>
      <c r="DTP1515" s="879"/>
      <c r="DTQ1515" s="879"/>
      <c r="DTR1515" s="879"/>
      <c r="DTS1515" s="879"/>
      <c r="DTT1515" s="879"/>
      <c r="DTU1515" s="879"/>
      <c r="DTV1515" s="879"/>
      <c r="DTW1515" s="879"/>
      <c r="DTX1515" s="879"/>
      <c r="DTY1515" s="879"/>
      <c r="DTZ1515" s="879"/>
      <c r="DUA1515" s="879"/>
      <c r="DUB1515" s="879"/>
      <c r="DUC1515" s="879"/>
      <c r="DUD1515" s="879"/>
      <c r="DUE1515" s="879"/>
      <c r="DUF1515" s="879"/>
      <c r="DUG1515" s="879"/>
      <c r="DUH1515" s="879"/>
      <c r="DUI1515" s="879"/>
      <c r="DUJ1515" s="879"/>
      <c r="DUK1515" s="879"/>
      <c r="DUL1515" s="879"/>
      <c r="DUM1515" s="879"/>
      <c r="DUN1515" s="879"/>
      <c r="DUO1515" s="879"/>
      <c r="DUP1515" s="879"/>
      <c r="DUQ1515" s="879"/>
      <c r="DUR1515" s="879"/>
      <c r="DUS1515" s="879"/>
      <c r="DUT1515" s="879"/>
      <c r="DUU1515" s="879"/>
      <c r="DUV1515" s="879"/>
      <c r="DUW1515" s="879"/>
      <c r="DUX1515" s="879"/>
      <c r="DUY1515" s="879"/>
      <c r="DUZ1515" s="879"/>
      <c r="DVA1515" s="879"/>
      <c r="DVB1515" s="879"/>
      <c r="DVC1515" s="879"/>
      <c r="DVD1515" s="879"/>
      <c r="DVE1515" s="879"/>
      <c r="DVF1515" s="879"/>
      <c r="DVG1515" s="879"/>
      <c r="DVH1515" s="879"/>
      <c r="DVI1515" s="879"/>
      <c r="DVJ1515" s="879"/>
      <c r="DVK1515" s="879"/>
      <c r="DVL1515" s="879"/>
      <c r="DVM1515" s="879"/>
      <c r="DVN1515" s="879"/>
      <c r="DVO1515" s="879"/>
      <c r="DVP1515" s="879"/>
      <c r="DVQ1515" s="879"/>
      <c r="DVR1515" s="879"/>
      <c r="DVS1515" s="879"/>
      <c r="DVT1515" s="879"/>
      <c r="DVU1515" s="879"/>
      <c r="DVV1515" s="879"/>
      <c r="DVW1515" s="879"/>
      <c r="DVX1515" s="879"/>
      <c r="DVY1515" s="879"/>
      <c r="DVZ1515" s="879"/>
      <c r="DWA1515" s="879"/>
      <c r="DWB1515" s="879"/>
      <c r="DWC1515" s="879"/>
      <c r="DWD1515" s="879"/>
      <c r="DWE1515" s="879"/>
      <c r="DWF1515" s="879"/>
      <c r="DWG1515" s="879"/>
      <c r="DWH1515" s="879"/>
      <c r="DWI1515" s="879"/>
      <c r="DWJ1515" s="879"/>
      <c r="DWK1515" s="879"/>
      <c r="DWL1515" s="879"/>
      <c r="DWM1515" s="879"/>
      <c r="DWN1515" s="879"/>
      <c r="DWO1515" s="879"/>
      <c r="DWP1515" s="879"/>
      <c r="DWQ1515" s="879"/>
      <c r="DWR1515" s="879"/>
      <c r="DWS1515" s="879"/>
      <c r="DWT1515" s="879"/>
      <c r="DWU1515" s="879"/>
      <c r="DWV1515" s="879"/>
      <c r="DWW1515" s="879"/>
      <c r="DWX1515" s="879"/>
      <c r="DWY1515" s="879"/>
      <c r="DWZ1515" s="879"/>
      <c r="DXA1515" s="879"/>
      <c r="DXB1515" s="879"/>
      <c r="DXC1515" s="879"/>
      <c r="DXD1515" s="879"/>
      <c r="DXE1515" s="879"/>
      <c r="DXF1515" s="879"/>
      <c r="DXG1515" s="879"/>
      <c r="DXH1515" s="879"/>
      <c r="DXI1515" s="879"/>
      <c r="DXJ1515" s="879"/>
      <c r="DXK1515" s="879"/>
      <c r="DXL1515" s="879"/>
      <c r="DXM1515" s="879"/>
      <c r="DXN1515" s="879"/>
      <c r="DXO1515" s="879"/>
      <c r="DXP1515" s="879"/>
      <c r="DXQ1515" s="879"/>
      <c r="DXR1515" s="879"/>
      <c r="DXS1515" s="879"/>
      <c r="DXT1515" s="879"/>
      <c r="DXU1515" s="879"/>
      <c r="DXV1515" s="879"/>
      <c r="DXW1515" s="879"/>
      <c r="DXX1515" s="879"/>
      <c r="DXY1515" s="879"/>
      <c r="DXZ1515" s="879"/>
      <c r="DYA1515" s="879"/>
      <c r="DYB1515" s="879"/>
      <c r="DYC1515" s="879"/>
      <c r="DYD1515" s="879"/>
      <c r="DYE1515" s="879"/>
      <c r="DYF1515" s="879"/>
      <c r="DYG1515" s="879"/>
      <c r="DYH1515" s="879"/>
      <c r="DYI1515" s="879"/>
      <c r="DYJ1515" s="879"/>
      <c r="DYK1515" s="879"/>
      <c r="DYL1515" s="879"/>
      <c r="DYM1515" s="879"/>
      <c r="DYN1515" s="879"/>
      <c r="DYO1515" s="879"/>
      <c r="DYP1515" s="879"/>
      <c r="DYQ1515" s="879"/>
      <c r="DYR1515" s="879"/>
      <c r="DYS1515" s="879"/>
      <c r="DYT1515" s="879"/>
      <c r="DYU1515" s="879"/>
      <c r="DYV1515" s="879"/>
      <c r="DYW1515" s="879"/>
      <c r="DYX1515" s="879"/>
      <c r="DYY1515" s="879"/>
      <c r="DYZ1515" s="879"/>
      <c r="DZA1515" s="879"/>
      <c r="DZB1515" s="879"/>
      <c r="DZC1515" s="879"/>
      <c r="DZD1515" s="879"/>
      <c r="DZE1515" s="879"/>
      <c r="DZF1515" s="879"/>
      <c r="DZG1515" s="879"/>
      <c r="DZH1515" s="879"/>
      <c r="DZI1515" s="879"/>
      <c r="DZJ1515" s="879"/>
      <c r="DZK1515" s="879"/>
      <c r="DZL1515" s="879"/>
      <c r="DZM1515" s="879"/>
      <c r="DZN1515" s="879"/>
      <c r="DZO1515" s="879"/>
      <c r="DZP1515" s="879"/>
      <c r="DZQ1515" s="879"/>
      <c r="DZR1515" s="879"/>
      <c r="DZS1515" s="879"/>
      <c r="DZT1515" s="879"/>
      <c r="DZU1515" s="879"/>
      <c r="DZV1515" s="879"/>
      <c r="DZW1515" s="879"/>
      <c r="DZX1515" s="879"/>
      <c r="DZY1515" s="879"/>
      <c r="DZZ1515" s="879"/>
      <c r="EAA1515" s="879"/>
      <c r="EAB1515" s="879"/>
      <c r="EAC1515" s="879"/>
      <c r="EAD1515" s="879"/>
      <c r="EAE1515" s="879"/>
      <c r="EAF1515" s="879"/>
      <c r="EAG1515" s="879"/>
      <c r="EAH1515" s="879"/>
      <c r="EAI1515" s="879"/>
      <c r="EAJ1515" s="879"/>
      <c r="EAK1515" s="879"/>
      <c r="EAL1515" s="879"/>
      <c r="EAM1515" s="879"/>
      <c r="EAN1515" s="879"/>
      <c r="EAO1515" s="879"/>
      <c r="EAP1515" s="879"/>
      <c r="EAQ1515" s="879"/>
      <c r="EAR1515" s="879"/>
      <c r="EAS1515" s="879"/>
      <c r="EAT1515" s="879"/>
      <c r="EAU1515" s="879"/>
      <c r="EAV1515" s="879"/>
      <c r="EAW1515" s="879"/>
      <c r="EAX1515" s="879"/>
      <c r="EAY1515" s="879"/>
      <c r="EAZ1515" s="879"/>
      <c r="EBA1515" s="879"/>
      <c r="EBB1515" s="879"/>
      <c r="EBC1515" s="879"/>
      <c r="EBD1515" s="879"/>
      <c r="EBE1515" s="879"/>
      <c r="EBF1515" s="879"/>
      <c r="EBG1515" s="879"/>
      <c r="EBH1515" s="879"/>
      <c r="EBI1515" s="879"/>
      <c r="EBJ1515" s="879"/>
      <c r="EBK1515" s="879"/>
      <c r="EBL1515" s="879"/>
      <c r="EBM1515" s="879"/>
      <c r="EBN1515" s="879"/>
      <c r="EBO1515" s="879"/>
      <c r="EBP1515" s="879"/>
      <c r="EBQ1515" s="879"/>
      <c r="EBR1515" s="879"/>
      <c r="EBS1515" s="879"/>
      <c r="EBT1515" s="879"/>
      <c r="EBU1515" s="879"/>
      <c r="EBV1515" s="879"/>
      <c r="EBW1515" s="879"/>
      <c r="EBX1515" s="879"/>
      <c r="EBY1515" s="879"/>
      <c r="EBZ1515" s="879"/>
      <c r="ECA1515" s="879"/>
      <c r="ECB1515" s="879"/>
      <c r="ECC1515" s="879"/>
      <c r="ECD1515" s="879"/>
      <c r="ECE1515" s="879"/>
      <c r="ECF1515" s="879"/>
      <c r="ECG1515" s="879"/>
      <c r="ECH1515" s="879"/>
      <c r="ECI1515" s="879"/>
      <c r="ECJ1515" s="879"/>
      <c r="ECK1515" s="879"/>
      <c r="ECL1515" s="879"/>
      <c r="ECM1515" s="879"/>
      <c r="ECN1515" s="879"/>
      <c r="ECO1515" s="879"/>
      <c r="ECP1515" s="879"/>
      <c r="ECQ1515" s="879"/>
      <c r="ECR1515" s="879"/>
      <c r="ECS1515" s="879"/>
      <c r="ECT1515" s="879"/>
      <c r="ECU1515" s="879"/>
      <c r="ECV1515" s="879"/>
      <c r="ECW1515" s="879"/>
      <c r="ECX1515" s="879"/>
      <c r="ECY1515" s="879"/>
      <c r="ECZ1515" s="879"/>
      <c r="EDA1515" s="879"/>
      <c r="EDB1515" s="879"/>
      <c r="EDC1515" s="879"/>
      <c r="EDD1515" s="879"/>
      <c r="EDE1515" s="879"/>
      <c r="EDF1515" s="879"/>
      <c r="EDG1515" s="879"/>
      <c r="EDH1515" s="879"/>
      <c r="EDI1515" s="879"/>
      <c r="EDJ1515" s="879"/>
      <c r="EDK1515" s="879"/>
      <c r="EDL1515" s="879"/>
      <c r="EDM1515" s="879"/>
      <c r="EDN1515" s="879"/>
      <c r="EDO1515" s="879"/>
      <c r="EDP1515" s="879"/>
      <c r="EDQ1515" s="879"/>
      <c r="EDR1515" s="879"/>
      <c r="EDS1515" s="879"/>
      <c r="EDT1515" s="879"/>
      <c r="EDU1515" s="879"/>
      <c r="EDV1515" s="879"/>
      <c r="EDW1515" s="879"/>
      <c r="EDX1515" s="879"/>
      <c r="EDY1515" s="879"/>
      <c r="EDZ1515" s="879"/>
      <c r="EEA1515" s="879"/>
      <c r="EEB1515" s="879"/>
      <c r="EEC1515" s="879"/>
      <c r="EED1515" s="879"/>
      <c r="EEE1515" s="879"/>
      <c r="EEF1515" s="879"/>
      <c r="EEG1515" s="879"/>
      <c r="EEH1515" s="879"/>
      <c r="EEI1515" s="879"/>
      <c r="EEJ1515" s="879"/>
      <c r="EEK1515" s="879"/>
      <c r="EEL1515" s="879"/>
      <c r="EEM1515" s="879"/>
      <c r="EEN1515" s="879"/>
      <c r="EEO1515" s="879"/>
      <c r="EEP1515" s="879"/>
      <c r="EEQ1515" s="879"/>
      <c r="EER1515" s="879"/>
      <c r="EES1515" s="879"/>
      <c r="EET1515" s="879"/>
      <c r="EEU1515" s="879"/>
      <c r="EEV1515" s="879"/>
      <c r="EEW1515" s="879"/>
      <c r="EEX1515" s="879"/>
      <c r="EEY1515" s="879"/>
      <c r="EEZ1515" s="879"/>
      <c r="EFA1515" s="879"/>
      <c r="EFB1515" s="879"/>
      <c r="EFC1515" s="879"/>
      <c r="EFD1515" s="879"/>
      <c r="EFE1515" s="879"/>
      <c r="EFF1515" s="879"/>
      <c r="EFG1515" s="879"/>
      <c r="EFH1515" s="879"/>
      <c r="EFI1515" s="879"/>
      <c r="EFJ1515" s="879"/>
      <c r="EFK1515" s="879"/>
      <c r="EFL1515" s="879"/>
      <c r="EFM1515" s="879"/>
      <c r="EFN1515" s="879"/>
      <c r="EFO1515" s="879"/>
      <c r="EFP1515" s="879"/>
      <c r="EFQ1515" s="879"/>
      <c r="EFR1515" s="879"/>
      <c r="EFS1515" s="879"/>
      <c r="EFT1515" s="879"/>
      <c r="EFU1515" s="879"/>
      <c r="EFV1515" s="879"/>
      <c r="EFW1515" s="879"/>
      <c r="EFX1515" s="879"/>
      <c r="EFY1515" s="879"/>
      <c r="EFZ1515" s="879"/>
      <c r="EGA1515" s="879"/>
      <c r="EGB1515" s="879"/>
      <c r="EGC1515" s="879"/>
      <c r="EGD1515" s="879"/>
      <c r="EGE1515" s="879"/>
      <c r="EGF1515" s="879"/>
      <c r="EGG1515" s="879"/>
      <c r="EGH1515" s="879"/>
      <c r="EGI1515" s="879"/>
      <c r="EGJ1515" s="879"/>
      <c r="EGK1515" s="879"/>
      <c r="EGL1515" s="879"/>
      <c r="EGM1515" s="879"/>
      <c r="EGN1515" s="879"/>
      <c r="EGO1515" s="879"/>
      <c r="EGP1515" s="879"/>
      <c r="EGQ1515" s="879"/>
      <c r="EGR1515" s="879"/>
      <c r="EGS1515" s="879"/>
      <c r="EGT1515" s="879"/>
      <c r="EGU1515" s="879"/>
      <c r="EGV1515" s="879"/>
      <c r="EGW1515" s="879"/>
      <c r="EGX1515" s="879"/>
      <c r="EGY1515" s="879"/>
      <c r="EGZ1515" s="879"/>
      <c r="EHA1515" s="879"/>
      <c r="EHB1515" s="879"/>
      <c r="EHC1515" s="879"/>
      <c r="EHD1515" s="879"/>
      <c r="EHE1515" s="879"/>
      <c r="EHF1515" s="879"/>
      <c r="EHG1515" s="879"/>
      <c r="EHH1515" s="879"/>
      <c r="EHI1515" s="879"/>
      <c r="EHJ1515" s="879"/>
      <c r="EHK1515" s="879"/>
      <c r="EHL1515" s="879"/>
      <c r="EHM1515" s="879"/>
      <c r="EHN1515" s="879"/>
      <c r="EHO1515" s="879"/>
      <c r="EHP1515" s="879"/>
      <c r="EHQ1515" s="879"/>
      <c r="EHR1515" s="879"/>
      <c r="EHS1515" s="879"/>
      <c r="EHT1515" s="879"/>
      <c r="EHU1515" s="879"/>
      <c r="EHV1515" s="879"/>
      <c r="EHW1515" s="879"/>
      <c r="EHX1515" s="879"/>
      <c r="EHY1515" s="879"/>
      <c r="EHZ1515" s="879"/>
      <c r="EIA1515" s="879"/>
      <c r="EIB1515" s="879"/>
      <c r="EIC1515" s="879"/>
      <c r="EID1515" s="879"/>
      <c r="EIE1515" s="879"/>
      <c r="EIF1515" s="879"/>
      <c r="EIG1515" s="879"/>
      <c r="EIH1515" s="879"/>
      <c r="EII1515" s="879"/>
      <c r="EIJ1515" s="879"/>
      <c r="EIK1515" s="879"/>
      <c r="EIL1515" s="879"/>
      <c r="EIM1515" s="879"/>
      <c r="EIN1515" s="879"/>
      <c r="EIO1515" s="879"/>
      <c r="EIP1515" s="879"/>
      <c r="EIQ1515" s="879"/>
      <c r="EIR1515" s="879"/>
      <c r="EIS1515" s="879"/>
      <c r="EIT1515" s="879"/>
      <c r="EIU1515" s="879"/>
      <c r="EIV1515" s="879"/>
      <c r="EIW1515" s="879"/>
      <c r="EIX1515" s="879"/>
      <c r="EIY1515" s="879"/>
      <c r="EIZ1515" s="879"/>
      <c r="EJA1515" s="879"/>
      <c r="EJB1515" s="879"/>
      <c r="EJC1515" s="879"/>
      <c r="EJD1515" s="879"/>
      <c r="EJE1515" s="879"/>
      <c r="EJF1515" s="879"/>
      <c r="EJG1515" s="879"/>
      <c r="EJH1515" s="879"/>
      <c r="EJI1515" s="879"/>
      <c r="EJJ1515" s="879"/>
      <c r="EJK1515" s="879"/>
      <c r="EJL1515" s="879"/>
      <c r="EJM1515" s="879"/>
      <c r="EJN1515" s="879"/>
      <c r="EJO1515" s="879"/>
      <c r="EJP1515" s="879"/>
      <c r="EJQ1515" s="879"/>
      <c r="EJR1515" s="879"/>
      <c r="EJS1515" s="879"/>
      <c r="EJT1515" s="879"/>
      <c r="EJU1515" s="879"/>
      <c r="EJV1515" s="879"/>
      <c r="EJW1515" s="879"/>
      <c r="EJX1515" s="879"/>
      <c r="EJY1515" s="879"/>
      <c r="EJZ1515" s="879"/>
      <c r="EKA1515" s="879"/>
      <c r="EKB1515" s="879"/>
      <c r="EKC1515" s="879"/>
      <c r="EKD1515" s="879"/>
      <c r="EKE1515" s="879"/>
      <c r="EKF1515" s="879"/>
      <c r="EKG1515" s="879"/>
      <c r="EKH1515" s="879"/>
      <c r="EKI1515" s="879"/>
      <c r="EKJ1515" s="879"/>
      <c r="EKK1515" s="879"/>
      <c r="EKL1515" s="879"/>
      <c r="EKM1515" s="879"/>
      <c r="EKN1515" s="879"/>
      <c r="EKO1515" s="879"/>
      <c r="EKP1515" s="879"/>
      <c r="EKQ1515" s="879"/>
      <c r="EKR1515" s="879"/>
      <c r="EKS1515" s="879"/>
      <c r="EKT1515" s="879"/>
      <c r="EKU1515" s="879"/>
      <c r="EKV1515" s="879"/>
      <c r="EKW1515" s="879"/>
      <c r="EKX1515" s="879"/>
      <c r="EKY1515" s="879"/>
      <c r="EKZ1515" s="879"/>
      <c r="ELA1515" s="879"/>
      <c r="ELB1515" s="879"/>
      <c r="ELC1515" s="879"/>
      <c r="ELD1515" s="879"/>
      <c r="ELE1515" s="879"/>
      <c r="ELF1515" s="879"/>
      <c r="ELG1515" s="879"/>
      <c r="ELH1515" s="879"/>
      <c r="ELI1515" s="879"/>
      <c r="ELJ1515" s="879"/>
      <c r="ELK1515" s="879"/>
      <c r="ELL1515" s="879"/>
      <c r="ELM1515" s="879"/>
      <c r="ELN1515" s="879"/>
      <c r="ELO1515" s="879"/>
      <c r="ELP1515" s="879"/>
      <c r="ELQ1515" s="879"/>
      <c r="ELR1515" s="879"/>
      <c r="ELS1515" s="879"/>
      <c r="ELT1515" s="879"/>
      <c r="ELU1515" s="879"/>
      <c r="ELV1515" s="879"/>
      <c r="ELW1515" s="879"/>
      <c r="ELX1515" s="879"/>
      <c r="ELY1515" s="879"/>
      <c r="ELZ1515" s="879"/>
      <c r="EMA1515" s="879"/>
      <c r="EMB1515" s="879"/>
      <c r="EMC1515" s="879"/>
      <c r="EMD1515" s="879"/>
      <c r="EME1515" s="879"/>
      <c r="EMF1515" s="879"/>
      <c r="EMG1515" s="879"/>
      <c r="EMH1515" s="879"/>
      <c r="EMI1515" s="879"/>
      <c r="EMJ1515" s="879"/>
      <c r="EMK1515" s="879"/>
      <c r="EML1515" s="879"/>
      <c r="EMM1515" s="879"/>
      <c r="EMN1515" s="879"/>
      <c r="EMO1515" s="879"/>
      <c r="EMP1515" s="879"/>
      <c r="EMQ1515" s="879"/>
      <c r="EMR1515" s="879"/>
      <c r="EMS1515" s="879"/>
      <c r="EMT1515" s="879"/>
      <c r="EMU1515" s="879"/>
      <c r="EMV1515" s="879"/>
      <c r="EMW1515" s="879"/>
      <c r="EMX1515" s="879"/>
      <c r="EMY1515" s="879"/>
      <c r="EMZ1515" s="879"/>
      <c r="ENA1515" s="879"/>
      <c r="ENB1515" s="879"/>
      <c r="ENC1515" s="879"/>
      <c r="END1515" s="879"/>
      <c r="ENE1515" s="879"/>
      <c r="ENF1515" s="879"/>
      <c r="ENG1515" s="879"/>
      <c r="ENH1515" s="879"/>
      <c r="ENI1515" s="879"/>
      <c r="ENJ1515" s="879"/>
      <c r="ENK1515" s="879"/>
      <c r="ENL1515" s="879"/>
      <c r="ENM1515" s="879"/>
      <c r="ENN1515" s="879"/>
      <c r="ENO1515" s="879"/>
      <c r="ENP1515" s="879"/>
      <c r="ENQ1515" s="879"/>
      <c r="ENR1515" s="879"/>
      <c r="ENS1515" s="879"/>
      <c r="ENT1515" s="879"/>
      <c r="ENU1515" s="879"/>
      <c r="ENV1515" s="879"/>
      <c r="ENW1515" s="879"/>
      <c r="ENX1515" s="879"/>
      <c r="ENY1515" s="879"/>
      <c r="ENZ1515" s="879"/>
      <c r="EOA1515" s="879"/>
      <c r="EOB1515" s="879"/>
      <c r="EOC1515" s="879"/>
      <c r="EOD1515" s="879"/>
      <c r="EOE1515" s="879"/>
      <c r="EOF1515" s="879"/>
      <c r="EOG1515" s="879"/>
      <c r="EOH1515" s="879"/>
      <c r="EOI1515" s="879"/>
      <c r="EOJ1515" s="879"/>
      <c r="EOK1515" s="879"/>
      <c r="EOL1515" s="879"/>
      <c r="EOM1515" s="879"/>
      <c r="EON1515" s="879"/>
      <c r="EOO1515" s="879"/>
      <c r="EOP1515" s="879"/>
      <c r="EOQ1515" s="879"/>
      <c r="EOR1515" s="879"/>
      <c r="EOS1515" s="879"/>
      <c r="EOT1515" s="879"/>
      <c r="EOU1515" s="879"/>
      <c r="EOV1515" s="879"/>
      <c r="EOW1515" s="879"/>
      <c r="EOX1515" s="879"/>
      <c r="EOY1515" s="879"/>
      <c r="EOZ1515" s="879"/>
      <c r="EPA1515" s="879"/>
      <c r="EPB1515" s="879"/>
      <c r="EPC1515" s="879"/>
      <c r="EPD1515" s="879"/>
      <c r="EPE1515" s="879"/>
      <c r="EPF1515" s="879"/>
      <c r="EPG1515" s="879"/>
      <c r="EPH1515" s="879"/>
      <c r="EPI1515" s="879"/>
      <c r="EPJ1515" s="879"/>
      <c r="EPK1515" s="879"/>
      <c r="EPL1515" s="879"/>
      <c r="EPM1515" s="879"/>
      <c r="EPN1515" s="879"/>
      <c r="EPO1515" s="879"/>
      <c r="EPP1515" s="879"/>
      <c r="EPQ1515" s="879"/>
      <c r="EPR1515" s="879"/>
      <c r="EPS1515" s="879"/>
      <c r="EPT1515" s="879"/>
      <c r="EPU1515" s="879"/>
      <c r="EPV1515" s="879"/>
      <c r="EPW1515" s="879"/>
      <c r="EPX1515" s="879"/>
      <c r="EPY1515" s="879"/>
      <c r="EPZ1515" s="879"/>
      <c r="EQA1515" s="879"/>
      <c r="EQB1515" s="879"/>
      <c r="EQC1515" s="879"/>
      <c r="EQD1515" s="879"/>
      <c r="EQE1515" s="879"/>
      <c r="EQF1515" s="879"/>
      <c r="EQG1515" s="879"/>
      <c r="EQH1515" s="879"/>
      <c r="EQI1515" s="879"/>
      <c r="EQJ1515" s="879"/>
      <c r="EQK1515" s="879"/>
      <c r="EQL1515" s="879"/>
      <c r="EQM1515" s="879"/>
      <c r="EQN1515" s="879"/>
      <c r="EQO1515" s="879"/>
      <c r="EQP1515" s="879"/>
      <c r="EQQ1515" s="879"/>
      <c r="EQR1515" s="879"/>
      <c r="EQS1515" s="879"/>
      <c r="EQT1515" s="879"/>
      <c r="EQU1515" s="879"/>
      <c r="EQV1515" s="879"/>
      <c r="EQW1515" s="879"/>
      <c r="EQX1515" s="879"/>
      <c r="EQY1515" s="879"/>
      <c r="EQZ1515" s="879"/>
      <c r="ERA1515" s="879"/>
      <c r="ERB1515" s="879"/>
      <c r="ERC1515" s="879"/>
      <c r="ERD1515" s="879"/>
      <c r="ERE1515" s="879"/>
      <c r="ERF1515" s="879"/>
      <c r="ERG1515" s="879"/>
      <c r="ERH1515" s="879"/>
      <c r="ERI1515" s="879"/>
      <c r="ERJ1515" s="879"/>
      <c r="ERK1515" s="879"/>
      <c r="ERL1515" s="879"/>
      <c r="ERM1515" s="879"/>
      <c r="ERN1515" s="879"/>
      <c r="ERO1515" s="879"/>
      <c r="ERP1515" s="879"/>
      <c r="ERQ1515" s="879"/>
      <c r="ERR1515" s="879"/>
      <c r="ERS1515" s="879"/>
      <c r="ERT1515" s="879"/>
      <c r="ERU1515" s="879"/>
      <c r="ERV1515" s="879"/>
      <c r="ERW1515" s="879"/>
      <c r="ERX1515" s="879"/>
      <c r="ERY1515" s="879"/>
      <c r="ERZ1515" s="879"/>
      <c r="ESA1515" s="879"/>
      <c r="ESB1515" s="879"/>
      <c r="ESC1515" s="879"/>
      <c r="ESD1515" s="879"/>
      <c r="ESE1515" s="879"/>
      <c r="ESF1515" s="879"/>
      <c r="ESG1515" s="879"/>
      <c r="ESH1515" s="879"/>
      <c r="ESI1515" s="879"/>
      <c r="ESJ1515" s="879"/>
      <c r="ESK1515" s="879"/>
      <c r="ESL1515" s="879"/>
      <c r="ESM1515" s="879"/>
      <c r="ESN1515" s="879"/>
      <c r="ESO1515" s="879"/>
      <c r="ESP1515" s="879"/>
      <c r="ESQ1515" s="879"/>
      <c r="ESR1515" s="879"/>
      <c r="ESS1515" s="879"/>
      <c r="EST1515" s="879"/>
      <c r="ESU1515" s="879"/>
      <c r="ESV1515" s="879"/>
      <c r="ESW1515" s="879"/>
      <c r="ESX1515" s="879"/>
      <c r="ESY1515" s="879"/>
      <c r="ESZ1515" s="879"/>
      <c r="ETA1515" s="879"/>
      <c r="ETB1515" s="879"/>
      <c r="ETC1515" s="879"/>
      <c r="ETD1515" s="879"/>
      <c r="ETE1515" s="879"/>
      <c r="ETF1515" s="879"/>
      <c r="ETG1515" s="879"/>
      <c r="ETH1515" s="879"/>
      <c r="ETI1515" s="879"/>
      <c r="ETJ1515" s="879"/>
      <c r="ETK1515" s="879"/>
      <c r="ETL1515" s="879"/>
      <c r="ETM1515" s="879"/>
      <c r="ETN1515" s="879"/>
      <c r="ETO1515" s="879"/>
      <c r="ETP1515" s="879"/>
      <c r="ETQ1515" s="879"/>
      <c r="ETR1515" s="879"/>
      <c r="ETS1515" s="879"/>
      <c r="ETT1515" s="879"/>
      <c r="ETU1515" s="879"/>
      <c r="ETV1515" s="879"/>
      <c r="ETW1515" s="879"/>
      <c r="ETX1515" s="879"/>
      <c r="ETY1515" s="879"/>
      <c r="ETZ1515" s="879"/>
      <c r="EUA1515" s="879"/>
      <c r="EUB1515" s="879"/>
      <c r="EUC1515" s="879"/>
      <c r="EUD1515" s="879"/>
      <c r="EUE1515" s="879"/>
      <c r="EUF1515" s="879"/>
      <c r="EUG1515" s="879"/>
      <c r="EUH1515" s="879"/>
      <c r="EUI1515" s="879"/>
      <c r="EUJ1515" s="879"/>
      <c r="EUK1515" s="879"/>
      <c r="EUL1515" s="879"/>
      <c r="EUM1515" s="879"/>
      <c r="EUN1515" s="879"/>
      <c r="EUO1515" s="879"/>
      <c r="EUP1515" s="879"/>
      <c r="EUQ1515" s="879"/>
      <c r="EUR1515" s="879"/>
      <c r="EUS1515" s="879"/>
      <c r="EUT1515" s="879"/>
      <c r="EUU1515" s="879"/>
      <c r="EUV1515" s="879"/>
      <c r="EUW1515" s="879"/>
      <c r="EUX1515" s="879"/>
      <c r="EUY1515" s="879"/>
      <c r="EUZ1515" s="879"/>
      <c r="EVA1515" s="879"/>
      <c r="EVB1515" s="879"/>
      <c r="EVC1515" s="879"/>
      <c r="EVD1515" s="879"/>
      <c r="EVE1515" s="879"/>
      <c r="EVF1515" s="879"/>
      <c r="EVG1515" s="879"/>
      <c r="EVH1515" s="879"/>
      <c r="EVI1515" s="879"/>
      <c r="EVJ1515" s="879"/>
      <c r="EVK1515" s="879"/>
      <c r="EVL1515" s="879"/>
      <c r="EVM1515" s="879"/>
      <c r="EVN1515" s="879"/>
      <c r="EVO1515" s="879"/>
      <c r="EVP1515" s="879"/>
      <c r="EVQ1515" s="879"/>
      <c r="EVR1515" s="879"/>
      <c r="EVS1515" s="879"/>
      <c r="EVT1515" s="879"/>
      <c r="EVU1515" s="879"/>
      <c r="EVV1515" s="879"/>
      <c r="EVW1515" s="879"/>
      <c r="EVX1515" s="879"/>
      <c r="EVY1515" s="879"/>
      <c r="EVZ1515" s="879"/>
      <c r="EWA1515" s="879"/>
      <c r="EWB1515" s="879"/>
      <c r="EWC1515" s="879"/>
      <c r="EWD1515" s="879"/>
      <c r="EWE1515" s="879"/>
      <c r="EWF1515" s="879"/>
      <c r="EWG1515" s="879"/>
      <c r="EWH1515" s="879"/>
      <c r="EWI1515" s="879"/>
      <c r="EWJ1515" s="879"/>
      <c r="EWK1515" s="879"/>
      <c r="EWL1515" s="879"/>
      <c r="EWM1515" s="879"/>
      <c r="EWN1515" s="879"/>
      <c r="EWO1515" s="879"/>
      <c r="EWP1515" s="879"/>
      <c r="EWQ1515" s="879"/>
      <c r="EWR1515" s="879"/>
      <c r="EWS1515" s="879"/>
      <c r="EWT1515" s="879"/>
      <c r="EWU1515" s="879"/>
      <c r="EWV1515" s="879"/>
      <c r="EWW1515" s="879"/>
      <c r="EWX1515" s="879"/>
      <c r="EWY1515" s="879"/>
      <c r="EWZ1515" s="879"/>
      <c r="EXA1515" s="879"/>
      <c r="EXB1515" s="879"/>
      <c r="EXC1515" s="879"/>
      <c r="EXD1515" s="879"/>
      <c r="EXE1515" s="879"/>
      <c r="EXF1515" s="879"/>
      <c r="EXG1515" s="879"/>
      <c r="EXH1515" s="879"/>
      <c r="EXI1515" s="879"/>
      <c r="EXJ1515" s="879"/>
      <c r="EXK1515" s="879"/>
      <c r="EXL1515" s="879"/>
      <c r="EXM1515" s="879"/>
      <c r="EXN1515" s="879"/>
      <c r="EXO1515" s="879"/>
      <c r="EXP1515" s="879"/>
      <c r="EXQ1515" s="879"/>
      <c r="EXR1515" s="879"/>
      <c r="EXS1515" s="879"/>
      <c r="EXT1515" s="879"/>
      <c r="EXU1515" s="879"/>
      <c r="EXV1515" s="879"/>
      <c r="EXW1515" s="879"/>
      <c r="EXX1515" s="879"/>
      <c r="EXY1515" s="879"/>
      <c r="EXZ1515" s="879"/>
      <c r="EYA1515" s="879"/>
      <c r="EYB1515" s="879"/>
      <c r="EYC1515" s="879"/>
      <c r="EYD1515" s="879"/>
      <c r="EYE1515" s="879"/>
      <c r="EYF1515" s="879"/>
      <c r="EYG1515" s="879"/>
      <c r="EYH1515" s="879"/>
      <c r="EYI1515" s="879"/>
      <c r="EYJ1515" s="879"/>
      <c r="EYK1515" s="879"/>
      <c r="EYL1515" s="879"/>
      <c r="EYM1515" s="879"/>
      <c r="EYN1515" s="879"/>
      <c r="EYO1515" s="879"/>
      <c r="EYP1515" s="879"/>
      <c r="EYQ1515" s="879"/>
      <c r="EYR1515" s="879"/>
      <c r="EYS1515" s="879"/>
      <c r="EYT1515" s="879"/>
      <c r="EYU1515" s="879"/>
      <c r="EYV1515" s="879"/>
      <c r="EYW1515" s="879"/>
      <c r="EYX1515" s="879"/>
      <c r="EYY1515" s="879"/>
      <c r="EYZ1515" s="879"/>
      <c r="EZA1515" s="879"/>
      <c r="EZB1515" s="879"/>
      <c r="EZC1515" s="879"/>
      <c r="EZD1515" s="879"/>
      <c r="EZE1515" s="879"/>
      <c r="EZF1515" s="879"/>
      <c r="EZG1515" s="879"/>
      <c r="EZH1515" s="879"/>
      <c r="EZI1515" s="879"/>
      <c r="EZJ1515" s="879"/>
      <c r="EZK1515" s="879"/>
      <c r="EZL1515" s="879"/>
      <c r="EZM1515" s="879"/>
      <c r="EZN1515" s="879"/>
      <c r="EZO1515" s="879"/>
      <c r="EZP1515" s="879"/>
      <c r="EZQ1515" s="879"/>
      <c r="EZR1515" s="879"/>
      <c r="EZS1515" s="879"/>
      <c r="EZT1515" s="879"/>
      <c r="EZU1515" s="879"/>
      <c r="EZV1515" s="879"/>
      <c r="EZW1515" s="879"/>
      <c r="EZX1515" s="879"/>
      <c r="EZY1515" s="879"/>
      <c r="EZZ1515" s="879"/>
      <c r="FAA1515" s="879"/>
      <c r="FAB1515" s="879"/>
      <c r="FAC1515" s="879"/>
      <c r="FAD1515" s="879"/>
      <c r="FAE1515" s="879"/>
      <c r="FAF1515" s="879"/>
      <c r="FAG1515" s="879"/>
      <c r="FAH1515" s="879"/>
      <c r="FAI1515" s="879"/>
      <c r="FAJ1515" s="879"/>
      <c r="FAK1515" s="879"/>
      <c r="FAL1515" s="879"/>
      <c r="FAM1515" s="879"/>
      <c r="FAN1515" s="879"/>
      <c r="FAO1515" s="879"/>
      <c r="FAP1515" s="879"/>
      <c r="FAQ1515" s="879"/>
      <c r="FAR1515" s="879"/>
      <c r="FAS1515" s="879"/>
      <c r="FAT1515" s="879"/>
      <c r="FAU1515" s="879"/>
      <c r="FAV1515" s="879"/>
      <c r="FAW1515" s="879"/>
      <c r="FAX1515" s="879"/>
      <c r="FAY1515" s="879"/>
      <c r="FAZ1515" s="879"/>
      <c r="FBA1515" s="879"/>
      <c r="FBB1515" s="879"/>
      <c r="FBC1515" s="879"/>
      <c r="FBD1515" s="879"/>
      <c r="FBE1515" s="879"/>
      <c r="FBF1515" s="879"/>
      <c r="FBG1515" s="879"/>
      <c r="FBH1515" s="879"/>
      <c r="FBI1515" s="879"/>
      <c r="FBJ1515" s="879"/>
      <c r="FBK1515" s="879"/>
      <c r="FBL1515" s="879"/>
      <c r="FBM1515" s="879"/>
      <c r="FBN1515" s="879"/>
      <c r="FBO1515" s="879"/>
      <c r="FBP1515" s="879"/>
      <c r="FBQ1515" s="879"/>
      <c r="FBR1515" s="879"/>
      <c r="FBS1515" s="879"/>
      <c r="FBT1515" s="879"/>
      <c r="FBU1515" s="879"/>
      <c r="FBV1515" s="879"/>
      <c r="FBW1515" s="879"/>
      <c r="FBX1515" s="879"/>
      <c r="FBY1515" s="879"/>
      <c r="FBZ1515" s="879"/>
      <c r="FCA1515" s="879"/>
      <c r="FCB1515" s="879"/>
      <c r="FCC1515" s="879"/>
      <c r="FCD1515" s="879"/>
      <c r="FCE1515" s="879"/>
      <c r="FCF1515" s="879"/>
      <c r="FCG1515" s="879"/>
      <c r="FCH1515" s="879"/>
      <c r="FCI1515" s="879"/>
      <c r="FCJ1515" s="879"/>
      <c r="FCK1515" s="879"/>
      <c r="FCL1515" s="879"/>
      <c r="FCM1515" s="879"/>
      <c r="FCN1515" s="879"/>
      <c r="FCO1515" s="879"/>
      <c r="FCP1515" s="879"/>
      <c r="FCQ1515" s="879"/>
      <c r="FCR1515" s="879"/>
      <c r="FCS1515" s="879"/>
      <c r="FCT1515" s="879"/>
      <c r="FCU1515" s="879"/>
      <c r="FCV1515" s="879"/>
      <c r="FCW1515" s="879"/>
      <c r="FCX1515" s="879"/>
      <c r="FCY1515" s="879"/>
      <c r="FCZ1515" s="879"/>
      <c r="FDA1515" s="879"/>
      <c r="FDB1515" s="879"/>
      <c r="FDC1515" s="879"/>
      <c r="FDD1515" s="879"/>
      <c r="FDE1515" s="879"/>
      <c r="FDF1515" s="879"/>
      <c r="FDG1515" s="879"/>
      <c r="FDH1515" s="879"/>
      <c r="FDI1515" s="879"/>
      <c r="FDJ1515" s="879"/>
      <c r="FDK1515" s="879"/>
      <c r="FDL1515" s="879"/>
      <c r="FDM1515" s="879"/>
      <c r="FDN1515" s="879"/>
      <c r="FDO1515" s="879"/>
      <c r="FDP1515" s="879"/>
      <c r="FDQ1515" s="879"/>
      <c r="FDR1515" s="879"/>
      <c r="FDS1515" s="879"/>
      <c r="FDT1515" s="879"/>
      <c r="FDU1515" s="879"/>
      <c r="FDV1515" s="879"/>
      <c r="FDW1515" s="879"/>
      <c r="FDX1515" s="879"/>
      <c r="FDY1515" s="879"/>
      <c r="FDZ1515" s="879"/>
      <c r="FEA1515" s="879"/>
      <c r="FEB1515" s="879"/>
      <c r="FEC1515" s="879"/>
      <c r="FED1515" s="879"/>
      <c r="FEE1515" s="879"/>
      <c r="FEF1515" s="879"/>
      <c r="FEG1515" s="879"/>
      <c r="FEH1515" s="879"/>
      <c r="FEI1515" s="879"/>
      <c r="FEJ1515" s="879"/>
      <c r="FEK1515" s="879"/>
      <c r="FEL1515" s="879"/>
      <c r="FEM1515" s="879"/>
      <c r="FEN1515" s="879"/>
      <c r="FEO1515" s="879"/>
      <c r="FEP1515" s="879"/>
      <c r="FEQ1515" s="879"/>
      <c r="FER1515" s="879"/>
      <c r="FES1515" s="879"/>
      <c r="FET1515" s="879"/>
      <c r="FEU1515" s="879"/>
      <c r="FEV1515" s="879"/>
      <c r="FEW1515" s="879"/>
      <c r="FEX1515" s="879"/>
      <c r="FEY1515" s="879"/>
      <c r="FEZ1515" s="879"/>
      <c r="FFA1515" s="879"/>
      <c r="FFB1515" s="879"/>
      <c r="FFC1515" s="879"/>
      <c r="FFD1515" s="879"/>
      <c r="FFE1515" s="879"/>
      <c r="FFF1515" s="879"/>
      <c r="FFG1515" s="879"/>
      <c r="FFH1515" s="879"/>
      <c r="FFI1515" s="879"/>
      <c r="FFJ1515" s="879"/>
      <c r="FFK1515" s="879"/>
      <c r="FFL1515" s="879"/>
      <c r="FFM1515" s="879"/>
      <c r="FFN1515" s="879"/>
      <c r="FFO1515" s="879"/>
      <c r="FFP1515" s="879"/>
      <c r="FFQ1515" s="879"/>
      <c r="FFR1515" s="879"/>
      <c r="FFS1515" s="879"/>
      <c r="FFT1515" s="879"/>
      <c r="FFU1515" s="879"/>
      <c r="FFV1515" s="879"/>
      <c r="FFW1515" s="879"/>
      <c r="FFX1515" s="879"/>
      <c r="FFY1515" s="879"/>
      <c r="FFZ1515" s="879"/>
      <c r="FGA1515" s="879"/>
      <c r="FGB1515" s="879"/>
      <c r="FGC1515" s="879"/>
      <c r="FGD1515" s="879"/>
      <c r="FGE1515" s="879"/>
      <c r="FGF1515" s="879"/>
      <c r="FGG1515" s="879"/>
      <c r="FGH1515" s="879"/>
      <c r="FGI1515" s="879"/>
      <c r="FGJ1515" s="879"/>
      <c r="FGK1515" s="879"/>
      <c r="FGL1515" s="879"/>
      <c r="FGM1515" s="879"/>
      <c r="FGN1515" s="879"/>
      <c r="FGO1515" s="879"/>
      <c r="FGP1515" s="879"/>
      <c r="FGQ1515" s="879"/>
      <c r="FGR1515" s="879"/>
      <c r="FGS1515" s="879"/>
      <c r="FGT1515" s="879"/>
      <c r="FGU1515" s="879"/>
      <c r="FGV1515" s="879"/>
      <c r="FGW1515" s="879"/>
      <c r="FGX1515" s="879"/>
      <c r="FGY1515" s="879"/>
      <c r="FGZ1515" s="879"/>
      <c r="FHA1515" s="879"/>
      <c r="FHB1515" s="879"/>
      <c r="FHC1515" s="879"/>
      <c r="FHD1515" s="879"/>
      <c r="FHE1515" s="879"/>
      <c r="FHF1515" s="879"/>
      <c r="FHG1515" s="879"/>
      <c r="FHH1515" s="879"/>
      <c r="FHI1515" s="879"/>
      <c r="FHJ1515" s="879"/>
      <c r="FHK1515" s="879"/>
      <c r="FHL1515" s="879"/>
      <c r="FHM1515" s="879"/>
      <c r="FHN1515" s="879"/>
      <c r="FHO1515" s="879"/>
      <c r="FHP1515" s="879"/>
      <c r="FHQ1515" s="879"/>
      <c r="FHR1515" s="879"/>
      <c r="FHS1515" s="879"/>
      <c r="FHT1515" s="879"/>
      <c r="FHU1515" s="879"/>
      <c r="FHV1515" s="879"/>
      <c r="FHW1515" s="879"/>
      <c r="FHX1515" s="879"/>
      <c r="FHY1515" s="879"/>
      <c r="FHZ1515" s="879"/>
      <c r="FIA1515" s="879"/>
      <c r="FIB1515" s="879"/>
      <c r="FIC1515" s="879"/>
      <c r="FID1515" s="879"/>
      <c r="FIE1515" s="879"/>
      <c r="FIF1515" s="879"/>
      <c r="FIG1515" s="879"/>
      <c r="FIH1515" s="879"/>
      <c r="FII1515" s="879"/>
      <c r="FIJ1515" s="879"/>
      <c r="FIK1515" s="879"/>
      <c r="FIL1515" s="879"/>
      <c r="FIM1515" s="879"/>
      <c r="FIN1515" s="879"/>
      <c r="FIO1515" s="879"/>
      <c r="FIP1515" s="879"/>
      <c r="FIQ1515" s="879"/>
      <c r="FIR1515" s="879"/>
      <c r="FIS1515" s="879"/>
      <c r="FIT1515" s="879"/>
      <c r="FIU1515" s="879"/>
      <c r="FIV1515" s="879"/>
      <c r="FIW1515" s="879"/>
      <c r="FIX1515" s="879"/>
      <c r="FIY1515" s="879"/>
      <c r="FIZ1515" s="879"/>
      <c r="FJA1515" s="879"/>
      <c r="FJB1515" s="879"/>
      <c r="FJC1515" s="879"/>
      <c r="FJD1515" s="879"/>
      <c r="FJE1515" s="879"/>
      <c r="FJF1515" s="879"/>
      <c r="FJG1515" s="879"/>
      <c r="FJH1515" s="879"/>
      <c r="FJI1515" s="879"/>
      <c r="FJJ1515" s="879"/>
      <c r="FJK1515" s="879"/>
      <c r="FJL1515" s="879"/>
      <c r="FJM1515" s="879"/>
      <c r="FJN1515" s="879"/>
      <c r="FJO1515" s="879"/>
      <c r="FJP1515" s="879"/>
      <c r="FJQ1515" s="879"/>
      <c r="FJR1515" s="879"/>
      <c r="FJS1515" s="879"/>
      <c r="FJT1515" s="879"/>
      <c r="FJU1515" s="879"/>
      <c r="FJV1515" s="879"/>
      <c r="FJW1515" s="879"/>
      <c r="FJX1515" s="879"/>
      <c r="FJY1515" s="879"/>
      <c r="FJZ1515" s="879"/>
      <c r="FKA1515" s="879"/>
      <c r="FKB1515" s="879"/>
      <c r="FKC1515" s="879"/>
      <c r="FKD1515" s="879"/>
      <c r="FKE1515" s="879"/>
      <c r="FKF1515" s="879"/>
      <c r="FKG1515" s="879"/>
      <c r="FKH1515" s="879"/>
      <c r="FKI1515" s="879"/>
      <c r="FKJ1515" s="879"/>
      <c r="FKK1515" s="879"/>
      <c r="FKL1515" s="879"/>
      <c r="FKM1515" s="879"/>
      <c r="FKN1515" s="879"/>
      <c r="FKO1515" s="879"/>
      <c r="FKP1515" s="879"/>
      <c r="FKQ1515" s="879"/>
      <c r="FKR1515" s="879"/>
      <c r="FKS1515" s="879"/>
      <c r="FKT1515" s="879"/>
      <c r="FKU1515" s="879"/>
      <c r="FKV1515" s="879"/>
      <c r="FKW1515" s="879"/>
      <c r="FKX1515" s="879"/>
      <c r="FKY1515" s="879"/>
      <c r="FKZ1515" s="879"/>
      <c r="FLA1515" s="879"/>
      <c r="FLB1515" s="879"/>
      <c r="FLC1515" s="879"/>
      <c r="FLD1515" s="879"/>
      <c r="FLE1515" s="879"/>
      <c r="FLF1515" s="879"/>
      <c r="FLG1515" s="879"/>
      <c r="FLH1515" s="879"/>
      <c r="FLI1515" s="879"/>
      <c r="FLJ1515" s="879"/>
      <c r="FLK1515" s="879"/>
      <c r="FLL1515" s="879"/>
      <c r="FLM1515" s="879"/>
      <c r="FLN1515" s="879"/>
      <c r="FLO1515" s="879"/>
      <c r="FLP1515" s="879"/>
      <c r="FLQ1515" s="879"/>
      <c r="FLR1515" s="879"/>
      <c r="FLS1515" s="879"/>
      <c r="FLT1515" s="879"/>
      <c r="FLU1515" s="879"/>
      <c r="FLV1515" s="879"/>
      <c r="FLW1515" s="879"/>
      <c r="FLX1515" s="879"/>
      <c r="FLY1515" s="879"/>
      <c r="FLZ1515" s="879"/>
      <c r="FMA1515" s="879"/>
      <c r="FMB1515" s="879"/>
      <c r="FMC1515" s="879"/>
      <c r="FMD1515" s="879"/>
      <c r="FME1515" s="879"/>
      <c r="FMF1515" s="879"/>
      <c r="FMG1515" s="879"/>
      <c r="FMH1515" s="879"/>
      <c r="FMI1515" s="879"/>
      <c r="FMJ1515" s="879"/>
      <c r="FMK1515" s="879"/>
      <c r="FML1515" s="879"/>
      <c r="FMM1515" s="879"/>
      <c r="FMN1515" s="879"/>
      <c r="FMO1515" s="879"/>
      <c r="FMP1515" s="879"/>
      <c r="FMQ1515" s="879"/>
      <c r="FMR1515" s="879"/>
      <c r="FMS1515" s="879"/>
      <c r="FMT1515" s="879"/>
      <c r="FMU1515" s="879"/>
      <c r="FMV1515" s="879"/>
      <c r="FMW1515" s="879"/>
      <c r="FMX1515" s="879"/>
      <c r="FMY1515" s="879"/>
      <c r="FMZ1515" s="879"/>
      <c r="FNA1515" s="879"/>
      <c r="FNB1515" s="879"/>
      <c r="FNC1515" s="879"/>
      <c r="FND1515" s="879"/>
      <c r="FNE1515" s="879"/>
      <c r="FNF1515" s="879"/>
      <c r="FNG1515" s="879"/>
      <c r="FNH1515" s="879"/>
      <c r="FNI1515" s="879"/>
      <c r="FNJ1515" s="879"/>
      <c r="FNK1515" s="879"/>
      <c r="FNL1515" s="879"/>
      <c r="FNM1515" s="879"/>
      <c r="FNN1515" s="879"/>
      <c r="FNO1515" s="879"/>
      <c r="FNP1515" s="879"/>
      <c r="FNQ1515" s="879"/>
      <c r="FNR1515" s="879"/>
      <c r="FNS1515" s="879"/>
      <c r="FNT1515" s="879"/>
      <c r="FNU1515" s="879"/>
      <c r="FNV1515" s="879"/>
      <c r="FNW1515" s="879"/>
      <c r="FNX1515" s="879"/>
      <c r="FNY1515" s="879"/>
      <c r="FNZ1515" s="879"/>
      <c r="FOA1515" s="879"/>
      <c r="FOB1515" s="879"/>
      <c r="FOC1515" s="879"/>
      <c r="FOD1515" s="879"/>
      <c r="FOE1515" s="879"/>
      <c r="FOF1515" s="879"/>
      <c r="FOG1515" s="879"/>
      <c r="FOH1515" s="879"/>
      <c r="FOI1515" s="879"/>
      <c r="FOJ1515" s="879"/>
      <c r="FOK1515" s="879"/>
      <c r="FOL1515" s="879"/>
      <c r="FOM1515" s="879"/>
      <c r="FON1515" s="879"/>
      <c r="FOO1515" s="879"/>
      <c r="FOP1515" s="879"/>
      <c r="FOQ1515" s="879"/>
      <c r="FOR1515" s="879"/>
      <c r="FOS1515" s="879"/>
      <c r="FOT1515" s="879"/>
      <c r="FOU1515" s="879"/>
      <c r="FOV1515" s="879"/>
      <c r="FOW1515" s="879"/>
      <c r="FOX1515" s="879"/>
      <c r="FOY1515" s="879"/>
      <c r="FOZ1515" s="879"/>
      <c r="FPA1515" s="879"/>
      <c r="FPB1515" s="879"/>
      <c r="FPC1515" s="879"/>
      <c r="FPD1515" s="879"/>
      <c r="FPE1515" s="879"/>
      <c r="FPF1515" s="879"/>
      <c r="FPG1515" s="879"/>
      <c r="FPH1515" s="879"/>
      <c r="FPI1515" s="879"/>
      <c r="FPJ1515" s="879"/>
      <c r="FPK1515" s="879"/>
      <c r="FPL1515" s="879"/>
      <c r="FPM1515" s="879"/>
      <c r="FPN1515" s="879"/>
      <c r="FPO1515" s="879"/>
      <c r="FPP1515" s="879"/>
      <c r="FPQ1515" s="879"/>
      <c r="FPR1515" s="879"/>
      <c r="FPS1515" s="879"/>
      <c r="FPT1515" s="879"/>
      <c r="FPU1515" s="879"/>
      <c r="FPV1515" s="879"/>
      <c r="FPW1515" s="879"/>
      <c r="FPX1515" s="879"/>
      <c r="FPY1515" s="879"/>
      <c r="FPZ1515" s="879"/>
      <c r="FQA1515" s="879"/>
      <c r="FQB1515" s="879"/>
      <c r="FQC1515" s="879"/>
      <c r="FQD1515" s="879"/>
      <c r="FQE1515" s="879"/>
      <c r="FQF1515" s="879"/>
      <c r="FQG1515" s="879"/>
      <c r="FQH1515" s="879"/>
      <c r="FQI1515" s="879"/>
      <c r="FQJ1515" s="879"/>
      <c r="FQK1515" s="879"/>
      <c r="FQL1515" s="879"/>
      <c r="FQM1515" s="879"/>
      <c r="FQN1515" s="879"/>
      <c r="FQO1515" s="879"/>
      <c r="FQP1515" s="879"/>
      <c r="FQQ1515" s="879"/>
      <c r="FQR1515" s="879"/>
      <c r="FQS1515" s="879"/>
      <c r="FQT1515" s="879"/>
      <c r="FQU1515" s="879"/>
      <c r="FQV1515" s="879"/>
      <c r="FQW1515" s="879"/>
      <c r="FQX1515" s="879"/>
      <c r="FQY1515" s="879"/>
      <c r="FQZ1515" s="879"/>
      <c r="FRA1515" s="879"/>
      <c r="FRB1515" s="879"/>
      <c r="FRC1515" s="879"/>
      <c r="FRD1515" s="879"/>
      <c r="FRE1515" s="879"/>
      <c r="FRF1515" s="879"/>
      <c r="FRG1515" s="879"/>
      <c r="FRH1515" s="879"/>
      <c r="FRI1515" s="879"/>
      <c r="FRJ1515" s="879"/>
      <c r="FRK1515" s="879"/>
      <c r="FRL1515" s="879"/>
      <c r="FRM1515" s="879"/>
      <c r="FRN1515" s="879"/>
      <c r="FRO1515" s="879"/>
      <c r="FRP1515" s="879"/>
      <c r="FRQ1515" s="879"/>
      <c r="FRR1515" s="879"/>
      <c r="FRS1515" s="879"/>
      <c r="FRT1515" s="879"/>
      <c r="FRU1515" s="879"/>
      <c r="FRV1515" s="879"/>
      <c r="FRW1515" s="879"/>
      <c r="FRX1515" s="879"/>
      <c r="FRY1515" s="879"/>
      <c r="FRZ1515" s="879"/>
      <c r="FSA1515" s="879"/>
      <c r="FSB1515" s="879"/>
      <c r="FSC1515" s="879"/>
      <c r="FSD1515" s="879"/>
      <c r="FSE1515" s="879"/>
      <c r="FSF1515" s="879"/>
      <c r="FSG1515" s="879"/>
      <c r="FSH1515" s="879"/>
      <c r="FSI1515" s="879"/>
      <c r="FSJ1515" s="879"/>
      <c r="FSK1515" s="879"/>
      <c r="FSL1515" s="879"/>
      <c r="FSM1515" s="879"/>
      <c r="FSN1515" s="879"/>
      <c r="FSO1515" s="879"/>
      <c r="FSP1515" s="879"/>
      <c r="FSQ1515" s="879"/>
      <c r="FSR1515" s="879"/>
      <c r="FSS1515" s="879"/>
      <c r="FST1515" s="879"/>
      <c r="FSU1515" s="879"/>
      <c r="FSV1515" s="879"/>
      <c r="FSW1515" s="879"/>
      <c r="FSX1515" s="879"/>
      <c r="FSY1515" s="879"/>
      <c r="FSZ1515" s="879"/>
      <c r="FTA1515" s="879"/>
      <c r="FTB1515" s="879"/>
      <c r="FTC1515" s="879"/>
      <c r="FTD1515" s="879"/>
      <c r="FTE1515" s="879"/>
      <c r="FTF1515" s="879"/>
      <c r="FTG1515" s="879"/>
      <c r="FTH1515" s="879"/>
      <c r="FTI1515" s="879"/>
      <c r="FTJ1515" s="879"/>
      <c r="FTK1515" s="879"/>
      <c r="FTL1515" s="879"/>
      <c r="FTM1515" s="879"/>
      <c r="FTN1515" s="879"/>
      <c r="FTO1515" s="879"/>
      <c r="FTP1515" s="879"/>
      <c r="FTQ1515" s="879"/>
      <c r="FTR1515" s="879"/>
      <c r="FTS1515" s="879"/>
      <c r="FTT1515" s="879"/>
      <c r="FTU1515" s="879"/>
      <c r="FTV1515" s="879"/>
      <c r="FTW1515" s="879"/>
      <c r="FTX1515" s="879"/>
      <c r="FTY1515" s="879"/>
      <c r="FTZ1515" s="879"/>
      <c r="FUA1515" s="879"/>
      <c r="FUB1515" s="879"/>
      <c r="FUC1515" s="879"/>
      <c r="FUD1515" s="879"/>
      <c r="FUE1515" s="879"/>
      <c r="FUF1515" s="879"/>
      <c r="FUG1515" s="879"/>
      <c r="FUH1515" s="879"/>
      <c r="FUI1515" s="879"/>
      <c r="FUJ1515" s="879"/>
      <c r="FUK1515" s="879"/>
      <c r="FUL1515" s="879"/>
      <c r="FUM1515" s="879"/>
      <c r="FUN1515" s="879"/>
      <c r="FUO1515" s="879"/>
      <c r="FUP1515" s="879"/>
      <c r="FUQ1515" s="879"/>
      <c r="FUR1515" s="879"/>
      <c r="FUS1515" s="879"/>
      <c r="FUT1515" s="879"/>
      <c r="FUU1515" s="879"/>
      <c r="FUV1515" s="879"/>
      <c r="FUW1515" s="879"/>
      <c r="FUX1515" s="879"/>
      <c r="FUY1515" s="879"/>
      <c r="FUZ1515" s="879"/>
      <c r="FVA1515" s="879"/>
      <c r="FVB1515" s="879"/>
      <c r="FVC1515" s="879"/>
      <c r="FVD1515" s="879"/>
      <c r="FVE1515" s="879"/>
      <c r="FVF1515" s="879"/>
      <c r="FVG1515" s="879"/>
      <c r="FVH1515" s="879"/>
      <c r="FVI1515" s="879"/>
      <c r="FVJ1515" s="879"/>
      <c r="FVK1515" s="879"/>
      <c r="FVL1515" s="879"/>
      <c r="FVM1515" s="879"/>
      <c r="FVN1515" s="879"/>
      <c r="FVO1515" s="879"/>
      <c r="FVP1515" s="879"/>
      <c r="FVQ1515" s="879"/>
      <c r="FVR1515" s="879"/>
      <c r="FVS1515" s="879"/>
      <c r="FVT1515" s="879"/>
      <c r="FVU1515" s="879"/>
      <c r="FVV1515" s="879"/>
      <c r="FVW1515" s="879"/>
      <c r="FVX1515" s="879"/>
      <c r="FVY1515" s="879"/>
      <c r="FVZ1515" s="879"/>
      <c r="FWA1515" s="879"/>
      <c r="FWB1515" s="879"/>
      <c r="FWC1515" s="879"/>
      <c r="FWD1515" s="879"/>
      <c r="FWE1515" s="879"/>
      <c r="FWF1515" s="879"/>
      <c r="FWG1515" s="879"/>
      <c r="FWH1515" s="879"/>
      <c r="FWI1515" s="879"/>
      <c r="FWJ1515" s="879"/>
      <c r="FWK1515" s="879"/>
      <c r="FWL1515" s="879"/>
      <c r="FWM1515" s="879"/>
      <c r="FWN1515" s="879"/>
      <c r="FWO1515" s="879"/>
      <c r="FWP1515" s="879"/>
      <c r="FWQ1515" s="879"/>
      <c r="FWR1515" s="879"/>
      <c r="FWS1515" s="879"/>
      <c r="FWT1515" s="879"/>
      <c r="FWU1515" s="879"/>
      <c r="FWV1515" s="879"/>
      <c r="FWW1515" s="879"/>
      <c r="FWX1515" s="879"/>
      <c r="FWY1515" s="879"/>
      <c r="FWZ1515" s="879"/>
      <c r="FXA1515" s="879"/>
      <c r="FXB1515" s="879"/>
      <c r="FXC1515" s="879"/>
      <c r="FXD1515" s="879"/>
      <c r="FXE1515" s="879"/>
      <c r="FXF1515" s="879"/>
      <c r="FXG1515" s="879"/>
      <c r="FXH1515" s="879"/>
      <c r="FXI1515" s="879"/>
      <c r="FXJ1515" s="879"/>
      <c r="FXK1515" s="879"/>
      <c r="FXL1515" s="879"/>
      <c r="FXM1515" s="879"/>
      <c r="FXN1515" s="879"/>
      <c r="FXO1515" s="879"/>
      <c r="FXP1515" s="879"/>
      <c r="FXQ1515" s="879"/>
      <c r="FXR1515" s="879"/>
      <c r="FXS1515" s="879"/>
      <c r="FXT1515" s="879"/>
      <c r="FXU1515" s="879"/>
      <c r="FXV1515" s="879"/>
      <c r="FXW1515" s="879"/>
      <c r="FXX1515" s="879"/>
      <c r="FXY1515" s="879"/>
      <c r="FXZ1515" s="879"/>
      <c r="FYA1515" s="879"/>
      <c r="FYB1515" s="879"/>
      <c r="FYC1515" s="879"/>
      <c r="FYD1515" s="879"/>
      <c r="FYE1515" s="879"/>
      <c r="FYF1515" s="879"/>
      <c r="FYG1515" s="879"/>
      <c r="FYH1515" s="879"/>
      <c r="FYI1515" s="879"/>
      <c r="FYJ1515" s="879"/>
      <c r="FYK1515" s="879"/>
      <c r="FYL1515" s="879"/>
      <c r="FYM1515" s="879"/>
      <c r="FYN1515" s="879"/>
      <c r="FYO1515" s="879"/>
      <c r="FYP1515" s="879"/>
      <c r="FYQ1515" s="879"/>
      <c r="FYR1515" s="879"/>
      <c r="FYS1515" s="879"/>
      <c r="FYT1515" s="879"/>
      <c r="FYU1515" s="879"/>
      <c r="FYV1515" s="879"/>
      <c r="FYW1515" s="879"/>
      <c r="FYX1515" s="879"/>
      <c r="FYY1515" s="879"/>
      <c r="FYZ1515" s="879"/>
      <c r="FZA1515" s="879"/>
      <c r="FZB1515" s="879"/>
      <c r="FZC1515" s="879"/>
      <c r="FZD1515" s="879"/>
      <c r="FZE1515" s="879"/>
      <c r="FZF1515" s="879"/>
      <c r="FZG1515" s="879"/>
      <c r="FZH1515" s="879"/>
      <c r="FZI1515" s="879"/>
      <c r="FZJ1515" s="879"/>
      <c r="FZK1515" s="879"/>
      <c r="FZL1515" s="879"/>
      <c r="FZM1515" s="879"/>
      <c r="FZN1515" s="879"/>
      <c r="FZO1515" s="879"/>
      <c r="FZP1515" s="879"/>
      <c r="FZQ1515" s="879"/>
      <c r="FZR1515" s="879"/>
      <c r="FZS1515" s="879"/>
      <c r="FZT1515" s="879"/>
      <c r="FZU1515" s="879"/>
      <c r="FZV1515" s="879"/>
      <c r="FZW1515" s="879"/>
      <c r="FZX1515" s="879"/>
      <c r="FZY1515" s="879"/>
      <c r="FZZ1515" s="879"/>
      <c r="GAA1515" s="879"/>
      <c r="GAB1515" s="879"/>
      <c r="GAC1515" s="879"/>
      <c r="GAD1515" s="879"/>
      <c r="GAE1515" s="879"/>
      <c r="GAF1515" s="879"/>
      <c r="GAG1515" s="879"/>
      <c r="GAH1515" s="879"/>
      <c r="GAI1515" s="879"/>
      <c r="GAJ1515" s="879"/>
      <c r="GAK1515" s="879"/>
      <c r="GAL1515" s="879"/>
      <c r="GAM1515" s="879"/>
      <c r="GAN1515" s="879"/>
      <c r="GAO1515" s="879"/>
      <c r="GAP1515" s="879"/>
      <c r="GAQ1515" s="879"/>
      <c r="GAR1515" s="879"/>
      <c r="GAS1515" s="879"/>
      <c r="GAT1515" s="879"/>
      <c r="GAU1515" s="879"/>
      <c r="GAV1515" s="879"/>
      <c r="GAW1515" s="879"/>
      <c r="GAX1515" s="879"/>
      <c r="GAY1515" s="879"/>
      <c r="GAZ1515" s="879"/>
      <c r="GBA1515" s="879"/>
      <c r="GBB1515" s="879"/>
      <c r="GBC1515" s="879"/>
      <c r="GBD1515" s="879"/>
      <c r="GBE1515" s="879"/>
      <c r="GBF1515" s="879"/>
      <c r="GBG1515" s="879"/>
      <c r="GBH1515" s="879"/>
      <c r="GBI1515" s="879"/>
      <c r="GBJ1515" s="879"/>
      <c r="GBK1515" s="879"/>
      <c r="GBL1515" s="879"/>
      <c r="GBM1515" s="879"/>
      <c r="GBN1515" s="879"/>
      <c r="GBO1515" s="879"/>
      <c r="GBP1515" s="879"/>
      <c r="GBQ1515" s="879"/>
      <c r="GBR1515" s="879"/>
      <c r="GBS1515" s="879"/>
      <c r="GBT1515" s="879"/>
      <c r="GBU1515" s="879"/>
      <c r="GBV1515" s="879"/>
      <c r="GBW1515" s="879"/>
      <c r="GBX1515" s="879"/>
      <c r="GBY1515" s="879"/>
      <c r="GBZ1515" s="879"/>
      <c r="GCA1515" s="879"/>
      <c r="GCB1515" s="879"/>
      <c r="GCC1515" s="879"/>
      <c r="GCD1515" s="879"/>
      <c r="GCE1515" s="879"/>
      <c r="GCF1515" s="879"/>
      <c r="GCG1515" s="879"/>
      <c r="GCH1515" s="879"/>
      <c r="GCI1515" s="879"/>
      <c r="GCJ1515" s="879"/>
      <c r="GCK1515" s="879"/>
      <c r="GCL1515" s="879"/>
      <c r="GCM1515" s="879"/>
      <c r="GCN1515" s="879"/>
      <c r="GCO1515" s="879"/>
      <c r="GCP1515" s="879"/>
      <c r="GCQ1515" s="879"/>
      <c r="GCR1515" s="879"/>
      <c r="GCS1515" s="879"/>
      <c r="GCT1515" s="879"/>
      <c r="GCU1515" s="879"/>
      <c r="GCV1515" s="879"/>
      <c r="GCW1515" s="879"/>
      <c r="GCX1515" s="879"/>
      <c r="GCY1515" s="879"/>
      <c r="GCZ1515" s="879"/>
      <c r="GDA1515" s="879"/>
      <c r="GDB1515" s="879"/>
      <c r="GDC1515" s="879"/>
      <c r="GDD1515" s="879"/>
      <c r="GDE1515" s="879"/>
      <c r="GDF1515" s="879"/>
      <c r="GDG1515" s="879"/>
      <c r="GDH1515" s="879"/>
      <c r="GDI1515" s="879"/>
      <c r="GDJ1515" s="879"/>
      <c r="GDK1515" s="879"/>
      <c r="GDL1515" s="879"/>
      <c r="GDM1515" s="879"/>
      <c r="GDN1515" s="879"/>
      <c r="GDO1515" s="879"/>
      <c r="GDP1515" s="879"/>
      <c r="GDQ1515" s="879"/>
      <c r="GDR1515" s="879"/>
      <c r="GDS1515" s="879"/>
      <c r="GDT1515" s="879"/>
      <c r="GDU1515" s="879"/>
      <c r="GDV1515" s="879"/>
      <c r="GDW1515" s="879"/>
      <c r="GDX1515" s="879"/>
      <c r="GDY1515" s="879"/>
      <c r="GDZ1515" s="879"/>
      <c r="GEA1515" s="879"/>
      <c r="GEB1515" s="879"/>
      <c r="GEC1515" s="879"/>
      <c r="GED1515" s="879"/>
      <c r="GEE1515" s="879"/>
      <c r="GEF1515" s="879"/>
      <c r="GEG1515" s="879"/>
      <c r="GEH1515" s="879"/>
      <c r="GEI1515" s="879"/>
      <c r="GEJ1515" s="879"/>
      <c r="GEK1515" s="879"/>
      <c r="GEL1515" s="879"/>
      <c r="GEM1515" s="879"/>
      <c r="GEN1515" s="879"/>
      <c r="GEO1515" s="879"/>
      <c r="GEP1515" s="879"/>
      <c r="GEQ1515" s="879"/>
      <c r="GER1515" s="879"/>
      <c r="GES1515" s="879"/>
      <c r="GET1515" s="879"/>
      <c r="GEU1515" s="879"/>
      <c r="GEV1515" s="879"/>
      <c r="GEW1515" s="879"/>
      <c r="GEX1515" s="879"/>
      <c r="GEY1515" s="879"/>
      <c r="GEZ1515" s="879"/>
      <c r="GFA1515" s="879"/>
      <c r="GFB1515" s="879"/>
      <c r="GFC1515" s="879"/>
      <c r="GFD1515" s="879"/>
      <c r="GFE1515" s="879"/>
      <c r="GFF1515" s="879"/>
      <c r="GFG1515" s="879"/>
      <c r="GFH1515" s="879"/>
      <c r="GFI1515" s="879"/>
      <c r="GFJ1515" s="879"/>
      <c r="GFK1515" s="879"/>
      <c r="GFL1515" s="879"/>
      <c r="GFM1515" s="879"/>
      <c r="GFN1515" s="879"/>
      <c r="GFO1515" s="879"/>
      <c r="GFP1515" s="879"/>
      <c r="GFQ1515" s="879"/>
      <c r="GFR1515" s="879"/>
      <c r="GFS1515" s="879"/>
      <c r="GFT1515" s="879"/>
      <c r="GFU1515" s="879"/>
      <c r="GFV1515" s="879"/>
      <c r="GFW1515" s="879"/>
      <c r="GFX1515" s="879"/>
      <c r="GFY1515" s="879"/>
      <c r="GFZ1515" s="879"/>
      <c r="GGA1515" s="879"/>
      <c r="GGB1515" s="879"/>
      <c r="GGC1515" s="879"/>
      <c r="GGD1515" s="879"/>
      <c r="GGE1515" s="879"/>
      <c r="GGF1515" s="879"/>
      <c r="GGG1515" s="879"/>
      <c r="GGH1515" s="879"/>
      <c r="GGI1515" s="879"/>
      <c r="GGJ1515" s="879"/>
      <c r="GGK1515" s="879"/>
      <c r="GGL1515" s="879"/>
      <c r="GGM1515" s="879"/>
      <c r="GGN1515" s="879"/>
      <c r="GGO1515" s="879"/>
      <c r="GGP1515" s="879"/>
      <c r="GGQ1515" s="879"/>
      <c r="GGR1515" s="879"/>
      <c r="GGS1515" s="879"/>
      <c r="GGT1515" s="879"/>
      <c r="GGU1515" s="879"/>
      <c r="GGV1515" s="879"/>
      <c r="GGW1515" s="879"/>
      <c r="GGX1515" s="879"/>
      <c r="GGY1515" s="879"/>
      <c r="GGZ1515" s="879"/>
      <c r="GHA1515" s="879"/>
      <c r="GHB1515" s="879"/>
      <c r="GHC1515" s="879"/>
      <c r="GHD1515" s="879"/>
      <c r="GHE1515" s="879"/>
      <c r="GHF1515" s="879"/>
      <c r="GHG1515" s="879"/>
      <c r="GHH1515" s="879"/>
      <c r="GHI1515" s="879"/>
      <c r="GHJ1515" s="879"/>
      <c r="GHK1515" s="879"/>
      <c r="GHL1515" s="879"/>
      <c r="GHM1515" s="879"/>
      <c r="GHN1515" s="879"/>
      <c r="GHO1515" s="879"/>
      <c r="GHP1515" s="879"/>
      <c r="GHQ1515" s="879"/>
      <c r="GHR1515" s="879"/>
      <c r="GHS1515" s="879"/>
      <c r="GHT1515" s="879"/>
      <c r="GHU1515" s="879"/>
      <c r="GHV1515" s="879"/>
      <c r="GHW1515" s="879"/>
      <c r="GHX1515" s="879"/>
      <c r="GHY1515" s="879"/>
      <c r="GHZ1515" s="879"/>
      <c r="GIA1515" s="879"/>
      <c r="GIB1515" s="879"/>
      <c r="GIC1515" s="879"/>
      <c r="GID1515" s="879"/>
      <c r="GIE1515" s="879"/>
      <c r="GIF1515" s="879"/>
      <c r="GIG1515" s="879"/>
      <c r="GIH1515" s="879"/>
      <c r="GII1515" s="879"/>
      <c r="GIJ1515" s="879"/>
      <c r="GIK1515" s="879"/>
      <c r="GIL1515" s="879"/>
      <c r="GIM1515" s="879"/>
      <c r="GIN1515" s="879"/>
      <c r="GIO1515" s="879"/>
      <c r="GIP1515" s="879"/>
      <c r="GIQ1515" s="879"/>
      <c r="GIR1515" s="879"/>
      <c r="GIS1515" s="879"/>
      <c r="GIT1515" s="879"/>
      <c r="GIU1515" s="879"/>
      <c r="GIV1515" s="879"/>
      <c r="GIW1515" s="879"/>
      <c r="GIX1515" s="879"/>
      <c r="GIY1515" s="879"/>
      <c r="GIZ1515" s="879"/>
      <c r="GJA1515" s="879"/>
      <c r="GJB1515" s="879"/>
      <c r="GJC1515" s="879"/>
      <c r="GJD1515" s="879"/>
      <c r="GJE1515" s="879"/>
      <c r="GJF1515" s="879"/>
      <c r="GJG1515" s="879"/>
      <c r="GJH1515" s="879"/>
      <c r="GJI1515" s="879"/>
      <c r="GJJ1515" s="879"/>
      <c r="GJK1515" s="879"/>
      <c r="GJL1515" s="879"/>
      <c r="GJM1515" s="879"/>
      <c r="GJN1515" s="879"/>
      <c r="GJO1515" s="879"/>
      <c r="GJP1515" s="879"/>
      <c r="GJQ1515" s="879"/>
      <c r="GJR1515" s="879"/>
      <c r="GJS1515" s="879"/>
      <c r="GJT1515" s="879"/>
      <c r="GJU1515" s="879"/>
      <c r="GJV1515" s="879"/>
      <c r="GJW1515" s="879"/>
      <c r="GJX1515" s="879"/>
      <c r="GJY1515" s="879"/>
      <c r="GJZ1515" s="879"/>
      <c r="GKA1515" s="879"/>
      <c r="GKB1515" s="879"/>
      <c r="GKC1515" s="879"/>
      <c r="GKD1515" s="879"/>
      <c r="GKE1515" s="879"/>
      <c r="GKF1515" s="879"/>
      <c r="GKG1515" s="879"/>
      <c r="GKH1515" s="879"/>
      <c r="GKI1515" s="879"/>
      <c r="GKJ1515" s="879"/>
      <c r="GKK1515" s="879"/>
      <c r="GKL1515" s="879"/>
      <c r="GKM1515" s="879"/>
      <c r="GKN1515" s="879"/>
      <c r="GKO1515" s="879"/>
      <c r="GKP1515" s="879"/>
      <c r="GKQ1515" s="879"/>
      <c r="GKR1515" s="879"/>
      <c r="GKS1515" s="879"/>
      <c r="GKT1515" s="879"/>
      <c r="GKU1515" s="879"/>
      <c r="GKV1515" s="879"/>
      <c r="GKW1515" s="879"/>
      <c r="GKX1515" s="879"/>
      <c r="GKY1515" s="879"/>
      <c r="GKZ1515" s="879"/>
      <c r="GLA1515" s="879"/>
      <c r="GLB1515" s="879"/>
      <c r="GLC1515" s="879"/>
      <c r="GLD1515" s="879"/>
      <c r="GLE1515" s="879"/>
      <c r="GLF1515" s="879"/>
      <c r="GLG1515" s="879"/>
      <c r="GLH1515" s="879"/>
      <c r="GLI1515" s="879"/>
      <c r="GLJ1515" s="879"/>
      <c r="GLK1515" s="879"/>
      <c r="GLL1515" s="879"/>
      <c r="GLM1515" s="879"/>
      <c r="GLN1515" s="879"/>
      <c r="GLO1515" s="879"/>
      <c r="GLP1515" s="879"/>
      <c r="GLQ1515" s="879"/>
      <c r="GLR1515" s="879"/>
      <c r="GLS1515" s="879"/>
      <c r="GLT1515" s="879"/>
      <c r="GLU1515" s="879"/>
      <c r="GLV1515" s="879"/>
      <c r="GLW1515" s="879"/>
      <c r="GLX1515" s="879"/>
      <c r="GLY1515" s="879"/>
      <c r="GLZ1515" s="879"/>
      <c r="GMA1515" s="879"/>
      <c r="GMB1515" s="879"/>
      <c r="GMC1515" s="879"/>
      <c r="GMD1515" s="879"/>
      <c r="GME1515" s="879"/>
      <c r="GMF1515" s="879"/>
      <c r="GMG1515" s="879"/>
      <c r="GMH1515" s="879"/>
      <c r="GMI1515" s="879"/>
      <c r="GMJ1515" s="879"/>
      <c r="GMK1515" s="879"/>
      <c r="GML1515" s="879"/>
      <c r="GMM1515" s="879"/>
      <c r="GMN1515" s="879"/>
      <c r="GMO1515" s="879"/>
      <c r="GMP1515" s="879"/>
      <c r="GMQ1515" s="879"/>
      <c r="GMR1515" s="879"/>
      <c r="GMS1515" s="879"/>
      <c r="GMT1515" s="879"/>
      <c r="GMU1515" s="879"/>
      <c r="GMV1515" s="879"/>
      <c r="GMW1515" s="879"/>
      <c r="GMX1515" s="879"/>
      <c r="GMY1515" s="879"/>
      <c r="GMZ1515" s="879"/>
      <c r="GNA1515" s="879"/>
      <c r="GNB1515" s="879"/>
      <c r="GNC1515" s="879"/>
      <c r="GND1515" s="879"/>
      <c r="GNE1515" s="879"/>
      <c r="GNF1515" s="879"/>
      <c r="GNG1515" s="879"/>
      <c r="GNH1515" s="879"/>
      <c r="GNI1515" s="879"/>
      <c r="GNJ1515" s="879"/>
      <c r="GNK1515" s="879"/>
      <c r="GNL1515" s="879"/>
      <c r="GNM1515" s="879"/>
      <c r="GNN1515" s="879"/>
      <c r="GNO1515" s="879"/>
      <c r="GNP1515" s="879"/>
      <c r="GNQ1515" s="879"/>
      <c r="GNR1515" s="879"/>
      <c r="GNS1515" s="879"/>
      <c r="GNT1515" s="879"/>
      <c r="GNU1515" s="879"/>
      <c r="GNV1515" s="879"/>
      <c r="GNW1515" s="879"/>
      <c r="GNX1515" s="879"/>
      <c r="GNY1515" s="879"/>
      <c r="GNZ1515" s="879"/>
      <c r="GOA1515" s="879"/>
      <c r="GOB1515" s="879"/>
      <c r="GOC1515" s="879"/>
      <c r="GOD1515" s="879"/>
      <c r="GOE1515" s="879"/>
      <c r="GOF1515" s="879"/>
      <c r="GOG1515" s="879"/>
      <c r="GOH1515" s="879"/>
      <c r="GOI1515" s="879"/>
      <c r="GOJ1515" s="879"/>
      <c r="GOK1515" s="879"/>
      <c r="GOL1515" s="879"/>
      <c r="GOM1515" s="879"/>
      <c r="GON1515" s="879"/>
      <c r="GOO1515" s="879"/>
      <c r="GOP1515" s="879"/>
      <c r="GOQ1515" s="879"/>
      <c r="GOR1515" s="879"/>
      <c r="GOS1515" s="879"/>
      <c r="GOT1515" s="879"/>
      <c r="GOU1515" s="879"/>
      <c r="GOV1515" s="879"/>
      <c r="GOW1515" s="879"/>
      <c r="GOX1515" s="879"/>
      <c r="GOY1515" s="879"/>
      <c r="GOZ1515" s="879"/>
      <c r="GPA1515" s="879"/>
      <c r="GPB1515" s="879"/>
      <c r="GPC1515" s="879"/>
      <c r="GPD1515" s="879"/>
      <c r="GPE1515" s="879"/>
      <c r="GPF1515" s="879"/>
      <c r="GPG1515" s="879"/>
      <c r="GPH1515" s="879"/>
      <c r="GPI1515" s="879"/>
      <c r="GPJ1515" s="879"/>
      <c r="GPK1515" s="879"/>
      <c r="GPL1515" s="879"/>
      <c r="GPM1515" s="879"/>
      <c r="GPN1515" s="879"/>
      <c r="GPO1515" s="879"/>
      <c r="GPP1515" s="879"/>
      <c r="GPQ1515" s="879"/>
      <c r="GPR1515" s="879"/>
      <c r="GPS1515" s="879"/>
      <c r="GPT1515" s="879"/>
      <c r="GPU1515" s="879"/>
      <c r="GPV1515" s="879"/>
      <c r="GPW1515" s="879"/>
      <c r="GPX1515" s="879"/>
      <c r="GPY1515" s="879"/>
      <c r="GPZ1515" s="879"/>
      <c r="GQA1515" s="879"/>
      <c r="GQB1515" s="879"/>
      <c r="GQC1515" s="879"/>
      <c r="GQD1515" s="879"/>
      <c r="GQE1515" s="879"/>
      <c r="GQF1515" s="879"/>
      <c r="GQG1515" s="879"/>
      <c r="GQH1515" s="879"/>
      <c r="GQI1515" s="879"/>
      <c r="GQJ1515" s="879"/>
      <c r="GQK1515" s="879"/>
      <c r="GQL1515" s="879"/>
      <c r="GQM1515" s="879"/>
      <c r="GQN1515" s="879"/>
      <c r="GQO1515" s="879"/>
      <c r="GQP1515" s="879"/>
      <c r="GQQ1515" s="879"/>
      <c r="GQR1515" s="879"/>
      <c r="GQS1515" s="879"/>
      <c r="GQT1515" s="879"/>
      <c r="GQU1515" s="879"/>
      <c r="GQV1515" s="879"/>
      <c r="GQW1515" s="879"/>
      <c r="GQX1515" s="879"/>
      <c r="GQY1515" s="879"/>
      <c r="GQZ1515" s="879"/>
      <c r="GRA1515" s="879"/>
      <c r="GRB1515" s="879"/>
      <c r="GRC1515" s="879"/>
      <c r="GRD1515" s="879"/>
      <c r="GRE1515" s="879"/>
      <c r="GRF1515" s="879"/>
      <c r="GRG1515" s="879"/>
      <c r="GRH1515" s="879"/>
      <c r="GRI1515" s="879"/>
      <c r="GRJ1515" s="879"/>
      <c r="GRK1515" s="879"/>
      <c r="GRL1515" s="879"/>
      <c r="GRM1515" s="879"/>
      <c r="GRN1515" s="879"/>
      <c r="GRO1515" s="879"/>
      <c r="GRP1515" s="879"/>
      <c r="GRQ1515" s="879"/>
      <c r="GRR1515" s="879"/>
      <c r="GRS1515" s="879"/>
      <c r="GRT1515" s="879"/>
      <c r="GRU1515" s="879"/>
      <c r="GRV1515" s="879"/>
      <c r="GRW1515" s="879"/>
      <c r="GRX1515" s="879"/>
      <c r="GRY1515" s="879"/>
      <c r="GRZ1515" s="879"/>
      <c r="GSA1515" s="879"/>
      <c r="GSB1515" s="879"/>
      <c r="GSC1515" s="879"/>
      <c r="GSD1515" s="879"/>
      <c r="GSE1515" s="879"/>
      <c r="GSF1515" s="879"/>
      <c r="GSG1515" s="879"/>
      <c r="GSH1515" s="879"/>
      <c r="GSI1515" s="879"/>
      <c r="GSJ1515" s="879"/>
      <c r="GSK1515" s="879"/>
      <c r="GSL1515" s="879"/>
      <c r="GSM1515" s="879"/>
      <c r="GSN1515" s="879"/>
      <c r="GSO1515" s="879"/>
      <c r="GSP1515" s="879"/>
      <c r="GSQ1515" s="879"/>
      <c r="GSR1515" s="879"/>
      <c r="GSS1515" s="879"/>
      <c r="GST1515" s="879"/>
      <c r="GSU1515" s="879"/>
      <c r="GSV1515" s="879"/>
      <c r="GSW1515" s="879"/>
      <c r="GSX1515" s="879"/>
      <c r="GSY1515" s="879"/>
      <c r="GSZ1515" s="879"/>
      <c r="GTA1515" s="879"/>
      <c r="GTB1515" s="879"/>
      <c r="GTC1515" s="879"/>
      <c r="GTD1515" s="879"/>
      <c r="GTE1515" s="879"/>
      <c r="GTF1515" s="879"/>
      <c r="GTG1515" s="879"/>
      <c r="GTH1515" s="879"/>
      <c r="GTI1515" s="879"/>
      <c r="GTJ1515" s="879"/>
      <c r="GTK1515" s="879"/>
      <c r="GTL1515" s="879"/>
      <c r="GTM1515" s="879"/>
      <c r="GTN1515" s="879"/>
      <c r="GTO1515" s="879"/>
      <c r="GTP1515" s="879"/>
      <c r="GTQ1515" s="879"/>
      <c r="GTR1515" s="879"/>
      <c r="GTS1515" s="879"/>
      <c r="GTT1515" s="879"/>
      <c r="GTU1515" s="879"/>
      <c r="GTV1515" s="879"/>
      <c r="GTW1515" s="879"/>
      <c r="GTX1515" s="879"/>
      <c r="GTY1515" s="879"/>
      <c r="GTZ1515" s="879"/>
      <c r="GUA1515" s="879"/>
      <c r="GUB1515" s="879"/>
      <c r="GUC1515" s="879"/>
      <c r="GUD1515" s="879"/>
      <c r="GUE1515" s="879"/>
      <c r="GUF1515" s="879"/>
      <c r="GUG1515" s="879"/>
      <c r="GUH1515" s="879"/>
      <c r="GUI1515" s="879"/>
      <c r="GUJ1515" s="879"/>
      <c r="GUK1515" s="879"/>
      <c r="GUL1515" s="879"/>
      <c r="GUM1515" s="879"/>
      <c r="GUN1515" s="879"/>
      <c r="GUO1515" s="879"/>
      <c r="GUP1515" s="879"/>
      <c r="GUQ1515" s="879"/>
      <c r="GUR1515" s="879"/>
      <c r="GUS1515" s="879"/>
      <c r="GUT1515" s="879"/>
      <c r="GUU1515" s="879"/>
      <c r="GUV1515" s="879"/>
      <c r="GUW1515" s="879"/>
      <c r="GUX1515" s="879"/>
      <c r="GUY1515" s="879"/>
      <c r="GUZ1515" s="879"/>
      <c r="GVA1515" s="879"/>
      <c r="GVB1515" s="879"/>
      <c r="GVC1515" s="879"/>
      <c r="GVD1515" s="879"/>
      <c r="GVE1515" s="879"/>
      <c r="GVF1515" s="879"/>
      <c r="GVG1515" s="879"/>
      <c r="GVH1515" s="879"/>
      <c r="GVI1515" s="879"/>
      <c r="GVJ1515" s="879"/>
      <c r="GVK1515" s="879"/>
      <c r="GVL1515" s="879"/>
      <c r="GVM1515" s="879"/>
      <c r="GVN1515" s="879"/>
      <c r="GVO1515" s="879"/>
      <c r="GVP1515" s="879"/>
      <c r="GVQ1515" s="879"/>
      <c r="GVR1515" s="879"/>
      <c r="GVS1515" s="879"/>
      <c r="GVT1515" s="879"/>
      <c r="GVU1515" s="879"/>
      <c r="GVV1515" s="879"/>
      <c r="GVW1515" s="879"/>
      <c r="GVX1515" s="879"/>
      <c r="GVY1515" s="879"/>
      <c r="GVZ1515" s="879"/>
      <c r="GWA1515" s="879"/>
      <c r="GWB1515" s="879"/>
      <c r="GWC1515" s="879"/>
      <c r="GWD1515" s="879"/>
      <c r="GWE1515" s="879"/>
      <c r="GWF1515" s="879"/>
      <c r="GWG1515" s="879"/>
      <c r="GWH1515" s="879"/>
      <c r="GWI1515" s="879"/>
      <c r="GWJ1515" s="879"/>
      <c r="GWK1515" s="879"/>
      <c r="GWL1515" s="879"/>
      <c r="GWM1515" s="879"/>
      <c r="GWN1515" s="879"/>
      <c r="GWO1515" s="879"/>
      <c r="GWP1515" s="879"/>
      <c r="GWQ1515" s="879"/>
      <c r="GWR1515" s="879"/>
      <c r="GWS1515" s="879"/>
      <c r="GWT1515" s="879"/>
      <c r="GWU1515" s="879"/>
      <c r="GWV1515" s="879"/>
      <c r="GWW1515" s="879"/>
      <c r="GWX1515" s="879"/>
      <c r="GWY1515" s="879"/>
      <c r="GWZ1515" s="879"/>
      <c r="GXA1515" s="879"/>
      <c r="GXB1515" s="879"/>
      <c r="GXC1515" s="879"/>
      <c r="GXD1515" s="879"/>
      <c r="GXE1515" s="879"/>
      <c r="GXF1515" s="879"/>
      <c r="GXG1515" s="879"/>
      <c r="GXH1515" s="879"/>
      <c r="GXI1515" s="879"/>
      <c r="GXJ1515" s="879"/>
      <c r="GXK1515" s="879"/>
      <c r="GXL1515" s="879"/>
      <c r="GXM1515" s="879"/>
      <c r="GXN1515" s="879"/>
      <c r="GXO1515" s="879"/>
      <c r="GXP1515" s="879"/>
      <c r="GXQ1515" s="879"/>
      <c r="GXR1515" s="879"/>
      <c r="GXS1515" s="879"/>
      <c r="GXT1515" s="879"/>
      <c r="GXU1515" s="879"/>
      <c r="GXV1515" s="879"/>
      <c r="GXW1515" s="879"/>
      <c r="GXX1515" s="879"/>
      <c r="GXY1515" s="879"/>
      <c r="GXZ1515" s="879"/>
      <c r="GYA1515" s="879"/>
      <c r="GYB1515" s="879"/>
      <c r="GYC1515" s="879"/>
      <c r="GYD1515" s="879"/>
      <c r="GYE1515" s="879"/>
      <c r="GYF1515" s="879"/>
      <c r="GYG1515" s="879"/>
      <c r="GYH1515" s="879"/>
      <c r="GYI1515" s="879"/>
      <c r="GYJ1515" s="879"/>
      <c r="GYK1515" s="879"/>
      <c r="GYL1515" s="879"/>
      <c r="GYM1515" s="879"/>
      <c r="GYN1515" s="879"/>
      <c r="GYO1515" s="879"/>
      <c r="GYP1515" s="879"/>
      <c r="GYQ1515" s="879"/>
      <c r="GYR1515" s="879"/>
      <c r="GYS1515" s="879"/>
      <c r="GYT1515" s="879"/>
      <c r="GYU1515" s="879"/>
      <c r="GYV1515" s="879"/>
      <c r="GYW1515" s="879"/>
      <c r="GYX1515" s="879"/>
      <c r="GYY1515" s="879"/>
      <c r="GYZ1515" s="879"/>
      <c r="GZA1515" s="879"/>
      <c r="GZB1515" s="879"/>
      <c r="GZC1515" s="879"/>
      <c r="GZD1515" s="879"/>
      <c r="GZE1515" s="879"/>
      <c r="GZF1515" s="879"/>
      <c r="GZG1515" s="879"/>
      <c r="GZH1515" s="879"/>
      <c r="GZI1515" s="879"/>
      <c r="GZJ1515" s="879"/>
      <c r="GZK1515" s="879"/>
      <c r="GZL1515" s="879"/>
      <c r="GZM1515" s="879"/>
      <c r="GZN1515" s="879"/>
      <c r="GZO1515" s="879"/>
      <c r="GZP1515" s="879"/>
      <c r="GZQ1515" s="879"/>
      <c r="GZR1515" s="879"/>
      <c r="GZS1515" s="879"/>
      <c r="GZT1515" s="879"/>
      <c r="GZU1515" s="879"/>
      <c r="GZV1515" s="879"/>
      <c r="GZW1515" s="879"/>
      <c r="GZX1515" s="879"/>
      <c r="GZY1515" s="879"/>
      <c r="GZZ1515" s="879"/>
      <c r="HAA1515" s="879"/>
      <c r="HAB1515" s="879"/>
      <c r="HAC1515" s="879"/>
      <c r="HAD1515" s="879"/>
      <c r="HAE1515" s="879"/>
      <c r="HAF1515" s="879"/>
      <c r="HAG1515" s="879"/>
      <c r="HAH1515" s="879"/>
      <c r="HAI1515" s="879"/>
      <c r="HAJ1515" s="879"/>
      <c r="HAK1515" s="879"/>
      <c r="HAL1515" s="879"/>
      <c r="HAM1515" s="879"/>
      <c r="HAN1515" s="879"/>
      <c r="HAO1515" s="879"/>
      <c r="HAP1515" s="879"/>
      <c r="HAQ1515" s="879"/>
      <c r="HAR1515" s="879"/>
      <c r="HAS1515" s="879"/>
      <c r="HAT1515" s="879"/>
      <c r="HAU1515" s="879"/>
      <c r="HAV1515" s="879"/>
      <c r="HAW1515" s="879"/>
      <c r="HAX1515" s="879"/>
      <c r="HAY1515" s="879"/>
      <c r="HAZ1515" s="879"/>
      <c r="HBA1515" s="879"/>
      <c r="HBB1515" s="879"/>
      <c r="HBC1515" s="879"/>
      <c r="HBD1515" s="879"/>
      <c r="HBE1515" s="879"/>
      <c r="HBF1515" s="879"/>
      <c r="HBG1515" s="879"/>
      <c r="HBH1515" s="879"/>
      <c r="HBI1515" s="879"/>
      <c r="HBJ1515" s="879"/>
      <c r="HBK1515" s="879"/>
      <c r="HBL1515" s="879"/>
      <c r="HBM1515" s="879"/>
      <c r="HBN1515" s="879"/>
      <c r="HBO1515" s="879"/>
      <c r="HBP1515" s="879"/>
      <c r="HBQ1515" s="879"/>
      <c r="HBR1515" s="879"/>
      <c r="HBS1515" s="879"/>
      <c r="HBT1515" s="879"/>
      <c r="HBU1515" s="879"/>
      <c r="HBV1515" s="879"/>
      <c r="HBW1515" s="879"/>
      <c r="HBX1515" s="879"/>
      <c r="HBY1515" s="879"/>
      <c r="HBZ1515" s="879"/>
      <c r="HCA1515" s="879"/>
      <c r="HCB1515" s="879"/>
      <c r="HCC1515" s="879"/>
      <c r="HCD1515" s="879"/>
      <c r="HCE1515" s="879"/>
      <c r="HCF1515" s="879"/>
      <c r="HCG1515" s="879"/>
      <c r="HCH1515" s="879"/>
      <c r="HCI1515" s="879"/>
      <c r="HCJ1515" s="879"/>
      <c r="HCK1515" s="879"/>
      <c r="HCL1515" s="879"/>
      <c r="HCM1515" s="879"/>
      <c r="HCN1515" s="879"/>
      <c r="HCO1515" s="879"/>
      <c r="HCP1515" s="879"/>
      <c r="HCQ1515" s="879"/>
      <c r="HCR1515" s="879"/>
      <c r="HCS1515" s="879"/>
      <c r="HCT1515" s="879"/>
      <c r="HCU1515" s="879"/>
      <c r="HCV1515" s="879"/>
      <c r="HCW1515" s="879"/>
      <c r="HCX1515" s="879"/>
      <c r="HCY1515" s="879"/>
      <c r="HCZ1515" s="879"/>
      <c r="HDA1515" s="879"/>
      <c r="HDB1515" s="879"/>
      <c r="HDC1515" s="879"/>
      <c r="HDD1515" s="879"/>
      <c r="HDE1515" s="879"/>
      <c r="HDF1515" s="879"/>
      <c r="HDG1515" s="879"/>
      <c r="HDH1515" s="879"/>
      <c r="HDI1515" s="879"/>
      <c r="HDJ1515" s="879"/>
      <c r="HDK1515" s="879"/>
      <c r="HDL1515" s="879"/>
      <c r="HDM1515" s="879"/>
      <c r="HDN1515" s="879"/>
      <c r="HDO1515" s="879"/>
      <c r="HDP1515" s="879"/>
      <c r="HDQ1515" s="879"/>
      <c r="HDR1515" s="879"/>
      <c r="HDS1515" s="879"/>
      <c r="HDT1515" s="879"/>
      <c r="HDU1515" s="879"/>
      <c r="HDV1515" s="879"/>
      <c r="HDW1515" s="879"/>
      <c r="HDX1515" s="879"/>
      <c r="HDY1515" s="879"/>
      <c r="HDZ1515" s="879"/>
      <c r="HEA1515" s="879"/>
      <c r="HEB1515" s="879"/>
      <c r="HEC1515" s="879"/>
      <c r="HED1515" s="879"/>
      <c r="HEE1515" s="879"/>
      <c r="HEF1515" s="879"/>
      <c r="HEG1515" s="879"/>
      <c r="HEH1515" s="879"/>
      <c r="HEI1515" s="879"/>
      <c r="HEJ1515" s="879"/>
      <c r="HEK1515" s="879"/>
      <c r="HEL1515" s="879"/>
      <c r="HEM1515" s="879"/>
      <c r="HEN1515" s="879"/>
      <c r="HEO1515" s="879"/>
      <c r="HEP1515" s="879"/>
      <c r="HEQ1515" s="879"/>
      <c r="HER1515" s="879"/>
      <c r="HES1515" s="879"/>
      <c r="HET1515" s="879"/>
      <c r="HEU1515" s="879"/>
      <c r="HEV1515" s="879"/>
      <c r="HEW1515" s="879"/>
      <c r="HEX1515" s="879"/>
      <c r="HEY1515" s="879"/>
      <c r="HEZ1515" s="879"/>
      <c r="HFA1515" s="879"/>
      <c r="HFB1515" s="879"/>
      <c r="HFC1515" s="879"/>
      <c r="HFD1515" s="879"/>
      <c r="HFE1515" s="879"/>
      <c r="HFF1515" s="879"/>
      <c r="HFG1515" s="879"/>
      <c r="HFH1515" s="879"/>
      <c r="HFI1515" s="879"/>
      <c r="HFJ1515" s="879"/>
      <c r="HFK1515" s="879"/>
      <c r="HFL1515" s="879"/>
      <c r="HFM1515" s="879"/>
      <c r="HFN1515" s="879"/>
      <c r="HFO1515" s="879"/>
      <c r="HFP1515" s="879"/>
      <c r="HFQ1515" s="879"/>
      <c r="HFR1515" s="879"/>
      <c r="HFS1515" s="879"/>
      <c r="HFT1515" s="879"/>
      <c r="HFU1515" s="879"/>
      <c r="HFV1515" s="879"/>
      <c r="HFW1515" s="879"/>
      <c r="HFX1515" s="879"/>
      <c r="HFY1515" s="879"/>
      <c r="HFZ1515" s="879"/>
      <c r="HGA1515" s="879"/>
      <c r="HGB1515" s="879"/>
      <c r="HGC1515" s="879"/>
      <c r="HGD1515" s="879"/>
      <c r="HGE1515" s="879"/>
      <c r="HGF1515" s="879"/>
      <c r="HGG1515" s="879"/>
      <c r="HGH1515" s="879"/>
      <c r="HGI1515" s="879"/>
      <c r="HGJ1515" s="879"/>
      <c r="HGK1515" s="879"/>
      <c r="HGL1515" s="879"/>
      <c r="HGM1515" s="879"/>
      <c r="HGN1515" s="879"/>
      <c r="HGO1515" s="879"/>
      <c r="HGP1515" s="879"/>
      <c r="HGQ1515" s="879"/>
      <c r="HGR1515" s="879"/>
      <c r="HGS1515" s="879"/>
      <c r="HGT1515" s="879"/>
      <c r="HGU1515" s="879"/>
      <c r="HGV1515" s="879"/>
      <c r="HGW1515" s="879"/>
      <c r="HGX1515" s="879"/>
      <c r="HGY1515" s="879"/>
      <c r="HGZ1515" s="879"/>
      <c r="HHA1515" s="879"/>
      <c r="HHB1515" s="879"/>
      <c r="HHC1515" s="879"/>
      <c r="HHD1515" s="879"/>
      <c r="HHE1515" s="879"/>
      <c r="HHF1515" s="879"/>
      <c r="HHG1515" s="879"/>
      <c r="HHH1515" s="879"/>
      <c r="HHI1515" s="879"/>
      <c r="HHJ1515" s="879"/>
      <c r="HHK1515" s="879"/>
      <c r="HHL1515" s="879"/>
      <c r="HHM1515" s="879"/>
      <c r="HHN1515" s="879"/>
      <c r="HHO1515" s="879"/>
      <c r="HHP1515" s="879"/>
      <c r="HHQ1515" s="879"/>
      <c r="HHR1515" s="879"/>
      <c r="HHS1515" s="879"/>
      <c r="HHT1515" s="879"/>
      <c r="HHU1515" s="879"/>
      <c r="HHV1515" s="879"/>
      <c r="HHW1515" s="879"/>
      <c r="HHX1515" s="879"/>
      <c r="HHY1515" s="879"/>
      <c r="HHZ1515" s="879"/>
      <c r="HIA1515" s="879"/>
      <c r="HIB1515" s="879"/>
      <c r="HIC1515" s="879"/>
      <c r="HID1515" s="879"/>
      <c r="HIE1515" s="879"/>
      <c r="HIF1515" s="879"/>
      <c r="HIG1515" s="879"/>
      <c r="HIH1515" s="879"/>
      <c r="HII1515" s="879"/>
      <c r="HIJ1515" s="879"/>
      <c r="HIK1515" s="879"/>
      <c r="HIL1515" s="879"/>
      <c r="HIM1515" s="879"/>
      <c r="HIN1515" s="879"/>
      <c r="HIO1515" s="879"/>
      <c r="HIP1515" s="879"/>
      <c r="HIQ1515" s="879"/>
      <c r="HIR1515" s="879"/>
      <c r="HIS1515" s="879"/>
      <c r="HIT1515" s="879"/>
      <c r="HIU1515" s="879"/>
      <c r="HIV1515" s="879"/>
      <c r="HIW1515" s="879"/>
      <c r="HIX1515" s="879"/>
      <c r="HIY1515" s="879"/>
      <c r="HIZ1515" s="879"/>
      <c r="HJA1515" s="879"/>
      <c r="HJB1515" s="879"/>
      <c r="HJC1515" s="879"/>
      <c r="HJD1515" s="879"/>
      <c r="HJE1515" s="879"/>
      <c r="HJF1515" s="879"/>
      <c r="HJG1515" s="879"/>
      <c r="HJH1515" s="879"/>
      <c r="HJI1515" s="879"/>
      <c r="HJJ1515" s="879"/>
      <c r="HJK1515" s="879"/>
      <c r="HJL1515" s="879"/>
      <c r="HJM1515" s="879"/>
      <c r="HJN1515" s="879"/>
      <c r="HJO1515" s="879"/>
      <c r="HJP1515" s="879"/>
      <c r="HJQ1515" s="879"/>
      <c r="HJR1515" s="879"/>
      <c r="HJS1515" s="879"/>
      <c r="HJT1515" s="879"/>
      <c r="HJU1515" s="879"/>
      <c r="HJV1515" s="879"/>
      <c r="HJW1515" s="879"/>
      <c r="HJX1515" s="879"/>
      <c r="HJY1515" s="879"/>
      <c r="HJZ1515" s="879"/>
      <c r="HKA1515" s="879"/>
      <c r="HKB1515" s="879"/>
      <c r="HKC1515" s="879"/>
      <c r="HKD1515" s="879"/>
      <c r="HKE1515" s="879"/>
      <c r="HKF1515" s="879"/>
      <c r="HKG1515" s="879"/>
      <c r="HKH1515" s="879"/>
      <c r="HKI1515" s="879"/>
      <c r="HKJ1515" s="879"/>
      <c r="HKK1515" s="879"/>
      <c r="HKL1515" s="879"/>
      <c r="HKM1515" s="879"/>
      <c r="HKN1515" s="879"/>
      <c r="HKO1515" s="879"/>
      <c r="HKP1515" s="879"/>
      <c r="HKQ1515" s="879"/>
      <c r="HKR1515" s="879"/>
      <c r="HKS1515" s="879"/>
      <c r="HKT1515" s="879"/>
      <c r="HKU1515" s="879"/>
      <c r="HKV1515" s="879"/>
      <c r="HKW1515" s="879"/>
      <c r="HKX1515" s="879"/>
      <c r="HKY1515" s="879"/>
      <c r="HKZ1515" s="879"/>
      <c r="HLA1515" s="879"/>
      <c r="HLB1515" s="879"/>
      <c r="HLC1515" s="879"/>
      <c r="HLD1515" s="879"/>
      <c r="HLE1515" s="879"/>
      <c r="HLF1515" s="879"/>
      <c r="HLG1515" s="879"/>
      <c r="HLH1515" s="879"/>
      <c r="HLI1515" s="879"/>
      <c r="HLJ1515" s="879"/>
      <c r="HLK1515" s="879"/>
      <c r="HLL1515" s="879"/>
      <c r="HLM1515" s="879"/>
      <c r="HLN1515" s="879"/>
      <c r="HLO1515" s="879"/>
      <c r="HLP1515" s="879"/>
      <c r="HLQ1515" s="879"/>
      <c r="HLR1515" s="879"/>
      <c r="HLS1515" s="879"/>
      <c r="HLT1515" s="879"/>
      <c r="HLU1515" s="879"/>
      <c r="HLV1515" s="879"/>
      <c r="HLW1515" s="879"/>
      <c r="HLX1515" s="879"/>
      <c r="HLY1515" s="879"/>
      <c r="HLZ1515" s="879"/>
      <c r="HMA1515" s="879"/>
      <c r="HMB1515" s="879"/>
      <c r="HMC1515" s="879"/>
      <c r="HMD1515" s="879"/>
      <c r="HME1515" s="879"/>
      <c r="HMF1515" s="879"/>
      <c r="HMG1515" s="879"/>
      <c r="HMH1515" s="879"/>
      <c r="HMI1515" s="879"/>
      <c r="HMJ1515" s="879"/>
      <c r="HMK1515" s="879"/>
      <c r="HML1515" s="879"/>
      <c r="HMM1515" s="879"/>
      <c r="HMN1515" s="879"/>
      <c r="HMO1515" s="879"/>
      <c r="HMP1515" s="879"/>
      <c r="HMQ1515" s="879"/>
      <c r="HMR1515" s="879"/>
      <c r="HMS1515" s="879"/>
      <c r="HMT1515" s="879"/>
      <c r="HMU1515" s="879"/>
      <c r="HMV1515" s="879"/>
      <c r="HMW1515" s="879"/>
      <c r="HMX1515" s="879"/>
      <c r="HMY1515" s="879"/>
      <c r="HMZ1515" s="879"/>
      <c r="HNA1515" s="879"/>
      <c r="HNB1515" s="879"/>
      <c r="HNC1515" s="879"/>
      <c r="HND1515" s="879"/>
      <c r="HNE1515" s="879"/>
      <c r="HNF1515" s="879"/>
      <c r="HNG1515" s="879"/>
      <c r="HNH1515" s="879"/>
      <c r="HNI1515" s="879"/>
      <c r="HNJ1515" s="879"/>
      <c r="HNK1515" s="879"/>
      <c r="HNL1515" s="879"/>
      <c r="HNM1515" s="879"/>
      <c r="HNN1515" s="879"/>
      <c r="HNO1515" s="879"/>
      <c r="HNP1515" s="879"/>
      <c r="HNQ1515" s="879"/>
      <c r="HNR1515" s="879"/>
      <c r="HNS1515" s="879"/>
      <c r="HNT1515" s="879"/>
      <c r="HNU1515" s="879"/>
      <c r="HNV1515" s="879"/>
      <c r="HNW1515" s="879"/>
      <c r="HNX1515" s="879"/>
      <c r="HNY1515" s="879"/>
      <c r="HNZ1515" s="879"/>
      <c r="HOA1515" s="879"/>
      <c r="HOB1515" s="879"/>
      <c r="HOC1515" s="879"/>
      <c r="HOD1515" s="879"/>
      <c r="HOE1515" s="879"/>
      <c r="HOF1515" s="879"/>
      <c r="HOG1515" s="879"/>
      <c r="HOH1515" s="879"/>
      <c r="HOI1515" s="879"/>
      <c r="HOJ1515" s="879"/>
      <c r="HOK1515" s="879"/>
      <c r="HOL1515" s="879"/>
      <c r="HOM1515" s="879"/>
      <c r="HON1515" s="879"/>
      <c r="HOO1515" s="879"/>
      <c r="HOP1515" s="879"/>
      <c r="HOQ1515" s="879"/>
      <c r="HOR1515" s="879"/>
      <c r="HOS1515" s="879"/>
      <c r="HOT1515" s="879"/>
      <c r="HOU1515" s="879"/>
      <c r="HOV1515" s="879"/>
      <c r="HOW1515" s="879"/>
      <c r="HOX1515" s="879"/>
      <c r="HOY1515" s="879"/>
      <c r="HOZ1515" s="879"/>
      <c r="HPA1515" s="879"/>
      <c r="HPB1515" s="879"/>
      <c r="HPC1515" s="879"/>
      <c r="HPD1515" s="879"/>
      <c r="HPE1515" s="879"/>
      <c r="HPF1515" s="879"/>
      <c r="HPG1515" s="879"/>
      <c r="HPH1515" s="879"/>
      <c r="HPI1515" s="879"/>
      <c r="HPJ1515" s="879"/>
      <c r="HPK1515" s="879"/>
      <c r="HPL1515" s="879"/>
      <c r="HPM1515" s="879"/>
      <c r="HPN1515" s="879"/>
      <c r="HPO1515" s="879"/>
      <c r="HPP1515" s="879"/>
      <c r="HPQ1515" s="879"/>
      <c r="HPR1515" s="879"/>
      <c r="HPS1515" s="879"/>
      <c r="HPT1515" s="879"/>
      <c r="HPU1515" s="879"/>
      <c r="HPV1515" s="879"/>
      <c r="HPW1515" s="879"/>
      <c r="HPX1515" s="879"/>
      <c r="HPY1515" s="879"/>
      <c r="HPZ1515" s="879"/>
      <c r="HQA1515" s="879"/>
      <c r="HQB1515" s="879"/>
      <c r="HQC1515" s="879"/>
      <c r="HQD1515" s="879"/>
      <c r="HQE1515" s="879"/>
      <c r="HQF1515" s="879"/>
      <c r="HQG1515" s="879"/>
      <c r="HQH1515" s="879"/>
      <c r="HQI1515" s="879"/>
      <c r="HQJ1515" s="879"/>
      <c r="HQK1515" s="879"/>
      <c r="HQL1515" s="879"/>
      <c r="HQM1515" s="879"/>
      <c r="HQN1515" s="879"/>
      <c r="HQO1515" s="879"/>
      <c r="HQP1515" s="879"/>
      <c r="HQQ1515" s="879"/>
      <c r="HQR1515" s="879"/>
      <c r="HQS1515" s="879"/>
      <c r="HQT1515" s="879"/>
      <c r="HQU1515" s="879"/>
      <c r="HQV1515" s="879"/>
      <c r="HQW1515" s="879"/>
      <c r="HQX1515" s="879"/>
      <c r="HQY1515" s="879"/>
      <c r="HQZ1515" s="879"/>
      <c r="HRA1515" s="879"/>
      <c r="HRB1515" s="879"/>
      <c r="HRC1515" s="879"/>
      <c r="HRD1515" s="879"/>
      <c r="HRE1515" s="879"/>
      <c r="HRF1515" s="879"/>
      <c r="HRG1515" s="879"/>
      <c r="HRH1515" s="879"/>
      <c r="HRI1515" s="879"/>
      <c r="HRJ1515" s="879"/>
      <c r="HRK1515" s="879"/>
      <c r="HRL1515" s="879"/>
      <c r="HRM1515" s="879"/>
      <c r="HRN1515" s="879"/>
      <c r="HRO1515" s="879"/>
      <c r="HRP1515" s="879"/>
      <c r="HRQ1515" s="879"/>
      <c r="HRR1515" s="879"/>
      <c r="HRS1515" s="879"/>
      <c r="HRT1515" s="879"/>
      <c r="HRU1515" s="879"/>
      <c r="HRV1515" s="879"/>
      <c r="HRW1515" s="879"/>
      <c r="HRX1515" s="879"/>
      <c r="HRY1515" s="879"/>
      <c r="HRZ1515" s="879"/>
      <c r="HSA1515" s="879"/>
      <c r="HSB1515" s="879"/>
      <c r="HSC1515" s="879"/>
      <c r="HSD1515" s="879"/>
      <c r="HSE1515" s="879"/>
      <c r="HSF1515" s="879"/>
      <c r="HSG1515" s="879"/>
      <c r="HSH1515" s="879"/>
      <c r="HSI1515" s="879"/>
      <c r="HSJ1515" s="879"/>
      <c r="HSK1515" s="879"/>
      <c r="HSL1515" s="879"/>
      <c r="HSM1515" s="879"/>
      <c r="HSN1515" s="879"/>
      <c r="HSO1515" s="879"/>
      <c r="HSP1515" s="879"/>
      <c r="HSQ1515" s="879"/>
      <c r="HSR1515" s="879"/>
      <c r="HSS1515" s="879"/>
      <c r="HST1515" s="879"/>
      <c r="HSU1515" s="879"/>
      <c r="HSV1515" s="879"/>
      <c r="HSW1515" s="879"/>
      <c r="HSX1515" s="879"/>
      <c r="HSY1515" s="879"/>
      <c r="HSZ1515" s="879"/>
      <c r="HTA1515" s="879"/>
      <c r="HTB1515" s="879"/>
      <c r="HTC1515" s="879"/>
      <c r="HTD1515" s="879"/>
      <c r="HTE1515" s="879"/>
      <c r="HTF1515" s="879"/>
      <c r="HTG1515" s="879"/>
      <c r="HTH1515" s="879"/>
      <c r="HTI1515" s="879"/>
      <c r="HTJ1515" s="879"/>
      <c r="HTK1515" s="879"/>
      <c r="HTL1515" s="879"/>
      <c r="HTM1515" s="879"/>
      <c r="HTN1515" s="879"/>
      <c r="HTO1515" s="879"/>
      <c r="HTP1515" s="879"/>
      <c r="HTQ1515" s="879"/>
      <c r="HTR1515" s="879"/>
      <c r="HTS1515" s="879"/>
      <c r="HTT1515" s="879"/>
      <c r="HTU1515" s="879"/>
      <c r="HTV1515" s="879"/>
      <c r="HTW1515" s="879"/>
      <c r="HTX1515" s="879"/>
      <c r="HTY1515" s="879"/>
      <c r="HTZ1515" s="879"/>
      <c r="HUA1515" s="879"/>
      <c r="HUB1515" s="879"/>
      <c r="HUC1515" s="879"/>
      <c r="HUD1515" s="879"/>
      <c r="HUE1515" s="879"/>
      <c r="HUF1515" s="879"/>
      <c r="HUG1515" s="879"/>
      <c r="HUH1515" s="879"/>
      <c r="HUI1515" s="879"/>
      <c r="HUJ1515" s="879"/>
      <c r="HUK1515" s="879"/>
      <c r="HUL1515" s="879"/>
      <c r="HUM1515" s="879"/>
      <c r="HUN1515" s="879"/>
      <c r="HUO1515" s="879"/>
      <c r="HUP1515" s="879"/>
      <c r="HUQ1515" s="879"/>
      <c r="HUR1515" s="879"/>
      <c r="HUS1515" s="879"/>
      <c r="HUT1515" s="879"/>
      <c r="HUU1515" s="879"/>
      <c r="HUV1515" s="879"/>
      <c r="HUW1515" s="879"/>
      <c r="HUX1515" s="879"/>
      <c r="HUY1515" s="879"/>
      <c r="HUZ1515" s="879"/>
      <c r="HVA1515" s="879"/>
      <c r="HVB1515" s="879"/>
      <c r="HVC1515" s="879"/>
      <c r="HVD1515" s="879"/>
      <c r="HVE1515" s="879"/>
      <c r="HVF1515" s="879"/>
      <c r="HVG1515" s="879"/>
      <c r="HVH1515" s="879"/>
      <c r="HVI1515" s="879"/>
      <c r="HVJ1515" s="879"/>
      <c r="HVK1515" s="879"/>
      <c r="HVL1515" s="879"/>
      <c r="HVM1515" s="879"/>
      <c r="HVN1515" s="879"/>
      <c r="HVO1515" s="879"/>
      <c r="HVP1515" s="879"/>
      <c r="HVQ1515" s="879"/>
      <c r="HVR1515" s="879"/>
      <c r="HVS1515" s="879"/>
      <c r="HVT1515" s="879"/>
      <c r="HVU1515" s="879"/>
      <c r="HVV1515" s="879"/>
      <c r="HVW1515" s="879"/>
      <c r="HVX1515" s="879"/>
      <c r="HVY1515" s="879"/>
      <c r="HVZ1515" s="879"/>
      <c r="HWA1515" s="879"/>
      <c r="HWB1515" s="879"/>
      <c r="HWC1515" s="879"/>
      <c r="HWD1515" s="879"/>
      <c r="HWE1515" s="879"/>
      <c r="HWF1515" s="879"/>
      <c r="HWG1515" s="879"/>
      <c r="HWH1515" s="879"/>
      <c r="HWI1515" s="879"/>
      <c r="HWJ1515" s="879"/>
      <c r="HWK1515" s="879"/>
      <c r="HWL1515" s="879"/>
      <c r="HWM1515" s="879"/>
      <c r="HWN1515" s="879"/>
      <c r="HWO1515" s="879"/>
      <c r="HWP1515" s="879"/>
      <c r="HWQ1515" s="879"/>
      <c r="HWR1515" s="879"/>
      <c r="HWS1515" s="879"/>
      <c r="HWT1515" s="879"/>
      <c r="HWU1515" s="879"/>
      <c r="HWV1515" s="879"/>
      <c r="HWW1515" s="879"/>
      <c r="HWX1515" s="879"/>
      <c r="HWY1515" s="879"/>
      <c r="HWZ1515" s="879"/>
      <c r="HXA1515" s="879"/>
      <c r="HXB1515" s="879"/>
      <c r="HXC1515" s="879"/>
      <c r="HXD1515" s="879"/>
      <c r="HXE1515" s="879"/>
      <c r="HXF1515" s="879"/>
      <c r="HXG1515" s="879"/>
      <c r="HXH1515" s="879"/>
      <c r="HXI1515" s="879"/>
      <c r="HXJ1515" s="879"/>
      <c r="HXK1515" s="879"/>
      <c r="HXL1515" s="879"/>
      <c r="HXM1515" s="879"/>
      <c r="HXN1515" s="879"/>
      <c r="HXO1515" s="879"/>
      <c r="HXP1515" s="879"/>
      <c r="HXQ1515" s="879"/>
      <c r="HXR1515" s="879"/>
      <c r="HXS1515" s="879"/>
      <c r="HXT1515" s="879"/>
      <c r="HXU1515" s="879"/>
      <c r="HXV1515" s="879"/>
      <c r="HXW1515" s="879"/>
      <c r="HXX1515" s="879"/>
      <c r="HXY1515" s="879"/>
      <c r="HXZ1515" s="879"/>
      <c r="HYA1515" s="879"/>
      <c r="HYB1515" s="879"/>
      <c r="HYC1515" s="879"/>
      <c r="HYD1515" s="879"/>
      <c r="HYE1515" s="879"/>
      <c r="HYF1515" s="879"/>
      <c r="HYG1515" s="879"/>
      <c r="HYH1515" s="879"/>
      <c r="HYI1515" s="879"/>
      <c r="HYJ1515" s="879"/>
      <c r="HYK1515" s="879"/>
      <c r="HYL1515" s="879"/>
      <c r="HYM1515" s="879"/>
      <c r="HYN1515" s="879"/>
      <c r="HYO1515" s="879"/>
      <c r="HYP1515" s="879"/>
      <c r="HYQ1515" s="879"/>
      <c r="HYR1515" s="879"/>
      <c r="HYS1515" s="879"/>
      <c r="HYT1515" s="879"/>
      <c r="HYU1515" s="879"/>
      <c r="HYV1515" s="879"/>
      <c r="HYW1515" s="879"/>
      <c r="HYX1515" s="879"/>
      <c r="HYY1515" s="879"/>
      <c r="HYZ1515" s="879"/>
      <c r="HZA1515" s="879"/>
      <c r="HZB1515" s="879"/>
      <c r="HZC1515" s="879"/>
      <c r="HZD1515" s="879"/>
      <c r="HZE1515" s="879"/>
      <c r="HZF1515" s="879"/>
      <c r="HZG1515" s="879"/>
      <c r="HZH1515" s="879"/>
      <c r="HZI1515" s="879"/>
      <c r="HZJ1515" s="879"/>
      <c r="HZK1515" s="879"/>
      <c r="HZL1515" s="879"/>
      <c r="HZM1515" s="879"/>
      <c r="HZN1515" s="879"/>
      <c r="HZO1515" s="879"/>
      <c r="HZP1515" s="879"/>
      <c r="HZQ1515" s="879"/>
      <c r="HZR1515" s="879"/>
      <c r="HZS1515" s="879"/>
      <c r="HZT1515" s="879"/>
      <c r="HZU1515" s="879"/>
      <c r="HZV1515" s="879"/>
      <c r="HZW1515" s="879"/>
      <c r="HZX1515" s="879"/>
      <c r="HZY1515" s="879"/>
      <c r="HZZ1515" s="879"/>
      <c r="IAA1515" s="879"/>
      <c r="IAB1515" s="879"/>
      <c r="IAC1515" s="879"/>
      <c r="IAD1515" s="879"/>
      <c r="IAE1515" s="879"/>
      <c r="IAF1515" s="879"/>
      <c r="IAG1515" s="879"/>
      <c r="IAH1515" s="879"/>
      <c r="IAI1515" s="879"/>
      <c r="IAJ1515" s="879"/>
      <c r="IAK1515" s="879"/>
      <c r="IAL1515" s="879"/>
      <c r="IAM1515" s="879"/>
      <c r="IAN1515" s="879"/>
      <c r="IAO1515" s="879"/>
      <c r="IAP1515" s="879"/>
      <c r="IAQ1515" s="879"/>
      <c r="IAR1515" s="879"/>
      <c r="IAS1515" s="879"/>
      <c r="IAT1515" s="879"/>
      <c r="IAU1515" s="879"/>
      <c r="IAV1515" s="879"/>
      <c r="IAW1515" s="879"/>
      <c r="IAX1515" s="879"/>
      <c r="IAY1515" s="879"/>
      <c r="IAZ1515" s="879"/>
      <c r="IBA1515" s="879"/>
      <c r="IBB1515" s="879"/>
      <c r="IBC1515" s="879"/>
      <c r="IBD1515" s="879"/>
      <c r="IBE1515" s="879"/>
      <c r="IBF1515" s="879"/>
      <c r="IBG1515" s="879"/>
      <c r="IBH1515" s="879"/>
      <c r="IBI1515" s="879"/>
      <c r="IBJ1515" s="879"/>
      <c r="IBK1515" s="879"/>
      <c r="IBL1515" s="879"/>
      <c r="IBM1515" s="879"/>
      <c r="IBN1515" s="879"/>
      <c r="IBO1515" s="879"/>
      <c r="IBP1515" s="879"/>
      <c r="IBQ1515" s="879"/>
      <c r="IBR1515" s="879"/>
      <c r="IBS1515" s="879"/>
      <c r="IBT1515" s="879"/>
      <c r="IBU1515" s="879"/>
      <c r="IBV1515" s="879"/>
      <c r="IBW1515" s="879"/>
      <c r="IBX1515" s="879"/>
      <c r="IBY1515" s="879"/>
      <c r="IBZ1515" s="879"/>
      <c r="ICA1515" s="879"/>
      <c r="ICB1515" s="879"/>
      <c r="ICC1515" s="879"/>
      <c r="ICD1515" s="879"/>
      <c r="ICE1515" s="879"/>
      <c r="ICF1515" s="879"/>
      <c r="ICG1515" s="879"/>
      <c r="ICH1515" s="879"/>
      <c r="ICI1515" s="879"/>
      <c r="ICJ1515" s="879"/>
      <c r="ICK1515" s="879"/>
      <c r="ICL1515" s="879"/>
      <c r="ICM1515" s="879"/>
      <c r="ICN1515" s="879"/>
      <c r="ICO1515" s="879"/>
      <c r="ICP1515" s="879"/>
      <c r="ICQ1515" s="879"/>
      <c r="ICR1515" s="879"/>
      <c r="ICS1515" s="879"/>
      <c r="ICT1515" s="879"/>
      <c r="ICU1515" s="879"/>
      <c r="ICV1515" s="879"/>
      <c r="ICW1515" s="879"/>
      <c r="ICX1515" s="879"/>
      <c r="ICY1515" s="879"/>
      <c r="ICZ1515" s="879"/>
      <c r="IDA1515" s="879"/>
      <c r="IDB1515" s="879"/>
      <c r="IDC1515" s="879"/>
      <c r="IDD1515" s="879"/>
      <c r="IDE1515" s="879"/>
      <c r="IDF1515" s="879"/>
      <c r="IDG1515" s="879"/>
      <c r="IDH1515" s="879"/>
      <c r="IDI1515" s="879"/>
      <c r="IDJ1515" s="879"/>
      <c r="IDK1515" s="879"/>
      <c r="IDL1515" s="879"/>
      <c r="IDM1515" s="879"/>
      <c r="IDN1515" s="879"/>
      <c r="IDO1515" s="879"/>
      <c r="IDP1515" s="879"/>
      <c r="IDQ1515" s="879"/>
      <c r="IDR1515" s="879"/>
      <c r="IDS1515" s="879"/>
      <c r="IDT1515" s="879"/>
      <c r="IDU1515" s="879"/>
      <c r="IDV1515" s="879"/>
      <c r="IDW1515" s="879"/>
      <c r="IDX1515" s="879"/>
      <c r="IDY1515" s="879"/>
      <c r="IDZ1515" s="879"/>
      <c r="IEA1515" s="879"/>
      <c r="IEB1515" s="879"/>
      <c r="IEC1515" s="879"/>
      <c r="IED1515" s="879"/>
      <c r="IEE1515" s="879"/>
      <c r="IEF1515" s="879"/>
      <c r="IEG1515" s="879"/>
      <c r="IEH1515" s="879"/>
      <c r="IEI1515" s="879"/>
      <c r="IEJ1515" s="879"/>
      <c r="IEK1515" s="879"/>
      <c r="IEL1515" s="879"/>
      <c r="IEM1515" s="879"/>
      <c r="IEN1515" s="879"/>
      <c r="IEO1515" s="879"/>
      <c r="IEP1515" s="879"/>
      <c r="IEQ1515" s="879"/>
      <c r="IER1515" s="879"/>
      <c r="IES1515" s="879"/>
      <c r="IET1515" s="879"/>
      <c r="IEU1515" s="879"/>
      <c r="IEV1515" s="879"/>
      <c r="IEW1515" s="879"/>
      <c r="IEX1515" s="879"/>
      <c r="IEY1515" s="879"/>
      <c r="IEZ1515" s="879"/>
      <c r="IFA1515" s="879"/>
      <c r="IFB1515" s="879"/>
      <c r="IFC1515" s="879"/>
      <c r="IFD1515" s="879"/>
      <c r="IFE1515" s="879"/>
      <c r="IFF1515" s="879"/>
      <c r="IFG1515" s="879"/>
      <c r="IFH1515" s="879"/>
      <c r="IFI1515" s="879"/>
      <c r="IFJ1515" s="879"/>
      <c r="IFK1515" s="879"/>
      <c r="IFL1515" s="879"/>
      <c r="IFM1515" s="879"/>
      <c r="IFN1515" s="879"/>
      <c r="IFO1515" s="879"/>
      <c r="IFP1515" s="879"/>
      <c r="IFQ1515" s="879"/>
      <c r="IFR1515" s="879"/>
      <c r="IFS1515" s="879"/>
      <c r="IFT1515" s="879"/>
      <c r="IFU1515" s="879"/>
      <c r="IFV1515" s="879"/>
      <c r="IFW1515" s="879"/>
      <c r="IFX1515" s="879"/>
      <c r="IFY1515" s="879"/>
      <c r="IFZ1515" s="879"/>
      <c r="IGA1515" s="879"/>
      <c r="IGB1515" s="879"/>
      <c r="IGC1515" s="879"/>
      <c r="IGD1515" s="879"/>
      <c r="IGE1515" s="879"/>
      <c r="IGF1515" s="879"/>
      <c r="IGG1515" s="879"/>
      <c r="IGH1515" s="879"/>
      <c r="IGI1515" s="879"/>
      <c r="IGJ1515" s="879"/>
      <c r="IGK1515" s="879"/>
      <c r="IGL1515" s="879"/>
      <c r="IGM1515" s="879"/>
      <c r="IGN1515" s="879"/>
      <c r="IGO1515" s="879"/>
      <c r="IGP1515" s="879"/>
      <c r="IGQ1515" s="879"/>
      <c r="IGR1515" s="879"/>
      <c r="IGS1515" s="879"/>
      <c r="IGT1515" s="879"/>
      <c r="IGU1515" s="879"/>
      <c r="IGV1515" s="879"/>
      <c r="IGW1515" s="879"/>
      <c r="IGX1515" s="879"/>
      <c r="IGY1515" s="879"/>
      <c r="IGZ1515" s="879"/>
      <c r="IHA1515" s="879"/>
      <c r="IHB1515" s="879"/>
      <c r="IHC1515" s="879"/>
      <c r="IHD1515" s="879"/>
      <c r="IHE1515" s="879"/>
      <c r="IHF1515" s="879"/>
      <c r="IHG1515" s="879"/>
      <c r="IHH1515" s="879"/>
      <c r="IHI1515" s="879"/>
      <c r="IHJ1515" s="879"/>
      <c r="IHK1515" s="879"/>
      <c r="IHL1515" s="879"/>
      <c r="IHM1515" s="879"/>
      <c r="IHN1515" s="879"/>
      <c r="IHO1515" s="879"/>
      <c r="IHP1515" s="879"/>
      <c r="IHQ1515" s="879"/>
      <c r="IHR1515" s="879"/>
      <c r="IHS1515" s="879"/>
      <c r="IHT1515" s="879"/>
      <c r="IHU1515" s="879"/>
      <c r="IHV1515" s="879"/>
      <c r="IHW1515" s="879"/>
      <c r="IHX1515" s="879"/>
      <c r="IHY1515" s="879"/>
      <c r="IHZ1515" s="879"/>
      <c r="IIA1515" s="879"/>
      <c r="IIB1515" s="879"/>
      <c r="IIC1515" s="879"/>
      <c r="IID1515" s="879"/>
      <c r="IIE1515" s="879"/>
      <c r="IIF1515" s="879"/>
      <c r="IIG1515" s="879"/>
      <c r="IIH1515" s="879"/>
      <c r="III1515" s="879"/>
      <c r="IIJ1515" s="879"/>
      <c r="IIK1515" s="879"/>
      <c r="IIL1515" s="879"/>
      <c r="IIM1515" s="879"/>
      <c r="IIN1515" s="879"/>
      <c r="IIO1515" s="879"/>
      <c r="IIP1515" s="879"/>
      <c r="IIQ1515" s="879"/>
      <c r="IIR1515" s="879"/>
      <c r="IIS1515" s="879"/>
      <c r="IIT1515" s="879"/>
      <c r="IIU1515" s="879"/>
      <c r="IIV1515" s="879"/>
      <c r="IIW1515" s="879"/>
      <c r="IIX1515" s="879"/>
      <c r="IIY1515" s="879"/>
      <c r="IIZ1515" s="879"/>
      <c r="IJA1515" s="879"/>
      <c r="IJB1515" s="879"/>
      <c r="IJC1515" s="879"/>
      <c r="IJD1515" s="879"/>
      <c r="IJE1515" s="879"/>
      <c r="IJF1515" s="879"/>
      <c r="IJG1515" s="879"/>
      <c r="IJH1515" s="879"/>
      <c r="IJI1515" s="879"/>
      <c r="IJJ1515" s="879"/>
      <c r="IJK1515" s="879"/>
      <c r="IJL1515" s="879"/>
      <c r="IJM1515" s="879"/>
      <c r="IJN1515" s="879"/>
      <c r="IJO1515" s="879"/>
      <c r="IJP1515" s="879"/>
      <c r="IJQ1515" s="879"/>
      <c r="IJR1515" s="879"/>
      <c r="IJS1515" s="879"/>
      <c r="IJT1515" s="879"/>
      <c r="IJU1515" s="879"/>
      <c r="IJV1515" s="879"/>
      <c r="IJW1515" s="879"/>
      <c r="IJX1515" s="879"/>
      <c r="IJY1515" s="879"/>
      <c r="IJZ1515" s="879"/>
      <c r="IKA1515" s="879"/>
      <c r="IKB1515" s="879"/>
      <c r="IKC1515" s="879"/>
      <c r="IKD1515" s="879"/>
      <c r="IKE1515" s="879"/>
      <c r="IKF1515" s="879"/>
      <c r="IKG1515" s="879"/>
      <c r="IKH1515" s="879"/>
      <c r="IKI1515" s="879"/>
      <c r="IKJ1515" s="879"/>
      <c r="IKK1515" s="879"/>
      <c r="IKL1515" s="879"/>
      <c r="IKM1515" s="879"/>
      <c r="IKN1515" s="879"/>
      <c r="IKO1515" s="879"/>
      <c r="IKP1515" s="879"/>
      <c r="IKQ1515" s="879"/>
      <c r="IKR1515" s="879"/>
      <c r="IKS1515" s="879"/>
      <c r="IKT1515" s="879"/>
      <c r="IKU1515" s="879"/>
      <c r="IKV1515" s="879"/>
      <c r="IKW1515" s="879"/>
      <c r="IKX1515" s="879"/>
      <c r="IKY1515" s="879"/>
      <c r="IKZ1515" s="879"/>
      <c r="ILA1515" s="879"/>
      <c r="ILB1515" s="879"/>
      <c r="ILC1515" s="879"/>
      <c r="ILD1515" s="879"/>
      <c r="ILE1515" s="879"/>
      <c r="ILF1515" s="879"/>
      <c r="ILG1515" s="879"/>
      <c r="ILH1515" s="879"/>
      <c r="ILI1515" s="879"/>
      <c r="ILJ1515" s="879"/>
      <c r="ILK1515" s="879"/>
      <c r="ILL1515" s="879"/>
      <c r="ILM1515" s="879"/>
      <c r="ILN1515" s="879"/>
      <c r="ILO1515" s="879"/>
      <c r="ILP1515" s="879"/>
      <c r="ILQ1515" s="879"/>
      <c r="ILR1515" s="879"/>
      <c r="ILS1515" s="879"/>
      <c r="ILT1515" s="879"/>
      <c r="ILU1515" s="879"/>
      <c r="ILV1515" s="879"/>
      <c r="ILW1515" s="879"/>
      <c r="ILX1515" s="879"/>
      <c r="ILY1515" s="879"/>
      <c r="ILZ1515" s="879"/>
      <c r="IMA1515" s="879"/>
      <c r="IMB1515" s="879"/>
      <c r="IMC1515" s="879"/>
      <c r="IMD1515" s="879"/>
      <c r="IME1515" s="879"/>
      <c r="IMF1515" s="879"/>
      <c r="IMG1515" s="879"/>
      <c r="IMH1515" s="879"/>
      <c r="IMI1515" s="879"/>
      <c r="IMJ1515" s="879"/>
      <c r="IMK1515" s="879"/>
      <c r="IML1515" s="879"/>
      <c r="IMM1515" s="879"/>
      <c r="IMN1515" s="879"/>
      <c r="IMO1515" s="879"/>
      <c r="IMP1515" s="879"/>
      <c r="IMQ1515" s="879"/>
      <c r="IMR1515" s="879"/>
      <c r="IMS1515" s="879"/>
      <c r="IMT1515" s="879"/>
      <c r="IMU1515" s="879"/>
      <c r="IMV1515" s="879"/>
      <c r="IMW1515" s="879"/>
      <c r="IMX1515" s="879"/>
      <c r="IMY1515" s="879"/>
      <c r="IMZ1515" s="879"/>
      <c r="INA1515" s="879"/>
      <c r="INB1515" s="879"/>
      <c r="INC1515" s="879"/>
      <c r="IND1515" s="879"/>
      <c r="INE1515" s="879"/>
      <c r="INF1515" s="879"/>
      <c r="ING1515" s="879"/>
      <c r="INH1515" s="879"/>
      <c r="INI1515" s="879"/>
      <c r="INJ1515" s="879"/>
      <c r="INK1515" s="879"/>
      <c r="INL1515" s="879"/>
      <c r="INM1515" s="879"/>
      <c r="INN1515" s="879"/>
      <c r="INO1515" s="879"/>
      <c r="INP1515" s="879"/>
      <c r="INQ1515" s="879"/>
      <c r="INR1515" s="879"/>
      <c r="INS1515" s="879"/>
      <c r="INT1515" s="879"/>
      <c r="INU1515" s="879"/>
      <c r="INV1515" s="879"/>
      <c r="INW1515" s="879"/>
      <c r="INX1515" s="879"/>
      <c r="INY1515" s="879"/>
      <c r="INZ1515" s="879"/>
      <c r="IOA1515" s="879"/>
      <c r="IOB1515" s="879"/>
      <c r="IOC1515" s="879"/>
      <c r="IOD1515" s="879"/>
      <c r="IOE1515" s="879"/>
      <c r="IOF1515" s="879"/>
      <c r="IOG1515" s="879"/>
      <c r="IOH1515" s="879"/>
      <c r="IOI1515" s="879"/>
      <c r="IOJ1515" s="879"/>
      <c r="IOK1515" s="879"/>
      <c r="IOL1515" s="879"/>
      <c r="IOM1515" s="879"/>
      <c r="ION1515" s="879"/>
      <c r="IOO1515" s="879"/>
      <c r="IOP1515" s="879"/>
      <c r="IOQ1515" s="879"/>
      <c r="IOR1515" s="879"/>
      <c r="IOS1515" s="879"/>
      <c r="IOT1515" s="879"/>
      <c r="IOU1515" s="879"/>
      <c r="IOV1515" s="879"/>
      <c r="IOW1515" s="879"/>
      <c r="IOX1515" s="879"/>
      <c r="IOY1515" s="879"/>
      <c r="IOZ1515" s="879"/>
      <c r="IPA1515" s="879"/>
      <c r="IPB1515" s="879"/>
      <c r="IPC1515" s="879"/>
      <c r="IPD1515" s="879"/>
      <c r="IPE1515" s="879"/>
      <c r="IPF1515" s="879"/>
      <c r="IPG1515" s="879"/>
      <c r="IPH1515" s="879"/>
      <c r="IPI1515" s="879"/>
      <c r="IPJ1515" s="879"/>
      <c r="IPK1515" s="879"/>
      <c r="IPL1515" s="879"/>
      <c r="IPM1515" s="879"/>
      <c r="IPN1515" s="879"/>
      <c r="IPO1515" s="879"/>
      <c r="IPP1515" s="879"/>
      <c r="IPQ1515" s="879"/>
      <c r="IPR1515" s="879"/>
      <c r="IPS1515" s="879"/>
      <c r="IPT1515" s="879"/>
      <c r="IPU1515" s="879"/>
      <c r="IPV1515" s="879"/>
      <c r="IPW1515" s="879"/>
      <c r="IPX1515" s="879"/>
      <c r="IPY1515" s="879"/>
      <c r="IPZ1515" s="879"/>
      <c r="IQA1515" s="879"/>
      <c r="IQB1515" s="879"/>
      <c r="IQC1515" s="879"/>
      <c r="IQD1515" s="879"/>
      <c r="IQE1515" s="879"/>
      <c r="IQF1515" s="879"/>
      <c r="IQG1515" s="879"/>
      <c r="IQH1515" s="879"/>
      <c r="IQI1515" s="879"/>
      <c r="IQJ1515" s="879"/>
      <c r="IQK1515" s="879"/>
      <c r="IQL1515" s="879"/>
      <c r="IQM1515" s="879"/>
      <c r="IQN1515" s="879"/>
      <c r="IQO1515" s="879"/>
      <c r="IQP1515" s="879"/>
      <c r="IQQ1515" s="879"/>
      <c r="IQR1515" s="879"/>
      <c r="IQS1515" s="879"/>
      <c r="IQT1515" s="879"/>
      <c r="IQU1515" s="879"/>
      <c r="IQV1515" s="879"/>
      <c r="IQW1515" s="879"/>
      <c r="IQX1515" s="879"/>
      <c r="IQY1515" s="879"/>
      <c r="IQZ1515" s="879"/>
      <c r="IRA1515" s="879"/>
      <c r="IRB1515" s="879"/>
      <c r="IRC1515" s="879"/>
      <c r="IRD1515" s="879"/>
      <c r="IRE1515" s="879"/>
      <c r="IRF1515" s="879"/>
      <c r="IRG1515" s="879"/>
      <c r="IRH1515" s="879"/>
      <c r="IRI1515" s="879"/>
      <c r="IRJ1515" s="879"/>
      <c r="IRK1515" s="879"/>
      <c r="IRL1515" s="879"/>
      <c r="IRM1515" s="879"/>
      <c r="IRN1515" s="879"/>
      <c r="IRO1515" s="879"/>
      <c r="IRP1515" s="879"/>
      <c r="IRQ1515" s="879"/>
      <c r="IRR1515" s="879"/>
      <c r="IRS1515" s="879"/>
      <c r="IRT1515" s="879"/>
      <c r="IRU1515" s="879"/>
      <c r="IRV1515" s="879"/>
      <c r="IRW1515" s="879"/>
      <c r="IRX1515" s="879"/>
      <c r="IRY1515" s="879"/>
      <c r="IRZ1515" s="879"/>
      <c r="ISA1515" s="879"/>
      <c r="ISB1515" s="879"/>
      <c r="ISC1515" s="879"/>
      <c r="ISD1515" s="879"/>
      <c r="ISE1515" s="879"/>
      <c r="ISF1515" s="879"/>
      <c r="ISG1515" s="879"/>
      <c r="ISH1515" s="879"/>
      <c r="ISI1515" s="879"/>
      <c r="ISJ1515" s="879"/>
      <c r="ISK1515" s="879"/>
      <c r="ISL1515" s="879"/>
      <c r="ISM1515" s="879"/>
      <c r="ISN1515" s="879"/>
      <c r="ISO1515" s="879"/>
      <c r="ISP1515" s="879"/>
      <c r="ISQ1515" s="879"/>
      <c r="ISR1515" s="879"/>
      <c r="ISS1515" s="879"/>
      <c r="IST1515" s="879"/>
      <c r="ISU1515" s="879"/>
      <c r="ISV1515" s="879"/>
      <c r="ISW1515" s="879"/>
      <c r="ISX1515" s="879"/>
      <c r="ISY1515" s="879"/>
      <c r="ISZ1515" s="879"/>
      <c r="ITA1515" s="879"/>
      <c r="ITB1515" s="879"/>
      <c r="ITC1515" s="879"/>
      <c r="ITD1515" s="879"/>
      <c r="ITE1515" s="879"/>
      <c r="ITF1515" s="879"/>
      <c r="ITG1515" s="879"/>
      <c r="ITH1515" s="879"/>
      <c r="ITI1515" s="879"/>
      <c r="ITJ1515" s="879"/>
      <c r="ITK1515" s="879"/>
      <c r="ITL1515" s="879"/>
      <c r="ITM1515" s="879"/>
      <c r="ITN1515" s="879"/>
      <c r="ITO1515" s="879"/>
      <c r="ITP1515" s="879"/>
      <c r="ITQ1515" s="879"/>
      <c r="ITR1515" s="879"/>
      <c r="ITS1515" s="879"/>
      <c r="ITT1515" s="879"/>
      <c r="ITU1515" s="879"/>
      <c r="ITV1515" s="879"/>
      <c r="ITW1515" s="879"/>
      <c r="ITX1515" s="879"/>
      <c r="ITY1515" s="879"/>
      <c r="ITZ1515" s="879"/>
      <c r="IUA1515" s="879"/>
      <c r="IUB1515" s="879"/>
      <c r="IUC1515" s="879"/>
      <c r="IUD1515" s="879"/>
      <c r="IUE1515" s="879"/>
      <c r="IUF1515" s="879"/>
      <c r="IUG1515" s="879"/>
      <c r="IUH1515" s="879"/>
      <c r="IUI1515" s="879"/>
      <c r="IUJ1515" s="879"/>
      <c r="IUK1515" s="879"/>
      <c r="IUL1515" s="879"/>
      <c r="IUM1515" s="879"/>
      <c r="IUN1515" s="879"/>
      <c r="IUO1515" s="879"/>
      <c r="IUP1515" s="879"/>
      <c r="IUQ1515" s="879"/>
      <c r="IUR1515" s="879"/>
      <c r="IUS1515" s="879"/>
      <c r="IUT1515" s="879"/>
      <c r="IUU1515" s="879"/>
      <c r="IUV1515" s="879"/>
      <c r="IUW1515" s="879"/>
      <c r="IUX1515" s="879"/>
      <c r="IUY1515" s="879"/>
      <c r="IUZ1515" s="879"/>
      <c r="IVA1515" s="879"/>
      <c r="IVB1515" s="879"/>
      <c r="IVC1515" s="879"/>
      <c r="IVD1515" s="879"/>
      <c r="IVE1515" s="879"/>
      <c r="IVF1515" s="879"/>
      <c r="IVG1515" s="879"/>
      <c r="IVH1515" s="879"/>
      <c r="IVI1515" s="879"/>
      <c r="IVJ1515" s="879"/>
      <c r="IVK1515" s="879"/>
      <c r="IVL1515" s="879"/>
      <c r="IVM1515" s="879"/>
      <c r="IVN1515" s="879"/>
      <c r="IVO1515" s="879"/>
      <c r="IVP1515" s="879"/>
      <c r="IVQ1515" s="879"/>
      <c r="IVR1515" s="879"/>
      <c r="IVS1515" s="879"/>
      <c r="IVT1515" s="879"/>
      <c r="IVU1515" s="879"/>
      <c r="IVV1515" s="879"/>
      <c r="IVW1515" s="879"/>
      <c r="IVX1515" s="879"/>
      <c r="IVY1515" s="879"/>
      <c r="IVZ1515" s="879"/>
      <c r="IWA1515" s="879"/>
      <c r="IWB1515" s="879"/>
      <c r="IWC1515" s="879"/>
      <c r="IWD1515" s="879"/>
      <c r="IWE1515" s="879"/>
      <c r="IWF1515" s="879"/>
      <c r="IWG1515" s="879"/>
      <c r="IWH1515" s="879"/>
      <c r="IWI1515" s="879"/>
      <c r="IWJ1515" s="879"/>
      <c r="IWK1515" s="879"/>
      <c r="IWL1515" s="879"/>
      <c r="IWM1515" s="879"/>
      <c r="IWN1515" s="879"/>
      <c r="IWO1515" s="879"/>
      <c r="IWP1515" s="879"/>
      <c r="IWQ1515" s="879"/>
      <c r="IWR1515" s="879"/>
      <c r="IWS1515" s="879"/>
      <c r="IWT1515" s="879"/>
      <c r="IWU1515" s="879"/>
      <c r="IWV1515" s="879"/>
      <c r="IWW1515" s="879"/>
      <c r="IWX1515" s="879"/>
      <c r="IWY1515" s="879"/>
      <c r="IWZ1515" s="879"/>
      <c r="IXA1515" s="879"/>
      <c r="IXB1515" s="879"/>
      <c r="IXC1515" s="879"/>
      <c r="IXD1515" s="879"/>
      <c r="IXE1515" s="879"/>
      <c r="IXF1515" s="879"/>
      <c r="IXG1515" s="879"/>
      <c r="IXH1515" s="879"/>
      <c r="IXI1515" s="879"/>
      <c r="IXJ1515" s="879"/>
      <c r="IXK1515" s="879"/>
      <c r="IXL1515" s="879"/>
      <c r="IXM1515" s="879"/>
      <c r="IXN1515" s="879"/>
      <c r="IXO1515" s="879"/>
      <c r="IXP1515" s="879"/>
      <c r="IXQ1515" s="879"/>
      <c r="IXR1515" s="879"/>
      <c r="IXS1515" s="879"/>
      <c r="IXT1515" s="879"/>
      <c r="IXU1515" s="879"/>
      <c r="IXV1515" s="879"/>
      <c r="IXW1515" s="879"/>
      <c r="IXX1515" s="879"/>
      <c r="IXY1515" s="879"/>
      <c r="IXZ1515" s="879"/>
      <c r="IYA1515" s="879"/>
      <c r="IYB1515" s="879"/>
      <c r="IYC1515" s="879"/>
      <c r="IYD1515" s="879"/>
      <c r="IYE1515" s="879"/>
      <c r="IYF1515" s="879"/>
      <c r="IYG1515" s="879"/>
      <c r="IYH1515" s="879"/>
      <c r="IYI1515" s="879"/>
      <c r="IYJ1515" s="879"/>
      <c r="IYK1515" s="879"/>
      <c r="IYL1515" s="879"/>
      <c r="IYM1515" s="879"/>
      <c r="IYN1515" s="879"/>
      <c r="IYO1515" s="879"/>
      <c r="IYP1515" s="879"/>
      <c r="IYQ1515" s="879"/>
      <c r="IYR1515" s="879"/>
      <c r="IYS1515" s="879"/>
      <c r="IYT1515" s="879"/>
      <c r="IYU1515" s="879"/>
      <c r="IYV1515" s="879"/>
      <c r="IYW1515" s="879"/>
      <c r="IYX1515" s="879"/>
      <c r="IYY1515" s="879"/>
      <c r="IYZ1515" s="879"/>
      <c r="IZA1515" s="879"/>
      <c r="IZB1515" s="879"/>
      <c r="IZC1515" s="879"/>
      <c r="IZD1515" s="879"/>
      <c r="IZE1515" s="879"/>
      <c r="IZF1515" s="879"/>
      <c r="IZG1515" s="879"/>
      <c r="IZH1515" s="879"/>
      <c r="IZI1515" s="879"/>
      <c r="IZJ1515" s="879"/>
      <c r="IZK1515" s="879"/>
      <c r="IZL1515" s="879"/>
      <c r="IZM1515" s="879"/>
      <c r="IZN1515" s="879"/>
      <c r="IZO1515" s="879"/>
      <c r="IZP1515" s="879"/>
      <c r="IZQ1515" s="879"/>
      <c r="IZR1515" s="879"/>
      <c r="IZS1515" s="879"/>
      <c r="IZT1515" s="879"/>
      <c r="IZU1515" s="879"/>
      <c r="IZV1515" s="879"/>
      <c r="IZW1515" s="879"/>
      <c r="IZX1515" s="879"/>
      <c r="IZY1515" s="879"/>
      <c r="IZZ1515" s="879"/>
      <c r="JAA1515" s="879"/>
      <c r="JAB1515" s="879"/>
      <c r="JAC1515" s="879"/>
      <c r="JAD1515" s="879"/>
      <c r="JAE1515" s="879"/>
      <c r="JAF1515" s="879"/>
      <c r="JAG1515" s="879"/>
      <c r="JAH1515" s="879"/>
      <c r="JAI1515" s="879"/>
      <c r="JAJ1515" s="879"/>
      <c r="JAK1515" s="879"/>
      <c r="JAL1515" s="879"/>
      <c r="JAM1515" s="879"/>
      <c r="JAN1515" s="879"/>
      <c r="JAO1515" s="879"/>
      <c r="JAP1515" s="879"/>
      <c r="JAQ1515" s="879"/>
      <c r="JAR1515" s="879"/>
      <c r="JAS1515" s="879"/>
      <c r="JAT1515" s="879"/>
      <c r="JAU1515" s="879"/>
      <c r="JAV1515" s="879"/>
      <c r="JAW1515" s="879"/>
      <c r="JAX1515" s="879"/>
      <c r="JAY1515" s="879"/>
      <c r="JAZ1515" s="879"/>
      <c r="JBA1515" s="879"/>
      <c r="JBB1515" s="879"/>
      <c r="JBC1515" s="879"/>
      <c r="JBD1515" s="879"/>
      <c r="JBE1515" s="879"/>
      <c r="JBF1515" s="879"/>
      <c r="JBG1515" s="879"/>
      <c r="JBH1515" s="879"/>
      <c r="JBI1515" s="879"/>
      <c r="JBJ1515" s="879"/>
      <c r="JBK1515" s="879"/>
      <c r="JBL1515" s="879"/>
      <c r="JBM1515" s="879"/>
      <c r="JBN1515" s="879"/>
      <c r="JBO1515" s="879"/>
      <c r="JBP1515" s="879"/>
      <c r="JBQ1515" s="879"/>
      <c r="JBR1515" s="879"/>
      <c r="JBS1515" s="879"/>
      <c r="JBT1515" s="879"/>
      <c r="JBU1515" s="879"/>
      <c r="JBV1515" s="879"/>
      <c r="JBW1515" s="879"/>
      <c r="JBX1515" s="879"/>
      <c r="JBY1515" s="879"/>
      <c r="JBZ1515" s="879"/>
      <c r="JCA1515" s="879"/>
      <c r="JCB1515" s="879"/>
      <c r="JCC1515" s="879"/>
      <c r="JCD1515" s="879"/>
      <c r="JCE1515" s="879"/>
      <c r="JCF1515" s="879"/>
      <c r="JCG1515" s="879"/>
      <c r="JCH1515" s="879"/>
      <c r="JCI1515" s="879"/>
      <c r="JCJ1515" s="879"/>
      <c r="JCK1515" s="879"/>
      <c r="JCL1515" s="879"/>
      <c r="JCM1515" s="879"/>
      <c r="JCN1515" s="879"/>
      <c r="JCO1515" s="879"/>
      <c r="JCP1515" s="879"/>
      <c r="JCQ1515" s="879"/>
      <c r="JCR1515" s="879"/>
      <c r="JCS1515" s="879"/>
      <c r="JCT1515" s="879"/>
      <c r="JCU1515" s="879"/>
      <c r="JCV1515" s="879"/>
      <c r="JCW1515" s="879"/>
      <c r="JCX1515" s="879"/>
      <c r="JCY1515" s="879"/>
      <c r="JCZ1515" s="879"/>
      <c r="JDA1515" s="879"/>
      <c r="JDB1515" s="879"/>
      <c r="JDC1515" s="879"/>
      <c r="JDD1515" s="879"/>
      <c r="JDE1515" s="879"/>
      <c r="JDF1515" s="879"/>
      <c r="JDG1515" s="879"/>
      <c r="JDH1515" s="879"/>
      <c r="JDI1515" s="879"/>
      <c r="JDJ1515" s="879"/>
      <c r="JDK1515" s="879"/>
      <c r="JDL1515" s="879"/>
      <c r="JDM1515" s="879"/>
      <c r="JDN1515" s="879"/>
      <c r="JDO1515" s="879"/>
      <c r="JDP1515" s="879"/>
      <c r="JDQ1515" s="879"/>
      <c r="JDR1515" s="879"/>
      <c r="JDS1515" s="879"/>
      <c r="JDT1515" s="879"/>
      <c r="JDU1515" s="879"/>
      <c r="JDV1515" s="879"/>
      <c r="JDW1515" s="879"/>
      <c r="JDX1515" s="879"/>
      <c r="JDY1515" s="879"/>
      <c r="JDZ1515" s="879"/>
      <c r="JEA1515" s="879"/>
      <c r="JEB1515" s="879"/>
      <c r="JEC1515" s="879"/>
      <c r="JED1515" s="879"/>
      <c r="JEE1515" s="879"/>
      <c r="JEF1515" s="879"/>
      <c r="JEG1515" s="879"/>
      <c r="JEH1515" s="879"/>
      <c r="JEI1515" s="879"/>
      <c r="JEJ1515" s="879"/>
      <c r="JEK1515" s="879"/>
      <c r="JEL1515" s="879"/>
      <c r="JEM1515" s="879"/>
      <c r="JEN1515" s="879"/>
      <c r="JEO1515" s="879"/>
      <c r="JEP1515" s="879"/>
      <c r="JEQ1515" s="879"/>
      <c r="JER1515" s="879"/>
      <c r="JES1515" s="879"/>
      <c r="JET1515" s="879"/>
      <c r="JEU1515" s="879"/>
      <c r="JEV1515" s="879"/>
      <c r="JEW1515" s="879"/>
      <c r="JEX1515" s="879"/>
      <c r="JEY1515" s="879"/>
      <c r="JEZ1515" s="879"/>
      <c r="JFA1515" s="879"/>
      <c r="JFB1515" s="879"/>
      <c r="JFC1515" s="879"/>
      <c r="JFD1515" s="879"/>
      <c r="JFE1515" s="879"/>
      <c r="JFF1515" s="879"/>
      <c r="JFG1515" s="879"/>
      <c r="JFH1515" s="879"/>
      <c r="JFI1515" s="879"/>
      <c r="JFJ1515" s="879"/>
      <c r="JFK1515" s="879"/>
      <c r="JFL1515" s="879"/>
      <c r="JFM1515" s="879"/>
      <c r="JFN1515" s="879"/>
      <c r="JFO1515" s="879"/>
      <c r="JFP1515" s="879"/>
      <c r="JFQ1515" s="879"/>
      <c r="JFR1515" s="879"/>
      <c r="JFS1515" s="879"/>
      <c r="JFT1515" s="879"/>
      <c r="JFU1515" s="879"/>
      <c r="JFV1515" s="879"/>
      <c r="JFW1515" s="879"/>
      <c r="JFX1515" s="879"/>
      <c r="JFY1515" s="879"/>
      <c r="JFZ1515" s="879"/>
      <c r="JGA1515" s="879"/>
      <c r="JGB1515" s="879"/>
      <c r="JGC1515" s="879"/>
      <c r="JGD1515" s="879"/>
      <c r="JGE1515" s="879"/>
      <c r="JGF1515" s="879"/>
      <c r="JGG1515" s="879"/>
      <c r="JGH1515" s="879"/>
      <c r="JGI1515" s="879"/>
      <c r="JGJ1515" s="879"/>
      <c r="JGK1515" s="879"/>
      <c r="JGL1515" s="879"/>
      <c r="JGM1515" s="879"/>
      <c r="JGN1515" s="879"/>
      <c r="JGO1515" s="879"/>
      <c r="JGP1515" s="879"/>
      <c r="JGQ1515" s="879"/>
      <c r="JGR1515" s="879"/>
      <c r="JGS1515" s="879"/>
      <c r="JGT1515" s="879"/>
      <c r="JGU1515" s="879"/>
      <c r="JGV1515" s="879"/>
      <c r="JGW1515" s="879"/>
      <c r="JGX1515" s="879"/>
      <c r="JGY1515" s="879"/>
      <c r="JGZ1515" s="879"/>
      <c r="JHA1515" s="879"/>
      <c r="JHB1515" s="879"/>
      <c r="JHC1515" s="879"/>
      <c r="JHD1515" s="879"/>
      <c r="JHE1515" s="879"/>
      <c r="JHF1515" s="879"/>
      <c r="JHG1515" s="879"/>
      <c r="JHH1515" s="879"/>
      <c r="JHI1515" s="879"/>
      <c r="JHJ1515" s="879"/>
      <c r="JHK1515" s="879"/>
      <c r="JHL1515" s="879"/>
      <c r="JHM1515" s="879"/>
      <c r="JHN1515" s="879"/>
      <c r="JHO1515" s="879"/>
      <c r="JHP1515" s="879"/>
      <c r="JHQ1515" s="879"/>
      <c r="JHR1515" s="879"/>
      <c r="JHS1515" s="879"/>
      <c r="JHT1515" s="879"/>
      <c r="JHU1515" s="879"/>
      <c r="JHV1515" s="879"/>
      <c r="JHW1515" s="879"/>
      <c r="JHX1515" s="879"/>
      <c r="JHY1515" s="879"/>
      <c r="JHZ1515" s="879"/>
      <c r="JIA1515" s="879"/>
      <c r="JIB1515" s="879"/>
      <c r="JIC1515" s="879"/>
      <c r="JID1515" s="879"/>
      <c r="JIE1515" s="879"/>
      <c r="JIF1515" s="879"/>
      <c r="JIG1515" s="879"/>
      <c r="JIH1515" s="879"/>
      <c r="JII1515" s="879"/>
      <c r="JIJ1515" s="879"/>
      <c r="JIK1515" s="879"/>
      <c r="JIL1515" s="879"/>
      <c r="JIM1515" s="879"/>
      <c r="JIN1515" s="879"/>
      <c r="JIO1515" s="879"/>
      <c r="JIP1515" s="879"/>
      <c r="JIQ1515" s="879"/>
      <c r="JIR1515" s="879"/>
      <c r="JIS1515" s="879"/>
      <c r="JIT1515" s="879"/>
      <c r="JIU1515" s="879"/>
      <c r="JIV1515" s="879"/>
      <c r="JIW1515" s="879"/>
      <c r="JIX1515" s="879"/>
      <c r="JIY1515" s="879"/>
      <c r="JIZ1515" s="879"/>
      <c r="JJA1515" s="879"/>
      <c r="JJB1515" s="879"/>
      <c r="JJC1515" s="879"/>
      <c r="JJD1515" s="879"/>
      <c r="JJE1515" s="879"/>
      <c r="JJF1515" s="879"/>
      <c r="JJG1515" s="879"/>
      <c r="JJH1515" s="879"/>
      <c r="JJI1515" s="879"/>
      <c r="JJJ1515" s="879"/>
      <c r="JJK1515" s="879"/>
      <c r="JJL1515" s="879"/>
      <c r="JJM1515" s="879"/>
      <c r="JJN1515" s="879"/>
      <c r="JJO1515" s="879"/>
      <c r="JJP1515" s="879"/>
      <c r="JJQ1515" s="879"/>
      <c r="JJR1515" s="879"/>
      <c r="JJS1515" s="879"/>
      <c r="JJT1515" s="879"/>
      <c r="JJU1515" s="879"/>
      <c r="JJV1515" s="879"/>
      <c r="JJW1515" s="879"/>
      <c r="JJX1515" s="879"/>
      <c r="JJY1515" s="879"/>
      <c r="JJZ1515" s="879"/>
      <c r="JKA1515" s="879"/>
      <c r="JKB1515" s="879"/>
      <c r="JKC1515" s="879"/>
      <c r="JKD1515" s="879"/>
      <c r="JKE1515" s="879"/>
      <c r="JKF1515" s="879"/>
      <c r="JKG1515" s="879"/>
      <c r="JKH1515" s="879"/>
      <c r="JKI1515" s="879"/>
      <c r="JKJ1515" s="879"/>
      <c r="JKK1515" s="879"/>
      <c r="JKL1515" s="879"/>
      <c r="JKM1515" s="879"/>
      <c r="JKN1515" s="879"/>
      <c r="JKO1515" s="879"/>
      <c r="JKP1515" s="879"/>
      <c r="JKQ1515" s="879"/>
      <c r="JKR1515" s="879"/>
      <c r="JKS1515" s="879"/>
      <c r="JKT1515" s="879"/>
      <c r="JKU1515" s="879"/>
      <c r="JKV1515" s="879"/>
      <c r="JKW1515" s="879"/>
      <c r="JKX1515" s="879"/>
      <c r="JKY1515" s="879"/>
      <c r="JKZ1515" s="879"/>
      <c r="JLA1515" s="879"/>
      <c r="JLB1515" s="879"/>
      <c r="JLC1515" s="879"/>
      <c r="JLD1515" s="879"/>
      <c r="JLE1515" s="879"/>
      <c r="JLF1515" s="879"/>
      <c r="JLG1515" s="879"/>
      <c r="JLH1515" s="879"/>
      <c r="JLI1515" s="879"/>
      <c r="JLJ1515" s="879"/>
      <c r="JLK1515" s="879"/>
      <c r="JLL1515" s="879"/>
      <c r="JLM1515" s="879"/>
      <c r="JLN1515" s="879"/>
      <c r="JLO1515" s="879"/>
      <c r="JLP1515" s="879"/>
      <c r="JLQ1515" s="879"/>
      <c r="JLR1515" s="879"/>
      <c r="JLS1515" s="879"/>
      <c r="JLT1515" s="879"/>
      <c r="JLU1515" s="879"/>
      <c r="JLV1515" s="879"/>
      <c r="JLW1515" s="879"/>
      <c r="JLX1515" s="879"/>
      <c r="JLY1515" s="879"/>
      <c r="JLZ1515" s="879"/>
      <c r="JMA1515" s="879"/>
      <c r="JMB1515" s="879"/>
      <c r="JMC1515" s="879"/>
      <c r="JMD1515" s="879"/>
      <c r="JME1515" s="879"/>
      <c r="JMF1515" s="879"/>
      <c r="JMG1515" s="879"/>
      <c r="JMH1515" s="879"/>
      <c r="JMI1515" s="879"/>
      <c r="JMJ1515" s="879"/>
      <c r="JMK1515" s="879"/>
      <c r="JML1515" s="879"/>
      <c r="JMM1515" s="879"/>
      <c r="JMN1515" s="879"/>
      <c r="JMO1515" s="879"/>
      <c r="JMP1515" s="879"/>
      <c r="JMQ1515" s="879"/>
      <c r="JMR1515" s="879"/>
      <c r="JMS1515" s="879"/>
      <c r="JMT1515" s="879"/>
      <c r="JMU1515" s="879"/>
      <c r="JMV1515" s="879"/>
      <c r="JMW1515" s="879"/>
      <c r="JMX1515" s="879"/>
      <c r="JMY1515" s="879"/>
      <c r="JMZ1515" s="879"/>
      <c r="JNA1515" s="879"/>
      <c r="JNB1515" s="879"/>
      <c r="JNC1515" s="879"/>
      <c r="JND1515" s="879"/>
      <c r="JNE1515" s="879"/>
      <c r="JNF1515" s="879"/>
      <c r="JNG1515" s="879"/>
      <c r="JNH1515" s="879"/>
      <c r="JNI1515" s="879"/>
      <c r="JNJ1515" s="879"/>
      <c r="JNK1515" s="879"/>
      <c r="JNL1515" s="879"/>
      <c r="JNM1515" s="879"/>
      <c r="JNN1515" s="879"/>
      <c r="JNO1515" s="879"/>
      <c r="JNP1515" s="879"/>
      <c r="JNQ1515" s="879"/>
      <c r="JNR1515" s="879"/>
      <c r="JNS1515" s="879"/>
      <c r="JNT1515" s="879"/>
      <c r="JNU1515" s="879"/>
      <c r="JNV1515" s="879"/>
      <c r="JNW1515" s="879"/>
      <c r="JNX1515" s="879"/>
      <c r="JNY1515" s="879"/>
      <c r="JNZ1515" s="879"/>
      <c r="JOA1515" s="879"/>
      <c r="JOB1515" s="879"/>
      <c r="JOC1515" s="879"/>
      <c r="JOD1515" s="879"/>
      <c r="JOE1515" s="879"/>
      <c r="JOF1515" s="879"/>
      <c r="JOG1515" s="879"/>
      <c r="JOH1515" s="879"/>
      <c r="JOI1515" s="879"/>
      <c r="JOJ1515" s="879"/>
      <c r="JOK1515" s="879"/>
      <c r="JOL1515" s="879"/>
      <c r="JOM1515" s="879"/>
      <c r="JON1515" s="879"/>
      <c r="JOO1515" s="879"/>
      <c r="JOP1515" s="879"/>
      <c r="JOQ1515" s="879"/>
      <c r="JOR1515" s="879"/>
      <c r="JOS1515" s="879"/>
      <c r="JOT1515" s="879"/>
      <c r="JOU1515" s="879"/>
      <c r="JOV1515" s="879"/>
      <c r="JOW1515" s="879"/>
      <c r="JOX1515" s="879"/>
      <c r="JOY1515" s="879"/>
      <c r="JOZ1515" s="879"/>
      <c r="JPA1515" s="879"/>
      <c r="JPB1515" s="879"/>
      <c r="JPC1515" s="879"/>
      <c r="JPD1515" s="879"/>
      <c r="JPE1515" s="879"/>
      <c r="JPF1515" s="879"/>
      <c r="JPG1515" s="879"/>
      <c r="JPH1515" s="879"/>
      <c r="JPI1515" s="879"/>
      <c r="JPJ1515" s="879"/>
      <c r="JPK1515" s="879"/>
      <c r="JPL1515" s="879"/>
      <c r="JPM1515" s="879"/>
      <c r="JPN1515" s="879"/>
      <c r="JPO1515" s="879"/>
      <c r="JPP1515" s="879"/>
      <c r="JPQ1515" s="879"/>
      <c r="JPR1515" s="879"/>
      <c r="JPS1515" s="879"/>
      <c r="JPT1515" s="879"/>
      <c r="JPU1515" s="879"/>
      <c r="JPV1515" s="879"/>
      <c r="JPW1515" s="879"/>
      <c r="JPX1515" s="879"/>
      <c r="JPY1515" s="879"/>
      <c r="JPZ1515" s="879"/>
      <c r="JQA1515" s="879"/>
      <c r="JQB1515" s="879"/>
      <c r="JQC1515" s="879"/>
      <c r="JQD1515" s="879"/>
      <c r="JQE1515" s="879"/>
      <c r="JQF1515" s="879"/>
      <c r="JQG1515" s="879"/>
      <c r="JQH1515" s="879"/>
      <c r="JQI1515" s="879"/>
      <c r="JQJ1515" s="879"/>
      <c r="JQK1515" s="879"/>
      <c r="JQL1515" s="879"/>
      <c r="JQM1515" s="879"/>
      <c r="JQN1515" s="879"/>
      <c r="JQO1515" s="879"/>
      <c r="JQP1515" s="879"/>
      <c r="JQQ1515" s="879"/>
      <c r="JQR1515" s="879"/>
      <c r="JQS1515" s="879"/>
      <c r="JQT1515" s="879"/>
      <c r="JQU1515" s="879"/>
      <c r="JQV1515" s="879"/>
      <c r="JQW1515" s="879"/>
      <c r="JQX1515" s="879"/>
      <c r="JQY1515" s="879"/>
      <c r="JQZ1515" s="879"/>
      <c r="JRA1515" s="879"/>
      <c r="JRB1515" s="879"/>
      <c r="JRC1515" s="879"/>
      <c r="JRD1515" s="879"/>
      <c r="JRE1515" s="879"/>
      <c r="JRF1515" s="879"/>
      <c r="JRG1515" s="879"/>
      <c r="JRH1515" s="879"/>
      <c r="JRI1515" s="879"/>
      <c r="JRJ1515" s="879"/>
      <c r="JRK1515" s="879"/>
      <c r="JRL1515" s="879"/>
      <c r="JRM1515" s="879"/>
      <c r="JRN1515" s="879"/>
      <c r="JRO1515" s="879"/>
      <c r="JRP1515" s="879"/>
      <c r="JRQ1515" s="879"/>
      <c r="JRR1515" s="879"/>
      <c r="JRS1515" s="879"/>
      <c r="JRT1515" s="879"/>
      <c r="JRU1515" s="879"/>
      <c r="JRV1515" s="879"/>
      <c r="JRW1515" s="879"/>
      <c r="JRX1515" s="879"/>
      <c r="JRY1515" s="879"/>
      <c r="JRZ1515" s="879"/>
      <c r="JSA1515" s="879"/>
      <c r="JSB1515" s="879"/>
      <c r="JSC1515" s="879"/>
      <c r="JSD1515" s="879"/>
      <c r="JSE1515" s="879"/>
      <c r="JSF1515" s="879"/>
      <c r="JSG1515" s="879"/>
      <c r="JSH1515" s="879"/>
      <c r="JSI1515" s="879"/>
      <c r="JSJ1515" s="879"/>
      <c r="JSK1515" s="879"/>
      <c r="JSL1515" s="879"/>
      <c r="JSM1515" s="879"/>
      <c r="JSN1515" s="879"/>
      <c r="JSO1515" s="879"/>
      <c r="JSP1515" s="879"/>
      <c r="JSQ1515" s="879"/>
      <c r="JSR1515" s="879"/>
      <c r="JSS1515" s="879"/>
      <c r="JST1515" s="879"/>
      <c r="JSU1515" s="879"/>
      <c r="JSV1515" s="879"/>
      <c r="JSW1515" s="879"/>
      <c r="JSX1515" s="879"/>
      <c r="JSY1515" s="879"/>
      <c r="JSZ1515" s="879"/>
      <c r="JTA1515" s="879"/>
      <c r="JTB1515" s="879"/>
      <c r="JTC1515" s="879"/>
      <c r="JTD1515" s="879"/>
      <c r="JTE1515" s="879"/>
      <c r="JTF1515" s="879"/>
      <c r="JTG1515" s="879"/>
      <c r="JTH1515" s="879"/>
      <c r="JTI1515" s="879"/>
      <c r="JTJ1515" s="879"/>
      <c r="JTK1515" s="879"/>
      <c r="JTL1515" s="879"/>
      <c r="JTM1515" s="879"/>
      <c r="JTN1515" s="879"/>
      <c r="JTO1515" s="879"/>
      <c r="JTP1515" s="879"/>
      <c r="JTQ1515" s="879"/>
      <c r="JTR1515" s="879"/>
      <c r="JTS1515" s="879"/>
      <c r="JTT1515" s="879"/>
      <c r="JTU1515" s="879"/>
      <c r="JTV1515" s="879"/>
      <c r="JTW1515" s="879"/>
      <c r="JTX1515" s="879"/>
      <c r="JTY1515" s="879"/>
      <c r="JTZ1515" s="879"/>
      <c r="JUA1515" s="879"/>
      <c r="JUB1515" s="879"/>
      <c r="JUC1515" s="879"/>
      <c r="JUD1515" s="879"/>
      <c r="JUE1515" s="879"/>
      <c r="JUF1515" s="879"/>
      <c r="JUG1515" s="879"/>
      <c r="JUH1515" s="879"/>
      <c r="JUI1515" s="879"/>
      <c r="JUJ1515" s="879"/>
      <c r="JUK1515" s="879"/>
      <c r="JUL1515" s="879"/>
      <c r="JUM1515" s="879"/>
      <c r="JUN1515" s="879"/>
      <c r="JUO1515" s="879"/>
      <c r="JUP1515" s="879"/>
      <c r="JUQ1515" s="879"/>
      <c r="JUR1515" s="879"/>
      <c r="JUS1515" s="879"/>
      <c r="JUT1515" s="879"/>
      <c r="JUU1515" s="879"/>
      <c r="JUV1515" s="879"/>
      <c r="JUW1515" s="879"/>
      <c r="JUX1515" s="879"/>
      <c r="JUY1515" s="879"/>
      <c r="JUZ1515" s="879"/>
      <c r="JVA1515" s="879"/>
      <c r="JVB1515" s="879"/>
      <c r="JVC1515" s="879"/>
      <c r="JVD1515" s="879"/>
      <c r="JVE1515" s="879"/>
      <c r="JVF1515" s="879"/>
      <c r="JVG1515" s="879"/>
      <c r="JVH1515" s="879"/>
      <c r="JVI1515" s="879"/>
      <c r="JVJ1515" s="879"/>
      <c r="JVK1515" s="879"/>
      <c r="JVL1515" s="879"/>
      <c r="JVM1515" s="879"/>
      <c r="JVN1515" s="879"/>
      <c r="JVO1515" s="879"/>
      <c r="JVP1515" s="879"/>
      <c r="JVQ1515" s="879"/>
      <c r="JVR1515" s="879"/>
      <c r="JVS1515" s="879"/>
      <c r="JVT1515" s="879"/>
      <c r="JVU1515" s="879"/>
      <c r="JVV1515" s="879"/>
      <c r="JVW1515" s="879"/>
      <c r="JVX1515" s="879"/>
      <c r="JVY1515" s="879"/>
      <c r="JVZ1515" s="879"/>
      <c r="JWA1515" s="879"/>
      <c r="JWB1515" s="879"/>
      <c r="JWC1515" s="879"/>
      <c r="JWD1515" s="879"/>
      <c r="JWE1515" s="879"/>
      <c r="JWF1515" s="879"/>
      <c r="JWG1515" s="879"/>
      <c r="JWH1515" s="879"/>
      <c r="JWI1515" s="879"/>
      <c r="JWJ1515" s="879"/>
      <c r="JWK1515" s="879"/>
      <c r="JWL1515" s="879"/>
      <c r="JWM1515" s="879"/>
      <c r="JWN1515" s="879"/>
      <c r="JWO1515" s="879"/>
      <c r="JWP1515" s="879"/>
      <c r="JWQ1515" s="879"/>
      <c r="JWR1515" s="879"/>
      <c r="JWS1515" s="879"/>
      <c r="JWT1515" s="879"/>
      <c r="JWU1515" s="879"/>
      <c r="JWV1515" s="879"/>
      <c r="JWW1515" s="879"/>
      <c r="JWX1515" s="879"/>
      <c r="JWY1515" s="879"/>
      <c r="JWZ1515" s="879"/>
      <c r="JXA1515" s="879"/>
      <c r="JXB1515" s="879"/>
      <c r="JXC1515" s="879"/>
      <c r="JXD1515" s="879"/>
      <c r="JXE1515" s="879"/>
      <c r="JXF1515" s="879"/>
      <c r="JXG1515" s="879"/>
      <c r="JXH1515" s="879"/>
      <c r="JXI1515" s="879"/>
      <c r="JXJ1515" s="879"/>
      <c r="JXK1515" s="879"/>
      <c r="JXL1515" s="879"/>
      <c r="JXM1515" s="879"/>
      <c r="JXN1515" s="879"/>
      <c r="JXO1515" s="879"/>
      <c r="JXP1515" s="879"/>
      <c r="JXQ1515" s="879"/>
      <c r="JXR1515" s="879"/>
      <c r="JXS1515" s="879"/>
      <c r="JXT1515" s="879"/>
      <c r="JXU1515" s="879"/>
      <c r="JXV1515" s="879"/>
      <c r="JXW1515" s="879"/>
      <c r="JXX1515" s="879"/>
      <c r="JXY1515" s="879"/>
      <c r="JXZ1515" s="879"/>
      <c r="JYA1515" s="879"/>
      <c r="JYB1515" s="879"/>
      <c r="JYC1515" s="879"/>
      <c r="JYD1515" s="879"/>
      <c r="JYE1515" s="879"/>
      <c r="JYF1515" s="879"/>
      <c r="JYG1515" s="879"/>
      <c r="JYH1515" s="879"/>
      <c r="JYI1515" s="879"/>
      <c r="JYJ1515" s="879"/>
      <c r="JYK1515" s="879"/>
      <c r="JYL1515" s="879"/>
      <c r="JYM1515" s="879"/>
      <c r="JYN1515" s="879"/>
      <c r="JYO1515" s="879"/>
      <c r="JYP1515" s="879"/>
      <c r="JYQ1515" s="879"/>
      <c r="JYR1515" s="879"/>
      <c r="JYS1515" s="879"/>
      <c r="JYT1515" s="879"/>
      <c r="JYU1515" s="879"/>
      <c r="JYV1515" s="879"/>
      <c r="JYW1515" s="879"/>
      <c r="JYX1515" s="879"/>
      <c r="JYY1515" s="879"/>
      <c r="JYZ1515" s="879"/>
      <c r="JZA1515" s="879"/>
      <c r="JZB1515" s="879"/>
      <c r="JZC1515" s="879"/>
      <c r="JZD1515" s="879"/>
      <c r="JZE1515" s="879"/>
      <c r="JZF1515" s="879"/>
      <c r="JZG1515" s="879"/>
      <c r="JZH1515" s="879"/>
      <c r="JZI1515" s="879"/>
      <c r="JZJ1515" s="879"/>
      <c r="JZK1515" s="879"/>
      <c r="JZL1515" s="879"/>
      <c r="JZM1515" s="879"/>
      <c r="JZN1515" s="879"/>
      <c r="JZO1515" s="879"/>
      <c r="JZP1515" s="879"/>
      <c r="JZQ1515" s="879"/>
      <c r="JZR1515" s="879"/>
      <c r="JZS1515" s="879"/>
      <c r="JZT1515" s="879"/>
      <c r="JZU1515" s="879"/>
      <c r="JZV1515" s="879"/>
      <c r="JZW1515" s="879"/>
      <c r="JZX1515" s="879"/>
      <c r="JZY1515" s="879"/>
      <c r="JZZ1515" s="879"/>
      <c r="KAA1515" s="879"/>
      <c r="KAB1515" s="879"/>
      <c r="KAC1515" s="879"/>
      <c r="KAD1515" s="879"/>
      <c r="KAE1515" s="879"/>
      <c r="KAF1515" s="879"/>
      <c r="KAG1515" s="879"/>
      <c r="KAH1515" s="879"/>
      <c r="KAI1515" s="879"/>
      <c r="KAJ1515" s="879"/>
      <c r="KAK1515" s="879"/>
      <c r="KAL1515" s="879"/>
      <c r="KAM1515" s="879"/>
      <c r="KAN1515" s="879"/>
      <c r="KAO1515" s="879"/>
      <c r="KAP1515" s="879"/>
      <c r="KAQ1515" s="879"/>
      <c r="KAR1515" s="879"/>
      <c r="KAS1515" s="879"/>
      <c r="KAT1515" s="879"/>
      <c r="KAU1515" s="879"/>
      <c r="KAV1515" s="879"/>
      <c r="KAW1515" s="879"/>
      <c r="KAX1515" s="879"/>
      <c r="KAY1515" s="879"/>
      <c r="KAZ1515" s="879"/>
      <c r="KBA1515" s="879"/>
      <c r="KBB1515" s="879"/>
      <c r="KBC1515" s="879"/>
      <c r="KBD1515" s="879"/>
      <c r="KBE1515" s="879"/>
      <c r="KBF1515" s="879"/>
      <c r="KBG1515" s="879"/>
      <c r="KBH1515" s="879"/>
      <c r="KBI1515" s="879"/>
      <c r="KBJ1515" s="879"/>
      <c r="KBK1515" s="879"/>
      <c r="KBL1515" s="879"/>
      <c r="KBM1515" s="879"/>
      <c r="KBN1515" s="879"/>
      <c r="KBO1515" s="879"/>
      <c r="KBP1515" s="879"/>
      <c r="KBQ1515" s="879"/>
      <c r="KBR1515" s="879"/>
      <c r="KBS1515" s="879"/>
      <c r="KBT1515" s="879"/>
      <c r="KBU1515" s="879"/>
      <c r="KBV1515" s="879"/>
      <c r="KBW1515" s="879"/>
      <c r="KBX1515" s="879"/>
      <c r="KBY1515" s="879"/>
      <c r="KBZ1515" s="879"/>
      <c r="KCA1515" s="879"/>
      <c r="KCB1515" s="879"/>
      <c r="KCC1515" s="879"/>
      <c r="KCD1515" s="879"/>
      <c r="KCE1515" s="879"/>
      <c r="KCF1515" s="879"/>
      <c r="KCG1515" s="879"/>
      <c r="KCH1515" s="879"/>
      <c r="KCI1515" s="879"/>
      <c r="KCJ1515" s="879"/>
      <c r="KCK1515" s="879"/>
      <c r="KCL1515" s="879"/>
      <c r="KCM1515" s="879"/>
      <c r="KCN1515" s="879"/>
      <c r="KCO1515" s="879"/>
      <c r="KCP1515" s="879"/>
      <c r="KCQ1515" s="879"/>
      <c r="KCR1515" s="879"/>
      <c r="KCS1515" s="879"/>
      <c r="KCT1515" s="879"/>
      <c r="KCU1515" s="879"/>
      <c r="KCV1515" s="879"/>
      <c r="KCW1515" s="879"/>
      <c r="KCX1515" s="879"/>
      <c r="KCY1515" s="879"/>
      <c r="KCZ1515" s="879"/>
      <c r="KDA1515" s="879"/>
      <c r="KDB1515" s="879"/>
      <c r="KDC1515" s="879"/>
      <c r="KDD1515" s="879"/>
      <c r="KDE1515" s="879"/>
      <c r="KDF1515" s="879"/>
      <c r="KDG1515" s="879"/>
      <c r="KDH1515" s="879"/>
      <c r="KDI1515" s="879"/>
      <c r="KDJ1515" s="879"/>
      <c r="KDK1515" s="879"/>
      <c r="KDL1515" s="879"/>
      <c r="KDM1515" s="879"/>
      <c r="KDN1515" s="879"/>
      <c r="KDO1515" s="879"/>
      <c r="KDP1515" s="879"/>
      <c r="KDQ1515" s="879"/>
      <c r="KDR1515" s="879"/>
      <c r="KDS1515" s="879"/>
      <c r="KDT1515" s="879"/>
      <c r="KDU1515" s="879"/>
      <c r="KDV1515" s="879"/>
      <c r="KDW1515" s="879"/>
      <c r="KDX1515" s="879"/>
      <c r="KDY1515" s="879"/>
      <c r="KDZ1515" s="879"/>
      <c r="KEA1515" s="879"/>
      <c r="KEB1515" s="879"/>
      <c r="KEC1515" s="879"/>
      <c r="KED1515" s="879"/>
      <c r="KEE1515" s="879"/>
      <c r="KEF1515" s="879"/>
      <c r="KEG1515" s="879"/>
      <c r="KEH1515" s="879"/>
      <c r="KEI1515" s="879"/>
      <c r="KEJ1515" s="879"/>
      <c r="KEK1515" s="879"/>
      <c r="KEL1515" s="879"/>
      <c r="KEM1515" s="879"/>
      <c r="KEN1515" s="879"/>
      <c r="KEO1515" s="879"/>
      <c r="KEP1515" s="879"/>
      <c r="KEQ1515" s="879"/>
      <c r="KER1515" s="879"/>
      <c r="KES1515" s="879"/>
      <c r="KET1515" s="879"/>
      <c r="KEU1515" s="879"/>
      <c r="KEV1515" s="879"/>
      <c r="KEW1515" s="879"/>
      <c r="KEX1515" s="879"/>
      <c r="KEY1515" s="879"/>
      <c r="KEZ1515" s="879"/>
      <c r="KFA1515" s="879"/>
      <c r="KFB1515" s="879"/>
      <c r="KFC1515" s="879"/>
      <c r="KFD1515" s="879"/>
      <c r="KFE1515" s="879"/>
      <c r="KFF1515" s="879"/>
      <c r="KFG1515" s="879"/>
      <c r="KFH1515" s="879"/>
      <c r="KFI1515" s="879"/>
      <c r="KFJ1515" s="879"/>
      <c r="KFK1515" s="879"/>
      <c r="KFL1515" s="879"/>
      <c r="KFM1515" s="879"/>
      <c r="KFN1515" s="879"/>
      <c r="KFO1515" s="879"/>
      <c r="KFP1515" s="879"/>
      <c r="KFQ1515" s="879"/>
      <c r="KFR1515" s="879"/>
      <c r="KFS1515" s="879"/>
      <c r="KFT1515" s="879"/>
      <c r="KFU1515" s="879"/>
      <c r="KFV1515" s="879"/>
      <c r="KFW1515" s="879"/>
      <c r="KFX1515" s="879"/>
      <c r="KFY1515" s="879"/>
      <c r="KFZ1515" s="879"/>
      <c r="KGA1515" s="879"/>
      <c r="KGB1515" s="879"/>
      <c r="KGC1515" s="879"/>
      <c r="KGD1515" s="879"/>
      <c r="KGE1515" s="879"/>
      <c r="KGF1515" s="879"/>
      <c r="KGG1515" s="879"/>
      <c r="KGH1515" s="879"/>
      <c r="KGI1515" s="879"/>
      <c r="KGJ1515" s="879"/>
      <c r="KGK1515" s="879"/>
      <c r="KGL1515" s="879"/>
      <c r="KGM1515" s="879"/>
      <c r="KGN1515" s="879"/>
      <c r="KGO1515" s="879"/>
      <c r="KGP1515" s="879"/>
      <c r="KGQ1515" s="879"/>
      <c r="KGR1515" s="879"/>
      <c r="KGS1515" s="879"/>
      <c r="KGT1515" s="879"/>
      <c r="KGU1515" s="879"/>
      <c r="KGV1515" s="879"/>
      <c r="KGW1515" s="879"/>
      <c r="KGX1515" s="879"/>
      <c r="KGY1515" s="879"/>
      <c r="KGZ1515" s="879"/>
      <c r="KHA1515" s="879"/>
      <c r="KHB1515" s="879"/>
      <c r="KHC1515" s="879"/>
      <c r="KHD1515" s="879"/>
      <c r="KHE1515" s="879"/>
      <c r="KHF1515" s="879"/>
      <c r="KHG1515" s="879"/>
      <c r="KHH1515" s="879"/>
      <c r="KHI1515" s="879"/>
      <c r="KHJ1515" s="879"/>
      <c r="KHK1515" s="879"/>
      <c r="KHL1515" s="879"/>
      <c r="KHM1515" s="879"/>
      <c r="KHN1515" s="879"/>
      <c r="KHO1515" s="879"/>
      <c r="KHP1515" s="879"/>
      <c r="KHQ1515" s="879"/>
      <c r="KHR1515" s="879"/>
      <c r="KHS1515" s="879"/>
      <c r="KHT1515" s="879"/>
      <c r="KHU1515" s="879"/>
      <c r="KHV1515" s="879"/>
      <c r="KHW1515" s="879"/>
      <c r="KHX1515" s="879"/>
      <c r="KHY1515" s="879"/>
      <c r="KHZ1515" s="879"/>
      <c r="KIA1515" s="879"/>
      <c r="KIB1515" s="879"/>
      <c r="KIC1515" s="879"/>
      <c r="KID1515" s="879"/>
      <c r="KIE1515" s="879"/>
      <c r="KIF1515" s="879"/>
      <c r="KIG1515" s="879"/>
      <c r="KIH1515" s="879"/>
      <c r="KII1515" s="879"/>
      <c r="KIJ1515" s="879"/>
      <c r="KIK1515" s="879"/>
      <c r="KIL1515" s="879"/>
      <c r="KIM1515" s="879"/>
      <c r="KIN1515" s="879"/>
      <c r="KIO1515" s="879"/>
      <c r="KIP1515" s="879"/>
      <c r="KIQ1515" s="879"/>
      <c r="KIR1515" s="879"/>
      <c r="KIS1515" s="879"/>
      <c r="KIT1515" s="879"/>
      <c r="KIU1515" s="879"/>
      <c r="KIV1515" s="879"/>
      <c r="KIW1515" s="879"/>
      <c r="KIX1515" s="879"/>
      <c r="KIY1515" s="879"/>
      <c r="KIZ1515" s="879"/>
      <c r="KJA1515" s="879"/>
      <c r="KJB1515" s="879"/>
      <c r="KJC1515" s="879"/>
      <c r="KJD1515" s="879"/>
      <c r="KJE1515" s="879"/>
      <c r="KJF1515" s="879"/>
      <c r="KJG1515" s="879"/>
      <c r="KJH1515" s="879"/>
      <c r="KJI1515" s="879"/>
      <c r="KJJ1515" s="879"/>
      <c r="KJK1515" s="879"/>
      <c r="KJL1515" s="879"/>
      <c r="KJM1515" s="879"/>
      <c r="KJN1515" s="879"/>
      <c r="KJO1515" s="879"/>
      <c r="KJP1515" s="879"/>
      <c r="KJQ1515" s="879"/>
      <c r="KJR1515" s="879"/>
      <c r="KJS1515" s="879"/>
      <c r="KJT1515" s="879"/>
      <c r="KJU1515" s="879"/>
      <c r="KJV1515" s="879"/>
      <c r="KJW1515" s="879"/>
      <c r="KJX1515" s="879"/>
      <c r="KJY1515" s="879"/>
      <c r="KJZ1515" s="879"/>
      <c r="KKA1515" s="879"/>
      <c r="KKB1515" s="879"/>
      <c r="KKC1515" s="879"/>
      <c r="KKD1515" s="879"/>
      <c r="KKE1515" s="879"/>
      <c r="KKF1515" s="879"/>
      <c r="KKG1515" s="879"/>
      <c r="KKH1515" s="879"/>
      <c r="KKI1515" s="879"/>
      <c r="KKJ1515" s="879"/>
      <c r="KKK1515" s="879"/>
      <c r="KKL1515" s="879"/>
      <c r="KKM1515" s="879"/>
      <c r="KKN1515" s="879"/>
      <c r="KKO1515" s="879"/>
      <c r="KKP1515" s="879"/>
      <c r="KKQ1515" s="879"/>
      <c r="KKR1515" s="879"/>
      <c r="KKS1515" s="879"/>
      <c r="KKT1515" s="879"/>
      <c r="KKU1515" s="879"/>
      <c r="KKV1515" s="879"/>
      <c r="KKW1515" s="879"/>
      <c r="KKX1515" s="879"/>
      <c r="KKY1515" s="879"/>
      <c r="KKZ1515" s="879"/>
      <c r="KLA1515" s="879"/>
      <c r="KLB1515" s="879"/>
      <c r="KLC1515" s="879"/>
      <c r="KLD1515" s="879"/>
      <c r="KLE1515" s="879"/>
      <c r="KLF1515" s="879"/>
      <c r="KLG1515" s="879"/>
      <c r="KLH1515" s="879"/>
      <c r="KLI1515" s="879"/>
      <c r="KLJ1515" s="879"/>
      <c r="KLK1515" s="879"/>
      <c r="KLL1515" s="879"/>
      <c r="KLM1515" s="879"/>
      <c r="KLN1515" s="879"/>
      <c r="KLO1515" s="879"/>
      <c r="KLP1515" s="879"/>
      <c r="KLQ1515" s="879"/>
      <c r="KLR1515" s="879"/>
      <c r="KLS1515" s="879"/>
      <c r="KLT1515" s="879"/>
      <c r="KLU1515" s="879"/>
      <c r="KLV1515" s="879"/>
      <c r="KLW1515" s="879"/>
      <c r="KLX1515" s="879"/>
      <c r="KLY1515" s="879"/>
      <c r="KLZ1515" s="879"/>
      <c r="KMA1515" s="879"/>
      <c r="KMB1515" s="879"/>
      <c r="KMC1515" s="879"/>
      <c r="KMD1515" s="879"/>
      <c r="KME1515" s="879"/>
      <c r="KMF1515" s="879"/>
      <c r="KMG1515" s="879"/>
      <c r="KMH1515" s="879"/>
      <c r="KMI1515" s="879"/>
      <c r="KMJ1515" s="879"/>
      <c r="KMK1515" s="879"/>
      <c r="KML1515" s="879"/>
      <c r="KMM1515" s="879"/>
      <c r="KMN1515" s="879"/>
      <c r="KMO1515" s="879"/>
      <c r="KMP1515" s="879"/>
      <c r="KMQ1515" s="879"/>
      <c r="KMR1515" s="879"/>
      <c r="KMS1515" s="879"/>
      <c r="KMT1515" s="879"/>
      <c r="KMU1515" s="879"/>
      <c r="KMV1515" s="879"/>
      <c r="KMW1515" s="879"/>
      <c r="KMX1515" s="879"/>
      <c r="KMY1515" s="879"/>
      <c r="KMZ1515" s="879"/>
      <c r="KNA1515" s="879"/>
      <c r="KNB1515" s="879"/>
      <c r="KNC1515" s="879"/>
      <c r="KND1515" s="879"/>
      <c r="KNE1515" s="879"/>
      <c r="KNF1515" s="879"/>
      <c r="KNG1515" s="879"/>
      <c r="KNH1515" s="879"/>
      <c r="KNI1515" s="879"/>
      <c r="KNJ1515" s="879"/>
      <c r="KNK1515" s="879"/>
      <c r="KNL1515" s="879"/>
      <c r="KNM1515" s="879"/>
      <c r="KNN1515" s="879"/>
      <c r="KNO1515" s="879"/>
      <c r="KNP1515" s="879"/>
      <c r="KNQ1515" s="879"/>
      <c r="KNR1515" s="879"/>
      <c r="KNS1515" s="879"/>
      <c r="KNT1515" s="879"/>
      <c r="KNU1515" s="879"/>
      <c r="KNV1515" s="879"/>
      <c r="KNW1515" s="879"/>
      <c r="KNX1515" s="879"/>
      <c r="KNY1515" s="879"/>
      <c r="KNZ1515" s="879"/>
      <c r="KOA1515" s="879"/>
      <c r="KOB1515" s="879"/>
      <c r="KOC1515" s="879"/>
      <c r="KOD1515" s="879"/>
      <c r="KOE1515" s="879"/>
      <c r="KOF1515" s="879"/>
      <c r="KOG1515" s="879"/>
      <c r="KOH1515" s="879"/>
      <c r="KOI1515" s="879"/>
      <c r="KOJ1515" s="879"/>
      <c r="KOK1515" s="879"/>
      <c r="KOL1515" s="879"/>
      <c r="KOM1515" s="879"/>
      <c r="KON1515" s="879"/>
      <c r="KOO1515" s="879"/>
      <c r="KOP1515" s="879"/>
      <c r="KOQ1515" s="879"/>
      <c r="KOR1515" s="879"/>
      <c r="KOS1515" s="879"/>
      <c r="KOT1515" s="879"/>
      <c r="KOU1515" s="879"/>
      <c r="KOV1515" s="879"/>
      <c r="KOW1515" s="879"/>
      <c r="KOX1515" s="879"/>
      <c r="KOY1515" s="879"/>
      <c r="KOZ1515" s="879"/>
      <c r="KPA1515" s="879"/>
      <c r="KPB1515" s="879"/>
      <c r="KPC1515" s="879"/>
      <c r="KPD1515" s="879"/>
      <c r="KPE1515" s="879"/>
      <c r="KPF1515" s="879"/>
      <c r="KPG1515" s="879"/>
      <c r="KPH1515" s="879"/>
      <c r="KPI1515" s="879"/>
      <c r="KPJ1515" s="879"/>
      <c r="KPK1515" s="879"/>
      <c r="KPL1515" s="879"/>
      <c r="KPM1515" s="879"/>
      <c r="KPN1515" s="879"/>
      <c r="KPO1515" s="879"/>
      <c r="KPP1515" s="879"/>
      <c r="KPQ1515" s="879"/>
      <c r="KPR1515" s="879"/>
      <c r="KPS1515" s="879"/>
      <c r="KPT1515" s="879"/>
      <c r="KPU1515" s="879"/>
      <c r="KPV1515" s="879"/>
      <c r="KPW1515" s="879"/>
      <c r="KPX1515" s="879"/>
      <c r="KPY1515" s="879"/>
      <c r="KPZ1515" s="879"/>
      <c r="KQA1515" s="879"/>
      <c r="KQB1515" s="879"/>
      <c r="KQC1515" s="879"/>
      <c r="KQD1515" s="879"/>
      <c r="KQE1515" s="879"/>
      <c r="KQF1515" s="879"/>
      <c r="KQG1515" s="879"/>
      <c r="KQH1515" s="879"/>
      <c r="KQI1515" s="879"/>
      <c r="KQJ1515" s="879"/>
      <c r="KQK1515" s="879"/>
      <c r="KQL1515" s="879"/>
      <c r="KQM1515" s="879"/>
      <c r="KQN1515" s="879"/>
      <c r="KQO1515" s="879"/>
      <c r="KQP1515" s="879"/>
      <c r="KQQ1515" s="879"/>
      <c r="KQR1515" s="879"/>
      <c r="KQS1515" s="879"/>
      <c r="KQT1515" s="879"/>
      <c r="KQU1515" s="879"/>
      <c r="KQV1515" s="879"/>
      <c r="KQW1515" s="879"/>
      <c r="KQX1515" s="879"/>
      <c r="KQY1515" s="879"/>
      <c r="KQZ1515" s="879"/>
      <c r="KRA1515" s="879"/>
      <c r="KRB1515" s="879"/>
      <c r="KRC1515" s="879"/>
      <c r="KRD1515" s="879"/>
      <c r="KRE1515" s="879"/>
      <c r="KRF1515" s="879"/>
      <c r="KRG1515" s="879"/>
      <c r="KRH1515" s="879"/>
      <c r="KRI1515" s="879"/>
      <c r="KRJ1515" s="879"/>
      <c r="KRK1515" s="879"/>
      <c r="KRL1515" s="879"/>
      <c r="KRM1515" s="879"/>
      <c r="KRN1515" s="879"/>
      <c r="KRO1515" s="879"/>
      <c r="KRP1515" s="879"/>
      <c r="KRQ1515" s="879"/>
      <c r="KRR1515" s="879"/>
      <c r="KRS1515" s="879"/>
      <c r="KRT1515" s="879"/>
      <c r="KRU1515" s="879"/>
      <c r="KRV1515" s="879"/>
      <c r="KRW1515" s="879"/>
      <c r="KRX1515" s="879"/>
      <c r="KRY1515" s="879"/>
      <c r="KRZ1515" s="879"/>
      <c r="KSA1515" s="879"/>
      <c r="KSB1515" s="879"/>
      <c r="KSC1515" s="879"/>
      <c r="KSD1515" s="879"/>
      <c r="KSE1515" s="879"/>
      <c r="KSF1515" s="879"/>
      <c r="KSG1515" s="879"/>
      <c r="KSH1515" s="879"/>
      <c r="KSI1515" s="879"/>
      <c r="KSJ1515" s="879"/>
      <c r="KSK1515" s="879"/>
      <c r="KSL1515" s="879"/>
      <c r="KSM1515" s="879"/>
      <c r="KSN1515" s="879"/>
      <c r="KSO1515" s="879"/>
      <c r="KSP1515" s="879"/>
      <c r="KSQ1515" s="879"/>
      <c r="KSR1515" s="879"/>
      <c r="KSS1515" s="879"/>
      <c r="KST1515" s="879"/>
      <c r="KSU1515" s="879"/>
      <c r="KSV1515" s="879"/>
      <c r="KSW1515" s="879"/>
      <c r="KSX1515" s="879"/>
      <c r="KSY1515" s="879"/>
      <c r="KSZ1515" s="879"/>
      <c r="KTA1515" s="879"/>
      <c r="KTB1515" s="879"/>
      <c r="KTC1515" s="879"/>
      <c r="KTD1515" s="879"/>
      <c r="KTE1515" s="879"/>
      <c r="KTF1515" s="879"/>
      <c r="KTG1515" s="879"/>
      <c r="KTH1515" s="879"/>
      <c r="KTI1515" s="879"/>
      <c r="KTJ1515" s="879"/>
      <c r="KTK1515" s="879"/>
      <c r="KTL1515" s="879"/>
      <c r="KTM1515" s="879"/>
      <c r="KTN1515" s="879"/>
      <c r="KTO1515" s="879"/>
      <c r="KTP1515" s="879"/>
      <c r="KTQ1515" s="879"/>
      <c r="KTR1515" s="879"/>
      <c r="KTS1515" s="879"/>
      <c r="KTT1515" s="879"/>
      <c r="KTU1515" s="879"/>
      <c r="KTV1515" s="879"/>
      <c r="KTW1515" s="879"/>
      <c r="KTX1515" s="879"/>
      <c r="KTY1515" s="879"/>
      <c r="KTZ1515" s="879"/>
      <c r="KUA1515" s="879"/>
      <c r="KUB1515" s="879"/>
      <c r="KUC1515" s="879"/>
      <c r="KUD1515" s="879"/>
      <c r="KUE1515" s="879"/>
      <c r="KUF1515" s="879"/>
      <c r="KUG1515" s="879"/>
      <c r="KUH1515" s="879"/>
      <c r="KUI1515" s="879"/>
      <c r="KUJ1515" s="879"/>
      <c r="KUK1515" s="879"/>
      <c r="KUL1515" s="879"/>
      <c r="KUM1515" s="879"/>
      <c r="KUN1515" s="879"/>
      <c r="KUO1515" s="879"/>
      <c r="KUP1515" s="879"/>
      <c r="KUQ1515" s="879"/>
      <c r="KUR1515" s="879"/>
      <c r="KUS1515" s="879"/>
      <c r="KUT1515" s="879"/>
      <c r="KUU1515" s="879"/>
      <c r="KUV1515" s="879"/>
      <c r="KUW1515" s="879"/>
      <c r="KUX1515" s="879"/>
      <c r="KUY1515" s="879"/>
      <c r="KUZ1515" s="879"/>
      <c r="KVA1515" s="879"/>
      <c r="KVB1515" s="879"/>
      <c r="KVC1515" s="879"/>
      <c r="KVD1515" s="879"/>
      <c r="KVE1515" s="879"/>
      <c r="KVF1515" s="879"/>
      <c r="KVG1515" s="879"/>
      <c r="KVH1515" s="879"/>
      <c r="KVI1515" s="879"/>
      <c r="KVJ1515" s="879"/>
      <c r="KVK1515" s="879"/>
      <c r="KVL1515" s="879"/>
      <c r="KVM1515" s="879"/>
      <c r="KVN1515" s="879"/>
      <c r="KVO1515" s="879"/>
      <c r="KVP1515" s="879"/>
      <c r="KVQ1515" s="879"/>
      <c r="KVR1515" s="879"/>
      <c r="KVS1515" s="879"/>
      <c r="KVT1515" s="879"/>
      <c r="KVU1515" s="879"/>
      <c r="KVV1515" s="879"/>
      <c r="KVW1515" s="879"/>
      <c r="KVX1515" s="879"/>
      <c r="KVY1515" s="879"/>
      <c r="KVZ1515" s="879"/>
      <c r="KWA1515" s="879"/>
      <c r="KWB1515" s="879"/>
      <c r="KWC1515" s="879"/>
      <c r="KWD1515" s="879"/>
      <c r="KWE1515" s="879"/>
      <c r="KWF1515" s="879"/>
      <c r="KWG1515" s="879"/>
      <c r="KWH1515" s="879"/>
      <c r="KWI1515" s="879"/>
      <c r="KWJ1515" s="879"/>
      <c r="KWK1515" s="879"/>
      <c r="KWL1515" s="879"/>
      <c r="KWM1515" s="879"/>
      <c r="KWN1515" s="879"/>
      <c r="KWO1515" s="879"/>
      <c r="KWP1515" s="879"/>
      <c r="KWQ1515" s="879"/>
      <c r="KWR1515" s="879"/>
      <c r="KWS1515" s="879"/>
      <c r="KWT1515" s="879"/>
      <c r="KWU1515" s="879"/>
      <c r="KWV1515" s="879"/>
      <c r="KWW1515" s="879"/>
      <c r="KWX1515" s="879"/>
      <c r="KWY1515" s="879"/>
      <c r="KWZ1515" s="879"/>
      <c r="KXA1515" s="879"/>
      <c r="KXB1515" s="879"/>
      <c r="KXC1515" s="879"/>
      <c r="KXD1515" s="879"/>
      <c r="KXE1515" s="879"/>
      <c r="KXF1515" s="879"/>
      <c r="KXG1515" s="879"/>
      <c r="KXH1515" s="879"/>
      <c r="KXI1515" s="879"/>
      <c r="KXJ1515" s="879"/>
      <c r="KXK1515" s="879"/>
      <c r="KXL1515" s="879"/>
      <c r="KXM1515" s="879"/>
      <c r="KXN1515" s="879"/>
      <c r="KXO1515" s="879"/>
      <c r="KXP1515" s="879"/>
      <c r="KXQ1515" s="879"/>
      <c r="KXR1515" s="879"/>
      <c r="KXS1515" s="879"/>
      <c r="KXT1515" s="879"/>
      <c r="KXU1515" s="879"/>
      <c r="KXV1515" s="879"/>
      <c r="KXW1515" s="879"/>
      <c r="KXX1515" s="879"/>
      <c r="KXY1515" s="879"/>
      <c r="KXZ1515" s="879"/>
      <c r="KYA1515" s="879"/>
      <c r="KYB1515" s="879"/>
      <c r="KYC1515" s="879"/>
      <c r="KYD1515" s="879"/>
      <c r="KYE1515" s="879"/>
      <c r="KYF1515" s="879"/>
      <c r="KYG1515" s="879"/>
      <c r="KYH1515" s="879"/>
      <c r="KYI1515" s="879"/>
      <c r="KYJ1515" s="879"/>
      <c r="KYK1515" s="879"/>
      <c r="KYL1515" s="879"/>
      <c r="KYM1515" s="879"/>
      <c r="KYN1515" s="879"/>
      <c r="KYO1515" s="879"/>
      <c r="KYP1515" s="879"/>
      <c r="KYQ1515" s="879"/>
      <c r="KYR1515" s="879"/>
      <c r="KYS1515" s="879"/>
      <c r="KYT1515" s="879"/>
      <c r="KYU1515" s="879"/>
      <c r="KYV1515" s="879"/>
      <c r="KYW1515" s="879"/>
      <c r="KYX1515" s="879"/>
      <c r="KYY1515" s="879"/>
      <c r="KYZ1515" s="879"/>
      <c r="KZA1515" s="879"/>
      <c r="KZB1515" s="879"/>
      <c r="KZC1515" s="879"/>
      <c r="KZD1515" s="879"/>
      <c r="KZE1515" s="879"/>
      <c r="KZF1515" s="879"/>
      <c r="KZG1515" s="879"/>
      <c r="KZH1515" s="879"/>
      <c r="KZI1515" s="879"/>
      <c r="KZJ1515" s="879"/>
      <c r="KZK1515" s="879"/>
      <c r="KZL1515" s="879"/>
      <c r="KZM1515" s="879"/>
      <c r="KZN1515" s="879"/>
      <c r="KZO1515" s="879"/>
      <c r="KZP1515" s="879"/>
      <c r="KZQ1515" s="879"/>
      <c r="KZR1515" s="879"/>
      <c r="KZS1515" s="879"/>
      <c r="KZT1515" s="879"/>
      <c r="KZU1515" s="879"/>
      <c r="KZV1515" s="879"/>
      <c r="KZW1515" s="879"/>
      <c r="KZX1515" s="879"/>
      <c r="KZY1515" s="879"/>
      <c r="KZZ1515" s="879"/>
      <c r="LAA1515" s="879"/>
      <c r="LAB1515" s="879"/>
      <c r="LAC1515" s="879"/>
      <c r="LAD1515" s="879"/>
      <c r="LAE1515" s="879"/>
      <c r="LAF1515" s="879"/>
      <c r="LAG1515" s="879"/>
      <c r="LAH1515" s="879"/>
      <c r="LAI1515" s="879"/>
      <c r="LAJ1515" s="879"/>
      <c r="LAK1515" s="879"/>
      <c r="LAL1515" s="879"/>
      <c r="LAM1515" s="879"/>
      <c r="LAN1515" s="879"/>
      <c r="LAO1515" s="879"/>
      <c r="LAP1515" s="879"/>
      <c r="LAQ1515" s="879"/>
      <c r="LAR1515" s="879"/>
      <c r="LAS1515" s="879"/>
      <c r="LAT1515" s="879"/>
      <c r="LAU1515" s="879"/>
      <c r="LAV1515" s="879"/>
      <c r="LAW1515" s="879"/>
      <c r="LAX1515" s="879"/>
      <c r="LAY1515" s="879"/>
      <c r="LAZ1515" s="879"/>
      <c r="LBA1515" s="879"/>
      <c r="LBB1515" s="879"/>
      <c r="LBC1515" s="879"/>
      <c r="LBD1515" s="879"/>
      <c r="LBE1515" s="879"/>
      <c r="LBF1515" s="879"/>
      <c r="LBG1515" s="879"/>
      <c r="LBH1515" s="879"/>
      <c r="LBI1515" s="879"/>
      <c r="LBJ1515" s="879"/>
      <c r="LBK1515" s="879"/>
      <c r="LBL1515" s="879"/>
      <c r="LBM1515" s="879"/>
      <c r="LBN1515" s="879"/>
      <c r="LBO1515" s="879"/>
      <c r="LBP1515" s="879"/>
      <c r="LBQ1515" s="879"/>
      <c r="LBR1515" s="879"/>
      <c r="LBS1515" s="879"/>
      <c r="LBT1515" s="879"/>
      <c r="LBU1515" s="879"/>
      <c r="LBV1515" s="879"/>
      <c r="LBW1515" s="879"/>
      <c r="LBX1515" s="879"/>
      <c r="LBY1515" s="879"/>
      <c r="LBZ1515" s="879"/>
      <c r="LCA1515" s="879"/>
      <c r="LCB1515" s="879"/>
      <c r="LCC1515" s="879"/>
      <c r="LCD1515" s="879"/>
      <c r="LCE1515" s="879"/>
      <c r="LCF1515" s="879"/>
      <c r="LCG1515" s="879"/>
      <c r="LCH1515" s="879"/>
      <c r="LCI1515" s="879"/>
      <c r="LCJ1515" s="879"/>
      <c r="LCK1515" s="879"/>
      <c r="LCL1515" s="879"/>
      <c r="LCM1515" s="879"/>
      <c r="LCN1515" s="879"/>
      <c r="LCO1515" s="879"/>
      <c r="LCP1515" s="879"/>
      <c r="LCQ1515" s="879"/>
      <c r="LCR1515" s="879"/>
      <c r="LCS1515" s="879"/>
      <c r="LCT1515" s="879"/>
      <c r="LCU1515" s="879"/>
      <c r="LCV1515" s="879"/>
      <c r="LCW1515" s="879"/>
      <c r="LCX1515" s="879"/>
      <c r="LCY1515" s="879"/>
      <c r="LCZ1515" s="879"/>
      <c r="LDA1515" s="879"/>
      <c r="LDB1515" s="879"/>
      <c r="LDC1515" s="879"/>
      <c r="LDD1515" s="879"/>
      <c r="LDE1515" s="879"/>
      <c r="LDF1515" s="879"/>
      <c r="LDG1515" s="879"/>
      <c r="LDH1515" s="879"/>
      <c r="LDI1515" s="879"/>
      <c r="LDJ1515" s="879"/>
      <c r="LDK1515" s="879"/>
      <c r="LDL1515" s="879"/>
      <c r="LDM1515" s="879"/>
      <c r="LDN1515" s="879"/>
      <c r="LDO1515" s="879"/>
      <c r="LDP1515" s="879"/>
      <c r="LDQ1515" s="879"/>
      <c r="LDR1515" s="879"/>
      <c r="LDS1515" s="879"/>
      <c r="LDT1515" s="879"/>
      <c r="LDU1515" s="879"/>
      <c r="LDV1515" s="879"/>
      <c r="LDW1515" s="879"/>
      <c r="LDX1515" s="879"/>
      <c r="LDY1515" s="879"/>
      <c r="LDZ1515" s="879"/>
      <c r="LEA1515" s="879"/>
      <c r="LEB1515" s="879"/>
      <c r="LEC1515" s="879"/>
      <c r="LED1515" s="879"/>
      <c r="LEE1515" s="879"/>
      <c r="LEF1515" s="879"/>
      <c r="LEG1515" s="879"/>
      <c r="LEH1515" s="879"/>
      <c r="LEI1515" s="879"/>
      <c r="LEJ1515" s="879"/>
      <c r="LEK1515" s="879"/>
      <c r="LEL1515" s="879"/>
      <c r="LEM1515" s="879"/>
      <c r="LEN1515" s="879"/>
      <c r="LEO1515" s="879"/>
      <c r="LEP1515" s="879"/>
      <c r="LEQ1515" s="879"/>
      <c r="LER1515" s="879"/>
      <c r="LES1515" s="879"/>
      <c r="LET1515" s="879"/>
      <c r="LEU1515" s="879"/>
      <c r="LEV1515" s="879"/>
      <c r="LEW1515" s="879"/>
      <c r="LEX1515" s="879"/>
      <c r="LEY1515" s="879"/>
      <c r="LEZ1515" s="879"/>
      <c r="LFA1515" s="879"/>
      <c r="LFB1515" s="879"/>
      <c r="LFC1515" s="879"/>
      <c r="LFD1515" s="879"/>
      <c r="LFE1515" s="879"/>
      <c r="LFF1515" s="879"/>
      <c r="LFG1515" s="879"/>
      <c r="LFH1515" s="879"/>
      <c r="LFI1515" s="879"/>
      <c r="LFJ1515" s="879"/>
      <c r="LFK1515" s="879"/>
      <c r="LFL1515" s="879"/>
      <c r="LFM1515" s="879"/>
      <c r="LFN1515" s="879"/>
      <c r="LFO1515" s="879"/>
      <c r="LFP1515" s="879"/>
      <c r="LFQ1515" s="879"/>
      <c r="LFR1515" s="879"/>
      <c r="LFS1515" s="879"/>
      <c r="LFT1515" s="879"/>
      <c r="LFU1515" s="879"/>
      <c r="LFV1515" s="879"/>
      <c r="LFW1515" s="879"/>
      <c r="LFX1515" s="879"/>
      <c r="LFY1515" s="879"/>
      <c r="LFZ1515" s="879"/>
      <c r="LGA1515" s="879"/>
      <c r="LGB1515" s="879"/>
      <c r="LGC1515" s="879"/>
      <c r="LGD1515" s="879"/>
      <c r="LGE1515" s="879"/>
      <c r="LGF1515" s="879"/>
      <c r="LGG1515" s="879"/>
      <c r="LGH1515" s="879"/>
      <c r="LGI1515" s="879"/>
      <c r="LGJ1515" s="879"/>
      <c r="LGK1515" s="879"/>
      <c r="LGL1515" s="879"/>
      <c r="LGM1515" s="879"/>
      <c r="LGN1515" s="879"/>
      <c r="LGO1515" s="879"/>
      <c r="LGP1515" s="879"/>
      <c r="LGQ1515" s="879"/>
      <c r="LGR1515" s="879"/>
      <c r="LGS1515" s="879"/>
      <c r="LGT1515" s="879"/>
      <c r="LGU1515" s="879"/>
      <c r="LGV1515" s="879"/>
      <c r="LGW1515" s="879"/>
      <c r="LGX1515" s="879"/>
      <c r="LGY1515" s="879"/>
      <c r="LGZ1515" s="879"/>
      <c r="LHA1515" s="879"/>
      <c r="LHB1515" s="879"/>
      <c r="LHC1515" s="879"/>
      <c r="LHD1515" s="879"/>
      <c r="LHE1515" s="879"/>
      <c r="LHF1515" s="879"/>
      <c r="LHG1515" s="879"/>
      <c r="LHH1515" s="879"/>
      <c r="LHI1515" s="879"/>
      <c r="LHJ1515" s="879"/>
      <c r="LHK1515" s="879"/>
      <c r="LHL1515" s="879"/>
      <c r="LHM1515" s="879"/>
      <c r="LHN1515" s="879"/>
      <c r="LHO1515" s="879"/>
      <c r="LHP1515" s="879"/>
      <c r="LHQ1515" s="879"/>
      <c r="LHR1515" s="879"/>
      <c r="LHS1515" s="879"/>
      <c r="LHT1515" s="879"/>
      <c r="LHU1515" s="879"/>
      <c r="LHV1515" s="879"/>
      <c r="LHW1515" s="879"/>
      <c r="LHX1515" s="879"/>
      <c r="LHY1515" s="879"/>
      <c r="LHZ1515" s="879"/>
      <c r="LIA1515" s="879"/>
      <c r="LIB1515" s="879"/>
      <c r="LIC1515" s="879"/>
      <c r="LID1515" s="879"/>
      <c r="LIE1515" s="879"/>
      <c r="LIF1515" s="879"/>
      <c r="LIG1515" s="879"/>
      <c r="LIH1515" s="879"/>
      <c r="LII1515" s="879"/>
      <c r="LIJ1515" s="879"/>
      <c r="LIK1515" s="879"/>
      <c r="LIL1515" s="879"/>
      <c r="LIM1515" s="879"/>
      <c r="LIN1515" s="879"/>
      <c r="LIO1515" s="879"/>
      <c r="LIP1515" s="879"/>
      <c r="LIQ1515" s="879"/>
      <c r="LIR1515" s="879"/>
      <c r="LIS1515" s="879"/>
      <c r="LIT1515" s="879"/>
      <c r="LIU1515" s="879"/>
      <c r="LIV1515" s="879"/>
      <c r="LIW1515" s="879"/>
      <c r="LIX1515" s="879"/>
      <c r="LIY1515" s="879"/>
      <c r="LIZ1515" s="879"/>
      <c r="LJA1515" s="879"/>
      <c r="LJB1515" s="879"/>
      <c r="LJC1515" s="879"/>
      <c r="LJD1515" s="879"/>
      <c r="LJE1515" s="879"/>
      <c r="LJF1515" s="879"/>
      <c r="LJG1515" s="879"/>
      <c r="LJH1515" s="879"/>
      <c r="LJI1515" s="879"/>
      <c r="LJJ1515" s="879"/>
      <c r="LJK1515" s="879"/>
      <c r="LJL1515" s="879"/>
      <c r="LJM1515" s="879"/>
      <c r="LJN1515" s="879"/>
      <c r="LJO1515" s="879"/>
      <c r="LJP1515" s="879"/>
      <c r="LJQ1515" s="879"/>
      <c r="LJR1515" s="879"/>
      <c r="LJS1515" s="879"/>
      <c r="LJT1515" s="879"/>
      <c r="LJU1515" s="879"/>
      <c r="LJV1515" s="879"/>
      <c r="LJW1515" s="879"/>
      <c r="LJX1515" s="879"/>
      <c r="LJY1515" s="879"/>
      <c r="LJZ1515" s="879"/>
      <c r="LKA1515" s="879"/>
      <c r="LKB1515" s="879"/>
      <c r="LKC1515" s="879"/>
      <c r="LKD1515" s="879"/>
      <c r="LKE1515" s="879"/>
      <c r="LKF1515" s="879"/>
      <c r="LKG1515" s="879"/>
      <c r="LKH1515" s="879"/>
      <c r="LKI1515" s="879"/>
      <c r="LKJ1515" s="879"/>
      <c r="LKK1515" s="879"/>
      <c r="LKL1515" s="879"/>
      <c r="LKM1515" s="879"/>
      <c r="LKN1515" s="879"/>
      <c r="LKO1515" s="879"/>
      <c r="LKP1515" s="879"/>
      <c r="LKQ1515" s="879"/>
      <c r="LKR1515" s="879"/>
      <c r="LKS1515" s="879"/>
      <c r="LKT1515" s="879"/>
      <c r="LKU1515" s="879"/>
      <c r="LKV1515" s="879"/>
      <c r="LKW1515" s="879"/>
      <c r="LKX1515" s="879"/>
      <c r="LKY1515" s="879"/>
      <c r="LKZ1515" s="879"/>
      <c r="LLA1515" s="879"/>
      <c r="LLB1515" s="879"/>
      <c r="LLC1515" s="879"/>
      <c r="LLD1515" s="879"/>
      <c r="LLE1515" s="879"/>
      <c r="LLF1515" s="879"/>
      <c r="LLG1515" s="879"/>
      <c r="LLH1515" s="879"/>
      <c r="LLI1515" s="879"/>
      <c r="LLJ1515" s="879"/>
      <c r="LLK1515" s="879"/>
      <c r="LLL1515" s="879"/>
      <c r="LLM1515" s="879"/>
      <c r="LLN1515" s="879"/>
      <c r="LLO1515" s="879"/>
      <c r="LLP1515" s="879"/>
      <c r="LLQ1515" s="879"/>
      <c r="LLR1515" s="879"/>
      <c r="LLS1515" s="879"/>
      <c r="LLT1515" s="879"/>
      <c r="LLU1515" s="879"/>
      <c r="LLV1515" s="879"/>
      <c r="LLW1515" s="879"/>
      <c r="LLX1515" s="879"/>
      <c r="LLY1515" s="879"/>
      <c r="LLZ1515" s="879"/>
      <c r="LMA1515" s="879"/>
      <c r="LMB1515" s="879"/>
      <c r="LMC1515" s="879"/>
      <c r="LMD1515" s="879"/>
      <c r="LME1515" s="879"/>
      <c r="LMF1515" s="879"/>
      <c r="LMG1515" s="879"/>
      <c r="LMH1515" s="879"/>
      <c r="LMI1515" s="879"/>
      <c r="LMJ1515" s="879"/>
      <c r="LMK1515" s="879"/>
      <c r="LML1515" s="879"/>
      <c r="LMM1515" s="879"/>
      <c r="LMN1515" s="879"/>
      <c r="LMO1515" s="879"/>
      <c r="LMP1515" s="879"/>
      <c r="LMQ1515" s="879"/>
      <c r="LMR1515" s="879"/>
      <c r="LMS1515" s="879"/>
      <c r="LMT1515" s="879"/>
      <c r="LMU1515" s="879"/>
      <c r="LMV1515" s="879"/>
      <c r="LMW1515" s="879"/>
      <c r="LMX1515" s="879"/>
      <c r="LMY1515" s="879"/>
      <c r="LMZ1515" s="879"/>
      <c r="LNA1515" s="879"/>
      <c r="LNB1515" s="879"/>
      <c r="LNC1515" s="879"/>
      <c r="LND1515" s="879"/>
      <c r="LNE1515" s="879"/>
      <c r="LNF1515" s="879"/>
      <c r="LNG1515" s="879"/>
      <c r="LNH1515" s="879"/>
      <c r="LNI1515" s="879"/>
      <c r="LNJ1515" s="879"/>
      <c r="LNK1515" s="879"/>
      <c r="LNL1515" s="879"/>
      <c r="LNM1515" s="879"/>
      <c r="LNN1515" s="879"/>
      <c r="LNO1515" s="879"/>
      <c r="LNP1515" s="879"/>
      <c r="LNQ1515" s="879"/>
      <c r="LNR1515" s="879"/>
      <c r="LNS1515" s="879"/>
      <c r="LNT1515" s="879"/>
      <c r="LNU1515" s="879"/>
      <c r="LNV1515" s="879"/>
      <c r="LNW1515" s="879"/>
      <c r="LNX1515" s="879"/>
      <c r="LNY1515" s="879"/>
      <c r="LNZ1515" s="879"/>
      <c r="LOA1515" s="879"/>
      <c r="LOB1515" s="879"/>
      <c r="LOC1515" s="879"/>
      <c r="LOD1515" s="879"/>
      <c r="LOE1515" s="879"/>
      <c r="LOF1515" s="879"/>
      <c r="LOG1515" s="879"/>
      <c r="LOH1515" s="879"/>
      <c r="LOI1515" s="879"/>
      <c r="LOJ1515" s="879"/>
      <c r="LOK1515" s="879"/>
      <c r="LOL1515" s="879"/>
      <c r="LOM1515" s="879"/>
      <c r="LON1515" s="879"/>
      <c r="LOO1515" s="879"/>
      <c r="LOP1515" s="879"/>
      <c r="LOQ1515" s="879"/>
      <c r="LOR1515" s="879"/>
      <c r="LOS1515" s="879"/>
      <c r="LOT1515" s="879"/>
      <c r="LOU1515" s="879"/>
      <c r="LOV1515" s="879"/>
      <c r="LOW1515" s="879"/>
      <c r="LOX1515" s="879"/>
      <c r="LOY1515" s="879"/>
      <c r="LOZ1515" s="879"/>
      <c r="LPA1515" s="879"/>
      <c r="LPB1515" s="879"/>
      <c r="LPC1515" s="879"/>
      <c r="LPD1515" s="879"/>
      <c r="LPE1515" s="879"/>
      <c r="LPF1515" s="879"/>
      <c r="LPG1515" s="879"/>
      <c r="LPH1515" s="879"/>
      <c r="LPI1515" s="879"/>
      <c r="LPJ1515" s="879"/>
      <c r="LPK1515" s="879"/>
      <c r="LPL1515" s="879"/>
      <c r="LPM1515" s="879"/>
      <c r="LPN1515" s="879"/>
      <c r="LPO1515" s="879"/>
      <c r="LPP1515" s="879"/>
      <c r="LPQ1515" s="879"/>
      <c r="LPR1515" s="879"/>
      <c r="LPS1515" s="879"/>
      <c r="LPT1515" s="879"/>
      <c r="LPU1515" s="879"/>
      <c r="LPV1515" s="879"/>
      <c r="LPW1515" s="879"/>
      <c r="LPX1515" s="879"/>
      <c r="LPY1515" s="879"/>
      <c r="LPZ1515" s="879"/>
      <c r="LQA1515" s="879"/>
      <c r="LQB1515" s="879"/>
      <c r="LQC1515" s="879"/>
      <c r="LQD1515" s="879"/>
      <c r="LQE1515" s="879"/>
      <c r="LQF1515" s="879"/>
      <c r="LQG1515" s="879"/>
      <c r="LQH1515" s="879"/>
      <c r="LQI1515" s="879"/>
      <c r="LQJ1515" s="879"/>
      <c r="LQK1515" s="879"/>
      <c r="LQL1515" s="879"/>
      <c r="LQM1515" s="879"/>
      <c r="LQN1515" s="879"/>
      <c r="LQO1515" s="879"/>
      <c r="LQP1515" s="879"/>
      <c r="LQQ1515" s="879"/>
      <c r="LQR1515" s="879"/>
      <c r="LQS1515" s="879"/>
      <c r="LQT1515" s="879"/>
      <c r="LQU1515" s="879"/>
      <c r="LQV1515" s="879"/>
      <c r="LQW1515" s="879"/>
      <c r="LQX1515" s="879"/>
      <c r="LQY1515" s="879"/>
      <c r="LQZ1515" s="879"/>
      <c r="LRA1515" s="879"/>
      <c r="LRB1515" s="879"/>
      <c r="LRC1515" s="879"/>
      <c r="LRD1515" s="879"/>
      <c r="LRE1515" s="879"/>
      <c r="LRF1515" s="879"/>
      <c r="LRG1515" s="879"/>
      <c r="LRH1515" s="879"/>
      <c r="LRI1515" s="879"/>
      <c r="LRJ1515" s="879"/>
      <c r="LRK1515" s="879"/>
      <c r="LRL1515" s="879"/>
      <c r="LRM1515" s="879"/>
      <c r="LRN1515" s="879"/>
      <c r="LRO1515" s="879"/>
      <c r="LRP1515" s="879"/>
      <c r="LRQ1515" s="879"/>
      <c r="LRR1515" s="879"/>
      <c r="LRS1515" s="879"/>
      <c r="LRT1515" s="879"/>
      <c r="LRU1515" s="879"/>
      <c r="LRV1515" s="879"/>
      <c r="LRW1515" s="879"/>
      <c r="LRX1515" s="879"/>
      <c r="LRY1515" s="879"/>
      <c r="LRZ1515" s="879"/>
      <c r="LSA1515" s="879"/>
      <c r="LSB1515" s="879"/>
      <c r="LSC1515" s="879"/>
      <c r="LSD1515" s="879"/>
      <c r="LSE1515" s="879"/>
      <c r="LSF1515" s="879"/>
      <c r="LSG1515" s="879"/>
      <c r="LSH1515" s="879"/>
      <c r="LSI1515" s="879"/>
      <c r="LSJ1515" s="879"/>
      <c r="LSK1515" s="879"/>
      <c r="LSL1515" s="879"/>
      <c r="LSM1515" s="879"/>
      <c r="LSN1515" s="879"/>
      <c r="LSO1515" s="879"/>
      <c r="LSP1515" s="879"/>
      <c r="LSQ1515" s="879"/>
      <c r="LSR1515" s="879"/>
      <c r="LSS1515" s="879"/>
      <c r="LST1515" s="879"/>
      <c r="LSU1515" s="879"/>
      <c r="LSV1515" s="879"/>
      <c r="LSW1515" s="879"/>
      <c r="LSX1515" s="879"/>
      <c r="LSY1515" s="879"/>
      <c r="LSZ1515" s="879"/>
      <c r="LTA1515" s="879"/>
      <c r="LTB1515" s="879"/>
      <c r="LTC1515" s="879"/>
      <c r="LTD1515" s="879"/>
      <c r="LTE1515" s="879"/>
      <c r="LTF1515" s="879"/>
      <c r="LTG1515" s="879"/>
      <c r="LTH1515" s="879"/>
      <c r="LTI1515" s="879"/>
      <c r="LTJ1515" s="879"/>
      <c r="LTK1515" s="879"/>
      <c r="LTL1515" s="879"/>
      <c r="LTM1515" s="879"/>
      <c r="LTN1515" s="879"/>
      <c r="LTO1515" s="879"/>
      <c r="LTP1515" s="879"/>
      <c r="LTQ1515" s="879"/>
      <c r="LTR1515" s="879"/>
      <c r="LTS1515" s="879"/>
      <c r="LTT1515" s="879"/>
      <c r="LTU1515" s="879"/>
      <c r="LTV1515" s="879"/>
      <c r="LTW1515" s="879"/>
      <c r="LTX1515" s="879"/>
      <c r="LTY1515" s="879"/>
      <c r="LTZ1515" s="879"/>
      <c r="LUA1515" s="879"/>
      <c r="LUB1515" s="879"/>
      <c r="LUC1515" s="879"/>
      <c r="LUD1515" s="879"/>
      <c r="LUE1515" s="879"/>
      <c r="LUF1515" s="879"/>
      <c r="LUG1515" s="879"/>
      <c r="LUH1515" s="879"/>
      <c r="LUI1515" s="879"/>
      <c r="LUJ1515" s="879"/>
      <c r="LUK1515" s="879"/>
      <c r="LUL1515" s="879"/>
      <c r="LUM1515" s="879"/>
      <c r="LUN1515" s="879"/>
      <c r="LUO1515" s="879"/>
      <c r="LUP1515" s="879"/>
      <c r="LUQ1515" s="879"/>
      <c r="LUR1515" s="879"/>
      <c r="LUS1515" s="879"/>
      <c r="LUT1515" s="879"/>
      <c r="LUU1515" s="879"/>
      <c r="LUV1515" s="879"/>
      <c r="LUW1515" s="879"/>
      <c r="LUX1515" s="879"/>
      <c r="LUY1515" s="879"/>
      <c r="LUZ1515" s="879"/>
      <c r="LVA1515" s="879"/>
      <c r="LVB1515" s="879"/>
      <c r="LVC1515" s="879"/>
      <c r="LVD1515" s="879"/>
      <c r="LVE1515" s="879"/>
      <c r="LVF1515" s="879"/>
      <c r="LVG1515" s="879"/>
      <c r="LVH1515" s="879"/>
      <c r="LVI1515" s="879"/>
      <c r="LVJ1515" s="879"/>
      <c r="LVK1515" s="879"/>
      <c r="LVL1515" s="879"/>
      <c r="LVM1515" s="879"/>
      <c r="LVN1515" s="879"/>
      <c r="LVO1515" s="879"/>
      <c r="LVP1515" s="879"/>
      <c r="LVQ1515" s="879"/>
      <c r="LVR1515" s="879"/>
      <c r="LVS1515" s="879"/>
      <c r="LVT1515" s="879"/>
      <c r="LVU1515" s="879"/>
      <c r="LVV1515" s="879"/>
      <c r="LVW1515" s="879"/>
      <c r="LVX1515" s="879"/>
      <c r="LVY1515" s="879"/>
      <c r="LVZ1515" s="879"/>
      <c r="LWA1515" s="879"/>
      <c r="LWB1515" s="879"/>
      <c r="LWC1515" s="879"/>
      <c r="LWD1515" s="879"/>
      <c r="LWE1515" s="879"/>
      <c r="LWF1515" s="879"/>
      <c r="LWG1515" s="879"/>
      <c r="LWH1515" s="879"/>
      <c r="LWI1515" s="879"/>
      <c r="LWJ1515" s="879"/>
      <c r="LWK1515" s="879"/>
      <c r="LWL1515" s="879"/>
      <c r="LWM1515" s="879"/>
      <c r="LWN1515" s="879"/>
      <c r="LWO1515" s="879"/>
      <c r="LWP1515" s="879"/>
      <c r="LWQ1515" s="879"/>
      <c r="LWR1515" s="879"/>
      <c r="LWS1515" s="879"/>
      <c r="LWT1515" s="879"/>
      <c r="LWU1515" s="879"/>
      <c r="LWV1515" s="879"/>
      <c r="LWW1515" s="879"/>
      <c r="LWX1515" s="879"/>
      <c r="LWY1515" s="879"/>
      <c r="LWZ1515" s="879"/>
      <c r="LXA1515" s="879"/>
      <c r="LXB1515" s="879"/>
      <c r="LXC1515" s="879"/>
      <c r="LXD1515" s="879"/>
      <c r="LXE1515" s="879"/>
      <c r="LXF1515" s="879"/>
      <c r="LXG1515" s="879"/>
      <c r="LXH1515" s="879"/>
      <c r="LXI1515" s="879"/>
      <c r="LXJ1515" s="879"/>
      <c r="LXK1515" s="879"/>
      <c r="LXL1515" s="879"/>
      <c r="LXM1515" s="879"/>
      <c r="LXN1515" s="879"/>
      <c r="LXO1515" s="879"/>
      <c r="LXP1515" s="879"/>
      <c r="LXQ1515" s="879"/>
      <c r="LXR1515" s="879"/>
      <c r="LXS1515" s="879"/>
      <c r="LXT1515" s="879"/>
      <c r="LXU1515" s="879"/>
      <c r="LXV1515" s="879"/>
      <c r="LXW1515" s="879"/>
      <c r="LXX1515" s="879"/>
      <c r="LXY1515" s="879"/>
      <c r="LXZ1515" s="879"/>
      <c r="LYA1515" s="879"/>
      <c r="LYB1515" s="879"/>
      <c r="LYC1515" s="879"/>
      <c r="LYD1515" s="879"/>
      <c r="LYE1515" s="879"/>
      <c r="LYF1515" s="879"/>
      <c r="LYG1515" s="879"/>
      <c r="LYH1515" s="879"/>
      <c r="LYI1515" s="879"/>
      <c r="LYJ1515" s="879"/>
      <c r="LYK1515" s="879"/>
      <c r="LYL1515" s="879"/>
      <c r="LYM1515" s="879"/>
      <c r="LYN1515" s="879"/>
      <c r="LYO1515" s="879"/>
      <c r="LYP1515" s="879"/>
      <c r="LYQ1515" s="879"/>
      <c r="LYR1515" s="879"/>
      <c r="LYS1515" s="879"/>
      <c r="LYT1515" s="879"/>
      <c r="LYU1515" s="879"/>
      <c r="LYV1515" s="879"/>
      <c r="LYW1515" s="879"/>
      <c r="LYX1515" s="879"/>
      <c r="LYY1515" s="879"/>
      <c r="LYZ1515" s="879"/>
      <c r="LZA1515" s="879"/>
      <c r="LZB1515" s="879"/>
      <c r="LZC1515" s="879"/>
      <c r="LZD1515" s="879"/>
      <c r="LZE1515" s="879"/>
      <c r="LZF1515" s="879"/>
      <c r="LZG1515" s="879"/>
      <c r="LZH1515" s="879"/>
      <c r="LZI1515" s="879"/>
      <c r="LZJ1515" s="879"/>
      <c r="LZK1515" s="879"/>
      <c r="LZL1515" s="879"/>
      <c r="LZM1515" s="879"/>
      <c r="LZN1515" s="879"/>
      <c r="LZO1515" s="879"/>
      <c r="LZP1515" s="879"/>
      <c r="LZQ1515" s="879"/>
      <c r="LZR1515" s="879"/>
      <c r="LZS1515" s="879"/>
      <c r="LZT1515" s="879"/>
      <c r="LZU1515" s="879"/>
      <c r="LZV1515" s="879"/>
      <c r="LZW1515" s="879"/>
      <c r="LZX1515" s="879"/>
      <c r="LZY1515" s="879"/>
      <c r="LZZ1515" s="879"/>
      <c r="MAA1515" s="879"/>
      <c r="MAB1515" s="879"/>
      <c r="MAC1515" s="879"/>
      <c r="MAD1515" s="879"/>
      <c r="MAE1515" s="879"/>
      <c r="MAF1515" s="879"/>
      <c r="MAG1515" s="879"/>
      <c r="MAH1515" s="879"/>
      <c r="MAI1515" s="879"/>
      <c r="MAJ1515" s="879"/>
      <c r="MAK1515" s="879"/>
      <c r="MAL1515" s="879"/>
      <c r="MAM1515" s="879"/>
      <c r="MAN1515" s="879"/>
      <c r="MAO1515" s="879"/>
      <c r="MAP1515" s="879"/>
      <c r="MAQ1515" s="879"/>
      <c r="MAR1515" s="879"/>
      <c r="MAS1515" s="879"/>
      <c r="MAT1515" s="879"/>
      <c r="MAU1515" s="879"/>
      <c r="MAV1515" s="879"/>
      <c r="MAW1515" s="879"/>
      <c r="MAX1515" s="879"/>
      <c r="MAY1515" s="879"/>
      <c r="MAZ1515" s="879"/>
      <c r="MBA1515" s="879"/>
      <c r="MBB1515" s="879"/>
      <c r="MBC1515" s="879"/>
      <c r="MBD1515" s="879"/>
      <c r="MBE1515" s="879"/>
      <c r="MBF1515" s="879"/>
      <c r="MBG1515" s="879"/>
      <c r="MBH1515" s="879"/>
      <c r="MBI1515" s="879"/>
      <c r="MBJ1515" s="879"/>
      <c r="MBK1515" s="879"/>
      <c r="MBL1515" s="879"/>
      <c r="MBM1515" s="879"/>
      <c r="MBN1515" s="879"/>
      <c r="MBO1515" s="879"/>
      <c r="MBP1515" s="879"/>
      <c r="MBQ1515" s="879"/>
      <c r="MBR1515" s="879"/>
      <c r="MBS1515" s="879"/>
      <c r="MBT1515" s="879"/>
      <c r="MBU1515" s="879"/>
      <c r="MBV1515" s="879"/>
      <c r="MBW1515" s="879"/>
      <c r="MBX1515" s="879"/>
      <c r="MBY1515" s="879"/>
      <c r="MBZ1515" s="879"/>
      <c r="MCA1515" s="879"/>
      <c r="MCB1515" s="879"/>
      <c r="MCC1515" s="879"/>
      <c r="MCD1515" s="879"/>
      <c r="MCE1515" s="879"/>
      <c r="MCF1515" s="879"/>
      <c r="MCG1515" s="879"/>
      <c r="MCH1515" s="879"/>
      <c r="MCI1515" s="879"/>
      <c r="MCJ1515" s="879"/>
      <c r="MCK1515" s="879"/>
      <c r="MCL1515" s="879"/>
      <c r="MCM1515" s="879"/>
      <c r="MCN1515" s="879"/>
      <c r="MCO1515" s="879"/>
      <c r="MCP1515" s="879"/>
      <c r="MCQ1515" s="879"/>
      <c r="MCR1515" s="879"/>
      <c r="MCS1515" s="879"/>
      <c r="MCT1515" s="879"/>
      <c r="MCU1515" s="879"/>
      <c r="MCV1515" s="879"/>
      <c r="MCW1515" s="879"/>
      <c r="MCX1515" s="879"/>
      <c r="MCY1515" s="879"/>
      <c r="MCZ1515" s="879"/>
      <c r="MDA1515" s="879"/>
      <c r="MDB1515" s="879"/>
      <c r="MDC1515" s="879"/>
      <c r="MDD1515" s="879"/>
      <c r="MDE1515" s="879"/>
      <c r="MDF1515" s="879"/>
      <c r="MDG1515" s="879"/>
      <c r="MDH1515" s="879"/>
      <c r="MDI1515" s="879"/>
      <c r="MDJ1515" s="879"/>
      <c r="MDK1515" s="879"/>
      <c r="MDL1515" s="879"/>
      <c r="MDM1515" s="879"/>
      <c r="MDN1515" s="879"/>
      <c r="MDO1515" s="879"/>
      <c r="MDP1515" s="879"/>
      <c r="MDQ1515" s="879"/>
      <c r="MDR1515" s="879"/>
      <c r="MDS1515" s="879"/>
      <c r="MDT1515" s="879"/>
      <c r="MDU1515" s="879"/>
      <c r="MDV1515" s="879"/>
      <c r="MDW1515" s="879"/>
      <c r="MDX1515" s="879"/>
      <c r="MDY1515" s="879"/>
      <c r="MDZ1515" s="879"/>
      <c r="MEA1515" s="879"/>
      <c r="MEB1515" s="879"/>
      <c r="MEC1515" s="879"/>
      <c r="MED1515" s="879"/>
      <c r="MEE1515" s="879"/>
      <c r="MEF1515" s="879"/>
      <c r="MEG1515" s="879"/>
      <c r="MEH1515" s="879"/>
      <c r="MEI1515" s="879"/>
      <c r="MEJ1515" s="879"/>
      <c r="MEK1515" s="879"/>
      <c r="MEL1515" s="879"/>
      <c r="MEM1515" s="879"/>
      <c r="MEN1515" s="879"/>
      <c r="MEO1515" s="879"/>
      <c r="MEP1515" s="879"/>
      <c r="MEQ1515" s="879"/>
      <c r="MER1515" s="879"/>
      <c r="MES1515" s="879"/>
      <c r="MET1515" s="879"/>
      <c r="MEU1515" s="879"/>
      <c r="MEV1515" s="879"/>
      <c r="MEW1515" s="879"/>
      <c r="MEX1515" s="879"/>
      <c r="MEY1515" s="879"/>
      <c r="MEZ1515" s="879"/>
      <c r="MFA1515" s="879"/>
      <c r="MFB1515" s="879"/>
      <c r="MFC1515" s="879"/>
      <c r="MFD1515" s="879"/>
      <c r="MFE1515" s="879"/>
      <c r="MFF1515" s="879"/>
      <c r="MFG1515" s="879"/>
      <c r="MFH1515" s="879"/>
      <c r="MFI1515" s="879"/>
      <c r="MFJ1515" s="879"/>
      <c r="MFK1515" s="879"/>
      <c r="MFL1515" s="879"/>
      <c r="MFM1515" s="879"/>
      <c r="MFN1515" s="879"/>
      <c r="MFO1515" s="879"/>
      <c r="MFP1515" s="879"/>
      <c r="MFQ1515" s="879"/>
      <c r="MFR1515" s="879"/>
      <c r="MFS1515" s="879"/>
      <c r="MFT1515" s="879"/>
      <c r="MFU1515" s="879"/>
      <c r="MFV1515" s="879"/>
      <c r="MFW1515" s="879"/>
      <c r="MFX1515" s="879"/>
      <c r="MFY1515" s="879"/>
      <c r="MFZ1515" s="879"/>
      <c r="MGA1515" s="879"/>
      <c r="MGB1515" s="879"/>
      <c r="MGC1515" s="879"/>
      <c r="MGD1515" s="879"/>
      <c r="MGE1515" s="879"/>
      <c r="MGF1515" s="879"/>
      <c r="MGG1515" s="879"/>
      <c r="MGH1515" s="879"/>
      <c r="MGI1515" s="879"/>
      <c r="MGJ1515" s="879"/>
      <c r="MGK1515" s="879"/>
      <c r="MGL1515" s="879"/>
      <c r="MGM1515" s="879"/>
      <c r="MGN1515" s="879"/>
      <c r="MGO1515" s="879"/>
      <c r="MGP1515" s="879"/>
      <c r="MGQ1515" s="879"/>
      <c r="MGR1515" s="879"/>
      <c r="MGS1515" s="879"/>
      <c r="MGT1515" s="879"/>
      <c r="MGU1515" s="879"/>
      <c r="MGV1515" s="879"/>
      <c r="MGW1515" s="879"/>
      <c r="MGX1515" s="879"/>
      <c r="MGY1515" s="879"/>
      <c r="MGZ1515" s="879"/>
      <c r="MHA1515" s="879"/>
      <c r="MHB1515" s="879"/>
      <c r="MHC1515" s="879"/>
      <c r="MHD1515" s="879"/>
      <c r="MHE1515" s="879"/>
      <c r="MHF1515" s="879"/>
      <c r="MHG1515" s="879"/>
      <c r="MHH1515" s="879"/>
      <c r="MHI1515" s="879"/>
      <c r="MHJ1515" s="879"/>
      <c r="MHK1515" s="879"/>
      <c r="MHL1515" s="879"/>
      <c r="MHM1515" s="879"/>
      <c r="MHN1515" s="879"/>
      <c r="MHO1515" s="879"/>
      <c r="MHP1515" s="879"/>
      <c r="MHQ1515" s="879"/>
      <c r="MHR1515" s="879"/>
      <c r="MHS1515" s="879"/>
      <c r="MHT1515" s="879"/>
      <c r="MHU1515" s="879"/>
      <c r="MHV1515" s="879"/>
      <c r="MHW1515" s="879"/>
      <c r="MHX1515" s="879"/>
      <c r="MHY1515" s="879"/>
      <c r="MHZ1515" s="879"/>
      <c r="MIA1515" s="879"/>
      <c r="MIB1515" s="879"/>
      <c r="MIC1515" s="879"/>
      <c r="MID1515" s="879"/>
      <c r="MIE1515" s="879"/>
      <c r="MIF1515" s="879"/>
      <c r="MIG1515" s="879"/>
      <c r="MIH1515" s="879"/>
      <c r="MII1515" s="879"/>
      <c r="MIJ1515" s="879"/>
      <c r="MIK1515" s="879"/>
      <c r="MIL1515" s="879"/>
      <c r="MIM1515" s="879"/>
      <c r="MIN1515" s="879"/>
      <c r="MIO1515" s="879"/>
      <c r="MIP1515" s="879"/>
      <c r="MIQ1515" s="879"/>
      <c r="MIR1515" s="879"/>
      <c r="MIS1515" s="879"/>
      <c r="MIT1515" s="879"/>
      <c r="MIU1515" s="879"/>
      <c r="MIV1515" s="879"/>
      <c r="MIW1515" s="879"/>
      <c r="MIX1515" s="879"/>
      <c r="MIY1515" s="879"/>
      <c r="MIZ1515" s="879"/>
      <c r="MJA1515" s="879"/>
      <c r="MJB1515" s="879"/>
      <c r="MJC1515" s="879"/>
      <c r="MJD1515" s="879"/>
      <c r="MJE1515" s="879"/>
      <c r="MJF1515" s="879"/>
      <c r="MJG1515" s="879"/>
      <c r="MJH1515" s="879"/>
      <c r="MJI1515" s="879"/>
      <c r="MJJ1515" s="879"/>
      <c r="MJK1515" s="879"/>
      <c r="MJL1515" s="879"/>
      <c r="MJM1515" s="879"/>
      <c r="MJN1515" s="879"/>
      <c r="MJO1515" s="879"/>
      <c r="MJP1515" s="879"/>
      <c r="MJQ1515" s="879"/>
      <c r="MJR1515" s="879"/>
      <c r="MJS1515" s="879"/>
      <c r="MJT1515" s="879"/>
      <c r="MJU1515" s="879"/>
      <c r="MJV1515" s="879"/>
      <c r="MJW1515" s="879"/>
      <c r="MJX1515" s="879"/>
      <c r="MJY1515" s="879"/>
      <c r="MJZ1515" s="879"/>
      <c r="MKA1515" s="879"/>
      <c r="MKB1515" s="879"/>
      <c r="MKC1515" s="879"/>
      <c r="MKD1515" s="879"/>
      <c r="MKE1515" s="879"/>
      <c r="MKF1515" s="879"/>
      <c r="MKG1515" s="879"/>
      <c r="MKH1515" s="879"/>
      <c r="MKI1515" s="879"/>
      <c r="MKJ1515" s="879"/>
      <c r="MKK1515" s="879"/>
      <c r="MKL1515" s="879"/>
      <c r="MKM1515" s="879"/>
      <c r="MKN1515" s="879"/>
      <c r="MKO1515" s="879"/>
      <c r="MKP1515" s="879"/>
      <c r="MKQ1515" s="879"/>
      <c r="MKR1515" s="879"/>
      <c r="MKS1515" s="879"/>
      <c r="MKT1515" s="879"/>
      <c r="MKU1515" s="879"/>
      <c r="MKV1515" s="879"/>
      <c r="MKW1515" s="879"/>
      <c r="MKX1515" s="879"/>
      <c r="MKY1515" s="879"/>
      <c r="MKZ1515" s="879"/>
      <c r="MLA1515" s="879"/>
      <c r="MLB1515" s="879"/>
      <c r="MLC1515" s="879"/>
      <c r="MLD1515" s="879"/>
      <c r="MLE1515" s="879"/>
      <c r="MLF1515" s="879"/>
      <c r="MLG1515" s="879"/>
      <c r="MLH1515" s="879"/>
      <c r="MLI1515" s="879"/>
      <c r="MLJ1515" s="879"/>
      <c r="MLK1515" s="879"/>
      <c r="MLL1515" s="879"/>
      <c r="MLM1515" s="879"/>
      <c r="MLN1515" s="879"/>
      <c r="MLO1515" s="879"/>
      <c r="MLP1515" s="879"/>
      <c r="MLQ1515" s="879"/>
      <c r="MLR1515" s="879"/>
      <c r="MLS1515" s="879"/>
      <c r="MLT1515" s="879"/>
      <c r="MLU1515" s="879"/>
      <c r="MLV1515" s="879"/>
      <c r="MLW1515" s="879"/>
      <c r="MLX1515" s="879"/>
      <c r="MLY1515" s="879"/>
      <c r="MLZ1515" s="879"/>
      <c r="MMA1515" s="879"/>
      <c r="MMB1515" s="879"/>
      <c r="MMC1515" s="879"/>
      <c r="MMD1515" s="879"/>
      <c r="MME1515" s="879"/>
      <c r="MMF1515" s="879"/>
      <c r="MMG1515" s="879"/>
      <c r="MMH1515" s="879"/>
      <c r="MMI1515" s="879"/>
      <c r="MMJ1515" s="879"/>
      <c r="MMK1515" s="879"/>
      <c r="MML1515" s="879"/>
      <c r="MMM1515" s="879"/>
      <c r="MMN1515" s="879"/>
      <c r="MMO1515" s="879"/>
      <c r="MMP1515" s="879"/>
      <c r="MMQ1515" s="879"/>
      <c r="MMR1515" s="879"/>
      <c r="MMS1515" s="879"/>
      <c r="MMT1515" s="879"/>
      <c r="MMU1515" s="879"/>
      <c r="MMV1515" s="879"/>
      <c r="MMW1515" s="879"/>
      <c r="MMX1515" s="879"/>
      <c r="MMY1515" s="879"/>
      <c r="MMZ1515" s="879"/>
      <c r="MNA1515" s="879"/>
      <c r="MNB1515" s="879"/>
      <c r="MNC1515" s="879"/>
      <c r="MND1515" s="879"/>
      <c r="MNE1515" s="879"/>
      <c r="MNF1515" s="879"/>
      <c r="MNG1515" s="879"/>
      <c r="MNH1515" s="879"/>
      <c r="MNI1515" s="879"/>
      <c r="MNJ1515" s="879"/>
      <c r="MNK1515" s="879"/>
      <c r="MNL1515" s="879"/>
      <c r="MNM1515" s="879"/>
      <c r="MNN1515" s="879"/>
      <c r="MNO1515" s="879"/>
      <c r="MNP1515" s="879"/>
      <c r="MNQ1515" s="879"/>
      <c r="MNR1515" s="879"/>
      <c r="MNS1515" s="879"/>
      <c r="MNT1515" s="879"/>
      <c r="MNU1515" s="879"/>
      <c r="MNV1515" s="879"/>
      <c r="MNW1515" s="879"/>
      <c r="MNX1515" s="879"/>
      <c r="MNY1515" s="879"/>
      <c r="MNZ1515" s="879"/>
      <c r="MOA1515" s="879"/>
      <c r="MOB1515" s="879"/>
      <c r="MOC1515" s="879"/>
      <c r="MOD1515" s="879"/>
      <c r="MOE1515" s="879"/>
      <c r="MOF1515" s="879"/>
      <c r="MOG1515" s="879"/>
      <c r="MOH1515" s="879"/>
      <c r="MOI1515" s="879"/>
      <c r="MOJ1515" s="879"/>
      <c r="MOK1515" s="879"/>
      <c r="MOL1515" s="879"/>
      <c r="MOM1515" s="879"/>
      <c r="MON1515" s="879"/>
      <c r="MOO1515" s="879"/>
      <c r="MOP1515" s="879"/>
      <c r="MOQ1515" s="879"/>
      <c r="MOR1515" s="879"/>
      <c r="MOS1515" s="879"/>
      <c r="MOT1515" s="879"/>
      <c r="MOU1515" s="879"/>
      <c r="MOV1515" s="879"/>
      <c r="MOW1515" s="879"/>
      <c r="MOX1515" s="879"/>
      <c r="MOY1515" s="879"/>
      <c r="MOZ1515" s="879"/>
      <c r="MPA1515" s="879"/>
      <c r="MPB1515" s="879"/>
      <c r="MPC1515" s="879"/>
      <c r="MPD1515" s="879"/>
      <c r="MPE1515" s="879"/>
      <c r="MPF1515" s="879"/>
      <c r="MPG1515" s="879"/>
      <c r="MPH1515" s="879"/>
      <c r="MPI1515" s="879"/>
      <c r="MPJ1515" s="879"/>
      <c r="MPK1515" s="879"/>
      <c r="MPL1515" s="879"/>
      <c r="MPM1515" s="879"/>
      <c r="MPN1515" s="879"/>
      <c r="MPO1515" s="879"/>
      <c r="MPP1515" s="879"/>
      <c r="MPQ1515" s="879"/>
      <c r="MPR1515" s="879"/>
      <c r="MPS1515" s="879"/>
      <c r="MPT1515" s="879"/>
      <c r="MPU1515" s="879"/>
      <c r="MPV1515" s="879"/>
      <c r="MPW1515" s="879"/>
      <c r="MPX1515" s="879"/>
      <c r="MPY1515" s="879"/>
      <c r="MPZ1515" s="879"/>
      <c r="MQA1515" s="879"/>
      <c r="MQB1515" s="879"/>
      <c r="MQC1515" s="879"/>
      <c r="MQD1515" s="879"/>
      <c r="MQE1515" s="879"/>
      <c r="MQF1515" s="879"/>
      <c r="MQG1515" s="879"/>
      <c r="MQH1515" s="879"/>
      <c r="MQI1515" s="879"/>
      <c r="MQJ1515" s="879"/>
      <c r="MQK1515" s="879"/>
      <c r="MQL1515" s="879"/>
      <c r="MQM1515" s="879"/>
      <c r="MQN1515" s="879"/>
      <c r="MQO1515" s="879"/>
      <c r="MQP1515" s="879"/>
      <c r="MQQ1515" s="879"/>
      <c r="MQR1515" s="879"/>
      <c r="MQS1515" s="879"/>
      <c r="MQT1515" s="879"/>
      <c r="MQU1515" s="879"/>
      <c r="MQV1515" s="879"/>
      <c r="MQW1515" s="879"/>
      <c r="MQX1515" s="879"/>
      <c r="MQY1515" s="879"/>
      <c r="MQZ1515" s="879"/>
      <c r="MRA1515" s="879"/>
      <c r="MRB1515" s="879"/>
      <c r="MRC1515" s="879"/>
      <c r="MRD1515" s="879"/>
      <c r="MRE1515" s="879"/>
      <c r="MRF1515" s="879"/>
      <c r="MRG1515" s="879"/>
      <c r="MRH1515" s="879"/>
      <c r="MRI1515" s="879"/>
      <c r="MRJ1515" s="879"/>
      <c r="MRK1515" s="879"/>
      <c r="MRL1515" s="879"/>
      <c r="MRM1515" s="879"/>
      <c r="MRN1515" s="879"/>
      <c r="MRO1515" s="879"/>
      <c r="MRP1515" s="879"/>
      <c r="MRQ1515" s="879"/>
      <c r="MRR1515" s="879"/>
      <c r="MRS1515" s="879"/>
      <c r="MRT1515" s="879"/>
      <c r="MRU1515" s="879"/>
      <c r="MRV1515" s="879"/>
      <c r="MRW1515" s="879"/>
      <c r="MRX1515" s="879"/>
      <c r="MRY1515" s="879"/>
      <c r="MRZ1515" s="879"/>
      <c r="MSA1515" s="879"/>
      <c r="MSB1515" s="879"/>
      <c r="MSC1515" s="879"/>
      <c r="MSD1515" s="879"/>
      <c r="MSE1515" s="879"/>
      <c r="MSF1515" s="879"/>
      <c r="MSG1515" s="879"/>
      <c r="MSH1515" s="879"/>
      <c r="MSI1515" s="879"/>
      <c r="MSJ1515" s="879"/>
      <c r="MSK1515" s="879"/>
      <c r="MSL1515" s="879"/>
      <c r="MSM1515" s="879"/>
      <c r="MSN1515" s="879"/>
      <c r="MSO1515" s="879"/>
      <c r="MSP1515" s="879"/>
      <c r="MSQ1515" s="879"/>
      <c r="MSR1515" s="879"/>
      <c r="MSS1515" s="879"/>
      <c r="MST1515" s="879"/>
      <c r="MSU1515" s="879"/>
      <c r="MSV1515" s="879"/>
      <c r="MSW1515" s="879"/>
      <c r="MSX1515" s="879"/>
      <c r="MSY1515" s="879"/>
      <c r="MSZ1515" s="879"/>
      <c r="MTA1515" s="879"/>
      <c r="MTB1515" s="879"/>
      <c r="MTC1515" s="879"/>
      <c r="MTD1515" s="879"/>
      <c r="MTE1515" s="879"/>
      <c r="MTF1515" s="879"/>
      <c r="MTG1515" s="879"/>
      <c r="MTH1515" s="879"/>
      <c r="MTI1515" s="879"/>
      <c r="MTJ1515" s="879"/>
      <c r="MTK1515" s="879"/>
      <c r="MTL1515" s="879"/>
      <c r="MTM1515" s="879"/>
      <c r="MTN1515" s="879"/>
      <c r="MTO1515" s="879"/>
      <c r="MTP1515" s="879"/>
      <c r="MTQ1515" s="879"/>
      <c r="MTR1515" s="879"/>
      <c r="MTS1515" s="879"/>
      <c r="MTT1515" s="879"/>
      <c r="MTU1515" s="879"/>
      <c r="MTV1515" s="879"/>
      <c r="MTW1515" s="879"/>
      <c r="MTX1515" s="879"/>
      <c r="MTY1515" s="879"/>
      <c r="MTZ1515" s="879"/>
      <c r="MUA1515" s="879"/>
      <c r="MUB1515" s="879"/>
      <c r="MUC1515" s="879"/>
      <c r="MUD1515" s="879"/>
      <c r="MUE1515" s="879"/>
      <c r="MUF1515" s="879"/>
      <c r="MUG1515" s="879"/>
      <c r="MUH1515" s="879"/>
      <c r="MUI1515" s="879"/>
      <c r="MUJ1515" s="879"/>
      <c r="MUK1515" s="879"/>
      <c r="MUL1515" s="879"/>
      <c r="MUM1515" s="879"/>
      <c r="MUN1515" s="879"/>
      <c r="MUO1515" s="879"/>
      <c r="MUP1515" s="879"/>
      <c r="MUQ1515" s="879"/>
      <c r="MUR1515" s="879"/>
      <c r="MUS1515" s="879"/>
      <c r="MUT1515" s="879"/>
      <c r="MUU1515" s="879"/>
      <c r="MUV1515" s="879"/>
      <c r="MUW1515" s="879"/>
      <c r="MUX1515" s="879"/>
      <c r="MUY1515" s="879"/>
      <c r="MUZ1515" s="879"/>
      <c r="MVA1515" s="879"/>
      <c r="MVB1515" s="879"/>
      <c r="MVC1515" s="879"/>
      <c r="MVD1515" s="879"/>
      <c r="MVE1515" s="879"/>
      <c r="MVF1515" s="879"/>
      <c r="MVG1515" s="879"/>
      <c r="MVH1515" s="879"/>
      <c r="MVI1515" s="879"/>
      <c r="MVJ1515" s="879"/>
      <c r="MVK1515" s="879"/>
      <c r="MVL1515" s="879"/>
      <c r="MVM1515" s="879"/>
      <c r="MVN1515" s="879"/>
      <c r="MVO1515" s="879"/>
      <c r="MVP1515" s="879"/>
      <c r="MVQ1515" s="879"/>
      <c r="MVR1515" s="879"/>
      <c r="MVS1515" s="879"/>
      <c r="MVT1515" s="879"/>
      <c r="MVU1515" s="879"/>
      <c r="MVV1515" s="879"/>
      <c r="MVW1515" s="879"/>
      <c r="MVX1515" s="879"/>
      <c r="MVY1515" s="879"/>
      <c r="MVZ1515" s="879"/>
      <c r="MWA1515" s="879"/>
      <c r="MWB1515" s="879"/>
      <c r="MWC1515" s="879"/>
      <c r="MWD1515" s="879"/>
      <c r="MWE1515" s="879"/>
      <c r="MWF1515" s="879"/>
      <c r="MWG1515" s="879"/>
      <c r="MWH1515" s="879"/>
      <c r="MWI1515" s="879"/>
      <c r="MWJ1515" s="879"/>
      <c r="MWK1515" s="879"/>
      <c r="MWL1515" s="879"/>
      <c r="MWM1515" s="879"/>
      <c r="MWN1515" s="879"/>
      <c r="MWO1515" s="879"/>
      <c r="MWP1515" s="879"/>
      <c r="MWQ1515" s="879"/>
      <c r="MWR1515" s="879"/>
      <c r="MWS1515" s="879"/>
      <c r="MWT1515" s="879"/>
      <c r="MWU1515" s="879"/>
      <c r="MWV1515" s="879"/>
      <c r="MWW1515" s="879"/>
      <c r="MWX1515" s="879"/>
      <c r="MWY1515" s="879"/>
      <c r="MWZ1515" s="879"/>
      <c r="MXA1515" s="879"/>
      <c r="MXB1515" s="879"/>
      <c r="MXC1515" s="879"/>
      <c r="MXD1515" s="879"/>
      <c r="MXE1515" s="879"/>
      <c r="MXF1515" s="879"/>
      <c r="MXG1515" s="879"/>
      <c r="MXH1515" s="879"/>
      <c r="MXI1515" s="879"/>
      <c r="MXJ1515" s="879"/>
      <c r="MXK1515" s="879"/>
      <c r="MXL1515" s="879"/>
      <c r="MXM1515" s="879"/>
      <c r="MXN1515" s="879"/>
      <c r="MXO1515" s="879"/>
      <c r="MXP1515" s="879"/>
      <c r="MXQ1515" s="879"/>
      <c r="MXR1515" s="879"/>
      <c r="MXS1515" s="879"/>
      <c r="MXT1515" s="879"/>
      <c r="MXU1515" s="879"/>
      <c r="MXV1515" s="879"/>
      <c r="MXW1515" s="879"/>
      <c r="MXX1515" s="879"/>
      <c r="MXY1515" s="879"/>
      <c r="MXZ1515" s="879"/>
      <c r="MYA1515" s="879"/>
      <c r="MYB1515" s="879"/>
      <c r="MYC1515" s="879"/>
      <c r="MYD1515" s="879"/>
      <c r="MYE1515" s="879"/>
      <c r="MYF1515" s="879"/>
      <c r="MYG1515" s="879"/>
      <c r="MYH1515" s="879"/>
      <c r="MYI1515" s="879"/>
      <c r="MYJ1515" s="879"/>
      <c r="MYK1515" s="879"/>
      <c r="MYL1515" s="879"/>
      <c r="MYM1515" s="879"/>
      <c r="MYN1515" s="879"/>
      <c r="MYO1515" s="879"/>
      <c r="MYP1515" s="879"/>
      <c r="MYQ1515" s="879"/>
      <c r="MYR1515" s="879"/>
      <c r="MYS1515" s="879"/>
      <c r="MYT1515" s="879"/>
      <c r="MYU1515" s="879"/>
      <c r="MYV1515" s="879"/>
      <c r="MYW1515" s="879"/>
      <c r="MYX1515" s="879"/>
      <c r="MYY1515" s="879"/>
      <c r="MYZ1515" s="879"/>
      <c r="MZA1515" s="879"/>
      <c r="MZB1515" s="879"/>
      <c r="MZC1515" s="879"/>
      <c r="MZD1515" s="879"/>
      <c r="MZE1515" s="879"/>
      <c r="MZF1515" s="879"/>
      <c r="MZG1515" s="879"/>
      <c r="MZH1515" s="879"/>
      <c r="MZI1515" s="879"/>
      <c r="MZJ1515" s="879"/>
      <c r="MZK1515" s="879"/>
      <c r="MZL1515" s="879"/>
      <c r="MZM1515" s="879"/>
      <c r="MZN1515" s="879"/>
      <c r="MZO1515" s="879"/>
      <c r="MZP1515" s="879"/>
      <c r="MZQ1515" s="879"/>
      <c r="MZR1515" s="879"/>
      <c r="MZS1515" s="879"/>
      <c r="MZT1515" s="879"/>
      <c r="MZU1515" s="879"/>
      <c r="MZV1515" s="879"/>
      <c r="MZW1515" s="879"/>
      <c r="MZX1515" s="879"/>
      <c r="MZY1515" s="879"/>
      <c r="MZZ1515" s="879"/>
      <c r="NAA1515" s="879"/>
      <c r="NAB1515" s="879"/>
      <c r="NAC1515" s="879"/>
      <c r="NAD1515" s="879"/>
      <c r="NAE1515" s="879"/>
      <c r="NAF1515" s="879"/>
      <c r="NAG1515" s="879"/>
      <c r="NAH1515" s="879"/>
      <c r="NAI1515" s="879"/>
      <c r="NAJ1515" s="879"/>
      <c r="NAK1515" s="879"/>
      <c r="NAL1515" s="879"/>
      <c r="NAM1515" s="879"/>
      <c r="NAN1515" s="879"/>
      <c r="NAO1515" s="879"/>
      <c r="NAP1515" s="879"/>
      <c r="NAQ1515" s="879"/>
      <c r="NAR1515" s="879"/>
      <c r="NAS1515" s="879"/>
      <c r="NAT1515" s="879"/>
      <c r="NAU1515" s="879"/>
      <c r="NAV1515" s="879"/>
      <c r="NAW1515" s="879"/>
      <c r="NAX1515" s="879"/>
      <c r="NAY1515" s="879"/>
      <c r="NAZ1515" s="879"/>
      <c r="NBA1515" s="879"/>
      <c r="NBB1515" s="879"/>
      <c r="NBC1515" s="879"/>
      <c r="NBD1515" s="879"/>
      <c r="NBE1515" s="879"/>
      <c r="NBF1515" s="879"/>
      <c r="NBG1515" s="879"/>
      <c r="NBH1515" s="879"/>
      <c r="NBI1515" s="879"/>
      <c r="NBJ1515" s="879"/>
      <c r="NBK1515" s="879"/>
      <c r="NBL1515" s="879"/>
      <c r="NBM1515" s="879"/>
      <c r="NBN1515" s="879"/>
      <c r="NBO1515" s="879"/>
      <c r="NBP1515" s="879"/>
      <c r="NBQ1515" s="879"/>
      <c r="NBR1515" s="879"/>
      <c r="NBS1515" s="879"/>
      <c r="NBT1515" s="879"/>
      <c r="NBU1515" s="879"/>
      <c r="NBV1515" s="879"/>
      <c r="NBW1515" s="879"/>
      <c r="NBX1515" s="879"/>
      <c r="NBY1515" s="879"/>
      <c r="NBZ1515" s="879"/>
      <c r="NCA1515" s="879"/>
      <c r="NCB1515" s="879"/>
      <c r="NCC1515" s="879"/>
      <c r="NCD1515" s="879"/>
      <c r="NCE1515" s="879"/>
      <c r="NCF1515" s="879"/>
      <c r="NCG1515" s="879"/>
      <c r="NCH1515" s="879"/>
      <c r="NCI1515" s="879"/>
      <c r="NCJ1515" s="879"/>
      <c r="NCK1515" s="879"/>
      <c r="NCL1515" s="879"/>
      <c r="NCM1515" s="879"/>
      <c r="NCN1515" s="879"/>
      <c r="NCO1515" s="879"/>
      <c r="NCP1515" s="879"/>
      <c r="NCQ1515" s="879"/>
      <c r="NCR1515" s="879"/>
      <c r="NCS1515" s="879"/>
      <c r="NCT1515" s="879"/>
      <c r="NCU1515" s="879"/>
      <c r="NCV1515" s="879"/>
      <c r="NCW1515" s="879"/>
      <c r="NCX1515" s="879"/>
      <c r="NCY1515" s="879"/>
      <c r="NCZ1515" s="879"/>
      <c r="NDA1515" s="879"/>
      <c r="NDB1515" s="879"/>
      <c r="NDC1515" s="879"/>
      <c r="NDD1515" s="879"/>
      <c r="NDE1515" s="879"/>
      <c r="NDF1515" s="879"/>
      <c r="NDG1515" s="879"/>
      <c r="NDH1515" s="879"/>
      <c r="NDI1515" s="879"/>
      <c r="NDJ1515" s="879"/>
      <c r="NDK1515" s="879"/>
      <c r="NDL1515" s="879"/>
      <c r="NDM1515" s="879"/>
      <c r="NDN1515" s="879"/>
      <c r="NDO1515" s="879"/>
      <c r="NDP1515" s="879"/>
      <c r="NDQ1515" s="879"/>
      <c r="NDR1515" s="879"/>
      <c r="NDS1515" s="879"/>
      <c r="NDT1515" s="879"/>
      <c r="NDU1515" s="879"/>
      <c r="NDV1515" s="879"/>
      <c r="NDW1515" s="879"/>
      <c r="NDX1515" s="879"/>
      <c r="NDY1515" s="879"/>
      <c r="NDZ1515" s="879"/>
      <c r="NEA1515" s="879"/>
      <c r="NEB1515" s="879"/>
      <c r="NEC1515" s="879"/>
      <c r="NED1515" s="879"/>
      <c r="NEE1515" s="879"/>
      <c r="NEF1515" s="879"/>
      <c r="NEG1515" s="879"/>
      <c r="NEH1515" s="879"/>
      <c r="NEI1515" s="879"/>
      <c r="NEJ1515" s="879"/>
      <c r="NEK1515" s="879"/>
      <c r="NEL1515" s="879"/>
      <c r="NEM1515" s="879"/>
      <c r="NEN1515" s="879"/>
      <c r="NEO1515" s="879"/>
      <c r="NEP1515" s="879"/>
      <c r="NEQ1515" s="879"/>
      <c r="NER1515" s="879"/>
      <c r="NES1515" s="879"/>
      <c r="NET1515" s="879"/>
      <c r="NEU1515" s="879"/>
      <c r="NEV1515" s="879"/>
      <c r="NEW1515" s="879"/>
      <c r="NEX1515" s="879"/>
      <c r="NEY1515" s="879"/>
      <c r="NEZ1515" s="879"/>
      <c r="NFA1515" s="879"/>
      <c r="NFB1515" s="879"/>
      <c r="NFC1515" s="879"/>
      <c r="NFD1515" s="879"/>
      <c r="NFE1515" s="879"/>
      <c r="NFF1515" s="879"/>
      <c r="NFG1515" s="879"/>
      <c r="NFH1515" s="879"/>
      <c r="NFI1515" s="879"/>
      <c r="NFJ1515" s="879"/>
      <c r="NFK1515" s="879"/>
      <c r="NFL1515" s="879"/>
      <c r="NFM1515" s="879"/>
      <c r="NFN1515" s="879"/>
      <c r="NFO1515" s="879"/>
      <c r="NFP1515" s="879"/>
      <c r="NFQ1515" s="879"/>
      <c r="NFR1515" s="879"/>
      <c r="NFS1515" s="879"/>
      <c r="NFT1515" s="879"/>
      <c r="NFU1515" s="879"/>
      <c r="NFV1515" s="879"/>
      <c r="NFW1515" s="879"/>
      <c r="NFX1515" s="879"/>
      <c r="NFY1515" s="879"/>
      <c r="NFZ1515" s="879"/>
      <c r="NGA1515" s="879"/>
      <c r="NGB1515" s="879"/>
      <c r="NGC1515" s="879"/>
      <c r="NGD1515" s="879"/>
      <c r="NGE1515" s="879"/>
      <c r="NGF1515" s="879"/>
      <c r="NGG1515" s="879"/>
      <c r="NGH1515" s="879"/>
      <c r="NGI1515" s="879"/>
      <c r="NGJ1515" s="879"/>
      <c r="NGK1515" s="879"/>
      <c r="NGL1515" s="879"/>
      <c r="NGM1515" s="879"/>
      <c r="NGN1515" s="879"/>
      <c r="NGO1515" s="879"/>
      <c r="NGP1515" s="879"/>
      <c r="NGQ1515" s="879"/>
      <c r="NGR1515" s="879"/>
      <c r="NGS1515" s="879"/>
      <c r="NGT1515" s="879"/>
      <c r="NGU1515" s="879"/>
      <c r="NGV1515" s="879"/>
      <c r="NGW1515" s="879"/>
      <c r="NGX1515" s="879"/>
      <c r="NGY1515" s="879"/>
      <c r="NGZ1515" s="879"/>
      <c r="NHA1515" s="879"/>
      <c r="NHB1515" s="879"/>
      <c r="NHC1515" s="879"/>
      <c r="NHD1515" s="879"/>
      <c r="NHE1515" s="879"/>
      <c r="NHF1515" s="879"/>
      <c r="NHG1515" s="879"/>
      <c r="NHH1515" s="879"/>
      <c r="NHI1515" s="879"/>
      <c r="NHJ1515" s="879"/>
      <c r="NHK1515" s="879"/>
      <c r="NHL1515" s="879"/>
      <c r="NHM1515" s="879"/>
      <c r="NHN1515" s="879"/>
      <c r="NHO1515" s="879"/>
      <c r="NHP1515" s="879"/>
      <c r="NHQ1515" s="879"/>
      <c r="NHR1515" s="879"/>
      <c r="NHS1515" s="879"/>
      <c r="NHT1515" s="879"/>
      <c r="NHU1515" s="879"/>
      <c r="NHV1515" s="879"/>
      <c r="NHW1515" s="879"/>
      <c r="NHX1515" s="879"/>
      <c r="NHY1515" s="879"/>
      <c r="NHZ1515" s="879"/>
      <c r="NIA1515" s="879"/>
      <c r="NIB1515" s="879"/>
      <c r="NIC1515" s="879"/>
      <c r="NID1515" s="879"/>
      <c r="NIE1515" s="879"/>
      <c r="NIF1515" s="879"/>
      <c r="NIG1515" s="879"/>
      <c r="NIH1515" s="879"/>
      <c r="NII1515" s="879"/>
      <c r="NIJ1515" s="879"/>
      <c r="NIK1515" s="879"/>
      <c r="NIL1515" s="879"/>
      <c r="NIM1515" s="879"/>
      <c r="NIN1515" s="879"/>
      <c r="NIO1515" s="879"/>
      <c r="NIP1515" s="879"/>
      <c r="NIQ1515" s="879"/>
      <c r="NIR1515" s="879"/>
      <c r="NIS1515" s="879"/>
      <c r="NIT1515" s="879"/>
      <c r="NIU1515" s="879"/>
      <c r="NIV1515" s="879"/>
      <c r="NIW1515" s="879"/>
      <c r="NIX1515" s="879"/>
      <c r="NIY1515" s="879"/>
      <c r="NIZ1515" s="879"/>
      <c r="NJA1515" s="879"/>
      <c r="NJB1515" s="879"/>
      <c r="NJC1515" s="879"/>
      <c r="NJD1515" s="879"/>
      <c r="NJE1515" s="879"/>
      <c r="NJF1515" s="879"/>
      <c r="NJG1515" s="879"/>
      <c r="NJH1515" s="879"/>
      <c r="NJI1515" s="879"/>
      <c r="NJJ1515" s="879"/>
      <c r="NJK1515" s="879"/>
      <c r="NJL1515" s="879"/>
      <c r="NJM1515" s="879"/>
      <c r="NJN1515" s="879"/>
      <c r="NJO1515" s="879"/>
      <c r="NJP1515" s="879"/>
      <c r="NJQ1515" s="879"/>
      <c r="NJR1515" s="879"/>
      <c r="NJS1515" s="879"/>
      <c r="NJT1515" s="879"/>
      <c r="NJU1515" s="879"/>
      <c r="NJV1515" s="879"/>
      <c r="NJW1515" s="879"/>
      <c r="NJX1515" s="879"/>
      <c r="NJY1515" s="879"/>
      <c r="NJZ1515" s="879"/>
      <c r="NKA1515" s="879"/>
      <c r="NKB1515" s="879"/>
      <c r="NKC1515" s="879"/>
      <c r="NKD1515" s="879"/>
      <c r="NKE1515" s="879"/>
      <c r="NKF1515" s="879"/>
      <c r="NKG1515" s="879"/>
      <c r="NKH1515" s="879"/>
      <c r="NKI1515" s="879"/>
      <c r="NKJ1515" s="879"/>
      <c r="NKK1515" s="879"/>
      <c r="NKL1515" s="879"/>
      <c r="NKM1515" s="879"/>
      <c r="NKN1515" s="879"/>
      <c r="NKO1515" s="879"/>
      <c r="NKP1515" s="879"/>
      <c r="NKQ1515" s="879"/>
      <c r="NKR1515" s="879"/>
      <c r="NKS1515" s="879"/>
      <c r="NKT1515" s="879"/>
      <c r="NKU1515" s="879"/>
      <c r="NKV1515" s="879"/>
      <c r="NKW1515" s="879"/>
      <c r="NKX1515" s="879"/>
      <c r="NKY1515" s="879"/>
      <c r="NKZ1515" s="879"/>
      <c r="NLA1515" s="879"/>
      <c r="NLB1515" s="879"/>
      <c r="NLC1515" s="879"/>
      <c r="NLD1515" s="879"/>
      <c r="NLE1515" s="879"/>
      <c r="NLF1515" s="879"/>
      <c r="NLG1515" s="879"/>
      <c r="NLH1515" s="879"/>
      <c r="NLI1515" s="879"/>
      <c r="NLJ1515" s="879"/>
      <c r="NLK1515" s="879"/>
      <c r="NLL1515" s="879"/>
      <c r="NLM1515" s="879"/>
      <c r="NLN1515" s="879"/>
      <c r="NLO1515" s="879"/>
      <c r="NLP1515" s="879"/>
      <c r="NLQ1515" s="879"/>
      <c r="NLR1515" s="879"/>
      <c r="NLS1515" s="879"/>
      <c r="NLT1515" s="879"/>
      <c r="NLU1515" s="879"/>
      <c r="NLV1515" s="879"/>
      <c r="NLW1515" s="879"/>
      <c r="NLX1515" s="879"/>
      <c r="NLY1515" s="879"/>
      <c r="NLZ1515" s="879"/>
      <c r="NMA1515" s="879"/>
      <c r="NMB1515" s="879"/>
      <c r="NMC1515" s="879"/>
      <c r="NMD1515" s="879"/>
      <c r="NME1515" s="879"/>
      <c r="NMF1515" s="879"/>
      <c r="NMG1515" s="879"/>
      <c r="NMH1515" s="879"/>
      <c r="NMI1515" s="879"/>
      <c r="NMJ1515" s="879"/>
      <c r="NMK1515" s="879"/>
      <c r="NML1515" s="879"/>
      <c r="NMM1515" s="879"/>
      <c r="NMN1515" s="879"/>
      <c r="NMO1515" s="879"/>
      <c r="NMP1515" s="879"/>
      <c r="NMQ1515" s="879"/>
      <c r="NMR1515" s="879"/>
      <c r="NMS1515" s="879"/>
      <c r="NMT1515" s="879"/>
      <c r="NMU1515" s="879"/>
      <c r="NMV1515" s="879"/>
      <c r="NMW1515" s="879"/>
      <c r="NMX1515" s="879"/>
      <c r="NMY1515" s="879"/>
      <c r="NMZ1515" s="879"/>
      <c r="NNA1515" s="879"/>
      <c r="NNB1515" s="879"/>
      <c r="NNC1515" s="879"/>
      <c r="NND1515" s="879"/>
      <c r="NNE1515" s="879"/>
      <c r="NNF1515" s="879"/>
      <c r="NNG1515" s="879"/>
      <c r="NNH1515" s="879"/>
      <c r="NNI1515" s="879"/>
      <c r="NNJ1515" s="879"/>
      <c r="NNK1515" s="879"/>
      <c r="NNL1515" s="879"/>
      <c r="NNM1515" s="879"/>
      <c r="NNN1515" s="879"/>
      <c r="NNO1515" s="879"/>
      <c r="NNP1515" s="879"/>
      <c r="NNQ1515" s="879"/>
      <c r="NNR1515" s="879"/>
      <c r="NNS1515" s="879"/>
      <c r="NNT1515" s="879"/>
      <c r="NNU1515" s="879"/>
      <c r="NNV1515" s="879"/>
      <c r="NNW1515" s="879"/>
      <c r="NNX1515" s="879"/>
      <c r="NNY1515" s="879"/>
      <c r="NNZ1515" s="879"/>
      <c r="NOA1515" s="879"/>
      <c r="NOB1515" s="879"/>
      <c r="NOC1515" s="879"/>
      <c r="NOD1515" s="879"/>
      <c r="NOE1515" s="879"/>
      <c r="NOF1515" s="879"/>
      <c r="NOG1515" s="879"/>
      <c r="NOH1515" s="879"/>
      <c r="NOI1515" s="879"/>
      <c r="NOJ1515" s="879"/>
      <c r="NOK1515" s="879"/>
      <c r="NOL1515" s="879"/>
      <c r="NOM1515" s="879"/>
      <c r="NON1515" s="879"/>
      <c r="NOO1515" s="879"/>
      <c r="NOP1515" s="879"/>
      <c r="NOQ1515" s="879"/>
      <c r="NOR1515" s="879"/>
      <c r="NOS1515" s="879"/>
      <c r="NOT1515" s="879"/>
      <c r="NOU1515" s="879"/>
      <c r="NOV1515" s="879"/>
      <c r="NOW1515" s="879"/>
      <c r="NOX1515" s="879"/>
      <c r="NOY1515" s="879"/>
      <c r="NOZ1515" s="879"/>
      <c r="NPA1515" s="879"/>
      <c r="NPB1515" s="879"/>
      <c r="NPC1515" s="879"/>
      <c r="NPD1515" s="879"/>
      <c r="NPE1515" s="879"/>
      <c r="NPF1515" s="879"/>
      <c r="NPG1515" s="879"/>
      <c r="NPH1515" s="879"/>
      <c r="NPI1515" s="879"/>
      <c r="NPJ1515" s="879"/>
      <c r="NPK1515" s="879"/>
      <c r="NPL1515" s="879"/>
      <c r="NPM1515" s="879"/>
      <c r="NPN1515" s="879"/>
      <c r="NPO1515" s="879"/>
      <c r="NPP1515" s="879"/>
      <c r="NPQ1515" s="879"/>
      <c r="NPR1515" s="879"/>
      <c r="NPS1515" s="879"/>
      <c r="NPT1515" s="879"/>
      <c r="NPU1515" s="879"/>
      <c r="NPV1515" s="879"/>
      <c r="NPW1515" s="879"/>
      <c r="NPX1515" s="879"/>
      <c r="NPY1515" s="879"/>
      <c r="NPZ1515" s="879"/>
      <c r="NQA1515" s="879"/>
      <c r="NQB1515" s="879"/>
      <c r="NQC1515" s="879"/>
      <c r="NQD1515" s="879"/>
      <c r="NQE1515" s="879"/>
      <c r="NQF1515" s="879"/>
      <c r="NQG1515" s="879"/>
      <c r="NQH1515" s="879"/>
      <c r="NQI1515" s="879"/>
      <c r="NQJ1515" s="879"/>
      <c r="NQK1515" s="879"/>
      <c r="NQL1515" s="879"/>
      <c r="NQM1515" s="879"/>
      <c r="NQN1515" s="879"/>
      <c r="NQO1515" s="879"/>
      <c r="NQP1515" s="879"/>
      <c r="NQQ1515" s="879"/>
      <c r="NQR1515" s="879"/>
      <c r="NQS1515" s="879"/>
      <c r="NQT1515" s="879"/>
      <c r="NQU1515" s="879"/>
      <c r="NQV1515" s="879"/>
      <c r="NQW1515" s="879"/>
      <c r="NQX1515" s="879"/>
      <c r="NQY1515" s="879"/>
      <c r="NQZ1515" s="879"/>
      <c r="NRA1515" s="879"/>
      <c r="NRB1515" s="879"/>
      <c r="NRC1515" s="879"/>
      <c r="NRD1515" s="879"/>
      <c r="NRE1515" s="879"/>
      <c r="NRF1515" s="879"/>
      <c r="NRG1515" s="879"/>
      <c r="NRH1515" s="879"/>
      <c r="NRI1515" s="879"/>
      <c r="NRJ1515" s="879"/>
      <c r="NRK1515" s="879"/>
      <c r="NRL1515" s="879"/>
      <c r="NRM1515" s="879"/>
      <c r="NRN1515" s="879"/>
      <c r="NRO1515" s="879"/>
      <c r="NRP1515" s="879"/>
      <c r="NRQ1515" s="879"/>
      <c r="NRR1515" s="879"/>
      <c r="NRS1515" s="879"/>
      <c r="NRT1515" s="879"/>
      <c r="NRU1515" s="879"/>
      <c r="NRV1515" s="879"/>
      <c r="NRW1515" s="879"/>
      <c r="NRX1515" s="879"/>
      <c r="NRY1515" s="879"/>
      <c r="NRZ1515" s="879"/>
      <c r="NSA1515" s="879"/>
      <c r="NSB1515" s="879"/>
      <c r="NSC1515" s="879"/>
      <c r="NSD1515" s="879"/>
      <c r="NSE1515" s="879"/>
      <c r="NSF1515" s="879"/>
      <c r="NSG1515" s="879"/>
      <c r="NSH1515" s="879"/>
      <c r="NSI1515" s="879"/>
      <c r="NSJ1515" s="879"/>
      <c r="NSK1515" s="879"/>
      <c r="NSL1515" s="879"/>
      <c r="NSM1515" s="879"/>
      <c r="NSN1515" s="879"/>
      <c r="NSO1515" s="879"/>
      <c r="NSP1515" s="879"/>
      <c r="NSQ1515" s="879"/>
      <c r="NSR1515" s="879"/>
      <c r="NSS1515" s="879"/>
      <c r="NST1515" s="879"/>
      <c r="NSU1515" s="879"/>
      <c r="NSV1515" s="879"/>
      <c r="NSW1515" s="879"/>
      <c r="NSX1515" s="879"/>
      <c r="NSY1515" s="879"/>
      <c r="NSZ1515" s="879"/>
      <c r="NTA1515" s="879"/>
      <c r="NTB1515" s="879"/>
      <c r="NTC1515" s="879"/>
      <c r="NTD1515" s="879"/>
      <c r="NTE1515" s="879"/>
      <c r="NTF1515" s="879"/>
      <c r="NTG1515" s="879"/>
      <c r="NTH1515" s="879"/>
      <c r="NTI1515" s="879"/>
      <c r="NTJ1515" s="879"/>
      <c r="NTK1515" s="879"/>
      <c r="NTL1515" s="879"/>
      <c r="NTM1515" s="879"/>
      <c r="NTN1515" s="879"/>
      <c r="NTO1515" s="879"/>
      <c r="NTP1515" s="879"/>
      <c r="NTQ1515" s="879"/>
      <c r="NTR1515" s="879"/>
      <c r="NTS1515" s="879"/>
      <c r="NTT1515" s="879"/>
      <c r="NTU1515" s="879"/>
      <c r="NTV1515" s="879"/>
      <c r="NTW1515" s="879"/>
      <c r="NTX1515" s="879"/>
      <c r="NTY1515" s="879"/>
      <c r="NTZ1515" s="879"/>
      <c r="NUA1515" s="879"/>
      <c r="NUB1515" s="879"/>
      <c r="NUC1515" s="879"/>
      <c r="NUD1515" s="879"/>
      <c r="NUE1515" s="879"/>
      <c r="NUF1515" s="879"/>
      <c r="NUG1515" s="879"/>
      <c r="NUH1515" s="879"/>
      <c r="NUI1515" s="879"/>
      <c r="NUJ1515" s="879"/>
      <c r="NUK1515" s="879"/>
      <c r="NUL1515" s="879"/>
      <c r="NUM1515" s="879"/>
      <c r="NUN1515" s="879"/>
      <c r="NUO1515" s="879"/>
      <c r="NUP1515" s="879"/>
      <c r="NUQ1515" s="879"/>
      <c r="NUR1515" s="879"/>
      <c r="NUS1515" s="879"/>
      <c r="NUT1515" s="879"/>
      <c r="NUU1515" s="879"/>
      <c r="NUV1515" s="879"/>
      <c r="NUW1515" s="879"/>
      <c r="NUX1515" s="879"/>
      <c r="NUY1515" s="879"/>
      <c r="NUZ1515" s="879"/>
      <c r="NVA1515" s="879"/>
      <c r="NVB1515" s="879"/>
      <c r="NVC1515" s="879"/>
      <c r="NVD1515" s="879"/>
      <c r="NVE1515" s="879"/>
      <c r="NVF1515" s="879"/>
      <c r="NVG1515" s="879"/>
      <c r="NVH1515" s="879"/>
      <c r="NVI1515" s="879"/>
      <c r="NVJ1515" s="879"/>
      <c r="NVK1515" s="879"/>
      <c r="NVL1515" s="879"/>
      <c r="NVM1515" s="879"/>
      <c r="NVN1515" s="879"/>
      <c r="NVO1515" s="879"/>
      <c r="NVP1515" s="879"/>
      <c r="NVQ1515" s="879"/>
      <c r="NVR1515" s="879"/>
      <c r="NVS1515" s="879"/>
      <c r="NVT1515" s="879"/>
      <c r="NVU1515" s="879"/>
      <c r="NVV1515" s="879"/>
      <c r="NVW1515" s="879"/>
      <c r="NVX1515" s="879"/>
      <c r="NVY1515" s="879"/>
      <c r="NVZ1515" s="879"/>
      <c r="NWA1515" s="879"/>
      <c r="NWB1515" s="879"/>
      <c r="NWC1515" s="879"/>
      <c r="NWD1515" s="879"/>
      <c r="NWE1515" s="879"/>
      <c r="NWF1515" s="879"/>
      <c r="NWG1515" s="879"/>
      <c r="NWH1515" s="879"/>
      <c r="NWI1515" s="879"/>
      <c r="NWJ1515" s="879"/>
      <c r="NWK1515" s="879"/>
      <c r="NWL1515" s="879"/>
      <c r="NWM1515" s="879"/>
      <c r="NWN1515" s="879"/>
      <c r="NWO1515" s="879"/>
      <c r="NWP1515" s="879"/>
      <c r="NWQ1515" s="879"/>
      <c r="NWR1515" s="879"/>
      <c r="NWS1515" s="879"/>
      <c r="NWT1515" s="879"/>
      <c r="NWU1515" s="879"/>
      <c r="NWV1515" s="879"/>
      <c r="NWW1515" s="879"/>
      <c r="NWX1515" s="879"/>
      <c r="NWY1515" s="879"/>
      <c r="NWZ1515" s="879"/>
      <c r="NXA1515" s="879"/>
      <c r="NXB1515" s="879"/>
      <c r="NXC1515" s="879"/>
      <c r="NXD1515" s="879"/>
      <c r="NXE1515" s="879"/>
      <c r="NXF1515" s="879"/>
      <c r="NXG1515" s="879"/>
      <c r="NXH1515" s="879"/>
      <c r="NXI1515" s="879"/>
      <c r="NXJ1515" s="879"/>
      <c r="NXK1515" s="879"/>
      <c r="NXL1515" s="879"/>
      <c r="NXM1515" s="879"/>
      <c r="NXN1515" s="879"/>
      <c r="NXO1515" s="879"/>
      <c r="NXP1515" s="879"/>
      <c r="NXQ1515" s="879"/>
      <c r="NXR1515" s="879"/>
      <c r="NXS1515" s="879"/>
      <c r="NXT1515" s="879"/>
      <c r="NXU1515" s="879"/>
      <c r="NXV1515" s="879"/>
      <c r="NXW1515" s="879"/>
      <c r="NXX1515" s="879"/>
      <c r="NXY1515" s="879"/>
      <c r="NXZ1515" s="879"/>
      <c r="NYA1515" s="879"/>
      <c r="NYB1515" s="879"/>
      <c r="NYC1515" s="879"/>
      <c r="NYD1515" s="879"/>
      <c r="NYE1515" s="879"/>
      <c r="NYF1515" s="879"/>
      <c r="NYG1515" s="879"/>
      <c r="NYH1515" s="879"/>
      <c r="NYI1515" s="879"/>
      <c r="NYJ1515" s="879"/>
      <c r="NYK1515" s="879"/>
      <c r="NYL1515" s="879"/>
      <c r="NYM1515" s="879"/>
      <c r="NYN1515" s="879"/>
      <c r="NYO1515" s="879"/>
      <c r="NYP1515" s="879"/>
      <c r="NYQ1515" s="879"/>
      <c r="NYR1515" s="879"/>
      <c r="NYS1515" s="879"/>
      <c r="NYT1515" s="879"/>
      <c r="NYU1515" s="879"/>
      <c r="NYV1515" s="879"/>
      <c r="NYW1515" s="879"/>
      <c r="NYX1515" s="879"/>
      <c r="NYY1515" s="879"/>
      <c r="NYZ1515" s="879"/>
      <c r="NZA1515" s="879"/>
      <c r="NZB1515" s="879"/>
      <c r="NZC1515" s="879"/>
      <c r="NZD1515" s="879"/>
      <c r="NZE1515" s="879"/>
      <c r="NZF1515" s="879"/>
      <c r="NZG1515" s="879"/>
      <c r="NZH1515" s="879"/>
      <c r="NZI1515" s="879"/>
      <c r="NZJ1515" s="879"/>
      <c r="NZK1515" s="879"/>
      <c r="NZL1515" s="879"/>
      <c r="NZM1515" s="879"/>
      <c r="NZN1515" s="879"/>
      <c r="NZO1515" s="879"/>
      <c r="NZP1515" s="879"/>
      <c r="NZQ1515" s="879"/>
      <c r="NZR1515" s="879"/>
      <c r="NZS1515" s="879"/>
      <c r="NZT1515" s="879"/>
      <c r="NZU1515" s="879"/>
      <c r="NZV1515" s="879"/>
      <c r="NZW1515" s="879"/>
      <c r="NZX1515" s="879"/>
      <c r="NZY1515" s="879"/>
      <c r="NZZ1515" s="879"/>
      <c r="OAA1515" s="879"/>
      <c r="OAB1515" s="879"/>
      <c r="OAC1515" s="879"/>
      <c r="OAD1515" s="879"/>
      <c r="OAE1515" s="879"/>
      <c r="OAF1515" s="879"/>
      <c r="OAG1515" s="879"/>
      <c r="OAH1515" s="879"/>
      <c r="OAI1515" s="879"/>
      <c r="OAJ1515" s="879"/>
      <c r="OAK1515" s="879"/>
      <c r="OAL1515" s="879"/>
      <c r="OAM1515" s="879"/>
      <c r="OAN1515" s="879"/>
      <c r="OAO1515" s="879"/>
      <c r="OAP1515" s="879"/>
      <c r="OAQ1515" s="879"/>
      <c r="OAR1515" s="879"/>
      <c r="OAS1515" s="879"/>
      <c r="OAT1515" s="879"/>
      <c r="OAU1515" s="879"/>
      <c r="OAV1515" s="879"/>
      <c r="OAW1515" s="879"/>
      <c r="OAX1515" s="879"/>
      <c r="OAY1515" s="879"/>
      <c r="OAZ1515" s="879"/>
      <c r="OBA1515" s="879"/>
      <c r="OBB1515" s="879"/>
      <c r="OBC1515" s="879"/>
      <c r="OBD1515" s="879"/>
      <c r="OBE1515" s="879"/>
      <c r="OBF1515" s="879"/>
      <c r="OBG1515" s="879"/>
      <c r="OBH1515" s="879"/>
      <c r="OBI1515" s="879"/>
      <c r="OBJ1515" s="879"/>
      <c r="OBK1515" s="879"/>
      <c r="OBL1515" s="879"/>
      <c r="OBM1515" s="879"/>
      <c r="OBN1515" s="879"/>
      <c r="OBO1515" s="879"/>
      <c r="OBP1515" s="879"/>
      <c r="OBQ1515" s="879"/>
      <c r="OBR1515" s="879"/>
      <c r="OBS1515" s="879"/>
      <c r="OBT1515" s="879"/>
      <c r="OBU1515" s="879"/>
      <c r="OBV1515" s="879"/>
      <c r="OBW1515" s="879"/>
      <c r="OBX1515" s="879"/>
      <c r="OBY1515" s="879"/>
      <c r="OBZ1515" s="879"/>
      <c r="OCA1515" s="879"/>
      <c r="OCB1515" s="879"/>
      <c r="OCC1515" s="879"/>
      <c r="OCD1515" s="879"/>
      <c r="OCE1515" s="879"/>
      <c r="OCF1515" s="879"/>
      <c r="OCG1515" s="879"/>
      <c r="OCH1515" s="879"/>
      <c r="OCI1515" s="879"/>
      <c r="OCJ1515" s="879"/>
      <c r="OCK1515" s="879"/>
      <c r="OCL1515" s="879"/>
      <c r="OCM1515" s="879"/>
      <c r="OCN1515" s="879"/>
      <c r="OCO1515" s="879"/>
      <c r="OCP1515" s="879"/>
      <c r="OCQ1515" s="879"/>
      <c r="OCR1515" s="879"/>
      <c r="OCS1515" s="879"/>
      <c r="OCT1515" s="879"/>
      <c r="OCU1515" s="879"/>
      <c r="OCV1515" s="879"/>
      <c r="OCW1515" s="879"/>
      <c r="OCX1515" s="879"/>
      <c r="OCY1515" s="879"/>
      <c r="OCZ1515" s="879"/>
      <c r="ODA1515" s="879"/>
      <c r="ODB1515" s="879"/>
      <c r="ODC1515" s="879"/>
      <c r="ODD1515" s="879"/>
      <c r="ODE1515" s="879"/>
      <c r="ODF1515" s="879"/>
      <c r="ODG1515" s="879"/>
      <c r="ODH1515" s="879"/>
      <c r="ODI1515" s="879"/>
      <c r="ODJ1515" s="879"/>
      <c r="ODK1515" s="879"/>
      <c r="ODL1515" s="879"/>
      <c r="ODM1515" s="879"/>
      <c r="ODN1515" s="879"/>
      <c r="ODO1515" s="879"/>
      <c r="ODP1515" s="879"/>
      <c r="ODQ1515" s="879"/>
      <c r="ODR1515" s="879"/>
      <c r="ODS1515" s="879"/>
      <c r="ODT1515" s="879"/>
      <c r="ODU1515" s="879"/>
      <c r="ODV1515" s="879"/>
      <c r="ODW1515" s="879"/>
      <c r="ODX1515" s="879"/>
      <c r="ODY1515" s="879"/>
      <c r="ODZ1515" s="879"/>
      <c r="OEA1515" s="879"/>
      <c r="OEB1515" s="879"/>
      <c r="OEC1515" s="879"/>
      <c r="OED1515" s="879"/>
      <c r="OEE1515" s="879"/>
      <c r="OEF1515" s="879"/>
      <c r="OEG1515" s="879"/>
      <c r="OEH1515" s="879"/>
      <c r="OEI1515" s="879"/>
      <c r="OEJ1515" s="879"/>
      <c r="OEK1515" s="879"/>
      <c r="OEL1515" s="879"/>
      <c r="OEM1515" s="879"/>
      <c r="OEN1515" s="879"/>
      <c r="OEO1515" s="879"/>
      <c r="OEP1515" s="879"/>
      <c r="OEQ1515" s="879"/>
      <c r="OER1515" s="879"/>
      <c r="OES1515" s="879"/>
      <c r="OET1515" s="879"/>
      <c r="OEU1515" s="879"/>
      <c r="OEV1515" s="879"/>
      <c r="OEW1515" s="879"/>
      <c r="OEX1515" s="879"/>
      <c r="OEY1515" s="879"/>
      <c r="OEZ1515" s="879"/>
      <c r="OFA1515" s="879"/>
      <c r="OFB1515" s="879"/>
      <c r="OFC1515" s="879"/>
      <c r="OFD1515" s="879"/>
      <c r="OFE1515" s="879"/>
      <c r="OFF1515" s="879"/>
      <c r="OFG1515" s="879"/>
      <c r="OFH1515" s="879"/>
      <c r="OFI1515" s="879"/>
      <c r="OFJ1515" s="879"/>
      <c r="OFK1515" s="879"/>
      <c r="OFL1515" s="879"/>
      <c r="OFM1515" s="879"/>
      <c r="OFN1515" s="879"/>
      <c r="OFO1515" s="879"/>
      <c r="OFP1515" s="879"/>
      <c r="OFQ1515" s="879"/>
      <c r="OFR1515" s="879"/>
      <c r="OFS1515" s="879"/>
      <c r="OFT1515" s="879"/>
      <c r="OFU1515" s="879"/>
      <c r="OFV1515" s="879"/>
      <c r="OFW1515" s="879"/>
      <c r="OFX1515" s="879"/>
      <c r="OFY1515" s="879"/>
      <c r="OFZ1515" s="879"/>
      <c r="OGA1515" s="879"/>
      <c r="OGB1515" s="879"/>
      <c r="OGC1515" s="879"/>
      <c r="OGD1515" s="879"/>
      <c r="OGE1515" s="879"/>
      <c r="OGF1515" s="879"/>
      <c r="OGG1515" s="879"/>
      <c r="OGH1515" s="879"/>
      <c r="OGI1515" s="879"/>
      <c r="OGJ1515" s="879"/>
      <c r="OGK1515" s="879"/>
      <c r="OGL1515" s="879"/>
      <c r="OGM1515" s="879"/>
      <c r="OGN1515" s="879"/>
      <c r="OGO1515" s="879"/>
      <c r="OGP1515" s="879"/>
      <c r="OGQ1515" s="879"/>
      <c r="OGR1515" s="879"/>
      <c r="OGS1515" s="879"/>
      <c r="OGT1515" s="879"/>
      <c r="OGU1515" s="879"/>
      <c r="OGV1515" s="879"/>
      <c r="OGW1515" s="879"/>
      <c r="OGX1515" s="879"/>
      <c r="OGY1515" s="879"/>
      <c r="OGZ1515" s="879"/>
      <c r="OHA1515" s="879"/>
      <c r="OHB1515" s="879"/>
      <c r="OHC1515" s="879"/>
      <c r="OHD1515" s="879"/>
      <c r="OHE1515" s="879"/>
      <c r="OHF1515" s="879"/>
      <c r="OHG1515" s="879"/>
      <c r="OHH1515" s="879"/>
      <c r="OHI1515" s="879"/>
      <c r="OHJ1515" s="879"/>
      <c r="OHK1515" s="879"/>
      <c r="OHL1515" s="879"/>
      <c r="OHM1515" s="879"/>
      <c r="OHN1515" s="879"/>
      <c r="OHO1515" s="879"/>
      <c r="OHP1515" s="879"/>
      <c r="OHQ1515" s="879"/>
      <c r="OHR1515" s="879"/>
      <c r="OHS1515" s="879"/>
      <c r="OHT1515" s="879"/>
      <c r="OHU1515" s="879"/>
      <c r="OHV1515" s="879"/>
      <c r="OHW1515" s="879"/>
      <c r="OHX1515" s="879"/>
      <c r="OHY1515" s="879"/>
      <c r="OHZ1515" s="879"/>
      <c r="OIA1515" s="879"/>
      <c r="OIB1515" s="879"/>
      <c r="OIC1515" s="879"/>
      <c r="OID1515" s="879"/>
      <c r="OIE1515" s="879"/>
      <c r="OIF1515" s="879"/>
      <c r="OIG1515" s="879"/>
      <c r="OIH1515" s="879"/>
      <c r="OII1515" s="879"/>
      <c r="OIJ1515" s="879"/>
      <c r="OIK1515" s="879"/>
      <c r="OIL1515" s="879"/>
      <c r="OIM1515" s="879"/>
      <c r="OIN1515" s="879"/>
      <c r="OIO1515" s="879"/>
      <c r="OIP1515" s="879"/>
      <c r="OIQ1515" s="879"/>
      <c r="OIR1515" s="879"/>
      <c r="OIS1515" s="879"/>
      <c r="OIT1515" s="879"/>
      <c r="OIU1515" s="879"/>
      <c r="OIV1515" s="879"/>
      <c r="OIW1515" s="879"/>
      <c r="OIX1515" s="879"/>
      <c r="OIY1515" s="879"/>
      <c r="OIZ1515" s="879"/>
      <c r="OJA1515" s="879"/>
      <c r="OJB1515" s="879"/>
      <c r="OJC1515" s="879"/>
      <c r="OJD1515" s="879"/>
      <c r="OJE1515" s="879"/>
      <c r="OJF1515" s="879"/>
      <c r="OJG1515" s="879"/>
      <c r="OJH1515" s="879"/>
      <c r="OJI1515" s="879"/>
      <c r="OJJ1515" s="879"/>
      <c r="OJK1515" s="879"/>
      <c r="OJL1515" s="879"/>
      <c r="OJM1515" s="879"/>
      <c r="OJN1515" s="879"/>
      <c r="OJO1515" s="879"/>
      <c r="OJP1515" s="879"/>
      <c r="OJQ1515" s="879"/>
      <c r="OJR1515" s="879"/>
      <c r="OJS1515" s="879"/>
      <c r="OJT1515" s="879"/>
      <c r="OJU1515" s="879"/>
      <c r="OJV1515" s="879"/>
      <c r="OJW1515" s="879"/>
      <c r="OJX1515" s="879"/>
      <c r="OJY1515" s="879"/>
      <c r="OJZ1515" s="879"/>
      <c r="OKA1515" s="879"/>
      <c r="OKB1515" s="879"/>
      <c r="OKC1515" s="879"/>
      <c r="OKD1515" s="879"/>
      <c r="OKE1515" s="879"/>
      <c r="OKF1515" s="879"/>
      <c r="OKG1515" s="879"/>
      <c r="OKH1515" s="879"/>
      <c r="OKI1515" s="879"/>
      <c r="OKJ1515" s="879"/>
      <c r="OKK1515" s="879"/>
      <c r="OKL1515" s="879"/>
      <c r="OKM1515" s="879"/>
      <c r="OKN1515" s="879"/>
      <c r="OKO1515" s="879"/>
      <c r="OKP1515" s="879"/>
      <c r="OKQ1515" s="879"/>
      <c r="OKR1515" s="879"/>
      <c r="OKS1515" s="879"/>
      <c r="OKT1515" s="879"/>
      <c r="OKU1515" s="879"/>
      <c r="OKV1515" s="879"/>
      <c r="OKW1515" s="879"/>
      <c r="OKX1515" s="879"/>
      <c r="OKY1515" s="879"/>
      <c r="OKZ1515" s="879"/>
      <c r="OLA1515" s="879"/>
      <c r="OLB1515" s="879"/>
      <c r="OLC1515" s="879"/>
      <c r="OLD1515" s="879"/>
      <c r="OLE1515" s="879"/>
      <c r="OLF1515" s="879"/>
      <c r="OLG1515" s="879"/>
      <c r="OLH1515" s="879"/>
      <c r="OLI1515" s="879"/>
      <c r="OLJ1515" s="879"/>
      <c r="OLK1515" s="879"/>
      <c r="OLL1515" s="879"/>
      <c r="OLM1515" s="879"/>
      <c r="OLN1515" s="879"/>
      <c r="OLO1515" s="879"/>
      <c r="OLP1515" s="879"/>
      <c r="OLQ1515" s="879"/>
      <c r="OLR1515" s="879"/>
      <c r="OLS1515" s="879"/>
      <c r="OLT1515" s="879"/>
      <c r="OLU1515" s="879"/>
      <c r="OLV1515" s="879"/>
      <c r="OLW1515" s="879"/>
      <c r="OLX1515" s="879"/>
      <c r="OLY1515" s="879"/>
      <c r="OLZ1515" s="879"/>
      <c r="OMA1515" s="879"/>
      <c r="OMB1515" s="879"/>
      <c r="OMC1515" s="879"/>
      <c r="OMD1515" s="879"/>
      <c r="OME1515" s="879"/>
      <c r="OMF1515" s="879"/>
      <c r="OMG1515" s="879"/>
      <c r="OMH1515" s="879"/>
      <c r="OMI1515" s="879"/>
      <c r="OMJ1515" s="879"/>
      <c r="OMK1515" s="879"/>
      <c r="OML1515" s="879"/>
      <c r="OMM1515" s="879"/>
      <c r="OMN1515" s="879"/>
      <c r="OMO1515" s="879"/>
      <c r="OMP1515" s="879"/>
      <c r="OMQ1515" s="879"/>
      <c r="OMR1515" s="879"/>
      <c r="OMS1515" s="879"/>
      <c r="OMT1515" s="879"/>
      <c r="OMU1515" s="879"/>
      <c r="OMV1515" s="879"/>
      <c r="OMW1515" s="879"/>
      <c r="OMX1515" s="879"/>
      <c r="OMY1515" s="879"/>
      <c r="OMZ1515" s="879"/>
      <c r="ONA1515" s="879"/>
      <c r="ONB1515" s="879"/>
      <c r="ONC1515" s="879"/>
      <c r="OND1515" s="879"/>
      <c r="ONE1515" s="879"/>
      <c r="ONF1515" s="879"/>
      <c r="ONG1515" s="879"/>
      <c r="ONH1515" s="879"/>
      <c r="ONI1515" s="879"/>
      <c r="ONJ1515" s="879"/>
      <c r="ONK1515" s="879"/>
      <c r="ONL1515" s="879"/>
      <c r="ONM1515" s="879"/>
      <c r="ONN1515" s="879"/>
      <c r="ONO1515" s="879"/>
      <c r="ONP1515" s="879"/>
      <c r="ONQ1515" s="879"/>
      <c r="ONR1515" s="879"/>
      <c r="ONS1515" s="879"/>
      <c r="ONT1515" s="879"/>
      <c r="ONU1515" s="879"/>
      <c r="ONV1515" s="879"/>
      <c r="ONW1515" s="879"/>
      <c r="ONX1515" s="879"/>
      <c r="ONY1515" s="879"/>
      <c r="ONZ1515" s="879"/>
      <c r="OOA1515" s="879"/>
      <c r="OOB1515" s="879"/>
      <c r="OOC1515" s="879"/>
      <c r="OOD1515" s="879"/>
      <c r="OOE1515" s="879"/>
      <c r="OOF1515" s="879"/>
      <c r="OOG1515" s="879"/>
      <c r="OOH1515" s="879"/>
      <c r="OOI1515" s="879"/>
      <c r="OOJ1515" s="879"/>
      <c r="OOK1515" s="879"/>
      <c r="OOL1515" s="879"/>
      <c r="OOM1515" s="879"/>
      <c r="OON1515" s="879"/>
      <c r="OOO1515" s="879"/>
      <c r="OOP1515" s="879"/>
      <c r="OOQ1515" s="879"/>
      <c r="OOR1515" s="879"/>
      <c r="OOS1515" s="879"/>
      <c r="OOT1515" s="879"/>
      <c r="OOU1515" s="879"/>
      <c r="OOV1515" s="879"/>
      <c r="OOW1515" s="879"/>
      <c r="OOX1515" s="879"/>
      <c r="OOY1515" s="879"/>
      <c r="OOZ1515" s="879"/>
      <c r="OPA1515" s="879"/>
      <c r="OPB1515" s="879"/>
      <c r="OPC1515" s="879"/>
      <c r="OPD1515" s="879"/>
      <c r="OPE1515" s="879"/>
      <c r="OPF1515" s="879"/>
      <c r="OPG1515" s="879"/>
      <c r="OPH1515" s="879"/>
      <c r="OPI1515" s="879"/>
      <c r="OPJ1515" s="879"/>
      <c r="OPK1515" s="879"/>
      <c r="OPL1515" s="879"/>
      <c r="OPM1515" s="879"/>
      <c r="OPN1515" s="879"/>
      <c r="OPO1515" s="879"/>
      <c r="OPP1515" s="879"/>
      <c r="OPQ1515" s="879"/>
      <c r="OPR1515" s="879"/>
      <c r="OPS1515" s="879"/>
      <c r="OPT1515" s="879"/>
      <c r="OPU1515" s="879"/>
      <c r="OPV1515" s="879"/>
      <c r="OPW1515" s="879"/>
      <c r="OPX1515" s="879"/>
      <c r="OPY1515" s="879"/>
      <c r="OPZ1515" s="879"/>
      <c r="OQA1515" s="879"/>
      <c r="OQB1515" s="879"/>
      <c r="OQC1515" s="879"/>
      <c r="OQD1515" s="879"/>
      <c r="OQE1515" s="879"/>
      <c r="OQF1515" s="879"/>
      <c r="OQG1515" s="879"/>
      <c r="OQH1515" s="879"/>
      <c r="OQI1515" s="879"/>
      <c r="OQJ1515" s="879"/>
      <c r="OQK1515" s="879"/>
      <c r="OQL1515" s="879"/>
      <c r="OQM1515" s="879"/>
      <c r="OQN1515" s="879"/>
      <c r="OQO1515" s="879"/>
      <c r="OQP1515" s="879"/>
      <c r="OQQ1515" s="879"/>
      <c r="OQR1515" s="879"/>
      <c r="OQS1515" s="879"/>
      <c r="OQT1515" s="879"/>
      <c r="OQU1515" s="879"/>
      <c r="OQV1515" s="879"/>
      <c r="OQW1515" s="879"/>
      <c r="OQX1515" s="879"/>
      <c r="OQY1515" s="879"/>
      <c r="OQZ1515" s="879"/>
      <c r="ORA1515" s="879"/>
      <c r="ORB1515" s="879"/>
      <c r="ORC1515" s="879"/>
      <c r="ORD1515" s="879"/>
      <c r="ORE1515" s="879"/>
      <c r="ORF1515" s="879"/>
      <c r="ORG1515" s="879"/>
      <c r="ORH1515" s="879"/>
      <c r="ORI1515" s="879"/>
      <c r="ORJ1515" s="879"/>
      <c r="ORK1515" s="879"/>
      <c r="ORL1515" s="879"/>
      <c r="ORM1515" s="879"/>
      <c r="ORN1515" s="879"/>
      <c r="ORO1515" s="879"/>
      <c r="ORP1515" s="879"/>
      <c r="ORQ1515" s="879"/>
      <c r="ORR1515" s="879"/>
      <c r="ORS1515" s="879"/>
      <c r="ORT1515" s="879"/>
      <c r="ORU1515" s="879"/>
      <c r="ORV1515" s="879"/>
      <c r="ORW1515" s="879"/>
      <c r="ORX1515" s="879"/>
      <c r="ORY1515" s="879"/>
      <c r="ORZ1515" s="879"/>
      <c r="OSA1515" s="879"/>
      <c r="OSB1515" s="879"/>
      <c r="OSC1515" s="879"/>
      <c r="OSD1515" s="879"/>
      <c r="OSE1515" s="879"/>
      <c r="OSF1515" s="879"/>
      <c r="OSG1515" s="879"/>
      <c r="OSH1515" s="879"/>
      <c r="OSI1515" s="879"/>
      <c r="OSJ1515" s="879"/>
      <c r="OSK1515" s="879"/>
      <c r="OSL1515" s="879"/>
      <c r="OSM1515" s="879"/>
      <c r="OSN1515" s="879"/>
      <c r="OSO1515" s="879"/>
      <c r="OSP1515" s="879"/>
      <c r="OSQ1515" s="879"/>
      <c r="OSR1515" s="879"/>
      <c r="OSS1515" s="879"/>
      <c r="OST1515" s="879"/>
      <c r="OSU1515" s="879"/>
      <c r="OSV1515" s="879"/>
      <c r="OSW1515" s="879"/>
      <c r="OSX1515" s="879"/>
      <c r="OSY1515" s="879"/>
      <c r="OSZ1515" s="879"/>
      <c r="OTA1515" s="879"/>
      <c r="OTB1515" s="879"/>
      <c r="OTC1515" s="879"/>
      <c r="OTD1515" s="879"/>
      <c r="OTE1515" s="879"/>
      <c r="OTF1515" s="879"/>
      <c r="OTG1515" s="879"/>
      <c r="OTH1515" s="879"/>
      <c r="OTI1515" s="879"/>
      <c r="OTJ1515" s="879"/>
      <c r="OTK1515" s="879"/>
      <c r="OTL1515" s="879"/>
      <c r="OTM1515" s="879"/>
      <c r="OTN1515" s="879"/>
      <c r="OTO1515" s="879"/>
      <c r="OTP1515" s="879"/>
      <c r="OTQ1515" s="879"/>
      <c r="OTR1515" s="879"/>
      <c r="OTS1515" s="879"/>
      <c r="OTT1515" s="879"/>
      <c r="OTU1515" s="879"/>
      <c r="OTV1515" s="879"/>
      <c r="OTW1515" s="879"/>
      <c r="OTX1515" s="879"/>
      <c r="OTY1515" s="879"/>
      <c r="OTZ1515" s="879"/>
      <c r="OUA1515" s="879"/>
      <c r="OUB1515" s="879"/>
      <c r="OUC1515" s="879"/>
      <c r="OUD1515" s="879"/>
      <c r="OUE1515" s="879"/>
      <c r="OUF1515" s="879"/>
      <c r="OUG1515" s="879"/>
      <c r="OUH1515" s="879"/>
      <c r="OUI1515" s="879"/>
      <c r="OUJ1515" s="879"/>
      <c r="OUK1515" s="879"/>
      <c r="OUL1515" s="879"/>
      <c r="OUM1515" s="879"/>
      <c r="OUN1515" s="879"/>
      <c r="OUO1515" s="879"/>
      <c r="OUP1515" s="879"/>
      <c r="OUQ1515" s="879"/>
      <c r="OUR1515" s="879"/>
      <c r="OUS1515" s="879"/>
      <c r="OUT1515" s="879"/>
      <c r="OUU1515" s="879"/>
      <c r="OUV1515" s="879"/>
      <c r="OUW1515" s="879"/>
      <c r="OUX1515" s="879"/>
      <c r="OUY1515" s="879"/>
      <c r="OUZ1515" s="879"/>
      <c r="OVA1515" s="879"/>
      <c r="OVB1515" s="879"/>
      <c r="OVC1515" s="879"/>
      <c r="OVD1515" s="879"/>
      <c r="OVE1515" s="879"/>
      <c r="OVF1515" s="879"/>
      <c r="OVG1515" s="879"/>
      <c r="OVH1515" s="879"/>
      <c r="OVI1515" s="879"/>
      <c r="OVJ1515" s="879"/>
      <c r="OVK1515" s="879"/>
      <c r="OVL1515" s="879"/>
      <c r="OVM1515" s="879"/>
      <c r="OVN1515" s="879"/>
      <c r="OVO1515" s="879"/>
      <c r="OVP1515" s="879"/>
      <c r="OVQ1515" s="879"/>
      <c r="OVR1515" s="879"/>
      <c r="OVS1515" s="879"/>
      <c r="OVT1515" s="879"/>
      <c r="OVU1515" s="879"/>
      <c r="OVV1515" s="879"/>
      <c r="OVW1515" s="879"/>
      <c r="OVX1515" s="879"/>
      <c r="OVY1515" s="879"/>
      <c r="OVZ1515" s="879"/>
      <c r="OWA1515" s="879"/>
      <c r="OWB1515" s="879"/>
      <c r="OWC1515" s="879"/>
      <c r="OWD1515" s="879"/>
      <c r="OWE1515" s="879"/>
      <c r="OWF1515" s="879"/>
      <c r="OWG1515" s="879"/>
      <c r="OWH1515" s="879"/>
      <c r="OWI1515" s="879"/>
      <c r="OWJ1515" s="879"/>
      <c r="OWK1515" s="879"/>
      <c r="OWL1515" s="879"/>
      <c r="OWM1515" s="879"/>
      <c r="OWN1515" s="879"/>
      <c r="OWO1515" s="879"/>
      <c r="OWP1515" s="879"/>
      <c r="OWQ1515" s="879"/>
      <c r="OWR1515" s="879"/>
      <c r="OWS1515" s="879"/>
      <c r="OWT1515" s="879"/>
      <c r="OWU1515" s="879"/>
      <c r="OWV1515" s="879"/>
      <c r="OWW1515" s="879"/>
      <c r="OWX1515" s="879"/>
      <c r="OWY1515" s="879"/>
      <c r="OWZ1515" s="879"/>
      <c r="OXA1515" s="879"/>
      <c r="OXB1515" s="879"/>
      <c r="OXC1515" s="879"/>
      <c r="OXD1515" s="879"/>
      <c r="OXE1515" s="879"/>
      <c r="OXF1515" s="879"/>
      <c r="OXG1515" s="879"/>
      <c r="OXH1515" s="879"/>
      <c r="OXI1515" s="879"/>
      <c r="OXJ1515" s="879"/>
      <c r="OXK1515" s="879"/>
      <c r="OXL1515" s="879"/>
      <c r="OXM1515" s="879"/>
      <c r="OXN1515" s="879"/>
      <c r="OXO1515" s="879"/>
      <c r="OXP1515" s="879"/>
      <c r="OXQ1515" s="879"/>
      <c r="OXR1515" s="879"/>
      <c r="OXS1515" s="879"/>
      <c r="OXT1515" s="879"/>
      <c r="OXU1515" s="879"/>
      <c r="OXV1515" s="879"/>
      <c r="OXW1515" s="879"/>
      <c r="OXX1515" s="879"/>
      <c r="OXY1515" s="879"/>
      <c r="OXZ1515" s="879"/>
      <c r="OYA1515" s="879"/>
      <c r="OYB1515" s="879"/>
      <c r="OYC1515" s="879"/>
      <c r="OYD1515" s="879"/>
      <c r="OYE1515" s="879"/>
      <c r="OYF1515" s="879"/>
      <c r="OYG1515" s="879"/>
      <c r="OYH1515" s="879"/>
      <c r="OYI1515" s="879"/>
      <c r="OYJ1515" s="879"/>
      <c r="OYK1515" s="879"/>
      <c r="OYL1515" s="879"/>
      <c r="OYM1515" s="879"/>
      <c r="OYN1515" s="879"/>
      <c r="OYO1515" s="879"/>
      <c r="OYP1515" s="879"/>
      <c r="OYQ1515" s="879"/>
      <c r="OYR1515" s="879"/>
      <c r="OYS1515" s="879"/>
      <c r="OYT1515" s="879"/>
      <c r="OYU1515" s="879"/>
      <c r="OYV1515" s="879"/>
      <c r="OYW1515" s="879"/>
      <c r="OYX1515" s="879"/>
      <c r="OYY1515" s="879"/>
      <c r="OYZ1515" s="879"/>
      <c r="OZA1515" s="879"/>
      <c r="OZB1515" s="879"/>
      <c r="OZC1515" s="879"/>
      <c r="OZD1515" s="879"/>
      <c r="OZE1515" s="879"/>
      <c r="OZF1515" s="879"/>
      <c r="OZG1515" s="879"/>
      <c r="OZH1515" s="879"/>
      <c r="OZI1515" s="879"/>
      <c r="OZJ1515" s="879"/>
      <c r="OZK1515" s="879"/>
      <c r="OZL1515" s="879"/>
      <c r="OZM1515" s="879"/>
      <c r="OZN1515" s="879"/>
      <c r="OZO1515" s="879"/>
      <c r="OZP1515" s="879"/>
      <c r="OZQ1515" s="879"/>
      <c r="OZR1515" s="879"/>
      <c r="OZS1515" s="879"/>
      <c r="OZT1515" s="879"/>
      <c r="OZU1515" s="879"/>
      <c r="OZV1515" s="879"/>
      <c r="OZW1515" s="879"/>
      <c r="OZX1515" s="879"/>
      <c r="OZY1515" s="879"/>
      <c r="OZZ1515" s="879"/>
      <c r="PAA1515" s="879"/>
      <c r="PAB1515" s="879"/>
      <c r="PAC1515" s="879"/>
      <c r="PAD1515" s="879"/>
      <c r="PAE1515" s="879"/>
      <c r="PAF1515" s="879"/>
      <c r="PAG1515" s="879"/>
      <c r="PAH1515" s="879"/>
      <c r="PAI1515" s="879"/>
      <c r="PAJ1515" s="879"/>
      <c r="PAK1515" s="879"/>
      <c r="PAL1515" s="879"/>
      <c r="PAM1515" s="879"/>
      <c r="PAN1515" s="879"/>
      <c r="PAO1515" s="879"/>
      <c r="PAP1515" s="879"/>
      <c r="PAQ1515" s="879"/>
      <c r="PAR1515" s="879"/>
      <c r="PAS1515" s="879"/>
      <c r="PAT1515" s="879"/>
      <c r="PAU1515" s="879"/>
      <c r="PAV1515" s="879"/>
      <c r="PAW1515" s="879"/>
      <c r="PAX1515" s="879"/>
      <c r="PAY1515" s="879"/>
      <c r="PAZ1515" s="879"/>
      <c r="PBA1515" s="879"/>
      <c r="PBB1515" s="879"/>
      <c r="PBC1515" s="879"/>
      <c r="PBD1515" s="879"/>
      <c r="PBE1515" s="879"/>
      <c r="PBF1515" s="879"/>
      <c r="PBG1515" s="879"/>
      <c r="PBH1515" s="879"/>
      <c r="PBI1515" s="879"/>
      <c r="PBJ1515" s="879"/>
      <c r="PBK1515" s="879"/>
      <c r="PBL1515" s="879"/>
      <c r="PBM1515" s="879"/>
      <c r="PBN1515" s="879"/>
      <c r="PBO1515" s="879"/>
      <c r="PBP1515" s="879"/>
      <c r="PBQ1515" s="879"/>
      <c r="PBR1515" s="879"/>
      <c r="PBS1515" s="879"/>
      <c r="PBT1515" s="879"/>
      <c r="PBU1515" s="879"/>
      <c r="PBV1515" s="879"/>
      <c r="PBW1515" s="879"/>
      <c r="PBX1515" s="879"/>
      <c r="PBY1515" s="879"/>
      <c r="PBZ1515" s="879"/>
      <c r="PCA1515" s="879"/>
      <c r="PCB1515" s="879"/>
      <c r="PCC1515" s="879"/>
      <c r="PCD1515" s="879"/>
      <c r="PCE1515" s="879"/>
      <c r="PCF1515" s="879"/>
      <c r="PCG1515" s="879"/>
      <c r="PCH1515" s="879"/>
      <c r="PCI1515" s="879"/>
      <c r="PCJ1515" s="879"/>
      <c r="PCK1515" s="879"/>
      <c r="PCL1515" s="879"/>
      <c r="PCM1515" s="879"/>
      <c r="PCN1515" s="879"/>
      <c r="PCO1515" s="879"/>
      <c r="PCP1515" s="879"/>
      <c r="PCQ1515" s="879"/>
      <c r="PCR1515" s="879"/>
      <c r="PCS1515" s="879"/>
      <c r="PCT1515" s="879"/>
      <c r="PCU1515" s="879"/>
      <c r="PCV1515" s="879"/>
      <c r="PCW1515" s="879"/>
      <c r="PCX1515" s="879"/>
      <c r="PCY1515" s="879"/>
      <c r="PCZ1515" s="879"/>
      <c r="PDA1515" s="879"/>
      <c r="PDB1515" s="879"/>
      <c r="PDC1515" s="879"/>
      <c r="PDD1515" s="879"/>
      <c r="PDE1515" s="879"/>
      <c r="PDF1515" s="879"/>
      <c r="PDG1515" s="879"/>
      <c r="PDH1515" s="879"/>
      <c r="PDI1515" s="879"/>
      <c r="PDJ1515" s="879"/>
      <c r="PDK1515" s="879"/>
      <c r="PDL1515" s="879"/>
      <c r="PDM1515" s="879"/>
      <c r="PDN1515" s="879"/>
      <c r="PDO1515" s="879"/>
      <c r="PDP1515" s="879"/>
      <c r="PDQ1515" s="879"/>
      <c r="PDR1515" s="879"/>
      <c r="PDS1515" s="879"/>
      <c r="PDT1515" s="879"/>
      <c r="PDU1515" s="879"/>
      <c r="PDV1515" s="879"/>
      <c r="PDW1515" s="879"/>
      <c r="PDX1515" s="879"/>
      <c r="PDY1515" s="879"/>
      <c r="PDZ1515" s="879"/>
      <c r="PEA1515" s="879"/>
      <c r="PEB1515" s="879"/>
      <c r="PEC1515" s="879"/>
      <c r="PED1515" s="879"/>
      <c r="PEE1515" s="879"/>
      <c r="PEF1515" s="879"/>
      <c r="PEG1515" s="879"/>
      <c r="PEH1515" s="879"/>
      <c r="PEI1515" s="879"/>
      <c r="PEJ1515" s="879"/>
      <c r="PEK1515" s="879"/>
      <c r="PEL1515" s="879"/>
      <c r="PEM1515" s="879"/>
      <c r="PEN1515" s="879"/>
      <c r="PEO1515" s="879"/>
      <c r="PEP1515" s="879"/>
      <c r="PEQ1515" s="879"/>
      <c r="PER1515" s="879"/>
      <c r="PES1515" s="879"/>
      <c r="PET1515" s="879"/>
      <c r="PEU1515" s="879"/>
      <c r="PEV1515" s="879"/>
      <c r="PEW1515" s="879"/>
      <c r="PEX1515" s="879"/>
      <c r="PEY1515" s="879"/>
      <c r="PEZ1515" s="879"/>
      <c r="PFA1515" s="879"/>
      <c r="PFB1515" s="879"/>
      <c r="PFC1515" s="879"/>
      <c r="PFD1515" s="879"/>
      <c r="PFE1515" s="879"/>
      <c r="PFF1515" s="879"/>
      <c r="PFG1515" s="879"/>
      <c r="PFH1515" s="879"/>
      <c r="PFI1515" s="879"/>
      <c r="PFJ1515" s="879"/>
      <c r="PFK1515" s="879"/>
      <c r="PFL1515" s="879"/>
      <c r="PFM1515" s="879"/>
      <c r="PFN1515" s="879"/>
      <c r="PFO1515" s="879"/>
      <c r="PFP1515" s="879"/>
      <c r="PFQ1515" s="879"/>
      <c r="PFR1515" s="879"/>
      <c r="PFS1515" s="879"/>
      <c r="PFT1515" s="879"/>
      <c r="PFU1515" s="879"/>
      <c r="PFV1515" s="879"/>
      <c r="PFW1515" s="879"/>
      <c r="PFX1515" s="879"/>
      <c r="PFY1515" s="879"/>
      <c r="PFZ1515" s="879"/>
      <c r="PGA1515" s="879"/>
      <c r="PGB1515" s="879"/>
      <c r="PGC1515" s="879"/>
      <c r="PGD1515" s="879"/>
      <c r="PGE1515" s="879"/>
      <c r="PGF1515" s="879"/>
      <c r="PGG1515" s="879"/>
      <c r="PGH1515" s="879"/>
      <c r="PGI1515" s="879"/>
      <c r="PGJ1515" s="879"/>
      <c r="PGK1515" s="879"/>
      <c r="PGL1515" s="879"/>
      <c r="PGM1515" s="879"/>
      <c r="PGN1515" s="879"/>
      <c r="PGO1515" s="879"/>
      <c r="PGP1515" s="879"/>
      <c r="PGQ1515" s="879"/>
      <c r="PGR1515" s="879"/>
      <c r="PGS1515" s="879"/>
      <c r="PGT1515" s="879"/>
      <c r="PGU1515" s="879"/>
      <c r="PGV1515" s="879"/>
      <c r="PGW1515" s="879"/>
      <c r="PGX1515" s="879"/>
      <c r="PGY1515" s="879"/>
      <c r="PGZ1515" s="879"/>
      <c r="PHA1515" s="879"/>
      <c r="PHB1515" s="879"/>
      <c r="PHC1515" s="879"/>
      <c r="PHD1515" s="879"/>
      <c r="PHE1515" s="879"/>
      <c r="PHF1515" s="879"/>
      <c r="PHG1515" s="879"/>
      <c r="PHH1515" s="879"/>
      <c r="PHI1515" s="879"/>
      <c r="PHJ1515" s="879"/>
      <c r="PHK1515" s="879"/>
      <c r="PHL1515" s="879"/>
      <c r="PHM1515" s="879"/>
      <c r="PHN1515" s="879"/>
      <c r="PHO1515" s="879"/>
      <c r="PHP1515" s="879"/>
      <c r="PHQ1515" s="879"/>
      <c r="PHR1515" s="879"/>
      <c r="PHS1515" s="879"/>
      <c r="PHT1515" s="879"/>
      <c r="PHU1515" s="879"/>
      <c r="PHV1515" s="879"/>
      <c r="PHW1515" s="879"/>
      <c r="PHX1515" s="879"/>
      <c r="PHY1515" s="879"/>
      <c r="PHZ1515" s="879"/>
      <c r="PIA1515" s="879"/>
      <c r="PIB1515" s="879"/>
      <c r="PIC1515" s="879"/>
      <c r="PID1515" s="879"/>
      <c r="PIE1515" s="879"/>
      <c r="PIF1515" s="879"/>
      <c r="PIG1515" s="879"/>
      <c r="PIH1515" s="879"/>
      <c r="PII1515" s="879"/>
      <c r="PIJ1515" s="879"/>
      <c r="PIK1515" s="879"/>
      <c r="PIL1515" s="879"/>
      <c r="PIM1515" s="879"/>
      <c r="PIN1515" s="879"/>
      <c r="PIO1515" s="879"/>
      <c r="PIP1515" s="879"/>
      <c r="PIQ1515" s="879"/>
      <c r="PIR1515" s="879"/>
      <c r="PIS1515" s="879"/>
      <c r="PIT1515" s="879"/>
      <c r="PIU1515" s="879"/>
      <c r="PIV1515" s="879"/>
      <c r="PIW1515" s="879"/>
      <c r="PIX1515" s="879"/>
      <c r="PIY1515" s="879"/>
      <c r="PIZ1515" s="879"/>
      <c r="PJA1515" s="879"/>
      <c r="PJB1515" s="879"/>
      <c r="PJC1515" s="879"/>
      <c r="PJD1515" s="879"/>
      <c r="PJE1515" s="879"/>
      <c r="PJF1515" s="879"/>
      <c r="PJG1515" s="879"/>
      <c r="PJH1515" s="879"/>
      <c r="PJI1515" s="879"/>
      <c r="PJJ1515" s="879"/>
      <c r="PJK1515" s="879"/>
      <c r="PJL1515" s="879"/>
      <c r="PJM1515" s="879"/>
      <c r="PJN1515" s="879"/>
      <c r="PJO1515" s="879"/>
      <c r="PJP1515" s="879"/>
      <c r="PJQ1515" s="879"/>
      <c r="PJR1515" s="879"/>
      <c r="PJS1515" s="879"/>
      <c r="PJT1515" s="879"/>
      <c r="PJU1515" s="879"/>
      <c r="PJV1515" s="879"/>
      <c r="PJW1515" s="879"/>
      <c r="PJX1515" s="879"/>
      <c r="PJY1515" s="879"/>
      <c r="PJZ1515" s="879"/>
      <c r="PKA1515" s="879"/>
      <c r="PKB1515" s="879"/>
      <c r="PKC1515" s="879"/>
      <c r="PKD1515" s="879"/>
      <c r="PKE1515" s="879"/>
      <c r="PKF1515" s="879"/>
      <c r="PKG1515" s="879"/>
      <c r="PKH1515" s="879"/>
      <c r="PKI1515" s="879"/>
      <c r="PKJ1515" s="879"/>
      <c r="PKK1515" s="879"/>
      <c r="PKL1515" s="879"/>
      <c r="PKM1515" s="879"/>
      <c r="PKN1515" s="879"/>
      <c r="PKO1515" s="879"/>
      <c r="PKP1515" s="879"/>
      <c r="PKQ1515" s="879"/>
      <c r="PKR1515" s="879"/>
      <c r="PKS1515" s="879"/>
      <c r="PKT1515" s="879"/>
      <c r="PKU1515" s="879"/>
      <c r="PKV1515" s="879"/>
      <c r="PKW1515" s="879"/>
      <c r="PKX1515" s="879"/>
      <c r="PKY1515" s="879"/>
      <c r="PKZ1515" s="879"/>
      <c r="PLA1515" s="879"/>
      <c r="PLB1515" s="879"/>
      <c r="PLC1515" s="879"/>
      <c r="PLD1515" s="879"/>
      <c r="PLE1515" s="879"/>
      <c r="PLF1515" s="879"/>
      <c r="PLG1515" s="879"/>
      <c r="PLH1515" s="879"/>
      <c r="PLI1515" s="879"/>
      <c r="PLJ1515" s="879"/>
      <c r="PLK1515" s="879"/>
      <c r="PLL1515" s="879"/>
      <c r="PLM1515" s="879"/>
      <c r="PLN1515" s="879"/>
      <c r="PLO1515" s="879"/>
      <c r="PLP1515" s="879"/>
      <c r="PLQ1515" s="879"/>
      <c r="PLR1515" s="879"/>
      <c r="PLS1515" s="879"/>
      <c r="PLT1515" s="879"/>
      <c r="PLU1515" s="879"/>
      <c r="PLV1515" s="879"/>
      <c r="PLW1515" s="879"/>
      <c r="PLX1515" s="879"/>
      <c r="PLY1515" s="879"/>
      <c r="PLZ1515" s="879"/>
      <c r="PMA1515" s="879"/>
      <c r="PMB1515" s="879"/>
      <c r="PMC1515" s="879"/>
      <c r="PMD1515" s="879"/>
      <c r="PME1515" s="879"/>
      <c r="PMF1515" s="879"/>
      <c r="PMG1515" s="879"/>
      <c r="PMH1515" s="879"/>
      <c r="PMI1515" s="879"/>
      <c r="PMJ1515" s="879"/>
      <c r="PMK1515" s="879"/>
      <c r="PML1515" s="879"/>
      <c r="PMM1515" s="879"/>
      <c r="PMN1515" s="879"/>
      <c r="PMO1515" s="879"/>
      <c r="PMP1515" s="879"/>
      <c r="PMQ1515" s="879"/>
      <c r="PMR1515" s="879"/>
      <c r="PMS1515" s="879"/>
      <c r="PMT1515" s="879"/>
      <c r="PMU1515" s="879"/>
      <c r="PMV1515" s="879"/>
      <c r="PMW1515" s="879"/>
      <c r="PMX1515" s="879"/>
      <c r="PMY1515" s="879"/>
      <c r="PMZ1515" s="879"/>
      <c r="PNA1515" s="879"/>
      <c r="PNB1515" s="879"/>
      <c r="PNC1515" s="879"/>
      <c r="PND1515" s="879"/>
      <c r="PNE1515" s="879"/>
      <c r="PNF1515" s="879"/>
      <c r="PNG1515" s="879"/>
      <c r="PNH1515" s="879"/>
      <c r="PNI1515" s="879"/>
      <c r="PNJ1515" s="879"/>
      <c r="PNK1515" s="879"/>
      <c r="PNL1515" s="879"/>
      <c r="PNM1515" s="879"/>
      <c r="PNN1515" s="879"/>
      <c r="PNO1515" s="879"/>
      <c r="PNP1515" s="879"/>
      <c r="PNQ1515" s="879"/>
      <c r="PNR1515" s="879"/>
      <c r="PNS1515" s="879"/>
      <c r="PNT1515" s="879"/>
      <c r="PNU1515" s="879"/>
      <c r="PNV1515" s="879"/>
      <c r="PNW1515" s="879"/>
      <c r="PNX1515" s="879"/>
      <c r="PNY1515" s="879"/>
      <c r="PNZ1515" s="879"/>
      <c r="POA1515" s="879"/>
      <c r="POB1515" s="879"/>
      <c r="POC1515" s="879"/>
      <c r="POD1515" s="879"/>
      <c r="POE1515" s="879"/>
      <c r="POF1515" s="879"/>
      <c r="POG1515" s="879"/>
      <c r="POH1515" s="879"/>
      <c r="POI1515" s="879"/>
      <c r="POJ1515" s="879"/>
      <c r="POK1515" s="879"/>
      <c r="POL1515" s="879"/>
      <c r="POM1515" s="879"/>
      <c r="PON1515" s="879"/>
      <c r="POO1515" s="879"/>
      <c r="POP1515" s="879"/>
      <c r="POQ1515" s="879"/>
      <c r="POR1515" s="879"/>
      <c r="POS1515" s="879"/>
      <c r="POT1515" s="879"/>
      <c r="POU1515" s="879"/>
      <c r="POV1515" s="879"/>
      <c r="POW1515" s="879"/>
      <c r="POX1515" s="879"/>
      <c r="POY1515" s="879"/>
      <c r="POZ1515" s="879"/>
      <c r="PPA1515" s="879"/>
      <c r="PPB1515" s="879"/>
      <c r="PPC1515" s="879"/>
      <c r="PPD1515" s="879"/>
      <c r="PPE1515" s="879"/>
      <c r="PPF1515" s="879"/>
      <c r="PPG1515" s="879"/>
      <c r="PPH1515" s="879"/>
      <c r="PPI1515" s="879"/>
      <c r="PPJ1515" s="879"/>
      <c r="PPK1515" s="879"/>
      <c r="PPL1515" s="879"/>
      <c r="PPM1515" s="879"/>
      <c r="PPN1515" s="879"/>
      <c r="PPO1515" s="879"/>
      <c r="PPP1515" s="879"/>
      <c r="PPQ1515" s="879"/>
      <c r="PPR1515" s="879"/>
      <c r="PPS1515" s="879"/>
      <c r="PPT1515" s="879"/>
      <c r="PPU1515" s="879"/>
      <c r="PPV1515" s="879"/>
      <c r="PPW1515" s="879"/>
      <c r="PPX1515" s="879"/>
      <c r="PPY1515" s="879"/>
      <c r="PPZ1515" s="879"/>
      <c r="PQA1515" s="879"/>
      <c r="PQB1515" s="879"/>
      <c r="PQC1515" s="879"/>
      <c r="PQD1515" s="879"/>
      <c r="PQE1515" s="879"/>
      <c r="PQF1515" s="879"/>
      <c r="PQG1515" s="879"/>
      <c r="PQH1515" s="879"/>
      <c r="PQI1515" s="879"/>
      <c r="PQJ1515" s="879"/>
      <c r="PQK1515" s="879"/>
      <c r="PQL1515" s="879"/>
      <c r="PQM1515" s="879"/>
      <c r="PQN1515" s="879"/>
      <c r="PQO1515" s="879"/>
      <c r="PQP1515" s="879"/>
      <c r="PQQ1515" s="879"/>
      <c r="PQR1515" s="879"/>
      <c r="PQS1515" s="879"/>
      <c r="PQT1515" s="879"/>
      <c r="PQU1515" s="879"/>
      <c r="PQV1515" s="879"/>
      <c r="PQW1515" s="879"/>
      <c r="PQX1515" s="879"/>
      <c r="PQY1515" s="879"/>
      <c r="PQZ1515" s="879"/>
      <c r="PRA1515" s="879"/>
      <c r="PRB1515" s="879"/>
      <c r="PRC1515" s="879"/>
      <c r="PRD1515" s="879"/>
      <c r="PRE1515" s="879"/>
      <c r="PRF1515" s="879"/>
      <c r="PRG1515" s="879"/>
      <c r="PRH1515" s="879"/>
      <c r="PRI1515" s="879"/>
      <c r="PRJ1515" s="879"/>
      <c r="PRK1515" s="879"/>
      <c r="PRL1515" s="879"/>
      <c r="PRM1515" s="879"/>
      <c r="PRN1515" s="879"/>
      <c r="PRO1515" s="879"/>
      <c r="PRP1515" s="879"/>
      <c r="PRQ1515" s="879"/>
      <c r="PRR1515" s="879"/>
      <c r="PRS1515" s="879"/>
      <c r="PRT1515" s="879"/>
      <c r="PRU1515" s="879"/>
      <c r="PRV1515" s="879"/>
      <c r="PRW1515" s="879"/>
      <c r="PRX1515" s="879"/>
      <c r="PRY1515" s="879"/>
      <c r="PRZ1515" s="879"/>
      <c r="PSA1515" s="879"/>
      <c r="PSB1515" s="879"/>
      <c r="PSC1515" s="879"/>
      <c r="PSD1515" s="879"/>
      <c r="PSE1515" s="879"/>
      <c r="PSF1515" s="879"/>
      <c r="PSG1515" s="879"/>
      <c r="PSH1515" s="879"/>
      <c r="PSI1515" s="879"/>
      <c r="PSJ1515" s="879"/>
      <c r="PSK1515" s="879"/>
      <c r="PSL1515" s="879"/>
      <c r="PSM1515" s="879"/>
      <c r="PSN1515" s="879"/>
      <c r="PSO1515" s="879"/>
      <c r="PSP1515" s="879"/>
      <c r="PSQ1515" s="879"/>
      <c r="PSR1515" s="879"/>
      <c r="PSS1515" s="879"/>
      <c r="PST1515" s="879"/>
      <c r="PSU1515" s="879"/>
      <c r="PSV1515" s="879"/>
      <c r="PSW1515" s="879"/>
      <c r="PSX1515" s="879"/>
      <c r="PSY1515" s="879"/>
      <c r="PSZ1515" s="879"/>
      <c r="PTA1515" s="879"/>
      <c r="PTB1515" s="879"/>
      <c r="PTC1515" s="879"/>
      <c r="PTD1515" s="879"/>
      <c r="PTE1515" s="879"/>
      <c r="PTF1515" s="879"/>
      <c r="PTG1515" s="879"/>
      <c r="PTH1515" s="879"/>
      <c r="PTI1515" s="879"/>
      <c r="PTJ1515" s="879"/>
      <c r="PTK1515" s="879"/>
      <c r="PTL1515" s="879"/>
      <c r="PTM1515" s="879"/>
      <c r="PTN1515" s="879"/>
      <c r="PTO1515" s="879"/>
      <c r="PTP1515" s="879"/>
      <c r="PTQ1515" s="879"/>
      <c r="PTR1515" s="879"/>
      <c r="PTS1515" s="879"/>
      <c r="PTT1515" s="879"/>
      <c r="PTU1515" s="879"/>
      <c r="PTV1515" s="879"/>
      <c r="PTW1515" s="879"/>
      <c r="PTX1515" s="879"/>
      <c r="PTY1515" s="879"/>
      <c r="PTZ1515" s="879"/>
      <c r="PUA1515" s="879"/>
      <c r="PUB1515" s="879"/>
      <c r="PUC1515" s="879"/>
      <c r="PUD1515" s="879"/>
      <c r="PUE1515" s="879"/>
      <c r="PUF1515" s="879"/>
      <c r="PUG1515" s="879"/>
      <c r="PUH1515" s="879"/>
      <c r="PUI1515" s="879"/>
      <c r="PUJ1515" s="879"/>
      <c r="PUK1515" s="879"/>
      <c r="PUL1515" s="879"/>
      <c r="PUM1515" s="879"/>
      <c r="PUN1515" s="879"/>
      <c r="PUO1515" s="879"/>
      <c r="PUP1515" s="879"/>
      <c r="PUQ1515" s="879"/>
      <c r="PUR1515" s="879"/>
      <c r="PUS1515" s="879"/>
      <c r="PUT1515" s="879"/>
      <c r="PUU1515" s="879"/>
      <c r="PUV1515" s="879"/>
      <c r="PUW1515" s="879"/>
      <c r="PUX1515" s="879"/>
      <c r="PUY1515" s="879"/>
      <c r="PUZ1515" s="879"/>
      <c r="PVA1515" s="879"/>
      <c r="PVB1515" s="879"/>
      <c r="PVC1515" s="879"/>
      <c r="PVD1515" s="879"/>
      <c r="PVE1515" s="879"/>
      <c r="PVF1515" s="879"/>
      <c r="PVG1515" s="879"/>
      <c r="PVH1515" s="879"/>
      <c r="PVI1515" s="879"/>
      <c r="PVJ1515" s="879"/>
      <c r="PVK1515" s="879"/>
      <c r="PVL1515" s="879"/>
      <c r="PVM1515" s="879"/>
      <c r="PVN1515" s="879"/>
      <c r="PVO1515" s="879"/>
      <c r="PVP1515" s="879"/>
      <c r="PVQ1515" s="879"/>
      <c r="PVR1515" s="879"/>
      <c r="PVS1515" s="879"/>
      <c r="PVT1515" s="879"/>
      <c r="PVU1515" s="879"/>
      <c r="PVV1515" s="879"/>
      <c r="PVW1515" s="879"/>
      <c r="PVX1515" s="879"/>
      <c r="PVY1515" s="879"/>
      <c r="PVZ1515" s="879"/>
      <c r="PWA1515" s="879"/>
      <c r="PWB1515" s="879"/>
      <c r="PWC1515" s="879"/>
      <c r="PWD1515" s="879"/>
      <c r="PWE1515" s="879"/>
      <c r="PWF1515" s="879"/>
      <c r="PWG1515" s="879"/>
      <c r="PWH1515" s="879"/>
      <c r="PWI1515" s="879"/>
      <c r="PWJ1515" s="879"/>
      <c r="PWK1515" s="879"/>
      <c r="PWL1515" s="879"/>
      <c r="PWM1515" s="879"/>
      <c r="PWN1515" s="879"/>
      <c r="PWO1515" s="879"/>
      <c r="PWP1515" s="879"/>
      <c r="PWQ1515" s="879"/>
      <c r="PWR1515" s="879"/>
      <c r="PWS1515" s="879"/>
      <c r="PWT1515" s="879"/>
      <c r="PWU1515" s="879"/>
      <c r="PWV1515" s="879"/>
      <c r="PWW1515" s="879"/>
      <c r="PWX1515" s="879"/>
      <c r="PWY1515" s="879"/>
      <c r="PWZ1515" s="879"/>
      <c r="PXA1515" s="879"/>
      <c r="PXB1515" s="879"/>
      <c r="PXC1515" s="879"/>
      <c r="PXD1515" s="879"/>
      <c r="PXE1515" s="879"/>
      <c r="PXF1515" s="879"/>
      <c r="PXG1515" s="879"/>
      <c r="PXH1515" s="879"/>
      <c r="PXI1515" s="879"/>
      <c r="PXJ1515" s="879"/>
      <c r="PXK1515" s="879"/>
      <c r="PXL1515" s="879"/>
      <c r="PXM1515" s="879"/>
      <c r="PXN1515" s="879"/>
      <c r="PXO1515" s="879"/>
      <c r="PXP1515" s="879"/>
      <c r="PXQ1515" s="879"/>
      <c r="PXR1515" s="879"/>
      <c r="PXS1515" s="879"/>
      <c r="PXT1515" s="879"/>
      <c r="PXU1515" s="879"/>
      <c r="PXV1515" s="879"/>
      <c r="PXW1515" s="879"/>
      <c r="PXX1515" s="879"/>
      <c r="PXY1515" s="879"/>
      <c r="PXZ1515" s="879"/>
      <c r="PYA1515" s="879"/>
      <c r="PYB1515" s="879"/>
      <c r="PYC1515" s="879"/>
      <c r="PYD1515" s="879"/>
      <c r="PYE1515" s="879"/>
      <c r="PYF1515" s="879"/>
      <c r="PYG1515" s="879"/>
      <c r="PYH1515" s="879"/>
      <c r="PYI1515" s="879"/>
      <c r="PYJ1515" s="879"/>
      <c r="PYK1515" s="879"/>
      <c r="PYL1515" s="879"/>
      <c r="PYM1515" s="879"/>
      <c r="PYN1515" s="879"/>
      <c r="PYO1515" s="879"/>
      <c r="PYP1515" s="879"/>
      <c r="PYQ1515" s="879"/>
      <c r="PYR1515" s="879"/>
      <c r="PYS1515" s="879"/>
      <c r="PYT1515" s="879"/>
      <c r="PYU1515" s="879"/>
      <c r="PYV1515" s="879"/>
      <c r="PYW1515" s="879"/>
      <c r="PYX1515" s="879"/>
      <c r="PYY1515" s="879"/>
      <c r="PYZ1515" s="879"/>
      <c r="PZA1515" s="879"/>
      <c r="PZB1515" s="879"/>
      <c r="PZC1515" s="879"/>
      <c r="PZD1515" s="879"/>
      <c r="PZE1515" s="879"/>
      <c r="PZF1515" s="879"/>
      <c r="PZG1515" s="879"/>
      <c r="PZH1515" s="879"/>
      <c r="PZI1515" s="879"/>
      <c r="PZJ1515" s="879"/>
      <c r="PZK1515" s="879"/>
      <c r="PZL1515" s="879"/>
      <c r="PZM1515" s="879"/>
      <c r="PZN1515" s="879"/>
      <c r="PZO1515" s="879"/>
      <c r="PZP1515" s="879"/>
      <c r="PZQ1515" s="879"/>
      <c r="PZR1515" s="879"/>
      <c r="PZS1515" s="879"/>
      <c r="PZT1515" s="879"/>
      <c r="PZU1515" s="879"/>
      <c r="PZV1515" s="879"/>
      <c r="PZW1515" s="879"/>
      <c r="PZX1515" s="879"/>
      <c r="PZY1515" s="879"/>
      <c r="PZZ1515" s="879"/>
      <c r="QAA1515" s="879"/>
      <c r="QAB1515" s="879"/>
      <c r="QAC1515" s="879"/>
      <c r="QAD1515" s="879"/>
      <c r="QAE1515" s="879"/>
      <c r="QAF1515" s="879"/>
      <c r="QAG1515" s="879"/>
      <c r="QAH1515" s="879"/>
      <c r="QAI1515" s="879"/>
      <c r="QAJ1515" s="879"/>
      <c r="QAK1515" s="879"/>
      <c r="QAL1515" s="879"/>
      <c r="QAM1515" s="879"/>
      <c r="QAN1515" s="879"/>
      <c r="QAO1515" s="879"/>
      <c r="QAP1515" s="879"/>
      <c r="QAQ1515" s="879"/>
      <c r="QAR1515" s="879"/>
      <c r="QAS1515" s="879"/>
      <c r="QAT1515" s="879"/>
      <c r="QAU1515" s="879"/>
      <c r="QAV1515" s="879"/>
      <c r="QAW1515" s="879"/>
      <c r="QAX1515" s="879"/>
      <c r="QAY1515" s="879"/>
      <c r="QAZ1515" s="879"/>
      <c r="QBA1515" s="879"/>
      <c r="QBB1515" s="879"/>
      <c r="QBC1515" s="879"/>
      <c r="QBD1515" s="879"/>
      <c r="QBE1515" s="879"/>
      <c r="QBF1515" s="879"/>
      <c r="QBG1515" s="879"/>
      <c r="QBH1515" s="879"/>
      <c r="QBI1515" s="879"/>
      <c r="QBJ1515" s="879"/>
      <c r="QBK1515" s="879"/>
      <c r="QBL1515" s="879"/>
      <c r="QBM1515" s="879"/>
      <c r="QBN1515" s="879"/>
      <c r="QBO1515" s="879"/>
      <c r="QBP1515" s="879"/>
      <c r="QBQ1515" s="879"/>
      <c r="QBR1515" s="879"/>
      <c r="QBS1515" s="879"/>
      <c r="QBT1515" s="879"/>
      <c r="QBU1515" s="879"/>
      <c r="QBV1515" s="879"/>
      <c r="QBW1515" s="879"/>
      <c r="QBX1515" s="879"/>
      <c r="QBY1515" s="879"/>
      <c r="QBZ1515" s="879"/>
      <c r="QCA1515" s="879"/>
      <c r="QCB1515" s="879"/>
      <c r="QCC1515" s="879"/>
      <c r="QCD1515" s="879"/>
      <c r="QCE1515" s="879"/>
      <c r="QCF1515" s="879"/>
      <c r="QCG1515" s="879"/>
      <c r="QCH1515" s="879"/>
      <c r="QCI1515" s="879"/>
      <c r="QCJ1515" s="879"/>
      <c r="QCK1515" s="879"/>
      <c r="QCL1515" s="879"/>
      <c r="QCM1515" s="879"/>
      <c r="QCN1515" s="879"/>
      <c r="QCO1515" s="879"/>
      <c r="QCP1515" s="879"/>
      <c r="QCQ1515" s="879"/>
      <c r="QCR1515" s="879"/>
      <c r="QCS1515" s="879"/>
      <c r="QCT1515" s="879"/>
      <c r="QCU1515" s="879"/>
      <c r="QCV1515" s="879"/>
      <c r="QCW1515" s="879"/>
      <c r="QCX1515" s="879"/>
      <c r="QCY1515" s="879"/>
      <c r="QCZ1515" s="879"/>
      <c r="QDA1515" s="879"/>
      <c r="QDB1515" s="879"/>
      <c r="QDC1515" s="879"/>
      <c r="QDD1515" s="879"/>
      <c r="QDE1515" s="879"/>
      <c r="QDF1515" s="879"/>
      <c r="QDG1515" s="879"/>
      <c r="QDH1515" s="879"/>
      <c r="QDI1515" s="879"/>
      <c r="QDJ1515" s="879"/>
      <c r="QDK1515" s="879"/>
      <c r="QDL1515" s="879"/>
      <c r="QDM1515" s="879"/>
      <c r="QDN1515" s="879"/>
      <c r="QDO1515" s="879"/>
      <c r="QDP1515" s="879"/>
      <c r="QDQ1515" s="879"/>
      <c r="QDR1515" s="879"/>
      <c r="QDS1515" s="879"/>
      <c r="QDT1515" s="879"/>
      <c r="QDU1515" s="879"/>
      <c r="QDV1515" s="879"/>
      <c r="QDW1515" s="879"/>
      <c r="QDX1515" s="879"/>
      <c r="QDY1515" s="879"/>
      <c r="QDZ1515" s="879"/>
      <c r="QEA1515" s="879"/>
      <c r="QEB1515" s="879"/>
      <c r="QEC1515" s="879"/>
      <c r="QED1515" s="879"/>
      <c r="QEE1515" s="879"/>
      <c r="QEF1515" s="879"/>
      <c r="QEG1515" s="879"/>
      <c r="QEH1515" s="879"/>
      <c r="QEI1515" s="879"/>
      <c r="QEJ1515" s="879"/>
      <c r="QEK1515" s="879"/>
      <c r="QEL1515" s="879"/>
      <c r="QEM1515" s="879"/>
      <c r="QEN1515" s="879"/>
      <c r="QEO1515" s="879"/>
      <c r="QEP1515" s="879"/>
      <c r="QEQ1515" s="879"/>
      <c r="QER1515" s="879"/>
      <c r="QES1515" s="879"/>
      <c r="QET1515" s="879"/>
      <c r="QEU1515" s="879"/>
      <c r="QEV1515" s="879"/>
      <c r="QEW1515" s="879"/>
      <c r="QEX1515" s="879"/>
      <c r="QEY1515" s="879"/>
      <c r="QEZ1515" s="879"/>
      <c r="QFA1515" s="879"/>
      <c r="QFB1515" s="879"/>
      <c r="QFC1515" s="879"/>
      <c r="QFD1515" s="879"/>
      <c r="QFE1515" s="879"/>
      <c r="QFF1515" s="879"/>
      <c r="QFG1515" s="879"/>
      <c r="QFH1515" s="879"/>
      <c r="QFI1515" s="879"/>
      <c r="QFJ1515" s="879"/>
      <c r="QFK1515" s="879"/>
      <c r="QFL1515" s="879"/>
      <c r="QFM1515" s="879"/>
      <c r="QFN1515" s="879"/>
      <c r="QFO1515" s="879"/>
      <c r="QFP1515" s="879"/>
      <c r="QFQ1515" s="879"/>
      <c r="QFR1515" s="879"/>
      <c r="QFS1515" s="879"/>
      <c r="QFT1515" s="879"/>
      <c r="QFU1515" s="879"/>
      <c r="QFV1515" s="879"/>
      <c r="QFW1515" s="879"/>
      <c r="QFX1515" s="879"/>
      <c r="QFY1515" s="879"/>
      <c r="QFZ1515" s="879"/>
      <c r="QGA1515" s="879"/>
      <c r="QGB1515" s="879"/>
      <c r="QGC1515" s="879"/>
      <c r="QGD1515" s="879"/>
      <c r="QGE1515" s="879"/>
      <c r="QGF1515" s="879"/>
      <c r="QGG1515" s="879"/>
      <c r="QGH1515" s="879"/>
      <c r="QGI1515" s="879"/>
      <c r="QGJ1515" s="879"/>
      <c r="QGK1515" s="879"/>
      <c r="QGL1515" s="879"/>
      <c r="QGM1515" s="879"/>
      <c r="QGN1515" s="879"/>
      <c r="QGO1515" s="879"/>
      <c r="QGP1515" s="879"/>
      <c r="QGQ1515" s="879"/>
      <c r="QGR1515" s="879"/>
      <c r="QGS1515" s="879"/>
      <c r="QGT1515" s="879"/>
      <c r="QGU1515" s="879"/>
      <c r="QGV1515" s="879"/>
      <c r="QGW1515" s="879"/>
      <c r="QGX1515" s="879"/>
      <c r="QGY1515" s="879"/>
      <c r="QGZ1515" s="879"/>
      <c r="QHA1515" s="879"/>
      <c r="QHB1515" s="879"/>
      <c r="QHC1515" s="879"/>
      <c r="QHD1515" s="879"/>
      <c r="QHE1515" s="879"/>
      <c r="QHF1515" s="879"/>
      <c r="QHG1515" s="879"/>
      <c r="QHH1515" s="879"/>
      <c r="QHI1515" s="879"/>
      <c r="QHJ1515" s="879"/>
      <c r="QHK1515" s="879"/>
      <c r="QHL1515" s="879"/>
      <c r="QHM1515" s="879"/>
      <c r="QHN1515" s="879"/>
      <c r="QHO1515" s="879"/>
      <c r="QHP1515" s="879"/>
      <c r="QHQ1515" s="879"/>
      <c r="QHR1515" s="879"/>
      <c r="QHS1515" s="879"/>
      <c r="QHT1515" s="879"/>
      <c r="QHU1515" s="879"/>
      <c r="QHV1515" s="879"/>
      <c r="QHW1515" s="879"/>
      <c r="QHX1515" s="879"/>
      <c r="QHY1515" s="879"/>
      <c r="QHZ1515" s="879"/>
      <c r="QIA1515" s="879"/>
      <c r="QIB1515" s="879"/>
      <c r="QIC1515" s="879"/>
      <c r="QID1515" s="879"/>
      <c r="QIE1515" s="879"/>
      <c r="QIF1515" s="879"/>
      <c r="QIG1515" s="879"/>
      <c r="QIH1515" s="879"/>
      <c r="QII1515" s="879"/>
      <c r="QIJ1515" s="879"/>
      <c r="QIK1515" s="879"/>
      <c r="QIL1515" s="879"/>
      <c r="QIM1515" s="879"/>
      <c r="QIN1515" s="879"/>
      <c r="QIO1515" s="879"/>
      <c r="QIP1515" s="879"/>
      <c r="QIQ1515" s="879"/>
      <c r="QIR1515" s="879"/>
      <c r="QIS1515" s="879"/>
      <c r="QIT1515" s="879"/>
      <c r="QIU1515" s="879"/>
      <c r="QIV1515" s="879"/>
      <c r="QIW1515" s="879"/>
      <c r="QIX1515" s="879"/>
      <c r="QIY1515" s="879"/>
      <c r="QIZ1515" s="879"/>
      <c r="QJA1515" s="879"/>
      <c r="QJB1515" s="879"/>
      <c r="QJC1515" s="879"/>
      <c r="QJD1515" s="879"/>
      <c r="QJE1515" s="879"/>
      <c r="QJF1515" s="879"/>
      <c r="QJG1515" s="879"/>
      <c r="QJH1515" s="879"/>
      <c r="QJI1515" s="879"/>
      <c r="QJJ1515" s="879"/>
      <c r="QJK1515" s="879"/>
      <c r="QJL1515" s="879"/>
      <c r="QJM1515" s="879"/>
      <c r="QJN1515" s="879"/>
      <c r="QJO1515" s="879"/>
      <c r="QJP1515" s="879"/>
      <c r="QJQ1515" s="879"/>
      <c r="QJR1515" s="879"/>
      <c r="QJS1515" s="879"/>
      <c r="QJT1515" s="879"/>
      <c r="QJU1515" s="879"/>
      <c r="QJV1515" s="879"/>
      <c r="QJW1515" s="879"/>
      <c r="QJX1515" s="879"/>
      <c r="QJY1515" s="879"/>
      <c r="QJZ1515" s="879"/>
      <c r="QKA1515" s="879"/>
      <c r="QKB1515" s="879"/>
      <c r="QKC1515" s="879"/>
      <c r="QKD1515" s="879"/>
      <c r="QKE1515" s="879"/>
      <c r="QKF1515" s="879"/>
      <c r="QKG1515" s="879"/>
      <c r="QKH1515" s="879"/>
      <c r="QKI1515" s="879"/>
      <c r="QKJ1515" s="879"/>
      <c r="QKK1515" s="879"/>
      <c r="QKL1515" s="879"/>
      <c r="QKM1515" s="879"/>
      <c r="QKN1515" s="879"/>
      <c r="QKO1515" s="879"/>
      <c r="QKP1515" s="879"/>
      <c r="QKQ1515" s="879"/>
      <c r="QKR1515" s="879"/>
      <c r="QKS1515" s="879"/>
      <c r="QKT1515" s="879"/>
      <c r="QKU1515" s="879"/>
      <c r="QKV1515" s="879"/>
      <c r="QKW1515" s="879"/>
      <c r="QKX1515" s="879"/>
      <c r="QKY1515" s="879"/>
      <c r="QKZ1515" s="879"/>
      <c r="QLA1515" s="879"/>
      <c r="QLB1515" s="879"/>
      <c r="QLC1515" s="879"/>
      <c r="QLD1515" s="879"/>
      <c r="QLE1515" s="879"/>
      <c r="QLF1515" s="879"/>
      <c r="QLG1515" s="879"/>
      <c r="QLH1515" s="879"/>
      <c r="QLI1515" s="879"/>
      <c r="QLJ1515" s="879"/>
      <c r="QLK1515" s="879"/>
      <c r="QLL1515" s="879"/>
      <c r="QLM1515" s="879"/>
      <c r="QLN1515" s="879"/>
      <c r="QLO1515" s="879"/>
      <c r="QLP1515" s="879"/>
      <c r="QLQ1515" s="879"/>
      <c r="QLR1515" s="879"/>
      <c r="QLS1515" s="879"/>
      <c r="QLT1515" s="879"/>
      <c r="QLU1515" s="879"/>
      <c r="QLV1515" s="879"/>
      <c r="QLW1515" s="879"/>
      <c r="QLX1515" s="879"/>
      <c r="QLY1515" s="879"/>
      <c r="QLZ1515" s="879"/>
      <c r="QMA1515" s="879"/>
      <c r="QMB1515" s="879"/>
      <c r="QMC1515" s="879"/>
      <c r="QMD1515" s="879"/>
      <c r="QME1515" s="879"/>
      <c r="QMF1515" s="879"/>
      <c r="QMG1515" s="879"/>
      <c r="QMH1515" s="879"/>
      <c r="QMI1515" s="879"/>
      <c r="QMJ1515" s="879"/>
      <c r="QMK1515" s="879"/>
      <c r="QML1515" s="879"/>
      <c r="QMM1515" s="879"/>
      <c r="QMN1515" s="879"/>
      <c r="QMO1515" s="879"/>
      <c r="QMP1515" s="879"/>
      <c r="QMQ1515" s="879"/>
      <c r="QMR1515" s="879"/>
      <c r="QMS1515" s="879"/>
      <c r="QMT1515" s="879"/>
      <c r="QMU1515" s="879"/>
      <c r="QMV1515" s="879"/>
      <c r="QMW1515" s="879"/>
      <c r="QMX1515" s="879"/>
      <c r="QMY1515" s="879"/>
      <c r="QMZ1515" s="879"/>
      <c r="QNA1515" s="879"/>
      <c r="QNB1515" s="879"/>
      <c r="QNC1515" s="879"/>
      <c r="QND1515" s="879"/>
      <c r="QNE1515" s="879"/>
      <c r="QNF1515" s="879"/>
      <c r="QNG1515" s="879"/>
      <c r="QNH1515" s="879"/>
      <c r="QNI1515" s="879"/>
      <c r="QNJ1515" s="879"/>
      <c r="QNK1515" s="879"/>
      <c r="QNL1515" s="879"/>
      <c r="QNM1515" s="879"/>
      <c r="QNN1515" s="879"/>
      <c r="QNO1515" s="879"/>
      <c r="QNP1515" s="879"/>
      <c r="QNQ1515" s="879"/>
      <c r="QNR1515" s="879"/>
      <c r="QNS1515" s="879"/>
      <c r="QNT1515" s="879"/>
      <c r="QNU1515" s="879"/>
      <c r="QNV1515" s="879"/>
      <c r="QNW1515" s="879"/>
      <c r="QNX1515" s="879"/>
      <c r="QNY1515" s="879"/>
      <c r="QNZ1515" s="879"/>
      <c r="QOA1515" s="879"/>
      <c r="QOB1515" s="879"/>
      <c r="QOC1515" s="879"/>
      <c r="QOD1515" s="879"/>
      <c r="QOE1515" s="879"/>
      <c r="QOF1515" s="879"/>
      <c r="QOG1515" s="879"/>
      <c r="QOH1515" s="879"/>
      <c r="QOI1515" s="879"/>
      <c r="QOJ1515" s="879"/>
      <c r="QOK1515" s="879"/>
      <c r="QOL1515" s="879"/>
      <c r="QOM1515" s="879"/>
      <c r="QON1515" s="879"/>
      <c r="QOO1515" s="879"/>
      <c r="QOP1515" s="879"/>
      <c r="QOQ1515" s="879"/>
      <c r="QOR1515" s="879"/>
      <c r="QOS1515" s="879"/>
      <c r="QOT1515" s="879"/>
      <c r="QOU1515" s="879"/>
      <c r="QOV1515" s="879"/>
      <c r="QOW1515" s="879"/>
      <c r="QOX1515" s="879"/>
      <c r="QOY1515" s="879"/>
      <c r="QOZ1515" s="879"/>
      <c r="QPA1515" s="879"/>
      <c r="QPB1515" s="879"/>
      <c r="QPC1515" s="879"/>
      <c r="QPD1515" s="879"/>
      <c r="QPE1515" s="879"/>
      <c r="QPF1515" s="879"/>
      <c r="QPG1515" s="879"/>
      <c r="QPH1515" s="879"/>
      <c r="QPI1515" s="879"/>
      <c r="QPJ1515" s="879"/>
      <c r="QPK1515" s="879"/>
      <c r="QPL1515" s="879"/>
      <c r="QPM1515" s="879"/>
      <c r="QPN1515" s="879"/>
      <c r="QPO1515" s="879"/>
      <c r="QPP1515" s="879"/>
      <c r="QPQ1515" s="879"/>
      <c r="QPR1515" s="879"/>
      <c r="QPS1515" s="879"/>
      <c r="QPT1515" s="879"/>
      <c r="QPU1515" s="879"/>
      <c r="QPV1515" s="879"/>
      <c r="QPW1515" s="879"/>
      <c r="QPX1515" s="879"/>
      <c r="QPY1515" s="879"/>
      <c r="QPZ1515" s="879"/>
      <c r="QQA1515" s="879"/>
      <c r="QQB1515" s="879"/>
      <c r="QQC1515" s="879"/>
      <c r="QQD1515" s="879"/>
      <c r="QQE1515" s="879"/>
      <c r="QQF1515" s="879"/>
      <c r="QQG1515" s="879"/>
      <c r="QQH1515" s="879"/>
      <c r="QQI1515" s="879"/>
      <c r="QQJ1515" s="879"/>
      <c r="QQK1515" s="879"/>
      <c r="QQL1515" s="879"/>
      <c r="QQM1515" s="879"/>
      <c r="QQN1515" s="879"/>
      <c r="QQO1515" s="879"/>
      <c r="QQP1515" s="879"/>
      <c r="QQQ1515" s="879"/>
      <c r="QQR1515" s="879"/>
      <c r="QQS1515" s="879"/>
      <c r="QQT1515" s="879"/>
      <c r="QQU1515" s="879"/>
      <c r="QQV1515" s="879"/>
      <c r="QQW1515" s="879"/>
      <c r="QQX1515" s="879"/>
      <c r="QQY1515" s="879"/>
      <c r="QQZ1515" s="879"/>
      <c r="QRA1515" s="879"/>
      <c r="QRB1515" s="879"/>
      <c r="QRC1515" s="879"/>
      <c r="QRD1515" s="879"/>
      <c r="QRE1515" s="879"/>
      <c r="QRF1515" s="879"/>
      <c r="QRG1515" s="879"/>
      <c r="QRH1515" s="879"/>
      <c r="QRI1515" s="879"/>
      <c r="QRJ1515" s="879"/>
      <c r="QRK1515" s="879"/>
      <c r="QRL1515" s="879"/>
      <c r="QRM1515" s="879"/>
      <c r="QRN1515" s="879"/>
      <c r="QRO1515" s="879"/>
      <c r="QRP1515" s="879"/>
      <c r="QRQ1515" s="879"/>
      <c r="QRR1515" s="879"/>
      <c r="QRS1515" s="879"/>
      <c r="QRT1515" s="879"/>
      <c r="QRU1515" s="879"/>
      <c r="QRV1515" s="879"/>
      <c r="QRW1515" s="879"/>
      <c r="QRX1515" s="879"/>
      <c r="QRY1515" s="879"/>
      <c r="QRZ1515" s="879"/>
      <c r="QSA1515" s="879"/>
      <c r="QSB1515" s="879"/>
      <c r="QSC1515" s="879"/>
      <c r="QSD1515" s="879"/>
      <c r="QSE1515" s="879"/>
      <c r="QSF1515" s="879"/>
      <c r="QSG1515" s="879"/>
      <c r="QSH1515" s="879"/>
      <c r="QSI1515" s="879"/>
      <c r="QSJ1515" s="879"/>
      <c r="QSK1515" s="879"/>
      <c r="QSL1515" s="879"/>
      <c r="QSM1515" s="879"/>
      <c r="QSN1515" s="879"/>
      <c r="QSO1515" s="879"/>
      <c r="QSP1515" s="879"/>
      <c r="QSQ1515" s="879"/>
      <c r="QSR1515" s="879"/>
      <c r="QSS1515" s="879"/>
      <c r="QST1515" s="879"/>
      <c r="QSU1515" s="879"/>
      <c r="QSV1515" s="879"/>
      <c r="QSW1515" s="879"/>
      <c r="QSX1515" s="879"/>
      <c r="QSY1515" s="879"/>
      <c r="QSZ1515" s="879"/>
      <c r="QTA1515" s="879"/>
      <c r="QTB1515" s="879"/>
      <c r="QTC1515" s="879"/>
      <c r="QTD1515" s="879"/>
      <c r="QTE1515" s="879"/>
      <c r="QTF1515" s="879"/>
      <c r="QTG1515" s="879"/>
      <c r="QTH1515" s="879"/>
      <c r="QTI1515" s="879"/>
      <c r="QTJ1515" s="879"/>
      <c r="QTK1515" s="879"/>
      <c r="QTL1515" s="879"/>
      <c r="QTM1515" s="879"/>
      <c r="QTN1515" s="879"/>
      <c r="QTO1515" s="879"/>
      <c r="QTP1515" s="879"/>
      <c r="QTQ1515" s="879"/>
      <c r="QTR1515" s="879"/>
      <c r="QTS1515" s="879"/>
      <c r="QTT1515" s="879"/>
      <c r="QTU1515" s="879"/>
      <c r="QTV1515" s="879"/>
      <c r="QTW1515" s="879"/>
      <c r="QTX1515" s="879"/>
      <c r="QTY1515" s="879"/>
      <c r="QTZ1515" s="879"/>
      <c r="QUA1515" s="879"/>
      <c r="QUB1515" s="879"/>
      <c r="QUC1515" s="879"/>
      <c r="QUD1515" s="879"/>
      <c r="QUE1515" s="879"/>
      <c r="QUF1515" s="879"/>
      <c r="QUG1515" s="879"/>
      <c r="QUH1515" s="879"/>
      <c r="QUI1515" s="879"/>
      <c r="QUJ1515" s="879"/>
      <c r="QUK1515" s="879"/>
      <c r="QUL1515" s="879"/>
      <c r="QUM1515" s="879"/>
      <c r="QUN1515" s="879"/>
      <c r="QUO1515" s="879"/>
      <c r="QUP1515" s="879"/>
      <c r="QUQ1515" s="879"/>
      <c r="QUR1515" s="879"/>
      <c r="QUS1515" s="879"/>
      <c r="QUT1515" s="879"/>
      <c r="QUU1515" s="879"/>
      <c r="QUV1515" s="879"/>
      <c r="QUW1515" s="879"/>
      <c r="QUX1515" s="879"/>
      <c r="QUY1515" s="879"/>
      <c r="QUZ1515" s="879"/>
      <c r="QVA1515" s="879"/>
      <c r="QVB1515" s="879"/>
      <c r="QVC1515" s="879"/>
      <c r="QVD1515" s="879"/>
      <c r="QVE1515" s="879"/>
      <c r="QVF1515" s="879"/>
      <c r="QVG1515" s="879"/>
      <c r="QVH1515" s="879"/>
      <c r="QVI1515" s="879"/>
      <c r="QVJ1515" s="879"/>
      <c r="QVK1515" s="879"/>
      <c r="QVL1515" s="879"/>
      <c r="QVM1515" s="879"/>
      <c r="QVN1515" s="879"/>
      <c r="QVO1515" s="879"/>
      <c r="QVP1515" s="879"/>
      <c r="QVQ1515" s="879"/>
      <c r="QVR1515" s="879"/>
      <c r="QVS1515" s="879"/>
      <c r="QVT1515" s="879"/>
      <c r="QVU1515" s="879"/>
      <c r="QVV1515" s="879"/>
      <c r="QVW1515" s="879"/>
      <c r="QVX1515" s="879"/>
      <c r="QVY1515" s="879"/>
      <c r="QVZ1515" s="879"/>
      <c r="QWA1515" s="879"/>
      <c r="QWB1515" s="879"/>
      <c r="QWC1515" s="879"/>
      <c r="QWD1515" s="879"/>
      <c r="QWE1515" s="879"/>
      <c r="QWF1515" s="879"/>
      <c r="QWG1515" s="879"/>
      <c r="QWH1515" s="879"/>
      <c r="QWI1515" s="879"/>
      <c r="QWJ1515" s="879"/>
      <c r="QWK1515" s="879"/>
      <c r="QWL1515" s="879"/>
      <c r="QWM1515" s="879"/>
      <c r="QWN1515" s="879"/>
      <c r="QWO1515" s="879"/>
      <c r="QWP1515" s="879"/>
      <c r="QWQ1515" s="879"/>
      <c r="QWR1515" s="879"/>
      <c r="QWS1515" s="879"/>
      <c r="QWT1515" s="879"/>
      <c r="QWU1515" s="879"/>
      <c r="QWV1515" s="879"/>
      <c r="QWW1515" s="879"/>
      <c r="QWX1515" s="879"/>
      <c r="QWY1515" s="879"/>
      <c r="QWZ1515" s="879"/>
      <c r="QXA1515" s="879"/>
      <c r="QXB1515" s="879"/>
      <c r="QXC1515" s="879"/>
      <c r="QXD1515" s="879"/>
      <c r="QXE1515" s="879"/>
      <c r="QXF1515" s="879"/>
      <c r="QXG1515" s="879"/>
      <c r="QXH1515" s="879"/>
      <c r="QXI1515" s="879"/>
      <c r="QXJ1515" s="879"/>
      <c r="QXK1515" s="879"/>
      <c r="QXL1515" s="879"/>
      <c r="QXM1515" s="879"/>
      <c r="QXN1515" s="879"/>
      <c r="QXO1515" s="879"/>
      <c r="QXP1515" s="879"/>
      <c r="QXQ1515" s="879"/>
      <c r="QXR1515" s="879"/>
      <c r="QXS1515" s="879"/>
      <c r="QXT1515" s="879"/>
      <c r="QXU1515" s="879"/>
      <c r="QXV1515" s="879"/>
      <c r="QXW1515" s="879"/>
      <c r="QXX1515" s="879"/>
      <c r="QXY1515" s="879"/>
      <c r="QXZ1515" s="879"/>
      <c r="QYA1515" s="879"/>
      <c r="QYB1515" s="879"/>
      <c r="QYC1515" s="879"/>
      <c r="QYD1515" s="879"/>
      <c r="QYE1515" s="879"/>
      <c r="QYF1515" s="879"/>
      <c r="QYG1515" s="879"/>
      <c r="QYH1515" s="879"/>
      <c r="QYI1515" s="879"/>
      <c r="QYJ1515" s="879"/>
      <c r="QYK1515" s="879"/>
      <c r="QYL1515" s="879"/>
      <c r="QYM1515" s="879"/>
      <c r="QYN1515" s="879"/>
      <c r="QYO1515" s="879"/>
      <c r="QYP1515" s="879"/>
      <c r="QYQ1515" s="879"/>
      <c r="QYR1515" s="879"/>
      <c r="QYS1515" s="879"/>
      <c r="QYT1515" s="879"/>
      <c r="QYU1515" s="879"/>
      <c r="QYV1515" s="879"/>
      <c r="QYW1515" s="879"/>
      <c r="QYX1515" s="879"/>
      <c r="QYY1515" s="879"/>
      <c r="QYZ1515" s="879"/>
      <c r="QZA1515" s="879"/>
      <c r="QZB1515" s="879"/>
      <c r="QZC1515" s="879"/>
      <c r="QZD1515" s="879"/>
      <c r="QZE1515" s="879"/>
      <c r="QZF1515" s="879"/>
      <c r="QZG1515" s="879"/>
      <c r="QZH1515" s="879"/>
      <c r="QZI1515" s="879"/>
      <c r="QZJ1515" s="879"/>
      <c r="QZK1515" s="879"/>
      <c r="QZL1515" s="879"/>
      <c r="QZM1515" s="879"/>
      <c r="QZN1515" s="879"/>
      <c r="QZO1515" s="879"/>
      <c r="QZP1515" s="879"/>
      <c r="QZQ1515" s="879"/>
      <c r="QZR1515" s="879"/>
      <c r="QZS1515" s="879"/>
      <c r="QZT1515" s="879"/>
      <c r="QZU1515" s="879"/>
      <c r="QZV1515" s="879"/>
      <c r="QZW1515" s="879"/>
      <c r="QZX1515" s="879"/>
      <c r="QZY1515" s="879"/>
      <c r="QZZ1515" s="879"/>
      <c r="RAA1515" s="879"/>
      <c r="RAB1515" s="879"/>
      <c r="RAC1515" s="879"/>
      <c r="RAD1515" s="879"/>
      <c r="RAE1515" s="879"/>
      <c r="RAF1515" s="879"/>
      <c r="RAG1515" s="879"/>
      <c r="RAH1515" s="879"/>
      <c r="RAI1515" s="879"/>
      <c r="RAJ1515" s="879"/>
      <c r="RAK1515" s="879"/>
      <c r="RAL1515" s="879"/>
      <c r="RAM1515" s="879"/>
      <c r="RAN1515" s="879"/>
      <c r="RAO1515" s="879"/>
      <c r="RAP1515" s="879"/>
      <c r="RAQ1515" s="879"/>
      <c r="RAR1515" s="879"/>
      <c r="RAS1515" s="879"/>
      <c r="RAT1515" s="879"/>
      <c r="RAU1515" s="879"/>
      <c r="RAV1515" s="879"/>
      <c r="RAW1515" s="879"/>
      <c r="RAX1515" s="879"/>
      <c r="RAY1515" s="879"/>
      <c r="RAZ1515" s="879"/>
      <c r="RBA1515" s="879"/>
      <c r="RBB1515" s="879"/>
      <c r="RBC1515" s="879"/>
      <c r="RBD1515" s="879"/>
      <c r="RBE1515" s="879"/>
      <c r="RBF1515" s="879"/>
      <c r="RBG1515" s="879"/>
      <c r="RBH1515" s="879"/>
      <c r="RBI1515" s="879"/>
      <c r="RBJ1515" s="879"/>
      <c r="RBK1515" s="879"/>
      <c r="RBL1515" s="879"/>
      <c r="RBM1515" s="879"/>
      <c r="RBN1515" s="879"/>
      <c r="RBO1515" s="879"/>
      <c r="RBP1515" s="879"/>
      <c r="RBQ1515" s="879"/>
      <c r="RBR1515" s="879"/>
      <c r="RBS1515" s="879"/>
      <c r="RBT1515" s="879"/>
      <c r="RBU1515" s="879"/>
      <c r="RBV1515" s="879"/>
      <c r="RBW1515" s="879"/>
      <c r="RBX1515" s="879"/>
      <c r="RBY1515" s="879"/>
      <c r="RBZ1515" s="879"/>
      <c r="RCA1515" s="879"/>
      <c r="RCB1515" s="879"/>
      <c r="RCC1515" s="879"/>
      <c r="RCD1515" s="879"/>
      <c r="RCE1515" s="879"/>
      <c r="RCF1515" s="879"/>
      <c r="RCG1515" s="879"/>
      <c r="RCH1515" s="879"/>
      <c r="RCI1515" s="879"/>
      <c r="RCJ1515" s="879"/>
      <c r="RCK1515" s="879"/>
      <c r="RCL1515" s="879"/>
      <c r="RCM1515" s="879"/>
      <c r="RCN1515" s="879"/>
      <c r="RCO1515" s="879"/>
      <c r="RCP1515" s="879"/>
      <c r="RCQ1515" s="879"/>
      <c r="RCR1515" s="879"/>
      <c r="RCS1515" s="879"/>
      <c r="RCT1515" s="879"/>
      <c r="RCU1515" s="879"/>
      <c r="RCV1515" s="879"/>
      <c r="RCW1515" s="879"/>
      <c r="RCX1515" s="879"/>
      <c r="RCY1515" s="879"/>
      <c r="RCZ1515" s="879"/>
      <c r="RDA1515" s="879"/>
      <c r="RDB1515" s="879"/>
      <c r="RDC1515" s="879"/>
      <c r="RDD1515" s="879"/>
      <c r="RDE1515" s="879"/>
      <c r="RDF1515" s="879"/>
      <c r="RDG1515" s="879"/>
      <c r="RDH1515" s="879"/>
      <c r="RDI1515" s="879"/>
      <c r="RDJ1515" s="879"/>
      <c r="RDK1515" s="879"/>
      <c r="RDL1515" s="879"/>
      <c r="RDM1515" s="879"/>
      <c r="RDN1515" s="879"/>
      <c r="RDO1515" s="879"/>
      <c r="RDP1515" s="879"/>
      <c r="RDQ1515" s="879"/>
      <c r="RDR1515" s="879"/>
      <c r="RDS1515" s="879"/>
      <c r="RDT1515" s="879"/>
      <c r="RDU1515" s="879"/>
      <c r="RDV1515" s="879"/>
      <c r="RDW1515" s="879"/>
      <c r="RDX1515" s="879"/>
      <c r="RDY1515" s="879"/>
      <c r="RDZ1515" s="879"/>
      <c r="REA1515" s="879"/>
      <c r="REB1515" s="879"/>
      <c r="REC1515" s="879"/>
      <c r="RED1515" s="879"/>
      <c r="REE1515" s="879"/>
      <c r="REF1515" s="879"/>
      <c r="REG1515" s="879"/>
      <c r="REH1515" s="879"/>
      <c r="REI1515" s="879"/>
      <c r="REJ1515" s="879"/>
      <c r="REK1515" s="879"/>
      <c r="REL1515" s="879"/>
      <c r="REM1515" s="879"/>
      <c r="REN1515" s="879"/>
      <c r="REO1515" s="879"/>
      <c r="REP1515" s="879"/>
      <c r="REQ1515" s="879"/>
      <c r="RER1515" s="879"/>
      <c r="RES1515" s="879"/>
      <c r="RET1515" s="879"/>
      <c r="REU1515" s="879"/>
      <c r="REV1515" s="879"/>
      <c r="REW1515" s="879"/>
      <c r="REX1515" s="879"/>
      <c r="REY1515" s="879"/>
      <c r="REZ1515" s="879"/>
      <c r="RFA1515" s="879"/>
      <c r="RFB1515" s="879"/>
      <c r="RFC1515" s="879"/>
      <c r="RFD1515" s="879"/>
      <c r="RFE1515" s="879"/>
      <c r="RFF1515" s="879"/>
      <c r="RFG1515" s="879"/>
      <c r="RFH1515" s="879"/>
      <c r="RFI1515" s="879"/>
      <c r="RFJ1515" s="879"/>
      <c r="RFK1515" s="879"/>
      <c r="RFL1515" s="879"/>
      <c r="RFM1515" s="879"/>
      <c r="RFN1515" s="879"/>
      <c r="RFO1515" s="879"/>
      <c r="RFP1515" s="879"/>
      <c r="RFQ1515" s="879"/>
      <c r="RFR1515" s="879"/>
      <c r="RFS1515" s="879"/>
      <c r="RFT1515" s="879"/>
      <c r="RFU1515" s="879"/>
      <c r="RFV1515" s="879"/>
      <c r="RFW1515" s="879"/>
      <c r="RFX1515" s="879"/>
      <c r="RFY1515" s="879"/>
      <c r="RFZ1515" s="879"/>
      <c r="RGA1515" s="879"/>
      <c r="RGB1515" s="879"/>
      <c r="RGC1515" s="879"/>
      <c r="RGD1515" s="879"/>
      <c r="RGE1515" s="879"/>
      <c r="RGF1515" s="879"/>
      <c r="RGG1515" s="879"/>
      <c r="RGH1515" s="879"/>
      <c r="RGI1515" s="879"/>
      <c r="RGJ1515" s="879"/>
      <c r="RGK1515" s="879"/>
      <c r="RGL1515" s="879"/>
      <c r="RGM1515" s="879"/>
      <c r="RGN1515" s="879"/>
      <c r="RGO1515" s="879"/>
      <c r="RGP1515" s="879"/>
      <c r="RGQ1515" s="879"/>
      <c r="RGR1515" s="879"/>
      <c r="RGS1515" s="879"/>
      <c r="RGT1515" s="879"/>
      <c r="RGU1515" s="879"/>
      <c r="RGV1515" s="879"/>
      <c r="RGW1515" s="879"/>
      <c r="RGX1515" s="879"/>
      <c r="RGY1515" s="879"/>
      <c r="RGZ1515" s="879"/>
      <c r="RHA1515" s="879"/>
      <c r="RHB1515" s="879"/>
      <c r="RHC1515" s="879"/>
      <c r="RHD1515" s="879"/>
      <c r="RHE1515" s="879"/>
      <c r="RHF1515" s="879"/>
      <c r="RHG1515" s="879"/>
      <c r="RHH1515" s="879"/>
      <c r="RHI1515" s="879"/>
      <c r="RHJ1515" s="879"/>
      <c r="RHK1515" s="879"/>
      <c r="RHL1515" s="879"/>
      <c r="RHM1515" s="879"/>
      <c r="RHN1515" s="879"/>
      <c r="RHO1515" s="879"/>
      <c r="RHP1515" s="879"/>
      <c r="RHQ1515" s="879"/>
      <c r="RHR1515" s="879"/>
      <c r="RHS1515" s="879"/>
      <c r="RHT1515" s="879"/>
      <c r="RHU1515" s="879"/>
      <c r="RHV1515" s="879"/>
      <c r="RHW1515" s="879"/>
      <c r="RHX1515" s="879"/>
      <c r="RHY1515" s="879"/>
      <c r="RHZ1515" s="879"/>
      <c r="RIA1515" s="879"/>
      <c r="RIB1515" s="879"/>
      <c r="RIC1515" s="879"/>
      <c r="RID1515" s="879"/>
      <c r="RIE1515" s="879"/>
      <c r="RIF1515" s="879"/>
      <c r="RIG1515" s="879"/>
      <c r="RIH1515" s="879"/>
      <c r="RII1515" s="879"/>
      <c r="RIJ1515" s="879"/>
      <c r="RIK1515" s="879"/>
      <c r="RIL1515" s="879"/>
      <c r="RIM1515" s="879"/>
      <c r="RIN1515" s="879"/>
      <c r="RIO1515" s="879"/>
      <c r="RIP1515" s="879"/>
      <c r="RIQ1515" s="879"/>
      <c r="RIR1515" s="879"/>
      <c r="RIS1515" s="879"/>
      <c r="RIT1515" s="879"/>
      <c r="RIU1515" s="879"/>
      <c r="RIV1515" s="879"/>
      <c r="RIW1515" s="879"/>
      <c r="RIX1515" s="879"/>
      <c r="RIY1515" s="879"/>
      <c r="RIZ1515" s="879"/>
      <c r="RJA1515" s="879"/>
      <c r="RJB1515" s="879"/>
      <c r="RJC1515" s="879"/>
      <c r="RJD1515" s="879"/>
      <c r="RJE1515" s="879"/>
      <c r="RJF1515" s="879"/>
      <c r="RJG1515" s="879"/>
      <c r="RJH1515" s="879"/>
      <c r="RJI1515" s="879"/>
      <c r="RJJ1515" s="879"/>
      <c r="RJK1515" s="879"/>
      <c r="RJL1515" s="879"/>
      <c r="RJM1515" s="879"/>
      <c r="RJN1515" s="879"/>
      <c r="RJO1515" s="879"/>
      <c r="RJP1515" s="879"/>
      <c r="RJQ1515" s="879"/>
      <c r="RJR1515" s="879"/>
      <c r="RJS1515" s="879"/>
      <c r="RJT1515" s="879"/>
      <c r="RJU1515" s="879"/>
      <c r="RJV1515" s="879"/>
      <c r="RJW1515" s="879"/>
      <c r="RJX1515" s="879"/>
      <c r="RJY1515" s="879"/>
      <c r="RJZ1515" s="879"/>
      <c r="RKA1515" s="879"/>
      <c r="RKB1515" s="879"/>
      <c r="RKC1515" s="879"/>
      <c r="RKD1515" s="879"/>
      <c r="RKE1515" s="879"/>
      <c r="RKF1515" s="879"/>
      <c r="RKG1515" s="879"/>
      <c r="RKH1515" s="879"/>
      <c r="RKI1515" s="879"/>
      <c r="RKJ1515" s="879"/>
      <c r="RKK1515" s="879"/>
      <c r="RKL1515" s="879"/>
      <c r="RKM1515" s="879"/>
      <c r="RKN1515" s="879"/>
      <c r="RKO1515" s="879"/>
      <c r="RKP1515" s="879"/>
      <c r="RKQ1515" s="879"/>
      <c r="RKR1515" s="879"/>
      <c r="RKS1515" s="879"/>
      <c r="RKT1515" s="879"/>
      <c r="RKU1515" s="879"/>
      <c r="RKV1515" s="879"/>
      <c r="RKW1515" s="879"/>
      <c r="RKX1515" s="879"/>
      <c r="RKY1515" s="879"/>
      <c r="RKZ1515" s="879"/>
      <c r="RLA1515" s="879"/>
      <c r="RLB1515" s="879"/>
      <c r="RLC1515" s="879"/>
      <c r="RLD1515" s="879"/>
      <c r="RLE1515" s="879"/>
      <c r="RLF1515" s="879"/>
      <c r="RLG1515" s="879"/>
      <c r="RLH1515" s="879"/>
      <c r="RLI1515" s="879"/>
      <c r="RLJ1515" s="879"/>
      <c r="RLK1515" s="879"/>
      <c r="RLL1515" s="879"/>
      <c r="RLM1515" s="879"/>
      <c r="RLN1515" s="879"/>
      <c r="RLO1515" s="879"/>
      <c r="RLP1515" s="879"/>
      <c r="RLQ1515" s="879"/>
      <c r="RLR1515" s="879"/>
      <c r="RLS1515" s="879"/>
      <c r="RLT1515" s="879"/>
      <c r="RLU1515" s="879"/>
      <c r="RLV1515" s="879"/>
      <c r="RLW1515" s="879"/>
      <c r="RLX1515" s="879"/>
      <c r="RLY1515" s="879"/>
      <c r="RLZ1515" s="879"/>
      <c r="RMA1515" s="879"/>
      <c r="RMB1515" s="879"/>
      <c r="RMC1515" s="879"/>
      <c r="RMD1515" s="879"/>
      <c r="RME1515" s="879"/>
      <c r="RMF1515" s="879"/>
      <c r="RMG1515" s="879"/>
      <c r="RMH1515" s="879"/>
      <c r="RMI1515" s="879"/>
      <c r="RMJ1515" s="879"/>
      <c r="RMK1515" s="879"/>
      <c r="RML1515" s="879"/>
      <c r="RMM1515" s="879"/>
      <c r="RMN1515" s="879"/>
      <c r="RMO1515" s="879"/>
      <c r="RMP1515" s="879"/>
      <c r="RMQ1515" s="879"/>
      <c r="RMR1515" s="879"/>
      <c r="RMS1515" s="879"/>
      <c r="RMT1515" s="879"/>
      <c r="RMU1515" s="879"/>
      <c r="RMV1515" s="879"/>
      <c r="RMW1515" s="879"/>
      <c r="RMX1515" s="879"/>
      <c r="RMY1515" s="879"/>
      <c r="RMZ1515" s="879"/>
      <c r="RNA1515" s="879"/>
      <c r="RNB1515" s="879"/>
      <c r="RNC1515" s="879"/>
      <c r="RND1515" s="879"/>
      <c r="RNE1515" s="879"/>
      <c r="RNF1515" s="879"/>
      <c r="RNG1515" s="879"/>
      <c r="RNH1515" s="879"/>
      <c r="RNI1515" s="879"/>
      <c r="RNJ1515" s="879"/>
      <c r="RNK1515" s="879"/>
      <c r="RNL1515" s="879"/>
      <c r="RNM1515" s="879"/>
      <c r="RNN1515" s="879"/>
      <c r="RNO1515" s="879"/>
      <c r="RNP1515" s="879"/>
      <c r="RNQ1515" s="879"/>
      <c r="RNR1515" s="879"/>
      <c r="RNS1515" s="879"/>
      <c r="RNT1515" s="879"/>
      <c r="RNU1515" s="879"/>
      <c r="RNV1515" s="879"/>
      <c r="RNW1515" s="879"/>
      <c r="RNX1515" s="879"/>
      <c r="RNY1515" s="879"/>
      <c r="RNZ1515" s="879"/>
      <c r="ROA1515" s="879"/>
      <c r="ROB1515" s="879"/>
      <c r="ROC1515" s="879"/>
      <c r="ROD1515" s="879"/>
      <c r="ROE1515" s="879"/>
      <c r="ROF1515" s="879"/>
      <c r="ROG1515" s="879"/>
      <c r="ROH1515" s="879"/>
      <c r="ROI1515" s="879"/>
      <c r="ROJ1515" s="879"/>
      <c r="ROK1515" s="879"/>
      <c r="ROL1515" s="879"/>
      <c r="ROM1515" s="879"/>
      <c r="RON1515" s="879"/>
      <c r="ROO1515" s="879"/>
      <c r="ROP1515" s="879"/>
      <c r="ROQ1515" s="879"/>
      <c r="ROR1515" s="879"/>
      <c r="ROS1515" s="879"/>
      <c r="ROT1515" s="879"/>
      <c r="ROU1515" s="879"/>
      <c r="ROV1515" s="879"/>
      <c r="ROW1515" s="879"/>
      <c r="ROX1515" s="879"/>
      <c r="ROY1515" s="879"/>
      <c r="ROZ1515" s="879"/>
      <c r="RPA1515" s="879"/>
      <c r="RPB1515" s="879"/>
      <c r="RPC1515" s="879"/>
      <c r="RPD1515" s="879"/>
      <c r="RPE1515" s="879"/>
      <c r="RPF1515" s="879"/>
      <c r="RPG1515" s="879"/>
      <c r="RPH1515" s="879"/>
      <c r="RPI1515" s="879"/>
      <c r="RPJ1515" s="879"/>
      <c r="RPK1515" s="879"/>
      <c r="RPL1515" s="879"/>
      <c r="RPM1515" s="879"/>
      <c r="RPN1515" s="879"/>
      <c r="RPO1515" s="879"/>
      <c r="RPP1515" s="879"/>
      <c r="RPQ1515" s="879"/>
      <c r="RPR1515" s="879"/>
      <c r="RPS1515" s="879"/>
      <c r="RPT1515" s="879"/>
      <c r="RPU1515" s="879"/>
      <c r="RPV1515" s="879"/>
      <c r="RPW1515" s="879"/>
      <c r="RPX1515" s="879"/>
      <c r="RPY1515" s="879"/>
      <c r="RPZ1515" s="879"/>
      <c r="RQA1515" s="879"/>
      <c r="RQB1515" s="879"/>
      <c r="RQC1515" s="879"/>
      <c r="RQD1515" s="879"/>
      <c r="RQE1515" s="879"/>
      <c r="RQF1515" s="879"/>
      <c r="RQG1515" s="879"/>
      <c r="RQH1515" s="879"/>
      <c r="RQI1515" s="879"/>
      <c r="RQJ1515" s="879"/>
      <c r="RQK1515" s="879"/>
      <c r="RQL1515" s="879"/>
      <c r="RQM1515" s="879"/>
      <c r="RQN1515" s="879"/>
      <c r="RQO1515" s="879"/>
      <c r="RQP1515" s="879"/>
      <c r="RQQ1515" s="879"/>
      <c r="RQR1515" s="879"/>
      <c r="RQS1515" s="879"/>
      <c r="RQT1515" s="879"/>
      <c r="RQU1515" s="879"/>
      <c r="RQV1515" s="879"/>
      <c r="RQW1515" s="879"/>
      <c r="RQX1515" s="879"/>
      <c r="RQY1515" s="879"/>
      <c r="RQZ1515" s="879"/>
      <c r="RRA1515" s="879"/>
      <c r="RRB1515" s="879"/>
      <c r="RRC1515" s="879"/>
      <c r="RRD1515" s="879"/>
      <c r="RRE1515" s="879"/>
      <c r="RRF1515" s="879"/>
      <c r="RRG1515" s="879"/>
      <c r="RRH1515" s="879"/>
      <c r="RRI1515" s="879"/>
      <c r="RRJ1515" s="879"/>
      <c r="RRK1515" s="879"/>
      <c r="RRL1515" s="879"/>
      <c r="RRM1515" s="879"/>
      <c r="RRN1515" s="879"/>
      <c r="RRO1515" s="879"/>
      <c r="RRP1515" s="879"/>
      <c r="RRQ1515" s="879"/>
      <c r="RRR1515" s="879"/>
      <c r="RRS1515" s="879"/>
      <c r="RRT1515" s="879"/>
      <c r="RRU1515" s="879"/>
      <c r="RRV1515" s="879"/>
      <c r="RRW1515" s="879"/>
      <c r="RRX1515" s="879"/>
      <c r="RRY1515" s="879"/>
      <c r="RRZ1515" s="879"/>
      <c r="RSA1515" s="879"/>
      <c r="RSB1515" s="879"/>
      <c r="RSC1515" s="879"/>
      <c r="RSD1515" s="879"/>
      <c r="RSE1515" s="879"/>
      <c r="RSF1515" s="879"/>
      <c r="RSG1515" s="879"/>
      <c r="RSH1515" s="879"/>
      <c r="RSI1515" s="879"/>
      <c r="RSJ1515" s="879"/>
      <c r="RSK1515" s="879"/>
      <c r="RSL1515" s="879"/>
      <c r="RSM1515" s="879"/>
      <c r="RSN1515" s="879"/>
      <c r="RSO1515" s="879"/>
      <c r="RSP1515" s="879"/>
      <c r="RSQ1515" s="879"/>
      <c r="RSR1515" s="879"/>
      <c r="RSS1515" s="879"/>
      <c r="RST1515" s="879"/>
      <c r="RSU1515" s="879"/>
      <c r="RSV1515" s="879"/>
      <c r="RSW1515" s="879"/>
      <c r="RSX1515" s="879"/>
      <c r="RSY1515" s="879"/>
      <c r="RSZ1515" s="879"/>
      <c r="RTA1515" s="879"/>
      <c r="RTB1515" s="879"/>
      <c r="RTC1515" s="879"/>
      <c r="RTD1515" s="879"/>
      <c r="RTE1515" s="879"/>
      <c r="RTF1515" s="879"/>
      <c r="RTG1515" s="879"/>
      <c r="RTH1515" s="879"/>
      <c r="RTI1515" s="879"/>
      <c r="RTJ1515" s="879"/>
      <c r="RTK1515" s="879"/>
      <c r="RTL1515" s="879"/>
      <c r="RTM1515" s="879"/>
      <c r="RTN1515" s="879"/>
      <c r="RTO1515" s="879"/>
      <c r="RTP1515" s="879"/>
      <c r="RTQ1515" s="879"/>
      <c r="RTR1515" s="879"/>
      <c r="RTS1515" s="879"/>
      <c r="RTT1515" s="879"/>
      <c r="RTU1515" s="879"/>
      <c r="RTV1515" s="879"/>
      <c r="RTW1515" s="879"/>
      <c r="RTX1515" s="879"/>
      <c r="RTY1515" s="879"/>
      <c r="RTZ1515" s="879"/>
      <c r="RUA1515" s="879"/>
      <c r="RUB1515" s="879"/>
      <c r="RUC1515" s="879"/>
      <c r="RUD1515" s="879"/>
      <c r="RUE1515" s="879"/>
      <c r="RUF1515" s="879"/>
      <c r="RUG1515" s="879"/>
      <c r="RUH1515" s="879"/>
      <c r="RUI1515" s="879"/>
      <c r="RUJ1515" s="879"/>
      <c r="RUK1515" s="879"/>
      <c r="RUL1515" s="879"/>
      <c r="RUM1515" s="879"/>
      <c r="RUN1515" s="879"/>
      <c r="RUO1515" s="879"/>
      <c r="RUP1515" s="879"/>
      <c r="RUQ1515" s="879"/>
      <c r="RUR1515" s="879"/>
      <c r="RUS1515" s="879"/>
      <c r="RUT1515" s="879"/>
      <c r="RUU1515" s="879"/>
      <c r="RUV1515" s="879"/>
      <c r="RUW1515" s="879"/>
      <c r="RUX1515" s="879"/>
      <c r="RUY1515" s="879"/>
      <c r="RUZ1515" s="879"/>
      <c r="RVA1515" s="879"/>
      <c r="RVB1515" s="879"/>
      <c r="RVC1515" s="879"/>
      <c r="RVD1515" s="879"/>
      <c r="RVE1515" s="879"/>
      <c r="RVF1515" s="879"/>
      <c r="RVG1515" s="879"/>
      <c r="RVH1515" s="879"/>
      <c r="RVI1515" s="879"/>
      <c r="RVJ1515" s="879"/>
      <c r="RVK1515" s="879"/>
      <c r="RVL1515" s="879"/>
      <c r="RVM1515" s="879"/>
      <c r="RVN1515" s="879"/>
      <c r="RVO1515" s="879"/>
      <c r="RVP1515" s="879"/>
      <c r="RVQ1515" s="879"/>
      <c r="RVR1515" s="879"/>
      <c r="RVS1515" s="879"/>
      <c r="RVT1515" s="879"/>
      <c r="RVU1515" s="879"/>
      <c r="RVV1515" s="879"/>
      <c r="RVW1515" s="879"/>
      <c r="RVX1515" s="879"/>
      <c r="RVY1515" s="879"/>
      <c r="RVZ1515" s="879"/>
      <c r="RWA1515" s="879"/>
      <c r="RWB1515" s="879"/>
      <c r="RWC1515" s="879"/>
      <c r="RWD1515" s="879"/>
      <c r="RWE1515" s="879"/>
      <c r="RWF1515" s="879"/>
      <c r="RWG1515" s="879"/>
      <c r="RWH1515" s="879"/>
      <c r="RWI1515" s="879"/>
      <c r="RWJ1515" s="879"/>
      <c r="RWK1515" s="879"/>
      <c r="RWL1515" s="879"/>
      <c r="RWM1515" s="879"/>
      <c r="RWN1515" s="879"/>
      <c r="RWO1515" s="879"/>
      <c r="RWP1515" s="879"/>
      <c r="RWQ1515" s="879"/>
      <c r="RWR1515" s="879"/>
      <c r="RWS1515" s="879"/>
      <c r="RWT1515" s="879"/>
      <c r="RWU1515" s="879"/>
      <c r="RWV1515" s="879"/>
      <c r="RWW1515" s="879"/>
      <c r="RWX1515" s="879"/>
      <c r="RWY1515" s="879"/>
      <c r="RWZ1515" s="879"/>
      <c r="RXA1515" s="879"/>
      <c r="RXB1515" s="879"/>
      <c r="RXC1515" s="879"/>
      <c r="RXD1515" s="879"/>
      <c r="RXE1515" s="879"/>
      <c r="RXF1515" s="879"/>
      <c r="RXG1515" s="879"/>
      <c r="RXH1515" s="879"/>
      <c r="RXI1515" s="879"/>
      <c r="RXJ1515" s="879"/>
      <c r="RXK1515" s="879"/>
      <c r="RXL1515" s="879"/>
      <c r="RXM1515" s="879"/>
      <c r="RXN1515" s="879"/>
      <c r="RXO1515" s="879"/>
      <c r="RXP1515" s="879"/>
      <c r="RXQ1515" s="879"/>
      <c r="RXR1515" s="879"/>
      <c r="RXS1515" s="879"/>
      <c r="RXT1515" s="879"/>
      <c r="RXU1515" s="879"/>
      <c r="RXV1515" s="879"/>
      <c r="RXW1515" s="879"/>
      <c r="RXX1515" s="879"/>
      <c r="RXY1515" s="879"/>
      <c r="RXZ1515" s="879"/>
      <c r="RYA1515" s="879"/>
      <c r="RYB1515" s="879"/>
      <c r="RYC1515" s="879"/>
      <c r="RYD1515" s="879"/>
      <c r="RYE1515" s="879"/>
      <c r="RYF1515" s="879"/>
      <c r="RYG1515" s="879"/>
      <c r="RYH1515" s="879"/>
      <c r="RYI1515" s="879"/>
      <c r="RYJ1515" s="879"/>
      <c r="RYK1515" s="879"/>
      <c r="RYL1515" s="879"/>
      <c r="RYM1515" s="879"/>
      <c r="RYN1515" s="879"/>
      <c r="RYO1515" s="879"/>
      <c r="RYP1515" s="879"/>
      <c r="RYQ1515" s="879"/>
      <c r="RYR1515" s="879"/>
      <c r="RYS1515" s="879"/>
      <c r="RYT1515" s="879"/>
      <c r="RYU1515" s="879"/>
      <c r="RYV1515" s="879"/>
      <c r="RYW1515" s="879"/>
      <c r="RYX1515" s="879"/>
      <c r="RYY1515" s="879"/>
      <c r="RYZ1515" s="879"/>
      <c r="RZA1515" s="879"/>
      <c r="RZB1515" s="879"/>
      <c r="RZC1515" s="879"/>
      <c r="RZD1515" s="879"/>
      <c r="RZE1515" s="879"/>
      <c r="RZF1515" s="879"/>
      <c r="RZG1515" s="879"/>
      <c r="RZH1515" s="879"/>
      <c r="RZI1515" s="879"/>
      <c r="RZJ1515" s="879"/>
      <c r="RZK1515" s="879"/>
      <c r="RZL1515" s="879"/>
      <c r="RZM1515" s="879"/>
      <c r="RZN1515" s="879"/>
      <c r="RZO1515" s="879"/>
      <c r="RZP1515" s="879"/>
      <c r="RZQ1515" s="879"/>
      <c r="RZR1515" s="879"/>
      <c r="RZS1515" s="879"/>
      <c r="RZT1515" s="879"/>
      <c r="RZU1515" s="879"/>
      <c r="RZV1515" s="879"/>
      <c r="RZW1515" s="879"/>
      <c r="RZX1515" s="879"/>
      <c r="RZY1515" s="879"/>
      <c r="RZZ1515" s="879"/>
      <c r="SAA1515" s="879"/>
      <c r="SAB1515" s="879"/>
      <c r="SAC1515" s="879"/>
      <c r="SAD1515" s="879"/>
      <c r="SAE1515" s="879"/>
      <c r="SAF1515" s="879"/>
      <c r="SAG1515" s="879"/>
      <c r="SAH1515" s="879"/>
      <c r="SAI1515" s="879"/>
      <c r="SAJ1515" s="879"/>
      <c r="SAK1515" s="879"/>
      <c r="SAL1515" s="879"/>
      <c r="SAM1515" s="879"/>
      <c r="SAN1515" s="879"/>
      <c r="SAO1515" s="879"/>
      <c r="SAP1515" s="879"/>
      <c r="SAQ1515" s="879"/>
      <c r="SAR1515" s="879"/>
      <c r="SAS1515" s="879"/>
      <c r="SAT1515" s="879"/>
      <c r="SAU1515" s="879"/>
      <c r="SAV1515" s="879"/>
      <c r="SAW1515" s="879"/>
      <c r="SAX1515" s="879"/>
      <c r="SAY1515" s="879"/>
      <c r="SAZ1515" s="879"/>
      <c r="SBA1515" s="879"/>
      <c r="SBB1515" s="879"/>
      <c r="SBC1515" s="879"/>
      <c r="SBD1515" s="879"/>
      <c r="SBE1515" s="879"/>
      <c r="SBF1515" s="879"/>
      <c r="SBG1515" s="879"/>
      <c r="SBH1515" s="879"/>
      <c r="SBI1515" s="879"/>
      <c r="SBJ1515" s="879"/>
      <c r="SBK1515" s="879"/>
      <c r="SBL1515" s="879"/>
      <c r="SBM1515" s="879"/>
      <c r="SBN1515" s="879"/>
      <c r="SBO1515" s="879"/>
      <c r="SBP1515" s="879"/>
      <c r="SBQ1515" s="879"/>
      <c r="SBR1515" s="879"/>
      <c r="SBS1515" s="879"/>
      <c r="SBT1515" s="879"/>
      <c r="SBU1515" s="879"/>
      <c r="SBV1515" s="879"/>
      <c r="SBW1515" s="879"/>
      <c r="SBX1515" s="879"/>
      <c r="SBY1515" s="879"/>
      <c r="SBZ1515" s="879"/>
      <c r="SCA1515" s="879"/>
      <c r="SCB1515" s="879"/>
      <c r="SCC1515" s="879"/>
      <c r="SCD1515" s="879"/>
      <c r="SCE1515" s="879"/>
      <c r="SCF1515" s="879"/>
      <c r="SCG1515" s="879"/>
      <c r="SCH1515" s="879"/>
      <c r="SCI1515" s="879"/>
      <c r="SCJ1515" s="879"/>
      <c r="SCK1515" s="879"/>
      <c r="SCL1515" s="879"/>
      <c r="SCM1515" s="879"/>
      <c r="SCN1515" s="879"/>
      <c r="SCO1515" s="879"/>
      <c r="SCP1515" s="879"/>
      <c r="SCQ1515" s="879"/>
      <c r="SCR1515" s="879"/>
      <c r="SCS1515" s="879"/>
      <c r="SCT1515" s="879"/>
      <c r="SCU1515" s="879"/>
      <c r="SCV1515" s="879"/>
      <c r="SCW1515" s="879"/>
      <c r="SCX1515" s="879"/>
      <c r="SCY1515" s="879"/>
      <c r="SCZ1515" s="879"/>
      <c r="SDA1515" s="879"/>
      <c r="SDB1515" s="879"/>
      <c r="SDC1515" s="879"/>
      <c r="SDD1515" s="879"/>
      <c r="SDE1515" s="879"/>
      <c r="SDF1515" s="879"/>
      <c r="SDG1515" s="879"/>
      <c r="SDH1515" s="879"/>
      <c r="SDI1515" s="879"/>
      <c r="SDJ1515" s="879"/>
      <c r="SDK1515" s="879"/>
      <c r="SDL1515" s="879"/>
      <c r="SDM1515" s="879"/>
      <c r="SDN1515" s="879"/>
      <c r="SDO1515" s="879"/>
      <c r="SDP1515" s="879"/>
      <c r="SDQ1515" s="879"/>
      <c r="SDR1515" s="879"/>
      <c r="SDS1515" s="879"/>
      <c r="SDT1515" s="879"/>
      <c r="SDU1515" s="879"/>
      <c r="SDV1515" s="879"/>
      <c r="SDW1515" s="879"/>
      <c r="SDX1515" s="879"/>
      <c r="SDY1515" s="879"/>
      <c r="SDZ1515" s="879"/>
      <c r="SEA1515" s="879"/>
      <c r="SEB1515" s="879"/>
      <c r="SEC1515" s="879"/>
      <c r="SED1515" s="879"/>
      <c r="SEE1515" s="879"/>
      <c r="SEF1515" s="879"/>
      <c r="SEG1515" s="879"/>
      <c r="SEH1515" s="879"/>
      <c r="SEI1515" s="879"/>
      <c r="SEJ1515" s="879"/>
      <c r="SEK1515" s="879"/>
      <c r="SEL1515" s="879"/>
      <c r="SEM1515" s="879"/>
      <c r="SEN1515" s="879"/>
      <c r="SEO1515" s="879"/>
      <c r="SEP1515" s="879"/>
      <c r="SEQ1515" s="879"/>
      <c r="SER1515" s="879"/>
      <c r="SES1515" s="879"/>
      <c r="SET1515" s="879"/>
      <c r="SEU1515" s="879"/>
      <c r="SEV1515" s="879"/>
      <c r="SEW1515" s="879"/>
      <c r="SEX1515" s="879"/>
      <c r="SEY1515" s="879"/>
      <c r="SEZ1515" s="879"/>
      <c r="SFA1515" s="879"/>
      <c r="SFB1515" s="879"/>
      <c r="SFC1515" s="879"/>
      <c r="SFD1515" s="879"/>
      <c r="SFE1515" s="879"/>
      <c r="SFF1515" s="879"/>
      <c r="SFG1515" s="879"/>
      <c r="SFH1515" s="879"/>
      <c r="SFI1515" s="879"/>
      <c r="SFJ1515" s="879"/>
      <c r="SFK1515" s="879"/>
      <c r="SFL1515" s="879"/>
      <c r="SFM1515" s="879"/>
      <c r="SFN1515" s="879"/>
      <c r="SFO1515" s="879"/>
      <c r="SFP1515" s="879"/>
      <c r="SFQ1515" s="879"/>
      <c r="SFR1515" s="879"/>
      <c r="SFS1515" s="879"/>
      <c r="SFT1515" s="879"/>
      <c r="SFU1515" s="879"/>
      <c r="SFV1515" s="879"/>
      <c r="SFW1515" s="879"/>
      <c r="SFX1515" s="879"/>
      <c r="SFY1515" s="879"/>
      <c r="SFZ1515" s="879"/>
      <c r="SGA1515" s="879"/>
      <c r="SGB1515" s="879"/>
      <c r="SGC1515" s="879"/>
      <c r="SGD1515" s="879"/>
      <c r="SGE1515" s="879"/>
      <c r="SGF1515" s="879"/>
      <c r="SGG1515" s="879"/>
      <c r="SGH1515" s="879"/>
      <c r="SGI1515" s="879"/>
      <c r="SGJ1515" s="879"/>
      <c r="SGK1515" s="879"/>
      <c r="SGL1515" s="879"/>
      <c r="SGM1515" s="879"/>
      <c r="SGN1515" s="879"/>
      <c r="SGO1515" s="879"/>
      <c r="SGP1515" s="879"/>
      <c r="SGQ1515" s="879"/>
      <c r="SGR1515" s="879"/>
      <c r="SGS1515" s="879"/>
      <c r="SGT1515" s="879"/>
      <c r="SGU1515" s="879"/>
      <c r="SGV1515" s="879"/>
      <c r="SGW1515" s="879"/>
      <c r="SGX1515" s="879"/>
      <c r="SGY1515" s="879"/>
      <c r="SGZ1515" s="879"/>
      <c r="SHA1515" s="879"/>
      <c r="SHB1515" s="879"/>
      <c r="SHC1515" s="879"/>
      <c r="SHD1515" s="879"/>
      <c r="SHE1515" s="879"/>
      <c r="SHF1515" s="879"/>
      <c r="SHG1515" s="879"/>
      <c r="SHH1515" s="879"/>
      <c r="SHI1515" s="879"/>
      <c r="SHJ1515" s="879"/>
      <c r="SHK1515" s="879"/>
      <c r="SHL1515" s="879"/>
      <c r="SHM1515" s="879"/>
      <c r="SHN1515" s="879"/>
      <c r="SHO1515" s="879"/>
      <c r="SHP1515" s="879"/>
      <c r="SHQ1515" s="879"/>
      <c r="SHR1515" s="879"/>
      <c r="SHS1515" s="879"/>
      <c r="SHT1515" s="879"/>
      <c r="SHU1515" s="879"/>
      <c r="SHV1515" s="879"/>
      <c r="SHW1515" s="879"/>
      <c r="SHX1515" s="879"/>
      <c r="SHY1515" s="879"/>
      <c r="SHZ1515" s="879"/>
      <c r="SIA1515" s="879"/>
      <c r="SIB1515" s="879"/>
      <c r="SIC1515" s="879"/>
      <c r="SID1515" s="879"/>
      <c r="SIE1515" s="879"/>
      <c r="SIF1515" s="879"/>
      <c r="SIG1515" s="879"/>
      <c r="SIH1515" s="879"/>
      <c r="SII1515" s="879"/>
      <c r="SIJ1515" s="879"/>
      <c r="SIK1515" s="879"/>
      <c r="SIL1515" s="879"/>
      <c r="SIM1515" s="879"/>
      <c r="SIN1515" s="879"/>
      <c r="SIO1515" s="879"/>
      <c r="SIP1515" s="879"/>
      <c r="SIQ1515" s="879"/>
      <c r="SIR1515" s="879"/>
      <c r="SIS1515" s="879"/>
      <c r="SIT1515" s="879"/>
      <c r="SIU1515" s="879"/>
      <c r="SIV1515" s="879"/>
      <c r="SIW1515" s="879"/>
      <c r="SIX1515" s="879"/>
      <c r="SIY1515" s="879"/>
      <c r="SIZ1515" s="879"/>
      <c r="SJA1515" s="879"/>
      <c r="SJB1515" s="879"/>
      <c r="SJC1515" s="879"/>
      <c r="SJD1515" s="879"/>
      <c r="SJE1515" s="879"/>
      <c r="SJF1515" s="879"/>
      <c r="SJG1515" s="879"/>
      <c r="SJH1515" s="879"/>
      <c r="SJI1515" s="879"/>
      <c r="SJJ1515" s="879"/>
      <c r="SJK1515" s="879"/>
      <c r="SJL1515" s="879"/>
      <c r="SJM1515" s="879"/>
      <c r="SJN1515" s="879"/>
      <c r="SJO1515" s="879"/>
      <c r="SJP1515" s="879"/>
      <c r="SJQ1515" s="879"/>
      <c r="SJR1515" s="879"/>
      <c r="SJS1515" s="879"/>
      <c r="SJT1515" s="879"/>
      <c r="SJU1515" s="879"/>
      <c r="SJV1515" s="879"/>
      <c r="SJW1515" s="879"/>
      <c r="SJX1515" s="879"/>
      <c r="SJY1515" s="879"/>
      <c r="SJZ1515" s="879"/>
      <c r="SKA1515" s="879"/>
      <c r="SKB1515" s="879"/>
      <c r="SKC1515" s="879"/>
      <c r="SKD1515" s="879"/>
      <c r="SKE1515" s="879"/>
      <c r="SKF1515" s="879"/>
      <c r="SKG1515" s="879"/>
      <c r="SKH1515" s="879"/>
      <c r="SKI1515" s="879"/>
      <c r="SKJ1515" s="879"/>
      <c r="SKK1515" s="879"/>
      <c r="SKL1515" s="879"/>
      <c r="SKM1515" s="879"/>
      <c r="SKN1515" s="879"/>
      <c r="SKO1515" s="879"/>
      <c r="SKP1515" s="879"/>
      <c r="SKQ1515" s="879"/>
      <c r="SKR1515" s="879"/>
      <c r="SKS1515" s="879"/>
      <c r="SKT1515" s="879"/>
      <c r="SKU1515" s="879"/>
      <c r="SKV1515" s="879"/>
      <c r="SKW1515" s="879"/>
      <c r="SKX1515" s="879"/>
      <c r="SKY1515" s="879"/>
      <c r="SKZ1515" s="879"/>
      <c r="SLA1515" s="879"/>
      <c r="SLB1515" s="879"/>
      <c r="SLC1515" s="879"/>
      <c r="SLD1515" s="879"/>
      <c r="SLE1515" s="879"/>
      <c r="SLF1515" s="879"/>
      <c r="SLG1515" s="879"/>
      <c r="SLH1515" s="879"/>
      <c r="SLI1515" s="879"/>
      <c r="SLJ1515" s="879"/>
      <c r="SLK1515" s="879"/>
      <c r="SLL1515" s="879"/>
      <c r="SLM1515" s="879"/>
      <c r="SLN1515" s="879"/>
      <c r="SLO1515" s="879"/>
      <c r="SLP1515" s="879"/>
      <c r="SLQ1515" s="879"/>
      <c r="SLR1515" s="879"/>
      <c r="SLS1515" s="879"/>
      <c r="SLT1515" s="879"/>
      <c r="SLU1515" s="879"/>
      <c r="SLV1515" s="879"/>
      <c r="SLW1515" s="879"/>
      <c r="SLX1515" s="879"/>
      <c r="SLY1515" s="879"/>
      <c r="SLZ1515" s="879"/>
      <c r="SMA1515" s="879"/>
      <c r="SMB1515" s="879"/>
      <c r="SMC1515" s="879"/>
      <c r="SMD1515" s="879"/>
      <c r="SME1515" s="879"/>
      <c r="SMF1515" s="879"/>
      <c r="SMG1515" s="879"/>
      <c r="SMH1515" s="879"/>
      <c r="SMI1515" s="879"/>
      <c r="SMJ1515" s="879"/>
      <c r="SMK1515" s="879"/>
      <c r="SML1515" s="879"/>
      <c r="SMM1515" s="879"/>
      <c r="SMN1515" s="879"/>
      <c r="SMO1515" s="879"/>
      <c r="SMP1515" s="879"/>
      <c r="SMQ1515" s="879"/>
      <c r="SMR1515" s="879"/>
      <c r="SMS1515" s="879"/>
      <c r="SMT1515" s="879"/>
      <c r="SMU1515" s="879"/>
      <c r="SMV1515" s="879"/>
      <c r="SMW1515" s="879"/>
      <c r="SMX1515" s="879"/>
      <c r="SMY1515" s="879"/>
      <c r="SMZ1515" s="879"/>
      <c r="SNA1515" s="879"/>
      <c r="SNB1515" s="879"/>
      <c r="SNC1515" s="879"/>
      <c r="SND1515" s="879"/>
      <c r="SNE1515" s="879"/>
      <c r="SNF1515" s="879"/>
      <c r="SNG1515" s="879"/>
      <c r="SNH1515" s="879"/>
      <c r="SNI1515" s="879"/>
      <c r="SNJ1515" s="879"/>
      <c r="SNK1515" s="879"/>
      <c r="SNL1515" s="879"/>
      <c r="SNM1515" s="879"/>
      <c r="SNN1515" s="879"/>
      <c r="SNO1515" s="879"/>
      <c r="SNP1515" s="879"/>
      <c r="SNQ1515" s="879"/>
      <c r="SNR1515" s="879"/>
      <c r="SNS1515" s="879"/>
      <c r="SNT1515" s="879"/>
      <c r="SNU1515" s="879"/>
      <c r="SNV1515" s="879"/>
      <c r="SNW1515" s="879"/>
      <c r="SNX1515" s="879"/>
      <c r="SNY1515" s="879"/>
      <c r="SNZ1515" s="879"/>
      <c r="SOA1515" s="879"/>
      <c r="SOB1515" s="879"/>
      <c r="SOC1515" s="879"/>
      <c r="SOD1515" s="879"/>
      <c r="SOE1515" s="879"/>
      <c r="SOF1515" s="879"/>
      <c r="SOG1515" s="879"/>
      <c r="SOH1515" s="879"/>
      <c r="SOI1515" s="879"/>
      <c r="SOJ1515" s="879"/>
      <c r="SOK1515" s="879"/>
      <c r="SOL1515" s="879"/>
      <c r="SOM1515" s="879"/>
      <c r="SON1515" s="879"/>
      <c r="SOO1515" s="879"/>
      <c r="SOP1515" s="879"/>
      <c r="SOQ1515" s="879"/>
      <c r="SOR1515" s="879"/>
      <c r="SOS1515" s="879"/>
      <c r="SOT1515" s="879"/>
      <c r="SOU1515" s="879"/>
      <c r="SOV1515" s="879"/>
      <c r="SOW1515" s="879"/>
      <c r="SOX1515" s="879"/>
      <c r="SOY1515" s="879"/>
      <c r="SOZ1515" s="879"/>
      <c r="SPA1515" s="879"/>
      <c r="SPB1515" s="879"/>
      <c r="SPC1515" s="879"/>
      <c r="SPD1515" s="879"/>
      <c r="SPE1515" s="879"/>
      <c r="SPF1515" s="879"/>
      <c r="SPG1515" s="879"/>
      <c r="SPH1515" s="879"/>
      <c r="SPI1515" s="879"/>
      <c r="SPJ1515" s="879"/>
      <c r="SPK1515" s="879"/>
      <c r="SPL1515" s="879"/>
      <c r="SPM1515" s="879"/>
      <c r="SPN1515" s="879"/>
      <c r="SPO1515" s="879"/>
      <c r="SPP1515" s="879"/>
      <c r="SPQ1515" s="879"/>
      <c r="SPR1515" s="879"/>
      <c r="SPS1515" s="879"/>
      <c r="SPT1515" s="879"/>
      <c r="SPU1515" s="879"/>
      <c r="SPV1515" s="879"/>
      <c r="SPW1515" s="879"/>
      <c r="SPX1515" s="879"/>
      <c r="SPY1515" s="879"/>
      <c r="SPZ1515" s="879"/>
      <c r="SQA1515" s="879"/>
      <c r="SQB1515" s="879"/>
      <c r="SQC1515" s="879"/>
      <c r="SQD1515" s="879"/>
      <c r="SQE1515" s="879"/>
      <c r="SQF1515" s="879"/>
      <c r="SQG1515" s="879"/>
      <c r="SQH1515" s="879"/>
      <c r="SQI1515" s="879"/>
      <c r="SQJ1515" s="879"/>
      <c r="SQK1515" s="879"/>
      <c r="SQL1515" s="879"/>
      <c r="SQM1515" s="879"/>
      <c r="SQN1515" s="879"/>
      <c r="SQO1515" s="879"/>
      <c r="SQP1515" s="879"/>
      <c r="SQQ1515" s="879"/>
      <c r="SQR1515" s="879"/>
      <c r="SQS1515" s="879"/>
      <c r="SQT1515" s="879"/>
      <c r="SQU1515" s="879"/>
      <c r="SQV1515" s="879"/>
      <c r="SQW1515" s="879"/>
      <c r="SQX1515" s="879"/>
      <c r="SQY1515" s="879"/>
      <c r="SQZ1515" s="879"/>
      <c r="SRA1515" s="879"/>
      <c r="SRB1515" s="879"/>
      <c r="SRC1515" s="879"/>
      <c r="SRD1515" s="879"/>
      <c r="SRE1515" s="879"/>
      <c r="SRF1515" s="879"/>
      <c r="SRG1515" s="879"/>
      <c r="SRH1515" s="879"/>
      <c r="SRI1515" s="879"/>
      <c r="SRJ1515" s="879"/>
      <c r="SRK1515" s="879"/>
      <c r="SRL1515" s="879"/>
      <c r="SRM1515" s="879"/>
      <c r="SRN1515" s="879"/>
      <c r="SRO1515" s="879"/>
      <c r="SRP1515" s="879"/>
      <c r="SRQ1515" s="879"/>
      <c r="SRR1515" s="879"/>
      <c r="SRS1515" s="879"/>
      <c r="SRT1515" s="879"/>
      <c r="SRU1515" s="879"/>
      <c r="SRV1515" s="879"/>
      <c r="SRW1515" s="879"/>
      <c r="SRX1515" s="879"/>
      <c r="SRY1515" s="879"/>
      <c r="SRZ1515" s="879"/>
      <c r="SSA1515" s="879"/>
      <c r="SSB1515" s="879"/>
      <c r="SSC1515" s="879"/>
      <c r="SSD1515" s="879"/>
      <c r="SSE1515" s="879"/>
      <c r="SSF1515" s="879"/>
      <c r="SSG1515" s="879"/>
      <c r="SSH1515" s="879"/>
      <c r="SSI1515" s="879"/>
      <c r="SSJ1515" s="879"/>
      <c r="SSK1515" s="879"/>
      <c r="SSL1515" s="879"/>
      <c r="SSM1515" s="879"/>
      <c r="SSN1515" s="879"/>
      <c r="SSO1515" s="879"/>
      <c r="SSP1515" s="879"/>
      <c r="SSQ1515" s="879"/>
      <c r="SSR1515" s="879"/>
      <c r="SSS1515" s="879"/>
      <c r="SST1515" s="879"/>
      <c r="SSU1515" s="879"/>
      <c r="SSV1515" s="879"/>
      <c r="SSW1515" s="879"/>
      <c r="SSX1515" s="879"/>
      <c r="SSY1515" s="879"/>
      <c r="SSZ1515" s="879"/>
      <c r="STA1515" s="879"/>
      <c r="STB1515" s="879"/>
      <c r="STC1515" s="879"/>
      <c r="STD1515" s="879"/>
      <c r="STE1515" s="879"/>
      <c r="STF1515" s="879"/>
      <c r="STG1515" s="879"/>
      <c r="STH1515" s="879"/>
      <c r="STI1515" s="879"/>
      <c r="STJ1515" s="879"/>
      <c r="STK1515" s="879"/>
      <c r="STL1515" s="879"/>
      <c r="STM1515" s="879"/>
      <c r="STN1515" s="879"/>
      <c r="STO1515" s="879"/>
      <c r="STP1515" s="879"/>
      <c r="STQ1515" s="879"/>
      <c r="STR1515" s="879"/>
      <c r="STS1515" s="879"/>
      <c r="STT1515" s="879"/>
      <c r="STU1515" s="879"/>
      <c r="STV1515" s="879"/>
      <c r="STW1515" s="879"/>
      <c r="STX1515" s="879"/>
      <c r="STY1515" s="879"/>
      <c r="STZ1515" s="879"/>
      <c r="SUA1515" s="879"/>
      <c r="SUB1515" s="879"/>
      <c r="SUC1515" s="879"/>
      <c r="SUD1515" s="879"/>
      <c r="SUE1515" s="879"/>
      <c r="SUF1515" s="879"/>
      <c r="SUG1515" s="879"/>
      <c r="SUH1515" s="879"/>
      <c r="SUI1515" s="879"/>
      <c r="SUJ1515" s="879"/>
      <c r="SUK1515" s="879"/>
      <c r="SUL1515" s="879"/>
      <c r="SUM1515" s="879"/>
      <c r="SUN1515" s="879"/>
      <c r="SUO1515" s="879"/>
      <c r="SUP1515" s="879"/>
      <c r="SUQ1515" s="879"/>
      <c r="SUR1515" s="879"/>
      <c r="SUS1515" s="879"/>
      <c r="SUT1515" s="879"/>
      <c r="SUU1515" s="879"/>
      <c r="SUV1515" s="879"/>
      <c r="SUW1515" s="879"/>
      <c r="SUX1515" s="879"/>
      <c r="SUY1515" s="879"/>
      <c r="SUZ1515" s="879"/>
      <c r="SVA1515" s="879"/>
      <c r="SVB1515" s="879"/>
      <c r="SVC1515" s="879"/>
      <c r="SVD1515" s="879"/>
      <c r="SVE1515" s="879"/>
      <c r="SVF1515" s="879"/>
      <c r="SVG1515" s="879"/>
      <c r="SVH1515" s="879"/>
      <c r="SVI1515" s="879"/>
      <c r="SVJ1515" s="879"/>
      <c r="SVK1515" s="879"/>
      <c r="SVL1515" s="879"/>
      <c r="SVM1515" s="879"/>
      <c r="SVN1515" s="879"/>
      <c r="SVO1515" s="879"/>
      <c r="SVP1515" s="879"/>
      <c r="SVQ1515" s="879"/>
      <c r="SVR1515" s="879"/>
      <c r="SVS1515" s="879"/>
      <c r="SVT1515" s="879"/>
      <c r="SVU1515" s="879"/>
      <c r="SVV1515" s="879"/>
      <c r="SVW1515" s="879"/>
      <c r="SVX1515" s="879"/>
      <c r="SVY1515" s="879"/>
      <c r="SVZ1515" s="879"/>
      <c r="SWA1515" s="879"/>
      <c r="SWB1515" s="879"/>
      <c r="SWC1515" s="879"/>
      <c r="SWD1515" s="879"/>
      <c r="SWE1515" s="879"/>
      <c r="SWF1515" s="879"/>
      <c r="SWG1515" s="879"/>
      <c r="SWH1515" s="879"/>
      <c r="SWI1515" s="879"/>
      <c r="SWJ1515" s="879"/>
      <c r="SWK1515" s="879"/>
      <c r="SWL1515" s="879"/>
      <c r="SWM1515" s="879"/>
      <c r="SWN1515" s="879"/>
      <c r="SWO1515" s="879"/>
      <c r="SWP1515" s="879"/>
      <c r="SWQ1515" s="879"/>
      <c r="SWR1515" s="879"/>
      <c r="SWS1515" s="879"/>
      <c r="SWT1515" s="879"/>
      <c r="SWU1515" s="879"/>
      <c r="SWV1515" s="879"/>
      <c r="SWW1515" s="879"/>
      <c r="SWX1515" s="879"/>
      <c r="SWY1515" s="879"/>
      <c r="SWZ1515" s="879"/>
      <c r="SXA1515" s="879"/>
      <c r="SXB1515" s="879"/>
      <c r="SXC1515" s="879"/>
      <c r="SXD1515" s="879"/>
      <c r="SXE1515" s="879"/>
      <c r="SXF1515" s="879"/>
      <c r="SXG1515" s="879"/>
      <c r="SXH1515" s="879"/>
      <c r="SXI1515" s="879"/>
      <c r="SXJ1515" s="879"/>
      <c r="SXK1515" s="879"/>
      <c r="SXL1515" s="879"/>
      <c r="SXM1515" s="879"/>
      <c r="SXN1515" s="879"/>
      <c r="SXO1515" s="879"/>
      <c r="SXP1515" s="879"/>
      <c r="SXQ1515" s="879"/>
      <c r="SXR1515" s="879"/>
      <c r="SXS1515" s="879"/>
      <c r="SXT1515" s="879"/>
      <c r="SXU1515" s="879"/>
      <c r="SXV1515" s="879"/>
      <c r="SXW1515" s="879"/>
      <c r="SXX1515" s="879"/>
      <c r="SXY1515" s="879"/>
      <c r="SXZ1515" s="879"/>
      <c r="SYA1515" s="879"/>
      <c r="SYB1515" s="879"/>
      <c r="SYC1515" s="879"/>
      <c r="SYD1515" s="879"/>
      <c r="SYE1515" s="879"/>
      <c r="SYF1515" s="879"/>
      <c r="SYG1515" s="879"/>
      <c r="SYH1515" s="879"/>
      <c r="SYI1515" s="879"/>
      <c r="SYJ1515" s="879"/>
      <c r="SYK1515" s="879"/>
      <c r="SYL1515" s="879"/>
      <c r="SYM1515" s="879"/>
      <c r="SYN1515" s="879"/>
      <c r="SYO1515" s="879"/>
      <c r="SYP1515" s="879"/>
      <c r="SYQ1515" s="879"/>
      <c r="SYR1515" s="879"/>
      <c r="SYS1515" s="879"/>
      <c r="SYT1515" s="879"/>
      <c r="SYU1515" s="879"/>
      <c r="SYV1515" s="879"/>
      <c r="SYW1515" s="879"/>
      <c r="SYX1515" s="879"/>
      <c r="SYY1515" s="879"/>
      <c r="SYZ1515" s="879"/>
      <c r="SZA1515" s="879"/>
      <c r="SZB1515" s="879"/>
      <c r="SZC1515" s="879"/>
      <c r="SZD1515" s="879"/>
      <c r="SZE1515" s="879"/>
      <c r="SZF1515" s="879"/>
      <c r="SZG1515" s="879"/>
      <c r="SZH1515" s="879"/>
      <c r="SZI1515" s="879"/>
      <c r="SZJ1515" s="879"/>
      <c r="SZK1515" s="879"/>
      <c r="SZL1515" s="879"/>
      <c r="SZM1515" s="879"/>
      <c r="SZN1515" s="879"/>
      <c r="SZO1515" s="879"/>
      <c r="SZP1515" s="879"/>
      <c r="SZQ1515" s="879"/>
      <c r="SZR1515" s="879"/>
      <c r="SZS1515" s="879"/>
      <c r="SZT1515" s="879"/>
      <c r="SZU1515" s="879"/>
      <c r="SZV1515" s="879"/>
      <c r="SZW1515" s="879"/>
      <c r="SZX1515" s="879"/>
      <c r="SZY1515" s="879"/>
      <c r="SZZ1515" s="879"/>
      <c r="TAA1515" s="879"/>
      <c r="TAB1515" s="879"/>
      <c r="TAC1515" s="879"/>
      <c r="TAD1515" s="879"/>
      <c r="TAE1515" s="879"/>
      <c r="TAF1515" s="879"/>
      <c r="TAG1515" s="879"/>
      <c r="TAH1515" s="879"/>
      <c r="TAI1515" s="879"/>
      <c r="TAJ1515" s="879"/>
      <c r="TAK1515" s="879"/>
      <c r="TAL1515" s="879"/>
      <c r="TAM1515" s="879"/>
      <c r="TAN1515" s="879"/>
      <c r="TAO1515" s="879"/>
      <c r="TAP1515" s="879"/>
      <c r="TAQ1515" s="879"/>
      <c r="TAR1515" s="879"/>
      <c r="TAS1515" s="879"/>
      <c r="TAT1515" s="879"/>
      <c r="TAU1515" s="879"/>
      <c r="TAV1515" s="879"/>
      <c r="TAW1515" s="879"/>
      <c r="TAX1515" s="879"/>
      <c r="TAY1515" s="879"/>
      <c r="TAZ1515" s="879"/>
      <c r="TBA1515" s="879"/>
      <c r="TBB1515" s="879"/>
      <c r="TBC1515" s="879"/>
      <c r="TBD1515" s="879"/>
      <c r="TBE1515" s="879"/>
      <c r="TBF1515" s="879"/>
      <c r="TBG1515" s="879"/>
      <c r="TBH1515" s="879"/>
      <c r="TBI1515" s="879"/>
      <c r="TBJ1515" s="879"/>
      <c r="TBK1515" s="879"/>
      <c r="TBL1515" s="879"/>
      <c r="TBM1515" s="879"/>
      <c r="TBN1515" s="879"/>
      <c r="TBO1515" s="879"/>
      <c r="TBP1515" s="879"/>
      <c r="TBQ1515" s="879"/>
      <c r="TBR1515" s="879"/>
      <c r="TBS1515" s="879"/>
      <c r="TBT1515" s="879"/>
      <c r="TBU1515" s="879"/>
      <c r="TBV1515" s="879"/>
      <c r="TBW1515" s="879"/>
      <c r="TBX1515" s="879"/>
      <c r="TBY1515" s="879"/>
      <c r="TBZ1515" s="879"/>
      <c r="TCA1515" s="879"/>
      <c r="TCB1515" s="879"/>
      <c r="TCC1515" s="879"/>
      <c r="TCD1515" s="879"/>
      <c r="TCE1515" s="879"/>
      <c r="TCF1515" s="879"/>
      <c r="TCG1515" s="879"/>
      <c r="TCH1515" s="879"/>
      <c r="TCI1515" s="879"/>
      <c r="TCJ1515" s="879"/>
      <c r="TCK1515" s="879"/>
      <c r="TCL1515" s="879"/>
      <c r="TCM1515" s="879"/>
      <c r="TCN1515" s="879"/>
      <c r="TCO1515" s="879"/>
      <c r="TCP1515" s="879"/>
      <c r="TCQ1515" s="879"/>
      <c r="TCR1515" s="879"/>
      <c r="TCS1515" s="879"/>
      <c r="TCT1515" s="879"/>
      <c r="TCU1515" s="879"/>
      <c r="TCV1515" s="879"/>
      <c r="TCW1515" s="879"/>
      <c r="TCX1515" s="879"/>
      <c r="TCY1515" s="879"/>
      <c r="TCZ1515" s="879"/>
      <c r="TDA1515" s="879"/>
      <c r="TDB1515" s="879"/>
      <c r="TDC1515" s="879"/>
      <c r="TDD1515" s="879"/>
      <c r="TDE1515" s="879"/>
      <c r="TDF1515" s="879"/>
      <c r="TDG1515" s="879"/>
      <c r="TDH1515" s="879"/>
      <c r="TDI1515" s="879"/>
      <c r="TDJ1515" s="879"/>
      <c r="TDK1515" s="879"/>
      <c r="TDL1515" s="879"/>
      <c r="TDM1515" s="879"/>
      <c r="TDN1515" s="879"/>
      <c r="TDO1515" s="879"/>
      <c r="TDP1515" s="879"/>
      <c r="TDQ1515" s="879"/>
      <c r="TDR1515" s="879"/>
      <c r="TDS1515" s="879"/>
      <c r="TDT1515" s="879"/>
      <c r="TDU1515" s="879"/>
      <c r="TDV1515" s="879"/>
      <c r="TDW1515" s="879"/>
      <c r="TDX1515" s="879"/>
      <c r="TDY1515" s="879"/>
      <c r="TDZ1515" s="879"/>
      <c r="TEA1515" s="879"/>
      <c r="TEB1515" s="879"/>
      <c r="TEC1515" s="879"/>
      <c r="TED1515" s="879"/>
      <c r="TEE1515" s="879"/>
      <c r="TEF1515" s="879"/>
      <c r="TEG1515" s="879"/>
      <c r="TEH1515" s="879"/>
      <c r="TEI1515" s="879"/>
      <c r="TEJ1515" s="879"/>
      <c r="TEK1515" s="879"/>
      <c r="TEL1515" s="879"/>
      <c r="TEM1515" s="879"/>
      <c r="TEN1515" s="879"/>
      <c r="TEO1515" s="879"/>
      <c r="TEP1515" s="879"/>
      <c r="TEQ1515" s="879"/>
      <c r="TER1515" s="879"/>
      <c r="TES1515" s="879"/>
      <c r="TET1515" s="879"/>
      <c r="TEU1515" s="879"/>
      <c r="TEV1515" s="879"/>
      <c r="TEW1515" s="879"/>
      <c r="TEX1515" s="879"/>
      <c r="TEY1515" s="879"/>
      <c r="TEZ1515" s="879"/>
      <c r="TFA1515" s="879"/>
      <c r="TFB1515" s="879"/>
      <c r="TFC1515" s="879"/>
      <c r="TFD1515" s="879"/>
      <c r="TFE1515" s="879"/>
      <c r="TFF1515" s="879"/>
      <c r="TFG1515" s="879"/>
      <c r="TFH1515" s="879"/>
      <c r="TFI1515" s="879"/>
      <c r="TFJ1515" s="879"/>
      <c r="TFK1515" s="879"/>
      <c r="TFL1515" s="879"/>
      <c r="TFM1515" s="879"/>
      <c r="TFN1515" s="879"/>
      <c r="TFO1515" s="879"/>
      <c r="TFP1515" s="879"/>
      <c r="TFQ1515" s="879"/>
      <c r="TFR1515" s="879"/>
      <c r="TFS1515" s="879"/>
      <c r="TFT1515" s="879"/>
      <c r="TFU1515" s="879"/>
      <c r="TFV1515" s="879"/>
      <c r="TFW1515" s="879"/>
      <c r="TFX1515" s="879"/>
      <c r="TFY1515" s="879"/>
      <c r="TFZ1515" s="879"/>
      <c r="TGA1515" s="879"/>
      <c r="TGB1515" s="879"/>
      <c r="TGC1515" s="879"/>
      <c r="TGD1515" s="879"/>
      <c r="TGE1515" s="879"/>
      <c r="TGF1515" s="879"/>
      <c r="TGG1515" s="879"/>
      <c r="TGH1515" s="879"/>
      <c r="TGI1515" s="879"/>
      <c r="TGJ1515" s="879"/>
      <c r="TGK1515" s="879"/>
      <c r="TGL1515" s="879"/>
      <c r="TGM1515" s="879"/>
      <c r="TGN1515" s="879"/>
      <c r="TGO1515" s="879"/>
      <c r="TGP1515" s="879"/>
      <c r="TGQ1515" s="879"/>
      <c r="TGR1515" s="879"/>
      <c r="TGS1515" s="879"/>
      <c r="TGT1515" s="879"/>
      <c r="TGU1515" s="879"/>
      <c r="TGV1515" s="879"/>
      <c r="TGW1515" s="879"/>
      <c r="TGX1515" s="879"/>
      <c r="TGY1515" s="879"/>
      <c r="TGZ1515" s="879"/>
      <c r="THA1515" s="879"/>
      <c r="THB1515" s="879"/>
      <c r="THC1515" s="879"/>
      <c r="THD1515" s="879"/>
      <c r="THE1515" s="879"/>
      <c r="THF1515" s="879"/>
      <c r="THG1515" s="879"/>
      <c r="THH1515" s="879"/>
      <c r="THI1515" s="879"/>
      <c r="THJ1515" s="879"/>
      <c r="THK1515" s="879"/>
      <c r="THL1515" s="879"/>
      <c r="THM1515" s="879"/>
      <c r="THN1515" s="879"/>
      <c r="THO1515" s="879"/>
      <c r="THP1515" s="879"/>
      <c r="THQ1515" s="879"/>
      <c r="THR1515" s="879"/>
      <c r="THS1515" s="879"/>
      <c r="THT1515" s="879"/>
      <c r="THU1515" s="879"/>
      <c r="THV1515" s="879"/>
      <c r="THW1515" s="879"/>
      <c r="THX1515" s="879"/>
      <c r="THY1515" s="879"/>
      <c r="THZ1515" s="879"/>
      <c r="TIA1515" s="879"/>
      <c r="TIB1515" s="879"/>
      <c r="TIC1515" s="879"/>
      <c r="TID1515" s="879"/>
      <c r="TIE1515" s="879"/>
      <c r="TIF1515" s="879"/>
      <c r="TIG1515" s="879"/>
      <c r="TIH1515" s="879"/>
      <c r="TII1515" s="879"/>
      <c r="TIJ1515" s="879"/>
      <c r="TIK1515" s="879"/>
      <c r="TIL1515" s="879"/>
      <c r="TIM1515" s="879"/>
      <c r="TIN1515" s="879"/>
      <c r="TIO1515" s="879"/>
      <c r="TIP1515" s="879"/>
      <c r="TIQ1515" s="879"/>
      <c r="TIR1515" s="879"/>
      <c r="TIS1515" s="879"/>
      <c r="TIT1515" s="879"/>
      <c r="TIU1515" s="879"/>
      <c r="TIV1515" s="879"/>
      <c r="TIW1515" s="879"/>
      <c r="TIX1515" s="879"/>
      <c r="TIY1515" s="879"/>
      <c r="TIZ1515" s="879"/>
      <c r="TJA1515" s="879"/>
      <c r="TJB1515" s="879"/>
      <c r="TJC1515" s="879"/>
      <c r="TJD1515" s="879"/>
      <c r="TJE1515" s="879"/>
      <c r="TJF1515" s="879"/>
      <c r="TJG1515" s="879"/>
      <c r="TJH1515" s="879"/>
      <c r="TJI1515" s="879"/>
      <c r="TJJ1515" s="879"/>
      <c r="TJK1515" s="879"/>
      <c r="TJL1515" s="879"/>
      <c r="TJM1515" s="879"/>
      <c r="TJN1515" s="879"/>
      <c r="TJO1515" s="879"/>
      <c r="TJP1515" s="879"/>
      <c r="TJQ1515" s="879"/>
      <c r="TJR1515" s="879"/>
      <c r="TJS1515" s="879"/>
      <c r="TJT1515" s="879"/>
      <c r="TJU1515" s="879"/>
      <c r="TJV1515" s="879"/>
      <c r="TJW1515" s="879"/>
      <c r="TJX1515" s="879"/>
      <c r="TJY1515" s="879"/>
      <c r="TJZ1515" s="879"/>
      <c r="TKA1515" s="879"/>
      <c r="TKB1515" s="879"/>
      <c r="TKC1515" s="879"/>
      <c r="TKD1515" s="879"/>
      <c r="TKE1515" s="879"/>
      <c r="TKF1515" s="879"/>
      <c r="TKG1515" s="879"/>
      <c r="TKH1515" s="879"/>
      <c r="TKI1515" s="879"/>
      <c r="TKJ1515" s="879"/>
      <c r="TKK1515" s="879"/>
      <c r="TKL1515" s="879"/>
      <c r="TKM1515" s="879"/>
      <c r="TKN1515" s="879"/>
      <c r="TKO1515" s="879"/>
      <c r="TKP1515" s="879"/>
      <c r="TKQ1515" s="879"/>
      <c r="TKR1515" s="879"/>
      <c r="TKS1515" s="879"/>
      <c r="TKT1515" s="879"/>
      <c r="TKU1515" s="879"/>
      <c r="TKV1515" s="879"/>
      <c r="TKW1515" s="879"/>
      <c r="TKX1515" s="879"/>
      <c r="TKY1515" s="879"/>
      <c r="TKZ1515" s="879"/>
      <c r="TLA1515" s="879"/>
      <c r="TLB1515" s="879"/>
      <c r="TLC1515" s="879"/>
      <c r="TLD1515" s="879"/>
      <c r="TLE1515" s="879"/>
      <c r="TLF1515" s="879"/>
      <c r="TLG1515" s="879"/>
      <c r="TLH1515" s="879"/>
      <c r="TLI1515" s="879"/>
      <c r="TLJ1515" s="879"/>
      <c r="TLK1515" s="879"/>
      <c r="TLL1515" s="879"/>
      <c r="TLM1515" s="879"/>
      <c r="TLN1515" s="879"/>
      <c r="TLO1515" s="879"/>
      <c r="TLP1515" s="879"/>
      <c r="TLQ1515" s="879"/>
      <c r="TLR1515" s="879"/>
      <c r="TLS1515" s="879"/>
      <c r="TLT1515" s="879"/>
      <c r="TLU1515" s="879"/>
      <c r="TLV1515" s="879"/>
      <c r="TLW1515" s="879"/>
      <c r="TLX1515" s="879"/>
      <c r="TLY1515" s="879"/>
      <c r="TLZ1515" s="879"/>
      <c r="TMA1515" s="879"/>
      <c r="TMB1515" s="879"/>
      <c r="TMC1515" s="879"/>
      <c r="TMD1515" s="879"/>
      <c r="TME1515" s="879"/>
      <c r="TMF1515" s="879"/>
      <c r="TMG1515" s="879"/>
      <c r="TMH1515" s="879"/>
      <c r="TMI1515" s="879"/>
      <c r="TMJ1515" s="879"/>
      <c r="TMK1515" s="879"/>
      <c r="TML1515" s="879"/>
      <c r="TMM1515" s="879"/>
      <c r="TMN1515" s="879"/>
      <c r="TMO1515" s="879"/>
      <c r="TMP1515" s="879"/>
      <c r="TMQ1515" s="879"/>
      <c r="TMR1515" s="879"/>
      <c r="TMS1515" s="879"/>
      <c r="TMT1515" s="879"/>
      <c r="TMU1515" s="879"/>
      <c r="TMV1515" s="879"/>
      <c r="TMW1515" s="879"/>
      <c r="TMX1515" s="879"/>
      <c r="TMY1515" s="879"/>
      <c r="TMZ1515" s="879"/>
      <c r="TNA1515" s="879"/>
      <c r="TNB1515" s="879"/>
      <c r="TNC1515" s="879"/>
      <c r="TND1515" s="879"/>
      <c r="TNE1515" s="879"/>
      <c r="TNF1515" s="879"/>
      <c r="TNG1515" s="879"/>
      <c r="TNH1515" s="879"/>
      <c r="TNI1515" s="879"/>
      <c r="TNJ1515" s="879"/>
      <c r="TNK1515" s="879"/>
      <c r="TNL1515" s="879"/>
      <c r="TNM1515" s="879"/>
      <c r="TNN1515" s="879"/>
      <c r="TNO1515" s="879"/>
      <c r="TNP1515" s="879"/>
      <c r="TNQ1515" s="879"/>
      <c r="TNR1515" s="879"/>
      <c r="TNS1515" s="879"/>
      <c r="TNT1515" s="879"/>
      <c r="TNU1515" s="879"/>
      <c r="TNV1515" s="879"/>
      <c r="TNW1515" s="879"/>
      <c r="TNX1515" s="879"/>
      <c r="TNY1515" s="879"/>
      <c r="TNZ1515" s="879"/>
      <c r="TOA1515" s="879"/>
      <c r="TOB1515" s="879"/>
      <c r="TOC1515" s="879"/>
      <c r="TOD1515" s="879"/>
      <c r="TOE1515" s="879"/>
      <c r="TOF1515" s="879"/>
      <c r="TOG1515" s="879"/>
      <c r="TOH1515" s="879"/>
      <c r="TOI1515" s="879"/>
      <c r="TOJ1515" s="879"/>
      <c r="TOK1515" s="879"/>
      <c r="TOL1515" s="879"/>
      <c r="TOM1515" s="879"/>
      <c r="TON1515" s="879"/>
      <c r="TOO1515" s="879"/>
      <c r="TOP1515" s="879"/>
      <c r="TOQ1515" s="879"/>
      <c r="TOR1515" s="879"/>
      <c r="TOS1515" s="879"/>
      <c r="TOT1515" s="879"/>
      <c r="TOU1515" s="879"/>
      <c r="TOV1515" s="879"/>
      <c r="TOW1515" s="879"/>
      <c r="TOX1515" s="879"/>
      <c r="TOY1515" s="879"/>
      <c r="TOZ1515" s="879"/>
      <c r="TPA1515" s="879"/>
      <c r="TPB1515" s="879"/>
      <c r="TPC1515" s="879"/>
      <c r="TPD1515" s="879"/>
      <c r="TPE1515" s="879"/>
      <c r="TPF1515" s="879"/>
      <c r="TPG1515" s="879"/>
      <c r="TPH1515" s="879"/>
      <c r="TPI1515" s="879"/>
      <c r="TPJ1515" s="879"/>
      <c r="TPK1515" s="879"/>
      <c r="TPL1515" s="879"/>
      <c r="TPM1515" s="879"/>
      <c r="TPN1515" s="879"/>
      <c r="TPO1515" s="879"/>
      <c r="TPP1515" s="879"/>
      <c r="TPQ1515" s="879"/>
      <c r="TPR1515" s="879"/>
      <c r="TPS1515" s="879"/>
      <c r="TPT1515" s="879"/>
      <c r="TPU1515" s="879"/>
      <c r="TPV1515" s="879"/>
      <c r="TPW1515" s="879"/>
      <c r="TPX1515" s="879"/>
      <c r="TPY1515" s="879"/>
      <c r="TPZ1515" s="879"/>
      <c r="TQA1515" s="879"/>
      <c r="TQB1515" s="879"/>
      <c r="TQC1515" s="879"/>
      <c r="TQD1515" s="879"/>
      <c r="TQE1515" s="879"/>
      <c r="TQF1515" s="879"/>
      <c r="TQG1515" s="879"/>
      <c r="TQH1515" s="879"/>
      <c r="TQI1515" s="879"/>
      <c r="TQJ1515" s="879"/>
      <c r="TQK1515" s="879"/>
      <c r="TQL1515" s="879"/>
      <c r="TQM1515" s="879"/>
      <c r="TQN1515" s="879"/>
      <c r="TQO1515" s="879"/>
      <c r="TQP1515" s="879"/>
      <c r="TQQ1515" s="879"/>
      <c r="TQR1515" s="879"/>
      <c r="TQS1515" s="879"/>
      <c r="TQT1515" s="879"/>
      <c r="TQU1515" s="879"/>
      <c r="TQV1515" s="879"/>
      <c r="TQW1515" s="879"/>
      <c r="TQX1515" s="879"/>
      <c r="TQY1515" s="879"/>
      <c r="TQZ1515" s="879"/>
      <c r="TRA1515" s="879"/>
      <c r="TRB1515" s="879"/>
      <c r="TRC1515" s="879"/>
      <c r="TRD1515" s="879"/>
      <c r="TRE1515" s="879"/>
      <c r="TRF1515" s="879"/>
      <c r="TRG1515" s="879"/>
      <c r="TRH1515" s="879"/>
      <c r="TRI1515" s="879"/>
      <c r="TRJ1515" s="879"/>
      <c r="TRK1515" s="879"/>
      <c r="TRL1515" s="879"/>
      <c r="TRM1515" s="879"/>
      <c r="TRN1515" s="879"/>
      <c r="TRO1515" s="879"/>
      <c r="TRP1515" s="879"/>
      <c r="TRQ1515" s="879"/>
      <c r="TRR1515" s="879"/>
      <c r="TRS1515" s="879"/>
      <c r="TRT1515" s="879"/>
      <c r="TRU1515" s="879"/>
      <c r="TRV1515" s="879"/>
      <c r="TRW1515" s="879"/>
      <c r="TRX1515" s="879"/>
      <c r="TRY1515" s="879"/>
      <c r="TRZ1515" s="879"/>
      <c r="TSA1515" s="879"/>
      <c r="TSB1515" s="879"/>
      <c r="TSC1515" s="879"/>
      <c r="TSD1515" s="879"/>
      <c r="TSE1515" s="879"/>
      <c r="TSF1515" s="879"/>
      <c r="TSG1515" s="879"/>
      <c r="TSH1515" s="879"/>
      <c r="TSI1515" s="879"/>
      <c r="TSJ1515" s="879"/>
      <c r="TSK1515" s="879"/>
      <c r="TSL1515" s="879"/>
      <c r="TSM1515" s="879"/>
      <c r="TSN1515" s="879"/>
      <c r="TSO1515" s="879"/>
      <c r="TSP1515" s="879"/>
      <c r="TSQ1515" s="879"/>
      <c r="TSR1515" s="879"/>
      <c r="TSS1515" s="879"/>
      <c r="TST1515" s="879"/>
      <c r="TSU1515" s="879"/>
      <c r="TSV1515" s="879"/>
      <c r="TSW1515" s="879"/>
      <c r="TSX1515" s="879"/>
      <c r="TSY1515" s="879"/>
      <c r="TSZ1515" s="879"/>
      <c r="TTA1515" s="879"/>
      <c r="TTB1515" s="879"/>
      <c r="TTC1515" s="879"/>
      <c r="TTD1515" s="879"/>
      <c r="TTE1515" s="879"/>
      <c r="TTF1515" s="879"/>
      <c r="TTG1515" s="879"/>
      <c r="TTH1515" s="879"/>
      <c r="TTI1515" s="879"/>
      <c r="TTJ1515" s="879"/>
      <c r="TTK1515" s="879"/>
      <c r="TTL1515" s="879"/>
      <c r="TTM1515" s="879"/>
      <c r="TTN1515" s="879"/>
      <c r="TTO1515" s="879"/>
      <c r="TTP1515" s="879"/>
      <c r="TTQ1515" s="879"/>
      <c r="TTR1515" s="879"/>
      <c r="TTS1515" s="879"/>
      <c r="TTT1515" s="879"/>
      <c r="TTU1515" s="879"/>
      <c r="TTV1515" s="879"/>
      <c r="TTW1515" s="879"/>
      <c r="TTX1515" s="879"/>
      <c r="TTY1515" s="879"/>
      <c r="TTZ1515" s="879"/>
      <c r="TUA1515" s="879"/>
      <c r="TUB1515" s="879"/>
      <c r="TUC1515" s="879"/>
      <c r="TUD1515" s="879"/>
      <c r="TUE1515" s="879"/>
      <c r="TUF1515" s="879"/>
      <c r="TUG1515" s="879"/>
      <c r="TUH1515" s="879"/>
      <c r="TUI1515" s="879"/>
      <c r="TUJ1515" s="879"/>
      <c r="TUK1515" s="879"/>
      <c r="TUL1515" s="879"/>
      <c r="TUM1515" s="879"/>
      <c r="TUN1515" s="879"/>
      <c r="TUO1515" s="879"/>
      <c r="TUP1515" s="879"/>
      <c r="TUQ1515" s="879"/>
      <c r="TUR1515" s="879"/>
      <c r="TUS1515" s="879"/>
      <c r="TUT1515" s="879"/>
      <c r="TUU1515" s="879"/>
      <c r="TUV1515" s="879"/>
      <c r="TUW1515" s="879"/>
      <c r="TUX1515" s="879"/>
      <c r="TUY1515" s="879"/>
      <c r="TUZ1515" s="879"/>
      <c r="TVA1515" s="879"/>
      <c r="TVB1515" s="879"/>
      <c r="TVC1515" s="879"/>
      <c r="TVD1515" s="879"/>
      <c r="TVE1515" s="879"/>
      <c r="TVF1515" s="879"/>
      <c r="TVG1515" s="879"/>
      <c r="TVH1515" s="879"/>
      <c r="TVI1515" s="879"/>
      <c r="TVJ1515" s="879"/>
      <c r="TVK1515" s="879"/>
      <c r="TVL1515" s="879"/>
      <c r="TVM1515" s="879"/>
      <c r="TVN1515" s="879"/>
      <c r="TVO1515" s="879"/>
      <c r="TVP1515" s="879"/>
      <c r="TVQ1515" s="879"/>
      <c r="TVR1515" s="879"/>
      <c r="TVS1515" s="879"/>
      <c r="TVT1515" s="879"/>
      <c r="TVU1515" s="879"/>
      <c r="TVV1515" s="879"/>
      <c r="TVW1515" s="879"/>
      <c r="TVX1515" s="879"/>
      <c r="TVY1515" s="879"/>
      <c r="TVZ1515" s="879"/>
      <c r="TWA1515" s="879"/>
      <c r="TWB1515" s="879"/>
      <c r="TWC1515" s="879"/>
      <c r="TWD1515" s="879"/>
      <c r="TWE1515" s="879"/>
      <c r="TWF1515" s="879"/>
      <c r="TWG1515" s="879"/>
      <c r="TWH1515" s="879"/>
      <c r="TWI1515" s="879"/>
      <c r="TWJ1515" s="879"/>
      <c r="TWK1515" s="879"/>
      <c r="TWL1515" s="879"/>
      <c r="TWM1515" s="879"/>
      <c r="TWN1515" s="879"/>
      <c r="TWO1515" s="879"/>
      <c r="TWP1515" s="879"/>
      <c r="TWQ1515" s="879"/>
      <c r="TWR1515" s="879"/>
      <c r="TWS1515" s="879"/>
      <c r="TWT1515" s="879"/>
      <c r="TWU1515" s="879"/>
      <c r="TWV1515" s="879"/>
      <c r="TWW1515" s="879"/>
      <c r="TWX1515" s="879"/>
      <c r="TWY1515" s="879"/>
      <c r="TWZ1515" s="879"/>
      <c r="TXA1515" s="879"/>
      <c r="TXB1515" s="879"/>
      <c r="TXC1515" s="879"/>
      <c r="TXD1515" s="879"/>
      <c r="TXE1515" s="879"/>
      <c r="TXF1515" s="879"/>
      <c r="TXG1515" s="879"/>
      <c r="TXH1515" s="879"/>
      <c r="TXI1515" s="879"/>
      <c r="TXJ1515" s="879"/>
      <c r="TXK1515" s="879"/>
      <c r="TXL1515" s="879"/>
      <c r="TXM1515" s="879"/>
      <c r="TXN1515" s="879"/>
      <c r="TXO1515" s="879"/>
      <c r="TXP1515" s="879"/>
      <c r="TXQ1515" s="879"/>
      <c r="TXR1515" s="879"/>
      <c r="TXS1515" s="879"/>
      <c r="TXT1515" s="879"/>
      <c r="TXU1515" s="879"/>
      <c r="TXV1515" s="879"/>
      <c r="TXW1515" s="879"/>
      <c r="TXX1515" s="879"/>
      <c r="TXY1515" s="879"/>
      <c r="TXZ1515" s="879"/>
      <c r="TYA1515" s="879"/>
      <c r="TYB1515" s="879"/>
      <c r="TYC1515" s="879"/>
      <c r="TYD1515" s="879"/>
      <c r="TYE1515" s="879"/>
      <c r="TYF1515" s="879"/>
      <c r="TYG1515" s="879"/>
      <c r="TYH1515" s="879"/>
      <c r="TYI1515" s="879"/>
      <c r="TYJ1515" s="879"/>
      <c r="TYK1515" s="879"/>
      <c r="TYL1515" s="879"/>
      <c r="TYM1515" s="879"/>
      <c r="TYN1515" s="879"/>
      <c r="TYO1515" s="879"/>
      <c r="TYP1515" s="879"/>
      <c r="TYQ1515" s="879"/>
      <c r="TYR1515" s="879"/>
      <c r="TYS1515" s="879"/>
      <c r="TYT1515" s="879"/>
      <c r="TYU1515" s="879"/>
      <c r="TYV1515" s="879"/>
      <c r="TYW1515" s="879"/>
      <c r="TYX1515" s="879"/>
      <c r="TYY1515" s="879"/>
      <c r="TYZ1515" s="879"/>
      <c r="TZA1515" s="879"/>
      <c r="TZB1515" s="879"/>
      <c r="TZC1515" s="879"/>
      <c r="TZD1515" s="879"/>
      <c r="TZE1515" s="879"/>
      <c r="TZF1515" s="879"/>
      <c r="TZG1515" s="879"/>
      <c r="TZH1515" s="879"/>
      <c r="TZI1515" s="879"/>
      <c r="TZJ1515" s="879"/>
      <c r="TZK1515" s="879"/>
      <c r="TZL1515" s="879"/>
      <c r="TZM1515" s="879"/>
      <c r="TZN1515" s="879"/>
      <c r="TZO1515" s="879"/>
      <c r="TZP1515" s="879"/>
      <c r="TZQ1515" s="879"/>
      <c r="TZR1515" s="879"/>
      <c r="TZS1515" s="879"/>
      <c r="TZT1515" s="879"/>
      <c r="TZU1515" s="879"/>
      <c r="TZV1515" s="879"/>
      <c r="TZW1515" s="879"/>
      <c r="TZX1515" s="879"/>
      <c r="TZY1515" s="879"/>
      <c r="TZZ1515" s="879"/>
      <c r="UAA1515" s="879"/>
      <c r="UAB1515" s="879"/>
      <c r="UAC1515" s="879"/>
      <c r="UAD1515" s="879"/>
      <c r="UAE1515" s="879"/>
      <c r="UAF1515" s="879"/>
      <c r="UAG1515" s="879"/>
      <c r="UAH1515" s="879"/>
      <c r="UAI1515" s="879"/>
      <c r="UAJ1515" s="879"/>
      <c r="UAK1515" s="879"/>
      <c r="UAL1515" s="879"/>
      <c r="UAM1515" s="879"/>
      <c r="UAN1515" s="879"/>
      <c r="UAO1515" s="879"/>
      <c r="UAP1515" s="879"/>
      <c r="UAQ1515" s="879"/>
      <c r="UAR1515" s="879"/>
      <c r="UAS1515" s="879"/>
      <c r="UAT1515" s="879"/>
      <c r="UAU1515" s="879"/>
      <c r="UAV1515" s="879"/>
      <c r="UAW1515" s="879"/>
      <c r="UAX1515" s="879"/>
      <c r="UAY1515" s="879"/>
      <c r="UAZ1515" s="879"/>
      <c r="UBA1515" s="879"/>
      <c r="UBB1515" s="879"/>
      <c r="UBC1515" s="879"/>
      <c r="UBD1515" s="879"/>
      <c r="UBE1515" s="879"/>
      <c r="UBF1515" s="879"/>
      <c r="UBG1515" s="879"/>
      <c r="UBH1515" s="879"/>
      <c r="UBI1515" s="879"/>
      <c r="UBJ1515" s="879"/>
      <c r="UBK1515" s="879"/>
      <c r="UBL1515" s="879"/>
      <c r="UBM1515" s="879"/>
      <c r="UBN1515" s="879"/>
      <c r="UBO1515" s="879"/>
      <c r="UBP1515" s="879"/>
      <c r="UBQ1515" s="879"/>
      <c r="UBR1515" s="879"/>
      <c r="UBS1515" s="879"/>
      <c r="UBT1515" s="879"/>
      <c r="UBU1515" s="879"/>
      <c r="UBV1515" s="879"/>
      <c r="UBW1515" s="879"/>
      <c r="UBX1515" s="879"/>
      <c r="UBY1515" s="879"/>
      <c r="UBZ1515" s="879"/>
      <c r="UCA1515" s="879"/>
      <c r="UCB1515" s="879"/>
      <c r="UCC1515" s="879"/>
      <c r="UCD1515" s="879"/>
      <c r="UCE1515" s="879"/>
      <c r="UCF1515" s="879"/>
      <c r="UCG1515" s="879"/>
      <c r="UCH1515" s="879"/>
      <c r="UCI1515" s="879"/>
      <c r="UCJ1515" s="879"/>
      <c r="UCK1515" s="879"/>
      <c r="UCL1515" s="879"/>
      <c r="UCM1515" s="879"/>
      <c r="UCN1515" s="879"/>
      <c r="UCO1515" s="879"/>
      <c r="UCP1515" s="879"/>
      <c r="UCQ1515" s="879"/>
      <c r="UCR1515" s="879"/>
      <c r="UCS1515" s="879"/>
      <c r="UCT1515" s="879"/>
      <c r="UCU1515" s="879"/>
      <c r="UCV1515" s="879"/>
      <c r="UCW1515" s="879"/>
      <c r="UCX1515" s="879"/>
      <c r="UCY1515" s="879"/>
      <c r="UCZ1515" s="879"/>
      <c r="UDA1515" s="879"/>
      <c r="UDB1515" s="879"/>
      <c r="UDC1515" s="879"/>
      <c r="UDD1515" s="879"/>
      <c r="UDE1515" s="879"/>
      <c r="UDF1515" s="879"/>
      <c r="UDG1515" s="879"/>
      <c r="UDH1515" s="879"/>
      <c r="UDI1515" s="879"/>
      <c r="UDJ1515" s="879"/>
      <c r="UDK1515" s="879"/>
      <c r="UDL1515" s="879"/>
      <c r="UDM1515" s="879"/>
      <c r="UDN1515" s="879"/>
      <c r="UDO1515" s="879"/>
      <c r="UDP1515" s="879"/>
      <c r="UDQ1515" s="879"/>
      <c r="UDR1515" s="879"/>
      <c r="UDS1515" s="879"/>
      <c r="UDT1515" s="879"/>
      <c r="UDU1515" s="879"/>
      <c r="UDV1515" s="879"/>
      <c r="UDW1515" s="879"/>
      <c r="UDX1515" s="879"/>
      <c r="UDY1515" s="879"/>
      <c r="UDZ1515" s="879"/>
      <c r="UEA1515" s="879"/>
      <c r="UEB1515" s="879"/>
      <c r="UEC1515" s="879"/>
      <c r="UED1515" s="879"/>
      <c r="UEE1515" s="879"/>
      <c r="UEF1515" s="879"/>
      <c r="UEG1515" s="879"/>
      <c r="UEH1515" s="879"/>
      <c r="UEI1515" s="879"/>
      <c r="UEJ1515" s="879"/>
      <c r="UEK1515" s="879"/>
      <c r="UEL1515" s="879"/>
      <c r="UEM1515" s="879"/>
      <c r="UEN1515" s="879"/>
      <c r="UEO1515" s="879"/>
      <c r="UEP1515" s="879"/>
      <c r="UEQ1515" s="879"/>
      <c r="UER1515" s="879"/>
      <c r="UES1515" s="879"/>
      <c r="UET1515" s="879"/>
      <c r="UEU1515" s="879"/>
      <c r="UEV1515" s="879"/>
      <c r="UEW1515" s="879"/>
      <c r="UEX1515" s="879"/>
      <c r="UEY1515" s="879"/>
      <c r="UEZ1515" s="879"/>
      <c r="UFA1515" s="879"/>
      <c r="UFB1515" s="879"/>
      <c r="UFC1515" s="879"/>
      <c r="UFD1515" s="879"/>
      <c r="UFE1515" s="879"/>
      <c r="UFF1515" s="879"/>
      <c r="UFG1515" s="879"/>
      <c r="UFH1515" s="879"/>
      <c r="UFI1515" s="879"/>
      <c r="UFJ1515" s="879"/>
      <c r="UFK1515" s="879"/>
      <c r="UFL1515" s="879"/>
      <c r="UFM1515" s="879"/>
      <c r="UFN1515" s="879"/>
      <c r="UFO1515" s="879"/>
      <c r="UFP1515" s="879"/>
      <c r="UFQ1515" s="879"/>
      <c r="UFR1515" s="879"/>
      <c r="UFS1515" s="879"/>
      <c r="UFT1515" s="879"/>
      <c r="UFU1515" s="879"/>
      <c r="UFV1515" s="879"/>
      <c r="UFW1515" s="879"/>
      <c r="UFX1515" s="879"/>
      <c r="UFY1515" s="879"/>
      <c r="UFZ1515" s="879"/>
      <c r="UGA1515" s="879"/>
      <c r="UGB1515" s="879"/>
      <c r="UGC1515" s="879"/>
      <c r="UGD1515" s="879"/>
      <c r="UGE1515" s="879"/>
      <c r="UGF1515" s="879"/>
      <c r="UGG1515" s="879"/>
      <c r="UGH1515" s="879"/>
      <c r="UGI1515" s="879"/>
      <c r="UGJ1515" s="879"/>
      <c r="UGK1515" s="879"/>
      <c r="UGL1515" s="879"/>
      <c r="UGM1515" s="879"/>
      <c r="UGN1515" s="879"/>
      <c r="UGO1515" s="879"/>
      <c r="UGP1515" s="879"/>
      <c r="UGQ1515" s="879"/>
      <c r="UGR1515" s="879"/>
      <c r="UGS1515" s="879"/>
      <c r="UGT1515" s="879"/>
      <c r="UGU1515" s="879"/>
      <c r="UGV1515" s="879"/>
      <c r="UGW1515" s="879"/>
      <c r="UGX1515" s="879"/>
      <c r="UGY1515" s="879"/>
      <c r="UGZ1515" s="879"/>
      <c r="UHA1515" s="879"/>
      <c r="UHB1515" s="879"/>
      <c r="UHC1515" s="879"/>
      <c r="UHD1515" s="879"/>
      <c r="UHE1515" s="879"/>
      <c r="UHF1515" s="879"/>
      <c r="UHG1515" s="879"/>
      <c r="UHH1515" s="879"/>
      <c r="UHI1515" s="879"/>
      <c r="UHJ1515" s="879"/>
      <c r="UHK1515" s="879"/>
      <c r="UHL1515" s="879"/>
      <c r="UHM1515" s="879"/>
      <c r="UHN1515" s="879"/>
      <c r="UHO1515" s="879"/>
      <c r="UHP1515" s="879"/>
      <c r="UHQ1515" s="879"/>
      <c r="UHR1515" s="879"/>
      <c r="UHS1515" s="879"/>
      <c r="UHT1515" s="879"/>
      <c r="UHU1515" s="879"/>
      <c r="UHV1515" s="879"/>
      <c r="UHW1515" s="879"/>
      <c r="UHX1515" s="879"/>
      <c r="UHY1515" s="879"/>
      <c r="UHZ1515" s="879"/>
      <c r="UIA1515" s="879"/>
      <c r="UIB1515" s="879"/>
      <c r="UIC1515" s="879"/>
      <c r="UID1515" s="879"/>
      <c r="UIE1515" s="879"/>
      <c r="UIF1515" s="879"/>
      <c r="UIG1515" s="879"/>
      <c r="UIH1515" s="879"/>
      <c r="UII1515" s="879"/>
      <c r="UIJ1515" s="879"/>
      <c r="UIK1515" s="879"/>
      <c r="UIL1515" s="879"/>
      <c r="UIM1515" s="879"/>
      <c r="UIN1515" s="879"/>
      <c r="UIO1515" s="879"/>
      <c r="UIP1515" s="879"/>
      <c r="UIQ1515" s="879"/>
      <c r="UIR1515" s="879"/>
      <c r="UIS1515" s="879"/>
      <c r="UIT1515" s="879"/>
      <c r="UIU1515" s="879"/>
      <c r="UIV1515" s="879"/>
      <c r="UIW1515" s="879"/>
      <c r="UIX1515" s="879"/>
      <c r="UIY1515" s="879"/>
      <c r="UIZ1515" s="879"/>
      <c r="UJA1515" s="879"/>
      <c r="UJB1515" s="879"/>
      <c r="UJC1515" s="879"/>
      <c r="UJD1515" s="879"/>
      <c r="UJE1515" s="879"/>
      <c r="UJF1515" s="879"/>
      <c r="UJG1515" s="879"/>
      <c r="UJH1515" s="879"/>
      <c r="UJI1515" s="879"/>
      <c r="UJJ1515" s="879"/>
      <c r="UJK1515" s="879"/>
      <c r="UJL1515" s="879"/>
      <c r="UJM1515" s="879"/>
      <c r="UJN1515" s="879"/>
      <c r="UJO1515" s="879"/>
      <c r="UJP1515" s="879"/>
      <c r="UJQ1515" s="879"/>
      <c r="UJR1515" s="879"/>
      <c r="UJS1515" s="879"/>
      <c r="UJT1515" s="879"/>
      <c r="UJU1515" s="879"/>
      <c r="UJV1515" s="879"/>
      <c r="UJW1515" s="879"/>
      <c r="UJX1515" s="879"/>
      <c r="UJY1515" s="879"/>
      <c r="UJZ1515" s="879"/>
      <c r="UKA1515" s="879"/>
      <c r="UKB1515" s="879"/>
      <c r="UKC1515" s="879"/>
      <c r="UKD1515" s="879"/>
      <c r="UKE1515" s="879"/>
      <c r="UKF1515" s="879"/>
      <c r="UKG1515" s="879"/>
      <c r="UKH1515" s="879"/>
      <c r="UKI1515" s="879"/>
      <c r="UKJ1515" s="879"/>
      <c r="UKK1515" s="879"/>
      <c r="UKL1515" s="879"/>
      <c r="UKM1515" s="879"/>
      <c r="UKN1515" s="879"/>
      <c r="UKO1515" s="879"/>
      <c r="UKP1515" s="879"/>
      <c r="UKQ1515" s="879"/>
      <c r="UKR1515" s="879"/>
      <c r="UKS1515" s="879"/>
      <c r="UKT1515" s="879"/>
      <c r="UKU1515" s="879"/>
      <c r="UKV1515" s="879"/>
      <c r="UKW1515" s="879"/>
      <c r="UKX1515" s="879"/>
      <c r="UKY1515" s="879"/>
      <c r="UKZ1515" s="879"/>
      <c r="ULA1515" s="879"/>
      <c r="ULB1515" s="879"/>
      <c r="ULC1515" s="879"/>
      <c r="ULD1515" s="879"/>
      <c r="ULE1515" s="879"/>
      <c r="ULF1515" s="879"/>
      <c r="ULG1515" s="879"/>
      <c r="ULH1515" s="879"/>
      <c r="ULI1515" s="879"/>
      <c r="ULJ1515" s="879"/>
      <c r="ULK1515" s="879"/>
      <c r="ULL1515" s="879"/>
      <c r="ULM1515" s="879"/>
      <c r="ULN1515" s="879"/>
      <c r="ULO1515" s="879"/>
      <c r="ULP1515" s="879"/>
      <c r="ULQ1515" s="879"/>
      <c r="ULR1515" s="879"/>
      <c r="ULS1515" s="879"/>
      <c r="ULT1515" s="879"/>
      <c r="ULU1515" s="879"/>
      <c r="ULV1515" s="879"/>
      <c r="ULW1515" s="879"/>
      <c r="ULX1515" s="879"/>
      <c r="ULY1515" s="879"/>
      <c r="ULZ1515" s="879"/>
      <c r="UMA1515" s="879"/>
      <c r="UMB1515" s="879"/>
      <c r="UMC1515" s="879"/>
      <c r="UMD1515" s="879"/>
      <c r="UME1515" s="879"/>
      <c r="UMF1515" s="879"/>
      <c r="UMG1515" s="879"/>
      <c r="UMH1515" s="879"/>
      <c r="UMI1515" s="879"/>
      <c r="UMJ1515" s="879"/>
      <c r="UMK1515" s="879"/>
      <c r="UML1515" s="879"/>
      <c r="UMM1515" s="879"/>
      <c r="UMN1515" s="879"/>
      <c r="UMO1515" s="879"/>
      <c r="UMP1515" s="879"/>
      <c r="UMQ1515" s="879"/>
      <c r="UMR1515" s="879"/>
      <c r="UMS1515" s="879"/>
      <c r="UMT1515" s="879"/>
      <c r="UMU1515" s="879"/>
      <c r="UMV1515" s="879"/>
      <c r="UMW1515" s="879"/>
      <c r="UMX1515" s="879"/>
      <c r="UMY1515" s="879"/>
      <c r="UMZ1515" s="879"/>
      <c r="UNA1515" s="879"/>
      <c r="UNB1515" s="879"/>
      <c r="UNC1515" s="879"/>
      <c r="UND1515" s="879"/>
      <c r="UNE1515" s="879"/>
      <c r="UNF1515" s="879"/>
      <c r="UNG1515" s="879"/>
      <c r="UNH1515" s="879"/>
      <c r="UNI1515" s="879"/>
      <c r="UNJ1515" s="879"/>
      <c r="UNK1515" s="879"/>
      <c r="UNL1515" s="879"/>
      <c r="UNM1515" s="879"/>
      <c r="UNN1515" s="879"/>
      <c r="UNO1515" s="879"/>
      <c r="UNP1515" s="879"/>
      <c r="UNQ1515" s="879"/>
      <c r="UNR1515" s="879"/>
      <c r="UNS1515" s="879"/>
      <c r="UNT1515" s="879"/>
      <c r="UNU1515" s="879"/>
      <c r="UNV1515" s="879"/>
      <c r="UNW1515" s="879"/>
      <c r="UNX1515" s="879"/>
      <c r="UNY1515" s="879"/>
      <c r="UNZ1515" s="879"/>
      <c r="UOA1515" s="879"/>
      <c r="UOB1515" s="879"/>
      <c r="UOC1515" s="879"/>
      <c r="UOD1515" s="879"/>
      <c r="UOE1515" s="879"/>
      <c r="UOF1515" s="879"/>
      <c r="UOG1515" s="879"/>
      <c r="UOH1515" s="879"/>
      <c r="UOI1515" s="879"/>
      <c r="UOJ1515" s="879"/>
      <c r="UOK1515" s="879"/>
      <c r="UOL1515" s="879"/>
      <c r="UOM1515" s="879"/>
      <c r="UON1515" s="879"/>
      <c r="UOO1515" s="879"/>
      <c r="UOP1515" s="879"/>
      <c r="UOQ1515" s="879"/>
      <c r="UOR1515" s="879"/>
      <c r="UOS1515" s="879"/>
      <c r="UOT1515" s="879"/>
      <c r="UOU1515" s="879"/>
      <c r="UOV1515" s="879"/>
      <c r="UOW1515" s="879"/>
      <c r="UOX1515" s="879"/>
      <c r="UOY1515" s="879"/>
      <c r="UOZ1515" s="879"/>
      <c r="UPA1515" s="879"/>
      <c r="UPB1515" s="879"/>
      <c r="UPC1515" s="879"/>
      <c r="UPD1515" s="879"/>
      <c r="UPE1515" s="879"/>
      <c r="UPF1515" s="879"/>
      <c r="UPG1515" s="879"/>
      <c r="UPH1515" s="879"/>
      <c r="UPI1515" s="879"/>
      <c r="UPJ1515" s="879"/>
      <c r="UPK1515" s="879"/>
      <c r="UPL1515" s="879"/>
      <c r="UPM1515" s="879"/>
      <c r="UPN1515" s="879"/>
      <c r="UPO1515" s="879"/>
      <c r="UPP1515" s="879"/>
      <c r="UPQ1515" s="879"/>
      <c r="UPR1515" s="879"/>
      <c r="UPS1515" s="879"/>
      <c r="UPT1515" s="879"/>
      <c r="UPU1515" s="879"/>
      <c r="UPV1515" s="879"/>
      <c r="UPW1515" s="879"/>
      <c r="UPX1515" s="879"/>
      <c r="UPY1515" s="879"/>
      <c r="UPZ1515" s="879"/>
      <c r="UQA1515" s="879"/>
      <c r="UQB1515" s="879"/>
      <c r="UQC1515" s="879"/>
      <c r="UQD1515" s="879"/>
      <c r="UQE1515" s="879"/>
      <c r="UQF1515" s="879"/>
      <c r="UQG1515" s="879"/>
      <c r="UQH1515" s="879"/>
      <c r="UQI1515" s="879"/>
      <c r="UQJ1515" s="879"/>
      <c r="UQK1515" s="879"/>
      <c r="UQL1515" s="879"/>
      <c r="UQM1515" s="879"/>
      <c r="UQN1515" s="879"/>
      <c r="UQO1515" s="879"/>
      <c r="UQP1515" s="879"/>
      <c r="UQQ1515" s="879"/>
      <c r="UQR1515" s="879"/>
      <c r="UQS1515" s="879"/>
      <c r="UQT1515" s="879"/>
      <c r="UQU1515" s="879"/>
      <c r="UQV1515" s="879"/>
      <c r="UQW1515" s="879"/>
      <c r="UQX1515" s="879"/>
      <c r="UQY1515" s="879"/>
      <c r="UQZ1515" s="879"/>
      <c r="URA1515" s="879"/>
      <c r="URB1515" s="879"/>
      <c r="URC1515" s="879"/>
      <c r="URD1515" s="879"/>
      <c r="URE1515" s="879"/>
      <c r="URF1515" s="879"/>
      <c r="URG1515" s="879"/>
      <c r="URH1515" s="879"/>
      <c r="URI1515" s="879"/>
      <c r="URJ1515" s="879"/>
      <c r="URK1515" s="879"/>
      <c r="URL1515" s="879"/>
      <c r="URM1515" s="879"/>
      <c r="URN1515" s="879"/>
      <c r="URO1515" s="879"/>
      <c r="URP1515" s="879"/>
      <c r="URQ1515" s="879"/>
      <c r="URR1515" s="879"/>
      <c r="URS1515" s="879"/>
      <c r="URT1515" s="879"/>
      <c r="URU1515" s="879"/>
      <c r="URV1515" s="879"/>
      <c r="URW1515" s="879"/>
      <c r="URX1515" s="879"/>
      <c r="URY1515" s="879"/>
      <c r="URZ1515" s="879"/>
      <c r="USA1515" s="879"/>
      <c r="USB1515" s="879"/>
      <c r="USC1515" s="879"/>
      <c r="USD1515" s="879"/>
      <c r="USE1515" s="879"/>
      <c r="USF1515" s="879"/>
      <c r="USG1515" s="879"/>
      <c r="USH1515" s="879"/>
      <c r="USI1515" s="879"/>
      <c r="USJ1515" s="879"/>
      <c r="USK1515" s="879"/>
      <c r="USL1515" s="879"/>
      <c r="USM1515" s="879"/>
      <c r="USN1515" s="879"/>
      <c r="USO1515" s="879"/>
      <c r="USP1515" s="879"/>
      <c r="USQ1515" s="879"/>
      <c r="USR1515" s="879"/>
      <c r="USS1515" s="879"/>
      <c r="UST1515" s="879"/>
      <c r="USU1515" s="879"/>
      <c r="USV1515" s="879"/>
      <c r="USW1515" s="879"/>
      <c r="USX1515" s="879"/>
      <c r="USY1515" s="879"/>
      <c r="USZ1515" s="879"/>
      <c r="UTA1515" s="879"/>
      <c r="UTB1515" s="879"/>
      <c r="UTC1515" s="879"/>
      <c r="UTD1515" s="879"/>
      <c r="UTE1515" s="879"/>
      <c r="UTF1515" s="879"/>
      <c r="UTG1515" s="879"/>
      <c r="UTH1515" s="879"/>
      <c r="UTI1515" s="879"/>
      <c r="UTJ1515" s="879"/>
      <c r="UTK1515" s="879"/>
      <c r="UTL1515" s="879"/>
      <c r="UTM1515" s="879"/>
      <c r="UTN1515" s="879"/>
      <c r="UTO1515" s="879"/>
      <c r="UTP1515" s="879"/>
      <c r="UTQ1515" s="879"/>
      <c r="UTR1515" s="879"/>
      <c r="UTS1515" s="879"/>
      <c r="UTT1515" s="879"/>
      <c r="UTU1515" s="879"/>
      <c r="UTV1515" s="879"/>
      <c r="UTW1515" s="879"/>
      <c r="UTX1515" s="879"/>
      <c r="UTY1515" s="879"/>
      <c r="UTZ1515" s="879"/>
      <c r="UUA1515" s="879"/>
      <c r="UUB1515" s="879"/>
      <c r="UUC1515" s="879"/>
      <c r="UUD1515" s="879"/>
      <c r="UUE1515" s="879"/>
      <c r="UUF1515" s="879"/>
      <c r="UUG1515" s="879"/>
      <c r="UUH1515" s="879"/>
      <c r="UUI1515" s="879"/>
      <c r="UUJ1515" s="879"/>
      <c r="UUK1515" s="879"/>
      <c r="UUL1515" s="879"/>
      <c r="UUM1515" s="879"/>
      <c r="UUN1515" s="879"/>
      <c r="UUO1515" s="879"/>
      <c r="UUP1515" s="879"/>
      <c r="UUQ1515" s="879"/>
      <c r="UUR1515" s="879"/>
      <c r="UUS1515" s="879"/>
      <c r="UUT1515" s="879"/>
      <c r="UUU1515" s="879"/>
      <c r="UUV1515" s="879"/>
      <c r="UUW1515" s="879"/>
      <c r="UUX1515" s="879"/>
      <c r="UUY1515" s="879"/>
      <c r="UUZ1515" s="879"/>
      <c r="UVA1515" s="879"/>
      <c r="UVB1515" s="879"/>
      <c r="UVC1515" s="879"/>
      <c r="UVD1515" s="879"/>
      <c r="UVE1515" s="879"/>
      <c r="UVF1515" s="879"/>
      <c r="UVG1515" s="879"/>
      <c r="UVH1515" s="879"/>
      <c r="UVI1515" s="879"/>
      <c r="UVJ1515" s="879"/>
      <c r="UVK1515" s="879"/>
      <c r="UVL1515" s="879"/>
      <c r="UVM1515" s="879"/>
      <c r="UVN1515" s="879"/>
      <c r="UVO1515" s="879"/>
      <c r="UVP1515" s="879"/>
      <c r="UVQ1515" s="879"/>
      <c r="UVR1515" s="879"/>
      <c r="UVS1515" s="879"/>
      <c r="UVT1515" s="879"/>
      <c r="UVU1515" s="879"/>
      <c r="UVV1515" s="879"/>
      <c r="UVW1515" s="879"/>
      <c r="UVX1515" s="879"/>
      <c r="UVY1515" s="879"/>
      <c r="UVZ1515" s="879"/>
      <c r="UWA1515" s="879"/>
      <c r="UWB1515" s="879"/>
      <c r="UWC1515" s="879"/>
      <c r="UWD1515" s="879"/>
      <c r="UWE1515" s="879"/>
      <c r="UWF1515" s="879"/>
      <c r="UWG1515" s="879"/>
      <c r="UWH1515" s="879"/>
      <c r="UWI1515" s="879"/>
      <c r="UWJ1515" s="879"/>
      <c r="UWK1515" s="879"/>
      <c r="UWL1515" s="879"/>
      <c r="UWM1515" s="879"/>
      <c r="UWN1515" s="879"/>
      <c r="UWO1515" s="879"/>
      <c r="UWP1515" s="879"/>
      <c r="UWQ1515" s="879"/>
      <c r="UWR1515" s="879"/>
      <c r="UWS1515" s="879"/>
      <c r="UWT1515" s="879"/>
      <c r="UWU1515" s="879"/>
      <c r="UWV1515" s="879"/>
      <c r="UWW1515" s="879"/>
      <c r="UWX1515" s="879"/>
      <c r="UWY1515" s="879"/>
      <c r="UWZ1515" s="879"/>
      <c r="UXA1515" s="879"/>
      <c r="UXB1515" s="879"/>
      <c r="UXC1515" s="879"/>
      <c r="UXD1515" s="879"/>
      <c r="UXE1515" s="879"/>
      <c r="UXF1515" s="879"/>
      <c r="UXG1515" s="879"/>
      <c r="UXH1515" s="879"/>
      <c r="UXI1515" s="879"/>
      <c r="UXJ1515" s="879"/>
      <c r="UXK1515" s="879"/>
      <c r="UXL1515" s="879"/>
      <c r="UXM1515" s="879"/>
      <c r="UXN1515" s="879"/>
      <c r="UXO1515" s="879"/>
      <c r="UXP1515" s="879"/>
      <c r="UXQ1515" s="879"/>
      <c r="UXR1515" s="879"/>
      <c r="UXS1515" s="879"/>
      <c r="UXT1515" s="879"/>
      <c r="UXU1515" s="879"/>
      <c r="UXV1515" s="879"/>
      <c r="UXW1515" s="879"/>
      <c r="UXX1515" s="879"/>
      <c r="UXY1515" s="879"/>
      <c r="UXZ1515" s="879"/>
      <c r="UYA1515" s="879"/>
      <c r="UYB1515" s="879"/>
      <c r="UYC1515" s="879"/>
      <c r="UYD1515" s="879"/>
      <c r="UYE1515" s="879"/>
      <c r="UYF1515" s="879"/>
      <c r="UYG1515" s="879"/>
      <c r="UYH1515" s="879"/>
      <c r="UYI1515" s="879"/>
      <c r="UYJ1515" s="879"/>
      <c r="UYK1515" s="879"/>
      <c r="UYL1515" s="879"/>
      <c r="UYM1515" s="879"/>
      <c r="UYN1515" s="879"/>
      <c r="UYO1515" s="879"/>
      <c r="UYP1515" s="879"/>
      <c r="UYQ1515" s="879"/>
      <c r="UYR1515" s="879"/>
      <c r="UYS1515" s="879"/>
      <c r="UYT1515" s="879"/>
      <c r="UYU1515" s="879"/>
      <c r="UYV1515" s="879"/>
      <c r="UYW1515" s="879"/>
      <c r="UYX1515" s="879"/>
      <c r="UYY1515" s="879"/>
      <c r="UYZ1515" s="879"/>
      <c r="UZA1515" s="879"/>
      <c r="UZB1515" s="879"/>
      <c r="UZC1515" s="879"/>
      <c r="UZD1515" s="879"/>
      <c r="UZE1515" s="879"/>
      <c r="UZF1515" s="879"/>
      <c r="UZG1515" s="879"/>
      <c r="UZH1515" s="879"/>
      <c r="UZI1515" s="879"/>
      <c r="UZJ1515" s="879"/>
      <c r="UZK1515" s="879"/>
      <c r="UZL1515" s="879"/>
      <c r="UZM1515" s="879"/>
      <c r="UZN1515" s="879"/>
      <c r="UZO1515" s="879"/>
      <c r="UZP1515" s="879"/>
      <c r="UZQ1515" s="879"/>
      <c r="UZR1515" s="879"/>
      <c r="UZS1515" s="879"/>
      <c r="UZT1515" s="879"/>
      <c r="UZU1515" s="879"/>
      <c r="UZV1515" s="879"/>
      <c r="UZW1515" s="879"/>
      <c r="UZX1515" s="879"/>
      <c r="UZY1515" s="879"/>
      <c r="UZZ1515" s="879"/>
      <c r="VAA1515" s="879"/>
      <c r="VAB1515" s="879"/>
      <c r="VAC1515" s="879"/>
      <c r="VAD1515" s="879"/>
      <c r="VAE1515" s="879"/>
      <c r="VAF1515" s="879"/>
      <c r="VAG1515" s="879"/>
      <c r="VAH1515" s="879"/>
      <c r="VAI1515" s="879"/>
      <c r="VAJ1515" s="879"/>
      <c r="VAK1515" s="879"/>
      <c r="VAL1515" s="879"/>
      <c r="VAM1515" s="879"/>
      <c r="VAN1515" s="879"/>
      <c r="VAO1515" s="879"/>
      <c r="VAP1515" s="879"/>
      <c r="VAQ1515" s="879"/>
      <c r="VAR1515" s="879"/>
      <c r="VAS1515" s="879"/>
      <c r="VAT1515" s="879"/>
      <c r="VAU1515" s="879"/>
      <c r="VAV1515" s="879"/>
      <c r="VAW1515" s="879"/>
      <c r="VAX1515" s="879"/>
      <c r="VAY1515" s="879"/>
      <c r="VAZ1515" s="879"/>
      <c r="VBA1515" s="879"/>
      <c r="VBB1515" s="879"/>
      <c r="VBC1515" s="879"/>
      <c r="VBD1515" s="879"/>
      <c r="VBE1515" s="879"/>
      <c r="VBF1515" s="879"/>
      <c r="VBG1515" s="879"/>
      <c r="VBH1515" s="879"/>
      <c r="VBI1515" s="879"/>
      <c r="VBJ1515" s="879"/>
      <c r="VBK1515" s="879"/>
      <c r="VBL1515" s="879"/>
      <c r="VBM1515" s="879"/>
      <c r="VBN1515" s="879"/>
      <c r="VBO1515" s="879"/>
      <c r="VBP1515" s="879"/>
      <c r="VBQ1515" s="879"/>
      <c r="VBR1515" s="879"/>
      <c r="VBS1515" s="879"/>
      <c r="VBT1515" s="879"/>
      <c r="VBU1515" s="879"/>
      <c r="VBV1515" s="879"/>
      <c r="VBW1515" s="879"/>
      <c r="VBX1515" s="879"/>
      <c r="VBY1515" s="879"/>
      <c r="VBZ1515" s="879"/>
      <c r="VCA1515" s="879"/>
      <c r="VCB1515" s="879"/>
      <c r="VCC1515" s="879"/>
      <c r="VCD1515" s="879"/>
      <c r="VCE1515" s="879"/>
      <c r="VCF1515" s="879"/>
      <c r="VCG1515" s="879"/>
      <c r="VCH1515" s="879"/>
      <c r="VCI1515" s="879"/>
      <c r="VCJ1515" s="879"/>
      <c r="VCK1515" s="879"/>
      <c r="VCL1515" s="879"/>
      <c r="VCM1515" s="879"/>
      <c r="VCN1515" s="879"/>
      <c r="VCO1515" s="879"/>
      <c r="VCP1515" s="879"/>
      <c r="VCQ1515" s="879"/>
      <c r="VCR1515" s="879"/>
      <c r="VCS1515" s="879"/>
      <c r="VCT1515" s="879"/>
      <c r="VCU1515" s="879"/>
      <c r="VCV1515" s="879"/>
      <c r="VCW1515" s="879"/>
      <c r="VCX1515" s="879"/>
      <c r="VCY1515" s="879"/>
      <c r="VCZ1515" s="879"/>
      <c r="VDA1515" s="879"/>
      <c r="VDB1515" s="879"/>
      <c r="VDC1515" s="879"/>
      <c r="VDD1515" s="879"/>
      <c r="VDE1515" s="879"/>
      <c r="VDF1515" s="879"/>
      <c r="VDG1515" s="879"/>
      <c r="VDH1515" s="879"/>
      <c r="VDI1515" s="879"/>
      <c r="VDJ1515" s="879"/>
      <c r="VDK1515" s="879"/>
      <c r="VDL1515" s="879"/>
      <c r="VDM1515" s="879"/>
      <c r="VDN1515" s="879"/>
      <c r="VDO1515" s="879"/>
      <c r="VDP1515" s="879"/>
      <c r="VDQ1515" s="879"/>
      <c r="VDR1515" s="879"/>
      <c r="VDS1515" s="879"/>
      <c r="VDT1515" s="879"/>
      <c r="VDU1515" s="879"/>
      <c r="VDV1515" s="879"/>
      <c r="VDW1515" s="879"/>
      <c r="VDX1515" s="879"/>
      <c r="VDY1515" s="879"/>
      <c r="VDZ1515" s="879"/>
      <c r="VEA1515" s="879"/>
      <c r="VEB1515" s="879"/>
      <c r="VEC1515" s="879"/>
      <c r="VED1515" s="879"/>
      <c r="VEE1515" s="879"/>
      <c r="VEF1515" s="879"/>
      <c r="VEG1515" s="879"/>
      <c r="VEH1515" s="879"/>
      <c r="VEI1515" s="879"/>
      <c r="VEJ1515" s="879"/>
      <c r="VEK1515" s="879"/>
      <c r="VEL1515" s="879"/>
      <c r="VEM1515" s="879"/>
      <c r="VEN1515" s="879"/>
      <c r="VEO1515" s="879"/>
      <c r="VEP1515" s="879"/>
      <c r="VEQ1515" s="879"/>
      <c r="VER1515" s="879"/>
      <c r="VES1515" s="879"/>
      <c r="VET1515" s="879"/>
      <c r="VEU1515" s="879"/>
      <c r="VEV1515" s="879"/>
      <c r="VEW1515" s="879"/>
      <c r="VEX1515" s="879"/>
      <c r="VEY1515" s="879"/>
      <c r="VEZ1515" s="879"/>
      <c r="VFA1515" s="879"/>
      <c r="VFB1515" s="879"/>
      <c r="VFC1515" s="879"/>
      <c r="VFD1515" s="879"/>
      <c r="VFE1515" s="879"/>
      <c r="VFF1515" s="879"/>
      <c r="VFG1515" s="879"/>
      <c r="VFH1515" s="879"/>
      <c r="VFI1515" s="879"/>
      <c r="VFJ1515" s="879"/>
      <c r="VFK1515" s="879"/>
      <c r="VFL1515" s="879"/>
      <c r="VFM1515" s="879"/>
      <c r="VFN1515" s="879"/>
      <c r="VFO1515" s="879"/>
      <c r="VFP1515" s="879"/>
      <c r="VFQ1515" s="879"/>
      <c r="VFR1515" s="879"/>
      <c r="VFS1515" s="879"/>
      <c r="VFT1515" s="879"/>
      <c r="VFU1515" s="879"/>
      <c r="VFV1515" s="879"/>
      <c r="VFW1515" s="879"/>
      <c r="VFX1515" s="879"/>
      <c r="VFY1515" s="879"/>
      <c r="VFZ1515" s="879"/>
      <c r="VGA1515" s="879"/>
      <c r="VGB1515" s="879"/>
      <c r="VGC1515" s="879"/>
      <c r="VGD1515" s="879"/>
      <c r="VGE1515" s="879"/>
      <c r="VGF1515" s="879"/>
      <c r="VGG1515" s="879"/>
      <c r="VGH1515" s="879"/>
      <c r="VGI1515" s="879"/>
      <c r="VGJ1515" s="879"/>
      <c r="VGK1515" s="879"/>
      <c r="VGL1515" s="879"/>
      <c r="VGM1515" s="879"/>
      <c r="VGN1515" s="879"/>
      <c r="VGO1515" s="879"/>
      <c r="VGP1515" s="879"/>
      <c r="VGQ1515" s="879"/>
      <c r="VGR1515" s="879"/>
      <c r="VGS1515" s="879"/>
      <c r="VGT1515" s="879"/>
      <c r="VGU1515" s="879"/>
      <c r="VGV1515" s="879"/>
      <c r="VGW1515" s="879"/>
      <c r="VGX1515" s="879"/>
      <c r="VGY1515" s="879"/>
      <c r="VGZ1515" s="879"/>
      <c r="VHA1515" s="879"/>
      <c r="VHB1515" s="879"/>
      <c r="VHC1515" s="879"/>
      <c r="VHD1515" s="879"/>
      <c r="VHE1515" s="879"/>
      <c r="VHF1515" s="879"/>
      <c r="VHG1515" s="879"/>
      <c r="VHH1515" s="879"/>
      <c r="VHI1515" s="879"/>
      <c r="VHJ1515" s="879"/>
      <c r="VHK1515" s="879"/>
      <c r="VHL1515" s="879"/>
      <c r="VHM1515" s="879"/>
      <c r="VHN1515" s="879"/>
      <c r="VHO1515" s="879"/>
      <c r="VHP1515" s="879"/>
      <c r="VHQ1515" s="879"/>
      <c r="VHR1515" s="879"/>
      <c r="VHS1515" s="879"/>
      <c r="VHT1515" s="879"/>
      <c r="VHU1515" s="879"/>
      <c r="VHV1515" s="879"/>
      <c r="VHW1515" s="879"/>
      <c r="VHX1515" s="879"/>
      <c r="VHY1515" s="879"/>
      <c r="VHZ1515" s="879"/>
      <c r="VIA1515" s="879"/>
      <c r="VIB1515" s="879"/>
      <c r="VIC1515" s="879"/>
      <c r="VID1515" s="879"/>
      <c r="VIE1515" s="879"/>
      <c r="VIF1515" s="879"/>
      <c r="VIG1515" s="879"/>
      <c r="VIH1515" s="879"/>
      <c r="VII1515" s="879"/>
      <c r="VIJ1515" s="879"/>
      <c r="VIK1515" s="879"/>
      <c r="VIL1515" s="879"/>
      <c r="VIM1515" s="879"/>
      <c r="VIN1515" s="879"/>
      <c r="VIO1515" s="879"/>
      <c r="VIP1515" s="879"/>
      <c r="VIQ1515" s="879"/>
      <c r="VIR1515" s="879"/>
      <c r="VIS1515" s="879"/>
      <c r="VIT1515" s="879"/>
      <c r="VIU1515" s="879"/>
      <c r="VIV1515" s="879"/>
      <c r="VIW1515" s="879"/>
      <c r="VIX1515" s="879"/>
      <c r="VIY1515" s="879"/>
      <c r="VIZ1515" s="879"/>
      <c r="VJA1515" s="879"/>
      <c r="VJB1515" s="879"/>
      <c r="VJC1515" s="879"/>
      <c r="VJD1515" s="879"/>
      <c r="VJE1515" s="879"/>
      <c r="VJF1515" s="879"/>
      <c r="VJG1515" s="879"/>
      <c r="VJH1515" s="879"/>
      <c r="VJI1515" s="879"/>
      <c r="VJJ1515" s="879"/>
      <c r="VJK1515" s="879"/>
      <c r="VJL1515" s="879"/>
      <c r="VJM1515" s="879"/>
      <c r="VJN1515" s="879"/>
      <c r="VJO1515" s="879"/>
      <c r="VJP1515" s="879"/>
      <c r="VJQ1515" s="879"/>
      <c r="VJR1515" s="879"/>
      <c r="VJS1515" s="879"/>
      <c r="VJT1515" s="879"/>
      <c r="VJU1515" s="879"/>
      <c r="VJV1515" s="879"/>
      <c r="VJW1515" s="879"/>
      <c r="VJX1515" s="879"/>
      <c r="VJY1515" s="879"/>
      <c r="VJZ1515" s="879"/>
      <c r="VKA1515" s="879"/>
      <c r="VKB1515" s="879"/>
      <c r="VKC1515" s="879"/>
      <c r="VKD1515" s="879"/>
      <c r="VKE1515" s="879"/>
      <c r="VKF1515" s="879"/>
      <c r="VKG1515" s="879"/>
      <c r="VKH1515" s="879"/>
      <c r="VKI1515" s="879"/>
      <c r="VKJ1515" s="879"/>
      <c r="VKK1515" s="879"/>
      <c r="VKL1515" s="879"/>
      <c r="VKM1515" s="879"/>
      <c r="VKN1515" s="879"/>
      <c r="VKO1515" s="879"/>
      <c r="VKP1515" s="879"/>
      <c r="VKQ1515" s="879"/>
      <c r="VKR1515" s="879"/>
      <c r="VKS1515" s="879"/>
      <c r="VKT1515" s="879"/>
      <c r="VKU1515" s="879"/>
      <c r="VKV1515" s="879"/>
      <c r="VKW1515" s="879"/>
      <c r="VKX1515" s="879"/>
      <c r="VKY1515" s="879"/>
      <c r="VKZ1515" s="879"/>
      <c r="VLA1515" s="879"/>
      <c r="VLB1515" s="879"/>
      <c r="VLC1515" s="879"/>
      <c r="VLD1515" s="879"/>
      <c r="VLE1515" s="879"/>
      <c r="VLF1515" s="879"/>
      <c r="VLG1515" s="879"/>
      <c r="VLH1515" s="879"/>
      <c r="VLI1515" s="879"/>
      <c r="VLJ1515" s="879"/>
      <c r="VLK1515" s="879"/>
      <c r="VLL1515" s="879"/>
      <c r="VLM1515" s="879"/>
      <c r="VLN1515" s="879"/>
      <c r="VLO1515" s="879"/>
      <c r="VLP1515" s="879"/>
      <c r="VLQ1515" s="879"/>
      <c r="VLR1515" s="879"/>
      <c r="VLS1515" s="879"/>
      <c r="VLT1515" s="879"/>
      <c r="VLU1515" s="879"/>
      <c r="VLV1515" s="879"/>
      <c r="VLW1515" s="879"/>
      <c r="VLX1515" s="879"/>
      <c r="VLY1515" s="879"/>
      <c r="VLZ1515" s="879"/>
      <c r="VMA1515" s="879"/>
      <c r="VMB1515" s="879"/>
      <c r="VMC1515" s="879"/>
      <c r="VMD1515" s="879"/>
      <c r="VME1515" s="879"/>
      <c r="VMF1515" s="879"/>
      <c r="VMG1515" s="879"/>
      <c r="VMH1515" s="879"/>
      <c r="VMI1515" s="879"/>
      <c r="VMJ1515" s="879"/>
      <c r="VMK1515" s="879"/>
      <c r="VML1515" s="879"/>
      <c r="VMM1515" s="879"/>
      <c r="VMN1515" s="879"/>
      <c r="VMO1515" s="879"/>
      <c r="VMP1515" s="879"/>
      <c r="VMQ1515" s="879"/>
      <c r="VMR1515" s="879"/>
      <c r="VMS1515" s="879"/>
      <c r="VMT1515" s="879"/>
      <c r="VMU1515" s="879"/>
      <c r="VMV1515" s="879"/>
      <c r="VMW1515" s="879"/>
      <c r="VMX1515" s="879"/>
      <c r="VMY1515" s="879"/>
      <c r="VMZ1515" s="879"/>
      <c r="VNA1515" s="879"/>
      <c r="VNB1515" s="879"/>
      <c r="VNC1515" s="879"/>
      <c r="VND1515" s="879"/>
      <c r="VNE1515" s="879"/>
      <c r="VNF1515" s="879"/>
      <c r="VNG1515" s="879"/>
      <c r="VNH1515" s="879"/>
      <c r="VNI1515" s="879"/>
      <c r="VNJ1515" s="879"/>
      <c r="VNK1515" s="879"/>
      <c r="VNL1515" s="879"/>
      <c r="VNM1515" s="879"/>
      <c r="VNN1515" s="879"/>
      <c r="VNO1515" s="879"/>
      <c r="VNP1515" s="879"/>
      <c r="VNQ1515" s="879"/>
      <c r="VNR1515" s="879"/>
      <c r="VNS1515" s="879"/>
      <c r="VNT1515" s="879"/>
      <c r="VNU1515" s="879"/>
      <c r="VNV1515" s="879"/>
      <c r="VNW1515" s="879"/>
      <c r="VNX1515" s="879"/>
      <c r="VNY1515" s="879"/>
      <c r="VNZ1515" s="879"/>
      <c r="VOA1515" s="879"/>
      <c r="VOB1515" s="879"/>
      <c r="VOC1515" s="879"/>
      <c r="VOD1515" s="879"/>
      <c r="VOE1515" s="879"/>
      <c r="VOF1515" s="879"/>
      <c r="VOG1515" s="879"/>
      <c r="VOH1515" s="879"/>
      <c r="VOI1515" s="879"/>
      <c r="VOJ1515" s="879"/>
      <c r="VOK1515" s="879"/>
      <c r="VOL1515" s="879"/>
      <c r="VOM1515" s="879"/>
      <c r="VON1515" s="879"/>
      <c r="VOO1515" s="879"/>
      <c r="VOP1515" s="879"/>
      <c r="VOQ1515" s="879"/>
      <c r="VOR1515" s="879"/>
      <c r="VOS1515" s="879"/>
      <c r="VOT1515" s="879"/>
      <c r="VOU1515" s="879"/>
      <c r="VOV1515" s="879"/>
      <c r="VOW1515" s="879"/>
      <c r="VOX1515" s="879"/>
      <c r="VOY1515" s="879"/>
      <c r="VOZ1515" s="879"/>
      <c r="VPA1515" s="879"/>
      <c r="VPB1515" s="879"/>
      <c r="VPC1515" s="879"/>
      <c r="VPD1515" s="879"/>
      <c r="VPE1515" s="879"/>
      <c r="VPF1515" s="879"/>
      <c r="VPG1515" s="879"/>
      <c r="VPH1515" s="879"/>
      <c r="VPI1515" s="879"/>
      <c r="VPJ1515" s="879"/>
      <c r="VPK1515" s="879"/>
      <c r="VPL1515" s="879"/>
      <c r="VPM1515" s="879"/>
      <c r="VPN1515" s="879"/>
      <c r="VPO1515" s="879"/>
      <c r="VPP1515" s="879"/>
      <c r="VPQ1515" s="879"/>
      <c r="VPR1515" s="879"/>
      <c r="VPS1515" s="879"/>
      <c r="VPT1515" s="879"/>
      <c r="VPU1515" s="879"/>
      <c r="VPV1515" s="879"/>
      <c r="VPW1515" s="879"/>
      <c r="VPX1515" s="879"/>
      <c r="VPY1515" s="879"/>
      <c r="VPZ1515" s="879"/>
      <c r="VQA1515" s="879"/>
      <c r="VQB1515" s="879"/>
      <c r="VQC1515" s="879"/>
      <c r="VQD1515" s="879"/>
      <c r="VQE1515" s="879"/>
      <c r="VQF1515" s="879"/>
      <c r="VQG1515" s="879"/>
      <c r="VQH1515" s="879"/>
      <c r="VQI1515" s="879"/>
      <c r="VQJ1515" s="879"/>
      <c r="VQK1515" s="879"/>
      <c r="VQL1515" s="879"/>
      <c r="VQM1515" s="879"/>
      <c r="VQN1515" s="879"/>
      <c r="VQO1515" s="879"/>
      <c r="VQP1515" s="879"/>
      <c r="VQQ1515" s="879"/>
      <c r="VQR1515" s="879"/>
      <c r="VQS1515" s="879"/>
      <c r="VQT1515" s="879"/>
      <c r="VQU1515" s="879"/>
      <c r="VQV1515" s="879"/>
      <c r="VQW1515" s="879"/>
      <c r="VQX1515" s="879"/>
      <c r="VQY1515" s="879"/>
      <c r="VQZ1515" s="879"/>
      <c r="VRA1515" s="879"/>
      <c r="VRB1515" s="879"/>
      <c r="VRC1515" s="879"/>
      <c r="VRD1515" s="879"/>
      <c r="VRE1515" s="879"/>
      <c r="VRF1515" s="879"/>
      <c r="VRG1515" s="879"/>
      <c r="VRH1515" s="879"/>
      <c r="VRI1515" s="879"/>
      <c r="VRJ1515" s="879"/>
      <c r="VRK1515" s="879"/>
      <c r="VRL1515" s="879"/>
      <c r="VRM1515" s="879"/>
      <c r="VRN1515" s="879"/>
      <c r="VRO1515" s="879"/>
      <c r="VRP1515" s="879"/>
      <c r="VRQ1515" s="879"/>
      <c r="VRR1515" s="879"/>
      <c r="VRS1515" s="879"/>
      <c r="VRT1515" s="879"/>
      <c r="VRU1515" s="879"/>
      <c r="VRV1515" s="879"/>
      <c r="VRW1515" s="879"/>
      <c r="VRX1515" s="879"/>
      <c r="VRY1515" s="879"/>
      <c r="VRZ1515" s="879"/>
      <c r="VSA1515" s="879"/>
      <c r="VSB1515" s="879"/>
      <c r="VSC1515" s="879"/>
      <c r="VSD1515" s="879"/>
      <c r="VSE1515" s="879"/>
      <c r="VSF1515" s="879"/>
      <c r="VSG1515" s="879"/>
      <c r="VSH1515" s="879"/>
      <c r="VSI1515" s="879"/>
      <c r="VSJ1515" s="879"/>
      <c r="VSK1515" s="879"/>
      <c r="VSL1515" s="879"/>
      <c r="VSM1515" s="879"/>
      <c r="VSN1515" s="879"/>
      <c r="VSO1515" s="879"/>
      <c r="VSP1515" s="879"/>
      <c r="VSQ1515" s="879"/>
      <c r="VSR1515" s="879"/>
      <c r="VSS1515" s="879"/>
      <c r="VST1515" s="879"/>
      <c r="VSU1515" s="879"/>
      <c r="VSV1515" s="879"/>
      <c r="VSW1515" s="879"/>
      <c r="VSX1515" s="879"/>
      <c r="VSY1515" s="879"/>
      <c r="VSZ1515" s="879"/>
      <c r="VTA1515" s="879"/>
      <c r="VTB1515" s="879"/>
      <c r="VTC1515" s="879"/>
      <c r="VTD1515" s="879"/>
      <c r="VTE1515" s="879"/>
      <c r="VTF1515" s="879"/>
      <c r="VTG1515" s="879"/>
      <c r="VTH1515" s="879"/>
      <c r="VTI1515" s="879"/>
      <c r="VTJ1515" s="879"/>
      <c r="VTK1515" s="879"/>
      <c r="VTL1515" s="879"/>
      <c r="VTM1515" s="879"/>
      <c r="VTN1515" s="879"/>
      <c r="VTO1515" s="879"/>
      <c r="VTP1515" s="879"/>
      <c r="VTQ1515" s="879"/>
      <c r="VTR1515" s="879"/>
      <c r="VTS1515" s="879"/>
      <c r="VTT1515" s="879"/>
      <c r="VTU1515" s="879"/>
      <c r="VTV1515" s="879"/>
      <c r="VTW1515" s="879"/>
      <c r="VTX1515" s="879"/>
      <c r="VTY1515" s="879"/>
      <c r="VTZ1515" s="879"/>
      <c r="VUA1515" s="879"/>
      <c r="VUB1515" s="879"/>
      <c r="VUC1515" s="879"/>
      <c r="VUD1515" s="879"/>
      <c r="VUE1515" s="879"/>
      <c r="VUF1515" s="879"/>
      <c r="VUG1515" s="879"/>
      <c r="VUH1515" s="879"/>
      <c r="VUI1515" s="879"/>
      <c r="VUJ1515" s="879"/>
      <c r="VUK1515" s="879"/>
      <c r="VUL1515" s="879"/>
      <c r="VUM1515" s="879"/>
      <c r="VUN1515" s="879"/>
      <c r="VUO1515" s="879"/>
      <c r="VUP1515" s="879"/>
      <c r="VUQ1515" s="879"/>
      <c r="VUR1515" s="879"/>
      <c r="VUS1515" s="879"/>
      <c r="VUT1515" s="879"/>
      <c r="VUU1515" s="879"/>
      <c r="VUV1515" s="879"/>
      <c r="VUW1515" s="879"/>
      <c r="VUX1515" s="879"/>
      <c r="VUY1515" s="879"/>
      <c r="VUZ1515" s="879"/>
      <c r="VVA1515" s="879"/>
      <c r="VVB1515" s="879"/>
      <c r="VVC1515" s="879"/>
      <c r="VVD1515" s="879"/>
      <c r="VVE1515" s="879"/>
      <c r="VVF1515" s="879"/>
      <c r="VVG1515" s="879"/>
      <c r="VVH1515" s="879"/>
      <c r="VVI1515" s="879"/>
      <c r="VVJ1515" s="879"/>
      <c r="VVK1515" s="879"/>
      <c r="VVL1515" s="879"/>
      <c r="VVM1515" s="879"/>
      <c r="VVN1515" s="879"/>
      <c r="VVO1515" s="879"/>
      <c r="VVP1515" s="879"/>
      <c r="VVQ1515" s="879"/>
      <c r="VVR1515" s="879"/>
      <c r="VVS1515" s="879"/>
      <c r="VVT1515" s="879"/>
      <c r="VVU1515" s="879"/>
      <c r="VVV1515" s="879"/>
      <c r="VVW1515" s="879"/>
      <c r="VVX1515" s="879"/>
      <c r="VVY1515" s="879"/>
      <c r="VVZ1515" s="879"/>
      <c r="VWA1515" s="879"/>
      <c r="VWB1515" s="879"/>
      <c r="VWC1515" s="879"/>
      <c r="VWD1515" s="879"/>
      <c r="VWE1515" s="879"/>
      <c r="VWF1515" s="879"/>
      <c r="VWG1515" s="879"/>
      <c r="VWH1515" s="879"/>
      <c r="VWI1515" s="879"/>
      <c r="VWJ1515" s="879"/>
      <c r="VWK1515" s="879"/>
      <c r="VWL1515" s="879"/>
      <c r="VWM1515" s="879"/>
      <c r="VWN1515" s="879"/>
      <c r="VWO1515" s="879"/>
      <c r="VWP1515" s="879"/>
      <c r="VWQ1515" s="879"/>
      <c r="VWR1515" s="879"/>
      <c r="VWS1515" s="879"/>
      <c r="VWT1515" s="879"/>
      <c r="VWU1515" s="879"/>
      <c r="VWV1515" s="879"/>
      <c r="VWW1515" s="879"/>
      <c r="VWX1515" s="879"/>
      <c r="VWY1515" s="879"/>
      <c r="VWZ1515" s="879"/>
      <c r="VXA1515" s="879"/>
      <c r="VXB1515" s="879"/>
      <c r="VXC1515" s="879"/>
      <c r="VXD1515" s="879"/>
      <c r="VXE1515" s="879"/>
      <c r="VXF1515" s="879"/>
      <c r="VXG1515" s="879"/>
      <c r="VXH1515" s="879"/>
      <c r="VXI1515" s="879"/>
      <c r="VXJ1515" s="879"/>
      <c r="VXK1515" s="879"/>
      <c r="VXL1515" s="879"/>
      <c r="VXM1515" s="879"/>
      <c r="VXN1515" s="879"/>
      <c r="VXO1515" s="879"/>
      <c r="VXP1515" s="879"/>
      <c r="VXQ1515" s="879"/>
      <c r="VXR1515" s="879"/>
      <c r="VXS1515" s="879"/>
      <c r="VXT1515" s="879"/>
      <c r="VXU1515" s="879"/>
      <c r="VXV1515" s="879"/>
      <c r="VXW1515" s="879"/>
      <c r="VXX1515" s="879"/>
      <c r="VXY1515" s="879"/>
      <c r="VXZ1515" s="879"/>
      <c r="VYA1515" s="879"/>
      <c r="VYB1515" s="879"/>
      <c r="VYC1515" s="879"/>
      <c r="VYD1515" s="879"/>
      <c r="VYE1515" s="879"/>
      <c r="VYF1515" s="879"/>
      <c r="VYG1515" s="879"/>
      <c r="VYH1515" s="879"/>
      <c r="VYI1515" s="879"/>
      <c r="VYJ1515" s="879"/>
      <c r="VYK1515" s="879"/>
      <c r="VYL1515" s="879"/>
      <c r="VYM1515" s="879"/>
      <c r="VYN1515" s="879"/>
      <c r="VYO1515" s="879"/>
      <c r="VYP1515" s="879"/>
      <c r="VYQ1515" s="879"/>
      <c r="VYR1515" s="879"/>
      <c r="VYS1515" s="879"/>
      <c r="VYT1515" s="879"/>
      <c r="VYU1515" s="879"/>
      <c r="VYV1515" s="879"/>
      <c r="VYW1515" s="879"/>
      <c r="VYX1515" s="879"/>
      <c r="VYY1515" s="879"/>
      <c r="VYZ1515" s="879"/>
      <c r="VZA1515" s="879"/>
      <c r="VZB1515" s="879"/>
      <c r="VZC1515" s="879"/>
      <c r="VZD1515" s="879"/>
      <c r="VZE1515" s="879"/>
      <c r="VZF1515" s="879"/>
      <c r="VZG1515" s="879"/>
      <c r="VZH1515" s="879"/>
      <c r="VZI1515" s="879"/>
      <c r="VZJ1515" s="879"/>
      <c r="VZK1515" s="879"/>
      <c r="VZL1515" s="879"/>
      <c r="VZM1515" s="879"/>
      <c r="VZN1515" s="879"/>
      <c r="VZO1515" s="879"/>
      <c r="VZP1515" s="879"/>
      <c r="VZQ1515" s="879"/>
      <c r="VZR1515" s="879"/>
      <c r="VZS1515" s="879"/>
      <c r="VZT1515" s="879"/>
      <c r="VZU1515" s="879"/>
      <c r="VZV1515" s="879"/>
      <c r="VZW1515" s="879"/>
      <c r="VZX1515" s="879"/>
      <c r="VZY1515" s="879"/>
      <c r="VZZ1515" s="879"/>
      <c r="WAA1515" s="879"/>
      <c r="WAB1515" s="879"/>
      <c r="WAC1515" s="879"/>
      <c r="WAD1515" s="879"/>
      <c r="WAE1515" s="879"/>
      <c r="WAF1515" s="879"/>
      <c r="WAG1515" s="879"/>
      <c r="WAH1515" s="879"/>
      <c r="WAI1515" s="879"/>
      <c r="WAJ1515" s="879"/>
      <c r="WAK1515" s="879"/>
      <c r="WAL1515" s="879"/>
      <c r="WAM1515" s="879"/>
      <c r="WAN1515" s="879"/>
      <c r="WAO1515" s="879"/>
      <c r="WAP1515" s="879"/>
      <c r="WAQ1515" s="879"/>
      <c r="WAR1515" s="879"/>
      <c r="WAS1515" s="879"/>
      <c r="WAT1515" s="879"/>
      <c r="WAU1515" s="879"/>
      <c r="WAV1515" s="879"/>
      <c r="WAW1515" s="879"/>
      <c r="WAX1515" s="879"/>
      <c r="WAY1515" s="879"/>
      <c r="WAZ1515" s="879"/>
      <c r="WBA1515" s="879"/>
      <c r="WBB1515" s="879"/>
      <c r="WBC1515" s="879"/>
      <c r="WBD1515" s="879"/>
      <c r="WBE1515" s="879"/>
      <c r="WBF1515" s="879"/>
      <c r="WBG1515" s="879"/>
      <c r="WBH1515" s="879"/>
      <c r="WBI1515" s="879"/>
      <c r="WBJ1515" s="879"/>
      <c r="WBK1515" s="879"/>
      <c r="WBL1515" s="879"/>
      <c r="WBM1515" s="879"/>
      <c r="WBN1515" s="879"/>
      <c r="WBO1515" s="879"/>
      <c r="WBP1515" s="879"/>
      <c r="WBQ1515" s="879"/>
      <c r="WBR1515" s="879"/>
      <c r="WBS1515" s="879"/>
      <c r="WBT1515" s="879"/>
      <c r="WBU1515" s="879"/>
      <c r="WBV1515" s="879"/>
      <c r="WBW1515" s="879"/>
      <c r="WBX1515" s="879"/>
      <c r="WBY1515" s="879"/>
      <c r="WBZ1515" s="879"/>
      <c r="WCA1515" s="879"/>
      <c r="WCB1515" s="879"/>
      <c r="WCC1515" s="879"/>
      <c r="WCD1515" s="879"/>
      <c r="WCE1515" s="879"/>
      <c r="WCF1515" s="879"/>
      <c r="WCG1515" s="879"/>
      <c r="WCH1515" s="879"/>
      <c r="WCI1515" s="879"/>
      <c r="WCJ1515" s="879"/>
      <c r="WCK1515" s="879"/>
      <c r="WCL1515" s="879"/>
      <c r="WCM1515" s="879"/>
      <c r="WCN1515" s="879"/>
      <c r="WCO1515" s="879"/>
      <c r="WCP1515" s="879"/>
      <c r="WCQ1515" s="879"/>
      <c r="WCR1515" s="879"/>
      <c r="WCS1515" s="879"/>
      <c r="WCT1515" s="879"/>
      <c r="WCU1515" s="879"/>
      <c r="WCV1515" s="879"/>
      <c r="WCW1515" s="879"/>
      <c r="WCX1515" s="879"/>
      <c r="WCY1515" s="879"/>
      <c r="WCZ1515" s="879"/>
      <c r="WDA1515" s="879"/>
      <c r="WDB1515" s="879"/>
      <c r="WDC1515" s="879"/>
      <c r="WDD1515" s="879"/>
      <c r="WDE1515" s="879"/>
      <c r="WDF1515" s="879"/>
      <c r="WDG1515" s="879"/>
      <c r="WDH1515" s="879"/>
      <c r="WDI1515" s="879"/>
      <c r="WDJ1515" s="879"/>
      <c r="WDK1515" s="879"/>
      <c r="WDL1515" s="879"/>
      <c r="WDM1515" s="879"/>
      <c r="WDN1515" s="879"/>
      <c r="WDO1515" s="879"/>
      <c r="WDP1515" s="879"/>
      <c r="WDQ1515" s="879"/>
      <c r="WDR1515" s="879"/>
      <c r="WDS1515" s="879"/>
      <c r="WDT1515" s="879"/>
      <c r="WDU1515" s="879"/>
      <c r="WDV1515" s="879"/>
      <c r="WDW1515" s="879"/>
      <c r="WDX1515" s="879"/>
      <c r="WDY1515" s="879"/>
      <c r="WDZ1515" s="879"/>
      <c r="WEA1515" s="879"/>
      <c r="WEB1515" s="879"/>
      <c r="WEC1515" s="879"/>
      <c r="WED1515" s="879"/>
      <c r="WEE1515" s="879"/>
      <c r="WEF1515" s="879"/>
      <c r="WEG1515" s="879"/>
      <c r="WEH1515" s="879"/>
      <c r="WEI1515" s="879"/>
      <c r="WEJ1515" s="879"/>
      <c r="WEK1515" s="879"/>
      <c r="WEL1515" s="879"/>
      <c r="WEM1515" s="879"/>
      <c r="WEN1515" s="879"/>
      <c r="WEO1515" s="879"/>
      <c r="WEP1515" s="879"/>
      <c r="WEQ1515" s="879"/>
      <c r="WER1515" s="879"/>
      <c r="WES1515" s="879"/>
      <c r="WET1515" s="879"/>
      <c r="WEU1515" s="879"/>
      <c r="WEV1515" s="879"/>
      <c r="WEW1515" s="879"/>
      <c r="WEX1515" s="879"/>
      <c r="WEY1515" s="879"/>
      <c r="WEZ1515" s="879"/>
      <c r="WFA1515" s="879"/>
      <c r="WFB1515" s="879"/>
      <c r="WFC1515" s="879"/>
      <c r="WFD1515" s="879"/>
      <c r="WFE1515" s="879"/>
      <c r="WFF1515" s="879"/>
      <c r="WFG1515" s="879"/>
      <c r="WFH1515" s="879"/>
      <c r="WFI1515" s="879"/>
      <c r="WFJ1515" s="879"/>
      <c r="WFK1515" s="879"/>
      <c r="WFL1515" s="879"/>
      <c r="WFM1515" s="879"/>
      <c r="WFN1515" s="879"/>
      <c r="WFO1515" s="879"/>
      <c r="WFP1515" s="879"/>
      <c r="WFQ1515" s="879"/>
      <c r="WFR1515" s="879"/>
      <c r="WFS1515" s="879"/>
      <c r="WFT1515" s="879"/>
      <c r="WFU1515" s="879"/>
      <c r="WFV1515" s="879"/>
      <c r="WFW1515" s="879"/>
      <c r="WFX1515" s="879"/>
      <c r="WFY1515" s="879"/>
      <c r="WFZ1515" s="879"/>
      <c r="WGA1515" s="879"/>
      <c r="WGB1515" s="879"/>
      <c r="WGC1515" s="879"/>
      <c r="WGD1515" s="879"/>
      <c r="WGE1515" s="879"/>
      <c r="WGF1515" s="879"/>
      <c r="WGG1515" s="879"/>
      <c r="WGH1515" s="879"/>
      <c r="WGI1515" s="879"/>
      <c r="WGJ1515" s="879"/>
      <c r="WGK1515" s="879"/>
      <c r="WGL1515" s="879"/>
      <c r="WGM1515" s="879"/>
      <c r="WGN1515" s="879"/>
      <c r="WGO1515" s="879"/>
      <c r="WGP1515" s="879"/>
      <c r="WGQ1515" s="879"/>
      <c r="WGR1515" s="879"/>
      <c r="WGS1515" s="879"/>
      <c r="WGT1515" s="879"/>
      <c r="WGU1515" s="879"/>
      <c r="WGV1515" s="879"/>
      <c r="WGW1515" s="879"/>
      <c r="WGX1515" s="879"/>
      <c r="WGY1515" s="879"/>
      <c r="WGZ1515" s="879"/>
      <c r="WHA1515" s="879"/>
      <c r="WHB1515" s="879"/>
      <c r="WHC1515" s="879"/>
      <c r="WHD1515" s="879"/>
      <c r="WHE1515" s="879"/>
      <c r="WHF1515" s="879"/>
      <c r="WHG1515" s="879"/>
      <c r="WHH1515" s="879"/>
      <c r="WHI1515" s="879"/>
      <c r="WHJ1515" s="879"/>
      <c r="WHK1515" s="879"/>
      <c r="WHL1515" s="879"/>
      <c r="WHM1515" s="879"/>
      <c r="WHN1515" s="879"/>
      <c r="WHO1515" s="879"/>
      <c r="WHP1515" s="879"/>
      <c r="WHQ1515" s="879"/>
      <c r="WHR1515" s="879"/>
      <c r="WHS1515" s="879"/>
      <c r="WHT1515" s="879"/>
      <c r="WHU1515" s="879"/>
      <c r="WHV1515" s="879"/>
      <c r="WHW1515" s="879"/>
      <c r="WHX1515" s="879"/>
      <c r="WHY1515" s="879"/>
      <c r="WHZ1515" s="879"/>
      <c r="WIA1515" s="879"/>
      <c r="WIB1515" s="879"/>
      <c r="WIC1515" s="879"/>
      <c r="WID1515" s="879"/>
      <c r="WIE1515" s="879"/>
      <c r="WIF1515" s="879"/>
      <c r="WIG1515" s="879"/>
      <c r="WIH1515" s="879"/>
      <c r="WII1515" s="879"/>
      <c r="WIJ1515" s="879"/>
      <c r="WIK1515" s="879"/>
      <c r="WIL1515" s="879"/>
      <c r="WIM1515" s="879"/>
      <c r="WIN1515" s="879"/>
      <c r="WIO1515" s="879"/>
      <c r="WIP1515" s="879"/>
      <c r="WIQ1515" s="879"/>
      <c r="WIR1515" s="879"/>
      <c r="WIS1515" s="879"/>
      <c r="WIT1515" s="879"/>
      <c r="WIU1515" s="879"/>
      <c r="WIV1515" s="879"/>
      <c r="WIW1515" s="879"/>
      <c r="WIX1515" s="879"/>
      <c r="WIY1515" s="879"/>
      <c r="WIZ1515" s="879"/>
      <c r="WJA1515" s="879"/>
      <c r="WJB1515" s="879"/>
      <c r="WJC1515" s="879"/>
      <c r="WJD1515" s="879"/>
      <c r="WJE1515" s="879"/>
      <c r="WJF1515" s="879"/>
      <c r="WJG1515" s="879"/>
      <c r="WJH1515" s="879"/>
      <c r="WJI1515" s="879"/>
      <c r="WJJ1515" s="879"/>
      <c r="WJK1515" s="879"/>
      <c r="WJL1515" s="879"/>
      <c r="WJM1515" s="879"/>
      <c r="WJN1515" s="879"/>
      <c r="WJO1515" s="879"/>
      <c r="WJP1515" s="879"/>
      <c r="WJQ1515" s="879"/>
      <c r="WJR1515" s="879"/>
      <c r="WJS1515" s="879"/>
      <c r="WJT1515" s="879"/>
      <c r="WJU1515" s="879"/>
      <c r="WJV1515" s="879"/>
      <c r="WJW1515" s="879"/>
      <c r="WJX1515" s="879"/>
      <c r="WJY1515" s="879"/>
      <c r="WJZ1515" s="879"/>
      <c r="WKA1515" s="879"/>
      <c r="WKB1515" s="879"/>
      <c r="WKC1515" s="879"/>
      <c r="WKD1515" s="879"/>
      <c r="WKE1515" s="879"/>
      <c r="WKF1515" s="879"/>
      <c r="WKG1515" s="879"/>
      <c r="WKH1515" s="879"/>
      <c r="WKI1515" s="879"/>
      <c r="WKJ1515" s="879"/>
      <c r="WKK1515" s="879"/>
      <c r="WKL1515" s="879"/>
      <c r="WKM1515" s="879"/>
      <c r="WKN1515" s="879"/>
      <c r="WKO1515" s="879"/>
      <c r="WKP1515" s="879"/>
      <c r="WKQ1515" s="879"/>
      <c r="WKR1515" s="879"/>
      <c r="WKS1515" s="879"/>
      <c r="WKT1515" s="879"/>
      <c r="WKU1515" s="879"/>
      <c r="WKV1515" s="879"/>
      <c r="WKW1515" s="879"/>
      <c r="WKX1515" s="879"/>
      <c r="WKY1515" s="879"/>
      <c r="WKZ1515" s="879"/>
      <c r="WLA1515" s="879"/>
      <c r="WLB1515" s="879"/>
      <c r="WLC1515" s="879"/>
      <c r="WLD1515" s="879"/>
      <c r="WLE1515" s="879"/>
      <c r="WLF1515" s="879"/>
      <c r="WLG1515" s="879"/>
      <c r="WLH1515" s="879"/>
      <c r="WLI1515" s="879"/>
      <c r="WLJ1515" s="879"/>
      <c r="WLK1515" s="879"/>
      <c r="WLL1515" s="879"/>
      <c r="WLM1515" s="879"/>
      <c r="WLN1515" s="879"/>
      <c r="WLO1515" s="879"/>
      <c r="WLP1515" s="879"/>
      <c r="WLQ1515" s="879"/>
      <c r="WLR1515" s="879"/>
      <c r="WLS1515" s="879"/>
      <c r="WLT1515" s="879"/>
      <c r="WLU1515" s="879"/>
      <c r="WLV1515" s="879"/>
      <c r="WLW1515" s="879"/>
      <c r="WLX1515" s="879"/>
      <c r="WLY1515" s="879"/>
      <c r="WLZ1515" s="879"/>
      <c r="WMA1515" s="879"/>
      <c r="WMB1515" s="879"/>
      <c r="WMC1515" s="879"/>
      <c r="WMD1515" s="879"/>
      <c r="WME1515" s="879"/>
      <c r="WMF1515" s="879"/>
      <c r="WMG1515" s="879"/>
      <c r="WMH1515" s="879"/>
      <c r="WMI1515" s="879"/>
      <c r="WMJ1515" s="879"/>
      <c r="WMK1515" s="879"/>
      <c r="WML1515" s="879"/>
      <c r="WMM1515" s="879"/>
      <c r="WMN1515" s="879"/>
      <c r="WMO1515" s="879"/>
      <c r="WMP1515" s="879"/>
      <c r="WMQ1515" s="879"/>
      <c r="WMR1515" s="879"/>
      <c r="WMS1515" s="879"/>
      <c r="WMT1515" s="879"/>
      <c r="WMU1515" s="879"/>
      <c r="WMV1515" s="879"/>
      <c r="WMW1515" s="879"/>
      <c r="WMX1515" s="879"/>
      <c r="WMY1515" s="879"/>
      <c r="WMZ1515" s="879"/>
      <c r="WNA1515" s="879"/>
      <c r="WNB1515" s="879"/>
      <c r="WNC1515" s="879"/>
      <c r="WND1515" s="879"/>
      <c r="WNE1515" s="879"/>
      <c r="WNF1515" s="879"/>
      <c r="WNG1515" s="879"/>
      <c r="WNH1515" s="879"/>
      <c r="WNI1515" s="879"/>
      <c r="WNJ1515" s="879"/>
      <c r="WNK1515" s="879"/>
      <c r="WNL1515" s="879"/>
      <c r="WNM1515" s="879"/>
      <c r="WNN1515" s="879"/>
      <c r="WNO1515" s="879"/>
      <c r="WNP1515" s="879"/>
      <c r="WNQ1515" s="879"/>
      <c r="WNR1515" s="879"/>
      <c r="WNS1515" s="879"/>
      <c r="WNT1515" s="879"/>
      <c r="WNU1515" s="879"/>
      <c r="WNV1515" s="879"/>
      <c r="WNW1515" s="879"/>
      <c r="WNX1515" s="879"/>
      <c r="WNY1515" s="879"/>
      <c r="WNZ1515" s="879"/>
      <c r="WOA1515" s="879"/>
      <c r="WOB1515" s="879"/>
      <c r="WOC1515" s="879"/>
      <c r="WOD1515" s="879"/>
      <c r="WOE1515" s="879"/>
      <c r="WOF1515" s="879"/>
      <c r="WOG1515" s="879"/>
      <c r="WOH1515" s="879"/>
      <c r="WOI1515" s="879"/>
      <c r="WOJ1515" s="879"/>
      <c r="WOK1515" s="879"/>
      <c r="WOL1515" s="879"/>
      <c r="WOM1515" s="879"/>
      <c r="WON1515" s="879"/>
      <c r="WOO1515" s="879"/>
      <c r="WOP1515" s="879"/>
      <c r="WOQ1515" s="879"/>
      <c r="WOR1515" s="879"/>
      <c r="WOS1515" s="879"/>
      <c r="WOT1515" s="879"/>
      <c r="WOU1515" s="879"/>
      <c r="WOV1515" s="879"/>
      <c r="WOW1515" s="879"/>
      <c r="WOX1515" s="879"/>
      <c r="WOY1515" s="879"/>
      <c r="WOZ1515" s="879"/>
      <c r="WPA1515" s="879"/>
      <c r="WPB1515" s="879"/>
      <c r="WPC1515" s="879"/>
      <c r="WPD1515" s="879"/>
      <c r="WPE1515" s="879"/>
      <c r="WPF1515" s="879"/>
      <c r="WPG1515" s="879"/>
      <c r="WPH1515" s="879"/>
      <c r="WPI1515" s="879"/>
      <c r="WPJ1515" s="879"/>
      <c r="WPK1515" s="879"/>
      <c r="WPL1515" s="879"/>
      <c r="WPM1515" s="879"/>
      <c r="WPN1515" s="879"/>
      <c r="WPO1515" s="879"/>
      <c r="WPP1515" s="879"/>
      <c r="WPQ1515" s="879"/>
      <c r="WPR1515" s="879"/>
      <c r="WPS1515" s="879"/>
      <c r="WPT1515" s="879"/>
      <c r="WPU1515" s="879"/>
      <c r="WPV1515" s="879"/>
      <c r="WPW1515" s="879"/>
      <c r="WPX1515" s="879"/>
      <c r="WPY1515" s="879"/>
      <c r="WPZ1515" s="879"/>
      <c r="WQA1515" s="879"/>
      <c r="WQB1515" s="879"/>
      <c r="WQC1515" s="879"/>
      <c r="WQD1515" s="879"/>
      <c r="WQE1515" s="879"/>
      <c r="WQF1515" s="879"/>
      <c r="WQG1515" s="879"/>
      <c r="WQH1515" s="879"/>
      <c r="WQI1515" s="879"/>
      <c r="WQJ1515" s="879"/>
      <c r="WQK1515" s="879"/>
      <c r="WQL1515" s="879"/>
      <c r="WQM1515" s="879"/>
      <c r="WQN1515" s="879"/>
      <c r="WQO1515" s="879"/>
      <c r="WQP1515" s="879"/>
      <c r="WQQ1515" s="879"/>
      <c r="WQR1515" s="879"/>
      <c r="WQS1515" s="879"/>
      <c r="WQT1515" s="879"/>
      <c r="WQU1515" s="879"/>
      <c r="WQV1515" s="879"/>
      <c r="WQW1515" s="879"/>
      <c r="WQX1515" s="879"/>
      <c r="WQY1515" s="879"/>
      <c r="WQZ1515" s="879"/>
      <c r="WRA1515" s="879"/>
      <c r="WRB1515" s="879"/>
      <c r="WRC1515" s="879"/>
      <c r="WRD1515" s="879"/>
      <c r="WRE1515" s="879"/>
      <c r="WRF1515" s="879"/>
      <c r="WRG1515" s="879"/>
      <c r="WRH1515" s="879"/>
      <c r="WRI1515" s="879"/>
      <c r="WRJ1515" s="879"/>
      <c r="WRK1515" s="879"/>
      <c r="WRL1515" s="879"/>
      <c r="WRM1515" s="879"/>
      <c r="WRN1515" s="879"/>
      <c r="WRO1515" s="879"/>
      <c r="WRP1515" s="879"/>
      <c r="WRQ1515" s="879"/>
      <c r="WRR1515" s="879"/>
      <c r="WRS1515" s="879"/>
      <c r="WRT1515" s="879"/>
      <c r="WRU1515" s="879"/>
      <c r="WRV1515" s="879"/>
      <c r="WRW1515" s="879"/>
      <c r="WRX1515" s="879"/>
      <c r="WRY1515" s="879"/>
      <c r="WRZ1515" s="879"/>
      <c r="WSA1515" s="879"/>
      <c r="WSB1515" s="879"/>
      <c r="WSC1515" s="879"/>
      <c r="WSD1515" s="879"/>
      <c r="WSE1515" s="879"/>
      <c r="WSF1515" s="879"/>
      <c r="WSG1515" s="879"/>
      <c r="WSH1515" s="879"/>
      <c r="WSI1515" s="879"/>
      <c r="WSJ1515" s="879"/>
      <c r="WSK1515" s="879"/>
      <c r="WSL1515" s="879"/>
      <c r="WSM1515" s="879"/>
      <c r="WSN1515" s="879"/>
      <c r="WSO1515" s="879"/>
      <c r="WSP1515" s="879"/>
      <c r="WSQ1515" s="879"/>
      <c r="WSR1515" s="879"/>
      <c r="WSS1515" s="879"/>
      <c r="WST1515" s="879"/>
      <c r="WSU1515" s="879"/>
      <c r="WSV1515" s="879"/>
      <c r="WSW1515" s="879"/>
      <c r="WSX1515" s="879"/>
      <c r="WSY1515" s="879"/>
      <c r="WSZ1515" s="879"/>
      <c r="WTA1515" s="879"/>
      <c r="WTB1515" s="879"/>
      <c r="WTC1515" s="879"/>
      <c r="WTD1515" s="879"/>
      <c r="WTE1515" s="879"/>
      <c r="WTF1515" s="879"/>
      <c r="WTG1515" s="879"/>
      <c r="WTH1515" s="879"/>
      <c r="WTI1515" s="879"/>
      <c r="WTJ1515" s="879"/>
      <c r="WTK1515" s="879"/>
      <c r="WTL1515" s="879"/>
      <c r="WTM1515" s="879"/>
      <c r="WTN1515" s="879"/>
      <c r="WTO1515" s="879"/>
      <c r="WTP1515" s="879"/>
      <c r="WTQ1515" s="879"/>
      <c r="WTR1515" s="879"/>
      <c r="WTS1515" s="879"/>
      <c r="WTT1515" s="879"/>
      <c r="WTU1515" s="879"/>
      <c r="WTV1515" s="879"/>
      <c r="WTW1515" s="879"/>
      <c r="WTX1515" s="879"/>
      <c r="WTY1515" s="879"/>
      <c r="WTZ1515" s="879"/>
      <c r="WUA1515" s="879"/>
      <c r="WUB1515" s="879"/>
      <c r="WUC1515" s="879"/>
      <c r="WUD1515" s="879"/>
      <c r="WUE1515" s="879"/>
      <c r="WUF1515" s="879"/>
      <c r="WUG1515" s="879"/>
      <c r="WUH1515" s="879"/>
      <c r="WUI1515" s="879"/>
      <c r="WUJ1515" s="879"/>
      <c r="WUK1515" s="879"/>
      <c r="WUL1515" s="879"/>
      <c r="WUM1515" s="879"/>
      <c r="WUN1515" s="879"/>
      <c r="WUO1515" s="879"/>
      <c r="WUP1515" s="879"/>
      <c r="WUQ1515" s="879"/>
      <c r="WUR1515" s="879"/>
      <c r="WUS1515" s="879"/>
      <c r="WUT1515" s="879"/>
      <c r="WUU1515" s="879"/>
      <c r="WUV1515" s="879"/>
      <c r="WUW1515" s="879"/>
      <c r="WUX1515" s="879"/>
      <c r="WUY1515" s="879"/>
      <c r="WUZ1515" s="879"/>
      <c r="WVA1515" s="879"/>
      <c r="WVB1515" s="879"/>
      <c r="WVC1515" s="879"/>
      <c r="WVD1515" s="879"/>
      <c r="WVE1515" s="879"/>
      <c r="WVF1515" s="879"/>
      <c r="WVG1515" s="879"/>
      <c r="WVH1515" s="879"/>
      <c r="WVI1515" s="879"/>
      <c r="WVJ1515" s="879"/>
      <c r="WVK1515" s="879"/>
      <c r="WVL1515" s="879"/>
      <c r="WVM1515" s="879"/>
      <c r="WVN1515" s="879"/>
      <c r="WVO1515" s="879"/>
      <c r="WVP1515" s="879"/>
      <c r="WVQ1515" s="879"/>
      <c r="WVR1515" s="879"/>
      <c r="WVS1515" s="879"/>
      <c r="WVT1515" s="879"/>
      <c r="WVU1515" s="879"/>
      <c r="WVV1515" s="879"/>
      <c r="WVW1515" s="879"/>
      <c r="WVX1515" s="879"/>
      <c r="WVY1515" s="879"/>
      <c r="WVZ1515" s="879"/>
      <c r="WWA1515" s="879"/>
      <c r="WWB1515" s="879"/>
      <c r="WWC1515" s="879"/>
      <c r="WWD1515" s="879"/>
      <c r="WWE1515" s="879"/>
      <c r="WWF1515" s="879"/>
      <c r="WWG1515" s="879"/>
      <c r="WWH1515" s="879"/>
      <c r="WWI1515" s="879"/>
      <c r="WWJ1515" s="879"/>
      <c r="WWK1515" s="879"/>
      <c r="WWL1515" s="879"/>
      <c r="WWM1515" s="879"/>
      <c r="WWN1515" s="879"/>
      <c r="WWO1515" s="879"/>
      <c r="WWP1515" s="879"/>
      <c r="WWQ1515" s="879"/>
      <c r="WWR1515" s="879"/>
      <c r="WWS1515" s="879"/>
      <c r="WWT1515" s="879"/>
      <c r="WWU1515" s="879"/>
      <c r="WWV1515" s="879"/>
      <c r="WWW1515" s="879"/>
      <c r="WWX1515" s="879"/>
      <c r="WWY1515" s="879"/>
      <c r="WWZ1515" s="879"/>
      <c r="WXA1515" s="879"/>
      <c r="WXB1515" s="879"/>
      <c r="WXC1515" s="879"/>
      <c r="WXD1515" s="879"/>
      <c r="WXE1515" s="879"/>
      <c r="WXF1515" s="879"/>
      <c r="WXG1515" s="879"/>
      <c r="WXH1515" s="879"/>
      <c r="WXI1515" s="879"/>
      <c r="WXJ1515" s="879"/>
      <c r="WXK1515" s="879"/>
      <c r="WXL1515" s="879"/>
      <c r="WXM1515" s="879"/>
      <c r="WXN1515" s="879"/>
      <c r="WXO1515" s="879"/>
      <c r="WXP1515" s="879"/>
      <c r="WXQ1515" s="879"/>
      <c r="WXR1515" s="879"/>
      <c r="WXS1515" s="879"/>
      <c r="WXT1515" s="879"/>
      <c r="WXU1515" s="879"/>
      <c r="WXV1515" s="879"/>
      <c r="WXW1515" s="879"/>
      <c r="WXX1515" s="879"/>
      <c r="WXY1515" s="879"/>
      <c r="WXZ1515" s="879"/>
      <c r="WYA1515" s="879"/>
      <c r="WYB1515" s="879"/>
      <c r="WYC1515" s="879"/>
      <c r="WYD1515" s="879"/>
      <c r="WYE1515" s="879"/>
      <c r="WYF1515" s="879"/>
      <c r="WYG1515" s="879"/>
      <c r="WYH1515" s="879"/>
      <c r="WYI1515" s="879"/>
      <c r="WYJ1515" s="879"/>
      <c r="WYK1515" s="879"/>
      <c r="WYL1515" s="879"/>
      <c r="WYM1515" s="879"/>
      <c r="WYN1515" s="879"/>
      <c r="WYO1515" s="879"/>
      <c r="WYP1515" s="879"/>
      <c r="WYQ1515" s="879"/>
      <c r="WYR1515" s="879"/>
      <c r="WYS1515" s="879"/>
      <c r="WYT1515" s="879"/>
      <c r="WYU1515" s="879"/>
      <c r="WYV1515" s="879"/>
      <c r="WYW1515" s="879"/>
      <c r="WYX1515" s="879"/>
      <c r="WYY1515" s="879"/>
      <c r="WYZ1515" s="879"/>
      <c r="WZA1515" s="879"/>
      <c r="WZB1515" s="879"/>
      <c r="WZC1515" s="879"/>
      <c r="WZD1515" s="879"/>
      <c r="WZE1515" s="879"/>
      <c r="WZF1515" s="879"/>
      <c r="WZG1515" s="879"/>
      <c r="WZH1515" s="879"/>
      <c r="WZI1515" s="879"/>
      <c r="WZJ1515" s="879"/>
      <c r="WZK1515" s="879"/>
      <c r="WZL1515" s="879"/>
      <c r="WZM1515" s="879"/>
      <c r="WZN1515" s="879"/>
      <c r="WZO1515" s="879"/>
      <c r="WZP1515" s="879"/>
      <c r="WZQ1515" s="879"/>
      <c r="WZR1515" s="879"/>
      <c r="WZS1515" s="879"/>
      <c r="WZT1515" s="879"/>
      <c r="WZU1515" s="879"/>
      <c r="WZV1515" s="879"/>
      <c r="WZW1515" s="879"/>
      <c r="WZX1515" s="879"/>
      <c r="WZY1515" s="879"/>
      <c r="WZZ1515" s="879"/>
      <c r="XAA1515" s="879"/>
      <c r="XAB1515" s="879"/>
      <c r="XAC1515" s="879"/>
      <c r="XAD1515" s="879"/>
      <c r="XAE1515" s="879"/>
      <c r="XAF1515" s="879"/>
      <c r="XAG1515" s="879"/>
      <c r="XAH1515" s="879"/>
      <c r="XAI1515" s="879"/>
      <c r="XAJ1515" s="879"/>
      <c r="XAK1515" s="879"/>
      <c r="XAL1515" s="879"/>
      <c r="XAM1515" s="879"/>
      <c r="XAN1515" s="879"/>
      <c r="XAO1515" s="879"/>
      <c r="XAP1515" s="879"/>
      <c r="XAQ1515" s="879"/>
      <c r="XAR1515" s="879"/>
      <c r="XAS1515" s="879"/>
      <c r="XAT1515" s="879"/>
      <c r="XAU1515" s="879"/>
      <c r="XAV1515" s="879"/>
      <c r="XAW1515" s="879"/>
      <c r="XAX1515" s="879"/>
      <c r="XAY1515" s="879"/>
      <c r="XAZ1515" s="879"/>
      <c r="XBA1515" s="879"/>
      <c r="XBB1515" s="879"/>
      <c r="XBC1515" s="879"/>
      <c r="XBD1515" s="879"/>
      <c r="XBE1515" s="879"/>
      <c r="XBF1515" s="879"/>
      <c r="XBG1515" s="879"/>
      <c r="XBH1515" s="879"/>
      <c r="XBI1515" s="879"/>
      <c r="XBJ1515" s="879"/>
      <c r="XBK1515" s="879"/>
      <c r="XBL1515" s="879"/>
      <c r="XBM1515" s="879"/>
      <c r="XBN1515" s="879"/>
      <c r="XBO1515" s="879"/>
      <c r="XBP1515" s="879"/>
      <c r="XBQ1515" s="879"/>
      <c r="XBR1515" s="879"/>
      <c r="XBS1515" s="879"/>
      <c r="XBT1515" s="879"/>
      <c r="XBU1515" s="879"/>
      <c r="XBV1515" s="879"/>
      <c r="XBW1515" s="879"/>
      <c r="XBX1515" s="879"/>
      <c r="XBY1515" s="879"/>
      <c r="XBZ1515" s="879"/>
      <c r="XCA1515" s="879"/>
      <c r="XCB1515" s="879"/>
      <c r="XCC1515" s="879"/>
      <c r="XCD1515" s="879"/>
      <c r="XCE1515" s="879"/>
      <c r="XCF1515" s="879"/>
      <c r="XCG1515" s="879"/>
      <c r="XCH1515" s="879"/>
      <c r="XCI1515" s="879"/>
      <c r="XCJ1515" s="879"/>
      <c r="XCK1515" s="879"/>
      <c r="XCL1515" s="879"/>
      <c r="XCM1515" s="879"/>
      <c r="XCN1515" s="879"/>
      <c r="XCO1515" s="879"/>
      <c r="XCP1515" s="879"/>
      <c r="XCQ1515" s="879"/>
      <c r="XCR1515" s="879"/>
      <c r="XCS1515" s="879"/>
      <c r="XCT1515" s="879"/>
      <c r="XCU1515" s="879"/>
      <c r="XCV1515" s="879"/>
      <c r="XCW1515" s="879"/>
      <c r="XCX1515" s="879"/>
      <c r="XCY1515" s="879"/>
      <c r="XCZ1515" s="879"/>
      <c r="XDA1515" s="879"/>
      <c r="XDB1515" s="879"/>
      <c r="XDC1515" s="879"/>
      <c r="XDD1515" s="879"/>
      <c r="XDE1515" s="879"/>
      <c r="XDF1515" s="879"/>
      <c r="XDG1515" s="879"/>
      <c r="XDH1515" s="879"/>
      <c r="XDI1515" s="879"/>
      <c r="XDJ1515" s="879"/>
      <c r="XDK1515" s="879"/>
      <c r="XDL1515" s="879"/>
      <c r="XDM1515" s="879"/>
      <c r="XDN1515" s="879"/>
      <c r="XDO1515" s="879"/>
      <c r="XDP1515" s="879"/>
      <c r="XDQ1515" s="879"/>
      <c r="XDR1515" s="879"/>
      <c r="XDS1515" s="879"/>
      <c r="XDT1515" s="879"/>
      <c r="XDU1515" s="879"/>
      <c r="XDV1515" s="879"/>
      <c r="XDW1515" s="879"/>
      <c r="XDX1515" s="879"/>
      <c r="XDY1515" s="879"/>
      <c r="XDZ1515" s="879"/>
      <c r="XEA1515" s="879"/>
      <c r="XEB1515" s="879"/>
      <c r="XEC1515" s="879"/>
      <c r="XED1515" s="879"/>
      <c r="XEE1515" s="879"/>
      <c r="XEF1515" s="879"/>
      <c r="XEG1515" s="879"/>
      <c r="XEH1515" s="879"/>
      <c r="XEI1515" s="879"/>
      <c r="XEJ1515" s="879"/>
      <c r="XEK1515" s="879"/>
      <c r="XEL1515" s="879"/>
      <c r="XEM1515" s="879"/>
      <c r="XEN1515" s="879"/>
      <c r="XEO1515" s="879"/>
      <c r="XEP1515" s="879"/>
      <c r="XEQ1515" s="879"/>
      <c r="XER1515" s="879"/>
      <c r="XES1515" s="879"/>
      <c r="XET1515" s="879"/>
      <c r="XEU1515" s="879"/>
      <c r="XEV1515" s="879"/>
      <c r="XEW1515" s="879"/>
      <c r="XEX1515" s="879"/>
    </row>
    <row r="1516" spans="1:16378" s="30" customFormat="1" ht="15" customHeight="1" x14ac:dyDescent="0.25">
      <c r="A1516">
        <v>2025</v>
      </c>
      <c r="B1516" s="878" t="s">
        <v>4</v>
      </c>
      <c r="C1516" s="878" t="s">
        <v>9101</v>
      </c>
      <c r="D1516" s="8" t="s">
        <v>115</v>
      </c>
      <c r="E1516" s="878" t="s">
        <v>918</v>
      </c>
      <c r="F1516" s="878" t="s">
        <v>6874</v>
      </c>
      <c r="G1516" s="878" t="s">
        <v>34</v>
      </c>
      <c r="H1516" s="878" t="s">
        <v>8364</v>
      </c>
      <c r="I1516" s="882">
        <v>45762</v>
      </c>
      <c r="J1516" s="882">
        <v>45898</v>
      </c>
      <c r="K1516" s="918">
        <v>45882</v>
      </c>
      <c r="L1516" s="919">
        <f>IF(ISTEXT(Table15[[#This Row],[Engineering Approved Design Date]]),Table15[[#This Row],[Date Completed]]-Table15[[#This Row],[Date Assigned to Designer]],Table15[[#This Row],[Engineering Approved Design Date]]-Table15[[#This Row],[Date Completed]])</f>
        <v>16</v>
      </c>
      <c r="M1516" s="879" t="s">
        <v>9102</v>
      </c>
      <c r="N1516" s="99" t="s">
        <v>120</v>
      </c>
      <c r="O1516" s="886">
        <v>45870</v>
      </c>
      <c r="P1516" s="1153" t="s">
        <v>739</v>
      </c>
      <c r="Q1516" s="1150" t="s">
        <v>115</v>
      </c>
      <c r="R1516" s="887" t="s">
        <v>115</v>
      </c>
      <c r="S1516" s="888" t="s">
        <v>29</v>
      </c>
      <c r="T1516" s="888" t="s">
        <v>29</v>
      </c>
      <c r="U1516" s="889" t="s">
        <v>29</v>
      </c>
      <c r="V1516" s="1021" t="s">
        <v>29</v>
      </c>
      <c r="W1516" s="1188" t="s">
        <v>29</v>
      </c>
      <c r="X1516" s="1228" t="s">
        <v>29</v>
      </c>
      <c r="Y1516" s="935"/>
      <c r="Z1516" s="888" t="s">
        <v>29</v>
      </c>
      <c r="AA1516" s="1216" t="s">
        <v>29</v>
      </c>
      <c r="AB1516" s="893" t="s">
        <v>29</v>
      </c>
      <c r="AC1516" s="896" t="s">
        <v>29</v>
      </c>
      <c r="AD1516" s="1155" t="s">
        <v>29</v>
      </c>
      <c r="AE1516" s="896" t="s">
        <v>756</v>
      </c>
      <c r="AF1516" s="896" t="s">
        <v>29</v>
      </c>
      <c r="AG1516" s="896" t="s">
        <v>376</v>
      </c>
      <c r="AH1516" s="897" t="s">
        <v>376</v>
      </c>
      <c r="AI1516" s="921" t="s">
        <v>29</v>
      </c>
      <c r="AJ1516" s="922" t="s">
        <v>29</v>
      </c>
      <c r="AK1516" s="922" t="s">
        <v>29</v>
      </c>
      <c r="AL1516" s="1030" t="s">
        <v>29</v>
      </c>
      <c r="AM1516" s="542" t="s">
        <v>709</v>
      </c>
      <c r="AN1516" s="924"/>
      <c r="AO1516" s="925"/>
      <c r="AP1516" s="926"/>
      <c r="AQ1516" s="926"/>
      <c r="AR1516" s="926"/>
      <c r="AS1516" s="926"/>
      <c r="AT1516" s="926"/>
      <c r="AU1516" s="926"/>
      <c r="AV1516" s="926"/>
      <c r="AW1516" s="927"/>
      <c r="AX1516" s="926"/>
      <c r="AY1516" s="1538" t="s">
        <v>29</v>
      </c>
      <c r="AZ1516" s="1530"/>
      <c r="BA1516" s="910" t="s">
        <v>9103</v>
      </c>
      <c r="BB1516" s="1646" t="s">
        <v>9038</v>
      </c>
      <c r="BC1516" s="912" t="s">
        <v>709</v>
      </c>
      <c r="BD1516" s="913" t="s">
        <v>709</v>
      </c>
      <c r="BE1516" s="914" t="s">
        <v>709</v>
      </c>
      <c r="BF1516" s="914" t="s">
        <v>709</v>
      </c>
      <c r="BG1516" s="943" t="s">
        <v>745</v>
      </c>
      <c r="BH1516" s="1023" t="s">
        <v>9104</v>
      </c>
      <c r="BI1516" s="980"/>
      <c r="BJ1516" s="980"/>
      <c r="BK1516" s="980"/>
      <c r="BL1516" s="980"/>
      <c r="BM1516" s="980"/>
      <c r="BN1516" s="981"/>
      <c r="BO1516" s="980"/>
      <c r="BP1516" s="982"/>
      <c r="BQ1516" s="981"/>
      <c r="BR1516" s="981"/>
      <c r="BS1516" s="981"/>
      <c r="BT1516" s="981"/>
      <c r="BU1516" s="981"/>
      <c r="BV1516" s="981"/>
      <c r="BW1516" s="981"/>
      <c r="BX1516" s="980"/>
      <c r="BY1516" s="983"/>
      <c r="BZ1516" s="983"/>
      <c r="CA1516" s="485" t="s">
        <v>915</v>
      </c>
      <c r="CB1516" s="547"/>
      <c r="CC1516" s="1481"/>
      <c r="CD1516" s="879" t="str">
        <f>Table15[[#This Row],[Engineering Number]]&amp;Table15[[#This Row],[WO Number]]&amp;Table15[[#This Row],[Date Assigned to Designer]]&amp;Table15[[#This Row],[Date Completed]]</f>
        <v>SC25775-4576245882</v>
      </c>
      <c r="CE1516" s="879"/>
      <c r="CF1516" s="879"/>
      <c r="CG1516" s="879"/>
      <c r="CH1516" s="879"/>
      <c r="CI1516" s="879"/>
      <c r="CJ1516" s="879"/>
      <c r="CK1516" s="879"/>
      <c r="CL1516" s="879"/>
      <c r="CM1516" s="879"/>
      <c r="CN1516" s="879"/>
      <c r="CO1516" s="879"/>
      <c r="CP1516" s="879"/>
      <c r="CQ1516" s="879"/>
      <c r="CR1516" s="879"/>
      <c r="CS1516" s="879"/>
      <c r="CT1516" s="879"/>
      <c r="CU1516" s="879"/>
      <c r="CV1516" s="879"/>
      <c r="CW1516" s="879"/>
      <c r="CX1516" s="879"/>
      <c r="CY1516" s="879"/>
      <c r="CZ1516" s="879"/>
      <c r="DA1516" s="879"/>
      <c r="DB1516" s="879"/>
      <c r="DC1516" s="879"/>
      <c r="DD1516" s="879"/>
      <c r="DE1516" s="879"/>
      <c r="DF1516" s="879"/>
      <c r="DG1516" s="879"/>
      <c r="DH1516" s="879"/>
      <c r="DI1516" s="879"/>
      <c r="DJ1516" s="879"/>
      <c r="DK1516" s="879"/>
      <c r="DL1516" s="879"/>
      <c r="DM1516" s="879"/>
      <c r="DN1516" s="879"/>
      <c r="DO1516" s="879"/>
      <c r="DP1516" s="879"/>
      <c r="DQ1516" s="879"/>
      <c r="DR1516" s="879"/>
      <c r="DS1516" s="879"/>
      <c r="DT1516" s="879"/>
      <c r="DU1516" s="879"/>
      <c r="DV1516" s="879"/>
      <c r="DW1516" s="879"/>
      <c r="DX1516" s="879"/>
      <c r="DY1516" s="879"/>
      <c r="DZ1516" s="879"/>
      <c r="EA1516" s="879"/>
      <c r="EB1516" s="879"/>
      <c r="EC1516" s="879"/>
      <c r="ED1516" s="879"/>
      <c r="EE1516" s="879"/>
      <c r="EF1516" s="879"/>
      <c r="EG1516" s="879"/>
      <c r="EH1516" s="879"/>
      <c r="EI1516" s="879"/>
      <c r="EJ1516" s="879"/>
      <c r="EK1516" s="879"/>
      <c r="EL1516" s="879"/>
      <c r="EM1516" s="879"/>
      <c r="EN1516" s="879"/>
      <c r="EO1516" s="879"/>
      <c r="EP1516" s="879"/>
      <c r="EQ1516" s="879"/>
      <c r="ER1516" s="879"/>
      <c r="ES1516" s="879"/>
      <c r="ET1516" s="879"/>
      <c r="EU1516" s="879"/>
      <c r="EV1516" s="879"/>
      <c r="EW1516" s="879"/>
      <c r="EX1516" s="879"/>
      <c r="EY1516" s="879"/>
      <c r="EZ1516" s="879"/>
      <c r="FA1516" s="879"/>
      <c r="FB1516" s="879"/>
      <c r="FC1516" s="879"/>
      <c r="FD1516" s="879"/>
      <c r="FE1516" s="879"/>
      <c r="FF1516" s="879"/>
      <c r="FG1516" s="879"/>
      <c r="FH1516" s="879"/>
      <c r="FI1516" s="879"/>
      <c r="FJ1516" s="879"/>
      <c r="FK1516" s="879"/>
      <c r="FL1516" s="879"/>
      <c r="FM1516" s="879"/>
      <c r="FN1516" s="879"/>
      <c r="FO1516" s="879"/>
      <c r="FP1516" s="879"/>
      <c r="FQ1516" s="879"/>
      <c r="FR1516" s="879"/>
      <c r="FS1516" s="879"/>
      <c r="FT1516" s="879"/>
      <c r="FU1516" s="879"/>
      <c r="FV1516" s="879"/>
      <c r="FW1516" s="879"/>
      <c r="FX1516" s="879"/>
      <c r="FY1516" s="879"/>
      <c r="FZ1516" s="879"/>
      <c r="GA1516" s="879"/>
      <c r="GB1516" s="879"/>
      <c r="GC1516" s="879"/>
      <c r="GD1516" s="879"/>
      <c r="GE1516" s="879"/>
      <c r="GF1516" s="879"/>
      <c r="GG1516" s="879"/>
      <c r="GH1516" s="879"/>
      <c r="GI1516" s="879"/>
      <c r="GJ1516" s="879"/>
      <c r="GK1516" s="879"/>
      <c r="GL1516" s="879"/>
      <c r="GM1516" s="879"/>
      <c r="GN1516" s="879"/>
      <c r="GO1516" s="879"/>
      <c r="GP1516" s="879"/>
      <c r="GQ1516" s="879"/>
      <c r="GR1516" s="879"/>
      <c r="GS1516" s="879"/>
      <c r="GT1516" s="879"/>
      <c r="GU1516" s="879"/>
      <c r="GV1516" s="879"/>
      <c r="GW1516" s="879"/>
      <c r="GX1516" s="879"/>
      <c r="GY1516" s="879"/>
      <c r="GZ1516" s="879"/>
      <c r="HA1516" s="879"/>
      <c r="HB1516" s="879"/>
      <c r="HC1516" s="879"/>
      <c r="HD1516" s="879"/>
      <c r="HE1516" s="879"/>
      <c r="HF1516" s="879"/>
      <c r="HG1516" s="879"/>
      <c r="HH1516" s="879"/>
      <c r="HI1516" s="879"/>
      <c r="HJ1516" s="879"/>
      <c r="HK1516" s="879"/>
      <c r="HL1516" s="879"/>
      <c r="HM1516" s="879"/>
      <c r="HN1516" s="879"/>
      <c r="HO1516" s="879"/>
      <c r="HP1516" s="879"/>
      <c r="HQ1516" s="879"/>
      <c r="HR1516" s="879"/>
      <c r="HS1516" s="879"/>
      <c r="HT1516" s="879"/>
      <c r="HU1516" s="879"/>
      <c r="HV1516" s="879"/>
      <c r="HW1516" s="879"/>
      <c r="HX1516" s="879"/>
      <c r="HY1516" s="879"/>
      <c r="HZ1516" s="879"/>
      <c r="IA1516" s="879"/>
      <c r="IB1516" s="879"/>
      <c r="IC1516" s="879"/>
      <c r="ID1516" s="879"/>
      <c r="IE1516" s="879"/>
      <c r="IF1516" s="879"/>
      <c r="IG1516" s="879"/>
      <c r="IH1516" s="879"/>
      <c r="II1516" s="879"/>
      <c r="IJ1516" s="879"/>
      <c r="IK1516" s="879"/>
      <c r="IL1516" s="879"/>
      <c r="IM1516" s="879"/>
      <c r="IN1516" s="879"/>
      <c r="IO1516" s="879"/>
      <c r="IP1516" s="879"/>
      <c r="IQ1516" s="879"/>
      <c r="IR1516" s="879"/>
      <c r="IS1516" s="879"/>
      <c r="IT1516" s="879"/>
      <c r="IU1516" s="879"/>
      <c r="IV1516" s="879"/>
      <c r="IW1516" s="879"/>
      <c r="IX1516" s="879"/>
      <c r="IY1516" s="879"/>
      <c r="IZ1516" s="879"/>
      <c r="JA1516" s="879"/>
      <c r="JB1516" s="879"/>
      <c r="JC1516" s="879"/>
      <c r="JD1516" s="879"/>
      <c r="JE1516" s="879"/>
      <c r="JF1516" s="879"/>
      <c r="JG1516" s="879"/>
      <c r="JH1516" s="879"/>
      <c r="JI1516" s="879"/>
      <c r="JJ1516" s="879"/>
      <c r="JK1516" s="879"/>
      <c r="JL1516" s="879"/>
      <c r="JM1516" s="879"/>
      <c r="JN1516" s="879"/>
      <c r="JO1516" s="879"/>
      <c r="JP1516" s="879"/>
      <c r="JQ1516" s="879"/>
      <c r="JR1516" s="879"/>
      <c r="JS1516" s="879"/>
      <c r="JT1516" s="879"/>
      <c r="JU1516" s="879"/>
      <c r="JV1516" s="879"/>
      <c r="JW1516" s="879"/>
      <c r="JX1516" s="879"/>
      <c r="JY1516" s="879"/>
      <c r="JZ1516" s="879"/>
      <c r="KA1516" s="879"/>
      <c r="KB1516" s="879"/>
      <c r="KC1516" s="879"/>
      <c r="KD1516" s="879"/>
      <c r="KE1516" s="879"/>
      <c r="KF1516" s="879"/>
      <c r="KG1516" s="879"/>
      <c r="KH1516" s="879"/>
      <c r="KI1516" s="879"/>
      <c r="KJ1516" s="879"/>
      <c r="KK1516" s="879"/>
      <c r="KL1516" s="879"/>
      <c r="KM1516" s="879"/>
      <c r="KN1516" s="879"/>
      <c r="KO1516" s="879"/>
      <c r="KP1516" s="879"/>
      <c r="KQ1516" s="879"/>
      <c r="KR1516" s="879"/>
      <c r="KS1516" s="879"/>
      <c r="KT1516" s="879"/>
      <c r="KU1516" s="879"/>
      <c r="KV1516" s="879"/>
      <c r="KW1516" s="879"/>
      <c r="KX1516" s="879"/>
      <c r="KY1516" s="879"/>
      <c r="KZ1516" s="879"/>
      <c r="LA1516" s="879"/>
      <c r="LB1516" s="879"/>
      <c r="LC1516" s="879"/>
      <c r="LD1516" s="879"/>
      <c r="LE1516" s="879"/>
      <c r="LF1516" s="879"/>
      <c r="LG1516" s="879"/>
      <c r="LH1516" s="879"/>
      <c r="LI1516" s="879"/>
      <c r="LJ1516" s="879"/>
      <c r="LK1516" s="879"/>
      <c r="LL1516" s="879"/>
      <c r="LM1516" s="879"/>
      <c r="LN1516" s="879"/>
      <c r="LO1516" s="879"/>
      <c r="LP1516" s="879"/>
      <c r="LQ1516" s="879"/>
      <c r="LR1516" s="879"/>
      <c r="LS1516" s="879"/>
      <c r="LT1516" s="879"/>
      <c r="LU1516" s="879"/>
      <c r="LV1516" s="879"/>
      <c r="LW1516" s="879"/>
      <c r="LX1516" s="879"/>
      <c r="LY1516" s="879"/>
      <c r="LZ1516" s="879"/>
      <c r="MA1516" s="879"/>
      <c r="MB1516" s="879"/>
      <c r="MC1516" s="879"/>
      <c r="MD1516" s="879"/>
      <c r="ME1516" s="879"/>
      <c r="MF1516" s="879"/>
      <c r="MG1516" s="879"/>
      <c r="MH1516" s="879"/>
      <c r="MI1516" s="879"/>
      <c r="MJ1516" s="879"/>
      <c r="MK1516" s="879"/>
      <c r="ML1516" s="879"/>
      <c r="MM1516" s="879"/>
      <c r="MN1516" s="879"/>
      <c r="MO1516" s="879"/>
      <c r="MP1516" s="879"/>
      <c r="MQ1516" s="879"/>
      <c r="MR1516" s="879"/>
      <c r="MS1516" s="879"/>
      <c r="MT1516" s="879"/>
      <c r="MU1516" s="879"/>
      <c r="MV1516" s="879"/>
      <c r="MW1516" s="879"/>
      <c r="MX1516" s="879"/>
      <c r="MY1516" s="879"/>
      <c r="MZ1516" s="879"/>
      <c r="NA1516" s="879"/>
      <c r="NB1516" s="879"/>
      <c r="NC1516" s="879"/>
      <c r="ND1516" s="879"/>
      <c r="NE1516" s="879"/>
      <c r="NF1516" s="879"/>
      <c r="NG1516" s="879"/>
      <c r="NH1516" s="879"/>
      <c r="NI1516" s="879"/>
      <c r="NJ1516" s="879"/>
      <c r="NK1516" s="879"/>
      <c r="NL1516" s="879"/>
      <c r="NM1516" s="879"/>
      <c r="NN1516" s="879"/>
      <c r="NO1516" s="879"/>
      <c r="NP1516" s="879"/>
      <c r="NQ1516" s="879"/>
      <c r="NR1516" s="879"/>
      <c r="NS1516" s="879"/>
      <c r="NT1516" s="879"/>
      <c r="NU1516" s="879"/>
      <c r="NV1516" s="879"/>
      <c r="NW1516" s="879"/>
      <c r="NX1516" s="879"/>
      <c r="NY1516" s="879"/>
      <c r="NZ1516" s="879"/>
      <c r="OA1516" s="879"/>
      <c r="OB1516" s="879"/>
      <c r="OC1516" s="879"/>
      <c r="OD1516" s="879"/>
      <c r="OE1516" s="879"/>
      <c r="OF1516" s="879"/>
      <c r="OG1516" s="879"/>
      <c r="OH1516" s="879"/>
      <c r="OI1516" s="879"/>
      <c r="OJ1516" s="879"/>
      <c r="OK1516" s="879"/>
      <c r="OL1516" s="879"/>
      <c r="OM1516" s="879"/>
      <c r="ON1516" s="879"/>
      <c r="OO1516" s="879"/>
      <c r="OP1516" s="879"/>
      <c r="OQ1516" s="879"/>
      <c r="OR1516" s="879"/>
      <c r="OS1516" s="879"/>
      <c r="OT1516" s="879"/>
      <c r="OU1516" s="879"/>
      <c r="OV1516" s="879"/>
      <c r="OW1516" s="879"/>
      <c r="OX1516" s="879"/>
      <c r="OY1516" s="879"/>
      <c r="OZ1516" s="879"/>
      <c r="PA1516" s="879"/>
      <c r="PB1516" s="879"/>
      <c r="PC1516" s="879"/>
      <c r="PD1516" s="879"/>
      <c r="PE1516" s="879"/>
      <c r="PF1516" s="879"/>
      <c r="PG1516" s="879"/>
      <c r="PH1516" s="879"/>
      <c r="PI1516" s="879"/>
      <c r="PJ1516" s="879"/>
      <c r="PK1516" s="879"/>
      <c r="PL1516" s="879"/>
      <c r="PM1516" s="879"/>
      <c r="PN1516" s="879"/>
      <c r="PO1516" s="879"/>
      <c r="PP1516" s="879"/>
      <c r="PQ1516" s="879"/>
      <c r="PR1516" s="879"/>
      <c r="PS1516" s="879"/>
      <c r="PT1516" s="879"/>
      <c r="PU1516" s="879"/>
      <c r="PV1516" s="879"/>
      <c r="PW1516" s="879"/>
      <c r="PX1516" s="879"/>
      <c r="PY1516" s="879"/>
      <c r="PZ1516" s="879"/>
      <c r="QA1516" s="879"/>
      <c r="QB1516" s="879"/>
      <c r="QC1516" s="879"/>
      <c r="QD1516" s="879"/>
      <c r="QE1516" s="879"/>
      <c r="QF1516" s="879"/>
      <c r="QG1516" s="879"/>
      <c r="QH1516" s="879"/>
      <c r="QI1516" s="879"/>
      <c r="QJ1516" s="879"/>
      <c r="QK1516" s="879"/>
      <c r="QL1516" s="879"/>
      <c r="QM1516" s="879"/>
      <c r="QN1516" s="879"/>
      <c r="QO1516" s="879"/>
      <c r="QP1516" s="879"/>
      <c r="QQ1516" s="879"/>
      <c r="QR1516" s="879"/>
      <c r="QS1516" s="879"/>
      <c r="QT1516" s="879"/>
      <c r="QU1516" s="879"/>
      <c r="QV1516" s="879"/>
      <c r="QW1516" s="879"/>
      <c r="QX1516" s="879"/>
      <c r="QY1516" s="879"/>
      <c r="QZ1516" s="879"/>
      <c r="RA1516" s="879"/>
      <c r="RB1516" s="879"/>
      <c r="RC1516" s="879"/>
      <c r="RD1516" s="879"/>
      <c r="RE1516" s="879"/>
      <c r="RF1516" s="879"/>
      <c r="RG1516" s="879"/>
      <c r="RH1516" s="879"/>
      <c r="RI1516" s="879"/>
      <c r="RJ1516" s="879"/>
      <c r="RK1516" s="879"/>
      <c r="RL1516" s="879"/>
      <c r="RM1516" s="879"/>
      <c r="RN1516" s="879"/>
      <c r="RO1516" s="879"/>
      <c r="RP1516" s="879"/>
      <c r="RQ1516" s="879"/>
      <c r="RR1516" s="879"/>
      <c r="RS1516" s="879"/>
      <c r="RT1516" s="879"/>
      <c r="RU1516" s="879"/>
      <c r="RV1516" s="879"/>
      <c r="RW1516" s="879"/>
      <c r="RX1516" s="879"/>
      <c r="RY1516" s="879"/>
      <c r="RZ1516" s="879"/>
      <c r="SA1516" s="879"/>
      <c r="SB1516" s="879"/>
      <c r="SC1516" s="879"/>
      <c r="SD1516" s="879"/>
      <c r="SE1516" s="879"/>
      <c r="SF1516" s="879"/>
      <c r="SG1516" s="879"/>
      <c r="SH1516" s="879"/>
      <c r="SI1516" s="879"/>
      <c r="SJ1516" s="879"/>
      <c r="SK1516" s="879"/>
      <c r="SL1516" s="879"/>
      <c r="SM1516" s="879"/>
      <c r="SN1516" s="879"/>
      <c r="SO1516" s="879"/>
      <c r="SP1516" s="879"/>
      <c r="SQ1516" s="879"/>
      <c r="SR1516" s="879"/>
      <c r="SS1516" s="879"/>
      <c r="ST1516" s="879"/>
      <c r="SU1516" s="879"/>
      <c r="SV1516" s="879"/>
      <c r="SW1516" s="879"/>
      <c r="SX1516" s="879"/>
      <c r="SY1516" s="879"/>
      <c r="SZ1516" s="879"/>
      <c r="TA1516" s="879"/>
      <c r="TB1516" s="879"/>
      <c r="TC1516" s="879"/>
      <c r="TD1516" s="879"/>
      <c r="TE1516" s="879"/>
      <c r="TF1516" s="879"/>
      <c r="TG1516" s="879"/>
      <c r="TH1516" s="879"/>
      <c r="TI1516" s="879"/>
      <c r="TJ1516" s="879"/>
      <c r="TK1516" s="879"/>
      <c r="TL1516" s="879"/>
      <c r="TM1516" s="879"/>
      <c r="TN1516" s="879"/>
      <c r="TO1516" s="879"/>
      <c r="TP1516" s="879"/>
      <c r="TQ1516" s="879"/>
      <c r="TR1516" s="879"/>
      <c r="TS1516" s="879"/>
      <c r="TT1516" s="879"/>
      <c r="TU1516" s="879"/>
      <c r="TV1516" s="879"/>
      <c r="TW1516" s="879"/>
      <c r="TX1516" s="879"/>
      <c r="TY1516" s="879"/>
      <c r="TZ1516" s="879"/>
      <c r="UA1516" s="879"/>
      <c r="UB1516" s="879"/>
      <c r="UC1516" s="879"/>
      <c r="UD1516" s="879"/>
      <c r="UE1516" s="879"/>
      <c r="UF1516" s="879"/>
      <c r="UG1516" s="879"/>
      <c r="UH1516" s="879"/>
      <c r="UI1516" s="879"/>
      <c r="UJ1516" s="879"/>
      <c r="UK1516" s="879"/>
      <c r="UL1516" s="879"/>
      <c r="UM1516" s="879"/>
      <c r="UN1516" s="879"/>
      <c r="UO1516" s="879"/>
      <c r="UP1516" s="879"/>
      <c r="UQ1516" s="879"/>
      <c r="UR1516" s="879"/>
      <c r="US1516" s="879"/>
      <c r="UT1516" s="879"/>
      <c r="UU1516" s="879"/>
      <c r="UV1516" s="879"/>
      <c r="UW1516" s="879"/>
      <c r="UX1516" s="879"/>
      <c r="UY1516" s="879"/>
      <c r="UZ1516" s="879"/>
      <c r="VA1516" s="879"/>
      <c r="VB1516" s="879"/>
      <c r="VC1516" s="879"/>
      <c r="VD1516" s="879"/>
      <c r="VE1516" s="879"/>
      <c r="VF1516" s="879"/>
      <c r="VG1516" s="879"/>
      <c r="VH1516" s="879"/>
      <c r="VI1516" s="879"/>
      <c r="VJ1516" s="879"/>
      <c r="VK1516" s="879"/>
      <c r="VL1516" s="879"/>
      <c r="VM1516" s="879"/>
      <c r="VN1516" s="879"/>
      <c r="VO1516" s="879"/>
      <c r="VP1516" s="879"/>
      <c r="VQ1516" s="879"/>
      <c r="VR1516" s="879"/>
      <c r="VS1516" s="879"/>
      <c r="VT1516" s="879"/>
      <c r="VU1516" s="879"/>
      <c r="VV1516" s="879"/>
      <c r="VW1516" s="879"/>
      <c r="VX1516" s="879"/>
      <c r="VY1516" s="879"/>
      <c r="VZ1516" s="879"/>
      <c r="WA1516" s="879"/>
      <c r="WB1516" s="879"/>
      <c r="WC1516" s="879"/>
      <c r="WD1516" s="879"/>
      <c r="WE1516" s="879"/>
      <c r="WF1516" s="879"/>
      <c r="WG1516" s="879"/>
      <c r="WH1516" s="879"/>
      <c r="WI1516" s="879"/>
      <c r="WJ1516" s="879"/>
      <c r="WK1516" s="879"/>
      <c r="WL1516" s="879"/>
      <c r="WM1516" s="879"/>
      <c r="WN1516" s="879"/>
      <c r="WO1516" s="879"/>
      <c r="WP1516" s="879"/>
      <c r="WQ1516" s="879"/>
      <c r="WR1516" s="879"/>
      <c r="WS1516" s="879"/>
      <c r="WT1516" s="879"/>
      <c r="WU1516" s="879"/>
      <c r="WV1516" s="879"/>
      <c r="WW1516" s="879"/>
      <c r="WX1516" s="879"/>
      <c r="WY1516" s="879"/>
      <c r="WZ1516" s="879"/>
      <c r="XA1516" s="879"/>
      <c r="XB1516" s="879"/>
      <c r="XC1516" s="879"/>
      <c r="XD1516" s="879"/>
      <c r="XE1516" s="879"/>
      <c r="XF1516" s="879"/>
      <c r="XG1516" s="879"/>
      <c r="XH1516" s="879"/>
      <c r="XI1516" s="879"/>
      <c r="XJ1516" s="879"/>
      <c r="XK1516" s="879"/>
      <c r="XL1516" s="879"/>
      <c r="XM1516" s="879"/>
      <c r="XN1516" s="879"/>
      <c r="XO1516" s="879"/>
      <c r="XP1516" s="879"/>
      <c r="XQ1516" s="879"/>
      <c r="XR1516" s="879"/>
      <c r="XS1516" s="879"/>
      <c r="XT1516" s="879"/>
      <c r="XU1516" s="879"/>
      <c r="XV1516" s="879"/>
      <c r="XW1516" s="879"/>
      <c r="XX1516" s="879"/>
      <c r="XY1516" s="879"/>
      <c r="XZ1516" s="879"/>
      <c r="YA1516" s="879"/>
      <c r="YB1516" s="879"/>
      <c r="YC1516" s="879"/>
      <c r="YD1516" s="879"/>
      <c r="YE1516" s="879"/>
      <c r="YF1516" s="879"/>
      <c r="YG1516" s="879"/>
      <c r="YH1516" s="879"/>
      <c r="YI1516" s="879"/>
      <c r="YJ1516" s="879"/>
      <c r="YK1516" s="879"/>
      <c r="YL1516" s="879"/>
      <c r="YM1516" s="879"/>
      <c r="YN1516" s="879"/>
      <c r="YO1516" s="879"/>
      <c r="YP1516" s="879"/>
      <c r="YQ1516" s="879"/>
      <c r="YR1516" s="879"/>
      <c r="YS1516" s="879"/>
      <c r="YT1516" s="879"/>
      <c r="YU1516" s="879"/>
      <c r="YV1516" s="879"/>
      <c r="YW1516" s="879"/>
      <c r="YX1516" s="879"/>
      <c r="YY1516" s="879"/>
      <c r="YZ1516" s="879"/>
      <c r="ZA1516" s="879"/>
      <c r="ZB1516" s="879"/>
      <c r="ZC1516" s="879"/>
      <c r="ZD1516" s="879"/>
      <c r="ZE1516" s="879"/>
      <c r="ZF1516" s="879"/>
      <c r="ZG1516" s="879"/>
      <c r="ZH1516" s="879"/>
      <c r="ZI1516" s="879"/>
      <c r="ZJ1516" s="879"/>
      <c r="ZK1516" s="879"/>
      <c r="ZL1516" s="879"/>
      <c r="ZM1516" s="879"/>
      <c r="ZN1516" s="879"/>
      <c r="ZO1516" s="879"/>
      <c r="ZP1516" s="879"/>
      <c r="ZQ1516" s="879"/>
      <c r="ZR1516" s="879"/>
      <c r="ZS1516" s="879"/>
      <c r="ZT1516" s="879"/>
      <c r="ZU1516" s="879"/>
      <c r="ZV1516" s="879"/>
      <c r="ZW1516" s="879"/>
      <c r="ZX1516" s="879"/>
      <c r="ZY1516" s="879"/>
      <c r="ZZ1516" s="879"/>
      <c r="AAA1516" s="879"/>
      <c r="AAB1516" s="879"/>
      <c r="AAC1516" s="879"/>
      <c r="AAD1516" s="879"/>
      <c r="AAE1516" s="879"/>
      <c r="AAF1516" s="879"/>
      <c r="AAG1516" s="879"/>
      <c r="AAH1516" s="879"/>
      <c r="AAI1516" s="879"/>
      <c r="AAJ1516" s="879"/>
      <c r="AAK1516" s="879"/>
      <c r="AAL1516" s="879"/>
      <c r="AAM1516" s="879"/>
      <c r="AAN1516" s="879"/>
      <c r="AAO1516" s="879"/>
      <c r="AAP1516" s="879"/>
      <c r="AAQ1516" s="879"/>
      <c r="AAR1516" s="879"/>
      <c r="AAS1516" s="879"/>
      <c r="AAT1516" s="879"/>
      <c r="AAU1516" s="879"/>
      <c r="AAV1516" s="879"/>
      <c r="AAW1516" s="879"/>
      <c r="AAX1516" s="879"/>
      <c r="AAY1516" s="879"/>
      <c r="AAZ1516" s="879"/>
      <c r="ABA1516" s="879"/>
      <c r="ABB1516" s="879"/>
      <c r="ABC1516" s="879"/>
      <c r="ABD1516" s="879"/>
      <c r="ABE1516" s="879"/>
      <c r="ABF1516" s="879"/>
      <c r="ABG1516" s="879"/>
      <c r="ABH1516" s="879"/>
      <c r="ABI1516" s="879"/>
      <c r="ABJ1516" s="879"/>
      <c r="ABK1516" s="879"/>
      <c r="ABL1516" s="879"/>
      <c r="ABM1516" s="879"/>
      <c r="ABN1516" s="879"/>
      <c r="ABO1516" s="879"/>
      <c r="ABP1516" s="879"/>
      <c r="ABQ1516" s="879"/>
      <c r="ABR1516" s="879"/>
      <c r="ABS1516" s="879"/>
      <c r="ABT1516" s="879"/>
      <c r="ABU1516" s="879"/>
      <c r="ABV1516" s="879"/>
      <c r="ABW1516" s="879"/>
      <c r="ABX1516" s="879"/>
      <c r="ABY1516" s="879"/>
      <c r="ABZ1516" s="879"/>
      <c r="ACA1516" s="879"/>
      <c r="ACB1516" s="879"/>
      <c r="ACC1516" s="879"/>
      <c r="ACD1516" s="879"/>
      <c r="ACE1516" s="879"/>
      <c r="ACF1516" s="879"/>
      <c r="ACG1516" s="879"/>
      <c r="ACH1516" s="879"/>
      <c r="ACI1516" s="879"/>
      <c r="ACJ1516" s="879"/>
      <c r="ACK1516" s="879"/>
      <c r="ACL1516" s="879"/>
      <c r="ACM1516" s="879"/>
      <c r="ACN1516" s="879"/>
      <c r="ACO1516" s="879"/>
      <c r="ACP1516" s="879"/>
      <c r="ACQ1516" s="879"/>
      <c r="ACR1516" s="879"/>
      <c r="ACS1516" s="879"/>
      <c r="ACT1516" s="879"/>
      <c r="ACU1516" s="879"/>
      <c r="ACV1516" s="879"/>
      <c r="ACW1516" s="879"/>
      <c r="ACX1516" s="879"/>
      <c r="ACY1516" s="879"/>
      <c r="ACZ1516" s="879"/>
      <c r="ADA1516" s="879"/>
      <c r="ADB1516" s="879"/>
      <c r="ADC1516" s="879"/>
      <c r="ADD1516" s="879"/>
      <c r="ADE1516" s="879"/>
      <c r="ADF1516" s="879"/>
      <c r="ADG1516" s="879"/>
      <c r="ADH1516" s="879"/>
      <c r="ADI1516" s="879"/>
      <c r="ADJ1516" s="879"/>
      <c r="ADK1516" s="879"/>
      <c r="ADL1516" s="879"/>
      <c r="ADM1516" s="879"/>
      <c r="ADN1516" s="879"/>
      <c r="ADO1516" s="879"/>
      <c r="ADP1516" s="879"/>
      <c r="ADQ1516" s="879"/>
      <c r="ADR1516" s="879"/>
      <c r="ADS1516" s="879"/>
      <c r="ADT1516" s="879"/>
      <c r="ADU1516" s="879"/>
      <c r="ADV1516" s="879"/>
      <c r="ADW1516" s="879"/>
      <c r="ADX1516" s="879"/>
      <c r="ADY1516" s="879"/>
      <c r="ADZ1516" s="879"/>
      <c r="AEA1516" s="879"/>
      <c r="AEB1516" s="879"/>
      <c r="AEC1516" s="879"/>
      <c r="AED1516" s="879"/>
      <c r="AEE1516" s="879"/>
      <c r="AEF1516" s="879"/>
      <c r="AEG1516" s="879"/>
      <c r="AEH1516" s="879"/>
      <c r="AEI1516" s="879"/>
      <c r="AEJ1516" s="879"/>
      <c r="AEK1516" s="879"/>
      <c r="AEL1516" s="879"/>
      <c r="AEM1516" s="879"/>
      <c r="AEN1516" s="879"/>
      <c r="AEO1516" s="879"/>
      <c r="AEP1516" s="879"/>
      <c r="AEQ1516" s="879"/>
      <c r="AER1516" s="879"/>
      <c r="AES1516" s="879"/>
      <c r="AET1516" s="879"/>
      <c r="AEU1516" s="879"/>
      <c r="AEV1516" s="879"/>
      <c r="AEW1516" s="879"/>
      <c r="AEX1516" s="879"/>
      <c r="AEY1516" s="879"/>
      <c r="AEZ1516" s="879"/>
      <c r="AFA1516" s="879"/>
      <c r="AFB1516" s="879"/>
      <c r="AFC1516" s="879"/>
      <c r="AFD1516" s="879"/>
      <c r="AFE1516" s="879"/>
      <c r="AFF1516" s="879"/>
      <c r="AFG1516" s="879"/>
      <c r="AFH1516" s="879"/>
      <c r="AFI1516" s="879"/>
      <c r="AFJ1516" s="879"/>
      <c r="AFK1516" s="879"/>
      <c r="AFL1516" s="879"/>
      <c r="AFM1516" s="879"/>
      <c r="AFN1516" s="879"/>
      <c r="AFO1516" s="879"/>
      <c r="AFP1516" s="879"/>
      <c r="AFQ1516" s="879"/>
      <c r="AFR1516" s="879"/>
      <c r="AFS1516" s="879"/>
      <c r="AFT1516" s="879"/>
      <c r="AFU1516" s="879"/>
      <c r="AFV1516" s="879"/>
      <c r="AFW1516" s="879"/>
      <c r="AFX1516" s="879"/>
      <c r="AFY1516" s="879"/>
      <c r="AFZ1516" s="879"/>
      <c r="AGA1516" s="879"/>
      <c r="AGB1516" s="879"/>
      <c r="AGC1516" s="879"/>
      <c r="AGD1516" s="879"/>
      <c r="AGE1516" s="879"/>
      <c r="AGF1516" s="879"/>
      <c r="AGG1516" s="879"/>
      <c r="AGH1516" s="879"/>
      <c r="AGI1516" s="879"/>
      <c r="AGJ1516" s="879"/>
      <c r="AGK1516" s="879"/>
      <c r="AGL1516" s="879"/>
      <c r="AGM1516" s="879"/>
      <c r="AGN1516" s="879"/>
      <c r="AGO1516" s="879"/>
      <c r="AGP1516" s="879"/>
      <c r="AGQ1516" s="879"/>
      <c r="AGR1516" s="879"/>
      <c r="AGS1516" s="879"/>
      <c r="AGT1516" s="879"/>
      <c r="AGU1516" s="879"/>
      <c r="AGV1516" s="879"/>
      <c r="AGW1516" s="879"/>
      <c r="AGX1516" s="879"/>
      <c r="AGY1516" s="879"/>
      <c r="AGZ1516" s="879"/>
      <c r="AHA1516" s="879"/>
      <c r="AHB1516" s="879"/>
      <c r="AHC1516" s="879"/>
      <c r="AHD1516" s="879"/>
      <c r="AHE1516" s="879"/>
      <c r="AHF1516" s="879"/>
      <c r="AHG1516" s="879"/>
      <c r="AHH1516" s="879"/>
      <c r="AHI1516" s="879"/>
      <c r="AHJ1516" s="879"/>
      <c r="AHK1516" s="879"/>
      <c r="AHL1516" s="879"/>
      <c r="AHM1516" s="879"/>
      <c r="AHN1516" s="879"/>
      <c r="AHO1516" s="879"/>
      <c r="AHP1516" s="879"/>
      <c r="AHQ1516" s="879"/>
      <c r="AHR1516" s="879"/>
      <c r="AHS1516" s="879"/>
      <c r="AHT1516" s="879"/>
      <c r="AHU1516" s="879"/>
      <c r="AHV1516" s="879"/>
      <c r="AHW1516" s="879"/>
      <c r="AHX1516" s="879"/>
      <c r="AHY1516" s="879"/>
      <c r="AHZ1516" s="879"/>
      <c r="AIA1516" s="879"/>
      <c r="AIB1516" s="879"/>
      <c r="AIC1516" s="879"/>
      <c r="AID1516" s="879"/>
      <c r="AIE1516" s="879"/>
      <c r="AIF1516" s="879"/>
      <c r="AIG1516" s="879"/>
      <c r="AIH1516" s="879"/>
      <c r="AII1516" s="879"/>
      <c r="AIJ1516" s="879"/>
      <c r="AIK1516" s="879"/>
      <c r="AIL1516" s="879"/>
      <c r="AIM1516" s="879"/>
      <c r="AIN1516" s="879"/>
      <c r="AIO1516" s="879"/>
      <c r="AIP1516" s="879"/>
      <c r="AIQ1516" s="879"/>
      <c r="AIR1516" s="879"/>
      <c r="AIS1516" s="879"/>
      <c r="AIT1516" s="879"/>
      <c r="AIU1516" s="879"/>
      <c r="AIV1516" s="879"/>
      <c r="AIW1516" s="879"/>
      <c r="AIX1516" s="879"/>
      <c r="AIY1516" s="879"/>
      <c r="AIZ1516" s="879"/>
      <c r="AJA1516" s="879"/>
      <c r="AJB1516" s="879"/>
      <c r="AJC1516" s="879"/>
      <c r="AJD1516" s="879"/>
      <c r="AJE1516" s="879"/>
      <c r="AJF1516" s="879"/>
      <c r="AJG1516" s="879"/>
      <c r="AJH1516" s="879"/>
      <c r="AJI1516" s="879"/>
      <c r="AJJ1516" s="879"/>
      <c r="AJK1516" s="879"/>
      <c r="AJL1516" s="879"/>
      <c r="AJM1516" s="879"/>
      <c r="AJN1516" s="879"/>
      <c r="AJO1516" s="879"/>
      <c r="AJP1516" s="879"/>
      <c r="AJQ1516" s="879"/>
      <c r="AJR1516" s="879"/>
      <c r="AJS1516" s="879"/>
      <c r="AJT1516" s="879"/>
      <c r="AJU1516" s="879"/>
      <c r="AJV1516" s="879"/>
      <c r="AJW1516" s="879"/>
      <c r="AJX1516" s="879"/>
      <c r="AJY1516" s="879"/>
      <c r="AJZ1516" s="879"/>
      <c r="AKA1516" s="879"/>
      <c r="AKB1516" s="879"/>
      <c r="AKC1516" s="879"/>
      <c r="AKD1516" s="879"/>
      <c r="AKE1516" s="879"/>
      <c r="AKF1516" s="879"/>
      <c r="AKG1516" s="879"/>
      <c r="AKH1516" s="879"/>
      <c r="AKI1516" s="879"/>
      <c r="AKJ1516" s="879"/>
      <c r="AKK1516" s="879"/>
      <c r="AKL1516" s="879"/>
      <c r="AKM1516" s="879"/>
      <c r="AKN1516" s="879"/>
      <c r="AKO1516" s="879"/>
      <c r="AKP1516" s="879"/>
      <c r="AKQ1516" s="879"/>
      <c r="AKR1516" s="879"/>
      <c r="AKS1516" s="879"/>
      <c r="AKT1516" s="879"/>
      <c r="AKU1516" s="879"/>
      <c r="AKV1516" s="879"/>
      <c r="AKW1516" s="879"/>
      <c r="AKX1516" s="879"/>
      <c r="AKY1516" s="879"/>
      <c r="AKZ1516" s="879"/>
      <c r="ALA1516" s="879"/>
      <c r="ALB1516" s="879"/>
      <c r="ALC1516" s="879"/>
      <c r="ALD1516" s="879"/>
      <c r="ALE1516" s="879"/>
      <c r="ALF1516" s="879"/>
      <c r="ALG1516" s="879"/>
      <c r="ALH1516" s="879"/>
      <c r="ALI1516" s="879"/>
      <c r="ALJ1516" s="879"/>
      <c r="ALK1516" s="879"/>
      <c r="ALL1516" s="879"/>
      <c r="ALM1516" s="879"/>
      <c r="ALN1516" s="879"/>
      <c r="ALO1516" s="879"/>
      <c r="ALP1516" s="879"/>
      <c r="ALQ1516" s="879"/>
      <c r="ALR1516" s="879"/>
      <c r="ALS1516" s="879"/>
      <c r="ALT1516" s="879"/>
      <c r="ALU1516" s="879"/>
      <c r="ALV1516" s="879"/>
      <c r="ALW1516" s="879"/>
      <c r="ALX1516" s="879"/>
      <c r="ALY1516" s="879"/>
      <c r="ALZ1516" s="879"/>
      <c r="AMA1516" s="879"/>
      <c r="AMB1516" s="879"/>
      <c r="AMC1516" s="879"/>
      <c r="AMD1516" s="879"/>
      <c r="AME1516" s="879"/>
      <c r="AMF1516" s="879"/>
      <c r="AMG1516" s="879"/>
      <c r="AMH1516" s="879"/>
      <c r="AMI1516" s="879"/>
      <c r="AMJ1516" s="879"/>
      <c r="AMK1516" s="879"/>
      <c r="AML1516" s="879"/>
      <c r="AMM1516" s="879"/>
      <c r="AMN1516" s="879"/>
      <c r="AMO1516" s="879"/>
      <c r="AMP1516" s="879"/>
      <c r="AMQ1516" s="879"/>
      <c r="AMR1516" s="879"/>
      <c r="AMS1516" s="879"/>
      <c r="AMT1516" s="879"/>
      <c r="AMU1516" s="879"/>
      <c r="AMV1516" s="879"/>
      <c r="AMW1516" s="879"/>
      <c r="AMX1516" s="879"/>
      <c r="AMY1516" s="879"/>
      <c r="AMZ1516" s="879"/>
      <c r="ANA1516" s="879"/>
      <c r="ANB1516" s="879"/>
      <c r="ANC1516" s="879"/>
      <c r="AND1516" s="879"/>
      <c r="ANE1516" s="879"/>
      <c r="ANF1516" s="879"/>
      <c r="ANG1516" s="879"/>
      <c r="ANH1516" s="879"/>
      <c r="ANI1516" s="879"/>
      <c r="ANJ1516" s="879"/>
      <c r="ANK1516" s="879"/>
      <c r="ANL1516" s="879"/>
      <c r="ANM1516" s="879"/>
      <c r="ANN1516" s="879"/>
      <c r="ANO1516" s="879"/>
      <c r="ANP1516" s="879"/>
      <c r="ANQ1516" s="879"/>
      <c r="ANR1516" s="879"/>
      <c r="ANS1516" s="879"/>
      <c r="ANT1516" s="879"/>
      <c r="ANU1516" s="879"/>
      <c r="ANV1516" s="879"/>
      <c r="ANW1516" s="879"/>
      <c r="ANX1516" s="879"/>
      <c r="ANY1516" s="879"/>
      <c r="ANZ1516" s="879"/>
      <c r="AOA1516" s="879"/>
      <c r="AOB1516" s="879"/>
      <c r="AOC1516" s="879"/>
      <c r="AOD1516" s="879"/>
      <c r="AOE1516" s="879"/>
      <c r="AOF1516" s="879"/>
      <c r="AOG1516" s="879"/>
      <c r="AOH1516" s="879"/>
      <c r="AOI1516" s="879"/>
      <c r="AOJ1516" s="879"/>
      <c r="AOK1516" s="879"/>
      <c r="AOL1516" s="879"/>
      <c r="AOM1516" s="879"/>
      <c r="AON1516" s="879"/>
      <c r="AOO1516" s="879"/>
      <c r="AOP1516" s="879"/>
      <c r="AOQ1516" s="879"/>
      <c r="AOR1516" s="879"/>
      <c r="AOS1516" s="879"/>
      <c r="AOT1516" s="879"/>
      <c r="AOU1516" s="879"/>
      <c r="AOV1516" s="879"/>
      <c r="AOW1516" s="879"/>
      <c r="AOX1516" s="879"/>
      <c r="AOY1516" s="879"/>
      <c r="AOZ1516" s="879"/>
      <c r="APA1516" s="879"/>
      <c r="APB1516" s="879"/>
      <c r="APC1516" s="879"/>
      <c r="APD1516" s="879"/>
      <c r="APE1516" s="879"/>
      <c r="APF1516" s="879"/>
      <c r="APG1516" s="879"/>
      <c r="APH1516" s="879"/>
      <c r="API1516" s="879"/>
      <c r="APJ1516" s="879"/>
      <c r="APK1516" s="879"/>
      <c r="APL1516" s="879"/>
      <c r="APM1516" s="879"/>
      <c r="APN1516" s="879"/>
      <c r="APO1516" s="879"/>
      <c r="APP1516" s="879"/>
      <c r="APQ1516" s="879"/>
      <c r="APR1516" s="879"/>
      <c r="APS1516" s="879"/>
      <c r="APT1516" s="879"/>
      <c r="APU1516" s="879"/>
      <c r="APV1516" s="879"/>
      <c r="APW1516" s="879"/>
      <c r="APX1516" s="879"/>
      <c r="APY1516" s="879"/>
      <c r="APZ1516" s="879"/>
      <c r="AQA1516" s="879"/>
      <c r="AQB1516" s="879"/>
      <c r="AQC1516" s="879"/>
      <c r="AQD1516" s="879"/>
      <c r="AQE1516" s="879"/>
      <c r="AQF1516" s="879"/>
      <c r="AQG1516" s="879"/>
      <c r="AQH1516" s="879"/>
      <c r="AQI1516" s="879"/>
      <c r="AQJ1516" s="879"/>
      <c r="AQK1516" s="879"/>
      <c r="AQL1516" s="879"/>
      <c r="AQM1516" s="879"/>
      <c r="AQN1516" s="879"/>
      <c r="AQO1516" s="879"/>
      <c r="AQP1516" s="879"/>
      <c r="AQQ1516" s="879"/>
      <c r="AQR1516" s="879"/>
      <c r="AQS1516" s="879"/>
      <c r="AQT1516" s="879"/>
      <c r="AQU1516" s="879"/>
      <c r="AQV1516" s="879"/>
      <c r="AQW1516" s="879"/>
      <c r="AQX1516" s="879"/>
      <c r="AQY1516" s="879"/>
      <c r="AQZ1516" s="879"/>
      <c r="ARA1516" s="879"/>
      <c r="ARB1516" s="879"/>
      <c r="ARC1516" s="879"/>
      <c r="ARD1516" s="879"/>
      <c r="ARE1516" s="879"/>
      <c r="ARF1516" s="879"/>
      <c r="ARG1516" s="879"/>
      <c r="ARH1516" s="879"/>
      <c r="ARI1516" s="879"/>
      <c r="ARJ1516" s="879"/>
      <c r="ARK1516" s="879"/>
      <c r="ARL1516" s="879"/>
      <c r="ARM1516" s="879"/>
      <c r="ARN1516" s="879"/>
      <c r="ARO1516" s="879"/>
      <c r="ARP1516" s="879"/>
      <c r="ARQ1516" s="879"/>
      <c r="ARR1516" s="879"/>
      <c r="ARS1516" s="879"/>
      <c r="ART1516" s="879"/>
      <c r="ARU1516" s="879"/>
      <c r="ARV1516" s="879"/>
      <c r="ARW1516" s="879"/>
      <c r="ARX1516" s="879"/>
      <c r="ARY1516" s="879"/>
      <c r="ARZ1516" s="879"/>
      <c r="ASA1516" s="879"/>
      <c r="ASB1516" s="879"/>
      <c r="ASC1516" s="879"/>
      <c r="ASD1516" s="879"/>
      <c r="ASE1516" s="879"/>
      <c r="ASF1516" s="879"/>
      <c r="ASG1516" s="879"/>
      <c r="ASH1516" s="879"/>
      <c r="ASI1516" s="879"/>
      <c r="ASJ1516" s="879"/>
      <c r="ASK1516" s="879"/>
      <c r="ASL1516" s="879"/>
      <c r="ASM1516" s="879"/>
      <c r="ASN1516" s="879"/>
      <c r="ASO1516" s="879"/>
      <c r="ASP1516" s="879"/>
      <c r="ASQ1516" s="879"/>
      <c r="ASR1516" s="879"/>
      <c r="ASS1516" s="879"/>
      <c r="AST1516" s="879"/>
      <c r="ASU1516" s="879"/>
      <c r="ASV1516" s="879"/>
      <c r="ASW1516" s="879"/>
      <c r="ASX1516" s="879"/>
      <c r="ASY1516" s="879"/>
      <c r="ASZ1516" s="879"/>
      <c r="ATA1516" s="879"/>
      <c r="ATB1516" s="879"/>
      <c r="ATC1516" s="879"/>
      <c r="ATD1516" s="879"/>
      <c r="ATE1516" s="879"/>
      <c r="ATF1516" s="879"/>
      <c r="ATG1516" s="879"/>
      <c r="ATH1516" s="879"/>
      <c r="ATI1516" s="879"/>
      <c r="ATJ1516" s="879"/>
      <c r="ATK1516" s="879"/>
      <c r="ATL1516" s="879"/>
      <c r="ATM1516" s="879"/>
      <c r="ATN1516" s="879"/>
      <c r="ATO1516" s="879"/>
      <c r="ATP1516" s="879"/>
      <c r="ATQ1516" s="879"/>
      <c r="ATR1516" s="879"/>
      <c r="ATS1516" s="879"/>
      <c r="ATT1516" s="879"/>
      <c r="ATU1516" s="879"/>
      <c r="ATV1516" s="879"/>
      <c r="ATW1516" s="879"/>
      <c r="ATX1516" s="879"/>
      <c r="ATY1516" s="879"/>
      <c r="ATZ1516" s="879"/>
      <c r="AUA1516" s="879"/>
      <c r="AUB1516" s="879"/>
      <c r="AUC1516" s="879"/>
      <c r="AUD1516" s="879"/>
      <c r="AUE1516" s="879"/>
      <c r="AUF1516" s="879"/>
      <c r="AUG1516" s="879"/>
      <c r="AUH1516" s="879"/>
      <c r="AUI1516" s="879"/>
      <c r="AUJ1516" s="879"/>
      <c r="AUK1516" s="879"/>
      <c r="AUL1516" s="879"/>
      <c r="AUM1516" s="879"/>
      <c r="AUN1516" s="879"/>
      <c r="AUO1516" s="879"/>
      <c r="AUP1516" s="879"/>
      <c r="AUQ1516" s="879"/>
      <c r="AUR1516" s="879"/>
      <c r="AUS1516" s="879"/>
      <c r="AUT1516" s="879"/>
      <c r="AUU1516" s="879"/>
      <c r="AUV1516" s="879"/>
      <c r="AUW1516" s="879"/>
      <c r="AUX1516" s="879"/>
      <c r="AUY1516" s="879"/>
      <c r="AUZ1516" s="879"/>
      <c r="AVA1516" s="879"/>
      <c r="AVB1516" s="879"/>
      <c r="AVC1516" s="879"/>
      <c r="AVD1516" s="879"/>
      <c r="AVE1516" s="879"/>
      <c r="AVF1516" s="879"/>
      <c r="AVG1516" s="879"/>
      <c r="AVH1516" s="879"/>
      <c r="AVI1516" s="879"/>
      <c r="AVJ1516" s="879"/>
      <c r="AVK1516" s="879"/>
      <c r="AVL1516" s="879"/>
      <c r="AVM1516" s="879"/>
      <c r="AVN1516" s="879"/>
      <c r="AVO1516" s="879"/>
      <c r="AVP1516" s="879"/>
      <c r="AVQ1516" s="879"/>
      <c r="AVR1516" s="879"/>
      <c r="AVS1516" s="879"/>
      <c r="AVT1516" s="879"/>
      <c r="AVU1516" s="879"/>
      <c r="AVV1516" s="879"/>
      <c r="AVW1516" s="879"/>
      <c r="AVX1516" s="879"/>
      <c r="AVY1516" s="879"/>
      <c r="AVZ1516" s="879"/>
      <c r="AWA1516" s="879"/>
      <c r="AWB1516" s="879"/>
      <c r="AWC1516" s="879"/>
      <c r="AWD1516" s="879"/>
      <c r="AWE1516" s="879"/>
      <c r="AWF1516" s="879"/>
      <c r="AWG1516" s="879"/>
      <c r="AWH1516" s="879"/>
      <c r="AWI1516" s="879"/>
      <c r="AWJ1516" s="879"/>
      <c r="AWK1516" s="879"/>
      <c r="AWL1516" s="879"/>
      <c r="AWM1516" s="879"/>
      <c r="AWN1516" s="879"/>
      <c r="AWO1516" s="879"/>
      <c r="AWP1516" s="879"/>
      <c r="AWQ1516" s="879"/>
      <c r="AWR1516" s="879"/>
      <c r="AWS1516" s="879"/>
      <c r="AWT1516" s="879"/>
      <c r="AWU1516" s="879"/>
      <c r="AWV1516" s="879"/>
      <c r="AWW1516" s="879"/>
      <c r="AWX1516" s="879"/>
      <c r="AWY1516" s="879"/>
      <c r="AWZ1516" s="879"/>
      <c r="AXA1516" s="879"/>
      <c r="AXB1516" s="879"/>
      <c r="AXC1516" s="879"/>
      <c r="AXD1516" s="879"/>
      <c r="AXE1516" s="879"/>
      <c r="AXF1516" s="879"/>
      <c r="AXG1516" s="879"/>
      <c r="AXH1516" s="879"/>
      <c r="AXI1516" s="879"/>
      <c r="AXJ1516" s="879"/>
      <c r="AXK1516" s="879"/>
      <c r="AXL1516" s="879"/>
      <c r="AXM1516" s="879"/>
      <c r="AXN1516" s="879"/>
      <c r="AXO1516" s="879"/>
      <c r="AXP1516" s="879"/>
      <c r="AXQ1516" s="879"/>
      <c r="AXR1516" s="879"/>
      <c r="AXS1516" s="879"/>
      <c r="AXT1516" s="879"/>
      <c r="AXU1516" s="879"/>
      <c r="AXV1516" s="879"/>
      <c r="AXW1516" s="879"/>
      <c r="AXX1516" s="879"/>
      <c r="AXY1516" s="879"/>
      <c r="AXZ1516" s="879"/>
      <c r="AYA1516" s="879"/>
      <c r="AYB1516" s="879"/>
      <c r="AYC1516" s="879"/>
      <c r="AYD1516" s="879"/>
      <c r="AYE1516" s="879"/>
      <c r="AYF1516" s="879"/>
      <c r="AYG1516" s="879"/>
      <c r="AYH1516" s="879"/>
      <c r="AYI1516" s="879"/>
      <c r="AYJ1516" s="879"/>
      <c r="AYK1516" s="879"/>
      <c r="AYL1516" s="879"/>
      <c r="AYM1516" s="879"/>
      <c r="AYN1516" s="879"/>
      <c r="AYO1516" s="879"/>
      <c r="AYP1516" s="879"/>
      <c r="AYQ1516" s="879"/>
      <c r="AYR1516" s="879"/>
      <c r="AYS1516" s="879"/>
      <c r="AYT1516" s="879"/>
      <c r="AYU1516" s="879"/>
      <c r="AYV1516" s="879"/>
      <c r="AYW1516" s="879"/>
      <c r="AYX1516" s="879"/>
      <c r="AYY1516" s="879"/>
      <c r="AYZ1516" s="879"/>
      <c r="AZA1516" s="879"/>
      <c r="AZB1516" s="879"/>
      <c r="AZC1516" s="879"/>
      <c r="AZD1516" s="879"/>
      <c r="AZE1516" s="879"/>
      <c r="AZF1516" s="879"/>
      <c r="AZG1516" s="879"/>
      <c r="AZH1516" s="879"/>
      <c r="AZI1516" s="879"/>
      <c r="AZJ1516" s="879"/>
      <c r="AZK1516" s="879"/>
      <c r="AZL1516" s="879"/>
      <c r="AZM1516" s="879"/>
      <c r="AZN1516" s="879"/>
      <c r="AZO1516" s="879"/>
      <c r="AZP1516" s="879"/>
      <c r="AZQ1516" s="879"/>
      <c r="AZR1516" s="879"/>
      <c r="AZS1516" s="879"/>
      <c r="AZT1516" s="879"/>
      <c r="AZU1516" s="879"/>
      <c r="AZV1516" s="879"/>
      <c r="AZW1516" s="879"/>
      <c r="AZX1516" s="879"/>
      <c r="AZY1516" s="879"/>
      <c r="AZZ1516" s="879"/>
      <c r="BAA1516" s="879"/>
      <c r="BAB1516" s="879"/>
      <c r="BAC1516" s="879"/>
      <c r="BAD1516" s="879"/>
      <c r="BAE1516" s="879"/>
      <c r="BAF1516" s="879"/>
      <c r="BAG1516" s="879"/>
      <c r="BAH1516" s="879"/>
      <c r="BAI1516" s="879"/>
      <c r="BAJ1516" s="879"/>
      <c r="BAK1516" s="879"/>
      <c r="BAL1516" s="879"/>
      <c r="BAM1516" s="879"/>
      <c r="BAN1516" s="879"/>
      <c r="BAO1516" s="879"/>
      <c r="BAP1516" s="879"/>
      <c r="BAQ1516" s="879"/>
      <c r="BAR1516" s="879"/>
      <c r="BAS1516" s="879"/>
      <c r="BAT1516" s="879"/>
      <c r="BAU1516" s="879"/>
      <c r="BAV1516" s="879"/>
      <c r="BAW1516" s="879"/>
      <c r="BAX1516" s="879"/>
      <c r="BAY1516" s="879"/>
      <c r="BAZ1516" s="879"/>
      <c r="BBA1516" s="879"/>
      <c r="BBB1516" s="879"/>
      <c r="BBC1516" s="879"/>
      <c r="BBD1516" s="879"/>
      <c r="BBE1516" s="879"/>
      <c r="BBF1516" s="879"/>
      <c r="BBG1516" s="879"/>
      <c r="BBH1516" s="879"/>
      <c r="BBI1516" s="879"/>
      <c r="BBJ1516" s="879"/>
      <c r="BBK1516" s="879"/>
      <c r="BBL1516" s="879"/>
      <c r="BBM1516" s="879"/>
      <c r="BBN1516" s="879"/>
      <c r="BBO1516" s="879"/>
      <c r="BBP1516" s="879"/>
      <c r="BBQ1516" s="879"/>
      <c r="BBR1516" s="879"/>
      <c r="BBS1516" s="879"/>
      <c r="BBT1516" s="879"/>
      <c r="BBU1516" s="879"/>
      <c r="BBV1516" s="879"/>
      <c r="BBW1516" s="879"/>
      <c r="BBX1516" s="879"/>
      <c r="BBY1516" s="879"/>
      <c r="BBZ1516" s="879"/>
      <c r="BCA1516" s="879"/>
      <c r="BCB1516" s="879"/>
      <c r="BCC1516" s="879"/>
      <c r="BCD1516" s="879"/>
      <c r="BCE1516" s="879"/>
      <c r="BCF1516" s="879"/>
      <c r="BCG1516" s="879"/>
      <c r="BCH1516" s="879"/>
      <c r="BCI1516" s="879"/>
      <c r="BCJ1516" s="879"/>
      <c r="BCK1516" s="879"/>
      <c r="BCL1516" s="879"/>
      <c r="BCM1516" s="879"/>
      <c r="BCN1516" s="879"/>
      <c r="BCO1516" s="879"/>
      <c r="BCP1516" s="879"/>
      <c r="BCQ1516" s="879"/>
      <c r="BCR1516" s="879"/>
      <c r="BCS1516" s="879"/>
      <c r="BCT1516" s="879"/>
      <c r="BCU1516" s="879"/>
      <c r="BCV1516" s="879"/>
      <c r="BCW1516" s="879"/>
      <c r="BCX1516" s="879"/>
      <c r="BCY1516" s="879"/>
      <c r="BCZ1516" s="879"/>
      <c r="BDA1516" s="879"/>
      <c r="BDB1516" s="879"/>
      <c r="BDC1516" s="879"/>
      <c r="BDD1516" s="879"/>
      <c r="BDE1516" s="879"/>
      <c r="BDF1516" s="879"/>
      <c r="BDG1516" s="879"/>
      <c r="BDH1516" s="879"/>
      <c r="BDI1516" s="879"/>
      <c r="BDJ1516" s="879"/>
      <c r="BDK1516" s="879"/>
      <c r="BDL1516" s="879"/>
      <c r="BDM1516" s="879"/>
      <c r="BDN1516" s="879"/>
      <c r="BDO1516" s="879"/>
      <c r="BDP1516" s="879"/>
      <c r="BDQ1516" s="879"/>
      <c r="BDR1516" s="879"/>
      <c r="BDS1516" s="879"/>
      <c r="BDT1516" s="879"/>
      <c r="BDU1516" s="879"/>
      <c r="BDV1516" s="879"/>
      <c r="BDW1516" s="879"/>
      <c r="BDX1516" s="879"/>
      <c r="BDY1516" s="879"/>
      <c r="BDZ1516" s="879"/>
      <c r="BEA1516" s="879"/>
      <c r="BEB1516" s="879"/>
      <c r="BEC1516" s="879"/>
      <c r="BED1516" s="879"/>
      <c r="BEE1516" s="879"/>
      <c r="BEF1516" s="879"/>
      <c r="BEG1516" s="879"/>
      <c r="BEH1516" s="879"/>
      <c r="BEI1516" s="879"/>
      <c r="BEJ1516" s="879"/>
      <c r="BEK1516" s="879"/>
      <c r="BEL1516" s="879"/>
      <c r="BEM1516" s="879"/>
      <c r="BEN1516" s="879"/>
      <c r="BEO1516" s="879"/>
      <c r="BEP1516" s="879"/>
      <c r="BEQ1516" s="879"/>
      <c r="BER1516" s="879"/>
      <c r="BES1516" s="879"/>
      <c r="BET1516" s="879"/>
      <c r="BEU1516" s="879"/>
      <c r="BEV1516" s="879"/>
      <c r="BEW1516" s="879"/>
      <c r="BEX1516" s="879"/>
      <c r="BEY1516" s="879"/>
      <c r="BEZ1516" s="879"/>
      <c r="BFA1516" s="879"/>
      <c r="BFB1516" s="879"/>
      <c r="BFC1516" s="879"/>
      <c r="BFD1516" s="879"/>
      <c r="BFE1516" s="879"/>
      <c r="BFF1516" s="879"/>
      <c r="BFG1516" s="879"/>
      <c r="BFH1516" s="879"/>
      <c r="BFI1516" s="879"/>
      <c r="BFJ1516" s="879"/>
      <c r="BFK1516" s="879"/>
      <c r="BFL1516" s="879"/>
      <c r="BFM1516" s="879"/>
      <c r="BFN1516" s="879"/>
      <c r="BFO1516" s="879"/>
      <c r="BFP1516" s="879"/>
      <c r="BFQ1516" s="879"/>
      <c r="BFR1516" s="879"/>
      <c r="BFS1516" s="879"/>
      <c r="BFT1516" s="879"/>
      <c r="BFU1516" s="879"/>
      <c r="BFV1516" s="879"/>
      <c r="BFW1516" s="879"/>
      <c r="BFX1516" s="879"/>
      <c r="BFY1516" s="879"/>
      <c r="BFZ1516" s="879"/>
      <c r="BGA1516" s="879"/>
      <c r="BGB1516" s="879"/>
      <c r="BGC1516" s="879"/>
      <c r="BGD1516" s="879"/>
      <c r="BGE1516" s="879"/>
      <c r="BGF1516" s="879"/>
      <c r="BGG1516" s="879"/>
      <c r="BGH1516" s="879"/>
      <c r="BGI1516" s="879"/>
      <c r="BGJ1516" s="879"/>
      <c r="BGK1516" s="879"/>
      <c r="BGL1516" s="879"/>
      <c r="BGM1516" s="879"/>
      <c r="BGN1516" s="879"/>
      <c r="BGO1516" s="879"/>
      <c r="BGP1516" s="879"/>
      <c r="BGQ1516" s="879"/>
      <c r="BGR1516" s="879"/>
      <c r="BGS1516" s="879"/>
      <c r="BGT1516" s="879"/>
      <c r="BGU1516" s="879"/>
      <c r="BGV1516" s="879"/>
      <c r="BGW1516" s="879"/>
      <c r="BGX1516" s="879"/>
      <c r="BGY1516" s="879"/>
      <c r="BGZ1516" s="879"/>
      <c r="BHA1516" s="879"/>
      <c r="BHB1516" s="879"/>
      <c r="BHC1516" s="879"/>
      <c r="BHD1516" s="879"/>
      <c r="BHE1516" s="879"/>
      <c r="BHF1516" s="879"/>
      <c r="BHG1516" s="879"/>
      <c r="BHH1516" s="879"/>
      <c r="BHI1516" s="879"/>
      <c r="BHJ1516" s="879"/>
      <c r="BHK1516" s="879"/>
      <c r="BHL1516" s="879"/>
      <c r="BHM1516" s="879"/>
      <c r="BHN1516" s="879"/>
      <c r="BHO1516" s="879"/>
      <c r="BHP1516" s="879"/>
      <c r="BHQ1516" s="879"/>
      <c r="BHR1516" s="879"/>
      <c r="BHS1516" s="879"/>
      <c r="BHT1516" s="879"/>
      <c r="BHU1516" s="879"/>
      <c r="BHV1516" s="879"/>
      <c r="BHW1516" s="879"/>
      <c r="BHX1516" s="879"/>
      <c r="BHY1516" s="879"/>
      <c r="BHZ1516" s="879"/>
      <c r="BIA1516" s="879"/>
      <c r="BIB1516" s="879"/>
      <c r="BIC1516" s="879"/>
      <c r="BID1516" s="879"/>
      <c r="BIE1516" s="879"/>
      <c r="BIF1516" s="879"/>
      <c r="BIG1516" s="879"/>
      <c r="BIH1516" s="879"/>
      <c r="BII1516" s="879"/>
      <c r="BIJ1516" s="879"/>
      <c r="BIK1516" s="879"/>
      <c r="BIL1516" s="879"/>
      <c r="BIM1516" s="879"/>
      <c r="BIN1516" s="879"/>
      <c r="BIO1516" s="879"/>
      <c r="BIP1516" s="879"/>
      <c r="BIQ1516" s="879"/>
      <c r="BIR1516" s="879"/>
      <c r="BIS1516" s="879"/>
      <c r="BIT1516" s="879"/>
      <c r="BIU1516" s="879"/>
      <c r="BIV1516" s="879"/>
      <c r="BIW1516" s="879"/>
      <c r="BIX1516" s="879"/>
      <c r="BIY1516" s="879"/>
      <c r="BIZ1516" s="879"/>
      <c r="BJA1516" s="879"/>
      <c r="BJB1516" s="879"/>
      <c r="BJC1516" s="879"/>
      <c r="BJD1516" s="879"/>
      <c r="BJE1516" s="879"/>
      <c r="BJF1516" s="879"/>
      <c r="BJG1516" s="879"/>
      <c r="BJH1516" s="879"/>
      <c r="BJI1516" s="879"/>
      <c r="BJJ1516" s="879"/>
      <c r="BJK1516" s="879"/>
      <c r="BJL1516" s="879"/>
      <c r="BJM1516" s="879"/>
      <c r="BJN1516" s="879"/>
      <c r="BJO1516" s="879"/>
      <c r="BJP1516" s="879"/>
      <c r="BJQ1516" s="879"/>
      <c r="BJR1516" s="879"/>
      <c r="BJS1516" s="879"/>
      <c r="BJT1516" s="879"/>
      <c r="BJU1516" s="879"/>
      <c r="BJV1516" s="879"/>
      <c r="BJW1516" s="879"/>
      <c r="BJX1516" s="879"/>
      <c r="BJY1516" s="879"/>
      <c r="BJZ1516" s="879"/>
      <c r="BKA1516" s="879"/>
      <c r="BKB1516" s="879"/>
      <c r="BKC1516" s="879"/>
      <c r="BKD1516" s="879"/>
      <c r="BKE1516" s="879"/>
      <c r="BKF1516" s="879"/>
      <c r="BKG1516" s="879"/>
      <c r="BKH1516" s="879"/>
      <c r="BKI1516" s="879"/>
      <c r="BKJ1516" s="879"/>
      <c r="BKK1516" s="879"/>
      <c r="BKL1516" s="879"/>
      <c r="BKM1516" s="879"/>
      <c r="BKN1516" s="879"/>
      <c r="BKO1516" s="879"/>
      <c r="BKP1516" s="879"/>
      <c r="BKQ1516" s="879"/>
      <c r="BKR1516" s="879"/>
      <c r="BKS1516" s="879"/>
      <c r="BKT1516" s="879"/>
      <c r="BKU1516" s="879"/>
      <c r="BKV1516" s="879"/>
      <c r="BKW1516" s="879"/>
      <c r="BKX1516" s="879"/>
      <c r="BKY1516" s="879"/>
      <c r="BKZ1516" s="879"/>
      <c r="BLA1516" s="879"/>
      <c r="BLB1516" s="879"/>
      <c r="BLC1516" s="879"/>
      <c r="BLD1516" s="879"/>
      <c r="BLE1516" s="879"/>
      <c r="BLF1516" s="879"/>
      <c r="BLG1516" s="879"/>
      <c r="BLH1516" s="879"/>
      <c r="BLI1516" s="879"/>
      <c r="BLJ1516" s="879"/>
      <c r="BLK1516" s="879"/>
      <c r="BLL1516" s="879"/>
      <c r="BLM1516" s="879"/>
      <c r="BLN1516" s="879"/>
      <c r="BLO1516" s="879"/>
      <c r="BLP1516" s="879"/>
      <c r="BLQ1516" s="879"/>
      <c r="BLR1516" s="879"/>
      <c r="BLS1516" s="879"/>
      <c r="BLT1516" s="879"/>
      <c r="BLU1516" s="879"/>
      <c r="BLV1516" s="879"/>
      <c r="BLW1516" s="879"/>
      <c r="BLX1516" s="879"/>
      <c r="BLY1516" s="879"/>
      <c r="BLZ1516" s="879"/>
      <c r="BMA1516" s="879"/>
      <c r="BMB1516" s="879"/>
      <c r="BMC1516" s="879"/>
      <c r="BMD1516" s="879"/>
      <c r="BME1516" s="879"/>
      <c r="BMF1516" s="879"/>
      <c r="BMG1516" s="879"/>
      <c r="BMH1516" s="879"/>
      <c r="BMI1516" s="879"/>
      <c r="BMJ1516" s="879"/>
      <c r="BMK1516" s="879"/>
      <c r="BML1516" s="879"/>
      <c r="BMM1516" s="879"/>
      <c r="BMN1516" s="879"/>
      <c r="BMO1516" s="879"/>
      <c r="BMP1516" s="879"/>
      <c r="BMQ1516" s="879"/>
      <c r="BMR1516" s="879"/>
      <c r="BMS1516" s="879"/>
      <c r="BMT1516" s="879"/>
      <c r="BMU1516" s="879"/>
      <c r="BMV1516" s="879"/>
      <c r="BMW1516" s="879"/>
      <c r="BMX1516" s="879"/>
      <c r="BMY1516" s="879"/>
      <c r="BMZ1516" s="879"/>
      <c r="BNA1516" s="879"/>
      <c r="BNB1516" s="879"/>
      <c r="BNC1516" s="879"/>
      <c r="BND1516" s="879"/>
      <c r="BNE1516" s="879"/>
      <c r="BNF1516" s="879"/>
      <c r="BNG1516" s="879"/>
      <c r="BNH1516" s="879"/>
      <c r="BNI1516" s="879"/>
      <c r="BNJ1516" s="879"/>
      <c r="BNK1516" s="879"/>
      <c r="BNL1516" s="879"/>
      <c r="BNM1516" s="879"/>
      <c r="BNN1516" s="879"/>
      <c r="BNO1516" s="879"/>
      <c r="BNP1516" s="879"/>
      <c r="BNQ1516" s="879"/>
      <c r="BNR1516" s="879"/>
      <c r="BNS1516" s="879"/>
      <c r="BNT1516" s="879"/>
      <c r="BNU1516" s="879"/>
      <c r="BNV1516" s="879"/>
      <c r="BNW1516" s="879"/>
      <c r="BNX1516" s="879"/>
      <c r="BNY1516" s="879"/>
      <c r="BNZ1516" s="879"/>
      <c r="BOA1516" s="879"/>
      <c r="BOB1516" s="879"/>
      <c r="BOC1516" s="879"/>
      <c r="BOD1516" s="879"/>
      <c r="BOE1516" s="879"/>
      <c r="BOF1516" s="879"/>
      <c r="BOG1516" s="879"/>
      <c r="BOH1516" s="879"/>
      <c r="BOI1516" s="879"/>
      <c r="BOJ1516" s="879"/>
      <c r="BOK1516" s="879"/>
      <c r="BOL1516" s="879"/>
      <c r="BOM1516" s="879"/>
      <c r="BON1516" s="879"/>
      <c r="BOO1516" s="879"/>
      <c r="BOP1516" s="879"/>
      <c r="BOQ1516" s="879"/>
      <c r="BOR1516" s="879"/>
      <c r="BOS1516" s="879"/>
      <c r="BOT1516" s="879"/>
      <c r="BOU1516" s="879"/>
      <c r="BOV1516" s="879"/>
      <c r="BOW1516" s="879"/>
      <c r="BOX1516" s="879"/>
      <c r="BOY1516" s="879"/>
      <c r="BOZ1516" s="879"/>
      <c r="BPA1516" s="879"/>
      <c r="BPB1516" s="879"/>
      <c r="BPC1516" s="879"/>
      <c r="BPD1516" s="879"/>
      <c r="BPE1516" s="879"/>
      <c r="BPF1516" s="879"/>
      <c r="BPG1516" s="879"/>
      <c r="BPH1516" s="879"/>
      <c r="BPI1516" s="879"/>
      <c r="BPJ1516" s="879"/>
      <c r="BPK1516" s="879"/>
      <c r="BPL1516" s="879"/>
      <c r="BPM1516" s="879"/>
      <c r="BPN1516" s="879"/>
      <c r="BPO1516" s="879"/>
      <c r="BPP1516" s="879"/>
      <c r="BPQ1516" s="879"/>
      <c r="BPR1516" s="879"/>
      <c r="BPS1516" s="879"/>
      <c r="BPT1516" s="879"/>
      <c r="BPU1516" s="879"/>
      <c r="BPV1516" s="879"/>
      <c r="BPW1516" s="879"/>
      <c r="BPX1516" s="879"/>
      <c r="BPY1516" s="879"/>
      <c r="BPZ1516" s="879"/>
      <c r="BQA1516" s="879"/>
      <c r="BQB1516" s="879"/>
      <c r="BQC1516" s="879"/>
      <c r="BQD1516" s="879"/>
      <c r="BQE1516" s="879"/>
      <c r="BQF1516" s="879"/>
      <c r="BQG1516" s="879"/>
      <c r="BQH1516" s="879"/>
      <c r="BQI1516" s="879"/>
      <c r="BQJ1516" s="879"/>
      <c r="BQK1516" s="879"/>
      <c r="BQL1516" s="879"/>
      <c r="BQM1516" s="879"/>
      <c r="BQN1516" s="879"/>
      <c r="BQO1516" s="879"/>
      <c r="BQP1516" s="879"/>
      <c r="BQQ1516" s="879"/>
      <c r="BQR1516" s="879"/>
      <c r="BQS1516" s="879"/>
      <c r="BQT1516" s="879"/>
      <c r="BQU1516" s="879"/>
      <c r="BQV1516" s="879"/>
      <c r="BQW1516" s="879"/>
      <c r="BQX1516" s="879"/>
      <c r="BQY1516" s="879"/>
      <c r="BQZ1516" s="879"/>
      <c r="BRA1516" s="879"/>
      <c r="BRB1516" s="879"/>
      <c r="BRC1516" s="879"/>
      <c r="BRD1516" s="879"/>
      <c r="BRE1516" s="879"/>
      <c r="BRF1516" s="879"/>
      <c r="BRG1516" s="879"/>
      <c r="BRH1516" s="879"/>
      <c r="BRI1516" s="879"/>
      <c r="BRJ1516" s="879"/>
      <c r="BRK1516" s="879"/>
      <c r="BRL1516" s="879"/>
      <c r="BRM1516" s="879"/>
      <c r="BRN1516" s="879"/>
      <c r="BRO1516" s="879"/>
      <c r="BRP1516" s="879"/>
      <c r="BRQ1516" s="879"/>
      <c r="BRR1516" s="879"/>
      <c r="BRS1516" s="879"/>
      <c r="BRT1516" s="879"/>
      <c r="BRU1516" s="879"/>
      <c r="BRV1516" s="879"/>
      <c r="BRW1516" s="879"/>
      <c r="BRX1516" s="879"/>
      <c r="BRY1516" s="879"/>
      <c r="BRZ1516" s="879"/>
      <c r="BSA1516" s="879"/>
      <c r="BSB1516" s="879"/>
      <c r="BSC1516" s="879"/>
      <c r="BSD1516" s="879"/>
      <c r="BSE1516" s="879"/>
      <c r="BSF1516" s="879"/>
      <c r="BSG1516" s="879"/>
      <c r="BSH1516" s="879"/>
      <c r="BSI1516" s="879"/>
      <c r="BSJ1516" s="879"/>
      <c r="BSK1516" s="879"/>
      <c r="BSL1516" s="879"/>
      <c r="BSM1516" s="879"/>
      <c r="BSN1516" s="879"/>
      <c r="BSO1516" s="879"/>
      <c r="BSP1516" s="879"/>
      <c r="BSQ1516" s="879"/>
      <c r="BSR1516" s="879"/>
      <c r="BSS1516" s="879"/>
      <c r="BST1516" s="879"/>
      <c r="BSU1516" s="879"/>
      <c r="BSV1516" s="879"/>
      <c r="BSW1516" s="879"/>
      <c r="BSX1516" s="879"/>
      <c r="BSY1516" s="879"/>
      <c r="BSZ1516" s="879"/>
      <c r="BTA1516" s="879"/>
      <c r="BTB1516" s="879"/>
      <c r="BTC1516" s="879"/>
      <c r="BTD1516" s="879"/>
      <c r="BTE1516" s="879"/>
      <c r="BTF1516" s="879"/>
      <c r="BTG1516" s="879"/>
      <c r="BTH1516" s="879"/>
      <c r="BTI1516" s="879"/>
      <c r="BTJ1516" s="879"/>
      <c r="BTK1516" s="879"/>
      <c r="BTL1516" s="879"/>
      <c r="BTM1516" s="879"/>
      <c r="BTN1516" s="879"/>
      <c r="BTO1516" s="879"/>
      <c r="BTP1516" s="879"/>
      <c r="BTQ1516" s="879"/>
      <c r="BTR1516" s="879"/>
      <c r="BTS1516" s="879"/>
      <c r="BTT1516" s="879"/>
      <c r="BTU1516" s="879"/>
      <c r="BTV1516" s="879"/>
      <c r="BTW1516" s="879"/>
      <c r="BTX1516" s="879"/>
      <c r="BTY1516" s="879"/>
      <c r="BTZ1516" s="879"/>
      <c r="BUA1516" s="879"/>
      <c r="BUB1516" s="879"/>
      <c r="BUC1516" s="879"/>
      <c r="BUD1516" s="879"/>
      <c r="BUE1516" s="879"/>
      <c r="BUF1516" s="879"/>
      <c r="BUG1516" s="879"/>
      <c r="BUH1516" s="879"/>
      <c r="BUI1516" s="879"/>
      <c r="BUJ1516" s="879"/>
      <c r="BUK1516" s="879"/>
      <c r="BUL1516" s="879"/>
      <c r="BUM1516" s="879"/>
      <c r="BUN1516" s="879"/>
      <c r="BUO1516" s="879"/>
      <c r="BUP1516" s="879"/>
      <c r="BUQ1516" s="879"/>
      <c r="BUR1516" s="879"/>
      <c r="BUS1516" s="879"/>
      <c r="BUT1516" s="879"/>
      <c r="BUU1516" s="879"/>
      <c r="BUV1516" s="879"/>
      <c r="BUW1516" s="879"/>
      <c r="BUX1516" s="879"/>
      <c r="BUY1516" s="879"/>
      <c r="BUZ1516" s="879"/>
      <c r="BVA1516" s="879"/>
      <c r="BVB1516" s="879"/>
      <c r="BVC1516" s="879"/>
      <c r="BVD1516" s="879"/>
      <c r="BVE1516" s="879"/>
      <c r="BVF1516" s="879"/>
      <c r="BVG1516" s="879"/>
      <c r="BVH1516" s="879"/>
      <c r="BVI1516" s="879"/>
      <c r="BVJ1516" s="879"/>
      <c r="BVK1516" s="879"/>
      <c r="BVL1516" s="879"/>
      <c r="BVM1516" s="879"/>
      <c r="BVN1516" s="879"/>
      <c r="BVO1516" s="879"/>
      <c r="BVP1516" s="879"/>
      <c r="BVQ1516" s="879"/>
      <c r="BVR1516" s="879"/>
      <c r="BVS1516" s="879"/>
      <c r="BVT1516" s="879"/>
      <c r="BVU1516" s="879"/>
      <c r="BVV1516" s="879"/>
      <c r="BVW1516" s="879"/>
      <c r="BVX1516" s="879"/>
      <c r="BVY1516" s="879"/>
      <c r="BVZ1516" s="879"/>
      <c r="BWA1516" s="879"/>
      <c r="BWB1516" s="879"/>
      <c r="BWC1516" s="879"/>
      <c r="BWD1516" s="879"/>
      <c r="BWE1516" s="879"/>
      <c r="BWF1516" s="879"/>
      <c r="BWG1516" s="879"/>
      <c r="BWH1516" s="879"/>
      <c r="BWI1516" s="879"/>
      <c r="BWJ1516" s="879"/>
      <c r="BWK1516" s="879"/>
      <c r="BWL1516" s="879"/>
      <c r="BWM1516" s="879"/>
      <c r="BWN1516" s="879"/>
      <c r="BWO1516" s="879"/>
      <c r="BWP1516" s="879"/>
      <c r="BWQ1516" s="879"/>
      <c r="BWR1516" s="879"/>
      <c r="BWS1516" s="879"/>
      <c r="BWT1516" s="879"/>
      <c r="BWU1516" s="879"/>
      <c r="BWV1516" s="879"/>
      <c r="BWW1516" s="879"/>
      <c r="BWX1516" s="879"/>
      <c r="BWY1516" s="879"/>
      <c r="BWZ1516" s="879"/>
      <c r="BXA1516" s="879"/>
      <c r="BXB1516" s="879"/>
      <c r="BXC1516" s="879"/>
      <c r="BXD1516" s="879"/>
      <c r="BXE1516" s="879"/>
      <c r="BXF1516" s="879"/>
      <c r="BXG1516" s="879"/>
      <c r="BXH1516" s="879"/>
      <c r="BXI1516" s="879"/>
      <c r="BXJ1516" s="879"/>
      <c r="BXK1516" s="879"/>
      <c r="BXL1516" s="879"/>
      <c r="BXM1516" s="879"/>
      <c r="BXN1516" s="879"/>
      <c r="BXO1516" s="879"/>
      <c r="BXP1516" s="879"/>
      <c r="BXQ1516" s="879"/>
      <c r="BXR1516" s="879"/>
      <c r="BXS1516" s="879"/>
      <c r="BXT1516" s="879"/>
      <c r="BXU1516" s="879"/>
      <c r="BXV1516" s="879"/>
      <c r="BXW1516" s="879"/>
      <c r="BXX1516" s="879"/>
      <c r="BXY1516" s="879"/>
      <c r="BXZ1516" s="879"/>
      <c r="BYA1516" s="879"/>
      <c r="BYB1516" s="879"/>
      <c r="BYC1516" s="879"/>
      <c r="BYD1516" s="879"/>
      <c r="BYE1516" s="879"/>
      <c r="BYF1516" s="879"/>
      <c r="BYG1516" s="879"/>
      <c r="BYH1516" s="879"/>
      <c r="BYI1516" s="879"/>
      <c r="BYJ1516" s="879"/>
      <c r="BYK1516" s="879"/>
      <c r="BYL1516" s="879"/>
      <c r="BYM1516" s="879"/>
      <c r="BYN1516" s="879"/>
      <c r="BYO1516" s="879"/>
      <c r="BYP1516" s="879"/>
      <c r="BYQ1516" s="879"/>
      <c r="BYR1516" s="879"/>
      <c r="BYS1516" s="879"/>
      <c r="BYT1516" s="879"/>
      <c r="BYU1516" s="879"/>
      <c r="BYV1516" s="879"/>
      <c r="BYW1516" s="879"/>
      <c r="BYX1516" s="879"/>
      <c r="BYY1516" s="879"/>
      <c r="BYZ1516" s="879"/>
      <c r="BZA1516" s="879"/>
      <c r="BZB1516" s="879"/>
      <c r="BZC1516" s="879"/>
      <c r="BZD1516" s="879"/>
      <c r="BZE1516" s="879"/>
      <c r="BZF1516" s="879"/>
      <c r="BZG1516" s="879"/>
      <c r="BZH1516" s="879"/>
      <c r="BZI1516" s="879"/>
      <c r="BZJ1516" s="879"/>
      <c r="BZK1516" s="879"/>
      <c r="BZL1516" s="879"/>
      <c r="BZM1516" s="879"/>
      <c r="BZN1516" s="879"/>
      <c r="BZO1516" s="879"/>
      <c r="BZP1516" s="879"/>
      <c r="BZQ1516" s="879"/>
      <c r="BZR1516" s="879"/>
      <c r="BZS1516" s="879"/>
      <c r="BZT1516" s="879"/>
      <c r="BZU1516" s="879"/>
      <c r="BZV1516" s="879"/>
      <c r="BZW1516" s="879"/>
      <c r="BZX1516" s="879"/>
      <c r="BZY1516" s="879"/>
      <c r="BZZ1516" s="879"/>
      <c r="CAA1516" s="879"/>
      <c r="CAB1516" s="879"/>
      <c r="CAC1516" s="879"/>
      <c r="CAD1516" s="879"/>
      <c r="CAE1516" s="879"/>
      <c r="CAF1516" s="879"/>
      <c r="CAG1516" s="879"/>
      <c r="CAH1516" s="879"/>
      <c r="CAI1516" s="879"/>
      <c r="CAJ1516" s="879"/>
      <c r="CAK1516" s="879"/>
      <c r="CAL1516" s="879"/>
      <c r="CAM1516" s="879"/>
      <c r="CAN1516" s="879"/>
      <c r="CAO1516" s="879"/>
      <c r="CAP1516" s="879"/>
      <c r="CAQ1516" s="879"/>
      <c r="CAR1516" s="879"/>
      <c r="CAS1516" s="879"/>
      <c r="CAT1516" s="879"/>
      <c r="CAU1516" s="879"/>
      <c r="CAV1516" s="879"/>
      <c r="CAW1516" s="879"/>
      <c r="CAX1516" s="879"/>
      <c r="CAY1516" s="879"/>
      <c r="CAZ1516" s="879"/>
      <c r="CBA1516" s="879"/>
      <c r="CBB1516" s="879"/>
      <c r="CBC1516" s="879"/>
      <c r="CBD1516" s="879"/>
      <c r="CBE1516" s="879"/>
      <c r="CBF1516" s="879"/>
      <c r="CBG1516" s="879"/>
      <c r="CBH1516" s="879"/>
      <c r="CBI1516" s="879"/>
      <c r="CBJ1516" s="879"/>
      <c r="CBK1516" s="879"/>
      <c r="CBL1516" s="879"/>
      <c r="CBM1516" s="879"/>
      <c r="CBN1516" s="879"/>
      <c r="CBO1516" s="879"/>
      <c r="CBP1516" s="879"/>
      <c r="CBQ1516" s="879"/>
      <c r="CBR1516" s="879"/>
      <c r="CBS1516" s="879"/>
      <c r="CBT1516" s="879"/>
      <c r="CBU1516" s="879"/>
      <c r="CBV1516" s="879"/>
      <c r="CBW1516" s="879"/>
      <c r="CBX1516" s="879"/>
      <c r="CBY1516" s="879"/>
      <c r="CBZ1516" s="879"/>
      <c r="CCA1516" s="879"/>
      <c r="CCB1516" s="879"/>
      <c r="CCC1516" s="879"/>
      <c r="CCD1516" s="879"/>
      <c r="CCE1516" s="879"/>
      <c r="CCF1516" s="879"/>
      <c r="CCG1516" s="879"/>
      <c r="CCH1516" s="879"/>
      <c r="CCI1516" s="879"/>
      <c r="CCJ1516" s="879"/>
      <c r="CCK1516" s="879"/>
      <c r="CCL1516" s="879"/>
      <c r="CCM1516" s="879"/>
      <c r="CCN1516" s="879"/>
      <c r="CCO1516" s="879"/>
      <c r="CCP1516" s="879"/>
      <c r="CCQ1516" s="879"/>
      <c r="CCR1516" s="879"/>
      <c r="CCS1516" s="879"/>
      <c r="CCT1516" s="879"/>
      <c r="CCU1516" s="879"/>
      <c r="CCV1516" s="879"/>
      <c r="CCW1516" s="879"/>
      <c r="CCX1516" s="879"/>
      <c r="CCY1516" s="879"/>
      <c r="CCZ1516" s="879"/>
      <c r="CDA1516" s="879"/>
      <c r="CDB1516" s="879"/>
      <c r="CDC1516" s="879"/>
      <c r="CDD1516" s="879"/>
      <c r="CDE1516" s="879"/>
      <c r="CDF1516" s="879"/>
      <c r="CDG1516" s="879"/>
      <c r="CDH1516" s="879"/>
      <c r="CDI1516" s="879"/>
      <c r="CDJ1516" s="879"/>
      <c r="CDK1516" s="879"/>
      <c r="CDL1516" s="879"/>
      <c r="CDM1516" s="879"/>
      <c r="CDN1516" s="879"/>
      <c r="CDO1516" s="879"/>
      <c r="CDP1516" s="879"/>
      <c r="CDQ1516" s="879"/>
      <c r="CDR1516" s="879"/>
      <c r="CDS1516" s="879"/>
      <c r="CDT1516" s="879"/>
      <c r="CDU1516" s="879"/>
      <c r="CDV1516" s="879"/>
      <c r="CDW1516" s="879"/>
      <c r="CDX1516" s="879"/>
      <c r="CDY1516" s="879"/>
      <c r="CDZ1516" s="879"/>
      <c r="CEA1516" s="879"/>
      <c r="CEB1516" s="879"/>
      <c r="CEC1516" s="879"/>
      <c r="CED1516" s="879"/>
      <c r="CEE1516" s="879"/>
      <c r="CEF1516" s="879"/>
      <c r="CEG1516" s="879"/>
      <c r="CEH1516" s="879"/>
      <c r="CEI1516" s="879"/>
      <c r="CEJ1516" s="879"/>
      <c r="CEK1516" s="879"/>
      <c r="CEL1516" s="879"/>
      <c r="CEM1516" s="879"/>
      <c r="CEN1516" s="879"/>
      <c r="CEO1516" s="879"/>
      <c r="CEP1516" s="879"/>
      <c r="CEQ1516" s="879"/>
      <c r="CER1516" s="879"/>
      <c r="CES1516" s="879"/>
      <c r="CET1516" s="879"/>
      <c r="CEU1516" s="879"/>
      <c r="CEV1516" s="879"/>
      <c r="CEW1516" s="879"/>
      <c r="CEX1516" s="879"/>
      <c r="CEY1516" s="879"/>
      <c r="CEZ1516" s="879"/>
      <c r="CFA1516" s="879"/>
      <c r="CFB1516" s="879"/>
      <c r="CFC1516" s="879"/>
      <c r="CFD1516" s="879"/>
      <c r="CFE1516" s="879"/>
      <c r="CFF1516" s="879"/>
      <c r="CFG1516" s="879"/>
      <c r="CFH1516" s="879"/>
      <c r="CFI1516" s="879"/>
      <c r="CFJ1516" s="879"/>
      <c r="CFK1516" s="879"/>
      <c r="CFL1516" s="879"/>
      <c r="CFM1516" s="879"/>
      <c r="CFN1516" s="879"/>
      <c r="CFO1516" s="879"/>
      <c r="CFP1516" s="879"/>
      <c r="CFQ1516" s="879"/>
      <c r="CFR1516" s="879"/>
      <c r="CFS1516" s="879"/>
      <c r="CFT1516" s="879"/>
      <c r="CFU1516" s="879"/>
      <c r="CFV1516" s="879"/>
      <c r="CFW1516" s="879"/>
      <c r="CFX1516" s="879"/>
      <c r="CFY1516" s="879"/>
      <c r="CFZ1516" s="879"/>
      <c r="CGA1516" s="879"/>
      <c r="CGB1516" s="879"/>
      <c r="CGC1516" s="879"/>
      <c r="CGD1516" s="879"/>
      <c r="CGE1516" s="879"/>
      <c r="CGF1516" s="879"/>
      <c r="CGG1516" s="879"/>
      <c r="CGH1516" s="879"/>
      <c r="CGI1516" s="879"/>
      <c r="CGJ1516" s="879"/>
      <c r="CGK1516" s="879"/>
      <c r="CGL1516" s="879"/>
      <c r="CGM1516" s="879"/>
      <c r="CGN1516" s="879"/>
      <c r="CGO1516" s="879"/>
      <c r="CGP1516" s="879"/>
      <c r="CGQ1516" s="879"/>
      <c r="CGR1516" s="879"/>
      <c r="CGS1516" s="879"/>
      <c r="CGT1516" s="879"/>
      <c r="CGU1516" s="879"/>
      <c r="CGV1516" s="879"/>
      <c r="CGW1516" s="879"/>
      <c r="CGX1516" s="879"/>
      <c r="CGY1516" s="879"/>
      <c r="CGZ1516" s="879"/>
      <c r="CHA1516" s="879"/>
      <c r="CHB1516" s="879"/>
      <c r="CHC1516" s="879"/>
      <c r="CHD1516" s="879"/>
      <c r="CHE1516" s="879"/>
      <c r="CHF1516" s="879"/>
      <c r="CHG1516" s="879"/>
      <c r="CHH1516" s="879"/>
      <c r="CHI1516" s="879"/>
      <c r="CHJ1516" s="879"/>
      <c r="CHK1516" s="879"/>
      <c r="CHL1516" s="879"/>
      <c r="CHM1516" s="879"/>
      <c r="CHN1516" s="879"/>
      <c r="CHO1516" s="879"/>
      <c r="CHP1516" s="879"/>
      <c r="CHQ1516" s="879"/>
      <c r="CHR1516" s="879"/>
      <c r="CHS1516" s="879"/>
      <c r="CHT1516" s="879"/>
      <c r="CHU1516" s="879"/>
      <c r="CHV1516" s="879"/>
      <c r="CHW1516" s="879"/>
      <c r="CHX1516" s="879"/>
      <c r="CHY1516" s="879"/>
      <c r="CHZ1516" s="879"/>
      <c r="CIA1516" s="879"/>
      <c r="CIB1516" s="879"/>
      <c r="CIC1516" s="879"/>
      <c r="CID1516" s="879"/>
      <c r="CIE1516" s="879"/>
      <c r="CIF1516" s="879"/>
      <c r="CIG1516" s="879"/>
      <c r="CIH1516" s="879"/>
      <c r="CII1516" s="879"/>
      <c r="CIJ1516" s="879"/>
      <c r="CIK1516" s="879"/>
      <c r="CIL1516" s="879"/>
      <c r="CIM1516" s="879"/>
      <c r="CIN1516" s="879"/>
      <c r="CIO1516" s="879"/>
      <c r="CIP1516" s="879"/>
      <c r="CIQ1516" s="879"/>
      <c r="CIR1516" s="879"/>
      <c r="CIS1516" s="879"/>
      <c r="CIT1516" s="879"/>
      <c r="CIU1516" s="879"/>
      <c r="CIV1516" s="879"/>
      <c r="CIW1516" s="879"/>
      <c r="CIX1516" s="879"/>
      <c r="CIY1516" s="879"/>
      <c r="CIZ1516" s="879"/>
      <c r="CJA1516" s="879"/>
      <c r="CJB1516" s="879"/>
      <c r="CJC1516" s="879"/>
      <c r="CJD1516" s="879"/>
      <c r="CJE1516" s="879"/>
      <c r="CJF1516" s="879"/>
      <c r="CJG1516" s="879"/>
      <c r="CJH1516" s="879"/>
      <c r="CJI1516" s="879"/>
      <c r="CJJ1516" s="879"/>
      <c r="CJK1516" s="879"/>
      <c r="CJL1516" s="879"/>
      <c r="CJM1516" s="879"/>
      <c r="CJN1516" s="879"/>
      <c r="CJO1516" s="879"/>
      <c r="CJP1516" s="879"/>
      <c r="CJQ1516" s="879"/>
      <c r="CJR1516" s="879"/>
      <c r="CJS1516" s="879"/>
      <c r="CJT1516" s="879"/>
      <c r="CJU1516" s="879"/>
      <c r="CJV1516" s="879"/>
      <c r="CJW1516" s="879"/>
      <c r="CJX1516" s="879"/>
      <c r="CJY1516" s="879"/>
      <c r="CJZ1516" s="879"/>
      <c r="CKA1516" s="879"/>
      <c r="CKB1516" s="879"/>
      <c r="CKC1516" s="879"/>
      <c r="CKD1516" s="879"/>
      <c r="CKE1516" s="879"/>
      <c r="CKF1516" s="879"/>
      <c r="CKG1516" s="879"/>
      <c r="CKH1516" s="879"/>
      <c r="CKI1516" s="879"/>
      <c r="CKJ1516" s="879"/>
      <c r="CKK1516" s="879"/>
      <c r="CKL1516" s="879"/>
      <c r="CKM1516" s="879"/>
      <c r="CKN1516" s="879"/>
      <c r="CKO1516" s="879"/>
      <c r="CKP1516" s="879"/>
      <c r="CKQ1516" s="879"/>
      <c r="CKR1516" s="879"/>
      <c r="CKS1516" s="879"/>
      <c r="CKT1516" s="879"/>
      <c r="CKU1516" s="879"/>
      <c r="CKV1516" s="879"/>
      <c r="CKW1516" s="879"/>
      <c r="CKX1516" s="879"/>
      <c r="CKY1516" s="879"/>
      <c r="CKZ1516" s="879"/>
      <c r="CLA1516" s="879"/>
      <c r="CLB1516" s="879"/>
      <c r="CLC1516" s="879"/>
      <c r="CLD1516" s="879"/>
      <c r="CLE1516" s="879"/>
      <c r="CLF1516" s="879"/>
      <c r="CLG1516" s="879"/>
      <c r="CLH1516" s="879"/>
      <c r="CLI1516" s="879"/>
      <c r="CLJ1516" s="879"/>
      <c r="CLK1516" s="879"/>
      <c r="CLL1516" s="879"/>
      <c r="CLM1516" s="879"/>
      <c r="CLN1516" s="879"/>
      <c r="CLO1516" s="879"/>
      <c r="CLP1516" s="879"/>
      <c r="CLQ1516" s="879"/>
      <c r="CLR1516" s="879"/>
      <c r="CLS1516" s="879"/>
      <c r="CLT1516" s="879"/>
      <c r="CLU1516" s="879"/>
      <c r="CLV1516" s="879"/>
      <c r="CLW1516" s="879"/>
      <c r="CLX1516" s="879"/>
      <c r="CLY1516" s="879"/>
      <c r="CLZ1516" s="879"/>
      <c r="CMA1516" s="879"/>
      <c r="CMB1516" s="879"/>
      <c r="CMC1516" s="879"/>
      <c r="CMD1516" s="879"/>
      <c r="CME1516" s="879"/>
      <c r="CMF1516" s="879"/>
      <c r="CMG1516" s="879"/>
      <c r="CMH1516" s="879"/>
      <c r="CMI1516" s="879"/>
      <c r="CMJ1516" s="879"/>
      <c r="CMK1516" s="879"/>
      <c r="CML1516" s="879"/>
      <c r="CMM1516" s="879"/>
      <c r="CMN1516" s="879"/>
      <c r="CMO1516" s="879"/>
      <c r="CMP1516" s="879"/>
      <c r="CMQ1516" s="879"/>
      <c r="CMR1516" s="879"/>
      <c r="CMS1516" s="879"/>
      <c r="CMT1516" s="879"/>
      <c r="CMU1516" s="879"/>
      <c r="CMV1516" s="879"/>
      <c r="CMW1516" s="879"/>
      <c r="CMX1516" s="879"/>
      <c r="CMY1516" s="879"/>
      <c r="CMZ1516" s="879"/>
      <c r="CNA1516" s="879"/>
      <c r="CNB1516" s="879"/>
      <c r="CNC1516" s="879"/>
      <c r="CND1516" s="879"/>
      <c r="CNE1516" s="879"/>
      <c r="CNF1516" s="879"/>
      <c r="CNG1516" s="879"/>
      <c r="CNH1516" s="879"/>
      <c r="CNI1516" s="879"/>
      <c r="CNJ1516" s="879"/>
      <c r="CNK1516" s="879"/>
      <c r="CNL1516" s="879"/>
      <c r="CNM1516" s="879"/>
      <c r="CNN1516" s="879"/>
      <c r="CNO1516" s="879"/>
      <c r="CNP1516" s="879"/>
      <c r="CNQ1516" s="879"/>
      <c r="CNR1516" s="879"/>
      <c r="CNS1516" s="879"/>
      <c r="CNT1516" s="879"/>
      <c r="CNU1516" s="879"/>
      <c r="CNV1516" s="879"/>
      <c r="CNW1516" s="879"/>
      <c r="CNX1516" s="879"/>
      <c r="CNY1516" s="879"/>
      <c r="CNZ1516" s="879"/>
      <c r="COA1516" s="879"/>
      <c r="COB1516" s="879"/>
      <c r="COC1516" s="879"/>
      <c r="COD1516" s="879"/>
      <c r="COE1516" s="879"/>
      <c r="COF1516" s="879"/>
      <c r="COG1516" s="879"/>
      <c r="COH1516" s="879"/>
      <c r="COI1516" s="879"/>
      <c r="COJ1516" s="879"/>
      <c r="COK1516" s="879"/>
      <c r="COL1516" s="879"/>
      <c r="COM1516" s="879"/>
      <c r="CON1516" s="879"/>
      <c r="COO1516" s="879"/>
      <c r="COP1516" s="879"/>
      <c r="COQ1516" s="879"/>
      <c r="COR1516" s="879"/>
      <c r="COS1516" s="879"/>
      <c r="COT1516" s="879"/>
      <c r="COU1516" s="879"/>
      <c r="COV1516" s="879"/>
      <c r="COW1516" s="879"/>
      <c r="COX1516" s="879"/>
      <c r="COY1516" s="879"/>
      <c r="COZ1516" s="879"/>
      <c r="CPA1516" s="879"/>
      <c r="CPB1516" s="879"/>
      <c r="CPC1516" s="879"/>
      <c r="CPD1516" s="879"/>
      <c r="CPE1516" s="879"/>
      <c r="CPF1516" s="879"/>
      <c r="CPG1516" s="879"/>
      <c r="CPH1516" s="879"/>
      <c r="CPI1516" s="879"/>
      <c r="CPJ1516" s="879"/>
      <c r="CPK1516" s="879"/>
      <c r="CPL1516" s="879"/>
      <c r="CPM1516" s="879"/>
      <c r="CPN1516" s="879"/>
      <c r="CPO1516" s="879"/>
      <c r="CPP1516" s="879"/>
      <c r="CPQ1516" s="879"/>
      <c r="CPR1516" s="879"/>
      <c r="CPS1516" s="879"/>
      <c r="CPT1516" s="879"/>
      <c r="CPU1516" s="879"/>
      <c r="CPV1516" s="879"/>
      <c r="CPW1516" s="879"/>
      <c r="CPX1516" s="879"/>
      <c r="CPY1516" s="879"/>
      <c r="CPZ1516" s="879"/>
      <c r="CQA1516" s="879"/>
      <c r="CQB1516" s="879"/>
      <c r="CQC1516" s="879"/>
      <c r="CQD1516" s="879"/>
      <c r="CQE1516" s="879"/>
      <c r="CQF1516" s="879"/>
      <c r="CQG1516" s="879"/>
      <c r="CQH1516" s="879"/>
      <c r="CQI1516" s="879"/>
      <c r="CQJ1516" s="879"/>
      <c r="CQK1516" s="879"/>
      <c r="CQL1516" s="879"/>
      <c r="CQM1516" s="879"/>
      <c r="CQN1516" s="879"/>
      <c r="CQO1516" s="879"/>
      <c r="CQP1516" s="879"/>
      <c r="CQQ1516" s="879"/>
      <c r="CQR1516" s="879"/>
      <c r="CQS1516" s="879"/>
      <c r="CQT1516" s="879"/>
      <c r="CQU1516" s="879"/>
      <c r="CQV1516" s="879"/>
      <c r="CQW1516" s="879"/>
      <c r="CQX1516" s="879"/>
      <c r="CQY1516" s="879"/>
      <c r="CQZ1516" s="879"/>
      <c r="CRA1516" s="879"/>
      <c r="CRB1516" s="879"/>
      <c r="CRC1516" s="879"/>
      <c r="CRD1516" s="879"/>
      <c r="CRE1516" s="879"/>
      <c r="CRF1516" s="879"/>
      <c r="CRG1516" s="879"/>
      <c r="CRH1516" s="879"/>
      <c r="CRI1516" s="879"/>
      <c r="CRJ1516" s="879"/>
      <c r="CRK1516" s="879"/>
      <c r="CRL1516" s="879"/>
      <c r="CRM1516" s="879"/>
      <c r="CRN1516" s="879"/>
      <c r="CRO1516" s="879"/>
      <c r="CRP1516" s="879"/>
      <c r="CRQ1516" s="879"/>
      <c r="CRR1516" s="879"/>
      <c r="CRS1516" s="879"/>
      <c r="CRT1516" s="879"/>
      <c r="CRU1516" s="879"/>
      <c r="CRV1516" s="879"/>
      <c r="CRW1516" s="879"/>
      <c r="CRX1516" s="879"/>
      <c r="CRY1516" s="879"/>
      <c r="CRZ1516" s="879"/>
      <c r="CSA1516" s="879"/>
      <c r="CSB1516" s="879"/>
      <c r="CSC1516" s="879"/>
      <c r="CSD1516" s="879"/>
      <c r="CSE1516" s="879"/>
      <c r="CSF1516" s="879"/>
      <c r="CSG1516" s="879"/>
      <c r="CSH1516" s="879"/>
      <c r="CSI1516" s="879"/>
      <c r="CSJ1516" s="879"/>
      <c r="CSK1516" s="879"/>
      <c r="CSL1516" s="879"/>
      <c r="CSM1516" s="879"/>
      <c r="CSN1516" s="879"/>
      <c r="CSO1516" s="879"/>
      <c r="CSP1516" s="879"/>
      <c r="CSQ1516" s="879"/>
      <c r="CSR1516" s="879"/>
      <c r="CSS1516" s="879"/>
      <c r="CST1516" s="879"/>
      <c r="CSU1516" s="879"/>
      <c r="CSV1516" s="879"/>
      <c r="CSW1516" s="879"/>
      <c r="CSX1516" s="879"/>
      <c r="CSY1516" s="879"/>
      <c r="CSZ1516" s="879"/>
      <c r="CTA1516" s="879"/>
      <c r="CTB1516" s="879"/>
      <c r="CTC1516" s="879"/>
      <c r="CTD1516" s="879"/>
      <c r="CTE1516" s="879"/>
      <c r="CTF1516" s="879"/>
      <c r="CTG1516" s="879"/>
      <c r="CTH1516" s="879"/>
      <c r="CTI1516" s="879"/>
      <c r="CTJ1516" s="879"/>
      <c r="CTK1516" s="879"/>
      <c r="CTL1516" s="879"/>
      <c r="CTM1516" s="879"/>
      <c r="CTN1516" s="879"/>
      <c r="CTO1516" s="879"/>
      <c r="CTP1516" s="879"/>
      <c r="CTQ1516" s="879"/>
      <c r="CTR1516" s="879"/>
      <c r="CTS1516" s="879"/>
      <c r="CTT1516" s="879"/>
      <c r="CTU1516" s="879"/>
      <c r="CTV1516" s="879"/>
      <c r="CTW1516" s="879"/>
      <c r="CTX1516" s="879"/>
      <c r="CTY1516" s="879"/>
      <c r="CTZ1516" s="879"/>
      <c r="CUA1516" s="879"/>
      <c r="CUB1516" s="879"/>
      <c r="CUC1516" s="879"/>
      <c r="CUD1516" s="879"/>
      <c r="CUE1516" s="879"/>
      <c r="CUF1516" s="879"/>
      <c r="CUG1516" s="879"/>
      <c r="CUH1516" s="879"/>
      <c r="CUI1516" s="879"/>
      <c r="CUJ1516" s="879"/>
      <c r="CUK1516" s="879"/>
      <c r="CUL1516" s="879"/>
      <c r="CUM1516" s="879"/>
      <c r="CUN1516" s="879"/>
      <c r="CUO1516" s="879"/>
      <c r="CUP1516" s="879"/>
      <c r="CUQ1516" s="879"/>
      <c r="CUR1516" s="879"/>
      <c r="CUS1516" s="879"/>
      <c r="CUT1516" s="879"/>
      <c r="CUU1516" s="879"/>
      <c r="CUV1516" s="879"/>
      <c r="CUW1516" s="879"/>
      <c r="CUX1516" s="879"/>
      <c r="CUY1516" s="879"/>
      <c r="CUZ1516" s="879"/>
      <c r="CVA1516" s="879"/>
      <c r="CVB1516" s="879"/>
      <c r="CVC1516" s="879"/>
      <c r="CVD1516" s="879"/>
      <c r="CVE1516" s="879"/>
      <c r="CVF1516" s="879"/>
      <c r="CVG1516" s="879"/>
      <c r="CVH1516" s="879"/>
      <c r="CVI1516" s="879"/>
      <c r="CVJ1516" s="879"/>
      <c r="CVK1516" s="879"/>
      <c r="CVL1516" s="879"/>
      <c r="CVM1516" s="879"/>
      <c r="CVN1516" s="879"/>
      <c r="CVO1516" s="879"/>
      <c r="CVP1516" s="879"/>
      <c r="CVQ1516" s="879"/>
      <c r="CVR1516" s="879"/>
      <c r="CVS1516" s="879"/>
      <c r="CVT1516" s="879"/>
      <c r="CVU1516" s="879"/>
      <c r="CVV1516" s="879"/>
      <c r="CVW1516" s="879"/>
      <c r="CVX1516" s="879"/>
      <c r="CVY1516" s="879"/>
      <c r="CVZ1516" s="879"/>
      <c r="CWA1516" s="879"/>
      <c r="CWB1516" s="879"/>
      <c r="CWC1516" s="879"/>
      <c r="CWD1516" s="879"/>
      <c r="CWE1516" s="879"/>
      <c r="CWF1516" s="879"/>
      <c r="CWG1516" s="879"/>
      <c r="CWH1516" s="879"/>
      <c r="CWI1516" s="879"/>
      <c r="CWJ1516" s="879"/>
      <c r="CWK1516" s="879"/>
      <c r="CWL1516" s="879"/>
      <c r="CWM1516" s="879"/>
      <c r="CWN1516" s="879"/>
      <c r="CWO1516" s="879"/>
      <c r="CWP1516" s="879"/>
      <c r="CWQ1516" s="879"/>
      <c r="CWR1516" s="879"/>
      <c r="CWS1516" s="879"/>
      <c r="CWT1516" s="879"/>
      <c r="CWU1516" s="879"/>
      <c r="CWV1516" s="879"/>
      <c r="CWW1516" s="879"/>
      <c r="CWX1516" s="879"/>
      <c r="CWY1516" s="879"/>
      <c r="CWZ1516" s="879"/>
      <c r="CXA1516" s="879"/>
      <c r="CXB1516" s="879"/>
      <c r="CXC1516" s="879"/>
      <c r="CXD1516" s="879"/>
      <c r="CXE1516" s="879"/>
      <c r="CXF1516" s="879"/>
      <c r="CXG1516" s="879"/>
      <c r="CXH1516" s="879"/>
      <c r="CXI1516" s="879"/>
      <c r="CXJ1516" s="879"/>
      <c r="CXK1516" s="879"/>
      <c r="CXL1516" s="879"/>
      <c r="CXM1516" s="879"/>
      <c r="CXN1516" s="879"/>
      <c r="CXO1516" s="879"/>
      <c r="CXP1516" s="879"/>
      <c r="CXQ1516" s="879"/>
      <c r="CXR1516" s="879"/>
      <c r="CXS1516" s="879"/>
      <c r="CXT1516" s="879"/>
      <c r="CXU1516" s="879"/>
      <c r="CXV1516" s="879"/>
      <c r="CXW1516" s="879"/>
      <c r="CXX1516" s="879"/>
      <c r="CXY1516" s="879"/>
      <c r="CXZ1516" s="879"/>
      <c r="CYA1516" s="879"/>
      <c r="CYB1516" s="879"/>
      <c r="CYC1516" s="879"/>
      <c r="CYD1516" s="879"/>
      <c r="CYE1516" s="879"/>
      <c r="CYF1516" s="879"/>
      <c r="CYG1516" s="879"/>
      <c r="CYH1516" s="879"/>
      <c r="CYI1516" s="879"/>
      <c r="CYJ1516" s="879"/>
      <c r="CYK1516" s="879"/>
      <c r="CYL1516" s="879"/>
      <c r="CYM1516" s="879"/>
      <c r="CYN1516" s="879"/>
      <c r="CYO1516" s="879"/>
      <c r="CYP1516" s="879"/>
      <c r="CYQ1516" s="879"/>
      <c r="CYR1516" s="879"/>
      <c r="CYS1516" s="879"/>
      <c r="CYT1516" s="879"/>
      <c r="CYU1516" s="879"/>
      <c r="CYV1516" s="879"/>
      <c r="CYW1516" s="879"/>
      <c r="CYX1516" s="879"/>
      <c r="CYY1516" s="879"/>
      <c r="CYZ1516" s="879"/>
      <c r="CZA1516" s="879"/>
      <c r="CZB1516" s="879"/>
      <c r="CZC1516" s="879"/>
      <c r="CZD1516" s="879"/>
      <c r="CZE1516" s="879"/>
      <c r="CZF1516" s="879"/>
      <c r="CZG1516" s="879"/>
      <c r="CZH1516" s="879"/>
      <c r="CZI1516" s="879"/>
      <c r="CZJ1516" s="879"/>
      <c r="CZK1516" s="879"/>
      <c r="CZL1516" s="879"/>
      <c r="CZM1516" s="879"/>
      <c r="CZN1516" s="879"/>
      <c r="CZO1516" s="879"/>
      <c r="CZP1516" s="879"/>
      <c r="CZQ1516" s="879"/>
      <c r="CZR1516" s="879"/>
      <c r="CZS1516" s="879"/>
      <c r="CZT1516" s="879"/>
      <c r="CZU1516" s="879"/>
      <c r="CZV1516" s="879"/>
      <c r="CZW1516" s="879"/>
      <c r="CZX1516" s="879"/>
      <c r="CZY1516" s="879"/>
      <c r="CZZ1516" s="879"/>
      <c r="DAA1516" s="879"/>
      <c r="DAB1516" s="879"/>
      <c r="DAC1516" s="879"/>
      <c r="DAD1516" s="879"/>
      <c r="DAE1516" s="879"/>
      <c r="DAF1516" s="879"/>
      <c r="DAG1516" s="879"/>
      <c r="DAH1516" s="879"/>
      <c r="DAI1516" s="879"/>
      <c r="DAJ1516" s="879"/>
      <c r="DAK1516" s="879"/>
      <c r="DAL1516" s="879"/>
      <c r="DAM1516" s="879"/>
      <c r="DAN1516" s="879"/>
      <c r="DAO1516" s="879"/>
      <c r="DAP1516" s="879"/>
      <c r="DAQ1516" s="879"/>
      <c r="DAR1516" s="879"/>
      <c r="DAS1516" s="879"/>
      <c r="DAT1516" s="879"/>
      <c r="DAU1516" s="879"/>
      <c r="DAV1516" s="879"/>
      <c r="DAW1516" s="879"/>
      <c r="DAX1516" s="879"/>
      <c r="DAY1516" s="879"/>
      <c r="DAZ1516" s="879"/>
      <c r="DBA1516" s="879"/>
      <c r="DBB1516" s="879"/>
      <c r="DBC1516" s="879"/>
      <c r="DBD1516" s="879"/>
      <c r="DBE1516" s="879"/>
      <c r="DBF1516" s="879"/>
      <c r="DBG1516" s="879"/>
      <c r="DBH1516" s="879"/>
      <c r="DBI1516" s="879"/>
      <c r="DBJ1516" s="879"/>
      <c r="DBK1516" s="879"/>
      <c r="DBL1516" s="879"/>
      <c r="DBM1516" s="879"/>
      <c r="DBN1516" s="879"/>
      <c r="DBO1516" s="879"/>
      <c r="DBP1516" s="879"/>
      <c r="DBQ1516" s="879"/>
      <c r="DBR1516" s="879"/>
      <c r="DBS1516" s="879"/>
      <c r="DBT1516" s="879"/>
      <c r="DBU1516" s="879"/>
      <c r="DBV1516" s="879"/>
      <c r="DBW1516" s="879"/>
      <c r="DBX1516" s="879"/>
      <c r="DBY1516" s="879"/>
      <c r="DBZ1516" s="879"/>
      <c r="DCA1516" s="879"/>
      <c r="DCB1516" s="879"/>
      <c r="DCC1516" s="879"/>
      <c r="DCD1516" s="879"/>
      <c r="DCE1516" s="879"/>
      <c r="DCF1516" s="879"/>
      <c r="DCG1516" s="879"/>
      <c r="DCH1516" s="879"/>
      <c r="DCI1516" s="879"/>
      <c r="DCJ1516" s="879"/>
      <c r="DCK1516" s="879"/>
      <c r="DCL1516" s="879"/>
      <c r="DCM1516" s="879"/>
      <c r="DCN1516" s="879"/>
      <c r="DCO1516" s="879"/>
      <c r="DCP1516" s="879"/>
      <c r="DCQ1516" s="879"/>
      <c r="DCR1516" s="879"/>
      <c r="DCS1516" s="879"/>
      <c r="DCT1516" s="879"/>
      <c r="DCU1516" s="879"/>
      <c r="DCV1516" s="879"/>
      <c r="DCW1516" s="879"/>
      <c r="DCX1516" s="879"/>
      <c r="DCY1516" s="879"/>
      <c r="DCZ1516" s="879"/>
      <c r="DDA1516" s="879"/>
      <c r="DDB1516" s="879"/>
      <c r="DDC1516" s="879"/>
      <c r="DDD1516" s="879"/>
      <c r="DDE1516" s="879"/>
      <c r="DDF1516" s="879"/>
      <c r="DDG1516" s="879"/>
      <c r="DDH1516" s="879"/>
      <c r="DDI1516" s="879"/>
      <c r="DDJ1516" s="879"/>
      <c r="DDK1516" s="879"/>
      <c r="DDL1516" s="879"/>
      <c r="DDM1516" s="879"/>
      <c r="DDN1516" s="879"/>
      <c r="DDO1516" s="879"/>
      <c r="DDP1516" s="879"/>
      <c r="DDQ1516" s="879"/>
      <c r="DDR1516" s="879"/>
      <c r="DDS1516" s="879"/>
      <c r="DDT1516" s="879"/>
      <c r="DDU1516" s="879"/>
      <c r="DDV1516" s="879"/>
      <c r="DDW1516" s="879"/>
      <c r="DDX1516" s="879"/>
      <c r="DDY1516" s="879"/>
      <c r="DDZ1516" s="879"/>
      <c r="DEA1516" s="879"/>
      <c r="DEB1516" s="879"/>
      <c r="DEC1516" s="879"/>
      <c r="DED1516" s="879"/>
      <c r="DEE1516" s="879"/>
      <c r="DEF1516" s="879"/>
      <c r="DEG1516" s="879"/>
      <c r="DEH1516" s="879"/>
      <c r="DEI1516" s="879"/>
      <c r="DEJ1516" s="879"/>
      <c r="DEK1516" s="879"/>
      <c r="DEL1516" s="879"/>
      <c r="DEM1516" s="879"/>
      <c r="DEN1516" s="879"/>
      <c r="DEO1516" s="879"/>
      <c r="DEP1516" s="879"/>
      <c r="DEQ1516" s="879"/>
      <c r="DER1516" s="879"/>
      <c r="DES1516" s="879"/>
      <c r="DET1516" s="879"/>
      <c r="DEU1516" s="879"/>
      <c r="DEV1516" s="879"/>
      <c r="DEW1516" s="879"/>
      <c r="DEX1516" s="879"/>
      <c r="DEY1516" s="879"/>
      <c r="DEZ1516" s="879"/>
      <c r="DFA1516" s="879"/>
      <c r="DFB1516" s="879"/>
      <c r="DFC1516" s="879"/>
      <c r="DFD1516" s="879"/>
      <c r="DFE1516" s="879"/>
      <c r="DFF1516" s="879"/>
      <c r="DFG1516" s="879"/>
      <c r="DFH1516" s="879"/>
      <c r="DFI1516" s="879"/>
      <c r="DFJ1516" s="879"/>
      <c r="DFK1516" s="879"/>
      <c r="DFL1516" s="879"/>
      <c r="DFM1516" s="879"/>
      <c r="DFN1516" s="879"/>
      <c r="DFO1516" s="879"/>
      <c r="DFP1516" s="879"/>
      <c r="DFQ1516" s="879"/>
      <c r="DFR1516" s="879"/>
      <c r="DFS1516" s="879"/>
      <c r="DFT1516" s="879"/>
      <c r="DFU1516" s="879"/>
      <c r="DFV1516" s="879"/>
      <c r="DFW1516" s="879"/>
      <c r="DFX1516" s="879"/>
      <c r="DFY1516" s="879"/>
      <c r="DFZ1516" s="879"/>
      <c r="DGA1516" s="879"/>
      <c r="DGB1516" s="879"/>
      <c r="DGC1516" s="879"/>
      <c r="DGD1516" s="879"/>
      <c r="DGE1516" s="879"/>
      <c r="DGF1516" s="879"/>
      <c r="DGG1516" s="879"/>
      <c r="DGH1516" s="879"/>
      <c r="DGI1516" s="879"/>
      <c r="DGJ1516" s="879"/>
      <c r="DGK1516" s="879"/>
      <c r="DGL1516" s="879"/>
      <c r="DGM1516" s="879"/>
      <c r="DGN1516" s="879"/>
      <c r="DGO1516" s="879"/>
      <c r="DGP1516" s="879"/>
      <c r="DGQ1516" s="879"/>
      <c r="DGR1516" s="879"/>
      <c r="DGS1516" s="879"/>
      <c r="DGT1516" s="879"/>
      <c r="DGU1516" s="879"/>
      <c r="DGV1516" s="879"/>
      <c r="DGW1516" s="879"/>
      <c r="DGX1516" s="879"/>
      <c r="DGY1516" s="879"/>
      <c r="DGZ1516" s="879"/>
      <c r="DHA1516" s="879"/>
      <c r="DHB1516" s="879"/>
      <c r="DHC1516" s="879"/>
      <c r="DHD1516" s="879"/>
      <c r="DHE1516" s="879"/>
      <c r="DHF1516" s="879"/>
      <c r="DHG1516" s="879"/>
      <c r="DHH1516" s="879"/>
      <c r="DHI1516" s="879"/>
      <c r="DHJ1516" s="879"/>
      <c r="DHK1516" s="879"/>
      <c r="DHL1516" s="879"/>
      <c r="DHM1516" s="879"/>
      <c r="DHN1516" s="879"/>
      <c r="DHO1516" s="879"/>
      <c r="DHP1516" s="879"/>
      <c r="DHQ1516" s="879"/>
      <c r="DHR1516" s="879"/>
      <c r="DHS1516" s="879"/>
      <c r="DHT1516" s="879"/>
      <c r="DHU1516" s="879"/>
      <c r="DHV1516" s="879"/>
      <c r="DHW1516" s="879"/>
      <c r="DHX1516" s="879"/>
      <c r="DHY1516" s="879"/>
      <c r="DHZ1516" s="879"/>
      <c r="DIA1516" s="879"/>
      <c r="DIB1516" s="879"/>
      <c r="DIC1516" s="879"/>
      <c r="DID1516" s="879"/>
      <c r="DIE1516" s="879"/>
      <c r="DIF1516" s="879"/>
      <c r="DIG1516" s="879"/>
      <c r="DIH1516" s="879"/>
      <c r="DII1516" s="879"/>
      <c r="DIJ1516" s="879"/>
      <c r="DIK1516" s="879"/>
      <c r="DIL1516" s="879"/>
      <c r="DIM1516" s="879"/>
      <c r="DIN1516" s="879"/>
      <c r="DIO1516" s="879"/>
      <c r="DIP1516" s="879"/>
      <c r="DIQ1516" s="879"/>
      <c r="DIR1516" s="879"/>
      <c r="DIS1516" s="879"/>
      <c r="DIT1516" s="879"/>
      <c r="DIU1516" s="879"/>
      <c r="DIV1516" s="879"/>
      <c r="DIW1516" s="879"/>
      <c r="DIX1516" s="879"/>
      <c r="DIY1516" s="879"/>
      <c r="DIZ1516" s="879"/>
      <c r="DJA1516" s="879"/>
      <c r="DJB1516" s="879"/>
      <c r="DJC1516" s="879"/>
      <c r="DJD1516" s="879"/>
      <c r="DJE1516" s="879"/>
      <c r="DJF1516" s="879"/>
      <c r="DJG1516" s="879"/>
      <c r="DJH1516" s="879"/>
      <c r="DJI1516" s="879"/>
      <c r="DJJ1516" s="879"/>
      <c r="DJK1516" s="879"/>
      <c r="DJL1516" s="879"/>
      <c r="DJM1516" s="879"/>
      <c r="DJN1516" s="879"/>
      <c r="DJO1516" s="879"/>
      <c r="DJP1516" s="879"/>
      <c r="DJQ1516" s="879"/>
      <c r="DJR1516" s="879"/>
      <c r="DJS1516" s="879"/>
      <c r="DJT1516" s="879"/>
      <c r="DJU1516" s="879"/>
      <c r="DJV1516" s="879"/>
      <c r="DJW1516" s="879"/>
      <c r="DJX1516" s="879"/>
      <c r="DJY1516" s="879"/>
      <c r="DJZ1516" s="879"/>
      <c r="DKA1516" s="879"/>
      <c r="DKB1516" s="879"/>
      <c r="DKC1516" s="879"/>
      <c r="DKD1516" s="879"/>
      <c r="DKE1516" s="879"/>
      <c r="DKF1516" s="879"/>
      <c r="DKG1516" s="879"/>
      <c r="DKH1516" s="879"/>
      <c r="DKI1516" s="879"/>
      <c r="DKJ1516" s="879"/>
      <c r="DKK1516" s="879"/>
      <c r="DKL1516" s="879"/>
      <c r="DKM1516" s="879"/>
      <c r="DKN1516" s="879"/>
      <c r="DKO1516" s="879"/>
      <c r="DKP1516" s="879"/>
      <c r="DKQ1516" s="879"/>
      <c r="DKR1516" s="879"/>
      <c r="DKS1516" s="879"/>
      <c r="DKT1516" s="879"/>
      <c r="DKU1516" s="879"/>
      <c r="DKV1516" s="879"/>
      <c r="DKW1516" s="879"/>
      <c r="DKX1516" s="879"/>
      <c r="DKY1516" s="879"/>
      <c r="DKZ1516" s="879"/>
      <c r="DLA1516" s="879"/>
      <c r="DLB1516" s="879"/>
      <c r="DLC1516" s="879"/>
      <c r="DLD1516" s="879"/>
      <c r="DLE1516" s="879"/>
      <c r="DLF1516" s="879"/>
      <c r="DLG1516" s="879"/>
      <c r="DLH1516" s="879"/>
      <c r="DLI1516" s="879"/>
      <c r="DLJ1516" s="879"/>
      <c r="DLK1516" s="879"/>
      <c r="DLL1516" s="879"/>
      <c r="DLM1516" s="879"/>
      <c r="DLN1516" s="879"/>
      <c r="DLO1516" s="879"/>
      <c r="DLP1516" s="879"/>
      <c r="DLQ1516" s="879"/>
      <c r="DLR1516" s="879"/>
      <c r="DLS1516" s="879"/>
      <c r="DLT1516" s="879"/>
      <c r="DLU1516" s="879"/>
      <c r="DLV1516" s="879"/>
      <c r="DLW1516" s="879"/>
      <c r="DLX1516" s="879"/>
      <c r="DLY1516" s="879"/>
      <c r="DLZ1516" s="879"/>
      <c r="DMA1516" s="879"/>
      <c r="DMB1516" s="879"/>
      <c r="DMC1516" s="879"/>
      <c r="DMD1516" s="879"/>
      <c r="DME1516" s="879"/>
      <c r="DMF1516" s="879"/>
      <c r="DMG1516" s="879"/>
      <c r="DMH1516" s="879"/>
      <c r="DMI1516" s="879"/>
      <c r="DMJ1516" s="879"/>
      <c r="DMK1516" s="879"/>
      <c r="DML1516" s="879"/>
      <c r="DMM1516" s="879"/>
      <c r="DMN1516" s="879"/>
      <c r="DMO1516" s="879"/>
      <c r="DMP1516" s="879"/>
      <c r="DMQ1516" s="879"/>
      <c r="DMR1516" s="879"/>
      <c r="DMS1516" s="879"/>
      <c r="DMT1516" s="879"/>
      <c r="DMU1516" s="879"/>
      <c r="DMV1516" s="879"/>
      <c r="DMW1516" s="879"/>
      <c r="DMX1516" s="879"/>
      <c r="DMY1516" s="879"/>
      <c r="DMZ1516" s="879"/>
      <c r="DNA1516" s="879"/>
      <c r="DNB1516" s="879"/>
      <c r="DNC1516" s="879"/>
      <c r="DND1516" s="879"/>
      <c r="DNE1516" s="879"/>
      <c r="DNF1516" s="879"/>
      <c r="DNG1516" s="879"/>
      <c r="DNH1516" s="879"/>
      <c r="DNI1516" s="879"/>
      <c r="DNJ1516" s="879"/>
      <c r="DNK1516" s="879"/>
      <c r="DNL1516" s="879"/>
      <c r="DNM1516" s="879"/>
      <c r="DNN1516" s="879"/>
      <c r="DNO1516" s="879"/>
      <c r="DNP1516" s="879"/>
      <c r="DNQ1516" s="879"/>
      <c r="DNR1516" s="879"/>
      <c r="DNS1516" s="879"/>
      <c r="DNT1516" s="879"/>
      <c r="DNU1516" s="879"/>
      <c r="DNV1516" s="879"/>
      <c r="DNW1516" s="879"/>
      <c r="DNX1516" s="879"/>
      <c r="DNY1516" s="879"/>
      <c r="DNZ1516" s="879"/>
      <c r="DOA1516" s="879"/>
      <c r="DOB1516" s="879"/>
      <c r="DOC1516" s="879"/>
      <c r="DOD1516" s="879"/>
      <c r="DOE1516" s="879"/>
      <c r="DOF1516" s="879"/>
      <c r="DOG1516" s="879"/>
      <c r="DOH1516" s="879"/>
      <c r="DOI1516" s="879"/>
      <c r="DOJ1516" s="879"/>
      <c r="DOK1516" s="879"/>
      <c r="DOL1516" s="879"/>
      <c r="DOM1516" s="879"/>
      <c r="DON1516" s="879"/>
      <c r="DOO1516" s="879"/>
      <c r="DOP1516" s="879"/>
      <c r="DOQ1516" s="879"/>
      <c r="DOR1516" s="879"/>
      <c r="DOS1516" s="879"/>
      <c r="DOT1516" s="879"/>
      <c r="DOU1516" s="879"/>
      <c r="DOV1516" s="879"/>
      <c r="DOW1516" s="879"/>
      <c r="DOX1516" s="879"/>
      <c r="DOY1516" s="879"/>
      <c r="DOZ1516" s="879"/>
      <c r="DPA1516" s="879"/>
      <c r="DPB1516" s="879"/>
      <c r="DPC1516" s="879"/>
      <c r="DPD1516" s="879"/>
      <c r="DPE1516" s="879"/>
      <c r="DPF1516" s="879"/>
      <c r="DPG1516" s="879"/>
      <c r="DPH1516" s="879"/>
      <c r="DPI1516" s="879"/>
      <c r="DPJ1516" s="879"/>
      <c r="DPK1516" s="879"/>
      <c r="DPL1516" s="879"/>
      <c r="DPM1516" s="879"/>
      <c r="DPN1516" s="879"/>
      <c r="DPO1516" s="879"/>
      <c r="DPP1516" s="879"/>
      <c r="DPQ1516" s="879"/>
      <c r="DPR1516" s="879"/>
      <c r="DPS1516" s="879"/>
      <c r="DPT1516" s="879"/>
      <c r="DPU1516" s="879"/>
      <c r="DPV1516" s="879"/>
      <c r="DPW1516" s="879"/>
      <c r="DPX1516" s="879"/>
      <c r="DPY1516" s="879"/>
      <c r="DPZ1516" s="879"/>
      <c r="DQA1516" s="879"/>
      <c r="DQB1516" s="879"/>
      <c r="DQC1516" s="879"/>
      <c r="DQD1516" s="879"/>
      <c r="DQE1516" s="879"/>
      <c r="DQF1516" s="879"/>
      <c r="DQG1516" s="879"/>
      <c r="DQH1516" s="879"/>
      <c r="DQI1516" s="879"/>
      <c r="DQJ1516" s="879"/>
      <c r="DQK1516" s="879"/>
      <c r="DQL1516" s="879"/>
      <c r="DQM1516" s="879"/>
      <c r="DQN1516" s="879"/>
      <c r="DQO1516" s="879"/>
      <c r="DQP1516" s="879"/>
      <c r="DQQ1516" s="879"/>
      <c r="DQR1516" s="879"/>
      <c r="DQS1516" s="879"/>
      <c r="DQT1516" s="879"/>
      <c r="DQU1516" s="879"/>
      <c r="DQV1516" s="879"/>
      <c r="DQW1516" s="879"/>
      <c r="DQX1516" s="879"/>
      <c r="DQY1516" s="879"/>
      <c r="DQZ1516" s="879"/>
      <c r="DRA1516" s="879"/>
      <c r="DRB1516" s="879"/>
      <c r="DRC1516" s="879"/>
      <c r="DRD1516" s="879"/>
      <c r="DRE1516" s="879"/>
      <c r="DRF1516" s="879"/>
      <c r="DRG1516" s="879"/>
      <c r="DRH1516" s="879"/>
      <c r="DRI1516" s="879"/>
      <c r="DRJ1516" s="879"/>
      <c r="DRK1516" s="879"/>
      <c r="DRL1516" s="879"/>
      <c r="DRM1516" s="879"/>
      <c r="DRN1516" s="879"/>
      <c r="DRO1516" s="879"/>
      <c r="DRP1516" s="879"/>
      <c r="DRQ1516" s="879"/>
      <c r="DRR1516" s="879"/>
      <c r="DRS1516" s="879"/>
      <c r="DRT1516" s="879"/>
      <c r="DRU1516" s="879"/>
      <c r="DRV1516" s="879"/>
      <c r="DRW1516" s="879"/>
      <c r="DRX1516" s="879"/>
      <c r="DRY1516" s="879"/>
      <c r="DRZ1516" s="879"/>
      <c r="DSA1516" s="879"/>
      <c r="DSB1516" s="879"/>
      <c r="DSC1516" s="879"/>
      <c r="DSD1516" s="879"/>
      <c r="DSE1516" s="879"/>
      <c r="DSF1516" s="879"/>
      <c r="DSG1516" s="879"/>
      <c r="DSH1516" s="879"/>
      <c r="DSI1516" s="879"/>
      <c r="DSJ1516" s="879"/>
      <c r="DSK1516" s="879"/>
      <c r="DSL1516" s="879"/>
      <c r="DSM1516" s="879"/>
      <c r="DSN1516" s="879"/>
      <c r="DSO1516" s="879"/>
      <c r="DSP1516" s="879"/>
      <c r="DSQ1516" s="879"/>
      <c r="DSR1516" s="879"/>
      <c r="DSS1516" s="879"/>
      <c r="DST1516" s="879"/>
      <c r="DSU1516" s="879"/>
      <c r="DSV1516" s="879"/>
      <c r="DSW1516" s="879"/>
      <c r="DSX1516" s="879"/>
      <c r="DSY1516" s="879"/>
      <c r="DSZ1516" s="879"/>
      <c r="DTA1516" s="879"/>
      <c r="DTB1516" s="879"/>
      <c r="DTC1516" s="879"/>
      <c r="DTD1516" s="879"/>
      <c r="DTE1516" s="879"/>
      <c r="DTF1516" s="879"/>
      <c r="DTG1516" s="879"/>
      <c r="DTH1516" s="879"/>
      <c r="DTI1516" s="879"/>
      <c r="DTJ1516" s="879"/>
      <c r="DTK1516" s="879"/>
      <c r="DTL1516" s="879"/>
      <c r="DTM1516" s="879"/>
      <c r="DTN1516" s="879"/>
      <c r="DTO1516" s="879"/>
      <c r="DTP1516" s="879"/>
      <c r="DTQ1516" s="879"/>
      <c r="DTR1516" s="879"/>
      <c r="DTS1516" s="879"/>
      <c r="DTT1516" s="879"/>
      <c r="DTU1516" s="879"/>
      <c r="DTV1516" s="879"/>
      <c r="DTW1516" s="879"/>
      <c r="DTX1516" s="879"/>
      <c r="DTY1516" s="879"/>
      <c r="DTZ1516" s="879"/>
      <c r="DUA1516" s="879"/>
      <c r="DUB1516" s="879"/>
      <c r="DUC1516" s="879"/>
      <c r="DUD1516" s="879"/>
      <c r="DUE1516" s="879"/>
      <c r="DUF1516" s="879"/>
      <c r="DUG1516" s="879"/>
      <c r="DUH1516" s="879"/>
      <c r="DUI1516" s="879"/>
      <c r="DUJ1516" s="879"/>
      <c r="DUK1516" s="879"/>
      <c r="DUL1516" s="879"/>
      <c r="DUM1516" s="879"/>
      <c r="DUN1516" s="879"/>
      <c r="DUO1516" s="879"/>
      <c r="DUP1516" s="879"/>
      <c r="DUQ1516" s="879"/>
      <c r="DUR1516" s="879"/>
      <c r="DUS1516" s="879"/>
      <c r="DUT1516" s="879"/>
      <c r="DUU1516" s="879"/>
      <c r="DUV1516" s="879"/>
      <c r="DUW1516" s="879"/>
      <c r="DUX1516" s="879"/>
      <c r="DUY1516" s="879"/>
      <c r="DUZ1516" s="879"/>
      <c r="DVA1516" s="879"/>
      <c r="DVB1516" s="879"/>
      <c r="DVC1516" s="879"/>
      <c r="DVD1516" s="879"/>
      <c r="DVE1516" s="879"/>
      <c r="DVF1516" s="879"/>
      <c r="DVG1516" s="879"/>
      <c r="DVH1516" s="879"/>
      <c r="DVI1516" s="879"/>
      <c r="DVJ1516" s="879"/>
      <c r="DVK1516" s="879"/>
      <c r="DVL1516" s="879"/>
      <c r="DVM1516" s="879"/>
      <c r="DVN1516" s="879"/>
      <c r="DVO1516" s="879"/>
      <c r="DVP1516" s="879"/>
      <c r="DVQ1516" s="879"/>
      <c r="DVR1516" s="879"/>
      <c r="DVS1516" s="879"/>
      <c r="DVT1516" s="879"/>
      <c r="DVU1516" s="879"/>
      <c r="DVV1516" s="879"/>
      <c r="DVW1516" s="879"/>
      <c r="DVX1516" s="879"/>
      <c r="DVY1516" s="879"/>
      <c r="DVZ1516" s="879"/>
      <c r="DWA1516" s="879"/>
      <c r="DWB1516" s="879"/>
      <c r="DWC1516" s="879"/>
      <c r="DWD1516" s="879"/>
      <c r="DWE1516" s="879"/>
      <c r="DWF1516" s="879"/>
      <c r="DWG1516" s="879"/>
      <c r="DWH1516" s="879"/>
      <c r="DWI1516" s="879"/>
      <c r="DWJ1516" s="879"/>
      <c r="DWK1516" s="879"/>
      <c r="DWL1516" s="879"/>
      <c r="DWM1516" s="879"/>
      <c r="DWN1516" s="879"/>
      <c r="DWO1516" s="879"/>
      <c r="DWP1516" s="879"/>
      <c r="DWQ1516" s="879"/>
      <c r="DWR1516" s="879"/>
      <c r="DWS1516" s="879"/>
      <c r="DWT1516" s="879"/>
      <c r="DWU1516" s="879"/>
      <c r="DWV1516" s="879"/>
      <c r="DWW1516" s="879"/>
      <c r="DWX1516" s="879"/>
      <c r="DWY1516" s="879"/>
      <c r="DWZ1516" s="879"/>
      <c r="DXA1516" s="879"/>
      <c r="DXB1516" s="879"/>
      <c r="DXC1516" s="879"/>
      <c r="DXD1516" s="879"/>
      <c r="DXE1516" s="879"/>
      <c r="DXF1516" s="879"/>
      <c r="DXG1516" s="879"/>
      <c r="DXH1516" s="879"/>
      <c r="DXI1516" s="879"/>
      <c r="DXJ1516" s="879"/>
      <c r="DXK1516" s="879"/>
      <c r="DXL1516" s="879"/>
      <c r="DXM1516" s="879"/>
      <c r="DXN1516" s="879"/>
      <c r="DXO1516" s="879"/>
      <c r="DXP1516" s="879"/>
      <c r="DXQ1516" s="879"/>
      <c r="DXR1516" s="879"/>
      <c r="DXS1516" s="879"/>
      <c r="DXT1516" s="879"/>
      <c r="DXU1516" s="879"/>
      <c r="DXV1516" s="879"/>
      <c r="DXW1516" s="879"/>
      <c r="DXX1516" s="879"/>
      <c r="DXY1516" s="879"/>
      <c r="DXZ1516" s="879"/>
      <c r="DYA1516" s="879"/>
      <c r="DYB1516" s="879"/>
      <c r="DYC1516" s="879"/>
      <c r="DYD1516" s="879"/>
      <c r="DYE1516" s="879"/>
      <c r="DYF1516" s="879"/>
      <c r="DYG1516" s="879"/>
      <c r="DYH1516" s="879"/>
      <c r="DYI1516" s="879"/>
      <c r="DYJ1516" s="879"/>
      <c r="DYK1516" s="879"/>
      <c r="DYL1516" s="879"/>
      <c r="DYM1516" s="879"/>
      <c r="DYN1516" s="879"/>
      <c r="DYO1516" s="879"/>
      <c r="DYP1516" s="879"/>
      <c r="DYQ1516" s="879"/>
      <c r="DYR1516" s="879"/>
      <c r="DYS1516" s="879"/>
      <c r="DYT1516" s="879"/>
      <c r="DYU1516" s="879"/>
      <c r="DYV1516" s="879"/>
      <c r="DYW1516" s="879"/>
      <c r="DYX1516" s="879"/>
      <c r="DYY1516" s="879"/>
      <c r="DYZ1516" s="879"/>
      <c r="DZA1516" s="879"/>
      <c r="DZB1516" s="879"/>
      <c r="DZC1516" s="879"/>
      <c r="DZD1516" s="879"/>
      <c r="DZE1516" s="879"/>
      <c r="DZF1516" s="879"/>
      <c r="DZG1516" s="879"/>
      <c r="DZH1516" s="879"/>
      <c r="DZI1516" s="879"/>
      <c r="DZJ1516" s="879"/>
      <c r="DZK1516" s="879"/>
      <c r="DZL1516" s="879"/>
      <c r="DZM1516" s="879"/>
      <c r="DZN1516" s="879"/>
      <c r="DZO1516" s="879"/>
      <c r="DZP1516" s="879"/>
      <c r="DZQ1516" s="879"/>
      <c r="DZR1516" s="879"/>
      <c r="DZS1516" s="879"/>
      <c r="DZT1516" s="879"/>
      <c r="DZU1516" s="879"/>
      <c r="DZV1516" s="879"/>
      <c r="DZW1516" s="879"/>
      <c r="DZX1516" s="879"/>
      <c r="DZY1516" s="879"/>
      <c r="DZZ1516" s="879"/>
      <c r="EAA1516" s="879"/>
      <c r="EAB1516" s="879"/>
      <c r="EAC1516" s="879"/>
      <c r="EAD1516" s="879"/>
      <c r="EAE1516" s="879"/>
      <c r="EAF1516" s="879"/>
      <c r="EAG1516" s="879"/>
      <c r="EAH1516" s="879"/>
      <c r="EAI1516" s="879"/>
      <c r="EAJ1516" s="879"/>
      <c r="EAK1516" s="879"/>
      <c r="EAL1516" s="879"/>
      <c r="EAM1516" s="879"/>
      <c r="EAN1516" s="879"/>
      <c r="EAO1516" s="879"/>
      <c r="EAP1516" s="879"/>
      <c r="EAQ1516" s="879"/>
      <c r="EAR1516" s="879"/>
      <c r="EAS1516" s="879"/>
      <c r="EAT1516" s="879"/>
      <c r="EAU1516" s="879"/>
      <c r="EAV1516" s="879"/>
      <c r="EAW1516" s="879"/>
      <c r="EAX1516" s="879"/>
      <c r="EAY1516" s="879"/>
      <c r="EAZ1516" s="879"/>
      <c r="EBA1516" s="879"/>
      <c r="EBB1516" s="879"/>
      <c r="EBC1516" s="879"/>
      <c r="EBD1516" s="879"/>
      <c r="EBE1516" s="879"/>
      <c r="EBF1516" s="879"/>
      <c r="EBG1516" s="879"/>
      <c r="EBH1516" s="879"/>
      <c r="EBI1516" s="879"/>
      <c r="EBJ1516" s="879"/>
      <c r="EBK1516" s="879"/>
      <c r="EBL1516" s="879"/>
      <c r="EBM1516" s="879"/>
      <c r="EBN1516" s="879"/>
      <c r="EBO1516" s="879"/>
      <c r="EBP1516" s="879"/>
      <c r="EBQ1516" s="879"/>
      <c r="EBR1516" s="879"/>
      <c r="EBS1516" s="879"/>
      <c r="EBT1516" s="879"/>
      <c r="EBU1516" s="879"/>
      <c r="EBV1516" s="879"/>
      <c r="EBW1516" s="879"/>
      <c r="EBX1516" s="879"/>
      <c r="EBY1516" s="879"/>
      <c r="EBZ1516" s="879"/>
      <c r="ECA1516" s="879"/>
      <c r="ECB1516" s="879"/>
      <c r="ECC1516" s="879"/>
      <c r="ECD1516" s="879"/>
      <c r="ECE1516" s="879"/>
      <c r="ECF1516" s="879"/>
      <c r="ECG1516" s="879"/>
      <c r="ECH1516" s="879"/>
      <c r="ECI1516" s="879"/>
      <c r="ECJ1516" s="879"/>
      <c r="ECK1516" s="879"/>
      <c r="ECL1516" s="879"/>
      <c r="ECM1516" s="879"/>
      <c r="ECN1516" s="879"/>
      <c r="ECO1516" s="879"/>
      <c r="ECP1516" s="879"/>
      <c r="ECQ1516" s="879"/>
      <c r="ECR1516" s="879"/>
      <c r="ECS1516" s="879"/>
      <c r="ECT1516" s="879"/>
      <c r="ECU1516" s="879"/>
      <c r="ECV1516" s="879"/>
      <c r="ECW1516" s="879"/>
      <c r="ECX1516" s="879"/>
      <c r="ECY1516" s="879"/>
      <c r="ECZ1516" s="879"/>
      <c r="EDA1516" s="879"/>
      <c r="EDB1516" s="879"/>
      <c r="EDC1516" s="879"/>
      <c r="EDD1516" s="879"/>
      <c r="EDE1516" s="879"/>
      <c r="EDF1516" s="879"/>
      <c r="EDG1516" s="879"/>
      <c r="EDH1516" s="879"/>
      <c r="EDI1516" s="879"/>
      <c r="EDJ1516" s="879"/>
      <c r="EDK1516" s="879"/>
      <c r="EDL1516" s="879"/>
      <c r="EDM1516" s="879"/>
      <c r="EDN1516" s="879"/>
      <c r="EDO1516" s="879"/>
      <c r="EDP1516" s="879"/>
      <c r="EDQ1516" s="879"/>
      <c r="EDR1516" s="879"/>
      <c r="EDS1516" s="879"/>
      <c r="EDT1516" s="879"/>
      <c r="EDU1516" s="879"/>
      <c r="EDV1516" s="879"/>
      <c r="EDW1516" s="879"/>
      <c r="EDX1516" s="879"/>
      <c r="EDY1516" s="879"/>
      <c r="EDZ1516" s="879"/>
      <c r="EEA1516" s="879"/>
      <c r="EEB1516" s="879"/>
      <c r="EEC1516" s="879"/>
      <c r="EED1516" s="879"/>
      <c r="EEE1516" s="879"/>
      <c r="EEF1516" s="879"/>
      <c r="EEG1516" s="879"/>
      <c r="EEH1516" s="879"/>
      <c r="EEI1516" s="879"/>
      <c r="EEJ1516" s="879"/>
      <c r="EEK1516" s="879"/>
      <c r="EEL1516" s="879"/>
      <c r="EEM1516" s="879"/>
      <c r="EEN1516" s="879"/>
      <c r="EEO1516" s="879"/>
      <c r="EEP1516" s="879"/>
      <c r="EEQ1516" s="879"/>
      <c r="EER1516" s="879"/>
      <c r="EES1516" s="879"/>
      <c r="EET1516" s="879"/>
      <c r="EEU1516" s="879"/>
      <c r="EEV1516" s="879"/>
      <c r="EEW1516" s="879"/>
      <c r="EEX1516" s="879"/>
      <c r="EEY1516" s="879"/>
      <c r="EEZ1516" s="879"/>
      <c r="EFA1516" s="879"/>
      <c r="EFB1516" s="879"/>
      <c r="EFC1516" s="879"/>
      <c r="EFD1516" s="879"/>
      <c r="EFE1516" s="879"/>
      <c r="EFF1516" s="879"/>
      <c r="EFG1516" s="879"/>
      <c r="EFH1516" s="879"/>
      <c r="EFI1516" s="879"/>
      <c r="EFJ1516" s="879"/>
      <c r="EFK1516" s="879"/>
      <c r="EFL1516" s="879"/>
      <c r="EFM1516" s="879"/>
      <c r="EFN1516" s="879"/>
      <c r="EFO1516" s="879"/>
      <c r="EFP1516" s="879"/>
      <c r="EFQ1516" s="879"/>
      <c r="EFR1516" s="879"/>
      <c r="EFS1516" s="879"/>
      <c r="EFT1516" s="879"/>
      <c r="EFU1516" s="879"/>
      <c r="EFV1516" s="879"/>
      <c r="EFW1516" s="879"/>
      <c r="EFX1516" s="879"/>
      <c r="EFY1516" s="879"/>
      <c r="EFZ1516" s="879"/>
      <c r="EGA1516" s="879"/>
      <c r="EGB1516" s="879"/>
      <c r="EGC1516" s="879"/>
      <c r="EGD1516" s="879"/>
      <c r="EGE1516" s="879"/>
      <c r="EGF1516" s="879"/>
      <c r="EGG1516" s="879"/>
      <c r="EGH1516" s="879"/>
      <c r="EGI1516" s="879"/>
      <c r="EGJ1516" s="879"/>
      <c r="EGK1516" s="879"/>
      <c r="EGL1516" s="879"/>
      <c r="EGM1516" s="879"/>
      <c r="EGN1516" s="879"/>
      <c r="EGO1516" s="879"/>
      <c r="EGP1516" s="879"/>
      <c r="EGQ1516" s="879"/>
      <c r="EGR1516" s="879"/>
      <c r="EGS1516" s="879"/>
      <c r="EGT1516" s="879"/>
      <c r="EGU1516" s="879"/>
      <c r="EGV1516" s="879"/>
      <c r="EGW1516" s="879"/>
      <c r="EGX1516" s="879"/>
      <c r="EGY1516" s="879"/>
      <c r="EGZ1516" s="879"/>
      <c r="EHA1516" s="879"/>
      <c r="EHB1516" s="879"/>
      <c r="EHC1516" s="879"/>
      <c r="EHD1516" s="879"/>
      <c r="EHE1516" s="879"/>
      <c r="EHF1516" s="879"/>
      <c r="EHG1516" s="879"/>
      <c r="EHH1516" s="879"/>
      <c r="EHI1516" s="879"/>
      <c r="EHJ1516" s="879"/>
      <c r="EHK1516" s="879"/>
      <c r="EHL1516" s="879"/>
      <c r="EHM1516" s="879"/>
      <c r="EHN1516" s="879"/>
      <c r="EHO1516" s="879"/>
      <c r="EHP1516" s="879"/>
      <c r="EHQ1516" s="879"/>
      <c r="EHR1516" s="879"/>
      <c r="EHS1516" s="879"/>
      <c r="EHT1516" s="879"/>
      <c r="EHU1516" s="879"/>
      <c r="EHV1516" s="879"/>
      <c r="EHW1516" s="879"/>
      <c r="EHX1516" s="879"/>
      <c r="EHY1516" s="879"/>
      <c r="EHZ1516" s="879"/>
      <c r="EIA1516" s="879"/>
      <c r="EIB1516" s="879"/>
      <c r="EIC1516" s="879"/>
      <c r="EID1516" s="879"/>
      <c r="EIE1516" s="879"/>
      <c r="EIF1516" s="879"/>
      <c r="EIG1516" s="879"/>
      <c r="EIH1516" s="879"/>
      <c r="EII1516" s="879"/>
      <c r="EIJ1516" s="879"/>
      <c r="EIK1516" s="879"/>
      <c r="EIL1516" s="879"/>
      <c r="EIM1516" s="879"/>
      <c r="EIN1516" s="879"/>
      <c r="EIO1516" s="879"/>
      <c r="EIP1516" s="879"/>
      <c r="EIQ1516" s="879"/>
      <c r="EIR1516" s="879"/>
      <c r="EIS1516" s="879"/>
      <c r="EIT1516" s="879"/>
      <c r="EIU1516" s="879"/>
      <c r="EIV1516" s="879"/>
      <c r="EIW1516" s="879"/>
      <c r="EIX1516" s="879"/>
      <c r="EIY1516" s="879"/>
      <c r="EIZ1516" s="879"/>
      <c r="EJA1516" s="879"/>
      <c r="EJB1516" s="879"/>
      <c r="EJC1516" s="879"/>
      <c r="EJD1516" s="879"/>
      <c r="EJE1516" s="879"/>
      <c r="EJF1516" s="879"/>
      <c r="EJG1516" s="879"/>
      <c r="EJH1516" s="879"/>
      <c r="EJI1516" s="879"/>
      <c r="EJJ1516" s="879"/>
      <c r="EJK1516" s="879"/>
      <c r="EJL1516" s="879"/>
      <c r="EJM1516" s="879"/>
      <c r="EJN1516" s="879"/>
      <c r="EJO1516" s="879"/>
      <c r="EJP1516" s="879"/>
      <c r="EJQ1516" s="879"/>
      <c r="EJR1516" s="879"/>
      <c r="EJS1516" s="879"/>
      <c r="EJT1516" s="879"/>
      <c r="EJU1516" s="879"/>
      <c r="EJV1516" s="879"/>
      <c r="EJW1516" s="879"/>
      <c r="EJX1516" s="879"/>
      <c r="EJY1516" s="879"/>
      <c r="EJZ1516" s="879"/>
      <c r="EKA1516" s="879"/>
      <c r="EKB1516" s="879"/>
      <c r="EKC1516" s="879"/>
      <c r="EKD1516" s="879"/>
      <c r="EKE1516" s="879"/>
      <c r="EKF1516" s="879"/>
      <c r="EKG1516" s="879"/>
      <c r="EKH1516" s="879"/>
      <c r="EKI1516" s="879"/>
      <c r="EKJ1516" s="879"/>
      <c r="EKK1516" s="879"/>
      <c r="EKL1516" s="879"/>
      <c r="EKM1516" s="879"/>
      <c r="EKN1516" s="879"/>
      <c r="EKO1516" s="879"/>
      <c r="EKP1516" s="879"/>
      <c r="EKQ1516" s="879"/>
      <c r="EKR1516" s="879"/>
      <c r="EKS1516" s="879"/>
      <c r="EKT1516" s="879"/>
      <c r="EKU1516" s="879"/>
      <c r="EKV1516" s="879"/>
      <c r="EKW1516" s="879"/>
      <c r="EKX1516" s="879"/>
      <c r="EKY1516" s="879"/>
      <c r="EKZ1516" s="879"/>
      <c r="ELA1516" s="879"/>
      <c r="ELB1516" s="879"/>
      <c r="ELC1516" s="879"/>
      <c r="ELD1516" s="879"/>
      <c r="ELE1516" s="879"/>
      <c r="ELF1516" s="879"/>
      <c r="ELG1516" s="879"/>
      <c r="ELH1516" s="879"/>
      <c r="ELI1516" s="879"/>
      <c r="ELJ1516" s="879"/>
      <c r="ELK1516" s="879"/>
      <c r="ELL1516" s="879"/>
      <c r="ELM1516" s="879"/>
      <c r="ELN1516" s="879"/>
      <c r="ELO1516" s="879"/>
      <c r="ELP1516" s="879"/>
      <c r="ELQ1516" s="879"/>
      <c r="ELR1516" s="879"/>
      <c r="ELS1516" s="879"/>
      <c r="ELT1516" s="879"/>
      <c r="ELU1516" s="879"/>
      <c r="ELV1516" s="879"/>
      <c r="ELW1516" s="879"/>
      <c r="ELX1516" s="879"/>
      <c r="ELY1516" s="879"/>
      <c r="ELZ1516" s="879"/>
      <c r="EMA1516" s="879"/>
      <c r="EMB1516" s="879"/>
      <c r="EMC1516" s="879"/>
      <c r="EMD1516" s="879"/>
      <c r="EME1516" s="879"/>
      <c r="EMF1516" s="879"/>
      <c r="EMG1516" s="879"/>
      <c r="EMH1516" s="879"/>
      <c r="EMI1516" s="879"/>
      <c r="EMJ1516" s="879"/>
      <c r="EMK1516" s="879"/>
      <c r="EML1516" s="879"/>
      <c r="EMM1516" s="879"/>
      <c r="EMN1516" s="879"/>
      <c r="EMO1516" s="879"/>
      <c r="EMP1516" s="879"/>
      <c r="EMQ1516" s="879"/>
      <c r="EMR1516" s="879"/>
      <c r="EMS1516" s="879"/>
      <c r="EMT1516" s="879"/>
      <c r="EMU1516" s="879"/>
      <c r="EMV1516" s="879"/>
      <c r="EMW1516" s="879"/>
      <c r="EMX1516" s="879"/>
      <c r="EMY1516" s="879"/>
      <c r="EMZ1516" s="879"/>
      <c r="ENA1516" s="879"/>
      <c r="ENB1516" s="879"/>
      <c r="ENC1516" s="879"/>
      <c r="END1516" s="879"/>
      <c r="ENE1516" s="879"/>
      <c r="ENF1516" s="879"/>
      <c r="ENG1516" s="879"/>
      <c r="ENH1516" s="879"/>
      <c r="ENI1516" s="879"/>
      <c r="ENJ1516" s="879"/>
      <c r="ENK1516" s="879"/>
      <c r="ENL1516" s="879"/>
      <c r="ENM1516" s="879"/>
      <c r="ENN1516" s="879"/>
      <c r="ENO1516" s="879"/>
      <c r="ENP1516" s="879"/>
      <c r="ENQ1516" s="879"/>
      <c r="ENR1516" s="879"/>
      <c r="ENS1516" s="879"/>
      <c r="ENT1516" s="879"/>
      <c r="ENU1516" s="879"/>
      <c r="ENV1516" s="879"/>
      <c r="ENW1516" s="879"/>
      <c r="ENX1516" s="879"/>
      <c r="ENY1516" s="879"/>
      <c r="ENZ1516" s="879"/>
      <c r="EOA1516" s="879"/>
      <c r="EOB1516" s="879"/>
      <c r="EOC1516" s="879"/>
      <c r="EOD1516" s="879"/>
      <c r="EOE1516" s="879"/>
      <c r="EOF1516" s="879"/>
      <c r="EOG1516" s="879"/>
      <c r="EOH1516" s="879"/>
      <c r="EOI1516" s="879"/>
      <c r="EOJ1516" s="879"/>
      <c r="EOK1516" s="879"/>
      <c r="EOL1516" s="879"/>
      <c r="EOM1516" s="879"/>
      <c r="EON1516" s="879"/>
      <c r="EOO1516" s="879"/>
      <c r="EOP1516" s="879"/>
      <c r="EOQ1516" s="879"/>
      <c r="EOR1516" s="879"/>
      <c r="EOS1516" s="879"/>
      <c r="EOT1516" s="879"/>
      <c r="EOU1516" s="879"/>
      <c r="EOV1516" s="879"/>
      <c r="EOW1516" s="879"/>
      <c r="EOX1516" s="879"/>
      <c r="EOY1516" s="879"/>
      <c r="EOZ1516" s="879"/>
      <c r="EPA1516" s="879"/>
      <c r="EPB1516" s="879"/>
      <c r="EPC1516" s="879"/>
      <c r="EPD1516" s="879"/>
      <c r="EPE1516" s="879"/>
      <c r="EPF1516" s="879"/>
      <c r="EPG1516" s="879"/>
      <c r="EPH1516" s="879"/>
      <c r="EPI1516" s="879"/>
      <c r="EPJ1516" s="879"/>
      <c r="EPK1516" s="879"/>
      <c r="EPL1516" s="879"/>
      <c r="EPM1516" s="879"/>
      <c r="EPN1516" s="879"/>
      <c r="EPO1516" s="879"/>
      <c r="EPP1516" s="879"/>
      <c r="EPQ1516" s="879"/>
      <c r="EPR1516" s="879"/>
      <c r="EPS1516" s="879"/>
      <c r="EPT1516" s="879"/>
      <c r="EPU1516" s="879"/>
      <c r="EPV1516" s="879"/>
      <c r="EPW1516" s="879"/>
      <c r="EPX1516" s="879"/>
      <c r="EPY1516" s="879"/>
      <c r="EPZ1516" s="879"/>
      <c r="EQA1516" s="879"/>
      <c r="EQB1516" s="879"/>
      <c r="EQC1516" s="879"/>
      <c r="EQD1516" s="879"/>
      <c r="EQE1516" s="879"/>
      <c r="EQF1516" s="879"/>
      <c r="EQG1516" s="879"/>
      <c r="EQH1516" s="879"/>
      <c r="EQI1516" s="879"/>
      <c r="EQJ1516" s="879"/>
      <c r="EQK1516" s="879"/>
      <c r="EQL1516" s="879"/>
      <c r="EQM1516" s="879"/>
      <c r="EQN1516" s="879"/>
      <c r="EQO1516" s="879"/>
      <c r="EQP1516" s="879"/>
      <c r="EQQ1516" s="879"/>
      <c r="EQR1516" s="879"/>
      <c r="EQS1516" s="879"/>
      <c r="EQT1516" s="879"/>
      <c r="EQU1516" s="879"/>
      <c r="EQV1516" s="879"/>
      <c r="EQW1516" s="879"/>
      <c r="EQX1516" s="879"/>
      <c r="EQY1516" s="879"/>
      <c r="EQZ1516" s="879"/>
      <c r="ERA1516" s="879"/>
      <c r="ERB1516" s="879"/>
      <c r="ERC1516" s="879"/>
      <c r="ERD1516" s="879"/>
      <c r="ERE1516" s="879"/>
      <c r="ERF1516" s="879"/>
      <c r="ERG1516" s="879"/>
      <c r="ERH1516" s="879"/>
      <c r="ERI1516" s="879"/>
      <c r="ERJ1516" s="879"/>
      <c r="ERK1516" s="879"/>
      <c r="ERL1516" s="879"/>
      <c r="ERM1516" s="879"/>
      <c r="ERN1516" s="879"/>
      <c r="ERO1516" s="879"/>
      <c r="ERP1516" s="879"/>
      <c r="ERQ1516" s="879"/>
      <c r="ERR1516" s="879"/>
      <c r="ERS1516" s="879"/>
      <c r="ERT1516" s="879"/>
      <c r="ERU1516" s="879"/>
      <c r="ERV1516" s="879"/>
      <c r="ERW1516" s="879"/>
      <c r="ERX1516" s="879"/>
      <c r="ERY1516" s="879"/>
      <c r="ERZ1516" s="879"/>
      <c r="ESA1516" s="879"/>
      <c r="ESB1516" s="879"/>
      <c r="ESC1516" s="879"/>
      <c r="ESD1516" s="879"/>
      <c r="ESE1516" s="879"/>
      <c r="ESF1516" s="879"/>
      <c r="ESG1516" s="879"/>
      <c r="ESH1516" s="879"/>
      <c r="ESI1516" s="879"/>
      <c r="ESJ1516" s="879"/>
      <c r="ESK1516" s="879"/>
      <c r="ESL1516" s="879"/>
      <c r="ESM1516" s="879"/>
      <c r="ESN1516" s="879"/>
      <c r="ESO1516" s="879"/>
      <c r="ESP1516" s="879"/>
      <c r="ESQ1516" s="879"/>
      <c r="ESR1516" s="879"/>
      <c r="ESS1516" s="879"/>
      <c r="EST1516" s="879"/>
      <c r="ESU1516" s="879"/>
      <c r="ESV1516" s="879"/>
      <c r="ESW1516" s="879"/>
      <c r="ESX1516" s="879"/>
      <c r="ESY1516" s="879"/>
      <c r="ESZ1516" s="879"/>
      <c r="ETA1516" s="879"/>
      <c r="ETB1516" s="879"/>
      <c r="ETC1516" s="879"/>
      <c r="ETD1516" s="879"/>
      <c r="ETE1516" s="879"/>
      <c r="ETF1516" s="879"/>
      <c r="ETG1516" s="879"/>
      <c r="ETH1516" s="879"/>
      <c r="ETI1516" s="879"/>
      <c r="ETJ1516" s="879"/>
      <c r="ETK1516" s="879"/>
      <c r="ETL1516" s="879"/>
      <c r="ETM1516" s="879"/>
      <c r="ETN1516" s="879"/>
      <c r="ETO1516" s="879"/>
      <c r="ETP1516" s="879"/>
      <c r="ETQ1516" s="879"/>
      <c r="ETR1516" s="879"/>
      <c r="ETS1516" s="879"/>
      <c r="ETT1516" s="879"/>
      <c r="ETU1516" s="879"/>
      <c r="ETV1516" s="879"/>
      <c r="ETW1516" s="879"/>
      <c r="ETX1516" s="879"/>
      <c r="ETY1516" s="879"/>
      <c r="ETZ1516" s="879"/>
      <c r="EUA1516" s="879"/>
      <c r="EUB1516" s="879"/>
      <c r="EUC1516" s="879"/>
      <c r="EUD1516" s="879"/>
      <c r="EUE1516" s="879"/>
      <c r="EUF1516" s="879"/>
      <c r="EUG1516" s="879"/>
      <c r="EUH1516" s="879"/>
      <c r="EUI1516" s="879"/>
      <c r="EUJ1516" s="879"/>
      <c r="EUK1516" s="879"/>
      <c r="EUL1516" s="879"/>
      <c r="EUM1516" s="879"/>
      <c r="EUN1516" s="879"/>
      <c r="EUO1516" s="879"/>
      <c r="EUP1516" s="879"/>
      <c r="EUQ1516" s="879"/>
      <c r="EUR1516" s="879"/>
      <c r="EUS1516" s="879"/>
      <c r="EUT1516" s="879"/>
      <c r="EUU1516" s="879"/>
      <c r="EUV1516" s="879"/>
      <c r="EUW1516" s="879"/>
      <c r="EUX1516" s="879"/>
      <c r="EUY1516" s="879"/>
      <c r="EUZ1516" s="879"/>
      <c r="EVA1516" s="879"/>
      <c r="EVB1516" s="879"/>
      <c r="EVC1516" s="879"/>
      <c r="EVD1516" s="879"/>
      <c r="EVE1516" s="879"/>
      <c r="EVF1516" s="879"/>
      <c r="EVG1516" s="879"/>
      <c r="EVH1516" s="879"/>
      <c r="EVI1516" s="879"/>
      <c r="EVJ1516" s="879"/>
      <c r="EVK1516" s="879"/>
      <c r="EVL1516" s="879"/>
      <c r="EVM1516" s="879"/>
      <c r="EVN1516" s="879"/>
      <c r="EVO1516" s="879"/>
      <c r="EVP1516" s="879"/>
      <c r="EVQ1516" s="879"/>
      <c r="EVR1516" s="879"/>
      <c r="EVS1516" s="879"/>
      <c r="EVT1516" s="879"/>
      <c r="EVU1516" s="879"/>
      <c r="EVV1516" s="879"/>
      <c r="EVW1516" s="879"/>
      <c r="EVX1516" s="879"/>
      <c r="EVY1516" s="879"/>
      <c r="EVZ1516" s="879"/>
      <c r="EWA1516" s="879"/>
      <c r="EWB1516" s="879"/>
      <c r="EWC1516" s="879"/>
      <c r="EWD1516" s="879"/>
      <c r="EWE1516" s="879"/>
      <c r="EWF1516" s="879"/>
      <c r="EWG1516" s="879"/>
      <c r="EWH1516" s="879"/>
      <c r="EWI1516" s="879"/>
      <c r="EWJ1516" s="879"/>
      <c r="EWK1516" s="879"/>
      <c r="EWL1516" s="879"/>
      <c r="EWM1516" s="879"/>
      <c r="EWN1516" s="879"/>
      <c r="EWO1516" s="879"/>
      <c r="EWP1516" s="879"/>
      <c r="EWQ1516" s="879"/>
      <c r="EWR1516" s="879"/>
      <c r="EWS1516" s="879"/>
      <c r="EWT1516" s="879"/>
      <c r="EWU1516" s="879"/>
      <c r="EWV1516" s="879"/>
      <c r="EWW1516" s="879"/>
      <c r="EWX1516" s="879"/>
      <c r="EWY1516" s="879"/>
      <c r="EWZ1516" s="879"/>
      <c r="EXA1516" s="879"/>
      <c r="EXB1516" s="879"/>
      <c r="EXC1516" s="879"/>
      <c r="EXD1516" s="879"/>
      <c r="EXE1516" s="879"/>
      <c r="EXF1516" s="879"/>
      <c r="EXG1516" s="879"/>
      <c r="EXH1516" s="879"/>
      <c r="EXI1516" s="879"/>
      <c r="EXJ1516" s="879"/>
      <c r="EXK1516" s="879"/>
      <c r="EXL1516" s="879"/>
      <c r="EXM1516" s="879"/>
      <c r="EXN1516" s="879"/>
      <c r="EXO1516" s="879"/>
      <c r="EXP1516" s="879"/>
      <c r="EXQ1516" s="879"/>
      <c r="EXR1516" s="879"/>
      <c r="EXS1516" s="879"/>
      <c r="EXT1516" s="879"/>
      <c r="EXU1516" s="879"/>
      <c r="EXV1516" s="879"/>
      <c r="EXW1516" s="879"/>
      <c r="EXX1516" s="879"/>
      <c r="EXY1516" s="879"/>
      <c r="EXZ1516" s="879"/>
      <c r="EYA1516" s="879"/>
      <c r="EYB1516" s="879"/>
      <c r="EYC1516" s="879"/>
      <c r="EYD1516" s="879"/>
      <c r="EYE1516" s="879"/>
      <c r="EYF1516" s="879"/>
      <c r="EYG1516" s="879"/>
      <c r="EYH1516" s="879"/>
      <c r="EYI1516" s="879"/>
      <c r="EYJ1516" s="879"/>
      <c r="EYK1516" s="879"/>
      <c r="EYL1516" s="879"/>
      <c r="EYM1516" s="879"/>
      <c r="EYN1516" s="879"/>
      <c r="EYO1516" s="879"/>
      <c r="EYP1516" s="879"/>
      <c r="EYQ1516" s="879"/>
      <c r="EYR1516" s="879"/>
      <c r="EYS1516" s="879"/>
      <c r="EYT1516" s="879"/>
      <c r="EYU1516" s="879"/>
      <c r="EYV1516" s="879"/>
      <c r="EYW1516" s="879"/>
      <c r="EYX1516" s="879"/>
      <c r="EYY1516" s="879"/>
      <c r="EYZ1516" s="879"/>
      <c r="EZA1516" s="879"/>
      <c r="EZB1516" s="879"/>
      <c r="EZC1516" s="879"/>
      <c r="EZD1516" s="879"/>
      <c r="EZE1516" s="879"/>
      <c r="EZF1516" s="879"/>
      <c r="EZG1516" s="879"/>
      <c r="EZH1516" s="879"/>
      <c r="EZI1516" s="879"/>
      <c r="EZJ1516" s="879"/>
      <c r="EZK1516" s="879"/>
      <c r="EZL1516" s="879"/>
      <c r="EZM1516" s="879"/>
      <c r="EZN1516" s="879"/>
      <c r="EZO1516" s="879"/>
      <c r="EZP1516" s="879"/>
      <c r="EZQ1516" s="879"/>
      <c r="EZR1516" s="879"/>
      <c r="EZS1516" s="879"/>
      <c r="EZT1516" s="879"/>
      <c r="EZU1516" s="879"/>
      <c r="EZV1516" s="879"/>
      <c r="EZW1516" s="879"/>
      <c r="EZX1516" s="879"/>
      <c r="EZY1516" s="879"/>
      <c r="EZZ1516" s="879"/>
      <c r="FAA1516" s="879"/>
      <c r="FAB1516" s="879"/>
      <c r="FAC1516" s="879"/>
      <c r="FAD1516" s="879"/>
      <c r="FAE1516" s="879"/>
      <c r="FAF1516" s="879"/>
      <c r="FAG1516" s="879"/>
      <c r="FAH1516" s="879"/>
      <c r="FAI1516" s="879"/>
      <c r="FAJ1516" s="879"/>
      <c r="FAK1516" s="879"/>
      <c r="FAL1516" s="879"/>
      <c r="FAM1516" s="879"/>
      <c r="FAN1516" s="879"/>
      <c r="FAO1516" s="879"/>
      <c r="FAP1516" s="879"/>
      <c r="FAQ1516" s="879"/>
      <c r="FAR1516" s="879"/>
      <c r="FAS1516" s="879"/>
      <c r="FAT1516" s="879"/>
      <c r="FAU1516" s="879"/>
      <c r="FAV1516" s="879"/>
      <c r="FAW1516" s="879"/>
      <c r="FAX1516" s="879"/>
      <c r="FAY1516" s="879"/>
      <c r="FAZ1516" s="879"/>
      <c r="FBA1516" s="879"/>
      <c r="FBB1516" s="879"/>
      <c r="FBC1516" s="879"/>
      <c r="FBD1516" s="879"/>
      <c r="FBE1516" s="879"/>
      <c r="FBF1516" s="879"/>
      <c r="FBG1516" s="879"/>
      <c r="FBH1516" s="879"/>
      <c r="FBI1516" s="879"/>
      <c r="FBJ1516" s="879"/>
      <c r="FBK1516" s="879"/>
      <c r="FBL1516" s="879"/>
      <c r="FBM1516" s="879"/>
      <c r="FBN1516" s="879"/>
      <c r="FBO1516" s="879"/>
      <c r="FBP1516" s="879"/>
      <c r="FBQ1516" s="879"/>
      <c r="FBR1516" s="879"/>
      <c r="FBS1516" s="879"/>
      <c r="FBT1516" s="879"/>
      <c r="FBU1516" s="879"/>
      <c r="FBV1516" s="879"/>
      <c r="FBW1516" s="879"/>
      <c r="FBX1516" s="879"/>
      <c r="FBY1516" s="879"/>
      <c r="FBZ1516" s="879"/>
      <c r="FCA1516" s="879"/>
      <c r="FCB1516" s="879"/>
      <c r="FCC1516" s="879"/>
      <c r="FCD1516" s="879"/>
      <c r="FCE1516" s="879"/>
      <c r="FCF1516" s="879"/>
      <c r="FCG1516" s="879"/>
      <c r="FCH1516" s="879"/>
      <c r="FCI1516" s="879"/>
      <c r="FCJ1516" s="879"/>
      <c r="FCK1516" s="879"/>
      <c r="FCL1516" s="879"/>
      <c r="FCM1516" s="879"/>
      <c r="FCN1516" s="879"/>
      <c r="FCO1516" s="879"/>
      <c r="FCP1516" s="879"/>
      <c r="FCQ1516" s="879"/>
      <c r="FCR1516" s="879"/>
      <c r="FCS1516" s="879"/>
      <c r="FCT1516" s="879"/>
      <c r="FCU1516" s="879"/>
      <c r="FCV1516" s="879"/>
      <c r="FCW1516" s="879"/>
      <c r="FCX1516" s="879"/>
      <c r="FCY1516" s="879"/>
      <c r="FCZ1516" s="879"/>
      <c r="FDA1516" s="879"/>
      <c r="FDB1516" s="879"/>
      <c r="FDC1516" s="879"/>
      <c r="FDD1516" s="879"/>
      <c r="FDE1516" s="879"/>
      <c r="FDF1516" s="879"/>
      <c r="FDG1516" s="879"/>
      <c r="FDH1516" s="879"/>
      <c r="FDI1516" s="879"/>
      <c r="FDJ1516" s="879"/>
      <c r="FDK1516" s="879"/>
      <c r="FDL1516" s="879"/>
      <c r="FDM1516" s="879"/>
      <c r="FDN1516" s="879"/>
      <c r="FDO1516" s="879"/>
      <c r="FDP1516" s="879"/>
      <c r="FDQ1516" s="879"/>
      <c r="FDR1516" s="879"/>
      <c r="FDS1516" s="879"/>
      <c r="FDT1516" s="879"/>
      <c r="FDU1516" s="879"/>
      <c r="FDV1516" s="879"/>
      <c r="FDW1516" s="879"/>
      <c r="FDX1516" s="879"/>
      <c r="FDY1516" s="879"/>
      <c r="FDZ1516" s="879"/>
      <c r="FEA1516" s="879"/>
      <c r="FEB1516" s="879"/>
      <c r="FEC1516" s="879"/>
      <c r="FED1516" s="879"/>
      <c r="FEE1516" s="879"/>
      <c r="FEF1516" s="879"/>
      <c r="FEG1516" s="879"/>
      <c r="FEH1516" s="879"/>
      <c r="FEI1516" s="879"/>
      <c r="FEJ1516" s="879"/>
      <c r="FEK1516" s="879"/>
      <c r="FEL1516" s="879"/>
      <c r="FEM1516" s="879"/>
      <c r="FEN1516" s="879"/>
      <c r="FEO1516" s="879"/>
      <c r="FEP1516" s="879"/>
      <c r="FEQ1516" s="879"/>
      <c r="FER1516" s="879"/>
      <c r="FES1516" s="879"/>
      <c r="FET1516" s="879"/>
      <c r="FEU1516" s="879"/>
      <c r="FEV1516" s="879"/>
      <c r="FEW1516" s="879"/>
      <c r="FEX1516" s="879"/>
      <c r="FEY1516" s="879"/>
      <c r="FEZ1516" s="879"/>
      <c r="FFA1516" s="879"/>
      <c r="FFB1516" s="879"/>
      <c r="FFC1516" s="879"/>
      <c r="FFD1516" s="879"/>
      <c r="FFE1516" s="879"/>
      <c r="FFF1516" s="879"/>
      <c r="FFG1516" s="879"/>
      <c r="FFH1516" s="879"/>
      <c r="FFI1516" s="879"/>
      <c r="FFJ1516" s="879"/>
      <c r="FFK1516" s="879"/>
      <c r="FFL1516" s="879"/>
      <c r="FFM1516" s="879"/>
      <c r="FFN1516" s="879"/>
      <c r="FFO1516" s="879"/>
      <c r="FFP1516" s="879"/>
      <c r="FFQ1516" s="879"/>
      <c r="FFR1516" s="879"/>
      <c r="FFS1516" s="879"/>
      <c r="FFT1516" s="879"/>
      <c r="FFU1516" s="879"/>
      <c r="FFV1516" s="879"/>
      <c r="FFW1516" s="879"/>
      <c r="FFX1516" s="879"/>
      <c r="FFY1516" s="879"/>
      <c r="FFZ1516" s="879"/>
      <c r="FGA1516" s="879"/>
      <c r="FGB1516" s="879"/>
      <c r="FGC1516" s="879"/>
      <c r="FGD1516" s="879"/>
      <c r="FGE1516" s="879"/>
      <c r="FGF1516" s="879"/>
      <c r="FGG1516" s="879"/>
      <c r="FGH1516" s="879"/>
      <c r="FGI1516" s="879"/>
      <c r="FGJ1516" s="879"/>
      <c r="FGK1516" s="879"/>
      <c r="FGL1516" s="879"/>
      <c r="FGM1516" s="879"/>
      <c r="FGN1516" s="879"/>
      <c r="FGO1516" s="879"/>
      <c r="FGP1516" s="879"/>
      <c r="FGQ1516" s="879"/>
      <c r="FGR1516" s="879"/>
      <c r="FGS1516" s="879"/>
      <c r="FGT1516" s="879"/>
      <c r="FGU1516" s="879"/>
      <c r="FGV1516" s="879"/>
      <c r="FGW1516" s="879"/>
      <c r="FGX1516" s="879"/>
      <c r="FGY1516" s="879"/>
      <c r="FGZ1516" s="879"/>
      <c r="FHA1516" s="879"/>
      <c r="FHB1516" s="879"/>
      <c r="FHC1516" s="879"/>
      <c r="FHD1516" s="879"/>
      <c r="FHE1516" s="879"/>
      <c r="FHF1516" s="879"/>
      <c r="FHG1516" s="879"/>
      <c r="FHH1516" s="879"/>
      <c r="FHI1516" s="879"/>
      <c r="FHJ1516" s="879"/>
      <c r="FHK1516" s="879"/>
      <c r="FHL1516" s="879"/>
      <c r="FHM1516" s="879"/>
      <c r="FHN1516" s="879"/>
      <c r="FHO1516" s="879"/>
      <c r="FHP1516" s="879"/>
      <c r="FHQ1516" s="879"/>
      <c r="FHR1516" s="879"/>
      <c r="FHS1516" s="879"/>
      <c r="FHT1516" s="879"/>
      <c r="FHU1516" s="879"/>
      <c r="FHV1516" s="879"/>
      <c r="FHW1516" s="879"/>
      <c r="FHX1516" s="879"/>
      <c r="FHY1516" s="879"/>
      <c r="FHZ1516" s="879"/>
      <c r="FIA1516" s="879"/>
      <c r="FIB1516" s="879"/>
      <c r="FIC1516" s="879"/>
      <c r="FID1516" s="879"/>
      <c r="FIE1516" s="879"/>
      <c r="FIF1516" s="879"/>
      <c r="FIG1516" s="879"/>
      <c r="FIH1516" s="879"/>
      <c r="FII1516" s="879"/>
      <c r="FIJ1516" s="879"/>
      <c r="FIK1516" s="879"/>
      <c r="FIL1516" s="879"/>
      <c r="FIM1516" s="879"/>
      <c r="FIN1516" s="879"/>
      <c r="FIO1516" s="879"/>
      <c r="FIP1516" s="879"/>
      <c r="FIQ1516" s="879"/>
      <c r="FIR1516" s="879"/>
      <c r="FIS1516" s="879"/>
      <c r="FIT1516" s="879"/>
      <c r="FIU1516" s="879"/>
      <c r="FIV1516" s="879"/>
      <c r="FIW1516" s="879"/>
      <c r="FIX1516" s="879"/>
      <c r="FIY1516" s="879"/>
      <c r="FIZ1516" s="879"/>
      <c r="FJA1516" s="879"/>
      <c r="FJB1516" s="879"/>
      <c r="FJC1516" s="879"/>
      <c r="FJD1516" s="879"/>
      <c r="FJE1516" s="879"/>
      <c r="FJF1516" s="879"/>
      <c r="FJG1516" s="879"/>
      <c r="FJH1516" s="879"/>
      <c r="FJI1516" s="879"/>
      <c r="FJJ1516" s="879"/>
      <c r="FJK1516" s="879"/>
      <c r="FJL1516" s="879"/>
      <c r="FJM1516" s="879"/>
      <c r="FJN1516" s="879"/>
      <c r="FJO1516" s="879"/>
      <c r="FJP1516" s="879"/>
      <c r="FJQ1516" s="879"/>
      <c r="FJR1516" s="879"/>
      <c r="FJS1516" s="879"/>
      <c r="FJT1516" s="879"/>
      <c r="FJU1516" s="879"/>
      <c r="FJV1516" s="879"/>
      <c r="FJW1516" s="879"/>
      <c r="FJX1516" s="879"/>
      <c r="FJY1516" s="879"/>
      <c r="FJZ1516" s="879"/>
      <c r="FKA1516" s="879"/>
      <c r="FKB1516" s="879"/>
      <c r="FKC1516" s="879"/>
      <c r="FKD1516" s="879"/>
      <c r="FKE1516" s="879"/>
      <c r="FKF1516" s="879"/>
      <c r="FKG1516" s="879"/>
      <c r="FKH1516" s="879"/>
      <c r="FKI1516" s="879"/>
      <c r="FKJ1516" s="879"/>
      <c r="FKK1516" s="879"/>
      <c r="FKL1516" s="879"/>
      <c r="FKM1516" s="879"/>
      <c r="FKN1516" s="879"/>
      <c r="FKO1516" s="879"/>
      <c r="FKP1516" s="879"/>
      <c r="FKQ1516" s="879"/>
      <c r="FKR1516" s="879"/>
      <c r="FKS1516" s="879"/>
      <c r="FKT1516" s="879"/>
      <c r="FKU1516" s="879"/>
      <c r="FKV1516" s="879"/>
      <c r="FKW1516" s="879"/>
      <c r="FKX1516" s="879"/>
      <c r="FKY1516" s="879"/>
      <c r="FKZ1516" s="879"/>
      <c r="FLA1516" s="879"/>
      <c r="FLB1516" s="879"/>
      <c r="FLC1516" s="879"/>
      <c r="FLD1516" s="879"/>
      <c r="FLE1516" s="879"/>
      <c r="FLF1516" s="879"/>
      <c r="FLG1516" s="879"/>
      <c r="FLH1516" s="879"/>
      <c r="FLI1516" s="879"/>
      <c r="FLJ1516" s="879"/>
      <c r="FLK1516" s="879"/>
      <c r="FLL1516" s="879"/>
      <c r="FLM1516" s="879"/>
      <c r="FLN1516" s="879"/>
      <c r="FLO1516" s="879"/>
      <c r="FLP1516" s="879"/>
      <c r="FLQ1516" s="879"/>
      <c r="FLR1516" s="879"/>
      <c r="FLS1516" s="879"/>
      <c r="FLT1516" s="879"/>
      <c r="FLU1516" s="879"/>
      <c r="FLV1516" s="879"/>
      <c r="FLW1516" s="879"/>
      <c r="FLX1516" s="879"/>
      <c r="FLY1516" s="879"/>
      <c r="FLZ1516" s="879"/>
      <c r="FMA1516" s="879"/>
      <c r="FMB1516" s="879"/>
      <c r="FMC1516" s="879"/>
      <c r="FMD1516" s="879"/>
      <c r="FME1516" s="879"/>
      <c r="FMF1516" s="879"/>
      <c r="FMG1516" s="879"/>
      <c r="FMH1516" s="879"/>
      <c r="FMI1516" s="879"/>
      <c r="FMJ1516" s="879"/>
      <c r="FMK1516" s="879"/>
      <c r="FML1516" s="879"/>
      <c r="FMM1516" s="879"/>
      <c r="FMN1516" s="879"/>
      <c r="FMO1516" s="879"/>
      <c r="FMP1516" s="879"/>
      <c r="FMQ1516" s="879"/>
      <c r="FMR1516" s="879"/>
      <c r="FMS1516" s="879"/>
      <c r="FMT1516" s="879"/>
      <c r="FMU1516" s="879"/>
      <c r="FMV1516" s="879"/>
      <c r="FMW1516" s="879"/>
      <c r="FMX1516" s="879"/>
      <c r="FMY1516" s="879"/>
      <c r="FMZ1516" s="879"/>
      <c r="FNA1516" s="879"/>
      <c r="FNB1516" s="879"/>
      <c r="FNC1516" s="879"/>
      <c r="FND1516" s="879"/>
      <c r="FNE1516" s="879"/>
      <c r="FNF1516" s="879"/>
      <c r="FNG1516" s="879"/>
      <c r="FNH1516" s="879"/>
      <c r="FNI1516" s="879"/>
      <c r="FNJ1516" s="879"/>
      <c r="FNK1516" s="879"/>
      <c r="FNL1516" s="879"/>
      <c r="FNM1516" s="879"/>
      <c r="FNN1516" s="879"/>
      <c r="FNO1516" s="879"/>
      <c r="FNP1516" s="879"/>
      <c r="FNQ1516" s="879"/>
      <c r="FNR1516" s="879"/>
      <c r="FNS1516" s="879"/>
      <c r="FNT1516" s="879"/>
      <c r="FNU1516" s="879"/>
      <c r="FNV1516" s="879"/>
      <c r="FNW1516" s="879"/>
      <c r="FNX1516" s="879"/>
      <c r="FNY1516" s="879"/>
      <c r="FNZ1516" s="879"/>
      <c r="FOA1516" s="879"/>
      <c r="FOB1516" s="879"/>
      <c r="FOC1516" s="879"/>
      <c r="FOD1516" s="879"/>
      <c r="FOE1516" s="879"/>
      <c r="FOF1516" s="879"/>
      <c r="FOG1516" s="879"/>
      <c r="FOH1516" s="879"/>
      <c r="FOI1516" s="879"/>
      <c r="FOJ1516" s="879"/>
      <c r="FOK1516" s="879"/>
      <c r="FOL1516" s="879"/>
      <c r="FOM1516" s="879"/>
      <c r="FON1516" s="879"/>
      <c r="FOO1516" s="879"/>
      <c r="FOP1516" s="879"/>
      <c r="FOQ1516" s="879"/>
      <c r="FOR1516" s="879"/>
      <c r="FOS1516" s="879"/>
      <c r="FOT1516" s="879"/>
      <c r="FOU1516" s="879"/>
      <c r="FOV1516" s="879"/>
      <c r="FOW1516" s="879"/>
      <c r="FOX1516" s="879"/>
      <c r="FOY1516" s="879"/>
      <c r="FOZ1516" s="879"/>
      <c r="FPA1516" s="879"/>
      <c r="FPB1516" s="879"/>
      <c r="FPC1516" s="879"/>
      <c r="FPD1516" s="879"/>
      <c r="FPE1516" s="879"/>
      <c r="FPF1516" s="879"/>
      <c r="FPG1516" s="879"/>
      <c r="FPH1516" s="879"/>
      <c r="FPI1516" s="879"/>
      <c r="FPJ1516" s="879"/>
      <c r="FPK1516" s="879"/>
      <c r="FPL1516" s="879"/>
      <c r="FPM1516" s="879"/>
      <c r="FPN1516" s="879"/>
      <c r="FPO1516" s="879"/>
      <c r="FPP1516" s="879"/>
      <c r="FPQ1516" s="879"/>
      <c r="FPR1516" s="879"/>
      <c r="FPS1516" s="879"/>
      <c r="FPT1516" s="879"/>
      <c r="FPU1516" s="879"/>
      <c r="FPV1516" s="879"/>
      <c r="FPW1516" s="879"/>
      <c r="FPX1516" s="879"/>
      <c r="FPY1516" s="879"/>
      <c r="FPZ1516" s="879"/>
      <c r="FQA1516" s="879"/>
      <c r="FQB1516" s="879"/>
      <c r="FQC1516" s="879"/>
      <c r="FQD1516" s="879"/>
      <c r="FQE1516" s="879"/>
      <c r="FQF1516" s="879"/>
      <c r="FQG1516" s="879"/>
      <c r="FQH1516" s="879"/>
      <c r="FQI1516" s="879"/>
      <c r="FQJ1516" s="879"/>
      <c r="FQK1516" s="879"/>
      <c r="FQL1516" s="879"/>
      <c r="FQM1516" s="879"/>
      <c r="FQN1516" s="879"/>
      <c r="FQO1516" s="879"/>
      <c r="FQP1516" s="879"/>
      <c r="FQQ1516" s="879"/>
      <c r="FQR1516" s="879"/>
      <c r="FQS1516" s="879"/>
      <c r="FQT1516" s="879"/>
      <c r="FQU1516" s="879"/>
      <c r="FQV1516" s="879"/>
      <c r="FQW1516" s="879"/>
      <c r="FQX1516" s="879"/>
      <c r="FQY1516" s="879"/>
      <c r="FQZ1516" s="879"/>
      <c r="FRA1516" s="879"/>
      <c r="FRB1516" s="879"/>
      <c r="FRC1516" s="879"/>
      <c r="FRD1516" s="879"/>
      <c r="FRE1516" s="879"/>
      <c r="FRF1516" s="879"/>
      <c r="FRG1516" s="879"/>
      <c r="FRH1516" s="879"/>
      <c r="FRI1516" s="879"/>
      <c r="FRJ1516" s="879"/>
      <c r="FRK1516" s="879"/>
      <c r="FRL1516" s="879"/>
      <c r="FRM1516" s="879"/>
      <c r="FRN1516" s="879"/>
      <c r="FRO1516" s="879"/>
      <c r="FRP1516" s="879"/>
      <c r="FRQ1516" s="879"/>
      <c r="FRR1516" s="879"/>
      <c r="FRS1516" s="879"/>
      <c r="FRT1516" s="879"/>
      <c r="FRU1516" s="879"/>
      <c r="FRV1516" s="879"/>
      <c r="FRW1516" s="879"/>
      <c r="FRX1516" s="879"/>
      <c r="FRY1516" s="879"/>
      <c r="FRZ1516" s="879"/>
      <c r="FSA1516" s="879"/>
      <c r="FSB1516" s="879"/>
      <c r="FSC1516" s="879"/>
      <c r="FSD1516" s="879"/>
      <c r="FSE1516" s="879"/>
      <c r="FSF1516" s="879"/>
      <c r="FSG1516" s="879"/>
      <c r="FSH1516" s="879"/>
      <c r="FSI1516" s="879"/>
      <c r="FSJ1516" s="879"/>
      <c r="FSK1516" s="879"/>
      <c r="FSL1516" s="879"/>
      <c r="FSM1516" s="879"/>
      <c r="FSN1516" s="879"/>
      <c r="FSO1516" s="879"/>
      <c r="FSP1516" s="879"/>
      <c r="FSQ1516" s="879"/>
      <c r="FSR1516" s="879"/>
      <c r="FSS1516" s="879"/>
      <c r="FST1516" s="879"/>
      <c r="FSU1516" s="879"/>
      <c r="FSV1516" s="879"/>
      <c r="FSW1516" s="879"/>
      <c r="FSX1516" s="879"/>
      <c r="FSY1516" s="879"/>
      <c r="FSZ1516" s="879"/>
      <c r="FTA1516" s="879"/>
      <c r="FTB1516" s="879"/>
      <c r="FTC1516" s="879"/>
      <c r="FTD1516" s="879"/>
      <c r="FTE1516" s="879"/>
      <c r="FTF1516" s="879"/>
      <c r="FTG1516" s="879"/>
      <c r="FTH1516" s="879"/>
      <c r="FTI1516" s="879"/>
      <c r="FTJ1516" s="879"/>
      <c r="FTK1516" s="879"/>
      <c r="FTL1516" s="879"/>
      <c r="FTM1516" s="879"/>
      <c r="FTN1516" s="879"/>
      <c r="FTO1516" s="879"/>
      <c r="FTP1516" s="879"/>
      <c r="FTQ1516" s="879"/>
      <c r="FTR1516" s="879"/>
      <c r="FTS1516" s="879"/>
      <c r="FTT1516" s="879"/>
      <c r="FTU1516" s="879"/>
      <c r="FTV1516" s="879"/>
      <c r="FTW1516" s="879"/>
      <c r="FTX1516" s="879"/>
      <c r="FTY1516" s="879"/>
      <c r="FTZ1516" s="879"/>
      <c r="FUA1516" s="879"/>
      <c r="FUB1516" s="879"/>
      <c r="FUC1516" s="879"/>
      <c r="FUD1516" s="879"/>
      <c r="FUE1516" s="879"/>
      <c r="FUF1516" s="879"/>
      <c r="FUG1516" s="879"/>
      <c r="FUH1516" s="879"/>
      <c r="FUI1516" s="879"/>
      <c r="FUJ1516" s="879"/>
      <c r="FUK1516" s="879"/>
      <c r="FUL1516" s="879"/>
      <c r="FUM1516" s="879"/>
      <c r="FUN1516" s="879"/>
      <c r="FUO1516" s="879"/>
      <c r="FUP1516" s="879"/>
      <c r="FUQ1516" s="879"/>
      <c r="FUR1516" s="879"/>
      <c r="FUS1516" s="879"/>
      <c r="FUT1516" s="879"/>
      <c r="FUU1516" s="879"/>
      <c r="FUV1516" s="879"/>
      <c r="FUW1516" s="879"/>
      <c r="FUX1516" s="879"/>
      <c r="FUY1516" s="879"/>
      <c r="FUZ1516" s="879"/>
      <c r="FVA1516" s="879"/>
      <c r="FVB1516" s="879"/>
      <c r="FVC1516" s="879"/>
      <c r="FVD1516" s="879"/>
      <c r="FVE1516" s="879"/>
      <c r="FVF1516" s="879"/>
      <c r="FVG1516" s="879"/>
      <c r="FVH1516" s="879"/>
      <c r="FVI1516" s="879"/>
      <c r="FVJ1516" s="879"/>
      <c r="FVK1516" s="879"/>
      <c r="FVL1516" s="879"/>
      <c r="FVM1516" s="879"/>
      <c r="FVN1516" s="879"/>
      <c r="FVO1516" s="879"/>
      <c r="FVP1516" s="879"/>
      <c r="FVQ1516" s="879"/>
      <c r="FVR1516" s="879"/>
      <c r="FVS1516" s="879"/>
      <c r="FVT1516" s="879"/>
      <c r="FVU1516" s="879"/>
      <c r="FVV1516" s="879"/>
      <c r="FVW1516" s="879"/>
      <c r="FVX1516" s="879"/>
      <c r="FVY1516" s="879"/>
      <c r="FVZ1516" s="879"/>
      <c r="FWA1516" s="879"/>
      <c r="FWB1516" s="879"/>
      <c r="FWC1516" s="879"/>
      <c r="FWD1516" s="879"/>
      <c r="FWE1516" s="879"/>
      <c r="FWF1516" s="879"/>
      <c r="FWG1516" s="879"/>
      <c r="FWH1516" s="879"/>
      <c r="FWI1516" s="879"/>
      <c r="FWJ1516" s="879"/>
      <c r="FWK1516" s="879"/>
      <c r="FWL1516" s="879"/>
      <c r="FWM1516" s="879"/>
      <c r="FWN1516" s="879"/>
      <c r="FWO1516" s="879"/>
      <c r="FWP1516" s="879"/>
      <c r="FWQ1516" s="879"/>
      <c r="FWR1516" s="879"/>
      <c r="FWS1516" s="879"/>
      <c r="FWT1516" s="879"/>
      <c r="FWU1516" s="879"/>
      <c r="FWV1516" s="879"/>
      <c r="FWW1516" s="879"/>
      <c r="FWX1516" s="879"/>
      <c r="FWY1516" s="879"/>
      <c r="FWZ1516" s="879"/>
      <c r="FXA1516" s="879"/>
      <c r="FXB1516" s="879"/>
      <c r="FXC1516" s="879"/>
      <c r="FXD1516" s="879"/>
      <c r="FXE1516" s="879"/>
      <c r="FXF1516" s="879"/>
      <c r="FXG1516" s="879"/>
      <c r="FXH1516" s="879"/>
      <c r="FXI1516" s="879"/>
      <c r="FXJ1516" s="879"/>
      <c r="FXK1516" s="879"/>
      <c r="FXL1516" s="879"/>
      <c r="FXM1516" s="879"/>
      <c r="FXN1516" s="879"/>
      <c r="FXO1516" s="879"/>
      <c r="FXP1516" s="879"/>
      <c r="FXQ1516" s="879"/>
      <c r="FXR1516" s="879"/>
      <c r="FXS1516" s="879"/>
      <c r="FXT1516" s="879"/>
      <c r="FXU1516" s="879"/>
      <c r="FXV1516" s="879"/>
      <c r="FXW1516" s="879"/>
      <c r="FXX1516" s="879"/>
      <c r="FXY1516" s="879"/>
      <c r="FXZ1516" s="879"/>
      <c r="FYA1516" s="879"/>
      <c r="FYB1516" s="879"/>
      <c r="FYC1516" s="879"/>
      <c r="FYD1516" s="879"/>
      <c r="FYE1516" s="879"/>
      <c r="FYF1516" s="879"/>
      <c r="FYG1516" s="879"/>
      <c r="FYH1516" s="879"/>
      <c r="FYI1516" s="879"/>
      <c r="FYJ1516" s="879"/>
      <c r="FYK1516" s="879"/>
      <c r="FYL1516" s="879"/>
      <c r="FYM1516" s="879"/>
      <c r="FYN1516" s="879"/>
      <c r="FYO1516" s="879"/>
      <c r="FYP1516" s="879"/>
      <c r="FYQ1516" s="879"/>
      <c r="FYR1516" s="879"/>
      <c r="FYS1516" s="879"/>
      <c r="FYT1516" s="879"/>
      <c r="FYU1516" s="879"/>
      <c r="FYV1516" s="879"/>
      <c r="FYW1516" s="879"/>
      <c r="FYX1516" s="879"/>
      <c r="FYY1516" s="879"/>
      <c r="FYZ1516" s="879"/>
      <c r="FZA1516" s="879"/>
      <c r="FZB1516" s="879"/>
      <c r="FZC1516" s="879"/>
      <c r="FZD1516" s="879"/>
      <c r="FZE1516" s="879"/>
      <c r="FZF1516" s="879"/>
      <c r="FZG1516" s="879"/>
      <c r="FZH1516" s="879"/>
      <c r="FZI1516" s="879"/>
      <c r="FZJ1516" s="879"/>
      <c r="FZK1516" s="879"/>
      <c r="FZL1516" s="879"/>
      <c r="FZM1516" s="879"/>
      <c r="FZN1516" s="879"/>
      <c r="FZO1516" s="879"/>
      <c r="FZP1516" s="879"/>
      <c r="FZQ1516" s="879"/>
      <c r="FZR1516" s="879"/>
      <c r="FZS1516" s="879"/>
      <c r="FZT1516" s="879"/>
      <c r="FZU1516" s="879"/>
      <c r="FZV1516" s="879"/>
      <c r="FZW1516" s="879"/>
      <c r="FZX1516" s="879"/>
      <c r="FZY1516" s="879"/>
      <c r="FZZ1516" s="879"/>
      <c r="GAA1516" s="879"/>
      <c r="GAB1516" s="879"/>
      <c r="GAC1516" s="879"/>
      <c r="GAD1516" s="879"/>
      <c r="GAE1516" s="879"/>
      <c r="GAF1516" s="879"/>
      <c r="GAG1516" s="879"/>
      <c r="GAH1516" s="879"/>
      <c r="GAI1516" s="879"/>
      <c r="GAJ1516" s="879"/>
      <c r="GAK1516" s="879"/>
      <c r="GAL1516" s="879"/>
      <c r="GAM1516" s="879"/>
      <c r="GAN1516" s="879"/>
      <c r="GAO1516" s="879"/>
      <c r="GAP1516" s="879"/>
      <c r="GAQ1516" s="879"/>
      <c r="GAR1516" s="879"/>
      <c r="GAS1516" s="879"/>
      <c r="GAT1516" s="879"/>
      <c r="GAU1516" s="879"/>
      <c r="GAV1516" s="879"/>
      <c r="GAW1516" s="879"/>
      <c r="GAX1516" s="879"/>
      <c r="GAY1516" s="879"/>
      <c r="GAZ1516" s="879"/>
      <c r="GBA1516" s="879"/>
      <c r="GBB1516" s="879"/>
      <c r="GBC1516" s="879"/>
      <c r="GBD1516" s="879"/>
      <c r="GBE1516" s="879"/>
      <c r="GBF1516" s="879"/>
      <c r="GBG1516" s="879"/>
      <c r="GBH1516" s="879"/>
      <c r="GBI1516" s="879"/>
      <c r="GBJ1516" s="879"/>
      <c r="GBK1516" s="879"/>
      <c r="GBL1516" s="879"/>
      <c r="GBM1516" s="879"/>
      <c r="GBN1516" s="879"/>
      <c r="GBO1516" s="879"/>
      <c r="GBP1516" s="879"/>
      <c r="GBQ1516" s="879"/>
      <c r="GBR1516" s="879"/>
      <c r="GBS1516" s="879"/>
      <c r="GBT1516" s="879"/>
      <c r="GBU1516" s="879"/>
      <c r="GBV1516" s="879"/>
      <c r="GBW1516" s="879"/>
      <c r="GBX1516" s="879"/>
      <c r="GBY1516" s="879"/>
      <c r="GBZ1516" s="879"/>
      <c r="GCA1516" s="879"/>
      <c r="GCB1516" s="879"/>
      <c r="GCC1516" s="879"/>
      <c r="GCD1516" s="879"/>
      <c r="GCE1516" s="879"/>
      <c r="GCF1516" s="879"/>
      <c r="GCG1516" s="879"/>
      <c r="GCH1516" s="879"/>
      <c r="GCI1516" s="879"/>
      <c r="GCJ1516" s="879"/>
      <c r="GCK1516" s="879"/>
      <c r="GCL1516" s="879"/>
      <c r="GCM1516" s="879"/>
      <c r="GCN1516" s="879"/>
      <c r="GCO1516" s="879"/>
      <c r="GCP1516" s="879"/>
      <c r="GCQ1516" s="879"/>
      <c r="GCR1516" s="879"/>
      <c r="GCS1516" s="879"/>
      <c r="GCT1516" s="879"/>
      <c r="GCU1516" s="879"/>
      <c r="GCV1516" s="879"/>
      <c r="GCW1516" s="879"/>
      <c r="GCX1516" s="879"/>
      <c r="GCY1516" s="879"/>
      <c r="GCZ1516" s="879"/>
      <c r="GDA1516" s="879"/>
      <c r="GDB1516" s="879"/>
      <c r="GDC1516" s="879"/>
      <c r="GDD1516" s="879"/>
      <c r="GDE1516" s="879"/>
      <c r="GDF1516" s="879"/>
      <c r="GDG1516" s="879"/>
      <c r="GDH1516" s="879"/>
      <c r="GDI1516" s="879"/>
      <c r="GDJ1516" s="879"/>
      <c r="GDK1516" s="879"/>
      <c r="GDL1516" s="879"/>
      <c r="GDM1516" s="879"/>
      <c r="GDN1516" s="879"/>
      <c r="GDO1516" s="879"/>
      <c r="GDP1516" s="879"/>
      <c r="GDQ1516" s="879"/>
      <c r="GDR1516" s="879"/>
      <c r="GDS1516" s="879"/>
      <c r="GDT1516" s="879"/>
      <c r="GDU1516" s="879"/>
      <c r="GDV1516" s="879"/>
      <c r="GDW1516" s="879"/>
      <c r="GDX1516" s="879"/>
      <c r="GDY1516" s="879"/>
      <c r="GDZ1516" s="879"/>
      <c r="GEA1516" s="879"/>
      <c r="GEB1516" s="879"/>
      <c r="GEC1516" s="879"/>
      <c r="GED1516" s="879"/>
      <c r="GEE1516" s="879"/>
      <c r="GEF1516" s="879"/>
      <c r="GEG1516" s="879"/>
      <c r="GEH1516" s="879"/>
      <c r="GEI1516" s="879"/>
      <c r="GEJ1516" s="879"/>
      <c r="GEK1516" s="879"/>
      <c r="GEL1516" s="879"/>
      <c r="GEM1516" s="879"/>
      <c r="GEN1516" s="879"/>
      <c r="GEO1516" s="879"/>
      <c r="GEP1516" s="879"/>
      <c r="GEQ1516" s="879"/>
      <c r="GER1516" s="879"/>
      <c r="GES1516" s="879"/>
      <c r="GET1516" s="879"/>
      <c r="GEU1516" s="879"/>
      <c r="GEV1516" s="879"/>
      <c r="GEW1516" s="879"/>
      <c r="GEX1516" s="879"/>
      <c r="GEY1516" s="879"/>
      <c r="GEZ1516" s="879"/>
      <c r="GFA1516" s="879"/>
      <c r="GFB1516" s="879"/>
      <c r="GFC1516" s="879"/>
      <c r="GFD1516" s="879"/>
      <c r="GFE1516" s="879"/>
      <c r="GFF1516" s="879"/>
      <c r="GFG1516" s="879"/>
      <c r="GFH1516" s="879"/>
      <c r="GFI1516" s="879"/>
      <c r="GFJ1516" s="879"/>
      <c r="GFK1516" s="879"/>
      <c r="GFL1516" s="879"/>
      <c r="GFM1516" s="879"/>
      <c r="GFN1516" s="879"/>
      <c r="GFO1516" s="879"/>
      <c r="GFP1516" s="879"/>
      <c r="GFQ1516" s="879"/>
      <c r="GFR1516" s="879"/>
      <c r="GFS1516" s="879"/>
      <c r="GFT1516" s="879"/>
      <c r="GFU1516" s="879"/>
      <c r="GFV1516" s="879"/>
      <c r="GFW1516" s="879"/>
      <c r="GFX1516" s="879"/>
      <c r="GFY1516" s="879"/>
      <c r="GFZ1516" s="879"/>
      <c r="GGA1516" s="879"/>
      <c r="GGB1516" s="879"/>
      <c r="GGC1516" s="879"/>
      <c r="GGD1516" s="879"/>
      <c r="GGE1516" s="879"/>
      <c r="GGF1516" s="879"/>
      <c r="GGG1516" s="879"/>
      <c r="GGH1516" s="879"/>
      <c r="GGI1516" s="879"/>
      <c r="GGJ1516" s="879"/>
      <c r="GGK1516" s="879"/>
      <c r="GGL1516" s="879"/>
      <c r="GGM1516" s="879"/>
      <c r="GGN1516" s="879"/>
      <c r="GGO1516" s="879"/>
      <c r="GGP1516" s="879"/>
      <c r="GGQ1516" s="879"/>
      <c r="GGR1516" s="879"/>
      <c r="GGS1516" s="879"/>
      <c r="GGT1516" s="879"/>
      <c r="GGU1516" s="879"/>
      <c r="GGV1516" s="879"/>
      <c r="GGW1516" s="879"/>
      <c r="GGX1516" s="879"/>
      <c r="GGY1516" s="879"/>
      <c r="GGZ1516" s="879"/>
      <c r="GHA1516" s="879"/>
      <c r="GHB1516" s="879"/>
      <c r="GHC1516" s="879"/>
      <c r="GHD1516" s="879"/>
      <c r="GHE1516" s="879"/>
      <c r="GHF1516" s="879"/>
      <c r="GHG1516" s="879"/>
      <c r="GHH1516" s="879"/>
      <c r="GHI1516" s="879"/>
      <c r="GHJ1516" s="879"/>
      <c r="GHK1516" s="879"/>
      <c r="GHL1516" s="879"/>
      <c r="GHM1516" s="879"/>
      <c r="GHN1516" s="879"/>
      <c r="GHO1516" s="879"/>
      <c r="GHP1516" s="879"/>
      <c r="GHQ1516" s="879"/>
      <c r="GHR1516" s="879"/>
      <c r="GHS1516" s="879"/>
      <c r="GHT1516" s="879"/>
      <c r="GHU1516" s="879"/>
      <c r="GHV1516" s="879"/>
      <c r="GHW1516" s="879"/>
      <c r="GHX1516" s="879"/>
      <c r="GHY1516" s="879"/>
      <c r="GHZ1516" s="879"/>
      <c r="GIA1516" s="879"/>
      <c r="GIB1516" s="879"/>
      <c r="GIC1516" s="879"/>
      <c r="GID1516" s="879"/>
      <c r="GIE1516" s="879"/>
      <c r="GIF1516" s="879"/>
      <c r="GIG1516" s="879"/>
      <c r="GIH1516" s="879"/>
      <c r="GII1516" s="879"/>
      <c r="GIJ1516" s="879"/>
      <c r="GIK1516" s="879"/>
      <c r="GIL1516" s="879"/>
      <c r="GIM1516" s="879"/>
      <c r="GIN1516" s="879"/>
      <c r="GIO1516" s="879"/>
      <c r="GIP1516" s="879"/>
      <c r="GIQ1516" s="879"/>
      <c r="GIR1516" s="879"/>
      <c r="GIS1516" s="879"/>
      <c r="GIT1516" s="879"/>
      <c r="GIU1516" s="879"/>
      <c r="GIV1516" s="879"/>
      <c r="GIW1516" s="879"/>
      <c r="GIX1516" s="879"/>
      <c r="GIY1516" s="879"/>
      <c r="GIZ1516" s="879"/>
      <c r="GJA1516" s="879"/>
      <c r="GJB1516" s="879"/>
      <c r="GJC1516" s="879"/>
      <c r="GJD1516" s="879"/>
      <c r="GJE1516" s="879"/>
      <c r="GJF1516" s="879"/>
      <c r="GJG1516" s="879"/>
      <c r="GJH1516" s="879"/>
      <c r="GJI1516" s="879"/>
      <c r="GJJ1516" s="879"/>
      <c r="GJK1516" s="879"/>
      <c r="GJL1516" s="879"/>
      <c r="GJM1516" s="879"/>
      <c r="GJN1516" s="879"/>
      <c r="GJO1516" s="879"/>
      <c r="GJP1516" s="879"/>
      <c r="GJQ1516" s="879"/>
      <c r="GJR1516" s="879"/>
      <c r="GJS1516" s="879"/>
      <c r="GJT1516" s="879"/>
      <c r="GJU1516" s="879"/>
      <c r="GJV1516" s="879"/>
      <c r="GJW1516" s="879"/>
      <c r="GJX1516" s="879"/>
      <c r="GJY1516" s="879"/>
      <c r="GJZ1516" s="879"/>
      <c r="GKA1516" s="879"/>
      <c r="GKB1516" s="879"/>
      <c r="GKC1516" s="879"/>
      <c r="GKD1516" s="879"/>
      <c r="GKE1516" s="879"/>
      <c r="GKF1516" s="879"/>
      <c r="GKG1516" s="879"/>
      <c r="GKH1516" s="879"/>
      <c r="GKI1516" s="879"/>
      <c r="GKJ1516" s="879"/>
      <c r="GKK1516" s="879"/>
      <c r="GKL1516" s="879"/>
      <c r="GKM1516" s="879"/>
      <c r="GKN1516" s="879"/>
      <c r="GKO1516" s="879"/>
      <c r="GKP1516" s="879"/>
      <c r="GKQ1516" s="879"/>
      <c r="GKR1516" s="879"/>
      <c r="GKS1516" s="879"/>
      <c r="GKT1516" s="879"/>
      <c r="GKU1516" s="879"/>
      <c r="GKV1516" s="879"/>
      <c r="GKW1516" s="879"/>
      <c r="GKX1516" s="879"/>
      <c r="GKY1516" s="879"/>
      <c r="GKZ1516" s="879"/>
      <c r="GLA1516" s="879"/>
      <c r="GLB1516" s="879"/>
      <c r="GLC1516" s="879"/>
      <c r="GLD1516" s="879"/>
      <c r="GLE1516" s="879"/>
      <c r="GLF1516" s="879"/>
      <c r="GLG1516" s="879"/>
      <c r="GLH1516" s="879"/>
      <c r="GLI1516" s="879"/>
      <c r="GLJ1516" s="879"/>
      <c r="GLK1516" s="879"/>
      <c r="GLL1516" s="879"/>
      <c r="GLM1516" s="879"/>
      <c r="GLN1516" s="879"/>
      <c r="GLO1516" s="879"/>
      <c r="GLP1516" s="879"/>
      <c r="GLQ1516" s="879"/>
      <c r="GLR1516" s="879"/>
      <c r="GLS1516" s="879"/>
      <c r="GLT1516" s="879"/>
      <c r="GLU1516" s="879"/>
      <c r="GLV1516" s="879"/>
      <c r="GLW1516" s="879"/>
      <c r="GLX1516" s="879"/>
      <c r="GLY1516" s="879"/>
      <c r="GLZ1516" s="879"/>
      <c r="GMA1516" s="879"/>
      <c r="GMB1516" s="879"/>
      <c r="GMC1516" s="879"/>
      <c r="GMD1516" s="879"/>
      <c r="GME1516" s="879"/>
      <c r="GMF1516" s="879"/>
      <c r="GMG1516" s="879"/>
      <c r="GMH1516" s="879"/>
      <c r="GMI1516" s="879"/>
      <c r="GMJ1516" s="879"/>
      <c r="GMK1516" s="879"/>
      <c r="GML1516" s="879"/>
      <c r="GMM1516" s="879"/>
      <c r="GMN1516" s="879"/>
      <c r="GMO1516" s="879"/>
      <c r="GMP1516" s="879"/>
      <c r="GMQ1516" s="879"/>
      <c r="GMR1516" s="879"/>
      <c r="GMS1516" s="879"/>
      <c r="GMT1516" s="879"/>
      <c r="GMU1516" s="879"/>
      <c r="GMV1516" s="879"/>
      <c r="GMW1516" s="879"/>
      <c r="GMX1516" s="879"/>
      <c r="GMY1516" s="879"/>
      <c r="GMZ1516" s="879"/>
      <c r="GNA1516" s="879"/>
      <c r="GNB1516" s="879"/>
      <c r="GNC1516" s="879"/>
      <c r="GND1516" s="879"/>
      <c r="GNE1516" s="879"/>
      <c r="GNF1516" s="879"/>
      <c r="GNG1516" s="879"/>
      <c r="GNH1516" s="879"/>
      <c r="GNI1516" s="879"/>
      <c r="GNJ1516" s="879"/>
      <c r="GNK1516" s="879"/>
      <c r="GNL1516" s="879"/>
      <c r="GNM1516" s="879"/>
      <c r="GNN1516" s="879"/>
      <c r="GNO1516" s="879"/>
      <c r="GNP1516" s="879"/>
      <c r="GNQ1516" s="879"/>
      <c r="GNR1516" s="879"/>
      <c r="GNS1516" s="879"/>
      <c r="GNT1516" s="879"/>
      <c r="GNU1516" s="879"/>
      <c r="GNV1516" s="879"/>
      <c r="GNW1516" s="879"/>
      <c r="GNX1516" s="879"/>
      <c r="GNY1516" s="879"/>
      <c r="GNZ1516" s="879"/>
      <c r="GOA1516" s="879"/>
      <c r="GOB1516" s="879"/>
      <c r="GOC1516" s="879"/>
      <c r="GOD1516" s="879"/>
      <c r="GOE1516" s="879"/>
      <c r="GOF1516" s="879"/>
      <c r="GOG1516" s="879"/>
      <c r="GOH1516" s="879"/>
      <c r="GOI1516" s="879"/>
      <c r="GOJ1516" s="879"/>
      <c r="GOK1516" s="879"/>
      <c r="GOL1516" s="879"/>
      <c r="GOM1516" s="879"/>
      <c r="GON1516" s="879"/>
      <c r="GOO1516" s="879"/>
      <c r="GOP1516" s="879"/>
      <c r="GOQ1516" s="879"/>
      <c r="GOR1516" s="879"/>
      <c r="GOS1516" s="879"/>
      <c r="GOT1516" s="879"/>
      <c r="GOU1516" s="879"/>
      <c r="GOV1516" s="879"/>
      <c r="GOW1516" s="879"/>
      <c r="GOX1516" s="879"/>
      <c r="GOY1516" s="879"/>
      <c r="GOZ1516" s="879"/>
      <c r="GPA1516" s="879"/>
      <c r="GPB1516" s="879"/>
      <c r="GPC1516" s="879"/>
      <c r="GPD1516" s="879"/>
      <c r="GPE1516" s="879"/>
      <c r="GPF1516" s="879"/>
      <c r="GPG1516" s="879"/>
      <c r="GPH1516" s="879"/>
      <c r="GPI1516" s="879"/>
      <c r="GPJ1516" s="879"/>
      <c r="GPK1516" s="879"/>
      <c r="GPL1516" s="879"/>
      <c r="GPM1516" s="879"/>
      <c r="GPN1516" s="879"/>
      <c r="GPO1516" s="879"/>
      <c r="GPP1516" s="879"/>
      <c r="GPQ1516" s="879"/>
      <c r="GPR1516" s="879"/>
      <c r="GPS1516" s="879"/>
      <c r="GPT1516" s="879"/>
      <c r="GPU1516" s="879"/>
      <c r="GPV1516" s="879"/>
      <c r="GPW1516" s="879"/>
      <c r="GPX1516" s="879"/>
      <c r="GPY1516" s="879"/>
      <c r="GPZ1516" s="879"/>
      <c r="GQA1516" s="879"/>
      <c r="GQB1516" s="879"/>
      <c r="GQC1516" s="879"/>
      <c r="GQD1516" s="879"/>
      <c r="GQE1516" s="879"/>
      <c r="GQF1516" s="879"/>
      <c r="GQG1516" s="879"/>
      <c r="GQH1516" s="879"/>
      <c r="GQI1516" s="879"/>
      <c r="GQJ1516" s="879"/>
      <c r="GQK1516" s="879"/>
      <c r="GQL1516" s="879"/>
      <c r="GQM1516" s="879"/>
      <c r="GQN1516" s="879"/>
      <c r="GQO1516" s="879"/>
      <c r="GQP1516" s="879"/>
      <c r="GQQ1516" s="879"/>
      <c r="GQR1516" s="879"/>
      <c r="GQS1516" s="879"/>
      <c r="GQT1516" s="879"/>
      <c r="GQU1516" s="879"/>
      <c r="GQV1516" s="879"/>
      <c r="GQW1516" s="879"/>
      <c r="GQX1516" s="879"/>
      <c r="GQY1516" s="879"/>
      <c r="GQZ1516" s="879"/>
      <c r="GRA1516" s="879"/>
      <c r="GRB1516" s="879"/>
      <c r="GRC1516" s="879"/>
      <c r="GRD1516" s="879"/>
      <c r="GRE1516" s="879"/>
      <c r="GRF1516" s="879"/>
      <c r="GRG1516" s="879"/>
      <c r="GRH1516" s="879"/>
      <c r="GRI1516" s="879"/>
      <c r="GRJ1516" s="879"/>
      <c r="GRK1516" s="879"/>
      <c r="GRL1516" s="879"/>
      <c r="GRM1516" s="879"/>
      <c r="GRN1516" s="879"/>
      <c r="GRO1516" s="879"/>
      <c r="GRP1516" s="879"/>
      <c r="GRQ1516" s="879"/>
      <c r="GRR1516" s="879"/>
      <c r="GRS1516" s="879"/>
      <c r="GRT1516" s="879"/>
      <c r="GRU1516" s="879"/>
      <c r="GRV1516" s="879"/>
      <c r="GRW1516" s="879"/>
      <c r="GRX1516" s="879"/>
      <c r="GRY1516" s="879"/>
      <c r="GRZ1516" s="879"/>
      <c r="GSA1516" s="879"/>
      <c r="GSB1516" s="879"/>
      <c r="GSC1516" s="879"/>
      <c r="GSD1516" s="879"/>
      <c r="GSE1516" s="879"/>
      <c r="GSF1516" s="879"/>
      <c r="GSG1516" s="879"/>
      <c r="GSH1516" s="879"/>
      <c r="GSI1516" s="879"/>
      <c r="GSJ1516" s="879"/>
      <c r="GSK1516" s="879"/>
      <c r="GSL1516" s="879"/>
      <c r="GSM1516" s="879"/>
      <c r="GSN1516" s="879"/>
      <c r="GSO1516" s="879"/>
      <c r="GSP1516" s="879"/>
      <c r="GSQ1516" s="879"/>
      <c r="GSR1516" s="879"/>
      <c r="GSS1516" s="879"/>
      <c r="GST1516" s="879"/>
      <c r="GSU1516" s="879"/>
      <c r="GSV1516" s="879"/>
      <c r="GSW1516" s="879"/>
      <c r="GSX1516" s="879"/>
      <c r="GSY1516" s="879"/>
      <c r="GSZ1516" s="879"/>
      <c r="GTA1516" s="879"/>
      <c r="GTB1516" s="879"/>
      <c r="GTC1516" s="879"/>
      <c r="GTD1516" s="879"/>
      <c r="GTE1516" s="879"/>
      <c r="GTF1516" s="879"/>
      <c r="GTG1516" s="879"/>
      <c r="GTH1516" s="879"/>
      <c r="GTI1516" s="879"/>
      <c r="GTJ1516" s="879"/>
      <c r="GTK1516" s="879"/>
      <c r="GTL1516" s="879"/>
      <c r="GTM1516" s="879"/>
      <c r="GTN1516" s="879"/>
      <c r="GTO1516" s="879"/>
      <c r="GTP1516" s="879"/>
      <c r="GTQ1516" s="879"/>
      <c r="GTR1516" s="879"/>
      <c r="GTS1516" s="879"/>
      <c r="GTT1516" s="879"/>
      <c r="GTU1516" s="879"/>
      <c r="GTV1516" s="879"/>
      <c r="GTW1516" s="879"/>
      <c r="GTX1516" s="879"/>
      <c r="GTY1516" s="879"/>
      <c r="GTZ1516" s="879"/>
      <c r="GUA1516" s="879"/>
      <c r="GUB1516" s="879"/>
      <c r="GUC1516" s="879"/>
      <c r="GUD1516" s="879"/>
      <c r="GUE1516" s="879"/>
      <c r="GUF1516" s="879"/>
      <c r="GUG1516" s="879"/>
      <c r="GUH1516" s="879"/>
      <c r="GUI1516" s="879"/>
      <c r="GUJ1516" s="879"/>
      <c r="GUK1516" s="879"/>
      <c r="GUL1516" s="879"/>
      <c r="GUM1516" s="879"/>
      <c r="GUN1516" s="879"/>
      <c r="GUO1516" s="879"/>
      <c r="GUP1516" s="879"/>
      <c r="GUQ1516" s="879"/>
      <c r="GUR1516" s="879"/>
      <c r="GUS1516" s="879"/>
      <c r="GUT1516" s="879"/>
      <c r="GUU1516" s="879"/>
      <c r="GUV1516" s="879"/>
      <c r="GUW1516" s="879"/>
      <c r="GUX1516" s="879"/>
      <c r="GUY1516" s="879"/>
      <c r="GUZ1516" s="879"/>
      <c r="GVA1516" s="879"/>
      <c r="GVB1516" s="879"/>
      <c r="GVC1516" s="879"/>
      <c r="GVD1516" s="879"/>
      <c r="GVE1516" s="879"/>
      <c r="GVF1516" s="879"/>
      <c r="GVG1516" s="879"/>
      <c r="GVH1516" s="879"/>
      <c r="GVI1516" s="879"/>
      <c r="GVJ1516" s="879"/>
      <c r="GVK1516" s="879"/>
      <c r="GVL1516" s="879"/>
      <c r="GVM1516" s="879"/>
      <c r="GVN1516" s="879"/>
      <c r="GVO1516" s="879"/>
      <c r="GVP1516" s="879"/>
      <c r="GVQ1516" s="879"/>
      <c r="GVR1516" s="879"/>
      <c r="GVS1516" s="879"/>
      <c r="GVT1516" s="879"/>
      <c r="GVU1516" s="879"/>
      <c r="GVV1516" s="879"/>
      <c r="GVW1516" s="879"/>
      <c r="GVX1516" s="879"/>
      <c r="GVY1516" s="879"/>
      <c r="GVZ1516" s="879"/>
      <c r="GWA1516" s="879"/>
      <c r="GWB1516" s="879"/>
      <c r="GWC1516" s="879"/>
      <c r="GWD1516" s="879"/>
      <c r="GWE1516" s="879"/>
      <c r="GWF1516" s="879"/>
      <c r="GWG1516" s="879"/>
      <c r="GWH1516" s="879"/>
      <c r="GWI1516" s="879"/>
      <c r="GWJ1516" s="879"/>
      <c r="GWK1516" s="879"/>
      <c r="GWL1516" s="879"/>
      <c r="GWM1516" s="879"/>
      <c r="GWN1516" s="879"/>
      <c r="GWO1516" s="879"/>
      <c r="GWP1516" s="879"/>
      <c r="GWQ1516" s="879"/>
      <c r="GWR1516" s="879"/>
      <c r="GWS1516" s="879"/>
      <c r="GWT1516" s="879"/>
      <c r="GWU1516" s="879"/>
      <c r="GWV1516" s="879"/>
      <c r="GWW1516" s="879"/>
      <c r="GWX1516" s="879"/>
      <c r="GWY1516" s="879"/>
      <c r="GWZ1516" s="879"/>
      <c r="GXA1516" s="879"/>
      <c r="GXB1516" s="879"/>
      <c r="GXC1516" s="879"/>
      <c r="GXD1516" s="879"/>
      <c r="GXE1516" s="879"/>
      <c r="GXF1516" s="879"/>
      <c r="GXG1516" s="879"/>
      <c r="GXH1516" s="879"/>
      <c r="GXI1516" s="879"/>
      <c r="GXJ1516" s="879"/>
      <c r="GXK1516" s="879"/>
      <c r="GXL1516" s="879"/>
      <c r="GXM1516" s="879"/>
      <c r="GXN1516" s="879"/>
      <c r="GXO1516" s="879"/>
      <c r="GXP1516" s="879"/>
      <c r="GXQ1516" s="879"/>
      <c r="GXR1516" s="879"/>
      <c r="GXS1516" s="879"/>
      <c r="GXT1516" s="879"/>
      <c r="GXU1516" s="879"/>
      <c r="GXV1516" s="879"/>
      <c r="GXW1516" s="879"/>
      <c r="GXX1516" s="879"/>
      <c r="GXY1516" s="879"/>
      <c r="GXZ1516" s="879"/>
      <c r="GYA1516" s="879"/>
      <c r="GYB1516" s="879"/>
      <c r="GYC1516" s="879"/>
      <c r="GYD1516" s="879"/>
      <c r="GYE1516" s="879"/>
      <c r="GYF1516" s="879"/>
      <c r="GYG1516" s="879"/>
      <c r="GYH1516" s="879"/>
      <c r="GYI1516" s="879"/>
      <c r="GYJ1516" s="879"/>
      <c r="GYK1516" s="879"/>
      <c r="GYL1516" s="879"/>
      <c r="GYM1516" s="879"/>
      <c r="GYN1516" s="879"/>
      <c r="GYO1516" s="879"/>
      <c r="GYP1516" s="879"/>
      <c r="GYQ1516" s="879"/>
      <c r="GYR1516" s="879"/>
      <c r="GYS1516" s="879"/>
      <c r="GYT1516" s="879"/>
      <c r="GYU1516" s="879"/>
      <c r="GYV1516" s="879"/>
      <c r="GYW1516" s="879"/>
      <c r="GYX1516" s="879"/>
      <c r="GYY1516" s="879"/>
      <c r="GYZ1516" s="879"/>
      <c r="GZA1516" s="879"/>
      <c r="GZB1516" s="879"/>
      <c r="GZC1516" s="879"/>
      <c r="GZD1516" s="879"/>
      <c r="GZE1516" s="879"/>
      <c r="GZF1516" s="879"/>
      <c r="GZG1516" s="879"/>
      <c r="GZH1516" s="879"/>
      <c r="GZI1516" s="879"/>
      <c r="GZJ1516" s="879"/>
      <c r="GZK1516" s="879"/>
      <c r="GZL1516" s="879"/>
      <c r="GZM1516" s="879"/>
      <c r="GZN1516" s="879"/>
      <c r="GZO1516" s="879"/>
      <c r="GZP1516" s="879"/>
      <c r="GZQ1516" s="879"/>
      <c r="GZR1516" s="879"/>
      <c r="GZS1516" s="879"/>
      <c r="GZT1516" s="879"/>
      <c r="GZU1516" s="879"/>
      <c r="GZV1516" s="879"/>
      <c r="GZW1516" s="879"/>
      <c r="GZX1516" s="879"/>
      <c r="GZY1516" s="879"/>
      <c r="GZZ1516" s="879"/>
      <c r="HAA1516" s="879"/>
      <c r="HAB1516" s="879"/>
      <c r="HAC1516" s="879"/>
      <c r="HAD1516" s="879"/>
      <c r="HAE1516" s="879"/>
      <c r="HAF1516" s="879"/>
      <c r="HAG1516" s="879"/>
      <c r="HAH1516" s="879"/>
      <c r="HAI1516" s="879"/>
      <c r="HAJ1516" s="879"/>
      <c r="HAK1516" s="879"/>
      <c r="HAL1516" s="879"/>
      <c r="HAM1516" s="879"/>
      <c r="HAN1516" s="879"/>
      <c r="HAO1516" s="879"/>
      <c r="HAP1516" s="879"/>
      <c r="HAQ1516" s="879"/>
      <c r="HAR1516" s="879"/>
      <c r="HAS1516" s="879"/>
      <c r="HAT1516" s="879"/>
      <c r="HAU1516" s="879"/>
      <c r="HAV1516" s="879"/>
      <c r="HAW1516" s="879"/>
      <c r="HAX1516" s="879"/>
      <c r="HAY1516" s="879"/>
      <c r="HAZ1516" s="879"/>
      <c r="HBA1516" s="879"/>
      <c r="HBB1516" s="879"/>
      <c r="HBC1516" s="879"/>
      <c r="HBD1516" s="879"/>
      <c r="HBE1516" s="879"/>
      <c r="HBF1516" s="879"/>
      <c r="HBG1516" s="879"/>
      <c r="HBH1516" s="879"/>
      <c r="HBI1516" s="879"/>
      <c r="HBJ1516" s="879"/>
      <c r="HBK1516" s="879"/>
      <c r="HBL1516" s="879"/>
      <c r="HBM1516" s="879"/>
      <c r="HBN1516" s="879"/>
      <c r="HBO1516" s="879"/>
      <c r="HBP1516" s="879"/>
      <c r="HBQ1516" s="879"/>
      <c r="HBR1516" s="879"/>
      <c r="HBS1516" s="879"/>
      <c r="HBT1516" s="879"/>
      <c r="HBU1516" s="879"/>
      <c r="HBV1516" s="879"/>
      <c r="HBW1516" s="879"/>
      <c r="HBX1516" s="879"/>
      <c r="HBY1516" s="879"/>
      <c r="HBZ1516" s="879"/>
      <c r="HCA1516" s="879"/>
      <c r="HCB1516" s="879"/>
      <c r="HCC1516" s="879"/>
      <c r="HCD1516" s="879"/>
      <c r="HCE1516" s="879"/>
      <c r="HCF1516" s="879"/>
      <c r="HCG1516" s="879"/>
      <c r="HCH1516" s="879"/>
      <c r="HCI1516" s="879"/>
      <c r="HCJ1516" s="879"/>
      <c r="HCK1516" s="879"/>
      <c r="HCL1516" s="879"/>
      <c r="HCM1516" s="879"/>
      <c r="HCN1516" s="879"/>
      <c r="HCO1516" s="879"/>
      <c r="HCP1516" s="879"/>
      <c r="HCQ1516" s="879"/>
      <c r="HCR1516" s="879"/>
      <c r="HCS1516" s="879"/>
      <c r="HCT1516" s="879"/>
      <c r="HCU1516" s="879"/>
      <c r="HCV1516" s="879"/>
      <c r="HCW1516" s="879"/>
      <c r="HCX1516" s="879"/>
      <c r="HCY1516" s="879"/>
      <c r="HCZ1516" s="879"/>
      <c r="HDA1516" s="879"/>
      <c r="HDB1516" s="879"/>
      <c r="HDC1516" s="879"/>
      <c r="HDD1516" s="879"/>
      <c r="HDE1516" s="879"/>
      <c r="HDF1516" s="879"/>
      <c r="HDG1516" s="879"/>
      <c r="HDH1516" s="879"/>
      <c r="HDI1516" s="879"/>
      <c r="HDJ1516" s="879"/>
      <c r="HDK1516" s="879"/>
      <c r="HDL1516" s="879"/>
      <c r="HDM1516" s="879"/>
      <c r="HDN1516" s="879"/>
      <c r="HDO1516" s="879"/>
      <c r="HDP1516" s="879"/>
      <c r="HDQ1516" s="879"/>
      <c r="HDR1516" s="879"/>
      <c r="HDS1516" s="879"/>
      <c r="HDT1516" s="879"/>
      <c r="HDU1516" s="879"/>
      <c r="HDV1516" s="879"/>
      <c r="HDW1516" s="879"/>
      <c r="HDX1516" s="879"/>
      <c r="HDY1516" s="879"/>
      <c r="HDZ1516" s="879"/>
      <c r="HEA1516" s="879"/>
      <c r="HEB1516" s="879"/>
      <c r="HEC1516" s="879"/>
      <c r="HED1516" s="879"/>
      <c r="HEE1516" s="879"/>
      <c r="HEF1516" s="879"/>
      <c r="HEG1516" s="879"/>
      <c r="HEH1516" s="879"/>
      <c r="HEI1516" s="879"/>
      <c r="HEJ1516" s="879"/>
      <c r="HEK1516" s="879"/>
      <c r="HEL1516" s="879"/>
      <c r="HEM1516" s="879"/>
      <c r="HEN1516" s="879"/>
      <c r="HEO1516" s="879"/>
      <c r="HEP1516" s="879"/>
      <c r="HEQ1516" s="879"/>
      <c r="HER1516" s="879"/>
      <c r="HES1516" s="879"/>
      <c r="HET1516" s="879"/>
      <c r="HEU1516" s="879"/>
      <c r="HEV1516" s="879"/>
      <c r="HEW1516" s="879"/>
      <c r="HEX1516" s="879"/>
      <c r="HEY1516" s="879"/>
      <c r="HEZ1516" s="879"/>
      <c r="HFA1516" s="879"/>
      <c r="HFB1516" s="879"/>
      <c r="HFC1516" s="879"/>
      <c r="HFD1516" s="879"/>
      <c r="HFE1516" s="879"/>
      <c r="HFF1516" s="879"/>
      <c r="HFG1516" s="879"/>
      <c r="HFH1516" s="879"/>
      <c r="HFI1516" s="879"/>
      <c r="HFJ1516" s="879"/>
      <c r="HFK1516" s="879"/>
      <c r="HFL1516" s="879"/>
      <c r="HFM1516" s="879"/>
      <c r="HFN1516" s="879"/>
      <c r="HFO1516" s="879"/>
      <c r="HFP1516" s="879"/>
      <c r="HFQ1516" s="879"/>
      <c r="HFR1516" s="879"/>
      <c r="HFS1516" s="879"/>
      <c r="HFT1516" s="879"/>
      <c r="HFU1516" s="879"/>
      <c r="HFV1516" s="879"/>
      <c r="HFW1516" s="879"/>
      <c r="HFX1516" s="879"/>
      <c r="HFY1516" s="879"/>
      <c r="HFZ1516" s="879"/>
      <c r="HGA1516" s="879"/>
      <c r="HGB1516" s="879"/>
      <c r="HGC1516" s="879"/>
      <c r="HGD1516" s="879"/>
      <c r="HGE1516" s="879"/>
      <c r="HGF1516" s="879"/>
      <c r="HGG1516" s="879"/>
      <c r="HGH1516" s="879"/>
      <c r="HGI1516" s="879"/>
      <c r="HGJ1516" s="879"/>
      <c r="HGK1516" s="879"/>
      <c r="HGL1516" s="879"/>
      <c r="HGM1516" s="879"/>
      <c r="HGN1516" s="879"/>
      <c r="HGO1516" s="879"/>
      <c r="HGP1516" s="879"/>
      <c r="HGQ1516" s="879"/>
      <c r="HGR1516" s="879"/>
      <c r="HGS1516" s="879"/>
      <c r="HGT1516" s="879"/>
      <c r="HGU1516" s="879"/>
      <c r="HGV1516" s="879"/>
      <c r="HGW1516" s="879"/>
      <c r="HGX1516" s="879"/>
      <c r="HGY1516" s="879"/>
      <c r="HGZ1516" s="879"/>
      <c r="HHA1516" s="879"/>
      <c r="HHB1516" s="879"/>
      <c r="HHC1516" s="879"/>
      <c r="HHD1516" s="879"/>
      <c r="HHE1516" s="879"/>
      <c r="HHF1516" s="879"/>
      <c r="HHG1516" s="879"/>
      <c r="HHH1516" s="879"/>
      <c r="HHI1516" s="879"/>
      <c r="HHJ1516" s="879"/>
      <c r="HHK1516" s="879"/>
      <c r="HHL1516" s="879"/>
      <c r="HHM1516" s="879"/>
      <c r="HHN1516" s="879"/>
      <c r="HHO1516" s="879"/>
      <c r="HHP1516" s="879"/>
      <c r="HHQ1516" s="879"/>
      <c r="HHR1516" s="879"/>
      <c r="HHS1516" s="879"/>
      <c r="HHT1516" s="879"/>
      <c r="HHU1516" s="879"/>
      <c r="HHV1516" s="879"/>
      <c r="HHW1516" s="879"/>
      <c r="HHX1516" s="879"/>
      <c r="HHY1516" s="879"/>
      <c r="HHZ1516" s="879"/>
      <c r="HIA1516" s="879"/>
      <c r="HIB1516" s="879"/>
      <c r="HIC1516" s="879"/>
      <c r="HID1516" s="879"/>
      <c r="HIE1516" s="879"/>
      <c r="HIF1516" s="879"/>
      <c r="HIG1516" s="879"/>
      <c r="HIH1516" s="879"/>
      <c r="HII1516" s="879"/>
      <c r="HIJ1516" s="879"/>
      <c r="HIK1516" s="879"/>
      <c r="HIL1516" s="879"/>
      <c r="HIM1516" s="879"/>
      <c r="HIN1516" s="879"/>
      <c r="HIO1516" s="879"/>
      <c r="HIP1516" s="879"/>
      <c r="HIQ1516" s="879"/>
      <c r="HIR1516" s="879"/>
      <c r="HIS1516" s="879"/>
      <c r="HIT1516" s="879"/>
      <c r="HIU1516" s="879"/>
      <c r="HIV1516" s="879"/>
      <c r="HIW1516" s="879"/>
      <c r="HIX1516" s="879"/>
      <c r="HIY1516" s="879"/>
      <c r="HIZ1516" s="879"/>
      <c r="HJA1516" s="879"/>
      <c r="HJB1516" s="879"/>
      <c r="HJC1516" s="879"/>
      <c r="HJD1516" s="879"/>
      <c r="HJE1516" s="879"/>
      <c r="HJF1516" s="879"/>
      <c r="HJG1516" s="879"/>
      <c r="HJH1516" s="879"/>
      <c r="HJI1516" s="879"/>
      <c r="HJJ1516" s="879"/>
      <c r="HJK1516" s="879"/>
      <c r="HJL1516" s="879"/>
      <c r="HJM1516" s="879"/>
      <c r="HJN1516" s="879"/>
      <c r="HJO1516" s="879"/>
      <c r="HJP1516" s="879"/>
      <c r="HJQ1516" s="879"/>
      <c r="HJR1516" s="879"/>
      <c r="HJS1516" s="879"/>
      <c r="HJT1516" s="879"/>
      <c r="HJU1516" s="879"/>
      <c r="HJV1516" s="879"/>
      <c r="HJW1516" s="879"/>
      <c r="HJX1516" s="879"/>
      <c r="HJY1516" s="879"/>
      <c r="HJZ1516" s="879"/>
      <c r="HKA1516" s="879"/>
      <c r="HKB1516" s="879"/>
      <c r="HKC1516" s="879"/>
      <c r="HKD1516" s="879"/>
      <c r="HKE1516" s="879"/>
      <c r="HKF1516" s="879"/>
      <c r="HKG1516" s="879"/>
      <c r="HKH1516" s="879"/>
      <c r="HKI1516" s="879"/>
      <c r="HKJ1516" s="879"/>
      <c r="HKK1516" s="879"/>
      <c r="HKL1516" s="879"/>
      <c r="HKM1516" s="879"/>
      <c r="HKN1516" s="879"/>
      <c r="HKO1516" s="879"/>
      <c r="HKP1516" s="879"/>
      <c r="HKQ1516" s="879"/>
      <c r="HKR1516" s="879"/>
      <c r="HKS1516" s="879"/>
      <c r="HKT1516" s="879"/>
      <c r="HKU1516" s="879"/>
      <c r="HKV1516" s="879"/>
      <c r="HKW1516" s="879"/>
      <c r="HKX1516" s="879"/>
      <c r="HKY1516" s="879"/>
      <c r="HKZ1516" s="879"/>
      <c r="HLA1516" s="879"/>
      <c r="HLB1516" s="879"/>
      <c r="HLC1516" s="879"/>
      <c r="HLD1516" s="879"/>
      <c r="HLE1516" s="879"/>
      <c r="HLF1516" s="879"/>
      <c r="HLG1516" s="879"/>
      <c r="HLH1516" s="879"/>
      <c r="HLI1516" s="879"/>
      <c r="HLJ1516" s="879"/>
      <c r="HLK1516" s="879"/>
      <c r="HLL1516" s="879"/>
      <c r="HLM1516" s="879"/>
      <c r="HLN1516" s="879"/>
      <c r="HLO1516" s="879"/>
      <c r="HLP1516" s="879"/>
      <c r="HLQ1516" s="879"/>
      <c r="HLR1516" s="879"/>
      <c r="HLS1516" s="879"/>
      <c r="HLT1516" s="879"/>
      <c r="HLU1516" s="879"/>
      <c r="HLV1516" s="879"/>
      <c r="HLW1516" s="879"/>
      <c r="HLX1516" s="879"/>
      <c r="HLY1516" s="879"/>
      <c r="HLZ1516" s="879"/>
      <c r="HMA1516" s="879"/>
      <c r="HMB1516" s="879"/>
      <c r="HMC1516" s="879"/>
      <c r="HMD1516" s="879"/>
      <c r="HME1516" s="879"/>
      <c r="HMF1516" s="879"/>
      <c r="HMG1516" s="879"/>
      <c r="HMH1516" s="879"/>
      <c r="HMI1516" s="879"/>
      <c r="HMJ1516" s="879"/>
      <c r="HMK1516" s="879"/>
      <c r="HML1516" s="879"/>
      <c r="HMM1516" s="879"/>
      <c r="HMN1516" s="879"/>
      <c r="HMO1516" s="879"/>
      <c r="HMP1516" s="879"/>
      <c r="HMQ1516" s="879"/>
      <c r="HMR1516" s="879"/>
      <c r="HMS1516" s="879"/>
      <c r="HMT1516" s="879"/>
      <c r="HMU1516" s="879"/>
      <c r="HMV1516" s="879"/>
      <c r="HMW1516" s="879"/>
      <c r="HMX1516" s="879"/>
      <c r="HMY1516" s="879"/>
      <c r="HMZ1516" s="879"/>
      <c r="HNA1516" s="879"/>
      <c r="HNB1516" s="879"/>
      <c r="HNC1516" s="879"/>
      <c r="HND1516" s="879"/>
      <c r="HNE1516" s="879"/>
      <c r="HNF1516" s="879"/>
      <c r="HNG1516" s="879"/>
      <c r="HNH1516" s="879"/>
      <c r="HNI1516" s="879"/>
      <c r="HNJ1516" s="879"/>
      <c r="HNK1516" s="879"/>
      <c r="HNL1516" s="879"/>
      <c r="HNM1516" s="879"/>
      <c r="HNN1516" s="879"/>
      <c r="HNO1516" s="879"/>
      <c r="HNP1516" s="879"/>
      <c r="HNQ1516" s="879"/>
      <c r="HNR1516" s="879"/>
      <c r="HNS1516" s="879"/>
      <c r="HNT1516" s="879"/>
      <c r="HNU1516" s="879"/>
      <c r="HNV1516" s="879"/>
      <c r="HNW1516" s="879"/>
      <c r="HNX1516" s="879"/>
      <c r="HNY1516" s="879"/>
      <c r="HNZ1516" s="879"/>
      <c r="HOA1516" s="879"/>
      <c r="HOB1516" s="879"/>
      <c r="HOC1516" s="879"/>
      <c r="HOD1516" s="879"/>
      <c r="HOE1516" s="879"/>
      <c r="HOF1516" s="879"/>
      <c r="HOG1516" s="879"/>
      <c r="HOH1516" s="879"/>
      <c r="HOI1516" s="879"/>
      <c r="HOJ1516" s="879"/>
      <c r="HOK1516" s="879"/>
      <c r="HOL1516" s="879"/>
      <c r="HOM1516" s="879"/>
      <c r="HON1516" s="879"/>
      <c r="HOO1516" s="879"/>
      <c r="HOP1516" s="879"/>
      <c r="HOQ1516" s="879"/>
      <c r="HOR1516" s="879"/>
      <c r="HOS1516" s="879"/>
      <c r="HOT1516" s="879"/>
      <c r="HOU1516" s="879"/>
      <c r="HOV1516" s="879"/>
      <c r="HOW1516" s="879"/>
      <c r="HOX1516" s="879"/>
      <c r="HOY1516" s="879"/>
      <c r="HOZ1516" s="879"/>
      <c r="HPA1516" s="879"/>
      <c r="HPB1516" s="879"/>
      <c r="HPC1516" s="879"/>
      <c r="HPD1516" s="879"/>
      <c r="HPE1516" s="879"/>
      <c r="HPF1516" s="879"/>
      <c r="HPG1516" s="879"/>
      <c r="HPH1516" s="879"/>
      <c r="HPI1516" s="879"/>
      <c r="HPJ1516" s="879"/>
      <c r="HPK1516" s="879"/>
      <c r="HPL1516" s="879"/>
      <c r="HPM1516" s="879"/>
      <c r="HPN1516" s="879"/>
      <c r="HPO1516" s="879"/>
      <c r="HPP1516" s="879"/>
      <c r="HPQ1516" s="879"/>
      <c r="HPR1516" s="879"/>
      <c r="HPS1516" s="879"/>
      <c r="HPT1516" s="879"/>
      <c r="HPU1516" s="879"/>
      <c r="HPV1516" s="879"/>
      <c r="HPW1516" s="879"/>
      <c r="HPX1516" s="879"/>
      <c r="HPY1516" s="879"/>
      <c r="HPZ1516" s="879"/>
      <c r="HQA1516" s="879"/>
      <c r="HQB1516" s="879"/>
      <c r="HQC1516" s="879"/>
      <c r="HQD1516" s="879"/>
      <c r="HQE1516" s="879"/>
      <c r="HQF1516" s="879"/>
      <c r="HQG1516" s="879"/>
      <c r="HQH1516" s="879"/>
      <c r="HQI1516" s="879"/>
      <c r="HQJ1516" s="879"/>
      <c r="HQK1516" s="879"/>
      <c r="HQL1516" s="879"/>
      <c r="HQM1516" s="879"/>
      <c r="HQN1516" s="879"/>
      <c r="HQO1516" s="879"/>
      <c r="HQP1516" s="879"/>
      <c r="HQQ1516" s="879"/>
      <c r="HQR1516" s="879"/>
      <c r="HQS1516" s="879"/>
      <c r="HQT1516" s="879"/>
      <c r="HQU1516" s="879"/>
      <c r="HQV1516" s="879"/>
      <c r="HQW1516" s="879"/>
      <c r="HQX1516" s="879"/>
      <c r="HQY1516" s="879"/>
      <c r="HQZ1516" s="879"/>
      <c r="HRA1516" s="879"/>
      <c r="HRB1516" s="879"/>
      <c r="HRC1516" s="879"/>
      <c r="HRD1516" s="879"/>
      <c r="HRE1516" s="879"/>
      <c r="HRF1516" s="879"/>
      <c r="HRG1516" s="879"/>
      <c r="HRH1516" s="879"/>
      <c r="HRI1516" s="879"/>
      <c r="HRJ1516" s="879"/>
      <c r="HRK1516" s="879"/>
      <c r="HRL1516" s="879"/>
      <c r="HRM1516" s="879"/>
      <c r="HRN1516" s="879"/>
      <c r="HRO1516" s="879"/>
      <c r="HRP1516" s="879"/>
      <c r="HRQ1516" s="879"/>
      <c r="HRR1516" s="879"/>
      <c r="HRS1516" s="879"/>
      <c r="HRT1516" s="879"/>
      <c r="HRU1516" s="879"/>
      <c r="HRV1516" s="879"/>
      <c r="HRW1516" s="879"/>
      <c r="HRX1516" s="879"/>
      <c r="HRY1516" s="879"/>
      <c r="HRZ1516" s="879"/>
      <c r="HSA1516" s="879"/>
      <c r="HSB1516" s="879"/>
      <c r="HSC1516" s="879"/>
      <c r="HSD1516" s="879"/>
      <c r="HSE1516" s="879"/>
      <c r="HSF1516" s="879"/>
      <c r="HSG1516" s="879"/>
      <c r="HSH1516" s="879"/>
      <c r="HSI1516" s="879"/>
      <c r="HSJ1516" s="879"/>
      <c r="HSK1516" s="879"/>
      <c r="HSL1516" s="879"/>
      <c r="HSM1516" s="879"/>
      <c r="HSN1516" s="879"/>
      <c r="HSO1516" s="879"/>
      <c r="HSP1516" s="879"/>
      <c r="HSQ1516" s="879"/>
      <c r="HSR1516" s="879"/>
      <c r="HSS1516" s="879"/>
      <c r="HST1516" s="879"/>
      <c r="HSU1516" s="879"/>
      <c r="HSV1516" s="879"/>
      <c r="HSW1516" s="879"/>
      <c r="HSX1516" s="879"/>
      <c r="HSY1516" s="879"/>
      <c r="HSZ1516" s="879"/>
      <c r="HTA1516" s="879"/>
      <c r="HTB1516" s="879"/>
      <c r="HTC1516" s="879"/>
      <c r="HTD1516" s="879"/>
      <c r="HTE1516" s="879"/>
      <c r="HTF1516" s="879"/>
      <c r="HTG1516" s="879"/>
      <c r="HTH1516" s="879"/>
      <c r="HTI1516" s="879"/>
      <c r="HTJ1516" s="879"/>
      <c r="HTK1516" s="879"/>
      <c r="HTL1516" s="879"/>
      <c r="HTM1516" s="879"/>
      <c r="HTN1516" s="879"/>
      <c r="HTO1516" s="879"/>
      <c r="HTP1516" s="879"/>
      <c r="HTQ1516" s="879"/>
      <c r="HTR1516" s="879"/>
      <c r="HTS1516" s="879"/>
      <c r="HTT1516" s="879"/>
      <c r="HTU1516" s="879"/>
      <c r="HTV1516" s="879"/>
      <c r="HTW1516" s="879"/>
      <c r="HTX1516" s="879"/>
      <c r="HTY1516" s="879"/>
      <c r="HTZ1516" s="879"/>
      <c r="HUA1516" s="879"/>
      <c r="HUB1516" s="879"/>
      <c r="HUC1516" s="879"/>
      <c r="HUD1516" s="879"/>
      <c r="HUE1516" s="879"/>
      <c r="HUF1516" s="879"/>
      <c r="HUG1516" s="879"/>
      <c r="HUH1516" s="879"/>
      <c r="HUI1516" s="879"/>
      <c r="HUJ1516" s="879"/>
      <c r="HUK1516" s="879"/>
      <c r="HUL1516" s="879"/>
      <c r="HUM1516" s="879"/>
      <c r="HUN1516" s="879"/>
      <c r="HUO1516" s="879"/>
      <c r="HUP1516" s="879"/>
      <c r="HUQ1516" s="879"/>
      <c r="HUR1516" s="879"/>
      <c r="HUS1516" s="879"/>
      <c r="HUT1516" s="879"/>
      <c r="HUU1516" s="879"/>
      <c r="HUV1516" s="879"/>
      <c r="HUW1516" s="879"/>
      <c r="HUX1516" s="879"/>
      <c r="HUY1516" s="879"/>
      <c r="HUZ1516" s="879"/>
      <c r="HVA1516" s="879"/>
      <c r="HVB1516" s="879"/>
      <c r="HVC1516" s="879"/>
      <c r="HVD1516" s="879"/>
      <c r="HVE1516" s="879"/>
      <c r="HVF1516" s="879"/>
      <c r="HVG1516" s="879"/>
      <c r="HVH1516" s="879"/>
      <c r="HVI1516" s="879"/>
      <c r="HVJ1516" s="879"/>
      <c r="HVK1516" s="879"/>
      <c r="HVL1516" s="879"/>
      <c r="HVM1516" s="879"/>
      <c r="HVN1516" s="879"/>
      <c r="HVO1516" s="879"/>
      <c r="HVP1516" s="879"/>
      <c r="HVQ1516" s="879"/>
      <c r="HVR1516" s="879"/>
      <c r="HVS1516" s="879"/>
      <c r="HVT1516" s="879"/>
      <c r="HVU1516" s="879"/>
      <c r="HVV1516" s="879"/>
      <c r="HVW1516" s="879"/>
      <c r="HVX1516" s="879"/>
      <c r="HVY1516" s="879"/>
      <c r="HVZ1516" s="879"/>
      <c r="HWA1516" s="879"/>
      <c r="HWB1516" s="879"/>
      <c r="HWC1516" s="879"/>
      <c r="HWD1516" s="879"/>
      <c r="HWE1516" s="879"/>
      <c r="HWF1516" s="879"/>
      <c r="HWG1516" s="879"/>
      <c r="HWH1516" s="879"/>
      <c r="HWI1516" s="879"/>
      <c r="HWJ1516" s="879"/>
      <c r="HWK1516" s="879"/>
      <c r="HWL1516" s="879"/>
      <c r="HWM1516" s="879"/>
      <c r="HWN1516" s="879"/>
      <c r="HWO1516" s="879"/>
      <c r="HWP1516" s="879"/>
      <c r="HWQ1516" s="879"/>
      <c r="HWR1516" s="879"/>
      <c r="HWS1516" s="879"/>
      <c r="HWT1516" s="879"/>
      <c r="HWU1516" s="879"/>
      <c r="HWV1516" s="879"/>
      <c r="HWW1516" s="879"/>
      <c r="HWX1516" s="879"/>
      <c r="HWY1516" s="879"/>
      <c r="HWZ1516" s="879"/>
      <c r="HXA1516" s="879"/>
      <c r="HXB1516" s="879"/>
      <c r="HXC1516" s="879"/>
      <c r="HXD1516" s="879"/>
      <c r="HXE1516" s="879"/>
      <c r="HXF1516" s="879"/>
      <c r="HXG1516" s="879"/>
      <c r="HXH1516" s="879"/>
      <c r="HXI1516" s="879"/>
      <c r="HXJ1516" s="879"/>
      <c r="HXK1516" s="879"/>
      <c r="HXL1516" s="879"/>
      <c r="HXM1516" s="879"/>
      <c r="HXN1516" s="879"/>
      <c r="HXO1516" s="879"/>
      <c r="HXP1516" s="879"/>
      <c r="HXQ1516" s="879"/>
      <c r="HXR1516" s="879"/>
      <c r="HXS1516" s="879"/>
      <c r="HXT1516" s="879"/>
      <c r="HXU1516" s="879"/>
      <c r="HXV1516" s="879"/>
      <c r="HXW1516" s="879"/>
      <c r="HXX1516" s="879"/>
      <c r="HXY1516" s="879"/>
      <c r="HXZ1516" s="879"/>
      <c r="HYA1516" s="879"/>
      <c r="HYB1516" s="879"/>
      <c r="HYC1516" s="879"/>
      <c r="HYD1516" s="879"/>
      <c r="HYE1516" s="879"/>
      <c r="HYF1516" s="879"/>
      <c r="HYG1516" s="879"/>
      <c r="HYH1516" s="879"/>
      <c r="HYI1516" s="879"/>
      <c r="HYJ1516" s="879"/>
      <c r="HYK1516" s="879"/>
      <c r="HYL1516" s="879"/>
      <c r="HYM1516" s="879"/>
      <c r="HYN1516" s="879"/>
      <c r="HYO1516" s="879"/>
      <c r="HYP1516" s="879"/>
      <c r="HYQ1516" s="879"/>
      <c r="HYR1516" s="879"/>
      <c r="HYS1516" s="879"/>
      <c r="HYT1516" s="879"/>
      <c r="HYU1516" s="879"/>
      <c r="HYV1516" s="879"/>
      <c r="HYW1516" s="879"/>
      <c r="HYX1516" s="879"/>
      <c r="HYY1516" s="879"/>
      <c r="HYZ1516" s="879"/>
      <c r="HZA1516" s="879"/>
      <c r="HZB1516" s="879"/>
      <c r="HZC1516" s="879"/>
      <c r="HZD1516" s="879"/>
      <c r="HZE1516" s="879"/>
      <c r="HZF1516" s="879"/>
      <c r="HZG1516" s="879"/>
      <c r="HZH1516" s="879"/>
      <c r="HZI1516" s="879"/>
      <c r="HZJ1516" s="879"/>
      <c r="HZK1516" s="879"/>
      <c r="HZL1516" s="879"/>
      <c r="HZM1516" s="879"/>
      <c r="HZN1516" s="879"/>
      <c r="HZO1516" s="879"/>
      <c r="HZP1516" s="879"/>
      <c r="HZQ1516" s="879"/>
      <c r="HZR1516" s="879"/>
      <c r="HZS1516" s="879"/>
      <c r="HZT1516" s="879"/>
      <c r="HZU1516" s="879"/>
      <c r="HZV1516" s="879"/>
      <c r="HZW1516" s="879"/>
      <c r="HZX1516" s="879"/>
      <c r="HZY1516" s="879"/>
      <c r="HZZ1516" s="879"/>
      <c r="IAA1516" s="879"/>
      <c r="IAB1516" s="879"/>
      <c r="IAC1516" s="879"/>
      <c r="IAD1516" s="879"/>
      <c r="IAE1516" s="879"/>
      <c r="IAF1516" s="879"/>
      <c r="IAG1516" s="879"/>
      <c r="IAH1516" s="879"/>
      <c r="IAI1516" s="879"/>
      <c r="IAJ1516" s="879"/>
      <c r="IAK1516" s="879"/>
      <c r="IAL1516" s="879"/>
      <c r="IAM1516" s="879"/>
      <c r="IAN1516" s="879"/>
      <c r="IAO1516" s="879"/>
      <c r="IAP1516" s="879"/>
      <c r="IAQ1516" s="879"/>
      <c r="IAR1516" s="879"/>
      <c r="IAS1516" s="879"/>
      <c r="IAT1516" s="879"/>
      <c r="IAU1516" s="879"/>
      <c r="IAV1516" s="879"/>
      <c r="IAW1516" s="879"/>
      <c r="IAX1516" s="879"/>
      <c r="IAY1516" s="879"/>
      <c r="IAZ1516" s="879"/>
      <c r="IBA1516" s="879"/>
      <c r="IBB1516" s="879"/>
      <c r="IBC1516" s="879"/>
      <c r="IBD1516" s="879"/>
      <c r="IBE1516" s="879"/>
      <c r="IBF1516" s="879"/>
      <c r="IBG1516" s="879"/>
      <c r="IBH1516" s="879"/>
      <c r="IBI1516" s="879"/>
      <c r="IBJ1516" s="879"/>
      <c r="IBK1516" s="879"/>
      <c r="IBL1516" s="879"/>
      <c r="IBM1516" s="879"/>
      <c r="IBN1516" s="879"/>
      <c r="IBO1516" s="879"/>
      <c r="IBP1516" s="879"/>
      <c r="IBQ1516" s="879"/>
      <c r="IBR1516" s="879"/>
      <c r="IBS1516" s="879"/>
      <c r="IBT1516" s="879"/>
      <c r="IBU1516" s="879"/>
      <c r="IBV1516" s="879"/>
      <c r="IBW1516" s="879"/>
      <c r="IBX1516" s="879"/>
      <c r="IBY1516" s="879"/>
      <c r="IBZ1516" s="879"/>
      <c r="ICA1516" s="879"/>
      <c r="ICB1516" s="879"/>
      <c r="ICC1516" s="879"/>
      <c r="ICD1516" s="879"/>
      <c r="ICE1516" s="879"/>
      <c r="ICF1516" s="879"/>
      <c r="ICG1516" s="879"/>
      <c r="ICH1516" s="879"/>
      <c r="ICI1516" s="879"/>
      <c r="ICJ1516" s="879"/>
      <c r="ICK1516" s="879"/>
      <c r="ICL1516" s="879"/>
      <c r="ICM1516" s="879"/>
      <c r="ICN1516" s="879"/>
      <c r="ICO1516" s="879"/>
      <c r="ICP1516" s="879"/>
      <c r="ICQ1516" s="879"/>
      <c r="ICR1516" s="879"/>
      <c r="ICS1516" s="879"/>
      <c r="ICT1516" s="879"/>
      <c r="ICU1516" s="879"/>
      <c r="ICV1516" s="879"/>
      <c r="ICW1516" s="879"/>
      <c r="ICX1516" s="879"/>
      <c r="ICY1516" s="879"/>
      <c r="ICZ1516" s="879"/>
      <c r="IDA1516" s="879"/>
      <c r="IDB1516" s="879"/>
      <c r="IDC1516" s="879"/>
      <c r="IDD1516" s="879"/>
      <c r="IDE1516" s="879"/>
      <c r="IDF1516" s="879"/>
      <c r="IDG1516" s="879"/>
      <c r="IDH1516" s="879"/>
      <c r="IDI1516" s="879"/>
      <c r="IDJ1516" s="879"/>
      <c r="IDK1516" s="879"/>
      <c r="IDL1516" s="879"/>
      <c r="IDM1516" s="879"/>
      <c r="IDN1516" s="879"/>
      <c r="IDO1516" s="879"/>
      <c r="IDP1516" s="879"/>
      <c r="IDQ1516" s="879"/>
      <c r="IDR1516" s="879"/>
      <c r="IDS1516" s="879"/>
      <c r="IDT1516" s="879"/>
      <c r="IDU1516" s="879"/>
      <c r="IDV1516" s="879"/>
      <c r="IDW1516" s="879"/>
      <c r="IDX1516" s="879"/>
      <c r="IDY1516" s="879"/>
      <c r="IDZ1516" s="879"/>
      <c r="IEA1516" s="879"/>
      <c r="IEB1516" s="879"/>
      <c r="IEC1516" s="879"/>
      <c r="IED1516" s="879"/>
      <c r="IEE1516" s="879"/>
      <c r="IEF1516" s="879"/>
      <c r="IEG1516" s="879"/>
      <c r="IEH1516" s="879"/>
      <c r="IEI1516" s="879"/>
      <c r="IEJ1516" s="879"/>
      <c r="IEK1516" s="879"/>
      <c r="IEL1516" s="879"/>
      <c r="IEM1516" s="879"/>
      <c r="IEN1516" s="879"/>
      <c r="IEO1516" s="879"/>
      <c r="IEP1516" s="879"/>
      <c r="IEQ1516" s="879"/>
      <c r="IER1516" s="879"/>
      <c r="IES1516" s="879"/>
      <c r="IET1516" s="879"/>
      <c r="IEU1516" s="879"/>
      <c r="IEV1516" s="879"/>
      <c r="IEW1516" s="879"/>
      <c r="IEX1516" s="879"/>
      <c r="IEY1516" s="879"/>
      <c r="IEZ1516" s="879"/>
      <c r="IFA1516" s="879"/>
      <c r="IFB1516" s="879"/>
      <c r="IFC1516" s="879"/>
      <c r="IFD1516" s="879"/>
      <c r="IFE1516" s="879"/>
      <c r="IFF1516" s="879"/>
      <c r="IFG1516" s="879"/>
      <c r="IFH1516" s="879"/>
      <c r="IFI1516" s="879"/>
      <c r="IFJ1516" s="879"/>
      <c r="IFK1516" s="879"/>
      <c r="IFL1516" s="879"/>
      <c r="IFM1516" s="879"/>
      <c r="IFN1516" s="879"/>
      <c r="IFO1516" s="879"/>
      <c r="IFP1516" s="879"/>
      <c r="IFQ1516" s="879"/>
      <c r="IFR1516" s="879"/>
      <c r="IFS1516" s="879"/>
      <c r="IFT1516" s="879"/>
      <c r="IFU1516" s="879"/>
      <c r="IFV1516" s="879"/>
      <c r="IFW1516" s="879"/>
      <c r="IFX1516" s="879"/>
      <c r="IFY1516" s="879"/>
      <c r="IFZ1516" s="879"/>
      <c r="IGA1516" s="879"/>
      <c r="IGB1516" s="879"/>
      <c r="IGC1516" s="879"/>
      <c r="IGD1516" s="879"/>
      <c r="IGE1516" s="879"/>
      <c r="IGF1516" s="879"/>
      <c r="IGG1516" s="879"/>
      <c r="IGH1516" s="879"/>
      <c r="IGI1516" s="879"/>
      <c r="IGJ1516" s="879"/>
      <c r="IGK1516" s="879"/>
      <c r="IGL1516" s="879"/>
      <c r="IGM1516" s="879"/>
      <c r="IGN1516" s="879"/>
      <c r="IGO1516" s="879"/>
      <c r="IGP1516" s="879"/>
      <c r="IGQ1516" s="879"/>
      <c r="IGR1516" s="879"/>
      <c r="IGS1516" s="879"/>
      <c r="IGT1516" s="879"/>
      <c r="IGU1516" s="879"/>
      <c r="IGV1516" s="879"/>
      <c r="IGW1516" s="879"/>
      <c r="IGX1516" s="879"/>
      <c r="IGY1516" s="879"/>
      <c r="IGZ1516" s="879"/>
      <c r="IHA1516" s="879"/>
      <c r="IHB1516" s="879"/>
      <c r="IHC1516" s="879"/>
      <c r="IHD1516" s="879"/>
      <c r="IHE1516" s="879"/>
      <c r="IHF1516" s="879"/>
      <c r="IHG1516" s="879"/>
      <c r="IHH1516" s="879"/>
      <c r="IHI1516" s="879"/>
      <c r="IHJ1516" s="879"/>
      <c r="IHK1516" s="879"/>
      <c r="IHL1516" s="879"/>
      <c r="IHM1516" s="879"/>
      <c r="IHN1516" s="879"/>
      <c r="IHO1516" s="879"/>
      <c r="IHP1516" s="879"/>
      <c r="IHQ1516" s="879"/>
      <c r="IHR1516" s="879"/>
      <c r="IHS1516" s="879"/>
      <c r="IHT1516" s="879"/>
      <c r="IHU1516" s="879"/>
      <c r="IHV1516" s="879"/>
      <c r="IHW1516" s="879"/>
      <c r="IHX1516" s="879"/>
      <c r="IHY1516" s="879"/>
      <c r="IHZ1516" s="879"/>
      <c r="IIA1516" s="879"/>
      <c r="IIB1516" s="879"/>
      <c r="IIC1516" s="879"/>
      <c r="IID1516" s="879"/>
      <c r="IIE1516" s="879"/>
      <c r="IIF1516" s="879"/>
      <c r="IIG1516" s="879"/>
      <c r="IIH1516" s="879"/>
      <c r="III1516" s="879"/>
      <c r="IIJ1516" s="879"/>
      <c r="IIK1516" s="879"/>
      <c r="IIL1516" s="879"/>
      <c r="IIM1516" s="879"/>
      <c r="IIN1516" s="879"/>
      <c r="IIO1516" s="879"/>
      <c r="IIP1516" s="879"/>
      <c r="IIQ1516" s="879"/>
      <c r="IIR1516" s="879"/>
      <c r="IIS1516" s="879"/>
      <c r="IIT1516" s="879"/>
      <c r="IIU1516" s="879"/>
      <c r="IIV1516" s="879"/>
      <c r="IIW1516" s="879"/>
      <c r="IIX1516" s="879"/>
      <c r="IIY1516" s="879"/>
      <c r="IIZ1516" s="879"/>
      <c r="IJA1516" s="879"/>
      <c r="IJB1516" s="879"/>
      <c r="IJC1516" s="879"/>
      <c r="IJD1516" s="879"/>
      <c r="IJE1516" s="879"/>
      <c r="IJF1516" s="879"/>
      <c r="IJG1516" s="879"/>
      <c r="IJH1516" s="879"/>
      <c r="IJI1516" s="879"/>
      <c r="IJJ1516" s="879"/>
      <c r="IJK1516" s="879"/>
      <c r="IJL1516" s="879"/>
      <c r="IJM1516" s="879"/>
      <c r="IJN1516" s="879"/>
      <c r="IJO1516" s="879"/>
      <c r="IJP1516" s="879"/>
      <c r="IJQ1516" s="879"/>
      <c r="IJR1516" s="879"/>
      <c r="IJS1516" s="879"/>
      <c r="IJT1516" s="879"/>
      <c r="IJU1516" s="879"/>
      <c r="IJV1516" s="879"/>
      <c r="IJW1516" s="879"/>
      <c r="IJX1516" s="879"/>
      <c r="IJY1516" s="879"/>
      <c r="IJZ1516" s="879"/>
      <c r="IKA1516" s="879"/>
      <c r="IKB1516" s="879"/>
      <c r="IKC1516" s="879"/>
      <c r="IKD1516" s="879"/>
      <c r="IKE1516" s="879"/>
      <c r="IKF1516" s="879"/>
      <c r="IKG1516" s="879"/>
      <c r="IKH1516" s="879"/>
      <c r="IKI1516" s="879"/>
      <c r="IKJ1516" s="879"/>
      <c r="IKK1516" s="879"/>
      <c r="IKL1516" s="879"/>
      <c r="IKM1516" s="879"/>
      <c r="IKN1516" s="879"/>
      <c r="IKO1516" s="879"/>
      <c r="IKP1516" s="879"/>
      <c r="IKQ1516" s="879"/>
      <c r="IKR1516" s="879"/>
      <c r="IKS1516" s="879"/>
      <c r="IKT1516" s="879"/>
      <c r="IKU1516" s="879"/>
      <c r="IKV1516" s="879"/>
      <c r="IKW1516" s="879"/>
      <c r="IKX1516" s="879"/>
      <c r="IKY1516" s="879"/>
      <c r="IKZ1516" s="879"/>
      <c r="ILA1516" s="879"/>
      <c r="ILB1516" s="879"/>
      <c r="ILC1516" s="879"/>
      <c r="ILD1516" s="879"/>
      <c r="ILE1516" s="879"/>
      <c r="ILF1516" s="879"/>
      <c r="ILG1516" s="879"/>
      <c r="ILH1516" s="879"/>
      <c r="ILI1516" s="879"/>
      <c r="ILJ1516" s="879"/>
      <c r="ILK1516" s="879"/>
      <c r="ILL1516" s="879"/>
      <c r="ILM1516" s="879"/>
      <c r="ILN1516" s="879"/>
      <c r="ILO1516" s="879"/>
      <c r="ILP1516" s="879"/>
      <c r="ILQ1516" s="879"/>
      <c r="ILR1516" s="879"/>
      <c r="ILS1516" s="879"/>
      <c r="ILT1516" s="879"/>
      <c r="ILU1516" s="879"/>
      <c r="ILV1516" s="879"/>
      <c r="ILW1516" s="879"/>
      <c r="ILX1516" s="879"/>
      <c r="ILY1516" s="879"/>
      <c r="ILZ1516" s="879"/>
      <c r="IMA1516" s="879"/>
      <c r="IMB1516" s="879"/>
      <c r="IMC1516" s="879"/>
      <c r="IMD1516" s="879"/>
      <c r="IME1516" s="879"/>
      <c r="IMF1516" s="879"/>
      <c r="IMG1516" s="879"/>
      <c r="IMH1516" s="879"/>
      <c r="IMI1516" s="879"/>
      <c r="IMJ1516" s="879"/>
      <c r="IMK1516" s="879"/>
      <c r="IML1516" s="879"/>
      <c r="IMM1516" s="879"/>
      <c r="IMN1516" s="879"/>
      <c r="IMO1516" s="879"/>
      <c r="IMP1516" s="879"/>
      <c r="IMQ1516" s="879"/>
      <c r="IMR1516" s="879"/>
      <c r="IMS1516" s="879"/>
      <c r="IMT1516" s="879"/>
      <c r="IMU1516" s="879"/>
      <c r="IMV1516" s="879"/>
      <c r="IMW1516" s="879"/>
      <c r="IMX1516" s="879"/>
      <c r="IMY1516" s="879"/>
      <c r="IMZ1516" s="879"/>
      <c r="INA1516" s="879"/>
      <c r="INB1516" s="879"/>
      <c r="INC1516" s="879"/>
      <c r="IND1516" s="879"/>
      <c r="INE1516" s="879"/>
      <c r="INF1516" s="879"/>
      <c r="ING1516" s="879"/>
      <c r="INH1516" s="879"/>
      <c r="INI1516" s="879"/>
      <c r="INJ1516" s="879"/>
      <c r="INK1516" s="879"/>
      <c r="INL1516" s="879"/>
      <c r="INM1516" s="879"/>
      <c r="INN1516" s="879"/>
      <c r="INO1516" s="879"/>
      <c r="INP1516" s="879"/>
      <c r="INQ1516" s="879"/>
      <c r="INR1516" s="879"/>
      <c r="INS1516" s="879"/>
      <c r="INT1516" s="879"/>
      <c r="INU1516" s="879"/>
      <c r="INV1516" s="879"/>
      <c r="INW1516" s="879"/>
      <c r="INX1516" s="879"/>
      <c r="INY1516" s="879"/>
      <c r="INZ1516" s="879"/>
      <c r="IOA1516" s="879"/>
      <c r="IOB1516" s="879"/>
      <c r="IOC1516" s="879"/>
      <c r="IOD1516" s="879"/>
      <c r="IOE1516" s="879"/>
      <c r="IOF1516" s="879"/>
      <c r="IOG1516" s="879"/>
      <c r="IOH1516" s="879"/>
      <c r="IOI1516" s="879"/>
      <c r="IOJ1516" s="879"/>
      <c r="IOK1516" s="879"/>
      <c r="IOL1516" s="879"/>
      <c r="IOM1516" s="879"/>
      <c r="ION1516" s="879"/>
      <c r="IOO1516" s="879"/>
      <c r="IOP1516" s="879"/>
      <c r="IOQ1516" s="879"/>
      <c r="IOR1516" s="879"/>
      <c r="IOS1516" s="879"/>
      <c r="IOT1516" s="879"/>
      <c r="IOU1516" s="879"/>
      <c r="IOV1516" s="879"/>
      <c r="IOW1516" s="879"/>
      <c r="IOX1516" s="879"/>
      <c r="IOY1516" s="879"/>
      <c r="IOZ1516" s="879"/>
      <c r="IPA1516" s="879"/>
      <c r="IPB1516" s="879"/>
      <c r="IPC1516" s="879"/>
      <c r="IPD1516" s="879"/>
      <c r="IPE1516" s="879"/>
      <c r="IPF1516" s="879"/>
      <c r="IPG1516" s="879"/>
      <c r="IPH1516" s="879"/>
      <c r="IPI1516" s="879"/>
      <c r="IPJ1516" s="879"/>
      <c r="IPK1516" s="879"/>
      <c r="IPL1516" s="879"/>
      <c r="IPM1516" s="879"/>
      <c r="IPN1516" s="879"/>
      <c r="IPO1516" s="879"/>
      <c r="IPP1516" s="879"/>
      <c r="IPQ1516" s="879"/>
      <c r="IPR1516" s="879"/>
      <c r="IPS1516" s="879"/>
      <c r="IPT1516" s="879"/>
      <c r="IPU1516" s="879"/>
      <c r="IPV1516" s="879"/>
      <c r="IPW1516" s="879"/>
      <c r="IPX1516" s="879"/>
      <c r="IPY1516" s="879"/>
      <c r="IPZ1516" s="879"/>
      <c r="IQA1516" s="879"/>
      <c r="IQB1516" s="879"/>
      <c r="IQC1516" s="879"/>
      <c r="IQD1516" s="879"/>
      <c r="IQE1516" s="879"/>
      <c r="IQF1516" s="879"/>
      <c r="IQG1516" s="879"/>
      <c r="IQH1516" s="879"/>
      <c r="IQI1516" s="879"/>
      <c r="IQJ1516" s="879"/>
      <c r="IQK1516" s="879"/>
      <c r="IQL1516" s="879"/>
      <c r="IQM1516" s="879"/>
      <c r="IQN1516" s="879"/>
      <c r="IQO1516" s="879"/>
      <c r="IQP1516" s="879"/>
      <c r="IQQ1516" s="879"/>
      <c r="IQR1516" s="879"/>
      <c r="IQS1516" s="879"/>
      <c r="IQT1516" s="879"/>
      <c r="IQU1516" s="879"/>
      <c r="IQV1516" s="879"/>
      <c r="IQW1516" s="879"/>
      <c r="IQX1516" s="879"/>
      <c r="IQY1516" s="879"/>
      <c r="IQZ1516" s="879"/>
      <c r="IRA1516" s="879"/>
      <c r="IRB1516" s="879"/>
      <c r="IRC1516" s="879"/>
      <c r="IRD1516" s="879"/>
      <c r="IRE1516" s="879"/>
      <c r="IRF1516" s="879"/>
      <c r="IRG1516" s="879"/>
      <c r="IRH1516" s="879"/>
      <c r="IRI1516" s="879"/>
      <c r="IRJ1516" s="879"/>
      <c r="IRK1516" s="879"/>
      <c r="IRL1516" s="879"/>
      <c r="IRM1516" s="879"/>
      <c r="IRN1516" s="879"/>
      <c r="IRO1516" s="879"/>
      <c r="IRP1516" s="879"/>
      <c r="IRQ1516" s="879"/>
      <c r="IRR1516" s="879"/>
      <c r="IRS1516" s="879"/>
      <c r="IRT1516" s="879"/>
      <c r="IRU1516" s="879"/>
      <c r="IRV1516" s="879"/>
      <c r="IRW1516" s="879"/>
      <c r="IRX1516" s="879"/>
      <c r="IRY1516" s="879"/>
      <c r="IRZ1516" s="879"/>
      <c r="ISA1516" s="879"/>
      <c r="ISB1516" s="879"/>
      <c r="ISC1516" s="879"/>
      <c r="ISD1516" s="879"/>
      <c r="ISE1516" s="879"/>
      <c r="ISF1516" s="879"/>
      <c r="ISG1516" s="879"/>
      <c r="ISH1516" s="879"/>
      <c r="ISI1516" s="879"/>
      <c r="ISJ1516" s="879"/>
      <c r="ISK1516" s="879"/>
      <c r="ISL1516" s="879"/>
      <c r="ISM1516" s="879"/>
      <c r="ISN1516" s="879"/>
      <c r="ISO1516" s="879"/>
      <c r="ISP1516" s="879"/>
      <c r="ISQ1516" s="879"/>
      <c r="ISR1516" s="879"/>
      <c r="ISS1516" s="879"/>
      <c r="IST1516" s="879"/>
      <c r="ISU1516" s="879"/>
      <c r="ISV1516" s="879"/>
      <c r="ISW1516" s="879"/>
      <c r="ISX1516" s="879"/>
      <c r="ISY1516" s="879"/>
      <c r="ISZ1516" s="879"/>
      <c r="ITA1516" s="879"/>
      <c r="ITB1516" s="879"/>
      <c r="ITC1516" s="879"/>
      <c r="ITD1516" s="879"/>
      <c r="ITE1516" s="879"/>
      <c r="ITF1516" s="879"/>
      <c r="ITG1516" s="879"/>
      <c r="ITH1516" s="879"/>
      <c r="ITI1516" s="879"/>
      <c r="ITJ1516" s="879"/>
      <c r="ITK1516" s="879"/>
      <c r="ITL1516" s="879"/>
      <c r="ITM1516" s="879"/>
      <c r="ITN1516" s="879"/>
      <c r="ITO1516" s="879"/>
      <c r="ITP1516" s="879"/>
      <c r="ITQ1516" s="879"/>
      <c r="ITR1516" s="879"/>
      <c r="ITS1516" s="879"/>
      <c r="ITT1516" s="879"/>
      <c r="ITU1516" s="879"/>
      <c r="ITV1516" s="879"/>
      <c r="ITW1516" s="879"/>
      <c r="ITX1516" s="879"/>
      <c r="ITY1516" s="879"/>
      <c r="ITZ1516" s="879"/>
      <c r="IUA1516" s="879"/>
      <c r="IUB1516" s="879"/>
      <c r="IUC1516" s="879"/>
      <c r="IUD1516" s="879"/>
      <c r="IUE1516" s="879"/>
      <c r="IUF1516" s="879"/>
      <c r="IUG1516" s="879"/>
      <c r="IUH1516" s="879"/>
      <c r="IUI1516" s="879"/>
      <c r="IUJ1516" s="879"/>
      <c r="IUK1516" s="879"/>
      <c r="IUL1516" s="879"/>
      <c r="IUM1516" s="879"/>
      <c r="IUN1516" s="879"/>
      <c r="IUO1516" s="879"/>
      <c r="IUP1516" s="879"/>
      <c r="IUQ1516" s="879"/>
      <c r="IUR1516" s="879"/>
      <c r="IUS1516" s="879"/>
      <c r="IUT1516" s="879"/>
      <c r="IUU1516" s="879"/>
      <c r="IUV1516" s="879"/>
      <c r="IUW1516" s="879"/>
      <c r="IUX1516" s="879"/>
      <c r="IUY1516" s="879"/>
      <c r="IUZ1516" s="879"/>
      <c r="IVA1516" s="879"/>
      <c r="IVB1516" s="879"/>
      <c r="IVC1516" s="879"/>
      <c r="IVD1516" s="879"/>
      <c r="IVE1516" s="879"/>
      <c r="IVF1516" s="879"/>
      <c r="IVG1516" s="879"/>
      <c r="IVH1516" s="879"/>
      <c r="IVI1516" s="879"/>
      <c r="IVJ1516" s="879"/>
      <c r="IVK1516" s="879"/>
      <c r="IVL1516" s="879"/>
      <c r="IVM1516" s="879"/>
      <c r="IVN1516" s="879"/>
      <c r="IVO1516" s="879"/>
      <c r="IVP1516" s="879"/>
      <c r="IVQ1516" s="879"/>
      <c r="IVR1516" s="879"/>
      <c r="IVS1516" s="879"/>
      <c r="IVT1516" s="879"/>
      <c r="IVU1516" s="879"/>
      <c r="IVV1516" s="879"/>
      <c r="IVW1516" s="879"/>
      <c r="IVX1516" s="879"/>
      <c r="IVY1516" s="879"/>
      <c r="IVZ1516" s="879"/>
      <c r="IWA1516" s="879"/>
      <c r="IWB1516" s="879"/>
      <c r="IWC1516" s="879"/>
      <c r="IWD1516" s="879"/>
      <c r="IWE1516" s="879"/>
      <c r="IWF1516" s="879"/>
      <c r="IWG1516" s="879"/>
      <c r="IWH1516" s="879"/>
      <c r="IWI1516" s="879"/>
      <c r="IWJ1516" s="879"/>
      <c r="IWK1516" s="879"/>
      <c r="IWL1516" s="879"/>
      <c r="IWM1516" s="879"/>
      <c r="IWN1516" s="879"/>
      <c r="IWO1516" s="879"/>
      <c r="IWP1516" s="879"/>
      <c r="IWQ1516" s="879"/>
      <c r="IWR1516" s="879"/>
      <c r="IWS1516" s="879"/>
      <c r="IWT1516" s="879"/>
      <c r="IWU1516" s="879"/>
      <c r="IWV1516" s="879"/>
      <c r="IWW1516" s="879"/>
      <c r="IWX1516" s="879"/>
      <c r="IWY1516" s="879"/>
      <c r="IWZ1516" s="879"/>
      <c r="IXA1516" s="879"/>
      <c r="IXB1516" s="879"/>
      <c r="IXC1516" s="879"/>
      <c r="IXD1516" s="879"/>
      <c r="IXE1516" s="879"/>
      <c r="IXF1516" s="879"/>
      <c r="IXG1516" s="879"/>
      <c r="IXH1516" s="879"/>
      <c r="IXI1516" s="879"/>
      <c r="IXJ1516" s="879"/>
      <c r="IXK1516" s="879"/>
      <c r="IXL1516" s="879"/>
      <c r="IXM1516" s="879"/>
      <c r="IXN1516" s="879"/>
      <c r="IXO1516" s="879"/>
      <c r="IXP1516" s="879"/>
      <c r="IXQ1516" s="879"/>
      <c r="IXR1516" s="879"/>
      <c r="IXS1516" s="879"/>
      <c r="IXT1516" s="879"/>
      <c r="IXU1516" s="879"/>
      <c r="IXV1516" s="879"/>
      <c r="IXW1516" s="879"/>
      <c r="IXX1516" s="879"/>
      <c r="IXY1516" s="879"/>
      <c r="IXZ1516" s="879"/>
      <c r="IYA1516" s="879"/>
      <c r="IYB1516" s="879"/>
      <c r="IYC1516" s="879"/>
      <c r="IYD1516" s="879"/>
      <c r="IYE1516" s="879"/>
      <c r="IYF1516" s="879"/>
      <c r="IYG1516" s="879"/>
      <c r="IYH1516" s="879"/>
      <c r="IYI1516" s="879"/>
      <c r="IYJ1516" s="879"/>
      <c r="IYK1516" s="879"/>
      <c r="IYL1516" s="879"/>
      <c r="IYM1516" s="879"/>
      <c r="IYN1516" s="879"/>
      <c r="IYO1516" s="879"/>
      <c r="IYP1516" s="879"/>
      <c r="IYQ1516" s="879"/>
      <c r="IYR1516" s="879"/>
      <c r="IYS1516" s="879"/>
      <c r="IYT1516" s="879"/>
      <c r="IYU1516" s="879"/>
      <c r="IYV1516" s="879"/>
      <c r="IYW1516" s="879"/>
      <c r="IYX1516" s="879"/>
      <c r="IYY1516" s="879"/>
      <c r="IYZ1516" s="879"/>
      <c r="IZA1516" s="879"/>
      <c r="IZB1516" s="879"/>
      <c r="IZC1516" s="879"/>
      <c r="IZD1516" s="879"/>
      <c r="IZE1516" s="879"/>
      <c r="IZF1516" s="879"/>
      <c r="IZG1516" s="879"/>
      <c r="IZH1516" s="879"/>
      <c r="IZI1516" s="879"/>
      <c r="IZJ1516" s="879"/>
      <c r="IZK1516" s="879"/>
      <c r="IZL1516" s="879"/>
      <c r="IZM1516" s="879"/>
      <c r="IZN1516" s="879"/>
      <c r="IZO1516" s="879"/>
      <c r="IZP1516" s="879"/>
      <c r="IZQ1516" s="879"/>
      <c r="IZR1516" s="879"/>
      <c r="IZS1516" s="879"/>
      <c r="IZT1516" s="879"/>
      <c r="IZU1516" s="879"/>
      <c r="IZV1516" s="879"/>
      <c r="IZW1516" s="879"/>
      <c r="IZX1516" s="879"/>
      <c r="IZY1516" s="879"/>
      <c r="IZZ1516" s="879"/>
      <c r="JAA1516" s="879"/>
      <c r="JAB1516" s="879"/>
      <c r="JAC1516" s="879"/>
      <c r="JAD1516" s="879"/>
      <c r="JAE1516" s="879"/>
      <c r="JAF1516" s="879"/>
      <c r="JAG1516" s="879"/>
      <c r="JAH1516" s="879"/>
      <c r="JAI1516" s="879"/>
      <c r="JAJ1516" s="879"/>
      <c r="JAK1516" s="879"/>
      <c r="JAL1516" s="879"/>
      <c r="JAM1516" s="879"/>
      <c r="JAN1516" s="879"/>
      <c r="JAO1516" s="879"/>
      <c r="JAP1516" s="879"/>
      <c r="JAQ1516" s="879"/>
      <c r="JAR1516" s="879"/>
      <c r="JAS1516" s="879"/>
      <c r="JAT1516" s="879"/>
      <c r="JAU1516" s="879"/>
      <c r="JAV1516" s="879"/>
      <c r="JAW1516" s="879"/>
      <c r="JAX1516" s="879"/>
      <c r="JAY1516" s="879"/>
      <c r="JAZ1516" s="879"/>
      <c r="JBA1516" s="879"/>
      <c r="JBB1516" s="879"/>
      <c r="JBC1516" s="879"/>
      <c r="JBD1516" s="879"/>
      <c r="JBE1516" s="879"/>
      <c r="JBF1516" s="879"/>
      <c r="JBG1516" s="879"/>
      <c r="JBH1516" s="879"/>
      <c r="JBI1516" s="879"/>
      <c r="JBJ1516" s="879"/>
      <c r="JBK1516" s="879"/>
      <c r="JBL1516" s="879"/>
      <c r="JBM1516" s="879"/>
      <c r="JBN1516" s="879"/>
      <c r="JBO1516" s="879"/>
      <c r="JBP1516" s="879"/>
      <c r="JBQ1516" s="879"/>
      <c r="JBR1516" s="879"/>
      <c r="JBS1516" s="879"/>
      <c r="JBT1516" s="879"/>
      <c r="JBU1516" s="879"/>
      <c r="JBV1516" s="879"/>
      <c r="JBW1516" s="879"/>
      <c r="JBX1516" s="879"/>
      <c r="JBY1516" s="879"/>
      <c r="JBZ1516" s="879"/>
      <c r="JCA1516" s="879"/>
      <c r="JCB1516" s="879"/>
      <c r="JCC1516" s="879"/>
      <c r="JCD1516" s="879"/>
      <c r="JCE1516" s="879"/>
      <c r="JCF1516" s="879"/>
      <c r="JCG1516" s="879"/>
      <c r="JCH1516" s="879"/>
      <c r="JCI1516" s="879"/>
      <c r="JCJ1516" s="879"/>
      <c r="JCK1516" s="879"/>
      <c r="JCL1516" s="879"/>
      <c r="JCM1516" s="879"/>
      <c r="JCN1516" s="879"/>
      <c r="JCO1516" s="879"/>
      <c r="JCP1516" s="879"/>
      <c r="JCQ1516" s="879"/>
      <c r="JCR1516" s="879"/>
      <c r="JCS1516" s="879"/>
      <c r="JCT1516" s="879"/>
      <c r="JCU1516" s="879"/>
      <c r="JCV1516" s="879"/>
      <c r="JCW1516" s="879"/>
      <c r="JCX1516" s="879"/>
      <c r="JCY1516" s="879"/>
      <c r="JCZ1516" s="879"/>
      <c r="JDA1516" s="879"/>
      <c r="JDB1516" s="879"/>
      <c r="JDC1516" s="879"/>
      <c r="JDD1516" s="879"/>
      <c r="JDE1516" s="879"/>
      <c r="JDF1516" s="879"/>
      <c r="JDG1516" s="879"/>
      <c r="JDH1516" s="879"/>
      <c r="JDI1516" s="879"/>
      <c r="JDJ1516" s="879"/>
      <c r="JDK1516" s="879"/>
      <c r="JDL1516" s="879"/>
      <c r="JDM1516" s="879"/>
      <c r="JDN1516" s="879"/>
      <c r="JDO1516" s="879"/>
      <c r="JDP1516" s="879"/>
      <c r="JDQ1516" s="879"/>
      <c r="JDR1516" s="879"/>
      <c r="JDS1516" s="879"/>
      <c r="JDT1516" s="879"/>
      <c r="JDU1516" s="879"/>
      <c r="JDV1516" s="879"/>
      <c r="JDW1516" s="879"/>
      <c r="JDX1516" s="879"/>
      <c r="JDY1516" s="879"/>
      <c r="JDZ1516" s="879"/>
      <c r="JEA1516" s="879"/>
      <c r="JEB1516" s="879"/>
      <c r="JEC1516" s="879"/>
      <c r="JED1516" s="879"/>
      <c r="JEE1516" s="879"/>
      <c r="JEF1516" s="879"/>
      <c r="JEG1516" s="879"/>
      <c r="JEH1516" s="879"/>
      <c r="JEI1516" s="879"/>
      <c r="JEJ1516" s="879"/>
      <c r="JEK1516" s="879"/>
      <c r="JEL1516" s="879"/>
      <c r="JEM1516" s="879"/>
      <c r="JEN1516" s="879"/>
      <c r="JEO1516" s="879"/>
      <c r="JEP1516" s="879"/>
      <c r="JEQ1516" s="879"/>
      <c r="JER1516" s="879"/>
      <c r="JES1516" s="879"/>
      <c r="JET1516" s="879"/>
      <c r="JEU1516" s="879"/>
      <c r="JEV1516" s="879"/>
      <c r="JEW1516" s="879"/>
      <c r="JEX1516" s="879"/>
      <c r="JEY1516" s="879"/>
      <c r="JEZ1516" s="879"/>
      <c r="JFA1516" s="879"/>
      <c r="JFB1516" s="879"/>
      <c r="JFC1516" s="879"/>
      <c r="JFD1516" s="879"/>
      <c r="JFE1516" s="879"/>
      <c r="JFF1516" s="879"/>
      <c r="JFG1516" s="879"/>
      <c r="JFH1516" s="879"/>
      <c r="JFI1516" s="879"/>
      <c r="JFJ1516" s="879"/>
      <c r="JFK1516" s="879"/>
      <c r="JFL1516" s="879"/>
      <c r="JFM1516" s="879"/>
      <c r="JFN1516" s="879"/>
      <c r="JFO1516" s="879"/>
      <c r="JFP1516" s="879"/>
      <c r="JFQ1516" s="879"/>
      <c r="JFR1516" s="879"/>
      <c r="JFS1516" s="879"/>
      <c r="JFT1516" s="879"/>
      <c r="JFU1516" s="879"/>
      <c r="JFV1516" s="879"/>
      <c r="JFW1516" s="879"/>
      <c r="JFX1516" s="879"/>
      <c r="JFY1516" s="879"/>
      <c r="JFZ1516" s="879"/>
      <c r="JGA1516" s="879"/>
      <c r="JGB1516" s="879"/>
      <c r="JGC1516" s="879"/>
      <c r="JGD1516" s="879"/>
      <c r="JGE1516" s="879"/>
      <c r="JGF1516" s="879"/>
      <c r="JGG1516" s="879"/>
      <c r="JGH1516" s="879"/>
      <c r="JGI1516" s="879"/>
      <c r="JGJ1516" s="879"/>
      <c r="JGK1516" s="879"/>
      <c r="JGL1516" s="879"/>
      <c r="JGM1516" s="879"/>
      <c r="JGN1516" s="879"/>
      <c r="JGO1516" s="879"/>
      <c r="JGP1516" s="879"/>
      <c r="JGQ1516" s="879"/>
      <c r="JGR1516" s="879"/>
      <c r="JGS1516" s="879"/>
      <c r="JGT1516" s="879"/>
      <c r="JGU1516" s="879"/>
      <c r="JGV1516" s="879"/>
      <c r="JGW1516" s="879"/>
      <c r="JGX1516" s="879"/>
      <c r="JGY1516" s="879"/>
      <c r="JGZ1516" s="879"/>
      <c r="JHA1516" s="879"/>
      <c r="JHB1516" s="879"/>
      <c r="JHC1516" s="879"/>
      <c r="JHD1516" s="879"/>
      <c r="JHE1516" s="879"/>
      <c r="JHF1516" s="879"/>
      <c r="JHG1516" s="879"/>
      <c r="JHH1516" s="879"/>
      <c r="JHI1516" s="879"/>
      <c r="JHJ1516" s="879"/>
      <c r="JHK1516" s="879"/>
      <c r="JHL1516" s="879"/>
      <c r="JHM1516" s="879"/>
      <c r="JHN1516" s="879"/>
      <c r="JHO1516" s="879"/>
      <c r="JHP1516" s="879"/>
      <c r="JHQ1516" s="879"/>
      <c r="JHR1516" s="879"/>
      <c r="JHS1516" s="879"/>
      <c r="JHT1516" s="879"/>
      <c r="JHU1516" s="879"/>
      <c r="JHV1516" s="879"/>
      <c r="JHW1516" s="879"/>
      <c r="JHX1516" s="879"/>
      <c r="JHY1516" s="879"/>
      <c r="JHZ1516" s="879"/>
      <c r="JIA1516" s="879"/>
      <c r="JIB1516" s="879"/>
      <c r="JIC1516" s="879"/>
      <c r="JID1516" s="879"/>
      <c r="JIE1516" s="879"/>
      <c r="JIF1516" s="879"/>
      <c r="JIG1516" s="879"/>
      <c r="JIH1516" s="879"/>
      <c r="JII1516" s="879"/>
      <c r="JIJ1516" s="879"/>
      <c r="JIK1516" s="879"/>
      <c r="JIL1516" s="879"/>
      <c r="JIM1516" s="879"/>
      <c r="JIN1516" s="879"/>
      <c r="JIO1516" s="879"/>
      <c r="JIP1516" s="879"/>
      <c r="JIQ1516" s="879"/>
      <c r="JIR1516" s="879"/>
      <c r="JIS1516" s="879"/>
      <c r="JIT1516" s="879"/>
      <c r="JIU1516" s="879"/>
      <c r="JIV1516" s="879"/>
      <c r="JIW1516" s="879"/>
      <c r="JIX1516" s="879"/>
      <c r="JIY1516" s="879"/>
      <c r="JIZ1516" s="879"/>
      <c r="JJA1516" s="879"/>
      <c r="JJB1516" s="879"/>
      <c r="JJC1516" s="879"/>
      <c r="JJD1516" s="879"/>
      <c r="JJE1516" s="879"/>
      <c r="JJF1516" s="879"/>
      <c r="JJG1516" s="879"/>
      <c r="JJH1516" s="879"/>
      <c r="JJI1516" s="879"/>
      <c r="JJJ1516" s="879"/>
      <c r="JJK1516" s="879"/>
      <c r="JJL1516" s="879"/>
      <c r="JJM1516" s="879"/>
      <c r="JJN1516" s="879"/>
      <c r="JJO1516" s="879"/>
      <c r="JJP1516" s="879"/>
      <c r="JJQ1516" s="879"/>
      <c r="JJR1516" s="879"/>
      <c r="JJS1516" s="879"/>
      <c r="JJT1516" s="879"/>
      <c r="JJU1516" s="879"/>
      <c r="JJV1516" s="879"/>
      <c r="JJW1516" s="879"/>
      <c r="JJX1516" s="879"/>
      <c r="JJY1516" s="879"/>
      <c r="JJZ1516" s="879"/>
      <c r="JKA1516" s="879"/>
      <c r="JKB1516" s="879"/>
      <c r="JKC1516" s="879"/>
      <c r="JKD1516" s="879"/>
      <c r="JKE1516" s="879"/>
      <c r="JKF1516" s="879"/>
      <c r="JKG1516" s="879"/>
      <c r="JKH1516" s="879"/>
      <c r="JKI1516" s="879"/>
      <c r="JKJ1516" s="879"/>
      <c r="JKK1516" s="879"/>
      <c r="JKL1516" s="879"/>
      <c r="JKM1516" s="879"/>
      <c r="JKN1516" s="879"/>
      <c r="JKO1516" s="879"/>
      <c r="JKP1516" s="879"/>
      <c r="JKQ1516" s="879"/>
      <c r="JKR1516" s="879"/>
      <c r="JKS1516" s="879"/>
      <c r="JKT1516" s="879"/>
      <c r="JKU1516" s="879"/>
      <c r="JKV1516" s="879"/>
      <c r="JKW1516" s="879"/>
      <c r="JKX1516" s="879"/>
      <c r="JKY1516" s="879"/>
      <c r="JKZ1516" s="879"/>
      <c r="JLA1516" s="879"/>
      <c r="JLB1516" s="879"/>
      <c r="JLC1516" s="879"/>
      <c r="JLD1516" s="879"/>
      <c r="JLE1516" s="879"/>
      <c r="JLF1516" s="879"/>
      <c r="JLG1516" s="879"/>
      <c r="JLH1516" s="879"/>
      <c r="JLI1516" s="879"/>
      <c r="JLJ1516" s="879"/>
      <c r="JLK1516" s="879"/>
      <c r="JLL1516" s="879"/>
      <c r="JLM1516" s="879"/>
      <c r="JLN1516" s="879"/>
      <c r="JLO1516" s="879"/>
      <c r="JLP1516" s="879"/>
      <c r="JLQ1516" s="879"/>
      <c r="JLR1516" s="879"/>
      <c r="JLS1516" s="879"/>
      <c r="JLT1516" s="879"/>
      <c r="JLU1516" s="879"/>
      <c r="JLV1516" s="879"/>
      <c r="JLW1516" s="879"/>
      <c r="JLX1516" s="879"/>
      <c r="JLY1516" s="879"/>
      <c r="JLZ1516" s="879"/>
      <c r="JMA1516" s="879"/>
      <c r="JMB1516" s="879"/>
      <c r="JMC1516" s="879"/>
      <c r="JMD1516" s="879"/>
      <c r="JME1516" s="879"/>
      <c r="JMF1516" s="879"/>
      <c r="JMG1516" s="879"/>
      <c r="JMH1516" s="879"/>
      <c r="JMI1516" s="879"/>
      <c r="JMJ1516" s="879"/>
      <c r="JMK1516" s="879"/>
      <c r="JML1516" s="879"/>
      <c r="JMM1516" s="879"/>
      <c r="JMN1516" s="879"/>
      <c r="JMO1516" s="879"/>
      <c r="JMP1516" s="879"/>
      <c r="JMQ1516" s="879"/>
      <c r="JMR1516" s="879"/>
      <c r="JMS1516" s="879"/>
      <c r="JMT1516" s="879"/>
      <c r="JMU1516" s="879"/>
      <c r="JMV1516" s="879"/>
      <c r="JMW1516" s="879"/>
      <c r="JMX1516" s="879"/>
      <c r="JMY1516" s="879"/>
      <c r="JMZ1516" s="879"/>
      <c r="JNA1516" s="879"/>
      <c r="JNB1516" s="879"/>
      <c r="JNC1516" s="879"/>
      <c r="JND1516" s="879"/>
      <c r="JNE1516" s="879"/>
      <c r="JNF1516" s="879"/>
      <c r="JNG1516" s="879"/>
      <c r="JNH1516" s="879"/>
      <c r="JNI1516" s="879"/>
      <c r="JNJ1516" s="879"/>
      <c r="JNK1516" s="879"/>
      <c r="JNL1516" s="879"/>
      <c r="JNM1516" s="879"/>
      <c r="JNN1516" s="879"/>
      <c r="JNO1516" s="879"/>
      <c r="JNP1516" s="879"/>
      <c r="JNQ1516" s="879"/>
      <c r="JNR1516" s="879"/>
      <c r="JNS1516" s="879"/>
      <c r="JNT1516" s="879"/>
      <c r="JNU1516" s="879"/>
      <c r="JNV1516" s="879"/>
      <c r="JNW1516" s="879"/>
      <c r="JNX1516" s="879"/>
      <c r="JNY1516" s="879"/>
      <c r="JNZ1516" s="879"/>
      <c r="JOA1516" s="879"/>
      <c r="JOB1516" s="879"/>
      <c r="JOC1516" s="879"/>
      <c r="JOD1516" s="879"/>
      <c r="JOE1516" s="879"/>
      <c r="JOF1516" s="879"/>
      <c r="JOG1516" s="879"/>
      <c r="JOH1516" s="879"/>
      <c r="JOI1516" s="879"/>
      <c r="JOJ1516" s="879"/>
      <c r="JOK1516" s="879"/>
      <c r="JOL1516" s="879"/>
      <c r="JOM1516" s="879"/>
      <c r="JON1516" s="879"/>
      <c r="JOO1516" s="879"/>
      <c r="JOP1516" s="879"/>
      <c r="JOQ1516" s="879"/>
      <c r="JOR1516" s="879"/>
      <c r="JOS1516" s="879"/>
      <c r="JOT1516" s="879"/>
      <c r="JOU1516" s="879"/>
      <c r="JOV1516" s="879"/>
      <c r="JOW1516" s="879"/>
      <c r="JOX1516" s="879"/>
      <c r="JOY1516" s="879"/>
      <c r="JOZ1516" s="879"/>
      <c r="JPA1516" s="879"/>
      <c r="JPB1516" s="879"/>
      <c r="JPC1516" s="879"/>
      <c r="JPD1516" s="879"/>
      <c r="JPE1516" s="879"/>
      <c r="JPF1516" s="879"/>
      <c r="JPG1516" s="879"/>
      <c r="JPH1516" s="879"/>
      <c r="JPI1516" s="879"/>
      <c r="JPJ1516" s="879"/>
      <c r="JPK1516" s="879"/>
      <c r="JPL1516" s="879"/>
      <c r="JPM1516" s="879"/>
      <c r="JPN1516" s="879"/>
      <c r="JPO1516" s="879"/>
      <c r="JPP1516" s="879"/>
      <c r="JPQ1516" s="879"/>
      <c r="JPR1516" s="879"/>
      <c r="JPS1516" s="879"/>
      <c r="JPT1516" s="879"/>
      <c r="JPU1516" s="879"/>
      <c r="JPV1516" s="879"/>
      <c r="JPW1516" s="879"/>
      <c r="JPX1516" s="879"/>
      <c r="JPY1516" s="879"/>
      <c r="JPZ1516" s="879"/>
      <c r="JQA1516" s="879"/>
      <c r="JQB1516" s="879"/>
      <c r="JQC1516" s="879"/>
      <c r="JQD1516" s="879"/>
      <c r="JQE1516" s="879"/>
      <c r="JQF1516" s="879"/>
      <c r="JQG1516" s="879"/>
      <c r="JQH1516" s="879"/>
      <c r="JQI1516" s="879"/>
      <c r="JQJ1516" s="879"/>
      <c r="JQK1516" s="879"/>
      <c r="JQL1516" s="879"/>
      <c r="JQM1516" s="879"/>
      <c r="JQN1516" s="879"/>
      <c r="JQO1516" s="879"/>
      <c r="JQP1516" s="879"/>
      <c r="JQQ1516" s="879"/>
      <c r="JQR1516" s="879"/>
      <c r="JQS1516" s="879"/>
      <c r="JQT1516" s="879"/>
      <c r="JQU1516" s="879"/>
      <c r="JQV1516" s="879"/>
      <c r="JQW1516" s="879"/>
      <c r="JQX1516" s="879"/>
      <c r="JQY1516" s="879"/>
      <c r="JQZ1516" s="879"/>
      <c r="JRA1516" s="879"/>
      <c r="JRB1516" s="879"/>
      <c r="JRC1516" s="879"/>
      <c r="JRD1516" s="879"/>
      <c r="JRE1516" s="879"/>
      <c r="JRF1516" s="879"/>
      <c r="JRG1516" s="879"/>
      <c r="JRH1516" s="879"/>
      <c r="JRI1516" s="879"/>
      <c r="JRJ1516" s="879"/>
      <c r="JRK1516" s="879"/>
      <c r="JRL1516" s="879"/>
      <c r="JRM1516" s="879"/>
      <c r="JRN1516" s="879"/>
      <c r="JRO1516" s="879"/>
      <c r="JRP1516" s="879"/>
      <c r="JRQ1516" s="879"/>
      <c r="JRR1516" s="879"/>
      <c r="JRS1516" s="879"/>
      <c r="JRT1516" s="879"/>
      <c r="JRU1516" s="879"/>
      <c r="JRV1516" s="879"/>
      <c r="JRW1516" s="879"/>
      <c r="JRX1516" s="879"/>
      <c r="JRY1516" s="879"/>
      <c r="JRZ1516" s="879"/>
      <c r="JSA1516" s="879"/>
      <c r="JSB1516" s="879"/>
      <c r="JSC1516" s="879"/>
      <c r="JSD1516" s="879"/>
      <c r="JSE1516" s="879"/>
      <c r="JSF1516" s="879"/>
      <c r="JSG1516" s="879"/>
      <c r="JSH1516" s="879"/>
      <c r="JSI1516" s="879"/>
      <c r="JSJ1516" s="879"/>
      <c r="JSK1516" s="879"/>
      <c r="JSL1516" s="879"/>
      <c r="JSM1516" s="879"/>
      <c r="JSN1516" s="879"/>
      <c r="JSO1516" s="879"/>
      <c r="JSP1516" s="879"/>
      <c r="JSQ1516" s="879"/>
      <c r="JSR1516" s="879"/>
      <c r="JSS1516" s="879"/>
      <c r="JST1516" s="879"/>
      <c r="JSU1516" s="879"/>
      <c r="JSV1516" s="879"/>
      <c r="JSW1516" s="879"/>
      <c r="JSX1516" s="879"/>
      <c r="JSY1516" s="879"/>
      <c r="JSZ1516" s="879"/>
      <c r="JTA1516" s="879"/>
      <c r="JTB1516" s="879"/>
      <c r="JTC1516" s="879"/>
      <c r="JTD1516" s="879"/>
      <c r="JTE1516" s="879"/>
      <c r="JTF1516" s="879"/>
      <c r="JTG1516" s="879"/>
      <c r="JTH1516" s="879"/>
      <c r="JTI1516" s="879"/>
      <c r="JTJ1516" s="879"/>
      <c r="JTK1516" s="879"/>
      <c r="JTL1516" s="879"/>
      <c r="JTM1516" s="879"/>
      <c r="JTN1516" s="879"/>
      <c r="JTO1516" s="879"/>
      <c r="JTP1516" s="879"/>
      <c r="JTQ1516" s="879"/>
      <c r="JTR1516" s="879"/>
      <c r="JTS1516" s="879"/>
      <c r="JTT1516" s="879"/>
      <c r="JTU1516" s="879"/>
      <c r="JTV1516" s="879"/>
      <c r="JTW1516" s="879"/>
      <c r="JTX1516" s="879"/>
      <c r="JTY1516" s="879"/>
      <c r="JTZ1516" s="879"/>
      <c r="JUA1516" s="879"/>
      <c r="JUB1516" s="879"/>
      <c r="JUC1516" s="879"/>
      <c r="JUD1516" s="879"/>
      <c r="JUE1516" s="879"/>
      <c r="JUF1516" s="879"/>
      <c r="JUG1516" s="879"/>
      <c r="JUH1516" s="879"/>
      <c r="JUI1516" s="879"/>
      <c r="JUJ1516" s="879"/>
      <c r="JUK1516" s="879"/>
      <c r="JUL1516" s="879"/>
      <c r="JUM1516" s="879"/>
      <c r="JUN1516" s="879"/>
      <c r="JUO1516" s="879"/>
      <c r="JUP1516" s="879"/>
      <c r="JUQ1516" s="879"/>
      <c r="JUR1516" s="879"/>
      <c r="JUS1516" s="879"/>
      <c r="JUT1516" s="879"/>
      <c r="JUU1516" s="879"/>
      <c r="JUV1516" s="879"/>
      <c r="JUW1516" s="879"/>
      <c r="JUX1516" s="879"/>
      <c r="JUY1516" s="879"/>
      <c r="JUZ1516" s="879"/>
      <c r="JVA1516" s="879"/>
      <c r="JVB1516" s="879"/>
      <c r="JVC1516" s="879"/>
      <c r="JVD1516" s="879"/>
      <c r="JVE1516" s="879"/>
      <c r="JVF1516" s="879"/>
      <c r="JVG1516" s="879"/>
      <c r="JVH1516" s="879"/>
      <c r="JVI1516" s="879"/>
      <c r="JVJ1516" s="879"/>
      <c r="JVK1516" s="879"/>
      <c r="JVL1516" s="879"/>
      <c r="JVM1516" s="879"/>
      <c r="JVN1516" s="879"/>
      <c r="JVO1516" s="879"/>
      <c r="JVP1516" s="879"/>
      <c r="JVQ1516" s="879"/>
      <c r="JVR1516" s="879"/>
      <c r="JVS1516" s="879"/>
      <c r="JVT1516" s="879"/>
      <c r="JVU1516" s="879"/>
      <c r="JVV1516" s="879"/>
      <c r="JVW1516" s="879"/>
      <c r="JVX1516" s="879"/>
      <c r="JVY1516" s="879"/>
      <c r="JVZ1516" s="879"/>
      <c r="JWA1516" s="879"/>
      <c r="JWB1516" s="879"/>
      <c r="JWC1516" s="879"/>
      <c r="JWD1516" s="879"/>
      <c r="JWE1516" s="879"/>
      <c r="JWF1516" s="879"/>
      <c r="JWG1516" s="879"/>
      <c r="JWH1516" s="879"/>
      <c r="JWI1516" s="879"/>
      <c r="JWJ1516" s="879"/>
      <c r="JWK1516" s="879"/>
      <c r="JWL1516" s="879"/>
      <c r="JWM1516" s="879"/>
      <c r="JWN1516" s="879"/>
      <c r="JWO1516" s="879"/>
      <c r="JWP1516" s="879"/>
      <c r="JWQ1516" s="879"/>
      <c r="JWR1516" s="879"/>
      <c r="JWS1516" s="879"/>
      <c r="JWT1516" s="879"/>
      <c r="JWU1516" s="879"/>
      <c r="JWV1516" s="879"/>
      <c r="JWW1516" s="879"/>
      <c r="JWX1516" s="879"/>
      <c r="JWY1516" s="879"/>
      <c r="JWZ1516" s="879"/>
      <c r="JXA1516" s="879"/>
      <c r="JXB1516" s="879"/>
      <c r="JXC1516" s="879"/>
      <c r="JXD1516" s="879"/>
      <c r="JXE1516" s="879"/>
      <c r="JXF1516" s="879"/>
      <c r="JXG1516" s="879"/>
      <c r="JXH1516" s="879"/>
      <c r="JXI1516" s="879"/>
      <c r="JXJ1516" s="879"/>
      <c r="JXK1516" s="879"/>
      <c r="JXL1516" s="879"/>
      <c r="JXM1516" s="879"/>
      <c r="JXN1516" s="879"/>
      <c r="JXO1516" s="879"/>
      <c r="JXP1516" s="879"/>
      <c r="JXQ1516" s="879"/>
      <c r="JXR1516" s="879"/>
      <c r="JXS1516" s="879"/>
      <c r="JXT1516" s="879"/>
      <c r="JXU1516" s="879"/>
      <c r="JXV1516" s="879"/>
      <c r="JXW1516" s="879"/>
      <c r="JXX1516" s="879"/>
      <c r="JXY1516" s="879"/>
      <c r="JXZ1516" s="879"/>
      <c r="JYA1516" s="879"/>
      <c r="JYB1516" s="879"/>
      <c r="JYC1516" s="879"/>
      <c r="JYD1516" s="879"/>
      <c r="JYE1516" s="879"/>
      <c r="JYF1516" s="879"/>
      <c r="JYG1516" s="879"/>
      <c r="JYH1516" s="879"/>
      <c r="JYI1516" s="879"/>
      <c r="JYJ1516" s="879"/>
      <c r="JYK1516" s="879"/>
      <c r="JYL1516" s="879"/>
      <c r="JYM1516" s="879"/>
      <c r="JYN1516" s="879"/>
      <c r="JYO1516" s="879"/>
      <c r="JYP1516" s="879"/>
      <c r="JYQ1516" s="879"/>
      <c r="JYR1516" s="879"/>
      <c r="JYS1516" s="879"/>
      <c r="JYT1516" s="879"/>
      <c r="JYU1516" s="879"/>
      <c r="JYV1516" s="879"/>
      <c r="JYW1516" s="879"/>
      <c r="JYX1516" s="879"/>
      <c r="JYY1516" s="879"/>
      <c r="JYZ1516" s="879"/>
      <c r="JZA1516" s="879"/>
      <c r="JZB1516" s="879"/>
      <c r="JZC1516" s="879"/>
      <c r="JZD1516" s="879"/>
      <c r="JZE1516" s="879"/>
      <c r="JZF1516" s="879"/>
      <c r="JZG1516" s="879"/>
      <c r="JZH1516" s="879"/>
      <c r="JZI1516" s="879"/>
      <c r="JZJ1516" s="879"/>
      <c r="JZK1516" s="879"/>
      <c r="JZL1516" s="879"/>
      <c r="JZM1516" s="879"/>
      <c r="JZN1516" s="879"/>
      <c r="JZO1516" s="879"/>
      <c r="JZP1516" s="879"/>
      <c r="JZQ1516" s="879"/>
      <c r="JZR1516" s="879"/>
      <c r="JZS1516" s="879"/>
      <c r="JZT1516" s="879"/>
      <c r="JZU1516" s="879"/>
      <c r="JZV1516" s="879"/>
      <c r="JZW1516" s="879"/>
      <c r="JZX1516" s="879"/>
      <c r="JZY1516" s="879"/>
      <c r="JZZ1516" s="879"/>
      <c r="KAA1516" s="879"/>
      <c r="KAB1516" s="879"/>
      <c r="KAC1516" s="879"/>
      <c r="KAD1516" s="879"/>
      <c r="KAE1516" s="879"/>
      <c r="KAF1516" s="879"/>
      <c r="KAG1516" s="879"/>
      <c r="KAH1516" s="879"/>
      <c r="KAI1516" s="879"/>
      <c r="KAJ1516" s="879"/>
      <c r="KAK1516" s="879"/>
      <c r="KAL1516" s="879"/>
      <c r="KAM1516" s="879"/>
      <c r="KAN1516" s="879"/>
      <c r="KAO1516" s="879"/>
      <c r="KAP1516" s="879"/>
      <c r="KAQ1516" s="879"/>
      <c r="KAR1516" s="879"/>
      <c r="KAS1516" s="879"/>
      <c r="KAT1516" s="879"/>
      <c r="KAU1516" s="879"/>
      <c r="KAV1516" s="879"/>
      <c r="KAW1516" s="879"/>
      <c r="KAX1516" s="879"/>
      <c r="KAY1516" s="879"/>
      <c r="KAZ1516" s="879"/>
      <c r="KBA1516" s="879"/>
      <c r="KBB1516" s="879"/>
      <c r="KBC1516" s="879"/>
      <c r="KBD1516" s="879"/>
      <c r="KBE1516" s="879"/>
      <c r="KBF1516" s="879"/>
      <c r="KBG1516" s="879"/>
      <c r="KBH1516" s="879"/>
      <c r="KBI1516" s="879"/>
      <c r="KBJ1516" s="879"/>
      <c r="KBK1516" s="879"/>
      <c r="KBL1516" s="879"/>
      <c r="KBM1516" s="879"/>
      <c r="KBN1516" s="879"/>
      <c r="KBO1516" s="879"/>
      <c r="KBP1516" s="879"/>
      <c r="KBQ1516" s="879"/>
      <c r="KBR1516" s="879"/>
      <c r="KBS1516" s="879"/>
      <c r="KBT1516" s="879"/>
      <c r="KBU1516" s="879"/>
      <c r="KBV1516" s="879"/>
      <c r="KBW1516" s="879"/>
      <c r="KBX1516" s="879"/>
      <c r="KBY1516" s="879"/>
      <c r="KBZ1516" s="879"/>
      <c r="KCA1516" s="879"/>
      <c r="KCB1516" s="879"/>
      <c r="KCC1516" s="879"/>
      <c r="KCD1516" s="879"/>
      <c r="KCE1516" s="879"/>
      <c r="KCF1516" s="879"/>
      <c r="KCG1516" s="879"/>
      <c r="KCH1516" s="879"/>
      <c r="KCI1516" s="879"/>
      <c r="KCJ1516" s="879"/>
      <c r="KCK1516" s="879"/>
      <c r="KCL1516" s="879"/>
      <c r="KCM1516" s="879"/>
      <c r="KCN1516" s="879"/>
      <c r="KCO1516" s="879"/>
      <c r="KCP1516" s="879"/>
      <c r="KCQ1516" s="879"/>
      <c r="KCR1516" s="879"/>
      <c r="KCS1516" s="879"/>
      <c r="KCT1516" s="879"/>
      <c r="KCU1516" s="879"/>
      <c r="KCV1516" s="879"/>
      <c r="KCW1516" s="879"/>
      <c r="KCX1516" s="879"/>
      <c r="KCY1516" s="879"/>
      <c r="KCZ1516" s="879"/>
      <c r="KDA1516" s="879"/>
      <c r="KDB1516" s="879"/>
      <c r="KDC1516" s="879"/>
      <c r="KDD1516" s="879"/>
      <c r="KDE1516" s="879"/>
      <c r="KDF1516" s="879"/>
      <c r="KDG1516" s="879"/>
      <c r="KDH1516" s="879"/>
      <c r="KDI1516" s="879"/>
      <c r="KDJ1516" s="879"/>
      <c r="KDK1516" s="879"/>
      <c r="KDL1516" s="879"/>
      <c r="KDM1516" s="879"/>
      <c r="KDN1516" s="879"/>
      <c r="KDO1516" s="879"/>
      <c r="KDP1516" s="879"/>
      <c r="KDQ1516" s="879"/>
      <c r="KDR1516" s="879"/>
      <c r="KDS1516" s="879"/>
      <c r="KDT1516" s="879"/>
      <c r="KDU1516" s="879"/>
      <c r="KDV1516" s="879"/>
      <c r="KDW1516" s="879"/>
      <c r="KDX1516" s="879"/>
      <c r="KDY1516" s="879"/>
      <c r="KDZ1516" s="879"/>
      <c r="KEA1516" s="879"/>
      <c r="KEB1516" s="879"/>
      <c r="KEC1516" s="879"/>
      <c r="KED1516" s="879"/>
      <c r="KEE1516" s="879"/>
      <c r="KEF1516" s="879"/>
      <c r="KEG1516" s="879"/>
      <c r="KEH1516" s="879"/>
      <c r="KEI1516" s="879"/>
      <c r="KEJ1516" s="879"/>
      <c r="KEK1516" s="879"/>
      <c r="KEL1516" s="879"/>
      <c r="KEM1516" s="879"/>
      <c r="KEN1516" s="879"/>
      <c r="KEO1516" s="879"/>
      <c r="KEP1516" s="879"/>
      <c r="KEQ1516" s="879"/>
      <c r="KER1516" s="879"/>
      <c r="KES1516" s="879"/>
      <c r="KET1516" s="879"/>
      <c r="KEU1516" s="879"/>
      <c r="KEV1516" s="879"/>
      <c r="KEW1516" s="879"/>
      <c r="KEX1516" s="879"/>
      <c r="KEY1516" s="879"/>
      <c r="KEZ1516" s="879"/>
      <c r="KFA1516" s="879"/>
      <c r="KFB1516" s="879"/>
      <c r="KFC1516" s="879"/>
      <c r="KFD1516" s="879"/>
      <c r="KFE1516" s="879"/>
      <c r="KFF1516" s="879"/>
      <c r="KFG1516" s="879"/>
      <c r="KFH1516" s="879"/>
      <c r="KFI1516" s="879"/>
      <c r="KFJ1516" s="879"/>
      <c r="KFK1516" s="879"/>
      <c r="KFL1516" s="879"/>
      <c r="KFM1516" s="879"/>
      <c r="KFN1516" s="879"/>
      <c r="KFO1516" s="879"/>
      <c r="KFP1516" s="879"/>
      <c r="KFQ1516" s="879"/>
      <c r="KFR1516" s="879"/>
      <c r="KFS1516" s="879"/>
      <c r="KFT1516" s="879"/>
      <c r="KFU1516" s="879"/>
      <c r="KFV1516" s="879"/>
      <c r="KFW1516" s="879"/>
      <c r="KFX1516" s="879"/>
      <c r="KFY1516" s="879"/>
      <c r="KFZ1516" s="879"/>
      <c r="KGA1516" s="879"/>
      <c r="KGB1516" s="879"/>
      <c r="KGC1516" s="879"/>
      <c r="KGD1516" s="879"/>
      <c r="KGE1516" s="879"/>
      <c r="KGF1516" s="879"/>
      <c r="KGG1516" s="879"/>
      <c r="KGH1516" s="879"/>
      <c r="KGI1516" s="879"/>
      <c r="KGJ1516" s="879"/>
      <c r="KGK1516" s="879"/>
      <c r="KGL1516" s="879"/>
      <c r="KGM1516" s="879"/>
      <c r="KGN1516" s="879"/>
      <c r="KGO1516" s="879"/>
      <c r="KGP1516" s="879"/>
      <c r="KGQ1516" s="879"/>
      <c r="KGR1516" s="879"/>
      <c r="KGS1516" s="879"/>
      <c r="KGT1516" s="879"/>
      <c r="KGU1516" s="879"/>
      <c r="KGV1516" s="879"/>
      <c r="KGW1516" s="879"/>
      <c r="KGX1516" s="879"/>
      <c r="KGY1516" s="879"/>
      <c r="KGZ1516" s="879"/>
      <c r="KHA1516" s="879"/>
      <c r="KHB1516" s="879"/>
      <c r="KHC1516" s="879"/>
      <c r="KHD1516" s="879"/>
      <c r="KHE1516" s="879"/>
      <c r="KHF1516" s="879"/>
      <c r="KHG1516" s="879"/>
      <c r="KHH1516" s="879"/>
      <c r="KHI1516" s="879"/>
      <c r="KHJ1516" s="879"/>
      <c r="KHK1516" s="879"/>
      <c r="KHL1516" s="879"/>
      <c r="KHM1516" s="879"/>
      <c r="KHN1516" s="879"/>
      <c r="KHO1516" s="879"/>
      <c r="KHP1516" s="879"/>
      <c r="KHQ1516" s="879"/>
      <c r="KHR1516" s="879"/>
      <c r="KHS1516" s="879"/>
      <c r="KHT1516" s="879"/>
      <c r="KHU1516" s="879"/>
      <c r="KHV1516" s="879"/>
      <c r="KHW1516" s="879"/>
      <c r="KHX1516" s="879"/>
      <c r="KHY1516" s="879"/>
      <c r="KHZ1516" s="879"/>
      <c r="KIA1516" s="879"/>
      <c r="KIB1516" s="879"/>
      <c r="KIC1516" s="879"/>
      <c r="KID1516" s="879"/>
      <c r="KIE1516" s="879"/>
      <c r="KIF1516" s="879"/>
      <c r="KIG1516" s="879"/>
      <c r="KIH1516" s="879"/>
      <c r="KII1516" s="879"/>
      <c r="KIJ1516" s="879"/>
      <c r="KIK1516" s="879"/>
      <c r="KIL1516" s="879"/>
      <c r="KIM1516" s="879"/>
      <c r="KIN1516" s="879"/>
      <c r="KIO1516" s="879"/>
      <c r="KIP1516" s="879"/>
      <c r="KIQ1516" s="879"/>
      <c r="KIR1516" s="879"/>
      <c r="KIS1516" s="879"/>
      <c r="KIT1516" s="879"/>
      <c r="KIU1516" s="879"/>
      <c r="KIV1516" s="879"/>
      <c r="KIW1516" s="879"/>
      <c r="KIX1516" s="879"/>
      <c r="KIY1516" s="879"/>
      <c r="KIZ1516" s="879"/>
      <c r="KJA1516" s="879"/>
      <c r="KJB1516" s="879"/>
      <c r="KJC1516" s="879"/>
      <c r="KJD1516" s="879"/>
      <c r="KJE1516" s="879"/>
      <c r="KJF1516" s="879"/>
      <c r="KJG1516" s="879"/>
      <c r="KJH1516" s="879"/>
      <c r="KJI1516" s="879"/>
      <c r="KJJ1516" s="879"/>
      <c r="KJK1516" s="879"/>
      <c r="KJL1516" s="879"/>
      <c r="KJM1516" s="879"/>
      <c r="KJN1516" s="879"/>
      <c r="KJO1516" s="879"/>
      <c r="KJP1516" s="879"/>
      <c r="KJQ1516" s="879"/>
      <c r="KJR1516" s="879"/>
      <c r="KJS1516" s="879"/>
      <c r="KJT1516" s="879"/>
      <c r="KJU1516" s="879"/>
      <c r="KJV1516" s="879"/>
      <c r="KJW1516" s="879"/>
      <c r="KJX1516" s="879"/>
      <c r="KJY1516" s="879"/>
      <c r="KJZ1516" s="879"/>
      <c r="KKA1516" s="879"/>
      <c r="KKB1516" s="879"/>
      <c r="KKC1516" s="879"/>
      <c r="KKD1516" s="879"/>
      <c r="KKE1516" s="879"/>
      <c r="KKF1516" s="879"/>
      <c r="KKG1516" s="879"/>
      <c r="KKH1516" s="879"/>
      <c r="KKI1516" s="879"/>
      <c r="KKJ1516" s="879"/>
      <c r="KKK1516" s="879"/>
      <c r="KKL1516" s="879"/>
      <c r="KKM1516" s="879"/>
      <c r="KKN1516" s="879"/>
      <c r="KKO1516" s="879"/>
      <c r="KKP1516" s="879"/>
      <c r="KKQ1516" s="879"/>
      <c r="KKR1516" s="879"/>
      <c r="KKS1516" s="879"/>
      <c r="KKT1516" s="879"/>
      <c r="KKU1516" s="879"/>
      <c r="KKV1516" s="879"/>
      <c r="KKW1516" s="879"/>
      <c r="KKX1516" s="879"/>
      <c r="KKY1516" s="879"/>
      <c r="KKZ1516" s="879"/>
      <c r="KLA1516" s="879"/>
      <c r="KLB1516" s="879"/>
      <c r="KLC1516" s="879"/>
      <c r="KLD1516" s="879"/>
      <c r="KLE1516" s="879"/>
      <c r="KLF1516" s="879"/>
      <c r="KLG1516" s="879"/>
      <c r="KLH1516" s="879"/>
      <c r="KLI1516" s="879"/>
      <c r="KLJ1516" s="879"/>
      <c r="KLK1516" s="879"/>
      <c r="KLL1516" s="879"/>
      <c r="KLM1516" s="879"/>
      <c r="KLN1516" s="879"/>
      <c r="KLO1516" s="879"/>
      <c r="KLP1516" s="879"/>
      <c r="KLQ1516" s="879"/>
      <c r="KLR1516" s="879"/>
      <c r="KLS1516" s="879"/>
      <c r="KLT1516" s="879"/>
      <c r="KLU1516" s="879"/>
      <c r="KLV1516" s="879"/>
      <c r="KLW1516" s="879"/>
      <c r="KLX1516" s="879"/>
      <c r="KLY1516" s="879"/>
      <c r="KLZ1516" s="879"/>
      <c r="KMA1516" s="879"/>
      <c r="KMB1516" s="879"/>
      <c r="KMC1516" s="879"/>
      <c r="KMD1516" s="879"/>
      <c r="KME1516" s="879"/>
      <c r="KMF1516" s="879"/>
      <c r="KMG1516" s="879"/>
      <c r="KMH1516" s="879"/>
      <c r="KMI1516" s="879"/>
      <c r="KMJ1516" s="879"/>
      <c r="KMK1516" s="879"/>
      <c r="KML1516" s="879"/>
      <c r="KMM1516" s="879"/>
      <c r="KMN1516" s="879"/>
      <c r="KMO1516" s="879"/>
      <c r="KMP1516" s="879"/>
      <c r="KMQ1516" s="879"/>
      <c r="KMR1516" s="879"/>
      <c r="KMS1516" s="879"/>
      <c r="KMT1516" s="879"/>
      <c r="KMU1516" s="879"/>
      <c r="KMV1516" s="879"/>
      <c r="KMW1516" s="879"/>
      <c r="KMX1516" s="879"/>
      <c r="KMY1516" s="879"/>
      <c r="KMZ1516" s="879"/>
      <c r="KNA1516" s="879"/>
      <c r="KNB1516" s="879"/>
      <c r="KNC1516" s="879"/>
      <c r="KND1516" s="879"/>
      <c r="KNE1516" s="879"/>
      <c r="KNF1516" s="879"/>
      <c r="KNG1516" s="879"/>
      <c r="KNH1516" s="879"/>
      <c r="KNI1516" s="879"/>
      <c r="KNJ1516" s="879"/>
      <c r="KNK1516" s="879"/>
      <c r="KNL1516" s="879"/>
      <c r="KNM1516" s="879"/>
      <c r="KNN1516" s="879"/>
      <c r="KNO1516" s="879"/>
      <c r="KNP1516" s="879"/>
      <c r="KNQ1516" s="879"/>
      <c r="KNR1516" s="879"/>
      <c r="KNS1516" s="879"/>
      <c r="KNT1516" s="879"/>
      <c r="KNU1516" s="879"/>
      <c r="KNV1516" s="879"/>
      <c r="KNW1516" s="879"/>
      <c r="KNX1516" s="879"/>
      <c r="KNY1516" s="879"/>
      <c r="KNZ1516" s="879"/>
      <c r="KOA1516" s="879"/>
      <c r="KOB1516" s="879"/>
      <c r="KOC1516" s="879"/>
      <c r="KOD1516" s="879"/>
      <c r="KOE1516" s="879"/>
      <c r="KOF1516" s="879"/>
      <c r="KOG1516" s="879"/>
      <c r="KOH1516" s="879"/>
      <c r="KOI1516" s="879"/>
      <c r="KOJ1516" s="879"/>
      <c r="KOK1516" s="879"/>
      <c r="KOL1516" s="879"/>
      <c r="KOM1516" s="879"/>
      <c r="KON1516" s="879"/>
      <c r="KOO1516" s="879"/>
      <c r="KOP1516" s="879"/>
      <c r="KOQ1516" s="879"/>
      <c r="KOR1516" s="879"/>
      <c r="KOS1516" s="879"/>
      <c r="KOT1516" s="879"/>
      <c r="KOU1516" s="879"/>
      <c r="KOV1516" s="879"/>
      <c r="KOW1516" s="879"/>
      <c r="KOX1516" s="879"/>
      <c r="KOY1516" s="879"/>
      <c r="KOZ1516" s="879"/>
      <c r="KPA1516" s="879"/>
      <c r="KPB1516" s="879"/>
      <c r="KPC1516" s="879"/>
      <c r="KPD1516" s="879"/>
      <c r="KPE1516" s="879"/>
      <c r="KPF1516" s="879"/>
      <c r="KPG1516" s="879"/>
      <c r="KPH1516" s="879"/>
      <c r="KPI1516" s="879"/>
      <c r="KPJ1516" s="879"/>
      <c r="KPK1516" s="879"/>
      <c r="KPL1516" s="879"/>
      <c r="KPM1516" s="879"/>
      <c r="KPN1516" s="879"/>
      <c r="KPO1516" s="879"/>
      <c r="KPP1516" s="879"/>
      <c r="KPQ1516" s="879"/>
      <c r="KPR1516" s="879"/>
      <c r="KPS1516" s="879"/>
      <c r="KPT1516" s="879"/>
      <c r="KPU1516" s="879"/>
      <c r="KPV1516" s="879"/>
      <c r="KPW1516" s="879"/>
      <c r="KPX1516" s="879"/>
      <c r="KPY1516" s="879"/>
      <c r="KPZ1516" s="879"/>
      <c r="KQA1516" s="879"/>
      <c r="KQB1516" s="879"/>
      <c r="KQC1516" s="879"/>
      <c r="KQD1516" s="879"/>
      <c r="KQE1516" s="879"/>
      <c r="KQF1516" s="879"/>
      <c r="KQG1516" s="879"/>
      <c r="KQH1516" s="879"/>
      <c r="KQI1516" s="879"/>
      <c r="KQJ1516" s="879"/>
      <c r="KQK1516" s="879"/>
      <c r="KQL1516" s="879"/>
      <c r="KQM1516" s="879"/>
      <c r="KQN1516" s="879"/>
      <c r="KQO1516" s="879"/>
      <c r="KQP1516" s="879"/>
      <c r="KQQ1516" s="879"/>
      <c r="KQR1516" s="879"/>
      <c r="KQS1516" s="879"/>
      <c r="KQT1516" s="879"/>
      <c r="KQU1516" s="879"/>
      <c r="KQV1516" s="879"/>
      <c r="KQW1516" s="879"/>
      <c r="KQX1516" s="879"/>
      <c r="KQY1516" s="879"/>
      <c r="KQZ1516" s="879"/>
      <c r="KRA1516" s="879"/>
      <c r="KRB1516" s="879"/>
      <c r="KRC1516" s="879"/>
      <c r="KRD1516" s="879"/>
      <c r="KRE1516" s="879"/>
      <c r="KRF1516" s="879"/>
      <c r="KRG1516" s="879"/>
      <c r="KRH1516" s="879"/>
      <c r="KRI1516" s="879"/>
      <c r="KRJ1516" s="879"/>
      <c r="KRK1516" s="879"/>
      <c r="KRL1516" s="879"/>
      <c r="KRM1516" s="879"/>
      <c r="KRN1516" s="879"/>
      <c r="KRO1516" s="879"/>
      <c r="KRP1516" s="879"/>
      <c r="KRQ1516" s="879"/>
      <c r="KRR1516" s="879"/>
      <c r="KRS1516" s="879"/>
      <c r="KRT1516" s="879"/>
      <c r="KRU1516" s="879"/>
      <c r="KRV1516" s="879"/>
      <c r="KRW1516" s="879"/>
      <c r="KRX1516" s="879"/>
      <c r="KRY1516" s="879"/>
      <c r="KRZ1516" s="879"/>
      <c r="KSA1516" s="879"/>
      <c r="KSB1516" s="879"/>
      <c r="KSC1516" s="879"/>
      <c r="KSD1516" s="879"/>
      <c r="KSE1516" s="879"/>
      <c r="KSF1516" s="879"/>
      <c r="KSG1516" s="879"/>
      <c r="KSH1516" s="879"/>
      <c r="KSI1516" s="879"/>
      <c r="KSJ1516" s="879"/>
      <c r="KSK1516" s="879"/>
      <c r="KSL1516" s="879"/>
      <c r="KSM1516" s="879"/>
      <c r="KSN1516" s="879"/>
      <c r="KSO1516" s="879"/>
      <c r="KSP1516" s="879"/>
      <c r="KSQ1516" s="879"/>
      <c r="KSR1516" s="879"/>
      <c r="KSS1516" s="879"/>
      <c r="KST1516" s="879"/>
      <c r="KSU1516" s="879"/>
      <c r="KSV1516" s="879"/>
      <c r="KSW1516" s="879"/>
      <c r="KSX1516" s="879"/>
      <c r="KSY1516" s="879"/>
      <c r="KSZ1516" s="879"/>
      <c r="KTA1516" s="879"/>
      <c r="KTB1516" s="879"/>
      <c r="KTC1516" s="879"/>
      <c r="KTD1516" s="879"/>
      <c r="KTE1516" s="879"/>
      <c r="KTF1516" s="879"/>
      <c r="KTG1516" s="879"/>
      <c r="KTH1516" s="879"/>
      <c r="KTI1516" s="879"/>
      <c r="KTJ1516" s="879"/>
      <c r="KTK1516" s="879"/>
      <c r="KTL1516" s="879"/>
      <c r="KTM1516" s="879"/>
      <c r="KTN1516" s="879"/>
      <c r="KTO1516" s="879"/>
      <c r="KTP1516" s="879"/>
      <c r="KTQ1516" s="879"/>
      <c r="KTR1516" s="879"/>
      <c r="KTS1516" s="879"/>
      <c r="KTT1516" s="879"/>
      <c r="KTU1516" s="879"/>
      <c r="KTV1516" s="879"/>
      <c r="KTW1516" s="879"/>
      <c r="KTX1516" s="879"/>
      <c r="KTY1516" s="879"/>
      <c r="KTZ1516" s="879"/>
      <c r="KUA1516" s="879"/>
      <c r="KUB1516" s="879"/>
      <c r="KUC1516" s="879"/>
      <c r="KUD1516" s="879"/>
      <c r="KUE1516" s="879"/>
      <c r="KUF1516" s="879"/>
      <c r="KUG1516" s="879"/>
      <c r="KUH1516" s="879"/>
      <c r="KUI1516" s="879"/>
      <c r="KUJ1516" s="879"/>
      <c r="KUK1516" s="879"/>
      <c r="KUL1516" s="879"/>
      <c r="KUM1516" s="879"/>
      <c r="KUN1516" s="879"/>
      <c r="KUO1516" s="879"/>
      <c r="KUP1516" s="879"/>
      <c r="KUQ1516" s="879"/>
      <c r="KUR1516" s="879"/>
      <c r="KUS1516" s="879"/>
      <c r="KUT1516" s="879"/>
      <c r="KUU1516" s="879"/>
      <c r="KUV1516" s="879"/>
      <c r="KUW1516" s="879"/>
      <c r="KUX1516" s="879"/>
      <c r="KUY1516" s="879"/>
      <c r="KUZ1516" s="879"/>
      <c r="KVA1516" s="879"/>
      <c r="KVB1516" s="879"/>
      <c r="KVC1516" s="879"/>
      <c r="KVD1516" s="879"/>
      <c r="KVE1516" s="879"/>
      <c r="KVF1516" s="879"/>
      <c r="KVG1516" s="879"/>
      <c r="KVH1516" s="879"/>
      <c r="KVI1516" s="879"/>
      <c r="KVJ1516" s="879"/>
      <c r="KVK1516" s="879"/>
      <c r="KVL1516" s="879"/>
      <c r="KVM1516" s="879"/>
      <c r="KVN1516" s="879"/>
      <c r="KVO1516" s="879"/>
      <c r="KVP1516" s="879"/>
      <c r="KVQ1516" s="879"/>
      <c r="KVR1516" s="879"/>
      <c r="KVS1516" s="879"/>
      <c r="KVT1516" s="879"/>
      <c r="KVU1516" s="879"/>
      <c r="KVV1516" s="879"/>
      <c r="KVW1516" s="879"/>
      <c r="KVX1516" s="879"/>
      <c r="KVY1516" s="879"/>
      <c r="KVZ1516" s="879"/>
      <c r="KWA1516" s="879"/>
      <c r="KWB1516" s="879"/>
      <c r="KWC1516" s="879"/>
      <c r="KWD1516" s="879"/>
      <c r="KWE1516" s="879"/>
      <c r="KWF1516" s="879"/>
      <c r="KWG1516" s="879"/>
      <c r="KWH1516" s="879"/>
      <c r="KWI1516" s="879"/>
      <c r="KWJ1516" s="879"/>
      <c r="KWK1516" s="879"/>
      <c r="KWL1516" s="879"/>
      <c r="KWM1516" s="879"/>
      <c r="KWN1516" s="879"/>
      <c r="KWO1516" s="879"/>
      <c r="KWP1516" s="879"/>
      <c r="KWQ1516" s="879"/>
      <c r="KWR1516" s="879"/>
      <c r="KWS1516" s="879"/>
      <c r="KWT1516" s="879"/>
      <c r="KWU1516" s="879"/>
      <c r="KWV1516" s="879"/>
      <c r="KWW1516" s="879"/>
      <c r="KWX1516" s="879"/>
      <c r="KWY1516" s="879"/>
      <c r="KWZ1516" s="879"/>
      <c r="KXA1516" s="879"/>
      <c r="KXB1516" s="879"/>
      <c r="KXC1516" s="879"/>
      <c r="KXD1516" s="879"/>
      <c r="KXE1516" s="879"/>
      <c r="KXF1516" s="879"/>
      <c r="KXG1516" s="879"/>
      <c r="KXH1516" s="879"/>
      <c r="KXI1516" s="879"/>
      <c r="KXJ1516" s="879"/>
      <c r="KXK1516" s="879"/>
      <c r="KXL1516" s="879"/>
      <c r="KXM1516" s="879"/>
      <c r="KXN1516" s="879"/>
      <c r="KXO1516" s="879"/>
      <c r="KXP1516" s="879"/>
      <c r="KXQ1516" s="879"/>
      <c r="KXR1516" s="879"/>
      <c r="KXS1516" s="879"/>
      <c r="KXT1516" s="879"/>
      <c r="KXU1516" s="879"/>
      <c r="KXV1516" s="879"/>
      <c r="KXW1516" s="879"/>
      <c r="KXX1516" s="879"/>
      <c r="KXY1516" s="879"/>
      <c r="KXZ1516" s="879"/>
      <c r="KYA1516" s="879"/>
      <c r="KYB1516" s="879"/>
      <c r="KYC1516" s="879"/>
      <c r="KYD1516" s="879"/>
      <c r="KYE1516" s="879"/>
      <c r="KYF1516" s="879"/>
      <c r="KYG1516" s="879"/>
      <c r="KYH1516" s="879"/>
      <c r="KYI1516" s="879"/>
      <c r="KYJ1516" s="879"/>
      <c r="KYK1516" s="879"/>
      <c r="KYL1516" s="879"/>
      <c r="KYM1516" s="879"/>
      <c r="KYN1516" s="879"/>
      <c r="KYO1516" s="879"/>
      <c r="KYP1516" s="879"/>
      <c r="KYQ1516" s="879"/>
      <c r="KYR1516" s="879"/>
      <c r="KYS1516" s="879"/>
      <c r="KYT1516" s="879"/>
      <c r="KYU1516" s="879"/>
      <c r="KYV1516" s="879"/>
      <c r="KYW1516" s="879"/>
      <c r="KYX1516" s="879"/>
      <c r="KYY1516" s="879"/>
      <c r="KYZ1516" s="879"/>
      <c r="KZA1516" s="879"/>
      <c r="KZB1516" s="879"/>
      <c r="KZC1516" s="879"/>
      <c r="KZD1516" s="879"/>
      <c r="KZE1516" s="879"/>
      <c r="KZF1516" s="879"/>
      <c r="KZG1516" s="879"/>
      <c r="KZH1516" s="879"/>
      <c r="KZI1516" s="879"/>
      <c r="KZJ1516" s="879"/>
      <c r="KZK1516" s="879"/>
      <c r="KZL1516" s="879"/>
      <c r="KZM1516" s="879"/>
      <c r="KZN1516" s="879"/>
      <c r="KZO1516" s="879"/>
      <c r="KZP1516" s="879"/>
      <c r="KZQ1516" s="879"/>
      <c r="KZR1516" s="879"/>
      <c r="KZS1516" s="879"/>
      <c r="KZT1516" s="879"/>
      <c r="KZU1516" s="879"/>
      <c r="KZV1516" s="879"/>
      <c r="KZW1516" s="879"/>
      <c r="KZX1516" s="879"/>
      <c r="KZY1516" s="879"/>
      <c r="KZZ1516" s="879"/>
      <c r="LAA1516" s="879"/>
      <c r="LAB1516" s="879"/>
      <c r="LAC1516" s="879"/>
      <c r="LAD1516" s="879"/>
      <c r="LAE1516" s="879"/>
      <c r="LAF1516" s="879"/>
      <c r="LAG1516" s="879"/>
      <c r="LAH1516" s="879"/>
      <c r="LAI1516" s="879"/>
      <c r="LAJ1516" s="879"/>
      <c r="LAK1516" s="879"/>
      <c r="LAL1516" s="879"/>
      <c r="LAM1516" s="879"/>
      <c r="LAN1516" s="879"/>
      <c r="LAO1516" s="879"/>
      <c r="LAP1516" s="879"/>
      <c r="LAQ1516" s="879"/>
      <c r="LAR1516" s="879"/>
      <c r="LAS1516" s="879"/>
      <c r="LAT1516" s="879"/>
      <c r="LAU1516" s="879"/>
      <c r="LAV1516" s="879"/>
      <c r="LAW1516" s="879"/>
      <c r="LAX1516" s="879"/>
      <c r="LAY1516" s="879"/>
      <c r="LAZ1516" s="879"/>
      <c r="LBA1516" s="879"/>
      <c r="LBB1516" s="879"/>
      <c r="LBC1516" s="879"/>
      <c r="LBD1516" s="879"/>
      <c r="LBE1516" s="879"/>
      <c r="LBF1516" s="879"/>
      <c r="LBG1516" s="879"/>
      <c r="LBH1516" s="879"/>
      <c r="LBI1516" s="879"/>
      <c r="LBJ1516" s="879"/>
      <c r="LBK1516" s="879"/>
      <c r="LBL1516" s="879"/>
      <c r="LBM1516" s="879"/>
      <c r="LBN1516" s="879"/>
      <c r="LBO1516" s="879"/>
      <c r="LBP1516" s="879"/>
      <c r="LBQ1516" s="879"/>
      <c r="LBR1516" s="879"/>
      <c r="LBS1516" s="879"/>
      <c r="LBT1516" s="879"/>
      <c r="LBU1516" s="879"/>
      <c r="LBV1516" s="879"/>
      <c r="LBW1516" s="879"/>
      <c r="LBX1516" s="879"/>
      <c r="LBY1516" s="879"/>
      <c r="LBZ1516" s="879"/>
      <c r="LCA1516" s="879"/>
      <c r="LCB1516" s="879"/>
      <c r="LCC1516" s="879"/>
      <c r="LCD1516" s="879"/>
      <c r="LCE1516" s="879"/>
      <c r="LCF1516" s="879"/>
      <c r="LCG1516" s="879"/>
      <c r="LCH1516" s="879"/>
      <c r="LCI1516" s="879"/>
      <c r="LCJ1516" s="879"/>
      <c r="LCK1516" s="879"/>
      <c r="LCL1516" s="879"/>
      <c r="LCM1516" s="879"/>
      <c r="LCN1516" s="879"/>
      <c r="LCO1516" s="879"/>
      <c r="LCP1516" s="879"/>
      <c r="LCQ1516" s="879"/>
      <c r="LCR1516" s="879"/>
      <c r="LCS1516" s="879"/>
      <c r="LCT1516" s="879"/>
      <c r="LCU1516" s="879"/>
      <c r="LCV1516" s="879"/>
      <c r="LCW1516" s="879"/>
      <c r="LCX1516" s="879"/>
      <c r="LCY1516" s="879"/>
      <c r="LCZ1516" s="879"/>
      <c r="LDA1516" s="879"/>
      <c r="LDB1516" s="879"/>
      <c r="LDC1516" s="879"/>
      <c r="LDD1516" s="879"/>
      <c r="LDE1516" s="879"/>
      <c r="LDF1516" s="879"/>
      <c r="LDG1516" s="879"/>
      <c r="LDH1516" s="879"/>
      <c r="LDI1516" s="879"/>
      <c r="LDJ1516" s="879"/>
      <c r="LDK1516" s="879"/>
      <c r="LDL1516" s="879"/>
      <c r="LDM1516" s="879"/>
      <c r="LDN1516" s="879"/>
      <c r="LDO1516" s="879"/>
      <c r="LDP1516" s="879"/>
      <c r="LDQ1516" s="879"/>
      <c r="LDR1516" s="879"/>
      <c r="LDS1516" s="879"/>
      <c r="LDT1516" s="879"/>
      <c r="LDU1516" s="879"/>
      <c r="LDV1516" s="879"/>
      <c r="LDW1516" s="879"/>
      <c r="LDX1516" s="879"/>
      <c r="LDY1516" s="879"/>
      <c r="LDZ1516" s="879"/>
      <c r="LEA1516" s="879"/>
      <c r="LEB1516" s="879"/>
      <c r="LEC1516" s="879"/>
      <c r="LED1516" s="879"/>
      <c r="LEE1516" s="879"/>
      <c r="LEF1516" s="879"/>
      <c r="LEG1516" s="879"/>
      <c r="LEH1516" s="879"/>
      <c r="LEI1516" s="879"/>
      <c r="LEJ1516" s="879"/>
      <c r="LEK1516" s="879"/>
      <c r="LEL1516" s="879"/>
      <c r="LEM1516" s="879"/>
      <c r="LEN1516" s="879"/>
      <c r="LEO1516" s="879"/>
      <c r="LEP1516" s="879"/>
      <c r="LEQ1516" s="879"/>
      <c r="LER1516" s="879"/>
      <c r="LES1516" s="879"/>
      <c r="LET1516" s="879"/>
      <c r="LEU1516" s="879"/>
      <c r="LEV1516" s="879"/>
      <c r="LEW1516" s="879"/>
      <c r="LEX1516" s="879"/>
      <c r="LEY1516" s="879"/>
      <c r="LEZ1516" s="879"/>
      <c r="LFA1516" s="879"/>
      <c r="LFB1516" s="879"/>
      <c r="LFC1516" s="879"/>
      <c r="LFD1516" s="879"/>
      <c r="LFE1516" s="879"/>
      <c r="LFF1516" s="879"/>
      <c r="LFG1516" s="879"/>
      <c r="LFH1516" s="879"/>
      <c r="LFI1516" s="879"/>
      <c r="LFJ1516" s="879"/>
      <c r="LFK1516" s="879"/>
      <c r="LFL1516" s="879"/>
      <c r="LFM1516" s="879"/>
      <c r="LFN1516" s="879"/>
      <c r="LFO1516" s="879"/>
      <c r="LFP1516" s="879"/>
      <c r="LFQ1516" s="879"/>
      <c r="LFR1516" s="879"/>
      <c r="LFS1516" s="879"/>
      <c r="LFT1516" s="879"/>
      <c r="LFU1516" s="879"/>
      <c r="LFV1516" s="879"/>
      <c r="LFW1516" s="879"/>
      <c r="LFX1516" s="879"/>
      <c r="LFY1516" s="879"/>
      <c r="LFZ1516" s="879"/>
      <c r="LGA1516" s="879"/>
      <c r="LGB1516" s="879"/>
      <c r="LGC1516" s="879"/>
      <c r="LGD1516" s="879"/>
      <c r="LGE1516" s="879"/>
      <c r="LGF1516" s="879"/>
      <c r="LGG1516" s="879"/>
      <c r="LGH1516" s="879"/>
      <c r="LGI1516" s="879"/>
      <c r="LGJ1516" s="879"/>
      <c r="LGK1516" s="879"/>
      <c r="LGL1516" s="879"/>
      <c r="LGM1516" s="879"/>
      <c r="LGN1516" s="879"/>
      <c r="LGO1516" s="879"/>
      <c r="LGP1516" s="879"/>
      <c r="LGQ1516" s="879"/>
      <c r="LGR1516" s="879"/>
      <c r="LGS1516" s="879"/>
      <c r="LGT1516" s="879"/>
      <c r="LGU1516" s="879"/>
      <c r="LGV1516" s="879"/>
      <c r="LGW1516" s="879"/>
      <c r="LGX1516" s="879"/>
      <c r="LGY1516" s="879"/>
      <c r="LGZ1516" s="879"/>
      <c r="LHA1516" s="879"/>
      <c r="LHB1516" s="879"/>
      <c r="LHC1516" s="879"/>
      <c r="LHD1516" s="879"/>
      <c r="LHE1516" s="879"/>
      <c r="LHF1516" s="879"/>
      <c r="LHG1516" s="879"/>
      <c r="LHH1516" s="879"/>
      <c r="LHI1516" s="879"/>
      <c r="LHJ1516" s="879"/>
      <c r="LHK1516" s="879"/>
      <c r="LHL1516" s="879"/>
      <c r="LHM1516" s="879"/>
      <c r="LHN1516" s="879"/>
      <c r="LHO1516" s="879"/>
      <c r="LHP1516" s="879"/>
      <c r="LHQ1516" s="879"/>
      <c r="LHR1516" s="879"/>
      <c r="LHS1516" s="879"/>
      <c r="LHT1516" s="879"/>
      <c r="LHU1516" s="879"/>
      <c r="LHV1516" s="879"/>
      <c r="LHW1516" s="879"/>
      <c r="LHX1516" s="879"/>
      <c r="LHY1516" s="879"/>
      <c r="LHZ1516" s="879"/>
      <c r="LIA1516" s="879"/>
      <c r="LIB1516" s="879"/>
      <c r="LIC1516" s="879"/>
      <c r="LID1516" s="879"/>
      <c r="LIE1516" s="879"/>
      <c r="LIF1516" s="879"/>
      <c r="LIG1516" s="879"/>
      <c r="LIH1516" s="879"/>
      <c r="LII1516" s="879"/>
      <c r="LIJ1516" s="879"/>
      <c r="LIK1516" s="879"/>
      <c r="LIL1516" s="879"/>
      <c r="LIM1516" s="879"/>
      <c r="LIN1516" s="879"/>
      <c r="LIO1516" s="879"/>
      <c r="LIP1516" s="879"/>
      <c r="LIQ1516" s="879"/>
      <c r="LIR1516" s="879"/>
      <c r="LIS1516" s="879"/>
      <c r="LIT1516" s="879"/>
      <c r="LIU1516" s="879"/>
      <c r="LIV1516" s="879"/>
      <c r="LIW1516" s="879"/>
      <c r="LIX1516" s="879"/>
      <c r="LIY1516" s="879"/>
      <c r="LIZ1516" s="879"/>
      <c r="LJA1516" s="879"/>
      <c r="LJB1516" s="879"/>
      <c r="LJC1516" s="879"/>
      <c r="LJD1516" s="879"/>
      <c r="LJE1516" s="879"/>
      <c r="LJF1516" s="879"/>
      <c r="LJG1516" s="879"/>
      <c r="LJH1516" s="879"/>
      <c r="LJI1516" s="879"/>
      <c r="LJJ1516" s="879"/>
      <c r="LJK1516" s="879"/>
      <c r="LJL1516" s="879"/>
      <c r="LJM1516" s="879"/>
      <c r="LJN1516" s="879"/>
      <c r="LJO1516" s="879"/>
      <c r="LJP1516" s="879"/>
      <c r="LJQ1516" s="879"/>
      <c r="LJR1516" s="879"/>
      <c r="LJS1516" s="879"/>
      <c r="LJT1516" s="879"/>
      <c r="LJU1516" s="879"/>
      <c r="LJV1516" s="879"/>
      <c r="LJW1516" s="879"/>
      <c r="LJX1516" s="879"/>
      <c r="LJY1516" s="879"/>
      <c r="LJZ1516" s="879"/>
      <c r="LKA1516" s="879"/>
      <c r="LKB1516" s="879"/>
      <c r="LKC1516" s="879"/>
      <c r="LKD1516" s="879"/>
      <c r="LKE1516" s="879"/>
      <c r="LKF1516" s="879"/>
      <c r="LKG1516" s="879"/>
      <c r="LKH1516" s="879"/>
      <c r="LKI1516" s="879"/>
      <c r="LKJ1516" s="879"/>
      <c r="LKK1516" s="879"/>
      <c r="LKL1516" s="879"/>
      <c r="LKM1516" s="879"/>
      <c r="LKN1516" s="879"/>
      <c r="LKO1516" s="879"/>
      <c r="LKP1516" s="879"/>
      <c r="LKQ1516" s="879"/>
      <c r="LKR1516" s="879"/>
      <c r="LKS1516" s="879"/>
      <c r="LKT1516" s="879"/>
      <c r="LKU1516" s="879"/>
      <c r="LKV1516" s="879"/>
      <c r="LKW1516" s="879"/>
      <c r="LKX1516" s="879"/>
      <c r="LKY1516" s="879"/>
      <c r="LKZ1516" s="879"/>
      <c r="LLA1516" s="879"/>
      <c r="LLB1516" s="879"/>
      <c r="LLC1516" s="879"/>
      <c r="LLD1516" s="879"/>
      <c r="LLE1516" s="879"/>
      <c r="LLF1516" s="879"/>
      <c r="LLG1516" s="879"/>
      <c r="LLH1516" s="879"/>
      <c r="LLI1516" s="879"/>
      <c r="LLJ1516" s="879"/>
      <c r="LLK1516" s="879"/>
      <c r="LLL1516" s="879"/>
      <c r="LLM1516" s="879"/>
      <c r="LLN1516" s="879"/>
      <c r="LLO1516" s="879"/>
      <c r="LLP1516" s="879"/>
      <c r="LLQ1516" s="879"/>
      <c r="LLR1516" s="879"/>
      <c r="LLS1516" s="879"/>
      <c r="LLT1516" s="879"/>
      <c r="LLU1516" s="879"/>
      <c r="LLV1516" s="879"/>
      <c r="LLW1516" s="879"/>
      <c r="LLX1516" s="879"/>
      <c r="LLY1516" s="879"/>
      <c r="LLZ1516" s="879"/>
      <c r="LMA1516" s="879"/>
      <c r="LMB1516" s="879"/>
      <c r="LMC1516" s="879"/>
      <c r="LMD1516" s="879"/>
      <c r="LME1516" s="879"/>
      <c r="LMF1516" s="879"/>
      <c r="LMG1516" s="879"/>
      <c r="LMH1516" s="879"/>
      <c r="LMI1516" s="879"/>
      <c r="LMJ1516" s="879"/>
      <c r="LMK1516" s="879"/>
      <c r="LML1516" s="879"/>
      <c r="LMM1516" s="879"/>
      <c r="LMN1516" s="879"/>
      <c r="LMO1516" s="879"/>
      <c r="LMP1516" s="879"/>
      <c r="LMQ1516" s="879"/>
      <c r="LMR1516" s="879"/>
      <c r="LMS1516" s="879"/>
      <c r="LMT1516" s="879"/>
      <c r="LMU1516" s="879"/>
      <c r="LMV1516" s="879"/>
      <c r="LMW1516" s="879"/>
      <c r="LMX1516" s="879"/>
      <c r="LMY1516" s="879"/>
      <c r="LMZ1516" s="879"/>
      <c r="LNA1516" s="879"/>
      <c r="LNB1516" s="879"/>
      <c r="LNC1516" s="879"/>
      <c r="LND1516" s="879"/>
      <c r="LNE1516" s="879"/>
      <c r="LNF1516" s="879"/>
      <c r="LNG1516" s="879"/>
      <c r="LNH1516" s="879"/>
      <c r="LNI1516" s="879"/>
      <c r="LNJ1516" s="879"/>
      <c r="LNK1516" s="879"/>
      <c r="LNL1516" s="879"/>
      <c r="LNM1516" s="879"/>
      <c r="LNN1516" s="879"/>
      <c r="LNO1516" s="879"/>
      <c r="LNP1516" s="879"/>
      <c r="LNQ1516" s="879"/>
      <c r="LNR1516" s="879"/>
      <c r="LNS1516" s="879"/>
      <c r="LNT1516" s="879"/>
      <c r="LNU1516" s="879"/>
      <c r="LNV1516" s="879"/>
      <c r="LNW1516" s="879"/>
      <c r="LNX1516" s="879"/>
      <c r="LNY1516" s="879"/>
      <c r="LNZ1516" s="879"/>
      <c r="LOA1516" s="879"/>
      <c r="LOB1516" s="879"/>
      <c r="LOC1516" s="879"/>
      <c r="LOD1516" s="879"/>
      <c r="LOE1516" s="879"/>
      <c r="LOF1516" s="879"/>
      <c r="LOG1516" s="879"/>
      <c r="LOH1516" s="879"/>
      <c r="LOI1516" s="879"/>
      <c r="LOJ1516" s="879"/>
      <c r="LOK1516" s="879"/>
      <c r="LOL1516" s="879"/>
      <c r="LOM1516" s="879"/>
      <c r="LON1516" s="879"/>
      <c r="LOO1516" s="879"/>
      <c r="LOP1516" s="879"/>
      <c r="LOQ1516" s="879"/>
      <c r="LOR1516" s="879"/>
      <c r="LOS1516" s="879"/>
      <c r="LOT1516" s="879"/>
      <c r="LOU1516" s="879"/>
      <c r="LOV1516" s="879"/>
      <c r="LOW1516" s="879"/>
      <c r="LOX1516" s="879"/>
      <c r="LOY1516" s="879"/>
      <c r="LOZ1516" s="879"/>
      <c r="LPA1516" s="879"/>
      <c r="LPB1516" s="879"/>
      <c r="LPC1516" s="879"/>
      <c r="LPD1516" s="879"/>
      <c r="LPE1516" s="879"/>
      <c r="LPF1516" s="879"/>
      <c r="LPG1516" s="879"/>
      <c r="LPH1516" s="879"/>
      <c r="LPI1516" s="879"/>
      <c r="LPJ1516" s="879"/>
      <c r="LPK1516" s="879"/>
      <c r="LPL1516" s="879"/>
      <c r="LPM1516" s="879"/>
      <c r="LPN1516" s="879"/>
      <c r="LPO1516" s="879"/>
      <c r="LPP1516" s="879"/>
      <c r="LPQ1516" s="879"/>
      <c r="LPR1516" s="879"/>
      <c r="LPS1516" s="879"/>
      <c r="LPT1516" s="879"/>
      <c r="LPU1516" s="879"/>
      <c r="LPV1516" s="879"/>
      <c r="LPW1516" s="879"/>
      <c r="LPX1516" s="879"/>
      <c r="LPY1516" s="879"/>
      <c r="LPZ1516" s="879"/>
      <c r="LQA1516" s="879"/>
      <c r="LQB1516" s="879"/>
      <c r="LQC1516" s="879"/>
      <c r="LQD1516" s="879"/>
      <c r="LQE1516" s="879"/>
      <c r="LQF1516" s="879"/>
      <c r="LQG1516" s="879"/>
      <c r="LQH1516" s="879"/>
      <c r="LQI1516" s="879"/>
      <c r="LQJ1516" s="879"/>
      <c r="LQK1516" s="879"/>
      <c r="LQL1516" s="879"/>
      <c r="LQM1516" s="879"/>
      <c r="LQN1516" s="879"/>
      <c r="LQO1516" s="879"/>
      <c r="LQP1516" s="879"/>
      <c r="LQQ1516" s="879"/>
      <c r="LQR1516" s="879"/>
      <c r="LQS1516" s="879"/>
      <c r="LQT1516" s="879"/>
      <c r="LQU1516" s="879"/>
      <c r="LQV1516" s="879"/>
      <c r="LQW1516" s="879"/>
      <c r="LQX1516" s="879"/>
      <c r="LQY1516" s="879"/>
      <c r="LQZ1516" s="879"/>
      <c r="LRA1516" s="879"/>
      <c r="LRB1516" s="879"/>
      <c r="LRC1516" s="879"/>
      <c r="LRD1516" s="879"/>
      <c r="LRE1516" s="879"/>
      <c r="LRF1516" s="879"/>
      <c r="LRG1516" s="879"/>
      <c r="LRH1516" s="879"/>
      <c r="LRI1516" s="879"/>
      <c r="LRJ1516" s="879"/>
      <c r="LRK1516" s="879"/>
      <c r="LRL1516" s="879"/>
      <c r="LRM1516" s="879"/>
      <c r="LRN1516" s="879"/>
      <c r="LRO1516" s="879"/>
      <c r="LRP1516" s="879"/>
      <c r="LRQ1516" s="879"/>
      <c r="LRR1516" s="879"/>
      <c r="LRS1516" s="879"/>
      <c r="LRT1516" s="879"/>
      <c r="LRU1516" s="879"/>
      <c r="LRV1516" s="879"/>
      <c r="LRW1516" s="879"/>
      <c r="LRX1516" s="879"/>
      <c r="LRY1516" s="879"/>
      <c r="LRZ1516" s="879"/>
      <c r="LSA1516" s="879"/>
      <c r="LSB1516" s="879"/>
      <c r="LSC1516" s="879"/>
      <c r="LSD1516" s="879"/>
      <c r="LSE1516" s="879"/>
      <c r="LSF1516" s="879"/>
      <c r="LSG1516" s="879"/>
      <c r="LSH1516" s="879"/>
      <c r="LSI1516" s="879"/>
      <c r="LSJ1516" s="879"/>
      <c r="LSK1516" s="879"/>
      <c r="LSL1516" s="879"/>
      <c r="LSM1516" s="879"/>
      <c r="LSN1516" s="879"/>
      <c r="LSO1516" s="879"/>
      <c r="LSP1516" s="879"/>
      <c r="LSQ1516" s="879"/>
      <c r="LSR1516" s="879"/>
      <c r="LSS1516" s="879"/>
      <c r="LST1516" s="879"/>
      <c r="LSU1516" s="879"/>
      <c r="LSV1516" s="879"/>
      <c r="LSW1516" s="879"/>
      <c r="LSX1516" s="879"/>
      <c r="LSY1516" s="879"/>
      <c r="LSZ1516" s="879"/>
      <c r="LTA1516" s="879"/>
      <c r="LTB1516" s="879"/>
      <c r="LTC1516" s="879"/>
      <c r="LTD1516" s="879"/>
      <c r="LTE1516" s="879"/>
      <c r="LTF1516" s="879"/>
      <c r="LTG1516" s="879"/>
      <c r="LTH1516" s="879"/>
      <c r="LTI1516" s="879"/>
      <c r="LTJ1516" s="879"/>
      <c r="LTK1516" s="879"/>
      <c r="LTL1516" s="879"/>
      <c r="LTM1516" s="879"/>
      <c r="LTN1516" s="879"/>
      <c r="LTO1516" s="879"/>
      <c r="LTP1516" s="879"/>
      <c r="LTQ1516" s="879"/>
      <c r="LTR1516" s="879"/>
      <c r="LTS1516" s="879"/>
      <c r="LTT1516" s="879"/>
      <c r="LTU1516" s="879"/>
      <c r="LTV1516" s="879"/>
      <c r="LTW1516" s="879"/>
      <c r="LTX1516" s="879"/>
      <c r="LTY1516" s="879"/>
      <c r="LTZ1516" s="879"/>
      <c r="LUA1516" s="879"/>
      <c r="LUB1516" s="879"/>
      <c r="LUC1516" s="879"/>
      <c r="LUD1516" s="879"/>
      <c r="LUE1516" s="879"/>
      <c r="LUF1516" s="879"/>
      <c r="LUG1516" s="879"/>
      <c r="LUH1516" s="879"/>
      <c r="LUI1516" s="879"/>
      <c r="LUJ1516" s="879"/>
      <c r="LUK1516" s="879"/>
      <c r="LUL1516" s="879"/>
      <c r="LUM1516" s="879"/>
      <c r="LUN1516" s="879"/>
      <c r="LUO1516" s="879"/>
      <c r="LUP1516" s="879"/>
      <c r="LUQ1516" s="879"/>
      <c r="LUR1516" s="879"/>
      <c r="LUS1516" s="879"/>
      <c r="LUT1516" s="879"/>
      <c r="LUU1516" s="879"/>
      <c r="LUV1516" s="879"/>
      <c r="LUW1516" s="879"/>
      <c r="LUX1516" s="879"/>
      <c r="LUY1516" s="879"/>
      <c r="LUZ1516" s="879"/>
      <c r="LVA1516" s="879"/>
      <c r="LVB1516" s="879"/>
      <c r="LVC1516" s="879"/>
      <c r="LVD1516" s="879"/>
      <c r="LVE1516" s="879"/>
      <c r="LVF1516" s="879"/>
      <c r="LVG1516" s="879"/>
      <c r="LVH1516" s="879"/>
      <c r="LVI1516" s="879"/>
      <c r="LVJ1516" s="879"/>
      <c r="LVK1516" s="879"/>
      <c r="LVL1516" s="879"/>
      <c r="LVM1516" s="879"/>
      <c r="LVN1516" s="879"/>
      <c r="LVO1516" s="879"/>
      <c r="LVP1516" s="879"/>
      <c r="LVQ1516" s="879"/>
      <c r="LVR1516" s="879"/>
      <c r="LVS1516" s="879"/>
      <c r="LVT1516" s="879"/>
      <c r="LVU1516" s="879"/>
      <c r="LVV1516" s="879"/>
      <c r="LVW1516" s="879"/>
      <c r="LVX1516" s="879"/>
      <c r="LVY1516" s="879"/>
      <c r="LVZ1516" s="879"/>
      <c r="LWA1516" s="879"/>
      <c r="LWB1516" s="879"/>
      <c r="LWC1516" s="879"/>
      <c r="LWD1516" s="879"/>
      <c r="LWE1516" s="879"/>
      <c r="LWF1516" s="879"/>
      <c r="LWG1516" s="879"/>
      <c r="LWH1516" s="879"/>
      <c r="LWI1516" s="879"/>
      <c r="LWJ1516" s="879"/>
      <c r="LWK1516" s="879"/>
      <c r="LWL1516" s="879"/>
      <c r="LWM1516" s="879"/>
      <c r="LWN1516" s="879"/>
      <c r="LWO1516" s="879"/>
      <c r="LWP1516" s="879"/>
      <c r="LWQ1516" s="879"/>
      <c r="LWR1516" s="879"/>
      <c r="LWS1516" s="879"/>
      <c r="LWT1516" s="879"/>
      <c r="LWU1516" s="879"/>
      <c r="LWV1516" s="879"/>
      <c r="LWW1516" s="879"/>
      <c r="LWX1516" s="879"/>
      <c r="LWY1516" s="879"/>
      <c r="LWZ1516" s="879"/>
      <c r="LXA1516" s="879"/>
      <c r="LXB1516" s="879"/>
      <c r="LXC1516" s="879"/>
      <c r="LXD1516" s="879"/>
      <c r="LXE1516" s="879"/>
      <c r="LXF1516" s="879"/>
      <c r="LXG1516" s="879"/>
      <c r="LXH1516" s="879"/>
      <c r="LXI1516" s="879"/>
      <c r="LXJ1516" s="879"/>
      <c r="LXK1516" s="879"/>
      <c r="LXL1516" s="879"/>
      <c r="LXM1516" s="879"/>
      <c r="LXN1516" s="879"/>
      <c r="LXO1516" s="879"/>
      <c r="LXP1516" s="879"/>
      <c r="LXQ1516" s="879"/>
      <c r="LXR1516" s="879"/>
      <c r="LXS1516" s="879"/>
      <c r="LXT1516" s="879"/>
      <c r="LXU1516" s="879"/>
      <c r="LXV1516" s="879"/>
      <c r="LXW1516" s="879"/>
      <c r="LXX1516" s="879"/>
      <c r="LXY1516" s="879"/>
      <c r="LXZ1516" s="879"/>
      <c r="LYA1516" s="879"/>
      <c r="LYB1516" s="879"/>
      <c r="LYC1516" s="879"/>
      <c r="LYD1516" s="879"/>
      <c r="LYE1516" s="879"/>
      <c r="LYF1516" s="879"/>
      <c r="LYG1516" s="879"/>
      <c r="LYH1516" s="879"/>
      <c r="LYI1516" s="879"/>
      <c r="LYJ1516" s="879"/>
      <c r="LYK1516" s="879"/>
      <c r="LYL1516" s="879"/>
      <c r="LYM1516" s="879"/>
      <c r="LYN1516" s="879"/>
      <c r="LYO1516" s="879"/>
      <c r="LYP1516" s="879"/>
      <c r="LYQ1516" s="879"/>
      <c r="LYR1516" s="879"/>
      <c r="LYS1516" s="879"/>
      <c r="LYT1516" s="879"/>
      <c r="LYU1516" s="879"/>
      <c r="LYV1516" s="879"/>
      <c r="LYW1516" s="879"/>
      <c r="LYX1516" s="879"/>
      <c r="LYY1516" s="879"/>
      <c r="LYZ1516" s="879"/>
      <c r="LZA1516" s="879"/>
      <c r="LZB1516" s="879"/>
      <c r="LZC1516" s="879"/>
      <c r="LZD1516" s="879"/>
      <c r="LZE1516" s="879"/>
      <c r="LZF1516" s="879"/>
      <c r="LZG1516" s="879"/>
      <c r="LZH1516" s="879"/>
      <c r="LZI1516" s="879"/>
      <c r="LZJ1516" s="879"/>
      <c r="LZK1516" s="879"/>
      <c r="LZL1516" s="879"/>
      <c r="LZM1516" s="879"/>
      <c r="LZN1516" s="879"/>
      <c r="LZO1516" s="879"/>
      <c r="LZP1516" s="879"/>
      <c r="LZQ1516" s="879"/>
      <c r="LZR1516" s="879"/>
      <c r="LZS1516" s="879"/>
      <c r="LZT1516" s="879"/>
      <c r="LZU1516" s="879"/>
      <c r="LZV1516" s="879"/>
      <c r="LZW1516" s="879"/>
      <c r="LZX1516" s="879"/>
      <c r="LZY1516" s="879"/>
      <c r="LZZ1516" s="879"/>
      <c r="MAA1516" s="879"/>
      <c r="MAB1516" s="879"/>
      <c r="MAC1516" s="879"/>
      <c r="MAD1516" s="879"/>
      <c r="MAE1516" s="879"/>
      <c r="MAF1516" s="879"/>
      <c r="MAG1516" s="879"/>
      <c r="MAH1516" s="879"/>
      <c r="MAI1516" s="879"/>
      <c r="MAJ1516" s="879"/>
      <c r="MAK1516" s="879"/>
      <c r="MAL1516" s="879"/>
      <c r="MAM1516" s="879"/>
      <c r="MAN1516" s="879"/>
      <c r="MAO1516" s="879"/>
      <c r="MAP1516" s="879"/>
      <c r="MAQ1516" s="879"/>
      <c r="MAR1516" s="879"/>
      <c r="MAS1516" s="879"/>
      <c r="MAT1516" s="879"/>
      <c r="MAU1516" s="879"/>
      <c r="MAV1516" s="879"/>
      <c r="MAW1516" s="879"/>
      <c r="MAX1516" s="879"/>
      <c r="MAY1516" s="879"/>
      <c r="MAZ1516" s="879"/>
      <c r="MBA1516" s="879"/>
      <c r="MBB1516" s="879"/>
      <c r="MBC1516" s="879"/>
      <c r="MBD1516" s="879"/>
      <c r="MBE1516" s="879"/>
      <c r="MBF1516" s="879"/>
      <c r="MBG1516" s="879"/>
      <c r="MBH1516" s="879"/>
      <c r="MBI1516" s="879"/>
      <c r="MBJ1516" s="879"/>
      <c r="MBK1516" s="879"/>
      <c r="MBL1516" s="879"/>
      <c r="MBM1516" s="879"/>
      <c r="MBN1516" s="879"/>
      <c r="MBO1516" s="879"/>
      <c r="MBP1516" s="879"/>
      <c r="MBQ1516" s="879"/>
      <c r="MBR1516" s="879"/>
      <c r="MBS1516" s="879"/>
      <c r="MBT1516" s="879"/>
      <c r="MBU1516" s="879"/>
      <c r="MBV1516" s="879"/>
      <c r="MBW1516" s="879"/>
      <c r="MBX1516" s="879"/>
      <c r="MBY1516" s="879"/>
      <c r="MBZ1516" s="879"/>
      <c r="MCA1516" s="879"/>
      <c r="MCB1516" s="879"/>
      <c r="MCC1516" s="879"/>
      <c r="MCD1516" s="879"/>
      <c r="MCE1516" s="879"/>
      <c r="MCF1516" s="879"/>
      <c r="MCG1516" s="879"/>
      <c r="MCH1516" s="879"/>
      <c r="MCI1516" s="879"/>
      <c r="MCJ1516" s="879"/>
      <c r="MCK1516" s="879"/>
      <c r="MCL1516" s="879"/>
      <c r="MCM1516" s="879"/>
      <c r="MCN1516" s="879"/>
      <c r="MCO1516" s="879"/>
      <c r="MCP1516" s="879"/>
      <c r="MCQ1516" s="879"/>
      <c r="MCR1516" s="879"/>
      <c r="MCS1516" s="879"/>
      <c r="MCT1516" s="879"/>
      <c r="MCU1516" s="879"/>
      <c r="MCV1516" s="879"/>
      <c r="MCW1516" s="879"/>
      <c r="MCX1516" s="879"/>
      <c r="MCY1516" s="879"/>
      <c r="MCZ1516" s="879"/>
      <c r="MDA1516" s="879"/>
      <c r="MDB1516" s="879"/>
      <c r="MDC1516" s="879"/>
      <c r="MDD1516" s="879"/>
      <c r="MDE1516" s="879"/>
      <c r="MDF1516" s="879"/>
      <c r="MDG1516" s="879"/>
      <c r="MDH1516" s="879"/>
      <c r="MDI1516" s="879"/>
      <c r="MDJ1516" s="879"/>
      <c r="MDK1516" s="879"/>
      <c r="MDL1516" s="879"/>
      <c r="MDM1516" s="879"/>
      <c r="MDN1516" s="879"/>
      <c r="MDO1516" s="879"/>
      <c r="MDP1516" s="879"/>
      <c r="MDQ1516" s="879"/>
      <c r="MDR1516" s="879"/>
      <c r="MDS1516" s="879"/>
      <c r="MDT1516" s="879"/>
      <c r="MDU1516" s="879"/>
      <c r="MDV1516" s="879"/>
      <c r="MDW1516" s="879"/>
      <c r="MDX1516" s="879"/>
      <c r="MDY1516" s="879"/>
      <c r="MDZ1516" s="879"/>
      <c r="MEA1516" s="879"/>
      <c r="MEB1516" s="879"/>
      <c r="MEC1516" s="879"/>
      <c r="MED1516" s="879"/>
      <c r="MEE1516" s="879"/>
      <c r="MEF1516" s="879"/>
      <c r="MEG1516" s="879"/>
      <c r="MEH1516" s="879"/>
      <c r="MEI1516" s="879"/>
      <c r="MEJ1516" s="879"/>
      <c r="MEK1516" s="879"/>
      <c r="MEL1516" s="879"/>
      <c r="MEM1516" s="879"/>
      <c r="MEN1516" s="879"/>
      <c r="MEO1516" s="879"/>
      <c r="MEP1516" s="879"/>
      <c r="MEQ1516" s="879"/>
      <c r="MER1516" s="879"/>
      <c r="MES1516" s="879"/>
      <c r="MET1516" s="879"/>
      <c r="MEU1516" s="879"/>
      <c r="MEV1516" s="879"/>
      <c r="MEW1516" s="879"/>
      <c r="MEX1516" s="879"/>
      <c r="MEY1516" s="879"/>
      <c r="MEZ1516" s="879"/>
      <c r="MFA1516" s="879"/>
      <c r="MFB1516" s="879"/>
      <c r="MFC1516" s="879"/>
      <c r="MFD1516" s="879"/>
      <c r="MFE1516" s="879"/>
      <c r="MFF1516" s="879"/>
      <c r="MFG1516" s="879"/>
      <c r="MFH1516" s="879"/>
      <c r="MFI1516" s="879"/>
      <c r="MFJ1516" s="879"/>
      <c r="MFK1516" s="879"/>
      <c r="MFL1516" s="879"/>
      <c r="MFM1516" s="879"/>
      <c r="MFN1516" s="879"/>
      <c r="MFO1516" s="879"/>
      <c r="MFP1516" s="879"/>
      <c r="MFQ1516" s="879"/>
      <c r="MFR1516" s="879"/>
      <c r="MFS1516" s="879"/>
      <c r="MFT1516" s="879"/>
      <c r="MFU1516" s="879"/>
      <c r="MFV1516" s="879"/>
      <c r="MFW1516" s="879"/>
      <c r="MFX1516" s="879"/>
      <c r="MFY1516" s="879"/>
      <c r="MFZ1516" s="879"/>
      <c r="MGA1516" s="879"/>
      <c r="MGB1516" s="879"/>
      <c r="MGC1516" s="879"/>
      <c r="MGD1516" s="879"/>
      <c r="MGE1516" s="879"/>
      <c r="MGF1516" s="879"/>
      <c r="MGG1516" s="879"/>
      <c r="MGH1516" s="879"/>
      <c r="MGI1516" s="879"/>
      <c r="MGJ1516" s="879"/>
      <c r="MGK1516" s="879"/>
      <c r="MGL1516" s="879"/>
      <c r="MGM1516" s="879"/>
      <c r="MGN1516" s="879"/>
      <c r="MGO1516" s="879"/>
      <c r="MGP1516" s="879"/>
      <c r="MGQ1516" s="879"/>
      <c r="MGR1516" s="879"/>
      <c r="MGS1516" s="879"/>
      <c r="MGT1516" s="879"/>
      <c r="MGU1516" s="879"/>
      <c r="MGV1516" s="879"/>
      <c r="MGW1516" s="879"/>
      <c r="MGX1516" s="879"/>
      <c r="MGY1516" s="879"/>
      <c r="MGZ1516" s="879"/>
      <c r="MHA1516" s="879"/>
      <c r="MHB1516" s="879"/>
      <c r="MHC1516" s="879"/>
      <c r="MHD1516" s="879"/>
      <c r="MHE1516" s="879"/>
      <c r="MHF1516" s="879"/>
      <c r="MHG1516" s="879"/>
      <c r="MHH1516" s="879"/>
      <c r="MHI1516" s="879"/>
      <c r="MHJ1516" s="879"/>
      <c r="MHK1516" s="879"/>
      <c r="MHL1516" s="879"/>
      <c r="MHM1516" s="879"/>
      <c r="MHN1516" s="879"/>
      <c r="MHO1516" s="879"/>
      <c r="MHP1516" s="879"/>
      <c r="MHQ1516" s="879"/>
      <c r="MHR1516" s="879"/>
      <c r="MHS1516" s="879"/>
      <c r="MHT1516" s="879"/>
      <c r="MHU1516" s="879"/>
      <c r="MHV1516" s="879"/>
      <c r="MHW1516" s="879"/>
      <c r="MHX1516" s="879"/>
      <c r="MHY1516" s="879"/>
      <c r="MHZ1516" s="879"/>
      <c r="MIA1516" s="879"/>
      <c r="MIB1516" s="879"/>
      <c r="MIC1516" s="879"/>
      <c r="MID1516" s="879"/>
      <c r="MIE1516" s="879"/>
      <c r="MIF1516" s="879"/>
      <c r="MIG1516" s="879"/>
      <c r="MIH1516" s="879"/>
      <c r="MII1516" s="879"/>
      <c r="MIJ1516" s="879"/>
      <c r="MIK1516" s="879"/>
      <c r="MIL1516" s="879"/>
      <c r="MIM1516" s="879"/>
      <c r="MIN1516" s="879"/>
      <c r="MIO1516" s="879"/>
      <c r="MIP1516" s="879"/>
      <c r="MIQ1516" s="879"/>
      <c r="MIR1516" s="879"/>
      <c r="MIS1516" s="879"/>
      <c r="MIT1516" s="879"/>
      <c r="MIU1516" s="879"/>
      <c r="MIV1516" s="879"/>
      <c r="MIW1516" s="879"/>
      <c r="MIX1516" s="879"/>
      <c r="MIY1516" s="879"/>
      <c r="MIZ1516" s="879"/>
      <c r="MJA1516" s="879"/>
      <c r="MJB1516" s="879"/>
      <c r="MJC1516" s="879"/>
      <c r="MJD1516" s="879"/>
      <c r="MJE1516" s="879"/>
      <c r="MJF1516" s="879"/>
      <c r="MJG1516" s="879"/>
      <c r="MJH1516" s="879"/>
      <c r="MJI1516" s="879"/>
      <c r="MJJ1516" s="879"/>
      <c r="MJK1516" s="879"/>
      <c r="MJL1516" s="879"/>
      <c r="MJM1516" s="879"/>
      <c r="MJN1516" s="879"/>
      <c r="MJO1516" s="879"/>
      <c r="MJP1516" s="879"/>
      <c r="MJQ1516" s="879"/>
      <c r="MJR1516" s="879"/>
      <c r="MJS1516" s="879"/>
      <c r="MJT1516" s="879"/>
      <c r="MJU1516" s="879"/>
      <c r="MJV1516" s="879"/>
      <c r="MJW1516" s="879"/>
      <c r="MJX1516" s="879"/>
      <c r="MJY1516" s="879"/>
      <c r="MJZ1516" s="879"/>
      <c r="MKA1516" s="879"/>
      <c r="MKB1516" s="879"/>
      <c r="MKC1516" s="879"/>
      <c r="MKD1516" s="879"/>
      <c r="MKE1516" s="879"/>
      <c r="MKF1516" s="879"/>
      <c r="MKG1516" s="879"/>
      <c r="MKH1516" s="879"/>
      <c r="MKI1516" s="879"/>
      <c r="MKJ1516" s="879"/>
      <c r="MKK1516" s="879"/>
      <c r="MKL1516" s="879"/>
      <c r="MKM1516" s="879"/>
      <c r="MKN1516" s="879"/>
      <c r="MKO1516" s="879"/>
      <c r="MKP1516" s="879"/>
      <c r="MKQ1516" s="879"/>
      <c r="MKR1516" s="879"/>
      <c r="MKS1516" s="879"/>
      <c r="MKT1516" s="879"/>
      <c r="MKU1516" s="879"/>
      <c r="MKV1516" s="879"/>
      <c r="MKW1516" s="879"/>
      <c r="MKX1516" s="879"/>
      <c r="MKY1516" s="879"/>
      <c r="MKZ1516" s="879"/>
      <c r="MLA1516" s="879"/>
      <c r="MLB1516" s="879"/>
      <c r="MLC1516" s="879"/>
      <c r="MLD1516" s="879"/>
      <c r="MLE1516" s="879"/>
      <c r="MLF1516" s="879"/>
      <c r="MLG1516" s="879"/>
      <c r="MLH1516" s="879"/>
      <c r="MLI1516" s="879"/>
      <c r="MLJ1516" s="879"/>
      <c r="MLK1516" s="879"/>
      <c r="MLL1516" s="879"/>
      <c r="MLM1516" s="879"/>
      <c r="MLN1516" s="879"/>
      <c r="MLO1516" s="879"/>
      <c r="MLP1516" s="879"/>
      <c r="MLQ1516" s="879"/>
      <c r="MLR1516" s="879"/>
      <c r="MLS1516" s="879"/>
      <c r="MLT1516" s="879"/>
      <c r="MLU1516" s="879"/>
      <c r="MLV1516" s="879"/>
      <c r="MLW1516" s="879"/>
      <c r="MLX1516" s="879"/>
      <c r="MLY1516" s="879"/>
      <c r="MLZ1516" s="879"/>
      <c r="MMA1516" s="879"/>
      <c r="MMB1516" s="879"/>
      <c r="MMC1516" s="879"/>
      <c r="MMD1516" s="879"/>
      <c r="MME1516" s="879"/>
      <c r="MMF1516" s="879"/>
      <c r="MMG1516" s="879"/>
      <c r="MMH1516" s="879"/>
      <c r="MMI1516" s="879"/>
      <c r="MMJ1516" s="879"/>
      <c r="MMK1516" s="879"/>
      <c r="MML1516" s="879"/>
      <c r="MMM1516" s="879"/>
      <c r="MMN1516" s="879"/>
      <c r="MMO1516" s="879"/>
      <c r="MMP1516" s="879"/>
      <c r="MMQ1516" s="879"/>
      <c r="MMR1516" s="879"/>
      <c r="MMS1516" s="879"/>
      <c r="MMT1516" s="879"/>
      <c r="MMU1516" s="879"/>
      <c r="MMV1516" s="879"/>
      <c r="MMW1516" s="879"/>
      <c r="MMX1516" s="879"/>
      <c r="MMY1516" s="879"/>
      <c r="MMZ1516" s="879"/>
      <c r="MNA1516" s="879"/>
      <c r="MNB1516" s="879"/>
      <c r="MNC1516" s="879"/>
      <c r="MND1516" s="879"/>
      <c r="MNE1516" s="879"/>
      <c r="MNF1516" s="879"/>
      <c r="MNG1516" s="879"/>
      <c r="MNH1516" s="879"/>
      <c r="MNI1516" s="879"/>
      <c r="MNJ1516" s="879"/>
      <c r="MNK1516" s="879"/>
      <c r="MNL1516" s="879"/>
      <c r="MNM1516" s="879"/>
      <c r="MNN1516" s="879"/>
      <c r="MNO1516" s="879"/>
      <c r="MNP1516" s="879"/>
      <c r="MNQ1516" s="879"/>
      <c r="MNR1516" s="879"/>
      <c r="MNS1516" s="879"/>
      <c r="MNT1516" s="879"/>
      <c r="MNU1516" s="879"/>
      <c r="MNV1516" s="879"/>
      <c r="MNW1516" s="879"/>
      <c r="MNX1516" s="879"/>
      <c r="MNY1516" s="879"/>
      <c r="MNZ1516" s="879"/>
      <c r="MOA1516" s="879"/>
      <c r="MOB1516" s="879"/>
      <c r="MOC1516" s="879"/>
      <c r="MOD1516" s="879"/>
      <c r="MOE1516" s="879"/>
      <c r="MOF1516" s="879"/>
      <c r="MOG1516" s="879"/>
      <c r="MOH1516" s="879"/>
      <c r="MOI1516" s="879"/>
      <c r="MOJ1516" s="879"/>
      <c r="MOK1516" s="879"/>
      <c r="MOL1516" s="879"/>
      <c r="MOM1516" s="879"/>
      <c r="MON1516" s="879"/>
      <c r="MOO1516" s="879"/>
      <c r="MOP1516" s="879"/>
      <c r="MOQ1516" s="879"/>
      <c r="MOR1516" s="879"/>
      <c r="MOS1516" s="879"/>
      <c r="MOT1516" s="879"/>
      <c r="MOU1516" s="879"/>
      <c r="MOV1516" s="879"/>
      <c r="MOW1516" s="879"/>
      <c r="MOX1516" s="879"/>
      <c r="MOY1516" s="879"/>
      <c r="MOZ1516" s="879"/>
      <c r="MPA1516" s="879"/>
      <c r="MPB1516" s="879"/>
      <c r="MPC1516" s="879"/>
      <c r="MPD1516" s="879"/>
      <c r="MPE1516" s="879"/>
      <c r="MPF1516" s="879"/>
      <c r="MPG1516" s="879"/>
      <c r="MPH1516" s="879"/>
      <c r="MPI1516" s="879"/>
      <c r="MPJ1516" s="879"/>
      <c r="MPK1516" s="879"/>
      <c r="MPL1516" s="879"/>
      <c r="MPM1516" s="879"/>
      <c r="MPN1516" s="879"/>
      <c r="MPO1516" s="879"/>
      <c r="MPP1516" s="879"/>
      <c r="MPQ1516" s="879"/>
      <c r="MPR1516" s="879"/>
      <c r="MPS1516" s="879"/>
      <c r="MPT1516" s="879"/>
      <c r="MPU1516" s="879"/>
      <c r="MPV1516" s="879"/>
      <c r="MPW1516" s="879"/>
      <c r="MPX1516" s="879"/>
      <c r="MPY1516" s="879"/>
      <c r="MPZ1516" s="879"/>
      <c r="MQA1516" s="879"/>
      <c r="MQB1516" s="879"/>
      <c r="MQC1516" s="879"/>
      <c r="MQD1516" s="879"/>
      <c r="MQE1516" s="879"/>
      <c r="MQF1516" s="879"/>
      <c r="MQG1516" s="879"/>
      <c r="MQH1516" s="879"/>
      <c r="MQI1516" s="879"/>
      <c r="MQJ1516" s="879"/>
      <c r="MQK1516" s="879"/>
      <c r="MQL1516" s="879"/>
      <c r="MQM1516" s="879"/>
      <c r="MQN1516" s="879"/>
      <c r="MQO1516" s="879"/>
      <c r="MQP1516" s="879"/>
      <c r="MQQ1516" s="879"/>
      <c r="MQR1516" s="879"/>
      <c r="MQS1516" s="879"/>
      <c r="MQT1516" s="879"/>
      <c r="MQU1516" s="879"/>
      <c r="MQV1516" s="879"/>
      <c r="MQW1516" s="879"/>
      <c r="MQX1516" s="879"/>
      <c r="MQY1516" s="879"/>
      <c r="MQZ1516" s="879"/>
      <c r="MRA1516" s="879"/>
      <c r="MRB1516" s="879"/>
      <c r="MRC1516" s="879"/>
      <c r="MRD1516" s="879"/>
      <c r="MRE1516" s="879"/>
      <c r="MRF1516" s="879"/>
      <c r="MRG1516" s="879"/>
      <c r="MRH1516" s="879"/>
      <c r="MRI1516" s="879"/>
      <c r="MRJ1516" s="879"/>
      <c r="MRK1516" s="879"/>
      <c r="MRL1516" s="879"/>
      <c r="MRM1516" s="879"/>
      <c r="MRN1516" s="879"/>
      <c r="MRO1516" s="879"/>
      <c r="MRP1516" s="879"/>
      <c r="MRQ1516" s="879"/>
      <c r="MRR1516" s="879"/>
      <c r="MRS1516" s="879"/>
      <c r="MRT1516" s="879"/>
      <c r="MRU1516" s="879"/>
      <c r="MRV1516" s="879"/>
      <c r="MRW1516" s="879"/>
      <c r="MRX1516" s="879"/>
      <c r="MRY1516" s="879"/>
      <c r="MRZ1516" s="879"/>
      <c r="MSA1516" s="879"/>
      <c r="MSB1516" s="879"/>
      <c r="MSC1516" s="879"/>
      <c r="MSD1516" s="879"/>
      <c r="MSE1516" s="879"/>
      <c r="MSF1516" s="879"/>
      <c r="MSG1516" s="879"/>
      <c r="MSH1516" s="879"/>
      <c r="MSI1516" s="879"/>
      <c r="MSJ1516" s="879"/>
      <c r="MSK1516" s="879"/>
      <c r="MSL1516" s="879"/>
      <c r="MSM1516" s="879"/>
      <c r="MSN1516" s="879"/>
      <c r="MSO1516" s="879"/>
      <c r="MSP1516" s="879"/>
      <c r="MSQ1516" s="879"/>
      <c r="MSR1516" s="879"/>
      <c r="MSS1516" s="879"/>
      <c r="MST1516" s="879"/>
      <c r="MSU1516" s="879"/>
      <c r="MSV1516" s="879"/>
      <c r="MSW1516" s="879"/>
      <c r="MSX1516" s="879"/>
      <c r="MSY1516" s="879"/>
      <c r="MSZ1516" s="879"/>
      <c r="MTA1516" s="879"/>
      <c r="MTB1516" s="879"/>
      <c r="MTC1516" s="879"/>
      <c r="MTD1516" s="879"/>
      <c r="MTE1516" s="879"/>
      <c r="MTF1516" s="879"/>
      <c r="MTG1516" s="879"/>
      <c r="MTH1516" s="879"/>
      <c r="MTI1516" s="879"/>
      <c r="MTJ1516" s="879"/>
      <c r="MTK1516" s="879"/>
      <c r="MTL1516" s="879"/>
      <c r="MTM1516" s="879"/>
      <c r="MTN1516" s="879"/>
      <c r="MTO1516" s="879"/>
      <c r="MTP1516" s="879"/>
      <c r="MTQ1516" s="879"/>
      <c r="MTR1516" s="879"/>
      <c r="MTS1516" s="879"/>
      <c r="MTT1516" s="879"/>
      <c r="MTU1516" s="879"/>
      <c r="MTV1516" s="879"/>
      <c r="MTW1516" s="879"/>
      <c r="MTX1516" s="879"/>
      <c r="MTY1516" s="879"/>
      <c r="MTZ1516" s="879"/>
      <c r="MUA1516" s="879"/>
      <c r="MUB1516" s="879"/>
      <c r="MUC1516" s="879"/>
      <c r="MUD1516" s="879"/>
      <c r="MUE1516" s="879"/>
      <c r="MUF1516" s="879"/>
      <c r="MUG1516" s="879"/>
      <c r="MUH1516" s="879"/>
      <c r="MUI1516" s="879"/>
      <c r="MUJ1516" s="879"/>
      <c r="MUK1516" s="879"/>
      <c r="MUL1516" s="879"/>
      <c r="MUM1516" s="879"/>
      <c r="MUN1516" s="879"/>
      <c r="MUO1516" s="879"/>
      <c r="MUP1516" s="879"/>
      <c r="MUQ1516" s="879"/>
      <c r="MUR1516" s="879"/>
      <c r="MUS1516" s="879"/>
      <c r="MUT1516" s="879"/>
      <c r="MUU1516" s="879"/>
      <c r="MUV1516" s="879"/>
      <c r="MUW1516" s="879"/>
      <c r="MUX1516" s="879"/>
      <c r="MUY1516" s="879"/>
      <c r="MUZ1516" s="879"/>
      <c r="MVA1516" s="879"/>
      <c r="MVB1516" s="879"/>
      <c r="MVC1516" s="879"/>
      <c r="MVD1516" s="879"/>
      <c r="MVE1516" s="879"/>
      <c r="MVF1516" s="879"/>
      <c r="MVG1516" s="879"/>
      <c r="MVH1516" s="879"/>
      <c r="MVI1516" s="879"/>
      <c r="MVJ1516" s="879"/>
      <c r="MVK1516" s="879"/>
      <c r="MVL1516" s="879"/>
      <c r="MVM1516" s="879"/>
      <c r="MVN1516" s="879"/>
      <c r="MVO1516" s="879"/>
      <c r="MVP1516" s="879"/>
      <c r="MVQ1516" s="879"/>
      <c r="MVR1516" s="879"/>
      <c r="MVS1516" s="879"/>
      <c r="MVT1516" s="879"/>
      <c r="MVU1516" s="879"/>
      <c r="MVV1516" s="879"/>
      <c r="MVW1516" s="879"/>
      <c r="MVX1516" s="879"/>
      <c r="MVY1516" s="879"/>
      <c r="MVZ1516" s="879"/>
      <c r="MWA1516" s="879"/>
      <c r="MWB1516" s="879"/>
      <c r="MWC1516" s="879"/>
      <c r="MWD1516" s="879"/>
      <c r="MWE1516" s="879"/>
      <c r="MWF1516" s="879"/>
      <c r="MWG1516" s="879"/>
      <c r="MWH1516" s="879"/>
      <c r="MWI1516" s="879"/>
      <c r="MWJ1516" s="879"/>
      <c r="MWK1516" s="879"/>
      <c r="MWL1516" s="879"/>
      <c r="MWM1516" s="879"/>
      <c r="MWN1516" s="879"/>
      <c r="MWO1516" s="879"/>
      <c r="MWP1516" s="879"/>
      <c r="MWQ1516" s="879"/>
      <c r="MWR1516" s="879"/>
      <c r="MWS1516" s="879"/>
      <c r="MWT1516" s="879"/>
      <c r="MWU1516" s="879"/>
      <c r="MWV1516" s="879"/>
      <c r="MWW1516" s="879"/>
      <c r="MWX1516" s="879"/>
      <c r="MWY1516" s="879"/>
      <c r="MWZ1516" s="879"/>
      <c r="MXA1516" s="879"/>
      <c r="MXB1516" s="879"/>
      <c r="MXC1516" s="879"/>
      <c r="MXD1516" s="879"/>
      <c r="MXE1516" s="879"/>
      <c r="MXF1516" s="879"/>
      <c r="MXG1516" s="879"/>
      <c r="MXH1516" s="879"/>
      <c r="MXI1516" s="879"/>
      <c r="MXJ1516" s="879"/>
      <c r="MXK1516" s="879"/>
      <c r="MXL1516" s="879"/>
      <c r="MXM1516" s="879"/>
      <c r="MXN1516" s="879"/>
      <c r="MXO1516" s="879"/>
      <c r="MXP1516" s="879"/>
      <c r="MXQ1516" s="879"/>
      <c r="MXR1516" s="879"/>
      <c r="MXS1516" s="879"/>
      <c r="MXT1516" s="879"/>
      <c r="MXU1516" s="879"/>
      <c r="MXV1516" s="879"/>
      <c r="MXW1516" s="879"/>
      <c r="MXX1516" s="879"/>
      <c r="MXY1516" s="879"/>
      <c r="MXZ1516" s="879"/>
      <c r="MYA1516" s="879"/>
      <c r="MYB1516" s="879"/>
      <c r="MYC1516" s="879"/>
      <c r="MYD1516" s="879"/>
      <c r="MYE1516" s="879"/>
      <c r="MYF1516" s="879"/>
      <c r="MYG1516" s="879"/>
      <c r="MYH1516" s="879"/>
      <c r="MYI1516" s="879"/>
      <c r="MYJ1516" s="879"/>
      <c r="MYK1516" s="879"/>
      <c r="MYL1516" s="879"/>
      <c r="MYM1516" s="879"/>
      <c r="MYN1516" s="879"/>
      <c r="MYO1516" s="879"/>
      <c r="MYP1516" s="879"/>
      <c r="MYQ1516" s="879"/>
      <c r="MYR1516" s="879"/>
      <c r="MYS1516" s="879"/>
      <c r="MYT1516" s="879"/>
      <c r="MYU1516" s="879"/>
      <c r="MYV1516" s="879"/>
      <c r="MYW1516" s="879"/>
      <c r="MYX1516" s="879"/>
      <c r="MYY1516" s="879"/>
      <c r="MYZ1516" s="879"/>
      <c r="MZA1516" s="879"/>
      <c r="MZB1516" s="879"/>
      <c r="MZC1516" s="879"/>
      <c r="MZD1516" s="879"/>
      <c r="MZE1516" s="879"/>
      <c r="MZF1516" s="879"/>
      <c r="MZG1516" s="879"/>
      <c r="MZH1516" s="879"/>
      <c r="MZI1516" s="879"/>
      <c r="MZJ1516" s="879"/>
      <c r="MZK1516" s="879"/>
      <c r="MZL1516" s="879"/>
      <c r="MZM1516" s="879"/>
      <c r="MZN1516" s="879"/>
      <c r="MZO1516" s="879"/>
      <c r="MZP1516" s="879"/>
      <c r="MZQ1516" s="879"/>
      <c r="MZR1516" s="879"/>
      <c r="MZS1516" s="879"/>
      <c r="MZT1516" s="879"/>
      <c r="MZU1516" s="879"/>
      <c r="MZV1516" s="879"/>
      <c r="MZW1516" s="879"/>
      <c r="MZX1516" s="879"/>
      <c r="MZY1516" s="879"/>
      <c r="MZZ1516" s="879"/>
      <c r="NAA1516" s="879"/>
      <c r="NAB1516" s="879"/>
      <c r="NAC1516" s="879"/>
      <c r="NAD1516" s="879"/>
      <c r="NAE1516" s="879"/>
      <c r="NAF1516" s="879"/>
      <c r="NAG1516" s="879"/>
      <c r="NAH1516" s="879"/>
      <c r="NAI1516" s="879"/>
      <c r="NAJ1516" s="879"/>
      <c r="NAK1516" s="879"/>
      <c r="NAL1516" s="879"/>
      <c r="NAM1516" s="879"/>
      <c r="NAN1516" s="879"/>
      <c r="NAO1516" s="879"/>
      <c r="NAP1516" s="879"/>
      <c r="NAQ1516" s="879"/>
      <c r="NAR1516" s="879"/>
      <c r="NAS1516" s="879"/>
      <c r="NAT1516" s="879"/>
      <c r="NAU1516" s="879"/>
      <c r="NAV1516" s="879"/>
      <c r="NAW1516" s="879"/>
      <c r="NAX1516" s="879"/>
      <c r="NAY1516" s="879"/>
      <c r="NAZ1516" s="879"/>
      <c r="NBA1516" s="879"/>
      <c r="NBB1516" s="879"/>
      <c r="NBC1516" s="879"/>
      <c r="NBD1516" s="879"/>
      <c r="NBE1516" s="879"/>
      <c r="NBF1516" s="879"/>
      <c r="NBG1516" s="879"/>
      <c r="NBH1516" s="879"/>
      <c r="NBI1516" s="879"/>
      <c r="NBJ1516" s="879"/>
      <c r="NBK1516" s="879"/>
      <c r="NBL1516" s="879"/>
      <c r="NBM1516" s="879"/>
      <c r="NBN1516" s="879"/>
      <c r="NBO1516" s="879"/>
      <c r="NBP1516" s="879"/>
      <c r="NBQ1516" s="879"/>
      <c r="NBR1516" s="879"/>
      <c r="NBS1516" s="879"/>
      <c r="NBT1516" s="879"/>
      <c r="NBU1516" s="879"/>
      <c r="NBV1516" s="879"/>
      <c r="NBW1516" s="879"/>
      <c r="NBX1516" s="879"/>
      <c r="NBY1516" s="879"/>
      <c r="NBZ1516" s="879"/>
      <c r="NCA1516" s="879"/>
      <c r="NCB1516" s="879"/>
      <c r="NCC1516" s="879"/>
      <c r="NCD1516" s="879"/>
      <c r="NCE1516" s="879"/>
      <c r="NCF1516" s="879"/>
      <c r="NCG1516" s="879"/>
      <c r="NCH1516" s="879"/>
      <c r="NCI1516" s="879"/>
      <c r="NCJ1516" s="879"/>
      <c r="NCK1516" s="879"/>
      <c r="NCL1516" s="879"/>
      <c r="NCM1516" s="879"/>
      <c r="NCN1516" s="879"/>
      <c r="NCO1516" s="879"/>
      <c r="NCP1516" s="879"/>
      <c r="NCQ1516" s="879"/>
      <c r="NCR1516" s="879"/>
      <c r="NCS1516" s="879"/>
      <c r="NCT1516" s="879"/>
      <c r="NCU1516" s="879"/>
      <c r="NCV1516" s="879"/>
      <c r="NCW1516" s="879"/>
      <c r="NCX1516" s="879"/>
      <c r="NCY1516" s="879"/>
      <c r="NCZ1516" s="879"/>
      <c r="NDA1516" s="879"/>
      <c r="NDB1516" s="879"/>
      <c r="NDC1516" s="879"/>
      <c r="NDD1516" s="879"/>
      <c r="NDE1516" s="879"/>
      <c r="NDF1516" s="879"/>
      <c r="NDG1516" s="879"/>
      <c r="NDH1516" s="879"/>
      <c r="NDI1516" s="879"/>
      <c r="NDJ1516" s="879"/>
      <c r="NDK1516" s="879"/>
      <c r="NDL1516" s="879"/>
      <c r="NDM1516" s="879"/>
      <c r="NDN1516" s="879"/>
      <c r="NDO1516" s="879"/>
      <c r="NDP1516" s="879"/>
      <c r="NDQ1516" s="879"/>
      <c r="NDR1516" s="879"/>
      <c r="NDS1516" s="879"/>
      <c r="NDT1516" s="879"/>
      <c r="NDU1516" s="879"/>
      <c r="NDV1516" s="879"/>
      <c r="NDW1516" s="879"/>
      <c r="NDX1516" s="879"/>
      <c r="NDY1516" s="879"/>
      <c r="NDZ1516" s="879"/>
      <c r="NEA1516" s="879"/>
      <c r="NEB1516" s="879"/>
      <c r="NEC1516" s="879"/>
      <c r="NED1516" s="879"/>
      <c r="NEE1516" s="879"/>
      <c r="NEF1516" s="879"/>
      <c r="NEG1516" s="879"/>
      <c r="NEH1516" s="879"/>
      <c r="NEI1516" s="879"/>
      <c r="NEJ1516" s="879"/>
      <c r="NEK1516" s="879"/>
      <c r="NEL1516" s="879"/>
      <c r="NEM1516" s="879"/>
      <c r="NEN1516" s="879"/>
      <c r="NEO1516" s="879"/>
      <c r="NEP1516" s="879"/>
      <c r="NEQ1516" s="879"/>
      <c r="NER1516" s="879"/>
      <c r="NES1516" s="879"/>
      <c r="NET1516" s="879"/>
      <c r="NEU1516" s="879"/>
      <c r="NEV1516" s="879"/>
      <c r="NEW1516" s="879"/>
      <c r="NEX1516" s="879"/>
      <c r="NEY1516" s="879"/>
      <c r="NEZ1516" s="879"/>
      <c r="NFA1516" s="879"/>
      <c r="NFB1516" s="879"/>
      <c r="NFC1516" s="879"/>
      <c r="NFD1516" s="879"/>
      <c r="NFE1516" s="879"/>
      <c r="NFF1516" s="879"/>
      <c r="NFG1516" s="879"/>
      <c r="NFH1516" s="879"/>
      <c r="NFI1516" s="879"/>
      <c r="NFJ1516" s="879"/>
      <c r="NFK1516" s="879"/>
      <c r="NFL1516" s="879"/>
      <c r="NFM1516" s="879"/>
      <c r="NFN1516" s="879"/>
      <c r="NFO1516" s="879"/>
      <c r="NFP1516" s="879"/>
      <c r="NFQ1516" s="879"/>
      <c r="NFR1516" s="879"/>
      <c r="NFS1516" s="879"/>
      <c r="NFT1516" s="879"/>
      <c r="NFU1516" s="879"/>
      <c r="NFV1516" s="879"/>
      <c r="NFW1516" s="879"/>
      <c r="NFX1516" s="879"/>
      <c r="NFY1516" s="879"/>
      <c r="NFZ1516" s="879"/>
      <c r="NGA1516" s="879"/>
      <c r="NGB1516" s="879"/>
      <c r="NGC1516" s="879"/>
      <c r="NGD1516" s="879"/>
      <c r="NGE1516" s="879"/>
      <c r="NGF1516" s="879"/>
      <c r="NGG1516" s="879"/>
      <c r="NGH1516" s="879"/>
      <c r="NGI1516" s="879"/>
      <c r="NGJ1516" s="879"/>
      <c r="NGK1516" s="879"/>
      <c r="NGL1516" s="879"/>
      <c r="NGM1516" s="879"/>
      <c r="NGN1516" s="879"/>
      <c r="NGO1516" s="879"/>
      <c r="NGP1516" s="879"/>
      <c r="NGQ1516" s="879"/>
      <c r="NGR1516" s="879"/>
      <c r="NGS1516" s="879"/>
      <c r="NGT1516" s="879"/>
      <c r="NGU1516" s="879"/>
      <c r="NGV1516" s="879"/>
      <c r="NGW1516" s="879"/>
      <c r="NGX1516" s="879"/>
      <c r="NGY1516" s="879"/>
      <c r="NGZ1516" s="879"/>
      <c r="NHA1516" s="879"/>
      <c r="NHB1516" s="879"/>
      <c r="NHC1516" s="879"/>
      <c r="NHD1516" s="879"/>
      <c r="NHE1516" s="879"/>
      <c r="NHF1516" s="879"/>
      <c r="NHG1516" s="879"/>
      <c r="NHH1516" s="879"/>
      <c r="NHI1516" s="879"/>
      <c r="NHJ1516" s="879"/>
      <c r="NHK1516" s="879"/>
      <c r="NHL1516" s="879"/>
      <c r="NHM1516" s="879"/>
      <c r="NHN1516" s="879"/>
      <c r="NHO1516" s="879"/>
      <c r="NHP1516" s="879"/>
      <c r="NHQ1516" s="879"/>
      <c r="NHR1516" s="879"/>
      <c r="NHS1516" s="879"/>
      <c r="NHT1516" s="879"/>
      <c r="NHU1516" s="879"/>
      <c r="NHV1516" s="879"/>
      <c r="NHW1516" s="879"/>
      <c r="NHX1516" s="879"/>
      <c r="NHY1516" s="879"/>
      <c r="NHZ1516" s="879"/>
      <c r="NIA1516" s="879"/>
      <c r="NIB1516" s="879"/>
      <c r="NIC1516" s="879"/>
      <c r="NID1516" s="879"/>
      <c r="NIE1516" s="879"/>
      <c r="NIF1516" s="879"/>
      <c r="NIG1516" s="879"/>
      <c r="NIH1516" s="879"/>
      <c r="NII1516" s="879"/>
      <c r="NIJ1516" s="879"/>
      <c r="NIK1516" s="879"/>
      <c r="NIL1516" s="879"/>
      <c r="NIM1516" s="879"/>
      <c r="NIN1516" s="879"/>
      <c r="NIO1516" s="879"/>
      <c r="NIP1516" s="879"/>
      <c r="NIQ1516" s="879"/>
      <c r="NIR1516" s="879"/>
      <c r="NIS1516" s="879"/>
      <c r="NIT1516" s="879"/>
      <c r="NIU1516" s="879"/>
      <c r="NIV1516" s="879"/>
      <c r="NIW1516" s="879"/>
      <c r="NIX1516" s="879"/>
      <c r="NIY1516" s="879"/>
      <c r="NIZ1516" s="879"/>
      <c r="NJA1516" s="879"/>
      <c r="NJB1516" s="879"/>
      <c r="NJC1516" s="879"/>
      <c r="NJD1516" s="879"/>
      <c r="NJE1516" s="879"/>
      <c r="NJF1516" s="879"/>
      <c r="NJG1516" s="879"/>
      <c r="NJH1516" s="879"/>
      <c r="NJI1516" s="879"/>
      <c r="NJJ1516" s="879"/>
      <c r="NJK1516" s="879"/>
      <c r="NJL1516" s="879"/>
      <c r="NJM1516" s="879"/>
      <c r="NJN1516" s="879"/>
      <c r="NJO1516" s="879"/>
      <c r="NJP1516" s="879"/>
      <c r="NJQ1516" s="879"/>
      <c r="NJR1516" s="879"/>
      <c r="NJS1516" s="879"/>
      <c r="NJT1516" s="879"/>
      <c r="NJU1516" s="879"/>
      <c r="NJV1516" s="879"/>
      <c r="NJW1516" s="879"/>
      <c r="NJX1516" s="879"/>
      <c r="NJY1516" s="879"/>
      <c r="NJZ1516" s="879"/>
      <c r="NKA1516" s="879"/>
      <c r="NKB1516" s="879"/>
      <c r="NKC1516" s="879"/>
      <c r="NKD1516" s="879"/>
      <c r="NKE1516" s="879"/>
      <c r="NKF1516" s="879"/>
      <c r="NKG1516" s="879"/>
      <c r="NKH1516" s="879"/>
      <c r="NKI1516" s="879"/>
      <c r="NKJ1516" s="879"/>
      <c r="NKK1516" s="879"/>
      <c r="NKL1516" s="879"/>
      <c r="NKM1516" s="879"/>
      <c r="NKN1516" s="879"/>
      <c r="NKO1516" s="879"/>
      <c r="NKP1516" s="879"/>
      <c r="NKQ1516" s="879"/>
      <c r="NKR1516" s="879"/>
      <c r="NKS1516" s="879"/>
      <c r="NKT1516" s="879"/>
      <c r="NKU1516" s="879"/>
      <c r="NKV1516" s="879"/>
      <c r="NKW1516" s="879"/>
      <c r="NKX1516" s="879"/>
      <c r="NKY1516" s="879"/>
      <c r="NKZ1516" s="879"/>
      <c r="NLA1516" s="879"/>
      <c r="NLB1516" s="879"/>
      <c r="NLC1516" s="879"/>
      <c r="NLD1516" s="879"/>
      <c r="NLE1516" s="879"/>
      <c r="NLF1516" s="879"/>
      <c r="NLG1516" s="879"/>
      <c r="NLH1516" s="879"/>
      <c r="NLI1516" s="879"/>
      <c r="NLJ1516" s="879"/>
      <c r="NLK1516" s="879"/>
      <c r="NLL1516" s="879"/>
      <c r="NLM1516" s="879"/>
      <c r="NLN1516" s="879"/>
      <c r="NLO1516" s="879"/>
      <c r="NLP1516" s="879"/>
      <c r="NLQ1516" s="879"/>
      <c r="NLR1516" s="879"/>
      <c r="NLS1516" s="879"/>
      <c r="NLT1516" s="879"/>
      <c r="NLU1516" s="879"/>
      <c r="NLV1516" s="879"/>
      <c r="NLW1516" s="879"/>
      <c r="NLX1516" s="879"/>
      <c r="NLY1516" s="879"/>
      <c r="NLZ1516" s="879"/>
      <c r="NMA1516" s="879"/>
      <c r="NMB1516" s="879"/>
      <c r="NMC1516" s="879"/>
      <c r="NMD1516" s="879"/>
      <c r="NME1516" s="879"/>
      <c r="NMF1516" s="879"/>
      <c r="NMG1516" s="879"/>
      <c r="NMH1516" s="879"/>
      <c r="NMI1516" s="879"/>
      <c r="NMJ1516" s="879"/>
      <c r="NMK1516" s="879"/>
      <c r="NML1516" s="879"/>
      <c r="NMM1516" s="879"/>
      <c r="NMN1516" s="879"/>
      <c r="NMO1516" s="879"/>
      <c r="NMP1516" s="879"/>
      <c r="NMQ1516" s="879"/>
      <c r="NMR1516" s="879"/>
      <c r="NMS1516" s="879"/>
      <c r="NMT1516" s="879"/>
      <c r="NMU1516" s="879"/>
      <c r="NMV1516" s="879"/>
      <c r="NMW1516" s="879"/>
      <c r="NMX1516" s="879"/>
      <c r="NMY1516" s="879"/>
      <c r="NMZ1516" s="879"/>
      <c r="NNA1516" s="879"/>
      <c r="NNB1516" s="879"/>
      <c r="NNC1516" s="879"/>
      <c r="NND1516" s="879"/>
      <c r="NNE1516" s="879"/>
      <c r="NNF1516" s="879"/>
      <c r="NNG1516" s="879"/>
      <c r="NNH1516" s="879"/>
      <c r="NNI1516" s="879"/>
      <c r="NNJ1516" s="879"/>
      <c r="NNK1516" s="879"/>
      <c r="NNL1516" s="879"/>
      <c r="NNM1516" s="879"/>
      <c r="NNN1516" s="879"/>
      <c r="NNO1516" s="879"/>
      <c r="NNP1516" s="879"/>
      <c r="NNQ1516" s="879"/>
      <c r="NNR1516" s="879"/>
      <c r="NNS1516" s="879"/>
      <c r="NNT1516" s="879"/>
      <c r="NNU1516" s="879"/>
      <c r="NNV1516" s="879"/>
      <c r="NNW1516" s="879"/>
      <c r="NNX1516" s="879"/>
      <c r="NNY1516" s="879"/>
      <c r="NNZ1516" s="879"/>
      <c r="NOA1516" s="879"/>
      <c r="NOB1516" s="879"/>
      <c r="NOC1516" s="879"/>
      <c r="NOD1516" s="879"/>
      <c r="NOE1516" s="879"/>
      <c r="NOF1516" s="879"/>
      <c r="NOG1516" s="879"/>
      <c r="NOH1516" s="879"/>
      <c r="NOI1516" s="879"/>
      <c r="NOJ1516" s="879"/>
      <c r="NOK1516" s="879"/>
      <c r="NOL1516" s="879"/>
      <c r="NOM1516" s="879"/>
      <c r="NON1516" s="879"/>
      <c r="NOO1516" s="879"/>
      <c r="NOP1516" s="879"/>
      <c r="NOQ1516" s="879"/>
      <c r="NOR1516" s="879"/>
      <c r="NOS1516" s="879"/>
      <c r="NOT1516" s="879"/>
      <c r="NOU1516" s="879"/>
      <c r="NOV1516" s="879"/>
      <c r="NOW1516" s="879"/>
      <c r="NOX1516" s="879"/>
      <c r="NOY1516" s="879"/>
      <c r="NOZ1516" s="879"/>
      <c r="NPA1516" s="879"/>
      <c r="NPB1516" s="879"/>
      <c r="NPC1516" s="879"/>
      <c r="NPD1516" s="879"/>
      <c r="NPE1516" s="879"/>
      <c r="NPF1516" s="879"/>
      <c r="NPG1516" s="879"/>
      <c r="NPH1516" s="879"/>
      <c r="NPI1516" s="879"/>
      <c r="NPJ1516" s="879"/>
      <c r="NPK1516" s="879"/>
      <c r="NPL1516" s="879"/>
      <c r="NPM1516" s="879"/>
      <c r="NPN1516" s="879"/>
      <c r="NPO1516" s="879"/>
      <c r="NPP1516" s="879"/>
      <c r="NPQ1516" s="879"/>
      <c r="NPR1516" s="879"/>
      <c r="NPS1516" s="879"/>
      <c r="NPT1516" s="879"/>
      <c r="NPU1516" s="879"/>
      <c r="NPV1516" s="879"/>
      <c r="NPW1516" s="879"/>
      <c r="NPX1516" s="879"/>
      <c r="NPY1516" s="879"/>
      <c r="NPZ1516" s="879"/>
      <c r="NQA1516" s="879"/>
      <c r="NQB1516" s="879"/>
      <c r="NQC1516" s="879"/>
      <c r="NQD1516" s="879"/>
      <c r="NQE1516" s="879"/>
      <c r="NQF1516" s="879"/>
      <c r="NQG1516" s="879"/>
      <c r="NQH1516" s="879"/>
      <c r="NQI1516" s="879"/>
      <c r="NQJ1516" s="879"/>
      <c r="NQK1516" s="879"/>
      <c r="NQL1516" s="879"/>
      <c r="NQM1516" s="879"/>
      <c r="NQN1516" s="879"/>
      <c r="NQO1516" s="879"/>
      <c r="NQP1516" s="879"/>
      <c r="NQQ1516" s="879"/>
      <c r="NQR1516" s="879"/>
      <c r="NQS1516" s="879"/>
      <c r="NQT1516" s="879"/>
      <c r="NQU1516" s="879"/>
      <c r="NQV1516" s="879"/>
      <c r="NQW1516" s="879"/>
      <c r="NQX1516" s="879"/>
      <c r="NQY1516" s="879"/>
      <c r="NQZ1516" s="879"/>
      <c r="NRA1516" s="879"/>
      <c r="NRB1516" s="879"/>
      <c r="NRC1516" s="879"/>
      <c r="NRD1516" s="879"/>
      <c r="NRE1516" s="879"/>
      <c r="NRF1516" s="879"/>
      <c r="NRG1516" s="879"/>
      <c r="NRH1516" s="879"/>
      <c r="NRI1516" s="879"/>
      <c r="NRJ1516" s="879"/>
      <c r="NRK1516" s="879"/>
      <c r="NRL1516" s="879"/>
      <c r="NRM1516" s="879"/>
      <c r="NRN1516" s="879"/>
      <c r="NRO1516" s="879"/>
      <c r="NRP1516" s="879"/>
      <c r="NRQ1516" s="879"/>
      <c r="NRR1516" s="879"/>
      <c r="NRS1516" s="879"/>
      <c r="NRT1516" s="879"/>
      <c r="NRU1516" s="879"/>
      <c r="NRV1516" s="879"/>
      <c r="NRW1516" s="879"/>
      <c r="NRX1516" s="879"/>
      <c r="NRY1516" s="879"/>
      <c r="NRZ1516" s="879"/>
      <c r="NSA1516" s="879"/>
      <c r="NSB1516" s="879"/>
      <c r="NSC1516" s="879"/>
      <c r="NSD1516" s="879"/>
      <c r="NSE1516" s="879"/>
      <c r="NSF1516" s="879"/>
      <c r="NSG1516" s="879"/>
      <c r="NSH1516" s="879"/>
      <c r="NSI1516" s="879"/>
      <c r="NSJ1516" s="879"/>
      <c r="NSK1516" s="879"/>
      <c r="NSL1516" s="879"/>
      <c r="NSM1516" s="879"/>
      <c r="NSN1516" s="879"/>
      <c r="NSO1516" s="879"/>
      <c r="NSP1516" s="879"/>
      <c r="NSQ1516" s="879"/>
      <c r="NSR1516" s="879"/>
      <c r="NSS1516" s="879"/>
      <c r="NST1516" s="879"/>
      <c r="NSU1516" s="879"/>
      <c r="NSV1516" s="879"/>
      <c r="NSW1516" s="879"/>
      <c r="NSX1516" s="879"/>
      <c r="NSY1516" s="879"/>
      <c r="NSZ1516" s="879"/>
      <c r="NTA1516" s="879"/>
      <c r="NTB1516" s="879"/>
      <c r="NTC1516" s="879"/>
      <c r="NTD1516" s="879"/>
      <c r="NTE1516" s="879"/>
      <c r="NTF1516" s="879"/>
      <c r="NTG1516" s="879"/>
      <c r="NTH1516" s="879"/>
      <c r="NTI1516" s="879"/>
      <c r="NTJ1516" s="879"/>
      <c r="NTK1516" s="879"/>
      <c r="NTL1516" s="879"/>
      <c r="NTM1516" s="879"/>
      <c r="NTN1516" s="879"/>
      <c r="NTO1516" s="879"/>
      <c r="NTP1516" s="879"/>
      <c r="NTQ1516" s="879"/>
      <c r="NTR1516" s="879"/>
      <c r="NTS1516" s="879"/>
      <c r="NTT1516" s="879"/>
      <c r="NTU1516" s="879"/>
      <c r="NTV1516" s="879"/>
      <c r="NTW1516" s="879"/>
      <c r="NTX1516" s="879"/>
      <c r="NTY1516" s="879"/>
      <c r="NTZ1516" s="879"/>
      <c r="NUA1516" s="879"/>
      <c r="NUB1516" s="879"/>
      <c r="NUC1516" s="879"/>
      <c r="NUD1516" s="879"/>
      <c r="NUE1516" s="879"/>
      <c r="NUF1516" s="879"/>
      <c r="NUG1516" s="879"/>
      <c r="NUH1516" s="879"/>
      <c r="NUI1516" s="879"/>
      <c r="NUJ1516" s="879"/>
      <c r="NUK1516" s="879"/>
      <c r="NUL1516" s="879"/>
      <c r="NUM1516" s="879"/>
      <c r="NUN1516" s="879"/>
      <c r="NUO1516" s="879"/>
      <c r="NUP1516" s="879"/>
      <c r="NUQ1516" s="879"/>
      <c r="NUR1516" s="879"/>
      <c r="NUS1516" s="879"/>
      <c r="NUT1516" s="879"/>
      <c r="NUU1516" s="879"/>
      <c r="NUV1516" s="879"/>
      <c r="NUW1516" s="879"/>
      <c r="NUX1516" s="879"/>
      <c r="NUY1516" s="879"/>
      <c r="NUZ1516" s="879"/>
      <c r="NVA1516" s="879"/>
      <c r="NVB1516" s="879"/>
      <c r="NVC1516" s="879"/>
      <c r="NVD1516" s="879"/>
      <c r="NVE1516" s="879"/>
      <c r="NVF1516" s="879"/>
      <c r="NVG1516" s="879"/>
      <c r="NVH1516" s="879"/>
      <c r="NVI1516" s="879"/>
      <c r="NVJ1516" s="879"/>
      <c r="NVK1516" s="879"/>
      <c r="NVL1516" s="879"/>
      <c r="NVM1516" s="879"/>
      <c r="NVN1516" s="879"/>
      <c r="NVO1516" s="879"/>
      <c r="NVP1516" s="879"/>
      <c r="NVQ1516" s="879"/>
      <c r="NVR1516" s="879"/>
      <c r="NVS1516" s="879"/>
      <c r="NVT1516" s="879"/>
      <c r="NVU1516" s="879"/>
      <c r="NVV1516" s="879"/>
      <c r="NVW1516" s="879"/>
      <c r="NVX1516" s="879"/>
      <c r="NVY1516" s="879"/>
      <c r="NVZ1516" s="879"/>
      <c r="NWA1516" s="879"/>
      <c r="NWB1516" s="879"/>
      <c r="NWC1516" s="879"/>
      <c r="NWD1516" s="879"/>
      <c r="NWE1516" s="879"/>
      <c r="NWF1516" s="879"/>
      <c r="NWG1516" s="879"/>
      <c r="NWH1516" s="879"/>
      <c r="NWI1516" s="879"/>
      <c r="NWJ1516" s="879"/>
      <c r="NWK1516" s="879"/>
      <c r="NWL1516" s="879"/>
      <c r="NWM1516" s="879"/>
      <c r="NWN1516" s="879"/>
      <c r="NWO1516" s="879"/>
      <c r="NWP1516" s="879"/>
      <c r="NWQ1516" s="879"/>
      <c r="NWR1516" s="879"/>
      <c r="NWS1516" s="879"/>
      <c r="NWT1516" s="879"/>
      <c r="NWU1516" s="879"/>
      <c r="NWV1516" s="879"/>
      <c r="NWW1516" s="879"/>
      <c r="NWX1516" s="879"/>
      <c r="NWY1516" s="879"/>
      <c r="NWZ1516" s="879"/>
      <c r="NXA1516" s="879"/>
      <c r="NXB1516" s="879"/>
      <c r="NXC1516" s="879"/>
      <c r="NXD1516" s="879"/>
      <c r="NXE1516" s="879"/>
      <c r="NXF1516" s="879"/>
      <c r="NXG1516" s="879"/>
      <c r="NXH1516" s="879"/>
      <c r="NXI1516" s="879"/>
      <c r="NXJ1516" s="879"/>
      <c r="NXK1516" s="879"/>
      <c r="NXL1516" s="879"/>
      <c r="NXM1516" s="879"/>
      <c r="NXN1516" s="879"/>
      <c r="NXO1516" s="879"/>
      <c r="NXP1516" s="879"/>
      <c r="NXQ1516" s="879"/>
      <c r="NXR1516" s="879"/>
      <c r="NXS1516" s="879"/>
      <c r="NXT1516" s="879"/>
      <c r="NXU1516" s="879"/>
      <c r="NXV1516" s="879"/>
      <c r="NXW1516" s="879"/>
      <c r="NXX1516" s="879"/>
      <c r="NXY1516" s="879"/>
      <c r="NXZ1516" s="879"/>
      <c r="NYA1516" s="879"/>
      <c r="NYB1516" s="879"/>
      <c r="NYC1516" s="879"/>
      <c r="NYD1516" s="879"/>
      <c r="NYE1516" s="879"/>
      <c r="NYF1516" s="879"/>
      <c r="NYG1516" s="879"/>
      <c r="NYH1516" s="879"/>
      <c r="NYI1516" s="879"/>
      <c r="NYJ1516" s="879"/>
      <c r="NYK1516" s="879"/>
      <c r="NYL1516" s="879"/>
      <c r="NYM1516" s="879"/>
      <c r="NYN1516" s="879"/>
      <c r="NYO1516" s="879"/>
      <c r="NYP1516" s="879"/>
      <c r="NYQ1516" s="879"/>
      <c r="NYR1516" s="879"/>
      <c r="NYS1516" s="879"/>
      <c r="NYT1516" s="879"/>
      <c r="NYU1516" s="879"/>
      <c r="NYV1516" s="879"/>
      <c r="NYW1516" s="879"/>
      <c r="NYX1516" s="879"/>
      <c r="NYY1516" s="879"/>
      <c r="NYZ1516" s="879"/>
      <c r="NZA1516" s="879"/>
      <c r="NZB1516" s="879"/>
      <c r="NZC1516" s="879"/>
      <c r="NZD1516" s="879"/>
      <c r="NZE1516" s="879"/>
      <c r="NZF1516" s="879"/>
      <c r="NZG1516" s="879"/>
      <c r="NZH1516" s="879"/>
      <c r="NZI1516" s="879"/>
      <c r="NZJ1516" s="879"/>
      <c r="NZK1516" s="879"/>
      <c r="NZL1516" s="879"/>
      <c r="NZM1516" s="879"/>
      <c r="NZN1516" s="879"/>
      <c r="NZO1516" s="879"/>
      <c r="NZP1516" s="879"/>
      <c r="NZQ1516" s="879"/>
      <c r="NZR1516" s="879"/>
      <c r="NZS1516" s="879"/>
      <c r="NZT1516" s="879"/>
      <c r="NZU1516" s="879"/>
      <c r="NZV1516" s="879"/>
      <c r="NZW1516" s="879"/>
      <c r="NZX1516" s="879"/>
      <c r="NZY1516" s="879"/>
      <c r="NZZ1516" s="879"/>
      <c r="OAA1516" s="879"/>
      <c r="OAB1516" s="879"/>
      <c r="OAC1516" s="879"/>
      <c r="OAD1516" s="879"/>
      <c r="OAE1516" s="879"/>
      <c r="OAF1516" s="879"/>
      <c r="OAG1516" s="879"/>
      <c r="OAH1516" s="879"/>
      <c r="OAI1516" s="879"/>
      <c r="OAJ1516" s="879"/>
      <c r="OAK1516" s="879"/>
      <c r="OAL1516" s="879"/>
      <c r="OAM1516" s="879"/>
      <c r="OAN1516" s="879"/>
      <c r="OAO1516" s="879"/>
      <c r="OAP1516" s="879"/>
      <c r="OAQ1516" s="879"/>
      <c r="OAR1516" s="879"/>
      <c r="OAS1516" s="879"/>
      <c r="OAT1516" s="879"/>
      <c r="OAU1516" s="879"/>
      <c r="OAV1516" s="879"/>
      <c r="OAW1516" s="879"/>
      <c r="OAX1516" s="879"/>
      <c r="OAY1516" s="879"/>
      <c r="OAZ1516" s="879"/>
      <c r="OBA1516" s="879"/>
      <c r="OBB1516" s="879"/>
      <c r="OBC1516" s="879"/>
      <c r="OBD1516" s="879"/>
      <c r="OBE1516" s="879"/>
      <c r="OBF1516" s="879"/>
      <c r="OBG1516" s="879"/>
      <c r="OBH1516" s="879"/>
      <c r="OBI1516" s="879"/>
      <c r="OBJ1516" s="879"/>
      <c r="OBK1516" s="879"/>
      <c r="OBL1516" s="879"/>
      <c r="OBM1516" s="879"/>
      <c r="OBN1516" s="879"/>
      <c r="OBO1516" s="879"/>
      <c r="OBP1516" s="879"/>
      <c r="OBQ1516" s="879"/>
      <c r="OBR1516" s="879"/>
      <c r="OBS1516" s="879"/>
      <c r="OBT1516" s="879"/>
      <c r="OBU1516" s="879"/>
      <c r="OBV1516" s="879"/>
      <c r="OBW1516" s="879"/>
      <c r="OBX1516" s="879"/>
      <c r="OBY1516" s="879"/>
      <c r="OBZ1516" s="879"/>
      <c r="OCA1516" s="879"/>
      <c r="OCB1516" s="879"/>
      <c r="OCC1516" s="879"/>
      <c r="OCD1516" s="879"/>
      <c r="OCE1516" s="879"/>
      <c r="OCF1516" s="879"/>
      <c r="OCG1516" s="879"/>
      <c r="OCH1516" s="879"/>
      <c r="OCI1516" s="879"/>
      <c r="OCJ1516" s="879"/>
      <c r="OCK1516" s="879"/>
      <c r="OCL1516" s="879"/>
      <c r="OCM1516" s="879"/>
      <c r="OCN1516" s="879"/>
      <c r="OCO1516" s="879"/>
      <c r="OCP1516" s="879"/>
      <c r="OCQ1516" s="879"/>
      <c r="OCR1516" s="879"/>
      <c r="OCS1516" s="879"/>
      <c r="OCT1516" s="879"/>
      <c r="OCU1516" s="879"/>
      <c r="OCV1516" s="879"/>
      <c r="OCW1516" s="879"/>
      <c r="OCX1516" s="879"/>
      <c r="OCY1516" s="879"/>
      <c r="OCZ1516" s="879"/>
      <c r="ODA1516" s="879"/>
      <c r="ODB1516" s="879"/>
      <c r="ODC1516" s="879"/>
      <c r="ODD1516" s="879"/>
      <c r="ODE1516" s="879"/>
      <c r="ODF1516" s="879"/>
      <c r="ODG1516" s="879"/>
      <c r="ODH1516" s="879"/>
      <c r="ODI1516" s="879"/>
      <c r="ODJ1516" s="879"/>
      <c r="ODK1516" s="879"/>
      <c r="ODL1516" s="879"/>
      <c r="ODM1516" s="879"/>
      <c r="ODN1516" s="879"/>
      <c r="ODO1516" s="879"/>
      <c r="ODP1516" s="879"/>
      <c r="ODQ1516" s="879"/>
      <c r="ODR1516" s="879"/>
      <c r="ODS1516" s="879"/>
      <c r="ODT1516" s="879"/>
      <c r="ODU1516" s="879"/>
      <c r="ODV1516" s="879"/>
      <c r="ODW1516" s="879"/>
      <c r="ODX1516" s="879"/>
      <c r="ODY1516" s="879"/>
      <c r="ODZ1516" s="879"/>
      <c r="OEA1516" s="879"/>
      <c r="OEB1516" s="879"/>
      <c r="OEC1516" s="879"/>
      <c r="OED1516" s="879"/>
      <c r="OEE1516" s="879"/>
      <c r="OEF1516" s="879"/>
      <c r="OEG1516" s="879"/>
      <c r="OEH1516" s="879"/>
      <c r="OEI1516" s="879"/>
      <c r="OEJ1516" s="879"/>
      <c r="OEK1516" s="879"/>
      <c r="OEL1516" s="879"/>
      <c r="OEM1516" s="879"/>
      <c r="OEN1516" s="879"/>
      <c r="OEO1516" s="879"/>
      <c r="OEP1516" s="879"/>
      <c r="OEQ1516" s="879"/>
      <c r="OER1516" s="879"/>
      <c r="OES1516" s="879"/>
      <c r="OET1516" s="879"/>
      <c r="OEU1516" s="879"/>
      <c r="OEV1516" s="879"/>
      <c r="OEW1516" s="879"/>
      <c r="OEX1516" s="879"/>
      <c r="OEY1516" s="879"/>
      <c r="OEZ1516" s="879"/>
      <c r="OFA1516" s="879"/>
      <c r="OFB1516" s="879"/>
      <c r="OFC1516" s="879"/>
      <c r="OFD1516" s="879"/>
      <c r="OFE1516" s="879"/>
      <c r="OFF1516" s="879"/>
      <c r="OFG1516" s="879"/>
      <c r="OFH1516" s="879"/>
      <c r="OFI1516" s="879"/>
      <c r="OFJ1516" s="879"/>
      <c r="OFK1516" s="879"/>
      <c r="OFL1516" s="879"/>
      <c r="OFM1516" s="879"/>
      <c r="OFN1516" s="879"/>
      <c r="OFO1516" s="879"/>
      <c r="OFP1516" s="879"/>
      <c r="OFQ1516" s="879"/>
      <c r="OFR1516" s="879"/>
      <c r="OFS1516" s="879"/>
      <c r="OFT1516" s="879"/>
      <c r="OFU1516" s="879"/>
      <c r="OFV1516" s="879"/>
      <c r="OFW1516" s="879"/>
      <c r="OFX1516" s="879"/>
      <c r="OFY1516" s="879"/>
      <c r="OFZ1516" s="879"/>
      <c r="OGA1516" s="879"/>
      <c r="OGB1516" s="879"/>
      <c r="OGC1516" s="879"/>
      <c r="OGD1516" s="879"/>
      <c r="OGE1516" s="879"/>
      <c r="OGF1516" s="879"/>
      <c r="OGG1516" s="879"/>
      <c r="OGH1516" s="879"/>
      <c r="OGI1516" s="879"/>
      <c r="OGJ1516" s="879"/>
      <c r="OGK1516" s="879"/>
      <c r="OGL1516" s="879"/>
      <c r="OGM1516" s="879"/>
      <c r="OGN1516" s="879"/>
      <c r="OGO1516" s="879"/>
      <c r="OGP1516" s="879"/>
      <c r="OGQ1516" s="879"/>
      <c r="OGR1516" s="879"/>
      <c r="OGS1516" s="879"/>
      <c r="OGT1516" s="879"/>
      <c r="OGU1516" s="879"/>
      <c r="OGV1516" s="879"/>
      <c r="OGW1516" s="879"/>
      <c r="OGX1516" s="879"/>
      <c r="OGY1516" s="879"/>
      <c r="OGZ1516" s="879"/>
      <c r="OHA1516" s="879"/>
      <c r="OHB1516" s="879"/>
      <c r="OHC1516" s="879"/>
      <c r="OHD1516" s="879"/>
      <c r="OHE1516" s="879"/>
      <c r="OHF1516" s="879"/>
      <c r="OHG1516" s="879"/>
      <c r="OHH1516" s="879"/>
      <c r="OHI1516" s="879"/>
      <c r="OHJ1516" s="879"/>
      <c r="OHK1516" s="879"/>
      <c r="OHL1516" s="879"/>
      <c r="OHM1516" s="879"/>
      <c r="OHN1516" s="879"/>
      <c r="OHO1516" s="879"/>
      <c r="OHP1516" s="879"/>
      <c r="OHQ1516" s="879"/>
      <c r="OHR1516" s="879"/>
      <c r="OHS1516" s="879"/>
      <c r="OHT1516" s="879"/>
      <c r="OHU1516" s="879"/>
      <c r="OHV1516" s="879"/>
      <c r="OHW1516" s="879"/>
      <c r="OHX1516" s="879"/>
      <c r="OHY1516" s="879"/>
      <c r="OHZ1516" s="879"/>
      <c r="OIA1516" s="879"/>
      <c r="OIB1516" s="879"/>
      <c r="OIC1516" s="879"/>
      <c r="OID1516" s="879"/>
      <c r="OIE1516" s="879"/>
      <c r="OIF1516" s="879"/>
      <c r="OIG1516" s="879"/>
      <c r="OIH1516" s="879"/>
      <c r="OII1516" s="879"/>
      <c r="OIJ1516" s="879"/>
      <c r="OIK1516" s="879"/>
      <c r="OIL1516" s="879"/>
      <c r="OIM1516" s="879"/>
      <c r="OIN1516" s="879"/>
      <c r="OIO1516" s="879"/>
      <c r="OIP1516" s="879"/>
      <c r="OIQ1516" s="879"/>
      <c r="OIR1516" s="879"/>
      <c r="OIS1516" s="879"/>
      <c r="OIT1516" s="879"/>
      <c r="OIU1516" s="879"/>
      <c r="OIV1516" s="879"/>
      <c r="OIW1516" s="879"/>
      <c r="OIX1516" s="879"/>
      <c r="OIY1516" s="879"/>
      <c r="OIZ1516" s="879"/>
      <c r="OJA1516" s="879"/>
      <c r="OJB1516" s="879"/>
      <c r="OJC1516" s="879"/>
      <c r="OJD1516" s="879"/>
      <c r="OJE1516" s="879"/>
      <c r="OJF1516" s="879"/>
      <c r="OJG1516" s="879"/>
      <c r="OJH1516" s="879"/>
      <c r="OJI1516" s="879"/>
      <c r="OJJ1516" s="879"/>
      <c r="OJK1516" s="879"/>
      <c r="OJL1516" s="879"/>
      <c r="OJM1516" s="879"/>
      <c r="OJN1516" s="879"/>
      <c r="OJO1516" s="879"/>
      <c r="OJP1516" s="879"/>
      <c r="OJQ1516" s="879"/>
      <c r="OJR1516" s="879"/>
      <c r="OJS1516" s="879"/>
      <c r="OJT1516" s="879"/>
      <c r="OJU1516" s="879"/>
      <c r="OJV1516" s="879"/>
      <c r="OJW1516" s="879"/>
      <c r="OJX1516" s="879"/>
      <c r="OJY1516" s="879"/>
      <c r="OJZ1516" s="879"/>
      <c r="OKA1516" s="879"/>
      <c r="OKB1516" s="879"/>
      <c r="OKC1516" s="879"/>
      <c r="OKD1516" s="879"/>
      <c r="OKE1516" s="879"/>
      <c r="OKF1516" s="879"/>
      <c r="OKG1516" s="879"/>
      <c r="OKH1516" s="879"/>
      <c r="OKI1516" s="879"/>
      <c r="OKJ1516" s="879"/>
      <c r="OKK1516" s="879"/>
      <c r="OKL1516" s="879"/>
      <c r="OKM1516" s="879"/>
      <c r="OKN1516" s="879"/>
      <c r="OKO1516" s="879"/>
      <c r="OKP1516" s="879"/>
      <c r="OKQ1516" s="879"/>
      <c r="OKR1516" s="879"/>
      <c r="OKS1516" s="879"/>
      <c r="OKT1516" s="879"/>
      <c r="OKU1516" s="879"/>
      <c r="OKV1516" s="879"/>
      <c r="OKW1516" s="879"/>
      <c r="OKX1516" s="879"/>
      <c r="OKY1516" s="879"/>
      <c r="OKZ1516" s="879"/>
      <c r="OLA1516" s="879"/>
      <c r="OLB1516" s="879"/>
      <c r="OLC1516" s="879"/>
      <c r="OLD1516" s="879"/>
      <c r="OLE1516" s="879"/>
      <c r="OLF1516" s="879"/>
      <c r="OLG1516" s="879"/>
      <c r="OLH1516" s="879"/>
      <c r="OLI1516" s="879"/>
      <c r="OLJ1516" s="879"/>
      <c r="OLK1516" s="879"/>
      <c r="OLL1516" s="879"/>
      <c r="OLM1516" s="879"/>
      <c r="OLN1516" s="879"/>
      <c r="OLO1516" s="879"/>
      <c r="OLP1516" s="879"/>
      <c r="OLQ1516" s="879"/>
      <c r="OLR1516" s="879"/>
      <c r="OLS1516" s="879"/>
      <c r="OLT1516" s="879"/>
      <c r="OLU1516" s="879"/>
      <c r="OLV1516" s="879"/>
      <c r="OLW1516" s="879"/>
      <c r="OLX1516" s="879"/>
      <c r="OLY1516" s="879"/>
      <c r="OLZ1516" s="879"/>
      <c r="OMA1516" s="879"/>
      <c r="OMB1516" s="879"/>
      <c r="OMC1516" s="879"/>
      <c r="OMD1516" s="879"/>
      <c r="OME1516" s="879"/>
      <c r="OMF1516" s="879"/>
      <c r="OMG1516" s="879"/>
      <c r="OMH1516" s="879"/>
      <c r="OMI1516" s="879"/>
      <c r="OMJ1516" s="879"/>
      <c r="OMK1516" s="879"/>
      <c r="OML1516" s="879"/>
      <c r="OMM1516" s="879"/>
      <c r="OMN1516" s="879"/>
      <c r="OMO1516" s="879"/>
      <c r="OMP1516" s="879"/>
      <c r="OMQ1516" s="879"/>
      <c r="OMR1516" s="879"/>
      <c r="OMS1516" s="879"/>
      <c r="OMT1516" s="879"/>
      <c r="OMU1516" s="879"/>
      <c r="OMV1516" s="879"/>
      <c r="OMW1516" s="879"/>
      <c r="OMX1516" s="879"/>
      <c r="OMY1516" s="879"/>
      <c r="OMZ1516" s="879"/>
      <c r="ONA1516" s="879"/>
      <c r="ONB1516" s="879"/>
      <c r="ONC1516" s="879"/>
      <c r="OND1516" s="879"/>
      <c r="ONE1516" s="879"/>
      <c r="ONF1516" s="879"/>
      <c r="ONG1516" s="879"/>
      <c r="ONH1516" s="879"/>
      <c r="ONI1516" s="879"/>
      <c r="ONJ1516" s="879"/>
      <c r="ONK1516" s="879"/>
      <c r="ONL1516" s="879"/>
      <c r="ONM1516" s="879"/>
      <c r="ONN1516" s="879"/>
      <c r="ONO1516" s="879"/>
      <c r="ONP1516" s="879"/>
      <c r="ONQ1516" s="879"/>
      <c r="ONR1516" s="879"/>
      <c r="ONS1516" s="879"/>
      <c r="ONT1516" s="879"/>
      <c r="ONU1516" s="879"/>
      <c r="ONV1516" s="879"/>
      <c r="ONW1516" s="879"/>
      <c r="ONX1516" s="879"/>
      <c r="ONY1516" s="879"/>
      <c r="ONZ1516" s="879"/>
      <c r="OOA1516" s="879"/>
      <c r="OOB1516" s="879"/>
      <c r="OOC1516" s="879"/>
      <c r="OOD1516" s="879"/>
      <c r="OOE1516" s="879"/>
      <c r="OOF1516" s="879"/>
      <c r="OOG1516" s="879"/>
      <c r="OOH1516" s="879"/>
      <c r="OOI1516" s="879"/>
      <c r="OOJ1516" s="879"/>
      <c r="OOK1516" s="879"/>
      <c r="OOL1516" s="879"/>
      <c r="OOM1516" s="879"/>
      <c r="OON1516" s="879"/>
      <c r="OOO1516" s="879"/>
      <c r="OOP1516" s="879"/>
      <c r="OOQ1516" s="879"/>
      <c r="OOR1516" s="879"/>
      <c r="OOS1516" s="879"/>
      <c r="OOT1516" s="879"/>
      <c r="OOU1516" s="879"/>
      <c r="OOV1516" s="879"/>
      <c r="OOW1516" s="879"/>
      <c r="OOX1516" s="879"/>
      <c r="OOY1516" s="879"/>
      <c r="OOZ1516" s="879"/>
      <c r="OPA1516" s="879"/>
      <c r="OPB1516" s="879"/>
      <c r="OPC1516" s="879"/>
      <c r="OPD1516" s="879"/>
      <c r="OPE1516" s="879"/>
      <c r="OPF1516" s="879"/>
      <c r="OPG1516" s="879"/>
      <c r="OPH1516" s="879"/>
      <c r="OPI1516" s="879"/>
      <c r="OPJ1516" s="879"/>
      <c r="OPK1516" s="879"/>
      <c r="OPL1516" s="879"/>
      <c r="OPM1516" s="879"/>
      <c r="OPN1516" s="879"/>
      <c r="OPO1516" s="879"/>
      <c r="OPP1516" s="879"/>
      <c r="OPQ1516" s="879"/>
      <c r="OPR1516" s="879"/>
      <c r="OPS1516" s="879"/>
      <c r="OPT1516" s="879"/>
      <c r="OPU1516" s="879"/>
      <c r="OPV1516" s="879"/>
      <c r="OPW1516" s="879"/>
      <c r="OPX1516" s="879"/>
      <c r="OPY1516" s="879"/>
      <c r="OPZ1516" s="879"/>
      <c r="OQA1516" s="879"/>
      <c r="OQB1516" s="879"/>
      <c r="OQC1516" s="879"/>
      <c r="OQD1516" s="879"/>
      <c r="OQE1516" s="879"/>
      <c r="OQF1516" s="879"/>
      <c r="OQG1516" s="879"/>
      <c r="OQH1516" s="879"/>
      <c r="OQI1516" s="879"/>
      <c r="OQJ1516" s="879"/>
      <c r="OQK1516" s="879"/>
      <c r="OQL1516" s="879"/>
      <c r="OQM1516" s="879"/>
      <c r="OQN1516" s="879"/>
      <c r="OQO1516" s="879"/>
      <c r="OQP1516" s="879"/>
      <c r="OQQ1516" s="879"/>
      <c r="OQR1516" s="879"/>
      <c r="OQS1516" s="879"/>
      <c r="OQT1516" s="879"/>
      <c r="OQU1516" s="879"/>
      <c r="OQV1516" s="879"/>
      <c r="OQW1516" s="879"/>
      <c r="OQX1516" s="879"/>
      <c r="OQY1516" s="879"/>
      <c r="OQZ1516" s="879"/>
      <c r="ORA1516" s="879"/>
      <c r="ORB1516" s="879"/>
      <c r="ORC1516" s="879"/>
      <c r="ORD1516" s="879"/>
      <c r="ORE1516" s="879"/>
      <c r="ORF1516" s="879"/>
      <c r="ORG1516" s="879"/>
      <c r="ORH1516" s="879"/>
      <c r="ORI1516" s="879"/>
      <c r="ORJ1516" s="879"/>
      <c r="ORK1516" s="879"/>
      <c r="ORL1516" s="879"/>
      <c r="ORM1516" s="879"/>
      <c r="ORN1516" s="879"/>
      <c r="ORO1516" s="879"/>
      <c r="ORP1516" s="879"/>
      <c r="ORQ1516" s="879"/>
      <c r="ORR1516" s="879"/>
      <c r="ORS1516" s="879"/>
      <c r="ORT1516" s="879"/>
      <c r="ORU1516" s="879"/>
      <c r="ORV1516" s="879"/>
      <c r="ORW1516" s="879"/>
      <c r="ORX1516" s="879"/>
      <c r="ORY1516" s="879"/>
      <c r="ORZ1516" s="879"/>
      <c r="OSA1516" s="879"/>
      <c r="OSB1516" s="879"/>
      <c r="OSC1516" s="879"/>
      <c r="OSD1516" s="879"/>
      <c r="OSE1516" s="879"/>
      <c r="OSF1516" s="879"/>
      <c r="OSG1516" s="879"/>
      <c r="OSH1516" s="879"/>
      <c r="OSI1516" s="879"/>
      <c r="OSJ1516" s="879"/>
      <c r="OSK1516" s="879"/>
      <c r="OSL1516" s="879"/>
      <c r="OSM1516" s="879"/>
      <c r="OSN1516" s="879"/>
      <c r="OSO1516" s="879"/>
      <c r="OSP1516" s="879"/>
      <c r="OSQ1516" s="879"/>
      <c r="OSR1516" s="879"/>
      <c r="OSS1516" s="879"/>
      <c r="OST1516" s="879"/>
      <c r="OSU1516" s="879"/>
      <c r="OSV1516" s="879"/>
      <c r="OSW1516" s="879"/>
      <c r="OSX1516" s="879"/>
      <c r="OSY1516" s="879"/>
      <c r="OSZ1516" s="879"/>
      <c r="OTA1516" s="879"/>
      <c r="OTB1516" s="879"/>
      <c r="OTC1516" s="879"/>
      <c r="OTD1516" s="879"/>
      <c r="OTE1516" s="879"/>
      <c r="OTF1516" s="879"/>
      <c r="OTG1516" s="879"/>
      <c r="OTH1516" s="879"/>
      <c r="OTI1516" s="879"/>
      <c r="OTJ1516" s="879"/>
      <c r="OTK1516" s="879"/>
      <c r="OTL1516" s="879"/>
      <c r="OTM1516" s="879"/>
      <c r="OTN1516" s="879"/>
      <c r="OTO1516" s="879"/>
      <c r="OTP1516" s="879"/>
      <c r="OTQ1516" s="879"/>
      <c r="OTR1516" s="879"/>
      <c r="OTS1516" s="879"/>
      <c r="OTT1516" s="879"/>
      <c r="OTU1516" s="879"/>
      <c r="OTV1516" s="879"/>
      <c r="OTW1516" s="879"/>
      <c r="OTX1516" s="879"/>
      <c r="OTY1516" s="879"/>
      <c r="OTZ1516" s="879"/>
      <c r="OUA1516" s="879"/>
      <c r="OUB1516" s="879"/>
      <c r="OUC1516" s="879"/>
      <c r="OUD1516" s="879"/>
      <c r="OUE1516" s="879"/>
      <c r="OUF1516" s="879"/>
      <c r="OUG1516" s="879"/>
      <c r="OUH1516" s="879"/>
      <c r="OUI1516" s="879"/>
      <c r="OUJ1516" s="879"/>
      <c r="OUK1516" s="879"/>
      <c r="OUL1516" s="879"/>
      <c r="OUM1516" s="879"/>
      <c r="OUN1516" s="879"/>
      <c r="OUO1516" s="879"/>
      <c r="OUP1516" s="879"/>
      <c r="OUQ1516" s="879"/>
      <c r="OUR1516" s="879"/>
      <c r="OUS1516" s="879"/>
      <c r="OUT1516" s="879"/>
      <c r="OUU1516" s="879"/>
      <c r="OUV1516" s="879"/>
      <c r="OUW1516" s="879"/>
      <c r="OUX1516" s="879"/>
      <c r="OUY1516" s="879"/>
      <c r="OUZ1516" s="879"/>
      <c r="OVA1516" s="879"/>
      <c r="OVB1516" s="879"/>
      <c r="OVC1516" s="879"/>
      <c r="OVD1516" s="879"/>
      <c r="OVE1516" s="879"/>
      <c r="OVF1516" s="879"/>
      <c r="OVG1516" s="879"/>
      <c r="OVH1516" s="879"/>
      <c r="OVI1516" s="879"/>
      <c r="OVJ1516" s="879"/>
      <c r="OVK1516" s="879"/>
      <c r="OVL1516" s="879"/>
      <c r="OVM1516" s="879"/>
      <c r="OVN1516" s="879"/>
      <c r="OVO1516" s="879"/>
      <c r="OVP1516" s="879"/>
      <c r="OVQ1516" s="879"/>
      <c r="OVR1516" s="879"/>
      <c r="OVS1516" s="879"/>
      <c r="OVT1516" s="879"/>
      <c r="OVU1516" s="879"/>
      <c r="OVV1516" s="879"/>
      <c r="OVW1516" s="879"/>
      <c r="OVX1516" s="879"/>
      <c r="OVY1516" s="879"/>
      <c r="OVZ1516" s="879"/>
      <c r="OWA1516" s="879"/>
      <c r="OWB1516" s="879"/>
      <c r="OWC1516" s="879"/>
      <c r="OWD1516" s="879"/>
      <c r="OWE1516" s="879"/>
      <c r="OWF1516" s="879"/>
      <c r="OWG1516" s="879"/>
      <c r="OWH1516" s="879"/>
      <c r="OWI1516" s="879"/>
      <c r="OWJ1516" s="879"/>
      <c r="OWK1516" s="879"/>
      <c r="OWL1516" s="879"/>
      <c r="OWM1516" s="879"/>
      <c r="OWN1516" s="879"/>
      <c r="OWO1516" s="879"/>
      <c r="OWP1516" s="879"/>
      <c r="OWQ1516" s="879"/>
      <c r="OWR1516" s="879"/>
      <c r="OWS1516" s="879"/>
      <c r="OWT1516" s="879"/>
      <c r="OWU1516" s="879"/>
      <c r="OWV1516" s="879"/>
      <c r="OWW1516" s="879"/>
      <c r="OWX1516" s="879"/>
      <c r="OWY1516" s="879"/>
      <c r="OWZ1516" s="879"/>
      <c r="OXA1516" s="879"/>
      <c r="OXB1516" s="879"/>
      <c r="OXC1516" s="879"/>
      <c r="OXD1516" s="879"/>
      <c r="OXE1516" s="879"/>
      <c r="OXF1516" s="879"/>
      <c r="OXG1516" s="879"/>
      <c r="OXH1516" s="879"/>
      <c r="OXI1516" s="879"/>
      <c r="OXJ1516" s="879"/>
      <c r="OXK1516" s="879"/>
      <c r="OXL1516" s="879"/>
      <c r="OXM1516" s="879"/>
      <c r="OXN1516" s="879"/>
      <c r="OXO1516" s="879"/>
      <c r="OXP1516" s="879"/>
      <c r="OXQ1516" s="879"/>
      <c r="OXR1516" s="879"/>
      <c r="OXS1516" s="879"/>
      <c r="OXT1516" s="879"/>
      <c r="OXU1516" s="879"/>
      <c r="OXV1516" s="879"/>
      <c r="OXW1516" s="879"/>
      <c r="OXX1516" s="879"/>
      <c r="OXY1516" s="879"/>
      <c r="OXZ1516" s="879"/>
      <c r="OYA1516" s="879"/>
      <c r="OYB1516" s="879"/>
      <c r="OYC1516" s="879"/>
      <c r="OYD1516" s="879"/>
      <c r="OYE1516" s="879"/>
      <c r="OYF1516" s="879"/>
      <c r="OYG1516" s="879"/>
      <c r="OYH1516" s="879"/>
      <c r="OYI1516" s="879"/>
      <c r="OYJ1516" s="879"/>
      <c r="OYK1516" s="879"/>
      <c r="OYL1516" s="879"/>
      <c r="OYM1516" s="879"/>
      <c r="OYN1516" s="879"/>
      <c r="OYO1516" s="879"/>
      <c r="OYP1516" s="879"/>
      <c r="OYQ1516" s="879"/>
      <c r="OYR1516" s="879"/>
      <c r="OYS1516" s="879"/>
      <c r="OYT1516" s="879"/>
      <c r="OYU1516" s="879"/>
      <c r="OYV1516" s="879"/>
      <c r="OYW1516" s="879"/>
      <c r="OYX1516" s="879"/>
      <c r="OYY1516" s="879"/>
      <c r="OYZ1516" s="879"/>
      <c r="OZA1516" s="879"/>
      <c r="OZB1516" s="879"/>
      <c r="OZC1516" s="879"/>
      <c r="OZD1516" s="879"/>
      <c r="OZE1516" s="879"/>
      <c r="OZF1516" s="879"/>
      <c r="OZG1516" s="879"/>
      <c r="OZH1516" s="879"/>
      <c r="OZI1516" s="879"/>
      <c r="OZJ1516" s="879"/>
      <c r="OZK1516" s="879"/>
      <c r="OZL1516" s="879"/>
      <c r="OZM1516" s="879"/>
      <c r="OZN1516" s="879"/>
      <c r="OZO1516" s="879"/>
      <c r="OZP1516" s="879"/>
      <c r="OZQ1516" s="879"/>
      <c r="OZR1516" s="879"/>
      <c r="OZS1516" s="879"/>
      <c r="OZT1516" s="879"/>
      <c r="OZU1516" s="879"/>
      <c r="OZV1516" s="879"/>
      <c r="OZW1516" s="879"/>
      <c r="OZX1516" s="879"/>
      <c r="OZY1516" s="879"/>
      <c r="OZZ1516" s="879"/>
      <c r="PAA1516" s="879"/>
      <c r="PAB1516" s="879"/>
      <c r="PAC1516" s="879"/>
      <c r="PAD1516" s="879"/>
      <c r="PAE1516" s="879"/>
      <c r="PAF1516" s="879"/>
      <c r="PAG1516" s="879"/>
      <c r="PAH1516" s="879"/>
      <c r="PAI1516" s="879"/>
      <c r="PAJ1516" s="879"/>
      <c r="PAK1516" s="879"/>
      <c r="PAL1516" s="879"/>
      <c r="PAM1516" s="879"/>
      <c r="PAN1516" s="879"/>
      <c r="PAO1516" s="879"/>
      <c r="PAP1516" s="879"/>
      <c r="PAQ1516" s="879"/>
      <c r="PAR1516" s="879"/>
      <c r="PAS1516" s="879"/>
      <c r="PAT1516" s="879"/>
      <c r="PAU1516" s="879"/>
      <c r="PAV1516" s="879"/>
      <c r="PAW1516" s="879"/>
      <c r="PAX1516" s="879"/>
      <c r="PAY1516" s="879"/>
      <c r="PAZ1516" s="879"/>
      <c r="PBA1516" s="879"/>
      <c r="PBB1516" s="879"/>
      <c r="PBC1516" s="879"/>
      <c r="PBD1516" s="879"/>
      <c r="PBE1516" s="879"/>
      <c r="PBF1516" s="879"/>
      <c r="PBG1516" s="879"/>
      <c r="PBH1516" s="879"/>
      <c r="PBI1516" s="879"/>
      <c r="PBJ1516" s="879"/>
      <c r="PBK1516" s="879"/>
      <c r="PBL1516" s="879"/>
      <c r="PBM1516" s="879"/>
      <c r="PBN1516" s="879"/>
      <c r="PBO1516" s="879"/>
      <c r="PBP1516" s="879"/>
      <c r="PBQ1516" s="879"/>
      <c r="PBR1516" s="879"/>
      <c r="PBS1516" s="879"/>
      <c r="PBT1516" s="879"/>
      <c r="PBU1516" s="879"/>
      <c r="PBV1516" s="879"/>
      <c r="PBW1516" s="879"/>
      <c r="PBX1516" s="879"/>
      <c r="PBY1516" s="879"/>
      <c r="PBZ1516" s="879"/>
      <c r="PCA1516" s="879"/>
      <c r="PCB1516" s="879"/>
      <c r="PCC1516" s="879"/>
      <c r="PCD1516" s="879"/>
      <c r="PCE1516" s="879"/>
      <c r="PCF1516" s="879"/>
      <c r="PCG1516" s="879"/>
      <c r="PCH1516" s="879"/>
      <c r="PCI1516" s="879"/>
      <c r="PCJ1516" s="879"/>
      <c r="PCK1516" s="879"/>
      <c r="PCL1516" s="879"/>
      <c r="PCM1516" s="879"/>
      <c r="PCN1516" s="879"/>
      <c r="PCO1516" s="879"/>
      <c r="PCP1516" s="879"/>
      <c r="PCQ1516" s="879"/>
      <c r="PCR1516" s="879"/>
      <c r="PCS1516" s="879"/>
      <c r="PCT1516" s="879"/>
      <c r="PCU1516" s="879"/>
      <c r="PCV1516" s="879"/>
      <c r="PCW1516" s="879"/>
      <c r="PCX1516" s="879"/>
      <c r="PCY1516" s="879"/>
      <c r="PCZ1516" s="879"/>
      <c r="PDA1516" s="879"/>
      <c r="PDB1516" s="879"/>
      <c r="PDC1516" s="879"/>
      <c r="PDD1516" s="879"/>
      <c r="PDE1516" s="879"/>
      <c r="PDF1516" s="879"/>
      <c r="PDG1516" s="879"/>
      <c r="PDH1516" s="879"/>
      <c r="PDI1516" s="879"/>
      <c r="PDJ1516" s="879"/>
      <c r="PDK1516" s="879"/>
      <c r="PDL1516" s="879"/>
      <c r="PDM1516" s="879"/>
      <c r="PDN1516" s="879"/>
      <c r="PDO1516" s="879"/>
      <c r="PDP1516" s="879"/>
      <c r="PDQ1516" s="879"/>
      <c r="PDR1516" s="879"/>
      <c r="PDS1516" s="879"/>
      <c r="PDT1516" s="879"/>
      <c r="PDU1516" s="879"/>
      <c r="PDV1516" s="879"/>
      <c r="PDW1516" s="879"/>
      <c r="PDX1516" s="879"/>
      <c r="PDY1516" s="879"/>
      <c r="PDZ1516" s="879"/>
      <c r="PEA1516" s="879"/>
      <c r="PEB1516" s="879"/>
      <c r="PEC1516" s="879"/>
      <c r="PED1516" s="879"/>
      <c r="PEE1516" s="879"/>
      <c r="PEF1516" s="879"/>
      <c r="PEG1516" s="879"/>
      <c r="PEH1516" s="879"/>
      <c r="PEI1516" s="879"/>
      <c r="PEJ1516" s="879"/>
      <c r="PEK1516" s="879"/>
      <c r="PEL1516" s="879"/>
      <c r="PEM1516" s="879"/>
      <c r="PEN1516" s="879"/>
      <c r="PEO1516" s="879"/>
      <c r="PEP1516" s="879"/>
      <c r="PEQ1516" s="879"/>
      <c r="PER1516" s="879"/>
      <c r="PES1516" s="879"/>
      <c r="PET1516" s="879"/>
      <c r="PEU1516" s="879"/>
      <c r="PEV1516" s="879"/>
      <c r="PEW1516" s="879"/>
      <c r="PEX1516" s="879"/>
      <c r="PEY1516" s="879"/>
      <c r="PEZ1516" s="879"/>
      <c r="PFA1516" s="879"/>
      <c r="PFB1516" s="879"/>
      <c r="PFC1516" s="879"/>
      <c r="PFD1516" s="879"/>
      <c r="PFE1516" s="879"/>
      <c r="PFF1516" s="879"/>
      <c r="PFG1516" s="879"/>
      <c r="PFH1516" s="879"/>
      <c r="PFI1516" s="879"/>
      <c r="PFJ1516" s="879"/>
      <c r="PFK1516" s="879"/>
      <c r="PFL1516" s="879"/>
      <c r="PFM1516" s="879"/>
      <c r="PFN1516" s="879"/>
      <c r="PFO1516" s="879"/>
      <c r="PFP1516" s="879"/>
      <c r="PFQ1516" s="879"/>
      <c r="PFR1516" s="879"/>
      <c r="PFS1516" s="879"/>
      <c r="PFT1516" s="879"/>
      <c r="PFU1516" s="879"/>
      <c r="PFV1516" s="879"/>
      <c r="PFW1516" s="879"/>
      <c r="PFX1516" s="879"/>
      <c r="PFY1516" s="879"/>
      <c r="PFZ1516" s="879"/>
      <c r="PGA1516" s="879"/>
      <c r="PGB1516" s="879"/>
      <c r="PGC1516" s="879"/>
      <c r="PGD1516" s="879"/>
      <c r="PGE1516" s="879"/>
      <c r="PGF1516" s="879"/>
      <c r="PGG1516" s="879"/>
      <c r="PGH1516" s="879"/>
      <c r="PGI1516" s="879"/>
      <c r="PGJ1516" s="879"/>
      <c r="PGK1516" s="879"/>
      <c r="PGL1516" s="879"/>
      <c r="PGM1516" s="879"/>
      <c r="PGN1516" s="879"/>
      <c r="PGO1516" s="879"/>
      <c r="PGP1516" s="879"/>
      <c r="PGQ1516" s="879"/>
      <c r="PGR1516" s="879"/>
      <c r="PGS1516" s="879"/>
      <c r="PGT1516" s="879"/>
      <c r="PGU1516" s="879"/>
      <c r="PGV1516" s="879"/>
      <c r="PGW1516" s="879"/>
      <c r="PGX1516" s="879"/>
      <c r="PGY1516" s="879"/>
      <c r="PGZ1516" s="879"/>
      <c r="PHA1516" s="879"/>
      <c r="PHB1516" s="879"/>
      <c r="PHC1516" s="879"/>
      <c r="PHD1516" s="879"/>
      <c r="PHE1516" s="879"/>
      <c r="PHF1516" s="879"/>
      <c r="PHG1516" s="879"/>
      <c r="PHH1516" s="879"/>
      <c r="PHI1516" s="879"/>
      <c r="PHJ1516" s="879"/>
      <c r="PHK1516" s="879"/>
      <c r="PHL1516" s="879"/>
      <c r="PHM1516" s="879"/>
      <c r="PHN1516" s="879"/>
      <c r="PHO1516" s="879"/>
      <c r="PHP1516" s="879"/>
      <c r="PHQ1516" s="879"/>
      <c r="PHR1516" s="879"/>
      <c r="PHS1516" s="879"/>
      <c r="PHT1516" s="879"/>
      <c r="PHU1516" s="879"/>
      <c r="PHV1516" s="879"/>
      <c r="PHW1516" s="879"/>
      <c r="PHX1516" s="879"/>
      <c r="PHY1516" s="879"/>
      <c r="PHZ1516" s="879"/>
      <c r="PIA1516" s="879"/>
      <c r="PIB1516" s="879"/>
      <c r="PIC1516" s="879"/>
      <c r="PID1516" s="879"/>
      <c r="PIE1516" s="879"/>
      <c r="PIF1516" s="879"/>
      <c r="PIG1516" s="879"/>
      <c r="PIH1516" s="879"/>
      <c r="PII1516" s="879"/>
      <c r="PIJ1516" s="879"/>
      <c r="PIK1516" s="879"/>
      <c r="PIL1516" s="879"/>
      <c r="PIM1516" s="879"/>
      <c r="PIN1516" s="879"/>
      <c r="PIO1516" s="879"/>
      <c r="PIP1516" s="879"/>
      <c r="PIQ1516" s="879"/>
      <c r="PIR1516" s="879"/>
      <c r="PIS1516" s="879"/>
      <c r="PIT1516" s="879"/>
      <c r="PIU1516" s="879"/>
      <c r="PIV1516" s="879"/>
      <c r="PIW1516" s="879"/>
      <c r="PIX1516" s="879"/>
      <c r="PIY1516" s="879"/>
      <c r="PIZ1516" s="879"/>
      <c r="PJA1516" s="879"/>
      <c r="PJB1516" s="879"/>
      <c r="PJC1516" s="879"/>
      <c r="PJD1516" s="879"/>
      <c r="PJE1516" s="879"/>
      <c r="PJF1516" s="879"/>
      <c r="PJG1516" s="879"/>
      <c r="PJH1516" s="879"/>
      <c r="PJI1516" s="879"/>
      <c r="PJJ1516" s="879"/>
      <c r="PJK1516" s="879"/>
      <c r="PJL1516" s="879"/>
      <c r="PJM1516" s="879"/>
      <c r="PJN1516" s="879"/>
      <c r="PJO1516" s="879"/>
      <c r="PJP1516" s="879"/>
      <c r="PJQ1516" s="879"/>
      <c r="PJR1516" s="879"/>
      <c r="PJS1516" s="879"/>
      <c r="PJT1516" s="879"/>
      <c r="PJU1516" s="879"/>
      <c r="PJV1516" s="879"/>
      <c r="PJW1516" s="879"/>
      <c r="PJX1516" s="879"/>
      <c r="PJY1516" s="879"/>
      <c r="PJZ1516" s="879"/>
      <c r="PKA1516" s="879"/>
      <c r="PKB1516" s="879"/>
      <c r="PKC1516" s="879"/>
      <c r="PKD1516" s="879"/>
      <c r="PKE1516" s="879"/>
      <c r="PKF1516" s="879"/>
      <c r="PKG1516" s="879"/>
      <c r="PKH1516" s="879"/>
      <c r="PKI1516" s="879"/>
      <c r="PKJ1516" s="879"/>
      <c r="PKK1516" s="879"/>
      <c r="PKL1516" s="879"/>
      <c r="PKM1516" s="879"/>
      <c r="PKN1516" s="879"/>
      <c r="PKO1516" s="879"/>
      <c r="PKP1516" s="879"/>
      <c r="PKQ1516" s="879"/>
      <c r="PKR1516" s="879"/>
      <c r="PKS1516" s="879"/>
      <c r="PKT1516" s="879"/>
      <c r="PKU1516" s="879"/>
      <c r="PKV1516" s="879"/>
      <c r="PKW1516" s="879"/>
      <c r="PKX1516" s="879"/>
      <c r="PKY1516" s="879"/>
      <c r="PKZ1516" s="879"/>
      <c r="PLA1516" s="879"/>
      <c r="PLB1516" s="879"/>
      <c r="PLC1516" s="879"/>
      <c r="PLD1516" s="879"/>
      <c r="PLE1516" s="879"/>
      <c r="PLF1516" s="879"/>
      <c r="PLG1516" s="879"/>
      <c r="PLH1516" s="879"/>
      <c r="PLI1516" s="879"/>
      <c r="PLJ1516" s="879"/>
      <c r="PLK1516" s="879"/>
      <c r="PLL1516" s="879"/>
      <c r="PLM1516" s="879"/>
      <c r="PLN1516" s="879"/>
      <c r="PLO1516" s="879"/>
      <c r="PLP1516" s="879"/>
      <c r="PLQ1516" s="879"/>
      <c r="PLR1516" s="879"/>
      <c r="PLS1516" s="879"/>
      <c r="PLT1516" s="879"/>
      <c r="PLU1516" s="879"/>
      <c r="PLV1516" s="879"/>
      <c r="PLW1516" s="879"/>
      <c r="PLX1516" s="879"/>
      <c r="PLY1516" s="879"/>
      <c r="PLZ1516" s="879"/>
      <c r="PMA1516" s="879"/>
      <c r="PMB1516" s="879"/>
      <c r="PMC1516" s="879"/>
      <c r="PMD1516" s="879"/>
      <c r="PME1516" s="879"/>
      <c r="PMF1516" s="879"/>
      <c r="PMG1516" s="879"/>
      <c r="PMH1516" s="879"/>
      <c r="PMI1516" s="879"/>
      <c r="PMJ1516" s="879"/>
      <c r="PMK1516" s="879"/>
      <c r="PML1516" s="879"/>
      <c r="PMM1516" s="879"/>
      <c r="PMN1516" s="879"/>
      <c r="PMO1516" s="879"/>
      <c r="PMP1516" s="879"/>
      <c r="PMQ1516" s="879"/>
      <c r="PMR1516" s="879"/>
      <c r="PMS1516" s="879"/>
      <c r="PMT1516" s="879"/>
      <c r="PMU1516" s="879"/>
      <c r="PMV1516" s="879"/>
      <c r="PMW1516" s="879"/>
      <c r="PMX1516" s="879"/>
      <c r="PMY1516" s="879"/>
      <c r="PMZ1516" s="879"/>
      <c r="PNA1516" s="879"/>
      <c r="PNB1516" s="879"/>
      <c r="PNC1516" s="879"/>
      <c r="PND1516" s="879"/>
      <c r="PNE1516" s="879"/>
      <c r="PNF1516" s="879"/>
      <c r="PNG1516" s="879"/>
      <c r="PNH1516" s="879"/>
      <c r="PNI1516" s="879"/>
      <c r="PNJ1516" s="879"/>
      <c r="PNK1516" s="879"/>
      <c r="PNL1516" s="879"/>
      <c r="PNM1516" s="879"/>
      <c r="PNN1516" s="879"/>
      <c r="PNO1516" s="879"/>
      <c r="PNP1516" s="879"/>
      <c r="PNQ1516" s="879"/>
      <c r="PNR1516" s="879"/>
      <c r="PNS1516" s="879"/>
      <c r="PNT1516" s="879"/>
      <c r="PNU1516" s="879"/>
      <c r="PNV1516" s="879"/>
      <c r="PNW1516" s="879"/>
      <c r="PNX1516" s="879"/>
      <c r="PNY1516" s="879"/>
      <c r="PNZ1516" s="879"/>
      <c r="POA1516" s="879"/>
      <c r="POB1516" s="879"/>
      <c r="POC1516" s="879"/>
      <c r="POD1516" s="879"/>
      <c r="POE1516" s="879"/>
      <c r="POF1516" s="879"/>
      <c r="POG1516" s="879"/>
      <c r="POH1516" s="879"/>
      <c r="POI1516" s="879"/>
      <c r="POJ1516" s="879"/>
      <c r="POK1516" s="879"/>
      <c r="POL1516" s="879"/>
      <c r="POM1516" s="879"/>
      <c r="PON1516" s="879"/>
      <c r="POO1516" s="879"/>
      <c r="POP1516" s="879"/>
      <c r="POQ1516" s="879"/>
      <c r="POR1516" s="879"/>
      <c r="POS1516" s="879"/>
      <c r="POT1516" s="879"/>
      <c r="POU1516" s="879"/>
      <c r="POV1516" s="879"/>
      <c r="POW1516" s="879"/>
      <c r="POX1516" s="879"/>
      <c r="POY1516" s="879"/>
      <c r="POZ1516" s="879"/>
      <c r="PPA1516" s="879"/>
      <c r="PPB1516" s="879"/>
      <c r="PPC1516" s="879"/>
      <c r="PPD1516" s="879"/>
      <c r="PPE1516" s="879"/>
      <c r="PPF1516" s="879"/>
      <c r="PPG1516" s="879"/>
      <c r="PPH1516" s="879"/>
      <c r="PPI1516" s="879"/>
      <c r="PPJ1516" s="879"/>
      <c r="PPK1516" s="879"/>
      <c r="PPL1516" s="879"/>
      <c r="PPM1516" s="879"/>
      <c r="PPN1516" s="879"/>
      <c r="PPO1516" s="879"/>
      <c r="PPP1516" s="879"/>
      <c r="PPQ1516" s="879"/>
      <c r="PPR1516" s="879"/>
      <c r="PPS1516" s="879"/>
      <c r="PPT1516" s="879"/>
      <c r="PPU1516" s="879"/>
      <c r="PPV1516" s="879"/>
      <c r="PPW1516" s="879"/>
      <c r="PPX1516" s="879"/>
      <c r="PPY1516" s="879"/>
      <c r="PPZ1516" s="879"/>
      <c r="PQA1516" s="879"/>
      <c r="PQB1516" s="879"/>
      <c r="PQC1516" s="879"/>
      <c r="PQD1516" s="879"/>
      <c r="PQE1516" s="879"/>
      <c r="PQF1516" s="879"/>
      <c r="PQG1516" s="879"/>
      <c r="PQH1516" s="879"/>
      <c r="PQI1516" s="879"/>
      <c r="PQJ1516" s="879"/>
      <c r="PQK1516" s="879"/>
      <c r="PQL1516" s="879"/>
      <c r="PQM1516" s="879"/>
      <c r="PQN1516" s="879"/>
      <c r="PQO1516" s="879"/>
      <c r="PQP1516" s="879"/>
      <c r="PQQ1516" s="879"/>
      <c r="PQR1516" s="879"/>
      <c r="PQS1516" s="879"/>
      <c r="PQT1516" s="879"/>
      <c r="PQU1516" s="879"/>
      <c r="PQV1516" s="879"/>
      <c r="PQW1516" s="879"/>
      <c r="PQX1516" s="879"/>
      <c r="PQY1516" s="879"/>
      <c r="PQZ1516" s="879"/>
      <c r="PRA1516" s="879"/>
      <c r="PRB1516" s="879"/>
      <c r="PRC1516" s="879"/>
      <c r="PRD1516" s="879"/>
      <c r="PRE1516" s="879"/>
      <c r="PRF1516" s="879"/>
      <c r="PRG1516" s="879"/>
      <c r="PRH1516" s="879"/>
      <c r="PRI1516" s="879"/>
      <c r="PRJ1516" s="879"/>
      <c r="PRK1516" s="879"/>
      <c r="PRL1516" s="879"/>
      <c r="PRM1516" s="879"/>
      <c r="PRN1516" s="879"/>
      <c r="PRO1516" s="879"/>
      <c r="PRP1516" s="879"/>
      <c r="PRQ1516" s="879"/>
      <c r="PRR1516" s="879"/>
      <c r="PRS1516" s="879"/>
      <c r="PRT1516" s="879"/>
      <c r="PRU1516" s="879"/>
      <c r="PRV1516" s="879"/>
      <c r="PRW1516" s="879"/>
      <c r="PRX1516" s="879"/>
      <c r="PRY1516" s="879"/>
      <c r="PRZ1516" s="879"/>
      <c r="PSA1516" s="879"/>
      <c r="PSB1516" s="879"/>
      <c r="PSC1516" s="879"/>
      <c r="PSD1516" s="879"/>
      <c r="PSE1516" s="879"/>
      <c r="PSF1516" s="879"/>
      <c r="PSG1516" s="879"/>
      <c r="PSH1516" s="879"/>
      <c r="PSI1516" s="879"/>
      <c r="PSJ1516" s="879"/>
      <c r="PSK1516" s="879"/>
      <c r="PSL1516" s="879"/>
      <c r="PSM1516" s="879"/>
      <c r="PSN1516" s="879"/>
      <c r="PSO1516" s="879"/>
      <c r="PSP1516" s="879"/>
      <c r="PSQ1516" s="879"/>
      <c r="PSR1516" s="879"/>
      <c r="PSS1516" s="879"/>
      <c r="PST1516" s="879"/>
      <c r="PSU1516" s="879"/>
      <c r="PSV1516" s="879"/>
      <c r="PSW1516" s="879"/>
      <c r="PSX1516" s="879"/>
      <c r="PSY1516" s="879"/>
      <c r="PSZ1516" s="879"/>
      <c r="PTA1516" s="879"/>
      <c r="PTB1516" s="879"/>
      <c r="PTC1516" s="879"/>
      <c r="PTD1516" s="879"/>
      <c r="PTE1516" s="879"/>
      <c r="PTF1516" s="879"/>
      <c r="PTG1516" s="879"/>
      <c r="PTH1516" s="879"/>
      <c r="PTI1516" s="879"/>
      <c r="PTJ1516" s="879"/>
      <c r="PTK1516" s="879"/>
      <c r="PTL1516" s="879"/>
      <c r="PTM1516" s="879"/>
      <c r="PTN1516" s="879"/>
      <c r="PTO1516" s="879"/>
      <c r="PTP1516" s="879"/>
      <c r="PTQ1516" s="879"/>
      <c r="PTR1516" s="879"/>
      <c r="PTS1516" s="879"/>
      <c r="PTT1516" s="879"/>
      <c r="PTU1516" s="879"/>
      <c r="PTV1516" s="879"/>
      <c r="PTW1516" s="879"/>
      <c r="PTX1516" s="879"/>
      <c r="PTY1516" s="879"/>
      <c r="PTZ1516" s="879"/>
      <c r="PUA1516" s="879"/>
      <c r="PUB1516" s="879"/>
      <c r="PUC1516" s="879"/>
      <c r="PUD1516" s="879"/>
      <c r="PUE1516" s="879"/>
      <c r="PUF1516" s="879"/>
      <c r="PUG1516" s="879"/>
      <c r="PUH1516" s="879"/>
      <c r="PUI1516" s="879"/>
      <c r="PUJ1516" s="879"/>
      <c r="PUK1516" s="879"/>
      <c r="PUL1516" s="879"/>
      <c r="PUM1516" s="879"/>
      <c r="PUN1516" s="879"/>
      <c r="PUO1516" s="879"/>
      <c r="PUP1516" s="879"/>
      <c r="PUQ1516" s="879"/>
      <c r="PUR1516" s="879"/>
      <c r="PUS1516" s="879"/>
      <c r="PUT1516" s="879"/>
      <c r="PUU1516" s="879"/>
      <c r="PUV1516" s="879"/>
      <c r="PUW1516" s="879"/>
      <c r="PUX1516" s="879"/>
      <c r="PUY1516" s="879"/>
      <c r="PUZ1516" s="879"/>
      <c r="PVA1516" s="879"/>
      <c r="PVB1516" s="879"/>
      <c r="PVC1516" s="879"/>
      <c r="PVD1516" s="879"/>
      <c r="PVE1516" s="879"/>
      <c r="PVF1516" s="879"/>
      <c r="PVG1516" s="879"/>
      <c r="PVH1516" s="879"/>
      <c r="PVI1516" s="879"/>
      <c r="PVJ1516" s="879"/>
      <c r="PVK1516" s="879"/>
      <c r="PVL1516" s="879"/>
      <c r="PVM1516" s="879"/>
      <c r="PVN1516" s="879"/>
      <c r="PVO1516" s="879"/>
      <c r="PVP1516" s="879"/>
      <c r="PVQ1516" s="879"/>
      <c r="PVR1516" s="879"/>
      <c r="PVS1516" s="879"/>
      <c r="PVT1516" s="879"/>
      <c r="PVU1516" s="879"/>
      <c r="PVV1516" s="879"/>
      <c r="PVW1516" s="879"/>
      <c r="PVX1516" s="879"/>
      <c r="PVY1516" s="879"/>
      <c r="PVZ1516" s="879"/>
      <c r="PWA1516" s="879"/>
      <c r="PWB1516" s="879"/>
      <c r="PWC1516" s="879"/>
      <c r="PWD1516" s="879"/>
      <c r="PWE1516" s="879"/>
      <c r="PWF1516" s="879"/>
      <c r="PWG1516" s="879"/>
      <c r="PWH1516" s="879"/>
      <c r="PWI1516" s="879"/>
      <c r="PWJ1516" s="879"/>
      <c r="PWK1516" s="879"/>
      <c r="PWL1516" s="879"/>
      <c r="PWM1516" s="879"/>
      <c r="PWN1516" s="879"/>
      <c r="PWO1516" s="879"/>
      <c r="PWP1516" s="879"/>
      <c r="PWQ1516" s="879"/>
      <c r="PWR1516" s="879"/>
      <c r="PWS1516" s="879"/>
      <c r="PWT1516" s="879"/>
      <c r="PWU1516" s="879"/>
      <c r="PWV1516" s="879"/>
      <c r="PWW1516" s="879"/>
      <c r="PWX1516" s="879"/>
      <c r="PWY1516" s="879"/>
      <c r="PWZ1516" s="879"/>
      <c r="PXA1516" s="879"/>
      <c r="PXB1516" s="879"/>
      <c r="PXC1516" s="879"/>
      <c r="PXD1516" s="879"/>
      <c r="PXE1516" s="879"/>
      <c r="PXF1516" s="879"/>
      <c r="PXG1516" s="879"/>
      <c r="PXH1516" s="879"/>
      <c r="PXI1516" s="879"/>
      <c r="PXJ1516" s="879"/>
      <c r="PXK1516" s="879"/>
      <c r="PXL1516" s="879"/>
      <c r="PXM1516" s="879"/>
      <c r="PXN1516" s="879"/>
      <c r="PXO1516" s="879"/>
      <c r="PXP1516" s="879"/>
      <c r="PXQ1516" s="879"/>
      <c r="PXR1516" s="879"/>
      <c r="PXS1516" s="879"/>
      <c r="PXT1516" s="879"/>
      <c r="PXU1516" s="879"/>
      <c r="PXV1516" s="879"/>
      <c r="PXW1516" s="879"/>
      <c r="PXX1516" s="879"/>
      <c r="PXY1516" s="879"/>
      <c r="PXZ1516" s="879"/>
      <c r="PYA1516" s="879"/>
      <c r="PYB1516" s="879"/>
      <c r="PYC1516" s="879"/>
      <c r="PYD1516" s="879"/>
      <c r="PYE1516" s="879"/>
      <c r="PYF1516" s="879"/>
      <c r="PYG1516" s="879"/>
      <c r="PYH1516" s="879"/>
      <c r="PYI1516" s="879"/>
      <c r="PYJ1516" s="879"/>
      <c r="PYK1516" s="879"/>
      <c r="PYL1516" s="879"/>
      <c r="PYM1516" s="879"/>
      <c r="PYN1516" s="879"/>
      <c r="PYO1516" s="879"/>
      <c r="PYP1516" s="879"/>
      <c r="PYQ1516" s="879"/>
      <c r="PYR1516" s="879"/>
      <c r="PYS1516" s="879"/>
      <c r="PYT1516" s="879"/>
      <c r="PYU1516" s="879"/>
      <c r="PYV1516" s="879"/>
      <c r="PYW1516" s="879"/>
      <c r="PYX1516" s="879"/>
      <c r="PYY1516" s="879"/>
      <c r="PYZ1516" s="879"/>
      <c r="PZA1516" s="879"/>
      <c r="PZB1516" s="879"/>
      <c r="PZC1516" s="879"/>
      <c r="PZD1516" s="879"/>
      <c r="PZE1516" s="879"/>
      <c r="PZF1516" s="879"/>
      <c r="PZG1516" s="879"/>
      <c r="PZH1516" s="879"/>
      <c r="PZI1516" s="879"/>
      <c r="PZJ1516" s="879"/>
      <c r="PZK1516" s="879"/>
      <c r="PZL1516" s="879"/>
      <c r="PZM1516" s="879"/>
      <c r="PZN1516" s="879"/>
      <c r="PZO1516" s="879"/>
      <c r="PZP1516" s="879"/>
      <c r="PZQ1516" s="879"/>
      <c r="PZR1516" s="879"/>
      <c r="PZS1516" s="879"/>
      <c r="PZT1516" s="879"/>
      <c r="PZU1516" s="879"/>
      <c r="PZV1516" s="879"/>
      <c r="PZW1516" s="879"/>
      <c r="PZX1516" s="879"/>
      <c r="PZY1516" s="879"/>
      <c r="PZZ1516" s="879"/>
      <c r="QAA1516" s="879"/>
      <c r="QAB1516" s="879"/>
      <c r="QAC1516" s="879"/>
      <c r="QAD1516" s="879"/>
      <c r="QAE1516" s="879"/>
      <c r="QAF1516" s="879"/>
      <c r="QAG1516" s="879"/>
      <c r="QAH1516" s="879"/>
      <c r="QAI1516" s="879"/>
      <c r="QAJ1516" s="879"/>
      <c r="QAK1516" s="879"/>
      <c r="QAL1516" s="879"/>
      <c r="QAM1516" s="879"/>
      <c r="QAN1516" s="879"/>
      <c r="QAO1516" s="879"/>
      <c r="QAP1516" s="879"/>
      <c r="QAQ1516" s="879"/>
      <c r="QAR1516" s="879"/>
      <c r="QAS1516" s="879"/>
      <c r="QAT1516" s="879"/>
      <c r="QAU1516" s="879"/>
      <c r="QAV1516" s="879"/>
      <c r="QAW1516" s="879"/>
      <c r="QAX1516" s="879"/>
      <c r="QAY1516" s="879"/>
      <c r="QAZ1516" s="879"/>
      <c r="QBA1516" s="879"/>
      <c r="QBB1516" s="879"/>
      <c r="QBC1516" s="879"/>
      <c r="QBD1516" s="879"/>
      <c r="QBE1516" s="879"/>
      <c r="QBF1516" s="879"/>
      <c r="QBG1516" s="879"/>
      <c r="QBH1516" s="879"/>
      <c r="QBI1516" s="879"/>
      <c r="QBJ1516" s="879"/>
      <c r="QBK1516" s="879"/>
      <c r="QBL1516" s="879"/>
      <c r="QBM1516" s="879"/>
      <c r="QBN1516" s="879"/>
      <c r="QBO1516" s="879"/>
      <c r="QBP1516" s="879"/>
      <c r="QBQ1516" s="879"/>
      <c r="QBR1516" s="879"/>
      <c r="QBS1516" s="879"/>
      <c r="QBT1516" s="879"/>
      <c r="QBU1516" s="879"/>
      <c r="QBV1516" s="879"/>
      <c r="QBW1516" s="879"/>
      <c r="QBX1516" s="879"/>
      <c r="QBY1516" s="879"/>
      <c r="QBZ1516" s="879"/>
      <c r="QCA1516" s="879"/>
      <c r="QCB1516" s="879"/>
      <c r="QCC1516" s="879"/>
      <c r="QCD1516" s="879"/>
      <c r="QCE1516" s="879"/>
      <c r="QCF1516" s="879"/>
      <c r="QCG1516" s="879"/>
      <c r="QCH1516" s="879"/>
      <c r="QCI1516" s="879"/>
      <c r="QCJ1516" s="879"/>
      <c r="QCK1516" s="879"/>
      <c r="QCL1516" s="879"/>
      <c r="QCM1516" s="879"/>
      <c r="QCN1516" s="879"/>
      <c r="QCO1516" s="879"/>
      <c r="QCP1516" s="879"/>
      <c r="QCQ1516" s="879"/>
      <c r="QCR1516" s="879"/>
      <c r="QCS1516" s="879"/>
      <c r="QCT1516" s="879"/>
      <c r="QCU1516" s="879"/>
      <c r="QCV1516" s="879"/>
      <c r="QCW1516" s="879"/>
      <c r="QCX1516" s="879"/>
      <c r="QCY1516" s="879"/>
      <c r="QCZ1516" s="879"/>
      <c r="QDA1516" s="879"/>
      <c r="QDB1516" s="879"/>
      <c r="QDC1516" s="879"/>
      <c r="QDD1516" s="879"/>
      <c r="QDE1516" s="879"/>
      <c r="QDF1516" s="879"/>
      <c r="QDG1516" s="879"/>
      <c r="QDH1516" s="879"/>
      <c r="QDI1516" s="879"/>
      <c r="QDJ1516" s="879"/>
      <c r="QDK1516" s="879"/>
      <c r="QDL1516" s="879"/>
      <c r="QDM1516" s="879"/>
      <c r="QDN1516" s="879"/>
      <c r="QDO1516" s="879"/>
      <c r="QDP1516" s="879"/>
      <c r="QDQ1516" s="879"/>
      <c r="QDR1516" s="879"/>
      <c r="QDS1516" s="879"/>
      <c r="QDT1516" s="879"/>
      <c r="QDU1516" s="879"/>
      <c r="QDV1516" s="879"/>
      <c r="QDW1516" s="879"/>
      <c r="QDX1516" s="879"/>
      <c r="QDY1516" s="879"/>
      <c r="QDZ1516" s="879"/>
      <c r="QEA1516" s="879"/>
      <c r="QEB1516" s="879"/>
      <c r="QEC1516" s="879"/>
      <c r="QED1516" s="879"/>
      <c r="QEE1516" s="879"/>
      <c r="QEF1516" s="879"/>
      <c r="QEG1516" s="879"/>
      <c r="QEH1516" s="879"/>
      <c r="QEI1516" s="879"/>
      <c r="QEJ1516" s="879"/>
      <c r="QEK1516" s="879"/>
      <c r="QEL1516" s="879"/>
      <c r="QEM1516" s="879"/>
      <c r="QEN1516" s="879"/>
      <c r="QEO1516" s="879"/>
      <c r="QEP1516" s="879"/>
      <c r="QEQ1516" s="879"/>
      <c r="QER1516" s="879"/>
      <c r="QES1516" s="879"/>
      <c r="QET1516" s="879"/>
      <c r="QEU1516" s="879"/>
      <c r="QEV1516" s="879"/>
      <c r="QEW1516" s="879"/>
      <c r="QEX1516" s="879"/>
      <c r="QEY1516" s="879"/>
      <c r="QEZ1516" s="879"/>
      <c r="QFA1516" s="879"/>
      <c r="QFB1516" s="879"/>
      <c r="QFC1516" s="879"/>
      <c r="QFD1516" s="879"/>
      <c r="QFE1516" s="879"/>
      <c r="QFF1516" s="879"/>
      <c r="QFG1516" s="879"/>
      <c r="QFH1516" s="879"/>
      <c r="QFI1516" s="879"/>
      <c r="QFJ1516" s="879"/>
      <c r="QFK1516" s="879"/>
      <c r="QFL1516" s="879"/>
      <c r="QFM1516" s="879"/>
      <c r="QFN1516" s="879"/>
      <c r="QFO1516" s="879"/>
      <c r="QFP1516" s="879"/>
      <c r="QFQ1516" s="879"/>
      <c r="QFR1516" s="879"/>
      <c r="QFS1516" s="879"/>
      <c r="QFT1516" s="879"/>
      <c r="QFU1516" s="879"/>
      <c r="QFV1516" s="879"/>
      <c r="QFW1516" s="879"/>
      <c r="QFX1516" s="879"/>
      <c r="QFY1516" s="879"/>
      <c r="QFZ1516" s="879"/>
      <c r="QGA1516" s="879"/>
      <c r="QGB1516" s="879"/>
      <c r="QGC1516" s="879"/>
      <c r="QGD1516" s="879"/>
      <c r="QGE1516" s="879"/>
      <c r="QGF1516" s="879"/>
      <c r="QGG1516" s="879"/>
      <c r="QGH1516" s="879"/>
      <c r="QGI1516" s="879"/>
      <c r="QGJ1516" s="879"/>
      <c r="QGK1516" s="879"/>
      <c r="QGL1516" s="879"/>
      <c r="QGM1516" s="879"/>
      <c r="QGN1516" s="879"/>
      <c r="QGO1516" s="879"/>
      <c r="QGP1516" s="879"/>
      <c r="QGQ1516" s="879"/>
      <c r="QGR1516" s="879"/>
      <c r="QGS1516" s="879"/>
      <c r="QGT1516" s="879"/>
      <c r="QGU1516" s="879"/>
      <c r="QGV1516" s="879"/>
      <c r="QGW1516" s="879"/>
      <c r="QGX1516" s="879"/>
      <c r="QGY1516" s="879"/>
      <c r="QGZ1516" s="879"/>
      <c r="QHA1516" s="879"/>
      <c r="QHB1516" s="879"/>
      <c r="QHC1516" s="879"/>
      <c r="QHD1516" s="879"/>
      <c r="QHE1516" s="879"/>
      <c r="QHF1516" s="879"/>
      <c r="QHG1516" s="879"/>
      <c r="QHH1516" s="879"/>
      <c r="QHI1516" s="879"/>
      <c r="QHJ1516" s="879"/>
      <c r="QHK1516" s="879"/>
      <c r="QHL1516" s="879"/>
      <c r="QHM1516" s="879"/>
      <c r="QHN1516" s="879"/>
      <c r="QHO1516" s="879"/>
      <c r="QHP1516" s="879"/>
      <c r="QHQ1516" s="879"/>
      <c r="QHR1516" s="879"/>
      <c r="QHS1516" s="879"/>
      <c r="QHT1516" s="879"/>
      <c r="QHU1516" s="879"/>
      <c r="QHV1516" s="879"/>
      <c r="QHW1516" s="879"/>
      <c r="QHX1516" s="879"/>
      <c r="QHY1516" s="879"/>
      <c r="QHZ1516" s="879"/>
      <c r="QIA1516" s="879"/>
      <c r="QIB1516" s="879"/>
      <c r="QIC1516" s="879"/>
      <c r="QID1516" s="879"/>
      <c r="QIE1516" s="879"/>
      <c r="QIF1516" s="879"/>
      <c r="QIG1516" s="879"/>
      <c r="QIH1516" s="879"/>
      <c r="QII1516" s="879"/>
      <c r="QIJ1516" s="879"/>
      <c r="QIK1516" s="879"/>
      <c r="QIL1516" s="879"/>
      <c r="QIM1516" s="879"/>
      <c r="QIN1516" s="879"/>
      <c r="QIO1516" s="879"/>
      <c r="QIP1516" s="879"/>
      <c r="QIQ1516" s="879"/>
      <c r="QIR1516" s="879"/>
      <c r="QIS1516" s="879"/>
      <c r="QIT1516" s="879"/>
      <c r="QIU1516" s="879"/>
      <c r="QIV1516" s="879"/>
      <c r="QIW1516" s="879"/>
      <c r="QIX1516" s="879"/>
      <c r="QIY1516" s="879"/>
      <c r="QIZ1516" s="879"/>
      <c r="QJA1516" s="879"/>
      <c r="QJB1516" s="879"/>
      <c r="QJC1516" s="879"/>
      <c r="QJD1516" s="879"/>
      <c r="QJE1516" s="879"/>
      <c r="QJF1516" s="879"/>
      <c r="QJG1516" s="879"/>
      <c r="QJH1516" s="879"/>
      <c r="QJI1516" s="879"/>
      <c r="QJJ1516" s="879"/>
      <c r="QJK1516" s="879"/>
      <c r="QJL1516" s="879"/>
      <c r="QJM1516" s="879"/>
      <c r="QJN1516" s="879"/>
      <c r="QJO1516" s="879"/>
      <c r="QJP1516" s="879"/>
      <c r="QJQ1516" s="879"/>
      <c r="QJR1516" s="879"/>
      <c r="QJS1516" s="879"/>
      <c r="QJT1516" s="879"/>
      <c r="QJU1516" s="879"/>
      <c r="QJV1516" s="879"/>
      <c r="QJW1516" s="879"/>
      <c r="QJX1516" s="879"/>
      <c r="QJY1516" s="879"/>
      <c r="QJZ1516" s="879"/>
      <c r="QKA1516" s="879"/>
      <c r="QKB1516" s="879"/>
      <c r="QKC1516" s="879"/>
      <c r="QKD1516" s="879"/>
      <c r="QKE1516" s="879"/>
      <c r="QKF1516" s="879"/>
      <c r="QKG1516" s="879"/>
      <c r="QKH1516" s="879"/>
      <c r="QKI1516" s="879"/>
      <c r="QKJ1516" s="879"/>
      <c r="QKK1516" s="879"/>
      <c r="QKL1516" s="879"/>
      <c r="QKM1516" s="879"/>
      <c r="QKN1516" s="879"/>
      <c r="QKO1516" s="879"/>
      <c r="QKP1516" s="879"/>
      <c r="QKQ1516" s="879"/>
      <c r="QKR1516" s="879"/>
      <c r="QKS1516" s="879"/>
      <c r="QKT1516" s="879"/>
      <c r="QKU1516" s="879"/>
      <c r="QKV1516" s="879"/>
      <c r="QKW1516" s="879"/>
      <c r="QKX1516" s="879"/>
      <c r="QKY1516" s="879"/>
      <c r="QKZ1516" s="879"/>
      <c r="QLA1516" s="879"/>
      <c r="QLB1516" s="879"/>
      <c r="QLC1516" s="879"/>
      <c r="QLD1516" s="879"/>
      <c r="QLE1516" s="879"/>
      <c r="QLF1516" s="879"/>
      <c r="QLG1516" s="879"/>
      <c r="QLH1516" s="879"/>
      <c r="QLI1516" s="879"/>
      <c r="QLJ1516" s="879"/>
      <c r="QLK1516" s="879"/>
      <c r="QLL1516" s="879"/>
      <c r="QLM1516" s="879"/>
      <c r="QLN1516" s="879"/>
      <c r="QLO1516" s="879"/>
      <c r="QLP1516" s="879"/>
      <c r="QLQ1516" s="879"/>
      <c r="QLR1516" s="879"/>
      <c r="QLS1516" s="879"/>
      <c r="QLT1516" s="879"/>
      <c r="QLU1516" s="879"/>
      <c r="QLV1516" s="879"/>
      <c r="QLW1516" s="879"/>
      <c r="QLX1516" s="879"/>
      <c r="QLY1516" s="879"/>
      <c r="QLZ1516" s="879"/>
      <c r="QMA1516" s="879"/>
      <c r="QMB1516" s="879"/>
      <c r="QMC1516" s="879"/>
      <c r="QMD1516" s="879"/>
      <c r="QME1516" s="879"/>
      <c r="QMF1516" s="879"/>
      <c r="QMG1516" s="879"/>
      <c r="QMH1516" s="879"/>
      <c r="QMI1516" s="879"/>
      <c r="QMJ1516" s="879"/>
      <c r="QMK1516" s="879"/>
      <c r="QML1516" s="879"/>
      <c r="QMM1516" s="879"/>
      <c r="QMN1516" s="879"/>
      <c r="QMO1516" s="879"/>
      <c r="QMP1516" s="879"/>
      <c r="QMQ1516" s="879"/>
      <c r="QMR1516" s="879"/>
      <c r="QMS1516" s="879"/>
      <c r="QMT1516" s="879"/>
      <c r="QMU1516" s="879"/>
      <c r="QMV1516" s="879"/>
      <c r="QMW1516" s="879"/>
      <c r="QMX1516" s="879"/>
      <c r="QMY1516" s="879"/>
      <c r="QMZ1516" s="879"/>
      <c r="QNA1516" s="879"/>
      <c r="QNB1516" s="879"/>
      <c r="QNC1516" s="879"/>
      <c r="QND1516" s="879"/>
      <c r="QNE1516" s="879"/>
      <c r="QNF1516" s="879"/>
      <c r="QNG1516" s="879"/>
      <c r="QNH1516" s="879"/>
      <c r="QNI1516" s="879"/>
      <c r="QNJ1516" s="879"/>
      <c r="QNK1516" s="879"/>
      <c r="QNL1516" s="879"/>
      <c r="QNM1516" s="879"/>
      <c r="QNN1516" s="879"/>
      <c r="QNO1516" s="879"/>
      <c r="QNP1516" s="879"/>
      <c r="QNQ1516" s="879"/>
      <c r="QNR1516" s="879"/>
      <c r="QNS1516" s="879"/>
      <c r="QNT1516" s="879"/>
      <c r="QNU1516" s="879"/>
      <c r="QNV1516" s="879"/>
      <c r="QNW1516" s="879"/>
      <c r="QNX1516" s="879"/>
      <c r="QNY1516" s="879"/>
      <c r="QNZ1516" s="879"/>
      <c r="QOA1516" s="879"/>
      <c r="QOB1516" s="879"/>
      <c r="QOC1516" s="879"/>
      <c r="QOD1516" s="879"/>
      <c r="QOE1516" s="879"/>
      <c r="QOF1516" s="879"/>
      <c r="QOG1516" s="879"/>
      <c r="QOH1516" s="879"/>
      <c r="QOI1516" s="879"/>
      <c r="QOJ1516" s="879"/>
      <c r="QOK1516" s="879"/>
      <c r="QOL1516" s="879"/>
      <c r="QOM1516" s="879"/>
      <c r="QON1516" s="879"/>
      <c r="QOO1516" s="879"/>
      <c r="QOP1516" s="879"/>
      <c r="QOQ1516" s="879"/>
      <c r="QOR1516" s="879"/>
      <c r="QOS1516" s="879"/>
      <c r="QOT1516" s="879"/>
      <c r="QOU1516" s="879"/>
      <c r="QOV1516" s="879"/>
      <c r="QOW1516" s="879"/>
      <c r="QOX1516" s="879"/>
      <c r="QOY1516" s="879"/>
      <c r="QOZ1516" s="879"/>
      <c r="QPA1516" s="879"/>
      <c r="QPB1516" s="879"/>
      <c r="QPC1516" s="879"/>
      <c r="QPD1516" s="879"/>
      <c r="QPE1516" s="879"/>
      <c r="QPF1516" s="879"/>
      <c r="QPG1516" s="879"/>
      <c r="QPH1516" s="879"/>
      <c r="QPI1516" s="879"/>
      <c r="QPJ1516" s="879"/>
      <c r="QPK1516" s="879"/>
      <c r="QPL1516" s="879"/>
      <c r="QPM1516" s="879"/>
      <c r="QPN1516" s="879"/>
      <c r="QPO1516" s="879"/>
      <c r="QPP1516" s="879"/>
      <c r="QPQ1516" s="879"/>
      <c r="QPR1516" s="879"/>
      <c r="QPS1516" s="879"/>
      <c r="QPT1516" s="879"/>
      <c r="QPU1516" s="879"/>
      <c r="QPV1516" s="879"/>
      <c r="QPW1516" s="879"/>
      <c r="QPX1516" s="879"/>
      <c r="QPY1516" s="879"/>
      <c r="QPZ1516" s="879"/>
      <c r="QQA1516" s="879"/>
      <c r="QQB1516" s="879"/>
      <c r="QQC1516" s="879"/>
      <c r="QQD1516" s="879"/>
      <c r="QQE1516" s="879"/>
      <c r="QQF1516" s="879"/>
      <c r="QQG1516" s="879"/>
      <c r="QQH1516" s="879"/>
      <c r="QQI1516" s="879"/>
      <c r="QQJ1516" s="879"/>
      <c r="QQK1516" s="879"/>
      <c r="QQL1516" s="879"/>
      <c r="QQM1516" s="879"/>
      <c r="QQN1516" s="879"/>
      <c r="QQO1516" s="879"/>
      <c r="QQP1516" s="879"/>
      <c r="QQQ1516" s="879"/>
      <c r="QQR1516" s="879"/>
      <c r="QQS1516" s="879"/>
      <c r="QQT1516" s="879"/>
      <c r="QQU1516" s="879"/>
      <c r="QQV1516" s="879"/>
      <c r="QQW1516" s="879"/>
      <c r="QQX1516" s="879"/>
      <c r="QQY1516" s="879"/>
      <c r="QQZ1516" s="879"/>
      <c r="QRA1516" s="879"/>
      <c r="QRB1516" s="879"/>
      <c r="QRC1516" s="879"/>
      <c r="QRD1516" s="879"/>
      <c r="QRE1516" s="879"/>
      <c r="QRF1516" s="879"/>
      <c r="QRG1516" s="879"/>
      <c r="QRH1516" s="879"/>
      <c r="QRI1516" s="879"/>
      <c r="QRJ1516" s="879"/>
      <c r="QRK1516" s="879"/>
      <c r="QRL1516" s="879"/>
      <c r="QRM1516" s="879"/>
      <c r="QRN1516" s="879"/>
      <c r="QRO1516" s="879"/>
      <c r="QRP1516" s="879"/>
      <c r="QRQ1516" s="879"/>
      <c r="QRR1516" s="879"/>
      <c r="QRS1516" s="879"/>
      <c r="QRT1516" s="879"/>
      <c r="QRU1516" s="879"/>
      <c r="QRV1516" s="879"/>
      <c r="QRW1516" s="879"/>
      <c r="QRX1516" s="879"/>
      <c r="QRY1516" s="879"/>
      <c r="QRZ1516" s="879"/>
      <c r="QSA1516" s="879"/>
      <c r="QSB1516" s="879"/>
      <c r="QSC1516" s="879"/>
      <c r="QSD1516" s="879"/>
      <c r="QSE1516" s="879"/>
      <c r="QSF1516" s="879"/>
      <c r="QSG1516" s="879"/>
      <c r="QSH1516" s="879"/>
      <c r="QSI1516" s="879"/>
      <c r="QSJ1516" s="879"/>
      <c r="QSK1516" s="879"/>
      <c r="QSL1516" s="879"/>
      <c r="QSM1516" s="879"/>
      <c r="QSN1516" s="879"/>
      <c r="QSO1516" s="879"/>
      <c r="QSP1516" s="879"/>
      <c r="QSQ1516" s="879"/>
      <c r="QSR1516" s="879"/>
      <c r="QSS1516" s="879"/>
      <c r="QST1516" s="879"/>
      <c r="QSU1516" s="879"/>
      <c r="QSV1516" s="879"/>
      <c r="QSW1516" s="879"/>
      <c r="QSX1516" s="879"/>
      <c r="QSY1516" s="879"/>
      <c r="QSZ1516" s="879"/>
      <c r="QTA1516" s="879"/>
      <c r="QTB1516" s="879"/>
      <c r="QTC1516" s="879"/>
      <c r="QTD1516" s="879"/>
      <c r="QTE1516" s="879"/>
      <c r="QTF1516" s="879"/>
      <c r="QTG1516" s="879"/>
      <c r="QTH1516" s="879"/>
      <c r="QTI1516" s="879"/>
      <c r="QTJ1516" s="879"/>
      <c r="QTK1516" s="879"/>
      <c r="QTL1516" s="879"/>
      <c r="QTM1516" s="879"/>
      <c r="QTN1516" s="879"/>
      <c r="QTO1516" s="879"/>
      <c r="QTP1516" s="879"/>
      <c r="QTQ1516" s="879"/>
      <c r="QTR1516" s="879"/>
      <c r="QTS1516" s="879"/>
      <c r="QTT1516" s="879"/>
      <c r="QTU1516" s="879"/>
      <c r="QTV1516" s="879"/>
      <c r="QTW1516" s="879"/>
      <c r="QTX1516" s="879"/>
      <c r="QTY1516" s="879"/>
      <c r="QTZ1516" s="879"/>
      <c r="QUA1516" s="879"/>
      <c r="QUB1516" s="879"/>
      <c r="QUC1516" s="879"/>
      <c r="QUD1516" s="879"/>
      <c r="QUE1516" s="879"/>
      <c r="QUF1516" s="879"/>
      <c r="QUG1516" s="879"/>
      <c r="QUH1516" s="879"/>
      <c r="QUI1516" s="879"/>
      <c r="QUJ1516" s="879"/>
      <c r="QUK1516" s="879"/>
      <c r="QUL1516" s="879"/>
      <c r="QUM1516" s="879"/>
      <c r="QUN1516" s="879"/>
      <c r="QUO1516" s="879"/>
      <c r="QUP1516" s="879"/>
      <c r="QUQ1516" s="879"/>
      <c r="QUR1516" s="879"/>
      <c r="QUS1516" s="879"/>
      <c r="QUT1516" s="879"/>
      <c r="QUU1516" s="879"/>
      <c r="QUV1516" s="879"/>
      <c r="QUW1516" s="879"/>
      <c r="QUX1516" s="879"/>
      <c r="QUY1516" s="879"/>
      <c r="QUZ1516" s="879"/>
      <c r="QVA1516" s="879"/>
      <c r="QVB1516" s="879"/>
      <c r="QVC1516" s="879"/>
      <c r="QVD1516" s="879"/>
      <c r="QVE1516" s="879"/>
      <c r="QVF1516" s="879"/>
      <c r="QVG1516" s="879"/>
      <c r="QVH1516" s="879"/>
      <c r="QVI1516" s="879"/>
      <c r="QVJ1516" s="879"/>
      <c r="QVK1516" s="879"/>
      <c r="QVL1516" s="879"/>
      <c r="QVM1516" s="879"/>
      <c r="QVN1516" s="879"/>
      <c r="QVO1516" s="879"/>
      <c r="QVP1516" s="879"/>
      <c r="QVQ1516" s="879"/>
      <c r="QVR1516" s="879"/>
      <c r="QVS1516" s="879"/>
      <c r="QVT1516" s="879"/>
      <c r="QVU1516" s="879"/>
      <c r="QVV1516" s="879"/>
      <c r="QVW1516" s="879"/>
      <c r="QVX1516" s="879"/>
      <c r="QVY1516" s="879"/>
      <c r="QVZ1516" s="879"/>
      <c r="QWA1516" s="879"/>
      <c r="QWB1516" s="879"/>
      <c r="QWC1516" s="879"/>
      <c r="QWD1516" s="879"/>
      <c r="QWE1516" s="879"/>
      <c r="QWF1516" s="879"/>
      <c r="QWG1516" s="879"/>
      <c r="QWH1516" s="879"/>
      <c r="QWI1516" s="879"/>
      <c r="QWJ1516" s="879"/>
      <c r="QWK1516" s="879"/>
      <c r="QWL1516" s="879"/>
      <c r="QWM1516" s="879"/>
      <c r="QWN1516" s="879"/>
      <c r="QWO1516" s="879"/>
      <c r="QWP1516" s="879"/>
      <c r="QWQ1516" s="879"/>
      <c r="QWR1516" s="879"/>
      <c r="QWS1516" s="879"/>
      <c r="QWT1516" s="879"/>
      <c r="QWU1516" s="879"/>
      <c r="QWV1516" s="879"/>
      <c r="QWW1516" s="879"/>
      <c r="QWX1516" s="879"/>
      <c r="QWY1516" s="879"/>
      <c r="QWZ1516" s="879"/>
      <c r="QXA1516" s="879"/>
      <c r="QXB1516" s="879"/>
      <c r="QXC1516" s="879"/>
      <c r="QXD1516" s="879"/>
      <c r="QXE1516" s="879"/>
      <c r="QXF1516" s="879"/>
      <c r="QXG1516" s="879"/>
      <c r="QXH1516" s="879"/>
      <c r="QXI1516" s="879"/>
      <c r="QXJ1516" s="879"/>
      <c r="QXK1516" s="879"/>
      <c r="QXL1516" s="879"/>
      <c r="QXM1516" s="879"/>
      <c r="QXN1516" s="879"/>
      <c r="QXO1516" s="879"/>
      <c r="QXP1516" s="879"/>
      <c r="QXQ1516" s="879"/>
      <c r="QXR1516" s="879"/>
      <c r="QXS1516" s="879"/>
      <c r="QXT1516" s="879"/>
      <c r="QXU1516" s="879"/>
      <c r="QXV1516" s="879"/>
      <c r="QXW1516" s="879"/>
      <c r="QXX1516" s="879"/>
      <c r="QXY1516" s="879"/>
      <c r="QXZ1516" s="879"/>
      <c r="QYA1516" s="879"/>
      <c r="QYB1516" s="879"/>
      <c r="QYC1516" s="879"/>
      <c r="QYD1516" s="879"/>
      <c r="QYE1516" s="879"/>
      <c r="QYF1516" s="879"/>
      <c r="QYG1516" s="879"/>
      <c r="QYH1516" s="879"/>
      <c r="QYI1516" s="879"/>
      <c r="QYJ1516" s="879"/>
      <c r="QYK1516" s="879"/>
      <c r="QYL1516" s="879"/>
      <c r="QYM1516" s="879"/>
      <c r="QYN1516" s="879"/>
      <c r="QYO1516" s="879"/>
      <c r="QYP1516" s="879"/>
      <c r="QYQ1516" s="879"/>
      <c r="QYR1516" s="879"/>
      <c r="QYS1516" s="879"/>
      <c r="QYT1516" s="879"/>
      <c r="QYU1516" s="879"/>
      <c r="QYV1516" s="879"/>
      <c r="QYW1516" s="879"/>
      <c r="QYX1516" s="879"/>
      <c r="QYY1516" s="879"/>
      <c r="QYZ1516" s="879"/>
      <c r="QZA1516" s="879"/>
      <c r="QZB1516" s="879"/>
      <c r="QZC1516" s="879"/>
      <c r="QZD1516" s="879"/>
      <c r="QZE1516" s="879"/>
      <c r="QZF1516" s="879"/>
      <c r="QZG1516" s="879"/>
      <c r="QZH1516" s="879"/>
      <c r="QZI1516" s="879"/>
      <c r="QZJ1516" s="879"/>
      <c r="QZK1516" s="879"/>
      <c r="QZL1516" s="879"/>
      <c r="QZM1516" s="879"/>
      <c r="QZN1516" s="879"/>
      <c r="QZO1516" s="879"/>
      <c r="QZP1516" s="879"/>
      <c r="QZQ1516" s="879"/>
      <c r="QZR1516" s="879"/>
      <c r="QZS1516" s="879"/>
      <c r="QZT1516" s="879"/>
      <c r="QZU1516" s="879"/>
      <c r="QZV1516" s="879"/>
      <c r="QZW1516" s="879"/>
      <c r="QZX1516" s="879"/>
      <c r="QZY1516" s="879"/>
      <c r="QZZ1516" s="879"/>
      <c r="RAA1516" s="879"/>
      <c r="RAB1516" s="879"/>
      <c r="RAC1516" s="879"/>
      <c r="RAD1516" s="879"/>
      <c r="RAE1516" s="879"/>
      <c r="RAF1516" s="879"/>
      <c r="RAG1516" s="879"/>
      <c r="RAH1516" s="879"/>
      <c r="RAI1516" s="879"/>
      <c r="RAJ1516" s="879"/>
      <c r="RAK1516" s="879"/>
      <c r="RAL1516" s="879"/>
      <c r="RAM1516" s="879"/>
      <c r="RAN1516" s="879"/>
      <c r="RAO1516" s="879"/>
      <c r="RAP1516" s="879"/>
      <c r="RAQ1516" s="879"/>
      <c r="RAR1516" s="879"/>
      <c r="RAS1516" s="879"/>
      <c r="RAT1516" s="879"/>
      <c r="RAU1516" s="879"/>
      <c r="RAV1516" s="879"/>
      <c r="RAW1516" s="879"/>
      <c r="RAX1516" s="879"/>
      <c r="RAY1516" s="879"/>
      <c r="RAZ1516" s="879"/>
      <c r="RBA1516" s="879"/>
      <c r="RBB1516" s="879"/>
      <c r="RBC1516" s="879"/>
      <c r="RBD1516" s="879"/>
      <c r="RBE1516" s="879"/>
      <c r="RBF1516" s="879"/>
      <c r="RBG1516" s="879"/>
      <c r="RBH1516" s="879"/>
      <c r="RBI1516" s="879"/>
      <c r="RBJ1516" s="879"/>
      <c r="RBK1516" s="879"/>
      <c r="RBL1516" s="879"/>
      <c r="RBM1516" s="879"/>
      <c r="RBN1516" s="879"/>
      <c r="RBO1516" s="879"/>
      <c r="RBP1516" s="879"/>
      <c r="RBQ1516" s="879"/>
      <c r="RBR1516" s="879"/>
      <c r="RBS1516" s="879"/>
      <c r="RBT1516" s="879"/>
      <c r="RBU1516" s="879"/>
      <c r="RBV1516" s="879"/>
      <c r="RBW1516" s="879"/>
      <c r="RBX1516" s="879"/>
      <c r="RBY1516" s="879"/>
      <c r="RBZ1516" s="879"/>
      <c r="RCA1516" s="879"/>
      <c r="RCB1516" s="879"/>
      <c r="RCC1516" s="879"/>
      <c r="RCD1516" s="879"/>
      <c r="RCE1516" s="879"/>
      <c r="RCF1516" s="879"/>
      <c r="RCG1516" s="879"/>
      <c r="RCH1516" s="879"/>
      <c r="RCI1516" s="879"/>
      <c r="RCJ1516" s="879"/>
      <c r="RCK1516" s="879"/>
      <c r="RCL1516" s="879"/>
      <c r="RCM1516" s="879"/>
      <c r="RCN1516" s="879"/>
      <c r="RCO1516" s="879"/>
      <c r="RCP1516" s="879"/>
      <c r="RCQ1516" s="879"/>
      <c r="RCR1516" s="879"/>
      <c r="RCS1516" s="879"/>
      <c r="RCT1516" s="879"/>
      <c r="RCU1516" s="879"/>
      <c r="RCV1516" s="879"/>
      <c r="RCW1516" s="879"/>
      <c r="RCX1516" s="879"/>
      <c r="RCY1516" s="879"/>
      <c r="RCZ1516" s="879"/>
      <c r="RDA1516" s="879"/>
      <c r="RDB1516" s="879"/>
      <c r="RDC1516" s="879"/>
      <c r="RDD1516" s="879"/>
      <c r="RDE1516" s="879"/>
      <c r="RDF1516" s="879"/>
      <c r="RDG1516" s="879"/>
      <c r="RDH1516" s="879"/>
      <c r="RDI1516" s="879"/>
      <c r="RDJ1516" s="879"/>
      <c r="RDK1516" s="879"/>
      <c r="RDL1516" s="879"/>
      <c r="RDM1516" s="879"/>
      <c r="RDN1516" s="879"/>
      <c r="RDO1516" s="879"/>
      <c r="RDP1516" s="879"/>
      <c r="RDQ1516" s="879"/>
      <c r="RDR1516" s="879"/>
      <c r="RDS1516" s="879"/>
      <c r="RDT1516" s="879"/>
      <c r="RDU1516" s="879"/>
      <c r="RDV1516" s="879"/>
      <c r="RDW1516" s="879"/>
      <c r="RDX1516" s="879"/>
      <c r="RDY1516" s="879"/>
      <c r="RDZ1516" s="879"/>
      <c r="REA1516" s="879"/>
      <c r="REB1516" s="879"/>
      <c r="REC1516" s="879"/>
      <c r="RED1516" s="879"/>
      <c r="REE1516" s="879"/>
      <c r="REF1516" s="879"/>
      <c r="REG1516" s="879"/>
      <c r="REH1516" s="879"/>
      <c r="REI1516" s="879"/>
      <c r="REJ1516" s="879"/>
      <c r="REK1516" s="879"/>
      <c r="REL1516" s="879"/>
      <c r="REM1516" s="879"/>
      <c r="REN1516" s="879"/>
      <c r="REO1516" s="879"/>
      <c r="REP1516" s="879"/>
      <c r="REQ1516" s="879"/>
      <c r="RER1516" s="879"/>
      <c r="RES1516" s="879"/>
      <c r="RET1516" s="879"/>
      <c r="REU1516" s="879"/>
      <c r="REV1516" s="879"/>
      <c r="REW1516" s="879"/>
      <c r="REX1516" s="879"/>
      <c r="REY1516" s="879"/>
      <c r="REZ1516" s="879"/>
      <c r="RFA1516" s="879"/>
      <c r="RFB1516" s="879"/>
      <c r="RFC1516" s="879"/>
      <c r="RFD1516" s="879"/>
      <c r="RFE1516" s="879"/>
      <c r="RFF1516" s="879"/>
      <c r="RFG1516" s="879"/>
      <c r="RFH1516" s="879"/>
      <c r="RFI1516" s="879"/>
      <c r="RFJ1516" s="879"/>
      <c r="RFK1516" s="879"/>
      <c r="RFL1516" s="879"/>
      <c r="RFM1516" s="879"/>
      <c r="RFN1516" s="879"/>
      <c r="RFO1516" s="879"/>
      <c r="RFP1516" s="879"/>
      <c r="RFQ1516" s="879"/>
      <c r="RFR1516" s="879"/>
      <c r="RFS1516" s="879"/>
      <c r="RFT1516" s="879"/>
      <c r="RFU1516" s="879"/>
      <c r="RFV1516" s="879"/>
      <c r="RFW1516" s="879"/>
      <c r="RFX1516" s="879"/>
      <c r="RFY1516" s="879"/>
      <c r="RFZ1516" s="879"/>
      <c r="RGA1516" s="879"/>
      <c r="RGB1516" s="879"/>
      <c r="RGC1516" s="879"/>
      <c r="RGD1516" s="879"/>
      <c r="RGE1516" s="879"/>
      <c r="RGF1516" s="879"/>
      <c r="RGG1516" s="879"/>
      <c r="RGH1516" s="879"/>
      <c r="RGI1516" s="879"/>
      <c r="RGJ1516" s="879"/>
      <c r="RGK1516" s="879"/>
      <c r="RGL1516" s="879"/>
      <c r="RGM1516" s="879"/>
      <c r="RGN1516" s="879"/>
      <c r="RGO1516" s="879"/>
      <c r="RGP1516" s="879"/>
      <c r="RGQ1516" s="879"/>
      <c r="RGR1516" s="879"/>
      <c r="RGS1516" s="879"/>
      <c r="RGT1516" s="879"/>
      <c r="RGU1516" s="879"/>
      <c r="RGV1516" s="879"/>
      <c r="RGW1516" s="879"/>
      <c r="RGX1516" s="879"/>
      <c r="RGY1516" s="879"/>
      <c r="RGZ1516" s="879"/>
      <c r="RHA1516" s="879"/>
      <c r="RHB1516" s="879"/>
      <c r="RHC1516" s="879"/>
      <c r="RHD1516" s="879"/>
      <c r="RHE1516" s="879"/>
      <c r="RHF1516" s="879"/>
      <c r="RHG1516" s="879"/>
      <c r="RHH1516" s="879"/>
      <c r="RHI1516" s="879"/>
      <c r="RHJ1516" s="879"/>
      <c r="RHK1516" s="879"/>
      <c r="RHL1516" s="879"/>
      <c r="RHM1516" s="879"/>
      <c r="RHN1516" s="879"/>
      <c r="RHO1516" s="879"/>
      <c r="RHP1516" s="879"/>
      <c r="RHQ1516" s="879"/>
      <c r="RHR1516" s="879"/>
      <c r="RHS1516" s="879"/>
      <c r="RHT1516" s="879"/>
      <c r="RHU1516" s="879"/>
      <c r="RHV1516" s="879"/>
      <c r="RHW1516" s="879"/>
      <c r="RHX1516" s="879"/>
      <c r="RHY1516" s="879"/>
      <c r="RHZ1516" s="879"/>
      <c r="RIA1516" s="879"/>
      <c r="RIB1516" s="879"/>
      <c r="RIC1516" s="879"/>
      <c r="RID1516" s="879"/>
      <c r="RIE1516" s="879"/>
      <c r="RIF1516" s="879"/>
      <c r="RIG1516" s="879"/>
      <c r="RIH1516" s="879"/>
      <c r="RII1516" s="879"/>
      <c r="RIJ1516" s="879"/>
      <c r="RIK1516" s="879"/>
      <c r="RIL1516" s="879"/>
      <c r="RIM1516" s="879"/>
      <c r="RIN1516" s="879"/>
      <c r="RIO1516" s="879"/>
      <c r="RIP1516" s="879"/>
      <c r="RIQ1516" s="879"/>
      <c r="RIR1516" s="879"/>
      <c r="RIS1516" s="879"/>
      <c r="RIT1516" s="879"/>
      <c r="RIU1516" s="879"/>
      <c r="RIV1516" s="879"/>
      <c r="RIW1516" s="879"/>
      <c r="RIX1516" s="879"/>
      <c r="RIY1516" s="879"/>
      <c r="RIZ1516" s="879"/>
      <c r="RJA1516" s="879"/>
      <c r="RJB1516" s="879"/>
      <c r="RJC1516" s="879"/>
      <c r="RJD1516" s="879"/>
      <c r="RJE1516" s="879"/>
      <c r="RJF1516" s="879"/>
      <c r="RJG1516" s="879"/>
      <c r="RJH1516" s="879"/>
      <c r="RJI1516" s="879"/>
      <c r="RJJ1516" s="879"/>
      <c r="RJK1516" s="879"/>
      <c r="RJL1516" s="879"/>
      <c r="RJM1516" s="879"/>
      <c r="RJN1516" s="879"/>
      <c r="RJO1516" s="879"/>
      <c r="RJP1516" s="879"/>
      <c r="RJQ1516" s="879"/>
      <c r="RJR1516" s="879"/>
      <c r="RJS1516" s="879"/>
      <c r="RJT1516" s="879"/>
      <c r="RJU1516" s="879"/>
      <c r="RJV1516" s="879"/>
      <c r="RJW1516" s="879"/>
      <c r="RJX1516" s="879"/>
      <c r="RJY1516" s="879"/>
      <c r="RJZ1516" s="879"/>
      <c r="RKA1516" s="879"/>
      <c r="RKB1516" s="879"/>
      <c r="RKC1516" s="879"/>
      <c r="RKD1516" s="879"/>
      <c r="RKE1516" s="879"/>
      <c r="RKF1516" s="879"/>
      <c r="RKG1516" s="879"/>
      <c r="RKH1516" s="879"/>
      <c r="RKI1516" s="879"/>
      <c r="RKJ1516" s="879"/>
      <c r="RKK1516" s="879"/>
      <c r="RKL1516" s="879"/>
      <c r="RKM1516" s="879"/>
      <c r="RKN1516" s="879"/>
      <c r="RKO1516" s="879"/>
      <c r="RKP1516" s="879"/>
      <c r="RKQ1516" s="879"/>
      <c r="RKR1516" s="879"/>
      <c r="RKS1516" s="879"/>
      <c r="RKT1516" s="879"/>
      <c r="RKU1516" s="879"/>
      <c r="RKV1516" s="879"/>
      <c r="RKW1516" s="879"/>
      <c r="RKX1516" s="879"/>
      <c r="RKY1516" s="879"/>
      <c r="RKZ1516" s="879"/>
      <c r="RLA1516" s="879"/>
      <c r="RLB1516" s="879"/>
      <c r="RLC1516" s="879"/>
      <c r="RLD1516" s="879"/>
      <c r="RLE1516" s="879"/>
      <c r="RLF1516" s="879"/>
      <c r="RLG1516" s="879"/>
      <c r="RLH1516" s="879"/>
      <c r="RLI1516" s="879"/>
      <c r="RLJ1516" s="879"/>
      <c r="RLK1516" s="879"/>
      <c r="RLL1516" s="879"/>
      <c r="RLM1516" s="879"/>
      <c r="RLN1516" s="879"/>
      <c r="RLO1516" s="879"/>
      <c r="RLP1516" s="879"/>
      <c r="RLQ1516" s="879"/>
      <c r="RLR1516" s="879"/>
      <c r="RLS1516" s="879"/>
      <c r="RLT1516" s="879"/>
      <c r="RLU1516" s="879"/>
      <c r="RLV1516" s="879"/>
      <c r="RLW1516" s="879"/>
      <c r="RLX1516" s="879"/>
      <c r="RLY1516" s="879"/>
      <c r="RLZ1516" s="879"/>
      <c r="RMA1516" s="879"/>
      <c r="RMB1516" s="879"/>
      <c r="RMC1516" s="879"/>
      <c r="RMD1516" s="879"/>
      <c r="RME1516" s="879"/>
      <c r="RMF1516" s="879"/>
      <c r="RMG1516" s="879"/>
      <c r="RMH1516" s="879"/>
      <c r="RMI1516" s="879"/>
      <c r="RMJ1516" s="879"/>
      <c r="RMK1516" s="879"/>
      <c r="RML1516" s="879"/>
      <c r="RMM1516" s="879"/>
      <c r="RMN1516" s="879"/>
      <c r="RMO1516" s="879"/>
      <c r="RMP1516" s="879"/>
      <c r="RMQ1516" s="879"/>
      <c r="RMR1516" s="879"/>
      <c r="RMS1516" s="879"/>
      <c r="RMT1516" s="879"/>
      <c r="RMU1516" s="879"/>
      <c r="RMV1516" s="879"/>
      <c r="RMW1516" s="879"/>
      <c r="RMX1516" s="879"/>
      <c r="RMY1516" s="879"/>
      <c r="RMZ1516" s="879"/>
      <c r="RNA1516" s="879"/>
      <c r="RNB1516" s="879"/>
      <c r="RNC1516" s="879"/>
      <c r="RND1516" s="879"/>
      <c r="RNE1516" s="879"/>
      <c r="RNF1516" s="879"/>
      <c r="RNG1516" s="879"/>
      <c r="RNH1516" s="879"/>
      <c r="RNI1516" s="879"/>
      <c r="RNJ1516" s="879"/>
      <c r="RNK1516" s="879"/>
      <c r="RNL1516" s="879"/>
      <c r="RNM1516" s="879"/>
      <c r="RNN1516" s="879"/>
      <c r="RNO1516" s="879"/>
      <c r="RNP1516" s="879"/>
      <c r="RNQ1516" s="879"/>
      <c r="RNR1516" s="879"/>
      <c r="RNS1516" s="879"/>
      <c r="RNT1516" s="879"/>
      <c r="RNU1516" s="879"/>
      <c r="RNV1516" s="879"/>
      <c r="RNW1516" s="879"/>
      <c r="RNX1516" s="879"/>
      <c r="RNY1516" s="879"/>
      <c r="RNZ1516" s="879"/>
      <c r="ROA1516" s="879"/>
      <c r="ROB1516" s="879"/>
      <c r="ROC1516" s="879"/>
      <c r="ROD1516" s="879"/>
      <c r="ROE1516" s="879"/>
      <c r="ROF1516" s="879"/>
      <c r="ROG1516" s="879"/>
      <c r="ROH1516" s="879"/>
      <c r="ROI1516" s="879"/>
      <c r="ROJ1516" s="879"/>
      <c r="ROK1516" s="879"/>
      <c r="ROL1516" s="879"/>
      <c r="ROM1516" s="879"/>
      <c r="RON1516" s="879"/>
      <c r="ROO1516" s="879"/>
      <c r="ROP1516" s="879"/>
      <c r="ROQ1516" s="879"/>
      <c r="ROR1516" s="879"/>
      <c r="ROS1516" s="879"/>
      <c r="ROT1516" s="879"/>
      <c r="ROU1516" s="879"/>
      <c r="ROV1516" s="879"/>
      <c r="ROW1516" s="879"/>
      <c r="ROX1516" s="879"/>
      <c r="ROY1516" s="879"/>
      <c r="ROZ1516" s="879"/>
      <c r="RPA1516" s="879"/>
      <c r="RPB1516" s="879"/>
      <c r="RPC1516" s="879"/>
      <c r="RPD1516" s="879"/>
      <c r="RPE1516" s="879"/>
      <c r="RPF1516" s="879"/>
      <c r="RPG1516" s="879"/>
      <c r="RPH1516" s="879"/>
      <c r="RPI1516" s="879"/>
      <c r="RPJ1516" s="879"/>
      <c r="RPK1516" s="879"/>
      <c r="RPL1516" s="879"/>
      <c r="RPM1516" s="879"/>
      <c r="RPN1516" s="879"/>
      <c r="RPO1516" s="879"/>
      <c r="RPP1516" s="879"/>
      <c r="RPQ1516" s="879"/>
      <c r="RPR1516" s="879"/>
      <c r="RPS1516" s="879"/>
      <c r="RPT1516" s="879"/>
      <c r="RPU1516" s="879"/>
      <c r="RPV1516" s="879"/>
      <c r="RPW1516" s="879"/>
      <c r="RPX1516" s="879"/>
      <c r="RPY1516" s="879"/>
      <c r="RPZ1516" s="879"/>
      <c r="RQA1516" s="879"/>
      <c r="RQB1516" s="879"/>
      <c r="RQC1516" s="879"/>
      <c r="RQD1516" s="879"/>
      <c r="RQE1516" s="879"/>
      <c r="RQF1516" s="879"/>
      <c r="RQG1516" s="879"/>
      <c r="RQH1516" s="879"/>
      <c r="RQI1516" s="879"/>
      <c r="RQJ1516" s="879"/>
      <c r="RQK1516" s="879"/>
      <c r="RQL1516" s="879"/>
      <c r="RQM1516" s="879"/>
      <c r="RQN1516" s="879"/>
      <c r="RQO1516" s="879"/>
      <c r="RQP1516" s="879"/>
      <c r="RQQ1516" s="879"/>
      <c r="RQR1516" s="879"/>
      <c r="RQS1516" s="879"/>
      <c r="RQT1516" s="879"/>
      <c r="RQU1516" s="879"/>
      <c r="RQV1516" s="879"/>
      <c r="RQW1516" s="879"/>
      <c r="RQX1516" s="879"/>
      <c r="RQY1516" s="879"/>
      <c r="RQZ1516" s="879"/>
      <c r="RRA1516" s="879"/>
      <c r="RRB1516" s="879"/>
      <c r="RRC1516" s="879"/>
      <c r="RRD1516" s="879"/>
      <c r="RRE1516" s="879"/>
      <c r="RRF1516" s="879"/>
      <c r="RRG1516" s="879"/>
      <c r="RRH1516" s="879"/>
      <c r="RRI1516" s="879"/>
      <c r="RRJ1516" s="879"/>
      <c r="RRK1516" s="879"/>
      <c r="RRL1516" s="879"/>
      <c r="RRM1516" s="879"/>
      <c r="RRN1516" s="879"/>
      <c r="RRO1516" s="879"/>
      <c r="RRP1516" s="879"/>
      <c r="RRQ1516" s="879"/>
      <c r="RRR1516" s="879"/>
      <c r="RRS1516" s="879"/>
      <c r="RRT1516" s="879"/>
      <c r="RRU1516" s="879"/>
      <c r="RRV1516" s="879"/>
      <c r="RRW1516" s="879"/>
      <c r="RRX1516" s="879"/>
      <c r="RRY1516" s="879"/>
      <c r="RRZ1516" s="879"/>
      <c r="RSA1516" s="879"/>
      <c r="RSB1516" s="879"/>
      <c r="RSC1516" s="879"/>
      <c r="RSD1516" s="879"/>
      <c r="RSE1516" s="879"/>
      <c r="RSF1516" s="879"/>
      <c r="RSG1516" s="879"/>
      <c r="RSH1516" s="879"/>
      <c r="RSI1516" s="879"/>
      <c r="RSJ1516" s="879"/>
      <c r="RSK1516" s="879"/>
      <c r="RSL1516" s="879"/>
      <c r="RSM1516" s="879"/>
      <c r="RSN1516" s="879"/>
      <c r="RSO1516" s="879"/>
      <c r="RSP1516" s="879"/>
      <c r="RSQ1516" s="879"/>
      <c r="RSR1516" s="879"/>
      <c r="RSS1516" s="879"/>
      <c r="RST1516" s="879"/>
      <c r="RSU1516" s="879"/>
      <c r="RSV1516" s="879"/>
      <c r="RSW1516" s="879"/>
      <c r="RSX1516" s="879"/>
      <c r="RSY1516" s="879"/>
      <c r="RSZ1516" s="879"/>
      <c r="RTA1516" s="879"/>
      <c r="RTB1516" s="879"/>
      <c r="RTC1516" s="879"/>
      <c r="RTD1516" s="879"/>
      <c r="RTE1516" s="879"/>
      <c r="RTF1516" s="879"/>
      <c r="RTG1516" s="879"/>
      <c r="RTH1516" s="879"/>
      <c r="RTI1516" s="879"/>
      <c r="RTJ1516" s="879"/>
      <c r="RTK1516" s="879"/>
      <c r="RTL1516" s="879"/>
      <c r="RTM1516" s="879"/>
      <c r="RTN1516" s="879"/>
      <c r="RTO1516" s="879"/>
      <c r="RTP1516" s="879"/>
      <c r="RTQ1516" s="879"/>
      <c r="RTR1516" s="879"/>
      <c r="RTS1516" s="879"/>
      <c r="RTT1516" s="879"/>
      <c r="RTU1516" s="879"/>
      <c r="RTV1516" s="879"/>
      <c r="RTW1516" s="879"/>
      <c r="RTX1516" s="879"/>
      <c r="RTY1516" s="879"/>
      <c r="RTZ1516" s="879"/>
      <c r="RUA1516" s="879"/>
      <c r="RUB1516" s="879"/>
      <c r="RUC1516" s="879"/>
      <c r="RUD1516" s="879"/>
      <c r="RUE1516" s="879"/>
      <c r="RUF1516" s="879"/>
      <c r="RUG1516" s="879"/>
      <c r="RUH1516" s="879"/>
      <c r="RUI1516" s="879"/>
      <c r="RUJ1516" s="879"/>
      <c r="RUK1516" s="879"/>
      <c r="RUL1516" s="879"/>
      <c r="RUM1516" s="879"/>
      <c r="RUN1516" s="879"/>
      <c r="RUO1516" s="879"/>
      <c r="RUP1516" s="879"/>
      <c r="RUQ1516" s="879"/>
      <c r="RUR1516" s="879"/>
      <c r="RUS1516" s="879"/>
      <c r="RUT1516" s="879"/>
      <c r="RUU1516" s="879"/>
      <c r="RUV1516" s="879"/>
      <c r="RUW1516" s="879"/>
      <c r="RUX1516" s="879"/>
      <c r="RUY1516" s="879"/>
      <c r="RUZ1516" s="879"/>
      <c r="RVA1516" s="879"/>
      <c r="RVB1516" s="879"/>
      <c r="RVC1516" s="879"/>
      <c r="RVD1516" s="879"/>
      <c r="RVE1516" s="879"/>
      <c r="RVF1516" s="879"/>
      <c r="RVG1516" s="879"/>
      <c r="RVH1516" s="879"/>
      <c r="RVI1516" s="879"/>
      <c r="RVJ1516" s="879"/>
      <c r="RVK1516" s="879"/>
      <c r="RVL1516" s="879"/>
      <c r="RVM1516" s="879"/>
      <c r="RVN1516" s="879"/>
      <c r="RVO1516" s="879"/>
      <c r="RVP1516" s="879"/>
      <c r="RVQ1516" s="879"/>
      <c r="RVR1516" s="879"/>
      <c r="RVS1516" s="879"/>
      <c r="RVT1516" s="879"/>
      <c r="RVU1516" s="879"/>
      <c r="RVV1516" s="879"/>
      <c r="RVW1516" s="879"/>
      <c r="RVX1516" s="879"/>
      <c r="RVY1516" s="879"/>
      <c r="RVZ1516" s="879"/>
      <c r="RWA1516" s="879"/>
      <c r="RWB1516" s="879"/>
      <c r="RWC1516" s="879"/>
      <c r="RWD1516" s="879"/>
      <c r="RWE1516" s="879"/>
      <c r="RWF1516" s="879"/>
      <c r="RWG1516" s="879"/>
      <c r="RWH1516" s="879"/>
      <c r="RWI1516" s="879"/>
      <c r="RWJ1516" s="879"/>
      <c r="RWK1516" s="879"/>
      <c r="RWL1516" s="879"/>
      <c r="RWM1516" s="879"/>
      <c r="RWN1516" s="879"/>
      <c r="RWO1516" s="879"/>
      <c r="RWP1516" s="879"/>
      <c r="RWQ1516" s="879"/>
      <c r="RWR1516" s="879"/>
      <c r="RWS1516" s="879"/>
      <c r="RWT1516" s="879"/>
      <c r="RWU1516" s="879"/>
      <c r="RWV1516" s="879"/>
      <c r="RWW1516" s="879"/>
      <c r="RWX1516" s="879"/>
      <c r="RWY1516" s="879"/>
      <c r="RWZ1516" s="879"/>
      <c r="RXA1516" s="879"/>
      <c r="RXB1516" s="879"/>
      <c r="RXC1516" s="879"/>
      <c r="RXD1516" s="879"/>
      <c r="RXE1516" s="879"/>
      <c r="RXF1516" s="879"/>
      <c r="RXG1516" s="879"/>
      <c r="RXH1516" s="879"/>
      <c r="RXI1516" s="879"/>
      <c r="RXJ1516" s="879"/>
      <c r="RXK1516" s="879"/>
      <c r="RXL1516" s="879"/>
      <c r="RXM1516" s="879"/>
      <c r="RXN1516" s="879"/>
      <c r="RXO1516" s="879"/>
      <c r="RXP1516" s="879"/>
      <c r="RXQ1516" s="879"/>
      <c r="RXR1516" s="879"/>
      <c r="RXS1516" s="879"/>
      <c r="RXT1516" s="879"/>
      <c r="RXU1516" s="879"/>
      <c r="RXV1516" s="879"/>
      <c r="RXW1516" s="879"/>
      <c r="RXX1516" s="879"/>
      <c r="RXY1516" s="879"/>
      <c r="RXZ1516" s="879"/>
      <c r="RYA1516" s="879"/>
      <c r="RYB1516" s="879"/>
      <c r="RYC1516" s="879"/>
      <c r="RYD1516" s="879"/>
      <c r="RYE1516" s="879"/>
      <c r="RYF1516" s="879"/>
      <c r="RYG1516" s="879"/>
      <c r="RYH1516" s="879"/>
      <c r="RYI1516" s="879"/>
      <c r="RYJ1516" s="879"/>
      <c r="RYK1516" s="879"/>
      <c r="RYL1516" s="879"/>
      <c r="RYM1516" s="879"/>
      <c r="RYN1516" s="879"/>
      <c r="RYO1516" s="879"/>
      <c r="RYP1516" s="879"/>
      <c r="RYQ1516" s="879"/>
      <c r="RYR1516" s="879"/>
      <c r="RYS1516" s="879"/>
      <c r="RYT1516" s="879"/>
      <c r="RYU1516" s="879"/>
      <c r="RYV1516" s="879"/>
      <c r="RYW1516" s="879"/>
      <c r="RYX1516" s="879"/>
      <c r="RYY1516" s="879"/>
      <c r="RYZ1516" s="879"/>
      <c r="RZA1516" s="879"/>
      <c r="RZB1516" s="879"/>
      <c r="RZC1516" s="879"/>
      <c r="RZD1516" s="879"/>
      <c r="RZE1516" s="879"/>
      <c r="RZF1516" s="879"/>
      <c r="RZG1516" s="879"/>
      <c r="RZH1516" s="879"/>
      <c r="RZI1516" s="879"/>
      <c r="RZJ1516" s="879"/>
      <c r="RZK1516" s="879"/>
      <c r="RZL1516" s="879"/>
      <c r="RZM1516" s="879"/>
      <c r="RZN1516" s="879"/>
      <c r="RZO1516" s="879"/>
      <c r="RZP1516" s="879"/>
      <c r="RZQ1516" s="879"/>
      <c r="RZR1516" s="879"/>
      <c r="RZS1516" s="879"/>
      <c r="RZT1516" s="879"/>
      <c r="RZU1516" s="879"/>
      <c r="RZV1516" s="879"/>
      <c r="RZW1516" s="879"/>
      <c r="RZX1516" s="879"/>
      <c r="RZY1516" s="879"/>
      <c r="RZZ1516" s="879"/>
      <c r="SAA1516" s="879"/>
      <c r="SAB1516" s="879"/>
      <c r="SAC1516" s="879"/>
      <c r="SAD1516" s="879"/>
      <c r="SAE1516" s="879"/>
      <c r="SAF1516" s="879"/>
      <c r="SAG1516" s="879"/>
      <c r="SAH1516" s="879"/>
      <c r="SAI1516" s="879"/>
      <c r="SAJ1516" s="879"/>
      <c r="SAK1516" s="879"/>
      <c r="SAL1516" s="879"/>
      <c r="SAM1516" s="879"/>
      <c r="SAN1516" s="879"/>
      <c r="SAO1516" s="879"/>
      <c r="SAP1516" s="879"/>
      <c r="SAQ1516" s="879"/>
      <c r="SAR1516" s="879"/>
      <c r="SAS1516" s="879"/>
      <c r="SAT1516" s="879"/>
      <c r="SAU1516" s="879"/>
      <c r="SAV1516" s="879"/>
      <c r="SAW1516" s="879"/>
      <c r="SAX1516" s="879"/>
      <c r="SAY1516" s="879"/>
      <c r="SAZ1516" s="879"/>
      <c r="SBA1516" s="879"/>
      <c r="SBB1516" s="879"/>
      <c r="SBC1516" s="879"/>
      <c r="SBD1516" s="879"/>
      <c r="SBE1516" s="879"/>
      <c r="SBF1516" s="879"/>
      <c r="SBG1516" s="879"/>
      <c r="SBH1516" s="879"/>
      <c r="SBI1516" s="879"/>
      <c r="SBJ1516" s="879"/>
      <c r="SBK1516" s="879"/>
      <c r="SBL1516" s="879"/>
      <c r="SBM1516" s="879"/>
      <c r="SBN1516" s="879"/>
      <c r="SBO1516" s="879"/>
      <c r="SBP1516" s="879"/>
      <c r="SBQ1516" s="879"/>
      <c r="SBR1516" s="879"/>
      <c r="SBS1516" s="879"/>
      <c r="SBT1516" s="879"/>
      <c r="SBU1516" s="879"/>
      <c r="SBV1516" s="879"/>
      <c r="SBW1516" s="879"/>
      <c r="SBX1516" s="879"/>
      <c r="SBY1516" s="879"/>
      <c r="SBZ1516" s="879"/>
      <c r="SCA1516" s="879"/>
      <c r="SCB1516" s="879"/>
      <c r="SCC1516" s="879"/>
      <c r="SCD1516" s="879"/>
      <c r="SCE1516" s="879"/>
      <c r="SCF1516" s="879"/>
      <c r="SCG1516" s="879"/>
      <c r="SCH1516" s="879"/>
      <c r="SCI1516" s="879"/>
      <c r="SCJ1516" s="879"/>
      <c r="SCK1516" s="879"/>
      <c r="SCL1516" s="879"/>
      <c r="SCM1516" s="879"/>
      <c r="SCN1516" s="879"/>
      <c r="SCO1516" s="879"/>
      <c r="SCP1516" s="879"/>
      <c r="SCQ1516" s="879"/>
      <c r="SCR1516" s="879"/>
      <c r="SCS1516" s="879"/>
      <c r="SCT1516" s="879"/>
      <c r="SCU1516" s="879"/>
      <c r="SCV1516" s="879"/>
      <c r="SCW1516" s="879"/>
      <c r="SCX1516" s="879"/>
      <c r="SCY1516" s="879"/>
      <c r="SCZ1516" s="879"/>
      <c r="SDA1516" s="879"/>
      <c r="SDB1516" s="879"/>
      <c r="SDC1516" s="879"/>
      <c r="SDD1516" s="879"/>
      <c r="SDE1516" s="879"/>
      <c r="SDF1516" s="879"/>
      <c r="SDG1516" s="879"/>
      <c r="SDH1516" s="879"/>
      <c r="SDI1516" s="879"/>
      <c r="SDJ1516" s="879"/>
      <c r="SDK1516" s="879"/>
      <c r="SDL1516" s="879"/>
      <c r="SDM1516" s="879"/>
      <c r="SDN1516" s="879"/>
      <c r="SDO1516" s="879"/>
      <c r="SDP1516" s="879"/>
      <c r="SDQ1516" s="879"/>
      <c r="SDR1516" s="879"/>
      <c r="SDS1516" s="879"/>
      <c r="SDT1516" s="879"/>
      <c r="SDU1516" s="879"/>
      <c r="SDV1516" s="879"/>
      <c r="SDW1516" s="879"/>
      <c r="SDX1516" s="879"/>
      <c r="SDY1516" s="879"/>
      <c r="SDZ1516" s="879"/>
      <c r="SEA1516" s="879"/>
      <c r="SEB1516" s="879"/>
      <c r="SEC1516" s="879"/>
      <c r="SED1516" s="879"/>
      <c r="SEE1516" s="879"/>
      <c r="SEF1516" s="879"/>
      <c r="SEG1516" s="879"/>
      <c r="SEH1516" s="879"/>
      <c r="SEI1516" s="879"/>
      <c r="SEJ1516" s="879"/>
      <c r="SEK1516" s="879"/>
      <c r="SEL1516" s="879"/>
      <c r="SEM1516" s="879"/>
      <c r="SEN1516" s="879"/>
      <c r="SEO1516" s="879"/>
      <c r="SEP1516" s="879"/>
      <c r="SEQ1516" s="879"/>
      <c r="SER1516" s="879"/>
      <c r="SES1516" s="879"/>
      <c r="SET1516" s="879"/>
      <c r="SEU1516" s="879"/>
      <c r="SEV1516" s="879"/>
      <c r="SEW1516" s="879"/>
      <c r="SEX1516" s="879"/>
      <c r="SEY1516" s="879"/>
      <c r="SEZ1516" s="879"/>
      <c r="SFA1516" s="879"/>
      <c r="SFB1516" s="879"/>
      <c r="SFC1516" s="879"/>
      <c r="SFD1516" s="879"/>
      <c r="SFE1516" s="879"/>
      <c r="SFF1516" s="879"/>
      <c r="SFG1516" s="879"/>
      <c r="SFH1516" s="879"/>
      <c r="SFI1516" s="879"/>
      <c r="SFJ1516" s="879"/>
      <c r="SFK1516" s="879"/>
      <c r="SFL1516" s="879"/>
      <c r="SFM1516" s="879"/>
      <c r="SFN1516" s="879"/>
      <c r="SFO1516" s="879"/>
      <c r="SFP1516" s="879"/>
      <c r="SFQ1516" s="879"/>
      <c r="SFR1516" s="879"/>
      <c r="SFS1516" s="879"/>
      <c r="SFT1516" s="879"/>
      <c r="SFU1516" s="879"/>
      <c r="SFV1516" s="879"/>
      <c r="SFW1516" s="879"/>
      <c r="SFX1516" s="879"/>
      <c r="SFY1516" s="879"/>
      <c r="SFZ1516" s="879"/>
      <c r="SGA1516" s="879"/>
      <c r="SGB1516" s="879"/>
      <c r="SGC1516" s="879"/>
      <c r="SGD1516" s="879"/>
      <c r="SGE1516" s="879"/>
      <c r="SGF1516" s="879"/>
      <c r="SGG1516" s="879"/>
      <c r="SGH1516" s="879"/>
      <c r="SGI1516" s="879"/>
      <c r="SGJ1516" s="879"/>
      <c r="SGK1516" s="879"/>
      <c r="SGL1516" s="879"/>
      <c r="SGM1516" s="879"/>
      <c r="SGN1516" s="879"/>
      <c r="SGO1516" s="879"/>
      <c r="SGP1516" s="879"/>
      <c r="SGQ1516" s="879"/>
      <c r="SGR1516" s="879"/>
      <c r="SGS1516" s="879"/>
      <c r="SGT1516" s="879"/>
      <c r="SGU1516" s="879"/>
      <c r="SGV1516" s="879"/>
      <c r="SGW1516" s="879"/>
      <c r="SGX1516" s="879"/>
      <c r="SGY1516" s="879"/>
      <c r="SGZ1516" s="879"/>
      <c r="SHA1516" s="879"/>
      <c r="SHB1516" s="879"/>
      <c r="SHC1516" s="879"/>
      <c r="SHD1516" s="879"/>
      <c r="SHE1516" s="879"/>
      <c r="SHF1516" s="879"/>
      <c r="SHG1516" s="879"/>
      <c r="SHH1516" s="879"/>
      <c r="SHI1516" s="879"/>
      <c r="SHJ1516" s="879"/>
      <c r="SHK1516" s="879"/>
      <c r="SHL1516" s="879"/>
      <c r="SHM1516" s="879"/>
      <c r="SHN1516" s="879"/>
      <c r="SHO1516" s="879"/>
      <c r="SHP1516" s="879"/>
      <c r="SHQ1516" s="879"/>
      <c r="SHR1516" s="879"/>
      <c r="SHS1516" s="879"/>
      <c r="SHT1516" s="879"/>
      <c r="SHU1516" s="879"/>
      <c r="SHV1516" s="879"/>
      <c r="SHW1516" s="879"/>
      <c r="SHX1516" s="879"/>
      <c r="SHY1516" s="879"/>
      <c r="SHZ1516" s="879"/>
      <c r="SIA1516" s="879"/>
      <c r="SIB1516" s="879"/>
      <c r="SIC1516" s="879"/>
      <c r="SID1516" s="879"/>
      <c r="SIE1516" s="879"/>
      <c r="SIF1516" s="879"/>
      <c r="SIG1516" s="879"/>
      <c r="SIH1516" s="879"/>
      <c r="SII1516" s="879"/>
      <c r="SIJ1516" s="879"/>
      <c r="SIK1516" s="879"/>
      <c r="SIL1516" s="879"/>
      <c r="SIM1516" s="879"/>
      <c r="SIN1516" s="879"/>
      <c r="SIO1516" s="879"/>
      <c r="SIP1516" s="879"/>
      <c r="SIQ1516" s="879"/>
      <c r="SIR1516" s="879"/>
      <c r="SIS1516" s="879"/>
      <c r="SIT1516" s="879"/>
      <c r="SIU1516" s="879"/>
      <c r="SIV1516" s="879"/>
      <c r="SIW1516" s="879"/>
      <c r="SIX1516" s="879"/>
      <c r="SIY1516" s="879"/>
      <c r="SIZ1516" s="879"/>
      <c r="SJA1516" s="879"/>
      <c r="SJB1516" s="879"/>
      <c r="SJC1516" s="879"/>
      <c r="SJD1516" s="879"/>
      <c r="SJE1516" s="879"/>
      <c r="SJF1516" s="879"/>
      <c r="SJG1516" s="879"/>
      <c r="SJH1516" s="879"/>
      <c r="SJI1516" s="879"/>
      <c r="SJJ1516" s="879"/>
      <c r="SJK1516" s="879"/>
      <c r="SJL1516" s="879"/>
      <c r="SJM1516" s="879"/>
      <c r="SJN1516" s="879"/>
      <c r="SJO1516" s="879"/>
      <c r="SJP1516" s="879"/>
      <c r="SJQ1516" s="879"/>
      <c r="SJR1516" s="879"/>
      <c r="SJS1516" s="879"/>
      <c r="SJT1516" s="879"/>
      <c r="SJU1516" s="879"/>
      <c r="SJV1516" s="879"/>
      <c r="SJW1516" s="879"/>
      <c r="SJX1516" s="879"/>
      <c r="SJY1516" s="879"/>
      <c r="SJZ1516" s="879"/>
      <c r="SKA1516" s="879"/>
      <c r="SKB1516" s="879"/>
      <c r="SKC1516" s="879"/>
      <c r="SKD1516" s="879"/>
      <c r="SKE1516" s="879"/>
      <c r="SKF1516" s="879"/>
      <c r="SKG1516" s="879"/>
      <c r="SKH1516" s="879"/>
      <c r="SKI1516" s="879"/>
      <c r="SKJ1516" s="879"/>
      <c r="SKK1516" s="879"/>
      <c r="SKL1516" s="879"/>
      <c r="SKM1516" s="879"/>
      <c r="SKN1516" s="879"/>
      <c r="SKO1516" s="879"/>
      <c r="SKP1516" s="879"/>
      <c r="SKQ1516" s="879"/>
      <c r="SKR1516" s="879"/>
      <c r="SKS1516" s="879"/>
      <c r="SKT1516" s="879"/>
      <c r="SKU1516" s="879"/>
      <c r="SKV1516" s="879"/>
      <c r="SKW1516" s="879"/>
      <c r="SKX1516" s="879"/>
      <c r="SKY1516" s="879"/>
      <c r="SKZ1516" s="879"/>
      <c r="SLA1516" s="879"/>
      <c r="SLB1516" s="879"/>
      <c r="SLC1516" s="879"/>
      <c r="SLD1516" s="879"/>
      <c r="SLE1516" s="879"/>
      <c r="SLF1516" s="879"/>
      <c r="SLG1516" s="879"/>
      <c r="SLH1516" s="879"/>
      <c r="SLI1516" s="879"/>
      <c r="SLJ1516" s="879"/>
      <c r="SLK1516" s="879"/>
      <c r="SLL1516" s="879"/>
      <c r="SLM1516" s="879"/>
      <c r="SLN1516" s="879"/>
      <c r="SLO1516" s="879"/>
      <c r="SLP1516" s="879"/>
      <c r="SLQ1516" s="879"/>
      <c r="SLR1516" s="879"/>
      <c r="SLS1516" s="879"/>
      <c r="SLT1516" s="879"/>
      <c r="SLU1516" s="879"/>
      <c r="SLV1516" s="879"/>
      <c r="SLW1516" s="879"/>
      <c r="SLX1516" s="879"/>
      <c r="SLY1516" s="879"/>
      <c r="SLZ1516" s="879"/>
      <c r="SMA1516" s="879"/>
      <c r="SMB1516" s="879"/>
      <c r="SMC1516" s="879"/>
      <c r="SMD1516" s="879"/>
      <c r="SME1516" s="879"/>
      <c r="SMF1516" s="879"/>
      <c r="SMG1516" s="879"/>
      <c r="SMH1516" s="879"/>
      <c r="SMI1516" s="879"/>
      <c r="SMJ1516" s="879"/>
      <c r="SMK1516" s="879"/>
      <c r="SML1516" s="879"/>
      <c r="SMM1516" s="879"/>
      <c r="SMN1516" s="879"/>
      <c r="SMO1516" s="879"/>
      <c r="SMP1516" s="879"/>
      <c r="SMQ1516" s="879"/>
      <c r="SMR1516" s="879"/>
      <c r="SMS1516" s="879"/>
      <c r="SMT1516" s="879"/>
      <c r="SMU1516" s="879"/>
      <c r="SMV1516" s="879"/>
      <c r="SMW1516" s="879"/>
      <c r="SMX1516" s="879"/>
      <c r="SMY1516" s="879"/>
      <c r="SMZ1516" s="879"/>
      <c r="SNA1516" s="879"/>
      <c r="SNB1516" s="879"/>
      <c r="SNC1516" s="879"/>
      <c r="SND1516" s="879"/>
      <c r="SNE1516" s="879"/>
      <c r="SNF1516" s="879"/>
      <c r="SNG1516" s="879"/>
      <c r="SNH1516" s="879"/>
      <c r="SNI1516" s="879"/>
      <c r="SNJ1516" s="879"/>
      <c r="SNK1516" s="879"/>
      <c r="SNL1516" s="879"/>
      <c r="SNM1516" s="879"/>
      <c r="SNN1516" s="879"/>
      <c r="SNO1516" s="879"/>
      <c r="SNP1516" s="879"/>
      <c r="SNQ1516" s="879"/>
      <c r="SNR1516" s="879"/>
      <c r="SNS1516" s="879"/>
      <c r="SNT1516" s="879"/>
      <c r="SNU1516" s="879"/>
      <c r="SNV1516" s="879"/>
      <c r="SNW1516" s="879"/>
      <c r="SNX1516" s="879"/>
      <c r="SNY1516" s="879"/>
      <c r="SNZ1516" s="879"/>
      <c r="SOA1516" s="879"/>
      <c r="SOB1516" s="879"/>
      <c r="SOC1516" s="879"/>
      <c r="SOD1516" s="879"/>
      <c r="SOE1516" s="879"/>
      <c r="SOF1516" s="879"/>
      <c r="SOG1516" s="879"/>
      <c r="SOH1516" s="879"/>
      <c r="SOI1516" s="879"/>
      <c r="SOJ1516" s="879"/>
      <c r="SOK1516" s="879"/>
      <c r="SOL1516" s="879"/>
      <c r="SOM1516" s="879"/>
      <c r="SON1516" s="879"/>
      <c r="SOO1516" s="879"/>
      <c r="SOP1516" s="879"/>
      <c r="SOQ1516" s="879"/>
      <c r="SOR1516" s="879"/>
      <c r="SOS1516" s="879"/>
      <c r="SOT1516" s="879"/>
      <c r="SOU1516" s="879"/>
      <c r="SOV1516" s="879"/>
      <c r="SOW1516" s="879"/>
      <c r="SOX1516" s="879"/>
      <c r="SOY1516" s="879"/>
      <c r="SOZ1516" s="879"/>
      <c r="SPA1516" s="879"/>
      <c r="SPB1516" s="879"/>
      <c r="SPC1516" s="879"/>
      <c r="SPD1516" s="879"/>
      <c r="SPE1516" s="879"/>
      <c r="SPF1516" s="879"/>
      <c r="SPG1516" s="879"/>
      <c r="SPH1516" s="879"/>
      <c r="SPI1516" s="879"/>
      <c r="SPJ1516" s="879"/>
      <c r="SPK1516" s="879"/>
      <c r="SPL1516" s="879"/>
      <c r="SPM1516" s="879"/>
      <c r="SPN1516" s="879"/>
      <c r="SPO1516" s="879"/>
      <c r="SPP1516" s="879"/>
      <c r="SPQ1516" s="879"/>
      <c r="SPR1516" s="879"/>
      <c r="SPS1516" s="879"/>
      <c r="SPT1516" s="879"/>
      <c r="SPU1516" s="879"/>
      <c r="SPV1516" s="879"/>
      <c r="SPW1516" s="879"/>
      <c r="SPX1516" s="879"/>
      <c r="SPY1516" s="879"/>
      <c r="SPZ1516" s="879"/>
      <c r="SQA1516" s="879"/>
      <c r="SQB1516" s="879"/>
      <c r="SQC1516" s="879"/>
      <c r="SQD1516" s="879"/>
      <c r="SQE1516" s="879"/>
      <c r="SQF1516" s="879"/>
      <c r="SQG1516" s="879"/>
      <c r="SQH1516" s="879"/>
      <c r="SQI1516" s="879"/>
      <c r="SQJ1516" s="879"/>
      <c r="SQK1516" s="879"/>
      <c r="SQL1516" s="879"/>
      <c r="SQM1516" s="879"/>
      <c r="SQN1516" s="879"/>
      <c r="SQO1516" s="879"/>
      <c r="SQP1516" s="879"/>
      <c r="SQQ1516" s="879"/>
      <c r="SQR1516" s="879"/>
      <c r="SQS1516" s="879"/>
      <c r="SQT1516" s="879"/>
      <c r="SQU1516" s="879"/>
      <c r="SQV1516" s="879"/>
      <c r="SQW1516" s="879"/>
      <c r="SQX1516" s="879"/>
      <c r="SQY1516" s="879"/>
      <c r="SQZ1516" s="879"/>
      <c r="SRA1516" s="879"/>
      <c r="SRB1516" s="879"/>
      <c r="SRC1516" s="879"/>
      <c r="SRD1516" s="879"/>
      <c r="SRE1516" s="879"/>
      <c r="SRF1516" s="879"/>
      <c r="SRG1516" s="879"/>
      <c r="SRH1516" s="879"/>
      <c r="SRI1516" s="879"/>
      <c r="SRJ1516" s="879"/>
      <c r="SRK1516" s="879"/>
      <c r="SRL1516" s="879"/>
      <c r="SRM1516" s="879"/>
      <c r="SRN1516" s="879"/>
      <c r="SRO1516" s="879"/>
      <c r="SRP1516" s="879"/>
      <c r="SRQ1516" s="879"/>
      <c r="SRR1516" s="879"/>
      <c r="SRS1516" s="879"/>
      <c r="SRT1516" s="879"/>
      <c r="SRU1516" s="879"/>
      <c r="SRV1516" s="879"/>
      <c r="SRW1516" s="879"/>
      <c r="SRX1516" s="879"/>
      <c r="SRY1516" s="879"/>
      <c r="SRZ1516" s="879"/>
      <c r="SSA1516" s="879"/>
      <c r="SSB1516" s="879"/>
      <c r="SSC1516" s="879"/>
      <c r="SSD1516" s="879"/>
      <c r="SSE1516" s="879"/>
      <c r="SSF1516" s="879"/>
      <c r="SSG1516" s="879"/>
      <c r="SSH1516" s="879"/>
      <c r="SSI1516" s="879"/>
      <c r="SSJ1516" s="879"/>
      <c r="SSK1516" s="879"/>
      <c r="SSL1516" s="879"/>
      <c r="SSM1516" s="879"/>
      <c r="SSN1516" s="879"/>
      <c r="SSO1516" s="879"/>
      <c r="SSP1516" s="879"/>
      <c r="SSQ1516" s="879"/>
      <c r="SSR1516" s="879"/>
      <c r="SSS1516" s="879"/>
      <c r="SST1516" s="879"/>
      <c r="SSU1516" s="879"/>
      <c r="SSV1516" s="879"/>
      <c r="SSW1516" s="879"/>
      <c r="SSX1516" s="879"/>
      <c r="SSY1516" s="879"/>
      <c r="SSZ1516" s="879"/>
      <c r="STA1516" s="879"/>
      <c r="STB1516" s="879"/>
      <c r="STC1516" s="879"/>
      <c r="STD1516" s="879"/>
      <c r="STE1516" s="879"/>
      <c r="STF1516" s="879"/>
      <c r="STG1516" s="879"/>
      <c r="STH1516" s="879"/>
      <c r="STI1516" s="879"/>
      <c r="STJ1516" s="879"/>
      <c r="STK1516" s="879"/>
      <c r="STL1516" s="879"/>
      <c r="STM1516" s="879"/>
      <c r="STN1516" s="879"/>
      <c r="STO1516" s="879"/>
      <c r="STP1516" s="879"/>
      <c r="STQ1516" s="879"/>
      <c r="STR1516" s="879"/>
      <c r="STS1516" s="879"/>
      <c r="STT1516" s="879"/>
      <c r="STU1516" s="879"/>
      <c r="STV1516" s="879"/>
      <c r="STW1516" s="879"/>
      <c r="STX1516" s="879"/>
      <c r="STY1516" s="879"/>
      <c r="STZ1516" s="879"/>
      <c r="SUA1516" s="879"/>
      <c r="SUB1516" s="879"/>
      <c r="SUC1516" s="879"/>
      <c r="SUD1516" s="879"/>
      <c r="SUE1516" s="879"/>
      <c r="SUF1516" s="879"/>
      <c r="SUG1516" s="879"/>
      <c r="SUH1516" s="879"/>
      <c r="SUI1516" s="879"/>
      <c r="SUJ1516" s="879"/>
      <c r="SUK1516" s="879"/>
      <c r="SUL1516" s="879"/>
      <c r="SUM1516" s="879"/>
      <c r="SUN1516" s="879"/>
      <c r="SUO1516" s="879"/>
      <c r="SUP1516" s="879"/>
      <c r="SUQ1516" s="879"/>
      <c r="SUR1516" s="879"/>
      <c r="SUS1516" s="879"/>
      <c r="SUT1516" s="879"/>
      <c r="SUU1516" s="879"/>
      <c r="SUV1516" s="879"/>
      <c r="SUW1516" s="879"/>
      <c r="SUX1516" s="879"/>
      <c r="SUY1516" s="879"/>
      <c r="SUZ1516" s="879"/>
      <c r="SVA1516" s="879"/>
      <c r="SVB1516" s="879"/>
      <c r="SVC1516" s="879"/>
      <c r="SVD1516" s="879"/>
      <c r="SVE1516" s="879"/>
      <c r="SVF1516" s="879"/>
      <c r="SVG1516" s="879"/>
      <c r="SVH1516" s="879"/>
      <c r="SVI1516" s="879"/>
      <c r="SVJ1516" s="879"/>
      <c r="SVK1516" s="879"/>
      <c r="SVL1516" s="879"/>
      <c r="SVM1516" s="879"/>
      <c r="SVN1516" s="879"/>
      <c r="SVO1516" s="879"/>
      <c r="SVP1516" s="879"/>
      <c r="SVQ1516" s="879"/>
      <c r="SVR1516" s="879"/>
      <c r="SVS1516" s="879"/>
      <c r="SVT1516" s="879"/>
      <c r="SVU1516" s="879"/>
      <c r="SVV1516" s="879"/>
      <c r="SVW1516" s="879"/>
      <c r="SVX1516" s="879"/>
      <c r="SVY1516" s="879"/>
      <c r="SVZ1516" s="879"/>
      <c r="SWA1516" s="879"/>
      <c r="SWB1516" s="879"/>
      <c r="SWC1516" s="879"/>
      <c r="SWD1516" s="879"/>
      <c r="SWE1516" s="879"/>
      <c r="SWF1516" s="879"/>
      <c r="SWG1516" s="879"/>
      <c r="SWH1516" s="879"/>
      <c r="SWI1516" s="879"/>
      <c r="SWJ1516" s="879"/>
      <c r="SWK1516" s="879"/>
      <c r="SWL1516" s="879"/>
      <c r="SWM1516" s="879"/>
      <c r="SWN1516" s="879"/>
      <c r="SWO1516" s="879"/>
      <c r="SWP1516" s="879"/>
      <c r="SWQ1516" s="879"/>
      <c r="SWR1516" s="879"/>
      <c r="SWS1516" s="879"/>
      <c r="SWT1516" s="879"/>
      <c r="SWU1516" s="879"/>
      <c r="SWV1516" s="879"/>
      <c r="SWW1516" s="879"/>
      <c r="SWX1516" s="879"/>
      <c r="SWY1516" s="879"/>
      <c r="SWZ1516" s="879"/>
      <c r="SXA1516" s="879"/>
      <c r="SXB1516" s="879"/>
      <c r="SXC1516" s="879"/>
      <c r="SXD1516" s="879"/>
      <c r="SXE1516" s="879"/>
      <c r="SXF1516" s="879"/>
      <c r="SXG1516" s="879"/>
      <c r="SXH1516" s="879"/>
      <c r="SXI1516" s="879"/>
      <c r="SXJ1516" s="879"/>
      <c r="SXK1516" s="879"/>
      <c r="SXL1516" s="879"/>
      <c r="SXM1516" s="879"/>
      <c r="SXN1516" s="879"/>
      <c r="SXO1516" s="879"/>
      <c r="SXP1516" s="879"/>
      <c r="SXQ1516" s="879"/>
      <c r="SXR1516" s="879"/>
      <c r="SXS1516" s="879"/>
      <c r="SXT1516" s="879"/>
      <c r="SXU1516" s="879"/>
      <c r="SXV1516" s="879"/>
      <c r="SXW1516" s="879"/>
      <c r="SXX1516" s="879"/>
      <c r="SXY1516" s="879"/>
      <c r="SXZ1516" s="879"/>
      <c r="SYA1516" s="879"/>
      <c r="SYB1516" s="879"/>
      <c r="SYC1516" s="879"/>
      <c r="SYD1516" s="879"/>
      <c r="SYE1516" s="879"/>
      <c r="SYF1516" s="879"/>
      <c r="SYG1516" s="879"/>
      <c r="SYH1516" s="879"/>
      <c r="SYI1516" s="879"/>
      <c r="SYJ1516" s="879"/>
      <c r="SYK1516" s="879"/>
      <c r="SYL1516" s="879"/>
      <c r="SYM1516" s="879"/>
      <c r="SYN1516" s="879"/>
      <c r="SYO1516" s="879"/>
      <c r="SYP1516" s="879"/>
      <c r="SYQ1516" s="879"/>
      <c r="SYR1516" s="879"/>
      <c r="SYS1516" s="879"/>
      <c r="SYT1516" s="879"/>
      <c r="SYU1516" s="879"/>
      <c r="SYV1516" s="879"/>
      <c r="SYW1516" s="879"/>
      <c r="SYX1516" s="879"/>
      <c r="SYY1516" s="879"/>
      <c r="SYZ1516" s="879"/>
      <c r="SZA1516" s="879"/>
      <c r="SZB1516" s="879"/>
      <c r="SZC1516" s="879"/>
      <c r="SZD1516" s="879"/>
      <c r="SZE1516" s="879"/>
      <c r="SZF1516" s="879"/>
      <c r="SZG1516" s="879"/>
      <c r="SZH1516" s="879"/>
      <c r="SZI1516" s="879"/>
      <c r="SZJ1516" s="879"/>
      <c r="SZK1516" s="879"/>
      <c r="SZL1516" s="879"/>
      <c r="SZM1516" s="879"/>
      <c r="SZN1516" s="879"/>
      <c r="SZO1516" s="879"/>
      <c r="SZP1516" s="879"/>
      <c r="SZQ1516" s="879"/>
      <c r="SZR1516" s="879"/>
      <c r="SZS1516" s="879"/>
      <c r="SZT1516" s="879"/>
      <c r="SZU1516" s="879"/>
      <c r="SZV1516" s="879"/>
      <c r="SZW1516" s="879"/>
      <c r="SZX1516" s="879"/>
      <c r="SZY1516" s="879"/>
      <c r="SZZ1516" s="879"/>
      <c r="TAA1516" s="879"/>
      <c r="TAB1516" s="879"/>
      <c r="TAC1516" s="879"/>
      <c r="TAD1516" s="879"/>
      <c r="TAE1516" s="879"/>
      <c r="TAF1516" s="879"/>
      <c r="TAG1516" s="879"/>
      <c r="TAH1516" s="879"/>
      <c r="TAI1516" s="879"/>
      <c r="TAJ1516" s="879"/>
      <c r="TAK1516" s="879"/>
      <c r="TAL1516" s="879"/>
      <c r="TAM1516" s="879"/>
      <c r="TAN1516" s="879"/>
      <c r="TAO1516" s="879"/>
      <c r="TAP1516" s="879"/>
      <c r="TAQ1516" s="879"/>
      <c r="TAR1516" s="879"/>
      <c r="TAS1516" s="879"/>
      <c r="TAT1516" s="879"/>
      <c r="TAU1516" s="879"/>
      <c r="TAV1516" s="879"/>
      <c r="TAW1516" s="879"/>
      <c r="TAX1516" s="879"/>
      <c r="TAY1516" s="879"/>
      <c r="TAZ1516" s="879"/>
      <c r="TBA1516" s="879"/>
      <c r="TBB1516" s="879"/>
      <c r="TBC1516" s="879"/>
      <c r="TBD1516" s="879"/>
      <c r="TBE1516" s="879"/>
      <c r="TBF1516" s="879"/>
      <c r="TBG1516" s="879"/>
      <c r="TBH1516" s="879"/>
      <c r="TBI1516" s="879"/>
      <c r="TBJ1516" s="879"/>
      <c r="TBK1516" s="879"/>
      <c r="TBL1516" s="879"/>
      <c r="TBM1516" s="879"/>
      <c r="TBN1516" s="879"/>
      <c r="TBO1516" s="879"/>
      <c r="TBP1516" s="879"/>
      <c r="TBQ1516" s="879"/>
      <c r="TBR1516" s="879"/>
      <c r="TBS1516" s="879"/>
      <c r="TBT1516" s="879"/>
      <c r="TBU1516" s="879"/>
      <c r="TBV1516" s="879"/>
      <c r="TBW1516" s="879"/>
      <c r="TBX1516" s="879"/>
      <c r="TBY1516" s="879"/>
      <c r="TBZ1516" s="879"/>
      <c r="TCA1516" s="879"/>
      <c r="TCB1516" s="879"/>
      <c r="TCC1516" s="879"/>
      <c r="TCD1516" s="879"/>
      <c r="TCE1516" s="879"/>
      <c r="TCF1516" s="879"/>
      <c r="TCG1516" s="879"/>
      <c r="TCH1516" s="879"/>
      <c r="TCI1516" s="879"/>
      <c r="TCJ1516" s="879"/>
      <c r="TCK1516" s="879"/>
      <c r="TCL1516" s="879"/>
      <c r="TCM1516" s="879"/>
      <c r="TCN1516" s="879"/>
      <c r="TCO1516" s="879"/>
      <c r="TCP1516" s="879"/>
      <c r="TCQ1516" s="879"/>
      <c r="TCR1516" s="879"/>
      <c r="TCS1516" s="879"/>
      <c r="TCT1516" s="879"/>
      <c r="TCU1516" s="879"/>
      <c r="TCV1516" s="879"/>
      <c r="TCW1516" s="879"/>
      <c r="TCX1516" s="879"/>
      <c r="TCY1516" s="879"/>
      <c r="TCZ1516" s="879"/>
      <c r="TDA1516" s="879"/>
      <c r="TDB1516" s="879"/>
      <c r="TDC1516" s="879"/>
      <c r="TDD1516" s="879"/>
      <c r="TDE1516" s="879"/>
      <c r="TDF1516" s="879"/>
      <c r="TDG1516" s="879"/>
      <c r="TDH1516" s="879"/>
      <c r="TDI1516" s="879"/>
      <c r="TDJ1516" s="879"/>
      <c r="TDK1516" s="879"/>
      <c r="TDL1516" s="879"/>
      <c r="TDM1516" s="879"/>
      <c r="TDN1516" s="879"/>
      <c r="TDO1516" s="879"/>
      <c r="TDP1516" s="879"/>
      <c r="TDQ1516" s="879"/>
      <c r="TDR1516" s="879"/>
      <c r="TDS1516" s="879"/>
      <c r="TDT1516" s="879"/>
      <c r="TDU1516" s="879"/>
      <c r="TDV1516" s="879"/>
      <c r="TDW1516" s="879"/>
      <c r="TDX1516" s="879"/>
      <c r="TDY1516" s="879"/>
      <c r="TDZ1516" s="879"/>
      <c r="TEA1516" s="879"/>
      <c r="TEB1516" s="879"/>
      <c r="TEC1516" s="879"/>
      <c r="TED1516" s="879"/>
      <c r="TEE1516" s="879"/>
      <c r="TEF1516" s="879"/>
      <c r="TEG1516" s="879"/>
      <c r="TEH1516" s="879"/>
      <c r="TEI1516" s="879"/>
      <c r="TEJ1516" s="879"/>
      <c r="TEK1516" s="879"/>
      <c r="TEL1516" s="879"/>
      <c r="TEM1516" s="879"/>
      <c r="TEN1516" s="879"/>
      <c r="TEO1516" s="879"/>
      <c r="TEP1516" s="879"/>
      <c r="TEQ1516" s="879"/>
      <c r="TER1516" s="879"/>
      <c r="TES1516" s="879"/>
      <c r="TET1516" s="879"/>
      <c r="TEU1516" s="879"/>
      <c r="TEV1516" s="879"/>
      <c r="TEW1516" s="879"/>
      <c r="TEX1516" s="879"/>
      <c r="TEY1516" s="879"/>
      <c r="TEZ1516" s="879"/>
      <c r="TFA1516" s="879"/>
      <c r="TFB1516" s="879"/>
      <c r="TFC1516" s="879"/>
      <c r="TFD1516" s="879"/>
      <c r="TFE1516" s="879"/>
      <c r="TFF1516" s="879"/>
      <c r="TFG1516" s="879"/>
      <c r="TFH1516" s="879"/>
      <c r="TFI1516" s="879"/>
      <c r="TFJ1516" s="879"/>
      <c r="TFK1516" s="879"/>
      <c r="TFL1516" s="879"/>
      <c r="TFM1516" s="879"/>
      <c r="TFN1516" s="879"/>
      <c r="TFO1516" s="879"/>
      <c r="TFP1516" s="879"/>
      <c r="TFQ1516" s="879"/>
      <c r="TFR1516" s="879"/>
      <c r="TFS1516" s="879"/>
      <c r="TFT1516" s="879"/>
      <c r="TFU1516" s="879"/>
      <c r="TFV1516" s="879"/>
      <c r="TFW1516" s="879"/>
      <c r="TFX1516" s="879"/>
      <c r="TFY1516" s="879"/>
      <c r="TFZ1516" s="879"/>
      <c r="TGA1516" s="879"/>
      <c r="TGB1516" s="879"/>
      <c r="TGC1516" s="879"/>
      <c r="TGD1516" s="879"/>
      <c r="TGE1516" s="879"/>
      <c r="TGF1516" s="879"/>
      <c r="TGG1516" s="879"/>
      <c r="TGH1516" s="879"/>
      <c r="TGI1516" s="879"/>
      <c r="TGJ1516" s="879"/>
      <c r="TGK1516" s="879"/>
      <c r="TGL1516" s="879"/>
      <c r="TGM1516" s="879"/>
      <c r="TGN1516" s="879"/>
      <c r="TGO1516" s="879"/>
      <c r="TGP1516" s="879"/>
      <c r="TGQ1516" s="879"/>
      <c r="TGR1516" s="879"/>
      <c r="TGS1516" s="879"/>
      <c r="TGT1516" s="879"/>
      <c r="TGU1516" s="879"/>
      <c r="TGV1516" s="879"/>
      <c r="TGW1516" s="879"/>
      <c r="TGX1516" s="879"/>
      <c r="TGY1516" s="879"/>
      <c r="TGZ1516" s="879"/>
      <c r="THA1516" s="879"/>
      <c r="THB1516" s="879"/>
      <c r="THC1516" s="879"/>
      <c r="THD1516" s="879"/>
      <c r="THE1516" s="879"/>
      <c r="THF1516" s="879"/>
      <c r="THG1516" s="879"/>
      <c r="THH1516" s="879"/>
      <c r="THI1516" s="879"/>
      <c r="THJ1516" s="879"/>
      <c r="THK1516" s="879"/>
      <c r="THL1516" s="879"/>
      <c r="THM1516" s="879"/>
      <c r="THN1516" s="879"/>
      <c r="THO1516" s="879"/>
      <c r="THP1516" s="879"/>
      <c r="THQ1516" s="879"/>
      <c r="THR1516" s="879"/>
      <c r="THS1516" s="879"/>
      <c r="THT1516" s="879"/>
      <c r="THU1516" s="879"/>
      <c r="THV1516" s="879"/>
      <c r="THW1516" s="879"/>
      <c r="THX1516" s="879"/>
      <c r="THY1516" s="879"/>
      <c r="THZ1516" s="879"/>
      <c r="TIA1516" s="879"/>
      <c r="TIB1516" s="879"/>
      <c r="TIC1516" s="879"/>
      <c r="TID1516" s="879"/>
      <c r="TIE1516" s="879"/>
      <c r="TIF1516" s="879"/>
      <c r="TIG1516" s="879"/>
      <c r="TIH1516" s="879"/>
      <c r="TII1516" s="879"/>
      <c r="TIJ1516" s="879"/>
      <c r="TIK1516" s="879"/>
      <c r="TIL1516" s="879"/>
      <c r="TIM1516" s="879"/>
      <c r="TIN1516" s="879"/>
      <c r="TIO1516" s="879"/>
      <c r="TIP1516" s="879"/>
      <c r="TIQ1516" s="879"/>
      <c r="TIR1516" s="879"/>
      <c r="TIS1516" s="879"/>
      <c r="TIT1516" s="879"/>
      <c r="TIU1516" s="879"/>
      <c r="TIV1516" s="879"/>
      <c r="TIW1516" s="879"/>
      <c r="TIX1516" s="879"/>
      <c r="TIY1516" s="879"/>
      <c r="TIZ1516" s="879"/>
      <c r="TJA1516" s="879"/>
      <c r="TJB1516" s="879"/>
      <c r="TJC1516" s="879"/>
      <c r="TJD1516" s="879"/>
      <c r="TJE1516" s="879"/>
      <c r="TJF1516" s="879"/>
      <c r="TJG1516" s="879"/>
      <c r="TJH1516" s="879"/>
      <c r="TJI1516" s="879"/>
      <c r="TJJ1516" s="879"/>
      <c r="TJK1516" s="879"/>
      <c r="TJL1516" s="879"/>
      <c r="TJM1516" s="879"/>
      <c r="TJN1516" s="879"/>
      <c r="TJO1516" s="879"/>
      <c r="TJP1516" s="879"/>
      <c r="TJQ1516" s="879"/>
      <c r="TJR1516" s="879"/>
      <c r="TJS1516" s="879"/>
      <c r="TJT1516" s="879"/>
      <c r="TJU1516" s="879"/>
      <c r="TJV1516" s="879"/>
      <c r="TJW1516" s="879"/>
      <c r="TJX1516" s="879"/>
      <c r="TJY1516" s="879"/>
      <c r="TJZ1516" s="879"/>
      <c r="TKA1516" s="879"/>
      <c r="TKB1516" s="879"/>
      <c r="TKC1516" s="879"/>
      <c r="TKD1516" s="879"/>
      <c r="TKE1516" s="879"/>
      <c r="TKF1516" s="879"/>
      <c r="TKG1516" s="879"/>
      <c r="TKH1516" s="879"/>
      <c r="TKI1516" s="879"/>
      <c r="TKJ1516" s="879"/>
      <c r="TKK1516" s="879"/>
      <c r="TKL1516" s="879"/>
      <c r="TKM1516" s="879"/>
      <c r="TKN1516" s="879"/>
      <c r="TKO1516" s="879"/>
      <c r="TKP1516" s="879"/>
      <c r="TKQ1516" s="879"/>
      <c r="TKR1516" s="879"/>
      <c r="TKS1516" s="879"/>
      <c r="TKT1516" s="879"/>
      <c r="TKU1516" s="879"/>
      <c r="TKV1516" s="879"/>
      <c r="TKW1516" s="879"/>
      <c r="TKX1516" s="879"/>
      <c r="TKY1516" s="879"/>
      <c r="TKZ1516" s="879"/>
      <c r="TLA1516" s="879"/>
      <c r="TLB1516" s="879"/>
      <c r="TLC1516" s="879"/>
      <c r="TLD1516" s="879"/>
      <c r="TLE1516" s="879"/>
      <c r="TLF1516" s="879"/>
      <c r="TLG1516" s="879"/>
      <c r="TLH1516" s="879"/>
      <c r="TLI1516" s="879"/>
      <c r="TLJ1516" s="879"/>
      <c r="TLK1516" s="879"/>
      <c r="TLL1516" s="879"/>
      <c r="TLM1516" s="879"/>
      <c r="TLN1516" s="879"/>
      <c r="TLO1516" s="879"/>
      <c r="TLP1516" s="879"/>
      <c r="TLQ1516" s="879"/>
      <c r="TLR1516" s="879"/>
      <c r="TLS1516" s="879"/>
      <c r="TLT1516" s="879"/>
      <c r="TLU1516" s="879"/>
      <c r="TLV1516" s="879"/>
      <c r="TLW1516" s="879"/>
      <c r="TLX1516" s="879"/>
      <c r="TLY1516" s="879"/>
      <c r="TLZ1516" s="879"/>
      <c r="TMA1516" s="879"/>
      <c r="TMB1516" s="879"/>
      <c r="TMC1516" s="879"/>
      <c r="TMD1516" s="879"/>
      <c r="TME1516" s="879"/>
      <c r="TMF1516" s="879"/>
      <c r="TMG1516" s="879"/>
      <c r="TMH1516" s="879"/>
      <c r="TMI1516" s="879"/>
      <c r="TMJ1516" s="879"/>
      <c r="TMK1516" s="879"/>
      <c r="TML1516" s="879"/>
      <c r="TMM1516" s="879"/>
      <c r="TMN1516" s="879"/>
      <c r="TMO1516" s="879"/>
      <c r="TMP1516" s="879"/>
      <c r="TMQ1516" s="879"/>
      <c r="TMR1516" s="879"/>
      <c r="TMS1516" s="879"/>
      <c r="TMT1516" s="879"/>
      <c r="TMU1516" s="879"/>
      <c r="TMV1516" s="879"/>
      <c r="TMW1516" s="879"/>
      <c r="TMX1516" s="879"/>
      <c r="TMY1516" s="879"/>
      <c r="TMZ1516" s="879"/>
      <c r="TNA1516" s="879"/>
      <c r="TNB1516" s="879"/>
      <c r="TNC1516" s="879"/>
      <c r="TND1516" s="879"/>
      <c r="TNE1516" s="879"/>
      <c r="TNF1516" s="879"/>
      <c r="TNG1516" s="879"/>
      <c r="TNH1516" s="879"/>
      <c r="TNI1516" s="879"/>
      <c r="TNJ1516" s="879"/>
      <c r="TNK1516" s="879"/>
      <c r="TNL1516" s="879"/>
      <c r="TNM1516" s="879"/>
      <c r="TNN1516" s="879"/>
      <c r="TNO1516" s="879"/>
      <c r="TNP1516" s="879"/>
      <c r="TNQ1516" s="879"/>
      <c r="TNR1516" s="879"/>
      <c r="TNS1516" s="879"/>
      <c r="TNT1516" s="879"/>
      <c r="TNU1516" s="879"/>
      <c r="TNV1516" s="879"/>
      <c r="TNW1516" s="879"/>
      <c r="TNX1516" s="879"/>
      <c r="TNY1516" s="879"/>
      <c r="TNZ1516" s="879"/>
      <c r="TOA1516" s="879"/>
      <c r="TOB1516" s="879"/>
      <c r="TOC1516" s="879"/>
      <c r="TOD1516" s="879"/>
      <c r="TOE1516" s="879"/>
      <c r="TOF1516" s="879"/>
      <c r="TOG1516" s="879"/>
      <c r="TOH1516" s="879"/>
      <c r="TOI1516" s="879"/>
      <c r="TOJ1516" s="879"/>
      <c r="TOK1516" s="879"/>
      <c r="TOL1516" s="879"/>
      <c r="TOM1516" s="879"/>
      <c r="TON1516" s="879"/>
      <c r="TOO1516" s="879"/>
      <c r="TOP1516" s="879"/>
      <c r="TOQ1516" s="879"/>
      <c r="TOR1516" s="879"/>
      <c r="TOS1516" s="879"/>
      <c r="TOT1516" s="879"/>
      <c r="TOU1516" s="879"/>
      <c r="TOV1516" s="879"/>
      <c r="TOW1516" s="879"/>
      <c r="TOX1516" s="879"/>
      <c r="TOY1516" s="879"/>
      <c r="TOZ1516" s="879"/>
      <c r="TPA1516" s="879"/>
      <c r="TPB1516" s="879"/>
      <c r="TPC1516" s="879"/>
      <c r="TPD1516" s="879"/>
      <c r="TPE1516" s="879"/>
      <c r="TPF1516" s="879"/>
      <c r="TPG1516" s="879"/>
      <c r="TPH1516" s="879"/>
      <c r="TPI1516" s="879"/>
      <c r="TPJ1516" s="879"/>
      <c r="TPK1516" s="879"/>
      <c r="TPL1516" s="879"/>
      <c r="TPM1516" s="879"/>
      <c r="TPN1516" s="879"/>
      <c r="TPO1516" s="879"/>
      <c r="TPP1516" s="879"/>
      <c r="TPQ1516" s="879"/>
      <c r="TPR1516" s="879"/>
      <c r="TPS1516" s="879"/>
      <c r="TPT1516" s="879"/>
      <c r="TPU1516" s="879"/>
      <c r="TPV1516" s="879"/>
      <c r="TPW1516" s="879"/>
      <c r="TPX1516" s="879"/>
      <c r="TPY1516" s="879"/>
      <c r="TPZ1516" s="879"/>
      <c r="TQA1516" s="879"/>
      <c r="TQB1516" s="879"/>
      <c r="TQC1516" s="879"/>
      <c r="TQD1516" s="879"/>
      <c r="TQE1516" s="879"/>
      <c r="TQF1516" s="879"/>
      <c r="TQG1516" s="879"/>
      <c r="TQH1516" s="879"/>
      <c r="TQI1516" s="879"/>
      <c r="TQJ1516" s="879"/>
      <c r="TQK1516" s="879"/>
      <c r="TQL1516" s="879"/>
      <c r="TQM1516" s="879"/>
      <c r="TQN1516" s="879"/>
      <c r="TQO1516" s="879"/>
      <c r="TQP1516" s="879"/>
      <c r="TQQ1516" s="879"/>
      <c r="TQR1516" s="879"/>
      <c r="TQS1516" s="879"/>
      <c r="TQT1516" s="879"/>
      <c r="TQU1516" s="879"/>
      <c r="TQV1516" s="879"/>
      <c r="TQW1516" s="879"/>
      <c r="TQX1516" s="879"/>
      <c r="TQY1516" s="879"/>
      <c r="TQZ1516" s="879"/>
      <c r="TRA1516" s="879"/>
      <c r="TRB1516" s="879"/>
      <c r="TRC1516" s="879"/>
      <c r="TRD1516" s="879"/>
      <c r="TRE1516" s="879"/>
      <c r="TRF1516" s="879"/>
      <c r="TRG1516" s="879"/>
      <c r="TRH1516" s="879"/>
      <c r="TRI1516" s="879"/>
      <c r="TRJ1516" s="879"/>
      <c r="TRK1516" s="879"/>
      <c r="TRL1516" s="879"/>
      <c r="TRM1516" s="879"/>
      <c r="TRN1516" s="879"/>
      <c r="TRO1516" s="879"/>
      <c r="TRP1516" s="879"/>
      <c r="TRQ1516" s="879"/>
      <c r="TRR1516" s="879"/>
      <c r="TRS1516" s="879"/>
      <c r="TRT1516" s="879"/>
      <c r="TRU1516" s="879"/>
      <c r="TRV1516" s="879"/>
      <c r="TRW1516" s="879"/>
      <c r="TRX1516" s="879"/>
      <c r="TRY1516" s="879"/>
      <c r="TRZ1516" s="879"/>
      <c r="TSA1516" s="879"/>
      <c r="TSB1516" s="879"/>
      <c r="TSC1516" s="879"/>
      <c r="TSD1516" s="879"/>
      <c r="TSE1516" s="879"/>
      <c r="TSF1516" s="879"/>
      <c r="TSG1516" s="879"/>
      <c r="TSH1516" s="879"/>
      <c r="TSI1516" s="879"/>
      <c r="TSJ1516" s="879"/>
      <c r="TSK1516" s="879"/>
      <c r="TSL1516" s="879"/>
      <c r="TSM1516" s="879"/>
      <c r="TSN1516" s="879"/>
      <c r="TSO1516" s="879"/>
      <c r="TSP1516" s="879"/>
      <c r="TSQ1516" s="879"/>
      <c r="TSR1516" s="879"/>
      <c r="TSS1516" s="879"/>
      <c r="TST1516" s="879"/>
      <c r="TSU1516" s="879"/>
      <c r="TSV1516" s="879"/>
      <c r="TSW1516" s="879"/>
      <c r="TSX1516" s="879"/>
      <c r="TSY1516" s="879"/>
      <c r="TSZ1516" s="879"/>
      <c r="TTA1516" s="879"/>
      <c r="TTB1516" s="879"/>
      <c r="TTC1516" s="879"/>
      <c r="TTD1516" s="879"/>
      <c r="TTE1516" s="879"/>
      <c r="TTF1516" s="879"/>
      <c r="TTG1516" s="879"/>
      <c r="TTH1516" s="879"/>
      <c r="TTI1516" s="879"/>
      <c r="TTJ1516" s="879"/>
      <c r="TTK1516" s="879"/>
      <c r="TTL1516" s="879"/>
      <c r="TTM1516" s="879"/>
      <c r="TTN1516" s="879"/>
      <c r="TTO1516" s="879"/>
      <c r="TTP1516" s="879"/>
      <c r="TTQ1516" s="879"/>
      <c r="TTR1516" s="879"/>
      <c r="TTS1516" s="879"/>
      <c r="TTT1516" s="879"/>
      <c r="TTU1516" s="879"/>
      <c r="TTV1516" s="879"/>
      <c r="TTW1516" s="879"/>
      <c r="TTX1516" s="879"/>
      <c r="TTY1516" s="879"/>
      <c r="TTZ1516" s="879"/>
      <c r="TUA1516" s="879"/>
      <c r="TUB1516" s="879"/>
      <c r="TUC1516" s="879"/>
      <c r="TUD1516" s="879"/>
      <c r="TUE1516" s="879"/>
      <c r="TUF1516" s="879"/>
      <c r="TUG1516" s="879"/>
      <c r="TUH1516" s="879"/>
      <c r="TUI1516" s="879"/>
      <c r="TUJ1516" s="879"/>
      <c r="TUK1516" s="879"/>
      <c r="TUL1516" s="879"/>
      <c r="TUM1516" s="879"/>
      <c r="TUN1516" s="879"/>
      <c r="TUO1516" s="879"/>
      <c r="TUP1516" s="879"/>
      <c r="TUQ1516" s="879"/>
      <c r="TUR1516" s="879"/>
      <c r="TUS1516" s="879"/>
      <c r="TUT1516" s="879"/>
      <c r="TUU1516" s="879"/>
      <c r="TUV1516" s="879"/>
      <c r="TUW1516" s="879"/>
      <c r="TUX1516" s="879"/>
      <c r="TUY1516" s="879"/>
      <c r="TUZ1516" s="879"/>
      <c r="TVA1516" s="879"/>
      <c r="TVB1516" s="879"/>
      <c r="TVC1516" s="879"/>
      <c r="TVD1516" s="879"/>
      <c r="TVE1516" s="879"/>
      <c r="TVF1516" s="879"/>
      <c r="TVG1516" s="879"/>
      <c r="TVH1516" s="879"/>
      <c r="TVI1516" s="879"/>
      <c r="TVJ1516" s="879"/>
      <c r="TVK1516" s="879"/>
      <c r="TVL1516" s="879"/>
      <c r="TVM1516" s="879"/>
      <c r="TVN1516" s="879"/>
      <c r="TVO1516" s="879"/>
      <c r="TVP1516" s="879"/>
      <c r="TVQ1516" s="879"/>
      <c r="TVR1516" s="879"/>
      <c r="TVS1516" s="879"/>
      <c r="TVT1516" s="879"/>
      <c r="TVU1516" s="879"/>
      <c r="TVV1516" s="879"/>
      <c r="TVW1516" s="879"/>
      <c r="TVX1516" s="879"/>
      <c r="TVY1516" s="879"/>
      <c r="TVZ1516" s="879"/>
      <c r="TWA1516" s="879"/>
      <c r="TWB1516" s="879"/>
      <c r="TWC1516" s="879"/>
      <c r="TWD1516" s="879"/>
      <c r="TWE1516" s="879"/>
      <c r="TWF1516" s="879"/>
      <c r="TWG1516" s="879"/>
      <c r="TWH1516" s="879"/>
      <c r="TWI1516" s="879"/>
      <c r="TWJ1516" s="879"/>
      <c r="TWK1516" s="879"/>
      <c r="TWL1516" s="879"/>
      <c r="TWM1516" s="879"/>
      <c r="TWN1516" s="879"/>
      <c r="TWO1516" s="879"/>
      <c r="TWP1516" s="879"/>
      <c r="TWQ1516" s="879"/>
      <c r="TWR1516" s="879"/>
      <c r="TWS1516" s="879"/>
      <c r="TWT1516" s="879"/>
      <c r="TWU1516" s="879"/>
      <c r="TWV1516" s="879"/>
      <c r="TWW1516" s="879"/>
      <c r="TWX1516" s="879"/>
      <c r="TWY1516" s="879"/>
      <c r="TWZ1516" s="879"/>
      <c r="TXA1516" s="879"/>
      <c r="TXB1516" s="879"/>
      <c r="TXC1516" s="879"/>
      <c r="TXD1516" s="879"/>
      <c r="TXE1516" s="879"/>
      <c r="TXF1516" s="879"/>
      <c r="TXG1516" s="879"/>
      <c r="TXH1516" s="879"/>
      <c r="TXI1516" s="879"/>
      <c r="TXJ1516" s="879"/>
      <c r="TXK1516" s="879"/>
      <c r="TXL1516" s="879"/>
      <c r="TXM1516" s="879"/>
      <c r="TXN1516" s="879"/>
      <c r="TXO1516" s="879"/>
      <c r="TXP1516" s="879"/>
      <c r="TXQ1516" s="879"/>
      <c r="TXR1516" s="879"/>
      <c r="TXS1516" s="879"/>
      <c r="TXT1516" s="879"/>
      <c r="TXU1516" s="879"/>
      <c r="TXV1516" s="879"/>
      <c r="TXW1516" s="879"/>
      <c r="TXX1516" s="879"/>
      <c r="TXY1516" s="879"/>
      <c r="TXZ1516" s="879"/>
      <c r="TYA1516" s="879"/>
      <c r="TYB1516" s="879"/>
      <c r="TYC1516" s="879"/>
      <c r="TYD1516" s="879"/>
      <c r="TYE1516" s="879"/>
      <c r="TYF1516" s="879"/>
      <c r="TYG1516" s="879"/>
      <c r="TYH1516" s="879"/>
      <c r="TYI1516" s="879"/>
      <c r="TYJ1516" s="879"/>
      <c r="TYK1516" s="879"/>
      <c r="TYL1516" s="879"/>
      <c r="TYM1516" s="879"/>
      <c r="TYN1516" s="879"/>
      <c r="TYO1516" s="879"/>
      <c r="TYP1516" s="879"/>
      <c r="TYQ1516" s="879"/>
      <c r="TYR1516" s="879"/>
      <c r="TYS1516" s="879"/>
      <c r="TYT1516" s="879"/>
      <c r="TYU1516" s="879"/>
      <c r="TYV1516" s="879"/>
      <c r="TYW1516" s="879"/>
      <c r="TYX1516" s="879"/>
      <c r="TYY1516" s="879"/>
      <c r="TYZ1516" s="879"/>
      <c r="TZA1516" s="879"/>
      <c r="TZB1516" s="879"/>
      <c r="TZC1516" s="879"/>
      <c r="TZD1516" s="879"/>
      <c r="TZE1516" s="879"/>
      <c r="TZF1516" s="879"/>
      <c r="TZG1516" s="879"/>
      <c r="TZH1516" s="879"/>
      <c r="TZI1516" s="879"/>
      <c r="TZJ1516" s="879"/>
      <c r="TZK1516" s="879"/>
      <c r="TZL1516" s="879"/>
      <c r="TZM1516" s="879"/>
      <c r="TZN1516" s="879"/>
      <c r="TZO1516" s="879"/>
      <c r="TZP1516" s="879"/>
      <c r="TZQ1516" s="879"/>
      <c r="TZR1516" s="879"/>
      <c r="TZS1516" s="879"/>
      <c r="TZT1516" s="879"/>
      <c r="TZU1516" s="879"/>
      <c r="TZV1516" s="879"/>
      <c r="TZW1516" s="879"/>
      <c r="TZX1516" s="879"/>
      <c r="TZY1516" s="879"/>
      <c r="TZZ1516" s="879"/>
      <c r="UAA1516" s="879"/>
      <c r="UAB1516" s="879"/>
      <c r="UAC1516" s="879"/>
      <c r="UAD1516" s="879"/>
      <c r="UAE1516" s="879"/>
      <c r="UAF1516" s="879"/>
      <c r="UAG1516" s="879"/>
      <c r="UAH1516" s="879"/>
      <c r="UAI1516" s="879"/>
      <c r="UAJ1516" s="879"/>
      <c r="UAK1516" s="879"/>
      <c r="UAL1516" s="879"/>
      <c r="UAM1516" s="879"/>
      <c r="UAN1516" s="879"/>
      <c r="UAO1516" s="879"/>
      <c r="UAP1516" s="879"/>
      <c r="UAQ1516" s="879"/>
      <c r="UAR1516" s="879"/>
      <c r="UAS1516" s="879"/>
      <c r="UAT1516" s="879"/>
      <c r="UAU1516" s="879"/>
      <c r="UAV1516" s="879"/>
      <c r="UAW1516" s="879"/>
      <c r="UAX1516" s="879"/>
      <c r="UAY1516" s="879"/>
      <c r="UAZ1516" s="879"/>
      <c r="UBA1516" s="879"/>
      <c r="UBB1516" s="879"/>
      <c r="UBC1516" s="879"/>
      <c r="UBD1516" s="879"/>
      <c r="UBE1516" s="879"/>
      <c r="UBF1516" s="879"/>
      <c r="UBG1516" s="879"/>
      <c r="UBH1516" s="879"/>
      <c r="UBI1516" s="879"/>
      <c r="UBJ1516" s="879"/>
      <c r="UBK1516" s="879"/>
      <c r="UBL1516" s="879"/>
      <c r="UBM1516" s="879"/>
      <c r="UBN1516" s="879"/>
      <c r="UBO1516" s="879"/>
      <c r="UBP1516" s="879"/>
      <c r="UBQ1516" s="879"/>
      <c r="UBR1516" s="879"/>
      <c r="UBS1516" s="879"/>
      <c r="UBT1516" s="879"/>
      <c r="UBU1516" s="879"/>
      <c r="UBV1516" s="879"/>
      <c r="UBW1516" s="879"/>
      <c r="UBX1516" s="879"/>
      <c r="UBY1516" s="879"/>
      <c r="UBZ1516" s="879"/>
      <c r="UCA1516" s="879"/>
      <c r="UCB1516" s="879"/>
      <c r="UCC1516" s="879"/>
      <c r="UCD1516" s="879"/>
      <c r="UCE1516" s="879"/>
      <c r="UCF1516" s="879"/>
      <c r="UCG1516" s="879"/>
      <c r="UCH1516" s="879"/>
      <c r="UCI1516" s="879"/>
      <c r="UCJ1516" s="879"/>
      <c r="UCK1516" s="879"/>
      <c r="UCL1516" s="879"/>
      <c r="UCM1516" s="879"/>
      <c r="UCN1516" s="879"/>
      <c r="UCO1516" s="879"/>
      <c r="UCP1516" s="879"/>
      <c r="UCQ1516" s="879"/>
      <c r="UCR1516" s="879"/>
      <c r="UCS1516" s="879"/>
      <c r="UCT1516" s="879"/>
      <c r="UCU1516" s="879"/>
      <c r="UCV1516" s="879"/>
      <c r="UCW1516" s="879"/>
      <c r="UCX1516" s="879"/>
      <c r="UCY1516" s="879"/>
      <c r="UCZ1516" s="879"/>
      <c r="UDA1516" s="879"/>
      <c r="UDB1516" s="879"/>
      <c r="UDC1516" s="879"/>
      <c r="UDD1516" s="879"/>
      <c r="UDE1516" s="879"/>
      <c r="UDF1516" s="879"/>
      <c r="UDG1516" s="879"/>
      <c r="UDH1516" s="879"/>
      <c r="UDI1516" s="879"/>
      <c r="UDJ1516" s="879"/>
      <c r="UDK1516" s="879"/>
      <c r="UDL1516" s="879"/>
      <c r="UDM1516" s="879"/>
      <c r="UDN1516" s="879"/>
      <c r="UDO1516" s="879"/>
      <c r="UDP1516" s="879"/>
      <c r="UDQ1516" s="879"/>
      <c r="UDR1516" s="879"/>
      <c r="UDS1516" s="879"/>
      <c r="UDT1516" s="879"/>
      <c r="UDU1516" s="879"/>
      <c r="UDV1516" s="879"/>
      <c r="UDW1516" s="879"/>
      <c r="UDX1516" s="879"/>
      <c r="UDY1516" s="879"/>
      <c r="UDZ1516" s="879"/>
      <c r="UEA1516" s="879"/>
      <c r="UEB1516" s="879"/>
      <c r="UEC1516" s="879"/>
      <c r="UED1516" s="879"/>
      <c r="UEE1516" s="879"/>
      <c r="UEF1516" s="879"/>
      <c r="UEG1516" s="879"/>
      <c r="UEH1516" s="879"/>
      <c r="UEI1516" s="879"/>
      <c r="UEJ1516" s="879"/>
      <c r="UEK1516" s="879"/>
      <c r="UEL1516" s="879"/>
      <c r="UEM1516" s="879"/>
      <c r="UEN1516" s="879"/>
      <c r="UEO1516" s="879"/>
      <c r="UEP1516" s="879"/>
      <c r="UEQ1516" s="879"/>
      <c r="UER1516" s="879"/>
      <c r="UES1516" s="879"/>
      <c r="UET1516" s="879"/>
      <c r="UEU1516" s="879"/>
      <c r="UEV1516" s="879"/>
      <c r="UEW1516" s="879"/>
      <c r="UEX1516" s="879"/>
      <c r="UEY1516" s="879"/>
      <c r="UEZ1516" s="879"/>
      <c r="UFA1516" s="879"/>
      <c r="UFB1516" s="879"/>
      <c r="UFC1516" s="879"/>
      <c r="UFD1516" s="879"/>
      <c r="UFE1516" s="879"/>
      <c r="UFF1516" s="879"/>
      <c r="UFG1516" s="879"/>
      <c r="UFH1516" s="879"/>
      <c r="UFI1516" s="879"/>
      <c r="UFJ1516" s="879"/>
      <c r="UFK1516" s="879"/>
      <c r="UFL1516" s="879"/>
      <c r="UFM1516" s="879"/>
      <c r="UFN1516" s="879"/>
      <c r="UFO1516" s="879"/>
      <c r="UFP1516" s="879"/>
      <c r="UFQ1516" s="879"/>
      <c r="UFR1516" s="879"/>
      <c r="UFS1516" s="879"/>
      <c r="UFT1516" s="879"/>
      <c r="UFU1516" s="879"/>
      <c r="UFV1516" s="879"/>
      <c r="UFW1516" s="879"/>
      <c r="UFX1516" s="879"/>
      <c r="UFY1516" s="879"/>
      <c r="UFZ1516" s="879"/>
      <c r="UGA1516" s="879"/>
      <c r="UGB1516" s="879"/>
      <c r="UGC1516" s="879"/>
      <c r="UGD1516" s="879"/>
      <c r="UGE1516" s="879"/>
      <c r="UGF1516" s="879"/>
      <c r="UGG1516" s="879"/>
      <c r="UGH1516" s="879"/>
      <c r="UGI1516" s="879"/>
      <c r="UGJ1516" s="879"/>
      <c r="UGK1516" s="879"/>
      <c r="UGL1516" s="879"/>
      <c r="UGM1516" s="879"/>
      <c r="UGN1516" s="879"/>
      <c r="UGO1516" s="879"/>
      <c r="UGP1516" s="879"/>
      <c r="UGQ1516" s="879"/>
      <c r="UGR1516" s="879"/>
      <c r="UGS1516" s="879"/>
      <c r="UGT1516" s="879"/>
      <c r="UGU1516" s="879"/>
      <c r="UGV1516" s="879"/>
      <c r="UGW1516" s="879"/>
      <c r="UGX1516" s="879"/>
      <c r="UGY1516" s="879"/>
      <c r="UGZ1516" s="879"/>
      <c r="UHA1516" s="879"/>
      <c r="UHB1516" s="879"/>
      <c r="UHC1516" s="879"/>
      <c r="UHD1516" s="879"/>
      <c r="UHE1516" s="879"/>
      <c r="UHF1516" s="879"/>
      <c r="UHG1516" s="879"/>
      <c r="UHH1516" s="879"/>
      <c r="UHI1516" s="879"/>
      <c r="UHJ1516" s="879"/>
      <c r="UHK1516" s="879"/>
      <c r="UHL1516" s="879"/>
      <c r="UHM1516" s="879"/>
      <c r="UHN1516" s="879"/>
      <c r="UHO1516" s="879"/>
      <c r="UHP1516" s="879"/>
      <c r="UHQ1516" s="879"/>
      <c r="UHR1516" s="879"/>
      <c r="UHS1516" s="879"/>
      <c r="UHT1516" s="879"/>
      <c r="UHU1516" s="879"/>
      <c r="UHV1516" s="879"/>
      <c r="UHW1516" s="879"/>
      <c r="UHX1516" s="879"/>
      <c r="UHY1516" s="879"/>
      <c r="UHZ1516" s="879"/>
      <c r="UIA1516" s="879"/>
      <c r="UIB1516" s="879"/>
      <c r="UIC1516" s="879"/>
      <c r="UID1516" s="879"/>
      <c r="UIE1516" s="879"/>
      <c r="UIF1516" s="879"/>
      <c r="UIG1516" s="879"/>
      <c r="UIH1516" s="879"/>
      <c r="UII1516" s="879"/>
      <c r="UIJ1516" s="879"/>
      <c r="UIK1516" s="879"/>
      <c r="UIL1516" s="879"/>
      <c r="UIM1516" s="879"/>
      <c r="UIN1516" s="879"/>
      <c r="UIO1516" s="879"/>
      <c r="UIP1516" s="879"/>
      <c r="UIQ1516" s="879"/>
      <c r="UIR1516" s="879"/>
      <c r="UIS1516" s="879"/>
      <c r="UIT1516" s="879"/>
      <c r="UIU1516" s="879"/>
      <c r="UIV1516" s="879"/>
      <c r="UIW1516" s="879"/>
      <c r="UIX1516" s="879"/>
      <c r="UIY1516" s="879"/>
      <c r="UIZ1516" s="879"/>
      <c r="UJA1516" s="879"/>
      <c r="UJB1516" s="879"/>
      <c r="UJC1516" s="879"/>
      <c r="UJD1516" s="879"/>
      <c r="UJE1516" s="879"/>
      <c r="UJF1516" s="879"/>
      <c r="UJG1516" s="879"/>
      <c r="UJH1516" s="879"/>
      <c r="UJI1516" s="879"/>
      <c r="UJJ1516" s="879"/>
      <c r="UJK1516" s="879"/>
      <c r="UJL1516" s="879"/>
      <c r="UJM1516" s="879"/>
      <c r="UJN1516" s="879"/>
      <c r="UJO1516" s="879"/>
      <c r="UJP1516" s="879"/>
      <c r="UJQ1516" s="879"/>
      <c r="UJR1516" s="879"/>
      <c r="UJS1516" s="879"/>
      <c r="UJT1516" s="879"/>
      <c r="UJU1516" s="879"/>
      <c r="UJV1516" s="879"/>
      <c r="UJW1516" s="879"/>
      <c r="UJX1516" s="879"/>
      <c r="UJY1516" s="879"/>
      <c r="UJZ1516" s="879"/>
      <c r="UKA1516" s="879"/>
      <c r="UKB1516" s="879"/>
      <c r="UKC1516" s="879"/>
      <c r="UKD1516" s="879"/>
      <c r="UKE1516" s="879"/>
      <c r="UKF1516" s="879"/>
      <c r="UKG1516" s="879"/>
      <c r="UKH1516" s="879"/>
      <c r="UKI1516" s="879"/>
      <c r="UKJ1516" s="879"/>
      <c r="UKK1516" s="879"/>
      <c r="UKL1516" s="879"/>
      <c r="UKM1516" s="879"/>
      <c r="UKN1516" s="879"/>
      <c r="UKO1516" s="879"/>
      <c r="UKP1516" s="879"/>
      <c r="UKQ1516" s="879"/>
      <c r="UKR1516" s="879"/>
      <c r="UKS1516" s="879"/>
      <c r="UKT1516" s="879"/>
      <c r="UKU1516" s="879"/>
      <c r="UKV1516" s="879"/>
      <c r="UKW1516" s="879"/>
      <c r="UKX1516" s="879"/>
      <c r="UKY1516" s="879"/>
      <c r="UKZ1516" s="879"/>
      <c r="ULA1516" s="879"/>
      <c r="ULB1516" s="879"/>
      <c r="ULC1516" s="879"/>
      <c r="ULD1516" s="879"/>
      <c r="ULE1516" s="879"/>
      <c r="ULF1516" s="879"/>
      <c r="ULG1516" s="879"/>
      <c r="ULH1516" s="879"/>
      <c r="ULI1516" s="879"/>
      <c r="ULJ1516" s="879"/>
      <c r="ULK1516" s="879"/>
      <c r="ULL1516" s="879"/>
      <c r="ULM1516" s="879"/>
      <c r="ULN1516" s="879"/>
      <c r="ULO1516" s="879"/>
      <c r="ULP1516" s="879"/>
      <c r="ULQ1516" s="879"/>
      <c r="ULR1516" s="879"/>
      <c r="ULS1516" s="879"/>
      <c r="ULT1516" s="879"/>
      <c r="ULU1516" s="879"/>
      <c r="ULV1516" s="879"/>
      <c r="ULW1516" s="879"/>
      <c r="ULX1516" s="879"/>
      <c r="ULY1516" s="879"/>
      <c r="ULZ1516" s="879"/>
      <c r="UMA1516" s="879"/>
      <c r="UMB1516" s="879"/>
      <c r="UMC1516" s="879"/>
      <c r="UMD1516" s="879"/>
      <c r="UME1516" s="879"/>
      <c r="UMF1516" s="879"/>
      <c r="UMG1516" s="879"/>
      <c r="UMH1516" s="879"/>
      <c r="UMI1516" s="879"/>
      <c r="UMJ1516" s="879"/>
      <c r="UMK1516" s="879"/>
      <c r="UML1516" s="879"/>
      <c r="UMM1516" s="879"/>
      <c r="UMN1516" s="879"/>
      <c r="UMO1516" s="879"/>
      <c r="UMP1516" s="879"/>
      <c r="UMQ1516" s="879"/>
      <c r="UMR1516" s="879"/>
      <c r="UMS1516" s="879"/>
      <c r="UMT1516" s="879"/>
      <c r="UMU1516" s="879"/>
      <c r="UMV1516" s="879"/>
      <c r="UMW1516" s="879"/>
      <c r="UMX1516" s="879"/>
      <c r="UMY1516" s="879"/>
      <c r="UMZ1516" s="879"/>
      <c r="UNA1516" s="879"/>
      <c r="UNB1516" s="879"/>
      <c r="UNC1516" s="879"/>
      <c r="UND1516" s="879"/>
      <c r="UNE1516" s="879"/>
      <c r="UNF1516" s="879"/>
      <c r="UNG1516" s="879"/>
      <c r="UNH1516" s="879"/>
      <c r="UNI1516" s="879"/>
      <c r="UNJ1516" s="879"/>
      <c r="UNK1516" s="879"/>
      <c r="UNL1516" s="879"/>
      <c r="UNM1516" s="879"/>
      <c r="UNN1516" s="879"/>
      <c r="UNO1516" s="879"/>
      <c r="UNP1516" s="879"/>
      <c r="UNQ1516" s="879"/>
      <c r="UNR1516" s="879"/>
      <c r="UNS1516" s="879"/>
      <c r="UNT1516" s="879"/>
      <c r="UNU1516" s="879"/>
      <c r="UNV1516" s="879"/>
      <c r="UNW1516" s="879"/>
      <c r="UNX1516" s="879"/>
      <c r="UNY1516" s="879"/>
      <c r="UNZ1516" s="879"/>
      <c r="UOA1516" s="879"/>
      <c r="UOB1516" s="879"/>
      <c r="UOC1516" s="879"/>
      <c r="UOD1516" s="879"/>
      <c r="UOE1516" s="879"/>
      <c r="UOF1516" s="879"/>
      <c r="UOG1516" s="879"/>
      <c r="UOH1516" s="879"/>
      <c r="UOI1516" s="879"/>
      <c r="UOJ1516" s="879"/>
      <c r="UOK1516" s="879"/>
      <c r="UOL1516" s="879"/>
      <c r="UOM1516" s="879"/>
      <c r="UON1516" s="879"/>
      <c r="UOO1516" s="879"/>
      <c r="UOP1516" s="879"/>
      <c r="UOQ1516" s="879"/>
      <c r="UOR1516" s="879"/>
      <c r="UOS1516" s="879"/>
      <c r="UOT1516" s="879"/>
      <c r="UOU1516" s="879"/>
      <c r="UOV1516" s="879"/>
      <c r="UOW1516" s="879"/>
      <c r="UOX1516" s="879"/>
      <c r="UOY1516" s="879"/>
      <c r="UOZ1516" s="879"/>
      <c r="UPA1516" s="879"/>
      <c r="UPB1516" s="879"/>
      <c r="UPC1516" s="879"/>
      <c r="UPD1516" s="879"/>
      <c r="UPE1516" s="879"/>
      <c r="UPF1516" s="879"/>
      <c r="UPG1516" s="879"/>
      <c r="UPH1516" s="879"/>
      <c r="UPI1516" s="879"/>
      <c r="UPJ1516" s="879"/>
      <c r="UPK1516" s="879"/>
      <c r="UPL1516" s="879"/>
      <c r="UPM1516" s="879"/>
      <c r="UPN1516" s="879"/>
      <c r="UPO1516" s="879"/>
      <c r="UPP1516" s="879"/>
      <c r="UPQ1516" s="879"/>
      <c r="UPR1516" s="879"/>
      <c r="UPS1516" s="879"/>
      <c r="UPT1516" s="879"/>
      <c r="UPU1516" s="879"/>
      <c r="UPV1516" s="879"/>
      <c r="UPW1516" s="879"/>
      <c r="UPX1516" s="879"/>
      <c r="UPY1516" s="879"/>
      <c r="UPZ1516" s="879"/>
      <c r="UQA1516" s="879"/>
      <c r="UQB1516" s="879"/>
      <c r="UQC1516" s="879"/>
      <c r="UQD1516" s="879"/>
      <c r="UQE1516" s="879"/>
      <c r="UQF1516" s="879"/>
      <c r="UQG1516" s="879"/>
      <c r="UQH1516" s="879"/>
      <c r="UQI1516" s="879"/>
      <c r="UQJ1516" s="879"/>
      <c r="UQK1516" s="879"/>
      <c r="UQL1516" s="879"/>
      <c r="UQM1516" s="879"/>
      <c r="UQN1516" s="879"/>
      <c r="UQO1516" s="879"/>
      <c r="UQP1516" s="879"/>
      <c r="UQQ1516" s="879"/>
      <c r="UQR1516" s="879"/>
      <c r="UQS1516" s="879"/>
      <c r="UQT1516" s="879"/>
      <c r="UQU1516" s="879"/>
      <c r="UQV1516" s="879"/>
      <c r="UQW1516" s="879"/>
      <c r="UQX1516" s="879"/>
      <c r="UQY1516" s="879"/>
      <c r="UQZ1516" s="879"/>
      <c r="URA1516" s="879"/>
      <c r="URB1516" s="879"/>
      <c r="URC1516" s="879"/>
      <c r="URD1516" s="879"/>
      <c r="URE1516" s="879"/>
      <c r="URF1516" s="879"/>
      <c r="URG1516" s="879"/>
      <c r="URH1516" s="879"/>
      <c r="URI1516" s="879"/>
      <c r="URJ1516" s="879"/>
      <c r="URK1516" s="879"/>
      <c r="URL1516" s="879"/>
      <c r="URM1516" s="879"/>
      <c r="URN1516" s="879"/>
      <c r="URO1516" s="879"/>
      <c r="URP1516" s="879"/>
      <c r="URQ1516" s="879"/>
      <c r="URR1516" s="879"/>
      <c r="URS1516" s="879"/>
      <c r="URT1516" s="879"/>
      <c r="URU1516" s="879"/>
      <c r="URV1516" s="879"/>
      <c r="URW1516" s="879"/>
      <c r="URX1516" s="879"/>
      <c r="URY1516" s="879"/>
      <c r="URZ1516" s="879"/>
      <c r="USA1516" s="879"/>
      <c r="USB1516" s="879"/>
      <c r="USC1516" s="879"/>
      <c r="USD1516" s="879"/>
      <c r="USE1516" s="879"/>
      <c r="USF1516" s="879"/>
      <c r="USG1516" s="879"/>
      <c r="USH1516" s="879"/>
      <c r="USI1516" s="879"/>
      <c r="USJ1516" s="879"/>
      <c r="USK1516" s="879"/>
      <c r="USL1516" s="879"/>
      <c r="USM1516" s="879"/>
      <c r="USN1516" s="879"/>
      <c r="USO1516" s="879"/>
      <c r="USP1516" s="879"/>
      <c r="USQ1516" s="879"/>
      <c r="USR1516" s="879"/>
      <c r="USS1516" s="879"/>
      <c r="UST1516" s="879"/>
      <c r="USU1516" s="879"/>
      <c r="USV1516" s="879"/>
      <c r="USW1516" s="879"/>
      <c r="USX1516" s="879"/>
      <c r="USY1516" s="879"/>
      <c r="USZ1516" s="879"/>
      <c r="UTA1516" s="879"/>
      <c r="UTB1516" s="879"/>
      <c r="UTC1516" s="879"/>
      <c r="UTD1516" s="879"/>
      <c r="UTE1516" s="879"/>
      <c r="UTF1516" s="879"/>
      <c r="UTG1516" s="879"/>
      <c r="UTH1516" s="879"/>
      <c r="UTI1516" s="879"/>
      <c r="UTJ1516" s="879"/>
      <c r="UTK1516" s="879"/>
      <c r="UTL1516" s="879"/>
      <c r="UTM1516" s="879"/>
      <c r="UTN1516" s="879"/>
      <c r="UTO1516" s="879"/>
      <c r="UTP1516" s="879"/>
      <c r="UTQ1516" s="879"/>
      <c r="UTR1516" s="879"/>
      <c r="UTS1516" s="879"/>
      <c r="UTT1516" s="879"/>
      <c r="UTU1516" s="879"/>
      <c r="UTV1516" s="879"/>
      <c r="UTW1516" s="879"/>
      <c r="UTX1516" s="879"/>
      <c r="UTY1516" s="879"/>
      <c r="UTZ1516" s="879"/>
      <c r="UUA1516" s="879"/>
      <c r="UUB1516" s="879"/>
      <c r="UUC1516" s="879"/>
      <c r="UUD1516" s="879"/>
      <c r="UUE1516" s="879"/>
      <c r="UUF1516" s="879"/>
      <c r="UUG1516" s="879"/>
      <c r="UUH1516" s="879"/>
      <c r="UUI1516" s="879"/>
      <c r="UUJ1516" s="879"/>
      <c r="UUK1516" s="879"/>
      <c r="UUL1516" s="879"/>
      <c r="UUM1516" s="879"/>
      <c r="UUN1516" s="879"/>
      <c r="UUO1516" s="879"/>
      <c r="UUP1516" s="879"/>
      <c r="UUQ1516" s="879"/>
      <c r="UUR1516" s="879"/>
      <c r="UUS1516" s="879"/>
      <c r="UUT1516" s="879"/>
      <c r="UUU1516" s="879"/>
      <c r="UUV1516" s="879"/>
      <c r="UUW1516" s="879"/>
      <c r="UUX1516" s="879"/>
      <c r="UUY1516" s="879"/>
      <c r="UUZ1516" s="879"/>
      <c r="UVA1516" s="879"/>
      <c r="UVB1516" s="879"/>
      <c r="UVC1516" s="879"/>
      <c r="UVD1516" s="879"/>
      <c r="UVE1516" s="879"/>
      <c r="UVF1516" s="879"/>
      <c r="UVG1516" s="879"/>
      <c r="UVH1516" s="879"/>
      <c r="UVI1516" s="879"/>
      <c r="UVJ1516" s="879"/>
      <c r="UVK1516" s="879"/>
      <c r="UVL1516" s="879"/>
      <c r="UVM1516" s="879"/>
      <c r="UVN1516" s="879"/>
      <c r="UVO1516" s="879"/>
      <c r="UVP1516" s="879"/>
      <c r="UVQ1516" s="879"/>
      <c r="UVR1516" s="879"/>
      <c r="UVS1516" s="879"/>
      <c r="UVT1516" s="879"/>
      <c r="UVU1516" s="879"/>
      <c r="UVV1516" s="879"/>
      <c r="UVW1516" s="879"/>
      <c r="UVX1516" s="879"/>
      <c r="UVY1516" s="879"/>
      <c r="UVZ1516" s="879"/>
      <c r="UWA1516" s="879"/>
      <c r="UWB1516" s="879"/>
      <c r="UWC1516" s="879"/>
      <c r="UWD1516" s="879"/>
      <c r="UWE1516" s="879"/>
      <c r="UWF1516" s="879"/>
      <c r="UWG1516" s="879"/>
      <c r="UWH1516" s="879"/>
      <c r="UWI1516" s="879"/>
      <c r="UWJ1516" s="879"/>
      <c r="UWK1516" s="879"/>
      <c r="UWL1516" s="879"/>
      <c r="UWM1516" s="879"/>
      <c r="UWN1516" s="879"/>
      <c r="UWO1516" s="879"/>
      <c r="UWP1516" s="879"/>
      <c r="UWQ1516" s="879"/>
      <c r="UWR1516" s="879"/>
      <c r="UWS1516" s="879"/>
      <c r="UWT1516" s="879"/>
      <c r="UWU1516" s="879"/>
      <c r="UWV1516" s="879"/>
      <c r="UWW1516" s="879"/>
      <c r="UWX1516" s="879"/>
      <c r="UWY1516" s="879"/>
      <c r="UWZ1516" s="879"/>
      <c r="UXA1516" s="879"/>
      <c r="UXB1516" s="879"/>
      <c r="UXC1516" s="879"/>
      <c r="UXD1516" s="879"/>
      <c r="UXE1516" s="879"/>
      <c r="UXF1516" s="879"/>
      <c r="UXG1516" s="879"/>
      <c r="UXH1516" s="879"/>
      <c r="UXI1516" s="879"/>
      <c r="UXJ1516" s="879"/>
      <c r="UXK1516" s="879"/>
      <c r="UXL1516" s="879"/>
      <c r="UXM1516" s="879"/>
      <c r="UXN1516" s="879"/>
      <c r="UXO1516" s="879"/>
      <c r="UXP1516" s="879"/>
      <c r="UXQ1516" s="879"/>
      <c r="UXR1516" s="879"/>
      <c r="UXS1516" s="879"/>
      <c r="UXT1516" s="879"/>
      <c r="UXU1516" s="879"/>
      <c r="UXV1516" s="879"/>
      <c r="UXW1516" s="879"/>
      <c r="UXX1516" s="879"/>
      <c r="UXY1516" s="879"/>
      <c r="UXZ1516" s="879"/>
      <c r="UYA1516" s="879"/>
      <c r="UYB1516" s="879"/>
      <c r="UYC1516" s="879"/>
      <c r="UYD1516" s="879"/>
      <c r="UYE1516" s="879"/>
      <c r="UYF1516" s="879"/>
      <c r="UYG1516" s="879"/>
      <c r="UYH1516" s="879"/>
      <c r="UYI1516" s="879"/>
      <c r="UYJ1516" s="879"/>
      <c r="UYK1516" s="879"/>
      <c r="UYL1516" s="879"/>
      <c r="UYM1516" s="879"/>
      <c r="UYN1516" s="879"/>
      <c r="UYO1516" s="879"/>
      <c r="UYP1516" s="879"/>
      <c r="UYQ1516" s="879"/>
      <c r="UYR1516" s="879"/>
      <c r="UYS1516" s="879"/>
      <c r="UYT1516" s="879"/>
      <c r="UYU1516" s="879"/>
      <c r="UYV1516" s="879"/>
      <c r="UYW1516" s="879"/>
      <c r="UYX1516" s="879"/>
      <c r="UYY1516" s="879"/>
      <c r="UYZ1516" s="879"/>
      <c r="UZA1516" s="879"/>
      <c r="UZB1516" s="879"/>
      <c r="UZC1516" s="879"/>
      <c r="UZD1516" s="879"/>
      <c r="UZE1516" s="879"/>
      <c r="UZF1516" s="879"/>
      <c r="UZG1516" s="879"/>
      <c r="UZH1516" s="879"/>
      <c r="UZI1516" s="879"/>
      <c r="UZJ1516" s="879"/>
      <c r="UZK1516" s="879"/>
      <c r="UZL1516" s="879"/>
      <c r="UZM1516" s="879"/>
      <c r="UZN1516" s="879"/>
      <c r="UZO1516" s="879"/>
      <c r="UZP1516" s="879"/>
      <c r="UZQ1516" s="879"/>
      <c r="UZR1516" s="879"/>
      <c r="UZS1516" s="879"/>
      <c r="UZT1516" s="879"/>
      <c r="UZU1516" s="879"/>
      <c r="UZV1516" s="879"/>
      <c r="UZW1516" s="879"/>
      <c r="UZX1516" s="879"/>
      <c r="UZY1516" s="879"/>
      <c r="UZZ1516" s="879"/>
      <c r="VAA1516" s="879"/>
      <c r="VAB1516" s="879"/>
      <c r="VAC1516" s="879"/>
      <c r="VAD1516" s="879"/>
      <c r="VAE1516" s="879"/>
      <c r="VAF1516" s="879"/>
      <c r="VAG1516" s="879"/>
      <c r="VAH1516" s="879"/>
      <c r="VAI1516" s="879"/>
      <c r="VAJ1516" s="879"/>
      <c r="VAK1516" s="879"/>
      <c r="VAL1516" s="879"/>
      <c r="VAM1516" s="879"/>
      <c r="VAN1516" s="879"/>
      <c r="VAO1516" s="879"/>
      <c r="VAP1516" s="879"/>
      <c r="VAQ1516" s="879"/>
      <c r="VAR1516" s="879"/>
      <c r="VAS1516" s="879"/>
      <c r="VAT1516" s="879"/>
      <c r="VAU1516" s="879"/>
      <c r="VAV1516" s="879"/>
      <c r="VAW1516" s="879"/>
      <c r="VAX1516" s="879"/>
      <c r="VAY1516" s="879"/>
      <c r="VAZ1516" s="879"/>
      <c r="VBA1516" s="879"/>
      <c r="VBB1516" s="879"/>
      <c r="VBC1516" s="879"/>
      <c r="VBD1516" s="879"/>
      <c r="VBE1516" s="879"/>
      <c r="VBF1516" s="879"/>
      <c r="VBG1516" s="879"/>
      <c r="VBH1516" s="879"/>
      <c r="VBI1516" s="879"/>
      <c r="VBJ1516" s="879"/>
      <c r="VBK1516" s="879"/>
      <c r="VBL1516" s="879"/>
      <c r="VBM1516" s="879"/>
      <c r="VBN1516" s="879"/>
      <c r="VBO1516" s="879"/>
      <c r="VBP1516" s="879"/>
      <c r="VBQ1516" s="879"/>
      <c r="VBR1516" s="879"/>
      <c r="VBS1516" s="879"/>
      <c r="VBT1516" s="879"/>
      <c r="VBU1516" s="879"/>
      <c r="VBV1516" s="879"/>
      <c r="VBW1516" s="879"/>
      <c r="VBX1516" s="879"/>
      <c r="VBY1516" s="879"/>
      <c r="VBZ1516" s="879"/>
      <c r="VCA1516" s="879"/>
      <c r="VCB1516" s="879"/>
      <c r="VCC1516" s="879"/>
      <c r="VCD1516" s="879"/>
      <c r="VCE1516" s="879"/>
      <c r="VCF1516" s="879"/>
      <c r="VCG1516" s="879"/>
      <c r="VCH1516" s="879"/>
      <c r="VCI1516" s="879"/>
      <c r="VCJ1516" s="879"/>
      <c r="VCK1516" s="879"/>
      <c r="VCL1516" s="879"/>
      <c r="VCM1516" s="879"/>
      <c r="VCN1516" s="879"/>
      <c r="VCO1516" s="879"/>
      <c r="VCP1516" s="879"/>
      <c r="VCQ1516" s="879"/>
      <c r="VCR1516" s="879"/>
      <c r="VCS1516" s="879"/>
      <c r="VCT1516" s="879"/>
      <c r="VCU1516" s="879"/>
      <c r="VCV1516" s="879"/>
      <c r="VCW1516" s="879"/>
      <c r="VCX1516" s="879"/>
      <c r="VCY1516" s="879"/>
      <c r="VCZ1516" s="879"/>
      <c r="VDA1516" s="879"/>
      <c r="VDB1516" s="879"/>
      <c r="VDC1516" s="879"/>
      <c r="VDD1516" s="879"/>
      <c r="VDE1516" s="879"/>
      <c r="VDF1516" s="879"/>
      <c r="VDG1516" s="879"/>
      <c r="VDH1516" s="879"/>
      <c r="VDI1516" s="879"/>
      <c r="VDJ1516" s="879"/>
      <c r="VDK1516" s="879"/>
      <c r="VDL1516" s="879"/>
      <c r="VDM1516" s="879"/>
      <c r="VDN1516" s="879"/>
      <c r="VDO1516" s="879"/>
      <c r="VDP1516" s="879"/>
      <c r="VDQ1516" s="879"/>
      <c r="VDR1516" s="879"/>
      <c r="VDS1516" s="879"/>
      <c r="VDT1516" s="879"/>
      <c r="VDU1516" s="879"/>
      <c r="VDV1516" s="879"/>
      <c r="VDW1516" s="879"/>
      <c r="VDX1516" s="879"/>
      <c r="VDY1516" s="879"/>
      <c r="VDZ1516" s="879"/>
      <c r="VEA1516" s="879"/>
      <c r="VEB1516" s="879"/>
      <c r="VEC1516" s="879"/>
      <c r="VED1516" s="879"/>
      <c r="VEE1516" s="879"/>
      <c r="VEF1516" s="879"/>
      <c r="VEG1516" s="879"/>
      <c r="VEH1516" s="879"/>
      <c r="VEI1516" s="879"/>
      <c r="VEJ1516" s="879"/>
      <c r="VEK1516" s="879"/>
      <c r="VEL1516" s="879"/>
      <c r="VEM1516" s="879"/>
      <c r="VEN1516" s="879"/>
      <c r="VEO1516" s="879"/>
      <c r="VEP1516" s="879"/>
      <c r="VEQ1516" s="879"/>
      <c r="VER1516" s="879"/>
      <c r="VES1516" s="879"/>
      <c r="VET1516" s="879"/>
      <c r="VEU1516" s="879"/>
      <c r="VEV1516" s="879"/>
      <c r="VEW1516" s="879"/>
      <c r="VEX1516" s="879"/>
      <c r="VEY1516" s="879"/>
      <c r="VEZ1516" s="879"/>
      <c r="VFA1516" s="879"/>
      <c r="VFB1516" s="879"/>
      <c r="VFC1516" s="879"/>
      <c r="VFD1516" s="879"/>
      <c r="VFE1516" s="879"/>
      <c r="VFF1516" s="879"/>
      <c r="VFG1516" s="879"/>
      <c r="VFH1516" s="879"/>
      <c r="VFI1516" s="879"/>
      <c r="VFJ1516" s="879"/>
      <c r="VFK1516" s="879"/>
      <c r="VFL1516" s="879"/>
      <c r="VFM1516" s="879"/>
      <c r="VFN1516" s="879"/>
      <c r="VFO1516" s="879"/>
      <c r="VFP1516" s="879"/>
      <c r="VFQ1516" s="879"/>
      <c r="VFR1516" s="879"/>
      <c r="VFS1516" s="879"/>
      <c r="VFT1516" s="879"/>
      <c r="VFU1516" s="879"/>
      <c r="VFV1516" s="879"/>
      <c r="VFW1516" s="879"/>
      <c r="VFX1516" s="879"/>
      <c r="VFY1516" s="879"/>
      <c r="VFZ1516" s="879"/>
      <c r="VGA1516" s="879"/>
      <c r="VGB1516" s="879"/>
      <c r="VGC1516" s="879"/>
      <c r="VGD1516" s="879"/>
      <c r="VGE1516" s="879"/>
      <c r="VGF1516" s="879"/>
      <c r="VGG1516" s="879"/>
      <c r="VGH1516" s="879"/>
      <c r="VGI1516" s="879"/>
      <c r="VGJ1516" s="879"/>
      <c r="VGK1516" s="879"/>
      <c r="VGL1516" s="879"/>
      <c r="VGM1516" s="879"/>
      <c r="VGN1516" s="879"/>
      <c r="VGO1516" s="879"/>
      <c r="VGP1516" s="879"/>
      <c r="VGQ1516" s="879"/>
      <c r="VGR1516" s="879"/>
      <c r="VGS1516" s="879"/>
      <c r="VGT1516" s="879"/>
      <c r="VGU1516" s="879"/>
      <c r="VGV1516" s="879"/>
      <c r="VGW1516" s="879"/>
      <c r="VGX1516" s="879"/>
      <c r="VGY1516" s="879"/>
      <c r="VGZ1516" s="879"/>
      <c r="VHA1516" s="879"/>
      <c r="VHB1516" s="879"/>
      <c r="VHC1516" s="879"/>
      <c r="VHD1516" s="879"/>
      <c r="VHE1516" s="879"/>
      <c r="VHF1516" s="879"/>
      <c r="VHG1516" s="879"/>
      <c r="VHH1516" s="879"/>
      <c r="VHI1516" s="879"/>
      <c r="VHJ1516" s="879"/>
      <c r="VHK1516" s="879"/>
      <c r="VHL1516" s="879"/>
      <c r="VHM1516" s="879"/>
      <c r="VHN1516" s="879"/>
      <c r="VHO1516" s="879"/>
      <c r="VHP1516" s="879"/>
      <c r="VHQ1516" s="879"/>
      <c r="VHR1516" s="879"/>
      <c r="VHS1516" s="879"/>
      <c r="VHT1516" s="879"/>
      <c r="VHU1516" s="879"/>
      <c r="VHV1516" s="879"/>
      <c r="VHW1516" s="879"/>
      <c r="VHX1516" s="879"/>
      <c r="VHY1516" s="879"/>
      <c r="VHZ1516" s="879"/>
      <c r="VIA1516" s="879"/>
      <c r="VIB1516" s="879"/>
      <c r="VIC1516" s="879"/>
      <c r="VID1516" s="879"/>
      <c r="VIE1516" s="879"/>
      <c r="VIF1516" s="879"/>
      <c r="VIG1516" s="879"/>
      <c r="VIH1516" s="879"/>
      <c r="VII1516" s="879"/>
      <c r="VIJ1516" s="879"/>
      <c r="VIK1516" s="879"/>
      <c r="VIL1516" s="879"/>
      <c r="VIM1516" s="879"/>
      <c r="VIN1516" s="879"/>
      <c r="VIO1516" s="879"/>
      <c r="VIP1516" s="879"/>
      <c r="VIQ1516" s="879"/>
      <c r="VIR1516" s="879"/>
      <c r="VIS1516" s="879"/>
      <c r="VIT1516" s="879"/>
      <c r="VIU1516" s="879"/>
      <c r="VIV1516" s="879"/>
      <c r="VIW1516" s="879"/>
      <c r="VIX1516" s="879"/>
      <c r="VIY1516" s="879"/>
      <c r="VIZ1516" s="879"/>
      <c r="VJA1516" s="879"/>
      <c r="VJB1516" s="879"/>
      <c r="VJC1516" s="879"/>
      <c r="VJD1516" s="879"/>
      <c r="VJE1516" s="879"/>
      <c r="VJF1516" s="879"/>
      <c r="VJG1516" s="879"/>
      <c r="VJH1516" s="879"/>
      <c r="VJI1516" s="879"/>
      <c r="VJJ1516" s="879"/>
      <c r="VJK1516" s="879"/>
      <c r="VJL1516" s="879"/>
      <c r="VJM1516" s="879"/>
      <c r="VJN1516" s="879"/>
      <c r="VJO1516" s="879"/>
      <c r="VJP1516" s="879"/>
      <c r="VJQ1516" s="879"/>
      <c r="VJR1516" s="879"/>
      <c r="VJS1516" s="879"/>
      <c r="VJT1516" s="879"/>
      <c r="VJU1516" s="879"/>
      <c r="VJV1516" s="879"/>
      <c r="VJW1516" s="879"/>
      <c r="VJX1516" s="879"/>
      <c r="VJY1516" s="879"/>
      <c r="VJZ1516" s="879"/>
      <c r="VKA1516" s="879"/>
      <c r="VKB1516" s="879"/>
      <c r="VKC1516" s="879"/>
      <c r="VKD1516" s="879"/>
      <c r="VKE1516" s="879"/>
      <c r="VKF1516" s="879"/>
      <c r="VKG1516" s="879"/>
      <c r="VKH1516" s="879"/>
      <c r="VKI1516" s="879"/>
      <c r="VKJ1516" s="879"/>
      <c r="VKK1516" s="879"/>
      <c r="VKL1516" s="879"/>
      <c r="VKM1516" s="879"/>
      <c r="VKN1516" s="879"/>
      <c r="VKO1516" s="879"/>
      <c r="VKP1516" s="879"/>
      <c r="VKQ1516" s="879"/>
      <c r="VKR1516" s="879"/>
      <c r="VKS1516" s="879"/>
      <c r="VKT1516" s="879"/>
      <c r="VKU1516" s="879"/>
      <c r="VKV1516" s="879"/>
      <c r="VKW1516" s="879"/>
      <c r="VKX1516" s="879"/>
      <c r="VKY1516" s="879"/>
      <c r="VKZ1516" s="879"/>
      <c r="VLA1516" s="879"/>
      <c r="VLB1516" s="879"/>
      <c r="VLC1516" s="879"/>
      <c r="VLD1516" s="879"/>
      <c r="VLE1516" s="879"/>
      <c r="VLF1516" s="879"/>
      <c r="VLG1516" s="879"/>
      <c r="VLH1516" s="879"/>
      <c r="VLI1516" s="879"/>
      <c r="VLJ1516" s="879"/>
      <c r="VLK1516" s="879"/>
      <c r="VLL1516" s="879"/>
      <c r="VLM1516" s="879"/>
      <c r="VLN1516" s="879"/>
      <c r="VLO1516" s="879"/>
      <c r="VLP1516" s="879"/>
      <c r="VLQ1516" s="879"/>
      <c r="VLR1516" s="879"/>
      <c r="VLS1516" s="879"/>
      <c r="VLT1516" s="879"/>
      <c r="VLU1516" s="879"/>
      <c r="VLV1516" s="879"/>
      <c r="VLW1516" s="879"/>
      <c r="VLX1516" s="879"/>
      <c r="VLY1516" s="879"/>
      <c r="VLZ1516" s="879"/>
      <c r="VMA1516" s="879"/>
      <c r="VMB1516" s="879"/>
      <c r="VMC1516" s="879"/>
      <c r="VMD1516" s="879"/>
      <c r="VME1516" s="879"/>
      <c r="VMF1516" s="879"/>
      <c r="VMG1516" s="879"/>
      <c r="VMH1516" s="879"/>
      <c r="VMI1516" s="879"/>
      <c r="VMJ1516" s="879"/>
      <c r="VMK1516" s="879"/>
      <c r="VML1516" s="879"/>
      <c r="VMM1516" s="879"/>
      <c r="VMN1516" s="879"/>
      <c r="VMO1516" s="879"/>
      <c r="VMP1516" s="879"/>
      <c r="VMQ1516" s="879"/>
      <c r="VMR1516" s="879"/>
      <c r="VMS1516" s="879"/>
      <c r="VMT1516" s="879"/>
      <c r="VMU1516" s="879"/>
      <c r="VMV1516" s="879"/>
      <c r="VMW1516" s="879"/>
      <c r="VMX1516" s="879"/>
      <c r="VMY1516" s="879"/>
      <c r="VMZ1516" s="879"/>
      <c r="VNA1516" s="879"/>
      <c r="VNB1516" s="879"/>
      <c r="VNC1516" s="879"/>
      <c r="VND1516" s="879"/>
      <c r="VNE1516" s="879"/>
      <c r="VNF1516" s="879"/>
      <c r="VNG1516" s="879"/>
      <c r="VNH1516" s="879"/>
      <c r="VNI1516" s="879"/>
      <c r="VNJ1516" s="879"/>
      <c r="VNK1516" s="879"/>
      <c r="VNL1516" s="879"/>
      <c r="VNM1516" s="879"/>
      <c r="VNN1516" s="879"/>
      <c r="VNO1516" s="879"/>
      <c r="VNP1516" s="879"/>
      <c r="VNQ1516" s="879"/>
      <c r="VNR1516" s="879"/>
      <c r="VNS1516" s="879"/>
      <c r="VNT1516" s="879"/>
      <c r="VNU1516" s="879"/>
      <c r="VNV1516" s="879"/>
      <c r="VNW1516" s="879"/>
      <c r="VNX1516" s="879"/>
      <c r="VNY1516" s="879"/>
      <c r="VNZ1516" s="879"/>
      <c r="VOA1516" s="879"/>
      <c r="VOB1516" s="879"/>
      <c r="VOC1516" s="879"/>
      <c r="VOD1516" s="879"/>
      <c r="VOE1516" s="879"/>
      <c r="VOF1516" s="879"/>
      <c r="VOG1516" s="879"/>
      <c r="VOH1516" s="879"/>
      <c r="VOI1516" s="879"/>
      <c r="VOJ1516" s="879"/>
      <c r="VOK1516" s="879"/>
      <c r="VOL1516" s="879"/>
      <c r="VOM1516" s="879"/>
      <c r="VON1516" s="879"/>
      <c r="VOO1516" s="879"/>
      <c r="VOP1516" s="879"/>
      <c r="VOQ1516" s="879"/>
      <c r="VOR1516" s="879"/>
      <c r="VOS1516" s="879"/>
      <c r="VOT1516" s="879"/>
      <c r="VOU1516" s="879"/>
      <c r="VOV1516" s="879"/>
      <c r="VOW1516" s="879"/>
      <c r="VOX1516" s="879"/>
      <c r="VOY1516" s="879"/>
      <c r="VOZ1516" s="879"/>
      <c r="VPA1516" s="879"/>
      <c r="VPB1516" s="879"/>
      <c r="VPC1516" s="879"/>
      <c r="VPD1516" s="879"/>
      <c r="VPE1516" s="879"/>
      <c r="VPF1516" s="879"/>
      <c r="VPG1516" s="879"/>
      <c r="VPH1516" s="879"/>
      <c r="VPI1516" s="879"/>
      <c r="VPJ1516" s="879"/>
      <c r="VPK1516" s="879"/>
      <c r="VPL1516" s="879"/>
      <c r="VPM1516" s="879"/>
      <c r="VPN1516" s="879"/>
      <c r="VPO1516" s="879"/>
      <c r="VPP1516" s="879"/>
      <c r="VPQ1516" s="879"/>
      <c r="VPR1516" s="879"/>
      <c r="VPS1516" s="879"/>
      <c r="VPT1516" s="879"/>
      <c r="VPU1516" s="879"/>
      <c r="VPV1516" s="879"/>
      <c r="VPW1516" s="879"/>
      <c r="VPX1516" s="879"/>
      <c r="VPY1516" s="879"/>
      <c r="VPZ1516" s="879"/>
      <c r="VQA1516" s="879"/>
      <c r="VQB1516" s="879"/>
      <c r="VQC1516" s="879"/>
      <c r="VQD1516" s="879"/>
      <c r="VQE1516" s="879"/>
      <c r="VQF1516" s="879"/>
      <c r="VQG1516" s="879"/>
      <c r="VQH1516" s="879"/>
      <c r="VQI1516" s="879"/>
      <c r="VQJ1516" s="879"/>
      <c r="VQK1516" s="879"/>
      <c r="VQL1516" s="879"/>
      <c r="VQM1516" s="879"/>
      <c r="VQN1516" s="879"/>
      <c r="VQO1516" s="879"/>
      <c r="VQP1516" s="879"/>
      <c r="VQQ1516" s="879"/>
      <c r="VQR1516" s="879"/>
      <c r="VQS1516" s="879"/>
      <c r="VQT1516" s="879"/>
      <c r="VQU1516" s="879"/>
      <c r="VQV1516" s="879"/>
      <c r="VQW1516" s="879"/>
      <c r="VQX1516" s="879"/>
      <c r="VQY1516" s="879"/>
      <c r="VQZ1516" s="879"/>
      <c r="VRA1516" s="879"/>
      <c r="VRB1516" s="879"/>
      <c r="VRC1516" s="879"/>
      <c r="VRD1516" s="879"/>
      <c r="VRE1516" s="879"/>
      <c r="VRF1516" s="879"/>
      <c r="VRG1516" s="879"/>
      <c r="VRH1516" s="879"/>
      <c r="VRI1516" s="879"/>
      <c r="VRJ1516" s="879"/>
      <c r="VRK1516" s="879"/>
      <c r="VRL1516" s="879"/>
      <c r="VRM1516" s="879"/>
      <c r="VRN1516" s="879"/>
      <c r="VRO1516" s="879"/>
      <c r="VRP1516" s="879"/>
      <c r="VRQ1516" s="879"/>
      <c r="VRR1516" s="879"/>
      <c r="VRS1516" s="879"/>
      <c r="VRT1516" s="879"/>
      <c r="VRU1516" s="879"/>
      <c r="VRV1516" s="879"/>
      <c r="VRW1516" s="879"/>
      <c r="VRX1516" s="879"/>
      <c r="VRY1516" s="879"/>
      <c r="VRZ1516" s="879"/>
      <c r="VSA1516" s="879"/>
      <c r="VSB1516" s="879"/>
      <c r="VSC1516" s="879"/>
      <c r="VSD1516" s="879"/>
      <c r="VSE1516" s="879"/>
      <c r="VSF1516" s="879"/>
      <c r="VSG1516" s="879"/>
      <c r="VSH1516" s="879"/>
      <c r="VSI1516" s="879"/>
      <c r="VSJ1516" s="879"/>
      <c r="VSK1516" s="879"/>
      <c r="VSL1516" s="879"/>
      <c r="VSM1516" s="879"/>
      <c r="VSN1516" s="879"/>
      <c r="VSO1516" s="879"/>
      <c r="VSP1516" s="879"/>
      <c r="VSQ1516" s="879"/>
      <c r="VSR1516" s="879"/>
      <c r="VSS1516" s="879"/>
      <c r="VST1516" s="879"/>
      <c r="VSU1516" s="879"/>
      <c r="VSV1516" s="879"/>
      <c r="VSW1516" s="879"/>
      <c r="VSX1516" s="879"/>
      <c r="VSY1516" s="879"/>
      <c r="VSZ1516" s="879"/>
      <c r="VTA1516" s="879"/>
      <c r="VTB1516" s="879"/>
      <c r="VTC1516" s="879"/>
      <c r="VTD1516" s="879"/>
      <c r="VTE1516" s="879"/>
      <c r="VTF1516" s="879"/>
      <c r="VTG1516" s="879"/>
      <c r="VTH1516" s="879"/>
      <c r="VTI1516" s="879"/>
      <c r="VTJ1516" s="879"/>
      <c r="VTK1516" s="879"/>
      <c r="VTL1516" s="879"/>
      <c r="VTM1516" s="879"/>
      <c r="VTN1516" s="879"/>
      <c r="VTO1516" s="879"/>
      <c r="VTP1516" s="879"/>
      <c r="VTQ1516" s="879"/>
      <c r="VTR1516" s="879"/>
      <c r="VTS1516" s="879"/>
      <c r="VTT1516" s="879"/>
      <c r="VTU1516" s="879"/>
      <c r="VTV1516" s="879"/>
      <c r="VTW1516" s="879"/>
      <c r="VTX1516" s="879"/>
      <c r="VTY1516" s="879"/>
      <c r="VTZ1516" s="879"/>
      <c r="VUA1516" s="879"/>
      <c r="VUB1516" s="879"/>
      <c r="VUC1516" s="879"/>
      <c r="VUD1516" s="879"/>
      <c r="VUE1516" s="879"/>
      <c r="VUF1516" s="879"/>
      <c r="VUG1516" s="879"/>
      <c r="VUH1516" s="879"/>
      <c r="VUI1516" s="879"/>
      <c r="VUJ1516" s="879"/>
      <c r="VUK1516" s="879"/>
      <c r="VUL1516" s="879"/>
      <c r="VUM1516" s="879"/>
      <c r="VUN1516" s="879"/>
      <c r="VUO1516" s="879"/>
      <c r="VUP1516" s="879"/>
      <c r="VUQ1516" s="879"/>
      <c r="VUR1516" s="879"/>
      <c r="VUS1516" s="879"/>
      <c r="VUT1516" s="879"/>
      <c r="VUU1516" s="879"/>
      <c r="VUV1516" s="879"/>
      <c r="VUW1516" s="879"/>
      <c r="VUX1516" s="879"/>
      <c r="VUY1516" s="879"/>
      <c r="VUZ1516" s="879"/>
      <c r="VVA1516" s="879"/>
      <c r="VVB1516" s="879"/>
      <c r="VVC1516" s="879"/>
      <c r="VVD1516" s="879"/>
      <c r="VVE1516" s="879"/>
      <c r="VVF1516" s="879"/>
      <c r="VVG1516" s="879"/>
      <c r="VVH1516" s="879"/>
      <c r="VVI1516" s="879"/>
      <c r="VVJ1516" s="879"/>
      <c r="VVK1516" s="879"/>
      <c r="VVL1516" s="879"/>
      <c r="VVM1516" s="879"/>
      <c r="VVN1516" s="879"/>
      <c r="VVO1516" s="879"/>
      <c r="VVP1516" s="879"/>
      <c r="VVQ1516" s="879"/>
      <c r="VVR1516" s="879"/>
      <c r="VVS1516" s="879"/>
      <c r="VVT1516" s="879"/>
      <c r="VVU1516" s="879"/>
      <c r="VVV1516" s="879"/>
      <c r="VVW1516" s="879"/>
      <c r="VVX1516" s="879"/>
      <c r="VVY1516" s="879"/>
      <c r="VVZ1516" s="879"/>
      <c r="VWA1516" s="879"/>
      <c r="VWB1516" s="879"/>
      <c r="VWC1516" s="879"/>
      <c r="VWD1516" s="879"/>
      <c r="VWE1516" s="879"/>
      <c r="VWF1516" s="879"/>
      <c r="VWG1516" s="879"/>
      <c r="VWH1516" s="879"/>
      <c r="VWI1516" s="879"/>
      <c r="VWJ1516" s="879"/>
      <c r="VWK1516" s="879"/>
      <c r="VWL1516" s="879"/>
      <c r="VWM1516" s="879"/>
      <c r="VWN1516" s="879"/>
      <c r="VWO1516" s="879"/>
      <c r="VWP1516" s="879"/>
      <c r="VWQ1516" s="879"/>
      <c r="VWR1516" s="879"/>
      <c r="VWS1516" s="879"/>
      <c r="VWT1516" s="879"/>
      <c r="VWU1516" s="879"/>
      <c r="VWV1516" s="879"/>
      <c r="VWW1516" s="879"/>
      <c r="VWX1516" s="879"/>
      <c r="VWY1516" s="879"/>
      <c r="VWZ1516" s="879"/>
      <c r="VXA1516" s="879"/>
      <c r="VXB1516" s="879"/>
      <c r="VXC1516" s="879"/>
      <c r="VXD1516" s="879"/>
      <c r="VXE1516" s="879"/>
      <c r="VXF1516" s="879"/>
      <c r="VXG1516" s="879"/>
      <c r="VXH1516" s="879"/>
      <c r="VXI1516" s="879"/>
      <c r="VXJ1516" s="879"/>
      <c r="VXK1516" s="879"/>
      <c r="VXL1516" s="879"/>
      <c r="VXM1516" s="879"/>
      <c r="VXN1516" s="879"/>
      <c r="VXO1516" s="879"/>
      <c r="VXP1516" s="879"/>
      <c r="VXQ1516" s="879"/>
      <c r="VXR1516" s="879"/>
      <c r="VXS1516" s="879"/>
      <c r="VXT1516" s="879"/>
      <c r="VXU1516" s="879"/>
      <c r="VXV1516" s="879"/>
      <c r="VXW1516" s="879"/>
      <c r="VXX1516" s="879"/>
      <c r="VXY1516" s="879"/>
      <c r="VXZ1516" s="879"/>
      <c r="VYA1516" s="879"/>
      <c r="VYB1516" s="879"/>
      <c r="VYC1516" s="879"/>
      <c r="VYD1516" s="879"/>
      <c r="VYE1516" s="879"/>
      <c r="VYF1516" s="879"/>
      <c r="VYG1516" s="879"/>
      <c r="VYH1516" s="879"/>
      <c r="VYI1516" s="879"/>
      <c r="VYJ1516" s="879"/>
      <c r="VYK1516" s="879"/>
      <c r="VYL1516" s="879"/>
      <c r="VYM1516" s="879"/>
      <c r="VYN1516" s="879"/>
      <c r="VYO1516" s="879"/>
      <c r="VYP1516" s="879"/>
      <c r="VYQ1516" s="879"/>
      <c r="VYR1516" s="879"/>
      <c r="VYS1516" s="879"/>
      <c r="VYT1516" s="879"/>
      <c r="VYU1516" s="879"/>
      <c r="VYV1516" s="879"/>
      <c r="VYW1516" s="879"/>
      <c r="VYX1516" s="879"/>
      <c r="VYY1516" s="879"/>
      <c r="VYZ1516" s="879"/>
      <c r="VZA1516" s="879"/>
      <c r="VZB1516" s="879"/>
      <c r="VZC1516" s="879"/>
      <c r="VZD1516" s="879"/>
      <c r="VZE1516" s="879"/>
      <c r="VZF1516" s="879"/>
      <c r="VZG1516" s="879"/>
      <c r="VZH1516" s="879"/>
      <c r="VZI1516" s="879"/>
      <c r="VZJ1516" s="879"/>
      <c r="VZK1516" s="879"/>
      <c r="VZL1516" s="879"/>
      <c r="VZM1516" s="879"/>
      <c r="VZN1516" s="879"/>
      <c r="VZO1516" s="879"/>
      <c r="VZP1516" s="879"/>
      <c r="VZQ1516" s="879"/>
      <c r="VZR1516" s="879"/>
      <c r="VZS1516" s="879"/>
      <c r="VZT1516" s="879"/>
      <c r="VZU1516" s="879"/>
      <c r="VZV1516" s="879"/>
      <c r="VZW1516" s="879"/>
      <c r="VZX1516" s="879"/>
      <c r="VZY1516" s="879"/>
      <c r="VZZ1516" s="879"/>
      <c r="WAA1516" s="879"/>
      <c r="WAB1516" s="879"/>
      <c r="WAC1516" s="879"/>
      <c r="WAD1516" s="879"/>
      <c r="WAE1516" s="879"/>
      <c r="WAF1516" s="879"/>
      <c r="WAG1516" s="879"/>
      <c r="WAH1516" s="879"/>
      <c r="WAI1516" s="879"/>
      <c r="WAJ1516" s="879"/>
      <c r="WAK1516" s="879"/>
      <c r="WAL1516" s="879"/>
      <c r="WAM1516" s="879"/>
      <c r="WAN1516" s="879"/>
      <c r="WAO1516" s="879"/>
      <c r="WAP1516" s="879"/>
      <c r="WAQ1516" s="879"/>
      <c r="WAR1516" s="879"/>
      <c r="WAS1516" s="879"/>
      <c r="WAT1516" s="879"/>
      <c r="WAU1516" s="879"/>
      <c r="WAV1516" s="879"/>
      <c r="WAW1516" s="879"/>
      <c r="WAX1516" s="879"/>
      <c r="WAY1516" s="879"/>
      <c r="WAZ1516" s="879"/>
      <c r="WBA1516" s="879"/>
      <c r="WBB1516" s="879"/>
      <c r="WBC1516" s="879"/>
      <c r="WBD1516" s="879"/>
      <c r="WBE1516" s="879"/>
      <c r="WBF1516" s="879"/>
      <c r="WBG1516" s="879"/>
      <c r="WBH1516" s="879"/>
      <c r="WBI1516" s="879"/>
      <c r="WBJ1516" s="879"/>
      <c r="WBK1516" s="879"/>
      <c r="WBL1516" s="879"/>
      <c r="WBM1516" s="879"/>
      <c r="WBN1516" s="879"/>
      <c r="WBO1516" s="879"/>
      <c r="WBP1516" s="879"/>
      <c r="WBQ1516" s="879"/>
      <c r="WBR1516" s="879"/>
      <c r="WBS1516" s="879"/>
      <c r="WBT1516" s="879"/>
      <c r="WBU1516" s="879"/>
      <c r="WBV1516" s="879"/>
      <c r="WBW1516" s="879"/>
      <c r="WBX1516" s="879"/>
      <c r="WBY1516" s="879"/>
      <c r="WBZ1516" s="879"/>
      <c r="WCA1516" s="879"/>
      <c r="WCB1516" s="879"/>
      <c r="WCC1516" s="879"/>
      <c r="WCD1516" s="879"/>
      <c r="WCE1516" s="879"/>
      <c r="WCF1516" s="879"/>
      <c r="WCG1516" s="879"/>
      <c r="WCH1516" s="879"/>
      <c r="WCI1516" s="879"/>
      <c r="WCJ1516" s="879"/>
      <c r="WCK1516" s="879"/>
      <c r="WCL1516" s="879"/>
      <c r="WCM1516" s="879"/>
      <c r="WCN1516" s="879"/>
      <c r="WCO1516" s="879"/>
      <c r="WCP1516" s="879"/>
      <c r="WCQ1516" s="879"/>
      <c r="WCR1516" s="879"/>
      <c r="WCS1516" s="879"/>
      <c r="WCT1516" s="879"/>
      <c r="WCU1516" s="879"/>
      <c r="WCV1516" s="879"/>
      <c r="WCW1516" s="879"/>
      <c r="WCX1516" s="879"/>
      <c r="WCY1516" s="879"/>
      <c r="WCZ1516" s="879"/>
      <c r="WDA1516" s="879"/>
      <c r="WDB1516" s="879"/>
      <c r="WDC1516" s="879"/>
      <c r="WDD1516" s="879"/>
      <c r="WDE1516" s="879"/>
      <c r="WDF1516" s="879"/>
      <c r="WDG1516" s="879"/>
      <c r="WDH1516" s="879"/>
      <c r="WDI1516" s="879"/>
      <c r="WDJ1516" s="879"/>
      <c r="WDK1516" s="879"/>
      <c r="WDL1516" s="879"/>
      <c r="WDM1516" s="879"/>
      <c r="WDN1516" s="879"/>
      <c r="WDO1516" s="879"/>
      <c r="WDP1516" s="879"/>
      <c r="WDQ1516" s="879"/>
      <c r="WDR1516" s="879"/>
      <c r="WDS1516" s="879"/>
      <c r="WDT1516" s="879"/>
      <c r="WDU1516" s="879"/>
      <c r="WDV1516" s="879"/>
      <c r="WDW1516" s="879"/>
      <c r="WDX1516" s="879"/>
      <c r="WDY1516" s="879"/>
      <c r="WDZ1516" s="879"/>
      <c r="WEA1516" s="879"/>
      <c r="WEB1516" s="879"/>
      <c r="WEC1516" s="879"/>
      <c r="WED1516" s="879"/>
      <c r="WEE1516" s="879"/>
      <c r="WEF1516" s="879"/>
      <c r="WEG1516" s="879"/>
      <c r="WEH1516" s="879"/>
      <c r="WEI1516" s="879"/>
      <c r="WEJ1516" s="879"/>
      <c r="WEK1516" s="879"/>
      <c r="WEL1516" s="879"/>
      <c r="WEM1516" s="879"/>
      <c r="WEN1516" s="879"/>
      <c r="WEO1516" s="879"/>
      <c r="WEP1516" s="879"/>
      <c r="WEQ1516" s="879"/>
      <c r="WER1516" s="879"/>
      <c r="WES1516" s="879"/>
      <c r="WET1516" s="879"/>
      <c r="WEU1516" s="879"/>
      <c r="WEV1516" s="879"/>
      <c r="WEW1516" s="879"/>
      <c r="WEX1516" s="879"/>
      <c r="WEY1516" s="879"/>
      <c r="WEZ1516" s="879"/>
      <c r="WFA1516" s="879"/>
      <c r="WFB1516" s="879"/>
      <c r="WFC1516" s="879"/>
      <c r="WFD1516" s="879"/>
      <c r="WFE1516" s="879"/>
      <c r="WFF1516" s="879"/>
      <c r="WFG1516" s="879"/>
      <c r="WFH1516" s="879"/>
      <c r="WFI1516" s="879"/>
      <c r="WFJ1516" s="879"/>
      <c r="WFK1516" s="879"/>
      <c r="WFL1516" s="879"/>
      <c r="WFM1516" s="879"/>
      <c r="WFN1516" s="879"/>
      <c r="WFO1516" s="879"/>
      <c r="WFP1516" s="879"/>
      <c r="WFQ1516" s="879"/>
      <c r="WFR1516" s="879"/>
      <c r="WFS1516" s="879"/>
      <c r="WFT1516" s="879"/>
      <c r="WFU1516" s="879"/>
      <c r="WFV1516" s="879"/>
      <c r="WFW1516" s="879"/>
      <c r="WFX1516" s="879"/>
      <c r="WFY1516" s="879"/>
      <c r="WFZ1516" s="879"/>
      <c r="WGA1516" s="879"/>
      <c r="WGB1516" s="879"/>
      <c r="WGC1516" s="879"/>
      <c r="WGD1516" s="879"/>
      <c r="WGE1516" s="879"/>
      <c r="WGF1516" s="879"/>
      <c r="WGG1516" s="879"/>
      <c r="WGH1516" s="879"/>
      <c r="WGI1516" s="879"/>
      <c r="WGJ1516" s="879"/>
      <c r="WGK1516" s="879"/>
      <c r="WGL1516" s="879"/>
      <c r="WGM1516" s="879"/>
      <c r="WGN1516" s="879"/>
      <c r="WGO1516" s="879"/>
      <c r="WGP1516" s="879"/>
      <c r="WGQ1516" s="879"/>
      <c r="WGR1516" s="879"/>
      <c r="WGS1516" s="879"/>
      <c r="WGT1516" s="879"/>
      <c r="WGU1516" s="879"/>
      <c r="WGV1516" s="879"/>
      <c r="WGW1516" s="879"/>
      <c r="WGX1516" s="879"/>
      <c r="WGY1516" s="879"/>
      <c r="WGZ1516" s="879"/>
      <c r="WHA1516" s="879"/>
      <c r="WHB1516" s="879"/>
      <c r="WHC1516" s="879"/>
      <c r="WHD1516" s="879"/>
      <c r="WHE1516" s="879"/>
      <c r="WHF1516" s="879"/>
      <c r="WHG1516" s="879"/>
      <c r="WHH1516" s="879"/>
      <c r="WHI1516" s="879"/>
      <c r="WHJ1516" s="879"/>
      <c r="WHK1516" s="879"/>
      <c r="WHL1516" s="879"/>
      <c r="WHM1516" s="879"/>
      <c r="WHN1516" s="879"/>
      <c r="WHO1516" s="879"/>
      <c r="WHP1516" s="879"/>
      <c r="WHQ1516" s="879"/>
      <c r="WHR1516" s="879"/>
      <c r="WHS1516" s="879"/>
      <c r="WHT1516" s="879"/>
      <c r="WHU1516" s="879"/>
      <c r="WHV1516" s="879"/>
      <c r="WHW1516" s="879"/>
      <c r="WHX1516" s="879"/>
      <c r="WHY1516" s="879"/>
      <c r="WHZ1516" s="879"/>
      <c r="WIA1516" s="879"/>
      <c r="WIB1516" s="879"/>
      <c r="WIC1516" s="879"/>
      <c r="WID1516" s="879"/>
      <c r="WIE1516" s="879"/>
      <c r="WIF1516" s="879"/>
      <c r="WIG1516" s="879"/>
      <c r="WIH1516" s="879"/>
      <c r="WII1516" s="879"/>
      <c r="WIJ1516" s="879"/>
      <c r="WIK1516" s="879"/>
      <c r="WIL1516" s="879"/>
      <c r="WIM1516" s="879"/>
      <c r="WIN1516" s="879"/>
      <c r="WIO1516" s="879"/>
      <c r="WIP1516" s="879"/>
      <c r="WIQ1516" s="879"/>
      <c r="WIR1516" s="879"/>
      <c r="WIS1516" s="879"/>
      <c r="WIT1516" s="879"/>
      <c r="WIU1516" s="879"/>
      <c r="WIV1516" s="879"/>
      <c r="WIW1516" s="879"/>
      <c r="WIX1516" s="879"/>
      <c r="WIY1516" s="879"/>
      <c r="WIZ1516" s="879"/>
      <c r="WJA1516" s="879"/>
      <c r="WJB1516" s="879"/>
      <c r="WJC1516" s="879"/>
      <c r="WJD1516" s="879"/>
      <c r="WJE1516" s="879"/>
      <c r="WJF1516" s="879"/>
      <c r="WJG1516" s="879"/>
      <c r="WJH1516" s="879"/>
      <c r="WJI1516" s="879"/>
      <c r="WJJ1516" s="879"/>
      <c r="WJK1516" s="879"/>
      <c r="WJL1516" s="879"/>
      <c r="WJM1516" s="879"/>
      <c r="WJN1516" s="879"/>
      <c r="WJO1516" s="879"/>
      <c r="WJP1516" s="879"/>
      <c r="WJQ1516" s="879"/>
      <c r="WJR1516" s="879"/>
      <c r="WJS1516" s="879"/>
      <c r="WJT1516" s="879"/>
      <c r="WJU1516" s="879"/>
      <c r="WJV1516" s="879"/>
      <c r="WJW1516" s="879"/>
      <c r="WJX1516" s="879"/>
      <c r="WJY1516" s="879"/>
      <c r="WJZ1516" s="879"/>
      <c r="WKA1516" s="879"/>
      <c r="WKB1516" s="879"/>
      <c r="WKC1516" s="879"/>
      <c r="WKD1516" s="879"/>
      <c r="WKE1516" s="879"/>
      <c r="WKF1516" s="879"/>
      <c r="WKG1516" s="879"/>
      <c r="WKH1516" s="879"/>
      <c r="WKI1516" s="879"/>
      <c r="WKJ1516" s="879"/>
      <c r="WKK1516" s="879"/>
      <c r="WKL1516" s="879"/>
      <c r="WKM1516" s="879"/>
      <c r="WKN1516" s="879"/>
      <c r="WKO1516" s="879"/>
      <c r="WKP1516" s="879"/>
      <c r="WKQ1516" s="879"/>
      <c r="WKR1516" s="879"/>
      <c r="WKS1516" s="879"/>
      <c r="WKT1516" s="879"/>
      <c r="WKU1516" s="879"/>
      <c r="WKV1516" s="879"/>
      <c r="WKW1516" s="879"/>
      <c r="WKX1516" s="879"/>
      <c r="WKY1516" s="879"/>
      <c r="WKZ1516" s="879"/>
      <c r="WLA1516" s="879"/>
      <c r="WLB1516" s="879"/>
      <c r="WLC1516" s="879"/>
      <c r="WLD1516" s="879"/>
      <c r="WLE1516" s="879"/>
      <c r="WLF1516" s="879"/>
      <c r="WLG1516" s="879"/>
      <c r="WLH1516" s="879"/>
      <c r="WLI1516" s="879"/>
      <c r="WLJ1516" s="879"/>
      <c r="WLK1516" s="879"/>
      <c r="WLL1516" s="879"/>
      <c r="WLM1516" s="879"/>
      <c r="WLN1516" s="879"/>
      <c r="WLO1516" s="879"/>
      <c r="WLP1516" s="879"/>
      <c r="WLQ1516" s="879"/>
      <c r="WLR1516" s="879"/>
      <c r="WLS1516" s="879"/>
      <c r="WLT1516" s="879"/>
      <c r="WLU1516" s="879"/>
      <c r="WLV1516" s="879"/>
      <c r="WLW1516" s="879"/>
      <c r="WLX1516" s="879"/>
      <c r="WLY1516" s="879"/>
      <c r="WLZ1516" s="879"/>
      <c r="WMA1516" s="879"/>
      <c r="WMB1516" s="879"/>
      <c r="WMC1516" s="879"/>
      <c r="WMD1516" s="879"/>
      <c r="WME1516" s="879"/>
      <c r="WMF1516" s="879"/>
      <c r="WMG1516" s="879"/>
      <c r="WMH1516" s="879"/>
      <c r="WMI1516" s="879"/>
      <c r="WMJ1516" s="879"/>
      <c r="WMK1516" s="879"/>
      <c r="WML1516" s="879"/>
      <c r="WMM1516" s="879"/>
      <c r="WMN1516" s="879"/>
      <c r="WMO1516" s="879"/>
      <c r="WMP1516" s="879"/>
      <c r="WMQ1516" s="879"/>
      <c r="WMR1516" s="879"/>
      <c r="WMS1516" s="879"/>
      <c r="WMT1516" s="879"/>
      <c r="WMU1516" s="879"/>
      <c r="WMV1516" s="879"/>
      <c r="WMW1516" s="879"/>
      <c r="WMX1516" s="879"/>
      <c r="WMY1516" s="879"/>
      <c r="WMZ1516" s="879"/>
      <c r="WNA1516" s="879"/>
      <c r="WNB1516" s="879"/>
      <c r="WNC1516" s="879"/>
      <c r="WND1516" s="879"/>
      <c r="WNE1516" s="879"/>
      <c r="WNF1516" s="879"/>
      <c r="WNG1516" s="879"/>
      <c r="WNH1516" s="879"/>
      <c r="WNI1516" s="879"/>
      <c r="WNJ1516" s="879"/>
      <c r="WNK1516" s="879"/>
      <c r="WNL1516" s="879"/>
      <c r="WNM1516" s="879"/>
      <c r="WNN1516" s="879"/>
      <c r="WNO1516" s="879"/>
      <c r="WNP1516" s="879"/>
      <c r="WNQ1516" s="879"/>
      <c r="WNR1516" s="879"/>
      <c r="WNS1516" s="879"/>
      <c r="WNT1516" s="879"/>
      <c r="WNU1516" s="879"/>
      <c r="WNV1516" s="879"/>
      <c r="WNW1516" s="879"/>
      <c r="WNX1516" s="879"/>
      <c r="WNY1516" s="879"/>
      <c r="WNZ1516" s="879"/>
      <c r="WOA1516" s="879"/>
      <c r="WOB1516" s="879"/>
      <c r="WOC1516" s="879"/>
      <c r="WOD1516" s="879"/>
      <c r="WOE1516" s="879"/>
      <c r="WOF1516" s="879"/>
      <c r="WOG1516" s="879"/>
      <c r="WOH1516" s="879"/>
      <c r="WOI1516" s="879"/>
      <c r="WOJ1516" s="879"/>
      <c r="WOK1516" s="879"/>
      <c r="WOL1516" s="879"/>
      <c r="WOM1516" s="879"/>
      <c r="WON1516" s="879"/>
      <c r="WOO1516" s="879"/>
      <c r="WOP1516" s="879"/>
      <c r="WOQ1516" s="879"/>
      <c r="WOR1516" s="879"/>
      <c r="WOS1516" s="879"/>
      <c r="WOT1516" s="879"/>
      <c r="WOU1516" s="879"/>
      <c r="WOV1516" s="879"/>
      <c r="WOW1516" s="879"/>
      <c r="WOX1516" s="879"/>
      <c r="WOY1516" s="879"/>
      <c r="WOZ1516" s="879"/>
      <c r="WPA1516" s="879"/>
      <c r="WPB1516" s="879"/>
      <c r="WPC1516" s="879"/>
      <c r="WPD1516" s="879"/>
      <c r="WPE1516" s="879"/>
      <c r="WPF1516" s="879"/>
      <c r="WPG1516" s="879"/>
      <c r="WPH1516" s="879"/>
      <c r="WPI1516" s="879"/>
      <c r="WPJ1516" s="879"/>
      <c r="WPK1516" s="879"/>
      <c r="WPL1516" s="879"/>
      <c r="WPM1516" s="879"/>
      <c r="WPN1516" s="879"/>
      <c r="WPO1516" s="879"/>
      <c r="WPP1516" s="879"/>
      <c r="WPQ1516" s="879"/>
      <c r="WPR1516" s="879"/>
      <c r="WPS1516" s="879"/>
      <c r="WPT1516" s="879"/>
      <c r="WPU1516" s="879"/>
      <c r="WPV1516" s="879"/>
      <c r="WPW1516" s="879"/>
      <c r="WPX1516" s="879"/>
      <c r="WPY1516" s="879"/>
      <c r="WPZ1516" s="879"/>
      <c r="WQA1516" s="879"/>
      <c r="WQB1516" s="879"/>
      <c r="WQC1516" s="879"/>
      <c r="WQD1516" s="879"/>
      <c r="WQE1516" s="879"/>
      <c r="WQF1516" s="879"/>
      <c r="WQG1516" s="879"/>
      <c r="WQH1516" s="879"/>
      <c r="WQI1516" s="879"/>
      <c r="WQJ1516" s="879"/>
      <c r="WQK1516" s="879"/>
      <c r="WQL1516" s="879"/>
      <c r="WQM1516" s="879"/>
      <c r="WQN1516" s="879"/>
      <c r="WQO1516" s="879"/>
      <c r="WQP1516" s="879"/>
      <c r="WQQ1516" s="879"/>
      <c r="WQR1516" s="879"/>
      <c r="WQS1516" s="879"/>
      <c r="WQT1516" s="879"/>
      <c r="WQU1516" s="879"/>
      <c r="WQV1516" s="879"/>
      <c r="WQW1516" s="879"/>
      <c r="WQX1516" s="879"/>
      <c r="WQY1516" s="879"/>
      <c r="WQZ1516" s="879"/>
      <c r="WRA1516" s="879"/>
      <c r="WRB1516" s="879"/>
      <c r="WRC1516" s="879"/>
      <c r="WRD1516" s="879"/>
      <c r="WRE1516" s="879"/>
      <c r="WRF1516" s="879"/>
      <c r="WRG1516" s="879"/>
      <c r="WRH1516" s="879"/>
      <c r="WRI1516" s="879"/>
      <c r="WRJ1516" s="879"/>
      <c r="WRK1516" s="879"/>
      <c r="WRL1516" s="879"/>
      <c r="WRM1516" s="879"/>
      <c r="WRN1516" s="879"/>
      <c r="WRO1516" s="879"/>
      <c r="WRP1516" s="879"/>
      <c r="WRQ1516" s="879"/>
      <c r="WRR1516" s="879"/>
      <c r="WRS1516" s="879"/>
      <c r="WRT1516" s="879"/>
      <c r="WRU1516" s="879"/>
      <c r="WRV1516" s="879"/>
      <c r="WRW1516" s="879"/>
      <c r="WRX1516" s="879"/>
      <c r="WRY1516" s="879"/>
      <c r="WRZ1516" s="879"/>
      <c r="WSA1516" s="879"/>
      <c r="WSB1516" s="879"/>
      <c r="WSC1516" s="879"/>
      <c r="WSD1516" s="879"/>
      <c r="WSE1516" s="879"/>
      <c r="WSF1516" s="879"/>
      <c r="WSG1516" s="879"/>
      <c r="WSH1516" s="879"/>
      <c r="WSI1516" s="879"/>
      <c r="WSJ1516" s="879"/>
      <c r="WSK1516" s="879"/>
      <c r="WSL1516" s="879"/>
      <c r="WSM1516" s="879"/>
      <c r="WSN1516" s="879"/>
      <c r="WSO1516" s="879"/>
      <c r="WSP1516" s="879"/>
      <c r="WSQ1516" s="879"/>
      <c r="WSR1516" s="879"/>
      <c r="WSS1516" s="879"/>
      <c r="WST1516" s="879"/>
      <c r="WSU1516" s="879"/>
      <c r="WSV1516" s="879"/>
      <c r="WSW1516" s="879"/>
      <c r="WSX1516" s="879"/>
      <c r="WSY1516" s="879"/>
      <c r="WSZ1516" s="879"/>
      <c r="WTA1516" s="879"/>
      <c r="WTB1516" s="879"/>
      <c r="WTC1516" s="879"/>
      <c r="WTD1516" s="879"/>
      <c r="WTE1516" s="879"/>
      <c r="WTF1516" s="879"/>
      <c r="WTG1516" s="879"/>
      <c r="WTH1516" s="879"/>
      <c r="WTI1516" s="879"/>
      <c r="WTJ1516" s="879"/>
      <c r="WTK1516" s="879"/>
      <c r="WTL1516" s="879"/>
      <c r="WTM1516" s="879"/>
      <c r="WTN1516" s="879"/>
      <c r="WTO1516" s="879"/>
      <c r="WTP1516" s="879"/>
      <c r="WTQ1516" s="879"/>
      <c r="WTR1516" s="879"/>
      <c r="WTS1516" s="879"/>
      <c r="WTT1516" s="879"/>
      <c r="WTU1516" s="879"/>
      <c r="WTV1516" s="879"/>
      <c r="WTW1516" s="879"/>
      <c r="WTX1516" s="879"/>
      <c r="WTY1516" s="879"/>
      <c r="WTZ1516" s="879"/>
      <c r="WUA1516" s="879"/>
      <c r="WUB1516" s="879"/>
      <c r="WUC1516" s="879"/>
      <c r="WUD1516" s="879"/>
      <c r="WUE1516" s="879"/>
      <c r="WUF1516" s="879"/>
      <c r="WUG1516" s="879"/>
      <c r="WUH1516" s="879"/>
      <c r="WUI1516" s="879"/>
      <c r="WUJ1516" s="879"/>
      <c r="WUK1516" s="879"/>
      <c r="WUL1516" s="879"/>
      <c r="WUM1516" s="879"/>
      <c r="WUN1516" s="879"/>
      <c r="WUO1516" s="879"/>
      <c r="WUP1516" s="879"/>
      <c r="WUQ1516" s="879"/>
      <c r="WUR1516" s="879"/>
      <c r="WUS1516" s="879"/>
      <c r="WUT1516" s="879"/>
      <c r="WUU1516" s="879"/>
      <c r="WUV1516" s="879"/>
      <c r="WUW1516" s="879"/>
      <c r="WUX1516" s="879"/>
      <c r="WUY1516" s="879"/>
      <c r="WUZ1516" s="879"/>
      <c r="WVA1516" s="879"/>
      <c r="WVB1516" s="879"/>
      <c r="WVC1516" s="879"/>
      <c r="WVD1516" s="879"/>
      <c r="WVE1516" s="879"/>
      <c r="WVF1516" s="879"/>
      <c r="WVG1516" s="879"/>
      <c r="WVH1516" s="879"/>
      <c r="WVI1516" s="879"/>
      <c r="WVJ1516" s="879"/>
      <c r="WVK1516" s="879"/>
      <c r="WVL1516" s="879"/>
      <c r="WVM1516" s="879"/>
      <c r="WVN1516" s="879"/>
      <c r="WVO1516" s="879"/>
      <c r="WVP1516" s="879"/>
      <c r="WVQ1516" s="879"/>
      <c r="WVR1516" s="879"/>
      <c r="WVS1516" s="879"/>
      <c r="WVT1516" s="879"/>
      <c r="WVU1516" s="879"/>
      <c r="WVV1516" s="879"/>
      <c r="WVW1516" s="879"/>
      <c r="WVX1516" s="879"/>
      <c r="WVY1516" s="879"/>
      <c r="WVZ1516" s="879"/>
      <c r="WWA1516" s="879"/>
      <c r="WWB1516" s="879"/>
      <c r="WWC1516" s="879"/>
      <c r="WWD1516" s="879"/>
      <c r="WWE1516" s="879"/>
      <c r="WWF1516" s="879"/>
      <c r="WWG1516" s="879"/>
      <c r="WWH1516" s="879"/>
      <c r="WWI1516" s="879"/>
      <c r="WWJ1516" s="879"/>
      <c r="WWK1516" s="879"/>
      <c r="WWL1516" s="879"/>
      <c r="WWM1516" s="879"/>
      <c r="WWN1516" s="879"/>
      <c r="WWO1516" s="879"/>
      <c r="WWP1516" s="879"/>
      <c r="WWQ1516" s="879"/>
      <c r="WWR1516" s="879"/>
      <c r="WWS1516" s="879"/>
      <c r="WWT1516" s="879"/>
      <c r="WWU1516" s="879"/>
      <c r="WWV1516" s="879"/>
      <c r="WWW1516" s="879"/>
      <c r="WWX1516" s="879"/>
      <c r="WWY1516" s="879"/>
      <c r="WWZ1516" s="879"/>
      <c r="WXA1516" s="879"/>
      <c r="WXB1516" s="879"/>
      <c r="WXC1516" s="879"/>
      <c r="WXD1516" s="879"/>
      <c r="WXE1516" s="879"/>
      <c r="WXF1516" s="879"/>
      <c r="WXG1516" s="879"/>
      <c r="WXH1516" s="879"/>
      <c r="WXI1516" s="879"/>
      <c r="WXJ1516" s="879"/>
      <c r="WXK1516" s="879"/>
      <c r="WXL1516" s="879"/>
      <c r="WXM1516" s="879"/>
      <c r="WXN1516" s="879"/>
      <c r="WXO1516" s="879"/>
      <c r="WXP1516" s="879"/>
      <c r="WXQ1516" s="879"/>
      <c r="WXR1516" s="879"/>
      <c r="WXS1516" s="879"/>
      <c r="WXT1516" s="879"/>
      <c r="WXU1516" s="879"/>
      <c r="WXV1516" s="879"/>
      <c r="WXW1516" s="879"/>
      <c r="WXX1516" s="879"/>
      <c r="WXY1516" s="879"/>
      <c r="WXZ1516" s="879"/>
      <c r="WYA1516" s="879"/>
      <c r="WYB1516" s="879"/>
      <c r="WYC1516" s="879"/>
      <c r="WYD1516" s="879"/>
      <c r="WYE1516" s="879"/>
      <c r="WYF1516" s="879"/>
      <c r="WYG1516" s="879"/>
      <c r="WYH1516" s="879"/>
      <c r="WYI1516" s="879"/>
      <c r="WYJ1516" s="879"/>
      <c r="WYK1516" s="879"/>
      <c r="WYL1516" s="879"/>
      <c r="WYM1516" s="879"/>
      <c r="WYN1516" s="879"/>
      <c r="WYO1516" s="879"/>
      <c r="WYP1516" s="879"/>
      <c r="WYQ1516" s="879"/>
      <c r="WYR1516" s="879"/>
      <c r="WYS1516" s="879"/>
      <c r="WYT1516" s="879"/>
      <c r="WYU1516" s="879"/>
      <c r="WYV1516" s="879"/>
      <c r="WYW1516" s="879"/>
      <c r="WYX1516" s="879"/>
      <c r="WYY1516" s="879"/>
      <c r="WYZ1516" s="879"/>
      <c r="WZA1516" s="879"/>
      <c r="WZB1516" s="879"/>
      <c r="WZC1516" s="879"/>
      <c r="WZD1516" s="879"/>
      <c r="WZE1516" s="879"/>
      <c r="WZF1516" s="879"/>
      <c r="WZG1516" s="879"/>
      <c r="WZH1516" s="879"/>
      <c r="WZI1516" s="879"/>
      <c r="WZJ1516" s="879"/>
      <c r="WZK1516" s="879"/>
      <c r="WZL1516" s="879"/>
      <c r="WZM1516" s="879"/>
      <c r="WZN1516" s="879"/>
      <c r="WZO1516" s="879"/>
      <c r="WZP1516" s="879"/>
      <c r="WZQ1516" s="879"/>
      <c r="WZR1516" s="879"/>
      <c r="WZS1516" s="879"/>
      <c r="WZT1516" s="879"/>
      <c r="WZU1516" s="879"/>
      <c r="WZV1516" s="879"/>
      <c r="WZW1516" s="879"/>
      <c r="WZX1516" s="879"/>
      <c r="WZY1516" s="879"/>
      <c r="WZZ1516" s="879"/>
      <c r="XAA1516" s="879"/>
      <c r="XAB1516" s="879"/>
      <c r="XAC1516" s="879"/>
      <c r="XAD1516" s="879"/>
      <c r="XAE1516" s="879"/>
      <c r="XAF1516" s="879"/>
      <c r="XAG1516" s="879"/>
      <c r="XAH1516" s="879"/>
      <c r="XAI1516" s="879"/>
      <c r="XAJ1516" s="879"/>
      <c r="XAK1516" s="879"/>
      <c r="XAL1516" s="879"/>
      <c r="XAM1516" s="879"/>
      <c r="XAN1516" s="879"/>
      <c r="XAO1516" s="879"/>
      <c r="XAP1516" s="879"/>
      <c r="XAQ1516" s="879"/>
      <c r="XAR1516" s="879"/>
      <c r="XAS1516" s="879"/>
      <c r="XAT1516" s="879"/>
      <c r="XAU1516" s="879"/>
      <c r="XAV1516" s="879"/>
      <c r="XAW1516" s="879"/>
      <c r="XAX1516" s="879"/>
      <c r="XAY1516" s="879"/>
      <c r="XAZ1516" s="879"/>
      <c r="XBA1516" s="879"/>
      <c r="XBB1516" s="879"/>
      <c r="XBC1516" s="879"/>
      <c r="XBD1516" s="879"/>
      <c r="XBE1516" s="879"/>
      <c r="XBF1516" s="879"/>
      <c r="XBG1516" s="879"/>
      <c r="XBH1516" s="879"/>
      <c r="XBI1516" s="879"/>
      <c r="XBJ1516" s="879"/>
      <c r="XBK1516" s="879"/>
      <c r="XBL1516" s="879"/>
      <c r="XBM1516" s="879"/>
      <c r="XBN1516" s="879"/>
      <c r="XBO1516" s="879"/>
      <c r="XBP1516" s="879"/>
      <c r="XBQ1516" s="879"/>
      <c r="XBR1516" s="879"/>
      <c r="XBS1516" s="879"/>
      <c r="XBT1516" s="879"/>
      <c r="XBU1516" s="879"/>
      <c r="XBV1516" s="879"/>
      <c r="XBW1516" s="879"/>
      <c r="XBX1516" s="879"/>
      <c r="XBY1516" s="879"/>
      <c r="XBZ1516" s="879"/>
      <c r="XCA1516" s="879"/>
      <c r="XCB1516" s="879"/>
      <c r="XCC1516" s="879"/>
      <c r="XCD1516" s="879"/>
      <c r="XCE1516" s="879"/>
      <c r="XCF1516" s="879"/>
      <c r="XCG1516" s="879"/>
      <c r="XCH1516" s="879"/>
      <c r="XCI1516" s="879"/>
      <c r="XCJ1516" s="879"/>
      <c r="XCK1516" s="879"/>
      <c r="XCL1516" s="879"/>
      <c r="XCM1516" s="879"/>
      <c r="XCN1516" s="879"/>
      <c r="XCO1516" s="879"/>
      <c r="XCP1516" s="879"/>
      <c r="XCQ1516" s="879"/>
      <c r="XCR1516" s="879"/>
      <c r="XCS1516" s="879"/>
      <c r="XCT1516" s="879"/>
      <c r="XCU1516" s="879"/>
      <c r="XCV1516" s="879"/>
      <c r="XCW1516" s="879"/>
      <c r="XCX1516" s="879"/>
      <c r="XCY1516" s="879"/>
      <c r="XCZ1516" s="879"/>
      <c r="XDA1516" s="879"/>
      <c r="XDB1516" s="879"/>
      <c r="XDC1516" s="879"/>
      <c r="XDD1516" s="879"/>
      <c r="XDE1516" s="879"/>
      <c r="XDF1516" s="879"/>
      <c r="XDG1516" s="879"/>
      <c r="XDH1516" s="879"/>
      <c r="XDI1516" s="879"/>
      <c r="XDJ1516" s="879"/>
      <c r="XDK1516" s="879"/>
      <c r="XDL1516" s="879"/>
      <c r="XDM1516" s="879"/>
      <c r="XDN1516" s="879"/>
      <c r="XDO1516" s="879"/>
      <c r="XDP1516" s="879"/>
      <c r="XDQ1516" s="879"/>
      <c r="XDR1516" s="879"/>
      <c r="XDS1516" s="879"/>
      <c r="XDT1516" s="879"/>
      <c r="XDU1516" s="879"/>
      <c r="XDV1516" s="879"/>
      <c r="XDW1516" s="879"/>
      <c r="XDX1516" s="879"/>
      <c r="XDY1516" s="879"/>
      <c r="XDZ1516" s="879"/>
      <c r="XEA1516" s="879"/>
      <c r="XEB1516" s="879"/>
      <c r="XEC1516" s="879"/>
      <c r="XED1516" s="879"/>
      <c r="XEE1516" s="879"/>
      <c r="XEF1516" s="879"/>
      <c r="XEG1516" s="879"/>
      <c r="XEH1516" s="879"/>
      <c r="XEI1516" s="879"/>
      <c r="XEJ1516" s="879"/>
      <c r="XEK1516" s="879"/>
      <c r="XEL1516" s="879"/>
      <c r="XEM1516" s="879"/>
      <c r="XEN1516" s="879"/>
      <c r="XEO1516" s="879"/>
      <c r="XEP1516" s="879"/>
      <c r="XEQ1516" s="879"/>
      <c r="XER1516" s="879"/>
      <c r="XES1516" s="879"/>
      <c r="XET1516" s="879"/>
      <c r="XEU1516" s="879"/>
      <c r="XEV1516" s="879"/>
      <c r="XEW1516" s="879"/>
      <c r="XEX1516" s="879"/>
    </row>
    <row r="1517" spans="1:16378" ht="15" customHeight="1" x14ac:dyDescent="0.25">
      <c r="A1517">
        <v>2025</v>
      </c>
      <c r="B1517" s="878" t="s">
        <v>1205</v>
      </c>
      <c r="C1517" s="879" t="s">
        <v>8095</v>
      </c>
      <c r="D1517" s="880" t="s">
        <v>9105</v>
      </c>
      <c r="E1517" s="879" t="s">
        <v>300</v>
      </c>
      <c r="F1517" s="878" t="s">
        <v>851</v>
      </c>
      <c r="G1517" s="878" t="s">
        <v>8736</v>
      </c>
      <c r="H1517" s="878" t="s">
        <v>59</v>
      </c>
      <c r="I1517" s="881">
        <v>45761</v>
      </c>
      <c r="J1517" s="882">
        <v>45889</v>
      </c>
      <c r="K1517" s="945">
        <v>45882</v>
      </c>
      <c r="L1517" s="884">
        <f>IF(ISTEXT(Table15[[#This Row],[Engineering Approved Design Date]]),Table15[[#This Row],[Date Completed]]-Table15[[#This Row],[Date Assigned to Designer]],Table15[[#This Row],[Engineering Approved Design Date]]-Table15[[#This Row],[Date Completed]])</f>
        <v>7</v>
      </c>
      <c r="N1517" s="885" t="s">
        <v>739</v>
      </c>
      <c r="O1517" s="886" t="s">
        <v>376</v>
      </c>
      <c r="P1517" s="1153" t="s">
        <v>739</v>
      </c>
      <c r="Q1517" s="1150">
        <f>Table15[[#This Row],[Rate]]*Table15[[#This Row],[Construction Cost to Bill From]]</f>
        <v>270881.64809999999</v>
      </c>
      <c r="R1517" s="887">
        <v>0.09</v>
      </c>
      <c r="S1517" s="888" t="s">
        <v>29</v>
      </c>
      <c r="T1517" s="35" t="s">
        <v>29</v>
      </c>
      <c r="U1517" s="1541" t="s">
        <v>29</v>
      </c>
      <c r="V1517" s="890">
        <v>4440</v>
      </c>
      <c r="W1517" s="1021">
        <v>0</v>
      </c>
      <c r="X1517" s="888">
        <v>2858231.11</v>
      </c>
      <c r="Y1517" s="891"/>
      <c r="Z1517" s="888">
        <v>151564.98000000001</v>
      </c>
      <c r="AA1517" s="552">
        <f>SUM(Table15[[#This Row],[PCTS Investment Amount]:[PCTS Retirement Amount]])</f>
        <v>3009796.09</v>
      </c>
      <c r="AB1517" s="893">
        <v>45889</v>
      </c>
      <c r="AC1517" s="894" t="s">
        <v>756</v>
      </c>
      <c r="AD1517" s="1155" t="s">
        <v>29</v>
      </c>
      <c r="AE1517" s="895" t="s">
        <v>756</v>
      </c>
      <c r="AF1517" s="895" t="s">
        <v>29</v>
      </c>
      <c r="AG1517" s="896" t="s">
        <v>376</v>
      </c>
      <c r="AH1517" s="897" t="s">
        <v>376</v>
      </c>
      <c r="AI1517" s="898">
        <v>32470</v>
      </c>
      <c r="AJ1517" s="899">
        <v>0</v>
      </c>
      <c r="AK1517" s="960">
        <f>1925.51+6161.16</f>
        <v>8086.67</v>
      </c>
      <c r="AL1517" s="1675">
        <f>SUM(Table15[[#This Row],[Nicor Initiated DBE]:[Staffing]])/(Table15[[#This Row],[Amount Invoiced]])</f>
        <v>0.14972099544014847</v>
      </c>
      <c r="AM1517" s="542" t="s">
        <v>116</v>
      </c>
      <c r="AN1517" s="903"/>
      <c r="AO1517" s="1536"/>
      <c r="AP1517" s="1537"/>
      <c r="AQ1517" s="1537"/>
      <c r="AR1517" s="1537"/>
      <c r="AS1517" s="888">
        <f>IF(Table15[[#This Row],[PCTS Approved]]="N",0,Table15[[#This Row],[Investment Amount (1'#'#'#'#'#)]]+Table15[[#This Row],[Retirement Amount (3'#'#'#'#'#)]])</f>
        <v>0</v>
      </c>
      <c r="AT1517" s="888">
        <f>IF(Table15[[#This Row],[Approved Construction Cost]]=0,0,Table15[[#This Row],[Approved Construction Cost]]-Table15[[#This Row],[Construction Cost to Bill From]])</f>
        <v>0</v>
      </c>
      <c r="AU1517" s="888">
        <f>IFERROR(Table15[[#This Row],[Difference in Construction Cost]]*Table15[[#This Row],[Rate]],Table15[[#This Row],[Difference in Construction Cost]]*0.085)</f>
        <v>0</v>
      </c>
      <c r="AV1517" s="905"/>
      <c r="AW1517" s="1509"/>
      <c r="AX1517" s="888"/>
      <c r="AY1517" s="636" t="s">
        <v>709</v>
      </c>
      <c r="AZ1517" s="1532"/>
      <c r="BA1517" s="910" t="s">
        <v>9106</v>
      </c>
      <c r="BB1517" s="911" t="s">
        <v>9107</v>
      </c>
      <c r="BC1517" s="912" t="s">
        <v>116</v>
      </c>
      <c r="BD1517" s="913" t="s">
        <v>1167</v>
      </c>
      <c r="BE1517" s="914" t="s">
        <v>4242</v>
      </c>
      <c r="BF1517" s="914" t="s">
        <v>4242</v>
      </c>
      <c r="BG1517" s="915" t="s">
        <v>29</v>
      </c>
      <c r="BH1517" s="1023" t="s">
        <v>9108</v>
      </c>
      <c r="BI1517" s="929" t="s">
        <v>709</v>
      </c>
      <c r="BJ1517" s="929" t="s">
        <v>709</v>
      </c>
      <c r="BK1517" s="929" t="s">
        <v>116</v>
      </c>
      <c r="BL1517" s="929" t="s">
        <v>116</v>
      </c>
      <c r="BM1517" s="929" t="s">
        <v>709</v>
      </c>
      <c r="BN1517" s="929">
        <v>3350</v>
      </c>
      <c r="BO1517" s="929" t="s">
        <v>709</v>
      </c>
      <c r="BP1517" s="929">
        <v>92</v>
      </c>
      <c r="BQ1517" s="929">
        <v>36</v>
      </c>
      <c r="BR1517" s="929">
        <v>107</v>
      </c>
      <c r="BS1517" s="929">
        <v>765</v>
      </c>
      <c r="BT1517" s="929" t="s">
        <v>116</v>
      </c>
      <c r="BU1517" s="929" t="s">
        <v>709</v>
      </c>
      <c r="BV1517" s="929" t="s">
        <v>709</v>
      </c>
      <c r="BW1517" s="929" t="s">
        <v>709</v>
      </c>
      <c r="BX1517" s="929" t="s">
        <v>709</v>
      </c>
      <c r="BY1517" s="929" t="s">
        <v>709</v>
      </c>
      <c r="BZ1517" s="929" t="s">
        <v>745</v>
      </c>
      <c r="CA1517" s="1589"/>
      <c r="CB1517" s="547"/>
      <c r="CC1517" s="1481" t="b">
        <v>0</v>
      </c>
      <c r="CD1517" s="879" t="str">
        <f>Table15[[#This Row],[Engineering Number]]&amp;Table15[[#This Row],[WO Number]]&amp;Table15[[#This Row],[Date Assigned to Designer]]&amp;Table15[[#This Row],[Date Completed]]</f>
        <v>MR2219-113149264576145882</v>
      </c>
    </row>
    <row r="1518" spans="1:16378" s="30" customFormat="1" ht="15" customHeight="1" x14ac:dyDescent="0.25">
      <c r="A1518">
        <v>2025</v>
      </c>
      <c r="B1518" s="878" t="s">
        <v>1073</v>
      </c>
      <c r="C1518" s="878" t="s">
        <v>6735</v>
      </c>
      <c r="D1518" s="878">
        <v>1913958</v>
      </c>
      <c r="E1518" s="8" t="s">
        <v>232</v>
      </c>
      <c r="F1518" s="878" t="s">
        <v>851</v>
      </c>
      <c r="G1518" s="878" t="s">
        <v>32</v>
      </c>
      <c r="H1518" s="878" t="s">
        <v>4045</v>
      </c>
      <c r="I1518" s="883">
        <v>45874</v>
      </c>
      <c r="J1518" s="918" t="s">
        <v>2958</v>
      </c>
      <c r="K1518" s="945">
        <v>45882</v>
      </c>
      <c r="L1518" s="884">
        <f>IF(ISTEXT(Table15[[#This Row],[Engineering Approved Design Date]]),Table15[[#This Row],[Date Completed]]-Table15[[#This Row],[Date Assigned to Designer]],Table15[[#This Row],[Engineering Approved Design Date]]-Table15[[#This Row],[Date Completed]])</f>
        <v>8</v>
      </c>
      <c r="M1518" s="919" t="s">
        <v>9109</v>
      </c>
      <c r="N1518" s="883" t="s">
        <v>739</v>
      </c>
      <c r="O1518" s="886" t="s">
        <v>376</v>
      </c>
      <c r="P1518" s="1153" t="s">
        <v>739</v>
      </c>
      <c r="Q1518" s="1151">
        <f>SUM(Table15[[#This Row],[Shactee Effort]:[KH Hourly Effort]])</f>
        <v>1560</v>
      </c>
      <c r="R1518" s="887" t="s">
        <v>1922</v>
      </c>
      <c r="S1518" s="888">
        <v>0</v>
      </c>
      <c r="T1518" s="888">
        <v>0</v>
      </c>
      <c r="U1518" s="889">
        <v>1560</v>
      </c>
      <c r="V1518" s="890">
        <v>898</v>
      </c>
      <c r="W1518" s="1021">
        <v>0</v>
      </c>
      <c r="X1518" s="888" t="s">
        <v>29</v>
      </c>
      <c r="Y1518" s="935"/>
      <c r="Z1518" s="888" t="s">
        <v>29</v>
      </c>
      <c r="AA1518" s="888" t="s">
        <v>29</v>
      </c>
      <c r="AB1518" s="893" t="s">
        <v>29</v>
      </c>
      <c r="AC1518" s="897" t="s">
        <v>29</v>
      </c>
      <c r="AD1518" s="1304" t="s">
        <v>29</v>
      </c>
      <c r="AE1518" s="894" t="s">
        <v>709</v>
      </c>
      <c r="AF1518" s="895" t="s">
        <v>116</v>
      </c>
      <c r="AG1518" s="896" t="s">
        <v>709</v>
      </c>
      <c r="AH1518" s="985" t="s">
        <v>376</v>
      </c>
      <c r="AI1518" s="921" t="s">
        <v>29</v>
      </c>
      <c r="AJ1518" s="922" t="s">
        <v>29</v>
      </c>
      <c r="AK1518" s="922" t="s">
        <v>29</v>
      </c>
      <c r="AL1518" s="1030" t="s">
        <v>29</v>
      </c>
      <c r="AM1518" s="542" t="s">
        <v>709</v>
      </c>
      <c r="AN1518" s="924"/>
      <c r="AO1518" s="925"/>
      <c r="AP1518" s="926"/>
      <c r="AQ1518" s="926"/>
      <c r="AR1518" s="926"/>
      <c r="AS1518" s="926"/>
      <c r="AT1518" s="926"/>
      <c r="AU1518" s="926"/>
      <c r="AV1518" s="926"/>
      <c r="AW1518" s="927"/>
      <c r="AX1518" s="926"/>
      <c r="AY1518" s="1528" t="s">
        <v>29</v>
      </c>
      <c r="AZ1518" s="1530"/>
      <c r="BA1518" s="910">
        <v>1</v>
      </c>
      <c r="BB1518" s="1000" t="s">
        <v>116</v>
      </c>
      <c r="BC1518" s="915" t="s">
        <v>115</v>
      </c>
      <c r="BD1518" s="915" t="s">
        <v>837</v>
      </c>
      <c r="BE1518" s="912" t="s">
        <v>595</v>
      </c>
      <c r="BF1518" s="913" t="s">
        <v>838</v>
      </c>
      <c r="BG1518" s="1001" t="s">
        <v>29</v>
      </c>
      <c r="BH1518" s="1023" t="s">
        <v>9110</v>
      </c>
      <c r="BI1518" s="916" t="s">
        <v>709</v>
      </c>
      <c r="BJ1518" s="916" t="s">
        <v>709</v>
      </c>
      <c r="BK1518" s="916" t="s">
        <v>709</v>
      </c>
      <c r="BL1518" s="916" t="s">
        <v>116</v>
      </c>
      <c r="BM1518" s="916">
        <v>0</v>
      </c>
      <c r="BN1518" s="916">
        <v>0</v>
      </c>
      <c r="BO1518" s="916">
        <v>0</v>
      </c>
      <c r="BP1518" s="916">
        <v>898</v>
      </c>
      <c r="BQ1518" s="916">
        <v>0</v>
      </c>
      <c r="BR1518" s="916">
        <v>0</v>
      </c>
      <c r="BS1518" s="916">
        <v>0</v>
      </c>
      <c r="BT1518" s="916">
        <v>0</v>
      </c>
      <c r="BU1518" s="916">
        <v>0</v>
      </c>
      <c r="BV1518" s="916">
        <v>0</v>
      </c>
      <c r="BW1518" s="916">
        <v>0</v>
      </c>
      <c r="BX1518" s="916">
        <v>0</v>
      </c>
      <c r="BY1518" s="916">
        <v>0</v>
      </c>
      <c r="BZ1518" s="916" t="s">
        <v>709</v>
      </c>
      <c r="CA1518" s="917"/>
      <c r="CB1518" s="547"/>
      <c r="CC1518" s="879"/>
      <c r="CD1518" s="879"/>
      <c r="CE1518"/>
      <c r="CF1518"/>
      <c r="CG1518"/>
      <c r="CH1518"/>
      <c r="CI1518"/>
      <c r="CJ1518"/>
      <c r="CK1518"/>
      <c r="CL1518"/>
      <c r="CM1518"/>
      <c r="CN1518"/>
      <c r="CO1518"/>
      <c r="CP1518"/>
      <c r="CQ1518"/>
      <c r="CR1518"/>
      <c r="CS1518"/>
      <c r="CT1518"/>
      <c r="CU1518"/>
      <c r="CV1518"/>
      <c r="CW1518"/>
      <c r="CX1518"/>
      <c r="CY1518"/>
      <c r="CZ1518"/>
      <c r="DA1518"/>
      <c r="DB1518"/>
      <c r="DC1518"/>
      <c r="DD1518"/>
      <c r="DE1518"/>
      <c r="DF1518"/>
      <c r="DG1518"/>
      <c r="DH1518"/>
      <c r="DI1518"/>
      <c r="DJ1518"/>
      <c r="DK1518"/>
      <c r="DL1518"/>
      <c r="DM1518"/>
      <c r="DN1518"/>
      <c r="DO1518"/>
      <c r="DP1518"/>
      <c r="DQ1518"/>
      <c r="DR1518"/>
      <c r="DS1518"/>
      <c r="DT1518"/>
      <c r="DU1518"/>
      <c r="DV1518"/>
      <c r="DW1518"/>
      <c r="DX1518"/>
      <c r="DY1518"/>
      <c r="DZ1518"/>
      <c r="EA1518"/>
      <c r="EB1518"/>
      <c r="EC1518"/>
      <c r="ED1518"/>
      <c r="EE1518"/>
      <c r="EF1518"/>
      <c r="EG1518"/>
      <c r="EH1518"/>
      <c r="EI1518"/>
      <c r="EJ1518"/>
      <c r="EK1518"/>
      <c r="EL1518"/>
      <c r="EM1518"/>
      <c r="EN1518"/>
      <c r="EO1518"/>
      <c r="EP1518"/>
      <c r="EQ1518"/>
      <c r="ER1518"/>
      <c r="ES1518"/>
      <c r="ET1518"/>
      <c r="EU1518"/>
      <c r="EV1518"/>
      <c r="EW1518"/>
      <c r="EX1518"/>
      <c r="EY1518"/>
      <c r="EZ1518"/>
      <c r="FA1518"/>
      <c r="FB1518"/>
      <c r="FC1518"/>
      <c r="FD1518"/>
      <c r="FE1518"/>
      <c r="FF1518"/>
      <c r="FG1518"/>
      <c r="FH1518"/>
      <c r="FI1518"/>
      <c r="FJ1518"/>
      <c r="FK1518"/>
      <c r="FL1518"/>
      <c r="FM1518"/>
      <c r="FN1518"/>
      <c r="FO1518"/>
      <c r="FP1518"/>
      <c r="FQ1518"/>
      <c r="FR1518"/>
      <c r="FS1518"/>
      <c r="FT1518"/>
      <c r="FU1518"/>
      <c r="FV1518"/>
      <c r="FW1518"/>
      <c r="FX1518"/>
      <c r="FY1518"/>
      <c r="FZ1518"/>
      <c r="GA1518"/>
      <c r="GB1518"/>
      <c r="GC1518"/>
      <c r="GD1518"/>
      <c r="GE1518"/>
      <c r="GF1518"/>
      <c r="GG1518"/>
      <c r="GH1518"/>
      <c r="GI1518"/>
      <c r="GJ1518"/>
      <c r="GK1518"/>
      <c r="GL1518"/>
      <c r="GM1518"/>
      <c r="GN1518"/>
      <c r="GO1518"/>
      <c r="GP1518"/>
      <c r="GQ1518"/>
      <c r="GR1518"/>
      <c r="GS1518"/>
      <c r="GT1518"/>
      <c r="GU1518"/>
      <c r="GV1518"/>
      <c r="GW1518"/>
      <c r="GX1518"/>
      <c r="GY1518"/>
      <c r="GZ1518"/>
      <c r="HA1518"/>
      <c r="HB1518"/>
      <c r="HC1518"/>
      <c r="HD1518"/>
      <c r="HE1518"/>
      <c r="HF1518"/>
      <c r="HG1518"/>
      <c r="HH1518"/>
      <c r="HI1518"/>
      <c r="HJ1518"/>
      <c r="HK1518"/>
      <c r="HL1518"/>
      <c r="HM1518"/>
      <c r="HN1518"/>
      <c r="HO1518"/>
      <c r="HP1518"/>
      <c r="HQ1518"/>
      <c r="HR1518"/>
      <c r="HS1518"/>
      <c r="HT1518"/>
      <c r="HU1518"/>
      <c r="HV1518"/>
      <c r="HW1518"/>
      <c r="HX1518"/>
      <c r="HY1518"/>
      <c r="HZ1518"/>
      <c r="IA1518"/>
      <c r="IB1518"/>
      <c r="IC1518"/>
      <c r="ID1518"/>
      <c r="IE1518"/>
      <c r="IF1518"/>
      <c r="IG1518"/>
      <c r="IH1518"/>
      <c r="II1518"/>
      <c r="IJ1518"/>
      <c r="IK1518"/>
      <c r="IL1518"/>
      <c r="IM1518"/>
      <c r="IN1518"/>
      <c r="IO1518"/>
      <c r="IP1518"/>
      <c r="IQ1518"/>
      <c r="IR1518"/>
      <c r="IS1518"/>
      <c r="IT1518"/>
      <c r="IU1518"/>
      <c r="IV1518"/>
      <c r="IW1518"/>
      <c r="IX1518"/>
      <c r="IY1518"/>
      <c r="IZ1518"/>
      <c r="JA1518"/>
      <c r="JB1518"/>
      <c r="JC1518"/>
      <c r="JD1518"/>
      <c r="JE1518"/>
      <c r="JF1518"/>
      <c r="JG1518"/>
      <c r="JH1518"/>
      <c r="JI1518"/>
      <c r="JJ1518"/>
      <c r="JK1518"/>
      <c r="JL1518"/>
      <c r="JM1518"/>
      <c r="JN1518"/>
      <c r="JO1518"/>
      <c r="JP1518"/>
      <c r="JQ1518"/>
      <c r="JR1518"/>
      <c r="JS1518"/>
      <c r="JT1518"/>
      <c r="JU1518"/>
      <c r="JV1518"/>
      <c r="JW1518"/>
      <c r="JX1518"/>
      <c r="JY1518"/>
      <c r="JZ1518"/>
      <c r="KA1518"/>
      <c r="KB1518"/>
      <c r="KC1518"/>
      <c r="KD1518"/>
      <c r="KE1518"/>
      <c r="KF1518"/>
      <c r="KG1518"/>
      <c r="KH1518"/>
      <c r="KI1518"/>
      <c r="KJ1518"/>
      <c r="KK1518"/>
      <c r="KL1518"/>
      <c r="KM1518"/>
      <c r="KN1518"/>
      <c r="KO1518"/>
      <c r="KP1518"/>
      <c r="KQ1518"/>
      <c r="KR1518"/>
      <c r="KS1518"/>
      <c r="KT1518"/>
      <c r="KU1518"/>
      <c r="KV1518"/>
      <c r="KW1518"/>
      <c r="KX1518"/>
      <c r="KY1518"/>
      <c r="KZ1518"/>
      <c r="LA1518"/>
      <c r="LB1518"/>
      <c r="LC1518"/>
      <c r="LD1518"/>
      <c r="LE1518"/>
      <c r="LF1518"/>
      <c r="LG1518"/>
      <c r="LH1518"/>
      <c r="LI1518"/>
      <c r="LJ1518"/>
      <c r="LK1518"/>
      <c r="LL1518"/>
      <c r="LM1518"/>
      <c r="LN1518"/>
      <c r="LO1518"/>
      <c r="LP1518"/>
      <c r="LQ1518"/>
      <c r="LR1518"/>
      <c r="LS1518"/>
      <c r="LT1518"/>
      <c r="LU1518"/>
      <c r="LV1518"/>
      <c r="LW1518"/>
      <c r="LX1518"/>
      <c r="LY1518"/>
      <c r="LZ1518"/>
      <c r="MA1518"/>
      <c r="MB1518"/>
      <c r="MC1518"/>
      <c r="MD1518"/>
      <c r="ME1518"/>
      <c r="MF1518"/>
      <c r="MG1518"/>
      <c r="MH1518"/>
      <c r="MI1518"/>
      <c r="MJ1518"/>
      <c r="MK1518"/>
      <c r="ML1518"/>
      <c r="MM1518"/>
      <c r="MN1518"/>
      <c r="MO1518"/>
      <c r="MP1518"/>
      <c r="MQ1518"/>
      <c r="MR1518"/>
      <c r="MS1518"/>
      <c r="MT1518"/>
      <c r="MU1518"/>
      <c r="MV1518"/>
      <c r="MW1518"/>
      <c r="MX1518"/>
      <c r="MY1518"/>
      <c r="MZ1518"/>
      <c r="NA1518"/>
      <c r="NB1518"/>
      <c r="NC1518"/>
      <c r="ND1518"/>
      <c r="NE1518"/>
      <c r="NF1518"/>
      <c r="NG1518"/>
      <c r="NH1518"/>
      <c r="NI1518"/>
      <c r="NJ1518"/>
      <c r="NK1518"/>
      <c r="NL1518"/>
      <c r="NM1518"/>
      <c r="NN1518"/>
      <c r="NO1518"/>
      <c r="NP1518"/>
      <c r="NQ1518"/>
      <c r="NR1518"/>
      <c r="NS1518"/>
      <c r="NT1518"/>
      <c r="NU1518"/>
      <c r="NV1518"/>
      <c r="NW1518"/>
      <c r="NX1518"/>
      <c r="NY1518"/>
      <c r="NZ1518"/>
      <c r="OA1518"/>
      <c r="OB1518"/>
      <c r="OC1518"/>
      <c r="OD1518"/>
      <c r="OE1518"/>
      <c r="OF1518"/>
      <c r="OG1518"/>
      <c r="OH1518"/>
      <c r="OI1518"/>
      <c r="OJ1518"/>
      <c r="OK1518"/>
      <c r="OL1518"/>
      <c r="OM1518"/>
      <c r="ON1518"/>
      <c r="OO1518"/>
      <c r="OP1518"/>
      <c r="OQ1518"/>
      <c r="OR1518"/>
      <c r="OS1518"/>
      <c r="OT1518"/>
      <c r="OU1518"/>
      <c r="OV1518"/>
      <c r="OW1518"/>
      <c r="OX1518"/>
      <c r="OY1518"/>
      <c r="OZ1518"/>
      <c r="PA1518"/>
      <c r="PB1518"/>
      <c r="PC1518"/>
      <c r="PD1518"/>
      <c r="PE1518"/>
      <c r="PF1518"/>
      <c r="PG1518"/>
      <c r="PH1518"/>
      <c r="PI1518"/>
      <c r="PJ1518"/>
      <c r="PK1518"/>
      <c r="PL1518"/>
      <c r="PM1518"/>
      <c r="PN1518"/>
      <c r="PO1518"/>
      <c r="PP1518"/>
      <c r="PQ1518"/>
      <c r="PR1518"/>
      <c r="PS1518"/>
      <c r="PT1518"/>
      <c r="PU1518"/>
      <c r="PV1518"/>
      <c r="PW1518"/>
      <c r="PX1518"/>
      <c r="PY1518"/>
      <c r="PZ1518"/>
      <c r="QA1518"/>
      <c r="QB1518"/>
      <c r="QC1518"/>
      <c r="QD1518"/>
      <c r="QE1518"/>
      <c r="QF1518"/>
      <c r="QG1518"/>
      <c r="QH1518"/>
      <c r="QI1518"/>
      <c r="QJ1518"/>
      <c r="QK1518"/>
      <c r="QL1518"/>
      <c r="QM1518"/>
      <c r="QN1518"/>
      <c r="QO1518"/>
      <c r="QP1518"/>
      <c r="QQ1518"/>
      <c r="QR1518"/>
      <c r="QS1518"/>
      <c r="QT1518"/>
      <c r="QU1518"/>
      <c r="QV1518"/>
      <c r="QW1518"/>
      <c r="QX1518"/>
      <c r="QY1518"/>
      <c r="QZ1518"/>
      <c r="RA1518"/>
      <c r="RB1518"/>
      <c r="RC1518"/>
      <c r="RD1518"/>
      <c r="RE1518"/>
      <c r="RF1518"/>
      <c r="RG1518"/>
      <c r="RH1518"/>
      <c r="RI1518"/>
      <c r="RJ1518"/>
      <c r="RK1518"/>
      <c r="RL1518"/>
      <c r="RM1518"/>
      <c r="RN1518"/>
      <c r="RO1518"/>
      <c r="RP1518"/>
      <c r="RQ1518"/>
      <c r="RR1518"/>
      <c r="RS1518"/>
      <c r="RT1518"/>
      <c r="RU1518"/>
      <c r="RV1518"/>
      <c r="RW1518"/>
      <c r="RX1518"/>
      <c r="RY1518"/>
      <c r="RZ1518"/>
      <c r="SA1518"/>
      <c r="SB1518"/>
      <c r="SC1518"/>
      <c r="SD1518"/>
      <c r="SE1518"/>
      <c r="SF1518"/>
      <c r="SG1518"/>
      <c r="SH1518"/>
      <c r="SI1518"/>
      <c r="SJ1518"/>
      <c r="SK1518"/>
      <c r="SL1518"/>
      <c r="SM1518"/>
      <c r="SN1518"/>
      <c r="SO1518"/>
      <c r="SP1518"/>
      <c r="SQ1518"/>
      <c r="SR1518"/>
      <c r="SS1518"/>
      <c r="ST1518"/>
      <c r="SU1518"/>
      <c r="SV1518"/>
      <c r="SW1518"/>
      <c r="SX1518"/>
      <c r="SY1518"/>
      <c r="SZ1518"/>
      <c r="TA1518"/>
      <c r="TB1518"/>
      <c r="TC1518"/>
      <c r="TD1518"/>
      <c r="TE1518"/>
      <c r="TF1518"/>
      <c r="TG1518"/>
      <c r="TH1518"/>
      <c r="TI1518"/>
      <c r="TJ1518"/>
      <c r="TK1518"/>
      <c r="TL1518"/>
      <c r="TM1518"/>
      <c r="TN1518"/>
      <c r="TO1518"/>
      <c r="TP1518"/>
      <c r="TQ1518"/>
      <c r="TR1518"/>
      <c r="TS1518"/>
      <c r="TT1518"/>
      <c r="TU1518"/>
      <c r="TV1518"/>
      <c r="TW1518"/>
      <c r="TX1518"/>
      <c r="TY1518"/>
      <c r="TZ1518"/>
      <c r="UA1518"/>
      <c r="UB1518"/>
      <c r="UC1518"/>
      <c r="UD1518"/>
      <c r="UE1518"/>
      <c r="UF1518"/>
      <c r="UG1518"/>
      <c r="UH1518"/>
      <c r="UI1518"/>
      <c r="UJ1518"/>
      <c r="UK1518"/>
      <c r="UL1518"/>
      <c r="UM1518"/>
      <c r="UN1518"/>
      <c r="UO1518"/>
      <c r="UP1518"/>
      <c r="UQ1518"/>
      <c r="UR1518"/>
      <c r="US1518"/>
      <c r="UT1518"/>
      <c r="UU1518"/>
      <c r="UV1518"/>
      <c r="UW1518"/>
      <c r="UX1518"/>
      <c r="UY1518"/>
      <c r="UZ1518"/>
      <c r="VA1518"/>
      <c r="VB1518"/>
      <c r="VC1518"/>
      <c r="VD1518"/>
      <c r="VE1518"/>
      <c r="VF1518"/>
      <c r="VG1518"/>
      <c r="VH1518"/>
      <c r="VI1518"/>
      <c r="VJ1518"/>
      <c r="VK1518"/>
      <c r="VL1518"/>
      <c r="VM1518"/>
      <c r="VN1518"/>
      <c r="VO1518"/>
      <c r="VP1518"/>
      <c r="VQ1518"/>
      <c r="VR1518"/>
      <c r="VS1518"/>
      <c r="VT1518"/>
      <c r="VU1518"/>
      <c r="VV1518"/>
      <c r="VW1518"/>
      <c r="VX1518"/>
      <c r="VY1518"/>
      <c r="VZ1518"/>
      <c r="WA1518"/>
      <c r="WB1518"/>
      <c r="WC1518"/>
      <c r="WD1518"/>
      <c r="WE1518"/>
      <c r="WF1518"/>
      <c r="WG1518"/>
      <c r="WH1518"/>
      <c r="WI1518"/>
      <c r="WJ1518"/>
      <c r="WK1518"/>
      <c r="WL1518"/>
      <c r="WM1518"/>
      <c r="WN1518"/>
      <c r="WO1518"/>
      <c r="WP1518"/>
      <c r="WQ1518"/>
      <c r="WR1518"/>
      <c r="WS1518"/>
      <c r="WT1518"/>
      <c r="WU1518"/>
      <c r="WV1518"/>
      <c r="WW1518"/>
      <c r="WX1518"/>
      <c r="WY1518"/>
      <c r="WZ1518"/>
      <c r="XA1518"/>
      <c r="XB1518"/>
      <c r="XC1518"/>
      <c r="XD1518"/>
      <c r="XE1518"/>
      <c r="XF1518"/>
      <c r="XG1518"/>
      <c r="XH1518"/>
      <c r="XI1518"/>
      <c r="XJ1518"/>
      <c r="XK1518"/>
      <c r="XL1518"/>
      <c r="XM1518"/>
      <c r="XN1518"/>
      <c r="XO1518"/>
      <c r="XP1518"/>
      <c r="XQ1518"/>
      <c r="XR1518"/>
      <c r="XS1518"/>
      <c r="XT1518"/>
      <c r="XU1518"/>
      <c r="XV1518"/>
      <c r="XW1518"/>
      <c r="XX1518"/>
      <c r="XY1518"/>
      <c r="XZ1518"/>
      <c r="YA1518"/>
      <c r="YB1518"/>
      <c r="YC1518"/>
      <c r="YD1518"/>
      <c r="YE1518"/>
      <c r="YF1518"/>
      <c r="YG1518"/>
      <c r="YH1518"/>
      <c r="YI1518"/>
      <c r="YJ1518"/>
      <c r="YK1518"/>
      <c r="YL1518"/>
      <c r="YM1518"/>
      <c r="YN1518"/>
      <c r="YO1518"/>
      <c r="YP1518"/>
      <c r="YQ1518"/>
      <c r="YR1518"/>
      <c r="YS1518"/>
      <c r="YT1518"/>
      <c r="YU1518"/>
      <c r="YV1518"/>
      <c r="YW1518"/>
      <c r="YX1518"/>
      <c r="YY1518"/>
      <c r="YZ1518"/>
      <c r="ZA1518"/>
      <c r="ZB1518"/>
      <c r="ZC1518"/>
      <c r="ZD1518"/>
      <c r="ZE1518"/>
      <c r="ZF1518"/>
      <c r="ZG1518"/>
      <c r="ZH1518"/>
      <c r="ZI1518"/>
      <c r="ZJ1518"/>
      <c r="ZK1518"/>
      <c r="ZL1518"/>
      <c r="ZM1518"/>
      <c r="ZN1518"/>
      <c r="ZO1518"/>
      <c r="ZP1518"/>
      <c r="ZQ1518"/>
      <c r="ZR1518"/>
      <c r="ZS1518"/>
      <c r="ZT1518"/>
      <c r="ZU1518"/>
      <c r="ZV1518"/>
      <c r="ZW1518"/>
      <c r="ZX1518"/>
      <c r="ZY1518"/>
      <c r="ZZ1518"/>
      <c r="AAA1518"/>
      <c r="AAB1518"/>
      <c r="AAC1518"/>
      <c r="AAD1518"/>
      <c r="AAE1518"/>
      <c r="AAF1518"/>
      <c r="AAG1518"/>
      <c r="AAH1518"/>
      <c r="AAI1518"/>
      <c r="AAJ1518"/>
      <c r="AAK1518"/>
      <c r="AAL1518"/>
      <c r="AAM1518"/>
      <c r="AAN1518"/>
      <c r="AAO1518"/>
      <c r="AAP1518"/>
      <c r="AAQ1518"/>
      <c r="AAR1518"/>
      <c r="AAS1518"/>
      <c r="AAT1518"/>
      <c r="AAU1518"/>
      <c r="AAV1518"/>
      <c r="AAW1518"/>
      <c r="AAX1518"/>
      <c r="AAY1518"/>
      <c r="AAZ1518"/>
      <c r="ABA1518"/>
      <c r="ABB1518"/>
      <c r="ABC1518"/>
      <c r="ABD1518"/>
      <c r="ABE1518"/>
      <c r="ABF1518"/>
      <c r="ABG1518"/>
      <c r="ABH1518"/>
      <c r="ABI1518"/>
      <c r="ABJ1518"/>
      <c r="ABK1518"/>
      <c r="ABL1518"/>
      <c r="ABM1518"/>
      <c r="ABN1518"/>
      <c r="ABO1518"/>
      <c r="ABP1518"/>
      <c r="ABQ1518"/>
      <c r="ABR1518"/>
      <c r="ABS1518"/>
      <c r="ABT1518"/>
      <c r="ABU1518"/>
      <c r="ABV1518"/>
      <c r="ABW1518"/>
      <c r="ABX1518"/>
      <c r="ABY1518"/>
      <c r="ABZ1518"/>
      <c r="ACA1518"/>
      <c r="ACB1518"/>
      <c r="ACC1518"/>
      <c r="ACD1518"/>
      <c r="ACE1518"/>
      <c r="ACF1518"/>
      <c r="ACG1518"/>
      <c r="ACH1518"/>
      <c r="ACI1518"/>
      <c r="ACJ1518"/>
      <c r="ACK1518"/>
      <c r="ACL1518"/>
      <c r="ACM1518"/>
      <c r="ACN1518"/>
      <c r="ACO1518"/>
      <c r="ACP1518"/>
      <c r="ACQ1518"/>
      <c r="ACR1518"/>
      <c r="ACS1518"/>
      <c r="ACT1518"/>
      <c r="ACU1518"/>
      <c r="ACV1518"/>
      <c r="ACW1518"/>
      <c r="ACX1518"/>
      <c r="ACY1518"/>
      <c r="ACZ1518"/>
      <c r="ADA1518"/>
      <c r="ADB1518"/>
      <c r="ADC1518"/>
      <c r="ADD1518"/>
      <c r="ADE1518"/>
      <c r="ADF1518"/>
      <c r="ADG1518"/>
      <c r="ADH1518"/>
      <c r="ADI1518"/>
      <c r="ADJ1518"/>
      <c r="ADK1518"/>
      <c r="ADL1518"/>
      <c r="ADM1518"/>
      <c r="ADN1518"/>
      <c r="ADO1518"/>
      <c r="ADP1518"/>
      <c r="ADQ1518"/>
      <c r="ADR1518"/>
      <c r="ADS1518"/>
      <c r="ADT1518"/>
      <c r="ADU1518"/>
      <c r="ADV1518"/>
      <c r="ADW1518"/>
      <c r="ADX1518"/>
      <c r="ADY1518"/>
      <c r="ADZ1518"/>
      <c r="AEA1518"/>
      <c r="AEB1518"/>
      <c r="AEC1518"/>
      <c r="AED1518"/>
      <c r="AEE1518"/>
      <c r="AEF1518"/>
      <c r="AEG1518"/>
      <c r="AEH1518"/>
      <c r="AEI1518"/>
      <c r="AEJ1518"/>
      <c r="AEK1518"/>
      <c r="AEL1518"/>
      <c r="AEM1518"/>
      <c r="AEN1518"/>
      <c r="AEO1518"/>
      <c r="AEP1518"/>
      <c r="AEQ1518"/>
      <c r="AER1518"/>
      <c r="AES1518"/>
      <c r="AET1518"/>
      <c r="AEU1518"/>
      <c r="AEV1518"/>
      <c r="AEW1518"/>
      <c r="AEX1518"/>
      <c r="AEY1518"/>
      <c r="AEZ1518"/>
      <c r="AFA1518"/>
      <c r="AFB1518"/>
      <c r="AFC1518"/>
      <c r="AFD1518"/>
      <c r="AFE1518"/>
      <c r="AFF1518"/>
      <c r="AFG1518"/>
      <c r="AFH1518"/>
      <c r="AFI1518"/>
      <c r="AFJ1518"/>
      <c r="AFK1518"/>
      <c r="AFL1518"/>
      <c r="AFM1518"/>
      <c r="AFN1518"/>
      <c r="AFO1518"/>
      <c r="AFP1518"/>
      <c r="AFQ1518"/>
      <c r="AFR1518"/>
      <c r="AFS1518"/>
      <c r="AFT1518"/>
      <c r="AFU1518"/>
      <c r="AFV1518"/>
      <c r="AFW1518"/>
      <c r="AFX1518"/>
      <c r="AFY1518"/>
      <c r="AFZ1518"/>
      <c r="AGA1518"/>
      <c r="AGB1518"/>
      <c r="AGC1518"/>
      <c r="AGD1518"/>
      <c r="AGE1518"/>
      <c r="AGF1518"/>
      <c r="AGG1518"/>
      <c r="AGH1518"/>
      <c r="AGI1518"/>
      <c r="AGJ1518"/>
      <c r="AGK1518"/>
      <c r="AGL1518"/>
      <c r="AGM1518"/>
      <c r="AGN1518"/>
      <c r="AGO1518"/>
      <c r="AGP1518"/>
      <c r="AGQ1518"/>
      <c r="AGR1518"/>
      <c r="AGS1518"/>
      <c r="AGT1518"/>
      <c r="AGU1518"/>
      <c r="AGV1518"/>
      <c r="AGW1518"/>
      <c r="AGX1518"/>
      <c r="AGY1518"/>
      <c r="AGZ1518"/>
      <c r="AHA1518"/>
      <c r="AHB1518"/>
      <c r="AHC1518"/>
      <c r="AHD1518"/>
      <c r="AHE1518"/>
      <c r="AHF1518"/>
      <c r="AHG1518"/>
      <c r="AHH1518"/>
      <c r="AHI1518"/>
      <c r="AHJ1518"/>
      <c r="AHK1518"/>
      <c r="AHL1518"/>
      <c r="AHM1518"/>
      <c r="AHN1518"/>
      <c r="AHO1518"/>
      <c r="AHP1518"/>
      <c r="AHQ1518"/>
      <c r="AHR1518"/>
      <c r="AHS1518"/>
      <c r="AHT1518"/>
      <c r="AHU1518"/>
      <c r="AHV1518"/>
      <c r="AHW1518"/>
      <c r="AHX1518"/>
      <c r="AHY1518"/>
      <c r="AHZ1518"/>
      <c r="AIA1518"/>
      <c r="AIB1518"/>
      <c r="AIC1518"/>
      <c r="AID1518"/>
      <c r="AIE1518"/>
      <c r="AIF1518"/>
      <c r="AIG1518"/>
      <c r="AIH1518"/>
      <c r="AII1518"/>
      <c r="AIJ1518"/>
      <c r="AIK1518"/>
      <c r="AIL1518"/>
      <c r="AIM1518"/>
      <c r="AIN1518"/>
      <c r="AIO1518"/>
      <c r="AIP1518"/>
      <c r="AIQ1518"/>
      <c r="AIR1518"/>
      <c r="AIS1518"/>
      <c r="AIT1518"/>
      <c r="AIU1518"/>
      <c r="AIV1518"/>
      <c r="AIW1518"/>
      <c r="AIX1518"/>
      <c r="AIY1518"/>
      <c r="AIZ1518"/>
      <c r="AJA1518"/>
      <c r="AJB1518"/>
      <c r="AJC1518"/>
      <c r="AJD1518"/>
      <c r="AJE1518"/>
      <c r="AJF1518"/>
      <c r="AJG1518"/>
      <c r="AJH1518"/>
      <c r="AJI1518"/>
      <c r="AJJ1518"/>
      <c r="AJK1518"/>
      <c r="AJL1518"/>
      <c r="AJM1518"/>
      <c r="AJN1518"/>
      <c r="AJO1518"/>
      <c r="AJP1518"/>
      <c r="AJQ1518"/>
      <c r="AJR1518"/>
      <c r="AJS1518"/>
      <c r="AJT1518"/>
      <c r="AJU1518"/>
      <c r="AJV1518"/>
      <c r="AJW1518"/>
      <c r="AJX1518"/>
      <c r="AJY1518"/>
      <c r="AJZ1518"/>
      <c r="AKA1518"/>
      <c r="AKB1518"/>
      <c r="AKC1518"/>
      <c r="AKD1518"/>
      <c r="AKE1518"/>
      <c r="AKF1518"/>
      <c r="AKG1518"/>
      <c r="AKH1518"/>
      <c r="AKI1518"/>
      <c r="AKJ1518"/>
      <c r="AKK1518"/>
      <c r="AKL1518"/>
      <c r="AKM1518"/>
      <c r="AKN1518"/>
      <c r="AKO1518"/>
      <c r="AKP1518"/>
      <c r="AKQ1518"/>
      <c r="AKR1518"/>
      <c r="AKS1518"/>
      <c r="AKT1518"/>
      <c r="AKU1518"/>
      <c r="AKV1518"/>
      <c r="AKW1518"/>
      <c r="AKX1518"/>
      <c r="AKY1518"/>
      <c r="AKZ1518"/>
      <c r="ALA1518"/>
      <c r="ALB1518"/>
      <c r="ALC1518"/>
      <c r="ALD1518"/>
      <c r="ALE1518"/>
      <c r="ALF1518"/>
      <c r="ALG1518"/>
      <c r="ALH1518"/>
      <c r="ALI1518"/>
      <c r="ALJ1518"/>
      <c r="ALK1518"/>
      <c r="ALL1518"/>
      <c r="ALM1518"/>
      <c r="ALN1518"/>
      <c r="ALO1518"/>
      <c r="ALP1518"/>
      <c r="ALQ1518"/>
      <c r="ALR1518"/>
      <c r="ALS1518"/>
      <c r="ALT1518"/>
      <c r="ALU1518"/>
      <c r="ALV1518"/>
      <c r="ALW1518"/>
      <c r="ALX1518"/>
      <c r="ALY1518"/>
      <c r="ALZ1518"/>
      <c r="AMA1518"/>
      <c r="AMB1518"/>
      <c r="AMC1518"/>
      <c r="AMD1518"/>
      <c r="AME1518"/>
      <c r="AMF1518"/>
      <c r="AMG1518"/>
      <c r="AMH1518"/>
      <c r="AMI1518"/>
      <c r="AMJ1518"/>
      <c r="AMK1518"/>
      <c r="AML1518"/>
      <c r="AMM1518"/>
      <c r="AMN1518"/>
      <c r="AMO1518"/>
      <c r="AMP1518"/>
      <c r="AMQ1518"/>
      <c r="AMR1518"/>
      <c r="AMS1518"/>
      <c r="AMT1518"/>
      <c r="AMU1518"/>
      <c r="AMV1518"/>
      <c r="AMW1518"/>
      <c r="AMX1518"/>
      <c r="AMY1518"/>
      <c r="AMZ1518"/>
      <c r="ANA1518"/>
      <c r="ANB1518"/>
      <c r="ANC1518"/>
      <c r="AND1518"/>
      <c r="ANE1518"/>
      <c r="ANF1518"/>
      <c r="ANG1518"/>
      <c r="ANH1518"/>
      <c r="ANI1518"/>
      <c r="ANJ1518"/>
      <c r="ANK1518"/>
      <c r="ANL1518"/>
      <c r="ANM1518"/>
      <c r="ANN1518"/>
      <c r="ANO1518"/>
      <c r="ANP1518"/>
      <c r="ANQ1518"/>
      <c r="ANR1518"/>
      <c r="ANS1518"/>
      <c r="ANT1518"/>
      <c r="ANU1518"/>
      <c r="ANV1518"/>
      <c r="ANW1518"/>
      <c r="ANX1518"/>
      <c r="ANY1518"/>
      <c r="ANZ1518"/>
      <c r="AOA1518"/>
      <c r="AOB1518"/>
      <c r="AOC1518"/>
      <c r="AOD1518"/>
      <c r="AOE1518"/>
      <c r="AOF1518"/>
      <c r="AOG1518"/>
      <c r="AOH1518"/>
      <c r="AOI1518"/>
      <c r="AOJ1518"/>
      <c r="AOK1518"/>
      <c r="AOL1518"/>
      <c r="AOM1518"/>
      <c r="AON1518"/>
      <c r="AOO1518"/>
      <c r="AOP1518"/>
      <c r="AOQ1518"/>
      <c r="AOR1518"/>
      <c r="AOS1518"/>
      <c r="AOT1518"/>
      <c r="AOU1518"/>
      <c r="AOV1518"/>
      <c r="AOW1518"/>
      <c r="AOX1518"/>
      <c r="AOY1518"/>
      <c r="AOZ1518"/>
      <c r="APA1518"/>
      <c r="APB1518"/>
      <c r="APC1518"/>
      <c r="APD1518"/>
      <c r="APE1518"/>
      <c r="APF1518"/>
      <c r="APG1518"/>
      <c r="APH1518"/>
      <c r="API1518"/>
      <c r="APJ1518"/>
      <c r="APK1518"/>
      <c r="APL1518"/>
      <c r="APM1518"/>
      <c r="APN1518"/>
      <c r="APO1518"/>
      <c r="APP1518"/>
      <c r="APQ1518"/>
      <c r="APR1518"/>
      <c r="APS1518"/>
      <c r="APT1518"/>
      <c r="APU1518"/>
      <c r="APV1518"/>
      <c r="APW1518"/>
      <c r="APX1518"/>
      <c r="APY1518"/>
      <c r="APZ1518"/>
      <c r="AQA1518"/>
      <c r="AQB1518"/>
      <c r="AQC1518"/>
      <c r="AQD1518"/>
      <c r="AQE1518"/>
      <c r="AQF1518"/>
      <c r="AQG1518"/>
      <c r="AQH1518"/>
      <c r="AQI1518"/>
      <c r="AQJ1518"/>
      <c r="AQK1518"/>
      <c r="AQL1518"/>
      <c r="AQM1518"/>
      <c r="AQN1518"/>
      <c r="AQO1518"/>
      <c r="AQP1518"/>
      <c r="AQQ1518"/>
      <c r="AQR1518"/>
      <c r="AQS1518"/>
      <c r="AQT1518"/>
      <c r="AQU1518"/>
      <c r="AQV1518"/>
      <c r="AQW1518"/>
      <c r="AQX1518"/>
      <c r="AQY1518"/>
      <c r="AQZ1518"/>
      <c r="ARA1518"/>
      <c r="ARB1518"/>
      <c r="ARC1518"/>
      <c r="ARD1518"/>
      <c r="ARE1518"/>
      <c r="ARF1518"/>
      <c r="ARG1518"/>
      <c r="ARH1518"/>
      <c r="ARI1518"/>
      <c r="ARJ1518"/>
      <c r="ARK1518"/>
      <c r="ARL1518"/>
      <c r="ARM1518"/>
      <c r="ARN1518"/>
      <c r="ARO1518"/>
      <c r="ARP1518"/>
      <c r="ARQ1518"/>
      <c r="ARR1518"/>
      <c r="ARS1518"/>
      <c r="ART1518"/>
      <c r="ARU1518"/>
      <c r="ARV1518"/>
      <c r="ARW1518"/>
      <c r="ARX1518"/>
      <c r="ARY1518"/>
      <c r="ARZ1518"/>
      <c r="ASA1518"/>
      <c r="ASB1518"/>
      <c r="ASC1518"/>
      <c r="ASD1518"/>
      <c r="ASE1518"/>
      <c r="ASF1518"/>
      <c r="ASG1518"/>
      <c r="ASH1518"/>
      <c r="ASI1518"/>
      <c r="ASJ1518"/>
      <c r="ASK1518"/>
      <c r="ASL1518"/>
      <c r="ASM1518"/>
      <c r="ASN1518"/>
      <c r="ASO1518"/>
      <c r="ASP1518"/>
      <c r="ASQ1518"/>
      <c r="ASR1518"/>
      <c r="ASS1518"/>
      <c r="AST1518"/>
      <c r="ASU1518"/>
      <c r="ASV1518"/>
      <c r="ASW1518"/>
      <c r="ASX1518"/>
      <c r="ASY1518"/>
      <c r="ASZ1518"/>
      <c r="ATA1518"/>
      <c r="ATB1518"/>
      <c r="ATC1518"/>
      <c r="ATD1518"/>
      <c r="ATE1518"/>
      <c r="ATF1518"/>
      <c r="ATG1518"/>
      <c r="ATH1518"/>
      <c r="ATI1518"/>
      <c r="ATJ1518"/>
      <c r="ATK1518"/>
      <c r="ATL1518"/>
      <c r="ATM1518"/>
      <c r="ATN1518"/>
      <c r="ATO1518"/>
      <c r="ATP1518"/>
      <c r="ATQ1518"/>
      <c r="ATR1518"/>
      <c r="ATS1518"/>
      <c r="ATT1518"/>
      <c r="ATU1518"/>
      <c r="ATV1518"/>
      <c r="ATW1518"/>
      <c r="ATX1518"/>
      <c r="ATY1518"/>
      <c r="ATZ1518"/>
      <c r="AUA1518"/>
      <c r="AUB1518"/>
      <c r="AUC1518"/>
      <c r="AUD1518"/>
      <c r="AUE1518"/>
      <c r="AUF1518"/>
      <c r="AUG1518"/>
      <c r="AUH1518"/>
      <c r="AUI1518"/>
      <c r="AUJ1518"/>
      <c r="AUK1518"/>
      <c r="AUL1518"/>
      <c r="AUM1518"/>
      <c r="AUN1518"/>
      <c r="AUO1518"/>
      <c r="AUP1518"/>
      <c r="AUQ1518"/>
      <c r="AUR1518"/>
      <c r="AUS1518"/>
      <c r="AUT1518"/>
      <c r="AUU1518"/>
      <c r="AUV1518"/>
      <c r="AUW1518"/>
      <c r="AUX1518"/>
      <c r="AUY1518"/>
      <c r="AUZ1518"/>
      <c r="AVA1518"/>
      <c r="AVB1518"/>
      <c r="AVC1518"/>
      <c r="AVD1518"/>
      <c r="AVE1518"/>
      <c r="AVF1518"/>
      <c r="AVG1518"/>
      <c r="AVH1518"/>
      <c r="AVI1518"/>
      <c r="AVJ1518"/>
      <c r="AVK1518"/>
      <c r="AVL1518"/>
      <c r="AVM1518"/>
      <c r="AVN1518"/>
      <c r="AVO1518"/>
      <c r="AVP1518"/>
      <c r="AVQ1518"/>
      <c r="AVR1518"/>
      <c r="AVS1518"/>
      <c r="AVT1518"/>
      <c r="AVU1518"/>
      <c r="AVV1518"/>
      <c r="AVW1518"/>
      <c r="AVX1518"/>
      <c r="AVY1518"/>
      <c r="AVZ1518"/>
      <c r="AWA1518"/>
      <c r="AWB1518"/>
      <c r="AWC1518"/>
      <c r="AWD1518"/>
      <c r="AWE1518"/>
      <c r="AWF1518"/>
      <c r="AWG1518"/>
      <c r="AWH1518"/>
      <c r="AWI1518"/>
      <c r="AWJ1518"/>
      <c r="AWK1518"/>
      <c r="AWL1518"/>
      <c r="AWM1518"/>
      <c r="AWN1518"/>
      <c r="AWO1518"/>
      <c r="AWP1518"/>
      <c r="AWQ1518"/>
      <c r="AWR1518"/>
      <c r="AWS1518"/>
      <c r="AWT1518"/>
      <c r="AWU1518"/>
      <c r="AWV1518"/>
      <c r="AWW1518"/>
      <c r="AWX1518"/>
      <c r="AWY1518"/>
      <c r="AWZ1518"/>
      <c r="AXA1518"/>
      <c r="AXB1518"/>
      <c r="AXC1518"/>
      <c r="AXD1518"/>
      <c r="AXE1518"/>
      <c r="AXF1518"/>
      <c r="AXG1518"/>
      <c r="AXH1518"/>
      <c r="AXI1518"/>
      <c r="AXJ1518"/>
      <c r="AXK1518"/>
      <c r="AXL1518"/>
      <c r="AXM1518"/>
      <c r="AXN1518"/>
      <c r="AXO1518"/>
      <c r="AXP1518"/>
      <c r="AXQ1518"/>
      <c r="AXR1518"/>
      <c r="AXS1518"/>
      <c r="AXT1518"/>
      <c r="AXU1518"/>
      <c r="AXV1518"/>
      <c r="AXW1518"/>
      <c r="AXX1518"/>
      <c r="AXY1518"/>
      <c r="AXZ1518"/>
      <c r="AYA1518"/>
      <c r="AYB1518"/>
      <c r="AYC1518"/>
      <c r="AYD1518"/>
      <c r="AYE1518"/>
      <c r="AYF1518"/>
      <c r="AYG1518"/>
      <c r="AYH1518"/>
      <c r="AYI1518"/>
      <c r="AYJ1518"/>
      <c r="AYK1518"/>
      <c r="AYL1518"/>
      <c r="AYM1518"/>
      <c r="AYN1518"/>
      <c r="AYO1518"/>
      <c r="AYP1518"/>
      <c r="AYQ1518"/>
      <c r="AYR1518"/>
      <c r="AYS1518"/>
      <c r="AYT1518"/>
      <c r="AYU1518"/>
      <c r="AYV1518"/>
      <c r="AYW1518"/>
      <c r="AYX1518"/>
      <c r="AYY1518"/>
      <c r="AYZ1518"/>
      <c r="AZA1518"/>
      <c r="AZB1518"/>
      <c r="AZC1518"/>
      <c r="AZD1518"/>
      <c r="AZE1518"/>
      <c r="AZF1518"/>
      <c r="AZG1518"/>
      <c r="AZH1518"/>
      <c r="AZI1518"/>
      <c r="AZJ1518"/>
      <c r="AZK1518"/>
      <c r="AZL1518"/>
      <c r="AZM1518"/>
      <c r="AZN1518"/>
      <c r="AZO1518"/>
      <c r="AZP1518"/>
      <c r="AZQ1518"/>
      <c r="AZR1518"/>
      <c r="AZS1518"/>
      <c r="AZT1518"/>
      <c r="AZU1518"/>
      <c r="AZV1518"/>
      <c r="AZW1518"/>
      <c r="AZX1518"/>
      <c r="AZY1518"/>
      <c r="AZZ1518"/>
      <c r="BAA1518"/>
      <c r="BAB1518"/>
      <c r="BAC1518"/>
      <c r="BAD1518"/>
      <c r="BAE1518"/>
      <c r="BAF1518"/>
      <c r="BAG1518"/>
      <c r="BAH1518"/>
      <c r="BAI1518"/>
      <c r="BAJ1518"/>
      <c r="BAK1518"/>
      <c r="BAL1518"/>
      <c r="BAM1518"/>
      <c r="BAN1518"/>
      <c r="BAO1518"/>
      <c r="BAP1518"/>
      <c r="BAQ1518"/>
      <c r="BAR1518"/>
      <c r="BAS1518"/>
      <c r="BAT1518"/>
      <c r="BAU1518"/>
      <c r="BAV1518"/>
      <c r="BAW1518"/>
      <c r="BAX1518"/>
      <c r="BAY1518"/>
      <c r="BAZ1518"/>
      <c r="BBA1518"/>
      <c r="BBB1518"/>
      <c r="BBC1518"/>
      <c r="BBD1518"/>
      <c r="BBE1518"/>
      <c r="BBF1518"/>
      <c r="BBG1518"/>
      <c r="BBH1518"/>
      <c r="BBI1518"/>
      <c r="BBJ1518"/>
      <c r="BBK1518"/>
      <c r="BBL1518"/>
      <c r="BBM1518"/>
      <c r="BBN1518"/>
      <c r="BBO1518"/>
      <c r="BBP1518"/>
      <c r="BBQ1518"/>
      <c r="BBR1518"/>
      <c r="BBS1518"/>
      <c r="BBT1518"/>
      <c r="BBU1518"/>
      <c r="BBV1518"/>
      <c r="BBW1518"/>
      <c r="BBX1518"/>
      <c r="BBY1518"/>
      <c r="BBZ1518"/>
      <c r="BCA1518"/>
      <c r="BCB1518"/>
      <c r="BCC1518"/>
      <c r="BCD1518"/>
      <c r="BCE1518"/>
      <c r="BCF1518"/>
      <c r="BCG1518"/>
      <c r="BCH1518"/>
      <c r="BCI1518"/>
      <c r="BCJ1518"/>
      <c r="BCK1518"/>
      <c r="BCL1518"/>
      <c r="BCM1518"/>
      <c r="BCN1518"/>
      <c r="BCO1518"/>
      <c r="BCP1518"/>
      <c r="BCQ1518"/>
      <c r="BCR1518"/>
      <c r="BCS1518"/>
      <c r="BCT1518"/>
      <c r="BCU1518"/>
      <c r="BCV1518"/>
      <c r="BCW1518"/>
      <c r="BCX1518"/>
      <c r="BCY1518"/>
      <c r="BCZ1518"/>
      <c r="BDA1518"/>
      <c r="BDB1518"/>
      <c r="BDC1518"/>
      <c r="BDD1518"/>
      <c r="BDE1518"/>
      <c r="BDF1518"/>
      <c r="BDG1518"/>
      <c r="BDH1518"/>
      <c r="BDI1518"/>
      <c r="BDJ1518"/>
      <c r="BDK1518"/>
      <c r="BDL1518"/>
      <c r="BDM1518"/>
      <c r="BDN1518"/>
      <c r="BDO1518"/>
      <c r="BDP1518"/>
      <c r="BDQ1518"/>
      <c r="BDR1518"/>
      <c r="BDS1518"/>
      <c r="BDT1518"/>
      <c r="BDU1518"/>
      <c r="BDV1518"/>
      <c r="BDW1518"/>
      <c r="BDX1518"/>
      <c r="BDY1518"/>
      <c r="BDZ1518"/>
      <c r="BEA1518"/>
      <c r="BEB1518"/>
      <c r="BEC1518"/>
      <c r="BED1518"/>
      <c r="BEE1518"/>
      <c r="BEF1518"/>
      <c r="BEG1518"/>
      <c r="BEH1518"/>
      <c r="BEI1518"/>
      <c r="BEJ1518"/>
      <c r="BEK1518"/>
      <c r="BEL1518"/>
      <c r="BEM1518"/>
      <c r="BEN1518"/>
      <c r="BEO1518"/>
      <c r="BEP1518"/>
      <c r="BEQ1518"/>
      <c r="BER1518"/>
      <c r="BES1518"/>
      <c r="BET1518"/>
      <c r="BEU1518"/>
      <c r="BEV1518"/>
      <c r="BEW1518"/>
      <c r="BEX1518"/>
      <c r="BEY1518"/>
      <c r="BEZ1518"/>
      <c r="BFA1518"/>
      <c r="BFB1518"/>
      <c r="BFC1518"/>
      <c r="BFD1518"/>
      <c r="BFE1518"/>
      <c r="BFF1518"/>
      <c r="BFG1518"/>
      <c r="BFH1518"/>
      <c r="BFI1518"/>
      <c r="BFJ1518"/>
      <c r="BFK1518"/>
      <c r="BFL1518"/>
      <c r="BFM1518"/>
      <c r="BFN1518"/>
      <c r="BFO1518"/>
      <c r="BFP1518"/>
      <c r="BFQ1518"/>
      <c r="BFR1518"/>
      <c r="BFS1518"/>
      <c r="BFT1518"/>
      <c r="BFU1518"/>
      <c r="BFV1518"/>
      <c r="BFW1518"/>
      <c r="BFX1518"/>
      <c r="BFY1518"/>
      <c r="BFZ1518"/>
      <c r="BGA1518"/>
      <c r="BGB1518"/>
      <c r="BGC1518"/>
      <c r="BGD1518"/>
      <c r="BGE1518"/>
      <c r="BGF1518"/>
      <c r="BGG1518"/>
      <c r="BGH1518"/>
      <c r="BGI1518"/>
      <c r="BGJ1518"/>
      <c r="BGK1518"/>
      <c r="BGL1518"/>
      <c r="BGM1518"/>
      <c r="BGN1518"/>
      <c r="BGO1518"/>
      <c r="BGP1518"/>
      <c r="BGQ1518"/>
      <c r="BGR1518"/>
      <c r="BGS1518"/>
      <c r="BGT1518"/>
      <c r="BGU1518"/>
      <c r="BGV1518"/>
      <c r="BGW1518"/>
      <c r="BGX1518"/>
      <c r="BGY1518"/>
      <c r="BGZ1518"/>
      <c r="BHA1518"/>
      <c r="BHB1518"/>
      <c r="BHC1518"/>
      <c r="BHD1518"/>
      <c r="BHE1518"/>
      <c r="BHF1518"/>
      <c r="BHG1518"/>
      <c r="BHH1518"/>
      <c r="BHI1518"/>
      <c r="BHJ1518"/>
      <c r="BHK1518"/>
      <c r="BHL1518"/>
      <c r="BHM1518"/>
      <c r="BHN1518"/>
      <c r="BHO1518"/>
      <c r="BHP1518"/>
      <c r="BHQ1518"/>
      <c r="BHR1518"/>
      <c r="BHS1518"/>
      <c r="BHT1518"/>
      <c r="BHU1518"/>
      <c r="BHV1518"/>
      <c r="BHW1518"/>
      <c r="BHX1518"/>
      <c r="BHY1518"/>
      <c r="BHZ1518"/>
      <c r="BIA1518"/>
      <c r="BIB1518"/>
      <c r="BIC1518"/>
      <c r="BID1518"/>
      <c r="BIE1518"/>
      <c r="BIF1518"/>
      <c r="BIG1518"/>
      <c r="BIH1518"/>
      <c r="BII1518"/>
      <c r="BIJ1518"/>
      <c r="BIK1518"/>
      <c r="BIL1518"/>
      <c r="BIM1518"/>
      <c r="BIN1518"/>
      <c r="BIO1518"/>
      <c r="BIP1518"/>
      <c r="BIQ1518"/>
      <c r="BIR1518"/>
      <c r="BIS1518"/>
      <c r="BIT1518"/>
      <c r="BIU1518"/>
      <c r="BIV1518"/>
      <c r="BIW1518"/>
      <c r="BIX1518"/>
      <c r="BIY1518"/>
      <c r="BIZ1518"/>
      <c r="BJA1518"/>
      <c r="BJB1518"/>
      <c r="BJC1518"/>
      <c r="BJD1518"/>
      <c r="BJE1518"/>
      <c r="BJF1518"/>
      <c r="BJG1518"/>
      <c r="BJH1518"/>
      <c r="BJI1518"/>
      <c r="BJJ1518"/>
      <c r="BJK1518"/>
      <c r="BJL1518"/>
      <c r="BJM1518"/>
      <c r="BJN1518"/>
      <c r="BJO1518"/>
      <c r="BJP1518"/>
      <c r="BJQ1518"/>
      <c r="BJR1518"/>
      <c r="BJS1518"/>
      <c r="BJT1518"/>
      <c r="BJU1518"/>
      <c r="BJV1518"/>
      <c r="BJW1518"/>
      <c r="BJX1518"/>
      <c r="BJY1518"/>
      <c r="BJZ1518"/>
      <c r="BKA1518"/>
      <c r="BKB1518"/>
      <c r="BKC1518"/>
      <c r="BKD1518"/>
      <c r="BKE1518"/>
      <c r="BKF1518"/>
      <c r="BKG1518"/>
      <c r="BKH1518"/>
      <c r="BKI1518"/>
      <c r="BKJ1518"/>
      <c r="BKK1518"/>
      <c r="BKL1518"/>
      <c r="BKM1518"/>
      <c r="BKN1518"/>
      <c r="BKO1518"/>
      <c r="BKP1518"/>
      <c r="BKQ1518"/>
      <c r="BKR1518"/>
      <c r="BKS1518"/>
      <c r="BKT1518"/>
      <c r="BKU1518"/>
      <c r="BKV1518"/>
      <c r="BKW1518"/>
      <c r="BKX1518"/>
      <c r="BKY1518"/>
      <c r="BKZ1518"/>
      <c r="BLA1518"/>
      <c r="BLB1518"/>
      <c r="BLC1518"/>
      <c r="BLD1518"/>
      <c r="BLE1518"/>
      <c r="BLF1518"/>
      <c r="BLG1518"/>
      <c r="BLH1518"/>
      <c r="BLI1518"/>
      <c r="BLJ1518"/>
      <c r="BLK1518"/>
      <c r="BLL1518"/>
      <c r="BLM1518"/>
      <c r="BLN1518"/>
      <c r="BLO1518"/>
      <c r="BLP1518"/>
      <c r="BLQ1518"/>
      <c r="BLR1518"/>
      <c r="BLS1518"/>
      <c r="BLT1518"/>
      <c r="BLU1518"/>
      <c r="BLV1518"/>
      <c r="BLW1518"/>
      <c r="BLX1518"/>
      <c r="BLY1518"/>
      <c r="BLZ1518"/>
      <c r="BMA1518"/>
      <c r="BMB1518"/>
      <c r="BMC1518"/>
      <c r="BMD1518"/>
      <c r="BME1518"/>
      <c r="BMF1518"/>
      <c r="BMG1518"/>
      <c r="BMH1518"/>
      <c r="BMI1518"/>
      <c r="BMJ1518"/>
      <c r="BMK1518"/>
      <c r="BML1518"/>
      <c r="BMM1518"/>
      <c r="BMN1518"/>
      <c r="BMO1518"/>
      <c r="BMP1518"/>
      <c r="BMQ1518"/>
      <c r="BMR1518"/>
      <c r="BMS1518"/>
      <c r="BMT1518"/>
      <c r="BMU1518"/>
      <c r="BMV1518"/>
      <c r="BMW1518"/>
      <c r="BMX1518"/>
      <c r="BMY1518"/>
      <c r="BMZ1518"/>
      <c r="BNA1518"/>
      <c r="BNB1518"/>
      <c r="BNC1518"/>
      <c r="BND1518"/>
      <c r="BNE1518"/>
      <c r="BNF1518"/>
      <c r="BNG1518"/>
      <c r="BNH1518"/>
      <c r="BNI1518"/>
      <c r="BNJ1518"/>
      <c r="BNK1518"/>
      <c r="BNL1518"/>
      <c r="BNM1518"/>
      <c r="BNN1518"/>
      <c r="BNO1518"/>
      <c r="BNP1518"/>
      <c r="BNQ1518"/>
      <c r="BNR1518"/>
      <c r="BNS1518"/>
      <c r="BNT1518"/>
      <c r="BNU1518"/>
      <c r="BNV1518"/>
      <c r="BNW1518"/>
      <c r="BNX1518"/>
      <c r="BNY1518"/>
      <c r="BNZ1518"/>
      <c r="BOA1518"/>
      <c r="BOB1518"/>
      <c r="BOC1518"/>
      <c r="BOD1518"/>
      <c r="BOE1518"/>
      <c r="BOF1518"/>
      <c r="BOG1518"/>
      <c r="BOH1518"/>
      <c r="BOI1518"/>
      <c r="BOJ1518"/>
      <c r="BOK1518"/>
      <c r="BOL1518"/>
      <c r="BOM1518"/>
      <c r="BON1518"/>
      <c r="BOO1518"/>
      <c r="BOP1518"/>
      <c r="BOQ1518"/>
      <c r="BOR1518"/>
      <c r="BOS1518"/>
      <c r="BOT1518"/>
      <c r="BOU1518"/>
      <c r="BOV1518"/>
      <c r="BOW1518"/>
      <c r="BOX1518"/>
      <c r="BOY1518"/>
      <c r="BOZ1518"/>
      <c r="BPA1518"/>
      <c r="BPB1518"/>
      <c r="BPC1518"/>
      <c r="BPD1518"/>
      <c r="BPE1518"/>
      <c r="BPF1518"/>
      <c r="BPG1518"/>
      <c r="BPH1518"/>
      <c r="BPI1518"/>
      <c r="BPJ1518"/>
      <c r="BPK1518"/>
      <c r="BPL1518"/>
      <c r="BPM1518"/>
      <c r="BPN1518"/>
      <c r="BPO1518"/>
      <c r="BPP1518"/>
      <c r="BPQ1518"/>
      <c r="BPR1518"/>
      <c r="BPS1518"/>
      <c r="BPT1518"/>
      <c r="BPU1518"/>
      <c r="BPV1518"/>
      <c r="BPW1518"/>
      <c r="BPX1518"/>
      <c r="BPY1518"/>
      <c r="BPZ1518"/>
      <c r="BQA1518"/>
      <c r="BQB1518"/>
      <c r="BQC1518"/>
      <c r="BQD1518"/>
      <c r="BQE1518"/>
      <c r="BQF1518"/>
      <c r="BQG1518"/>
      <c r="BQH1518"/>
      <c r="BQI1518"/>
      <c r="BQJ1518"/>
      <c r="BQK1518"/>
      <c r="BQL1518"/>
      <c r="BQM1518"/>
      <c r="BQN1518"/>
      <c r="BQO1518"/>
      <c r="BQP1518"/>
      <c r="BQQ1518"/>
      <c r="BQR1518"/>
      <c r="BQS1518"/>
      <c r="BQT1518"/>
      <c r="BQU1518"/>
      <c r="BQV1518"/>
      <c r="BQW1518"/>
      <c r="BQX1518"/>
      <c r="BQY1518"/>
      <c r="BQZ1518"/>
      <c r="BRA1518"/>
      <c r="BRB1518"/>
      <c r="BRC1518"/>
      <c r="BRD1518"/>
      <c r="BRE1518"/>
      <c r="BRF1518"/>
      <c r="BRG1518"/>
      <c r="BRH1518"/>
      <c r="BRI1518"/>
      <c r="BRJ1518"/>
      <c r="BRK1518"/>
      <c r="BRL1518"/>
      <c r="BRM1518"/>
      <c r="BRN1518"/>
      <c r="BRO1518"/>
      <c r="BRP1518"/>
      <c r="BRQ1518"/>
      <c r="BRR1518"/>
      <c r="BRS1518"/>
      <c r="BRT1518"/>
      <c r="BRU1518"/>
      <c r="BRV1518"/>
      <c r="BRW1518"/>
      <c r="BRX1518"/>
      <c r="BRY1518"/>
      <c r="BRZ1518"/>
      <c r="BSA1518"/>
      <c r="BSB1518"/>
      <c r="BSC1518"/>
      <c r="BSD1518"/>
      <c r="BSE1518"/>
      <c r="BSF1518"/>
      <c r="BSG1518"/>
      <c r="BSH1518"/>
      <c r="BSI1518"/>
      <c r="BSJ1518"/>
      <c r="BSK1518"/>
      <c r="BSL1518"/>
      <c r="BSM1518"/>
      <c r="BSN1518"/>
      <c r="BSO1518"/>
      <c r="BSP1518"/>
      <c r="BSQ1518"/>
      <c r="BSR1518"/>
      <c r="BSS1518"/>
      <c r="BST1518"/>
      <c r="BSU1518"/>
      <c r="BSV1518"/>
      <c r="BSW1518"/>
      <c r="BSX1518"/>
      <c r="BSY1518"/>
      <c r="BSZ1518"/>
      <c r="BTA1518"/>
      <c r="BTB1518"/>
      <c r="BTC1518"/>
      <c r="BTD1518"/>
      <c r="BTE1518"/>
      <c r="BTF1518"/>
      <c r="BTG1518"/>
      <c r="BTH1518"/>
      <c r="BTI1518"/>
      <c r="BTJ1518"/>
      <c r="BTK1518"/>
      <c r="BTL1518"/>
      <c r="BTM1518"/>
      <c r="BTN1518"/>
      <c r="BTO1518"/>
      <c r="BTP1518"/>
      <c r="BTQ1518"/>
      <c r="BTR1518"/>
      <c r="BTS1518"/>
      <c r="BTT1518"/>
      <c r="BTU1518"/>
      <c r="BTV1518"/>
      <c r="BTW1518"/>
      <c r="BTX1518"/>
      <c r="BTY1518"/>
      <c r="BTZ1518"/>
      <c r="BUA1518"/>
      <c r="BUB1518"/>
      <c r="BUC1518"/>
      <c r="BUD1518"/>
      <c r="BUE1518"/>
      <c r="BUF1518"/>
      <c r="BUG1518"/>
      <c r="BUH1518"/>
      <c r="BUI1518"/>
      <c r="BUJ1518"/>
      <c r="BUK1518"/>
      <c r="BUL1518"/>
      <c r="BUM1518"/>
      <c r="BUN1518"/>
      <c r="BUO1518"/>
      <c r="BUP1518"/>
      <c r="BUQ1518"/>
      <c r="BUR1518"/>
      <c r="BUS1518"/>
      <c r="BUT1518"/>
      <c r="BUU1518"/>
      <c r="BUV1518"/>
      <c r="BUW1518"/>
      <c r="BUX1518"/>
      <c r="BUY1518"/>
      <c r="BUZ1518"/>
      <c r="BVA1518"/>
      <c r="BVB1518"/>
      <c r="BVC1518"/>
      <c r="BVD1518"/>
      <c r="BVE1518"/>
      <c r="BVF1518"/>
      <c r="BVG1518"/>
      <c r="BVH1518"/>
      <c r="BVI1518"/>
      <c r="BVJ1518"/>
      <c r="BVK1518"/>
      <c r="BVL1518"/>
      <c r="BVM1518"/>
      <c r="BVN1518"/>
      <c r="BVO1518"/>
      <c r="BVP1518"/>
      <c r="BVQ1518"/>
      <c r="BVR1518"/>
      <c r="BVS1518"/>
      <c r="BVT1518"/>
      <c r="BVU1518"/>
      <c r="BVV1518"/>
      <c r="BVW1518"/>
      <c r="BVX1518"/>
      <c r="BVY1518"/>
      <c r="BVZ1518"/>
      <c r="BWA1518"/>
      <c r="BWB1518"/>
      <c r="BWC1518"/>
      <c r="BWD1518"/>
      <c r="BWE1518"/>
      <c r="BWF1518"/>
      <c r="BWG1518"/>
      <c r="BWH1518"/>
      <c r="BWI1518"/>
      <c r="BWJ1518"/>
      <c r="BWK1518"/>
      <c r="BWL1518"/>
      <c r="BWM1518"/>
      <c r="BWN1518"/>
      <c r="BWO1518"/>
      <c r="BWP1518"/>
      <c r="BWQ1518"/>
      <c r="BWR1518"/>
      <c r="BWS1518"/>
      <c r="BWT1518"/>
      <c r="BWU1518"/>
      <c r="BWV1518"/>
      <c r="BWW1518"/>
      <c r="BWX1518"/>
      <c r="BWY1518"/>
      <c r="BWZ1518"/>
      <c r="BXA1518"/>
      <c r="BXB1518"/>
      <c r="BXC1518"/>
      <c r="BXD1518"/>
      <c r="BXE1518"/>
      <c r="BXF1518"/>
      <c r="BXG1518"/>
      <c r="BXH1518"/>
      <c r="BXI1518"/>
      <c r="BXJ1518"/>
      <c r="BXK1518"/>
      <c r="BXL1518"/>
      <c r="BXM1518"/>
      <c r="BXN1518"/>
      <c r="BXO1518"/>
      <c r="BXP1518"/>
      <c r="BXQ1518"/>
      <c r="BXR1518"/>
      <c r="BXS1518"/>
      <c r="BXT1518"/>
      <c r="BXU1518"/>
      <c r="BXV1518"/>
      <c r="BXW1518"/>
      <c r="BXX1518"/>
      <c r="BXY1518"/>
      <c r="BXZ1518"/>
      <c r="BYA1518"/>
      <c r="BYB1518"/>
      <c r="BYC1518"/>
      <c r="BYD1518"/>
      <c r="BYE1518"/>
      <c r="BYF1518"/>
      <c r="BYG1518"/>
      <c r="BYH1518"/>
      <c r="BYI1518"/>
      <c r="BYJ1518"/>
      <c r="BYK1518"/>
      <c r="BYL1518"/>
      <c r="BYM1518"/>
      <c r="BYN1518"/>
      <c r="BYO1518"/>
      <c r="BYP1518"/>
      <c r="BYQ1518"/>
      <c r="BYR1518"/>
      <c r="BYS1518"/>
      <c r="BYT1518"/>
      <c r="BYU1518"/>
      <c r="BYV1518"/>
      <c r="BYW1518"/>
      <c r="BYX1518"/>
      <c r="BYY1518"/>
      <c r="BYZ1518"/>
      <c r="BZA1518"/>
      <c r="BZB1518"/>
      <c r="BZC1518"/>
      <c r="BZD1518"/>
      <c r="BZE1518"/>
      <c r="BZF1518"/>
      <c r="BZG1518"/>
      <c r="BZH1518"/>
      <c r="BZI1518"/>
      <c r="BZJ1518"/>
      <c r="BZK1518"/>
      <c r="BZL1518"/>
      <c r="BZM1518"/>
      <c r="BZN1518"/>
      <c r="BZO1518"/>
      <c r="BZP1518"/>
      <c r="BZQ1518"/>
      <c r="BZR1518"/>
      <c r="BZS1518"/>
      <c r="BZT1518"/>
      <c r="BZU1518"/>
      <c r="BZV1518"/>
      <c r="BZW1518"/>
      <c r="BZX1518"/>
      <c r="BZY1518"/>
      <c r="BZZ1518"/>
      <c r="CAA1518"/>
      <c r="CAB1518"/>
      <c r="CAC1518"/>
      <c r="CAD1518"/>
      <c r="CAE1518"/>
      <c r="CAF1518"/>
      <c r="CAG1518"/>
      <c r="CAH1518"/>
      <c r="CAI1518"/>
      <c r="CAJ1518"/>
      <c r="CAK1518"/>
      <c r="CAL1518"/>
      <c r="CAM1518"/>
      <c r="CAN1518"/>
      <c r="CAO1518"/>
      <c r="CAP1518"/>
      <c r="CAQ1518"/>
      <c r="CAR1518"/>
      <c r="CAS1518"/>
      <c r="CAT1518"/>
      <c r="CAU1518"/>
      <c r="CAV1518"/>
      <c r="CAW1518"/>
      <c r="CAX1518"/>
      <c r="CAY1518"/>
      <c r="CAZ1518"/>
      <c r="CBA1518"/>
      <c r="CBB1518"/>
      <c r="CBC1518"/>
      <c r="CBD1518"/>
      <c r="CBE1518"/>
      <c r="CBF1518"/>
      <c r="CBG1518"/>
      <c r="CBH1518"/>
      <c r="CBI1518"/>
      <c r="CBJ1518"/>
      <c r="CBK1518"/>
      <c r="CBL1518"/>
      <c r="CBM1518"/>
      <c r="CBN1518"/>
      <c r="CBO1518"/>
      <c r="CBP1518"/>
      <c r="CBQ1518"/>
      <c r="CBR1518"/>
      <c r="CBS1518"/>
      <c r="CBT1518"/>
      <c r="CBU1518"/>
      <c r="CBV1518"/>
      <c r="CBW1518"/>
      <c r="CBX1518"/>
      <c r="CBY1518"/>
      <c r="CBZ1518"/>
      <c r="CCA1518"/>
      <c r="CCB1518"/>
      <c r="CCC1518"/>
      <c r="CCD1518"/>
      <c r="CCE1518"/>
      <c r="CCF1518"/>
      <c r="CCG1518"/>
      <c r="CCH1518"/>
      <c r="CCI1518"/>
      <c r="CCJ1518"/>
      <c r="CCK1518"/>
      <c r="CCL1518"/>
      <c r="CCM1518"/>
      <c r="CCN1518"/>
      <c r="CCO1518"/>
      <c r="CCP1518"/>
      <c r="CCQ1518"/>
      <c r="CCR1518"/>
      <c r="CCS1518"/>
      <c r="CCT1518"/>
      <c r="CCU1518"/>
      <c r="CCV1518"/>
      <c r="CCW1518"/>
      <c r="CCX1518"/>
      <c r="CCY1518"/>
      <c r="CCZ1518"/>
      <c r="CDA1518"/>
      <c r="CDB1518"/>
      <c r="CDC1518"/>
      <c r="CDD1518"/>
      <c r="CDE1518"/>
      <c r="CDF1518"/>
      <c r="CDG1518"/>
      <c r="CDH1518"/>
      <c r="CDI1518"/>
      <c r="CDJ1518"/>
      <c r="CDK1518"/>
      <c r="CDL1518"/>
      <c r="CDM1518"/>
      <c r="CDN1518"/>
      <c r="CDO1518"/>
      <c r="CDP1518"/>
      <c r="CDQ1518"/>
      <c r="CDR1518"/>
      <c r="CDS1518"/>
      <c r="CDT1518"/>
      <c r="CDU1518"/>
      <c r="CDV1518"/>
      <c r="CDW1518"/>
      <c r="CDX1518"/>
      <c r="CDY1518"/>
      <c r="CDZ1518"/>
      <c r="CEA1518"/>
      <c r="CEB1518"/>
      <c r="CEC1518"/>
      <c r="CED1518"/>
      <c r="CEE1518"/>
      <c r="CEF1518"/>
      <c r="CEG1518"/>
      <c r="CEH1518"/>
      <c r="CEI1518"/>
      <c r="CEJ1518"/>
      <c r="CEK1518"/>
      <c r="CEL1518"/>
      <c r="CEM1518"/>
      <c r="CEN1518"/>
      <c r="CEO1518"/>
      <c r="CEP1518"/>
      <c r="CEQ1518"/>
      <c r="CER1518"/>
      <c r="CES1518"/>
      <c r="CET1518"/>
      <c r="CEU1518"/>
      <c r="CEV1518"/>
      <c r="CEW1518"/>
      <c r="CEX1518"/>
      <c r="CEY1518"/>
      <c r="CEZ1518"/>
      <c r="CFA1518"/>
      <c r="CFB1518"/>
      <c r="CFC1518"/>
      <c r="CFD1518"/>
      <c r="CFE1518"/>
      <c r="CFF1518"/>
      <c r="CFG1518"/>
      <c r="CFH1518"/>
      <c r="CFI1518"/>
      <c r="CFJ1518"/>
      <c r="CFK1518"/>
      <c r="CFL1518"/>
      <c r="CFM1518"/>
      <c r="CFN1518"/>
      <c r="CFO1518"/>
      <c r="CFP1518"/>
      <c r="CFQ1518"/>
      <c r="CFR1518"/>
      <c r="CFS1518"/>
      <c r="CFT1518"/>
      <c r="CFU1518"/>
      <c r="CFV1518"/>
      <c r="CFW1518"/>
      <c r="CFX1518"/>
      <c r="CFY1518"/>
      <c r="CFZ1518"/>
      <c r="CGA1518"/>
      <c r="CGB1518"/>
      <c r="CGC1518"/>
      <c r="CGD1518"/>
      <c r="CGE1518"/>
      <c r="CGF1518"/>
      <c r="CGG1518"/>
      <c r="CGH1518"/>
      <c r="CGI1518"/>
      <c r="CGJ1518"/>
      <c r="CGK1518"/>
      <c r="CGL1518"/>
      <c r="CGM1518"/>
      <c r="CGN1518"/>
      <c r="CGO1518"/>
      <c r="CGP1518"/>
      <c r="CGQ1518"/>
      <c r="CGR1518"/>
      <c r="CGS1518"/>
      <c r="CGT1518"/>
      <c r="CGU1518"/>
      <c r="CGV1518"/>
      <c r="CGW1518"/>
      <c r="CGX1518"/>
      <c r="CGY1518"/>
      <c r="CGZ1518"/>
      <c r="CHA1518"/>
      <c r="CHB1518"/>
      <c r="CHC1518"/>
      <c r="CHD1518"/>
      <c r="CHE1518"/>
      <c r="CHF1518"/>
      <c r="CHG1518"/>
      <c r="CHH1518"/>
      <c r="CHI1518"/>
      <c r="CHJ1518"/>
      <c r="CHK1518"/>
      <c r="CHL1518"/>
      <c r="CHM1518"/>
      <c r="CHN1518"/>
      <c r="CHO1518"/>
      <c r="CHP1518"/>
      <c r="CHQ1518"/>
      <c r="CHR1518"/>
      <c r="CHS1518"/>
      <c r="CHT1518"/>
      <c r="CHU1518"/>
      <c r="CHV1518"/>
      <c r="CHW1518"/>
      <c r="CHX1518"/>
      <c r="CHY1518"/>
      <c r="CHZ1518"/>
      <c r="CIA1518"/>
      <c r="CIB1518"/>
      <c r="CIC1518"/>
      <c r="CID1518"/>
      <c r="CIE1518"/>
      <c r="CIF1518"/>
      <c r="CIG1518"/>
      <c r="CIH1518"/>
      <c r="CII1518"/>
      <c r="CIJ1518"/>
      <c r="CIK1518"/>
      <c r="CIL1518"/>
      <c r="CIM1518"/>
      <c r="CIN1518"/>
      <c r="CIO1518"/>
      <c r="CIP1518"/>
      <c r="CIQ1518"/>
      <c r="CIR1518"/>
      <c r="CIS1518"/>
      <c r="CIT1518"/>
      <c r="CIU1518"/>
      <c r="CIV1518"/>
      <c r="CIW1518"/>
      <c r="CIX1518"/>
      <c r="CIY1518"/>
      <c r="CIZ1518"/>
      <c r="CJA1518"/>
      <c r="CJB1518"/>
      <c r="CJC1518"/>
      <c r="CJD1518"/>
      <c r="CJE1518"/>
      <c r="CJF1518"/>
      <c r="CJG1518"/>
      <c r="CJH1518"/>
      <c r="CJI1518"/>
      <c r="CJJ1518"/>
      <c r="CJK1518"/>
      <c r="CJL1518"/>
      <c r="CJM1518"/>
      <c r="CJN1518"/>
      <c r="CJO1518"/>
      <c r="CJP1518"/>
      <c r="CJQ1518"/>
      <c r="CJR1518"/>
      <c r="CJS1518"/>
      <c r="CJT1518"/>
      <c r="CJU1518"/>
      <c r="CJV1518"/>
      <c r="CJW1518"/>
      <c r="CJX1518"/>
      <c r="CJY1518"/>
      <c r="CJZ1518"/>
      <c r="CKA1518"/>
      <c r="CKB1518"/>
      <c r="CKC1518"/>
      <c r="CKD1518"/>
      <c r="CKE1518"/>
      <c r="CKF1518"/>
      <c r="CKG1518"/>
      <c r="CKH1518"/>
      <c r="CKI1518"/>
      <c r="CKJ1518"/>
      <c r="CKK1518"/>
      <c r="CKL1518"/>
      <c r="CKM1518"/>
      <c r="CKN1518"/>
      <c r="CKO1518"/>
      <c r="CKP1518"/>
      <c r="CKQ1518"/>
      <c r="CKR1518"/>
      <c r="CKS1518"/>
      <c r="CKT1518"/>
      <c r="CKU1518"/>
      <c r="CKV1518"/>
      <c r="CKW1518"/>
      <c r="CKX1518"/>
      <c r="CKY1518"/>
      <c r="CKZ1518"/>
      <c r="CLA1518"/>
      <c r="CLB1518"/>
      <c r="CLC1518"/>
      <c r="CLD1518"/>
      <c r="CLE1518"/>
      <c r="CLF1518"/>
      <c r="CLG1518"/>
      <c r="CLH1518"/>
      <c r="CLI1518"/>
      <c r="CLJ1518"/>
      <c r="CLK1518"/>
      <c r="CLL1518"/>
      <c r="CLM1518"/>
      <c r="CLN1518"/>
      <c r="CLO1518"/>
      <c r="CLP1518"/>
      <c r="CLQ1518"/>
      <c r="CLR1518"/>
      <c r="CLS1518"/>
      <c r="CLT1518"/>
      <c r="CLU1518"/>
      <c r="CLV1518"/>
      <c r="CLW1518"/>
      <c r="CLX1518"/>
      <c r="CLY1518"/>
      <c r="CLZ1518"/>
      <c r="CMA1518"/>
      <c r="CMB1518"/>
      <c r="CMC1518"/>
      <c r="CMD1518"/>
      <c r="CME1518"/>
      <c r="CMF1518"/>
      <c r="CMG1518"/>
      <c r="CMH1518"/>
      <c r="CMI1518"/>
      <c r="CMJ1518"/>
      <c r="CMK1518"/>
      <c r="CML1518"/>
      <c r="CMM1518"/>
      <c r="CMN1518"/>
      <c r="CMO1518"/>
      <c r="CMP1518"/>
      <c r="CMQ1518"/>
      <c r="CMR1518"/>
      <c r="CMS1518"/>
      <c r="CMT1518"/>
      <c r="CMU1518"/>
      <c r="CMV1518"/>
      <c r="CMW1518"/>
      <c r="CMX1518"/>
      <c r="CMY1518"/>
      <c r="CMZ1518"/>
      <c r="CNA1518"/>
      <c r="CNB1518"/>
      <c r="CNC1518"/>
      <c r="CND1518"/>
      <c r="CNE1518"/>
      <c r="CNF1518"/>
      <c r="CNG1518"/>
      <c r="CNH1518"/>
      <c r="CNI1518"/>
      <c r="CNJ1518"/>
      <c r="CNK1518"/>
      <c r="CNL1518"/>
      <c r="CNM1518"/>
      <c r="CNN1518"/>
      <c r="CNO1518"/>
      <c r="CNP1518"/>
      <c r="CNQ1518"/>
      <c r="CNR1518"/>
      <c r="CNS1518"/>
      <c r="CNT1518"/>
      <c r="CNU1518"/>
      <c r="CNV1518"/>
      <c r="CNW1518"/>
      <c r="CNX1518"/>
      <c r="CNY1518"/>
      <c r="CNZ1518"/>
      <c r="COA1518"/>
      <c r="COB1518"/>
      <c r="COC1518"/>
      <c r="COD1518"/>
      <c r="COE1518"/>
      <c r="COF1518"/>
      <c r="COG1518"/>
      <c r="COH1518"/>
      <c r="COI1518"/>
      <c r="COJ1518"/>
      <c r="COK1518"/>
      <c r="COL1518"/>
      <c r="COM1518"/>
      <c r="CON1518"/>
      <c r="COO1518"/>
      <c r="COP1518"/>
      <c r="COQ1518"/>
      <c r="COR1518"/>
      <c r="COS1518"/>
      <c r="COT1518"/>
      <c r="COU1518"/>
      <c r="COV1518"/>
      <c r="COW1518"/>
      <c r="COX1518"/>
      <c r="COY1518"/>
      <c r="COZ1518"/>
      <c r="CPA1518"/>
      <c r="CPB1518"/>
      <c r="CPC1518"/>
      <c r="CPD1518"/>
      <c r="CPE1518"/>
      <c r="CPF1518"/>
      <c r="CPG1518"/>
      <c r="CPH1518"/>
      <c r="CPI1518"/>
      <c r="CPJ1518"/>
      <c r="CPK1518"/>
      <c r="CPL1518"/>
      <c r="CPM1518"/>
      <c r="CPN1518"/>
      <c r="CPO1518"/>
      <c r="CPP1518"/>
      <c r="CPQ1518"/>
      <c r="CPR1518"/>
      <c r="CPS1518"/>
      <c r="CPT1518"/>
      <c r="CPU1518"/>
      <c r="CPV1518"/>
      <c r="CPW1518"/>
      <c r="CPX1518"/>
      <c r="CPY1518"/>
      <c r="CPZ1518"/>
      <c r="CQA1518"/>
      <c r="CQB1518"/>
      <c r="CQC1518"/>
      <c r="CQD1518"/>
      <c r="CQE1518"/>
      <c r="CQF1518"/>
      <c r="CQG1518"/>
      <c r="CQH1518"/>
      <c r="CQI1518"/>
      <c r="CQJ1518"/>
      <c r="CQK1518"/>
      <c r="CQL1518"/>
      <c r="CQM1518"/>
      <c r="CQN1518"/>
      <c r="CQO1518"/>
      <c r="CQP1518"/>
      <c r="CQQ1518"/>
      <c r="CQR1518"/>
      <c r="CQS1518"/>
      <c r="CQT1518"/>
      <c r="CQU1518"/>
      <c r="CQV1518"/>
      <c r="CQW1518"/>
      <c r="CQX1518"/>
      <c r="CQY1518"/>
      <c r="CQZ1518"/>
      <c r="CRA1518"/>
      <c r="CRB1518"/>
      <c r="CRC1518"/>
      <c r="CRD1518"/>
      <c r="CRE1518"/>
      <c r="CRF1518"/>
      <c r="CRG1518"/>
      <c r="CRH1518"/>
      <c r="CRI1518"/>
      <c r="CRJ1518"/>
      <c r="CRK1518"/>
      <c r="CRL1518"/>
      <c r="CRM1518"/>
      <c r="CRN1518"/>
      <c r="CRO1518"/>
      <c r="CRP1518"/>
      <c r="CRQ1518"/>
      <c r="CRR1518"/>
      <c r="CRS1518"/>
      <c r="CRT1518"/>
      <c r="CRU1518"/>
      <c r="CRV1518"/>
      <c r="CRW1518"/>
      <c r="CRX1518"/>
      <c r="CRY1518"/>
      <c r="CRZ1518"/>
      <c r="CSA1518"/>
      <c r="CSB1518"/>
      <c r="CSC1518"/>
      <c r="CSD1518"/>
      <c r="CSE1518"/>
      <c r="CSF1518"/>
      <c r="CSG1518"/>
      <c r="CSH1518"/>
      <c r="CSI1518"/>
      <c r="CSJ1518"/>
      <c r="CSK1518"/>
      <c r="CSL1518"/>
      <c r="CSM1518"/>
      <c r="CSN1518"/>
      <c r="CSO1518"/>
      <c r="CSP1518"/>
      <c r="CSQ1518"/>
      <c r="CSR1518"/>
      <c r="CSS1518"/>
      <c r="CST1518"/>
      <c r="CSU1518"/>
      <c r="CSV1518"/>
      <c r="CSW1518"/>
      <c r="CSX1518"/>
      <c r="CSY1518"/>
      <c r="CSZ1518"/>
      <c r="CTA1518"/>
      <c r="CTB1518"/>
      <c r="CTC1518"/>
      <c r="CTD1518"/>
      <c r="CTE1518"/>
      <c r="CTF1518"/>
      <c r="CTG1518"/>
      <c r="CTH1518"/>
      <c r="CTI1518"/>
      <c r="CTJ1518"/>
      <c r="CTK1518"/>
      <c r="CTL1518"/>
      <c r="CTM1518"/>
      <c r="CTN1518"/>
      <c r="CTO1518"/>
      <c r="CTP1518"/>
      <c r="CTQ1518"/>
      <c r="CTR1518"/>
      <c r="CTS1518"/>
      <c r="CTT1518"/>
      <c r="CTU1518"/>
      <c r="CTV1518"/>
      <c r="CTW1518"/>
      <c r="CTX1518"/>
      <c r="CTY1518"/>
      <c r="CTZ1518"/>
      <c r="CUA1518"/>
      <c r="CUB1518"/>
      <c r="CUC1518"/>
      <c r="CUD1518"/>
      <c r="CUE1518"/>
      <c r="CUF1518"/>
      <c r="CUG1518"/>
      <c r="CUH1518"/>
      <c r="CUI1518"/>
      <c r="CUJ1518"/>
      <c r="CUK1518"/>
      <c r="CUL1518"/>
      <c r="CUM1518"/>
      <c r="CUN1518"/>
      <c r="CUO1518"/>
      <c r="CUP1518"/>
      <c r="CUQ1518"/>
      <c r="CUR1518"/>
      <c r="CUS1518"/>
      <c r="CUT1518"/>
      <c r="CUU1518"/>
      <c r="CUV1518"/>
      <c r="CUW1518"/>
      <c r="CUX1518"/>
      <c r="CUY1518"/>
      <c r="CUZ1518"/>
      <c r="CVA1518"/>
      <c r="CVB1518"/>
      <c r="CVC1518"/>
      <c r="CVD1518"/>
      <c r="CVE1518"/>
      <c r="CVF1518"/>
      <c r="CVG1518"/>
      <c r="CVH1518"/>
      <c r="CVI1518"/>
      <c r="CVJ1518"/>
      <c r="CVK1518"/>
      <c r="CVL1518"/>
      <c r="CVM1518"/>
      <c r="CVN1518"/>
      <c r="CVO1518"/>
      <c r="CVP1518"/>
      <c r="CVQ1518"/>
      <c r="CVR1518"/>
      <c r="CVS1518"/>
      <c r="CVT1518"/>
      <c r="CVU1518"/>
      <c r="CVV1518"/>
      <c r="CVW1518"/>
      <c r="CVX1518"/>
      <c r="CVY1518"/>
      <c r="CVZ1518"/>
      <c r="CWA1518"/>
      <c r="CWB1518"/>
      <c r="CWC1518"/>
      <c r="CWD1518"/>
      <c r="CWE1518"/>
      <c r="CWF1518"/>
      <c r="CWG1518"/>
      <c r="CWH1518"/>
      <c r="CWI1518"/>
      <c r="CWJ1518"/>
      <c r="CWK1518"/>
      <c r="CWL1518"/>
      <c r="CWM1518"/>
      <c r="CWN1518"/>
      <c r="CWO1518"/>
      <c r="CWP1518"/>
      <c r="CWQ1518"/>
      <c r="CWR1518"/>
      <c r="CWS1518"/>
      <c r="CWT1518"/>
      <c r="CWU1518"/>
      <c r="CWV1518"/>
      <c r="CWW1518"/>
      <c r="CWX1518"/>
      <c r="CWY1518"/>
      <c r="CWZ1518"/>
      <c r="CXA1518"/>
      <c r="CXB1518"/>
      <c r="CXC1518"/>
      <c r="CXD1518"/>
      <c r="CXE1518"/>
      <c r="CXF1518"/>
      <c r="CXG1518"/>
      <c r="CXH1518"/>
      <c r="CXI1518"/>
      <c r="CXJ1518"/>
      <c r="CXK1518"/>
      <c r="CXL1518"/>
      <c r="CXM1518"/>
      <c r="CXN1518"/>
      <c r="CXO1518"/>
      <c r="CXP1518"/>
      <c r="CXQ1518"/>
      <c r="CXR1518"/>
      <c r="CXS1518"/>
      <c r="CXT1518"/>
      <c r="CXU1518"/>
      <c r="CXV1518"/>
      <c r="CXW1518"/>
      <c r="CXX1518"/>
      <c r="CXY1518"/>
      <c r="CXZ1518"/>
      <c r="CYA1518"/>
      <c r="CYB1518"/>
      <c r="CYC1518"/>
      <c r="CYD1518"/>
      <c r="CYE1518"/>
      <c r="CYF1518"/>
      <c r="CYG1518"/>
      <c r="CYH1518"/>
      <c r="CYI1518"/>
      <c r="CYJ1518"/>
      <c r="CYK1518"/>
      <c r="CYL1518"/>
      <c r="CYM1518"/>
      <c r="CYN1518"/>
      <c r="CYO1518"/>
      <c r="CYP1518"/>
      <c r="CYQ1518"/>
      <c r="CYR1518"/>
      <c r="CYS1518"/>
      <c r="CYT1518"/>
      <c r="CYU1518"/>
      <c r="CYV1518"/>
      <c r="CYW1518"/>
      <c r="CYX1518"/>
      <c r="CYY1518"/>
      <c r="CYZ1518"/>
      <c r="CZA1518"/>
      <c r="CZB1518"/>
      <c r="CZC1518"/>
      <c r="CZD1518"/>
      <c r="CZE1518"/>
      <c r="CZF1518"/>
      <c r="CZG1518"/>
      <c r="CZH1518"/>
      <c r="CZI1518"/>
      <c r="CZJ1518"/>
      <c r="CZK1518"/>
      <c r="CZL1518"/>
      <c r="CZM1518"/>
      <c r="CZN1518"/>
      <c r="CZO1518"/>
      <c r="CZP1518"/>
      <c r="CZQ1518"/>
      <c r="CZR1518"/>
      <c r="CZS1518"/>
      <c r="CZT1518"/>
      <c r="CZU1518"/>
      <c r="CZV1518"/>
      <c r="CZW1518"/>
      <c r="CZX1518"/>
      <c r="CZY1518"/>
      <c r="CZZ1518"/>
      <c r="DAA1518"/>
      <c r="DAB1518"/>
      <c r="DAC1518"/>
      <c r="DAD1518"/>
      <c r="DAE1518"/>
      <c r="DAF1518"/>
      <c r="DAG1518"/>
      <c r="DAH1518"/>
      <c r="DAI1518"/>
      <c r="DAJ1518"/>
      <c r="DAK1518"/>
      <c r="DAL1518"/>
      <c r="DAM1518"/>
      <c r="DAN1518"/>
      <c r="DAO1518"/>
      <c r="DAP1518"/>
      <c r="DAQ1518"/>
      <c r="DAR1518"/>
      <c r="DAS1518"/>
      <c r="DAT1518"/>
      <c r="DAU1518"/>
      <c r="DAV1518"/>
      <c r="DAW1518"/>
      <c r="DAX1518"/>
      <c r="DAY1518"/>
      <c r="DAZ1518"/>
      <c r="DBA1518"/>
      <c r="DBB1518"/>
      <c r="DBC1518"/>
      <c r="DBD1518"/>
      <c r="DBE1518"/>
      <c r="DBF1518"/>
      <c r="DBG1518"/>
      <c r="DBH1518"/>
      <c r="DBI1518"/>
      <c r="DBJ1518"/>
      <c r="DBK1518"/>
      <c r="DBL1518"/>
      <c r="DBM1518"/>
      <c r="DBN1518"/>
      <c r="DBO1518"/>
      <c r="DBP1518"/>
      <c r="DBQ1518"/>
      <c r="DBR1518"/>
      <c r="DBS1518"/>
      <c r="DBT1518"/>
      <c r="DBU1518"/>
      <c r="DBV1518"/>
      <c r="DBW1518"/>
      <c r="DBX1518"/>
      <c r="DBY1518"/>
      <c r="DBZ1518"/>
      <c r="DCA1518"/>
      <c r="DCB1518"/>
      <c r="DCC1518"/>
      <c r="DCD1518"/>
      <c r="DCE1518"/>
      <c r="DCF1518"/>
      <c r="DCG1518"/>
      <c r="DCH1518"/>
      <c r="DCI1518"/>
      <c r="DCJ1518"/>
      <c r="DCK1518"/>
      <c r="DCL1518"/>
      <c r="DCM1518"/>
      <c r="DCN1518"/>
      <c r="DCO1518"/>
      <c r="DCP1518"/>
      <c r="DCQ1518"/>
      <c r="DCR1518"/>
      <c r="DCS1518"/>
      <c r="DCT1518"/>
      <c r="DCU1518"/>
      <c r="DCV1518"/>
      <c r="DCW1518"/>
      <c r="DCX1518"/>
      <c r="DCY1518"/>
      <c r="DCZ1518"/>
      <c r="DDA1518"/>
      <c r="DDB1518"/>
      <c r="DDC1518"/>
      <c r="DDD1518"/>
      <c r="DDE1518"/>
      <c r="DDF1518"/>
      <c r="DDG1518"/>
      <c r="DDH1518"/>
      <c r="DDI1518"/>
      <c r="DDJ1518"/>
      <c r="DDK1518"/>
      <c r="DDL1518"/>
      <c r="DDM1518"/>
      <c r="DDN1518"/>
      <c r="DDO1518"/>
      <c r="DDP1518"/>
      <c r="DDQ1518"/>
      <c r="DDR1518"/>
      <c r="DDS1518"/>
      <c r="DDT1518"/>
      <c r="DDU1518"/>
      <c r="DDV1518"/>
      <c r="DDW1518"/>
      <c r="DDX1518"/>
      <c r="DDY1518"/>
      <c r="DDZ1518"/>
      <c r="DEA1518"/>
      <c r="DEB1518"/>
      <c r="DEC1518"/>
      <c r="DED1518"/>
      <c r="DEE1518"/>
      <c r="DEF1518"/>
      <c r="DEG1518"/>
      <c r="DEH1518"/>
      <c r="DEI1518"/>
      <c r="DEJ1518"/>
      <c r="DEK1518"/>
      <c r="DEL1518"/>
      <c r="DEM1518"/>
      <c r="DEN1518"/>
      <c r="DEO1518"/>
      <c r="DEP1518"/>
      <c r="DEQ1518"/>
      <c r="DER1518"/>
      <c r="DES1518"/>
      <c r="DET1518"/>
      <c r="DEU1518"/>
      <c r="DEV1518"/>
      <c r="DEW1518"/>
      <c r="DEX1518"/>
      <c r="DEY1518"/>
      <c r="DEZ1518"/>
      <c r="DFA1518"/>
      <c r="DFB1518"/>
      <c r="DFC1518"/>
      <c r="DFD1518"/>
      <c r="DFE1518"/>
      <c r="DFF1518"/>
      <c r="DFG1518"/>
      <c r="DFH1518"/>
      <c r="DFI1518"/>
      <c r="DFJ1518"/>
      <c r="DFK1518"/>
      <c r="DFL1518"/>
      <c r="DFM1518"/>
      <c r="DFN1518"/>
      <c r="DFO1518"/>
      <c r="DFP1518"/>
      <c r="DFQ1518"/>
      <c r="DFR1518"/>
      <c r="DFS1518"/>
      <c r="DFT1518"/>
      <c r="DFU1518"/>
      <c r="DFV1518"/>
      <c r="DFW1518"/>
      <c r="DFX1518"/>
      <c r="DFY1518"/>
      <c r="DFZ1518"/>
      <c r="DGA1518"/>
      <c r="DGB1518"/>
      <c r="DGC1518"/>
      <c r="DGD1518"/>
      <c r="DGE1518"/>
      <c r="DGF1518"/>
      <c r="DGG1518"/>
      <c r="DGH1518"/>
      <c r="DGI1518"/>
      <c r="DGJ1518"/>
      <c r="DGK1518"/>
      <c r="DGL1518"/>
      <c r="DGM1518"/>
      <c r="DGN1518"/>
      <c r="DGO1518"/>
      <c r="DGP1518"/>
      <c r="DGQ1518"/>
      <c r="DGR1518"/>
      <c r="DGS1518"/>
      <c r="DGT1518"/>
      <c r="DGU1518"/>
      <c r="DGV1518"/>
      <c r="DGW1518"/>
      <c r="DGX1518"/>
      <c r="DGY1518"/>
      <c r="DGZ1518"/>
      <c r="DHA1518"/>
      <c r="DHB1518"/>
      <c r="DHC1518"/>
      <c r="DHD1518"/>
      <c r="DHE1518"/>
      <c r="DHF1518"/>
      <c r="DHG1518"/>
      <c r="DHH1518"/>
      <c r="DHI1518"/>
      <c r="DHJ1518"/>
      <c r="DHK1518"/>
      <c r="DHL1518"/>
      <c r="DHM1518"/>
      <c r="DHN1518"/>
      <c r="DHO1518"/>
      <c r="DHP1518"/>
      <c r="DHQ1518"/>
      <c r="DHR1518"/>
      <c r="DHS1518"/>
      <c r="DHT1518"/>
      <c r="DHU1518"/>
      <c r="DHV1518"/>
      <c r="DHW1518"/>
      <c r="DHX1518"/>
      <c r="DHY1518"/>
      <c r="DHZ1518"/>
      <c r="DIA1518"/>
      <c r="DIB1518"/>
      <c r="DIC1518"/>
      <c r="DID1518"/>
      <c r="DIE1518"/>
      <c r="DIF1518"/>
      <c r="DIG1518"/>
      <c r="DIH1518"/>
      <c r="DII1518"/>
      <c r="DIJ1518"/>
      <c r="DIK1518"/>
      <c r="DIL1518"/>
      <c r="DIM1518"/>
      <c r="DIN1518"/>
      <c r="DIO1518"/>
      <c r="DIP1518"/>
      <c r="DIQ1518"/>
      <c r="DIR1518"/>
      <c r="DIS1518"/>
      <c r="DIT1518"/>
      <c r="DIU1518"/>
      <c r="DIV1518"/>
      <c r="DIW1518"/>
      <c r="DIX1518"/>
      <c r="DIY1518"/>
      <c r="DIZ1518"/>
      <c r="DJA1518"/>
      <c r="DJB1518"/>
      <c r="DJC1518"/>
      <c r="DJD1518"/>
      <c r="DJE1518"/>
      <c r="DJF1518"/>
      <c r="DJG1518"/>
      <c r="DJH1518"/>
      <c r="DJI1518"/>
      <c r="DJJ1518"/>
      <c r="DJK1518"/>
      <c r="DJL1518"/>
      <c r="DJM1518"/>
      <c r="DJN1518"/>
      <c r="DJO1518"/>
      <c r="DJP1518"/>
      <c r="DJQ1518"/>
      <c r="DJR1518"/>
      <c r="DJS1518"/>
      <c r="DJT1518"/>
      <c r="DJU1518"/>
      <c r="DJV1518"/>
      <c r="DJW1518"/>
      <c r="DJX1518"/>
      <c r="DJY1518"/>
      <c r="DJZ1518"/>
      <c r="DKA1518"/>
      <c r="DKB1518"/>
      <c r="DKC1518"/>
      <c r="DKD1518"/>
      <c r="DKE1518"/>
      <c r="DKF1518"/>
      <c r="DKG1518"/>
      <c r="DKH1518"/>
      <c r="DKI1518"/>
      <c r="DKJ1518"/>
      <c r="DKK1518"/>
      <c r="DKL1518"/>
      <c r="DKM1518"/>
      <c r="DKN1518"/>
      <c r="DKO1518"/>
      <c r="DKP1518"/>
      <c r="DKQ1518"/>
      <c r="DKR1518"/>
      <c r="DKS1518"/>
      <c r="DKT1518"/>
      <c r="DKU1518"/>
      <c r="DKV1518"/>
      <c r="DKW1518"/>
      <c r="DKX1518"/>
      <c r="DKY1518"/>
      <c r="DKZ1518"/>
      <c r="DLA1518"/>
      <c r="DLB1518"/>
      <c r="DLC1518"/>
      <c r="DLD1518"/>
      <c r="DLE1518"/>
      <c r="DLF1518"/>
      <c r="DLG1518"/>
      <c r="DLH1518"/>
      <c r="DLI1518"/>
      <c r="DLJ1518"/>
      <c r="DLK1518"/>
      <c r="DLL1518"/>
      <c r="DLM1518"/>
      <c r="DLN1518"/>
      <c r="DLO1518"/>
      <c r="DLP1518"/>
      <c r="DLQ1518"/>
      <c r="DLR1518"/>
      <c r="DLS1518"/>
      <c r="DLT1518"/>
      <c r="DLU1518"/>
      <c r="DLV1518"/>
      <c r="DLW1518"/>
      <c r="DLX1518"/>
      <c r="DLY1518"/>
      <c r="DLZ1518"/>
      <c r="DMA1518"/>
      <c r="DMB1518"/>
      <c r="DMC1518"/>
      <c r="DMD1518"/>
      <c r="DME1518"/>
      <c r="DMF1518"/>
      <c r="DMG1518"/>
      <c r="DMH1518"/>
      <c r="DMI1518"/>
      <c r="DMJ1518"/>
      <c r="DMK1518"/>
      <c r="DML1518"/>
      <c r="DMM1518"/>
      <c r="DMN1518"/>
      <c r="DMO1518"/>
      <c r="DMP1518"/>
      <c r="DMQ1518"/>
      <c r="DMR1518"/>
      <c r="DMS1518"/>
      <c r="DMT1518"/>
      <c r="DMU1518"/>
      <c r="DMV1518"/>
      <c r="DMW1518"/>
      <c r="DMX1518"/>
      <c r="DMY1518"/>
      <c r="DMZ1518"/>
      <c r="DNA1518"/>
      <c r="DNB1518"/>
      <c r="DNC1518"/>
      <c r="DND1518"/>
      <c r="DNE1518"/>
      <c r="DNF1518"/>
      <c r="DNG1518"/>
      <c r="DNH1518"/>
      <c r="DNI1518"/>
      <c r="DNJ1518"/>
      <c r="DNK1518"/>
      <c r="DNL1518"/>
      <c r="DNM1518"/>
      <c r="DNN1518"/>
      <c r="DNO1518"/>
      <c r="DNP1518"/>
      <c r="DNQ1518"/>
      <c r="DNR1518"/>
      <c r="DNS1518"/>
      <c r="DNT1518"/>
      <c r="DNU1518"/>
      <c r="DNV1518"/>
      <c r="DNW1518"/>
      <c r="DNX1518"/>
      <c r="DNY1518"/>
      <c r="DNZ1518"/>
      <c r="DOA1518"/>
      <c r="DOB1518"/>
      <c r="DOC1518"/>
      <c r="DOD1518"/>
      <c r="DOE1518"/>
      <c r="DOF1518"/>
      <c r="DOG1518"/>
      <c r="DOH1518"/>
      <c r="DOI1518"/>
      <c r="DOJ1518"/>
      <c r="DOK1518"/>
      <c r="DOL1518"/>
      <c r="DOM1518"/>
      <c r="DON1518"/>
      <c r="DOO1518"/>
      <c r="DOP1518"/>
      <c r="DOQ1518"/>
      <c r="DOR1518"/>
      <c r="DOS1518"/>
      <c r="DOT1518"/>
      <c r="DOU1518"/>
      <c r="DOV1518"/>
      <c r="DOW1518"/>
      <c r="DOX1518"/>
      <c r="DOY1518"/>
      <c r="DOZ1518"/>
      <c r="DPA1518"/>
      <c r="DPB1518"/>
      <c r="DPC1518"/>
      <c r="DPD1518"/>
      <c r="DPE1518"/>
      <c r="DPF1518"/>
      <c r="DPG1518"/>
      <c r="DPH1518"/>
      <c r="DPI1518"/>
      <c r="DPJ1518"/>
      <c r="DPK1518"/>
      <c r="DPL1518"/>
      <c r="DPM1518"/>
      <c r="DPN1518"/>
      <c r="DPO1518"/>
      <c r="DPP1518"/>
      <c r="DPQ1518"/>
      <c r="DPR1518"/>
      <c r="DPS1518"/>
      <c r="DPT1518"/>
      <c r="DPU1518"/>
      <c r="DPV1518"/>
      <c r="DPW1518"/>
      <c r="DPX1518"/>
      <c r="DPY1518"/>
      <c r="DPZ1518"/>
      <c r="DQA1518"/>
      <c r="DQB1518"/>
      <c r="DQC1518"/>
      <c r="DQD1518"/>
      <c r="DQE1518"/>
      <c r="DQF1518"/>
      <c r="DQG1518"/>
      <c r="DQH1518"/>
      <c r="DQI1518"/>
      <c r="DQJ1518"/>
      <c r="DQK1518"/>
      <c r="DQL1518"/>
      <c r="DQM1518"/>
      <c r="DQN1518"/>
      <c r="DQO1518"/>
      <c r="DQP1518"/>
      <c r="DQQ1518"/>
      <c r="DQR1518"/>
      <c r="DQS1518"/>
      <c r="DQT1518"/>
      <c r="DQU1518"/>
      <c r="DQV1518"/>
      <c r="DQW1518"/>
      <c r="DQX1518"/>
      <c r="DQY1518"/>
      <c r="DQZ1518"/>
      <c r="DRA1518"/>
      <c r="DRB1518"/>
      <c r="DRC1518"/>
      <c r="DRD1518"/>
      <c r="DRE1518"/>
      <c r="DRF1518"/>
      <c r="DRG1518"/>
      <c r="DRH1518"/>
      <c r="DRI1518"/>
      <c r="DRJ1518"/>
      <c r="DRK1518"/>
      <c r="DRL1518"/>
      <c r="DRM1518"/>
      <c r="DRN1518"/>
      <c r="DRO1518"/>
      <c r="DRP1518"/>
      <c r="DRQ1518"/>
      <c r="DRR1518"/>
      <c r="DRS1518"/>
      <c r="DRT1518"/>
      <c r="DRU1518"/>
      <c r="DRV1518"/>
      <c r="DRW1518"/>
      <c r="DRX1518"/>
      <c r="DRY1518"/>
      <c r="DRZ1518"/>
      <c r="DSA1518"/>
      <c r="DSB1518"/>
      <c r="DSC1518"/>
      <c r="DSD1518"/>
      <c r="DSE1518"/>
      <c r="DSF1518"/>
      <c r="DSG1518"/>
      <c r="DSH1518"/>
      <c r="DSI1518"/>
      <c r="DSJ1518"/>
      <c r="DSK1518"/>
      <c r="DSL1518"/>
      <c r="DSM1518"/>
      <c r="DSN1518"/>
      <c r="DSO1518"/>
      <c r="DSP1518"/>
      <c r="DSQ1518"/>
      <c r="DSR1518"/>
      <c r="DSS1518"/>
      <c r="DST1518"/>
      <c r="DSU1518"/>
      <c r="DSV1518"/>
      <c r="DSW1518"/>
      <c r="DSX1518"/>
      <c r="DSY1518"/>
      <c r="DSZ1518"/>
      <c r="DTA1518"/>
      <c r="DTB1518"/>
      <c r="DTC1518"/>
      <c r="DTD1518"/>
      <c r="DTE1518"/>
      <c r="DTF1518"/>
      <c r="DTG1518"/>
      <c r="DTH1518"/>
      <c r="DTI1518"/>
      <c r="DTJ1518"/>
      <c r="DTK1518"/>
      <c r="DTL1518"/>
      <c r="DTM1518"/>
      <c r="DTN1518"/>
      <c r="DTO1518"/>
      <c r="DTP1518"/>
      <c r="DTQ1518"/>
      <c r="DTR1518"/>
      <c r="DTS1518"/>
      <c r="DTT1518"/>
      <c r="DTU1518"/>
      <c r="DTV1518"/>
      <c r="DTW1518"/>
      <c r="DTX1518"/>
      <c r="DTY1518"/>
      <c r="DTZ1518"/>
      <c r="DUA1518"/>
      <c r="DUB1518"/>
      <c r="DUC1518"/>
      <c r="DUD1518"/>
      <c r="DUE1518"/>
      <c r="DUF1518"/>
      <c r="DUG1518"/>
      <c r="DUH1518"/>
      <c r="DUI1518"/>
      <c r="DUJ1518"/>
      <c r="DUK1518"/>
      <c r="DUL1518"/>
      <c r="DUM1518"/>
      <c r="DUN1518"/>
      <c r="DUO1518"/>
      <c r="DUP1518"/>
      <c r="DUQ1518"/>
      <c r="DUR1518"/>
      <c r="DUS1518"/>
      <c r="DUT1518"/>
      <c r="DUU1518"/>
      <c r="DUV1518"/>
      <c r="DUW1518"/>
      <c r="DUX1518"/>
      <c r="DUY1518"/>
      <c r="DUZ1518"/>
      <c r="DVA1518"/>
      <c r="DVB1518"/>
      <c r="DVC1518"/>
      <c r="DVD1518"/>
      <c r="DVE1518"/>
      <c r="DVF1518"/>
      <c r="DVG1518"/>
      <c r="DVH1518"/>
      <c r="DVI1518"/>
      <c r="DVJ1518"/>
      <c r="DVK1518"/>
      <c r="DVL1518"/>
      <c r="DVM1518"/>
      <c r="DVN1518"/>
      <c r="DVO1518"/>
      <c r="DVP1518"/>
      <c r="DVQ1518"/>
      <c r="DVR1518"/>
      <c r="DVS1518"/>
      <c r="DVT1518"/>
      <c r="DVU1518"/>
      <c r="DVV1518"/>
      <c r="DVW1518"/>
      <c r="DVX1518"/>
      <c r="DVY1518"/>
      <c r="DVZ1518"/>
      <c r="DWA1518"/>
      <c r="DWB1518"/>
      <c r="DWC1518"/>
      <c r="DWD1518"/>
      <c r="DWE1518"/>
      <c r="DWF1518"/>
      <c r="DWG1518"/>
      <c r="DWH1518"/>
      <c r="DWI1518"/>
      <c r="DWJ1518"/>
      <c r="DWK1518"/>
      <c r="DWL1518"/>
      <c r="DWM1518"/>
      <c r="DWN1518"/>
      <c r="DWO1518"/>
      <c r="DWP1518"/>
      <c r="DWQ1518"/>
      <c r="DWR1518"/>
      <c r="DWS1518"/>
      <c r="DWT1518"/>
      <c r="DWU1518"/>
      <c r="DWV1518"/>
      <c r="DWW1518"/>
      <c r="DWX1518"/>
      <c r="DWY1518"/>
      <c r="DWZ1518"/>
      <c r="DXA1518"/>
      <c r="DXB1518"/>
      <c r="DXC1518"/>
      <c r="DXD1518"/>
      <c r="DXE1518"/>
      <c r="DXF1518"/>
      <c r="DXG1518"/>
      <c r="DXH1518"/>
      <c r="DXI1518"/>
      <c r="DXJ1518"/>
      <c r="DXK1518"/>
      <c r="DXL1518"/>
      <c r="DXM1518"/>
      <c r="DXN1518"/>
      <c r="DXO1518"/>
      <c r="DXP1518"/>
      <c r="DXQ1518"/>
      <c r="DXR1518"/>
      <c r="DXS1518"/>
      <c r="DXT1518"/>
      <c r="DXU1518"/>
      <c r="DXV1518"/>
      <c r="DXW1518"/>
      <c r="DXX1518"/>
      <c r="DXY1518"/>
      <c r="DXZ1518"/>
      <c r="DYA1518"/>
      <c r="DYB1518"/>
      <c r="DYC1518"/>
      <c r="DYD1518"/>
      <c r="DYE1518"/>
      <c r="DYF1518"/>
      <c r="DYG1518"/>
      <c r="DYH1518"/>
      <c r="DYI1518"/>
      <c r="DYJ1518"/>
      <c r="DYK1518"/>
      <c r="DYL1518"/>
      <c r="DYM1518"/>
      <c r="DYN1518"/>
      <c r="DYO1518"/>
      <c r="DYP1518"/>
      <c r="DYQ1518"/>
      <c r="DYR1518"/>
      <c r="DYS1518"/>
      <c r="DYT1518"/>
      <c r="DYU1518"/>
      <c r="DYV1518"/>
      <c r="DYW1518"/>
      <c r="DYX1518"/>
      <c r="DYY1518"/>
      <c r="DYZ1518"/>
      <c r="DZA1518"/>
      <c r="DZB1518"/>
      <c r="DZC1518"/>
      <c r="DZD1518"/>
      <c r="DZE1518"/>
      <c r="DZF1518"/>
      <c r="DZG1518"/>
      <c r="DZH1518"/>
      <c r="DZI1518"/>
      <c r="DZJ1518"/>
      <c r="DZK1518"/>
      <c r="DZL1518"/>
      <c r="DZM1518"/>
      <c r="DZN1518"/>
      <c r="DZO1518"/>
      <c r="DZP1518"/>
      <c r="DZQ1518"/>
      <c r="DZR1518"/>
      <c r="DZS1518"/>
      <c r="DZT1518"/>
      <c r="DZU1518"/>
      <c r="DZV1518"/>
      <c r="DZW1518"/>
      <c r="DZX1518"/>
      <c r="DZY1518"/>
      <c r="DZZ1518"/>
      <c r="EAA1518"/>
      <c r="EAB1518"/>
      <c r="EAC1518"/>
      <c r="EAD1518"/>
      <c r="EAE1518"/>
      <c r="EAF1518"/>
      <c r="EAG1518"/>
      <c r="EAH1518"/>
      <c r="EAI1518"/>
      <c r="EAJ1518"/>
      <c r="EAK1518"/>
      <c r="EAL1518"/>
      <c r="EAM1518"/>
      <c r="EAN1518"/>
      <c r="EAO1518"/>
      <c r="EAP1518"/>
      <c r="EAQ1518"/>
      <c r="EAR1518"/>
      <c r="EAS1518"/>
      <c r="EAT1518"/>
      <c r="EAU1518"/>
      <c r="EAV1518"/>
      <c r="EAW1518"/>
      <c r="EAX1518"/>
      <c r="EAY1518"/>
      <c r="EAZ1518"/>
      <c r="EBA1518"/>
      <c r="EBB1518"/>
      <c r="EBC1518"/>
      <c r="EBD1518"/>
      <c r="EBE1518"/>
      <c r="EBF1518"/>
      <c r="EBG1518"/>
      <c r="EBH1518"/>
      <c r="EBI1518"/>
      <c r="EBJ1518"/>
      <c r="EBK1518"/>
      <c r="EBL1518"/>
      <c r="EBM1518"/>
      <c r="EBN1518"/>
      <c r="EBO1518"/>
      <c r="EBP1518"/>
      <c r="EBQ1518"/>
      <c r="EBR1518"/>
      <c r="EBS1518"/>
      <c r="EBT1518"/>
      <c r="EBU1518"/>
      <c r="EBV1518"/>
      <c r="EBW1518"/>
      <c r="EBX1518"/>
      <c r="EBY1518"/>
      <c r="EBZ1518"/>
      <c r="ECA1518"/>
      <c r="ECB1518"/>
      <c r="ECC1518"/>
      <c r="ECD1518"/>
      <c r="ECE1518"/>
      <c r="ECF1518"/>
      <c r="ECG1518"/>
      <c r="ECH1518"/>
      <c r="ECI1518"/>
      <c r="ECJ1518"/>
      <c r="ECK1518"/>
      <c r="ECL1518"/>
      <c r="ECM1518"/>
      <c r="ECN1518"/>
      <c r="ECO1518"/>
      <c r="ECP1518"/>
      <c r="ECQ1518"/>
      <c r="ECR1518"/>
      <c r="ECS1518"/>
      <c r="ECT1518"/>
      <c r="ECU1518"/>
      <c r="ECV1518"/>
      <c r="ECW1518"/>
      <c r="ECX1518"/>
      <c r="ECY1518"/>
      <c r="ECZ1518"/>
      <c r="EDA1518"/>
      <c r="EDB1518"/>
      <c r="EDC1518"/>
      <c r="EDD1518"/>
      <c r="EDE1518"/>
      <c r="EDF1518"/>
      <c r="EDG1518"/>
      <c r="EDH1518"/>
      <c r="EDI1518"/>
      <c r="EDJ1518"/>
      <c r="EDK1518"/>
      <c r="EDL1518"/>
      <c r="EDM1518"/>
      <c r="EDN1518"/>
      <c r="EDO1518"/>
      <c r="EDP1518"/>
      <c r="EDQ1518"/>
      <c r="EDR1518"/>
      <c r="EDS1518"/>
      <c r="EDT1518"/>
      <c r="EDU1518"/>
      <c r="EDV1518"/>
      <c r="EDW1518"/>
      <c r="EDX1518"/>
      <c r="EDY1518"/>
      <c r="EDZ1518"/>
      <c r="EEA1518"/>
      <c r="EEB1518"/>
      <c r="EEC1518"/>
      <c r="EED1518"/>
      <c r="EEE1518"/>
      <c r="EEF1518"/>
      <c r="EEG1518"/>
      <c r="EEH1518"/>
      <c r="EEI1518"/>
      <c r="EEJ1518"/>
      <c r="EEK1518"/>
      <c r="EEL1518"/>
      <c r="EEM1518"/>
      <c r="EEN1518"/>
      <c r="EEO1518"/>
      <c r="EEP1518"/>
      <c r="EEQ1518"/>
      <c r="EER1518"/>
      <c r="EES1518"/>
      <c r="EET1518"/>
      <c r="EEU1518"/>
      <c r="EEV1518"/>
      <c r="EEW1518"/>
      <c r="EEX1518"/>
      <c r="EEY1518"/>
      <c r="EEZ1518"/>
      <c r="EFA1518"/>
      <c r="EFB1518"/>
      <c r="EFC1518"/>
      <c r="EFD1518"/>
      <c r="EFE1518"/>
      <c r="EFF1518"/>
      <c r="EFG1518"/>
      <c r="EFH1518"/>
      <c r="EFI1518"/>
      <c r="EFJ1518"/>
      <c r="EFK1518"/>
      <c r="EFL1518"/>
      <c r="EFM1518"/>
      <c r="EFN1518"/>
      <c r="EFO1518"/>
      <c r="EFP1518"/>
      <c r="EFQ1518"/>
      <c r="EFR1518"/>
      <c r="EFS1518"/>
      <c r="EFT1518"/>
      <c r="EFU1518"/>
      <c r="EFV1518"/>
      <c r="EFW1518"/>
      <c r="EFX1518"/>
      <c r="EFY1518"/>
      <c r="EFZ1518"/>
      <c r="EGA1518"/>
      <c r="EGB1518"/>
      <c r="EGC1518"/>
      <c r="EGD1518"/>
      <c r="EGE1518"/>
      <c r="EGF1518"/>
      <c r="EGG1518"/>
      <c r="EGH1518"/>
      <c r="EGI1518"/>
      <c r="EGJ1518"/>
      <c r="EGK1518"/>
      <c r="EGL1518"/>
      <c r="EGM1518"/>
      <c r="EGN1518"/>
      <c r="EGO1518"/>
      <c r="EGP1518"/>
      <c r="EGQ1518"/>
      <c r="EGR1518"/>
      <c r="EGS1518"/>
      <c r="EGT1518"/>
      <c r="EGU1518"/>
      <c r="EGV1518"/>
      <c r="EGW1518"/>
      <c r="EGX1518"/>
      <c r="EGY1518"/>
      <c r="EGZ1518"/>
      <c r="EHA1518"/>
      <c r="EHB1518"/>
      <c r="EHC1518"/>
      <c r="EHD1518"/>
      <c r="EHE1518"/>
      <c r="EHF1518"/>
      <c r="EHG1518"/>
      <c r="EHH1518"/>
      <c r="EHI1518"/>
      <c r="EHJ1518"/>
      <c r="EHK1518"/>
      <c r="EHL1518"/>
      <c r="EHM1518"/>
      <c r="EHN1518"/>
      <c r="EHO1518"/>
      <c r="EHP1518"/>
      <c r="EHQ1518"/>
      <c r="EHR1518"/>
      <c r="EHS1518"/>
      <c r="EHT1518"/>
      <c r="EHU1518"/>
      <c r="EHV1518"/>
      <c r="EHW1518"/>
      <c r="EHX1518"/>
      <c r="EHY1518"/>
      <c r="EHZ1518"/>
      <c r="EIA1518"/>
      <c r="EIB1518"/>
      <c r="EIC1518"/>
      <c r="EID1518"/>
      <c r="EIE1518"/>
      <c r="EIF1518"/>
      <c r="EIG1518"/>
      <c r="EIH1518"/>
      <c r="EII1518"/>
      <c r="EIJ1518"/>
      <c r="EIK1518"/>
      <c r="EIL1518"/>
      <c r="EIM1518"/>
      <c r="EIN1518"/>
      <c r="EIO1518"/>
      <c r="EIP1518"/>
      <c r="EIQ1518"/>
      <c r="EIR1518"/>
      <c r="EIS1518"/>
      <c r="EIT1518"/>
      <c r="EIU1518"/>
      <c r="EIV1518"/>
      <c r="EIW1518"/>
      <c r="EIX1518"/>
      <c r="EIY1518"/>
      <c r="EIZ1518"/>
      <c r="EJA1518"/>
      <c r="EJB1518"/>
      <c r="EJC1518"/>
      <c r="EJD1518"/>
      <c r="EJE1518"/>
      <c r="EJF1518"/>
      <c r="EJG1518"/>
      <c r="EJH1518"/>
      <c r="EJI1518"/>
      <c r="EJJ1518"/>
      <c r="EJK1518"/>
      <c r="EJL1518"/>
      <c r="EJM1518"/>
      <c r="EJN1518"/>
      <c r="EJO1518"/>
      <c r="EJP1518"/>
      <c r="EJQ1518"/>
      <c r="EJR1518"/>
      <c r="EJS1518"/>
      <c r="EJT1518"/>
      <c r="EJU1518"/>
      <c r="EJV1518"/>
      <c r="EJW1518"/>
      <c r="EJX1518"/>
      <c r="EJY1518"/>
      <c r="EJZ1518"/>
      <c r="EKA1518"/>
      <c r="EKB1518"/>
      <c r="EKC1518"/>
      <c r="EKD1518"/>
      <c r="EKE1518"/>
      <c r="EKF1518"/>
      <c r="EKG1518"/>
      <c r="EKH1518"/>
      <c r="EKI1518"/>
      <c r="EKJ1518"/>
      <c r="EKK1518"/>
      <c r="EKL1518"/>
      <c r="EKM1518"/>
      <c r="EKN1518"/>
      <c r="EKO1518"/>
      <c r="EKP1518"/>
      <c r="EKQ1518"/>
      <c r="EKR1518"/>
      <c r="EKS1518"/>
      <c r="EKT1518"/>
      <c r="EKU1518"/>
      <c r="EKV1518"/>
      <c r="EKW1518"/>
      <c r="EKX1518"/>
      <c r="EKY1518"/>
      <c r="EKZ1518"/>
      <c r="ELA1518"/>
      <c r="ELB1518"/>
      <c r="ELC1518"/>
      <c r="ELD1518"/>
      <c r="ELE1518"/>
      <c r="ELF1518"/>
      <c r="ELG1518"/>
      <c r="ELH1518"/>
      <c r="ELI1518"/>
      <c r="ELJ1518"/>
      <c r="ELK1518"/>
      <c r="ELL1518"/>
      <c r="ELM1518"/>
      <c r="ELN1518"/>
      <c r="ELO1518"/>
      <c r="ELP1518"/>
      <c r="ELQ1518"/>
      <c r="ELR1518"/>
      <c r="ELS1518"/>
      <c r="ELT1518"/>
      <c r="ELU1518"/>
      <c r="ELV1518"/>
      <c r="ELW1518"/>
      <c r="ELX1518"/>
      <c r="ELY1518"/>
      <c r="ELZ1518"/>
      <c r="EMA1518"/>
      <c r="EMB1518"/>
      <c r="EMC1518"/>
      <c r="EMD1518"/>
      <c r="EME1518"/>
      <c r="EMF1518"/>
      <c r="EMG1518"/>
      <c r="EMH1518"/>
      <c r="EMI1518"/>
      <c r="EMJ1518"/>
      <c r="EMK1518"/>
      <c r="EML1518"/>
      <c r="EMM1518"/>
      <c r="EMN1518"/>
      <c r="EMO1518"/>
      <c r="EMP1518"/>
      <c r="EMQ1518"/>
      <c r="EMR1518"/>
      <c r="EMS1518"/>
      <c r="EMT1518"/>
      <c r="EMU1518"/>
      <c r="EMV1518"/>
      <c r="EMW1518"/>
      <c r="EMX1518"/>
      <c r="EMY1518"/>
      <c r="EMZ1518"/>
      <c r="ENA1518"/>
      <c r="ENB1518"/>
      <c r="ENC1518"/>
      <c r="END1518"/>
      <c r="ENE1518"/>
      <c r="ENF1518"/>
      <c r="ENG1518"/>
      <c r="ENH1518"/>
      <c r="ENI1518"/>
      <c r="ENJ1518"/>
      <c r="ENK1518"/>
      <c r="ENL1518"/>
      <c r="ENM1518"/>
      <c r="ENN1518"/>
      <c r="ENO1518"/>
      <c r="ENP1518"/>
      <c r="ENQ1518"/>
      <c r="ENR1518"/>
      <c r="ENS1518"/>
      <c r="ENT1518"/>
      <c r="ENU1518"/>
      <c r="ENV1518"/>
      <c r="ENW1518"/>
      <c r="ENX1518"/>
      <c r="ENY1518"/>
      <c r="ENZ1518"/>
      <c r="EOA1518"/>
      <c r="EOB1518"/>
      <c r="EOC1518"/>
      <c r="EOD1518"/>
      <c r="EOE1518"/>
      <c r="EOF1518"/>
      <c r="EOG1518"/>
      <c r="EOH1518"/>
      <c r="EOI1518"/>
      <c r="EOJ1518"/>
      <c r="EOK1518"/>
      <c r="EOL1518"/>
      <c r="EOM1518"/>
      <c r="EON1518"/>
      <c r="EOO1518"/>
      <c r="EOP1518"/>
      <c r="EOQ1518"/>
      <c r="EOR1518"/>
      <c r="EOS1518"/>
      <c r="EOT1518"/>
      <c r="EOU1518"/>
      <c r="EOV1518"/>
      <c r="EOW1518"/>
      <c r="EOX1518"/>
      <c r="EOY1518"/>
      <c r="EOZ1518"/>
      <c r="EPA1518"/>
      <c r="EPB1518"/>
      <c r="EPC1518"/>
      <c r="EPD1518"/>
      <c r="EPE1518"/>
      <c r="EPF1518"/>
      <c r="EPG1518"/>
      <c r="EPH1518"/>
      <c r="EPI1518"/>
      <c r="EPJ1518"/>
      <c r="EPK1518"/>
      <c r="EPL1518"/>
      <c r="EPM1518"/>
      <c r="EPN1518"/>
      <c r="EPO1518"/>
      <c r="EPP1518"/>
      <c r="EPQ1518"/>
      <c r="EPR1518"/>
      <c r="EPS1518"/>
      <c r="EPT1518"/>
      <c r="EPU1518"/>
      <c r="EPV1518"/>
      <c r="EPW1518"/>
      <c r="EPX1518"/>
      <c r="EPY1518"/>
      <c r="EPZ1518"/>
      <c r="EQA1518"/>
      <c r="EQB1518"/>
      <c r="EQC1518"/>
      <c r="EQD1518"/>
      <c r="EQE1518"/>
      <c r="EQF1518"/>
      <c r="EQG1518"/>
      <c r="EQH1518"/>
      <c r="EQI1518"/>
      <c r="EQJ1518"/>
      <c r="EQK1518"/>
      <c r="EQL1518"/>
      <c r="EQM1518"/>
      <c r="EQN1518"/>
      <c r="EQO1518"/>
      <c r="EQP1518"/>
      <c r="EQQ1518"/>
      <c r="EQR1518"/>
      <c r="EQS1518"/>
      <c r="EQT1518"/>
      <c r="EQU1518"/>
      <c r="EQV1518"/>
      <c r="EQW1518"/>
      <c r="EQX1518"/>
      <c r="EQY1518"/>
      <c r="EQZ1518"/>
      <c r="ERA1518"/>
      <c r="ERB1518"/>
      <c r="ERC1518"/>
      <c r="ERD1518"/>
      <c r="ERE1518"/>
      <c r="ERF1518"/>
      <c r="ERG1518"/>
      <c r="ERH1518"/>
      <c r="ERI1518"/>
      <c r="ERJ1518"/>
      <c r="ERK1518"/>
      <c r="ERL1518"/>
      <c r="ERM1518"/>
      <c r="ERN1518"/>
      <c r="ERO1518"/>
      <c r="ERP1518"/>
      <c r="ERQ1518"/>
      <c r="ERR1518"/>
      <c r="ERS1518"/>
      <c r="ERT1518"/>
      <c r="ERU1518"/>
      <c r="ERV1518"/>
      <c r="ERW1518"/>
      <c r="ERX1518"/>
      <c r="ERY1518"/>
      <c r="ERZ1518"/>
      <c r="ESA1518"/>
      <c r="ESB1518"/>
      <c r="ESC1518"/>
      <c r="ESD1518"/>
      <c r="ESE1518"/>
      <c r="ESF1518"/>
      <c r="ESG1518"/>
      <c r="ESH1518"/>
      <c r="ESI1518"/>
      <c r="ESJ1518"/>
      <c r="ESK1518"/>
      <c r="ESL1518"/>
      <c r="ESM1518"/>
      <c r="ESN1518"/>
      <c r="ESO1518"/>
      <c r="ESP1518"/>
      <c r="ESQ1518"/>
      <c r="ESR1518"/>
      <c r="ESS1518"/>
      <c r="EST1518"/>
      <c r="ESU1518"/>
      <c r="ESV1518"/>
      <c r="ESW1518"/>
      <c r="ESX1518"/>
      <c r="ESY1518"/>
      <c r="ESZ1518"/>
      <c r="ETA1518"/>
      <c r="ETB1518"/>
      <c r="ETC1518"/>
      <c r="ETD1518"/>
      <c r="ETE1518"/>
      <c r="ETF1518"/>
      <c r="ETG1518"/>
      <c r="ETH1518"/>
      <c r="ETI1518"/>
      <c r="ETJ1518"/>
      <c r="ETK1518"/>
      <c r="ETL1518"/>
      <c r="ETM1518"/>
      <c r="ETN1518"/>
      <c r="ETO1518"/>
      <c r="ETP1518"/>
      <c r="ETQ1518"/>
      <c r="ETR1518"/>
      <c r="ETS1518"/>
      <c r="ETT1518"/>
      <c r="ETU1518"/>
      <c r="ETV1518"/>
      <c r="ETW1518"/>
      <c r="ETX1518"/>
      <c r="ETY1518"/>
      <c r="ETZ1518"/>
      <c r="EUA1518"/>
      <c r="EUB1518"/>
      <c r="EUC1518"/>
      <c r="EUD1518"/>
      <c r="EUE1518"/>
      <c r="EUF1518"/>
      <c r="EUG1518"/>
      <c r="EUH1518"/>
      <c r="EUI1518"/>
      <c r="EUJ1518"/>
      <c r="EUK1518"/>
      <c r="EUL1518"/>
      <c r="EUM1518"/>
      <c r="EUN1518"/>
      <c r="EUO1518"/>
      <c r="EUP1518"/>
      <c r="EUQ1518"/>
      <c r="EUR1518"/>
      <c r="EUS1518"/>
      <c r="EUT1518"/>
      <c r="EUU1518"/>
      <c r="EUV1518"/>
      <c r="EUW1518"/>
      <c r="EUX1518"/>
      <c r="EUY1518"/>
      <c r="EUZ1518"/>
      <c r="EVA1518"/>
      <c r="EVB1518"/>
      <c r="EVC1518"/>
      <c r="EVD1518"/>
      <c r="EVE1518"/>
      <c r="EVF1518"/>
      <c r="EVG1518"/>
      <c r="EVH1518"/>
      <c r="EVI1518"/>
      <c r="EVJ1518"/>
      <c r="EVK1518"/>
      <c r="EVL1518"/>
      <c r="EVM1518"/>
      <c r="EVN1518"/>
      <c r="EVO1518"/>
      <c r="EVP1518"/>
      <c r="EVQ1518"/>
      <c r="EVR1518"/>
      <c r="EVS1518"/>
      <c r="EVT1518"/>
      <c r="EVU1518"/>
      <c r="EVV1518"/>
      <c r="EVW1518"/>
      <c r="EVX1518"/>
      <c r="EVY1518"/>
      <c r="EVZ1518"/>
      <c r="EWA1518"/>
      <c r="EWB1518"/>
      <c r="EWC1518"/>
      <c r="EWD1518"/>
      <c r="EWE1518"/>
      <c r="EWF1518"/>
      <c r="EWG1518"/>
      <c r="EWH1518"/>
      <c r="EWI1518"/>
      <c r="EWJ1518"/>
      <c r="EWK1518"/>
      <c r="EWL1518"/>
      <c r="EWM1518"/>
      <c r="EWN1518"/>
      <c r="EWO1518"/>
      <c r="EWP1518"/>
      <c r="EWQ1518"/>
      <c r="EWR1518"/>
      <c r="EWS1518"/>
      <c r="EWT1518"/>
      <c r="EWU1518"/>
      <c r="EWV1518"/>
      <c r="EWW1518"/>
      <c r="EWX1518"/>
      <c r="EWY1518"/>
      <c r="EWZ1518"/>
      <c r="EXA1518"/>
      <c r="EXB1518"/>
      <c r="EXC1518"/>
      <c r="EXD1518"/>
      <c r="EXE1518"/>
      <c r="EXF1518"/>
      <c r="EXG1518"/>
      <c r="EXH1518"/>
      <c r="EXI1518"/>
      <c r="EXJ1518"/>
      <c r="EXK1518"/>
      <c r="EXL1518"/>
      <c r="EXM1518"/>
      <c r="EXN1518"/>
      <c r="EXO1518"/>
      <c r="EXP1518"/>
      <c r="EXQ1518"/>
      <c r="EXR1518"/>
      <c r="EXS1518"/>
      <c r="EXT1518"/>
      <c r="EXU1518"/>
      <c r="EXV1518"/>
      <c r="EXW1518"/>
      <c r="EXX1518"/>
      <c r="EXY1518"/>
      <c r="EXZ1518"/>
      <c r="EYA1518"/>
      <c r="EYB1518"/>
      <c r="EYC1518"/>
      <c r="EYD1518"/>
      <c r="EYE1518"/>
      <c r="EYF1518"/>
      <c r="EYG1518"/>
      <c r="EYH1518"/>
      <c r="EYI1518"/>
      <c r="EYJ1518"/>
      <c r="EYK1518"/>
      <c r="EYL1518"/>
      <c r="EYM1518"/>
      <c r="EYN1518"/>
      <c r="EYO1518"/>
      <c r="EYP1518"/>
      <c r="EYQ1518"/>
      <c r="EYR1518"/>
      <c r="EYS1518"/>
      <c r="EYT1518"/>
      <c r="EYU1518"/>
      <c r="EYV1518"/>
      <c r="EYW1518"/>
      <c r="EYX1518"/>
      <c r="EYY1518"/>
      <c r="EYZ1518"/>
      <c r="EZA1518"/>
      <c r="EZB1518"/>
      <c r="EZC1518"/>
      <c r="EZD1518"/>
      <c r="EZE1518"/>
      <c r="EZF1518"/>
      <c r="EZG1518"/>
      <c r="EZH1518"/>
      <c r="EZI1518"/>
      <c r="EZJ1518"/>
      <c r="EZK1518"/>
      <c r="EZL1518"/>
      <c r="EZM1518"/>
      <c r="EZN1518"/>
      <c r="EZO1518"/>
      <c r="EZP1518"/>
      <c r="EZQ1518"/>
      <c r="EZR1518"/>
      <c r="EZS1518"/>
      <c r="EZT1518"/>
      <c r="EZU1518"/>
      <c r="EZV1518"/>
      <c r="EZW1518"/>
      <c r="EZX1518"/>
      <c r="EZY1518"/>
      <c r="EZZ1518"/>
      <c r="FAA1518"/>
      <c r="FAB1518"/>
      <c r="FAC1518"/>
      <c r="FAD1518"/>
      <c r="FAE1518"/>
      <c r="FAF1518"/>
      <c r="FAG1518"/>
      <c r="FAH1518"/>
      <c r="FAI1518"/>
      <c r="FAJ1518"/>
      <c r="FAK1518"/>
      <c r="FAL1518"/>
      <c r="FAM1518"/>
      <c r="FAN1518"/>
      <c r="FAO1518"/>
      <c r="FAP1518"/>
      <c r="FAQ1518"/>
      <c r="FAR1518"/>
      <c r="FAS1518"/>
      <c r="FAT1518"/>
      <c r="FAU1518"/>
      <c r="FAV1518"/>
      <c r="FAW1518"/>
      <c r="FAX1518"/>
      <c r="FAY1518"/>
      <c r="FAZ1518"/>
      <c r="FBA1518"/>
      <c r="FBB1518"/>
      <c r="FBC1518"/>
      <c r="FBD1518"/>
      <c r="FBE1518"/>
      <c r="FBF1518"/>
      <c r="FBG1518"/>
      <c r="FBH1518"/>
      <c r="FBI1518"/>
      <c r="FBJ1518"/>
      <c r="FBK1518"/>
      <c r="FBL1518"/>
      <c r="FBM1518"/>
      <c r="FBN1518"/>
      <c r="FBO1518"/>
      <c r="FBP1518"/>
      <c r="FBQ1518"/>
      <c r="FBR1518"/>
      <c r="FBS1518"/>
      <c r="FBT1518"/>
      <c r="FBU1518"/>
      <c r="FBV1518"/>
      <c r="FBW1518"/>
      <c r="FBX1518"/>
      <c r="FBY1518"/>
      <c r="FBZ1518"/>
      <c r="FCA1518"/>
      <c r="FCB1518"/>
      <c r="FCC1518"/>
      <c r="FCD1518"/>
      <c r="FCE1518"/>
      <c r="FCF1518"/>
      <c r="FCG1518"/>
      <c r="FCH1518"/>
      <c r="FCI1518"/>
      <c r="FCJ1518"/>
      <c r="FCK1518"/>
      <c r="FCL1518"/>
      <c r="FCM1518"/>
      <c r="FCN1518"/>
      <c r="FCO1518"/>
      <c r="FCP1518"/>
      <c r="FCQ1518"/>
      <c r="FCR1518"/>
      <c r="FCS1518"/>
      <c r="FCT1518"/>
      <c r="FCU1518"/>
      <c r="FCV1518"/>
      <c r="FCW1518"/>
      <c r="FCX1518"/>
      <c r="FCY1518"/>
      <c r="FCZ1518"/>
      <c r="FDA1518"/>
      <c r="FDB1518"/>
      <c r="FDC1518"/>
      <c r="FDD1518"/>
      <c r="FDE1518"/>
      <c r="FDF1518"/>
      <c r="FDG1518"/>
      <c r="FDH1518"/>
      <c r="FDI1518"/>
      <c r="FDJ1518"/>
      <c r="FDK1518"/>
      <c r="FDL1518"/>
      <c r="FDM1518"/>
      <c r="FDN1518"/>
      <c r="FDO1518"/>
      <c r="FDP1518"/>
      <c r="FDQ1518"/>
      <c r="FDR1518"/>
      <c r="FDS1518"/>
      <c r="FDT1518"/>
      <c r="FDU1518"/>
      <c r="FDV1518"/>
      <c r="FDW1518"/>
      <c r="FDX1518"/>
      <c r="FDY1518"/>
      <c r="FDZ1518"/>
      <c r="FEA1518"/>
      <c r="FEB1518"/>
      <c r="FEC1518"/>
      <c r="FED1518"/>
      <c r="FEE1518"/>
      <c r="FEF1518"/>
      <c r="FEG1518"/>
      <c r="FEH1518"/>
      <c r="FEI1518"/>
      <c r="FEJ1518"/>
      <c r="FEK1518"/>
      <c r="FEL1518"/>
      <c r="FEM1518"/>
      <c r="FEN1518"/>
      <c r="FEO1518"/>
      <c r="FEP1518"/>
      <c r="FEQ1518"/>
      <c r="FER1518"/>
      <c r="FES1518"/>
      <c r="FET1518"/>
      <c r="FEU1518"/>
      <c r="FEV1518"/>
      <c r="FEW1518"/>
      <c r="FEX1518"/>
      <c r="FEY1518"/>
      <c r="FEZ1518"/>
      <c r="FFA1518"/>
      <c r="FFB1518"/>
      <c r="FFC1518"/>
      <c r="FFD1518"/>
      <c r="FFE1518"/>
      <c r="FFF1518"/>
      <c r="FFG1518"/>
      <c r="FFH1518"/>
      <c r="FFI1518"/>
      <c r="FFJ1518"/>
      <c r="FFK1518"/>
      <c r="FFL1518"/>
      <c r="FFM1518"/>
      <c r="FFN1518"/>
      <c r="FFO1518"/>
      <c r="FFP1518"/>
      <c r="FFQ1518"/>
      <c r="FFR1518"/>
      <c r="FFS1518"/>
      <c r="FFT1518"/>
      <c r="FFU1518"/>
      <c r="FFV1518"/>
      <c r="FFW1518"/>
      <c r="FFX1518"/>
      <c r="FFY1518"/>
      <c r="FFZ1518"/>
      <c r="FGA1518"/>
      <c r="FGB1518"/>
      <c r="FGC1518"/>
      <c r="FGD1518"/>
      <c r="FGE1518"/>
      <c r="FGF1518"/>
      <c r="FGG1518"/>
      <c r="FGH1518"/>
      <c r="FGI1518"/>
      <c r="FGJ1518"/>
      <c r="FGK1518"/>
      <c r="FGL1518"/>
      <c r="FGM1518"/>
      <c r="FGN1518"/>
      <c r="FGO1518"/>
      <c r="FGP1518"/>
      <c r="FGQ1518"/>
      <c r="FGR1518"/>
      <c r="FGS1518"/>
      <c r="FGT1518"/>
      <c r="FGU1518"/>
      <c r="FGV1518"/>
      <c r="FGW1518"/>
      <c r="FGX1518"/>
      <c r="FGY1518"/>
      <c r="FGZ1518"/>
      <c r="FHA1518"/>
      <c r="FHB1518"/>
      <c r="FHC1518"/>
      <c r="FHD1518"/>
      <c r="FHE1518"/>
      <c r="FHF1518"/>
      <c r="FHG1518"/>
      <c r="FHH1518"/>
      <c r="FHI1518"/>
      <c r="FHJ1518"/>
      <c r="FHK1518"/>
      <c r="FHL1518"/>
      <c r="FHM1518"/>
      <c r="FHN1518"/>
      <c r="FHO1518"/>
      <c r="FHP1518"/>
      <c r="FHQ1518"/>
      <c r="FHR1518"/>
      <c r="FHS1518"/>
      <c r="FHT1518"/>
      <c r="FHU1518"/>
      <c r="FHV1518"/>
      <c r="FHW1518"/>
      <c r="FHX1518"/>
      <c r="FHY1518"/>
      <c r="FHZ1518"/>
      <c r="FIA1518"/>
      <c r="FIB1518"/>
      <c r="FIC1518"/>
      <c r="FID1518"/>
      <c r="FIE1518"/>
      <c r="FIF1518"/>
      <c r="FIG1518"/>
      <c r="FIH1518"/>
      <c r="FII1518"/>
      <c r="FIJ1518"/>
      <c r="FIK1518"/>
      <c r="FIL1518"/>
      <c r="FIM1518"/>
      <c r="FIN1518"/>
      <c r="FIO1518"/>
      <c r="FIP1518"/>
      <c r="FIQ1518"/>
      <c r="FIR1518"/>
      <c r="FIS1518"/>
      <c r="FIT1518"/>
      <c r="FIU1518"/>
      <c r="FIV1518"/>
      <c r="FIW1518"/>
      <c r="FIX1518"/>
      <c r="FIY1518"/>
      <c r="FIZ1518"/>
      <c r="FJA1518"/>
      <c r="FJB1518"/>
      <c r="FJC1518"/>
      <c r="FJD1518"/>
      <c r="FJE1518"/>
      <c r="FJF1518"/>
      <c r="FJG1518"/>
      <c r="FJH1518"/>
      <c r="FJI1518"/>
      <c r="FJJ1518"/>
      <c r="FJK1518"/>
      <c r="FJL1518"/>
      <c r="FJM1518"/>
      <c r="FJN1518"/>
      <c r="FJO1518"/>
      <c r="FJP1518"/>
      <c r="FJQ1518"/>
      <c r="FJR1518"/>
      <c r="FJS1518"/>
      <c r="FJT1518"/>
      <c r="FJU1518"/>
      <c r="FJV1518"/>
      <c r="FJW1518"/>
      <c r="FJX1518"/>
      <c r="FJY1518"/>
      <c r="FJZ1518"/>
      <c r="FKA1518"/>
      <c r="FKB1518"/>
      <c r="FKC1518"/>
      <c r="FKD1518"/>
      <c r="FKE1518"/>
      <c r="FKF1518"/>
      <c r="FKG1518"/>
      <c r="FKH1518"/>
      <c r="FKI1518"/>
      <c r="FKJ1518"/>
      <c r="FKK1518"/>
      <c r="FKL1518"/>
      <c r="FKM1518"/>
      <c r="FKN1518"/>
      <c r="FKO1518"/>
      <c r="FKP1518"/>
      <c r="FKQ1518"/>
      <c r="FKR1518"/>
      <c r="FKS1518"/>
      <c r="FKT1518"/>
      <c r="FKU1518"/>
      <c r="FKV1518"/>
      <c r="FKW1518"/>
      <c r="FKX1518"/>
      <c r="FKY1518"/>
      <c r="FKZ1518"/>
      <c r="FLA1518"/>
      <c r="FLB1518"/>
      <c r="FLC1518"/>
      <c r="FLD1518"/>
      <c r="FLE1518"/>
      <c r="FLF1518"/>
      <c r="FLG1518"/>
      <c r="FLH1518"/>
      <c r="FLI1518"/>
      <c r="FLJ1518"/>
      <c r="FLK1518"/>
      <c r="FLL1518"/>
      <c r="FLM1518"/>
      <c r="FLN1518"/>
      <c r="FLO1518"/>
      <c r="FLP1518"/>
      <c r="FLQ1518"/>
      <c r="FLR1518"/>
      <c r="FLS1518"/>
      <c r="FLT1518"/>
      <c r="FLU1518"/>
      <c r="FLV1518"/>
      <c r="FLW1518"/>
      <c r="FLX1518"/>
      <c r="FLY1518"/>
      <c r="FLZ1518"/>
      <c r="FMA1518"/>
      <c r="FMB1518"/>
      <c r="FMC1518"/>
      <c r="FMD1518"/>
      <c r="FME1518"/>
      <c r="FMF1518"/>
      <c r="FMG1518"/>
      <c r="FMH1518"/>
      <c r="FMI1518"/>
      <c r="FMJ1518"/>
      <c r="FMK1518"/>
      <c r="FML1518"/>
      <c r="FMM1518"/>
      <c r="FMN1518"/>
      <c r="FMO1518"/>
      <c r="FMP1518"/>
      <c r="FMQ1518"/>
      <c r="FMR1518"/>
      <c r="FMS1518"/>
      <c r="FMT1518"/>
      <c r="FMU1518"/>
      <c r="FMV1518"/>
      <c r="FMW1518"/>
      <c r="FMX1518"/>
      <c r="FMY1518"/>
      <c r="FMZ1518"/>
      <c r="FNA1518"/>
      <c r="FNB1518"/>
      <c r="FNC1518"/>
      <c r="FND1518"/>
      <c r="FNE1518"/>
      <c r="FNF1518"/>
      <c r="FNG1518"/>
      <c r="FNH1518"/>
      <c r="FNI1518"/>
      <c r="FNJ1518"/>
      <c r="FNK1518"/>
      <c r="FNL1518"/>
      <c r="FNM1518"/>
      <c r="FNN1518"/>
      <c r="FNO1518"/>
      <c r="FNP1518"/>
      <c r="FNQ1518"/>
      <c r="FNR1518"/>
      <c r="FNS1518"/>
      <c r="FNT1518"/>
      <c r="FNU1518"/>
      <c r="FNV1518"/>
      <c r="FNW1518"/>
      <c r="FNX1518"/>
      <c r="FNY1518"/>
      <c r="FNZ1518"/>
      <c r="FOA1518"/>
      <c r="FOB1518"/>
      <c r="FOC1518"/>
      <c r="FOD1518"/>
      <c r="FOE1518"/>
      <c r="FOF1518"/>
      <c r="FOG1518"/>
      <c r="FOH1518"/>
      <c r="FOI1518"/>
      <c r="FOJ1518"/>
      <c r="FOK1518"/>
      <c r="FOL1518"/>
      <c r="FOM1518"/>
      <c r="FON1518"/>
      <c r="FOO1518"/>
      <c r="FOP1518"/>
      <c r="FOQ1518"/>
      <c r="FOR1518"/>
      <c r="FOS1518"/>
      <c r="FOT1518"/>
      <c r="FOU1518"/>
      <c r="FOV1518"/>
      <c r="FOW1518"/>
      <c r="FOX1518"/>
      <c r="FOY1518"/>
      <c r="FOZ1518"/>
      <c r="FPA1518"/>
      <c r="FPB1518"/>
      <c r="FPC1518"/>
      <c r="FPD1518"/>
      <c r="FPE1518"/>
      <c r="FPF1518"/>
      <c r="FPG1518"/>
      <c r="FPH1518"/>
      <c r="FPI1518"/>
      <c r="FPJ1518"/>
      <c r="FPK1518"/>
      <c r="FPL1518"/>
      <c r="FPM1518"/>
      <c r="FPN1518"/>
      <c r="FPO1518"/>
      <c r="FPP1518"/>
      <c r="FPQ1518"/>
      <c r="FPR1518"/>
      <c r="FPS1518"/>
      <c r="FPT1518"/>
      <c r="FPU1518"/>
      <c r="FPV1518"/>
      <c r="FPW1518"/>
      <c r="FPX1518"/>
      <c r="FPY1518"/>
      <c r="FPZ1518"/>
      <c r="FQA1518"/>
      <c r="FQB1518"/>
      <c r="FQC1518"/>
      <c r="FQD1518"/>
      <c r="FQE1518"/>
      <c r="FQF1518"/>
      <c r="FQG1518"/>
      <c r="FQH1518"/>
      <c r="FQI1518"/>
      <c r="FQJ1518"/>
      <c r="FQK1518"/>
      <c r="FQL1518"/>
      <c r="FQM1518"/>
      <c r="FQN1518"/>
      <c r="FQO1518"/>
      <c r="FQP1518"/>
      <c r="FQQ1518"/>
      <c r="FQR1518"/>
      <c r="FQS1518"/>
      <c r="FQT1518"/>
      <c r="FQU1518"/>
      <c r="FQV1518"/>
      <c r="FQW1518"/>
      <c r="FQX1518"/>
      <c r="FQY1518"/>
      <c r="FQZ1518"/>
      <c r="FRA1518"/>
      <c r="FRB1518"/>
      <c r="FRC1518"/>
      <c r="FRD1518"/>
      <c r="FRE1518"/>
      <c r="FRF1518"/>
      <c r="FRG1518"/>
      <c r="FRH1518"/>
      <c r="FRI1518"/>
      <c r="FRJ1518"/>
      <c r="FRK1518"/>
      <c r="FRL1518"/>
      <c r="FRM1518"/>
      <c r="FRN1518"/>
      <c r="FRO1518"/>
      <c r="FRP1518"/>
      <c r="FRQ1518"/>
      <c r="FRR1518"/>
      <c r="FRS1518"/>
      <c r="FRT1518"/>
      <c r="FRU1518"/>
      <c r="FRV1518"/>
      <c r="FRW1518"/>
      <c r="FRX1518"/>
      <c r="FRY1518"/>
      <c r="FRZ1518"/>
      <c r="FSA1518"/>
      <c r="FSB1518"/>
      <c r="FSC1518"/>
      <c r="FSD1518"/>
      <c r="FSE1518"/>
      <c r="FSF1518"/>
      <c r="FSG1518"/>
      <c r="FSH1518"/>
      <c r="FSI1518"/>
      <c r="FSJ1518"/>
      <c r="FSK1518"/>
      <c r="FSL1518"/>
      <c r="FSM1518"/>
      <c r="FSN1518"/>
      <c r="FSO1518"/>
      <c r="FSP1518"/>
      <c r="FSQ1518"/>
      <c r="FSR1518"/>
      <c r="FSS1518"/>
      <c r="FST1518"/>
      <c r="FSU1518"/>
      <c r="FSV1518"/>
      <c r="FSW1518"/>
      <c r="FSX1518"/>
      <c r="FSY1518"/>
      <c r="FSZ1518"/>
      <c r="FTA1518"/>
      <c r="FTB1518"/>
      <c r="FTC1518"/>
      <c r="FTD1518"/>
      <c r="FTE1518"/>
      <c r="FTF1518"/>
      <c r="FTG1518"/>
      <c r="FTH1518"/>
      <c r="FTI1518"/>
      <c r="FTJ1518"/>
      <c r="FTK1518"/>
      <c r="FTL1518"/>
      <c r="FTM1518"/>
      <c r="FTN1518"/>
      <c r="FTO1518"/>
      <c r="FTP1518"/>
      <c r="FTQ1518"/>
      <c r="FTR1518"/>
      <c r="FTS1518"/>
      <c r="FTT1518"/>
      <c r="FTU1518"/>
      <c r="FTV1518"/>
      <c r="FTW1518"/>
      <c r="FTX1518"/>
      <c r="FTY1518"/>
      <c r="FTZ1518"/>
      <c r="FUA1518"/>
      <c r="FUB1518"/>
      <c r="FUC1518"/>
      <c r="FUD1518"/>
      <c r="FUE1518"/>
      <c r="FUF1518"/>
      <c r="FUG1518"/>
      <c r="FUH1518"/>
      <c r="FUI1518"/>
      <c r="FUJ1518"/>
      <c r="FUK1518"/>
      <c r="FUL1518"/>
      <c r="FUM1518"/>
      <c r="FUN1518"/>
      <c r="FUO1518"/>
      <c r="FUP1518"/>
      <c r="FUQ1518"/>
      <c r="FUR1518"/>
      <c r="FUS1518"/>
      <c r="FUT1518"/>
      <c r="FUU1518"/>
      <c r="FUV1518"/>
      <c r="FUW1518"/>
      <c r="FUX1518"/>
      <c r="FUY1518"/>
      <c r="FUZ1518"/>
      <c r="FVA1518"/>
      <c r="FVB1518"/>
      <c r="FVC1518"/>
      <c r="FVD1518"/>
      <c r="FVE1518"/>
      <c r="FVF1518"/>
      <c r="FVG1518"/>
      <c r="FVH1518"/>
      <c r="FVI1518"/>
      <c r="FVJ1518"/>
      <c r="FVK1518"/>
      <c r="FVL1518"/>
      <c r="FVM1518"/>
      <c r="FVN1518"/>
      <c r="FVO1518"/>
      <c r="FVP1518"/>
      <c r="FVQ1518"/>
      <c r="FVR1518"/>
      <c r="FVS1518"/>
      <c r="FVT1518"/>
      <c r="FVU1518"/>
      <c r="FVV1518"/>
      <c r="FVW1518"/>
      <c r="FVX1518"/>
      <c r="FVY1518"/>
      <c r="FVZ1518"/>
      <c r="FWA1518"/>
      <c r="FWB1518"/>
      <c r="FWC1518"/>
      <c r="FWD1518"/>
      <c r="FWE1518"/>
      <c r="FWF1518"/>
      <c r="FWG1518"/>
      <c r="FWH1518"/>
      <c r="FWI1518"/>
      <c r="FWJ1518"/>
      <c r="FWK1518"/>
      <c r="FWL1518"/>
      <c r="FWM1518"/>
      <c r="FWN1518"/>
      <c r="FWO1518"/>
      <c r="FWP1518"/>
      <c r="FWQ1518"/>
      <c r="FWR1518"/>
      <c r="FWS1518"/>
      <c r="FWT1518"/>
      <c r="FWU1518"/>
      <c r="FWV1518"/>
      <c r="FWW1518"/>
      <c r="FWX1518"/>
      <c r="FWY1518"/>
      <c r="FWZ1518"/>
      <c r="FXA1518"/>
      <c r="FXB1518"/>
      <c r="FXC1518"/>
      <c r="FXD1518"/>
      <c r="FXE1518"/>
      <c r="FXF1518"/>
      <c r="FXG1518"/>
      <c r="FXH1518"/>
      <c r="FXI1518"/>
      <c r="FXJ1518"/>
      <c r="FXK1518"/>
      <c r="FXL1518"/>
      <c r="FXM1518"/>
      <c r="FXN1518"/>
      <c r="FXO1518"/>
      <c r="FXP1518"/>
      <c r="FXQ1518"/>
      <c r="FXR1518"/>
      <c r="FXS1518"/>
      <c r="FXT1518"/>
      <c r="FXU1518"/>
      <c r="FXV1518"/>
      <c r="FXW1518"/>
      <c r="FXX1518"/>
      <c r="FXY1518"/>
      <c r="FXZ1518"/>
      <c r="FYA1518"/>
      <c r="FYB1518"/>
      <c r="FYC1518"/>
      <c r="FYD1518"/>
      <c r="FYE1518"/>
      <c r="FYF1518"/>
      <c r="FYG1518"/>
      <c r="FYH1518"/>
      <c r="FYI1518"/>
      <c r="FYJ1518"/>
      <c r="FYK1518"/>
      <c r="FYL1518"/>
      <c r="FYM1518"/>
      <c r="FYN1518"/>
      <c r="FYO1518"/>
      <c r="FYP1518"/>
      <c r="FYQ1518"/>
      <c r="FYR1518"/>
      <c r="FYS1518"/>
      <c r="FYT1518"/>
      <c r="FYU1518"/>
      <c r="FYV1518"/>
      <c r="FYW1518"/>
      <c r="FYX1518"/>
      <c r="FYY1518"/>
      <c r="FYZ1518"/>
      <c r="FZA1518"/>
      <c r="FZB1518"/>
      <c r="FZC1518"/>
      <c r="FZD1518"/>
      <c r="FZE1518"/>
      <c r="FZF1518"/>
      <c r="FZG1518"/>
      <c r="FZH1518"/>
      <c r="FZI1518"/>
      <c r="FZJ1518"/>
      <c r="FZK1518"/>
      <c r="FZL1518"/>
      <c r="FZM1518"/>
      <c r="FZN1518"/>
      <c r="FZO1518"/>
      <c r="FZP1518"/>
      <c r="FZQ1518"/>
      <c r="FZR1518"/>
      <c r="FZS1518"/>
      <c r="FZT1518"/>
      <c r="FZU1518"/>
      <c r="FZV1518"/>
      <c r="FZW1518"/>
      <c r="FZX1518"/>
      <c r="FZY1518"/>
      <c r="FZZ1518"/>
      <c r="GAA1518"/>
      <c r="GAB1518"/>
      <c r="GAC1518"/>
      <c r="GAD1518"/>
      <c r="GAE1518"/>
      <c r="GAF1518"/>
      <c r="GAG1518"/>
      <c r="GAH1518"/>
      <c r="GAI1518"/>
      <c r="GAJ1518"/>
      <c r="GAK1518"/>
      <c r="GAL1518"/>
      <c r="GAM1518"/>
      <c r="GAN1518"/>
      <c r="GAO1518"/>
      <c r="GAP1518"/>
      <c r="GAQ1518"/>
      <c r="GAR1518"/>
      <c r="GAS1518"/>
      <c r="GAT1518"/>
      <c r="GAU1518"/>
      <c r="GAV1518"/>
      <c r="GAW1518"/>
      <c r="GAX1518"/>
      <c r="GAY1518"/>
      <c r="GAZ1518"/>
      <c r="GBA1518"/>
      <c r="GBB1518"/>
      <c r="GBC1518"/>
      <c r="GBD1518"/>
      <c r="GBE1518"/>
      <c r="GBF1518"/>
      <c r="GBG1518"/>
      <c r="GBH1518"/>
      <c r="GBI1518"/>
      <c r="GBJ1518"/>
      <c r="GBK1518"/>
      <c r="GBL1518"/>
      <c r="GBM1518"/>
      <c r="GBN1518"/>
      <c r="GBO1518"/>
      <c r="GBP1518"/>
      <c r="GBQ1518"/>
      <c r="GBR1518"/>
      <c r="GBS1518"/>
      <c r="GBT1518"/>
      <c r="GBU1518"/>
      <c r="GBV1518"/>
      <c r="GBW1518"/>
      <c r="GBX1518"/>
      <c r="GBY1518"/>
      <c r="GBZ1518"/>
      <c r="GCA1518"/>
      <c r="GCB1518"/>
      <c r="GCC1518"/>
      <c r="GCD1518"/>
      <c r="GCE1518"/>
      <c r="GCF1518"/>
      <c r="GCG1518"/>
      <c r="GCH1518"/>
      <c r="GCI1518"/>
      <c r="GCJ1518"/>
      <c r="GCK1518"/>
      <c r="GCL1518"/>
      <c r="GCM1518"/>
      <c r="GCN1518"/>
      <c r="GCO1518"/>
      <c r="GCP1518"/>
      <c r="GCQ1518"/>
      <c r="GCR1518"/>
      <c r="GCS1518"/>
      <c r="GCT1518"/>
      <c r="GCU1518"/>
      <c r="GCV1518"/>
      <c r="GCW1518"/>
      <c r="GCX1518"/>
      <c r="GCY1518"/>
      <c r="GCZ1518"/>
      <c r="GDA1518"/>
      <c r="GDB1518"/>
      <c r="GDC1518"/>
      <c r="GDD1518"/>
      <c r="GDE1518"/>
      <c r="GDF1518"/>
      <c r="GDG1518"/>
      <c r="GDH1518"/>
      <c r="GDI1518"/>
      <c r="GDJ1518"/>
      <c r="GDK1518"/>
      <c r="GDL1518"/>
      <c r="GDM1518"/>
      <c r="GDN1518"/>
      <c r="GDO1518"/>
      <c r="GDP1518"/>
      <c r="GDQ1518"/>
      <c r="GDR1518"/>
      <c r="GDS1518"/>
      <c r="GDT1518"/>
      <c r="GDU1518"/>
      <c r="GDV1518"/>
      <c r="GDW1518"/>
      <c r="GDX1518"/>
      <c r="GDY1518"/>
      <c r="GDZ1518"/>
      <c r="GEA1518"/>
      <c r="GEB1518"/>
      <c r="GEC1518"/>
      <c r="GED1518"/>
      <c r="GEE1518"/>
      <c r="GEF1518"/>
      <c r="GEG1518"/>
      <c r="GEH1518"/>
      <c r="GEI1518"/>
      <c r="GEJ1518"/>
      <c r="GEK1518"/>
      <c r="GEL1518"/>
      <c r="GEM1518"/>
      <c r="GEN1518"/>
      <c r="GEO1518"/>
      <c r="GEP1518"/>
      <c r="GEQ1518"/>
      <c r="GER1518"/>
      <c r="GES1518"/>
      <c r="GET1518"/>
      <c r="GEU1518"/>
      <c r="GEV1518"/>
      <c r="GEW1518"/>
      <c r="GEX1518"/>
      <c r="GEY1518"/>
      <c r="GEZ1518"/>
      <c r="GFA1518"/>
      <c r="GFB1518"/>
      <c r="GFC1518"/>
      <c r="GFD1518"/>
      <c r="GFE1518"/>
      <c r="GFF1518"/>
      <c r="GFG1518"/>
      <c r="GFH1518"/>
      <c r="GFI1518"/>
      <c r="GFJ1518"/>
      <c r="GFK1518"/>
      <c r="GFL1518"/>
      <c r="GFM1518"/>
      <c r="GFN1518"/>
      <c r="GFO1518"/>
      <c r="GFP1518"/>
      <c r="GFQ1518"/>
      <c r="GFR1518"/>
      <c r="GFS1518"/>
      <c r="GFT1518"/>
      <c r="GFU1518"/>
      <c r="GFV1518"/>
      <c r="GFW1518"/>
      <c r="GFX1518"/>
      <c r="GFY1518"/>
      <c r="GFZ1518"/>
      <c r="GGA1518"/>
      <c r="GGB1518"/>
      <c r="GGC1518"/>
      <c r="GGD1518"/>
      <c r="GGE1518"/>
      <c r="GGF1518"/>
      <c r="GGG1518"/>
      <c r="GGH1518"/>
      <c r="GGI1518"/>
      <c r="GGJ1518"/>
      <c r="GGK1518"/>
      <c r="GGL1518"/>
      <c r="GGM1518"/>
      <c r="GGN1518"/>
      <c r="GGO1518"/>
      <c r="GGP1518"/>
      <c r="GGQ1518"/>
      <c r="GGR1518"/>
      <c r="GGS1518"/>
      <c r="GGT1518"/>
      <c r="GGU1518"/>
      <c r="GGV1518"/>
      <c r="GGW1518"/>
      <c r="GGX1518"/>
      <c r="GGY1518"/>
      <c r="GGZ1518"/>
      <c r="GHA1518"/>
      <c r="GHB1518"/>
      <c r="GHC1518"/>
      <c r="GHD1518"/>
      <c r="GHE1518"/>
      <c r="GHF1518"/>
      <c r="GHG1518"/>
      <c r="GHH1518"/>
      <c r="GHI1518"/>
      <c r="GHJ1518"/>
      <c r="GHK1518"/>
      <c r="GHL1518"/>
      <c r="GHM1518"/>
      <c r="GHN1518"/>
      <c r="GHO1518"/>
      <c r="GHP1518"/>
      <c r="GHQ1518"/>
      <c r="GHR1518"/>
      <c r="GHS1518"/>
      <c r="GHT1518"/>
      <c r="GHU1518"/>
      <c r="GHV1518"/>
      <c r="GHW1518"/>
      <c r="GHX1518"/>
      <c r="GHY1518"/>
      <c r="GHZ1518"/>
      <c r="GIA1518"/>
      <c r="GIB1518"/>
      <c r="GIC1518"/>
      <c r="GID1518"/>
      <c r="GIE1518"/>
      <c r="GIF1518"/>
      <c r="GIG1518"/>
      <c r="GIH1518"/>
      <c r="GII1518"/>
      <c r="GIJ1518"/>
      <c r="GIK1518"/>
      <c r="GIL1518"/>
      <c r="GIM1518"/>
      <c r="GIN1518"/>
      <c r="GIO1518"/>
      <c r="GIP1518"/>
      <c r="GIQ1518"/>
      <c r="GIR1518"/>
      <c r="GIS1518"/>
      <c r="GIT1518"/>
      <c r="GIU1518"/>
      <c r="GIV1518"/>
      <c r="GIW1518"/>
      <c r="GIX1518"/>
      <c r="GIY1518"/>
      <c r="GIZ1518"/>
      <c r="GJA1518"/>
      <c r="GJB1518"/>
      <c r="GJC1518"/>
      <c r="GJD1518"/>
      <c r="GJE1518"/>
      <c r="GJF1518"/>
      <c r="GJG1518"/>
      <c r="GJH1518"/>
      <c r="GJI1518"/>
      <c r="GJJ1518"/>
      <c r="GJK1518"/>
      <c r="GJL1518"/>
      <c r="GJM1518"/>
      <c r="GJN1518"/>
      <c r="GJO1518"/>
      <c r="GJP1518"/>
      <c r="GJQ1518"/>
      <c r="GJR1518"/>
      <c r="GJS1518"/>
      <c r="GJT1518"/>
      <c r="GJU1518"/>
      <c r="GJV1518"/>
      <c r="GJW1518"/>
      <c r="GJX1518"/>
      <c r="GJY1518"/>
      <c r="GJZ1518"/>
      <c r="GKA1518"/>
      <c r="GKB1518"/>
      <c r="GKC1518"/>
      <c r="GKD1518"/>
      <c r="GKE1518"/>
      <c r="GKF1518"/>
      <c r="GKG1518"/>
      <c r="GKH1518"/>
      <c r="GKI1518"/>
      <c r="GKJ1518"/>
      <c r="GKK1518"/>
      <c r="GKL1518"/>
      <c r="GKM1518"/>
      <c r="GKN1518"/>
      <c r="GKO1518"/>
      <c r="GKP1518"/>
      <c r="GKQ1518"/>
      <c r="GKR1518"/>
      <c r="GKS1518"/>
      <c r="GKT1518"/>
      <c r="GKU1518"/>
      <c r="GKV1518"/>
      <c r="GKW1518"/>
      <c r="GKX1518"/>
      <c r="GKY1518"/>
      <c r="GKZ1518"/>
      <c r="GLA1518"/>
      <c r="GLB1518"/>
      <c r="GLC1518"/>
      <c r="GLD1518"/>
      <c r="GLE1518"/>
      <c r="GLF1518"/>
      <c r="GLG1518"/>
      <c r="GLH1518"/>
      <c r="GLI1518"/>
      <c r="GLJ1518"/>
      <c r="GLK1518"/>
      <c r="GLL1518"/>
      <c r="GLM1518"/>
      <c r="GLN1518"/>
      <c r="GLO1518"/>
      <c r="GLP1518"/>
      <c r="GLQ1518"/>
      <c r="GLR1518"/>
      <c r="GLS1518"/>
      <c r="GLT1518"/>
      <c r="GLU1518"/>
      <c r="GLV1518"/>
      <c r="GLW1518"/>
      <c r="GLX1518"/>
      <c r="GLY1518"/>
      <c r="GLZ1518"/>
      <c r="GMA1518"/>
      <c r="GMB1518"/>
      <c r="GMC1518"/>
      <c r="GMD1518"/>
      <c r="GME1518"/>
      <c r="GMF1518"/>
      <c r="GMG1518"/>
      <c r="GMH1518"/>
      <c r="GMI1518"/>
      <c r="GMJ1518"/>
      <c r="GMK1518"/>
      <c r="GML1518"/>
      <c r="GMM1518"/>
      <c r="GMN1518"/>
      <c r="GMO1518"/>
      <c r="GMP1518"/>
      <c r="GMQ1518"/>
      <c r="GMR1518"/>
      <c r="GMS1518"/>
      <c r="GMT1518"/>
      <c r="GMU1518"/>
      <c r="GMV1518"/>
      <c r="GMW1518"/>
      <c r="GMX1518"/>
      <c r="GMY1518"/>
      <c r="GMZ1518"/>
      <c r="GNA1518"/>
      <c r="GNB1518"/>
      <c r="GNC1518"/>
      <c r="GND1518"/>
      <c r="GNE1518"/>
      <c r="GNF1518"/>
      <c r="GNG1518"/>
      <c r="GNH1518"/>
      <c r="GNI1518"/>
      <c r="GNJ1518"/>
      <c r="GNK1518"/>
      <c r="GNL1518"/>
      <c r="GNM1518"/>
      <c r="GNN1518"/>
      <c r="GNO1518"/>
      <c r="GNP1518"/>
      <c r="GNQ1518"/>
      <c r="GNR1518"/>
      <c r="GNS1518"/>
      <c r="GNT1518"/>
      <c r="GNU1518"/>
      <c r="GNV1518"/>
      <c r="GNW1518"/>
      <c r="GNX1518"/>
      <c r="GNY1518"/>
      <c r="GNZ1518"/>
      <c r="GOA1518"/>
      <c r="GOB1518"/>
      <c r="GOC1518"/>
      <c r="GOD1518"/>
      <c r="GOE1518"/>
      <c r="GOF1518"/>
      <c r="GOG1518"/>
      <c r="GOH1518"/>
      <c r="GOI1518"/>
      <c r="GOJ1518"/>
      <c r="GOK1518"/>
      <c r="GOL1518"/>
      <c r="GOM1518"/>
      <c r="GON1518"/>
      <c r="GOO1518"/>
      <c r="GOP1518"/>
      <c r="GOQ1518"/>
      <c r="GOR1518"/>
      <c r="GOS1518"/>
      <c r="GOT1518"/>
      <c r="GOU1518"/>
      <c r="GOV1518"/>
      <c r="GOW1518"/>
      <c r="GOX1518"/>
      <c r="GOY1518"/>
      <c r="GOZ1518"/>
      <c r="GPA1518"/>
      <c r="GPB1518"/>
      <c r="GPC1518"/>
      <c r="GPD1518"/>
      <c r="GPE1518"/>
      <c r="GPF1518"/>
      <c r="GPG1518"/>
      <c r="GPH1518"/>
      <c r="GPI1518"/>
      <c r="GPJ1518"/>
      <c r="GPK1518"/>
      <c r="GPL1518"/>
      <c r="GPM1518"/>
      <c r="GPN1518"/>
      <c r="GPO1518"/>
      <c r="GPP1518"/>
      <c r="GPQ1518"/>
      <c r="GPR1518"/>
      <c r="GPS1518"/>
      <c r="GPT1518"/>
      <c r="GPU1518"/>
      <c r="GPV1518"/>
      <c r="GPW1518"/>
      <c r="GPX1518"/>
      <c r="GPY1518"/>
      <c r="GPZ1518"/>
      <c r="GQA1518"/>
      <c r="GQB1518"/>
      <c r="GQC1518"/>
      <c r="GQD1518"/>
      <c r="GQE1518"/>
      <c r="GQF1518"/>
      <c r="GQG1518"/>
      <c r="GQH1518"/>
      <c r="GQI1518"/>
      <c r="GQJ1518"/>
      <c r="GQK1518"/>
      <c r="GQL1518"/>
      <c r="GQM1518"/>
      <c r="GQN1518"/>
      <c r="GQO1518"/>
      <c r="GQP1518"/>
      <c r="GQQ1518"/>
      <c r="GQR1518"/>
      <c r="GQS1518"/>
      <c r="GQT1518"/>
      <c r="GQU1518"/>
      <c r="GQV1518"/>
      <c r="GQW1518"/>
      <c r="GQX1518"/>
      <c r="GQY1518"/>
      <c r="GQZ1518"/>
      <c r="GRA1518"/>
      <c r="GRB1518"/>
      <c r="GRC1518"/>
      <c r="GRD1518"/>
      <c r="GRE1518"/>
      <c r="GRF1518"/>
      <c r="GRG1518"/>
      <c r="GRH1518"/>
      <c r="GRI1518"/>
      <c r="GRJ1518"/>
      <c r="GRK1518"/>
      <c r="GRL1518"/>
      <c r="GRM1518"/>
      <c r="GRN1518"/>
      <c r="GRO1518"/>
      <c r="GRP1518"/>
      <c r="GRQ1518"/>
      <c r="GRR1518"/>
      <c r="GRS1518"/>
      <c r="GRT1518"/>
      <c r="GRU1518"/>
      <c r="GRV1518"/>
      <c r="GRW1518"/>
      <c r="GRX1518"/>
      <c r="GRY1518"/>
      <c r="GRZ1518"/>
      <c r="GSA1518"/>
      <c r="GSB1518"/>
      <c r="GSC1518"/>
      <c r="GSD1518"/>
      <c r="GSE1518"/>
      <c r="GSF1518"/>
      <c r="GSG1518"/>
      <c r="GSH1518"/>
      <c r="GSI1518"/>
      <c r="GSJ1518"/>
      <c r="GSK1518"/>
      <c r="GSL1518"/>
      <c r="GSM1518"/>
      <c r="GSN1518"/>
      <c r="GSO1518"/>
      <c r="GSP1518"/>
      <c r="GSQ1518"/>
      <c r="GSR1518"/>
      <c r="GSS1518"/>
      <c r="GST1518"/>
      <c r="GSU1518"/>
      <c r="GSV1518"/>
      <c r="GSW1518"/>
      <c r="GSX1518"/>
      <c r="GSY1518"/>
      <c r="GSZ1518"/>
      <c r="GTA1518"/>
      <c r="GTB1518"/>
      <c r="GTC1518"/>
      <c r="GTD1518"/>
      <c r="GTE1518"/>
      <c r="GTF1518"/>
      <c r="GTG1518"/>
      <c r="GTH1518"/>
      <c r="GTI1518"/>
      <c r="GTJ1518"/>
      <c r="GTK1518"/>
      <c r="GTL1518"/>
      <c r="GTM1518"/>
      <c r="GTN1518"/>
      <c r="GTO1518"/>
      <c r="GTP1518"/>
      <c r="GTQ1518"/>
      <c r="GTR1518"/>
      <c r="GTS1518"/>
      <c r="GTT1518"/>
      <c r="GTU1518"/>
      <c r="GTV1518"/>
      <c r="GTW1518"/>
      <c r="GTX1518"/>
      <c r="GTY1518"/>
      <c r="GTZ1518"/>
      <c r="GUA1518"/>
      <c r="GUB1518"/>
      <c r="GUC1518"/>
      <c r="GUD1518"/>
      <c r="GUE1518"/>
      <c r="GUF1518"/>
      <c r="GUG1518"/>
      <c r="GUH1518"/>
      <c r="GUI1518"/>
      <c r="GUJ1518"/>
      <c r="GUK1518"/>
      <c r="GUL1518"/>
      <c r="GUM1518"/>
      <c r="GUN1518"/>
      <c r="GUO1518"/>
      <c r="GUP1518"/>
      <c r="GUQ1518"/>
      <c r="GUR1518"/>
      <c r="GUS1518"/>
      <c r="GUT1518"/>
      <c r="GUU1518"/>
      <c r="GUV1518"/>
      <c r="GUW1518"/>
      <c r="GUX1518"/>
      <c r="GUY1518"/>
      <c r="GUZ1518"/>
      <c r="GVA1518"/>
      <c r="GVB1518"/>
      <c r="GVC1518"/>
      <c r="GVD1518"/>
      <c r="GVE1518"/>
      <c r="GVF1518"/>
      <c r="GVG1518"/>
      <c r="GVH1518"/>
      <c r="GVI1518"/>
      <c r="GVJ1518"/>
      <c r="GVK1518"/>
      <c r="GVL1518"/>
      <c r="GVM1518"/>
      <c r="GVN1518"/>
      <c r="GVO1518"/>
      <c r="GVP1518"/>
      <c r="GVQ1518"/>
      <c r="GVR1518"/>
      <c r="GVS1518"/>
      <c r="GVT1518"/>
      <c r="GVU1518"/>
      <c r="GVV1518"/>
      <c r="GVW1518"/>
      <c r="GVX1518"/>
      <c r="GVY1518"/>
      <c r="GVZ1518"/>
      <c r="GWA1518"/>
      <c r="GWB1518"/>
      <c r="GWC1518"/>
      <c r="GWD1518"/>
      <c r="GWE1518"/>
      <c r="GWF1518"/>
      <c r="GWG1518"/>
      <c r="GWH1518"/>
      <c r="GWI1518"/>
      <c r="GWJ1518"/>
      <c r="GWK1518"/>
      <c r="GWL1518"/>
      <c r="GWM1518"/>
      <c r="GWN1518"/>
      <c r="GWO1518"/>
      <c r="GWP1518"/>
      <c r="GWQ1518"/>
      <c r="GWR1518"/>
      <c r="GWS1518"/>
      <c r="GWT1518"/>
      <c r="GWU1518"/>
      <c r="GWV1518"/>
      <c r="GWW1518"/>
      <c r="GWX1518"/>
      <c r="GWY1518"/>
      <c r="GWZ1518"/>
      <c r="GXA1518"/>
      <c r="GXB1518"/>
      <c r="GXC1518"/>
      <c r="GXD1518"/>
      <c r="GXE1518"/>
      <c r="GXF1518"/>
      <c r="GXG1518"/>
      <c r="GXH1518"/>
      <c r="GXI1518"/>
      <c r="GXJ1518"/>
      <c r="GXK1518"/>
      <c r="GXL1518"/>
      <c r="GXM1518"/>
      <c r="GXN1518"/>
      <c r="GXO1518"/>
      <c r="GXP1518"/>
      <c r="GXQ1518"/>
      <c r="GXR1518"/>
      <c r="GXS1518"/>
      <c r="GXT1518"/>
      <c r="GXU1518"/>
      <c r="GXV1518"/>
      <c r="GXW1518"/>
      <c r="GXX1518"/>
      <c r="GXY1518"/>
      <c r="GXZ1518"/>
      <c r="GYA1518"/>
      <c r="GYB1518"/>
      <c r="GYC1518"/>
      <c r="GYD1518"/>
      <c r="GYE1518"/>
      <c r="GYF1518"/>
      <c r="GYG1518"/>
      <c r="GYH1518"/>
      <c r="GYI1518"/>
      <c r="GYJ1518"/>
      <c r="GYK1518"/>
      <c r="GYL1518"/>
      <c r="GYM1518"/>
      <c r="GYN1518"/>
      <c r="GYO1518"/>
      <c r="GYP1518"/>
      <c r="GYQ1518"/>
      <c r="GYR1518"/>
      <c r="GYS1518"/>
      <c r="GYT1518"/>
      <c r="GYU1518"/>
      <c r="GYV1518"/>
      <c r="GYW1518"/>
      <c r="GYX1518"/>
      <c r="GYY1518"/>
      <c r="GYZ1518"/>
      <c r="GZA1518"/>
      <c r="GZB1518"/>
      <c r="GZC1518"/>
      <c r="GZD1518"/>
      <c r="GZE1518"/>
      <c r="GZF1518"/>
      <c r="GZG1518"/>
      <c r="GZH1518"/>
      <c r="GZI1518"/>
      <c r="GZJ1518"/>
      <c r="GZK1518"/>
      <c r="GZL1518"/>
      <c r="GZM1518"/>
      <c r="GZN1518"/>
      <c r="GZO1518"/>
      <c r="GZP1518"/>
      <c r="GZQ1518"/>
      <c r="GZR1518"/>
      <c r="GZS1518"/>
      <c r="GZT1518"/>
      <c r="GZU1518"/>
      <c r="GZV1518"/>
      <c r="GZW1518"/>
      <c r="GZX1518"/>
      <c r="GZY1518"/>
      <c r="GZZ1518"/>
      <c r="HAA1518"/>
      <c r="HAB1518"/>
      <c r="HAC1518"/>
      <c r="HAD1518"/>
      <c r="HAE1518"/>
      <c r="HAF1518"/>
      <c r="HAG1518"/>
      <c r="HAH1518"/>
      <c r="HAI1518"/>
      <c r="HAJ1518"/>
      <c r="HAK1518"/>
      <c r="HAL1518"/>
      <c r="HAM1518"/>
      <c r="HAN1518"/>
      <c r="HAO1518"/>
      <c r="HAP1518"/>
      <c r="HAQ1518"/>
      <c r="HAR1518"/>
      <c r="HAS1518"/>
      <c r="HAT1518"/>
      <c r="HAU1518"/>
      <c r="HAV1518"/>
      <c r="HAW1518"/>
      <c r="HAX1518"/>
      <c r="HAY1518"/>
      <c r="HAZ1518"/>
      <c r="HBA1518"/>
      <c r="HBB1518"/>
      <c r="HBC1518"/>
      <c r="HBD1518"/>
      <c r="HBE1518"/>
      <c r="HBF1518"/>
      <c r="HBG1518"/>
      <c r="HBH1518"/>
      <c r="HBI1518"/>
      <c r="HBJ1518"/>
      <c r="HBK1518"/>
      <c r="HBL1518"/>
      <c r="HBM1518"/>
      <c r="HBN1518"/>
      <c r="HBO1518"/>
      <c r="HBP1518"/>
      <c r="HBQ1518"/>
      <c r="HBR1518"/>
      <c r="HBS1518"/>
      <c r="HBT1518"/>
      <c r="HBU1518"/>
      <c r="HBV1518"/>
      <c r="HBW1518"/>
      <c r="HBX1518"/>
      <c r="HBY1518"/>
      <c r="HBZ1518"/>
      <c r="HCA1518"/>
      <c r="HCB1518"/>
      <c r="HCC1518"/>
      <c r="HCD1518"/>
      <c r="HCE1518"/>
      <c r="HCF1518"/>
      <c r="HCG1518"/>
      <c r="HCH1518"/>
      <c r="HCI1518"/>
      <c r="HCJ1518"/>
      <c r="HCK1518"/>
      <c r="HCL1518"/>
      <c r="HCM1518"/>
      <c r="HCN1518"/>
      <c r="HCO1518"/>
      <c r="HCP1518"/>
      <c r="HCQ1518"/>
      <c r="HCR1518"/>
      <c r="HCS1518"/>
      <c r="HCT1518"/>
      <c r="HCU1518"/>
      <c r="HCV1518"/>
      <c r="HCW1518"/>
      <c r="HCX1518"/>
      <c r="HCY1518"/>
      <c r="HCZ1518"/>
      <c r="HDA1518"/>
      <c r="HDB1518"/>
      <c r="HDC1518"/>
      <c r="HDD1518"/>
      <c r="HDE1518"/>
      <c r="HDF1518"/>
      <c r="HDG1518"/>
      <c r="HDH1518"/>
      <c r="HDI1518"/>
      <c r="HDJ1518"/>
      <c r="HDK1518"/>
      <c r="HDL1518"/>
      <c r="HDM1518"/>
      <c r="HDN1518"/>
      <c r="HDO1518"/>
      <c r="HDP1518"/>
      <c r="HDQ1518"/>
      <c r="HDR1518"/>
      <c r="HDS1518"/>
      <c r="HDT1518"/>
      <c r="HDU1518"/>
      <c r="HDV1518"/>
      <c r="HDW1518"/>
      <c r="HDX1518"/>
      <c r="HDY1518"/>
      <c r="HDZ1518"/>
      <c r="HEA1518"/>
      <c r="HEB1518"/>
      <c r="HEC1518"/>
      <c r="HED1518"/>
      <c r="HEE1518"/>
      <c r="HEF1518"/>
      <c r="HEG1518"/>
      <c r="HEH1518"/>
      <c r="HEI1518"/>
      <c r="HEJ1518"/>
      <c r="HEK1518"/>
      <c r="HEL1518"/>
      <c r="HEM1518"/>
      <c r="HEN1518"/>
      <c r="HEO1518"/>
      <c r="HEP1518"/>
      <c r="HEQ1518"/>
      <c r="HER1518"/>
      <c r="HES1518"/>
      <c r="HET1518"/>
      <c r="HEU1518"/>
      <c r="HEV1518"/>
      <c r="HEW1518"/>
      <c r="HEX1518"/>
      <c r="HEY1518"/>
      <c r="HEZ1518"/>
      <c r="HFA1518"/>
      <c r="HFB1518"/>
      <c r="HFC1518"/>
      <c r="HFD1518"/>
      <c r="HFE1518"/>
      <c r="HFF1518"/>
      <c r="HFG1518"/>
      <c r="HFH1518"/>
      <c r="HFI1518"/>
      <c r="HFJ1518"/>
      <c r="HFK1518"/>
      <c r="HFL1518"/>
      <c r="HFM1518"/>
      <c r="HFN1518"/>
      <c r="HFO1518"/>
      <c r="HFP1518"/>
      <c r="HFQ1518"/>
      <c r="HFR1518"/>
      <c r="HFS1518"/>
      <c r="HFT1518"/>
      <c r="HFU1518"/>
      <c r="HFV1518"/>
      <c r="HFW1518"/>
      <c r="HFX1518"/>
      <c r="HFY1518"/>
      <c r="HFZ1518"/>
      <c r="HGA1518"/>
      <c r="HGB1518"/>
      <c r="HGC1518"/>
      <c r="HGD1518"/>
      <c r="HGE1518"/>
      <c r="HGF1518"/>
      <c r="HGG1518"/>
      <c r="HGH1518"/>
      <c r="HGI1518"/>
      <c r="HGJ1518"/>
      <c r="HGK1518"/>
      <c r="HGL1518"/>
      <c r="HGM1518"/>
      <c r="HGN1518"/>
      <c r="HGO1518"/>
      <c r="HGP1518"/>
      <c r="HGQ1518"/>
      <c r="HGR1518"/>
      <c r="HGS1518"/>
      <c r="HGT1518"/>
      <c r="HGU1518"/>
      <c r="HGV1518"/>
      <c r="HGW1518"/>
      <c r="HGX1518"/>
      <c r="HGY1518"/>
      <c r="HGZ1518"/>
      <c r="HHA1518"/>
      <c r="HHB1518"/>
      <c r="HHC1518"/>
      <c r="HHD1518"/>
      <c r="HHE1518"/>
      <c r="HHF1518"/>
      <c r="HHG1518"/>
      <c r="HHH1518"/>
      <c r="HHI1518"/>
      <c r="HHJ1518"/>
      <c r="HHK1518"/>
      <c r="HHL1518"/>
      <c r="HHM1518"/>
      <c r="HHN1518"/>
      <c r="HHO1518"/>
      <c r="HHP1518"/>
      <c r="HHQ1518"/>
      <c r="HHR1518"/>
      <c r="HHS1518"/>
      <c r="HHT1518"/>
      <c r="HHU1518"/>
      <c r="HHV1518"/>
      <c r="HHW1518"/>
      <c r="HHX1518"/>
      <c r="HHY1518"/>
      <c r="HHZ1518"/>
      <c r="HIA1518"/>
      <c r="HIB1518"/>
      <c r="HIC1518"/>
      <c r="HID1518"/>
      <c r="HIE1518"/>
      <c r="HIF1518"/>
      <c r="HIG1518"/>
      <c r="HIH1518"/>
      <c r="HII1518"/>
      <c r="HIJ1518"/>
      <c r="HIK1518"/>
      <c r="HIL1518"/>
      <c r="HIM1518"/>
      <c r="HIN1518"/>
      <c r="HIO1518"/>
      <c r="HIP1518"/>
      <c r="HIQ1518"/>
      <c r="HIR1518"/>
      <c r="HIS1518"/>
      <c r="HIT1518"/>
      <c r="HIU1518"/>
      <c r="HIV1518"/>
      <c r="HIW1518"/>
      <c r="HIX1518"/>
      <c r="HIY1518"/>
      <c r="HIZ1518"/>
      <c r="HJA1518"/>
      <c r="HJB1518"/>
      <c r="HJC1518"/>
      <c r="HJD1518"/>
      <c r="HJE1518"/>
      <c r="HJF1518"/>
      <c r="HJG1518"/>
      <c r="HJH1518"/>
      <c r="HJI1518"/>
      <c r="HJJ1518"/>
      <c r="HJK1518"/>
      <c r="HJL1518"/>
      <c r="HJM1518"/>
      <c r="HJN1518"/>
      <c r="HJO1518"/>
      <c r="HJP1518"/>
      <c r="HJQ1518"/>
      <c r="HJR1518"/>
      <c r="HJS1518"/>
      <c r="HJT1518"/>
      <c r="HJU1518"/>
      <c r="HJV1518"/>
      <c r="HJW1518"/>
      <c r="HJX1518"/>
      <c r="HJY1518"/>
      <c r="HJZ1518"/>
      <c r="HKA1518"/>
      <c r="HKB1518"/>
      <c r="HKC1518"/>
      <c r="HKD1518"/>
      <c r="HKE1518"/>
      <c r="HKF1518"/>
      <c r="HKG1518"/>
      <c r="HKH1518"/>
      <c r="HKI1518"/>
      <c r="HKJ1518"/>
      <c r="HKK1518"/>
      <c r="HKL1518"/>
      <c r="HKM1518"/>
      <c r="HKN1518"/>
      <c r="HKO1518"/>
      <c r="HKP1518"/>
      <c r="HKQ1518"/>
      <c r="HKR1518"/>
      <c r="HKS1518"/>
      <c r="HKT1518"/>
      <c r="HKU1518"/>
      <c r="HKV1518"/>
      <c r="HKW1518"/>
      <c r="HKX1518"/>
      <c r="HKY1518"/>
      <c r="HKZ1518"/>
      <c r="HLA1518"/>
      <c r="HLB1518"/>
      <c r="HLC1518"/>
      <c r="HLD1518"/>
      <c r="HLE1518"/>
      <c r="HLF1518"/>
      <c r="HLG1518"/>
      <c r="HLH1518"/>
      <c r="HLI1518"/>
      <c r="HLJ1518"/>
      <c r="HLK1518"/>
      <c r="HLL1518"/>
      <c r="HLM1518"/>
      <c r="HLN1518"/>
      <c r="HLO1518"/>
      <c r="HLP1518"/>
      <c r="HLQ1518"/>
      <c r="HLR1518"/>
      <c r="HLS1518"/>
      <c r="HLT1518"/>
      <c r="HLU1518"/>
      <c r="HLV1518"/>
      <c r="HLW1518"/>
      <c r="HLX1518"/>
      <c r="HLY1518"/>
      <c r="HLZ1518"/>
      <c r="HMA1518"/>
      <c r="HMB1518"/>
      <c r="HMC1518"/>
      <c r="HMD1518"/>
      <c r="HME1518"/>
      <c r="HMF1518"/>
      <c r="HMG1518"/>
      <c r="HMH1518"/>
      <c r="HMI1518"/>
      <c r="HMJ1518"/>
      <c r="HMK1518"/>
      <c r="HML1518"/>
      <c r="HMM1518"/>
      <c r="HMN1518"/>
      <c r="HMO1518"/>
      <c r="HMP1518"/>
      <c r="HMQ1518"/>
      <c r="HMR1518"/>
      <c r="HMS1518"/>
      <c r="HMT1518"/>
      <c r="HMU1518"/>
      <c r="HMV1518"/>
      <c r="HMW1518"/>
      <c r="HMX1518"/>
      <c r="HMY1518"/>
      <c r="HMZ1518"/>
      <c r="HNA1518"/>
      <c r="HNB1518"/>
      <c r="HNC1518"/>
      <c r="HND1518"/>
      <c r="HNE1518"/>
      <c r="HNF1518"/>
      <c r="HNG1518"/>
      <c r="HNH1518"/>
      <c r="HNI1518"/>
      <c r="HNJ1518"/>
      <c r="HNK1518"/>
      <c r="HNL1518"/>
      <c r="HNM1518"/>
      <c r="HNN1518"/>
      <c r="HNO1518"/>
      <c r="HNP1518"/>
      <c r="HNQ1518"/>
      <c r="HNR1518"/>
      <c r="HNS1518"/>
      <c r="HNT1518"/>
      <c r="HNU1518"/>
      <c r="HNV1518"/>
      <c r="HNW1518"/>
      <c r="HNX1518"/>
      <c r="HNY1518"/>
      <c r="HNZ1518"/>
      <c r="HOA1518"/>
      <c r="HOB1518"/>
      <c r="HOC1518"/>
      <c r="HOD1518"/>
      <c r="HOE1518"/>
      <c r="HOF1518"/>
      <c r="HOG1518"/>
      <c r="HOH1518"/>
      <c r="HOI1518"/>
      <c r="HOJ1518"/>
      <c r="HOK1518"/>
      <c r="HOL1518"/>
      <c r="HOM1518"/>
      <c r="HON1518"/>
      <c r="HOO1518"/>
      <c r="HOP1518"/>
      <c r="HOQ1518"/>
      <c r="HOR1518"/>
      <c r="HOS1518"/>
      <c r="HOT1518"/>
      <c r="HOU1518"/>
      <c r="HOV1518"/>
      <c r="HOW1518"/>
      <c r="HOX1518"/>
      <c r="HOY1518"/>
      <c r="HOZ1518"/>
      <c r="HPA1518"/>
      <c r="HPB1518"/>
      <c r="HPC1518"/>
      <c r="HPD1518"/>
      <c r="HPE1518"/>
      <c r="HPF1518"/>
      <c r="HPG1518"/>
      <c r="HPH1518"/>
      <c r="HPI1518"/>
      <c r="HPJ1518"/>
      <c r="HPK1518"/>
      <c r="HPL1518"/>
      <c r="HPM1518"/>
      <c r="HPN1518"/>
      <c r="HPO1518"/>
      <c r="HPP1518"/>
      <c r="HPQ1518"/>
      <c r="HPR1518"/>
      <c r="HPS1518"/>
      <c r="HPT1518"/>
      <c r="HPU1518"/>
      <c r="HPV1518"/>
      <c r="HPW1518"/>
      <c r="HPX1518"/>
      <c r="HPY1518"/>
      <c r="HPZ1518"/>
      <c r="HQA1518"/>
      <c r="HQB1518"/>
      <c r="HQC1518"/>
      <c r="HQD1518"/>
      <c r="HQE1518"/>
      <c r="HQF1518"/>
      <c r="HQG1518"/>
      <c r="HQH1518"/>
      <c r="HQI1518"/>
      <c r="HQJ1518"/>
      <c r="HQK1518"/>
      <c r="HQL1518"/>
      <c r="HQM1518"/>
      <c r="HQN1518"/>
      <c r="HQO1518"/>
      <c r="HQP1518"/>
      <c r="HQQ1518"/>
      <c r="HQR1518"/>
      <c r="HQS1518"/>
      <c r="HQT1518"/>
      <c r="HQU1518"/>
      <c r="HQV1518"/>
      <c r="HQW1518"/>
      <c r="HQX1518"/>
      <c r="HQY1518"/>
      <c r="HQZ1518"/>
      <c r="HRA1518"/>
      <c r="HRB1518"/>
      <c r="HRC1518"/>
      <c r="HRD1518"/>
      <c r="HRE1518"/>
      <c r="HRF1518"/>
      <c r="HRG1518"/>
      <c r="HRH1518"/>
      <c r="HRI1518"/>
      <c r="HRJ1518"/>
      <c r="HRK1518"/>
      <c r="HRL1518"/>
      <c r="HRM1518"/>
      <c r="HRN1518"/>
      <c r="HRO1518"/>
      <c r="HRP1518"/>
      <c r="HRQ1518"/>
      <c r="HRR1518"/>
      <c r="HRS1518"/>
      <c r="HRT1518"/>
      <c r="HRU1518"/>
      <c r="HRV1518"/>
      <c r="HRW1518"/>
      <c r="HRX1518"/>
      <c r="HRY1518"/>
      <c r="HRZ1518"/>
      <c r="HSA1518"/>
      <c r="HSB1518"/>
      <c r="HSC1518"/>
      <c r="HSD1518"/>
      <c r="HSE1518"/>
      <c r="HSF1518"/>
      <c r="HSG1518"/>
      <c r="HSH1518"/>
      <c r="HSI1518"/>
      <c r="HSJ1518"/>
      <c r="HSK1518"/>
      <c r="HSL1518"/>
      <c r="HSM1518"/>
      <c r="HSN1518"/>
      <c r="HSO1518"/>
      <c r="HSP1518"/>
      <c r="HSQ1518"/>
      <c r="HSR1518"/>
      <c r="HSS1518"/>
      <c r="HST1518"/>
      <c r="HSU1518"/>
      <c r="HSV1518"/>
      <c r="HSW1518"/>
      <c r="HSX1518"/>
      <c r="HSY1518"/>
      <c r="HSZ1518"/>
      <c r="HTA1518"/>
      <c r="HTB1518"/>
      <c r="HTC1518"/>
      <c r="HTD1518"/>
      <c r="HTE1518"/>
      <c r="HTF1518"/>
      <c r="HTG1518"/>
      <c r="HTH1518"/>
      <c r="HTI1518"/>
      <c r="HTJ1518"/>
      <c r="HTK1518"/>
      <c r="HTL1518"/>
      <c r="HTM1518"/>
      <c r="HTN1518"/>
      <c r="HTO1518"/>
      <c r="HTP1518"/>
      <c r="HTQ1518"/>
      <c r="HTR1518"/>
      <c r="HTS1518"/>
      <c r="HTT1518"/>
      <c r="HTU1518"/>
      <c r="HTV1518"/>
      <c r="HTW1518"/>
      <c r="HTX1518"/>
      <c r="HTY1518"/>
      <c r="HTZ1518"/>
      <c r="HUA1518"/>
      <c r="HUB1518"/>
      <c r="HUC1518"/>
      <c r="HUD1518"/>
      <c r="HUE1518"/>
      <c r="HUF1518"/>
      <c r="HUG1518"/>
      <c r="HUH1518"/>
      <c r="HUI1518"/>
      <c r="HUJ1518"/>
      <c r="HUK1518"/>
      <c r="HUL1518"/>
      <c r="HUM1518"/>
      <c r="HUN1518"/>
      <c r="HUO1518"/>
      <c r="HUP1518"/>
      <c r="HUQ1518"/>
      <c r="HUR1518"/>
      <c r="HUS1518"/>
      <c r="HUT1518"/>
      <c r="HUU1518"/>
      <c r="HUV1518"/>
      <c r="HUW1518"/>
      <c r="HUX1518"/>
      <c r="HUY1518"/>
      <c r="HUZ1518"/>
      <c r="HVA1518"/>
      <c r="HVB1518"/>
      <c r="HVC1518"/>
      <c r="HVD1518"/>
      <c r="HVE1518"/>
      <c r="HVF1518"/>
      <c r="HVG1518"/>
      <c r="HVH1518"/>
      <c r="HVI1518"/>
      <c r="HVJ1518"/>
      <c r="HVK1518"/>
      <c r="HVL1518"/>
      <c r="HVM1518"/>
      <c r="HVN1518"/>
      <c r="HVO1518"/>
      <c r="HVP1518"/>
      <c r="HVQ1518"/>
      <c r="HVR1518"/>
      <c r="HVS1518"/>
      <c r="HVT1518"/>
      <c r="HVU1518"/>
      <c r="HVV1518"/>
      <c r="HVW1518"/>
      <c r="HVX1518"/>
      <c r="HVY1518"/>
      <c r="HVZ1518"/>
      <c r="HWA1518"/>
      <c r="HWB1518"/>
      <c r="HWC1518"/>
      <c r="HWD1518"/>
      <c r="HWE1518"/>
      <c r="HWF1518"/>
      <c r="HWG1518"/>
      <c r="HWH1518"/>
      <c r="HWI1518"/>
      <c r="HWJ1518"/>
      <c r="HWK1518"/>
      <c r="HWL1518"/>
      <c r="HWM1518"/>
      <c r="HWN1518"/>
      <c r="HWO1518"/>
      <c r="HWP1518"/>
      <c r="HWQ1518"/>
      <c r="HWR1518"/>
      <c r="HWS1518"/>
      <c r="HWT1518"/>
      <c r="HWU1518"/>
      <c r="HWV1518"/>
      <c r="HWW1518"/>
      <c r="HWX1518"/>
      <c r="HWY1518"/>
      <c r="HWZ1518"/>
      <c r="HXA1518"/>
      <c r="HXB1518"/>
      <c r="HXC1518"/>
      <c r="HXD1518"/>
      <c r="HXE1518"/>
      <c r="HXF1518"/>
      <c r="HXG1518"/>
      <c r="HXH1518"/>
      <c r="HXI1518"/>
      <c r="HXJ1518"/>
      <c r="HXK1518"/>
      <c r="HXL1518"/>
      <c r="HXM1518"/>
      <c r="HXN1518"/>
      <c r="HXO1518"/>
      <c r="HXP1518"/>
      <c r="HXQ1518"/>
      <c r="HXR1518"/>
      <c r="HXS1518"/>
      <c r="HXT1518"/>
      <c r="HXU1518"/>
      <c r="HXV1518"/>
      <c r="HXW1518"/>
      <c r="HXX1518"/>
      <c r="HXY1518"/>
      <c r="HXZ1518"/>
      <c r="HYA1518"/>
      <c r="HYB1518"/>
      <c r="HYC1518"/>
      <c r="HYD1518"/>
      <c r="HYE1518"/>
      <c r="HYF1518"/>
      <c r="HYG1518"/>
      <c r="HYH1518"/>
      <c r="HYI1518"/>
      <c r="HYJ1518"/>
      <c r="HYK1518"/>
      <c r="HYL1518"/>
      <c r="HYM1518"/>
      <c r="HYN1518"/>
      <c r="HYO1518"/>
      <c r="HYP1518"/>
      <c r="HYQ1518"/>
      <c r="HYR1518"/>
      <c r="HYS1518"/>
      <c r="HYT1518"/>
      <c r="HYU1518"/>
      <c r="HYV1518"/>
      <c r="HYW1518"/>
      <c r="HYX1518"/>
      <c r="HYY1518"/>
      <c r="HYZ1518"/>
      <c r="HZA1518"/>
      <c r="HZB1518"/>
      <c r="HZC1518"/>
      <c r="HZD1518"/>
      <c r="HZE1518"/>
      <c r="HZF1518"/>
      <c r="HZG1518"/>
      <c r="HZH1518"/>
      <c r="HZI1518"/>
      <c r="HZJ1518"/>
      <c r="HZK1518"/>
      <c r="HZL1518"/>
      <c r="HZM1518"/>
      <c r="HZN1518"/>
      <c r="HZO1518"/>
      <c r="HZP1518"/>
      <c r="HZQ1518"/>
      <c r="HZR1518"/>
      <c r="HZS1518"/>
      <c r="HZT1518"/>
      <c r="HZU1518"/>
      <c r="HZV1518"/>
      <c r="HZW1518"/>
      <c r="HZX1518"/>
      <c r="HZY1518"/>
      <c r="HZZ1518"/>
      <c r="IAA1518"/>
      <c r="IAB1518"/>
      <c r="IAC1518"/>
      <c r="IAD1518"/>
      <c r="IAE1518"/>
      <c r="IAF1518"/>
      <c r="IAG1518"/>
      <c r="IAH1518"/>
      <c r="IAI1518"/>
      <c r="IAJ1518"/>
      <c r="IAK1518"/>
      <c r="IAL1518"/>
      <c r="IAM1518"/>
      <c r="IAN1518"/>
      <c r="IAO1518"/>
      <c r="IAP1518"/>
      <c r="IAQ1518"/>
      <c r="IAR1518"/>
      <c r="IAS1518"/>
      <c r="IAT1518"/>
      <c r="IAU1518"/>
      <c r="IAV1518"/>
      <c r="IAW1518"/>
      <c r="IAX1518"/>
      <c r="IAY1518"/>
      <c r="IAZ1518"/>
      <c r="IBA1518"/>
      <c r="IBB1518"/>
      <c r="IBC1518"/>
      <c r="IBD1518"/>
      <c r="IBE1518"/>
      <c r="IBF1518"/>
      <c r="IBG1518"/>
      <c r="IBH1518"/>
      <c r="IBI1518"/>
      <c r="IBJ1518"/>
      <c r="IBK1518"/>
      <c r="IBL1518"/>
      <c r="IBM1518"/>
      <c r="IBN1518"/>
      <c r="IBO1518"/>
      <c r="IBP1518"/>
      <c r="IBQ1518"/>
      <c r="IBR1518"/>
      <c r="IBS1518"/>
      <c r="IBT1518"/>
      <c r="IBU1518"/>
      <c r="IBV1518"/>
      <c r="IBW1518"/>
      <c r="IBX1518"/>
      <c r="IBY1518"/>
      <c r="IBZ1518"/>
      <c r="ICA1518"/>
      <c r="ICB1518"/>
      <c r="ICC1518"/>
      <c r="ICD1518"/>
      <c r="ICE1518"/>
      <c r="ICF1518"/>
      <c r="ICG1518"/>
      <c r="ICH1518"/>
      <c r="ICI1518"/>
      <c r="ICJ1518"/>
      <c r="ICK1518"/>
      <c r="ICL1518"/>
      <c r="ICM1518"/>
      <c r="ICN1518"/>
      <c r="ICO1518"/>
      <c r="ICP1518"/>
      <c r="ICQ1518"/>
      <c r="ICR1518"/>
      <c r="ICS1518"/>
      <c r="ICT1518"/>
      <c r="ICU1518"/>
      <c r="ICV1518"/>
      <c r="ICW1518"/>
      <c r="ICX1518"/>
      <c r="ICY1518"/>
      <c r="ICZ1518"/>
      <c r="IDA1518"/>
      <c r="IDB1518"/>
      <c r="IDC1518"/>
      <c r="IDD1518"/>
      <c r="IDE1518"/>
      <c r="IDF1518"/>
      <c r="IDG1518"/>
      <c r="IDH1518"/>
      <c r="IDI1518"/>
      <c r="IDJ1518"/>
      <c r="IDK1518"/>
      <c r="IDL1518"/>
      <c r="IDM1518"/>
      <c r="IDN1518"/>
      <c r="IDO1518"/>
      <c r="IDP1518"/>
      <c r="IDQ1518"/>
      <c r="IDR1518"/>
      <c r="IDS1518"/>
      <c r="IDT1518"/>
      <c r="IDU1518"/>
      <c r="IDV1518"/>
      <c r="IDW1518"/>
      <c r="IDX1518"/>
      <c r="IDY1518"/>
      <c r="IDZ1518"/>
      <c r="IEA1518"/>
      <c r="IEB1518"/>
      <c r="IEC1518"/>
      <c r="IED1518"/>
      <c r="IEE1518"/>
      <c r="IEF1518"/>
      <c r="IEG1518"/>
      <c r="IEH1518"/>
      <c r="IEI1518"/>
      <c r="IEJ1518"/>
      <c r="IEK1518"/>
      <c r="IEL1518"/>
      <c r="IEM1518"/>
      <c r="IEN1518"/>
      <c r="IEO1518"/>
      <c r="IEP1518"/>
      <c r="IEQ1518"/>
      <c r="IER1518"/>
      <c r="IES1518"/>
      <c r="IET1518"/>
      <c r="IEU1518"/>
      <c r="IEV1518"/>
      <c r="IEW1518"/>
      <c r="IEX1518"/>
      <c r="IEY1518"/>
      <c r="IEZ1518"/>
      <c r="IFA1518"/>
      <c r="IFB1518"/>
      <c r="IFC1518"/>
      <c r="IFD1518"/>
      <c r="IFE1518"/>
      <c r="IFF1518"/>
      <c r="IFG1518"/>
      <c r="IFH1518"/>
      <c r="IFI1518"/>
      <c r="IFJ1518"/>
      <c r="IFK1518"/>
      <c r="IFL1518"/>
      <c r="IFM1518"/>
      <c r="IFN1518"/>
      <c r="IFO1518"/>
      <c r="IFP1518"/>
      <c r="IFQ1518"/>
      <c r="IFR1518"/>
      <c r="IFS1518"/>
      <c r="IFT1518"/>
      <c r="IFU1518"/>
      <c r="IFV1518"/>
      <c r="IFW1518"/>
      <c r="IFX1518"/>
      <c r="IFY1518"/>
      <c r="IFZ1518"/>
      <c r="IGA1518"/>
      <c r="IGB1518"/>
      <c r="IGC1518"/>
      <c r="IGD1518"/>
      <c r="IGE1518"/>
      <c r="IGF1518"/>
      <c r="IGG1518"/>
      <c r="IGH1518"/>
      <c r="IGI1518"/>
      <c r="IGJ1518"/>
      <c r="IGK1518"/>
      <c r="IGL1518"/>
      <c r="IGM1518"/>
      <c r="IGN1518"/>
      <c r="IGO1518"/>
      <c r="IGP1518"/>
      <c r="IGQ1518"/>
      <c r="IGR1518"/>
      <c r="IGS1518"/>
      <c r="IGT1518"/>
      <c r="IGU1518"/>
      <c r="IGV1518"/>
      <c r="IGW1518"/>
      <c r="IGX1518"/>
      <c r="IGY1518"/>
      <c r="IGZ1518"/>
      <c r="IHA1518"/>
      <c r="IHB1518"/>
      <c r="IHC1518"/>
      <c r="IHD1518"/>
      <c r="IHE1518"/>
      <c r="IHF1518"/>
      <c r="IHG1518"/>
      <c r="IHH1518"/>
      <c r="IHI1518"/>
      <c r="IHJ1518"/>
      <c r="IHK1518"/>
      <c r="IHL1518"/>
      <c r="IHM1518"/>
      <c r="IHN1518"/>
      <c r="IHO1518"/>
      <c r="IHP1518"/>
      <c r="IHQ1518"/>
      <c r="IHR1518"/>
      <c r="IHS1518"/>
      <c r="IHT1518"/>
      <c r="IHU1518"/>
      <c r="IHV1518"/>
      <c r="IHW1518"/>
      <c r="IHX1518"/>
      <c r="IHY1518"/>
      <c r="IHZ1518"/>
      <c r="IIA1518"/>
      <c r="IIB1518"/>
      <c r="IIC1518"/>
      <c r="IID1518"/>
      <c r="IIE1518"/>
      <c r="IIF1518"/>
      <c r="IIG1518"/>
      <c r="IIH1518"/>
      <c r="III1518"/>
      <c r="IIJ1518"/>
      <c r="IIK1518"/>
      <c r="IIL1518"/>
      <c r="IIM1518"/>
      <c r="IIN1518"/>
      <c r="IIO1518"/>
      <c r="IIP1518"/>
      <c r="IIQ1518"/>
      <c r="IIR1518"/>
      <c r="IIS1518"/>
      <c r="IIT1518"/>
      <c r="IIU1518"/>
      <c r="IIV1518"/>
      <c r="IIW1518"/>
      <c r="IIX1518"/>
      <c r="IIY1518"/>
      <c r="IIZ1518"/>
      <c r="IJA1518"/>
      <c r="IJB1518"/>
      <c r="IJC1518"/>
      <c r="IJD1518"/>
      <c r="IJE1518"/>
      <c r="IJF1518"/>
      <c r="IJG1518"/>
      <c r="IJH1518"/>
      <c r="IJI1518"/>
      <c r="IJJ1518"/>
      <c r="IJK1518"/>
      <c r="IJL1518"/>
      <c r="IJM1518"/>
      <c r="IJN1518"/>
      <c r="IJO1518"/>
      <c r="IJP1518"/>
      <c r="IJQ1518"/>
      <c r="IJR1518"/>
      <c r="IJS1518"/>
      <c r="IJT1518"/>
      <c r="IJU1518"/>
      <c r="IJV1518"/>
      <c r="IJW1518"/>
      <c r="IJX1518"/>
      <c r="IJY1518"/>
      <c r="IJZ1518"/>
      <c r="IKA1518"/>
      <c r="IKB1518"/>
      <c r="IKC1518"/>
      <c r="IKD1518"/>
      <c r="IKE1518"/>
      <c r="IKF1518"/>
      <c r="IKG1518"/>
      <c r="IKH1518"/>
      <c r="IKI1518"/>
      <c r="IKJ1518"/>
      <c r="IKK1518"/>
      <c r="IKL1518"/>
      <c r="IKM1518"/>
      <c r="IKN1518"/>
      <c r="IKO1518"/>
      <c r="IKP1518"/>
      <c r="IKQ1518"/>
      <c r="IKR1518"/>
      <c r="IKS1518"/>
      <c r="IKT1518"/>
      <c r="IKU1518"/>
      <c r="IKV1518"/>
      <c r="IKW1518"/>
      <c r="IKX1518"/>
      <c r="IKY1518"/>
      <c r="IKZ1518"/>
      <c r="ILA1518"/>
      <c r="ILB1518"/>
      <c r="ILC1518"/>
      <c r="ILD1518"/>
      <c r="ILE1518"/>
      <c r="ILF1518"/>
      <c r="ILG1518"/>
      <c r="ILH1518"/>
      <c r="ILI1518"/>
      <c r="ILJ1518"/>
      <c r="ILK1518"/>
      <c r="ILL1518"/>
      <c r="ILM1518"/>
      <c r="ILN1518"/>
      <c r="ILO1518"/>
      <c r="ILP1518"/>
      <c r="ILQ1518"/>
      <c r="ILR1518"/>
      <c r="ILS1518"/>
      <c r="ILT1518"/>
      <c r="ILU1518"/>
      <c r="ILV1518"/>
      <c r="ILW1518"/>
      <c r="ILX1518"/>
      <c r="ILY1518"/>
      <c r="ILZ1518"/>
      <c r="IMA1518"/>
      <c r="IMB1518"/>
      <c r="IMC1518"/>
      <c r="IMD1518"/>
      <c r="IME1518"/>
      <c r="IMF1518"/>
      <c r="IMG1518"/>
      <c r="IMH1518"/>
      <c r="IMI1518"/>
      <c r="IMJ1518"/>
      <c r="IMK1518"/>
      <c r="IML1518"/>
      <c r="IMM1518"/>
      <c r="IMN1518"/>
      <c r="IMO1518"/>
      <c r="IMP1518"/>
      <c r="IMQ1518"/>
      <c r="IMR1518"/>
      <c r="IMS1518"/>
      <c r="IMT1518"/>
      <c r="IMU1518"/>
      <c r="IMV1518"/>
      <c r="IMW1518"/>
      <c r="IMX1518"/>
      <c r="IMY1518"/>
      <c r="IMZ1518"/>
      <c r="INA1518"/>
      <c r="INB1518"/>
      <c r="INC1518"/>
      <c r="IND1518"/>
      <c r="INE1518"/>
      <c r="INF1518"/>
      <c r="ING1518"/>
      <c r="INH1518"/>
      <c r="INI1518"/>
      <c r="INJ1518"/>
      <c r="INK1518"/>
      <c r="INL1518"/>
      <c r="INM1518"/>
      <c r="INN1518"/>
      <c r="INO1518"/>
      <c r="INP1518"/>
      <c r="INQ1518"/>
      <c r="INR1518"/>
      <c r="INS1518"/>
      <c r="INT1518"/>
      <c r="INU1518"/>
      <c r="INV1518"/>
      <c r="INW1518"/>
      <c r="INX1518"/>
      <c r="INY1518"/>
      <c r="INZ1518"/>
      <c r="IOA1518"/>
      <c r="IOB1518"/>
      <c r="IOC1518"/>
      <c r="IOD1518"/>
      <c r="IOE1518"/>
      <c r="IOF1518"/>
      <c r="IOG1518"/>
      <c r="IOH1518"/>
      <c r="IOI1518"/>
      <c r="IOJ1518"/>
      <c r="IOK1518"/>
      <c r="IOL1518"/>
      <c r="IOM1518"/>
      <c r="ION1518"/>
      <c r="IOO1518"/>
      <c r="IOP1518"/>
      <c r="IOQ1518"/>
      <c r="IOR1518"/>
      <c r="IOS1518"/>
      <c r="IOT1518"/>
      <c r="IOU1518"/>
      <c r="IOV1518"/>
      <c r="IOW1518"/>
      <c r="IOX1518"/>
      <c r="IOY1518"/>
      <c r="IOZ1518"/>
      <c r="IPA1518"/>
      <c r="IPB1518"/>
      <c r="IPC1518"/>
      <c r="IPD1518"/>
      <c r="IPE1518"/>
      <c r="IPF1518"/>
      <c r="IPG1518"/>
      <c r="IPH1518"/>
      <c r="IPI1518"/>
      <c r="IPJ1518"/>
      <c r="IPK1518"/>
      <c r="IPL1518"/>
      <c r="IPM1518"/>
      <c r="IPN1518"/>
      <c r="IPO1518"/>
      <c r="IPP1518"/>
      <c r="IPQ1518"/>
      <c r="IPR1518"/>
      <c r="IPS1518"/>
      <c r="IPT1518"/>
      <c r="IPU1518"/>
      <c r="IPV1518"/>
      <c r="IPW1518"/>
      <c r="IPX1518"/>
      <c r="IPY1518"/>
      <c r="IPZ1518"/>
      <c r="IQA1518"/>
      <c r="IQB1518"/>
      <c r="IQC1518"/>
      <c r="IQD1518"/>
      <c r="IQE1518"/>
      <c r="IQF1518"/>
      <c r="IQG1518"/>
      <c r="IQH1518"/>
      <c r="IQI1518"/>
      <c r="IQJ1518"/>
      <c r="IQK1518"/>
      <c r="IQL1518"/>
      <c r="IQM1518"/>
      <c r="IQN1518"/>
      <c r="IQO1518"/>
      <c r="IQP1518"/>
      <c r="IQQ1518"/>
      <c r="IQR1518"/>
      <c r="IQS1518"/>
      <c r="IQT1518"/>
      <c r="IQU1518"/>
      <c r="IQV1518"/>
      <c r="IQW1518"/>
      <c r="IQX1518"/>
      <c r="IQY1518"/>
      <c r="IQZ1518"/>
      <c r="IRA1518"/>
      <c r="IRB1518"/>
      <c r="IRC1518"/>
      <c r="IRD1518"/>
      <c r="IRE1518"/>
      <c r="IRF1518"/>
      <c r="IRG1518"/>
      <c r="IRH1518"/>
      <c r="IRI1518"/>
      <c r="IRJ1518"/>
      <c r="IRK1518"/>
      <c r="IRL1518"/>
      <c r="IRM1518"/>
      <c r="IRN1518"/>
      <c r="IRO1518"/>
      <c r="IRP1518"/>
      <c r="IRQ1518"/>
      <c r="IRR1518"/>
      <c r="IRS1518"/>
      <c r="IRT1518"/>
      <c r="IRU1518"/>
      <c r="IRV1518"/>
      <c r="IRW1518"/>
      <c r="IRX1518"/>
      <c r="IRY1518"/>
      <c r="IRZ1518"/>
      <c r="ISA1518"/>
      <c r="ISB1518"/>
      <c r="ISC1518"/>
      <c r="ISD1518"/>
      <c r="ISE1518"/>
      <c r="ISF1518"/>
      <c r="ISG1518"/>
      <c r="ISH1518"/>
      <c r="ISI1518"/>
      <c r="ISJ1518"/>
      <c r="ISK1518"/>
      <c r="ISL1518"/>
      <c r="ISM1518"/>
      <c r="ISN1518"/>
      <c r="ISO1518"/>
      <c r="ISP1518"/>
      <c r="ISQ1518"/>
      <c r="ISR1518"/>
      <c r="ISS1518"/>
      <c r="IST1518"/>
      <c r="ISU1518"/>
      <c r="ISV1518"/>
      <c r="ISW1518"/>
      <c r="ISX1518"/>
      <c r="ISY1518"/>
      <c r="ISZ1518"/>
      <c r="ITA1518"/>
      <c r="ITB1518"/>
      <c r="ITC1518"/>
      <c r="ITD1518"/>
      <c r="ITE1518"/>
      <c r="ITF1518"/>
      <c r="ITG1518"/>
      <c r="ITH1518"/>
      <c r="ITI1518"/>
      <c r="ITJ1518"/>
      <c r="ITK1518"/>
      <c r="ITL1518"/>
      <c r="ITM1518"/>
      <c r="ITN1518"/>
      <c r="ITO1518"/>
      <c r="ITP1518"/>
      <c r="ITQ1518"/>
      <c r="ITR1518"/>
      <c r="ITS1518"/>
      <c r="ITT1518"/>
      <c r="ITU1518"/>
      <c r="ITV1518"/>
      <c r="ITW1518"/>
      <c r="ITX1518"/>
      <c r="ITY1518"/>
      <c r="ITZ1518"/>
      <c r="IUA1518"/>
      <c r="IUB1518"/>
      <c r="IUC1518"/>
      <c r="IUD1518"/>
      <c r="IUE1518"/>
      <c r="IUF1518"/>
      <c r="IUG1518"/>
      <c r="IUH1518"/>
      <c r="IUI1518"/>
      <c r="IUJ1518"/>
      <c r="IUK1518"/>
      <c r="IUL1518"/>
      <c r="IUM1518"/>
      <c r="IUN1518"/>
      <c r="IUO1518"/>
      <c r="IUP1518"/>
      <c r="IUQ1518"/>
      <c r="IUR1518"/>
      <c r="IUS1518"/>
      <c r="IUT1518"/>
      <c r="IUU1518"/>
      <c r="IUV1518"/>
      <c r="IUW1518"/>
      <c r="IUX1518"/>
      <c r="IUY1518"/>
      <c r="IUZ1518"/>
      <c r="IVA1518"/>
      <c r="IVB1518"/>
      <c r="IVC1518"/>
      <c r="IVD1518"/>
      <c r="IVE1518"/>
      <c r="IVF1518"/>
      <c r="IVG1518"/>
      <c r="IVH1518"/>
      <c r="IVI1518"/>
      <c r="IVJ1518"/>
      <c r="IVK1518"/>
      <c r="IVL1518"/>
      <c r="IVM1518"/>
      <c r="IVN1518"/>
      <c r="IVO1518"/>
      <c r="IVP1518"/>
      <c r="IVQ1518"/>
      <c r="IVR1518"/>
      <c r="IVS1518"/>
      <c r="IVT1518"/>
      <c r="IVU1518"/>
      <c r="IVV1518"/>
      <c r="IVW1518"/>
      <c r="IVX1518"/>
      <c r="IVY1518"/>
      <c r="IVZ1518"/>
      <c r="IWA1518"/>
      <c r="IWB1518"/>
      <c r="IWC1518"/>
      <c r="IWD1518"/>
      <c r="IWE1518"/>
      <c r="IWF1518"/>
      <c r="IWG1518"/>
      <c r="IWH1518"/>
      <c r="IWI1518"/>
      <c r="IWJ1518"/>
      <c r="IWK1518"/>
      <c r="IWL1518"/>
      <c r="IWM1518"/>
      <c r="IWN1518"/>
      <c r="IWO1518"/>
      <c r="IWP1518"/>
      <c r="IWQ1518"/>
      <c r="IWR1518"/>
      <c r="IWS1518"/>
      <c r="IWT1518"/>
      <c r="IWU1518"/>
      <c r="IWV1518"/>
      <c r="IWW1518"/>
      <c r="IWX1518"/>
      <c r="IWY1518"/>
      <c r="IWZ1518"/>
      <c r="IXA1518"/>
      <c r="IXB1518"/>
      <c r="IXC1518"/>
      <c r="IXD1518"/>
      <c r="IXE1518"/>
      <c r="IXF1518"/>
      <c r="IXG1518"/>
      <c r="IXH1518"/>
      <c r="IXI1518"/>
      <c r="IXJ1518"/>
      <c r="IXK1518"/>
      <c r="IXL1518"/>
      <c r="IXM1518"/>
      <c r="IXN1518"/>
      <c r="IXO1518"/>
      <c r="IXP1518"/>
      <c r="IXQ1518"/>
      <c r="IXR1518"/>
      <c r="IXS1518"/>
      <c r="IXT1518"/>
      <c r="IXU1518"/>
      <c r="IXV1518"/>
      <c r="IXW1518"/>
      <c r="IXX1518"/>
      <c r="IXY1518"/>
      <c r="IXZ1518"/>
      <c r="IYA1518"/>
      <c r="IYB1518"/>
      <c r="IYC1518"/>
      <c r="IYD1518"/>
      <c r="IYE1518"/>
      <c r="IYF1518"/>
      <c r="IYG1518"/>
      <c r="IYH1518"/>
      <c r="IYI1518"/>
      <c r="IYJ1518"/>
      <c r="IYK1518"/>
      <c r="IYL1518"/>
      <c r="IYM1518"/>
      <c r="IYN1518"/>
      <c r="IYO1518"/>
      <c r="IYP1518"/>
      <c r="IYQ1518"/>
      <c r="IYR1518"/>
      <c r="IYS1518"/>
      <c r="IYT1518"/>
      <c r="IYU1518"/>
      <c r="IYV1518"/>
      <c r="IYW1518"/>
      <c r="IYX1518"/>
      <c r="IYY1518"/>
      <c r="IYZ1518"/>
      <c r="IZA1518"/>
      <c r="IZB1518"/>
      <c r="IZC1518"/>
      <c r="IZD1518"/>
      <c r="IZE1518"/>
      <c r="IZF1518"/>
      <c r="IZG1518"/>
      <c r="IZH1518"/>
      <c r="IZI1518"/>
      <c r="IZJ1518"/>
      <c r="IZK1518"/>
      <c r="IZL1518"/>
      <c r="IZM1518"/>
      <c r="IZN1518"/>
      <c r="IZO1518"/>
      <c r="IZP1518"/>
      <c r="IZQ1518"/>
      <c r="IZR1518"/>
      <c r="IZS1518"/>
      <c r="IZT1518"/>
      <c r="IZU1518"/>
      <c r="IZV1518"/>
      <c r="IZW1518"/>
      <c r="IZX1518"/>
      <c r="IZY1518"/>
      <c r="IZZ1518"/>
      <c r="JAA1518"/>
      <c r="JAB1518"/>
      <c r="JAC1518"/>
      <c r="JAD1518"/>
      <c r="JAE1518"/>
      <c r="JAF1518"/>
      <c r="JAG1518"/>
      <c r="JAH1518"/>
      <c r="JAI1518"/>
      <c r="JAJ1518"/>
      <c r="JAK1518"/>
      <c r="JAL1518"/>
      <c r="JAM1518"/>
      <c r="JAN1518"/>
      <c r="JAO1518"/>
      <c r="JAP1518"/>
      <c r="JAQ1518"/>
      <c r="JAR1518"/>
      <c r="JAS1518"/>
      <c r="JAT1518"/>
      <c r="JAU1518"/>
      <c r="JAV1518"/>
      <c r="JAW1518"/>
      <c r="JAX1518"/>
      <c r="JAY1518"/>
      <c r="JAZ1518"/>
      <c r="JBA1518"/>
      <c r="JBB1518"/>
      <c r="JBC1518"/>
      <c r="JBD1518"/>
      <c r="JBE1518"/>
      <c r="JBF1518"/>
      <c r="JBG1518"/>
      <c r="JBH1518"/>
      <c r="JBI1518"/>
      <c r="JBJ1518"/>
      <c r="JBK1518"/>
      <c r="JBL1518"/>
      <c r="JBM1518"/>
      <c r="JBN1518"/>
      <c r="JBO1518"/>
      <c r="JBP1518"/>
      <c r="JBQ1518"/>
      <c r="JBR1518"/>
      <c r="JBS1518"/>
      <c r="JBT1518"/>
      <c r="JBU1518"/>
      <c r="JBV1518"/>
      <c r="JBW1518"/>
      <c r="JBX1518"/>
      <c r="JBY1518"/>
      <c r="JBZ1518"/>
      <c r="JCA1518"/>
      <c r="JCB1518"/>
      <c r="JCC1518"/>
      <c r="JCD1518"/>
      <c r="JCE1518"/>
      <c r="JCF1518"/>
      <c r="JCG1518"/>
      <c r="JCH1518"/>
      <c r="JCI1518"/>
      <c r="JCJ1518"/>
      <c r="JCK1518"/>
      <c r="JCL1518"/>
      <c r="JCM1518"/>
      <c r="JCN1518"/>
      <c r="JCO1518"/>
      <c r="JCP1518"/>
      <c r="JCQ1518"/>
      <c r="JCR1518"/>
      <c r="JCS1518"/>
      <c r="JCT1518"/>
      <c r="JCU1518"/>
      <c r="JCV1518"/>
      <c r="JCW1518"/>
      <c r="JCX1518"/>
      <c r="JCY1518"/>
      <c r="JCZ1518"/>
      <c r="JDA1518"/>
      <c r="JDB1518"/>
      <c r="JDC1518"/>
      <c r="JDD1518"/>
      <c r="JDE1518"/>
      <c r="JDF1518"/>
      <c r="JDG1518"/>
      <c r="JDH1518"/>
      <c r="JDI1518"/>
      <c r="JDJ1518"/>
      <c r="JDK1518"/>
      <c r="JDL1518"/>
      <c r="JDM1518"/>
      <c r="JDN1518"/>
      <c r="JDO1518"/>
      <c r="JDP1518"/>
      <c r="JDQ1518"/>
      <c r="JDR1518"/>
      <c r="JDS1518"/>
      <c r="JDT1518"/>
      <c r="JDU1518"/>
      <c r="JDV1518"/>
      <c r="JDW1518"/>
      <c r="JDX1518"/>
      <c r="JDY1518"/>
      <c r="JDZ1518"/>
      <c r="JEA1518"/>
      <c r="JEB1518"/>
      <c r="JEC1518"/>
      <c r="JED1518"/>
      <c r="JEE1518"/>
      <c r="JEF1518"/>
      <c r="JEG1518"/>
      <c r="JEH1518"/>
      <c r="JEI1518"/>
      <c r="JEJ1518"/>
      <c r="JEK1518"/>
      <c r="JEL1518"/>
      <c r="JEM1518"/>
      <c r="JEN1518"/>
      <c r="JEO1518"/>
      <c r="JEP1518"/>
      <c r="JEQ1518"/>
      <c r="JER1518"/>
      <c r="JES1518"/>
      <c r="JET1518"/>
      <c r="JEU1518"/>
      <c r="JEV1518"/>
      <c r="JEW1518"/>
      <c r="JEX1518"/>
      <c r="JEY1518"/>
      <c r="JEZ1518"/>
      <c r="JFA1518"/>
      <c r="JFB1518"/>
      <c r="JFC1518"/>
      <c r="JFD1518"/>
      <c r="JFE1518"/>
      <c r="JFF1518"/>
      <c r="JFG1518"/>
      <c r="JFH1518"/>
      <c r="JFI1518"/>
      <c r="JFJ1518"/>
      <c r="JFK1518"/>
      <c r="JFL1518"/>
      <c r="JFM1518"/>
      <c r="JFN1518"/>
      <c r="JFO1518"/>
      <c r="JFP1518"/>
      <c r="JFQ1518"/>
      <c r="JFR1518"/>
      <c r="JFS1518"/>
      <c r="JFT1518"/>
      <c r="JFU1518"/>
      <c r="JFV1518"/>
      <c r="JFW1518"/>
      <c r="JFX1518"/>
      <c r="JFY1518"/>
      <c r="JFZ1518"/>
      <c r="JGA1518"/>
      <c r="JGB1518"/>
      <c r="JGC1518"/>
      <c r="JGD1518"/>
      <c r="JGE1518"/>
      <c r="JGF1518"/>
      <c r="JGG1518"/>
      <c r="JGH1518"/>
      <c r="JGI1518"/>
      <c r="JGJ1518"/>
      <c r="JGK1518"/>
      <c r="JGL1518"/>
      <c r="JGM1518"/>
      <c r="JGN1518"/>
      <c r="JGO1518"/>
      <c r="JGP1518"/>
      <c r="JGQ1518"/>
      <c r="JGR1518"/>
      <c r="JGS1518"/>
      <c r="JGT1518"/>
      <c r="JGU1518"/>
      <c r="JGV1518"/>
      <c r="JGW1518"/>
      <c r="JGX1518"/>
      <c r="JGY1518"/>
      <c r="JGZ1518"/>
      <c r="JHA1518"/>
      <c r="JHB1518"/>
      <c r="JHC1518"/>
      <c r="JHD1518"/>
      <c r="JHE1518"/>
      <c r="JHF1518"/>
      <c r="JHG1518"/>
      <c r="JHH1518"/>
      <c r="JHI1518"/>
      <c r="JHJ1518"/>
      <c r="JHK1518"/>
      <c r="JHL1518"/>
      <c r="JHM1518"/>
      <c r="JHN1518"/>
      <c r="JHO1518"/>
      <c r="JHP1518"/>
      <c r="JHQ1518"/>
      <c r="JHR1518"/>
      <c r="JHS1518"/>
      <c r="JHT1518"/>
      <c r="JHU1518"/>
      <c r="JHV1518"/>
      <c r="JHW1518"/>
      <c r="JHX1518"/>
      <c r="JHY1518"/>
      <c r="JHZ1518"/>
      <c r="JIA1518"/>
      <c r="JIB1518"/>
      <c r="JIC1518"/>
      <c r="JID1518"/>
      <c r="JIE1518"/>
      <c r="JIF1518"/>
      <c r="JIG1518"/>
      <c r="JIH1518"/>
      <c r="JII1518"/>
      <c r="JIJ1518"/>
      <c r="JIK1518"/>
      <c r="JIL1518"/>
      <c r="JIM1518"/>
      <c r="JIN1518"/>
      <c r="JIO1518"/>
      <c r="JIP1518"/>
      <c r="JIQ1518"/>
      <c r="JIR1518"/>
      <c r="JIS1518"/>
      <c r="JIT1518"/>
      <c r="JIU1518"/>
      <c r="JIV1518"/>
      <c r="JIW1518"/>
      <c r="JIX1518"/>
      <c r="JIY1518"/>
      <c r="JIZ1518"/>
      <c r="JJA1518"/>
      <c r="JJB1518"/>
      <c r="JJC1518"/>
      <c r="JJD1518"/>
      <c r="JJE1518"/>
      <c r="JJF1518"/>
      <c r="JJG1518"/>
      <c r="JJH1518"/>
      <c r="JJI1518"/>
      <c r="JJJ1518"/>
      <c r="JJK1518"/>
      <c r="JJL1518"/>
      <c r="JJM1518"/>
      <c r="JJN1518"/>
      <c r="JJO1518"/>
      <c r="JJP1518"/>
      <c r="JJQ1518"/>
      <c r="JJR1518"/>
      <c r="JJS1518"/>
      <c r="JJT1518"/>
      <c r="JJU1518"/>
      <c r="JJV1518"/>
      <c r="JJW1518"/>
      <c r="JJX1518"/>
      <c r="JJY1518"/>
      <c r="JJZ1518"/>
      <c r="JKA1518"/>
      <c r="JKB1518"/>
      <c r="JKC1518"/>
      <c r="JKD1518"/>
      <c r="JKE1518"/>
      <c r="JKF1518"/>
      <c r="JKG1518"/>
      <c r="JKH1518"/>
      <c r="JKI1518"/>
      <c r="JKJ1518"/>
      <c r="JKK1518"/>
      <c r="JKL1518"/>
      <c r="JKM1518"/>
      <c r="JKN1518"/>
      <c r="JKO1518"/>
      <c r="JKP1518"/>
      <c r="JKQ1518"/>
      <c r="JKR1518"/>
      <c r="JKS1518"/>
      <c r="JKT1518"/>
      <c r="JKU1518"/>
      <c r="JKV1518"/>
      <c r="JKW1518"/>
      <c r="JKX1518"/>
      <c r="JKY1518"/>
      <c r="JKZ1518"/>
      <c r="JLA1518"/>
      <c r="JLB1518"/>
      <c r="JLC1518"/>
      <c r="JLD1518"/>
      <c r="JLE1518"/>
      <c r="JLF1518"/>
      <c r="JLG1518"/>
      <c r="JLH1518"/>
      <c r="JLI1518"/>
      <c r="JLJ1518"/>
      <c r="JLK1518"/>
      <c r="JLL1518"/>
      <c r="JLM1518"/>
      <c r="JLN1518"/>
      <c r="JLO1518"/>
      <c r="JLP1518"/>
      <c r="JLQ1518"/>
      <c r="JLR1518"/>
      <c r="JLS1518"/>
      <c r="JLT1518"/>
      <c r="JLU1518"/>
      <c r="JLV1518"/>
      <c r="JLW1518"/>
      <c r="JLX1518"/>
      <c r="JLY1518"/>
      <c r="JLZ1518"/>
      <c r="JMA1518"/>
      <c r="JMB1518"/>
      <c r="JMC1518"/>
      <c r="JMD1518"/>
      <c r="JME1518"/>
      <c r="JMF1518"/>
      <c r="JMG1518"/>
      <c r="JMH1518"/>
      <c r="JMI1518"/>
      <c r="JMJ1518"/>
      <c r="JMK1518"/>
      <c r="JML1518"/>
      <c r="JMM1518"/>
      <c r="JMN1518"/>
      <c r="JMO1518"/>
      <c r="JMP1518"/>
      <c r="JMQ1518"/>
      <c r="JMR1518"/>
      <c r="JMS1518"/>
      <c r="JMT1518"/>
      <c r="JMU1518"/>
      <c r="JMV1518"/>
      <c r="JMW1518"/>
      <c r="JMX1518"/>
      <c r="JMY1518"/>
      <c r="JMZ1518"/>
      <c r="JNA1518"/>
      <c r="JNB1518"/>
      <c r="JNC1518"/>
      <c r="JND1518"/>
      <c r="JNE1518"/>
      <c r="JNF1518"/>
      <c r="JNG1518"/>
      <c r="JNH1518"/>
      <c r="JNI1518"/>
      <c r="JNJ1518"/>
      <c r="JNK1518"/>
      <c r="JNL1518"/>
      <c r="JNM1518"/>
      <c r="JNN1518"/>
      <c r="JNO1518"/>
      <c r="JNP1518"/>
      <c r="JNQ1518"/>
      <c r="JNR1518"/>
      <c r="JNS1518"/>
      <c r="JNT1518"/>
      <c r="JNU1518"/>
      <c r="JNV1518"/>
      <c r="JNW1518"/>
      <c r="JNX1518"/>
      <c r="JNY1518"/>
      <c r="JNZ1518"/>
      <c r="JOA1518"/>
      <c r="JOB1518"/>
      <c r="JOC1518"/>
      <c r="JOD1518"/>
      <c r="JOE1518"/>
      <c r="JOF1518"/>
      <c r="JOG1518"/>
      <c r="JOH1518"/>
      <c r="JOI1518"/>
      <c r="JOJ1518"/>
      <c r="JOK1518"/>
      <c r="JOL1518"/>
      <c r="JOM1518"/>
      <c r="JON1518"/>
      <c r="JOO1518"/>
      <c r="JOP1518"/>
      <c r="JOQ1518"/>
      <c r="JOR1518"/>
      <c r="JOS1518"/>
      <c r="JOT1518"/>
      <c r="JOU1518"/>
      <c r="JOV1518"/>
      <c r="JOW1518"/>
      <c r="JOX1518"/>
      <c r="JOY1518"/>
      <c r="JOZ1518"/>
      <c r="JPA1518"/>
      <c r="JPB1518"/>
      <c r="JPC1518"/>
      <c r="JPD1518"/>
      <c r="JPE1518"/>
      <c r="JPF1518"/>
      <c r="JPG1518"/>
      <c r="JPH1518"/>
      <c r="JPI1518"/>
      <c r="JPJ1518"/>
      <c r="JPK1518"/>
      <c r="JPL1518"/>
      <c r="JPM1518"/>
      <c r="JPN1518"/>
      <c r="JPO1518"/>
      <c r="JPP1518"/>
      <c r="JPQ1518"/>
      <c r="JPR1518"/>
      <c r="JPS1518"/>
      <c r="JPT1518"/>
      <c r="JPU1518"/>
      <c r="JPV1518"/>
      <c r="JPW1518"/>
      <c r="JPX1518"/>
      <c r="JPY1518"/>
      <c r="JPZ1518"/>
      <c r="JQA1518"/>
      <c r="JQB1518"/>
      <c r="JQC1518"/>
      <c r="JQD1518"/>
      <c r="JQE1518"/>
      <c r="JQF1518"/>
      <c r="JQG1518"/>
      <c r="JQH1518"/>
      <c r="JQI1518"/>
      <c r="JQJ1518"/>
      <c r="JQK1518"/>
      <c r="JQL1518"/>
      <c r="JQM1518"/>
      <c r="JQN1518"/>
      <c r="JQO1518"/>
      <c r="JQP1518"/>
      <c r="JQQ1518"/>
      <c r="JQR1518"/>
      <c r="JQS1518"/>
      <c r="JQT1518"/>
      <c r="JQU1518"/>
      <c r="JQV1518"/>
      <c r="JQW1518"/>
      <c r="JQX1518"/>
      <c r="JQY1518"/>
      <c r="JQZ1518"/>
      <c r="JRA1518"/>
      <c r="JRB1518"/>
      <c r="JRC1518"/>
      <c r="JRD1518"/>
      <c r="JRE1518"/>
      <c r="JRF1518"/>
      <c r="JRG1518"/>
      <c r="JRH1518"/>
      <c r="JRI1518"/>
      <c r="JRJ1518"/>
      <c r="JRK1518"/>
      <c r="JRL1518"/>
      <c r="JRM1518"/>
      <c r="JRN1518"/>
      <c r="JRO1518"/>
      <c r="JRP1518"/>
      <c r="JRQ1518"/>
      <c r="JRR1518"/>
      <c r="JRS1518"/>
      <c r="JRT1518"/>
      <c r="JRU1518"/>
      <c r="JRV1518"/>
      <c r="JRW1518"/>
      <c r="JRX1518"/>
      <c r="JRY1518"/>
      <c r="JRZ1518"/>
      <c r="JSA1518"/>
      <c r="JSB1518"/>
      <c r="JSC1518"/>
      <c r="JSD1518"/>
      <c r="JSE1518"/>
      <c r="JSF1518"/>
      <c r="JSG1518"/>
      <c r="JSH1518"/>
      <c r="JSI1518"/>
      <c r="JSJ1518"/>
      <c r="JSK1518"/>
      <c r="JSL1518"/>
      <c r="JSM1518"/>
      <c r="JSN1518"/>
      <c r="JSO1518"/>
      <c r="JSP1518"/>
      <c r="JSQ1518"/>
      <c r="JSR1518"/>
      <c r="JSS1518"/>
      <c r="JST1518"/>
      <c r="JSU1518"/>
      <c r="JSV1518"/>
      <c r="JSW1518"/>
      <c r="JSX1518"/>
      <c r="JSY1518"/>
      <c r="JSZ1518"/>
      <c r="JTA1518"/>
      <c r="JTB1518"/>
      <c r="JTC1518"/>
      <c r="JTD1518"/>
      <c r="JTE1518"/>
      <c r="JTF1518"/>
      <c r="JTG1518"/>
      <c r="JTH1518"/>
      <c r="JTI1518"/>
      <c r="JTJ1518"/>
      <c r="JTK1518"/>
      <c r="JTL1518"/>
      <c r="JTM1518"/>
      <c r="JTN1518"/>
      <c r="JTO1518"/>
      <c r="JTP1518"/>
      <c r="JTQ1518"/>
      <c r="JTR1518"/>
      <c r="JTS1518"/>
      <c r="JTT1518"/>
      <c r="JTU1518"/>
      <c r="JTV1518"/>
      <c r="JTW1518"/>
      <c r="JTX1518"/>
      <c r="JTY1518"/>
      <c r="JTZ1518"/>
      <c r="JUA1518"/>
      <c r="JUB1518"/>
      <c r="JUC1518"/>
      <c r="JUD1518"/>
      <c r="JUE1518"/>
      <c r="JUF1518"/>
      <c r="JUG1518"/>
      <c r="JUH1518"/>
      <c r="JUI1518"/>
      <c r="JUJ1518"/>
      <c r="JUK1518"/>
      <c r="JUL1518"/>
      <c r="JUM1518"/>
      <c r="JUN1518"/>
      <c r="JUO1518"/>
      <c r="JUP1518"/>
      <c r="JUQ1518"/>
      <c r="JUR1518"/>
      <c r="JUS1518"/>
      <c r="JUT1518"/>
      <c r="JUU1518"/>
      <c r="JUV1518"/>
      <c r="JUW1518"/>
      <c r="JUX1518"/>
      <c r="JUY1518"/>
      <c r="JUZ1518"/>
      <c r="JVA1518"/>
      <c r="JVB1518"/>
      <c r="JVC1518"/>
      <c r="JVD1518"/>
      <c r="JVE1518"/>
      <c r="JVF1518"/>
      <c r="JVG1518"/>
      <c r="JVH1518"/>
      <c r="JVI1518"/>
      <c r="JVJ1518"/>
      <c r="JVK1518"/>
      <c r="JVL1518"/>
      <c r="JVM1518"/>
      <c r="JVN1518"/>
      <c r="JVO1518"/>
      <c r="JVP1518"/>
      <c r="JVQ1518"/>
      <c r="JVR1518"/>
      <c r="JVS1518"/>
      <c r="JVT1518"/>
      <c r="JVU1518"/>
      <c r="JVV1518"/>
      <c r="JVW1518"/>
      <c r="JVX1518"/>
      <c r="JVY1518"/>
      <c r="JVZ1518"/>
      <c r="JWA1518"/>
      <c r="JWB1518"/>
      <c r="JWC1518"/>
      <c r="JWD1518"/>
      <c r="JWE1518"/>
      <c r="JWF1518"/>
      <c r="JWG1518"/>
      <c r="JWH1518"/>
      <c r="JWI1518"/>
      <c r="JWJ1518"/>
      <c r="JWK1518"/>
      <c r="JWL1518"/>
      <c r="JWM1518"/>
      <c r="JWN1518"/>
      <c r="JWO1518"/>
      <c r="JWP1518"/>
      <c r="JWQ1518"/>
      <c r="JWR1518"/>
      <c r="JWS1518"/>
      <c r="JWT1518"/>
      <c r="JWU1518"/>
      <c r="JWV1518"/>
      <c r="JWW1518"/>
      <c r="JWX1518"/>
      <c r="JWY1518"/>
      <c r="JWZ1518"/>
      <c r="JXA1518"/>
      <c r="JXB1518"/>
      <c r="JXC1518"/>
      <c r="JXD1518"/>
      <c r="JXE1518"/>
      <c r="JXF1518"/>
      <c r="JXG1518"/>
      <c r="JXH1518"/>
      <c r="JXI1518"/>
      <c r="JXJ1518"/>
      <c r="JXK1518"/>
      <c r="JXL1518"/>
      <c r="JXM1518"/>
      <c r="JXN1518"/>
      <c r="JXO1518"/>
      <c r="JXP1518"/>
      <c r="JXQ1518"/>
      <c r="JXR1518"/>
      <c r="JXS1518"/>
      <c r="JXT1518"/>
      <c r="JXU1518"/>
      <c r="JXV1518"/>
      <c r="JXW1518"/>
      <c r="JXX1518"/>
      <c r="JXY1518"/>
      <c r="JXZ1518"/>
      <c r="JYA1518"/>
      <c r="JYB1518"/>
      <c r="JYC1518"/>
      <c r="JYD1518"/>
      <c r="JYE1518"/>
      <c r="JYF1518"/>
      <c r="JYG1518"/>
      <c r="JYH1518"/>
      <c r="JYI1518"/>
      <c r="JYJ1518"/>
      <c r="JYK1518"/>
      <c r="JYL1518"/>
      <c r="JYM1518"/>
      <c r="JYN1518"/>
      <c r="JYO1518"/>
      <c r="JYP1518"/>
      <c r="JYQ1518"/>
      <c r="JYR1518"/>
      <c r="JYS1518"/>
      <c r="JYT1518"/>
      <c r="JYU1518"/>
      <c r="JYV1518"/>
      <c r="JYW1518"/>
      <c r="JYX1518"/>
      <c r="JYY1518"/>
      <c r="JYZ1518"/>
      <c r="JZA1518"/>
      <c r="JZB1518"/>
      <c r="JZC1518"/>
      <c r="JZD1518"/>
      <c r="JZE1518"/>
      <c r="JZF1518"/>
      <c r="JZG1518"/>
      <c r="JZH1518"/>
      <c r="JZI1518"/>
      <c r="JZJ1518"/>
      <c r="JZK1518"/>
      <c r="JZL1518"/>
      <c r="JZM1518"/>
      <c r="JZN1518"/>
      <c r="JZO1518"/>
      <c r="JZP1518"/>
      <c r="JZQ1518"/>
      <c r="JZR1518"/>
      <c r="JZS1518"/>
      <c r="JZT1518"/>
      <c r="JZU1518"/>
      <c r="JZV1518"/>
      <c r="JZW1518"/>
      <c r="JZX1518"/>
      <c r="JZY1518"/>
      <c r="JZZ1518"/>
      <c r="KAA1518"/>
      <c r="KAB1518"/>
      <c r="KAC1518"/>
      <c r="KAD1518"/>
      <c r="KAE1518"/>
      <c r="KAF1518"/>
      <c r="KAG1518"/>
      <c r="KAH1518"/>
      <c r="KAI1518"/>
      <c r="KAJ1518"/>
      <c r="KAK1518"/>
      <c r="KAL1518"/>
      <c r="KAM1518"/>
      <c r="KAN1518"/>
      <c r="KAO1518"/>
      <c r="KAP1518"/>
      <c r="KAQ1518"/>
      <c r="KAR1518"/>
      <c r="KAS1518"/>
      <c r="KAT1518"/>
      <c r="KAU1518"/>
      <c r="KAV1518"/>
      <c r="KAW1518"/>
      <c r="KAX1518"/>
      <c r="KAY1518"/>
      <c r="KAZ1518"/>
      <c r="KBA1518"/>
      <c r="KBB1518"/>
      <c r="KBC1518"/>
      <c r="KBD1518"/>
      <c r="KBE1518"/>
      <c r="KBF1518"/>
      <c r="KBG1518"/>
      <c r="KBH1518"/>
      <c r="KBI1518"/>
      <c r="KBJ1518"/>
      <c r="KBK1518"/>
      <c r="KBL1518"/>
      <c r="KBM1518"/>
      <c r="KBN1518"/>
      <c r="KBO1518"/>
      <c r="KBP1518"/>
      <c r="KBQ1518"/>
      <c r="KBR1518"/>
      <c r="KBS1518"/>
      <c r="KBT1518"/>
      <c r="KBU1518"/>
      <c r="KBV1518"/>
      <c r="KBW1518"/>
      <c r="KBX1518"/>
      <c r="KBY1518"/>
      <c r="KBZ1518"/>
      <c r="KCA1518"/>
      <c r="KCB1518"/>
      <c r="KCC1518"/>
      <c r="KCD1518"/>
      <c r="KCE1518"/>
      <c r="KCF1518"/>
      <c r="KCG1518"/>
      <c r="KCH1518"/>
      <c r="KCI1518"/>
      <c r="KCJ1518"/>
      <c r="KCK1518"/>
      <c r="KCL1518"/>
      <c r="KCM1518"/>
      <c r="KCN1518"/>
      <c r="KCO1518"/>
      <c r="KCP1518"/>
      <c r="KCQ1518"/>
      <c r="KCR1518"/>
      <c r="KCS1518"/>
      <c r="KCT1518"/>
      <c r="KCU1518"/>
      <c r="KCV1518"/>
      <c r="KCW1518"/>
      <c r="KCX1518"/>
      <c r="KCY1518"/>
      <c r="KCZ1518"/>
      <c r="KDA1518"/>
      <c r="KDB1518"/>
      <c r="KDC1518"/>
      <c r="KDD1518"/>
      <c r="KDE1518"/>
      <c r="KDF1518"/>
      <c r="KDG1518"/>
      <c r="KDH1518"/>
      <c r="KDI1518"/>
      <c r="KDJ1518"/>
      <c r="KDK1518"/>
      <c r="KDL1518"/>
      <c r="KDM1518"/>
      <c r="KDN1518"/>
      <c r="KDO1518"/>
      <c r="KDP1518"/>
      <c r="KDQ1518"/>
      <c r="KDR1518"/>
      <c r="KDS1518"/>
      <c r="KDT1518"/>
      <c r="KDU1518"/>
      <c r="KDV1518"/>
      <c r="KDW1518"/>
      <c r="KDX1518"/>
      <c r="KDY1518"/>
      <c r="KDZ1518"/>
      <c r="KEA1518"/>
      <c r="KEB1518"/>
      <c r="KEC1518"/>
      <c r="KED1518"/>
      <c r="KEE1518"/>
      <c r="KEF1518"/>
      <c r="KEG1518"/>
      <c r="KEH1518"/>
      <c r="KEI1518"/>
      <c r="KEJ1518"/>
      <c r="KEK1518"/>
      <c r="KEL1518"/>
      <c r="KEM1518"/>
      <c r="KEN1518"/>
      <c r="KEO1518"/>
      <c r="KEP1518"/>
      <c r="KEQ1518"/>
      <c r="KER1518"/>
      <c r="KES1518"/>
      <c r="KET1518"/>
      <c r="KEU1518"/>
      <c r="KEV1518"/>
      <c r="KEW1518"/>
      <c r="KEX1518"/>
      <c r="KEY1518"/>
      <c r="KEZ1518"/>
      <c r="KFA1518"/>
      <c r="KFB1518"/>
      <c r="KFC1518"/>
      <c r="KFD1518"/>
      <c r="KFE1518"/>
      <c r="KFF1518"/>
      <c r="KFG1518"/>
      <c r="KFH1518"/>
      <c r="KFI1518"/>
      <c r="KFJ1518"/>
      <c r="KFK1518"/>
      <c r="KFL1518"/>
      <c r="KFM1518"/>
      <c r="KFN1518"/>
      <c r="KFO1518"/>
      <c r="KFP1518"/>
      <c r="KFQ1518"/>
      <c r="KFR1518"/>
      <c r="KFS1518"/>
      <c r="KFT1518"/>
      <c r="KFU1518"/>
      <c r="KFV1518"/>
      <c r="KFW1518"/>
      <c r="KFX1518"/>
      <c r="KFY1518"/>
      <c r="KFZ1518"/>
      <c r="KGA1518"/>
      <c r="KGB1518"/>
      <c r="KGC1518"/>
      <c r="KGD1518"/>
      <c r="KGE1518"/>
      <c r="KGF1518"/>
      <c r="KGG1518"/>
      <c r="KGH1518"/>
      <c r="KGI1518"/>
      <c r="KGJ1518"/>
      <c r="KGK1518"/>
      <c r="KGL1518"/>
      <c r="KGM1518"/>
      <c r="KGN1518"/>
      <c r="KGO1518"/>
      <c r="KGP1518"/>
      <c r="KGQ1518"/>
      <c r="KGR1518"/>
      <c r="KGS1518"/>
      <c r="KGT1518"/>
      <c r="KGU1518"/>
      <c r="KGV1518"/>
      <c r="KGW1518"/>
      <c r="KGX1518"/>
      <c r="KGY1518"/>
      <c r="KGZ1518"/>
      <c r="KHA1518"/>
      <c r="KHB1518"/>
      <c r="KHC1518"/>
      <c r="KHD1518"/>
      <c r="KHE1518"/>
      <c r="KHF1518"/>
      <c r="KHG1518"/>
      <c r="KHH1518"/>
      <c r="KHI1518"/>
      <c r="KHJ1518"/>
      <c r="KHK1518"/>
      <c r="KHL1518"/>
      <c r="KHM1518"/>
      <c r="KHN1518"/>
      <c r="KHO1518"/>
      <c r="KHP1518"/>
      <c r="KHQ1518"/>
      <c r="KHR1518"/>
      <c r="KHS1518"/>
      <c r="KHT1518"/>
      <c r="KHU1518"/>
      <c r="KHV1518"/>
      <c r="KHW1518"/>
      <c r="KHX1518"/>
      <c r="KHY1518"/>
      <c r="KHZ1518"/>
      <c r="KIA1518"/>
      <c r="KIB1518"/>
      <c r="KIC1518"/>
      <c r="KID1518"/>
      <c r="KIE1518"/>
      <c r="KIF1518"/>
      <c r="KIG1518"/>
      <c r="KIH1518"/>
      <c r="KII1518"/>
      <c r="KIJ1518"/>
      <c r="KIK1518"/>
      <c r="KIL1518"/>
      <c r="KIM1518"/>
      <c r="KIN1518"/>
      <c r="KIO1518"/>
      <c r="KIP1518"/>
      <c r="KIQ1518"/>
      <c r="KIR1518"/>
      <c r="KIS1518"/>
      <c r="KIT1518"/>
      <c r="KIU1518"/>
      <c r="KIV1518"/>
      <c r="KIW1518"/>
      <c r="KIX1518"/>
      <c r="KIY1518"/>
      <c r="KIZ1518"/>
      <c r="KJA1518"/>
      <c r="KJB1518"/>
      <c r="KJC1518"/>
      <c r="KJD1518"/>
      <c r="KJE1518"/>
      <c r="KJF1518"/>
      <c r="KJG1518"/>
      <c r="KJH1518"/>
      <c r="KJI1518"/>
      <c r="KJJ1518"/>
      <c r="KJK1518"/>
      <c r="KJL1518"/>
      <c r="KJM1518"/>
      <c r="KJN1518"/>
      <c r="KJO1518"/>
      <c r="KJP1518"/>
      <c r="KJQ1518"/>
      <c r="KJR1518"/>
      <c r="KJS1518"/>
      <c r="KJT1518"/>
      <c r="KJU1518"/>
      <c r="KJV1518"/>
      <c r="KJW1518"/>
      <c r="KJX1518"/>
      <c r="KJY1518"/>
      <c r="KJZ1518"/>
      <c r="KKA1518"/>
      <c r="KKB1518"/>
      <c r="KKC1518"/>
      <c r="KKD1518"/>
      <c r="KKE1518"/>
      <c r="KKF1518"/>
      <c r="KKG1518"/>
      <c r="KKH1518"/>
      <c r="KKI1518"/>
      <c r="KKJ1518"/>
      <c r="KKK1518"/>
      <c r="KKL1518"/>
      <c r="KKM1518"/>
      <c r="KKN1518"/>
      <c r="KKO1518"/>
      <c r="KKP1518"/>
      <c r="KKQ1518"/>
      <c r="KKR1518"/>
      <c r="KKS1518"/>
      <c r="KKT1518"/>
      <c r="KKU1518"/>
      <c r="KKV1518"/>
      <c r="KKW1518"/>
      <c r="KKX1518"/>
      <c r="KKY1518"/>
      <c r="KKZ1518"/>
      <c r="KLA1518"/>
      <c r="KLB1518"/>
      <c r="KLC1518"/>
      <c r="KLD1518"/>
      <c r="KLE1518"/>
      <c r="KLF1518"/>
      <c r="KLG1518"/>
      <c r="KLH1518"/>
      <c r="KLI1518"/>
      <c r="KLJ1518"/>
      <c r="KLK1518"/>
      <c r="KLL1518"/>
      <c r="KLM1518"/>
      <c r="KLN1518"/>
      <c r="KLO1518"/>
      <c r="KLP1518"/>
      <c r="KLQ1518"/>
      <c r="KLR1518"/>
      <c r="KLS1518"/>
      <c r="KLT1518"/>
      <c r="KLU1518"/>
      <c r="KLV1518"/>
      <c r="KLW1518"/>
      <c r="KLX1518"/>
      <c r="KLY1518"/>
      <c r="KLZ1518"/>
      <c r="KMA1518"/>
      <c r="KMB1518"/>
      <c r="KMC1518"/>
      <c r="KMD1518"/>
      <c r="KME1518"/>
      <c r="KMF1518"/>
      <c r="KMG1518"/>
      <c r="KMH1518"/>
      <c r="KMI1518"/>
      <c r="KMJ1518"/>
      <c r="KMK1518"/>
      <c r="KML1518"/>
      <c r="KMM1518"/>
      <c r="KMN1518"/>
      <c r="KMO1518"/>
      <c r="KMP1518"/>
      <c r="KMQ1518"/>
      <c r="KMR1518"/>
      <c r="KMS1518"/>
      <c r="KMT1518"/>
      <c r="KMU1518"/>
      <c r="KMV1518"/>
      <c r="KMW1518"/>
      <c r="KMX1518"/>
      <c r="KMY1518"/>
      <c r="KMZ1518"/>
      <c r="KNA1518"/>
      <c r="KNB1518"/>
      <c r="KNC1518"/>
      <c r="KND1518"/>
      <c r="KNE1518"/>
      <c r="KNF1518"/>
      <c r="KNG1518"/>
      <c r="KNH1518"/>
      <c r="KNI1518"/>
      <c r="KNJ1518"/>
      <c r="KNK1518"/>
      <c r="KNL1518"/>
      <c r="KNM1518"/>
      <c r="KNN1518"/>
      <c r="KNO1518"/>
      <c r="KNP1518"/>
      <c r="KNQ1518"/>
      <c r="KNR1518"/>
      <c r="KNS1518"/>
      <c r="KNT1518"/>
      <c r="KNU1518"/>
      <c r="KNV1518"/>
      <c r="KNW1518"/>
      <c r="KNX1518"/>
      <c r="KNY1518"/>
      <c r="KNZ1518"/>
      <c r="KOA1518"/>
      <c r="KOB1518"/>
      <c r="KOC1518"/>
      <c r="KOD1518"/>
      <c r="KOE1518"/>
      <c r="KOF1518"/>
      <c r="KOG1518"/>
      <c r="KOH1518"/>
      <c r="KOI1518"/>
      <c r="KOJ1518"/>
      <c r="KOK1518"/>
      <c r="KOL1518"/>
      <c r="KOM1518"/>
      <c r="KON1518"/>
      <c r="KOO1518"/>
      <c r="KOP1518"/>
      <c r="KOQ1518"/>
      <c r="KOR1518"/>
      <c r="KOS1518"/>
      <c r="KOT1518"/>
      <c r="KOU1518"/>
      <c r="KOV1518"/>
      <c r="KOW1518"/>
      <c r="KOX1518"/>
      <c r="KOY1518"/>
      <c r="KOZ1518"/>
      <c r="KPA1518"/>
      <c r="KPB1518"/>
      <c r="KPC1518"/>
      <c r="KPD1518"/>
      <c r="KPE1518"/>
      <c r="KPF1518"/>
      <c r="KPG1518"/>
      <c r="KPH1518"/>
      <c r="KPI1518"/>
      <c r="KPJ1518"/>
      <c r="KPK1518"/>
      <c r="KPL1518"/>
      <c r="KPM1518"/>
      <c r="KPN1518"/>
      <c r="KPO1518"/>
      <c r="KPP1518"/>
      <c r="KPQ1518"/>
      <c r="KPR1518"/>
      <c r="KPS1518"/>
      <c r="KPT1518"/>
      <c r="KPU1518"/>
      <c r="KPV1518"/>
      <c r="KPW1518"/>
      <c r="KPX1518"/>
      <c r="KPY1518"/>
      <c r="KPZ1518"/>
      <c r="KQA1518"/>
      <c r="KQB1518"/>
      <c r="KQC1518"/>
      <c r="KQD1518"/>
      <c r="KQE1518"/>
      <c r="KQF1518"/>
      <c r="KQG1518"/>
      <c r="KQH1518"/>
      <c r="KQI1518"/>
      <c r="KQJ1518"/>
      <c r="KQK1518"/>
      <c r="KQL1518"/>
      <c r="KQM1518"/>
      <c r="KQN1518"/>
      <c r="KQO1518"/>
      <c r="KQP1518"/>
      <c r="KQQ1518"/>
      <c r="KQR1518"/>
      <c r="KQS1518"/>
      <c r="KQT1518"/>
      <c r="KQU1518"/>
      <c r="KQV1518"/>
      <c r="KQW1518"/>
      <c r="KQX1518"/>
      <c r="KQY1518"/>
      <c r="KQZ1518"/>
      <c r="KRA1518"/>
      <c r="KRB1518"/>
      <c r="KRC1518"/>
      <c r="KRD1518"/>
      <c r="KRE1518"/>
      <c r="KRF1518"/>
      <c r="KRG1518"/>
      <c r="KRH1518"/>
      <c r="KRI1518"/>
      <c r="KRJ1518"/>
      <c r="KRK1518"/>
      <c r="KRL1518"/>
      <c r="KRM1518"/>
      <c r="KRN1518"/>
      <c r="KRO1518"/>
      <c r="KRP1518"/>
      <c r="KRQ1518"/>
      <c r="KRR1518"/>
      <c r="KRS1518"/>
      <c r="KRT1518"/>
      <c r="KRU1518"/>
      <c r="KRV1518"/>
      <c r="KRW1518"/>
      <c r="KRX1518"/>
      <c r="KRY1518"/>
      <c r="KRZ1518"/>
      <c r="KSA1518"/>
      <c r="KSB1518"/>
      <c r="KSC1518"/>
      <c r="KSD1518"/>
      <c r="KSE1518"/>
      <c r="KSF1518"/>
      <c r="KSG1518"/>
      <c r="KSH1518"/>
      <c r="KSI1518"/>
      <c r="KSJ1518"/>
      <c r="KSK1518"/>
      <c r="KSL1518"/>
      <c r="KSM1518"/>
      <c r="KSN1518"/>
      <c r="KSO1518"/>
      <c r="KSP1518"/>
      <c r="KSQ1518"/>
      <c r="KSR1518"/>
      <c r="KSS1518"/>
      <c r="KST1518"/>
      <c r="KSU1518"/>
      <c r="KSV1518"/>
      <c r="KSW1518"/>
      <c r="KSX1518"/>
      <c r="KSY1518"/>
      <c r="KSZ1518"/>
      <c r="KTA1518"/>
      <c r="KTB1518"/>
      <c r="KTC1518"/>
      <c r="KTD1518"/>
      <c r="KTE1518"/>
      <c r="KTF1518"/>
      <c r="KTG1518"/>
      <c r="KTH1518"/>
      <c r="KTI1518"/>
      <c r="KTJ1518"/>
      <c r="KTK1518"/>
      <c r="KTL1518"/>
      <c r="KTM1518"/>
      <c r="KTN1518"/>
      <c r="KTO1518"/>
      <c r="KTP1518"/>
      <c r="KTQ1518"/>
      <c r="KTR1518"/>
      <c r="KTS1518"/>
      <c r="KTT1518"/>
      <c r="KTU1518"/>
      <c r="KTV1518"/>
      <c r="KTW1518"/>
      <c r="KTX1518"/>
      <c r="KTY1518"/>
      <c r="KTZ1518"/>
      <c r="KUA1518"/>
      <c r="KUB1518"/>
      <c r="KUC1518"/>
      <c r="KUD1518"/>
      <c r="KUE1518"/>
      <c r="KUF1518"/>
      <c r="KUG1518"/>
      <c r="KUH1518"/>
      <c r="KUI1518"/>
      <c r="KUJ1518"/>
      <c r="KUK1518"/>
      <c r="KUL1518"/>
      <c r="KUM1518"/>
      <c r="KUN1518"/>
      <c r="KUO1518"/>
      <c r="KUP1518"/>
      <c r="KUQ1518"/>
      <c r="KUR1518"/>
      <c r="KUS1518"/>
      <c r="KUT1518"/>
      <c r="KUU1518"/>
      <c r="KUV1518"/>
      <c r="KUW1518"/>
      <c r="KUX1518"/>
      <c r="KUY1518"/>
      <c r="KUZ1518"/>
      <c r="KVA1518"/>
      <c r="KVB1518"/>
      <c r="KVC1518"/>
      <c r="KVD1518"/>
      <c r="KVE1518"/>
      <c r="KVF1518"/>
      <c r="KVG1518"/>
      <c r="KVH1518"/>
      <c r="KVI1518"/>
      <c r="KVJ1518"/>
      <c r="KVK1518"/>
      <c r="KVL1518"/>
      <c r="KVM1518"/>
      <c r="KVN1518"/>
      <c r="KVO1518"/>
      <c r="KVP1518"/>
      <c r="KVQ1518"/>
      <c r="KVR1518"/>
      <c r="KVS1518"/>
      <c r="KVT1518"/>
      <c r="KVU1518"/>
      <c r="KVV1518"/>
      <c r="KVW1518"/>
      <c r="KVX1518"/>
      <c r="KVY1518"/>
      <c r="KVZ1518"/>
      <c r="KWA1518"/>
      <c r="KWB1518"/>
      <c r="KWC1518"/>
      <c r="KWD1518"/>
      <c r="KWE1518"/>
      <c r="KWF1518"/>
      <c r="KWG1518"/>
      <c r="KWH1518"/>
      <c r="KWI1518"/>
      <c r="KWJ1518"/>
      <c r="KWK1518"/>
      <c r="KWL1518"/>
      <c r="KWM1518"/>
      <c r="KWN1518"/>
      <c r="KWO1518"/>
      <c r="KWP1518"/>
      <c r="KWQ1518"/>
      <c r="KWR1518"/>
      <c r="KWS1518"/>
      <c r="KWT1518"/>
      <c r="KWU1518"/>
      <c r="KWV1518"/>
      <c r="KWW1518"/>
      <c r="KWX1518"/>
      <c r="KWY1518"/>
      <c r="KWZ1518"/>
      <c r="KXA1518"/>
      <c r="KXB1518"/>
      <c r="KXC1518"/>
      <c r="KXD1518"/>
      <c r="KXE1518"/>
      <c r="KXF1518"/>
      <c r="KXG1518"/>
      <c r="KXH1518"/>
      <c r="KXI1518"/>
      <c r="KXJ1518"/>
      <c r="KXK1518"/>
      <c r="KXL1518"/>
      <c r="KXM1518"/>
      <c r="KXN1518"/>
      <c r="KXO1518"/>
      <c r="KXP1518"/>
      <c r="KXQ1518"/>
      <c r="KXR1518"/>
      <c r="KXS1518"/>
      <c r="KXT1518"/>
      <c r="KXU1518"/>
      <c r="KXV1518"/>
      <c r="KXW1518"/>
      <c r="KXX1518"/>
      <c r="KXY1518"/>
      <c r="KXZ1518"/>
      <c r="KYA1518"/>
      <c r="KYB1518"/>
      <c r="KYC1518"/>
      <c r="KYD1518"/>
      <c r="KYE1518"/>
      <c r="KYF1518"/>
      <c r="KYG1518"/>
      <c r="KYH1518"/>
      <c r="KYI1518"/>
      <c r="KYJ1518"/>
      <c r="KYK1518"/>
      <c r="KYL1518"/>
      <c r="KYM1518"/>
      <c r="KYN1518"/>
      <c r="KYO1518"/>
      <c r="KYP1518"/>
      <c r="KYQ1518"/>
      <c r="KYR1518"/>
      <c r="KYS1518"/>
      <c r="KYT1518"/>
      <c r="KYU1518"/>
      <c r="KYV1518"/>
      <c r="KYW1518"/>
      <c r="KYX1518"/>
      <c r="KYY1518"/>
      <c r="KYZ1518"/>
      <c r="KZA1518"/>
      <c r="KZB1518"/>
      <c r="KZC1518"/>
      <c r="KZD1518"/>
      <c r="KZE1518"/>
      <c r="KZF1518"/>
      <c r="KZG1518"/>
      <c r="KZH1518"/>
      <c r="KZI1518"/>
      <c r="KZJ1518"/>
      <c r="KZK1518"/>
      <c r="KZL1518"/>
      <c r="KZM1518"/>
      <c r="KZN1518"/>
      <c r="KZO1518"/>
      <c r="KZP1518"/>
      <c r="KZQ1518"/>
      <c r="KZR1518"/>
      <c r="KZS1518"/>
      <c r="KZT1518"/>
      <c r="KZU1518"/>
      <c r="KZV1518"/>
      <c r="KZW1518"/>
      <c r="KZX1518"/>
      <c r="KZY1518"/>
      <c r="KZZ1518"/>
      <c r="LAA1518"/>
      <c r="LAB1518"/>
      <c r="LAC1518"/>
      <c r="LAD1518"/>
      <c r="LAE1518"/>
      <c r="LAF1518"/>
      <c r="LAG1518"/>
      <c r="LAH1518"/>
      <c r="LAI1518"/>
      <c r="LAJ1518"/>
      <c r="LAK1518"/>
      <c r="LAL1518"/>
      <c r="LAM1518"/>
      <c r="LAN1518"/>
      <c r="LAO1518"/>
      <c r="LAP1518"/>
      <c r="LAQ1518"/>
      <c r="LAR1518"/>
      <c r="LAS1518"/>
      <c r="LAT1518"/>
      <c r="LAU1518"/>
      <c r="LAV1518"/>
      <c r="LAW1518"/>
      <c r="LAX1518"/>
      <c r="LAY1518"/>
      <c r="LAZ1518"/>
      <c r="LBA1518"/>
      <c r="LBB1518"/>
      <c r="LBC1518"/>
      <c r="LBD1518"/>
      <c r="LBE1518"/>
      <c r="LBF1518"/>
      <c r="LBG1518"/>
      <c r="LBH1518"/>
      <c r="LBI1518"/>
      <c r="LBJ1518"/>
      <c r="LBK1518"/>
      <c r="LBL1518"/>
      <c r="LBM1518"/>
      <c r="LBN1518"/>
      <c r="LBO1518"/>
      <c r="LBP1518"/>
      <c r="LBQ1518"/>
      <c r="LBR1518"/>
      <c r="LBS1518"/>
      <c r="LBT1518"/>
      <c r="LBU1518"/>
      <c r="LBV1518"/>
      <c r="LBW1518"/>
      <c r="LBX1518"/>
      <c r="LBY1518"/>
      <c r="LBZ1518"/>
      <c r="LCA1518"/>
      <c r="LCB1518"/>
      <c r="LCC1518"/>
      <c r="LCD1518"/>
      <c r="LCE1518"/>
      <c r="LCF1518"/>
      <c r="LCG1518"/>
      <c r="LCH1518"/>
      <c r="LCI1518"/>
      <c r="LCJ1518"/>
      <c r="LCK1518"/>
      <c r="LCL1518"/>
      <c r="LCM1518"/>
      <c r="LCN1518"/>
      <c r="LCO1518"/>
      <c r="LCP1518"/>
      <c r="LCQ1518"/>
      <c r="LCR1518"/>
      <c r="LCS1518"/>
      <c r="LCT1518"/>
      <c r="LCU1518"/>
      <c r="LCV1518"/>
      <c r="LCW1518"/>
      <c r="LCX1518"/>
      <c r="LCY1518"/>
      <c r="LCZ1518"/>
      <c r="LDA1518"/>
      <c r="LDB1518"/>
      <c r="LDC1518"/>
      <c r="LDD1518"/>
      <c r="LDE1518"/>
      <c r="LDF1518"/>
      <c r="LDG1518"/>
      <c r="LDH1518"/>
      <c r="LDI1518"/>
      <c r="LDJ1518"/>
      <c r="LDK1518"/>
      <c r="LDL1518"/>
      <c r="LDM1518"/>
      <c r="LDN1518"/>
      <c r="LDO1518"/>
      <c r="LDP1518"/>
      <c r="LDQ1518"/>
      <c r="LDR1518"/>
      <c r="LDS1518"/>
      <c r="LDT1518"/>
      <c r="LDU1518"/>
      <c r="LDV1518"/>
      <c r="LDW1518"/>
      <c r="LDX1518"/>
      <c r="LDY1518"/>
      <c r="LDZ1518"/>
      <c r="LEA1518"/>
      <c r="LEB1518"/>
      <c r="LEC1518"/>
      <c r="LED1518"/>
      <c r="LEE1518"/>
      <c r="LEF1518"/>
      <c r="LEG1518"/>
      <c r="LEH1518"/>
      <c r="LEI1518"/>
      <c r="LEJ1518"/>
      <c r="LEK1518"/>
      <c r="LEL1518"/>
      <c r="LEM1518"/>
      <c r="LEN1518"/>
      <c r="LEO1518"/>
      <c r="LEP1518"/>
      <c r="LEQ1518"/>
      <c r="LER1518"/>
      <c r="LES1518"/>
      <c r="LET1518"/>
      <c r="LEU1518"/>
      <c r="LEV1518"/>
      <c r="LEW1518"/>
      <c r="LEX1518"/>
      <c r="LEY1518"/>
      <c r="LEZ1518"/>
      <c r="LFA1518"/>
      <c r="LFB1518"/>
      <c r="LFC1518"/>
      <c r="LFD1518"/>
      <c r="LFE1518"/>
      <c r="LFF1518"/>
      <c r="LFG1518"/>
      <c r="LFH1518"/>
      <c r="LFI1518"/>
      <c r="LFJ1518"/>
      <c r="LFK1518"/>
      <c r="LFL1518"/>
      <c r="LFM1518"/>
      <c r="LFN1518"/>
      <c r="LFO1518"/>
      <c r="LFP1518"/>
      <c r="LFQ1518"/>
      <c r="LFR1518"/>
      <c r="LFS1518"/>
      <c r="LFT1518"/>
      <c r="LFU1518"/>
      <c r="LFV1518"/>
      <c r="LFW1518"/>
      <c r="LFX1518"/>
      <c r="LFY1518"/>
      <c r="LFZ1518"/>
      <c r="LGA1518"/>
      <c r="LGB1518"/>
      <c r="LGC1518"/>
      <c r="LGD1518"/>
      <c r="LGE1518"/>
      <c r="LGF1518"/>
      <c r="LGG1518"/>
      <c r="LGH1518"/>
      <c r="LGI1518"/>
      <c r="LGJ1518"/>
      <c r="LGK1518"/>
      <c r="LGL1518"/>
      <c r="LGM1518"/>
      <c r="LGN1518"/>
      <c r="LGO1518"/>
      <c r="LGP1518"/>
      <c r="LGQ1518"/>
      <c r="LGR1518"/>
      <c r="LGS1518"/>
      <c r="LGT1518"/>
      <c r="LGU1518"/>
      <c r="LGV1518"/>
      <c r="LGW1518"/>
      <c r="LGX1518"/>
      <c r="LGY1518"/>
      <c r="LGZ1518"/>
      <c r="LHA1518"/>
      <c r="LHB1518"/>
      <c r="LHC1518"/>
      <c r="LHD1518"/>
      <c r="LHE1518"/>
      <c r="LHF1518"/>
      <c r="LHG1518"/>
      <c r="LHH1518"/>
      <c r="LHI1518"/>
      <c r="LHJ1518"/>
      <c r="LHK1518"/>
      <c r="LHL1518"/>
      <c r="LHM1518"/>
      <c r="LHN1518"/>
      <c r="LHO1518"/>
      <c r="LHP1518"/>
      <c r="LHQ1518"/>
      <c r="LHR1518"/>
      <c r="LHS1518"/>
      <c r="LHT1518"/>
      <c r="LHU1518"/>
      <c r="LHV1518"/>
      <c r="LHW1518"/>
      <c r="LHX1518"/>
      <c r="LHY1518"/>
      <c r="LHZ1518"/>
      <c r="LIA1518"/>
      <c r="LIB1518"/>
      <c r="LIC1518"/>
      <c r="LID1518"/>
      <c r="LIE1518"/>
      <c r="LIF1518"/>
      <c r="LIG1518"/>
      <c r="LIH1518"/>
      <c r="LII1518"/>
      <c r="LIJ1518"/>
      <c r="LIK1518"/>
      <c r="LIL1518"/>
      <c r="LIM1518"/>
      <c r="LIN1518"/>
      <c r="LIO1518"/>
      <c r="LIP1518"/>
      <c r="LIQ1518"/>
      <c r="LIR1518"/>
      <c r="LIS1518"/>
      <c r="LIT1518"/>
      <c r="LIU1518"/>
      <c r="LIV1518"/>
      <c r="LIW1518"/>
      <c r="LIX1518"/>
      <c r="LIY1518"/>
      <c r="LIZ1518"/>
      <c r="LJA1518"/>
      <c r="LJB1518"/>
      <c r="LJC1518"/>
      <c r="LJD1518"/>
      <c r="LJE1518"/>
      <c r="LJF1518"/>
      <c r="LJG1518"/>
      <c r="LJH1518"/>
      <c r="LJI1518"/>
      <c r="LJJ1518"/>
      <c r="LJK1518"/>
      <c r="LJL1518"/>
      <c r="LJM1518"/>
      <c r="LJN1518"/>
      <c r="LJO1518"/>
      <c r="LJP1518"/>
      <c r="LJQ1518"/>
      <c r="LJR1518"/>
      <c r="LJS1518"/>
      <c r="LJT1518"/>
      <c r="LJU1518"/>
      <c r="LJV1518"/>
      <c r="LJW1518"/>
      <c r="LJX1518"/>
      <c r="LJY1518"/>
      <c r="LJZ1518"/>
      <c r="LKA1518"/>
      <c r="LKB1518"/>
      <c r="LKC1518"/>
      <c r="LKD1518"/>
      <c r="LKE1518"/>
      <c r="LKF1518"/>
      <c r="LKG1518"/>
      <c r="LKH1518"/>
      <c r="LKI1518"/>
      <c r="LKJ1518"/>
      <c r="LKK1518"/>
      <c r="LKL1518"/>
      <c r="LKM1518"/>
      <c r="LKN1518"/>
      <c r="LKO1518"/>
      <c r="LKP1518"/>
      <c r="LKQ1518"/>
      <c r="LKR1518"/>
      <c r="LKS1518"/>
      <c r="LKT1518"/>
      <c r="LKU1518"/>
      <c r="LKV1518"/>
      <c r="LKW1518"/>
      <c r="LKX1518"/>
      <c r="LKY1518"/>
      <c r="LKZ1518"/>
      <c r="LLA1518"/>
      <c r="LLB1518"/>
      <c r="LLC1518"/>
      <c r="LLD1518"/>
      <c r="LLE1518"/>
      <c r="LLF1518"/>
      <c r="LLG1518"/>
      <c r="LLH1518"/>
      <c r="LLI1518"/>
      <c r="LLJ1518"/>
      <c r="LLK1518"/>
      <c r="LLL1518"/>
      <c r="LLM1518"/>
      <c r="LLN1518"/>
      <c r="LLO1518"/>
      <c r="LLP1518"/>
      <c r="LLQ1518"/>
      <c r="LLR1518"/>
      <c r="LLS1518"/>
      <c r="LLT1518"/>
      <c r="LLU1518"/>
      <c r="LLV1518"/>
      <c r="LLW1518"/>
      <c r="LLX1518"/>
      <c r="LLY1518"/>
      <c r="LLZ1518"/>
      <c r="LMA1518"/>
      <c r="LMB1518"/>
      <c r="LMC1518"/>
      <c r="LMD1518"/>
      <c r="LME1518"/>
      <c r="LMF1518"/>
      <c r="LMG1518"/>
      <c r="LMH1518"/>
      <c r="LMI1518"/>
      <c r="LMJ1518"/>
      <c r="LMK1518"/>
      <c r="LML1518"/>
      <c r="LMM1518"/>
      <c r="LMN1518"/>
      <c r="LMO1518"/>
      <c r="LMP1518"/>
      <c r="LMQ1518"/>
      <c r="LMR1518"/>
      <c r="LMS1518"/>
      <c r="LMT1518"/>
      <c r="LMU1518"/>
      <c r="LMV1518"/>
      <c r="LMW1518"/>
      <c r="LMX1518"/>
      <c r="LMY1518"/>
      <c r="LMZ1518"/>
      <c r="LNA1518"/>
      <c r="LNB1518"/>
      <c r="LNC1518"/>
      <c r="LND1518"/>
      <c r="LNE1518"/>
      <c r="LNF1518"/>
      <c r="LNG1518"/>
      <c r="LNH1518"/>
      <c r="LNI1518"/>
      <c r="LNJ1518"/>
      <c r="LNK1518"/>
      <c r="LNL1518"/>
      <c r="LNM1518"/>
      <c r="LNN1518"/>
      <c r="LNO1518"/>
      <c r="LNP1518"/>
      <c r="LNQ1518"/>
      <c r="LNR1518"/>
      <c r="LNS1518"/>
      <c r="LNT1518"/>
      <c r="LNU1518"/>
      <c r="LNV1518"/>
      <c r="LNW1518"/>
      <c r="LNX1518"/>
      <c r="LNY1518"/>
      <c r="LNZ1518"/>
      <c r="LOA1518"/>
      <c r="LOB1518"/>
      <c r="LOC1518"/>
      <c r="LOD1518"/>
      <c r="LOE1518"/>
      <c r="LOF1518"/>
      <c r="LOG1518"/>
      <c r="LOH1518"/>
      <c r="LOI1518"/>
      <c r="LOJ1518"/>
      <c r="LOK1518"/>
      <c r="LOL1518"/>
      <c r="LOM1518"/>
      <c r="LON1518"/>
      <c r="LOO1518"/>
      <c r="LOP1518"/>
      <c r="LOQ1518"/>
      <c r="LOR1518"/>
      <c r="LOS1518"/>
      <c r="LOT1518"/>
      <c r="LOU1518"/>
      <c r="LOV1518"/>
      <c r="LOW1518"/>
      <c r="LOX1518"/>
      <c r="LOY1518"/>
      <c r="LOZ1518"/>
      <c r="LPA1518"/>
      <c r="LPB1518"/>
      <c r="LPC1518"/>
      <c r="LPD1518"/>
      <c r="LPE1518"/>
      <c r="LPF1518"/>
      <c r="LPG1518"/>
      <c r="LPH1518"/>
      <c r="LPI1518"/>
      <c r="LPJ1518"/>
      <c r="LPK1518"/>
      <c r="LPL1518"/>
      <c r="LPM1518"/>
      <c r="LPN1518"/>
      <c r="LPO1518"/>
      <c r="LPP1518"/>
      <c r="LPQ1518"/>
      <c r="LPR1518"/>
      <c r="LPS1518"/>
      <c r="LPT1518"/>
      <c r="LPU1518"/>
      <c r="LPV1518"/>
      <c r="LPW1518"/>
      <c r="LPX1518"/>
      <c r="LPY1518"/>
      <c r="LPZ1518"/>
      <c r="LQA1518"/>
      <c r="LQB1518"/>
      <c r="LQC1518"/>
      <c r="LQD1518"/>
      <c r="LQE1518"/>
      <c r="LQF1518"/>
      <c r="LQG1518"/>
      <c r="LQH1518"/>
      <c r="LQI1518"/>
      <c r="LQJ1518"/>
      <c r="LQK1518"/>
      <c r="LQL1518"/>
      <c r="LQM1518"/>
      <c r="LQN1518"/>
      <c r="LQO1518"/>
      <c r="LQP1518"/>
      <c r="LQQ1518"/>
      <c r="LQR1518"/>
      <c r="LQS1518"/>
      <c r="LQT1518"/>
      <c r="LQU1518"/>
      <c r="LQV1518"/>
      <c r="LQW1518"/>
      <c r="LQX1518"/>
      <c r="LQY1518"/>
      <c r="LQZ1518"/>
      <c r="LRA1518"/>
      <c r="LRB1518"/>
      <c r="LRC1518"/>
      <c r="LRD1518"/>
      <c r="LRE1518"/>
      <c r="LRF1518"/>
      <c r="LRG1518"/>
      <c r="LRH1518"/>
      <c r="LRI1518"/>
      <c r="LRJ1518"/>
      <c r="LRK1518"/>
      <c r="LRL1518"/>
      <c r="LRM1518"/>
      <c r="LRN1518"/>
      <c r="LRO1518"/>
      <c r="LRP1518"/>
      <c r="LRQ1518"/>
      <c r="LRR1518"/>
      <c r="LRS1518"/>
      <c r="LRT1518"/>
      <c r="LRU1518"/>
      <c r="LRV1518"/>
      <c r="LRW1518"/>
      <c r="LRX1518"/>
      <c r="LRY1518"/>
      <c r="LRZ1518"/>
      <c r="LSA1518"/>
      <c r="LSB1518"/>
      <c r="LSC1518"/>
      <c r="LSD1518"/>
      <c r="LSE1518"/>
      <c r="LSF1518"/>
      <c r="LSG1518"/>
      <c r="LSH1518"/>
      <c r="LSI1518"/>
      <c r="LSJ1518"/>
      <c r="LSK1518"/>
      <c r="LSL1518"/>
      <c r="LSM1518"/>
      <c r="LSN1518"/>
      <c r="LSO1518"/>
      <c r="LSP1518"/>
      <c r="LSQ1518"/>
      <c r="LSR1518"/>
      <c r="LSS1518"/>
      <c r="LST1518"/>
      <c r="LSU1518"/>
      <c r="LSV1518"/>
      <c r="LSW1518"/>
      <c r="LSX1518"/>
      <c r="LSY1518"/>
      <c r="LSZ1518"/>
      <c r="LTA1518"/>
      <c r="LTB1518"/>
      <c r="LTC1518"/>
      <c r="LTD1518"/>
      <c r="LTE1518"/>
      <c r="LTF1518"/>
      <c r="LTG1518"/>
      <c r="LTH1518"/>
      <c r="LTI1518"/>
      <c r="LTJ1518"/>
      <c r="LTK1518"/>
      <c r="LTL1518"/>
      <c r="LTM1518"/>
      <c r="LTN1518"/>
      <c r="LTO1518"/>
      <c r="LTP1518"/>
      <c r="LTQ1518"/>
      <c r="LTR1518"/>
      <c r="LTS1518"/>
      <c r="LTT1518"/>
      <c r="LTU1518"/>
      <c r="LTV1518"/>
      <c r="LTW1518"/>
      <c r="LTX1518"/>
      <c r="LTY1518"/>
      <c r="LTZ1518"/>
      <c r="LUA1518"/>
      <c r="LUB1518"/>
      <c r="LUC1518"/>
      <c r="LUD1518"/>
      <c r="LUE1518"/>
      <c r="LUF1518"/>
      <c r="LUG1518"/>
      <c r="LUH1518"/>
      <c r="LUI1518"/>
      <c r="LUJ1518"/>
      <c r="LUK1518"/>
      <c r="LUL1518"/>
      <c r="LUM1518"/>
      <c r="LUN1518"/>
      <c r="LUO1518"/>
      <c r="LUP1518"/>
      <c r="LUQ1518"/>
      <c r="LUR1518"/>
      <c r="LUS1518"/>
      <c r="LUT1518"/>
      <c r="LUU1518"/>
      <c r="LUV1518"/>
      <c r="LUW1518"/>
      <c r="LUX1518"/>
      <c r="LUY1518"/>
      <c r="LUZ1518"/>
      <c r="LVA1518"/>
      <c r="LVB1518"/>
      <c r="LVC1518"/>
      <c r="LVD1518"/>
      <c r="LVE1518"/>
      <c r="LVF1518"/>
      <c r="LVG1518"/>
      <c r="LVH1518"/>
      <c r="LVI1518"/>
      <c r="LVJ1518"/>
      <c r="LVK1518"/>
      <c r="LVL1518"/>
      <c r="LVM1518"/>
      <c r="LVN1518"/>
      <c r="LVO1518"/>
      <c r="LVP1518"/>
      <c r="LVQ1518"/>
      <c r="LVR1518"/>
      <c r="LVS1518"/>
      <c r="LVT1518"/>
      <c r="LVU1518"/>
      <c r="LVV1518"/>
      <c r="LVW1518"/>
      <c r="LVX1518"/>
      <c r="LVY1518"/>
      <c r="LVZ1518"/>
      <c r="LWA1518"/>
      <c r="LWB1518"/>
      <c r="LWC1518"/>
      <c r="LWD1518"/>
      <c r="LWE1518"/>
      <c r="LWF1518"/>
      <c r="LWG1518"/>
      <c r="LWH1518"/>
      <c r="LWI1518"/>
      <c r="LWJ1518"/>
      <c r="LWK1518"/>
      <c r="LWL1518"/>
      <c r="LWM1518"/>
      <c r="LWN1518"/>
      <c r="LWO1518"/>
      <c r="LWP1518"/>
      <c r="LWQ1518"/>
      <c r="LWR1518"/>
      <c r="LWS1518"/>
      <c r="LWT1518"/>
      <c r="LWU1518"/>
      <c r="LWV1518"/>
      <c r="LWW1518"/>
      <c r="LWX1518"/>
      <c r="LWY1518"/>
      <c r="LWZ1518"/>
      <c r="LXA1518"/>
      <c r="LXB1518"/>
      <c r="LXC1518"/>
      <c r="LXD1518"/>
      <c r="LXE1518"/>
      <c r="LXF1518"/>
      <c r="LXG1518"/>
      <c r="LXH1518"/>
      <c r="LXI1518"/>
      <c r="LXJ1518"/>
      <c r="LXK1518"/>
      <c r="LXL1518"/>
      <c r="LXM1518"/>
      <c r="LXN1518"/>
      <c r="LXO1518"/>
      <c r="LXP1518"/>
      <c r="LXQ1518"/>
      <c r="LXR1518"/>
      <c r="LXS1518"/>
      <c r="LXT1518"/>
      <c r="LXU1518"/>
      <c r="LXV1518"/>
      <c r="LXW1518"/>
      <c r="LXX1518"/>
      <c r="LXY1518"/>
      <c r="LXZ1518"/>
      <c r="LYA1518"/>
      <c r="LYB1518"/>
      <c r="LYC1518"/>
      <c r="LYD1518"/>
      <c r="LYE1518"/>
      <c r="LYF1518"/>
      <c r="LYG1518"/>
      <c r="LYH1518"/>
      <c r="LYI1518"/>
      <c r="LYJ1518"/>
      <c r="LYK1518"/>
      <c r="LYL1518"/>
      <c r="LYM1518"/>
      <c r="LYN1518"/>
      <c r="LYO1518"/>
      <c r="LYP1518"/>
      <c r="LYQ1518"/>
      <c r="LYR1518"/>
      <c r="LYS1518"/>
      <c r="LYT1518"/>
      <c r="LYU1518"/>
      <c r="LYV1518"/>
      <c r="LYW1518"/>
      <c r="LYX1518"/>
      <c r="LYY1518"/>
      <c r="LYZ1518"/>
      <c r="LZA1518"/>
      <c r="LZB1518"/>
      <c r="LZC1518"/>
      <c r="LZD1518"/>
      <c r="LZE1518"/>
      <c r="LZF1518"/>
      <c r="LZG1518"/>
      <c r="LZH1518"/>
      <c r="LZI1518"/>
      <c r="LZJ1518"/>
      <c r="LZK1518"/>
      <c r="LZL1518"/>
      <c r="LZM1518"/>
      <c r="LZN1518"/>
      <c r="LZO1518"/>
      <c r="LZP1518"/>
      <c r="LZQ1518"/>
      <c r="LZR1518"/>
      <c r="LZS1518"/>
      <c r="LZT1518"/>
      <c r="LZU1518"/>
      <c r="LZV1518"/>
      <c r="LZW1518"/>
      <c r="LZX1518"/>
      <c r="LZY1518"/>
      <c r="LZZ1518"/>
      <c r="MAA1518"/>
      <c r="MAB1518"/>
      <c r="MAC1518"/>
      <c r="MAD1518"/>
      <c r="MAE1518"/>
      <c r="MAF1518"/>
      <c r="MAG1518"/>
      <c r="MAH1518"/>
      <c r="MAI1518"/>
      <c r="MAJ1518"/>
      <c r="MAK1518"/>
      <c r="MAL1518"/>
      <c r="MAM1518"/>
      <c r="MAN1518"/>
      <c r="MAO1518"/>
      <c r="MAP1518"/>
      <c r="MAQ1518"/>
      <c r="MAR1518"/>
      <c r="MAS1518"/>
      <c r="MAT1518"/>
      <c r="MAU1518"/>
      <c r="MAV1518"/>
      <c r="MAW1518"/>
      <c r="MAX1518"/>
      <c r="MAY1518"/>
      <c r="MAZ1518"/>
      <c r="MBA1518"/>
      <c r="MBB1518"/>
      <c r="MBC1518"/>
      <c r="MBD1518"/>
      <c r="MBE1518"/>
      <c r="MBF1518"/>
      <c r="MBG1518"/>
      <c r="MBH1518"/>
      <c r="MBI1518"/>
      <c r="MBJ1518"/>
      <c r="MBK1518"/>
      <c r="MBL1518"/>
      <c r="MBM1518"/>
      <c r="MBN1518"/>
      <c r="MBO1518"/>
      <c r="MBP1518"/>
      <c r="MBQ1518"/>
      <c r="MBR1518"/>
      <c r="MBS1518"/>
      <c r="MBT1518"/>
      <c r="MBU1518"/>
      <c r="MBV1518"/>
      <c r="MBW1518"/>
      <c r="MBX1518"/>
      <c r="MBY1518"/>
      <c r="MBZ1518"/>
      <c r="MCA1518"/>
      <c r="MCB1518"/>
      <c r="MCC1518"/>
      <c r="MCD1518"/>
      <c r="MCE1518"/>
      <c r="MCF1518"/>
      <c r="MCG1518"/>
      <c r="MCH1518"/>
      <c r="MCI1518"/>
      <c r="MCJ1518"/>
      <c r="MCK1518"/>
      <c r="MCL1518"/>
      <c r="MCM1518"/>
      <c r="MCN1518"/>
      <c r="MCO1518"/>
      <c r="MCP1518"/>
      <c r="MCQ1518"/>
      <c r="MCR1518"/>
      <c r="MCS1518"/>
      <c r="MCT1518"/>
      <c r="MCU1518"/>
      <c r="MCV1518"/>
      <c r="MCW1518"/>
      <c r="MCX1518"/>
      <c r="MCY1518"/>
      <c r="MCZ1518"/>
      <c r="MDA1518"/>
      <c r="MDB1518"/>
      <c r="MDC1518"/>
      <c r="MDD1518"/>
      <c r="MDE1518"/>
      <c r="MDF1518"/>
      <c r="MDG1518"/>
      <c r="MDH1518"/>
      <c r="MDI1518"/>
      <c r="MDJ1518"/>
      <c r="MDK1518"/>
      <c r="MDL1518"/>
      <c r="MDM1518"/>
      <c r="MDN1518"/>
      <c r="MDO1518"/>
      <c r="MDP1518"/>
      <c r="MDQ1518"/>
      <c r="MDR1518"/>
      <c r="MDS1518"/>
      <c r="MDT1518"/>
      <c r="MDU1518"/>
      <c r="MDV1518"/>
      <c r="MDW1518"/>
      <c r="MDX1518"/>
      <c r="MDY1518"/>
      <c r="MDZ1518"/>
      <c r="MEA1518"/>
      <c r="MEB1518"/>
      <c r="MEC1518"/>
      <c r="MED1518"/>
      <c r="MEE1518"/>
      <c r="MEF1518"/>
      <c r="MEG1518"/>
      <c r="MEH1518"/>
      <c r="MEI1518"/>
      <c r="MEJ1518"/>
      <c r="MEK1518"/>
      <c r="MEL1518"/>
      <c r="MEM1518"/>
      <c r="MEN1518"/>
      <c r="MEO1518"/>
      <c r="MEP1518"/>
      <c r="MEQ1518"/>
      <c r="MER1518"/>
      <c r="MES1518"/>
      <c r="MET1518"/>
      <c r="MEU1518"/>
      <c r="MEV1518"/>
      <c r="MEW1518"/>
      <c r="MEX1518"/>
      <c r="MEY1518"/>
      <c r="MEZ1518"/>
      <c r="MFA1518"/>
      <c r="MFB1518"/>
      <c r="MFC1518"/>
      <c r="MFD1518"/>
      <c r="MFE1518"/>
      <c r="MFF1518"/>
      <c r="MFG1518"/>
      <c r="MFH1518"/>
      <c r="MFI1518"/>
      <c r="MFJ1518"/>
      <c r="MFK1518"/>
      <c r="MFL1518"/>
      <c r="MFM1518"/>
      <c r="MFN1518"/>
      <c r="MFO1518"/>
      <c r="MFP1518"/>
      <c r="MFQ1518"/>
      <c r="MFR1518"/>
      <c r="MFS1518"/>
      <c r="MFT1518"/>
      <c r="MFU1518"/>
      <c r="MFV1518"/>
      <c r="MFW1518"/>
      <c r="MFX1518"/>
      <c r="MFY1518"/>
      <c r="MFZ1518"/>
      <c r="MGA1518"/>
      <c r="MGB1518"/>
      <c r="MGC1518"/>
      <c r="MGD1518"/>
      <c r="MGE1518"/>
      <c r="MGF1518"/>
      <c r="MGG1518"/>
      <c r="MGH1518"/>
      <c r="MGI1518"/>
      <c r="MGJ1518"/>
      <c r="MGK1518"/>
      <c r="MGL1518"/>
      <c r="MGM1518"/>
      <c r="MGN1518"/>
      <c r="MGO1518"/>
      <c r="MGP1518"/>
      <c r="MGQ1518"/>
      <c r="MGR1518"/>
      <c r="MGS1518"/>
      <c r="MGT1518"/>
      <c r="MGU1518"/>
      <c r="MGV1518"/>
      <c r="MGW1518"/>
      <c r="MGX1518"/>
      <c r="MGY1518"/>
      <c r="MGZ1518"/>
      <c r="MHA1518"/>
      <c r="MHB1518"/>
      <c r="MHC1518"/>
      <c r="MHD1518"/>
      <c r="MHE1518"/>
      <c r="MHF1518"/>
      <c r="MHG1518"/>
      <c r="MHH1518"/>
      <c r="MHI1518"/>
      <c r="MHJ1518"/>
      <c r="MHK1518"/>
      <c r="MHL1518"/>
      <c r="MHM1518"/>
      <c r="MHN1518"/>
      <c r="MHO1518"/>
      <c r="MHP1518"/>
      <c r="MHQ1518"/>
      <c r="MHR1518"/>
      <c r="MHS1518"/>
      <c r="MHT1518"/>
      <c r="MHU1518"/>
      <c r="MHV1518"/>
      <c r="MHW1518"/>
      <c r="MHX1518"/>
      <c r="MHY1518"/>
      <c r="MHZ1518"/>
      <c r="MIA1518"/>
      <c r="MIB1518"/>
      <c r="MIC1518"/>
      <c r="MID1518"/>
      <c r="MIE1518"/>
      <c r="MIF1518"/>
      <c r="MIG1518"/>
      <c r="MIH1518"/>
      <c r="MII1518"/>
      <c r="MIJ1518"/>
      <c r="MIK1518"/>
      <c r="MIL1518"/>
      <c r="MIM1518"/>
      <c r="MIN1518"/>
      <c r="MIO1518"/>
      <c r="MIP1518"/>
      <c r="MIQ1518"/>
      <c r="MIR1518"/>
      <c r="MIS1518"/>
      <c r="MIT1518"/>
      <c r="MIU1518"/>
      <c r="MIV1518"/>
      <c r="MIW1518"/>
      <c r="MIX1518"/>
      <c r="MIY1518"/>
      <c r="MIZ1518"/>
      <c r="MJA1518"/>
      <c r="MJB1518"/>
      <c r="MJC1518"/>
      <c r="MJD1518"/>
      <c r="MJE1518"/>
      <c r="MJF1518"/>
      <c r="MJG1518"/>
      <c r="MJH1518"/>
      <c r="MJI1518"/>
      <c r="MJJ1518"/>
      <c r="MJK1518"/>
      <c r="MJL1518"/>
      <c r="MJM1518"/>
      <c r="MJN1518"/>
      <c r="MJO1518"/>
      <c r="MJP1518"/>
      <c r="MJQ1518"/>
      <c r="MJR1518"/>
      <c r="MJS1518"/>
      <c r="MJT1518"/>
      <c r="MJU1518"/>
      <c r="MJV1518"/>
      <c r="MJW1518"/>
      <c r="MJX1518"/>
      <c r="MJY1518"/>
      <c r="MJZ1518"/>
      <c r="MKA1518"/>
      <c r="MKB1518"/>
      <c r="MKC1518"/>
      <c r="MKD1518"/>
      <c r="MKE1518"/>
      <c r="MKF1518"/>
      <c r="MKG1518"/>
      <c r="MKH1518"/>
      <c r="MKI1518"/>
      <c r="MKJ1518"/>
      <c r="MKK1518"/>
      <c r="MKL1518"/>
      <c r="MKM1518"/>
      <c r="MKN1518"/>
      <c r="MKO1518"/>
      <c r="MKP1518"/>
      <c r="MKQ1518"/>
      <c r="MKR1518"/>
      <c r="MKS1518"/>
      <c r="MKT1518"/>
      <c r="MKU1518"/>
      <c r="MKV1518"/>
      <c r="MKW1518"/>
      <c r="MKX1518"/>
      <c r="MKY1518"/>
      <c r="MKZ1518"/>
      <c r="MLA1518"/>
      <c r="MLB1518"/>
      <c r="MLC1518"/>
      <c r="MLD1518"/>
      <c r="MLE1518"/>
      <c r="MLF1518"/>
      <c r="MLG1518"/>
      <c r="MLH1518"/>
      <c r="MLI1518"/>
      <c r="MLJ1518"/>
      <c r="MLK1518"/>
      <c r="MLL1518"/>
      <c r="MLM1518"/>
      <c r="MLN1518"/>
      <c r="MLO1518"/>
      <c r="MLP1518"/>
      <c r="MLQ1518"/>
      <c r="MLR1518"/>
      <c r="MLS1518"/>
      <c r="MLT1518"/>
      <c r="MLU1518"/>
      <c r="MLV1518"/>
      <c r="MLW1518"/>
      <c r="MLX1518"/>
      <c r="MLY1518"/>
      <c r="MLZ1518"/>
      <c r="MMA1518"/>
      <c r="MMB1518"/>
      <c r="MMC1518"/>
      <c r="MMD1518"/>
      <c r="MME1518"/>
      <c r="MMF1518"/>
      <c r="MMG1518"/>
      <c r="MMH1518"/>
      <c r="MMI1518"/>
      <c r="MMJ1518"/>
      <c r="MMK1518"/>
      <c r="MML1518"/>
      <c r="MMM1518"/>
      <c r="MMN1518"/>
      <c r="MMO1518"/>
      <c r="MMP1518"/>
      <c r="MMQ1518"/>
      <c r="MMR1518"/>
      <c r="MMS1518"/>
      <c r="MMT1518"/>
      <c r="MMU1518"/>
      <c r="MMV1518"/>
      <c r="MMW1518"/>
      <c r="MMX1518"/>
      <c r="MMY1518"/>
      <c r="MMZ1518"/>
      <c r="MNA1518"/>
      <c r="MNB1518"/>
      <c r="MNC1518"/>
      <c r="MND1518"/>
      <c r="MNE1518"/>
      <c r="MNF1518"/>
      <c r="MNG1518"/>
      <c r="MNH1518"/>
      <c r="MNI1518"/>
      <c r="MNJ1518"/>
      <c r="MNK1518"/>
      <c r="MNL1518"/>
      <c r="MNM1518"/>
      <c r="MNN1518"/>
      <c r="MNO1518"/>
      <c r="MNP1518"/>
      <c r="MNQ1518"/>
      <c r="MNR1518"/>
      <c r="MNS1518"/>
      <c r="MNT1518"/>
      <c r="MNU1518"/>
      <c r="MNV1518"/>
      <c r="MNW1518"/>
      <c r="MNX1518"/>
      <c r="MNY1518"/>
      <c r="MNZ1518"/>
      <c r="MOA1518"/>
      <c r="MOB1518"/>
      <c r="MOC1518"/>
      <c r="MOD1518"/>
      <c r="MOE1518"/>
      <c r="MOF1518"/>
      <c r="MOG1518"/>
      <c r="MOH1518"/>
      <c r="MOI1518"/>
      <c r="MOJ1518"/>
      <c r="MOK1518"/>
      <c r="MOL1518"/>
      <c r="MOM1518"/>
      <c r="MON1518"/>
      <c r="MOO1518"/>
      <c r="MOP1518"/>
      <c r="MOQ1518"/>
      <c r="MOR1518"/>
      <c r="MOS1518"/>
      <c r="MOT1518"/>
      <c r="MOU1518"/>
      <c r="MOV1518"/>
      <c r="MOW1518"/>
      <c r="MOX1518"/>
      <c r="MOY1518"/>
      <c r="MOZ1518"/>
      <c r="MPA1518"/>
      <c r="MPB1518"/>
      <c r="MPC1518"/>
      <c r="MPD1518"/>
      <c r="MPE1518"/>
      <c r="MPF1518"/>
      <c r="MPG1518"/>
      <c r="MPH1518"/>
      <c r="MPI1518"/>
      <c r="MPJ1518"/>
      <c r="MPK1518"/>
      <c r="MPL1518"/>
      <c r="MPM1518"/>
      <c r="MPN1518"/>
      <c r="MPO1518"/>
      <c r="MPP1518"/>
      <c r="MPQ1518"/>
      <c r="MPR1518"/>
      <c r="MPS1518"/>
      <c r="MPT1518"/>
      <c r="MPU1518"/>
      <c r="MPV1518"/>
      <c r="MPW1518"/>
      <c r="MPX1518"/>
      <c r="MPY1518"/>
      <c r="MPZ1518"/>
      <c r="MQA1518"/>
      <c r="MQB1518"/>
      <c r="MQC1518"/>
      <c r="MQD1518"/>
      <c r="MQE1518"/>
      <c r="MQF1518"/>
      <c r="MQG1518"/>
      <c r="MQH1518"/>
      <c r="MQI1518"/>
      <c r="MQJ1518"/>
      <c r="MQK1518"/>
      <c r="MQL1518"/>
      <c r="MQM1518"/>
      <c r="MQN1518"/>
      <c r="MQO1518"/>
      <c r="MQP1518"/>
      <c r="MQQ1518"/>
      <c r="MQR1518"/>
      <c r="MQS1518"/>
      <c r="MQT1518"/>
      <c r="MQU1518"/>
      <c r="MQV1518"/>
      <c r="MQW1518"/>
      <c r="MQX1518"/>
      <c r="MQY1518"/>
      <c r="MQZ1518"/>
      <c r="MRA1518"/>
      <c r="MRB1518"/>
      <c r="MRC1518"/>
      <c r="MRD1518"/>
      <c r="MRE1518"/>
      <c r="MRF1518"/>
      <c r="MRG1518"/>
      <c r="MRH1518"/>
      <c r="MRI1518"/>
      <c r="MRJ1518"/>
      <c r="MRK1518"/>
      <c r="MRL1518"/>
      <c r="MRM1518"/>
      <c r="MRN1518"/>
      <c r="MRO1518"/>
      <c r="MRP1518"/>
      <c r="MRQ1518"/>
      <c r="MRR1518"/>
      <c r="MRS1518"/>
      <c r="MRT1518"/>
      <c r="MRU1518"/>
      <c r="MRV1518"/>
      <c r="MRW1518"/>
      <c r="MRX1518"/>
      <c r="MRY1518"/>
      <c r="MRZ1518"/>
      <c r="MSA1518"/>
      <c r="MSB1518"/>
      <c r="MSC1518"/>
      <c r="MSD1518"/>
      <c r="MSE1518"/>
      <c r="MSF1518"/>
      <c r="MSG1518"/>
      <c r="MSH1518"/>
      <c r="MSI1518"/>
      <c r="MSJ1518"/>
      <c r="MSK1518"/>
      <c r="MSL1518"/>
      <c r="MSM1518"/>
      <c r="MSN1518"/>
      <c r="MSO1518"/>
      <c r="MSP1518"/>
      <c r="MSQ1518"/>
      <c r="MSR1518"/>
      <c r="MSS1518"/>
      <c r="MST1518"/>
      <c r="MSU1518"/>
      <c r="MSV1518"/>
      <c r="MSW1518"/>
      <c r="MSX1518"/>
      <c r="MSY1518"/>
      <c r="MSZ1518"/>
      <c r="MTA1518"/>
      <c r="MTB1518"/>
      <c r="MTC1518"/>
      <c r="MTD1518"/>
      <c r="MTE1518"/>
      <c r="MTF1518"/>
      <c r="MTG1518"/>
      <c r="MTH1518"/>
      <c r="MTI1518"/>
      <c r="MTJ1518"/>
      <c r="MTK1518"/>
      <c r="MTL1518"/>
      <c r="MTM1518"/>
      <c r="MTN1518"/>
      <c r="MTO1518"/>
      <c r="MTP1518"/>
      <c r="MTQ1518"/>
      <c r="MTR1518"/>
      <c r="MTS1518"/>
      <c r="MTT1518"/>
      <c r="MTU1518"/>
      <c r="MTV1518"/>
      <c r="MTW1518"/>
      <c r="MTX1518"/>
      <c r="MTY1518"/>
      <c r="MTZ1518"/>
      <c r="MUA1518"/>
      <c r="MUB1518"/>
      <c r="MUC1518"/>
      <c r="MUD1518"/>
      <c r="MUE1518"/>
      <c r="MUF1518"/>
      <c r="MUG1518"/>
      <c r="MUH1518"/>
      <c r="MUI1518"/>
      <c r="MUJ1518"/>
      <c r="MUK1518"/>
      <c r="MUL1518"/>
      <c r="MUM1518"/>
      <c r="MUN1518"/>
      <c r="MUO1518"/>
      <c r="MUP1518"/>
      <c r="MUQ1518"/>
      <c r="MUR1518"/>
      <c r="MUS1518"/>
      <c r="MUT1518"/>
      <c r="MUU1518"/>
      <c r="MUV1518"/>
      <c r="MUW1518"/>
      <c r="MUX1518"/>
      <c r="MUY1518"/>
      <c r="MUZ1518"/>
      <c r="MVA1518"/>
      <c r="MVB1518"/>
      <c r="MVC1518"/>
      <c r="MVD1518"/>
      <c r="MVE1518"/>
      <c r="MVF1518"/>
      <c r="MVG1518"/>
      <c r="MVH1518"/>
      <c r="MVI1518"/>
      <c r="MVJ1518"/>
      <c r="MVK1518"/>
      <c r="MVL1518"/>
      <c r="MVM1518"/>
      <c r="MVN1518"/>
      <c r="MVO1518"/>
      <c r="MVP1518"/>
      <c r="MVQ1518"/>
      <c r="MVR1518"/>
      <c r="MVS1518"/>
      <c r="MVT1518"/>
      <c r="MVU1518"/>
      <c r="MVV1518"/>
      <c r="MVW1518"/>
      <c r="MVX1518"/>
      <c r="MVY1518"/>
      <c r="MVZ1518"/>
      <c r="MWA1518"/>
      <c r="MWB1518"/>
      <c r="MWC1518"/>
      <c r="MWD1518"/>
      <c r="MWE1518"/>
      <c r="MWF1518"/>
      <c r="MWG1518"/>
      <c r="MWH1518"/>
      <c r="MWI1518"/>
      <c r="MWJ1518"/>
      <c r="MWK1518"/>
      <c r="MWL1518"/>
      <c r="MWM1518"/>
      <c r="MWN1518"/>
      <c r="MWO1518"/>
      <c r="MWP1518"/>
      <c r="MWQ1518"/>
      <c r="MWR1518"/>
      <c r="MWS1518"/>
      <c r="MWT1518"/>
      <c r="MWU1518"/>
      <c r="MWV1518"/>
      <c r="MWW1518"/>
      <c r="MWX1518"/>
      <c r="MWY1518"/>
      <c r="MWZ1518"/>
      <c r="MXA1518"/>
      <c r="MXB1518"/>
      <c r="MXC1518"/>
      <c r="MXD1518"/>
      <c r="MXE1518"/>
      <c r="MXF1518"/>
      <c r="MXG1518"/>
      <c r="MXH1518"/>
      <c r="MXI1518"/>
      <c r="MXJ1518"/>
      <c r="MXK1518"/>
      <c r="MXL1518"/>
      <c r="MXM1518"/>
      <c r="MXN1518"/>
      <c r="MXO1518"/>
      <c r="MXP1518"/>
      <c r="MXQ1518"/>
      <c r="MXR1518"/>
      <c r="MXS1518"/>
      <c r="MXT1518"/>
      <c r="MXU1518"/>
      <c r="MXV1518"/>
      <c r="MXW1518"/>
      <c r="MXX1518"/>
      <c r="MXY1518"/>
      <c r="MXZ1518"/>
      <c r="MYA1518"/>
      <c r="MYB1518"/>
      <c r="MYC1518"/>
      <c r="MYD1518"/>
      <c r="MYE1518"/>
      <c r="MYF1518"/>
      <c r="MYG1518"/>
      <c r="MYH1518"/>
      <c r="MYI1518"/>
      <c r="MYJ1518"/>
      <c r="MYK1518"/>
      <c r="MYL1518"/>
      <c r="MYM1518"/>
      <c r="MYN1518"/>
      <c r="MYO1518"/>
      <c r="MYP1518"/>
      <c r="MYQ1518"/>
      <c r="MYR1518"/>
      <c r="MYS1518"/>
      <c r="MYT1518"/>
      <c r="MYU1518"/>
      <c r="MYV1518"/>
      <c r="MYW1518"/>
      <c r="MYX1518"/>
      <c r="MYY1518"/>
      <c r="MYZ1518"/>
      <c r="MZA1518"/>
      <c r="MZB1518"/>
      <c r="MZC1518"/>
      <c r="MZD1518"/>
      <c r="MZE1518"/>
      <c r="MZF1518"/>
      <c r="MZG1518"/>
      <c r="MZH1518"/>
      <c r="MZI1518"/>
      <c r="MZJ1518"/>
      <c r="MZK1518"/>
      <c r="MZL1518"/>
      <c r="MZM1518"/>
      <c r="MZN1518"/>
      <c r="MZO1518"/>
      <c r="MZP1518"/>
      <c r="MZQ1518"/>
      <c r="MZR1518"/>
      <c r="MZS1518"/>
      <c r="MZT1518"/>
      <c r="MZU1518"/>
      <c r="MZV1518"/>
      <c r="MZW1518"/>
      <c r="MZX1518"/>
      <c r="MZY1518"/>
      <c r="MZZ1518"/>
      <c r="NAA1518"/>
      <c r="NAB1518"/>
      <c r="NAC1518"/>
      <c r="NAD1518"/>
      <c r="NAE1518"/>
      <c r="NAF1518"/>
      <c r="NAG1518"/>
      <c r="NAH1518"/>
      <c r="NAI1518"/>
      <c r="NAJ1518"/>
      <c r="NAK1518"/>
      <c r="NAL1518"/>
      <c r="NAM1518"/>
      <c r="NAN1518"/>
      <c r="NAO1518"/>
      <c r="NAP1518"/>
      <c r="NAQ1518"/>
      <c r="NAR1518"/>
      <c r="NAS1518"/>
      <c r="NAT1518"/>
      <c r="NAU1518"/>
      <c r="NAV1518"/>
      <c r="NAW1518"/>
      <c r="NAX1518"/>
      <c r="NAY1518"/>
      <c r="NAZ1518"/>
      <c r="NBA1518"/>
      <c r="NBB1518"/>
      <c r="NBC1518"/>
      <c r="NBD1518"/>
      <c r="NBE1518"/>
      <c r="NBF1518"/>
      <c r="NBG1518"/>
      <c r="NBH1518"/>
      <c r="NBI1518"/>
      <c r="NBJ1518"/>
      <c r="NBK1518"/>
      <c r="NBL1518"/>
      <c r="NBM1518"/>
      <c r="NBN1518"/>
      <c r="NBO1518"/>
      <c r="NBP1518"/>
      <c r="NBQ1518"/>
      <c r="NBR1518"/>
      <c r="NBS1518"/>
      <c r="NBT1518"/>
      <c r="NBU1518"/>
      <c r="NBV1518"/>
      <c r="NBW1518"/>
      <c r="NBX1518"/>
      <c r="NBY1518"/>
      <c r="NBZ1518"/>
      <c r="NCA1518"/>
      <c r="NCB1518"/>
      <c r="NCC1518"/>
      <c r="NCD1518"/>
      <c r="NCE1518"/>
      <c r="NCF1518"/>
      <c r="NCG1518"/>
      <c r="NCH1518"/>
      <c r="NCI1518"/>
      <c r="NCJ1518"/>
      <c r="NCK1518"/>
      <c r="NCL1518"/>
      <c r="NCM1518"/>
      <c r="NCN1518"/>
      <c r="NCO1518"/>
      <c r="NCP1518"/>
      <c r="NCQ1518"/>
      <c r="NCR1518"/>
      <c r="NCS1518"/>
      <c r="NCT1518"/>
      <c r="NCU1518"/>
      <c r="NCV1518"/>
      <c r="NCW1518"/>
      <c r="NCX1518"/>
      <c r="NCY1518"/>
      <c r="NCZ1518"/>
      <c r="NDA1518"/>
      <c r="NDB1518"/>
      <c r="NDC1518"/>
      <c r="NDD1518"/>
      <c r="NDE1518"/>
      <c r="NDF1518"/>
      <c r="NDG1518"/>
      <c r="NDH1518"/>
      <c r="NDI1518"/>
      <c r="NDJ1518"/>
      <c r="NDK1518"/>
      <c r="NDL1518"/>
      <c r="NDM1518"/>
      <c r="NDN1518"/>
      <c r="NDO1518"/>
      <c r="NDP1518"/>
      <c r="NDQ1518"/>
      <c r="NDR1518"/>
      <c r="NDS1518"/>
      <c r="NDT1518"/>
      <c r="NDU1518"/>
      <c r="NDV1518"/>
      <c r="NDW1518"/>
      <c r="NDX1518"/>
      <c r="NDY1518"/>
      <c r="NDZ1518"/>
      <c r="NEA1518"/>
      <c r="NEB1518"/>
      <c r="NEC1518"/>
      <c r="NED1518"/>
      <c r="NEE1518"/>
      <c r="NEF1518"/>
      <c r="NEG1518"/>
      <c r="NEH1518"/>
      <c r="NEI1518"/>
      <c r="NEJ1518"/>
      <c r="NEK1518"/>
      <c r="NEL1518"/>
      <c r="NEM1518"/>
      <c r="NEN1518"/>
      <c r="NEO1518"/>
      <c r="NEP1518"/>
      <c r="NEQ1518"/>
      <c r="NER1518"/>
      <c r="NES1518"/>
      <c r="NET1518"/>
      <c r="NEU1518"/>
      <c r="NEV1518"/>
      <c r="NEW1518"/>
      <c r="NEX1518"/>
      <c r="NEY1518"/>
      <c r="NEZ1518"/>
      <c r="NFA1518"/>
      <c r="NFB1518"/>
      <c r="NFC1518"/>
      <c r="NFD1518"/>
      <c r="NFE1518"/>
      <c r="NFF1518"/>
      <c r="NFG1518"/>
      <c r="NFH1518"/>
      <c r="NFI1518"/>
      <c r="NFJ1518"/>
      <c r="NFK1518"/>
      <c r="NFL1518"/>
      <c r="NFM1518"/>
      <c r="NFN1518"/>
      <c r="NFO1518"/>
      <c r="NFP1518"/>
      <c r="NFQ1518"/>
      <c r="NFR1518"/>
      <c r="NFS1518"/>
      <c r="NFT1518"/>
      <c r="NFU1518"/>
      <c r="NFV1518"/>
      <c r="NFW1518"/>
      <c r="NFX1518"/>
      <c r="NFY1518"/>
      <c r="NFZ1518"/>
      <c r="NGA1518"/>
      <c r="NGB1518"/>
      <c r="NGC1518"/>
      <c r="NGD1518"/>
      <c r="NGE1518"/>
      <c r="NGF1518"/>
      <c r="NGG1518"/>
      <c r="NGH1518"/>
      <c r="NGI1518"/>
      <c r="NGJ1518"/>
      <c r="NGK1518"/>
      <c r="NGL1518"/>
      <c r="NGM1518"/>
      <c r="NGN1518"/>
      <c r="NGO1518"/>
      <c r="NGP1518"/>
      <c r="NGQ1518"/>
      <c r="NGR1518"/>
      <c r="NGS1518"/>
      <c r="NGT1518"/>
      <c r="NGU1518"/>
      <c r="NGV1518"/>
      <c r="NGW1518"/>
      <c r="NGX1518"/>
      <c r="NGY1518"/>
      <c r="NGZ1518"/>
      <c r="NHA1518"/>
      <c r="NHB1518"/>
      <c r="NHC1518"/>
      <c r="NHD1518"/>
      <c r="NHE1518"/>
      <c r="NHF1518"/>
      <c r="NHG1518"/>
      <c r="NHH1518"/>
      <c r="NHI1518"/>
      <c r="NHJ1518"/>
      <c r="NHK1518"/>
      <c r="NHL1518"/>
      <c r="NHM1518"/>
      <c r="NHN1518"/>
      <c r="NHO1518"/>
      <c r="NHP1518"/>
      <c r="NHQ1518"/>
      <c r="NHR1518"/>
      <c r="NHS1518"/>
      <c r="NHT1518"/>
      <c r="NHU1518"/>
      <c r="NHV1518"/>
      <c r="NHW1518"/>
      <c r="NHX1518"/>
      <c r="NHY1518"/>
      <c r="NHZ1518"/>
      <c r="NIA1518"/>
      <c r="NIB1518"/>
      <c r="NIC1518"/>
      <c r="NID1518"/>
      <c r="NIE1518"/>
      <c r="NIF1518"/>
      <c r="NIG1518"/>
      <c r="NIH1518"/>
      <c r="NII1518"/>
      <c r="NIJ1518"/>
      <c r="NIK1518"/>
      <c r="NIL1518"/>
      <c r="NIM1518"/>
      <c r="NIN1518"/>
      <c r="NIO1518"/>
      <c r="NIP1518"/>
      <c r="NIQ1518"/>
      <c r="NIR1518"/>
      <c r="NIS1518"/>
      <c r="NIT1518"/>
      <c r="NIU1518"/>
      <c r="NIV1518"/>
      <c r="NIW1518"/>
      <c r="NIX1518"/>
      <c r="NIY1518"/>
      <c r="NIZ1518"/>
      <c r="NJA1518"/>
      <c r="NJB1518"/>
      <c r="NJC1518"/>
      <c r="NJD1518"/>
      <c r="NJE1518"/>
      <c r="NJF1518"/>
      <c r="NJG1518"/>
      <c r="NJH1518"/>
      <c r="NJI1518"/>
      <c r="NJJ1518"/>
      <c r="NJK1518"/>
      <c r="NJL1518"/>
      <c r="NJM1518"/>
      <c r="NJN1518"/>
      <c r="NJO1518"/>
      <c r="NJP1518"/>
      <c r="NJQ1518"/>
      <c r="NJR1518"/>
      <c r="NJS1518"/>
      <c r="NJT1518"/>
      <c r="NJU1518"/>
      <c r="NJV1518"/>
      <c r="NJW1518"/>
      <c r="NJX1518"/>
      <c r="NJY1518"/>
      <c r="NJZ1518"/>
      <c r="NKA1518"/>
      <c r="NKB1518"/>
      <c r="NKC1518"/>
      <c r="NKD1518"/>
      <c r="NKE1518"/>
      <c r="NKF1518"/>
      <c r="NKG1518"/>
      <c r="NKH1518"/>
      <c r="NKI1518"/>
      <c r="NKJ1518"/>
      <c r="NKK1518"/>
      <c r="NKL1518"/>
      <c r="NKM1518"/>
      <c r="NKN1518"/>
      <c r="NKO1518"/>
      <c r="NKP1518"/>
      <c r="NKQ1518"/>
      <c r="NKR1518"/>
      <c r="NKS1518"/>
      <c r="NKT1518"/>
      <c r="NKU1518"/>
      <c r="NKV1518"/>
      <c r="NKW1518"/>
      <c r="NKX1518"/>
      <c r="NKY1518"/>
      <c r="NKZ1518"/>
      <c r="NLA1518"/>
      <c r="NLB1518"/>
      <c r="NLC1518"/>
      <c r="NLD1518"/>
      <c r="NLE1518"/>
      <c r="NLF1518"/>
      <c r="NLG1518"/>
      <c r="NLH1518"/>
      <c r="NLI1518"/>
      <c r="NLJ1518"/>
      <c r="NLK1518"/>
      <c r="NLL1518"/>
      <c r="NLM1518"/>
      <c r="NLN1518"/>
      <c r="NLO1518"/>
      <c r="NLP1518"/>
      <c r="NLQ1518"/>
      <c r="NLR1518"/>
      <c r="NLS1518"/>
      <c r="NLT1518"/>
      <c r="NLU1518"/>
      <c r="NLV1518"/>
      <c r="NLW1518"/>
      <c r="NLX1518"/>
      <c r="NLY1518"/>
      <c r="NLZ1518"/>
      <c r="NMA1518"/>
      <c r="NMB1518"/>
      <c r="NMC1518"/>
      <c r="NMD1518"/>
      <c r="NME1518"/>
      <c r="NMF1518"/>
      <c r="NMG1518"/>
      <c r="NMH1518"/>
      <c r="NMI1518"/>
      <c r="NMJ1518"/>
      <c r="NMK1518"/>
      <c r="NML1518"/>
      <c r="NMM1518"/>
      <c r="NMN1518"/>
      <c r="NMO1518"/>
      <c r="NMP1518"/>
      <c r="NMQ1518"/>
      <c r="NMR1518"/>
      <c r="NMS1518"/>
      <c r="NMT1518"/>
      <c r="NMU1518"/>
      <c r="NMV1518"/>
      <c r="NMW1518"/>
      <c r="NMX1518"/>
      <c r="NMY1518"/>
      <c r="NMZ1518"/>
      <c r="NNA1518"/>
      <c r="NNB1518"/>
      <c r="NNC1518"/>
      <c r="NND1518"/>
      <c r="NNE1518"/>
      <c r="NNF1518"/>
      <c r="NNG1518"/>
      <c r="NNH1518"/>
      <c r="NNI1518"/>
      <c r="NNJ1518"/>
      <c r="NNK1518"/>
      <c r="NNL1518"/>
      <c r="NNM1518"/>
      <c r="NNN1518"/>
      <c r="NNO1518"/>
      <c r="NNP1518"/>
      <c r="NNQ1518"/>
      <c r="NNR1518"/>
      <c r="NNS1518"/>
      <c r="NNT1518"/>
      <c r="NNU1518"/>
      <c r="NNV1518"/>
      <c r="NNW1518"/>
      <c r="NNX1518"/>
      <c r="NNY1518"/>
      <c r="NNZ1518"/>
      <c r="NOA1518"/>
      <c r="NOB1518"/>
      <c r="NOC1518"/>
      <c r="NOD1518"/>
      <c r="NOE1518"/>
      <c r="NOF1518"/>
      <c r="NOG1518"/>
      <c r="NOH1518"/>
      <c r="NOI1518"/>
      <c r="NOJ1518"/>
      <c r="NOK1518"/>
      <c r="NOL1518"/>
      <c r="NOM1518"/>
      <c r="NON1518"/>
      <c r="NOO1518"/>
      <c r="NOP1518"/>
      <c r="NOQ1518"/>
      <c r="NOR1518"/>
      <c r="NOS1518"/>
      <c r="NOT1518"/>
      <c r="NOU1518"/>
      <c r="NOV1518"/>
      <c r="NOW1518"/>
      <c r="NOX1518"/>
      <c r="NOY1518"/>
      <c r="NOZ1518"/>
      <c r="NPA1518"/>
      <c r="NPB1518"/>
      <c r="NPC1518"/>
      <c r="NPD1518"/>
      <c r="NPE1518"/>
      <c r="NPF1518"/>
      <c r="NPG1518"/>
      <c r="NPH1518"/>
      <c r="NPI1518"/>
      <c r="NPJ1518"/>
      <c r="NPK1518"/>
      <c r="NPL1518"/>
      <c r="NPM1518"/>
      <c r="NPN1518"/>
      <c r="NPO1518"/>
      <c r="NPP1518"/>
      <c r="NPQ1518"/>
      <c r="NPR1518"/>
      <c r="NPS1518"/>
      <c r="NPT1518"/>
      <c r="NPU1518"/>
      <c r="NPV1518"/>
      <c r="NPW1518"/>
      <c r="NPX1518"/>
      <c r="NPY1518"/>
      <c r="NPZ1518"/>
      <c r="NQA1518"/>
      <c r="NQB1518"/>
      <c r="NQC1518"/>
      <c r="NQD1518"/>
      <c r="NQE1518"/>
      <c r="NQF1518"/>
      <c r="NQG1518"/>
      <c r="NQH1518"/>
      <c r="NQI1518"/>
      <c r="NQJ1518"/>
      <c r="NQK1518"/>
      <c r="NQL1518"/>
      <c r="NQM1518"/>
      <c r="NQN1518"/>
      <c r="NQO1518"/>
      <c r="NQP1518"/>
      <c r="NQQ1518"/>
      <c r="NQR1518"/>
      <c r="NQS1518"/>
      <c r="NQT1518"/>
      <c r="NQU1518"/>
      <c r="NQV1518"/>
      <c r="NQW1518"/>
      <c r="NQX1518"/>
      <c r="NQY1518"/>
      <c r="NQZ1518"/>
      <c r="NRA1518"/>
      <c r="NRB1518"/>
      <c r="NRC1518"/>
      <c r="NRD1518"/>
      <c r="NRE1518"/>
      <c r="NRF1518"/>
      <c r="NRG1518"/>
      <c r="NRH1518"/>
      <c r="NRI1518"/>
      <c r="NRJ1518"/>
      <c r="NRK1518"/>
      <c r="NRL1518"/>
      <c r="NRM1518"/>
      <c r="NRN1518"/>
      <c r="NRO1518"/>
      <c r="NRP1518"/>
      <c r="NRQ1518"/>
      <c r="NRR1518"/>
      <c r="NRS1518"/>
      <c r="NRT1518"/>
      <c r="NRU1518"/>
      <c r="NRV1518"/>
      <c r="NRW1518"/>
      <c r="NRX1518"/>
      <c r="NRY1518"/>
      <c r="NRZ1518"/>
      <c r="NSA1518"/>
      <c r="NSB1518"/>
      <c r="NSC1518"/>
      <c r="NSD1518"/>
      <c r="NSE1518"/>
      <c r="NSF1518"/>
      <c r="NSG1518"/>
      <c r="NSH1518"/>
      <c r="NSI1518"/>
      <c r="NSJ1518"/>
      <c r="NSK1518"/>
      <c r="NSL1518"/>
      <c r="NSM1518"/>
      <c r="NSN1518"/>
      <c r="NSO1518"/>
      <c r="NSP1518"/>
      <c r="NSQ1518"/>
      <c r="NSR1518"/>
      <c r="NSS1518"/>
      <c r="NST1518"/>
      <c r="NSU1518"/>
      <c r="NSV1518"/>
      <c r="NSW1518"/>
      <c r="NSX1518"/>
      <c r="NSY1518"/>
      <c r="NSZ1518"/>
      <c r="NTA1518"/>
      <c r="NTB1518"/>
      <c r="NTC1518"/>
      <c r="NTD1518"/>
      <c r="NTE1518"/>
      <c r="NTF1518"/>
      <c r="NTG1518"/>
      <c r="NTH1518"/>
      <c r="NTI1518"/>
      <c r="NTJ1518"/>
      <c r="NTK1518"/>
      <c r="NTL1518"/>
      <c r="NTM1518"/>
      <c r="NTN1518"/>
      <c r="NTO1518"/>
      <c r="NTP1518"/>
      <c r="NTQ1518"/>
      <c r="NTR1518"/>
      <c r="NTS1518"/>
      <c r="NTT1518"/>
      <c r="NTU1518"/>
      <c r="NTV1518"/>
      <c r="NTW1518"/>
      <c r="NTX1518"/>
      <c r="NTY1518"/>
      <c r="NTZ1518"/>
      <c r="NUA1518"/>
      <c r="NUB1518"/>
      <c r="NUC1518"/>
      <c r="NUD1518"/>
      <c r="NUE1518"/>
      <c r="NUF1518"/>
      <c r="NUG1518"/>
      <c r="NUH1518"/>
      <c r="NUI1518"/>
      <c r="NUJ1518"/>
      <c r="NUK1518"/>
      <c r="NUL1518"/>
      <c r="NUM1518"/>
      <c r="NUN1518"/>
      <c r="NUO1518"/>
      <c r="NUP1518"/>
      <c r="NUQ1518"/>
      <c r="NUR1518"/>
      <c r="NUS1518"/>
      <c r="NUT1518"/>
      <c r="NUU1518"/>
      <c r="NUV1518"/>
      <c r="NUW1518"/>
      <c r="NUX1518"/>
      <c r="NUY1518"/>
      <c r="NUZ1518"/>
      <c r="NVA1518"/>
      <c r="NVB1518"/>
      <c r="NVC1518"/>
      <c r="NVD1518"/>
      <c r="NVE1518"/>
      <c r="NVF1518"/>
      <c r="NVG1518"/>
      <c r="NVH1518"/>
      <c r="NVI1518"/>
      <c r="NVJ1518"/>
      <c r="NVK1518"/>
      <c r="NVL1518"/>
      <c r="NVM1518"/>
      <c r="NVN1518"/>
      <c r="NVO1518"/>
      <c r="NVP1518"/>
      <c r="NVQ1518"/>
      <c r="NVR1518"/>
      <c r="NVS1518"/>
      <c r="NVT1518"/>
      <c r="NVU1518"/>
      <c r="NVV1518"/>
      <c r="NVW1518"/>
      <c r="NVX1518"/>
      <c r="NVY1518"/>
      <c r="NVZ1518"/>
      <c r="NWA1518"/>
      <c r="NWB1518"/>
      <c r="NWC1518"/>
      <c r="NWD1518"/>
      <c r="NWE1518"/>
      <c r="NWF1518"/>
      <c r="NWG1518"/>
      <c r="NWH1518"/>
      <c r="NWI1518"/>
      <c r="NWJ1518"/>
      <c r="NWK1518"/>
      <c r="NWL1518"/>
      <c r="NWM1518"/>
      <c r="NWN1518"/>
      <c r="NWO1518"/>
      <c r="NWP1518"/>
      <c r="NWQ1518"/>
      <c r="NWR1518"/>
      <c r="NWS1518"/>
      <c r="NWT1518"/>
      <c r="NWU1518"/>
      <c r="NWV1518"/>
      <c r="NWW1518"/>
      <c r="NWX1518"/>
      <c r="NWY1518"/>
      <c r="NWZ1518"/>
      <c r="NXA1518"/>
      <c r="NXB1518"/>
      <c r="NXC1518"/>
      <c r="NXD1518"/>
      <c r="NXE1518"/>
      <c r="NXF1518"/>
      <c r="NXG1518"/>
      <c r="NXH1518"/>
      <c r="NXI1518"/>
      <c r="NXJ1518"/>
      <c r="NXK1518"/>
      <c r="NXL1518"/>
      <c r="NXM1518"/>
      <c r="NXN1518"/>
      <c r="NXO1518"/>
      <c r="NXP1518"/>
      <c r="NXQ1518"/>
      <c r="NXR1518"/>
      <c r="NXS1518"/>
      <c r="NXT1518"/>
      <c r="NXU1518"/>
      <c r="NXV1518"/>
      <c r="NXW1518"/>
      <c r="NXX1518"/>
      <c r="NXY1518"/>
      <c r="NXZ1518"/>
      <c r="NYA1518"/>
      <c r="NYB1518"/>
      <c r="NYC1518"/>
      <c r="NYD1518"/>
      <c r="NYE1518"/>
      <c r="NYF1518"/>
      <c r="NYG1518"/>
      <c r="NYH1518"/>
      <c r="NYI1518"/>
      <c r="NYJ1518"/>
      <c r="NYK1518"/>
      <c r="NYL1518"/>
      <c r="NYM1518"/>
      <c r="NYN1518"/>
      <c r="NYO1518"/>
      <c r="NYP1518"/>
      <c r="NYQ1518"/>
      <c r="NYR1518"/>
      <c r="NYS1518"/>
      <c r="NYT1518"/>
      <c r="NYU1518"/>
      <c r="NYV1518"/>
      <c r="NYW1518"/>
      <c r="NYX1518"/>
      <c r="NYY1518"/>
      <c r="NYZ1518"/>
      <c r="NZA1518"/>
      <c r="NZB1518"/>
      <c r="NZC1518"/>
      <c r="NZD1518"/>
      <c r="NZE1518"/>
      <c r="NZF1518"/>
      <c r="NZG1518"/>
      <c r="NZH1518"/>
      <c r="NZI1518"/>
      <c r="NZJ1518"/>
      <c r="NZK1518"/>
      <c r="NZL1518"/>
      <c r="NZM1518"/>
      <c r="NZN1518"/>
      <c r="NZO1518"/>
      <c r="NZP1518"/>
      <c r="NZQ1518"/>
      <c r="NZR1518"/>
      <c r="NZS1518"/>
      <c r="NZT1518"/>
      <c r="NZU1518"/>
      <c r="NZV1518"/>
      <c r="NZW1518"/>
      <c r="NZX1518"/>
      <c r="NZY1518"/>
      <c r="NZZ1518"/>
      <c r="OAA1518"/>
      <c r="OAB1518"/>
      <c r="OAC1518"/>
      <c r="OAD1518"/>
      <c r="OAE1518"/>
      <c r="OAF1518"/>
      <c r="OAG1518"/>
      <c r="OAH1518"/>
      <c r="OAI1518"/>
      <c r="OAJ1518"/>
      <c r="OAK1518"/>
      <c r="OAL1518"/>
      <c r="OAM1518"/>
      <c r="OAN1518"/>
      <c r="OAO1518"/>
      <c r="OAP1518"/>
      <c r="OAQ1518"/>
      <c r="OAR1518"/>
      <c r="OAS1518"/>
      <c r="OAT1518"/>
      <c r="OAU1518"/>
      <c r="OAV1518"/>
      <c r="OAW1518"/>
      <c r="OAX1518"/>
      <c r="OAY1518"/>
      <c r="OAZ1518"/>
      <c r="OBA1518"/>
      <c r="OBB1518"/>
      <c r="OBC1518"/>
      <c r="OBD1518"/>
      <c r="OBE1518"/>
      <c r="OBF1518"/>
      <c r="OBG1518"/>
      <c r="OBH1518"/>
      <c r="OBI1518"/>
      <c r="OBJ1518"/>
      <c r="OBK1518"/>
      <c r="OBL1518"/>
      <c r="OBM1518"/>
      <c r="OBN1518"/>
      <c r="OBO1518"/>
      <c r="OBP1518"/>
      <c r="OBQ1518"/>
      <c r="OBR1518"/>
      <c r="OBS1518"/>
      <c r="OBT1518"/>
      <c r="OBU1518"/>
      <c r="OBV1518"/>
      <c r="OBW1518"/>
      <c r="OBX1518"/>
      <c r="OBY1518"/>
      <c r="OBZ1518"/>
      <c r="OCA1518"/>
      <c r="OCB1518"/>
      <c r="OCC1518"/>
      <c r="OCD1518"/>
      <c r="OCE1518"/>
      <c r="OCF1518"/>
      <c r="OCG1518"/>
      <c r="OCH1518"/>
      <c r="OCI1518"/>
      <c r="OCJ1518"/>
      <c r="OCK1518"/>
      <c r="OCL1518"/>
      <c r="OCM1518"/>
      <c r="OCN1518"/>
      <c r="OCO1518"/>
      <c r="OCP1518"/>
      <c r="OCQ1518"/>
      <c r="OCR1518"/>
      <c r="OCS1518"/>
      <c r="OCT1518"/>
      <c r="OCU1518"/>
      <c r="OCV1518"/>
      <c r="OCW1518"/>
      <c r="OCX1518"/>
      <c r="OCY1518"/>
      <c r="OCZ1518"/>
      <c r="ODA1518"/>
      <c r="ODB1518"/>
      <c r="ODC1518"/>
      <c r="ODD1518"/>
      <c r="ODE1518"/>
      <c r="ODF1518"/>
      <c r="ODG1518"/>
      <c r="ODH1518"/>
      <c r="ODI1518"/>
      <c r="ODJ1518"/>
      <c r="ODK1518"/>
      <c r="ODL1518"/>
      <c r="ODM1518"/>
      <c r="ODN1518"/>
      <c r="ODO1518"/>
      <c r="ODP1518"/>
      <c r="ODQ1518"/>
      <c r="ODR1518"/>
      <c r="ODS1518"/>
      <c r="ODT1518"/>
      <c r="ODU1518"/>
      <c r="ODV1518"/>
      <c r="ODW1518"/>
      <c r="ODX1518"/>
      <c r="ODY1518"/>
      <c r="ODZ1518"/>
      <c r="OEA1518"/>
      <c r="OEB1518"/>
      <c r="OEC1518"/>
      <c r="OED1518"/>
      <c r="OEE1518"/>
      <c r="OEF1518"/>
      <c r="OEG1518"/>
      <c r="OEH1518"/>
      <c r="OEI1518"/>
      <c r="OEJ1518"/>
      <c r="OEK1518"/>
      <c r="OEL1518"/>
      <c r="OEM1518"/>
      <c r="OEN1518"/>
      <c r="OEO1518"/>
      <c r="OEP1518"/>
      <c r="OEQ1518"/>
      <c r="OER1518"/>
      <c r="OES1518"/>
      <c r="OET1518"/>
      <c r="OEU1518"/>
      <c r="OEV1518"/>
      <c r="OEW1518"/>
      <c r="OEX1518"/>
      <c r="OEY1518"/>
      <c r="OEZ1518"/>
      <c r="OFA1518"/>
      <c r="OFB1518"/>
      <c r="OFC1518"/>
      <c r="OFD1518"/>
      <c r="OFE1518"/>
      <c r="OFF1518"/>
      <c r="OFG1518"/>
      <c r="OFH1518"/>
      <c r="OFI1518"/>
      <c r="OFJ1518"/>
      <c r="OFK1518"/>
      <c r="OFL1518"/>
      <c r="OFM1518"/>
      <c r="OFN1518"/>
      <c r="OFO1518"/>
      <c r="OFP1518"/>
      <c r="OFQ1518"/>
      <c r="OFR1518"/>
      <c r="OFS1518"/>
      <c r="OFT1518"/>
      <c r="OFU1518"/>
      <c r="OFV1518"/>
      <c r="OFW1518"/>
      <c r="OFX1518"/>
      <c r="OFY1518"/>
      <c r="OFZ1518"/>
      <c r="OGA1518"/>
      <c r="OGB1518"/>
      <c r="OGC1518"/>
      <c r="OGD1518"/>
      <c r="OGE1518"/>
      <c r="OGF1518"/>
      <c r="OGG1518"/>
      <c r="OGH1518"/>
      <c r="OGI1518"/>
      <c r="OGJ1518"/>
      <c r="OGK1518"/>
      <c r="OGL1518"/>
      <c r="OGM1518"/>
      <c r="OGN1518"/>
      <c r="OGO1518"/>
      <c r="OGP1518"/>
      <c r="OGQ1518"/>
      <c r="OGR1518"/>
      <c r="OGS1518"/>
      <c r="OGT1518"/>
      <c r="OGU1518"/>
      <c r="OGV1518"/>
      <c r="OGW1518"/>
      <c r="OGX1518"/>
      <c r="OGY1518"/>
      <c r="OGZ1518"/>
      <c r="OHA1518"/>
      <c r="OHB1518"/>
      <c r="OHC1518"/>
      <c r="OHD1518"/>
      <c r="OHE1518"/>
      <c r="OHF1518"/>
      <c r="OHG1518"/>
      <c r="OHH1518"/>
      <c r="OHI1518"/>
      <c r="OHJ1518"/>
      <c r="OHK1518"/>
      <c r="OHL1518"/>
      <c r="OHM1518"/>
      <c r="OHN1518"/>
      <c r="OHO1518"/>
      <c r="OHP1518"/>
      <c r="OHQ1518"/>
      <c r="OHR1518"/>
      <c r="OHS1518"/>
      <c r="OHT1518"/>
      <c r="OHU1518"/>
      <c r="OHV1518"/>
      <c r="OHW1518"/>
      <c r="OHX1518"/>
      <c r="OHY1518"/>
      <c r="OHZ1518"/>
      <c r="OIA1518"/>
      <c r="OIB1518"/>
      <c r="OIC1518"/>
      <c r="OID1518"/>
      <c r="OIE1518"/>
      <c r="OIF1518"/>
      <c r="OIG1518"/>
      <c r="OIH1518"/>
      <c r="OII1518"/>
      <c r="OIJ1518"/>
      <c r="OIK1518"/>
      <c r="OIL1518"/>
      <c r="OIM1518"/>
      <c r="OIN1518"/>
      <c r="OIO1518"/>
      <c r="OIP1518"/>
      <c r="OIQ1518"/>
      <c r="OIR1518"/>
      <c r="OIS1518"/>
      <c r="OIT1518"/>
      <c r="OIU1518"/>
      <c r="OIV1518"/>
      <c r="OIW1518"/>
      <c r="OIX1518"/>
      <c r="OIY1518"/>
      <c r="OIZ1518"/>
      <c r="OJA1518"/>
      <c r="OJB1518"/>
      <c r="OJC1518"/>
      <c r="OJD1518"/>
      <c r="OJE1518"/>
      <c r="OJF1518"/>
      <c r="OJG1518"/>
      <c r="OJH1518"/>
      <c r="OJI1518"/>
      <c r="OJJ1518"/>
      <c r="OJK1518"/>
      <c r="OJL1518"/>
      <c r="OJM1518"/>
      <c r="OJN1518"/>
      <c r="OJO1518"/>
      <c r="OJP1518"/>
      <c r="OJQ1518"/>
      <c r="OJR1518"/>
      <c r="OJS1518"/>
      <c r="OJT1518"/>
      <c r="OJU1518"/>
      <c r="OJV1518"/>
      <c r="OJW1518"/>
      <c r="OJX1518"/>
      <c r="OJY1518"/>
      <c r="OJZ1518"/>
      <c r="OKA1518"/>
      <c r="OKB1518"/>
      <c r="OKC1518"/>
      <c r="OKD1518"/>
      <c r="OKE1518"/>
      <c r="OKF1518"/>
      <c r="OKG1518"/>
      <c r="OKH1518"/>
      <c r="OKI1518"/>
      <c r="OKJ1518"/>
      <c r="OKK1518"/>
      <c r="OKL1518"/>
      <c r="OKM1518"/>
      <c r="OKN1518"/>
      <c r="OKO1518"/>
      <c r="OKP1518"/>
      <c r="OKQ1518"/>
      <c r="OKR1518"/>
      <c r="OKS1518"/>
      <c r="OKT1518"/>
      <c r="OKU1518"/>
      <c r="OKV1518"/>
      <c r="OKW1518"/>
      <c r="OKX1518"/>
      <c r="OKY1518"/>
      <c r="OKZ1518"/>
      <c r="OLA1518"/>
      <c r="OLB1518"/>
      <c r="OLC1518"/>
      <c r="OLD1518"/>
      <c r="OLE1518"/>
      <c r="OLF1518"/>
      <c r="OLG1518"/>
      <c r="OLH1518"/>
      <c r="OLI1518"/>
      <c r="OLJ1518"/>
      <c r="OLK1518"/>
      <c r="OLL1518"/>
      <c r="OLM1518"/>
      <c r="OLN1518"/>
      <c r="OLO1518"/>
      <c r="OLP1518"/>
      <c r="OLQ1518"/>
      <c r="OLR1518"/>
      <c r="OLS1518"/>
      <c r="OLT1518"/>
      <c r="OLU1518"/>
      <c r="OLV1518"/>
      <c r="OLW1518"/>
      <c r="OLX1518"/>
      <c r="OLY1518"/>
      <c r="OLZ1518"/>
      <c r="OMA1518"/>
      <c r="OMB1518"/>
      <c r="OMC1518"/>
      <c r="OMD1518"/>
      <c r="OME1518"/>
      <c r="OMF1518"/>
      <c r="OMG1518"/>
      <c r="OMH1518"/>
      <c r="OMI1518"/>
      <c r="OMJ1518"/>
      <c r="OMK1518"/>
      <c r="OML1518"/>
      <c r="OMM1518"/>
      <c r="OMN1518"/>
      <c r="OMO1518"/>
      <c r="OMP1518"/>
      <c r="OMQ1518"/>
      <c r="OMR1518"/>
      <c r="OMS1518"/>
      <c r="OMT1518"/>
      <c r="OMU1518"/>
      <c r="OMV1518"/>
      <c r="OMW1518"/>
      <c r="OMX1518"/>
      <c r="OMY1518"/>
      <c r="OMZ1518"/>
      <c r="ONA1518"/>
      <c r="ONB1518"/>
      <c r="ONC1518"/>
      <c r="OND1518"/>
      <c r="ONE1518"/>
      <c r="ONF1518"/>
      <c r="ONG1518"/>
      <c r="ONH1518"/>
      <c r="ONI1518"/>
      <c r="ONJ1518"/>
      <c r="ONK1518"/>
      <c r="ONL1518"/>
      <c r="ONM1518"/>
      <c r="ONN1518"/>
      <c r="ONO1518"/>
      <c r="ONP1518"/>
      <c r="ONQ1518"/>
      <c r="ONR1518"/>
      <c r="ONS1518"/>
      <c r="ONT1518"/>
      <c r="ONU1518"/>
      <c r="ONV1518"/>
      <c r="ONW1518"/>
      <c r="ONX1518"/>
      <c r="ONY1518"/>
      <c r="ONZ1518"/>
      <c r="OOA1518"/>
      <c r="OOB1518"/>
      <c r="OOC1518"/>
      <c r="OOD1518"/>
      <c r="OOE1518"/>
      <c r="OOF1518"/>
      <c r="OOG1518"/>
      <c r="OOH1518"/>
      <c r="OOI1518"/>
      <c r="OOJ1518"/>
      <c r="OOK1518"/>
      <c r="OOL1518"/>
      <c r="OOM1518"/>
      <c r="OON1518"/>
      <c r="OOO1518"/>
      <c r="OOP1518"/>
      <c r="OOQ1518"/>
      <c r="OOR1518"/>
      <c r="OOS1518"/>
      <c r="OOT1518"/>
      <c r="OOU1518"/>
      <c r="OOV1518"/>
      <c r="OOW1518"/>
      <c r="OOX1518"/>
      <c r="OOY1518"/>
      <c r="OOZ1518"/>
      <c r="OPA1518"/>
      <c r="OPB1518"/>
      <c r="OPC1518"/>
      <c r="OPD1518"/>
      <c r="OPE1518"/>
      <c r="OPF1518"/>
      <c r="OPG1518"/>
      <c r="OPH1518"/>
      <c r="OPI1518"/>
      <c r="OPJ1518"/>
      <c r="OPK1518"/>
      <c r="OPL1518"/>
      <c r="OPM1518"/>
      <c r="OPN1518"/>
      <c r="OPO1518"/>
      <c r="OPP1518"/>
      <c r="OPQ1518"/>
      <c r="OPR1518"/>
      <c r="OPS1518"/>
      <c r="OPT1518"/>
      <c r="OPU1518"/>
      <c r="OPV1518"/>
      <c r="OPW1518"/>
      <c r="OPX1518"/>
      <c r="OPY1518"/>
      <c r="OPZ1518"/>
      <c r="OQA1518"/>
      <c r="OQB1518"/>
      <c r="OQC1518"/>
      <c r="OQD1518"/>
      <c r="OQE1518"/>
      <c r="OQF1518"/>
      <c r="OQG1518"/>
      <c r="OQH1518"/>
      <c r="OQI1518"/>
      <c r="OQJ1518"/>
      <c r="OQK1518"/>
      <c r="OQL1518"/>
      <c r="OQM1518"/>
      <c r="OQN1518"/>
      <c r="OQO1518"/>
      <c r="OQP1518"/>
      <c r="OQQ1518"/>
      <c r="OQR1518"/>
      <c r="OQS1518"/>
      <c r="OQT1518"/>
      <c r="OQU1518"/>
      <c r="OQV1518"/>
      <c r="OQW1518"/>
      <c r="OQX1518"/>
      <c r="OQY1518"/>
      <c r="OQZ1518"/>
      <c r="ORA1518"/>
      <c r="ORB1518"/>
      <c r="ORC1518"/>
      <c r="ORD1518"/>
      <c r="ORE1518"/>
      <c r="ORF1518"/>
      <c r="ORG1518"/>
      <c r="ORH1518"/>
      <c r="ORI1518"/>
      <c r="ORJ1518"/>
      <c r="ORK1518"/>
      <c r="ORL1518"/>
      <c r="ORM1518"/>
      <c r="ORN1518"/>
      <c r="ORO1518"/>
      <c r="ORP1518"/>
      <c r="ORQ1518"/>
      <c r="ORR1518"/>
      <c r="ORS1518"/>
      <c r="ORT1518"/>
      <c r="ORU1518"/>
      <c r="ORV1518"/>
      <c r="ORW1518"/>
      <c r="ORX1518"/>
      <c r="ORY1518"/>
      <c r="ORZ1518"/>
      <c r="OSA1518"/>
      <c r="OSB1518"/>
      <c r="OSC1518"/>
      <c r="OSD1518"/>
      <c r="OSE1518"/>
      <c r="OSF1518"/>
      <c r="OSG1518"/>
      <c r="OSH1518"/>
      <c r="OSI1518"/>
      <c r="OSJ1518"/>
      <c r="OSK1518"/>
      <c r="OSL1518"/>
      <c r="OSM1518"/>
      <c r="OSN1518"/>
      <c r="OSO1518"/>
      <c r="OSP1518"/>
      <c r="OSQ1518"/>
      <c r="OSR1518"/>
      <c r="OSS1518"/>
      <c r="OST1518"/>
      <c r="OSU1518"/>
      <c r="OSV1518"/>
      <c r="OSW1518"/>
      <c r="OSX1518"/>
      <c r="OSY1518"/>
      <c r="OSZ1518"/>
      <c r="OTA1518"/>
      <c r="OTB1518"/>
      <c r="OTC1518"/>
      <c r="OTD1518"/>
      <c r="OTE1518"/>
      <c r="OTF1518"/>
      <c r="OTG1518"/>
      <c r="OTH1518"/>
      <c r="OTI1518"/>
      <c r="OTJ1518"/>
      <c r="OTK1518"/>
      <c r="OTL1518"/>
      <c r="OTM1518"/>
      <c r="OTN1518"/>
      <c r="OTO1518"/>
      <c r="OTP1518"/>
      <c r="OTQ1518"/>
      <c r="OTR1518"/>
      <c r="OTS1518"/>
      <c r="OTT1518"/>
      <c r="OTU1518"/>
      <c r="OTV1518"/>
      <c r="OTW1518"/>
      <c r="OTX1518"/>
      <c r="OTY1518"/>
      <c r="OTZ1518"/>
      <c r="OUA1518"/>
      <c r="OUB1518"/>
      <c r="OUC1518"/>
      <c r="OUD1518"/>
      <c r="OUE1518"/>
      <c r="OUF1518"/>
      <c r="OUG1518"/>
      <c r="OUH1518"/>
      <c r="OUI1518"/>
      <c r="OUJ1518"/>
      <c r="OUK1518"/>
      <c r="OUL1518"/>
      <c r="OUM1518"/>
      <c r="OUN1518"/>
      <c r="OUO1518"/>
      <c r="OUP1518"/>
      <c r="OUQ1518"/>
      <c r="OUR1518"/>
      <c r="OUS1518"/>
      <c r="OUT1518"/>
      <c r="OUU1518"/>
      <c r="OUV1518"/>
      <c r="OUW1518"/>
      <c r="OUX1518"/>
      <c r="OUY1518"/>
      <c r="OUZ1518"/>
      <c r="OVA1518"/>
      <c r="OVB1518"/>
      <c r="OVC1518"/>
      <c r="OVD1518"/>
      <c r="OVE1518"/>
      <c r="OVF1518"/>
      <c r="OVG1518"/>
      <c r="OVH1518"/>
      <c r="OVI1518"/>
      <c r="OVJ1518"/>
      <c r="OVK1518"/>
      <c r="OVL1518"/>
      <c r="OVM1518"/>
      <c r="OVN1518"/>
      <c r="OVO1518"/>
      <c r="OVP1518"/>
      <c r="OVQ1518"/>
      <c r="OVR1518"/>
      <c r="OVS1518"/>
      <c r="OVT1518"/>
      <c r="OVU1518"/>
      <c r="OVV1518"/>
      <c r="OVW1518"/>
      <c r="OVX1518"/>
      <c r="OVY1518"/>
      <c r="OVZ1518"/>
      <c r="OWA1518"/>
      <c r="OWB1518"/>
      <c r="OWC1518"/>
      <c r="OWD1518"/>
      <c r="OWE1518"/>
      <c r="OWF1518"/>
      <c r="OWG1518"/>
      <c r="OWH1518"/>
      <c r="OWI1518"/>
      <c r="OWJ1518"/>
      <c r="OWK1518"/>
      <c r="OWL1518"/>
      <c r="OWM1518"/>
      <c r="OWN1518"/>
      <c r="OWO1518"/>
      <c r="OWP1518"/>
      <c r="OWQ1518"/>
      <c r="OWR1518"/>
      <c r="OWS1518"/>
      <c r="OWT1518"/>
      <c r="OWU1518"/>
      <c r="OWV1518"/>
      <c r="OWW1518"/>
      <c r="OWX1518"/>
      <c r="OWY1518"/>
      <c r="OWZ1518"/>
      <c r="OXA1518"/>
      <c r="OXB1518"/>
      <c r="OXC1518"/>
      <c r="OXD1518"/>
      <c r="OXE1518"/>
      <c r="OXF1518"/>
      <c r="OXG1518"/>
      <c r="OXH1518"/>
      <c r="OXI1518"/>
      <c r="OXJ1518"/>
      <c r="OXK1518"/>
      <c r="OXL1518"/>
      <c r="OXM1518"/>
      <c r="OXN1518"/>
      <c r="OXO1518"/>
      <c r="OXP1518"/>
      <c r="OXQ1518"/>
      <c r="OXR1518"/>
      <c r="OXS1518"/>
      <c r="OXT1518"/>
      <c r="OXU1518"/>
      <c r="OXV1518"/>
      <c r="OXW1518"/>
      <c r="OXX1518"/>
      <c r="OXY1518"/>
      <c r="OXZ1518"/>
      <c r="OYA1518"/>
      <c r="OYB1518"/>
      <c r="OYC1518"/>
      <c r="OYD1518"/>
      <c r="OYE1518"/>
      <c r="OYF1518"/>
      <c r="OYG1518"/>
      <c r="OYH1518"/>
      <c r="OYI1518"/>
      <c r="OYJ1518"/>
      <c r="OYK1518"/>
      <c r="OYL1518"/>
      <c r="OYM1518"/>
      <c r="OYN1518"/>
      <c r="OYO1518"/>
      <c r="OYP1518"/>
      <c r="OYQ1518"/>
      <c r="OYR1518"/>
      <c r="OYS1518"/>
      <c r="OYT1518"/>
      <c r="OYU1518"/>
      <c r="OYV1518"/>
      <c r="OYW1518"/>
      <c r="OYX1518"/>
      <c r="OYY1518"/>
      <c r="OYZ1518"/>
      <c r="OZA1518"/>
      <c r="OZB1518"/>
      <c r="OZC1518"/>
      <c r="OZD1518"/>
      <c r="OZE1518"/>
      <c r="OZF1518"/>
      <c r="OZG1518"/>
      <c r="OZH1518"/>
      <c r="OZI1518"/>
      <c r="OZJ1518"/>
      <c r="OZK1518"/>
      <c r="OZL1518"/>
      <c r="OZM1518"/>
      <c r="OZN1518"/>
      <c r="OZO1518"/>
      <c r="OZP1518"/>
      <c r="OZQ1518"/>
      <c r="OZR1518"/>
      <c r="OZS1518"/>
      <c r="OZT1518"/>
      <c r="OZU1518"/>
      <c r="OZV1518"/>
      <c r="OZW1518"/>
      <c r="OZX1518"/>
      <c r="OZY1518"/>
      <c r="OZZ1518"/>
      <c r="PAA1518"/>
      <c r="PAB1518"/>
      <c r="PAC1518"/>
      <c r="PAD1518"/>
      <c r="PAE1518"/>
      <c r="PAF1518"/>
      <c r="PAG1518"/>
      <c r="PAH1518"/>
      <c r="PAI1518"/>
      <c r="PAJ1518"/>
      <c r="PAK1518"/>
      <c r="PAL1518"/>
      <c r="PAM1518"/>
      <c r="PAN1518"/>
      <c r="PAO1518"/>
      <c r="PAP1518"/>
      <c r="PAQ1518"/>
      <c r="PAR1518"/>
      <c r="PAS1518"/>
      <c r="PAT1518"/>
      <c r="PAU1518"/>
      <c r="PAV1518"/>
      <c r="PAW1518"/>
      <c r="PAX1518"/>
      <c r="PAY1518"/>
      <c r="PAZ1518"/>
      <c r="PBA1518"/>
      <c r="PBB1518"/>
      <c r="PBC1518"/>
      <c r="PBD1518"/>
      <c r="PBE1518"/>
      <c r="PBF1518"/>
      <c r="PBG1518"/>
      <c r="PBH1518"/>
      <c r="PBI1518"/>
      <c r="PBJ1518"/>
      <c r="PBK1518"/>
      <c r="PBL1518"/>
      <c r="PBM1518"/>
      <c r="PBN1518"/>
      <c r="PBO1518"/>
      <c r="PBP1518"/>
      <c r="PBQ1518"/>
      <c r="PBR1518"/>
      <c r="PBS1518"/>
      <c r="PBT1518"/>
      <c r="PBU1518"/>
      <c r="PBV1518"/>
      <c r="PBW1518"/>
      <c r="PBX1518"/>
      <c r="PBY1518"/>
      <c r="PBZ1518"/>
      <c r="PCA1518"/>
      <c r="PCB1518"/>
      <c r="PCC1518"/>
      <c r="PCD1518"/>
      <c r="PCE1518"/>
      <c r="PCF1518"/>
      <c r="PCG1518"/>
      <c r="PCH1518"/>
      <c r="PCI1518"/>
      <c r="PCJ1518"/>
      <c r="PCK1518"/>
      <c r="PCL1518"/>
      <c r="PCM1518"/>
      <c r="PCN1518"/>
      <c r="PCO1518"/>
      <c r="PCP1518"/>
      <c r="PCQ1518"/>
      <c r="PCR1518"/>
      <c r="PCS1518"/>
      <c r="PCT1518"/>
      <c r="PCU1518"/>
      <c r="PCV1518"/>
      <c r="PCW1518"/>
      <c r="PCX1518"/>
      <c r="PCY1518"/>
      <c r="PCZ1518"/>
      <c r="PDA1518"/>
      <c r="PDB1518"/>
      <c r="PDC1518"/>
      <c r="PDD1518"/>
      <c r="PDE1518"/>
      <c r="PDF1518"/>
      <c r="PDG1518"/>
      <c r="PDH1518"/>
      <c r="PDI1518"/>
      <c r="PDJ1518"/>
      <c r="PDK1518"/>
      <c r="PDL1518"/>
      <c r="PDM1518"/>
      <c r="PDN1518"/>
      <c r="PDO1518"/>
      <c r="PDP1518"/>
      <c r="PDQ1518"/>
      <c r="PDR1518"/>
      <c r="PDS1518"/>
      <c r="PDT1518"/>
      <c r="PDU1518"/>
      <c r="PDV1518"/>
      <c r="PDW1518"/>
      <c r="PDX1518"/>
      <c r="PDY1518"/>
      <c r="PDZ1518"/>
      <c r="PEA1518"/>
      <c r="PEB1518"/>
      <c r="PEC1518"/>
      <c r="PED1518"/>
      <c r="PEE1518"/>
      <c r="PEF1518"/>
      <c r="PEG1518"/>
      <c r="PEH1518"/>
      <c r="PEI1518"/>
      <c r="PEJ1518"/>
      <c r="PEK1518"/>
      <c r="PEL1518"/>
      <c r="PEM1518"/>
      <c r="PEN1518"/>
      <c r="PEO1518"/>
      <c r="PEP1518"/>
      <c r="PEQ1518"/>
      <c r="PER1518"/>
      <c r="PES1518"/>
      <c r="PET1518"/>
      <c r="PEU1518"/>
      <c r="PEV1518"/>
      <c r="PEW1518"/>
      <c r="PEX1518"/>
      <c r="PEY1518"/>
      <c r="PEZ1518"/>
      <c r="PFA1518"/>
      <c r="PFB1518"/>
      <c r="PFC1518"/>
      <c r="PFD1518"/>
      <c r="PFE1518"/>
      <c r="PFF1518"/>
      <c r="PFG1518"/>
      <c r="PFH1518"/>
      <c r="PFI1518"/>
      <c r="PFJ1518"/>
      <c r="PFK1518"/>
      <c r="PFL1518"/>
      <c r="PFM1518"/>
      <c r="PFN1518"/>
      <c r="PFO1518"/>
      <c r="PFP1518"/>
      <c r="PFQ1518"/>
      <c r="PFR1518"/>
      <c r="PFS1518"/>
      <c r="PFT1518"/>
      <c r="PFU1518"/>
      <c r="PFV1518"/>
      <c r="PFW1518"/>
      <c r="PFX1518"/>
      <c r="PFY1518"/>
      <c r="PFZ1518"/>
      <c r="PGA1518"/>
      <c r="PGB1518"/>
      <c r="PGC1518"/>
      <c r="PGD1518"/>
      <c r="PGE1518"/>
      <c r="PGF1518"/>
      <c r="PGG1518"/>
      <c r="PGH1518"/>
      <c r="PGI1518"/>
      <c r="PGJ1518"/>
      <c r="PGK1518"/>
      <c r="PGL1518"/>
      <c r="PGM1518"/>
      <c r="PGN1518"/>
      <c r="PGO1518"/>
      <c r="PGP1518"/>
      <c r="PGQ1518"/>
      <c r="PGR1518"/>
      <c r="PGS1518"/>
      <c r="PGT1518"/>
      <c r="PGU1518"/>
      <c r="PGV1518"/>
      <c r="PGW1518"/>
      <c r="PGX1518"/>
      <c r="PGY1518"/>
      <c r="PGZ1518"/>
      <c r="PHA1518"/>
      <c r="PHB1518"/>
      <c r="PHC1518"/>
      <c r="PHD1518"/>
      <c r="PHE1518"/>
      <c r="PHF1518"/>
      <c r="PHG1518"/>
      <c r="PHH1518"/>
      <c r="PHI1518"/>
      <c r="PHJ1518"/>
      <c r="PHK1518"/>
      <c r="PHL1518"/>
      <c r="PHM1518"/>
      <c r="PHN1518"/>
      <c r="PHO1518"/>
      <c r="PHP1518"/>
      <c r="PHQ1518"/>
      <c r="PHR1518"/>
      <c r="PHS1518"/>
      <c r="PHT1518"/>
      <c r="PHU1518"/>
      <c r="PHV1518"/>
      <c r="PHW1518"/>
      <c r="PHX1518"/>
      <c r="PHY1518"/>
      <c r="PHZ1518"/>
      <c r="PIA1518"/>
      <c r="PIB1518"/>
      <c r="PIC1518"/>
      <c r="PID1518"/>
      <c r="PIE1518"/>
      <c r="PIF1518"/>
      <c r="PIG1518"/>
      <c r="PIH1518"/>
      <c r="PII1518"/>
      <c r="PIJ1518"/>
      <c r="PIK1518"/>
      <c r="PIL1518"/>
      <c r="PIM1518"/>
      <c r="PIN1518"/>
      <c r="PIO1518"/>
      <c r="PIP1518"/>
      <c r="PIQ1518"/>
      <c r="PIR1518"/>
      <c r="PIS1518"/>
      <c r="PIT1518"/>
      <c r="PIU1518"/>
      <c r="PIV1518"/>
      <c r="PIW1518"/>
      <c r="PIX1518"/>
      <c r="PIY1518"/>
      <c r="PIZ1518"/>
      <c r="PJA1518"/>
      <c r="PJB1518"/>
      <c r="PJC1518"/>
      <c r="PJD1518"/>
      <c r="PJE1518"/>
      <c r="PJF1518"/>
      <c r="PJG1518"/>
      <c r="PJH1518"/>
      <c r="PJI1518"/>
      <c r="PJJ1518"/>
      <c r="PJK1518"/>
      <c r="PJL1518"/>
      <c r="PJM1518"/>
      <c r="PJN1518"/>
      <c r="PJO1518"/>
      <c r="PJP1518"/>
      <c r="PJQ1518"/>
      <c r="PJR1518"/>
      <c r="PJS1518"/>
      <c r="PJT1518"/>
      <c r="PJU1518"/>
      <c r="PJV1518"/>
      <c r="PJW1518"/>
      <c r="PJX1518"/>
      <c r="PJY1518"/>
      <c r="PJZ1518"/>
      <c r="PKA1518"/>
      <c r="PKB1518"/>
      <c r="PKC1518"/>
      <c r="PKD1518"/>
      <c r="PKE1518"/>
      <c r="PKF1518"/>
      <c r="PKG1518"/>
      <c r="PKH1518"/>
      <c r="PKI1518"/>
      <c r="PKJ1518"/>
      <c r="PKK1518"/>
      <c r="PKL1518"/>
      <c r="PKM1518"/>
      <c r="PKN1518"/>
      <c r="PKO1518"/>
      <c r="PKP1518"/>
      <c r="PKQ1518"/>
      <c r="PKR1518"/>
      <c r="PKS1518"/>
      <c r="PKT1518"/>
      <c r="PKU1518"/>
      <c r="PKV1518"/>
      <c r="PKW1518"/>
      <c r="PKX1518"/>
      <c r="PKY1518"/>
      <c r="PKZ1518"/>
      <c r="PLA1518"/>
      <c r="PLB1518"/>
      <c r="PLC1518"/>
      <c r="PLD1518"/>
      <c r="PLE1518"/>
      <c r="PLF1518"/>
      <c r="PLG1518"/>
      <c r="PLH1518"/>
      <c r="PLI1518"/>
      <c r="PLJ1518"/>
      <c r="PLK1518"/>
      <c r="PLL1518"/>
      <c r="PLM1518"/>
      <c r="PLN1518"/>
      <c r="PLO1518"/>
      <c r="PLP1518"/>
      <c r="PLQ1518"/>
      <c r="PLR1518"/>
      <c r="PLS1518"/>
      <c r="PLT1518"/>
      <c r="PLU1518"/>
      <c r="PLV1518"/>
      <c r="PLW1518"/>
      <c r="PLX1518"/>
      <c r="PLY1518"/>
      <c r="PLZ1518"/>
      <c r="PMA1518"/>
      <c r="PMB1518"/>
      <c r="PMC1518"/>
      <c r="PMD1518"/>
      <c r="PME1518"/>
      <c r="PMF1518"/>
      <c r="PMG1518"/>
      <c r="PMH1518"/>
      <c r="PMI1518"/>
      <c r="PMJ1518"/>
      <c r="PMK1518"/>
      <c r="PML1518"/>
      <c r="PMM1518"/>
      <c r="PMN1518"/>
      <c r="PMO1518"/>
      <c r="PMP1518"/>
      <c r="PMQ1518"/>
      <c r="PMR1518"/>
      <c r="PMS1518"/>
      <c r="PMT1518"/>
      <c r="PMU1518"/>
      <c r="PMV1518"/>
      <c r="PMW1518"/>
      <c r="PMX1518"/>
      <c r="PMY1518"/>
      <c r="PMZ1518"/>
      <c r="PNA1518"/>
      <c r="PNB1518"/>
      <c r="PNC1518"/>
      <c r="PND1518"/>
      <c r="PNE1518"/>
      <c r="PNF1518"/>
      <c r="PNG1518"/>
      <c r="PNH1518"/>
      <c r="PNI1518"/>
      <c r="PNJ1518"/>
      <c r="PNK1518"/>
      <c r="PNL1518"/>
      <c r="PNM1518"/>
      <c r="PNN1518"/>
      <c r="PNO1518"/>
      <c r="PNP1518"/>
      <c r="PNQ1518"/>
      <c r="PNR1518"/>
      <c r="PNS1518"/>
      <c r="PNT1518"/>
      <c r="PNU1518"/>
      <c r="PNV1518"/>
      <c r="PNW1518"/>
      <c r="PNX1518"/>
      <c r="PNY1518"/>
      <c r="PNZ1518"/>
      <c r="POA1518"/>
      <c r="POB1518"/>
      <c r="POC1518"/>
      <c r="POD1518"/>
      <c r="POE1518"/>
      <c r="POF1518"/>
      <c r="POG1518"/>
      <c r="POH1518"/>
      <c r="POI1518"/>
      <c r="POJ1518"/>
      <c r="POK1518"/>
      <c r="POL1518"/>
      <c r="POM1518"/>
      <c r="PON1518"/>
      <c r="POO1518"/>
      <c r="POP1518"/>
      <c r="POQ1518"/>
      <c r="POR1518"/>
      <c r="POS1518"/>
      <c r="POT1518"/>
      <c r="POU1518"/>
      <c r="POV1518"/>
      <c r="POW1518"/>
      <c r="POX1518"/>
      <c r="POY1518"/>
      <c r="POZ1518"/>
      <c r="PPA1518"/>
      <c r="PPB1518"/>
      <c r="PPC1518"/>
      <c r="PPD1518"/>
      <c r="PPE1518"/>
      <c r="PPF1518"/>
      <c r="PPG1518"/>
      <c r="PPH1518"/>
      <c r="PPI1518"/>
      <c r="PPJ1518"/>
      <c r="PPK1518"/>
      <c r="PPL1518"/>
      <c r="PPM1518"/>
      <c r="PPN1518"/>
      <c r="PPO1518"/>
      <c r="PPP1518"/>
      <c r="PPQ1518"/>
      <c r="PPR1518"/>
      <c r="PPS1518"/>
      <c r="PPT1518"/>
      <c r="PPU1518"/>
      <c r="PPV1518"/>
      <c r="PPW1518"/>
      <c r="PPX1518"/>
      <c r="PPY1518"/>
      <c r="PPZ1518"/>
      <c r="PQA1518"/>
      <c r="PQB1518"/>
      <c r="PQC1518"/>
      <c r="PQD1518"/>
      <c r="PQE1518"/>
      <c r="PQF1518"/>
      <c r="PQG1518"/>
      <c r="PQH1518"/>
      <c r="PQI1518"/>
      <c r="PQJ1518"/>
      <c r="PQK1518"/>
      <c r="PQL1518"/>
      <c r="PQM1518"/>
      <c r="PQN1518"/>
      <c r="PQO1518"/>
      <c r="PQP1518"/>
      <c r="PQQ1518"/>
      <c r="PQR1518"/>
      <c r="PQS1518"/>
      <c r="PQT1518"/>
      <c r="PQU1518"/>
      <c r="PQV1518"/>
      <c r="PQW1518"/>
      <c r="PQX1518"/>
      <c r="PQY1518"/>
      <c r="PQZ1518"/>
      <c r="PRA1518"/>
      <c r="PRB1518"/>
      <c r="PRC1518"/>
      <c r="PRD1518"/>
      <c r="PRE1518"/>
      <c r="PRF1518"/>
      <c r="PRG1518"/>
      <c r="PRH1518"/>
      <c r="PRI1518"/>
      <c r="PRJ1518"/>
      <c r="PRK1518"/>
      <c r="PRL1518"/>
      <c r="PRM1518"/>
      <c r="PRN1518"/>
      <c r="PRO1518"/>
      <c r="PRP1518"/>
      <c r="PRQ1518"/>
      <c r="PRR1518"/>
      <c r="PRS1518"/>
      <c r="PRT1518"/>
      <c r="PRU1518"/>
      <c r="PRV1518"/>
      <c r="PRW1518"/>
      <c r="PRX1518"/>
      <c r="PRY1518"/>
      <c r="PRZ1518"/>
      <c r="PSA1518"/>
      <c r="PSB1518"/>
      <c r="PSC1518"/>
      <c r="PSD1518"/>
      <c r="PSE1518"/>
      <c r="PSF1518"/>
      <c r="PSG1518"/>
      <c r="PSH1518"/>
      <c r="PSI1518"/>
      <c r="PSJ1518"/>
      <c r="PSK1518"/>
      <c r="PSL1518"/>
      <c r="PSM1518"/>
      <c r="PSN1518"/>
      <c r="PSO1518"/>
      <c r="PSP1518"/>
      <c r="PSQ1518"/>
      <c r="PSR1518"/>
      <c r="PSS1518"/>
      <c r="PST1518"/>
      <c r="PSU1518"/>
      <c r="PSV1518"/>
      <c r="PSW1518"/>
      <c r="PSX1518"/>
      <c r="PSY1518"/>
      <c r="PSZ1518"/>
      <c r="PTA1518"/>
      <c r="PTB1518"/>
      <c r="PTC1518"/>
      <c r="PTD1518"/>
      <c r="PTE1518"/>
      <c r="PTF1518"/>
      <c r="PTG1518"/>
      <c r="PTH1518"/>
      <c r="PTI1518"/>
      <c r="PTJ1518"/>
      <c r="PTK1518"/>
      <c r="PTL1518"/>
      <c r="PTM1518"/>
      <c r="PTN1518"/>
      <c r="PTO1518"/>
      <c r="PTP1518"/>
      <c r="PTQ1518"/>
      <c r="PTR1518"/>
      <c r="PTS1518"/>
      <c r="PTT1518"/>
      <c r="PTU1518"/>
      <c r="PTV1518"/>
      <c r="PTW1518"/>
      <c r="PTX1518"/>
      <c r="PTY1518"/>
      <c r="PTZ1518"/>
      <c r="PUA1518"/>
      <c r="PUB1518"/>
      <c r="PUC1518"/>
      <c r="PUD1518"/>
      <c r="PUE1518"/>
      <c r="PUF1518"/>
      <c r="PUG1518"/>
      <c r="PUH1518"/>
      <c r="PUI1518"/>
      <c r="PUJ1518"/>
      <c r="PUK1518"/>
      <c r="PUL1518"/>
      <c r="PUM1518"/>
      <c r="PUN1518"/>
      <c r="PUO1518"/>
      <c r="PUP1518"/>
      <c r="PUQ1518"/>
      <c r="PUR1518"/>
      <c r="PUS1518"/>
      <c r="PUT1518"/>
      <c r="PUU1518"/>
      <c r="PUV1518"/>
      <c r="PUW1518"/>
      <c r="PUX1518"/>
      <c r="PUY1518"/>
      <c r="PUZ1518"/>
      <c r="PVA1518"/>
      <c r="PVB1518"/>
      <c r="PVC1518"/>
      <c r="PVD1518"/>
      <c r="PVE1518"/>
      <c r="PVF1518"/>
      <c r="PVG1518"/>
      <c r="PVH1518"/>
      <c r="PVI1518"/>
      <c r="PVJ1518"/>
      <c r="PVK1518"/>
      <c r="PVL1518"/>
      <c r="PVM1518"/>
      <c r="PVN1518"/>
      <c r="PVO1518"/>
      <c r="PVP1518"/>
      <c r="PVQ1518"/>
      <c r="PVR1518"/>
      <c r="PVS1518"/>
      <c r="PVT1518"/>
      <c r="PVU1518"/>
      <c r="PVV1518"/>
      <c r="PVW1518"/>
      <c r="PVX1518"/>
      <c r="PVY1518"/>
      <c r="PVZ1518"/>
      <c r="PWA1518"/>
      <c r="PWB1518"/>
      <c r="PWC1518"/>
      <c r="PWD1518"/>
      <c r="PWE1518"/>
      <c r="PWF1518"/>
      <c r="PWG1518"/>
      <c r="PWH1518"/>
      <c r="PWI1518"/>
      <c r="PWJ1518"/>
      <c r="PWK1518"/>
      <c r="PWL1518"/>
      <c r="PWM1518"/>
      <c r="PWN1518"/>
      <c r="PWO1518"/>
      <c r="PWP1518"/>
      <c r="PWQ1518"/>
      <c r="PWR1518"/>
      <c r="PWS1518"/>
      <c r="PWT1518"/>
      <c r="PWU1518"/>
      <c r="PWV1518"/>
      <c r="PWW1518"/>
      <c r="PWX1518"/>
      <c r="PWY1518"/>
      <c r="PWZ1518"/>
      <c r="PXA1518"/>
      <c r="PXB1518"/>
      <c r="PXC1518"/>
      <c r="PXD1518"/>
      <c r="PXE1518"/>
      <c r="PXF1518"/>
      <c r="PXG1518"/>
      <c r="PXH1518"/>
      <c r="PXI1518"/>
      <c r="PXJ1518"/>
      <c r="PXK1518"/>
      <c r="PXL1518"/>
      <c r="PXM1518"/>
      <c r="PXN1518"/>
      <c r="PXO1518"/>
      <c r="PXP1518"/>
      <c r="PXQ1518"/>
      <c r="PXR1518"/>
      <c r="PXS1518"/>
      <c r="PXT1518"/>
      <c r="PXU1518"/>
      <c r="PXV1518"/>
      <c r="PXW1518"/>
      <c r="PXX1518"/>
      <c r="PXY1518"/>
      <c r="PXZ1518"/>
      <c r="PYA1518"/>
      <c r="PYB1518"/>
      <c r="PYC1518"/>
      <c r="PYD1518"/>
      <c r="PYE1518"/>
      <c r="PYF1518"/>
      <c r="PYG1518"/>
      <c r="PYH1518"/>
      <c r="PYI1518"/>
      <c r="PYJ1518"/>
      <c r="PYK1518"/>
      <c r="PYL1518"/>
      <c r="PYM1518"/>
      <c r="PYN1518"/>
      <c r="PYO1518"/>
      <c r="PYP1518"/>
      <c r="PYQ1518"/>
      <c r="PYR1518"/>
      <c r="PYS1518"/>
      <c r="PYT1518"/>
      <c r="PYU1518"/>
      <c r="PYV1518"/>
      <c r="PYW1518"/>
      <c r="PYX1518"/>
      <c r="PYY1518"/>
      <c r="PYZ1518"/>
      <c r="PZA1518"/>
      <c r="PZB1518"/>
      <c r="PZC1518"/>
      <c r="PZD1518"/>
      <c r="PZE1518"/>
      <c r="PZF1518"/>
      <c r="PZG1518"/>
      <c r="PZH1518"/>
      <c r="PZI1518"/>
      <c r="PZJ1518"/>
      <c r="PZK1518"/>
      <c r="PZL1518"/>
      <c r="PZM1518"/>
      <c r="PZN1518"/>
      <c r="PZO1518"/>
      <c r="PZP1518"/>
      <c r="PZQ1518"/>
      <c r="PZR1518"/>
      <c r="PZS1518"/>
      <c r="PZT1518"/>
      <c r="PZU1518"/>
      <c r="PZV1518"/>
      <c r="PZW1518"/>
      <c r="PZX1518"/>
      <c r="PZY1518"/>
      <c r="PZZ1518"/>
      <c r="QAA1518"/>
      <c r="QAB1518"/>
      <c r="QAC1518"/>
      <c r="QAD1518"/>
      <c r="QAE1518"/>
      <c r="QAF1518"/>
      <c r="QAG1518"/>
      <c r="QAH1518"/>
      <c r="QAI1518"/>
      <c r="QAJ1518"/>
      <c r="QAK1518"/>
      <c r="QAL1518"/>
      <c r="QAM1518"/>
      <c r="QAN1518"/>
      <c r="QAO1518"/>
      <c r="QAP1518"/>
      <c r="QAQ1518"/>
      <c r="QAR1518"/>
      <c r="QAS1518"/>
      <c r="QAT1518"/>
      <c r="QAU1518"/>
      <c r="QAV1518"/>
      <c r="QAW1518"/>
      <c r="QAX1518"/>
      <c r="QAY1518"/>
      <c r="QAZ1518"/>
      <c r="QBA1518"/>
      <c r="QBB1518"/>
      <c r="QBC1518"/>
      <c r="QBD1518"/>
      <c r="QBE1518"/>
      <c r="QBF1518"/>
      <c r="QBG1518"/>
      <c r="QBH1518"/>
      <c r="QBI1518"/>
      <c r="QBJ1518"/>
      <c r="QBK1518"/>
      <c r="QBL1518"/>
      <c r="QBM1518"/>
      <c r="QBN1518"/>
      <c r="QBO1518"/>
      <c r="QBP1518"/>
      <c r="QBQ1518"/>
      <c r="QBR1518"/>
      <c r="QBS1518"/>
      <c r="QBT1518"/>
      <c r="QBU1518"/>
      <c r="QBV1518"/>
      <c r="QBW1518"/>
      <c r="QBX1518"/>
      <c r="QBY1518"/>
      <c r="QBZ1518"/>
      <c r="QCA1518"/>
      <c r="QCB1518"/>
      <c r="QCC1518"/>
      <c r="QCD1518"/>
      <c r="QCE1518"/>
      <c r="QCF1518"/>
      <c r="QCG1518"/>
      <c r="QCH1518"/>
      <c r="QCI1518"/>
      <c r="QCJ1518"/>
      <c r="QCK1518"/>
      <c r="QCL1518"/>
      <c r="QCM1518"/>
      <c r="QCN1518"/>
      <c r="QCO1518"/>
      <c r="QCP1518"/>
      <c r="QCQ1518"/>
      <c r="QCR1518"/>
      <c r="QCS1518"/>
      <c r="QCT1518"/>
      <c r="QCU1518"/>
      <c r="QCV1518"/>
      <c r="QCW1518"/>
      <c r="QCX1518"/>
      <c r="QCY1518"/>
      <c r="QCZ1518"/>
      <c r="QDA1518"/>
      <c r="QDB1518"/>
      <c r="QDC1518"/>
      <c r="QDD1518"/>
      <c r="QDE1518"/>
      <c r="QDF1518"/>
      <c r="QDG1518"/>
      <c r="QDH1518"/>
      <c r="QDI1518"/>
      <c r="QDJ1518"/>
      <c r="QDK1518"/>
      <c r="QDL1518"/>
      <c r="QDM1518"/>
      <c r="QDN1518"/>
      <c r="QDO1518"/>
      <c r="QDP1518"/>
      <c r="QDQ1518"/>
      <c r="QDR1518"/>
      <c r="QDS1518"/>
      <c r="QDT1518"/>
      <c r="QDU1518"/>
      <c r="QDV1518"/>
      <c r="QDW1518"/>
      <c r="QDX1518"/>
      <c r="QDY1518"/>
      <c r="QDZ1518"/>
      <c r="QEA1518"/>
      <c r="QEB1518"/>
      <c r="QEC1518"/>
      <c r="QED1518"/>
      <c r="QEE1518"/>
      <c r="QEF1518"/>
      <c r="QEG1518"/>
      <c r="QEH1518"/>
      <c r="QEI1518"/>
      <c r="QEJ1518"/>
      <c r="QEK1518"/>
      <c r="QEL1518"/>
      <c r="QEM1518"/>
      <c r="QEN1518"/>
      <c r="QEO1518"/>
      <c r="QEP1518"/>
      <c r="QEQ1518"/>
      <c r="QER1518"/>
      <c r="QES1518"/>
      <c r="QET1518"/>
      <c r="QEU1518"/>
      <c r="QEV1518"/>
      <c r="QEW1518"/>
      <c r="QEX1518"/>
      <c r="QEY1518"/>
      <c r="QEZ1518"/>
      <c r="QFA1518"/>
      <c r="QFB1518"/>
      <c r="QFC1518"/>
      <c r="QFD1518"/>
      <c r="QFE1518"/>
      <c r="QFF1518"/>
      <c r="QFG1518"/>
      <c r="QFH1518"/>
      <c r="QFI1518"/>
      <c r="QFJ1518"/>
      <c r="QFK1518"/>
      <c r="QFL1518"/>
      <c r="QFM1518"/>
      <c r="QFN1518"/>
      <c r="QFO1518"/>
      <c r="QFP1518"/>
      <c r="QFQ1518"/>
      <c r="QFR1518"/>
      <c r="QFS1518"/>
      <c r="QFT1518"/>
      <c r="QFU1518"/>
      <c r="QFV1518"/>
      <c r="QFW1518"/>
      <c r="QFX1518"/>
      <c r="QFY1518"/>
      <c r="QFZ1518"/>
      <c r="QGA1518"/>
      <c r="QGB1518"/>
      <c r="QGC1518"/>
      <c r="QGD1518"/>
      <c r="QGE1518"/>
      <c r="QGF1518"/>
      <c r="QGG1518"/>
      <c r="QGH1518"/>
      <c r="QGI1518"/>
      <c r="QGJ1518"/>
      <c r="QGK1518"/>
      <c r="QGL1518"/>
      <c r="QGM1518"/>
      <c r="QGN1518"/>
      <c r="QGO1518"/>
      <c r="QGP1518"/>
      <c r="QGQ1518"/>
      <c r="QGR1518"/>
      <c r="QGS1518"/>
      <c r="QGT1518"/>
      <c r="QGU1518"/>
      <c r="QGV1518"/>
      <c r="QGW1518"/>
      <c r="QGX1518"/>
      <c r="QGY1518"/>
      <c r="QGZ1518"/>
      <c r="QHA1518"/>
      <c r="QHB1518"/>
      <c r="QHC1518"/>
      <c r="QHD1518"/>
      <c r="QHE1518"/>
      <c r="QHF1518"/>
      <c r="QHG1518"/>
      <c r="QHH1518"/>
      <c r="QHI1518"/>
      <c r="QHJ1518"/>
      <c r="QHK1518"/>
      <c r="QHL1518"/>
      <c r="QHM1518"/>
      <c r="QHN1518"/>
      <c r="QHO1518"/>
      <c r="QHP1518"/>
      <c r="QHQ1518"/>
      <c r="QHR1518"/>
      <c r="QHS1518"/>
      <c r="QHT1518"/>
      <c r="QHU1518"/>
      <c r="QHV1518"/>
      <c r="QHW1518"/>
      <c r="QHX1518"/>
      <c r="QHY1518"/>
      <c r="QHZ1518"/>
      <c r="QIA1518"/>
      <c r="QIB1518"/>
      <c r="QIC1518"/>
      <c r="QID1518"/>
      <c r="QIE1518"/>
      <c r="QIF1518"/>
      <c r="QIG1518"/>
      <c r="QIH1518"/>
      <c r="QII1518"/>
      <c r="QIJ1518"/>
      <c r="QIK1518"/>
      <c r="QIL1518"/>
      <c r="QIM1518"/>
      <c r="QIN1518"/>
      <c r="QIO1518"/>
      <c r="QIP1518"/>
      <c r="QIQ1518"/>
      <c r="QIR1518"/>
      <c r="QIS1518"/>
      <c r="QIT1518"/>
      <c r="QIU1518"/>
      <c r="QIV1518"/>
      <c r="QIW1518"/>
      <c r="QIX1518"/>
      <c r="QIY1518"/>
      <c r="QIZ1518"/>
      <c r="QJA1518"/>
      <c r="QJB1518"/>
      <c r="QJC1518"/>
      <c r="QJD1518"/>
      <c r="QJE1518"/>
      <c r="QJF1518"/>
      <c r="QJG1518"/>
      <c r="QJH1518"/>
      <c r="QJI1518"/>
      <c r="QJJ1518"/>
      <c r="QJK1518"/>
      <c r="QJL1518"/>
      <c r="QJM1518"/>
      <c r="QJN1518"/>
      <c r="QJO1518"/>
      <c r="QJP1518"/>
      <c r="QJQ1518"/>
      <c r="QJR1518"/>
      <c r="QJS1518"/>
      <c r="QJT1518"/>
      <c r="QJU1518"/>
      <c r="QJV1518"/>
      <c r="QJW1518"/>
      <c r="QJX1518"/>
      <c r="QJY1518"/>
      <c r="QJZ1518"/>
      <c r="QKA1518"/>
      <c r="QKB1518"/>
      <c r="QKC1518"/>
      <c r="QKD1518"/>
      <c r="QKE1518"/>
      <c r="QKF1518"/>
      <c r="QKG1518"/>
      <c r="QKH1518"/>
      <c r="QKI1518"/>
      <c r="QKJ1518"/>
      <c r="QKK1518"/>
      <c r="QKL1518"/>
      <c r="QKM1518"/>
      <c r="QKN1518"/>
      <c r="QKO1518"/>
      <c r="QKP1518"/>
      <c r="QKQ1518"/>
      <c r="QKR1518"/>
      <c r="QKS1518"/>
      <c r="QKT1518"/>
      <c r="QKU1518"/>
      <c r="QKV1518"/>
      <c r="QKW1518"/>
      <c r="QKX1518"/>
      <c r="QKY1518"/>
      <c r="QKZ1518"/>
      <c r="QLA1518"/>
      <c r="QLB1518"/>
      <c r="QLC1518"/>
      <c r="QLD1518"/>
      <c r="QLE1518"/>
      <c r="QLF1518"/>
      <c r="QLG1518"/>
      <c r="QLH1518"/>
      <c r="QLI1518"/>
      <c r="QLJ1518"/>
      <c r="QLK1518"/>
      <c r="QLL1518"/>
      <c r="QLM1518"/>
      <c r="QLN1518"/>
      <c r="QLO1518"/>
      <c r="QLP1518"/>
      <c r="QLQ1518"/>
      <c r="QLR1518"/>
      <c r="QLS1518"/>
      <c r="QLT1518"/>
      <c r="QLU1518"/>
      <c r="QLV1518"/>
      <c r="QLW1518"/>
      <c r="QLX1518"/>
      <c r="QLY1518"/>
      <c r="QLZ1518"/>
      <c r="QMA1518"/>
      <c r="QMB1518"/>
      <c r="QMC1518"/>
      <c r="QMD1518"/>
      <c r="QME1518"/>
      <c r="QMF1518"/>
      <c r="QMG1518"/>
      <c r="QMH1518"/>
      <c r="QMI1518"/>
      <c r="QMJ1518"/>
      <c r="QMK1518"/>
      <c r="QML1518"/>
      <c r="QMM1518"/>
      <c r="QMN1518"/>
      <c r="QMO1518"/>
      <c r="QMP1518"/>
      <c r="QMQ1518"/>
      <c r="QMR1518"/>
      <c r="QMS1518"/>
      <c r="QMT1518"/>
      <c r="QMU1518"/>
      <c r="QMV1518"/>
      <c r="QMW1518"/>
      <c r="QMX1518"/>
      <c r="QMY1518"/>
      <c r="QMZ1518"/>
      <c r="QNA1518"/>
      <c r="QNB1518"/>
      <c r="QNC1518"/>
      <c r="QND1518"/>
      <c r="QNE1518"/>
      <c r="QNF1518"/>
      <c r="QNG1518"/>
      <c r="QNH1518"/>
      <c r="QNI1518"/>
      <c r="QNJ1518"/>
      <c r="QNK1518"/>
      <c r="QNL1518"/>
      <c r="QNM1518"/>
      <c r="QNN1518"/>
      <c r="QNO1518"/>
      <c r="QNP1518"/>
      <c r="QNQ1518"/>
      <c r="QNR1518"/>
      <c r="QNS1518"/>
      <c r="QNT1518"/>
      <c r="QNU1518"/>
      <c r="QNV1518"/>
      <c r="QNW1518"/>
      <c r="QNX1518"/>
      <c r="QNY1518"/>
      <c r="QNZ1518"/>
      <c r="QOA1518"/>
      <c r="QOB1518"/>
      <c r="QOC1518"/>
      <c r="QOD1518"/>
      <c r="QOE1518"/>
      <c r="QOF1518"/>
      <c r="QOG1518"/>
      <c r="QOH1518"/>
      <c r="QOI1518"/>
      <c r="QOJ1518"/>
      <c r="QOK1518"/>
      <c r="QOL1518"/>
      <c r="QOM1518"/>
      <c r="QON1518"/>
      <c r="QOO1518"/>
      <c r="QOP1518"/>
      <c r="QOQ1518"/>
      <c r="QOR1518"/>
      <c r="QOS1518"/>
      <c r="QOT1518"/>
      <c r="QOU1518"/>
      <c r="QOV1518"/>
      <c r="QOW1518"/>
      <c r="QOX1518"/>
      <c r="QOY1518"/>
      <c r="QOZ1518"/>
      <c r="QPA1518"/>
      <c r="QPB1518"/>
      <c r="QPC1518"/>
      <c r="QPD1518"/>
      <c r="QPE1518"/>
      <c r="QPF1518"/>
      <c r="QPG1518"/>
      <c r="QPH1518"/>
      <c r="QPI1518"/>
      <c r="QPJ1518"/>
      <c r="QPK1518"/>
      <c r="QPL1518"/>
      <c r="QPM1518"/>
      <c r="QPN1518"/>
      <c r="QPO1518"/>
      <c r="QPP1518"/>
      <c r="QPQ1518"/>
      <c r="QPR1518"/>
      <c r="QPS1518"/>
      <c r="QPT1518"/>
      <c r="QPU1518"/>
      <c r="QPV1518"/>
      <c r="QPW1518"/>
      <c r="QPX1518"/>
      <c r="QPY1518"/>
      <c r="QPZ1518"/>
      <c r="QQA1518"/>
      <c r="QQB1518"/>
      <c r="QQC1518"/>
      <c r="QQD1518"/>
      <c r="QQE1518"/>
      <c r="QQF1518"/>
      <c r="QQG1518"/>
      <c r="QQH1518"/>
      <c r="QQI1518"/>
      <c r="QQJ1518"/>
      <c r="QQK1518"/>
      <c r="QQL1518"/>
      <c r="QQM1518"/>
      <c r="QQN1518"/>
      <c r="QQO1518"/>
      <c r="QQP1518"/>
      <c r="QQQ1518"/>
      <c r="QQR1518"/>
      <c r="QQS1518"/>
      <c r="QQT1518"/>
      <c r="QQU1518"/>
      <c r="QQV1518"/>
      <c r="QQW1518"/>
      <c r="QQX1518"/>
      <c r="QQY1518"/>
      <c r="QQZ1518"/>
      <c r="QRA1518"/>
      <c r="QRB1518"/>
      <c r="QRC1518"/>
      <c r="QRD1518"/>
      <c r="QRE1518"/>
      <c r="QRF1518"/>
      <c r="QRG1518"/>
      <c r="QRH1518"/>
      <c r="QRI1518"/>
      <c r="QRJ1518"/>
      <c r="QRK1518"/>
      <c r="QRL1518"/>
      <c r="QRM1518"/>
      <c r="QRN1518"/>
      <c r="QRO1518"/>
      <c r="QRP1518"/>
      <c r="QRQ1518"/>
      <c r="QRR1518"/>
      <c r="QRS1518"/>
      <c r="QRT1518"/>
      <c r="QRU1518"/>
      <c r="QRV1518"/>
      <c r="QRW1518"/>
      <c r="QRX1518"/>
      <c r="QRY1518"/>
      <c r="QRZ1518"/>
      <c r="QSA1518"/>
      <c r="QSB1518"/>
      <c r="QSC1518"/>
      <c r="QSD1518"/>
      <c r="QSE1518"/>
      <c r="QSF1518"/>
      <c r="QSG1518"/>
      <c r="QSH1518"/>
      <c r="QSI1518"/>
      <c r="QSJ1518"/>
      <c r="QSK1518"/>
      <c r="QSL1518"/>
      <c r="QSM1518"/>
      <c r="QSN1518"/>
      <c r="QSO1518"/>
      <c r="QSP1518"/>
      <c r="QSQ1518"/>
      <c r="QSR1518"/>
      <c r="QSS1518"/>
      <c r="QST1518"/>
      <c r="QSU1518"/>
      <c r="QSV1518"/>
      <c r="QSW1518"/>
      <c r="QSX1518"/>
      <c r="QSY1518"/>
      <c r="QSZ1518"/>
      <c r="QTA1518"/>
      <c r="QTB1518"/>
      <c r="QTC1518"/>
      <c r="QTD1518"/>
      <c r="QTE1518"/>
      <c r="QTF1518"/>
      <c r="QTG1518"/>
      <c r="QTH1518"/>
      <c r="QTI1518"/>
      <c r="QTJ1518"/>
      <c r="QTK1518"/>
      <c r="QTL1518"/>
      <c r="QTM1518"/>
      <c r="QTN1518"/>
      <c r="QTO1518"/>
      <c r="QTP1518"/>
      <c r="QTQ1518"/>
      <c r="QTR1518"/>
      <c r="QTS1518"/>
      <c r="QTT1518"/>
      <c r="QTU1518"/>
      <c r="QTV1518"/>
      <c r="QTW1518"/>
      <c r="QTX1518"/>
      <c r="QTY1518"/>
      <c r="QTZ1518"/>
      <c r="QUA1518"/>
      <c r="QUB1518"/>
      <c r="QUC1518"/>
      <c r="QUD1518"/>
      <c r="QUE1518"/>
      <c r="QUF1518"/>
      <c r="QUG1518"/>
      <c r="QUH1518"/>
      <c r="QUI1518"/>
      <c r="QUJ1518"/>
      <c r="QUK1518"/>
      <c r="QUL1518"/>
      <c r="QUM1518"/>
      <c r="QUN1518"/>
      <c r="QUO1518"/>
      <c r="QUP1518"/>
      <c r="QUQ1518"/>
      <c r="QUR1518"/>
      <c r="QUS1518"/>
      <c r="QUT1518"/>
      <c r="QUU1518"/>
      <c r="QUV1518"/>
      <c r="QUW1518"/>
      <c r="QUX1518"/>
      <c r="QUY1518"/>
      <c r="QUZ1518"/>
      <c r="QVA1518"/>
      <c r="QVB1518"/>
      <c r="QVC1518"/>
      <c r="QVD1518"/>
      <c r="QVE1518"/>
      <c r="QVF1518"/>
      <c r="QVG1518"/>
      <c r="QVH1518"/>
      <c r="QVI1518"/>
      <c r="QVJ1518"/>
      <c r="QVK1518"/>
      <c r="QVL1518"/>
      <c r="QVM1518"/>
      <c r="QVN1518"/>
      <c r="QVO1518"/>
      <c r="QVP1518"/>
      <c r="QVQ1518"/>
      <c r="QVR1518"/>
      <c r="QVS1518"/>
      <c r="QVT1518"/>
      <c r="QVU1518"/>
      <c r="QVV1518"/>
      <c r="QVW1518"/>
      <c r="QVX1518"/>
      <c r="QVY1518"/>
      <c r="QVZ1518"/>
      <c r="QWA1518"/>
      <c r="QWB1518"/>
      <c r="QWC1518"/>
      <c r="QWD1518"/>
      <c r="QWE1518"/>
      <c r="QWF1518"/>
      <c r="QWG1518"/>
      <c r="QWH1518"/>
      <c r="QWI1518"/>
      <c r="QWJ1518"/>
      <c r="QWK1518"/>
      <c r="QWL1518"/>
      <c r="QWM1518"/>
      <c r="QWN1518"/>
      <c r="QWO1518"/>
      <c r="QWP1518"/>
      <c r="QWQ1518"/>
      <c r="QWR1518"/>
      <c r="QWS1518"/>
      <c r="QWT1518"/>
      <c r="QWU1518"/>
      <c r="QWV1518"/>
      <c r="QWW1518"/>
      <c r="QWX1518"/>
      <c r="QWY1518"/>
      <c r="QWZ1518"/>
      <c r="QXA1518"/>
      <c r="QXB1518"/>
      <c r="QXC1518"/>
      <c r="QXD1518"/>
      <c r="QXE1518"/>
      <c r="QXF1518"/>
      <c r="QXG1518"/>
      <c r="QXH1518"/>
      <c r="QXI1518"/>
      <c r="QXJ1518"/>
      <c r="QXK1518"/>
      <c r="QXL1518"/>
      <c r="QXM1518"/>
      <c r="QXN1518"/>
      <c r="QXO1518"/>
      <c r="QXP1518"/>
      <c r="QXQ1518"/>
      <c r="QXR1518"/>
      <c r="QXS1518"/>
      <c r="QXT1518"/>
      <c r="QXU1518"/>
      <c r="QXV1518"/>
      <c r="QXW1518"/>
      <c r="QXX1518"/>
      <c r="QXY1518"/>
      <c r="QXZ1518"/>
      <c r="QYA1518"/>
      <c r="QYB1518"/>
      <c r="QYC1518"/>
      <c r="QYD1518"/>
      <c r="QYE1518"/>
      <c r="QYF1518"/>
      <c r="QYG1518"/>
      <c r="QYH1518"/>
      <c r="QYI1518"/>
      <c r="QYJ1518"/>
      <c r="QYK1518"/>
      <c r="QYL1518"/>
      <c r="QYM1518"/>
      <c r="QYN1518"/>
      <c r="QYO1518"/>
      <c r="QYP1518"/>
      <c r="QYQ1518"/>
      <c r="QYR1518"/>
      <c r="QYS1518"/>
      <c r="QYT1518"/>
      <c r="QYU1518"/>
      <c r="QYV1518"/>
      <c r="QYW1518"/>
      <c r="QYX1518"/>
      <c r="QYY1518"/>
      <c r="QYZ1518"/>
      <c r="QZA1518"/>
      <c r="QZB1518"/>
      <c r="QZC1518"/>
      <c r="QZD1518"/>
      <c r="QZE1518"/>
      <c r="QZF1518"/>
      <c r="QZG1518"/>
      <c r="QZH1518"/>
      <c r="QZI1518"/>
      <c r="QZJ1518"/>
      <c r="QZK1518"/>
      <c r="QZL1518"/>
      <c r="QZM1518"/>
      <c r="QZN1518"/>
      <c r="QZO1518"/>
      <c r="QZP1518"/>
      <c r="QZQ1518"/>
      <c r="QZR1518"/>
      <c r="QZS1518"/>
      <c r="QZT1518"/>
      <c r="QZU1518"/>
      <c r="QZV1518"/>
      <c r="QZW1518"/>
      <c r="QZX1518"/>
      <c r="QZY1518"/>
      <c r="QZZ1518"/>
      <c r="RAA1518"/>
      <c r="RAB1518"/>
      <c r="RAC1518"/>
      <c r="RAD1518"/>
      <c r="RAE1518"/>
      <c r="RAF1518"/>
      <c r="RAG1518"/>
      <c r="RAH1518"/>
      <c r="RAI1518"/>
      <c r="RAJ1518"/>
      <c r="RAK1518"/>
      <c r="RAL1518"/>
      <c r="RAM1518"/>
      <c r="RAN1518"/>
      <c r="RAO1518"/>
      <c r="RAP1518"/>
      <c r="RAQ1518"/>
      <c r="RAR1518"/>
      <c r="RAS1518"/>
      <c r="RAT1518"/>
      <c r="RAU1518"/>
      <c r="RAV1518"/>
      <c r="RAW1518"/>
      <c r="RAX1518"/>
      <c r="RAY1518"/>
      <c r="RAZ1518"/>
      <c r="RBA1518"/>
      <c r="RBB1518"/>
      <c r="RBC1518"/>
      <c r="RBD1518"/>
      <c r="RBE1518"/>
      <c r="RBF1518"/>
      <c r="RBG1518"/>
      <c r="RBH1518"/>
      <c r="RBI1518"/>
      <c r="RBJ1518"/>
      <c r="RBK1518"/>
      <c r="RBL1518"/>
      <c r="RBM1518"/>
      <c r="RBN1518"/>
      <c r="RBO1518"/>
      <c r="RBP1518"/>
      <c r="RBQ1518"/>
      <c r="RBR1518"/>
      <c r="RBS1518"/>
      <c r="RBT1518"/>
      <c r="RBU1518"/>
      <c r="RBV1518"/>
      <c r="RBW1518"/>
      <c r="RBX1518"/>
      <c r="RBY1518"/>
      <c r="RBZ1518"/>
      <c r="RCA1518"/>
      <c r="RCB1518"/>
      <c r="RCC1518"/>
      <c r="RCD1518"/>
      <c r="RCE1518"/>
      <c r="RCF1518"/>
      <c r="RCG1518"/>
      <c r="RCH1518"/>
      <c r="RCI1518"/>
      <c r="RCJ1518"/>
      <c r="RCK1518"/>
      <c r="RCL1518"/>
      <c r="RCM1518"/>
      <c r="RCN1518"/>
      <c r="RCO1518"/>
      <c r="RCP1518"/>
      <c r="RCQ1518"/>
      <c r="RCR1518"/>
      <c r="RCS1518"/>
      <c r="RCT1518"/>
      <c r="RCU1518"/>
      <c r="RCV1518"/>
      <c r="RCW1518"/>
      <c r="RCX1518"/>
      <c r="RCY1518"/>
      <c r="RCZ1518"/>
      <c r="RDA1518"/>
      <c r="RDB1518"/>
      <c r="RDC1518"/>
      <c r="RDD1518"/>
      <c r="RDE1518"/>
      <c r="RDF1518"/>
      <c r="RDG1518"/>
      <c r="RDH1518"/>
      <c r="RDI1518"/>
      <c r="RDJ1518"/>
      <c r="RDK1518"/>
      <c r="RDL1518"/>
      <c r="RDM1518"/>
      <c r="RDN1518"/>
      <c r="RDO1518"/>
      <c r="RDP1518"/>
      <c r="RDQ1518"/>
      <c r="RDR1518"/>
      <c r="RDS1518"/>
      <c r="RDT1518"/>
      <c r="RDU1518"/>
      <c r="RDV1518"/>
      <c r="RDW1518"/>
      <c r="RDX1518"/>
      <c r="RDY1518"/>
      <c r="RDZ1518"/>
      <c r="REA1518"/>
      <c r="REB1518"/>
      <c r="REC1518"/>
      <c r="RED1518"/>
      <c r="REE1518"/>
      <c r="REF1518"/>
      <c r="REG1518"/>
      <c r="REH1518"/>
      <c r="REI1518"/>
      <c r="REJ1518"/>
      <c r="REK1518"/>
      <c r="REL1518"/>
      <c r="REM1518"/>
      <c r="REN1518"/>
      <c r="REO1518"/>
      <c r="REP1518"/>
      <c r="REQ1518"/>
      <c r="RER1518"/>
      <c r="RES1518"/>
      <c r="RET1518"/>
      <c r="REU1518"/>
      <c r="REV1518"/>
      <c r="REW1518"/>
      <c r="REX1518"/>
      <c r="REY1518"/>
      <c r="REZ1518"/>
      <c r="RFA1518"/>
      <c r="RFB1518"/>
      <c r="RFC1518"/>
      <c r="RFD1518"/>
      <c r="RFE1518"/>
      <c r="RFF1518"/>
      <c r="RFG1518"/>
      <c r="RFH1518"/>
      <c r="RFI1518"/>
      <c r="RFJ1518"/>
      <c r="RFK1518"/>
      <c r="RFL1518"/>
      <c r="RFM1518"/>
      <c r="RFN1518"/>
      <c r="RFO1518"/>
      <c r="RFP1518"/>
      <c r="RFQ1518"/>
      <c r="RFR1518"/>
      <c r="RFS1518"/>
      <c r="RFT1518"/>
      <c r="RFU1518"/>
      <c r="RFV1518"/>
      <c r="RFW1518"/>
      <c r="RFX1518"/>
      <c r="RFY1518"/>
      <c r="RFZ1518"/>
      <c r="RGA1518"/>
      <c r="RGB1518"/>
      <c r="RGC1518"/>
      <c r="RGD1518"/>
      <c r="RGE1518"/>
      <c r="RGF1518"/>
      <c r="RGG1518"/>
      <c r="RGH1518"/>
      <c r="RGI1518"/>
      <c r="RGJ1518"/>
      <c r="RGK1518"/>
      <c r="RGL1518"/>
      <c r="RGM1518"/>
      <c r="RGN1518"/>
      <c r="RGO1518"/>
      <c r="RGP1518"/>
      <c r="RGQ1518"/>
      <c r="RGR1518"/>
      <c r="RGS1518"/>
      <c r="RGT1518"/>
      <c r="RGU1518"/>
      <c r="RGV1518"/>
      <c r="RGW1518"/>
      <c r="RGX1518"/>
      <c r="RGY1518"/>
      <c r="RGZ1518"/>
      <c r="RHA1518"/>
      <c r="RHB1518"/>
      <c r="RHC1518"/>
      <c r="RHD1518"/>
      <c r="RHE1518"/>
      <c r="RHF1518"/>
      <c r="RHG1518"/>
      <c r="RHH1518"/>
      <c r="RHI1518"/>
      <c r="RHJ1518"/>
      <c r="RHK1518"/>
      <c r="RHL1518"/>
      <c r="RHM1518"/>
      <c r="RHN1518"/>
      <c r="RHO1518"/>
      <c r="RHP1518"/>
      <c r="RHQ1518"/>
      <c r="RHR1518"/>
      <c r="RHS1518"/>
      <c r="RHT1518"/>
      <c r="RHU1518"/>
      <c r="RHV1518"/>
      <c r="RHW1518"/>
      <c r="RHX1518"/>
      <c r="RHY1518"/>
      <c r="RHZ1518"/>
      <c r="RIA1518"/>
      <c r="RIB1518"/>
      <c r="RIC1518"/>
      <c r="RID1518"/>
      <c r="RIE1518"/>
      <c r="RIF1518"/>
      <c r="RIG1518"/>
      <c r="RIH1518"/>
      <c r="RII1518"/>
      <c r="RIJ1518"/>
      <c r="RIK1518"/>
      <c r="RIL1518"/>
      <c r="RIM1518"/>
      <c r="RIN1518"/>
      <c r="RIO1518"/>
      <c r="RIP1518"/>
      <c r="RIQ1518"/>
      <c r="RIR1518"/>
      <c r="RIS1518"/>
      <c r="RIT1518"/>
      <c r="RIU1518"/>
      <c r="RIV1518"/>
      <c r="RIW1518"/>
      <c r="RIX1518"/>
      <c r="RIY1518"/>
      <c r="RIZ1518"/>
      <c r="RJA1518"/>
      <c r="RJB1518"/>
      <c r="RJC1518"/>
      <c r="RJD1518"/>
      <c r="RJE1518"/>
      <c r="RJF1518"/>
      <c r="RJG1518"/>
      <c r="RJH1518"/>
      <c r="RJI1518"/>
      <c r="RJJ1518"/>
      <c r="RJK1518"/>
      <c r="RJL1518"/>
      <c r="RJM1518"/>
      <c r="RJN1518"/>
      <c r="RJO1518"/>
      <c r="RJP1518"/>
      <c r="RJQ1518"/>
      <c r="RJR1518"/>
      <c r="RJS1518"/>
      <c r="RJT1518"/>
      <c r="RJU1518"/>
      <c r="RJV1518"/>
      <c r="RJW1518"/>
      <c r="RJX1518"/>
      <c r="RJY1518"/>
      <c r="RJZ1518"/>
      <c r="RKA1518"/>
      <c r="RKB1518"/>
      <c r="RKC1518"/>
      <c r="RKD1518"/>
      <c r="RKE1518"/>
      <c r="RKF1518"/>
      <c r="RKG1518"/>
      <c r="RKH1518"/>
      <c r="RKI1518"/>
      <c r="RKJ1518"/>
      <c r="RKK1518"/>
      <c r="RKL1518"/>
      <c r="RKM1518"/>
      <c r="RKN1518"/>
      <c r="RKO1518"/>
      <c r="RKP1518"/>
      <c r="RKQ1518"/>
      <c r="RKR1518"/>
      <c r="RKS1518"/>
      <c r="RKT1518"/>
      <c r="RKU1518"/>
      <c r="RKV1518"/>
      <c r="RKW1518"/>
      <c r="RKX1518"/>
      <c r="RKY1518"/>
      <c r="RKZ1518"/>
      <c r="RLA1518"/>
      <c r="RLB1518"/>
      <c r="RLC1518"/>
      <c r="RLD1518"/>
      <c r="RLE1518"/>
      <c r="RLF1518"/>
      <c r="RLG1518"/>
      <c r="RLH1518"/>
      <c r="RLI1518"/>
      <c r="RLJ1518"/>
      <c r="RLK1518"/>
      <c r="RLL1518"/>
      <c r="RLM1518"/>
      <c r="RLN1518"/>
      <c r="RLO1518"/>
      <c r="RLP1518"/>
      <c r="RLQ1518"/>
      <c r="RLR1518"/>
      <c r="RLS1518"/>
      <c r="RLT1518"/>
      <c r="RLU1518"/>
      <c r="RLV1518"/>
      <c r="RLW1518"/>
      <c r="RLX1518"/>
      <c r="RLY1518"/>
      <c r="RLZ1518"/>
      <c r="RMA1518"/>
      <c r="RMB1518"/>
      <c r="RMC1518"/>
      <c r="RMD1518"/>
      <c r="RME1518"/>
      <c r="RMF1518"/>
      <c r="RMG1518"/>
      <c r="RMH1518"/>
      <c r="RMI1518"/>
      <c r="RMJ1518"/>
      <c r="RMK1518"/>
      <c r="RML1518"/>
      <c r="RMM1518"/>
      <c r="RMN1518"/>
      <c r="RMO1518"/>
      <c r="RMP1518"/>
      <c r="RMQ1518"/>
      <c r="RMR1518"/>
      <c r="RMS1518"/>
      <c r="RMT1518"/>
      <c r="RMU1518"/>
      <c r="RMV1518"/>
      <c r="RMW1518"/>
      <c r="RMX1518"/>
      <c r="RMY1518"/>
      <c r="RMZ1518"/>
      <c r="RNA1518"/>
      <c r="RNB1518"/>
      <c r="RNC1518"/>
      <c r="RND1518"/>
      <c r="RNE1518"/>
      <c r="RNF1518"/>
      <c r="RNG1518"/>
      <c r="RNH1518"/>
      <c r="RNI1518"/>
      <c r="RNJ1518"/>
      <c r="RNK1518"/>
      <c r="RNL1518"/>
      <c r="RNM1518"/>
      <c r="RNN1518"/>
      <c r="RNO1518"/>
      <c r="RNP1518"/>
      <c r="RNQ1518"/>
      <c r="RNR1518"/>
      <c r="RNS1518"/>
      <c r="RNT1518"/>
      <c r="RNU1518"/>
      <c r="RNV1518"/>
      <c r="RNW1518"/>
      <c r="RNX1518"/>
      <c r="RNY1518"/>
      <c r="RNZ1518"/>
      <c r="ROA1518"/>
      <c r="ROB1518"/>
      <c r="ROC1518"/>
      <c r="ROD1518"/>
      <c r="ROE1518"/>
      <c r="ROF1518"/>
      <c r="ROG1518"/>
      <c r="ROH1518"/>
      <c r="ROI1518"/>
      <c r="ROJ1518"/>
      <c r="ROK1518"/>
      <c r="ROL1518"/>
      <c r="ROM1518"/>
      <c r="RON1518"/>
      <c r="ROO1518"/>
      <c r="ROP1518"/>
      <c r="ROQ1518"/>
      <c r="ROR1518"/>
      <c r="ROS1518"/>
      <c r="ROT1518"/>
      <c r="ROU1518"/>
      <c r="ROV1518"/>
      <c r="ROW1518"/>
      <c r="ROX1518"/>
      <c r="ROY1518"/>
      <c r="ROZ1518"/>
      <c r="RPA1518"/>
      <c r="RPB1518"/>
      <c r="RPC1518"/>
      <c r="RPD1518"/>
      <c r="RPE1518"/>
      <c r="RPF1518"/>
      <c r="RPG1518"/>
      <c r="RPH1518"/>
      <c r="RPI1518"/>
      <c r="RPJ1518"/>
      <c r="RPK1518"/>
      <c r="RPL1518"/>
      <c r="RPM1518"/>
      <c r="RPN1518"/>
      <c r="RPO1518"/>
      <c r="RPP1518"/>
      <c r="RPQ1518"/>
      <c r="RPR1518"/>
      <c r="RPS1518"/>
      <c r="RPT1518"/>
      <c r="RPU1518"/>
      <c r="RPV1518"/>
      <c r="RPW1518"/>
      <c r="RPX1518"/>
      <c r="RPY1518"/>
      <c r="RPZ1518"/>
      <c r="RQA1518"/>
      <c r="RQB1518"/>
      <c r="RQC1518"/>
      <c r="RQD1518"/>
      <c r="RQE1518"/>
      <c r="RQF1518"/>
      <c r="RQG1518"/>
      <c r="RQH1518"/>
      <c r="RQI1518"/>
      <c r="RQJ1518"/>
      <c r="RQK1518"/>
      <c r="RQL1518"/>
      <c r="RQM1518"/>
      <c r="RQN1518"/>
      <c r="RQO1518"/>
      <c r="RQP1518"/>
      <c r="RQQ1518"/>
      <c r="RQR1518"/>
      <c r="RQS1518"/>
      <c r="RQT1518"/>
      <c r="RQU1518"/>
      <c r="RQV1518"/>
      <c r="RQW1518"/>
      <c r="RQX1518"/>
      <c r="RQY1518"/>
      <c r="RQZ1518"/>
      <c r="RRA1518"/>
      <c r="RRB1518"/>
      <c r="RRC1518"/>
      <c r="RRD1518"/>
      <c r="RRE1518"/>
      <c r="RRF1518"/>
      <c r="RRG1518"/>
      <c r="RRH1518"/>
      <c r="RRI1518"/>
      <c r="RRJ1518"/>
      <c r="RRK1518"/>
      <c r="RRL1518"/>
      <c r="RRM1518"/>
      <c r="RRN1518"/>
      <c r="RRO1518"/>
      <c r="RRP1518"/>
      <c r="RRQ1518"/>
      <c r="RRR1518"/>
      <c r="RRS1518"/>
      <c r="RRT1518"/>
      <c r="RRU1518"/>
      <c r="RRV1518"/>
      <c r="RRW1518"/>
      <c r="RRX1518"/>
      <c r="RRY1518"/>
      <c r="RRZ1518"/>
      <c r="RSA1518"/>
      <c r="RSB1518"/>
      <c r="RSC1518"/>
      <c r="RSD1518"/>
      <c r="RSE1518"/>
      <c r="RSF1518"/>
      <c r="RSG1518"/>
      <c r="RSH1518"/>
      <c r="RSI1518"/>
      <c r="RSJ1518"/>
      <c r="RSK1518"/>
      <c r="RSL1518"/>
      <c r="RSM1518"/>
      <c r="RSN1518"/>
      <c r="RSO1518"/>
      <c r="RSP1518"/>
      <c r="RSQ1518"/>
      <c r="RSR1518"/>
      <c r="RSS1518"/>
      <c r="RST1518"/>
      <c r="RSU1518"/>
      <c r="RSV1518"/>
      <c r="RSW1518"/>
      <c r="RSX1518"/>
      <c r="RSY1518"/>
      <c r="RSZ1518"/>
      <c r="RTA1518"/>
      <c r="RTB1518"/>
      <c r="RTC1518"/>
      <c r="RTD1518"/>
      <c r="RTE1518"/>
      <c r="RTF1518"/>
      <c r="RTG1518"/>
      <c r="RTH1518"/>
      <c r="RTI1518"/>
      <c r="RTJ1518"/>
      <c r="RTK1518"/>
      <c r="RTL1518"/>
      <c r="RTM1518"/>
      <c r="RTN1518"/>
      <c r="RTO1518"/>
      <c r="RTP1518"/>
      <c r="RTQ1518"/>
      <c r="RTR1518"/>
      <c r="RTS1518"/>
      <c r="RTT1518"/>
      <c r="RTU1518"/>
      <c r="RTV1518"/>
      <c r="RTW1518"/>
      <c r="RTX1518"/>
      <c r="RTY1518"/>
      <c r="RTZ1518"/>
      <c r="RUA1518"/>
      <c r="RUB1518"/>
      <c r="RUC1518"/>
      <c r="RUD1518"/>
      <c r="RUE1518"/>
      <c r="RUF1518"/>
      <c r="RUG1518"/>
      <c r="RUH1518"/>
      <c r="RUI1518"/>
      <c r="RUJ1518"/>
      <c r="RUK1518"/>
      <c r="RUL1518"/>
      <c r="RUM1518"/>
      <c r="RUN1518"/>
      <c r="RUO1518"/>
      <c r="RUP1518"/>
      <c r="RUQ1518"/>
      <c r="RUR1518"/>
      <c r="RUS1518"/>
      <c r="RUT1518"/>
      <c r="RUU1518"/>
      <c r="RUV1518"/>
      <c r="RUW1518"/>
      <c r="RUX1518"/>
      <c r="RUY1518"/>
      <c r="RUZ1518"/>
      <c r="RVA1518"/>
      <c r="RVB1518"/>
      <c r="RVC1518"/>
      <c r="RVD1518"/>
      <c r="RVE1518"/>
      <c r="RVF1518"/>
      <c r="RVG1518"/>
      <c r="RVH1518"/>
      <c r="RVI1518"/>
      <c r="RVJ1518"/>
      <c r="RVK1518"/>
      <c r="RVL1518"/>
      <c r="RVM1518"/>
      <c r="RVN1518"/>
      <c r="RVO1518"/>
      <c r="RVP1518"/>
      <c r="RVQ1518"/>
      <c r="RVR1518"/>
      <c r="RVS1518"/>
      <c r="RVT1518"/>
      <c r="RVU1518"/>
      <c r="RVV1518"/>
      <c r="RVW1518"/>
      <c r="RVX1518"/>
      <c r="RVY1518"/>
      <c r="RVZ1518"/>
      <c r="RWA1518"/>
      <c r="RWB1518"/>
      <c r="RWC1518"/>
      <c r="RWD1518"/>
      <c r="RWE1518"/>
      <c r="RWF1518"/>
      <c r="RWG1518"/>
      <c r="RWH1518"/>
      <c r="RWI1518"/>
      <c r="RWJ1518"/>
      <c r="RWK1518"/>
      <c r="RWL1518"/>
      <c r="RWM1518"/>
      <c r="RWN1518"/>
      <c r="RWO1518"/>
      <c r="RWP1518"/>
      <c r="RWQ1518"/>
      <c r="RWR1518"/>
      <c r="RWS1518"/>
      <c r="RWT1518"/>
      <c r="RWU1518"/>
      <c r="RWV1518"/>
      <c r="RWW1518"/>
      <c r="RWX1518"/>
      <c r="RWY1518"/>
      <c r="RWZ1518"/>
      <c r="RXA1518"/>
      <c r="RXB1518"/>
      <c r="RXC1518"/>
      <c r="RXD1518"/>
      <c r="RXE1518"/>
      <c r="RXF1518"/>
      <c r="RXG1518"/>
      <c r="RXH1518"/>
      <c r="RXI1518"/>
      <c r="RXJ1518"/>
      <c r="RXK1518"/>
      <c r="RXL1518"/>
      <c r="RXM1518"/>
      <c r="RXN1518"/>
      <c r="RXO1518"/>
      <c r="RXP1518"/>
      <c r="RXQ1518"/>
      <c r="RXR1518"/>
      <c r="RXS1518"/>
      <c r="RXT1518"/>
      <c r="RXU1518"/>
      <c r="RXV1518"/>
      <c r="RXW1518"/>
      <c r="RXX1518"/>
      <c r="RXY1518"/>
      <c r="RXZ1518"/>
      <c r="RYA1518"/>
      <c r="RYB1518"/>
      <c r="RYC1518"/>
      <c r="RYD1518"/>
      <c r="RYE1518"/>
      <c r="RYF1518"/>
      <c r="RYG1518"/>
      <c r="RYH1518"/>
      <c r="RYI1518"/>
      <c r="RYJ1518"/>
      <c r="RYK1518"/>
      <c r="RYL1518"/>
      <c r="RYM1518"/>
      <c r="RYN1518"/>
      <c r="RYO1518"/>
      <c r="RYP1518"/>
      <c r="RYQ1518"/>
      <c r="RYR1518"/>
      <c r="RYS1518"/>
      <c r="RYT1518"/>
      <c r="RYU1518"/>
      <c r="RYV1518"/>
      <c r="RYW1518"/>
      <c r="RYX1518"/>
      <c r="RYY1518"/>
      <c r="RYZ1518"/>
      <c r="RZA1518"/>
      <c r="RZB1518"/>
      <c r="RZC1518"/>
      <c r="RZD1518"/>
      <c r="RZE1518"/>
      <c r="RZF1518"/>
      <c r="RZG1518"/>
      <c r="RZH1518"/>
      <c r="RZI1518"/>
      <c r="RZJ1518"/>
      <c r="RZK1518"/>
      <c r="RZL1518"/>
      <c r="RZM1518"/>
      <c r="RZN1518"/>
      <c r="RZO1518"/>
      <c r="RZP1518"/>
      <c r="RZQ1518"/>
      <c r="RZR1518"/>
      <c r="RZS1518"/>
      <c r="RZT1518"/>
      <c r="RZU1518"/>
      <c r="RZV1518"/>
      <c r="RZW1518"/>
      <c r="RZX1518"/>
      <c r="RZY1518"/>
      <c r="RZZ1518"/>
      <c r="SAA1518"/>
      <c r="SAB1518"/>
      <c r="SAC1518"/>
      <c r="SAD1518"/>
      <c r="SAE1518"/>
      <c r="SAF1518"/>
      <c r="SAG1518"/>
      <c r="SAH1518"/>
      <c r="SAI1518"/>
      <c r="SAJ1518"/>
      <c r="SAK1518"/>
      <c r="SAL1518"/>
      <c r="SAM1518"/>
      <c r="SAN1518"/>
      <c r="SAO1518"/>
      <c r="SAP1518"/>
      <c r="SAQ1518"/>
      <c r="SAR1518"/>
      <c r="SAS1518"/>
      <c r="SAT1518"/>
      <c r="SAU1518"/>
      <c r="SAV1518"/>
      <c r="SAW1518"/>
      <c r="SAX1518"/>
      <c r="SAY1518"/>
      <c r="SAZ1518"/>
      <c r="SBA1518"/>
      <c r="SBB1518"/>
      <c r="SBC1518"/>
      <c r="SBD1518"/>
      <c r="SBE1518"/>
      <c r="SBF1518"/>
      <c r="SBG1518"/>
      <c r="SBH1518"/>
      <c r="SBI1518"/>
      <c r="SBJ1518"/>
      <c r="SBK1518"/>
      <c r="SBL1518"/>
      <c r="SBM1518"/>
      <c r="SBN1518"/>
      <c r="SBO1518"/>
      <c r="SBP1518"/>
      <c r="SBQ1518"/>
      <c r="SBR1518"/>
      <c r="SBS1518"/>
      <c r="SBT1518"/>
      <c r="SBU1518"/>
      <c r="SBV1518"/>
      <c r="SBW1518"/>
      <c r="SBX1518"/>
      <c r="SBY1518"/>
      <c r="SBZ1518"/>
      <c r="SCA1518"/>
      <c r="SCB1518"/>
      <c r="SCC1518"/>
      <c r="SCD1518"/>
      <c r="SCE1518"/>
      <c r="SCF1518"/>
      <c r="SCG1518"/>
      <c r="SCH1518"/>
      <c r="SCI1518"/>
      <c r="SCJ1518"/>
      <c r="SCK1518"/>
      <c r="SCL1518"/>
      <c r="SCM1518"/>
      <c r="SCN1518"/>
      <c r="SCO1518"/>
      <c r="SCP1518"/>
      <c r="SCQ1518"/>
      <c r="SCR1518"/>
      <c r="SCS1518"/>
      <c r="SCT1518"/>
      <c r="SCU1518"/>
      <c r="SCV1518"/>
      <c r="SCW1518"/>
      <c r="SCX1518"/>
      <c r="SCY1518"/>
      <c r="SCZ1518"/>
      <c r="SDA1518"/>
      <c r="SDB1518"/>
      <c r="SDC1518"/>
      <c r="SDD1518"/>
      <c r="SDE1518"/>
      <c r="SDF1518"/>
      <c r="SDG1518"/>
      <c r="SDH1518"/>
      <c r="SDI1518"/>
      <c r="SDJ1518"/>
      <c r="SDK1518"/>
      <c r="SDL1518"/>
      <c r="SDM1518"/>
      <c r="SDN1518"/>
      <c r="SDO1518"/>
      <c r="SDP1518"/>
      <c r="SDQ1518"/>
      <c r="SDR1518"/>
      <c r="SDS1518"/>
      <c r="SDT1518"/>
      <c r="SDU1518"/>
      <c r="SDV1518"/>
      <c r="SDW1518"/>
      <c r="SDX1518"/>
      <c r="SDY1518"/>
      <c r="SDZ1518"/>
      <c r="SEA1518"/>
      <c r="SEB1518"/>
      <c r="SEC1518"/>
      <c r="SED1518"/>
      <c r="SEE1518"/>
      <c r="SEF1518"/>
      <c r="SEG1518"/>
      <c r="SEH1518"/>
      <c r="SEI1518"/>
      <c r="SEJ1518"/>
      <c r="SEK1518"/>
      <c r="SEL1518"/>
      <c r="SEM1518"/>
      <c r="SEN1518"/>
      <c r="SEO1518"/>
      <c r="SEP1518"/>
      <c r="SEQ1518"/>
      <c r="SER1518"/>
      <c r="SES1518"/>
      <c r="SET1518"/>
      <c r="SEU1518"/>
      <c r="SEV1518"/>
      <c r="SEW1518"/>
      <c r="SEX1518"/>
      <c r="SEY1518"/>
      <c r="SEZ1518"/>
      <c r="SFA1518"/>
      <c r="SFB1518"/>
      <c r="SFC1518"/>
      <c r="SFD1518"/>
      <c r="SFE1518"/>
      <c r="SFF1518"/>
      <c r="SFG1518"/>
      <c r="SFH1518"/>
      <c r="SFI1518"/>
      <c r="SFJ1518"/>
      <c r="SFK1518"/>
      <c r="SFL1518"/>
      <c r="SFM1518"/>
      <c r="SFN1518"/>
      <c r="SFO1518"/>
      <c r="SFP1518"/>
      <c r="SFQ1518"/>
      <c r="SFR1518"/>
      <c r="SFS1518"/>
      <c r="SFT1518"/>
      <c r="SFU1518"/>
      <c r="SFV1518"/>
      <c r="SFW1518"/>
      <c r="SFX1518"/>
      <c r="SFY1518"/>
      <c r="SFZ1518"/>
      <c r="SGA1518"/>
      <c r="SGB1518"/>
      <c r="SGC1518"/>
      <c r="SGD1518"/>
      <c r="SGE1518"/>
      <c r="SGF1518"/>
      <c r="SGG1518"/>
      <c r="SGH1518"/>
      <c r="SGI1518"/>
      <c r="SGJ1518"/>
      <c r="SGK1518"/>
      <c r="SGL1518"/>
      <c r="SGM1518"/>
      <c r="SGN1518"/>
      <c r="SGO1518"/>
      <c r="SGP1518"/>
      <c r="SGQ1518"/>
      <c r="SGR1518"/>
      <c r="SGS1518"/>
      <c r="SGT1518"/>
      <c r="SGU1518"/>
      <c r="SGV1518"/>
      <c r="SGW1518"/>
      <c r="SGX1518"/>
      <c r="SGY1518"/>
      <c r="SGZ1518"/>
      <c r="SHA1518"/>
      <c r="SHB1518"/>
      <c r="SHC1518"/>
      <c r="SHD1518"/>
      <c r="SHE1518"/>
      <c r="SHF1518"/>
      <c r="SHG1518"/>
      <c r="SHH1518"/>
      <c r="SHI1518"/>
      <c r="SHJ1518"/>
      <c r="SHK1518"/>
      <c r="SHL1518"/>
      <c r="SHM1518"/>
      <c r="SHN1518"/>
      <c r="SHO1518"/>
      <c r="SHP1518"/>
      <c r="SHQ1518"/>
      <c r="SHR1518"/>
      <c r="SHS1518"/>
      <c r="SHT1518"/>
      <c r="SHU1518"/>
      <c r="SHV1518"/>
      <c r="SHW1518"/>
      <c r="SHX1518"/>
      <c r="SHY1518"/>
      <c r="SHZ1518"/>
      <c r="SIA1518"/>
      <c r="SIB1518"/>
      <c r="SIC1518"/>
      <c r="SID1518"/>
      <c r="SIE1518"/>
      <c r="SIF1518"/>
      <c r="SIG1518"/>
      <c r="SIH1518"/>
      <c r="SII1518"/>
      <c r="SIJ1518"/>
      <c r="SIK1518"/>
      <c r="SIL1518"/>
      <c r="SIM1518"/>
      <c r="SIN1518"/>
      <c r="SIO1518"/>
      <c r="SIP1518"/>
      <c r="SIQ1518"/>
      <c r="SIR1518"/>
      <c r="SIS1518"/>
      <c r="SIT1518"/>
      <c r="SIU1518"/>
      <c r="SIV1518"/>
      <c r="SIW1518"/>
      <c r="SIX1518"/>
      <c r="SIY1518"/>
      <c r="SIZ1518"/>
      <c r="SJA1518"/>
      <c r="SJB1518"/>
      <c r="SJC1518"/>
      <c r="SJD1518"/>
      <c r="SJE1518"/>
      <c r="SJF1518"/>
      <c r="SJG1518"/>
      <c r="SJH1518"/>
      <c r="SJI1518"/>
      <c r="SJJ1518"/>
      <c r="SJK1518"/>
      <c r="SJL1518"/>
      <c r="SJM1518"/>
      <c r="SJN1518"/>
      <c r="SJO1518"/>
      <c r="SJP1518"/>
      <c r="SJQ1518"/>
      <c r="SJR1518"/>
      <c r="SJS1518"/>
      <c r="SJT1518"/>
      <c r="SJU1518"/>
      <c r="SJV1518"/>
      <c r="SJW1518"/>
      <c r="SJX1518"/>
      <c r="SJY1518"/>
      <c r="SJZ1518"/>
      <c r="SKA1518"/>
      <c r="SKB1518"/>
      <c r="SKC1518"/>
      <c r="SKD1518"/>
      <c r="SKE1518"/>
      <c r="SKF1518"/>
      <c r="SKG1518"/>
      <c r="SKH1518"/>
      <c r="SKI1518"/>
      <c r="SKJ1518"/>
      <c r="SKK1518"/>
      <c r="SKL1518"/>
      <c r="SKM1518"/>
      <c r="SKN1518"/>
      <c r="SKO1518"/>
      <c r="SKP1518"/>
      <c r="SKQ1518"/>
      <c r="SKR1518"/>
      <c r="SKS1518"/>
      <c r="SKT1518"/>
      <c r="SKU1518"/>
      <c r="SKV1518"/>
      <c r="SKW1518"/>
      <c r="SKX1518"/>
      <c r="SKY1518"/>
      <c r="SKZ1518"/>
      <c r="SLA1518"/>
      <c r="SLB1518"/>
      <c r="SLC1518"/>
      <c r="SLD1518"/>
      <c r="SLE1518"/>
      <c r="SLF1518"/>
      <c r="SLG1518"/>
      <c r="SLH1518"/>
      <c r="SLI1518"/>
      <c r="SLJ1518"/>
      <c r="SLK1518"/>
      <c r="SLL1518"/>
      <c r="SLM1518"/>
      <c r="SLN1518"/>
      <c r="SLO1518"/>
      <c r="SLP1518"/>
      <c r="SLQ1518"/>
      <c r="SLR1518"/>
      <c r="SLS1518"/>
      <c r="SLT1518"/>
      <c r="SLU1518"/>
      <c r="SLV1518"/>
      <c r="SLW1518"/>
      <c r="SLX1518"/>
      <c r="SLY1518"/>
      <c r="SLZ1518"/>
      <c r="SMA1518"/>
      <c r="SMB1518"/>
      <c r="SMC1518"/>
      <c r="SMD1518"/>
      <c r="SME1518"/>
      <c r="SMF1518"/>
      <c r="SMG1518"/>
      <c r="SMH1518"/>
      <c r="SMI1518"/>
      <c r="SMJ1518"/>
      <c r="SMK1518"/>
      <c r="SML1518"/>
      <c r="SMM1518"/>
      <c r="SMN1518"/>
      <c r="SMO1518"/>
      <c r="SMP1518"/>
      <c r="SMQ1518"/>
      <c r="SMR1518"/>
      <c r="SMS1518"/>
      <c r="SMT1518"/>
      <c r="SMU1518"/>
      <c r="SMV1518"/>
      <c r="SMW1518"/>
      <c r="SMX1518"/>
      <c r="SMY1518"/>
      <c r="SMZ1518"/>
      <c r="SNA1518"/>
      <c r="SNB1518"/>
      <c r="SNC1518"/>
      <c r="SND1518"/>
      <c r="SNE1518"/>
      <c r="SNF1518"/>
      <c r="SNG1518"/>
      <c r="SNH1518"/>
      <c r="SNI1518"/>
      <c r="SNJ1518"/>
      <c r="SNK1518"/>
      <c r="SNL1518"/>
      <c r="SNM1518"/>
      <c r="SNN1518"/>
      <c r="SNO1518"/>
      <c r="SNP1518"/>
      <c r="SNQ1518"/>
      <c r="SNR1518"/>
      <c r="SNS1518"/>
      <c r="SNT1518"/>
      <c r="SNU1518"/>
      <c r="SNV1518"/>
      <c r="SNW1518"/>
      <c r="SNX1518"/>
      <c r="SNY1518"/>
      <c r="SNZ1518"/>
      <c r="SOA1518"/>
      <c r="SOB1518"/>
      <c r="SOC1518"/>
      <c r="SOD1518"/>
      <c r="SOE1518"/>
      <c r="SOF1518"/>
      <c r="SOG1518"/>
      <c r="SOH1518"/>
      <c r="SOI1518"/>
      <c r="SOJ1518"/>
      <c r="SOK1518"/>
      <c r="SOL1518"/>
      <c r="SOM1518"/>
      <c r="SON1518"/>
      <c r="SOO1518"/>
      <c r="SOP1518"/>
      <c r="SOQ1518"/>
      <c r="SOR1518"/>
      <c r="SOS1518"/>
      <c r="SOT1518"/>
      <c r="SOU1518"/>
      <c r="SOV1518"/>
      <c r="SOW1518"/>
      <c r="SOX1518"/>
      <c r="SOY1518"/>
      <c r="SOZ1518"/>
      <c r="SPA1518"/>
      <c r="SPB1518"/>
      <c r="SPC1518"/>
      <c r="SPD1518"/>
      <c r="SPE1518"/>
      <c r="SPF1518"/>
      <c r="SPG1518"/>
      <c r="SPH1518"/>
      <c r="SPI1518"/>
      <c r="SPJ1518"/>
      <c r="SPK1518"/>
      <c r="SPL1518"/>
      <c r="SPM1518"/>
      <c r="SPN1518"/>
      <c r="SPO1518"/>
      <c r="SPP1518"/>
      <c r="SPQ1518"/>
      <c r="SPR1518"/>
      <c r="SPS1518"/>
      <c r="SPT1518"/>
      <c r="SPU1518"/>
      <c r="SPV1518"/>
      <c r="SPW1518"/>
      <c r="SPX1518"/>
      <c r="SPY1518"/>
      <c r="SPZ1518"/>
      <c r="SQA1518"/>
      <c r="SQB1518"/>
      <c r="SQC1518"/>
      <c r="SQD1518"/>
      <c r="SQE1518"/>
      <c r="SQF1518"/>
      <c r="SQG1518"/>
      <c r="SQH1518"/>
      <c r="SQI1518"/>
      <c r="SQJ1518"/>
      <c r="SQK1518"/>
      <c r="SQL1518"/>
      <c r="SQM1518"/>
      <c r="SQN1518"/>
      <c r="SQO1518"/>
      <c r="SQP1518"/>
      <c r="SQQ1518"/>
      <c r="SQR1518"/>
      <c r="SQS1518"/>
      <c r="SQT1518"/>
      <c r="SQU1518"/>
      <c r="SQV1518"/>
      <c r="SQW1518"/>
      <c r="SQX1518"/>
      <c r="SQY1518"/>
      <c r="SQZ1518"/>
      <c r="SRA1518"/>
      <c r="SRB1518"/>
      <c r="SRC1518"/>
      <c r="SRD1518"/>
      <c r="SRE1518"/>
      <c r="SRF1518"/>
      <c r="SRG1518"/>
      <c r="SRH1518"/>
      <c r="SRI1518"/>
      <c r="SRJ1518"/>
      <c r="SRK1518"/>
      <c r="SRL1518"/>
      <c r="SRM1518"/>
      <c r="SRN1518"/>
      <c r="SRO1518"/>
      <c r="SRP1518"/>
      <c r="SRQ1518"/>
      <c r="SRR1518"/>
      <c r="SRS1518"/>
      <c r="SRT1518"/>
      <c r="SRU1518"/>
      <c r="SRV1518"/>
      <c r="SRW1518"/>
      <c r="SRX1518"/>
      <c r="SRY1518"/>
      <c r="SRZ1518"/>
      <c r="SSA1518"/>
      <c r="SSB1518"/>
      <c r="SSC1518"/>
      <c r="SSD1518"/>
      <c r="SSE1518"/>
      <c r="SSF1518"/>
      <c r="SSG1518"/>
      <c r="SSH1518"/>
      <c r="SSI1518"/>
      <c r="SSJ1518"/>
      <c r="SSK1518"/>
      <c r="SSL1518"/>
      <c r="SSM1518"/>
      <c r="SSN1518"/>
      <c r="SSO1518"/>
      <c r="SSP1518"/>
      <c r="SSQ1518"/>
      <c r="SSR1518"/>
      <c r="SSS1518"/>
      <c r="SST1518"/>
      <c r="SSU1518"/>
      <c r="SSV1518"/>
      <c r="SSW1518"/>
      <c r="SSX1518"/>
      <c r="SSY1518"/>
      <c r="SSZ1518"/>
      <c r="STA1518"/>
      <c r="STB1518"/>
      <c r="STC1518"/>
      <c r="STD1518"/>
      <c r="STE1518"/>
      <c r="STF1518"/>
      <c r="STG1518"/>
      <c r="STH1518"/>
      <c r="STI1518"/>
      <c r="STJ1518"/>
      <c r="STK1518"/>
      <c r="STL1518"/>
      <c r="STM1518"/>
      <c r="STN1518"/>
      <c r="STO1518"/>
      <c r="STP1518"/>
      <c r="STQ1518"/>
      <c r="STR1518"/>
      <c r="STS1518"/>
      <c r="STT1518"/>
      <c r="STU1518"/>
      <c r="STV1518"/>
      <c r="STW1518"/>
      <c r="STX1518"/>
      <c r="STY1518"/>
      <c r="STZ1518"/>
      <c r="SUA1518"/>
      <c r="SUB1518"/>
      <c r="SUC1518"/>
      <c r="SUD1518"/>
      <c r="SUE1518"/>
      <c r="SUF1518"/>
      <c r="SUG1518"/>
      <c r="SUH1518"/>
      <c r="SUI1518"/>
      <c r="SUJ1518"/>
      <c r="SUK1518"/>
      <c r="SUL1518"/>
      <c r="SUM1518"/>
      <c r="SUN1518"/>
      <c r="SUO1518"/>
      <c r="SUP1518"/>
      <c r="SUQ1518"/>
      <c r="SUR1518"/>
      <c r="SUS1518"/>
      <c r="SUT1518"/>
      <c r="SUU1518"/>
      <c r="SUV1518"/>
      <c r="SUW1518"/>
      <c r="SUX1518"/>
      <c r="SUY1518"/>
      <c r="SUZ1518"/>
      <c r="SVA1518"/>
      <c r="SVB1518"/>
      <c r="SVC1518"/>
      <c r="SVD1518"/>
      <c r="SVE1518"/>
      <c r="SVF1518"/>
      <c r="SVG1518"/>
      <c r="SVH1518"/>
      <c r="SVI1518"/>
      <c r="SVJ1518"/>
      <c r="SVK1518"/>
      <c r="SVL1518"/>
      <c r="SVM1518"/>
      <c r="SVN1518"/>
      <c r="SVO1518"/>
      <c r="SVP1518"/>
      <c r="SVQ1518"/>
      <c r="SVR1518"/>
      <c r="SVS1518"/>
      <c r="SVT1518"/>
      <c r="SVU1518"/>
      <c r="SVV1518"/>
      <c r="SVW1518"/>
      <c r="SVX1518"/>
      <c r="SVY1518"/>
      <c r="SVZ1518"/>
      <c r="SWA1518"/>
      <c r="SWB1518"/>
      <c r="SWC1518"/>
      <c r="SWD1518"/>
      <c r="SWE1518"/>
      <c r="SWF1518"/>
      <c r="SWG1518"/>
      <c r="SWH1518"/>
      <c r="SWI1518"/>
      <c r="SWJ1518"/>
      <c r="SWK1518"/>
      <c r="SWL1518"/>
      <c r="SWM1518"/>
      <c r="SWN1518"/>
      <c r="SWO1518"/>
      <c r="SWP1518"/>
      <c r="SWQ1518"/>
      <c r="SWR1518"/>
      <c r="SWS1518"/>
      <c r="SWT1518"/>
      <c r="SWU1518"/>
      <c r="SWV1518"/>
      <c r="SWW1518"/>
      <c r="SWX1518"/>
      <c r="SWY1518"/>
      <c r="SWZ1518"/>
      <c r="SXA1518"/>
      <c r="SXB1518"/>
      <c r="SXC1518"/>
      <c r="SXD1518"/>
      <c r="SXE1518"/>
      <c r="SXF1518"/>
      <c r="SXG1518"/>
      <c r="SXH1518"/>
      <c r="SXI1518"/>
      <c r="SXJ1518"/>
      <c r="SXK1518"/>
      <c r="SXL1518"/>
      <c r="SXM1518"/>
      <c r="SXN1518"/>
      <c r="SXO1518"/>
      <c r="SXP1518"/>
      <c r="SXQ1518"/>
      <c r="SXR1518"/>
      <c r="SXS1518"/>
      <c r="SXT1518"/>
      <c r="SXU1518"/>
      <c r="SXV1518"/>
      <c r="SXW1518"/>
      <c r="SXX1518"/>
      <c r="SXY1518"/>
      <c r="SXZ1518"/>
      <c r="SYA1518"/>
      <c r="SYB1518"/>
      <c r="SYC1518"/>
      <c r="SYD1518"/>
      <c r="SYE1518"/>
      <c r="SYF1518"/>
      <c r="SYG1518"/>
      <c r="SYH1518"/>
      <c r="SYI1518"/>
      <c r="SYJ1518"/>
      <c r="SYK1518"/>
      <c r="SYL1518"/>
      <c r="SYM1518"/>
      <c r="SYN1518"/>
      <c r="SYO1518"/>
      <c r="SYP1518"/>
      <c r="SYQ1518"/>
      <c r="SYR1518"/>
      <c r="SYS1518"/>
      <c r="SYT1518"/>
      <c r="SYU1518"/>
      <c r="SYV1518"/>
      <c r="SYW1518"/>
      <c r="SYX1518"/>
      <c r="SYY1518"/>
      <c r="SYZ1518"/>
      <c r="SZA1518"/>
      <c r="SZB1518"/>
      <c r="SZC1518"/>
      <c r="SZD1518"/>
      <c r="SZE1518"/>
      <c r="SZF1518"/>
      <c r="SZG1518"/>
      <c r="SZH1518"/>
      <c r="SZI1518"/>
      <c r="SZJ1518"/>
      <c r="SZK1518"/>
      <c r="SZL1518"/>
      <c r="SZM1518"/>
      <c r="SZN1518"/>
      <c r="SZO1518"/>
      <c r="SZP1518"/>
      <c r="SZQ1518"/>
      <c r="SZR1518"/>
      <c r="SZS1518"/>
      <c r="SZT1518"/>
      <c r="SZU1518"/>
      <c r="SZV1518"/>
      <c r="SZW1518"/>
      <c r="SZX1518"/>
      <c r="SZY1518"/>
      <c r="SZZ1518"/>
      <c r="TAA1518"/>
      <c r="TAB1518"/>
      <c r="TAC1518"/>
      <c r="TAD1518"/>
      <c r="TAE1518"/>
      <c r="TAF1518"/>
      <c r="TAG1518"/>
      <c r="TAH1518"/>
      <c r="TAI1518"/>
      <c r="TAJ1518"/>
      <c r="TAK1518"/>
      <c r="TAL1518"/>
      <c r="TAM1518"/>
      <c r="TAN1518"/>
      <c r="TAO1518"/>
      <c r="TAP1518"/>
      <c r="TAQ1518"/>
      <c r="TAR1518"/>
      <c r="TAS1518"/>
      <c r="TAT1518"/>
      <c r="TAU1518"/>
      <c r="TAV1518"/>
      <c r="TAW1518"/>
      <c r="TAX1518"/>
      <c r="TAY1518"/>
      <c r="TAZ1518"/>
      <c r="TBA1518"/>
      <c r="TBB1518"/>
      <c r="TBC1518"/>
      <c r="TBD1518"/>
      <c r="TBE1518"/>
      <c r="TBF1518"/>
      <c r="TBG1518"/>
      <c r="TBH1518"/>
      <c r="TBI1518"/>
      <c r="TBJ1518"/>
      <c r="TBK1518"/>
      <c r="TBL1518"/>
      <c r="TBM1518"/>
      <c r="TBN1518"/>
      <c r="TBO1518"/>
      <c r="TBP1518"/>
      <c r="TBQ1518"/>
      <c r="TBR1518"/>
      <c r="TBS1518"/>
      <c r="TBT1518"/>
      <c r="TBU1518"/>
      <c r="TBV1518"/>
      <c r="TBW1518"/>
      <c r="TBX1518"/>
      <c r="TBY1518"/>
      <c r="TBZ1518"/>
      <c r="TCA1518"/>
      <c r="TCB1518"/>
      <c r="TCC1518"/>
      <c r="TCD1518"/>
      <c r="TCE1518"/>
      <c r="TCF1518"/>
      <c r="TCG1518"/>
      <c r="TCH1518"/>
      <c r="TCI1518"/>
      <c r="TCJ1518"/>
      <c r="TCK1518"/>
      <c r="TCL1518"/>
      <c r="TCM1518"/>
      <c r="TCN1518"/>
      <c r="TCO1518"/>
      <c r="TCP1518"/>
      <c r="TCQ1518"/>
      <c r="TCR1518"/>
      <c r="TCS1518"/>
      <c r="TCT1518"/>
      <c r="TCU1518"/>
      <c r="TCV1518"/>
      <c r="TCW1518"/>
      <c r="TCX1518"/>
      <c r="TCY1518"/>
      <c r="TCZ1518"/>
      <c r="TDA1518"/>
      <c r="TDB1518"/>
      <c r="TDC1518"/>
      <c r="TDD1518"/>
      <c r="TDE1518"/>
      <c r="TDF1518"/>
      <c r="TDG1518"/>
      <c r="TDH1518"/>
      <c r="TDI1518"/>
      <c r="TDJ1518"/>
      <c r="TDK1518"/>
      <c r="TDL1518"/>
      <c r="TDM1518"/>
      <c r="TDN1518"/>
      <c r="TDO1518"/>
      <c r="TDP1518"/>
      <c r="TDQ1518"/>
      <c r="TDR1518"/>
      <c r="TDS1518"/>
      <c r="TDT1518"/>
      <c r="TDU1518"/>
      <c r="TDV1518"/>
      <c r="TDW1518"/>
      <c r="TDX1518"/>
      <c r="TDY1518"/>
      <c r="TDZ1518"/>
      <c r="TEA1518"/>
      <c r="TEB1518"/>
      <c r="TEC1518"/>
      <c r="TED1518"/>
      <c r="TEE1518"/>
      <c r="TEF1518"/>
      <c r="TEG1518"/>
      <c r="TEH1518"/>
      <c r="TEI1518"/>
      <c r="TEJ1518"/>
      <c r="TEK1518"/>
      <c r="TEL1518"/>
      <c r="TEM1518"/>
      <c r="TEN1518"/>
      <c r="TEO1518"/>
      <c r="TEP1518"/>
      <c r="TEQ1518"/>
      <c r="TER1518"/>
      <c r="TES1518"/>
      <c r="TET1518"/>
      <c r="TEU1518"/>
      <c r="TEV1518"/>
      <c r="TEW1518"/>
      <c r="TEX1518"/>
      <c r="TEY1518"/>
      <c r="TEZ1518"/>
      <c r="TFA1518"/>
      <c r="TFB1518"/>
      <c r="TFC1518"/>
      <c r="TFD1518"/>
      <c r="TFE1518"/>
      <c r="TFF1518"/>
      <c r="TFG1518"/>
      <c r="TFH1518"/>
      <c r="TFI1518"/>
      <c r="TFJ1518"/>
      <c r="TFK1518"/>
      <c r="TFL1518"/>
      <c r="TFM1518"/>
      <c r="TFN1518"/>
      <c r="TFO1518"/>
      <c r="TFP1518"/>
      <c r="TFQ1518"/>
      <c r="TFR1518"/>
      <c r="TFS1518"/>
      <c r="TFT1518"/>
      <c r="TFU1518"/>
      <c r="TFV1518"/>
      <c r="TFW1518"/>
      <c r="TFX1518"/>
      <c r="TFY1518"/>
      <c r="TFZ1518"/>
      <c r="TGA1518"/>
      <c r="TGB1518"/>
      <c r="TGC1518"/>
      <c r="TGD1518"/>
      <c r="TGE1518"/>
      <c r="TGF1518"/>
      <c r="TGG1518"/>
      <c r="TGH1518"/>
      <c r="TGI1518"/>
      <c r="TGJ1518"/>
      <c r="TGK1518"/>
      <c r="TGL1518"/>
      <c r="TGM1518"/>
      <c r="TGN1518"/>
      <c r="TGO1518"/>
      <c r="TGP1518"/>
      <c r="TGQ1518"/>
      <c r="TGR1518"/>
      <c r="TGS1518"/>
      <c r="TGT1518"/>
      <c r="TGU1518"/>
      <c r="TGV1518"/>
      <c r="TGW1518"/>
      <c r="TGX1518"/>
      <c r="TGY1518"/>
      <c r="TGZ1518"/>
      <c r="THA1518"/>
      <c r="THB1518"/>
      <c r="THC1518"/>
      <c r="THD1518"/>
      <c r="THE1518"/>
      <c r="THF1518"/>
      <c r="THG1518"/>
      <c r="THH1518"/>
      <c r="THI1518"/>
      <c r="THJ1518"/>
      <c r="THK1518"/>
      <c r="THL1518"/>
      <c r="THM1518"/>
      <c r="THN1518"/>
      <c r="THO1518"/>
      <c r="THP1518"/>
      <c r="THQ1518"/>
      <c r="THR1518"/>
      <c r="THS1518"/>
      <c r="THT1518"/>
      <c r="THU1518"/>
      <c r="THV1518"/>
      <c r="THW1518"/>
      <c r="THX1518"/>
      <c r="THY1518"/>
      <c r="THZ1518"/>
      <c r="TIA1518"/>
      <c r="TIB1518"/>
      <c r="TIC1518"/>
      <c r="TID1518"/>
      <c r="TIE1518"/>
      <c r="TIF1518"/>
      <c r="TIG1518"/>
      <c r="TIH1518"/>
      <c r="TII1518"/>
      <c r="TIJ1518"/>
      <c r="TIK1518"/>
      <c r="TIL1518"/>
      <c r="TIM1518"/>
      <c r="TIN1518"/>
      <c r="TIO1518"/>
      <c r="TIP1518"/>
      <c r="TIQ1518"/>
      <c r="TIR1518"/>
      <c r="TIS1518"/>
      <c r="TIT1518"/>
      <c r="TIU1518"/>
      <c r="TIV1518"/>
      <c r="TIW1518"/>
      <c r="TIX1518"/>
      <c r="TIY1518"/>
      <c r="TIZ1518"/>
      <c r="TJA1518"/>
      <c r="TJB1518"/>
      <c r="TJC1518"/>
      <c r="TJD1518"/>
      <c r="TJE1518"/>
      <c r="TJF1518"/>
      <c r="TJG1518"/>
      <c r="TJH1518"/>
      <c r="TJI1518"/>
      <c r="TJJ1518"/>
      <c r="TJK1518"/>
      <c r="TJL1518"/>
      <c r="TJM1518"/>
      <c r="TJN1518"/>
      <c r="TJO1518"/>
      <c r="TJP1518"/>
      <c r="TJQ1518"/>
      <c r="TJR1518"/>
      <c r="TJS1518"/>
      <c r="TJT1518"/>
      <c r="TJU1518"/>
      <c r="TJV1518"/>
      <c r="TJW1518"/>
      <c r="TJX1518"/>
      <c r="TJY1518"/>
      <c r="TJZ1518"/>
      <c r="TKA1518"/>
      <c r="TKB1518"/>
      <c r="TKC1518"/>
      <c r="TKD1518"/>
      <c r="TKE1518"/>
      <c r="TKF1518"/>
      <c r="TKG1518"/>
      <c r="TKH1518"/>
      <c r="TKI1518"/>
      <c r="TKJ1518"/>
      <c r="TKK1518"/>
      <c r="TKL1518"/>
      <c r="TKM1518"/>
      <c r="TKN1518"/>
      <c r="TKO1518"/>
      <c r="TKP1518"/>
      <c r="TKQ1518"/>
      <c r="TKR1518"/>
      <c r="TKS1518"/>
      <c r="TKT1518"/>
      <c r="TKU1518"/>
      <c r="TKV1518"/>
      <c r="TKW1518"/>
      <c r="TKX1518"/>
      <c r="TKY1518"/>
      <c r="TKZ1518"/>
      <c r="TLA1518"/>
      <c r="TLB1518"/>
      <c r="TLC1518"/>
      <c r="TLD1518"/>
      <c r="TLE1518"/>
      <c r="TLF1518"/>
      <c r="TLG1518"/>
      <c r="TLH1518"/>
      <c r="TLI1518"/>
      <c r="TLJ1518"/>
      <c r="TLK1518"/>
      <c r="TLL1518"/>
      <c r="TLM1518"/>
      <c r="TLN1518"/>
      <c r="TLO1518"/>
      <c r="TLP1518"/>
      <c r="TLQ1518"/>
      <c r="TLR1518"/>
      <c r="TLS1518"/>
      <c r="TLT1518"/>
      <c r="TLU1518"/>
      <c r="TLV1518"/>
      <c r="TLW1518"/>
      <c r="TLX1518"/>
      <c r="TLY1518"/>
      <c r="TLZ1518"/>
      <c r="TMA1518"/>
      <c r="TMB1518"/>
      <c r="TMC1518"/>
      <c r="TMD1518"/>
      <c r="TME1518"/>
      <c r="TMF1518"/>
      <c r="TMG1518"/>
      <c r="TMH1518"/>
      <c r="TMI1518"/>
      <c r="TMJ1518"/>
      <c r="TMK1518"/>
      <c r="TML1518"/>
      <c r="TMM1518"/>
      <c r="TMN1518"/>
      <c r="TMO1518"/>
      <c r="TMP1518"/>
      <c r="TMQ1518"/>
      <c r="TMR1518"/>
      <c r="TMS1518"/>
      <c r="TMT1518"/>
      <c r="TMU1518"/>
      <c r="TMV1518"/>
      <c r="TMW1518"/>
      <c r="TMX1518"/>
      <c r="TMY1518"/>
      <c r="TMZ1518"/>
      <c r="TNA1518"/>
      <c r="TNB1518"/>
      <c r="TNC1518"/>
      <c r="TND1518"/>
      <c r="TNE1518"/>
      <c r="TNF1518"/>
      <c r="TNG1518"/>
      <c r="TNH1518"/>
      <c r="TNI1518"/>
      <c r="TNJ1518"/>
      <c r="TNK1518"/>
      <c r="TNL1518"/>
      <c r="TNM1518"/>
      <c r="TNN1518"/>
      <c r="TNO1518"/>
      <c r="TNP1518"/>
      <c r="TNQ1518"/>
      <c r="TNR1518"/>
      <c r="TNS1518"/>
      <c r="TNT1518"/>
      <c r="TNU1518"/>
      <c r="TNV1518"/>
      <c r="TNW1518"/>
      <c r="TNX1518"/>
      <c r="TNY1518"/>
      <c r="TNZ1518"/>
      <c r="TOA1518"/>
      <c r="TOB1518"/>
      <c r="TOC1518"/>
      <c r="TOD1518"/>
      <c r="TOE1518"/>
      <c r="TOF1518"/>
      <c r="TOG1518"/>
      <c r="TOH1518"/>
      <c r="TOI1518"/>
      <c r="TOJ1518"/>
      <c r="TOK1518"/>
      <c r="TOL1518"/>
      <c r="TOM1518"/>
      <c r="TON1518"/>
      <c r="TOO1518"/>
      <c r="TOP1518"/>
      <c r="TOQ1518"/>
      <c r="TOR1518"/>
      <c r="TOS1518"/>
      <c r="TOT1518"/>
      <c r="TOU1518"/>
      <c r="TOV1518"/>
      <c r="TOW1518"/>
      <c r="TOX1518"/>
      <c r="TOY1518"/>
      <c r="TOZ1518"/>
      <c r="TPA1518"/>
      <c r="TPB1518"/>
      <c r="TPC1518"/>
      <c r="TPD1518"/>
      <c r="TPE1518"/>
      <c r="TPF1518"/>
      <c r="TPG1518"/>
      <c r="TPH1518"/>
      <c r="TPI1518"/>
      <c r="TPJ1518"/>
      <c r="TPK1518"/>
      <c r="TPL1518"/>
      <c r="TPM1518"/>
      <c r="TPN1518"/>
      <c r="TPO1518"/>
      <c r="TPP1518"/>
      <c r="TPQ1518"/>
      <c r="TPR1518"/>
      <c r="TPS1518"/>
      <c r="TPT1518"/>
      <c r="TPU1518"/>
      <c r="TPV1518"/>
      <c r="TPW1518"/>
      <c r="TPX1518"/>
      <c r="TPY1518"/>
      <c r="TPZ1518"/>
      <c r="TQA1518"/>
      <c r="TQB1518"/>
      <c r="TQC1518"/>
      <c r="TQD1518"/>
      <c r="TQE1518"/>
      <c r="TQF1518"/>
      <c r="TQG1518"/>
      <c r="TQH1518"/>
      <c r="TQI1518"/>
      <c r="TQJ1518"/>
      <c r="TQK1518"/>
      <c r="TQL1518"/>
      <c r="TQM1518"/>
      <c r="TQN1518"/>
      <c r="TQO1518"/>
      <c r="TQP1518"/>
      <c r="TQQ1518"/>
      <c r="TQR1518"/>
      <c r="TQS1518"/>
      <c r="TQT1518"/>
      <c r="TQU1518"/>
      <c r="TQV1518"/>
      <c r="TQW1518"/>
      <c r="TQX1518"/>
      <c r="TQY1518"/>
      <c r="TQZ1518"/>
      <c r="TRA1518"/>
      <c r="TRB1518"/>
      <c r="TRC1518"/>
      <c r="TRD1518"/>
      <c r="TRE1518"/>
      <c r="TRF1518"/>
      <c r="TRG1518"/>
      <c r="TRH1518"/>
      <c r="TRI1518"/>
      <c r="TRJ1518"/>
      <c r="TRK1518"/>
      <c r="TRL1518"/>
      <c r="TRM1518"/>
      <c r="TRN1518"/>
      <c r="TRO1518"/>
      <c r="TRP1518"/>
      <c r="TRQ1518"/>
      <c r="TRR1518"/>
      <c r="TRS1518"/>
      <c r="TRT1518"/>
      <c r="TRU1518"/>
      <c r="TRV1518"/>
      <c r="TRW1518"/>
      <c r="TRX1518"/>
      <c r="TRY1518"/>
      <c r="TRZ1518"/>
      <c r="TSA1518"/>
      <c r="TSB1518"/>
      <c r="TSC1518"/>
      <c r="TSD1518"/>
      <c r="TSE1518"/>
      <c r="TSF1518"/>
      <c r="TSG1518"/>
      <c r="TSH1518"/>
      <c r="TSI1518"/>
      <c r="TSJ1518"/>
      <c r="TSK1518"/>
      <c r="TSL1518"/>
      <c r="TSM1518"/>
      <c r="TSN1518"/>
      <c r="TSO1518"/>
      <c r="TSP1518"/>
      <c r="TSQ1518"/>
      <c r="TSR1518"/>
      <c r="TSS1518"/>
      <c r="TST1518"/>
      <c r="TSU1518"/>
      <c r="TSV1518"/>
      <c r="TSW1518"/>
      <c r="TSX1518"/>
      <c r="TSY1518"/>
      <c r="TSZ1518"/>
      <c r="TTA1518"/>
      <c r="TTB1518"/>
      <c r="TTC1518"/>
      <c r="TTD1518"/>
      <c r="TTE1518"/>
      <c r="TTF1518"/>
      <c r="TTG1518"/>
      <c r="TTH1518"/>
      <c r="TTI1518"/>
      <c r="TTJ1518"/>
      <c r="TTK1518"/>
      <c r="TTL1518"/>
      <c r="TTM1518"/>
      <c r="TTN1518"/>
      <c r="TTO1518"/>
      <c r="TTP1518"/>
      <c r="TTQ1518"/>
      <c r="TTR1518"/>
      <c r="TTS1518"/>
      <c r="TTT1518"/>
      <c r="TTU1518"/>
      <c r="TTV1518"/>
      <c r="TTW1518"/>
      <c r="TTX1518"/>
      <c r="TTY1518"/>
      <c r="TTZ1518"/>
      <c r="TUA1518"/>
      <c r="TUB1518"/>
      <c r="TUC1518"/>
      <c r="TUD1518"/>
      <c r="TUE1518"/>
      <c r="TUF1518"/>
      <c r="TUG1518"/>
      <c r="TUH1518"/>
      <c r="TUI1518"/>
      <c r="TUJ1518"/>
      <c r="TUK1518"/>
      <c r="TUL1518"/>
      <c r="TUM1518"/>
      <c r="TUN1518"/>
      <c r="TUO1518"/>
      <c r="TUP1518"/>
      <c r="TUQ1518"/>
      <c r="TUR1518"/>
      <c r="TUS1518"/>
      <c r="TUT1518"/>
      <c r="TUU1518"/>
      <c r="TUV1518"/>
      <c r="TUW1518"/>
      <c r="TUX1518"/>
      <c r="TUY1518"/>
      <c r="TUZ1518"/>
      <c r="TVA1518"/>
      <c r="TVB1518"/>
      <c r="TVC1518"/>
      <c r="TVD1518"/>
      <c r="TVE1518"/>
      <c r="TVF1518"/>
      <c r="TVG1518"/>
      <c r="TVH1518"/>
      <c r="TVI1518"/>
      <c r="TVJ1518"/>
      <c r="TVK1518"/>
      <c r="TVL1518"/>
      <c r="TVM1518"/>
      <c r="TVN1518"/>
      <c r="TVO1518"/>
      <c r="TVP1518"/>
      <c r="TVQ1518"/>
      <c r="TVR1518"/>
      <c r="TVS1518"/>
      <c r="TVT1518"/>
      <c r="TVU1518"/>
      <c r="TVV1518"/>
      <c r="TVW1518"/>
      <c r="TVX1518"/>
      <c r="TVY1518"/>
      <c r="TVZ1518"/>
      <c r="TWA1518"/>
      <c r="TWB1518"/>
      <c r="TWC1518"/>
      <c r="TWD1518"/>
      <c r="TWE1518"/>
      <c r="TWF1518"/>
      <c r="TWG1518"/>
      <c r="TWH1518"/>
      <c r="TWI1518"/>
      <c r="TWJ1518"/>
      <c r="TWK1518"/>
      <c r="TWL1518"/>
      <c r="TWM1518"/>
      <c r="TWN1518"/>
      <c r="TWO1518"/>
      <c r="TWP1518"/>
      <c r="TWQ1518"/>
      <c r="TWR1518"/>
      <c r="TWS1518"/>
      <c r="TWT1518"/>
      <c r="TWU1518"/>
      <c r="TWV1518"/>
      <c r="TWW1518"/>
      <c r="TWX1518"/>
      <c r="TWY1518"/>
      <c r="TWZ1518"/>
      <c r="TXA1518"/>
      <c r="TXB1518"/>
      <c r="TXC1518"/>
      <c r="TXD1518"/>
      <c r="TXE1518"/>
      <c r="TXF1518"/>
      <c r="TXG1518"/>
      <c r="TXH1518"/>
      <c r="TXI1518"/>
      <c r="TXJ1518"/>
      <c r="TXK1518"/>
      <c r="TXL1518"/>
      <c r="TXM1518"/>
      <c r="TXN1518"/>
      <c r="TXO1518"/>
      <c r="TXP1518"/>
      <c r="TXQ1518"/>
      <c r="TXR1518"/>
      <c r="TXS1518"/>
      <c r="TXT1518"/>
      <c r="TXU1518"/>
      <c r="TXV1518"/>
      <c r="TXW1518"/>
      <c r="TXX1518"/>
      <c r="TXY1518"/>
      <c r="TXZ1518"/>
      <c r="TYA1518"/>
      <c r="TYB1518"/>
      <c r="TYC1518"/>
      <c r="TYD1518"/>
      <c r="TYE1518"/>
      <c r="TYF1518"/>
      <c r="TYG1518"/>
      <c r="TYH1518"/>
      <c r="TYI1518"/>
      <c r="TYJ1518"/>
      <c r="TYK1518"/>
      <c r="TYL1518"/>
      <c r="TYM1518"/>
      <c r="TYN1518"/>
      <c r="TYO1518"/>
      <c r="TYP1518"/>
      <c r="TYQ1518"/>
      <c r="TYR1518"/>
      <c r="TYS1518"/>
      <c r="TYT1518"/>
      <c r="TYU1518"/>
      <c r="TYV1518"/>
      <c r="TYW1518"/>
      <c r="TYX1518"/>
      <c r="TYY1518"/>
      <c r="TYZ1518"/>
      <c r="TZA1518"/>
      <c r="TZB1518"/>
      <c r="TZC1518"/>
      <c r="TZD1518"/>
      <c r="TZE1518"/>
      <c r="TZF1518"/>
      <c r="TZG1518"/>
      <c r="TZH1518"/>
      <c r="TZI1518"/>
      <c r="TZJ1518"/>
      <c r="TZK1518"/>
      <c r="TZL1518"/>
      <c r="TZM1518"/>
      <c r="TZN1518"/>
      <c r="TZO1518"/>
      <c r="TZP1518"/>
      <c r="TZQ1518"/>
      <c r="TZR1518"/>
      <c r="TZS1518"/>
      <c r="TZT1518"/>
      <c r="TZU1518"/>
      <c r="TZV1518"/>
      <c r="TZW1518"/>
      <c r="TZX1518"/>
      <c r="TZY1518"/>
      <c r="TZZ1518"/>
      <c r="UAA1518"/>
      <c r="UAB1518"/>
      <c r="UAC1518"/>
      <c r="UAD1518"/>
      <c r="UAE1518"/>
      <c r="UAF1518"/>
      <c r="UAG1518"/>
      <c r="UAH1518"/>
      <c r="UAI1518"/>
      <c r="UAJ1518"/>
      <c r="UAK1518"/>
      <c r="UAL1518"/>
      <c r="UAM1518"/>
      <c r="UAN1518"/>
      <c r="UAO1518"/>
      <c r="UAP1518"/>
      <c r="UAQ1518"/>
      <c r="UAR1518"/>
      <c r="UAS1518"/>
      <c r="UAT1518"/>
      <c r="UAU1518"/>
      <c r="UAV1518"/>
      <c r="UAW1518"/>
      <c r="UAX1518"/>
      <c r="UAY1518"/>
      <c r="UAZ1518"/>
      <c r="UBA1518"/>
      <c r="UBB1518"/>
      <c r="UBC1518"/>
      <c r="UBD1518"/>
      <c r="UBE1518"/>
      <c r="UBF1518"/>
      <c r="UBG1518"/>
      <c r="UBH1518"/>
      <c r="UBI1518"/>
      <c r="UBJ1518"/>
      <c r="UBK1518"/>
      <c r="UBL1518"/>
      <c r="UBM1518"/>
      <c r="UBN1518"/>
      <c r="UBO1518"/>
      <c r="UBP1518"/>
      <c r="UBQ1518"/>
      <c r="UBR1518"/>
      <c r="UBS1518"/>
      <c r="UBT1518"/>
      <c r="UBU1518"/>
      <c r="UBV1518"/>
      <c r="UBW1518"/>
      <c r="UBX1518"/>
      <c r="UBY1518"/>
      <c r="UBZ1518"/>
      <c r="UCA1518"/>
      <c r="UCB1518"/>
      <c r="UCC1518"/>
      <c r="UCD1518"/>
      <c r="UCE1518"/>
      <c r="UCF1518"/>
      <c r="UCG1518"/>
      <c r="UCH1518"/>
      <c r="UCI1518"/>
      <c r="UCJ1518"/>
      <c r="UCK1518"/>
      <c r="UCL1518"/>
      <c r="UCM1518"/>
      <c r="UCN1518"/>
      <c r="UCO1518"/>
      <c r="UCP1518"/>
      <c r="UCQ1518"/>
      <c r="UCR1518"/>
      <c r="UCS1518"/>
      <c r="UCT1518"/>
      <c r="UCU1518"/>
      <c r="UCV1518"/>
      <c r="UCW1518"/>
      <c r="UCX1518"/>
      <c r="UCY1518"/>
      <c r="UCZ1518"/>
      <c r="UDA1518"/>
      <c r="UDB1518"/>
      <c r="UDC1518"/>
      <c r="UDD1518"/>
      <c r="UDE1518"/>
      <c r="UDF1518"/>
      <c r="UDG1518"/>
      <c r="UDH1518"/>
      <c r="UDI1518"/>
      <c r="UDJ1518"/>
      <c r="UDK1518"/>
      <c r="UDL1518"/>
      <c r="UDM1518"/>
      <c r="UDN1518"/>
      <c r="UDO1518"/>
      <c r="UDP1518"/>
      <c r="UDQ1518"/>
      <c r="UDR1518"/>
      <c r="UDS1518"/>
      <c r="UDT1518"/>
      <c r="UDU1518"/>
      <c r="UDV1518"/>
      <c r="UDW1518"/>
      <c r="UDX1518"/>
      <c r="UDY1518"/>
      <c r="UDZ1518"/>
      <c r="UEA1518"/>
      <c r="UEB1518"/>
      <c r="UEC1518"/>
      <c r="UED1518"/>
      <c r="UEE1518"/>
      <c r="UEF1518"/>
      <c r="UEG1518"/>
      <c r="UEH1518"/>
      <c r="UEI1518"/>
      <c r="UEJ1518"/>
      <c r="UEK1518"/>
      <c r="UEL1518"/>
      <c r="UEM1518"/>
      <c r="UEN1518"/>
      <c r="UEO1518"/>
      <c r="UEP1518"/>
      <c r="UEQ1518"/>
      <c r="UER1518"/>
      <c r="UES1518"/>
      <c r="UET1518"/>
      <c r="UEU1518"/>
      <c r="UEV1518"/>
      <c r="UEW1518"/>
      <c r="UEX1518"/>
      <c r="UEY1518"/>
      <c r="UEZ1518"/>
      <c r="UFA1518"/>
      <c r="UFB1518"/>
      <c r="UFC1518"/>
      <c r="UFD1518"/>
      <c r="UFE1518"/>
      <c r="UFF1518"/>
      <c r="UFG1518"/>
      <c r="UFH1518"/>
      <c r="UFI1518"/>
      <c r="UFJ1518"/>
      <c r="UFK1518"/>
      <c r="UFL1518"/>
      <c r="UFM1518"/>
      <c r="UFN1518"/>
      <c r="UFO1518"/>
      <c r="UFP1518"/>
      <c r="UFQ1518"/>
      <c r="UFR1518"/>
      <c r="UFS1518"/>
      <c r="UFT1518"/>
      <c r="UFU1518"/>
      <c r="UFV1518"/>
      <c r="UFW1518"/>
      <c r="UFX1518"/>
      <c r="UFY1518"/>
      <c r="UFZ1518"/>
      <c r="UGA1518"/>
      <c r="UGB1518"/>
      <c r="UGC1518"/>
      <c r="UGD1518"/>
      <c r="UGE1518"/>
      <c r="UGF1518"/>
      <c r="UGG1518"/>
      <c r="UGH1518"/>
      <c r="UGI1518"/>
      <c r="UGJ1518"/>
      <c r="UGK1518"/>
      <c r="UGL1518"/>
      <c r="UGM1518"/>
      <c r="UGN1518"/>
      <c r="UGO1518"/>
      <c r="UGP1518"/>
      <c r="UGQ1518"/>
      <c r="UGR1518"/>
      <c r="UGS1518"/>
      <c r="UGT1518"/>
      <c r="UGU1518"/>
      <c r="UGV1518"/>
      <c r="UGW1518"/>
      <c r="UGX1518"/>
      <c r="UGY1518"/>
      <c r="UGZ1518"/>
      <c r="UHA1518"/>
      <c r="UHB1518"/>
      <c r="UHC1518"/>
      <c r="UHD1518"/>
      <c r="UHE1518"/>
      <c r="UHF1518"/>
      <c r="UHG1518"/>
      <c r="UHH1518"/>
      <c r="UHI1518"/>
      <c r="UHJ1518"/>
      <c r="UHK1518"/>
      <c r="UHL1518"/>
      <c r="UHM1518"/>
      <c r="UHN1518"/>
      <c r="UHO1518"/>
      <c r="UHP1518"/>
      <c r="UHQ1518"/>
      <c r="UHR1518"/>
      <c r="UHS1518"/>
      <c r="UHT1518"/>
      <c r="UHU1518"/>
      <c r="UHV1518"/>
      <c r="UHW1518"/>
      <c r="UHX1518"/>
      <c r="UHY1518"/>
      <c r="UHZ1518"/>
      <c r="UIA1518"/>
      <c r="UIB1518"/>
      <c r="UIC1518"/>
      <c r="UID1518"/>
      <c r="UIE1518"/>
      <c r="UIF1518"/>
      <c r="UIG1518"/>
      <c r="UIH1518"/>
      <c r="UII1518"/>
      <c r="UIJ1518"/>
      <c r="UIK1518"/>
      <c r="UIL1518"/>
      <c r="UIM1518"/>
      <c r="UIN1518"/>
      <c r="UIO1518"/>
      <c r="UIP1518"/>
      <c r="UIQ1518"/>
      <c r="UIR1518"/>
      <c r="UIS1518"/>
      <c r="UIT1518"/>
      <c r="UIU1518"/>
      <c r="UIV1518"/>
      <c r="UIW1518"/>
      <c r="UIX1518"/>
      <c r="UIY1518"/>
      <c r="UIZ1518"/>
      <c r="UJA1518"/>
      <c r="UJB1518"/>
      <c r="UJC1518"/>
      <c r="UJD1518"/>
      <c r="UJE1518"/>
      <c r="UJF1518"/>
      <c r="UJG1518"/>
      <c r="UJH1518"/>
      <c r="UJI1518"/>
      <c r="UJJ1518"/>
      <c r="UJK1518"/>
      <c r="UJL1518"/>
      <c r="UJM1518"/>
      <c r="UJN1518"/>
      <c r="UJO1518"/>
      <c r="UJP1518"/>
      <c r="UJQ1518"/>
      <c r="UJR1518"/>
      <c r="UJS1518"/>
      <c r="UJT1518"/>
      <c r="UJU1518"/>
      <c r="UJV1518"/>
      <c r="UJW1518"/>
      <c r="UJX1518"/>
      <c r="UJY1518"/>
      <c r="UJZ1518"/>
      <c r="UKA1518"/>
      <c r="UKB1518"/>
      <c r="UKC1518"/>
      <c r="UKD1518"/>
      <c r="UKE1518"/>
      <c r="UKF1518"/>
      <c r="UKG1518"/>
      <c r="UKH1518"/>
      <c r="UKI1518"/>
      <c r="UKJ1518"/>
      <c r="UKK1518"/>
      <c r="UKL1518"/>
      <c r="UKM1518"/>
      <c r="UKN1518"/>
      <c r="UKO1518"/>
      <c r="UKP1518"/>
      <c r="UKQ1518"/>
      <c r="UKR1518"/>
      <c r="UKS1518"/>
      <c r="UKT1518"/>
      <c r="UKU1518"/>
      <c r="UKV1518"/>
      <c r="UKW1518"/>
      <c r="UKX1518"/>
      <c r="UKY1518"/>
      <c r="UKZ1518"/>
      <c r="ULA1518"/>
      <c r="ULB1518"/>
      <c r="ULC1518"/>
      <c r="ULD1518"/>
      <c r="ULE1518"/>
      <c r="ULF1518"/>
      <c r="ULG1518"/>
      <c r="ULH1518"/>
      <c r="ULI1518"/>
      <c r="ULJ1518"/>
      <c r="ULK1518"/>
      <c r="ULL1518"/>
      <c r="ULM1518"/>
      <c r="ULN1518"/>
      <c r="ULO1518"/>
      <c r="ULP1518"/>
      <c r="ULQ1518"/>
      <c r="ULR1518"/>
      <c r="ULS1518"/>
      <c r="ULT1518"/>
      <c r="ULU1518"/>
      <c r="ULV1518"/>
      <c r="ULW1518"/>
      <c r="ULX1518"/>
      <c r="ULY1518"/>
      <c r="ULZ1518"/>
      <c r="UMA1518"/>
      <c r="UMB1518"/>
      <c r="UMC1518"/>
      <c r="UMD1518"/>
      <c r="UME1518"/>
      <c r="UMF1518"/>
      <c r="UMG1518"/>
      <c r="UMH1518"/>
      <c r="UMI1518"/>
      <c r="UMJ1518"/>
      <c r="UMK1518"/>
      <c r="UML1518"/>
      <c r="UMM1518"/>
      <c r="UMN1518"/>
      <c r="UMO1518"/>
      <c r="UMP1518"/>
      <c r="UMQ1518"/>
      <c r="UMR1518"/>
      <c r="UMS1518"/>
      <c r="UMT1518"/>
      <c r="UMU1518"/>
      <c r="UMV1518"/>
      <c r="UMW1518"/>
      <c r="UMX1518"/>
      <c r="UMY1518"/>
      <c r="UMZ1518"/>
      <c r="UNA1518"/>
      <c r="UNB1518"/>
      <c r="UNC1518"/>
      <c r="UND1518"/>
      <c r="UNE1518"/>
      <c r="UNF1518"/>
      <c r="UNG1518"/>
      <c r="UNH1518"/>
      <c r="UNI1518"/>
      <c r="UNJ1518"/>
      <c r="UNK1518"/>
      <c r="UNL1518"/>
      <c r="UNM1518"/>
      <c r="UNN1518"/>
      <c r="UNO1518"/>
      <c r="UNP1518"/>
      <c r="UNQ1518"/>
      <c r="UNR1518"/>
      <c r="UNS1518"/>
      <c r="UNT1518"/>
      <c r="UNU1518"/>
      <c r="UNV1518"/>
      <c r="UNW1518"/>
      <c r="UNX1518"/>
      <c r="UNY1518"/>
      <c r="UNZ1518"/>
      <c r="UOA1518"/>
      <c r="UOB1518"/>
      <c r="UOC1518"/>
      <c r="UOD1518"/>
      <c r="UOE1518"/>
      <c r="UOF1518"/>
      <c r="UOG1518"/>
      <c r="UOH1518"/>
      <c r="UOI1518"/>
      <c r="UOJ1518"/>
      <c r="UOK1518"/>
      <c r="UOL1518"/>
      <c r="UOM1518"/>
      <c r="UON1518"/>
      <c r="UOO1518"/>
      <c r="UOP1518"/>
      <c r="UOQ1518"/>
      <c r="UOR1518"/>
      <c r="UOS1518"/>
      <c r="UOT1518"/>
      <c r="UOU1518"/>
      <c r="UOV1518"/>
      <c r="UOW1518"/>
      <c r="UOX1518"/>
      <c r="UOY1518"/>
      <c r="UOZ1518"/>
      <c r="UPA1518"/>
      <c r="UPB1518"/>
      <c r="UPC1518"/>
      <c r="UPD1518"/>
      <c r="UPE1518"/>
      <c r="UPF1518"/>
      <c r="UPG1518"/>
      <c r="UPH1518"/>
      <c r="UPI1518"/>
      <c r="UPJ1518"/>
      <c r="UPK1518"/>
      <c r="UPL1518"/>
      <c r="UPM1518"/>
      <c r="UPN1518"/>
      <c r="UPO1518"/>
      <c r="UPP1518"/>
      <c r="UPQ1518"/>
      <c r="UPR1518"/>
      <c r="UPS1518"/>
      <c r="UPT1518"/>
      <c r="UPU1518"/>
      <c r="UPV1518"/>
      <c r="UPW1518"/>
      <c r="UPX1518"/>
      <c r="UPY1518"/>
      <c r="UPZ1518"/>
      <c r="UQA1518"/>
      <c r="UQB1518"/>
      <c r="UQC1518"/>
      <c r="UQD1518"/>
      <c r="UQE1518"/>
      <c r="UQF1518"/>
      <c r="UQG1518"/>
      <c r="UQH1518"/>
      <c r="UQI1518"/>
      <c r="UQJ1518"/>
      <c r="UQK1518"/>
      <c r="UQL1518"/>
      <c r="UQM1518"/>
      <c r="UQN1518"/>
      <c r="UQO1518"/>
      <c r="UQP1518"/>
      <c r="UQQ1518"/>
      <c r="UQR1518"/>
      <c r="UQS1518"/>
      <c r="UQT1518"/>
      <c r="UQU1518"/>
      <c r="UQV1518"/>
      <c r="UQW1518"/>
      <c r="UQX1518"/>
      <c r="UQY1518"/>
      <c r="UQZ1518"/>
      <c r="URA1518"/>
      <c r="URB1518"/>
      <c r="URC1518"/>
      <c r="URD1518"/>
      <c r="URE1518"/>
      <c r="URF1518"/>
      <c r="URG1518"/>
      <c r="URH1518"/>
      <c r="URI1518"/>
      <c r="URJ1518"/>
      <c r="URK1518"/>
      <c r="URL1518"/>
      <c r="URM1518"/>
      <c r="URN1518"/>
      <c r="URO1518"/>
      <c r="URP1518"/>
      <c r="URQ1518"/>
      <c r="URR1518"/>
      <c r="URS1518"/>
      <c r="URT1518"/>
      <c r="URU1518"/>
      <c r="URV1518"/>
      <c r="URW1518"/>
      <c r="URX1518"/>
      <c r="URY1518"/>
      <c r="URZ1518"/>
      <c r="USA1518"/>
      <c r="USB1518"/>
      <c r="USC1518"/>
      <c r="USD1518"/>
      <c r="USE1518"/>
      <c r="USF1518"/>
      <c r="USG1518"/>
      <c r="USH1518"/>
      <c r="USI1518"/>
      <c r="USJ1518"/>
      <c r="USK1518"/>
      <c r="USL1518"/>
      <c r="USM1518"/>
      <c r="USN1518"/>
      <c r="USO1518"/>
      <c r="USP1518"/>
      <c r="USQ1518"/>
      <c r="USR1518"/>
      <c r="USS1518"/>
      <c r="UST1518"/>
      <c r="USU1518"/>
      <c r="USV1518"/>
      <c r="USW1518"/>
      <c r="USX1518"/>
      <c r="USY1518"/>
      <c r="USZ1518"/>
      <c r="UTA1518"/>
      <c r="UTB1518"/>
      <c r="UTC1518"/>
      <c r="UTD1518"/>
      <c r="UTE1518"/>
      <c r="UTF1518"/>
      <c r="UTG1518"/>
      <c r="UTH1518"/>
      <c r="UTI1518"/>
      <c r="UTJ1518"/>
      <c r="UTK1518"/>
      <c r="UTL1518"/>
      <c r="UTM1518"/>
      <c r="UTN1518"/>
      <c r="UTO1518"/>
      <c r="UTP1518"/>
      <c r="UTQ1518"/>
      <c r="UTR1518"/>
      <c r="UTS1518"/>
      <c r="UTT1518"/>
      <c r="UTU1518"/>
      <c r="UTV1518"/>
      <c r="UTW1518"/>
      <c r="UTX1518"/>
      <c r="UTY1518"/>
      <c r="UTZ1518"/>
      <c r="UUA1518"/>
      <c r="UUB1518"/>
      <c r="UUC1518"/>
      <c r="UUD1518"/>
      <c r="UUE1518"/>
      <c r="UUF1518"/>
      <c r="UUG1518"/>
      <c r="UUH1518"/>
      <c r="UUI1518"/>
      <c r="UUJ1518"/>
      <c r="UUK1518"/>
      <c r="UUL1518"/>
      <c r="UUM1518"/>
      <c r="UUN1518"/>
      <c r="UUO1518"/>
      <c r="UUP1518"/>
      <c r="UUQ1518"/>
      <c r="UUR1518"/>
      <c r="UUS1518"/>
      <c r="UUT1518"/>
      <c r="UUU1518"/>
      <c r="UUV1518"/>
      <c r="UUW1518"/>
      <c r="UUX1518"/>
      <c r="UUY1518"/>
      <c r="UUZ1518"/>
      <c r="UVA1518"/>
      <c r="UVB1518"/>
      <c r="UVC1518"/>
      <c r="UVD1518"/>
      <c r="UVE1518"/>
      <c r="UVF1518"/>
      <c r="UVG1518"/>
      <c r="UVH1518"/>
      <c r="UVI1518"/>
      <c r="UVJ1518"/>
      <c r="UVK1518"/>
      <c r="UVL1518"/>
      <c r="UVM1518"/>
      <c r="UVN1518"/>
      <c r="UVO1518"/>
      <c r="UVP1518"/>
      <c r="UVQ1518"/>
      <c r="UVR1518"/>
      <c r="UVS1518"/>
      <c r="UVT1518"/>
      <c r="UVU1518"/>
      <c r="UVV1518"/>
      <c r="UVW1518"/>
      <c r="UVX1518"/>
      <c r="UVY1518"/>
      <c r="UVZ1518"/>
      <c r="UWA1518"/>
      <c r="UWB1518"/>
      <c r="UWC1518"/>
      <c r="UWD1518"/>
      <c r="UWE1518"/>
      <c r="UWF1518"/>
      <c r="UWG1518"/>
      <c r="UWH1518"/>
      <c r="UWI1518"/>
      <c r="UWJ1518"/>
      <c r="UWK1518"/>
      <c r="UWL1518"/>
      <c r="UWM1518"/>
      <c r="UWN1518"/>
      <c r="UWO1518"/>
      <c r="UWP1518"/>
      <c r="UWQ1518"/>
      <c r="UWR1518"/>
      <c r="UWS1518"/>
      <c r="UWT1518"/>
      <c r="UWU1518"/>
      <c r="UWV1518"/>
      <c r="UWW1518"/>
      <c r="UWX1518"/>
      <c r="UWY1518"/>
      <c r="UWZ1518"/>
      <c r="UXA1518"/>
      <c r="UXB1518"/>
      <c r="UXC1518"/>
      <c r="UXD1518"/>
      <c r="UXE1518"/>
      <c r="UXF1518"/>
      <c r="UXG1518"/>
      <c r="UXH1518"/>
      <c r="UXI1518"/>
      <c r="UXJ1518"/>
      <c r="UXK1518"/>
      <c r="UXL1518"/>
      <c r="UXM1518"/>
      <c r="UXN1518"/>
      <c r="UXO1518"/>
      <c r="UXP1518"/>
      <c r="UXQ1518"/>
      <c r="UXR1518"/>
      <c r="UXS1518"/>
      <c r="UXT1518"/>
      <c r="UXU1518"/>
      <c r="UXV1518"/>
      <c r="UXW1518"/>
      <c r="UXX1518"/>
      <c r="UXY1518"/>
      <c r="UXZ1518"/>
      <c r="UYA1518"/>
      <c r="UYB1518"/>
      <c r="UYC1518"/>
      <c r="UYD1518"/>
      <c r="UYE1518"/>
      <c r="UYF1518"/>
      <c r="UYG1518"/>
      <c r="UYH1518"/>
      <c r="UYI1518"/>
      <c r="UYJ1518"/>
      <c r="UYK1518"/>
      <c r="UYL1518"/>
      <c r="UYM1518"/>
      <c r="UYN1518"/>
      <c r="UYO1518"/>
      <c r="UYP1518"/>
      <c r="UYQ1518"/>
      <c r="UYR1518"/>
      <c r="UYS1518"/>
      <c r="UYT1518"/>
      <c r="UYU1518"/>
      <c r="UYV1518"/>
      <c r="UYW1518"/>
      <c r="UYX1518"/>
      <c r="UYY1518"/>
      <c r="UYZ1518"/>
      <c r="UZA1518"/>
      <c r="UZB1518"/>
      <c r="UZC1518"/>
      <c r="UZD1518"/>
      <c r="UZE1518"/>
      <c r="UZF1518"/>
      <c r="UZG1518"/>
      <c r="UZH1518"/>
      <c r="UZI1518"/>
      <c r="UZJ1518"/>
      <c r="UZK1518"/>
      <c r="UZL1518"/>
      <c r="UZM1518"/>
      <c r="UZN1518"/>
      <c r="UZO1518"/>
      <c r="UZP1518"/>
      <c r="UZQ1518"/>
      <c r="UZR1518"/>
      <c r="UZS1518"/>
      <c r="UZT1518"/>
      <c r="UZU1518"/>
      <c r="UZV1518"/>
      <c r="UZW1518"/>
      <c r="UZX1518"/>
      <c r="UZY1518"/>
      <c r="UZZ1518"/>
      <c r="VAA1518"/>
      <c r="VAB1518"/>
      <c r="VAC1518"/>
      <c r="VAD1518"/>
      <c r="VAE1518"/>
      <c r="VAF1518"/>
      <c r="VAG1518"/>
      <c r="VAH1518"/>
      <c r="VAI1518"/>
      <c r="VAJ1518"/>
      <c r="VAK1518"/>
      <c r="VAL1518"/>
      <c r="VAM1518"/>
      <c r="VAN1518"/>
      <c r="VAO1518"/>
      <c r="VAP1518"/>
      <c r="VAQ1518"/>
      <c r="VAR1518"/>
      <c r="VAS1518"/>
      <c r="VAT1518"/>
      <c r="VAU1518"/>
      <c r="VAV1518"/>
      <c r="VAW1518"/>
      <c r="VAX1518"/>
      <c r="VAY1518"/>
      <c r="VAZ1518"/>
      <c r="VBA1518"/>
      <c r="VBB1518"/>
      <c r="VBC1518"/>
      <c r="VBD1518"/>
      <c r="VBE1518"/>
      <c r="VBF1518"/>
      <c r="VBG1518"/>
      <c r="VBH1518"/>
      <c r="VBI1518"/>
      <c r="VBJ1518"/>
      <c r="VBK1518"/>
      <c r="VBL1518"/>
      <c r="VBM1518"/>
      <c r="VBN1518"/>
      <c r="VBO1518"/>
      <c r="VBP1518"/>
      <c r="VBQ1518"/>
      <c r="VBR1518"/>
      <c r="VBS1518"/>
      <c r="VBT1518"/>
      <c r="VBU1518"/>
      <c r="VBV1518"/>
      <c r="VBW1518"/>
      <c r="VBX1518"/>
      <c r="VBY1518"/>
      <c r="VBZ1518"/>
      <c r="VCA1518"/>
      <c r="VCB1518"/>
      <c r="VCC1518"/>
      <c r="VCD1518"/>
      <c r="VCE1518"/>
      <c r="VCF1518"/>
      <c r="VCG1518"/>
      <c r="VCH1518"/>
      <c r="VCI1518"/>
      <c r="VCJ1518"/>
      <c r="VCK1518"/>
      <c r="VCL1518"/>
      <c r="VCM1518"/>
      <c r="VCN1518"/>
      <c r="VCO1518"/>
      <c r="VCP1518"/>
      <c r="VCQ1518"/>
      <c r="VCR1518"/>
      <c r="VCS1518"/>
      <c r="VCT1518"/>
      <c r="VCU1518"/>
      <c r="VCV1518"/>
      <c r="VCW1518"/>
      <c r="VCX1518"/>
      <c r="VCY1518"/>
      <c r="VCZ1518"/>
      <c r="VDA1518"/>
      <c r="VDB1518"/>
      <c r="VDC1518"/>
      <c r="VDD1518"/>
      <c r="VDE1518"/>
      <c r="VDF1518"/>
      <c r="VDG1518"/>
      <c r="VDH1518"/>
      <c r="VDI1518"/>
      <c r="VDJ1518"/>
      <c r="VDK1518"/>
      <c r="VDL1518"/>
      <c r="VDM1518"/>
      <c r="VDN1518"/>
      <c r="VDO1518"/>
      <c r="VDP1518"/>
      <c r="VDQ1518"/>
      <c r="VDR1518"/>
      <c r="VDS1518"/>
      <c r="VDT1518"/>
      <c r="VDU1518"/>
      <c r="VDV1518"/>
      <c r="VDW1518"/>
      <c r="VDX1518"/>
      <c r="VDY1518"/>
      <c r="VDZ1518"/>
      <c r="VEA1518"/>
      <c r="VEB1518"/>
      <c r="VEC1518"/>
      <c r="VED1518"/>
      <c r="VEE1518"/>
      <c r="VEF1518"/>
      <c r="VEG1518"/>
      <c r="VEH1518"/>
      <c r="VEI1518"/>
      <c r="VEJ1518"/>
      <c r="VEK1518"/>
      <c r="VEL1518"/>
      <c r="VEM1518"/>
      <c r="VEN1518"/>
      <c r="VEO1518"/>
      <c r="VEP1518"/>
      <c r="VEQ1518"/>
      <c r="VER1518"/>
      <c r="VES1518"/>
      <c r="VET1518"/>
      <c r="VEU1518"/>
      <c r="VEV1518"/>
      <c r="VEW1518"/>
      <c r="VEX1518"/>
      <c r="VEY1518"/>
      <c r="VEZ1518"/>
      <c r="VFA1518"/>
      <c r="VFB1518"/>
      <c r="VFC1518"/>
      <c r="VFD1518"/>
      <c r="VFE1518"/>
      <c r="VFF1518"/>
      <c r="VFG1518"/>
      <c r="VFH1518"/>
      <c r="VFI1518"/>
      <c r="VFJ1518"/>
      <c r="VFK1518"/>
      <c r="VFL1518"/>
      <c r="VFM1518"/>
      <c r="VFN1518"/>
      <c r="VFO1518"/>
      <c r="VFP1518"/>
      <c r="VFQ1518"/>
      <c r="VFR1518"/>
      <c r="VFS1518"/>
      <c r="VFT1518"/>
      <c r="VFU1518"/>
      <c r="VFV1518"/>
      <c r="VFW1518"/>
      <c r="VFX1518"/>
      <c r="VFY1518"/>
      <c r="VFZ1518"/>
      <c r="VGA1518"/>
      <c r="VGB1518"/>
      <c r="VGC1518"/>
      <c r="VGD1518"/>
      <c r="VGE1518"/>
      <c r="VGF1518"/>
      <c r="VGG1518"/>
      <c r="VGH1518"/>
      <c r="VGI1518"/>
      <c r="VGJ1518"/>
      <c r="VGK1518"/>
      <c r="VGL1518"/>
      <c r="VGM1518"/>
      <c r="VGN1518"/>
      <c r="VGO1518"/>
      <c r="VGP1518"/>
      <c r="VGQ1518"/>
      <c r="VGR1518"/>
      <c r="VGS1518"/>
      <c r="VGT1518"/>
      <c r="VGU1518"/>
      <c r="VGV1518"/>
      <c r="VGW1518"/>
      <c r="VGX1518"/>
      <c r="VGY1518"/>
      <c r="VGZ1518"/>
      <c r="VHA1518"/>
      <c r="VHB1518"/>
      <c r="VHC1518"/>
      <c r="VHD1518"/>
      <c r="VHE1518"/>
      <c r="VHF1518"/>
      <c r="VHG1518"/>
      <c r="VHH1518"/>
      <c r="VHI1518"/>
      <c r="VHJ1518"/>
      <c r="VHK1518"/>
      <c r="VHL1518"/>
      <c r="VHM1518"/>
      <c r="VHN1518"/>
      <c r="VHO1518"/>
      <c r="VHP1518"/>
      <c r="VHQ1518"/>
      <c r="VHR1518"/>
      <c r="VHS1518"/>
      <c r="VHT1518"/>
      <c r="VHU1518"/>
      <c r="VHV1518"/>
      <c r="VHW1518"/>
      <c r="VHX1518"/>
      <c r="VHY1518"/>
      <c r="VHZ1518"/>
      <c r="VIA1518"/>
      <c r="VIB1518"/>
      <c r="VIC1518"/>
      <c r="VID1518"/>
      <c r="VIE1518"/>
      <c r="VIF1518"/>
      <c r="VIG1518"/>
      <c r="VIH1518"/>
      <c r="VII1518"/>
      <c r="VIJ1518"/>
      <c r="VIK1518"/>
      <c r="VIL1518"/>
      <c r="VIM1518"/>
      <c r="VIN1518"/>
      <c r="VIO1518"/>
      <c r="VIP1518"/>
      <c r="VIQ1518"/>
      <c r="VIR1518"/>
      <c r="VIS1518"/>
      <c r="VIT1518"/>
      <c r="VIU1518"/>
      <c r="VIV1518"/>
      <c r="VIW1518"/>
      <c r="VIX1518"/>
      <c r="VIY1518"/>
      <c r="VIZ1518"/>
      <c r="VJA1518"/>
      <c r="VJB1518"/>
      <c r="VJC1518"/>
      <c r="VJD1518"/>
      <c r="VJE1518"/>
      <c r="VJF1518"/>
      <c r="VJG1518"/>
      <c r="VJH1518"/>
      <c r="VJI1518"/>
      <c r="VJJ1518"/>
      <c r="VJK1518"/>
      <c r="VJL1518"/>
      <c r="VJM1518"/>
      <c r="VJN1518"/>
      <c r="VJO1518"/>
      <c r="VJP1518"/>
      <c r="VJQ1518"/>
      <c r="VJR1518"/>
      <c r="VJS1518"/>
      <c r="VJT1518"/>
      <c r="VJU1518"/>
      <c r="VJV1518"/>
      <c r="VJW1518"/>
      <c r="VJX1518"/>
      <c r="VJY1518"/>
      <c r="VJZ1518"/>
      <c r="VKA1518"/>
      <c r="VKB1518"/>
      <c r="VKC1518"/>
      <c r="VKD1518"/>
      <c r="VKE1518"/>
      <c r="VKF1518"/>
      <c r="VKG1518"/>
      <c r="VKH1518"/>
      <c r="VKI1518"/>
      <c r="VKJ1518"/>
      <c r="VKK1518"/>
      <c r="VKL1518"/>
      <c r="VKM1518"/>
      <c r="VKN1518"/>
      <c r="VKO1518"/>
      <c r="VKP1518"/>
      <c r="VKQ1518"/>
      <c r="VKR1518"/>
      <c r="VKS1518"/>
      <c r="VKT1518"/>
      <c r="VKU1518"/>
      <c r="VKV1518"/>
      <c r="VKW1518"/>
      <c r="VKX1518"/>
      <c r="VKY1518"/>
      <c r="VKZ1518"/>
      <c r="VLA1518"/>
      <c r="VLB1518"/>
      <c r="VLC1518"/>
      <c r="VLD1518"/>
      <c r="VLE1518"/>
      <c r="VLF1518"/>
      <c r="VLG1518"/>
      <c r="VLH1518"/>
      <c r="VLI1518"/>
      <c r="VLJ1518"/>
      <c r="VLK1518"/>
      <c r="VLL1518"/>
      <c r="VLM1518"/>
      <c r="VLN1518"/>
      <c r="VLO1518"/>
      <c r="VLP1518"/>
      <c r="VLQ1518"/>
      <c r="VLR1518"/>
      <c r="VLS1518"/>
      <c r="VLT1518"/>
      <c r="VLU1518"/>
      <c r="VLV1518"/>
      <c r="VLW1518"/>
      <c r="VLX1518"/>
      <c r="VLY1518"/>
      <c r="VLZ1518"/>
      <c r="VMA1518"/>
      <c r="VMB1518"/>
      <c r="VMC1518"/>
      <c r="VMD1518"/>
      <c r="VME1518"/>
      <c r="VMF1518"/>
      <c r="VMG1518"/>
      <c r="VMH1518"/>
      <c r="VMI1518"/>
      <c r="VMJ1518"/>
      <c r="VMK1518"/>
      <c r="VML1518"/>
      <c r="VMM1518"/>
      <c r="VMN1518"/>
      <c r="VMO1518"/>
      <c r="VMP1518"/>
      <c r="VMQ1518"/>
      <c r="VMR1518"/>
      <c r="VMS1518"/>
      <c r="VMT1518"/>
      <c r="VMU1518"/>
      <c r="VMV1518"/>
      <c r="VMW1518"/>
      <c r="VMX1518"/>
      <c r="VMY1518"/>
      <c r="VMZ1518"/>
      <c r="VNA1518"/>
      <c r="VNB1518"/>
      <c r="VNC1518"/>
      <c r="VND1518"/>
      <c r="VNE1518"/>
      <c r="VNF1518"/>
      <c r="VNG1518"/>
      <c r="VNH1518"/>
      <c r="VNI1518"/>
      <c r="VNJ1518"/>
      <c r="VNK1518"/>
      <c r="VNL1518"/>
      <c r="VNM1518"/>
      <c r="VNN1518"/>
      <c r="VNO1518"/>
      <c r="VNP1518"/>
      <c r="VNQ1518"/>
      <c r="VNR1518"/>
      <c r="VNS1518"/>
      <c r="VNT1518"/>
      <c r="VNU1518"/>
      <c r="VNV1518"/>
      <c r="VNW1518"/>
      <c r="VNX1518"/>
      <c r="VNY1518"/>
      <c r="VNZ1518"/>
      <c r="VOA1518"/>
      <c r="VOB1518"/>
      <c r="VOC1518"/>
      <c r="VOD1518"/>
      <c r="VOE1518"/>
      <c r="VOF1518"/>
      <c r="VOG1518"/>
      <c r="VOH1518"/>
      <c r="VOI1518"/>
      <c r="VOJ1518"/>
      <c r="VOK1518"/>
      <c r="VOL1518"/>
      <c r="VOM1518"/>
      <c r="VON1518"/>
      <c r="VOO1518"/>
      <c r="VOP1518"/>
      <c r="VOQ1518"/>
      <c r="VOR1518"/>
      <c r="VOS1518"/>
      <c r="VOT1518"/>
      <c r="VOU1518"/>
      <c r="VOV1518"/>
      <c r="VOW1518"/>
      <c r="VOX1518"/>
      <c r="VOY1518"/>
      <c r="VOZ1518"/>
      <c r="VPA1518"/>
      <c r="VPB1518"/>
      <c r="VPC1518"/>
      <c r="VPD1518"/>
      <c r="VPE1518"/>
      <c r="VPF1518"/>
      <c r="VPG1518"/>
      <c r="VPH1518"/>
      <c r="VPI1518"/>
      <c r="VPJ1518"/>
      <c r="VPK1518"/>
      <c r="VPL1518"/>
      <c r="VPM1518"/>
      <c r="VPN1518"/>
      <c r="VPO1518"/>
      <c r="VPP1518"/>
      <c r="VPQ1518"/>
      <c r="VPR1518"/>
      <c r="VPS1518"/>
      <c r="VPT1518"/>
      <c r="VPU1518"/>
      <c r="VPV1518"/>
      <c r="VPW1518"/>
      <c r="VPX1518"/>
      <c r="VPY1518"/>
      <c r="VPZ1518"/>
      <c r="VQA1518"/>
      <c r="VQB1518"/>
      <c r="VQC1518"/>
      <c r="VQD1518"/>
      <c r="VQE1518"/>
      <c r="VQF1518"/>
      <c r="VQG1518"/>
      <c r="VQH1518"/>
      <c r="VQI1518"/>
      <c r="VQJ1518"/>
      <c r="VQK1518"/>
      <c r="VQL1518"/>
      <c r="VQM1518"/>
      <c r="VQN1518"/>
      <c r="VQO1518"/>
      <c r="VQP1518"/>
      <c r="VQQ1518"/>
      <c r="VQR1518"/>
      <c r="VQS1518"/>
      <c r="VQT1518"/>
      <c r="VQU1518"/>
      <c r="VQV1518"/>
      <c r="VQW1518"/>
      <c r="VQX1518"/>
      <c r="VQY1518"/>
      <c r="VQZ1518"/>
      <c r="VRA1518"/>
      <c r="VRB1518"/>
      <c r="VRC1518"/>
      <c r="VRD1518"/>
      <c r="VRE1518"/>
      <c r="VRF1518"/>
      <c r="VRG1518"/>
      <c r="VRH1518"/>
      <c r="VRI1518"/>
      <c r="VRJ1518"/>
      <c r="VRK1518"/>
      <c r="VRL1518"/>
      <c r="VRM1518"/>
      <c r="VRN1518"/>
      <c r="VRO1518"/>
      <c r="VRP1518"/>
      <c r="VRQ1518"/>
      <c r="VRR1518"/>
      <c r="VRS1518"/>
      <c r="VRT1518"/>
      <c r="VRU1518"/>
      <c r="VRV1518"/>
      <c r="VRW1518"/>
      <c r="VRX1518"/>
      <c r="VRY1518"/>
      <c r="VRZ1518"/>
      <c r="VSA1518"/>
      <c r="VSB1518"/>
      <c r="VSC1518"/>
      <c r="VSD1518"/>
      <c r="VSE1518"/>
      <c r="VSF1518"/>
      <c r="VSG1518"/>
      <c r="VSH1518"/>
      <c r="VSI1518"/>
      <c r="VSJ1518"/>
      <c r="VSK1518"/>
      <c r="VSL1518"/>
      <c r="VSM1518"/>
      <c r="VSN1518"/>
      <c r="VSO1518"/>
      <c r="VSP1518"/>
      <c r="VSQ1518"/>
      <c r="VSR1518"/>
      <c r="VSS1518"/>
      <c r="VST1518"/>
      <c r="VSU1518"/>
      <c r="VSV1518"/>
      <c r="VSW1518"/>
      <c r="VSX1518"/>
      <c r="VSY1518"/>
      <c r="VSZ1518"/>
      <c r="VTA1518"/>
      <c r="VTB1518"/>
      <c r="VTC1518"/>
      <c r="VTD1518"/>
      <c r="VTE1518"/>
      <c r="VTF1518"/>
      <c r="VTG1518"/>
      <c r="VTH1518"/>
      <c r="VTI1518"/>
      <c r="VTJ1518"/>
      <c r="VTK1518"/>
      <c r="VTL1518"/>
      <c r="VTM1518"/>
      <c r="VTN1518"/>
      <c r="VTO1518"/>
      <c r="VTP1518"/>
      <c r="VTQ1518"/>
      <c r="VTR1518"/>
      <c r="VTS1518"/>
      <c r="VTT1518"/>
      <c r="VTU1518"/>
      <c r="VTV1518"/>
      <c r="VTW1518"/>
      <c r="VTX1518"/>
      <c r="VTY1518"/>
      <c r="VTZ1518"/>
      <c r="VUA1518"/>
      <c r="VUB1518"/>
      <c r="VUC1518"/>
      <c r="VUD1518"/>
      <c r="VUE1518"/>
      <c r="VUF1518"/>
      <c r="VUG1518"/>
      <c r="VUH1518"/>
      <c r="VUI1518"/>
      <c r="VUJ1518"/>
      <c r="VUK1518"/>
      <c r="VUL1518"/>
      <c r="VUM1518"/>
      <c r="VUN1518"/>
      <c r="VUO1518"/>
      <c r="VUP1518"/>
      <c r="VUQ1518"/>
      <c r="VUR1518"/>
      <c r="VUS1518"/>
      <c r="VUT1518"/>
      <c r="VUU1518"/>
      <c r="VUV1518"/>
      <c r="VUW1518"/>
      <c r="VUX1518"/>
      <c r="VUY1518"/>
      <c r="VUZ1518"/>
      <c r="VVA1518"/>
      <c r="VVB1518"/>
      <c r="VVC1518"/>
      <c r="VVD1518"/>
      <c r="VVE1518"/>
      <c r="VVF1518"/>
      <c r="VVG1518"/>
      <c r="VVH1518"/>
      <c r="VVI1518"/>
      <c r="VVJ1518"/>
      <c r="VVK1518"/>
      <c r="VVL1518"/>
      <c r="VVM1518"/>
      <c r="VVN1518"/>
      <c r="VVO1518"/>
      <c r="VVP1518"/>
      <c r="VVQ1518"/>
      <c r="VVR1518"/>
      <c r="VVS1518"/>
      <c r="VVT1518"/>
      <c r="VVU1518"/>
      <c r="VVV1518"/>
      <c r="VVW1518"/>
      <c r="VVX1518"/>
      <c r="VVY1518"/>
      <c r="VVZ1518"/>
      <c r="VWA1518"/>
      <c r="VWB1518"/>
      <c r="VWC1518"/>
      <c r="VWD1518"/>
      <c r="VWE1518"/>
      <c r="VWF1518"/>
      <c r="VWG1518"/>
      <c r="VWH1518"/>
      <c r="VWI1518"/>
      <c r="VWJ1518"/>
      <c r="VWK1518"/>
      <c r="VWL1518"/>
      <c r="VWM1518"/>
      <c r="VWN1518"/>
      <c r="VWO1518"/>
      <c r="VWP1518"/>
      <c r="VWQ1518"/>
      <c r="VWR1518"/>
      <c r="VWS1518"/>
      <c r="VWT1518"/>
      <c r="VWU1518"/>
      <c r="VWV1518"/>
      <c r="VWW1518"/>
      <c r="VWX1518"/>
      <c r="VWY1518"/>
      <c r="VWZ1518"/>
      <c r="VXA1518"/>
      <c r="VXB1518"/>
      <c r="VXC1518"/>
      <c r="VXD1518"/>
      <c r="VXE1518"/>
      <c r="VXF1518"/>
      <c r="VXG1518"/>
      <c r="VXH1518"/>
      <c r="VXI1518"/>
      <c r="VXJ1518"/>
      <c r="VXK1518"/>
      <c r="VXL1518"/>
      <c r="VXM1518"/>
      <c r="VXN1518"/>
      <c r="VXO1518"/>
      <c r="VXP1518"/>
      <c r="VXQ1518"/>
      <c r="VXR1518"/>
      <c r="VXS1518"/>
      <c r="VXT1518"/>
      <c r="VXU1518"/>
      <c r="VXV1518"/>
      <c r="VXW1518"/>
      <c r="VXX1518"/>
      <c r="VXY1518"/>
      <c r="VXZ1518"/>
      <c r="VYA1518"/>
      <c r="VYB1518"/>
      <c r="VYC1518"/>
      <c r="VYD1518"/>
      <c r="VYE1518"/>
      <c r="VYF1518"/>
      <c r="VYG1518"/>
      <c r="VYH1518"/>
      <c r="VYI1518"/>
      <c r="VYJ1518"/>
      <c r="VYK1518"/>
      <c r="VYL1518"/>
      <c r="VYM1518"/>
      <c r="VYN1518"/>
      <c r="VYO1518"/>
      <c r="VYP1518"/>
      <c r="VYQ1518"/>
      <c r="VYR1518"/>
      <c r="VYS1518"/>
      <c r="VYT1518"/>
      <c r="VYU1518"/>
      <c r="VYV1518"/>
      <c r="VYW1518"/>
      <c r="VYX1518"/>
      <c r="VYY1518"/>
      <c r="VYZ1518"/>
      <c r="VZA1518"/>
      <c r="VZB1518"/>
      <c r="VZC1518"/>
      <c r="VZD1518"/>
      <c r="VZE1518"/>
      <c r="VZF1518"/>
      <c r="VZG1518"/>
      <c r="VZH1518"/>
      <c r="VZI1518"/>
      <c r="VZJ1518"/>
      <c r="VZK1518"/>
      <c r="VZL1518"/>
      <c r="VZM1518"/>
      <c r="VZN1518"/>
      <c r="VZO1518"/>
      <c r="VZP1518"/>
      <c r="VZQ1518"/>
      <c r="VZR1518"/>
      <c r="VZS1518"/>
      <c r="VZT1518"/>
      <c r="VZU1518"/>
      <c r="VZV1518"/>
      <c r="VZW1518"/>
      <c r="VZX1518"/>
      <c r="VZY1518"/>
      <c r="VZZ1518"/>
      <c r="WAA1518"/>
      <c r="WAB1518"/>
      <c r="WAC1518"/>
      <c r="WAD1518"/>
      <c r="WAE1518"/>
      <c r="WAF1518"/>
      <c r="WAG1518"/>
      <c r="WAH1518"/>
      <c r="WAI1518"/>
      <c r="WAJ1518"/>
      <c r="WAK1518"/>
      <c r="WAL1518"/>
      <c r="WAM1518"/>
      <c r="WAN1518"/>
      <c r="WAO1518"/>
      <c r="WAP1518"/>
      <c r="WAQ1518"/>
      <c r="WAR1518"/>
      <c r="WAS1518"/>
      <c r="WAT1518"/>
      <c r="WAU1518"/>
      <c r="WAV1518"/>
      <c r="WAW1518"/>
      <c r="WAX1518"/>
      <c r="WAY1518"/>
      <c r="WAZ1518"/>
      <c r="WBA1518"/>
      <c r="WBB1518"/>
      <c r="WBC1518"/>
      <c r="WBD1518"/>
      <c r="WBE1518"/>
      <c r="WBF1518"/>
      <c r="WBG1518"/>
      <c r="WBH1518"/>
      <c r="WBI1518"/>
      <c r="WBJ1518"/>
      <c r="WBK1518"/>
      <c r="WBL1518"/>
      <c r="WBM1518"/>
      <c r="WBN1518"/>
      <c r="WBO1518"/>
      <c r="WBP1518"/>
      <c r="WBQ1518"/>
      <c r="WBR1518"/>
      <c r="WBS1518"/>
      <c r="WBT1518"/>
      <c r="WBU1518"/>
      <c r="WBV1518"/>
      <c r="WBW1518"/>
      <c r="WBX1518"/>
      <c r="WBY1518"/>
      <c r="WBZ1518"/>
      <c r="WCA1518"/>
      <c r="WCB1518"/>
      <c r="WCC1518"/>
      <c r="WCD1518"/>
      <c r="WCE1518"/>
      <c r="WCF1518"/>
      <c r="WCG1518"/>
      <c r="WCH1518"/>
      <c r="WCI1518"/>
      <c r="WCJ1518"/>
      <c r="WCK1518"/>
      <c r="WCL1518"/>
      <c r="WCM1518"/>
      <c r="WCN1518"/>
      <c r="WCO1518"/>
      <c r="WCP1518"/>
      <c r="WCQ1518"/>
      <c r="WCR1518"/>
      <c r="WCS1518"/>
      <c r="WCT1518"/>
      <c r="WCU1518"/>
      <c r="WCV1518"/>
      <c r="WCW1518"/>
      <c r="WCX1518"/>
      <c r="WCY1518"/>
      <c r="WCZ1518"/>
      <c r="WDA1518"/>
      <c r="WDB1518"/>
      <c r="WDC1518"/>
      <c r="WDD1518"/>
      <c r="WDE1518"/>
      <c r="WDF1518"/>
      <c r="WDG1518"/>
      <c r="WDH1518"/>
      <c r="WDI1518"/>
      <c r="WDJ1518"/>
      <c r="WDK1518"/>
      <c r="WDL1518"/>
      <c r="WDM1518"/>
      <c r="WDN1518"/>
      <c r="WDO1518"/>
      <c r="WDP1518"/>
      <c r="WDQ1518"/>
      <c r="WDR1518"/>
      <c r="WDS1518"/>
      <c r="WDT1518"/>
      <c r="WDU1518"/>
      <c r="WDV1518"/>
      <c r="WDW1518"/>
      <c r="WDX1518"/>
      <c r="WDY1518"/>
      <c r="WDZ1518"/>
      <c r="WEA1518"/>
      <c r="WEB1518"/>
      <c r="WEC1518"/>
      <c r="WED1518"/>
      <c r="WEE1518"/>
      <c r="WEF1518"/>
      <c r="WEG1518"/>
      <c r="WEH1518"/>
      <c r="WEI1518"/>
      <c r="WEJ1518"/>
      <c r="WEK1518"/>
      <c r="WEL1518"/>
      <c r="WEM1518"/>
      <c r="WEN1518"/>
      <c r="WEO1518"/>
      <c r="WEP1518"/>
      <c r="WEQ1518"/>
      <c r="WER1518"/>
      <c r="WES1518"/>
      <c r="WET1518"/>
      <c r="WEU1518"/>
      <c r="WEV1518"/>
      <c r="WEW1518"/>
      <c r="WEX1518"/>
      <c r="WEY1518"/>
      <c r="WEZ1518"/>
      <c r="WFA1518"/>
      <c r="WFB1518"/>
      <c r="WFC1518"/>
      <c r="WFD1518"/>
      <c r="WFE1518"/>
      <c r="WFF1518"/>
      <c r="WFG1518"/>
      <c r="WFH1518"/>
      <c r="WFI1518"/>
      <c r="WFJ1518"/>
      <c r="WFK1518"/>
      <c r="WFL1518"/>
      <c r="WFM1518"/>
      <c r="WFN1518"/>
      <c r="WFO1518"/>
      <c r="WFP1518"/>
      <c r="WFQ1518"/>
      <c r="WFR1518"/>
      <c r="WFS1518"/>
      <c r="WFT1518"/>
      <c r="WFU1518"/>
      <c r="WFV1518"/>
      <c r="WFW1518"/>
      <c r="WFX1518"/>
      <c r="WFY1518"/>
      <c r="WFZ1518"/>
      <c r="WGA1518"/>
      <c r="WGB1518"/>
      <c r="WGC1518"/>
      <c r="WGD1518"/>
      <c r="WGE1518"/>
      <c r="WGF1518"/>
      <c r="WGG1518"/>
      <c r="WGH1518"/>
      <c r="WGI1518"/>
      <c r="WGJ1518"/>
      <c r="WGK1518"/>
      <c r="WGL1518"/>
      <c r="WGM1518"/>
      <c r="WGN1518"/>
      <c r="WGO1518"/>
      <c r="WGP1518"/>
      <c r="WGQ1518"/>
      <c r="WGR1518"/>
      <c r="WGS1518"/>
      <c r="WGT1518"/>
      <c r="WGU1518"/>
      <c r="WGV1518"/>
      <c r="WGW1518"/>
      <c r="WGX1518"/>
      <c r="WGY1518"/>
      <c r="WGZ1518"/>
      <c r="WHA1518"/>
      <c r="WHB1518"/>
      <c r="WHC1518"/>
      <c r="WHD1518"/>
      <c r="WHE1518"/>
      <c r="WHF1518"/>
      <c r="WHG1518"/>
      <c r="WHH1518"/>
      <c r="WHI1518"/>
      <c r="WHJ1518"/>
      <c r="WHK1518"/>
      <c r="WHL1518"/>
      <c r="WHM1518"/>
      <c r="WHN1518"/>
      <c r="WHO1518"/>
      <c r="WHP1518"/>
      <c r="WHQ1518"/>
      <c r="WHR1518"/>
      <c r="WHS1518"/>
      <c r="WHT1518"/>
      <c r="WHU1518"/>
      <c r="WHV1518"/>
      <c r="WHW1518"/>
      <c r="WHX1518"/>
      <c r="WHY1518"/>
      <c r="WHZ1518"/>
      <c r="WIA1518"/>
      <c r="WIB1518"/>
      <c r="WIC1518"/>
      <c r="WID1518"/>
      <c r="WIE1518"/>
      <c r="WIF1518"/>
      <c r="WIG1518"/>
      <c r="WIH1518"/>
      <c r="WII1518"/>
      <c r="WIJ1518"/>
      <c r="WIK1518"/>
      <c r="WIL1518"/>
      <c r="WIM1518"/>
      <c r="WIN1518"/>
      <c r="WIO1518"/>
      <c r="WIP1518"/>
      <c r="WIQ1518"/>
      <c r="WIR1518"/>
      <c r="WIS1518"/>
      <c r="WIT1518"/>
      <c r="WIU1518"/>
      <c r="WIV1518"/>
      <c r="WIW1518"/>
      <c r="WIX1518"/>
      <c r="WIY1518"/>
      <c r="WIZ1518"/>
      <c r="WJA1518"/>
      <c r="WJB1518"/>
      <c r="WJC1518"/>
      <c r="WJD1518"/>
      <c r="WJE1518"/>
      <c r="WJF1518"/>
      <c r="WJG1518"/>
      <c r="WJH1518"/>
      <c r="WJI1518"/>
      <c r="WJJ1518"/>
      <c r="WJK1518"/>
      <c r="WJL1518"/>
      <c r="WJM1518"/>
      <c r="WJN1518"/>
      <c r="WJO1518"/>
      <c r="WJP1518"/>
      <c r="WJQ1518"/>
      <c r="WJR1518"/>
      <c r="WJS1518"/>
      <c r="WJT1518"/>
      <c r="WJU1518"/>
      <c r="WJV1518"/>
      <c r="WJW1518"/>
      <c r="WJX1518"/>
      <c r="WJY1518"/>
      <c r="WJZ1518"/>
      <c r="WKA1518"/>
      <c r="WKB1518"/>
      <c r="WKC1518"/>
      <c r="WKD1518"/>
      <c r="WKE1518"/>
      <c r="WKF1518"/>
      <c r="WKG1518"/>
      <c r="WKH1518"/>
      <c r="WKI1518"/>
      <c r="WKJ1518"/>
      <c r="WKK1518"/>
      <c r="WKL1518"/>
      <c r="WKM1518"/>
      <c r="WKN1518"/>
      <c r="WKO1518"/>
      <c r="WKP1518"/>
      <c r="WKQ1518"/>
      <c r="WKR1518"/>
      <c r="WKS1518"/>
      <c r="WKT1518"/>
      <c r="WKU1518"/>
      <c r="WKV1518"/>
      <c r="WKW1518"/>
      <c r="WKX1518"/>
      <c r="WKY1518"/>
      <c r="WKZ1518"/>
      <c r="WLA1518"/>
      <c r="WLB1518"/>
      <c r="WLC1518"/>
      <c r="WLD1518"/>
      <c r="WLE1518"/>
      <c r="WLF1518"/>
      <c r="WLG1518"/>
      <c r="WLH1518"/>
      <c r="WLI1518"/>
      <c r="WLJ1518"/>
      <c r="WLK1518"/>
      <c r="WLL1518"/>
      <c r="WLM1518"/>
      <c r="WLN1518"/>
      <c r="WLO1518"/>
      <c r="WLP1518"/>
      <c r="WLQ1518"/>
      <c r="WLR1518"/>
      <c r="WLS1518"/>
      <c r="WLT1518"/>
      <c r="WLU1518"/>
      <c r="WLV1518"/>
      <c r="WLW1518"/>
      <c r="WLX1518"/>
      <c r="WLY1518"/>
      <c r="WLZ1518"/>
      <c r="WMA1518"/>
      <c r="WMB1518"/>
      <c r="WMC1518"/>
      <c r="WMD1518"/>
      <c r="WME1518"/>
      <c r="WMF1518"/>
      <c r="WMG1518"/>
      <c r="WMH1518"/>
      <c r="WMI1518"/>
      <c r="WMJ1518"/>
      <c r="WMK1518"/>
      <c r="WML1518"/>
      <c r="WMM1518"/>
      <c r="WMN1518"/>
      <c r="WMO1518"/>
      <c r="WMP1518"/>
      <c r="WMQ1518"/>
      <c r="WMR1518"/>
      <c r="WMS1518"/>
      <c r="WMT1518"/>
      <c r="WMU1518"/>
      <c r="WMV1518"/>
      <c r="WMW1518"/>
      <c r="WMX1518"/>
      <c r="WMY1518"/>
      <c r="WMZ1518"/>
      <c r="WNA1518"/>
      <c r="WNB1518"/>
      <c r="WNC1518"/>
      <c r="WND1518"/>
      <c r="WNE1518"/>
      <c r="WNF1518"/>
      <c r="WNG1518"/>
      <c r="WNH1518"/>
      <c r="WNI1518"/>
      <c r="WNJ1518"/>
      <c r="WNK1518"/>
      <c r="WNL1518"/>
      <c r="WNM1518"/>
      <c r="WNN1518"/>
      <c r="WNO1518"/>
      <c r="WNP1518"/>
      <c r="WNQ1518"/>
      <c r="WNR1518"/>
      <c r="WNS1518"/>
      <c r="WNT1518"/>
      <c r="WNU1518"/>
      <c r="WNV1518"/>
      <c r="WNW1518"/>
      <c r="WNX1518"/>
      <c r="WNY1518"/>
      <c r="WNZ1518"/>
      <c r="WOA1518"/>
      <c r="WOB1518"/>
      <c r="WOC1518"/>
      <c r="WOD1518"/>
      <c r="WOE1518"/>
      <c r="WOF1518"/>
      <c r="WOG1518"/>
      <c r="WOH1518"/>
      <c r="WOI1518"/>
      <c r="WOJ1518"/>
      <c r="WOK1518"/>
      <c r="WOL1518"/>
      <c r="WOM1518"/>
      <c r="WON1518"/>
      <c r="WOO1518"/>
      <c r="WOP1518"/>
      <c r="WOQ1518"/>
      <c r="WOR1518"/>
      <c r="WOS1518"/>
      <c r="WOT1518"/>
      <c r="WOU1518"/>
      <c r="WOV1518"/>
      <c r="WOW1518"/>
      <c r="WOX1518"/>
      <c r="WOY1518"/>
      <c r="WOZ1518"/>
      <c r="WPA1518"/>
      <c r="WPB1518"/>
      <c r="WPC1518"/>
      <c r="WPD1518"/>
      <c r="WPE1518"/>
      <c r="WPF1518"/>
      <c r="WPG1518"/>
      <c r="WPH1518"/>
      <c r="WPI1518"/>
      <c r="WPJ1518"/>
      <c r="WPK1518"/>
      <c r="WPL1518"/>
      <c r="WPM1518"/>
      <c r="WPN1518"/>
      <c r="WPO1518"/>
      <c r="WPP1518"/>
      <c r="WPQ1518"/>
      <c r="WPR1518"/>
      <c r="WPS1518"/>
      <c r="WPT1518"/>
      <c r="WPU1518"/>
      <c r="WPV1518"/>
      <c r="WPW1518"/>
      <c r="WPX1518"/>
      <c r="WPY1518"/>
      <c r="WPZ1518"/>
      <c r="WQA1518"/>
      <c r="WQB1518"/>
      <c r="WQC1518"/>
      <c r="WQD1518"/>
      <c r="WQE1518"/>
      <c r="WQF1518"/>
      <c r="WQG1518"/>
      <c r="WQH1518"/>
      <c r="WQI1518"/>
      <c r="WQJ1518"/>
      <c r="WQK1518"/>
      <c r="WQL1518"/>
      <c r="WQM1518"/>
      <c r="WQN1518"/>
      <c r="WQO1518"/>
      <c r="WQP1518"/>
      <c r="WQQ1518"/>
      <c r="WQR1518"/>
      <c r="WQS1518"/>
      <c r="WQT1518"/>
      <c r="WQU1518"/>
      <c r="WQV1518"/>
      <c r="WQW1518"/>
      <c r="WQX1518"/>
      <c r="WQY1518"/>
      <c r="WQZ1518"/>
      <c r="WRA1518"/>
      <c r="WRB1518"/>
      <c r="WRC1518"/>
      <c r="WRD1518"/>
      <c r="WRE1518"/>
      <c r="WRF1518"/>
      <c r="WRG1518"/>
      <c r="WRH1518"/>
      <c r="WRI1518"/>
      <c r="WRJ1518"/>
      <c r="WRK1518"/>
      <c r="WRL1518"/>
      <c r="WRM1518"/>
      <c r="WRN1518"/>
      <c r="WRO1518"/>
      <c r="WRP1518"/>
      <c r="WRQ1518"/>
      <c r="WRR1518"/>
      <c r="WRS1518"/>
      <c r="WRT1518"/>
      <c r="WRU1518"/>
      <c r="WRV1518"/>
      <c r="WRW1518"/>
      <c r="WRX1518"/>
      <c r="WRY1518"/>
      <c r="WRZ1518"/>
      <c r="WSA1518"/>
      <c r="WSB1518"/>
      <c r="WSC1518"/>
      <c r="WSD1518"/>
      <c r="WSE1518"/>
      <c r="WSF1518"/>
      <c r="WSG1518"/>
      <c r="WSH1518"/>
      <c r="WSI1518"/>
      <c r="WSJ1518"/>
      <c r="WSK1518"/>
      <c r="WSL1518"/>
      <c r="WSM1518"/>
      <c r="WSN1518"/>
      <c r="WSO1518"/>
      <c r="WSP1518"/>
      <c r="WSQ1518"/>
      <c r="WSR1518"/>
      <c r="WSS1518"/>
      <c r="WST1518"/>
      <c r="WSU1518"/>
      <c r="WSV1518"/>
      <c r="WSW1518"/>
      <c r="WSX1518"/>
      <c r="WSY1518"/>
      <c r="WSZ1518"/>
      <c r="WTA1518"/>
      <c r="WTB1518"/>
      <c r="WTC1518"/>
      <c r="WTD1518"/>
      <c r="WTE1518"/>
      <c r="WTF1518"/>
      <c r="WTG1518"/>
      <c r="WTH1518"/>
      <c r="WTI1518"/>
      <c r="WTJ1518"/>
      <c r="WTK1518"/>
      <c r="WTL1518"/>
      <c r="WTM1518"/>
      <c r="WTN1518"/>
      <c r="WTO1518"/>
      <c r="WTP1518"/>
      <c r="WTQ1518"/>
      <c r="WTR1518"/>
      <c r="WTS1518"/>
      <c r="WTT1518"/>
      <c r="WTU1518"/>
      <c r="WTV1518"/>
      <c r="WTW1518"/>
      <c r="WTX1518"/>
      <c r="WTY1518"/>
      <c r="WTZ1518"/>
      <c r="WUA1518"/>
      <c r="WUB1518"/>
      <c r="WUC1518"/>
      <c r="WUD1518"/>
      <c r="WUE1518"/>
      <c r="WUF1518"/>
      <c r="WUG1518"/>
      <c r="WUH1518"/>
      <c r="WUI1518"/>
      <c r="WUJ1518"/>
      <c r="WUK1518"/>
      <c r="WUL1518"/>
      <c r="WUM1518"/>
      <c r="WUN1518"/>
      <c r="WUO1518"/>
      <c r="WUP1518"/>
      <c r="WUQ1518"/>
      <c r="WUR1518"/>
      <c r="WUS1518"/>
      <c r="WUT1518"/>
      <c r="WUU1518"/>
      <c r="WUV1518"/>
      <c r="WUW1518"/>
      <c r="WUX1518"/>
      <c r="WUY1518"/>
      <c r="WUZ1518"/>
      <c r="WVA1518"/>
      <c r="WVB1518"/>
      <c r="WVC1518"/>
      <c r="WVD1518"/>
      <c r="WVE1518"/>
      <c r="WVF1518"/>
      <c r="WVG1518"/>
      <c r="WVH1518"/>
      <c r="WVI1518"/>
      <c r="WVJ1518"/>
      <c r="WVK1518"/>
      <c r="WVL1518"/>
      <c r="WVM1518"/>
      <c r="WVN1518"/>
      <c r="WVO1518"/>
      <c r="WVP1518"/>
      <c r="WVQ1518"/>
      <c r="WVR1518"/>
      <c r="WVS1518"/>
      <c r="WVT1518"/>
      <c r="WVU1518"/>
      <c r="WVV1518"/>
      <c r="WVW1518"/>
      <c r="WVX1518"/>
      <c r="WVY1518"/>
      <c r="WVZ1518"/>
      <c r="WWA1518"/>
      <c r="WWB1518"/>
      <c r="WWC1518"/>
      <c r="WWD1518"/>
      <c r="WWE1518"/>
      <c r="WWF1518"/>
      <c r="WWG1518"/>
      <c r="WWH1518"/>
      <c r="WWI1518"/>
      <c r="WWJ1518"/>
      <c r="WWK1518"/>
      <c r="WWL1518"/>
      <c r="WWM1518"/>
      <c r="WWN1518"/>
      <c r="WWO1518"/>
      <c r="WWP1518"/>
      <c r="WWQ1518"/>
      <c r="WWR1518"/>
      <c r="WWS1518"/>
      <c r="WWT1518"/>
      <c r="WWU1518"/>
      <c r="WWV1518"/>
      <c r="WWW1518"/>
      <c r="WWX1518"/>
      <c r="WWY1518"/>
      <c r="WWZ1518"/>
      <c r="WXA1518"/>
      <c r="WXB1518"/>
      <c r="WXC1518"/>
      <c r="WXD1518"/>
      <c r="WXE1518"/>
      <c r="WXF1518"/>
      <c r="WXG1518"/>
      <c r="WXH1518"/>
      <c r="WXI1518"/>
      <c r="WXJ1518"/>
      <c r="WXK1518"/>
      <c r="WXL1518"/>
      <c r="WXM1518"/>
      <c r="WXN1518"/>
      <c r="WXO1518"/>
      <c r="WXP1518"/>
      <c r="WXQ1518"/>
      <c r="WXR1518"/>
      <c r="WXS1518"/>
      <c r="WXT1518"/>
      <c r="WXU1518"/>
      <c r="WXV1518"/>
      <c r="WXW1518"/>
      <c r="WXX1518"/>
      <c r="WXY1518"/>
      <c r="WXZ1518"/>
      <c r="WYA1518"/>
      <c r="WYB1518"/>
      <c r="WYC1518"/>
      <c r="WYD1518"/>
      <c r="WYE1518"/>
      <c r="WYF1518"/>
      <c r="WYG1518"/>
      <c r="WYH1518"/>
      <c r="WYI1518"/>
      <c r="WYJ1518"/>
      <c r="WYK1518"/>
      <c r="WYL1518"/>
      <c r="WYM1518"/>
      <c r="WYN1518"/>
      <c r="WYO1518"/>
      <c r="WYP1518"/>
      <c r="WYQ1518"/>
      <c r="WYR1518"/>
      <c r="WYS1518"/>
      <c r="WYT1518"/>
      <c r="WYU1518"/>
      <c r="WYV1518"/>
      <c r="WYW1518"/>
      <c r="WYX1518"/>
      <c r="WYY1518"/>
      <c r="WYZ1518"/>
      <c r="WZA1518"/>
      <c r="WZB1518"/>
      <c r="WZC1518"/>
      <c r="WZD1518"/>
      <c r="WZE1518"/>
      <c r="WZF1518"/>
      <c r="WZG1518"/>
      <c r="WZH1518"/>
      <c r="WZI1518"/>
      <c r="WZJ1518"/>
      <c r="WZK1518"/>
      <c r="WZL1518"/>
      <c r="WZM1518"/>
      <c r="WZN1518"/>
      <c r="WZO1518"/>
      <c r="WZP1518"/>
      <c r="WZQ1518"/>
      <c r="WZR1518"/>
      <c r="WZS1518"/>
      <c r="WZT1518"/>
      <c r="WZU1518"/>
      <c r="WZV1518"/>
      <c r="WZW1518"/>
      <c r="WZX1518"/>
      <c r="WZY1518"/>
      <c r="WZZ1518"/>
      <c r="XAA1518"/>
      <c r="XAB1518"/>
      <c r="XAC1518"/>
      <c r="XAD1518"/>
      <c r="XAE1518"/>
      <c r="XAF1518"/>
      <c r="XAG1518"/>
      <c r="XAH1518"/>
      <c r="XAI1518"/>
      <c r="XAJ1518"/>
      <c r="XAK1518"/>
      <c r="XAL1518"/>
      <c r="XAM1518"/>
      <c r="XAN1518"/>
      <c r="XAO1518"/>
      <c r="XAP1518"/>
      <c r="XAQ1518"/>
      <c r="XAR1518"/>
      <c r="XAS1518"/>
      <c r="XAT1518"/>
      <c r="XAU1518"/>
      <c r="XAV1518"/>
      <c r="XAW1518"/>
      <c r="XAX1518"/>
      <c r="XAY1518"/>
      <c r="XAZ1518"/>
      <c r="XBA1518"/>
      <c r="XBB1518"/>
      <c r="XBC1518"/>
      <c r="XBD1518"/>
      <c r="XBE1518"/>
      <c r="XBF1518"/>
      <c r="XBG1518"/>
      <c r="XBH1518"/>
      <c r="XBI1518"/>
      <c r="XBJ1518"/>
      <c r="XBK1518"/>
      <c r="XBL1518"/>
      <c r="XBM1518"/>
      <c r="XBN1518"/>
      <c r="XBO1518"/>
      <c r="XBP1518"/>
      <c r="XBQ1518"/>
      <c r="XBR1518"/>
      <c r="XBS1518"/>
      <c r="XBT1518"/>
      <c r="XBU1518"/>
      <c r="XBV1518"/>
      <c r="XBW1518"/>
      <c r="XBX1518"/>
      <c r="XBY1518"/>
      <c r="XBZ1518"/>
      <c r="XCA1518"/>
      <c r="XCB1518"/>
      <c r="XCC1518"/>
      <c r="XCD1518"/>
      <c r="XCE1518"/>
      <c r="XCF1518"/>
      <c r="XCG1518"/>
      <c r="XCH1518"/>
      <c r="XCI1518"/>
      <c r="XCJ1518"/>
      <c r="XCK1518"/>
      <c r="XCL1518"/>
      <c r="XCM1518"/>
      <c r="XCN1518"/>
      <c r="XCO1518"/>
      <c r="XCP1518"/>
      <c r="XCQ1518"/>
      <c r="XCR1518"/>
      <c r="XCS1518"/>
      <c r="XCT1518"/>
      <c r="XCU1518"/>
      <c r="XCV1518"/>
      <c r="XCW1518"/>
      <c r="XCX1518"/>
      <c r="XCY1518"/>
      <c r="XCZ1518"/>
      <c r="XDA1518"/>
      <c r="XDB1518"/>
      <c r="XDC1518"/>
      <c r="XDD1518"/>
      <c r="XDE1518"/>
      <c r="XDF1518"/>
      <c r="XDG1518"/>
      <c r="XDH1518"/>
      <c r="XDI1518"/>
      <c r="XDJ1518"/>
      <c r="XDK1518"/>
      <c r="XDL1518"/>
      <c r="XDM1518"/>
      <c r="XDN1518"/>
      <c r="XDO1518"/>
      <c r="XDP1518"/>
      <c r="XDQ1518"/>
      <c r="XDR1518"/>
      <c r="XDS1518"/>
      <c r="XDT1518"/>
      <c r="XDU1518"/>
      <c r="XDV1518"/>
      <c r="XDW1518"/>
      <c r="XDX1518"/>
      <c r="XDY1518"/>
      <c r="XDZ1518"/>
      <c r="XEA1518"/>
      <c r="XEB1518"/>
      <c r="XEC1518"/>
      <c r="XED1518"/>
      <c r="XEE1518"/>
      <c r="XEF1518"/>
      <c r="XEG1518"/>
      <c r="XEH1518"/>
      <c r="XEI1518"/>
      <c r="XEJ1518"/>
      <c r="XEK1518"/>
      <c r="XEL1518"/>
      <c r="XEM1518"/>
      <c r="XEN1518"/>
      <c r="XEO1518"/>
      <c r="XEP1518"/>
      <c r="XEQ1518"/>
      <c r="XER1518"/>
      <c r="XES1518"/>
      <c r="XET1518"/>
      <c r="XEU1518"/>
      <c r="XEV1518"/>
      <c r="XEW1518"/>
      <c r="XEX1518"/>
    </row>
    <row r="1519" spans="1:16378" s="30" customFormat="1" ht="15" customHeight="1" x14ac:dyDescent="0.25">
      <c r="A1519">
        <v>2025</v>
      </c>
      <c r="B1519" s="878" t="s">
        <v>771</v>
      </c>
      <c r="C1519" s="878" t="s">
        <v>8060</v>
      </c>
      <c r="D1519" s="878">
        <v>1414506</v>
      </c>
      <c r="E1519" s="8" t="s">
        <v>309</v>
      </c>
      <c r="F1519" s="878" t="s">
        <v>6874</v>
      </c>
      <c r="G1519" s="878" t="s">
        <v>8736</v>
      </c>
      <c r="H1519" s="878" t="s">
        <v>9111</v>
      </c>
      <c r="I1519" s="883">
        <v>45819</v>
      </c>
      <c r="J1519" s="918" t="s">
        <v>2612</v>
      </c>
      <c r="K1519" s="945">
        <v>45883</v>
      </c>
      <c r="L1519" s="884">
        <f>IF(ISTEXT(Table15[[#This Row],[Engineering Approved Design Date]]),Table15[[#This Row],[Date Completed]]-Table15[[#This Row],[Date Assigned to Designer]],Table15[[#This Row],[Engineering Approved Design Date]]-Table15[[#This Row],[Date Completed]])</f>
        <v>64</v>
      </c>
      <c r="M1519" s="919" t="s">
        <v>9112</v>
      </c>
      <c r="N1519" s="883" t="s">
        <v>739</v>
      </c>
      <c r="O1519" s="886" t="s">
        <v>376</v>
      </c>
      <c r="P1519" s="1153" t="s">
        <v>739</v>
      </c>
      <c r="Q1519" s="1151">
        <f>SUM(Table15[[#This Row],[Shactee Effort]:[KH Hourly Effort]])</f>
        <v>12544.470000000001</v>
      </c>
      <c r="R1519" s="887" t="s">
        <v>1922</v>
      </c>
      <c r="S1519" s="888">
        <v>4849.47</v>
      </c>
      <c r="T1519" s="888">
        <v>0</v>
      </c>
      <c r="U1519" s="889">
        <v>7695</v>
      </c>
      <c r="V1519" s="890" t="s">
        <v>29</v>
      </c>
      <c r="W1519" s="1021">
        <v>0</v>
      </c>
      <c r="X1519" s="888" t="s">
        <v>29</v>
      </c>
      <c r="Y1519" s="935"/>
      <c r="Z1519" s="888" t="s">
        <v>29</v>
      </c>
      <c r="AA1519" s="888" t="s">
        <v>29</v>
      </c>
      <c r="AB1519" s="893" t="s">
        <v>29</v>
      </c>
      <c r="AC1519" s="897" t="s">
        <v>29</v>
      </c>
      <c r="AD1519" s="1304" t="s">
        <v>29</v>
      </c>
      <c r="AE1519" s="894" t="s">
        <v>756</v>
      </c>
      <c r="AF1519" s="895" t="s">
        <v>756</v>
      </c>
      <c r="AG1519" s="896" t="s">
        <v>376</v>
      </c>
      <c r="AH1519" s="985" t="s">
        <v>376</v>
      </c>
      <c r="AI1519" s="921" t="s">
        <v>29</v>
      </c>
      <c r="AJ1519" s="922" t="s">
        <v>29</v>
      </c>
      <c r="AK1519" s="922" t="s">
        <v>29</v>
      </c>
      <c r="AL1519" s="1030" t="s">
        <v>29</v>
      </c>
      <c r="AM1519" s="542"/>
      <c r="AN1519" s="924"/>
      <c r="AO1519" s="925"/>
      <c r="AP1519" s="926"/>
      <c r="AQ1519" s="926"/>
      <c r="AR1519" s="926"/>
      <c r="AS1519" s="926">
        <f>IF(Table15[[#This Row],[PCTS Approved]]="N",0,Table15[[#This Row],[Investment Amount (1'#'#'#'#'#)]]+Table15[[#This Row],[Retirement Amount (3'#'#'#'#'#)]])</f>
        <v>0</v>
      </c>
      <c r="AT1519" s="926">
        <f>IF(Table15[[#This Row],[Approved Construction Cost]]=0,0,Table15[[#This Row],[Approved Construction Cost]]-Table15[[#This Row],[Construction Cost to Bill From]])</f>
        <v>0</v>
      </c>
      <c r="AU1519" s="926" t="e">
        <f>Table15[[#This Row],[Difference in Construction Cost]]*Table15[[#This Row],[Rate]]</f>
        <v>#VALUE!</v>
      </c>
      <c r="AV1519" s="926"/>
      <c r="AW1519" s="927"/>
      <c r="AX1519" s="926"/>
      <c r="AY1519" s="1528"/>
      <c r="AZ1519" s="1530"/>
      <c r="BA1519" s="910" t="s">
        <v>29</v>
      </c>
      <c r="BB1519" s="1000" t="s">
        <v>9113</v>
      </c>
      <c r="BC1519" s="915" t="s">
        <v>756</v>
      </c>
      <c r="BD1519" s="915" t="s">
        <v>709</v>
      </c>
      <c r="BE1519" s="912" t="s">
        <v>709</v>
      </c>
      <c r="BF1519" s="913" t="s">
        <v>709</v>
      </c>
      <c r="BG1519" s="1001" t="s">
        <v>709</v>
      </c>
      <c r="BH1519" s="1023" t="s">
        <v>9114</v>
      </c>
      <c r="BI1519" s="916" t="s">
        <v>745</v>
      </c>
      <c r="BJ1519" s="916" t="s">
        <v>745</v>
      </c>
      <c r="BK1519" s="916" t="s">
        <v>745</v>
      </c>
      <c r="BL1519" s="916" t="s">
        <v>116</v>
      </c>
      <c r="BM1519" s="916" t="s">
        <v>745</v>
      </c>
      <c r="BN1519" s="916" t="s">
        <v>745</v>
      </c>
      <c r="BO1519" s="916" t="s">
        <v>745</v>
      </c>
      <c r="BP1519" s="916" t="s">
        <v>745</v>
      </c>
      <c r="BQ1519" s="916" t="s">
        <v>745</v>
      </c>
      <c r="BR1519" s="916" t="s">
        <v>745</v>
      </c>
      <c r="BS1519" s="916" t="s">
        <v>745</v>
      </c>
      <c r="BT1519" s="916" t="s">
        <v>745</v>
      </c>
      <c r="BU1519" s="916" t="s">
        <v>745</v>
      </c>
      <c r="BV1519" s="916" t="s">
        <v>745</v>
      </c>
      <c r="BW1519" s="916" t="s">
        <v>745</v>
      </c>
      <c r="BX1519" s="916" t="s">
        <v>745</v>
      </c>
      <c r="BY1519" s="916" t="s">
        <v>745</v>
      </c>
      <c r="BZ1519" s="916" t="s">
        <v>745</v>
      </c>
      <c r="CA1519" s="917" t="s">
        <v>709</v>
      </c>
      <c r="CB1519" s="547"/>
      <c r="CC1519" s="879"/>
      <c r="CD1519" s="879" t="str">
        <f>Table15[[#This Row],[Engineering Number]]&amp;Table15[[#This Row],[WO Number]]&amp;Table15[[#This Row],[Date Assigned to Designer]]&amp;Table15[[#This Row],[Date Completed]]</f>
        <v>MR220314145064581945883</v>
      </c>
      <c r="CE1519"/>
      <c r="CF1519"/>
      <c r="CG1519"/>
      <c r="CH1519"/>
      <c r="CI1519"/>
      <c r="CJ1519"/>
      <c r="CK1519"/>
      <c r="CL1519"/>
      <c r="CM1519"/>
      <c r="CN1519"/>
      <c r="CO1519"/>
      <c r="CP1519"/>
      <c r="CQ1519"/>
      <c r="CR1519"/>
      <c r="CS1519"/>
      <c r="CT1519"/>
      <c r="CU1519"/>
      <c r="CV1519"/>
      <c r="CW1519"/>
      <c r="CX1519"/>
      <c r="CY1519"/>
      <c r="CZ1519"/>
      <c r="DA1519"/>
      <c r="DB1519"/>
      <c r="DC1519"/>
      <c r="DD1519"/>
      <c r="DE1519"/>
      <c r="DF1519"/>
      <c r="DG1519"/>
      <c r="DH1519"/>
      <c r="DI1519"/>
      <c r="DJ1519"/>
      <c r="DK1519"/>
      <c r="DL1519"/>
      <c r="DM1519"/>
      <c r="DN1519"/>
      <c r="DO1519"/>
      <c r="DP1519"/>
      <c r="DQ1519"/>
      <c r="DR1519"/>
      <c r="DS1519"/>
      <c r="DT1519"/>
      <c r="DU1519"/>
      <c r="DV1519"/>
      <c r="DW1519"/>
      <c r="DX1519"/>
      <c r="DY1519"/>
      <c r="DZ1519"/>
      <c r="EA1519"/>
      <c r="EB1519"/>
      <c r="EC1519"/>
      <c r="ED1519"/>
      <c r="EE1519"/>
      <c r="EF1519"/>
      <c r="EG1519"/>
      <c r="EH1519"/>
      <c r="EI1519"/>
      <c r="EJ1519"/>
      <c r="EK1519"/>
      <c r="EL1519"/>
      <c r="EM1519"/>
      <c r="EN1519"/>
      <c r="EO1519"/>
      <c r="EP1519"/>
      <c r="EQ1519"/>
      <c r="ER1519"/>
      <c r="ES1519"/>
      <c r="ET1519"/>
      <c r="EU1519"/>
      <c r="EV1519"/>
      <c r="EW1519"/>
      <c r="EX1519"/>
      <c r="EY1519"/>
      <c r="EZ1519"/>
      <c r="FA1519"/>
      <c r="FB1519"/>
      <c r="FC1519"/>
      <c r="FD1519"/>
      <c r="FE1519"/>
      <c r="FF1519"/>
      <c r="FG1519"/>
      <c r="FH1519"/>
      <c r="FI1519"/>
      <c r="FJ1519"/>
      <c r="FK1519"/>
      <c r="FL1519"/>
      <c r="FM1519"/>
      <c r="FN1519"/>
      <c r="FO1519"/>
      <c r="FP1519"/>
      <c r="FQ1519"/>
      <c r="FR1519"/>
      <c r="FS1519"/>
      <c r="FT1519"/>
      <c r="FU1519"/>
      <c r="FV1519"/>
      <c r="FW1519"/>
      <c r="FX1519"/>
      <c r="FY1519"/>
      <c r="FZ1519"/>
      <c r="GA1519"/>
      <c r="GB1519"/>
      <c r="GC1519"/>
      <c r="GD1519"/>
      <c r="GE1519"/>
      <c r="GF1519"/>
      <c r="GG1519"/>
      <c r="GH1519"/>
      <c r="GI1519"/>
      <c r="GJ1519"/>
      <c r="GK1519"/>
      <c r="GL1519"/>
      <c r="GM1519"/>
      <c r="GN1519"/>
      <c r="GO1519"/>
      <c r="GP1519"/>
      <c r="GQ1519"/>
      <c r="GR1519"/>
      <c r="GS1519"/>
      <c r="GT1519"/>
      <c r="GU1519"/>
      <c r="GV1519"/>
      <c r="GW1519"/>
      <c r="GX1519"/>
      <c r="GY1519"/>
      <c r="GZ1519"/>
      <c r="HA1519"/>
      <c r="HB1519"/>
      <c r="HC1519"/>
      <c r="HD1519"/>
      <c r="HE1519"/>
      <c r="HF1519"/>
      <c r="HG1519"/>
      <c r="HH1519"/>
      <c r="HI1519"/>
      <c r="HJ1519"/>
      <c r="HK1519"/>
      <c r="HL1519"/>
      <c r="HM1519"/>
      <c r="HN1519"/>
      <c r="HO1519"/>
      <c r="HP1519"/>
      <c r="HQ1519"/>
      <c r="HR1519"/>
      <c r="HS1519"/>
      <c r="HT1519"/>
      <c r="HU1519"/>
      <c r="HV1519"/>
      <c r="HW1519"/>
      <c r="HX1519"/>
      <c r="HY1519"/>
      <c r="HZ1519"/>
      <c r="IA1519"/>
      <c r="IB1519"/>
      <c r="IC1519"/>
      <c r="ID1519"/>
      <c r="IE1519"/>
      <c r="IF1519"/>
      <c r="IG1519"/>
      <c r="IH1519"/>
      <c r="II1519"/>
      <c r="IJ1519"/>
      <c r="IK1519"/>
      <c r="IL1519"/>
      <c r="IM1519"/>
      <c r="IN1519"/>
      <c r="IO1519"/>
      <c r="IP1519"/>
      <c r="IQ1519"/>
      <c r="IR1519"/>
      <c r="IS1519"/>
      <c r="IT1519"/>
      <c r="IU1519"/>
      <c r="IV1519"/>
      <c r="IW1519"/>
      <c r="IX1519"/>
      <c r="IY1519"/>
      <c r="IZ1519"/>
      <c r="JA1519"/>
      <c r="JB1519"/>
      <c r="JC1519"/>
      <c r="JD1519"/>
      <c r="JE1519"/>
      <c r="JF1519"/>
      <c r="JG1519"/>
      <c r="JH1519"/>
      <c r="JI1519"/>
      <c r="JJ1519"/>
      <c r="JK1519"/>
      <c r="JL1519"/>
      <c r="JM1519"/>
      <c r="JN1519"/>
      <c r="JO1519"/>
      <c r="JP1519"/>
      <c r="JQ1519"/>
      <c r="JR1519"/>
      <c r="JS1519"/>
      <c r="JT1519"/>
      <c r="JU1519"/>
      <c r="JV1519"/>
      <c r="JW1519"/>
      <c r="JX1519"/>
      <c r="JY1519"/>
      <c r="JZ1519"/>
      <c r="KA1519"/>
      <c r="KB1519"/>
      <c r="KC1519"/>
      <c r="KD1519"/>
      <c r="KE1519"/>
      <c r="KF1519"/>
      <c r="KG1519"/>
      <c r="KH1519"/>
      <c r="KI1519"/>
      <c r="KJ1519"/>
      <c r="KK1519"/>
      <c r="KL1519"/>
      <c r="KM1519"/>
      <c r="KN1519"/>
      <c r="KO1519"/>
      <c r="KP1519"/>
      <c r="KQ1519"/>
      <c r="KR1519"/>
      <c r="KS1519"/>
      <c r="KT1519"/>
      <c r="KU1519"/>
      <c r="KV1519"/>
      <c r="KW1519"/>
      <c r="KX1519"/>
      <c r="KY1519"/>
      <c r="KZ1519"/>
      <c r="LA1519"/>
      <c r="LB1519"/>
      <c r="LC1519"/>
      <c r="LD1519"/>
      <c r="LE1519"/>
      <c r="LF1519"/>
      <c r="LG1519"/>
      <c r="LH1519"/>
      <c r="LI1519"/>
      <c r="LJ1519"/>
      <c r="LK1519"/>
      <c r="LL1519"/>
      <c r="LM1519"/>
      <c r="LN1519"/>
      <c r="LO1519"/>
      <c r="LP1519"/>
      <c r="LQ1519"/>
      <c r="LR1519"/>
      <c r="LS1519"/>
      <c r="LT1519"/>
      <c r="LU1519"/>
      <c r="LV1519"/>
      <c r="LW1519"/>
      <c r="LX1519"/>
      <c r="LY1519"/>
      <c r="LZ1519"/>
      <c r="MA1519"/>
      <c r="MB1519"/>
      <c r="MC1519"/>
      <c r="MD1519"/>
      <c r="ME1519"/>
      <c r="MF1519"/>
      <c r="MG1519"/>
      <c r="MH1519"/>
      <c r="MI1519"/>
      <c r="MJ1519"/>
      <c r="MK1519"/>
      <c r="ML1519"/>
      <c r="MM1519"/>
      <c r="MN1519"/>
      <c r="MO1519"/>
      <c r="MP1519"/>
      <c r="MQ1519"/>
      <c r="MR1519"/>
      <c r="MS1519"/>
      <c r="MT1519"/>
      <c r="MU1519"/>
      <c r="MV1519"/>
      <c r="MW1519"/>
      <c r="MX1519"/>
      <c r="MY1519"/>
      <c r="MZ1519"/>
      <c r="NA1519"/>
      <c r="NB1519"/>
      <c r="NC1519"/>
      <c r="ND1519"/>
      <c r="NE1519"/>
      <c r="NF1519"/>
      <c r="NG1519"/>
      <c r="NH1519"/>
      <c r="NI1519"/>
      <c r="NJ1519"/>
      <c r="NK1519"/>
      <c r="NL1519"/>
      <c r="NM1519"/>
      <c r="NN1519"/>
      <c r="NO1519"/>
      <c r="NP1519"/>
      <c r="NQ1519"/>
      <c r="NR1519"/>
      <c r="NS1519"/>
      <c r="NT1519"/>
      <c r="NU1519"/>
      <c r="NV1519"/>
      <c r="NW1519"/>
      <c r="NX1519"/>
      <c r="NY1519"/>
      <c r="NZ1519"/>
      <c r="OA1519"/>
      <c r="OB1519"/>
      <c r="OC1519"/>
      <c r="OD1519"/>
      <c r="OE1519"/>
      <c r="OF1519"/>
      <c r="OG1519"/>
      <c r="OH1519"/>
      <c r="OI1519"/>
      <c r="OJ1519"/>
      <c r="OK1519"/>
      <c r="OL1519"/>
      <c r="OM1519"/>
      <c r="ON1519"/>
      <c r="OO1519"/>
      <c r="OP1519"/>
      <c r="OQ1519"/>
      <c r="OR1519"/>
      <c r="OS1519"/>
      <c r="OT1519"/>
      <c r="OU1519"/>
      <c r="OV1519"/>
      <c r="OW1519"/>
      <c r="OX1519"/>
      <c r="OY1519"/>
      <c r="OZ1519"/>
      <c r="PA1519"/>
      <c r="PB1519"/>
      <c r="PC1519"/>
      <c r="PD1519"/>
      <c r="PE1519"/>
      <c r="PF1519"/>
      <c r="PG1519"/>
      <c r="PH1519"/>
      <c r="PI1519"/>
      <c r="PJ1519"/>
      <c r="PK1519"/>
      <c r="PL1519"/>
      <c r="PM1519"/>
      <c r="PN1519"/>
      <c r="PO1519"/>
      <c r="PP1519"/>
      <c r="PQ1519"/>
      <c r="PR1519"/>
      <c r="PS1519"/>
      <c r="PT1519"/>
      <c r="PU1519"/>
      <c r="PV1519"/>
      <c r="PW1519"/>
      <c r="PX1519"/>
      <c r="PY1519"/>
      <c r="PZ1519"/>
      <c r="QA1519"/>
      <c r="QB1519"/>
      <c r="QC1519"/>
      <c r="QD1519"/>
      <c r="QE1519"/>
      <c r="QF1519"/>
      <c r="QG1519"/>
      <c r="QH1519"/>
      <c r="QI1519"/>
      <c r="QJ1519"/>
      <c r="QK1519"/>
      <c r="QL1519"/>
      <c r="QM1519"/>
      <c r="QN1519"/>
      <c r="QO1519"/>
      <c r="QP1519"/>
      <c r="QQ1519"/>
      <c r="QR1519"/>
      <c r="QS1519"/>
      <c r="QT1519"/>
      <c r="QU1519"/>
      <c r="QV1519"/>
      <c r="QW1519"/>
      <c r="QX1519"/>
      <c r="QY1519"/>
      <c r="QZ1519"/>
      <c r="RA1519"/>
      <c r="RB1519"/>
      <c r="RC1519"/>
      <c r="RD1519"/>
      <c r="RE1519"/>
      <c r="RF1519"/>
      <c r="RG1519"/>
      <c r="RH1519"/>
      <c r="RI1519"/>
      <c r="RJ1519"/>
      <c r="RK1519"/>
      <c r="RL1519"/>
      <c r="RM1519"/>
      <c r="RN1519"/>
      <c r="RO1519"/>
      <c r="RP1519"/>
      <c r="RQ1519"/>
      <c r="RR1519"/>
      <c r="RS1519"/>
      <c r="RT1519"/>
      <c r="RU1519"/>
      <c r="RV1519"/>
      <c r="RW1519"/>
      <c r="RX1519"/>
      <c r="RY1519"/>
      <c r="RZ1519"/>
      <c r="SA1519"/>
      <c r="SB1519"/>
      <c r="SC1519"/>
      <c r="SD1519"/>
      <c r="SE1519"/>
      <c r="SF1519"/>
      <c r="SG1519"/>
      <c r="SH1519"/>
      <c r="SI1519"/>
      <c r="SJ1519"/>
      <c r="SK1519"/>
      <c r="SL1519"/>
      <c r="SM1519"/>
      <c r="SN1519"/>
      <c r="SO1519"/>
      <c r="SP1519"/>
      <c r="SQ1519"/>
      <c r="SR1519"/>
      <c r="SS1519"/>
      <c r="ST1519"/>
      <c r="SU1519"/>
      <c r="SV1519"/>
      <c r="SW1519"/>
      <c r="SX1519"/>
      <c r="SY1519"/>
      <c r="SZ1519"/>
      <c r="TA1519"/>
      <c r="TB1519"/>
      <c r="TC1519"/>
      <c r="TD1519"/>
      <c r="TE1519"/>
      <c r="TF1519"/>
      <c r="TG1519"/>
      <c r="TH1519"/>
      <c r="TI1519"/>
      <c r="TJ1519"/>
      <c r="TK1519"/>
      <c r="TL1519"/>
      <c r="TM1519"/>
      <c r="TN1519"/>
      <c r="TO1519"/>
      <c r="TP1519"/>
      <c r="TQ1519"/>
      <c r="TR1519"/>
      <c r="TS1519"/>
      <c r="TT1519"/>
      <c r="TU1519"/>
      <c r="TV1519"/>
      <c r="TW1519"/>
      <c r="TX1519"/>
      <c r="TY1519"/>
      <c r="TZ1519"/>
      <c r="UA1519"/>
      <c r="UB1519"/>
      <c r="UC1519"/>
      <c r="UD1519"/>
      <c r="UE1519"/>
      <c r="UF1519"/>
      <c r="UG1519"/>
      <c r="UH1519"/>
      <c r="UI1519"/>
      <c r="UJ1519"/>
      <c r="UK1519"/>
      <c r="UL1519"/>
      <c r="UM1519"/>
      <c r="UN1519"/>
      <c r="UO1519"/>
      <c r="UP1519"/>
      <c r="UQ1519"/>
      <c r="UR1519"/>
      <c r="US1519"/>
      <c r="UT1519"/>
      <c r="UU1519"/>
      <c r="UV1519"/>
      <c r="UW1519"/>
      <c r="UX1519"/>
      <c r="UY1519"/>
      <c r="UZ1519"/>
      <c r="VA1519"/>
      <c r="VB1519"/>
      <c r="VC1519"/>
      <c r="VD1519"/>
      <c r="VE1519"/>
      <c r="VF1519"/>
      <c r="VG1519"/>
      <c r="VH1519"/>
      <c r="VI1519"/>
      <c r="VJ1519"/>
      <c r="VK1519"/>
      <c r="VL1519"/>
      <c r="VM1519"/>
      <c r="VN1519"/>
      <c r="VO1519"/>
      <c r="VP1519"/>
      <c r="VQ1519"/>
      <c r="VR1519"/>
      <c r="VS1519"/>
      <c r="VT1519"/>
      <c r="VU1519"/>
      <c r="VV1519"/>
      <c r="VW1519"/>
      <c r="VX1519"/>
      <c r="VY1519"/>
      <c r="VZ1519"/>
      <c r="WA1519"/>
      <c r="WB1519"/>
      <c r="WC1519"/>
      <c r="WD1519"/>
      <c r="WE1519"/>
      <c r="WF1519"/>
      <c r="WG1519"/>
      <c r="WH1519"/>
      <c r="WI1519"/>
      <c r="WJ1519"/>
      <c r="WK1519"/>
      <c r="WL1519"/>
      <c r="WM1519"/>
      <c r="WN1519"/>
      <c r="WO1519"/>
      <c r="WP1519"/>
      <c r="WQ1519"/>
      <c r="WR1519"/>
      <c r="WS1519"/>
      <c r="WT1519"/>
      <c r="WU1519"/>
      <c r="WV1519"/>
      <c r="WW1519"/>
      <c r="WX1519"/>
      <c r="WY1519"/>
      <c r="WZ1519"/>
      <c r="XA1519"/>
      <c r="XB1519"/>
      <c r="XC1519"/>
      <c r="XD1519"/>
      <c r="XE1519"/>
      <c r="XF1519"/>
      <c r="XG1519"/>
      <c r="XH1519"/>
      <c r="XI1519"/>
      <c r="XJ1519"/>
      <c r="XK1519"/>
      <c r="XL1519"/>
      <c r="XM1519"/>
      <c r="XN1519"/>
      <c r="XO1519"/>
      <c r="XP1519"/>
      <c r="XQ1519"/>
      <c r="XR1519"/>
      <c r="XS1519"/>
      <c r="XT1519"/>
      <c r="XU1519"/>
      <c r="XV1519"/>
      <c r="XW1519"/>
      <c r="XX1519"/>
      <c r="XY1519"/>
      <c r="XZ1519"/>
      <c r="YA1519"/>
      <c r="YB1519"/>
      <c r="YC1519"/>
      <c r="YD1519"/>
      <c r="YE1519"/>
      <c r="YF1519"/>
      <c r="YG1519"/>
      <c r="YH1519"/>
      <c r="YI1519"/>
      <c r="YJ1519"/>
      <c r="YK1519"/>
      <c r="YL1519"/>
      <c r="YM1519"/>
      <c r="YN1519"/>
      <c r="YO1519"/>
      <c r="YP1519"/>
      <c r="YQ1519"/>
      <c r="YR1519"/>
      <c r="YS1519"/>
      <c r="YT1519"/>
      <c r="YU1519"/>
      <c r="YV1519"/>
      <c r="YW1519"/>
      <c r="YX1519"/>
      <c r="YY1519"/>
      <c r="YZ1519"/>
      <c r="ZA1519"/>
      <c r="ZB1519"/>
      <c r="ZC1519"/>
      <c r="ZD1519"/>
      <c r="ZE1519"/>
      <c r="ZF1519"/>
      <c r="ZG1519"/>
      <c r="ZH1519"/>
      <c r="ZI1519"/>
      <c r="ZJ1519"/>
      <c r="ZK1519"/>
      <c r="ZL1519"/>
      <c r="ZM1519"/>
      <c r="ZN1519"/>
      <c r="ZO1519"/>
      <c r="ZP1519"/>
      <c r="ZQ1519"/>
      <c r="ZR1519"/>
      <c r="ZS1519"/>
      <c r="ZT1519"/>
      <c r="ZU1519"/>
      <c r="ZV1519"/>
      <c r="ZW1519"/>
      <c r="ZX1519"/>
      <c r="ZY1519"/>
      <c r="ZZ1519"/>
      <c r="AAA1519"/>
      <c r="AAB1519"/>
      <c r="AAC1519"/>
      <c r="AAD1519"/>
      <c r="AAE1519"/>
      <c r="AAF1519"/>
      <c r="AAG1519"/>
      <c r="AAH1519"/>
      <c r="AAI1519"/>
      <c r="AAJ1519"/>
      <c r="AAK1519"/>
      <c r="AAL1519"/>
      <c r="AAM1519"/>
      <c r="AAN1519"/>
      <c r="AAO1519"/>
      <c r="AAP1519"/>
      <c r="AAQ1519"/>
      <c r="AAR1519"/>
      <c r="AAS1519"/>
      <c r="AAT1519"/>
      <c r="AAU1519"/>
      <c r="AAV1519"/>
      <c r="AAW1519"/>
      <c r="AAX1519"/>
      <c r="AAY1519"/>
      <c r="AAZ1519"/>
      <c r="ABA1519"/>
      <c r="ABB1519"/>
      <c r="ABC1519"/>
      <c r="ABD1519"/>
      <c r="ABE1519"/>
      <c r="ABF1519"/>
      <c r="ABG1519"/>
      <c r="ABH1519"/>
      <c r="ABI1519"/>
      <c r="ABJ1519"/>
      <c r="ABK1519"/>
      <c r="ABL1519"/>
      <c r="ABM1519"/>
      <c r="ABN1519"/>
      <c r="ABO1519"/>
      <c r="ABP1519"/>
      <c r="ABQ1519"/>
      <c r="ABR1519"/>
      <c r="ABS1519"/>
      <c r="ABT1519"/>
      <c r="ABU1519"/>
      <c r="ABV1519"/>
      <c r="ABW1519"/>
      <c r="ABX1519"/>
      <c r="ABY1519"/>
      <c r="ABZ1519"/>
      <c r="ACA1519"/>
      <c r="ACB1519"/>
      <c r="ACC1519"/>
      <c r="ACD1519"/>
      <c r="ACE1519"/>
      <c r="ACF1519"/>
      <c r="ACG1519"/>
      <c r="ACH1519"/>
      <c r="ACI1519"/>
      <c r="ACJ1519"/>
      <c r="ACK1519"/>
      <c r="ACL1519"/>
      <c r="ACM1519"/>
      <c r="ACN1519"/>
      <c r="ACO1519"/>
      <c r="ACP1519"/>
      <c r="ACQ1519"/>
      <c r="ACR1519"/>
      <c r="ACS1519"/>
      <c r="ACT1519"/>
      <c r="ACU1519"/>
      <c r="ACV1519"/>
      <c r="ACW1519"/>
      <c r="ACX1519"/>
      <c r="ACY1519"/>
      <c r="ACZ1519"/>
      <c r="ADA1519"/>
      <c r="ADB1519"/>
      <c r="ADC1519"/>
      <c r="ADD1519"/>
      <c r="ADE1519"/>
      <c r="ADF1519"/>
      <c r="ADG1519"/>
      <c r="ADH1519"/>
      <c r="ADI1519"/>
      <c r="ADJ1519"/>
      <c r="ADK1519"/>
      <c r="ADL1519"/>
      <c r="ADM1519"/>
      <c r="ADN1519"/>
      <c r="ADO1519"/>
      <c r="ADP1519"/>
      <c r="ADQ1519"/>
      <c r="ADR1519"/>
      <c r="ADS1519"/>
      <c r="ADT1519"/>
      <c r="ADU1519"/>
      <c r="ADV1519"/>
      <c r="ADW1519"/>
      <c r="ADX1519"/>
      <c r="ADY1519"/>
      <c r="ADZ1519"/>
      <c r="AEA1519"/>
      <c r="AEB1519"/>
      <c r="AEC1519"/>
      <c r="AED1519"/>
      <c r="AEE1519"/>
      <c r="AEF1519"/>
      <c r="AEG1519"/>
      <c r="AEH1519"/>
      <c r="AEI1519"/>
      <c r="AEJ1519"/>
      <c r="AEK1519"/>
      <c r="AEL1519"/>
      <c r="AEM1519"/>
      <c r="AEN1519"/>
      <c r="AEO1519"/>
      <c r="AEP1519"/>
      <c r="AEQ1519"/>
      <c r="AER1519"/>
      <c r="AES1519"/>
      <c r="AET1519"/>
      <c r="AEU1519"/>
      <c r="AEV1519"/>
      <c r="AEW1519"/>
      <c r="AEX1519"/>
      <c r="AEY1519"/>
      <c r="AEZ1519"/>
      <c r="AFA1519"/>
      <c r="AFB1519"/>
      <c r="AFC1519"/>
      <c r="AFD1519"/>
      <c r="AFE1519"/>
      <c r="AFF1519"/>
      <c r="AFG1519"/>
      <c r="AFH1519"/>
      <c r="AFI1519"/>
      <c r="AFJ1519"/>
      <c r="AFK1519"/>
      <c r="AFL1519"/>
      <c r="AFM1519"/>
      <c r="AFN1519"/>
      <c r="AFO1519"/>
      <c r="AFP1519"/>
      <c r="AFQ1519"/>
      <c r="AFR1519"/>
      <c r="AFS1519"/>
      <c r="AFT1519"/>
      <c r="AFU1519"/>
      <c r="AFV1519"/>
      <c r="AFW1519"/>
      <c r="AFX1519"/>
      <c r="AFY1519"/>
      <c r="AFZ1519"/>
      <c r="AGA1519"/>
      <c r="AGB1519"/>
      <c r="AGC1519"/>
      <c r="AGD1519"/>
      <c r="AGE1519"/>
      <c r="AGF1519"/>
      <c r="AGG1519"/>
      <c r="AGH1519"/>
      <c r="AGI1519"/>
      <c r="AGJ1519"/>
      <c r="AGK1519"/>
      <c r="AGL1519"/>
      <c r="AGM1519"/>
      <c r="AGN1519"/>
      <c r="AGO1519"/>
      <c r="AGP1519"/>
      <c r="AGQ1519"/>
      <c r="AGR1519"/>
      <c r="AGS1519"/>
      <c r="AGT1519"/>
      <c r="AGU1519"/>
      <c r="AGV1519"/>
      <c r="AGW1519"/>
      <c r="AGX1519"/>
      <c r="AGY1519"/>
      <c r="AGZ1519"/>
      <c r="AHA1519"/>
      <c r="AHB1519"/>
      <c r="AHC1519"/>
      <c r="AHD1519"/>
      <c r="AHE1519"/>
      <c r="AHF1519"/>
      <c r="AHG1519"/>
      <c r="AHH1519"/>
      <c r="AHI1519"/>
      <c r="AHJ1519"/>
      <c r="AHK1519"/>
      <c r="AHL1519"/>
      <c r="AHM1519"/>
      <c r="AHN1519"/>
      <c r="AHO1519"/>
      <c r="AHP1519"/>
      <c r="AHQ1519"/>
      <c r="AHR1519"/>
      <c r="AHS1519"/>
      <c r="AHT1519"/>
      <c r="AHU1519"/>
      <c r="AHV1519"/>
      <c r="AHW1519"/>
      <c r="AHX1519"/>
      <c r="AHY1519"/>
      <c r="AHZ1519"/>
      <c r="AIA1519"/>
      <c r="AIB1519"/>
      <c r="AIC1519"/>
      <c r="AID1519"/>
      <c r="AIE1519"/>
      <c r="AIF1519"/>
      <c r="AIG1519"/>
      <c r="AIH1519"/>
      <c r="AII1519"/>
      <c r="AIJ1519"/>
      <c r="AIK1519"/>
      <c r="AIL1519"/>
      <c r="AIM1519"/>
      <c r="AIN1519"/>
      <c r="AIO1519"/>
      <c r="AIP1519"/>
      <c r="AIQ1519"/>
      <c r="AIR1519"/>
      <c r="AIS1519"/>
      <c r="AIT1519"/>
      <c r="AIU1519"/>
      <c r="AIV1519"/>
      <c r="AIW1519"/>
      <c r="AIX1519"/>
      <c r="AIY1519"/>
      <c r="AIZ1519"/>
      <c r="AJA1519"/>
      <c r="AJB1519"/>
      <c r="AJC1519"/>
      <c r="AJD1519"/>
      <c r="AJE1519"/>
      <c r="AJF1519"/>
      <c r="AJG1519"/>
      <c r="AJH1519"/>
      <c r="AJI1519"/>
      <c r="AJJ1519"/>
      <c r="AJK1519"/>
      <c r="AJL1519"/>
      <c r="AJM1519"/>
      <c r="AJN1519"/>
      <c r="AJO1519"/>
      <c r="AJP1519"/>
      <c r="AJQ1519"/>
      <c r="AJR1519"/>
      <c r="AJS1519"/>
      <c r="AJT1519"/>
      <c r="AJU1519"/>
      <c r="AJV1519"/>
      <c r="AJW1519"/>
      <c r="AJX1519"/>
      <c r="AJY1519"/>
      <c r="AJZ1519"/>
      <c r="AKA1519"/>
      <c r="AKB1519"/>
      <c r="AKC1519"/>
      <c r="AKD1519"/>
      <c r="AKE1519"/>
      <c r="AKF1519"/>
      <c r="AKG1519"/>
      <c r="AKH1519"/>
      <c r="AKI1519"/>
      <c r="AKJ1519"/>
      <c r="AKK1519"/>
      <c r="AKL1519"/>
      <c r="AKM1519"/>
      <c r="AKN1519"/>
      <c r="AKO1519"/>
      <c r="AKP1519"/>
      <c r="AKQ1519"/>
      <c r="AKR1519"/>
      <c r="AKS1519"/>
      <c r="AKT1519"/>
      <c r="AKU1519"/>
      <c r="AKV1519"/>
      <c r="AKW1519"/>
      <c r="AKX1519"/>
      <c r="AKY1519"/>
      <c r="AKZ1519"/>
      <c r="ALA1519"/>
      <c r="ALB1519"/>
      <c r="ALC1519"/>
      <c r="ALD1519"/>
      <c r="ALE1519"/>
      <c r="ALF1519"/>
      <c r="ALG1519"/>
      <c r="ALH1519"/>
      <c r="ALI1519"/>
      <c r="ALJ1519"/>
      <c r="ALK1519"/>
      <c r="ALL1519"/>
      <c r="ALM1519"/>
      <c r="ALN1519"/>
      <c r="ALO1519"/>
      <c r="ALP1519"/>
      <c r="ALQ1519"/>
      <c r="ALR1519"/>
      <c r="ALS1519"/>
      <c r="ALT1519"/>
      <c r="ALU1519"/>
      <c r="ALV1519"/>
      <c r="ALW1519"/>
      <c r="ALX1519"/>
      <c r="ALY1519"/>
      <c r="ALZ1519"/>
      <c r="AMA1519"/>
      <c r="AMB1519"/>
      <c r="AMC1519"/>
      <c r="AMD1519"/>
      <c r="AME1519"/>
      <c r="AMF1519"/>
      <c r="AMG1519"/>
      <c r="AMH1519"/>
      <c r="AMI1519"/>
      <c r="AMJ1519"/>
      <c r="AMK1519"/>
      <c r="AML1519"/>
      <c r="AMM1519"/>
      <c r="AMN1519"/>
      <c r="AMO1519"/>
      <c r="AMP1519"/>
      <c r="AMQ1519"/>
      <c r="AMR1519"/>
      <c r="AMS1519"/>
      <c r="AMT1519"/>
      <c r="AMU1519"/>
      <c r="AMV1519"/>
      <c r="AMW1519"/>
      <c r="AMX1519"/>
      <c r="AMY1519"/>
      <c r="AMZ1519"/>
      <c r="ANA1519"/>
      <c r="ANB1519"/>
      <c r="ANC1519"/>
      <c r="AND1519"/>
      <c r="ANE1519"/>
      <c r="ANF1519"/>
      <c r="ANG1519"/>
      <c r="ANH1519"/>
      <c r="ANI1519"/>
      <c r="ANJ1519"/>
      <c r="ANK1519"/>
      <c r="ANL1519"/>
      <c r="ANM1519"/>
      <c r="ANN1519"/>
      <c r="ANO1519"/>
      <c r="ANP1519"/>
      <c r="ANQ1519"/>
      <c r="ANR1519"/>
      <c r="ANS1519"/>
      <c r="ANT1519"/>
      <c r="ANU1519"/>
      <c r="ANV1519"/>
      <c r="ANW1519"/>
      <c r="ANX1519"/>
      <c r="ANY1519"/>
      <c r="ANZ1519"/>
      <c r="AOA1519"/>
      <c r="AOB1519"/>
      <c r="AOC1519"/>
      <c r="AOD1519"/>
      <c r="AOE1519"/>
      <c r="AOF1519"/>
      <c r="AOG1519"/>
      <c r="AOH1519"/>
      <c r="AOI1519"/>
      <c r="AOJ1519"/>
      <c r="AOK1519"/>
      <c r="AOL1519"/>
      <c r="AOM1519"/>
      <c r="AON1519"/>
      <c r="AOO1519"/>
      <c r="AOP1519"/>
      <c r="AOQ1519"/>
      <c r="AOR1519"/>
      <c r="AOS1519"/>
      <c r="AOT1519"/>
      <c r="AOU1519"/>
      <c r="AOV1519"/>
      <c r="AOW1519"/>
      <c r="AOX1519"/>
      <c r="AOY1519"/>
      <c r="AOZ1519"/>
      <c r="APA1519"/>
      <c r="APB1519"/>
      <c r="APC1519"/>
      <c r="APD1519"/>
      <c r="APE1519"/>
      <c r="APF1519"/>
      <c r="APG1519"/>
      <c r="APH1519"/>
      <c r="API1519"/>
      <c r="APJ1519"/>
      <c r="APK1519"/>
      <c r="APL1519"/>
      <c r="APM1519"/>
      <c r="APN1519"/>
      <c r="APO1519"/>
      <c r="APP1519"/>
      <c r="APQ1519"/>
      <c r="APR1519"/>
      <c r="APS1519"/>
      <c r="APT1519"/>
      <c r="APU1519"/>
      <c r="APV1519"/>
      <c r="APW1519"/>
      <c r="APX1519"/>
      <c r="APY1519"/>
      <c r="APZ1519"/>
      <c r="AQA1519"/>
      <c r="AQB1519"/>
      <c r="AQC1519"/>
      <c r="AQD1519"/>
      <c r="AQE1519"/>
      <c r="AQF1519"/>
      <c r="AQG1519"/>
      <c r="AQH1519"/>
      <c r="AQI1519"/>
      <c r="AQJ1519"/>
      <c r="AQK1519"/>
      <c r="AQL1519"/>
      <c r="AQM1519"/>
      <c r="AQN1519"/>
      <c r="AQO1519"/>
      <c r="AQP1519"/>
      <c r="AQQ1519"/>
      <c r="AQR1519"/>
      <c r="AQS1519"/>
      <c r="AQT1519"/>
      <c r="AQU1519"/>
      <c r="AQV1519"/>
      <c r="AQW1519"/>
      <c r="AQX1519"/>
      <c r="AQY1519"/>
      <c r="AQZ1519"/>
      <c r="ARA1519"/>
      <c r="ARB1519"/>
      <c r="ARC1519"/>
      <c r="ARD1519"/>
      <c r="ARE1519"/>
      <c r="ARF1519"/>
      <c r="ARG1519"/>
      <c r="ARH1519"/>
      <c r="ARI1519"/>
      <c r="ARJ1519"/>
      <c r="ARK1519"/>
      <c r="ARL1519"/>
      <c r="ARM1519"/>
      <c r="ARN1519"/>
      <c r="ARO1519"/>
      <c r="ARP1519"/>
      <c r="ARQ1519"/>
      <c r="ARR1519"/>
      <c r="ARS1519"/>
      <c r="ART1519"/>
      <c r="ARU1519"/>
      <c r="ARV1519"/>
      <c r="ARW1519"/>
      <c r="ARX1519"/>
      <c r="ARY1519"/>
      <c r="ARZ1519"/>
      <c r="ASA1519"/>
      <c r="ASB1519"/>
      <c r="ASC1519"/>
      <c r="ASD1519"/>
      <c r="ASE1519"/>
      <c r="ASF1519"/>
      <c r="ASG1519"/>
      <c r="ASH1519"/>
      <c r="ASI1519"/>
      <c r="ASJ1519"/>
      <c r="ASK1519"/>
      <c r="ASL1519"/>
      <c r="ASM1519"/>
      <c r="ASN1519"/>
      <c r="ASO1519"/>
      <c r="ASP1519"/>
      <c r="ASQ1519"/>
      <c r="ASR1519"/>
      <c r="ASS1519"/>
      <c r="AST1519"/>
      <c r="ASU1519"/>
      <c r="ASV1519"/>
      <c r="ASW1519"/>
      <c r="ASX1519"/>
      <c r="ASY1519"/>
      <c r="ASZ1519"/>
      <c r="ATA1519"/>
      <c r="ATB1519"/>
      <c r="ATC1519"/>
      <c r="ATD1519"/>
      <c r="ATE1519"/>
      <c r="ATF1519"/>
      <c r="ATG1519"/>
      <c r="ATH1519"/>
      <c r="ATI1519"/>
      <c r="ATJ1519"/>
      <c r="ATK1519"/>
      <c r="ATL1519"/>
      <c r="ATM1519"/>
      <c r="ATN1519"/>
      <c r="ATO1519"/>
      <c r="ATP1519"/>
      <c r="ATQ1519"/>
      <c r="ATR1519"/>
      <c r="ATS1519"/>
      <c r="ATT1519"/>
      <c r="ATU1519"/>
      <c r="ATV1519"/>
      <c r="ATW1519"/>
      <c r="ATX1519"/>
      <c r="ATY1519"/>
      <c r="ATZ1519"/>
      <c r="AUA1519"/>
      <c r="AUB1519"/>
      <c r="AUC1519"/>
      <c r="AUD1519"/>
      <c r="AUE1519"/>
      <c r="AUF1519"/>
      <c r="AUG1519"/>
      <c r="AUH1519"/>
      <c r="AUI1519"/>
      <c r="AUJ1519"/>
      <c r="AUK1519"/>
      <c r="AUL1519"/>
      <c r="AUM1519"/>
      <c r="AUN1519"/>
      <c r="AUO1519"/>
      <c r="AUP1519"/>
      <c r="AUQ1519"/>
      <c r="AUR1519"/>
      <c r="AUS1519"/>
      <c r="AUT1519"/>
      <c r="AUU1519"/>
      <c r="AUV1519"/>
      <c r="AUW1519"/>
      <c r="AUX1519"/>
      <c r="AUY1519"/>
      <c r="AUZ1519"/>
      <c r="AVA1519"/>
      <c r="AVB1519"/>
      <c r="AVC1519"/>
      <c r="AVD1519"/>
      <c r="AVE1519"/>
      <c r="AVF1519"/>
      <c r="AVG1519"/>
      <c r="AVH1519"/>
      <c r="AVI1519"/>
      <c r="AVJ1519"/>
      <c r="AVK1519"/>
      <c r="AVL1519"/>
      <c r="AVM1519"/>
      <c r="AVN1519"/>
      <c r="AVO1519"/>
      <c r="AVP1519"/>
      <c r="AVQ1519"/>
      <c r="AVR1519"/>
      <c r="AVS1519"/>
      <c r="AVT1519"/>
      <c r="AVU1519"/>
      <c r="AVV1519"/>
      <c r="AVW1519"/>
      <c r="AVX1519"/>
      <c r="AVY1519"/>
      <c r="AVZ1519"/>
      <c r="AWA1519"/>
      <c r="AWB1519"/>
      <c r="AWC1519"/>
      <c r="AWD1519"/>
      <c r="AWE1519"/>
      <c r="AWF1519"/>
      <c r="AWG1519"/>
      <c r="AWH1519"/>
      <c r="AWI1519"/>
      <c r="AWJ1519"/>
      <c r="AWK1519"/>
      <c r="AWL1519"/>
      <c r="AWM1519"/>
      <c r="AWN1519"/>
      <c r="AWO1519"/>
      <c r="AWP1519"/>
      <c r="AWQ1519"/>
      <c r="AWR1519"/>
      <c r="AWS1519"/>
      <c r="AWT1519"/>
      <c r="AWU1519"/>
      <c r="AWV1519"/>
      <c r="AWW1519"/>
      <c r="AWX1519"/>
      <c r="AWY1519"/>
      <c r="AWZ1519"/>
      <c r="AXA1519"/>
      <c r="AXB1519"/>
      <c r="AXC1519"/>
      <c r="AXD1519"/>
      <c r="AXE1519"/>
      <c r="AXF1519"/>
      <c r="AXG1519"/>
      <c r="AXH1519"/>
      <c r="AXI1519"/>
      <c r="AXJ1519"/>
      <c r="AXK1519"/>
      <c r="AXL1519"/>
      <c r="AXM1519"/>
      <c r="AXN1519"/>
      <c r="AXO1519"/>
      <c r="AXP1519"/>
      <c r="AXQ1519"/>
      <c r="AXR1519"/>
      <c r="AXS1519"/>
      <c r="AXT1519"/>
      <c r="AXU1519"/>
      <c r="AXV1519"/>
      <c r="AXW1519"/>
      <c r="AXX1519"/>
      <c r="AXY1519"/>
      <c r="AXZ1519"/>
      <c r="AYA1519"/>
      <c r="AYB1519"/>
      <c r="AYC1519"/>
      <c r="AYD1519"/>
      <c r="AYE1519"/>
      <c r="AYF1519"/>
      <c r="AYG1519"/>
      <c r="AYH1519"/>
      <c r="AYI1519"/>
      <c r="AYJ1519"/>
      <c r="AYK1519"/>
      <c r="AYL1519"/>
      <c r="AYM1519"/>
      <c r="AYN1519"/>
      <c r="AYO1519"/>
      <c r="AYP1519"/>
      <c r="AYQ1519"/>
      <c r="AYR1519"/>
      <c r="AYS1519"/>
      <c r="AYT1519"/>
      <c r="AYU1519"/>
      <c r="AYV1519"/>
      <c r="AYW1519"/>
      <c r="AYX1519"/>
      <c r="AYY1519"/>
      <c r="AYZ1519"/>
      <c r="AZA1519"/>
      <c r="AZB1519"/>
      <c r="AZC1519"/>
      <c r="AZD1519"/>
      <c r="AZE1519"/>
      <c r="AZF1519"/>
      <c r="AZG1519"/>
      <c r="AZH1519"/>
      <c r="AZI1519"/>
      <c r="AZJ1519"/>
      <c r="AZK1519"/>
      <c r="AZL1519"/>
      <c r="AZM1519"/>
      <c r="AZN1519"/>
      <c r="AZO1519"/>
      <c r="AZP1519"/>
      <c r="AZQ1519"/>
      <c r="AZR1519"/>
      <c r="AZS1519"/>
      <c r="AZT1519"/>
      <c r="AZU1519"/>
      <c r="AZV1519"/>
      <c r="AZW1519"/>
      <c r="AZX1519"/>
      <c r="AZY1519"/>
      <c r="AZZ1519"/>
      <c r="BAA1519"/>
      <c r="BAB1519"/>
      <c r="BAC1519"/>
      <c r="BAD1519"/>
      <c r="BAE1519"/>
      <c r="BAF1519"/>
      <c r="BAG1519"/>
      <c r="BAH1519"/>
      <c r="BAI1519"/>
      <c r="BAJ1519"/>
      <c r="BAK1519"/>
      <c r="BAL1519"/>
      <c r="BAM1519"/>
      <c r="BAN1519"/>
      <c r="BAO1519"/>
      <c r="BAP1519"/>
      <c r="BAQ1519"/>
      <c r="BAR1519"/>
      <c r="BAS1519"/>
      <c r="BAT1519"/>
      <c r="BAU1519"/>
      <c r="BAV1519"/>
      <c r="BAW1519"/>
      <c r="BAX1519"/>
      <c r="BAY1519"/>
      <c r="BAZ1519"/>
      <c r="BBA1519"/>
      <c r="BBB1519"/>
      <c r="BBC1519"/>
      <c r="BBD1519"/>
      <c r="BBE1519"/>
      <c r="BBF1519"/>
      <c r="BBG1519"/>
      <c r="BBH1519"/>
      <c r="BBI1519"/>
      <c r="BBJ1519"/>
      <c r="BBK1519"/>
      <c r="BBL1519"/>
      <c r="BBM1519"/>
      <c r="BBN1519"/>
      <c r="BBO1519"/>
      <c r="BBP1519"/>
      <c r="BBQ1519"/>
      <c r="BBR1519"/>
      <c r="BBS1519"/>
      <c r="BBT1519"/>
      <c r="BBU1519"/>
      <c r="BBV1519"/>
      <c r="BBW1519"/>
      <c r="BBX1519"/>
      <c r="BBY1519"/>
      <c r="BBZ1519"/>
      <c r="BCA1519"/>
      <c r="BCB1519"/>
      <c r="BCC1519"/>
      <c r="BCD1519"/>
      <c r="BCE1519"/>
      <c r="BCF1519"/>
      <c r="BCG1519"/>
      <c r="BCH1519"/>
      <c r="BCI1519"/>
      <c r="BCJ1519"/>
      <c r="BCK1519"/>
      <c r="BCL1519"/>
      <c r="BCM1519"/>
      <c r="BCN1519"/>
      <c r="BCO1519"/>
      <c r="BCP1519"/>
      <c r="BCQ1519"/>
      <c r="BCR1519"/>
      <c r="BCS1519"/>
      <c r="BCT1519"/>
      <c r="BCU1519"/>
      <c r="BCV1519"/>
      <c r="BCW1519"/>
      <c r="BCX1519"/>
      <c r="BCY1519"/>
      <c r="BCZ1519"/>
      <c r="BDA1519"/>
      <c r="BDB1519"/>
      <c r="BDC1519"/>
      <c r="BDD1519"/>
      <c r="BDE1519"/>
      <c r="BDF1519"/>
      <c r="BDG1519"/>
      <c r="BDH1519"/>
      <c r="BDI1519"/>
      <c r="BDJ1519"/>
      <c r="BDK1519"/>
      <c r="BDL1519"/>
      <c r="BDM1519"/>
      <c r="BDN1519"/>
      <c r="BDO1519"/>
      <c r="BDP1519"/>
      <c r="BDQ1519"/>
      <c r="BDR1519"/>
      <c r="BDS1519"/>
      <c r="BDT1519"/>
      <c r="BDU1519"/>
      <c r="BDV1519"/>
      <c r="BDW1519"/>
      <c r="BDX1519"/>
      <c r="BDY1519"/>
      <c r="BDZ1519"/>
      <c r="BEA1519"/>
      <c r="BEB1519"/>
      <c r="BEC1519"/>
      <c r="BED1519"/>
      <c r="BEE1519"/>
      <c r="BEF1519"/>
      <c r="BEG1519"/>
      <c r="BEH1519"/>
      <c r="BEI1519"/>
      <c r="BEJ1519"/>
      <c r="BEK1519"/>
      <c r="BEL1519"/>
      <c r="BEM1519"/>
      <c r="BEN1519"/>
      <c r="BEO1519"/>
      <c r="BEP1519"/>
      <c r="BEQ1519"/>
      <c r="BER1519"/>
      <c r="BES1519"/>
      <c r="BET1519"/>
      <c r="BEU1519"/>
      <c r="BEV1519"/>
      <c r="BEW1519"/>
      <c r="BEX1519"/>
      <c r="BEY1519"/>
      <c r="BEZ1519"/>
      <c r="BFA1519"/>
      <c r="BFB1519"/>
      <c r="BFC1519"/>
      <c r="BFD1519"/>
      <c r="BFE1519"/>
      <c r="BFF1519"/>
      <c r="BFG1519"/>
      <c r="BFH1519"/>
      <c r="BFI1519"/>
      <c r="BFJ1519"/>
      <c r="BFK1519"/>
      <c r="BFL1519"/>
      <c r="BFM1519"/>
      <c r="BFN1519"/>
      <c r="BFO1519"/>
      <c r="BFP1519"/>
      <c r="BFQ1519"/>
      <c r="BFR1519"/>
      <c r="BFS1519"/>
      <c r="BFT1519"/>
      <c r="BFU1519"/>
      <c r="BFV1519"/>
      <c r="BFW1519"/>
      <c r="BFX1519"/>
      <c r="BFY1519"/>
      <c r="BFZ1519"/>
      <c r="BGA1519"/>
      <c r="BGB1519"/>
      <c r="BGC1519"/>
      <c r="BGD1519"/>
      <c r="BGE1519"/>
      <c r="BGF1519"/>
      <c r="BGG1519"/>
      <c r="BGH1519"/>
      <c r="BGI1519"/>
      <c r="BGJ1519"/>
      <c r="BGK1519"/>
      <c r="BGL1519"/>
      <c r="BGM1519"/>
      <c r="BGN1519"/>
      <c r="BGO1519"/>
      <c r="BGP1519"/>
      <c r="BGQ1519"/>
      <c r="BGR1519"/>
      <c r="BGS1519"/>
      <c r="BGT1519"/>
      <c r="BGU1519"/>
      <c r="BGV1519"/>
      <c r="BGW1519"/>
      <c r="BGX1519"/>
      <c r="BGY1519"/>
      <c r="BGZ1519"/>
      <c r="BHA1519"/>
      <c r="BHB1519"/>
      <c r="BHC1519"/>
      <c r="BHD1519"/>
      <c r="BHE1519"/>
      <c r="BHF1519"/>
      <c r="BHG1519"/>
      <c r="BHH1519"/>
      <c r="BHI1519"/>
      <c r="BHJ1519"/>
      <c r="BHK1519"/>
      <c r="BHL1519"/>
      <c r="BHM1519"/>
      <c r="BHN1519"/>
      <c r="BHO1519"/>
      <c r="BHP1519"/>
      <c r="BHQ1519"/>
      <c r="BHR1519"/>
      <c r="BHS1519"/>
      <c r="BHT1519"/>
      <c r="BHU1519"/>
      <c r="BHV1519"/>
      <c r="BHW1519"/>
      <c r="BHX1519"/>
      <c r="BHY1519"/>
      <c r="BHZ1519"/>
      <c r="BIA1519"/>
      <c r="BIB1519"/>
      <c r="BIC1519"/>
      <c r="BID1519"/>
      <c r="BIE1519"/>
      <c r="BIF1519"/>
      <c r="BIG1519"/>
      <c r="BIH1519"/>
      <c r="BII1519"/>
      <c r="BIJ1519"/>
      <c r="BIK1519"/>
      <c r="BIL1519"/>
      <c r="BIM1519"/>
      <c r="BIN1519"/>
      <c r="BIO1519"/>
      <c r="BIP1519"/>
      <c r="BIQ1519"/>
      <c r="BIR1519"/>
      <c r="BIS1519"/>
      <c r="BIT1519"/>
      <c r="BIU1519"/>
      <c r="BIV1519"/>
      <c r="BIW1519"/>
      <c r="BIX1519"/>
      <c r="BIY1519"/>
      <c r="BIZ1519"/>
      <c r="BJA1519"/>
      <c r="BJB1519"/>
      <c r="BJC1519"/>
      <c r="BJD1519"/>
      <c r="BJE1519"/>
      <c r="BJF1519"/>
      <c r="BJG1519"/>
      <c r="BJH1519"/>
      <c r="BJI1519"/>
      <c r="BJJ1519"/>
      <c r="BJK1519"/>
      <c r="BJL1519"/>
      <c r="BJM1519"/>
      <c r="BJN1519"/>
      <c r="BJO1519"/>
      <c r="BJP1519"/>
      <c r="BJQ1519"/>
      <c r="BJR1519"/>
      <c r="BJS1519"/>
      <c r="BJT1519"/>
      <c r="BJU1519"/>
      <c r="BJV1519"/>
      <c r="BJW1519"/>
      <c r="BJX1519"/>
      <c r="BJY1519"/>
      <c r="BJZ1519"/>
      <c r="BKA1519"/>
      <c r="BKB1519"/>
      <c r="BKC1519"/>
      <c r="BKD1519"/>
      <c r="BKE1519"/>
      <c r="BKF1519"/>
      <c r="BKG1519"/>
      <c r="BKH1519"/>
      <c r="BKI1519"/>
      <c r="BKJ1519"/>
      <c r="BKK1519"/>
      <c r="BKL1519"/>
      <c r="BKM1519"/>
      <c r="BKN1519"/>
      <c r="BKO1519"/>
      <c r="BKP1519"/>
      <c r="BKQ1519"/>
      <c r="BKR1519"/>
      <c r="BKS1519"/>
      <c r="BKT1519"/>
      <c r="BKU1519"/>
      <c r="BKV1519"/>
      <c r="BKW1519"/>
      <c r="BKX1519"/>
      <c r="BKY1519"/>
      <c r="BKZ1519"/>
      <c r="BLA1519"/>
      <c r="BLB1519"/>
      <c r="BLC1519"/>
      <c r="BLD1519"/>
      <c r="BLE1519"/>
      <c r="BLF1519"/>
      <c r="BLG1519"/>
      <c r="BLH1519"/>
      <c r="BLI1519"/>
      <c r="BLJ1519"/>
      <c r="BLK1519"/>
      <c r="BLL1519"/>
      <c r="BLM1519"/>
      <c r="BLN1519"/>
      <c r="BLO1519"/>
      <c r="BLP1519"/>
      <c r="BLQ1519"/>
      <c r="BLR1519"/>
      <c r="BLS1519"/>
      <c r="BLT1519"/>
      <c r="BLU1519"/>
      <c r="BLV1519"/>
      <c r="BLW1519"/>
      <c r="BLX1519"/>
      <c r="BLY1519"/>
      <c r="BLZ1519"/>
      <c r="BMA1519"/>
      <c r="BMB1519"/>
      <c r="BMC1519"/>
      <c r="BMD1519"/>
      <c r="BME1519"/>
      <c r="BMF1519"/>
      <c r="BMG1519"/>
      <c r="BMH1519"/>
      <c r="BMI1519"/>
      <c r="BMJ1519"/>
      <c r="BMK1519"/>
      <c r="BML1519"/>
      <c r="BMM1519"/>
      <c r="BMN1519"/>
      <c r="BMO1519"/>
      <c r="BMP1519"/>
      <c r="BMQ1519"/>
      <c r="BMR1519"/>
      <c r="BMS1519"/>
      <c r="BMT1519"/>
      <c r="BMU1519"/>
      <c r="BMV1519"/>
      <c r="BMW1519"/>
      <c r="BMX1519"/>
      <c r="BMY1519"/>
      <c r="BMZ1519"/>
      <c r="BNA1519"/>
      <c r="BNB1519"/>
      <c r="BNC1519"/>
      <c r="BND1519"/>
      <c r="BNE1519"/>
      <c r="BNF1519"/>
      <c r="BNG1519"/>
      <c r="BNH1519"/>
      <c r="BNI1519"/>
      <c r="BNJ1519"/>
      <c r="BNK1519"/>
      <c r="BNL1519"/>
      <c r="BNM1519"/>
      <c r="BNN1519"/>
      <c r="BNO1519"/>
      <c r="BNP1519"/>
      <c r="BNQ1519"/>
      <c r="BNR1519"/>
      <c r="BNS1519"/>
      <c r="BNT1519"/>
      <c r="BNU1519"/>
      <c r="BNV1519"/>
      <c r="BNW1519"/>
      <c r="BNX1519"/>
      <c r="BNY1519"/>
      <c r="BNZ1519"/>
      <c r="BOA1519"/>
      <c r="BOB1519"/>
      <c r="BOC1519"/>
      <c r="BOD1519"/>
      <c r="BOE1519"/>
      <c r="BOF1519"/>
      <c r="BOG1519"/>
      <c r="BOH1519"/>
      <c r="BOI1519"/>
      <c r="BOJ1519"/>
      <c r="BOK1519"/>
      <c r="BOL1519"/>
      <c r="BOM1519"/>
      <c r="BON1519"/>
      <c r="BOO1519"/>
      <c r="BOP1519"/>
      <c r="BOQ1519"/>
      <c r="BOR1519"/>
      <c r="BOS1519"/>
      <c r="BOT1519"/>
      <c r="BOU1519"/>
      <c r="BOV1519"/>
      <c r="BOW1519"/>
      <c r="BOX1519"/>
      <c r="BOY1519"/>
      <c r="BOZ1519"/>
      <c r="BPA1519"/>
      <c r="BPB1519"/>
      <c r="BPC1519"/>
      <c r="BPD1519"/>
      <c r="BPE1519"/>
      <c r="BPF1519"/>
      <c r="BPG1519"/>
      <c r="BPH1519"/>
      <c r="BPI1519"/>
      <c r="BPJ1519"/>
      <c r="BPK1519"/>
      <c r="BPL1519"/>
      <c r="BPM1519"/>
      <c r="BPN1519"/>
      <c r="BPO1519"/>
      <c r="BPP1519"/>
      <c r="BPQ1519"/>
      <c r="BPR1519"/>
      <c r="BPS1519"/>
      <c r="BPT1519"/>
      <c r="BPU1519"/>
      <c r="BPV1519"/>
      <c r="BPW1519"/>
      <c r="BPX1519"/>
      <c r="BPY1519"/>
      <c r="BPZ1519"/>
      <c r="BQA1519"/>
      <c r="BQB1519"/>
      <c r="BQC1519"/>
      <c r="BQD1519"/>
      <c r="BQE1519"/>
      <c r="BQF1519"/>
      <c r="BQG1519"/>
      <c r="BQH1519"/>
      <c r="BQI1519"/>
      <c r="BQJ1519"/>
      <c r="BQK1519"/>
      <c r="BQL1519"/>
      <c r="BQM1519"/>
      <c r="BQN1519"/>
      <c r="BQO1519"/>
      <c r="BQP1519"/>
      <c r="BQQ1519"/>
      <c r="BQR1519"/>
      <c r="BQS1519"/>
      <c r="BQT1519"/>
      <c r="BQU1519"/>
      <c r="BQV1519"/>
      <c r="BQW1519"/>
      <c r="BQX1519"/>
      <c r="BQY1519"/>
      <c r="BQZ1519"/>
      <c r="BRA1519"/>
      <c r="BRB1519"/>
      <c r="BRC1519"/>
      <c r="BRD1519"/>
      <c r="BRE1519"/>
      <c r="BRF1519"/>
      <c r="BRG1519"/>
      <c r="BRH1519"/>
      <c r="BRI1519"/>
      <c r="BRJ1519"/>
      <c r="BRK1519"/>
      <c r="BRL1519"/>
      <c r="BRM1519"/>
      <c r="BRN1519"/>
      <c r="BRO1519"/>
      <c r="BRP1519"/>
      <c r="BRQ1519"/>
      <c r="BRR1519"/>
      <c r="BRS1519"/>
      <c r="BRT1519"/>
      <c r="BRU1519"/>
      <c r="BRV1519"/>
      <c r="BRW1519"/>
      <c r="BRX1519"/>
      <c r="BRY1519"/>
      <c r="BRZ1519"/>
      <c r="BSA1519"/>
      <c r="BSB1519"/>
      <c r="BSC1519"/>
      <c r="BSD1519"/>
      <c r="BSE1519"/>
      <c r="BSF1519"/>
      <c r="BSG1519"/>
      <c r="BSH1519"/>
      <c r="BSI1519"/>
      <c r="BSJ1519"/>
      <c r="BSK1519"/>
      <c r="BSL1519"/>
      <c r="BSM1519"/>
      <c r="BSN1519"/>
      <c r="BSO1519"/>
      <c r="BSP1519"/>
      <c r="BSQ1519"/>
      <c r="BSR1519"/>
      <c r="BSS1519"/>
      <c r="BST1519"/>
      <c r="BSU1519"/>
      <c r="BSV1519"/>
      <c r="BSW1519"/>
      <c r="BSX1519"/>
      <c r="BSY1519"/>
      <c r="BSZ1519"/>
      <c r="BTA1519"/>
      <c r="BTB1519"/>
      <c r="BTC1519"/>
      <c r="BTD1519"/>
      <c r="BTE1519"/>
      <c r="BTF1519"/>
      <c r="BTG1519"/>
      <c r="BTH1519"/>
      <c r="BTI1519"/>
      <c r="BTJ1519"/>
      <c r="BTK1519"/>
      <c r="BTL1519"/>
      <c r="BTM1519"/>
      <c r="BTN1519"/>
      <c r="BTO1519"/>
      <c r="BTP1519"/>
      <c r="BTQ1519"/>
      <c r="BTR1519"/>
      <c r="BTS1519"/>
      <c r="BTT1519"/>
      <c r="BTU1519"/>
      <c r="BTV1519"/>
      <c r="BTW1519"/>
      <c r="BTX1519"/>
      <c r="BTY1519"/>
      <c r="BTZ1519"/>
      <c r="BUA1519"/>
      <c r="BUB1519"/>
      <c r="BUC1519"/>
      <c r="BUD1519"/>
      <c r="BUE1519"/>
      <c r="BUF1519"/>
      <c r="BUG1519"/>
      <c r="BUH1519"/>
      <c r="BUI1519"/>
      <c r="BUJ1519"/>
      <c r="BUK1519"/>
      <c r="BUL1519"/>
      <c r="BUM1519"/>
      <c r="BUN1519"/>
      <c r="BUO1519"/>
      <c r="BUP1519"/>
      <c r="BUQ1519"/>
      <c r="BUR1519"/>
      <c r="BUS1519"/>
      <c r="BUT1519"/>
      <c r="BUU1519"/>
      <c r="BUV1519"/>
      <c r="BUW1519"/>
      <c r="BUX1519"/>
      <c r="BUY1519"/>
      <c r="BUZ1519"/>
      <c r="BVA1519"/>
      <c r="BVB1519"/>
      <c r="BVC1519"/>
      <c r="BVD1519"/>
      <c r="BVE1519"/>
      <c r="BVF1519"/>
      <c r="BVG1519"/>
      <c r="BVH1519"/>
      <c r="BVI1519"/>
      <c r="BVJ1519"/>
      <c r="BVK1519"/>
      <c r="BVL1519"/>
      <c r="BVM1519"/>
      <c r="BVN1519"/>
      <c r="BVO1519"/>
      <c r="BVP1519"/>
      <c r="BVQ1519"/>
      <c r="BVR1519"/>
      <c r="BVS1519"/>
      <c r="BVT1519"/>
      <c r="BVU1519"/>
      <c r="BVV1519"/>
      <c r="BVW1519"/>
      <c r="BVX1519"/>
      <c r="BVY1519"/>
      <c r="BVZ1519"/>
      <c r="BWA1519"/>
      <c r="BWB1519"/>
      <c r="BWC1519"/>
      <c r="BWD1519"/>
      <c r="BWE1519"/>
      <c r="BWF1519"/>
      <c r="BWG1519"/>
      <c r="BWH1519"/>
      <c r="BWI1519"/>
      <c r="BWJ1519"/>
      <c r="BWK1519"/>
      <c r="BWL1519"/>
      <c r="BWM1519"/>
      <c r="BWN1519"/>
      <c r="BWO1519"/>
      <c r="BWP1519"/>
      <c r="BWQ1519"/>
      <c r="BWR1519"/>
      <c r="BWS1519"/>
      <c r="BWT1519"/>
      <c r="BWU1519"/>
      <c r="BWV1519"/>
      <c r="BWW1519"/>
      <c r="BWX1519"/>
      <c r="BWY1519"/>
      <c r="BWZ1519"/>
      <c r="BXA1519"/>
      <c r="BXB1519"/>
      <c r="BXC1519"/>
      <c r="BXD1519"/>
      <c r="BXE1519"/>
      <c r="BXF1519"/>
      <c r="BXG1519"/>
      <c r="BXH1519"/>
      <c r="BXI1519"/>
      <c r="BXJ1519"/>
      <c r="BXK1519"/>
      <c r="BXL1519"/>
      <c r="BXM1519"/>
      <c r="BXN1519"/>
      <c r="BXO1519"/>
      <c r="BXP1519"/>
      <c r="BXQ1519"/>
      <c r="BXR1519"/>
      <c r="BXS1519"/>
      <c r="BXT1519"/>
      <c r="BXU1519"/>
      <c r="BXV1519"/>
      <c r="BXW1519"/>
      <c r="BXX1519"/>
      <c r="BXY1519"/>
      <c r="BXZ1519"/>
      <c r="BYA1519"/>
      <c r="BYB1519"/>
      <c r="BYC1519"/>
      <c r="BYD1519"/>
      <c r="BYE1519"/>
      <c r="BYF1519"/>
      <c r="BYG1519"/>
      <c r="BYH1519"/>
      <c r="BYI1519"/>
      <c r="BYJ1519"/>
      <c r="BYK1519"/>
      <c r="BYL1519"/>
      <c r="BYM1519"/>
      <c r="BYN1519"/>
      <c r="BYO1519"/>
      <c r="BYP1519"/>
      <c r="BYQ1519"/>
      <c r="BYR1519"/>
      <c r="BYS1519"/>
      <c r="BYT1519"/>
      <c r="BYU1519"/>
      <c r="BYV1519"/>
      <c r="BYW1519"/>
      <c r="BYX1519"/>
      <c r="BYY1519"/>
      <c r="BYZ1519"/>
      <c r="BZA1519"/>
      <c r="BZB1519"/>
      <c r="BZC1519"/>
      <c r="BZD1519"/>
      <c r="BZE1519"/>
      <c r="BZF1519"/>
      <c r="BZG1519"/>
      <c r="BZH1519"/>
      <c r="BZI1519"/>
      <c r="BZJ1519"/>
      <c r="BZK1519"/>
      <c r="BZL1519"/>
      <c r="BZM1519"/>
      <c r="BZN1519"/>
      <c r="BZO1519"/>
      <c r="BZP1519"/>
      <c r="BZQ1519"/>
      <c r="BZR1519"/>
      <c r="BZS1519"/>
      <c r="BZT1519"/>
      <c r="BZU1519"/>
      <c r="BZV1519"/>
      <c r="BZW1519"/>
      <c r="BZX1519"/>
      <c r="BZY1519"/>
      <c r="BZZ1519"/>
      <c r="CAA1519"/>
      <c r="CAB1519"/>
      <c r="CAC1519"/>
      <c r="CAD1519"/>
      <c r="CAE1519"/>
      <c r="CAF1519"/>
      <c r="CAG1519"/>
      <c r="CAH1519"/>
      <c r="CAI1519"/>
      <c r="CAJ1519"/>
      <c r="CAK1519"/>
      <c r="CAL1519"/>
      <c r="CAM1519"/>
      <c r="CAN1519"/>
      <c r="CAO1519"/>
      <c r="CAP1519"/>
      <c r="CAQ1519"/>
      <c r="CAR1519"/>
      <c r="CAS1519"/>
      <c r="CAT1519"/>
      <c r="CAU1519"/>
      <c r="CAV1519"/>
      <c r="CAW1519"/>
      <c r="CAX1519"/>
      <c r="CAY1519"/>
      <c r="CAZ1519"/>
      <c r="CBA1519"/>
      <c r="CBB1519"/>
      <c r="CBC1519"/>
      <c r="CBD1519"/>
      <c r="CBE1519"/>
      <c r="CBF1519"/>
      <c r="CBG1519"/>
      <c r="CBH1519"/>
      <c r="CBI1519"/>
      <c r="CBJ1519"/>
      <c r="CBK1519"/>
      <c r="CBL1519"/>
      <c r="CBM1519"/>
      <c r="CBN1519"/>
      <c r="CBO1519"/>
      <c r="CBP1519"/>
      <c r="CBQ1519"/>
      <c r="CBR1519"/>
      <c r="CBS1519"/>
      <c r="CBT1519"/>
      <c r="CBU1519"/>
      <c r="CBV1519"/>
      <c r="CBW1519"/>
      <c r="CBX1519"/>
      <c r="CBY1519"/>
      <c r="CBZ1519"/>
      <c r="CCA1519"/>
      <c r="CCB1519"/>
      <c r="CCC1519"/>
      <c r="CCD1519"/>
      <c r="CCE1519"/>
      <c r="CCF1519"/>
      <c r="CCG1519"/>
      <c r="CCH1519"/>
      <c r="CCI1519"/>
      <c r="CCJ1519"/>
      <c r="CCK1519"/>
      <c r="CCL1519"/>
      <c r="CCM1519"/>
      <c r="CCN1519"/>
      <c r="CCO1519"/>
      <c r="CCP1519"/>
      <c r="CCQ1519"/>
      <c r="CCR1519"/>
      <c r="CCS1519"/>
      <c r="CCT1519"/>
      <c r="CCU1519"/>
      <c r="CCV1519"/>
      <c r="CCW1519"/>
      <c r="CCX1519"/>
      <c r="CCY1519"/>
      <c r="CCZ1519"/>
      <c r="CDA1519"/>
      <c r="CDB1519"/>
      <c r="CDC1519"/>
      <c r="CDD1519"/>
      <c r="CDE1519"/>
      <c r="CDF1519"/>
      <c r="CDG1519"/>
      <c r="CDH1519"/>
      <c r="CDI1519"/>
      <c r="CDJ1519"/>
      <c r="CDK1519"/>
      <c r="CDL1519"/>
      <c r="CDM1519"/>
      <c r="CDN1519"/>
      <c r="CDO1519"/>
      <c r="CDP1519"/>
      <c r="CDQ1519"/>
      <c r="CDR1519"/>
      <c r="CDS1519"/>
      <c r="CDT1519"/>
      <c r="CDU1519"/>
      <c r="CDV1519"/>
      <c r="CDW1519"/>
      <c r="CDX1519"/>
      <c r="CDY1519"/>
      <c r="CDZ1519"/>
      <c r="CEA1519"/>
      <c r="CEB1519"/>
      <c r="CEC1519"/>
      <c r="CED1519"/>
      <c r="CEE1519"/>
      <c r="CEF1519"/>
      <c r="CEG1519"/>
      <c r="CEH1519"/>
      <c r="CEI1519"/>
      <c r="CEJ1519"/>
      <c r="CEK1519"/>
      <c r="CEL1519"/>
      <c r="CEM1519"/>
      <c r="CEN1519"/>
      <c r="CEO1519"/>
      <c r="CEP1519"/>
      <c r="CEQ1519"/>
      <c r="CER1519"/>
      <c r="CES1519"/>
      <c r="CET1519"/>
      <c r="CEU1519"/>
      <c r="CEV1519"/>
      <c r="CEW1519"/>
      <c r="CEX1519"/>
      <c r="CEY1519"/>
      <c r="CEZ1519"/>
      <c r="CFA1519"/>
      <c r="CFB1519"/>
      <c r="CFC1519"/>
      <c r="CFD1519"/>
      <c r="CFE1519"/>
      <c r="CFF1519"/>
      <c r="CFG1519"/>
      <c r="CFH1519"/>
      <c r="CFI1519"/>
      <c r="CFJ1519"/>
      <c r="CFK1519"/>
      <c r="CFL1519"/>
      <c r="CFM1519"/>
      <c r="CFN1519"/>
      <c r="CFO1519"/>
      <c r="CFP1519"/>
      <c r="CFQ1519"/>
      <c r="CFR1519"/>
      <c r="CFS1519"/>
      <c r="CFT1519"/>
      <c r="CFU1519"/>
      <c r="CFV1519"/>
      <c r="CFW1519"/>
      <c r="CFX1519"/>
      <c r="CFY1519"/>
      <c r="CFZ1519"/>
      <c r="CGA1519"/>
      <c r="CGB1519"/>
      <c r="CGC1519"/>
      <c r="CGD1519"/>
      <c r="CGE1519"/>
      <c r="CGF1519"/>
      <c r="CGG1519"/>
      <c r="CGH1519"/>
      <c r="CGI1519"/>
      <c r="CGJ1519"/>
      <c r="CGK1519"/>
      <c r="CGL1519"/>
      <c r="CGM1519"/>
      <c r="CGN1519"/>
      <c r="CGO1519"/>
      <c r="CGP1519"/>
      <c r="CGQ1519"/>
      <c r="CGR1519"/>
      <c r="CGS1519"/>
      <c r="CGT1519"/>
      <c r="CGU1519"/>
      <c r="CGV1519"/>
      <c r="CGW1519"/>
      <c r="CGX1519"/>
      <c r="CGY1519"/>
      <c r="CGZ1519"/>
      <c r="CHA1519"/>
      <c r="CHB1519"/>
      <c r="CHC1519"/>
      <c r="CHD1519"/>
      <c r="CHE1519"/>
      <c r="CHF1519"/>
      <c r="CHG1519"/>
      <c r="CHH1519"/>
      <c r="CHI1519"/>
      <c r="CHJ1519"/>
      <c r="CHK1519"/>
      <c r="CHL1519"/>
      <c r="CHM1519"/>
      <c r="CHN1519"/>
      <c r="CHO1519"/>
      <c r="CHP1519"/>
      <c r="CHQ1519"/>
      <c r="CHR1519"/>
      <c r="CHS1519"/>
      <c r="CHT1519"/>
      <c r="CHU1519"/>
      <c r="CHV1519"/>
      <c r="CHW1519"/>
      <c r="CHX1519"/>
      <c r="CHY1519"/>
      <c r="CHZ1519"/>
      <c r="CIA1519"/>
      <c r="CIB1519"/>
      <c r="CIC1519"/>
      <c r="CID1519"/>
      <c r="CIE1519"/>
      <c r="CIF1519"/>
      <c r="CIG1519"/>
      <c r="CIH1519"/>
      <c r="CII1519"/>
      <c r="CIJ1519"/>
      <c r="CIK1519"/>
      <c r="CIL1519"/>
      <c r="CIM1519"/>
      <c r="CIN1519"/>
      <c r="CIO1519"/>
      <c r="CIP1519"/>
      <c r="CIQ1519"/>
      <c r="CIR1519"/>
      <c r="CIS1519"/>
      <c r="CIT1519"/>
      <c r="CIU1519"/>
      <c r="CIV1519"/>
      <c r="CIW1519"/>
      <c r="CIX1519"/>
      <c r="CIY1519"/>
      <c r="CIZ1519"/>
      <c r="CJA1519"/>
      <c r="CJB1519"/>
      <c r="CJC1519"/>
      <c r="CJD1519"/>
      <c r="CJE1519"/>
      <c r="CJF1519"/>
      <c r="CJG1519"/>
      <c r="CJH1519"/>
      <c r="CJI1519"/>
      <c r="CJJ1519"/>
      <c r="CJK1519"/>
      <c r="CJL1519"/>
      <c r="CJM1519"/>
      <c r="CJN1519"/>
      <c r="CJO1519"/>
      <c r="CJP1519"/>
      <c r="CJQ1519"/>
      <c r="CJR1519"/>
      <c r="CJS1519"/>
      <c r="CJT1519"/>
      <c r="CJU1519"/>
      <c r="CJV1519"/>
      <c r="CJW1519"/>
      <c r="CJX1519"/>
      <c r="CJY1519"/>
      <c r="CJZ1519"/>
      <c r="CKA1519"/>
      <c r="CKB1519"/>
      <c r="CKC1519"/>
      <c r="CKD1519"/>
      <c r="CKE1519"/>
      <c r="CKF1519"/>
      <c r="CKG1519"/>
      <c r="CKH1519"/>
      <c r="CKI1519"/>
      <c r="CKJ1519"/>
      <c r="CKK1519"/>
      <c r="CKL1519"/>
      <c r="CKM1519"/>
      <c r="CKN1519"/>
      <c r="CKO1519"/>
      <c r="CKP1519"/>
      <c r="CKQ1519"/>
      <c r="CKR1519"/>
      <c r="CKS1519"/>
      <c r="CKT1519"/>
      <c r="CKU1519"/>
      <c r="CKV1519"/>
      <c r="CKW1519"/>
      <c r="CKX1519"/>
      <c r="CKY1519"/>
      <c r="CKZ1519"/>
      <c r="CLA1519"/>
      <c r="CLB1519"/>
      <c r="CLC1519"/>
      <c r="CLD1519"/>
      <c r="CLE1519"/>
      <c r="CLF1519"/>
      <c r="CLG1519"/>
      <c r="CLH1519"/>
      <c r="CLI1519"/>
      <c r="CLJ1519"/>
      <c r="CLK1519"/>
      <c r="CLL1519"/>
      <c r="CLM1519"/>
      <c r="CLN1519"/>
      <c r="CLO1519"/>
      <c r="CLP1519"/>
      <c r="CLQ1519"/>
      <c r="CLR1519"/>
      <c r="CLS1519"/>
      <c r="CLT1519"/>
      <c r="CLU1519"/>
      <c r="CLV1519"/>
      <c r="CLW1519"/>
      <c r="CLX1519"/>
      <c r="CLY1519"/>
      <c r="CLZ1519"/>
      <c r="CMA1519"/>
      <c r="CMB1519"/>
      <c r="CMC1519"/>
      <c r="CMD1519"/>
      <c r="CME1519"/>
      <c r="CMF1519"/>
      <c r="CMG1519"/>
      <c r="CMH1519"/>
      <c r="CMI1519"/>
      <c r="CMJ1519"/>
      <c r="CMK1519"/>
      <c r="CML1519"/>
      <c r="CMM1519"/>
      <c r="CMN1519"/>
      <c r="CMO1519"/>
      <c r="CMP1519"/>
      <c r="CMQ1519"/>
      <c r="CMR1519"/>
      <c r="CMS1519"/>
      <c r="CMT1519"/>
      <c r="CMU1519"/>
      <c r="CMV1519"/>
      <c r="CMW1519"/>
      <c r="CMX1519"/>
      <c r="CMY1519"/>
      <c r="CMZ1519"/>
      <c r="CNA1519"/>
      <c r="CNB1519"/>
      <c r="CNC1519"/>
      <c r="CND1519"/>
      <c r="CNE1519"/>
      <c r="CNF1519"/>
      <c r="CNG1519"/>
      <c r="CNH1519"/>
      <c r="CNI1519"/>
      <c r="CNJ1519"/>
      <c r="CNK1519"/>
      <c r="CNL1519"/>
      <c r="CNM1519"/>
      <c r="CNN1519"/>
      <c r="CNO1519"/>
      <c r="CNP1519"/>
      <c r="CNQ1519"/>
      <c r="CNR1519"/>
      <c r="CNS1519"/>
      <c r="CNT1519"/>
      <c r="CNU1519"/>
      <c r="CNV1519"/>
      <c r="CNW1519"/>
      <c r="CNX1519"/>
      <c r="CNY1519"/>
      <c r="CNZ1519"/>
      <c r="COA1519"/>
      <c r="COB1519"/>
      <c r="COC1519"/>
      <c r="COD1519"/>
      <c r="COE1519"/>
      <c r="COF1519"/>
      <c r="COG1519"/>
      <c r="COH1519"/>
      <c r="COI1519"/>
      <c r="COJ1519"/>
      <c r="COK1519"/>
      <c r="COL1519"/>
      <c r="COM1519"/>
      <c r="CON1519"/>
      <c r="COO1519"/>
      <c r="COP1519"/>
      <c r="COQ1519"/>
      <c r="COR1519"/>
      <c r="COS1519"/>
      <c r="COT1519"/>
      <c r="COU1519"/>
      <c r="COV1519"/>
      <c r="COW1519"/>
      <c r="COX1519"/>
      <c r="COY1519"/>
      <c r="COZ1519"/>
      <c r="CPA1519"/>
      <c r="CPB1519"/>
      <c r="CPC1519"/>
      <c r="CPD1519"/>
      <c r="CPE1519"/>
      <c r="CPF1519"/>
      <c r="CPG1519"/>
      <c r="CPH1519"/>
      <c r="CPI1519"/>
      <c r="CPJ1519"/>
      <c r="CPK1519"/>
      <c r="CPL1519"/>
      <c r="CPM1519"/>
      <c r="CPN1519"/>
      <c r="CPO1519"/>
      <c r="CPP1519"/>
      <c r="CPQ1519"/>
      <c r="CPR1519"/>
      <c r="CPS1519"/>
      <c r="CPT1519"/>
      <c r="CPU1519"/>
      <c r="CPV1519"/>
      <c r="CPW1519"/>
      <c r="CPX1519"/>
      <c r="CPY1519"/>
      <c r="CPZ1519"/>
      <c r="CQA1519"/>
      <c r="CQB1519"/>
      <c r="CQC1519"/>
      <c r="CQD1519"/>
      <c r="CQE1519"/>
      <c r="CQF1519"/>
      <c r="CQG1519"/>
      <c r="CQH1519"/>
      <c r="CQI1519"/>
      <c r="CQJ1519"/>
      <c r="CQK1519"/>
      <c r="CQL1519"/>
      <c r="CQM1519"/>
      <c r="CQN1519"/>
      <c r="CQO1519"/>
      <c r="CQP1519"/>
      <c r="CQQ1519"/>
      <c r="CQR1519"/>
      <c r="CQS1519"/>
      <c r="CQT1519"/>
      <c r="CQU1519"/>
      <c r="CQV1519"/>
      <c r="CQW1519"/>
      <c r="CQX1519"/>
      <c r="CQY1519"/>
      <c r="CQZ1519"/>
      <c r="CRA1519"/>
      <c r="CRB1519"/>
      <c r="CRC1519"/>
      <c r="CRD1519"/>
      <c r="CRE1519"/>
      <c r="CRF1519"/>
      <c r="CRG1519"/>
      <c r="CRH1519"/>
      <c r="CRI1519"/>
      <c r="CRJ1519"/>
      <c r="CRK1519"/>
      <c r="CRL1519"/>
      <c r="CRM1519"/>
      <c r="CRN1519"/>
      <c r="CRO1519"/>
      <c r="CRP1519"/>
      <c r="CRQ1519"/>
      <c r="CRR1519"/>
      <c r="CRS1519"/>
      <c r="CRT1519"/>
      <c r="CRU1519"/>
      <c r="CRV1519"/>
      <c r="CRW1519"/>
      <c r="CRX1519"/>
      <c r="CRY1519"/>
      <c r="CRZ1519"/>
      <c r="CSA1519"/>
      <c r="CSB1519"/>
      <c r="CSC1519"/>
      <c r="CSD1519"/>
      <c r="CSE1519"/>
      <c r="CSF1519"/>
      <c r="CSG1519"/>
      <c r="CSH1519"/>
      <c r="CSI1519"/>
      <c r="CSJ1519"/>
      <c r="CSK1519"/>
      <c r="CSL1519"/>
      <c r="CSM1519"/>
      <c r="CSN1519"/>
      <c r="CSO1519"/>
      <c r="CSP1519"/>
      <c r="CSQ1519"/>
      <c r="CSR1519"/>
      <c r="CSS1519"/>
      <c r="CST1519"/>
      <c r="CSU1519"/>
      <c r="CSV1519"/>
      <c r="CSW1519"/>
      <c r="CSX1519"/>
      <c r="CSY1519"/>
      <c r="CSZ1519"/>
      <c r="CTA1519"/>
      <c r="CTB1519"/>
      <c r="CTC1519"/>
      <c r="CTD1519"/>
      <c r="CTE1519"/>
      <c r="CTF1519"/>
      <c r="CTG1519"/>
      <c r="CTH1519"/>
      <c r="CTI1519"/>
      <c r="CTJ1519"/>
      <c r="CTK1519"/>
      <c r="CTL1519"/>
      <c r="CTM1519"/>
      <c r="CTN1519"/>
      <c r="CTO1519"/>
      <c r="CTP1519"/>
      <c r="CTQ1519"/>
      <c r="CTR1519"/>
      <c r="CTS1519"/>
      <c r="CTT1519"/>
      <c r="CTU1519"/>
      <c r="CTV1519"/>
      <c r="CTW1519"/>
      <c r="CTX1519"/>
      <c r="CTY1519"/>
      <c r="CTZ1519"/>
      <c r="CUA1519"/>
      <c r="CUB1519"/>
      <c r="CUC1519"/>
      <c r="CUD1519"/>
      <c r="CUE1519"/>
      <c r="CUF1519"/>
      <c r="CUG1519"/>
      <c r="CUH1519"/>
      <c r="CUI1519"/>
      <c r="CUJ1519"/>
      <c r="CUK1519"/>
      <c r="CUL1519"/>
      <c r="CUM1519"/>
      <c r="CUN1519"/>
      <c r="CUO1519"/>
      <c r="CUP1519"/>
      <c r="CUQ1519"/>
      <c r="CUR1519"/>
      <c r="CUS1519"/>
      <c r="CUT1519"/>
      <c r="CUU1519"/>
      <c r="CUV1519"/>
      <c r="CUW1519"/>
      <c r="CUX1519"/>
      <c r="CUY1519"/>
      <c r="CUZ1519"/>
      <c r="CVA1519"/>
      <c r="CVB1519"/>
      <c r="CVC1519"/>
      <c r="CVD1519"/>
      <c r="CVE1519"/>
      <c r="CVF1519"/>
      <c r="CVG1519"/>
      <c r="CVH1519"/>
      <c r="CVI1519"/>
      <c r="CVJ1519"/>
      <c r="CVK1519"/>
      <c r="CVL1519"/>
      <c r="CVM1519"/>
      <c r="CVN1519"/>
      <c r="CVO1519"/>
      <c r="CVP1519"/>
      <c r="CVQ1519"/>
      <c r="CVR1519"/>
      <c r="CVS1519"/>
      <c r="CVT1519"/>
      <c r="CVU1519"/>
      <c r="CVV1519"/>
      <c r="CVW1519"/>
      <c r="CVX1519"/>
      <c r="CVY1519"/>
      <c r="CVZ1519"/>
      <c r="CWA1519"/>
      <c r="CWB1519"/>
      <c r="CWC1519"/>
      <c r="CWD1519"/>
      <c r="CWE1519"/>
      <c r="CWF1519"/>
      <c r="CWG1519"/>
      <c r="CWH1519"/>
      <c r="CWI1519"/>
      <c r="CWJ1519"/>
      <c r="CWK1519"/>
      <c r="CWL1519"/>
      <c r="CWM1519"/>
      <c r="CWN1519"/>
      <c r="CWO1519"/>
      <c r="CWP1519"/>
      <c r="CWQ1519"/>
      <c r="CWR1519"/>
      <c r="CWS1519"/>
      <c r="CWT1519"/>
      <c r="CWU1519"/>
      <c r="CWV1519"/>
      <c r="CWW1519"/>
      <c r="CWX1519"/>
      <c r="CWY1519"/>
      <c r="CWZ1519"/>
      <c r="CXA1519"/>
      <c r="CXB1519"/>
      <c r="CXC1519"/>
      <c r="CXD1519"/>
      <c r="CXE1519"/>
      <c r="CXF1519"/>
      <c r="CXG1519"/>
      <c r="CXH1519"/>
      <c r="CXI1519"/>
      <c r="CXJ1519"/>
      <c r="CXK1519"/>
      <c r="CXL1519"/>
      <c r="CXM1519"/>
      <c r="CXN1519"/>
      <c r="CXO1519"/>
      <c r="CXP1519"/>
      <c r="CXQ1519"/>
      <c r="CXR1519"/>
      <c r="CXS1519"/>
      <c r="CXT1519"/>
      <c r="CXU1519"/>
      <c r="CXV1519"/>
      <c r="CXW1519"/>
      <c r="CXX1519"/>
      <c r="CXY1519"/>
      <c r="CXZ1519"/>
      <c r="CYA1519"/>
      <c r="CYB1519"/>
      <c r="CYC1519"/>
      <c r="CYD1519"/>
      <c r="CYE1519"/>
      <c r="CYF1519"/>
      <c r="CYG1519"/>
      <c r="CYH1519"/>
      <c r="CYI1519"/>
      <c r="CYJ1519"/>
      <c r="CYK1519"/>
      <c r="CYL1519"/>
      <c r="CYM1519"/>
      <c r="CYN1519"/>
      <c r="CYO1519"/>
      <c r="CYP1519"/>
      <c r="CYQ1519"/>
      <c r="CYR1519"/>
      <c r="CYS1519"/>
      <c r="CYT1519"/>
      <c r="CYU1519"/>
      <c r="CYV1519"/>
      <c r="CYW1519"/>
      <c r="CYX1519"/>
      <c r="CYY1519"/>
      <c r="CYZ1519"/>
      <c r="CZA1519"/>
      <c r="CZB1519"/>
      <c r="CZC1519"/>
      <c r="CZD1519"/>
      <c r="CZE1519"/>
      <c r="CZF1519"/>
      <c r="CZG1519"/>
      <c r="CZH1519"/>
      <c r="CZI1519"/>
      <c r="CZJ1519"/>
      <c r="CZK1519"/>
      <c r="CZL1519"/>
      <c r="CZM1519"/>
      <c r="CZN1519"/>
      <c r="CZO1519"/>
      <c r="CZP1519"/>
      <c r="CZQ1519"/>
      <c r="CZR1519"/>
      <c r="CZS1519"/>
      <c r="CZT1519"/>
      <c r="CZU1519"/>
      <c r="CZV1519"/>
      <c r="CZW1519"/>
      <c r="CZX1519"/>
      <c r="CZY1519"/>
      <c r="CZZ1519"/>
      <c r="DAA1519"/>
      <c r="DAB1519"/>
      <c r="DAC1519"/>
      <c r="DAD1519"/>
      <c r="DAE1519"/>
      <c r="DAF1519"/>
      <c r="DAG1519"/>
      <c r="DAH1519"/>
      <c r="DAI1519"/>
      <c r="DAJ1519"/>
      <c r="DAK1519"/>
      <c r="DAL1519"/>
      <c r="DAM1519"/>
      <c r="DAN1519"/>
      <c r="DAO1519"/>
      <c r="DAP1519"/>
      <c r="DAQ1519"/>
      <c r="DAR1519"/>
      <c r="DAS1519"/>
      <c r="DAT1519"/>
      <c r="DAU1519"/>
      <c r="DAV1519"/>
      <c r="DAW1519"/>
      <c r="DAX1519"/>
      <c r="DAY1519"/>
      <c r="DAZ1519"/>
      <c r="DBA1519"/>
      <c r="DBB1519"/>
      <c r="DBC1519"/>
      <c r="DBD1519"/>
      <c r="DBE1519"/>
      <c r="DBF1519"/>
      <c r="DBG1519"/>
      <c r="DBH1519"/>
      <c r="DBI1519"/>
      <c r="DBJ1519"/>
      <c r="DBK1519"/>
      <c r="DBL1519"/>
      <c r="DBM1519"/>
      <c r="DBN1519"/>
      <c r="DBO1519"/>
      <c r="DBP1519"/>
      <c r="DBQ1519"/>
      <c r="DBR1519"/>
      <c r="DBS1519"/>
      <c r="DBT1519"/>
      <c r="DBU1519"/>
      <c r="DBV1519"/>
      <c r="DBW1519"/>
      <c r="DBX1519"/>
      <c r="DBY1519"/>
      <c r="DBZ1519"/>
      <c r="DCA1519"/>
      <c r="DCB1519"/>
      <c r="DCC1519"/>
      <c r="DCD1519"/>
      <c r="DCE1519"/>
      <c r="DCF1519"/>
      <c r="DCG1519"/>
      <c r="DCH1519"/>
      <c r="DCI1519"/>
      <c r="DCJ1519"/>
      <c r="DCK1519"/>
      <c r="DCL1519"/>
      <c r="DCM1519"/>
      <c r="DCN1519"/>
      <c r="DCO1519"/>
      <c r="DCP1519"/>
      <c r="DCQ1519"/>
      <c r="DCR1519"/>
      <c r="DCS1519"/>
      <c r="DCT1519"/>
      <c r="DCU1519"/>
      <c r="DCV1519"/>
      <c r="DCW1519"/>
      <c r="DCX1519"/>
      <c r="DCY1519"/>
      <c r="DCZ1519"/>
      <c r="DDA1519"/>
      <c r="DDB1519"/>
      <c r="DDC1519"/>
      <c r="DDD1519"/>
      <c r="DDE1519"/>
      <c r="DDF1519"/>
      <c r="DDG1519"/>
      <c r="DDH1519"/>
      <c r="DDI1519"/>
      <c r="DDJ1519"/>
      <c r="DDK1519"/>
      <c r="DDL1519"/>
      <c r="DDM1519"/>
      <c r="DDN1519"/>
      <c r="DDO1519"/>
      <c r="DDP1519"/>
      <c r="DDQ1519"/>
      <c r="DDR1519"/>
      <c r="DDS1519"/>
      <c r="DDT1519"/>
      <c r="DDU1519"/>
      <c r="DDV1519"/>
      <c r="DDW1519"/>
      <c r="DDX1519"/>
      <c r="DDY1519"/>
      <c r="DDZ1519"/>
      <c r="DEA1519"/>
      <c r="DEB1519"/>
      <c r="DEC1519"/>
      <c r="DED1519"/>
      <c r="DEE1519"/>
      <c r="DEF1519"/>
      <c r="DEG1519"/>
      <c r="DEH1519"/>
      <c r="DEI1519"/>
      <c r="DEJ1519"/>
      <c r="DEK1519"/>
      <c r="DEL1519"/>
      <c r="DEM1519"/>
      <c r="DEN1519"/>
      <c r="DEO1519"/>
      <c r="DEP1519"/>
      <c r="DEQ1519"/>
      <c r="DER1519"/>
      <c r="DES1519"/>
      <c r="DET1519"/>
      <c r="DEU1519"/>
      <c r="DEV1519"/>
      <c r="DEW1519"/>
      <c r="DEX1519"/>
      <c r="DEY1519"/>
      <c r="DEZ1519"/>
      <c r="DFA1519"/>
      <c r="DFB1519"/>
      <c r="DFC1519"/>
      <c r="DFD1519"/>
      <c r="DFE1519"/>
      <c r="DFF1519"/>
      <c r="DFG1519"/>
      <c r="DFH1519"/>
      <c r="DFI1519"/>
      <c r="DFJ1519"/>
      <c r="DFK1519"/>
      <c r="DFL1519"/>
      <c r="DFM1519"/>
      <c r="DFN1519"/>
      <c r="DFO1519"/>
      <c r="DFP1519"/>
      <c r="DFQ1519"/>
      <c r="DFR1519"/>
      <c r="DFS1519"/>
      <c r="DFT1519"/>
      <c r="DFU1519"/>
      <c r="DFV1519"/>
      <c r="DFW1519"/>
      <c r="DFX1519"/>
      <c r="DFY1519"/>
      <c r="DFZ1519"/>
      <c r="DGA1519"/>
      <c r="DGB1519"/>
      <c r="DGC1519"/>
      <c r="DGD1519"/>
      <c r="DGE1519"/>
      <c r="DGF1519"/>
      <c r="DGG1519"/>
      <c r="DGH1519"/>
      <c r="DGI1519"/>
      <c r="DGJ1519"/>
      <c r="DGK1519"/>
      <c r="DGL1519"/>
      <c r="DGM1519"/>
      <c r="DGN1519"/>
      <c r="DGO1519"/>
      <c r="DGP1519"/>
      <c r="DGQ1519"/>
      <c r="DGR1519"/>
      <c r="DGS1519"/>
      <c r="DGT1519"/>
      <c r="DGU1519"/>
      <c r="DGV1519"/>
      <c r="DGW1519"/>
      <c r="DGX1519"/>
      <c r="DGY1519"/>
      <c r="DGZ1519"/>
      <c r="DHA1519"/>
      <c r="DHB1519"/>
      <c r="DHC1519"/>
      <c r="DHD1519"/>
      <c r="DHE1519"/>
      <c r="DHF1519"/>
      <c r="DHG1519"/>
      <c r="DHH1519"/>
      <c r="DHI1519"/>
      <c r="DHJ1519"/>
      <c r="DHK1519"/>
      <c r="DHL1519"/>
      <c r="DHM1519"/>
      <c r="DHN1519"/>
      <c r="DHO1519"/>
      <c r="DHP1519"/>
      <c r="DHQ1519"/>
      <c r="DHR1519"/>
      <c r="DHS1519"/>
      <c r="DHT1519"/>
      <c r="DHU1519"/>
      <c r="DHV1519"/>
      <c r="DHW1519"/>
      <c r="DHX1519"/>
      <c r="DHY1519"/>
      <c r="DHZ1519"/>
      <c r="DIA1519"/>
      <c r="DIB1519"/>
      <c r="DIC1519"/>
      <c r="DID1519"/>
      <c r="DIE1519"/>
      <c r="DIF1519"/>
      <c r="DIG1519"/>
      <c r="DIH1519"/>
      <c r="DII1519"/>
      <c r="DIJ1519"/>
      <c r="DIK1519"/>
      <c r="DIL1519"/>
      <c r="DIM1519"/>
      <c r="DIN1519"/>
      <c r="DIO1519"/>
      <c r="DIP1519"/>
      <c r="DIQ1519"/>
      <c r="DIR1519"/>
      <c r="DIS1519"/>
      <c r="DIT1519"/>
      <c r="DIU1519"/>
      <c r="DIV1519"/>
      <c r="DIW1519"/>
      <c r="DIX1519"/>
      <c r="DIY1519"/>
      <c r="DIZ1519"/>
      <c r="DJA1519"/>
      <c r="DJB1519"/>
      <c r="DJC1519"/>
      <c r="DJD1519"/>
      <c r="DJE1519"/>
      <c r="DJF1519"/>
      <c r="DJG1519"/>
      <c r="DJH1519"/>
      <c r="DJI1519"/>
      <c r="DJJ1519"/>
      <c r="DJK1519"/>
      <c r="DJL1519"/>
      <c r="DJM1519"/>
      <c r="DJN1519"/>
      <c r="DJO1519"/>
      <c r="DJP1519"/>
      <c r="DJQ1519"/>
      <c r="DJR1519"/>
      <c r="DJS1519"/>
      <c r="DJT1519"/>
      <c r="DJU1519"/>
      <c r="DJV1519"/>
      <c r="DJW1519"/>
      <c r="DJX1519"/>
      <c r="DJY1519"/>
      <c r="DJZ1519"/>
      <c r="DKA1519"/>
      <c r="DKB1519"/>
      <c r="DKC1519"/>
      <c r="DKD1519"/>
      <c r="DKE1519"/>
      <c r="DKF1519"/>
      <c r="DKG1519"/>
      <c r="DKH1519"/>
      <c r="DKI1519"/>
      <c r="DKJ1519"/>
      <c r="DKK1519"/>
      <c r="DKL1519"/>
      <c r="DKM1519"/>
      <c r="DKN1519"/>
      <c r="DKO1519"/>
      <c r="DKP1519"/>
      <c r="DKQ1519"/>
      <c r="DKR1519"/>
      <c r="DKS1519"/>
      <c r="DKT1519"/>
      <c r="DKU1519"/>
      <c r="DKV1519"/>
      <c r="DKW1519"/>
      <c r="DKX1519"/>
      <c r="DKY1519"/>
      <c r="DKZ1519"/>
      <c r="DLA1519"/>
      <c r="DLB1519"/>
      <c r="DLC1519"/>
      <c r="DLD1519"/>
      <c r="DLE1519"/>
      <c r="DLF1519"/>
      <c r="DLG1519"/>
      <c r="DLH1519"/>
      <c r="DLI1519"/>
      <c r="DLJ1519"/>
      <c r="DLK1519"/>
      <c r="DLL1519"/>
      <c r="DLM1519"/>
      <c r="DLN1519"/>
      <c r="DLO1519"/>
      <c r="DLP1519"/>
      <c r="DLQ1519"/>
      <c r="DLR1519"/>
      <c r="DLS1519"/>
      <c r="DLT1519"/>
      <c r="DLU1519"/>
      <c r="DLV1519"/>
      <c r="DLW1519"/>
      <c r="DLX1519"/>
      <c r="DLY1519"/>
      <c r="DLZ1519"/>
      <c r="DMA1519"/>
      <c r="DMB1519"/>
      <c r="DMC1519"/>
      <c r="DMD1519"/>
      <c r="DME1519"/>
      <c r="DMF1519"/>
      <c r="DMG1519"/>
      <c r="DMH1519"/>
      <c r="DMI1519"/>
      <c r="DMJ1519"/>
      <c r="DMK1519"/>
      <c r="DML1519"/>
      <c r="DMM1519"/>
      <c r="DMN1519"/>
      <c r="DMO1519"/>
      <c r="DMP1519"/>
      <c r="DMQ1519"/>
      <c r="DMR1519"/>
      <c r="DMS1519"/>
      <c r="DMT1519"/>
      <c r="DMU1519"/>
      <c r="DMV1519"/>
      <c r="DMW1519"/>
      <c r="DMX1519"/>
      <c r="DMY1519"/>
      <c r="DMZ1519"/>
      <c r="DNA1519"/>
      <c r="DNB1519"/>
      <c r="DNC1519"/>
      <c r="DND1519"/>
      <c r="DNE1519"/>
      <c r="DNF1519"/>
      <c r="DNG1519"/>
      <c r="DNH1519"/>
      <c r="DNI1519"/>
      <c r="DNJ1519"/>
      <c r="DNK1519"/>
      <c r="DNL1519"/>
      <c r="DNM1519"/>
      <c r="DNN1519"/>
      <c r="DNO1519"/>
      <c r="DNP1519"/>
      <c r="DNQ1519"/>
      <c r="DNR1519"/>
      <c r="DNS1519"/>
      <c r="DNT1519"/>
      <c r="DNU1519"/>
      <c r="DNV1519"/>
      <c r="DNW1519"/>
      <c r="DNX1519"/>
      <c r="DNY1519"/>
      <c r="DNZ1519"/>
      <c r="DOA1519"/>
      <c r="DOB1519"/>
      <c r="DOC1519"/>
      <c r="DOD1519"/>
      <c r="DOE1519"/>
      <c r="DOF1519"/>
      <c r="DOG1519"/>
      <c r="DOH1519"/>
      <c r="DOI1519"/>
      <c r="DOJ1519"/>
      <c r="DOK1519"/>
      <c r="DOL1519"/>
      <c r="DOM1519"/>
      <c r="DON1519"/>
      <c r="DOO1519"/>
      <c r="DOP1519"/>
      <c r="DOQ1519"/>
      <c r="DOR1519"/>
      <c r="DOS1519"/>
      <c r="DOT1519"/>
      <c r="DOU1519"/>
      <c r="DOV1519"/>
      <c r="DOW1519"/>
      <c r="DOX1519"/>
      <c r="DOY1519"/>
      <c r="DOZ1519"/>
      <c r="DPA1519"/>
      <c r="DPB1519"/>
      <c r="DPC1519"/>
      <c r="DPD1519"/>
      <c r="DPE1519"/>
      <c r="DPF1519"/>
      <c r="DPG1519"/>
      <c r="DPH1519"/>
      <c r="DPI1519"/>
      <c r="DPJ1519"/>
      <c r="DPK1519"/>
      <c r="DPL1519"/>
      <c r="DPM1519"/>
      <c r="DPN1519"/>
      <c r="DPO1519"/>
      <c r="DPP1519"/>
      <c r="DPQ1519"/>
      <c r="DPR1519"/>
      <c r="DPS1519"/>
      <c r="DPT1519"/>
      <c r="DPU1519"/>
      <c r="DPV1519"/>
      <c r="DPW1519"/>
      <c r="DPX1519"/>
      <c r="DPY1519"/>
      <c r="DPZ1519"/>
      <c r="DQA1519"/>
      <c r="DQB1519"/>
      <c r="DQC1519"/>
      <c r="DQD1519"/>
      <c r="DQE1519"/>
      <c r="DQF1519"/>
      <c r="DQG1519"/>
      <c r="DQH1519"/>
      <c r="DQI1519"/>
      <c r="DQJ1519"/>
      <c r="DQK1519"/>
      <c r="DQL1519"/>
      <c r="DQM1519"/>
      <c r="DQN1519"/>
      <c r="DQO1519"/>
      <c r="DQP1519"/>
      <c r="DQQ1519"/>
      <c r="DQR1519"/>
      <c r="DQS1519"/>
      <c r="DQT1519"/>
      <c r="DQU1519"/>
      <c r="DQV1519"/>
      <c r="DQW1519"/>
      <c r="DQX1519"/>
      <c r="DQY1519"/>
      <c r="DQZ1519"/>
      <c r="DRA1519"/>
      <c r="DRB1519"/>
      <c r="DRC1519"/>
      <c r="DRD1519"/>
      <c r="DRE1519"/>
      <c r="DRF1519"/>
      <c r="DRG1519"/>
      <c r="DRH1519"/>
      <c r="DRI1519"/>
      <c r="DRJ1519"/>
      <c r="DRK1519"/>
      <c r="DRL1519"/>
      <c r="DRM1519"/>
      <c r="DRN1519"/>
      <c r="DRO1519"/>
      <c r="DRP1519"/>
      <c r="DRQ1519"/>
      <c r="DRR1519"/>
      <c r="DRS1519"/>
      <c r="DRT1519"/>
      <c r="DRU1519"/>
      <c r="DRV1519"/>
      <c r="DRW1519"/>
      <c r="DRX1519"/>
      <c r="DRY1519"/>
      <c r="DRZ1519"/>
      <c r="DSA1519"/>
      <c r="DSB1519"/>
      <c r="DSC1519"/>
      <c r="DSD1519"/>
      <c r="DSE1519"/>
      <c r="DSF1519"/>
      <c r="DSG1519"/>
      <c r="DSH1519"/>
      <c r="DSI1519"/>
      <c r="DSJ1519"/>
      <c r="DSK1519"/>
      <c r="DSL1519"/>
      <c r="DSM1519"/>
      <c r="DSN1519"/>
      <c r="DSO1519"/>
      <c r="DSP1519"/>
      <c r="DSQ1519"/>
      <c r="DSR1519"/>
      <c r="DSS1519"/>
      <c r="DST1519"/>
      <c r="DSU1519"/>
      <c r="DSV1519"/>
      <c r="DSW1519"/>
      <c r="DSX1519"/>
      <c r="DSY1519"/>
      <c r="DSZ1519"/>
      <c r="DTA1519"/>
      <c r="DTB1519"/>
      <c r="DTC1519"/>
      <c r="DTD1519"/>
      <c r="DTE1519"/>
      <c r="DTF1519"/>
      <c r="DTG1519"/>
      <c r="DTH1519"/>
      <c r="DTI1519"/>
      <c r="DTJ1519"/>
      <c r="DTK1519"/>
      <c r="DTL1519"/>
      <c r="DTM1519"/>
      <c r="DTN1519"/>
      <c r="DTO1519"/>
      <c r="DTP1519"/>
      <c r="DTQ1519"/>
      <c r="DTR1519"/>
      <c r="DTS1519"/>
      <c r="DTT1519"/>
      <c r="DTU1519"/>
      <c r="DTV1519"/>
      <c r="DTW1519"/>
      <c r="DTX1519"/>
      <c r="DTY1519"/>
      <c r="DTZ1519"/>
      <c r="DUA1519"/>
      <c r="DUB1519"/>
      <c r="DUC1519"/>
      <c r="DUD1519"/>
      <c r="DUE1519"/>
      <c r="DUF1519"/>
      <c r="DUG1519"/>
      <c r="DUH1519"/>
      <c r="DUI1519"/>
      <c r="DUJ1519"/>
      <c r="DUK1519"/>
      <c r="DUL1519"/>
      <c r="DUM1519"/>
      <c r="DUN1519"/>
      <c r="DUO1519"/>
      <c r="DUP1519"/>
      <c r="DUQ1519"/>
      <c r="DUR1519"/>
      <c r="DUS1519"/>
      <c r="DUT1519"/>
      <c r="DUU1519"/>
      <c r="DUV1519"/>
      <c r="DUW1519"/>
      <c r="DUX1519"/>
      <c r="DUY1519"/>
      <c r="DUZ1519"/>
      <c r="DVA1519"/>
      <c r="DVB1519"/>
      <c r="DVC1519"/>
      <c r="DVD1519"/>
      <c r="DVE1519"/>
      <c r="DVF1519"/>
      <c r="DVG1519"/>
      <c r="DVH1519"/>
      <c r="DVI1519"/>
      <c r="DVJ1519"/>
      <c r="DVK1519"/>
      <c r="DVL1519"/>
      <c r="DVM1519"/>
      <c r="DVN1519"/>
      <c r="DVO1519"/>
      <c r="DVP1519"/>
      <c r="DVQ1519"/>
      <c r="DVR1519"/>
      <c r="DVS1519"/>
      <c r="DVT1519"/>
      <c r="DVU1519"/>
      <c r="DVV1519"/>
      <c r="DVW1519"/>
      <c r="DVX1519"/>
      <c r="DVY1519"/>
      <c r="DVZ1519"/>
      <c r="DWA1519"/>
      <c r="DWB1519"/>
      <c r="DWC1519"/>
      <c r="DWD1519"/>
      <c r="DWE1519"/>
      <c r="DWF1519"/>
      <c r="DWG1519"/>
      <c r="DWH1519"/>
      <c r="DWI1519"/>
      <c r="DWJ1519"/>
      <c r="DWK1519"/>
      <c r="DWL1519"/>
      <c r="DWM1519"/>
      <c r="DWN1519"/>
      <c r="DWO1519"/>
      <c r="DWP1519"/>
      <c r="DWQ1519"/>
      <c r="DWR1519"/>
      <c r="DWS1519"/>
      <c r="DWT1519"/>
      <c r="DWU1519"/>
      <c r="DWV1519"/>
      <c r="DWW1519"/>
      <c r="DWX1519"/>
      <c r="DWY1519"/>
      <c r="DWZ1519"/>
      <c r="DXA1519"/>
      <c r="DXB1519"/>
      <c r="DXC1519"/>
      <c r="DXD1519"/>
      <c r="DXE1519"/>
      <c r="DXF1519"/>
      <c r="DXG1519"/>
      <c r="DXH1519"/>
      <c r="DXI1519"/>
      <c r="DXJ1519"/>
      <c r="DXK1519"/>
      <c r="DXL1519"/>
      <c r="DXM1519"/>
      <c r="DXN1519"/>
      <c r="DXO1519"/>
      <c r="DXP1519"/>
      <c r="DXQ1519"/>
      <c r="DXR1519"/>
      <c r="DXS1519"/>
      <c r="DXT1519"/>
      <c r="DXU1519"/>
      <c r="DXV1519"/>
      <c r="DXW1519"/>
      <c r="DXX1519"/>
      <c r="DXY1519"/>
      <c r="DXZ1519"/>
      <c r="DYA1519"/>
      <c r="DYB1519"/>
      <c r="DYC1519"/>
      <c r="DYD1519"/>
      <c r="DYE1519"/>
      <c r="DYF1519"/>
      <c r="DYG1519"/>
      <c r="DYH1519"/>
      <c r="DYI1519"/>
      <c r="DYJ1519"/>
      <c r="DYK1519"/>
      <c r="DYL1519"/>
      <c r="DYM1519"/>
      <c r="DYN1519"/>
      <c r="DYO1519"/>
      <c r="DYP1519"/>
      <c r="DYQ1519"/>
      <c r="DYR1519"/>
      <c r="DYS1519"/>
      <c r="DYT1519"/>
      <c r="DYU1519"/>
      <c r="DYV1519"/>
      <c r="DYW1519"/>
      <c r="DYX1519"/>
      <c r="DYY1519"/>
      <c r="DYZ1519"/>
      <c r="DZA1519"/>
      <c r="DZB1519"/>
      <c r="DZC1519"/>
      <c r="DZD1519"/>
      <c r="DZE1519"/>
      <c r="DZF1519"/>
      <c r="DZG1519"/>
      <c r="DZH1519"/>
      <c r="DZI1519"/>
      <c r="DZJ1519"/>
      <c r="DZK1519"/>
      <c r="DZL1519"/>
      <c r="DZM1519"/>
      <c r="DZN1519"/>
      <c r="DZO1519"/>
      <c r="DZP1519"/>
      <c r="DZQ1519"/>
      <c r="DZR1519"/>
      <c r="DZS1519"/>
      <c r="DZT1519"/>
      <c r="DZU1519"/>
      <c r="DZV1519"/>
      <c r="DZW1519"/>
      <c r="DZX1519"/>
      <c r="DZY1519"/>
      <c r="DZZ1519"/>
      <c r="EAA1519"/>
      <c r="EAB1519"/>
      <c r="EAC1519"/>
      <c r="EAD1519"/>
      <c r="EAE1519"/>
      <c r="EAF1519"/>
      <c r="EAG1519"/>
      <c r="EAH1519"/>
      <c r="EAI1519"/>
      <c r="EAJ1519"/>
      <c r="EAK1519"/>
      <c r="EAL1519"/>
      <c r="EAM1519"/>
      <c r="EAN1519"/>
      <c r="EAO1519"/>
      <c r="EAP1519"/>
      <c r="EAQ1519"/>
      <c r="EAR1519"/>
      <c r="EAS1519"/>
      <c r="EAT1519"/>
      <c r="EAU1519"/>
      <c r="EAV1519"/>
      <c r="EAW1519"/>
      <c r="EAX1519"/>
      <c r="EAY1519"/>
      <c r="EAZ1519"/>
      <c r="EBA1519"/>
      <c r="EBB1519"/>
      <c r="EBC1519"/>
      <c r="EBD1519"/>
      <c r="EBE1519"/>
      <c r="EBF1519"/>
      <c r="EBG1519"/>
      <c r="EBH1519"/>
      <c r="EBI1519"/>
      <c r="EBJ1519"/>
      <c r="EBK1519"/>
      <c r="EBL1519"/>
      <c r="EBM1519"/>
      <c r="EBN1519"/>
      <c r="EBO1519"/>
      <c r="EBP1519"/>
      <c r="EBQ1519"/>
      <c r="EBR1519"/>
      <c r="EBS1519"/>
      <c r="EBT1519"/>
      <c r="EBU1519"/>
      <c r="EBV1519"/>
      <c r="EBW1519"/>
      <c r="EBX1519"/>
      <c r="EBY1519"/>
      <c r="EBZ1519"/>
      <c r="ECA1519"/>
      <c r="ECB1519"/>
      <c r="ECC1519"/>
      <c r="ECD1519"/>
      <c r="ECE1519"/>
      <c r="ECF1519"/>
      <c r="ECG1519"/>
      <c r="ECH1519"/>
      <c r="ECI1519"/>
      <c r="ECJ1519"/>
      <c r="ECK1519"/>
      <c r="ECL1519"/>
      <c r="ECM1519"/>
      <c r="ECN1519"/>
      <c r="ECO1519"/>
      <c r="ECP1519"/>
      <c r="ECQ1519"/>
      <c r="ECR1519"/>
      <c r="ECS1519"/>
      <c r="ECT1519"/>
      <c r="ECU1519"/>
      <c r="ECV1519"/>
      <c r="ECW1519"/>
      <c r="ECX1519"/>
      <c r="ECY1519"/>
      <c r="ECZ1519"/>
      <c r="EDA1519"/>
      <c r="EDB1519"/>
      <c r="EDC1519"/>
      <c r="EDD1519"/>
      <c r="EDE1519"/>
      <c r="EDF1519"/>
      <c r="EDG1519"/>
      <c r="EDH1519"/>
      <c r="EDI1519"/>
      <c r="EDJ1519"/>
      <c r="EDK1519"/>
      <c r="EDL1519"/>
      <c r="EDM1519"/>
      <c r="EDN1519"/>
      <c r="EDO1519"/>
      <c r="EDP1519"/>
      <c r="EDQ1519"/>
      <c r="EDR1519"/>
      <c r="EDS1519"/>
      <c r="EDT1519"/>
      <c r="EDU1519"/>
      <c r="EDV1519"/>
      <c r="EDW1519"/>
      <c r="EDX1519"/>
      <c r="EDY1519"/>
      <c r="EDZ1519"/>
      <c r="EEA1519"/>
      <c r="EEB1519"/>
      <c r="EEC1519"/>
      <c r="EED1519"/>
      <c r="EEE1519"/>
      <c r="EEF1519"/>
      <c r="EEG1519"/>
      <c r="EEH1519"/>
      <c r="EEI1519"/>
      <c r="EEJ1519"/>
      <c r="EEK1519"/>
      <c r="EEL1519"/>
      <c r="EEM1519"/>
      <c r="EEN1519"/>
      <c r="EEO1519"/>
      <c r="EEP1519"/>
      <c r="EEQ1519"/>
      <c r="EER1519"/>
      <c r="EES1519"/>
      <c r="EET1519"/>
      <c r="EEU1519"/>
      <c r="EEV1519"/>
      <c r="EEW1519"/>
      <c r="EEX1519"/>
      <c r="EEY1519"/>
      <c r="EEZ1519"/>
      <c r="EFA1519"/>
      <c r="EFB1519"/>
      <c r="EFC1519"/>
      <c r="EFD1519"/>
      <c r="EFE1519"/>
      <c r="EFF1519"/>
      <c r="EFG1519"/>
      <c r="EFH1519"/>
      <c r="EFI1519"/>
      <c r="EFJ1519"/>
      <c r="EFK1519"/>
      <c r="EFL1519"/>
      <c r="EFM1519"/>
      <c r="EFN1519"/>
      <c r="EFO1519"/>
      <c r="EFP1519"/>
      <c r="EFQ1519"/>
      <c r="EFR1519"/>
      <c r="EFS1519"/>
      <c r="EFT1519"/>
      <c r="EFU1519"/>
      <c r="EFV1519"/>
      <c r="EFW1519"/>
      <c r="EFX1519"/>
      <c r="EFY1519"/>
      <c r="EFZ1519"/>
      <c r="EGA1519"/>
      <c r="EGB1519"/>
      <c r="EGC1519"/>
      <c r="EGD1519"/>
      <c r="EGE1519"/>
      <c r="EGF1519"/>
      <c r="EGG1519"/>
      <c r="EGH1519"/>
      <c r="EGI1519"/>
      <c r="EGJ1519"/>
      <c r="EGK1519"/>
      <c r="EGL1519"/>
      <c r="EGM1519"/>
      <c r="EGN1519"/>
      <c r="EGO1519"/>
      <c r="EGP1519"/>
      <c r="EGQ1519"/>
      <c r="EGR1519"/>
      <c r="EGS1519"/>
      <c r="EGT1519"/>
      <c r="EGU1519"/>
      <c r="EGV1519"/>
      <c r="EGW1519"/>
      <c r="EGX1519"/>
      <c r="EGY1519"/>
      <c r="EGZ1519"/>
      <c r="EHA1519"/>
      <c r="EHB1519"/>
      <c r="EHC1519"/>
      <c r="EHD1519"/>
      <c r="EHE1519"/>
      <c r="EHF1519"/>
      <c r="EHG1519"/>
      <c r="EHH1519"/>
      <c r="EHI1519"/>
      <c r="EHJ1519"/>
      <c r="EHK1519"/>
      <c r="EHL1519"/>
      <c r="EHM1519"/>
      <c r="EHN1519"/>
      <c r="EHO1519"/>
      <c r="EHP1519"/>
      <c r="EHQ1519"/>
      <c r="EHR1519"/>
      <c r="EHS1519"/>
      <c r="EHT1519"/>
      <c r="EHU1519"/>
      <c r="EHV1519"/>
      <c r="EHW1519"/>
      <c r="EHX1519"/>
      <c r="EHY1519"/>
      <c r="EHZ1519"/>
      <c r="EIA1519"/>
      <c r="EIB1519"/>
      <c r="EIC1519"/>
      <c r="EID1519"/>
      <c r="EIE1519"/>
      <c r="EIF1519"/>
      <c r="EIG1519"/>
      <c r="EIH1519"/>
      <c r="EII1519"/>
      <c r="EIJ1519"/>
      <c r="EIK1519"/>
      <c r="EIL1519"/>
      <c r="EIM1519"/>
      <c r="EIN1519"/>
      <c r="EIO1519"/>
      <c r="EIP1519"/>
      <c r="EIQ1519"/>
      <c r="EIR1519"/>
      <c r="EIS1519"/>
      <c r="EIT1519"/>
      <c r="EIU1519"/>
      <c r="EIV1519"/>
      <c r="EIW1519"/>
      <c r="EIX1519"/>
      <c r="EIY1519"/>
      <c r="EIZ1519"/>
      <c r="EJA1519"/>
      <c r="EJB1519"/>
      <c r="EJC1519"/>
      <c r="EJD1519"/>
      <c r="EJE1519"/>
      <c r="EJF1519"/>
      <c r="EJG1519"/>
      <c r="EJH1519"/>
      <c r="EJI1519"/>
      <c r="EJJ1519"/>
      <c r="EJK1519"/>
      <c r="EJL1519"/>
      <c r="EJM1519"/>
      <c r="EJN1519"/>
      <c r="EJO1519"/>
      <c r="EJP1519"/>
      <c r="EJQ1519"/>
      <c r="EJR1519"/>
      <c r="EJS1519"/>
      <c r="EJT1519"/>
      <c r="EJU1519"/>
      <c r="EJV1519"/>
      <c r="EJW1519"/>
      <c r="EJX1519"/>
      <c r="EJY1519"/>
      <c r="EJZ1519"/>
      <c r="EKA1519"/>
      <c r="EKB1519"/>
      <c r="EKC1519"/>
      <c r="EKD1519"/>
      <c r="EKE1519"/>
      <c r="EKF1519"/>
      <c r="EKG1519"/>
      <c r="EKH1519"/>
      <c r="EKI1519"/>
      <c r="EKJ1519"/>
      <c r="EKK1519"/>
      <c r="EKL1519"/>
      <c r="EKM1519"/>
      <c r="EKN1519"/>
      <c r="EKO1519"/>
      <c r="EKP1519"/>
      <c r="EKQ1519"/>
      <c r="EKR1519"/>
      <c r="EKS1519"/>
      <c r="EKT1519"/>
      <c r="EKU1519"/>
      <c r="EKV1519"/>
      <c r="EKW1519"/>
      <c r="EKX1519"/>
      <c r="EKY1519"/>
      <c r="EKZ1519"/>
      <c r="ELA1519"/>
      <c r="ELB1519"/>
      <c r="ELC1519"/>
      <c r="ELD1519"/>
      <c r="ELE1519"/>
      <c r="ELF1519"/>
      <c r="ELG1519"/>
      <c r="ELH1519"/>
      <c r="ELI1519"/>
      <c r="ELJ1519"/>
      <c r="ELK1519"/>
      <c r="ELL1519"/>
      <c r="ELM1519"/>
      <c r="ELN1519"/>
      <c r="ELO1519"/>
      <c r="ELP1519"/>
      <c r="ELQ1519"/>
      <c r="ELR1519"/>
      <c r="ELS1519"/>
      <c r="ELT1519"/>
      <c r="ELU1519"/>
      <c r="ELV1519"/>
      <c r="ELW1519"/>
      <c r="ELX1519"/>
      <c r="ELY1519"/>
      <c r="ELZ1519"/>
      <c r="EMA1519"/>
      <c r="EMB1519"/>
      <c r="EMC1519"/>
      <c r="EMD1519"/>
      <c r="EME1519"/>
      <c r="EMF1519"/>
      <c r="EMG1519"/>
      <c r="EMH1519"/>
      <c r="EMI1519"/>
      <c r="EMJ1519"/>
      <c r="EMK1519"/>
      <c r="EML1519"/>
      <c r="EMM1519"/>
      <c r="EMN1519"/>
      <c r="EMO1519"/>
      <c r="EMP1519"/>
      <c r="EMQ1519"/>
      <c r="EMR1519"/>
      <c r="EMS1519"/>
      <c r="EMT1519"/>
      <c r="EMU1519"/>
      <c r="EMV1519"/>
      <c r="EMW1519"/>
      <c r="EMX1519"/>
      <c r="EMY1519"/>
      <c r="EMZ1519"/>
      <c r="ENA1519"/>
      <c r="ENB1519"/>
      <c r="ENC1519"/>
      <c r="END1519"/>
      <c r="ENE1519"/>
      <c r="ENF1519"/>
      <c r="ENG1519"/>
      <c r="ENH1519"/>
      <c r="ENI1519"/>
      <c r="ENJ1519"/>
      <c r="ENK1519"/>
      <c r="ENL1519"/>
      <c r="ENM1519"/>
      <c r="ENN1519"/>
      <c r="ENO1519"/>
      <c r="ENP1519"/>
      <c r="ENQ1519"/>
      <c r="ENR1519"/>
      <c r="ENS1519"/>
      <c r="ENT1519"/>
      <c r="ENU1519"/>
      <c r="ENV1519"/>
      <c r="ENW1519"/>
      <c r="ENX1519"/>
      <c r="ENY1519"/>
      <c r="ENZ1519"/>
      <c r="EOA1519"/>
      <c r="EOB1519"/>
      <c r="EOC1519"/>
      <c r="EOD1519"/>
      <c r="EOE1519"/>
      <c r="EOF1519"/>
      <c r="EOG1519"/>
      <c r="EOH1519"/>
      <c r="EOI1519"/>
      <c r="EOJ1519"/>
      <c r="EOK1519"/>
      <c r="EOL1519"/>
      <c r="EOM1519"/>
      <c r="EON1519"/>
      <c r="EOO1519"/>
      <c r="EOP1519"/>
      <c r="EOQ1519"/>
      <c r="EOR1519"/>
      <c r="EOS1519"/>
      <c r="EOT1519"/>
      <c r="EOU1519"/>
      <c r="EOV1519"/>
      <c r="EOW1519"/>
      <c r="EOX1519"/>
      <c r="EOY1519"/>
      <c r="EOZ1519"/>
      <c r="EPA1519"/>
      <c r="EPB1519"/>
      <c r="EPC1519"/>
      <c r="EPD1519"/>
      <c r="EPE1519"/>
      <c r="EPF1519"/>
      <c r="EPG1519"/>
      <c r="EPH1519"/>
      <c r="EPI1519"/>
      <c r="EPJ1519"/>
      <c r="EPK1519"/>
      <c r="EPL1519"/>
      <c r="EPM1519"/>
      <c r="EPN1519"/>
      <c r="EPO1519"/>
      <c r="EPP1519"/>
      <c r="EPQ1519"/>
      <c r="EPR1519"/>
      <c r="EPS1519"/>
      <c r="EPT1519"/>
      <c r="EPU1519"/>
      <c r="EPV1519"/>
      <c r="EPW1519"/>
      <c r="EPX1519"/>
      <c r="EPY1519"/>
      <c r="EPZ1519"/>
      <c r="EQA1519"/>
      <c r="EQB1519"/>
      <c r="EQC1519"/>
      <c r="EQD1519"/>
      <c r="EQE1519"/>
      <c r="EQF1519"/>
      <c r="EQG1519"/>
      <c r="EQH1519"/>
      <c r="EQI1519"/>
      <c r="EQJ1519"/>
      <c r="EQK1519"/>
      <c r="EQL1519"/>
      <c r="EQM1519"/>
      <c r="EQN1519"/>
      <c r="EQO1519"/>
      <c r="EQP1519"/>
      <c r="EQQ1519"/>
      <c r="EQR1519"/>
      <c r="EQS1519"/>
      <c r="EQT1519"/>
      <c r="EQU1519"/>
      <c r="EQV1519"/>
      <c r="EQW1519"/>
      <c r="EQX1519"/>
      <c r="EQY1519"/>
      <c r="EQZ1519"/>
      <c r="ERA1519"/>
      <c r="ERB1519"/>
      <c r="ERC1519"/>
      <c r="ERD1519"/>
      <c r="ERE1519"/>
      <c r="ERF1519"/>
      <c r="ERG1519"/>
      <c r="ERH1519"/>
      <c r="ERI1519"/>
      <c r="ERJ1519"/>
      <c r="ERK1519"/>
      <c r="ERL1519"/>
      <c r="ERM1519"/>
      <c r="ERN1519"/>
      <c r="ERO1519"/>
      <c r="ERP1519"/>
      <c r="ERQ1519"/>
      <c r="ERR1519"/>
      <c r="ERS1519"/>
      <c r="ERT1519"/>
      <c r="ERU1519"/>
      <c r="ERV1519"/>
      <c r="ERW1519"/>
      <c r="ERX1519"/>
      <c r="ERY1519"/>
      <c r="ERZ1519"/>
      <c r="ESA1519"/>
      <c r="ESB1519"/>
      <c r="ESC1519"/>
      <c r="ESD1519"/>
      <c r="ESE1519"/>
      <c r="ESF1519"/>
      <c r="ESG1519"/>
      <c r="ESH1519"/>
      <c r="ESI1519"/>
      <c r="ESJ1519"/>
      <c r="ESK1519"/>
      <c r="ESL1519"/>
      <c r="ESM1519"/>
      <c r="ESN1519"/>
      <c r="ESO1519"/>
      <c r="ESP1519"/>
      <c r="ESQ1519"/>
      <c r="ESR1519"/>
      <c r="ESS1519"/>
      <c r="EST1519"/>
      <c r="ESU1519"/>
      <c r="ESV1519"/>
      <c r="ESW1519"/>
      <c r="ESX1519"/>
      <c r="ESY1519"/>
      <c r="ESZ1519"/>
      <c r="ETA1519"/>
      <c r="ETB1519"/>
      <c r="ETC1519"/>
      <c r="ETD1519"/>
      <c r="ETE1519"/>
      <c r="ETF1519"/>
      <c r="ETG1519"/>
      <c r="ETH1519"/>
      <c r="ETI1519"/>
      <c r="ETJ1519"/>
      <c r="ETK1519"/>
      <c r="ETL1519"/>
      <c r="ETM1519"/>
      <c r="ETN1519"/>
      <c r="ETO1519"/>
      <c r="ETP1519"/>
      <c r="ETQ1519"/>
      <c r="ETR1519"/>
      <c r="ETS1519"/>
      <c r="ETT1519"/>
      <c r="ETU1519"/>
      <c r="ETV1519"/>
      <c r="ETW1519"/>
      <c r="ETX1519"/>
      <c r="ETY1519"/>
      <c r="ETZ1519"/>
      <c r="EUA1519"/>
      <c r="EUB1519"/>
      <c r="EUC1519"/>
      <c r="EUD1519"/>
      <c r="EUE1519"/>
      <c r="EUF1519"/>
      <c r="EUG1519"/>
      <c r="EUH1519"/>
      <c r="EUI1519"/>
      <c r="EUJ1519"/>
      <c r="EUK1519"/>
      <c r="EUL1519"/>
      <c r="EUM1519"/>
      <c r="EUN1519"/>
      <c r="EUO1519"/>
      <c r="EUP1519"/>
      <c r="EUQ1519"/>
      <c r="EUR1519"/>
      <c r="EUS1519"/>
      <c r="EUT1519"/>
      <c r="EUU1519"/>
      <c r="EUV1519"/>
      <c r="EUW1519"/>
      <c r="EUX1519"/>
      <c r="EUY1519"/>
      <c r="EUZ1519"/>
      <c r="EVA1519"/>
      <c r="EVB1519"/>
      <c r="EVC1519"/>
      <c r="EVD1519"/>
      <c r="EVE1519"/>
      <c r="EVF1519"/>
      <c r="EVG1519"/>
      <c r="EVH1519"/>
      <c r="EVI1519"/>
      <c r="EVJ1519"/>
      <c r="EVK1519"/>
      <c r="EVL1519"/>
      <c r="EVM1519"/>
      <c r="EVN1519"/>
      <c r="EVO1519"/>
      <c r="EVP1519"/>
      <c r="EVQ1519"/>
      <c r="EVR1519"/>
      <c r="EVS1519"/>
      <c r="EVT1519"/>
      <c r="EVU1519"/>
      <c r="EVV1519"/>
      <c r="EVW1519"/>
      <c r="EVX1519"/>
      <c r="EVY1519"/>
      <c r="EVZ1519"/>
      <c r="EWA1519"/>
      <c r="EWB1519"/>
      <c r="EWC1519"/>
      <c r="EWD1519"/>
      <c r="EWE1519"/>
      <c r="EWF1519"/>
      <c r="EWG1519"/>
      <c r="EWH1519"/>
      <c r="EWI1519"/>
      <c r="EWJ1519"/>
      <c r="EWK1519"/>
      <c r="EWL1519"/>
      <c r="EWM1519"/>
      <c r="EWN1519"/>
      <c r="EWO1519"/>
      <c r="EWP1519"/>
      <c r="EWQ1519"/>
      <c r="EWR1519"/>
      <c r="EWS1519"/>
      <c r="EWT1519"/>
      <c r="EWU1519"/>
      <c r="EWV1519"/>
      <c r="EWW1519"/>
      <c r="EWX1519"/>
      <c r="EWY1519"/>
      <c r="EWZ1519"/>
      <c r="EXA1519"/>
      <c r="EXB1519"/>
      <c r="EXC1519"/>
      <c r="EXD1519"/>
      <c r="EXE1519"/>
      <c r="EXF1519"/>
      <c r="EXG1519"/>
      <c r="EXH1519"/>
      <c r="EXI1519"/>
      <c r="EXJ1519"/>
      <c r="EXK1519"/>
      <c r="EXL1519"/>
      <c r="EXM1519"/>
      <c r="EXN1519"/>
      <c r="EXO1519"/>
      <c r="EXP1519"/>
      <c r="EXQ1519"/>
      <c r="EXR1519"/>
      <c r="EXS1519"/>
      <c r="EXT1519"/>
      <c r="EXU1519"/>
      <c r="EXV1519"/>
      <c r="EXW1519"/>
      <c r="EXX1519"/>
      <c r="EXY1519"/>
      <c r="EXZ1519"/>
      <c r="EYA1519"/>
      <c r="EYB1519"/>
      <c r="EYC1519"/>
      <c r="EYD1519"/>
      <c r="EYE1519"/>
      <c r="EYF1519"/>
      <c r="EYG1519"/>
      <c r="EYH1519"/>
      <c r="EYI1519"/>
      <c r="EYJ1519"/>
      <c r="EYK1519"/>
      <c r="EYL1519"/>
      <c r="EYM1519"/>
      <c r="EYN1519"/>
      <c r="EYO1519"/>
      <c r="EYP1519"/>
      <c r="EYQ1519"/>
      <c r="EYR1519"/>
      <c r="EYS1519"/>
      <c r="EYT1519"/>
      <c r="EYU1519"/>
      <c r="EYV1519"/>
      <c r="EYW1519"/>
      <c r="EYX1519"/>
      <c r="EYY1519"/>
      <c r="EYZ1519"/>
      <c r="EZA1519"/>
      <c r="EZB1519"/>
      <c r="EZC1519"/>
      <c r="EZD1519"/>
      <c r="EZE1519"/>
      <c r="EZF1519"/>
      <c r="EZG1519"/>
      <c r="EZH1519"/>
      <c r="EZI1519"/>
      <c r="EZJ1519"/>
      <c r="EZK1519"/>
      <c r="EZL1519"/>
      <c r="EZM1519"/>
      <c r="EZN1519"/>
      <c r="EZO1519"/>
      <c r="EZP1519"/>
      <c r="EZQ1519"/>
      <c r="EZR1519"/>
      <c r="EZS1519"/>
      <c r="EZT1519"/>
      <c r="EZU1519"/>
      <c r="EZV1519"/>
      <c r="EZW1519"/>
      <c r="EZX1519"/>
      <c r="EZY1519"/>
      <c r="EZZ1519"/>
      <c r="FAA1519"/>
      <c r="FAB1519"/>
      <c r="FAC1519"/>
      <c r="FAD1519"/>
      <c r="FAE1519"/>
      <c r="FAF1519"/>
      <c r="FAG1519"/>
      <c r="FAH1519"/>
      <c r="FAI1519"/>
      <c r="FAJ1519"/>
      <c r="FAK1519"/>
      <c r="FAL1519"/>
      <c r="FAM1519"/>
      <c r="FAN1519"/>
      <c r="FAO1519"/>
      <c r="FAP1519"/>
      <c r="FAQ1519"/>
      <c r="FAR1519"/>
      <c r="FAS1519"/>
      <c r="FAT1519"/>
      <c r="FAU1519"/>
      <c r="FAV1519"/>
      <c r="FAW1519"/>
      <c r="FAX1519"/>
      <c r="FAY1519"/>
      <c r="FAZ1519"/>
      <c r="FBA1519"/>
      <c r="FBB1519"/>
      <c r="FBC1519"/>
      <c r="FBD1519"/>
      <c r="FBE1519"/>
      <c r="FBF1519"/>
      <c r="FBG1519"/>
      <c r="FBH1519"/>
      <c r="FBI1519"/>
      <c r="FBJ1519"/>
      <c r="FBK1519"/>
      <c r="FBL1519"/>
      <c r="FBM1519"/>
      <c r="FBN1519"/>
      <c r="FBO1519"/>
      <c r="FBP1519"/>
      <c r="FBQ1519"/>
      <c r="FBR1519"/>
      <c r="FBS1519"/>
      <c r="FBT1519"/>
      <c r="FBU1519"/>
      <c r="FBV1519"/>
      <c r="FBW1519"/>
      <c r="FBX1519"/>
      <c r="FBY1519"/>
      <c r="FBZ1519"/>
      <c r="FCA1519"/>
      <c r="FCB1519"/>
      <c r="FCC1519"/>
      <c r="FCD1519"/>
      <c r="FCE1519"/>
      <c r="FCF1519"/>
      <c r="FCG1519"/>
      <c r="FCH1519"/>
      <c r="FCI1519"/>
      <c r="FCJ1519"/>
      <c r="FCK1519"/>
      <c r="FCL1519"/>
      <c r="FCM1519"/>
      <c r="FCN1519"/>
      <c r="FCO1519"/>
      <c r="FCP1519"/>
      <c r="FCQ1519"/>
      <c r="FCR1519"/>
      <c r="FCS1519"/>
      <c r="FCT1519"/>
      <c r="FCU1519"/>
      <c r="FCV1519"/>
      <c r="FCW1519"/>
      <c r="FCX1519"/>
      <c r="FCY1519"/>
      <c r="FCZ1519"/>
      <c r="FDA1519"/>
      <c r="FDB1519"/>
      <c r="FDC1519"/>
      <c r="FDD1519"/>
      <c r="FDE1519"/>
      <c r="FDF1519"/>
      <c r="FDG1519"/>
      <c r="FDH1519"/>
      <c r="FDI1519"/>
      <c r="FDJ1519"/>
      <c r="FDK1519"/>
      <c r="FDL1519"/>
      <c r="FDM1519"/>
      <c r="FDN1519"/>
      <c r="FDO1519"/>
      <c r="FDP1519"/>
      <c r="FDQ1519"/>
      <c r="FDR1519"/>
      <c r="FDS1519"/>
      <c r="FDT1519"/>
      <c r="FDU1519"/>
      <c r="FDV1519"/>
      <c r="FDW1519"/>
      <c r="FDX1519"/>
      <c r="FDY1519"/>
      <c r="FDZ1519"/>
      <c r="FEA1519"/>
      <c r="FEB1519"/>
      <c r="FEC1519"/>
      <c r="FED1519"/>
      <c r="FEE1519"/>
      <c r="FEF1519"/>
      <c r="FEG1519"/>
      <c r="FEH1519"/>
      <c r="FEI1519"/>
      <c r="FEJ1519"/>
      <c r="FEK1519"/>
      <c r="FEL1519"/>
      <c r="FEM1519"/>
      <c r="FEN1519"/>
      <c r="FEO1519"/>
      <c r="FEP1519"/>
      <c r="FEQ1519"/>
      <c r="FER1519"/>
      <c r="FES1519"/>
      <c r="FET1519"/>
      <c r="FEU1519"/>
      <c r="FEV1519"/>
      <c r="FEW1519"/>
      <c r="FEX1519"/>
      <c r="FEY1519"/>
      <c r="FEZ1519"/>
      <c r="FFA1519"/>
      <c r="FFB1519"/>
      <c r="FFC1519"/>
      <c r="FFD1519"/>
      <c r="FFE1519"/>
      <c r="FFF1519"/>
      <c r="FFG1519"/>
      <c r="FFH1519"/>
      <c r="FFI1519"/>
      <c r="FFJ1519"/>
      <c r="FFK1519"/>
      <c r="FFL1519"/>
      <c r="FFM1519"/>
      <c r="FFN1519"/>
      <c r="FFO1519"/>
      <c r="FFP1519"/>
      <c r="FFQ1519"/>
      <c r="FFR1519"/>
      <c r="FFS1519"/>
      <c r="FFT1519"/>
      <c r="FFU1519"/>
      <c r="FFV1519"/>
      <c r="FFW1519"/>
      <c r="FFX1519"/>
      <c r="FFY1519"/>
      <c r="FFZ1519"/>
      <c r="FGA1519"/>
      <c r="FGB1519"/>
      <c r="FGC1519"/>
      <c r="FGD1519"/>
      <c r="FGE1519"/>
      <c r="FGF1519"/>
      <c r="FGG1519"/>
      <c r="FGH1519"/>
      <c r="FGI1519"/>
      <c r="FGJ1519"/>
      <c r="FGK1519"/>
      <c r="FGL1519"/>
      <c r="FGM1519"/>
      <c r="FGN1519"/>
      <c r="FGO1519"/>
      <c r="FGP1519"/>
      <c r="FGQ1519"/>
      <c r="FGR1519"/>
      <c r="FGS1519"/>
      <c r="FGT1519"/>
      <c r="FGU1519"/>
      <c r="FGV1519"/>
      <c r="FGW1519"/>
      <c r="FGX1519"/>
      <c r="FGY1519"/>
      <c r="FGZ1519"/>
      <c r="FHA1519"/>
      <c r="FHB1519"/>
      <c r="FHC1519"/>
      <c r="FHD1519"/>
      <c r="FHE1519"/>
      <c r="FHF1519"/>
      <c r="FHG1519"/>
      <c r="FHH1519"/>
      <c r="FHI1519"/>
      <c r="FHJ1519"/>
      <c r="FHK1519"/>
      <c r="FHL1519"/>
      <c r="FHM1519"/>
      <c r="FHN1519"/>
      <c r="FHO1519"/>
      <c r="FHP1519"/>
      <c r="FHQ1519"/>
      <c r="FHR1519"/>
      <c r="FHS1519"/>
      <c r="FHT1519"/>
      <c r="FHU1519"/>
      <c r="FHV1519"/>
      <c r="FHW1519"/>
      <c r="FHX1519"/>
      <c r="FHY1519"/>
      <c r="FHZ1519"/>
      <c r="FIA1519"/>
      <c r="FIB1519"/>
      <c r="FIC1519"/>
      <c r="FID1519"/>
      <c r="FIE1519"/>
      <c r="FIF1519"/>
      <c r="FIG1519"/>
      <c r="FIH1519"/>
      <c r="FII1519"/>
      <c r="FIJ1519"/>
      <c r="FIK1519"/>
      <c r="FIL1519"/>
      <c r="FIM1519"/>
      <c r="FIN1519"/>
      <c r="FIO1519"/>
      <c r="FIP1519"/>
      <c r="FIQ1519"/>
      <c r="FIR1519"/>
      <c r="FIS1519"/>
      <c r="FIT1519"/>
      <c r="FIU1519"/>
      <c r="FIV1519"/>
      <c r="FIW1519"/>
      <c r="FIX1519"/>
      <c r="FIY1519"/>
      <c r="FIZ1519"/>
      <c r="FJA1519"/>
      <c r="FJB1519"/>
      <c r="FJC1519"/>
      <c r="FJD1519"/>
      <c r="FJE1519"/>
      <c r="FJF1519"/>
      <c r="FJG1519"/>
      <c r="FJH1519"/>
      <c r="FJI1519"/>
      <c r="FJJ1519"/>
      <c r="FJK1519"/>
      <c r="FJL1519"/>
      <c r="FJM1519"/>
      <c r="FJN1519"/>
      <c r="FJO1519"/>
      <c r="FJP1519"/>
      <c r="FJQ1519"/>
      <c r="FJR1519"/>
      <c r="FJS1519"/>
      <c r="FJT1519"/>
      <c r="FJU1519"/>
      <c r="FJV1519"/>
      <c r="FJW1519"/>
      <c r="FJX1519"/>
      <c r="FJY1519"/>
      <c r="FJZ1519"/>
      <c r="FKA1519"/>
      <c r="FKB1519"/>
      <c r="FKC1519"/>
      <c r="FKD1519"/>
      <c r="FKE1519"/>
      <c r="FKF1519"/>
      <c r="FKG1519"/>
      <c r="FKH1519"/>
      <c r="FKI1519"/>
      <c r="FKJ1519"/>
      <c r="FKK1519"/>
      <c r="FKL1519"/>
      <c r="FKM1519"/>
      <c r="FKN1519"/>
      <c r="FKO1519"/>
      <c r="FKP1519"/>
      <c r="FKQ1519"/>
      <c r="FKR1519"/>
      <c r="FKS1519"/>
      <c r="FKT1519"/>
      <c r="FKU1519"/>
      <c r="FKV1519"/>
      <c r="FKW1519"/>
      <c r="FKX1519"/>
      <c r="FKY1519"/>
      <c r="FKZ1519"/>
      <c r="FLA1519"/>
      <c r="FLB1519"/>
      <c r="FLC1519"/>
      <c r="FLD1519"/>
      <c r="FLE1519"/>
      <c r="FLF1519"/>
      <c r="FLG1519"/>
      <c r="FLH1519"/>
      <c r="FLI1519"/>
      <c r="FLJ1519"/>
      <c r="FLK1519"/>
      <c r="FLL1519"/>
      <c r="FLM1519"/>
      <c r="FLN1519"/>
      <c r="FLO1519"/>
      <c r="FLP1519"/>
      <c r="FLQ1519"/>
      <c r="FLR1519"/>
      <c r="FLS1519"/>
      <c r="FLT1519"/>
      <c r="FLU1519"/>
      <c r="FLV1519"/>
      <c r="FLW1519"/>
      <c r="FLX1519"/>
      <c r="FLY1519"/>
      <c r="FLZ1519"/>
      <c r="FMA1519"/>
      <c r="FMB1519"/>
      <c r="FMC1519"/>
      <c r="FMD1519"/>
      <c r="FME1519"/>
      <c r="FMF1519"/>
      <c r="FMG1519"/>
      <c r="FMH1519"/>
      <c r="FMI1519"/>
      <c r="FMJ1519"/>
      <c r="FMK1519"/>
      <c r="FML1519"/>
      <c r="FMM1519"/>
      <c r="FMN1519"/>
      <c r="FMO1519"/>
      <c r="FMP1519"/>
      <c r="FMQ1519"/>
      <c r="FMR1519"/>
      <c r="FMS1519"/>
      <c r="FMT1519"/>
      <c r="FMU1519"/>
      <c r="FMV1519"/>
      <c r="FMW1519"/>
      <c r="FMX1519"/>
      <c r="FMY1519"/>
      <c r="FMZ1519"/>
      <c r="FNA1519"/>
      <c r="FNB1519"/>
      <c r="FNC1519"/>
      <c r="FND1519"/>
      <c r="FNE1519"/>
      <c r="FNF1519"/>
      <c r="FNG1519"/>
      <c r="FNH1519"/>
      <c r="FNI1519"/>
      <c r="FNJ1519"/>
      <c r="FNK1519"/>
      <c r="FNL1519"/>
      <c r="FNM1519"/>
      <c r="FNN1519"/>
      <c r="FNO1519"/>
      <c r="FNP1519"/>
      <c r="FNQ1519"/>
      <c r="FNR1519"/>
      <c r="FNS1519"/>
      <c r="FNT1519"/>
      <c r="FNU1519"/>
      <c r="FNV1519"/>
      <c r="FNW1519"/>
      <c r="FNX1519"/>
      <c r="FNY1519"/>
      <c r="FNZ1519"/>
      <c r="FOA1519"/>
      <c r="FOB1519"/>
      <c r="FOC1519"/>
      <c r="FOD1519"/>
      <c r="FOE1519"/>
      <c r="FOF1519"/>
      <c r="FOG1519"/>
      <c r="FOH1519"/>
      <c r="FOI1519"/>
      <c r="FOJ1519"/>
      <c r="FOK1519"/>
      <c r="FOL1519"/>
      <c r="FOM1519"/>
      <c r="FON1519"/>
      <c r="FOO1519"/>
      <c r="FOP1519"/>
      <c r="FOQ1519"/>
      <c r="FOR1519"/>
      <c r="FOS1519"/>
      <c r="FOT1519"/>
      <c r="FOU1519"/>
      <c r="FOV1519"/>
      <c r="FOW1519"/>
      <c r="FOX1519"/>
      <c r="FOY1519"/>
      <c r="FOZ1519"/>
      <c r="FPA1519"/>
      <c r="FPB1519"/>
      <c r="FPC1519"/>
      <c r="FPD1519"/>
      <c r="FPE1519"/>
      <c r="FPF1519"/>
      <c r="FPG1519"/>
      <c r="FPH1519"/>
      <c r="FPI1519"/>
      <c r="FPJ1519"/>
      <c r="FPK1519"/>
      <c r="FPL1519"/>
      <c r="FPM1519"/>
      <c r="FPN1519"/>
      <c r="FPO1519"/>
      <c r="FPP1519"/>
      <c r="FPQ1519"/>
      <c r="FPR1519"/>
      <c r="FPS1519"/>
      <c r="FPT1519"/>
      <c r="FPU1519"/>
      <c r="FPV1519"/>
      <c r="FPW1519"/>
      <c r="FPX1519"/>
      <c r="FPY1519"/>
      <c r="FPZ1519"/>
      <c r="FQA1519"/>
      <c r="FQB1519"/>
      <c r="FQC1519"/>
      <c r="FQD1519"/>
      <c r="FQE1519"/>
      <c r="FQF1519"/>
      <c r="FQG1519"/>
      <c r="FQH1519"/>
      <c r="FQI1519"/>
      <c r="FQJ1519"/>
      <c r="FQK1519"/>
      <c r="FQL1519"/>
      <c r="FQM1519"/>
      <c r="FQN1519"/>
      <c r="FQO1519"/>
      <c r="FQP1519"/>
      <c r="FQQ1519"/>
      <c r="FQR1519"/>
      <c r="FQS1519"/>
      <c r="FQT1519"/>
      <c r="FQU1519"/>
      <c r="FQV1519"/>
      <c r="FQW1519"/>
      <c r="FQX1519"/>
      <c r="FQY1519"/>
      <c r="FQZ1519"/>
      <c r="FRA1519"/>
      <c r="FRB1519"/>
      <c r="FRC1519"/>
      <c r="FRD1519"/>
      <c r="FRE1519"/>
      <c r="FRF1519"/>
      <c r="FRG1519"/>
      <c r="FRH1519"/>
      <c r="FRI1519"/>
      <c r="FRJ1519"/>
      <c r="FRK1519"/>
      <c r="FRL1519"/>
      <c r="FRM1519"/>
      <c r="FRN1519"/>
      <c r="FRO1519"/>
      <c r="FRP1519"/>
      <c r="FRQ1519"/>
      <c r="FRR1519"/>
      <c r="FRS1519"/>
      <c r="FRT1519"/>
      <c r="FRU1519"/>
      <c r="FRV1519"/>
      <c r="FRW1519"/>
      <c r="FRX1519"/>
      <c r="FRY1519"/>
      <c r="FRZ1519"/>
      <c r="FSA1519"/>
      <c r="FSB1519"/>
      <c r="FSC1519"/>
      <c r="FSD1519"/>
      <c r="FSE1519"/>
      <c r="FSF1519"/>
      <c r="FSG1519"/>
      <c r="FSH1519"/>
      <c r="FSI1519"/>
      <c r="FSJ1519"/>
      <c r="FSK1519"/>
      <c r="FSL1519"/>
      <c r="FSM1519"/>
      <c r="FSN1519"/>
      <c r="FSO1519"/>
      <c r="FSP1519"/>
      <c r="FSQ1519"/>
      <c r="FSR1519"/>
      <c r="FSS1519"/>
      <c r="FST1519"/>
      <c r="FSU1519"/>
      <c r="FSV1519"/>
      <c r="FSW1519"/>
      <c r="FSX1519"/>
      <c r="FSY1519"/>
      <c r="FSZ1519"/>
      <c r="FTA1519"/>
      <c r="FTB1519"/>
      <c r="FTC1519"/>
      <c r="FTD1519"/>
      <c r="FTE1519"/>
      <c r="FTF1519"/>
      <c r="FTG1519"/>
      <c r="FTH1519"/>
      <c r="FTI1519"/>
      <c r="FTJ1519"/>
      <c r="FTK1519"/>
      <c r="FTL1519"/>
      <c r="FTM1519"/>
      <c r="FTN1519"/>
      <c r="FTO1519"/>
      <c r="FTP1519"/>
      <c r="FTQ1519"/>
      <c r="FTR1519"/>
      <c r="FTS1519"/>
      <c r="FTT1519"/>
      <c r="FTU1519"/>
      <c r="FTV1519"/>
      <c r="FTW1519"/>
      <c r="FTX1519"/>
      <c r="FTY1519"/>
      <c r="FTZ1519"/>
      <c r="FUA1519"/>
      <c r="FUB1519"/>
      <c r="FUC1519"/>
      <c r="FUD1519"/>
      <c r="FUE1519"/>
      <c r="FUF1519"/>
      <c r="FUG1519"/>
      <c r="FUH1519"/>
      <c r="FUI1519"/>
      <c r="FUJ1519"/>
      <c r="FUK1519"/>
      <c r="FUL1519"/>
      <c r="FUM1519"/>
      <c r="FUN1519"/>
      <c r="FUO1519"/>
      <c r="FUP1519"/>
      <c r="FUQ1519"/>
      <c r="FUR1519"/>
      <c r="FUS1519"/>
      <c r="FUT1519"/>
      <c r="FUU1519"/>
      <c r="FUV1519"/>
      <c r="FUW1519"/>
      <c r="FUX1519"/>
      <c r="FUY1519"/>
      <c r="FUZ1519"/>
      <c r="FVA1519"/>
      <c r="FVB1519"/>
      <c r="FVC1519"/>
      <c r="FVD1519"/>
      <c r="FVE1519"/>
      <c r="FVF1519"/>
      <c r="FVG1519"/>
      <c r="FVH1519"/>
      <c r="FVI1519"/>
      <c r="FVJ1519"/>
      <c r="FVK1519"/>
      <c r="FVL1519"/>
      <c r="FVM1519"/>
      <c r="FVN1519"/>
      <c r="FVO1519"/>
      <c r="FVP1519"/>
      <c r="FVQ1519"/>
      <c r="FVR1519"/>
      <c r="FVS1519"/>
      <c r="FVT1519"/>
      <c r="FVU1519"/>
      <c r="FVV1519"/>
      <c r="FVW1519"/>
      <c r="FVX1519"/>
      <c r="FVY1519"/>
      <c r="FVZ1519"/>
      <c r="FWA1519"/>
      <c r="FWB1519"/>
      <c r="FWC1519"/>
      <c r="FWD1519"/>
      <c r="FWE1519"/>
      <c r="FWF1519"/>
      <c r="FWG1519"/>
      <c r="FWH1519"/>
      <c r="FWI1519"/>
      <c r="FWJ1519"/>
      <c r="FWK1519"/>
      <c r="FWL1519"/>
      <c r="FWM1519"/>
      <c r="FWN1519"/>
      <c r="FWO1519"/>
      <c r="FWP1519"/>
      <c r="FWQ1519"/>
      <c r="FWR1519"/>
      <c r="FWS1519"/>
      <c r="FWT1519"/>
      <c r="FWU1519"/>
      <c r="FWV1519"/>
      <c r="FWW1519"/>
      <c r="FWX1519"/>
      <c r="FWY1519"/>
      <c r="FWZ1519"/>
      <c r="FXA1519"/>
      <c r="FXB1519"/>
      <c r="FXC1519"/>
      <c r="FXD1519"/>
      <c r="FXE1519"/>
      <c r="FXF1519"/>
      <c r="FXG1519"/>
      <c r="FXH1519"/>
      <c r="FXI1519"/>
      <c r="FXJ1519"/>
      <c r="FXK1519"/>
      <c r="FXL1519"/>
      <c r="FXM1519"/>
      <c r="FXN1519"/>
      <c r="FXO1519"/>
      <c r="FXP1519"/>
      <c r="FXQ1519"/>
      <c r="FXR1519"/>
      <c r="FXS1519"/>
      <c r="FXT1519"/>
      <c r="FXU1519"/>
      <c r="FXV1519"/>
      <c r="FXW1519"/>
      <c r="FXX1519"/>
      <c r="FXY1519"/>
      <c r="FXZ1519"/>
      <c r="FYA1519"/>
      <c r="FYB1519"/>
      <c r="FYC1519"/>
      <c r="FYD1519"/>
      <c r="FYE1519"/>
      <c r="FYF1519"/>
      <c r="FYG1519"/>
      <c r="FYH1519"/>
      <c r="FYI1519"/>
      <c r="FYJ1519"/>
      <c r="FYK1519"/>
      <c r="FYL1519"/>
      <c r="FYM1519"/>
      <c r="FYN1519"/>
      <c r="FYO1519"/>
      <c r="FYP1519"/>
      <c r="FYQ1519"/>
      <c r="FYR1519"/>
      <c r="FYS1519"/>
      <c r="FYT1519"/>
      <c r="FYU1519"/>
      <c r="FYV1519"/>
      <c r="FYW1519"/>
      <c r="FYX1519"/>
      <c r="FYY1519"/>
      <c r="FYZ1519"/>
      <c r="FZA1519"/>
      <c r="FZB1519"/>
      <c r="FZC1519"/>
      <c r="FZD1519"/>
      <c r="FZE1519"/>
      <c r="FZF1519"/>
      <c r="FZG1519"/>
      <c r="FZH1519"/>
      <c r="FZI1519"/>
      <c r="FZJ1519"/>
      <c r="FZK1519"/>
      <c r="FZL1519"/>
      <c r="FZM1519"/>
      <c r="FZN1519"/>
      <c r="FZO1519"/>
      <c r="FZP1519"/>
      <c r="FZQ1519"/>
      <c r="FZR1519"/>
      <c r="FZS1519"/>
      <c r="FZT1519"/>
      <c r="FZU1519"/>
      <c r="FZV1519"/>
      <c r="FZW1519"/>
      <c r="FZX1519"/>
      <c r="FZY1519"/>
      <c r="FZZ1519"/>
      <c r="GAA1519"/>
      <c r="GAB1519"/>
      <c r="GAC1519"/>
      <c r="GAD1519"/>
      <c r="GAE1519"/>
      <c r="GAF1519"/>
      <c r="GAG1519"/>
      <c r="GAH1519"/>
      <c r="GAI1519"/>
      <c r="GAJ1519"/>
      <c r="GAK1519"/>
      <c r="GAL1519"/>
      <c r="GAM1519"/>
      <c r="GAN1519"/>
      <c r="GAO1519"/>
      <c r="GAP1519"/>
      <c r="GAQ1519"/>
      <c r="GAR1519"/>
      <c r="GAS1519"/>
      <c r="GAT1519"/>
      <c r="GAU1519"/>
      <c r="GAV1519"/>
      <c r="GAW1519"/>
      <c r="GAX1519"/>
      <c r="GAY1519"/>
      <c r="GAZ1519"/>
      <c r="GBA1519"/>
      <c r="GBB1519"/>
      <c r="GBC1519"/>
      <c r="GBD1519"/>
      <c r="GBE1519"/>
      <c r="GBF1519"/>
      <c r="GBG1519"/>
      <c r="GBH1519"/>
      <c r="GBI1519"/>
      <c r="GBJ1519"/>
      <c r="GBK1519"/>
      <c r="GBL1519"/>
      <c r="GBM1519"/>
      <c r="GBN1519"/>
      <c r="GBO1519"/>
      <c r="GBP1519"/>
      <c r="GBQ1519"/>
      <c r="GBR1519"/>
      <c r="GBS1519"/>
      <c r="GBT1519"/>
      <c r="GBU1519"/>
      <c r="GBV1519"/>
      <c r="GBW1519"/>
      <c r="GBX1519"/>
      <c r="GBY1519"/>
      <c r="GBZ1519"/>
      <c r="GCA1519"/>
      <c r="GCB1519"/>
      <c r="GCC1519"/>
      <c r="GCD1519"/>
      <c r="GCE1519"/>
      <c r="GCF1519"/>
      <c r="GCG1519"/>
      <c r="GCH1519"/>
      <c r="GCI1519"/>
      <c r="GCJ1519"/>
      <c r="GCK1519"/>
      <c r="GCL1519"/>
      <c r="GCM1519"/>
      <c r="GCN1519"/>
      <c r="GCO1519"/>
      <c r="GCP1519"/>
      <c r="GCQ1519"/>
      <c r="GCR1519"/>
      <c r="GCS1519"/>
      <c r="GCT1519"/>
      <c r="GCU1519"/>
      <c r="GCV1519"/>
      <c r="GCW1519"/>
      <c r="GCX1519"/>
      <c r="GCY1519"/>
      <c r="GCZ1519"/>
      <c r="GDA1519"/>
      <c r="GDB1519"/>
      <c r="GDC1519"/>
      <c r="GDD1519"/>
      <c r="GDE1519"/>
      <c r="GDF1519"/>
      <c r="GDG1519"/>
      <c r="GDH1519"/>
      <c r="GDI1519"/>
      <c r="GDJ1519"/>
      <c r="GDK1519"/>
      <c r="GDL1519"/>
      <c r="GDM1519"/>
      <c r="GDN1519"/>
      <c r="GDO1519"/>
      <c r="GDP1519"/>
      <c r="GDQ1519"/>
      <c r="GDR1519"/>
      <c r="GDS1519"/>
      <c r="GDT1519"/>
      <c r="GDU1519"/>
      <c r="GDV1519"/>
      <c r="GDW1519"/>
      <c r="GDX1519"/>
      <c r="GDY1519"/>
      <c r="GDZ1519"/>
      <c r="GEA1519"/>
      <c r="GEB1519"/>
      <c r="GEC1519"/>
      <c r="GED1519"/>
      <c r="GEE1519"/>
      <c r="GEF1519"/>
      <c r="GEG1519"/>
      <c r="GEH1519"/>
      <c r="GEI1519"/>
      <c r="GEJ1519"/>
      <c r="GEK1519"/>
      <c r="GEL1519"/>
      <c r="GEM1519"/>
      <c r="GEN1519"/>
      <c r="GEO1519"/>
      <c r="GEP1519"/>
      <c r="GEQ1519"/>
      <c r="GER1519"/>
      <c r="GES1519"/>
      <c r="GET1519"/>
      <c r="GEU1519"/>
      <c r="GEV1519"/>
      <c r="GEW1519"/>
      <c r="GEX1519"/>
      <c r="GEY1519"/>
      <c r="GEZ1519"/>
      <c r="GFA1519"/>
      <c r="GFB1519"/>
      <c r="GFC1519"/>
      <c r="GFD1519"/>
      <c r="GFE1519"/>
      <c r="GFF1519"/>
      <c r="GFG1519"/>
      <c r="GFH1519"/>
      <c r="GFI1519"/>
      <c r="GFJ1519"/>
      <c r="GFK1519"/>
      <c r="GFL1519"/>
      <c r="GFM1519"/>
      <c r="GFN1519"/>
      <c r="GFO1519"/>
      <c r="GFP1519"/>
      <c r="GFQ1519"/>
      <c r="GFR1519"/>
      <c r="GFS1519"/>
      <c r="GFT1519"/>
      <c r="GFU1519"/>
      <c r="GFV1519"/>
      <c r="GFW1519"/>
      <c r="GFX1519"/>
      <c r="GFY1519"/>
      <c r="GFZ1519"/>
      <c r="GGA1519"/>
      <c r="GGB1519"/>
      <c r="GGC1519"/>
      <c r="GGD1519"/>
      <c r="GGE1519"/>
      <c r="GGF1519"/>
      <c r="GGG1519"/>
      <c r="GGH1519"/>
      <c r="GGI1519"/>
      <c r="GGJ1519"/>
      <c r="GGK1519"/>
      <c r="GGL1519"/>
      <c r="GGM1519"/>
      <c r="GGN1519"/>
      <c r="GGO1519"/>
      <c r="GGP1519"/>
      <c r="GGQ1519"/>
      <c r="GGR1519"/>
      <c r="GGS1519"/>
      <c r="GGT1519"/>
      <c r="GGU1519"/>
      <c r="GGV1519"/>
      <c r="GGW1519"/>
      <c r="GGX1519"/>
      <c r="GGY1519"/>
      <c r="GGZ1519"/>
      <c r="GHA1519"/>
      <c r="GHB1519"/>
      <c r="GHC1519"/>
      <c r="GHD1519"/>
      <c r="GHE1519"/>
      <c r="GHF1519"/>
      <c r="GHG1519"/>
      <c r="GHH1519"/>
      <c r="GHI1519"/>
      <c r="GHJ1519"/>
      <c r="GHK1519"/>
      <c r="GHL1519"/>
      <c r="GHM1519"/>
      <c r="GHN1519"/>
      <c r="GHO1519"/>
      <c r="GHP1519"/>
      <c r="GHQ1519"/>
      <c r="GHR1519"/>
      <c r="GHS1519"/>
      <c r="GHT1519"/>
      <c r="GHU1519"/>
      <c r="GHV1519"/>
      <c r="GHW1519"/>
      <c r="GHX1519"/>
      <c r="GHY1519"/>
      <c r="GHZ1519"/>
      <c r="GIA1519"/>
      <c r="GIB1519"/>
      <c r="GIC1519"/>
      <c r="GID1519"/>
      <c r="GIE1519"/>
      <c r="GIF1519"/>
      <c r="GIG1519"/>
      <c r="GIH1519"/>
      <c r="GII1519"/>
      <c r="GIJ1519"/>
      <c r="GIK1519"/>
      <c r="GIL1519"/>
      <c r="GIM1519"/>
      <c r="GIN1519"/>
      <c r="GIO1519"/>
      <c r="GIP1519"/>
      <c r="GIQ1519"/>
      <c r="GIR1519"/>
      <c r="GIS1519"/>
      <c r="GIT1519"/>
      <c r="GIU1519"/>
      <c r="GIV1519"/>
      <c r="GIW1519"/>
      <c r="GIX1519"/>
      <c r="GIY1519"/>
      <c r="GIZ1519"/>
      <c r="GJA1519"/>
      <c r="GJB1519"/>
      <c r="GJC1519"/>
      <c r="GJD1519"/>
      <c r="GJE1519"/>
      <c r="GJF1519"/>
      <c r="GJG1519"/>
      <c r="GJH1519"/>
      <c r="GJI1519"/>
      <c r="GJJ1519"/>
      <c r="GJK1519"/>
      <c r="GJL1519"/>
      <c r="GJM1519"/>
      <c r="GJN1519"/>
      <c r="GJO1519"/>
      <c r="GJP1519"/>
      <c r="GJQ1519"/>
      <c r="GJR1519"/>
      <c r="GJS1519"/>
      <c r="GJT1519"/>
      <c r="GJU1519"/>
      <c r="GJV1519"/>
      <c r="GJW1519"/>
      <c r="GJX1519"/>
      <c r="GJY1519"/>
      <c r="GJZ1519"/>
      <c r="GKA1519"/>
      <c r="GKB1519"/>
      <c r="GKC1519"/>
      <c r="GKD1519"/>
      <c r="GKE1519"/>
      <c r="GKF1519"/>
      <c r="GKG1519"/>
      <c r="GKH1519"/>
      <c r="GKI1519"/>
      <c r="GKJ1519"/>
      <c r="GKK1519"/>
      <c r="GKL1519"/>
      <c r="GKM1519"/>
      <c r="GKN1519"/>
      <c r="GKO1519"/>
      <c r="GKP1519"/>
      <c r="GKQ1519"/>
      <c r="GKR1519"/>
      <c r="GKS1519"/>
      <c r="GKT1519"/>
      <c r="GKU1519"/>
      <c r="GKV1519"/>
      <c r="GKW1519"/>
      <c r="GKX1519"/>
      <c r="GKY1519"/>
      <c r="GKZ1519"/>
      <c r="GLA1519"/>
      <c r="GLB1519"/>
      <c r="GLC1519"/>
      <c r="GLD1519"/>
      <c r="GLE1519"/>
      <c r="GLF1519"/>
      <c r="GLG1519"/>
      <c r="GLH1519"/>
      <c r="GLI1519"/>
      <c r="GLJ1519"/>
      <c r="GLK1519"/>
      <c r="GLL1519"/>
      <c r="GLM1519"/>
      <c r="GLN1519"/>
      <c r="GLO1519"/>
      <c r="GLP1519"/>
      <c r="GLQ1519"/>
      <c r="GLR1519"/>
      <c r="GLS1519"/>
      <c r="GLT1519"/>
      <c r="GLU1519"/>
      <c r="GLV1519"/>
      <c r="GLW1519"/>
      <c r="GLX1519"/>
      <c r="GLY1519"/>
      <c r="GLZ1519"/>
      <c r="GMA1519"/>
      <c r="GMB1519"/>
      <c r="GMC1519"/>
      <c r="GMD1519"/>
      <c r="GME1519"/>
      <c r="GMF1519"/>
      <c r="GMG1519"/>
      <c r="GMH1519"/>
      <c r="GMI1519"/>
      <c r="GMJ1519"/>
      <c r="GMK1519"/>
      <c r="GML1519"/>
      <c r="GMM1519"/>
      <c r="GMN1519"/>
      <c r="GMO1519"/>
      <c r="GMP1519"/>
      <c r="GMQ1519"/>
      <c r="GMR1519"/>
      <c r="GMS1519"/>
      <c r="GMT1519"/>
      <c r="GMU1519"/>
      <c r="GMV1519"/>
      <c r="GMW1519"/>
      <c r="GMX1519"/>
      <c r="GMY1519"/>
      <c r="GMZ1519"/>
      <c r="GNA1519"/>
      <c r="GNB1519"/>
      <c r="GNC1519"/>
      <c r="GND1519"/>
      <c r="GNE1519"/>
      <c r="GNF1519"/>
      <c r="GNG1519"/>
      <c r="GNH1519"/>
      <c r="GNI1519"/>
      <c r="GNJ1519"/>
      <c r="GNK1519"/>
      <c r="GNL1519"/>
      <c r="GNM1519"/>
      <c r="GNN1519"/>
      <c r="GNO1519"/>
      <c r="GNP1519"/>
      <c r="GNQ1519"/>
      <c r="GNR1519"/>
      <c r="GNS1519"/>
      <c r="GNT1519"/>
      <c r="GNU1519"/>
      <c r="GNV1519"/>
      <c r="GNW1519"/>
      <c r="GNX1519"/>
      <c r="GNY1519"/>
      <c r="GNZ1519"/>
      <c r="GOA1519"/>
      <c r="GOB1519"/>
      <c r="GOC1519"/>
      <c r="GOD1519"/>
      <c r="GOE1519"/>
      <c r="GOF1519"/>
      <c r="GOG1519"/>
      <c r="GOH1519"/>
      <c r="GOI1519"/>
      <c r="GOJ1519"/>
      <c r="GOK1519"/>
      <c r="GOL1519"/>
      <c r="GOM1519"/>
      <c r="GON1519"/>
      <c r="GOO1519"/>
      <c r="GOP1519"/>
      <c r="GOQ1519"/>
      <c r="GOR1519"/>
      <c r="GOS1519"/>
      <c r="GOT1519"/>
      <c r="GOU1519"/>
      <c r="GOV1519"/>
      <c r="GOW1519"/>
      <c r="GOX1519"/>
      <c r="GOY1519"/>
      <c r="GOZ1519"/>
      <c r="GPA1519"/>
      <c r="GPB1519"/>
      <c r="GPC1519"/>
      <c r="GPD1519"/>
      <c r="GPE1519"/>
      <c r="GPF1519"/>
      <c r="GPG1519"/>
      <c r="GPH1519"/>
      <c r="GPI1519"/>
      <c r="GPJ1519"/>
      <c r="GPK1519"/>
      <c r="GPL1519"/>
      <c r="GPM1519"/>
      <c r="GPN1519"/>
      <c r="GPO1519"/>
      <c r="GPP1519"/>
      <c r="GPQ1519"/>
      <c r="GPR1519"/>
      <c r="GPS1519"/>
      <c r="GPT1519"/>
      <c r="GPU1519"/>
      <c r="GPV1519"/>
      <c r="GPW1519"/>
      <c r="GPX1519"/>
      <c r="GPY1519"/>
      <c r="GPZ1519"/>
      <c r="GQA1519"/>
      <c r="GQB1519"/>
      <c r="GQC1519"/>
      <c r="GQD1519"/>
      <c r="GQE1519"/>
      <c r="GQF1519"/>
      <c r="GQG1519"/>
      <c r="GQH1519"/>
      <c r="GQI1519"/>
      <c r="GQJ1519"/>
      <c r="GQK1519"/>
      <c r="GQL1519"/>
      <c r="GQM1519"/>
      <c r="GQN1519"/>
      <c r="GQO1519"/>
      <c r="GQP1519"/>
      <c r="GQQ1519"/>
      <c r="GQR1519"/>
      <c r="GQS1519"/>
      <c r="GQT1519"/>
      <c r="GQU1519"/>
      <c r="GQV1519"/>
      <c r="GQW1519"/>
      <c r="GQX1519"/>
      <c r="GQY1519"/>
      <c r="GQZ1519"/>
      <c r="GRA1519"/>
      <c r="GRB1519"/>
      <c r="GRC1519"/>
      <c r="GRD1519"/>
      <c r="GRE1519"/>
      <c r="GRF1519"/>
      <c r="GRG1519"/>
      <c r="GRH1519"/>
      <c r="GRI1519"/>
      <c r="GRJ1519"/>
      <c r="GRK1519"/>
      <c r="GRL1519"/>
      <c r="GRM1519"/>
      <c r="GRN1519"/>
      <c r="GRO1519"/>
      <c r="GRP1519"/>
      <c r="GRQ1519"/>
      <c r="GRR1519"/>
      <c r="GRS1519"/>
      <c r="GRT1519"/>
      <c r="GRU1519"/>
      <c r="GRV1519"/>
      <c r="GRW1519"/>
      <c r="GRX1519"/>
      <c r="GRY1519"/>
      <c r="GRZ1519"/>
      <c r="GSA1519"/>
      <c r="GSB1519"/>
      <c r="GSC1519"/>
      <c r="GSD1519"/>
      <c r="GSE1519"/>
      <c r="GSF1519"/>
      <c r="GSG1519"/>
      <c r="GSH1519"/>
      <c r="GSI1519"/>
      <c r="GSJ1519"/>
      <c r="GSK1519"/>
      <c r="GSL1519"/>
      <c r="GSM1519"/>
      <c r="GSN1519"/>
      <c r="GSO1519"/>
      <c r="GSP1519"/>
      <c r="GSQ1519"/>
      <c r="GSR1519"/>
      <c r="GSS1519"/>
      <c r="GST1519"/>
      <c r="GSU1519"/>
      <c r="GSV1519"/>
      <c r="GSW1519"/>
      <c r="GSX1519"/>
      <c r="GSY1519"/>
      <c r="GSZ1519"/>
      <c r="GTA1519"/>
      <c r="GTB1519"/>
      <c r="GTC1519"/>
      <c r="GTD1519"/>
      <c r="GTE1519"/>
      <c r="GTF1519"/>
      <c r="GTG1519"/>
      <c r="GTH1519"/>
      <c r="GTI1519"/>
      <c r="GTJ1519"/>
      <c r="GTK1519"/>
      <c r="GTL1519"/>
      <c r="GTM1519"/>
      <c r="GTN1519"/>
      <c r="GTO1519"/>
      <c r="GTP1519"/>
      <c r="GTQ1519"/>
      <c r="GTR1519"/>
      <c r="GTS1519"/>
      <c r="GTT1519"/>
      <c r="GTU1519"/>
      <c r="GTV1519"/>
      <c r="GTW1519"/>
      <c r="GTX1519"/>
      <c r="GTY1519"/>
      <c r="GTZ1519"/>
      <c r="GUA1519"/>
      <c r="GUB1519"/>
      <c r="GUC1519"/>
      <c r="GUD1519"/>
      <c r="GUE1519"/>
      <c r="GUF1519"/>
      <c r="GUG1519"/>
      <c r="GUH1519"/>
      <c r="GUI1519"/>
      <c r="GUJ1519"/>
      <c r="GUK1519"/>
      <c r="GUL1519"/>
      <c r="GUM1519"/>
      <c r="GUN1519"/>
      <c r="GUO1519"/>
      <c r="GUP1519"/>
      <c r="GUQ1519"/>
      <c r="GUR1519"/>
      <c r="GUS1519"/>
      <c r="GUT1519"/>
      <c r="GUU1519"/>
      <c r="GUV1519"/>
      <c r="GUW1519"/>
      <c r="GUX1519"/>
      <c r="GUY1519"/>
      <c r="GUZ1519"/>
      <c r="GVA1519"/>
      <c r="GVB1519"/>
      <c r="GVC1519"/>
      <c r="GVD1519"/>
      <c r="GVE1519"/>
      <c r="GVF1519"/>
      <c r="GVG1519"/>
      <c r="GVH1519"/>
      <c r="GVI1519"/>
      <c r="GVJ1519"/>
      <c r="GVK1519"/>
      <c r="GVL1519"/>
      <c r="GVM1519"/>
      <c r="GVN1519"/>
      <c r="GVO1519"/>
      <c r="GVP1519"/>
      <c r="GVQ1519"/>
      <c r="GVR1519"/>
      <c r="GVS1519"/>
      <c r="GVT1519"/>
      <c r="GVU1519"/>
      <c r="GVV1519"/>
      <c r="GVW1519"/>
      <c r="GVX1519"/>
      <c r="GVY1519"/>
      <c r="GVZ1519"/>
      <c r="GWA1519"/>
      <c r="GWB1519"/>
      <c r="GWC1519"/>
      <c r="GWD1519"/>
      <c r="GWE1519"/>
      <c r="GWF1519"/>
      <c r="GWG1519"/>
      <c r="GWH1519"/>
      <c r="GWI1519"/>
      <c r="GWJ1519"/>
      <c r="GWK1519"/>
      <c r="GWL1519"/>
      <c r="GWM1519"/>
      <c r="GWN1519"/>
      <c r="GWO1519"/>
      <c r="GWP1519"/>
      <c r="GWQ1519"/>
      <c r="GWR1519"/>
      <c r="GWS1519"/>
      <c r="GWT1519"/>
      <c r="GWU1519"/>
      <c r="GWV1519"/>
      <c r="GWW1519"/>
      <c r="GWX1519"/>
      <c r="GWY1519"/>
      <c r="GWZ1519"/>
      <c r="GXA1519"/>
      <c r="GXB1519"/>
      <c r="GXC1519"/>
      <c r="GXD1519"/>
      <c r="GXE1519"/>
      <c r="GXF1519"/>
      <c r="GXG1519"/>
      <c r="GXH1519"/>
      <c r="GXI1519"/>
      <c r="GXJ1519"/>
      <c r="GXK1519"/>
      <c r="GXL1519"/>
      <c r="GXM1519"/>
      <c r="GXN1519"/>
      <c r="GXO1519"/>
      <c r="GXP1519"/>
      <c r="GXQ1519"/>
      <c r="GXR1519"/>
      <c r="GXS1519"/>
      <c r="GXT1519"/>
      <c r="GXU1519"/>
      <c r="GXV1519"/>
      <c r="GXW1519"/>
      <c r="GXX1519"/>
      <c r="GXY1519"/>
      <c r="GXZ1519"/>
      <c r="GYA1519"/>
      <c r="GYB1519"/>
      <c r="GYC1519"/>
      <c r="GYD1519"/>
      <c r="GYE1519"/>
      <c r="GYF1519"/>
      <c r="GYG1519"/>
      <c r="GYH1519"/>
      <c r="GYI1519"/>
      <c r="GYJ1519"/>
      <c r="GYK1519"/>
      <c r="GYL1519"/>
      <c r="GYM1519"/>
      <c r="GYN1519"/>
      <c r="GYO1519"/>
      <c r="GYP1519"/>
      <c r="GYQ1519"/>
      <c r="GYR1519"/>
      <c r="GYS1519"/>
      <c r="GYT1519"/>
      <c r="GYU1519"/>
      <c r="GYV1519"/>
      <c r="GYW1519"/>
      <c r="GYX1519"/>
      <c r="GYY1519"/>
      <c r="GYZ1519"/>
      <c r="GZA1519"/>
      <c r="GZB1519"/>
      <c r="GZC1519"/>
      <c r="GZD1519"/>
      <c r="GZE1519"/>
      <c r="GZF1519"/>
      <c r="GZG1519"/>
      <c r="GZH1519"/>
      <c r="GZI1519"/>
      <c r="GZJ1519"/>
      <c r="GZK1519"/>
      <c r="GZL1519"/>
      <c r="GZM1519"/>
      <c r="GZN1519"/>
      <c r="GZO1519"/>
      <c r="GZP1519"/>
      <c r="GZQ1519"/>
      <c r="GZR1519"/>
      <c r="GZS1519"/>
      <c r="GZT1519"/>
      <c r="GZU1519"/>
      <c r="GZV1519"/>
      <c r="GZW1519"/>
      <c r="GZX1519"/>
      <c r="GZY1519"/>
      <c r="GZZ1519"/>
      <c r="HAA1519"/>
      <c r="HAB1519"/>
      <c r="HAC1519"/>
      <c r="HAD1519"/>
      <c r="HAE1519"/>
      <c r="HAF1519"/>
      <c r="HAG1519"/>
      <c r="HAH1519"/>
      <c r="HAI1519"/>
      <c r="HAJ1519"/>
      <c r="HAK1519"/>
      <c r="HAL1519"/>
      <c r="HAM1519"/>
      <c r="HAN1519"/>
      <c r="HAO1519"/>
      <c r="HAP1519"/>
      <c r="HAQ1519"/>
      <c r="HAR1519"/>
      <c r="HAS1519"/>
      <c r="HAT1519"/>
      <c r="HAU1519"/>
      <c r="HAV1519"/>
      <c r="HAW1519"/>
      <c r="HAX1519"/>
      <c r="HAY1519"/>
      <c r="HAZ1519"/>
      <c r="HBA1519"/>
      <c r="HBB1519"/>
      <c r="HBC1519"/>
      <c r="HBD1519"/>
      <c r="HBE1519"/>
      <c r="HBF1519"/>
      <c r="HBG1519"/>
      <c r="HBH1519"/>
      <c r="HBI1519"/>
      <c r="HBJ1519"/>
      <c r="HBK1519"/>
      <c r="HBL1519"/>
      <c r="HBM1519"/>
      <c r="HBN1519"/>
      <c r="HBO1519"/>
      <c r="HBP1519"/>
      <c r="HBQ1519"/>
      <c r="HBR1519"/>
      <c r="HBS1519"/>
      <c r="HBT1519"/>
      <c r="HBU1519"/>
      <c r="HBV1519"/>
      <c r="HBW1519"/>
      <c r="HBX1519"/>
      <c r="HBY1519"/>
      <c r="HBZ1519"/>
      <c r="HCA1519"/>
      <c r="HCB1519"/>
      <c r="HCC1519"/>
      <c r="HCD1519"/>
      <c r="HCE1519"/>
      <c r="HCF1519"/>
      <c r="HCG1519"/>
      <c r="HCH1519"/>
      <c r="HCI1519"/>
      <c r="HCJ1519"/>
      <c r="HCK1519"/>
      <c r="HCL1519"/>
      <c r="HCM1519"/>
      <c r="HCN1519"/>
      <c r="HCO1519"/>
      <c r="HCP1519"/>
      <c r="HCQ1519"/>
      <c r="HCR1519"/>
      <c r="HCS1519"/>
      <c r="HCT1519"/>
      <c r="HCU1519"/>
      <c r="HCV1519"/>
      <c r="HCW1519"/>
      <c r="HCX1519"/>
      <c r="HCY1519"/>
      <c r="HCZ1519"/>
      <c r="HDA1519"/>
      <c r="HDB1519"/>
      <c r="HDC1519"/>
      <c r="HDD1519"/>
      <c r="HDE1519"/>
      <c r="HDF1519"/>
      <c r="HDG1519"/>
      <c r="HDH1519"/>
      <c r="HDI1519"/>
      <c r="HDJ1519"/>
      <c r="HDK1519"/>
      <c r="HDL1519"/>
      <c r="HDM1519"/>
      <c r="HDN1519"/>
      <c r="HDO1519"/>
      <c r="HDP1519"/>
      <c r="HDQ1519"/>
      <c r="HDR1519"/>
      <c r="HDS1519"/>
      <c r="HDT1519"/>
      <c r="HDU1519"/>
      <c r="HDV1519"/>
      <c r="HDW1519"/>
      <c r="HDX1519"/>
      <c r="HDY1519"/>
      <c r="HDZ1519"/>
      <c r="HEA1519"/>
      <c r="HEB1519"/>
      <c r="HEC1519"/>
      <c r="HED1519"/>
      <c r="HEE1519"/>
      <c r="HEF1519"/>
      <c r="HEG1519"/>
      <c r="HEH1519"/>
      <c r="HEI1519"/>
      <c r="HEJ1519"/>
      <c r="HEK1519"/>
      <c r="HEL1519"/>
      <c r="HEM1519"/>
      <c r="HEN1519"/>
      <c r="HEO1519"/>
      <c r="HEP1519"/>
      <c r="HEQ1519"/>
      <c r="HER1519"/>
      <c r="HES1519"/>
      <c r="HET1519"/>
      <c r="HEU1519"/>
      <c r="HEV1519"/>
      <c r="HEW1519"/>
      <c r="HEX1519"/>
      <c r="HEY1519"/>
      <c r="HEZ1519"/>
      <c r="HFA1519"/>
      <c r="HFB1519"/>
      <c r="HFC1519"/>
      <c r="HFD1519"/>
      <c r="HFE1519"/>
      <c r="HFF1519"/>
      <c r="HFG1519"/>
      <c r="HFH1519"/>
      <c r="HFI1519"/>
      <c r="HFJ1519"/>
      <c r="HFK1519"/>
      <c r="HFL1519"/>
      <c r="HFM1519"/>
      <c r="HFN1519"/>
      <c r="HFO1519"/>
      <c r="HFP1519"/>
      <c r="HFQ1519"/>
      <c r="HFR1519"/>
      <c r="HFS1519"/>
      <c r="HFT1519"/>
      <c r="HFU1519"/>
      <c r="HFV1519"/>
      <c r="HFW1519"/>
      <c r="HFX1519"/>
      <c r="HFY1519"/>
      <c r="HFZ1519"/>
      <c r="HGA1519"/>
      <c r="HGB1519"/>
      <c r="HGC1519"/>
      <c r="HGD1519"/>
      <c r="HGE1519"/>
      <c r="HGF1519"/>
      <c r="HGG1519"/>
      <c r="HGH1519"/>
      <c r="HGI1519"/>
      <c r="HGJ1519"/>
      <c r="HGK1519"/>
      <c r="HGL1519"/>
      <c r="HGM1519"/>
      <c r="HGN1519"/>
      <c r="HGO1519"/>
      <c r="HGP1519"/>
      <c r="HGQ1519"/>
      <c r="HGR1519"/>
      <c r="HGS1519"/>
      <c r="HGT1519"/>
      <c r="HGU1519"/>
      <c r="HGV1519"/>
      <c r="HGW1519"/>
      <c r="HGX1519"/>
      <c r="HGY1519"/>
      <c r="HGZ1519"/>
      <c r="HHA1519"/>
      <c r="HHB1519"/>
      <c r="HHC1519"/>
      <c r="HHD1519"/>
      <c r="HHE1519"/>
      <c r="HHF1519"/>
      <c r="HHG1519"/>
      <c r="HHH1519"/>
      <c r="HHI1519"/>
      <c r="HHJ1519"/>
      <c r="HHK1519"/>
      <c r="HHL1519"/>
      <c r="HHM1519"/>
      <c r="HHN1519"/>
      <c r="HHO1519"/>
      <c r="HHP1519"/>
      <c r="HHQ1519"/>
      <c r="HHR1519"/>
      <c r="HHS1519"/>
      <c r="HHT1519"/>
      <c r="HHU1519"/>
      <c r="HHV1519"/>
      <c r="HHW1519"/>
      <c r="HHX1519"/>
      <c r="HHY1519"/>
      <c r="HHZ1519"/>
      <c r="HIA1519"/>
      <c r="HIB1519"/>
      <c r="HIC1519"/>
      <c r="HID1519"/>
      <c r="HIE1519"/>
      <c r="HIF1519"/>
      <c r="HIG1519"/>
      <c r="HIH1519"/>
      <c r="HII1519"/>
      <c r="HIJ1519"/>
      <c r="HIK1519"/>
      <c r="HIL1519"/>
      <c r="HIM1519"/>
      <c r="HIN1519"/>
      <c r="HIO1519"/>
      <c r="HIP1519"/>
      <c r="HIQ1519"/>
      <c r="HIR1519"/>
      <c r="HIS1519"/>
      <c r="HIT1519"/>
      <c r="HIU1519"/>
      <c r="HIV1519"/>
      <c r="HIW1519"/>
      <c r="HIX1519"/>
      <c r="HIY1519"/>
      <c r="HIZ1519"/>
      <c r="HJA1519"/>
      <c r="HJB1519"/>
      <c r="HJC1519"/>
      <c r="HJD1519"/>
      <c r="HJE1519"/>
      <c r="HJF1519"/>
      <c r="HJG1519"/>
      <c r="HJH1519"/>
      <c r="HJI1519"/>
      <c r="HJJ1519"/>
      <c r="HJK1519"/>
      <c r="HJL1519"/>
      <c r="HJM1519"/>
      <c r="HJN1519"/>
      <c r="HJO1519"/>
      <c r="HJP1519"/>
      <c r="HJQ1519"/>
      <c r="HJR1519"/>
      <c r="HJS1519"/>
      <c r="HJT1519"/>
      <c r="HJU1519"/>
      <c r="HJV1519"/>
      <c r="HJW1519"/>
      <c r="HJX1519"/>
      <c r="HJY1519"/>
      <c r="HJZ1519"/>
      <c r="HKA1519"/>
      <c r="HKB1519"/>
      <c r="HKC1519"/>
      <c r="HKD1519"/>
      <c r="HKE1519"/>
      <c r="HKF1519"/>
      <c r="HKG1519"/>
      <c r="HKH1519"/>
      <c r="HKI1519"/>
      <c r="HKJ1519"/>
      <c r="HKK1519"/>
      <c r="HKL1519"/>
      <c r="HKM1519"/>
      <c r="HKN1519"/>
      <c r="HKO1519"/>
      <c r="HKP1519"/>
      <c r="HKQ1519"/>
      <c r="HKR1519"/>
      <c r="HKS1519"/>
      <c r="HKT1519"/>
      <c r="HKU1519"/>
      <c r="HKV1519"/>
      <c r="HKW1519"/>
      <c r="HKX1519"/>
      <c r="HKY1519"/>
      <c r="HKZ1519"/>
      <c r="HLA1519"/>
      <c r="HLB1519"/>
      <c r="HLC1519"/>
      <c r="HLD1519"/>
      <c r="HLE1519"/>
      <c r="HLF1519"/>
      <c r="HLG1519"/>
      <c r="HLH1519"/>
      <c r="HLI1519"/>
      <c r="HLJ1519"/>
      <c r="HLK1519"/>
      <c r="HLL1519"/>
      <c r="HLM1519"/>
      <c r="HLN1519"/>
      <c r="HLO1519"/>
      <c r="HLP1519"/>
      <c r="HLQ1519"/>
      <c r="HLR1519"/>
      <c r="HLS1519"/>
      <c r="HLT1519"/>
      <c r="HLU1519"/>
      <c r="HLV1519"/>
      <c r="HLW1519"/>
      <c r="HLX1519"/>
      <c r="HLY1519"/>
      <c r="HLZ1519"/>
      <c r="HMA1519"/>
      <c r="HMB1519"/>
      <c r="HMC1519"/>
      <c r="HMD1519"/>
      <c r="HME1519"/>
      <c r="HMF1519"/>
      <c r="HMG1519"/>
      <c r="HMH1519"/>
      <c r="HMI1519"/>
      <c r="HMJ1519"/>
      <c r="HMK1519"/>
      <c r="HML1519"/>
      <c r="HMM1519"/>
      <c r="HMN1519"/>
      <c r="HMO1519"/>
      <c r="HMP1519"/>
      <c r="HMQ1519"/>
      <c r="HMR1519"/>
      <c r="HMS1519"/>
      <c r="HMT1519"/>
      <c r="HMU1519"/>
      <c r="HMV1519"/>
      <c r="HMW1519"/>
      <c r="HMX1519"/>
      <c r="HMY1519"/>
      <c r="HMZ1519"/>
      <c r="HNA1519"/>
      <c r="HNB1519"/>
      <c r="HNC1519"/>
      <c r="HND1519"/>
      <c r="HNE1519"/>
      <c r="HNF1519"/>
      <c r="HNG1519"/>
      <c r="HNH1519"/>
      <c r="HNI1519"/>
      <c r="HNJ1519"/>
      <c r="HNK1519"/>
      <c r="HNL1519"/>
      <c r="HNM1519"/>
      <c r="HNN1519"/>
      <c r="HNO1519"/>
      <c r="HNP1519"/>
      <c r="HNQ1519"/>
      <c r="HNR1519"/>
      <c r="HNS1519"/>
      <c r="HNT1519"/>
      <c r="HNU1519"/>
      <c r="HNV1519"/>
      <c r="HNW1519"/>
      <c r="HNX1519"/>
      <c r="HNY1519"/>
      <c r="HNZ1519"/>
      <c r="HOA1519"/>
      <c r="HOB1519"/>
      <c r="HOC1519"/>
      <c r="HOD1519"/>
      <c r="HOE1519"/>
      <c r="HOF1519"/>
      <c r="HOG1519"/>
      <c r="HOH1519"/>
      <c r="HOI1519"/>
      <c r="HOJ1519"/>
      <c r="HOK1519"/>
      <c r="HOL1519"/>
      <c r="HOM1519"/>
      <c r="HON1519"/>
      <c r="HOO1519"/>
      <c r="HOP1519"/>
      <c r="HOQ1519"/>
      <c r="HOR1519"/>
      <c r="HOS1519"/>
      <c r="HOT1519"/>
      <c r="HOU1519"/>
      <c r="HOV1519"/>
      <c r="HOW1519"/>
      <c r="HOX1519"/>
      <c r="HOY1519"/>
      <c r="HOZ1519"/>
      <c r="HPA1519"/>
      <c r="HPB1519"/>
      <c r="HPC1519"/>
      <c r="HPD1519"/>
      <c r="HPE1519"/>
      <c r="HPF1519"/>
      <c r="HPG1519"/>
      <c r="HPH1519"/>
      <c r="HPI1519"/>
      <c r="HPJ1519"/>
      <c r="HPK1519"/>
      <c r="HPL1519"/>
      <c r="HPM1519"/>
      <c r="HPN1519"/>
      <c r="HPO1519"/>
      <c r="HPP1519"/>
      <c r="HPQ1519"/>
      <c r="HPR1519"/>
      <c r="HPS1519"/>
      <c r="HPT1519"/>
      <c r="HPU1519"/>
      <c r="HPV1519"/>
      <c r="HPW1519"/>
      <c r="HPX1519"/>
      <c r="HPY1519"/>
      <c r="HPZ1519"/>
      <c r="HQA1519"/>
      <c r="HQB1519"/>
      <c r="HQC1519"/>
      <c r="HQD1519"/>
      <c r="HQE1519"/>
      <c r="HQF1519"/>
      <c r="HQG1519"/>
      <c r="HQH1519"/>
      <c r="HQI1519"/>
      <c r="HQJ1519"/>
      <c r="HQK1519"/>
      <c r="HQL1519"/>
      <c r="HQM1519"/>
      <c r="HQN1519"/>
      <c r="HQO1519"/>
      <c r="HQP1519"/>
      <c r="HQQ1519"/>
      <c r="HQR1519"/>
      <c r="HQS1519"/>
      <c r="HQT1519"/>
      <c r="HQU1519"/>
      <c r="HQV1519"/>
      <c r="HQW1519"/>
      <c r="HQX1519"/>
      <c r="HQY1519"/>
      <c r="HQZ1519"/>
      <c r="HRA1519"/>
      <c r="HRB1519"/>
      <c r="HRC1519"/>
      <c r="HRD1519"/>
      <c r="HRE1519"/>
      <c r="HRF1519"/>
      <c r="HRG1519"/>
      <c r="HRH1519"/>
      <c r="HRI1519"/>
      <c r="HRJ1519"/>
      <c r="HRK1519"/>
      <c r="HRL1519"/>
      <c r="HRM1519"/>
      <c r="HRN1519"/>
      <c r="HRO1519"/>
      <c r="HRP1519"/>
      <c r="HRQ1519"/>
      <c r="HRR1519"/>
      <c r="HRS1519"/>
      <c r="HRT1519"/>
      <c r="HRU1519"/>
      <c r="HRV1519"/>
      <c r="HRW1519"/>
      <c r="HRX1519"/>
      <c r="HRY1519"/>
      <c r="HRZ1519"/>
      <c r="HSA1519"/>
      <c r="HSB1519"/>
      <c r="HSC1519"/>
      <c r="HSD1519"/>
      <c r="HSE1519"/>
      <c r="HSF1519"/>
      <c r="HSG1519"/>
      <c r="HSH1519"/>
      <c r="HSI1519"/>
      <c r="HSJ1519"/>
      <c r="HSK1519"/>
      <c r="HSL1519"/>
      <c r="HSM1519"/>
      <c r="HSN1519"/>
      <c r="HSO1519"/>
      <c r="HSP1519"/>
      <c r="HSQ1519"/>
      <c r="HSR1519"/>
      <c r="HSS1519"/>
      <c r="HST1519"/>
      <c r="HSU1519"/>
      <c r="HSV1519"/>
      <c r="HSW1519"/>
      <c r="HSX1519"/>
      <c r="HSY1519"/>
      <c r="HSZ1519"/>
      <c r="HTA1519"/>
      <c r="HTB1519"/>
      <c r="HTC1519"/>
      <c r="HTD1519"/>
      <c r="HTE1519"/>
      <c r="HTF1519"/>
      <c r="HTG1519"/>
      <c r="HTH1519"/>
      <c r="HTI1519"/>
      <c r="HTJ1519"/>
      <c r="HTK1519"/>
      <c r="HTL1519"/>
      <c r="HTM1519"/>
      <c r="HTN1519"/>
      <c r="HTO1519"/>
      <c r="HTP1519"/>
      <c r="HTQ1519"/>
      <c r="HTR1519"/>
      <c r="HTS1519"/>
      <c r="HTT1519"/>
      <c r="HTU1519"/>
      <c r="HTV1519"/>
      <c r="HTW1519"/>
      <c r="HTX1519"/>
      <c r="HTY1519"/>
      <c r="HTZ1519"/>
      <c r="HUA1519"/>
      <c r="HUB1519"/>
      <c r="HUC1519"/>
      <c r="HUD1519"/>
      <c r="HUE1519"/>
      <c r="HUF1519"/>
      <c r="HUG1519"/>
      <c r="HUH1519"/>
      <c r="HUI1519"/>
      <c r="HUJ1519"/>
      <c r="HUK1519"/>
      <c r="HUL1519"/>
      <c r="HUM1519"/>
      <c r="HUN1519"/>
      <c r="HUO1519"/>
      <c r="HUP1519"/>
      <c r="HUQ1519"/>
      <c r="HUR1519"/>
      <c r="HUS1519"/>
      <c r="HUT1519"/>
      <c r="HUU1519"/>
      <c r="HUV1519"/>
      <c r="HUW1519"/>
      <c r="HUX1519"/>
      <c r="HUY1519"/>
      <c r="HUZ1519"/>
      <c r="HVA1519"/>
      <c r="HVB1519"/>
      <c r="HVC1519"/>
      <c r="HVD1519"/>
      <c r="HVE1519"/>
      <c r="HVF1519"/>
      <c r="HVG1519"/>
      <c r="HVH1519"/>
      <c r="HVI1519"/>
      <c r="HVJ1519"/>
      <c r="HVK1519"/>
      <c r="HVL1519"/>
      <c r="HVM1519"/>
      <c r="HVN1519"/>
      <c r="HVO1519"/>
      <c r="HVP1519"/>
      <c r="HVQ1519"/>
      <c r="HVR1519"/>
      <c r="HVS1519"/>
      <c r="HVT1519"/>
      <c r="HVU1519"/>
      <c r="HVV1519"/>
      <c r="HVW1519"/>
      <c r="HVX1519"/>
      <c r="HVY1519"/>
      <c r="HVZ1519"/>
      <c r="HWA1519"/>
      <c r="HWB1519"/>
      <c r="HWC1519"/>
      <c r="HWD1519"/>
      <c r="HWE1519"/>
      <c r="HWF1519"/>
      <c r="HWG1519"/>
      <c r="HWH1519"/>
      <c r="HWI1519"/>
      <c r="HWJ1519"/>
      <c r="HWK1519"/>
      <c r="HWL1519"/>
      <c r="HWM1519"/>
      <c r="HWN1519"/>
      <c r="HWO1519"/>
      <c r="HWP1519"/>
      <c r="HWQ1519"/>
      <c r="HWR1519"/>
      <c r="HWS1519"/>
      <c r="HWT1519"/>
      <c r="HWU1519"/>
      <c r="HWV1519"/>
      <c r="HWW1519"/>
      <c r="HWX1519"/>
      <c r="HWY1519"/>
      <c r="HWZ1519"/>
      <c r="HXA1519"/>
      <c r="HXB1519"/>
      <c r="HXC1519"/>
      <c r="HXD1519"/>
      <c r="HXE1519"/>
      <c r="HXF1519"/>
      <c r="HXG1519"/>
      <c r="HXH1519"/>
      <c r="HXI1519"/>
      <c r="HXJ1519"/>
      <c r="HXK1519"/>
      <c r="HXL1519"/>
      <c r="HXM1519"/>
      <c r="HXN1519"/>
      <c r="HXO1519"/>
      <c r="HXP1519"/>
      <c r="HXQ1519"/>
      <c r="HXR1519"/>
      <c r="HXS1519"/>
      <c r="HXT1519"/>
      <c r="HXU1519"/>
      <c r="HXV1519"/>
      <c r="HXW1519"/>
      <c r="HXX1519"/>
      <c r="HXY1519"/>
      <c r="HXZ1519"/>
      <c r="HYA1519"/>
      <c r="HYB1519"/>
      <c r="HYC1519"/>
      <c r="HYD1519"/>
      <c r="HYE1519"/>
      <c r="HYF1519"/>
      <c r="HYG1519"/>
      <c r="HYH1519"/>
      <c r="HYI1519"/>
      <c r="HYJ1519"/>
      <c r="HYK1519"/>
      <c r="HYL1519"/>
      <c r="HYM1519"/>
      <c r="HYN1519"/>
      <c r="HYO1519"/>
      <c r="HYP1519"/>
      <c r="HYQ1519"/>
      <c r="HYR1519"/>
      <c r="HYS1519"/>
      <c r="HYT1519"/>
      <c r="HYU1519"/>
      <c r="HYV1519"/>
      <c r="HYW1519"/>
      <c r="HYX1519"/>
      <c r="HYY1519"/>
      <c r="HYZ1519"/>
      <c r="HZA1519"/>
      <c r="HZB1519"/>
      <c r="HZC1519"/>
      <c r="HZD1519"/>
      <c r="HZE1519"/>
      <c r="HZF1519"/>
      <c r="HZG1519"/>
      <c r="HZH1519"/>
      <c r="HZI1519"/>
      <c r="HZJ1519"/>
      <c r="HZK1519"/>
      <c r="HZL1519"/>
      <c r="HZM1519"/>
      <c r="HZN1519"/>
      <c r="HZO1519"/>
      <c r="HZP1519"/>
      <c r="HZQ1519"/>
      <c r="HZR1519"/>
      <c r="HZS1519"/>
      <c r="HZT1519"/>
      <c r="HZU1519"/>
      <c r="HZV1519"/>
      <c r="HZW1519"/>
      <c r="HZX1519"/>
      <c r="HZY1519"/>
      <c r="HZZ1519"/>
      <c r="IAA1519"/>
      <c r="IAB1519"/>
      <c r="IAC1519"/>
      <c r="IAD1519"/>
      <c r="IAE1519"/>
      <c r="IAF1519"/>
      <c r="IAG1519"/>
      <c r="IAH1519"/>
      <c r="IAI1519"/>
      <c r="IAJ1519"/>
      <c r="IAK1519"/>
      <c r="IAL1519"/>
      <c r="IAM1519"/>
      <c r="IAN1519"/>
      <c r="IAO1519"/>
      <c r="IAP1519"/>
      <c r="IAQ1519"/>
      <c r="IAR1519"/>
      <c r="IAS1519"/>
      <c r="IAT1519"/>
      <c r="IAU1519"/>
      <c r="IAV1519"/>
      <c r="IAW1519"/>
      <c r="IAX1519"/>
      <c r="IAY1519"/>
      <c r="IAZ1519"/>
      <c r="IBA1519"/>
      <c r="IBB1519"/>
      <c r="IBC1519"/>
      <c r="IBD1519"/>
      <c r="IBE1519"/>
      <c r="IBF1519"/>
      <c r="IBG1519"/>
      <c r="IBH1519"/>
      <c r="IBI1519"/>
      <c r="IBJ1519"/>
      <c r="IBK1519"/>
      <c r="IBL1519"/>
      <c r="IBM1519"/>
      <c r="IBN1519"/>
      <c r="IBO1519"/>
      <c r="IBP1519"/>
      <c r="IBQ1519"/>
      <c r="IBR1519"/>
      <c r="IBS1519"/>
      <c r="IBT1519"/>
      <c r="IBU1519"/>
      <c r="IBV1519"/>
      <c r="IBW1519"/>
      <c r="IBX1519"/>
      <c r="IBY1519"/>
      <c r="IBZ1519"/>
      <c r="ICA1519"/>
      <c r="ICB1519"/>
      <c r="ICC1519"/>
      <c r="ICD1519"/>
      <c r="ICE1519"/>
      <c r="ICF1519"/>
      <c r="ICG1519"/>
      <c r="ICH1519"/>
      <c r="ICI1519"/>
      <c r="ICJ1519"/>
      <c r="ICK1519"/>
      <c r="ICL1519"/>
      <c r="ICM1519"/>
      <c r="ICN1519"/>
      <c r="ICO1519"/>
      <c r="ICP1519"/>
      <c r="ICQ1519"/>
      <c r="ICR1519"/>
      <c r="ICS1519"/>
      <c r="ICT1519"/>
      <c r="ICU1519"/>
      <c r="ICV1519"/>
      <c r="ICW1519"/>
      <c r="ICX1519"/>
      <c r="ICY1519"/>
      <c r="ICZ1519"/>
      <c r="IDA1519"/>
      <c r="IDB1519"/>
      <c r="IDC1519"/>
      <c r="IDD1519"/>
      <c r="IDE1519"/>
      <c r="IDF1519"/>
      <c r="IDG1519"/>
      <c r="IDH1519"/>
      <c r="IDI1519"/>
      <c r="IDJ1519"/>
      <c r="IDK1519"/>
      <c r="IDL1519"/>
      <c r="IDM1519"/>
      <c r="IDN1519"/>
      <c r="IDO1519"/>
      <c r="IDP1519"/>
      <c r="IDQ1519"/>
      <c r="IDR1519"/>
      <c r="IDS1519"/>
      <c r="IDT1519"/>
      <c r="IDU1519"/>
      <c r="IDV1519"/>
      <c r="IDW1519"/>
      <c r="IDX1519"/>
      <c r="IDY1519"/>
      <c r="IDZ1519"/>
      <c r="IEA1519"/>
      <c r="IEB1519"/>
      <c r="IEC1519"/>
      <c r="IED1519"/>
      <c r="IEE1519"/>
      <c r="IEF1519"/>
      <c r="IEG1519"/>
      <c r="IEH1519"/>
      <c r="IEI1519"/>
      <c r="IEJ1519"/>
      <c r="IEK1519"/>
      <c r="IEL1519"/>
      <c r="IEM1519"/>
      <c r="IEN1519"/>
      <c r="IEO1519"/>
      <c r="IEP1519"/>
      <c r="IEQ1519"/>
      <c r="IER1519"/>
      <c r="IES1519"/>
      <c r="IET1519"/>
      <c r="IEU1519"/>
      <c r="IEV1519"/>
      <c r="IEW1519"/>
      <c r="IEX1519"/>
      <c r="IEY1519"/>
      <c r="IEZ1519"/>
      <c r="IFA1519"/>
      <c r="IFB1519"/>
      <c r="IFC1519"/>
      <c r="IFD1519"/>
      <c r="IFE1519"/>
      <c r="IFF1519"/>
      <c r="IFG1519"/>
      <c r="IFH1519"/>
      <c r="IFI1519"/>
      <c r="IFJ1519"/>
      <c r="IFK1519"/>
      <c r="IFL1519"/>
      <c r="IFM1519"/>
      <c r="IFN1519"/>
      <c r="IFO1519"/>
      <c r="IFP1519"/>
      <c r="IFQ1519"/>
      <c r="IFR1519"/>
      <c r="IFS1519"/>
      <c r="IFT1519"/>
      <c r="IFU1519"/>
      <c r="IFV1519"/>
      <c r="IFW1519"/>
      <c r="IFX1519"/>
      <c r="IFY1519"/>
      <c r="IFZ1519"/>
      <c r="IGA1519"/>
      <c r="IGB1519"/>
      <c r="IGC1519"/>
      <c r="IGD1519"/>
      <c r="IGE1519"/>
      <c r="IGF1519"/>
      <c r="IGG1519"/>
      <c r="IGH1519"/>
      <c r="IGI1519"/>
      <c r="IGJ1519"/>
      <c r="IGK1519"/>
      <c r="IGL1519"/>
      <c r="IGM1519"/>
      <c r="IGN1519"/>
      <c r="IGO1519"/>
      <c r="IGP1519"/>
      <c r="IGQ1519"/>
      <c r="IGR1519"/>
      <c r="IGS1519"/>
      <c r="IGT1519"/>
      <c r="IGU1519"/>
      <c r="IGV1519"/>
      <c r="IGW1519"/>
      <c r="IGX1519"/>
      <c r="IGY1519"/>
      <c r="IGZ1519"/>
      <c r="IHA1519"/>
      <c r="IHB1519"/>
      <c r="IHC1519"/>
      <c r="IHD1519"/>
      <c r="IHE1519"/>
      <c r="IHF1519"/>
      <c r="IHG1519"/>
      <c r="IHH1519"/>
      <c r="IHI1519"/>
      <c r="IHJ1519"/>
      <c r="IHK1519"/>
      <c r="IHL1519"/>
      <c r="IHM1519"/>
      <c r="IHN1519"/>
      <c r="IHO1519"/>
      <c r="IHP1519"/>
      <c r="IHQ1519"/>
      <c r="IHR1519"/>
      <c r="IHS1519"/>
      <c r="IHT1519"/>
      <c r="IHU1519"/>
      <c r="IHV1519"/>
      <c r="IHW1519"/>
      <c r="IHX1519"/>
      <c r="IHY1519"/>
      <c r="IHZ1519"/>
      <c r="IIA1519"/>
      <c r="IIB1519"/>
      <c r="IIC1519"/>
      <c r="IID1519"/>
      <c r="IIE1519"/>
      <c r="IIF1519"/>
      <c r="IIG1519"/>
      <c r="IIH1519"/>
      <c r="III1519"/>
      <c r="IIJ1519"/>
      <c r="IIK1519"/>
      <c r="IIL1519"/>
      <c r="IIM1519"/>
      <c r="IIN1519"/>
      <c r="IIO1519"/>
      <c r="IIP1519"/>
      <c r="IIQ1519"/>
      <c r="IIR1519"/>
      <c r="IIS1519"/>
      <c r="IIT1519"/>
      <c r="IIU1519"/>
      <c r="IIV1519"/>
      <c r="IIW1519"/>
      <c r="IIX1519"/>
      <c r="IIY1519"/>
      <c r="IIZ1519"/>
      <c r="IJA1519"/>
      <c r="IJB1519"/>
      <c r="IJC1519"/>
      <c r="IJD1519"/>
      <c r="IJE1519"/>
      <c r="IJF1519"/>
      <c r="IJG1519"/>
      <c r="IJH1519"/>
      <c r="IJI1519"/>
      <c r="IJJ1519"/>
      <c r="IJK1519"/>
      <c r="IJL1519"/>
      <c r="IJM1519"/>
      <c r="IJN1519"/>
      <c r="IJO1519"/>
      <c r="IJP1519"/>
      <c r="IJQ1519"/>
      <c r="IJR1519"/>
      <c r="IJS1519"/>
      <c r="IJT1519"/>
      <c r="IJU1519"/>
      <c r="IJV1519"/>
      <c r="IJW1519"/>
      <c r="IJX1519"/>
      <c r="IJY1519"/>
      <c r="IJZ1519"/>
      <c r="IKA1519"/>
      <c r="IKB1519"/>
      <c r="IKC1519"/>
      <c r="IKD1519"/>
      <c r="IKE1519"/>
      <c r="IKF1519"/>
      <c r="IKG1519"/>
      <c r="IKH1519"/>
      <c r="IKI1519"/>
      <c r="IKJ1519"/>
      <c r="IKK1519"/>
      <c r="IKL1519"/>
      <c r="IKM1519"/>
      <c r="IKN1519"/>
      <c r="IKO1519"/>
      <c r="IKP1519"/>
      <c r="IKQ1519"/>
      <c r="IKR1519"/>
      <c r="IKS1519"/>
      <c r="IKT1519"/>
      <c r="IKU1519"/>
      <c r="IKV1519"/>
      <c r="IKW1519"/>
      <c r="IKX1519"/>
      <c r="IKY1519"/>
      <c r="IKZ1519"/>
      <c r="ILA1519"/>
      <c r="ILB1519"/>
      <c r="ILC1519"/>
      <c r="ILD1519"/>
      <c r="ILE1519"/>
      <c r="ILF1519"/>
      <c r="ILG1519"/>
      <c r="ILH1519"/>
      <c r="ILI1519"/>
      <c r="ILJ1519"/>
      <c r="ILK1519"/>
      <c r="ILL1519"/>
      <c r="ILM1519"/>
      <c r="ILN1519"/>
      <c r="ILO1519"/>
      <c r="ILP1519"/>
      <c r="ILQ1519"/>
      <c r="ILR1519"/>
      <c r="ILS1519"/>
      <c r="ILT1519"/>
      <c r="ILU1519"/>
      <c r="ILV1519"/>
      <c r="ILW1519"/>
      <c r="ILX1519"/>
      <c r="ILY1519"/>
      <c r="ILZ1519"/>
      <c r="IMA1519"/>
      <c r="IMB1519"/>
      <c r="IMC1519"/>
      <c r="IMD1519"/>
      <c r="IME1519"/>
      <c r="IMF1519"/>
      <c r="IMG1519"/>
      <c r="IMH1519"/>
      <c r="IMI1519"/>
      <c r="IMJ1519"/>
      <c r="IMK1519"/>
      <c r="IML1519"/>
      <c r="IMM1519"/>
      <c r="IMN1519"/>
      <c r="IMO1519"/>
      <c r="IMP1519"/>
      <c r="IMQ1519"/>
      <c r="IMR1519"/>
      <c r="IMS1519"/>
      <c r="IMT1519"/>
      <c r="IMU1519"/>
      <c r="IMV1519"/>
      <c r="IMW1519"/>
      <c r="IMX1519"/>
      <c r="IMY1519"/>
      <c r="IMZ1519"/>
      <c r="INA1519"/>
      <c r="INB1519"/>
      <c r="INC1519"/>
      <c r="IND1519"/>
      <c r="INE1519"/>
      <c r="INF1519"/>
      <c r="ING1519"/>
      <c r="INH1519"/>
      <c r="INI1519"/>
      <c r="INJ1519"/>
      <c r="INK1519"/>
      <c r="INL1519"/>
      <c r="INM1519"/>
      <c r="INN1519"/>
      <c r="INO1519"/>
      <c r="INP1519"/>
      <c r="INQ1519"/>
      <c r="INR1519"/>
      <c r="INS1519"/>
      <c r="INT1519"/>
      <c r="INU1519"/>
      <c r="INV1519"/>
      <c r="INW1519"/>
      <c r="INX1519"/>
      <c r="INY1519"/>
      <c r="INZ1519"/>
      <c r="IOA1519"/>
      <c r="IOB1519"/>
      <c r="IOC1519"/>
      <c r="IOD1519"/>
      <c r="IOE1519"/>
      <c r="IOF1519"/>
      <c r="IOG1519"/>
      <c r="IOH1519"/>
      <c r="IOI1519"/>
      <c r="IOJ1519"/>
      <c r="IOK1519"/>
      <c r="IOL1519"/>
      <c r="IOM1519"/>
      <c r="ION1519"/>
      <c r="IOO1519"/>
      <c r="IOP1519"/>
      <c r="IOQ1519"/>
      <c r="IOR1519"/>
      <c r="IOS1519"/>
      <c r="IOT1519"/>
      <c r="IOU1519"/>
      <c r="IOV1519"/>
      <c r="IOW1519"/>
      <c r="IOX1519"/>
      <c r="IOY1519"/>
      <c r="IOZ1519"/>
      <c r="IPA1519"/>
      <c r="IPB1519"/>
      <c r="IPC1519"/>
      <c r="IPD1519"/>
      <c r="IPE1519"/>
      <c r="IPF1519"/>
      <c r="IPG1519"/>
      <c r="IPH1519"/>
      <c r="IPI1519"/>
      <c r="IPJ1519"/>
      <c r="IPK1519"/>
      <c r="IPL1519"/>
      <c r="IPM1519"/>
      <c r="IPN1519"/>
      <c r="IPO1519"/>
      <c r="IPP1519"/>
      <c r="IPQ1519"/>
      <c r="IPR1519"/>
      <c r="IPS1519"/>
      <c r="IPT1519"/>
      <c r="IPU1519"/>
      <c r="IPV1519"/>
      <c r="IPW1519"/>
      <c r="IPX1519"/>
      <c r="IPY1519"/>
      <c r="IPZ1519"/>
      <c r="IQA1519"/>
      <c r="IQB1519"/>
      <c r="IQC1519"/>
      <c r="IQD1519"/>
      <c r="IQE1519"/>
      <c r="IQF1519"/>
      <c r="IQG1519"/>
      <c r="IQH1519"/>
      <c r="IQI1519"/>
      <c r="IQJ1519"/>
      <c r="IQK1519"/>
      <c r="IQL1519"/>
      <c r="IQM1519"/>
      <c r="IQN1519"/>
      <c r="IQO1519"/>
      <c r="IQP1519"/>
      <c r="IQQ1519"/>
      <c r="IQR1519"/>
      <c r="IQS1519"/>
      <c r="IQT1519"/>
      <c r="IQU1519"/>
      <c r="IQV1519"/>
      <c r="IQW1519"/>
      <c r="IQX1519"/>
      <c r="IQY1519"/>
      <c r="IQZ1519"/>
      <c r="IRA1519"/>
      <c r="IRB1519"/>
      <c r="IRC1519"/>
      <c r="IRD1519"/>
      <c r="IRE1519"/>
      <c r="IRF1519"/>
      <c r="IRG1519"/>
      <c r="IRH1519"/>
      <c r="IRI1519"/>
      <c r="IRJ1519"/>
      <c r="IRK1519"/>
      <c r="IRL1519"/>
      <c r="IRM1519"/>
      <c r="IRN1519"/>
      <c r="IRO1519"/>
      <c r="IRP1519"/>
      <c r="IRQ1519"/>
      <c r="IRR1519"/>
      <c r="IRS1519"/>
      <c r="IRT1519"/>
      <c r="IRU1519"/>
      <c r="IRV1519"/>
      <c r="IRW1519"/>
      <c r="IRX1519"/>
      <c r="IRY1519"/>
      <c r="IRZ1519"/>
      <c r="ISA1519"/>
      <c r="ISB1519"/>
      <c r="ISC1519"/>
      <c r="ISD1519"/>
      <c r="ISE1519"/>
      <c r="ISF1519"/>
      <c r="ISG1519"/>
      <c r="ISH1519"/>
      <c r="ISI1519"/>
      <c r="ISJ1519"/>
      <c r="ISK1519"/>
      <c r="ISL1519"/>
      <c r="ISM1519"/>
      <c r="ISN1519"/>
      <c r="ISO1519"/>
      <c r="ISP1519"/>
      <c r="ISQ1519"/>
      <c r="ISR1519"/>
      <c r="ISS1519"/>
      <c r="IST1519"/>
      <c r="ISU1519"/>
      <c r="ISV1519"/>
      <c r="ISW1519"/>
      <c r="ISX1519"/>
      <c r="ISY1519"/>
      <c r="ISZ1519"/>
      <c r="ITA1519"/>
      <c r="ITB1519"/>
      <c r="ITC1519"/>
      <c r="ITD1519"/>
      <c r="ITE1519"/>
      <c r="ITF1519"/>
      <c r="ITG1519"/>
      <c r="ITH1519"/>
      <c r="ITI1519"/>
      <c r="ITJ1519"/>
      <c r="ITK1519"/>
      <c r="ITL1519"/>
      <c r="ITM1519"/>
      <c r="ITN1519"/>
      <c r="ITO1519"/>
      <c r="ITP1519"/>
      <c r="ITQ1519"/>
      <c r="ITR1519"/>
      <c r="ITS1519"/>
      <c r="ITT1519"/>
      <c r="ITU1519"/>
      <c r="ITV1519"/>
      <c r="ITW1519"/>
      <c r="ITX1519"/>
      <c r="ITY1519"/>
      <c r="ITZ1519"/>
      <c r="IUA1519"/>
      <c r="IUB1519"/>
      <c r="IUC1519"/>
      <c r="IUD1519"/>
      <c r="IUE1519"/>
      <c r="IUF1519"/>
      <c r="IUG1519"/>
      <c r="IUH1519"/>
      <c r="IUI1519"/>
      <c r="IUJ1519"/>
      <c r="IUK1519"/>
      <c r="IUL1519"/>
      <c r="IUM1519"/>
      <c r="IUN1519"/>
      <c r="IUO1519"/>
      <c r="IUP1519"/>
      <c r="IUQ1519"/>
      <c r="IUR1519"/>
      <c r="IUS1519"/>
      <c r="IUT1519"/>
      <c r="IUU1519"/>
      <c r="IUV1519"/>
      <c r="IUW1519"/>
      <c r="IUX1519"/>
      <c r="IUY1519"/>
      <c r="IUZ1519"/>
      <c r="IVA1519"/>
      <c r="IVB1519"/>
      <c r="IVC1519"/>
      <c r="IVD1519"/>
      <c r="IVE1519"/>
      <c r="IVF1519"/>
      <c r="IVG1519"/>
      <c r="IVH1519"/>
      <c r="IVI1519"/>
      <c r="IVJ1519"/>
      <c r="IVK1519"/>
      <c r="IVL1519"/>
      <c r="IVM1519"/>
      <c r="IVN1519"/>
      <c r="IVO1519"/>
      <c r="IVP1519"/>
      <c r="IVQ1519"/>
      <c r="IVR1519"/>
      <c r="IVS1519"/>
      <c r="IVT1519"/>
      <c r="IVU1519"/>
      <c r="IVV1519"/>
      <c r="IVW1519"/>
      <c r="IVX1519"/>
      <c r="IVY1519"/>
      <c r="IVZ1519"/>
      <c r="IWA1519"/>
      <c r="IWB1519"/>
      <c r="IWC1519"/>
      <c r="IWD1519"/>
      <c r="IWE1519"/>
      <c r="IWF1519"/>
      <c r="IWG1519"/>
      <c r="IWH1519"/>
      <c r="IWI1519"/>
      <c r="IWJ1519"/>
      <c r="IWK1519"/>
      <c r="IWL1519"/>
      <c r="IWM1519"/>
      <c r="IWN1519"/>
      <c r="IWO1519"/>
      <c r="IWP1519"/>
      <c r="IWQ1519"/>
      <c r="IWR1519"/>
      <c r="IWS1519"/>
      <c r="IWT1519"/>
      <c r="IWU1519"/>
      <c r="IWV1519"/>
      <c r="IWW1519"/>
      <c r="IWX1519"/>
      <c r="IWY1519"/>
      <c r="IWZ1519"/>
      <c r="IXA1519"/>
      <c r="IXB1519"/>
      <c r="IXC1519"/>
      <c r="IXD1519"/>
      <c r="IXE1519"/>
      <c r="IXF1519"/>
      <c r="IXG1519"/>
      <c r="IXH1519"/>
      <c r="IXI1519"/>
      <c r="IXJ1519"/>
      <c r="IXK1519"/>
      <c r="IXL1519"/>
      <c r="IXM1519"/>
      <c r="IXN1519"/>
      <c r="IXO1519"/>
      <c r="IXP1519"/>
      <c r="IXQ1519"/>
      <c r="IXR1519"/>
      <c r="IXS1519"/>
      <c r="IXT1519"/>
      <c r="IXU1519"/>
      <c r="IXV1519"/>
      <c r="IXW1519"/>
      <c r="IXX1519"/>
      <c r="IXY1519"/>
      <c r="IXZ1519"/>
      <c r="IYA1519"/>
      <c r="IYB1519"/>
      <c r="IYC1519"/>
      <c r="IYD1519"/>
      <c r="IYE1519"/>
      <c r="IYF1519"/>
      <c r="IYG1519"/>
      <c r="IYH1519"/>
      <c r="IYI1519"/>
      <c r="IYJ1519"/>
      <c r="IYK1519"/>
      <c r="IYL1519"/>
      <c r="IYM1519"/>
      <c r="IYN1519"/>
      <c r="IYO1519"/>
      <c r="IYP1519"/>
      <c r="IYQ1519"/>
      <c r="IYR1519"/>
      <c r="IYS1519"/>
      <c r="IYT1519"/>
      <c r="IYU1519"/>
      <c r="IYV1519"/>
      <c r="IYW1519"/>
      <c r="IYX1519"/>
      <c r="IYY1519"/>
      <c r="IYZ1519"/>
      <c r="IZA1519"/>
      <c r="IZB1519"/>
      <c r="IZC1519"/>
      <c r="IZD1519"/>
      <c r="IZE1519"/>
      <c r="IZF1519"/>
      <c r="IZG1519"/>
      <c r="IZH1519"/>
      <c r="IZI1519"/>
      <c r="IZJ1519"/>
      <c r="IZK1519"/>
      <c r="IZL1519"/>
      <c r="IZM1519"/>
      <c r="IZN1519"/>
      <c r="IZO1519"/>
      <c r="IZP1519"/>
      <c r="IZQ1519"/>
      <c r="IZR1519"/>
      <c r="IZS1519"/>
      <c r="IZT1519"/>
      <c r="IZU1519"/>
      <c r="IZV1519"/>
      <c r="IZW1519"/>
      <c r="IZX1519"/>
      <c r="IZY1519"/>
      <c r="IZZ1519"/>
      <c r="JAA1519"/>
      <c r="JAB1519"/>
      <c r="JAC1519"/>
      <c r="JAD1519"/>
      <c r="JAE1519"/>
      <c r="JAF1519"/>
      <c r="JAG1519"/>
      <c r="JAH1519"/>
      <c r="JAI1519"/>
      <c r="JAJ1519"/>
      <c r="JAK1519"/>
      <c r="JAL1519"/>
      <c r="JAM1519"/>
      <c r="JAN1519"/>
      <c r="JAO1519"/>
      <c r="JAP1519"/>
      <c r="JAQ1519"/>
      <c r="JAR1519"/>
      <c r="JAS1519"/>
      <c r="JAT1519"/>
      <c r="JAU1519"/>
      <c r="JAV1519"/>
      <c r="JAW1519"/>
      <c r="JAX1519"/>
      <c r="JAY1519"/>
      <c r="JAZ1519"/>
      <c r="JBA1519"/>
      <c r="JBB1519"/>
      <c r="JBC1519"/>
      <c r="JBD1519"/>
      <c r="JBE1519"/>
      <c r="JBF1519"/>
      <c r="JBG1519"/>
      <c r="JBH1519"/>
      <c r="JBI1519"/>
      <c r="JBJ1519"/>
      <c r="JBK1519"/>
      <c r="JBL1519"/>
      <c r="JBM1519"/>
      <c r="JBN1519"/>
      <c r="JBO1519"/>
      <c r="JBP1519"/>
      <c r="JBQ1519"/>
      <c r="JBR1519"/>
      <c r="JBS1519"/>
      <c r="JBT1519"/>
      <c r="JBU1519"/>
      <c r="JBV1519"/>
      <c r="JBW1519"/>
      <c r="JBX1519"/>
      <c r="JBY1519"/>
      <c r="JBZ1519"/>
      <c r="JCA1519"/>
      <c r="JCB1519"/>
      <c r="JCC1519"/>
      <c r="JCD1519"/>
      <c r="JCE1519"/>
      <c r="JCF1519"/>
      <c r="JCG1519"/>
      <c r="JCH1519"/>
      <c r="JCI1519"/>
      <c r="JCJ1519"/>
      <c r="JCK1519"/>
      <c r="JCL1519"/>
      <c r="JCM1519"/>
      <c r="JCN1519"/>
      <c r="JCO1519"/>
      <c r="JCP1519"/>
      <c r="JCQ1519"/>
      <c r="JCR1519"/>
      <c r="JCS1519"/>
      <c r="JCT1519"/>
      <c r="JCU1519"/>
      <c r="JCV1519"/>
      <c r="JCW1519"/>
      <c r="JCX1519"/>
      <c r="JCY1519"/>
      <c r="JCZ1519"/>
      <c r="JDA1519"/>
      <c r="JDB1519"/>
      <c r="JDC1519"/>
      <c r="JDD1519"/>
      <c r="JDE1519"/>
      <c r="JDF1519"/>
      <c r="JDG1519"/>
      <c r="JDH1519"/>
      <c r="JDI1519"/>
      <c r="JDJ1519"/>
      <c r="JDK1519"/>
      <c r="JDL1519"/>
      <c r="JDM1519"/>
      <c r="JDN1519"/>
      <c r="JDO1519"/>
      <c r="JDP1519"/>
      <c r="JDQ1519"/>
      <c r="JDR1519"/>
      <c r="JDS1519"/>
      <c r="JDT1519"/>
      <c r="JDU1519"/>
      <c r="JDV1519"/>
      <c r="JDW1519"/>
      <c r="JDX1519"/>
      <c r="JDY1519"/>
      <c r="JDZ1519"/>
      <c r="JEA1519"/>
      <c r="JEB1519"/>
      <c r="JEC1519"/>
      <c r="JED1519"/>
      <c r="JEE1519"/>
      <c r="JEF1519"/>
      <c r="JEG1519"/>
      <c r="JEH1519"/>
      <c r="JEI1519"/>
      <c r="JEJ1519"/>
      <c r="JEK1519"/>
      <c r="JEL1519"/>
      <c r="JEM1519"/>
      <c r="JEN1519"/>
      <c r="JEO1519"/>
      <c r="JEP1519"/>
      <c r="JEQ1519"/>
      <c r="JER1519"/>
      <c r="JES1519"/>
      <c r="JET1519"/>
      <c r="JEU1519"/>
      <c r="JEV1519"/>
      <c r="JEW1519"/>
      <c r="JEX1519"/>
      <c r="JEY1519"/>
      <c r="JEZ1519"/>
      <c r="JFA1519"/>
      <c r="JFB1519"/>
      <c r="JFC1519"/>
      <c r="JFD1519"/>
      <c r="JFE1519"/>
      <c r="JFF1519"/>
      <c r="JFG1519"/>
      <c r="JFH1519"/>
      <c r="JFI1519"/>
      <c r="JFJ1519"/>
      <c r="JFK1519"/>
      <c r="JFL1519"/>
      <c r="JFM1519"/>
      <c r="JFN1519"/>
      <c r="JFO1519"/>
      <c r="JFP1519"/>
      <c r="JFQ1519"/>
      <c r="JFR1519"/>
      <c r="JFS1519"/>
      <c r="JFT1519"/>
      <c r="JFU1519"/>
      <c r="JFV1519"/>
      <c r="JFW1519"/>
      <c r="JFX1519"/>
      <c r="JFY1519"/>
      <c r="JFZ1519"/>
      <c r="JGA1519"/>
      <c r="JGB1519"/>
      <c r="JGC1519"/>
      <c r="JGD1519"/>
      <c r="JGE1519"/>
      <c r="JGF1519"/>
      <c r="JGG1519"/>
      <c r="JGH1519"/>
      <c r="JGI1519"/>
      <c r="JGJ1519"/>
      <c r="JGK1519"/>
      <c r="JGL1519"/>
      <c r="JGM1519"/>
      <c r="JGN1519"/>
      <c r="JGO1519"/>
      <c r="JGP1519"/>
      <c r="JGQ1519"/>
      <c r="JGR1519"/>
      <c r="JGS1519"/>
      <c r="JGT1519"/>
      <c r="JGU1519"/>
      <c r="JGV1519"/>
      <c r="JGW1519"/>
      <c r="JGX1519"/>
      <c r="JGY1519"/>
      <c r="JGZ1519"/>
      <c r="JHA1519"/>
      <c r="JHB1519"/>
      <c r="JHC1519"/>
      <c r="JHD1519"/>
      <c r="JHE1519"/>
      <c r="JHF1519"/>
      <c r="JHG1519"/>
      <c r="JHH1519"/>
      <c r="JHI1519"/>
      <c r="JHJ1519"/>
      <c r="JHK1519"/>
      <c r="JHL1519"/>
      <c r="JHM1519"/>
      <c r="JHN1519"/>
      <c r="JHO1519"/>
      <c r="JHP1519"/>
      <c r="JHQ1519"/>
      <c r="JHR1519"/>
      <c r="JHS1519"/>
      <c r="JHT1519"/>
      <c r="JHU1519"/>
      <c r="JHV1519"/>
      <c r="JHW1519"/>
      <c r="JHX1519"/>
      <c r="JHY1519"/>
      <c r="JHZ1519"/>
      <c r="JIA1519"/>
      <c r="JIB1519"/>
      <c r="JIC1519"/>
      <c r="JID1519"/>
      <c r="JIE1519"/>
      <c r="JIF1519"/>
      <c r="JIG1519"/>
      <c r="JIH1519"/>
      <c r="JII1519"/>
      <c r="JIJ1519"/>
      <c r="JIK1519"/>
      <c r="JIL1519"/>
      <c r="JIM1519"/>
      <c r="JIN1519"/>
      <c r="JIO1519"/>
      <c r="JIP1519"/>
      <c r="JIQ1519"/>
      <c r="JIR1519"/>
      <c r="JIS1519"/>
      <c r="JIT1519"/>
      <c r="JIU1519"/>
      <c r="JIV1519"/>
      <c r="JIW1519"/>
      <c r="JIX1519"/>
      <c r="JIY1519"/>
      <c r="JIZ1519"/>
      <c r="JJA1519"/>
      <c r="JJB1519"/>
      <c r="JJC1519"/>
      <c r="JJD1519"/>
      <c r="JJE1519"/>
      <c r="JJF1519"/>
      <c r="JJG1519"/>
      <c r="JJH1519"/>
      <c r="JJI1519"/>
      <c r="JJJ1519"/>
      <c r="JJK1519"/>
      <c r="JJL1519"/>
      <c r="JJM1519"/>
      <c r="JJN1519"/>
      <c r="JJO1519"/>
      <c r="JJP1519"/>
      <c r="JJQ1519"/>
      <c r="JJR1519"/>
      <c r="JJS1519"/>
      <c r="JJT1519"/>
      <c r="JJU1519"/>
      <c r="JJV1519"/>
      <c r="JJW1519"/>
      <c r="JJX1519"/>
      <c r="JJY1519"/>
      <c r="JJZ1519"/>
      <c r="JKA1519"/>
      <c r="JKB1519"/>
      <c r="JKC1519"/>
      <c r="JKD1519"/>
      <c r="JKE1519"/>
      <c r="JKF1519"/>
      <c r="JKG1519"/>
      <c r="JKH1519"/>
      <c r="JKI1519"/>
      <c r="JKJ1519"/>
      <c r="JKK1519"/>
      <c r="JKL1519"/>
      <c r="JKM1519"/>
      <c r="JKN1519"/>
      <c r="JKO1519"/>
      <c r="JKP1519"/>
      <c r="JKQ1519"/>
      <c r="JKR1519"/>
      <c r="JKS1519"/>
      <c r="JKT1519"/>
      <c r="JKU1519"/>
      <c r="JKV1519"/>
      <c r="JKW1519"/>
      <c r="JKX1519"/>
      <c r="JKY1519"/>
      <c r="JKZ1519"/>
      <c r="JLA1519"/>
      <c r="JLB1519"/>
      <c r="JLC1519"/>
      <c r="JLD1519"/>
      <c r="JLE1519"/>
      <c r="JLF1519"/>
      <c r="JLG1519"/>
      <c r="JLH1519"/>
      <c r="JLI1519"/>
      <c r="JLJ1519"/>
      <c r="JLK1519"/>
      <c r="JLL1519"/>
      <c r="JLM1519"/>
      <c r="JLN1519"/>
      <c r="JLO1519"/>
      <c r="JLP1519"/>
      <c r="JLQ1519"/>
      <c r="JLR1519"/>
      <c r="JLS1519"/>
      <c r="JLT1519"/>
      <c r="JLU1519"/>
      <c r="JLV1519"/>
      <c r="JLW1519"/>
      <c r="JLX1519"/>
      <c r="JLY1519"/>
      <c r="JLZ1519"/>
      <c r="JMA1519"/>
      <c r="JMB1519"/>
      <c r="JMC1519"/>
      <c r="JMD1519"/>
      <c r="JME1519"/>
      <c r="JMF1519"/>
      <c r="JMG1519"/>
      <c r="JMH1519"/>
      <c r="JMI1519"/>
      <c r="JMJ1519"/>
      <c r="JMK1519"/>
      <c r="JML1519"/>
      <c r="JMM1519"/>
      <c r="JMN1519"/>
      <c r="JMO1519"/>
      <c r="JMP1519"/>
      <c r="JMQ1519"/>
      <c r="JMR1519"/>
      <c r="JMS1519"/>
      <c r="JMT1519"/>
      <c r="JMU1519"/>
      <c r="JMV1519"/>
      <c r="JMW1519"/>
      <c r="JMX1519"/>
      <c r="JMY1519"/>
      <c r="JMZ1519"/>
      <c r="JNA1519"/>
      <c r="JNB1519"/>
      <c r="JNC1519"/>
      <c r="JND1519"/>
      <c r="JNE1519"/>
      <c r="JNF1519"/>
      <c r="JNG1519"/>
      <c r="JNH1519"/>
      <c r="JNI1519"/>
      <c r="JNJ1519"/>
      <c r="JNK1519"/>
      <c r="JNL1519"/>
      <c r="JNM1519"/>
      <c r="JNN1519"/>
      <c r="JNO1519"/>
      <c r="JNP1519"/>
      <c r="JNQ1519"/>
      <c r="JNR1519"/>
      <c r="JNS1519"/>
      <c r="JNT1519"/>
      <c r="JNU1519"/>
      <c r="JNV1519"/>
      <c r="JNW1519"/>
      <c r="JNX1519"/>
      <c r="JNY1519"/>
      <c r="JNZ1519"/>
      <c r="JOA1519"/>
      <c r="JOB1519"/>
      <c r="JOC1519"/>
      <c r="JOD1519"/>
      <c r="JOE1519"/>
      <c r="JOF1519"/>
      <c r="JOG1519"/>
      <c r="JOH1519"/>
      <c r="JOI1519"/>
      <c r="JOJ1519"/>
      <c r="JOK1519"/>
      <c r="JOL1519"/>
      <c r="JOM1519"/>
      <c r="JON1519"/>
      <c r="JOO1519"/>
      <c r="JOP1519"/>
      <c r="JOQ1519"/>
      <c r="JOR1519"/>
      <c r="JOS1519"/>
      <c r="JOT1519"/>
      <c r="JOU1519"/>
      <c r="JOV1519"/>
      <c r="JOW1519"/>
      <c r="JOX1519"/>
      <c r="JOY1519"/>
      <c r="JOZ1519"/>
      <c r="JPA1519"/>
      <c r="JPB1519"/>
      <c r="JPC1519"/>
      <c r="JPD1519"/>
      <c r="JPE1519"/>
      <c r="JPF1519"/>
      <c r="JPG1519"/>
      <c r="JPH1519"/>
      <c r="JPI1519"/>
      <c r="JPJ1519"/>
      <c r="JPK1519"/>
      <c r="JPL1519"/>
      <c r="JPM1519"/>
      <c r="JPN1519"/>
      <c r="JPO1519"/>
      <c r="JPP1519"/>
      <c r="JPQ1519"/>
      <c r="JPR1519"/>
      <c r="JPS1519"/>
      <c r="JPT1519"/>
      <c r="JPU1519"/>
      <c r="JPV1519"/>
      <c r="JPW1519"/>
      <c r="JPX1519"/>
      <c r="JPY1519"/>
      <c r="JPZ1519"/>
      <c r="JQA1519"/>
      <c r="JQB1519"/>
      <c r="JQC1519"/>
      <c r="JQD1519"/>
      <c r="JQE1519"/>
      <c r="JQF1519"/>
      <c r="JQG1519"/>
      <c r="JQH1519"/>
      <c r="JQI1519"/>
      <c r="JQJ1519"/>
      <c r="JQK1519"/>
      <c r="JQL1519"/>
      <c r="JQM1519"/>
      <c r="JQN1519"/>
      <c r="JQO1519"/>
      <c r="JQP1519"/>
      <c r="JQQ1519"/>
      <c r="JQR1519"/>
      <c r="JQS1519"/>
      <c r="JQT1519"/>
      <c r="JQU1519"/>
      <c r="JQV1519"/>
      <c r="JQW1519"/>
      <c r="JQX1519"/>
      <c r="JQY1519"/>
      <c r="JQZ1519"/>
      <c r="JRA1519"/>
      <c r="JRB1519"/>
      <c r="JRC1519"/>
      <c r="JRD1519"/>
      <c r="JRE1519"/>
      <c r="JRF1519"/>
      <c r="JRG1519"/>
      <c r="JRH1519"/>
      <c r="JRI1519"/>
      <c r="JRJ1519"/>
      <c r="JRK1519"/>
      <c r="JRL1519"/>
      <c r="JRM1519"/>
      <c r="JRN1519"/>
      <c r="JRO1519"/>
      <c r="JRP1519"/>
      <c r="JRQ1519"/>
      <c r="JRR1519"/>
      <c r="JRS1519"/>
      <c r="JRT1519"/>
      <c r="JRU1519"/>
      <c r="JRV1519"/>
      <c r="JRW1519"/>
      <c r="JRX1519"/>
      <c r="JRY1519"/>
      <c r="JRZ1519"/>
      <c r="JSA1519"/>
      <c r="JSB1519"/>
      <c r="JSC1519"/>
      <c r="JSD1519"/>
      <c r="JSE1519"/>
      <c r="JSF1519"/>
      <c r="JSG1519"/>
      <c r="JSH1519"/>
      <c r="JSI1519"/>
      <c r="JSJ1519"/>
      <c r="JSK1519"/>
      <c r="JSL1519"/>
      <c r="JSM1519"/>
      <c r="JSN1519"/>
      <c r="JSO1519"/>
      <c r="JSP1519"/>
      <c r="JSQ1519"/>
      <c r="JSR1519"/>
      <c r="JSS1519"/>
      <c r="JST1519"/>
      <c r="JSU1519"/>
      <c r="JSV1519"/>
      <c r="JSW1519"/>
      <c r="JSX1519"/>
      <c r="JSY1519"/>
      <c r="JSZ1519"/>
      <c r="JTA1519"/>
      <c r="JTB1519"/>
      <c r="JTC1519"/>
      <c r="JTD1519"/>
      <c r="JTE1519"/>
      <c r="JTF1519"/>
      <c r="JTG1519"/>
      <c r="JTH1519"/>
      <c r="JTI1519"/>
      <c r="JTJ1519"/>
      <c r="JTK1519"/>
      <c r="JTL1519"/>
      <c r="JTM1519"/>
      <c r="JTN1519"/>
      <c r="JTO1519"/>
      <c r="JTP1519"/>
      <c r="JTQ1519"/>
      <c r="JTR1519"/>
      <c r="JTS1519"/>
      <c r="JTT1519"/>
      <c r="JTU1519"/>
      <c r="JTV1519"/>
      <c r="JTW1519"/>
      <c r="JTX1519"/>
      <c r="JTY1519"/>
      <c r="JTZ1519"/>
      <c r="JUA1519"/>
      <c r="JUB1519"/>
      <c r="JUC1519"/>
      <c r="JUD1519"/>
      <c r="JUE1519"/>
      <c r="JUF1519"/>
      <c r="JUG1519"/>
      <c r="JUH1519"/>
      <c r="JUI1519"/>
      <c r="JUJ1519"/>
      <c r="JUK1519"/>
      <c r="JUL1519"/>
      <c r="JUM1519"/>
      <c r="JUN1519"/>
      <c r="JUO1519"/>
      <c r="JUP1519"/>
      <c r="JUQ1519"/>
      <c r="JUR1519"/>
      <c r="JUS1519"/>
      <c r="JUT1519"/>
      <c r="JUU1519"/>
      <c r="JUV1519"/>
      <c r="JUW1519"/>
      <c r="JUX1519"/>
      <c r="JUY1519"/>
      <c r="JUZ1519"/>
      <c r="JVA1519"/>
      <c r="JVB1519"/>
      <c r="JVC1519"/>
      <c r="JVD1519"/>
      <c r="JVE1519"/>
      <c r="JVF1519"/>
      <c r="JVG1519"/>
      <c r="JVH1519"/>
      <c r="JVI1519"/>
      <c r="JVJ1519"/>
      <c r="JVK1519"/>
      <c r="JVL1519"/>
      <c r="JVM1519"/>
      <c r="JVN1519"/>
      <c r="JVO1519"/>
      <c r="JVP1519"/>
      <c r="JVQ1519"/>
      <c r="JVR1519"/>
      <c r="JVS1519"/>
      <c r="JVT1519"/>
      <c r="JVU1519"/>
      <c r="JVV1519"/>
      <c r="JVW1519"/>
      <c r="JVX1519"/>
      <c r="JVY1519"/>
      <c r="JVZ1519"/>
      <c r="JWA1519"/>
      <c r="JWB1519"/>
      <c r="JWC1519"/>
      <c r="JWD1519"/>
      <c r="JWE1519"/>
      <c r="JWF1519"/>
      <c r="JWG1519"/>
      <c r="JWH1519"/>
      <c r="JWI1519"/>
      <c r="JWJ1519"/>
      <c r="JWK1519"/>
      <c r="JWL1519"/>
      <c r="JWM1519"/>
      <c r="JWN1519"/>
      <c r="JWO1519"/>
      <c r="JWP1519"/>
      <c r="JWQ1519"/>
      <c r="JWR1519"/>
      <c r="JWS1519"/>
      <c r="JWT1519"/>
      <c r="JWU1519"/>
      <c r="JWV1519"/>
      <c r="JWW1519"/>
      <c r="JWX1519"/>
      <c r="JWY1519"/>
      <c r="JWZ1519"/>
      <c r="JXA1519"/>
      <c r="JXB1519"/>
      <c r="JXC1519"/>
      <c r="JXD1519"/>
      <c r="JXE1519"/>
      <c r="JXF1519"/>
      <c r="JXG1519"/>
      <c r="JXH1519"/>
      <c r="JXI1519"/>
      <c r="JXJ1519"/>
      <c r="JXK1519"/>
      <c r="JXL1519"/>
      <c r="JXM1519"/>
      <c r="JXN1519"/>
      <c r="JXO1519"/>
      <c r="JXP1519"/>
      <c r="JXQ1519"/>
      <c r="JXR1519"/>
      <c r="JXS1519"/>
      <c r="JXT1519"/>
      <c r="JXU1519"/>
      <c r="JXV1519"/>
      <c r="JXW1519"/>
      <c r="JXX1519"/>
      <c r="JXY1519"/>
      <c r="JXZ1519"/>
      <c r="JYA1519"/>
      <c r="JYB1519"/>
      <c r="JYC1519"/>
      <c r="JYD1519"/>
      <c r="JYE1519"/>
      <c r="JYF1519"/>
      <c r="JYG1519"/>
      <c r="JYH1519"/>
      <c r="JYI1519"/>
      <c r="JYJ1519"/>
      <c r="JYK1519"/>
      <c r="JYL1519"/>
      <c r="JYM1519"/>
      <c r="JYN1519"/>
      <c r="JYO1519"/>
      <c r="JYP1519"/>
      <c r="JYQ1519"/>
      <c r="JYR1519"/>
      <c r="JYS1519"/>
      <c r="JYT1519"/>
      <c r="JYU1519"/>
      <c r="JYV1519"/>
      <c r="JYW1519"/>
      <c r="JYX1519"/>
      <c r="JYY1519"/>
      <c r="JYZ1519"/>
      <c r="JZA1519"/>
      <c r="JZB1519"/>
      <c r="JZC1519"/>
      <c r="JZD1519"/>
      <c r="JZE1519"/>
      <c r="JZF1519"/>
      <c r="JZG1519"/>
      <c r="JZH1519"/>
      <c r="JZI1519"/>
      <c r="JZJ1519"/>
      <c r="JZK1519"/>
      <c r="JZL1519"/>
      <c r="JZM1519"/>
      <c r="JZN1519"/>
      <c r="JZO1519"/>
      <c r="JZP1519"/>
      <c r="JZQ1519"/>
      <c r="JZR1519"/>
      <c r="JZS1519"/>
      <c r="JZT1519"/>
      <c r="JZU1519"/>
      <c r="JZV1519"/>
      <c r="JZW1519"/>
      <c r="JZX1519"/>
      <c r="JZY1519"/>
      <c r="JZZ1519"/>
      <c r="KAA1519"/>
      <c r="KAB1519"/>
      <c r="KAC1519"/>
      <c r="KAD1519"/>
      <c r="KAE1519"/>
      <c r="KAF1519"/>
      <c r="KAG1519"/>
      <c r="KAH1519"/>
      <c r="KAI1519"/>
      <c r="KAJ1519"/>
      <c r="KAK1519"/>
      <c r="KAL1519"/>
      <c r="KAM1519"/>
      <c r="KAN1519"/>
      <c r="KAO1519"/>
      <c r="KAP1519"/>
      <c r="KAQ1519"/>
      <c r="KAR1519"/>
      <c r="KAS1519"/>
      <c r="KAT1519"/>
      <c r="KAU1519"/>
      <c r="KAV1519"/>
      <c r="KAW1519"/>
      <c r="KAX1519"/>
      <c r="KAY1519"/>
      <c r="KAZ1519"/>
      <c r="KBA1519"/>
      <c r="KBB1519"/>
      <c r="KBC1519"/>
      <c r="KBD1519"/>
      <c r="KBE1519"/>
      <c r="KBF1519"/>
      <c r="KBG1519"/>
      <c r="KBH1519"/>
      <c r="KBI1519"/>
      <c r="KBJ1519"/>
      <c r="KBK1519"/>
      <c r="KBL1519"/>
      <c r="KBM1519"/>
      <c r="KBN1519"/>
      <c r="KBO1519"/>
      <c r="KBP1519"/>
      <c r="KBQ1519"/>
      <c r="KBR1519"/>
      <c r="KBS1519"/>
      <c r="KBT1519"/>
      <c r="KBU1519"/>
      <c r="KBV1519"/>
      <c r="KBW1519"/>
      <c r="KBX1519"/>
      <c r="KBY1519"/>
      <c r="KBZ1519"/>
      <c r="KCA1519"/>
      <c r="KCB1519"/>
      <c r="KCC1519"/>
      <c r="KCD1519"/>
      <c r="KCE1519"/>
      <c r="KCF1519"/>
      <c r="KCG1519"/>
      <c r="KCH1519"/>
      <c r="KCI1519"/>
      <c r="KCJ1519"/>
      <c r="KCK1519"/>
      <c r="KCL1519"/>
      <c r="KCM1519"/>
      <c r="KCN1519"/>
      <c r="KCO1519"/>
      <c r="KCP1519"/>
      <c r="KCQ1519"/>
      <c r="KCR1519"/>
      <c r="KCS1519"/>
      <c r="KCT1519"/>
      <c r="KCU1519"/>
      <c r="KCV1519"/>
      <c r="KCW1519"/>
      <c r="KCX1519"/>
      <c r="KCY1519"/>
      <c r="KCZ1519"/>
      <c r="KDA1519"/>
      <c r="KDB1519"/>
      <c r="KDC1519"/>
      <c r="KDD1519"/>
      <c r="KDE1519"/>
      <c r="KDF1519"/>
      <c r="KDG1519"/>
      <c r="KDH1519"/>
      <c r="KDI1519"/>
      <c r="KDJ1519"/>
      <c r="KDK1519"/>
      <c r="KDL1519"/>
      <c r="KDM1519"/>
      <c r="KDN1519"/>
      <c r="KDO1519"/>
      <c r="KDP1519"/>
      <c r="KDQ1519"/>
      <c r="KDR1519"/>
      <c r="KDS1519"/>
      <c r="KDT1519"/>
      <c r="KDU1519"/>
      <c r="KDV1519"/>
      <c r="KDW1519"/>
      <c r="KDX1519"/>
      <c r="KDY1519"/>
      <c r="KDZ1519"/>
      <c r="KEA1519"/>
      <c r="KEB1519"/>
      <c r="KEC1519"/>
      <c r="KED1519"/>
      <c r="KEE1519"/>
      <c r="KEF1519"/>
      <c r="KEG1519"/>
      <c r="KEH1519"/>
      <c r="KEI1519"/>
      <c r="KEJ1519"/>
      <c r="KEK1519"/>
      <c r="KEL1519"/>
      <c r="KEM1519"/>
      <c r="KEN1519"/>
      <c r="KEO1519"/>
      <c r="KEP1519"/>
      <c r="KEQ1519"/>
      <c r="KER1519"/>
      <c r="KES1519"/>
      <c r="KET1519"/>
      <c r="KEU1519"/>
      <c r="KEV1519"/>
      <c r="KEW1519"/>
      <c r="KEX1519"/>
      <c r="KEY1519"/>
      <c r="KEZ1519"/>
      <c r="KFA1519"/>
      <c r="KFB1519"/>
      <c r="KFC1519"/>
      <c r="KFD1519"/>
      <c r="KFE1519"/>
      <c r="KFF1519"/>
      <c r="KFG1519"/>
      <c r="KFH1519"/>
      <c r="KFI1519"/>
      <c r="KFJ1519"/>
      <c r="KFK1519"/>
      <c r="KFL1519"/>
      <c r="KFM1519"/>
      <c r="KFN1519"/>
      <c r="KFO1519"/>
      <c r="KFP1519"/>
      <c r="KFQ1519"/>
      <c r="KFR1519"/>
      <c r="KFS1519"/>
      <c r="KFT1519"/>
      <c r="KFU1519"/>
      <c r="KFV1519"/>
      <c r="KFW1519"/>
      <c r="KFX1519"/>
      <c r="KFY1519"/>
      <c r="KFZ1519"/>
      <c r="KGA1519"/>
      <c r="KGB1519"/>
      <c r="KGC1519"/>
      <c r="KGD1519"/>
      <c r="KGE1519"/>
      <c r="KGF1519"/>
      <c r="KGG1519"/>
      <c r="KGH1519"/>
      <c r="KGI1519"/>
      <c r="KGJ1519"/>
      <c r="KGK1519"/>
      <c r="KGL1519"/>
      <c r="KGM1519"/>
      <c r="KGN1519"/>
      <c r="KGO1519"/>
      <c r="KGP1519"/>
      <c r="KGQ1519"/>
      <c r="KGR1519"/>
      <c r="KGS1519"/>
      <c r="KGT1519"/>
      <c r="KGU1519"/>
      <c r="KGV1519"/>
      <c r="KGW1519"/>
      <c r="KGX1519"/>
      <c r="KGY1519"/>
      <c r="KGZ1519"/>
      <c r="KHA1519"/>
      <c r="KHB1519"/>
      <c r="KHC1519"/>
      <c r="KHD1519"/>
      <c r="KHE1519"/>
      <c r="KHF1519"/>
      <c r="KHG1519"/>
      <c r="KHH1519"/>
      <c r="KHI1519"/>
      <c r="KHJ1519"/>
      <c r="KHK1519"/>
      <c r="KHL1519"/>
      <c r="KHM1519"/>
      <c r="KHN1519"/>
      <c r="KHO1519"/>
      <c r="KHP1519"/>
      <c r="KHQ1519"/>
      <c r="KHR1519"/>
      <c r="KHS1519"/>
      <c r="KHT1519"/>
      <c r="KHU1519"/>
      <c r="KHV1519"/>
      <c r="KHW1519"/>
      <c r="KHX1519"/>
      <c r="KHY1519"/>
      <c r="KHZ1519"/>
      <c r="KIA1519"/>
      <c r="KIB1519"/>
      <c r="KIC1519"/>
      <c r="KID1519"/>
      <c r="KIE1519"/>
      <c r="KIF1519"/>
      <c r="KIG1519"/>
      <c r="KIH1519"/>
      <c r="KII1519"/>
      <c r="KIJ1519"/>
      <c r="KIK1519"/>
      <c r="KIL1519"/>
      <c r="KIM1519"/>
      <c r="KIN1519"/>
      <c r="KIO1519"/>
      <c r="KIP1519"/>
      <c r="KIQ1519"/>
      <c r="KIR1519"/>
      <c r="KIS1519"/>
      <c r="KIT1519"/>
      <c r="KIU1519"/>
      <c r="KIV1519"/>
      <c r="KIW1519"/>
      <c r="KIX1519"/>
      <c r="KIY1519"/>
      <c r="KIZ1519"/>
      <c r="KJA1519"/>
      <c r="KJB1519"/>
      <c r="KJC1519"/>
      <c r="KJD1519"/>
      <c r="KJE1519"/>
      <c r="KJF1519"/>
      <c r="KJG1519"/>
      <c r="KJH1519"/>
      <c r="KJI1519"/>
      <c r="KJJ1519"/>
      <c r="KJK1519"/>
      <c r="KJL1519"/>
      <c r="KJM1519"/>
      <c r="KJN1519"/>
      <c r="KJO1519"/>
      <c r="KJP1519"/>
      <c r="KJQ1519"/>
      <c r="KJR1519"/>
      <c r="KJS1519"/>
      <c r="KJT1519"/>
      <c r="KJU1519"/>
      <c r="KJV1519"/>
      <c r="KJW1519"/>
      <c r="KJX1519"/>
      <c r="KJY1519"/>
      <c r="KJZ1519"/>
      <c r="KKA1519"/>
      <c r="KKB1519"/>
      <c r="KKC1519"/>
      <c r="KKD1519"/>
      <c r="KKE1519"/>
      <c r="KKF1519"/>
      <c r="KKG1519"/>
      <c r="KKH1519"/>
      <c r="KKI1519"/>
      <c r="KKJ1519"/>
      <c r="KKK1519"/>
      <c r="KKL1519"/>
      <c r="KKM1519"/>
      <c r="KKN1519"/>
      <c r="KKO1519"/>
      <c r="KKP1519"/>
      <c r="KKQ1519"/>
      <c r="KKR1519"/>
      <c r="KKS1519"/>
      <c r="KKT1519"/>
      <c r="KKU1519"/>
      <c r="KKV1519"/>
      <c r="KKW1519"/>
      <c r="KKX1519"/>
      <c r="KKY1519"/>
      <c r="KKZ1519"/>
      <c r="KLA1519"/>
      <c r="KLB1519"/>
      <c r="KLC1519"/>
      <c r="KLD1519"/>
      <c r="KLE1519"/>
      <c r="KLF1519"/>
      <c r="KLG1519"/>
      <c r="KLH1519"/>
      <c r="KLI1519"/>
      <c r="KLJ1519"/>
      <c r="KLK1519"/>
      <c r="KLL1519"/>
      <c r="KLM1519"/>
      <c r="KLN1519"/>
      <c r="KLO1519"/>
      <c r="KLP1519"/>
      <c r="KLQ1519"/>
      <c r="KLR1519"/>
      <c r="KLS1519"/>
      <c r="KLT1519"/>
      <c r="KLU1519"/>
      <c r="KLV1519"/>
      <c r="KLW1519"/>
      <c r="KLX1519"/>
      <c r="KLY1519"/>
      <c r="KLZ1519"/>
      <c r="KMA1519"/>
      <c r="KMB1519"/>
      <c r="KMC1519"/>
      <c r="KMD1519"/>
      <c r="KME1519"/>
      <c r="KMF1519"/>
      <c r="KMG1519"/>
      <c r="KMH1519"/>
      <c r="KMI1519"/>
      <c r="KMJ1519"/>
      <c r="KMK1519"/>
      <c r="KML1519"/>
      <c r="KMM1519"/>
      <c r="KMN1519"/>
      <c r="KMO1519"/>
      <c r="KMP1519"/>
      <c r="KMQ1519"/>
      <c r="KMR1519"/>
      <c r="KMS1519"/>
      <c r="KMT1519"/>
      <c r="KMU1519"/>
      <c r="KMV1519"/>
      <c r="KMW1519"/>
      <c r="KMX1519"/>
      <c r="KMY1519"/>
      <c r="KMZ1519"/>
      <c r="KNA1519"/>
      <c r="KNB1519"/>
      <c r="KNC1519"/>
      <c r="KND1519"/>
      <c r="KNE1519"/>
      <c r="KNF1519"/>
      <c r="KNG1519"/>
      <c r="KNH1519"/>
      <c r="KNI1519"/>
      <c r="KNJ1519"/>
      <c r="KNK1519"/>
      <c r="KNL1519"/>
      <c r="KNM1519"/>
      <c r="KNN1519"/>
      <c r="KNO1519"/>
      <c r="KNP1519"/>
      <c r="KNQ1519"/>
      <c r="KNR1519"/>
      <c r="KNS1519"/>
      <c r="KNT1519"/>
      <c r="KNU1519"/>
      <c r="KNV1519"/>
      <c r="KNW1519"/>
      <c r="KNX1519"/>
      <c r="KNY1519"/>
      <c r="KNZ1519"/>
      <c r="KOA1519"/>
      <c r="KOB1519"/>
      <c r="KOC1519"/>
      <c r="KOD1519"/>
      <c r="KOE1519"/>
      <c r="KOF1519"/>
      <c r="KOG1519"/>
      <c r="KOH1519"/>
      <c r="KOI1519"/>
      <c r="KOJ1519"/>
      <c r="KOK1519"/>
      <c r="KOL1519"/>
      <c r="KOM1519"/>
      <c r="KON1519"/>
      <c r="KOO1519"/>
      <c r="KOP1519"/>
      <c r="KOQ1519"/>
      <c r="KOR1519"/>
      <c r="KOS1519"/>
      <c r="KOT1519"/>
      <c r="KOU1519"/>
      <c r="KOV1519"/>
      <c r="KOW1519"/>
      <c r="KOX1519"/>
      <c r="KOY1519"/>
      <c r="KOZ1519"/>
      <c r="KPA1519"/>
      <c r="KPB1519"/>
      <c r="KPC1519"/>
      <c r="KPD1519"/>
      <c r="KPE1519"/>
      <c r="KPF1519"/>
      <c r="KPG1519"/>
      <c r="KPH1519"/>
      <c r="KPI1519"/>
      <c r="KPJ1519"/>
      <c r="KPK1519"/>
      <c r="KPL1519"/>
      <c r="KPM1519"/>
      <c r="KPN1519"/>
      <c r="KPO1519"/>
      <c r="KPP1519"/>
      <c r="KPQ1519"/>
      <c r="KPR1519"/>
      <c r="KPS1519"/>
      <c r="KPT1519"/>
      <c r="KPU1519"/>
      <c r="KPV1519"/>
      <c r="KPW1519"/>
      <c r="KPX1519"/>
      <c r="KPY1519"/>
      <c r="KPZ1519"/>
      <c r="KQA1519"/>
      <c r="KQB1519"/>
      <c r="KQC1519"/>
      <c r="KQD1519"/>
      <c r="KQE1519"/>
      <c r="KQF1519"/>
      <c r="KQG1519"/>
      <c r="KQH1519"/>
      <c r="KQI1519"/>
      <c r="KQJ1519"/>
      <c r="KQK1519"/>
      <c r="KQL1519"/>
      <c r="KQM1519"/>
      <c r="KQN1519"/>
      <c r="KQO1519"/>
      <c r="KQP1519"/>
      <c r="KQQ1519"/>
      <c r="KQR1519"/>
      <c r="KQS1519"/>
      <c r="KQT1519"/>
      <c r="KQU1519"/>
      <c r="KQV1519"/>
      <c r="KQW1519"/>
      <c r="KQX1519"/>
      <c r="KQY1519"/>
      <c r="KQZ1519"/>
      <c r="KRA1519"/>
      <c r="KRB1519"/>
      <c r="KRC1519"/>
      <c r="KRD1519"/>
      <c r="KRE1519"/>
      <c r="KRF1519"/>
      <c r="KRG1519"/>
      <c r="KRH1519"/>
      <c r="KRI1519"/>
      <c r="KRJ1519"/>
      <c r="KRK1519"/>
      <c r="KRL1519"/>
      <c r="KRM1519"/>
      <c r="KRN1519"/>
      <c r="KRO1519"/>
      <c r="KRP1519"/>
      <c r="KRQ1519"/>
      <c r="KRR1519"/>
      <c r="KRS1519"/>
      <c r="KRT1519"/>
      <c r="KRU1519"/>
      <c r="KRV1519"/>
      <c r="KRW1519"/>
      <c r="KRX1519"/>
      <c r="KRY1519"/>
      <c r="KRZ1519"/>
      <c r="KSA1519"/>
      <c r="KSB1519"/>
      <c r="KSC1519"/>
      <c r="KSD1519"/>
      <c r="KSE1519"/>
      <c r="KSF1519"/>
      <c r="KSG1519"/>
      <c r="KSH1519"/>
      <c r="KSI1519"/>
      <c r="KSJ1519"/>
      <c r="KSK1519"/>
      <c r="KSL1519"/>
      <c r="KSM1519"/>
      <c r="KSN1519"/>
      <c r="KSO1519"/>
      <c r="KSP1519"/>
      <c r="KSQ1519"/>
      <c r="KSR1519"/>
      <c r="KSS1519"/>
      <c r="KST1519"/>
      <c r="KSU1519"/>
      <c r="KSV1519"/>
      <c r="KSW1519"/>
      <c r="KSX1519"/>
      <c r="KSY1519"/>
      <c r="KSZ1519"/>
      <c r="KTA1519"/>
      <c r="KTB1519"/>
      <c r="KTC1519"/>
      <c r="KTD1519"/>
      <c r="KTE1519"/>
      <c r="KTF1519"/>
      <c r="KTG1519"/>
      <c r="KTH1519"/>
      <c r="KTI1519"/>
      <c r="KTJ1519"/>
      <c r="KTK1519"/>
      <c r="KTL1519"/>
      <c r="KTM1519"/>
      <c r="KTN1519"/>
      <c r="KTO1519"/>
      <c r="KTP1519"/>
      <c r="KTQ1519"/>
      <c r="KTR1519"/>
      <c r="KTS1519"/>
      <c r="KTT1519"/>
      <c r="KTU1519"/>
      <c r="KTV1519"/>
      <c r="KTW1519"/>
      <c r="KTX1519"/>
      <c r="KTY1519"/>
      <c r="KTZ1519"/>
      <c r="KUA1519"/>
      <c r="KUB1519"/>
      <c r="KUC1519"/>
      <c r="KUD1519"/>
      <c r="KUE1519"/>
      <c r="KUF1519"/>
      <c r="KUG1519"/>
      <c r="KUH1519"/>
      <c r="KUI1519"/>
      <c r="KUJ1519"/>
      <c r="KUK1519"/>
      <c r="KUL1519"/>
      <c r="KUM1519"/>
      <c r="KUN1519"/>
      <c r="KUO1519"/>
      <c r="KUP1519"/>
      <c r="KUQ1519"/>
      <c r="KUR1519"/>
      <c r="KUS1519"/>
      <c r="KUT1519"/>
      <c r="KUU1519"/>
      <c r="KUV1519"/>
      <c r="KUW1519"/>
      <c r="KUX1519"/>
      <c r="KUY1519"/>
      <c r="KUZ1519"/>
      <c r="KVA1519"/>
      <c r="KVB1519"/>
      <c r="KVC1519"/>
      <c r="KVD1519"/>
      <c r="KVE1519"/>
      <c r="KVF1519"/>
      <c r="KVG1519"/>
      <c r="KVH1519"/>
      <c r="KVI1519"/>
      <c r="KVJ1519"/>
      <c r="KVK1519"/>
      <c r="KVL1519"/>
      <c r="KVM1519"/>
      <c r="KVN1519"/>
      <c r="KVO1519"/>
      <c r="KVP1519"/>
      <c r="KVQ1519"/>
      <c r="KVR1519"/>
      <c r="KVS1519"/>
      <c r="KVT1519"/>
      <c r="KVU1519"/>
      <c r="KVV1519"/>
      <c r="KVW1519"/>
      <c r="KVX1519"/>
      <c r="KVY1519"/>
      <c r="KVZ1519"/>
      <c r="KWA1519"/>
      <c r="KWB1519"/>
      <c r="KWC1519"/>
      <c r="KWD1519"/>
      <c r="KWE1519"/>
      <c r="KWF1519"/>
      <c r="KWG1519"/>
      <c r="KWH1519"/>
      <c r="KWI1519"/>
      <c r="KWJ1519"/>
      <c r="KWK1519"/>
      <c r="KWL1519"/>
      <c r="KWM1519"/>
      <c r="KWN1519"/>
      <c r="KWO1519"/>
      <c r="KWP1519"/>
      <c r="KWQ1519"/>
      <c r="KWR1519"/>
      <c r="KWS1519"/>
      <c r="KWT1519"/>
      <c r="KWU1519"/>
      <c r="KWV1519"/>
      <c r="KWW1519"/>
      <c r="KWX1519"/>
      <c r="KWY1519"/>
      <c r="KWZ1519"/>
      <c r="KXA1519"/>
      <c r="KXB1519"/>
      <c r="KXC1519"/>
      <c r="KXD1519"/>
      <c r="KXE1519"/>
      <c r="KXF1519"/>
      <c r="KXG1519"/>
      <c r="KXH1519"/>
      <c r="KXI1519"/>
      <c r="KXJ1519"/>
      <c r="KXK1519"/>
      <c r="KXL1519"/>
      <c r="KXM1519"/>
      <c r="KXN1519"/>
      <c r="KXO1519"/>
      <c r="KXP1519"/>
      <c r="KXQ1519"/>
      <c r="KXR1519"/>
      <c r="KXS1519"/>
      <c r="KXT1519"/>
      <c r="KXU1519"/>
      <c r="KXV1519"/>
      <c r="KXW1519"/>
      <c r="KXX1519"/>
      <c r="KXY1519"/>
      <c r="KXZ1519"/>
      <c r="KYA1519"/>
      <c r="KYB1519"/>
      <c r="KYC1519"/>
      <c r="KYD1519"/>
      <c r="KYE1519"/>
      <c r="KYF1519"/>
      <c r="KYG1519"/>
      <c r="KYH1519"/>
      <c r="KYI1519"/>
      <c r="KYJ1519"/>
      <c r="KYK1519"/>
      <c r="KYL1519"/>
      <c r="KYM1519"/>
      <c r="KYN1519"/>
      <c r="KYO1519"/>
      <c r="KYP1519"/>
      <c r="KYQ1519"/>
      <c r="KYR1519"/>
      <c r="KYS1519"/>
      <c r="KYT1519"/>
      <c r="KYU1519"/>
      <c r="KYV1519"/>
      <c r="KYW1519"/>
      <c r="KYX1519"/>
      <c r="KYY1519"/>
      <c r="KYZ1519"/>
      <c r="KZA1519"/>
      <c r="KZB1519"/>
      <c r="KZC1519"/>
      <c r="KZD1519"/>
      <c r="KZE1519"/>
      <c r="KZF1519"/>
      <c r="KZG1519"/>
      <c r="KZH1519"/>
      <c r="KZI1519"/>
      <c r="KZJ1519"/>
      <c r="KZK1519"/>
      <c r="KZL1519"/>
      <c r="KZM1519"/>
      <c r="KZN1519"/>
      <c r="KZO1519"/>
      <c r="KZP1519"/>
      <c r="KZQ1519"/>
      <c r="KZR1519"/>
      <c r="KZS1519"/>
      <c r="KZT1519"/>
      <c r="KZU1519"/>
      <c r="KZV1519"/>
      <c r="KZW1519"/>
      <c r="KZX1519"/>
      <c r="KZY1519"/>
      <c r="KZZ1519"/>
      <c r="LAA1519"/>
      <c r="LAB1519"/>
      <c r="LAC1519"/>
      <c r="LAD1519"/>
      <c r="LAE1519"/>
      <c r="LAF1519"/>
      <c r="LAG1519"/>
      <c r="LAH1519"/>
      <c r="LAI1519"/>
      <c r="LAJ1519"/>
      <c r="LAK1519"/>
      <c r="LAL1519"/>
      <c r="LAM1519"/>
      <c r="LAN1519"/>
      <c r="LAO1519"/>
      <c r="LAP1519"/>
      <c r="LAQ1519"/>
      <c r="LAR1519"/>
      <c r="LAS1519"/>
      <c r="LAT1519"/>
      <c r="LAU1519"/>
      <c r="LAV1519"/>
      <c r="LAW1519"/>
      <c r="LAX1519"/>
      <c r="LAY1519"/>
      <c r="LAZ1519"/>
      <c r="LBA1519"/>
      <c r="LBB1519"/>
      <c r="LBC1519"/>
      <c r="LBD1519"/>
      <c r="LBE1519"/>
      <c r="LBF1519"/>
      <c r="LBG1519"/>
      <c r="LBH1519"/>
      <c r="LBI1519"/>
      <c r="LBJ1519"/>
      <c r="LBK1519"/>
      <c r="LBL1519"/>
      <c r="LBM1519"/>
      <c r="LBN1519"/>
      <c r="LBO1519"/>
      <c r="LBP1519"/>
      <c r="LBQ1519"/>
      <c r="LBR1519"/>
      <c r="LBS1519"/>
      <c r="LBT1519"/>
      <c r="LBU1519"/>
      <c r="LBV1519"/>
      <c r="LBW1519"/>
      <c r="LBX1519"/>
      <c r="LBY1519"/>
      <c r="LBZ1519"/>
      <c r="LCA1519"/>
      <c r="LCB1519"/>
      <c r="LCC1519"/>
      <c r="LCD1519"/>
      <c r="LCE1519"/>
      <c r="LCF1519"/>
      <c r="LCG1519"/>
      <c r="LCH1519"/>
      <c r="LCI1519"/>
      <c r="LCJ1519"/>
      <c r="LCK1519"/>
      <c r="LCL1519"/>
      <c r="LCM1519"/>
      <c r="LCN1519"/>
      <c r="LCO1519"/>
      <c r="LCP1519"/>
      <c r="LCQ1519"/>
      <c r="LCR1519"/>
      <c r="LCS1519"/>
      <c r="LCT1519"/>
      <c r="LCU1519"/>
      <c r="LCV1519"/>
      <c r="LCW1519"/>
      <c r="LCX1519"/>
      <c r="LCY1519"/>
      <c r="LCZ1519"/>
      <c r="LDA1519"/>
      <c r="LDB1519"/>
      <c r="LDC1519"/>
      <c r="LDD1519"/>
      <c r="LDE1519"/>
      <c r="LDF1519"/>
      <c r="LDG1519"/>
      <c r="LDH1519"/>
      <c r="LDI1519"/>
      <c r="LDJ1519"/>
      <c r="LDK1519"/>
      <c r="LDL1519"/>
      <c r="LDM1519"/>
      <c r="LDN1519"/>
      <c r="LDO1519"/>
      <c r="LDP1519"/>
      <c r="LDQ1519"/>
      <c r="LDR1519"/>
      <c r="LDS1519"/>
      <c r="LDT1519"/>
      <c r="LDU1519"/>
      <c r="LDV1519"/>
      <c r="LDW1519"/>
      <c r="LDX1519"/>
      <c r="LDY1519"/>
      <c r="LDZ1519"/>
      <c r="LEA1519"/>
      <c r="LEB1519"/>
      <c r="LEC1519"/>
      <c r="LED1519"/>
      <c r="LEE1519"/>
      <c r="LEF1519"/>
      <c r="LEG1519"/>
      <c r="LEH1519"/>
      <c r="LEI1519"/>
      <c r="LEJ1519"/>
      <c r="LEK1519"/>
      <c r="LEL1519"/>
      <c r="LEM1519"/>
      <c r="LEN1519"/>
      <c r="LEO1519"/>
      <c r="LEP1519"/>
      <c r="LEQ1519"/>
      <c r="LER1519"/>
      <c r="LES1519"/>
      <c r="LET1519"/>
      <c r="LEU1519"/>
      <c r="LEV1519"/>
      <c r="LEW1519"/>
      <c r="LEX1519"/>
      <c r="LEY1519"/>
      <c r="LEZ1519"/>
      <c r="LFA1519"/>
      <c r="LFB1519"/>
      <c r="LFC1519"/>
      <c r="LFD1519"/>
      <c r="LFE1519"/>
      <c r="LFF1519"/>
      <c r="LFG1519"/>
      <c r="LFH1519"/>
      <c r="LFI1519"/>
      <c r="LFJ1519"/>
      <c r="LFK1519"/>
      <c r="LFL1519"/>
      <c r="LFM1519"/>
      <c r="LFN1519"/>
      <c r="LFO1519"/>
      <c r="LFP1519"/>
      <c r="LFQ1519"/>
      <c r="LFR1519"/>
      <c r="LFS1519"/>
      <c r="LFT1519"/>
      <c r="LFU1519"/>
      <c r="LFV1519"/>
      <c r="LFW1519"/>
      <c r="LFX1519"/>
      <c r="LFY1519"/>
      <c r="LFZ1519"/>
      <c r="LGA1519"/>
      <c r="LGB1519"/>
      <c r="LGC1519"/>
      <c r="LGD1519"/>
      <c r="LGE1519"/>
      <c r="LGF1519"/>
      <c r="LGG1519"/>
      <c r="LGH1519"/>
      <c r="LGI1519"/>
      <c r="LGJ1519"/>
      <c r="LGK1519"/>
      <c r="LGL1519"/>
      <c r="LGM1519"/>
      <c r="LGN1519"/>
      <c r="LGO1519"/>
      <c r="LGP1519"/>
      <c r="LGQ1519"/>
      <c r="LGR1519"/>
      <c r="LGS1519"/>
      <c r="LGT1519"/>
      <c r="LGU1519"/>
      <c r="LGV1519"/>
      <c r="LGW1519"/>
      <c r="LGX1519"/>
      <c r="LGY1519"/>
      <c r="LGZ1519"/>
      <c r="LHA1519"/>
      <c r="LHB1519"/>
      <c r="LHC1519"/>
      <c r="LHD1519"/>
      <c r="LHE1519"/>
      <c r="LHF1519"/>
      <c r="LHG1519"/>
      <c r="LHH1519"/>
      <c r="LHI1519"/>
      <c r="LHJ1519"/>
      <c r="LHK1519"/>
      <c r="LHL1519"/>
      <c r="LHM1519"/>
      <c r="LHN1519"/>
      <c r="LHO1519"/>
      <c r="LHP1519"/>
      <c r="LHQ1519"/>
      <c r="LHR1519"/>
      <c r="LHS1519"/>
      <c r="LHT1519"/>
      <c r="LHU1519"/>
      <c r="LHV1519"/>
      <c r="LHW1519"/>
      <c r="LHX1519"/>
      <c r="LHY1519"/>
      <c r="LHZ1519"/>
      <c r="LIA1519"/>
      <c r="LIB1519"/>
      <c r="LIC1519"/>
      <c r="LID1519"/>
      <c r="LIE1519"/>
      <c r="LIF1519"/>
      <c r="LIG1519"/>
      <c r="LIH1519"/>
      <c r="LII1519"/>
      <c r="LIJ1519"/>
      <c r="LIK1519"/>
      <c r="LIL1519"/>
      <c r="LIM1519"/>
      <c r="LIN1519"/>
      <c r="LIO1519"/>
      <c r="LIP1519"/>
      <c r="LIQ1519"/>
      <c r="LIR1519"/>
      <c r="LIS1519"/>
      <c r="LIT1519"/>
      <c r="LIU1519"/>
      <c r="LIV1519"/>
      <c r="LIW1519"/>
      <c r="LIX1519"/>
      <c r="LIY1519"/>
      <c r="LIZ1519"/>
      <c r="LJA1519"/>
      <c r="LJB1519"/>
      <c r="LJC1519"/>
      <c r="LJD1519"/>
      <c r="LJE1519"/>
      <c r="LJF1519"/>
      <c r="LJG1519"/>
      <c r="LJH1519"/>
      <c r="LJI1519"/>
      <c r="LJJ1519"/>
      <c r="LJK1519"/>
      <c r="LJL1519"/>
      <c r="LJM1519"/>
      <c r="LJN1519"/>
      <c r="LJO1519"/>
      <c r="LJP1519"/>
      <c r="LJQ1519"/>
      <c r="LJR1519"/>
      <c r="LJS1519"/>
      <c r="LJT1519"/>
      <c r="LJU1519"/>
      <c r="LJV1519"/>
      <c r="LJW1519"/>
      <c r="LJX1519"/>
      <c r="LJY1519"/>
      <c r="LJZ1519"/>
      <c r="LKA1519"/>
      <c r="LKB1519"/>
      <c r="LKC1519"/>
      <c r="LKD1519"/>
      <c r="LKE1519"/>
      <c r="LKF1519"/>
      <c r="LKG1519"/>
      <c r="LKH1519"/>
      <c r="LKI1519"/>
      <c r="LKJ1519"/>
      <c r="LKK1519"/>
      <c r="LKL1519"/>
      <c r="LKM1519"/>
      <c r="LKN1519"/>
      <c r="LKO1519"/>
      <c r="LKP1519"/>
      <c r="LKQ1519"/>
      <c r="LKR1519"/>
      <c r="LKS1519"/>
      <c r="LKT1519"/>
      <c r="LKU1519"/>
      <c r="LKV1519"/>
      <c r="LKW1519"/>
      <c r="LKX1519"/>
      <c r="LKY1519"/>
      <c r="LKZ1519"/>
      <c r="LLA1519"/>
      <c r="LLB1519"/>
      <c r="LLC1519"/>
      <c r="LLD1519"/>
      <c r="LLE1519"/>
      <c r="LLF1519"/>
      <c r="LLG1519"/>
      <c r="LLH1519"/>
      <c r="LLI1519"/>
      <c r="LLJ1519"/>
      <c r="LLK1519"/>
      <c r="LLL1519"/>
      <c r="LLM1519"/>
      <c r="LLN1519"/>
      <c r="LLO1519"/>
      <c r="LLP1519"/>
      <c r="LLQ1519"/>
      <c r="LLR1519"/>
      <c r="LLS1519"/>
      <c r="LLT1519"/>
      <c r="LLU1519"/>
      <c r="LLV1519"/>
      <c r="LLW1519"/>
      <c r="LLX1519"/>
      <c r="LLY1519"/>
      <c r="LLZ1519"/>
      <c r="LMA1519"/>
      <c r="LMB1519"/>
      <c r="LMC1519"/>
      <c r="LMD1519"/>
      <c r="LME1519"/>
      <c r="LMF1519"/>
      <c r="LMG1519"/>
      <c r="LMH1519"/>
      <c r="LMI1519"/>
      <c r="LMJ1519"/>
      <c r="LMK1519"/>
      <c r="LML1519"/>
      <c r="LMM1519"/>
      <c r="LMN1519"/>
      <c r="LMO1519"/>
      <c r="LMP1519"/>
      <c r="LMQ1519"/>
      <c r="LMR1519"/>
      <c r="LMS1519"/>
      <c r="LMT1519"/>
      <c r="LMU1519"/>
      <c r="LMV1519"/>
      <c r="LMW1519"/>
      <c r="LMX1519"/>
      <c r="LMY1519"/>
      <c r="LMZ1519"/>
      <c r="LNA1519"/>
      <c r="LNB1519"/>
      <c r="LNC1519"/>
      <c r="LND1519"/>
      <c r="LNE1519"/>
      <c r="LNF1519"/>
      <c r="LNG1519"/>
      <c r="LNH1519"/>
      <c r="LNI1519"/>
      <c r="LNJ1519"/>
      <c r="LNK1519"/>
      <c r="LNL1519"/>
      <c r="LNM1519"/>
      <c r="LNN1519"/>
      <c r="LNO1519"/>
      <c r="LNP1519"/>
      <c r="LNQ1519"/>
      <c r="LNR1519"/>
      <c r="LNS1519"/>
      <c r="LNT1519"/>
      <c r="LNU1519"/>
      <c r="LNV1519"/>
      <c r="LNW1519"/>
      <c r="LNX1519"/>
      <c r="LNY1519"/>
      <c r="LNZ1519"/>
      <c r="LOA1519"/>
      <c r="LOB1519"/>
      <c r="LOC1519"/>
      <c r="LOD1519"/>
      <c r="LOE1519"/>
      <c r="LOF1519"/>
      <c r="LOG1519"/>
      <c r="LOH1519"/>
      <c r="LOI1519"/>
      <c r="LOJ1519"/>
      <c r="LOK1519"/>
      <c r="LOL1519"/>
      <c r="LOM1519"/>
      <c r="LON1519"/>
      <c r="LOO1519"/>
      <c r="LOP1519"/>
      <c r="LOQ1519"/>
      <c r="LOR1519"/>
      <c r="LOS1519"/>
      <c r="LOT1519"/>
      <c r="LOU1519"/>
      <c r="LOV1519"/>
      <c r="LOW1519"/>
      <c r="LOX1519"/>
      <c r="LOY1519"/>
      <c r="LOZ1519"/>
      <c r="LPA1519"/>
      <c r="LPB1519"/>
      <c r="LPC1519"/>
      <c r="LPD1519"/>
      <c r="LPE1519"/>
      <c r="LPF1519"/>
      <c r="LPG1519"/>
      <c r="LPH1519"/>
      <c r="LPI1519"/>
      <c r="LPJ1519"/>
      <c r="LPK1519"/>
      <c r="LPL1519"/>
      <c r="LPM1519"/>
      <c r="LPN1519"/>
      <c r="LPO1519"/>
      <c r="LPP1519"/>
      <c r="LPQ1519"/>
      <c r="LPR1519"/>
      <c r="LPS1519"/>
      <c r="LPT1519"/>
      <c r="LPU1519"/>
      <c r="LPV1519"/>
      <c r="LPW1519"/>
      <c r="LPX1519"/>
      <c r="LPY1519"/>
      <c r="LPZ1519"/>
      <c r="LQA1519"/>
      <c r="LQB1519"/>
      <c r="LQC1519"/>
      <c r="LQD1519"/>
      <c r="LQE1519"/>
      <c r="LQF1519"/>
      <c r="LQG1519"/>
      <c r="LQH1519"/>
      <c r="LQI1519"/>
      <c r="LQJ1519"/>
      <c r="LQK1519"/>
      <c r="LQL1519"/>
      <c r="LQM1519"/>
      <c r="LQN1519"/>
      <c r="LQO1519"/>
      <c r="LQP1519"/>
      <c r="LQQ1519"/>
      <c r="LQR1519"/>
      <c r="LQS1519"/>
      <c r="LQT1519"/>
      <c r="LQU1519"/>
      <c r="LQV1519"/>
      <c r="LQW1519"/>
      <c r="LQX1519"/>
      <c r="LQY1519"/>
      <c r="LQZ1519"/>
      <c r="LRA1519"/>
      <c r="LRB1519"/>
      <c r="LRC1519"/>
      <c r="LRD1519"/>
      <c r="LRE1519"/>
      <c r="LRF1519"/>
      <c r="LRG1519"/>
      <c r="LRH1519"/>
      <c r="LRI1519"/>
      <c r="LRJ1519"/>
      <c r="LRK1519"/>
      <c r="LRL1519"/>
      <c r="LRM1519"/>
      <c r="LRN1519"/>
      <c r="LRO1519"/>
      <c r="LRP1519"/>
      <c r="LRQ1519"/>
      <c r="LRR1519"/>
      <c r="LRS1519"/>
      <c r="LRT1519"/>
      <c r="LRU1519"/>
      <c r="LRV1519"/>
      <c r="LRW1519"/>
      <c r="LRX1519"/>
      <c r="LRY1519"/>
      <c r="LRZ1519"/>
      <c r="LSA1519"/>
      <c r="LSB1519"/>
      <c r="LSC1519"/>
      <c r="LSD1519"/>
      <c r="LSE1519"/>
      <c r="LSF1519"/>
      <c r="LSG1519"/>
      <c r="LSH1519"/>
      <c r="LSI1519"/>
      <c r="LSJ1519"/>
      <c r="LSK1519"/>
      <c r="LSL1519"/>
      <c r="LSM1519"/>
      <c r="LSN1519"/>
      <c r="LSO1519"/>
      <c r="LSP1519"/>
      <c r="LSQ1519"/>
      <c r="LSR1519"/>
      <c r="LSS1519"/>
      <c r="LST1519"/>
      <c r="LSU1519"/>
      <c r="LSV1519"/>
      <c r="LSW1519"/>
      <c r="LSX1519"/>
      <c r="LSY1519"/>
      <c r="LSZ1519"/>
      <c r="LTA1519"/>
      <c r="LTB1519"/>
      <c r="LTC1519"/>
      <c r="LTD1519"/>
      <c r="LTE1519"/>
      <c r="LTF1519"/>
      <c r="LTG1519"/>
      <c r="LTH1519"/>
      <c r="LTI1519"/>
      <c r="LTJ1519"/>
      <c r="LTK1519"/>
      <c r="LTL1519"/>
      <c r="LTM1519"/>
      <c r="LTN1519"/>
      <c r="LTO1519"/>
      <c r="LTP1519"/>
      <c r="LTQ1519"/>
      <c r="LTR1519"/>
      <c r="LTS1519"/>
      <c r="LTT1519"/>
      <c r="LTU1519"/>
      <c r="LTV1519"/>
      <c r="LTW1519"/>
      <c r="LTX1519"/>
      <c r="LTY1519"/>
      <c r="LTZ1519"/>
      <c r="LUA1519"/>
      <c r="LUB1519"/>
      <c r="LUC1519"/>
      <c r="LUD1519"/>
      <c r="LUE1519"/>
      <c r="LUF1519"/>
      <c r="LUG1519"/>
      <c r="LUH1519"/>
      <c r="LUI1519"/>
      <c r="LUJ1519"/>
      <c r="LUK1519"/>
      <c r="LUL1519"/>
      <c r="LUM1519"/>
      <c r="LUN1519"/>
      <c r="LUO1519"/>
      <c r="LUP1519"/>
      <c r="LUQ1519"/>
      <c r="LUR1519"/>
      <c r="LUS1519"/>
      <c r="LUT1519"/>
      <c r="LUU1519"/>
      <c r="LUV1519"/>
      <c r="LUW1519"/>
      <c r="LUX1519"/>
      <c r="LUY1519"/>
      <c r="LUZ1519"/>
      <c r="LVA1519"/>
      <c r="LVB1519"/>
      <c r="LVC1519"/>
      <c r="LVD1519"/>
      <c r="LVE1519"/>
      <c r="LVF1519"/>
      <c r="LVG1519"/>
      <c r="LVH1519"/>
      <c r="LVI1519"/>
      <c r="LVJ1519"/>
      <c r="LVK1519"/>
      <c r="LVL1519"/>
      <c r="LVM1519"/>
      <c r="LVN1519"/>
      <c r="LVO1519"/>
      <c r="LVP1519"/>
      <c r="LVQ1519"/>
      <c r="LVR1519"/>
      <c r="LVS1519"/>
      <c r="LVT1519"/>
      <c r="LVU1519"/>
      <c r="LVV1519"/>
      <c r="LVW1519"/>
      <c r="LVX1519"/>
      <c r="LVY1519"/>
      <c r="LVZ1519"/>
      <c r="LWA1519"/>
      <c r="LWB1519"/>
      <c r="LWC1519"/>
      <c r="LWD1519"/>
      <c r="LWE1519"/>
      <c r="LWF1519"/>
      <c r="LWG1519"/>
      <c r="LWH1519"/>
      <c r="LWI1519"/>
      <c r="LWJ1519"/>
      <c r="LWK1519"/>
      <c r="LWL1519"/>
      <c r="LWM1519"/>
      <c r="LWN1519"/>
      <c r="LWO1519"/>
      <c r="LWP1519"/>
      <c r="LWQ1519"/>
      <c r="LWR1519"/>
      <c r="LWS1519"/>
      <c r="LWT1519"/>
      <c r="LWU1519"/>
      <c r="LWV1519"/>
      <c r="LWW1519"/>
      <c r="LWX1519"/>
      <c r="LWY1519"/>
      <c r="LWZ1519"/>
      <c r="LXA1519"/>
      <c r="LXB1519"/>
      <c r="LXC1519"/>
      <c r="LXD1519"/>
      <c r="LXE1519"/>
      <c r="LXF1519"/>
      <c r="LXG1519"/>
      <c r="LXH1519"/>
      <c r="LXI1519"/>
      <c r="LXJ1519"/>
      <c r="LXK1519"/>
      <c r="LXL1519"/>
      <c r="LXM1519"/>
      <c r="LXN1519"/>
      <c r="LXO1519"/>
      <c r="LXP1519"/>
      <c r="LXQ1519"/>
      <c r="LXR1519"/>
      <c r="LXS1519"/>
      <c r="LXT1519"/>
      <c r="LXU1519"/>
      <c r="LXV1519"/>
      <c r="LXW1519"/>
      <c r="LXX1519"/>
      <c r="LXY1519"/>
      <c r="LXZ1519"/>
      <c r="LYA1519"/>
      <c r="LYB1519"/>
      <c r="LYC1519"/>
      <c r="LYD1519"/>
      <c r="LYE1519"/>
      <c r="LYF1519"/>
      <c r="LYG1519"/>
      <c r="LYH1519"/>
      <c r="LYI1519"/>
      <c r="LYJ1519"/>
      <c r="LYK1519"/>
      <c r="LYL1519"/>
      <c r="LYM1519"/>
      <c r="LYN1519"/>
      <c r="LYO1519"/>
      <c r="LYP1519"/>
      <c r="LYQ1519"/>
      <c r="LYR1519"/>
      <c r="LYS1519"/>
      <c r="LYT1519"/>
      <c r="LYU1519"/>
      <c r="LYV1519"/>
      <c r="LYW1519"/>
      <c r="LYX1519"/>
      <c r="LYY1519"/>
      <c r="LYZ1519"/>
      <c r="LZA1519"/>
      <c r="LZB1519"/>
      <c r="LZC1519"/>
      <c r="LZD1519"/>
      <c r="LZE1519"/>
      <c r="LZF1519"/>
      <c r="LZG1519"/>
      <c r="LZH1519"/>
      <c r="LZI1519"/>
      <c r="LZJ1519"/>
      <c r="LZK1519"/>
      <c r="LZL1519"/>
      <c r="LZM1519"/>
      <c r="LZN1519"/>
      <c r="LZO1519"/>
      <c r="LZP1519"/>
      <c r="LZQ1519"/>
      <c r="LZR1519"/>
      <c r="LZS1519"/>
      <c r="LZT1519"/>
      <c r="LZU1519"/>
      <c r="LZV1519"/>
      <c r="LZW1519"/>
      <c r="LZX1519"/>
      <c r="LZY1519"/>
      <c r="LZZ1519"/>
      <c r="MAA1519"/>
      <c r="MAB1519"/>
      <c r="MAC1519"/>
      <c r="MAD1519"/>
      <c r="MAE1519"/>
      <c r="MAF1519"/>
      <c r="MAG1519"/>
      <c r="MAH1519"/>
      <c r="MAI1519"/>
      <c r="MAJ1519"/>
      <c r="MAK1519"/>
      <c r="MAL1519"/>
      <c r="MAM1519"/>
      <c r="MAN1519"/>
      <c r="MAO1519"/>
      <c r="MAP1519"/>
      <c r="MAQ1519"/>
      <c r="MAR1519"/>
      <c r="MAS1519"/>
      <c r="MAT1519"/>
      <c r="MAU1519"/>
      <c r="MAV1519"/>
      <c r="MAW1519"/>
      <c r="MAX1519"/>
      <c r="MAY1519"/>
      <c r="MAZ1519"/>
      <c r="MBA1519"/>
      <c r="MBB1519"/>
      <c r="MBC1519"/>
      <c r="MBD1519"/>
      <c r="MBE1519"/>
      <c r="MBF1519"/>
      <c r="MBG1519"/>
      <c r="MBH1519"/>
      <c r="MBI1519"/>
      <c r="MBJ1519"/>
      <c r="MBK1519"/>
      <c r="MBL1519"/>
      <c r="MBM1519"/>
      <c r="MBN1519"/>
      <c r="MBO1519"/>
      <c r="MBP1519"/>
      <c r="MBQ1519"/>
      <c r="MBR1519"/>
      <c r="MBS1519"/>
      <c r="MBT1519"/>
      <c r="MBU1519"/>
      <c r="MBV1519"/>
      <c r="MBW1519"/>
      <c r="MBX1519"/>
      <c r="MBY1519"/>
      <c r="MBZ1519"/>
      <c r="MCA1519"/>
      <c r="MCB1519"/>
      <c r="MCC1519"/>
      <c r="MCD1519"/>
      <c r="MCE1519"/>
      <c r="MCF1519"/>
      <c r="MCG1519"/>
      <c r="MCH1519"/>
      <c r="MCI1519"/>
      <c r="MCJ1519"/>
      <c r="MCK1519"/>
      <c r="MCL1519"/>
      <c r="MCM1519"/>
      <c r="MCN1519"/>
      <c r="MCO1519"/>
      <c r="MCP1519"/>
      <c r="MCQ1519"/>
      <c r="MCR1519"/>
      <c r="MCS1519"/>
      <c r="MCT1519"/>
      <c r="MCU1519"/>
      <c r="MCV1519"/>
      <c r="MCW1519"/>
      <c r="MCX1519"/>
      <c r="MCY1519"/>
      <c r="MCZ1519"/>
      <c r="MDA1519"/>
      <c r="MDB1519"/>
      <c r="MDC1519"/>
      <c r="MDD1519"/>
      <c r="MDE1519"/>
      <c r="MDF1519"/>
      <c r="MDG1519"/>
      <c r="MDH1519"/>
      <c r="MDI1519"/>
      <c r="MDJ1519"/>
      <c r="MDK1519"/>
      <c r="MDL1519"/>
      <c r="MDM1519"/>
      <c r="MDN1519"/>
      <c r="MDO1519"/>
      <c r="MDP1519"/>
      <c r="MDQ1519"/>
      <c r="MDR1519"/>
      <c r="MDS1519"/>
      <c r="MDT1519"/>
      <c r="MDU1519"/>
      <c r="MDV1519"/>
      <c r="MDW1519"/>
      <c r="MDX1519"/>
      <c r="MDY1519"/>
      <c r="MDZ1519"/>
      <c r="MEA1519"/>
      <c r="MEB1519"/>
      <c r="MEC1519"/>
      <c r="MED1519"/>
      <c r="MEE1519"/>
      <c r="MEF1519"/>
      <c r="MEG1519"/>
      <c r="MEH1519"/>
      <c r="MEI1519"/>
      <c r="MEJ1519"/>
      <c r="MEK1519"/>
      <c r="MEL1519"/>
      <c r="MEM1519"/>
      <c r="MEN1519"/>
      <c r="MEO1519"/>
      <c r="MEP1519"/>
      <c r="MEQ1519"/>
      <c r="MER1519"/>
      <c r="MES1519"/>
      <c r="MET1519"/>
      <c r="MEU1519"/>
      <c r="MEV1519"/>
      <c r="MEW1519"/>
      <c r="MEX1519"/>
      <c r="MEY1519"/>
      <c r="MEZ1519"/>
      <c r="MFA1519"/>
      <c r="MFB1519"/>
      <c r="MFC1519"/>
      <c r="MFD1519"/>
      <c r="MFE1519"/>
      <c r="MFF1519"/>
      <c r="MFG1519"/>
      <c r="MFH1519"/>
      <c r="MFI1519"/>
      <c r="MFJ1519"/>
      <c r="MFK1519"/>
      <c r="MFL1519"/>
      <c r="MFM1519"/>
      <c r="MFN1519"/>
      <c r="MFO1519"/>
      <c r="MFP1519"/>
      <c r="MFQ1519"/>
      <c r="MFR1519"/>
      <c r="MFS1519"/>
      <c r="MFT1519"/>
      <c r="MFU1519"/>
      <c r="MFV1519"/>
      <c r="MFW1519"/>
      <c r="MFX1519"/>
      <c r="MFY1519"/>
      <c r="MFZ1519"/>
      <c r="MGA1519"/>
      <c r="MGB1519"/>
      <c r="MGC1519"/>
      <c r="MGD1519"/>
      <c r="MGE1519"/>
      <c r="MGF1519"/>
      <c r="MGG1519"/>
      <c r="MGH1519"/>
      <c r="MGI1519"/>
      <c r="MGJ1519"/>
      <c r="MGK1519"/>
      <c r="MGL1519"/>
      <c r="MGM1519"/>
      <c r="MGN1519"/>
      <c r="MGO1519"/>
      <c r="MGP1519"/>
      <c r="MGQ1519"/>
      <c r="MGR1519"/>
      <c r="MGS1519"/>
      <c r="MGT1519"/>
      <c r="MGU1519"/>
      <c r="MGV1519"/>
      <c r="MGW1519"/>
      <c r="MGX1519"/>
      <c r="MGY1519"/>
      <c r="MGZ1519"/>
      <c r="MHA1519"/>
      <c r="MHB1519"/>
      <c r="MHC1519"/>
      <c r="MHD1519"/>
      <c r="MHE1519"/>
      <c r="MHF1519"/>
      <c r="MHG1519"/>
      <c r="MHH1519"/>
      <c r="MHI1519"/>
      <c r="MHJ1519"/>
      <c r="MHK1519"/>
      <c r="MHL1519"/>
      <c r="MHM1519"/>
      <c r="MHN1519"/>
      <c r="MHO1519"/>
      <c r="MHP1519"/>
      <c r="MHQ1519"/>
      <c r="MHR1519"/>
      <c r="MHS1519"/>
      <c r="MHT1519"/>
      <c r="MHU1519"/>
      <c r="MHV1519"/>
      <c r="MHW1519"/>
      <c r="MHX1519"/>
      <c r="MHY1519"/>
      <c r="MHZ1519"/>
      <c r="MIA1519"/>
      <c r="MIB1519"/>
      <c r="MIC1519"/>
      <c r="MID1519"/>
      <c r="MIE1519"/>
      <c r="MIF1519"/>
      <c r="MIG1519"/>
      <c r="MIH1519"/>
      <c r="MII1519"/>
      <c r="MIJ1519"/>
      <c r="MIK1519"/>
      <c r="MIL1519"/>
      <c r="MIM1519"/>
      <c r="MIN1519"/>
      <c r="MIO1519"/>
      <c r="MIP1519"/>
      <c r="MIQ1519"/>
      <c r="MIR1519"/>
      <c r="MIS1519"/>
      <c r="MIT1519"/>
      <c r="MIU1519"/>
      <c r="MIV1519"/>
      <c r="MIW1519"/>
      <c r="MIX1519"/>
      <c r="MIY1519"/>
      <c r="MIZ1519"/>
      <c r="MJA1519"/>
      <c r="MJB1519"/>
      <c r="MJC1519"/>
      <c r="MJD1519"/>
      <c r="MJE1519"/>
      <c r="MJF1519"/>
      <c r="MJG1519"/>
      <c r="MJH1519"/>
      <c r="MJI1519"/>
      <c r="MJJ1519"/>
      <c r="MJK1519"/>
      <c r="MJL1519"/>
      <c r="MJM1519"/>
      <c r="MJN1519"/>
      <c r="MJO1519"/>
      <c r="MJP1519"/>
      <c r="MJQ1519"/>
      <c r="MJR1519"/>
      <c r="MJS1519"/>
      <c r="MJT1519"/>
      <c r="MJU1519"/>
      <c r="MJV1519"/>
      <c r="MJW1519"/>
      <c r="MJX1519"/>
      <c r="MJY1519"/>
      <c r="MJZ1519"/>
      <c r="MKA1519"/>
      <c r="MKB1519"/>
      <c r="MKC1519"/>
      <c r="MKD1519"/>
      <c r="MKE1519"/>
      <c r="MKF1519"/>
      <c r="MKG1519"/>
      <c r="MKH1519"/>
      <c r="MKI1519"/>
      <c r="MKJ1519"/>
      <c r="MKK1519"/>
      <c r="MKL1519"/>
      <c r="MKM1519"/>
      <c r="MKN1519"/>
      <c r="MKO1519"/>
      <c r="MKP1519"/>
      <c r="MKQ1519"/>
      <c r="MKR1519"/>
      <c r="MKS1519"/>
      <c r="MKT1519"/>
      <c r="MKU1519"/>
      <c r="MKV1519"/>
      <c r="MKW1519"/>
      <c r="MKX1519"/>
      <c r="MKY1519"/>
      <c r="MKZ1519"/>
      <c r="MLA1519"/>
      <c r="MLB1519"/>
      <c r="MLC1519"/>
      <c r="MLD1519"/>
      <c r="MLE1519"/>
      <c r="MLF1519"/>
      <c r="MLG1519"/>
      <c r="MLH1519"/>
      <c r="MLI1519"/>
      <c r="MLJ1519"/>
      <c r="MLK1519"/>
      <c r="MLL1519"/>
      <c r="MLM1519"/>
      <c r="MLN1519"/>
      <c r="MLO1519"/>
      <c r="MLP1519"/>
      <c r="MLQ1519"/>
      <c r="MLR1519"/>
      <c r="MLS1519"/>
      <c r="MLT1519"/>
      <c r="MLU1519"/>
      <c r="MLV1519"/>
      <c r="MLW1519"/>
      <c r="MLX1519"/>
      <c r="MLY1519"/>
      <c r="MLZ1519"/>
      <c r="MMA1519"/>
      <c r="MMB1519"/>
      <c r="MMC1519"/>
      <c r="MMD1519"/>
      <c r="MME1519"/>
      <c r="MMF1519"/>
      <c r="MMG1519"/>
      <c r="MMH1519"/>
      <c r="MMI1519"/>
      <c r="MMJ1519"/>
      <c r="MMK1519"/>
      <c r="MML1519"/>
      <c r="MMM1519"/>
      <c r="MMN1519"/>
      <c r="MMO1519"/>
      <c r="MMP1519"/>
      <c r="MMQ1519"/>
      <c r="MMR1519"/>
      <c r="MMS1519"/>
      <c r="MMT1519"/>
      <c r="MMU1519"/>
      <c r="MMV1519"/>
      <c r="MMW1519"/>
      <c r="MMX1519"/>
      <c r="MMY1519"/>
      <c r="MMZ1519"/>
      <c r="MNA1519"/>
      <c r="MNB1519"/>
      <c r="MNC1519"/>
      <c r="MND1519"/>
      <c r="MNE1519"/>
      <c r="MNF1519"/>
      <c r="MNG1519"/>
      <c r="MNH1519"/>
      <c r="MNI1519"/>
      <c r="MNJ1519"/>
      <c r="MNK1519"/>
      <c r="MNL1519"/>
      <c r="MNM1519"/>
      <c r="MNN1519"/>
      <c r="MNO1519"/>
      <c r="MNP1519"/>
      <c r="MNQ1519"/>
      <c r="MNR1519"/>
      <c r="MNS1519"/>
      <c r="MNT1519"/>
      <c r="MNU1519"/>
      <c r="MNV1519"/>
      <c r="MNW1519"/>
      <c r="MNX1519"/>
      <c r="MNY1519"/>
      <c r="MNZ1519"/>
      <c r="MOA1519"/>
      <c r="MOB1519"/>
      <c r="MOC1519"/>
      <c r="MOD1519"/>
      <c r="MOE1519"/>
      <c r="MOF1519"/>
      <c r="MOG1519"/>
      <c r="MOH1519"/>
      <c r="MOI1519"/>
      <c r="MOJ1519"/>
      <c r="MOK1519"/>
      <c r="MOL1519"/>
      <c r="MOM1519"/>
      <c r="MON1519"/>
      <c r="MOO1519"/>
      <c r="MOP1519"/>
      <c r="MOQ1519"/>
      <c r="MOR1519"/>
      <c r="MOS1519"/>
      <c r="MOT1519"/>
      <c r="MOU1519"/>
      <c r="MOV1519"/>
      <c r="MOW1519"/>
      <c r="MOX1519"/>
      <c r="MOY1519"/>
      <c r="MOZ1519"/>
      <c r="MPA1519"/>
      <c r="MPB1519"/>
      <c r="MPC1519"/>
      <c r="MPD1519"/>
      <c r="MPE1519"/>
      <c r="MPF1519"/>
      <c r="MPG1519"/>
      <c r="MPH1519"/>
      <c r="MPI1519"/>
      <c r="MPJ1519"/>
      <c r="MPK1519"/>
      <c r="MPL1519"/>
      <c r="MPM1519"/>
      <c r="MPN1519"/>
      <c r="MPO1519"/>
      <c r="MPP1519"/>
      <c r="MPQ1519"/>
      <c r="MPR1519"/>
      <c r="MPS1519"/>
      <c r="MPT1519"/>
      <c r="MPU1519"/>
      <c r="MPV1519"/>
      <c r="MPW1519"/>
      <c r="MPX1519"/>
      <c r="MPY1519"/>
      <c r="MPZ1519"/>
      <c r="MQA1519"/>
      <c r="MQB1519"/>
      <c r="MQC1519"/>
      <c r="MQD1519"/>
      <c r="MQE1519"/>
      <c r="MQF1519"/>
      <c r="MQG1519"/>
      <c r="MQH1519"/>
      <c r="MQI1519"/>
      <c r="MQJ1519"/>
      <c r="MQK1519"/>
      <c r="MQL1519"/>
      <c r="MQM1519"/>
      <c r="MQN1519"/>
      <c r="MQO1519"/>
      <c r="MQP1519"/>
      <c r="MQQ1519"/>
      <c r="MQR1519"/>
      <c r="MQS1519"/>
      <c r="MQT1519"/>
      <c r="MQU1519"/>
      <c r="MQV1519"/>
      <c r="MQW1519"/>
      <c r="MQX1519"/>
      <c r="MQY1519"/>
      <c r="MQZ1519"/>
      <c r="MRA1519"/>
      <c r="MRB1519"/>
      <c r="MRC1519"/>
      <c r="MRD1519"/>
      <c r="MRE1519"/>
      <c r="MRF1519"/>
      <c r="MRG1519"/>
      <c r="MRH1519"/>
      <c r="MRI1519"/>
      <c r="MRJ1519"/>
      <c r="MRK1519"/>
      <c r="MRL1519"/>
      <c r="MRM1519"/>
      <c r="MRN1519"/>
      <c r="MRO1519"/>
      <c r="MRP1519"/>
      <c r="MRQ1519"/>
      <c r="MRR1519"/>
      <c r="MRS1519"/>
      <c r="MRT1519"/>
      <c r="MRU1519"/>
      <c r="MRV1519"/>
      <c r="MRW1519"/>
      <c r="MRX1519"/>
      <c r="MRY1519"/>
      <c r="MRZ1519"/>
      <c r="MSA1519"/>
      <c r="MSB1519"/>
      <c r="MSC1519"/>
      <c r="MSD1519"/>
      <c r="MSE1519"/>
      <c r="MSF1519"/>
      <c r="MSG1519"/>
      <c r="MSH1519"/>
      <c r="MSI1519"/>
      <c r="MSJ1519"/>
      <c r="MSK1519"/>
      <c r="MSL1519"/>
      <c r="MSM1519"/>
      <c r="MSN1519"/>
      <c r="MSO1519"/>
      <c r="MSP1519"/>
      <c r="MSQ1519"/>
      <c r="MSR1519"/>
      <c r="MSS1519"/>
      <c r="MST1519"/>
      <c r="MSU1519"/>
      <c r="MSV1519"/>
      <c r="MSW1519"/>
      <c r="MSX1519"/>
      <c r="MSY1519"/>
      <c r="MSZ1519"/>
      <c r="MTA1519"/>
      <c r="MTB1519"/>
      <c r="MTC1519"/>
      <c r="MTD1519"/>
      <c r="MTE1519"/>
      <c r="MTF1519"/>
      <c r="MTG1519"/>
      <c r="MTH1519"/>
      <c r="MTI1519"/>
      <c r="MTJ1519"/>
      <c r="MTK1519"/>
      <c r="MTL1519"/>
      <c r="MTM1519"/>
      <c r="MTN1519"/>
      <c r="MTO1519"/>
      <c r="MTP1519"/>
      <c r="MTQ1519"/>
      <c r="MTR1519"/>
      <c r="MTS1519"/>
      <c r="MTT1519"/>
      <c r="MTU1519"/>
      <c r="MTV1519"/>
      <c r="MTW1519"/>
      <c r="MTX1519"/>
      <c r="MTY1519"/>
      <c r="MTZ1519"/>
      <c r="MUA1519"/>
      <c r="MUB1519"/>
      <c r="MUC1519"/>
      <c r="MUD1519"/>
      <c r="MUE1519"/>
      <c r="MUF1519"/>
      <c r="MUG1519"/>
      <c r="MUH1519"/>
      <c r="MUI1519"/>
      <c r="MUJ1519"/>
      <c r="MUK1519"/>
      <c r="MUL1519"/>
      <c r="MUM1519"/>
      <c r="MUN1519"/>
      <c r="MUO1519"/>
      <c r="MUP1519"/>
      <c r="MUQ1519"/>
      <c r="MUR1519"/>
      <c r="MUS1519"/>
      <c r="MUT1519"/>
      <c r="MUU1519"/>
      <c r="MUV1519"/>
      <c r="MUW1519"/>
      <c r="MUX1519"/>
      <c r="MUY1519"/>
      <c r="MUZ1519"/>
      <c r="MVA1519"/>
      <c r="MVB1519"/>
      <c r="MVC1519"/>
      <c r="MVD1519"/>
      <c r="MVE1519"/>
      <c r="MVF1519"/>
      <c r="MVG1519"/>
      <c r="MVH1519"/>
      <c r="MVI1519"/>
      <c r="MVJ1519"/>
      <c r="MVK1519"/>
      <c r="MVL1519"/>
      <c r="MVM1519"/>
      <c r="MVN1519"/>
      <c r="MVO1519"/>
      <c r="MVP1519"/>
      <c r="MVQ1519"/>
      <c r="MVR1519"/>
      <c r="MVS1519"/>
      <c r="MVT1519"/>
      <c r="MVU1519"/>
      <c r="MVV1519"/>
      <c r="MVW1519"/>
      <c r="MVX1519"/>
      <c r="MVY1519"/>
      <c r="MVZ1519"/>
      <c r="MWA1519"/>
      <c r="MWB1519"/>
      <c r="MWC1519"/>
      <c r="MWD1519"/>
      <c r="MWE1519"/>
      <c r="MWF1519"/>
      <c r="MWG1519"/>
      <c r="MWH1519"/>
      <c r="MWI1519"/>
      <c r="MWJ1519"/>
      <c r="MWK1519"/>
      <c r="MWL1519"/>
      <c r="MWM1519"/>
      <c r="MWN1519"/>
      <c r="MWO1519"/>
      <c r="MWP1519"/>
      <c r="MWQ1519"/>
      <c r="MWR1519"/>
      <c r="MWS1519"/>
      <c r="MWT1519"/>
      <c r="MWU1519"/>
      <c r="MWV1519"/>
      <c r="MWW1519"/>
      <c r="MWX1519"/>
      <c r="MWY1519"/>
      <c r="MWZ1519"/>
      <c r="MXA1519"/>
      <c r="MXB1519"/>
      <c r="MXC1519"/>
      <c r="MXD1519"/>
      <c r="MXE1519"/>
      <c r="MXF1519"/>
      <c r="MXG1519"/>
      <c r="MXH1519"/>
      <c r="MXI1519"/>
      <c r="MXJ1519"/>
      <c r="MXK1519"/>
      <c r="MXL1519"/>
      <c r="MXM1519"/>
      <c r="MXN1519"/>
      <c r="MXO1519"/>
      <c r="MXP1519"/>
      <c r="MXQ1519"/>
      <c r="MXR1519"/>
      <c r="MXS1519"/>
      <c r="MXT1519"/>
      <c r="MXU1519"/>
      <c r="MXV1519"/>
      <c r="MXW1519"/>
      <c r="MXX1519"/>
      <c r="MXY1519"/>
      <c r="MXZ1519"/>
      <c r="MYA1519"/>
      <c r="MYB1519"/>
      <c r="MYC1519"/>
      <c r="MYD1519"/>
      <c r="MYE1519"/>
      <c r="MYF1519"/>
      <c r="MYG1519"/>
      <c r="MYH1519"/>
      <c r="MYI1519"/>
      <c r="MYJ1519"/>
      <c r="MYK1519"/>
      <c r="MYL1519"/>
      <c r="MYM1519"/>
      <c r="MYN1519"/>
      <c r="MYO1519"/>
      <c r="MYP1519"/>
      <c r="MYQ1519"/>
      <c r="MYR1519"/>
      <c r="MYS1519"/>
      <c r="MYT1519"/>
      <c r="MYU1519"/>
      <c r="MYV1519"/>
      <c r="MYW1519"/>
      <c r="MYX1519"/>
      <c r="MYY1519"/>
      <c r="MYZ1519"/>
      <c r="MZA1519"/>
      <c r="MZB1519"/>
      <c r="MZC1519"/>
      <c r="MZD1519"/>
      <c r="MZE1519"/>
      <c r="MZF1519"/>
      <c r="MZG1519"/>
      <c r="MZH1519"/>
      <c r="MZI1519"/>
      <c r="MZJ1519"/>
      <c r="MZK1519"/>
      <c r="MZL1519"/>
      <c r="MZM1519"/>
      <c r="MZN1519"/>
      <c r="MZO1519"/>
      <c r="MZP1519"/>
      <c r="MZQ1519"/>
      <c r="MZR1519"/>
      <c r="MZS1519"/>
      <c r="MZT1519"/>
      <c r="MZU1519"/>
      <c r="MZV1519"/>
      <c r="MZW1519"/>
      <c r="MZX1519"/>
      <c r="MZY1519"/>
      <c r="MZZ1519"/>
      <c r="NAA1519"/>
      <c r="NAB1519"/>
      <c r="NAC1519"/>
      <c r="NAD1519"/>
      <c r="NAE1519"/>
      <c r="NAF1519"/>
      <c r="NAG1519"/>
      <c r="NAH1519"/>
      <c r="NAI1519"/>
      <c r="NAJ1519"/>
      <c r="NAK1519"/>
      <c r="NAL1519"/>
      <c r="NAM1519"/>
      <c r="NAN1519"/>
      <c r="NAO1519"/>
      <c r="NAP1519"/>
      <c r="NAQ1519"/>
      <c r="NAR1519"/>
      <c r="NAS1519"/>
      <c r="NAT1519"/>
      <c r="NAU1519"/>
      <c r="NAV1519"/>
      <c r="NAW1519"/>
      <c r="NAX1519"/>
      <c r="NAY1519"/>
      <c r="NAZ1519"/>
      <c r="NBA1519"/>
      <c r="NBB1519"/>
      <c r="NBC1519"/>
      <c r="NBD1519"/>
      <c r="NBE1519"/>
      <c r="NBF1519"/>
      <c r="NBG1519"/>
      <c r="NBH1519"/>
      <c r="NBI1519"/>
      <c r="NBJ1519"/>
      <c r="NBK1519"/>
      <c r="NBL1519"/>
      <c r="NBM1519"/>
      <c r="NBN1519"/>
      <c r="NBO1519"/>
      <c r="NBP1519"/>
      <c r="NBQ1519"/>
      <c r="NBR1519"/>
      <c r="NBS1519"/>
      <c r="NBT1519"/>
      <c r="NBU1519"/>
      <c r="NBV1519"/>
      <c r="NBW1519"/>
      <c r="NBX1519"/>
      <c r="NBY1519"/>
      <c r="NBZ1519"/>
      <c r="NCA1519"/>
      <c r="NCB1519"/>
      <c r="NCC1519"/>
      <c r="NCD1519"/>
      <c r="NCE1519"/>
      <c r="NCF1519"/>
      <c r="NCG1519"/>
      <c r="NCH1519"/>
      <c r="NCI1519"/>
      <c r="NCJ1519"/>
      <c r="NCK1519"/>
      <c r="NCL1519"/>
      <c r="NCM1519"/>
      <c r="NCN1519"/>
      <c r="NCO1519"/>
      <c r="NCP1519"/>
      <c r="NCQ1519"/>
      <c r="NCR1519"/>
      <c r="NCS1519"/>
      <c r="NCT1519"/>
      <c r="NCU1519"/>
      <c r="NCV1519"/>
      <c r="NCW1519"/>
      <c r="NCX1519"/>
      <c r="NCY1519"/>
      <c r="NCZ1519"/>
      <c r="NDA1519"/>
      <c r="NDB1519"/>
      <c r="NDC1519"/>
      <c r="NDD1519"/>
      <c r="NDE1519"/>
      <c r="NDF1519"/>
      <c r="NDG1519"/>
      <c r="NDH1519"/>
      <c r="NDI1519"/>
      <c r="NDJ1519"/>
      <c r="NDK1519"/>
      <c r="NDL1519"/>
      <c r="NDM1519"/>
      <c r="NDN1519"/>
      <c r="NDO1519"/>
      <c r="NDP1519"/>
      <c r="NDQ1519"/>
      <c r="NDR1519"/>
      <c r="NDS1519"/>
      <c r="NDT1519"/>
      <c r="NDU1519"/>
      <c r="NDV1519"/>
      <c r="NDW1519"/>
      <c r="NDX1519"/>
      <c r="NDY1519"/>
      <c r="NDZ1519"/>
      <c r="NEA1519"/>
      <c r="NEB1519"/>
      <c r="NEC1519"/>
      <c r="NED1519"/>
      <c r="NEE1519"/>
      <c r="NEF1519"/>
      <c r="NEG1519"/>
      <c r="NEH1519"/>
      <c r="NEI1519"/>
      <c r="NEJ1519"/>
      <c r="NEK1519"/>
      <c r="NEL1519"/>
      <c r="NEM1519"/>
      <c r="NEN1519"/>
      <c r="NEO1519"/>
      <c r="NEP1519"/>
      <c r="NEQ1519"/>
      <c r="NER1519"/>
      <c r="NES1519"/>
      <c r="NET1519"/>
      <c r="NEU1519"/>
      <c r="NEV1519"/>
      <c r="NEW1519"/>
      <c r="NEX1519"/>
      <c r="NEY1519"/>
      <c r="NEZ1519"/>
      <c r="NFA1519"/>
      <c r="NFB1519"/>
      <c r="NFC1519"/>
      <c r="NFD1519"/>
      <c r="NFE1519"/>
      <c r="NFF1519"/>
      <c r="NFG1519"/>
      <c r="NFH1519"/>
      <c r="NFI1519"/>
      <c r="NFJ1519"/>
      <c r="NFK1519"/>
      <c r="NFL1519"/>
      <c r="NFM1519"/>
      <c r="NFN1519"/>
      <c r="NFO1519"/>
      <c r="NFP1519"/>
      <c r="NFQ1519"/>
      <c r="NFR1519"/>
      <c r="NFS1519"/>
      <c r="NFT1519"/>
      <c r="NFU1519"/>
      <c r="NFV1519"/>
      <c r="NFW1519"/>
      <c r="NFX1519"/>
      <c r="NFY1519"/>
      <c r="NFZ1519"/>
      <c r="NGA1519"/>
      <c r="NGB1519"/>
      <c r="NGC1519"/>
      <c r="NGD1519"/>
      <c r="NGE1519"/>
      <c r="NGF1519"/>
      <c r="NGG1519"/>
      <c r="NGH1519"/>
      <c r="NGI1519"/>
      <c r="NGJ1519"/>
      <c r="NGK1519"/>
      <c r="NGL1519"/>
      <c r="NGM1519"/>
      <c r="NGN1519"/>
      <c r="NGO1519"/>
      <c r="NGP1519"/>
      <c r="NGQ1519"/>
      <c r="NGR1519"/>
      <c r="NGS1519"/>
      <c r="NGT1519"/>
      <c r="NGU1519"/>
      <c r="NGV1519"/>
      <c r="NGW1519"/>
      <c r="NGX1519"/>
      <c r="NGY1519"/>
      <c r="NGZ1519"/>
      <c r="NHA1519"/>
      <c r="NHB1519"/>
      <c r="NHC1519"/>
      <c r="NHD1519"/>
      <c r="NHE1519"/>
      <c r="NHF1519"/>
      <c r="NHG1519"/>
      <c r="NHH1519"/>
      <c r="NHI1519"/>
      <c r="NHJ1519"/>
      <c r="NHK1519"/>
      <c r="NHL1519"/>
      <c r="NHM1519"/>
      <c r="NHN1519"/>
      <c r="NHO1519"/>
      <c r="NHP1519"/>
      <c r="NHQ1519"/>
      <c r="NHR1519"/>
      <c r="NHS1519"/>
      <c r="NHT1519"/>
      <c r="NHU1519"/>
      <c r="NHV1519"/>
      <c r="NHW1519"/>
      <c r="NHX1519"/>
      <c r="NHY1519"/>
      <c r="NHZ1519"/>
      <c r="NIA1519"/>
      <c r="NIB1519"/>
      <c r="NIC1519"/>
      <c r="NID1519"/>
      <c r="NIE1519"/>
      <c r="NIF1519"/>
      <c r="NIG1519"/>
      <c r="NIH1519"/>
      <c r="NII1519"/>
      <c r="NIJ1519"/>
      <c r="NIK1519"/>
      <c r="NIL1519"/>
      <c r="NIM1519"/>
      <c r="NIN1519"/>
      <c r="NIO1519"/>
      <c r="NIP1519"/>
      <c r="NIQ1519"/>
      <c r="NIR1519"/>
      <c r="NIS1519"/>
      <c r="NIT1519"/>
      <c r="NIU1519"/>
      <c r="NIV1519"/>
      <c r="NIW1519"/>
      <c r="NIX1519"/>
      <c r="NIY1519"/>
      <c r="NIZ1519"/>
      <c r="NJA1519"/>
      <c r="NJB1519"/>
      <c r="NJC1519"/>
      <c r="NJD1519"/>
      <c r="NJE1519"/>
      <c r="NJF1519"/>
      <c r="NJG1519"/>
      <c r="NJH1519"/>
      <c r="NJI1519"/>
      <c r="NJJ1519"/>
      <c r="NJK1519"/>
      <c r="NJL1519"/>
      <c r="NJM1519"/>
      <c r="NJN1519"/>
      <c r="NJO1519"/>
      <c r="NJP1519"/>
      <c r="NJQ1519"/>
      <c r="NJR1519"/>
      <c r="NJS1519"/>
      <c r="NJT1519"/>
      <c r="NJU1519"/>
      <c r="NJV1519"/>
      <c r="NJW1519"/>
      <c r="NJX1519"/>
      <c r="NJY1519"/>
      <c r="NJZ1519"/>
      <c r="NKA1519"/>
      <c r="NKB1519"/>
      <c r="NKC1519"/>
      <c r="NKD1519"/>
      <c r="NKE1519"/>
      <c r="NKF1519"/>
      <c r="NKG1519"/>
      <c r="NKH1519"/>
      <c r="NKI1519"/>
      <c r="NKJ1519"/>
      <c r="NKK1519"/>
      <c r="NKL1519"/>
      <c r="NKM1519"/>
      <c r="NKN1519"/>
      <c r="NKO1519"/>
      <c r="NKP1519"/>
      <c r="NKQ1519"/>
      <c r="NKR1519"/>
      <c r="NKS1519"/>
      <c r="NKT1519"/>
      <c r="NKU1519"/>
      <c r="NKV1519"/>
      <c r="NKW1519"/>
      <c r="NKX1519"/>
      <c r="NKY1519"/>
      <c r="NKZ1519"/>
      <c r="NLA1519"/>
      <c r="NLB1519"/>
      <c r="NLC1519"/>
      <c r="NLD1519"/>
      <c r="NLE1519"/>
      <c r="NLF1519"/>
      <c r="NLG1519"/>
      <c r="NLH1519"/>
      <c r="NLI1519"/>
      <c r="NLJ1519"/>
      <c r="NLK1519"/>
      <c r="NLL1519"/>
      <c r="NLM1519"/>
      <c r="NLN1519"/>
      <c r="NLO1519"/>
      <c r="NLP1519"/>
      <c r="NLQ1519"/>
      <c r="NLR1519"/>
      <c r="NLS1519"/>
      <c r="NLT1519"/>
      <c r="NLU1519"/>
      <c r="NLV1519"/>
      <c r="NLW1519"/>
      <c r="NLX1519"/>
      <c r="NLY1519"/>
      <c r="NLZ1519"/>
      <c r="NMA1519"/>
      <c r="NMB1519"/>
      <c r="NMC1519"/>
      <c r="NMD1519"/>
      <c r="NME1519"/>
      <c r="NMF1519"/>
      <c r="NMG1519"/>
      <c r="NMH1519"/>
      <c r="NMI1519"/>
      <c r="NMJ1519"/>
      <c r="NMK1519"/>
      <c r="NML1519"/>
      <c r="NMM1519"/>
      <c r="NMN1519"/>
      <c r="NMO1519"/>
      <c r="NMP1519"/>
      <c r="NMQ1519"/>
      <c r="NMR1519"/>
      <c r="NMS1519"/>
      <c r="NMT1519"/>
      <c r="NMU1519"/>
      <c r="NMV1519"/>
      <c r="NMW1519"/>
      <c r="NMX1519"/>
      <c r="NMY1519"/>
      <c r="NMZ1519"/>
      <c r="NNA1519"/>
      <c r="NNB1519"/>
      <c r="NNC1519"/>
      <c r="NND1519"/>
      <c r="NNE1519"/>
      <c r="NNF1519"/>
      <c r="NNG1519"/>
      <c r="NNH1519"/>
      <c r="NNI1519"/>
      <c r="NNJ1519"/>
      <c r="NNK1519"/>
      <c r="NNL1519"/>
      <c r="NNM1519"/>
      <c r="NNN1519"/>
      <c r="NNO1519"/>
      <c r="NNP1519"/>
      <c r="NNQ1519"/>
      <c r="NNR1519"/>
      <c r="NNS1519"/>
      <c r="NNT1519"/>
      <c r="NNU1519"/>
      <c r="NNV1519"/>
      <c r="NNW1519"/>
      <c r="NNX1519"/>
      <c r="NNY1519"/>
      <c r="NNZ1519"/>
      <c r="NOA1519"/>
      <c r="NOB1519"/>
      <c r="NOC1519"/>
      <c r="NOD1519"/>
      <c r="NOE1519"/>
      <c r="NOF1519"/>
      <c r="NOG1519"/>
      <c r="NOH1519"/>
      <c r="NOI1519"/>
      <c r="NOJ1519"/>
      <c r="NOK1519"/>
      <c r="NOL1519"/>
      <c r="NOM1519"/>
      <c r="NON1519"/>
      <c r="NOO1519"/>
      <c r="NOP1519"/>
      <c r="NOQ1519"/>
      <c r="NOR1519"/>
      <c r="NOS1519"/>
      <c r="NOT1519"/>
      <c r="NOU1519"/>
      <c r="NOV1519"/>
      <c r="NOW1519"/>
      <c r="NOX1519"/>
      <c r="NOY1519"/>
      <c r="NOZ1519"/>
      <c r="NPA1519"/>
      <c r="NPB1519"/>
      <c r="NPC1519"/>
      <c r="NPD1519"/>
      <c r="NPE1519"/>
      <c r="NPF1519"/>
      <c r="NPG1519"/>
      <c r="NPH1519"/>
      <c r="NPI1519"/>
      <c r="NPJ1519"/>
      <c r="NPK1519"/>
      <c r="NPL1519"/>
      <c r="NPM1519"/>
      <c r="NPN1519"/>
      <c r="NPO1519"/>
      <c r="NPP1519"/>
      <c r="NPQ1519"/>
      <c r="NPR1519"/>
      <c r="NPS1519"/>
      <c r="NPT1519"/>
      <c r="NPU1519"/>
      <c r="NPV1519"/>
      <c r="NPW1519"/>
      <c r="NPX1519"/>
      <c r="NPY1519"/>
      <c r="NPZ1519"/>
      <c r="NQA1519"/>
      <c r="NQB1519"/>
      <c r="NQC1519"/>
      <c r="NQD1519"/>
      <c r="NQE1519"/>
      <c r="NQF1519"/>
      <c r="NQG1519"/>
      <c r="NQH1519"/>
      <c r="NQI1519"/>
      <c r="NQJ1519"/>
      <c r="NQK1519"/>
      <c r="NQL1519"/>
      <c r="NQM1519"/>
      <c r="NQN1519"/>
      <c r="NQO1519"/>
      <c r="NQP1519"/>
      <c r="NQQ1519"/>
      <c r="NQR1519"/>
      <c r="NQS1519"/>
      <c r="NQT1519"/>
      <c r="NQU1519"/>
      <c r="NQV1519"/>
      <c r="NQW1519"/>
      <c r="NQX1519"/>
      <c r="NQY1519"/>
      <c r="NQZ1519"/>
      <c r="NRA1519"/>
      <c r="NRB1519"/>
      <c r="NRC1519"/>
      <c r="NRD1519"/>
      <c r="NRE1519"/>
      <c r="NRF1519"/>
      <c r="NRG1519"/>
      <c r="NRH1519"/>
      <c r="NRI1519"/>
      <c r="NRJ1519"/>
      <c r="NRK1519"/>
      <c r="NRL1519"/>
      <c r="NRM1519"/>
      <c r="NRN1519"/>
      <c r="NRO1519"/>
      <c r="NRP1519"/>
      <c r="NRQ1519"/>
      <c r="NRR1519"/>
      <c r="NRS1519"/>
      <c r="NRT1519"/>
      <c r="NRU1519"/>
      <c r="NRV1519"/>
      <c r="NRW1519"/>
      <c r="NRX1519"/>
      <c r="NRY1519"/>
      <c r="NRZ1519"/>
      <c r="NSA1519"/>
      <c r="NSB1519"/>
      <c r="NSC1519"/>
      <c r="NSD1519"/>
      <c r="NSE1519"/>
      <c r="NSF1519"/>
      <c r="NSG1519"/>
      <c r="NSH1519"/>
      <c r="NSI1519"/>
      <c r="NSJ1519"/>
      <c r="NSK1519"/>
      <c r="NSL1519"/>
      <c r="NSM1519"/>
      <c r="NSN1519"/>
      <c r="NSO1519"/>
      <c r="NSP1519"/>
      <c r="NSQ1519"/>
      <c r="NSR1519"/>
      <c r="NSS1519"/>
      <c r="NST1519"/>
      <c r="NSU1519"/>
      <c r="NSV1519"/>
      <c r="NSW1519"/>
      <c r="NSX1519"/>
      <c r="NSY1519"/>
      <c r="NSZ1519"/>
      <c r="NTA1519"/>
      <c r="NTB1519"/>
      <c r="NTC1519"/>
      <c r="NTD1519"/>
      <c r="NTE1519"/>
      <c r="NTF1519"/>
      <c r="NTG1519"/>
      <c r="NTH1519"/>
      <c r="NTI1519"/>
      <c r="NTJ1519"/>
      <c r="NTK1519"/>
      <c r="NTL1519"/>
      <c r="NTM1519"/>
      <c r="NTN1519"/>
      <c r="NTO1519"/>
      <c r="NTP1519"/>
      <c r="NTQ1519"/>
      <c r="NTR1519"/>
      <c r="NTS1519"/>
      <c r="NTT1519"/>
      <c r="NTU1519"/>
      <c r="NTV1519"/>
      <c r="NTW1519"/>
      <c r="NTX1519"/>
      <c r="NTY1519"/>
      <c r="NTZ1519"/>
      <c r="NUA1519"/>
      <c r="NUB1519"/>
      <c r="NUC1519"/>
      <c r="NUD1519"/>
      <c r="NUE1519"/>
      <c r="NUF1519"/>
      <c r="NUG1519"/>
      <c r="NUH1519"/>
      <c r="NUI1519"/>
      <c r="NUJ1519"/>
      <c r="NUK1519"/>
      <c r="NUL1519"/>
      <c r="NUM1519"/>
      <c r="NUN1519"/>
      <c r="NUO1519"/>
      <c r="NUP1519"/>
      <c r="NUQ1519"/>
      <c r="NUR1519"/>
      <c r="NUS1519"/>
      <c r="NUT1519"/>
      <c r="NUU1519"/>
      <c r="NUV1519"/>
      <c r="NUW1519"/>
      <c r="NUX1519"/>
      <c r="NUY1519"/>
      <c r="NUZ1519"/>
      <c r="NVA1519"/>
      <c r="NVB1519"/>
      <c r="NVC1519"/>
      <c r="NVD1519"/>
      <c r="NVE1519"/>
      <c r="NVF1519"/>
      <c r="NVG1519"/>
      <c r="NVH1519"/>
      <c r="NVI1519"/>
      <c r="NVJ1519"/>
      <c r="NVK1519"/>
      <c r="NVL1519"/>
      <c r="NVM1519"/>
      <c r="NVN1519"/>
      <c r="NVO1519"/>
      <c r="NVP1519"/>
      <c r="NVQ1519"/>
      <c r="NVR1519"/>
      <c r="NVS1519"/>
      <c r="NVT1519"/>
      <c r="NVU1519"/>
      <c r="NVV1519"/>
      <c r="NVW1519"/>
      <c r="NVX1519"/>
      <c r="NVY1519"/>
      <c r="NVZ1519"/>
      <c r="NWA1519"/>
      <c r="NWB1519"/>
      <c r="NWC1519"/>
      <c r="NWD1519"/>
      <c r="NWE1519"/>
      <c r="NWF1519"/>
      <c r="NWG1519"/>
      <c r="NWH1519"/>
      <c r="NWI1519"/>
      <c r="NWJ1519"/>
      <c r="NWK1519"/>
      <c r="NWL1519"/>
      <c r="NWM1519"/>
      <c r="NWN1519"/>
      <c r="NWO1519"/>
      <c r="NWP1519"/>
      <c r="NWQ1519"/>
      <c r="NWR1519"/>
      <c r="NWS1519"/>
      <c r="NWT1519"/>
      <c r="NWU1519"/>
      <c r="NWV1519"/>
      <c r="NWW1519"/>
      <c r="NWX1519"/>
      <c r="NWY1519"/>
      <c r="NWZ1519"/>
      <c r="NXA1519"/>
      <c r="NXB1519"/>
      <c r="NXC1519"/>
      <c r="NXD1519"/>
      <c r="NXE1519"/>
      <c r="NXF1519"/>
      <c r="NXG1519"/>
      <c r="NXH1519"/>
      <c r="NXI1519"/>
      <c r="NXJ1519"/>
      <c r="NXK1519"/>
      <c r="NXL1519"/>
      <c r="NXM1519"/>
      <c r="NXN1519"/>
      <c r="NXO1519"/>
      <c r="NXP1519"/>
      <c r="NXQ1519"/>
      <c r="NXR1519"/>
      <c r="NXS1519"/>
      <c r="NXT1519"/>
      <c r="NXU1519"/>
      <c r="NXV1519"/>
      <c r="NXW1519"/>
      <c r="NXX1519"/>
      <c r="NXY1519"/>
      <c r="NXZ1519"/>
      <c r="NYA1519"/>
      <c r="NYB1519"/>
      <c r="NYC1519"/>
      <c r="NYD1519"/>
      <c r="NYE1519"/>
      <c r="NYF1519"/>
      <c r="NYG1519"/>
      <c r="NYH1519"/>
      <c r="NYI1519"/>
      <c r="NYJ1519"/>
      <c r="NYK1519"/>
      <c r="NYL1519"/>
      <c r="NYM1519"/>
      <c r="NYN1519"/>
      <c r="NYO1519"/>
      <c r="NYP1519"/>
      <c r="NYQ1519"/>
      <c r="NYR1519"/>
      <c r="NYS1519"/>
      <c r="NYT1519"/>
      <c r="NYU1519"/>
      <c r="NYV1519"/>
      <c r="NYW1519"/>
      <c r="NYX1519"/>
      <c r="NYY1519"/>
      <c r="NYZ1519"/>
      <c r="NZA1519"/>
      <c r="NZB1519"/>
      <c r="NZC1519"/>
      <c r="NZD1519"/>
      <c r="NZE1519"/>
      <c r="NZF1519"/>
      <c r="NZG1519"/>
      <c r="NZH1519"/>
      <c r="NZI1519"/>
      <c r="NZJ1519"/>
      <c r="NZK1519"/>
      <c r="NZL1519"/>
      <c r="NZM1519"/>
      <c r="NZN1519"/>
      <c r="NZO1519"/>
      <c r="NZP1519"/>
      <c r="NZQ1519"/>
      <c r="NZR1519"/>
      <c r="NZS1519"/>
      <c r="NZT1519"/>
      <c r="NZU1519"/>
      <c r="NZV1519"/>
      <c r="NZW1519"/>
      <c r="NZX1519"/>
      <c r="NZY1519"/>
      <c r="NZZ1519"/>
      <c r="OAA1519"/>
      <c r="OAB1519"/>
      <c r="OAC1519"/>
      <c r="OAD1519"/>
      <c r="OAE1519"/>
      <c r="OAF1519"/>
      <c r="OAG1519"/>
      <c r="OAH1519"/>
      <c r="OAI1519"/>
      <c r="OAJ1519"/>
      <c r="OAK1519"/>
      <c r="OAL1519"/>
      <c r="OAM1519"/>
      <c r="OAN1519"/>
      <c r="OAO1519"/>
      <c r="OAP1519"/>
      <c r="OAQ1519"/>
      <c r="OAR1519"/>
      <c r="OAS1519"/>
      <c r="OAT1519"/>
      <c r="OAU1519"/>
      <c r="OAV1519"/>
      <c r="OAW1519"/>
      <c r="OAX1519"/>
      <c r="OAY1519"/>
      <c r="OAZ1519"/>
      <c r="OBA1519"/>
      <c r="OBB1519"/>
      <c r="OBC1519"/>
      <c r="OBD1519"/>
      <c r="OBE1519"/>
      <c r="OBF1519"/>
      <c r="OBG1519"/>
      <c r="OBH1519"/>
      <c r="OBI1519"/>
      <c r="OBJ1519"/>
      <c r="OBK1519"/>
      <c r="OBL1519"/>
      <c r="OBM1519"/>
      <c r="OBN1519"/>
      <c r="OBO1519"/>
      <c r="OBP1519"/>
      <c r="OBQ1519"/>
      <c r="OBR1519"/>
      <c r="OBS1519"/>
      <c r="OBT1519"/>
      <c r="OBU1519"/>
      <c r="OBV1519"/>
      <c r="OBW1519"/>
      <c r="OBX1519"/>
      <c r="OBY1519"/>
      <c r="OBZ1519"/>
      <c r="OCA1519"/>
      <c r="OCB1519"/>
      <c r="OCC1519"/>
      <c r="OCD1519"/>
      <c r="OCE1519"/>
      <c r="OCF1519"/>
      <c r="OCG1519"/>
      <c r="OCH1519"/>
      <c r="OCI1519"/>
      <c r="OCJ1519"/>
      <c r="OCK1519"/>
      <c r="OCL1519"/>
      <c r="OCM1519"/>
      <c r="OCN1519"/>
      <c r="OCO1519"/>
      <c r="OCP1519"/>
      <c r="OCQ1519"/>
      <c r="OCR1519"/>
      <c r="OCS1519"/>
      <c r="OCT1519"/>
      <c r="OCU1519"/>
      <c r="OCV1519"/>
      <c r="OCW1519"/>
      <c r="OCX1519"/>
      <c r="OCY1519"/>
      <c r="OCZ1519"/>
      <c r="ODA1519"/>
      <c r="ODB1519"/>
      <c r="ODC1519"/>
      <c r="ODD1519"/>
      <c r="ODE1519"/>
      <c r="ODF1519"/>
      <c r="ODG1519"/>
      <c r="ODH1519"/>
      <c r="ODI1519"/>
      <c r="ODJ1519"/>
      <c r="ODK1519"/>
      <c r="ODL1519"/>
      <c r="ODM1519"/>
      <c r="ODN1519"/>
      <c r="ODO1519"/>
      <c r="ODP1519"/>
      <c r="ODQ1519"/>
      <c r="ODR1519"/>
      <c r="ODS1519"/>
      <c r="ODT1519"/>
      <c r="ODU1519"/>
      <c r="ODV1519"/>
      <c r="ODW1519"/>
      <c r="ODX1519"/>
      <c r="ODY1519"/>
      <c r="ODZ1519"/>
      <c r="OEA1519"/>
      <c r="OEB1519"/>
      <c r="OEC1519"/>
      <c r="OED1519"/>
      <c r="OEE1519"/>
      <c r="OEF1519"/>
      <c r="OEG1519"/>
      <c r="OEH1519"/>
      <c r="OEI1519"/>
      <c r="OEJ1519"/>
      <c r="OEK1519"/>
      <c r="OEL1519"/>
      <c r="OEM1519"/>
      <c r="OEN1519"/>
      <c r="OEO1519"/>
      <c r="OEP1519"/>
      <c r="OEQ1519"/>
      <c r="OER1519"/>
      <c r="OES1519"/>
      <c r="OET1519"/>
      <c r="OEU1519"/>
      <c r="OEV1519"/>
      <c r="OEW1519"/>
      <c r="OEX1519"/>
      <c r="OEY1519"/>
      <c r="OEZ1519"/>
      <c r="OFA1519"/>
      <c r="OFB1519"/>
      <c r="OFC1519"/>
      <c r="OFD1519"/>
      <c r="OFE1519"/>
      <c r="OFF1519"/>
      <c r="OFG1519"/>
      <c r="OFH1519"/>
      <c r="OFI1519"/>
      <c r="OFJ1519"/>
      <c r="OFK1519"/>
      <c r="OFL1519"/>
      <c r="OFM1519"/>
      <c r="OFN1519"/>
      <c r="OFO1519"/>
      <c r="OFP1519"/>
      <c r="OFQ1519"/>
      <c r="OFR1519"/>
      <c r="OFS1519"/>
      <c r="OFT1519"/>
      <c r="OFU1519"/>
      <c r="OFV1519"/>
      <c r="OFW1519"/>
      <c r="OFX1519"/>
      <c r="OFY1519"/>
      <c r="OFZ1519"/>
      <c r="OGA1519"/>
      <c r="OGB1519"/>
      <c r="OGC1519"/>
      <c r="OGD1519"/>
      <c r="OGE1519"/>
      <c r="OGF1519"/>
      <c r="OGG1519"/>
      <c r="OGH1519"/>
      <c r="OGI1519"/>
      <c r="OGJ1519"/>
      <c r="OGK1519"/>
      <c r="OGL1519"/>
      <c r="OGM1519"/>
      <c r="OGN1519"/>
      <c r="OGO1519"/>
      <c r="OGP1519"/>
      <c r="OGQ1519"/>
      <c r="OGR1519"/>
      <c r="OGS1519"/>
      <c r="OGT1519"/>
      <c r="OGU1519"/>
      <c r="OGV1519"/>
      <c r="OGW1519"/>
      <c r="OGX1519"/>
      <c r="OGY1519"/>
      <c r="OGZ1519"/>
      <c r="OHA1519"/>
      <c r="OHB1519"/>
      <c r="OHC1519"/>
      <c r="OHD1519"/>
      <c r="OHE1519"/>
      <c r="OHF1519"/>
      <c r="OHG1519"/>
      <c r="OHH1519"/>
      <c r="OHI1519"/>
      <c r="OHJ1519"/>
      <c r="OHK1519"/>
      <c r="OHL1519"/>
      <c r="OHM1519"/>
      <c r="OHN1519"/>
      <c r="OHO1519"/>
      <c r="OHP1519"/>
      <c r="OHQ1519"/>
      <c r="OHR1519"/>
      <c r="OHS1519"/>
      <c r="OHT1519"/>
      <c r="OHU1519"/>
      <c r="OHV1519"/>
      <c r="OHW1519"/>
      <c r="OHX1519"/>
      <c r="OHY1519"/>
      <c r="OHZ1519"/>
      <c r="OIA1519"/>
      <c r="OIB1519"/>
      <c r="OIC1519"/>
      <c r="OID1519"/>
      <c r="OIE1519"/>
      <c r="OIF1519"/>
      <c r="OIG1519"/>
      <c r="OIH1519"/>
      <c r="OII1519"/>
      <c r="OIJ1519"/>
      <c r="OIK1519"/>
      <c r="OIL1519"/>
      <c r="OIM1519"/>
      <c r="OIN1519"/>
      <c r="OIO1519"/>
      <c r="OIP1519"/>
      <c r="OIQ1519"/>
      <c r="OIR1519"/>
      <c r="OIS1519"/>
      <c r="OIT1519"/>
      <c r="OIU1519"/>
      <c r="OIV1519"/>
      <c r="OIW1519"/>
      <c r="OIX1519"/>
      <c r="OIY1519"/>
      <c r="OIZ1519"/>
      <c r="OJA1519"/>
      <c r="OJB1519"/>
      <c r="OJC1519"/>
      <c r="OJD1519"/>
      <c r="OJE1519"/>
      <c r="OJF1519"/>
      <c r="OJG1519"/>
      <c r="OJH1519"/>
      <c r="OJI1519"/>
      <c r="OJJ1519"/>
      <c r="OJK1519"/>
      <c r="OJL1519"/>
      <c r="OJM1519"/>
      <c r="OJN1519"/>
      <c r="OJO1519"/>
      <c r="OJP1519"/>
      <c r="OJQ1519"/>
      <c r="OJR1519"/>
      <c r="OJS1519"/>
      <c r="OJT1519"/>
      <c r="OJU1519"/>
      <c r="OJV1519"/>
      <c r="OJW1519"/>
      <c r="OJX1519"/>
      <c r="OJY1519"/>
      <c r="OJZ1519"/>
      <c r="OKA1519"/>
      <c r="OKB1519"/>
      <c r="OKC1519"/>
      <c r="OKD1519"/>
      <c r="OKE1519"/>
      <c r="OKF1519"/>
      <c r="OKG1519"/>
      <c r="OKH1519"/>
      <c r="OKI1519"/>
      <c r="OKJ1519"/>
      <c r="OKK1519"/>
      <c r="OKL1519"/>
      <c r="OKM1519"/>
      <c r="OKN1519"/>
      <c r="OKO1519"/>
      <c r="OKP1519"/>
      <c r="OKQ1519"/>
      <c r="OKR1519"/>
      <c r="OKS1519"/>
      <c r="OKT1519"/>
      <c r="OKU1519"/>
      <c r="OKV1519"/>
      <c r="OKW1519"/>
      <c r="OKX1519"/>
      <c r="OKY1519"/>
      <c r="OKZ1519"/>
      <c r="OLA1519"/>
      <c r="OLB1519"/>
      <c r="OLC1519"/>
      <c r="OLD1519"/>
      <c r="OLE1519"/>
      <c r="OLF1519"/>
      <c r="OLG1519"/>
      <c r="OLH1519"/>
      <c r="OLI1519"/>
      <c r="OLJ1519"/>
      <c r="OLK1519"/>
      <c r="OLL1519"/>
      <c r="OLM1519"/>
      <c r="OLN1519"/>
      <c r="OLO1519"/>
      <c r="OLP1519"/>
      <c r="OLQ1519"/>
      <c r="OLR1519"/>
      <c r="OLS1519"/>
      <c r="OLT1519"/>
      <c r="OLU1519"/>
      <c r="OLV1519"/>
      <c r="OLW1519"/>
      <c r="OLX1519"/>
      <c r="OLY1519"/>
      <c r="OLZ1519"/>
      <c r="OMA1519"/>
      <c r="OMB1519"/>
      <c r="OMC1519"/>
      <c r="OMD1519"/>
      <c r="OME1519"/>
      <c r="OMF1519"/>
      <c r="OMG1519"/>
      <c r="OMH1519"/>
      <c r="OMI1519"/>
      <c r="OMJ1519"/>
      <c r="OMK1519"/>
      <c r="OML1519"/>
      <c r="OMM1519"/>
      <c r="OMN1519"/>
      <c r="OMO1519"/>
      <c r="OMP1519"/>
      <c r="OMQ1519"/>
      <c r="OMR1519"/>
      <c r="OMS1519"/>
      <c r="OMT1519"/>
      <c r="OMU1519"/>
      <c r="OMV1519"/>
      <c r="OMW1519"/>
      <c r="OMX1519"/>
      <c r="OMY1519"/>
      <c r="OMZ1519"/>
      <c r="ONA1519"/>
      <c r="ONB1519"/>
      <c r="ONC1519"/>
      <c r="OND1519"/>
      <c r="ONE1519"/>
      <c r="ONF1519"/>
      <c r="ONG1519"/>
      <c r="ONH1519"/>
      <c r="ONI1519"/>
      <c r="ONJ1519"/>
      <c r="ONK1519"/>
      <c r="ONL1519"/>
      <c r="ONM1519"/>
      <c r="ONN1519"/>
      <c r="ONO1519"/>
      <c r="ONP1519"/>
      <c r="ONQ1519"/>
      <c r="ONR1519"/>
      <c r="ONS1519"/>
      <c r="ONT1519"/>
      <c r="ONU1519"/>
      <c r="ONV1519"/>
      <c r="ONW1519"/>
      <c r="ONX1519"/>
      <c r="ONY1519"/>
      <c r="ONZ1519"/>
      <c r="OOA1519"/>
      <c r="OOB1519"/>
      <c r="OOC1519"/>
      <c r="OOD1519"/>
      <c r="OOE1519"/>
      <c r="OOF1519"/>
      <c r="OOG1519"/>
      <c r="OOH1519"/>
      <c r="OOI1519"/>
      <c r="OOJ1519"/>
      <c r="OOK1519"/>
      <c r="OOL1519"/>
      <c r="OOM1519"/>
      <c r="OON1519"/>
      <c r="OOO1519"/>
      <c r="OOP1519"/>
      <c r="OOQ1519"/>
      <c r="OOR1519"/>
      <c r="OOS1519"/>
      <c r="OOT1519"/>
      <c r="OOU1519"/>
      <c r="OOV1519"/>
      <c r="OOW1519"/>
      <c r="OOX1519"/>
      <c r="OOY1519"/>
      <c r="OOZ1519"/>
      <c r="OPA1519"/>
      <c r="OPB1519"/>
      <c r="OPC1519"/>
      <c r="OPD1519"/>
      <c r="OPE1519"/>
      <c r="OPF1519"/>
      <c r="OPG1519"/>
      <c r="OPH1519"/>
      <c r="OPI1519"/>
      <c r="OPJ1519"/>
      <c r="OPK1519"/>
      <c r="OPL1519"/>
      <c r="OPM1519"/>
      <c r="OPN1519"/>
      <c r="OPO1519"/>
      <c r="OPP1519"/>
      <c r="OPQ1519"/>
      <c r="OPR1519"/>
      <c r="OPS1519"/>
      <c r="OPT1519"/>
      <c r="OPU1519"/>
      <c r="OPV1519"/>
      <c r="OPW1519"/>
      <c r="OPX1519"/>
      <c r="OPY1519"/>
      <c r="OPZ1519"/>
      <c r="OQA1519"/>
      <c r="OQB1519"/>
      <c r="OQC1519"/>
      <c r="OQD1519"/>
      <c r="OQE1519"/>
      <c r="OQF1519"/>
      <c r="OQG1519"/>
      <c r="OQH1519"/>
      <c r="OQI1519"/>
      <c r="OQJ1519"/>
      <c r="OQK1519"/>
      <c r="OQL1519"/>
      <c r="OQM1519"/>
      <c r="OQN1519"/>
      <c r="OQO1519"/>
      <c r="OQP1519"/>
      <c r="OQQ1519"/>
      <c r="OQR1519"/>
      <c r="OQS1519"/>
      <c r="OQT1519"/>
      <c r="OQU1519"/>
      <c r="OQV1519"/>
      <c r="OQW1519"/>
      <c r="OQX1519"/>
      <c r="OQY1519"/>
      <c r="OQZ1519"/>
      <c r="ORA1519"/>
      <c r="ORB1519"/>
      <c r="ORC1519"/>
      <c r="ORD1519"/>
      <c r="ORE1519"/>
      <c r="ORF1519"/>
      <c r="ORG1519"/>
      <c r="ORH1519"/>
      <c r="ORI1519"/>
      <c r="ORJ1519"/>
      <c r="ORK1519"/>
      <c r="ORL1519"/>
      <c r="ORM1519"/>
      <c r="ORN1519"/>
      <c r="ORO1519"/>
      <c r="ORP1519"/>
      <c r="ORQ1519"/>
      <c r="ORR1519"/>
      <c r="ORS1519"/>
      <c r="ORT1519"/>
      <c r="ORU1519"/>
      <c r="ORV1519"/>
      <c r="ORW1519"/>
      <c r="ORX1519"/>
      <c r="ORY1519"/>
      <c r="ORZ1519"/>
      <c r="OSA1519"/>
      <c r="OSB1519"/>
      <c r="OSC1519"/>
      <c r="OSD1519"/>
      <c r="OSE1519"/>
      <c r="OSF1519"/>
      <c r="OSG1519"/>
      <c r="OSH1519"/>
      <c r="OSI1519"/>
      <c r="OSJ1519"/>
      <c r="OSK1519"/>
      <c r="OSL1519"/>
      <c r="OSM1519"/>
      <c r="OSN1519"/>
      <c r="OSO1519"/>
      <c r="OSP1519"/>
      <c r="OSQ1519"/>
      <c r="OSR1519"/>
      <c r="OSS1519"/>
      <c r="OST1519"/>
      <c r="OSU1519"/>
      <c r="OSV1519"/>
      <c r="OSW1519"/>
      <c r="OSX1519"/>
      <c r="OSY1519"/>
      <c r="OSZ1519"/>
      <c r="OTA1519"/>
      <c r="OTB1519"/>
      <c r="OTC1519"/>
      <c r="OTD1519"/>
      <c r="OTE1519"/>
      <c r="OTF1519"/>
      <c r="OTG1519"/>
      <c r="OTH1519"/>
      <c r="OTI1519"/>
      <c r="OTJ1519"/>
      <c r="OTK1519"/>
      <c r="OTL1519"/>
      <c r="OTM1519"/>
      <c r="OTN1519"/>
      <c r="OTO1519"/>
      <c r="OTP1519"/>
      <c r="OTQ1519"/>
      <c r="OTR1519"/>
      <c r="OTS1519"/>
      <c r="OTT1519"/>
      <c r="OTU1519"/>
      <c r="OTV1519"/>
      <c r="OTW1519"/>
      <c r="OTX1519"/>
      <c r="OTY1519"/>
      <c r="OTZ1519"/>
      <c r="OUA1519"/>
      <c r="OUB1519"/>
      <c r="OUC1519"/>
      <c r="OUD1519"/>
      <c r="OUE1519"/>
      <c r="OUF1519"/>
      <c r="OUG1519"/>
      <c r="OUH1519"/>
      <c r="OUI1519"/>
      <c r="OUJ1519"/>
      <c r="OUK1519"/>
      <c r="OUL1519"/>
      <c r="OUM1519"/>
      <c r="OUN1519"/>
      <c r="OUO1519"/>
      <c r="OUP1519"/>
      <c r="OUQ1519"/>
      <c r="OUR1519"/>
      <c r="OUS1519"/>
      <c r="OUT1519"/>
      <c r="OUU1519"/>
      <c r="OUV1519"/>
      <c r="OUW1519"/>
      <c r="OUX1519"/>
      <c r="OUY1519"/>
      <c r="OUZ1519"/>
      <c r="OVA1519"/>
      <c r="OVB1519"/>
      <c r="OVC1519"/>
      <c r="OVD1519"/>
      <c r="OVE1519"/>
      <c r="OVF1519"/>
      <c r="OVG1519"/>
      <c r="OVH1519"/>
      <c r="OVI1519"/>
      <c r="OVJ1519"/>
      <c r="OVK1519"/>
      <c r="OVL1519"/>
      <c r="OVM1519"/>
      <c r="OVN1519"/>
      <c r="OVO1519"/>
      <c r="OVP1519"/>
      <c r="OVQ1519"/>
      <c r="OVR1519"/>
      <c r="OVS1519"/>
      <c r="OVT1519"/>
      <c r="OVU1519"/>
      <c r="OVV1519"/>
      <c r="OVW1519"/>
      <c r="OVX1519"/>
      <c r="OVY1519"/>
      <c r="OVZ1519"/>
      <c r="OWA1519"/>
      <c r="OWB1519"/>
      <c r="OWC1519"/>
      <c r="OWD1519"/>
      <c r="OWE1519"/>
      <c r="OWF1519"/>
      <c r="OWG1519"/>
      <c r="OWH1519"/>
      <c r="OWI1519"/>
      <c r="OWJ1519"/>
      <c r="OWK1519"/>
      <c r="OWL1519"/>
      <c r="OWM1519"/>
      <c r="OWN1519"/>
      <c r="OWO1519"/>
      <c r="OWP1519"/>
      <c r="OWQ1519"/>
      <c r="OWR1519"/>
      <c r="OWS1519"/>
      <c r="OWT1519"/>
      <c r="OWU1519"/>
      <c r="OWV1519"/>
      <c r="OWW1519"/>
      <c r="OWX1519"/>
      <c r="OWY1519"/>
      <c r="OWZ1519"/>
      <c r="OXA1519"/>
      <c r="OXB1519"/>
      <c r="OXC1519"/>
      <c r="OXD1519"/>
      <c r="OXE1519"/>
      <c r="OXF1519"/>
      <c r="OXG1519"/>
      <c r="OXH1519"/>
      <c r="OXI1519"/>
      <c r="OXJ1519"/>
      <c r="OXK1519"/>
      <c r="OXL1519"/>
      <c r="OXM1519"/>
      <c r="OXN1519"/>
      <c r="OXO1519"/>
      <c r="OXP1519"/>
      <c r="OXQ1519"/>
      <c r="OXR1519"/>
      <c r="OXS1519"/>
      <c r="OXT1519"/>
      <c r="OXU1519"/>
      <c r="OXV1519"/>
      <c r="OXW1519"/>
      <c r="OXX1519"/>
      <c r="OXY1519"/>
      <c r="OXZ1519"/>
      <c r="OYA1519"/>
      <c r="OYB1519"/>
      <c r="OYC1519"/>
      <c r="OYD1519"/>
      <c r="OYE1519"/>
      <c r="OYF1519"/>
      <c r="OYG1519"/>
      <c r="OYH1519"/>
      <c r="OYI1519"/>
      <c r="OYJ1519"/>
      <c r="OYK1519"/>
      <c r="OYL1519"/>
      <c r="OYM1519"/>
      <c r="OYN1519"/>
      <c r="OYO1519"/>
      <c r="OYP1519"/>
      <c r="OYQ1519"/>
      <c r="OYR1519"/>
      <c r="OYS1519"/>
      <c r="OYT1519"/>
      <c r="OYU1519"/>
      <c r="OYV1519"/>
      <c r="OYW1519"/>
      <c r="OYX1519"/>
      <c r="OYY1519"/>
      <c r="OYZ1519"/>
      <c r="OZA1519"/>
      <c r="OZB1519"/>
      <c r="OZC1519"/>
      <c r="OZD1519"/>
      <c r="OZE1519"/>
      <c r="OZF1519"/>
      <c r="OZG1519"/>
      <c r="OZH1519"/>
      <c r="OZI1519"/>
      <c r="OZJ1519"/>
      <c r="OZK1519"/>
      <c r="OZL1519"/>
      <c r="OZM1519"/>
      <c r="OZN1519"/>
      <c r="OZO1519"/>
      <c r="OZP1519"/>
      <c r="OZQ1519"/>
      <c r="OZR1519"/>
      <c r="OZS1519"/>
      <c r="OZT1519"/>
      <c r="OZU1519"/>
      <c r="OZV1519"/>
      <c r="OZW1519"/>
      <c r="OZX1519"/>
      <c r="OZY1519"/>
      <c r="OZZ1519"/>
      <c r="PAA1519"/>
      <c r="PAB1519"/>
      <c r="PAC1519"/>
      <c r="PAD1519"/>
      <c r="PAE1519"/>
      <c r="PAF1519"/>
      <c r="PAG1519"/>
      <c r="PAH1519"/>
      <c r="PAI1519"/>
      <c r="PAJ1519"/>
      <c r="PAK1519"/>
      <c r="PAL1519"/>
      <c r="PAM1519"/>
      <c r="PAN1519"/>
      <c r="PAO1519"/>
      <c r="PAP1519"/>
      <c r="PAQ1519"/>
      <c r="PAR1519"/>
      <c r="PAS1519"/>
      <c r="PAT1519"/>
      <c r="PAU1519"/>
      <c r="PAV1519"/>
      <c r="PAW1519"/>
      <c r="PAX1519"/>
      <c r="PAY1519"/>
      <c r="PAZ1519"/>
      <c r="PBA1519"/>
      <c r="PBB1519"/>
      <c r="PBC1519"/>
      <c r="PBD1519"/>
      <c r="PBE1519"/>
      <c r="PBF1519"/>
      <c r="PBG1519"/>
      <c r="PBH1519"/>
      <c r="PBI1519"/>
      <c r="PBJ1519"/>
      <c r="PBK1519"/>
      <c r="PBL1519"/>
      <c r="PBM1519"/>
      <c r="PBN1519"/>
      <c r="PBO1519"/>
      <c r="PBP1519"/>
      <c r="PBQ1519"/>
      <c r="PBR1519"/>
      <c r="PBS1519"/>
      <c r="PBT1519"/>
      <c r="PBU1519"/>
      <c r="PBV1519"/>
      <c r="PBW1519"/>
      <c r="PBX1519"/>
      <c r="PBY1519"/>
      <c r="PBZ1519"/>
      <c r="PCA1519"/>
      <c r="PCB1519"/>
      <c r="PCC1519"/>
      <c r="PCD1519"/>
      <c r="PCE1519"/>
      <c r="PCF1519"/>
      <c r="PCG1519"/>
      <c r="PCH1519"/>
      <c r="PCI1519"/>
      <c r="PCJ1519"/>
      <c r="PCK1519"/>
      <c r="PCL1519"/>
      <c r="PCM1519"/>
      <c r="PCN1519"/>
      <c r="PCO1519"/>
      <c r="PCP1519"/>
      <c r="PCQ1519"/>
      <c r="PCR1519"/>
      <c r="PCS1519"/>
      <c r="PCT1519"/>
      <c r="PCU1519"/>
      <c r="PCV1519"/>
      <c r="PCW1519"/>
      <c r="PCX1519"/>
      <c r="PCY1519"/>
      <c r="PCZ1519"/>
      <c r="PDA1519"/>
      <c r="PDB1519"/>
      <c r="PDC1519"/>
      <c r="PDD1519"/>
      <c r="PDE1519"/>
      <c r="PDF1519"/>
      <c r="PDG1519"/>
      <c r="PDH1519"/>
      <c r="PDI1519"/>
      <c r="PDJ1519"/>
      <c r="PDK1519"/>
      <c r="PDL1519"/>
      <c r="PDM1519"/>
      <c r="PDN1519"/>
      <c r="PDO1519"/>
      <c r="PDP1519"/>
      <c r="PDQ1519"/>
      <c r="PDR1519"/>
      <c r="PDS1519"/>
      <c r="PDT1519"/>
      <c r="PDU1519"/>
      <c r="PDV1519"/>
      <c r="PDW1519"/>
      <c r="PDX1519"/>
      <c r="PDY1519"/>
      <c r="PDZ1519"/>
      <c r="PEA1519"/>
      <c r="PEB1519"/>
      <c r="PEC1519"/>
      <c r="PED1519"/>
      <c r="PEE1519"/>
      <c r="PEF1519"/>
      <c r="PEG1519"/>
      <c r="PEH1519"/>
      <c r="PEI1519"/>
      <c r="PEJ1519"/>
      <c r="PEK1519"/>
      <c r="PEL1519"/>
      <c r="PEM1519"/>
      <c r="PEN1519"/>
      <c r="PEO1519"/>
      <c r="PEP1519"/>
      <c r="PEQ1519"/>
      <c r="PER1519"/>
      <c r="PES1519"/>
      <c r="PET1519"/>
      <c r="PEU1519"/>
      <c r="PEV1519"/>
      <c r="PEW1519"/>
      <c r="PEX1519"/>
      <c r="PEY1519"/>
      <c r="PEZ1519"/>
      <c r="PFA1519"/>
      <c r="PFB1519"/>
      <c r="PFC1519"/>
      <c r="PFD1519"/>
      <c r="PFE1519"/>
      <c r="PFF1519"/>
      <c r="PFG1519"/>
      <c r="PFH1519"/>
      <c r="PFI1519"/>
      <c r="PFJ1519"/>
      <c r="PFK1519"/>
      <c r="PFL1519"/>
      <c r="PFM1519"/>
      <c r="PFN1519"/>
      <c r="PFO1519"/>
      <c r="PFP1519"/>
      <c r="PFQ1519"/>
      <c r="PFR1519"/>
      <c r="PFS1519"/>
      <c r="PFT1519"/>
      <c r="PFU1519"/>
      <c r="PFV1519"/>
      <c r="PFW1519"/>
      <c r="PFX1519"/>
      <c r="PFY1519"/>
      <c r="PFZ1519"/>
      <c r="PGA1519"/>
      <c r="PGB1519"/>
      <c r="PGC1519"/>
      <c r="PGD1519"/>
      <c r="PGE1519"/>
      <c r="PGF1519"/>
      <c r="PGG1519"/>
      <c r="PGH1519"/>
      <c r="PGI1519"/>
      <c r="PGJ1519"/>
      <c r="PGK1519"/>
      <c r="PGL1519"/>
      <c r="PGM1519"/>
      <c r="PGN1519"/>
      <c r="PGO1519"/>
      <c r="PGP1519"/>
      <c r="PGQ1519"/>
      <c r="PGR1519"/>
      <c r="PGS1519"/>
      <c r="PGT1519"/>
      <c r="PGU1519"/>
      <c r="PGV1519"/>
      <c r="PGW1519"/>
      <c r="PGX1519"/>
      <c r="PGY1519"/>
      <c r="PGZ1519"/>
      <c r="PHA1519"/>
      <c r="PHB1519"/>
      <c r="PHC1519"/>
      <c r="PHD1519"/>
      <c r="PHE1519"/>
      <c r="PHF1519"/>
      <c r="PHG1519"/>
      <c r="PHH1519"/>
      <c r="PHI1519"/>
      <c r="PHJ1519"/>
      <c r="PHK1519"/>
      <c r="PHL1519"/>
      <c r="PHM1519"/>
      <c r="PHN1519"/>
      <c r="PHO1519"/>
      <c r="PHP1519"/>
      <c r="PHQ1519"/>
      <c r="PHR1519"/>
      <c r="PHS1519"/>
      <c r="PHT1519"/>
      <c r="PHU1519"/>
      <c r="PHV1519"/>
      <c r="PHW1519"/>
      <c r="PHX1519"/>
      <c r="PHY1519"/>
      <c r="PHZ1519"/>
      <c r="PIA1519"/>
      <c r="PIB1519"/>
      <c r="PIC1519"/>
      <c r="PID1519"/>
      <c r="PIE1519"/>
      <c r="PIF1519"/>
      <c r="PIG1519"/>
      <c r="PIH1519"/>
      <c r="PII1519"/>
      <c r="PIJ1519"/>
      <c r="PIK1519"/>
      <c r="PIL1519"/>
      <c r="PIM1519"/>
      <c r="PIN1519"/>
      <c r="PIO1519"/>
      <c r="PIP1519"/>
      <c r="PIQ1519"/>
      <c r="PIR1519"/>
      <c r="PIS1519"/>
      <c r="PIT1519"/>
      <c r="PIU1519"/>
      <c r="PIV1519"/>
      <c r="PIW1519"/>
      <c r="PIX1519"/>
      <c r="PIY1519"/>
      <c r="PIZ1519"/>
      <c r="PJA1519"/>
      <c r="PJB1519"/>
      <c r="PJC1519"/>
      <c r="PJD1519"/>
      <c r="PJE1519"/>
      <c r="PJF1519"/>
      <c r="PJG1519"/>
      <c r="PJH1519"/>
      <c r="PJI1519"/>
      <c r="PJJ1519"/>
      <c r="PJK1519"/>
      <c r="PJL1519"/>
      <c r="PJM1519"/>
      <c r="PJN1519"/>
      <c r="PJO1519"/>
      <c r="PJP1519"/>
      <c r="PJQ1519"/>
      <c r="PJR1519"/>
      <c r="PJS1519"/>
      <c r="PJT1519"/>
      <c r="PJU1519"/>
      <c r="PJV1519"/>
      <c r="PJW1519"/>
      <c r="PJX1519"/>
      <c r="PJY1519"/>
      <c r="PJZ1519"/>
      <c r="PKA1519"/>
      <c r="PKB1519"/>
      <c r="PKC1519"/>
      <c r="PKD1519"/>
      <c r="PKE1519"/>
      <c r="PKF1519"/>
      <c r="PKG1519"/>
      <c r="PKH1519"/>
      <c r="PKI1519"/>
      <c r="PKJ1519"/>
      <c r="PKK1519"/>
      <c r="PKL1519"/>
      <c r="PKM1519"/>
      <c r="PKN1519"/>
      <c r="PKO1519"/>
      <c r="PKP1519"/>
      <c r="PKQ1519"/>
      <c r="PKR1519"/>
      <c r="PKS1519"/>
      <c r="PKT1519"/>
      <c r="PKU1519"/>
      <c r="PKV1519"/>
      <c r="PKW1519"/>
      <c r="PKX1519"/>
      <c r="PKY1519"/>
      <c r="PKZ1519"/>
      <c r="PLA1519"/>
      <c r="PLB1519"/>
      <c r="PLC1519"/>
      <c r="PLD1519"/>
      <c r="PLE1519"/>
      <c r="PLF1519"/>
      <c r="PLG1519"/>
      <c r="PLH1519"/>
      <c r="PLI1519"/>
      <c r="PLJ1519"/>
      <c r="PLK1519"/>
      <c r="PLL1519"/>
      <c r="PLM1519"/>
      <c r="PLN1519"/>
      <c r="PLO1519"/>
      <c r="PLP1519"/>
      <c r="PLQ1519"/>
      <c r="PLR1519"/>
      <c r="PLS1519"/>
      <c r="PLT1519"/>
      <c r="PLU1519"/>
      <c r="PLV1519"/>
      <c r="PLW1519"/>
      <c r="PLX1519"/>
      <c r="PLY1519"/>
      <c r="PLZ1519"/>
      <c r="PMA1519"/>
      <c r="PMB1519"/>
      <c r="PMC1519"/>
      <c r="PMD1519"/>
      <c r="PME1519"/>
      <c r="PMF1519"/>
      <c r="PMG1519"/>
      <c r="PMH1519"/>
      <c r="PMI1519"/>
      <c r="PMJ1519"/>
      <c r="PMK1519"/>
      <c r="PML1519"/>
      <c r="PMM1519"/>
      <c r="PMN1519"/>
      <c r="PMO1519"/>
      <c r="PMP1519"/>
      <c r="PMQ1519"/>
      <c r="PMR1519"/>
      <c r="PMS1519"/>
      <c r="PMT1519"/>
      <c r="PMU1519"/>
      <c r="PMV1519"/>
      <c r="PMW1519"/>
      <c r="PMX1519"/>
      <c r="PMY1519"/>
      <c r="PMZ1519"/>
      <c r="PNA1519"/>
      <c r="PNB1519"/>
      <c r="PNC1519"/>
      <c r="PND1519"/>
      <c r="PNE1519"/>
      <c r="PNF1519"/>
      <c r="PNG1519"/>
      <c r="PNH1519"/>
      <c r="PNI1519"/>
      <c r="PNJ1519"/>
      <c r="PNK1519"/>
      <c r="PNL1519"/>
      <c r="PNM1519"/>
      <c r="PNN1519"/>
      <c r="PNO1519"/>
      <c r="PNP1519"/>
      <c r="PNQ1519"/>
      <c r="PNR1519"/>
      <c r="PNS1519"/>
      <c r="PNT1519"/>
      <c r="PNU1519"/>
      <c r="PNV1519"/>
      <c r="PNW1519"/>
      <c r="PNX1519"/>
      <c r="PNY1519"/>
      <c r="PNZ1519"/>
      <c r="POA1519"/>
      <c r="POB1519"/>
      <c r="POC1519"/>
      <c r="POD1519"/>
      <c r="POE1519"/>
      <c r="POF1519"/>
      <c r="POG1519"/>
      <c r="POH1519"/>
      <c r="POI1519"/>
      <c r="POJ1519"/>
      <c r="POK1519"/>
      <c r="POL1519"/>
      <c r="POM1519"/>
      <c r="PON1519"/>
      <c r="POO1519"/>
      <c r="POP1519"/>
      <c r="POQ1519"/>
      <c r="POR1519"/>
      <c r="POS1519"/>
      <c r="POT1519"/>
      <c r="POU1519"/>
      <c r="POV1519"/>
      <c r="POW1519"/>
      <c r="POX1519"/>
      <c r="POY1519"/>
      <c r="POZ1519"/>
      <c r="PPA1519"/>
      <c r="PPB1519"/>
      <c r="PPC1519"/>
      <c r="PPD1519"/>
      <c r="PPE1519"/>
      <c r="PPF1519"/>
      <c r="PPG1519"/>
      <c r="PPH1519"/>
      <c r="PPI1519"/>
      <c r="PPJ1519"/>
      <c r="PPK1519"/>
      <c r="PPL1519"/>
      <c r="PPM1519"/>
      <c r="PPN1519"/>
      <c r="PPO1519"/>
      <c r="PPP1519"/>
      <c r="PPQ1519"/>
      <c r="PPR1519"/>
      <c r="PPS1519"/>
      <c r="PPT1519"/>
      <c r="PPU1519"/>
      <c r="PPV1519"/>
      <c r="PPW1519"/>
      <c r="PPX1519"/>
      <c r="PPY1519"/>
      <c r="PPZ1519"/>
      <c r="PQA1519"/>
      <c r="PQB1519"/>
      <c r="PQC1519"/>
      <c r="PQD1519"/>
      <c r="PQE1519"/>
      <c r="PQF1519"/>
      <c r="PQG1519"/>
      <c r="PQH1519"/>
      <c r="PQI1519"/>
      <c r="PQJ1519"/>
      <c r="PQK1519"/>
      <c r="PQL1519"/>
      <c r="PQM1519"/>
      <c r="PQN1519"/>
      <c r="PQO1519"/>
      <c r="PQP1519"/>
      <c r="PQQ1519"/>
      <c r="PQR1519"/>
      <c r="PQS1519"/>
      <c r="PQT1519"/>
      <c r="PQU1519"/>
      <c r="PQV1519"/>
      <c r="PQW1519"/>
      <c r="PQX1519"/>
      <c r="PQY1519"/>
      <c r="PQZ1519"/>
      <c r="PRA1519"/>
      <c r="PRB1519"/>
      <c r="PRC1519"/>
      <c r="PRD1519"/>
      <c r="PRE1519"/>
      <c r="PRF1519"/>
      <c r="PRG1519"/>
      <c r="PRH1519"/>
      <c r="PRI1519"/>
      <c r="PRJ1519"/>
      <c r="PRK1519"/>
      <c r="PRL1519"/>
      <c r="PRM1519"/>
      <c r="PRN1519"/>
      <c r="PRO1519"/>
      <c r="PRP1519"/>
      <c r="PRQ1519"/>
      <c r="PRR1519"/>
      <c r="PRS1519"/>
      <c r="PRT1519"/>
      <c r="PRU1519"/>
      <c r="PRV1519"/>
      <c r="PRW1519"/>
      <c r="PRX1519"/>
      <c r="PRY1519"/>
      <c r="PRZ1519"/>
      <c r="PSA1519"/>
      <c r="PSB1519"/>
      <c r="PSC1519"/>
      <c r="PSD1519"/>
      <c r="PSE1519"/>
      <c r="PSF1519"/>
      <c r="PSG1519"/>
      <c r="PSH1519"/>
      <c r="PSI1519"/>
      <c r="PSJ1519"/>
      <c r="PSK1519"/>
      <c r="PSL1519"/>
      <c r="PSM1519"/>
      <c r="PSN1519"/>
      <c r="PSO1519"/>
      <c r="PSP1519"/>
      <c r="PSQ1519"/>
      <c r="PSR1519"/>
      <c r="PSS1519"/>
      <c r="PST1519"/>
      <c r="PSU1519"/>
      <c r="PSV1519"/>
      <c r="PSW1519"/>
      <c r="PSX1519"/>
      <c r="PSY1519"/>
      <c r="PSZ1519"/>
      <c r="PTA1519"/>
      <c r="PTB1519"/>
      <c r="PTC1519"/>
      <c r="PTD1519"/>
      <c r="PTE1519"/>
      <c r="PTF1519"/>
      <c r="PTG1519"/>
      <c r="PTH1519"/>
      <c r="PTI1519"/>
      <c r="PTJ1519"/>
      <c r="PTK1519"/>
      <c r="PTL1519"/>
      <c r="PTM1519"/>
      <c r="PTN1519"/>
      <c r="PTO1519"/>
      <c r="PTP1519"/>
      <c r="PTQ1519"/>
      <c r="PTR1519"/>
      <c r="PTS1519"/>
      <c r="PTT1519"/>
      <c r="PTU1519"/>
      <c r="PTV1519"/>
      <c r="PTW1519"/>
      <c r="PTX1519"/>
      <c r="PTY1519"/>
      <c r="PTZ1519"/>
      <c r="PUA1519"/>
      <c r="PUB1519"/>
      <c r="PUC1519"/>
      <c r="PUD1519"/>
      <c r="PUE1519"/>
      <c r="PUF1519"/>
      <c r="PUG1519"/>
      <c r="PUH1519"/>
      <c r="PUI1519"/>
      <c r="PUJ1519"/>
      <c r="PUK1519"/>
      <c r="PUL1519"/>
      <c r="PUM1519"/>
      <c r="PUN1519"/>
      <c r="PUO1519"/>
      <c r="PUP1519"/>
      <c r="PUQ1519"/>
      <c r="PUR1519"/>
      <c r="PUS1519"/>
      <c r="PUT1519"/>
      <c r="PUU1519"/>
      <c r="PUV1519"/>
      <c r="PUW1519"/>
      <c r="PUX1519"/>
      <c r="PUY1519"/>
      <c r="PUZ1519"/>
      <c r="PVA1519"/>
      <c r="PVB1519"/>
      <c r="PVC1519"/>
      <c r="PVD1519"/>
      <c r="PVE1519"/>
      <c r="PVF1519"/>
      <c r="PVG1519"/>
      <c r="PVH1519"/>
      <c r="PVI1519"/>
      <c r="PVJ1519"/>
      <c r="PVK1519"/>
      <c r="PVL1519"/>
      <c r="PVM1519"/>
      <c r="PVN1519"/>
      <c r="PVO1519"/>
      <c r="PVP1519"/>
      <c r="PVQ1519"/>
      <c r="PVR1519"/>
      <c r="PVS1519"/>
      <c r="PVT1519"/>
      <c r="PVU1519"/>
      <c r="PVV1519"/>
      <c r="PVW1519"/>
      <c r="PVX1519"/>
      <c r="PVY1519"/>
      <c r="PVZ1519"/>
      <c r="PWA1519"/>
      <c r="PWB1519"/>
      <c r="PWC1519"/>
      <c r="PWD1519"/>
      <c r="PWE1519"/>
      <c r="PWF1519"/>
      <c r="PWG1519"/>
      <c r="PWH1519"/>
      <c r="PWI1519"/>
      <c r="PWJ1519"/>
      <c r="PWK1519"/>
      <c r="PWL1519"/>
      <c r="PWM1519"/>
      <c r="PWN1519"/>
      <c r="PWO1519"/>
      <c r="PWP1519"/>
      <c r="PWQ1519"/>
      <c r="PWR1519"/>
      <c r="PWS1519"/>
      <c r="PWT1519"/>
      <c r="PWU1519"/>
      <c r="PWV1519"/>
      <c r="PWW1519"/>
      <c r="PWX1519"/>
      <c r="PWY1519"/>
      <c r="PWZ1519"/>
      <c r="PXA1519"/>
      <c r="PXB1519"/>
      <c r="PXC1519"/>
      <c r="PXD1519"/>
      <c r="PXE1519"/>
      <c r="PXF1519"/>
      <c r="PXG1519"/>
      <c r="PXH1519"/>
      <c r="PXI1519"/>
      <c r="PXJ1519"/>
      <c r="PXK1519"/>
      <c r="PXL1519"/>
      <c r="PXM1519"/>
      <c r="PXN1519"/>
      <c r="PXO1519"/>
      <c r="PXP1519"/>
      <c r="PXQ1519"/>
      <c r="PXR1519"/>
      <c r="PXS1519"/>
      <c r="PXT1519"/>
      <c r="PXU1519"/>
      <c r="PXV1519"/>
      <c r="PXW1519"/>
      <c r="PXX1519"/>
      <c r="PXY1519"/>
      <c r="PXZ1519"/>
      <c r="PYA1519"/>
      <c r="PYB1519"/>
      <c r="PYC1519"/>
      <c r="PYD1519"/>
      <c r="PYE1519"/>
      <c r="PYF1519"/>
      <c r="PYG1519"/>
      <c r="PYH1519"/>
      <c r="PYI1519"/>
      <c r="PYJ1519"/>
      <c r="PYK1519"/>
      <c r="PYL1519"/>
      <c r="PYM1519"/>
      <c r="PYN1519"/>
      <c r="PYO1519"/>
      <c r="PYP1519"/>
      <c r="PYQ1519"/>
      <c r="PYR1519"/>
      <c r="PYS1519"/>
      <c r="PYT1519"/>
      <c r="PYU1519"/>
      <c r="PYV1519"/>
      <c r="PYW1519"/>
      <c r="PYX1519"/>
      <c r="PYY1519"/>
      <c r="PYZ1519"/>
      <c r="PZA1519"/>
      <c r="PZB1519"/>
      <c r="PZC1519"/>
      <c r="PZD1519"/>
      <c r="PZE1519"/>
      <c r="PZF1519"/>
      <c r="PZG1519"/>
      <c r="PZH1519"/>
      <c r="PZI1519"/>
      <c r="PZJ1519"/>
      <c r="PZK1519"/>
      <c r="PZL1519"/>
      <c r="PZM1519"/>
      <c r="PZN1519"/>
      <c r="PZO1519"/>
      <c r="PZP1519"/>
      <c r="PZQ1519"/>
      <c r="PZR1519"/>
      <c r="PZS1519"/>
      <c r="PZT1519"/>
      <c r="PZU1519"/>
      <c r="PZV1519"/>
      <c r="PZW1519"/>
      <c r="PZX1519"/>
      <c r="PZY1519"/>
      <c r="PZZ1519"/>
      <c r="QAA1519"/>
      <c r="QAB1519"/>
      <c r="QAC1519"/>
      <c r="QAD1519"/>
      <c r="QAE1519"/>
      <c r="QAF1519"/>
      <c r="QAG1519"/>
      <c r="QAH1519"/>
      <c r="QAI1519"/>
      <c r="QAJ1519"/>
      <c r="QAK1519"/>
      <c r="QAL1519"/>
      <c r="QAM1519"/>
      <c r="QAN1519"/>
      <c r="QAO1519"/>
      <c r="QAP1519"/>
      <c r="QAQ1519"/>
      <c r="QAR1519"/>
      <c r="QAS1519"/>
      <c r="QAT1519"/>
      <c r="QAU1519"/>
      <c r="QAV1519"/>
      <c r="QAW1519"/>
      <c r="QAX1519"/>
      <c r="QAY1519"/>
      <c r="QAZ1519"/>
      <c r="QBA1519"/>
      <c r="QBB1519"/>
      <c r="QBC1519"/>
      <c r="QBD1519"/>
      <c r="QBE1519"/>
      <c r="QBF1519"/>
      <c r="QBG1519"/>
      <c r="QBH1519"/>
      <c r="QBI1519"/>
      <c r="QBJ1519"/>
      <c r="QBK1519"/>
      <c r="QBL1519"/>
      <c r="QBM1519"/>
      <c r="QBN1519"/>
      <c r="QBO1519"/>
      <c r="QBP1519"/>
      <c r="QBQ1519"/>
      <c r="QBR1519"/>
      <c r="QBS1519"/>
      <c r="QBT1519"/>
      <c r="QBU1519"/>
      <c r="QBV1519"/>
      <c r="QBW1519"/>
      <c r="QBX1519"/>
      <c r="QBY1519"/>
      <c r="QBZ1519"/>
      <c r="QCA1519"/>
      <c r="QCB1519"/>
      <c r="QCC1519"/>
      <c r="QCD1519"/>
      <c r="QCE1519"/>
      <c r="QCF1519"/>
      <c r="QCG1519"/>
      <c r="QCH1519"/>
      <c r="QCI1519"/>
      <c r="QCJ1519"/>
      <c r="QCK1519"/>
      <c r="QCL1519"/>
      <c r="QCM1519"/>
      <c r="QCN1519"/>
      <c r="QCO1519"/>
      <c r="QCP1519"/>
      <c r="QCQ1519"/>
      <c r="QCR1519"/>
      <c r="QCS1519"/>
      <c r="QCT1519"/>
      <c r="QCU1519"/>
      <c r="QCV1519"/>
      <c r="QCW1519"/>
      <c r="QCX1519"/>
      <c r="QCY1519"/>
      <c r="QCZ1519"/>
      <c r="QDA1519"/>
      <c r="QDB1519"/>
      <c r="QDC1519"/>
      <c r="QDD1519"/>
      <c r="QDE1519"/>
      <c r="QDF1519"/>
      <c r="QDG1519"/>
      <c r="QDH1519"/>
      <c r="QDI1519"/>
      <c r="QDJ1519"/>
      <c r="QDK1519"/>
      <c r="QDL1519"/>
      <c r="QDM1519"/>
      <c r="QDN1519"/>
      <c r="QDO1519"/>
      <c r="QDP1519"/>
      <c r="QDQ1519"/>
      <c r="QDR1519"/>
      <c r="QDS1519"/>
      <c r="QDT1519"/>
      <c r="QDU1519"/>
      <c r="QDV1519"/>
      <c r="QDW1519"/>
      <c r="QDX1519"/>
      <c r="QDY1519"/>
      <c r="QDZ1519"/>
      <c r="QEA1519"/>
      <c r="QEB1519"/>
      <c r="QEC1519"/>
      <c r="QED1519"/>
      <c r="QEE1519"/>
      <c r="QEF1519"/>
      <c r="QEG1519"/>
      <c r="QEH1519"/>
      <c r="QEI1519"/>
      <c r="QEJ1519"/>
      <c r="QEK1519"/>
      <c r="QEL1519"/>
      <c r="QEM1519"/>
      <c r="QEN1519"/>
      <c r="QEO1519"/>
      <c r="QEP1519"/>
      <c r="QEQ1519"/>
      <c r="QER1519"/>
      <c r="QES1519"/>
      <c r="QET1519"/>
      <c r="QEU1519"/>
      <c r="QEV1519"/>
      <c r="QEW1519"/>
      <c r="QEX1519"/>
      <c r="QEY1519"/>
      <c r="QEZ1519"/>
      <c r="QFA1519"/>
      <c r="QFB1519"/>
      <c r="QFC1519"/>
      <c r="QFD1519"/>
      <c r="QFE1519"/>
      <c r="QFF1519"/>
      <c r="QFG1519"/>
      <c r="QFH1519"/>
      <c r="QFI1519"/>
      <c r="QFJ1519"/>
      <c r="QFK1519"/>
      <c r="QFL1519"/>
      <c r="QFM1519"/>
      <c r="QFN1519"/>
      <c r="QFO1519"/>
      <c r="QFP1519"/>
      <c r="QFQ1519"/>
      <c r="QFR1519"/>
      <c r="QFS1519"/>
      <c r="QFT1519"/>
      <c r="QFU1519"/>
      <c r="QFV1519"/>
      <c r="QFW1519"/>
      <c r="QFX1519"/>
      <c r="QFY1519"/>
      <c r="QFZ1519"/>
      <c r="QGA1519"/>
      <c r="QGB1519"/>
      <c r="QGC1519"/>
      <c r="QGD1519"/>
      <c r="QGE1519"/>
      <c r="QGF1519"/>
      <c r="QGG1519"/>
      <c r="QGH1519"/>
      <c r="QGI1519"/>
      <c r="QGJ1519"/>
      <c r="QGK1519"/>
      <c r="QGL1519"/>
      <c r="QGM1519"/>
      <c r="QGN1519"/>
      <c r="QGO1519"/>
      <c r="QGP1519"/>
      <c r="QGQ1519"/>
      <c r="QGR1519"/>
      <c r="QGS1519"/>
      <c r="QGT1519"/>
      <c r="QGU1519"/>
      <c r="QGV1519"/>
      <c r="QGW1519"/>
      <c r="QGX1519"/>
      <c r="QGY1519"/>
      <c r="QGZ1519"/>
      <c r="QHA1519"/>
      <c r="QHB1519"/>
      <c r="QHC1519"/>
      <c r="QHD1519"/>
      <c r="QHE1519"/>
      <c r="QHF1519"/>
      <c r="QHG1519"/>
      <c r="QHH1519"/>
      <c r="QHI1519"/>
      <c r="QHJ1519"/>
      <c r="QHK1519"/>
      <c r="QHL1519"/>
      <c r="QHM1519"/>
      <c r="QHN1519"/>
      <c r="QHO1519"/>
      <c r="QHP1519"/>
      <c r="QHQ1519"/>
      <c r="QHR1519"/>
      <c r="QHS1519"/>
      <c r="QHT1519"/>
      <c r="QHU1519"/>
      <c r="QHV1519"/>
      <c r="QHW1519"/>
      <c r="QHX1519"/>
      <c r="QHY1519"/>
      <c r="QHZ1519"/>
      <c r="QIA1519"/>
      <c r="QIB1519"/>
      <c r="QIC1519"/>
      <c r="QID1519"/>
      <c r="QIE1519"/>
      <c r="QIF1519"/>
      <c r="QIG1519"/>
      <c r="QIH1519"/>
      <c r="QII1519"/>
      <c r="QIJ1519"/>
      <c r="QIK1519"/>
      <c r="QIL1519"/>
      <c r="QIM1519"/>
      <c r="QIN1519"/>
      <c r="QIO1519"/>
      <c r="QIP1519"/>
      <c r="QIQ1519"/>
      <c r="QIR1519"/>
      <c r="QIS1519"/>
      <c r="QIT1519"/>
      <c r="QIU1519"/>
      <c r="QIV1519"/>
      <c r="QIW1519"/>
      <c r="QIX1519"/>
      <c r="QIY1519"/>
      <c r="QIZ1519"/>
      <c r="QJA1519"/>
      <c r="QJB1519"/>
      <c r="QJC1519"/>
      <c r="QJD1519"/>
      <c r="QJE1519"/>
      <c r="QJF1519"/>
      <c r="QJG1519"/>
      <c r="QJH1519"/>
      <c r="QJI1519"/>
      <c r="QJJ1519"/>
      <c r="QJK1519"/>
      <c r="QJL1519"/>
      <c r="QJM1519"/>
      <c r="QJN1519"/>
      <c r="QJO1519"/>
      <c r="QJP1519"/>
      <c r="QJQ1519"/>
      <c r="QJR1519"/>
      <c r="QJS1519"/>
      <c r="QJT1519"/>
      <c r="QJU1519"/>
      <c r="QJV1519"/>
      <c r="QJW1519"/>
      <c r="QJX1519"/>
      <c r="QJY1519"/>
      <c r="QJZ1519"/>
      <c r="QKA1519"/>
      <c r="QKB1519"/>
      <c r="QKC1519"/>
      <c r="QKD1519"/>
      <c r="QKE1519"/>
      <c r="QKF1519"/>
      <c r="QKG1519"/>
      <c r="QKH1519"/>
      <c r="QKI1519"/>
      <c r="QKJ1519"/>
      <c r="QKK1519"/>
      <c r="QKL1519"/>
      <c r="QKM1519"/>
      <c r="QKN1519"/>
      <c r="QKO1519"/>
      <c r="QKP1519"/>
      <c r="QKQ1519"/>
      <c r="QKR1519"/>
      <c r="QKS1519"/>
      <c r="QKT1519"/>
      <c r="QKU1519"/>
      <c r="QKV1519"/>
      <c r="QKW1519"/>
      <c r="QKX1519"/>
      <c r="QKY1519"/>
      <c r="QKZ1519"/>
      <c r="QLA1519"/>
      <c r="QLB1519"/>
      <c r="QLC1519"/>
      <c r="QLD1519"/>
      <c r="QLE1519"/>
      <c r="QLF1519"/>
      <c r="QLG1519"/>
      <c r="QLH1519"/>
      <c r="QLI1519"/>
      <c r="QLJ1519"/>
      <c r="QLK1519"/>
      <c r="QLL1519"/>
      <c r="QLM1519"/>
      <c r="QLN1519"/>
      <c r="QLO1519"/>
      <c r="QLP1519"/>
      <c r="QLQ1519"/>
      <c r="QLR1519"/>
      <c r="QLS1519"/>
      <c r="QLT1519"/>
      <c r="QLU1519"/>
      <c r="QLV1519"/>
      <c r="QLW1519"/>
      <c r="QLX1519"/>
      <c r="QLY1519"/>
      <c r="QLZ1519"/>
      <c r="QMA1519"/>
      <c r="QMB1519"/>
      <c r="QMC1519"/>
      <c r="QMD1519"/>
      <c r="QME1519"/>
      <c r="QMF1519"/>
      <c r="QMG1519"/>
      <c r="QMH1519"/>
      <c r="QMI1519"/>
      <c r="QMJ1519"/>
      <c r="QMK1519"/>
      <c r="QML1519"/>
      <c r="QMM1519"/>
      <c r="QMN1519"/>
      <c r="QMO1519"/>
      <c r="QMP1519"/>
      <c r="QMQ1519"/>
      <c r="QMR1519"/>
      <c r="QMS1519"/>
      <c r="QMT1519"/>
      <c r="QMU1519"/>
      <c r="QMV1519"/>
      <c r="QMW1519"/>
      <c r="QMX1519"/>
      <c r="QMY1519"/>
      <c r="QMZ1519"/>
      <c r="QNA1519"/>
      <c r="QNB1519"/>
      <c r="QNC1519"/>
      <c r="QND1519"/>
      <c r="QNE1519"/>
      <c r="QNF1519"/>
      <c r="QNG1519"/>
      <c r="QNH1519"/>
      <c r="QNI1519"/>
      <c r="QNJ1519"/>
      <c r="QNK1519"/>
      <c r="QNL1519"/>
      <c r="QNM1519"/>
      <c r="QNN1519"/>
      <c r="QNO1519"/>
      <c r="QNP1519"/>
      <c r="QNQ1519"/>
      <c r="QNR1519"/>
      <c r="QNS1519"/>
      <c r="QNT1519"/>
      <c r="QNU1519"/>
      <c r="QNV1519"/>
      <c r="QNW1519"/>
      <c r="QNX1519"/>
      <c r="QNY1519"/>
      <c r="QNZ1519"/>
      <c r="QOA1519"/>
      <c r="QOB1519"/>
      <c r="QOC1519"/>
      <c r="QOD1519"/>
      <c r="QOE1519"/>
      <c r="QOF1519"/>
      <c r="QOG1519"/>
      <c r="QOH1519"/>
      <c r="QOI1519"/>
      <c r="QOJ1519"/>
      <c r="QOK1519"/>
      <c r="QOL1519"/>
      <c r="QOM1519"/>
      <c r="QON1519"/>
      <c r="QOO1519"/>
      <c r="QOP1519"/>
      <c r="QOQ1519"/>
      <c r="QOR1519"/>
      <c r="QOS1519"/>
      <c r="QOT1519"/>
      <c r="QOU1519"/>
      <c r="QOV1519"/>
      <c r="QOW1519"/>
      <c r="QOX1519"/>
      <c r="QOY1519"/>
      <c r="QOZ1519"/>
      <c r="QPA1519"/>
      <c r="QPB1519"/>
      <c r="QPC1519"/>
      <c r="QPD1519"/>
      <c r="QPE1519"/>
      <c r="QPF1519"/>
      <c r="QPG1519"/>
      <c r="QPH1519"/>
      <c r="QPI1519"/>
      <c r="QPJ1519"/>
      <c r="QPK1519"/>
      <c r="QPL1519"/>
      <c r="QPM1519"/>
      <c r="QPN1519"/>
      <c r="QPO1519"/>
      <c r="QPP1519"/>
      <c r="QPQ1519"/>
      <c r="QPR1519"/>
      <c r="QPS1519"/>
      <c r="QPT1519"/>
      <c r="QPU1519"/>
      <c r="QPV1519"/>
      <c r="QPW1519"/>
      <c r="QPX1519"/>
      <c r="QPY1519"/>
      <c r="QPZ1519"/>
      <c r="QQA1519"/>
      <c r="QQB1519"/>
      <c r="QQC1519"/>
      <c r="QQD1519"/>
      <c r="QQE1519"/>
      <c r="QQF1519"/>
      <c r="QQG1519"/>
      <c r="QQH1519"/>
      <c r="QQI1519"/>
      <c r="QQJ1519"/>
      <c r="QQK1519"/>
      <c r="QQL1519"/>
      <c r="QQM1519"/>
      <c r="QQN1519"/>
      <c r="QQO1519"/>
      <c r="QQP1519"/>
      <c r="QQQ1519"/>
      <c r="QQR1519"/>
      <c r="QQS1519"/>
      <c r="QQT1519"/>
      <c r="QQU1519"/>
      <c r="QQV1519"/>
      <c r="QQW1519"/>
      <c r="QQX1519"/>
      <c r="QQY1519"/>
      <c r="QQZ1519"/>
      <c r="QRA1519"/>
      <c r="QRB1519"/>
      <c r="QRC1519"/>
      <c r="QRD1519"/>
      <c r="QRE1519"/>
      <c r="QRF1519"/>
      <c r="QRG1519"/>
      <c r="QRH1519"/>
      <c r="QRI1519"/>
      <c r="QRJ1519"/>
      <c r="QRK1519"/>
      <c r="QRL1519"/>
      <c r="QRM1519"/>
      <c r="QRN1519"/>
      <c r="QRO1519"/>
      <c r="QRP1519"/>
      <c r="QRQ1519"/>
      <c r="QRR1519"/>
      <c r="QRS1519"/>
      <c r="QRT1519"/>
      <c r="QRU1519"/>
      <c r="QRV1519"/>
      <c r="QRW1519"/>
      <c r="QRX1519"/>
      <c r="QRY1519"/>
      <c r="QRZ1519"/>
      <c r="QSA1519"/>
      <c r="QSB1519"/>
      <c r="QSC1519"/>
      <c r="QSD1519"/>
      <c r="QSE1519"/>
      <c r="QSF1519"/>
      <c r="QSG1519"/>
      <c r="QSH1519"/>
      <c r="QSI1519"/>
      <c r="QSJ1519"/>
      <c r="QSK1519"/>
      <c r="QSL1519"/>
      <c r="QSM1519"/>
      <c r="QSN1519"/>
      <c r="QSO1519"/>
      <c r="QSP1519"/>
      <c r="QSQ1519"/>
      <c r="QSR1519"/>
      <c r="QSS1519"/>
      <c r="QST1519"/>
      <c r="QSU1519"/>
      <c r="QSV1519"/>
      <c r="QSW1519"/>
      <c r="QSX1519"/>
      <c r="QSY1519"/>
      <c r="QSZ1519"/>
      <c r="QTA1519"/>
      <c r="QTB1519"/>
      <c r="QTC1519"/>
      <c r="QTD1519"/>
      <c r="QTE1519"/>
      <c r="QTF1519"/>
      <c r="QTG1519"/>
      <c r="QTH1519"/>
      <c r="QTI1519"/>
      <c r="QTJ1519"/>
      <c r="QTK1519"/>
      <c r="QTL1519"/>
      <c r="QTM1519"/>
      <c r="QTN1519"/>
      <c r="QTO1519"/>
      <c r="QTP1519"/>
      <c r="QTQ1519"/>
      <c r="QTR1519"/>
      <c r="QTS1519"/>
      <c r="QTT1519"/>
      <c r="QTU1519"/>
      <c r="QTV1519"/>
      <c r="QTW1519"/>
      <c r="QTX1519"/>
      <c r="QTY1519"/>
      <c r="QTZ1519"/>
      <c r="QUA1519"/>
      <c r="QUB1519"/>
      <c r="QUC1519"/>
      <c r="QUD1519"/>
      <c r="QUE1519"/>
      <c r="QUF1519"/>
      <c r="QUG1519"/>
      <c r="QUH1519"/>
      <c r="QUI1519"/>
      <c r="QUJ1519"/>
      <c r="QUK1519"/>
      <c r="QUL1519"/>
      <c r="QUM1519"/>
      <c r="QUN1519"/>
      <c r="QUO1519"/>
      <c r="QUP1519"/>
      <c r="QUQ1519"/>
      <c r="QUR1519"/>
      <c r="QUS1519"/>
      <c r="QUT1519"/>
      <c r="QUU1519"/>
      <c r="QUV1519"/>
      <c r="QUW1519"/>
      <c r="QUX1519"/>
      <c r="QUY1519"/>
      <c r="QUZ1519"/>
      <c r="QVA1519"/>
      <c r="QVB1519"/>
      <c r="QVC1519"/>
      <c r="QVD1519"/>
      <c r="QVE1519"/>
      <c r="QVF1519"/>
      <c r="QVG1519"/>
      <c r="QVH1519"/>
      <c r="QVI1519"/>
      <c r="QVJ1519"/>
      <c r="QVK1519"/>
      <c r="QVL1519"/>
      <c r="QVM1519"/>
      <c r="QVN1519"/>
      <c r="QVO1519"/>
      <c r="QVP1519"/>
      <c r="QVQ1519"/>
      <c r="QVR1519"/>
      <c r="QVS1519"/>
      <c r="QVT1519"/>
      <c r="QVU1519"/>
      <c r="QVV1519"/>
      <c r="QVW1519"/>
      <c r="QVX1519"/>
      <c r="QVY1519"/>
      <c r="QVZ1519"/>
      <c r="QWA1519"/>
      <c r="QWB1519"/>
      <c r="QWC1519"/>
      <c r="QWD1519"/>
      <c r="QWE1519"/>
      <c r="QWF1519"/>
      <c r="QWG1519"/>
      <c r="QWH1519"/>
      <c r="QWI1519"/>
      <c r="QWJ1519"/>
      <c r="QWK1519"/>
      <c r="QWL1519"/>
      <c r="QWM1519"/>
      <c r="QWN1519"/>
      <c r="QWO1519"/>
      <c r="QWP1519"/>
      <c r="QWQ1519"/>
      <c r="QWR1519"/>
      <c r="QWS1519"/>
      <c r="QWT1519"/>
      <c r="QWU1519"/>
      <c r="QWV1519"/>
      <c r="QWW1519"/>
      <c r="QWX1519"/>
      <c r="QWY1519"/>
      <c r="QWZ1519"/>
      <c r="QXA1519"/>
      <c r="QXB1519"/>
      <c r="QXC1519"/>
      <c r="QXD1519"/>
      <c r="QXE1519"/>
      <c r="QXF1519"/>
      <c r="QXG1519"/>
      <c r="QXH1519"/>
      <c r="QXI1519"/>
      <c r="QXJ1519"/>
      <c r="QXK1519"/>
      <c r="QXL1519"/>
      <c r="QXM1519"/>
      <c r="QXN1519"/>
      <c r="QXO1519"/>
      <c r="QXP1519"/>
      <c r="QXQ1519"/>
      <c r="QXR1519"/>
      <c r="QXS1519"/>
      <c r="QXT1519"/>
      <c r="QXU1519"/>
      <c r="QXV1519"/>
      <c r="QXW1519"/>
      <c r="QXX1519"/>
      <c r="QXY1519"/>
      <c r="QXZ1519"/>
      <c r="QYA1519"/>
      <c r="QYB1519"/>
      <c r="QYC1519"/>
      <c r="QYD1519"/>
      <c r="QYE1519"/>
      <c r="QYF1519"/>
      <c r="QYG1519"/>
      <c r="QYH1519"/>
      <c r="QYI1519"/>
      <c r="QYJ1519"/>
      <c r="QYK1519"/>
      <c r="QYL1519"/>
      <c r="QYM1519"/>
      <c r="QYN1519"/>
      <c r="QYO1519"/>
      <c r="QYP1519"/>
      <c r="QYQ1519"/>
      <c r="QYR1519"/>
      <c r="QYS1519"/>
      <c r="QYT1519"/>
      <c r="QYU1519"/>
      <c r="QYV1519"/>
      <c r="QYW1519"/>
      <c r="QYX1519"/>
      <c r="QYY1519"/>
      <c r="QYZ1519"/>
      <c r="QZA1519"/>
      <c r="QZB1519"/>
      <c r="QZC1519"/>
      <c r="QZD1519"/>
      <c r="QZE1519"/>
      <c r="QZF1519"/>
      <c r="QZG1519"/>
      <c r="QZH1519"/>
      <c r="QZI1519"/>
      <c r="QZJ1519"/>
      <c r="QZK1519"/>
      <c r="QZL1519"/>
      <c r="QZM1519"/>
      <c r="QZN1519"/>
      <c r="QZO1519"/>
      <c r="QZP1519"/>
      <c r="QZQ1519"/>
      <c r="QZR1519"/>
      <c r="QZS1519"/>
      <c r="QZT1519"/>
      <c r="QZU1519"/>
      <c r="QZV1519"/>
      <c r="QZW1519"/>
      <c r="QZX1519"/>
      <c r="QZY1519"/>
      <c r="QZZ1519"/>
      <c r="RAA1519"/>
      <c r="RAB1519"/>
      <c r="RAC1519"/>
      <c r="RAD1519"/>
      <c r="RAE1519"/>
      <c r="RAF1519"/>
      <c r="RAG1519"/>
      <c r="RAH1519"/>
      <c r="RAI1519"/>
      <c r="RAJ1519"/>
      <c r="RAK1519"/>
      <c r="RAL1519"/>
      <c r="RAM1519"/>
      <c r="RAN1519"/>
      <c r="RAO1519"/>
      <c r="RAP1519"/>
      <c r="RAQ1519"/>
      <c r="RAR1519"/>
      <c r="RAS1519"/>
      <c r="RAT1519"/>
      <c r="RAU1519"/>
      <c r="RAV1519"/>
      <c r="RAW1519"/>
      <c r="RAX1519"/>
      <c r="RAY1519"/>
      <c r="RAZ1519"/>
      <c r="RBA1519"/>
      <c r="RBB1519"/>
      <c r="RBC1519"/>
      <c r="RBD1519"/>
      <c r="RBE1519"/>
      <c r="RBF1519"/>
      <c r="RBG1519"/>
      <c r="RBH1519"/>
      <c r="RBI1519"/>
      <c r="RBJ1519"/>
      <c r="RBK1519"/>
      <c r="RBL1519"/>
      <c r="RBM1519"/>
      <c r="RBN1519"/>
      <c r="RBO1519"/>
      <c r="RBP1519"/>
      <c r="RBQ1519"/>
      <c r="RBR1519"/>
      <c r="RBS1519"/>
      <c r="RBT1519"/>
      <c r="RBU1519"/>
      <c r="RBV1519"/>
      <c r="RBW1519"/>
      <c r="RBX1519"/>
      <c r="RBY1519"/>
      <c r="RBZ1519"/>
      <c r="RCA1519"/>
      <c r="RCB1519"/>
      <c r="RCC1519"/>
      <c r="RCD1519"/>
      <c r="RCE1519"/>
      <c r="RCF1519"/>
      <c r="RCG1519"/>
      <c r="RCH1519"/>
      <c r="RCI1519"/>
      <c r="RCJ1519"/>
      <c r="RCK1519"/>
      <c r="RCL1519"/>
      <c r="RCM1519"/>
      <c r="RCN1519"/>
      <c r="RCO1519"/>
      <c r="RCP1519"/>
      <c r="RCQ1519"/>
      <c r="RCR1519"/>
      <c r="RCS1519"/>
      <c r="RCT1519"/>
      <c r="RCU1519"/>
      <c r="RCV1519"/>
      <c r="RCW1519"/>
      <c r="RCX1519"/>
      <c r="RCY1519"/>
      <c r="RCZ1519"/>
      <c r="RDA1519"/>
      <c r="RDB1519"/>
      <c r="RDC1519"/>
      <c r="RDD1519"/>
      <c r="RDE1519"/>
      <c r="RDF1519"/>
      <c r="RDG1519"/>
      <c r="RDH1519"/>
      <c r="RDI1519"/>
      <c r="RDJ1519"/>
      <c r="RDK1519"/>
      <c r="RDL1519"/>
      <c r="RDM1519"/>
      <c r="RDN1519"/>
      <c r="RDO1519"/>
      <c r="RDP1519"/>
      <c r="RDQ1519"/>
      <c r="RDR1519"/>
      <c r="RDS1519"/>
      <c r="RDT1519"/>
      <c r="RDU1519"/>
      <c r="RDV1519"/>
      <c r="RDW1519"/>
      <c r="RDX1519"/>
      <c r="RDY1519"/>
      <c r="RDZ1519"/>
      <c r="REA1519"/>
      <c r="REB1519"/>
      <c r="REC1519"/>
      <c r="RED1519"/>
      <c r="REE1519"/>
      <c r="REF1519"/>
      <c r="REG1519"/>
      <c r="REH1519"/>
      <c r="REI1519"/>
      <c r="REJ1519"/>
      <c r="REK1519"/>
      <c r="REL1519"/>
      <c r="REM1519"/>
      <c r="REN1519"/>
      <c r="REO1519"/>
      <c r="REP1519"/>
      <c r="REQ1519"/>
      <c r="RER1519"/>
      <c r="RES1519"/>
      <c r="RET1519"/>
      <c r="REU1519"/>
      <c r="REV1519"/>
      <c r="REW1519"/>
      <c r="REX1519"/>
      <c r="REY1519"/>
      <c r="REZ1519"/>
      <c r="RFA1519"/>
      <c r="RFB1519"/>
      <c r="RFC1519"/>
      <c r="RFD1519"/>
      <c r="RFE1519"/>
      <c r="RFF1519"/>
      <c r="RFG1519"/>
      <c r="RFH1519"/>
      <c r="RFI1519"/>
      <c r="RFJ1519"/>
      <c r="RFK1519"/>
      <c r="RFL1519"/>
      <c r="RFM1519"/>
      <c r="RFN1519"/>
      <c r="RFO1519"/>
      <c r="RFP1519"/>
      <c r="RFQ1519"/>
      <c r="RFR1519"/>
      <c r="RFS1519"/>
      <c r="RFT1519"/>
      <c r="RFU1519"/>
      <c r="RFV1519"/>
      <c r="RFW1519"/>
      <c r="RFX1519"/>
      <c r="RFY1519"/>
      <c r="RFZ1519"/>
      <c r="RGA1519"/>
      <c r="RGB1519"/>
      <c r="RGC1519"/>
      <c r="RGD1519"/>
      <c r="RGE1519"/>
      <c r="RGF1519"/>
      <c r="RGG1519"/>
      <c r="RGH1519"/>
      <c r="RGI1519"/>
      <c r="RGJ1519"/>
      <c r="RGK1519"/>
      <c r="RGL1519"/>
      <c r="RGM1519"/>
      <c r="RGN1519"/>
      <c r="RGO1519"/>
      <c r="RGP1519"/>
      <c r="RGQ1519"/>
      <c r="RGR1519"/>
      <c r="RGS1519"/>
      <c r="RGT1519"/>
      <c r="RGU1519"/>
      <c r="RGV1519"/>
      <c r="RGW1519"/>
      <c r="RGX1519"/>
      <c r="RGY1519"/>
      <c r="RGZ1519"/>
      <c r="RHA1519"/>
      <c r="RHB1519"/>
      <c r="RHC1519"/>
      <c r="RHD1519"/>
      <c r="RHE1519"/>
      <c r="RHF1519"/>
      <c r="RHG1519"/>
      <c r="RHH1519"/>
      <c r="RHI1519"/>
      <c r="RHJ1519"/>
      <c r="RHK1519"/>
      <c r="RHL1519"/>
      <c r="RHM1519"/>
      <c r="RHN1519"/>
      <c r="RHO1519"/>
      <c r="RHP1519"/>
      <c r="RHQ1519"/>
      <c r="RHR1519"/>
      <c r="RHS1519"/>
      <c r="RHT1519"/>
      <c r="RHU1519"/>
      <c r="RHV1519"/>
      <c r="RHW1519"/>
      <c r="RHX1519"/>
      <c r="RHY1519"/>
      <c r="RHZ1519"/>
      <c r="RIA1519"/>
      <c r="RIB1519"/>
      <c r="RIC1519"/>
      <c r="RID1519"/>
      <c r="RIE1519"/>
      <c r="RIF1519"/>
      <c r="RIG1519"/>
      <c r="RIH1519"/>
      <c r="RII1519"/>
      <c r="RIJ1519"/>
      <c r="RIK1519"/>
      <c r="RIL1519"/>
      <c r="RIM1519"/>
      <c r="RIN1519"/>
      <c r="RIO1519"/>
      <c r="RIP1519"/>
      <c r="RIQ1519"/>
      <c r="RIR1519"/>
      <c r="RIS1519"/>
      <c r="RIT1519"/>
      <c r="RIU1519"/>
      <c r="RIV1519"/>
      <c r="RIW1519"/>
      <c r="RIX1519"/>
      <c r="RIY1519"/>
      <c r="RIZ1519"/>
      <c r="RJA1519"/>
      <c r="RJB1519"/>
      <c r="RJC1519"/>
      <c r="RJD1519"/>
      <c r="RJE1519"/>
      <c r="RJF1519"/>
      <c r="RJG1519"/>
      <c r="RJH1519"/>
      <c r="RJI1519"/>
      <c r="RJJ1519"/>
      <c r="RJK1519"/>
      <c r="RJL1519"/>
      <c r="RJM1519"/>
      <c r="RJN1519"/>
      <c r="RJO1519"/>
      <c r="RJP1519"/>
      <c r="RJQ1519"/>
      <c r="RJR1519"/>
      <c r="RJS1519"/>
      <c r="RJT1519"/>
      <c r="RJU1519"/>
      <c r="RJV1519"/>
      <c r="RJW1519"/>
      <c r="RJX1519"/>
      <c r="RJY1519"/>
      <c r="RJZ1519"/>
      <c r="RKA1519"/>
      <c r="RKB1519"/>
      <c r="RKC1519"/>
      <c r="RKD1519"/>
      <c r="RKE1519"/>
      <c r="RKF1519"/>
      <c r="RKG1519"/>
      <c r="RKH1519"/>
      <c r="RKI1519"/>
      <c r="RKJ1519"/>
      <c r="RKK1519"/>
      <c r="RKL1519"/>
      <c r="RKM1519"/>
      <c r="RKN1519"/>
      <c r="RKO1519"/>
      <c r="RKP1519"/>
      <c r="RKQ1519"/>
      <c r="RKR1519"/>
      <c r="RKS1519"/>
      <c r="RKT1519"/>
      <c r="RKU1519"/>
      <c r="RKV1519"/>
      <c r="RKW1519"/>
      <c r="RKX1519"/>
      <c r="RKY1519"/>
      <c r="RKZ1519"/>
      <c r="RLA1519"/>
      <c r="RLB1519"/>
      <c r="RLC1519"/>
      <c r="RLD1519"/>
      <c r="RLE1519"/>
      <c r="RLF1519"/>
      <c r="RLG1519"/>
      <c r="RLH1519"/>
      <c r="RLI1519"/>
      <c r="RLJ1519"/>
      <c r="RLK1519"/>
      <c r="RLL1519"/>
      <c r="RLM1519"/>
      <c r="RLN1519"/>
      <c r="RLO1519"/>
      <c r="RLP1519"/>
      <c r="RLQ1519"/>
      <c r="RLR1519"/>
      <c r="RLS1519"/>
      <c r="RLT1519"/>
      <c r="RLU1519"/>
      <c r="RLV1519"/>
      <c r="RLW1519"/>
      <c r="RLX1519"/>
      <c r="RLY1519"/>
      <c r="RLZ1519"/>
      <c r="RMA1519"/>
      <c r="RMB1519"/>
      <c r="RMC1519"/>
      <c r="RMD1519"/>
      <c r="RME1519"/>
      <c r="RMF1519"/>
      <c r="RMG1519"/>
      <c r="RMH1519"/>
      <c r="RMI1519"/>
      <c r="RMJ1519"/>
      <c r="RMK1519"/>
      <c r="RML1519"/>
      <c r="RMM1519"/>
      <c r="RMN1519"/>
      <c r="RMO1519"/>
      <c r="RMP1519"/>
      <c r="RMQ1519"/>
      <c r="RMR1519"/>
      <c r="RMS1519"/>
      <c r="RMT1519"/>
      <c r="RMU1519"/>
      <c r="RMV1519"/>
      <c r="RMW1519"/>
      <c r="RMX1519"/>
      <c r="RMY1519"/>
      <c r="RMZ1519"/>
      <c r="RNA1519"/>
      <c r="RNB1519"/>
      <c r="RNC1519"/>
      <c r="RND1519"/>
      <c r="RNE1519"/>
      <c r="RNF1519"/>
      <c r="RNG1519"/>
      <c r="RNH1519"/>
      <c r="RNI1519"/>
      <c r="RNJ1519"/>
      <c r="RNK1519"/>
      <c r="RNL1519"/>
      <c r="RNM1519"/>
      <c r="RNN1519"/>
      <c r="RNO1519"/>
      <c r="RNP1519"/>
      <c r="RNQ1519"/>
      <c r="RNR1519"/>
      <c r="RNS1519"/>
      <c r="RNT1519"/>
      <c r="RNU1519"/>
      <c r="RNV1519"/>
      <c r="RNW1519"/>
      <c r="RNX1519"/>
      <c r="RNY1519"/>
      <c r="RNZ1519"/>
      <c r="ROA1519"/>
      <c r="ROB1519"/>
      <c r="ROC1519"/>
      <c r="ROD1519"/>
      <c r="ROE1519"/>
      <c r="ROF1519"/>
      <c r="ROG1519"/>
      <c r="ROH1519"/>
      <c r="ROI1519"/>
      <c r="ROJ1519"/>
      <c r="ROK1519"/>
      <c r="ROL1519"/>
      <c r="ROM1519"/>
      <c r="RON1519"/>
      <c r="ROO1519"/>
      <c r="ROP1519"/>
      <c r="ROQ1519"/>
      <c r="ROR1519"/>
      <c r="ROS1519"/>
      <c r="ROT1519"/>
      <c r="ROU1519"/>
      <c r="ROV1519"/>
      <c r="ROW1519"/>
      <c r="ROX1519"/>
      <c r="ROY1519"/>
      <c r="ROZ1519"/>
      <c r="RPA1519"/>
      <c r="RPB1519"/>
      <c r="RPC1519"/>
      <c r="RPD1519"/>
      <c r="RPE1519"/>
      <c r="RPF1519"/>
      <c r="RPG1519"/>
      <c r="RPH1519"/>
      <c r="RPI1519"/>
      <c r="RPJ1519"/>
      <c r="RPK1519"/>
      <c r="RPL1519"/>
      <c r="RPM1519"/>
      <c r="RPN1519"/>
      <c r="RPO1519"/>
      <c r="RPP1519"/>
      <c r="RPQ1519"/>
      <c r="RPR1519"/>
      <c r="RPS1519"/>
      <c r="RPT1519"/>
      <c r="RPU1519"/>
      <c r="RPV1519"/>
      <c r="RPW1519"/>
      <c r="RPX1519"/>
      <c r="RPY1519"/>
      <c r="RPZ1519"/>
      <c r="RQA1519"/>
      <c r="RQB1519"/>
      <c r="RQC1519"/>
      <c r="RQD1519"/>
      <c r="RQE1519"/>
      <c r="RQF1519"/>
      <c r="RQG1519"/>
      <c r="RQH1519"/>
      <c r="RQI1519"/>
      <c r="RQJ1519"/>
      <c r="RQK1519"/>
      <c r="RQL1519"/>
      <c r="RQM1519"/>
      <c r="RQN1519"/>
      <c r="RQO1519"/>
      <c r="RQP1519"/>
      <c r="RQQ1519"/>
      <c r="RQR1519"/>
      <c r="RQS1519"/>
      <c r="RQT1519"/>
      <c r="RQU1519"/>
      <c r="RQV1519"/>
      <c r="RQW1519"/>
      <c r="RQX1519"/>
      <c r="RQY1519"/>
      <c r="RQZ1519"/>
      <c r="RRA1519"/>
      <c r="RRB1519"/>
      <c r="RRC1519"/>
      <c r="RRD1519"/>
      <c r="RRE1519"/>
      <c r="RRF1519"/>
      <c r="RRG1519"/>
      <c r="RRH1519"/>
      <c r="RRI1519"/>
      <c r="RRJ1519"/>
      <c r="RRK1519"/>
      <c r="RRL1519"/>
      <c r="RRM1519"/>
      <c r="RRN1519"/>
      <c r="RRO1519"/>
      <c r="RRP1519"/>
      <c r="RRQ1519"/>
      <c r="RRR1519"/>
      <c r="RRS1519"/>
      <c r="RRT1519"/>
      <c r="RRU1519"/>
      <c r="RRV1519"/>
      <c r="RRW1519"/>
      <c r="RRX1519"/>
      <c r="RRY1519"/>
      <c r="RRZ1519"/>
      <c r="RSA1519"/>
      <c r="RSB1519"/>
      <c r="RSC1519"/>
      <c r="RSD1519"/>
      <c r="RSE1519"/>
      <c r="RSF1519"/>
      <c r="RSG1519"/>
      <c r="RSH1519"/>
      <c r="RSI1519"/>
      <c r="RSJ1519"/>
      <c r="RSK1519"/>
      <c r="RSL1519"/>
      <c r="RSM1519"/>
      <c r="RSN1519"/>
      <c r="RSO1519"/>
      <c r="RSP1519"/>
      <c r="RSQ1519"/>
      <c r="RSR1519"/>
      <c r="RSS1519"/>
      <c r="RST1519"/>
      <c r="RSU1519"/>
      <c r="RSV1519"/>
      <c r="RSW1519"/>
      <c r="RSX1519"/>
      <c r="RSY1519"/>
      <c r="RSZ1519"/>
      <c r="RTA1519"/>
      <c r="RTB1519"/>
      <c r="RTC1519"/>
      <c r="RTD1519"/>
      <c r="RTE1519"/>
      <c r="RTF1519"/>
      <c r="RTG1519"/>
      <c r="RTH1519"/>
      <c r="RTI1519"/>
      <c r="RTJ1519"/>
      <c r="RTK1519"/>
      <c r="RTL1519"/>
      <c r="RTM1519"/>
      <c r="RTN1519"/>
      <c r="RTO1519"/>
      <c r="RTP1519"/>
      <c r="RTQ1519"/>
      <c r="RTR1519"/>
      <c r="RTS1519"/>
      <c r="RTT1519"/>
      <c r="RTU1519"/>
      <c r="RTV1519"/>
      <c r="RTW1519"/>
      <c r="RTX1519"/>
      <c r="RTY1519"/>
      <c r="RTZ1519"/>
      <c r="RUA1519"/>
      <c r="RUB1519"/>
      <c r="RUC1519"/>
      <c r="RUD1519"/>
      <c r="RUE1519"/>
      <c r="RUF1519"/>
      <c r="RUG1519"/>
      <c r="RUH1519"/>
      <c r="RUI1519"/>
      <c r="RUJ1519"/>
      <c r="RUK1519"/>
      <c r="RUL1519"/>
      <c r="RUM1519"/>
      <c r="RUN1519"/>
      <c r="RUO1519"/>
      <c r="RUP1519"/>
      <c r="RUQ1519"/>
      <c r="RUR1519"/>
      <c r="RUS1519"/>
      <c r="RUT1519"/>
      <c r="RUU1519"/>
      <c r="RUV1519"/>
      <c r="RUW1519"/>
      <c r="RUX1519"/>
      <c r="RUY1519"/>
      <c r="RUZ1519"/>
      <c r="RVA1519"/>
      <c r="RVB1519"/>
      <c r="RVC1519"/>
      <c r="RVD1519"/>
      <c r="RVE1519"/>
      <c r="RVF1519"/>
      <c r="RVG1519"/>
      <c r="RVH1519"/>
      <c r="RVI1519"/>
      <c r="RVJ1519"/>
      <c r="RVK1519"/>
      <c r="RVL1519"/>
      <c r="RVM1519"/>
      <c r="RVN1519"/>
      <c r="RVO1519"/>
      <c r="RVP1519"/>
      <c r="RVQ1519"/>
      <c r="RVR1519"/>
      <c r="RVS1519"/>
      <c r="RVT1519"/>
      <c r="RVU1519"/>
      <c r="RVV1519"/>
      <c r="RVW1519"/>
      <c r="RVX1519"/>
      <c r="RVY1519"/>
      <c r="RVZ1519"/>
      <c r="RWA1519"/>
      <c r="RWB1519"/>
      <c r="RWC1519"/>
      <c r="RWD1519"/>
      <c r="RWE1519"/>
      <c r="RWF1519"/>
      <c r="RWG1519"/>
      <c r="RWH1519"/>
      <c r="RWI1519"/>
      <c r="RWJ1519"/>
      <c r="RWK1519"/>
      <c r="RWL1519"/>
      <c r="RWM1519"/>
      <c r="RWN1519"/>
      <c r="RWO1519"/>
      <c r="RWP1519"/>
      <c r="RWQ1519"/>
      <c r="RWR1519"/>
      <c r="RWS1519"/>
      <c r="RWT1519"/>
      <c r="RWU1519"/>
      <c r="RWV1519"/>
      <c r="RWW1519"/>
      <c r="RWX1519"/>
      <c r="RWY1519"/>
      <c r="RWZ1519"/>
      <c r="RXA1519"/>
      <c r="RXB1519"/>
      <c r="RXC1519"/>
      <c r="RXD1519"/>
      <c r="RXE1519"/>
      <c r="RXF1519"/>
      <c r="RXG1519"/>
      <c r="RXH1519"/>
      <c r="RXI1519"/>
      <c r="RXJ1519"/>
      <c r="RXK1519"/>
      <c r="RXL1519"/>
      <c r="RXM1519"/>
      <c r="RXN1519"/>
      <c r="RXO1519"/>
      <c r="RXP1519"/>
      <c r="RXQ1519"/>
      <c r="RXR1519"/>
      <c r="RXS1519"/>
      <c r="RXT1519"/>
      <c r="RXU1519"/>
      <c r="RXV1519"/>
      <c r="RXW1519"/>
      <c r="RXX1519"/>
      <c r="RXY1519"/>
      <c r="RXZ1519"/>
      <c r="RYA1519"/>
      <c r="RYB1519"/>
      <c r="RYC1519"/>
      <c r="RYD1519"/>
      <c r="RYE1519"/>
      <c r="RYF1519"/>
      <c r="RYG1519"/>
      <c r="RYH1519"/>
      <c r="RYI1519"/>
      <c r="RYJ1519"/>
      <c r="RYK1519"/>
      <c r="RYL1519"/>
      <c r="RYM1519"/>
      <c r="RYN1519"/>
      <c r="RYO1519"/>
      <c r="RYP1519"/>
      <c r="RYQ1519"/>
      <c r="RYR1519"/>
      <c r="RYS1519"/>
      <c r="RYT1519"/>
      <c r="RYU1519"/>
      <c r="RYV1519"/>
      <c r="RYW1519"/>
      <c r="RYX1519"/>
      <c r="RYY1519"/>
      <c r="RYZ1519"/>
      <c r="RZA1519"/>
      <c r="RZB1519"/>
      <c r="RZC1519"/>
      <c r="RZD1519"/>
      <c r="RZE1519"/>
      <c r="RZF1519"/>
      <c r="RZG1519"/>
      <c r="RZH1519"/>
      <c r="RZI1519"/>
      <c r="RZJ1519"/>
      <c r="RZK1519"/>
      <c r="RZL1519"/>
      <c r="RZM1519"/>
      <c r="RZN1519"/>
      <c r="RZO1519"/>
      <c r="RZP1519"/>
      <c r="RZQ1519"/>
      <c r="RZR1519"/>
      <c r="RZS1519"/>
      <c r="RZT1519"/>
      <c r="RZU1519"/>
      <c r="RZV1519"/>
      <c r="RZW1519"/>
      <c r="RZX1519"/>
      <c r="RZY1519"/>
      <c r="RZZ1519"/>
      <c r="SAA1519"/>
      <c r="SAB1519"/>
      <c r="SAC1519"/>
      <c r="SAD1519"/>
      <c r="SAE1519"/>
      <c r="SAF1519"/>
      <c r="SAG1519"/>
      <c r="SAH1519"/>
      <c r="SAI1519"/>
      <c r="SAJ1519"/>
      <c r="SAK1519"/>
      <c r="SAL1519"/>
      <c r="SAM1519"/>
      <c r="SAN1519"/>
      <c r="SAO1519"/>
      <c r="SAP1519"/>
      <c r="SAQ1519"/>
      <c r="SAR1519"/>
      <c r="SAS1519"/>
      <c r="SAT1519"/>
      <c r="SAU1519"/>
      <c r="SAV1519"/>
      <c r="SAW1519"/>
      <c r="SAX1519"/>
      <c r="SAY1519"/>
      <c r="SAZ1519"/>
      <c r="SBA1519"/>
      <c r="SBB1519"/>
      <c r="SBC1519"/>
      <c r="SBD1519"/>
      <c r="SBE1519"/>
      <c r="SBF1519"/>
      <c r="SBG1519"/>
      <c r="SBH1519"/>
      <c r="SBI1519"/>
      <c r="SBJ1519"/>
      <c r="SBK1519"/>
      <c r="SBL1519"/>
      <c r="SBM1519"/>
      <c r="SBN1519"/>
      <c r="SBO1519"/>
      <c r="SBP1519"/>
      <c r="SBQ1519"/>
      <c r="SBR1519"/>
      <c r="SBS1519"/>
      <c r="SBT1519"/>
      <c r="SBU1519"/>
      <c r="SBV1519"/>
      <c r="SBW1519"/>
      <c r="SBX1519"/>
      <c r="SBY1519"/>
      <c r="SBZ1519"/>
      <c r="SCA1519"/>
      <c r="SCB1519"/>
      <c r="SCC1519"/>
      <c r="SCD1519"/>
      <c r="SCE1519"/>
      <c r="SCF1519"/>
      <c r="SCG1519"/>
      <c r="SCH1519"/>
      <c r="SCI1519"/>
      <c r="SCJ1519"/>
      <c r="SCK1519"/>
      <c r="SCL1519"/>
      <c r="SCM1519"/>
      <c r="SCN1519"/>
      <c r="SCO1519"/>
      <c r="SCP1519"/>
      <c r="SCQ1519"/>
      <c r="SCR1519"/>
      <c r="SCS1519"/>
      <c r="SCT1519"/>
      <c r="SCU1519"/>
      <c r="SCV1519"/>
      <c r="SCW1519"/>
      <c r="SCX1519"/>
      <c r="SCY1519"/>
      <c r="SCZ1519"/>
      <c r="SDA1519"/>
      <c r="SDB1519"/>
      <c r="SDC1519"/>
      <c r="SDD1519"/>
      <c r="SDE1519"/>
      <c r="SDF1519"/>
      <c r="SDG1519"/>
      <c r="SDH1519"/>
      <c r="SDI1519"/>
      <c r="SDJ1519"/>
      <c r="SDK1519"/>
      <c r="SDL1519"/>
      <c r="SDM1519"/>
      <c r="SDN1519"/>
      <c r="SDO1519"/>
      <c r="SDP1519"/>
      <c r="SDQ1519"/>
      <c r="SDR1519"/>
      <c r="SDS1519"/>
      <c r="SDT1519"/>
      <c r="SDU1519"/>
      <c r="SDV1519"/>
      <c r="SDW1519"/>
      <c r="SDX1519"/>
      <c r="SDY1519"/>
      <c r="SDZ1519"/>
      <c r="SEA1519"/>
      <c r="SEB1519"/>
      <c r="SEC1519"/>
      <c r="SED1519"/>
      <c r="SEE1519"/>
      <c r="SEF1519"/>
      <c r="SEG1519"/>
      <c r="SEH1519"/>
      <c r="SEI1519"/>
      <c r="SEJ1519"/>
      <c r="SEK1519"/>
      <c r="SEL1519"/>
      <c r="SEM1519"/>
      <c r="SEN1519"/>
      <c r="SEO1519"/>
      <c r="SEP1519"/>
      <c r="SEQ1519"/>
      <c r="SER1519"/>
      <c r="SES1519"/>
      <c r="SET1519"/>
      <c r="SEU1519"/>
      <c r="SEV1519"/>
      <c r="SEW1519"/>
      <c r="SEX1519"/>
      <c r="SEY1519"/>
      <c r="SEZ1519"/>
      <c r="SFA1519"/>
      <c r="SFB1519"/>
      <c r="SFC1519"/>
      <c r="SFD1519"/>
      <c r="SFE1519"/>
      <c r="SFF1519"/>
      <c r="SFG1519"/>
      <c r="SFH1519"/>
      <c r="SFI1519"/>
      <c r="SFJ1519"/>
      <c r="SFK1519"/>
      <c r="SFL1519"/>
      <c r="SFM1519"/>
      <c r="SFN1519"/>
      <c r="SFO1519"/>
      <c r="SFP1519"/>
      <c r="SFQ1519"/>
      <c r="SFR1519"/>
      <c r="SFS1519"/>
      <c r="SFT1519"/>
      <c r="SFU1519"/>
      <c r="SFV1519"/>
      <c r="SFW1519"/>
      <c r="SFX1519"/>
      <c r="SFY1519"/>
      <c r="SFZ1519"/>
      <c r="SGA1519"/>
      <c r="SGB1519"/>
      <c r="SGC1519"/>
      <c r="SGD1519"/>
      <c r="SGE1519"/>
      <c r="SGF1519"/>
      <c r="SGG1519"/>
      <c r="SGH1519"/>
      <c r="SGI1519"/>
      <c r="SGJ1519"/>
      <c r="SGK1519"/>
      <c r="SGL1519"/>
      <c r="SGM1519"/>
      <c r="SGN1519"/>
      <c r="SGO1519"/>
      <c r="SGP1519"/>
      <c r="SGQ1519"/>
      <c r="SGR1519"/>
      <c r="SGS1519"/>
      <c r="SGT1519"/>
      <c r="SGU1519"/>
      <c r="SGV1519"/>
      <c r="SGW1519"/>
      <c r="SGX1519"/>
      <c r="SGY1519"/>
      <c r="SGZ1519"/>
      <c r="SHA1519"/>
      <c r="SHB1519"/>
      <c r="SHC1519"/>
      <c r="SHD1519"/>
      <c r="SHE1519"/>
      <c r="SHF1519"/>
      <c r="SHG1519"/>
      <c r="SHH1519"/>
      <c r="SHI1519"/>
      <c r="SHJ1519"/>
      <c r="SHK1519"/>
      <c r="SHL1519"/>
      <c r="SHM1519"/>
      <c r="SHN1519"/>
      <c r="SHO1519"/>
      <c r="SHP1519"/>
      <c r="SHQ1519"/>
      <c r="SHR1519"/>
      <c r="SHS1519"/>
      <c r="SHT1519"/>
      <c r="SHU1519"/>
      <c r="SHV1519"/>
      <c r="SHW1519"/>
      <c r="SHX1519"/>
      <c r="SHY1519"/>
      <c r="SHZ1519"/>
      <c r="SIA1519"/>
      <c r="SIB1519"/>
      <c r="SIC1519"/>
      <c r="SID1519"/>
      <c r="SIE1519"/>
      <c r="SIF1519"/>
      <c r="SIG1519"/>
      <c r="SIH1519"/>
      <c r="SII1519"/>
      <c r="SIJ1519"/>
      <c r="SIK1519"/>
      <c r="SIL1519"/>
      <c r="SIM1519"/>
      <c r="SIN1519"/>
      <c r="SIO1519"/>
      <c r="SIP1519"/>
      <c r="SIQ1519"/>
      <c r="SIR1519"/>
      <c r="SIS1519"/>
      <c r="SIT1519"/>
      <c r="SIU1519"/>
      <c r="SIV1519"/>
      <c r="SIW1519"/>
      <c r="SIX1519"/>
      <c r="SIY1519"/>
      <c r="SIZ1519"/>
      <c r="SJA1519"/>
      <c r="SJB1519"/>
      <c r="SJC1519"/>
      <c r="SJD1519"/>
      <c r="SJE1519"/>
      <c r="SJF1519"/>
      <c r="SJG1519"/>
      <c r="SJH1519"/>
      <c r="SJI1519"/>
      <c r="SJJ1519"/>
      <c r="SJK1519"/>
      <c r="SJL1519"/>
      <c r="SJM1519"/>
      <c r="SJN1519"/>
      <c r="SJO1519"/>
      <c r="SJP1519"/>
      <c r="SJQ1519"/>
      <c r="SJR1519"/>
      <c r="SJS1519"/>
      <c r="SJT1519"/>
      <c r="SJU1519"/>
      <c r="SJV1519"/>
      <c r="SJW1519"/>
      <c r="SJX1519"/>
      <c r="SJY1519"/>
      <c r="SJZ1519"/>
      <c r="SKA1519"/>
      <c r="SKB1519"/>
      <c r="SKC1519"/>
      <c r="SKD1519"/>
      <c r="SKE1519"/>
      <c r="SKF1519"/>
      <c r="SKG1519"/>
      <c r="SKH1519"/>
      <c r="SKI1519"/>
      <c r="SKJ1519"/>
      <c r="SKK1519"/>
      <c r="SKL1519"/>
      <c r="SKM1519"/>
      <c r="SKN1519"/>
      <c r="SKO1519"/>
      <c r="SKP1519"/>
      <c r="SKQ1519"/>
      <c r="SKR1519"/>
      <c r="SKS1519"/>
      <c r="SKT1519"/>
      <c r="SKU1519"/>
      <c r="SKV1519"/>
      <c r="SKW1519"/>
      <c r="SKX1519"/>
      <c r="SKY1519"/>
      <c r="SKZ1519"/>
      <c r="SLA1519"/>
      <c r="SLB1519"/>
      <c r="SLC1519"/>
      <c r="SLD1519"/>
      <c r="SLE1519"/>
      <c r="SLF1519"/>
      <c r="SLG1519"/>
      <c r="SLH1519"/>
      <c r="SLI1519"/>
      <c r="SLJ1519"/>
      <c r="SLK1519"/>
      <c r="SLL1519"/>
      <c r="SLM1519"/>
      <c r="SLN1519"/>
      <c r="SLO1519"/>
      <c r="SLP1519"/>
      <c r="SLQ1519"/>
      <c r="SLR1519"/>
      <c r="SLS1519"/>
      <c r="SLT1519"/>
      <c r="SLU1519"/>
      <c r="SLV1519"/>
      <c r="SLW1519"/>
      <c r="SLX1519"/>
      <c r="SLY1519"/>
      <c r="SLZ1519"/>
      <c r="SMA1519"/>
      <c r="SMB1519"/>
      <c r="SMC1519"/>
      <c r="SMD1519"/>
      <c r="SME1519"/>
      <c r="SMF1519"/>
      <c r="SMG1519"/>
      <c r="SMH1519"/>
      <c r="SMI1519"/>
      <c r="SMJ1519"/>
      <c r="SMK1519"/>
      <c r="SML1519"/>
      <c r="SMM1519"/>
      <c r="SMN1519"/>
      <c r="SMO1519"/>
      <c r="SMP1519"/>
      <c r="SMQ1519"/>
      <c r="SMR1519"/>
      <c r="SMS1519"/>
      <c r="SMT1519"/>
      <c r="SMU1519"/>
      <c r="SMV1519"/>
      <c r="SMW1519"/>
      <c r="SMX1519"/>
      <c r="SMY1519"/>
      <c r="SMZ1519"/>
      <c r="SNA1519"/>
      <c r="SNB1519"/>
      <c r="SNC1519"/>
      <c r="SND1519"/>
      <c r="SNE1519"/>
      <c r="SNF1519"/>
      <c r="SNG1519"/>
      <c r="SNH1519"/>
      <c r="SNI1519"/>
      <c r="SNJ1519"/>
      <c r="SNK1519"/>
      <c r="SNL1519"/>
      <c r="SNM1519"/>
      <c r="SNN1519"/>
      <c r="SNO1519"/>
      <c r="SNP1519"/>
      <c r="SNQ1519"/>
      <c r="SNR1519"/>
      <c r="SNS1519"/>
      <c r="SNT1519"/>
      <c r="SNU1519"/>
      <c r="SNV1519"/>
      <c r="SNW1519"/>
      <c r="SNX1519"/>
      <c r="SNY1519"/>
      <c r="SNZ1519"/>
      <c r="SOA1519"/>
      <c r="SOB1519"/>
      <c r="SOC1519"/>
      <c r="SOD1519"/>
      <c r="SOE1519"/>
      <c r="SOF1519"/>
      <c r="SOG1519"/>
      <c r="SOH1519"/>
      <c r="SOI1519"/>
      <c r="SOJ1519"/>
      <c r="SOK1519"/>
      <c r="SOL1519"/>
      <c r="SOM1519"/>
      <c r="SON1519"/>
      <c r="SOO1519"/>
      <c r="SOP1519"/>
      <c r="SOQ1519"/>
      <c r="SOR1519"/>
      <c r="SOS1519"/>
      <c r="SOT1519"/>
      <c r="SOU1519"/>
      <c r="SOV1519"/>
      <c r="SOW1519"/>
      <c r="SOX1519"/>
      <c r="SOY1519"/>
      <c r="SOZ1519"/>
      <c r="SPA1519"/>
      <c r="SPB1519"/>
      <c r="SPC1519"/>
      <c r="SPD1519"/>
      <c r="SPE1519"/>
      <c r="SPF1519"/>
      <c r="SPG1519"/>
      <c r="SPH1519"/>
      <c r="SPI1519"/>
      <c r="SPJ1519"/>
      <c r="SPK1519"/>
      <c r="SPL1519"/>
      <c r="SPM1519"/>
      <c r="SPN1519"/>
      <c r="SPO1519"/>
      <c r="SPP1519"/>
      <c r="SPQ1519"/>
      <c r="SPR1519"/>
      <c r="SPS1519"/>
      <c r="SPT1519"/>
      <c r="SPU1519"/>
      <c r="SPV1519"/>
      <c r="SPW1519"/>
      <c r="SPX1519"/>
      <c r="SPY1519"/>
      <c r="SPZ1519"/>
      <c r="SQA1519"/>
      <c r="SQB1519"/>
      <c r="SQC1519"/>
      <c r="SQD1519"/>
      <c r="SQE1519"/>
      <c r="SQF1519"/>
      <c r="SQG1519"/>
      <c r="SQH1519"/>
      <c r="SQI1519"/>
      <c r="SQJ1519"/>
      <c r="SQK1519"/>
      <c r="SQL1519"/>
      <c r="SQM1519"/>
      <c r="SQN1519"/>
      <c r="SQO1519"/>
      <c r="SQP1519"/>
      <c r="SQQ1519"/>
      <c r="SQR1519"/>
      <c r="SQS1519"/>
      <c r="SQT1519"/>
      <c r="SQU1519"/>
      <c r="SQV1519"/>
      <c r="SQW1519"/>
      <c r="SQX1519"/>
      <c r="SQY1519"/>
      <c r="SQZ1519"/>
      <c r="SRA1519"/>
      <c r="SRB1519"/>
      <c r="SRC1519"/>
      <c r="SRD1519"/>
      <c r="SRE1519"/>
      <c r="SRF1519"/>
      <c r="SRG1519"/>
      <c r="SRH1519"/>
      <c r="SRI1519"/>
      <c r="SRJ1519"/>
      <c r="SRK1519"/>
      <c r="SRL1519"/>
      <c r="SRM1519"/>
      <c r="SRN1519"/>
      <c r="SRO1519"/>
      <c r="SRP1519"/>
      <c r="SRQ1519"/>
      <c r="SRR1519"/>
      <c r="SRS1519"/>
      <c r="SRT1519"/>
      <c r="SRU1519"/>
      <c r="SRV1519"/>
      <c r="SRW1519"/>
      <c r="SRX1519"/>
      <c r="SRY1519"/>
      <c r="SRZ1519"/>
      <c r="SSA1519"/>
      <c r="SSB1519"/>
      <c r="SSC1519"/>
      <c r="SSD1519"/>
      <c r="SSE1519"/>
      <c r="SSF1519"/>
      <c r="SSG1519"/>
      <c r="SSH1519"/>
      <c r="SSI1519"/>
      <c r="SSJ1519"/>
      <c r="SSK1519"/>
      <c r="SSL1519"/>
      <c r="SSM1519"/>
      <c r="SSN1519"/>
      <c r="SSO1519"/>
      <c r="SSP1519"/>
      <c r="SSQ1519"/>
      <c r="SSR1519"/>
      <c r="SSS1519"/>
      <c r="SST1519"/>
      <c r="SSU1519"/>
      <c r="SSV1519"/>
      <c r="SSW1519"/>
      <c r="SSX1519"/>
      <c r="SSY1519"/>
      <c r="SSZ1519"/>
      <c r="STA1519"/>
      <c r="STB1519"/>
      <c r="STC1519"/>
      <c r="STD1519"/>
      <c r="STE1519"/>
      <c r="STF1519"/>
      <c r="STG1519"/>
      <c r="STH1519"/>
      <c r="STI1519"/>
      <c r="STJ1519"/>
      <c r="STK1519"/>
      <c r="STL1519"/>
      <c r="STM1519"/>
      <c r="STN1519"/>
      <c r="STO1519"/>
      <c r="STP1519"/>
      <c r="STQ1519"/>
      <c r="STR1519"/>
      <c r="STS1519"/>
      <c r="STT1519"/>
      <c r="STU1519"/>
      <c r="STV1519"/>
      <c r="STW1519"/>
      <c r="STX1519"/>
      <c r="STY1519"/>
      <c r="STZ1519"/>
      <c r="SUA1519"/>
      <c r="SUB1519"/>
      <c r="SUC1519"/>
      <c r="SUD1519"/>
      <c r="SUE1519"/>
      <c r="SUF1519"/>
      <c r="SUG1519"/>
      <c r="SUH1519"/>
      <c r="SUI1519"/>
      <c r="SUJ1519"/>
      <c r="SUK1519"/>
      <c r="SUL1519"/>
      <c r="SUM1519"/>
      <c r="SUN1519"/>
      <c r="SUO1519"/>
      <c r="SUP1519"/>
      <c r="SUQ1519"/>
      <c r="SUR1519"/>
      <c r="SUS1519"/>
      <c r="SUT1519"/>
      <c r="SUU1519"/>
      <c r="SUV1519"/>
      <c r="SUW1519"/>
      <c r="SUX1519"/>
      <c r="SUY1519"/>
      <c r="SUZ1519"/>
      <c r="SVA1519"/>
      <c r="SVB1519"/>
      <c r="SVC1519"/>
      <c r="SVD1519"/>
      <c r="SVE1519"/>
      <c r="SVF1519"/>
      <c r="SVG1519"/>
      <c r="SVH1519"/>
      <c r="SVI1519"/>
      <c r="SVJ1519"/>
      <c r="SVK1519"/>
      <c r="SVL1519"/>
      <c r="SVM1519"/>
      <c r="SVN1519"/>
      <c r="SVO1519"/>
      <c r="SVP1519"/>
      <c r="SVQ1519"/>
      <c r="SVR1519"/>
      <c r="SVS1519"/>
      <c r="SVT1519"/>
      <c r="SVU1519"/>
      <c r="SVV1519"/>
      <c r="SVW1519"/>
      <c r="SVX1519"/>
      <c r="SVY1519"/>
      <c r="SVZ1519"/>
      <c r="SWA1519"/>
      <c r="SWB1519"/>
      <c r="SWC1519"/>
      <c r="SWD1519"/>
      <c r="SWE1519"/>
      <c r="SWF1519"/>
      <c r="SWG1519"/>
      <c r="SWH1519"/>
      <c r="SWI1519"/>
      <c r="SWJ1519"/>
      <c r="SWK1519"/>
      <c r="SWL1519"/>
      <c r="SWM1519"/>
      <c r="SWN1519"/>
      <c r="SWO1519"/>
      <c r="SWP1519"/>
      <c r="SWQ1519"/>
      <c r="SWR1519"/>
      <c r="SWS1519"/>
      <c r="SWT1519"/>
      <c r="SWU1519"/>
      <c r="SWV1519"/>
      <c r="SWW1519"/>
      <c r="SWX1519"/>
      <c r="SWY1519"/>
      <c r="SWZ1519"/>
      <c r="SXA1519"/>
      <c r="SXB1519"/>
      <c r="SXC1519"/>
      <c r="SXD1519"/>
      <c r="SXE1519"/>
      <c r="SXF1519"/>
      <c r="SXG1519"/>
      <c r="SXH1519"/>
      <c r="SXI1519"/>
      <c r="SXJ1519"/>
      <c r="SXK1519"/>
      <c r="SXL1519"/>
      <c r="SXM1519"/>
      <c r="SXN1519"/>
      <c r="SXO1519"/>
      <c r="SXP1519"/>
      <c r="SXQ1519"/>
      <c r="SXR1519"/>
      <c r="SXS1519"/>
      <c r="SXT1519"/>
      <c r="SXU1519"/>
      <c r="SXV1519"/>
      <c r="SXW1519"/>
      <c r="SXX1519"/>
      <c r="SXY1519"/>
      <c r="SXZ1519"/>
      <c r="SYA1519"/>
      <c r="SYB1519"/>
      <c r="SYC1519"/>
      <c r="SYD1519"/>
      <c r="SYE1519"/>
      <c r="SYF1519"/>
      <c r="SYG1519"/>
      <c r="SYH1519"/>
      <c r="SYI1519"/>
      <c r="SYJ1519"/>
      <c r="SYK1519"/>
      <c r="SYL1519"/>
      <c r="SYM1519"/>
      <c r="SYN1519"/>
      <c r="SYO1519"/>
      <c r="SYP1519"/>
      <c r="SYQ1519"/>
      <c r="SYR1519"/>
      <c r="SYS1519"/>
      <c r="SYT1519"/>
      <c r="SYU1519"/>
      <c r="SYV1519"/>
      <c r="SYW1519"/>
      <c r="SYX1519"/>
      <c r="SYY1519"/>
      <c r="SYZ1519"/>
      <c r="SZA1519"/>
      <c r="SZB1519"/>
      <c r="SZC1519"/>
      <c r="SZD1519"/>
      <c r="SZE1519"/>
      <c r="SZF1519"/>
      <c r="SZG1519"/>
      <c r="SZH1519"/>
      <c r="SZI1519"/>
      <c r="SZJ1519"/>
      <c r="SZK1519"/>
      <c r="SZL1519"/>
      <c r="SZM1519"/>
      <c r="SZN1519"/>
      <c r="SZO1519"/>
      <c r="SZP1519"/>
      <c r="SZQ1519"/>
      <c r="SZR1519"/>
      <c r="SZS1519"/>
      <c r="SZT1519"/>
      <c r="SZU1519"/>
      <c r="SZV1519"/>
      <c r="SZW1519"/>
      <c r="SZX1519"/>
      <c r="SZY1519"/>
      <c r="SZZ1519"/>
      <c r="TAA1519"/>
      <c r="TAB1519"/>
      <c r="TAC1519"/>
      <c r="TAD1519"/>
      <c r="TAE1519"/>
      <c r="TAF1519"/>
      <c r="TAG1519"/>
      <c r="TAH1519"/>
      <c r="TAI1519"/>
      <c r="TAJ1519"/>
      <c r="TAK1519"/>
      <c r="TAL1519"/>
      <c r="TAM1519"/>
      <c r="TAN1519"/>
      <c r="TAO1519"/>
      <c r="TAP1519"/>
      <c r="TAQ1519"/>
      <c r="TAR1519"/>
      <c r="TAS1519"/>
      <c r="TAT1519"/>
      <c r="TAU1519"/>
      <c r="TAV1519"/>
      <c r="TAW1519"/>
      <c r="TAX1519"/>
      <c r="TAY1519"/>
      <c r="TAZ1519"/>
      <c r="TBA1519"/>
      <c r="TBB1519"/>
      <c r="TBC1519"/>
      <c r="TBD1519"/>
      <c r="TBE1519"/>
      <c r="TBF1519"/>
      <c r="TBG1519"/>
      <c r="TBH1519"/>
      <c r="TBI1519"/>
      <c r="TBJ1519"/>
      <c r="TBK1519"/>
      <c r="TBL1519"/>
      <c r="TBM1519"/>
      <c r="TBN1519"/>
      <c r="TBO1519"/>
      <c r="TBP1519"/>
      <c r="TBQ1519"/>
      <c r="TBR1519"/>
      <c r="TBS1519"/>
      <c r="TBT1519"/>
      <c r="TBU1519"/>
      <c r="TBV1519"/>
      <c r="TBW1519"/>
      <c r="TBX1519"/>
      <c r="TBY1519"/>
      <c r="TBZ1519"/>
      <c r="TCA1519"/>
      <c r="TCB1519"/>
      <c r="TCC1519"/>
      <c r="TCD1519"/>
      <c r="TCE1519"/>
      <c r="TCF1519"/>
      <c r="TCG1519"/>
      <c r="TCH1519"/>
      <c r="TCI1519"/>
      <c r="TCJ1519"/>
      <c r="TCK1519"/>
      <c r="TCL1519"/>
      <c r="TCM1519"/>
      <c r="TCN1519"/>
      <c r="TCO1519"/>
      <c r="TCP1519"/>
      <c r="TCQ1519"/>
      <c r="TCR1519"/>
      <c r="TCS1519"/>
      <c r="TCT1519"/>
      <c r="TCU1519"/>
      <c r="TCV1519"/>
      <c r="TCW1519"/>
      <c r="TCX1519"/>
      <c r="TCY1519"/>
      <c r="TCZ1519"/>
      <c r="TDA1519"/>
      <c r="TDB1519"/>
      <c r="TDC1519"/>
      <c r="TDD1519"/>
      <c r="TDE1519"/>
      <c r="TDF1519"/>
      <c r="TDG1519"/>
      <c r="TDH1519"/>
      <c r="TDI1519"/>
      <c r="TDJ1519"/>
      <c r="TDK1519"/>
      <c r="TDL1519"/>
      <c r="TDM1519"/>
      <c r="TDN1519"/>
      <c r="TDO1519"/>
      <c r="TDP1519"/>
      <c r="TDQ1519"/>
      <c r="TDR1519"/>
      <c r="TDS1519"/>
      <c r="TDT1519"/>
      <c r="TDU1519"/>
      <c r="TDV1519"/>
      <c r="TDW1519"/>
      <c r="TDX1519"/>
      <c r="TDY1519"/>
      <c r="TDZ1519"/>
      <c r="TEA1519"/>
      <c r="TEB1519"/>
      <c r="TEC1519"/>
      <c r="TED1519"/>
      <c r="TEE1519"/>
      <c r="TEF1519"/>
      <c r="TEG1519"/>
      <c r="TEH1519"/>
      <c r="TEI1519"/>
      <c r="TEJ1519"/>
      <c r="TEK1519"/>
      <c r="TEL1519"/>
      <c r="TEM1519"/>
      <c r="TEN1519"/>
      <c r="TEO1519"/>
      <c r="TEP1519"/>
      <c r="TEQ1519"/>
      <c r="TER1519"/>
      <c r="TES1519"/>
      <c r="TET1519"/>
      <c r="TEU1519"/>
      <c r="TEV1519"/>
      <c r="TEW1519"/>
      <c r="TEX1519"/>
      <c r="TEY1519"/>
      <c r="TEZ1519"/>
      <c r="TFA1519"/>
      <c r="TFB1519"/>
      <c r="TFC1519"/>
      <c r="TFD1519"/>
      <c r="TFE1519"/>
      <c r="TFF1519"/>
      <c r="TFG1519"/>
      <c r="TFH1519"/>
      <c r="TFI1519"/>
      <c r="TFJ1519"/>
      <c r="TFK1519"/>
      <c r="TFL1519"/>
      <c r="TFM1519"/>
      <c r="TFN1519"/>
      <c r="TFO1519"/>
      <c r="TFP1519"/>
      <c r="TFQ1519"/>
      <c r="TFR1519"/>
      <c r="TFS1519"/>
      <c r="TFT1519"/>
      <c r="TFU1519"/>
      <c r="TFV1519"/>
      <c r="TFW1519"/>
      <c r="TFX1519"/>
      <c r="TFY1519"/>
      <c r="TFZ1519"/>
      <c r="TGA1519"/>
      <c r="TGB1519"/>
      <c r="TGC1519"/>
      <c r="TGD1519"/>
      <c r="TGE1519"/>
      <c r="TGF1519"/>
      <c r="TGG1519"/>
      <c r="TGH1519"/>
      <c r="TGI1519"/>
      <c r="TGJ1519"/>
      <c r="TGK1519"/>
      <c r="TGL1519"/>
      <c r="TGM1519"/>
      <c r="TGN1519"/>
      <c r="TGO1519"/>
      <c r="TGP1519"/>
      <c r="TGQ1519"/>
      <c r="TGR1519"/>
      <c r="TGS1519"/>
      <c r="TGT1519"/>
      <c r="TGU1519"/>
      <c r="TGV1519"/>
      <c r="TGW1519"/>
      <c r="TGX1519"/>
      <c r="TGY1519"/>
      <c r="TGZ1519"/>
      <c r="THA1519"/>
      <c r="THB1519"/>
      <c r="THC1519"/>
      <c r="THD1519"/>
      <c r="THE1519"/>
      <c r="THF1519"/>
      <c r="THG1519"/>
      <c r="THH1519"/>
      <c r="THI1519"/>
      <c r="THJ1519"/>
      <c r="THK1519"/>
      <c r="THL1519"/>
      <c r="THM1519"/>
      <c r="THN1519"/>
      <c r="THO1519"/>
      <c r="THP1519"/>
      <c r="THQ1519"/>
      <c r="THR1519"/>
      <c r="THS1519"/>
      <c r="THT1519"/>
      <c r="THU1519"/>
      <c r="THV1519"/>
      <c r="THW1519"/>
      <c r="THX1519"/>
      <c r="THY1519"/>
      <c r="THZ1519"/>
      <c r="TIA1519"/>
      <c r="TIB1519"/>
      <c r="TIC1519"/>
      <c r="TID1519"/>
      <c r="TIE1519"/>
      <c r="TIF1519"/>
      <c r="TIG1519"/>
      <c r="TIH1519"/>
      <c r="TII1519"/>
      <c r="TIJ1519"/>
      <c r="TIK1519"/>
      <c r="TIL1519"/>
      <c r="TIM1519"/>
      <c r="TIN1519"/>
      <c r="TIO1519"/>
      <c r="TIP1519"/>
      <c r="TIQ1519"/>
      <c r="TIR1519"/>
      <c r="TIS1519"/>
      <c r="TIT1519"/>
      <c r="TIU1519"/>
      <c r="TIV1519"/>
      <c r="TIW1519"/>
      <c r="TIX1519"/>
      <c r="TIY1519"/>
      <c r="TIZ1519"/>
      <c r="TJA1519"/>
      <c r="TJB1519"/>
      <c r="TJC1519"/>
      <c r="TJD1519"/>
      <c r="TJE1519"/>
      <c r="TJF1519"/>
      <c r="TJG1519"/>
      <c r="TJH1519"/>
      <c r="TJI1519"/>
      <c r="TJJ1519"/>
      <c r="TJK1519"/>
      <c r="TJL1519"/>
      <c r="TJM1519"/>
      <c r="TJN1519"/>
      <c r="TJO1519"/>
      <c r="TJP1519"/>
      <c r="TJQ1519"/>
      <c r="TJR1519"/>
      <c r="TJS1519"/>
      <c r="TJT1519"/>
      <c r="TJU1519"/>
      <c r="TJV1519"/>
      <c r="TJW1519"/>
      <c r="TJX1519"/>
      <c r="TJY1519"/>
      <c r="TJZ1519"/>
      <c r="TKA1519"/>
      <c r="TKB1519"/>
      <c r="TKC1519"/>
      <c r="TKD1519"/>
      <c r="TKE1519"/>
      <c r="TKF1519"/>
      <c r="TKG1519"/>
      <c r="TKH1519"/>
      <c r="TKI1519"/>
      <c r="TKJ1519"/>
      <c r="TKK1519"/>
      <c r="TKL1519"/>
      <c r="TKM1519"/>
      <c r="TKN1519"/>
      <c r="TKO1519"/>
      <c r="TKP1519"/>
      <c r="TKQ1519"/>
      <c r="TKR1519"/>
      <c r="TKS1519"/>
      <c r="TKT1519"/>
      <c r="TKU1519"/>
      <c r="TKV1519"/>
      <c r="TKW1519"/>
      <c r="TKX1519"/>
      <c r="TKY1519"/>
      <c r="TKZ1519"/>
      <c r="TLA1519"/>
      <c r="TLB1519"/>
      <c r="TLC1519"/>
      <c r="TLD1519"/>
      <c r="TLE1519"/>
      <c r="TLF1519"/>
      <c r="TLG1519"/>
      <c r="TLH1519"/>
      <c r="TLI1519"/>
      <c r="TLJ1519"/>
      <c r="TLK1519"/>
      <c r="TLL1519"/>
      <c r="TLM1519"/>
      <c r="TLN1519"/>
      <c r="TLO1519"/>
      <c r="TLP1519"/>
      <c r="TLQ1519"/>
      <c r="TLR1519"/>
      <c r="TLS1519"/>
      <c r="TLT1519"/>
      <c r="TLU1519"/>
      <c r="TLV1519"/>
      <c r="TLW1519"/>
      <c r="TLX1519"/>
      <c r="TLY1519"/>
      <c r="TLZ1519"/>
      <c r="TMA1519"/>
      <c r="TMB1519"/>
      <c r="TMC1519"/>
      <c r="TMD1519"/>
      <c r="TME1519"/>
      <c r="TMF1519"/>
      <c r="TMG1519"/>
      <c r="TMH1519"/>
      <c r="TMI1519"/>
      <c r="TMJ1519"/>
      <c r="TMK1519"/>
      <c r="TML1519"/>
      <c r="TMM1519"/>
      <c r="TMN1519"/>
      <c r="TMO1519"/>
      <c r="TMP1519"/>
      <c r="TMQ1519"/>
      <c r="TMR1519"/>
      <c r="TMS1519"/>
      <c r="TMT1519"/>
      <c r="TMU1519"/>
      <c r="TMV1519"/>
      <c r="TMW1519"/>
      <c r="TMX1519"/>
      <c r="TMY1519"/>
      <c r="TMZ1519"/>
      <c r="TNA1519"/>
      <c r="TNB1519"/>
      <c r="TNC1519"/>
      <c r="TND1519"/>
      <c r="TNE1519"/>
      <c r="TNF1519"/>
      <c r="TNG1519"/>
      <c r="TNH1519"/>
      <c r="TNI1519"/>
      <c r="TNJ1519"/>
      <c r="TNK1519"/>
      <c r="TNL1519"/>
      <c r="TNM1519"/>
      <c r="TNN1519"/>
      <c r="TNO1519"/>
      <c r="TNP1519"/>
      <c r="TNQ1519"/>
      <c r="TNR1519"/>
      <c r="TNS1519"/>
      <c r="TNT1519"/>
      <c r="TNU1519"/>
      <c r="TNV1519"/>
      <c r="TNW1519"/>
      <c r="TNX1519"/>
      <c r="TNY1519"/>
      <c r="TNZ1519"/>
      <c r="TOA1519"/>
      <c r="TOB1519"/>
      <c r="TOC1519"/>
      <c r="TOD1519"/>
      <c r="TOE1519"/>
      <c r="TOF1519"/>
      <c r="TOG1519"/>
      <c r="TOH1519"/>
      <c r="TOI1519"/>
      <c r="TOJ1519"/>
      <c r="TOK1519"/>
      <c r="TOL1519"/>
      <c r="TOM1519"/>
      <c r="TON1519"/>
      <c r="TOO1519"/>
      <c r="TOP1519"/>
      <c r="TOQ1519"/>
      <c r="TOR1519"/>
      <c r="TOS1519"/>
      <c r="TOT1519"/>
      <c r="TOU1519"/>
      <c r="TOV1519"/>
      <c r="TOW1519"/>
      <c r="TOX1519"/>
      <c r="TOY1519"/>
      <c r="TOZ1519"/>
      <c r="TPA1519"/>
      <c r="TPB1519"/>
      <c r="TPC1519"/>
      <c r="TPD1519"/>
      <c r="TPE1519"/>
      <c r="TPF1519"/>
      <c r="TPG1519"/>
      <c r="TPH1519"/>
      <c r="TPI1519"/>
      <c r="TPJ1519"/>
      <c r="TPK1519"/>
      <c r="TPL1519"/>
      <c r="TPM1519"/>
      <c r="TPN1519"/>
      <c r="TPO1519"/>
      <c r="TPP1519"/>
      <c r="TPQ1519"/>
      <c r="TPR1519"/>
      <c r="TPS1519"/>
      <c r="TPT1519"/>
      <c r="TPU1519"/>
      <c r="TPV1519"/>
      <c r="TPW1519"/>
      <c r="TPX1519"/>
      <c r="TPY1519"/>
      <c r="TPZ1519"/>
      <c r="TQA1519"/>
      <c r="TQB1519"/>
      <c r="TQC1519"/>
      <c r="TQD1519"/>
      <c r="TQE1519"/>
      <c r="TQF1519"/>
      <c r="TQG1519"/>
      <c r="TQH1519"/>
      <c r="TQI1519"/>
      <c r="TQJ1519"/>
      <c r="TQK1519"/>
      <c r="TQL1519"/>
      <c r="TQM1519"/>
      <c r="TQN1519"/>
      <c r="TQO1519"/>
      <c r="TQP1519"/>
      <c r="TQQ1519"/>
      <c r="TQR1519"/>
      <c r="TQS1519"/>
      <c r="TQT1519"/>
      <c r="TQU1519"/>
      <c r="TQV1519"/>
      <c r="TQW1519"/>
      <c r="TQX1519"/>
      <c r="TQY1519"/>
      <c r="TQZ1519"/>
      <c r="TRA1519"/>
      <c r="TRB1519"/>
      <c r="TRC1519"/>
      <c r="TRD1519"/>
      <c r="TRE1519"/>
      <c r="TRF1519"/>
      <c r="TRG1519"/>
      <c r="TRH1519"/>
      <c r="TRI1519"/>
      <c r="TRJ1519"/>
      <c r="TRK1519"/>
      <c r="TRL1519"/>
      <c r="TRM1519"/>
      <c r="TRN1519"/>
      <c r="TRO1519"/>
      <c r="TRP1519"/>
      <c r="TRQ1519"/>
      <c r="TRR1519"/>
      <c r="TRS1519"/>
      <c r="TRT1519"/>
      <c r="TRU1519"/>
      <c r="TRV1519"/>
      <c r="TRW1519"/>
      <c r="TRX1519"/>
      <c r="TRY1519"/>
      <c r="TRZ1519"/>
      <c r="TSA1519"/>
      <c r="TSB1519"/>
      <c r="TSC1519"/>
      <c r="TSD1519"/>
      <c r="TSE1519"/>
      <c r="TSF1519"/>
      <c r="TSG1519"/>
      <c r="TSH1519"/>
      <c r="TSI1519"/>
      <c r="TSJ1519"/>
      <c r="TSK1519"/>
      <c r="TSL1519"/>
      <c r="TSM1519"/>
      <c r="TSN1519"/>
      <c r="TSO1519"/>
      <c r="TSP1519"/>
      <c r="TSQ1519"/>
      <c r="TSR1519"/>
      <c r="TSS1519"/>
      <c r="TST1519"/>
      <c r="TSU1519"/>
      <c r="TSV1519"/>
      <c r="TSW1519"/>
      <c r="TSX1519"/>
      <c r="TSY1519"/>
      <c r="TSZ1519"/>
      <c r="TTA1519"/>
      <c r="TTB1519"/>
      <c r="TTC1519"/>
      <c r="TTD1519"/>
      <c r="TTE1519"/>
      <c r="TTF1519"/>
      <c r="TTG1519"/>
      <c r="TTH1519"/>
      <c r="TTI1519"/>
      <c r="TTJ1519"/>
      <c r="TTK1519"/>
      <c r="TTL1519"/>
      <c r="TTM1519"/>
      <c r="TTN1519"/>
      <c r="TTO1519"/>
      <c r="TTP1519"/>
      <c r="TTQ1519"/>
      <c r="TTR1519"/>
      <c r="TTS1519"/>
      <c r="TTT1519"/>
      <c r="TTU1519"/>
      <c r="TTV1519"/>
      <c r="TTW1519"/>
      <c r="TTX1519"/>
      <c r="TTY1519"/>
      <c r="TTZ1519"/>
      <c r="TUA1519"/>
      <c r="TUB1519"/>
      <c r="TUC1519"/>
      <c r="TUD1519"/>
      <c r="TUE1519"/>
      <c r="TUF1519"/>
      <c r="TUG1519"/>
      <c r="TUH1519"/>
      <c r="TUI1519"/>
      <c r="TUJ1519"/>
      <c r="TUK1519"/>
      <c r="TUL1519"/>
      <c r="TUM1519"/>
      <c r="TUN1519"/>
      <c r="TUO1519"/>
      <c r="TUP1519"/>
      <c r="TUQ1519"/>
      <c r="TUR1519"/>
      <c r="TUS1519"/>
      <c r="TUT1519"/>
      <c r="TUU1519"/>
      <c r="TUV1519"/>
      <c r="TUW1519"/>
      <c r="TUX1519"/>
      <c r="TUY1519"/>
      <c r="TUZ1519"/>
      <c r="TVA1519"/>
      <c r="TVB1519"/>
      <c r="TVC1519"/>
      <c r="TVD1519"/>
      <c r="TVE1519"/>
      <c r="TVF1519"/>
      <c r="TVG1519"/>
      <c r="TVH1519"/>
      <c r="TVI1519"/>
      <c r="TVJ1519"/>
      <c r="TVK1519"/>
      <c r="TVL1519"/>
      <c r="TVM1519"/>
      <c r="TVN1519"/>
      <c r="TVO1519"/>
      <c r="TVP1519"/>
      <c r="TVQ1519"/>
      <c r="TVR1519"/>
      <c r="TVS1519"/>
      <c r="TVT1519"/>
      <c r="TVU1519"/>
      <c r="TVV1519"/>
      <c r="TVW1519"/>
      <c r="TVX1519"/>
      <c r="TVY1519"/>
      <c r="TVZ1519"/>
      <c r="TWA1519"/>
      <c r="TWB1519"/>
      <c r="TWC1519"/>
      <c r="TWD1519"/>
      <c r="TWE1519"/>
      <c r="TWF1519"/>
      <c r="TWG1519"/>
      <c r="TWH1519"/>
      <c r="TWI1519"/>
      <c r="TWJ1519"/>
      <c r="TWK1519"/>
      <c r="TWL1519"/>
      <c r="TWM1519"/>
      <c r="TWN1519"/>
      <c r="TWO1519"/>
      <c r="TWP1519"/>
      <c r="TWQ1519"/>
      <c r="TWR1519"/>
      <c r="TWS1519"/>
      <c r="TWT1519"/>
      <c r="TWU1519"/>
      <c r="TWV1519"/>
      <c r="TWW1519"/>
      <c r="TWX1519"/>
      <c r="TWY1519"/>
      <c r="TWZ1519"/>
      <c r="TXA1519"/>
      <c r="TXB1519"/>
      <c r="TXC1519"/>
      <c r="TXD1519"/>
      <c r="TXE1519"/>
      <c r="TXF1519"/>
      <c r="TXG1519"/>
      <c r="TXH1519"/>
      <c r="TXI1519"/>
      <c r="TXJ1519"/>
      <c r="TXK1519"/>
      <c r="TXL1519"/>
      <c r="TXM1519"/>
      <c r="TXN1519"/>
      <c r="TXO1519"/>
      <c r="TXP1519"/>
      <c r="TXQ1519"/>
      <c r="TXR1519"/>
      <c r="TXS1519"/>
      <c r="TXT1519"/>
      <c r="TXU1519"/>
      <c r="TXV1519"/>
      <c r="TXW1519"/>
      <c r="TXX1519"/>
      <c r="TXY1519"/>
      <c r="TXZ1519"/>
      <c r="TYA1519"/>
      <c r="TYB1519"/>
      <c r="TYC1519"/>
      <c r="TYD1519"/>
      <c r="TYE1519"/>
      <c r="TYF1519"/>
      <c r="TYG1519"/>
      <c r="TYH1519"/>
      <c r="TYI1519"/>
      <c r="TYJ1519"/>
      <c r="TYK1519"/>
      <c r="TYL1519"/>
      <c r="TYM1519"/>
      <c r="TYN1519"/>
      <c r="TYO1519"/>
      <c r="TYP1519"/>
      <c r="TYQ1519"/>
      <c r="TYR1519"/>
      <c r="TYS1519"/>
      <c r="TYT1519"/>
      <c r="TYU1519"/>
      <c r="TYV1519"/>
      <c r="TYW1519"/>
      <c r="TYX1519"/>
      <c r="TYY1519"/>
      <c r="TYZ1519"/>
      <c r="TZA1519"/>
      <c r="TZB1519"/>
      <c r="TZC1519"/>
      <c r="TZD1519"/>
      <c r="TZE1519"/>
      <c r="TZF1519"/>
      <c r="TZG1519"/>
      <c r="TZH1519"/>
      <c r="TZI1519"/>
      <c r="TZJ1519"/>
      <c r="TZK1519"/>
      <c r="TZL1519"/>
      <c r="TZM1519"/>
      <c r="TZN1519"/>
      <c r="TZO1519"/>
      <c r="TZP1519"/>
      <c r="TZQ1519"/>
      <c r="TZR1519"/>
      <c r="TZS1519"/>
      <c r="TZT1519"/>
      <c r="TZU1519"/>
      <c r="TZV1519"/>
      <c r="TZW1519"/>
      <c r="TZX1519"/>
      <c r="TZY1519"/>
      <c r="TZZ1519"/>
      <c r="UAA1519"/>
      <c r="UAB1519"/>
      <c r="UAC1519"/>
      <c r="UAD1519"/>
      <c r="UAE1519"/>
      <c r="UAF1519"/>
      <c r="UAG1519"/>
      <c r="UAH1519"/>
      <c r="UAI1519"/>
      <c r="UAJ1519"/>
      <c r="UAK1519"/>
      <c r="UAL1519"/>
      <c r="UAM1519"/>
      <c r="UAN1519"/>
      <c r="UAO1519"/>
      <c r="UAP1519"/>
      <c r="UAQ1519"/>
      <c r="UAR1519"/>
      <c r="UAS1519"/>
      <c r="UAT1519"/>
      <c r="UAU1519"/>
      <c r="UAV1519"/>
      <c r="UAW1519"/>
      <c r="UAX1519"/>
      <c r="UAY1519"/>
      <c r="UAZ1519"/>
      <c r="UBA1519"/>
      <c r="UBB1519"/>
      <c r="UBC1519"/>
      <c r="UBD1519"/>
      <c r="UBE1519"/>
      <c r="UBF1519"/>
      <c r="UBG1519"/>
      <c r="UBH1519"/>
      <c r="UBI1519"/>
      <c r="UBJ1519"/>
      <c r="UBK1519"/>
      <c r="UBL1519"/>
      <c r="UBM1519"/>
      <c r="UBN1519"/>
      <c r="UBO1519"/>
      <c r="UBP1519"/>
      <c r="UBQ1519"/>
      <c r="UBR1519"/>
      <c r="UBS1519"/>
      <c r="UBT1519"/>
      <c r="UBU1519"/>
      <c r="UBV1519"/>
      <c r="UBW1519"/>
      <c r="UBX1519"/>
      <c r="UBY1519"/>
      <c r="UBZ1519"/>
      <c r="UCA1519"/>
      <c r="UCB1519"/>
      <c r="UCC1519"/>
      <c r="UCD1519"/>
      <c r="UCE1519"/>
      <c r="UCF1519"/>
      <c r="UCG1519"/>
      <c r="UCH1519"/>
      <c r="UCI1519"/>
      <c r="UCJ1519"/>
      <c r="UCK1519"/>
      <c r="UCL1519"/>
      <c r="UCM1519"/>
      <c r="UCN1519"/>
      <c r="UCO1519"/>
      <c r="UCP1519"/>
      <c r="UCQ1519"/>
      <c r="UCR1519"/>
      <c r="UCS1519"/>
      <c r="UCT1519"/>
      <c r="UCU1519"/>
      <c r="UCV1519"/>
      <c r="UCW1519"/>
      <c r="UCX1519"/>
      <c r="UCY1519"/>
      <c r="UCZ1519"/>
      <c r="UDA1519"/>
      <c r="UDB1519"/>
      <c r="UDC1519"/>
      <c r="UDD1519"/>
      <c r="UDE1519"/>
      <c r="UDF1519"/>
      <c r="UDG1519"/>
      <c r="UDH1519"/>
      <c r="UDI1519"/>
      <c r="UDJ1519"/>
      <c r="UDK1519"/>
      <c r="UDL1519"/>
      <c r="UDM1519"/>
      <c r="UDN1519"/>
      <c r="UDO1519"/>
      <c r="UDP1519"/>
      <c r="UDQ1519"/>
      <c r="UDR1519"/>
      <c r="UDS1519"/>
      <c r="UDT1519"/>
      <c r="UDU1519"/>
      <c r="UDV1519"/>
      <c r="UDW1519"/>
      <c r="UDX1519"/>
      <c r="UDY1519"/>
      <c r="UDZ1519"/>
      <c r="UEA1519"/>
      <c r="UEB1519"/>
      <c r="UEC1519"/>
      <c r="UED1519"/>
      <c r="UEE1519"/>
      <c r="UEF1519"/>
      <c r="UEG1519"/>
      <c r="UEH1519"/>
      <c r="UEI1519"/>
      <c r="UEJ1519"/>
      <c r="UEK1519"/>
      <c r="UEL1519"/>
      <c r="UEM1519"/>
      <c r="UEN1519"/>
      <c r="UEO1519"/>
      <c r="UEP1519"/>
      <c r="UEQ1519"/>
      <c r="UER1519"/>
      <c r="UES1519"/>
      <c r="UET1519"/>
      <c r="UEU1519"/>
      <c r="UEV1519"/>
      <c r="UEW1519"/>
      <c r="UEX1519"/>
      <c r="UEY1519"/>
      <c r="UEZ1519"/>
      <c r="UFA1519"/>
      <c r="UFB1519"/>
      <c r="UFC1519"/>
      <c r="UFD1519"/>
      <c r="UFE1519"/>
      <c r="UFF1519"/>
      <c r="UFG1519"/>
      <c r="UFH1519"/>
      <c r="UFI1519"/>
      <c r="UFJ1519"/>
      <c r="UFK1519"/>
      <c r="UFL1519"/>
      <c r="UFM1519"/>
      <c r="UFN1519"/>
      <c r="UFO1519"/>
      <c r="UFP1519"/>
      <c r="UFQ1519"/>
      <c r="UFR1519"/>
      <c r="UFS1519"/>
      <c r="UFT1519"/>
      <c r="UFU1519"/>
      <c r="UFV1519"/>
      <c r="UFW1519"/>
      <c r="UFX1519"/>
      <c r="UFY1519"/>
      <c r="UFZ1519"/>
      <c r="UGA1519"/>
      <c r="UGB1519"/>
      <c r="UGC1519"/>
      <c r="UGD1519"/>
      <c r="UGE1519"/>
      <c r="UGF1519"/>
      <c r="UGG1519"/>
      <c r="UGH1519"/>
      <c r="UGI1519"/>
      <c r="UGJ1519"/>
      <c r="UGK1519"/>
      <c r="UGL1519"/>
      <c r="UGM1519"/>
      <c r="UGN1519"/>
      <c r="UGO1519"/>
      <c r="UGP1519"/>
      <c r="UGQ1519"/>
      <c r="UGR1519"/>
      <c r="UGS1519"/>
      <c r="UGT1519"/>
      <c r="UGU1519"/>
      <c r="UGV1519"/>
      <c r="UGW1519"/>
      <c r="UGX1519"/>
      <c r="UGY1519"/>
      <c r="UGZ1519"/>
      <c r="UHA1519"/>
      <c r="UHB1519"/>
      <c r="UHC1519"/>
      <c r="UHD1519"/>
      <c r="UHE1519"/>
      <c r="UHF1519"/>
      <c r="UHG1519"/>
      <c r="UHH1519"/>
      <c r="UHI1519"/>
      <c r="UHJ1519"/>
      <c r="UHK1519"/>
      <c r="UHL1519"/>
      <c r="UHM1519"/>
      <c r="UHN1519"/>
      <c r="UHO1519"/>
      <c r="UHP1519"/>
      <c r="UHQ1519"/>
      <c r="UHR1519"/>
      <c r="UHS1519"/>
      <c r="UHT1519"/>
      <c r="UHU1519"/>
      <c r="UHV1519"/>
      <c r="UHW1519"/>
      <c r="UHX1519"/>
      <c r="UHY1519"/>
      <c r="UHZ1519"/>
      <c r="UIA1519"/>
      <c r="UIB1519"/>
      <c r="UIC1519"/>
      <c r="UID1519"/>
      <c r="UIE1519"/>
      <c r="UIF1519"/>
      <c r="UIG1519"/>
      <c r="UIH1519"/>
      <c r="UII1519"/>
      <c r="UIJ1519"/>
      <c r="UIK1519"/>
      <c r="UIL1519"/>
      <c r="UIM1519"/>
      <c r="UIN1519"/>
      <c r="UIO1519"/>
      <c r="UIP1519"/>
      <c r="UIQ1519"/>
      <c r="UIR1519"/>
      <c r="UIS1519"/>
      <c r="UIT1519"/>
      <c r="UIU1519"/>
      <c r="UIV1519"/>
      <c r="UIW1519"/>
      <c r="UIX1519"/>
      <c r="UIY1519"/>
      <c r="UIZ1519"/>
      <c r="UJA1519"/>
      <c r="UJB1519"/>
      <c r="UJC1519"/>
      <c r="UJD1519"/>
      <c r="UJE1519"/>
      <c r="UJF1519"/>
      <c r="UJG1519"/>
      <c r="UJH1519"/>
      <c r="UJI1519"/>
      <c r="UJJ1519"/>
      <c r="UJK1519"/>
      <c r="UJL1519"/>
      <c r="UJM1519"/>
      <c r="UJN1519"/>
      <c r="UJO1519"/>
      <c r="UJP1519"/>
      <c r="UJQ1519"/>
      <c r="UJR1519"/>
      <c r="UJS1519"/>
      <c r="UJT1519"/>
      <c r="UJU1519"/>
      <c r="UJV1519"/>
      <c r="UJW1519"/>
      <c r="UJX1519"/>
      <c r="UJY1519"/>
      <c r="UJZ1519"/>
      <c r="UKA1519"/>
      <c r="UKB1519"/>
      <c r="UKC1519"/>
      <c r="UKD1519"/>
      <c r="UKE1519"/>
      <c r="UKF1519"/>
      <c r="UKG1519"/>
      <c r="UKH1519"/>
      <c r="UKI1519"/>
      <c r="UKJ1519"/>
      <c r="UKK1519"/>
      <c r="UKL1519"/>
      <c r="UKM1519"/>
      <c r="UKN1519"/>
      <c r="UKO1519"/>
      <c r="UKP1519"/>
      <c r="UKQ1519"/>
      <c r="UKR1519"/>
      <c r="UKS1519"/>
      <c r="UKT1519"/>
      <c r="UKU1519"/>
      <c r="UKV1519"/>
      <c r="UKW1519"/>
      <c r="UKX1519"/>
      <c r="UKY1519"/>
      <c r="UKZ1519"/>
      <c r="ULA1519"/>
      <c r="ULB1519"/>
      <c r="ULC1519"/>
      <c r="ULD1519"/>
      <c r="ULE1519"/>
      <c r="ULF1519"/>
      <c r="ULG1519"/>
      <c r="ULH1519"/>
      <c r="ULI1519"/>
      <c r="ULJ1519"/>
      <c r="ULK1519"/>
      <c r="ULL1519"/>
      <c r="ULM1519"/>
      <c r="ULN1519"/>
      <c r="ULO1519"/>
      <c r="ULP1519"/>
      <c r="ULQ1519"/>
      <c r="ULR1519"/>
      <c r="ULS1519"/>
      <c r="ULT1519"/>
      <c r="ULU1519"/>
      <c r="ULV1519"/>
      <c r="ULW1519"/>
      <c r="ULX1519"/>
      <c r="ULY1519"/>
      <c r="ULZ1519"/>
      <c r="UMA1519"/>
      <c r="UMB1519"/>
      <c r="UMC1519"/>
      <c r="UMD1519"/>
      <c r="UME1519"/>
      <c r="UMF1519"/>
      <c r="UMG1519"/>
      <c r="UMH1519"/>
      <c r="UMI1519"/>
      <c r="UMJ1519"/>
      <c r="UMK1519"/>
      <c r="UML1519"/>
      <c r="UMM1519"/>
      <c r="UMN1519"/>
      <c r="UMO1519"/>
      <c r="UMP1519"/>
      <c r="UMQ1519"/>
      <c r="UMR1519"/>
      <c r="UMS1519"/>
      <c r="UMT1519"/>
      <c r="UMU1519"/>
      <c r="UMV1519"/>
      <c r="UMW1519"/>
      <c r="UMX1519"/>
      <c r="UMY1519"/>
      <c r="UMZ1519"/>
      <c r="UNA1519"/>
      <c r="UNB1519"/>
      <c r="UNC1519"/>
      <c r="UND1519"/>
      <c r="UNE1519"/>
      <c r="UNF1519"/>
      <c r="UNG1519"/>
      <c r="UNH1519"/>
      <c r="UNI1519"/>
      <c r="UNJ1519"/>
      <c r="UNK1519"/>
      <c r="UNL1519"/>
      <c r="UNM1519"/>
      <c r="UNN1519"/>
      <c r="UNO1519"/>
      <c r="UNP1519"/>
      <c r="UNQ1519"/>
      <c r="UNR1519"/>
      <c r="UNS1519"/>
      <c r="UNT1519"/>
      <c r="UNU1519"/>
      <c r="UNV1519"/>
      <c r="UNW1519"/>
      <c r="UNX1519"/>
      <c r="UNY1519"/>
      <c r="UNZ1519"/>
      <c r="UOA1519"/>
      <c r="UOB1519"/>
      <c r="UOC1519"/>
      <c r="UOD1519"/>
      <c r="UOE1519"/>
      <c r="UOF1519"/>
      <c r="UOG1519"/>
      <c r="UOH1519"/>
      <c r="UOI1519"/>
      <c r="UOJ1519"/>
      <c r="UOK1519"/>
      <c r="UOL1519"/>
      <c r="UOM1519"/>
      <c r="UON1519"/>
      <c r="UOO1519"/>
      <c r="UOP1519"/>
      <c r="UOQ1519"/>
      <c r="UOR1519"/>
      <c r="UOS1519"/>
      <c r="UOT1519"/>
      <c r="UOU1519"/>
      <c r="UOV1519"/>
      <c r="UOW1519"/>
      <c r="UOX1519"/>
      <c r="UOY1519"/>
      <c r="UOZ1519"/>
      <c r="UPA1519"/>
      <c r="UPB1519"/>
      <c r="UPC1519"/>
      <c r="UPD1519"/>
      <c r="UPE1519"/>
      <c r="UPF1519"/>
      <c r="UPG1519"/>
      <c r="UPH1519"/>
      <c r="UPI1519"/>
      <c r="UPJ1519"/>
      <c r="UPK1519"/>
      <c r="UPL1519"/>
      <c r="UPM1519"/>
      <c r="UPN1519"/>
      <c r="UPO1519"/>
      <c r="UPP1519"/>
      <c r="UPQ1519"/>
      <c r="UPR1519"/>
      <c r="UPS1519"/>
      <c r="UPT1519"/>
      <c r="UPU1519"/>
      <c r="UPV1519"/>
      <c r="UPW1519"/>
      <c r="UPX1519"/>
      <c r="UPY1519"/>
      <c r="UPZ1519"/>
      <c r="UQA1519"/>
      <c r="UQB1519"/>
      <c r="UQC1519"/>
      <c r="UQD1519"/>
      <c r="UQE1519"/>
      <c r="UQF1519"/>
      <c r="UQG1519"/>
      <c r="UQH1519"/>
      <c r="UQI1519"/>
      <c r="UQJ1519"/>
      <c r="UQK1519"/>
      <c r="UQL1519"/>
      <c r="UQM1519"/>
      <c r="UQN1519"/>
      <c r="UQO1519"/>
      <c r="UQP1519"/>
      <c r="UQQ1519"/>
      <c r="UQR1519"/>
      <c r="UQS1519"/>
      <c r="UQT1519"/>
      <c r="UQU1519"/>
      <c r="UQV1519"/>
      <c r="UQW1519"/>
      <c r="UQX1519"/>
      <c r="UQY1519"/>
      <c r="UQZ1519"/>
      <c r="URA1519"/>
      <c r="URB1519"/>
      <c r="URC1519"/>
      <c r="URD1519"/>
      <c r="URE1519"/>
      <c r="URF1519"/>
      <c r="URG1519"/>
      <c r="URH1519"/>
      <c r="URI1519"/>
      <c r="URJ1519"/>
      <c r="URK1519"/>
      <c r="URL1519"/>
      <c r="URM1519"/>
      <c r="URN1519"/>
      <c r="URO1519"/>
      <c r="URP1519"/>
      <c r="URQ1519"/>
      <c r="URR1519"/>
      <c r="URS1519"/>
      <c r="URT1519"/>
      <c r="URU1519"/>
      <c r="URV1519"/>
      <c r="URW1519"/>
      <c r="URX1519"/>
      <c r="URY1519"/>
      <c r="URZ1519"/>
      <c r="USA1519"/>
      <c r="USB1519"/>
      <c r="USC1519"/>
      <c r="USD1519"/>
      <c r="USE1519"/>
      <c r="USF1519"/>
      <c r="USG1519"/>
      <c r="USH1519"/>
      <c r="USI1519"/>
      <c r="USJ1519"/>
      <c r="USK1519"/>
      <c r="USL1519"/>
      <c r="USM1519"/>
      <c r="USN1519"/>
      <c r="USO1519"/>
      <c r="USP1519"/>
      <c r="USQ1519"/>
      <c r="USR1519"/>
      <c r="USS1519"/>
      <c r="UST1519"/>
      <c r="USU1519"/>
      <c r="USV1519"/>
      <c r="USW1519"/>
      <c r="USX1519"/>
      <c r="USY1519"/>
      <c r="USZ1519"/>
      <c r="UTA1519"/>
      <c r="UTB1519"/>
      <c r="UTC1519"/>
      <c r="UTD1519"/>
      <c r="UTE1519"/>
      <c r="UTF1519"/>
      <c r="UTG1519"/>
      <c r="UTH1519"/>
      <c r="UTI1519"/>
      <c r="UTJ1519"/>
      <c r="UTK1519"/>
      <c r="UTL1519"/>
      <c r="UTM1519"/>
      <c r="UTN1519"/>
      <c r="UTO1519"/>
      <c r="UTP1519"/>
      <c r="UTQ1519"/>
      <c r="UTR1519"/>
      <c r="UTS1519"/>
      <c r="UTT1519"/>
      <c r="UTU1519"/>
      <c r="UTV1519"/>
      <c r="UTW1519"/>
      <c r="UTX1519"/>
      <c r="UTY1519"/>
      <c r="UTZ1519"/>
      <c r="UUA1519"/>
      <c r="UUB1519"/>
      <c r="UUC1519"/>
      <c r="UUD1519"/>
      <c r="UUE1519"/>
      <c r="UUF1519"/>
      <c r="UUG1519"/>
      <c r="UUH1519"/>
      <c r="UUI1519"/>
      <c r="UUJ1519"/>
      <c r="UUK1519"/>
      <c r="UUL1519"/>
      <c r="UUM1519"/>
      <c r="UUN1519"/>
      <c r="UUO1519"/>
      <c r="UUP1519"/>
      <c r="UUQ1519"/>
      <c r="UUR1519"/>
      <c r="UUS1519"/>
      <c r="UUT1519"/>
      <c r="UUU1519"/>
      <c r="UUV1519"/>
      <c r="UUW1519"/>
      <c r="UUX1519"/>
      <c r="UUY1519"/>
      <c r="UUZ1519"/>
      <c r="UVA1519"/>
      <c r="UVB1519"/>
      <c r="UVC1519"/>
      <c r="UVD1519"/>
      <c r="UVE1519"/>
      <c r="UVF1519"/>
      <c r="UVG1519"/>
      <c r="UVH1519"/>
      <c r="UVI1519"/>
      <c r="UVJ1519"/>
      <c r="UVK1519"/>
      <c r="UVL1519"/>
      <c r="UVM1519"/>
      <c r="UVN1519"/>
      <c r="UVO1519"/>
      <c r="UVP1519"/>
      <c r="UVQ1519"/>
      <c r="UVR1519"/>
      <c r="UVS1519"/>
      <c r="UVT1519"/>
      <c r="UVU1519"/>
      <c r="UVV1519"/>
      <c r="UVW1519"/>
      <c r="UVX1519"/>
      <c r="UVY1519"/>
      <c r="UVZ1519"/>
      <c r="UWA1519"/>
      <c r="UWB1519"/>
      <c r="UWC1519"/>
      <c r="UWD1519"/>
      <c r="UWE1519"/>
      <c r="UWF1519"/>
      <c r="UWG1519"/>
      <c r="UWH1519"/>
      <c r="UWI1519"/>
      <c r="UWJ1519"/>
      <c r="UWK1519"/>
      <c r="UWL1519"/>
      <c r="UWM1519"/>
      <c r="UWN1519"/>
      <c r="UWO1519"/>
      <c r="UWP1519"/>
      <c r="UWQ1519"/>
      <c r="UWR1519"/>
      <c r="UWS1519"/>
      <c r="UWT1519"/>
      <c r="UWU1519"/>
      <c r="UWV1519"/>
      <c r="UWW1519"/>
      <c r="UWX1519"/>
      <c r="UWY1519"/>
      <c r="UWZ1519"/>
      <c r="UXA1519"/>
      <c r="UXB1519"/>
      <c r="UXC1519"/>
      <c r="UXD1519"/>
      <c r="UXE1519"/>
      <c r="UXF1519"/>
      <c r="UXG1519"/>
      <c r="UXH1519"/>
      <c r="UXI1519"/>
      <c r="UXJ1519"/>
      <c r="UXK1519"/>
      <c r="UXL1519"/>
      <c r="UXM1519"/>
      <c r="UXN1519"/>
      <c r="UXO1519"/>
      <c r="UXP1519"/>
      <c r="UXQ1519"/>
      <c r="UXR1519"/>
      <c r="UXS1519"/>
      <c r="UXT1519"/>
      <c r="UXU1519"/>
      <c r="UXV1519"/>
      <c r="UXW1519"/>
      <c r="UXX1519"/>
      <c r="UXY1519"/>
      <c r="UXZ1519"/>
      <c r="UYA1519"/>
      <c r="UYB1519"/>
      <c r="UYC1519"/>
      <c r="UYD1519"/>
      <c r="UYE1519"/>
      <c r="UYF1519"/>
      <c r="UYG1519"/>
      <c r="UYH1519"/>
      <c r="UYI1519"/>
      <c r="UYJ1519"/>
      <c r="UYK1519"/>
      <c r="UYL1519"/>
      <c r="UYM1519"/>
      <c r="UYN1519"/>
      <c r="UYO1519"/>
      <c r="UYP1519"/>
      <c r="UYQ1519"/>
      <c r="UYR1519"/>
      <c r="UYS1519"/>
      <c r="UYT1519"/>
      <c r="UYU1519"/>
      <c r="UYV1519"/>
      <c r="UYW1519"/>
      <c r="UYX1519"/>
      <c r="UYY1519"/>
      <c r="UYZ1519"/>
      <c r="UZA1519"/>
      <c r="UZB1519"/>
      <c r="UZC1519"/>
      <c r="UZD1519"/>
      <c r="UZE1519"/>
      <c r="UZF1519"/>
      <c r="UZG1519"/>
      <c r="UZH1519"/>
      <c r="UZI1519"/>
      <c r="UZJ1519"/>
      <c r="UZK1519"/>
      <c r="UZL1519"/>
      <c r="UZM1519"/>
      <c r="UZN1519"/>
      <c r="UZO1519"/>
      <c r="UZP1519"/>
      <c r="UZQ1519"/>
      <c r="UZR1519"/>
      <c r="UZS1519"/>
      <c r="UZT1519"/>
      <c r="UZU1519"/>
      <c r="UZV1519"/>
      <c r="UZW1519"/>
      <c r="UZX1519"/>
      <c r="UZY1519"/>
      <c r="UZZ1519"/>
      <c r="VAA1519"/>
      <c r="VAB1519"/>
      <c r="VAC1519"/>
      <c r="VAD1519"/>
      <c r="VAE1519"/>
      <c r="VAF1519"/>
      <c r="VAG1519"/>
      <c r="VAH1519"/>
      <c r="VAI1519"/>
      <c r="VAJ1519"/>
      <c r="VAK1519"/>
      <c r="VAL1519"/>
      <c r="VAM1519"/>
      <c r="VAN1519"/>
      <c r="VAO1519"/>
      <c r="VAP1519"/>
      <c r="VAQ1519"/>
      <c r="VAR1519"/>
      <c r="VAS1519"/>
      <c r="VAT1519"/>
      <c r="VAU1519"/>
      <c r="VAV1519"/>
      <c r="VAW1519"/>
      <c r="VAX1519"/>
      <c r="VAY1519"/>
      <c r="VAZ1519"/>
      <c r="VBA1519"/>
      <c r="VBB1519"/>
      <c r="VBC1519"/>
      <c r="VBD1519"/>
      <c r="VBE1519"/>
      <c r="VBF1519"/>
      <c r="VBG1519"/>
      <c r="VBH1519"/>
      <c r="VBI1519"/>
      <c r="VBJ1519"/>
      <c r="VBK1519"/>
      <c r="VBL1519"/>
      <c r="VBM1519"/>
      <c r="VBN1519"/>
      <c r="VBO1519"/>
      <c r="VBP1519"/>
      <c r="VBQ1519"/>
      <c r="VBR1519"/>
      <c r="VBS1519"/>
      <c r="VBT1519"/>
      <c r="VBU1519"/>
      <c r="VBV1519"/>
      <c r="VBW1519"/>
      <c r="VBX1519"/>
      <c r="VBY1519"/>
      <c r="VBZ1519"/>
      <c r="VCA1519"/>
      <c r="VCB1519"/>
      <c r="VCC1519"/>
      <c r="VCD1519"/>
      <c r="VCE1519"/>
      <c r="VCF1519"/>
      <c r="VCG1519"/>
      <c r="VCH1519"/>
      <c r="VCI1519"/>
      <c r="VCJ1519"/>
      <c r="VCK1519"/>
      <c r="VCL1519"/>
      <c r="VCM1519"/>
      <c r="VCN1519"/>
      <c r="VCO1519"/>
      <c r="VCP1519"/>
      <c r="VCQ1519"/>
      <c r="VCR1519"/>
      <c r="VCS1519"/>
      <c r="VCT1519"/>
      <c r="VCU1519"/>
      <c r="VCV1519"/>
      <c r="VCW1519"/>
      <c r="VCX1519"/>
      <c r="VCY1519"/>
      <c r="VCZ1519"/>
      <c r="VDA1519"/>
      <c r="VDB1519"/>
      <c r="VDC1519"/>
      <c r="VDD1519"/>
      <c r="VDE1519"/>
      <c r="VDF1519"/>
      <c r="VDG1519"/>
      <c r="VDH1519"/>
      <c r="VDI1519"/>
      <c r="VDJ1519"/>
      <c r="VDK1519"/>
      <c r="VDL1519"/>
      <c r="VDM1519"/>
      <c r="VDN1519"/>
      <c r="VDO1519"/>
      <c r="VDP1519"/>
      <c r="VDQ1519"/>
      <c r="VDR1519"/>
      <c r="VDS1519"/>
      <c r="VDT1519"/>
      <c r="VDU1519"/>
      <c r="VDV1519"/>
      <c r="VDW1519"/>
      <c r="VDX1519"/>
      <c r="VDY1519"/>
      <c r="VDZ1519"/>
      <c r="VEA1519"/>
      <c r="VEB1519"/>
      <c r="VEC1519"/>
      <c r="VED1519"/>
      <c r="VEE1519"/>
      <c r="VEF1519"/>
      <c r="VEG1519"/>
      <c r="VEH1519"/>
      <c r="VEI1519"/>
      <c r="VEJ1519"/>
      <c r="VEK1519"/>
      <c r="VEL1519"/>
      <c r="VEM1519"/>
      <c r="VEN1519"/>
      <c r="VEO1519"/>
      <c r="VEP1519"/>
      <c r="VEQ1519"/>
      <c r="VER1519"/>
      <c r="VES1519"/>
      <c r="VET1519"/>
      <c r="VEU1519"/>
      <c r="VEV1519"/>
      <c r="VEW1519"/>
      <c r="VEX1519"/>
      <c r="VEY1519"/>
      <c r="VEZ1519"/>
      <c r="VFA1519"/>
      <c r="VFB1519"/>
      <c r="VFC1519"/>
      <c r="VFD1519"/>
      <c r="VFE1519"/>
      <c r="VFF1519"/>
      <c r="VFG1519"/>
      <c r="VFH1519"/>
      <c r="VFI1519"/>
      <c r="VFJ1519"/>
      <c r="VFK1519"/>
      <c r="VFL1519"/>
      <c r="VFM1519"/>
      <c r="VFN1519"/>
      <c r="VFO1519"/>
      <c r="VFP1519"/>
      <c r="VFQ1519"/>
      <c r="VFR1519"/>
      <c r="VFS1519"/>
      <c r="VFT1519"/>
      <c r="VFU1519"/>
      <c r="VFV1519"/>
      <c r="VFW1519"/>
      <c r="VFX1519"/>
      <c r="VFY1519"/>
      <c r="VFZ1519"/>
      <c r="VGA1519"/>
      <c r="VGB1519"/>
      <c r="VGC1519"/>
      <c r="VGD1519"/>
      <c r="VGE1519"/>
      <c r="VGF1519"/>
      <c r="VGG1519"/>
      <c r="VGH1519"/>
      <c r="VGI1519"/>
      <c r="VGJ1519"/>
      <c r="VGK1519"/>
      <c r="VGL1519"/>
      <c r="VGM1519"/>
      <c r="VGN1519"/>
      <c r="VGO1519"/>
      <c r="VGP1519"/>
      <c r="VGQ1519"/>
      <c r="VGR1519"/>
      <c r="VGS1519"/>
      <c r="VGT1519"/>
      <c r="VGU1519"/>
      <c r="VGV1519"/>
      <c r="VGW1519"/>
      <c r="VGX1519"/>
      <c r="VGY1519"/>
      <c r="VGZ1519"/>
      <c r="VHA1519"/>
      <c r="VHB1519"/>
      <c r="VHC1519"/>
      <c r="VHD1519"/>
      <c r="VHE1519"/>
      <c r="VHF1519"/>
      <c r="VHG1519"/>
      <c r="VHH1519"/>
      <c r="VHI1519"/>
      <c r="VHJ1519"/>
      <c r="VHK1519"/>
      <c r="VHL1519"/>
      <c r="VHM1519"/>
      <c r="VHN1519"/>
      <c r="VHO1519"/>
      <c r="VHP1519"/>
      <c r="VHQ1519"/>
      <c r="VHR1519"/>
      <c r="VHS1519"/>
      <c r="VHT1519"/>
      <c r="VHU1519"/>
      <c r="VHV1519"/>
      <c r="VHW1519"/>
      <c r="VHX1519"/>
      <c r="VHY1519"/>
      <c r="VHZ1519"/>
      <c r="VIA1519"/>
      <c r="VIB1519"/>
      <c r="VIC1519"/>
      <c r="VID1519"/>
      <c r="VIE1519"/>
      <c r="VIF1519"/>
      <c r="VIG1519"/>
      <c r="VIH1519"/>
      <c r="VII1519"/>
      <c r="VIJ1519"/>
      <c r="VIK1519"/>
      <c r="VIL1519"/>
      <c r="VIM1519"/>
      <c r="VIN1519"/>
      <c r="VIO1519"/>
      <c r="VIP1519"/>
      <c r="VIQ1519"/>
      <c r="VIR1519"/>
      <c r="VIS1519"/>
      <c r="VIT1519"/>
      <c r="VIU1519"/>
      <c r="VIV1519"/>
      <c r="VIW1519"/>
      <c r="VIX1519"/>
      <c r="VIY1519"/>
      <c r="VIZ1519"/>
      <c r="VJA1519"/>
      <c r="VJB1519"/>
      <c r="VJC1519"/>
      <c r="VJD1519"/>
      <c r="VJE1519"/>
      <c r="VJF1519"/>
      <c r="VJG1519"/>
      <c r="VJH1519"/>
      <c r="VJI1519"/>
      <c r="VJJ1519"/>
      <c r="VJK1519"/>
      <c r="VJL1519"/>
      <c r="VJM1519"/>
      <c r="VJN1519"/>
      <c r="VJO1519"/>
      <c r="VJP1519"/>
      <c r="VJQ1519"/>
      <c r="VJR1519"/>
      <c r="VJS1519"/>
      <c r="VJT1519"/>
      <c r="VJU1519"/>
      <c r="VJV1519"/>
      <c r="VJW1519"/>
      <c r="VJX1519"/>
      <c r="VJY1519"/>
      <c r="VJZ1519"/>
      <c r="VKA1519"/>
      <c r="VKB1519"/>
      <c r="VKC1519"/>
      <c r="VKD1519"/>
      <c r="VKE1519"/>
      <c r="VKF1519"/>
      <c r="VKG1519"/>
      <c r="VKH1519"/>
      <c r="VKI1519"/>
      <c r="VKJ1519"/>
      <c r="VKK1519"/>
      <c r="VKL1519"/>
      <c r="VKM1519"/>
      <c r="VKN1519"/>
      <c r="VKO1519"/>
      <c r="VKP1519"/>
      <c r="VKQ1519"/>
      <c r="VKR1519"/>
      <c r="VKS1519"/>
      <c r="VKT1519"/>
      <c r="VKU1519"/>
      <c r="VKV1519"/>
      <c r="VKW1519"/>
      <c r="VKX1519"/>
      <c r="VKY1519"/>
      <c r="VKZ1519"/>
      <c r="VLA1519"/>
      <c r="VLB1519"/>
      <c r="VLC1519"/>
      <c r="VLD1519"/>
      <c r="VLE1519"/>
      <c r="VLF1519"/>
      <c r="VLG1519"/>
      <c r="VLH1519"/>
      <c r="VLI1519"/>
      <c r="VLJ1519"/>
      <c r="VLK1519"/>
      <c r="VLL1519"/>
      <c r="VLM1519"/>
      <c r="VLN1519"/>
      <c r="VLO1519"/>
      <c r="VLP1519"/>
      <c r="VLQ1519"/>
      <c r="VLR1519"/>
      <c r="VLS1519"/>
      <c r="VLT1519"/>
      <c r="VLU1519"/>
      <c r="VLV1519"/>
      <c r="VLW1519"/>
      <c r="VLX1519"/>
      <c r="VLY1519"/>
      <c r="VLZ1519"/>
      <c r="VMA1519"/>
      <c r="VMB1519"/>
      <c r="VMC1519"/>
      <c r="VMD1519"/>
      <c r="VME1519"/>
      <c r="VMF1519"/>
      <c r="VMG1519"/>
      <c r="VMH1519"/>
      <c r="VMI1519"/>
      <c r="VMJ1519"/>
      <c r="VMK1519"/>
      <c r="VML1519"/>
      <c r="VMM1519"/>
      <c r="VMN1519"/>
      <c r="VMO1519"/>
      <c r="VMP1519"/>
      <c r="VMQ1519"/>
      <c r="VMR1519"/>
      <c r="VMS1519"/>
      <c r="VMT1519"/>
      <c r="VMU1519"/>
      <c r="VMV1519"/>
      <c r="VMW1519"/>
      <c r="VMX1519"/>
      <c r="VMY1519"/>
      <c r="VMZ1519"/>
      <c r="VNA1519"/>
      <c r="VNB1519"/>
      <c r="VNC1519"/>
      <c r="VND1519"/>
      <c r="VNE1519"/>
      <c r="VNF1519"/>
      <c r="VNG1519"/>
      <c r="VNH1519"/>
      <c r="VNI1519"/>
      <c r="VNJ1519"/>
      <c r="VNK1519"/>
      <c r="VNL1519"/>
      <c r="VNM1519"/>
      <c r="VNN1519"/>
      <c r="VNO1519"/>
      <c r="VNP1519"/>
      <c r="VNQ1519"/>
      <c r="VNR1519"/>
      <c r="VNS1519"/>
      <c r="VNT1519"/>
      <c r="VNU1519"/>
      <c r="VNV1519"/>
      <c r="VNW1519"/>
      <c r="VNX1519"/>
      <c r="VNY1519"/>
      <c r="VNZ1519"/>
      <c r="VOA1519"/>
      <c r="VOB1519"/>
      <c r="VOC1519"/>
      <c r="VOD1519"/>
      <c r="VOE1519"/>
      <c r="VOF1519"/>
      <c r="VOG1519"/>
      <c r="VOH1519"/>
      <c r="VOI1519"/>
      <c r="VOJ1519"/>
      <c r="VOK1519"/>
      <c r="VOL1519"/>
      <c r="VOM1519"/>
      <c r="VON1519"/>
      <c r="VOO1519"/>
      <c r="VOP1519"/>
      <c r="VOQ1519"/>
      <c r="VOR1519"/>
      <c r="VOS1519"/>
      <c r="VOT1519"/>
      <c r="VOU1519"/>
      <c r="VOV1519"/>
      <c r="VOW1519"/>
      <c r="VOX1519"/>
      <c r="VOY1519"/>
      <c r="VOZ1519"/>
      <c r="VPA1519"/>
      <c r="VPB1519"/>
      <c r="VPC1519"/>
      <c r="VPD1519"/>
      <c r="VPE1519"/>
      <c r="VPF1519"/>
      <c r="VPG1519"/>
      <c r="VPH1519"/>
      <c r="VPI1519"/>
      <c r="VPJ1519"/>
      <c r="VPK1519"/>
      <c r="VPL1519"/>
      <c r="VPM1519"/>
      <c r="VPN1519"/>
      <c r="VPO1519"/>
      <c r="VPP1519"/>
      <c r="VPQ1519"/>
      <c r="VPR1519"/>
      <c r="VPS1519"/>
      <c r="VPT1519"/>
      <c r="VPU1519"/>
      <c r="VPV1519"/>
      <c r="VPW1519"/>
      <c r="VPX1519"/>
      <c r="VPY1519"/>
      <c r="VPZ1519"/>
      <c r="VQA1519"/>
      <c r="VQB1519"/>
      <c r="VQC1519"/>
      <c r="VQD1519"/>
      <c r="VQE1519"/>
      <c r="VQF1519"/>
      <c r="VQG1519"/>
      <c r="VQH1519"/>
      <c r="VQI1519"/>
      <c r="VQJ1519"/>
      <c r="VQK1519"/>
      <c r="VQL1519"/>
      <c r="VQM1519"/>
      <c r="VQN1519"/>
      <c r="VQO1519"/>
      <c r="VQP1519"/>
      <c r="VQQ1519"/>
      <c r="VQR1519"/>
      <c r="VQS1519"/>
      <c r="VQT1519"/>
      <c r="VQU1519"/>
      <c r="VQV1519"/>
      <c r="VQW1519"/>
      <c r="VQX1519"/>
      <c r="VQY1519"/>
      <c r="VQZ1519"/>
      <c r="VRA1519"/>
      <c r="VRB1519"/>
      <c r="VRC1519"/>
      <c r="VRD1519"/>
      <c r="VRE1519"/>
      <c r="VRF1519"/>
      <c r="VRG1519"/>
      <c r="VRH1519"/>
      <c r="VRI1519"/>
      <c r="VRJ1519"/>
      <c r="VRK1519"/>
      <c r="VRL1519"/>
      <c r="VRM1519"/>
      <c r="VRN1519"/>
      <c r="VRO1519"/>
      <c r="VRP1519"/>
      <c r="VRQ1519"/>
      <c r="VRR1519"/>
      <c r="VRS1519"/>
      <c r="VRT1519"/>
      <c r="VRU1519"/>
      <c r="VRV1519"/>
      <c r="VRW1519"/>
      <c r="VRX1519"/>
      <c r="VRY1519"/>
      <c r="VRZ1519"/>
      <c r="VSA1519"/>
      <c r="VSB1519"/>
      <c r="VSC1519"/>
      <c r="VSD1519"/>
      <c r="VSE1519"/>
      <c r="VSF1519"/>
      <c r="VSG1519"/>
      <c r="VSH1519"/>
      <c r="VSI1519"/>
      <c r="VSJ1519"/>
      <c r="VSK1519"/>
      <c r="VSL1519"/>
      <c r="VSM1519"/>
      <c r="VSN1519"/>
      <c r="VSO1519"/>
      <c r="VSP1519"/>
      <c r="VSQ1519"/>
      <c r="VSR1519"/>
      <c r="VSS1519"/>
      <c r="VST1519"/>
      <c r="VSU1519"/>
      <c r="VSV1519"/>
      <c r="VSW1519"/>
      <c r="VSX1519"/>
      <c r="VSY1519"/>
      <c r="VSZ1519"/>
      <c r="VTA1519"/>
      <c r="VTB1519"/>
      <c r="VTC1519"/>
      <c r="VTD1519"/>
      <c r="VTE1519"/>
      <c r="VTF1519"/>
      <c r="VTG1519"/>
      <c r="VTH1519"/>
      <c r="VTI1519"/>
      <c r="VTJ1519"/>
      <c r="VTK1519"/>
      <c r="VTL1519"/>
      <c r="VTM1519"/>
      <c r="VTN1519"/>
      <c r="VTO1519"/>
      <c r="VTP1519"/>
      <c r="VTQ1519"/>
      <c r="VTR1519"/>
      <c r="VTS1519"/>
      <c r="VTT1519"/>
      <c r="VTU1519"/>
      <c r="VTV1519"/>
      <c r="VTW1519"/>
      <c r="VTX1519"/>
      <c r="VTY1519"/>
      <c r="VTZ1519"/>
      <c r="VUA1519"/>
      <c r="VUB1519"/>
      <c r="VUC1519"/>
      <c r="VUD1519"/>
      <c r="VUE1519"/>
      <c r="VUF1519"/>
      <c r="VUG1519"/>
      <c r="VUH1519"/>
      <c r="VUI1519"/>
      <c r="VUJ1519"/>
      <c r="VUK1519"/>
      <c r="VUL1519"/>
      <c r="VUM1519"/>
      <c r="VUN1519"/>
      <c r="VUO1519"/>
      <c r="VUP1519"/>
      <c r="VUQ1519"/>
      <c r="VUR1519"/>
      <c r="VUS1519"/>
      <c r="VUT1519"/>
      <c r="VUU1519"/>
      <c r="VUV1519"/>
      <c r="VUW1519"/>
      <c r="VUX1519"/>
      <c r="VUY1519"/>
      <c r="VUZ1519"/>
      <c r="VVA1519"/>
      <c r="VVB1519"/>
      <c r="VVC1519"/>
      <c r="VVD1519"/>
      <c r="VVE1519"/>
      <c r="VVF1519"/>
      <c r="VVG1519"/>
      <c r="VVH1519"/>
      <c r="VVI1519"/>
      <c r="VVJ1519"/>
      <c r="VVK1519"/>
      <c r="VVL1519"/>
      <c r="VVM1519"/>
      <c r="VVN1519"/>
      <c r="VVO1519"/>
      <c r="VVP1519"/>
      <c r="VVQ1519"/>
      <c r="VVR1519"/>
      <c r="VVS1519"/>
      <c r="VVT1519"/>
      <c r="VVU1519"/>
      <c r="VVV1519"/>
      <c r="VVW1519"/>
      <c r="VVX1519"/>
      <c r="VVY1519"/>
      <c r="VVZ1519"/>
      <c r="VWA1519"/>
      <c r="VWB1519"/>
      <c r="VWC1519"/>
      <c r="VWD1519"/>
      <c r="VWE1519"/>
      <c r="VWF1519"/>
      <c r="VWG1519"/>
      <c r="VWH1519"/>
      <c r="VWI1519"/>
      <c r="VWJ1519"/>
      <c r="VWK1519"/>
      <c r="VWL1519"/>
      <c r="VWM1519"/>
      <c r="VWN1519"/>
      <c r="VWO1519"/>
      <c r="VWP1519"/>
      <c r="VWQ1519"/>
      <c r="VWR1519"/>
      <c r="VWS1519"/>
      <c r="VWT1519"/>
      <c r="VWU1519"/>
      <c r="VWV1519"/>
      <c r="VWW1519"/>
      <c r="VWX1519"/>
      <c r="VWY1519"/>
      <c r="VWZ1519"/>
      <c r="VXA1519"/>
      <c r="VXB1519"/>
      <c r="VXC1519"/>
      <c r="VXD1519"/>
      <c r="VXE1519"/>
      <c r="VXF1519"/>
      <c r="VXG1519"/>
      <c r="VXH1519"/>
      <c r="VXI1519"/>
      <c r="VXJ1519"/>
      <c r="VXK1519"/>
      <c r="VXL1519"/>
      <c r="VXM1519"/>
      <c r="VXN1519"/>
      <c r="VXO1519"/>
      <c r="VXP1519"/>
      <c r="VXQ1519"/>
      <c r="VXR1519"/>
      <c r="VXS1519"/>
      <c r="VXT1519"/>
      <c r="VXU1519"/>
      <c r="VXV1519"/>
      <c r="VXW1519"/>
      <c r="VXX1519"/>
      <c r="VXY1519"/>
      <c r="VXZ1519"/>
      <c r="VYA1519"/>
      <c r="VYB1519"/>
      <c r="VYC1519"/>
      <c r="VYD1519"/>
      <c r="VYE1519"/>
      <c r="VYF1519"/>
      <c r="VYG1519"/>
      <c r="VYH1519"/>
      <c r="VYI1519"/>
      <c r="VYJ1519"/>
      <c r="VYK1519"/>
      <c r="VYL1519"/>
      <c r="VYM1519"/>
      <c r="VYN1519"/>
      <c r="VYO1519"/>
      <c r="VYP1519"/>
      <c r="VYQ1519"/>
      <c r="VYR1519"/>
      <c r="VYS1519"/>
      <c r="VYT1519"/>
      <c r="VYU1519"/>
      <c r="VYV1519"/>
      <c r="VYW1519"/>
      <c r="VYX1519"/>
      <c r="VYY1519"/>
      <c r="VYZ1519"/>
      <c r="VZA1519"/>
      <c r="VZB1519"/>
      <c r="VZC1519"/>
      <c r="VZD1519"/>
      <c r="VZE1519"/>
      <c r="VZF1519"/>
      <c r="VZG1519"/>
      <c r="VZH1519"/>
      <c r="VZI1519"/>
      <c r="VZJ1519"/>
      <c r="VZK1519"/>
      <c r="VZL1519"/>
      <c r="VZM1519"/>
      <c r="VZN1519"/>
      <c r="VZO1519"/>
      <c r="VZP1519"/>
      <c r="VZQ1519"/>
      <c r="VZR1519"/>
      <c r="VZS1519"/>
      <c r="VZT1519"/>
      <c r="VZU1519"/>
      <c r="VZV1519"/>
      <c r="VZW1519"/>
      <c r="VZX1519"/>
      <c r="VZY1519"/>
      <c r="VZZ1519"/>
      <c r="WAA1519"/>
      <c r="WAB1519"/>
      <c r="WAC1519"/>
      <c r="WAD1519"/>
      <c r="WAE1519"/>
      <c r="WAF1519"/>
      <c r="WAG1519"/>
      <c r="WAH1519"/>
      <c r="WAI1519"/>
      <c r="WAJ1519"/>
      <c r="WAK1519"/>
      <c r="WAL1519"/>
      <c r="WAM1519"/>
      <c r="WAN1519"/>
      <c r="WAO1519"/>
      <c r="WAP1519"/>
      <c r="WAQ1519"/>
      <c r="WAR1519"/>
      <c r="WAS1519"/>
      <c r="WAT1519"/>
      <c r="WAU1519"/>
      <c r="WAV1519"/>
      <c r="WAW1519"/>
      <c r="WAX1519"/>
      <c r="WAY1519"/>
      <c r="WAZ1519"/>
      <c r="WBA1519"/>
      <c r="WBB1519"/>
      <c r="WBC1519"/>
      <c r="WBD1519"/>
      <c r="WBE1519"/>
      <c r="WBF1519"/>
      <c r="WBG1519"/>
      <c r="WBH1519"/>
      <c r="WBI1519"/>
      <c r="WBJ1519"/>
      <c r="WBK1519"/>
      <c r="WBL1519"/>
      <c r="WBM1519"/>
      <c r="WBN1519"/>
      <c r="WBO1519"/>
      <c r="WBP1519"/>
      <c r="WBQ1519"/>
      <c r="WBR1519"/>
      <c r="WBS1519"/>
      <c r="WBT1519"/>
      <c r="WBU1519"/>
      <c r="WBV1519"/>
      <c r="WBW1519"/>
      <c r="WBX1519"/>
      <c r="WBY1519"/>
      <c r="WBZ1519"/>
      <c r="WCA1519"/>
      <c r="WCB1519"/>
      <c r="WCC1519"/>
      <c r="WCD1519"/>
      <c r="WCE1519"/>
      <c r="WCF1519"/>
      <c r="WCG1519"/>
      <c r="WCH1519"/>
      <c r="WCI1519"/>
      <c r="WCJ1519"/>
      <c r="WCK1519"/>
      <c r="WCL1519"/>
      <c r="WCM1519"/>
      <c r="WCN1519"/>
      <c r="WCO1519"/>
      <c r="WCP1519"/>
      <c r="WCQ1519"/>
      <c r="WCR1519"/>
      <c r="WCS1519"/>
      <c r="WCT1519"/>
      <c r="WCU1519"/>
      <c r="WCV1519"/>
      <c r="WCW1519"/>
      <c r="WCX1519"/>
      <c r="WCY1519"/>
      <c r="WCZ1519"/>
      <c r="WDA1519"/>
      <c r="WDB1519"/>
      <c r="WDC1519"/>
      <c r="WDD1519"/>
      <c r="WDE1519"/>
      <c r="WDF1519"/>
      <c r="WDG1519"/>
      <c r="WDH1519"/>
      <c r="WDI1519"/>
      <c r="WDJ1519"/>
      <c r="WDK1519"/>
      <c r="WDL1519"/>
      <c r="WDM1519"/>
      <c r="WDN1519"/>
      <c r="WDO1519"/>
      <c r="WDP1519"/>
      <c r="WDQ1519"/>
      <c r="WDR1519"/>
      <c r="WDS1519"/>
      <c r="WDT1519"/>
      <c r="WDU1519"/>
      <c r="WDV1519"/>
      <c r="WDW1519"/>
      <c r="WDX1519"/>
      <c r="WDY1519"/>
      <c r="WDZ1519"/>
      <c r="WEA1519"/>
      <c r="WEB1519"/>
      <c r="WEC1519"/>
      <c r="WED1519"/>
      <c r="WEE1519"/>
      <c r="WEF1519"/>
      <c r="WEG1519"/>
      <c r="WEH1519"/>
      <c r="WEI1519"/>
      <c r="WEJ1519"/>
      <c r="WEK1519"/>
      <c r="WEL1519"/>
      <c r="WEM1519"/>
      <c r="WEN1519"/>
      <c r="WEO1519"/>
      <c r="WEP1519"/>
      <c r="WEQ1519"/>
      <c r="WER1519"/>
      <c r="WES1519"/>
      <c r="WET1519"/>
      <c r="WEU1519"/>
      <c r="WEV1519"/>
      <c r="WEW1519"/>
      <c r="WEX1519"/>
      <c r="WEY1519"/>
      <c r="WEZ1519"/>
      <c r="WFA1519"/>
      <c r="WFB1519"/>
      <c r="WFC1519"/>
      <c r="WFD1519"/>
      <c r="WFE1519"/>
      <c r="WFF1519"/>
      <c r="WFG1519"/>
      <c r="WFH1519"/>
      <c r="WFI1519"/>
      <c r="WFJ1519"/>
      <c r="WFK1519"/>
      <c r="WFL1519"/>
      <c r="WFM1519"/>
      <c r="WFN1519"/>
      <c r="WFO1519"/>
      <c r="WFP1519"/>
      <c r="WFQ1519"/>
      <c r="WFR1519"/>
      <c r="WFS1519"/>
      <c r="WFT1519"/>
      <c r="WFU1519"/>
      <c r="WFV1519"/>
      <c r="WFW1519"/>
      <c r="WFX1519"/>
      <c r="WFY1519"/>
      <c r="WFZ1519"/>
      <c r="WGA1519"/>
      <c r="WGB1519"/>
      <c r="WGC1519"/>
      <c r="WGD1519"/>
      <c r="WGE1519"/>
      <c r="WGF1519"/>
      <c r="WGG1519"/>
      <c r="WGH1519"/>
      <c r="WGI1519"/>
      <c r="WGJ1519"/>
      <c r="WGK1519"/>
      <c r="WGL1519"/>
      <c r="WGM1519"/>
      <c r="WGN1519"/>
      <c r="WGO1519"/>
      <c r="WGP1519"/>
      <c r="WGQ1519"/>
      <c r="WGR1519"/>
      <c r="WGS1519"/>
      <c r="WGT1519"/>
      <c r="WGU1519"/>
      <c r="WGV1519"/>
      <c r="WGW1519"/>
      <c r="WGX1519"/>
      <c r="WGY1519"/>
      <c r="WGZ1519"/>
      <c r="WHA1519"/>
      <c r="WHB1519"/>
      <c r="WHC1519"/>
      <c r="WHD1519"/>
      <c r="WHE1519"/>
      <c r="WHF1519"/>
      <c r="WHG1519"/>
      <c r="WHH1519"/>
      <c r="WHI1519"/>
      <c r="WHJ1519"/>
      <c r="WHK1519"/>
      <c r="WHL1519"/>
      <c r="WHM1519"/>
      <c r="WHN1519"/>
      <c r="WHO1519"/>
      <c r="WHP1519"/>
      <c r="WHQ1519"/>
      <c r="WHR1519"/>
      <c r="WHS1519"/>
      <c r="WHT1519"/>
      <c r="WHU1519"/>
      <c r="WHV1519"/>
      <c r="WHW1519"/>
      <c r="WHX1519"/>
      <c r="WHY1519"/>
      <c r="WHZ1519"/>
      <c r="WIA1519"/>
      <c r="WIB1519"/>
      <c r="WIC1519"/>
      <c r="WID1519"/>
      <c r="WIE1519"/>
      <c r="WIF1519"/>
      <c r="WIG1519"/>
      <c r="WIH1519"/>
      <c r="WII1519"/>
      <c r="WIJ1519"/>
      <c r="WIK1519"/>
      <c r="WIL1519"/>
      <c r="WIM1519"/>
      <c r="WIN1519"/>
      <c r="WIO1519"/>
      <c r="WIP1519"/>
      <c r="WIQ1519"/>
      <c r="WIR1519"/>
      <c r="WIS1519"/>
      <c r="WIT1519"/>
      <c r="WIU1519"/>
      <c r="WIV1519"/>
      <c r="WIW1519"/>
      <c r="WIX1519"/>
      <c r="WIY1519"/>
      <c r="WIZ1519"/>
      <c r="WJA1519"/>
      <c r="WJB1519"/>
      <c r="WJC1519"/>
      <c r="WJD1519"/>
      <c r="WJE1519"/>
      <c r="WJF1519"/>
      <c r="WJG1519"/>
      <c r="WJH1519"/>
      <c r="WJI1519"/>
      <c r="WJJ1519"/>
      <c r="WJK1519"/>
      <c r="WJL1519"/>
      <c r="WJM1519"/>
      <c r="WJN1519"/>
      <c r="WJO1519"/>
      <c r="WJP1519"/>
      <c r="WJQ1519"/>
      <c r="WJR1519"/>
      <c r="WJS1519"/>
      <c r="WJT1519"/>
      <c r="WJU1519"/>
      <c r="WJV1519"/>
      <c r="WJW1519"/>
      <c r="WJX1519"/>
      <c r="WJY1519"/>
      <c r="WJZ1519"/>
      <c r="WKA1519"/>
      <c r="WKB1519"/>
      <c r="WKC1519"/>
      <c r="WKD1519"/>
      <c r="WKE1519"/>
      <c r="WKF1519"/>
      <c r="WKG1519"/>
      <c r="WKH1519"/>
      <c r="WKI1519"/>
      <c r="WKJ1519"/>
      <c r="WKK1519"/>
      <c r="WKL1519"/>
      <c r="WKM1519"/>
      <c r="WKN1519"/>
      <c r="WKO1519"/>
      <c r="WKP1519"/>
      <c r="WKQ1519"/>
      <c r="WKR1519"/>
      <c r="WKS1519"/>
      <c r="WKT1519"/>
      <c r="WKU1519"/>
      <c r="WKV1519"/>
      <c r="WKW1519"/>
      <c r="WKX1519"/>
      <c r="WKY1519"/>
      <c r="WKZ1519"/>
      <c r="WLA1519"/>
      <c r="WLB1519"/>
      <c r="WLC1519"/>
      <c r="WLD1519"/>
      <c r="WLE1519"/>
      <c r="WLF1519"/>
      <c r="WLG1519"/>
      <c r="WLH1519"/>
      <c r="WLI1519"/>
      <c r="WLJ1519"/>
      <c r="WLK1519"/>
      <c r="WLL1519"/>
      <c r="WLM1519"/>
      <c r="WLN1519"/>
      <c r="WLO1519"/>
      <c r="WLP1519"/>
      <c r="WLQ1519"/>
      <c r="WLR1519"/>
      <c r="WLS1519"/>
      <c r="WLT1519"/>
      <c r="WLU1519"/>
      <c r="WLV1519"/>
      <c r="WLW1519"/>
      <c r="WLX1519"/>
      <c r="WLY1519"/>
      <c r="WLZ1519"/>
      <c r="WMA1519"/>
      <c r="WMB1519"/>
      <c r="WMC1519"/>
      <c r="WMD1519"/>
      <c r="WME1519"/>
      <c r="WMF1519"/>
      <c r="WMG1519"/>
      <c r="WMH1519"/>
      <c r="WMI1519"/>
      <c r="WMJ1519"/>
      <c r="WMK1519"/>
      <c r="WML1519"/>
      <c r="WMM1519"/>
      <c r="WMN1519"/>
      <c r="WMO1519"/>
      <c r="WMP1519"/>
      <c r="WMQ1519"/>
      <c r="WMR1519"/>
      <c r="WMS1519"/>
      <c r="WMT1519"/>
      <c r="WMU1519"/>
      <c r="WMV1519"/>
      <c r="WMW1519"/>
      <c r="WMX1519"/>
      <c r="WMY1519"/>
      <c r="WMZ1519"/>
      <c r="WNA1519"/>
      <c r="WNB1519"/>
      <c r="WNC1519"/>
      <c r="WND1519"/>
      <c r="WNE1519"/>
      <c r="WNF1519"/>
      <c r="WNG1519"/>
      <c r="WNH1519"/>
      <c r="WNI1519"/>
      <c r="WNJ1519"/>
      <c r="WNK1519"/>
      <c r="WNL1519"/>
      <c r="WNM1519"/>
      <c r="WNN1519"/>
      <c r="WNO1519"/>
      <c r="WNP1519"/>
      <c r="WNQ1519"/>
      <c r="WNR1519"/>
      <c r="WNS1519"/>
      <c r="WNT1519"/>
      <c r="WNU1519"/>
      <c r="WNV1519"/>
      <c r="WNW1519"/>
      <c r="WNX1519"/>
      <c r="WNY1519"/>
      <c r="WNZ1519"/>
      <c r="WOA1519"/>
      <c r="WOB1519"/>
      <c r="WOC1519"/>
      <c r="WOD1519"/>
      <c r="WOE1519"/>
      <c r="WOF1519"/>
      <c r="WOG1519"/>
      <c r="WOH1519"/>
      <c r="WOI1519"/>
      <c r="WOJ1519"/>
      <c r="WOK1519"/>
      <c r="WOL1519"/>
      <c r="WOM1519"/>
      <c r="WON1519"/>
      <c r="WOO1519"/>
      <c r="WOP1519"/>
      <c r="WOQ1519"/>
      <c r="WOR1519"/>
      <c r="WOS1519"/>
      <c r="WOT1519"/>
      <c r="WOU1519"/>
      <c r="WOV1519"/>
      <c r="WOW1519"/>
      <c r="WOX1519"/>
      <c r="WOY1519"/>
      <c r="WOZ1519"/>
      <c r="WPA1519"/>
      <c r="WPB1519"/>
      <c r="WPC1519"/>
      <c r="WPD1519"/>
      <c r="WPE1519"/>
      <c r="WPF1519"/>
      <c r="WPG1519"/>
      <c r="WPH1519"/>
      <c r="WPI1519"/>
      <c r="WPJ1519"/>
      <c r="WPK1519"/>
      <c r="WPL1519"/>
      <c r="WPM1519"/>
      <c r="WPN1519"/>
      <c r="WPO1519"/>
      <c r="WPP1519"/>
      <c r="WPQ1519"/>
      <c r="WPR1519"/>
      <c r="WPS1519"/>
      <c r="WPT1519"/>
      <c r="WPU1519"/>
      <c r="WPV1519"/>
      <c r="WPW1519"/>
      <c r="WPX1519"/>
      <c r="WPY1519"/>
      <c r="WPZ1519"/>
      <c r="WQA1519"/>
      <c r="WQB1519"/>
      <c r="WQC1519"/>
      <c r="WQD1519"/>
      <c r="WQE1519"/>
      <c r="WQF1519"/>
      <c r="WQG1519"/>
      <c r="WQH1519"/>
      <c r="WQI1519"/>
      <c r="WQJ1519"/>
      <c r="WQK1519"/>
      <c r="WQL1519"/>
      <c r="WQM1519"/>
      <c r="WQN1519"/>
      <c r="WQO1519"/>
      <c r="WQP1519"/>
      <c r="WQQ1519"/>
      <c r="WQR1519"/>
      <c r="WQS1519"/>
      <c r="WQT1519"/>
      <c r="WQU1519"/>
      <c r="WQV1519"/>
      <c r="WQW1519"/>
      <c r="WQX1519"/>
      <c r="WQY1519"/>
      <c r="WQZ1519"/>
      <c r="WRA1519"/>
      <c r="WRB1519"/>
      <c r="WRC1519"/>
      <c r="WRD1519"/>
      <c r="WRE1519"/>
      <c r="WRF1519"/>
      <c r="WRG1519"/>
      <c r="WRH1519"/>
      <c r="WRI1519"/>
      <c r="WRJ1519"/>
      <c r="WRK1519"/>
      <c r="WRL1519"/>
      <c r="WRM1519"/>
      <c r="WRN1519"/>
      <c r="WRO1519"/>
      <c r="WRP1519"/>
      <c r="WRQ1519"/>
      <c r="WRR1519"/>
      <c r="WRS1519"/>
      <c r="WRT1519"/>
      <c r="WRU1519"/>
      <c r="WRV1519"/>
      <c r="WRW1519"/>
      <c r="WRX1519"/>
      <c r="WRY1519"/>
      <c r="WRZ1519"/>
      <c r="WSA1519"/>
      <c r="WSB1519"/>
      <c r="WSC1519"/>
      <c r="WSD1519"/>
      <c r="WSE1519"/>
      <c r="WSF1519"/>
      <c r="WSG1519"/>
      <c r="WSH1519"/>
      <c r="WSI1519"/>
      <c r="WSJ1519"/>
      <c r="WSK1519"/>
      <c r="WSL1519"/>
      <c r="WSM1519"/>
      <c r="WSN1519"/>
      <c r="WSO1519"/>
      <c r="WSP1519"/>
      <c r="WSQ1519"/>
      <c r="WSR1519"/>
      <c r="WSS1519"/>
      <c r="WST1519"/>
      <c r="WSU1519"/>
      <c r="WSV1519"/>
      <c r="WSW1519"/>
      <c r="WSX1519"/>
      <c r="WSY1519"/>
      <c r="WSZ1519"/>
      <c r="WTA1519"/>
      <c r="WTB1519"/>
      <c r="WTC1519"/>
      <c r="WTD1519"/>
      <c r="WTE1519"/>
      <c r="WTF1519"/>
      <c r="WTG1519"/>
      <c r="WTH1519"/>
      <c r="WTI1519"/>
      <c r="WTJ1519"/>
      <c r="WTK1519"/>
      <c r="WTL1519"/>
      <c r="WTM1519"/>
      <c r="WTN1519"/>
      <c r="WTO1519"/>
      <c r="WTP1519"/>
      <c r="WTQ1519"/>
      <c r="WTR1519"/>
      <c r="WTS1519"/>
      <c r="WTT1519"/>
      <c r="WTU1519"/>
      <c r="WTV1519"/>
      <c r="WTW1519"/>
      <c r="WTX1519"/>
      <c r="WTY1519"/>
      <c r="WTZ1519"/>
      <c r="WUA1519"/>
      <c r="WUB1519"/>
      <c r="WUC1519"/>
      <c r="WUD1519"/>
      <c r="WUE1519"/>
      <c r="WUF1519"/>
      <c r="WUG1519"/>
      <c r="WUH1519"/>
      <c r="WUI1519"/>
      <c r="WUJ1519"/>
      <c r="WUK1519"/>
      <c r="WUL1519"/>
      <c r="WUM1519"/>
      <c r="WUN1519"/>
      <c r="WUO1519"/>
      <c r="WUP1519"/>
      <c r="WUQ1519"/>
      <c r="WUR1519"/>
      <c r="WUS1519"/>
      <c r="WUT1519"/>
      <c r="WUU1519"/>
      <c r="WUV1519"/>
      <c r="WUW1519"/>
      <c r="WUX1519"/>
      <c r="WUY1519"/>
      <c r="WUZ1519"/>
      <c r="WVA1519"/>
      <c r="WVB1519"/>
      <c r="WVC1519"/>
      <c r="WVD1519"/>
      <c r="WVE1519"/>
      <c r="WVF1519"/>
      <c r="WVG1519"/>
      <c r="WVH1519"/>
      <c r="WVI1519"/>
      <c r="WVJ1519"/>
      <c r="WVK1519"/>
      <c r="WVL1519"/>
      <c r="WVM1519"/>
      <c r="WVN1519"/>
      <c r="WVO1519"/>
      <c r="WVP1519"/>
      <c r="WVQ1519"/>
      <c r="WVR1519"/>
      <c r="WVS1519"/>
      <c r="WVT1519"/>
      <c r="WVU1519"/>
      <c r="WVV1519"/>
      <c r="WVW1519"/>
      <c r="WVX1519"/>
      <c r="WVY1519"/>
      <c r="WVZ1519"/>
      <c r="WWA1519"/>
      <c r="WWB1519"/>
      <c r="WWC1519"/>
      <c r="WWD1519"/>
      <c r="WWE1519"/>
      <c r="WWF1519"/>
      <c r="WWG1519"/>
      <c r="WWH1519"/>
      <c r="WWI1519"/>
      <c r="WWJ1519"/>
      <c r="WWK1519"/>
      <c r="WWL1519"/>
      <c r="WWM1519"/>
      <c r="WWN1519"/>
      <c r="WWO1519"/>
      <c r="WWP1519"/>
      <c r="WWQ1519"/>
      <c r="WWR1519"/>
      <c r="WWS1519"/>
      <c r="WWT1519"/>
      <c r="WWU1519"/>
      <c r="WWV1519"/>
      <c r="WWW1519"/>
      <c r="WWX1519"/>
      <c r="WWY1519"/>
      <c r="WWZ1519"/>
      <c r="WXA1519"/>
      <c r="WXB1519"/>
      <c r="WXC1519"/>
      <c r="WXD1519"/>
      <c r="WXE1519"/>
      <c r="WXF1519"/>
      <c r="WXG1519"/>
      <c r="WXH1519"/>
      <c r="WXI1519"/>
      <c r="WXJ1519"/>
      <c r="WXK1519"/>
      <c r="WXL1519"/>
      <c r="WXM1519"/>
      <c r="WXN1519"/>
      <c r="WXO1519"/>
      <c r="WXP1519"/>
      <c r="WXQ1519"/>
      <c r="WXR1519"/>
      <c r="WXS1519"/>
      <c r="WXT1519"/>
      <c r="WXU1519"/>
      <c r="WXV1519"/>
      <c r="WXW1519"/>
      <c r="WXX1519"/>
      <c r="WXY1519"/>
      <c r="WXZ1519"/>
      <c r="WYA1519"/>
      <c r="WYB1519"/>
      <c r="WYC1519"/>
      <c r="WYD1519"/>
      <c r="WYE1519"/>
      <c r="WYF1519"/>
      <c r="WYG1519"/>
      <c r="WYH1519"/>
      <c r="WYI1519"/>
      <c r="WYJ1519"/>
      <c r="WYK1519"/>
      <c r="WYL1519"/>
      <c r="WYM1519"/>
      <c r="WYN1519"/>
      <c r="WYO1519"/>
      <c r="WYP1519"/>
      <c r="WYQ1519"/>
      <c r="WYR1519"/>
      <c r="WYS1519"/>
      <c r="WYT1519"/>
      <c r="WYU1519"/>
      <c r="WYV1519"/>
      <c r="WYW1519"/>
      <c r="WYX1519"/>
      <c r="WYY1519"/>
      <c r="WYZ1519"/>
      <c r="WZA1519"/>
      <c r="WZB1519"/>
      <c r="WZC1519"/>
      <c r="WZD1519"/>
      <c r="WZE1519"/>
      <c r="WZF1519"/>
      <c r="WZG1519"/>
      <c r="WZH1519"/>
      <c r="WZI1519"/>
      <c r="WZJ1519"/>
      <c r="WZK1519"/>
      <c r="WZL1519"/>
      <c r="WZM1519"/>
      <c r="WZN1519"/>
      <c r="WZO1519"/>
      <c r="WZP1519"/>
      <c r="WZQ1519"/>
      <c r="WZR1519"/>
      <c r="WZS1519"/>
      <c r="WZT1519"/>
      <c r="WZU1519"/>
      <c r="WZV1519"/>
      <c r="WZW1519"/>
      <c r="WZX1519"/>
      <c r="WZY1519"/>
      <c r="WZZ1519"/>
      <c r="XAA1519"/>
      <c r="XAB1519"/>
      <c r="XAC1519"/>
      <c r="XAD1519"/>
      <c r="XAE1519"/>
      <c r="XAF1519"/>
      <c r="XAG1519"/>
      <c r="XAH1519"/>
      <c r="XAI1519"/>
      <c r="XAJ1519"/>
      <c r="XAK1519"/>
      <c r="XAL1519"/>
      <c r="XAM1519"/>
      <c r="XAN1519"/>
      <c r="XAO1519"/>
      <c r="XAP1519"/>
      <c r="XAQ1519"/>
      <c r="XAR1519"/>
      <c r="XAS1519"/>
      <c r="XAT1519"/>
      <c r="XAU1519"/>
      <c r="XAV1519"/>
      <c r="XAW1519"/>
      <c r="XAX1519"/>
      <c r="XAY1519"/>
      <c r="XAZ1519"/>
      <c r="XBA1519"/>
      <c r="XBB1519"/>
      <c r="XBC1519"/>
      <c r="XBD1519"/>
      <c r="XBE1519"/>
      <c r="XBF1519"/>
      <c r="XBG1519"/>
      <c r="XBH1519"/>
      <c r="XBI1519"/>
      <c r="XBJ1519"/>
      <c r="XBK1519"/>
      <c r="XBL1519"/>
      <c r="XBM1519"/>
      <c r="XBN1519"/>
      <c r="XBO1519"/>
      <c r="XBP1519"/>
      <c r="XBQ1519"/>
      <c r="XBR1519"/>
      <c r="XBS1519"/>
      <c r="XBT1519"/>
      <c r="XBU1519"/>
      <c r="XBV1519"/>
      <c r="XBW1519"/>
      <c r="XBX1519"/>
      <c r="XBY1519"/>
      <c r="XBZ1519"/>
      <c r="XCA1519"/>
      <c r="XCB1519"/>
      <c r="XCC1519"/>
      <c r="XCD1519"/>
      <c r="XCE1519"/>
      <c r="XCF1519"/>
      <c r="XCG1519"/>
      <c r="XCH1519"/>
      <c r="XCI1519"/>
      <c r="XCJ1519"/>
      <c r="XCK1519"/>
      <c r="XCL1519"/>
      <c r="XCM1519"/>
      <c r="XCN1519"/>
      <c r="XCO1519"/>
      <c r="XCP1519"/>
      <c r="XCQ1519"/>
      <c r="XCR1519"/>
      <c r="XCS1519"/>
      <c r="XCT1519"/>
      <c r="XCU1519"/>
      <c r="XCV1519"/>
      <c r="XCW1519"/>
      <c r="XCX1519"/>
      <c r="XCY1519"/>
      <c r="XCZ1519"/>
      <c r="XDA1519"/>
      <c r="XDB1519"/>
      <c r="XDC1519"/>
      <c r="XDD1519"/>
      <c r="XDE1519"/>
      <c r="XDF1519"/>
      <c r="XDG1519"/>
      <c r="XDH1519"/>
      <c r="XDI1519"/>
      <c r="XDJ1519"/>
      <c r="XDK1519"/>
      <c r="XDL1519"/>
      <c r="XDM1519"/>
      <c r="XDN1519"/>
      <c r="XDO1519"/>
      <c r="XDP1519"/>
      <c r="XDQ1519"/>
      <c r="XDR1519"/>
      <c r="XDS1519"/>
      <c r="XDT1519"/>
      <c r="XDU1519"/>
      <c r="XDV1519"/>
      <c r="XDW1519"/>
      <c r="XDX1519"/>
      <c r="XDY1519"/>
      <c r="XDZ1519"/>
      <c r="XEA1519"/>
      <c r="XEB1519"/>
      <c r="XEC1519"/>
      <c r="XED1519"/>
      <c r="XEE1519"/>
      <c r="XEF1519"/>
      <c r="XEG1519"/>
      <c r="XEH1519"/>
      <c r="XEI1519"/>
      <c r="XEJ1519"/>
      <c r="XEK1519"/>
      <c r="XEL1519"/>
      <c r="XEM1519"/>
      <c r="XEN1519"/>
      <c r="XEO1519"/>
      <c r="XEP1519"/>
      <c r="XEQ1519"/>
      <c r="XER1519"/>
      <c r="XES1519"/>
      <c r="XET1519"/>
      <c r="XEU1519"/>
      <c r="XEV1519"/>
      <c r="XEW1519"/>
      <c r="XEX1519"/>
    </row>
    <row r="1520" spans="1:16378" s="30" customFormat="1" ht="15" customHeight="1" x14ac:dyDescent="0.25">
      <c r="A1520">
        <v>2025</v>
      </c>
      <c r="B1520" s="878" t="s">
        <v>771</v>
      </c>
      <c r="C1520" s="878" t="s">
        <v>8734</v>
      </c>
      <c r="D1520" s="878">
        <v>1214811</v>
      </c>
      <c r="E1520" s="8" t="s">
        <v>164</v>
      </c>
      <c r="F1520" s="878" t="s">
        <v>784</v>
      </c>
      <c r="G1520" s="878" t="s">
        <v>31</v>
      </c>
      <c r="H1520" s="878" t="s">
        <v>4189</v>
      </c>
      <c r="I1520" s="883">
        <v>45839</v>
      </c>
      <c r="J1520" s="918" t="s">
        <v>2052</v>
      </c>
      <c r="K1520" s="945">
        <v>45888</v>
      </c>
      <c r="L1520" s="884">
        <f>IF(ISTEXT(Table15[[#This Row],[Engineering Approved Design Date]]),Table15[[#This Row],[Date Completed]]-Table15[[#This Row],[Date Assigned to Designer]],Table15[[#This Row],[Engineering Approved Design Date]]-Table15[[#This Row],[Date Completed]])</f>
        <v>49</v>
      </c>
      <c r="M1520" s="919" t="s">
        <v>9115</v>
      </c>
      <c r="N1520" s="883" t="s">
        <v>739</v>
      </c>
      <c r="O1520" s="886" t="s">
        <v>376</v>
      </c>
      <c r="P1520" s="1153" t="s">
        <v>120</v>
      </c>
      <c r="Q1520" s="1151">
        <f>SUM(Table15[[#This Row],[Shactee Effort]:[KH Hourly Effort]])</f>
        <v>15742.5</v>
      </c>
      <c r="R1520" s="887" t="s">
        <v>1922</v>
      </c>
      <c r="S1520" s="888">
        <v>0</v>
      </c>
      <c r="T1520" s="888">
        <v>0</v>
      </c>
      <c r="U1520" s="889">
        <v>15742.5</v>
      </c>
      <c r="V1520" s="890">
        <v>2191</v>
      </c>
      <c r="W1520" s="1021">
        <v>0</v>
      </c>
      <c r="X1520" s="888" t="s">
        <v>29</v>
      </c>
      <c r="Y1520" s="935"/>
      <c r="Z1520" s="888" t="s">
        <v>29</v>
      </c>
      <c r="AA1520" s="888" t="s">
        <v>29</v>
      </c>
      <c r="AB1520" s="893" t="s">
        <v>29</v>
      </c>
      <c r="AC1520" s="897" t="s">
        <v>29</v>
      </c>
      <c r="AD1520" s="1304" t="s">
        <v>29</v>
      </c>
      <c r="AE1520" s="894" t="s">
        <v>756</v>
      </c>
      <c r="AF1520" s="895" t="s">
        <v>756</v>
      </c>
      <c r="AG1520" s="896" t="s">
        <v>376</v>
      </c>
      <c r="AH1520" s="985" t="s">
        <v>376</v>
      </c>
      <c r="AI1520" s="921" t="s">
        <v>29</v>
      </c>
      <c r="AJ1520" s="922" t="s">
        <v>29</v>
      </c>
      <c r="AK1520" s="922" t="s">
        <v>29</v>
      </c>
      <c r="AL1520" s="1030" t="s">
        <v>29</v>
      </c>
      <c r="AM1520" s="542" t="s">
        <v>709</v>
      </c>
      <c r="AN1520" s="924"/>
      <c r="AO1520" s="925"/>
      <c r="AP1520" s="926"/>
      <c r="AQ1520" s="926"/>
      <c r="AR1520" s="926"/>
      <c r="AS1520" s="926"/>
      <c r="AT1520" s="926"/>
      <c r="AU1520" s="926"/>
      <c r="AV1520" s="926"/>
      <c r="AW1520" s="927"/>
      <c r="AX1520" s="926"/>
      <c r="AY1520" s="1528" t="s">
        <v>29</v>
      </c>
      <c r="AZ1520" s="1530"/>
      <c r="BA1520" s="910">
        <v>4</v>
      </c>
      <c r="BB1520" s="1000" t="s">
        <v>9116</v>
      </c>
      <c r="BC1520" s="915" t="s">
        <v>709</v>
      </c>
      <c r="BD1520" s="915" t="s">
        <v>709</v>
      </c>
      <c r="BE1520" s="912" t="s">
        <v>3793</v>
      </c>
      <c r="BF1520" s="913" t="s">
        <v>3793</v>
      </c>
      <c r="BG1520" s="1001" t="s">
        <v>709</v>
      </c>
      <c r="BH1520" s="1023" t="s">
        <v>9117</v>
      </c>
      <c r="BI1520" s="916" t="s">
        <v>709</v>
      </c>
      <c r="BJ1520" s="916" t="s">
        <v>745</v>
      </c>
      <c r="BK1520" s="916" t="s">
        <v>745</v>
      </c>
      <c r="BL1520" s="916" t="s">
        <v>116</v>
      </c>
      <c r="BM1520" s="916" t="s">
        <v>745</v>
      </c>
      <c r="BN1520" s="916" t="s">
        <v>745</v>
      </c>
      <c r="BO1520" s="916" t="s">
        <v>745</v>
      </c>
      <c r="BP1520" s="916" t="s">
        <v>745</v>
      </c>
      <c r="BQ1520" s="916">
        <v>460</v>
      </c>
      <c r="BR1520" s="916">
        <v>1731</v>
      </c>
      <c r="BS1520" s="916" t="s">
        <v>745</v>
      </c>
      <c r="BT1520" s="916" t="s">
        <v>745</v>
      </c>
      <c r="BU1520" s="916" t="s">
        <v>745</v>
      </c>
      <c r="BV1520" s="916" t="s">
        <v>745</v>
      </c>
      <c r="BW1520" s="916" t="s">
        <v>745</v>
      </c>
      <c r="BX1520" s="916" t="s">
        <v>745</v>
      </c>
      <c r="BY1520" s="916" t="s">
        <v>745</v>
      </c>
      <c r="BZ1520" s="916" t="s">
        <v>745</v>
      </c>
      <c r="CA1520" s="917" t="s">
        <v>709</v>
      </c>
      <c r="CB1520" s="547"/>
      <c r="CC1520" s="879"/>
      <c r="CD1520" s="879" t="str">
        <f>Table15[[#This Row],[Engineering Number]]&amp;Table15[[#This Row],[WO Number]]&amp;Table15[[#This Row],[Date Assigned to Designer]]&amp;Table15[[#This Row],[Date Completed]]</f>
        <v>MR2BID554112148114583945888</v>
      </c>
      <c r="CE1520"/>
      <c r="CF1520"/>
      <c r="CG1520"/>
      <c r="CH1520"/>
      <c r="CI1520"/>
      <c r="CJ1520"/>
      <c r="CK1520"/>
      <c r="CL1520"/>
      <c r="CM1520"/>
      <c r="CN1520"/>
      <c r="CO1520"/>
      <c r="CP1520"/>
      <c r="CQ1520"/>
      <c r="CR1520"/>
      <c r="CS1520"/>
      <c r="CT1520"/>
      <c r="CU1520"/>
      <c r="CV1520"/>
      <c r="CW1520"/>
      <c r="CX1520"/>
      <c r="CY1520"/>
      <c r="CZ1520"/>
      <c r="DA1520"/>
      <c r="DB1520"/>
      <c r="DC1520"/>
      <c r="DD1520"/>
      <c r="DE1520"/>
      <c r="DF1520"/>
      <c r="DG1520"/>
      <c r="DH1520"/>
      <c r="DI1520"/>
      <c r="DJ1520"/>
      <c r="DK1520"/>
      <c r="DL1520"/>
      <c r="DM1520"/>
      <c r="DN1520"/>
      <c r="DO1520"/>
      <c r="DP1520"/>
      <c r="DQ1520"/>
      <c r="DR1520"/>
      <c r="DS1520"/>
      <c r="DT1520"/>
      <c r="DU1520"/>
      <c r="DV1520"/>
      <c r="DW1520"/>
      <c r="DX1520"/>
      <c r="DY1520"/>
      <c r="DZ1520"/>
      <c r="EA1520"/>
      <c r="EB1520"/>
      <c r="EC1520"/>
      <c r="ED1520"/>
      <c r="EE1520"/>
      <c r="EF1520"/>
      <c r="EG1520"/>
      <c r="EH1520"/>
      <c r="EI1520"/>
      <c r="EJ1520"/>
      <c r="EK1520"/>
      <c r="EL1520"/>
      <c r="EM1520"/>
      <c r="EN1520"/>
      <c r="EO1520"/>
      <c r="EP1520"/>
      <c r="EQ1520"/>
      <c r="ER1520"/>
      <c r="ES1520"/>
      <c r="ET1520"/>
      <c r="EU1520"/>
      <c r="EV1520"/>
      <c r="EW1520"/>
      <c r="EX1520"/>
      <c r="EY1520"/>
      <c r="EZ1520"/>
      <c r="FA1520"/>
      <c r="FB1520"/>
      <c r="FC1520"/>
      <c r="FD1520"/>
      <c r="FE1520"/>
      <c r="FF1520"/>
      <c r="FG1520"/>
      <c r="FH1520"/>
      <c r="FI1520"/>
      <c r="FJ1520"/>
      <c r="FK1520"/>
      <c r="FL1520"/>
      <c r="FM1520"/>
      <c r="FN1520"/>
      <c r="FO1520"/>
      <c r="FP1520"/>
      <c r="FQ1520"/>
      <c r="FR1520"/>
      <c r="FS1520"/>
      <c r="FT1520"/>
      <c r="FU1520"/>
      <c r="FV1520"/>
      <c r="FW1520"/>
      <c r="FX1520"/>
      <c r="FY1520"/>
      <c r="FZ1520"/>
      <c r="GA1520"/>
      <c r="GB1520"/>
      <c r="GC1520"/>
      <c r="GD1520"/>
      <c r="GE1520"/>
      <c r="GF1520"/>
      <c r="GG1520"/>
      <c r="GH1520"/>
      <c r="GI1520"/>
      <c r="GJ1520"/>
      <c r="GK1520"/>
      <c r="GL1520"/>
      <c r="GM1520"/>
      <c r="GN1520"/>
      <c r="GO1520"/>
      <c r="GP1520"/>
      <c r="GQ1520"/>
      <c r="GR1520"/>
      <c r="GS1520"/>
      <c r="GT1520"/>
      <c r="GU1520"/>
      <c r="GV1520"/>
      <c r="GW1520"/>
      <c r="GX1520"/>
      <c r="GY1520"/>
      <c r="GZ1520"/>
      <c r="HA1520"/>
      <c r="HB1520"/>
      <c r="HC1520"/>
      <c r="HD1520"/>
      <c r="HE1520"/>
      <c r="HF1520"/>
      <c r="HG1520"/>
      <c r="HH1520"/>
      <c r="HI1520"/>
      <c r="HJ1520"/>
      <c r="HK1520"/>
      <c r="HL1520"/>
      <c r="HM1520"/>
      <c r="HN1520"/>
      <c r="HO1520"/>
      <c r="HP1520"/>
      <c r="HQ1520"/>
      <c r="HR1520"/>
      <c r="HS1520"/>
      <c r="HT1520"/>
      <c r="HU1520"/>
      <c r="HV1520"/>
      <c r="HW1520"/>
      <c r="HX1520"/>
      <c r="HY1520"/>
      <c r="HZ1520"/>
      <c r="IA1520"/>
      <c r="IB1520"/>
      <c r="IC1520"/>
      <c r="ID1520"/>
      <c r="IE1520"/>
      <c r="IF1520"/>
      <c r="IG1520"/>
      <c r="IH1520"/>
      <c r="II1520"/>
      <c r="IJ1520"/>
      <c r="IK1520"/>
      <c r="IL1520"/>
      <c r="IM1520"/>
      <c r="IN1520"/>
      <c r="IO1520"/>
      <c r="IP1520"/>
      <c r="IQ1520"/>
      <c r="IR1520"/>
      <c r="IS1520"/>
      <c r="IT1520"/>
      <c r="IU1520"/>
      <c r="IV1520"/>
      <c r="IW1520"/>
      <c r="IX1520"/>
      <c r="IY1520"/>
      <c r="IZ1520"/>
      <c r="JA1520"/>
      <c r="JB1520"/>
      <c r="JC1520"/>
      <c r="JD1520"/>
      <c r="JE1520"/>
      <c r="JF1520"/>
      <c r="JG1520"/>
      <c r="JH1520"/>
      <c r="JI1520"/>
      <c r="JJ1520"/>
      <c r="JK1520"/>
      <c r="JL1520"/>
      <c r="JM1520"/>
      <c r="JN1520"/>
      <c r="JO1520"/>
      <c r="JP1520"/>
      <c r="JQ1520"/>
      <c r="JR1520"/>
      <c r="JS1520"/>
      <c r="JT1520"/>
      <c r="JU1520"/>
      <c r="JV1520"/>
      <c r="JW1520"/>
      <c r="JX1520"/>
      <c r="JY1520"/>
      <c r="JZ1520"/>
      <c r="KA1520"/>
      <c r="KB1520"/>
      <c r="KC1520"/>
      <c r="KD1520"/>
      <c r="KE1520"/>
      <c r="KF1520"/>
      <c r="KG1520"/>
      <c r="KH1520"/>
      <c r="KI1520"/>
      <c r="KJ1520"/>
      <c r="KK1520"/>
      <c r="KL1520"/>
      <c r="KM1520"/>
      <c r="KN1520"/>
      <c r="KO1520"/>
      <c r="KP1520"/>
      <c r="KQ1520"/>
      <c r="KR1520"/>
      <c r="KS1520"/>
      <c r="KT1520"/>
      <c r="KU1520"/>
      <c r="KV1520"/>
      <c r="KW1520"/>
      <c r="KX1520"/>
      <c r="KY1520"/>
      <c r="KZ1520"/>
      <c r="LA1520"/>
      <c r="LB1520"/>
      <c r="LC1520"/>
      <c r="LD1520"/>
      <c r="LE1520"/>
      <c r="LF1520"/>
      <c r="LG1520"/>
      <c r="LH1520"/>
      <c r="LI1520"/>
      <c r="LJ1520"/>
      <c r="LK1520"/>
      <c r="LL1520"/>
      <c r="LM1520"/>
      <c r="LN1520"/>
      <c r="LO1520"/>
      <c r="LP1520"/>
      <c r="LQ1520"/>
      <c r="LR1520"/>
      <c r="LS1520"/>
      <c r="LT1520"/>
      <c r="LU1520"/>
      <c r="LV1520"/>
      <c r="LW1520"/>
      <c r="LX1520"/>
      <c r="LY1520"/>
      <c r="LZ1520"/>
      <c r="MA1520"/>
      <c r="MB1520"/>
      <c r="MC1520"/>
      <c r="MD1520"/>
      <c r="ME1520"/>
      <c r="MF1520"/>
      <c r="MG1520"/>
      <c r="MH1520"/>
      <c r="MI1520"/>
      <c r="MJ1520"/>
      <c r="MK1520"/>
      <c r="ML1520"/>
      <c r="MM1520"/>
      <c r="MN1520"/>
      <c r="MO1520"/>
      <c r="MP1520"/>
      <c r="MQ1520"/>
      <c r="MR1520"/>
      <c r="MS1520"/>
      <c r="MT1520"/>
      <c r="MU1520"/>
      <c r="MV1520"/>
      <c r="MW1520"/>
      <c r="MX1520"/>
      <c r="MY1520"/>
      <c r="MZ1520"/>
      <c r="NA1520"/>
      <c r="NB1520"/>
      <c r="NC1520"/>
      <c r="ND1520"/>
      <c r="NE1520"/>
      <c r="NF1520"/>
      <c r="NG1520"/>
      <c r="NH1520"/>
      <c r="NI1520"/>
      <c r="NJ1520"/>
      <c r="NK1520"/>
      <c r="NL1520"/>
      <c r="NM1520"/>
      <c r="NN1520"/>
      <c r="NO1520"/>
      <c r="NP1520"/>
      <c r="NQ1520"/>
      <c r="NR1520"/>
      <c r="NS1520"/>
      <c r="NT1520"/>
      <c r="NU1520"/>
      <c r="NV1520"/>
      <c r="NW1520"/>
      <c r="NX1520"/>
      <c r="NY1520"/>
      <c r="NZ1520"/>
      <c r="OA1520"/>
      <c r="OB1520"/>
      <c r="OC1520"/>
      <c r="OD1520"/>
      <c r="OE1520"/>
      <c r="OF1520"/>
      <c r="OG1520"/>
      <c r="OH1520"/>
      <c r="OI1520"/>
      <c r="OJ1520"/>
      <c r="OK1520"/>
      <c r="OL1520"/>
      <c r="OM1520"/>
      <c r="ON1520"/>
      <c r="OO1520"/>
      <c r="OP1520"/>
      <c r="OQ1520"/>
      <c r="OR1520"/>
      <c r="OS1520"/>
      <c r="OT1520"/>
      <c r="OU1520"/>
      <c r="OV1520"/>
      <c r="OW1520"/>
      <c r="OX1520"/>
      <c r="OY1520"/>
      <c r="OZ1520"/>
      <c r="PA1520"/>
      <c r="PB1520"/>
      <c r="PC1520"/>
      <c r="PD1520"/>
      <c r="PE1520"/>
      <c r="PF1520"/>
      <c r="PG1520"/>
      <c r="PH1520"/>
      <c r="PI1520"/>
      <c r="PJ1520"/>
      <c r="PK1520"/>
      <c r="PL1520"/>
      <c r="PM1520"/>
      <c r="PN1520"/>
      <c r="PO1520"/>
      <c r="PP1520"/>
      <c r="PQ1520"/>
      <c r="PR1520"/>
      <c r="PS1520"/>
      <c r="PT1520"/>
      <c r="PU1520"/>
      <c r="PV1520"/>
      <c r="PW1520"/>
      <c r="PX1520"/>
      <c r="PY1520"/>
      <c r="PZ1520"/>
      <c r="QA1520"/>
      <c r="QB1520"/>
      <c r="QC1520"/>
      <c r="QD1520"/>
      <c r="QE1520"/>
      <c r="QF1520"/>
      <c r="QG1520"/>
      <c r="QH1520"/>
      <c r="QI1520"/>
      <c r="QJ1520"/>
      <c r="QK1520"/>
      <c r="QL1520"/>
      <c r="QM1520"/>
      <c r="QN1520"/>
      <c r="QO1520"/>
      <c r="QP1520"/>
      <c r="QQ1520"/>
      <c r="QR1520"/>
      <c r="QS1520"/>
      <c r="QT1520"/>
      <c r="QU1520"/>
      <c r="QV1520"/>
      <c r="QW1520"/>
      <c r="QX1520"/>
      <c r="QY1520"/>
      <c r="QZ1520"/>
      <c r="RA1520"/>
      <c r="RB1520"/>
      <c r="RC1520"/>
      <c r="RD1520"/>
      <c r="RE1520"/>
      <c r="RF1520"/>
      <c r="RG1520"/>
      <c r="RH1520"/>
      <c r="RI1520"/>
      <c r="RJ1520"/>
      <c r="RK1520"/>
      <c r="RL1520"/>
      <c r="RM1520"/>
      <c r="RN1520"/>
      <c r="RO1520"/>
      <c r="RP1520"/>
      <c r="RQ1520"/>
      <c r="RR1520"/>
      <c r="RS1520"/>
      <c r="RT1520"/>
      <c r="RU1520"/>
      <c r="RV1520"/>
      <c r="RW1520"/>
      <c r="RX1520"/>
      <c r="RY1520"/>
      <c r="RZ1520"/>
      <c r="SA1520"/>
      <c r="SB1520"/>
      <c r="SC1520"/>
      <c r="SD1520"/>
      <c r="SE1520"/>
      <c r="SF1520"/>
      <c r="SG1520"/>
      <c r="SH1520"/>
      <c r="SI1520"/>
      <c r="SJ1520"/>
      <c r="SK1520"/>
      <c r="SL1520"/>
      <c r="SM1520"/>
      <c r="SN1520"/>
      <c r="SO1520"/>
      <c r="SP1520"/>
      <c r="SQ1520"/>
      <c r="SR1520"/>
      <c r="SS1520"/>
      <c r="ST1520"/>
      <c r="SU1520"/>
      <c r="SV1520"/>
      <c r="SW1520"/>
      <c r="SX1520"/>
      <c r="SY1520"/>
      <c r="SZ1520"/>
      <c r="TA1520"/>
      <c r="TB1520"/>
      <c r="TC1520"/>
      <c r="TD1520"/>
      <c r="TE1520"/>
      <c r="TF1520"/>
      <c r="TG1520"/>
      <c r="TH1520"/>
      <c r="TI1520"/>
      <c r="TJ1520"/>
      <c r="TK1520"/>
      <c r="TL1520"/>
      <c r="TM1520"/>
      <c r="TN1520"/>
      <c r="TO1520"/>
      <c r="TP1520"/>
      <c r="TQ1520"/>
      <c r="TR1520"/>
      <c r="TS1520"/>
      <c r="TT1520"/>
      <c r="TU1520"/>
      <c r="TV1520"/>
      <c r="TW1520"/>
      <c r="TX1520"/>
      <c r="TY1520"/>
      <c r="TZ1520"/>
      <c r="UA1520"/>
      <c r="UB1520"/>
      <c r="UC1520"/>
      <c r="UD1520"/>
      <c r="UE1520"/>
      <c r="UF1520"/>
      <c r="UG1520"/>
      <c r="UH1520"/>
      <c r="UI1520"/>
      <c r="UJ1520"/>
      <c r="UK1520"/>
      <c r="UL1520"/>
      <c r="UM1520"/>
      <c r="UN1520"/>
      <c r="UO1520"/>
      <c r="UP1520"/>
      <c r="UQ1520"/>
      <c r="UR1520"/>
      <c r="US1520"/>
      <c r="UT1520"/>
      <c r="UU1520"/>
      <c r="UV1520"/>
      <c r="UW1520"/>
      <c r="UX1520"/>
      <c r="UY1520"/>
      <c r="UZ1520"/>
      <c r="VA1520"/>
      <c r="VB1520"/>
      <c r="VC1520"/>
      <c r="VD1520"/>
      <c r="VE1520"/>
      <c r="VF1520"/>
      <c r="VG1520"/>
      <c r="VH1520"/>
      <c r="VI1520"/>
      <c r="VJ1520"/>
      <c r="VK1520"/>
      <c r="VL1520"/>
      <c r="VM1520"/>
      <c r="VN1520"/>
      <c r="VO1520"/>
      <c r="VP1520"/>
      <c r="VQ1520"/>
      <c r="VR1520"/>
      <c r="VS1520"/>
      <c r="VT1520"/>
      <c r="VU1520"/>
      <c r="VV1520"/>
      <c r="VW1520"/>
      <c r="VX1520"/>
      <c r="VY1520"/>
      <c r="VZ1520"/>
      <c r="WA1520"/>
      <c r="WB1520"/>
      <c r="WC1520"/>
      <c r="WD1520"/>
      <c r="WE1520"/>
      <c r="WF1520"/>
      <c r="WG1520"/>
      <c r="WH1520"/>
      <c r="WI1520"/>
      <c r="WJ1520"/>
      <c r="WK1520"/>
      <c r="WL1520"/>
      <c r="WM1520"/>
      <c r="WN1520"/>
      <c r="WO1520"/>
      <c r="WP1520"/>
      <c r="WQ1520"/>
      <c r="WR1520"/>
      <c r="WS1520"/>
      <c r="WT1520"/>
      <c r="WU1520"/>
      <c r="WV1520"/>
      <c r="WW1520"/>
      <c r="WX1520"/>
      <c r="WY1520"/>
      <c r="WZ1520"/>
      <c r="XA1520"/>
      <c r="XB1520"/>
      <c r="XC1520"/>
      <c r="XD1520"/>
      <c r="XE1520"/>
      <c r="XF1520"/>
      <c r="XG1520"/>
      <c r="XH1520"/>
      <c r="XI1520"/>
      <c r="XJ1520"/>
      <c r="XK1520"/>
      <c r="XL1520"/>
      <c r="XM1520"/>
      <c r="XN1520"/>
      <c r="XO1520"/>
      <c r="XP1520"/>
      <c r="XQ1520"/>
      <c r="XR1520"/>
      <c r="XS1520"/>
      <c r="XT1520"/>
      <c r="XU1520"/>
      <c r="XV1520"/>
      <c r="XW1520"/>
      <c r="XX1520"/>
      <c r="XY1520"/>
      <c r="XZ1520"/>
      <c r="YA1520"/>
      <c r="YB1520"/>
      <c r="YC1520"/>
      <c r="YD1520"/>
      <c r="YE1520"/>
      <c r="YF1520"/>
      <c r="YG1520"/>
      <c r="YH1520"/>
      <c r="YI1520"/>
      <c r="YJ1520"/>
      <c r="YK1520"/>
      <c r="YL1520"/>
      <c r="YM1520"/>
      <c r="YN1520"/>
      <c r="YO1520"/>
      <c r="YP1520"/>
      <c r="YQ1520"/>
      <c r="YR1520"/>
      <c r="YS1520"/>
      <c r="YT1520"/>
      <c r="YU1520"/>
      <c r="YV1520"/>
      <c r="YW1520"/>
      <c r="YX1520"/>
      <c r="YY1520"/>
      <c r="YZ1520"/>
      <c r="ZA1520"/>
      <c r="ZB1520"/>
      <c r="ZC1520"/>
      <c r="ZD1520"/>
      <c r="ZE1520"/>
      <c r="ZF1520"/>
      <c r="ZG1520"/>
      <c r="ZH1520"/>
      <c r="ZI1520"/>
      <c r="ZJ1520"/>
      <c r="ZK1520"/>
      <c r="ZL1520"/>
      <c r="ZM1520"/>
      <c r="ZN1520"/>
      <c r="ZO1520"/>
      <c r="ZP1520"/>
      <c r="ZQ1520"/>
      <c r="ZR1520"/>
      <c r="ZS1520"/>
      <c r="ZT1520"/>
      <c r="ZU1520"/>
      <c r="ZV1520"/>
      <c r="ZW1520"/>
      <c r="ZX1520"/>
      <c r="ZY1520"/>
      <c r="ZZ1520"/>
      <c r="AAA1520"/>
      <c r="AAB1520"/>
      <c r="AAC1520"/>
      <c r="AAD1520"/>
      <c r="AAE1520"/>
      <c r="AAF1520"/>
      <c r="AAG1520"/>
      <c r="AAH1520"/>
      <c r="AAI1520"/>
      <c r="AAJ1520"/>
      <c r="AAK1520"/>
      <c r="AAL1520"/>
      <c r="AAM1520"/>
      <c r="AAN1520"/>
      <c r="AAO1520"/>
      <c r="AAP1520"/>
      <c r="AAQ1520"/>
      <c r="AAR1520"/>
      <c r="AAS1520"/>
      <c r="AAT1520"/>
      <c r="AAU1520"/>
      <c r="AAV1520"/>
      <c r="AAW1520"/>
      <c r="AAX1520"/>
      <c r="AAY1520"/>
      <c r="AAZ1520"/>
      <c r="ABA1520"/>
      <c r="ABB1520"/>
      <c r="ABC1520"/>
      <c r="ABD1520"/>
      <c r="ABE1520"/>
      <c r="ABF1520"/>
      <c r="ABG1520"/>
      <c r="ABH1520"/>
      <c r="ABI1520"/>
      <c r="ABJ1520"/>
      <c r="ABK1520"/>
      <c r="ABL1520"/>
      <c r="ABM1520"/>
      <c r="ABN1520"/>
      <c r="ABO1520"/>
      <c r="ABP1520"/>
      <c r="ABQ1520"/>
      <c r="ABR1520"/>
      <c r="ABS1520"/>
      <c r="ABT1520"/>
      <c r="ABU1520"/>
      <c r="ABV1520"/>
      <c r="ABW1520"/>
      <c r="ABX1520"/>
      <c r="ABY1520"/>
      <c r="ABZ1520"/>
      <c r="ACA1520"/>
      <c r="ACB1520"/>
      <c r="ACC1520"/>
      <c r="ACD1520"/>
      <c r="ACE1520"/>
      <c r="ACF1520"/>
      <c r="ACG1520"/>
      <c r="ACH1520"/>
      <c r="ACI1520"/>
      <c r="ACJ1520"/>
      <c r="ACK1520"/>
      <c r="ACL1520"/>
      <c r="ACM1520"/>
      <c r="ACN1520"/>
      <c r="ACO1520"/>
      <c r="ACP1520"/>
      <c r="ACQ1520"/>
      <c r="ACR1520"/>
      <c r="ACS1520"/>
      <c r="ACT1520"/>
      <c r="ACU1520"/>
      <c r="ACV1520"/>
      <c r="ACW1520"/>
      <c r="ACX1520"/>
      <c r="ACY1520"/>
      <c r="ACZ1520"/>
      <c r="ADA1520"/>
      <c r="ADB1520"/>
      <c r="ADC1520"/>
      <c r="ADD1520"/>
      <c r="ADE1520"/>
      <c r="ADF1520"/>
      <c r="ADG1520"/>
      <c r="ADH1520"/>
      <c r="ADI1520"/>
      <c r="ADJ1520"/>
      <c r="ADK1520"/>
      <c r="ADL1520"/>
      <c r="ADM1520"/>
      <c r="ADN1520"/>
      <c r="ADO1520"/>
      <c r="ADP1520"/>
      <c r="ADQ1520"/>
      <c r="ADR1520"/>
      <c r="ADS1520"/>
      <c r="ADT1520"/>
      <c r="ADU1520"/>
      <c r="ADV1520"/>
      <c r="ADW1520"/>
      <c r="ADX1520"/>
      <c r="ADY1520"/>
      <c r="ADZ1520"/>
      <c r="AEA1520"/>
      <c r="AEB1520"/>
      <c r="AEC1520"/>
      <c r="AED1520"/>
      <c r="AEE1520"/>
      <c r="AEF1520"/>
      <c r="AEG1520"/>
      <c r="AEH1520"/>
      <c r="AEI1520"/>
      <c r="AEJ1520"/>
      <c r="AEK1520"/>
      <c r="AEL1520"/>
      <c r="AEM1520"/>
      <c r="AEN1520"/>
      <c r="AEO1520"/>
      <c r="AEP1520"/>
      <c r="AEQ1520"/>
      <c r="AER1520"/>
      <c r="AES1520"/>
      <c r="AET1520"/>
      <c r="AEU1520"/>
      <c r="AEV1520"/>
      <c r="AEW1520"/>
      <c r="AEX1520"/>
      <c r="AEY1520"/>
      <c r="AEZ1520"/>
      <c r="AFA1520"/>
      <c r="AFB1520"/>
      <c r="AFC1520"/>
      <c r="AFD1520"/>
      <c r="AFE1520"/>
      <c r="AFF1520"/>
      <c r="AFG1520"/>
      <c r="AFH1520"/>
      <c r="AFI1520"/>
      <c r="AFJ1520"/>
      <c r="AFK1520"/>
      <c r="AFL1520"/>
      <c r="AFM1520"/>
      <c r="AFN1520"/>
      <c r="AFO1520"/>
      <c r="AFP1520"/>
      <c r="AFQ1520"/>
      <c r="AFR1520"/>
      <c r="AFS1520"/>
      <c r="AFT1520"/>
      <c r="AFU1520"/>
      <c r="AFV1520"/>
      <c r="AFW1520"/>
      <c r="AFX1520"/>
      <c r="AFY1520"/>
      <c r="AFZ1520"/>
      <c r="AGA1520"/>
      <c r="AGB1520"/>
      <c r="AGC1520"/>
      <c r="AGD1520"/>
      <c r="AGE1520"/>
      <c r="AGF1520"/>
      <c r="AGG1520"/>
      <c r="AGH1520"/>
      <c r="AGI1520"/>
      <c r="AGJ1520"/>
      <c r="AGK1520"/>
      <c r="AGL1520"/>
      <c r="AGM1520"/>
      <c r="AGN1520"/>
      <c r="AGO1520"/>
      <c r="AGP1520"/>
      <c r="AGQ1520"/>
      <c r="AGR1520"/>
      <c r="AGS1520"/>
      <c r="AGT1520"/>
      <c r="AGU1520"/>
      <c r="AGV1520"/>
      <c r="AGW1520"/>
      <c r="AGX1520"/>
      <c r="AGY1520"/>
      <c r="AGZ1520"/>
      <c r="AHA1520"/>
      <c r="AHB1520"/>
      <c r="AHC1520"/>
      <c r="AHD1520"/>
      <c r="AHE1520"/>
      <c r="AHF1520"/>
      <c r="AHG1520"/>
      <c r="AHH1520"/>
      <c r="AHI1520"/>
      <c r="AHJ1520"/>
      <c r="AHK1520"/>
      <c r="AHL1520"/>
      <c r="AHM1520"/>
      <c r="AHN1520"/>
      <c r="AHO1520"/>
      <c r="AHP1520"/>
      <c r="AHQ1520"/>
      <c r="AHR1520"/>
      <c r="AHS1520"/>
      <c r="AHT1520"/>
      <c r="AHU1520"/>
      <c r="AHV1520"/>
      <c r="AHW1520"/>
      <c r="AHX1520"/>
      <c r="AHY1520"/>
      <c r="AHZ1520"/>
      <c r="AIA1520"/>
      <c r="AIB1520"/>
      <c r="AIC1520"/>
      <c r="AID1520"/>
      <c r="AIE1520"/>
      <c r="AIF1520"/>
      <c r="AIG1520"/>
      <c r="AIH1520"/>
      <c r="AII1520"/>
      <c r="AIJ1520"/>
      <c r="AIK1520"/>
      <c r="AIL1520"/>
      <c r="AIM1520"/>
      <c r="AIN1520"/>
      <c r="AIO1520"/>
      <c r="AIP1520"/>
      <c r="AIQ1520"/>
      <c r="AIR1520"/>
      <c r="AIS1520"/>
      <c r="AIT1520"/>
      <c r="AIU1520"/>
      <c r="AIV1520"/>
      <c r="AIW1520"/>
      <c r="AIX1520"/>
      <c r="AIY1520"/>
      <c r="AIZ1520"/>
      <c r="AJA1520"/>
      <c r="AJB1520"/>
      <c r="AJC1520"/>
      <c r="AJD1520"/>
      <c r="AJE1520"/>
      <c r="AJF1520"/>
      <c r="AJG1520"/>
      <c r="AJH1520"/>
      <c r="AJI1520"/>
      <c r="AJJ1520"/>
      <c r="AJK1520"/>
      <c r="AJL1520"/>
      <c r="AJM1520"/>
      <c r="AJN1520"/>
      <c r="AJO1520"/>
      <c r="AJP1520"/>
      <c r="AJQ1520"/>
      <c r="AJR1520"/>
      <c r="AJS1520"/>
      <c r="AJT1520"/>
      <c r="AJU1520"/>
      <c r="AJV1520"/>
      <c r="AJW1520"/>
      <c r="AJX1520"/>
      <c r="AJY1520"/>
      <c r="AJZ1520"/>
      <c r="AKA1520"/>
      <c r="AKB1520"/>
      <c r="AKC1520"/>
      <c r="AKD1520"/>
      <c r="AKE1520"/>
      <c r="AKF1520"/>
      <c r="AKG1520"/>
      <c r="AKH1520"/>
      <c r="AKI1520"/>
      <c r="AKJ1520"/>
      <c r="AKK1520"/>
      <c r="AKL1520"/>
      <c r="AKM1520"/>
      <c r="AKN1520"/>
      <c r="AKO1520"/>
      <c r="AKP1520"/>
      <c r="AKQ1520"/>
      <c r="AKR1520"/>
      <c r="AKS1520"/>
      <c r="AKT1520"/>
      <c r="AKU1520"/>
      <c r="AKV1520"/>
      <c r="AKW1520"/>
      <c r="AKX1520"/>
      <c r="AKY1520"/>
      <c r="AKZ1520"/>
      <c r="ALA1520"/>
      <c r="ALB1520"/>
      <c r="ALC1520"/>
      <c r="ALD1520"/>
      <c r="ALE1520"/>
      <c r="ALF1520"/>
      <c r="ALG1520"/>
      <c r="ALH1520"/>
      <c r="ALI1520"/>
      <c r="ALJ1520"/>
      <c r="ALK1520"/>
      <c r="ALL1520"/>
      <c r="ALM1520"/>
      <c r="ALN1520"/>
      <c r="ALO1520"/>
      <c r="ALP1520"/>
      <c r="ALQ1520"/>
      <c r="ALR1520"/>
      <c r="ALS1520"/>
      <c r="ALT1520"/>
      <c r="ALU1520"/>
      <c r="ALV1520"/>
      <c r="ALW1520"/>
      <c r="ALX1520"/>
      <c r="ALY1520"/>
      <c r="ALZ1520"/>
      <c r="AMA1520"/>
      <c r="AMB1520"/>
      <c r="AMC1520"/>
      <c r="AMD1520"/>
      <c r="AME1520"/>
      <c r="AMF1520"/>
      <c r="AMG1520"/>
      <c r="AMH1520"/>
      <c r="AMI1520"/>
      <c r="AMJ1520"/>
      <c r="AMK1520"/>
      <c r="AML1520"/>
      <c r="AMM1520"/>
      <c r="AMN1520"/>
      <c r="AMO1520"/>
      <c r="AMP1520"/>
      <c r="AMQ1520"/>
      <c r="AMR1520"/>
      <c r="AMS1520"/>
      <c r="AMT1520"/>
      <c r="AMU1520"/>
      <c r="AMV1520"/>
      <c r="AMW1520"/>
      <c r="AMX1520"/>
      <c r="AMY1520"/>
      <c r="AMZ1520"/>
      <c r="ANA1520"/>
      <c r="ANB1520"/>
      <c r="ANC1520"/>
      <c r="AND1520"/>
      <c r="ANE1520"/>
      <c r="ANF1520"/>
      <c r="ANG1520"/>
      <c r="ANH1520"/>
      <c r="ANI1520"/>
      <c r="ANJ1520"/>
      <c r="ANK1520"/>
      <c r="ANL1520"/>
      <c r="ANM1520"/>
      <c r="ANN1520"/>
      <c r="ANO1520"/>
      <c r="ANP1520"/>
      <c r="ANQ1520"/>
      <c r="ANR1520"/>
      <c r="ANS1520"/>
      <c r="ANT1520"/>
      <c r="ANU1520"/>
      <c r="ANV1520"/>
      <c r="ANW1520"/>
      <c r="ANX1520"/>
      <c r="ANY1520"/>
      <c r="ANZ1520"/>
      <c r="AOA1520"/>
      <c r="AOB1520"/>
      <c r="AOC1520"/>
      <c r="AOD1520"/>
      <c r="AOE1520"/>
      <c r="AOF1520"/>
      <c r="AOG1520"/>
      <c r="AOH1520"/>
      <c r="AOI1520"/>
      <c r="AOJ1520"/>
      <c r="AOK1520"/>
      <c r="AOL1520"/>
      <c r="AOM1520"/>
      <c r="AON1520"/>
      <c r="AOO1520"/>
      <c r="AOP1520"/>
      <c r="AOQ1520"/>
      <c r="AOR1520"/>
      <c r="AOS1520"/>
      <c r="AOT1520"/>
      <c r="AOU1520"/>
      <c r="AOV1520"/>
      <c r="AOW1520"/>
      <c r="AOX1520"/>
      <c r="AOY1520"/>
      <c r="AOZ1520"/>
      <c r="APA1520"/>
      <c r="APB1520"/>
      <c r="APC1520"/>
      <c r="APD1520"/>
      <c r="APE1520"/>
      <c r="APF1520"/>
      <c r="APG1520"/>
      <c r="APH1520"/>
      <c r="API1520"/>
      <c r="APJ1520"/>
      <c r="APK1520"/>
      <c r="APL1520"/>
      <c r="APM1520"/>
      <c r="APN1520"/>
      <c r="APO1520"/>
      <c r="APP1520"/>
      <c r="APQ1520"/>
      <c r="APR1520"/>
      <c r="APS1520"/>
      <c r="APT1520"/>
      <c r="APU1520"/>
      <c r="APV1520"/>
      <c r="APW1520"/>
      <c r="APX1520"/>
      <c r="APY1520"/>
      <c r="APZ1520"/>
      <c r="AQA1520"/>
      <c r="AQB1520"/>
      <c r="AQC1520"/>
      <c r="AQD1520"/>
      <c r="AQE1520"/>
      <c r="AQF1520"/>
      <c r="AQG1520"/>
      <c r="AQH1520"/>
      <c r="AQI1520"/>
      <c r="AQJ1520"/>
      <c r="AQK1520"/>
      <c r="AQL1520"/>
      <c r="AQM1520"/>
      <c r="AQN1520"/>
      <c r="AQO1520"/>
      <c r="AQP1520"/>
      <c r="AQQ1520"/>
      <c r="AQR1520"/>
      <c r="AQS1520"/>
      <c r="AQT1520"/>
      <c r="AQU1520"/>
      <c r="AQV1520"/>
      <c r="AQW1520"/>
      <c r="AQX1520"/>
      <c r="AQY1520"/>
      <c r="AQZ1520"/>
      <c r="ARA1520"/>
      <c r="ARB1520"/>
      <c r="ARC1520"/>
      <c r="ARD1520"/>
      <c r="ARE1520"/>
      <c r="ARF1520"/>
      <c r="ARG1520"/>
      <c r="ARH1520"/>
      <c r="ARI1520"/>
      <c r="ARJ1520"/>
      <c r="ARK1520"/>
      <c r="ARL1520"/>
      <c r="ARM1520"/>
      <c r="ARN1520"/>
      <c r="ARO1520"/>
      <c r="ARP1520"/>
      <c r="ARQ1520"/>
      <c r="ARR1520"/>
      <c r="ARS1520"/>
      <c r="ART1520"/>
      <c r="ARU1520"/>
      <c r="ARV1520"/>
      <c r="ARW1520"/>
      <c r="ARX1520"/>
      <c r="ARY1520"/>
      <c r="ARZ1520"/>
      <c r="ASA1520"/>
      <c r="ASB1520"/>
      <c r="ASC1520"/>
      <c r="ASD1520"/>
      <c r="ASE1520"/>
      <c r="ASF1520"/>
      <c r="ASG1520"/>
      <c r="ASH1520"/>
      <c r="ASI1520"/>
      <c r="ASJ1520"/>
      <c r="ASK1520"/>
      <c r="ASL1520"/>
      <c r="ASM1520"/>
      <c r="ASN1520"/>
      <c r="ASO1520"/>
      <c r="ASP1520"/>
      <c r="ASQ1520"/>
      <c r="ASR1520"/>
      <c r="ASS1520"/>
      <c r="AST1520"/>
      <c r="ASU1520"/>
      <c r="ASV1520"/>
      <c r="ASW1520"/>
      <c r="ASX1520"/>
      <c r="ASY1520"/>
      <c r="ASZ1520"/>
      <c r="ATA1520"/>
      <c r="ATB1520"/>
      <c r="ATC1520"/>
      <c r="ATD1520"/>
      <c r="ATE1520"/>
      <c r="ATF1520"/>
      <c r="ATG1520"/>
      <c r="ATH1520"/>
      <c r="ATI1520"/>
      <c r="ATJ1520"/>
      <c r="ATK1520"/>
      <c r="ATL1520"/>
      <c r="ATM1520"/>
      <c r="ATN1520"/>
      <c r="ATO1520"/>
      <c r="ATP1520"/>
      <c r="ATQ1520"/>
      <c r="ATR1520"/>
      <c r="ATS1520"/>
      <c r="ATT1520"/>
      <c r="ATU1520"/>
      <c r="ATV1520"/>
      <c r="ATW1520"/>
      <c r="ATX1520"/>
      <c r="ATY1520"/>
      <c r="ATZ1520"/>
      <c r="AUA1520"/>
      <c r="AUB1520"/>
      <c r="AUC1520"/>
      <c r="AUD1520"/>
      <c r="AUE1520"/>
      <c r="AUF1520"/>
      <c r="AUG1520"/>
      <c r="AUH1520"/>
      <c r="AUI1520"/>
      <c r="AUJ1520"/>
      <c r="AUK1520"/>
      <c r="AUL1520"/>
      <c r="AUM1520"/>
      <c r="AUN1520"/>
      <c r="AUO1520"/>
      <c r="AUP1520"/>
      <c r="AUQ1520"/>
      <c r="AUR1520"/>
      <c r="AUS1520"/>
      <c r="AUT1520"/>
      <c r="AUU1520"/>
      <c r="AUV1520"/>
      <c r="AUW1520"/>
      <c r="AUX1520"/>
      <c r="AUY1520"/>
      <c r="AUZ1520"/>
      <c r="AVA1520"/>
      <c r="AVB1520"/>
      <c r="AVC1520"/>
      <c r="AVD1520"/>
      <c r="AVE1520"/>
      <c r="AVF1520"/>
      <c r="AVG1520"/>
      <c r="AVH1520"/>
      <c r="AVI1520"/>
      <c r="AVJ1520"/>
      <c r="AVK1520"/>
      <c r="AVL1520"/>
      <c r="AVM1520"/>
      <c r="AVN1520"/>
      <c r="AVO1520"/>
      <c r="AVP1520"/>
      <c r="AVQ1520"/>
      <c r="AVR1520"/>
      <c r="AVS1520"/>
      <c r="AVT1520"/>
      <c r="AVU1520"/>
      <c r="AVV1520"/>
      <c r="AVW1520"/>
      <c r="AVX1520"/>
      <c r="AVY1520"/>
      <c r="AVZ1520"/>
      <c r="AWA1520"/>
      <c r="AWB1520"/>
      <c r="AWC1520"/>
      <c r="AWD1520"/>
      <c r="AWE1520"/>
      <c r="AWF1520"/>
      <c r="AWG1520"/>
      <c r="AWH1520"/>
      <c r="AWI1520"/>
      <c r="AWJ1520"/>
      <c r="AWK1520"/>
      <c r="AWL1520"/>
      <c r="AWM1520"/>
      <c r="AWN1520"/>
      <c r="AWO1520"/>
      <c r="AWP1520"/>
      <c r="AWQ1520"/>
      <c r="AWR1520"/>
      <c r="AWS1520"/>
      <c r="AWT1520"/>
      <c r="AWU1520"/>
      <c r="AWV1520"/>
      <c r="AWW1520"/>
      <c r="AWX1520"/>
      <c r="AWY1520"/>
      <c r="AWZ1520"/>
      <c r="AXA1520"/>
      <c r="AXB1520"/>
      <c r="AXC1520"/>
      <c r="AXD1520"/>
      <c r="AXE1520"/>
      <c r="AXF1520"/>
      <c r="AXG1520"/>
      <c r="AXH1520"/>
      <c r="AXI1520"/>
      <c r="AXJ1520"/>
      <c r="AXK1520"/>
      <c r="AXL1520"/>
      <c r="AXM1520"/>
      <c r="AXN1520"/>
      <c r="AXO1520"/>
      <c r="AXP1520"/>
      <c r="AXQ1520"/>
      <c r="AXR1520"/>
      <c r="AXS1520"/>
      <c r="AXT1520"/>
      <c r="AXU1520"/>
      <c r="AXV1520"/>
      <c r="AXW1520"/>
      <c r="AXX1520"/>
      <c r="AXY1520"/>
      <c r="AXZ1520"/>
      <c r="AYA1520"/>
      <c r="AYB1520"/>
      <c r="AYC1520"/>
      <c r="AYD1520"/>
      <c r="AYE1520"/>
      <c r="AYF1520"/>
      <c r="AYG1520"/>
      <c r="AYH1520"/>
      <c r="AYI1520"/>
      <c r="AYJ1520"/>
      <c r="AYK1520"/>
      <c r="AYL1520"/>
      <c r="AYM1520"/>
      <c r="AYN1520"/>
      <c r="AYO1520"/>
      <c r="AYP1520"/>
      <c r="AYQ1520"/>
      <c r="AYR1520"/>
      <c r="AYS1520"/>
      <c r="AYT1520"/>
      <c r="AYU1520"/>
      <c r="AYV1520"/>
      <c r="AYW1520"/>
      <c r="AYX1520"/>
      <c r="AYY1520"/>
      <c r="AYZ1520"/>
      <c r="AZA1520"/>
      <c r="AZB1520"/>
      <c r="AZC1520"/>
      <c r="AZD1520"/>
      <c r="AZE1520"/>
      <c r="AZF1520"/>
      <c r="AZG1520"/>
      <c r="AZH1520"/>
      <c r="AZI1520"/>
      <c r="AZJ1520"/>
      <c r="AZK1520"/>
      <c r="AZL1520"/>
      <c r="AZM1520"/>
      <c r="AZN1520"/>
      <c r="AZO1520"/>
      <c r="AZP1520"/>
      <c r="AZQ1520"/>
      <c r="AZR1520"/>
      <c r="AZS1520"/>
      <c r="AZT1520"/>
      <c r="AZU1520"/>
      <c r="AZV1520"/>
      <c r="AZW1520"/>
      <c r="AZX1520"/>
      <c r="AZY1520"/>
      <c r="AZZ1520"/>
      <c r="BAA1520"/>
      <c r="BAB1520"/>
      <c r="BAC1520"/>
      <c r="BAD1520"/>
      <c r="BAE1520"/>
      <c r="BAF1520"/>
      <c r="BAG1520"/>
      <c r="BAH1520"/>
      <c r="BAI1520"/>
      <c r="BAJ1520"/>
      <c r="BAK1520"/>
      <c r="BAL1520"/>
      <c r="BAM1520"/>
      <c r="BAN1520"/>
      <c r="BAO1520"/>
      <c r="BAP1520"/>
      <c r="BAQ1520"/>
      <c r="BAR1520"/>
      <c r="BAS1520"/>
      <c r="BAT1520"/>
      <c r="BAU1520"/>
      <c r="BAV1520"/>
      <c r="BAW1520"/>
      <c r="BAX1520"/>
      <c r="BAY1520"/>
      <c r="BAZ1520"/>
      <c r="BBA1520"/>
      <c r="BBB1520"/>
      <c r="BBC1520"/>
      <c r="BBD1520"/>
      <c r="BBE1520"/>
      <c r="BBF1520"/>
      <c r="BBG1520"/>
      <c r="BBH1520"/>
      <c r="BBI1520"/>
      <c r="BBJ1520"/>
      <c r="BBK1520"/>
      <c r="BBL1520"/>
      <c r="BBM1520"/>
      <c r="BBN1520"/>
      <c r="BBO1520"/>
      <c r="BBP1520"/>
      <c r="BBQ1520"/>
      <c r="BBR1520"/>
      <c r="BBS1520"/>
      <c r="BBT1520"/>
      <c r="BBU1520"/>
      <c r="BBV1520"/>
      <c r="BBW1520"/>
      <c r="BBX1520"/>
      <c r="BBY1520"/>
      <c r="BBZ1520"/>
      <c r="BCA1520"/>
      <c r="BCB1520"/>
      <c r="BCC1520"/>
      <c r="BCD1520"/>
      <c r="BCE1520"/>
      <c r="BCF1520"/>
      <c r="BCG1520"/>
      <c r="BCH1520"/>
      <c r="BCI1520"/>
      <c r="BCJ1520"/>
      <c r="BCK1520"/>
      <c r="BCL1520"/>
      <c r="BCM1520"/>
      <c r="BCN1520"/>
      <c r="BCO1520"/>
      <c r="BCP1520"/>
      <c r="BCQ1520"/>
      <c r="BCR1520"/>
      <c r="BCS1520"/>
      <c r="BCT1520"/>
      <c r="BCU1520"/>
      <c r="BCV1520"/>
      <c r="BCW1520"/>
      <c r="BCX1520"/>
      <c r="BCY1520"/>
      <c r="BCZ1520"/>
      <c r="BDA1520"/>
      <c r="BDB1520"/>
      <c r="BDC1520"/>
      <c r="BDD1520"/>
      <c r="BDE1520"/>
      <c r="BDF1520"/>
      <c r="BDG1520"/>
      <c r="BDH1520"/>
      <c r="BDI1520"/>
      <c r="BDJ1520"/>
      <c r="BDK1520"/>
      <c r="BDL1520"/>
      <c r="BDM1520"/>
      <c r="BDN1520"/>
      <c r="BDO1520"/>
      <c r="BDP1520"/>
      <c r="BDQ1520"/>
      <c r="BDR1520"/>
      <c r="BDS1520"/>
      <c r="BDT1520"/>
      <c r="BDU1520"/>
      <c r="BDV1520"/>
      <c r="BDW1520"/>
      <c r="BDX1520"/>
      <c r="BDY1520"/>
      <c r="BDZ1520"/>
      <c r="BEA1520"/>
      <c r="BEB1520"/>
      <c r="BEC1520"/>
      <c r="BED1520"/>
      <c r="BEE1520"/>
      <c r="BEF1520"/>
      <c r="BEG1520"/>
      <c r="BEH1520"/>
      <c r="BEI1520"/>
      <c r="BEJ1520"/>
      <c r="BEK1520"/>
      <c r="BEL1520"/>
      <c r="BEM1520"/>
      <c r="BEN1520"/>
      <c r="BEO1520"/>
      <c r="BEP1520"/>
      <c r="BEQ1520"/>
      <c r="BER1520"/>
      <c r="BES1520"/>
      <c r="BET1520"/>
      <c r="BEU1520"/>
      <c r="BEV1520"/>
      <c r="BEW1520"/>
      <c r="BEX1520"/>
      <c r="BEY1520"/>
      <c r="BEZ1520"/>
      <c r="BFA1520"/>
      <c r="BFB1520"/>
      <c r="BFC1520"/>
      <c r="BFD1520"/>
      <c r="BFE1520"/>
      <c r="BFF1520"/>
      <c r="BFG1520"/>
      <c r="BFH1520"/>
      <c r="BFI1520"/>
      <c r="BFJ1520"/>
      <c r="BFK1520"/>
      <c r="BFL1520"/>
      <c r="BFM1520"/>
      <c r="BFN1520"/>
      <c r="BFO1520"/>
      <c r="BFP1520"/>
      <c r="BFQ1520"/>
      <c r="BFR1520"/>
      <c r="BFS1520"/>
      <c r="BFT1520"/>
      <c r="BFU1520"/>
      <c r="BFV1520"/>
      <c r="BFW1520"/>
      <c r="BFX1520"/>
      <c r="BFY1520"/>
      <c r="BFZ1520"/>
      <c r="BGA1520"/>
      <c r="BGB1520"/>
      <c r="BGC1520"/>
      <c r="BGD1520"/>
      <c r="BGE1520"/>
      <c r="BGF1520"/>
      <c r="BGG1520"/>
      <c r="BGH1520"/>
      <c r="BGI1520"/>
      <c r="BGJ1520"/>
      <c r="BGK1520"/>
      <c r="BGL1520"/>
      <c r="BGM1520"/>
      <c r="BGN1520"/>
      <c r="BGO1520"/>
      <c r="BGP1520"/>
      <c r="BGQ1520"/>
      <c r="BGR1520"/>
      <c r="BGS1520"/>
      <c r="BGT1520"/>
      <c r="BGU1520"/>
      <c r="BGV1520"/>
      <c r="BGW1520"/>
      <c r="BGX1520"/>
      <c r="BGY1520"/>
      <c r="BGZ1520"/>
      <c r="BHA1520"/>
      <c r="BHB1520"/>
      <c r="BHC1520"/>
      <c r="BHD1520"/>
      <c r="BHE1520"/>
      <c r="BHF1520"/>
      <c r="BHG1520"/>
      <c r="BHH1520"/>
      <c r="BHI1520"/>
      <c r="BHJ1520"/>
      <c r="BHK1520"/>
      <c r="BHL1520"/>
      <c r="BHM1520"/>
      <c r="BHN1520"/>
      <c r="BHO1520"/>
      <c r="BHP1520"/>
      <c r="BHQ1520"/>
      <c r="BHR1520"/>
      <c r="BHS1520"/>
      <c r="BHT1520"/>
      <c r="BHU1520"/>
      <c r="BHV1520"/>
      <c r="BHW1520"/>
      <c r="BHX1520"/>
      <c r="BHY1520"/>
      <c r="BHZ1520"/>
      <c r="BIA1520"/>
      <c r="BIB1520"/>
      <c r="BIC1520"/>
      <c r="BID1520"/>
      <c r="BIE1520"/>
      <c r="BIF1520"/>
      <c r="BIG1520"/>
      <c r="BIH1520"/>
      <c r="BII1520"/>
      <c r="BIJ1520"/>
      <c r="BIK1520"/>
      <c r="BIL1520"/>
      <c r="BIM1520"/>
      <c r="BIN1520"/>
      <c r="BIO1520"/>
      <c r="BIP1520"/>
      <c r="BIQ1520"/>
      <c r="BIR1520"/>
      <c r="BIS1520"/>
      <c r="BIT1520"/>
      <c r="BIU1520"/>
      <c r="BIV1520"/>
      <c r="BIW1520"/>
      <c r="BIX1520"/>
      <c r="BIY1520"/>
      <c r="BIZ1520"/>
      <c r="BJA1520"/>
      <c r="BJB1520"/>
      <c r="BJC1520"/>
      <c r="BJD1520"/>
      <c r="BJE1520"/>
      <c r="BJF1520"/>
      <c r="BJG1520"/>
      <c r="BJH1520"/>
      <c r="BJI1520"/>
      <c r="BJJ1520"/>
      <c r="BJK1520"/>
      <c r="BJL1520"/>
      <c r="BJM1520"/>
      <c r="BJN1520"/>
      <c r="BJO1520"/>
      <c r="BJP1520"/>
      <c r="BJQ1520"/>
      <c r="BJR1520"/>
      <c r="BJS1520"/>
      <c r="BJT1520"/>
      <c r="BJU1520"/>
      <c r="BJV1520"/>
      <c r="BJW1520"/>
      <c r="BJX1520"/>
      <c r="BJY1520"/>
      <c r="BJZ1520"/>
      <c r="BKA1520"/>
      <c r="BKB1520"/>
      <c r="BKC1520"/>
      <c r="BKD1520"/>
      <c r="BKE1520"/>
      <c r="BKF1520"/>
      <c r="BKG1520"/>
      <c r="BKH1520"/>
      <c r="BKI1520"/>
      <c r="BKJ1520"/>
      <c r="BKK1520"/>
      <c r="BKL1520"/>
      <c r="BKM1520"/>
      <c r="BKN1520"/>
      <c r="BKO1520"/>
      <c r="BKP1520"/>
      <c r="BKQ1520"/>
      <c r="BKR1520"/>
      <c r="BKS1520"/>
      <c r="BKT1520"/>
      <c r="BKU1520"/>
      <c r="BKV1520"/>
      <c r="BKW1520"/>
      <c r="BKX1520"/>
      <c r="BKY1520"/>
      <c r="BKZ1520"/>
      <c r="BLA1520"/>
      <c r="BLB1520"/>
      <c r="BLC1520"/>
      <c r="BLD1520"/>
      <c r="BLE1520"/>
      <c r="BLF1520"/>
      <c r="BLG1520"/>
      <c r="BLH1520"/>
      <c r="BLI1520"/>
      <c r="BLJ1520"/>
      <c r="BLK1520"/>
      <c r="BLL1520"/>
      <c r="BLM1520"/>
      <c r="BLN1520"/>
      <c r="BLO1520"/>
      <c r="BLP1520"/>
      <c r="BLQ1520"/>
      <c r="BLR1520"/>
      <c r="BLS1520"/>
      <c r="BLT1520"/>
      <c r="BLU1520"/>
      <c r="BLV1520"/>
      <c r="BLW1520"/>
      <c r="BLX1520"/>
      <c r="BLY1520"/>
      <c r="BLZ1520"/>
      <c r="BMA1520"/>
      <c r="BMB1520"/>
      <c r="BMC1520"/>
      <c r="BMD1520"/>
      <c r="BME1520"/>
      <c r="BMF1520"/>
      <c r="BMG1520"/>
      <c r="BMH1520"/>
      <c r="BMI1520"/>
      <c r="BMJ1520"/>
      <c r="BMK1520"/>
      <c r="BML1520"/>
      <c r="BMM1520"/>
      <c r="BMN1520"/>
      <c r="BMO1520"/>
      <c r="BMP1520"/>
      <c r="BMQ1520"/>
      <c r="BMR1520"/>
      <c r="BMS1520"/>
      <c r="BMT1520"/>
      <c r="BMU1520"/>
      <c r="BMV1520"/>
      <c r="BMW1520"/>
      <c r="BMX1520"/>
      <c r="BMY1520"/>
      <c r="BMZ1520"/>
      <c r="BNA1520"/>
      <c r="BNB1520"/>
      <c r="BNC1520"/>
      <c r="BND1520"/>
      <c r="BNE1520"/>
      <c r="BNF1520"/>
      <c r="BNG1520"/>
      <c r="BNH1520"/>
      <c r="BNI1520"/>
      <c r="BNJ1520"/>
      <c r="BNK1520"/>
      <c r="BNL1520"/>
      <c r="BNM1520"/>
      <c r="BNN1520"/>
      <c r="BNO1520"/>
      <c r="BNP1520"/>
      <c r="BNQ1520"/>
      <c r="BNR1520"/>
      <c r="BNS1520"/>
      <c r="BNT1520"/>
      <c r="BNU1520"/>
      <c r="BNV1520"/>
      <c r="BNW1520"/>
      <c r="BNX1520"/>
      <c r="BNY1520"/>
      <c r="BNZ1520"/>
      <c r="BOA1520"/>
      <c r="BOB1520"/>
      <c r="BOC1520"/>
      <c r="BOD1520"/>
      <c r="BOE1520"/>
      <c r="BOF1520"/>
      <c r="BOG1520"/>
      <c r="BOH1520"/>
      <c r="BOI1520"/>
      <c r="BOJ1520"/>
      <c r="BOK1520"/>
      <c r="BOL1520"/>
      <c r="BOM1520"/>
      <c r="BON1520"/>
      <c r="BOO1520"/>
      <c r="BOP1520"/>
      <c r="BOQ1520"/>
      <c r="BOR1520"/>
      <c r="BOS1520"/>
      <c r="BOT1520"/>
      <c r="BOU1520"/>
      <c r="BOV1520"/>
      <c r="BOW1520"/>
      <c r="BOX1520"/>
      <c r="BOY1520"/>
      <c r="BOZ1520"/>
      <c r="BPA1520"/>
      <c r="BPB1520"/>
      <c r="BPC1520"/>
      <c r="BPD1520"/>
      <c r="BPE1520"/>
      <c r="BPF1520"/>
      <c r="BPG1520"/>
      <c r="BPH1520"/>
      <c r="BPI1520"/>
      <c r="BPJ1520"/>
      <c r="BPK1520"/>
      <c r="BPL1520"/>
      <c r="BPM1520"/>
      <c r="BPN1520"/>
      <c r="BPO1520"/>
      <c r="BPP1520"/>
      <c r="BPQ1520"/>
      <c r="BPR1520"/>
      <c r="BPS1520"/>
      <c r="BPT1520"/>
      <c r="BPU1520"/>
      <c r="BPV1520"/>
      <c r="BPW1520"/>
      <c r="BPX1520"/>
      <c r="BPY1520"/>
      <c r="BPZ1520"/>
      <c r="BQA1520"/>
      <c r="BQB1520"/>
      <c r="BQC1520"/>
      <c r="BQD1520"/>
      <c r="BQE1520"/>
      <c r="BQF1520"/>
      <c r="BQG1520"/>
      <c r="BQH1520"/>
      <c r="BQI1520"/>
      <c r="BQJ1520"/>
      <c r="BQK1520"/>
      <c r="BQL1520"/>
      <c r="BQM1520"/>
      <c r="BQN1520"/>
      <c r="BQO1520"/>
      <c r="BQP1520"/>
      <c r="BQQ1520"/>
      <c r="BQR1520"/>
      <c r="BQS1520"/>
      <c r="BQT1520"/>
      <c r="BQU1520"/>
      <c r="BQV1520"/>
      <c r="BQW1520"/>
      <c r="BQX1520"/>
      <c r="BQY1520"/>
      <c r="BQZ1520"/>
      <c r="BRA1520"/>
      <c r="BRB1520"/>
      <c r="BRC1520"/>
      <c r="BRD1520"/>
      <c r="BRE1520"/>
      <c r="BRF1520"/>
      <c r="BRG1520"/>
      <c r="BRH1520"/>
      <c r="BRI1520"/>
      <c r="BRJ1520"/>
      <c r="BRK1520"/>
      <c r="BRL1520"/>
      <c r="BRM1520"/>
      <c r="BRN1520"/>
      <c r="BRO1520"/>
      <c r="BRP1520"/>
      <c r="BRQ1520"/>
      <c r="BRR1520"/>
      <c r="BRS1520"/>
      <c r="BRT1520"/>
      <c r="BRU1520"/>
      <c r="BRV1520"/>
      <c r="BRW1520"/>
      <c r="BRX1520"/>
      <c r="BRY1520"/>
      <c r="BRZ1520"/>
      <c r="BSA1520"/>
      <c r="BSB1520"/>
      <c r="BSC1520"/>
      <c r="BSD1520"/>
      <c r="BSE1520"/>
      <c r="BSF1520"/>
      <c r="BSG1520"/>
      <c r="BSH1520"/>
      <c r="BSI1520"/>
      <c r="BSJ1520"/>
      <c r="BSK1520"/>
      <c r="BSL1520"/>
      <c r="BSM1520"/>
      <c r="BSN1520"/>
      <c r="BSO1520"/>
      <c r="BSP1520"/>
      <c r="BSQ1520"/>
      <c r="BSR1520"/>
      <c r="BSS1520"/>
      <c r="BST1520"/>
      <c r="BSU1520"/>
      <c r="BSV1520"/>
      <c r="BSW1520"/>
      <c r="BSX1520"/>
      <c r="BSY1520"/>
      <c r="BSZ1520"/>
      <c r="BTA1520"/>
      <c r="BTB1520"/>
      <c r="BTC1520"/>
      <c r="BTD1520"/>
      <c r="BTE1520"/>
      <c r="BTF1520"/>
      <c r="BTG1520"/>
      <c r="BTH1520"/>
      <c r="BTI1520"/>
      <c r="BTJ1520"/>
      <c r="BTK1520"/>
      <c r="BTL1520"/>
      <c r="BTM1520"/>
      <c r="BTN1520"/>
      <c r="BTO1520"/>
      <c r="BTP1520"/>
      <c r="BTQ1520"/>
      <c r="BTR1520"/>
      <c r="BTS1520"/>
      <c r="BTT1520"/>
      <c r="BTU1520"/>
      <c r="BTV1520"/>
      <c r="BTW1520"/>
      <c r="BTX1520"/>
      <c r="BTY1520"/>
      <c r="BTZ1520"/>
      <c r="BUA1520"/>
      <c r="BUB1520"/>
      <c r="BUC1520"/>
      <c r="BUD1520"/>
      <c r="BUE1520"/>
      <c r="BUF1520"/>
      <c r="BUG1520"/>
      <c r="BUH1520"/>
      <c r="BUI1520"/>
      <c r="BUJ1520"/>
      <c r="BUK1520"/>
      <c r="BUL1520"/>
      <c r="BUM1520"/>
      <c r="BUN1520"/>
      <c r="BUO1520"/>
      <c r="BUP1520"/>
      <c r="BUQ1520"/>
      <c r="BUR1520"/>
      <c r="BUS1520"/>
      <c r="BUT1520"/>
      <c r="BUU1520"/>
      <c r="BUV1520"/>
      <c r="BUW1520"/>
      <c r="BUX1520"/>
      <c r="BUY1520"/>
      <c r="BUZ1520"/>
      <c r="BVA1520"/>
      <c r="BVB1520"/>
      <c r="BVC1520"/>
      <c r="BVD1520"/>
      <c r="BVE1520"/>
      <c r="BVF1520"/>
      <c r="BVG1520"/>
      <c r="BVH1520"/>
      <c r="BVI1520"/>
      <c r="BVJ1520"/>
      <c r="BVK1520"/>
      <c r="BVL1520"/>
      <c r="BVM1520"/>
      <c r="BVN1520"/>
      <c r="BVO1520"/>
      <c r="BVP1520"/>
      <c r="BVQ1520"/>
      <c r="BVR1520"/>
      <c r="BVS1520"/>
      <c r="BVT1520"/>
      <c r="BVU1520"/>
      <c r="BVV1520"/>
      <c r="BVW1520"/>
      <c r="BVX1520"/>
      <c r="BVY1520"/>
      <c r="BVZ1520"/>
      <c r="BWA1520"/>
      <c r="BWB1520"/>
      <c r="BWC1520"/>
      <c r="BWD1520"/>
      <c r="BWE1520"/>
      <c r="BWF1520"/>
      <c r="BWG1520"/>
      <c r="BWH1520"/>
      <c r="BWI1520"/>
      <c r="BWJ1520"/>
      <c r="BWK1520"/>
      <c r="BWL1520"/>
      <c r="BWM1520"/>
      <c r="BWN1520"/>
      <c r="BWO1520"/>
      <c r="BWP1520"/>
      <c r="BWQ1520"/>
      <c r="BWR1520"/>
      <c r="BWS1520"/>
      <c r="BWT1520"/>
      <c r="BWU1520"/>
      <c r="BWV1520"/>
      <c r="BWW1520"/>
      <c r="BWX1520"/>
      <c r="BWY1520"/>
      <c r="BWZ1520"/>
      <c r="BXA1520"/>
      <c r="BXB1520"/>
      <c r="BXC1520"/>
      <c r="BXD1520"/>
      <c r="BXE1520"/>
      <c r="BXF1520"/>
      <c r="BXG1520"/>
      <c r="BXH1520"/>
      <c r="BXI1520"/>
      <c r="BXJ1520"/>
      <c r="BXK1520"/>
      <c r="BXL1520"/>
      <c r="BXM1520"/>
      <c r="BXN1520"/>
      <c r="BXO1520"/>
      <c r="BXP1520"/>
      <c r="BXQ1520"/>
      <c r="BXR1520"/>
      <c r="BXS1520"/>
      <c r="BXT1520"/>
      <c r="BXU1520"/>
      <c r="BXV1520"/>
      <c r="BXW1520"/>
      <c r="BXX1520"/>
      <c r="BXY1520"/>
      <c r="BXZ1520"/>
      <c r="BYA1520"/>
      <c r="BYB1520"/>
      <c r="BYC1520"/>
      <c r="BYD1520"/>
      <c r="BYE1520"/>
      <c r="BYF1520"/>
      <c r="BYG1520"/>
      <c r="BYH1520"/>
      <c r="BYI1520"/>
      <c r="BYJ1520"/>
      <c r="BYK1520"/>
      <c r="BYL1520"/>
      <c r="BYM1520"/>
      <c r="BYN1520"/>
      <c r="BYO1520"/>
      <c r="BYP1520"/>
      <c r="BYQ1520"/>
      <c r="BYR1520"/>
      <c r="BYS1520"/>
      <c r="BYT1520"/>
      <c r="BYU1520"/>
      <c r="BYV1520"/>
      <c r="BYW1520"/>
      <c r="BYX1520"/>
      <c r="BYY1520"/>
      <c r="BYZ1520"/>
      <c r="BZA1520"/>
      <c r="BZB1520"/>
      <c r="BZC1520"/>
      <c r="BZD1520"/>
      <c r="BZE1520"/>
      <c r="BZF1520"/>
      <c r="BZG1520"/>
      <c r="BZH1520"/>
      <c r="BZI1520"/>
      <c r="BZJ1520"/>
      <c r="BZK1520"/>
      <c r="BZL1520"/>
      <c r="BZM1520"/>
      <c r="BZN1520"/>
      <c r="BZO1520"/>
      <c r="BZP1520"/>
      <c r="BZQ1520"/>
      <c r="BZR1520"/>
      <c r="BZS1520"/>
      <c r="BZT1520"/>
      <c r="BZU1520"/>
      <c r="BZV1520"/>
      <c r="BZW1520"/>
      <c r="BZX1520"/>
      <c r="BZY1520"/>
      <c r="BZZ1520"/>
      <c r="CAA1520"/>
      <c r="CAB1520"/>
      <c r="CAC1520"/>
      <c r="CAD1520"/>
      <c r="CAE1520"/>
      <c r="CAF1520"/>
      <c r="CAG1520"/>
      <c r="CAH1520"/>
      <c r="CAI1520"/>
      <c r="CAJ1520"/>
      <c r="CAK1520"/>
      <c r="CAL1520"/>
      <c r="CAM1520"/>
      <c r="CAN1520"/>
      <c r="CAO1520"/>
      <c r="CAP1520"/>
      <c r="CAQ1520"/>
      <c r="CAR1520"/>
      <c r="CAS1520"/>
      <c r="CAT1520"/>
      <c r="CAU1520"/>
      <c r="CAV1520"/>
      <c r="CAW1520"/>
      <c r="CAX1520"/>
      <c r="CAY1520"/>
      <c r="CAZ1520"/>
      <c r="CBA1520"/>
      <c r="CBB1520"/>
      <c r="CBC1520"/>
      <c r="CBD1520"/>
      <c r="CBE1520"/>
      <c r="CBF1520"/>
      <c r="CBG1520"/>
      <c r="CBH1520"/>
      <c r="CBI1520"/>
      <c r="CBJ1520"/>
      <c r="CBK1520"/>
      <c r="CBL1520"/>
      <c r="CBM1520"/>
      <c r="CBN1520"/>
      <c r="CBO1520"/>
      <c r="CBP1520"/>
      <c r="CBQ1520"/>
      <c r="CBR1520"/>
      <c r="CBS1520"/>
      <c r="CBT1520"/>
      <c r="CBU1520"/>
      <c r="CBV1520"/>
      <c r="CBW1520"/>
      <c r="CBX1520"/>
      <c r="CBY1520"/>
      <c r="CBZ1520"/>
      <c r="CCA1520"/>
      <c r="CCB1520"/>
      <c r="CCC1520"/>
      <c r="CCD1520"/>
      <c r="CCE1520"/>
      <c r="CCF1520"/>
      <c r="CCG1520"/>
      <c r="CCH1520"/>
      <c r="CCI1520"/>
      <c r="CCJ1520"/>
      <c r="CCK1520"/>
      <c r="CCL1520"/>
      <c r="CCM1520"/>
      <c r="CCN1520"/>
      <c r="CCO1520"/>
      <c r="CCP1520"/>
      <c r="CCQ1520"/>
      <c r="CCR1520"/>
      <c r="CCS1520"/>
      <c r="CCT1520"/>
      <c r="CCU1520"/>
      <c r="CCV1520"/>
      <c r="CCW1520"/>
      <c r="CCX1520"/>
      <c r="CCY1520"/>
      <c r="CCZ1520"/>
      <c r="CDA1520"/>
      <c r="CDB1520"/>
      <c r="CDC1520"/>
      <c r="CDD1520"/>
      <c r="CDE1520"/>
      <c r="CDF1520"/>
      <c r="CDG1520"/>
      <c r="CDH1520"/>
      <c r="CDI1520"/>
      <c r="CDJ1520"/>
      <c r="CDK1520"/>
      <c r="CDL1520"/>
      <c r="CDM1520"/>
      <c r="CDN1520"/>
      <c r="CDO1520"/>
      <c r="CDP1520"/>
      <c r="CDQ1520"/>
      <c r="CDR1520"/>
      <c r="CDS1520"/>
      <c r="CDT1520"/>
      <c r="CDU1520"/>
      <c r="CDV1520"/>
      <c r="CDW1520"/>
      <c r="CDX1520"/>
      <c r="CDY1520"/>
      <c r="CDZ1520"/>
      <c r="CEA1520"/>
      <c r="CEB1520"/>
      <c r="CEC1520"/>
      <c r="CED1520"/>
      <c r="CEE1520"/>
      <c r="CEF1520"/>
      <c r="CEG1520"/>
      <c r="CEH1520"/>
      <c r="CEI1520"/>
      <c r="CEJ1520"/>
      <c r="CEK1520"/>
      <c r="CEL1520"/>
      <c r="CEM1520"/>
      <c r="CEN1520"/>
      <c r="CEO1520"/>
      <c r="CEP1520"/>
      <c r="CEQ1520"/>
      <c r="CER1520"/>
      <c r="CES1520"/>
      <c r="CET1520"/>
      <c r="CEU1520"/>
      <c r="CEV1520"/>
      <c r="CEW1520"/>
      <c r="CEX1520"/>
      <c r="CEY1520"/>
      <c r="CEZ1520"/>
      <c r="CFA1520"/>
      <c r="CFB1520"/>
      <c r="CFC1520"/>
      <c r="CFD1520"/>
      <c r="CFE1520"/>
      <c r="CFF1520"/>
      <c r="CFG1520"/>
      <c r="CFH1520"/>
      <c r="CFI1520"/>
      <c r="CFJ1520"/>
      <c r="CFK1520"/>
      <c r="CFL1520"/>
      <c r="CFM1520"/>
      <c r="CFN1520"/>
      <c r="CFO1520"/>
      <c r="CFP1520"/>
      <c r="CFQ1520"/>
      <c r="CFR1520"/>
      <c r="CFS1520"/>
      <c r="CFT1520"/>
      <c r="CFU1520"/>
      <c r="CFV1520"/>
      <c r="CFW1520"/>
      <c r="CFX1520"/>
      <c r="CFY1520"/>
      <c r="CFZ1520"/>
      <c r="CGA1520"/>
      <c r="CGB1520"/>
      <c r="CGC1520"/>
      <c r="CGD1520"/>
      <c r="CGE1520"/>
      <c r="CGF1520"/>
      <c r="CGG1520"/>
      <c r="CGH1520"/>
      <c r="CGI1520"/>
      <c r="CGJ1520"/>
      <c r="CGK1520"/>
      <c r="CGL1520"/>
      <c r="CGM1520"/>
      <c r="CGN1520"/>
      <c r="CGO1520"/>
      <c r="CGP1520"/>
      <c r="CGQ1520"/>
      <c r="CGR1520"/>
      <c r="CGS1520"/>
      <c r="CGT1520"/>
      <c r="CGU1520"/>
      <c r="CGV1520"/>
      <c r="CGW1520"/>
      <c r="CGX1520"/>
      <c r="CGY1520"/>
      <c r="CGZ1520"/>
      <c r="CHA1520"/>
      <c r="CHB1520"/>
      <c r="CHC1520"/>
      <c r="CHD1520"/>
      <c r="CHE1520"/>
      <c r="CHF1520"/>
      <c r="CHG1520"/>
      <c r="CHH1520"/>
      <c r="CHI1520"/>
      <c r="CHJ1520"/>
      <c r="CHK1520"/>
      <c r="CHL1520"/>
      <c r="CHM1520"/>
      <c r="CHN1520"/>
      <c r="CHO1520"/>
      <c r="CHP1520"/>
      <c r="CHQ1520"/>
      <c r="CHR1520"/>
      <c r="CHS1520"/>
      <c r="CHT1520"/>
      <c r="CHU1520"/>
      <c r="CHV1520"/>
      <c r="CHW1520"/>
      <c r="CHX1520"/>
      <c r="CHY1520"/>
      <c r="CHZ1520"/>
      <c r="CIA1520"/>
      <c r="CIB1520"/>
      <c r="CIC1520"/>
      <c r="CID1520"/>
      <c r="CIE1520"/>
      <c r="CIF1520"/>
      <c r="CIG1520"/>
      <c r="CIH1520"/>
      <c r="CII1520"/>
      <c r="CIJ1520"/>
      <c r="CIK1520"/>
      <c r="CIL1520"/>
      <c r="CIM1520"/>
      <c r="CIN1520"/>
      <c r="CIO1520"/>
      <c r="CIP1520"/>
      <c r="CIQ1520"/>
      <c r="CIR1520"/>
      <c r="CIS1520"/>
      <c r="CIT1520"/>
      <c r="CIU1520"/>
      <c r="CIV1520"/>
      <c r="CIW1520"/>
      <c r="CIX1520"/>
      <c r="CIY1520"/>
      <c r="CIZ1520"/>
      <c r="CJA1520"/>
      <c r="CJB1520"/>
      <c r="CJC1520"/>
      <c r="CJD1520"/>
      <c r="CJE1520"/>
      <c r="CJF1520"/>
      <c r="CJG1520"/>
      <c r="CJH1520"/>
      <c r="CJI1520"/>
      <c r="CJJ1520"/>
      <c r="CJK1520"/>
      <c r="CJL1520"/>
      <c r="CJM1520"/>
      <c r="CJN1520"/>
      <c r="CJO1520"/>
      <c r="CJP1520"/>
      <c r="CJQ1520"/>
      <c r="CJR1520"/>
      <c r="CJS1520"/>
      <c r="CJT1520"/>
      <c r="CJU1520"/>
      <c r="CJV1520"/>
      <c r="CJW1520"/>
      <c r="CJX1520"/>
      <c r="CJY1520"/>
      <c r="CJZ1520"/>
      <c r="CKA1520"/>
      <c r="CKB1520"/>
      <c r="CKC1520"/>
      <c r="CKD1520"/>
      <c r="CKE1520"/>
      <c r="CKF1520"/>
      <c r="CKG1520"/>
      <c r="CKH1520"/>
      <c r="CKI1520"/>
      <c r="CKJ1520"/>
      <c r="CKK1520"/>
      <c r="CKL1520"/>
      <c r="CKM1520"/>
      <c r="CKN1520"/>
      <c r="CKO1520"/>
      <c r="CKP1520"/>
      <c r="CKQ1520"/>
      <c r="CKR1520"/>
      <c r="CKS1520"/>
      <c r="CKT1520"/>
      <c r="CKU1520"/>
      <c r="CKV1520"/>
      <c r="CKW1520"/>
      <c r="CKX1520"/>
      <c r="CKY1520"/>
      <c r="CKZ1520"/>
      <c r="CLA1520"/>
      <c r="CLB1520"/>
      <c r="CLC1520"/>
      <c r="CLD1520"/>
      <c r="CLE1520"/>
      <c r="CLF1520"/>
      <c r="CLG1520"/>
      <c r="CLH1520"/>
      <c r="CLI1520"/>
      <c r="CLJ1520"/>
      <c r="CLK1520"/>
      <c r="CLL1520"/>
      <c r="CLM1520"/>
      <c r="CLN1520"/>
      <c r="CLO1520"/>
      <c r="CLP1520"/>
      <c r="CLQ1520"/>
      <c r="CLR1520"/>
      <c r="CLS1520"/>
      <c r="CLT1520"/>
      <c r="CLU1520"/>
      <c r="CLV1520"/>
      <c r="CLW1520"/>
      <c r="CLX1520"/>
      <c r="CLY1520"/>
      <c r="CLZ1520"/>
      <c r="CMA1520"/>
      <c r="CMB1520"/>
      <c r="CMC1520"/>
      <c r="CMD1520"/>
      <c r="CME1520"/>
      <c r="CMF1520"/>
      <c r="CMG1520"/>
      <c r="CMH1520"/>
      <c r="CMI1520"/>
      <c r="CMJ1520"/>
      <c r="CMK1520"/>
      <c r="CML1520"/>
      <c r="CMM1520"/>
      <c r="CMN1520"/>
      <c r="CMO1520"/>
      <c r="CMP1520"/>
      <c r="CMQ1520"/>
      <c r="CMR1520"/>
      <c r="CMS1520"/>
      <c r="CMT1520"/>
      <c r="CMU1520"/>
      <c r="CMV1520"/>
      <c r="CMW1520"/>
      <c r="CMX1520"/>
      <c r="CMY1520"/>
      <c r="CMZ1520"/>
      <c r="CNA1520"/>
      <c r="CNB1520"/>
      <c r="CNC1520"/>
      <c r="CND1520"/>
      <c r="CNE1520"/>
      <c r="CNF1520"/>
      <c r="CNG1520"/>
      <c r="CNH1520"/>
      <c r="CNI1520"/>
      <c r="CNJ1520"/>
      <c r="CNK1520"/>
      <c r="CNL1520"/>
      <c r="CNM1520"/>
      <c r="CNN1520"/>
      <c r="CNO1520"/>
      <c r="CNP1520"/>
      <c r="CNQ1520"/>
      <c r="CNR1520"/>
      <c r="CNS1520"/>
      <c r="CNT1520"/>
      <c r="CNU1520"/>
      <c r="CNV1520"/>
      <c r="CNW1520"/>
      <c r="CNX1520"/>
      <c r="CNY1520"/>
      <c r="CNZ1520"/>
      <c r="COA1520"/>
      <c r="COB1520"/>
      <c r="COC1520"/>
      <c r="COD1520"/>
      <c r="COE1520"/>
      <c r="COF1520"/>
      <c r="COG1520"/>
      <c r="COH1520"/>
      <c r="COI1520"/>
      <c r="COJ1520"/>
      <c r="COK1520"/>
      <c r="COL1520"/>
      <c r="COM1520"/>
      <c r="CON1520"/>
      <c r="COO1520"/>
      <c r="COP1520"/>
      <c r="COQ1520"/>
      <c r="COR1520"/>
      <c r="COS1520"/>
      <c r="COT1520"/>
      <c r="COU1520"/>
      <c r="COV1520"/>
      <c r="COW1520"/>
      <c r="COX1520"/>
      <c r="COY1520"/>
      <c r="COZ1520"/>
      <c r="CPA1520"/>
      <c r="CPB1520"/>
      <c r="CPC1520"/>
      <c r="CPD1520"/>
      <c r="CPE1520"/>
      <c r="CPF1520"/>
      <c r="CPG1520"/>
      <c r="CPH1520"/>
      <c r="CPI1520"/>
      <c r="CPJ1520"/>
      <c r="CPK1520"/>
      <c r="CPL1520"/>
      <c r="CPM1520"/>
      <c r="CPN1520"/>
      <c r="CPO1520"/>
      <c r="CPP1520"/>
      <c r="CPQ1520"/>
      <c r="CPR1520"/>
      <c r="CPS1520"/>
      <c r="CPT1520"/>
      <c r="CPU1520"/>
      <c r="CPV1520"/>
      <c r="CPW1520"/>
      <c r="CPX1520"/>
      <c r="CPY1520"/>
      <c r="CPZ1520"/>
      <c r="CQA1520"/>
      <c r="CQB1520"/>
      <c r="CQC1520"/>
      <c r="CQD1520"/>
      <c r="CQE1520"/>
      <c r="CQF1520"/>
      <c r="CQG1520"/>
      <c r="CQH1520"/>
      <c r="CQI1520"/>
      <c r="CQJ1520"/>
      <c r="CQK1520"/>
      <c r="CQL1520"/>
      <c r="CQM1520"/>
      <c r="CQN1520"/>
      <c r="CQO1520"/>
      <c r="CQP1520"/>
      <c r="CQQ1520"/>
      <c r="CQR1520"/>
      <c r="CQS1520"/>
      <c r="CQT1520"/>
      <c r="CQU1520"/>
      <c r="CQV1520"/>
      <c r="CQW1520"/>
      <c r="CQX1520"/>
      <c r="CQY1520"/>
      <c r="CQZ1520"/>
      <c r="CRA1520"/>
      <c r="CRB1520"/>
      <c r="CRC1520"/>
      <c r="CRD1520"/>
      <c r="CRE1520"/>
      <c r="CRF1520"/>
      <c r="CRG1520"/>
      <c r="CRH1520"/>
      <c r="CRI1520"/>
      <c r="CRJ1520"/>
      <c r="CRK1520"/>
      <c r="CRL1520"/>
      <c r="CRM1520"/>
      <c r="CRN1520"/>
      <c r="CRO1520"/>
      <c r="CRP1520"/>
      <c r="CRQ1520"/>
      <c r="CRR1520"/>
      <c r="CRS1520"/>
      <c r="CRT1520"/>
      <c r="CRU1520"/>
      <c r="CRV1520"/>
      <c r="CRW1520"/>
      <c r="CRX1520"/>
      <c r="CRY1520"/>
      <c r="CRZ1520"/>
      <c r="CSA1520"/>
      <c r="CSB1520"/>
      <c r="CSC1520"/>
      <c r="CSD1520"/>
      <c r="CSE1520"/>
      <c r="CSF1520"/>
      <c r="CSG1520"/>
      <c r="CSH1520"/>
      <c r="CSI1520"/>
      <c r="CSJ1520"/>
      <c r="CSK1520"/>
      <c r="CSL1520"/>
      <c r="CSM1520"/>
      <c r="CSN1520"/>
      <c r="CSO1520"/>
      <c r="CSP1520"/>
      <c r="CSQ1520"/>
      <c r="CSR1520"/>
      <c r="CSS1520"/>
      <c r="CST1520"/>
      <c r="CSU1520"/>
      <c r="CSV1520"/>
      <c r="CSW1520"/>
      <c r="CSX1520"/>
      <c r="CSY1520"/>
      <c r="CSZ1520"/>
      <c r="CTA1520"/>
      <c r="CTB1520"/>
      <c r="CTC1520"/>
      <c r="CTD1520"/>
      <c r="CTE1520"/>
      <c r="CTF1520"/>
      <c r="CTG1520"/>
      <c r="CTH1520"/>
      <c r="CTI1520"/>
      <c r="CTJ1520"/>
      <c r="CTK1520"/>
      <c r="CTL1520"/>
      <c r="CTM1520"/>
      <c r="CTN1520"/>
      <c r="CTO1520"/>
      <c r="CTP1520"/>
      <c r="CTQ1520"/>
      <c r="CTR1520"/>
      <c r="CTS1520"/>
      <c r="CTT1520"/>
      <c r="CTU1520"/>
      <c r="CTV1520"/>
      <c r="CTW1520"/>
      <c r="CTX1520"/>
      <c r="CTY1520"/>
      <c r="CTZ1520"/>
      <c r="CUA1520"/>
      <c r="CUB1520"/>
      <c r="CUC1520"/>
      <c r="CUD1520"/>
      <c r="CUE1520"/>
      <c r="CUF1520"/>
      <c r="CUG1520"/>
      <c r="CUH1520"/>
      <c r="CUI1520"/>
      <c r="CUJ1520"/>
      <c r="CUK1520"/>
      <c r="CUL1520"/>
      <c r="CUM1520"/>
      <c r="CUN1520"/>
      <c r="CUO1520"/>
      <c r="CUP1520"/>
      <c r="CUQ1520"/>
      <c r="CUR1520"/>
      <c r="CUS1520"/>
      <c r="CUT1520"/>
      <c r="CUU1520"/>
      <c r="CUV1520"/>
      <c r="CUW1520"/>
      <c r="CUX1520"/>
      <c r="CUY1520"/>
      <c r="CUZ1520"/>
      <c r="CVA1520"/>
      <c r="CVB1520"/>
      <c r="CVC1520"/>
      <c r="CVD1520"/>
      <c r="CVE1520"/>
      <c r="CVF1520"/>
      <c r="CVG1520"/>
      <c r="CVH1520"/>
      <c r="CVI1520"/>
      <c r="CVJ1520"/>
      <c r="CVK1520"/>
      <c r="CVL1520"/>
      <c r="CVM1520"/>
      <c r="CVN1520"/>
      <c r="CVO1520"/>
      <c r="CVP1520"/>
      <c r="CVQ1520"/>
      <c r="CVR1520"/>
      <c r="CVS1520"/>
      <c r="CVT1520"/>
      <c r="CVU1520"/>
      <c r="CVV1520"/>
      <c r="CVW1520"/>
      <c r="CVX1520"/>
      <c r="CVY1520"/>
      <c r="CVZ1520"/>
      <c r="CWA1520"/>
      <c r="CWB1520"/>
      <c r="CWC1520"/>
      <c r="CWD1520"/>
      <c r="CWE1520"/>
      <c r="CWF1520"/>
      <c r="CWG1520"/>
      <c r="CWH1520"/>
      <c r="CWI1520"/>
      <c r="CWJ1520"/>
      <c r="CWK1520"/>
      <c r="CWL1520"/>
      <c r="CWM1520"/>
      <c r="CWN1520"/>
      <c r="CWO1520"/>
      <c r="CWP1520"/>
      <c r="CWQ1520"/>
      <c r="CWR1520"/>
      <c r="CWS1520"/>
      <c r="CWT1520"/>
      <c r="CWU1520"/>
      <c r="CWV1520"/>
      <c r="CWW1520"/>
      <c r="CWX1520"/>
      <c r="CWY1520"/>
      <c r="CWZ1520"/>
      <c r="CXA1520"/>
      <c r="CXB1520"/>
      <c r="CXC1520"/>
      <c r="CXD1520"/>
      <c r="CXE1520"/>
      <c r="CXF1520"/>
      <c r="CXG1520"/>
      <c r="CXH1520"/>
      <c r="CXI1520"/>
      <c r="CXJ1520"/>
      <c r="CXK1520"/>
      <c r="CXL1520"/>
      <c r="CXM1520"/>
      <c r="CXN1520"/>
      <c r="CXO1520"/>
      <c r="CXP1520"/>
      <c r="CXQ1520"/>
      <c r="CXR1520"/>
      <c r="CXS1520"/>
      <c r="CXT1520"/>
      <c r="CXU1520"/>
      <c r="CXV1520"/>
      <c r="CXW1520"/>
      <c r="CXX1520"/>
      <c r="CXY1520"/>
      <c r="CXZ1520"/>
      <c r="CYA1520"/>
      <c r="CYB1520"/>
      <c r="CYC1520"/>
      <c r="CYD1520"/>
      <c r="CYE1520"/>
      <c r="CYF1520"/>
      <c r="CYG1520"/>
      <c r="CYH1520"/>
      <c r="CYI1520"/>
      <c r="CYJ1520"/>
      <c r="CYK1520"/>
      <c r="CYL1520"/>
      <c r="CYM1520"/>
      <c r="CYN1520"/>
      <c r="CYO1520"/>
      <c r="CYP1520"/>
      <c r="CYQ1520"/>
      <c r="CYR1520"/>
      <c r="CYS1520"/>
      <c r="CYT1520"/>
      <c r="CYU1520"/>
      <c r="CYV1520"/>
      <c r="CYW1520"/>
      <c r="CYX1520"/>
      <c r="CYY1520"/>
      <c r="CYZ1520"/>
      <c r="CZA1520"/>
      <c r="CZB1520"/>
      <c r="CZC1520"/>
      <c r="CZD1520"/>
      <c r="CZE1520"/>
      <c r="CZF1520"/>
      <c r="CZG1520"/>
      <c r="CZH1520"/>
      <c r="CZI1520"/>
      <c r="CZJ1520"/>
      <c r="CZK1520"/>
      <c r="CZL1520"/>
      <c r="CZM1520"/>
      <c r="CZN1520"/>
      <c r="CZO1520"/>
      <c r="CZP1520"/>
      <c r="CZQ1520"/>
      <c r="CZR1520"/>
      <c r="CZS1520"/>
      <c r="CZT1520"/>
      <c r="CZU1520"/>
      <c r="CZV1520"/>
      <c r="CZW1520"/>
      <c r="CZX1520"/>
      <c r="CZY1520"/>
      <c r="CZZ1520"/>
      <c r="DAA1520"/>
      <c r="DAB1520"/>
      <c r="DAC1520"/>
      <c r="DAD1520"/>
      <c r="DAE1520"/>
      <c r="DAF1520"/>
      <c r="DAG1520"/>
      <c r="DAH1520"/>
      <c r="DAI1520"/>
      <c r="DAJ1520"/>
      <c r="DAK1520"/>
      <c r="DAL1520"/>
      <c r="DAM1520"/>
      <c r="DAN1520"/>
      <c r="DAO1520"/>
      <c r="DAP1520"/>
      <c r="DAQ1520"/>
      <c r="DAR1520"/>
      <c r="DAS1520"/>
      <c r="DAT1520"/>
      <c r="DAU1520"/>
      <c r="DAV1520"/>
      <c r="DAW1520"/>
      <c r="DAX1520"/>
      <c r="DAY1520"/>
      <c r="DAZ1520"/>
      <c r="DBA1520"/>
      <c r="DBB1520"/>
      <c r="DBC1520"/>
      <c r="DBD1520"/>
      <c r="DBE1520"/>
      <c r="DBF1520"/>
      <c r="DBG1520"/>
      <c r="DBH1520"/>
      <c r="DBI1520"/>
      <c r="DBJ1520"/>
      <c r="DBK1520"/>
      <c r="DBL1520"/>
      <c r="DBM1520"/>
      <c r="DBN1520"/>
      <c r="DBO1520"/>
      <c r="DBP1520"/>
      <c r="DBQ1520"/>
      <c r="DBR1520"/>
      <c r="DBS1520"/>
      <c r="DBT1520"/>
      <c r="DBU1520"/>
      <c r="DBV1520"/>
      <c r="DBW1520"/>
      <c r="DBX1520"/>
      <c r="DBY1520"/>
      <c r="DBZ1520"/>
      <c r="DCA1520"/>
      <c r="DCB1520"/>
      <c r="DCC1520"/>
      <c r="DCD1520"/>
      <c r="DCE1520"/>
      <c r="DCF1520"/>
      <c r="DCG1520"/>
      <c r="DCH1520"/>
      <c r="DCI1520"/>
      <c r="DCJ1520"/>
      <c r="DCK1520"/>
      <c r="DCL1520"/>
      <c r="DCM1520"/>
      <c r="DCN1520"/>
      <c r="DCO1520"/>
      <c r="DCP1520"/>
      <c r="DCQ1520"/>
      <c r="DCR1520"/>
      <c r="DCS1520"/>
      <c r="DCT1520"/>
      <c r="DCU1520"/>
      <c r="DCV1520"/>
      <c r="DCW1520"/>
      <c r="DCX1520"/>
      <c r="DCY1520"/>
      <c r="DCZ1520"/>
      <c r="DDA1520"/>
      <c r="DDB1520"/>
      <c r="DDC1520"/>
      <c r="DDD1520"/>
      <c r="DDE1520"/>
      <c r="DDF1520"/>
      <c r="DDG1520"/>
      <c r="DDH1520"/>
      <c r="DDI1520"/>
      <c r="DDJ1520"/>
      <c r="DDK1520"/>
      <c r="DDL1520"/>
      <c r="DDM1520"/>
      <c r="DDN1520"/>
      <c r="DDO1520"/>
      <c r="DDP1520"/>
      <c r="DDQ1520"/>
      <c r="DDR1520"/>
      <c r="DDS1520"/>
      <c r="DDT1520"/>
      <c r="DDU1520"/>
      <c r="DDV1520"/>
      <c r="DDW1520"/>
      <c r="DDX1520"/>
      <c r="DDY1520"/>
      <c r="DDZ1520"/>
      <c r="DEA1520"/>
      <c r="DEB1520"/>
      <c r="DEC1520"/>
      <c r="DED1520"/>
      <c r="DEE1520"/>
      <c r="DEF1520"/>
      <c r="DEG1520"/>
      <c r="DEH1520"/>
      <c r="DEI1520"/>
      <c r="DEJ1520"/>
      <c r="DEK1520"/>
      <c r="DEL1520"/>
      <c r="DEM1520"/>
      <c r="DEN1520"/>
      <c r="DEO1520"/>
      <c r="DEP1520"/>
      <c r="DEQ1520"/>
      <c r="DER1520"/>
      <c r="DES1520"/>
      <c r="DET1520"/>
      <c r="DEU1520"/>
      <c r="DEV1520"/>
      <c r="DEW1520"/>
      <c r="DEX1520"/>
      <c r="DEY1520"/>
      <c r="DEZ1520"/>
      <c r="DFA1520"/>
      <c r="DFB1520"/>
      <c r="DFC1520"/>
      <c r="DFD1520"/>
      <c r="DFE1520"/>
      <c r="DFF1520"/>
      <c r="DFG1520"/>
      <c r="DFH1520"/>
      <c r="DFI1520"/>
      <c r="DFJ1520"/>
      <c r="DFK1520"/>
      <c r="DFL1520"/>
      <c r="DFM1520"/>
      <c r="DFN1520"/>
      <c r="DFO1520"/>
      <c r="DFP1520"/>
      <c r="DFQ1520"/>
      <c r="DFR1520"/>
      <c r="DFS1520"/>
      <c r="DFT1520"/>
      <c r="DFU1520"/>
      <c r="DFV1520"/>
      <c r="DFW1520"/>
      <c r="DFX1520"/>
      <c r="DFY1520"/>
      <c r="DFZ1520"/>
      <c r="DGA1520"/>
      <c r="DGB1520"/>
      <c r="DGC1520"/>
      <c r="DGD1520"/>
      <c r="DGE1520"/>
      <c r="DGF1520"/>
      <c r="DGG1520"/>
      <c r="DGH1520"/>
      <c r="DGI1520"/>
      <c r="DGJ1520"/>
      <c r="DGK1520"/>
      <c r="DGL1520"/>
      <c r="DGM1520"/>
      <c r="DGN1520"/>
      <c r="DGO1520"/>
      <c r="DGP1520"/>
      <c r="DGQ1520"/>
      <c r="DGR1520"/>
      <c r="DGS1520"/>
      <c r="DGT1520"/>
      <c r="DGU1520"/>
      <c r="DGV1520"/>
      <c r="DGW1520"/>
      <c r="DGX1520"/>
      <c r="DGY1520"/>
      <c r="DGZ1520"/>
      <c r="DHA1520"/>
      <c r="DHB1520"/>
      <c r="DHC1520"/>
      <c r="DHD1520"/>
      <c r="DHE1520"/>
      <c r="DHF1520"/>
      <c r="DHG1520"/>
      <c r="DHH1520"/>
      <c r="DHI1520"/>
      <c r="DHJ1520"/>
      <c r="DHK1520"/>
      <c r="DHL1520"/>
      <c r="DHM1520"/>
      <c r="DHN1520"/>
      <c r="DHO1520"/>
      <c r="DHP1520"/>
      <c r="DHQ1520"/>
      <c r="DHR1520"/>
      <c r="DHS1520"/>
      <c r="DHT1520"/>
      <c r="DHU1520"/>
      <c r="DHV1520"/>
      <c r="DHW1520"/>
      <c r="DHX1520"/>
      <c r="DHY1520"/>
      <c r="DHZ1520"/>
      <c r="DIA1520"/>
      <c r="DIB1520"/>
      <c r="DIC1520"/>
      <c r="DID1520"/>
      <c r="DIE1520"/>
      <c r="DIF1520"/>
      <c r="DIG1520"/>
      <c r="DIH1520"/>
      <c r="DII1520"/>
      <c r="DIJ1520"/>
      <c r="DIK1520"/>
      <c r="DIL1520"/>
      <c r="DIM1520"/>
      <c r="DIN1520"/>
      <c r="DIO1520"/>
      <c r="DIP1520"/>
      <c r="DIQ1520"/>
      <c r="DIR1520"/>
      <c r="DIS1520"/>
      <c r="DIT1520"/>
      <c r="DIU1520"/>
      <c r="DIV1520"/>
      <c r="DIW1520"/>
      <c r="DIX1520"/>
      <c r="DIY1520"/>
      <c r="DIZ1520"/>
      <c r="DJA1520"/>
      <c r="DJB1520"/>
      <c r="DJC1520"/>
      <c r="DJD1520"/>
      <c r="DJE1520"/>
      <c r="DJF1520"/>
      <c r="DJG1520"/>
      <c r="DJH1520"/>
      <c r="DJI1520"/>
      <c r="DJJ1520"/>
      <c r="DJK1520"/>
      <c r="DJL1520"/>
      <c r="DJM1520"/>
      <c r="DJN1520"/>
      <c r="DJO1520"/>
      <c r="DJP1520"/>
      <c r="DJQ1520"/>
      <c r="DJR1520"/>
      <c r="DJS1520"/>
      <c r="DJT1520"/>
      <c r="DJU1520"/>
      <c r="DJV1520"/>
      <c r="DJW1520"/>
      <c r="DJX1520"/>
      <c r="DJY1520"/>
      <c r="DJZ1520"/>
      <c r="DKA1520"/>
      <c r="DKB1520"/>
      <c r="DKC1520"/>
      <c r="DKD1520"/>
      <c r="DKE1520"/>
      <c r="DKF1520"/>
      <c r="DKG1520"/>
      <c r="DKH1520"/>
      <c r="DKI1520"/>
      <c r="DKJ1520"/>
      <c r="DKK1520"/>
      <c r="DKL1520"/>
      <c r="DKM1520"/>
      <c r="DKN1520"/>
      <c r="DKO1520"/>
      <c r="DKP1520"/>
      <c r="DKQ1520"/>
      <c r="DKR1520"/>
      <c r="DKS1520"/>
      <c r="DKT1520"/>
      <c r="DKU1520"/>
      <c r="DKV1520"/>
      <c r="DKW1520"/>
      <c r="DKX1520"/>
      <c r="DKY1520"/>
      <c r="DKZ1520"/>
      <c r="DLA1520"/>
      <c r="DLB1520"/>
      <c r="DLC1520"/>
      <c r="DLD1520"/>
      <c r="DLE1520"/>
      <c r="DLF1520"/>
      <c r="DLG1520"/>
      <c r="DLH1520"/>
      <c r="DLI1520"/>
      <c r="DLJ1520"/>
      <c r="DLK1520"/>
      <c r="DLL1520"/>
      <c r="DLM1520"/>
      <c r="DLN1520"/>
      <c r="DLO1520"/>
      <c r="DLP1520"/>
      <c r="DLQ1520"/>
      <c r="DLR1520"/>
      <c r="DLS1520"/>
      <c r="DLT1520"/>
      <c r="DLU1520"/>
      <c r="DLV1520"/>
      <c r="DLW1520"/>
      <c r="DLX1520"/>
      <c r="DLY1520"/>
      <c r="DLZ1520"/>
      <c r="DMA1520"/>
      <c r="DMB1520"/>
      <c r="DMC1520"/>
      <c r="DMD1520"/>
      <c r="DME1520"/>
      <c r="DMF1520"/>
      <c r="DMG1520"/>
      <c r="DMH1520"/>
      <c r="DMI1520"/>
      <c r="DMJ1520"/>
      <c r="DMK1520"/>
      <c r="DML1520"/>
      <c r="DMM1520"/>
      <c r="DMN1520"/>
      <c r="DMO1520"/>
      <c r="DMP1520"/>
      <c r="DMQ1520"/>
      <c r="DMR1520"/>
      <c r="DMS1520"/>
      <c r="DMT1520"/>
      <c r="DMU1520"/>
      <c r="DMV1520"/>
      <c r="DMW1520"/>
      <c r="DMX1520"/>
      <c r="DMY1520"/>
      <c r="DMZ1520"/>
      <c r="DNA1520"/>
      <c r="DNB1520"/>
      <c r="DNC1520"/>
      <c r="DND1520"/>
      <c r="DNE1520"/>
      <c r="DNF1520"/>
      <c r="DNG1520"/>
      <c r="DNH1520"/>
      <c r="DNI1520"/>
      <c r="DNJ1520"/>
      <c r="DNK1520"/>
      <c r="DNL1520"/>
      <c r="DNM1520"/>
      <c r="DNN1520"/>
      <c r="DNO1520"/>
      <c r="DNP1520"/>
      <c r="DNQ1520"/>
      <c r="DNR1520"/>
      <c r="DNS1520"/>
      <c r="DNT1520"/>
      <c r="DNU1520"/>
      <c r="DNV1520"/>
      <c r="DNW1520"/>
      <c r="DNX1520"/>
      <c r="DNY1520"/>
      <c r="DNZ1520"/>
      <c r="DOA1520"/>
      <c r="DOB1520"/>
      <c r="DOC1520"/>
      <c r="DOD1520"/>
      <c r="DOE1520"/>
      <c r="DOF1520"/>
      <c r="DOG1520"/>
      <c r="DOH1520"/>
      <c r="DOI1520"/>
      <c r="DOJ1520"/>
      <c r="DOK1520"/>
      <c r="DOL1520"/>
      <c r="DOM1520"/>
      <c r="DON1520"/>
      <c r="DOO1520"/>
      <c r="DOP1520"/>
      <c r="DOQ1520"/>
      <c r="DOR1520"/>
      <c r="DOS1520"/>
      <c r="DOT1520"/>
      <c r="DOU1520"/>
      <c r="DOV1520"/>
      <c r="DOW1520"/>
      <c r="DOX1520"/>
      <c r="DOY1520"/>
      <c r="DOZ1520"/>
      <c r="DPA1520"/>
      <c r="DPB1520"/>
      <c r="DPC1520"/>
      <c r="DPD1520"/>
      <c r="DPE1520"/>
      <c r="DPF1520"/>
      <c r="DPG1520"/>
      <c r="DPH1520"/>
      <c r="DPI1520"/>
      <c r="DPJ1520"/>
      <c r="DPK1520"/>
      <c r="DPL1520"/>
      <c r="DPM1520"/>
      <c r="DPN1520"/>
      <c r="DPO1520"/>
      <c r="DPP1520"/>
      <c r="DPQ1520"/>
      <c r="DPR1520"/>
      <c r="DPS1520"/>
      <c r="DPT1520"/>
      <c r="DPU1520"/>
      <c r="DPV1520"/>
      <c r="DPW1520"/>
      <c r="DPX1520"/>
      <c r="DPY1520"/>
      <c r="DPZ1520"/>
      <c r="DQA1520"/>
      <c r="DQB1520"/>
      <c r="DQC1520"/>
      <c r="DQD1520"/>
      <c r="DQE1520"/>
      <c r="DQF1520"/>
      <c r="DQG1520"/>
      <c r="DQH1520"/>
      <c r="DQI1520"/>
      <c r="DQJ1520"/>
      <c r="DQK1520"/>
      <c r="DQL1520"/>
      <c r="DQM1520"/>
      <c r="DQN1520"/>
      <c r="DQO1520"/>
      <c r="DQP1520"/>
      <c r="DQQ1520"/>
      <c r="DQR1520"/>
      <c r="DQS1520"/>
      <c r="DQT1520"/>
      <c r="DQU1520"/>
      <c r="DQV1520"/>
      <c r="DQW1520"/>
      <c r="DQX1520"/>
      <c r="DQY1520"/>
      <c r="DQZ1520"/>
      <c r="DRA1520"/>
      <c r="DRB1520"/>
      <c r="DRC1520"/>
      <c r="DRD1520"/>
      <c r="DRE1520"/>
      <c r="DRF1520"/>
      <c r="DRG1520"/>
      <c r="DRH1520"/>
      <c r="DRI1520"/>
      <c r="DRJ1520"/>
      <c r="DRK1520"/>
      <c r="DRL1520"/>
      <c r="DRM1520"/>
      <c r="DRN1520"/>
      <c r="DRO1520"/>
      <c r="DRP1520"/>
      <c r="DRQ1520"/>
      <c r="DRR1520"/>
      <c r="DRS1520"/>
      <c r="DRT1520"/>
      <c r="DRU1520"/>
      <c r="DRV1520"/>
      <c r="DRW1520"/>
      <c r="DRX1520"/>
      <c r="DRY1520"/>
      <c r="DRZ1520"/>
      <c r="DSA1520"/>
      <c r="DSB1520"/>
      <c r="DSC1520"/>
      <c r="DSD1520"/>
      <c r="DSE1520"/>
      <c r="DSF1520"/>
      <c r="DSG1520"/>
      <c r="DSH1520"/>
      <c r="DSI1520"/>
      <c r="DSJ1520"/>
      <c r="DSK1520"/>
      <c r="DSL1520"/>
      <c r="DSM1520"/>
      <c r="DSN1520"/>
      <c r="DSO1520"/>
      <c r="DSP1520"/>
      <c r="DSQ1520"/>
      <c r="DSR1520"/>
      <c r="DSS1520"/>
      <c r="DST1520"/>
      <c r="DSU1520"/>
      <c r="DSV1520"/>
      <c r="DSW1520"/>
      <c r="DSX1520"/>
      <c r="DSY1520"/>
      <c r="DSZ1520"/>
      <c r="DTA1520"/>
      <c r="DTB1520"/>
      <c r="DTC1520"/>
      <c r="DTD1520"/>
      <c r="DTE1520"/>
      <c r="DTF1520"/>
      <c r="DTG1520"/>
      <c r="DTH1520"/>
      <c r="DTI1520"/>
      <c r="DTJ1520"/>
      <c r="DTK1520"/>
      <c r="DTL1520"/>
      <c r="DTM1520"/>
      <c r="DTN1520"/>
      <c r="DTO1520"/>
      <c r="DTP1520"/>
      <c r="DTQ1520"/>
      <c r="DTR1520"/>
      <c r="DTS1520"/>
      <c r="DTT1520"/>
      <c r="DTU1520"/>
      <c r="DTV1520"/>
      <c r="DTW1520"/>
      <c r="DTX1520"/>
      <c r="DTY1520"/>
      <c r="DTZ1520"/>
      <c r="DUA1520"/>
      <c r="DUB1520"/>
      <c r="DUC1520"/>
      <c r="DUD1520"/>
      <c r="DUE1520"/>
      <c r="DUF1520"/>
      <c r="DUG1520"/>
      <c r="DUH1520"/>
      <c r="DUI1520"/>
      <c r="DUJ1520"/>
      <c r="DUK1520"/>
      <c r="DUL1520"/>
      <c r="DUM1520"/>
      <c r="DUN1520"/>
      <c r="DUO1520"/>
      <c r="DUP1520"/>
      <c r="DUQ1520"/>
      <c r="DUR1520"/>
      <c r="DUS1520"/>
      <c r="DUT1520"/>
      <c r="DUU1520"/>
      <c r="DUV1520"/>
      <c r="DUW1520"/>
      <c r="DUX1520"/>
      <c r="DUY1520"/>
      <c r="DUZ1520"/>
      <c r="DVA1520"/>
      <c r="DVB1520"/>
      <c r="DVC1520"/>
      <c r="DVD1520"/>
      <c r="DVE1520"/>
      <c r="DVF1520"/>
      <c r="DVG1520"/>
      <c r="DVH1520"/>
      <c r="DVI1520"/>
      <c r="DVJ1520"/>
      <c r="DVK1520"/>
      <c r="DVL1520"/>
      <c r="DVM1520"/>
      <c r="DVN1520"/>
      <c r="DVO1520"/>
      <c r="DVP1520"/>
      <c r="DVQ1520"/>
      <c r="DVR1520"/>
      <c r="DVS1520"/>
      <c r="DVT1520"/>
      <c r="DVU1520"/>
      <c r="DVV1520"/>
      <c r="DVW1520"/>
      <c r="DVX1520"/>
      <c r="DVY1520"/>
      <c r="DVZ1520"/>
      <c r="DWA1520"/>
      <c r="DWB1520"/>
      <c r="DWC1520"/>
      <c r="DWD1520"/>
      <c r="DWE1520"/>
      <c r="DWF1520"/>
      <c r="DWG1520"/>
      <c r="DWH1520"/>
      <c r="DWI1520"/>
      <c r="DWJ1520"/>
      <c r="DWK1520"/>
      <c r="DWL1520"/>
      <c r="DWM1520"/>
      <c r="DWN1520"/>
      <c r="DWO1520"/>
      <c r="DWP1520"/>
      <c r="DWQ1520"/>
      <c r="DWR1520"/>
      <c r="DWS1520"/>
      <c r="DWT1520"/>
      <c r="DWU1520"/>
      <c r="DWV1520"/>
      <c r="DWW1520"/>
      <c r="DWX1520"/>
      <c r="DWY1520"/>
      <c r="DWZ1520"/>
      <c r="DXA1520"/>
      <c r="DXB1520"/>
      <c r="DXC1520"/>
      <c r="DXD1520"/>
      <c r="DXE1520"/>
      <c r="DXF1520"/>
      <c r="DXG1520"/>
      <c r="DXH1520"/>
      <c r="DXI1520"/>
      <c r="DXJ1520"/>
      <c r="DXK1520"/>
      <c r="DXL1520"/>
      <c r="DXM1520"/>
      <c r="DXN1520"/>
      <c r="DXO1520"/>
      <c r="DXP1520"/>
      <c r="DXQ1520"/>
      <c r="DXR1520"/>
      <c r="DXS1520"/>
      <c r="DXT1520"/>
      <c r="DXU1520"/>
      <c r="DXV1520"/>
      <c r="DXW1520"/>
      <c r="DXX1520"/>
      <c r="DXY1520"/>
      <c r="DXZ1520"/>
      <c r="DYA1520"/>
      <c r="DYB1520"/>
      <c r="DYC1520"/>
      <c r="DYD1520"/>
      <c r="DYE1520"/>
      <c r="DYF1520"/>
      <c r="DYG1520"/>
      <c r="DYH1520"/>
      <c r="DYI1520"/>
      <c r="DYJ1520"/>
      <c r="DYK1520"/>
      <c r="DYL1520"/>
      <c r="DYM1520"/>
      <c r="DYN1520"/>
      <c r="DYO1520"/>
      <c r="DYP1520"/>
      <c r="DYQ1520"/>
      <c r="DYR1520"/>
      <c r="DYS1520"/>
      <c r="DYT1520"/>
      <c r="DYU1520"/>
      <c r="DYV1520"/>
      <c r="DYW1520"/>
      <c r="DYX1520"/>
      <c r="DYY1520"/>
      <c r="DYZ1520"/>
      <c r="DZA1520"/>
      <c r="DZB1520"/>
      <c r="DZC1520"/>
      <c r="DZD1520"/>
      <c r="DZE1520"/>
      <c r="DZF1520"/>
      <c r="DZG1520"/>
      <c r="DZH1520"/>
      <c r="DZI1520"/>
      <c r="DZJ1520"/>
      <c r="DZK1520"/>
      <c r="DZL1520"/>
      <c r="DZM1520"/>
      <c r="DZN1520"/>
      <c r="DZO1520"/>
      <c r="DZP1520"/>
      <c r="DZQ1520"/>
      <c r="DZR1520"/>
      <c r="DZS1520"/>
      <c r="DZT1520"/>
      <c r="DZU1520"/>
      <c r="DZV1520"/>
      <c r="DZW1520"/>
      <c r="DZX1520"/>
      <c r="DZY1520"/>
      <c r="DZZ1520"/>
      <c r="EAA1520"/>
      <c r="EAB1520"/>
      <c r="EAC1520"/>
      <c r="EAD1520"/>
      <c r="EAE1520"/>
      <c r="EAF1520"/>
      <c r="EAG1520"/>
      <c r="EAH1520"/>
      <c r="EAI1520"/>
      <c r="EAJ1520"/>
      <c r="EAK1520"/>
      <c r="EAL1520"/>
      <c r="EAM1520"/>
      <c r="EAN1520"/>
      <c r="EAO1520"/>
      <c r="EAP1520"/>
      <c r="EAQ1520"/>
      <c r="EAR1520"/>
      <c r="EAS1520"/>
      <c r="EAT1520"/>
      <c r="EAU1520"/>
      <c r="EAV1520"/>
      <c r="EAW1520"/>
      <c r="EAX1520"/>
      <c r="EAY1520"/>
      <c r="EAZ1520"/>
      <c r="EBA1520"/>
      <c r="EBB1520"/>
      <c r="EBC1520"/>
      <c r="EBD1520"/>
      <c r="EBE1520"/>
      <c r="EBF1520"/>
      <c r="EBG1520"/>
      <c r="EBH1520"/>
      <c r="EBI1520"/>
      <c r="EBJ1520"/>
      <c r="EBK1520"/>
      <c r="EBL1520"/>
      <c r="EBM1520"/>
      <c r="EBN1520"/>
      <c r="EBO1520"/>
      <c r="EBP1520"/>
      <c r="EBQ1520"/>
      <c r="EBR1520"/>
      <c r="EBS1520"/>
      <c r="EBT1520"/>
      <c r="EBU1520"/>
      <c r="EBV1520"/>
      <c r="EBW1520"/>
      <c r="EBX1520"/>
      <c r="EBY1520"/>
      <c r="EBZ1520"/>
      <c r="ECA1520"/>
      <c r="ECB1520"/>
      <c r="ECC1520"/>
      <c r="ECD1520"/>
      <c r="ECE1520"/>
      <c r="ECF1520"/>
      <c r="ECG1520"/>
      <c r="ECH1520"/>
      <c r="ECI1520"/>
      <c r="ECJ1520"/>
      <c r="ECK1520"/>
      <c r="ECL1520"/>
      <c r="ECM1520"/>
      <c r="ECN1520"/>
      <c r="ECO1520"/>
      <c r="ECP1520"/>
      <c r="ECQ1520"/>
      <c r="ECR1520"/>
      <c r="ECS1520"/>
      <c r="ECT1520"/>
      <c r="ECU1520"/>
      <c r="ECV1520"/>
      <c r="ECW1520"/>
      <c r="ECX1520"/>
      <c r="ECY1520"/>
      <c r="ECZ1520"/>
      <c r="EDA1520"/>
      <c r="EDB1520"/>
      <c r="EDC1520"/>
      <c r="EDD1520"/>
      <c r="EDE1520"/>
      <c r="EDF1520"/>
      <c r="EDG1520"/>
      <c r="EDH1520"/>
      <c r="EDI1520"/>
      <c r="EDJ1520"/>
      <c r="EDK1520"/>
      <c r="EDL1520"/>
      <c r="EDM1520"/>
      <c r="EDN1520"/>
      <c r="EDO1520"/>
      <c r="EDP1520"/>
      <c r="EDQ1520"/>
      <c r="EDR1520"/>
      <c r="EDS1520"/>
      <c r="EDT1520"/>
      <c r="EDU1520"/>
      <c r="EDV1520"/>
      <c r="EDW1520"/>
      <c r="EDX1520"/>
      <c r="EDY1520"/>
      <c r="EDZ1520"/>
      <c r="EEA1520"/>
      <c r="EEB1520"/>
      <c r="EEC1520"/>
      <c r="EED1520"/>
      <c r="EEE1520"/>
      <c r="EEF1520"/>
      <c r="EEG1520"/>
      <c r="EEH1520"/>
      <c r="EEI1520"/>
      <c r="EEJ1520"/>
      <c r="EEK1520"/>
      <c r="EEL1520"/>
      <c r="EEM1520"/>
      <c r="EEN1520"/>
      <c r="EEO1520"/>
      <c r="EEP1520"/>
      <c r="EEQ1520"/>
      <c r="EER1520"/>
      <c r="EES1520"/>
      <c r="EET1520"/>
      <c r="EEU1520"/>
      <c r="EEV1520"/>
      <c r="EEW1520"/>
      <c r="EEX1520"/>
      <c r="EEY1520"/>
      <c r="EEZ1520"/>
      <c r="EFA1520"/>
      <c r="EFB1520"/>
      <c r="EFC1520"/>
      <c r="EFD1520"/>
      <c r="EFE1520"/>
      <c r="EFF1520"/>
      <c r="EFG1520"/>
      <c r="EFH1520"/>
      <c r="EFI1520"/>
      <c r="EFJ1520"/>
      <c r="EFK1520"/>
      <c r="EFL1520"/>
      <c r="EFM1520"/>
      <c r="EFN1520"/>
      <c r="EFO1520"/>
      <c r="EFP1520"/>
      <c r="EFQ1520"/>
      <c r="EFR1520"/>
      <c r="EFS1520"/>
      <c r="EFT1520"/>
      <c r="EFU1520"/>
      <c r="EFV1520"/>
      <c r="EFW1520"/>
      <c r="EFX1520"/>
      <c r="EFY1520"/>
      <c r="EFZ1520"/>
      <c r="EGA1520"/>
      <c r="EGB1520"/>
      <c r="EGC1520"/>
      <c r="EGD1520"/>
      <c r="EGE1520"/>
      <c r="EGF1520"/>
      <c r="EGG1520"/>
      <c r="EGH1520"/>
      <c r="EGI1520"/>
      <c r="EGJ1520"/>
      <c r="EGK1520"/>
      <c r="EGL1520"/>
      <c r="EGM1520"/>
      <c r="EGN1520"/>
      <c r="EGO1520"/>
      <c r="EGP1520"/>
      <c r="EGQ1520"/>
      <c r="EGR1520"/>
      <c r="EGS1520"/>
      <c r="EGT1520"/>
      <c r="EGU1520"/>
      <c r="EGV1520"/>
      <c r="EGW1520"/>
      <c r="EGX1520"/>
      <c r="EGY1520"/>
      <c r="EGZ1520"/>
      <c r="EHA1520"/>
      <c r="EHB1520"/>
      <c r="EHC1520"/>
      <c r="EHD1520"/>
      <c r="EHE1520"/>
      <c r="EHF1520"/>
      <c r="EHG1520"/>
      <c r="EHH1520"/>
      <c r="EHI1520"/>
      <c r="EHJ1520"/>
      <c r="EHK1520"/>
      <c r="EHL1520"/>
      <c r="EHM1520"/>
      <c r="EHN1520"/>
      <c r="EHO1520"/>
      <c r="EHP1520"/>
      <c r="EHQ1520"/>
      <c r="EHR1520"/>
      <c r="EHS1520"/>
      <c r="EHT1520"/>
      <c r="EHU1520"/>
      <c r="EHV1520"/>
      <c r="EHW1520"/>
      <c r="EHX1520"/>
      <c r="EHY1520"/>
      <c r="EHZ1520"/>
      <c r="EIA1520"/>
      <c r="EIB1520"/>
      <c r="EIC1520"/>
      <c r="EID1520"/>
      <c r="EIE1520"/>
      <c r="EIF1520"/>
      <c r="EIG1520"/>
      <c r="EIH1520"/>
      <c r="EII1520"/>
      <c r="EIJ1520"/>
      <c r="EIK1520"/>
      <c r="EIL1520"/>
      <c r="EIM1520"/>
      <c r="EIN1520"/>
      <c r="EIO1520"/>
      <c r="EIP1520"/>
      <c r="EIQ1520"/>
      <c r="EIR1520"/>
      <c r="EIS1520"/>
      <c r="EIT1520"/>
      <c r="EIU1520"/>
      <c r="EIV1520"/>
      <c r="EIW1520"/>
      <c r="EIX1520"/>
      <c r="EIY1520"/>
      <c r="EIZ1520"/>
      <c r="EJA1520"/>
      <c r="EJB1520"/>
      <c r="EJC1520"/>
      <c r="EJD1520"/>
      <c r="EJE1520"/>
      <c r="EJF1520"/>
      <c r="EJG1520"/>
      <c r="EJH1520"/>
      <c r="EJI1520"/>
      <c r="EJJ1520"/>
      <c r="EJK1520"/>
      <c r="EJL1520"/>
      <c r="EJM1520"/>
      <c r="EJN1520"/>
      <c r="EJO1520"/>
      <c r="EJP1520"/>
      <c r="EJQ1520"/>
      <c r="EJR1520"/>
      <c r="EJS1520"/>
      <c r="EJT1520"/>
      <c r="EJU1520"/>
      <c r="EJV1520"/>
      <c r="EJW1520"/>
      <c r="EJX1520"/>
      <c r="EJY1520"/>
      <c r="EJZ1520"/>
      <c r="EKA1520"/>
      <c r="EKB1520"/>
      <c r="EKC1520"/>
      <c r="EKD1520"/>
      <c r="EKE1520"/>
      <c r="EKF1520"/>
      <c r="EKG1520"/>
      <c r="EKH1520"/>
      <c r="EKI1520"/>
      <c r="EKJ1520"/>
      <c r="EKK1520"/>
      <c r="EKL1520"/>
      <c r="EKM1520"/>
      <c r="EKN1520"/>
      <c r="EKO1520"/>
      <c r="EKP1520"/>
      <c r="EKQ1520"/>
      <c r="EKR1520"/>
      <c r="EKS1520"/>
      <c r="EKT1520"/>
      <c r="EKU1520"/>
      <c r="EKV1520"/>
      <c r="EKW1520"/>
      <c r="EKX1520"/>
      <c r="EKY1520"/>
      <c r="EKZ1520"/>
      <c r="ELA1520"/>
      <c r="ELB1520"/>
      <c r="ELC1520"/>
      <c r="ELD1520"/>
      <c r="ELE1520"/>
      <c r="ELF1520"/>
      <c r="ELG1520"/>
      <c r="ELH1520"/>
      <c r="ELI1520"/>
      <c r="ELJ1520"/>
      <c r="ELK1520"/>
      <c r="ELL1520"/>
      <c r="ELM1520"/>
      <c r="ELN1520"/>
      <c r="ELO1520"/>
      <c r="ELP1520"/>
      <c r="ELQ1520"/>
      <c r="ELR1520"/>
      <c r="ELS1520"/>
      <c r="ELT1520"/>
      <c r="ELU1520"/>
      <c r="ELV1520"/>
      <c r="ELW1520"/>
      <c r="ELX1520"/>
      <c r="ELY1520"/>
      <c r="ELZ1520"/>
      <c r="EMA1520"/>
      <c r="EMB1520"/>
      <c r="EMC1520"/>
      <c r="EMD1520"/>
      <c r="EME1520"/>
      <c r="EMF1520"/>
      <c r="EMG1520"/>
      <c r="EMH1520"/>
      <c r="EMI1520"/>
      <c r="EMJ1520"/>
      <c r="EMK1520"/>
      <c r="EML1520"/>
      <c r="EMM1520"/>
      <c r="EMN1520"/>
      <c r="EMO1520"/>
      <c r="EMP1520"/>
      <c r="EMQ1520"/>
      <c r="EMR1520"/>
      <c r="EMS1520"/>
      <c r="EMT1520"/>
      <c r="EMU1520"/>
      <c r="EMV1520"/>
      <c r="EMW1520"/>
      <c r="EMX1520"/>
      <c r="EMY1520"/>
      <c r="EMZ1520"/>
      <c r="ENA1520"/>
      <c r="ENB1520"/>
      <c r="ENC1520"/>
      <c r="END1520"/>
      <c r="ENE1520"/>
      <c r="ENF1520"/>
      <c r="ENG1520"/>
      <c r="ENH1520"/>
      <c r="ENI1520"/>
      <c r="ENJ1520"/>
      <c r="ENK1520"/>
      <c r="ENL1520"/>
      <c r="ENM1520"/>
      <c r="ENN1520"/>
      <c r="ENO1520"/>
      <c r="ENP1520"/>
      <c r="ENQ1520"/>
      <c r="ENR1520"/>
      <c r="ENS1520"/>
      <c r="ENT1520"/>
      <c r="ENU1520"/>
      <c r="ENV1520"/>
      <c r="ENW1520"/>
      <c r="ENX1520"/>
      <c r="ENY1520"/>
      <c r="ENZ1520"/>
      <c r="EOA1520"/>
      <c r="EOB1520"/>
      <c r="EOC1520"/>
      <c r="EOD1520"/>
      <c r="EOE1520"/>
      <c r="EOF1520"/>
      <c r="EOG1520"/>
      <c r="EOH1520"/>
      <c r="EOI1520"/>
      <c r="EOJ1520"/>
      <c r="EOK1520"/>
      <c r="EOL1520"/>
      <c r="EOM1520"/>
      <c r="EON1520"/>
      <c r="EOO1520"/>
      <c r="EOP1520"/>
      <c r="EOQ1520"/>
      <c r="EOR1520"/>
      <c r="EOS1520"/>
      <c r="EOT1520"/>
      <c r="EOU1520"/>
      <c r="EOV1520"/>
      <c r="EOW1520"/>
      <c r="EOX1520"/>
      <c r="EOY1520"/>
      <c r="EOZ1520"/>
      <c r="EPA1520"/>
      <c r="EPB1520"/>
      <c r="EPC1520"/>
      <c r="EPD1520"/>
      <c r="EPE1520"/>
      <c r="EPF1520"/>
      <c r="EPG1520"/>
      <c r="EPH1520"/>
      <c r="EPI1520"/>
      <c r="EPJ1520"/>
      <c r="EPK1520"/>
      <c r="EPL1520"/>
      <c r="EPM1520"/>
      <c r="EPN1520"/>
      <c r="EPO1520"/>
      <c r="EPP1520"/>
      <c r="EPQ1520"/>
      <c r="EPR1520"/>
      <c r="EPS1520"/>
      <c r="EPT1520"/>
      <c r="EPU1520"/>
      <c r="EPV1520"/>
      <c r="EPW1520"/>
      <c r="EPX1520"/>
      <c r="EPY1520"/>
      <c r="EPZ1520"/>
      <c r="EQA1520"/>
      <c r="EQB1520"/>
      <c r="EQC1520"/>
      <c r="EQD1520"/>
      <c r="EQE1520"/>
      <c r="EQF1520"/>
      <c r="EQG1520"/>
      <c r="EQH1520"/>
      <c r="EQI1520"/>
      <c r="EQJ1520"/>
      <c r="EQK1520"/>
      <c r="EQL1520"/>
      <c r="EQM1520"/>
      <c r="EQN1520"/>
      <c r="EQO1520"/>
      <c r="EQP1520"/>
      <c r="EQQ1520"/>
      <c r="EQR1520"/>
      <c r="EQS1520"/>
      <c r="EQT1520"/>
      <c r="EQU1520"/>
      <c r="EQV1520"/>
      <c r="EQW1520"/>
      <c r="EQX1520"/>
      <c r="EQY1520"/>
      <c r="EQZ1520"/>
      <c r="ERA1520"/>
      <c r="ERB1520"/>
      <c r="ERC1520"/>
      <c r="ERD1520"/>
      <c r="ERE1520"/>
      <c r="ERF1520"/>
      <c r="ERG1520"/>
      <c r="ERH1520"/>
      <c r="ERI1520"/>
      <c r="ERJ1520"/>
      <c r="ERK1520"/>
      <c r="ERL1520"/>
      <c r="ERM1520"/>
      <c r="ERN1520"/>
      <c r="ERO1520"/>
      <c r="ERP1520"/>
      <c r="ERQ1520"/>
      <c r="ERR1520"/>
      <c r="ERS1520"/>
      <c r="ERT1520"/>
      <c r="ERU1520"/>
      <c r="ERV1520"/>
      <c r="ERW1520"/>
      <c r="ERX1520"/>
      <c r="ERY1520"/>
      <c r="ERZ1520"/>
      <c r="ESA1520"/>
      <c r="ESB1520"/>
      <c r="ESC1520"/>
      <c r="ESD1520"/>
      <c r="ESE1520"/>
      <c r="ESF1520"/>
      <c r="ESG1520"/>
      <c r="ESH1520"/>
      <c r="ESI1520"/>
      <c r="ESJ1520"/>
      <c r="ESK1520"/>
      <c r="ESL1520"/>
      <c r="ESM1520"/>
      <c r="ESN1520"/>
      <c r="ESO1520"/>
      <c r="ESP1520"/>
      <c r="ESQ1520"/>
      <c r="ESR1520"/>
      <c r="ESS1520"/>
      <c r="EST1520"/>
      <c r="ESU1520"/>
      <c r="ESV1520"/>
      <c r="ESW1520"/>
      <c r="ESX1520"/>
      <c r="ESY1520"/>
      <c r="ESZ1520"/>
      <c r="ETA1520"/>
      <c r="ETB1520"/>
      <c r="ETC1520"/>
      <c r="ETD1520"/>
      <c r="ETE1520"/>
      <c r="ETF1520"/>
      <c r="ETG1520"/>
      <c r="ETH1520"/>
      <c r="ETI1520"/>
      <c r="ETJ1520"/>
      <c r="ETK1520"/>
      <c r="ETL1520"/>
      <c r="ETM1520"/>
      <c r="ETN1520"/>
      <c r="ETO1520"/>
      <c r="ETP1520"/>
      <c r="ETQ1520"/>
      <c r="ETR1520"/>
      <c r="ETS1520"/>
      <c r="ETT1520"/>
      <c r="ETU1520"/>
      <c r="ETV1520"/>
      <c r="ETW1520"/>
      <c r="ETX1520"/>
      <c r="ETY1520"/>
      <c r="ETZ1520"/>
      <c r="EUA1520"/>
      <c r="EUB1520"/>
      <c r="EUC1520"/>
      <c r="EUD1520"/>
      <c r="EUE1520"/>
      <c r="EUF1520"/>
      <c r="EUG1520"/>
      <c r="EUH1520"/>
      <c r="EUI1520"/>
      <c r="EUJ1520"/>
      <c r="EUK1520"/>
      <c r="EUL1520"/>
      <c r="EUM1520"/>
      <c r="EUN1520"/>
      <c r="EUO1520"/>
      <c r="EUP1520"/>
      <c r="EUQ1520"/>
      <c r="EUR1520"/>
      <c r="EUS1520"/>
      <c r="EUT1520"/>
      <c r="EUU1520"/>
      <c r="EUV1520"/>
      <c r="EUW1520"/>
      <c r="EUX1520"/>
      <c r="EUY1520"/>
      <c r="EUZ1520"/>
      <c r="EVA1520"/>
      <c r="EVB1520"/>
      <c r="EVC1520"/>
      <c r="EVD1520"/>
      <c r="EVE1520"/>
      <c r="EVF1520"/>
      <c r="EVG1520"/>
      <c r="EVH1520"/>
      <c r="EVI1520"/>
      <c r="EVJ1520"/>
      <c r="EVK1520"/>
      <c r="EVL1520"/>
      <c r="EVM1520"/>
      <c r="EVN1520"/>
      <c r="EVO1520"/>
      <c r="EVP1520"/>
      <c r="EVQ1520"/>
      <c r="EVR1520"/>
      <c r="EVS1520"/>
      <c r="EVT1520"/>
      <c r="EVU1520"/>
      <c r="EVV1520"/>
      <c r="EVW1520"/>
      <c r="EVX1520"/>
      <c r="EVY1520"/>
      <c r="EVZ1520"/>
      <c r="EWA1520"/>
      <c r="EWB1520"/>
      <c r="EWC1520"/>
      <c r="EWD1520"/>
      <c r="EWE1520"/>
      <c r="EWF1520"/>
      <c r="EWG1520"/>
      <c r="EWH1520"/>
      <c r="EWI1520"/>
      <c r="EWJ1520"/>
      <c r="EWK1520"/>
      <c r="EWL1520"/>
      <c r="EWM1520"/>
      <c r="EWN1520"/>
      <c r="EWO1520"/>
      <c r="EWP1520"/>
      <c r="EWQ1520"/>
      <c r="EWR1520"/>
      <c r="EWS1520"/>
      <c r="EWT1520"/>
      <c r="EWU1520"/>
      <c r="EWV1520"/>
      <c r="EWW1520"/>
      <c r="EWX1520"/>
      <c r="EWY1520"/>
      <c r="EWZ1520"/>
      <c r="EXA1520"/>
      <c r="EXB1520"/>
      <c r="EXC1520"/>
      <c r="EXD1520"/>
      <c r="EXE1520"/>
      <c r="EXF1520"/>
      <c r="EXG1520"/>
      <c r="EXH1520"/>
      <c r="EXI1520"/>
      <c r="EXJ1520"/>
      <c r="EXK1520"/>
      <c r="EXL1520"/>
      <c r="EXM1520"/>
      <c r="EXN1520"/>
      <c r="EXO1520"/>
      <c r="EXP1520"/>
      <c r="EXQ1520"/>
      <c r="EXR1520"/>
      <c r="EXS1520"/>
      <c r="EXT1520"/>
      <c r="EXU1520"/>
      <c r="EXV1520"/>
      <c r="EXW1520"/>
      <c r="EXX1520"/>
      <c r="EXY1520"/>
      <c r="EXZ1520"/>
      <c r="EYA1520"/>
      <c r="EYB1520"/>
      <c r="EYC1520"/>
      <c r="EYD1520"/>
      <c r="EYE1520"/>
      <c r="EYF1520"/>
      <c r="EYG1520"/>
      <c r="EYH1520"/>
      <c r="EYI1520"/>
      <c r="EYJ1520"/>
      <c r="EYK1520"/>
      <c r="EYL1520"/>
      <c r="EYM1520"/>
      <c r="EYN1520"/>
      <c r="EYO1520"/>
      <c r="EYP1520"/>
      <c r="EYQ1520"/>
      <c r="EYR1520"/>
      <c r="EYS1520"/>
      <c r="EYT1520"/>
      <c r="EYU1520"/>
      <c r="EYV1520"/>
      <c r="EYW1520"/>
      <c r="EYX1520"/>
      <c r="EYY1520"/>
      <c r="EYZ1520"/>
      <c r="EZA1520"/>
      <c r="EZB1520"/>
      <c r="EZC1520"/>
      <c r="EZD1520"/>
      <c r="EZE1520"/>
      <c r="EZF1520"/>
      <c r="EZG1520"/>
      <c r="EZH1520"/>
      <c r="EZI1520"/>
      <c r="EZJ1520"/>
      <c r="EZK1520"/>
      <c r="EZL1520"/>
      <c r="EZM1520"/>
      <c r="EZN1520"/>
      <c r="EZO1520"/>
      <c r="EZP1520"/>
      <c r="EZQ1520"/>
      <c r="EZR1520"/>
      <c r="EZS1520"/>
      <c r="EZT1520"/>
      <c r="EZU1520"/>
      <c r="EZV1520"/>
      <c r="EZW1520"/>
      <c r="EZX1520"/>
      <c r="EZY1520"/>
      <c r="EZZ1520"/>
      <c r="FAA1520"/>
      <c r="FAB1520"/>
      <c r="FAC1520"/>
      <c r="FAD1520"/>
      <c r="FAE1520"/>
      <c r="FAF1520"/>
      <c r="FAG1520"/>
      <c r="FAH1520"/>
      <c r="FAI1520"/>
      <c r="FAJ1520"/>
      <c r="FAK1520"/>
      <c r="FAL1520"/>
      <c r="FAM1520"/>
      <c r="FAN1520"/>
      <c r="FAO1520"/>
      <c r="FAP1520"/>
      <c r="FAQ1520"/>
      <c r="FAR1520"/>
      <c r="FAS1520"/>
      <c r="FAT1520"/>
      <c r="FAU1520"/>
      <c r="FAV1520"/>
      <c r="FAW1520"/>
      <c r="FAX1520"/>
      <c r="FAY1520"/>
      <c r="FAZ1520"/>
      <c r="FBA1520"/>
      <c r="FBB1520"/>
      <c r="FBC1520"/>
      <c r="FBD1520"/>
      <c r="FBE1520"/>
      <c r="FBF1520"/>
      <c r="FBG1520"/>
      <c r="FBH1520"/>
      <c r="FBI1520"/>
      <c r="FBJ1520"/>
      <c r="FBK1520"/>
      <c r="FBL1520"/>
      <c r="FBM1520"/>
      <c r="FBN1520"/>
      <c r="FBO1520"/>
      <c r="FBP1520"/>
      <c r="FBQ1520"/>
      <c r="FBR1520"/>
      <c r="FBS1520"/>
      <c r="FBT1520"/>
      <c r="FBU1520"/>
      <c r="FBV1520"/>
      <c r="FBW1520"/>
      <c r="FBX1520"/>
      <c r="FBY1520"/>
      <c r="FBZ1520"/>
      <c r="FCA1520"/>
      <c r="FCB1520"/>
      <c r="FCC1520"/>
      <c r="FCD1520"/>
      <c r="FCE1520"/>
      <c r="FCF1520"/>
      <c r="FCG1520"/>
      <c r="FCH1520"/>
      <c r="FCI1520"/>
      <c r="FCJ1520"/>
      <c r="FCK1520"/>
      <c r="FCL1520"/>
      <c r="FCM1520"/>
      <c r="FCN1520"/>
      <c r="FCO1520"/>
      <c r="FCP1520"/>
      <c r="FCQ1520"/>
      <c r="FCR1520"/>
      <c r="FCS1520"/>
      <c r="FCT1520"/>
      <c r="FCU1520"/>
      <c r="FCV1520"/>
      <c r="FCW1520"/>
      <c r="FCX1520"/>
      <c r="FCY1520"/>
      <c r="FCZ1520"/>
      <c r="FDA1520"/>
      <c r="FDB1520"/>
      <c r="FDC1520"/>
      <c r="FDD1520"/>
      <c r="FDE1520"/>
      <c r="FDF1520"/>
      <c r="FDG1520"/>
      <c r="FDH1520"/>
      <c r="FDI1520"/>
      <c r="FDJ1520"/>
      <c r="FDK1520"/>
      <c r="FDL1520"/>
      <c r="FDM1520"/>
      <c r="FDN1520"/>
      <c r="FDO1520"/>
      <c r="FDP1520"/>
      <c r="FDQ1520"/>
      <c r="FDR1520"/>
      <c r="FDS1520"/>
      <c r="FDT1520"/>
      <c r="FDU1520"/>
      <c r="FDV1520"/>
      <c r="FDW1520"/>
      <c r="FDX1520"/>
      <c r="FDY1520"/>
      <c r="FDZ1520"/>
      <c r="FEA1520"/>
      <c r="FEB1520"/>
      <c r="FEC1520"/>
      <c r="FED1520"/>
      <c r="FEE1520"/>
      <c r="FEF1520"/>
      <c r="FEG1520"/>
      <c r="FEH1520"/>
      <c r="FEI1520"/>
      <c r="FEJ1520"/>
      <c r="FEK1520"/>
      <c r="FEL1520"/>
      <c r="FEM1520"/>
      <c r="FEN1520"/>
      <c r="FEO1520"/>
      <c r="FEP1520"/>
      <c r="FEQ1520"/>
      <c r="FER1520"/>
      <c r="FES1520"/>
      <c r="FET1520"/>
      <c r="FEU1520"/>
      <c r="FEV1520"/>
      <c r="FEW1520"/>
      <c r="FEX1520"/>
      <c r="FEY1520"/>
      <c r="FEZ1520"/>
      <c r="FFA1520"/>
      <c r="FFB1520"/>
      <c r="FFC1520"/>
      <c r="FFD1520"/>
      <c r="FFE1520"/>
      <c r="FFF1520"/>
      <c r="FFG1520"/>
      <c r="FFH1520"/>
      <c r="FFI1520"/>
      <c r="FFJ1520"/>
      <c r="FFK1520"/>
      <c r="FFL1520"/>
      <c r="FFM1520"/>
      <c r="FFN1520"/>
      <c r="FFO1520"/>
      <c r="FFP1520"/>
      <c r="FFQ1520"/>
      <c r="FFR1520"/>
      <c r="FFS1520"/>
      <c r="FFT1520"/>
      <c r="FFU1520"/>
      <c r="FFV1520"/>
      <c r="FFW1520"/>
      <c r="FFX1520"/>
      <c r="FFY1520"/>
      <c r="FFZ1520"/>
      <c r="FGA1520"/>
      <c r="FGB1520"/>
      <c r="FGC1520"/>
      <c r="FGD1520"/>
      <c r="FGE1520"/>
      <c r="FGF1520"/>
      <c r="FGG1520"/>
      <c r="FGH1520"/>
      <c r="FGI1520"/>
      <c r="FGJ1520"/>
      <c r="FGK1520"/>
      <c r="FGL1520"/>
      <c r="FGM1520"/>
      <c r="FGN1520"/>
      <c r="FGO1520"/>
      <c r="FGP1520"/>
      <c r="FGQ1520"/>
      <c r="FGR1520"/>
      <c r="FGS1520"/>
      <c r="FGT1520"/>
      <c r="FGU1520"/>
      <c r="FGV1520"/>
      <c r="FGW1520"/>
      <c r="FGX1520"/>
      <c r="FGY1520"/>
      <c r="FGZ1520"/>
      <c r="FHA1520"/>
      <c r="FHB1520"/>
      <c r="FHC1520"/>
      <c r="FHD1520"/>
      <c r="FHE1520"/>
      <c r="FHF1520"/>
      <c r="FHG1520"/>
      <c r="FHH1520"/>
      <c r="FHI1520"/>
      <c r="FHJ1520"/>
      <c r="FHK1520"/>
      <c r="FHL1520"/>
      <c r="FHM1520"/>
      <c r="FHN1520"/>
      <c r="FHO1520"/>
      <c r="FHP1520"/>
      <c r="FHQ1520"/>
      <c r="FHR1520"/>
      <c r="FHS1520"/>
      <c r="FHT1520"/>
      <c r="FHU1520"/>
      <c r="FHV1520"/>
      <c r="FHW1520"/>
      <c r="FHX1520"/>
      <c r="FHY1520"/>
      <c r="FHZ1520"/>
      <c r="FIA1520"/>
      <c r="FIB1520"/>
      <c r="FIC1520"/>
      <c r="FID1520"/>
      <c r="FIE1520"/>
      <c r="FIF1520"/>
      <c r="FIG1520"/>
      <c r="FIH1520"/>
      <c r="FII1520"/>
      <c r="FIJ1520"/>
      <c r="FIK1520"/>
      <c r="FIL1520"/>
      <c r="FIM1520"/>
      <c r="FIN1520"/>
      <c r="FIO1520"/>
      <c r="FIP1520"/>
      <c r="FIQ1520"/>
      <c r="FIR1520"/>
      <c r="FIS1520"/>
      <c r="FIT1520"/>
      <c r="FIU1520"/>
      <c r="FIV1520"/>
      <c r="FIW1520"/>
      <c r="FIX1520"/>
      <c r="FIY1520"/>
      <c r="FIZ1520"/>
      <c r="FJA1520"/>
      <c r="FJB1520"/>
      <c r="FJC1520"/>
      <c r="FJD1520"/>
      <c r="FJE1520"/>
      <c r="FJF1520"/>
      <c r="FJG1520"/>
      <c r="FJH1520"/>
      <c r="FJI1520"/>
      <c r="FJJ1520"/>
      <c r="FJK1520"/>
      <c r="FJL1520"/>
      <c r="FJM1520"/>
      <c r="FJN1520"/>
      <c r="FJO1520"/>
      <c r="FJP1520"/>
      <c r="FJQ1520"/>
      <c r="FJR1520"/>
      <c r="FJS1520"/>
      <c r="FJT1520"/>
      <c r="FJU1520"/>
      <c r="FJV1520"/>
      <c r="FJW1520"/>
      <c r="FJX1520"/>
      <c r="FJY1520"/>
      <c r="FJZ1520"/>
      <c r="FKA1520"/>
      <c r="FKB1520"/>
      <c r="FKC1520"/>
      <c r="FKD1520"/>
      <c r="FKE1520"/>
      <c r="FKF1520"/>
      <c r="FKG1520"/>
      <c r="FKH1520"/>
      <c r="FKI1520"/>
      <c r="FKJ1520"/>
      <c r="FKK1520"/>
      <c r="FKL1520"/>
      <c r="FKM1520"/>
      <c r="FKN1520"/>
      <c r="FKO1520"/>
      <c r="FKP1520"/>
      <c r="FKQ1520"/>
      <c r="FKR1520"/>
      <c r="FKS1520"/>
      <c r="FKT1520"/>
      <c r="FKU1520"/>
      <c r="FKV1520"/>
      <c r="FKW1520"/>
      <c r="FKX1520"/>
      <c r="FKY1520"/>
      <c r="FKZ1520"/>
      <c r="FLA1520"/>
      <c r="FLB1520"/>
      <c r="FLC1520"/>
      <c r="FLD1520"/>
      <c r="FLE1520"/>
      <c r="FLF1520"/>
      <c r="FLG1520"/>
      <c r="FLH1520"/>
      <c r="FLI1520"/>
      <c r="FLJ1520"/>
      <c r="FLK1520"/>
      <c r="FLL1520"/>
      <c r="FLM1520"/>
      <c r="FLN1520"/>
      <c r="FLO1520"/>
      <c r="FLP1520"/>
      <c r="FLQ1520"/>
      <c r="FLR1520"/>
      <c r="FLS1520"/>
      <c r="FLT1520"/>
      <c r="FLU1520"/>
      <c r="FLV1520"/>
      <c r="FLW1520"/>
      <c r="FLX1520"/>
      <c r="FLY1520"/>
      <c r="FLZ1520"/>
      <c r="FMA1520"/>
      <c r="FMB1520"/>
      <c r="FMC1520"/>
      <c r="FMD1520"/>
      <c r="FME1520"/>
      <c r="FMF1520"/>
      <c r="FMG1520"/>
      <c r="FMH1520"/>
      <c r="FMI1520"/>
      <c r="FMJ1520"/>
      <c r="FMK1520"/>
      <c r="FML1520"/>
      <c r="FMM1520"/>
      <c r="FMN1520"/>
      <c r="FMO1520"/>
      <c r="FMP1520"/>
      <c r="FMQ1520"/>
      <c r="FMR1520"/>
      <c r="FMS1520"/>
      <c r="FMT1520"/>
      <c r="FMU1520"/>
      <c r="FMV1520"/>
      <c r="FMW1520"/>
      <c r="FMX1520"/>
      <c r="FMY1520"/>
      <c r="FMZ1520"/>
      <c r="FNA1520"/>
      <c r="FNB1520"/>
      <c r="FNC1520"/>
      <c r="FND1520"/>
      <c r="FNE1520"/>
      <c r="FNF1520"/>
      <c r="FNG1520"/>
      <c r="FNH1520"/>
      <c r="FNI1520"/>
      <c r="FNJ1520"/>
      <c r="FNK1520"/>
      <c r="FNL1520"/>
      <c r="FNM1520"/>
      <c r="FNN1520"/>
      <c r="FNO1520"/>
      <c r="FNP1520"/>
      <c r="FNQ1520"/>
      <c r="FNR1520"/>
      <c r="FNS1520"/>
      <c r="FNT1520"/>
      <c r="FNU1520"/>
      <c r="FNV1520"/>
      <c r="FNW1520"/>
      <c r="FNX1520"/>
      <c r="FNY1520"/>
      <c r="FNZ1520"/>
      <c r="FOA1520"/>
      <c r="FOB1520"/>
      <c r="FOC1520"/>
      <c r="FOD1520"/>
      <c r="FOE1520"/>
      <c r="FOF1520"/>
      <c r="FOG1520"/>
      <c r="FOH1520"/>
      <c r="FOI1520"/>
      <c r="FOJ1520"/>
      <c r="FOK1520"/>
      <c r="FOL1520"/>
      <c r="FOM1520"/>
      <c r="FON1520"/>
      <c r="FOO1520"/>
      <c r="FOP1520"/>
      <c r="FOQ1520"/>
      <c r="FOR1520"/>
      <c r="FOS1520"/>
      <c r="FOT1520"/>
      <c r="FOU1520"/>
      <c r="FOV1520"/>
      <c r="FOW1520"/>
      <c r="FOX1520"/>
      <c r="FOY1520"/>
      <c r="FOZ1520"/>
      <c r="FPA1520"/>
      <c r="FPB1520"/>
      <c r="FPC1520"/>
      <c r="FPD1520"/>
      <c r="FPE1520"/>
      <c r="FPF1520"/>
      <c r="FPG1520"/>
      <c r="FPH1520"/>
      <c r="FPI1520"/>
      <c r="FPJ1520"/>
      <c r="FPK1520"/>
      <c r="FPL1520"/>
      <c r="FPM1520"/>
      <c r="FPN1520"/>
      <c r="FPO1520"/>
      <c r="FPP1520"/>
      <c r="FPQ1520"/>
      <c r="FPR1520"/>
      <c r="FPS1520"/>
      <c r="FPT1520"/>
      <c r="FPU1520"/>
      <c r="FPV1520"/>
      <c r="FPW1520"/>
      <c r="FPX1520"/>
      <c r="FPY1520"/>
      <c r="FPZ1520"/>
      <c r="FQA1520"/>
      <c r="FQB1520"/>
      <c r="FQC1520"/>
      <c r="FQD1520"/>
      <c r="FQE1520"/>
      <c r="FQF1520"/>
      <c r="FQG1520"/>
      <c r="FQH1520"/>
      <c r="FQI1520"/>
      <c r="FQJ1520"/>
      <c r="FQK1520"/>
      <c r="FQL1520"/>
      <c r="FQM1520"/>
      <c r="FQN1520"/>
      <c r="FQO1520"/>
      <c r="FQP1520"/>
      <c r="FQQ1520"/>
      <c r="FQR1520"/>
      <c r="FQS1520"/>
      <c r="FQT1520"/>
      <c r="FQU1520"/>
      <c r="FQV1520"/>
      <c r="FQW1520"/>
      <c r="FQX1520"/>
      <c r="FQY1520"/>
      <c r="FQZ1520"/>
      <c r="FRA1520"/>
      <c r="FRB1520"/>
      <c r="FRC1520"/>
      <c r="FRD1520"/>
      <c r="FRE1520"/>
      <c r="FRF1520"/>
      <c r="FRG1520"/>
      <c r="FRH1520"/>
      <c r="FRI1520"/>
      <c r="FRJ1520"/>
      <c r="FRK1520"/>
      <c r="FRL1520"/>
      <c r="FRM1520"/>
      <c r="FRN1520"/>
      <c r="FRO1520"/>
      <c r="FRP1520"/>
      <c r="FRQ1520"/>
      <c r="FRR1520"/>
      <c r="FRS1520"/>
      <c r="FRT1520"/>
      <c r="FRU1520"/>
      <c r="FRV1520"/>
      <c r="FRW1520"/>
      <c r="FRX1520"/>
      <c r="FRY1520"/>
      <c r="FRZ1520"/>
      <c r="FSA1520"/>
      <c r="FSB1520"/>
      <c r="FSC1520"/>
      <c r="FSD1520"/>
      <c r="FSE1520"/>
      <c r="FSF1520"/>
      <c r="FSG1520"/>
      <c r="FSH1520"/>
      <c r="FSI1520"/>
      <c r="FSJ1520"/>
      <c r="FSK1520"/>
      <c r="FSL1520"/>
      <c r="FSM1520"/>
      <c r="FSN1520"/>
      <c r="FSO1520"/>
      <c r="FSP1520"/>
      <c r="FSQ1520"/>
      <c r="FSR1520"/>
      <c r="FSS1520"/>
      <c r="FST1520"/>
      <c r="FSU1520"/>
      <c r="FSV1520"/>
      <c r="FSW1520"/>
      <c r="FSX1520"/>
      <c r="FSY1520"/>
      <c r="FSZ1520"/>
      <c r="FTA1520"/>
      <c r="FTB1520"/>
      <c r="FTC1520"/>
      <c r="FTD1520"/>
      <c r="FTE1520"/>
      <c r="FTF1520"/>
      <c r="FTG1520"/>
      <c r="FTH1520"/>
      <c r="FTI1520"/>
      <c r="FTJ1520"/>
      <c r="FTK1520"/>
      <c r="FTL1520"/>
      <c r="FTM1520"/>
      <c r="FTN1520"/>
      <c r="FTO1520"/>
      <c r="FTP1520"/>
      <c r="FTQ1520"/>
      <c r="FTR1520"/>
      <c r="FTS1520"/>
      <c r="FTT1520"/>
      <c r="FTU1520"/>
      <c r="FTV1520"/>
      <c r="FTW1520"/>
      <c r="FTX1520"/>
      <c r="FTY1520"/>
      <c r="FTZ1520"/>
      <c r="FUA1520"/>
      <c r="FUB1520"/>
      <c r="FUC1520"/>
      <c r="FUD1520"/>
      <c r="FUE1520"/>
      <c r="FUF1520"/>
      <c r="FUG1520"/>
      <c r="FUH1520"/>
      <c r="FUI1520"/>
      <c r="FUJ1520"/>
      <c r="FUK1520"/>
      <c r="FUL1520"/>
      <c r="FUM1520"/>
      <c r="FUN1520"/>
      <c r="FUO1520"/>
      <c r="FUP1520"/>
      <c r="FUQ1520"/>
      <c r="FUR1520"/>
      <c r="FUS1520"/>
      <c r="FUT1520"/>
      <c r="FUU1520"/>
      <c r="FUV1520"/>
      <c r="FUW1520"/>
      <c r="FUX1520"/>
      <c r="FUY1520"/>
      <c r="FUZ1520"/>
      <c r="FVA1520"/>
      <c r="FVB1520"/>
      <c r="FVC1520"/>
      <c r="FVD1520"/>
      <c r="FVE1520"/>
      <c r="FVF1520"/>
      <c r="FVG1520"/>
      <c r="FVH1520"/>
      <c r="FVI1520"/>
      <c r="FVJ1520"/>
      <c r="FVK1520"/>
      <c r="FVL1520"/>
      <c r="FVM1520"/>
      <c r="FVN1520"/>
      <c r="FVO1520"/>
      <c r="FVP1520"/>
      <c r="FVQ1520"/>
      <c r="FVR1520"/>
      <c r="FVS1520"/>
      <c r="FVT1520"/>
      <c r="FVU1520"/>
      <c r="FVV1520"/>
      <c r="FVW1520"/>
      <c r="FVX1520"/>
      <c r="FVY1520"/>
      <c r="FVZ1520"/>
      <c r="FWA1520"/>
      <c r="FWB1520"/>
      <c r="FWC1520"/>
      <c r="FWD1520"/>
      <c r="FWE1520"/>
      <c r="FWF1520"/>
      <c r="FWG1520"/>
      <c r="FWH1520"/>
      <c r="FWI1520"/>
      <c r="FWJ1520"/>
      <c r="FWK1520"/>
      <c r="FWL1520"/>
      <c r="FWM1520"/>
      <c r="FWN1520"/>
      <c r="FWO1520"/>
      <c r="FWP1520"/>
      <c r="FWQ1520"/>
      <c r="FWR1520"/>
      <c r="FWS1520"/>
      <c r="FWT1520"/>
      <c r="FWU1520"/>
      <c r="FWV1520"/>
      <c r="FWW1520"/>
      <c r="FWX1520"/>
      <c r="FWY1520"/>
      <c r="FWZ1520"/>
      <c r="FXA1520"/>
      <c r="FXB1520"/>
      <c r="FXC1520"/>
      <c r="FXD1520"/>
      <c r="FXE1520"/>
      <c r="FXF1520"/>
      <c r="FXG1520"/>
      <c r="FXH1520"/>
      <c r="FXI1520"/>
      <c r="FXJ1520"/>
      <c r="FXK1520"/>
      <c r="FXL1520"/>
      <c r="FXM1520"/>
      <c r="FXN1520"/>
      <c r="FXO1520"/>
      <c r="FXP1520"/>
      <c r="FXQ1520"/>
      <c r="FXR1520"/>
      <c r="FXS1520"/>
      <c r="FXT1520"/>
      <c r="FXU1520"/>
      <c r="FXV1520"/>
      <c r="FXW1520"/>
      <c r="FXX1520"/>
      <c r="FXY1520"/>
      <c r="FXZ1520"/>
      <c r="FYA1520"/>
      <c r="FYB1520"/>
      <c r="FYC1520"/>
      <c r="FYD1520"/>
      <c r="FYE1520"/>
      <c r="FYF1520"/>
      <c r="FYG1520"/>
      <c r="FYH1520"/>
      <c r="FYI1520"/>
      <c r="FYJ1520"/>
      <c r="FYK1520"/>
      <c r="FYL1520"/>
      <c r="FYM1520"/>
      <c r="FYN1520"/>
      <c r="FYO1520"/>
      <c r="FYP1520"/>
      <c r="FYQ1520"/>
      <c r="FYR1520"/>
      <c r="FYS1520"/>
      <c r="FYT1520"/>
      <c r="FYU1520"/>
      <c r="FYV1520"/>
      <c r="FYW1520"/>
      <c r="FYX1520"/>
      <c r="FYY1520"/>
      <c r="FYZ1520"/>
      <c r="FZA1520"/>
      <c r="FZB1520"/>
      <c r="FZC1520"/>
      <c r="FZD1520"/>
      <c r="FZE1520"/>
      <c r="FZF1520"/>
      <c r="FZG1520"/>
      <c r="FZH1520"/>
      <c r="FZI1520"/>
      <c r="FZJ1520"/>
      <c r="FZK1520"/>
      <c r="FZL1520"/>
      <c r="FZM1520"/>
      <c r="FZN1520"/>
      <c r="FZO1520"/>
      <c r="FZP1520"/>
      <c r="FZQ1520"/>
      <c r="FZR1520"/>
      <c r="FZS1520"/>
      <c r="FZT1520"/>
      <c r="FZU1520"/>
      <c r="FZV1520"/>
      <c r="FZW1520"/>
      <c r="FZX1520"/>
      <c r="FZY1520"/>
      <c r="FZZ1520"/>
      <c r="GAA1520"/>
      <c r="GAB1520"/>
      <c r="GAC1520"/>
      <c r="GAD1520"/>
      <c r="GAE1520"/>
      <c r="GAF1520"/>
      <c r="GAG1520"/>
      <c r="GAH1520"/>
      <c r="GAI1520"/>
      <c r="GAJ1520"/>
      <c r="GAK1520"/>
      <c r="GAL1520"/>
      <c r="GAM1520"/>
      <c r="GAN1520"/>
      <c r="GAO1520"/>
      <c r="GAP1520"/>
      <c r="GAQ1520"/>
      <c r="GAR1520"/>
      <c r="GAS1520"/>
      <c r="GAT1520"/>
      <c r="GAU1520"/>
      <c r="GAV1520"/>
      <c r="GAW1520"/>
      <c r="GAX1520"/>
      <c r="GAY1520"/>
      <c r="GAZ1520"/>
      <c r="GBA1520"/>
      <c r="GBB1520"/>
      <c r="GBC1520"/>
      <c r="GBD1520"/>
      <c r="GBE1520"/>
      <c r="GBF1520"/>
      <c r="GBG1520"/>
      <c r="GBH1520"/>
      <c r="GBI1520"/>
      <c r="GBJ1520"/>
      <c r="GBK1520"/>
      <c r="GBL1520"/>
      <c r="GBM1520"/>
      <c r="GBN1520"/>
      <c r="GBO1520"/>
      <c r="GBP1520"/>
      <c r="GBQ1520"/>
      <c r="GBR1520"/>
      <c r="GBS1520"/>
      <c r="GBT1520"/>
      <c r="GBU1520"/>
      <c r="GBV1520"/>
      <c r="GBW1520"/>
      <c r="GBX1520"/>
      <c r="GBY1520"/>
      <c r="GBZ1520"/>
      <c r="GCA1520"/>
      <c r="GCB1520"/>
      <c r="GCC1520"/>
      <c r="GCD1520"/>
      <c r="GCE1520"/>
      <c r="GCF1520"/>
      <c r="GCG1520"/>
      <c r="GCH1520"/>
      <c r="GCI1520"/>
      <c r="GCJ1520"/>
      <c r="GCK1520"/>
      <c r="GCL1520"/>
      <c r="GCM1520"/>
      <c r="GCN1520"/>
      <c r="GCO1520"/>
      <c r="GCP1520"/>
      <c r="GCQ1520"/>
      <c r="GCR1520"/>
      <c r="GCS1520"/>
      <c r="GCT1520"/>
      <c r="GCU1520"/>
      <c r="GCV1520"/>
      <c r="GCW1520"/>
      <c r="GCX1520"/>
      <c r="GCY1520"/>
      <c r="GCZ1520"/>
      <c r="GDA1520"/>
      <c r="GDB1520"/>
      <c r="GDC1520"/>
      <c r="GDD1520"/>
      <c r="GDE1520"/>
      <c r="GDF1520"/>
      <c r="GDG1520"/>
      <c r="GDH1520"/>
      <c r="GDI1520"/>
      <c r="GDJ1520"/>
      <c r="GDK1520"/>
      <c r="GDL1520"/>
      <c r="GDM1520"/>
      <c r="GDN1520"/>
      <c r="GDO1520"/>
      <c r="GDP1520"/>
      <c r="GDQ1520"/>
      <c r="GDR1520"/>
      <c r="GDS1520"/>
      <c r="GDT1520"/>
      <c r="GDU1520"/>
      <c r="GDV1520"/>
      <c r="GDW1520"/>
      <c r="GDX1520"/>
      <c r="GDY1520"/>
      <c r="GDZ1520"/>
      <c r="GEA1520"/>
      <c r="GEB1520"/>
      <c r="GEC1520"/>
      <c r="GED1520"/>
      <c r="GEE1520"/>
      <c r="GEF1520"/>
      <c r="GEG1520"/>
      <c r="GEH1520"/>
      <c r="GEI1520"/>
      <c r="GEJ1520"/>
      <c r="GEK1520"/>
      <c r="GEL1520"/>
      <c r="GEM1520"/>
      <c r="GEN1520"/>
      <c r="GEO1520"/>
      <c r="GEP1520"/>
      <c r="GEQ1520"/>
      <c r="GER1520"/>
      <c r="GES1520"/>
      <c r="GET1520"/>
      <c r="GEU1520"/>
      <c r="GEV1520"/>
      <c r="GEW1520"/>
      <c r="GEX1520"/>
      <c r="GEY1520"/>
      <c r="GEZ1520"/>
      <c r="GFA1520"/>
      <c r="GFB1520"/>
      <c r="GFC1520"/>
      <c r="GFD1520"/>
      <c r="GFE1520"/>
      <c r="GFF1520"/>
      <c r="GFG1520"/>
      <c r="GFH1520"/>
      <c r="GFI1520"/>
      <c r="GFJ1520"/>
      <c r="GFK1520"/>
      <c r="GFL1520"/>
      <c r="GFM1520"/>
      <c r="GFN1520"/>
      <c r="GFO1520"/>
      <c r="GFP1520"/>
      <c r="GFQ1520"/>
      <c r="GFR1520"/>
      <c r="GFS1520"/>
      <c r="GFT1520"/>
      <c r="GFU1520"/>
      <c r="GFV1520"/>
      <c r="GFW1520"/>
      <c r="GFX1520"/>
      <c r="GFY1520"/>
      <c r="GFZ1520"/>
      <c r="GGA1520"/>
      <c r="GGB1520"/>
      <c r="GGC1520"/>
      <c r="GGD1520"/>
      <c r="GGE1520"/>
      <c r="GGF1520"/>
      <c r="GGG1520"/>
      <c r="GGH1520"/>
      <c r="GGI1520"/>
      <c r="GGJ1520"/>
      <c r="GGK1520"/>
      <c r="GGL1520"/>
      <c r="GGM1520"/>
      <c r="GGN1520"/>
      <c r="GGO1520"/>
      <c r="GGP1520"/>
      <c r="GGQ1520"/>
      <c r="GGR1520"/>
      <c r="GGS1520"/>
      <c r="GGT1520"/>
      <c r="GGU1520"/>
      <c r="GGV1520"/>
      <c r="GGW1520"/>
      <c r="GGX1520"/>
      <c r="GGY1520"/>
      <c r="GGZ1520"/>
      <c r="GHA1520"/>
      <c r="GHB1520"/>
      <c r="GHC1520"/>
      <c r="GHD1520"/>
      <c r="GHE1520"/>
      <c r="GHF1520"/>
      <c r="GHG1520"/>
      <c r="GHH1520"/>
      <c r="GHI1520"/>
      <c r="GHJ1520"/>
      <c r="GHK1520"/>
      <c r="GHL1520"/>
      <c r="GHM1520"/>
      <c r="GHN1520"/>
      <c r="GHO1520"/>
      <c r="GHP1520"/>
      <c r="GHQ1520"/>
      <c r="GHR1520"/>
      <c r="GHS1520"/>
      <c r="GHT1520"/>
      <c r="GHU1520"/>
      <c r="GHV1520"/>
      <c r="GHW1520"/>
      <c r="GHX1520"/>
      <c r="GHY1520"/>
      <c r="GHZ1520"/>
      <c r="GIA1520"/>
      <c r="GIB1520"/>
      <c r="GIC1520"/>
      <c r="GID1520"/>
      <c r="GIE1520"/>
      <c r="GIF1520"/>
      <c r="GIG1520"/>
      <c r="GIH1520"/>
      <c r="GII1520"/>
      <c r="GIJ1520"/>
      <c r="GIK1520"/>
      <c r="GIL1520"/>
      <c r="GIM1520"/>
      <c r="GIN1520"/>
      <c r="GIO1520"/>
      <c r="GIP1520"/>
      <c r="GIQ1520"/>
      <c r="GIR1520"/>
      <c r="GIS1520"/>
      <c r="GIT1520"/>
      <c r="GIU1520"/>
      <c r="GIV1520"/>
      <c r="GIW1520"/>
      <c r="GIX1520"/>
      <c r="GIY1520"/>
      <c r="GIZ1520"/>
      <c r="GJA1520"/>
      <c r="GJB1520"/>
      <c r="GJC1520"/>
      <c r="GJD1520"/>
      <c r="GJE1520"/>
      <c r="GJF1520"/>
      <c r="GJG1520"/>
      <c r="GJH1520"/>
      <c r="GJI1520"/>
      <c r="GJJ1520"/>
      <c r="GJK1520"/>
      <c r="GJL1520"/>
      <c r="GJM1520"/>
      <c r="GJN1520"/>
      <c r="GJO1520"/>
      <c r="GJP1520"/>
      <c r="GJQ1520"/>
      <c r="GJR1520"/>
      <c r="GJS1520"/>
      <c r="GJT1520"/>
      <c r="GJU1520"/>
      <c r="GJV1520"/>
      <c r="GJW1520"/>
      <c r="GJX1520"/>
      <c r="GJY1520"/>
      <c r="GJZ1520"/>
      <c r="GKA1520"/>
      <c r="GKB1520"/>
      <c r="GKC1520"/>
      <c r="GKD1520"/>
      <c r="GKE1520"/>
      <c r="GKF1520"/>
      <c r="GKG1520"/>
      <c r="GKH1520"/>
      <c r="GKI1520"/>
      <c r="GKJ1520"/>
      <c r="GKK1520"/>
      <c r="GKL1520"/>
      <c r="GKM1520"/>
      <c r="GKN1520"/>
      <c r="GKO1520"/>
      <c r="GKP1520"/>
      <c r="GKQ1520"/>
      <c r="GKR1520"/>
      <c r="GKS1520"/>
      <c r="GKT1520"/>
      <c r="GKU1520"/>
      <c r="GKV1520"/>
      <c r="GKW1520"/>
      <c r="GKX1520"/>
      <c r="GKY1520"/>
      <c r="GKZ1520"/>
      <c r="GLA1520"/>
      <c r="GLB1520"/>
      <c r="GLC1520"/>
      <c r="GLD1520"/>
      <c r="GLE1520"/>
      <c r="GLF1520"/>
      <c r="GLG1520"/>
      <c r="GLH1520"/>
      <c r="GLI1520"/>
      <c r="GLJ1520"/>
      <c r="GLK1520"/>
      <c r="GLL1520"/>
      <c r="GLM1520"/>
      <c r="GLN1520"/>
      <c r="GLO1520"/>
      <c r="GLP1520"/>
      <c r="GLQ1520"/>
      <c r="GLR1520"/>
      <c r="GLS1520"/>
      <c r="GLT1520"/>
      <c r="GLU1520"/>
      <c r="GLV1520"/>
      <c r="GLW1520"/>
      <c r="GLX1520"/>
      <c r="GLY1520"/>
      <c r="GLZ1520"/>
      <c r="GMA1520"/>
      <c r="GMB1520"/>
      <c r="GMC1520"/>
      <c r="GMD1520"/>
      <c r="GME1520"/>
      <c r="GMF1520"/>
      <c r="GMG1520"/>
      <c r="GMH1520"/>
      <c r="GMI1520"/>
      <c r="GMJ1520"/>
      <c r="GMK1520"/>
      <c r="GML1520"/>
      <c r="GMM1520"/>
      <c r="GMN1520"/>
      <c r="GMO1520"/>
      <c r="GMP1520"/>
      <c r="GMQ1520"/>
      <c r="GMR1520"/>
      <c r="GMS1520"/>
      <c r="GMT1520"/>
      <c r="GMU1520"/>
      <c r="GMV1520"/>
      <c r="GMW1520"/>
      <c r="GMX1520"/>
      <c r="GMY1520"/>
      <c r="GMZ1520"/>
      <c r="GNA1520"/>
      <c r="GNB1520"/>
      <c r="GNC1520"/>
      <c r="GND1520"/>
      <c r="GNE1520"/>
      <c r="GNF1520"/>
      <c r="GNG1520"/>
      <c r="GNH1520"/>
      <c r="GNI1520"/>
      <c r="GNJ1520"/>
      <c r="GNK1520"/>
      <c r="GNL1520"/>
      <c r="GNM1520"/>
      <c r="GNN1520"/>
      <c r="GNO1520"/>
      <c r="GNP1520"/>
      <c r="GNQ1520"/>
      <c r="GNR1520"/>
      <c r="GNS1520"/>
      <c r="GNT1520"/>
      <c r="GNU1520"/>
      <c r="GNV1520"/>
      <c r="GNW1520"/>
      <c r="GNX1520"/>
      <c r="GNY1520"/>
      <c r="GNZ1520"/>
      <c r="GOA1520"/>
      <c r="GOB1520"/>
      <c r="GOC1520"/>
      <c r="GOD1520"/>
      <c r="GOE1520"/>
      <c r="GOF1520"/>
      <c r="GOG1520"/>
      <c r="GOH1520"/>
      <c r="GOI1520"/>
      <c r="GOJ1520"/>
      <c r="GOK1520"/>
      <c r="GOL1520"/>
      <c r="GOM1520"/>
      <c r="GON1520"/>
      <c r="GOO1520"/>
      <c r="GOP1520"/>
      <c r="GOQ1520"/>
      <c r="GOR1520"/>
      <c r="GOS1520"/>
      <c r="GOT1520"/>
      <c r="GOU1520"/>
      <c r="GOV1520"/>
      <c r="GOW1520"/>
      <c r="GOX1520"/>
      <c r="GOY1520"/>
      <c r="GOZ1520"/>
      <c r="GPA1520"/>
      <c r="GPB1520"/>
      <c r="GPC1520"/>
      <c r="GPD1520"/>
      <c r="GPE1520"/>
      <c r="GPF1520"/>
      <c r="GPG1520"/>
      <c r="GPH1520"/>
      <c r="GPI1520"/>
      <c r="GPJ1520"/>
      <c r="GPK1520"/>
      <c r="GPL1520"/>
      <c r="GPM1520"/>
      <c r="GPN1520"/>
      <c r="GPO1520"/>
      <c r="GPP1520"/>
      <c r="GPQ1520"/>
      <c r="GPR1520"/>
      <c r="GPS1520"/>
      <c r="GPT1520"/>
      <c r="GPU1520"/>
      <c r="GPV1520"/>
      <c r="GPW1520"/>
      <c r="GPX1520"/>
      <c r="GPY1520"/>
      <c r="GPZ1520"/>
      <c r="GQA1520"/>
      <c r="GQB1520"/>
      <c r="GQC1520"/>
      <c r="GQD1520"/>
      <c r="GQE1520"/>
      <c r="GQF1520"/>
      <c r="GQG1520"/>
      <c r="GQH1520"/>
      <c r="GQI1520"/>
      <c r="GQJ1520"/>
      <c r="GQK1520"/>
      <c r="GQL1520"/>
      <c r="GQM1520"/>
      <c r="GQN1520"/>
      <c r="GQO1520"/>
      <c r="GQP1520"/>
      <c r="GQQ1520"/>
      <c r="GQR1520"/>
      <c r="GQS1520"/>
      <c r="GQT1520"/>
      <c r="GQU1520"/>
      <c r="GQV1520"/>
      <c r="GQW1520"/>
      <c r="GQX1520"/>
      <c r="GQY1520"/>
      <c r="GQZ1520"/>
      <c r="GRA1520"/>
      <c r="GRB1520"/>
      <c r="GRC1520"/>
      <c r="GRD1520"/>
      <c r="GRE1520"/>
      <c r="GRF1520"/>
      <c r="GRG1520"/>
      <c r="GRH1520"/>
      <c r="GRI1520"/>
      <c r="GRJ1520"/>
      <c r="GRK1520"/>
      <c r="GRL1520"/>
      <c r="GRM1520"/>
      <c r="GRN1520"/>
      <c r="GRO1520"/>
      <c r="GRP1520"/>
      <c r="GRQ1520"/>
      <c r="GRR1520"/>
      <c r="GRS1520"/>
      <c r="GRT1520"/>
      <c r="GRU1520"/>
      <c r="GRV1520"/>
      <c r="GRW1520"/>
      <c r="GRX1520"/>
      <c r="GRY1520"/>
      <c r="GRZ1520"/>
      <c r="GSA1520"/>
      <c r="GSB1520"/>
      <c r="GSC1520"/>
      <c r="GSD1520"/>
      <c r="GSE1520"/>
      <c r="GSF1520"/>
      <c r="GSG1520"/>
      <c r="GSH1520"/>
      <c r="GSI1520"/>
      <c r="GSJ1520"/>
      <c r="GSK1520"/>
      <c r="GSL1520"/>
      <c r="GSM1520"/>
      <c r="GSN1520"/>
      <c r="GSO1520"/>
      <c r="GSP1520"/>
      <c r="GSQ1520"/>
      <c r="GSR1520"/>
      <c r="GSS1520"/>
      <c r="GST1520"/>
      <c r="GSU1520"/>
      <c r="GSV1520"/>
      <c r="GSW1520"/>
      <c r="GSX1520"/>
      <c r="GSY1520"/>
      <c r="GSZ1520"/>
      <c r="GTA1520"/>
      <c r="GTB1520"/>
      <c r="GTC1520"/>
      <c r="GTD1520"/>
      <c r="GTE1520"/>
      <c r="GTF1520"/>
      <c r="GTG1520"/>
      <c r="GTH1520"/>
      <c r="GTI1520"/>
      <c r="GTJ1520"/>
      <c r="GTK1520"/>
      <c r="GTL1520"/>
      <c r="GTM1520"/>
      <c r="GTN1520"/>
      <c r="GTO1520"/>
      <c r="GTP1520"/>
      <c r="GTQ1520"/>
      <c r="GTR1520"/>
      <c r="GTS1520"/>
      <c r="GTT1520"/>
      <c r="GTU1520"/>
      <c r="GTV1520"/>
      <c r="GTW1520"/>
      <c r="GTX1520"/>
      <c r="GTY1520"/>
      <c r="GTZ1520"/>
      <c r="GUA1520"/>
      <c r="GUB1520"/>
      <c r="GUC1520"/>
      <c r="GUD1520"/>
      <c r="GUE1520"/>
      <c r="GUF1520"/>
      <c r="GUG1520"/>
      <c r="GUH1520"/>
      <c r="GUI1520"/>
      <c r="GUJ1520"/>
      <c r="GUK1520"/>
      <c r="GUL1520"/>
      <c r="GUM1520"/>
      <c r="GUN1520"/>
      <c r="GUO1520"/>
      <c r="GUP1520"/>
      <c r="GUQ1520"/>
      <c r="GUR1520"/>
      <c r="GUS1520"/>
      <c r="GUT1520"/>
      <c r="GUU1520"/>
      <c r="GUV1520"/>
      <c r="GUW1520"/>
      <c r="GUX1520"/>
      <c r="GUY1520"/>
      <c r="GUZ1520"/>
      <c r="GVA1520"/>
      <c r="GVB1520"/>
      <c r="GVC1520"/>
      <c r="GVD1520"/>
      <c r="GVE1520"/>
      <c r="GVF1520"/>
      <c r="GVG1520"/>
      <c r="GVH1520"/>
      <c r="GVI1520"/>
      <c r="GVJ1520"/>
      <c r="GVK1520"/>
      <c r="GVL1520"/>
      <c r="GVM1520"/>
      <c r="GVN1520"/>
      <c r="GVO1520"/>
      <c r="GVP1520"/>
      <c r="GVQ1520"/>
      <c r="GVR1520"/>
      <c r="GVS1520"/>
      <c r="GVT1520"/>
      <c r="GVU1520"/>
      <c r="GVV1520"/>
      <c r="GVW1520"/>
      <c r="GVX1520"/>
      <c r="GVY1520"/>
      <c r="GVZ1520"/>
      <c r="GWA1520"/>
      <c r="GWB1520"/>
      <c r="GWC1520"/>
      <c r="GWD1520"/>
      <c r="GWE1520"/>
      <c r="GWF1520"/>
      <c r="GWG1520"/>
      <c r="GWH1520"/>
      <c r="GWI1520"/>
      <c r="GWJ1520"/>
      <c r="GWK1520"/>
      <c r="GWL1520"/>
      <c r="GWM1520"/>
      <c r="GWN1520"/>
      <c r="GWO1520"/>
      <c r="GWP1520"/>
      <c r="GWQ1520"/>
      <c r="GWR1520"/>
      <c r="GWS1520"/>
      <c r="GWT1520"/>
      <c r="GWU1520"/>
      <c r="GWV1520"/>
      <c r="GWW1520"/>
      <c r="GWX1520"/>
      <c r="GWY1520"/>
      <c r="GWZ1520"/>
      <c r="GXA1520"/>
      <c r="GXB1520"/>
      <c r="GXC1520"/>
      <c r="GXD1520"/>
      <c r="GXE1520"/>
      <c r="GXF1520"/>
      <c r="GXG1520"/>
      <c r="GXH1520"/>
      <c r="GXI1520"/>
      <c r="GXJ1520"/>
      <c r="GXK1520"/>
      <c r="GXL1520"/>
      <c r="GXM1520"/>
      <c r="GXN1520"/>
      <c r="GXO1520"/>
      <c r="GXP1520"/>
      <c r="GXQ1520"/>
      <c r="GXR1520"/>
      <c r="GXS1520"/>
      <c r="GXT1520"/>
      <c r="GXU1520"/>
      <c r="GXV1520"/>
      <c r="GXW1520"/>
      <c r="GXX1520"/>
      <c r="GXY1520"/>
      <c r="GXZ1520"/>
      <c r="GYA1520"/>
      <c r="GYB1520"/>
      <c r="GYC1520"/>
      <c r="GYD1520"/>
      <c r="GYE1520"/>
      <c r="GYF1520"/>
      <c r="GYG1520"/>
      <c r="GYH1520"/>
      <c r="GYI1520"/>
      <c r="GYJ1520"/>
      <c r="GYK1520"/>
      <c r="GYL1520"/>
      <c r="GYM1520"/>
      <c r="GYN1520"/>
      <c r="GYO1520"/>
      <c r="GYP1520"/>
      <c r="GYQ1520"/>
      <c r="GYR1520"/>
      <c r="GYS1520"/>
      <c r="GYT1520"/>
      <c r="GYU1520"/>
      <c r="GYV1520"/>
      <c r="GYW1520"/>
      <c r="GYX1520"/>
      <c r="GYY1520"/>
      <c r="GYZ1520"/>
      <c r="GZA1520"/>
      <c r="GZB1520"/>
      <c r="GZC1520"/>
      <c r="GZD1520"/>
      <c r="GZE1520"/>
      <c r="GZF1520"/>
      <c r="GZG1520"/>
      <c r="GZH1520"/>
      <c r="GZI1520"/>
      <c r="GZJ1520"/>
      <c r="GZK1520"/>
      <c r="GZL1520"/>
      <c r="GZM1520"/>
      <c r="GZN1520"/>
      <c r="GZO1520"/>
      <c r="GZP1520"/>
      <c r="GZQ1520"/>
      <c r="GZR1520"/>
      <c r="GZS1520"/>
      <c r="GZT1520"/>
      <c r="GZU1520"/>
      <c r="GZV1520"/>
      <c r="GZW1520"/>
      <c r="GZX1520"/>
      <c r="GZY1520"/>
      <c r="GZZ1520"/>
      <c r="HAA1520"/>
      <c r="HAB1520"/>
      <c r="HAC1520"/>
      <c r="HAD1520"/>
      <c r="HAE1520"/>
      <c r="HAF1520"/>
      <c r="HAG1520"/>
      <c r="HAH1520"/>
      <c r="HAI1520"/>
      <c r="HAJ1520"/>
      <c r="HAK1520"/>
      <c r="HAL1520"/>
      <c r="HAM1520"/>
      <c r="HAN1520"/>
      <c r="HAO1520"/>
      <c r="HAP1520"/>
      <c r="HAQ1520"/>
      <c r="HAR1520"/>
      <c r="HAS1520"/>
      <c r="HAT1520"/>
      <c r="HAU1520"/>
      <c r="HAV1520"/>
      <c r="HAW1520"/>
      <c r="HAX1520"/>
      <c r="HAY1520"/>
      <c r="HAZ1520"/>
      <c r="HBA1520"/>
      <c r="HBB1520"/>
      <c r="HBC1520"/>
      <c r="HBD1520"/>
      <c r="HBE1520"/>
      <c r="HBF1520"/>
      <c r="HBG1520"/>
      <c r="HBH1520"/>
      <c r="HBI1520"/>
      <c r="HBJ1520"/>
      <c r="HBK1520"/>
      <c r="HBL1520"/>
      <c r="HBM1520"/>
      <c r="HBN1520"/>
      <c r="HBO1520"/>
      <c r="HBP1520"/>
      <c r="HBQ1520"/>
      <c r="HBR1520"/>
      <c r="HBS1520"/>
      <c r="HBT1520"/>
      <c r="HBU1520"/>
      <c r="HBV1520"/>
      <c r="HBW1520"/>
      <c r="HBX1520"/>
      <c r="HBY1520"/>
      <c r="HBZ1520"/>
      <c r="HCA1520"/>
      <c r="HCB1520"/>
      <c r="HCC1520"/>
      <c r="HCD1520"/>
      <c r="HCE1520"/>
      <c r="HCF1520"/>
      <c r="HCG1520"/>
      <c r="HCH1520"/>
      <c r="HCI1520"/>
      <c r="HCJ1520"/>
      <c r="HCK1520"/>
      <c r="HCL1520"/>
      <c r="HCM1520"/>
      <c r="HCN1520"/>
      <c r="HCO1520"/>
      <c r="HCP1520"/>
      <c r="HCQ1520"/>
      <c r="HCR1520"/>
      <c r="HCS1520"/>
      <c r="HCT1520"/>
      <c r="HCU1520"/>
      <c r="HCV1520"/>
      <c r="HCW1520"/>
      <c r="HCX1520"/>
      <c r="HCY1520"/>
      <c r="HCZ1520"/>
      <c r="HDA1520"/>
      <c r="HDB1520"/>
      <c r="HDC1520"/>
      <c r="HDD1520"/>
      <c r="HDE1520"/>
      <c r="HDF1520"/>
      <c r="HDG1520"/>
      <c r="HDH1520"/>
      <c r="HDI1520"/>
      <c r="HDJ1520"/>
      <c r="HDK1520"/>
      <c r="HDL1520"/>
      <c r="HDM1520"/>
      <c r="HDN1520"/>
      <c r="HDO1520"/>
      <c r="HDP1520"/>
      <c r="HDQ1520"/>
      <c r="HDR1520"/>
      <c r="HDS1520"/>
      <c r="HDT1520"/>
      <c r="HDU1520"/>
      <c r="HDV1520"/>
      <c r="HDW1520"/>
      <c r="HDX1520"/>
      <c r="HDY1520"/>
      <c r="HDZ1520"/>
      <c r="HEA1520"/>
      <c r="HEB1520"/>
      <c r="HEC1520"/>
      <c r="HED1520"/>
      <c r="HEE1520"/>
      <c r="HEF1520"/>
      <c r="HEG1520"/>
      <c r="HEH1520"/>
      <c r="HEI1520"/>
      <c r="HEJ1520"/>
      <c r="HEK1520"/>
      <c r="HEL1520"/>
      <c r="HEM1520"/>
      <c r="HEN1520"/>
      <c r="HEO1520"/>
      <c r="HEP1520"/>
      <c r="HEQ1520"/>
      <c r="HER1520"/>
      <c r="HES1520"/>
      <c r="HET1520"/>
      <c r="HEU1520"/>
      <c r="HEV1520"/>
      <c r="HEW1520"/>
      <c r="HEX1520"/>
      <c r="HEY1520"/>
      <c r="HEZ1520"/>
      <c r="HFA1520"/>
      <c r="HFB1520"/>
      <c r="HFC1520"/>
      <c r="HFD1520"/>
      <c r="HFE1520"/>
      <c r="HFF1520"/>
      <c r="HFG1520"/>
      <c r="HFH1520"/>
      <c r="HFI1520"/>
      <c r="HFJ1520"/>
      <c r="HFK1520"/>
      <c r="HFL1520"/>
      <c r="HFM1520"/>
      <c r="HFN1520"/>
      <c r="HFO1520"/>
      <c r="HFP1520"/>
      <c r="HFQ1520"/>
      <c r="HFR1520"/>
      <c r="HFS1520"/>
      <c r="HFT1520"/>
      <c r="HFU1520"/>
      <c r="HFV1520"/>
      <c r="HFW1520"/>
      <c r="HFX1520"/>
      <c r="HFY1520"/>
      <c r="HFZ1520"/>
      <c r="HGA1520"/>
      <c r="HGB1520"/>
      <c r="HGC1520"/>
      <c r="HGD1520"/>
      <c r="HGE1520"/>
      <c r="HGF1520"/>
      <c r="HGG1520"/>
      <c r="HGH1520"/>
      <c r="HGI1520"/>
      <c r="HGJ1520"/>
      <c r="HGK1520"/>
      <c r="HGL1520"/>
      <c r="HGM1520"/>
      <c r="HGN1520"/>
      <c r="HGO1520"/>
      <c r="HGP1520"/>
      <c r="HGQ1520"/>
      <c r="HGR1520"/>
      <c r="HGS1520"/>
      <c r="HGT1520"/>
      <c r="HGU1520"/>
      <c r="HGV1520"/>
      <c r="HGW1520"/>
      <c r="HGX1520"/>
      <c r="HGY1520"/>
      <c r="HGZ1520"/>
      <c r="HHA1520"/>
      <c r="HHB1520"/>
      <c r="HHC1520"/>
      <c r="HHD1520"/>
      <c r="HHE1520"/>
      <c r="HHF1520"/>
      <c r="HHG1520"/>
      <c r="HHH1520"/>
      <c r="HHI1520"/>
      <c r="HHJ1520"/>
      <c r="HHK1520"/>
      <c r="HHL1520"/>
      <c r="HHM1520"/>
      <c r="HHN1520"/>
      <c r="HHO1520"/>
      <c r="HHP1520"/>
      <c r="HHQ1520"/>
      <c r="HHR1520"/>
      <c r="HHS1520"/>
      <c r="HHT1520"/>
      <c r="HHU1520"/>
      <c r="HHV1520"/>
      <c r="HHW1520"/>
      <c r="HHX1520"/>
      <c r="HHY1520"/>
      <c r="HHZ1520"/>
      <c r="HIA1520"/>
      <c r="HIB1520"/>
      <c r="HIC1520"/>
      <c r="HID1520"/>
      <c r="HIE1520"/>
      <c r="HIF1520"/>
      <c r="HIG1520"/>
      <c r="HIH1520"/>
      <c r="HII1520"/>
      <c r="HIJ1520"/>
      <c r="HIK1520"/>
      <c r="HIL1520"/>
      <c r="HIM1520"/>
      <c r="HIN1520"/>
      <c r="HIO1520"/>
      <c r="HIP1520"/>
      <c r="HIQ1520"/>
      <c r="HIR1520"/>
      <c r="HIS1520"/>
      <c r="HIT1520"/>
      <c r="HIU1520"/>
      <c r="HIV1520"/>
      <c r="HIW1520"/>
      <c r="HIX1520"/>
      <c r="HIY1520"/>
      <c r="HIZ1520"/>
      <c r="HJA1520"/>
      <c r="HJB1520"/>
      <c r="HJC1520"/>
      <c r="HJD1520"/>
      <c r="HJE1520"/>
      <c r="HJF1520"/>
      <c r="HJG1520"/>
      <c r="HJH1520"/>
      <c r="HJI1520"/>
      <c r="HJJ1520"/>
      <c r="HJK1520"/>
      <c r="HJL1520"/>
      <c r="HJM1520"/>
      <c r="HJN1520"/>
      <c r="HJO1520"/>
      <c r="HJP1520"/>
      <c r="HJQ1520"/>
      <c r="HJR1520"/>
      <c r="HJS1520"/>
      <c r="HJT1520"/>
      <c r="HJU1520"/>
      <c r="HJV1520"/>
      <c r="HJW1520"/>
      <c r="HJX1520"/>
      <c r="HJY1520"/>
      <c r="HJZ1520"/>
      <c r="HKA1520"/>
      <c r="HKB1520"/>
      <c r="HKC1520"/>
      <c r="HKD1520"/>
      <c r="HKE1520"/>
      <c r="HKF1520"/>
      <c r="HKG1520"/>
      <c r="HKH1520"/>
      <c r="HKI1520"/>
      <c r="HKJ1520"/>
      <c r="HKK1520"/>
      <c r="HKL1520"/>
      <c r="HKM1520"/>
      <c r="HKN1520"/>
      <c r="HKO1520"/>
      <c r="HKP1520"/>
      <c r="HKQ1520"/>
      <c r="HKR1520"/>
      <c r="HKS1520"/>
      <c r="HKT1520"/>
      <c r="HKU1520"/>
      <c r="HKV1520"/>
      <c r="HKW1520"/>
      <c r="HKX1520"/>
      <c r="HKY1520"/>
      <c r="HKZ1520"/>
      <c r="HLA1520"/>
      <c r="HLB1520"/>
      <c r="HLC1520"/>
      <c r="HLD1520"/>
      <c r="HLE1520"/>
      <c r="HLF1520"/>
      <c r="HLG1520"/>
      <c r="HLH1520"/>
      <c r="HLI1520"/>
      <c r="HLJ1520"/>
      <c r="HLK1520"/>
      <c r="HLL1520"/>
      <c r="HLM1520"/>
      <c r="HLN1520"/>
      <c r="HLO1520"/>
      <c r="HLP1520"/>
      <c r="HLQ1520"/>
      <c r="HLR1520"/>
      <c r="HLS1520"/>
      <c r="HLT1520"/>
      <c r="HLU1520"/>
      <c r="HLV1520"/>
      <c r="HLW1520"/>
      <c r="HLX1520"/>
      <c r="HLY1520"/>
      <c r="HLZ1520"/>
      <c r="HMA1520"/>
      <c r="HMB1520"/>
      <c r="HMC1520"/>
      <c r="HMD1520"/>
      <c r="HME1520"/>
      <c r="HMF1520"/>
      <c r="HMG1520"/>
      <c r="HMH1520"/>
      <c r="HMI1520"/>
      <c r="HMJ1520"/>
      <c r="HMK1520"/>
      <c r="HML1520"/>
      <c r="HMM1520"/>
      <c r="HMN1520"/>
      <c r="HMO1520"/>
      <c r="HMP1520"/>
      <c r="HMQ1520"/>
      <c r="HMR1520"/>
      <c r="HMS1520"/>
      <c r="HMT1520"/>
      <c r="HMU1520"/>
      <c r="HMV1520"/>
      <c r="HMW1520"/>
      <c r="HMX1520"/>
      <c r="HMY1520"/>
      <c r="HMZ1520"/>
      <c r="HNA1520"/>
      <c r="HNB1520"/>
      <c r="HNC1520"/>
      <c r="HND1520"/>
      <c r="HNE1520"/>
      <c r="HNF1520"/>
      <c r="HNG1520"/>
      <c r="HNH1520"/>
      <c r="HNI1520"/>
      <c r="HNJ1520"/>
      <c r="HNK1520"/>
      <c r="HNL1520"/>
      <c r="HNM1520"/>
      <c r="HNN1520"/>
      <c r="HNO1520"/>
      <c r="HNP1520"/>
      <c r="HNQ1520"/>
      <c r="HNR1520"/>
      <c r="HNS1520"/>
      <c r="HNT1520"/>
      <c r="HNU1520"/>
      <c r="HNV1520"/>
      <c r="HNW1520"/>
      <c r="HNX1520"/>
      <c r="HNY1520"/>
      <c r="HNZ1520"/>
      <c r="HOA1520"/>
      <c r="HOB1520"/>
      <c r="HOC1520"/>
      <c r="HOD1520"/>
      <c r="HOE1520"/>
      <c r="HOF1520"/>
      <c r="HOG1520"/>
      <c r="HOH1520"/>
      <c r="HOI1520"/>
      <c r="HOJ1520"/>
      <c r="HOK1520"/>
      <c r="HOL1520"/>
      <c r="HOM1520"/>
      <c r="HON1520"/>
      <c r="HOO1520"/>
      <c r="HOP1520"/>
      <c r="HOQ1520"/>
      <c r="HOR1520"/>
      <c r="HOS1520"/>
      <c r="HOT1520"/>
      <c r="HOU1520"/>
      <c r="HOV1520"/>
      <c r="HOW1520"/>
      <c r="HOX1520"/>
      <c r="HOY1520"/>
      <c r="HOZ1520"/>
      <c r="HPA1520"/>
      <c r="HPB1520"/>
      <c r="HPC1520"/>
      <c r="HPD1520"/>
      <c r="HPE1520"/>
      <c r="HPF1520"/>
      <c r="HPG1520"/>
      <c r="HPH1520"/>
      <c r="HPI1520"/>
      <c r="HPJ1520"/>
      <c r="HPK1520"/>
      <c r="HPL1520"/>
      <c r="HPM1520"/>
      <c r="HPN1520"/>
      <c r="HPO1520"/>
      <c r="HPP1520"/>
      <c r="HPQ1520"/>
      <c r="HPR1520"/>
      <c r="HPS1520"/>
      <c r="HPT1520"/>
      <c r="HPU1520"/>
      <c r="HPV1520"/>
      <c r="HPW1520"/>
      <c r="HPX1520"/>
      <c r="HPY1520"/>
      <c r="HPZ1520"/>
      <c r="HQA1520"/>
      <c r="HQB1520"/>
      <c r="HQC1520"/>
      <c r="HQD1520"/>
      <c r="HQE1520"/>
      <c r="HQF1520"/>
      <c r="HQG1520"/>
      <c r="HQH1520"/>
      <c r="HQI1520"/>
      <c r="HQJ1520"/>
      <c r="HQK1520"/>
      <c r="HQL1520"/>
      <c r="HQM1520"/>
      <c r="HQN1520"/>
      <c r="HQO1520"/>
      <c r="HQP1520"/>
      <c r="HQQ1520"/>
      <c r="HQR1520"/>
      <c r="HQS1520"/>
      <c r="HQT1520"/>
      <c r="HQU1520"/>
      <c r="HQV1520"/>
      <c r="HQW1520"/>
      <c r="HQX1520"/>
      <c r="HQY1520"/>
      <c r="HQZ1520"/>
      <c r="HRA1520"/>
      <c r="HRB1520"/>
      <c r="HRC1520"/>
      <c r="HRD1520"/>
      <c r="HRE1520"/>
      <c r="HRF1520"/>
      <c r="HRG1520"/>
      <c r="HRH1520"/>
      <c r="HRI1520"/>
      <c r="HRJ1520"/>
      <c r="HRK1520"/>
      <c r="HRL1520"/>
      <c r="HRM1520"/>
      <c r="HRN1520"/>
      <c r="HRO1520"/>
      <c r="HRP1520"/>
      <c r="HRQ1520"/>
      <c r="HRR1520"/>
      <c r="HRS1520"/>
      <c r="HRT1520"/>
      <c r="HRU1520"/>
      <c r="HRV1520"/>
      <c r="HRW1520"/>
      <c r="HRX1520"/>
      <c r="HRY1520"/>
      <c r="HRZ1520"/>
      <c r="HSA1520"/>
      <c r="HSB1520"/>
      <c r="HSC1520"/>
      <c r="HSD1520"/>
      <c r="HSE1520"/>
      <c r="HSF1520"/>
      <c r="HSG1520"/>
      <c r="HSH1520"/>
      <c r="HSI1520"/>
      <c r="HSJ1520"/>
      <c r="HSK1520"/>
      <c r="HSL1520"/>
      <c r="HSM1520"/>
      <c r="HSN1520"/>
      <c r="HSO1520"/>
      <c r="HSP1520"/>
      <c r="HSQ1520"/>
      <c r="HSR1520"/>
      <c r="HSS1520"/>
      <c r="HST1520"/>
      <c r="HSU1520"/>
      <c r="HSV1520"/>
      <c r="HSW1520"/>
      <c r="HSX1520"/>
      <c r="HSY1520"/>
      <c r="HSZ1520"/>
      <c r="HTA1520"/>
      <c r="HTB1520"/>
      <c r="HTC1520"/>
      <c r="HTD1520"/>
      <c r="HTE1520"/>
      <c r="HTF1520"/>
      <c r="HTG1520"/>
      <c r="HTH1520"/>
      <c r="HTI1520"/>
      <c r="HTJ1520"/>
      <c r="HTK1520"/>
      <c r="HTL1520"/>
      <c r="HTM1520"/>
      <c r="HTN1520"/>
      <c r="HTO1520"/>
      <c r="HTP1520"/>
      <c r="HTQ1520"/>
      <c r="HTR1520"/>
      <c r="HTS1520"/>
      <c r="HTT1520"/>
      <c r="HTU1520"/>
      <c r="HTV1520"/>
      <c r="HTW1520"/>
      <c r="HTX1520"/>
      <c r="HTY1520"/>
      <c r="HTZ1520"/>
      <c r="HUA1520"/>
      <c r="HUB1520"/>
      <c r="HUC1520"/>
      <c r="HUD1520"/>
      <c r="HUE1520"/>
      <c r="HUF1520"/>
      <c r="HUG1520"/>
      <c r="HUH1520"/>
      <c r="HUI1520"/>
      <c r="HUJ1520"/>
      <c r="HUK1520"/>
      <c r="HUL1520"/>
      <c r="HUM1520"/>
      <c r="HUN1520"/>
      <c r="HUO1520"/>
      <c r="HUP1520"/>
      <c r="HUQ1520"/>
      <c r="HUR1520"/>
      <c r="HUS1520"/>
      <c r="HUT1520"/>
      <c r="HUU1520"/>
      <c r="HUV1520"/>
      <c r="HUW1520"/>
      <c r="HUX1520"/>
      <c r="HUY1520"/>
      <c r="HUZ1520"/>
      <c r="HVA1520"/>
      <c r="HVB1520"/>
      <c r="HVC1520"/>
      <c r="HVD1520"/>
      <c r="HVE1520"/>
      <c r="HVF1520"/>
      <c r="HVG1520"/>
      <c r="HVH1520"/>
      <c r="HVI1520"/>
      <c r="HVJ1520"/>
      <c r="HVK1520"/>
      <c r="HVL1520"/>
      <c r="HVM1520"/>
      <c r="HVN1520"/>
      <c r="HVO1520"/>
      <c r="HVP1520"/>
      <c r="HVQ1520"/>
      <c r="HVR1520"/>
      <c r="HVS1520"/>
      <c r="HVT1520"/>
      <c r="HVU1520"/>
      <c r="HVV1520"/>
      <c r="HVW1520"/>
      <c r="HVX1520"/>
      <c r="HVY1520"/>
      <c r="HVZ1520"/>
      <c r="HWA1520"/>
      <c r="HWB1520"/>
      <c r="HWC1520"/>
      <c r="HWD1520"/>
      <c r="HWE1520"/>
      <c r="HWF1520"/>
      <c r="HWG1520"/>
      <c r="HWH1520"/>
      <c r="HWI1520"/>
      <c r="HWJ1520"/>
      <c r="HWK1520"/>
      <c r="HWL1520"/>
      <c r="HWM1520"/>
      <c r="HWN1520"/>
      <c r="HWO1520"/>
      <c r="HWP1520"/>
      <c r="HWQ1520"/>
      <c r="HWR1520"/>
      <c r="HWS1520"/>
      <c r="HWT1520"/>
      <c r="HWU1520"/>
      <c r="HWV1520"/>
      <c r="HWW1520"/>
      <c r="HWX1520"/>
      <c r="HWY1520"/>
      <c r="HWZ1520"/>
      <c r="HXA1520"/>
      <c r="HXB1520"/>
      <c r="HXC1520"/>
      <c r="HXD1520"/>
      <c r="HXE1520"/>
      <c r="HXF1520"/>
      <c r="HXG1520"/>
      <c r="HXH1520"/>
      <c r="HXI1520"/>
      <c r="HXJ1520"/>
      <c r="HXK1520"/>
      <c r="HXL1520"/>
      <c r="HXM1520"/>
      <c r="HXN1520"/>
      <c r="HXO1520"/>
      <c r="HXP1520"/>
      <c r="HXQ1520"/>
      <c r="HXR1520"/>
      <c r="HXS1520"/>
      <c r="HXT1520"/>
      <c r="HXU1520"/>
      <c r="HXV1520"/>
      <c r="HXW1520"/>
      <c r="HXX1520"/>
      <c r="HXY1520"/>
      <c r="HXZ1520"/>
      <c r="HYA1520"/>
      <c r="HYB1520"/>
      <c r="HYC1520"/>
      <c r="HYD1520"/>
      <c r="HYE1520"/>
      <c r="HYF1520"/>
      <c r="HYG1520"/>
      <c r="HYH1520"/>
      <c r="HYI1520"/>
      <c r="HYJ1520"/>
      <c r="HYK1520"/>
      <c r="HYL1520"/>
      <c r="HYM1520"/>
      <c r="HYN1520"/>
      <c r="HYO1520"/>
      <c r="HYP1520"/>
      <c r="HYQ1520"/>
      <c r="HYR1520"/>
      <c r="HYS1520"/>
      <c r="HYT1520"/>
      <c r="HYU1520"/>
      <c r="HYV1520"/>
      <c r="HYW1520"/>
      <c r="HYX1520"/>
      <c r="HYY1520"/>
      <c r="HYZ1520"/>
      <c r="HZA1520"/>
      <c r="HZB1520"/>
      <c r="HZC1520"/>
      <c r="HZD1520"/>
      <c r="HZE1520"/>
      <c r="HZF1520"/>
      <c r="HZG1520"/>
      <c r="HZH1520"/>
      <c r="HZI1520"/>
      <c r="HZJ1520"/>
      <c r="HZK1520"/>
      <c r="HZL1520"/>
      <c r="HZM1520"/>
      <c r="HZN1520"/>
      <c r="HZO1520"/>
      <c r="HZP1520"/>
      <c r="HZQ1520"/>
      <c r="HZR1520"/>
      <c r="HZS1520"/>
      <c r="HZT1520"/>
      <c r="HZU1520"/>
      <c r="HZV1520"/>
      <c r="HZW1520"/>
      <c r="HZX1520"/>
      <c r="HZY1520"/>
      <c r="HZZ1520"/>
      <c r="IAA1520"/>
      <c r="IAB1520"/>
      <c r="IAC1520"/>
      <c r="IAD1520"/>
      <c r="IAE1520"/>
      <c r="IAF1520"/>
      <c r="IAG1520"/>
      <c r="IAH1520"/>
      <c r="IAI1520"/>
      <c r="IAJ1520"/>
      <c r="IAK1520"/>
      <c r="IAL1520"/>
      <c r="IAM1520"/>
      <c r="IAN1520"/>
      <c r="IAO1520"/>
      <c r="IAP1520"/>
      <c r="IAQ1520"/>
      <c r="IAR1520"/>
      <c r="IAS1520"/>
      <c r="IAT1520"/>
      <c r="IAU1520"/>
      <c r="IAV1520"/>
      <c r="IAW1520"/>
      <c r="IAX1520"/>
      <c r="IAY1520"/>
      <c r="IAZ1520"/>
      <c r="IBA1520"/>
      <c r="IBB1520"/>
      <c r="IBC1520"/>
      <c r="IBD1520"/>
      <c r="IBE1520"/>
      <c r="IBF1520"/>
      <c r="IBG1520"/>
      <c r="IBH1520"/>
      <c r="IBI1520"/>
      <c r="IBJ1520"/>
      <c r="IBK1520"/>
      <c r="IBL1520"/>
      <c r="IBM1520"/>
      <c r="IBN1520"/>
      <c r="IBO1520"/>
      <c r="IBP1520"/>
      <c r="IBQ1520"/>
      <c r="IBR1520"/>
      <c r="IBS1520"/>
      <c r="IBT1520"/>
      <c r="IBU1520"/>
      <c r="IBV1520"/>
      <c r="IBW1520"/>
      <c r="IBX1520"/>
      <c r="IBY1520"/>
      <c r="IBZ1520"/>
      <c r="ICA1520"/>
      <c r="ICB1520"/>
      <c r="ICC1520"/>
      <c r="ICD1520"/>
      <c r="ICE1520"/>
      <c r="ICF1520"/>
      <c r="ICG1520"/>
      <c r="ICH1520"/>
      <c r="ICI1520"/>
      <c r="ICJ1520"/>
      <c r="ICK1520"/>
      <c r="ICL1520"/>
      <c r="ICM1520"/>
      <c r="ICN1520"/>
      <c r="ICO1520"/>
      <c r="ICP1520"/>
      <c r="ICQ1520"/>
      <c r="ICR1520"/>
      <c r="ICS1520"/>
      <c r="ICT1520"/>
      <c r="ICU1520"/>
      <c r="ICV1520"/>
      <c r="ICW1520"/>
      <c r="ICX1520"/>
      <c r="ICY1520"/>
      <c r="ICZ1520"/>
      <c r="IDA1520"/>
      <c r="IDB1520"/>
      <c r="IDC1520"/>
      <c r="IDD1520"/>
      <c r="IDE1520"/>
      <c r="IDF1520"/>
      <c r="IDG1520"/>
      <c r="IDH1520"/>
      <c r="IDI1520"/>
      <c r="IDJ1520"/>
      <c r="IDK1520"/>
      <c r="IDL1520"/>
      <c r="IDM1520"/>
      <c r="IDN1520"/>
      <c r="IDO1520"/>
      <c r="IDP1520"/>
      <c r="IDQ1520"/>
      <c r="IDR1520"/>
      <c r="IDS1520"/>
      <c r="IDT1520"/>
      <c r="IDU1520"/>
      <c r="IDV1520"/>
      <c r="IDW1520"/>
      <c r="IDX1520"/>
      <c r="IDY1520"/>
      <c r="IDZ1520"/>
      <c r="IEA1520"/>
      <c r="IEB1520"/>
      <c r="IEC1520"/>
      <c r="IED1520"/>
      <c r="IEE1520"/>
      <c r="IEF1520"/>
      <c r="IEG1520"/>
      <c r="IEH1520"/>
      <c r="IEI1520"/>
      <c r="IEJ1520"/>
      <c r="IEK1520"/>
      <c r="IEL1520"/>
      <c r="IEM1520"/>
      <c r="IEN1520"/>
      <c r="IEO1520"/>
      <c r="IEP1520"/>
      <c r="IEQ1520"/>
      <c r="IER1520"/>
      <c r="IES1520"/>
      <c r="IET1520"/>
      <c r="IEU1520"/>
      <c r="IEV1520"/>
      <c r="IEW1520"/>
      <c r="IEX1520"/>
      <c r="IEY1520"/>
      <c r="IEZ1520"/>
      <c r="IFA1520"/>
      <c r="IFB1520"/>
      <c r="IFC1520"/>
      <c r="IFD1520"/>
      <c r="IFE1520"/>
      <c r="IFF1520"/>
      <c r="IFG1520"/>
      <c r="IFH1520"/>
      <c r="IFI1520"/>
      <c r="IFJ1520"/>
      <c r="IFK1520"/>
      <c r="IFL1520"/>
      <c r="IFM1520"/>
      <c r="IFN1520"/>
      <c r="IFO1520"/>
      <c r="IFP1520"/>
      <c r="IFQ1520"/>
      <c r="IFR1520"/>
      <c r="IFS1520"/>
      <c r="IFT1520"/>
      <c r="IFU1520"/>
      <c r="IFV1520"/>
      <c r="IFW1520"/>
      <c r="IFX1520"/>
      <c r="IFY1520"/>
      <c r="IFZ1520"/>
      <c r="IGA1520"/>
      <c r="IGB1520"/>
      <c r="IGC1520"/>
      <c r="IGD1520"/>
      <c r="IGE1520"/>
      <c r="IGF1520"/>
      <c r="IGG1520"/>
      <c r="IGH1520"/>
      <c r="IGI1520"/>
      <c r="IGJ1520"/>
      <c r="IGK1520"/>
      <c r="IGL1520"/>
      <c r="IGM1520"/>
      <c r="IGN1520"/>
      <c r="IGO1520"/>
      <c r="IGP1520"/>
      <c r="IGQ1520"/>
      <c r="IGR1520"/>
      <c r="IGS1520"/>
      <c r="IGT1520"/>
      <c r="IGU1520"/>
      <c r="IGV1520"/>
      <c r="IGW1520"/>
      <c r="IGX1520"/>
      <c r="IGY1520"/>
      <c r="IGZ1520"/>
      <c r="IHA1520"/>
      <c r="IHB1520"/>
      <c r="IHC1520"/>
      <c r="IHD1520"/>
      <c r="IHE1520"/>
      <c r="IHF1520"/>
      <c r="IHG1520"/>
      <c r="IHH1520"/>
      <c r="IHI1520"/>
      <c r="IHJ1520"/>
      <c r="IHK1520"/>
      <c r="IHL1520"/>
      <c r="IHM1520"/>
      <c r="IHN1520"/>
      <c r="IHO1520"/>
      <c r="IHP1520"/>
      <c r="IHQ1520"/>
      <c r="IHR1520"/>
      <c r="IHS1520"/>
      <c r="IHT1520"/>
      <c r="IHU1520"/>
      <c r="IHV1520"/>
      <c r="IHW1520"/>
      <c r="IHX1520"/>
      <c r="IHY1520"/>
      <c r="IHZ1520"/>
      <c r="IIA1520"/>
      <c r="IIB1520"/>
      <c r="IIC1520"/>
      <c r="IID1520"/>
      <c r="IIE1520"/>
      <c r="IIF1520"/>
      <c r="IIG1520"/>
      <c r="IIH1520"/>
      <c r="III1520"/>
      <c r="IIJ1520"/>
      <c r="IIK1520"/>
      <c r="IIL1520"/>
      <c r="IIM1520"/>
      <c r="IIN1520"/>
      <c r="IIO1520"/>
      <c r="IIP1520"/>
      <c r="IIQ1520"/>
      <c r="IIR1520"/>
      <c r="IIS1520"/>
      <c r="IIT1520"/>
      <c r="IIU1520"/>
      <c r="IIV1520"/>
      <c r="IIW1520"/>
      <c r="IIX1520"/>
      <c r="IIY1520"/>
      <c r="IIZ1520"/>
      <c r="IJA1520"/>
      <c r="IJB1520"/>
      <c r="IJC1520"/>
      <c r="IJD1520"/>
      <c r="IJE1520"/>
      <c r="IJF1520"/>
      <c r="IJG1520"/>
      <c r="IJH1520"/>
      <c r="IJI1520"/>
      <c r="IJJ1520"/>
      <c r="IJK1520"/>
      <c r="IJL1520"/>
      <c r="IJM1520"/>
      <c r="IJN1520"/>
      <c r="IJO1520"/>
      <c r="IJP1520"/>
      <c r="IJQ1520"/>
      <c r="IJR1520"/>
      <c r="IJS1520"/>
      <c r="IJT1520"/>
      <c r="IJU1520"/>
      <c r="IJV1520"/>
      <c r="IJW1520"/>
      <c r="IJX1520"/>
      <c r="IJY1520"/>
      <c r="IJZ1520"/>
      <c r="IKA1520"/>
      <c r="IKB1520"/>
      <c r="IKC1520"/>
      <c r="IKD1520"/>
      <c r="IKE1520"/>
      <c r="IKF1520"/>
      <c r="IKG1520"/>
      <c r="IKH1520"/>
      <c r="IKI1520"/>
      <c r="IKJ1520"/>
      <c r="IKK1520"/>
      <c r="IKL1520"/>
      <c r="IKM1520"/>
      <c r="IKN1520"/>
      <c r="IKO1520"/>
      <c r="IKP1520"/>
      <c r="IKQ1520"/>
      <c r="IKR1520"/>
      <c r="IKS1520"/>
      <c r="IKT1520"/>
      <c r="IKU1520"/>
      <c r="IKV1520"/>
      <c r="IKW1520"/>
      <c r="IKX1520"/>
      <c r="IKY1520"/>
      <c r="IKZ1520"/>
      <c r="ILA1520"/>
      <c r="ILB1520"/>
      <c r="ILC1520"/>
      <c r="ILD1520"/>
      <c r="ILE1520"/>
      <c r="ILF1520"/>
      <c r="ILG1520"/>
      <c r="ILH1520"/>
      <c r="ILI1520"/>
      <c r="ILJ1520"/>
      <c r="ILK1520"/>
      <c r="ILL1520"/>
      <c r="ILM1520"/>
      <c r="ILN1520"/>
      <c r="ILO1520"/>
      <c r="ILP1520"/>
      <c r="ILQ1520"/>
      <c r="ILR1520"/>
      <c r="ILS1520"/>
      <c r="ILT1520"/>
      <c r="ILU1520"/>
      <c r="ILV1520"/>
      <c r="ILW1520"/>
      <c r="ILX1520"/>
      <c r="ILY1520"/>
      <c r="ILZ1520"/>
      <c r="IMA1520"/>
      <c r="IMB1520"/>
      <c r="IMC1520"/>
      <c r="IMD1520"/>
      <c r="IME1520"/>
      <c r="IMF1520"/>
      <c r="IMG1520"/>
      <c r="IMH1520"/>
      <c r="IMI1520"/>
      <c r="IMJ1520"/>
      <c r="IMK1520"/>
      <c r="IML1520"/>
      <c r="IMM1520"/>
      <c r="IMN1520"/>
      <c r="IMO1520"/>
      <c r="IMP1520"/>
      <c r="IMQ1520"/>
      <c r="IMR1520"/>
      <c r="IMS1520"/>
      <c r="IMT1520"/>
      <c r="IMU1520"/>
      <c r="IMV1520"/>
      <c r="IMW1520"/>
      <c r="IMX1520"/>
      <c r="IMY1520"/>
      <c r="IMZ1520"/>
      <c r="INA1520"/>
      <c r="INB1520"/>
      <c r="INC1520"/>
      <c r="IND1520"/>
      <c r="INE1520"/>
      <c r="INF1520"/>
      <c r="ING1520"/>
      <c r="INH1520"/>
      <c r="INI1520"/>
      <c r="INJ1520"/>
      <c r="INK1520"/>
      <c r="INL1520"/>
      <c r="INM1520"/>
      <c r="INN1520"/>
      <c r="INO1520"/>
      <c r="INP1520"/>
      <c r="INQ1520"/>
      <c r="INR1520"/>
      <c r="INS1520"/>
      <c r="INT1520"/>
      <c r="INU1520"/>
      <c r="INV1520"/>
      <c r="INW1520"/>
      <c r="INX1520"/>
      <c r="INY1520"/>
      <c r="INZ1520"/>
      <c r="IOA1520"/>
      <c r="IOB1520"/>
      <c r="IOC1520"/>
      <c r="IOD1520"/>
      <c r="IOE1520"/>
      <c r="IOF1520"/>
      <c r="IOG1520"/>
      <c r="IOH1520"/>
      <c r="IOI1520"/>
      <c r="IOJ1520"/>
      <c r="IOK1520"/>
      <c r="IOL1520"/>
      <c r="IOM1520"/>
      <c r="ION1520"/>
      <c r="IOO1520"/>
      <c r="IOP1520"/>
      <c r="IOQ1520"/>
      <c r="IOR1520"/>
      <c r="IOS1520"/>
      <c r="IOT1520"/>
      <c r="IOU1520"/>
      <c r="IOV1520"/>
      <c r="IOW1520"/>
      <c r="IOX1520"/>
      <c r="IOY1520"/>
      <c r="IOZ1520"/>
      <c r="IPA1520"/>
      <c r="IPB1520"/>
      <c r="IPC1520"/>
      <c r="IPD1520"/>
      <c r="IPE1520"/>
      <c r="IPF1520"/>
      <c r="IPG1520"/>
      <c r="IPH1520"/>
      <c r="IPI1520"/>
      <c r="IPJ1520"/>
      <c r="IPK1520"/>
      <c r="IPL1520"/>
      <c r="IPM1520"/>
      <c r="IPN1520"/>
      <c r="IPO1520"/>
      <c r="IPP1520"/>
      <c r="IPQ1520"/>
      <c r="IPR1520"/>
      <c r="IPS1520"/>
      <c r="IPT1520"/>
      <c r="IPU1520"/>
      <c r="IPV1520"/>
      <c r="IPW1520"/>
      <c r="IPX1520"/>
      <c r="IPY1520"/>
      <c r="IPZ1520"/>
      <c r="IQA1520"/>
      <c r="IQB1520"/>
      <c r="IQC1520"/>
      <c r="IQD1520"/>
      <c r="IQE1520"/>
      <c r="IQF1520"/>
      <c r="IQG1520"/>
      <c r="IQH1520"/>
      <c r="IQI1520"/>
      <c r="IQJ1520"/>
      <c r="IQK1520"/>
      <c r="IQL1520"/>
      <c r="IQM1520"/>
      <c r="IQN1520"/>
      <c r="IQO1520"/>
      <c r="IQP1520"/>
      <c r="IQQ1520"/>
      <c r="IQR1520"/>
      <c r="IQS1520"/>
      <c r="IQT1520"/>
      <c r="IQU1520"/>
      <c r="IQV1520"/>
      <c r="IQW1520"/>
      <c r="IQX1520"/>
      <c r="IQY1520"/>
      <c r="IQZ1520"/>
      <c r="IRA1520"/>
      <c r="IRB1520"/>
      <c r="IRC1520"/>
      <c r="IRD1520"/>
      <c r="IRE1520"/>
      <c r="IRF1520"/>
      <c r="IRG1520"/>
      <c r="IRH1520"/>
      <c r="IRI1520"/>
      <c r="IRJ1520"/>
      <c r="IRK1520"/>
      <c r="IRL1520"/>
      <c r="IRM1520"/>
      <c r="IRN1520"/>
      <c r="IRO1520"/>
      <c r="IRP1520"/>
      <c r="IRQ1520"/>
      <c r="IRR1520"/>
      <c r="IRS1520"/>
      <c r="IRT1520"/>
      <c r="IRU1520"/>
      <c r="IRV1520"/>
      <c r="IRW1520"/>
      <c r="IRX1520"/>
      <c r="IRY1520"/>
      <c r="IRZ1520"/>
      <c r="ISA1520"/>
      <c r="ISB1520"/>
      <c r="ISC1520"/>
      <c r="ISD1520"/>
      <c r="ISE1520"/>
      <c r="ISF1520"/>
      <c r="ISG1520"/>
      <c r="ISH1520"/>
      <c r="ISI1520"/>
      <c r="ISJ1520"/>
      <c r="ISK1520"/>
      <c r="ISL1520"/>
      <c r="ISM1520"/>
      <c r="ISN1520"/>
      <c r="ISO1520"/>
      <c r="ISP1520"/>
      <c r="ISQ1520"/>
      <c r="ISR1520"/>
      <c r="ISS1520"/>
      <c r="IST1520"/>
      <c r="ISU1520"/>
      <c r="ISV1520"/>
      <c r="ISW1520"/>
      <c r="ISX1520"/>
      <c r="ISY1520"/>
      <c r="ISZ1520"/>
      <c r="ITA1520"/>
      <c r="ITB1520"/>
      <c r="ITC1520"/>
      <c r="ITD1520"/>
      <c r="ITE1520"/>
      <c r="ITF1520"/>
      <c r="ITG1520"/>
      <c r="ITH1520"/>
      <c r="ITI1520"/>
      <c r="ITJ1520"/>
      <c r="ITK1520"/>
      <c r="ITL1520"/>
      <c r="ITM1520"/>
      <c r="ITN1520"/>
      <c r="ITO1520"/>
      <c r="ITP1520"/>
      <c r="ITQ1520"/>
      <c r="ITR1520"/>
      <c r="ITS1520"/>
      <c r="ITT1520"/>
      <c r="ITU1520"/>
      <c r="ITV1520"/>
      <c r="ITW1520"/>
      <c r="ITX1520"/>
      <c r="ITY1520"/>
      <c r="ITZ1520"/>
      <c r="IUA1520"/>
      <c r="IUB1520"/>
      <c r="IUC1520"/>
      <c r="IUD1520"/>
      <c r="IUE1520"/>
      <c r="IUF1520"/>
      <c r="IUG1520"/>
      <c r="IUH1520"/>
      <c r="IUI1520"/>
      <c r="IUJ1520"/>
      <c r="IUK1520"/>
      <c r="IUL1520"/>
      <c r="IUM1520"/>
      <c r="IUN1520"/>
      <c r="IUO1520"/>
      <c r="IUP1520"/>
      <c r="IUQ1520"/>
      <c r="IUR1520"/>
      <c r="IUS1520"/>
      <c r="IUT1520"/>
      <c r="IUU1520"/>
      <c r="IUV1520"/>
      <c r="IUW1520"/>
      <c r="IUX1520"/>
      <c r="IUY1520"/>
      <c r="IUZ1520"/>
      <c r="IVA1520"/>
      <c r="IVB1520"/>
      <c r="IVC1520"/>
      <c r="IVD1520"/>
      <c r="IVE1520"/>
      <c r="IVF1520"/>
      <c r="IVG1520"/>
      <c r="IVH1520"/>
      <c r="IVI1520"/>
      <c r="IVJ1520"/>
      <c r="IVK1520"/>
      <c r="IVL1520"/>
      <c r="IVM1520"/>
      <c r="IVN1520"/>
      <c r="IVO1520"/>
      <c r="IVP1520"/>
      <c r="IVQ1520"/>
      <c r="IVR1520"/>
      <c r="IVS1520"/>
      <c r="IVT1520"/>
      <c r="IVU1520"/>
      <c r="IVV1520"/>
      <c r="IVW1520"/>
      <c r="IVX1520"/>
      <c r="IVY1520"/>
      <c r="IVZ1520"/>
      <c r="IWA1520"/>
      <c r="IWB1520"/>
      <c r="IWC1520"/>
      <c r="IWD1520"/>
      <c r="IWE1520"/>
      <c r="IWF1520"/>
      <c r="IWG1520"/>
      <c r="IWH1520"/>
      <c r="IWI1520"/>
      <c r="IWJ1520"/>
      <c r="IWK1520"/>
      <c r="IWL1520"/>
      <c r="IWM1520"/>
      <c r="IWN1520"/>
      <c r="IWO1520"/>
      <c r="IWP1520"/>
      <c r="IWQ1520"/>
      <c r="IWR1520"/>
      <c r="IWS1520"/>
      <c r="IWT1520"/>
      <c r="IWU1520"/>
      <c r="IWV1520"/>
      <c r="IWW1520"/>
      <c r="IWX1520"/>
      <c r="IWY1520"/>
      <c r="IWZ1520"/>
      <c r="IXA1520"/>
      <c r="IXB1520"/>
      <c r="IXC1520"/>
      <c r="IXD1520"/>
      <c r="IXE1520"/>
      <c r="IXF1520"/>
      <c r="IXG1520"/>
      <c r="IXH1520"/>
      <c r="IXI1520"/>
      <c r="IXJ1520"/>
      <c r="IXK1520"/>
      <c r="IXL1520"/>
      <c r="IXM1520"/>
      <c r="IXN1520"/>
      <c r="IXO1520"/>
      <c r="IXP1520"/>
      <c r="IXQ1520"/>
      <c r="IXR1520"/>
      <c r="IXS1520"/>
      <c r="IXT1520"/>
      <c r="IXU1520"/>
      <c r="IXV1520"/>
      <c r="IXW1520"/>
      <c r="IXX1520"/>
      <c r="IXY1520"/>
      <c r="IXZ1520"/>
      <c r="IYA1520"/>
      <c r="IYB1520"/>
      <c r="IYC1520"/>
      <c r="IYD1520"/>
      <c r="IYE1520"/>
      <c r="IYF1520"/>
      <c r="IYG1520"/>
      <c r="IYH1520"/>
      <c r="IYI1520"/>
      <c r="IYJ1520"/>
      <c r="IYK1520"/>
      <c r="IYL1520"/>
      <c r="IYM1520"/>
      <c r="IYN1520"/>
      <c r="IYO1520"/>
      <c r="IYP1520"/>
      <c r="IYQ1520"/>
      <c r="IYR1520"/>
      <c r="IYS1520"/>
      <c r="IYT1520"/>
      <c r="IYU1520"/>
      <c r="IYV1520"/>
      <c r="IYW1520"/>
      <c r="IYX1520"/>
      <c r="IYY1520"/>
      <c r="IYZ1520"/>
      <c r="IZA1520"/>
      <c r="IZB1520"/>
      <c r="IZC1520"/>
      <c r="IZD1520"/>
      <c r="IZE1520"/>
      <c r="IZF1520"/>
      <c r="IZG1520"/>
      <c r="IZH1520"/>
      <c r="IZI1520"/>
      <c r="IZJ1520"/>
      <c r="IZK1520"/>
      <c r="IZL1520"/>
      <c r="IZM1520"/>
      <c r="IZN1520"/>
      <c r="IZO1520"/>
      <c r="IZP1520"/>
      <c r="IZQ1520"/>
      <c r="IZR1520"/>
      <c r="IZS1520"/>
      <c r="IZT1520"/>
      <c r="IZU1520"/>
      <c r="IZV1520"/>
      <c r="IZW1520"/>
      <c r="IZX1520"/>
      <c r="IZY1520"/>
      <c r="IZZ1520"/>
      <c r="JAA1520"/>
      <c r="JAB1520"/>
      <c r="JAC1520"/>
      <c r="JAD1520"/>
      <c r="JAE1520"/>
      <c r="JAF1520"/>
      <c r="JAG1520"/>
      <c r="JAH1520"/>
      <c r="JAI1520"/>
      <c r="JAJ1520"/>
      <c r="JAK1520"/>
      <c r="JAL1520"/>
      <c r="JAM1520"/>
      <c r="JAN1520"/>
      <c r="JAO1520"/>
      <c r="JAP1520"/>
      <c r="JAQ1520"/>
      <c r="JAR1520"/>
      <c r="JAS1520"/>
      <c r="JAT1520"/>
      <c r="JAU1520"/>
      <c r="JAV1520"/>
      <c r="JAW1520"/>
      <c r="JAX1520"/>
      <c r="JAY1520"/>
      <c r="JAZ1520"/>
      <c r="JBA1520"/>
      <c r="JBB1520"/>
      <c r="JBC1520"/>
      <c r="JBD1520"/>
      <c r="JBE1520"/>
      <c r="JBF1520"/>
      <c r="JBG1520"/>
      <c r="JBH1520"/>
      <c r="JBI1520"/>
      <c r="JBJ1520"/>
      <c r="JBK1520"/>
      <c r="JBL1520"/>
      <c r="JBM1520"/>
      <c r="JBN1520"/>
      <c r="JBO1520"/>
      <c r="JBP1520"/>
      <c r="JBQ1520"/>
      <c r="JBR1520"/>
      <c r="JBS1520"/>
      <c r="JBT1520"/>
      <c r="JBU1520"/>
      <c r="JBV1520"/>
      <c r="JBW1520"/>
      <c r="JBX1520"/>
      <c r="JBY1520"/>
      <c r="JBZ1520"/>
      <c r="JCA1520"/>
      <c r="JCB1520"/>
      <c r="JCC1520"/>
      <c r="JCD1520"/>
      <c r="JCE1520"/>
      <c r="JCF1520"/>
      <c r="JCG1520"/>
      <c r="JCH1520"/>
      <c r="JCI1520"/>
      <c r="JCJ1520"/>
      <c r="JCK1520"/>
      <c r="JCL1520"/>
      <c r="JCM1520"/>
      <c r="JCN1520"/>
      <c r="JCO1520"/>
      <c r="JCP1520"/>
      <c r="JCQ1520"/>
      <c r="JCR1520"/>
      <c r="JCS1520"/>
      <c r="JCT1520"/>
      <c r="JCU1520"/>
      <c r="JCV1520"/>
      <c r="JCW1520"/>
      <c r="JCX1520"/>
      <c r="JCY1520"/>
      <c r="JCZ1520"/>
      <c r="JDA1520"/>
      <c r="JDB1520"/>
      <c r="JDC1520"/>
      <c r="JDD1520"/>
      <c r="JDE1520"/>
      <c r="JDF1520"/>
      <c r="JDG1520"/>
      <c r="JDH1520"/>
      <c r="JDI1520"/>
      <c r="JDJ1520"/>
      <c r="JDK1520"/>
      <c r="JDL1520"/>
      <c r="JDM1520"/>
      <c r="JDN1520"/>
      <c r="JDO1520"/>
      <c r="JDP1520"/>
      <c r="JDQ1520"/>
      <c r="JDR1520"/>
      <c r="JDS1520"/>
      <c r="JDT1520"/>
      <c r="JDU1520"/>
      <c r="JDV1520"/>
      <c r="JDW1520"/>
      <c r="JDX1520"/>
      <c r="JDY1520"/>
      <c r="JDZ1520"/>
      <c r="JEA1520"/>
      <c r="JEB1520"/>
      <c r="JEC1520"/>
      <c r="JED1520"/>
      <c r="JEE1520"/>
      <c r="JEF1520"/>
      <c r="JEG1520"/>
      <c r="JEH1520"/>
      <c r="JEI1520"/>
      <c r="JEJ1520"/>
      <c r="JEK1520"/>
      <c r="JEL1520"/>
      <c r="JEM1520"/>
      <c r="JEN1520"/>
      <c r="JEO1520"/>
      <c r="JEP1520"/>
      <c r="JEQ1520"/>
      <c r="JER1520"/>
      <c r="JES1520"/>
      <c r="JET1520"/>
      <c r="JEU1520"/>
      <c r="JEV1520"/>
      <c r="JEW1520"/>
      <c r="JEX1520"/>
      <c r="JEY1520"/>
      <c r="JEZ1520"/>
      <c r="JFA1520"/>
      <c r="JFB1520"/>
      <c r="JFC1520"/>
      <c r="JFD1520"/>
      <c r="JFE1520"/>
      <c r="JFF1520"/>
      <c r="JFG1520"/>
      <c r="JFH1520"/>
      <c r="JFI1520"/>
      <c r="JFJ1520"/>
      <c r="JFK1520"/>
      <c r="JFL1520"/>
      <c r="JFM1520"/>
      <c r="JFN1520"/>
      <c r="JFO1520"/>
      <c r="JFP1520"/>
      <c r="JFQ1520"/>
      <c r="JFR1520"/>
      <c r="JFS1520"/>
      <c r="JFT1520"/>
      <c r="JFU1520"/>
      <c r="JFV1520"/>
      <c r="JFW1520"/>
      <c r="JFX1520"/>
      <c r="JFY1520"/>
      <c r="JFZ1520"/>
      <c r="JGA1520"/>
      <c r="JGB1520"/>
      <c r="JGC1520"/>
      <c r="JGD1520"/>
      <c r="JGE1520"/>
      <c r="JGF1520"/>
      <c r="JGG1520"/>
      <c r="JGH1520"/>
      <c r="JGI1520"/>
      <c r="JGJ1520"/>
      <c r="JGK1520"/>
      <c r="JGL1520"/>
      <c r="JGM1520"/>
      <c r="JGN1520"/>
      <c r="JGO1520"/>
      <c r="JGP1520"/>
      <c r="JGQ1520"/>
      <c r="JGR1520"/>
      <c r="JGS1520"/>
      <c r="JGT1520"/>
      <c r="JGU1520"/>
      <c r="JGV1520"/>
      <c r="JGW1520"/>
      <c r="JGX1520"/>
      <c r="JGY1520"/>
      <c r="JGZ1520"/>
      <c r="JHA1520"/>
      <c r="JHB1520"/>
      <c r="JHC1520"/>
      <c r="JHD1520"/>
      <c r="JHE1520"/>
      <c r="JHF1520"/>
      <c r="JHG1520"/>
      <c r="JHH1520"/>
      <c r="JHI1520"/>
      <c r="JHJ1520"/>
      <c r="JHK1520"/>
      <c r="JHL1520"/>
      <c r="JHM1520"/>
      <c r="JHN1520"/>
      <c r="JHO1520"/>
      <c r="JHP1520"/>
      <c r="JHQ1520"/>
      <c r="JHR1520"/>
      <c r="JHS1520"/>
      <c r="JHT1520"/>
      <c r="JHU1520"/>
      <c r="JHV1520"/>
      <c r="JHW1520"/>
      <c r="JHX1520"/>
      <c r="JHY1520"/>
      <c r="JHZ1520"/>
      <c r="JIA1520"/>
      <c r="JIB1520"/>
      <c r="JIC1520"/>
      <c r="JID1520"/>
      <c r="JIE1520"/>
      <c r="JIF1520"/>
      <c r="JIG1520"/>
      <c r="JIH1520"/>
      <c r="JII1520"/>
      <c r="JIJ1520"/>
      <c r="JIK1520"/>
      <c r="JIL1520"/>
      <c r="JIM1520"/>
      <c r="JIN1520"/>
      <c r="JIO1520"/>
      <c r="JIP1520"/>
      <c r="JIQ1520"/>
      <c r="JIR1520"/>
      <c r="JIS1520"/>
      <c r="JIT1520"/>
      <c r="JIU1520"/>
      <c r="JIV1520"/>
      <c r="JIW1520"/>
      <c r="JIX1520"/>
      <c r="JIY1520"/>
      <c r="JIZ1520"/>
      <c r="JJA1520"/>
      <c r="JJB1520"/>
      <c r="JJC1520"/>
      <c r="JJD1520"/>
      <c r="JJE1520"/>
      <c r="JJF1520"/>
      <c r="JJG1520"/>
      <c r="JJH1520"/>
      <c r="JJI1520"/>
      <c r="JJJ1520"/>
      <c r="JJK1520"/>
      <c r="JJL1520"/>
      <c r="JJM1520"/>
      <c r="JJN1520"/>
      <c r="JJO1520"/>
      <c r="JJP1520"/>
      <c r="JJQ1520"/>
      <c r="JJR1520"/>
      <c r="JJS1520"/>
      <c r="JJT1520"/>
      <c r="JJU1520"/>
      <c r="JJV1520"/>
      <c r="JJW1520"/>
      <c r="JJX1520"/>
      <c r="JJY1520"/>
      <c r="JJZ1520"/>
      <c r="JKA1520"/>
      <c r="JKB1520"/>
      <c r="JKC1520"/>
      <c r="JKD1520"/>
      <c r="JKE1520"/>
      <c r="JKF1520"/>
      <c r="JKG1520"/>
      <c r="JKH1520"/>
      <c r="JKI1520"/>
      <c r="JKJ1520"/>
      <c r="JKK1520"/>
      <c r="JKL1520"/>
      <c r="JKM1520"/>
      <c r="JKN1520"/>
      <c r="JKO1520"/>
      <c r="JKP1520"/>
      <c r="JKQ1520"/>
      <c r="JKR1520"/>
      <c r="JKS1520"/>
      <c r="JKT1520"/>
      <c r="JKU1520"/>
      <c r="JKV1520"/>
      <c r="JKW1520"/>
      <c r="JKX1520"/>
      <c r="JKY1520"/>
      <c r="JKZ1520"/>
      <c r="JLA1520"/>
      <c r="JLB1520"/>
      <c r="JLC1520"/>
      <c r="JLD1520"/>
      <c r="JLE1520"/>
      <c r="JLF1520"/>
      <c r="JLG1520"/>
      <c r="JLH1520"/>
      <c r="JLI1520"/>
      <c r="JLJ1520"/>
      <c r="JLK1520"/>
      <c r="JLL1520"/>
      <c r="JLM1520"/>
      <c r="JLN1520"/>
      <c r="JLO1520"/>
      <c r="JLP1520"/>
      <c r="JLQ1520"/>
      <c r="JLR1520"/>
      <c r="JLS1520"/>
      <c r="JLT1520"/>
      <c r="JLU1520"/>
      <c r="JLV1520"/>
      <c r="JLW1520"/>
      <c r="JLX1520"/>
      <c r="JLY1520"/>
      <c r="JLZ1520"/>
      <c r="JMA1520"/>
      <c r="JMB1520"/>
      <c r="JMC1520"/>
      <c r="JMD1520"/>
      <c r="JME1520"/>
      <c r="JMF1520"/>
      <c r="JMG1520"/>
      <c r="JMH1520"/>
      <c r="JMI1520"/>
      <c r="JMJ1520"/>
      <c r="JMK1520"/>
      <c r="JML1520"/>
      <c r="JMM1520"/>
      <c r="JMN1520"/>
      <c r="JMO1520"/>
      <c r="JMP1520"/>
      <c r="JMQ1520"/>
      <c r="JMR1520"/>
      <c r="JMS1520"/>
      <c r="JMT1520"/>
      <c r="JMU1520"/>
      <c r="JMV1520"/>
      <c r="JMW1520"/>
      <c r="JMX1520"/>
      <c r="JMY1520"/>
      <c r="JMZ1520"/>
      <c r="JNA1520"/>
      <c r="JNB1520"/>
      <c r="JNC1520"/>
      <c r="JND1520"/>
      <c r="JNE1520"/>
      <c r="JNF1520"/>
      <c r="JNG1520"/>
      <c r="JNH1520"/>
      <c r="JNI1520"/>
      <c r="JNJ1520"/>
      <c r="JNK1520"/>
      <c r="JNL1520"/>
      <c r="JNM1520"/>
      <c r="JNN1520"/>
      <c r="JNO1520"/>
      <c r="JNP1520"/>
      <c r="JNQ1520"/>
      <c r="JNR1520"/>
      <c r="JNS1520"/>
      <c r="JNT1520"/>
      <c r="JNU1520"/>
      <c r="JNV1520"/>
      <c r="JNW1520"/>
      <c r="JNX1520"/>
      <c r="JNY1520"/>
      <c r="JNZ1520"/>
      <c r="JOA1520"/>
      <c r="JOB1520"/>
      <c r="JOC1520"/>
      <c r="JOD1520"/>
      <c r="JOE1520"/>
      <c r="JOF1520"/>
      <c r="JOG1520"/>
      <c r="JOH1520"/>
      <c r="JOI1520"/>
      <c r="JOJ1520"/>
      <c r="JOK1520"/>
      <c r="JOL1520"/>
      <c r="JOM1520"/>
      <c r="JON1520"/>
      <c r="JOO1520"/>
      <c r="JOP1520"/>
      <c r="JOQ1520"/>
      <c r="JOR1520"/>
      <c r="JOS1520"/>
      <c r="JOT1520"/>
      <c r="JOU1520"/>
      <c r="JOV1520"/>
      <c r="JOW1520"/>
      <c r="JOX1520"/>
      <c r="JOY1520"/>
      <c r="JOZ1520"/>
      <c r="JPA1520"/>
      <c r="JPB1520"/>
      <c r="JPC1520"/>
      <c r="JPD1520"/>
      <c r="JPE1520"/>
      <c r="JPF1520"/>
      <c r="JPG1520"/>
      <c r="JPH1520"/>
      <c r="JPI1520"/>
      <c r="JPJ1520"/>
      <c r="JPK1520"/>
      <c r="JPL1520"/>
      <c r="JPM1520"/>
      <c r="JPN1520"/>
      <c r="JPO1520"/>
      <c r="JPP1520"/>
      <c r="JPQ1520"/>
      <c r="JPR1520"/>
      <c r="JPS1520"/>
      <c r="JPT1520"/>
      <c r="JPU1520"/>
      <c r="JPV1520"/>
      <c r="JPW1520"/>
      <c r="JPX1520"/>
      <c r="JPY1520"/>
      <c r="JPZ1520"/>
      <c r="JQA1520"/>
      <c r="JQB1520"/>
      <c r="JQC1520"/>
      <c r="JQD1520"/>
      <c r="JQE1520"/>
      <c r="JQF1520"/>
      <c r="JQG1520"/>
      <c r="JQH1520"/>
      <c r="JQI1520"/>
      <c r="JQJ1520"/>
      <c r="JQK1520"/>
      <c r="JQL1520"/>
      <c r="JQM1520"/>
      <c r="JQN1520"/>
      <c r="JQO1520"/>
      <c r="JQP1520"/>
      <c r="JQQ1520"/>
      <c r="JQR1520"/>
      <c r="JQS1520"/>
      <c r="JQT1520"/>
      <c r="JQU1520"/>
      <c r="JQV1520"/>
      <c r="JQW1520"/>
      <c r="JQX1520"/>
      <c r="JQY1520"/>
      <c r="JQZ1520"/>
      <c r="JRA1520"/>
      <c r="JRB1520"/>
      <c r="JRC1520"/>
      <c r="JRD1520"/>
      <c r="JRE1520"/>
      <c r="JRF1520"/>
      <c r="JRG1520"/>
      <c r="JRH1520"/>
      <c r="JRI1520"/>
      <c r="JRJ1520"/>
      <c r="JRK1520"/>
      <c r="JRL1520"/>
      <c r="JRM1520"/>
      <c r="JRN1520"/>
      <c r="JRO1520"/>
      <c r="JRP1520"/>
      <c r="JRQ1520"/>
      <c r="JRR1520"/>
      <c r="JRS1520"/>
      <c r="JRT1520"/>
      <c r="JRU1520"/>
      <c r="JRV1520"/>
      <c r="JRW1520"/>
      <c r="JRX1520"/>
      <c r="JRY1520"/>
      <c r="JRZ1520"/>
      <c r="JSA1520"/>
      <c r="JSB1520"/>
      <c r="JSC1520"/>
      <c r="JSD1520"/>
      <c r="JSE1520"/>
      <c r="JSF1520"/>
      <c r="JSG1520"/>
      <c r="JSH1520"/>
      <c r="JSI1520"/>
      <c r="JSJ1520"/>
      <c r="JSK1520"/>
      <c r="JSL1520"/>
      <c r="JSM1520"/>
      <c r="JSN1520"/>
      <c r="JSO1520"/>
      <c r="JSP1520"/>
      <c r="JSQ1520"/>
      <c r="JSR1520"/>
      <c r="JSS1520"/>
      <c r="JST1520"/>
      <c r="JSU1520"/>
      <c r="JSV1520"/>
      <c r="JSW1520"/>
      <c r="JSX1520"/>
      <c r="JSY1520"/>
      <c r="JSZ1520"/>
      <c r="JTA1520"/>
      <c r="JTB1520"/>
      <c r="JTC1520"/>
      <c r="JTD1520"/>
      <c r="JTE1520"/>
      <c r="JTF1520"/>
      <c r="JTG1520"/>
      <c r="JTH1520"/>
      <c r="JTI1520"/>
      <c r="JTJ1520"/>
      <c r="JTK1520"/>
      <c r="JTL1520"/>
      <c r="JTM1520"/>
      <c r="JTN1520"/>
      <c r="JTO1520"/>
      <c r="JTP1520"/>
      <c r="JTQ1520"/>
      <c r="JTR1520"/>
      <c r="JTS1520"/>
      <c r="JTT1520"/>
      <c r="JTU1520"/>
      <c r="JTV1520"/>
      <c r="JTW1520"/>
      <c r="JTX1520"/>
      <c r="JTY1520"/>
      <c r="JTZ1520"/>
      <c r="JUA1520"/>
      <c r="JUB1520"/>
      <c r="JUC1520"/>
      <c r="JUD1520"/>
      <c r="JUE1520"/>
      <c r="JUF1520"/>
      <c r="JUG1520"/>
      <c r="JUH1520"/>
      <c r="JUI1520"/>
      <c r="JUJ1520"/>
      <c r="JUK1520"/>
      <c r="JUL1520"/>
      <c r="JUM1520"/>
      <c r="JUN1520"/>
      <c r="JUO1520"/>
      <c r="JUP1520"/>
      <c r="JUQ1520"/>
      <c r="JUR1520"/>
      <c r="JUS1520"/>
      <c r="JUT1520"/>
      <c r="JUU1520"/>
      <c r="JUV1520"/>
      <c r="JUW1520"/>
      <c r="JUX1520"/>
      <c r="JUY1520"/>
      <c r="JUZ1520"/>
      <c r="JVA1520"/>
      <c r="JVB1520"/>
      <c r="JVC1520"/>
      <c r="JVD1520"/>
      <c r="JVE1520"/>
      <c r="JVF1520"/>
      <c r="JVG1520"/>
      <c r="JVH1520"/>
      <c r="JVI1520"/>
      <c r="JVJ1520"/>
      <c r="JVK1520"/>
      <c r="JVL1520"/>
      <c r="JVM1520"/>
      <c r="JVN1520"/>
      <c r="JVO1520"/>
      <c r="JVP1520"/>
      <c r="JVQ1520"/>
      <c r="JVR1520"/>
      <c r="JVS1520"/>
      <c r="JVT1520"/>
      <c r="JVU1520"/>
      <c r="JVV1520"/>
      <c r="JVW1520"/>
      <c r="JVX1520"/>
      <c r="JVY1520"/>
      <c r="JVZ1520"/>
      <c r="JWA1520"/>
      <c r="JWB1520"/>
      <c r="JWC1520"/>
      <c r="JWD1520"/>
      <c r="JWE1520"/>
      <c r="JWF1520"/>
      <c r="JWG1520"/>
      <c r="JWH1520"/>
      <c r="JWI1520"/>
      <c r="JWJ1520"/>
      <c r="JWK1520"/>
      <c r="JWL1520"/>
      <c r="JWM1520"/>
      <c r="JWN1520"/>
      <c r="JWO1520"/>
      <c r="JWP1520"/>
      <c r="JWQ1520"/>
      <c r="JWR1520"/>
      <c r="JWS1520"/>
      <c r="JWT1520"/>
      <c r="JWU1520"/>
      <c r="JWV1520"/>
      <c r="JWW1520"/>
      <c r="JWX1520"/>
      <c r="JWY1520"/>
      <c r="JWZ1520"/>
      <c r="JXA1520"/>
      <c r="JXB1520"/>
      <c r="JXC1520"/>
      <c r="JXD1520"/>
      <c r="JXE1520"/>
      <c r="JXF1520"/>
      <c r="JXG1520"/>
      <c r="JXH1520"/>
      <c r="JXI1520"/>
      <c r="JXJ1520"/>
      <c r="JXK1520"/>
      <c r="JXL1520"/>
      <c r="JXM1520"/>
      <c r="JXN1520"/>
      <c r="JXO1520"/>
      <c r="JXP1520"/>
      <c r="JXQ1520"/>
      <c r="JXR1520"/>
      <c r="JXS1520"/>
      <c r="JXT1520"/>
      <c r="JXU1520"/>
      <c r="JXV1520"/>
      <c r="JXW1520"/>
      <c r="JXX1520"/>
      <c r="JXY1520"/>
      <c r="JXZ1520"/>
      <c r="JYA1520"/>
      <c r="JYB1520"/>
      <c r="JYC1520"/>
      <c r="JYD1520"/>
      <c r="JYE1520"/>
      <c r="JYF1520"/>
      <c r="JYG1520"/>
      <c r="JYH1520"/>
      <c r="JYI1520"/>
      <c r="JYJ1520"/>
      <c r="JYK1520"/>
      <c r="JYL1520"/>
      <c r="JYM1520"/>
      <c r="JYN1520"/>
      <c r="JYO1520"/>
      <c r="JYP1520"/>
      <c r="JYQ1520"/>
      <c r="JYR1520"/>
      <c r="JYS1520"/>
      <c r="JYT1520"/>
      <c r="JYU1520"/>
      <c r="JYV1520"/>
      <c r="JYW1520"/>
      <c r="JYX1520"/>
      <c r="JYY1520"/>
      <c r="JYZ1520"/>
      <c r="JZA1520"/>
      <c r="JZB1520"/>
      <c r="JZC1520"/>
      <c r="JZD1520"/>
      <c r="JZE1520"/>
      <c r="JZF1520"/>
      <c r="JZG1520"/>
      <c r="JZH1520"/>
      <c r="JZI1520"/>
      <c r="JZJ1520"/>
      <c r="JZK1520"/>
      <c r="JZL1520"/>
      <c r="JZM1520"/>
      <c r="JZN1520"/>
      <c r="JZO1520"/>
      <c r="JZP1520"/>
      <c r="JZQ1520"/>
      <c r="JZR1520"/>
      <c r="JZS1520"/>
      <c r="JZT1520"/>
      <c r="JZU1520"/>
      <c r="JZV1520"/>
      <c r="JZW1520"/>
      <c r="JZX1520"/>
      <c r="JZY1520"/>
      <c r="JZZ1520"/>
      <c r="KAA1520"/>
      <c r="KAB1520"/>
      <c r="KAC1520"/>
      <c r="KAD1520"/>
      <c r="KAE1520"/>
      <c r="KAF1520"/>
      <c r="KAG1520"/>
      <c r="KAH1520"/>
      <c r="KAI1520"/>
      <c r="KAJ1520"/>
      <c r="KAK1520"/>
      <c r="KAL1520"/>
      <c r="KAM1520"/>
      <c r="KAN1520"/>
      <c r="KAO1520"/>
      <c r="KAP1520"/>
      <c r="KAQ1520"/>
      <c r="KAR1520"/>
      <c r="KAS1520"/>
      <c r="KAT1520"/>
      <c r="KAU1520"/>
      <c r="KAV1520"/>
      <c r="KAW1520"/>
      <c r="KAX1520"/>
      <c r="KAY1520"/>
      <c r="KAZ1520"/>
      <c r="KBA1520"/>
      <c r="KBB1520"/>
      <c r="KBC1520"/>
      <c r="KBD1520"/>
      <c r="KBE1520"/>
      <c r="KBF1520"/>
      <c r="KBG1520"/>
      <c r="KBH1520"/>
      <c r="KBI1520"/>
      <c r="KBJ1520"/>
      <c r="KBK1520"/>
      <c r="KBL1520"/>
      <c r="KBM1520"/>
      <c r="KBN1520"/>
      <c r="KBO1520"/>
      <c r="KBP1520"/>
      <c r="KBQ1520"/>
      <c r="KBR1520"/>
      <c r="KBS1520"/>
      <c r="KBT1520"/>
      <c r="KBU1520"/>
      <c r="KBV1520"/>
      <c r="KBW1520"/>
      <c r="KBX1520"/>
      <c r="KBY1520"/>
      <c r="KBZ1520"/>
      <c r="KCA1520"/>
      <c r="KCB1520"/>
      <c r="KCC1520"/>
      <c r="KCD1520"/>
      <c r="KCE1520"/>
      <c r="KCF1520"/>
      <c r="KCG1520"/>
      <c r="KCH1520"/>
      <c r="KCI1520"/>
      <c r="KCJ1520"/>
      <c r="KCK1520"/>
      <c r="KCL1520"/>
      <c r="KCM1520"/>
      <c r="KCN1520"/>
      <c r="KCO1520"/>
      <c r="KCP1520"/>
      <c r="KCQ1520"/>
      <c r="KCR1520"/>
      <c r="KCS1520"/>
      <c r="KCT1520"/>
      <c r="KCU1520"/>
      <c r="KCV1520"/>
      <c r="KCW1520"/>
      <c r="KCX1520"/>
      <c r="KCY1520"/>
      <c r="KCZ1520"/>
      <c r="KDA1520"/>
      <c r="KDB1520"/>
      <c r="KDC1520"/>
      <c r="KDD1520"/>
      <c r="KDE1520"/>
      <c r="KDF1520"/>
      <c r="KDG1520"/>
      <c r="KDH1520"/>
      <c r="KDI1520"/>
      <c r="KDJ1520"/>
      <c r="KDK1520"/>
      <c r="KDL1520"/>
      <c r="KDM1520"/>
      <c r="KDN1520"/>
      <c r="KDO1520"/>
      <c r="KDP1520"/>
      <c r="KDQ1520"/>
      <c r="KDR1520"/>
      <c r="KDS1520"/>
      <c r="KDT1520"/>
      <c r="KDU1520"/>
      <c r="KDV1520"/>
      <c r="KDW1520"/>
      <c r="KDX1520"/>
      <c r="KDY1520"/>
      <c r="KDZ1520"/>
      <c r="KEA1520"/>
      <c r="KEB1520"/>
      <c r="KEC1520"/>
      <c r="KED1520"/>
      <c r="KEE1520"/>
      <c r="KEF1520"/>
      <c r="KEG1520"/>
      <c r="KEH1520"/>
      <c r="KEI1520"/>
      <c r="KEJ1520"/>
      <c r="KEK1520"/>
      <c r="KEL1520"/>
      <c r="KEM1520"/>
      <c r="KEN1520"/>
      <c r="KEO1520"/>
      <c r="KEP1520"/>
      <c r="KEQ1520"/>
      <c r="KER1520"/>
      <c r="KES1520"/>
      <c r="KET1520"/>
      <c r="KEU1520"/>
      <c r="KEV1520"/>
      <c r="KEW1520"/>
      <c r="KEX1520"/>
      <c r="KEY1520"/>
      <c r="KEZ1520"/>
      <c r="KFA1520"/>
      <c r="KFB1520"/>
      <c r="KFC1520"/>
      <c r="KFD1520"/>
      <c r="KFE1520"/>
      <c r="KFF1520"/>
      <c r="KFG1520"/>
      <c r="KFH1520"/>
      <c r="KFI1520"/>
      <c r="KFJ1520"/>
      <c r="KFK1520"/>
      <c r="KFL1520"/>
      <c r="KFM1520"/>
      <c r="KFN1520"/>
      <c r="KFO1520"/>
      <c r="KFP1520"/>
      <c r="KFQ1520"/>
      <c r="KFR1520"/>
      <c r="KFS1520"/>
      <c r="KFT1520"/>
      <c r="KFU1520"/>
      <c r="KFV1520"/>
      <c r="KFW1520"/>
      <c r="KFX1520"/>
      <c r="KFY1520"/>
      <c r="KFZ1520"/>
      <c r="KGA1520"/>
      <c r="KGB1520"/>
      <c r="KGC1520"/>
      <c r="KGD1520"/>
      <c r="KGE1520"/>
      <c r="KGF1520"/>
      <c r="KGG1520"/>
      <c r="KGH1520"/>
      <c r="KGI1520"/>
      <c r="KGJ1520"/>
      <c r="KGK1520"/>
      <c r="KGL1520"/>
      <c r="KGM1520"/>
      <c r="KGN1520"/>
      <c r="KGO1520"/>
      <c r="KGP1520"/>
      <c r="KGQ1520"/>
      <c r="KGR1520"/>
      <c r="KGS1520"/>
      <c r="KGT1520"/>
      <c r="KGU1520"/>
      <c r="KGV1520"/>
      <c r="KGW1520"/>
      <c r="KGX1520"/>
      <c r="KGY1520"/>
      <c r="KGZ1520"/>
      <c r="KHA1520"/>
      <c r="KHB1520"/>
      <c r="KHC1520"/>
      <c r="KHD1520"/>
      <c r="KHE1520"/>
      <c r="KHF1520"/>
      <c r="KHG1520"/>
      <c r="KHH1520"/>
      <c r="KHI1520"/>
      <c r="KHJ1520"/>
      <c r="KHK1520"/>
      <c r="KHL1520"/>
      <c r="KHM1520"/>
      <c r="KHN1520"/>
      <c r="KHO1520"/>
      <c r="KHP1520"/>
      <c r="KHQ1520"/>
      <c r="KHR1520"/>
      <c r="KHS1520"/>
      <c r="KHT1520"/>
      <c r="KHU1520"/>
      <c r="KHV1520"/>
      <c r="KHW1520"/>
      <c r="KHX1520"/>
      <c r="KHY1520"/>
      <c r="KHZ1520"/>
      <c r="KIA1520"/>
      <c r="KIB1520"/>
      <c r="KIC1520"/>
      <c r="KID1520"/>
      <c r="KIE1520"/>
      <c r="KIF1520"/>
      <c r="KIG1520"/>
      <c r="KIH1520"/>
      <c r="KII1520"/>
      <c r="KIJ1520"/>
      <c r="KIK1520"/>
      <c r="KIL1520"/>
      <c r="KIM1520"/>
      <c r="KIN1520"/>
      <c r="KIO1520"/>
      <c r="KIP1520"/>
      <c r="KIQ1520"/>
      <c r="KIR1520"/>
      <c r="KIS1520"/>
      <c r="KIT1520"/>
      <c r="KIU1520"/>
      <c r="KIV1520"/>
      <c r="KIW1520"/>
      <c r="KIX1520"/>
      <c r="KIY1520"/>
      <c r="KIZ1520"/>
      <c r="KJA1520"/>
      <c r="KJB1520"/>
      <c r="KJC1520"/>
      <c r="KJD1520"/>
      <c r="KJE1520"/>
      <c r="KJF1520"/>
      <c r="KJG1520"/>
      <c r="KJH1520"/>
      <c r="KJI1520"/>
      <c r="KJJ1520"/>
      <c r="KJK1520"/>
      <c r="KJL1520"/>
      <c r="KJM1520"/>
      <c r="KJN1520"/>
      <c r="KJO1520"/>
      <c r="KJP1520"/>
      <c r="KJQ1520"/>
      <c r="KJR1520"/>
      <c r="KJS1520"/>
      <c r="KJT1520"/>
      <c r="KJU1520"/>
      <c r="KJV1520"/>
      <c r="KJW1520"/>
      <c r="KJX1520"/>
      <c r="KJY1520"/>
      <c r="KJZ1520"/>
      <c r="KKA1520"/>
      <c r="KKB1520"/>
      <c r="KKC1520"/>
      <c r="KKD1520"/>
      <c r="KKE1520"/>
      <c r="KKF1520"/>
      <c r="KKG1520"/>
      <c r="KKH1520"/>
      <c r="KKI1520"/>
      <c r="KKJ1520"/>
      <c r="KKK1520"/>
      <c r="KKL1520"/>
      <c r="KKM1520"/>
      <c r="KKN1520"/>
      <c r="KKO1520"/>
      <c r="KKP1520"/>
      <c r="KKQ1520"/>
      <c r="KKR1520"/>
      <c r="KKS1520"/>
      <c r="KKT1520"/>
      <c r="KKU1520"/>
      <c r="KKV1520"/>
      <c r="KKW1520"/>
      <c r="KKX1520"/>
      <c r="KKY1520"/>
      <c r="KKZ1520"/>
      <c r="KLA1520"/>
      <c r="KLB1520"/>
      <c r="KLC1520"/>
      <c r="KLD1520"/>
      <c r="KLE1520"/>
      <c r="KLF1520"/>
      <c r="KLG1520"/>
      <c r="KLH1520"/>
      <c r="KLI1520"/>
      <c r="KLJ1520"/>
      <c r="KLK1520"/>
      <c r="KLL1520"/>
      <c r="KLM1520"/>
      <c r="KLN1520"/>
      <c r="KLO1520"/>
      <c r="KLP1520"/>
      <c r="KLQ1520"/>
      <c r="KLR1520"/>
      <c r="KLS1520"/>
      <c r="KLT1520"/>
      <c r="KLU1520"/>
      <c r="KLV1520"/>
      <c r="KLW1520"/>
      <c r="KLX1520"/>
      <c r="KLY1520"/>
      <c r="KLZ1520"/>
      <c r="KMA1520"/>
      <c r="KMB1520"/>
      <c r="KMC1520"/>
      <c r="KMD1520"/>
      <c r="KME1520"/>
      <c r="KMF1520"/>
      <c r="KMG1520"/>
      <c r="KMH1520"/>
      <c r="KMI1520"/>
      <c r="KMJ1520"/>
      <c r="KMK1520"/>
      <c r="KML1520"/>
      <c r="KMM1520"/>
      <c r="KMN1520"/>
      <c r="KMO1520"/>
      <c r="KMP1520"/>
      <c r="KMQ1520"/>
      <c r="KMR1520"/>
      <c r="KMS1520"/>
      <c r="KMT1520"/>
      <c r="KMU1520"/>
      <c r="KMV1520"/>
      <c r="KMW1520"/>
      <c r="KMX1520"/>
      <c r="KMY1520"/>
      <c r="KMZ1520"/>
      <c r="KNA1520"/>
      <c r="KNB1520"/>
      <c r="KNC1520"/>
      <c r="KND1520"/>
      <c r="KNE1520"/>
      <c r="KNF1520"/>
      <c r="KNG1520"/>
      <c r="KNH1520"/>
      <c r="KNI1520"/>
      <c r="KNJ1520"/>
      <c r="KNK1520"/>
      <c r="KNL1520"/>
      <c r="KNM1520"/>
      <c r="KNN1520"/>
      <c r="KNO1520"/>
      <c r="KNP1520"/>
      <c r="KNQ1520"/>
      <c r="KNR1520"/>
      <c r="KNS1520"/>
      <c r="KNT1520"/>
      <c r="KNU1520"/>
      <c r="KNV1520"/>
      <c r="KNW1520"/>
      <c r="KNX1520"/>
      <c r="KNY1520"/>
      <c r="KNZ1520"/>
      <c r="KOA1520"/>
      <c r="KOB1520"/>
      <c r="KOC1520"/>
      <c r="KOD1520"/>
      <c r="KOE1520"/>
      <c r="KOF1520"/>
      <c r="KOG1520"/>
      <c r="KOH1520"/>
      <c r="KOI1520"/>
      <c r="KOJ1520"/>
      <c r="KOK1520"/>
      <c r="KOL1520"/>
      <c r="KOM1520"/>
      <c r="KON1520"/>
      <c r="KOO1520"/>
      <c r="KOP1520"/>
      <c r="KOQ1520"/>
      <c r="KOR1520"/>
      <c r="KOS1520"/>
      <c r="KOT1520"/>
      <c r="KOU1520"/>
      <c r="KOV1520"/>
      <c r="KOW1520"/>
      <c r="KOX1520"/>
      <c r="KOY1520"/>
      <c r="KOZ1520"/>
      <c r="KPA1520"/>
      <c r="KPB1520"/>
      <c r="KPC1520"/>
      <c r="KPD1520"/>
      <c r="KPE1520"/>
      <c r="KPF1520"/>
      <c r="KPG1520"/>
      <c r="KPH1520"/>
      <c r="KPI1520"/>
      <c r="KPJ1520"/>
      <c r="KPK1520"/>
      <c r="KPL1520"/>
      <c r="KPM1520"/>
      <c r="KPN1520"/>
      <c r="KPO1520"/>
      <c r="KPP1520"/>
      <c r="KPQ1520"/>
      <c r="KPR1520"/>
      <c r="KPS1520"/>
      <c r="KPT1520"/>
      <c r="KPU1520"/>
      <c r="KPV1520"/>
      <c r="KPW1520"/>
      <c r="KPX1520"/>
      <c r="KPY1520"/>
      <c r="KPZ1520"/>
      <c r="KQA1520"/>
      <c r="KQB1520"/>
      <c r="KQC1520"/>
      <c r="KQD1520"/>
      <c r="KQE1520"/>
      <c r="KQF1520"/>
      <c r="KQG1520"/>
      <c r="KQH1520"/>
      <c r="KQI1520"/>
      <c r="KQJ1520"/>
      <c r="KQK1520"/>
      <c r="KQL1520"/>
      <c r="KQM1520"/>
      <c r="KQN1520"/>
      <c r="KQO1520"/>
      <c r="KQP1520"/>
      <c r="KQQ1520"/>
      <c r="KQR1520"/>
      <c r="KQS1520"/>
      <c r="KQT1520"/>
      <c r="KQU1520"/>
      <c r="KQV1520"/>
      <c r="KQW1520"/>
      <c r="KQX1520"/>
      <c r="KQY1520"/>
      <c r="KQZ1520"/>
      <c r="KRA1520"/>
      <c r="KRB1520"/>
      <c r="KRC1520"/>
      <c r="KRD1520"/>
      <c r="KRE1520"/>
      <c r="KRF1520"/>
      <c r="KRG1520"/>
      <c r="KRH1520"/>
      <c r="KRI1520"/>
      <c r="KRJ1520"/>
      <c r="KRK1520"/>
      <c r="KRL1520"/>
      <c r="KRM1520"/>
      <c r="KRN1520"/>
      <c r="KRO1520"/>
      <c r="KRP1520"/>
      <c r="KRQ1520"/>
      <c r="KRR1520"/>
      <c r="KRS1520"/>
      <c r="KRT1520"/>
      <c r="KRU1520"/>
      <c r="KRV1520"/>
      <c r="KRW1520"/>
      <c r="KRX1520"/>
      <c r="KRY1520"/>
      <c r="KRZ1520"/>
      <c r="KSA1520"/>
      <c r="KSB1520"/>
      <c r="KSC1520"/>
      <c r="KSD1520"/>
      <c r="KSE1520"/>
      <c r="KSF1520"/>
      <c r="KSG1520"/>
      <c r="KSH1520"/>
      <c r="KSI1520"/>
      <c r="KSJ1520"/>
      <c r="KSK1520"/>
      <c r="KSL1520"/>
      <c r="KSM1520"/>
      <c r="KSN1520"/>
      <c r="KSO1520"/>
      <c r="KSP1520"/>
      <c r="KSQ1520"/>
      <c r="KSR1520"/>
      <c r="KSS1520"/>
      <c r="KST1520"/>
      <c r="KSU1520"/>
      <c r="KSV1520"/>
      <c r="KSW1520"/>
      <c r="KSX1520"/>
      <c r="KSY1520"/>
      <c r="KSZ1520"/>
      <c r="KTA1520"/>
      <c r="KTB1520"/>
      <c r="KTC1520"/>
      <c r="KTD1520"/>
      <c r="KTE1520"/>
      <c r="KTF1520"/>
      <c r="KTG1520"/>
      <c r="KTH1520"/>
      <c r="KTI1520"/>
      <c r="KTJ1520"/>
      <c r="KTK1520"/>
      <c r="KTL1520"/>
      <c r="KTM1520"/>
      <c r="KTN1520"/>
      <c r="KTO1520"/>
      <c r="KTP1520"/>
      <c r="KTQ1520"/>
      <c r="KTR1520"/>
      <c r="KTS1520"/>
      <c r="KTT1520"/>
      <c r="KTU1520"/>
      <c r="KTV1520"/>
      <c r="KTW1520"/>
      <c r="KTX1520"/>
      <c r="KTY1520"/>
      <c r="KTZ1520"/>
      <c r="KUA1520"/>
      <c r="KUB1520"/>
      <c r="KUC1520"/>
      <c r="KUD1520"/>
      <c r="KUE1520"/>
      <c r="KUF1520"/>
      <c r="KUG1520"/>
      <c r="KUH1520"/>
      <c r="KUI1520"/>
      <c r="KUJ1520"/>
      <c r="KUK1520"/>
      <c r="KUL1520"/>
      <c r="KUM1520"/>
      <c r="KUN1520"/>
      <c r="KUO1520"/>
      <c r="KUP1520"/>
      <c r="KUQ1520"/>
      <c r="KUR1520"/>
      <c r="KUS1520"/>
      <c r="KUT1520"/>
      <c r="KUU1520"/>
      <c r="KUV1520"/>
      <c r="KUW1520"/>
      <c r="KUX1520"/>
      <c r="KUY1520"/>
      <c r="KUZ1520"/>
      <c r="KVA1520"/>
      <c r="KVB1520"/>
      <c r="KVC1520"/>
      <c r="KVD1520"/>
      <c r="KVE1520"/>
      <c r="KVF1520"/>
      <c r="KVG1520"/>
      <c r="KVH1520"/>
      <c r="KVI1520"/>
      <c r="KVJ1520"/>
      <c r="KVK1520"/>
      <c r="KVL1520"/>
      <c r="KVM1520"/>
      <c r="KVN1520"/>
      <c r="KVO1520"/>
      <c r="KVP1520"/>
      <c r="KVQ1520"/>
      <c r="KVR1520"/>
      <c r="KVS1520"/>
      <c r="KVT1520"/>
      <c r="KVU1520"/>
      <c r="KVV1520"/>
      <c r="KVW1520"/>
      <c r="KVX1520"/>
      <c r="KVY1520"/>
      <c r="KVZ1520"/>
      <c r="KWA1520"/>
      <c r="KWB1520"/>
      <c r="KWC1520"/>
      <c r="KWD1520"/>
      <c r="KWE1520"/>
      <c r="KWF1520"/>
      <c r="KWG1520"/>
      <c r="KWH1520"/>
      <c r="KWI1520"/>
      <c r="KWJ1520"/>
      <c r="KWK1520"/>
      <c r="KWL1520"/>
      <c r="KWM1520"/>
      <c r="KWN1520"/>
      <c r="KWO1520"/>
      <c r="KWP1520"/>
      <c r="KWQ1520"/>
      <c r="KWR1520"/>
      <c r="KWS1520"/>
      <c r="KWT1520"/>
      <c r="KWU1520"/>
      <c r="KWV1520"/>
      <c r="KWW1520"/>
      <c r="KWX1520"/>
      <c r="KWY1520"/>
      <c r="KWZ1520"/>
      <c r="KXA1520"/>
      <c r="KXB1520"/>
      <c r="KXC1520"/>
      <c r="KXD1520"/>
      <c r="KXE1520"/>
      <c r="KXF1520"/>
      <c r="KXG1520"/>
      <c r="KXH1520"/>
      <c r="KXI1520"/>
      <c r="KXJ1520"/>
      <c r="KXK1520"/>
      <c r="KXL1520"/>
      <c r="KXM1520"/>
      <c r="KXN1520"/>
      <c r="KXO1520"/>
      <c r="KXP1520"/>
      <c r="KXQ1520"/>
      <c r="KXR1520"/>
      <c r="KXS1520"/>
      <c r="KXT1520"/>
      <c r="KXU1520"/>
      <c r="KXV1520"/>
      <c r="KXW1520"/>
      <c r="KXX1520"/>
      <c r="KXY1520"/>
      <c r="KXZ1520"/>
      <c r="KYA1520"/>
      <c r="KYB1520"/>
      <c r="KYC1520"/>
      <c r="KYD1520"/>
      <c r="KYE1520"/>
      <c r="KYF1520"/>
      <c r="KYG1520"/>
      <c r="KYH1520"/>
      <c r="KYI1520"/>
      <c r="KYJ1520"/>
      <c r="KYK1520"/>
      <c r="KYL1520"/>
      <c r="KYM1520"/>
      <c r="KYN1520"/>
      <c r="KYO1520"/>
      <c r="KYP1520"/>
      <c r="KYQ1520"/>
      <c r="KYR1520"/>
      <c r="KYS1520"/>
      <c r="KYT1520"/>
      <c r="KYU1520"/>
      <c r="KYV1520"/>
      <c r="KYW1520"/>
      <c r="KYX1520"/>
      <c r="KYY1520"/>
      <c r="KYZ1520"/>
      <c r="KZA1520"/>
      <c r="KZB1520"/>
      <c r="KZC1520"/>
      <c r="KZD1520"/>
      <c r="KZE1520"/>
      <c r="KZF1520"/>
      <c r="KZG1520"/>
      <c r="KZH1520"/>
      <c r="KZI1520"/>
      <c r="KZJ1520"/>
      <c r="KZK1520"/>
      <c r="KZL1520"/>
      <c r="KZM1520"/>
      <c r="KZN1520"/>
      <c r="KZO1520"/>
      <c r="KZP1520"/>
      <c r="KZQ1520"/>
      <c r="KZR1520"/>
      <c r="KZS1520"/>
      <c r="KZT1520"/>
      <c r="KZU1520"/>
      <c r="KZV1520"/>
      <c r="KZW1520"/>
      <c r="KZX1520"/>
      <c r="KZY1520"/>
      <c r="KZZ1520"/>
      <c r="LAA1520"/>
      <c r="LAB1520"/>
      <c r="LAC1520"/>
      <c r="LAD1520"/>
      <c r="LAE1520"/>
      <c r="LAF1520"/>
      <c r="LAG1520"/>
      <c r="LAH1520"/>
      <c r="LAI1520"/>
      <c r="LAJ1520"/>
      <c r="LAK1520"/>
      <c r="LAL1520"/>
      <c r="LAM1520"/>
      <c r="LAN1520"/>
      <c r="LAO1520"/>
      <c r="LAP1520"/>
      <c r="LAQ1520"/>
      <c r="LAR1520"/>
      <c r="LAS1520"/>
      <c r="LAT1520"/>
      <c r="LAU1520"/>
      <c r="LAV1520"/>
      <c r="LAW1520"/>
      <c r="LAX1520"/>
      <c r="LAY1520"/>
      <c r="LAZ1520"/>
      <c r="LBA1520"/>
      <c r="LBB1520"/>
      <c r="LBC1520"/>
      <c r="LBD1520"/>
      <c r="LBE1520"/>
      <c r="LBF1520"/>
      <c r="LBG1520"/>
      <c r="LBH1520"/>
      <c r="LBI1520"/>
      <c r="LBJ1520"/>
      <c r="LBK1520"/>
      <c r="LBL1520"/>
      <c r="LBM1520"/>
      <c r="LBN1520"/>
      <c r="LBO1520"/>
      <c r="LBP1520"/>
      <c r="LBQ1520"/>
      <c r="LBR1520"/>
      <c r="LBS1520"/>
      <c r="LBT1520"/>
      <c r="LBU1520"/>
      <c r="LBV1520"/>
      <c r="LBW1520"/>
      <c r="LBX1520"/>
      <c r="LBY1520"/>
      <c r="LBZ1520"/>
      <c r="LCA1520"/>
      <c r="LCB1520"/>
      <c r="LCC1520"/>
      <c r="LCD1520"/>
      <c r="LCE1520"/>
      <c r="LCF1520"/>
      <c r="LCG1520"/>
      <c r="LCH1520"/>
      <c r="LCI1520"/>
      <c r="LCJ1520"/>
      <c r="LCK1520"/>
      <c r="LCL1520"/>
      <c r="LCM1520"/>
      <c r="LCN1520"/>
      <c r="LCO1520"/>
      <c r="LCP1520"/>
      <c r="LCQ1520"/>
      <c r="LCR1520"/>
      <c r="LCS1520"/>
      <c r="LCT1520"/>
      <c r="LCU1520"/>
      <c r="LCV1520"/>
      <c r="LCW1520"/>
      <c r="LCX1520"/>
      <c r="LCY1520"/>
      <c r="LCZ1520"/>
      <c r="LDA1520"/>
      <c r="LDB1520"/>
      <c r="LDC1520"/>
      <c r="LDD1520"/>
      <c r="LDE1520"/>
      <c r="LDF1520"/>
      <c r="LDG1520"/>
      <c r="LDH1520"/>
      <c r="LDI1520"/>
      <c r="LDJ1520"/>
      <c r="LDK1520"/>
      <c r="LDL1520"/>
      <c r="LDM1520"/>
      <c r="LDN1520"/>
      <c r="LDO1520"/>
      <c r="LDP1520"/>
      <c r="LDQ1520"/>
      <c r="LDR1520"/>
      <c r="LDS1520"/>
      <c r="LDT1520"/>
      <c r="LDU1520"/>
      <c r="LDV1520"/>
      <c r="LDW1520"/>
      <c r="LDX1520"/>
      <c r="LDY1520"/>
      <c r="LDZ1520"/>
      <c r="LEA1520"/>
      <c r="LEB1520"/>
      <c r="LEC1520"/>
      <c r="LED1520"/>
      <c r="LEE1520"/>
      <c r="LEF1520"/>
      <c r="LEG1520"/>
      <c r="LEH1520"/>
      <c r="LEI1520"/>
      <c r="LEJ1520"/>
      <c r="LEK1520"/>
      <c r="LEL1520"/>
      <c r="LEM1520"/>
      <c r="LEN1520"/>
      <c r="LEO1520"/>
      <c r="LEP1520"/>
      <c r="LEQ1520"/>
      <c r="LER1520"/>
      <c r="LES1520"/>
      <c r="LET1520"/>
      <c r="LEU1520"/>
      <c r="LEV1520"/>
      <c r="LEW1520"/>
      <c r="LEX1520"/>
      <c r="LEY1520"/>
      <c r="LEZ1520"/>
      <c r="LFA1520"/>
      <c r="LFB1520"/>
      <c r="LFC1520"/>
      <c r="LFD1520"/>
      <c r="LFE1520"/>
      <c r="LFF1520"/>
      <c r="LFG1520"/>
      <c r="LFH1520"/>
      <c r="LFI1520"/>
      <c r="LFJ1520"/>
      <c r="LFK1520"/>
      <c r="LFL1520"/>
      <c r="LFM1520"/>
      <c r="LFN1520"/>
      <c r="LFO1520"/>
      <c r="LFP1520"/>
      <c r="LFQ1520"/>
      <c r="LFR1520"/>
      <c r="LFS1520"/>
      <c r="LFT1520"/>
      <c r="LFU1520"/>
      <c r="LFV1520"/>
      <c r="LFW1520"/>
      <c r="LFX1520"/>
      <c r="LFY1520"/>
      <c r="LFZ1520"/>
      <c r="LGA1520"/>
      <c r="LGB1520"/>
      <c r="LGC1520"/>
      <c r="LGD1520"/>
      <c r="LGE1520"/>
      <c r="LGF1520"/>
      <c r="LGG1520"/>
      <c r="LGH1520"/>
      <c r="LGI1520"/>
      <c r="LGJ1520"/>
      <c r="LGK1520"/>
      <c r="LGL1520"/>
      <c r="LGM1520"/>
      <c r="LGN1520"/>
      <c r="LGO1520"/>
      <c r="LGP1520"/>
      <c r="LGQ1520"/>
      <c r="LGR1520"/>
      <c r="LGS1520"/>
      <c r="LGT1520"/>
      <c r="LGU1520"/>
      <c r="LGV1520"/>
      <c r="LGW1520"/>
      <c r="LGX1520"/>
      <c r="LGY1520"/>
      <c r="LGZ1520"/>
      <c r="LHA1520"/>
      <c r="LHB1520"/>
      <c r="LHC1520"/>
      <c r="LHD1520"/>
      <c r="LHE1520"/>
      <c r="LHF1520"/>
      <c r="LHG1520"/>
      <c r="LHH1520"/>
      <c r="LHI1520"/>
      <c r="LHJ1520"/>
      <c r="LHK1520"/>
      <c r="LHL1520"/>
      <c r="LHM1520"/>
      <c r="LHN1520"/>
      <c r="LHO1520"/>
      <c r="LHP1520"/>
      <c r="LHQ1520"/>
      <c r="LHR1520"/>
      <c r="LHS1520"/>
      <c r="LHT1520"/>
      <c r="LHU1520"/>
      <c r="LHV1520"/>
      <c r="LHW1520"/>
      <c r="LHX1520"/>
      <c r="LHY1520"/>
      <c r="LHZ1520"/>
      <c r="LIA1520"/>
      <c r="LIB1520"/>
      <c r="LIC1520"/>
      <c r="LID1520"/>
      <c r="LIE1520"/>
      <c r="LIF1520"/>
      <c r="LIG1520"/>
      <c r="LIH1520"/>
      <c r="LII1520"/>
      <c r="LIJ1520"/>
      <c r="LIK1520"/>
      <c r="LIL1520"/>
      <c r="LIM1520"/>
      <c r="LIN1520"/>
      <c r="LIO1520"/>
      <c r="LIP1520"/>
      <c r="LIQ1520"/>
      <c r="LIR1520"/>
      <c r="LIS1520"/>
      <c r="LIT1520"/>
      <c r="LIU1520"/>
      <c r="LIV1520"/>
      <c r="LIW1520"/>
      <c r="LIX1520"/>
      <c r="LIY1520"/>
      <c r="LIZ1520"/>
      <c r="LJA1520"/>
      <c r="LJB1520"/>
      <c r="LJC1520"/>
      <c r="LJD1520"/>
      <c r="LJE1520"/>
      <c r="LJF1520"/>
      <c r="LJG1520"/>
      <c r="LJH1520"/>
      <c r="LJI1520"/>
      <c r="LJJ1520"/>
      <c r="LJK1520"/>
      <c r="LJL1520"/>
      <c r="LJM1520"/>
      <c r="LJN1520"/>
      <c r="LJO1520"/>
      <c r="LJP1520"/>
      <c r="LJQ1520"/>
      <c r="LJR1520"/>
      <c r="LJS1520"/>
      <c r="LJT1520"/>
      <c r="LJU1520"/>
      <c r="LJV1520"/>
      <c r="LJW1520"/>
      <c r="LJX1520"/>
      <c r="LJY1520"/>
      <c r="LJZ1520"/>
      <c r="LKA1520"/>
      <c r="LKB1520"/>
      <c r="LKC1520"/>
      <c r="LKD1520"/>
      <c r="LKE1520"/>
      <c r="LKF1520"/>
      <c r="LKG1520"/>
      <c r="LKH1520"/>
      <c r="LKI1520"/>
      <c r="LKJ1520"/>
      <c r="LKK1520"/>
      <c r="LKL1520"/>
      <c r="LKM1520"/>
      <c r="LKN1520"/>
      <c r="LKO1520"/>
      <c r="LKP1520"/>
      <c r="LKQ1520"/>
      <c r="LKR1520"/>
      <c r="LKS1520"/>
      <c r="LKT1520"/>
      <c r="LKU1520"/>
      <c r="LKV1520"/>
      <c r="LKW1520"/>
      <c r="LKX1520"/>
      <c r="LKY1520"/>
      <c r="LKZ1520"/>
      <c r="LLA1520"/>
      <c r="LLB1520"/>
      <c r="LLC1520"/>
      <c r="LLD1520"/>
      <c r="LLE1520"/>
      <c r="LLF1520"/>
      <c r="LLG1520"/>
      <c r="LLH1520"/>
      <c r="LLI1520"/>
      <c r="LLJ1520"/>
      <c r="LLK1520"/>
      <c r="LLL1520"/>
      <c r="LLM1520"/>
      <c r="LLN1520"/>
      <c r="LLO1520"/>
      <c r="LLP1520"/>
      <c r="LLQ1520"/>
      <c r="LLR1520"/>
      <c r="LLS1520"/>
      <c r="LLT1520"/>
      <c r="LLU1520"/>
      <c r="LLV1520"/>
      <c r="LLW1520"/>
      <c r="LLX1520"/>
      <c r="LLY1520"/>
      <c r="LLZ1520"/>
      <c r="LMA1520"/>
      <c r="LMB1520"/>
      <c r="LMC1520"/>
      <c r="LMD1520"/>
      <c r="LME1520"/>
      <c r="LMF1520"/>
      <c r="LMG1520"/>
      <c r="LMH1520"/>
      <c r="LMI1520"/>
      <c r="LMJ1520"/>
      <c r="LMK1520"/>
      <c r="LML1520"/>
      <c r="LMM1520"/>
      <c r="LMN1520"/>
      <c r="LMO1520"/>
      <c r="LMP1520"/>
      <c r="LMQ1520"/>
      <c r="LMR1520"/>
      <c r="LMS1520"/>
      <c r="LMT1520"/>
      <c r="LMU1520"/>
      <c r="LMV1520"/>
      <c r="LMW1520"/>
      <c r="LMX1520"/>
      <c r="LMY1520"/>
      <c r="LMZ1520"/>
      <c r="LNA1520"/>
      <c r="LNB1520"/>
      <c r="LNC1520"/>
      <c r="LND1520"/>
      <c r="LNE1520"/>
      <c r="LNF1520"/>
      <c r="LNG1520"/>
      <c r="LNH1520"/>
      <c r="LNI1520"/>
      <c r="LNJ1520"/>
      <c r="LNK1520"/>
      <c r="LNL1520"/>
      <c r="LNM1520"/>
      <c r="LNN1520"/>
      <c r="LNO1520"/>
      <c r="LNP1520"/>
      <c r="LNQ1520"/>
      <c r="LNR1520"/>
      <c r="LNS1520"/>
      <c r="LNT1520"/>
      <c r="LNU1520"/>
      <c r="LNV1520"/>
      <c r="LNW1520"/>
      <c r="LNX1520"/>
      <c r="LNY1520"/>
      <c r="LNZ1520"/>
      <c r="LOA1520"/>
      <c r="LOB1520"/>
      <c r="LOC1520"/>
      <c r="LOD1520"/>
      <c r="LOE1520"/>
      <c r="LOF1520"/>
      <c r="LOG1520"/>
      <c r="LOH1520"/>
      <c r="LOI1520"/>
      <c r="LOJ1520"/>
      <c r="LOK1520"/>
      <c r="LOL1520"/>
      <c r="LOM1520"/>
      <c r="LON1520"/>
      <c r="LOO1520"/>
      <c r="LOP1520"/>
      <c r="LOQ1520"/>
      <c r="LOR1520"/>
      <c r="LOS1520"/>
      <c r="LOT1520"/>
      <c r="LOU1520"/>
      <c r="LOV1520"/>
      <c r="LOW1520"/>
      <c r="LOX1520"/>
      <c r="LOY1520"/>
      <c r="LOZ1520"/>
      <c r="LPA1520"/>
      <c r="LPB1520"/>
      <c r="LPC1520"/>
      <c r="LPD1520"/>
      <c r="LPE1520"/>
      <c r="LPF1520"/>
      <c r="LPG1520"/>
      <c r="LPH1520"/>
      <c r="LPI1520"/>
      <c r="LPJ1520"/>
      <c r="LPK1520"/>
      <c r="LPL1520"/>
      <c r="LPM1520"/>
      <c r="LPN1520"/>
      <c r="LPO1520"/>
      <c r="LPP1520"/>
      <c r="LPQ1520"/>
      <c r="LPR1520"/>
      <c r="LPS1520"/>
      <c r="LPT1520"/>
      <c r="LPU1520"/>
      <c r="LPV1520"/>
      <c r="LPW1520"/>
      <c r="LPX1520"/>
      <c r="LPY1520"/>
      <c r="LPZ1520"/>
      <c r="LQA1520"/>
      <c r="LQB1520"/>
      <c r="LQC1520"/>
      <c r="LQD1520"/>
      <c r="LQE1520"/>
      <c r="LQF1520"/>
      <c r="LQG1520"/>
      <c r="LQH1520"/>
      <c r="LQI1520"/>
      <c r="LQJ1520"/>
      <c r="LQK1520"/>
      <c r="LQL1520"/>
      <c r="LQM1520"/>
      <c r="LQN1520"/>
      <c r="LQO1520"/>
      <c r="LQP1520"/>
      <c r="LQQ1520"/>
      <c r="LQR1520"/>
      <c r="LQS1520"/>
      <c r="LQT1520"/>
      <c r="LQU1520"/>
      <c r="LQV1520"/>
      <c r="LQW1520"/>
      <c r="LQX1520"/>
      <c r="LQY1520"/>
      <c r="LQZ1520"/>
      <c r="LRA1520"/>
      <c r="LRB1520"/>
      <c r="LRC1520"/>
      <c r="LRD1520"/>
      <c r="LRE1520"/>
      <c r="LRF1520"/>
      <c r="LRG1520"/>
      <c r="LRH1520"/>
      <c r="LRI1520"/>
      <c r="LRJ1520"/>
      <c r="LRK1520"/>
      <c r="LRL1520"/>
      <c r="LRM1520"/>
      <c r="LRN1520"/>
      <c r="LRO1520"/>
      <c r="LRP1520"/>
      <c r="LRQ1520"/>
      <c r="LRR1520"/>
      <c r="LRS1520"/>
      <c r="LRT1520"/>
      <c r="LRU1520"/>
      <c r="LRV1520"/>
      <c r="LRW1520"/>
      <c r="LRX1520"/>
      <c r="LRY1520"/>
      <c r="LRZ1520"/>
      <c r="LSA1520"/>
      <c r="LSB1520"/>
      <c r="LSC1520"/>
      <c r="LSD1520"/>
      <c r="LSE1520"/>
      <c r="LSF1520"/>
      <c r="LSG1520"/>
      <c r="LSH1520"/>
      <c r="LSI1520"/>
      <c r="LSJ1520"/>
      <c r="LSK1520"/>
      <c r="LSL1520"/>
      <c r="LSM1520"/>
      <c r="LSN1520"/>
      <c r="LSO1520"/>
      <c r="LSP1520"/>
      <c r="LSQ1520"/>
      <c r="LSR1520"/>
      <c r="LSS1520"/>
      <c r="LST1520"/>
      <c r="LSU1520"/>
      <c r="LSV1520"/>
      <c r="LSW1520"/>
      <c r="LSX1520"/>
      <c r="LSY1520"/>
      <c r="LSZ1520"/>
      <c r="LTA1520"/>
      <c r="LTB1520"/>
      <c r="LTC1520"/>
      <c r="LTD1520"/>
      <c r="LTE1520"/>
      <c r="LTF1520"/>
      <c r="LTG1520"/>
      <c r="LTH1520"/>
      <c r="LTI1520"/>
      <c r="LTJ1520"/>
      <c r="LTK1520"/>
      <c r="LTL1520"/>
      <c r="LTM1520"/>
      <c r="LTN1520"/>
      <c r="LTO1520"/>
      <c r="LTP1520"/>
      <c r="LTQ1520"/>
      <c r="LTR1520"/>
      <c r="LTS1520"/>
      <c r="LTT1520"/>
      <c r="LTU1520"/>
      <c r="LTV1520"/>
      <c r="LTW1520"/>
      <c r="LTX1520"/>
      <c r="LTY1520"/>
      <c r="LTZ1520"/>
      <c r="LUA1520"/>
      <c r="LUB1520"/>
      <c r="LUC1520"/>
      <c r="LUD1520"/>
      <c r="LUE1520"/>
      <c r="LUF1520"/>
      <c r="LUG1520"/>
      <c r="LUH1520"/>
      <c r="LUI1520"/>
      <c r="LUJ1520"/>
      <c r="LUK1520"/>
      <c r="LUL1520"/>
      <c r="LUM1520"/>
      <c r="LUN1520"/>
      <c r="LUO1520"/>
      <c r="LUP1520"/>
      <c r="LUQ1520"/>
      <c r="LUR1520"/>
      <c r="LUS1520"/>
      <c r="LUT1520"/>
      <c r="LUU1520"/>
      <c r="LUV1520"/>
      <c r="LUW1520"/>
      <c r="LUX1520"/>
      <c r="LUY1520"/>
      <c r="LUZ1520"/>
      <c r="LVA1520"/>
      <c r="LVB1520"/>
      <c r="LVC1520"/>
      <c r="LVD1520"/>
      <c r="LVE1520"/>
      <c r="LVF1520"/>
      <c r="LVG1520"/>
      <c r="LVH1520"/>
      <c r="LVI1520"/>
      <c r="LVJ1520"/>
      <c r="LVK1520"/>
      <c r="LVL1520"/>
      <c r="LVM1520"/>
      <c r="LVN1520"/>
      <c r="LVO1520"/>
      <c r="LVP1520"/>
      <c r="LVQ1520"/>
      <c r="LVR1520"/>
      <c r="LVS1520"/>
      <c r="LVT1520"/>
      <c r="LVU1520"/>
      <c r="LVV1520"/>
      <c r="LVW1520"/>
      <c r="LVX1520"/>
      <c r="LVY1520"/>
      <c r="LVZ1520"/>
      <c r="LWA1520"/>
      <c r="LWB1520"/>
      <c r="LWC1520"/>
      <c r="LWD1520"/>
      <c r="LWE1520"/>
      <c r="LWF1520"/>
      <c r="LWG1520"/>
      <c r="LWH1520"/>
      <c r="LWI1520"/>
      <c r="LWJ1520"/>
      <c r="LWK1520"/>
      <c r="LWL1520"/>
      <c r="LWM1520"/>
      <c r="LWN1520"/>
      <c r="LWO1520"/>
      <c r="LWP1520"/>
      <c r="LWQ1520"/>
      <c r="LWR1520"/>
      <c r="LWS1520"/>
      <c r="LWT1520"/>
      <c r="LWU1520"/>
      <c r="LWV1520"/>
      <c r="LWW1520"/>
      <c r="LWX1520"/>
      <c r="LWY1520"/>
      <c r="LWZ1520"/>
      <c r="LXA1520"/>
      <c r="LXB1520"/>
      <c r="LXC1520"/>
      <c r="LXD1520"/>
      <c r="LXE1520"/>
      <c r="LXF1520"/>
      <c r="LXG1520"/>
      <c r="LXH1520"/>
      <c r="LXI1520"/>
      <c r="LXJ1520"/>
      <c r="LXK1520"/>
      <c r="LXL1520"/>
      <c r="LXM1520"/>
      <c r="LXN1520"/>
      <c r="LXO1520"/>
      <c r="LXP1520"/>
      <c r="LXQ1520"/>
      <c r="LXR1520"/>
      <c r="LXS1520"/>
      <c r="LXT1520"/>
      <c r="LXU1520"/>
      <c r="LXV1520"/>
      <c r="LXW1520"/>
      <c r="LXX1520"/>
      <c r="LXY1520"/>
      <c r="LXZ1520"/>
      <c r="LYA1520"/>
      <c r="LYB1520"/>
      <c r="LYC1520"/>
      <c r="LYD1520"/>
      <c r="LYE1520"/>
      <c r="LYF1520"/>
      <c r="LYG1520"/>
      <c r="LYH1520"/>
      <c r="LYI1520"/>
      <c r="LYJ1520"/>
      <c r="LYK1520"/>
      <c r="LYL1520"/>
      <c r="LYM1520"/>
      <c r="LYN1520"/>
      <c r="LYO1520"/>
      <c r="LYP1520"/>
      <c r="LYQ1520"/>
      <c r="LYR1520"/>
      <c r="LYS1520"/>
      <c r="LYT1520"/>
      <c r="LYU1520"/>
      <c r="LYV1520"/>
      <c r="LYW1520"/>
      <c r="LYX1520"/>
      <c r="LYY1520"/>
      <c r="LYZ1520"/>
      <c r="LZA1520"/>
      <c r="LZB1520"/>
      <c r="LZC1520"/>
      <c r="LZD1520"/>
      <c r="LZE1520"/>
      <c r="LZF1520"/>
      <c r="LZG1520"/>
      <c r="LZH1520"/>
      <c r="LZI1520"/>
      <c r="LZJ1520"/>
      <c r="LZK1520"/>
      <c r="LZL1520"/>
      <c r="LZM1520"/>
      <c r="LZN1520"/>
      <c r="LZO1520"/>
      <c r="LZP1520"/>
      <c r="LZQ1520"/>
      <c r="LZR1520"/>
      <c r="LZS1520"/>
      <c r="LZT1520"/>
      <c r="LZU1520"/>
      <c r="LZV1520"/>
      <c r="LZW1520"/>
      <c r="LZX1520"/>
      <c r="LZY1520"/>
      <c r="LZZ1520"/>
      <c r="MAA1520"/>
      <c r="MAB1520"/>
      <c r="MAC1520"/>
      <c r="MAD1520"/>
      <c r="MAE1520"/>
      <c r="MAF1520"/>
      <c r="MAG1520"/>
      <c r="MAH1520"/>
      <c r="MAI1520"/>
      <c r="MAJ1520"/>
      <c r="MAK1520"/>
      <c r="MAL1520"/>
      <c r="MAM1520"/>
      <c r="MAN1520"/>
      <c r="MAO1520"/>
      <c r="MAP1520"/>
      <c r="MAQ1520"/>
      <c r="MAR1520"/>
      <c r="MAS1520"/>
      <c r="MAT1520"/>
      <c r="MAU1520"/>
      <c r="MAV1520"/>
      <c r="MAW1520"/>
      <c r="MAX1520"/>
      <c r="MAY1520"/>
      <c r="MAZ1520"/>
      <c r="MBA1520"/>
      <c r="MBB1520"/>
      <c r="MBC1520"/>
      <c r="MBD1520"/>
      <c r="MBE1520"/>
      <c r="MBF1520"/>
      <c r="MBG1520"/>
      <c r="MBH1520"/>
      <c r="MBI1520"/>
      <c r="MBJ1520"/>
      <c r="MBK1520"/>
      <c r="MBL1520"/>
      <c r="MBM1520"/>
      <c r="MBN1520"/>
      <c r="MBO1520"/>
      <c r="MBP1520"/>
      <c r="MBQ1520"/>
      <c r="MBR1520"/>
      <c r="MBS1520"/>
      <c r="MBT1520"/>
      <c r="MBU1520"/>
      <c r="MBV1520"/>
      <c r="MBW1520"/>
      <c r="MBX1520"/>
      <c r="MBY1520"/>
      <c r="MBZ1520"/>
      <c r="MCA1520"/>
      <c r="MCB1520"/>
      <c r="MCC1520"/>
      <c r="MCD1520"/>
      <c r="MCE1520"/>
      <c r="MCF1520"/>
      <c r="MCG1520"/>
      <c r="MCH1520"/>
      <c r="MCI1520"/>
      <c r="MCJ1520"/>
      <c r="MCK1520"/>
      <c r="MCL1520"/>
      <c r="MCM1520"/>
      <c r="MCN1520"/>
      <c r="MCO1520"/>
      <c r="MCP1520"/>
      <c r="MCQ1520"/>
      <c r="MCR1520"/>
      <c r="MCS1520"/>
      <c r="MCT1520"/>
      <c r="MCU1520"/>
      <c r="MCV1520"/>
      <c r="MCW1520"/>
      <c r="MCX1520"/>
      <c r="MCY1520"/>
      <c r="MCZ1520"/>
      <c r="MDA1520"/>
      <c r="MDB1520"/>
      <c r="MDC1520"/>
      <c r="MDD1520"/>
      <c r="MDE1520"/>
      <c r="MDF1520"/>
      <c r="MDG1520"/>
      <c r="MDH1520"/>
      <c r="MDI1520"/>
      <c r="MDJ1520"/>
      <c r="MDK1520"/>
      <c r="MDL1520"/>
      <c r="MDM1520"/>
      <c r="MDN1520"/>
      <c r="MDO1520"/>
      <c r="MDP1520"/>
      <c r="MDQ1520"/>
      <c r="MDR1520"/>
      <c r="MDS1520"/>
      <c r="MDT1520"/>
      <c r="MDU1520"/>
      <c r="MDV1520"/>
      <c r="MDW1520"/>
      <c r="MDX1520"/>
      <c r="MDY1520"/>
      <c r="MDZ1520"/>
      <c r="MEA1520"/>
      <c r="MEB1520"/>
      <c r="MEC1520"/>
      <c r="MED1520"/>
      <c r="MEE1520"/>
      <c r="MEF1520"/>
      <c r="MEG1520"/>
      <c r="MEH1520"/>
      <c r="MEI1520"/>
      <c r="MEJ1520"/>
      <c r="MEK1520"/>
      <c r="MEL1520"/>
      <c r="MEM1520"/>
      <c r="MEN1520"/>
      <c r="MEO1520"/>
      <c r="MEP1520"/>
      <c r="MEQ1520"/>
      <c r="MER1520"/>
      <c r="MES1520"/>
      <c r="MET1520"/>
      <c r="MEU1520"/>
      <c r="MEV1520"/>
      <c r="MEW1520"/>
      <c r="MEX1520"/>
      <c r="MEY1520"/>
      <c r="MEZ1520"/>
      <c r="MFA1520"/>
      <c r="MFB1520"/>
      <c r="MFC1520"/>
      <c r="MFD1520"/>
      <c r="MFE1520"/>
      <c r="MFF1520"/>
      <c r="MFG1520"/>
      <c r="MFH1520"/>
      <c r="MFI1520"/>
      <c r="MFJ1520"/>
      <c r="MFK1520"/>
      <c r="MFL1520"/>
      <c r="MFM1520"/>
      <c r="MFN1520"/>
      <c r="MFO1520"/>
      <c r="MFP1520"/>
      <c r="MFQ1520"/>
      <c r="MFR1520"/>
      <c r="MFS1520"/>
      <c r="MFT1520"/>
      <c r="MFU1520"/>
      <c r="MFV1520"/>
      <c r="MFW1520"/>
      <c r="MFX1520"/>
      <c r="MFY1520"/>
      <c r="MFZ1520"/>
      <c r="MGA1520"/>
      <c r="MGB1520"/>
      <c r="MGC1520"/>
      <c r="MGD1520"/>
      <c r="MGE1520"/>
      <c r="MGF1520"/>
      <c r="MGG1520"/>
      <c r="MGH1520"/>
      <c r="MGI1520"/>
      <c r="MGJ1520"/>
      <c r="MGK1520"/>
      <c r="MGL1520"/>
      <c r="MGM1520"/>
      <c r="MGN1520"/>
      <c r="MGO1520"/>
      <c r="MGP1520"/>
      <c r="MGQ1520"/>
      <c r="MGR1520"/>
      <c r="MGS1520"/>
      <c r="MGT1520"/>
      <c r="MGU1520"/>
      <c r="MGV1520"/>
      <c r="MGW1520"/>
      <c r="MGX1520"/>
      <c r="MGY1520"/>
      <c r="MGZ1520"/>
      <c r="MHA1520"/>
      <c r="MHB1520"/>
      <c r="MHC1520"/>
      <c r="MHD1520"/>
      <c r="MHE1520"/>
      <c r="MHF1520"/>
      <c r="MHG1520"/>
      <c r="MHH1520"/>
      <c r="MHI1520"/>
      <c r="MHJ1520"/>
      <c r="MHK1520"/>
      <c r="MHL1520"/>
      <c r="MHM1520"/>
      <c r="MHN1520"/>
      <c r="MHO1520"/>
      <c r="MHP1520"/>
      <c r="MHQ1520"/>
      <c r="MHR1520"/>
      <c r="MHS1520"/>
      <c r="MHT1520"/>
      <c r="MHU1520"/>
      <c r="MHV1520"/>
      <c r="MHW1520"/>
      <c r="MHX1520"/>
      <c r="MHY1520"/>
      <c r="MHZ1520"/>
      <c r="MIA1520"/>
      <c r="MIB1520"/>
      <c r="MIC1520"/>
      <c r="MID1520"/>
      <c r="MIE1520"/>
      <c r="MIF1520"/>
      <c r="MIG1520"/>
      <c r="MIH1520"/>
      <c r="MII1520"/>
      <c r="MIJ1520"/>
      <c r="MIK1520"/>
      <c r="MIL1520"/>
      <c r="MIM1520"/>
      <c r="MIN1520"/>
      <c r="MIO1520"/>
      <c r="MIP1520"/>
      <c r="MIQ1520"/>
      <c r="MIR1520"/>
      <c r="MIS1520"/>
      <c r="MIT1520"/>
      <c r="MIU1520"/>
      <c r="MIV1520"/>
      <c r="MIW1520"/>
      <c r="MIX1520"/>
      <c r="MIY1520"/>
      <c r="MIZ1520"/>
      <c r="MJA1520"/>
      <c r="MJB1520"/>
      <c r="MJC1520"/>
      <c r="MJD1520"/>
      <c r="MJE1520"/>
      <c r="MJF1520"/>
      <c r="MJG1520"/>
      <c r="MJH1520"/>
      <c r="MJI1520"/>
      <c r="MJJ1520"/>
      <c r="MJK1520"/>
      <c r="MJL1520"/>
      <c r="MJM1520"/>
      <c r="MJN1520"/>
      <c r="MJO1520"/>
      <c r="MJP1520"/>
      <c r="MJQ1520"/>
      <c r="MJR1520"/>
      <c r="MJS1520"/>
      <c r="MJT1520"/>
      <c r="MJU1520"/>
      <c r="MJV1520"/>
      <c r="MJW1520"/>
      <c r="MJX1520"/>
      <c r="MJY1520"/>
      <c r="MJZ1520"/>
      <c r="MKA1520"/>
      <c r="MKB1520"/>
      <c r="MKC1520"/>
      <c r="MKD1520"/>
      <c r="MKE1520"/>
      <c r="MKF1520"/>
      <c r="MKG1520"/>
      <c r="MKH1520"/>
      <c r="MKI1520"/>
      <c r="MKJ1520"/>
      <c r="MKK1520"/>
      <c r="MKL1520"/>
      <c r="MKM1520"/>
      <c r="MKN1520"/>
      <c r="MKO1520"/>
      <c r="MKP1520"/>
      <c r="MKQ1520"/>
      <c r="MKR1520"/>
      <c r="MKS1520"/>
      <c r="MKT1520"/>
      <c r="MKU1520"/>
      <c r="MKV1520"/>
      <c r="MKW1520"/>
      <c r="MKX1520"/>
      <c r="MKY1520"/>
      <c r="MKZ1520"/>
      <c r="MLA1520"/>
      <c r="MLB1520"/>
      <c r="MLC1520"/>
      <c r="MLD1520"/>
      <c r="MLE1520"/>
      <c r="MLF1520"/>
      <c r="MLG1520"/>
      <c r="MLH1520"/>
      <c r="MLI1520"/>
      <c r="MLJ1520"/>
      <c r="MLK1520"/>
      <c r="MLL1520"/>
      <c r="MLM1520"/>
      <c r="MLN1520"/>
      <c r="MLO1520"/>
      <c r="MLP1520"/>
      <c r="MLQ1520"/>
      <c r="MLR1520"/>
      <c r="MLS1520"/>
      <c r="MLT1520"/>
      <c r="MLU1520"/>
      <c r="MLV1520"/>
      <c r="MLW1520"/>
      <c r="MLX1520"/>
      <c r="MLY1520"/>
      <c r="MLZ1520"/>
      <c r="MMA1520"/>
      <c r="MMB1520"/>
      <c r="MMC1520"/>
      <c r="MMD1520"/>
      <c r="MME1520"/>
      <c r="MMF1520"/>
      <c r="MMG1520"/>
      <c r="MMH1520"/>
      <c r="MMI1520"/>
      <c r="MMJ1520"/>
      <c r="MMK1520"/>
      <c r="MML1520"/>
      <c r="MMM1520"/>
      <c r="MMN1520"/>
      <c r="MMO1520"/>
      <c r="MMP1520"/>
      <c r="MMQ1520"/>
      <c r="MMR1520"/>
      <c r="MMS1520"/>
      <c r="MMT1520"/>
      <c r="MMU1520"/>
      <c r="MMV1520"/>
      <c r="MMW1520"/>
      <c r="MMX1520"/>
      <c r="MMY1520"/>
      <c r="MMZ1520"/>
      <c r="MNA1520"/>
      <c r="MNB1520"/>
      <c r="MNC1520"/>
      <c r="MND1520"/>
      <c r="MNE1520"/>
      <c r="MNF1520"/>
      <c r="MNG1520"/>
      <c r="MNH1520"/>
      <c r="MNI1520"/>
      <c r="MNJ1520"/>
      <c r="MNK1520"/>
      <c r="MNL1520"/>
      <c r="MNM1520"/>
      <c r="MNN1520"/>
      <c r="MNO1520"/>
      <c r="MNP1520"/>
      <c r="MNQ1520"/>
      <c r="MNR1520"/>
      <c r="MNS1520"/>
      <c r="MNT1520"/>
      <c r="MNU1520"/>
      <c r="MNV1520"/>
      <c r="MNW1520"/>
      <c r="MNX1520"/>
      <c r="MNY1520"/>
      <c r="MNZ1520"/>
      <c r="MOA1520"/>
      <c r="MOB1520"/>
      <c r="MOC1520"/>
      <c r="MOD1520"/>
      <c r="MOE1520"/>
      <c r="MOF1520"/>
      <c r="MOG1520"/>
      <c r="MOH1520"/>
      <c r="MOI1520"/>
      <c r="MOJ1520"/>
      <c r="MOK1520"/>
      <c r="MOL1520"/>
      <c r="MOM1520"/>
      <c r="MON1520"/>
      <c r="MOO1520"/>
      <c r="MOP1520"/>
      <c r="MOQ1520"/>
      <c r="MOR1520"/>
      <c r="MOS1520"/>
      <c r="MOT1520"/>
      <c r="MOU1520"/>
      <c r="MOV1520"/>
      <c r="MOW1520"/>
      <c r="MOX1520"/>
      <c r="MOY1520"/>
      <c r="MOZ1520"/>
      <c r="MPA1520"/>
      <c r="MPB1520"/>
      <c r="MPC1520"/>
      <c r="MPD1520"/>
      <c r="MPE1520"/>
      <c r="MPF1520"/>
      <c r="MPG1520"/>
      <c r="MPH1520"/>
      <c r="MPI1520"/>
      <c r="MPJ1520"/>
      <c r="MPK1520"/>
      <c r="MPL1520"/>
      <c r="MPM1520"/>
      <c r="MPN1520"/>
      <c r="MPO1520"/>
      <c r="MPP1520"/>
      <c r="MPQ1520"/>
      <c r="MPR1520"/>
      <c r="MPS1520"/>
      <c r="MPT1520"/>
      <c r="MPU1520"/>
      <c r="MPV1520"/>
      <c r="MPW1520"/>
      <c r="MPX1520"/>
      <c r="MPY1520"/>
      <c r="MPZ1520"/>
      <c r="MQA1520"/>
      <c r="MQB1520"/>
      <c r="MQC1520"/>
      <c r="MQD1520"/>
      <c r="MQE1520"/>
      <c r="MQF1520"/>
      <c r="MQG1520"/>
      <c r="MQH1520"/>
      <c r="MQI1520"/>
      <c r="MQJ1520"/>
      <c r="MQK1520"/>
      <c r="MQL1520"/>
      <c r="MQM1520"/>
      <c r="MQN1520"/>
      <c r="MQO1520"/>
      <c r="MQP1520"/>
      <c r="MQQ1520"/>
      <c r="MQR1520"/>
      <c r="MQS1520"/>
      <c r="MQT1520"/>
      <c r="MQU1520"/>
      <c r="MQV1520"/>
      <c r="MQW1520"/>
      <c r="MQX1520"/>
      <c r="MQY1520"/>
      <c r="MQZ1520"/>
      <c r="MRA1520"/>
      <c r="MRB1520"/>
      <c r="MRC1520"/>
      <c r="MRD1520"/>
      <c r="MRE1520"/>
      <c r="MRF1520"/>
      <c r="MRG1520"/>
      <c r="MRH1520"/>
      <c r="MRI1520"/>
      <c r="MRJ1520"/>
      <c r="MRK1520"/>
      <c r="MRL1520"/>
      <c r="MRM1520"/>
      <c r="MRN1520"/>
      <c r="MRO1520"/>
      <c r="MRP1520"/>
      <c r="MRQ1520"/>
      <c r="MRR1520"/>
      <c r="MRS1520"/>
      <c r="MRT1520"/>
      <c r="MRU1520"/>
      <c r="MRV1520"/>
      <c r="MRW1520"/>
      <c r="MRX1520"/>
      <c r="MRY1520"/>
      <c r="MRZ1520"/>
      <c r="MSA1520"/>
      <c r="MSB1520"/>
      <c r="MSC1520"/>
      <c r="MSD1520"/>
      <c r="MSE1520"/>
      <c r="MSF1520"/>
      <c r="MSG1520"/>
      <c r="MSH1520"/>
      <c r="MSI1520"/>
      <c r="MSJ1520"/>
      <c r="MSK1520"/>
      <c r="MSL1520"/>
      <c r="MSM1520"/>
      <c r="MSN1520"/>
      <c r="MSO1520"/>
      <c r="MSP1520"/>
      <c r="MSQ1520"/>
      <c r="MSR1520"/>
      <c r="MSS1520"/>
      <c r="MST1520"/>
      <c r="MSU1520"/>
      <c r="MSV1520"/>
      <c r="MSW1520"/>
      <c r="MSX1520"/>
      <c r="MSY1520"/>
      <c r="MSZ1520"/>
      <c r="MTA1520"/>
      <c r="MTB1520"/>
      <c r="MTC1520"/>
      <c r="MTD1520"/>
      <c r="MTE1520"/>
      <c r="MTF1520"/>
      <c r="MTG1520"/>
      <c r="MTH1520"/>
      <c r="MTI1520"/>
      <c r="MTJ1520"/>
      <c r="MTK1520"/>
      <c r="MTL1520"/>
      <c r="MTM1520"/>
      <c r="MTN1520"/>
      <c r="MTO1520"/>
      <c r="MTP1520"/>
      <c r="MTQ1520"/>
      <c r="MTR1520"/>
      <c r="MTS1520"/>
      <c r="MTT1520"/>
      <c r="MTU1520"/>
      <c r="MTV1520"/>
      <c r="MTW1520"/>
      <c r="MTX1520"/>
      <c r="MTY1520"/>
      <c r="MTZ1520"/>
      <c r="MUA1520"/>
      <c r="MUB1520"/>
      <c r="MUC1520"/>
      <c r="MUD1520"/>
      <c r="MUE1520"/>
      <c r="MUF1520"/>
      <c r="MUG1520"/>
      <c r="MUH1520"/>
      <c r="MUI1520"/>
      <c r="MUJ1520"/>
      <c r="MUK1520"/>
      <c r="MUL1520"/>
      <c r="MUM1520"/>
      <c r="MUN1520"/>
      <c r="MUO1520"/>
      <c r="MUP1520"/>
      <c r="MUQ1520"/>
      <c r="MUR1520"/>
      <c r="MUS1520"/>
      <c r="MUT1520"/>
      <c r="MUU1520"/>
      <c r="MUV1520"/>
      <c r="MUW1520"/>
      <c r="MUX1520"/>
      <c r="MUY1520"/>
      <c r="MUZ1520"/>
      <c r="MVA1520"/>
      <c r="MVB1520"/>
      <c r="MVC1520"/>
      <c r="MVD1520"/>
      <c r="MVE1520"/>
      <c r="MVF1520"/>
      <c r="MVG1520"/>
      <c r="MVH1520"/>
      <c r="MVI1520"/>
      <c r="MVJ1520"/>
      <c r="MVK1520"/>
      <c r="MVL1520"/>
      <c r="MVM1520"/>
      <c r="MVN1520"/>
      <c r="MVO1520"/>
      <c r="MVP1520"/>
      <c r="MVQ1520"/>
      <c r="MVR1520"/>
      <c r="MVS1520"/>
      <c r="MVT1520"/>
      <c r="MVU1520"/>
      <c r="MVV1520"/>
      <c r="MVW1520"/>
      <c r="MVX1520"/>
      <c r="MVY1520"/>
      <c r="MVZ1520"/>
      <c r="MWA1520"/>
      <c r="MWB1520"/>
      <c r="MWC1520"/>
      <c r="MWD1520"/>
      <c r="MWE1520"/>
      <c r="MWF1520"/>
      <c r="MWG1520"/>
      <c r="MWH1520"/>
      <c r="MWI1520"/>
      <c r="MWJ1520"/>
      <c r="MWK1520"/>
      <c r="MWL1520"/>
      <c r="MWM1520"/>
      <c r="MWN1520"/>
      <c r="MWO1520"/>
      <c r="MWP1520"/>
      <c r="MWQ1520"/>
      <c r="MWR1520"/>
      <c r="MWS1520"/>
      <c r="MWT1520"/>
      <c r="MWU1520"/>
      <c r="MWV1520"/>
      <c r="MWW1520"/>
      <c r="MWX1520"/>
      <c r="MWY1520"/>
      <c r="MWZ1520"/>
      <c r="MXA1520"/>
      <c r="MXB1520"/>
      <c r="MXC1520"/>
      <c r="MXD1520"/>
      <c r="MXE1520"/>
      <c r="MXF1520"/>
      <c r="MXG1520"/>
      <c r="MXH1520"/>
      <c r="MXI1520"/>
      <c r="MXJ1520"/>
      <c r="MXK1520"/>
      <c r="MXL1520"/>
      <c r="MXM1520"/>
      <c r="MXN1520"/>
      <c r="MXO1520"/>
      <c r="MXP1520"/>
      <c r="MXQ1520"/>
      <c r="MXR1520"/>
      <c r="MXS1520"/>
      <c r="MXT1520"/>
      <c r="MXU1520"/>
      <c r="MXV1520"/>
      <c r="MXW1520"/>
      <c r="MXX1520"/>
      <c r="MXY1520"/>
      <c r="MXZ1520"/>
      <c r="MYA1520"/>
      <c r="MYB1520"/>
      <c r="MYC1520"/>
      <c r="MYD1520"/>
      <c r="MYE1520"/>
      <c r="MYF1520"/>
      <c r="MYG1520"/>
      <c r="MYH1520"/>
      <c r="MYI1520"/>
      <c r="MYJ1520"/>
      <c r="MYK1520"/>
      <c r="MYL1520"/>
      <c r="MYM1520"/>
      <c r="MYN1520"/>
      <c r="MYO1520"/>
      <c r="MYP1520"/>
      <c r="MYQ1520"/>
      <c r="MYR1520"/>
      <c r="MYS1520"/>
      <c r="MYT1520"/>
      <c r="MYU1520"/>
      <c r="MYV1520"/>
      <c r="MYW1520"/>
      <c r="MYX1520"/>
      <c r="MYY1520"/>
      <c r="MYZ1520"/>
      <c r="MZA1520"/>
      <c r="MZB1520"/>
      <c r="MZC1520"/>
      <c r="MZD1520"/>
      <c r="MZE1520"/>
      <c r="MZF1520"/>
      <c r="MZG1520"/>
      <c r="MZH1520"/>
      <c r="MZI1520"/>
      <c r="MZJ1520"/>
      <c r="MZK1520"/>
      <c r="MZL1520"/>
      <c r="MZM1520"/>
      <c r="MZN1520"/>
      <c r="MZO1520"/>
      <c r="MZP1520"/>
      <c r="MZQ1520"/>
      <c r="MZR1520"/>
      <c r="MZS1520"/>
      <c r="MZT1520"/>
      <c r="MZU1520"/>
      <c r="MZV1520"/>
      <c r="MZW1520"/>
      <c r="MZX1520"/>
      <c r="MZY1520"/>
      <c r="MZZ1520"/>
      <c r="NAA1520"/>
      <c r="NAB1520"/>
      <c r="NAC1520"/>
      <c r="NAD1520"/>
      <c r="NAE1520"/>
      <c r="NAF1520"/>
      <c r="NAG1520"/>
      <c r="NAH1520"/>
      <c r="NAI1520"/>
      <c r="NAJ1520"/>
      <c r="NAK1520"/>
      <c r="NAL1520"/>
      <c r="NAM1520"/>
      <c r="NAN1520"/>
      <c r="NAO1520"/>
      <c r="NAP1520"/>
      <c r="NAQ1520"/>
      <c r="NAR1520"/>
      <c r="NAS1520"/>
      <c r="NAT1520"/>
      <c r="NAU1520"/>
      <c r="NAV1520"/>
      <c r="NAW1520"/>
      <c r="NAX1520"/>
      <c r="NAY1520"/>
      <c r="NAZ1520"/>
      <c r="NBA1520"/>
      <c r="NBB1520"/>
      <c r="NBC1520"/>
      <c r="NBD1520"/>
      <c r="NBE1520"/>
      <c r="NBF1520"/>
      <c r="NBG1520"/>
      <c r="NBH1520"/>
      <c r="NBI1520"/>
      <c r="NBJ1520"/>
      <c r="NBK1520"/>
      <c r="NBL1520"/>
      <c r="NBM1520"/>
      <c r="NBN1520"/>
      <c r="NBO1520"/>
      <c r="NBP1520"/>
      <c r="NBQ1520"/>
      <c r="NBR1520"/>
      <c r="NBS1520"/>
      <c r="NBT1520"/>
      <c r="NBU1520"/>
      <c r="NBV1520"/>
      <c r="NBW1520"/>
      <c r="NBX1520"/>
      <c r="NBY1520"/>
      <c r="NBZ1520"/>
      <c r="NCA1520"/>
      <c r="NCB1520"/>
      <c r="NCC1520"/>
      <c r="NCD1520"/>
      <c r="NCE1520"/>
      <c r="NCF1520"/>
      <c r="NCG1520"/>
      <c r="NCH1520"/>
      <c r="NCI1520"/>
      <c r="NCJ1520"/>
      <c r="NCK1520"/>
      <c r="NCL1520"/>
      <c r="NCM1520"/>
      <c r="NCN1520"/>
      <c r="NCO1520"/>
      <c r="NCP1520"/>
      <c r="NCQ1520"/>
      <c r="NCR1520"/>
      <c r="NCS1520"/>
      <c r="NCT1520"/>
      <c r="NCU1520"/>
      <c r="NCV1520"/>
      <c r="NCW1520"/>
      <c r="NCX1520"/>
      <c r="NCY1520"/>
      <c r="NCZ1520"/>
      <c r="NDA1520"/>
      <c r="NDB1520"/>
      <c r="NDC1520"/>
      <c r="NDD1520"/>
      <c r="NDE1520"/>
      <c r="NDF1520"/>
      <c r="NDG1520"/>
      <c r="NDH1520"/>
      <c r="NDI1520"/>
      <c r="NDJ1520"/>
      <c r="NDK1520"/>
      <c r="NDL1520"/>
      <c r="NDM1520"/>
      <c r="NDN1520"/>
      <c r="NDO1520"/>
      <c r="NDP1520"/>
      <c r="NDQ1520"/>
      <c r="NDR1520"/>
      <c r="NDS1520"/>
      <c r="NDT1520"/>
      <c r="NDU1520"/>
      <c r="NDV1520"/>
      <c r="NDW1520"/>
      <c r="NDX1520"/>
      <c r="NDY1520"/>
      <c r="NDZ1520"/>
      <c r="NEA1520"/>
      <c r="NEB1520"/>
      <c r="NEC1520"/>
      <c r="NED1520"/>
      <c r="NEE1520"/>
      <c r="NEF1520"/>
      <c r="NEG1520"/>
      <c r="NEH1520"/>
      <c r="NEI1520"/>
      <c r="NEJ1520"/>
      <c r="NEK1520"/>
      <c r="NEL1520"/>
      <c r="NEM1520"/>
      <c r="NEN1520"/>
      <c r="NEO1520"/>
      <c r="NEP1520"/>
      <c r="NEQ1520"/>
      <c r="NER1520"/>
      <c r="NES1520"/>
      <c r="NET1520"/>
      <c r="NEU1520"/>
      <c r="NEV1520"/>
      <c r="NEW1520"/>
      <c r="NEX1520"/>
      <c r="NEY1520"/>
      <c r="NEZ1520"/>
      <c r="NFA1520"/>
      <c r="NFB1520"/>
      <c r="NFC1520"/>
      <c r="NFD1520"/>
      <c r="NFE1520"/>
      <c r="NFF1520"/>
      <c r="NFG1520"/>
      <c r="NFH1520"/>
      <c r="NFI1520"/>
      <c r="NFJ1520"/>
      <c r="NFK1520"/>
      <c r="NFL1520"/>
      <c r="NFM1520"/>
      <c r="NFN1520"/>
      <c r="NFO1520"/>
      <c r="NFP1520"/>
      <c r="NFQ1520"/>
      <c r="NFR1520"/>
      <c r="NFS1520"/>
      <c r="NFT1520"/>
      <c r="NFU1520"/>
      <c r="NFV1520"/>
      <c r="NFW1520"/>
      <c r="NFX1520"/>
      <c r="NFY1520"/>
      <c r="NFZ1520"/>
      <c r="NGA1520"/>
      <c r="NGB1520"/>
      <c r="NGC1520"/>
      <c r="NGD1520"/>
      <c r="NGE1520"/>
      <c r="NGF1520"/>
      <c r="NGG1520"/>
      <c r="NGH1520"/>
      <c r="NGI1520"/>
      <c r="NGJ1520"/>
      <c r="NGK1520"/>
      <c r="NGL1520"/>
      <c r="NGM1520"/>
      <c r="NGN1520"/>
      <c r="NGO1520"/>
      <c r="NGP1520"/>
      <c r="NGQ1520"/>
      <c r="NGR1520"/>
      <c r="NGS1520"/>
      <c r="NGT1520"/>
      <c r="NGU1520"/>
      <c r="NGV1520"/>
      <c r="NGW1520"/>
      <c r="NGX1520"/>
      <c r="NGY1520"/>
      <c r="NGZ1520"/>
      <c r="NHA1520"/>
      <c r="NHB1520"/>
      <c r="NHC1520"/>
      <c r="NHD1520"/>
      <c r="NHE1520"/>
      <c r="NHF1520"/>
      <c r="NHG1520"/>
      <c r="NHH1520"/>
      <c r="NHI1520"/>
      <c r="NHJ1520"/>
      <c r="NHK1520"/>
      <c r="NHL1520"/>
      <c r="NHM1520"/>
      <c r="NHN1520"/>
      <c r="NHO1520"/>
      <c r="NHP1520"/>
      <c r="NHQ1520"/>
      <c r="NHR1520"/>
      <c r="NHS1520"/>
      <c r="NHT1520"/>
      <c r="NHU1520"/>
      <c r="NHV1520"/>
      <c r="NHW1520"/>
      <c r="NHX1520"/>
      <c r="NHY1520"/>
      <c r="NHZ1520"/>
      <c r="NIA1520"/>
      <c r="NIB1520"/>
      <c r="NIC1520"/>
      <c r="NID1520"/>
      <c r="NIE1520"/>
      <c r="NIF1520"/>
      <c r="NIG1520"/>
      <c r="NIH1520"/>
      <c r="NII1520"/>
      <c r="NIJ1520"/>
      <c r="NIK1520"/>
      <c r="NIL1520"/>
      <c r="NIM1520"/>
      <c r="NIN1520"/>
      <c r="NIO1520"/>
      <c r="NIP1520"/>
      <c r="NIQ1520"/>
      <c r="NIR1520"/>
      <c r="NIS1520"/>
      <c r="NIT1520"/>
      <c r="NIU1520"/>
      <c r="NIV1520"/>
      <c r="NIW1520"/>
      <c r="NIX1520"/>
      <c r="NIY1520"/>
      <c r="NIZ1520"/>
      <c r="NJA1520"/>
      <c r="NJB1520"/>
      <c r="NJC1520"/>
      <c r="NJD1520"/>
      <c r="NJE1520"/>
      <c r="NJF1520"/>
      <c r="NJG1520"/>
      <c r="NJH1520"/>
      <c r="NJI1520"/>
      <c r="NJJ1520"/>
      <c r="NJK1520"/>
      <c r="NJL1520"/>
      <c r="NJM1520"/>
      <c r="NJN1520"/>
      <c r="NJO1520"/>
      <c r="NJP1520"/>
      <c r="NJQ1520"/>
      <c r="NJR1520"/>
      <c r="NJS1520"/>
      <c r="NJT1520"/>
      <c r="NJU1520"/>
      <c r="NJV1520"/>
      <c r="NJW1520"/>
      <c r="NJX1520"/>
      <c r="NJY1520"/>
      <c r="NJZ1520"/>
      <c r="NKA1520"/>
      <c r="NKB1520"/>
      <c r="NKC1520"/>
      <c r="NKD1520"/>
      <c r="NKE1520"/>
      <c r="NKF1520"/>
      <c r="NKG1520"/>
      <c r="NKH1520"/>
      <c r="NKI1520"/>
      <c r="NKJ1520"/>
      <c r="NKK1520"/>
      <c r="NKL1520"/>
      <c r="NKM1520"/>
      <c r="NKN1520"/>
      <c r="NKO1520"/>
      <c r="NKP1520"/>
      <c r="NKQ1520"/>
      <c r="NKR1520"/>
      <c r="NKS1520"/>
      <c r="NKT1520"/>
      <c r="NKU1520"/>
      <c r="NKV1520"/>
      <c r="NKW1520"/>
      <c r="NKX1520"/>
      <c r="NKY1520"/>
      <c r="NKZ1520"/>
      <c r="NLA1520"/>
      <c r="NLB1520"/>
      <c r="NLC1520"/>
      <c r="NLD1520"/>
      <c r="NLE1520"/>
      <c r="NLF1520"/>
      <c r="NLG1520"/>
      <c r="NLH1520"/>
      <c r="NLI1520"/>
      <c r="NLJ1520"/>
      <c r="NLK1520"/>
      <c r="NLL1520"/>
      <c r="NLM1520"/>
      <c r="NLN1520"/>
      <c r="NLO1520"/>
      <c r="NLP1520"/>
      <c r="NLQ1520"/>
      <c r="NLR1520"/>
      <c r="NLS1520"/>
      <c r="NLT1520"/>
      <c r="NLU1520"/>
      <c r="NLV1520"/>
      <c r="NLW1520"/>
      <c r="NLX1520"/>
      <c r="NLY1520"/>
      <c r="NLZ1520"/>
      <c r="NMA1520"/>
      <c r="NMB1520"/>
      <c r="NMC1520"/>
      <c r="NMD1520"/>
      <c r="NME1520"/>
      <c r="NMF1520"/>
      <c r="NMG1520"/>
      <c r="NMH1520"/>
      <c r="NMI1520"/>
      <c r="NMJ1520"/>
      <c r="NMK1520"/>
      <c r="NML1520"/>
      <c r="NMM1520"/>
      <c r="NMN1520"/>
      <c r="NMO1520"/>
      <c r="NMP1520"/>
      <c r="NMQ1520"/>
      <c r="NMR1520"/>
      <c r="NMS1520"/>
      <c r="NMT1520"/>
      <c r="NMU1520"/>
      <c r="NMV1520"/>
      <c r="NMW1520"/>
      <c r="NMX1520"/>
      <c r="NMY1520"/>
      <c r="NMZ1520"/>
      <c r="NNA1520"/>
      <c r="NNB1520"/>
      <c r="NNC1520"/>
      <c r="NND1520"/>
      <c r="NNE1520"/>
      <c r="NNF1520"/>
      <c r="NNG1520"/>
      <c r="NNH1520"/>
      <c r="NNI1520"/>
      <c r="NNJ1520"/>
      <c r="NNK1520"/>
      <c r="NNL1520"/>
      <c r="NNM1520"/>
      <c r="NNN1520"/>
      <c r="NNO1520"/>
      <c r="NNP1520"/>
      <c r="NNQ1520"/>
      <c r="NNR1520"/>
      <c r="NNS1520"/>
      <c r="NNT1520"/>
      <c r="NNU1520"/>
      <c r="NNV1520"/>
      <c r="NNW1520"/>
      <c r="NNX1520"/>
      <c r="NNY1520"/>
      <c r="NNZ1520"/>
      <c r="NOA1520"/>
      <c r="NOB1520"/>
      <c r="NOC1520"/>
      <c r="NOD1520"/>
      <c r="NOE1520"/>
      <c r="NOF1520"/>
      <c r="NOG1520"/>
      <c r="NOH1520"/>
      <c r="NOI1520"/>
      <c r="NOJ1520"/>
      <c r="NOK1520"/>
      <c r="NOL1520"/>
      <c r="NOM1520"/>
      <c r="NON1520"/>
      <c r="NOO1520"/>
      <c r="NOP1520"/>
      <c r="NOQ1520"/>
      <c r="NOR1520"/>
      <c r="NOS1520"/>
      <c r="NOT1520"/>
      <c r="NOU1520"/>
      <c r="NOV1520"/>
      <c r="NOW1520"/>
      <c r="NOX1520"/>
      <c r="NOY1520"/>
      <c r="NOZ1520"/>
      <c r="NPA1520"/>
      <c r="NPB1520"/>
      <c r="NPC1520"/>
      <c r="NPD1520"/>
      <c r="NPE1520"/>
      <c r="NPF1520"/>
      <c r="NPG1520"/>
      <c r="NPH1520"/>
      <c r="NPI1520"/>
      <c r="NPJ1520"/>
      <c r="NPK1520"/>
      <c r="NPL1520"/>
      <c r="NPM1520"/>
      <c r="NPN1520"/>
      <c r="NPO1520"/>
      <c r="NPP1520"/>
      <c r="NPQ1520"/>
      <c r="NPR1520"/>
      <c r="NPS1520"/>
      <c r="NPT1520"/>
      <c r="NPU1520"/>
      <c r="NPV1520"/>
      <c r="NPW1520"/>
      <c r="NPX1520"/>
      <c r="NPY1520"/>
      <c r="NPZ1520"/>
      <c r="NQA1520"/>
      <c r="NQB1520"/>
      <c r="NQC1520"/>
      <c r="NQD1520"/>
      <c r="NQE1520"/>
      <c r="NQF1520"/>
      <c r="NQG1520"/>
      <c r="NQH1520"/>
      <c r="NQI1520"/>
      <c r="NQJ1520"/>
      <c r="NQK1520"/>
      <c r="NQL1520"/>
      <c r="NQM1520"/>
      <c r="NQN1520"/>
      <c r="NQO1520"/>
      <c r="NQP1520"/>
      <c r="NQQ1520"/>
      <c r="NQR1520"/>
      <c r="NQS1520"/>
      <c r="NQT1520"/>
      <c r="NQU1520"/>
      <c r="NQV1520"/>
      <c r="NQW1520"/>
      <c r="NQX1520"/>
      <c r="NQY1520"/>
      <c r="NQZ1520"/>
      <c r="NRA1520"/>
      <c r="NRB1520"/>
      <c r="NRC1520"/>
      <c r="NRD1520"/>
      <c r="NRE1520"/>
      <c r="NRF1520"/>
      <c r="NRG1520"/>
      <c r="NRH1520"/>
      <c r="NRI1520"/>
      <c r="NRJ1520"/>
      <c r="NRK1520"/>
      <c r="NRL1520"/>
      <c r="NRM1520"/>
      <c r="NRN1520"/>
      <c r="NRO1520"/>
      <c r="NRP1520"/>
      <c r="NRQ1520"/>
      <c r="NRR1520"/>
      <c r="NRS1520"/>
      <c r="NRT1520"/>
      <c r="NRU1520"/>
      <c r="NRV1520"/>
      <c r="NRW1520"/>
      <c r="NRX1520"/>
      <c r="NRY1520"/>
      <c r="NRZ1520"/>
      <c r="NSA1520"/>
      <c r="NSB1520"/>
      <c r="NSC1520"/>
      <c r="NSD1520"/>
      <c r="NSE1520"/>
      <c r="NSF1520"/>
      <c r="NSG1520"/>
      <c r="NSH1520"/>
      <c r="NSI1520"/>
      <c r="NSJ1520"/>
      <c r="NSK1520"/>
      <c r="NSL1520"/>
      <c r="NSM1520"/>
      <c r="NSN1520"/>
      <c r="NSO1520"/>
      <c r="NSP1520"/>
      <c r="NSQ1520"/>
      <c r="NSR1520"/>
      <c r="NSS1520"/>
      <c r="NST1520"/>
      <c r="NSU1520"/>
      <c r="NSV1520"/>
      <c r="NSW1520"/>
      <c r="NSX1520"/>
      <c r="NSY1520"/>
      <c r="NSZ1520"/>
      <c r="NTA1520"/>
      <c r="NTB1520"/>
      <c r="NTC1520"/>
      <c r="NTD1520"/>
      <c r="NTE1520"/>
      <c r="NTF1520"/>
      <c r="NTG1520"/>
      <c r="NTH1520"/>
      <c r="NTI1520"/>
      <c r="NTJ1520"/>
      <c r="NTK1520"/>
      <c r="NTL1520"/>
      <c r="NTM1520"/>
      <c r="NTN1520"/>
      <c r="NTO1520"/>
      <c r="NTP1520"/>
      <c r="NTQ1520"/>
      <c r="NTR1520"/>
      <c r="NTS1520"/>
      <c r="NTT1520"/>
      <c r="NTU1520"/>
      <c r="NTV1520"/>
      <c r="NTW1520"/>
      <c r="NTX1520"/>
      <c r="NTY1520"/>
      <c r="NTZ1520"/>
      <c r="NUA1520"/>
      <c r="NUB1520"/>
      <c r="NUC1520"/>
      <c r="NUD1520"/>
      <c r="NUE1520"/>
      <c r="NUF1520"/>
      <c r="NUG1520"/>
      <c r="NUH1520"/>
      <c r="NUI1520"/>
      <c r="NUJ1520"/>
      <c r="NUK1520"/>
      <c r="NUL1520"/>
      <c r="NUM1520"/>
      <c r="NUN1520"/>
      <c r="NUO1520"/>
      <c r="NUP1520"/>
      <c r="NUQ1520"/>
      <c r="NUR1520"/>
      <c r="NUS1520"/>
      <c r="NUT1520"/>
      <c r="NUU1520"/>
      <c r="NUV1520"/>
      <c r="NUW1520"/>
      <c r="NUX1520"/>
      <c r="NUY1520"/>
      <c r="NUZ1520"/>
      <c r="NVA1520"/>
      <c r="NVB1520"/>
      <c r="NVC1520"/>
      <c r="NVD1520"/>
      <c r="NVE1520"/>
      <c r="NVF1520"/>
      <c r="NVG1520"/>
      <c r="NVH1520"/>
      <c r="NVI1520"/>
      <c r="NVJ1520"/>
      <c r="NVK1520"/>
      <c r="NVL1520"/>
      <c r="NVM1520"/>
      <c r="NVN1520"/>
      <c r="NVO1520"/>
      <c r="NVP1520"/>
      <c r="NVQ1520"/>
      <c r="NVR1520"/>
      <c r="NVS1520"/>
      <c r="NVT1520"/>
      <c r="NVU1520"/>
      <c r="NVV1520"/>
      <c r="NVW1520"/>
      <c r="NVX1520"/>
      <c r="NVY1520"/>
      <c r="NVZ1520"/>
      <c r="NWA1520"/>
      <c r="NWB1520"/>
      <c r="NWC1520"/>
      <c r="NWD1520"/>
      <c r="NWE1520"/>
      <c r="NWF1520"/>
      <c r="NWG1520"/>
      <c r="NWH1520"/>
      <c r="NWI1520"/>
      <c r="NWJ1520"/>
      <c r="NWK1520"/>
      <c r="NWL1520"/>
      <c r="NWM1520"/>
      <c r="NWN1520"/>
      <c r="NWO1520"/>
      <c r="NWP1520"/>
      <c r="NWQ1520"/>
      <c r="NWR1520"/>
      <c r="NWS1520"/>
      <c r="NWT1520"/>
      <c r="NWU1520"/>
      <c r="NWV1520"/>
      <c r="NWW1520"/>
      <c r="NWX1520"/>
      <c r="NWY1520"/>
      <c r="NWZ1520"/>
      <c r="NXA1520"/>
      <c r="NXB1520"/>
      <c r="NXC1520"/>
      <c r="NXD1520"/>
      <c r="NXE1520"/>
      <c r="NXF1520"/>
      <c r="NXG1520"/>
      <c r="NXH1520"/>
      <c r="NXI1520"/>
      <c r="NXJ1520"/>
      <c r="NXK1520"/>
      <c r="NXL1520"/>
      <c r="NXM1520"/>
      <c r="NXN1520"/>
      <c r="NXO1520"/>
      <c r="NXP1520"/>
      <c r="NXQ1520"/>
      <c r="NXR1520"/>
      <c r="NXS1520"/>
      <c r="NXT1520"/>
      <c r="NXU1520"/>
      <c r="NXV1520"/>
      <c r="NXW1520"/>
      <c r="NXX1520"/>
      <c r="NXY1520"/>
      <c r="NXZ1520"/>
      <c r="NYA1520"/>
      <c r="NYB1520"/>
      <c r="NYC1520"/>
      <c r="NYD1520"/>
      <c r="NYE1520"/>
      <c r="NYF1520"/>
      <c r="NYG1520"/>
      <c r="NYH1520"/>
      <c r="NYI1520"/>
      <c r="NYJ1520"/>
      <c r="NYK1520"/>
      <c r="NYL1520"/>
      <c r="NYM1520"/>
      <c r="NYN1520"/>
      <c r="NYO1520"/>
      <c r="NYP1520"/>
      <c r="NYQ1520"/>
      <c r="NYR1520"/>
      <c r="NYS1520"/>
      <c r="NYT1520"/>
      <c r="NYU1520"/>
      <c r="NYV1520"/>
      <c r="NYW1520"/>
      <c r="NYX1520"/>
      <c r="NYY1520"/>
      <c r="NYZ1520"/>
      <c r="NZA1520"/>
      <c r="NZB1520"/>
      <c r="NZC1520"/>
      <c r="NZD1520"/>
      <c r="NZE1520"/>
      <c r="NZF1520"/>
      <c r="NZG1520"/>
      <c r="NZH1520"/>
      <c r="NZI1520"/>
      <c r="NZJ1520"/>
      <c r="NZK1520"/>
      <c r="NZL1520"/>
      <c r="NZM1520"/>
      <c r="NZN1520"/>
      <c r="NZO1520"/>
      <c r="NZP1520"/>
      <c r="NZQ1520"/>
      <c r="NZR1520"/>
      <c r="NZS1520"/>
      <c r="NZT1520"/>
      <c r="NZU1520"/>
      <c r="NZV1520"/>
      <c r="NZW1520"/>
      <c r="NZX1520"/>
      <c r="NZY1520"/>
      <c r="NZZ1520"/>
      <c r="OAA1520"/>
      <c r="OAB1520"/>
      <c r="OAC1520"/>
      <c r="OAD1520"/>
      <c r="OAE1520"/>
      <c r="OAF1520"/>
      <c r="OAG1520"/>
      <c r="OAH1520"/>
      <c r="OAI1520"/>
      <c r="OAJ1520"/>
      <c r="OAK1520"/>
      <c r="OAL1520"/>
      <c r="OAM1520"/>
      <c r="OAN1520"/>
      <c r="OAO1520"/>
      <c r="OAP1520"/>
      <c r="OAQ1520"/>
      <c r="OAR1520"/>
      <c r="OAS1520"/>
      <c r="OAT1520"/>
      <c r="OAU1520"/>
      <c r="OAV1520"/>
      <c r="OAW1520"/>
      <c r="OAX1520"/>
      <c r="OAY1520"/>
      <c r="OAZ1520"/>
      <c r="OBA1520"/>
      <c r="OBB1520"/>
      <c r="OBC1520"/>
      <c r="OBD1520"/>
      <c r="OBE1520"/>
      <c r="OBF1520"/>
      <c r="OBG1520"/>
      <c r="OBH1520"/>
      <c r="OBI1520"/>
      <c r="OBJ1520"/>
      <c r="OBK1520"/>
      <c r="OBL1520"/>
      <c r="OBM1520"/>
      <c r="OBN1520"/>
      <c r="OBO1520"/>
      <c r="OBP1520"/>
      <c r="OBQ1520"/>
      <c r="OBR1520"/>
      <c r="OBS1520"/>
      <c r="OBT1520"/>
      <c r="OBU1520"/>
      <c r="OBV1520"/>
      <c r="OBW1520"/>
      <c r="OBX1520"/>
      <c r="OBY1520"/>
      <c r="OBZ1520"/>
      <c r="OCA1520"/>
      <c r="OCB1520"/>
      <c r="OCC1520"/>
      <c r="OCD1520"/>
      <c r="OCE1520"/>
      <c r="OCF1520"/>
      <c r="OCG1520"/>
      <c r="OCH1520"/>
      <c r="OCI1520"/>
      <c r="OCJ1520"/>
      <c r="OCK1520"/>
      <c r="OCL1520"/>
      <c r="OCM1520"/>
      <c r="OCN1520"/>
      <c r="OCO1520"/>
      <c r="OCP1520"/>
      <c r="OCQ1520"/>
      <c r="OCR1520"/>
      <c r="OCS1520"/>
      <c r="OCT1520"/>
      <c r="OCU1520"/>
      <c r="OCV1520"/>
      <c r="OCW1520"/>
      <c r="OCX1520"/>
      <c r="OCY1520"/>
      <c r="OCZ1520"/>
      <c r="ODA1520"/>
      <c r="ODB1520"/>
      <c r="ODC1520"/>
      <c r="ODD1520"/>
      <c r="ODE1520"/>
      <c r="ODF1520"/>
      <c r="ODG1520"/>
      <c r="ODH1520"/>
      <c r="ODI1520"/>
      <c r="ODJ1520"/>
      <c r="ODK1520"/>
      <c r="ODL1520"/>
      <c r="ODM1520"/>
      <c r="ODN1520"/>
      <c r="ODO1520"/>
      <c r="ODP1520"/>
      <c r="ODQ1520"/>
      <c r="ODR1520"/>
      <c r="ODS1520"/>
      <c r="ODT1520"/>
      <c r="ODU1520"/>
      <c r="ODV1520"/>
      <c r="ODW1520"/>
      <c r="ODX1520"/>
      <c r="ODY1520"/>
      <c r="ODZ1520"/>
      <c r="OEA1520"/>
      <c r="OEB1520"/>
      <c r="OEC1520"/>
      <c r="OED1520"/>
      <c r="OEE1520"/>
      <c r="OEF1520"/>
      <c r="OEG1520"/>
      <c r="OEH1520"/>
      <c r="OEI1520"/>
      <c r="OEJ1520"/>
      <c r="OEK1520"/>
      <c r="OEL1520"/>
      <c r="OEM1520"/>
      <c r="OEN1520"/>
      <c r="OEO1520"/>
      <c r="OEP1520"/>
      <c r="OEQ1520"/>
      <c r="OER1520"/>
      <c r="OES1520"/>
      <c r="OET1520"/>
      <c r="OEU1520"/>
      <c r="OEV1520"/>
      <c r="OEW1520"/>
      <c r="OEX1520"/>
      <c r="OEY1520"/>
      <c r="OEZ1520"/>
      <c r="OFA1520"/>
      <c r="OFB1520"/>
      <c r="OFC1520"/>
      <c r="OFD1520"/>
      <c r="OFE1520"/>
      <c r="OFF1520"/>
      <c r="OFG1520"/>
      <c r="OFH1520"/>
      <c r="OFI1520"/>
      <c r="OFJ1520"/>
      <c r="OFK1520"/>
      <c r="OFL1520"/>
      <c r="OFM1520"/>
      <c r="OFN1520"/>
      <c r="OFO1520"/>
      <c r="OFP1520"/>
      <c r="OFQ1520"/>
      <c r="OFR1520"/>
      <c r="OFS1520"/>
      <c r="OFT1520"/>
      <c r="OFU1520"/>
      <c r="OFV1520"/>
      <c r="OFW1520"/>
      <c r="OFX1520"/>
      <c r="OFY1520"/>
      <c r="OFZ1520"/>
      <c r="OGA1520"/>
      <c r="OGB1520"/>
      <c r="OGC1520"/>
      <c r="OGD1520"/>
      <c r="OGE1520"/>
      <c r="OGF1520"/>
      <c r="OGG1520"/>
      <c r="OGH1520"/>
      <c r="OGI1520"/>
      <c r="OGJ1520"/>
      <c r="OGK1520"/>
      <c r="OGL1520"/>
      <c r="OGM1520"/>
      <c r="OGN1520"/>
      <c r="OGO1520"/>
      <c r="OGP1520"/>
      <c r="OGQ1520"/>
      <c r="OGR1520"/>
      <c r="OGS1520"/>
      <c r="OGT1520"/>
      <c r="OGU1520"/>
      <c r="OGV1520"/>
      <c r="OGW1520"/>
      <c r="OGX1520"/>
      <c r="OGY1520"/>
      <c r="OGZ1520"/>
      <c r="OHA1520"/>
      <c r="OHB1520"/>
      <c r="OHC1520"/>
      <c r="OHD1520"/>
      <c r="OHE1520"/>
      <c r="OHF1520"/>
      <c r="OHG1520"/>
      <c r="OHH1520"/>
      <c r="OHI1520"/>
      <c r="OHJ1520"/>
      <c r="OHK1520"/>
      <c r="OHL1520"/>
      <c r="OHM1520"/>
      <c r="OHN1520"/>
      <c r="OHO1520"/>
      <c r="OHP1520"/>
      <c r="OHQ1520"/>
      <c r="OHR1520"/>
      <c r="OHS1520"/>
      <c r="OHT1520"/>
      <c r="OHU1520"/>
      <c r="OHV1520"/>
      <c r="OHW1520"/>
      <c r="OHX1520"/>
      <c r="OHY1520"/>
      <c r="OHZ1520"/>
      <c r="OIA1520"/>
      <c r="OIB1520"/>
      <c r="OIC1520"/>
      <c r="OID1520"/>
      <c r="OIE1520"/>
      <c r="OIF1520"/>
      <c r="OIG1520"/>
      <c r="OIH1520"/>
      <c r="OII1520"/>
      <c r="OIJ1520"/>
      <c r="OIK1520"/>
      <c r="OIL1520"/>
      <c r="OIM1520"/>
      <c r="OIN1520"/>
      <c r="OIO1520"/>
      <c r="OIP1520"/>
      <c r="OIQ1520"/>
      <c r="OIR1520"/>
      <c r="OIS1520"/>
      <c r="OIT1520"/>
      <c r="OIU1520"/>
      <c r="OIV1520"/>
      <c r="OIW1520"/>
      <c r="OIX1520"/>
      <c r="OIY1520"/>
      <c r="OIZ1520"/>
      <c r="OJA1520"/>
      <c r="OJB1520"/>
      <c r="OJC1520"/>
      <c r="OJD1520"/>
      <c r="OJE1520"/>
      <c r="OJF1520"/>
      <c r="OJG1520"/>
      <c r="OJH1520"/>
      <c r="OJI1520"/>
      <c r="OJJ1520"/>
      <c r="OJK1520"/>
      <c r="OJL1520"/>
      <c r="OJM1520"/>
      <c r="OJN1520"/>
      <c r="OJO1520"/>
      <c r="OJP1520"/>
      <c r="OJQ1520"/>
      <c r="OJR1520"/>
      <c r="OJS1520"/>
      <c r="OJT1520"/>
      <c r="OJU1520"/>
      <c r="OJV1520"/>
      <c r="OJW1520"/>
      <c r="OJX1520"/>
      <c r="OJY1520"/>
      <c r="OJZ1520"/>
      <c r="OKA1520"/>
      <c r="OKB1520"/>
      <c r="OKC1520"/>
      <c r="OKD1520"/>
      <c r="OKE1520"/>
      <c r="OKF1520"/>
      <c r="OKG1520"/>
      <c r="OKH1520"/>
      <c r="OKI1520"/>
      <c r="OKJ1520"/>
      <c r="OKK1520"/>
      <c r="OKL1520"/>
      <c r="OKM1520"/>
      <c r="OKN1520"/>
      <c r="OKO1520"/>
      <c r="OKP1520"/>
      <c r="OKQ1520"/>
      <c r="OKR1520"/>
      <c r="OKS1520"/>
      <c r="OKT1520"/>
      <c r="OKU1520"/>
      <c r="OKV1520"/>
      <c r="OKW1520"/>
      <c r="OKX1520"/>
      <c r="OKY1520"/>
      <c r="OKZ1520"/>
      <c r="OLA1520"/>
      <c r="OLB1520"/>
      <c r="OLC1520"/>
      <c r="OLD1520"/>
      <c r="OLE1520"/>
      <c r="OLF1520"/>
      <c r="OLG1520"/>
      <c r="OLH1520"/>
      <c r="OLI1520"/>
      <c r="OLJ1520"/>
      <c r="OLK1520"/>
      <c r="OLL1520"/>
      <c r="OLM1520"/>
      <c r="OLN1520"/>
      <c r="OLO1520"/>
      <c r="OLP1520"/>
      <c r="OLQ1520"/>
      <c r="OLR1520"/>
      <c r="OLS1520"/>
      <c r="OLT1520"/>
      <c r="OLU1520"/>
      <c r="OLV1520"/>
      <c r="OLW1520"/>
      <c r="OLX1520"/>
      <c r="OLY1520"/>
      <c r="OLZ1520"/>
      <c r="OMA1520"/>
      <c r="OMB1520"/>
      <c r="OMC1520"/>
      <c r="OMD1520"/>
      <c r="OME1520"/>
      <c r="OMF1520"/>
      <c r="OMG1520"/>
      <c r="OMH1520"/>
      <c r="OMI1520"/>
      <c r="OMJ1520"/>
      <c r="OMK1520"/>
      <c r="OML1520"/>
      <c r="OMM1520"/>
      <c r="OMN1520"/>
      <c r="OMO1520"/>
      <c r="OMP1520"/>
      <c r="OMQ1520"/>
      <c r="OMR1520"/>
      <c r="OMS1520"/>
      <c r="OMT1520"/>
      <c r="OMU1520"/>
      <c r="OMV1520"/>
      <c r="OMW1520"/>
      <c r="OMX1520"/>
      <c r="OMY1520"/>
      <c r="OMZ1520"/>
      <c r="ONA1520"/>
      <c r="ONB1520"/>
      <c r="ONC1520"/>
      <c r="OND1520"/>
      <c r="ONE1520"/>
      <c r="ONF1520"/>
      <c r="ONG1520"/>
      <c r="ONH1520"/>
      <c r="ONI1520"/>
      <c r="ONJ1520"/>
      <c r="ONK1520"/>
      <c r="ONL1520"/>
      <c r="ONM1520"/>
      <c r="ONN1520"/>
      <c r="ONO1520"/>
      <c r="ONP1520"/>
      <c r="ONQ1520"/>
      <c r="ONR1520"/>
      <c r="ONS1520"/>
      <c r="ONT1520"/>
      <c r="ONU1520"/>
      <c r="ONV1520"/>
      <c r="ONW1520"/>
      <c r="ONX1520"/>
      <c r="ONY1520"/>
      <c r="ONZ1520"/>
      <c r="OOA1520"/>
      <c r="OOB1520"/>
      <c r="OOC1520"/>
      <c r="OOD1520"/>
      <c r="OOE1520"/>
      <c r="OOF1520"/>
      <c r="OOG1520"/>
      <c r="OOH1520"/>
      <c r="OOI1520"/>
      <c r="OOJ1520"/>
      <c r="OOK1520"/>
      <c r="OOL1520"/>
      <c r="OOM1520"/>
      <c r="OON1520"/>
      <c r="OOO1520"/>
      <c r="OOP1520"/>
      <c r="OOQ1520"/>
      <c r="OOR1520"/>
      <c r="OOS1520"/>
      <c r="OOT1520"/>
      <c r="OOU1520"/>
      <c r="OOV1520"/>
      <c r="OOW1520"/>
      <c r="OOX1520"/>
      <c r="OOY1520"/>
      <c r="OOZ1520"/>
      <c r="OPA1520"/>
      <c r="OPB1520"/>
      <c r="OPC1520"/>
      <c r="OPD1520"/>
      <c r="OPE1520"/>
      <c r="OPF1520"/>
      <c r="OPG1520"/>
      <c r="OPH1520"/>
      <c r="OPI1520"/>
      <c r="OPJ1520"/>
      <c r="OPK1520"/>
      <c r="OPL1520"/>
      <c r="OPM1520"/>
      <c r="OPN1520"/>
      <c r="OPO1520"/>
      <c r="OPP1520"/>
      <c r="OPQ1520"/>
      <c r="OPR1520"/>
      <c r="OPS1520"/>
      <c r="OPT1520"/>
      <c r="OPU1520"/>
      <c r="OPV1520"/>
      <c r="OPW1520"/>
      <c r="OPX1520"/>
      <c r="OPY1520"/>
      <c r="OPZ1520"/>
      <c r="OQA1520"/>
      <c r="OQB1520"/>
      <c r="OQC1520"/>
      <c r="OQD1520"/>
      <c r="OQE1520"/>
      <c r="OQF1520"/>
      <c r="OQG1520"/>
      <c r="OQH1520"/>
      <c r="OQI1520"/>
      <c r="OQJ1520"/>
      <c r="OQK1520"/>
      <c r="OQL1520"/>
      <c r="OQM1520"/>
      <c r="OQN1520"/>
      <c r="OQO1520"/>
      <c r="OQP1520"/>
      <c r="OQQ1520"/>
      <c r="OQR1520"/>
      <c r="OQS1520"/>
      <c r="OQT1520"/>
      <c r="OQU1520"/>
      <c r="OQV1520"/>
      <c r="OQW1520"/>
      <c r="OQX1520"/>
      <c r="OQY1520"/>
      <c r="OQZ1520"/>
      <c r="ORA1520"/>
      <c r="ORB1520"/>
      <c r="ORC1520"/>
      <c r="ORD1520"/>
      <c r="ORE1520"/>
      <c r="ORF1520"/>
      <c r="ORG1520"/>
      <c r="ORH1520"/>
      <c r="ORI1520"/>
      <c r="ORJ1520"/>
      <c r="ORK1520"/>
      <c r="ORL1520"/>
      <c r="ORM1520"/>
      <c r="ORN1520"/>
      <c r="ORO1520"/>
      <c r="ORP1520"/>
      <c r="ORQ1520"/>
      <c r="ORR1520"/>
      <c r="ORS1520"/>
      <c r="ORT1520"/>
      <c r="ORU1520"/>
      <c r="ORV1520"/>
      <c r="ORW1520"/>
      <c r="ORX1520"/>
      <c r="ORY1520"/>
      <c r="ORZ1520"/>
      <c r="OSA1520"/>
      <c r="OSB1520"/>
      <c r="OSC1520"/>
      <c r="OSD1520"/>
      <c r="OSE1520"/>
      <c r="OSF1520"/>
      <c r="OSG1520"/>
      <c r="OSH1520"/>
      <c r="OSI1520"/>
      <c r="OSJ1520"/>
      <c r="OSK1520"/>
      <c r="OSL1520"/>
      <c r="OSM1520"/>
      <c r="OSN1520"/>
      <c r="OSO1520"/>
      <c r="OSP1520"/>
      <c r="OSQ1520"/>
      <c r="OSR1520"/>
      <c r="OSS1520"/>
      <c r="OST1520"/>
      <c r="OSU1520"/>
      <c r="OSV1520"/>
      <c r="OSW1520"/>
      <c r="OSX1520"/>
      <c r="OSY1520"/>
      <c r="OSZ1520"/>
      <c r="OTA1520"/>
      <c r="OTB1520"/>
      <c r="OTC1520"/>
      <c r="OTD1520"/>
      <c r="OTE1520"/>
      <c r="OTF1520"/>
      <c r="OTG1520"/>
      <c r="OTH1520"/>
      <c r="OTI1520"/>
      <c r="OTJ1520"/>
      <c r="OTK1520"/>
      <c r="OTL1520"/>
      <c r="OTM1520"/>
      <c r="OTN1520"/>
      <c r="OTO1520"/>
      <c r="OTP1520"/>
      <c r="OTQ1520"/>
      <c r="OTR1520"/>
      <c r="OTS1520"/>
      <c r="OTT1520"/>
      <c r="OTU1520"/>
      <c r="OTV1520"/>
      <c r="OTW1520"/>
      <c r="OTX1520"/>
      <c r="OTY1520"/>
      <c r="OTZ1520"/>
      <c r="OUA1520"/>
      <c r="OUB1520"/>
      <c r="OUC1520"/>
      <c r="OUD1520"/>
      <c r="OUE1520"/>
      <c r="OUF1520"/>
      <c r="OUG1520"/>
      <c r="OUH1520"/>
      <c r="OUI1520"/>
      <c r="OUJ1520"/>
      <c r="OUK1520"/>
      <c r="OUL1520"/>
      <c r="OUM1520"/>
      <c r="OUN1520"/>
      <c r="OUO1520"/>
      <c r="OUP1520"/>
      <c r="OUQ1520"/>
      <c r="OUR1520"/>
      <c r="OUS1520"/>
      <c r="OUT1520"/>
      <c r="OUU1520"/>
      <c r="OUV1520"/>
      <c r="OUW1520"/>
      <c r="OUX1520"/>
      <c r="OUY1520"/>
      <c r="OUZ1520"/>
      <c r="OVA1520"/>
      <c r="OVB1520"/>
      <c r="OVC1520"/>
      <c r="OVD1520"/>
      <c r="OVE1520"/>
      <c r="OVF1520"/>
      <c r="OVG1520"/>
      <c r="OVH1520"/>
      <c r="OVI1520"/>
      <c r="OVJ1520"/>
      <c r="OVK1520"/>
      <c r="OVL1520"/>
      <c r="OVM1520"/>
      <c r="OVN1520"/>
      <c r="OVO1520"/>
      <c r="OVP1520"/>
      <c r="OVQ1520"/>
      <c r="OVR1520"/>
      <c r="OVS1520"/>
      <c r="OVT1520"/>
      <c r="OVU1520"/>
      <c r="OVV1520"/>
      <c r="OVW1520"/>
      <c r="OVX1520"/>
      <c r="OVY1520"/>
      <c r="OVZ1520"/>
      <c r="OWA1520"/>
      <c r="OWB1520"/>
      <c r="OWC1520"/>
      <c r="OWD1520"/>
      <c r="OWE1520"/>
      <c r="OWF1520"/>
      <c r="OWG1520"/>
      <c r="OWH1520"/>
      <c r="OWI1520"/>
      <c r="OWJ1520"/>
      <c r="OWK1520"/>
      <c r="OWL1520"/>
      <c r="OWM1520"/>
      <c r="OWN1520"/>
      <c r="OWO1520"/>
      <c r="OWP1520"/>
      <c r="OWQ1520"/>
      <c r="OWR1520"/>
      <c r="OWS1520"/>
      <c r="OWT1520"/>
      <c r="OWU1520"/>
      <c r="OWV1520"/>
      <c r="OWW1520"/>
      <c r="OWX1520"/>
      <c r="OWY1520"/>
      <c r="OWZ1520"/>
      <c r="OXA1520"/>
      <c r="OXB1520"/>
      <c r="OXC1520"/>
      <c r="OXD1520"/>
      <c r="OXE1520"/>
      <c r="OXF1520"/>
      <c r="OXG1520"/>
      <c r="OXH1520"/>
      <c r="OXI1520"/>
      <c r="OXJ1520"/>
      <c r="OXK1520"/>
      <c r="OXL1520"/>
      <c r="OXM1520"/>
      <c r="OXN1520"/>
      <c r="OXO1520"/>
      <c r="OXP1520"/>
      <c r="OXQ1520"/>
      <c r="OXR1520"/>
      <c r="OXS1520"/>
      <c r="OXT1520"/>
      <c r="OXU1520"/>
      <c r="OXV1520"/>
      <c r="OXW1520"/>
      <c r="OXX1520"/>
      <c r="OXY1520"/>
      <c r="OXZ1520"/>
      <c r="OYA1520"/>
      <c r="OYB1520"/>
      <c r="OYC1520"/>
      <c r="OYD1520"/>
      <c r="OYE1520"/>
      <c r="OYF1520"/>
      <c r="OYG1520"/>
      <c r="OYH1520"/>
      <c r="OYI1520"/>
      <c r="OYJ1520"/>
      <c r="OYK1520"/>
      <c r="OYL1520"/>
      <c r="OYM1520"/>
      <c r="OYN1520"/>
      <c r="OYO1520"/>
      <c r="OYP1520"/>
      <c r="OYQ1520"/>
      <c r="OYR1520"/>
      <c r="OYS1520"/>
      <c r="OYT1520"/>
      <c r="OYU1520"/>
      <c r="OYV1520"/>
      <c r="OYW1520"/>
      <c r="OYX1520"/>
      <c r="OYY1520"/>
      <c r="OYZ1520"/>
      <c r="OZA1520"/>
      <c r="OZB1520"/>
      <c r="OZC1520"/>
      <c r="OZD1520"/>
      <c r="OZE1520"/>
      <c r="OZF1520"/>
      <c r="OZG1520"/>
      <c r="OZH1520"/>
      <c r="OZI1520"/>
      <c r="OZJ1520"/>
      <c r="OZK1520"/>
      <c r="OZL1520"/>
      <c r="OZM1520"/>
      <c r="OZN1520"/>
      <c r="OZO1520"/>
      <c r="OZP1520"/>
      <c r="OZQ1520"/>
      <c r="OZR1520"/>
      <c r="OZS1520"/>
      <c r="OZT1520"/>
      <c r="OZU1520"/>
      <c r="OZV1520"/>
      <c r="OZW1520"/>
      <c r="OZX1520"/>
      <c r="OZY1520"/>
      <c r="OZZ1520"/>
      <c r="PAA1520"/>
      <c r="PAB1520"/>
      <c r="PAC1520"/>
      <c r="PAD1520"/>
      <c r="PAE1520"/>
      <c r="PAF1520"/>
      <c r="PAG1520"/>
      <c r="PAH1520"/>
      <c r="PAI1520"/>
      <c r="PAJ1520"/>
      <c r="PAK1520"/>
      <c r="PAL1520"/>
      <c r="PAM1520"/>
      <c r="PAN1520"/>
      <c r="PAO1520"/>
      <c r="PAP1520"/>
      <c r="PAQ1520"/>
      <c r="PAR1520"/>
      <c r="PAS1520"/>
      <c r="PAT1520"/>
      <c r="PAU1520"/>
      <c r="PAV1520"/>
      <c r="PAW1520"/>
      <c r="PAX1520"/>
      <c r="PAY1520"/>
      <c r="PAZ1520"/>
      <c r="PBA1520"/>
      <c r="PBB1520"/>
      <c r="PBC1520"/>
      <c r="PBD1520"/>
      <c r="PBE1520"/>
      <c r="PBF1520"/>
      <c r="PBG1520"/>
      <c r="PBH1520"/>
      <c r="PBI1520"/>
      <c r="PBJ1520"/>
      <c r="PBK1520"/>
      <c r="PBL1520"/>
      <c r="PBM1520"/>
      <c r="PBN1520"/>
      <c r="PBO1520"/>
      <c r="PBP1520"/>
      <c r="PBQ1520"/>
      <c r="PBR1520"/>
      <c r="PBS1520"/>
      <c r="PBT1520"/>
      <c r="PBU1520"/>
      <c r="PBV1520"/>
      <c r="PBW1520"/>
      <c r="PBX1520"/>
      <c r="PBY1520"/>
      <c r="PBZ1520"/>
      <c r="PCA1520"/>
      <c r="PCB1520"/>
      <c r="PCC1520"/>
      <c r="PCD1520"/>
      <c r="PCE1520"/>
      <c r="PCF1520"/>
      <c r="PCG1520"/>
      <c r="PCH1520"/>
      <c r="PCI1520"/>
      <c r="PCJ1520"/>
      <c r="PCK1520"/>
      <c r="PCL1520"/>
      <c r="PCM1520"/>
      <c r="PCN1520"/>
      <c r="PCO1520"/>
      <c r="PCP1520"/>
      <c r="PCQ1520"/>
      <c r="PCR1520"/>
      <c r="PCS1520"/>
      <c r="PCT1520"/>
      <c r="PCU1520"/>
      <c r="PCV1520"/>
      <c r="PCW1520"/>
      <c r="PCX1520"/>
      <c r="PCY1520"/>
      <c r="PCZ1520"/>
      <c r="PDA1520"/>
      <c r="PDB1520"/>
      <c r="PDC1520"/>
      <c r="PDD1520"/>
      <c r="PDE1520"/>
      <c r="PDF1520"/>
      <c r="PDG1520"/>
      <c r="PDH1520"/>
      <c r="PDI1520"/>
      <c r="PDJ1520"/>
      <c r="PDK1520"/>
      <c r="PDL1520"/>
      <c r="PDM1520"/>
      <c r="PDN1520"/>
      <c r="PDO1520"/>
      <c r="PDP1520"/>
      <c r="PDQ1520"/>
      <c r="PDR1520"/>
      <c r="PDS1520"/>
      <c r="PDT1520"/>
      <c r="PDU1520"/>
      <c r="PDV1520"/>
      <c r="PDW1520"/>
      <c r="PDX1520"/>
      <c r="PDY1520"/>
      <c r="PDZ1520"/>
      <c r="PEA1520"/>
      <c r="PEB1520"/>
      <c r="PEC1520"/>
      <c r="PED1520"/>
      <c r="PEE1520"/>
      <c r="PEF1520"/>
      <c r="PEG1520"/>
      <c r="PEH1520"/>
      <c r="PEI1520"/>
      <c r="PEJ1520"/>
      <c r="PEK1520"/>
      <c r="PEL1520"/>
      <c r="PEM1520"/>
      <c r="PEN1520"/>
      <c r="PEO1520"/>
      <c r="PEP1520"/>
      <c r="PEQ1520"/>
      <c r="PER1520"/>
      <c r="PES1520"/>
      <c r="PET1520"/>
      <c r="PEU1520"/>
      <c r="PEV1520"/>
      <c r="PEW1520"/>
      <c r="PEX1520"/>
      <c r="PEY1520"/>
      <c r="PEZ1520"/>
      <c r="PFA1520"/>
      <c r="PFB1520"/>
      <c r="PFC1520"/>
      <c r="PFD1520"/>
      <c r="PFE1520"/>
      <c r="PFF1520"/>
      <c r="PFG1520"/>
      <c r="PFH1520"/>
      <c r="PFI1520"/>
      <c r="PFJ1520"/>
      <c r="PFK1520"/>
      <c r="PFL1520"/>
      <c r="PFM1520"/>
      <c r="PFN1520"/>
      <c r="PFO1520"/>
      <c r="PFP1520"/>
      <c r="PFQ1520"/>
      <c r="PFR1520"/>
      <c r="PFS1520"/>
      <c r="PFT1520"/>
      <c r="PFU1520"/>
      <c r="PFV1520"/>
      <c r="PFW1520"/>
      <c r="PFX1520"/>
      <c r="PFY1520"/>
      <c r="PFZ1520"/>
      <c r="PGA1520"/>
      <c r="PGB1520"/>
      <c r="PGC1520"/>
      <c r="PGD1520"/>
      <c r="PGE1520"/>
      <c r="PGF1520"/>
      <c r="PGG1520"/>
      <c r="PGH1520"/>
      <c r="PGI1520"/>
      <c r="PGJ1520"/>
      <c r="PGK1520"/>
      <c r="PGL1520"/>
      <c r="PGM1520"/>
      <c r="PGN1520"/>
      <c r="PGO1520"/>
      <c r="PGP1520"/>
      <c r="PGQ1520"/>
      <c r="PGR1520"/>
      <c r="PGS1520"/>
      <c r="PGT1520"/>
      <c r="PGU1520"/>
      <c r="PGV1520"/>
      <c r="PGW1520"/>
      <c r="PGX1520"/>
      <c r="PGY1520"/>
      <c r="PGZ1520"/>
      <c r="PHA1520"/>
      <c r="PHB1520"/>
      <c r="PHC1520"/>
      <c r="PHD1520"/>
      <c r="PHE1520"/>
      <c r="PHF1520"/>
      <c r="PHG1520"/>
      <c r="PHH1520"/>
      <c r="PHI1520"/>
      <c r="PHJ1520"/>
      <c r="PHK1520"/>
      <c r="PHL1520"/>
      <c r="PHM1520"/>
      <c r="PHN1520"/>
      <c r="PHO1520"/>
      <c r="PHP1520"/>
      <c r="PHQ1520"/>
      <c r="PHR1520"/>
      <c r="PHS1520"/>
      <c r="PHT1520"/>
      <c r="PHU1520"/>
      <c r="PHV1520"/>
      <c r="PHW1520"/>
      <c r="PHX1520"/>
      <c r="PHY1520"/>
      <c r="PHZ1520"/>
      <c r="PIA1520"/>
      <c r="PIB1520"/>
      <c r="PIC1520"/>
      <c r="PID1520"/>
      <c r="PIE1520"/>
      <c r="PIF1520"/>
      <c r="PIG1520"/>
      <c r="PIH1520"/>
      <c r="PII1520"/>
      <c r="PIJ1520"/>
      <c r="PIK1520"/>
      <c r="PIL1520"/>
      <c r="PIM1520"/>
      <c r="PIN1520"/>
      <c r="PIO1520"/>
      <c r="PIP1520"/>
      <c r="PIQ1520"/>
      <c r="PIR1520"/>
      <c r="PIS1520"/>
      <c r="PIT1520"/>
      <c r="PIU1520"/>
      <c r="PIV1520"/>
      <c r="PIW1520"/>
      <c r="PIX1520"/>
      <c r="PIY1520"/>
      <c r="PIZ1520"/>
      <c r="PJA1520"/>
      <c r="PJB1520"/>
      <c r="PJC1520"/>
      <c r="PJD1520"/>
      <c r="PJE1520"/>
      <c r="PJF1520"/>
      <c r="PJG1520"/>
      <c r="PJH1520"/>
      <c r="PJI1520"/>
      <c r="PJJ1520"/>
      <c r="PJK1520"/>
      <c r="PJL1520"/>
      <c r="PJM1520"/>
      <c r="PJN1520"/>
      <c r="PJO1520"/>
      <c r="PJP1520"/>
      <c r="PJQ1520"/>
      <c r="PJR1520"/>
      <c r="PJS1520"/>
      <c r="PJT1520"/>
      <c r="PJU1520"/>
      <c r="PJV1520"/>
      <c r="PJW1520"/>
      <c r="PJX1520"/>
      <c r="PJY1520"/>
      <c r="PJZ1520"/>
      <c r="PKA1520"/>
      <c r="PKB1520"/>
      <c r="PKC1520"/>
      <c r="PKD1520"/>
      <c r="PKE1520"/>
      <c r="PKF1520"/>
      <c r="PKG1520"/>
      <c r="PKH1520"/>
      <c r="PKI1520"/>
      <c r="PKJ1520"/>
      <c r="PKK1520"/>
      <c r="PKL1520"/>
      <c r="PKM1520"/>
      <c r="PKN1520"/>
      <c r="PKO1520"/>
      <c r="PKP1520"/>
      <c r="PKQ1520"/>
      <c r="PKR1520"/>
      <c r="PKS1520"/>
      <c r="PKT1520"/>
      <c r="PKU1520"/>
      <c r="PKV1520"/>
      <c r="PKW1520"/>
      <c r="PKX1520"/>
      <c r="PKY1520"/>
      <c r="PKZ1520"/>
      <c r="PLA1520"/>
      <c r="PLB1520"/>
      <c r="PLC1520"/>
      <c r="PLD1520"/>
      <c r="PLE1520"/>
      <c r="PLF1520"/>
      <c r="PLG1520"/>
      <c r="PLH1520"/>
      <c r="PLI1520"/>
      <c r="PLJ1520"/>
      <c r="PLK1520"/>
      <c r="PLL1520"/>
      <c r="PLM1520"/>
      <c r="PLN1520"/>
      <c r="PLO1520"/>
      <c r="PLP1520"/>
      <c r="PLQ1520"/>
      <c r="PLR1520"/>
      <c r="PLS1520"/>
      <c r="PLT1520"/>
      <c r="PLU1520"/>
      <c r="PLV1520"/>
      <c r="PLW1520"/>
      <c r="PLX1520"/>
      <c r="PLY1520"/>
      <c r="PLZ1520"/>
      <c r="PMA1520"/>
      <c r="PMB1520"/>
      <c r="PMC1520"/>
      <c r="PMD1520"/>
      <c r="PME1520"/>
      <c r="PMF1520"/>
      <c r="PMG1520"/>
      <c r="PMH1520"/>
      <c r="PMI1520"/>
      <c r="PMJ1520"/>
      <c r="PMK1520"/>
      <c r="PML1520"/>
      <c r="PMM1520"/>
      <c r="PMN1520"/>
      <c r="PMO1520"/>
      <c r="PMP1520"/>
      <c r="PMQ1520"/>
      <c r="PMR1520"/>
      <c r="PMS1520"/>
      <c r="PMT1520"/>
      <c r="PMU1520"/>
      <c r="PMV1520"/>
      <c r="PMW1520"/>
      <c r="PMX1520"/>
      <c r="PMY1520"/>
      <c r="PMZ1520"/>
      <c r="PNA1520"/>
      <c r="PNB1520"/>
      <c r="PNC1520"/>
      <c r="PND1520"/>
      <c r="PNE1520"/>
      <c r="PNF1520"/>
      <c r="PNG1520"/>
      <c r="PNH1520"/>
      <c r="PNI1520"/>
      <c r="PNJ1520"/>
      <c r="PNK1520"/>
      <c r="PNL1520"/>
      <c r="PNM1520"/>
      <c r="PNN1520"/>
      <c r="PNO1520"/>
      <c r="PNP1520"/>
      <c r="PNQ1520"/>
      <c r="PNR1520"/>
      <c r="PNS1520"/>
      <c r="PNT1520"/>
      <c r="PNU1520"/>
      <c r="PNV1520"/>
      <c r="PNW1520"/>
      <c r="PNX1520"/>
      <c r="PNY1520"/>
      <c r="PNZ1520"/>
      <c r="POA1520"/>
      <c r="POB1520"/>
      <c r="POC1520"/>
      <c r="POD1520"/>
      <c r="POE1520"/>
      <c r="POF1520"/>
      <c r="POG1520"/>
      <c r="POH1520"/>
      <c r="POI1520"/>
      <c r="POJ1520"/>
      <c r="POK1520"/>
      <c r="POL1520"/>
      <c r="POM1520"/>
      <c r="PON1520"/>
      <c r="POO1520"/>
      <c r="POP1520"/>
      <c r="POQ1520"/>
      <c r="POR1520"/>
      <c r="POS1520"/>
      <c r="POT1520"/>
      <c r="POU1520"/>
      <c r="POV1520"/>
      <c r="POW1520"/>
      <c r="POX1520"/>
      <c r="POY1520"/>
      <c r="POZ1520"/>
      <c r="PPA1520"/>
      <c r="PPB1520"/>
      <c r="PPC1520"/>
      <c r="PPD1520"/>
      <c r="PPE1520"/>
      <c r="PPF1520"/>
      <c r="PPG1520"/>
      <c r="PPH1520"/>
      <c r="PPI1520"/>
      <c r="PPJ1520"/>
      <c r="PPK1520"/>
      <c r="PPL1520"/>
      <c r="PPM1520"/>
      <c r="PPN1520"/>
      <c r="PPO1520"/>
      <c r="PPP1520"/>
      <c r="PPQ1520"/>
      <c r="PPR1520"/>
      <c r="PPS1520"/>
      <c r="PPT1520"/>
      <c r="PPU1520"/>
      <c r="PPV1520"/>
      <c r="PPW1520"/>
      <c r="PPX1520"/>
      <c r="PPY1520"/>
      <c r="PPZ1520"/>
      <c r="PQA1520"/>
      <c r="PQB1520"/>
      <c r="PQC1520"/>
      <c r="PQD1520"/>
      <c r="PQE1520"/>
      <c r="PQF1520"/>
      <c r="PQG1520"/>
      <c r="PQH1520"/>
      <c r="PQI1520"/>
      <c r="PQJ1520"/>
      <c r="PQK1520"/>
      <c r="PQL1520"/>
      <c r="PQM1520"/>
      <c r="PQN1520"/>
      <c r="PQO1520"/>
      <c r="PQP1520"/>
      <c r="PQQ1520"/>
      <c r="PQR1520"/>
      <c r="PQS1520"/>
      <c r="PQT1520"/>
      <c r="PQU1520"/>
      <c r="PQV1520"/>
      <c r="PQW1520"/>
      <c r="PQX1520"/>
      <c r="PQY1520"/>
      <c r="PQZ1520"/>
      <c r="PRA1520"/>
      <c r="PRB1520"/>
      <c r="PRC1520"/>
      <c r="PRD1520"/>
      <c r="PRE1520"/>
      <c r="PRF1520"/>
      <c r="PRG1520"/>
      <c r="PRH1520"/>
      <c r="PRI1520"/>
      <c r="PRJ1520"/>
      <c r="PRK1520"/>
      <c r="PRL1520"/>
      <c r="PRM1520"/>
      <c r="PRN1520"/>
      <c r="PRO1520"/>
      <c r="PRP1520"/>
      <c r="PRQ1520"/>
      <c r="PRR1520"/>
      <c r="PRS1520"/>
      <c r="PRT1520"/>
      <c r="PRU1520"/>
      <c r="PRV1520"/>
      <c r="PRW1520"/>
      <c r="PRX1520"/>
      <c r="PRY1520"/>
      <c r="PRZ1520"/>
      <c r="PSA1520"/>
      <c r="PSB1520"/>
      <c r="PSC1520"/>
      <c r="PSD1520"/>
      <c r="PSE1520"/>
      <c r="PSF1520"/>
      <c r="PSG1520"/>
      <c r="PSH1520"/>
      <c r="PSI1520"/>
      <c r="PSJ1520"/>
      <c r="PSK1520"/>
      <c r="PSL1520"/>
      <c r="PSM1520"/>
      <c r="PSN1520"/>
      <c r="PSO1520"/>
      <c r="PSP1520"/>
      <c r="PSQ1520"/>
      <c r="PSR1520"/>
      <c r="PSS1520"/>
      <c r="PST1520"/>
      <c r="PSU1520"/>
      <c r="PSV1520"/>
      <c r="PSW1520"/>
      <c r="PSX1520"/>
      <c r="PSY1520"/>
      <c r="PSZ1520"/>
      <c r="PTA1520"/>
      <c r="PTB1520"/>
      <c r="PTC1520"/>
      <c r="PTD1520"/>
      <c r="PTE1520"/>
      <c r="PTF1520"/>
      <c r="PTG1520"/>
      <c r="PTH1520"/>
      <c r="PTI1520"/>
      <c r="PTJ1520"/>
      <c r="PTK1520"/>
      <c r="PTL1520"/>
      <c r="PTM1520"/>
      <c r="PTN1520"/>
      <c r="PTO1520"/>
      <c r="PTP1520"/>
      <c r="PTQ1520"/>
      <c r="PTR1520"/>
      <c r="PTS1520"/>
      <c r="PTT1520"/>
      <c r="PTU1520"/>
      <c r="PTV1520"/>
      <c r="PTW1520"/>
      <c r="PTX1520"/>
      <c r="PTY1520"/>
      <c r="PTZ1520"/>
      <c r="PUA1520"/>
      <c r="PUB1520"/>
      <c r="PUC1520"/>
      <c r="PUD1520"/>
      <c r="PUE1520"/>
      <c r="PUF1520"/>
      <c r="PUG1520"/>
      <c r="PUH1520"/>
      <c r="PUI1520"/>
      <c r="PUJ1520"/>
      <c r="PUK1520"/>
      <c r="PUL1520"/>
      <c r="PUM1520"/>
      <c r="PUN1520"/>
      <c r="PUO1520"/>
      <c r="PUP1520"/>
      <c r="PUQ1520"/>
      <c r="PUR1520"/>
      <c r="PUS1520"/>
      <c r="PUT1520"/>
      <c r="PUU1520"/>
      <c r="PUV1520"/>
      <c r="PUW1520"/>
      <c r="PUX1520"/>
      <c r="PUY1520"/>
      <c r="PUZ1520"/>
      <c r="PVA1520"/>
      <c r="PVB1520"/>
      <c r="PVC1520"/>
      <c r="PVD1520"/>
      <c r="PVE1520"/>
      <c r="PVF1520"/>
      <c r="PVG1520"/>
      <c r="PVH1520"/>
      <c r="PVI1520"/>
      <c r="PVJ1520"/>
      <c r="PVK1520"/>
      <c r="PVL1520"/>
      <c r="PVM1520"/>
      <c r="PVN1520"/>
      <c r="PVO1520"/>
      <c r="PVP1520"/>
      <c r="PVQ1520"/>
      <c r="PVR1520"/>
      <c r="PVS1520"/>
      <c r="PVT1520"/>
      <c r="PVU1520"/>
      <c r="PVV1520"/>
      <c r="PVW1520"/>
      <c r="PVX1520"/>
      <c r="PVY1520"/>
      <c r="PVZ1520"/>
      <c r="PWA1520"/>
      <c r="PWB1520"/>
      <c r="PWC1520"/>
      <c r="PWD1520"/>
      <c r="PWE1520"/>
      <c r="PWF1520"/>
      <c r="PWG1520"/>
      <c r="PWH1520"/>
      <c r="PWI1520"/>
      <c r="PWJ1520"/>
      <c r="PWK1520"/>
      <c r="PWL1520"/>
      <c r="PWM1520"/>
      <c r="PWN1520"/>
      <c r="PWO1520"/>
      <c r="PWP1520"/>
      <c r="PWQ1520"/>
      <c r="PWR1520"/>
      <c r="PWS1520"/>
      <c r="PWT1520"/>
      <c r="PWU1520"/>
      <c r="PWV1520"/>
      <c r="PWW1520"/>
      <c r="PWX1520"/>
      <c r="PWY1520"/>
      <c r="PWZ1520"/>
      <c r="PXA1520"/>
      <c r="PXB1520"/>
      <c r="PXC1520"/>
      <c r="PXD1520"/>
      <c r="PXE1520"/>
      <c r="PXF1520"/>
      <c r="PXG1520"/>
      <c r="PXH1520"/>
      <c r="PXI1520"/>
      <c r="PXJ1520"/>
      <c r="PXK1520"/>
      <c r="PXL1520"/>
      <c r="PXM1520"/>
      <c r="PXN1520"/>
      <c r="PXO1520"/>
      <c r="PXP1520"/>
      <c r="PXQ1520"/>
      <c r="PXR1520"/>
      <c r="PXS1520"/>
      <c r="PXT1520"/>
      <c r="PXU1520"/>
      <c r="PXV1520"/>
      <c r="PXW1520"/>
      <c r="PXX1520"/>
      <c r="PXY1520"/>
      <c r="PXZ1520"/>
      <c r="PYA1520"/>
      <c r="PYB1520"/>
      <c r="PYC1520"/>
      <c r="PYD1520"/>
      <c r="PYE1520"/>
      <c r="PYF1520"/>
      <c r="PYG1520"/>
      <c r="PYH1520"/>
      <c r="PYI1520"/>
      <c r="PYJ1520"/>
      <c r="PYK1520"/>
      <c r="PYL1520"/>
      <c r="PYM1520"/>
      <c r="PYN1520"/>
      <c r="PYO1520"/>
      <c r="PYP1520"/>
      <c r="PYQ1520"/>
      <c r="PYR1520"/>
      <c r="PYS1520"/>
      <c r="PYT1520"/>
      <c r="PYU1520"/>
      <c r="PYV1520"/>
      <c r="PYW1520"/>
      <c r="PYX1520"/>
      <c r="PYY1520"/>
      <c r="PYZ1520"/>
      <c r="PZA1520"/>
      <c r="PZB1520"/>
      <c r="PZC1520"/>
      <c r="PZD1520"/>
      <c r="PZE1520"/>
      <c r="PZF1520"/>
      <c r="PZG1520"/>
      <c r="PZH1520"/>
      <c r="PZI1520"/>
      <c r="PZJ1520"/>
      <c r="PZK1520"/>
      <c r="PZL1520"/>
      <c r="PZM1520"/>
      <c r="PZN1520"/>
      <c r="PZO1520"/>
      <c r="PZP1520"/>
      <c r="PZQ1520"/>
      <c r="PZR1520"/>
      <c r="PZS1520"/>
      <c r="PZT1520"/>
      <c r="PZU1520"/>
      <c r="PZV1520"/>
      <c r="PZW1520"/>
      <c r="PZX1520"/>
      <c r="PZY1520"/>
      <c r="PZZ1520"/>
      <c r="QAA1520"/>
      <c r="QAB1520"/>
      <c r="QAC1520"/>
      <c r="QAD1520"/>
      <c r="QAE1520"/>
      <c r="QAF1520"/>
      <c r="QAG1520"/>
      <c r="QAH1520"/>
      <c r="QAI1520"/>
      <c r="QAJ1520"/>
      <c r="QAK1520"/>
      <c r="QAL1520"/>
      <c r="QAM1520"/>
      <c r="QAN1520"/>
      <c r="QAO1520"/>
      <c r="QAP1520"/>
      <c r="QAQ1520"/>
      <c r="QAR1520"/>
      <c r="QAS1520"/>
      <c r="QAT1520"/>
      <c r="QAU1520"/>
      <c r="QAV1520"/>
      <c r="QAW1520"/>
      <c r="QAX1520"/>
      <c r="QAY1520"/>
      <c r="QAZ1520"/>
      <c r="QBA1520"/>
      <c r="QBB1520"/>
      <c r="QBC1520"/>
      <c r="QBD1520"/>
      <c r="QBE1520"/>
      <c r="QBF1520"/>
      <c r="QBG1520"/>
      <c r="QBH1520"/>
      <c r="QBI1520"/>
      <c r="QBJ1520"/>
      <c r="QBK1520"/>
      <c r="QBL1520"/>
      <c r="QBM1520"/>
      <c r="QBN1520"/>
      <c r="QBO1520"/>
      <c r="QBP1520"/>
      <c r="QBQ1520"/>
      <c r="QBR1520"/>
      <c r="QBS1520"/>
      <c r="QBT1520"/>
      <c r="QBU1520"/>
      <c r="QBV1520"/>
      <c r="QBW1520"/>
      <c r="QBX1520"/>
      <c r="QBY1520"/>
      <c r="QBZ1520"/>
      <c r="QCA1520"/>
      <c r="QCB1520"/>
      <c r="QCC1520"/>
      <c r="QCD1520"/>
      <c r="QCE1520"/>
      <c r="QCF1520"/>
      <c r="QCG1520"/>
      <c r="QCH1520"/>
      <c r="QCI1520"/>
      <c r="QCJ1520"/>
      <c r="QCK1520"/>
      <c r="QCL1520"/>
      <c r="QCM1520"/>
      <c r="QCN1520"/>
      <c r="QCO1520"/>
      <c r="QCP1520"/>
      <c r="QCQ1520"/>
      <c r="QCR1520"/>
      <c r="QCS1520"/>
      <c r="QCT1520"/>
      <c r="QCU1520"/>
      <c r="QCV1520"/>
      <c r="QCW1520"/>
      <c r="QCX1520"/>
      <c r="QCY1520"/>
      <c r="QCZ1520"/>
      <c r="QDA1520"/>
      <c r="QDB1520"/>
      <c r="QDC1520"/>
      <c r="QDD1520"/>
      <c r="QDE1520"/>
      <c r="QDF1520"/>
      <c r="QDG1520"/>
      <c r="QDH1520"/>
      <c r="QDI1520"/>
      <c r="QDJ1520"/>
      <c r="QDK1520"/>
      <c r="QDL1520"/>
      <c r="QDM1520"/>
      <c r="QDN1520"/>
      <c r="QDO1520"/>
      <c r="QDP1520"/>
      <c r="QDQ1520"/>
      <c r="QDR1520"/>
      <c r="QDS1520"/>
      <c r="QDT1520"/>
      <c r="QDU1520"/>
      <c r="QDV1520"/>
      <c r="QDW1520"/>
      <c r="QDX1520"/>
      <c r="QDY1520"/>
      <c r="QDZ1520"/>
      <c r="QEA1520"/>
      <c r="QEB1520"/>
      <c r="QEC1520"/>
      <c r="QED1520"/>
      <c r="QEE1520"/>
      <c r="QEF1520"/>
      <c r="QEG1520"/>
      <c r="QEH1520"/>
      <c r="QEI1520"/>
      <c r="QEJ1520"/>
      <c r="QEK1520"/>
      <c r="QEL1520"/>
      <c r="QEM1520"/>
      <c r="QEN1520"/>
      <c r="QEO1520"/>
      <c r="QEP1520"/>
      <c r="QEQ1520"/>
      <c r="QER1520"/>
      <c r="QES1520"/>
      <c r="QET1520"/>
      <c r="QEU1520"/>
      <c r="QEV1520"/>
      <c r="QEW1520"/>
      <c r="QEX1520"/>
      <c r="QEY1520"/>
      <c r="QEZ1520"/>
      <c r="QFA1520"/>
      <c r="QFB1520"/>
      <c r="QFC1520"/>
      <c r="QFD1520"/>
      <c r="QFE1520"/>
      <c r="QFF1520"/>
      <c r="QFG1520"/>
      <c r="QFH1520"/>
      <c r="QFI1520"/>
      <c r="QFJ1520"/>
      <c r="QFK1520"/>
      <c r="QFL1520"/>
      <c r="QFM1520"/>
      <c r="QFN1520"/>
      <c r="QFO1520"/>
      <c r="QFP1520"/>
      <c r="QFQ1520"/>
      <c r="QFR1520"/>
      <c r="QFS1520"/>
      <c r="QFT1520"/>
      <c r="QFU1520"/>
      <c r="QFV1520"/>
      <c r="QFW1520"/>
      <c r="QFX1520"/>
      <c r="QFY1520"/>
      <c r="QFZ1520"/>
      <c r="QGA1520"/>
      <c r="QGB1520"/>
      <c r="QGC1520"/>
      <c r="QGD1520"/>
      <c r="QGE1520"/>
      <c r="QGF1520"/>
      <c r="QGG1520"/>
      <c r="QGH1520"/>
      <c r="QGI1520"/>
      <c r="QGJ1520"/>
      <c r="QGK1520"/>
      <c r="QGL1520"/>
      <c r="QGM1520"/>
      <c r="QGN1520"/>
      <c r="QGO1520"/>
      <c r="QGP1520"/>
      <c r="QGQ1520"/>
      <c r="QGR1520"/>
      <c r="QGS1520"/>
      <c r="QGT1520"/>
      <c r="QGU1520"/>
      <c r="QGV1520"/>
      <c r="QGW1520"/>
      <c r="QGX1520"/>
      <c r="QGY1520"/>
      <c r="QGZ1520"/>
      <c r="QHA1520"/>
      <c r="QHB1520"/>
      <c r="QHC1520"/>
      <c r="QHD1520"/>
      <c r="QHE1520"/>
      <c r="QHF1520"/>
      <c r="QHG1520"/>
      <c r="QHH1520"/>
      <c r="QHI1520"/>
      <c r="QHJ1520"/>
      <c r="QHK1520"/>
      <c r="QHL1520"/>
      <c r="QHM1520"/>
      <c r="QHN1520"/>
      <c r="QHO1520"/>
      <c r="QHP1520"/>
      <c r="QHQ1520"/>
      <c r="QHR1520"/>
      <c r="QHS1520"/>
      <c r="QHT1520"/>
      <c r="QHU1520"/>
      <c r="QHV1520"/>
      <c r="QHW1520"/>
      <c r="QHX1520"/>
      <c r="QHY1520"/>
      <c r="QHZ1520"/>
      <c r="QIA1520"/>
      <c r="QIB1520"/>
      <c r="QIC1520"/>
      <c r="QID1520"/>
      <c r="QIE1520"/>
      <c r="QIF1520"/>
      <c r="QIG1520"/>
      <c r="QIH1520"/>
      <c r="QII1520"/>
      <c r="QIJ1520"/>
      <c r="QIK1520"/>
      <c r="QIL1520"/>
      <c r="QIM1520"/>
      <c r="QIN1520"/>
      <c r="QIO1520"/>
      <c r="QIP1520"/>
      <c r="QIQ1520"/>
      <c r="QIR1520"/>
      <c r="QIS1520"/>
      <c r="QIT1520"/>
      <c r="QIU1520"/>
      <c r="QIV1520"/>
      <c r="QIW1520"/>
      <c r="QIX1520"/>
      <c r="QIY1520"/>
      <c r="QIZ1520"/>
      <c r="QJA1520"/>
      <c r="QJB1520"/>
      <c r="QJC1520"/>
      <c r="QJD1520"/>
      <c r="QJE1520"/>
      <c r="QJF1520"/>
      <c r="QJG1520"/>
      <c r="QJH1520"/>
      <c r="QJI1520"/>
      <c r="QJJ1520"/>
      <c r="QJK1520"/>
      <c r="QJL1520"/>
      <c r="QJM1520"/>
      <c r="QJN1520"/>
      <c r="QJO1520"/>
      <c r="QJP1520"/>
      <c r="QJQ1520"/>
      <c r="QJR1520"/>
      <c r="QJS1520"/>
      <c r="QJT1520"/>
      <c r="QJU1520"/>
      <c r="QJV1520"/>
      <c r="QJW1520"/>
      <c r="QJX1520"/>
      <c r="QJY1520"/>
      <c r="QJZ1520"/>
      <c r="QKA1520"/>
      <c r="QKB1520"/>
      <c r="QKC1520"/>
      <c r="QKD1520"/>
      <c r="QKE1520"/>
      <c r="QKF1520"/>
      <c r="QKG1520"/>
      <c r="QKH1520"/>
      <c r="QKI1520"/>
      <c r="QKJ1520"/>
      <c r="QKK1520"/>
      <c r="QKL1520"/>
      <c r="QKM1520"/>
      <c r="QKN1520"/>
      <c r="QKO1520"/>
      <c r="QKP1520"/>
      <c r="QKQ1520"/>
      <c r="QKR1520"/>
      <c r="QKS1520"/>
      <c r="QKT1520"/>
      <c r="QKU1520"/>
      <c r="QKV1520"/>
      <c r="QKW1520"/>
      <c r="QKX1520"/>
      <c r="QKY1520"/>
      <c r="QKZ1520"/>
      <c r="QLA1520"/>
      <c r="QLB1520"/>
      <c r="QLC1520"/>
      <c r="QLD1520"/>
      <c r="QLE1520"/>
      <c r="QLF1520"/>
      <c r="QLG1520"/>
      <c r="QLH1520"/>
      <c r="QLI1520"/>
      <c r="QLJ1520"/>
      <c r="QLK1520"/>
      <c r="QLL1520"/>
      <c r="QLM1520"/>
      <c r="QLN1520"/>
      <c r="QLO1520"/>
      <c r="QLP1520"/>
      <c r="QLQ1520"/>
      <c r="QLR1520"/>
      <c r="QLS1520"/>
      <c r="QLT1520"/>
      <c r="QLU1520"/>
      <c r="QLV1520"/>
      <c r="QLW1520"/>
      <c r="QLX1520"/>
      <c r="QLY1520"/>
      <c r="QLZ1520"/>
      <c r="QMA1520"/>
      <c r="QMB1520"/>
      <c r="QMC1520"/>
      <c r="QMD1520"/>
      <c r="QME1520"/>
      <c r="QMF1520"/>
      <c r="QMG1520"/>
      <c r="QMH1520"/>
      <c r="QMI1520"/>
      <c r="QMJ1520"/>
      <c r="QMK1520"/>
      <c r="QML1520"/>
      <c r="QMM1520"/>
      <c r="QMN1520"/>
      <c r="QMO1520"/>
      <c r="QMP1520"/>
      <c r="QMQ1520"/>
      <c r="QMR1520"/>
      <c r="QMS1520"/>
      <c r="QMT1520"/>
      <c r="QMU1520"/>
      <c r="QMV1520"/>
      <c r="QMW1520"/>
      <c r="QMX1520"/>
      <c r="QMY1520"/>
      <c r="QMZ1520"/>
      <c r="QNA1520"/>
      <c r="QNB1520"/>
      <c r="QNC1520"/>
      <c r="QND1520"/>
      <c r="QNE1520"/>
      <c r="QNF1520"/>
      <c r="QNG1520"/>
      <c r="QNH1520"/>
      <c r="QNI1520"/>
      <c r="QNJ1520"/>
      <c r="QNK1520"/>
      <c r="QNL1520"/>
      <c r="QNM1520"/>
      <c r="QNN1520"/>
      <c r="QNO1520"/>
      <c r="QNP1520"/>
      <c r="QNQ1520"/>
      <c r="QNR1520"/>
      <c r="QNS1520"/>
      <c r="QNT1520"/>
      <c r="QNU1520"/>
      <c r="QNV1520"/>
      <c r="QNW1520"/>
      <c r="QNX1520"/>
      <c r="QNY1520"/>
      <c r="QNZ1520"/>
      <c r="QOA1520"/>
      <c r="QOB1520"/>
      <c r="QOC1520"/>
      <c r="QOD1520"/>
      <c r="QOE1520"/>
      <c r="QOF1520"/>
      <c r="QOG1520"/>
      <c r="QOH1520"/>
      <c r="QOI1520"/>
      <c r="QOJ1520"/>
      <c r="QOK1520"/>
      <c r="QOL1520"/>
      <c r="QOM1520"/>
      <c r="QON1520"/>
      <c r="QOO1520"/>
      <c r="QOP1520"/>
      <c r="QOQ1520"/>
      <c r="QOR1520"/>
      <c r="QOS1520"/>
      <c r="QOT1520"/>
      <c r="QOU1520"/>
      <c r="QOV1520"/>
      <c r="QOW1520"/>
      <c r="QOX1520"/>
      <c r="QOY1520"/>
      <c r="QOZ1520"/>
      <c r="QPA1520"/>
      <c r="QPB1520"/>
      <c r="QPC1520"/>
      <c r="QPD1520"/>
      <c r="QPE1520"/>
      <c r="QPF1520"/>
      <c r="QPG1520"/>
      <c r="QPH1520"/>
      <c r="QPI1520"/>
      <c r="QPJ1520"/>
      <c r="QPK1520"/>
      <c r="QPL1520"/>
      <c r="QPM1520"/>
      <c r="QPN1520"/>
      <c r="QPO1520"/>
      <c r="QPP1520"/>
      <c r="QPQ1520"/>
      <c r="QPR1520"/>
      <c r="QPS1520"/>
      <c r="QPT1520"/>
      <c r="QPU1520"/>
      <c r="QPV1520"/>
      <c r="QPW1520"/>
      <c r="QPX1520"/>
      <c r="QPY1520"/>
      <c r="QPZ1520"/>
      <c r="QQA1520"/>
      <c r="QQB1520"/>
      <c r="QQC1520"/>
      <c r="QQD1520"/>
      <c r="QQE1520"/>
      <c r="QQF1520"/>
      <c r="QQG1520"/>
      <c r="QQH1520"/>
      <c r="QQI1520"/>
      <c r="QQJ1520"/>
      <c r="QQK1520"/>
      <c r="QQL1520"/>
      <c r="QQM1520"/>
      <c r="QQN1520"/>
      <c r="QQO1520"/>
      <c r="QQP1520"/>
      <c r="QQQ1520"/>
      <c r="QQR1520"/>
      <c r="QQS1520"/>
      <c r="QQT1520"/>
      <c r="QQU1520"/>
      <c r="QQV1520"/>
      <c r="QQW1520"/>
      <c r="QQX1520"/>
      <c r="QQY1520"/>
      <c r="QQZ1520"/>
      <c r="QRA1520"/>
      <c r="QRB1520"/>
      <c r="QRC1520"/>
      <c r="QRD1520"/>
      <c r="QRE1520"/>
      <c r="QRF1520"/>
      <c r="QRG1520"/>
      <c r="QRH1520"/>
      <c r="QRI1520"/>
      <c r="QRJ1520"/>
      <c r="QRK1520"/>
      <c r="QRL1520"/>
      <c r="QRM1520"/>
      <c r="QRN1520"/>
      <c r="QRO1520"/>
      <c r="QRP1520"/>
      <c r="QRQ1520"/>
      <c r="QRR1520"/>
      <c r="QRS1520"/>
      <c r="QRT1520"/>
      <c r="QRU1520"/>
      <c r="QRV1520"/>
      <c r="QRW1520"/>
      <c r="QRX1520"/>
      <c r="QRY1520"/>
      <c r="QRZ1520"/>
      <c r="QSA1520"/>
      <c r="QSB1520"/>
      <c r="QSC1520"/>
      <c r="QSD1520"/>
      <c r="QSE1520"/>
      <c r="QSF1520"/>
      <c r="QSG1520"/>
      <c r="QSH1520"/>
      <c r="QSI1520"/>
      <c r="QSJ1520"/>
      <c r="QSK1520"/>
      <c r="QSL1520"/>
      <c r="QSM1520"/>
      <c r="QSN1520"/>
      <c r="QSO1520"/>
      <c r="QSP1520"/>
      <c r="QSQ1520"/>
      <c r="QSR1520"/>
      <c r="QSS1520"/>
      <c r="QST1520"/>
      <c r="QSU1520"/>
      <c r="QSV1520"/>
      <c r="QSW1520"/>
      <c r="QSX1520"/>
      <c r="QSY1520"/>
      <c r="QSZ1520"/>
      <c r="QTA1520"/>
      <c r="QTB1520"/>
      <c r="QTC1520"/>
      <c r="QTD1520"/>
      <c r="QTE1520"/>
      <c r="QTF1520"/>
      <c r="QTG1520"/>
      <c r="QTH1520"/>
      <c r="QTI1520"/>
      <c r="QTJ1520"/>
      <c r="QTK1520"/>
      <c r="QTL1520"/>
      <c r="QTM1520"/>
      <c r="QTN1520"/>
      <c r="QTO1520"/>
      <c r="QTP1520"/>
      <c r="QTQ1520"/>
      <c r="QTR1520"/>
      <c r="QTS1520"/>
      <c r="QTT1520"/>
      <c r="QTU1520"/>
      <c r="QTV1520"/>
      <c r="QTW1520"/>
      <c r="QTX1520"/>
      <c r="QTY1520"/>
      <c r="QTZ1520"/>
      <c r="QUA1520"/>
      <c r="QUB1520"/>
      <c r="QUC1520"/>
      <c r="QUD1520"/>
      <c r="QUE1520"/>
      <c r="QUF1520"/>
      <c r="QUG1520"/>
      <c r="QUH1520"/>
      <c r="QUI1520"/>
      <c r="QUJ1520"/>
      <c r="QUK1520"/>
      <c r="QUL1520"/>
      <c r="QUM1520"/>
      <c r="QUN1520"/>
      <c r="QUO1520"/>
      <c r="QUP1520"/>
      <c r="QUQ1520"/>
      <c r="QUR1520"/>
      <c r="QUS1520"/>
      <c r="QUT1520"/>
      <c r="QUU1520"/>
      <c r="QUV1520"/>
      <c r="QUW1520"/>
      <c r="QUX1520"/>
      <c r="QUY1520"/>
      <c r="QUZ1520"/>
      <c r="QVA1520"/>
      <c r="QVB1520"/>
      <c r="QVC1520"/>
      <c r="QVD1520"/>
      <c r="QVE1520"/>
      <c r="QVF1520"/>
      <c r="QVG1520"/>
      <c r="QVH1520"/>
      <c r="QVI1520"/>
      <c r="QVJ1520"/>
      <c r="QVK1520"/>
      <c r="QVL1520"/>
      <c r="QVM1520"/>
      <c r="QVN1520"/>
      <c r="QVO1520"/>
      <c r="QVP1520"/>
      <c r="QVQ1520"/>
      <c r="QVR1520"/>
      <c r="QVS1520"/>
      <c r="QVT1520"/>
      <c r="QVU1520"/>
      <c r="QVV1520"/>
      <c r="QVW1520"/>
      <c r="QVX1520"/>
      <c r="QVY1520"/>
      <c r="QVZ1520"/>
      <c r="QWA1520"/>
      <c r="QWB1520"/>
      <c r="QWC1520"/>
      <c r="QWD1520"/>
      <c r="QWE1520"/>
      <c r="QWF1520"/>
      <c r="QWG1520"/>
      <c r="QWH1520"/>
      <c r="QWI1520"/>
      <c r="QWJ1520"/>
      <c r="QWK1520"/>
      <c r="QWL1520"/>
      <c r="QWM1520"/>
      <c r="QWN1520"/>
      <c r="QWO1520"/>
      <c r="QWP1520"/>
      <c r="QWQ1520"/>
      <c r="QWR1520"/>
      <c r="QWS1520"/>
      <c r="QWT1520"/>
      <c r="QWU1520"/>
      <c r="QWV1520"/>
      <c r="QWW1520"/>
      <c r="QWX1520"/>
      <c r="QWY1520"/>
      <c r="QWZ1520"/>
      <c r="QXA1520"/>
      <c r="QXB1520"/>
      <c r="QXC1520"/>
      <c r="QXD1520"/>
      <c r="QXE1520"/>
      <c r="QXF1520"/>
      <c r="QXG1520"/>
      <c r="QXH1520"/>
      <c r="QXI1520"/>
      <c r="QXJ1520"/>
      <c r="QXK1520"/>
      <c r="QXL1520"/>
      <c r="QXM1520"/>
      <c r="QXN1520"/>
      <c r="QXO1520"/>
      <c r="QXP1520"/>
      <c r="QXQ1520"/>
      <c r="QXR1520"/>
      <c r="QXS1520"/>
      <c r="QXT1520"/>
      <c r="QXU1520"/>
      <c r="QXV1520"/>
      <c r="QXW1520"/>
      <c r="QXX1520"/>
      <c r="QXY1520"/>
      <c r="QXZ1520"/>
      <c r="QYA1520"/>
      <c r="QYB1520"/>
      <c r="QYC1520"/>
      <c r="QYD1520"/>
      <c r="QYE1520"/>
      <c r="QYF1520"/>
      <c r="QYG1520"/>
      <c r="QYH1520"/>
      <c r="QYI1520"/>
      <c r="QYJ1520"/>
      <c r="QYK1520"/>
      <c r="QYL1520"/>
      <c r="QYM1520"/>
      <c r="QYN1520"/>
      <c r="QYO1520"/>
      <c r="QYP1520"/>
      <c r="QYQ1520"/>
      <c r="QYR1520"/>
      <c r="QYS1520"/>
      <c r="QYT1520"/>
      <c r="QYU1520"/>
      <c r="QYV1520"/>
      <c r="QYW1520"/>
      <c r="QYX1520"/>
      <c r="QYY1520"/>
      <c r="QYZ1520"/>
      <c r="QZA1520"/>
      <c r="QZB1520"/>
      <c r="QZC1520"/>
      <c r="QZD1520"/>
      <c r="QZE1520"/>
      <c r="QZF1520"/>
      <c r="QZG1520"/>
      <c r="QZH1520"/>
      <c r="QZI1520"/>
      <c r="QZJ1520"/>
      <c r="QZK1520"/>
      <c r="QZL1520"/>
      <c r="QZM1520"/>
      <c r="QZN1520"/>
      <c r="QZO1520"/>
      <c r="QZP1520"/>
      <c r="QZQ1520"/>
      <c r="QZR1520"/>
      <c r="QZS1520"/>
      <c r="QZT1520"/>
      <c r="QZU1520"/>
      <c r="QZV1520"/>
      <c r="QZW1520"/>
      <c r="QZX1520"/>
      <c r="QZY1520"/>
      <c r="QZZ1520"/>
      <c r="RAA1520"/>
      <c r="RAB1520"/>
      <c r="RAC1520"/>
      <c r="RAD1520"/>
      <c r="RAE1520"/>
      <c r="RAF1520"/>
      <c r="RAG1520"/>
      <c r="RAH1520"/>
      <c r="RAI1520"/>
      <c r="RAJ1520"/>
      <c r="RAK1520"/>
      <c r="RAL1520"/>
      <c r="RAM1520"/>
      <c r="RAN1520"/>
      <c r="RAO1520"/>
      <c r="RAP1520"/>
      <c r="RAQ1520"/>
      <c r="RAR1520"/>
      <c r="RAS1520"/>
      <c r="RAT1520"/>
      <c r="RAU1520"/>
      <c r="RAV1520"/>
      <c r="RAW1520"/>
      <c r="RAX1520"/>
      <c r="RAY1520"/>
      <c r="RAZ1520"/>
      <c r="RBA1520"/>
      <c r="RBB1520"/>
      <c r="RBC1520"/>
      <c r="RBD1520"/>
      <c r="RBE1520"/>
      <c r="RBF1520"/>
      <c r="RBG1520"/>
      <c r="RBH1520"/>
      <c r="RBI1520"/>
      <c r="RBJ1520"/>
      <c r="RBK1520"/>
      <c r="RBL1520"/>
      <c r="RBM1520"/>
      <c r="RBN1520"/>
      <c r="RBO1520"/>
      <c r="RBP1520"/>
      <c r="RBQ1520"/>
      <c r="RBR1520"/>
      <c r="RBS1520"/>
      <c r="RBT1520"/>
      <c r="RBU1520"/>
      <c r="RBV1520"/>
      <c r="RBW1520"/>
      <c r="RBX1520"/>
      <c r="RBY1520"/>
      <c r="RBZ1520"/>
      <c r="RCA1520"/>
      <c r="RCB1520"/>
      <c r="RCC1520"/>
      <c r="RCD1520"/>
      <c r="RCE1520"/>
      <c r="RCF1520"/>
      <c r="RCG1520"/>
      <c r="RCH1520"/>
      <c r="RCI1520"/>
      <c r="RCJ1520"/>
      <c r="RCK1520"/>
      <c r="RCL1520"/>
      <c r="RCM1520"/>
      <c r="RCN1520"/>
      <c r="RCO1520"/>
      <c r="RCP1520"/>
      <c r="RCQ1520"/>
      <c r="RCR1520"/>
      <c r="RCS1520"/>
      <c r="RCT1520"/>
      <c r="RCU1520"/>
      <c r="RCV1520"/>
      <c r="RCW1520"/>
      <c r="RCX1520"/>
      <c r="RCY1520"/>
      <c r="RCZ1520"/>
      <c r="RDA1520"/>
      <c r="RDB1520"/>
      <c r="RDC1520"/>
      <c r="RDD1520"/>
      <c r="RDE1520"/>
      <c r="RDF1520"/>
      <c r="RDG1520"/>
      <c r="RDH1520"/>
      <c r="RDI1520"/>
      <c r="RDJ1520"/>
      <c r="RDK1520"/>
      <c r="RDL1520"/>
      <c r="RDM1520"/>
      <c r="RDN1520"/>
      <c r="RDO1520"/>
      <c r="RDP1520"/>
      <c r="RDQ1520"/>
      <c r="RDR1520"/>
      <c r="RDS1520"/>
      <c r="RDT1520"/>
      <c r="RDU1520"/>
      <c r="RDV1520"/>
      <c r="RDW1520"/>
      <c r="RDX1520"/>
      <c r="RDY1520"/>
      <c r="RDZ1520"/>
      <c r="REA1520"/>
      <c r="REB1520"/>
      <c r="REC1520"/>
      <c r="RED1520"/>
      <c r="REE1520"/>
      <c r="REF1520"/>
      <c r="REG1520"/>
      <c r="REH1520"/>
      <c r="REI1520"/>
      <c r="REJ1520"/>
      <c r="REK1520"/>
      <c r="REL1520"/>
      <c r="REM1520"/>
      <c r="REN1520"/>
      <c r="REO1520"/>
      <c r="REP1520"/>
      <c r="REQ1520"/>
      <c r="RER1520"/>
      <c r="RES1520"/>
      <c r="RET1520"/>
      <c r="REU1520"/>
      <c r="REV1520"/>
      <c r="REW1520"/>
      <c r="REX1520"/>
      <c r="REY1520"/>
      <c r="REZ1520"/>
      <c r="RFA1520"/>
      <c r="RFB1520"/>
      <c r="RFC1520"/>
      <c r="RFD1520"/>
      <c r="RFE1520"/>
      <c r="RFF1520"/>
      <c r="RFG1520"/>
      <c r="RFH1520"/>
      <c r="RFI1520"/>
      <c r="RFJ1520"/>
      <c r="RFK1520"/>
      <c r="RFL1520"/>
      <c r="RFM1520"/>
      <c r="RFN1520"/>
      <c r="RFO1520"/>
      <c r="RFP1520"/>
      <c r="RFQ1520"/>
      <c r="RFR1520"/>
      <c r="RFS1520"/>
      <c r="RFT1520"/>
      <c r="RFU1520"/>
      <c r="RFV1520"/>
      <c r="RFW1520"/>
      <c r="RFX1520"/>
      <c r="RFY1520"/>
      <c r="RFZ1520"/>
      <c r="RGA1520"/>
      <c r="RGB1520"/>
      <c r="RGC1520"/>
      <c r="RGD1520"/>
      <c r="RGE1520"/>
      <c r="RGF1520"/>
      <c r="RGG1520"/>
      <c r="RGH1520"/>
      <c r="RGI1520"/>
      <c r="RGJ1520"/>
      <c r="RGK1520"/>
      <c r="RGL1520"/>
      <c r="RGM1520"/>
      <c r="RGN1520"/>
      <c r="RGO1520"/>
      <c r="RGP1520"/>
      <c r="RGQ1520"/>
      <c r="RGR1520"/>
      <c r="RGS1520"/>
      <c r="RGT1520"/>
      <c r="RGU1520"/>
      <c r="RGV1520"/>
      <c r="RGW1520"/>
      <c r="RGX1520"/>
      <c r="RGY1520"/>
      <c r="RGZ1520"/>
      <c r="RHA1520"/>
      <c r="RHB1520"/>
      <c r="RHC1520"/>
      <c r="RHD1520"/>
      <c r="RHE1520"/>
      <c r="RHF1520"/>
      <c r="RHG1520"/>
      <c r="RHH1520"/>
      <c r="RHI1520"/>
      <c r="RHJ1520"/>
      <c r="RHK1520"/>
      <c r="RHL1520"/>
      <c r="RHM1520"/>
      <c r="RHN1520"/>
      <c r="RHO1520"/>
      <c r="RHP1520"/>
      <c r="RHQ1520"/>
      <c r="RHR1520"/>
      <c r="RHS1520"/>
      <c r="RHT1520"/>
      <c r="RHU1520"/>
      <c r="RHV1520"/>
      <c r="RHW1520"/>
      <c r="RHX1520"/>
      <c r="RHY1520"/>
      <c r="RHZ1520"/>
      <c r="RIA1520"/>
      <c r="RIB1520"/>
      <c r="RIC1520"/>
      <c r="RID1520"/>
      <c r="RIE1520"/>
      <c r="RIF1520"/>
      <c r="RIG1520"/>
      <c r="RIH1520"/>
      <c r="RII1520"/>
      <c r="RIJ1520"/>
      <c r="RIK1520"/>
      <c r="RIL1520"/>
      <c r="RIM1520"/>
      <c r="RIN1520"/>
      <c r="RIO1520"/>
      <c r="RIP1520"/>
      <c r="RIQ1520"/>
      <c r="RIR1520"/>
      <c r="RIS1520"/>
      <c r="RIT1520"/>
      <c r="RIU1520"/>
      <c r="RIV1520"/>
      <c r="RIW1520"/>
      <c r="RIX1520"/>
      <c r="RIY1520"/>
      <c r="RIZ1520"/>
      <c r="RJA1520"/>
      <c r="RJB1520"/>
      <c r="RJC1520"/>
      <c r="RJD1520"/>
      <c r="RJE1520"/>
      <c r="RJF1520"/>
      <c r="RJG1520"/>
      <c r="RJH1520"/>
      <c r="RJI1520"/>
      <c r="RJJ1520"/>
      <c r="RJK1520"/>
      <c r="RJL1520"/>
      <c r="RJM1520"/>
      <c r="RJN1520"/>
      <c r="RJO1520"/>
      <c r="RJP1520"/>
      <c r="RJQ1520"/>
      <c r="RJR1520"/>
      <c r="RJS1520"/>
      <c r="RJT1520"/>
      <c r="RJU1520"/>
      <c r="RJV1520"/>
      <c r="RJW1520"/>
      <c r="RJX1520"/>
      <c r="RJY1520"/>
      <c r="RJZ1520"/>
      <c r="RKA1520"/>
      <c r="RKB1520"/>
      <c r="RKC1520"/>
      <c r="RKD1520"/>
      <c r="RKE1520"/>
      <c r="RKF1520"/>
      <c r="RKG1520"/>
      <c r="RKH1520"/>
      <c r="RKI1520"/>
      <c r="RKJ1520"/>
      <c r="RKK1520"/>
      <c r="RKL1520"/>
      <c r="RKM1520"/>
      <c r="RKN1520"/>
      <c r="RKO1520"/>
      <c r="RKP1520"/>
      <c r="RKQ1520"/>
      <c r="RKR1520"/>
      <c r="RKS1520"/>
      <c r="RKT1520"/>
      <c r="RKU1520"/>
      <c r="RKV1520"/>
      <c r="RKW1520"/>
      <c r="RKX1520"/>
      <c r="RKY1520"/>
      <c r="RKZ1520"/>
      <c r="RLA1520"/>
      <c r="RLB1520"/>
      <c r="RLC1520"/>
      <c r="RLD1520"/>
      <c r="RLE1520"/>
      <c r="RLF1520"/>
      <c r="RLG1520"/>
      <c r="RLH1520"/>
      <c r="RLI1520"/>
      <c r="RLJ1520"/>
      <c r="RLK1520"/>
      <c r="RLL1520"/>
      <c r="RLM1520"/>
      <c r="RLN1520"/>
      <c r="RLO1520"/>
      <c r="RLP1520"/>
      <c r="RLQ1520"/>
      <c r="RLR1520"/>
      <c r="RLS1520"/>
      <c r="RLT1520"/>
      <c r="RLU1520"/>
      <c r="RLV1520"/>
      <c r="RLW1520"/>
      <c r="RLX1520"/>
      <c r="RLY1520"/>
      <c r="RLZ1520"/>
      <c r="RMA1520"/>
      <c r="RMB1520"/>
      <c r="RMC1520"/>
      <c r="RMD1520"/>
      <c r="RME1520"/>
      <c r="RMF1520"/>
      <c r="RMG1520"/>
      <c r="RMH1520"/>
      <c r="RMI1520"/>
      <c r="RMJ1520"/>
      <c r="RMK1520"/>
      <c r="RML1520"/>
      <c r="RMM1520"/>
      <c r="RMN1520"/>
      <c r="RMO1520"/>
      <c r="RMP1520"/>
      <c r="RMQ1520"/>
      <c r="RMR1520"/>
      <c r="RMS1520"/>
      <c r="RMT1520"/>
      <c r="RMU1520"/>
      <c r="RMV1520"/>
      <c r="RMW1520"/>
      <c r="RMX1520"/>
      <c r="RMY1520"/>
      <c r="RMZ1520"/>
      <c r="RNA1520"/>
      <c r="RNB1520"/>
      <c r="RNC1520"/>
      <c r="RND1520"/>
      <c r="RNE1520"/>
      <c r="RNF1520"/>
      <c r="RNG1520"/>
      <c r="RNH1520"/>
      <c r="RNI1520"/>
      <c r="RNJ1520"/>
      <c r="RNK1520"/>
      <c r="RNL1520"/>
      <c r="RNM1520"/>
      <c r="RNN1520"/>
      <c r="RNO1520"/>
      <c r="RNP1520"/>
      <c r="RNQ1520"/>
      <c r="RNR1520"/>
      <c r="RNS1520"/>
      <c r="RNT1520"/>
      <c r="RNU1520"/>
      <c r="RNV1520"/>
      <c r="RNW1520"/>
      <c r="RNX1520"/>
      <c r="RNY1520"/>
      <c r="RNZ1520"/>
      <c r="ROA1520"/>
      <c r="ROB1520"/>
      <c r="ROC1520"/>
      <c r="ROD1520"/>
      <c r="ROE1520"/>
      <c r="ROF1520"/>
      <c r="ROG1520"/>
      <c r="ROH1520"/>
      <c r="ROI1520"/>
      <c r="ROJ1520"/>
      <c r="ROK1520"/>
      <c r="ROL1520"/>
      <c r="ROM1520"/>
      <c r="RON1520"/>
      <c r="ROO1520"/>
      <c r="ROP1520"/>
      <c r="ROQ1520"/>
      <c r="ROR1520"/>
      <c r="ROS1520"/>
      <c r="ROT1520"/>
      <c r="ROU1520"/>
      <c r="ROV1520"/>
      <c r="ROW1520"/>
      <c r="ROX1520"/>
      <c r="ROY1520"/>
      <c r="ROZ1520"/>
      <c r="RPA1520"/>
      <c r="RPB1520"/>
      <c r="RPC1520"/>
      <c r="RPD1520"/>
      <c r="RPE1520"/>
      <c r="RPF1520"/>
      <c r="RPG1520"/>
      <c r="RPH1520"/>
      <c r="RPI1520"/>
      <c r="RPJ1520"/>
      <c r="RPK1520"/>
      <c r="RPL1520"/>
      <c r="RPM1520"/>
      <c r="RPN1520"/>
      <c r="RPO1520"/>
      <c r="RPP1520"/>
      <c r="RPQ1520"/>
      <c r="RPR1520"/>
      <c r="RPS1520"/>
      <c r="RPT1520"/>
      <c r="RPU1520"/>
      <c r="RPV1520"/>
      <c r="RPW1520"/>
      <c r="RPX1520"/>
      <c r="RPY1520"/>
      <c r="RPZ1520"/>
      <c r="RQA1520"/>
      <c r="RQB1520"/>
      <c r="RQC1520"/>
      <c r="RQD1520"/>
      <c r="RQE1520"/>
      <c r="RQF1520"/>
      <c r="RQG1520"/>
      <c r="RQH1520"/>
      <c r="RQI1520"/>
      <c r="RQJ1520"/>
      <c r="RQK1520"/>
      <c r="RQL1520"/>
      <c r="RQM1520"/>
      <c r="RQN1520"/>
      <c r="RQO1520"/>
      <c r="RQP1520"/>
      <c r="RQQ1520"/>
      <c r="RQR1520"/>
      <c r="RQS1520"/>
      <c r="RQT1520"/>
      <c r="RQU1520"/>
      <c r="RQV1520"/>
      <c r="RQW1520"/>
      <c r="RQX1520"/>
      <c r="RQY1520"/>
      <c r="RQZ1520"/>
      <c r="RRA1520"/>
      <c r="RRB1520"/>
      <c r="RRC1520"/>
      <c r="RRD1520"/>
      <c r="RRE1520"/>
      <c r="RRF1520"/>
      <c r="RRG1520"/>
      <c r="RRH1520"/>
      <c r="RRI1520"/>
      <c r="RRJ1520"/>
      <c r="RRK1520"/>
      <c r="RRL1520"/>
      <c r="RRM1520"/>
      <c r="RRN1520"/>
      <c r="RRO1520"/>
      <c r="RRP1520"/>
      <c r="RRQ1520"/>
      <c r="RRR1520"/>
      <c r="RRS1520"/>
      <c r="RRT1520"/>
      <c r="RRU1520"/>
      <c r="RRV1520"/>
      <c r="RRW1520"/>
      <c r="RRX1520"/>
      <c r="RRY1520"/>
      <c r="RRZ1520"/>
      <c r="RSA1520"/>
      <c r="RSB1520"/>
      <c r="RSC1520"/>
      <c r="RSD1520"/>
      <c r="RSE1520"/>
      <c r="RSF1520"/>
      <c r="RSG1520"/>
      <c r="RSH1520"/>
      <c r="RSI1520"/>
      <c r="RSJ1520"/>
      <c r="RSK1520"/>
      <c r="RSL1520"/>
      <c r="RSM1520"/>
      <c r="RSN1520"/>
      <c r="RSO1520"/>
      <c r="RSP1520"/>
      <c r="RSQ1520"/>
      <c r="RSR1520"/>
      <c r="RSS1520"/>
      <c r="RST1520"/>
      <c r="RSU1520"/>
      <c r="RSV1520"/>
      <c r="RSW1520"/>
      <c r="RSX1520"/>
      <c r="RSY1520"/>
      <c r="RSZ1520"/>
      <c r="RTA1520"/>
      <c r="RTB1520"/>
      <c r="RTC1520"/>
      <c r="RTD1520"/>
      <c r="RTE1520"/>
      <c r="RTF1520"/>
      <c r="RTG1520"/>
      <c r="RTH1520"/>
      <c r="RTI1520"/>
      <c r="RTJ1520"/>
      <c r="RTK1520"/>
      <c r="RTL1520"/>
      <c r="RTM1520"/>
      <c r="RTN1520"/>
      <c r="RTO1520"/>
      <c r="RTP1520"/>
      <c r="RTQ1520"/>
      <c r="RTR1520"/>
      <c r="RTS1520"/>
      <c r="RTT1520"/>
      <c r="RTU1520"/>
      <c r="RTV1520"/>
      <c r="RTW1520"/>
      <c r="RTX1520"/>
      <c r="RTY1520"/>
      <c r="RTZ1520"/>
      <c r="RUA1520"/>
      <c r="RUB1520"/>
      <c r="RUC1520"/>
      <c r="RUD1520"/>
      <c r="RUE1520"/>
      <c r="RUF1520"/>
      <c r="RUG1520"/>
      <c r="RUH1520"/>
      <c r="RUI1520"/>
      <c r="RUJ1520"/>
      <c r="RUK1520"/>
      <c r="RUL1520"/>
      <c r="RUM1520"/>
      <c r="RUN1520"/>
      <c r="RUO1520"/>
      <c r="RUP1520"/>
      <c r="RUQ1520"/>
      <c r="RUR1520"/>
      <c r="RUS1520"/>
      <c r="RUT1520"/>
      <c r="RUU1520"/>
      <c r="RUV1520"/>
      <c r="RUW1520"/>
      <c r="RUX1520"/>
      <c r="RUY1520"/>
      <c r="RUZ1520"/>
      <c r="RVA1520"/>
      <c r="RVB1520"/>
      <c r="RVC1520"/>
      <c r="RVD1520"/>
      <c r="RVE1520"/>
      <c r="RVF1520"/>
      <c r="RVG1520"/>
      <c r="RVH1520"/>
      <c r="RVI1520"/>
      <c r="RVJ1520"/>
      <c r="RVK1520"/>
      <c r="RVL1520"/>
      <c r="RVM1520"/>
      <c r="RVN1520"/>
      <c r="RVO1520"/>
      <c r="RVP1520"/>
      <c r="RVQ1520"/>
      <c r="RVR1520"/>
      <c r="RVS1520"/>
      <c r="RVT1520"/>
      <c r="RVU1520"/>
      <c r="RVV1520"/>
      <c r="RVW1520"/>
      <c r="RVX1520"/>
      <c r="RVY1520"/>
      <c r="RVZ1520"/>
      <c r="RWA1520"/>
      <c r="RWB1520"/>
      <c r="RWC1520"/>
      <c r="RWD1520"/>
      <c r="RWE1520"/>
      <c r="RWF1520"/>
      <c r="RWG1520"/>
      <c r="RWH1520"/>
      <c r="RWI1520"/>
      <c r="RWJ1520"/>
      <c r="RWK1520"/>
      <c r="RWL1520"/>
      <c r="RWM1520"/>
      <c r="RWN1520"/>
      <c r="RWO1520"/>
      <c r="RWP1520"/>
      <c r="RWQ1520"/>
      <c r="RWR1520"/>
      <c r="RWS1520"/>
      <c r="RWT1520"/>
      <c r="RWU1520"/>
      <c r="RWV1520"/>
      <c r="RWW1520"/>
      <c r="RWX1520"/>
      <c r="RWY1520"/>
      <c r="RWZ1520"/>
      <c r="RXA1520"/>
      <c r="RXB1520"/>
      <c r="RXC1520"/>
      <c r="RXD1520"/>
      <c r="RXE1520"/>
      <c r="RXF1520"/>
      <c r="RXG1520"/>
      <c r="RXH1520"/>
      <c r="RXI1520"/>
      <c r="RXJ1520"/>
      <c r="RXK1520"/>
      <c r="RXL1520"/>
      <c r="RXM1520"/>
      <c r="RXN1520"/>
      <c r="RXO1520"/>
      <c r="RXP1520"/>
      <c r="RXQ1520"/>
      <c r="RXR1520"/>
      <c r="RXS1520"/>
      <c r="RXT1520"/>
      <c r="RXU1520"/>
      <c r="RXV1520"/>
      <c r="RXW1520"/>
      <c r="RXX1520"/>
      <c r="RXY1520"/>
      <c r="RXZ1520"/>
      <c r="RYA1520"/>
      <c r="RYB1520"/>
      <c r="RYC1520"/>
      <c r="RYD1520"/>
      <c r="RYE1520"/>
      <c r="RYF1520"/>
      <c r="RYG1520"/>
      <c r="RYH1520"/>
      <c r="RYI1520"/>
      <c r="RYJ1520"/>
      <c r="RYK1520"/>
      <c r="RYL1520"/>
      <c r="RYM1520"/>
      <c r="RYN1520"/>
      <c r="RYO1520"/>
      <c r="RYP1520"/>
      <c r="RYQ1520"/>
      <c r="RYR1520"/>
      <c r="RYS1520"/>
      <c r="RYT1520"/>
      <c r="RYU1520"/>
      <c r="RYV1520"/>
      <c r="RYW1520"/>
      <c r="RYX1520"/>
      <c r="RYY1520"/>
      <c r="RYZ1520"/>
      <c r="RZA1520"/>
      <c r="RZB1520"/>
      <c r="RZC1520"/>
      <c r="RZD1520"/>
      <c r="RZE1520"/>
      <c r="RZF1520"/>
      <c r="RZG1520"/>
      <c r="RZH1520"/>
      <c r="RZI1520"/>
      <c r="RZJ1520"/>
      <c r="RZK1520"/>
      <c r="RZL1520"/>
      <c r="RZM1520"/>
      <c r="RZN1520"/>
      <c r="RZO1520"/>
      <c r="RZP1520"/>
      <c r="RZQ1520"/>
      <c r="RZR1520"/>
      <c r="RZS1520"/>
      <c r="RZT1520"/>
      <c r="RZU1520"/>
      <c r="RZV1520"/>
      <c r="RZW1520"/>
      <c r="RZX1520"/>
      <c r="RZY1520"/>
      <c r="RZZ1520"/>
      <c r="SAA1520"/>
      <c r="SAB1520"/>
      <c r="SAC1520"/>
      <c r="SAD1520"/>
      <c r="SAE1520"/>
      <c r="SAF1520"/>
      <c r="SAG1520"/>
      <c r="SAH1520"/>
      <c r="SAI1520"/>
      <c r="SAJ1520"/>
      <c r="SAK1520"/>
      <c r="SAL1520"/>
      <c r="SAM1520"/>
      <c r="SAN1520"/>
      <c r="SAO1520"/>
      <c r="SAP1520"/>
      <c r="SAQ1520"/>
      <c r="SAR1520"/>
      <c r="SAS1520"/>
      <c r="SAT1520"/>
      <c r="SAU1520"/>
      <c r="SAV1520"/>
      <c r="SAW1520"/>
      <c r="SAX1520"/>
      <c r="SAY1520"/>
      <c r="SAZ1520"/>
      <c r="SBA1520"/>
      <c r="SBB1520"/>
      <c r="SBC1520"/>
      <c r="SBD1520"/>
      <c r="SBE1520"/>
      <c r="SBF1520"/>
      <c r="SBG1520"/>
      <c r="SBH1520"/>
      <c r="SBI1520"/>
      <c r="SBJ1520"/>
      <c r="SBK1520"/>
      <c r="SBL1520"/>
      <c r="SBM1520"/>
      <c r="SBN1520"/>
      <c r="SBO1520"/>
      <c r="SBP1520"/>
      <c r="SBQ1520"/>
      <c r="SBR1520"/>
      <c r="SBS1520"/>
      <c r="SBT1520"/>
      <c r="SBU1520"/>
      <c r="SBV1520"/>
      <c r="SBW1520"/>
      <c r="SBX1520"/>
      <c r="SBY1520"/>
      <c r="SBZ1520"/>
      <c r="SCA1520"/>
      <c r="SCB1520"/>
      <c r="SCC1520"/>
      <c r="SCD1520"/>
      <c r="SCE1520"/>
      <c r="SCF1520"/>
      <c r="SCG1520"/>
      <c r="SCH1520"/>
      <c r="SCI1520"/>
      <c r="SCJ1520"/>
      <c r="SCK1520"/>
      <c r="SCL1520"/>
      <c r="SCM1520"/>
      <c r="SCN1520"/>
      <c r="SCO1520"/>
      <c r="SCP1520"/>
      <c r="SCQ1520"/>
      <c r="SCR1520"/>
      <c r="SCS1520"/>
      <c r="SCT1520"/>
      <c r="SCU1520"/>
      <c r="SCV1520"/>
      <c r="SCW1520"/>
      <c r="SCX1520"/>
      <c r="SCY1520"/>
      <c r="SCZ1520"/>
      <c r="SDA1520"/>
      <c r="SDB1520"/>
      <c r="SDC1520"/>
      <c r="SDD1520"/>
      <c r="SDE1520"/>
      <c r="SDF1520"/>
      <c r="SDG1520"/>
      <c r="SDH1520"/>
      <c r="SDI1520"/>
      <c r="SDJ1520"/>
      <c r="SDK1520"/>
      <c r="SDL1520"/>
      <c r="SDM1520"/>
      <c r="SDN1520"/>
      <c r="SDO1520"/>
      <c r="SDP1520"/>
      <c r="SDQ1520"/>
      <c r="SDR1520"/>
      <c r="SDS1520"/>
      <c r="SDT1520"/>
      <c r="SDU1520"/>
      <c r="SDV1520"/>
      <c r="SDW1520"/>
      <c r="SDX1520"/>
      <c r="SDY1520"/>
      <c r="SDZ1520"/>
      <c r="SEA1520"/>
      <c r="SEB1520"/>
      <c r="SEC1520"/>
      <c r="SED1520"/>
      <c r="SEE1520"/>
      <c r="SEF1520"/>
      <c r="SEG1520"/>
      <c r="SEH1520"/>
      <c r="SEI1520"/>
      <c r="SEJ1520"/>
      <c r="SEK1520"/>
      <c r="SEL1520"/>
      <c r="SEM1520"/>
      <c r="SEN1520"/>
      <c r="SEO1520"/>
      <c r="SEP1520"/>
      <c r="SEQ1520"/>
      <c r="SER1520"/>
      <c r="SES1520"/>
      <c r="SET1520"/>
      <c r="SEU1520"/>
      <c r="SEV1520"/>
      <c r="SEW1520"/>
      <c r="SEX1520"/>
      <c r="SEY1520"/>
      <c r="SEZ1520"/>
      <c r="SFA1520"/>
      <c r="SFB1520"/>
      <c r="SFC1520"/>
      <c r="SFD1520"/>
      <c r="SFE1520"/>
      <c r="SFF1520"/>
      <c r="SFG1520"/>
      <c r="SFH1520"/>
      <c r="SFI1520"/>
      <c r="SFJ1520"/>
      <c r="SFK1520"/>
      <c r="SFL1520"/>
      <c r="SFM1520"/>
      <c r="SFN1520"/>
      <c r="SFO1520"/>
      <c r="SFP1520"/>
      <c r="SFQ1520"/>
      <c r="SFR1520"/>
      <c r="SFS1520"/>
      <c r="SFT1520"/>
      <c r="SFU1520"/>
      <c r="SFV1520"/>
      <c r="SFW1520"/>
      <c r="SFX1520"/>
      <c r="SFY1520"/>
      <c r="SFZ1520"/>
      <c r="SGA1520"/>
      <c r="SGB1520"/>
      <c r="SGC1520"/>
      <c r="SGD1520"/>
      <c r="SGE1520"/>
      <c r="SGF1520"/>
      <c r="SGG1520"/>
      <c r="SGH1520"/>
      <c r="SGI1520"/>
      <c r="SGJ1520"/>
      <c r="SGK1520"/>
      <c r="SGL1520"/>
      <c r="SGM1520"/>
      <c r="SGN1520"/>
      <c r="SGO1520"/>
      <c r="SGP1520"/>
      <c r="SGQ1520"/>
      <c r="SGR1520"/>
      <c r="SGS1520"/>
      <c r="SGT1520"/>
      <c r="SGU1520"/>
      <c r="SGV1520"/>
      <c r="SGW1520"/>
      <c r="SGX1520"/>
      <c r="SGY1520"/>
      <c r="SGZ1520"/>
      <c r="SHA1520"/>
      <c r="SHB1520"/>
      <c r="SHC1520"/>
      <c r="SHD1520"/>
      <c r="SHE1520"/>
      <c r="SHF1520"/>
      <c r="SHG1520"/>
      <c r="SHH1520"/>
      <c r="SHI1520"/>
      <c r="SHJ1520"/>
      <c r="SHK1520"/>
      <c r="SHL1520"/>
      <c r="SHM1520"/>
      <c r="SHN1520"/>
      <c r="SHO1520"/>
      <c r="SHP1520"/>
      <c r="SHQ1520"/>
      <c r="SHR1520"/>
      <c r="SHS1520"/>
      <c r="SHT1520"/>
      <c r="SHU1520"/>
      <c r="SHV1520"/>
      <c r="SHW1520"/>
      <c r="SHX1520"/>
      <c r="SHY1520"/>
      <c r="SHZ1520"/>
      <c r="SIA1520"/>
      <c r="SIB1520"/>
      <c r="SIC1520"/>
      <c r="SID1520"/>
      <c r="SIE1520"/>
      <c r="SIF1520"/>
      <c r="SIG1520"/>
      <c r="SIH1520"/>
      <c r="SII1520"/>
      <c r="SIJ1520"/>
      <c r="SIK1520"/>
      <c r="SIL1520"/>
      <c r="SIM1520"/>
      <c r="SIN1520"/>
      <c r="SIO1520"/>
      <c r="SIP1520"/>
      <c r="SIQ1520"/>
      <c r="SIR1520"/>
      <c r="SIS1520"/>
      <c r="SIT1520"/>
      <c r="SIU1520"/>
      <c r="SIV1520"/>
      <c r="SIW1520"/>
      <c r="SIX1520"/>
      <c r="SIY1520"/>
      <c r="SIZ1520"/>
      <c r="SJA1520"/>
      <c r="SJB1520"/>
      <c r="SJC1520"/>
      <c r="SJD1520"/>
      <c r="SJE1520"/>
      <c r="SJF1520"/>
      <c r="SJG1520"/>
      <c r="SJH1520"/>
      <c r="SJI1520"/>
      <c r="SJJ1520"/>
      <c r="SJK1520"/>
      <c r="SJL1520"/>
      <c r="SJM1520"/>
      <c r="SJN1520"/>
      <c r="SJO1520"/>
      <c r="SJP1520"/>
      <c r="SJQ1520"/>
      <c r="SJR1520"/>
      <c r="SJS1520"/>
      <c r="SJT1520"/>
      <c r="SJU1520"/>
      <c r="SJV1520"/>
      <c r="SJW1520"/>
      <c r="SJX1520"/>
      <c r="SJY1520"/>
      <c r="SJZ1520"/>
      <c r="SKA1520"/>
      <c r="SKB1520"/>
      <c r="SKC1520"/>
      <c r="SKD1520"/>
      <c r="SKE1520"/>
      <c r="SKF1520"/>
      <c r="SKG1520"/>
      <c r="SKH1520"/>
      <c r="SKI1520"/>
      <c r="SKJ1520"/>
      <c r="SKK1520"/>
      <c r="SKL1520"/>
      <c r="SKM1520"/>
      <c r="SKN1520"/>
      <c r="SKO1520"/>
      <c r="SKP1520"/>
      <c r="SKQ1520"/>
      <c r="SKR1520"/>
      <c r="SKS1520"/>
      <c r="SKT1520"/>
      <c r="SKU1520"/>
      <c r="SKV1520"/>
      <c r="SKW1520"/>
      <c r="SKX1520"/>
      <c r="SKY1520"/>
      <c r="SKZ1520"/>
      <c r="SLA1520"/>
      <c r="SLB1520"/>
      <c r="SLC1520"/>
      <c r="SLD1520"/>
      <c r="SLE1520"/>
      <c r="SLF1520"/>
      <c r="SLG1520"/>
      <c r="SLH1520"/>
      <c r="SLI1520"/>
      <c r="SLJ1520"/>
      <c r="SLK1520"/>
      <c r="SLL1520"/>
      <c r="SLM1520"/>
      <c r="SLN1520"/>
      <c r="SLO1520"/>
      <c r="SLP1520"/>
      <c r="SLQ1520"/>
      <c r="SLR1520"/>
      <c r="SLS1520"/>
      <c r="SLT1520"/>
      <c r="SLU1520"/>
      <c r="SLV1520"/>
      <c r="SLW1520"/>
      <c r="SLX1520"/>
      <c r="SLY1520"/>
      <c r="SLZ1520"/>
      <c r="SMA1520"/>
      <c r="SMB1520"/>
      <c r="SMC1520"/>
      <c r="SMD1520"/>
      <c r="SME1520"/>
      <c r="SMF1520"/>
      <c r="SMG1520"/>
      <c r="SMH1520"/>
      <c r="SMI1520"/>
      <c r="SMJ1520"/>
      <c r="SMK1520"/>
      <c r="SML1520"/>
      <c r="SMM1520"/>
      <c r="SMN1520"/>
      <c r="SMO1520"/>
      <c r="SMP1520"/>
      <c r="SMQ1520"/>
      <c r="SMR1520"/>
      <c r="SMS1520"/>
      <c r="SMT1520"/>
      <c r="SMU1520"/>
      <c r="SMV1520"/>
      <c r="SMW1520"/>
      <c r="SMX1520"/>
      <c r="SMY1520"/>
      <c r="SMZ1520"/>
      <c r="SNA1520"/>
      <c r="SNB1520"/>
      <c r="SNC1520"/>
      <c r="SND1520"/>
      <c r="SNE1520"/>
      <c r="SNF1520"/>
      <c r="SNG1520"/>
      <c r="SNH1520"/>
      <c r="SNI1520"/>
      <c r="SNJ1520"/>
      <c r="SNK1520"/>
      <c r="SNL1520"/>
      <c r="SNM1520"/>
      <c r="SNN1520"/>
      <c r="SNO1520"/>
      <c r="SNP1520"/>
      <c r="SNQ1520"/>
      <c r="SNR1520"/>
      <c r="SNS1520"/>
      <c r="SNT1520"/>
      <c r="SNU1520"/>
      <c r="SNV1520"/>
      <c r="SNW1520"/>
      <c r="SNX1520"/>
      <c r="SNY1520"/>
      <c r="SNZ1520"/>
      <c r="SOA1520"/>
      <c r="SOB1520"/>
      <c r="SOC1520"/>
      <c r="SOD1520"/>
      <c r="SOE1520"/>
      <c r="SOF1520"/>
      <c r="SOG1520"/>
      <c r="SOH1520"/>
      <c r="SOI1520"/>
      <c r="SOJ1520"/>
      <c r="SOK1520"/>
      <c r="SOL1520"/>
      <c r="SOM1520"/>
      <c r="SON1520"/>
      <c r="SOO1520"/>
      <c r="SOP1520"/>
      <c r="SOQ1520"/>
      <c r="SOR1520"/>
      <c r="SOS1520"/>
      <c r="SOT1520"/>
      <c r="SOU1520"/>
      <c r="SOV1520"/>
      <c r="SOW1520"/>
      <c r="SOX1520"/>
      <c r="SOY1520"/>
      <c r="SOZ1520"/>
      <c r="SPA1520"/>
      <c r="SPB1520"/>
      <c r="SPC1520"/>
      <c r="SPD1520"/>
      <c r="SPE1520"/>
      <c r="SPF1520"/>
      <c r="SPG1520"/>
      <c r="SPH1520"/>
      <c r="SPI1520"/>
      <c r="SPJ1520"/>
      <c r="SPK1520"/>
      <c r="SPL1520"/>
      <c r="SPM1520"/>
      <c r="SPN1520"/>
      <c r="SPO1520"/>
      <c r="SPP1520"/>
      <c r="SPQ1520"/>
      <c r="SPR1520"/>
      <c r="SPS1520"/>
      <c r="SPT1520"/>
      <c r="SPU1520"/>
      <c r="SPV1520"/>
      <c r="SPW1520"/>
      <c r="SPX1520"/>
      <c r="SPY1520"/>
      <c r="SPZ1520"/>
      <c r="SQA1520"/>
      <c r="SQB1520"/>
      <c r="SQC1520"/>
      <c r="SQD1520"/>
      <c r="SQE1520"/>
      <c r="SQF1520"/>
      <c r="SQG1520"/>
      <c r="SQH1520"/>
      <c r="SQI1520"/>
      <c r="SQJ1520"/>
      <c r="SQK1520"/>
      <c r="SQL1520"/>
      <c r="SQM1520"/>
      <c r="SQN1520"/>
      <c r="SQO1520"/>
      <c r="SQP1520"/>
      <c r="SQQ1520"/>
      <c r="SQR1520"/>
      <c r="SQS1520"/>
      <c r="SQT1520"/>
      <c r="SQU1520"/>
      <c r="SQV1520"/>
      <c r="SQW1520"/>
      <c r="SQX1520"/>
      <c r="SQY1520"/>
      <c r="SQZ1520"/>
      <c r="SRA1520"/>
      <c r="SRB1520"/>
      <c r="SRC1520"/>
      <c r="SRD1520"/>
      <c r="SRE1520"/>
      <c r="SRF1520"/>
      <c r="SRG1520"/>
      <c r="SRH1520"/>
      <c r="SRI1520"/>
      <c r="SRJ1520"/>
      <c r="SRK1520"/>
      <c r="SRL1520"/>
      <c r="SRM1520"/>
      <c r="SRN1520"/>
      <c r="SRO1520"/>
      <c r="SRP1520"/>
      <c r="SRQ1520"/>
      <c r="SRR1520"/>
      <c r="SRS1520"/>
      <c r="SRT1520"/>
      <c r="SRU1520"/>
      <c r="SRV1520"/>
      <c r="SRW1520"/>
      <c r="SRX1520"/>
      <c r="SRY1520"/>
      <c r="SRZ1520"/>
      <c r="SSA1520"/>
      <c r="SSB1520"/>
      <c r="SSC1520"/>
      <c r="SSD1520"/>
      <c r="SSE1520"/>
      <c r="SSF1520"/>
      <c r="SSG1520"/>
      <c r="SSH1520"/>
      <c r="SSI1520"/>
      <c r="SSJ1520"/>
      <c r="SSK1520"/>
      <c r="SSL1520"/>
      <c r="SSM1520"/>
      <c r="SSN1520"/>
      <c r="SSO1520"/>
      <c r="SSP1520"/>
      <c r="SSQ1520"/>
      <c r="SSR1520"/>
      <c r="SSS1520"/>
      <c r="SST1520"/>
      <c r="SSU1520"/>
      <c r="SSV1520"/>
      <c r="SSW1520"/>
      <c r="SSX1520"/>
      <c r="SSY1520"/>
      <c r="SSZ1520"/>
      <c r="STA1520"/>
      <c r="STB1520"/>
      <c r="STC1520"/>
      <c r="STD1520"/>
      <c r="STE1520"/>
      <c r="STF1520"/>
      <c r="STG1520"/>
      <c r="STH1520"/>
      <c r="STI1520"/>
      <c r="STJ1520"/>
      <c r="STK1520"/>
      <c r="STL1520"/>
      <c r="STM1520"/>
      <c r="STN1520"/>
      <c r="STO1520"/>
      <c r="STP1520"/>
      <c r="STQ1520"/>
      <c r="STR1520"/>
      <c r="STS1520"/>
      <c r="STT1520"/>
      <c r="STU1520"/>
      <c r="STV1520"/>
      <c r="STW1520"/>
      <c r="STX1520"/>
      <c r="STY1520"/>
      <c r="STZ1520"/>
      <c r="SUA1520"/>
      <c r="SUB1520"/>
      <c r="SUC1520"/>
      <c r="SUD1520"/>
      <c r="SUE1520"/>
      <c r="SUF1520"/>
      <c r="SUG1520"/>
      <c r="SUH1520"/>
      <c r="SUI1520"/>
      <c r="SUJ1520"/>
      <c r="SUK1520"/>
      <c r="SUL1520"/>
      <c r="SUM1520"/>
      <c r="SUN1520"/>
      <c r="SUO1520"/>
      <c r="SUP1520"/>
      <c r="SUQ1520"/>
      <c r="SUR1520"/>
      <c r="SUS1520"/>
      <c r="SUT1520"/>
      <c r="SUU1520"/>
      <c r="SUV1520"/>
      <c r="SUW1520"/>
      <c r="SUX1520"/>
      <c r="SUY1520"/>
      <c r="SUZ1520"/>
      <c r="SVA1520"/>
      <c r="SVB1520"/>
      <c r="SVC1520"/>
      <c r="SVD1520"/>
      <c r="SVE1520"/>
      <c r="SVF1520"/>
      <c r="SVG1520"/>
      <c r="SVH1520"/>
      <c r="SVI1520"/>
      <c r="SVJ1520"/>
      <c r="SVK1520"/>
      <c r="SVL1520"/>
      <c r="SVM1520"/>
      <c r="SVN1520"/>
      <c r="SVO1520"/>
      <c r="SVP1520"/>
      <c r="SVQ1520"/>
      <c r="SVR1520"/>
      <c r="SVS1520"/>
      <c r="SVT1520"/>
      <c r="SVU1520"/>
      <c r="SVV1520"/>
      <c r="SVW1520"/>
      <c r="SVX1520"/>
      <c r="SVY1520"/>
      <c r="SVZ1520"/>
      <c r="SWA1520"/>
      <c r="SWB1520"/>
      <c r="SWC1520"/>
      <c r="SWD1520"/>
      <c r="SWE1520"/>
      <c r="SWF1520"/>
      <c r="SWG1520"/>
      <c r="SWH1520"/>
      <c r="SWI1520"/>
      <c r="SWJ1520"/>
      <c r="SWK1520"/>
      <c r="SWL1520"/>
      <c r="SWM1520"/>
      <c r="SWN1520"/>
      <c r="SWO1520"/>
      <c r="SWP1520"/>
      <c r="SWQ1520"/>
      <c r="SWR1520"/>
      <c r="SWS1520"/>
      <c r="SWT1520"/>
      <c r="SWU1520"/>
      <c r="SWV1520"/>
      <c r="SWW1520"/>
      <c r="SWX1520"/>
      <c r="SWY1520"/>
      <c r="SWZ1520"/>
      <c r="SXA1520"/>
      <c r="SXB1520"/>
      <c r="SXC1520"/>
      <c r="SXD1520"/>
      <c r="SXE1520"/>
      <c r="SXF1520"/>
      <c r="SXG1520"/>
      <c r="SXH1520"/>
      <c r="SXI1520"/>
      <c r="SXJ1520"/>
      <c r="SXK1520"/>
      <c r="SXL1520"/>
      <c r="SXM1520"/>
      <c r="SXN1520"/>
      <c r="SXO1520"/>
      <c r="SXP1520"/>
      <c r="SXQ1520"/>
      <c r="SXR1520"/>
      <c r="SXS1520"/>
      <c r="SXT1520"/>
      <c r="SXU1520"/>
      <c r="SXV1520"/>
      <c r="SXW1520"/>
      <c r="SXX1520"/>
      <c r="SXY1520"/>
      <c r="SXZ1520"/>
      <c r="SYA1520"/>
      <c r="SYB1520"/>
      <c r="SYC1520"/>
      <c r="SYD1520"/>
      <c r="SYE1520"/>
      <c r="SYF1520"/>
      <c r="SYG1520"/>
      <c r="SYH1520"/>
      <c r="SYI1520"/>
      <c r="SYJ1520"/>
      <c r="SYK1520"/>
      <c r="SYL1520"/>
      <c r="SYM1520"/>
      <c r="SYN1520"/>
      <c r="SYO1520"/>
      <c r="SYP1520"/>
      <c r="SYQ1520"/>
      <c r="SYR1520"/>
      <c r="SYS1520"/>
      <c r="SYT1520"/>
      <c r="SYU1520"/>
      <c r="SYV1520"/>
      <c r="SYW1520"/>
      <c r="SYX1520"/>
      <c r="SYY1520"/>
      <c r="SYZ1520"/>
      <c r="SZA1520"/>
      <c r="SZB1520"/>
      <c r="SZC1520"/>
      <c r="SZD1520"/>
      <c r="SZE1520"/>
      <c r="SZF1520"/>
      <c r="SZG1520"/>
      <c r="SZH1520"/>
      <c r="SZI1520"/>
      <c r="SZJ1520"/>
      <c r="SZK1520"/>
      <c r="SZL1520"/>
      <c r="SZM1520"/>
      <c r="SZN1520"/>
      <c r="SZO1520"/>
      <c r="SZP1520"/>
      <c r="SZQ1520"/>
      <c r="SZR1520"/>
      <c r="SZS1520"/>
      <c r="SZT1520"/>
      <c r="SZU1520"/>
      <c r="SZV1520"/>
      <c r="SZW1520"/>
      <c r="SZX1520"/>
      <c r="SZY1520"/>
      <c r="SZZ1520"/>
      <c r="TAA1520"/>
      <c r="TAB1520"/>
      <c r="TAC1520"/>
      <c r="TAD1520"/>
      <c r="TAE1520"/>
      <c r="TAF1520"/>
      <c r="TAG1520"/>
      <c r="TAH1520"/>
      <c r="TAI1520"/>
      <c r="TAJ1520"/>
      <c r="TAK1520"/>
      <c r="TAL1520"/>
      <c r="TAM1520"/>
      <c r="TAN1520"/>
      <c r="TAO1520"/>
      <c r="TAP1520"/>
      <c r="TAQ1520"/>
      <c r="TAR1520"/>
      <c r="TAS1520"/>
      <c r="TAT1520"/>
      <c r="TAU1520"/>
      <c r="TAV1520"/>
      <c r="TAW1520"/>
      <c r="TAX1520"/>
      <c r="TAY1520"/>
      <c r="TAZ1520"/>
      <c r="TBA1520"/>
      <c r="TBB1520"/>
      <c r="TBC1520"/>
      <c r="TBD1520"/>
      <c r="TBE1520"/>
      <c r="TBF1520"/>
      <c r="TBG1520"/>
      <c r="TBH1520"/>
      <c r="TBI1520"/>
      <c r="TBJ1520"/>
      <c r="TBK1520"/>
      <c r="TBL1520"/>
      <c r="TBM1520"/>
      <c r="TBN1520"/>
      <c r="TBO1520"/>
      <c r="TBP1520"/>
      <c r="TBQ1520"/>
      <c r="TBR1520"/>
      <c r="TBS1520"/>
      <c r="TBT1520"/>
      <c r="TBU1520"/>
      <c r="TBV1520"/>
      <c r="TBW1520"/>
      <c r="TBX1520"/>
      <c r="TBY1520"/>
      <c r="TBZ1520"/>
      <c r="TCA1520"/>
      <c r="TCB1520"/>
      <c r="TCC1520"/>
      <c r="TCD1520"/>
      <c r="TCE1520"/>
      <c r="TCF1520"/>
      <c r="TCG1520"/>
      <c r="TCH1520"/>
      <c r="TCI1520"/>
      <c r="TCJ1520"/>
      <c r="TCK1520"/>
      <c r="TCL1520"/>
      <c r="TCM1520"/>
      <c r="TCN1520"/>
      <c r="TCO1520"/>
      <c r="TCP1520"/>
      <c r="TCQ1520"/>
      <c r="TCR1520"/>
      <c r="TCS1520"/>
      <c r="TCT1520"/>
      <c r="TCU1520"/>
      <c r="TCV1520"/>
      <c r="TCW1520"/>
      <c r="TCX1520"/>
      <c r="TCY1520"/>
      <c r="TCZ1520"/>
      <c r="TDA1520"/>
      <c r="TDB1520"/>
      <c r="TDC1520"/>
      <c r="TDD1520"/>
      <c r="TDE1520"/>
      <c r="TDF1520"/>
      <c r="TDG1520"/>
      <c r="TDH1520"/>
      <c r="TDI1520"/>
      <c r="TDJ1520"/>
      <c r="TDK1520"/>
      <c r="TDL1520"/>
      <c r="TDM1520"/>
      <c r="TDN1520"/>
      <c r="TDO1520"/>
      <c r="TDP1520"/>
      <c r="TDQ1520"/>
      <c r="TDR1520"/>
      <c r="TDS1520"/>
      <c r="TDT1520"/>
      <c r="TDU1520"/>
      <c r="TDV1520"/>
      <c r="TDW1520"/>
      <c r="TDX1520"/>
      <c r="TDY1520"/>
      <c r="TDZ1520"/>
      <c r="TEA1520"/>
      <c r="TEB1520"/>
      <c r="TEC1520"/>
      <c r="TED1520"/>
      <c r="TEE1520"/>
      <c r="TEF1520"/>
      <c r="TEG1520"/>
      <c r="TEH1520"/>
      <c r="TEI1520"/>
      <c r="TEJ1520"/>
      <c r="TEK1520"/>
      <c r="TEL1520"/>
      <c r="TEM1520"/>
      <c r="TEN1520"/>
      <c r="TEO1520"/>
      <c r="TEP1520"/>
      <c r="TEQ1520"/>
      <c r="TER1520"/>
      <c r="TES1520"/>
      <c r="TET1520"/>
      <c r="TEU1520"/>
      <c r="TEV1520"/>
      <c r="TEW1520"/>
      <c r="TEX1520"/>
      <c r="TEY1520"/>
      <c r="TEZ1520"/>
      <c r="TFA1520"/>
      <c r="TFB1520"/>
      <c r="TFC1520"/>
      <c r="TFD1520"/>
      <c r="TFE1520"/>
      <c r="TFF1520"/>
      <c r="TFG1520"/>
      <c r="TFH1520"/>
      <c r="TFI1520"/>
      <c r="TFJ1520"/>
      <c r="TFK1520"/>
      <c r="TFL1520"/>
      <c r="TFM1520"/>
      <c r="TFN1520"/>
      <c r="TFO1520"/>
      <c r="TFP1520"/>
      <c r="TFQ1520"/>
      <c r="TFR1520"/>
      <c r="TFS1520"/>
      <c r="TFT1520"/>
      <c r="TFU1520"/>
      <c r="TFV1520"/>
      <c r="TFW1520"/>
      <c r="TFX1520"/>
      <c r="TFY1520"/>
      <c r="TFZ1520"/>
      <c r="TGA1520"/>
      <c r="TGB1520"/>
      <c r="TGC1520"/>
      <c r="TGD1520"/>
      <c r="TGE1520"/>
      <c r="TGF1520"/>
      <c r="TGG1520"/>
      <c r="TGH1520"/>
      <c r="TGI1520"/>
      <c r="TGJ1520"/>
      <c r="TGK1520"/>
      <c r="TGL1520"/>
      <c r="TGM1520"/>
      <c r="TGN1520"/>
      <c r="TGO1520"/>
      <c r="TGP1520"/>
      <c r="TGQ1520"/>
      <c r="TGR1520"/>
      <c r="TGS1520"/>
      <c r="TGT1520"/>
      <c r="TGU1520"/>
      <c r="TGV1520"/>
      <c r="TGW1520"/>
      <c r="TGX1520"/>
      <c r="TGY1520"/>
      <c r="TGZ1520"/>
      <c r="THA1520"/>
      <c r="THB1520"/>
      <c r="THC1520"/>
      <c r="THD1520"/>
      <c r="THE1520"/>
      <c r="THF1520"/>
      <c r="THG1520"/>
      <c r="THH1520"/>
      <c r="THI1520"/>
      <c r="THJ1520"/>
      <c r="THK1520"/>
      <c r="THL1520"/>
      <c r="THM1520"/>
      <c r="THN1520"/>
      <c r="THO1520"/>
      <c r="THP1520"/>
      <c r="THQ1520"/>
      <c r="THR1520"/>
      <c r="THS1520"/>
      <c r="THT1520"/>
      <c r="THU1520"/>
      <c r="THV1520"/>
      <c r="THW1520"/>
      <c r="THX1520"/>
      <c r="THY1520"/>
      <c r="THZ1520"/>
      <c r="TIA1520"/>
      <c r="TIB1520"/>
      <c r="TIC1520"/>
      <c r="TID1520"/>
      <c r="TIE1520"/>
      <c r="TIF1520"/>
      <c r="TIG1520"/>
      <c r="TIH1520"/>
      <c r="TII1520"/>
      <c r="TIJ1520"/>
      <c r="TIK1520"/>
      <c r="TIL1520"/>
      <c r="TIM1520"/>
      <c r="TIN1520"/>
      <c r="TIO1520"/>
      <c r="TIP1520"/>
      <c r="TIQ1520"/>
      <c r="TIR1520"/>
      <c r="TIS1520"/>
      <c r="TIT1520"/>
      <c r="TIU1520"/>
      <c r="TIV1520"/>
      <c r="TIW1520"/>
      <c r="TIX1520"/>
      <c r="TIY1520"/>
      <c r="TIZ1520"/>
      <c r="TJA1520"/>
      <c r="TJB1520"/>
      <c r="TJC1520"/>
      <c r="TJD1520"/>
      <c r="TJE1520"/>
      <c r="TJF1520"/>
      <c r="TJG1520"/>
      <c r="TJH1520"/>
      <c r="TJI1520"/>
      <c r="TJJ1520"/>
      <c r="TJK1520"/>
      <c r="TJL1520"/>
      <c r="TJM1520"/>
      <c r="TJN1520"/>
      <c r="TJO1520"/>
      <c r="TJP1520"/>
      <c r="TJQ1520"/>
      <c r="TJR1520"/>
      <c r="TJS1520"/>
      <c r="TJT1520"/>
      <c r="TJU1520"/>
      <c r="TJV1520"/>
      <c r="TJW1520"/>
      <c r="TJX1520"/>
      <c r="TJY1520"/>
      <c r="TJZ1520"/>
      <c r="TKA1520"/>
      <c r="TKB1520"/>
      <c r="TKC1520"/>
      <c r="TKD1520"/>
      <c r="TKE1520"/>
      <c r="TKF1520"/>
      <c r="TKG1520"/>
      <c r="TKH1520"/>
      <c r="TKI1520"/>
      <c r="TKJ1520"/>
      <c r="TKK1520"/>
      <c r="TKL1520"/>
      <c r="TKM1520"/>
      <c r="TKN1520"/>
      <c r="TKO1520"/>
      <c r="TKP1520"/>
      <c r="TKQ1520"/>
      <c r="TKR1520"/>
      <c r="TKS1520"/>
      <c r="TKT1520"/>
      <c r="TKU1520"/>
      <c r="TKV1520"/>
      <c r="TKW1520"/>
      <c r="TKX1520"/>
      <c r="TKY1520"/>
      <c r="TKZ1520"/>
      <c r="TLA1520"/>
      <c r="TLB1520"/>
      <c r="TLC1520"/>
      <c r="TLD1520"/>
      <c r="TLE1520"/>
      <c r="TLF1520"/>
      <c r="TLG1520"/>
      <c r="TLH1520"/>
      <c r="TLI1520"/>
      <c r="TLJ1520"/>
      <c r="TLK1520"/>
      <c r="TLL1520"/>
      <c r="TLM1520"/>
      <c r="TLN1520"/>
      <c r="TLO1520"/>
      <c r="TLP1520"/>
      <c r="TLQ1520"/>
      <c r="TLR1520"/>
      <c r="TLS1520"/>
      <c r="TLT1520"/>
      <c r="TLU1520"/>
      <c r="TLV1520"/>
      <c r="TLW1520"/>
      <c r="TLX1520"/>
      <c r="TLY1520"/>
      <c r="TLZ1520"/>
      <c r="TMA1520"/>
      <c r="TMB1520"/>
      <c r="TMC1520"/>
      <c r="TMD1520"/>
      <c r="TME1520"/>
      <c r="TMF1520"/>
      <c r="TMG1520"/>
      <c r="TMH1520"/>
      <c r="TMI1520"/>
      <c r="TMJ1520"/>
      <c r="TMK1520"/>
      <c r="TML1520"/>
      <c r="TMM1520"/>
      <c r="TMN1520"/>
      <c r="TMO1520"/>
      <c r="TMP1520"/>
      <c r="TMQ1520"/>
      <c r="TMR1520"/>
      <c r="TMS1520"/>
      <c r="TMT1520"/>
      <c r="TMU1520"/>
      <c r="TMV1520"/>
      <c r="TMW1520"/>
      <c r="TMX1520"/>
      <c r="TMY1520"/>
      <c r="TMZ1520"/>
      <c r="TNA1520"/>
      <c r="TNB1520"/>
      <c r="TNC1520"/>
      <c r="TND1520"/>
      <c r="TNE1520"/>
      <c r="TNF1520"/>
      <c r="TNG1520"/>
      <c r="TNH1520"/>
      <c r="TNI1520"/>
      <c r="TNJ1520"/>
      <c r="TNK1520"/>
      <c r="TNL1520"/>
      <c r="TNM1520"/>
      <c r="TNN1520"/>
      <c r="TNO1520"/>
      <c r="TNP1520"/>
      <c r="TNQ1520"/>
      <c r="TNR1520"/>
      <c r="TNS1520"/>
      <c r="TNT1520"/>
      <c r="TNU1520"/>
      <c r="TNV1520"/>
      <c r="TNW1520"/>
      <c r="TNX1520"/>
      <c r="TNY1520"/>
      <c r="TNZ1520"/>
      <c r="TOA1520"/>
      <c r="TOB1520"/>
      <c r="TOC1520"/>
      <c r="TOD1520"/>
      <c r="TOE1520"/>
      <c r="TOF1520"/>
      <c r="TOG1520"/>
      <c r="TOH1520"/>
      <c r="TOI1520"/>
      <c r="TOJ1520"/>
      <c r="TOK1520"/>
      <c r="TOL1520"/>
      <c r="TOM1520"/>
      <c r="TON1520"/>
      <c r="TOO1520"/>
      <c r="TOP1520"/>
      <c r="TOQ1520"/>
      <c r="TOR1520"/>
      <c r="TOS1520"/>
      <c r="TOT1520"/>
      <c r="TOU1520"/>
      <c r="TOV1520"/>
      <c r="TOW1520"/>
      <c r="TOX1520"/>
      <c r="TOY1520"/>
      <c r="TOZ1520"/>
      <c r="TPA1520"/>
      <c r="TPB1520"/>
      <c r="TPC1520"/>
      <c r="TPD1520"/>
      <c r="TPE1520"/>
      <c r="TPF1520"/>
      <c r="TPG1520"/>
      <c r="TPH1520"/>
      <c r="TPI1520"/>
      <c r="TPJ1520"/>
      <c r="TPK1520"/>
      <c r="TPL1520"/>
      <c r="TPM1520"/>
      <c r="TPN1520"/>
      <c r="TPO1520"/>
      <c r="TPP1520"/>
      <c r="TPQ1520"/>
      <c r="TPR1520"/>
      <c r="TPS1520"/>
      <c r="TPT1520"/>
      <c r="TPU1520"/>
      <c r="TPV1520"/>
      <c r="TPW1520"/>
      <c r="TPX1520"/>
      <c r="TPY1520"/>
      <c r="TPZ1520"/>
      <c r="TQA1520"/>
      <c r="TQB1520"/>
      <c r="TQC1520"/>
      <c r="TQD1520"/>
      <c r="TQE1520"/>
      <c r="TQF1520"/>
      <c r="TQG1520"/>
      <c r="TQH1520"/>
      <c r="TQI1520"/>
      <c r="TQJ1520"/>
      <c r="TQK1520"/>
      <c r="TQL1520"/>
      <c r="TQM1520"/>
      <c r="TQN1520"/>
      <c r="TQO1520"/>
      <c r="TQP1520"/>
      <c r="TQQ1520"/>
      <c r="TQR1520"/>
      <c r="TQS1520"/>
      <c r="TQT1520"/>
      <c r="TQU1520"/>
      <c r="TQV1520"/>
      <c r="TQW1520"/>
      <c r="TQX1520"/>
      <c r="TQY1520"/>
      <c r="TQZ1520"/>
      <c r="TRA1520"/>
      <c r="TRB1520"/>
      <c r="TRC1520"/>
      <c r="TRD1520"/>
      <c r="TRE1520"/>
      <c r="TRF1520"/>
      <c r="TRG1520"/>
      <c r="TRH1520"/>
      <c r="TRI1520"/>
      <c r="TRJ1520"/>
      <c r="TRK1520"/>
      <c r="TRL1520"/>
      <c r="TRM1520"/>
      <c r="TRN1520"/>
      <c r="TRO1520"/>
      <c r="TRP1520"/>
      <c r="TRQ1520"/>
      <c r="TRR1520"/>
      <c r="TRS1520"/>
      <c r="TRT1520"/>
      <c r="TRU1520"/>
      <c r="TRV1520"/>
      <c r="TRW1520"/>
      <c r="TRX1520"/>
      <c r="TRY1520"/>
      <c r="TRZ1520"/>
      <c r="TSA1520"/>
      <c r="TSB1520"/>
      <c r="TSC1520"/>
      <c r="TSD1520"/>
      <c r="TSE1520"/>
      <c r="TSF1520"/>
      <c r="TSG1520"/>
      <c r="TSH1520"/>
      <c r="TSI1520"/>
      <c r="TSJ1520"/>
      <c r="TSK1520"/>
      <c r="TSL1520"/>
      <c r="TSM1520"/>
      <c r="TSN1520"/>
      <c r="TSO1520"/>
      <c r="TSP1520"/>
      <c r="TSQ1520"/>
      <c r="TSR1520"/>
      <c r="TSS1520"/>
      <c r="TST1520"/>
      <c r="TSU1520"/>
      <c r="TSV1520"/>
      <c r="TSW1520"/>
      <c r="TSX1520"/>
      <c r="TSY1520"/>
      <c r="TSZ1520"/>
      <c r="TTA1520"/>
      <c r="TTB1520"/>
      <c r="TTC1520"/>
      <c r="TTD1520"/>
      <c r="TTE1520"/>
      <c r="TTF1520"/>
      <c r="TTG1520"/>
      <c r="TTH1520"/>
      <c r="TTI1520"/>
      <c r="TTJ1520"/>
      <c r="TTK1520"/>
      <c r="TTL1520"/>
      <c r="TTM1520"/>
      <c r="TTN1520"/>
      <c r="TTO1520"/>
      <c r="TTP1520"/>
      <c r="TTQ1520"/>
      <c r="TTR1520"/>
      <c r="TTS1520"/>
      <c r="TTT1520"/>
      <c r="TTU1520"/>
      <c r="TTV1520"/>
      <c r="TTW1520"/>
      <c r="TTX1520"/>
      <c r="TTY1520"/>
      <c r="TTZ1520"/>
      <c r="TUA1520"/>
      <c r="TUB1520"/>
      <c r="TUC1520"/>
      <c r="TUD1520"/>
      <c r="TUE1520"/>
      <c r="TUF1520"/>
      <c r="TUG1520"/>
      <c r="TUH1520"/>
      <c r="TUI1520"/>
      <c r="TUJ1520"/>
      <c r="TUK1520"/>
      <c r="TUL1520"/>
      <c r="TUM1520"/>
      <c r="TUN1520"/>
      <c r="TUO1520"/>
      <c r="TUP1520"/>
      <c r="TUQ1520"/>
      <c r="TUR1520"/>
      <c r="TUS1520"/>
      <c r="TUT1520"/>
      <c r="TUU1520"/>
      <c r="TUV1520"/>
      <c r="TUW1520"/>
      <c r="TUX1520"/>
      <c r="TUY1520"/>
      <c r="TUZ1520"/>
      <c r="TVA1520"/>
      <c r="TVB1520"/>
      <c r="TVC1520"/>
      <c r="TVD1520"/>
      <c r="TVE1520"/>
      <c r="TVF1520"/>
      <c r="TVG1520"/>
      <c r="TVH1520"/>
      <c r="TVI1520"/>
      <c r="TVJ1520"/>
      <c r="TVK1520"/>
      <c r="TVL1520"/>
      <c r="TVM1520"/>
      <c r="TVN1520"/>
      <c r="TVO1520"/>
      <c r="TVP1520"/>
      <c r="TVQ1520"/>
      <c r="TVR1520"/>
      <c r="TVS1520"/>
      <c r="TVT1520"/>
      <c r="TVU1520"/>
      <c r="TVV1520"/>
      <c r="TVW1520"/>
      <c r="TVX1520"/>
      <c r="TVY1520"/>
      <c r="TVZ1520"/>
      <c r="TWA1520"/>
      <c r="TWB1520"/>
      <c r="TWC1520"/>
      <c r="TWD1520"/>
      <c r="TWE1520"/>
      <c r="TWF1520"/>
      <c r="TWG1520"/>
      <c r="TWH1520"/>
      <c r="TWI1520"/>
      <c r="TWJ1520"/>
      <c r="TWK1520"/>
      <c r="TWL1520"/>
      <c r="TWM1520"/>
      <c r="TWN1520"/>
      <c r="TWO1520"/>
      <c r="TWP1520"/>
      <c r="TWQ1520"/>
      <c r="TWR1520"/>
      <c r="TWS1520"/>
      <c r="TWT1520"/>
      <c r="TWU1520"/>
      <c r="TWV1520"/>
      <c r="TWW1520"/>
      <c r="TWX1520"/>
      <c r="TWY1520"/>
      <c r="TWZ1520"/>
      <c r="TXA1520"/>
      <c r="TXB1520"/>
      <c r="TXC1520"/>
      <c r="TXD1520"/>
      <c r="TXE1520"/>
      <c r="TXF1520"/>
      <c r="TXG1520"/>
      <c r="TXH1520"/>
      <c r="TXI1520"/>
      <c r="TXJ1520"/>
      <c r="TXK1520"/>
      <c r="TXL1520"/>
      <c r="TXM1520"/>
      <c r="TXN1520"/>
      <c r="TXO1520"/>
      <c r="TXP1520"/>
      <c r="TXQ1520"/>
      <c r="TXR1520"/>
      <c r="TXS1520"/>
      <c r="TXT1520"/>
      <c r="TXU1520"/>
      <c r="TXV1520"/>
      <c r="TXW1520"/>
      <c r="TXX1520"/>
      <c r="TXY1520"/>
      <c r="TXZ1520"/>
      <c r="TYA1520"/>
      <c r="TYB1520"/>
      <c r="TYC1520"/>
      <c r="TYD1520"/>
      <c r="TYE1520"/>
      <c r="TYF1520"/>
      <c r="TYG1520"/>
      <c r="TYH1520"/>
      <c r="TYI1520"/>
      <c r="TYJ1520"/>
      <c r="TYK1520"/>
      <c r="TYL1520"/>
      <c r="TYM1520"/>
      <c r="TYN1520"/>
      <c r="TYO1520"/>
      <c r="TYP1520"/>
      <c r="TYQ1520"/>
      <c r="TYR1520"/>
      <c r="TYS1520"/>
      <c r="TYT1520"/>
      <c r="TYU1520"/>
      <c r="TYV1520"/>
      <c r="TYW1520"/>
      <c r="TYX1520"/>
      <c r="TYY1520"/>
      <c r="TYZ1520"/>
      <c r="TZA1520"/>
      <c r="TZB1520"/>
      <c r="TZC1520"/>
      <c r="TZD1520"/>
      <c r="TZE1520"/>
      <c r="TZF1520"/>
      <c r="TZG1520"/>
      <c r="TZH1520"/>
      <c r="TZI1520"/>
      <c r="TZJ1520"/>
      <c r="TZK1520"/>
      <c r="TZL1520"/>
      <c r="TZM1520"/>
      <c r="TZN1520"/>
      <c r="TZO1520"/>
      <c r="TZP1520"/>
      <c r="TZQ1520"/>
      <c r="TZR1520"/>
      <c r="TZS1520"/>
      <c r="TZT1520"/>
      <c r="TZU1520"/>
      <c r="TZV1520"/>
      <c r="TZW1520"/>
      <c r="TZX1520"/>
      <c r="TZY1520"/>
      <c r="TZZ1520"/>
      <c r="UAA1520"/>
      <c r="UAB1520"/>
      <c r="UAC1520"/>
      <c r="UAD1520"/>
      <c r="UAE1520"/>
      <c r="UAF1520"/>
      <c r="UAG1520"/>
      <c r="UAH1520"/>
      <c r="UAI1520"/>
      <c r="UAJ1520"/>
      <c r="UAK1520"/>
      <c r="UAL1520"/>
      <c r="UAM1520"/>
      <c r="UAN1520"/>
      <c r="UAO1520"/>
      <c r="UAP1520"/>
      <c r="UAQ1520"/>
      <c r="UAR1520"/>
      <c r="UAS1520"/>
      <c r="UAT1520"/>
      <c r="UAU1520"/>
      <c r="UAV1520"/>
      <c r="UAW1520"/>
      <c r="UAX1520"/>
      <c r="UAY1520"/>
      <c r="UAZ1520"/>
      <c r="UBA1520"/>
      <c r="UBB1520"/>
      <c r="UBC1520"/>
      <c r="UBD1520"/>
      <c r="UBE1520"/>
      <c r="UBF1520"/>
      <c r="UBG1520"/>
      <c r="UBH1520"/>
      <c r="UBI1520"/>
      <c r="UBJ1520"/>
      <c r="UBK1520"/>
      <c r="UBL1520"/>
      <c r="UBM1520"/>
      <c r="UBN1520"/>
      <c r="UBO1520"/>
      <c r="UBP1520"/>
      <c r="UBQ1520"/>
      <c r="UBR1520"/>
      <c r="UBS1520"/>
      <c r="UBT1520"/>
      <c r="UBU1520"/>
      <c r="UBV1520"/>
      <c r="UBW1520"/>
      <c r="UBX1520"/>
      <c r="UBY1520"/>
      <c r="UBZ1520"/>
      <c r="UCA1520"/>
      <c r="UCB1520"/>
      <c r="UCC1520"/>
      <c r="UCD1520"/>
      <c r="UCE1520"/>
      <c r="UCF1520"/>
      <c r="UCG1520"/>
      <c r="UCH1520"/>
      <c r="UCI1520"/>
      <c r="UCJ1520"/>
      <c r="UCK1520"/>
      <c r="UCL1520"/>
      <c r="UCM1520"/>
      <c r="UCN1520"/>
      <c r="UCO1520"/>
      <c r="UCP1520"/>
      <c r="UCQ1520"/>
      <c r="UCR1520"/>
      <c r="UCS1520"/>
      <c r="UCT1520"/>
      <c r="UCU1520"/>
      <c r="UCV1520"/>
      <c r="UCW1520"/>
      <c r="UCX1520"/>
      <c r="UCY1520"/>
      <c r="UCZ1520"/>
      <c r="UDA1520"/>
      <c r="UDB1520"/>
      <c r="UDC1520"/>
      <c r="UDD1520"/>
      <c r="UDE1520"/>
      <c r="UDF1520"/>
      <c r="UDG1520"/>
      <c r="UDH1520"/>
      <c r="UDI1520"/>
      <c r="UDJ1520"/>
      <c r="UDK1520"/>
      <c r="UDL1520"/>
      <c r="UDM1520"/>
      <c r="UDN1520"/>
      <c r="UDO1520"/>
      <c r="UDP1520"/>
      <c r="UDQ1520"/>
      <c r="UDR1520"/>
      <c r="UDS1520"/>
      <c r="UDT1520"/>
      <c r="UDU1520"/>
      <c r="UDV1520"/>
      <c r="UDW1520"/>
      <c r="UDX1520"/>
      <c r="UDY1520"/>
      <c r="UDZ1520"/>
      <c r="UEA1520"/>
      <c r="UEB1520"/>
      <c r="UEC1520"/>
      <c r="UED1520"/>
      <c r="UEE1520"/>
      <c r="UEF1520"/>
      <c r="UEG1520"/>
      <c r="UEH1520"/>
      <c r="UEI1520"/>
      <c r="UEJ1520"/>
      <c r="UEK1520"/>
      <c r="UEL1520"/>
      <c r="UEM1520"/>
      <c r="UEN1520"/>
      <c r="UEO1520"/>
      <c r="UEP1520"/>
      <c r="UEQ1520"/>
      <c r="UER1520"/>
      <c r="UES1520"/>
      <c r="UET1520"/>
      <c r="UEU1520"/>
      <c r="UEV1520"/>
      <c r="UEW1520"/>
      <c r="UEX1520"/>
      <c r="UEY1520"/>
      <c r="UEZ1520"/>
      <c r="UFA1520"/>
      <c r="UFB1520"/>
      <c r="UFC1520"/>
      <c r="UFD1520"/>
      <c r="UFE1520"/>
      <c r="UFF1520"/>
      <c r="UFG1520"/>
      <c r="UFH1520"/>
      <c r="UFI1520"/>
      <c r="UFJ1520"/>
      <c r="UFK1520"/>
      <c r="UFL1520"/>
      <c r="UFM1520"/>
      <c r="UFN1520"/>
      <c r="UFO1520"/>
      <c r="UFP1520"/>
      <c r="UFQ1520"/>
      <c r="UFR1520"/>
      <c r="UFS1520"/>
      <c r="UFT1520"/>
      <c r="UFU1520"/>
      <c r="UFV1520"/>
      <c r="UFW1520"/>
      <c r="UFX1520"/>
      <c r="UFY1520"/>
      <c r="UFZ1520"/>
      <c r="UGA1520"/>
      <c r="UGB1520"/>
      <c r="UGC1520"/>
      <c r="UGD1520"/>
      <c r="UGE1520"/>
      <c r="UGF1520"/>
      <c r="UGG1520"/>
      <c r="UGH1520"/>
      <c r="UGI1520"/>
      <c r="UGJ1520"/>
      <c r="UGK1520"/>
      <c r="UGL1520"/>
      <c r="UGM1520"/>
      <c r="UGN1520"/>
      <c r="UGO1520"/>
      <c r="UGP1520"/>
      <c r="UGQ1520"/>
      <c r="UGR1520"/>
      <c r="UGS1520"/>
      <c r="UGT1520"/>
      <c r="UGU1520"/>
      <c r="UGV1520"/>
      <c r="UGW1520"/>
      <c r="UGX1520"/>
      <c r="UGY1520"/>
      <c r="UGZ1520"/>
      <c r="UHA1520"/>
      <c r="UHB1520"/>
      <c r="UHC1520"/>
      <c r="UHD1520"/>
      <c r="UHE1520"/>
      <c r="UHF1520"/>
      <c r="UHG1520"/>
      <c r="UHH1520"/>
      <c r="UHI1520"/>
      <c r="UHJ1520"/>
      <c r="UHK1520"/>
      <c r="UHL1520"/>
      <c r="UHM1520"/>
      <c r="UHN1520"/>
      <c r="UHO1520"/>
      <c r="UHP1520"/>
      <c r="UHQ1520"/>
      <c r="UHR1520"/>
      <c r="UHS1520"/>
      <c r="UHT1520"/>
      <c r="UHU1520"/>
      <c r="UHV1520"/>
      <c r="UHW1520"/>
      <c r="UHX1520"/>
      <c r="UHY1520"/>
      <c r="UHZ1520"/>
      <c r="UIA1520"/>
      <c r="UIB1520"/>
      <c r="UIC1520"/>
      <c r="UID1520"/>
      <c r="UIE1520"/>
      <c r="UIF1520"/>
      <c r="UIG1520"/>
      <c r="UIH1520"/>
      <c r="UII1520"/>
      <c r="UIJ1520"/>
      <c r="UIK1520"/>
      <c r="UIL1520"/>
      <c r="UIM1520"/>
      <c r="UIN1520"/>
      <c r="UIO1520"/>
      <c r="UIP1520"/>
      <c r="UIQ1520"/>
      <c r="UIR1520"/>
      <c r="UIS1520"/>
      <c r="UIT1520"/>
      <c r="UIU1520"/>
      <c r="UIV1520"/>
      <c r="UIW1520"/>
      <c r="UIX1520"/>
      <c r="UIY1520"/>
      <c r="UIZ1520"/>
      <c r="UJA1520"/>
      <c r="UJB1520"/>
      <c r="UJC1520"/>
      <c r="UJD1520"/>
      <c r="UJE1520"/>
      <c r="UJF1520"/>
      <c r="UJG1520"/>
      <c r="UJH1520"/>
      <c r="UJI1520"/>
      <c r="UJJ1520"/>
      <c r="UJK1520"/>
      <c r="UJL1520"/>
      <c r="UJM1520"/>
      <c r="UJN1520"/>
      <c r="UJO1520"/>
      <c r="UJP1520"/>
      <c r="UJQ1520"/>
      <c r="UJR1520"/>
      <c r="UJS1520"/>
      <c r="UJT1520"/>
      <c r="UJU1520"/>
      <c r="UJV1520"/>
      <c r="UJW1520"/>
      <c r="UJX1520"/>
      <c r="UJY1520"/>
      <c r="UJZ1520"/>
      <c r="UKA1520"/>
      <c r="UKB1520"/>
      <c r="UKC1520"/>
      <c r="UKD1520"/>
      <c r="UKE1520"/>
      <c r="UKF1520"/>
      <c r="UKG1520"/>
      <c r="UKH1520"/>
      <c r="UKI1520"/>
      <c r="UKJ1520"/>
      <c r="UKK1520"/>
      <c r="UKL1520"/>
      <c r="UKM1520"/>
      <c r="UKN1520"/>
      <c r="UKO1520"/>
      <c r="UKP1520"/>
      <c r="UKQ1520"/>
      <c r="UKR1520"/>
      <c r="UKS1520"/>
      <c r="UKT1520"/>
      <c r="UKU1520"/>
      <c r="UKV1520"/>
      <c r="UKW1520"/>
      <c r="UKX1520"/>
      <c r="UKY1520"/>
      <c r="UKZ1520"/>
      <c r="ULA1520"/>
      <c r="ULB1520"/>
      <c r="ULC1520"/>
      <c r="ULD1520"/>
      <c r="ULE1520"/>
      <c r="ULF1520"/>
      <c r="ULG1520"/>
      <c r="ULH1520"/>
      <c r="ULI1520"/>
      <c r="ULJ1520"/>
      <c r="ULK1520"/>
      <c r="ULL1520"/>
      <c r="ULM1520"/>
      <c r="ULN1520"/>
      <c r="ULO1520"/>
      <c r="ULP1520"/>
      <c r="ULQ1520"/>
      <c r="ULR1520"/>
      <c r="ULS1520"/>
      <c r="ULT1520"/>
      <c r="ULU1520"/>
      <c r="ULV1520"/>
      <c r="ULW1520"/>
      <c r="ULX1520"/>
      <c r="ULY1520"/>
      <c r="ULZ1520"/>
      <c r="UMA1520"/>
      <c r="UMB1520"/>
      <c r="UMC1520"/>
      <c r="UMD1520"/>
      <c r="UME1520"/>
      <c r="UMF1520"/>
      <c r="UMG1520"/>
      <c r="UMH1520"/>
      <c r="UMI1520"/>
      <c r="UMJ1520"/>
      <c r="UMK1520"/>
      <c r="UML1520"/>
      <c r="UMM1520"/>
      <c r="UMN1520"/>
      <c r="UMO1520"/>
      <c r="UMP1520"/>
      <c r="UMQ1520"/>
      <c r="UMR1520"/>
      <c r="UMS1520"/>
      <c r="UMT1520"/>
      <c r="UMU1520"/>
      <c r="UMV1520"/>
      <c r="UMW1520"/>
      <c r="UMX1520"/>
      <c r="UMY1520"/>
      <c r="UMZ1520"/>
      <c r="UNA1520"/>
      <c r="UNB1520"/>
      <c r="UNC1520"/>
      <c r="UND1520"/>
      <c r="UNE1520"/>
      <c r="UNF1520"/>
      <c r="UNG1520"/>
      <c r="UNH1520"/>
      <c r="UNI1520"/>
      <c r="UNJ1520"/>
      <c r="UNK1520"/>
      <c r="UNL1520"/>
      <c r="UNM1520"/>
      <c r="UNN1520"/>
      <c r="UNO1520"/>
      <c r="UNP1520"/>
      <c r="UNQ1520"/>
      <c r="UNR1520"/>
      <c r="UNS1520"/>
      <c r="UNT1520"/>
      <c r="UNU1520"/>
      <c r="UNV1520"/>
      <c r="UNW1520"/>
      <c r="UNX1520"/>
      <c r="UNY1520"/>
      <c r="UNZ1520"/>
      <c r="UOA1520"/>
      <c r="UOB1520"/>
      <c r="UOC1520"/>
      <c r="UOD1520"/>
      <c r="UOE1520"/>
      <c r="UOF1520"/>
      <c r="UOG1520"/>
      <c r="UOH1520"/>
      <c r="UOI1520"/>
      <c r="UOJ1520"/>
      <c r="UOK1520"/>
      <c r="UOL1520"/>
      <c r="UOM1520"/>
      <c r="UON1520"/>
      <c r="UOO1520"/>
      <c r="UOP1520"/>
      <c r="UOQ1520"/>
      <c r="UOR1520"/>
      <c r="UOS1520"/>
      <c r="UOT1520"/>
      <c r="UOU1520"/>
      <c r="UOV1520"/>
      <c r="UOW1520"/>
      <c r="UOX1520"/>
      <c r="UOY1520"/>
      <c r="UOZ1520"/>
      <c r="UPA1520"/>
      <c r="UPB1520"/>
      <c r="UPC1520"/>
      <c r="UPD1520"/>
      <c r="UPE1520"/>
      <c r="UPF1520"/>
      <c r="UPG1520"/>
      <c r="UPH1520"/>
      <c r="UPI1520"/>
      <c r="UPJ1520"/>
      <c r="UPK1520"/>
      <c r="UPL1520"/>
      <c r="UPM1520"/>
      <c r="UPN1520"/>
      <c r="UPO1520"/>
      <c r="UPP1520"/>
      <c r="UPQ1520"/>
      <c r="UPR1520"/>
      <c r="UPS1520"/>
      <c r="UPT1520"/>
      <c r="UPU1520"/>
      <c r="UPV1520"/>
      <c r="UPW1520"/>
      <c r="UPX1520"/>
      <c r="UPY1520"/>
      <c r="UPZ1520"/>
      <c r="UQA1520"/>
      <c r="UQB1520"/>
      <c r="UQC1520"/>
      <c r="UQD1520"/>
      <c r="UQE1520"/>
      <c r="UQF1520"/>
      <c r="UQG1520"/>
      <c r="UQH1520"/>
      <c r="UQI1520"/>
      <c r="UQJ1520"/>
      <c r="UQK1520"/>
      <c r="UQL1520"/>
      <c r="UQM1520"/>
      <c r="UQN1520"/>
      <c r="UQO1520"/>
      <c r="UQP1520"/>
      <c r="UQQ1520"/>
      <c r="UQR1520"/>
      <c r="UQS1520"/>
      <c r="UQT1520"/>
      <c r="UQU1520"/>
      <c r="UQV1520"/>
      <c r="UQW1520"/>
      <c r="UQX1520"/>
      <c r="UQY1520"/>
      <c r="UQZ1520"/>
      <c r="URA1520"/>
      <c r="URB1520"/>
      <c r="URC1520"/>
      <c r="URD1520"/>
      <c r="URE1520"/>
      <c r="URF1520"/>
      <c r="URG1520"/>
      <c r="URH1520"/>
      <c r="URI1520"/>
      <c r="URJ1520"/>
      <c r="URK1520"/>
      <c r="URL1520"/>
      <c r="URM1520"/>
      <c r="URN1520"/>
      <c r="URO1520"/>
      <c r="URP1520"/>
      <c r="URQ1520"/>
      <c r="URR1520"/>
      <c r="URS1520"/>
      <c r="URT1520"/>
      <c r="URU1520"/>
      <c r="URV1520"/>
      <c r="URW1520"/>
      <c r="URX1520"/>
      <c r="URY1520"/>
      <c r="URZ1520"/>
      <c r="USA1520"/>
      <c r="USB1520"/>
      <c r="USC1520"/>
      <c r="USD1520"/>
      <c r="USE1520"/>
      <c r="USF1520"/>
      <c r="USG1520"/>
      <c r="USH1520"/>
      <c r="USI1520"/>
      <c r="USJ1520"/>
      <c r="USK1520"/>
      <c r="USL1520"/>
      <c r="USM1520"/>
      <c r="USN1520"/>
      <c r="USO1520"/>
      <c r="USP1520"/>
      <c r="USQ1520"/>
      <c r="USR1520"/>
      <c r="USS1520"/>
      <c r="UST1520"/>
      <c r="USU1520"/>
      <c r="USV1520"/>
      <c r="USW1520"/>
      <c r="USX1520"/>
      <c r="USY1520"/>
      <c r="USZ1520"/>
      <c r="UTA1520"/>
      <c r="UTB1520"/>
      <c r="UTC1520"/>
      <c r="UTD1520"/>
      <c r="UTE1520"/>
      <c r="UTF1520"/>
      <c r="UTG1520"/>
      <c r="UTH1520"/>
      <c r="UTI1520"/>
      <c r="UTJ1520"/>
      <c r="UTK1520"/>
      <c r="UTL1520"/>
      <c r="UTM1520"/>
      <c r="UTN1520"/>
      <c r="UTO1520"/>
      <c r="UTP1520"/>
      <c r="UTQ1520"/>
      <c r="UTR1520"/>
      <c r="UTS1520"/>
      <c r="UTT1520"/>
      <c r="UTU1520"/>
      <c r="UTV1520"/>
      <c r="UTW1520"/>
      <c r="UTX1520"/>
      <c r="UTY1520"/>
      <c r="UTZ1520"/>
      <c r="UUA1520"/>
      <c r="UUB1520"/>
      <c r="UUC1520"/>
      <c r="UUD1520"/>
      <c r="UUE1520"/>
      <c r="UUF1520"/>
      <c r="UUG1520"/>
      <c r="UUH1520"/>
      <c r="UUI1520"/>
      <c r="UUJ1520"/>
      <c r="UUK1520"/>
      <c r="UUL1520"/>
      <c r="UUM1520"/>
      <c r="UUN1520"/>
      <c r="UUO1520"/>
      <c r="UUP1520"/>
      <c r="UUQ1520"/>
      <c r="UUR1520"/>
      <c r="UUS1520"/>
      <c r="UUT1520"/>
      <c r="UUU1520"/>
      <c r="UUV1520"/>
      <c r="UUW1520"/>
      <c r="UUX1520"/>
      <c r="UUY1520"/>
      <c r="UUZ1520"/>
      <c r="UVA1520"/>
      <c r="UVB1520"/>
      <c r="UVC1520"/>
      <c r="UVD1520"/>
      <c r="UVE1520"/>
      <c r="UVF1520"/>
      <c r="UVG1520"/>
      <c r="UVH1520"/>
      <c r="UVI1520"/>
      <c r="UVJ1520"/>
      <c r="UVK1520"/>
      <c r="UVL1520"/>
      <c r="UVM1520"/>
      <c r="UVN1520"/>
      <c r="UVO1520"/>
      <c r="UVP1520"/>
      <c r="UVQ1520"/>
      <c r="UVR1520"/>
      <c r="UVS1520"/>
      <c r="UVT1520"/>
      <c r="UVU1520"/>
      <c r="UVV1520"/>
      <c r="UVW1520"/>
      <c r="UVX1520"/>
      <c r="UVY1520"/>
      <c r="UVZ1520"/>
      <c r="UWA1520"/>
      <c r="UWB1520"/>
      <c r="UWC1520"/>
      <c r="UWD1520"/>
      <c r="UWE1520"/>
      <c r="UWF1520"/>
      <c r="UWG1520"/>
      <c r="UWH1520"/>
      <c r="UWI1520"/>
      <c r="UWJ1520"/>
      <c r="UWK1520"/>
      <c r="UWL1520"/>
      <c r="UWM1520"/>
      <c r="UWN1520"/>
      <c r="UWO1520"/>
      <c r="UWP1520"/>
      <c r="UWQ1520"/>
      <c r="UWR1520"/>
      <c r="UWS1520"/>
      <c r="UWT1520"/>
      <c r="UWU1520"/>
      <c r="UWV1520"/>
      <c r="UWW1520"/>
      <c r="UWX1520"/>
      <c r="UWY1520"/>
      <c r="UWZ1520"/>
      <c r="UXA1520"/>
      <c r="UXB1520"/>
      <c r="UXC1520"/>
      <c r="UXD1520"/>
      <c r="UXE1520"/>
      <c r="UXF1520"/>
      <c r="UXG1520"/>
      <c r="UXH1520"/>
      <c r="UXI1520"/>
      <c r="UXJ1520"/>
      <c r="UXK1520"/>
      <c r="UXL1520"/>
      <c r="UXM1520"/>
      <c r="UXN1520"/>
      <c r="UXO1520"/>
      <c r="UXP1520"/>
      <c r="UXQ1520"/>
      <c r="UXR1520"/>
      <c r="UXS1520"/>
      <c r="UXT1520"/>
      <c r="UXU1520"/>
      <c r="UXV1520"/>
      <c r="UXW1520"/>
      <c r="UXX1520"/>
      <c r="UXY1520"/>
      <c r="UXZ1520"/>
      <c r="UYA1520"/>
      <c r="UYB1520"/>
      <c r="UYC1520"/>
      <c r="UYD1520"/>
      <c r="UYE1520"/>
      <c r="UYF1520"/>
      <c r="UYG1520"/>
      <c r="UYH1520"/>
      <c r="UYI1520"/>
      <c r="UYJ1520"/>
      <c r="UYK1520"/>
      <c r="UYL1520"/>
      <c r="UYM1520"/>
      <c r="UYN1520"/>
      <c r="UYO1520"/>
      <c r="UYP1520"/>
      <c r="UYQ1520"/>
      <c r="UYR1520"/>
      <c r="UYS1520"/>
      <c r="UYT1520"/>
      <c r="UYU1520"/>
      <c r="UYV1520"/>
      <c r="UYW1520"/>
      <c r="UYX1520"/>
      <c r="UYY1520"/>
      <c r="UYZ1520"/>
      <c r="UZA1520"/>
      <c r="UZB1520"/>
      <c r="UZC1520"/>
      <c r="UZD1520"/>
      <c r="UZE1520"/>
      <c r="UZF1520"/>
      <c r="UZG1520"/>
      <c r="UZH1520"/>
      <c r="UZI1520"/>
      <c r="UZJ1520"/>
      <c r="UZK1520"/>
      <c r="UZL1520"/>
      <c r="UZM1520"/>
      <c r="UZN1520"/>
      <c r="UZO1520"/>
      <c r="UZP1520"/>
      <c r="UZQ1520"/>
      <c r="UZR1520"/>
      <c r="UZS1520"/>
      <c r="UZT1520"/>
      <c r="UZU1520"/>
      <c r="UZV1520"/>
      <c r="UZW1520"/>
      <c r="UZX1520"/>
      <c r="UZY1520"/>
      <c r="UZZ1520"/>
      <c r="VAA1520"/>
      <c r="VAB1520"/>
      <c r="VAC1520"/>
      <c r="VAD1520"/>
      <c r="VAE1520"/>
      <c r="VAF1520"/>
      <c r="VAG1520"/>
      <c r="VAH1520"/>
      <c r="VAI1520"/>
      <c r="VAJ1520"/>
      <c r="VAK1520"/>
      <c r="VAL1520"/>
      <c r="VAM1520"/>
      <c r="VAN1520"/>
      <c r="VAO1520"/>
      <c r="VAP1520"/>
      <c r="VAQ1520"/>
      <c r="VAR1520"/>
      <c r="VAS1520"/>
      <c r="VAT1520"/>
      <c r="VAU1520"/>
      <c r="VAV1520"/>
      <c r="VAW1520"/>
      <c r="VAX1520"/>
      <c r="VAY1520"/>
      <c r="VAZ1520"/>
      <c r="VBA1520"/>
      <c r="VBB1520"/>
      <c r="VBC1520"/>
      <c r="VBD1520"/>
      <c r="VBE1520"/>
      <c r="VBF1520"/>
      <c r="VBG1520"/>
      <c r="VBH1520"/>
      <c r="VBI1520"/>
      <c r="VBJ1520"/>
      <c r="VBK1520"/>
      <c r="VBL1520"/>
      <c r="VBM1520"/>
      <c r="VBN1520"/>
      <c r="VBO1520"/>
      <c r="VBP1520"/>
      <c r="VBQ1520"/>
      <c r="VBR1520"/>
      <c r="VBS1520"/>
      <c r="VBT1520"/>
      <c r="VBU1520"/>
      <c r="VBV1520"/>
      <c r="VBW1520"/>
      <c r="VBX1520"/>
      <c r="VBY1520"/>
      <c r="VBZ1520"/>
      <c r="VCA1520"/>
      <c r="VCB1520"/>
      <c r="VCC1520"/>
      <c r="VCD1520"/>
      <c r="VCE1520"/>
      <c r="VCF1520"/>
      <c r="VCG1520"/>
      <c r="VCH1520"/>
      <c r="VCI1520"/>
      <c r="VCJ1520"/>
      <c r="VCK1520"/>
      <c r="VCL1520"/>
      <c r="VCM1520"/>
      <c r="VCN1520"/>
      <c r="VCO1520"/>
      <c r="VCP1520"/>
      <c r="VCQ1520"/>
      <c r="VCR1520"/>
      <c r="VCS1520"/>
      <c r="VCT1520"/>
      <c r="VCU1520"/>
      <c r="VCV1520"/>
      <c r="VCW1520"/>
      <c r="VCX1520"/>
      <c r="VCY1520"/>
      <c r="VCZ1520"/>
      <c r="VDA1520"/>
      <c r="VDB1520"/>
      <c r="VDC1520"/>
      <c r="VDD1520"/>
      <c r="VDE1520"/>
      <c r="VDF1520"/>
      <c r="VDG1520"/>
      <c r="VDH1520"/>
      <c r="VDI1520"/>
      <c r="VDJ1520"/>
      <c r="VDK1520"/>
      <c r="VDL1520"/>
      <c r="VDM1520"/>
      <c r="VDN1520"/>
      <c r="VDO1520"/>
      <c r="VDP1520"/>
      <c r="VDQ1520"/>
      <c r="VDR1520"/>
      <c r="VDS1520"/>
      <c r="VDT1520"/>
      <c r="VDU1520"/>
      <c r="VDV1520"/>
      <c r="VDW1520"/>
      <c r="VDX1520"/>
      <c r="VDY1520"/>
      <c r="VDZ1520"/>
      <c r="VEA1520"/>
      <c r="VEB1520"/>
      <c r="VEC1520"/>
      <c r="VED1520"/>
      <c r="VEE1520"/>
      <c r="VEF1520"/>
      <c r="VEG1520"/>
      <c r="VEH1520"/>
      <c r="VEI1520"/>
      <c r="VEJ1520"/>
      <c r="VEK1520"/>
      <c r="VEL1520"/>
      <c r="VEM1520"/>
      <c r="VEN1520"/>
      <c r="VEO1520"/>
      <c r="VEP1520"/>
      <c r="VEQ1520"/>
      <c r="VER1520"/>
      <c r="VES1520"/>
      <c r="VET1520"/>
      <c r="VEU1520"/>
      <c r="VEV1520"/>
      <c r="VEW1520"/>
      <c r="VEX1520"/>
      <c r="VEY1520"/>
      <c r="VEZ1520"/>
      <c r="VFA1520"/>
      <c r="VFB1520"/>
      <c r="VFC1520"/>
      <c r="VFD1520"/>
      <c r="VFE1520"/>
      <c r="VFF1520"/>
      <c r="VFG1520"/>
      <c r="VFH1520"/>
      <c r="VFI1520"/>
      <c r="VFJ1520"/>
      <c r="VFK1520"/>
      <c r="VFL1520"/>
      <c r="VFM1520"/>
      <c r="VFN1520"/>
      <c r="VFO1520"/>
      <c r="VFP1520"/>
      <c r="VFQ1520"/>
      <c r="VFR1520"/>
      <c r="VFS1520"/>
      <c r="VFT1520"/>
      <c r="VFU1520"/>
      <c r="VFV1520"/>
      <c r="VFW1520"/>
      <c r="VFX1520"/>
      <c r="VFY1520"/>
      <c r="VFZ1520"/>
      <c r="VGA1520"/>
      <c r="VGB1520"/>
      <c r="VGC1520"/>
      <c r="VGD1520"/>
      <c r="VGE1520"/>
      <c r="VGF1520"/>
      <c r="VGG1520"/>
      <c r="VGH1520"/>
      <c r="VGI1520"/>
      <c r="VGJ1520"/>
      <c r="VGK1520"/>
      <c r="VGL1520"/>
      <c r="VGM1520"/>
      <c r="VGN1520"/>
      <c r="VGO1520"/>
      <c r="VGP1520"/>
      <c r="VGQ1520"/>
      <c r="VGR1520"/>
      <c r="VGS1520"/>
      <c r="VGT1520"/>
      <c r="VGU1520"/>
      <c r="VGV1520"/>
      <c r="VGW1520"/>
      <c r="VGX1520"/>
      <c r="VGY1520"/>
      <c r="VGZ1520"/>
      <c r="VHA1520"/>
      <c r="VHB1520"/>
      <c r="VHC1520"/>
      <c r="VHD1520"/>
      <c r="VHE1520"/>
      <c r="VHF1520"/>
      <c r="VHG1520"/>
      <c r="VHH1520"/>
      <c r="VHI1520"/>
      <c r="VHJ1520"/>
      <c r="VHK1520"/>
      <c r="VHL1520"/>
      <c r="VHM1520"/>
      <c r="VHN1520"/>
      <c r="VHO1520"/>
      <c r="VHP1520"/>
      <c r="VHQ1520"/>
      <c r="VHR1520"/>
      <c r="VHS1520"/>
      <c r="VHT1520"/>
      <c r="VHU1520"/>
      <c r="VHV1520"/>
      <c r="VHW1520"/>
      <c r="VHX1520"/>
      <c r="VHY1520"/>
      <c r="VHZ1520"/>
      <c r="VIA1520"/>
      <c r="VIB1520"/>
      <c r="VIC1520"/>
      <c r="VID1520"/>
      <c r="VIE1520"/>
      <c r="VIF1520"/>
      <c r="VIG1520"/>
      <c r="VIH1520"/>
      <c r="VII1520"/>
      <c r="VIJ1520"/>
      <c r="VIK1520"/>
      <c r="VIL1520"/>
      <c r="VIM1520"/>
      <c r="VIN1520"/>
      <c r="VIO1520"/>
      <c r="VIP1520"/>
      <c r="VIQ1520"/>
      <c r="VIR1520"/>
      <c r="VIS1520"/>
      <c r="VIT1520"/>
      <c r="VIU1520"/>
      <c r="VIV1520"/>
      <c r="VIW1520"/>
      <c r="VIX1520"/>
      <c r="VIY1520"/>
      <c r="VIZ1520"/>
      <c r="VJA1520"/>
      <c r="VJB1520"/>
      <c r="VJC1520"/>
      <c r="VJD1520"/>
      <c r="VJE1520"/>
      <c r="VJF1520"/>
      <c r="VJG1520"/>
      <c r="VJH1520"/>
      <c r="VJI1520"/>
      <c r="VJJ1520"/>
      <c r="VJK1520"/>
      <c r="VJL1520"/>
      <c r="VJM1520"/>
      <c r="VJN1520"/>
      <c r="VJO1520"/>
      <c r="VJP1520"/>
      <c r="VJQ1520"/>
      <c r="VJR1520"/>
      <c r="VJS1520"/>
      <c r="VJT1520"/>
      <c r="VJU1520"/>
      <c r="VJV1520"/>
      <c r="VJW1520"/>
      <c r="VJX1520"/>
      <c r="VJY1520"/>
      <c r="VJZ1520"/>
      <c r="VKA1520"/>
      <c r="VKB1520"/>
      <c r="VKC1520"/>
      <c r="VKD1520"/>
      <c r="VKE1520"/>
      <c r="VKF1520"/>
      <c r="VKG1520"/>
      <c r="VKH1520"/>
      <c r="VKI1520"/>
      <c r="VKJ1520"/>
      <c r="VKK1520"/>
      <c r="VKL1520"/>
      <c r="VKM1520"/>
      <c r="VKN1520"/>
      <c r="VKO1520"/>
      <c r="VKP1520"/>
      <c r="VKQ1520"/>
      <c r="VKR1520"/>
      <c r="VKS1520"/>
      <c r="VKT1520"/>
      <c r="VKU1520"/>
      <c r="VKV1520"/>
      <c r="VKW1520"/>
      <c r="VKX1520"/>
      <c r="VKY1520"/>
      <c r="VKZ1520"/>
      <c r="VLA1520"/>
      <c r="VLB1520"/>
      <c r="VLC1520"/>
      <c r="VLD1520"/>
      <c r="VLE1520"/>
      <c r="VLF1520"/>
      <c r="VLG1520"/>
      <c r="VLH1520"/>
      <c r="VLI1520"/>
      <c r="VLJ1520"/>
      <c r="VLK1520"/>
      <c r="VLL1520"/>
      <c r="VLM1520"/>
      <c r="VLN1520"/>
      <c r="VLO1520"/>
      <c r="VLP1520"/>
      <c r="VLQ1520"/>
      <c r="VLR1520"/>
      <c r="VLS1520"/>
      <c r="VLT1520"/>
      <c r="VLU1520"/>
      <c r="VLV1520"/>
      <c r="VLW1520"/>
      <c r="VLX1520"/>
      <c r="VLY1520"/>
      <c r="VLZ1520"/>
      <c r="VMA1520"/>
      <c r="VMB1520"/>
      <c r="VMC1520"/>
      <c r="VMD1520"/>
      <c r="VME1520"/>
      <c r="VMF1520"/>
      <c r="VMG1520"/>
      <c r="VMH1520"/>
      <c r="VMI1520"/>
      <c r="VMJ1520"/>
      <c r="VMK1520"/>
      <c r="VML1520"/>
      <c r="VMM1520"/>
      <c r="VMN1520"/>
      <c r="VMO1520"/>
      <c r="VMP1520"/>
      <c r="VMQ1520"/>
      <c r="VMR1520"/>
      <c r="VMS1520"/>
      <c r="VMT1520"/>
      <c r="VMU1520"/>
      <c r="VMV1520"/>
      <c r="VMW1520"/>
      <c r="VMX1520"/>
      <c r="VMY1520"/>
      <c r="VMZ1520"/>
      <c r="VNA1520"/>
      <c r="VNB1520"/>
      <c r="VNC1520"/>
      <c r="VND1520"/>
      <c r="VNE1520"/>
      <c r="VNF1520"/>
      <c r="VNG1520"/>
      <c r="VNH1520"/>
      <c r="VNI1520"/>
      <c r="VNJ1520"/>
      <c r="VNK1520"/>
      <c r="VNL1520"/>
      <c r="VNM1520"/>
      <c r="VNN1520"/>
      <c r="VNO1520"/>
      <c r="VNP1520"/>
      <c r="VNQ1520"/>
      <c r="VNR1520"/>
      <c r="VNS1520"/>
      <c r="VNT1520"/>
      <c r="VNU1520"/>
      <c r="VNV1520"/>
      <c r="VNW1520"/>
      <c r="VNX1520"/>
      <c r="VNY1520"/>
      <c r="VNZ1520"/>
      <c r="VOA1520"/>
      <c r="VOB1520"/>
      <c r="VOC1520"/>
      <c r="VOD1520"/>
      <c r="VOE1520"/>
      <c r="VOF1520"/>
      <c r="VOG1520"/>
      <c r="VOH1520"/>
      <c r="VOI1520"/>
      <c r="VOJ1520"/>
      <c r="VOK1520"/>
      <c r="VOL1520"/>
      <c r="VOM1520"/>
      <c r="VON1520"/>
      <c r="VOO1520"/>
      <c r="VOP1520"/>
      <c r="VOQ1520"/>
      <c r="VOR1520"/>
      <c r="VOS1520"/>
      <c r="VOT1520"/>
      <c r="VOU1520"/>
      <c r="VOV1520"/>
      <c r="VOW1520"/>
      <c r="VOX1520"/>
      <c r="VOY1520"/>
      <c r="VOZ1520"/>
      <c r="VPA1520"/>
      <c r="VPB1520"/>
      <c r="VPC1520"/>
      <c r="VPD1520"/>
      <c r="VPE1520"/>
      <c r="VPF1520"/>
      <c r="VPG1520"/>
      <c r="VPH1520"/>
      <c r="VPI1520"/>
      <c r="VPJ1520"/>
      <c r="VPK1520"/>
      <c r="VPL1520"/>
      <c r="VPM1520"/>
      <c r="VPN1520"/>
      <c r="VPO1520"/>
      <c r="VPP1520"/>
      <c r="VPQ1520"/>
      <c r="VPR1520"/>
      <c r="VPS1520"/>
      <c r="VPT1520"/>
      <c r="VPU1520"/>
      <c r="VPV1520"/>
      <c r="VPW1520"/>
      <c r="VPX1520"/>
      <c r="VPY1520"/>
      <c r="VPZ1520"/>
      <c r="VQA1520"/>
      <c r="VQB1520"/>
      <c r="VQC1520"/>
      <c r="VQD1520"/>
      <c r="VQE1520"/>
      <c r="VQF1520"/>
      <c r="VQG1520"/>
      <c r="VQH1520"/>
      <c r="VQI1520"/>
      <c r="VQJ1520"/>
      <c r="VQK1520"/>
      <c r="VQL1520"/>
      <c r="VQM1520"/>
      <c r="VQN1520"/>
      <c r="VQO1520"/>
      <c r="VQP1520"/>
      <c r="VQQ1520"/>
      <c r="VQR1520"/>
      <c r="VQS1520"/>
      <c r="VQT1520"/>
      <c r="VQU1520"/>
      <c r="VQV1520"/>
      <c r="VQW1520"/>
      <c r="VQX1520"/>
      <c r="VQY1520"/>
      <c r="VQZ1520"/>
      <c r="VRA1520"/>
      <c r="VRB1520"/>
      <c r="VRC1520"/>
      <c r="VRD1520"/>
      <c r="VRE1520"/>
      <c r="VRF1520"/>
      <c r="VRG1520"/>
      <c r="VRH1520"/>
      <c r="VRI1520"/>
      <c r="VRJ1520"/>
      <c r="VRK1520"/>
      <c r="VRL1520"/>
      <c r="VRM1520"/>
      <c r="VRN1520"/>
      <c r="VRO1520"/>
      <c r="VRP1520"/>
      <c r="VRQ1520"/>
      <c r="VRR1520"/>
      <c r="VRS1520"/>
      <c r="VRT1520"/>
      <c r="VRU1520"/>
      <c r="VRV1520"/>
      <c r="VRW1520"/>
      <c r="VRX1520"/>
      <c r="VRY1520"/>
      <c r="VRZ1520"/>
      <c r="VSA1520"/>
      <c r="VSB1520"/>
      <c r="VSC1520"/>
      <c r="VSD1520"/>
      <c r="VSE1520"/>
      <c r="VSF1520"/>
      <c r="VSG1520"/>
      <c r="VSH1520"/>
      <c r="VSI1520"/>
      <c r="VSJ1520"/>
      <c r="VSK1520"/>
      <c r="VSL1520"/>
      <c r="VSM1520"/>
      <c r="VSN1520"/>
      <c r="VSO1520"/>
      <c r="VSP1520"/>
      <c r="VSQ1520"/>
      <c r="VSR1520"/>
      <c r="VSS1520"/>
      <c r="VST1520"/>
      <c r="VSU1520"/>
      <c r="VSV1520"/>
      <c r="VSW1520"/>
      <c r="VSX1520"/>
      <c r="VSY1520"/>
      <c r="VSZ1520"/>
      <c r="VTA1520"/>
      <c r="VTB1520"/>
      <c r="VTC1520"/>
      <c r="VTD1520"/>
      <c r="VTE1520"/>
      <c r="VTF1520"/>
      <c r="VTG1520"/>
      <c r="VTH1520"/>
      <c r="VTI1520"/>
      <c r="VTJ1520"/>
      <c r="VTK1520"/>
      <c r="VTL1520"/>
      <c r="VTM1520"/>
      <c r="VTN1520"/>
      <c r="VTO1520"/>
      <c r="VTP1520"/>
      <c r="VTQ1520"/>
      <c r="VTR1520"/>
      <c r="VTS1520"/>
      <c r="VTT1520"/>
      <c r="VTU1520"/>
      <c r="VTV1520"/>
      <c r="VTW1520"/>
      <c r="VTX1520"/>
      <c r="VTY1520"/>
      <c r="VTZ1520"/>
      <c r="VUA1520"/>
      <c r="VUB1520"/>
      <c r="VUC1520"/>
      <c r="VUD1520"/>
      <c r="VUE1520"/>
      <c r="VUF1520"/>
      <c r="VUG1520"/>
      <c r="VUH1520"/>
      <c r="VUI1520"/>
      <c r="VUJ1520"/>
      <c r="VUK1520"/>
      <c r="VUL1520"/>
      <c r="VUM1520"/>
      <c r="VUN1520"/>
      <c r="VUO1520"/>
      <c r="VUP1520"/>
      <c r="VUQ1520"/>
      <c r="VUR1520"/>
      <c r="VUS1520"/>
      <c r="VUT1520"/>
      <c r="VUU1520"/>
      <c r="VUV1520"/>
      <c r="VUW1520"/>
      <c r="VUX1520"/>
      <c r="VUY1520"/>
      <c r="VUZ1520"/>
      <c r="VVA1520"/>
      <c r="VVB1520"/>
      <c r="VVC1520"/>
      <c r="VVD1520"/>
      <c r="VVE1520"/>
      <c r="VVF1520"/>
      <c r="VVG1520"/>
      <c r="VVH1520"/>
      <c r="VVI1520"/>
      <c r="VVJ1520"/>
      <c r="VVK1520"/>
      <c r="VVL1520"/>
      <c r="VVM1520"/>
      <c r="VVN1520"/>
      <c r="VVO1520"/>
      <c r="VVP1520"/>
      <c r="VVQ1520"/>
      <c r="VVR1520"/>
      <c r="VVS1520"/>
      <c r="VVT1520"/>
      <c r="VVU1520"/>
      <c r="VVV1520"/>
      <c r="VVW1520"/>
      <c r="VVX1520"/>
      <c r="VVY1520"/>
      <c r="VVZ1520"/>
      <c r="VWA1520"/>
      <c r="VWB1520"/>
      <c r="VWC1520"/>
      <c r="VWD1520"/>
      <c r="VWE1520"/>
      <c r="VWF1520"/>
      <c r="VWG1520"/>
      <c r="VWH1520"/>
      <c r="VWI1520"/>
      <c r="VWJ1520"/>
      <c r="VWK1520"/>
      <c r="VWL1520"/>
      <c r="VWM1520"/>
      <c r="VWN1520"/>
      <c r="VWO1520"/>
      <c r="VWP1520"/>
      <c r="VWQ1520"/>
      <c r="VWR1520"/>
      <c r="VWS1520"/>
      <c r="VWT1520"/>
      <c r="VWU1520"/>
      <c r="VWV1520"/>
      <c r="VWW1520"/>
      <c r="VWX1520"/>
      <c r="VWY1520"/>
      <c r="VWZ1520"/>
      <c r="VXA1520"/>
      <c r="VXB1520"/>
      <c r="VXC1520"/>
      <c r="VXD1520"/>
      <c r="VXE1520"/>
      <c r="VXF1520"/>
      <c r="VXG1520"/>
      <c r="VXH1520"/>
      <c r="VXI1520"/>
      <c r="VXJ1520"/>
      <c r="VXK1520"/>
      <c r="VXL1520"/>
      <c r="VXM1520"/>
      <c r="VXN1520"/>
      <c r="VXO1520"/>
      <c r="VXP1520"/>
      <c r="VXQ1520"/>
      <c r="VXR1520"/>
      <c r="VXS1520"/>
      <c r="VXT1520"/>
      <c r="VXU1520"/>
      <c r="VXV1520"/>
      <c r="VXW1520"/>
      <c r="VXX1520"/>
      <c r="VXY1520"/>
      <c r="VXZ1520"/>
      <c r="VYA1520"/>
      <c r="VYB1520"/>
      <c r="VYC1520"/>
      <c r="VYD1520"/>
      <c r="VYE1520"/>
      <c r="VYF1520"/>
      <c r="VYG1520"/>
      <c r="VYH1520"/>
      <c r="VYI1520"/>
      <c r="VYJ1520"/>
      <c r="VYK1520"/>
      <c r="VYL1520"/>
      <c r="VYM1520"/>
      <c r="VYN1520"/>
      <c r="VYO1520"/>
      <c r="VYP1520"/>
      <c r="VYQ1520"/>
      <c r="VYR1520"/>
      <c r="VYS1520"/>
      <c r="VYT1520"/>
      <c r="VYU1520"/>
      <c r="VYV1520"/>
      <c r="VYW1520"/>
      <c r="VYX1520"/>
      <c r="VYY1520"/>
      <c r="VYZ1520"/>
      <c r="VZA1520"/>
      <c r="VZB1520"/>
      <c r="VZC1520"/>
      <c r="VZD1520"/>
      <c r="VZE1520"/>
      <c r="VZF1520"/>
      <c r="VZG1520"/>
      <c r="VZH1520"/>
      <c r="VZI1520"/>
      <c r="VZJ1520"/>
      <c r="VZK1520"/>
      <c r="VZL1520"/>
      <c r="VZM1520"/>
      <c r="VZN1520"/>
      <c r="VZO1520"/>
      <c r="VZP1520"/>
      <c r="VZQ1520"/>
      <c r="VZR1520"/>
      <c r="VZS1520"/>
      <c r="VZT1520"/>
      <c r="VZU1520"/>
      <c r="VZV1520"/>
      <c r="VZW1520"/>
      <c r="VZX1520"/>
      <c r="VZY1520"/>
      <c r="VZZ1520"/>
      <c r="WAA1520"/>
      <c r="WAB1520"/>
      <c r="WAC1520"/>
      <c r="WAD1520"/>
      <c r="WAE1520"/>
      <c r="WAF1520"/>
      <c r="WAG1520"/>
      <c r="WAH1520"/>
      <c r="WAI1520"/>
      <c r="WAJ1520"/>
      <c r="WAK1520"/>
      <c r="WAL1520"/>
      <c r="WAM1520"/>
      <c r="WAN1520"/>
      <c r="WAO1520"/>
      <c r="WAP1520"/>
      <c r="WAQ1520"/>
      <c r="WAR1520"/>
      <c r="WAS1520"/>
      <c r="WAT1520"/>
      <c r="WAU1520"/>
      <c r="WAV1520"/>
      <c r="WAW1520"/>
      <c r="WAX1520"/>
      <c r="WAY1520"/>
      <c r="WAZ1520"/>
      <c r="WBA1520"/>
      <c r="WBB1520"/>
      <c r="WBC1520"/>
      <c r="WBD1520"/>
      <c r="WBE1520"/>
      <c r="WBF1520"/>
      <c r="WBG1520"/>
      <c r="WBH1520"/>
      <c r="WBI1520"/>
      <c r="WBJ1520"/>
      <c r="WBK1520"/>
      <c r="WBL1520"/>
      <c r="WBM1520"/>
      <c r="WBN1520"/>
      <c r="WBO1520"/>
      <c r="WBP1520"/>
      <c r="WBQ1520"/>
      <c r="WBR1520"/>
      <c r="WBS1520"/>
      <c r="WBT1520"/>
      <c r="WBU1520"/>
      <c r="WBV1520"/>
      <c r="WBW1520"/>
      <c r="WBX1520"/>
      <c r="WBY1520"/>
      <c r="WBZ1520"/>
      <c r="WCA1520"/>
      <c r="WCB1520"/>
      <c r="WCC1520"/>
      <c r="WCD1520"/>
      <c r="WCE1520"/>
      <c r="WCF1520"/>
      <c r="WCG1520"/>
      <c r="WCH1520"/>
      <c r="WCI1520"/>
      <c r="WCJ1520"/>
      <c r="WCK1520"/>
      <c r="WCL1520"/>
      <c r="WCM1520"/>
      <c r="WCN1520"/>
      <c r="WCO1520"/>
      <c r="WCP1520"/>
      <c r="WCQ1520"/>
      <c r="WCR1520"/>
      <c r="WCS1520"/>
      <c r="WCT1520"/>
      <c r="WCU1520"/>
      <c r="WCV1520"/>
      <c r="WCW1520"/>
      <c r="WCX1520"/>
      <c r="WCY1520"/>
      <c r="WCZ1520"/>
      <c r="WDA1520"/>
      <c r="WDB1520"/>
      <c r="WDC1520"/>
      <c r="WDD1520"/>
      <c r="WDE1520"/>
      <c r="WDF1520"/>
      <c r="WDG1520"/>
      <c r="WDH1520"/>
      <c r="WDI1520"/>
      <c r="WDJ1520"/>
      <c r="WDK1520"/>
      <c r="WDL1520"/>
      <c r="WDM1520"/>
      <c r="WDN1520"/>
      <c r="WDO1520"/>
      <c r="WDP1520"/>
      <c r="WDQ1520"/>
      <c r="WDR1520"/>
      <c r="WDS1520"/>
      <c r="WDT1520"/>
      <c r="WDU1520"/>
      <c r="WDV1520"/>
      <c r="WDW1520"/>
      <c r="WDX1520"/>
      <c r="WDY1520"/>
      <c r="WDZ1520"/>
      <c r="WEA1520"/>
      <c r="WEB1520"/>
      <c r="WEC1520"/>
      <c r="WED1520"/>
      <c r="WEE1520"/>
      <c r="WEF1520"/>
      <c r="WEG1520"/>
      <c r="WEH1520"/>
      <c r="WEI1520"/>
      <c r="WEJ1520"/>
      <c r="WEK1520"/>
      <c r="WEL1520"/>
      <c r="WEM1520"/>
      <c r="WEN1520"/>
      <c r="WEO1520"/>
      <c r="WEP1520"/>
      <c r="WEQ1520"/>
      <c r="WER1520"/>
      <c r="WES1520"/>
      <c r="WET1520"/>
      <c r="WEU1520"/>
      <c r="WEV1520"/>
      <c r="WEW1520"/>
      <c r="WEX1520"/>
      <c r="WEY1520"/>
      <c r="WEZ1520"/>
      <c r="WFA1520"/>
      <c r="WFB1520"/>
      <c r="WFC1520"/>
      <c r="WFD1520"/>
      <c r="WFE1520"/>
      <c r="WFF1520"/>
      <c r="WFG1520"/>
      <c r="WFH1520"/>
      <c r="WFI1520"/>
      <c r="WFJ1520"/>
      <c r="WFK1520"/>
      <c r="WFL1520"/>
      <c r="WFM1520"/>
      <c r="WFN1520"/>
      <c r="WFO1520"/>
      <c r="WFP1520"/>
      <c r="WFQ1520"/>
      <c r="WFR1520"/>
      <c r="WFS1520"/>
      <c r="WFT1520"/>
      <c r="WFU1520"/>
      <c r="WFV1520"/>
      <c r="WFW1520"/>
      <c r="WFX1520"/>
      <c r="WFY1520"/>
      <c r="WFZ1520"/>
      <c r="WGA1520"/>
      <c r="WGB1520"/>
      <c r="WGC1520"/>
      <c r="WGD1520"/>
      <c r="WGE1520"/>
      <c r="WGF1520"/>
      <c r="WGG1520"/>
      <c r="WGH1520"/>
      <c r="WGI1520"/>
      <c r="WGJ1520"/>
      <c r="WGK1520"/>
      <c r="WGL1520"/>
      <c r="WGM1520"/>
      <c r="WGN1520"/>
      <c r="WGO1520"/>
      <c r="WGP1520"/>
      <c r="WGQ1520"/>
      <c r="WGR1520"/>
      <c r="WGS1520"/>
      <c r="WGT1520"/>
      <c r="WGU1520"/>
      <c r="WGV1520"/>
      <c r="WGW1520"/>
      <c r="WGX1520"/>
      <c r="WGY1520"/>
      <c r="WGZ1520"/>
      <c r="WHA1520"/>
      <c r="WHB1520"/>
      <c r="WHC1520"/>
      <c r="WHD1520"/>
      <c r="WHE1520"/>
      <c r="WHF1520"/>
      <c r="WHG1520"/>
      <c r="WHH1520"/>
      <c r="WHI1520"/>
      <c r="WHJ1520"/>
      <c r="WHK1520"/>
      <c r="WHL1520"/>
      <c r="WHM1520"/>
      <c r="WHN1520"/>
      <c r="WHO1520"/>
      <c r="WHP1520"/>
      <c r="WHQ1520"/>
      <c r="WHR1520"/>
      <c r="WHS1520"/>
      <c r="WHT1520"/>
      <c r="WHU1520"/>
      <c r="WHV1520"/>
      <c r="WHW1520"/>
      <c r="WHX1520"/>
      <c r="WHY1520"/>
      <c r="WHZ1520"/>
      <c r="WIA1520"/>
      <c r="WIB1520"/>
      <c r="WIC1520"/>
      <c r="WID1520"/>
      <c r="WIE1520"/>
      <c r="WIF1520"/>
      <c r="WIG1520"/>
      <c r="WIH1520"/>
      <c r="WII1520"/>
      <c r="WIJ1520"/>
      <c r="WIK1520"/>
      <c r="WIL1520"/>
      <c r="WIM1520"/>
      <c r="WIN1520"/>
      <c r="WIO1520"/>
      <c r="WIP1520"/>
      <c r="WIQ1520"/>
      <c r="WIR1520"/>
      <c r="WIS1520"/>
      <c r="WIT1520"/>
      <c r="WIU1520"/>
      <c r="WIV1520"/>
      <c r="WIW1520"/>
      <c r="WIX1520"/>
      <c r="WIY1520"/>
      <c r="WIZ1520"/>
      <c r="WJA1520"/>
      <c r="WJB1520"/>
      <c r="WJC1520"/>
      <c r="WJD1520"/>
      <c r="WJE1520"/>
      <c r="WJF1520"/>
      <c r="WJG1520"/>
      <c r="WJH1520"/>
      <c r="WJI1520"/>
      <c r="WJJ1520"/>
      <c r="WJK1520"/>
      <c r="WJL1520"/>
      <c r="WJM1520"/>
      <c r="WJN1520"/>
      <c r="WJO1520"/>
      <c r="WJP1520"/>
      <c r="WJQ1520"/>
      <c r="WJR1520"/>
      <c r="WJS1520"/>
      <c r="WJT1520"/>
      <c r="WJU1520"/>
      <c r="WJV1520"/>
      <c r="WJW1520"/>
      <c r="WJX1520"/>
      <c r="WJY1520"/>
      <c r="WJZ1520"/>
      <c r="WKA1520"/>
      <c r="WKB1520"/>
      <c r="WKC1520"/>
      <c r="WKD1520"/>
      <c r="WKE1520"/>
      <c r="WKF1520"/>
      <c r="WKG1520"/>
      <c r="WKH1520"/>
      <c r="WKI1520"/>
      <c r="WKJ1520"/>
      <c r="WKK1520"/>
      <c r="WKL1520"/>
      <c r="WKM1520"/>
      <c r="WKN1520"/>
      <c r="WKO1520"/>
      <c r="WKP1520"/>
      <c r="WKQ1520"/>
      <c r="WKR1520"/>
      <c r="WKS1520"/>
      <c r="WKT1520"/>
      <c r="WKU1520"/>
      <c r="WKV1520"/>
      <c r="WKW1520"/>
      <c r="WKX1520"/>
      <c r="WKY1520"/>
      <c r="WKZ1520"/>
      <c r="WLA1520"/>
      <c r="WLB1520"/>
      <c r="WLC1520"/>
      <c r="WLD1520"/>
      <c r="WLE1520"/>
      <c r="WLF1520"/>
      <c r="WLG1520"/>
      <c r="WLH1520"/>
      <c r="WLI1520"/>
      <c r="WLJ1520"/>
      <c r="WLK1520"/>
      <c r="WLL1520"/>
      <c r="WLM1520"/>
      <c r="WLN1520"/>
      <c r="WLO1520"/>
      <c r="WLP1520"/>
      <c r="WLQ1520"/>
      <c r="WLR1520"/>
      <c r="WLS1520"/>
      <c r="WLT1520"/>
      <c r="WLU1520"/>
      <c r="WLV1520"/>
      <c r="WLW1520"/>
      <c r="WLX1520"/>
      <c r="WLY1520"/>
      <c r="WLZ1520"/>
      <c r="WMA1520"/>
      <c r="WMB1520"/>
      <c r="WMC1520"/>
      <c r="WMD1520"/>
      <c r="WME1520"/>
      <c r="WMF1520"/>
      <c r="WMG1520"/>
      <c r="WMH1520"/>
      <c r="WMI1520"/>
      <c r="WMJ1520"/>
      <c r="WMK1520"/>
      <c r="WML1520"/>
      <c r="WMM1520"/>
      <c r="WMN1520"/>
      <c r="WMO1520"/>
      <c r="WMP1520"/>
      <c r="WMQ1520"/>
      <c r="WMR1520"/>
      <c r="WMS1520"/>
      <c r="WMT1520"/>
      <c r="WMU1520"/>
      <c r="WMV1520"/>
      <c r="WMW1520"/>
      <c r="WMX1520"/>
      <c r="WMY1520"/>
      <c r="WMZ1520"/>
      <c r="WNA1520"/>
      <c r="WNB1520"/>
      <c r="WNC1520"/>
      <c r="WND1520"/>
      <c r="WNE1520"/>
      <c r="WNF1520"/>
      <c r="WNG1520"/>
      <c r="WNH1520"/>
      <c r="WNI1520"/>
      <c r="WNJ1520"/>
      <c r="WNK1520"/>
      <c r="WNL1520"/>
      <c r="WNM1520"/>
      <c r="WNN1520"/>
      <c r="WNO1520"/>
      <c r="WNP1520"/>
      <c r="WNQ1520"/>
      <c r="WNR1520"/>
      <c r="WNS1520"/>
      <c r="WNT1520"/>
      <c r="WNU1520"/>
      <c r="WNV1520"/>
      <c r="WNW1520"/>
      <c r="WNX1520"/>
      <c r="WNY1520"/>
      <c r="WNZ1520"/>
      <c r="WOA1520"/>
      <c r="WOB1520"/>
      <c r="WOC1520"/>
      <c r="WOD1520"/>
      <c r="WOE1520"/>
      <c r="WOF1520"/>
      <c r="WOG1520"/>
      <c r="WOH1520"/>
      <c r="WOI1520"/>
      <c r="WOJ1520"/>
      <c r="WOK1520"/>
      <c r="WOL1520"/>
      <c r="WOM1520"/>
      <c r="WON1520"/>
      <c r="WOO1520"/>
      <c r="WOP1520"/>
      <c r="WOQ1520"/>
      <c r="WOR1520"/>
      <c r="WOS1520"/>
      <c r="WOT1520"/>
      <c r="WOU1520"/>
      <c r="WOV1520"/>
      <c r="WOW1520"/>
      <c r="WOX1520"/>
      <c r="WOY1520"/>
      <c r="WOZ1520"/>
      <c r="WPA1520"/>
      <c r="WPB1520"/>
      <c r="WPC1520"/>
      <c r="WPD1520"/>
      <c r="WPE1520"/>
      <c r="WPF1520"/>
      <c r="WPG1520"/>
      <c r="WPH1520"/>
      <c r="WPI1520"/>
      <c r="WPJ1520"/>
      <c r="WPK1520"/>
      <c r="WPL1520"/>
      <c r="WPM1520"/>
      <c r="WPN1520"/>
      <c r="WPO1520"/>
      <c r="WPP1520"/>
      <c r="WPQ1520"/>
      <c r="WPR1520"/>
      <c r="WPS1520"/>
      <c r="WPT1520"/>
      <c r="WPU1520"/>
      <c r="WPV1520"/>
      <c r="WPW1520"/>
      <c r="WPX1520"/>
      <c r="WPY1520"/>
      <c r="WPZ1520"/>
      <c r="WQA1520"/>
      <c r="WQB1520"/>
      <c r="WQC1520"/>
      <c r="WQD1520"/>
      <c r="WQE1520"/>
      <c r="WQF1520"/>
      <c r="WQG1520"/>
      <c r="WQH1520"/>
      <c r="WQI1520"/>
      <c r="WQJ1520"/>
      <c r="WQK1520"/>
      <c r="WQL1520"/>
      <c r="WQM1520"/>
      <c r="WQN1520"/>
      <c r="WQO1520"/>
      <c r="WQP1520"/>
      <c r="WQQ1520"/>
      <c r="WQR1520"/>
      <c r="WQS1520"/>
      <c r="WQT1520"/>
      <c r="WQU1520"/>
      <c r="WQV1520"/>
      <c r="WQW1520"/>
      <c r="WQX1520"/>
      <c r="WQY1520"/>
      <c r="WQZ1520"/>
      <c r="WRA1520"/>
      <c r="WRB1520"/>
      <c r="WRC1520"/>
      <c r="WRD1520"/>
      <c r="WRE1520"/>
      <c r="WRF1520"/>
      <c r="WRG1520"/>
      <c r="WRH1520"/>
      <c r="WRI1520"/>
      <c r="WRJ1520"/>
      <c r="WRK1520"/>
      <c r="WRL1520"/>
      <c r="WRM1520"/>
      <c r="WRN1520"/>
      <c r="WRO1520"/>
      <c r="WRP1520"/>
      <c r="WRQ1520"/>
      <c r="WRR1520"/>
      <c r="WRS1520"/>
      <c r="WRT1520"/>
      <c r="WRU1520"/>
      <c r="WRV1520"/>
      <c r="WRW1520"/>
      <c r="WRX1520"/>
      <c r="WRY1520"/>
      <c r="WRZ1520"/>
      <c r="WSA1520"/>
      <c r="WSB1520"/>
      <c r="WSC1520"/>
      <c r="WSD1520"/>
      <c r="WSE1520"/>
      <c r="WSF1520"/>
      <c r="WSG1520"/>
      <c r="WSH1520"/>
      <c r="WSI1520"/>
      <c r="WSJ1520"/>
      <c r="WSK1520"/>
      <c r="WSL1520"/>
      <c r="WSM1520"/>
      <c r="WSN1520"/>
      <c r="WSO1520"/>
      <c r="WSP1520"/>
      <c r="WSQ1520"/>
      <c r="WSR1520"/>
      <c r="WSS1520"/>
      <c r="WST1520"/>
      <c r="WSU1520"/>
      <c r="WSV1520"/>
      <c r="WSW1520"/>
      <c r="WSX1520"/>
      <c r="WSY1520"/>
      <c r="WSZ1520"/>
      <c r="WTA1520"/>
      <c r="WTB1520"/>
      <c r="WTC1520"/>
      <c r="WTD1520"/>
      <c r="WTE1520"/>
      <c r="WTF1520"/>
      <c r="WTG1520"/>
      <c r="WTH1520"/>
      <c r="WTI1520"/>
      <c r="WTJ1520"/>
      <c r="WTK1520"/>
      <c r="WTL1520"/>
      <c r="WTM1520"/>
      <c r="WTN1520"/>
      <c r="WTO1520"/>
      <c r="WTP1520"/>
      <c r="WTQ1520"/>
      <c r="WTR1520"/>
      <c r="WTS1520"/>
      <c r="WTT1520"/>
      <c r="WTU1520"/>
      <c r="WTV1520"/>
      <c r="WTW1520"/>
      <c r="WTX1520"/>
      <c r="WTY1520"/>
      <c r="WTZ1520"/>
      <c r="WUA1520"/>
      <c r="WUB1520"/>
      <c r="WUC1520"/>
      <c r="WUD1520"/>
      <c r="WUE1520"/>
      <c r="WUF1520"/>
      <c r="WUG1520"/>
      <c r="WUH1520"/>
      <c r="WUI1520"/>
      <c r="WUJ1520"/>
      <c r="WUK1520"/>
      <c r="WUL1520"/>
      <c r="WUM1520"/>
      <c r="WUN1520"/>
      <c r="WUO1520"/>
      <c r="WUP1520"/>
      <c r="WUQ1520"/>
      <c r="WUR1520"/>
      <c r="WUS1520"/>
      <c r="WUT1520"/>
      <c r="WUU1520"/>
      <c r="WUV1520"/>
      <c r="WUW1520"/>
      <c r="WUX1520"/>
      <c r="WUY1520"/>
      <c r="WUZ1520"/>
      <c r="WVA1520"/>
      <c r="WVB1520"/>
      <c r="WVC1520"/>
      <c r="WVD1520"/>
      <c r="WVE1520"/>
      <c r="WVF1520"/>
      <c r="WVG1520"/>
      <c r="WVH1520"/>
      <c r="WVI1520"/>
      <c r="WVJ1520"/>
      <c r="WVK1520"/>
      <c r="WVL1520"/>
      <c r="WVM1520"/>
      <c r="WVN1520"/>
      <c r="WVO1520"/>
      <c r="WVP1520"/>
      <c r="WVQ1520"/>
      <c r="WVR1520"/>
      <c r="WVS1520"/>
      <c r="WVT1520"/>
      <c r="WVU1520"/>
      <c r="WVV1520"/>
      <c r="WVW1520"/>
      <c r="WVX1520"/>
      <c r="WVY1520"/>
      <c r="WVZ1520"/>
      <c r="WWA1520"/>
      <c r="WWB1520"/>
      <c r="WWC1520"/>
      <c r="WWD1520"/>
      <c r="WWE1520"/>
      <c r="WWF1520"/>
      <c r="WWG1520"/>
      <c r="WWH1520"/>
      <c r="WWI1520"/>
      <c r="WWJ1520"/>
      <c r="WWK1520"/>
      <c r="WWL1520"/>
      <c r="WWM1520"/>
      <c r="WWN1520"/>
      <c r="WWO1520"/>
      <c r="WWP1520"/>
      <c r="WWQ1520"/>
      <c r="WWR1520"/>
      <c r="WWS1520"/>
      <c r="WWT1520"/>
      <c r="WWU1520"/>
      <c r="WWV1520"/>
      <c r="WWW1520"/>
      <c r="WWX1520"/>
      <c r="WWY1520"/>
      <c r="WWZ1520"/>
      <c r="WXA1520"/>
      <c r="WXB1520"/>
      <c r="WXC1520"/>
      <c r="WXD1520"/>
      <c r="WXE1520"/>
      <c r="WXF1520"/>
      <c r="WXG1520"/>
      <c r="WXH1520"/>
      <c r="WXI1520"/>
      <c r="WXJ1520"/>
      <c r="WXK1520"/>
      <c r="WXL1520"/>
      <c r="WXM1520"/>
      <c r="WXN1520"/>
      <c r="WXO1520"/>
      <c r="WXP1520"/>
      <c r="WXQ1520"/>
      <c r="WXR1520"/>
      <c r="WXS1520"/>
      <c r="WXT1520"/>
      <c r="WXU1520"/>
      <c r="WXV1520"/>
      <c r="WXW1520"/>
      <c r="WXX1520"/>
      <c r="WXY1520"/>
      <c r="WXZ1520"/>
      <c r="WYA1520"/>
      <c r="WYB1520"/>
      <c r="WYC1520"/>
      <c r="WYD1520"/>
      <c r="WYE1520"/>
      <c r="WYF1520"/>
      <c r="WYG1520"/>
      <c r="WYH1520"/>
      <c r="WYI1520"/>
      <c r="WYJ1520"/>
      <c r="WYK1520"/>
      <c r="WYL1520"/>
      <c r="WYM1520"/>
      <c r="WYN1520"/>
      <c r="WYO1520"/>
      <c r="WYP1520"/>
      <c r="WYQ1520"/>
      <c r="WYR1520"/>
      <c r="WYS1520"/>
      <c r="WYT1520"/>
      <c r="WYU1520"/>
      <c r="WYV1520"/>
      <c r="WYW1520"/>
      <c r="WYX1520"/>
      <c r="WYY1520"/>
      <c r="WYZ1520"/>
      <c r="WZA1520"/>
      <c r="WZB1520"/>
      <c r="WZC1520"/>
      <c r="WZD1520"/>
      <c r="WZE1520"/>
      <c r="WZF1520"/>
      <c r="WZG1520"/>
      <c r="WZH1520"/>
      <c r="WZI1520"/>
      <c r="WZJ1520"/>
      <c r="WZK1520"/>
      <c r="WZL1520"/>
      <c r="WZM1520"/>
      <c r="WZN1520"/>
      <c r="WZO1520"/>
      <c r="WZP1520"/>
      <c r="WZQ1520"/>
      <c r="WZR1520"/>
      <c r="WZS1520"/>
      <c r="WZT1520"/>
      <c r="WZU1520"/>
      <c r="WZV1520"/>
      <c r="WZW1520"/>
      <c r="WZX1520"/>
      <c r="WZY1520"/>
      <c r="WZZ1520"/>
      <c r="XAA1520"/>
      <c r="XAB1520"/>
      <c r="XAC1520"/>
      <c r="XAD1520"/>
      <c r="XAE1520"/>
      <c r="XAF1520"/>
      <c r="XAG1520"/>
      <c r="XAH1520"/>
      <c r="XAI1520"/>
      <c r="XAJ1520"/>
      <c r="XAK1520"/>
      <c r="XAL1520"/>
      <c r="XAM1520"/>
      <c r="XAN1520"/>
      <c r="XAO1520"/>
      <c r="XAP1520"/>
      <c r="XAQ1520"/>
      <c r="XAR1520"/>
      <c r="XAS1520"/>
      <c r="XAT1520"/>
      <c r="XAU1520"/>
      <c r="XAV1520"/>
      <c r="XAW1520"/>
      <c r="XAX1520"/>
      <c r="XAY1520"/>
      <c r="XAZ1520"/>
      <c r="XBA1520"/>
      <c r="XBB1520"/>
      <c r="XBC1520"/>
      <c r="XBD1520"/>
      <c r="XBE1520"/>
      <c r="XBF1520"/>
      <c r="XBG1520"/>
      <c r="XBH1520"/>
      <c r="XBI1520"/>
      <c r="XBJ1520"/>
      <c r="XBK1520"/>
      <c r="XBL1520"/>
      <c r="XBM1520"/>
      <c r="XBN1520"/>
      <c r="XBO1520"/>
      <c r="XBP1520"/>
      <c r="XBQ1520"/>
      <c r="XBR1520"/>
      <c r="XBS1520"/>
      <c r="XBT1520"/>
      <c r="XBU1520"/>
      <c r="XBV1520"/>
      <c r="XBW1520"/>
      <c r="XBX1520"/>
      <c r="XBY1520"/>
      <c r="XBZ1520"/>
      <c r="XCA1520"/>
      <c r="XCB1520"/>
      <c r="XCC1520"/>
      <c r="XCD1520"/>
      <c r="XCE1520"/>
      <c r="XCF1520"/>
      <c r="XCG1520"/>
      <c r="XCH1520"/>
      <c r="XCI1520"/>
      <c r="XCJ1520"/>
      <c r="XCK1520"/>
      <c r="XCL1520"/>
      <c r="XCM1520"/>
      <c r="XCN1520"/>
      <c r="XCO1520"/>
      <c r="XCP1520"/>
      <c r="XCQ1520"/>
      <c r="XCR1520"/>
      <c r="XCS1520"/>
      <c r="XCT1520"/>
      <c r="XCU1520"/>
      <c r="XCV1520"/>
      <c r="XCW1520"/>
      <c r="XCX1520"/>
      <c r="XCY1520"/>
      <c r="XCZ1520"/>
      <c r="XDA1520"/>
      <c r="XDB1520"/>
      <c r="XDC1520"/>
      <c r="XDD1520"/>
      <c r="XDE1520"/>
      <c r="XDF1520"/>
      <c r="XDG1520"/>
      <c r="XDH1520"/>
      <c r="XDI1520"/>
      <c r="XDJ1520"/>
      <c r="XDK1520"/>
      <c r="XDL1520"/>
      <c r="XDM1520"/>
      <c r="XDN1520"/>
      <c r="XDO1520"/>
      <c r="XDP1520"/>
      <c r="XDQ1520"/>
      <c r="XDR1520"/>
      <c r="XDS1520"/>
      <c r="XDT1520"/>
      <c r="XDU1520"/>
      <c r="XDV1520"/>
      <c r="XDW1520"/>
      <c r="XDX1520"/>
      <c r="XDY1520"/>
      <c r="XDZ1520"/>
      <c r="XEA1520"/>
      <c r="XEB1520"/>
      <c r="XEC1520"/>
      <c r="XED1520"/>
      <c r="XEE1520"/>
      <c r="XEF1520"/>
      <c r="XEG1520"/>
      <c r="XEH1520"/>
      <c r="XEI1520"/>
      <c r="XEJ1520"/>
      <c r="XEK1520"/>
      <c r="XEL1520"/>
      <c r="XEM1520"/>
      <c r="XEN1520"/>
      <c r="XEO1520"/>
      <c r="XEP1520"/>
      <c r="XEQ1520"/>
      <c r="XER1520"/>
      <c r="XES1520"/>
      <c r="XET1520"/>
      <c r="XEU1520"/>
      <c r="XEV1520"/>
      <c r="XEW1520"/>
      <c r="XEX1520"/>
    </row>
    <row r="1521" spans="1:16378" ht="15" customHeight="1" x14ac:dyDescent="0.25">
      <c r="A1521" s="879">
        <v>2025</v>
      </c>
      <c r="B1521" s="879" t="s">
        <v>759</v>
      </c>
      <c r="C1521" s="879" t="s">
        <v>441</v>
      </c>
      <c r="D1521" s="939">
        <v>1011803</v>
      </c>
      <c r="E1521" s="879" t="s">
        <v>9118</v>
      </c>
      <c r="F1521" s="879" t="s">
        <v>6643</v>
      </c>
      <c r="G1521" s="879" t="s">
        <v>4770</v>
      </c>
      <c r="H1521" s="878" t="s">
        <v>9119</v>
      </c>
      <c r="I1521" s="883">
        <v>45875</v>
      </c>
      <c r="J1521" s="963" t="s">
        <v>2612</v>
      </c>
      <c r="K1521" s="883">
        <v>45889</v>
      </c>
      <c r="L1521" s="884">
        <f>IF(ISTEXT(Table15[[#This Row],[Engineering Approved Design Date]]),Table15[[#This Row],[Date Completed]]-Table15[[#This Row],[Date Assigned to Designer]],Table15[[#This Row],[Engineering Approved Design Date]]-Table15[[#This Row],[Date Completed]])</f>
        <v>14</v>
      </c>
      <c r="M1521" s="965" t="s">
        <v>9120</v>
      </c>
      <c r="N1521" s="942" t="s">
        <v>739</v>
      </c>
      <c r="O1521" s="1618" t="s">
        <v>376</v>
      </c>
      <c r="P1521" s="1153" t="s">
        <v>120</v>
      </c>
      <c r="Q1521" s="1150">
        <f>SUM(Table15[[#This Row],[Shactee Effort]:[KH Hourly Effort]])</f>
        <v>2875</v>
      </c>
      <c r="R1521" s="1623" t="s">
        <v>1922</v>
      </c>
      <c r="S1521" s="1228">
        <v>0</v>
      </c>
      <c r="T1521" s="888">
        <v>0</v>
      </c>
      <c r="U1521" s="889">
        <v>2875</v>
      </c>
      <c r="V1521" s="1021" t="s">
        <v>29</v>
      </c>
      <c r="W1521" s="1021">
        <v>2</v>
      </c>
      <c r="X1521" s="1228" t="s">
        <v>29</v>
      </c>
      <c r="Y1521" s="891"/>
      <c r="Z1521" s="935" t="s">
        <v>29</v>
      </c>
      <c r="AA1521" s="934" t="s">
        <v>29</v>
      </c>
      <c r="AB1521" s="958" t="s">
        <v>29</v>
      </c>
      <c r="AC1521" s="894" t="s">
        <v>29</v>
      </c>
      <c r="AD1521" s="1155" t="s">
        <v>29</v>
      </c>
      <c r="AE1521" s="1633" t="s">
        <v>29</v>
      </c>
      <c r="AF1521" s="894" t="s">
        <v>29</v>
      </c>
      <c r="AG1521" s="897" t="s">
        <v>29</v>
      </c>
      <c r="AH1521" s="1304" t="s">
        <v>29</v>
      </c>
      <c r="AI1521" s="1564" t="s">
        <v>29</v>
      </c>
      <c r="AJ1521" s="1009" t="s">
        <v>29</v>
      </c>
      <c r="AK1521" s="1009" t="s">
        <v>29</v>
      </c>
      <c r="AL1521" s="1030">
        <f>SUM(Table15[[#This Row],[Nicor Initiated DBE]:[Staffing]])/(Table15[[#This Row],[Amount Invoiced]])</f>
        <v>0</v>
      </c>
      <c r="AM1521" s="542"/>
      <c r="AN1521" s="924"/>
      <c r="AO1521" s="925"/>
      <c r="AP1521" s="926"/>
      <c r="AQ1521" s="926"/>
      <c r="AR1521" s="926"/>
      <c r="AS1521" s="926">
        <f>IF(Table15[[#This Row],[PCTS Approved]]="N",0,Table15[[#This Row],[Investment Amount (1'#'#'#'#'#)]]+Table15[[#This Row],[Retirement Amount (3'#'#'#'#'#)]])</f>
        <v>0</v>
      </c>
      <c r="AT1521" s="926">
        <f>IF(Table15[[#This Row],[Approved Construction Cost]]=0,0,Table15[[#This Row],[Approved Construction Cost]]-Table15[[#This Row],[Construction Cost to Bill From]])</f>
        <v>0</v>
      </c>
      <c r="AU1521" s="926" t="e">
        <f>Table15[[#This Row],[Difference in Construction Cost]]*Table15[[#This Row],[Rate]]</f>
        <v>#VALUE!</v>
      </c>
      <c r="AV1521" s="926"/>
      <c r="AW1521" s="927"/>
      <c r="AX1521" s="926"/>
      <c r="AY1521" s="1546"/>
      <c r="AZ1521" s="1642"/>
      <c r="BA1521" s="1645">
        <v>11</v>
      </c>
      <c r="BB1521" s="1562"/>
      <c r="BC1521" s="1651" t="s">
        <v>116</v>
      </c>
      <c r="BD1521" s="1566" t="s">
        <v>115</v>
      </c>
      <c r="BE1521" s="1565" t="s">
        <v>115</v>
      </c>
      <c r="BF1521" s="1565" t="s">
        <v>115</v>
      </c>
      <c r="BG1521" s="1653" t="s">
        <v>1078</v>
      </c>
      <c r="BH1521" s="1023" t="s">
        <v>9121</v>
      </c>
      <c r="BI1521" s="1658" t="s">
        <v>709</v>
      </c>
      <c r="BJ1521" s="993" t="s">
        <v>709</v>
      </c>
      <c r="BK1521" s="993" t="s">
        <v>709</v>
      </c>
      <c r="BL1521" s="993" t="s">
        <v>709</v>
      </c>
      <c r="BM1521" s="993" t="s">
        <v>709</v>
      </c>
      <c r="BN1521" s="993" t="s">
        <v>709</v>
      </c>
      <c r="BO1521" s="993" t="s">
        <v>709</v>
      </c>
      <c r="BP1521" s="993" t="s">
        <v>709</v>
      </c>
      <c r="BQ1521" s="993" t="s">
        <v>709</v>
      </c>
      <c r="BR1521" s="993" t="s">
        <v>709</v>
      </c>
      <c r="BS1521" s="993" t="s">
        <v>709</v>
      </c>
      <c r="BT1521" s="993">
        <v>1</v>
      </c>
      <c r="BU1521" s="993" t="s">
        <v>709</v>
      </c>
      <c r="BV1521" s="993" t="s">
        <v>709</v>
      </c>
      <c r="BW1521" s="993" t="s">
        <v>709</v>
      </c>
      <c r="BX1521" s="993">
        <v>1</v>
      </c>
      <c r="BY1521" s="993" t="s">
        <v>709</v>
      </c>
      <c r="BZ1521" s="1291" t="s">
        <v>709</v>
      </c>
      <c r="CA1521" s="1494"/>
      <c r="CB1521" s="993"/>
      <c r="CD1521" s="879" t="str">
        <f>Table15[[#This Row],[Engineering Number]]&amp;Table15[[#This Row],[WO Number]]&amp;Table15[[#This Row],[Date Assigned to Designer]]&amp;Table15[[#This Row],[Date Completed]]</f>
        <v>RS107910118034587545889</v>
      </c>
    </row>
    <row r="1522" spans="1:16378" ht="15" customHeight="1" x14ac:dyDescent="0.25">
      <c r="A1522" s="879">
        <v>2025</v>
      </c>
      <c r="B1522" s="879" t="s">
        <v>759</v>
      </c>
      <c r="C1522" s="879" t="s">
        <v>1412</v>
      </c>
      <c r="D1522" s="939">
        <v>1011916</v>
      </c>
      <c r="E1522" s="879" t="s">
        <v>361</v>
      </c>
      <c r="F1522" s="879" t="s">
        <v>6643</v>
      </c>
      <c r="G1522" s="879" t="s">
        <v>4770</v>
      </c>
      <c r="H1522" s="878" t="s">
        <v>9119</v>
      </c>
      <c r="I1522" s="883">
        <v>45883</v>
      </c>
      <c r="J1522" s="963" t="s">
        <v>2612</v>
      </c>
      <c r="K1522" s="883">
        <v>45889</v>
      </c>
      <c r="L1522" s="884">
        <f>IF(ISTEXT(Table15[[#This Row],[Engineering Approved Design Date]]),Table15[[#This Row],[Date Completed]]-Table15[[#This Row],[Date Assigned to Designer]],Table15[[#This Row],[Engineering Approved Design Date]]-Table15[[#This Row],[Date Completed]])</f>
        <v>6</v>
      </c>
      <c r="M1522" s="965" t="s">
        <v>9122</v>
      </c>
      <c r="N1522" s="942" t="s">
        <v>739</v>
      </c>
      <c r="O1522" s="1618" t="s">
        <v>376</v>
      </c>
      <c r="P1522" s="1153" t="s">
        <v>120</v>
      </c>
      <c r="Q1522" s="1150">
        <f>SUM(Table15[[#This Row],[Shactee Effort]:[KH Hourly Effort]])</f>
        <v>452.5</v>
      </c>
      <c r="R1522" s="1623" t="s">
        <v>1922</v>
      </c>
      <c r="S1522" s="1228">
        <v>0</v>
      </c>
      <c r="T1522" s="888">
        <v>0</v>
      </c>
      <c r="U1522" s="889">
        <v>452.5</v>
      </c>
      <c r="V1522" s="1021" t="s">
        <v>29</v>
      </c>
      <c r="W1522" s="1021">
        <v>2</v>
      </c>
      <c r="X1522" s="1228" t="s">
        <v>29</v>
      </c>
      <c r="Y1522" s="891"/>
      <c r="Z1522" s="935" t="s">
        <v>29</v>
      </c>
      <c r="AA1522" s="934" t="s">
        <v>29</v>
      </c>
      <c r="AB1522" s="958" t="s">
        <v>29</v>
      </c>
      <c r="AC1522" s="894" t="s">
        <v>29</v>
      </c>
      <c r="AD1522" s="1160" t="s">
        <v>29</v>
      </c>
      <c r="AE1522" s="1633" t="s">
        <v>29</v>
      </c>
      <c r="AF1522" s="894" t="s">
        <v>29</v>
      </c>
      <c r="AG1522" s="897" t="s">
        <v>29</v>
      </c>
      <c r="AH1522" s="1304" t="s">
        <v>29</v>
      </c>
      <c r="AI1522" s="1564" t="s">
        <v>29</v>
      </c>
      <c r="AJ1522" s="1009" t="s">
        <v>29</v>
      </c>
      <c r="AK1522" s="1009" t="s">
        <v>29</v>
      </c>
      <c r="AL1522" s="1030">
        <f>SUM(Table15[[#This Row],[Nicor Initiated DBE]:[Staffing]])/(Table15[[#This Row],[Amount Invoiced]])</f>
        <v>0</v>
      </c>
      <c r="AM1522" s="542"/>
      <c r="AN1522" s="924"/>
      <c r="AO1522" s="925"/>
      <c r="AP1522" s="926"/>
      <c r="AQ1522" s="926"/>
      <c r="AR1522" s="926"/>
      <c r="AS1522" s="926">
        <f>IF(Table15[[#This Row],[PCTS Approved]]="N",0,Table15[[#This Row],[Investment Amount (1'#'#'#'#'#)]]+Table15[[#This Row],[Retirement Amount (3'#'#'#'#'#)]])</f>
        <v>0</v>
      </c>
      <c r="AT1522" s="926">
        <f>IF(Table15[[#This Row],[Approved Construction Cost]]=0,0,Table15[[#This Row],[Approved Construction Cost]]-Table15[[#This Row],[Construction Cost to Bill From]])</f>
        <v>0</v>
      </c>
      <c r="AU1522" s="926" t="e">
        <f>Table15[[#This Row],[Difference in Construction Cost]]*Table15[[#This Row],[Rate]]</f>
        <v>#VALUE!</v>
      </c>
      <c r="AV1522" s="926"/>
      <c r="AW1522" s="927"/>
      <c r="AX1522" s="926"/>
      <c r="AY1522" s="1546"/>
      <c r="AZ1522" s="1642"/>
      <c r="BA1522" s="1645">
        <v>11</v>
      </c>
      <c r="BB1522" s="1562"/>
      <c r="BC1522" s="1651" t="s">
        <v>116</v>
      </c>
      <c r="BD1522" s="1566" t="s">
        <v>115</v>
      </c>
      <c r="BE1522" s="1565" t="s">
        <v>115</v>
      </c>
      <c r="BF1522" s="1565" t="s">
        <v>115</v>
      </c>
      <c r="BG1522" s="1653" t="s">
        <v>1078</v>
      </c>
      <c r="BH1522" s="1023" t="s">
        <v>9123</v>
      </c>
      <c r="BI1522" s="1658" t="s">
        <v>709</v>
      </c>
      <c r="BJ1522" s="993" t="s">
        <v>709</v>
      </c>
      <c r="BK1522" s="993" t="s">
        <v>709</v>
      </c>
      <c r="BL1522" s="993" t="s">
        <v>709</v>
      </c>
      <c r="BM1522" s="993" t="s">
        <v>709</v>
      </c>
      <c r="BN1522" s="993" t="s">
        <v>709</v>
      </c>
      <c r="BO1522" s="993" t="s">
        <v>709</v>
      </c>
      <c r="BP1522" s="993" t="s">
        <v>709</v>
      </c>
      <c r="BQ1522" s="993" t="s">
        <v>709</v>
      </c>
      <c r="BR1522" s="993" t="s">
        <v>709</v>
      </c>
      <c r="BS1522" s="993" t="s">
        <v>709</v>
      </c>
      <c r="BT1522" s="993">
        <v>1</v>
      </c>
      <c r="BU1522" s="993" t="s">
        <v>709</v>
      </c>
      <c r="BV1522" s="993" t="s">
        <v>709</v>
      </c>
      <c r="BW1522" s="993" t="s">
        <v>709</v>
      </c>
      <c r="BX1522" s="993">
        <v>1</v>
      </c>
      <c r="BY1522" s="993" t="s">
        <v>709</v>
      </c>
      <c r="BZ1522" s="1291" t="s">
        <v>709</v>
      </c>
      <c r="CA1522" s="1494"/>
      <c r="CB1522" s="993"/>
      <c r="CD1522" s="879" t="str">
        <f>Table15[[#This Row],[Engineering Number]]&amp;Table15[[#This Row],[WO Number]]&amp;Table15[[#This Row],[Date Assigned to Designer]]&amp;Table15[[#This Row],[Date Completed]]</f>
        <v>RS94410119164588345889</v>
      </c>
    </row>
    <row r="1523" spans="1:16378" ht="15" customHeight="1" x14ac:dyDescent="0.25">
      <c r="A1523" s="879">
        <v>2025</v>
      </c>
      <c r="B1523" s="879" t="s">
        <v>759</v>
      </c>
      <c r="C1523" s="879" t="s">
        <v>445</v>
      </c>
      <c r="D1523" s="939">
        <v>1011925</v>
      </c>
      <c r="E1523" s="879" t="s">
        <v>1605</v>
      </c>
      <c r="F1523" s="879" t="s">
        <v>6643</v>
      </c>
      <c r="G1523" s="879" t="s">
        <v>4770</v>
      </c>
      <c r="H1523" s="878" t="s">
        <v>4045</v>
      </c>
      <c r="I1523" s="883">
        <v>45884</v>
      </c>
      <c r="J1523" s="963" t="s">
        <v>2052</v>
      </c>
      <c r="K1523" s="883">
        <v>45891</v>
      </c>
      <c r="L1523" s="884">
        <f>IF(ISTEXT(Table15[[#This Row],[Engineering Approved Design Date]]),Table15[[#This Row],[Date Completed]]-Table15[[#This Row],[Date Assigned to Designer]],Table15[[#This Row],[Engineering Approved Design Date]]-Table15[[#This Row],[Date Completed]])</f>
        <v>7</v>
      </c>
      <c r="M1523" s="1815" t="s">
        <v>9210</v>
      </c>
      <c r="N1523" s="942" t="s">
        <v>739</v>
      </c>
      <c r="O1523" s="1618" t="s">
        <v>376</v>
      </c>
      <c r="P1523" s="1153" t="s">
        <v>120</v>
      </c>
      <c r="Q1523" s="1150">
        <f>SUM(Table15[[#This Row],[Shactee Effort]:[KH Hourly Effort]])</f>
        <v>7942.5</v>
      </c>
      <c r="R1523" s="1623" t="s">
        <v>1922</v>
      </c>
      <c r="S1523" s="1228">
        <v>0</v>
      </c>
      <c r="T1523" s="888">
        <v>0</v>
      </c>
      <c r="U1523" s="889">
        <v>7942.5</v>
      </c>
      <c r="V1523" s="1021">
        <v>2489</v>
      </c>
      <c r="W1523" s="1021">
        <v>2</v>
      </c>
      <c r="X1523" s="1228">
        <v>1919308.89</v>
      </c>
      <c r="Y1523" s="891"/>
      <c r="Z1523" s="935">
        <v>364225.62</v>
      </c>
      <c r="AA1523" s="934">
        <f>SUM(Table15[[#This Row],[PCTS Investment Amount]:[PCTS Retirement Amount]])</f>
        <v>2283534.5099999998</v>
      </c>
      <c r="AB1523" s="21" t="s">
        <v>29</v>
      </c>
      <c r="AC1523" s="569" t="s">
        <v>811</v>
      </c>
      <c r="AD1523" s="1149" t="s">
        <v>29</v>
      </c>
      <c r="AE1523" s="1633" t="s">
        <v>116</v>
      </c>
      <c r="AF1523" s="894" t="s">
        <v>29</v>
      </c>
      <c r="AG1523" s="897" t="s">
        <v>376</v>
      </c>
      <c r="AH1523" s="1304" t="s">
        <v>376</v>
      </c>
      <c r="AI1523" s="1564" t="s">
        <v>29</v>
      </c>
      <c r="AJ1523" s="1009" t="s">
        <v>29</v>
      </c>
      <c r="AK1523" s="1009" t="s">
        <v>29</v>
      </c>
      <c r="AL1523" s="1030">
        <f>SUM(Table15[[#This Row],[Nicor Initiated DBE]:[Staffing]])/(Table15[[#This Row],[Amount Invoiced]])</f>
        <v>0</v>
      </c>
      <c r="AM1523" s="542"/>
      <c r="AN1523" s="924"/>
      <c r="AO1523" s="925"/>
      <c r="AP1523" s="926"/>
      <c r="AQ1523" s="926"/>
      <c r="AR1523" s="926"/>
      <c r="AS1523" s="926"/>
      <c r="AT1523" s="926"/>
      <c r="AU1523" s="926"/>
      <c r="AV1523" s="926"/>
      <c r="AW1523" s="927"/>
      <c r="AX1523" s="926"/>
      <c r="AY1523" s="1546"/>
      <c r="AZ1523" s="1642"/>
      <c r="BA1523" s="1645">
        <v>12</v>
      </c>
      <c r="BB1523" s="1493" t="s">
        <v>9211</v>
      </c>
      <c r="BC1523" s="1651" t="s">
        <v>116</v>
      </c>
      <c r="BD1523" s="951" t="s">
        <v>837</v>
      </c>
      <c r="BE1523" s="952" t="s">
        <v>615</v>
      </c>
      <c r="BF1523" s="1565" t="s">
        <v>115</v>
      </c>
      <c r="BG1523" s="1654" t="s">
        <v>115</v>
      </c>
      <c r="BH1523" s="1023" t="s">
        <v>9124</v>
      </c>
      <c r="BI1523" s="1658" t="s">
        <v>709</v>
      </c>
      <c r="BJ1523" s="993" t="s">
        <v>709</v>
      </c>
      <c r="BK1523" s="993" t="s">
        <v>116</v>
      </c>
      <c r="BL1523" s="993" t="s">
        <v>116</v>
      </c>
      <c r="BM1523" s="993" t="s">
        <v>709</v>
      </c>
      <c r="BN1523" s="993">
        <v>583</v>
      </c>
      <c r="BO1523" s="993" t="s">
        <v>709</v>
      </c>
      <c r="BP1523" s="993">
        <v>447</v>
      </c>
      <c r="BQ1523" s="993">
        <v>1141</v>
      </c>
      <c r="BR1523" s="993">
        <v>128</v>
      </c>
      <c r="BS1523" s="993">
        <v>10</v>
      </c>
      <c r="BT1523" s="993">
        <v>2</v>
      </c>
      <c r="BU1523" s="993" t="s">
        <v>709</v>
      </c>
      <c r="BV1523" s="993" t="s">
        <v>709</v>
      </c>
      <c r="BW1523" s="993" t="s">
        <v>709</v>
      </c>
      <c r="BX1523" s="993">
        <v>1</v>
      </c>
      <c r="BY1523" s="993" t="s">
        <v>709</v>
      </c>
      <c r="BZ1523" s="1291" t="s">
        <v>709</v>
      </c>
      <c r="CA1523" s="1494"/>
      <c r="CB1523" s="993"/>
      <c r="CD1523" s="879" t="str">
        <f>Table15[[#This Row],[Engineering Number]]&amp;Table15[[#This Row],[WO Number]]&amp;Table15[[#This Row],[Date Assigned to Designer]]&amp;Table15[[#This Row],[Date Completed]]</f>
        <v>RS108110119254588445891</v>
      </c>
    </row>
    <row r="1524" spans="1:16378" ht="15" customHeight="1" x14ac:dyDescent="0.25">
      <c r="A1524">
        <v>2025</v>
      </c>
      <c r="B1524" s="878" t="s">
        <v>1981</v>
      </c>
      <c r="C1524" s="878" t="s">
        <v>8533</v>
      </c>
      <c r="D1524" s="878">
        <v>1314906</v>
      </c>
      <c r="E1524" s="8" t="s">
        <v>9125</v>
      </c>
      <c r="F1524" s="878" t="s">
        <v>7735</v>
      </c>
      <c r="G1524" s="878" t="s">
        <v>4770</v>
      </c>
      <c r="H1524" s="878" t="s">
        <v>4189</v>
      </c>
      <c r="I1524" s="883">
        <v>45868</v>
      </c>
      <c r="J1524" s="918" t="s">
        <v>2052</v>
      </c>
      <c r="K1524" s="945">
        <v>45896</v>
      </c>
      <c r="L1524" s="884">
        <f>IF(ISTEXT(Table15[[#This Row],[Engineering Approved Design Date]]),Table15[[#This Row],[Date Completed]]-Table15[[#This Row],[Date Assigned to Designer]],Table15[[#This Row],[Engineering Approved Design Date]]-Table15[[#This Row],[Date Completed]])</f>
        <v>28</v>
      </c>
      <c r="M1524" s="919" t="s">
        <v>9126</v>
      </c>
      <c r="N1524" s="1616" t="s">
        <v>739</v>
      </c>
      <c r="O1524" s="1617" t="s">
        <v>376</v>
      </c>
      <c r="P1524" s="1153" t="s">
        <v>739</v>
      </c>
      <c r="Q1524" s="340">
        <f>SUM(Table15[[#This Row],[Shactee Effort]:[KH Hourly Effort]])</f>
        <v>9995</v>
      </c>
      <c r="R1524" s="1625" t="s">
        <v>1922</v>
      </c>
      <c r="S1524" s="1228">
        <v>0</v>
      </c>
      <c r="T1524" s="888">
        <v>0</v>
      </c>
      <c r="U1524" s="889">
        <v>9995</v>
      </c>
      <c r="V1524" s="1021" t="s">
        <v>29</v>
      </c>
      <c r="W1524" s="1021" t="s">
        <v>29</v>
      </c>
      <c r="X1524" s="1228" t="s">
        <v>29</v>
      </c>
      <c r="Y1524" s="935" t="s">
        <v>29</v>
      </c>
      <c r="Z1524" s="888" t="s">
        <v>29</v>
      </c>
      <c r="AA1524" s="889" t="s">
        <v>29</v>
      </c>
      <c r="AB1524" s="893" t="s">
        <v>29</v>
      </c>
      <c r="AC1524" s="897" t="s">
        <v>29</v>
      </c>
      <c r="AD1524" s="1304" t="s">
        <v>29</v>
      </c>
      <c r="AE1524" s="1633" t="s">
        <v>29</v>
      </c>
      <c r="AF1524" s="895" t="s">
        <v>116</v>
      </c>
      <c r="AG1524" s="896" t="s">
        <v>376</v>
      </c>
      <c r="AH1524" s="1165" t="s">
        <v>376</v>
      </c>
      <c r="AI1524" s="921" t="s">
        <v>29</v>
      </c>
      <c r="AJ1524" s="922" t="s">
        <v>29</v>
      </c>
      <c r="AK1524" s="922" t="s">
        <v>29</v>
      </c>
      <c r="AL1524" s="1030" t="s">
        <v>29</v>
      </c>
      <c r="AM1524" s="426" t="s">
        <v>709</v>
      </c>
      <c r="AN1524" s="924"/>
      <c r="AO1524" s="925"/>
      <c r="AP1524" s="926"/>
      <c r="AQ1524" s="926"/>
      <c r="AR1524" s="926"/>
      <c r="AS1524" s="926"/>
      <c r="AT1524" s="926"/>
      <c r="AU1524" s="926"/>
      <c r="AV1524" s="926"/>
      <c r="AW1524" s="927"/>
      <c r="AX1524" s="926"/>
      <c r="AY1524" s="1528"/>
      <c r="AZ1524" s="607"/>
      <c r="BA1524" s="1643">
        <v>4</v>
      </c>
      <c r="BB1524" s="1000" t="s">
        <v>9128</v>
      </c>
      <c r="BC1524" s="1650" t="s">
        <v>745</v>
      </c>
      <c r="BD1524" s="915" t="s">
        <v>29</v>
      </c>
      <c r="BE1524" s="912" t="s">
        <v>8537</v>
      </c>
      <c r="BF1524" s="913" t="s">
        <v>709</v>
      </c>
      <c r="BG1524" s="1655" t="s">
        <v>29</v>
      </c>
      <c r="BH1524" s="1023" t="s">
        <v>9127</v>
      </c>
      <c r="BI1524" s="1656" t="s">
        <v>745</v>
      </c>
      <c r="BJ1524" s="916" t="s">
        <v>745</v>
      </c>
      <c r="BK1524" s="916" t="s">
        <v>745</v>
      </c>
      <c r="BL1524" s="916" t="s">
        <v>116</v>
      </c>
      <c r="BM1524" s="916" t="s">
        <v>745</v>
      </c>
      <c r="BN1524" s="916" t="s">
        <v>745</v>
      </c>
      <c r="BO1524" s="916" t="s">
        <v>745</v>
      </c>
      <c r="BP1524" s="916" t="s">
        <v>745</v>
      </c>
      <c r="BQ1524" s="916" t="s">
        <v>745</v>
      </c>
      <c r="BR1524" s="916">
        <v>89</v>
      </c>
      <c r="BS1524" s="916" t="s">
        <v>709</v>
      </c>
      <c r="BT1524" s="916" t="s">
        <v>745</v>
      </c>
      <c r="BU1524" s="916" t="s">
        <v>745</v>
      </c>
      <c r="BV1524" s="916" t="s">
        <v>745</v>
      </c>
      <c r="BW1524" s="916" t="s">
        <v>745</v>
      </c>
      <c r="BX1524" s="916" t="s">
        <v>745</v>
      </c>
      <c r="BY1524" s="916" t="s">
        <v>745</v>
      </c>
      <c r="BZ1524" s="916">
        <v>1</v>
      </c>
      <c r="CA1524" s="917"/>
      <c r="CB1524" s="547"/>
      <c r="CD1524" s="879" t="str">
        <f>Table15[[#This Row],[Engineering Number]]&amp;Table15[[#This Row],[WO Number]]&amp;Table15[[#This Row],[Date Assigned to Designer]]&amp;Table15[[#This Row],[Date Completed]]</f>
        <v>COR106513149064586845896</v>
      </c>
    </row>
    <row r="1525" spans="1:16378" ht="15" customHeight="1" x14ac:dyDescent="0.25">
      <c r="A1525" s="879">
        <v>2025</v>
      </c>
      <c r="B1525" s="879" t="s">
        <v>759</v>
      </c>
      <c r="C1525" s="879" t="s">
        <v>8107</v>
      </c>
      <c r="D1525" s="939">
        <v>1014643</v>
      </c>
      <c r="E1525" s="879" t="s">
        <v>1804</v>
      </c>
      <c r="F1525" s="879" t="s">
        <v>6643</v>
      </c>
      <c r="G1525" s="879" t="s">
        <v>37</v>
      </c>
      <c r="H1525" s="878" t="s">
        <v>413</v>
      </c>
      <c r="I1525" s="883">
        <v>45611</v>
      </c>
      <c r="J1525" s="882">
        <v>45898</v>
      </c>
      <c r="K1525" s="883">
        <v>45898</v>
      </c>
      <c r="L1525" s="884">
        <f>IF(ISTEXT(Table15[[#This Row],[Engineering Approved Design Date]]),Table15[[#This Row],[Date Completed]]-Table15[[#This Row],[Date Assigned to Designer]],Table15[[#This Row],[Engineering Approved Design Date]]-Table15[[#This Row],[Date Completed]])</f>
        <v>0</v>
      </c>
      <c r="N1525" s="942" t="s">
        <v>739</v>
      </c>
      <c r="O1525" s="1618" t="s">
        <v>376</v>
      </c>
      <c r="P1525" s="1153" t="s">
        <v>120</v>
      </c>
      <c r="Q1525" s="1150">
        <f>Table15[[#This Row],[Rate]]*Table15[[#This Row],[Construction Cost to Bill From]]</f>
        <v>115807.69529999999</v>
      </c>
      <c r="R1525" s="1623">
        <v>0.11</v>
      </c>
      <c r="S1525" s="1228" t="s">
        <v>29</v>
      </c>
      <c r="T1525" s="888" t="s">
        <v>29</v>
      </c>
      <c r="U1525" s="888" t="s">
        <v>29</v>
      </c>
      <c r="V1525" s="1816">
        <v>2085</v>
      </c>
      <c r="W1525" s="1816">
        <v>1</v>
      </c>
      <c r="X1525" s="1228">
        <v>990024.15</v>
      </c>
      <c r="Y1525" s="891"/>
      <c r="Z1525" s="935">
        <v>62773.08</v>
      </c>
      <c r="AA1525" s="934">
        <f>SUM(Table15[[#This Row],[PCTS Investment Amount]:[PCTS Retirement Amount]])</f>
        <v>1052797.23</v>
      </c>
      <c r="AB1525" s="1806">
        <v>45908</v>
      </c>
      <c r="AC1525" s="1807" t="s">
        <v>9129</v>
      </c>
      <c r="AD1525" s="1808" t="s">
        <v>29</v>
      </c>
      <c r="AE1525" s="1809" t="s">
        <v>756</v>
      </c>
      <c r="AF1525" s="1810" t="s">
        <v>29</v>
      </c>
      <c r="AG1525" s="1811" t="s">
        <v>376</v>
      </c>
      <c r="AH1525" s="1812" t="s">
        <v>376</v>
      </c>
      <c r="AI1525" s="1813">
        <v>14600</v>
      </c>
      <c r="AJ1525" s="1812" t="s">
        <v>29</v>
      </c>
      <c r="AK1525" s="1813">
        <v>5275.83</v>
      </c>
      <c r="AL1525" s="1814">
        <f>SUM(Table15[[#This Row],[Nicor Initiated DBE]:[Staffing]])/(Table15[[#This Row],[Amount Invoiced]])</f>
        <v>0.17162788663146811</v>
      </c>
      <c r="AM1525" s="1641"/>
      <c r="AN1525" s="924"/>
      <c r="AO1525" s="925"/>
      <c r="AP1525" s="926"/>
      <c r="AQ1525" s="926"/>
      <c r="AR1525" s="926"/>
      <c r="AS1525" s="926">
        <f>IF(Table15[[#This Row],[PCTS Approved]]="N",0,Table15[[#This Row],[Investment Amount (1'#'#'#'#'#)]]+Table15[[#This Row],[Retirement Amount (3'#'#'#'#'#)]])</f>
        <v>0</v>
      </c>
      <c r="AT1525" s="926">
        <f>IF(Table15[[#This Row],[Approved Construction Cost]]=0,0,Table15[[#This Row],[Approved Construction Cost]]-Table15[[#This Row],[Construction Cost to Bill From]])</f>
        <v>0</v>
      </c>
      <c r="AU1525" s="926">
        <f>Table15[[#This Row],[Difference in Construction Cost]]*Table15[[#This Row],[Rate]]</f>
        <v>0</v>
      </c>
      <c r="AV1525" s="926"/>
      <c r="AW1525" s="927"/>
      <c r="AX1525" s="926"/>
      <c r="AY1525" s="1546"/>
      <c r="AZ1525" s="1642"/>
      <c r="BA1525" s="1644" t="s">
        <v>9130</v>
      </c>
      <c r="BB1525" s="990" t="s">
        <v>9131</v>
      </c>
      <c r="BC1525" s="1649" t="s">
        <v>116</v>
      </c>
      <c r="BD1525" s="913" t="s">
        <v>115</v>
      </c>
      <c r="BE1525" s="914" t="s">
        <v>8108</v>
      </c>
      <c r="BF1525" s="914" t="s">
        <v>115</v>
      </c>
      <c r="BG1525" s="1652" t="s">
        <v>115</v>
      </c>
      <c r="BH1525" s="1023" t="s">
        <v>9132</v>
      </c>
      <c r="BI1525" s="1802" t="s">
        <v>745</v>
      </c>
      <c r="BJ1525" s="1803" t="s">
        <v>745</v>
      </c>
      <c r="BK1525" s="1803" t="s">
        <v>116</v>
      </c>
      <c r="BL1525" s="1803" t="s">
        <v>116</v>
      </c>
      <c r="BM1525" s="1803" t="s">
        <v>745</v>
      </c>
      <c r="BN1525" s="1803">
        <v>1147</v>
      </c>
      <c r="BO1525" s="1803" t="s">
        <v>745</v>
      </c>
      <c r="BP1525" s="1803">
        <v>758</v>
      </c>
      <c r="BQ1525" s="1803">
        <v>47</v>
      </c>
      <c r="BR1525" s="1803">
        <v>15</v>
      </c>
      <c r="BS1525" s="1803">
        <v>28</v>
      </c>
      <c r="BT1525" s="1803">
        <v>1</v>
      </c>
      <c r="BU1525" s="1803" t="s">
        <v>745</v>
      </c>
      <c r="BV1525" s="1803" t="s">
        <v>745</v>
      </c>
      <c r="BW1525" s="1803">
        <v>1</v>
      </c>
      <c r="BX1525" s="1803">
        <v>1</v>
      </c>
      <c r="BY1525" s="1803" t="s">
        <v>745</v>
      </c>
      <c r="BZ1525" s="1804" t="s">
        <v>745</v>
      </c>
      <c r="CA1525" s="1805"/>
      <c r="CB1525" s="1803"/>
      <c r="CD1525" s="879" t="str">
        <f>Table15[[#This Row],[Engineering Number]]&amp;Table15[[#This Row],[WO Number]]&amp;Table15[[#This Row],[Date Assigned to Designer]]&amp;Table15[[#This Row],[Date Completed]]</f>
        <v>RS128010146434561145898</v>
      </c>
    </row>
    <row r="1526" spans="1:16378" ht="15" customHeight="1" x14ac:dyDescent="0.25">
      <c r="A1526">
        <v>2025</v>
      </c>
      <c r="B1526" s="878" t="s">
        <v>4</v>
      </c>
      <c r="C1526" s="878" t="s">
        <v>8093</v>
      </c>
      <c r="D1526" s="878">
        <v>1415389</v>
      </c>
      <c r="E1526" s="8" t="s">
        <v>3731</v>
      </c>
      <c r="F1526" s="878" t="s">
        <v>6874</v>
      </c>
      <c r="G1526" s="878" t="s">
        <v>7382</v>
      </c>
      <c r="H1526" s="878" t="s">
        <v>4189</v>
      </c>
      <c r="I1526" s="883">
        <v>45887</v>
      </c>
      <c r="J1526" s="918" t="s">
        <v>2052</v>
      </c>
      <c r="K1526" s="945">
        <v>45898</v>
      </c>
      <c r="L1526" s="884">
        <f>IF(ISTEXT(Table15[[#This Row],[Engineering Approved Design Date]]),Table15[[#This Row],[Date Completed]]-Table15[[#This Row],[Date Assigned to Designer]],Table15[[#This Row],[Engineering Approved Design Date]]-Table15[[#This Row],[Date Completed]])</f>
        <v>11</v>
      </c>
      <c r="M1526" s="919" t="s">
        <v>9133</v>
      </c>
      <c r="N1526" s="883" t="s">
        <v>739</v>
      </c>
      <c r="O1526" s="886">
        <v>45901</v>
      </c>
      <c r="P1526" s="1153" t="s">
        <v>739</v>
      </c>
      <c r="Q1526" s="1683">
        <f>SUM(Table15[[#This Row],[Shactee Effort]:[KH Hourly Effort]])</f>
        <v>3597.5</v>
      </c>
      <c r="R1526" s="887" t="s">
        <v>1922</v>
      </c>
      <c r="S1526" s="888">
        <v>0</v>
      </c>
      <c r="T1526" s="888">
        <v>0</v>
      </c>
      <c r="U1526" s="889">
        <v>3597.5</v>
      </c>
      <c r="V1526" s="1630" t="s">
        <v>29</v>
      </c>
      <c r="W1526" s="1021" t="s">
        <v>29</v>
      </c>
      <c r="X1526" s="888" t="s">
        <v>29</v>
      </c>
      <c r="Y1526" s="935" t="s">
        <v>9134</v>
      </c>
      <c r="Z1526" s="888" t="s">
        <v>29</v>
      </c>
      <c r="AA1526" s="888" t="s">
        <v>29</v>
      </c>
      <c r="AB1526" s="893" t="s">
        <v>29</v>
      </c>
      <c r="AC1526" s="897" t="s">
        <v>29</v>
      </c>
      <c r="AD1526" s="1304" t="s">
        <v>756</v>
      </c>
      <c r="AE1526" s="894" t="s">
        <v>756</v>
      </c>
      <c r="AF1526" s="895" t="s">
        <v>116</v>
      </c>
      <c r="AG1526" s="896" t="s">
        <v>376</v>
      </c>
      <c r="AH1526" s="985" t="s">
        <v>376</v>
      </c>
      <c r="AI1526" s="921" t="s">
        <v>29</v>
      </c>
      <c r="AJ1526" s="922" t="s">
        <v>29</v>
      </c>
      <c r="AK1526" s="922" t="s">
        <v>29</v>
      </c>
      <c r="AL1526" s="1030" t="s">
        <v>29</v>
      </c>
      <c r="AM1526" s="542" t="s">
        <v>709</v>
      </c>
      <c r="AN1526" s="924"/>
      <c r="AO1526" s="925"/>
      <c r="AP1526" s="926"/>
      <c r="AQ1526" s="926"/>
      <c r="AR1526" s="926"/>
      <c r="AS1526" s="926"/>
      <c r="AT1526" s="926"/>
      <c r="AU1526" s="926"/>
      <c r="AV1526" s="926"/>
      <c r="AW1526" s="927"/>
      <c r="AX1526" s="926"/>
      <c r="AY1526" s="1528" t="s">
        <v>29</v>
      </c>
      <c r="AZ1526" s="1530"/>
      <c r="BA1526" s="910">
        <v>2</v>
      </c>
      <c r="BB1526" s="1000" t="s">
        <v>9135</v>
      </c>
      <c r="BC1526" s="915" t="s">
        <v>992</v>
      </c>
      <c r="BD1526" s="915" t="s">
        <v>709</v>
      </c>
      <c r="BE1526" s="912" t="s">
        <v>467</v>
      </c>
      <c r="BF1526" s="913" t="s">
        <v>709</v>
      </c>
      <c r="BG1526" s="1001" t="s">
        <v>709</v>
      </c>
      <c r="BH1526" s="1023" t="s">
        <v>9136</v>
      </c>
      <c r="BI1526" s="916" t="s">
        <v>709</v>
      </c>
      <c r="BJ1526" s="916" t="s">
        <v>709</v>
      </c>
      <c r="BK1526" s="916" t="s">
        <v>709</v>
      </c>
      <c r="BL1526" s="916" t="s">
        <v>116</v>
      </c>
      <c r="BM1526" s="916" t="s">
        <v>709</v>
      </c>
      <c r="BN1526" s="916" t="s">
        <v>709</v>
      </c>
      <c r="BO1526" s="916" t="s">
        <v>709</v>
      </c>
      <c r="BP1526" s="916" t="s">
        <v>709</v>
      </c>
      <c r="BQ1526" s="916" t="s">
        <v>709</v>
      </c>
      <c r="BR1526" s="916">
        <v>547</v>
      </c>
      <c r="BS1526" s="916">
        <v>639</v>
      </c>
      <c r="BT1526" s="916" t="s">
        <v>745</v>
      </c>
      <c r="BU1526" s="916" t="s">
        <v>709</v>
      </c>
      <c r="BV1526" s="916" t="s">
        <v>745</v>
      </c>
      <c r="BW1526" s="916" t="s">
        <v>709</v>
      </c>
      <c r="BX1526" s="916" t="s">
        <v>745</v>
      </c>
      <c r="BY1526" s="916" t="s">
        <v>745</v>
      </c>
      <c r="BZ1526" s="916" t="s">
        <v>709</v>
      </c>
      <c r="CA1526" s="917" t="s">
        <v>9137</v>
      </c>
      <c r="CB1526" s="547"/>
      <c r="CD1526" s="879" t="str">
        <f>Table15[[#This Row],[Engineering Number]]&amp;Table15[[#This Row],[WO Number]]&amp;Table15[[#This Row],[Date Assigned to Designer]]&amp;Table15[[#This Row],[Date Completed]]</f>
        <v>SC2533014153894588745898</v>
      </c>
    </row>
    <row r="1527" spans="1:16378" ht="15" customHeight="1" x14ac:dyDescent="0.25">
      <c r="A1527">
        <v>2025</v>
      </c>
      <c r="B1527" s="878" t="s">
        <v>4</v>
      </c>
      <c r="C1527" s="878" t="s">
        <v>8092</v>
      </c>
      <c r="D1527" s="878">
        <v>1415311</v>
      </c>
      <c r="E1527" s="8" t="s">
        <v>3493</v>
      </c>
      <c r="F1527" s="878" t="s">
        <v>6874</v>
      </c>
      <c r="G1527" s="878" t="s">
        <v>25</v>
      </c>
      <c r="H1527" s="878" t="s">
        <v>9138</v>
      </c>
      <c r="I1527" s="883">
        <v>45894</v>
      </c>
      <c r="J1527" s="918" t="s">
        <v>2052</v>
      </c>
      <c r="K1527" s="945">
        <v>45898</v>
      </c>
      <c r="L1527" s="884">
        <f>IF(ISTEXT(Table15[[#This Row],[Engineering Approved Design Date]]),Table15[[#This Row],[Date Completed]]-Table15[[#This Row],[Date Assigned to Designer]],Table15[[#This Row],[Engineering Approved Design Date]]-Table15[[#This Row],[Date Completed]])</f>
        <v>4</v>
      </c>
      <c r="M1527" s="919" t="s">
        <v>9139</v>
      </c>
      <c r="N1527" s="883" t="s">
        <v>739</v>
      </c>
      <c r="O1527" s="886">
        <v>45901</v>
      </c>
      <c r="P1527" s="1153" t="s">
        <v>739</v>
      </c>
      <c r="Q1527" s="1683">
        <f>SUM(Table15[[#This Row],[Shactee Effort]:[KH Hourly Effort]])</f>
        <v>4332.5</v>
      </c>
      <c r="R1527" s="887" t="s">
        <v>1922</v>
      </c>
      <c r="S1527" s="888">
        <v>0</v>
      </c>
      <c r="T1527" s="888">
        <v>0</v>
      </c>
      <c r="U1527" s="889">
        <v>4332.5</v>
      </c>
      <c r="V1527" s="1630" t="s">
        <v>29</v>
      </c>
      <c r="W1527" s="1021" t="s">
        <v>29</v>
      </c>
      <c r="X1527" s="888" t="s">
        <v>29</v>
      </c>
      <c r="Y1527" s="935"/>
      <c r="Z1527" s="888" t="s">
        <v>29</v>
      </c>
      <c r="AA1527" s="888" t="s">
        <v>29</v>
      </c>
      <c r="AB1527" s="893" t="s">
        <v>29</v>
      </c>
      <c r="AC1527" s="897" t="s">
        <v>29</v>
      </c>
      <c r="AD1527" s="1304" t="s">
        <v>29</v>
      </c>
      <c r="AE1527" s="894" t="s">
        <v>756</v>
      </c>
      <c r="AF1527" s="895" t="s">
        <v>756</v>
      </c>
      <c r="AG1527" s="896" t="s">
        <v>29</v>
      </c>
      <c r="AH1527" s="985" t="s">
        <v>376</v>
      </c>
      <c r="AI1527" s="921" t="s">
        <v>29</v>
      </c>
      <c r="AJ1527" s="922" t="s">
        <v>29</v>
      </c>
      <c r="AK1527" s="922" t="s">
        <v>29</v>
      </c>
      <c r="AL1527" s="1030" t="s">
        <v>29</v>
      </c>
      <c r="AM1527" s="542" t="s">
        <v>709</v>
      </c>
      <c r="AN1527" s="924"/>
      <c r="AO1527" s="925"/>
      <c r="AP1527" s="926"/>
      <c r="AQ1527" s="926"/>
      <c r="AR1527" s="926"/>
      <c r="AS1527" s="926"/>
      <c r="AT1527" s="926"/>
      <c r="AU1527" s="926"/>
      <c r="AV1527" s="926"/>
      <c r="AW1527" s="927"/>
      <c r="AX1527" s="926"/>
      <c r="AY1527" s="1528" t="s">
        <v>29</v>
      </c>
      <c r="AZ1527" s="1530"/>
      <c r="BA1527" s="910">
        <v>1</v>
      </c>
      <c r="BB1527" s="1000" t="s">
        <v>29</v>
      </c>
      <c r="BC1527" s="915" t="s">
        <v>709</v>
      </c>
      <c r="BD1527" s="915" t="s">
        <v>709</v>
      </c>
      <c r="BE1527" s="912" t="s">
        <v>3496</v>
      </c>
      <c r="BF1527" s="913" t="s">
        <v>709</v>
      </c>
      <c r="BG1527" s="1001" t="s">
        <v>745</v>
      </c>
      <c r="BH1527" s="1023" t="s">
        <v>9140</v>
      </c>
      <c r="BI1527" s="916" t="s">
        <v>709</v>
      </c>
      <c r="BJ1527" s="916" t="s">
        <v>745</v>
      </c>
      <c r="BK1527" s="916" t="s">
        <v>745</v>
      </c>
      <c r="BL1527" s="916" t="s">
        <v>116</v>
      </c>
      <c r="BM1527" s="916" t="s">
        <v>745</v>
      </c>
      <c r="BN1527" s="916" t="s">
        <v>745</v>
      </c>
      <c r="BO1527" s="916" t="s">
        <v>745</v>
      </c>
      <c r="BP1527" s="916">
        <v>2051</v>
      </c>
      <c r="BQ1527" s="916">
        <v>24</v>
      </c>
      <c r="BR1527" s="916" t="s">
        <v>709</v>
      </c>
      <c r="BS1527" s="916">
        <v>57</v>
      </c>
      <c r="BT1527" s="916" t="s">
        <v>745</v>
      </c>
      <c r="BU1527" s="916" t="s">
        <v>745</v>
      </c>
      <c r="BV1527" s="916" t="s">
        <v>745</v>
      </c>
      <c r="BW1527" s="916" t="s">
        <v>745</v>
      </c>
      <c r="BX1527" s="916" t="s">
        <v>745</v>
      </c>
      <c r="BY1527" s="916" t="s">
        <v>745</v>
      </c>
      <c r="BZ1527" s="916" t="s">
        <v>709</v>
      </c>
      <c r="CA1527" s="917"/>
      <c r="CB1527" s="547"/>
      <c r="CD1527" s="879" t="str">
        <f>Table15[[#This Row],[Engineering Number]]&amp;Table15[[#This Row],[WO Number]]&amp;Table15[[#This Row],[Date Assigned to Designer]]&amp;Table15[[#This Row],[Date Completed]]</f>
        <v>SC2583214153114589445898</v>
      </c>
    </row>
    <row r="1528" spans="1:16378" ht="15" customHeight="1" x14ac:dyDescent="0.25">
      <c r="A1528">
        <v>2025</v>
      </c>
      <c r="B1528" s="8" t="s">
        <v>4</v>
      </c>
      <c r="C1528" s="8" t="s">
        <v>6606</v>
      </c>
      <c r="D1528" s="8">
        <v>1214095</v>
      </c>
      <c r="E1528" s="8" t="s">
        <v>149</v>
      </c>
      <c r="F1528" s="8" t="s">
        <v>784</v>
      </c>
      <c r="G1528" s="8" t="s">
        <v>26</v>
      </c>
      <c r="H1528" s="1686" t="s">
        <v>2396</v>
      </c>
      <c r="I1528" s="642">
        <v>45891</v>
      </c>
      <c r="J1528" s="1687" t="s">
        <v>2397</v>
      </c>
      <c r="K1528" s="642">
        <v>45903</v>
      </c>
      <c r="L1528" s="16">
        <f>IF(ISTEXT(Table15[[#This Row],[Engineering Approved Design Date]]),Table15[[#This Row],[Date Completed]]-Table15[[#This Row],[Date Assigned to Designer]],Table15[[#This Row],[Engineering Approved Design Date]]-Table15[[#This Row],[Date Completed]])</f>
        <v>12</v>
      </c>
      <c r="M1528" s="1688" t="s">
        <v>9141</v>
      </c>
      <c r="N1528" s="671" t="s">
        <v>739</v>
      </c>
      <c r="O1528" s="534">
        <v>45901</v>
      </c>
      <c r="P1528" s="21" t="s">
        <v>739</v>
      </c>
      <c r="Q1528" s="1237">
        <f>SUM(Table15[[#This Row],[Shactee Effort]:[KH Hourly Effort]])</f>
        <v>6910</v>
      </c>
      <c r="R1528" s="77" t="s">
        <v>1922</v>
      </c>
      <c r="S1528" s="24">
        <v>0</v>
      </c>
      <c r="T1528" s="538">
        <v>0</v>
      </c>
      <c r="U1528" s="103">
        <v>6910</v>
      </c>
      <c r="V1528" s="437" t="s">
        <v>29</v>
      </c>
      <c r="W1528" s="437" t="s">
        <v>29</v>
      </c>
      <c r="X1528" s="24" t="s">
        <v>29</v>
      </c>
      <c r="Y1528" s="556" t="s">
        <v>29</v>
      </c>
      <c r="Z1528" s="552" t="s">
        <v>29</v>
      </c>
      <c r="AA1528" s="300" t="s">
        <v>29</v>
      </c>
      <c r="AB1528" s="893" t="s">
        <v>29</v>
      </c>
      <c r="AC1528" s="896" t="s">
        <v>29</v>
      </c>
      <c r="AD1528" s="1155" t="s">
        <v>29</v>
      </c>
      <c r="AE1528" s="349" t="s">
        <v>29</v>
      </c>
      <c r="AF1528" s="579" t="s">
        <v>29</v>
      </c>
      <c r="AG1528" s="579" t="s">
        <v>29</v>
      </c>
      <c r="AH1528" s="354" t="s">
        <v>376</v>
      </c>
      <c r="AI1528" s="1028" t="s">
        <v>29</v>
      </c>
      <c r="AJ1528" s="1029" t="s">
        <v>29</v>
      </c>
      <c r="AK1528" s="1029" t="s">
        <v>29</v>
      </c>
      <c r="AL1528" s="1030" t="s">
        <v>29</v>
      </c>
      <c r="AM1528" s="426" t="s">
        <v>709</v>
      </c>
      <c r="AN1528" s="924"/>
      <c r="AO1528" s="925"/>
      <c r="AP1528" s="926"/>
      <c r="AQ1528" s="926"/>
      <c r="AR1528" s="926"/>
      <c r="AS1528" s="926"/>
      <c r="AT1528" s="926"/>
      <c r="AU1528" s="926"/>
      <c r="AV1528" s="926"/>
      <c r="AW1528" s="927"/>
      <c r="AX1528" s="926"/>
      <c r="AY1528" s="1538" t="s">
        <v>29</v>
      </c>
      <c r="AZ1528" s="607"/>
      <c r="BA1528" s="643">
        <v>7</v>
      </c>
      <c r="BB1528" s="1212" t="s">
        <v>9142</v>
      </c>
      <c r="BC1528" s="1649" t="s">
        <v>709</v>
      </c>
      <c r="BD1528" s="913" t="s">
        <v>709</v>
      </c>
      <c r="BE1528" s="914" t="s">
        <v>5573</v>
      </c>
      <c r="BF1528" s="914" t="s">
        <v>709</v>
      </c>
      <c r="BG1528" s="1652" t="s">
        <v>709</v>
      </c>
      <c r="BH1528" s="1023" t="s">
        <v>9143</v>
      </c>
      <c r="BI1528" s="1657" t="s">
        <v>709</v>
      </c>
      <c r="BJ1528" s="929" t="s">
        <v>709</v>
      </c>
      <c r="BK1528" s="916" t="s">
        <v>116</v>
      </c>
      <c r="BL1528" s="916" t="s">
        <v>709</v>
      </c>
      <c r="BM1528" s="916" t="s">
        <v>709</v>
      </c>
      <c r="BN1528" s="916" t="s">
        <v>709</v>
      </c>
      <c r="BO1528" s="916" t="s">
        <v>709</v>
      </c>
      <c r="BP1528" s="916" t="s">
        <v>709</v>
      </c>
      <c r="BQ1528" s="916">
        <v>988</v>
      </c>
      <c r="BR1528" s="916" t="s">
        <v>709</v>
      </c>
      <c r="BS1528" s="916" t="s">
        <v>709</v>
      </c>
      <c r="BT1528" s="916" t="s">
        <v>745</v>
      </c>
      <c r="BU1528" s="916" t="s">
        <v>709</v>
      </c>
      <c r="BV1528" s="916" t="s">
        <v>745</v>
      </c>
      <c r="BW1528" s="916" t="s">
        <v>709</v>
      </c>
      <c r="BX1528" s="916" t="s">
        <v>745</v>
      </c>
      <c r="BY1528" s="916" t="s">
        <v>745</v>
      </c>
      <c r="BZ1528" s="916" t="s">
        <v>745</v>
      </c>
      <c r="CA1528" s="1582" t="s">
        <v>709</v>
      </c>
      <c r="CB1528" s="547"/>
    </row>
    <row r="1529" spans="1:16378" ht="15" customHeight="1" x14ac:dyDescent="0.25">
      <c r="A1529">
        <v>2025</v>
      </c>
      <c r="B1529" s="879" t="s">
        <v>4</v>
      </c>
      <c r="C1529" s="879" t="s">
        <v>1233</v>
      </c>
      <c r="D1529" s="939" t="s">
        <v>1234</v>
      </c>
      <c r="E1529" s="965" t="s">
        <v>1101</v>
      </c>
      <c r="F1529" s="879" t="s">
        <v>6874</v>
      </c>
      <c r="G1529" s="879" t="s">
        <v>28</v>
      </c>
      <c r="H1529" s="8" t="s">
        <v>9138</v>
      </c>
      <c r="I1529" s="883">
        <v>45891</v>
      </c>
      <c r="J1529" s="918" t="s">
        <v>2052</v>
      </c>
      <c r="K1529" s="945">
        <v>45904</v>
      </c>
      <c r="L1529" s="884">
        <f>IF(ISTEXT(Table15[[#This Row],[Engineering Approved Design Date]]),Table15[[#This Row],[Date Completed]]-Table15[[#This Row],[Date Assigned to Designer]],Table15[[#This Row],[Engineering Approved Design Date]]-Table15[[#This Row],[Date Completed]])</f>
        <v>13</v>
      </c>
      <c r="M1529" s="1545" t="s">
        <v>9144</v>
      </c>
      <c r="N1529" s="885" t="s">
        <v>739</v>
      </c>
      <c r="O1529" s="886">
        <v>45901</v>
      </c>
      <c r="P1529" s="1153" t="s">
        <v>739</v>
      </c>
      <c r="Q1529" s="1689">
        <f>SUM(Table15[[#This Row],[Shactee Effort]:[KH Hourly Effort]])</f>
        <v>2642.5</v>
      </c>
      <c r="R1529" s="1150" t="s">
        <v>1922</v>
      </c>
      <c r="S1529" s="888">
        <v>0</v>
      </c>
      <c r="T1529" s="888">
        <v>0</v>
      </c>
      <c r="U1529" s="103">
        <v>2642.5</v>
      </c>
      <c r="V1529" s="437" t="s">
        <v>29</v>
      </c>
      <c r="W1529" s="1021" t="s">
        <v>29</v>
      </c>
      <c r="X1529" s="888" t="s">
        <v>29</v>
      </c>
      <c r="Y1529" s="935"/>
      <c r="Z1529" s="888" t="s">
        <v>29</v>
      </c>
      <c r="AA1529" s="888" t="s">
        <v>29</v>
      </c>
      <c r="AB1529" s="893" t="s">
        <v>29</v>
      </c>
      <c r="AC1529" s="894" t="s">
        <v>29</v>
      </c>
      <c r="AD1529" s="1161" t="s">
        <v>29</v>
      </c>
      <c r="AE1529" s="940" t="s">
        <v>116</v>
      </c>
      <c r="AF1529" s="897" t="s">
        <v>29</v>
      </c>
      <c r="AG1529" s="897" t="s">
        <v>376</v>
      </c>
      <c r="AH1529" s="940" t="s">
        <v>376</v>
      </c>
      <c r="AI1529" s="921" t="s">
        <v>29</v>
      </c>
      <c r="AJ1529" s="922" t="s">
        <v>29</v>
      </c>
      <c r="AK1529" s="922" t="s">
        <v>29</v>
      </c>
      <c r="AL1529" s="1030" t="s">
        <v>29</v>
      </c>
      <c r="AM1529" s="542" t="s">
        <v>709</v>
      </c>
      <c r="AN1529" s="924"/>
      <c r="AO1529" s="925"/>
      <c r="AP1529" s="926"/>
      <c r="AQ1529" s="926"/>
      <c r="AR1529" s="926"/>
      <c r="AS1529" s="926"/>
      <c r="AT1529" s="926"/>
      <c r="AU1529" s="926"/>
      <c r="AV1529" s="926"/>
      <c r="AW1529" s="927"/>
      <c r="AX1529" s="926"/>
      <c r="AY1529" s="1528" t="s">
        <v>29</v>
      </c>
      <c r="AZ1529" s="1530"/>
      <c r="BA1529" s="966">
        <v>7</v>
      </c>
      <c r="BB1529" s="911" t="s">
        <v>9145</v>
      </c>
      <c r="BC1529" s="915" t="s">
        <v>116</v>
      </c>
      <c r="BD1529" s="915" t="s">
        <v>882</v>
      </c>
      <c r="BE1529" s="915" t="s">
        <v>1106</v>
      </c>
      <c r="BF1529" s="915" t="s">
        <v>709</v>
      </c>
      <c r="BG1529" s="915" t="s">
        <v>709</v>
      </c>
      <c r="BH1529" s="1023" t="s">
        <v>9146</v>
      </c>
      <c r="BI1529" s="1032" t="s">
        <v>709</v>
      </c>
      <c r="BJ1529" s="1032" t="s">
        <v>709</v>
      </c>
      <c r="BK1529" s="1032" t="s">
        <v>709</v>
      </c>
      <c r="BL1529" s="1032" t="s">
        <v>116</v>
      </c>
      <c r="BM1529" s="1032" t="s">
        <v>709</v>
      </c>
      <c r="BN1529" s="1032" t="s">
        <v>709</v>
      </c>
      <c r="BO1529" s="1032" t="s">
        <v>709</v>
      </c>
      <c r="BP1529" s="1032">
        <f>1117+108</f>
        <v>1225</v>
      </c>
      <c r="BQ1529" s="1032">
        <v>476</v>
      </c>
      <c r="BR1529" s="1032">
        <v>1564</v>
      </c>
      <c r="BS1529" s="1032">
        <f>3150+33</f>
        <v>3183</v>
      </c>
      <c r="BT1529" s="1032">
        <v>1</v>
      </c>
      <c r="BU1529" s="1032" t="s">
        <v>709</v>
      </c>
      <c r="BV1529" s="1032" t="s">
        <v>709</v>
      </c>
      <c r="BW1529" s="1032" t="s">
        <v>709</v>
      </c>
      <c r="BX1529" s="1032">
        <v>1</v>
      </c>
      <c r="BY1529" s="1032" t="s">
        <v>709</v>
      </c>
      <c r="BZ1529" s="1032" t="s">
        <v>709</v>
      </c>
      <c r="CA1529" s="485" t="s">
        <v>1237</v>
      </c>
      <c r="CB1529" s="547"/>
      <c r="CC1529" t="b">
        <v>0</v>
      </c>
      <c r="CD1529" t="str">
        <f>Table15[[#This Row],[Engineering Number]]&amp;Table15[[#This Row],[WO Number]]&amp;Table15[[#This Row],[Date Assigned to Designer]]&amp;Table15[[#This Row],[Date Completed]]</f>
        <v>M109051205854589145904</v>
      </c>
      <c r="CE1529"/>
      <c r="CF1529"/>
      <c r="CG1529"/>
      <c r="CH1529"/>
      <c r="CI1529"/>
      <c r="CJ1529"/>
      <c r="CK1529"/>
      <c r="CL1529"/>
      <c r="CM1529"/>
      <c r="CN1529"/>
      <c r="CO1529"/>
      <c r="CP1529"/>
      <c r="CQ1529"/>
      <c r="CR1529"/>
      <c r="CS1529"/>
      <c r="CT1529"/>
      <c r="CU1529"/>
      <c r="CV1529"/>
      <c r="CW1529"/>
      <c r="CX1529"/>
      <c r="CY1529"/>
      <c r="CZ1529"/>
      <c r="DA1529"/>
      <c r="DB1529"/>
      <c r="DC1529"/>
      <c r="DD1529"/>
      <c r="DE1529"/>
      <c r="DF1529"/>
      <c r="DG1529"/>
      <c r="DH1529"/>
      <c r="DI1529"/>
      <c r="DJ1529"/>
      <c r="DK1529"/>
      <c r="DL1529"/>
      <c r="DM1529"/>
      <c r="DN1529"/>
      <c r="DO1529"/>
      <c r="DP1529"/>
      <c r="DQ1529"/>
      <c r="DR1529"/>
      <c r="DS1529"/>
      <c r="DT1529"/>
      <c r="DU1529"/>
      <c r="DV1529"/>
      <c r="DW1529"/>
      <c r="DX1529"/>
      <c r="DY1529"/>
      <c r="DZ1529"/>
      <c r="EA1529"/>
      <c r="EB1529"/>
      <c r="EC1529"/>
      <c r="ED1529"/>
      <c r="EE1529"/>
      <c r="EF1529"/>
      <c r="EG1529"/>
      <c r="EH1529"/>
      <c r="EI1529"/>
      <c r="EJ1529"/>
      <c r="EK1529"/>
      <c r="EL1529"/>
      <c r="EM1529"/>
      <c r="EN1529"/>
      <c r="EO1529"/>
      <c r="EP1529"/>
      <c r="EQ1529"/>
      <c r="ER1529"/>
      <c r="ES1529"/>
      <c r="ET1529"/>
      <c r="EU1529"/>
      <c r="EV1529"/>
      <c r="EW1529"/>
      <c r="EX1529"/>
      <c r="EY1529"/>
      <c r="EZ1529"/>
      <c r="FA1529"/>
      <c r="FB1529"/>
      <c r="FC1529"/>
      <c r="FD1529"/>
      <c r="FE1529"/>
      <c r="FF1529"/>
      <c r="FG1529"/>
      <c r="FH1529"/>
      <c r="FI1529"/>
      <c r="FJ1529"/>
      <c r="FK1529"/>
      <c r="FL1529"/>
      <c r="FM1529"/>
      <c r="FN1529"/>
      <c r="FO1529"/>
      <c r="FP1529"/>
      <c r="FQ1529"/>
      <c r="FR1529"/>
      <c r="FS1529"/>
      <c r="FT1529"/>
      <c r="FU1529"/>
      <c r="FV1529"/>
      <c r="FW1529"/>
      <c r="FX1529"/>
      <c r="FY1529"/>
      <c r="FZ1529"/>
      <c r="GA1529"/>
      <c r="GB1529"/>
      <c r="GC1529"/>
      <c r="GD1529"/>
      <c r="GE1529"/>
      <c r="GF1529"/>
      <c r="GG1529"/>
      <c r="GH1529"/>
      <c r="GI1529"/>
      <c r="GJ1529"/>
      <c r="GK1529"/>
      <c r="GL1529"/>
      <c r="GM1529"/>
      <c r="GN1529"/>
      <c r="GO1529"/>
      <c r="GP1529"/>
      <c r="GQ1529"/>
      <c r="GR1529"/>
      <c r="GS1529"/>
      <c r="GT1529"/>
      <c r="GU1529"/>
      <c r="GV1529"/>
      <c r="GW1529"/>
      <c r="GX1529"/>
      <c r="GY1529"/>
      <c r="GZ1529"/>
      <c r="HA1529"/>
      <c r="HB1529"/>
      <c r="HC1529"/>
      <c r="HD1529"/>
      <c r="HE1529"/>
      <c r="HF1529"/>
      <c r="HG1529"/>
      <c r="HH1529"/>
      <c r="HI1529"/>
      <c r="HJ1529"/>
      <c r="HK1529"/>
      <c r="HL1529"/>
      <c r="HM1529"/>
      <c r="HN1529"/>
      <c r="HO1529"/>
      <c r="HP1529"/>
      <c r="HQ1529"/>
      <c r="HR1529"/>
      <c r="HS1529"/>
      <c r="HT1529"/>
      <c r="HU1529"/>
      <c r="HV1529"/>
      <c r="HW1529"/>
      <c r="HX1529"/>
      <c r="HY1529"/>
      <c r="HZ1529"/>
      <c r="IA1529"/>
      <c r="IB1529"/>
      <c r="IC1529"/>
      <c r="ID1529"/>
      <c r="IE1529"/>
      <c r="IF1529"/>
      <c r="IG1529"/>
      <c r="IH1529"/>
      <c r="II1529"/>
      <c r="IJ1529"/>
      <c r="IK1529"/>
      <c r="IL1529"/>
      <c r="IM1529"/>
      <c r="IN1529"/>
      <c r="IO1529"/>
      <c r="IP1529"/>
      <c r="IQ1529"/>
      <c r="IR1529"/>
      <c r="IS1529"/>
      <c r="IT1529"/>
      <c r="IU1529"/>
      <c r="IV1529"/>
      <c r="IW1529"/>
      <c r="IX1529"/>
      <c r="IY1529"/>
      <c r="IZ1529"/>
      <c r="JA1529"/>
      <c r="JB1529"/>
      <c r="JC1529"/>
      <c r="JD1529"/>
      <c r="JE1529"/>
      <c r="JF1529"/>
      <c r="JG1529"/>
      <c r="JH1529"/>
      <c r="JI1529"/>
      <c r="JJ1529"/>
      <c r="JK1529"/>
      <c r="JL1529"/>
      <c r="JM1529"/>
      <c r="JN1529"/>
      <c r="JO1529"/>
      <c r="JP1529"/>
      <c r="JQ1529"/>
      <c r="JR1529"/>
      <c r="JS1529"/>
      <c r="JT1529"/>
      <c r="JU1529"/>
      <c r="JV1529"/>
      <c r="JW1529"/>
      <c r="JX1529"/>
      <c r="JY1529"/>
      <c r="JZ1529"/>
      <c r="KA1529"/>
      <c r="KB1529"/>
      <c r="KC1529"/>
      <c r="KD1529"/>
      <c r="KE1529"/>
      <c r="KF1529"/>
      <c r="KG1529"/>
      <c r="KH1529"/>
      <c r="KI1529"/>
      <c r="KJ1529"/>
      <c r="KK1529"/>
      <c r="KL1529"/>
      <c r="KM1529"/>
      <c r="KN1529"/>
      <c r="KO1529"/>
      <c r="KP1529"/>
      <c r="KQ1529"/>
      <c r="KR1529"/>
      <c r="KS1529"/>
      <c r="KT1529"/>
      <c r="KU1529"/>
      <c r="KV1529"/>
      <c r="KW1529"/>
      <c r="KX1529"/>
      <c r="KY1529"/>
      <c r="KZ1529"/>
      <c r="LA1529"/>
      <c r="LB1529"/>
      <c r="LC1529"/>
      <c r="LD1529"/>
      <c r="LE1529"/>
      <c r="LF1529"/>
      <c r="LG1529"/>
      <c r="LH1529"/>
      <c r="LI1529"/>
      <c r="LJ1529"/>
      <c r="LK1529"/>
      <c r="LL1529"/>
      <c r="LM1529"/>
      <c r="LN1529"/>
      <c r="LO1529"/>
      <c r="LP1529"/>
      <c r="LQ1529"/>
      <c r="LR1529"/>
      <c r="LS1529"/>
      <c r="LT1529"/>
      <c r="LU1529"/>
      <c r="LV1529"/>
      <c r="LW1529"/>
      <c r="LX1529"/>
      <c r="LY1529"/>
      <c r="LZ1529"/>
      <c r="MA1529"/>
      <c r="MB1529"/>
      <c r="MC1529"/>
      <c r="MD1529"/>
      <c r="ME1529"/>
      <c r="MF1529"/>
      <c r="MG1529"/>
      <c r="MH1529"/>
      <c r="MI1529"/>
      <c r="MJ1529"/>
      <c r="MK1529"/>
      <c r="ML1529"/>
      <c r="MM1529"/>
      <c r="MN1529"/>
      <c r="MO1529"/>
      <c r="MP1529"/>
      <c r="MQ1529"/>
      <c r="MR1529"/>
      <c r="MS1529"/>
      <c r="MT1529"/>
      <c r="MU1529"/>
      <c r="MV1529"/>
      <c r="MW1529"/>
      <c r="MX1529"/>
      <c r="MY1529"/>
      <c r="MZ1529"/>
      <c r="NA1529"/>
      <c r="NB1529"/>
      <c r="NC1529"/>
      <c r="ND1529"/>
      <c r="NE1529"/>
      <c r="NF1529"/>
      <c r="NG1529"/>
      <c r="NH1529"/>
      <c r="NI1529"/>
      <c r="NJ1529"/>
      <c r="NK1529"/>
      <c r="NL1529"/>
      <c r="NM1529"/>
      <c r="NN1529"/>
      <c r="NO1529"/>
      <c r="NP1529"/>
      <c r="NQ1529"/>
      <c r="NR1529"/>
      <c r="NS1529"/>
      <c r="NT1529"/>
      <c r="NU1529"/>
      <c r="NV1529"/>
      <c r="NW1529"/>
      <c r="NX1529"/>
      <c r="NY1529"/>
      <c r="NZ1529"/>
      <c r="OA1529"/>
      <c r="OB1529"/>
      <c r="OC1529"/>
      <c r="OD1529"/>
      <c r="OE1529"/>
      <c r="OF1529"/>
      <c r="OG1529"/>
      <c r="OH1529"/>
      <c r="OI1529"/>
      <c r="OJ1529"/>
      <c r="OK1529"/>
      <c r="OL1529"/>
      <c r="OM1529"/>
      <c r="ON1529"/>
      <c r="OO1529"/>
      <c r="OP1529"/>
      <c r="OQ1529"/>
      <c r="OR1529"/>
      <c r="OS1529"/>
      <c r="OT1529"/>
      <c r="OU1529"/>
      <c r="OV1529"/>
      <c r="OW1529"/>
      <c r="OX1529"/>
      <c r="OY1529"/>
      <c r="OZ1529"/>
      <c r="PA1529"/>
      <c r="PB1529"/>
      <c r="PC1529"/>
      <c r="PD1529"/>
      <c r="PE1529"/>
      <c r="PF1529"/>
      <c r="PG1529"/>
      <c r="PH1529"/>
      <c r="PI1529"/>
      <c r="PJ1529"/>
      <c r="PK1529"/>
      <c r="PL1529"/>
      <c r="PM1529"/>
      <c r="PN1529"/>
      <c r="PO1529"/>
      <c r="PP1529"/>
      <c r="PQ1529"/>
      <c r="PR1529"/>
      <c r="PS1529"/>
      <c r="PT1529"/>
      <c r="PU1529"/>
      <c r="PV1529"/>
      <c r="PW1529"/>
      <c r="PX1529"/>
      <c r="PY1529"/>
      <c r="PZ1529"/>
      <c r="QA1529"/>
      <c r="QB1529"/>
      <c r="QC1529"/>
      <c r="QD1529"/>
      <c r="QE1529"/>
      <c r="QF1529"/>
      <c r="QG1529"/>
      <c r="QH1529"/>
      <c r="QI1529"/>
      <c r="QJ1529"/>
      <c r="QK1529"/>
      <c r="QL1529"/>
      <c r="QM1529"/>
      <c r="QN1529"/>
      <c r="QO1529"/>
      <c r="QP1529"/>
      <c r="QQ1529"/>
      <c r="QR1529"/>
      <c r="QS1529"/>
      <c r="QT1529"/>
      <c r="QU1529"/>
      <c r="QV1529"/>
      <c r="QW1529"/>
      <c r="QX1529"/>
      <c r="QY1529"/>
      <c r="QZ1529"/>
      <c r="RA1529"/>
      <c r="RB1529"/>
      <c r="RC1529"/>
      <c r="RD1529"/>
      <c r="RE1529"/>
      <c r="RF1529"/>
      <c r="RG1529"/>
      <c r="RH1529"/>
      <c r="RI1529"/>
      <c r="RJ1529"/>
      <c r="RK1529"/>
      <c r="RL1529"/>
      <c r="RM1529"/>
      <c r="RN1529"/>
      <c r="RO1529"/>
      <c r="RP1529"/>
      <c r="RQ1529"/>
      <c r="RR1529"/>
      <c r="RS1529"/>
      <c r="RT1529"/>
      <c r="RU1529"/>
      <c r="RV1529"/>
      <c r="RW1529"/>
      <c r="RX1529"/>
      <c r="RY1529"/>
      <c r="RZ1529"/>
      <c r="SA1529"/>
      <c r="SB1529"/>
      <c r="SC1529"/>
      <c r="SD1529"/>
      <c r="SE1529"/>
      <c r="SF1529"/>
      <c r="SG1529"/>
      <c r="SH1529"/>
      <c r="SI1529"/>
      <c r="SJ1529"/>
      <c r="SK1529"/>
      <c r="SL1529"/>
      <c r="SM1529"/>
      <c r="SN1529"/>
      <c r="SO1529"/>
      <c r="SP1529"/>
      <c r="SQ1529"/>
      <c r="SR1529"/>
      <c r="SS1529"/>
      <c r="ST1529"/>
      <c r="SU1529"/>
      <c r="SV1529"/>
      <c r="SW1529"/>
      <c r="SX1529"/>
      <c r="SY1529"/>
      <c r="SZ1529"/>
      <c r="TA1529"/>
      <c r="TB1529"/>
      <c r="TC1529"/>
      <c r="TD1529"/>
      <c r="TE1529"/>
      <c r="TF1529"/>
      <c r="TG1529"/>
      <c r="TH1529"/>
      <c r="TI1529"/>
      <c r="TJ1529"/>
      <c r="TK1529"/>
      <c r="TL1529"/>
      <c r="TM1529"/>
      <c r="TN1529"/>
      <c r="TO1529"/>
      <c r="TP1529"/>
      <c r="TQ1529"/>
      <c r="TR1529"/>
      <c r="TS1529"/>
      <c r="TT1529"/>
      <c r="TU1529"/>
      <c r="TV1529"/>
      <c r="TW1529"/>
      <c r="TX1529"/>
      <c r="TY1529"/>
      <c r="TZ1529"/>
      <c r="UA1529"/>
      <c r="UB1529"/>
      <c r="UC1529"/>
      <c r="UD1529"/>
      <c r="UE1529"/>
      <c r="UF1529"/>
      <c r="UG1529"/>
      <c r="UH1529"/>
      <c r="UI1529"/>
      <c r="UJ1529"/>
      <c r="UK1529"/>
      <c r="UL1529"/>
      <c r="UM1529"/>
      <c r="UN1529"/>
      <c r="UO1529"/>
      <c r="UP1529"/>
      <c r="UQ1529"/>
      <c r="UR1529"/>
      <c r="US1529"/>
      <c r="UT1529"/>
      <c r="UU1529"/>
      <c r="UV1529"/>
      <c r="UW1529"/>
      <c r="UX1529"/>
      <c r="UY1529"/>
      <c r="UZ1529"/>
      <c r="VA1529"/>
      <c r="VB1529"/>
      <c r="VC1529"/>
      <c r="VD1529"/>
      <c r="VE1529"/>
      <c r="VF1529"/>
      <c r="VG1529"/>
      <c r="VH1529"/>
      <c r="VI1529"/>
      <c r="VJ1529"/>
      <c r="VK1529"/>
      <c r="VL1529"/>
      <c r="VM1529"/>
      <c r="VN1529"/>
      <c r="VO1529"/>
      <c r="VP1529"/>
      <c r="VQ1529"/>
      <c r="VR1529"/>
      <c r="VS1529"/>
      <c r="VT1529"/>
      <c r="VU1529"/>
      <c r="VV1529"/>
      <c r="VW1529"/>
      <c r="VX1529"/>
      <c r="VY1529"/>
      <c r="VZ1529"/>
      <c r="WA1529"/>
      <c r="WB1529"/>
      <c r="WC1529"/>
      <c r="WD1529"/>
      <c r="WE1529"/>
      <c r="WF1529"/>
      <c r="WG1529"/>
      <c r="WH1529"/>
      <c r="WI1529"/>
      <c r="WJ1529"/>
      <c r="WK1529"/>
      <c r="WL1529"/>
      <c r="WM1529"/>
      <c r="WN1529"/>
      <c r="WO1529"/>
      <c r="WP1529"/>
      <c r="WQ1529"/>
      <c r="WR1529"/>
      <c r="WS1529"/>
      <c r="WT1529"/>
      <c r="WU1529"/>
      <c r="WV1529"/>
      <c r="WW1529"/>
      <c r="WX1529"/>
      <c r="WY1529"/>
      <c r="WZ1529"/>
      <c r="XA1529"/>
      <c r="XB1529"/>
      <c r="XC1529"/>
      <c r="XD1529"/>
      <c r="XE1529"/>
      <c r="XF1529"/>
      <c r="XG1529"/>
      <c r="XH1529"/>
      <c r="XI1529"/>
      <c r="XJ1529"/>
      <c r="XK1529"/>
      <c r="XL1529"/>
      <c r="XM1529"/>
      <c r="XN1529"/>
      <c r="XO1529"/>
      <c r="XP1529"/>
      <c r="XQ1529"/>
      <c r="XR1529"/>
      <c r="XS1529"/>
      <c r="XT1529"/>
      <c r="XU1529"/>
      <c r="XV1529"/>
      <c r="XW1529"/>
      <c r="XX1529"/>
      <c r="XY1529"/>
      <c r="XZ1529"/>
      <c r="YA1529"/>
      <c r="YB1529"/>
      <c r="YC1529"/>
      <c r="YD1529"/>
      <c r="YE1529"/>
      <c r="YF1529"/>
      <c r="YG1529"/>
      <c r="YH1529"/>
      <c r="YI1529"/>
      <c r="YJ1529"/>
      <c r="YK1529"/>
      <c r="YL1529"/>
      <c r="YM1529"/>
      <c r="YN1529"/>
      <c r="YO1529"/>
      <c r="YP1529"/>
      <c r="YQ1529"/>
      <c r="YR1529"/>
      <c r="YS1529"/>
      <c r="YT1529"/>
      <c r="YU1529"/>
      <c r="YV1529"/>
      <c r="YW1529"/>
      <c r="YX1529"/>
      <c r="YY1529"/>
      <c r="YZ1529"/>
      <c r="ZA1529"/>
      <c r="ZB1529"/>
      <c r="ZC1529"/>
      <c r="ZD1529"/>
      <c r="ZE1529"/>
      <c r="ZF1529"/>
      <c r="ZG1529"/>
      <c r="ZH1529"/>
      <c r="ZI1529"/>
      <c r="ZJ1529"/>
      <c r="ZK1529"/>
      <c r="ZL1529"/>
      <c r="ZM1529"/>
      <c r="ZN1529"/>
      <c r="ZO1529"/>
      <c r="ZP1529"/>
      <c r="ZQ1529"/>
      <c r="ZR1529"/>
      <c r="ZS1529"/>
      <c r="ZT1529"/>
      <c r="ZU1529"/>
      <c r="ZV1529"/>
      <c r="ZW1529"/>
      <c r="ZX1529"/>
      <c r="ZY1529"/>
      <c r="ZZ1529"/>
      <c r="AAA1529"/>
      <c r="AAB1529"/>
      <c r="AAC1529"/>
      <c r="AAD1529"/>
      <c r="AAE1529"/>
      <c r="AAF1529"/>
      <c r="AAG1529"/>
      <c r="AAH1529"/>
      <c r="AAI1529"/>
      <c r="AAJ1529"/>
      <c r="AAK1529"/>
      <c r="AAL1529"/>
      <c r="AAM1529"/>
      <c r="AAN1529"/>
      <c r="AAO1529"/>
      <c r="AAP1529"/>
      <c r="AAQ1529"/>
      <c r="AAR1529"/>
      <c r="AAS1529"/>
      <c r="AAT1529"/>
      <c r="AAU1529"/>
      <c r="AAV1529"/>
      <c r="AAW1529"/>
      <c r="AAX1529"/>
      <c r="AAY1529"/>
      <c r="AAZ1529"/>
      <c r="ABA1529"/>
      <c r="ABB1529"/>
      <c r="ABC1529"/>
      <c r="ABD1529"/>
      <c r="ABE1529"/>
      <c r="ABF1529"/>
      <c r="ABG1529"/>
      <c r="ABH1529"/>
      <c r="ABI1529"/>
      <c r="ABJ1529"/>
      <c r="ABK1529"/>
      <c r="ABL1529"/>
      <c r="ABM1529"/>
      <c r="ABN1529"/>
      <c r="ABO1529"/>
      <c r="ABP1529"/>
      <c r="ABQ1529"/>
      <c r="ABR1529"/>
      <c r="ABS1529"/>
      <c r="ABT1529"/>
      <c r="ABU1529"/>
      <c r="ABV1529"/>
      <c r="ABW1529"/>
      <c r="ABX1529"/>
      <c r="ABY1529"/>
      <c r="ABZ1529"/>
      <c r="ACA1529"/>
      <c r="ACB1529"/>
      <c r="ACC1529"/>
      <c r="ACD1529"/>
      <c r="ACE1529"/>
      <c r="ACF1529"/>
      <c r="ACG1529"/>
      <c r="ACH1529"/>
      <c r="ACI1529"/>
      <c r="ACJ1529"/>
      <c r="ACK1529"/>
      <c r="ACL1529"/>
      <c r="ACM1529"/>
      <c r="ACN1529"/>
      <c r="ACO1529"/>
      <c r="ACP1529"/>
      <c r="ACQ1529"/>
      <c r="ACR1529"/>
      <c r="ACS1529"/>
      <c r="ACT1529"/>
      <c r="ACU1529"/>
      <c r="ACV1529"/>
      <c r="ACW1529"/>
      <c r="ACX1529"/>
      <c r="ACY1529"/>
      <c r="ACZ1529"/>
      <c r="ADA1529"/>
      <c r="ADB1529"/>
      <c r="ADC1529"/>
      <c r="ADD1529"/>
      <c r="ADE1529"/>
      <c r="ADF1529"/>
      <c r="ADG1529"/>
      <c r="ADH1529"/>
      <c r="ADI1529"/>
      <c r="ADJ1529"/>
      <c r="ADK1529"/>
      <c r="ADL1529"/>
      <c r="ADM1529"/>
      <c r="ADN1529"/>
      <c r="ADO1529"/>
      <c r="ADP1529"/>
      <c r="ADQ1529"/>
      <c r="ADR1529"/>
      <c r="ADS1529"/>
      <c r="ADT1529"/>
      <c r="ADU1529"/>
      <c r="ADV1529"/>
      <c r="ADW1529"/>
      <c r="ADX1529"/>
      <c r="ADY1529"/>
      <c r="ADZ1529"/>
      <c r="AEA1529"/>
      <c r="AEB1529"/>
      <c r="AEC1529"/>
      <c r="AED1529"/>
      <c r="AEE1529"/>
      <c r="AEF1529"/>
      <c r="AEG1529"/>
      <c r="AEH1529"/>
      <c r="AEI1529"/>
      <c r="AEJ1529"/>
      <c r="AEK1529"/>
      <c r="AEL1529"/>
      <c r="AEM1529"/>
      <c r="AEN1529"/>
      <c r="AEO1529"/>
      <c r="AEP1529"/>
      <c r="AEQ1529"/>
      <c r="AER1529"/>
      <c r="AES1529"/>
      <c r="AET1529"/>
      <c r="AEU1529"/>
      <c r="AEV1529"/>
      <c r="AEW1529"/>
      <c r="AEX1529"/>
      <c r="AEY1529"/>
      <c r="AEZ1529"/>
      <c r="AFA1529"/>
      <c r="AFB1529"/>
      <c r="AFC1529"/>
      <c r="AFD1529"/>
      <c r="AFE1529"/>
      <c r="AFF1529"/>
      <c r="AFG1529"/>
      <c r="AFH1529"/>
      <c r="AFI1529"/>
      <c r="AFJ1529"/>
      <c r="AFK1529"/>
      <c r="AFL1529"/>
      <c r="AFM1529"/>
      <c r="AFN1529"/>
      <c r="AFO1529"/>
      <c r="AFP1529"/>
      <c r="AFQ1529"/>
      <c r="AFR1529"/>
      <c r="AFS1529"/>
      <c r="AFT1529"/>
      <c r="AFU1529"/>
      <c r="AFV1529"/>
      <c r="AFW1529"/>
      <c r="AFX1529"/>
      <c r="AFY1529"/>
      <c r="AFZ1529"/>
      <c r="AGA1529"/>
      <c r="AGB1529"/>
      <c r="AGC1529"/>
      <c r="AGD1529"/>
      <c r="AGE1529"/>
      <c r="AGF1529"/>
      <c r="AGG1529"/>
      <c r="AGH1529"/>
      <c r="AGI1529"/>
      <c r="AGJ1529"/>
      <c r="AGK1529"/>
      <c r="AGL1529"/>
      <c r="AGM1529"/>
      <c r="AGN1529"/>
      <c r="AGO1529"/>
      <c r="AGP1529"/>
      <c r="AGQ1529"/>
      <c r="AGR1529"/>
      <c r="AGS1529"/>
      <c r="AGT1529"/>
      <c r="AGU1529"/>
      <c r="AGV1529"/>
      <c r="AGW1529"/>
      <c r="AGX1529"/>
      <c r="AGY1529"/>
      <c r="AGZ1529"/>
      <c r="AHA1529"/>
      <c r="AHB1529"/>
      <c r="AHC1529"/>
      <c r="AHD1529"/>
      <c r="AHE1529"/>
      <c r="AHF1529"/>
      <c r="AHG1529"/>
      <c r="AHH1529"/>
      <c r="AHI1529"/>
      <c r="AHJ1529"/>
      <c r="AHK1529"/>
      <c r="AHL1529"/>
      <c r="AHM1529"/>
      <c r="AHN1529"/>
      <c r="AHO1529"/>
      <c r="AHP1529"/>
      <c r="AHQ1529"/>
      <c r="AHR1529"/>
      <c r="AHS1529"/>
      <c r="AHT1529"/>
      <c r="AHU1529"/>
      <c r="AHV1529"/>
      <c r="AHW1529"/>
      <c r="AHX1529"/>
      <c r="AHY1529"/>
      <c r="AHZ1529"/>
      <c r="AIA1529"/>
      <c r="AIB1529"/>
      <c r="AIC1529"/>
      <c r="AID1529"/>
      <c r="AIE1529"/>
      <c r="AIF1529"/>
      <c r="AIG1529"/>
      <c r="AIH1529"/>
      <c r="AII1529"/>
      <c r="AIJ1529"/>
      <c r="AIK1529"/>
      <c r="AIL1529"/>
      <c r="AIM1529"/>
      <c r="AIN1529"/>
      <c r="AIO1529"/>
      <c r="AIP1529"/>
      <c r="AIQ1529"/>
      <c r="AIR1529"/>
      <c r="AIS1529"/>
      <c r="AIT1529"/>
      <c r="AIU1529"/>
      <c r="AIV1529"/>
      <c r="AIW1529"/>
      <c r="AIX1529"/>
      <c r="AIY1529"/>
      <c r="AIZ1529"/>
      <c r="AJA1529"/>
      <c r="AJB1529"/>
      <c r="AJC1529"/>
      <c r="AJD1529"/>
      <c r="AJE1529"/>
      <c r="AJF1529"/>
      <c r="AJG1529"/>
      <c r="AJH1529"/>
      <c r="AJI1529"/>
      <c r="AJJ1529"/>
      <c r="AJK1529"/>
      <c r="AJL1529"/>
      <c r="AJM1529"/>
      <c r="AJN1529"/>
      <c r="AJO1529"/>
      <c r="AJP1529"/>
      <c r="AJQ1529"/>
      <c r="AJR1529"/>
      <c r="AJS1529"/>
      <c r="AJT1529"/>
      <c r="AJU1529"/>
      <c r="AJV1529"/>
      <c r="AJW1529"/>
      <c r="AJX1529"/>
      <c r="AJY1529"/>
      <c r="AJZ1529"/>
      <c r="AKA1529"/>
      <c r="AKB1529"/>
      <c r="AKC1529"/>
      <c r="AKD1529"/>
      <c r="AKE1529"/>
      <c r="AKF1529"/>
      <c r="AKG1529"/>
      <c r="AKH1529"/>
      <c r="AKI1529"/>
      <c r="AKJ1529"/>
      <c r="AKK1529"/>
      <c r="AKL1529"/>
      <c r="AKM1529"/>
      <c r="AKN1529"/>
      <c r="AKO1529"/>
      <c r="AKP1529"/>
      <c r="AKQ1529"/>
      <c r="AKR1529"/>
      <c r="AKS1529"/>
      <c r="AKT1529"/>
      <c r="AKU1529"/>
      <c r="AKV1529"/>
      <c r="AKW1529"/>
      <c r="AKX1529"/>
      <c r="AKY1529"/>
      <c r="AKZ1529"/>
      <c r="ALA1529"/>
      <c r="ALB1529"/>
      <c r="ALC1529"/>
      <c r="ALD1529"/>
      <c r="ALE1529"/>
      <c r="ALF1529"/>
      <c r="ALG1529"/>
      <c r="ALH1529"/>
      <c r="ALI1529"/>
      <c r="ALJ1529"/>
      <c r="ALK1529"/>
      <c r="ALL1529"/>
      <c r="ALM1529"/>
      <c r="ALN1529"/>
      <c r="ALO1529"/>
      <c r="ALP1529"/>
      <c r="ALQ1529"/>
      <c r="ALR1529"/>
      <c r="ALS1529"/>
      <c r="ALT1529"/>
      <c r="ALU1529"/>
      <c r="ALV1529"/>
      <c r="ALW1529"/>
      <c r="ALX1529"/>
      <c r="ALY1529"/>
      <c r="ALZ1529"/>
      <c r="AMA1529"/>
      <c r="AMB1529"/>
      <c r="AMC1529"/>
      <c r="AMD1529"/>
      <c r="AME1529"/>
      <c r="AMF1529"/>
      <c r="AMG1529"/>
      <c r="AMH1529"/>
      <c r="AMI1529"/>
      <c r="AMJ1529"/>
      <c r="AMK1529"/>
      <c r="AML1529"/>
      <c r="AMM1529"/>
      <c r="AMN1529"/>
      <c r="AMO1529"/>
      <c r="AMP1529"/>
      <c r="AMQ1529"/>
      <c r="AMR1529"/>
      <c r="AMS1529"/>
      <c r="AMT1529"/>
      <c r="AMU1529"/>
      <c r="AMV1529"/>
      <c r="AMW1529"/>
      <c r="AMX1529"/>
      <c r="AMY1529"/>
      <c r="AMZ1529"/>
      <c r="ANA1529"/>
      <c r="ANB1529"/>
      <c r="ANC1529"/>
      <c r="AND1529"/>
      <c r="ANE1529"/>
      <c r="ANF1529"/>
      <c r="ANG1529"/>
      <c r="ANH1529"/>
      <c r="ANI1529"/>
      <c r="ANJ1529"/>
      <c r="ANK1529"/>
      <c r="ANL1529"/>
      <c r="ANM1529"/>
      <c r="ANN1529"/>
      <c r="ANO1529"/>
      <c r="ANP1529"/>
      <c r="ANQ1529"/>
      <c r="ANR1529"/>
      <c r="ANS1529"/>
      <c r="ANT1529"/>
      <c r="ANU1529"/>
      <c r="ANV1529"/>
      <c r="ANW1529"/>
      <c r="ANX1529"/>
      <c r="ANY1529"/>
      <c r="ANZ1529"/>
      <c r="AOA1529"/>
      <c r="AOB1529"/>
      <c r="AOC1529"/>
      <c r="AOD1529"/>
      <c r="AOE1529"/>
      <c r="AOF1529"/>
      <c r="AOG1529"/>
      <c r="AOH1529"/>
      <c r="AOI1529"/>
      <c r="AOJ1529"/>
      <c r="AOK1529"/>
      <c r="AOL1529"/>
      <c r="AOM1529"/>
      <c r="AON1529"/>
      <c r="AOO1529"/>
      <c r="AOP1529"/>
      <c r="AOQ1529"/>
      <c r="AOR1529"/>
      <c r="AOS1529"/>
      <c r="AOT1529"/>
      <c r="AOU1529"/>
      <c r="AOV1529"/>
      <c r="AOW1529"/>
      <c r="AOX1529"/>
      <c r="AOY1529"/>
      <c r="AOZ1529"/>
      <c r="APA1529"/>
      <c r="APB1529"/>
      <c r="APC1529"/>
      <c r="APD1529"/>
      <c r="APE1529"/>
      <c r="APF1529"/>
      <c r="APG1529"/>
      <c r="APH1529"/>
      <c r="API1529"/>
      <c r="APJ1529"/>
      <c r="APK1529"/>
      <c r="APL1529"/>
      <c r="APM1529"/>
      <c r="APN1529"/>
      <c r="APO1529"/>
      <c r="APP1529"/>
      <c r="APQ1529"/>
      <c r="APR1529"/>
      <c r="APS1529"/>
      <c r="APT1529"/>
      <c r="APU1529"/>
      <c r="APV1529"/>
      <c r="APW1529"/>
      <c r="APX1529"/>
      <c r="APY1529"/>
      <c r="APZ1529"/>
      <c r="AQA1529"/>
      <c r="AQB1529"/>
      <c r="AQC1529"/>
      <c r="AQD1529"/>
      <c r="AQE1529"/>
      <c r="AQF1529"/>
      <c r="AQG1529"/>
      <c r="AQH1529"/>
      <c r="AQI1529"/>
      <c r="AQJ1529"/>
      <c r="AQK1529"/>
      <c r="AQL1529"/>
      <c r="AQM1529"/>
      <c r="AQN1529"/>
      <c r="AQO1529"/>
      <c r="AQP1529"/>
      <c r="AQQ1529"/>
      <c r="AQR1529"/>
      <c r="AQS1529"/>
      <c r="AQT1529"/>
      <c r="AQU1529"/>
      <c r="AQV1529"/>
      <c r="AQW1529"/>
      <c r="AQX1529"/>
      <c r="AQY1529"/>
      <c r="AQZ1529"/>
      <c r="ARA1529"/>
      <c r="ARB1529"/>
      <c r="ARC1529"/>
      <c r="ARD1529"/>
      <c r="ARE1529"/>
      <c r="ARF1529"/>
      <c r="ARG1529"/>
      <c r="ARH1529"/>
      <c r="ARI1529"/>
      <c r="ARJ1529"/>
      <c r="ARK1529"/>
      <c r="ARL1529"/>
      <c r="ARM1529"/>
      <c r="ARN1529"/>
      <c r="ARO1529"/>
      <c r="ARP1529"/>
      <c r="ARQ1529"/>
      <c r="ARR1529"/>
      <c r="ARS1529"/>
      <c r="ART1529"/>
      <c r="ARU1529"/>
      <c r="ARV1529"/>
      <c r="ARW1529"/>
      <c r="ARX1529"/>
      <c r="ARY1529"/>
      <c r="ARZ1529"/>
      <c r="ASA1529"/>
      <c r="ASB1529"/>
      <c r="ASC1529"/>
      <c r="ASD1529"/>
      <c r="ASE1529"/>
      <c r="ASF1529"/>
      <c r="ASG1529"/>
      <c r="ASH1529"/>
      <c r="ASI1529"/>
      <c r="ASJ1529"/>
      <c r="ASK1529"/>
      <c r="ASL1529"/>
      <c r="ASM1529"/>
      <c r="ASN1529"/>
      <c r="ASO1529"/>
      <c r="ASP1529"/>
      <c r="ASQ1529"/>
      <c r="ASR1529"/>
      <c r="ASS1529"/>
      <c r="AST1529"/>
      <c r="ASU1529"/>
      <c r="ASV1529"/>
      <c r="ASW1529"/>
      <c r="ASX1529"/>
      <c r="ASY1529"/>
      <c r="ASZ1529"/>
      <c r="ATA1529"/>
      <c r="ATB1529"/>
      <c r="ATC1529"/>
      <c r="ATD1529"/>
      <c r="ATE1529"/>
      <c r="ATF1529"/>
      <c r="ATG1529"/>
      <c r="ATH1529"/>
      <c r="ATI1529"/>
      <c r="ATJ1529"/>
      <c r="ATK1529"/>
      <c r="ATL1529"/>
      <c r="ATM1529"/>
      <c r="ATN1529"/>
      <c r="ATO1529"/>
      <c r="ATP1529"/>
      <c r="ATQ1529"/>
      <c r="ATR1529"/>
      <c r="ATS1529"/>
      <c r="ATT1529"/>
      <c r="ATU1529"/>
      <c r="ATV1529"/>
      <c r="ATW1529"/>
      <c r="ATX1529"/>
      <c r="ATY1529"/>
      <c r="ATZ1529"/>
      <c r="AUA1529"/>
      <c r="AUB1529"/>
      <c r="AUC1529"/>
      <c r="AUD1529"/>
      <c r="AUE1529"/>
      <c r="AUF1529"/>
      <c r="AUG1529"/>
      <c r="AUH1529"/>
      <c r="AUI1529"/>
      <c r="AUJ1529"/>
      <c r="AUK1529"/>
      <c r="AUL1529"/>
      <c r="AUM1529"/>
      <c r="AUN1529"/>
      <c r="AUO1529"/>
      <c r="AUP1529"/>
      <c r="AUQ1529"/>
      <c r="AUR1529"/>
      <c r="AUS1529"/>
      <c r="AUT1529"/>
      <c r="AUU1529"/>
      <c r="AUV1529"/>
      <c r="AUW1529"/>
      <c r="AUX1529"/>
      <c r="AUY1529"/>
      <c r="AUZ1529"/>
      <c r="AVA1529"/>
      <c r="AVB1529"/>
      <c r="AVC1529"/>
      <c r="AVD1529"/>
      <c r="AVE1529"/>
      <c r="AVF1529"/>
      <c r="AVG1529"/>
      <c r="AVH1529"/>
      <c r="AVI1529"/>
      <c r="AVJ1529"/>
      <c r="AVK1529"/>
      <c r="AVL1529"/>
      <c r="AVM1529"/>
      <c r="AVN1529"/>
      <c r="AVO1529"/>
      <c r="AVP1529"/>
      <c r="AVQ1529"/>
      <c r="AVR1529"/>
      <c r="AVS1529"/>
      <c r="AVT1529"/>
      <c r="AVU1529"/>
      <c r="AVV1529"/>
      <c r="AVW1529"/>
      <c r="AVX1529"/>
      <c r="AVY1529"/>
      <c r="AVZ1529"/>
      <c r="AWA1529"/>
      <c r="AWB1529"/>
      <c r="AWC1529"/>
      <c r="AWD1529"/>
      <c r="AWE1529"/>
      <c r="AWF1529"/>
      <c r="AWG1529"/>
      <c r="AWH1529"/>
      <c r="AWI1529"/>
      <c r="AWJ1529"/>
      <c r="AWK1529"/>
      <c r="AWL1529"/>
      <c r="AWM1529"/>
      <c r="AWN1529"/>
      <c r="AWO1529"/>
      <c r="AWP1529"/>
      <c r="AWQ1529"/>
      <c r="AWR1529"/>
      <c r="AWS1529"/>
      <c r="AWT1529"/>
      <c r="AWU1529"/>
      <c r="AWV1529"/>
      <c r="AWW1529"/>
      <c r="AWX1529"/>
      <c r="AWY1529"/>
      <c r="AWZ1529"/>
      <c r="AXA1529"/>
      <c r="AXB1529"/>
      <c r="AXC1529"/>
      <c r="AXD1529"/>
      <c r="AXE1529"/>
      <c r="AXF1529"/>
      <c r="AXG1529"/>
      <c r="AXH1529"/>
      <c r="AXI1529"/>
      <c r="AXJ1529"/>
      <c r="AXK1529"/>
      <c r="AXL1529"/>
      <c r="AXM1529"/>
      <c r="AXN1529"/>
      <c r="AXO1529"/>
      <c r="AXP1529"/>
      <c r="AXQ1529"/>
      <c r="AXR1529"/>
      <c r="AXS1529"/>
      <c r="AXT1529"/>
      <c r="AXU1529"/>
      <c r="AXV1529"/>
      <c r="AXW1529"/>
      <c r="AXX1529"/>
      <c r="AXY1529"/>
      <c r="AXZ1529"/>
      <c r="AYA1529"/>
      <c r="AYB1529"/>
      <c r="AYC1529"/>
      <c r="AYD1529"/>
      <c r="AYE1529"/>
      <c r="AYF1529"/>
      <c r="AYG1529"/>
      <c r="AYH1529"/>
      <c r="AYI1529"/>
      <c r="AYJ1529"/>
      <c r="AYK1529"/>
      <c r="AYL1529"/>
      <c r="AYM1529"/>
      <c r="AYN1529"/>
      <c r="AYO1529"/>
      <c r="AYP1529"/>
      <c r="AYQ1529"/>
      <c r="AYR1529"/>
      <c r="AYS1529"/>
      <c r="AYT1529"/>
      <c r="AYU1529"/>
      <c r="AYV1529"/>
      <c r="AYW1529"/>
      <c r="AYX1529"/>
      <c r="AYY1529"/>
      <c r="AYZ1529"/>
      <c r="AZA1529"/>
      <c r="AZB1529"/>
      <c r="AZC1529"/>
      <c r="AZD1529"/>
      <c r="AZE1529"/>
      <c r="AZF1529"/>
      <c r="AZG1529"/>
      <c r="AZH1529"/>
      <c r="AZI1529"/>
      <c r="AZJ1529"/>
      <c r="AZK1529"/>
      <c r="AZL1529"/>
      <c r="AZM1529"/>
      <c r="AZN1529"/>
      <c r="AZO1529"/>
      <c r="AZP1529"/>
      <c r="AZQ1529"/>
      <c r="AZR1529"/>
      <c r="AZS1529"/>
      <c r="AZT1529"/>
      <c r="AZU1529"/>
      <c r="AZV1529"/>
      <c r="AZW1529"/>
      <c r="AZX1529"/>
      <c r="AZY1529"/>
      <c r="AZZ1529"/>
      <c r="BAA1529"/>
      <c r="BAB1529"/>
      <c r="BAC1529"/>
      <c r="BAD1529"/>
      <c r="BAE1529"/>
      <c r="BAF1529"/>
      <c r="BAG1529"/>
      <c r="BAH1529"/>
      <c r="BAI1529"/>
      <c r="BAJ1529"/>
      <c r="BAK1529"/>
      <c r="BAL1529"/>
      <c r="BAM1529"/>
      <c r="BAN1529"/>
      <c r="BAO1529"/>
      <c r="BAP1529"/>
      <c r="BAQ1529"/>
      <c r="BAR1529"/>
      <c r="BAS1529"/>
      <c r="BAT1529"/>
      <c r="BAU1529"/>
      <c r="BAV1529"/>
      <c r="BAW1529"/>
      <c r="BAX1529"/>
      <c r="BAY1529"/>
      <c r="BAZ1529"/>
      <c r="BBA1529"/>
      <c r="BBB1529"/>
      <c r="BBC1529"/>
      <c r="BBD1529"/>
      <c r="BBE1529"/>
      <c r="BBF1529"/>
      <c r="BBG1529"/>
      <c r="BBH1529"/>
      <c r="BBI1529"/>
      <c r="BBJ1529"/>
      <c r="BBK1529"/>
      <c r="BBL1529"/>
      <c r="BBM1529"/>
      <c r="BBN1529"/>
      <c r="BBO1529"/>
      <c r="BBP1529"/>
      <c r="BBQ1529"/>
      <c r="BBR1529"/>
      <c r="BBS1529"/>
      <c r="BBT1529"/>
      <c r="BBU1529"/>
      <c r="BBV1529"/>
      <c r="BBW1529"/>
      <c r="BBX1529"/>
      <c r="BBY1529"/>
      <c r="BBZ1529"/>
      <c r="BCA1529"/>
      <c r="BCB1529"/>
      <c r="BCC1529"/>
      <c r="BCD1529"/>
      <c r="BCE1529"/>
      <c r="BCF1529"/>
      <c r="BCG1529"/>
      <c r="BCH1529"/>
      <c r="BCI1529"/>
      <c r="BCJ1529"/>
      <c r="BCK1529"/>
      <c r="BCL1529"/>
      <c r="BCM1529"/>
      <c r="BCN1529"/>
      <c r="BCO1529"/>
      <c r="BCP1529"/>
      <c r="BCQ1529"/>
      <c r="BCR1529"/>
      <c r="BCS1529"/>
      <c r="BCT1529"/>
      <c r="BCU1529"/>
      <c r="BCV1529"/>
      <c r="BCW1529"/>
      <c r="BCX1529"/>
      <c r="BCY1529"/>
      <c r="BCZ1529"/>
      <c r="BDA1529"/>
      <c r="BDB1529"/>
      <c r="BDC1529"/>
      <c r="BDD1529"/>
      <c r="BDE1529"/>
      <c r="BDF1529"/>
      <c r="BDG1529"/>
      <c r="BDH1529"/>
      <c r="BDI1529"/>
      <c r="BDJ1529"/>
      <c r="BDK1529"/>
      <c r="BDL1529"/>
      <c r="BDM1529"/>
      <c r="BDN1529"/>
      <c r="BDO1529"/>
      <c r="BDP1529"/>
      <c r="BDQ1529"/>
      <c r="BDR1529"/>
      <c r="BDS1529"/>
      <c r="BDT1529"/>
      <c r="BDU1529"/>
      <c r="BDV1529"/>
      <c r="BDW1529"/>
      <c r="BDX1529"/>
      <c r="BDY1529"/>
      <c r="BDZ1529"/>
      <c r="BEA1529"/>
      <c r="BEB1529"/>
      <c r="BEC1529"/>
      <c r="BED1529"/>
      <c r="BEE1529"/>
      <c r="BEF1529"/>
      <c r="BEG1529"/>
      <c r="BEH1529"/>
      <c r="BEI1529"/>
      <c r="BEJ1529"/>
      <c r="BEK1529"/>
      <c r="BEL1529"/>
      <c r="BEM1529"/>
      <c r="BEN1529"/>
      <c r="BEO1529"/>
      <c r="BEP1529"/>
      <c r="BEQ1529"/>
      <c r="BER1529"/>
      <c r="BES1529"/>
      <c r="BET1529"/>
      <c r="BEU1529"/>
      <c r="BEV1529"/>
      <c r="BEW1529"/>
      <c r="BEX1529"/>
      <c r="BEY1529"/>
      <c r="BEZ1529"/>
      <c r="BFA1529"/>
      <c r="BFB1529"/>
      <c r="BFC1529"/>
      <c r="BFD1529"/>
      <c r="BFE1529"/>
      <c r="BFF1529"/>
      <c r="BFG1529"/>
      <c r="BFH1529"/>
      <c r="BFI1529"/>
      <c r="BFJ1529"/>
      <c r="BFK1529"/>
      <c r="BFL1529"/>
      <c r="BFM1529"/>
      <c r="BFN1529"/>
      <c r="BFO1529"/>
      <c r="BFP1529"/>
      <c r="BFQ1529"/>
      <c r="BFR1529"/>
      <c r="BFS1529"/>
      <c r="BFT1529"/>
      <c r="BFU1529"/>
      <c r="BFV1529"/>
      <c r="BFW1529"/>
      <c r="BFX1529"/>
      <c r="BFY1529"/>
      <c r="BFZ1529"/>
      <c r="BGA1529"/>
      <c r="BGB1529"/>
      <c r="BGC1529"/>
      <c r="BGD1529"/>
      <c r="BGE1529"/>
      <c r="BGF1529"/>
      <c r="BGG1529"/>
      <c r="BGH1529"/>
      <c r="BGI1529"/>
      <c r="BGJ1529"/>
      <c r="BGK1529"/>
      <c r="BGL1529"/>
      <c r="BGM1529"/>
      <c r="BGN1529"/>
      <c r="BGO1529"/>
      <c r="BGP1529"/>
      <c r="BGQ1529"/>
      <c r="BGR1529"/>
      <c r="BGS1529"/>
      <c r="BGT1529"/>
      <c r="BGU1529"/>
      <c r="BGV1529"/>
      <c r="BGW1529"/>
      <c r="BGX1529"/>
      <c r="BGY1529"/>
      <c r="BGZ1529"/>
      <c r="BHA1529"/>
      <c r="BHB1529"/>
      <c r="BHC1529"/>
      <c r="BHD1529"/>
      <c r="BHE1529"/>
      <c r="BHF1529"/>
      <c r="BHG1529"/>
      <c r="BHH1529"/>
      <c r="BHI1529"/>
      <c r="BHJ1529"/>
      <c r="BHK1529"/>
      <c r="BHL1529"/>
      <c r="BHM1529"/>
      <c r="BHN1529"/>
      <c r="BHO1529"/>
      <c r="BHP1529"/>
      <c r="BHQ1529"/>
      <c r="BHR1529"/>
      <c r="BHS1529"/>
      <c r="BHT1529"/>
      <c r="BHU1529"/>
      <c r="BHV1529"/>
      <c r="BHW1529"/>
      <c r="BHX1529"/>
      <c r="BHY1529"/>
      <c r="BHZ1529"/>
      <c r="BIA1529"/>
      <c r="BIB1529"/>
      <c r="BIC1529"/>
      <c r="BID1529"/>
      <c r="BIE1529"/>
      <c r="BIF1529"/>
      <c r="BIG1529"/>
      <c r="BIH1529"/>
      <c r="BII1529"/>
      <c r="BIJ1529"/>
      <c r="BIK1529"/>
      <c r="BIL1529"/>
      <c r="BIM1529"/>
      <c r="BIN1529"/>
      <c r="BIO1529"/>
      <c r="BIP1529"/>
      <c r="BIQ1529"/>
      <c r="BIR1529"/>
      <c r="BIS1529"/>
      <c r="BIT1529"/>
      <c r="BIU1529"/>
      <c r="BIV1529"/>
      <c r="BIW1529"/>
      <c r="BIX1529"/>
      <c r="BIY1529"/>
      <c r="BIZ1529"/>
      <c r="BJA1529"/>
      <c r="BJB1529"/>
      <c r="BJC1529"/>
      <c r="BJD1529"/>
      <c r="BJE1529"/>
      <c r="BJF1529"/>
      <c r="BJG1529"/>
      <c r="BJH1529"/>
      <c r="BJI1529"/>
      <c r="BJJ1529"/>
      <c r="BJK1529"/>
      <c r="BJL1529"/>
      <c r="BJM1529"/>
      <c r="BJN1529"/>
      <c r="BJO1529"/>
      <c r="BJP1529"/>
      <c r="BJQ1529"/>
      <c r="BJR1529"/>
      <c r="BJS1529"/>
      <c r="BJT1529"/>
      <c r="BJU1529"/>
      <c r="BJV1529"/>
      <c r="BJW1529"/>
      <c r="BJX1529"/>
      <c r="BJY1529"/>
      <c r="BJZ1529"/>
      <c r="BKA1529"/>
      <c r="BKB1529"/>
      <c r="BKC1529"/>
      <c r="BKD1529"/>
      <c r="BKE1529"/>
      <c r="BKF1529"/>
      <c r="BKG1529"/>
      <c r="BKH1529"/>
      <c r="BKI1529"/>
      <c r="BKJ1529"/>
      <c r="BKK1529"/>
      <c r="BKL1529"/>
      <c r="BKM1529"/>
      <c r="BKN1529"/>
      <c r="BKO1529"/>
      <c r="BKP1529"/>
      <c r="BKQ1529"/>
      <c r="BKR1529"/>
      <c r="BKS1529"/>
      <c r="BKT1529"/>
      <c r="BKU1529"/>
      <c r="BKV1529"/>
      <c r="BKW1529"/>
      <c r="BKX1529"/>
      <c r="BKY1529"/>
      <c r="BKZ1529"/>
      <c r="BLA1529"/>
      <c r="BLB1529"/>
      <c r="BLC1529"/>
      <c r="BLD1529"/>
      <c r="BLE1529"/>
      <c r="BLF1529"/>
      <c r="BLG1529"/>
      <c r="BLH1529"/>
      <c r="BLI1529"/>
      <c r="BLJ1529"/>
      <c r="BLK1529"/>
      <c r="BLL1529"/>
      <c r="BLM1529"/>
      <c r="BLN1529"/>
      <c r="BLO1529"/>
      <c r="BLP1529"/>
      <c r="BLQ1529"/>
      <c r="BLR1529"/>
      <c r="BLS1529"/>
      <c r="BLT1529"/>
      <c r="BLU1529"/>
      <c r="BLV1529"/>
      <c r="BLW1529"/>
      <c r="BLX1529"/>
      <c r="BLY1529"/>
      <c r="BLZ1529"/>
      <c r="BMA1529"/>
      <c r="BMB1529"/>
      <c r="BMC1529"/>
      <c r="BMD1529"/>
      <c r="BME1529"/>
      <c r="BMF1529"/>
      <c r="BMG1529"/>
      <c r="BMH1529"/>
      <c r="BMI1529"/>
      <c r="BMJ1529"/>
      <c r="BMK1529"/>
      <c r="BML1529"/>
      <c r="BMM1529"/>
      <c r="BMN1529"/>
      <c r="BMO1529"/>
      <c r="BMP1529"/>
      <c r="BMQ1529"/>
      <c r="BMR1529"/>
      <c r="BMS1529"/>
      <c r="BMT1529"/>
      <c r="BMU1529"/>
      <c r="BMV1529"/>
      <c r="BMW1529"/>
      <c r="BMX1529"/>
      <c r="BMY1529"/>
      <c r="BMZ1529"/>
      <c r="BNA1529"/>
      <c r="BNB1529"/>
      <c r="BNC1529"/>
      <c r="BND1529"/>
      <c r="BNE1529"/>
      <c r="BNF1529"/>
      <c r="BNG1529"/>
      <c r="BNH1529"/>
      <c r="BNI1529"/>
      <c r="BNJ1529"/>
      <c r="BNK1529"/>
      <c r="BNL1529"/>
      <c r="BNM1529"/>
      <c r="BNN1529"/>
      <c r="BNO1529"/>
      <c r="BNP1529"/>
      <c r="BNQ1529"/>
      <c r="BNR1529"/>
      <c r="BNS1529"/>
      <c r="BNT1529"/>
      <c r="BNU1529"/>
      <c r="BNV1529"/>
      <c r="BNW1529"/>
      <c r="BNX1529"/>
      <c r="BNY1529"/>
      <c r="BNZ1529"/>
      <c r="BOA1529"/>
      <c r="BOB1529"/>
      <c r="BOC1529"/>
      <c r="BOD1529"/>
      <c r="BOE1529"/>
      <c r="BOF1529"/>
      <c r="BOG1529"/>
      <c r="BOH1529"/>
      <c r="BOI1529"/>
      <c r="BOJ1529"/>
      <c r="BOK1529"/>
      <c r="BOL1529"/>
      <c r="BOM1529"/>
      <c r="BON1529"/>
      <c r="BOO1529"/>
      <c r="BOP1529"/>
      <c r="BOQ1529"/>
      <c r="BOR1529"/>
      <c r="BOS1529"/>
      <c r="BOT1529"/>
      <c r="BOU1529"/>
      <c r="BOV1529"/>
      <c r="BOW1529"/>
      <c r="BOX1529"/>
      <c r="BOY1529"/>
      <c r="BOZ1529"/>
      <c r="BPA1529"/>
      <c r="BPB1529"/>
      <c r="BPC1529"/>
      <c r="BPD1529"/>
      <c r="BPE1529"/>
      <c r="BPF1529"/>
      <c r="BPG1529"/>
      <c r="BPH1529"/>
      <c r="BPI1529"/>
      <c r="BPJ1529"/>
      <c r="BPK1529"/>
      <c r="BPL1529"/>
      <c r="BPM1529"/>
      <c r="BPN1529"/>
      <c r="BPO1529"/>
      <c r="BPP1529"/>
      <c r="BPQ1529"/>
      <c r="BPR1529"/>
      <c r="BPS1529"/>
      <c r="BPT1529"/>
      <c r="BPU1529"/>
      <c r="BPV1529"/>
      <c r="BPW1529"/>
      <c r="BPX1529"/>
      <c r="BPY1529"/>
      <c r="BPZ1529"/>
      <c r="BQA1529"/>
      <c r="BQB1529"/>
      <c r="BQC1529"/>
      <c r="BQD1529"/>
      <c r="BQE1529"/>
      <c r="BQF1529"/>
      <c r="BQG1529"/>
      <c r="BQH1529"/>
      <c r="BQI1529"/>
      <c r="BQJ1529"/>
      <c r="BQK1529"/>
      <c r="BQL1529"/>
      <c r="BQM1529"/>
      <c r="BQN1529"/>
      <c r="BQO1529"/>
      <c r="BQP1529"/>
      <c r="BQQ1529"/>
      <c r="BQR1529"/>
      <c r="BQS1529"/>
      <c r="BQT1529"/>
      <c r="BQU1529"/>
      <c r="BQV1529"/>
      <c r="BQW1529"/>
      <c r="BQX1529"/>
      <c r="BQY1529"/>
      <c r="BQZ1529"/>
      <c r="BRA1529"/>
      <c r="BRB1529"/>
      <c r="BRC1529"/>
      <c r="BRD1529"/>
      <c r="BRE1529"/>
      <c r="BRF1529"/>
      <c r="BRG1529"/>
      <c r="BRH1529"/>
      <c r="BRI1529"/>
      <c r="BRJ1529"/>
      <c r="BRK1529"/>
      <c r="BRL1529"/>
      <c r="BRM1529"/>
      <c r="BRN1529"/>
      <c r="BRO1529"/>
      <c r="BRP1529"/>
      <c r="BRQ1529"/>
      <c r="BRR1529"/>
      <c r="BRS1529"/>
      <c r="BRT1529"/>
      <c r="BRU1529"/>
      <c r="BRV1529"/>
      <c r="BRW1529"/>
      <c r="BRX1529"/>
      <c r="BRY1529"/>
      <c r="BRZ1529"/>
      <c r="BSA1529"/>
      <c r="BSB1529"/>
      <c r="BSC1529"/>
      <c r="BSD1529"/>
      <c r="BSE1529"/>
      <c r="BSF1529"/>
      <c r="BSG1529"/>
      <c r="BSH1529"/>
      <c r="BSI1529"/>
      <c r="BSJ1529"/>
      <c r="BSK1529"/>
      <c r="BSL1529"/>
      <c r="BSM1529"/>
      <c r="BSN1529"/>
      <c r="BSO1529"/>
      <c r="BSP1529"/>
      <c r="BSQ1529"/>
      <c r="BSR1529"/>
      <c r="BSS1529"/>
      <c r="BST1529"/>
      <c r="BSU1529"/>
      <c r="BSV1529"/>
      <c r="BSW1529"/>
      <c r="BSX1529"/>
      <c r="BSY1529"/>
      <c r="BSZ1529"/>
      <c r="BTA1529"/>
      <c r="BTB1529"/>
      <c r="BTC1529"/>
      <c r="BTD1529"/>
      <c r="BTE1529"/>
      <c r="BTF1529"/>
      <c r="BTG1529"/>
      <c r="BTH1529"/>
      <c r="BTI1529"/>
      <c r="BTJ1529"/>
      <c r="BTK1529"/>
      <c r="BTL1529"/>
      <c r="BTM1529"/>
      <c r="BTN1529"/>
      <c r="BTO1529"/>
      <c r="BTP1529"/>
      <c r="BTQ1529"/>
      <c r="BTR1529"/>
      <c r="BTS1529"/>
      <c r="BTT1529"/>
      <c r="BTU1529"/>
      <c r="BTV1529"/>
      <c r="BTW1529"/>
      <c r="BTX1529"/>
      <c r="BTY1529"/>
      <c r="BTZ1529"/>
      <c r="BUA1529"/>
      <c r="BUB1529"/>
      <c r="BUC1529"/>
      <c r="BUD1529"/>
      <c r="BUE1529"/>
      <c r="BUF1529"/>
      <c r="BUG1529"/>
      <c r="BUH1529"/>
      <c r="BUI1529"/>
      <c r="BUJ1529"/>
      <c r="BUK1529"/>
      <c r="BUL1529"/>
      <c r="BUM1529"/>
      <c r="BUN1529"/>
      <c r="BUO1529"/>
      <c r="BUP1529"/>
      <c r="BUQ1529"/>
      <c r="BUR1529"/>
      <c r="BUS1529"/>
      <c r="BUT1529"/>
      <c r="BUU1529"/>
      <c r="BUV1529"/>
      <c r="BUW1529"/>
      <c r="BUX1529"/>
      <c r="BUY1529"/>
      <c r="BUZ1529"/>
      <c r="BVA1529"/>
      <c r="BVB1529"/>
      <c r="BVC1529"/>
      <c r="BVD1529"/>
      <c r="BVE1529"/>
      <c r="BVF1529"/>
      <c r="BVG1529"/>
      <c r="BVH1529"/>
      <c r="BVI1529"/>
      <c r="BVJ1529"/>
      <c r="BVK1529"/>
      <c r="BVL1529"/>
      <c r="BVM1529"/>
      <c r="BVN1529"/>
      <c r="BVO1529"/>
      <c r="BVP1529"/>
      <c r="BVQ1529"/>
      <c r="BVR1529"/>
      <c r="BVS1529"/>
      <c r="BVT1529"/>
      <c r="BVU1529"/>
      <c r="BVV1529"/>
      <c r="BVW1529"/>
      <c r="BVX1529"/>
      <c r="BVY1529"/>
      <c r="BVZ1529"/>
      <c r="BWA1529"/>
      <c r="BWB1529"/>
      <c r="BWC1529"/>
      <c r="BWD1529"/>
      <c r="BWE1529"/>
      <c r="BWF1529"/>
      <c r="BWG1529"/>
      <c r="BWH1529"/>
      <c r="BWI1529"/>
      <c r="BWJ1529"/>
      <c r="BWK1529"/>
      <c r="BWL1529"/>
      <c r="BWM1529"/>
      <c r="BWN1529"/>
      <c r="BWO1529"/>
      <c r="BWP1529"/>
      <c r="BWQ1529"/>
      <c r="BWR1529"/>
      <c r="BWS1529"/>
      <c r="BWT1529"/>
      <c r="BWU1529"/>
      <c r="BWV1529"/>
      <c r="BWW1529"/>
      <c r="BWX1529"/>
      <c r="BWY1529"/>
      <c r="BWZ1529"/>
      <c r="BXA1529"/>
      <c r="BXB1529"/>
      <c r="BXC1529"/>
      <c r="BXD1529"/>
      <c r="BXE1529"/>
      <c r="BXF1529"/>
      <c r="BXG1529"/>
      <c r="BXH1529"/>
      <c r="BXI1529"/>
      <c r="BXJ1529"/>
      <c r="BXK1529"/>
      <c r="BXL1529"/>
      <c r="BXM1529"/>
      <c r="BXN1529"/>
      <c r="BXO1529"/>
      <c r="BXP1529"/>
      <c r="BXQ1529"/>
      <c r="BXR1529"/>
      <c r="BXS1529"/>
      <c r="BXT1529"/>
      <c r="BXU1529"/>
      <c r="BXV1529"/>
      <c r="BXW1529"/>
      <c r="BXX1529"/>
      <c r="BXY1529"/>
      <c r="BXZ1529"/>
      <c r="BYA1529"/>
      <c r="BYB1529"/>
      <c r="BYC1529"/>
      <c r="BYD1529"/>
      <c r="BYE1529"/>
      <c r="BYF1529"/>
      <c r="BYG1529"/>
      <c r="BYH1529"/>
      <c r="BYI1529"/>
      <c r="BYJ1529"/>
      <c r="BYK1529"/>
      <c r="BYL1529"/>
      <c r="BYM1529"/>
      <c r="BYN1529"/>
      <c r="BYO1529"/>
      <c r="BYP1529"/>
      <c r="BYQ1529"/>
      <c r="BYR1529"/>
      <c r="BYS1529"/>
      <c r="BYT1529"/>
      <c r="BYU1529"/>
      <c r="BYV1529"/>
      <c r="BYW1529"/>
      <c r="BYX1529"/>
      <c r="BYY1529"/>
      <c r="BYZ1529"/>
      <c r="BZA1529"/>
      <c r="BZB1529"/>
      <c r="BZC1529"/>
      <c r="BZD1529"/>
      <c r="BZE1529"/>
      <c r="BZF1529"/>
      <c r="BZG1529"/>
      <c r="BZH1529"/>
      <c r="BZI1529"/>
      <c r="BZJ1529"/>
      <c r="BZK1529"/>
      <c r="BZL1529"/>
      <c r="BZM1529"/>
      <c r="BZN1529"/>
      <c r="BZO1529"/>
      <c r="BZP1529"/>
      <c r="BZQ1529"/>
      <c r="BZR1529"/>
      <c r="BZS1529"/>
      <c r="BZT1529"/>
      <c r="BZU1529"/>
      <c r="BZV1529"/>
      <c r="BZW1529"/>
      <c r="BZX1529"/>
      <c r="BZY1529"/>
      <c r="BZZ1529"/>
      <c r="CAA1529"/>
      <c r="CAB1529"/>
      <c r="CAC1529"/>
      <c r="CAD1529"/>
      <c r="CAE1529"/>
      <c r="CAF1529"/>
      <c r="CAG1529"/>
      <c r="CAH1529"/>
      <c r="CAI1529"/>
      <c r="CAJ1529"/>
      <c r="CAK1529"/>
      <c r="CAL1529"/>
      <c r="CAM1529"/>
      <c r="CAN1529"/>
      <c r="CAO1529"/>
      <c r="CAP1529"/>
      <c r="CAQ1529"/>
      <c r="CAR1529"/>
      <c r="CAS1529"/>
      <c r="CAT1529"/>
      <c r="CAU1529"/>
      <c r="CAV1529"/>
      <c r="CAW1529"/>
      <c r="CAX1529"/>
      <c r="CAY1529"/>
      <c r="CAZ1529"/>
      <c r="CBA1529"/>
      <c r="CBB1529"/>
      <c r="CBC1529"/>
      <c r="CBD1529"/>
      <c r="CBE1529"/>
      <c r="CBF1529"/>
      <c r="CBG1529"/>
      <c r="CBH1529"/>
      <c r="CBI1529"/>
      <c r="CBJ1529"/>
      <c r="CBK1529"/>
      <c r="CBL1529"/>
      <c r="CBM1529"/>
      <c r="CBN1529"/>
      <c r="CBO1529"/>
      <c r="CBP1529"/>
      <c r="CBQ1529"/>
      <c r="CBR1529"/>
      <c r="CBS1529"/>
      <c r="CBT1529"/>
      <c r="CBU1529"/>
      <c r="CBV1529"/>
      <c r="CBW1529"/>
      <c r="CBX1529"/>
      <c r="CBY1529"/>
      <c r="CBZ1529"/>
      <c r="CCA1529"/>
      <c r="CCB1529"/>
      <c r="CCC1529"/>
      <c r="CCD1529"/>
      <c r="CCE1529"/>
      <c r="CCF1529"/>
      <c r="CCG1529"/>
      <c r="CCH1529"/>
      <c r="CCI1529"/>
      <c r="CCJ1529"/>
      <c r="CCK1529"/>
      <c r="CCL1529"/>
      <c r="CCM1529"/>
      <c r="CCN1529"/>
      <c r="CCO1529"/>
      <c r="CCP1529"/>
      <c r="CCQ1529"/>
      <c r="CCR1529"/>
      <c r="CCS1529"/>
      <c r="CCT1529"/>
      <c r="CCU1529"/>
      <c r="CCV1529"/>
      <c r="CCW1529"/>
      <c r="CCX1529"/>
      <c r="CCY1529"/>
      <c r="CCZ1529"/>
      <c r="CDA1529"/>
      <c r="CDB1529"/>
      <c r="CDC1529"/>
      <c r="CDD1529"/>
      <c r="CDE1529"/>
      <c r="CDF1529"/>
      <c r="CDG1529"/>
      <c r="CDH1529"/>
      <c r="CDI1529"/>
      <c r="CDJ1529"/>
      <c r="CDK1529"/>
      <c r="CDL1529"/>
      <c r="CDM1529"/>
      <c r="CDN1529"/>
      <c r="CDO1529"/>
      <c r="CDP1529"/>
      <c r="CDQ1529"/>
      <c r="CDR1529"/>
      <c r="CDS1529"/>
      <c r="CDT1529"/>
      <c r="CDU1529"/>
      <c r="CDV1529"/>
      <c r="CDW1529"/>
      <c r="CDX1529"/>
      <c r="CDY1529"/>
      <c r="CDZ1529"/>
      <c r="CEA1529"/>
      <c r="CEB1529"/>
      <c r="CEC1529"/>
      <c r="CED1529"/>
      <c r="CEE1529"/>
      <c r="CEF1529"/>
      <c r="CEG1529"/>
      <c r="CEH1529"/>
      <c r="CEI1529"/>
      <c r="CEJ1529"/>
      <c r="CEK1529"/>
      <c r="CEL1529"/>
      <c r="CEM1529"/>
      <c r="CEN1529"/>
      <c r="CEO1529"/>
      <c r="CEP1529"/>
      <c r="CEQ1529"/>
      <c r="CER1529"/>
      <c r="CES1529"/>
      <c r="CET1529"/>
      <c r="CEU1529"/>
      <c r="CEV1529"/>
      <c r="CEW1529"/>
      <c r="CEX1529"/>
      <c r="CEY1529"/>
      <c r="CEZ1529"/>
      <c r="CFA1529"/>
      <c r="CFB1529"/>
      <c r="CFC1529"/>
      <c r="CFD1529"/>
      <c r="CFE1529"/>
      <c r="CFF1529"/>
      <c r="CFG1529"/>
      <c r="CFH1529"/>
      <c r="CFI1529"/>
      <c r="CFJ1529"/>
      <c r="CFK1529"/>
      <c r="CFL1529"/>
      <c r="CFM1529"/>
      <c r="CFN1529"/>
      <c r="CFO1529"/>
      <c r="CFP1529"/>
      <c r="CFQ1529"/>
      <c r="CFR1529"/>
      <c r="CFS1529"/>
      <c r="CFT1529"/>
      <c r="CFU1529"/>
      <c r="CFV1529"/>
      <c r="CFW1529"/>
      <c r="CFX1529"/>
      <c r="CFY1529"/>
      <c r="CFZ1529"/>
      <c r="CGA1529"/>
      <c r="CGB1529"/>
      <c r="CGC1529"/>
      <c r="CGD1529"/>
      <c r="CGE1529"/>
      <c r="CGF1529"/>
      <c r="CGG1529"/>
      <c r="CGH1529"/>
      <c r="CGI1529"/>
      <c r="CGJ1529"/>
      <c r="CGK1529"/>
      <c r="CGL1529"/>
      <c r="CGM1529"/>
      <c r="CGN1529"/>
      <c r="CGO1529"/>
      <c r="CGP1529"/>
      <c r="CGQ1529"/>
      <c r="CGR1529"/>
      <c r="CGS1529"/>
      <c r="CGT1529"/>
      <c r="CGU1529"/>
      <c r="CGV1529"/>
      <c r="CGW1529"/>
      <c r="CGX1529"/>
      <c r="CGY1529"/>
      <c r="CGZ1529"/>
      <c r="CHA1529"/>
      <c r="CHB1529"/>
      <c r="CHC1529"/>
      <c r="CHD1529"/>
      <c r="CHE1529"/>
      <c r="CHF1529"/>
      <c r="CHG1529"/>
      <c r="CHH1529"/>
      <c r="CHI1529"/>
      <c r="CHJ1529"/>
      <c r="CHK1529"/>
      <c r="CHL1529"/>
      <c r="CHM1529"/>
      <c r="CHN1529"/>
      <c r="CHO1529"/>
      <c r="CHP1529"/>
      <c r="CHQ1529"/>
      <c r="CHR1529"/>
      <c r="CHS1529"/>
      <c r="CHT1529"/>
      <c r="CHU1529"/>
      <c r="CHV1529"/>
      <c r="CHW1529"/>
      <c r="CHX1529"/>
      <c r="CHY1529"/>
      <c r="CHZ1529"/>
      <c r="CIA1529"/>
      <c r="CIB1529"/>
      <c r="CIC1529"/>
      <c r="CID1529"/>
      <c r="CIE1529"/>
      <c r="CIF1529"/>
      <c r="CIG1529"/>
      <c r="CIH1529"/>
      <c r="CII1529"/>
      <c r="CIJ1529"/>
      <c r="CIK1529"/>
      <c r="CIL1529"/>
      <c r="CIM1529"/>
      <c r="CIN1529"/>
      <c r="CIO1529"/>
      <c r="CIP1529"/>
      <c r="CIQ1529"/>
      <c r="CIR1529"/>
      <c r="CIS1529"/>
      <c r="CIT1529"/>
      <c r="CIU1529"/>
      <c r="CIV1529"/>
      <c r="CIW1529"/>
      <c r="CIX1529"/>
      <c r="CIY1529"/>
      <c r="CIZ1529"/>
      <c r="CJA1529"/>
      <c r="CJB1529"/>
      <c r="CJC1529"/>
      <c r="CJD1529"/>
      <c r="CJE1529"/>
      <c r="CJF1529"/>
      <c r="CJG1529"/>
      <c r="CJH1529"/>
      <c r="CJI1529"/>
      <c r="CJJ1529"/>
      <c r="CJK1529"/>
      <c r="CJL1529"/>
      <c r="CJM1529"/>
      <c r="CJN1529"/>
      <c r="CJO1529"/>
      <c r="CJP1529"/>
      <c r="CJQ1529"/>
      <c r="CJR1529"/>
      <c r="CJS1529"/>
      <c r="CJT1529"/>
      <c r="CJU1529"/>
      <c r="CJV1529"/>
      <c r="CJW1529"/>
      <c r="CJX1529"/>
      <c r="CJY1529"/>
      <c r="CJZ1529"/>
      <c r="CKA1529"/>
      <c r="CKB1529"/>
      <c r="CKC1529"/>
      <c r="CKD1529"/>
      <c r="CKE1529"/>
      <c r="CKF1529"/>
      <c r="CKG1529"/>
      <c r="CKH1529"/>
      <c r="CKI1529"/>
      <c r="CKJ1529"/>
      <c r="CKK1529"/>
      <c r="CKL1529"/>
      <c r="CKM1529"/>
      <c r="CKN1529"/>
      <c r="CKO1529"/>
      <c r="CKP1529"/>
      <c r="CKQ1529"/>
      <c r="CKR1529"/>
      <c r="CKS1529"/>
      <c r="CKT1529"/>
      <c r="CKU1529"/>
      <c r="CKV1529"/>
      <c r="CKW1529"/>
      <c r="CKX1529"/>
      <c r="CKY1529"/>
      <c r="CKZ1529"/>
      <c r="CLA1529"/>
      <c r="CLB1529"/>
      <c r="CLC1529"/>
      <c r="CLD1529"/>
      <c r="CLE1529"/>
      <c r="CLF1529"/>
      <c r="CLG1529"/>
      <c r="CLH1529"/>
      <c r="CLI1529"/>
      <c r="CLJ1529"/>
      <c r="CLK1529"/>
      <c r="CLL1529"/>
      <c r="CLM1529"/>
      <c r="CLN1529"/>
      <c r="CLO1529"/>
      <c r="CLP1529"/>
      <c r="CLQ1529"/>
      <c r="CLR1529"/>
      <c r="CLS1529"/>
      <c r="CLT1529"/>
      <c r="CLU1529"/>
      <c r="CLV1529"/>
      <c r="CLW1529"/>
      <c r="CLX1529"/>
      <c r="CLY1529"/>
      <c r="CLZ1529"/>
      <c r="CMA1529"/>
      <c r="CMB1529"/>
      <c r="CMC1529"/>
      <c r="CMD1529"/>
      <c r="CME1529"/>
      <c r="CMF1529"/>
      <c r="CMG1529"/>
      <c r="CMH1529"/>
      <c r="CMI1529"/>
      <c r="CMJ1529"/>
      <c r="CMK1529"/>
      <c r="CML1529"/>
      <c r="CMM1529"/>
      <c r="CMN1529"/>
      <c r="CMO1529"/>
      <c r="CMP1529"/>
      <c r="CMQ1529"/>
      <c r="CMR1529"/>
      <c r="CMS1529"/>
      <c r="CMT1529"/>
      <c r="CMU1529"/>
      <c r="CMV1529"/>
      <c r="CMW1529"/>
      <c r="CMX1529"/>
      <c r="CMY1529"/>
      <c r="CMZ1529"/>
      <c r="CNA1529"/>
      <c r="CNB1529"/>
      <c r="CNC1529"/>
      <c r="CND1529"/>
      <c r="CNE1529"/>
      <c r="CNF1529"/>
      <c r="CNG1529"/>
      <c r="CNH1529"/>
      <c r="CNI1529"/>
      <c r="CNJ1529"/>
      <c r="CNK1529"/>
      <c r="CNL1529"/>
      <c r="CNM1529"/>
      <c r="CNN1529"/>
      <c r="CNO1529"/>
      <c r="CNP1529"/>
      <c r="CNQ1529"/>
      <c r="CNR1529"/>
      <c r="CNS1529"/>
      <c r="CNT1529"/>
      <c r="CNU1529"/>
      <c r="CNV1529"/>
      <c r="CNW1529"/>
      <c r="CNX1529"/>
      <c r="CNY1529"/>
      <c r="CNZ1529"/>
      <c r="COA1529"/>
      <c r="COB1529"/>
      <c r="COC1529"/>
      <c r="COD1529"/>
      <c r="COE1529"/>
      <c r="COF1529"/>
      <c r="COG1529"/>
      <c r="COH1529"/>
      <c r="COI1529"/>
      <c r="COJ1529"/>
      <c r="COK1529"/>
      <c r="COL1529"/>
      <c r="COM1529"/>
      <c r="CON1529"/>
      <c r="COO1529"/>
      <c r="COP1529"/>
      <c r="COQ1529"/>
      <c r="COR1529"/>
      <c r="COS1529"/>
      <c r="COT1529"/>
      <c r="COU1529"/>
      <c r="COV1529"/>
      <c r="COW1529"/>
      <c r="COX1529"/>
      <c r="COY1529"/>
      <c r="COZ1529"/>
      <c r="CPA1529"/>
      <c r="CPB1529"/>
      <c r="CPC1529"/>
      <c r="CPD1529"/>
      <c r="CPE1529"/>
      <c r="CPF1529"/>
      <c r="CPG1529"/>
      <c r="CPH1529"/>
      <c r="CPI1529"/>
      <c r="CPJ1529"/>
      <c r="CPK1529"/>
      <c r="CPL1529"/>
      <c r="CPM1529"/>
      <c r="CPN1529"/>
      <c r="CPO1529"/>
      <c r="CPP1529"/>
      <c r="CPQ1529"/>
      <c r="CPR1529"/>
      <c r="CPS1529"/>
      <c r="CPT1529"/>
      <c r="CPU1529"/>
      <c r="CPV1529"/>
      <c r="CPW1529"/>
      <c r="CPX1529"/>
      <c r="CPY1529"/>
      <c r="CPZ1529"/>
      <c r="CQA1529"/>
      <c r="CQB1529"/>
      <c r="CQC1529"/>
      <c r="CQD1529"/>
      <c r="CQE1529"/>
      <c r="CQF1529"/>
      <c r="CQG1529"/>
      <c r="CQH1529"/>
      <c r="CQI1529"/>
      <c r="CQJ1529"/>
      <c r="CQK1529"/>
      <c r="CQL1529"/>
      <c r="CQM1529"/>
      <c r="CQN1529"/>
      <c r="CQO1529"/>
      <c r="CQP1529"/>
      <c r="CQQ1529"/>
      <c r="CQR1529"/>
      <c r="CQS1529"/>
      <c r="CQT1529"/>
      <c r="CQU1529"/>
      <c r="CQV1529"/>
      <c r="CQW1529"/>
      <c r="CQX1529"/>
      <c r="CQY1529"/>
      <c r="CQZ1529"/>
      <c r="CRA1529"/>
      <c r="CRB1529"/>
      <c r="CRC1529"/>
      <c r="CRD1529"/>
      <c r="CRE1529"/>
      <c r="CRF1529"/>
      <c r="CRG1529"/>
      <c r="CRH1529"/>
      <c r="CRI1529"/>
      <c r="CRJ1529"/>
      <c r="CRK1529"/>
      <c r="CRL1529"/>
      <c r="CRM1529"/>
      <c r="CRN1529"/>
      <c r="CRO1529"/>
      <c r="CRP1529"/>
      <c r="CRQ1529"/>
      <c r="CRR1529"/>
      <c r="CRS1529"/>
      <c r="CRT1529"/>
      <c r="CRU1529"/>
      <c r="CRV1529"/>
      <c r="CRW1529"/>
      <c r="CRX1529"/>
      <c r="CRY1529"/>
      <c r="CRZ1529"/>
      <c r="CSA1529"/>
      <c r="CSB1529"/>
      <c r="CSC1529"/>
      <c r="CSD1529"/>
      <c r="CSE1529"/>
      <c r="CSF1529"/>
      <c r="CSG1529"/>
      <c r="CSH1529"/>
      <c r="CSI1529"/>
      <c r="CSJ1529"/>
      <c r="CSK1529"/>
      <c r="CSL1529"/>
      <c r="CSM1529"/>
      <c r="CSN1529"/>
      <c r="CSO1529"/>
      <c r="CSP1529"/>
      <c r="CSQ1529"/>
      <c r="CSR1529"/>
      <c r="CSS1529"/>
      <c r="CST1529"/>
      <c r="CSU1529"/>
      <c r="CSV1529"/>
      <c r="CSW1529"/>
      <c r="CSX1529"/>
      <c r="CSY1529"/>
      <c r="CSZ1529"/>
      <c r="CTA1529"/>
      <c r="CTB1529"/>
      <c r="CTC1529"/>
      <c r="CTD1529"/>
      <c r="CTE1529"/>
      <c r="CTF1529"/>
      <c r="CTG1529"/>
      <c r="CTH1529"/>
      <c r="CTI1529"/>
      <c r="CTJ1529"/>
      <c r="CTK1529"/>
      <c r="CTL1529"/>
      <c r="CTM1529"/>
      <c r="CTN1529"/>
      <c r="CTO1529"/>
      <c r="CTP1529"/>
      <c r="CTQ1529"/>
      <c r="CTR1529"/>
      <c r="CTS1529"/>
      <c r="CTT1529"/>
      <c r="CTU1529"/>
      <c r="CTV1529"/>
      <c r="CTW1529"/>
      <c r="CTX1529"/>
      <c r="CTY1529"/>
      <c r="CTZ1529"/>
      <c r="CUA1529"/>
      <c r="CUB1529"/>
      <c r="CUC1529"/>
      <c r="CUD1529"/>
      <c r="CUE1529"/>
      <c r="CUF1529"/>
      <c r="CUG1529"/>
      <c r="CUH1529"/>
      <c r="CUI1529"/>
      <c r="CUJ1529"/>
      <c r="CUK1529"/>
      <c r="CUL1529"/>
      <c r="CUM1529"/>
      <c r="CUN1529"/>
      <c r="CUO1529"/>
      <c r="CUP1529"/>
      <c r="CUQ1529"/>
      <c r="CUR1529"/>
      <c r="CUS1529"/>
      <c r="CUT1529"/>
      <c r="CUU1529"/>
      <c r="CUV1529"/>
      <c r="CUW1529"/>
      <c r="CUX1529"/>
      <c r="CUY1529"/>
      <c r="CUZ1529"/>
      <c r="CVA1529"/>
      <c r="CVB1529"/>
      <c r="CVC1529"/>
      <c r="CVD1529"/>
      <c r="CVE1529"/>
      <c r="CVF1529"/>
      <c r="CVG1529"/>
      <c r="CVH1529"/>
      <c r="CVI1529"/>
      <c r="CVJ1529"/>
      <c r="CVK1529"/>
      <c r="CVL1529"/>
      <c r="CVM1529"/>
      <c r="CVN1529"/>
      <c r="CVO1529"/>
      <c r="CVP1529"/>
      <c r="CVQ1529"/>
      <c r="CVR1529"/>
      <c r="CVS1529"/>
      <c r="CVT1529"/>
      <c r="CVU1529"/>
      <c r="CVV1529"/>
      <c r="CVW1529"/>
      <c r="CVX1529"/>
      <c r="CVY1529"/>
      <c r="CVZ1529"/>
      <c r="CWA1529"/>
      <c r="CWB1529"/>
      <c r="CWC1529"/>
      <c r="CWD1529"/>
      <c r="CWE1529"/>
      <c r="CWF1529"/>
      <c r="CWG1529"/>
      <c r="CWH1529"/>
      <c r="CWI1529"/>
      <c r="CWJ1529"/>
      <c r="CWK1529"/>
      <c r="CWL1529"/>
      <c r="CWM1529"/>
      <c r="CWN1529"/>
      <c r="CWO1529"/>
      <c r="CWP1529"/>
      <c r="CWQ1529"/>
      <c r="CWR1529"/>
      <c r="CWS1529"/>
      <c r="CWT1529"/>
      <c r="CWU1529"/>
      <c r="CWV1529"/>
      <c r="CWW1529"/>
      <c r="CWX1529"/>
      <c r="CWY1529"/>
      <c r="CWZ1529"/>
      <c r="CXA1529"/>
      <c r="CXB1529"/>
      <c r="CXC1529"/>
      <c r="CXD1529"/>
      <c r="CXE1529"/>
      <c r="CXF1529"/>
      <c r="CXG1529"/>
      <c r="CXH1529"/>
      <c r="CXI1529"/>
      <c r="CXJ1529"/>
      <c r="CXK1529"/>
      <c r="CXL1529"/>
      <c r="CXM1529"/>
      <c r="CXN1529"/>
      <c r="CXO1529"/>
      <c r="CXP1529"/>
      <c r="CXQ1529"/>
      <c r="CXR1529"/>
      <c r="CXS1529"/>
      <c r="CXT1529"/>
      <c r="CXU1529"/>
      <c r="CXV1529"/>
      <c r="CXW1529"/>
      <c r="CXX1529"/>
      <c r="CXY1529"/>
      <c r="CXZ1529"/>
      <c r="CYA1529"/>
      <c r="CYB1529"/>
      <c r="CYC1529"/>
      <c r="CYD1529"/>
      <c r="CYE1529"/>
      <c r="CYF1529"/>
      <c r="CYG1529"/>
      <c r="CYH1529"/>
      <c r="CYI1529"/>
      <c r="CYJ1529"/>
      <c r="CYK1529"/>
      <c r="CYL1529"/>
      <c r="CYM1529"/>
      <c r="CYN1529"/>
      <c r="CYO1529"/>
      <c r="CYP1529"/>
      <c r="CYQ1529"/>
      <c r="CYR1529"/>
      <c r="CYS1529"/>
      <c r="CYT1529"/>
      <c r="CYU1529"/>
      <c r="CYV1529"/>
      <c r="CYW1529"/>
      <c r="CYX1529"/>
      <c r="CYY1529"/>
      <c r="CYZ1529"/>
      <c r="CZA1529"/>
      <c r="CZB1529"/>
      <c r="CZC1529"/>
      <c r="CZD1529"/>
      <c r="CZE1529"/>
      <c r="CZF1529"/>
      <c r="CZG1529"/>
      <c r="CZH1529"/>
      <c r="CZI1529"/>
      <c r="CZJ1529"/>
      <c r="CZK1529"/>
      <c r="CZL1529"/>
      <c r="CZM1529"/>
      <c r="CZN1529"/>
      <c r="CZO1529"/>
      <c r="CZP1529"/>
      <c r="CZQ1529"/>
      <c r="CZR1529"/>
      <c r="CZS1529"/>
      <c r="CZT1529"/>
      <c r="CZU1529"/>
      <c r="CZV1529"/>
      <c r="CZW1529"/>
      <c r="CZX1529"/>
      <c r="CZY1529"/>
      <c r="CZZ1529"/>
      <c r="DAA1529"/>
      <c r="DAB1529"/>
      <c r="DAC1529"/>
      <c r="DAD1529"/>
      <c r="DAE1529"/>
      <c r="DAF1529"/>
      <c r="DAG1529"/>
      <c r="DAH1529"/>
      <c r="DAI1529"/>
      <c r="DAJ1529"/>
      <c r="DAK1529"/>
      <c r="DAL1529"/>
      <c r="DAM1529"/>
      <c r="DAN1529"/>
      <c r="DAO1529"/>
      <c r="DAP1529"/>
      <c r="DAQ1529"/>
      <c r="DAR1529"/>
      <c r="DAS1529"/>
      <c r="DAT1529"/>
      <c r="DAU1529"/>
      <c r="DAV1529"/>
      <c r="DAW1529"/>
      <c r="DAX1529"/>
      <c r="DAY1529"/>
      <c r="DAZ1529"/>
      <c r="DBA1529"/>
      <c r="DBB1529"/>
      <c r="DBC1529"/>
      <c r="DBD1529"/>
      <c r="DBE1529"/>
      <c r="DBF1529"/>
      <c r="DBG1529"/>
      <c r="DBH1529"/>
      <c r="DBI1529"/>
      <c r="DBJ1529"/>
      <c r="DBK1529"/>
      <c r="DBL1529"/>
      <c r="DBM1529"/>
      <c r="DBN1529"/>
      <c r="DBO1529"/>
      <c r="DBP1529"/>
      <c r="DBQ1529"/>
      <c r="DBR1529"/>
      <c r="DBS1529"/>
      <c r="DBT1529"/>
      <c r="DBU1529"/>
      <c r="DBV1529"/>
      <c r="DBW1529"/>
      <c r="DBX1529"/>
      <c r="DBY1529"/>
      <c r="DBZ1529"/>
      <c r="DCA1529"/>
      <c r="DCB1529"/>
      <c r="DCC1529"/>
      <c r="DCD1529"/>
      <c r="DCE1529"/>
      <c r="DCF1529"/>
      <c r="DCG1529"/>
      <c r="DCH1529"/>
      <c r="DCI1529"/>
      <c r="DCJ1529"/>
      <c r="DCK1529"/>
      <c r="DCL1529"/>
      <c r="DCM1529"/>
      <c r="DCN1529"/>
      <c r="DCO1529"/>
      <c r="DCP1529"/>
      <c r="DCQ1529"/>
      <c r="DCR1529"/>
      <c r="DCS1529"/>
      <c r="DCT1529"/>
      <c r="DCU1529"/>
      <c r="DCV1529"/>
      <c r="DCW1529"/>
      <c r="DCX1529"/>
      <c r="DCY1529"/>
      <c r="DCZ1529"/>
      <c r="DDA1529"/>
      <c r="DDB1529"/>
      <c r="DDC1529"/>
      <c r="DDD1529"/>
      <c r="DDE1529"/>
      <c r="DDF1529"/>
      <c r="DDG1529"/>
      <c r="DDH1529"/>
      <c r="DDI1529"/>
      <c r="DDJ1529"/>
      <c r="DDK1529"/>
      <c r="DDL1529"/>
      <c r="DDM1529"/>
      <c r="DDN1529"/>
      <c r="DDO1529"/>
      <c r="DDP1529"/>
      <c r="DDQ1529"/>
      <c r="DDR1529"/>
      <c r="DDS1529"/>
      <c r="DDT1529"/>
      <c r="DDU1529"/>
      <c r="DDV1529"/>
      <c r="DDW1529"/>
      <c r="DDX1529"/>
      <c r="DDY1529"/>
      <c r="DDZ1529"/>
      <c r="DEA1529"/>
      <c r="DEB1529"/>
      <c r="DEC1529"/>
      <c r="DED1529"/>
      <c r="DEE1529"/>
      <c r="DEF1529"/>
      <c r="DEG1529"/>
      <c r="DEH1529"/>
      <c r="DEI1529"/>
      <c r="DEJ1529"/>
      <c r="DEK1529"/>
      <c r="DEL1529"/>
      <c r="DEM1529"/>
      <c r="DEN1529"/>
      <c r="DEO1529"/>
      <c r="DEP1529"/>
      <c r="DEQ1529"/>
      <c r="DER1529"/>
      <c r="DES1529"/>
      <c r="DET1529"/>
      <c r="DEU1529"/>
      <c r="DEV1529"/>
      <c r="DEW1529"/>
      <c r="DEX1529"/>
      <c r="DEY1529"/>
      <c r="DEZ1529"/>
      <c r="DFA1529"/>
      <c r="DFB1529"/>
      <c r="DFC1529"/>
      <c r="DFD1529"/>
      <c r="DFE1529"/>
      <c r="DFF1529"/>
      <c r="DFG1529"/>
      <c r="DFH1529"/>
      <c r="DFI1529"/>
      <c r="DFJ1529"/>
      <c r="DFK1529"/>
      <c r="DFL1529"/>
      <c r="DFM1529"/>
      <c r="DFN1529"/>
      <c r="DFO1529"/>
      <c r="DFP1529"/>
      <c r="DFQ1529"/>
      <c r="DFR1529"/>
      <c r="DFS1529"/>
      <c r="DFT1529"/>
      <c r="DFU1529"/>
      <c r="DFV1529"/>
      <c r="DFW1529"/>
      <c r="DFX1529"/>
      <c r="DFY1529"/>
      <c r="DFZ1529"/>
      <c r="DGA1529"/>
      <c r="DGB1529"/>
      <c r="DGC1529"/>
      <c r="DGD1529"/>
      <c r="DGE1529"/>
      <c r="DGF1529"/>
      <c r="DGG1529"/>
      <c r="DGH1529"/>
      <c r="DGI1529"/>
      <c r="DGJ1529"/>
      <c r="DGK1529"/>
      <c r="DGL1529"/>
      <c r="DGM1529"/>
      <c r="DGN1529"/>
      <c r="DGO1529"/>
      <c r="DGP1529"/>
      <c r="DGQ1529"/>
      <c r="DGR1529"/>
      <c r="DGS1529"/>
      <c r="DGT1529"/>
      <c r="DGU1529"/>
      <c r="DGV1529"/>
      <c r="DGW1529"/>
      <c r="DGX1529"/>
      <c r="DGY1529"/>
      <c r="DGZ1529"/>
      <c r="DHA1529"/>
      <c r="DHB1529"/>
      <c r="DHC1529"/>
      <c r="DHD1529"/>
      <c r="DHE1529"/>
      <c r="DHF1529"/>
      <c r="DHG1529"/>
      <c r="DHH1529"/>
      <c r="DHI1529"/>
      <c r="DHJ1529"/>
      <c r="DHK1529"/>
      <c r="DHL1529"/>
      <c r="DHM1529"/>
      <c r="DHN1529"/>
      <c r="DHO1529"/>
      <c r="DHP1529"/>
      <c r="DHQ1529"/>
      <c r="DHR1529"/>
      <c r="DHS1529"/>
      <c r="DHT1529"/>
      <c r="DHU1529"/>
      <c r="DHV1529"/>
      <c r="DHW1529"/>
      <c r="DHX1529"/>
      <c r="DHY1529"/>
      <c r="DHZ1529"/>
      <c r="DIA1529"/>
      <c r="DIB1529"/>
      <c r="DIC1529"/>
      <c r="DID1529"/>
      <c r="DIE1529"/>
      <c r="DIF1529"/>
      <c r="DIG1529"/>
      <c r="DIH1529"/>
      <c r="DII1529"/>
      <c r="DIJ1529"/>
      <c r="DIK1529"/>
      <c r="DIL1529"/>
      <c r="DIM1529"/>
      <c r="DIN1529"/>
      <c r="DIO1529"/>
      <c r="DIP1529"/>
      <c r="DIQ1529"/>
      <c r="DIR1529"/>
      <c r="DIS1529"/>
      <c r="DIT1529"/>
      <c r="DIU1529"/>
      <c r="DIV1529"/>
      <c r="DIW1529"/>
      <c r="DIX1529"/>
      <c r="DIY1529"/>
      <c r="DIZ1529"/>
      <c r="DJA1529"/>
      <c r="DJB1529"/>
      <c r="DJC1529"/>
      <c r="DJD1529"/>
      <c r="DJE1529"/>
      <c r="DJF1529"/>
      <c r="DJG1529"/>
      <c r="DJH1529"/>
      <c r="DJI1529"/>
      <c r="DJJ1529"/>
      <c r="DJK1529"/>
      <c r="DJL1529"/>
      <c r="DJM1529"/>
      <c r="DJN1529"/>
      <c r="DJO1529"/>
      <c r="DJP1529"/>
      <c r="DJQ1529"/>
      <c r="DJR1529"/>
      <c r="DJS1529"/>
      <c r="DJT1529"/>
      <c r="DJU1529"/>
      <c r="DJV1529"/>
      <c r="DJW1529"/>
      <c r="DJX1529"/>
      <c r="DJY1529"/>
      <c r="DJZ1529"/>
      <c r="DKA1529"/>
      <c r="DKB1529"/>
      <c r="DKC1529"/>
      <c r="DKD1529"/>
      <c r="DKE1529"/>
      <c r="DKF1529"/>
      <c r="DKG1529"/>
      <c r="DKH1529"/>
      <c r="DKI1529"/>
      <c r="DKJ1529"/>
      <c r="DKK1529"/>
      <c r="DKL1529"/>
      <c r="DKM1529"/>
      <c r="DKN1529"/>
      <c r="DKO1529"/>
      <c r="DKP1529"/>
      <c r="DKQ1529"/>
      <c r="DKR1529"/>
      <c r="DKS1529"/>
      <c r="DKT1529"/>
      <c r="DKU1529"/>
      <c r="DKV1529"/>
      <c r="DKW1529"/>
      <c r="DKX1529"/>
      <c r="DKY1529"/>
      <c r="DKZ1529"/>
      <c r="DLA1529"/>
      <c r="DLB1529"/>
      <c r="DLC1529"/>
      <c r="DLD1529"/>
      <c r="DLE1529"/>
      <c r="DLF1529"/>
      <c r="DLG1529"/>
      <c r="DLH1529"/>
      <c r="DLI1529"/>
      <c r="DLJ1529"/>
      <c r="DLK1529"/>
      <c r="DLL1529"/>
      <c r="DLM1529"/>
      <c r="DLN1529"/>
      <c r="DLO1529"/>
      <c r="DLP1529"/>
      <c r="DLQ1529"/>
      <c r="DLR1529"/>
      <c r="DLS1529"/>
      <c r="DLT1529"/>
      <c r="DLU1529"/>
      <c r="DLV1529"/>
      <c r="DLW1529"/>
      <c r="DLX1529"/>
      <c r="DLY1529"/>
      <c r="DLZ1529"/>
      <c r="DMA1529"/>
      <c r="DMB1529"/>
      <c r="DMC1529"/>
      <c r="DMD1529"/>
      <c r="DME1529"/>
      <c r="DMF1529"/>
      <c r="DMG1529"/>
      <c r="DMH1529"/>
      <c r="DMI1529"/>
      <c r="DMJ1529"/>
      <c r="DMK1529"/>
      <c r="DML1529"/>
      <c r="DMM1529"/>
      <c r="DMN1529"/>
      <c r="DMO1529"/>
      <c r="DMP1529"/>
      <c r="DMQ1529"/>
      <c r="DMR1529"/>
      <c r="DMS1529"/>
      <c r="DMT1529"/>
      <c r="DMU1529"/>
      <c r="DMV1529"/>
      <c r="DMW1529"/>
      <c r="DMX1529"/>
      <c r="DMY1529"/>
      <c r="DMZ1529"/>
      <c r="DNA1529"/>
      <c r="DNB1529"/>
      <c r="DNC1529"/>
      <c r="DND1529"/>
      <c r="DNE1529"/>
      <c r="DNF1529"/>
      <c r="DNG1529"/>
      <c r="DNH1529"/>
      <c r="DNI1529"/>
      <c r="DNJ1529"/>
      <c r="DNK1529"/>
      <c r="DNL1529"/>
      <c r="DNM1529"/>
      <c r="DNN1529"/>
      <c r="DNO1529"/>
      <c r="DNP1529"/>
      <c r="DNQ1529"/>
      <c r="DNR1529"/>
      <c r="DNS1529"/>
      <c r="DNT1529"/>
      <c r="DNU1529"/>
      <c r="DNV1529"/>
      <c r="DNW1529"/>
      <c r="DNX1529"/>
      <c r="DNY1529"/>
      <c r="DNZ1529"/>
      <c r="DOA1529"/>
      <c r="DOB1529"/>
      <c r="DOC1529"/>
      <c r="DOD1529"/>
      <c r="DOE1529"/>
      <c r="DOF1529"/>
      <c r="DOG1529"/>
      <c r="DOH1529"/>
      <c r="DOI1529"/>
      <c r="DOJ1529"/>
      <c r="DOK1529"/>
      <c r="DOL1529"/>
      <c r="DOM1529"/>
      <c r="DON1529"/>
      <c r="DOO1529"/>
      <c r="DOP1529"/>
      <c r="DOQ1529"/>
      <c r="DOR1529"/>
      <c r="DOS1529"/>
      <c r="DOT1529"/>
      <c r="DOU1529"/>
      <c r="DOV1529"/>
      <c r="DOW1529"/>
      <c r="DOX1529"/>
      <c r="DOY1529"/>
      <c r="DOZ1529"/>
      <c r="DPA1529"/>
      <c r="DPB1529"/>
      <c r="DPC1529"/>
      <c r="DPD1529"/>
      <c r="DPE1529"/>
      <c r="DPF1529"/>
      <c r="DPG1529"/>
      <c r="DPH1529"/>
      <c r="DPI1529"/>
      <c r="DPJ1529"/>
      <c r="DPK1529"/>
      <c r="DPL1529"/>
      <c r="DPM1529"/>
      <c r="DPN1529"/>
      <c r="DPO1529"/>
      <c r="DPP1529"/>
      <c r="DPQ1529"/>
      <c r="DPR1529"/>
      <c r="DPS1529"/>
      <c r="DPT1529"/>
      <c r="DPU1529"/>
      <c r="DPV1529"/>
      <c r="DPW1529"/>
      <c r="DPX1529"/>
      <c r="DPY1529"/>
      <c r="DPZ1529"/>
      <c r="DQA1529"/>
      <c r="DQB1529"/>
      <c r="DQC1529"/>
      <c r="DQD1529"/>
      <c r="DQE1529"/>
      <c r="DQF1529"/>
      <c r="DQG1529"/>
      <c r="DQH1529"/>
      <c r="DQI1529"/>
      <c r="DQJ1529"/>
      <c r="DQK1529"/>
      <c r="DQL1529"/>
      <c r="DQM1529"/>
      <c r="DQN1529"/>
      <c r="DQO1529"/>
      <c r="DQP1529"/>
      <c r="DQQ1529"/>
      <c r="DQR1529"/>
      <c r="DQS1529"/>
      <c r="DQT1529"/>
      <c r="DQU1529"/>
      <c r="DQV1529"/>
      <c r="DQW1529"/>
      <c r="DQX1529"/>
      <c r="DQY1529"/>
      <c r="DQZ1529"/>
      <c r="DRA1529"/>
      <c r="DRB1529"/>
      <c r="DRC1529"/>
      <c r="DRD1529"/>
      <c r="DRE1529"/>
      <c r="DRF1529"/>
      <c r="DRG1529"/>
      <c r="DRH1529"/>
      <c r="DRI1529"/>
      <c r="DRJ1529"/>
      <c r="DRK1529"/>
      <c r="DRL1529"/>
      <c r="DRM1529"/>
      <c r="DRN1529"/>
      <c r="DRO1529"/>
      <c r="DRP1529"/>
      <c r="DRQ1529"/>
      <c r="DRR1529"/>
      <c r="DRS1529"/>
      <c r="DRT1529"/>
      <c r="DRU1529"/>
      <c r="DRV1529"/>
      <c r="DRW1529"/>
      <c r="DRX1529"/>
      <c r="DRY1529"/>
      <c r="DRZ1529"/>
      <c r="DSA1529"/>
      <c r="DSB1529"/>
      <c r="DSC1529"/>
      <c r="DSD1529"/>
      <c r="DSE1529"/>
      <c r="DSF1529"/>
      <c r="DSG1529"/>
      <c r="DSH1529"/>
      <c r="DSI1529"/>
      <c r="DSJ1529"/>
      <c r="DSK1529"/>
      <c r="DSL1529"/>
      <c r="DSM1529"/>
      <c r="DSN1529"/>
      <c r="DSO1529"/>
      <c r="DSP1529"/>
      <c r="DSQ1529"/>
      <c r="DSR1529"/>
      <c r="DSS1529"/>
      <c r="DST1529"/>
      <c r="DSU1529"/>
      <c r="DSV1529"/>
      <c r="DSW1529"/>
      <c r="DSX1529"/>
      <c r="DSY1529"/>
      <c r="DSZ1529"/>
      <c r="DTA1529"/>
      <c r="DTB1529"/>
      <c r="DTC1529"/>
      <c r="DTD1529"/>
      <c r="DTE1529"/>
      <c r="DTF1529"/>
      <c r="DTG1529"/>
      <c r="DTH1529"/>
      <c r="DTI1529"/>
      <c r="DTJ1529"/>
      <c r="DTK1529"/>
      <c r="DTL1529"/>
      <c r="DTM1529"/>
      <c r="DTN1529"/>
      <c r="DTO1529"/>
      <c r="DTP1529"/>
      <c r="DTQ1529"/>
      <c r="DTR1529"/>
      <c r="DTS1529"/>
      <c r="DTT1529"/>
      <c r="DTU1529"/>
      <c r="DTV1529"/>
      <c r="DTW1529"/>
      <c r="DTX1529"/>
      <c r="DTY1529"/>
      <c r="DTZ1529"/>
      <c r="DUA1529"/>
      <c r="DUB1529"/>
      <c r="DUC1529"/>
      <c r="DUD1529"/>
      <c r="DUE1529"/>
      <c r="DUF1529"/>
      <c r="DUG1529"/>
      <c r="DUH1529"/>
      <c r="DUI1529"/>
      <c r="DUJ1529"/>
      <c r="DUK1529"/>
      <c r="DUL1529"/>
      <c r="DUM1529"/>
      <c r="DUN1529"/>
      <c r="DUO1529"/>
      <c r="DUP1529"/>
      <c r="DUQ1529"/>
      <c r="DUR1529"/>
      <c r="DUS1529"/>
      <c r="DUT1529"/>
      <c r="DUU1529"/>
      <c r="DUV1529"/>
      <c r="DUW1529"/>
      <c r="DUX1529"/>
      <c r="DUY1529"/>
      <c r="DUZ1529"/>
      <c r="DVA1529"/>
      <c r="DVB1529"/>
      <c r="DVC1529"/>
      <c r="DVD1529"/>
      <c r="DVE1529"/>
      <c r="DVF1529"/>
      <c r="DVG1529"/>
      <c r="DVH1529"/>
      <c r="DVI1529"/>
      <c r="DVJ1529"/>
      <c r="DVK1529"/>
      <c r="DVL1529"/>
      <c r="DVM1529"/>
      <c r="DVN1529"/>
      <c r="DVO1529"/>
      <c r="DVP1529"/>
      <c r="DVQ1529"/>
      <c r="DVR1529"/>
      <c r="DVS1529"/>
      <c r="DVT1529"/>
      <c r="DVU1529"/>
      <c r="DVV1529"/>
      <c r="DVW1529"/>
      <c r="DVX1529"/>
      <c r="DVY1529"/>
      <c r="DVZ1529"/>
      <c r="DWA1529"/>
      <c r="DWB1529"/>
      <c r="DWC1529"/>
      <c r="DWD1529"/>
      <c r="DWE1529"/>
      <c r="DWF1529"/>
      <c r="DWG1529"/>
      <c r="DWH1529"/>
      <c r="DWI1529"/>
      <c r="DWJ1529"/>
      <c r="DWK1529"/>
      <c r="DWL1529"/>
      <c r="DWM1529"/>
      <c r="DWN1529"/>
      <c r="DWO1529"/>
      <c r="DWP1529"/>
      <c r="DWQ1529"/>
      <c r="DWR1529"/>
      <c r="DWS1529"/>
      <c r="DWT1529"/>
      <c r="DWU1529"/>
      <c r="DWV1529"/>
      <c r="DWW1529"/>
      <c r="DWX1529"/>
      <c r="DWY1529"/>
      <c r="DWZ1529"/>
      <c r="DXA1529"/>
      <c r="DXB1529"/>
      <c r="DXC1529"/>
      <c r="DXD1529"/>
      <c r="DXE1529"/>
      <c r="DXF1529"/>
      <c r="DXG1529"/>
      <c r="DXH1529"/>
      <c r="DXI1529"/>
      <c r="DXJ1529"/>
      <c r="DXK1529"/>
      <c r="DXL1529"/>
      <c r="DXM1529"/>
      <c r="DXN1529"/>
      <c r="DXO1529"/>
      <c r="DXP1529"/>
      <c r="DXQ1529"/>
      <c r="DXR1529"/>
      <c r="DXS1529"/>
      <c r="DXT1529"/>
      <c r="DXU1529"/>
      <c r="DXV1529"/>
      <c r="DXW1529"/>
      <c r="DXX1529"/>
      <c r="DXY1529"/>
      <c r="DXZ1529"/>
      <c r="DYA1529"/>
      <c r="DYB1529"/>
      <c r="DYC1529"/>
      <c r="DYD1529"/>
      <c r="DYE1529"/>
      <c r="DYF1529"/>
      <c r="DYG1529"/>
      <c r="DYH1529"/>
      <c r="DYI1529"/>
      <c r="DYJ1529"/>
      <c r="DYK1529"/>
      <c r="DYL1529"/>
      <c r="DYM1529"/>
      <c r="DYN1529"/>
      <c r="DYO1529"/>
      <c r="DYP1529"/>
      <c r="DYQ1529"/>
      <c r="DYR1529"/>
      <c r="DYS1529"/>
      <c r="DYT1529"/>
      <c r="DYU1529"/>
      <c r="DYV1529"/>
      <c r="DYW1529"/>
      <c r="DYX1529"/>
      <c r="DYY1529"/>
      <c r="DYZ1529"/>
      <c r="DZA1529"/>
      <c r="DZB1529"/>
      <c r="DZC1529"/>
      <c r="DZD1529"/>
      <c r="DZE1529"/>
      <c r="DZF1529"/>
      <c r="DZG1529"/>
      <c r="DZH1529"/>
      <c r="DZI1529"/>
      <c r="DZJ1529"/>
      <c r="DZK1529"/>
      <c r="DZL1529"/>
      <c r="DZM1529"/>
      <c r="DZN1529"/>
      <c r="DZO1529"/>
      <c r="DZP1529"/>
      <c r="DZQ1529"/>
      <c r="DZR1529"/>
      <c r="DZS1529"/>
      <c r="DZT1529"/>
      <c r="DZU1529"/>
      <c r="DZV1529"/>
      <c r="DZW1529"/>
      <c r="DZX1529"/>
      <c r="DZY1529"/>
      <c r="DZZ1529"/>
      <c r="EAA1529"/>
      <c r="EAB1529"/>
      <c r="EAC1529"/>
      <c r="EAD1529"/>
      <c r="EAE1529"/>
      <c r="EAF1529"/>
      <c r="EAG1529"/>
      <c r="EAH1529"/>
      <c r="EAI1529"/>
      <c r="EAJ1529"/>
      <c r="EAK1529"/>
      <c r="EAL1529"/>
      <c r="EAM1529"/>
      <c r="EAN1529"/>
      <c r="EAO1529"/>
      <c r="EAP1529"/>
      <c r="EAQ1529"/>
      <c r="EAR1529"/>
      <c r="EAS1529"/>
      <c r="EAT1529"/>
      <c r="EAU1529"/>
      <c r="EAV1529"/>
      <c r="EAW1529"/>
      <c r="EAX1529"/>
      <c r="EAY1529"/>
      <c r="EAZ1529"/>
      <c r="EBA1529"/>
      <c r="EBB1529"/>
      <c r="EBC1529"/>
      <c r="EBD1529"/>
      <c r="EBE1529"/>
      <c r="EBF1529"/>
      <c r="EBG1529"/>
      <c r="EBH1529"/>
      <c r="EBI1529"/>
      <c r="EBJ1529"/>
      <c r="EBK1529"/>
      <c r="EBL1529"/>
      <c r="EBM1529"/>
      <c r="EBN1529"/>
      <c r="EBO1529"/>
      <c r="EBP1529"/>
      <c r="EBQ1529"/>
      <c r="EBR1529"/>
      <c r="EBS1529"/>
      <c r="EBT1529"/>
      <c r="EBU1529"/>
      <c r="EBV1529"/>
      <c r="EBW1529"/>
      <c r="EBX1529"/>
      <c r="EBY1529"/>
      <c r="EBZ1529"/>
      <c r="ECA1529"/>
      <c r="ECB1529"/>
      <c r="ECC1529"/>
      <c r="ECD1529"/>
      <c r="ECE1529"/>
      <c r="ECF1529"/>
      <c r="ECG1529"/>
      <c r="ECH1529"/>
      <c r="ECI1529"/>
      <c r="ECJ1529"/>
      <c r="ECK1529"/>
      <c r="ECL1529"/>
      <c r="ECM1529"/>
      <c r="ECN1529"/>
      <c r="ECO1529"/>
      <c r="ECP1529"/>
      <c r="ECQ1529"/>
      <c r="ECR1529"/>
      <c r="ECS1529"/>
      <c r="ECT1529"/>
      <c r="ECU1529"/>
      <c r="ECV1529"/>
      <c r="ECW1529"/>
      <c r="ECX1529"/>
      <c r="ECY1529"/>
      <c r="ECZ1529"/>
      <c r="EDA1529"/>
      <c r="EDB1529"/>
      <c r="EDC1529"/>
      <c r="EDD1529"/>
      <c r="EDE1529"/>
      <c r="EDF1529"/>
      <c r="EDG1529"/>
      <c r="EDH1529"/>
      <c r="EDI1529"/>
      <c r="EDJ1529"/>
      <c r="EDK1529"/>
      <c r="EDL1529"/>
      <c r="EDM1529"/>
      <c r="EDN1529"/>
      <c r="EDO1529"/>
      <c r="EDP1529"/>
      <c r="EDQ1529"/>
      <c r="EDR1529"/>
      <c r="EDS1529"/>
      <c r="EDT1529"/>
      <c r="EDU1529"/>
      <c r="EDV1529"/>
      <c r="EDW1529"/>
      <c r="EDX1529"/>
      <c r="EDY1529"/>
      <c r="EDZ1529"/>
      <c r="EEA1529"/>
      <c r="EEB1529"/>
      <c r="EEC1529"/>
      <c r="EED1529"/>
      <c r="EEE1529"/>
      <c r="EEF1529"/>
      <c r="EEG1529"/>
      <c r="EEH1529"/>
      <c r="EEI1529"/>
      <c r="EEJ1529"/>
      <c r="EEK1529"/>
      <c r="EEL1529"/>
      <c r="EEM1529"/>
      <c r="EEN1529"/>
      <c r="EEO1529"/>
      <c r="EEP1529"/>
      <c r="EEQ1529"/>
      <c r="EER1529"/>
      <c r="EES1529"/>
      <c r="EET1529"/>
      <c r="EEU1529"/>
      <c r="EEV1529"/>
      <c r="EEW1529"/>
      <c r="EEX1529"/>
      <c r="EEY1529"/>
      <c r="EEZ1529"/>
      <c r="EFA1529"/>
      <c r="EFB1529"/>
      <c r="EFC1529"/>
      <c r="EFD1529"/>
      <c r="EFE1529"/>
      <c r="EFF1529"/>
      <c r="EFG1529"/>
      <c r="EFH1529"/>
      <c r="EFI1529"/>
      <c r="EFJ1529"/>
      <c r="EFK1529"/>
      <c r="EFL1529"/>
      <c r="EFM1529"/>
      <c r="EFN1529"/>
      <c r="EFO1529"/>
      <c r="EFP1529"/>
      <c r="EFQ1529"/>
      <c r="EFR1529"/>
      <c r="EFS1529"/>
      <c r="EFT1529"/>
      <c r="EFU1529"/>
      <c r="EFV1529"/>
      <c r="EFW1529"/>
      <c r="EFX1529"/>
      <c r="EFY1529"/>
      <c r="EFZ1529"/>
      <c r="EGA1529"/>
      <c r="EGB1529"/>
      <c r="EGC1529"/>
      <c r="EGD1529"/>
      <c r="EGE1529"/>
      <c r="EGF1529"/>
      <c r="EGG1529"/>
      <c r="EGH1529"/>
      <c r="EGI1529"/>
      <c r="EGJ1529"/>
      <c r="EGK1529"/>
      <c r="EGL1529"/>
      <c r="EGM1529"/>
      <c r="EGN1529"/>
      <c r="EGO1529"/>
      <c r="EGP1529"/>
      <c r="EGQ1529"/>
      <c r="EGR1529"/>
      <c r="EGS1529"/>
      <c r="EGT1529"/>
      <c r="EGU1529"/>
      <c r="EGV1529"/>
      <c r="EGW1529"/>
      <c r="EGX1529"/>
      <c r="EGY1529"/>
      <c r="EGZ1529"/>
      <c r="EHA1529"/>
      <c r="EHB1529"/>
      <c r="EHC1529"/>
      <c r="EHD1529"/>
      <c r="EHE1529"/>
      <c r="EHF1529"/>
      <c r="EHG1529"/>
      <c r="EHH1529"/>
      <c r="EHI1529"/>
      <c r="EHJ1529"/>
      <c r="EHK1529"/>
      <c r="EHL1529"/>
      <c r="EHM1529"/>
      <c r="EHN1529"/>
      <c r="EHO1529"/>
      <c r="EHP1529"/>
      <c r="EHQ1529"/>
      <c r="EHR1529"/>
      <c r="EHS1529"/>
      <c r="EHT1529"/>
      <c r="EHU1529"/>
      <c r="EHV1529"/>
      <c r="EHW1529"/>
      <c r="EHX1529"/>
      <c r="EHY1529"/>
      <c r="EHZ1529"/>
      <c r="EIA1529"/>
      <c r="EIB1529"/>
      <c r="EIC1529"/>
      <c r="EID1529"/>
      <c r="EIE1529"/>
      <c r="EIF1529"/>
      <c r="EIG1529"/>
      <c r="EIH1529"/>
      <c r="EII1529"/>
      <c r="EIJ1529"/>
      <c r="EIK1529"/>
      <c r="EIL1529"/>
      <c r="EIM1529"/>
      <c r="EIN1529"/>
      <c r="EIO1529"/>
      <c r="EIP1529"/>
      <c r="EIQ1529"/>
      <c r="EIR1529"/>
      <c r="EIS1529"/>
      <c r="EIT1529"/>
      <c r="EIU1529"/>
      <c r="EIV1529"/>
      <c r="EIW1529"/>
      <c r="EIX1529"/>
      <c r="EIY1529"/>
      <c r="EIZ1529"/>
      <c r="EJA1529"/>
      <c r="EJB1529"/>
      <c r="EJC1529"/>
      <c r="EJD1529"/>
      <c r="EJE1529"/>
      <c r="EJF1529"/>
      <c r="EJG1529"/>
      <c r="EJH1529"/>
      <c r="EJI1529"/>
      <c r="EJJ1529"/>
      <c r="EJK1529"/>
      <c r="EJL1529"/>
      <c r="EJM1529"/>
      <c r="EJN1529"/>
      <c r="EJO1529"/>
      <c r="EJP1529"/>
      <c r="EJQ1529"/>
      <c r="EJR1529"/>
      <c r="EJS1529"/>
      <c r="EJT1529"/>
      <c r="EJU1529"/>
      <c r="EJV1529"/>
      <c r="EJW1529"/>
      <c r="EJX1529"/>
      <c r="EJY1529"/>
      <c r="EJZ1529"/>
      <c r="EKA1529"/>
      <c r="EKB1529"/>
      <c r="EKC1529"/>
      <c r="EKD1529"/>
      <c r="EKE1529"/>
      <c r="EKF1529"/>
      <c r="EKG1529"/>
      <c r="EKH1529"/>
      <c r="EKI1529"/>
      <c r="EKJ1529"/>
      <c r="EKK1529"/>
      <c r="EKL1529"/>
      <c r="EKM1529"/>
      <c r="EKN1529"/>
      <c r="EKO1529"/>
      <c r="EKP1529"/>
      <c r="EKQ1529"/>
      <c r="EKR1529"/>
      <c r="EKS1529"/>
      <c r="EKT1529"/>
      <c r="EKU1529"/>
      <c r="EKV1529"/>
      <c r="EKW1529"/>
      <c r="EKX1529"/>
      <c r="EKY1529"/>
      <c r="EKZ1529"/>
      <c r="ELA1529"/>
      <c r="ELB1529"/>
      <c r="ELC1529"/>
      <c r="ELD1529"/>
      <c r="ELE1529"/>
      <c r="ELF1529"/>
      <c r="ELG1529"/>
      <c r="ELH1529"/>
      <c r="ELI1529"/>
      <c r="ELJ1529"/>
      <c r="ELK1529"/>
      <c r="ELL1529"/>
      <c r="ELM1529"/>
      <c r="ELN1529"/>
      <c r="ELO1529"/>
      <c r="ELP1529"/>
      <c r="ELQ1529"/>
      <c r="ELR1529"/>
      <c r="ELS1529"/>
      <c r="ELT1529"/>
      <c r="ELU1529"/>
      <c r="ELV1529"/>
      <c r="ELW1529"/>
      <c r="ELX1529"/>
      <c r="ELY1529"/>
      <c r="ELZ1529"/>
      <c r="EMA1529"/>
      <c r="EMB1529"/>
      <c r="EMC1529"/>
      <c r="EMD1529"/>
      <c r="EME1529"/>
      <c r="EMF1529"/>
      <c r="EMG1529"/>
      <c r="EMH1529"/>
      <c r="EMI1529"/>
      <c r="EMJ1529"/>
      <c r="EMK1529"/>
      <c r="EML1529"/>
      <c r="EMM1529"/>
      <c r="EMN1529"/>
      <c r="EMO1529"/>
      <c r="EMP1529"/>
      <c r="EMQ1529"/>
      <c r="EMR1529"/>
      <c r="EMS1529"/>
      <c r="EMT1529"/>
      <c r="EMU1529"/>
      <c r="EMV1529"/>
      <c r="EMW1529"/>
      <c r="EMX1529"/>
      <c r="EMY1529"/>
      <c r="EMZ1529"/>
      <c r="ENA1529"/>
      <c r="ENB1529"/>
      <c r="ENC1529"/>
      <c r="END1529"/>
      <c r="ENE1529"/>
      <c r="ENF1529"/>
      <c r="ENG1529"/>
      <c r="ENH1529"/>
      <c r="ENI1529"/>
      <c r="ENJ1529"/>
      <c r="ENK1529"/>
      <c r="ENL1529"/>
      <c r="ENM1529"/>
      <c r="ENN1529"/>
      <c r="ENO1529"/>
      <c r="ENP1529"/>
      <c r="ENQ1529"/>
      <c r="ENR1529"/>
      <c r="ENS1529"/>
      <c r="ENT1529"/>
      <c r="ENU1529"/>
      <c r="ENV1529"/>
      <c r="ENW1529"/>
      <c r="ENX1529"/>
      <c r="ENY1529"/>
      <c r="ENZ1529"/>
      <c r="EOA1529"/>
      <c r="EOB1529"/>
      <c r="EOC1529"/>
      <c r="EOD1529"/>
      <c r="EOE1529"/>
      <c r="EOF1529"/>
      <c r="EOG1529"/>
      <c r="EOH1529"/>
      <c r="EOI1529"/>
      <c r="EOJ1529"/>
      <c r="EOK1529"/>
      <c r="EOL1529"/>
      <c r="EOM1529"/>
      <c r="EON1529"/>
      <c r="EOO1529"/>
      <c r="EOP1529"/>
      <c r="EOQ1529"/>
      <c r="EOR1529"/>
      <c r="EOS1529"/>
      <c r="EOT1529"/>
      <c r="EOU1529"/>
      <c r="EOV1529"/>
      <c r="EOW1529"/>
      <c r="EOX1529"/>
      <c r="EOY1529"/>
      <c r="EOZ1529"/>
      <c r="EPA1529"/>
      <c r="EPB1529"/>
      <c r="EPC1529"/>
      <c r="EPD1529"/>
      <c r="EPE1529"/>
      <c r="EPF1529"/>
      <c r="EPG1529"/>
      <c r="EPH1529"/>
      <c r="EPI1529"/>
      <c r="EPJ1529"/>
      <c r="EPK1529"/>
      <c r="EPL1529"/>
      <c r="EPM1529"/>
      <c r="EPN1529"/>
      <c r="EPO1529"/>
      <c r="EPP1529"/>
      <c r="EPQ1529"/>
      <c r="EPR1529"/>
      <c r="EPS1529"/>
      <c r="EPT1529"/>
      <c r="EPU1529"/>
      <c r="EPV1529"/>
      <c r="EPW1529"/>
      <c r="EPX1529"/>
      <c r="EPY1529"/>
      <c r="EPZ1529"/>
      <c r="EQA1529"/>
      <c r="EQB1529"/>
      <c r="EQC1529"/>
      <c r="EQD1529"/>
      <c r="EQE1529"/>
      <c r="EQF1529"/>
      <c r="EQG1529"/>
      <c r="EQH1529"/>
      <c r="EQI1529"/>
      <c r="EQJ1529"/>
      <c r="EQK1529"/>
      <c r="EQL1529"/>
      <c r="EQM1529"/>
      <c r="EQN1529"/>
      <c r="EQO1529"/>
      <c r="EQP1529"/>
      <c r="EQQ1529"/>
      <c r="EQR1529"/>
      <c r="EQS1529"/>
      <c r="EQT1529"/>
      <c r="EQU1529"/>
      <c r="EQV1529"/>
      <c r="EQW1529"/>
      <c r="EQX1529"/>
      <c r="EQY1529"/>
      <c r="EQZ1529"/>
      <c r="ERA1529"/>
      <c r="ERB1529"/>
      <c r="ERC1529"/>
      <c r="ERD1529"/>
      <c r="ERE1529"/>
      <c r="ERF1529"/>
      <c r="ERG1529"/>
      <c r="ERH1529"/>
      <c r="ERI1529"/>
      <c r="ERJ1529"/>
      <c r="ERK1529"/>
      <c r="ERL1529"/>
      <c r="ERM1529"/>
      <c r="ERN1529"/>
      <c r="ERO1529"/>
      <c r="ERP1529"/>
      <c r="ERQ1529"/>
      <c r="ERR1529"/>
      <c r="ERS1529"/>
      <c r="ERT1529"/>
      <c r="ERU1529"/>
      <c r="ERV1529"/>
      <c r="ERW1529"/>
      <c r="ERX1529"/>
      <c r="ERY1529"/>
      <c r="ERZ1529"/>
      <c r="ESA1529"/>
      <c r="ESB1529"/>
      <c r="ESC1529"/>
      <c r="ESD1529"/>
      <c r="ESE1529"/>
      <c r="ESF1529"/>
      <c r="ESG1529"/>
      <c r="ESH1529"/>
      <c r="ESI1529"/>
      <c r="ESJ1529"/>
      <c r="ESK1529"/>
      <c r="ESL1529"/>
      <c r="ESM1529"/>
      <c r="ESN1529"/>
      <c r="ESO1529"/>
      <c r="ESP1529"/>
      <c r="ESQ1529"/>
      <c r="ESR1529"/>
      <c r="ESS1529"/>
      <c r="EST1529"/>
      <c r="ESU1529"/>
      <c r="ESV1529"/>
      <c r="ESW1529"/>
      <c r="ESX1529"/>
      <c r="ESY1529"/>
      <c r="ESZ1529"/>
      <c r="ETA1529"/>
      <c r="ETB1529"/>
      <c r="ETC1529"/>
      <c r="ETD1529"/>
      <c r="ETE1529"/>
      <c r="ETF1529"/>
      <c r="ETG1529"/>
      <c r="ETH1529"/>
      <c r="ETI1529"/>
      <c r="ETJ1529"/>
      <c r="ETK1529"/>
      <c r="ETL1529"/>
      <c r="ETM1529"/>
      <c r="ETN1529"/>
      <c r="ETO1529"/>
      <c r="ETP1529"/>
      <c r="ETQ1529"/>
      <c r="ETR1529"/>
      <c r="ETS1529"/>
      <c r="ETT1529"/>
      <c r="ETU1529"/>
      <c r="ETV1529"/>
      <c r="ETW1529"/>
      <c r="ETX1529"/>
      <c r="ETY1529"/>
      <c r="ETZ1529"/>
      <c r="EUA1529"/>
      <c r="EUB1529"/>
      <c r="EUC1529"/>
      <c r="EUD1529"/>
      <c r="EUE1529"/>
      <c r="EUF1529"/>
      <c r="EUG1529"/>
      <c r="EUH1529"/>
      <c r="EUI1529"/>
      <c r="EUJ1529"/>
      <c r="EUK1529"/>
      <c r="EUL1529"/>
      <c r="EUM1529"/>
      <c r="EUN1529"/>
      <c r="EUO1529"/>
      <c r="EUP1529"/>
      <c r="EUQ1529"/>
      <c r="EUR1529"/>
      <c r="EUS1529"/>
      <c r="EUT1529"/>
      <c r="EUU1529"/>
      <c r="EUV1529"/>
      <c r="EUW1529"/>
      <c r="EUX1529"/>
      <c r="EUY1529"/>
      <c r="EUZ1529"/>
      <c r="EVA1529"/>
      <c r="EVB1529"/>
      <c r="EVC1529"/>
      <c r="EVD1529"/>
      <c r="EVE1529"/>
      <c r="EVF1529"/>
      <c r="EVG1529"/>
      <c r="EVH1529"/>
      <c r="EVI1529"/>
      <c r="EVJ1529"/>
      <c r="EVK1529"/>
      <c r="EVL1529"/>
      <c r="EVM1529"/>
      <c r="EVN1529"/>
      <c r="EVO1529"/>
      <c r="EVP1529"/>
      <c r="EVQ1529"/>
      <c r="EVR1529"/>
      <c r="EVS1529"/>
      <c r="EVT1529"/>
      <c r="EVU1529"/>
      <c r="EVV1529"/>
      <c r="EVW1529"/>
      <c r="EVX1529"/>
      <c r="EVY1529"/>
      <c r="EVZ1529"/>
      <c r="EWA1529"/>
      <c r="EWB1529"/>
      <c r="EWC1529"/>
      <c r="EWD1529"/>
      <c r="EWE1529"/>
      <c r="EWF1529"/>
      <c r="EWG1529"/>
      <c r="EWH1529"/>
      <c r="EWI1529"/>
      <c r="EWJ1529"/>
      <c r="EWK1529"/>
      <c r="EWL1529"/>
      <c r="EWM1529"/>
      <c r="EWN1529"/>
      <c r="EWO1529"/>
      <c r="EWP1529"/>
      <c r="EWQ1529"/>
      <c r="EWR1529"/>
      <c r="EWS1529"/>
      <c r="EWT1529"/>
      <c r="EWU1529"/>
      <c r="EWV1529"/>
      <c r="EWW1529"/>
      <c r="EWX1529"/>
      <c r="EWY1529"/>
      <c r="EWZ1529"/>
      <c r="EXA1529"/>
      <c r="EXB1529"/>
      <c r="EXC1529"/>
      <c r="EXD1529"/>
      <c r="EXE1529"/>
      <c r="EXF1529"/>
      <c r="EXG1529"/>
      <c r="EXH1529"/>
      <c r="EXI1529"/>
      <c r="EXJ1529"/>
      <c r="EXK1529"/>
      <c r="EXL1529"/>
      <c r="EXM1529"/>
      <c r="EXN1529"/>
      <c r="EXO1529"/>
      <c r="EXP1529"/>
      <c r="EXQ1529"/>
      <c r="EXR1529"/>
      <c r="EXS1529"/>
      <c r="EXT1529"/>
      <c r="EXU1529"/>
      <c r="EXV1529"/>
      <c r="EXW1529"/>
      <c r="EXX1529"/>
      <c r="EXY1529"/>
      <c r="EXZ1529"/>
      <c r="EYA1529"/>
      <c r="EYB1529"/>
      <c r="EYC1529"/>
      <c r="EYD1529"/>
      <c r="EYE1529"/>
      <c r="EYF1529"/>
      <c r="EYG1529"/>
      <c r="EYH1529"/>
      <c r="EYI1529"/>
      <c r="EYJ1529"/>
      <c r="EYK1529"/>
      <c r="EYL1529"/>
      <c r="EYM1529"/>
      <c r="EYN1529"/>
      <c r="EYO1529"/>
      <c r="EYP1529"/>
      <c r="EYQ1529"/>
      <c r="EYR1529"/>
      <c r="EYS1529"/>
      <c r="EYT1529"/>
      <c r="EYU1529"/>
      <c r="EYV1529"/>
      <c r="EYW1529"/>
      <c r="EYX1529"/>
      <c r="EYY1529"/>
      <c r="EYZ1529"/>
      <c r="EZA1529"/>
      <c r="EZB1529"/>
      <c r="EZC1529"/>
      <c r="EZD1529"/>
      <c r="EZE1529"/>
      <c r="EZF1529"/>
      <c r="EZG1529"/>
      <c r="EZH1529"/>
      <c r="EZI1529"/>
      <c r="EZJ1529"/>
      <c r="EZK1529"/>
      <c r="EZL1529"/>
      <c r="EZM1529"/>
      <c r="EZN1529"/>
      <c r="EZO1529"/>
      <c r="EZP1529"/>
      <c r="EZQ1529"/>
      <c r="EZR1529"/>
      <c r="EZS1529"/>
      <c r="EZT1529"/>
      <c r="EZU1529"/>
      <c r="EZV1529"/>
      <c r="EZW1529"/>
      <c r="EZX1529"/>
      <c r="EZY1529"/>
      <c r="EZZ1529"/>
      <c r="FAA1529"/>
      <c r="FAB1529"/>
      <c r="FAC1529"/>
      <c r="FAD1529"/>
      <c r="FAE1529"/>
      <c r="FAF1529"/>
      <c r="FAG1529"/>
      <c r="FAH1529"/>
      <c r="FAI1529"/>
      <c r="FAJ1529"/>
      <c r="FAK1529"/>
      <c r="FAL1529"/>
      <c r="FAM1529"/>
      <c r="FAN1529"/>
      <c r="FAO1529"/>
      <c r="FAP1529"/>
      <c r="FAQ1529"/>
      <c r="FAR1529"/>
      <c r="FAS1529"/>
      <c r="FAT1529"/>
      <c r="FAU1529"/>
      <c r="FAV1529"/>
      <c r="FAW1529"/>
      <c r="FAX1529"/>
      <c r="FAY1529"/>
      <c r="FAZ1529"/>
      <c r="FBA1529"/>
      <c r="FBB1529"/>
      <c r="FBC1529"/>
      <c r="FBD1529"/>
      <c r="FBE1529"/>
      <c r="FBF1529"/>
      <c r="FBG1529"/>
      <c r="FBH1529"/>
      <c r="FBI1529"/>
      <c r="FBJ1529"/>
      <c r="FBK1529"/>
      <c r="FBL1529"/>
      <c r="FBM1529"/>
      <c r="FBN1529"/>
      <c r="FBO1529"/>
      <c r="FBP1529"/>
      <c r="FBQ1529"/>
      <c r="FBR1529"/>
      <c r="FBS1529"/>
      <c r="FBT1529"/>
      <c r="FBU1529"/>
      <c r="FBV1529"/>
      <c r="FBW1529"/>
      <c r="FBX1529"/>
      <c r="FBY1529"/>
      <c r="FBZ1529"/>
      <c r="FCA1529"/>
      <c r="FCB1529"/>
      <c r="FCC1529"/>
      <c r="FCD1529"/>
      <c r="FCE1529"/>
      <c r="FCF1529"/>
      <c r="FCG1529"/>
      <c r="FCH1529"/>
      <c r="FCI1529"/>
      <c r="FCJ1529"/>
      <c r="FCK1529"/>
      <c r="FCL1529"/>
      <c r="FCM1529"/>
      <c r="FCN1529"/>
      <c r="FCO1529"/>
      <c r="FCP1529"/>
      <c r="FCQ1529"/>
      <c r="FCR1529"/>
      <c r="FCS1529"/>
      <c r="FCT1529"/>
      <c r="FCU1529"/>
      <c r="FCV1529"/>
      <c r="FCW1529"/>
      <c r="FCX1529"/>
      <c r="FCY1529"/>
      <c r="FCZ1529"/>
      <c r="FDA1529"/>
      <c r="FDB1529"/>
      <c r="FDC1529"/>
      <c r="FDD1529"/>
      <c r="FDE1529"/>
      <c r="FDF1529"/>
      <c r="FDG1529"/>
      <c r="FDH1529"/>
      <c r="FDI1529"/>
      <c r="FDJ1529"/>
      <c r="FDK1529"/>
      <c r="FDL1529"/>
      <c r="FDM1529"/>
      <c r="FDN1529"/>
      <c r="FDO1529"/>
      <c r="FDP1529"/>
      <c r="FDQ1529"/>
      <c r="FDR1529"/>
      <c r="FDS1529"/>
      <c r="FDT1529"/>
      <c r="FDU1529"/>
      <c r="FDV1529"/>
      <c r="FDW1529"/>
      <c r="FDX1529"/>
      <c r="FDY1529"/>
      <c r="FDZ1529"/>
      <c r="FEA1529"/>
      <c r="FEB1529"/>
      <c r="FEC1529"/>
      <c r="FED1529"/>
      <c r="FEE1529"/>
      <c r="FEF1529"/>
      <c r="FEG1529"/>
      <c r="FEH1529"/>
      <c r="FEI1529"/>
      <c r="FEJ1529"/>
      <c r="FEK1529"/>
      <c r="FEL1529"/>
      <c r="FEM1529"/>
      <c r="FEN1529"/>
      <c r="FEO1529"/>
      <c r="FEP1529"/>
      <c r="FEQ1529"/>
      <c r="FER1529"/>
      <c r="FES1529"/>
      <c r="FET1529"/>
      <c r="FEU1529"/>
      <c r="FEV1529"/>
      <c r="FEW1529"/>
      <c r="FEX1529"/>
      <c r="FEY1529"/>
      <c r="FEZ1529"/>
      <c r="FFA1529"/>
      <c r="FFB1529"/>
      <c r="FFC1529"/>
      <c r="FFD1529"/>
      <c r="FFE1529"/>
      <c r="FFF1529"/>
      <c r="FFG1529"/>
      <c r="FFH1529"/>
      <c r="FFI1529"/>
      <c r="FFJ1529"/>
      <c r="FFK1529"/>
      <c r="FFL1529"/>
      <c r="FFM1529"/>
      <c r="FFN1529"/>
      <c r="FFO1529"/>
      <c r="FFP1529"/>
      <c r="FFQ1529"/>
      <c r="FFR1529"/>
      <c r="FFS1529"/>
      <c r="FFT1529"/>
      <c r="FFU1529"/>
      <c r="FFV1529"/>
      <c r="FFW1529"/>
      <c r="FFX1529"/>
      <c r="FFY1529"/>
      <c r="FFZ1529"/>
      <c r="FGA1529"/>
      <c r="FGB1529"/>
      <c r="FGC1529"/>
      <c r="FGD1529"/>
      <c r="FGE1529"/>
      <c r="FGF1529"/>
      <c r="FGG1529"/>
      <c r="FGH1529"/>
      <c r="FGI1529"/>
      <c r="FGJ1529"/>
      <c r="FGK1529"/>
      <c r="FGL1529"/>
      <c r="FGM1529"/>
      <c r="FGN1529"/>
      <c r="FGO1529"/>
      <c r="FGP1529"/>
      <c r="FGQ1529"/>
      <c r="FGR1529"/>
      <c r="FGS1529"/>
      <c r="FGT1529"/>
      <c r="FGU1529"/>
      <c r="FGV1529"/>
      <c r="FGW1529"/>
      <c r="FGX1529"/>
      <c r="FGY1529"/>
      <c r="FGZ1529"/>
      <c r="FHA1529"/>
      <c r="FHB1529"/>
      <c r="FHC1529"/>
      <c r="FHD1529"/>
      <c r="FHE1529"/>
      <c r="FHF1529"/>
      <c r="FHG1529"/>
      <c r="FHH1529"/>
      <c r="FHI1529"/>
      <c r="FHJ1529"/>
      <c r="FHK1529"/>
      <c r="FHL1529"/>
      <c r="FHM1529"/>
      <c r="FHN1529"/>
      <c r="FHO1529"/>
      <c r="FHP1529"/>
      <c r="FHQ1529"/>
      <c r="FHR1529"/>
      <c r="FHS1529"/>
      <c r="FHT1529"/>
      <c r="FHU1529"/>
      <c r="FHV1529"/>
      <c r="FHW1529"/>
      <c r="FHX1529"/>
      <c r="FHY1529"/>
      <c r="FHZ1529"/>
      <c r="FIA1529"/>
      <c r="FIB1529"/>
      <c r="FIC1529"/>
      <c r="FID1529"/>
      <c r="FIE1529"/>
      <c r="FIF1529"/>
      <c r="FIG1529"/>
      <c r="FIH1529"/>
      <c r="FII1529"/>
      <c r="FIJ1529"/>
      <c r="FIK1529"/>
      <c r="FIL1529"/>
      <c r="FIM1529"/>
      <c r="FIN1529"/>
      <c r="FIO1529"/>
      <c r="FIP1529"/>
      <c r="FIQ1529"/>
      <c r="FIR1529"/>
      <c r="FIS1529"/>
      <c r="FIT1529"/>
      <c r="FIU1529"/>
      <c r="FIV1529"/>
      <c r="FIW1529"/>
      <c r="FIX1529"/>
      <c r="FIY1529"/>
      <c r="FIZ1529"/>
      <c r="FJA1529"/>
      <c r="FJB1529"/>
      <c r="FJC1529"/>
      <c r="FJD1529"/>
      <c r="FJE1529"/>
      <c r="FJF1529"/>
      <c r="FJG1529"/>
      <c r="FJH1529"/>
      <c r="FJI1529"/>
      <c r="FJJ1529"/>
      <c r="FJK1529"/>
      <c r="FJL1529"/>
      <c r="FJM1529"/>
      <c r="FJN1529"/>
      <c r="FJO1529"/>
      <c r="FJP1529"/>
      <c r="FJQ1529"/>
      <c r="FJR1529"/>
      <c r="FJS1529"/>
      <c r="FJT1529"/>
      <c r="FJU1529"/>
      <c r="FJV1529"/>
      <c r="FJW1529"/>
      <c r="FJX1529"/>
      <c r="FJY1529"/>
      <c r="FJZ1529"/>
      <c r="FKA1529"/>
      <c r="FKB1529"/>
      <c r="FKC1529"/>
      <c r="FKD1529"/>
      <c r="FKE1529"/>
      <c r="FKF1529"/>
      <c r="FKG1529"/>
      <c r="FKH1529"/>
      <c r="FKI1529"/>
      <c r="FKJ1529"/>
      <c r="FKK1529"/>
      <c r="FKL1529"/>
      <c r="FKM1529"/>
      <c r="FKN1529"/>
      <c r="FKO1529"/>
      <c r="FKP1529"/>
      <c r="FKQ1529"/>
      <c r="FKR1529"/>
      <c r="FKS1529"/>
      <c r="FKT1529"/>
      <c r="FKU1529"/>
      <c r="FKV1529"/>
      <c r="FKW1529"/>
      <c r="FKX1529"/>
      <c r="FKY1529"/>
      <c r="FKZ1529"/>
      <c r="FLA1529"/>
      <c r="FLB1529"/>
      <c r="FLC1529"/>
      <c r="FLD1529"/>
      <c r="FLE1529"/>
      <c r="FLF1529"/>
      <c r="FLG1529"/>
      <c r="FLH1529"/>
      <c r="FLI1529"/>
      <c r="FLJ1529"/>
      <c r="FLK1529"/>
      <c r="FLL1529"/>
      <c r="FLM1529"/>
      <c r="FLN1529"/>
      <c r="FLO1529"/>
      <c r="FLP1529"/>
      <c r="FLQ1529"/>
      <c r="FLR1529"/>
      <c r="FLS1529"/>
      <c r="FLT1529"/>
      <c r="FLU1529"/>
      <c r="FLV1529"/>
      <c r="FLW1529"/>
      <c r="FLX1529"/>
      <c r="FLY1529"/>
      <c r="FLZ1529"/>
      <c r="FMA1529"/>
      <c r="FMB1529"/>
      <c r="FMC1529"/>
      <c r="FMD1529"/>
      <c r="FME1529"/>
      <c r="FMF1529"/>
      <c r="FMG1529"/>
      <c r="FMH1529"/>
      <c r="FMI1529"/>
      <c r="FMJ1529"/>
      <c r="FMK1529"/>
      <c r="FML1529"/>
      <c r="FMM1529"/>
      <c r="FMN1529"/>
      <c r="FMO1529"/>
      <c r="FMP1529"/>
      <c r="FMQ1529"/>
      <c r="FMR1529"/>
      <c r="FMS1529"/>
      <c r="FMT1529"/>
      <c r="FMU1529"/>
      <c r="FMV1529"/>
      <c r="FMW1529"/>
      <c r="FMX1529"/>
      <c r="FMY1529"/>
      <c r="FMZ1529"/>
      <c r="FNA1529"/>
      <c r="FNB1529"/>
      <c r="FNC1529"/>
      <c r="FND1529"/>
      <c r="FNE1529"/>
      <c r="FNF1529"/>
      <c r="FNG1529"/>
      <c r="FNH1529"/>
      <c r="FNI1529"/>
      <c r="FNJ1529"/>
      <c r="FNK1529"/>
      <c r="FNL1529"/>
      <c r="FNM1529"/>
      <c r="FNN1529"/>
      <c r="FNO1529"/>
      <c r="FNP1529"/>
      <c r="FNQ1529"/>
      <c r="FNR1529"/>
      <c r="FNS1529"/>
      <c r="FNT1529"/>
      <c r="FNU1529"/>
      <c r="FNV1529"/>
      <c r="FNW1529"/>
      <c r="FNX1529"/>
      <c r="FNY1529"/>
      <c r="FNZ1529"/>
      <c r="FOA1529"/>
      <c r="FOB1529"/>
      <c r="FOC1529"/>
      <c r="FOD1529"/>
      <c r="FOE1529"/>
      <c r="FOF1529"/>
      <c r="FOG1529"/>
      <c r="FOH1529"/>
      <c r="FOI1529"/>
      <c r="FOJ1529"/>
      <c r="FOK1529"/>
      <c r="FOL1529"/>
      <c r="FOM1529"/>
      <c r="FON1529"/>
      <c r="FOO1529"/>
      <c r="FOP1529"/>
      <c r="FOQ1529"/>
      <c r="FOR1529"/>
      <c r="FOS1529"/>
      <c r="FOT1529"/>
      <c r="FOU1529"/>
      <c r="FOV1529"/>
      <c r="FOW1529"/>
      <c r="FOX1529"/>
      <c r="FOY1529"/>
      <c r="FOZ1529"/>
      <c r="FPA1529"/>
      <c r="FPB1529"/>
      <c r="FPC1529"/>
      <c r="FPD1529"/>
      <c r="FPE1529"/>
      <c r="FPF1529"/>
      <c r="FPG1529"/>
      <c r="FPH1529"/>
      <c r="FPI1529"/>
      <c r="FPJ1529"/>
      <c r="FPK1529"/>
      <c r="FPL1529"/>
      <c r="FPM1529"/>
      <c r="FPN1529"/>
      <c r="FPO1529"/>
      <c r="FPP1529"/>
      <c r="FPQ1529"/>
      <c r="FPR1529"/>
      <c r="FPS1529"/>
      <c r="FPT1529"/>
      <c r="FPU1529"/>
      <c r="FPV1529"/>
      <c r="FPW1529"/>
      <c r="FPX1529"/>
      <c r="FPY1529"/>
      <c r="FPZ1529"/>
      <c r="FQA1529"/>
      <c r="FQB1529"/>
      <c r="FQC1529"/>
      <c r="FQD1529"/>
      <c r="FQE1529"/>
      <c r="FQF1529"/>
      <c r="FQG1529"/>
      <c r="FQH1529"/>
      <c r="FQI1529"/>
      <c r="FQJ1529"/>
      <c r="FQK1529"/>
      <c r="FQL1529"/>
      <c r="FQM1529"/>
      <c r="FQN1529"/>
      <c r="FQO1529"/>
      <c r="FQP1529"/>
      <c r="FQQ1529"/>
      <c r="FQR1529"/>
      <c r="FQS1529"/>
      <c r="FQT1529"/>
      <c r="FQU1529"/>
      <c r="FQV1529"/>
      <c r="FQW1529"/>
      <c r="FQX1529"/>
      <c r="FQY1529"/>
      <c r="FQZ1529"/>
      <c r="FRA1529"/>
      <c r="FRB1529"/>
      <c r="FRC1529"/>
      <c r="FRD1529"/>
      <c r="FRE1529"/>
      <c r="FRF1529"/>
      <c r="FRG1529"/>
      <c r="FRH1529"/>
      <c r="FRI1529"/>
      <c r="FRJ1529"/>
      <c r="FRK1529"/>
      <c r="FRL1529"/>
      <c r="FRM1529"/>
      <c r="FRN1529"/>
      <c r="FRO1529"/>
      <c r="FRP1529"/>
      <c r="FRQ1529"/>
      <c r="FRR1529"/>
      <c r="FRS1529"/>
      <c r="FRT1529"/>
      <c r="FRU1529"/>
      <c r="FRV1529"/>
      <c r="FRW1529"/>
      <c r="FRX1529"/>
      <c r="FRY1529"/>
      <c r="FRZ1529"/>
      <c r="FSA1529"/>
      <c r="FSB1529"/>
      <c r="FSC1529"/>
      <c r="FSD1529"/>
      <c r="FSE1529"/>
      <c r="FSF1529"/>
      <c r="FSG1529"/>
      <c r="FSH1529"/>
      <c r="FSI1529"/>
      <c r="FSJ1529"/>
      <c r="FSK1529"/>
      <c r="FSL1529"/>
      <c r="FSM1529"/>
      <c r="FSN1529"/>
      <c r="FSO1529"/>
      <c r="FSP1529"/>
      <c r="FSQ1529"/>
      <c r="FSR1529"/>
      <c r="FSS1529"/>
      <c r="FST1529"/>
      <c r="FSU1529"/>
      <c r="FSV1529"/>
      <c r="FSW1529"/>
      <c r="FSX1529"/>
      <c r="FSY1529"/>
      <c r="FSZ1529"/>
      <c r="FTA1529"/>
      <c r="FTB1529"/>
      <c r="FTC1529"/>
      <c r="FTD1529"/>
      <c r="FTE1529"/>
      <c r="FTF1529"/>
      <c r="FTG1529"/>
      <c r="FTH1529"/>
      <c r="FTI1529"/>
      <c r="FTJ1529"/>
      <c r="FTK1529"/>
      <c r="FTL1529"/>
      <c r="FTM1529"/>
      <c r="FTN1529"/>
      <c r="FTO1529"/>
      <c r="FTP1529"/>
      <c r="FTQ1529"/>
      <c r="FTR1529"/>
      <c r="FTS1529"/>
      <c r="FTT1529"/>
      <c r="FTU1529"/>
      <c r="FTV1529"/>
      <c r="FTW1529"/>
      <c r="FTX1529"/>
      <c r="FTY1529"/>
      <c r="FTZ1529"/>
      <c r="FUA1529"/>
      <c r="FUB1529"/>
      <c r="FUC1529"/>
      <c r="FUD1529"/>
      <c r="FUE1529"/>
      <c r="FUF1529"/>
      <c r="FUG1529"/>
      <c r="FUH1529"/>
      <c r="FUI1529"/>
      <c r="FUJ1529"/>
      <c r="FUK1529"/>
      <c r="FUL1529"/>
      <c r="FUM1529"/>
      <c r="FUN1529"/>
      <c r="FUO1529"/>
      <c r="FUP1529"/>
      <c r="FUQ1529"/>
      <c r="FUR1529"/>
      <c r="FUS1529"/>
      <c r="FUT1529"/>
      <c r="FUU1529"/>
      <c r="FUV1529"/>
      <c r="FUW1529"/>
      <c r="FUX1529"/>
      <c r="FUY1529"/>
      <c r="FUZ1529"/>
      <c r="FVA1529"/>
      <c r="FVB1529"/>
      <c r="FVC1529"/>
      <c r="FVD1529"/>
      <c r="FVE1529"/>
      <c r="FVF1529"/>
      <c r="FVG1529"/>
      <c r="FVH1529"/>
      <c r="FVI1529"/>
      <c r="FVJ1529"/>
      <c r="FVK1529"/>
      <c r="FVL1529"/>
      <c r="FVM1529"/>
      <c r="FVN1529"/>
      <c r="FVO1529"/>
      <c r="FVP1529"/>
      <c r="FVQ1529"/>
      <c r="FVR1529"/>
      <c r="FVS1529"/>
      <c r="FVT1529"/>
      <c r="FVU1529"/>
      <c r="FVV1529"/>
      <c r="FVW1529"/>
      <c r="FVX1529"/>
      <c r="FVY1529"/>
      <c r="FVZ1529"/>
      <c r="FWA1529"/>
      <c r="FWB1529"/>
      <c r="FWC1529"/>
      <c r="FWD1529"/>
      <c r="FWE1529"/>
      <c r="FWF1529"/>
      <c r="FWG1529"/>
      <c r="FWH1529"/>
      <c r="FWI1529"/>
      <c r="FWJ1529"/>
      <c r="FWK1529"/>
      <c r="FWL1529"/>
      <c r="FWM1529"/>
      <c r="FWN1529"/>
      <c r="FWO1529"/>
      <c r="FWP1529"/>
      <c r="FWQ1529"/>
      <c r="FWR1529"/>
      <c r="FWS1529"/>
      <c r="FWT1529"/>
      <c r="FWU1529"/>
      <c r="FWV1529"/>
      <c r="FWW1529"/>
      <c r="FWX1529"/>
      <c r="FWY1529"/>
      <c r="FWZ1529"/>
      <c r="FXA1529"/>
      <c r="FXB1529"/>
      <c r="FXC1529"/>
      <c r="FXD1529"/>
      <c r="FXE1529"/>
      <c r="FXF1529"/>
      <c r="FXG1529"/>
      <c r="FXH1529"/>
      <c r="FXI1529"/>
      <c r="FXJ1529"/>
      <c r="FXK1529"/>
      <c r="FXL1529"/>
      <c r="FXM1529"/>
      <c r="FXN1529"/>
      <c r="FXO1529"/>
      <c r="FXP1529"/>
      <c r="FXQ1529"/>
      <c r="FXR1529"/>
      <c r="FXS1529"/>
      <c r="FXT1529"/>
      <c r="FXU1529"/>
      <c r="FXV1529"/>
      <c r="FXW1529"/>
      <c r="FXX1529"/>
      <c r="FXY1529"/>
      <c r="FXZ1529"/>
      <c r="FYA1529"/>
      <c r="FYB1529"/>
      <c r="FYC1529"/>
      <c r="FYD1529"/>
      <c r="FYE1529"/>
      <c r="FYF1529"/>
      <c r="FYG1529"/>
      <c r="FYH1529"/>
      <c r="FYI1529"/>
      <c r="FYJ1529"/>
      <c r="FYK1529"/>
      <c r="FYL1529"/>
      <c r="FYM1529"/>
      <c r="FYN1529"/>
      <c r="FYO1529"/>
      <c r="FYP1529"/>
      <c r="FYQ1529"/>
      <c r="FYR1529"/>
      <c r="FYS1529"/>
      <c r="FYT1529"/>
      <c r="FYU1529"/>
      <c r="FYV1529"/>
      <c r="FYW1529"/>
      <c r="FYX1529"/>
      <c r="FYY1529"/>
      <c r="FYZ1529"/>
      <c r="FZA1529"/>
      <c r="FZB1529"/>
      <c r="FZC1529"/>
      <c r="FZD1529"/>
      <c r="FZE1529"/>
      <c r="FZF1529"/>
      <c r="FZG1529"/>
      <c r="FZH1529"/>
      <c r="FZI1529"/>
      <c r="FZJ1529"/>
      <c r="FZK1529"/>
      <c r="FZL1529"/>
      <c r="FZM1529"/>
      <c r="FZN1529"/>
      <c r="FZO1529"/>
      <c r="FZP1529"/>
      <c r="FZQ1529"/>
      <c r="FZR1529"/>
      <c r="FZS1529"/>
      <c r="FZT1529"/>
      <c r="FZU1529"/>
      <c r="FZV1529"/>
      <c r="FZW1529"/>
      <c r="FZX1529"/>
      <c r="FZY1529"/>
      <c r="FZZ1529"/>
      <c r="GAA1529"/>
      <c r="GAB1529"/>
      <c r="GAC1529"/>
      <c r="GAD1529"/>
      <c r="GAE1529"/>
      <c r="GAF1529"/>
      <c r="GAG1529"/>
      <c r="GAH1529"/>
      <c r="GAI1529"/>
      <c r="GAJ1529"/>
      <c r="GAK1529"/>
      <c r="GAL1529"/>
      <c r="GAM1529"/>
      <c r="GAN1529"/>
      <c r="GAO1529"/>
      <c r="GAP1529"/>
      <c r="GAQ1529"/>
      <c r="GAR1529"/>
      <c r="GAS1529"/>
      <c r="GAT1529"/>
      <c r="GAU1529"/>
      <c r="GAV1529"/>
      <c r="GAW1529"/>
      <c r="GAX1529"/>
      <c r="GAY1529"/>
      <c r="GAZ1529"/>
      <c r="GBA1529"/>
      <c r="GBB1529"/>
      <c r="GBC1529"/>
      <c r="GBD1529"/>
      <c r="GBE1529"/>
      <c r="GBF1529"/>
      <c r="GBG1529"/>
      <c r="GBH1529"/>
      <c r="GBI1529"/>
      <c r="GBJ1529"/>
      <c r="GBK1529"/>
      <c r="GBL1529"/>
      <c r="GBM1529"/>
      <c r="GBN1529"/>
      <c r="GBO1529"/>
      <c r="GBP1529"/>
      <c r="GBQ1529"/>
      <c r="GBR1529"/>
      <c r="GBS1529"/>
      <c r="GBT1529"/>
      <c r="GBU1529"/>
      <c r="GBV1529"/>
      <c r="GBW1529"/>
      <c r="GBX1529"/>
      <c r="GBY1529"/>
      <c r="GBZ1529"/>
      <c r="GCA1529"/>
      <c r="GCB1529"/>
      <c r="GCC1529"/>
      <c r="GCD1529"/>
      <c r="GCE1529"/>
      <c r="GCF1529"/>
      <c r="GCG1529"/>
      <c r="GCH1529"/>
      <c r="GCI1529"/>
      <c r="GCJ1529"/>
      <c r="GCK1529"/>
      <c r="GCL1529"/>
      <c r="GCM1529"/>
      <c r="GCN1529"/>
      <c r="GCO1529"/>
      <c r="GCP1529"/>
      <c r="GCQ1529"/>
      <c r="GCR1529"/>
      <c r="GCS1529"/>
      <c r="GCT1529"/>
      <c r="GCU1529"/>
      <c r="GCV1529"/>
      <c r="GCW1529"/>
      <c r="GCX1529"/>
      <c r="GCY1529"/>
      <c r="GCZ1529"/>
      <c r="GDA1529"/>
      <c r="GDB1529"/>
      <c r="GDC1529"/>
      <c r="GDD1529"/>
      <c r="GDE1529"/>
      <c r="GDF1529"/>
      <c r="GDG1529"/>
      <c r="GDH1529"/>
      <c r="GDI1529"/>
      <c r="GDJ1529"/>
      <c r="GDK1529"/>
      <c r="GDL1529"/>
      <c r="GDM1529"/>
      <c r="GDN1529"/>
      <c r="GDO1529"/>
      <c r="GDP1529"/>
      <c r="GDQ1529"/>
      <c r="GDR1529"/>
      <c r="GDS1529"/>
      <c r="GDT1529"/>
      <c r="GDU1529"/>
      <c r="GDV1529"/>
      <c r="GDW1529"/>
      <c r="GDX1529"/>
      <c r="GDY1529"/>
      <c r="GDZ1529"/>
      <c r="GEA1529"/>
      <c r="GEB1529"/>
      <c r="GEC1529"/>
      <c r="GED1529"/>
      <c r="GEE1529"/>
      <c r="GEF1529"/>
      <c r="GEG1529"/>
      <c r="GEH1529"/>
      <c r="GEI1529"/>
      <c r="GEJ1529"/>
      <c r="GEK1529"/>
      <c r="GEL1529"/>
      <c r="GEM1529"/>
      <c r="GEN1529"/>
      <c r="GEO1529"/>
      <c r="GEP1529"/>
      <c r="GEQ1529"/>
      <c r="GER1529"/>
      <c r="GES1529"/>
      <c r="GET1529"/>
      <c r="GEU1529"/>
      <c r="GEV1529"/>
      <c r="GEW1529"/>
      <c r="GEX1529"/>
      <c r="GEY1529"/>
      <c r="GEZ1529"/>
      <c r="GFA1529"/>
      <c r="GFB1529"/>
      <c r="GFC1529"/>
      <c r="GFD1529"/>
      <c r="GFE1529"/>
      <c r="GFF1529"/>
      <c r="GFG1529"/>
      <c r="GFH1529"/>
      <c r="GFI1529"/>
      <c r="GFJ1529"/>
      <c r="GFK1529"/>
      <c r="GFL1529"/>
      <c r="GFM1529"/>
      <c r="GFN1529"/>
      <c r="GFO1529"/>
      <c r="GFP1529"/>
      <c r="GFQ1529"/>
      <c r="GFR1529"/>
      <c r="GFS1529"/>
      <c r="GFT1529"/>
      <c r="GFU1529"/>
      <c r="GFV1529"/>
      <c r="GFW1529"/>
      <c r="GFX1529"/>
      <c r="GFY1529"/>
      <c r="GFZ1529"/>
      <c r="GGA1529"/>
      <c r="GGB1529"/>
      <c r="GGC1529"/>
      <c r="GGD1529"/>
      <c r="GGE1529"/>
      <c r="GGF1529"/>
      <c r="GGG1529"/>
      <c r="GGH1529"/>
      <c r="GGI1529"/>
      <c r="GGJ1529"/>
      <c r="GGK1529"/>
      <c r="GGL1529"/>
      <c r="GGM1529"/>
      <c r="GGN1529"/>
      <c r="GGO1529"/>
      <c r="GGP1529"/>
      <c r="GGQ1529"/>
      <c r="GGR1529"/>
      <c r="GGS1529"/>
      <c r="GGT1529"/>
      <c r="GGU1529"/>
      <c r="GGV1529"/>
      <c r="GGW1529"/>
      <c r="GGX1529"/>
      <c r="GGY1529"/>
      <c r="GGZ1529"/>
      <c r="GHA1529"/>
      <c r="GHB1529"/>
      <c r="GHC1529"/>
      <c r="GHD1529"/>
      <c r="GHE1529"/>
      <c r="GHF1529"/>
      <c r="GHG1529"/>
      <c r="GHH1529"/>
      <c r="GHI1529"/>
      <c r="GHJ1529"/>
      <c r="GHK1529"/>
      <c r="GHL1529"/>
      <c r="GHM1529"/>
      <c r="GHN1529"/>
      <c r="GHO1529"/>
      <c r="GHP1529"/>
      <c r="GHQ1529"/>
      <c r="GHR1529"/>
      <c r="GHS1529"/>
      <c r="GHT1529"/>
      <c r="GHU1529"/>
      <c r="GHV1529"/>
      <c r="GHW1529"/>
      <c r="GHX1529"/>
      <c r="GHY1529"/>
      <c r="GHZ1529"/>
      <c r="GIA1529"/>
      <c r="GIB1529"/>
      <c r="GIC1529"/>
      <c r="GID1529"/>
      <c r="GIE1529"/>
      <c r="GIF1529"/>
      <c r="GIG1529"/>
      <c r="GIH1529"/>
      <c r="GII1529"/>
      <c r="GIJ1529"/>
      <c r="GIK1529"/>
      <c r="GIL1529"/>
      <c r="GIM1529"/>
      <c r="GIN1529"/>
      <c r="GIO1529"/>
      <c r="GIP1529"/>
      <c r="GIQ1529"/>
      <c r="GIR1529"/>
      <c r="GIS1529"/>
      <c r="GIT1529"/>
      <c r="GIU1529"/>
      <c r="GIV1529"/>
      <c r="GIW1529"/>
      <c r="GIX1529"/>
      <c r="GIY1529"/>
      <c r="GIZ1529"/>
      <c r="GJA1529"/>
      <c r="GJB1529"/>
      <c r="GJC1529"/>
      <c r="GJD1529"/>
      <c r="GJE1529"/>
      <c r="GJF1529"/>
      <c r="GJG1529"/>
      <c r="GJH1529"/>
      <c r="GJI1529"/>
      <c r="GJJ1529"/>
      <c r="GJK1529"/>
      <c r="GJL1529"/>
      <c r="GJM1529"/>
      <c r="GJN1529"/>
      <c r="GJO1529"/>
      <c r="GJP1529"/>
      <c r="GJQ1529"/>
      <c r="GJR1529"/>
      <c r="GJS1529"/>
      <c r="GJT1529"/>
      <c r="GJU1529"/>
      <c r="GJV1529"/>
      <c r="GJW1529"/>
      <c r="GJX1529"/>
      <c r="GJY1529"/>
      <c r="GJZ1529"/>
      <c r="GKA1529"/>
      <c r="GKB1529"/>
      <c r="GKC1529"/>
      <c r="GKD1529"/>
      <c r="GKE1529"/>
      <c r="GKF1529"/>
      <c r="GKG1529"/>
      <c r="GKH1529"/>
      <c r="GKI1529"/>
      <c r="GKJ1529"/>
      <c r="GKK1529"/>
      <c r="GKL1529"/>
      <c r="GKM1529"/>
      <c r="GKN1529"/>
      <c r="GKO1529"/>
      <c r="GKP1529"/>
      <c r="GKQ1529"/>
      <c r="GKR1529"/>
      <c r="GKS1529"/>
      <c r="GKT1529"/>
      <c r="GKU1529"/>
      <c r="GKV1529"/>
      <c r="GKW1529"/>
      <c r="GKX1529"/>
      <c r="GKY1529"/>
      <c r="GKZ1529"/>
      <c r="GLA1529"/>
      <c r="GLB1529"/>
      <c r="GLC1529"/>
      <c r="GLD1529"/>
      <c r="GLE1529"/>
      <c r="GLF1529"/>
      <c r="GLG1529"/>
      <c r="GLH1529"/>
      <c r="GLI1529"/>
      <c r="GLJ1529"/>
      <c r="GLK1529"/>
      <c r="GLL1529"/>
      <c r="GLM1529"/>
      <c r="GLN1529"/>
      <c r="GLO1529"/>
      <c r="GLP1529"/>
      <c r="GLQ1529"/>
      <c r="GLR1529"/>
      <c r="GLS1529"/>
      <c r="GLT1529"/>
      <c r="GLU1529"/>
      <c r="GLV1529"/>
      <c r="GLW1529"/>
      <c r="GLX1529"/>
      <c r="GLY1529"/>
      <c r="GLZ1529"/>
      <c r="GMA1529"/>
      <c r="GMB1529"/>
      <c r="GMC1529"/>
      <c r="GMD1529"/>
      <c r="GME1529"/>
      <c r="GMF1529"/>
      <c r="GMG1529"/>
      <c r="GMH1529"/>
      <c r="GMI1529"/>
      <c r="GMJ1529"/>
      <c r="GMK1529"/>
      <c r="GML1529"/>
      <c r="GMM1529"/>
      <c r="GMN1529"/>
      <c r="GMO1529"/>
      <c r="GMP1529"/>
      <c r="GMQ1529"/>
      <c r="GMR1529"/>
      <c r="GMS1529"/>
      <c r="GMT1529"/>
      <c r="GMU1529"/>
      <c r="GMV1529"/>
      <c r="GMW1529"/>
      <c r="GMX1529"/>
      <c r="GMY1529"/>
      <c r="GMZ1529"/>
      <c r="GNA1529"/>
      <c r="GNB1529"/>
      <c r="GNC1529"/>
      <c r="GND1529"/>
      <c r="GNE1529"/>
      <c r="GNF1529"/>
      <c r="GNG1529"/>
      <c r="GNH1529"/>
      <c r="GNI1529"/>
      <c r="GNJ1529"/>
      <c r="GNK1529"/>
      <c r="GNL1529"/>
      <c r="GNM1529"/>
      <c r="GNN1529"/>
      <c r="GNO1529"/>
      <c r="GNP1529"/>
      <c r="GNQ1529"/>
      <c r="GNR1529"/>
      <c r="GNS1529"/>
      <c r="GNT1529"/>
      <c r="GNU1529"/>
      <c r="GNV1529"/>
      <c r="GNW1529"/>
      <c r="GNX1529"/>
      <c r="GNY1529"/>
      <c r="GNZ1529"/>
      <c r="GOA1529"/>
      <c r="GOB1529"/>
      <c r="GOC1529"/>
      <c r="GOD1529"/>
      <c r="GOE1529"/>
      <c r="GOF1529"/>
      <c r="GOG1529"/>
      <c r="GOH1529"/>
      <c r="GOI1529"/>
      <c r="GOJ1529"/>
      <c r="GOK1529"/>
      <c r="GOL1529"/>
      <c r="GOM1529"/>
      <c r="GON1529"/>
      <c r="GOO1529"/>
      <c r="GOP1529"/>
      <c r="GOQ1529"/>
      <c r="GOR1529"/>
      <c r="GOS1529"/>
      <c r="GOT1529"/>
      <c r="GOU1529"/>
      <c r="GOV1529"/>
      <c r="GOW1529"/>
      <c r="GOX1529"/>
      <c r="GOY1529"/>
      <c r="GOZ1529"/>
      <c r="GPA1529"/>
      <c r="GPB1529"/>
      <c r="GPC1529"/>
      <c r="GPD1529"/>
      <c r="GPE1529"/>
      <c r="GPF1529"/>
      <c r="GPG1529"/>
      <c r="GPH1529"/>
      <c r="GPI1529"/>
      <c r="GPJ1529"/>
      <c r="GPK1529"/>
      <c r="GPL1529"/>
      <c r="GPM1529"/>
      <c r="GPN1529"/>
      <c r="GPO1529"/>
      <c r="GPP1529"/>
      <c r="GPQ1529"/>
      <c r="GPR1529"/>
      <c r="GPS1529"/>
      <c r="GPT1529"/>
      <c r="GPU1529"/>
      <c r="GPV1529"/>
      <c r="GPW1529"/>
      <c r="GPX1529"/>
      <c r="GPY1529"/>
      <c r="GPZ1529"/>
      <c r="GQA1529"/>
      <c r="GQB1529"/>
      <c r="GQC1529"/>
      <c r="GQD1529"/>
      <c r="GQE1529"/>
      <c r="GQF1529"/>
      <c r="GQG1529"/>
      <c r="GQH1529"/>
      <c r="GQI1529"/>
      <c r="GQJ1529"/>
      <c r="GQK1529"/>
      <c r="GQL1529"/>
      <c r="GQM1529"/>
      <c r="GQN1529"/>
      <c r="GQO1529"/>
      <c r="GQP1529"/>
      <c r="GQQ1529"/>
      <c r="GQR1529"/>
      <c r="GQS1529"/>
      <c r="GQT1529"/>
      <c r="GQU1529"/>
      <c r="GQV1529"/>
      <c r="GQW1529"/>
      <c r="GQX1529"/>
      <c r="GQY1529"/>
      <c r="GQZ1529"/>
      <c r="GRA1529"/>
      <c r="GRB1529"/>
      <c r="GRC1529"/>
      <c r="GRD1529"/>
      <c r="GRE1529"/>
      <c r="GRF1529"/>
      <c r="GRG1529"/>
      <c r="GRH1529"/>
      <c r="GRI1529"/>
      <c r="GRJ1529"/>
      <c r="GRK1529"/>
      <c r="GRL1529"/>
      <c r="GRM1529"/>
      <c r="GRN1529"/>
      <c r="GRO1529"/>
      <c r="GRP1529"/>
      <c r="GRQ1529"/>
      <c r="GRR1529"/>
      <c r="GRS1529"/>
      <c r="GRT1529"/>
      <c r="GRU1529"/>
      <c r="GRV1529"/>
      <c r="GRW1529"/>
      <c r="GRX1529"/>
      <c r="GRY1529"/>
      <c r="GRZ1529"/>
      <c r="GSA1529"/>
      <c r="GSB1529"/>
      <c r="GSC1529"/>
      <c r="GSD1529"/>
      <c r="GSE1529"/>
      <c r="GSF1529"/>
      <c r="GSG1529"/>
      <c r="GSH1529"/>
      <c r="GSI1529"/>
      <c r="GSJ1529"/>
      <c r="GSK1529"/>
      <c r="GSL1529"/>
      <c r="GSM1529"/>
      <c r="GSN1529"/>
      <c r="GSO1529"/>
      <c r="GSP1529"/>
      <c r="GSQ1529"/>
      <c r="GSR1529"/>
      <c r="GSS1529"/>
      <c r="GST1529"/>
      <c r="GSU1529"/>
      <c r="GSV1529"/>
      <c r="GSW1529"/>
      <c r="GSX1529"/>
      <c r="GSY1529"/>
      <c r="GSZ1529"/>
      <c r="GTA1529"/>
      <c r="GTB1529"/>
      <c r="GTC1529"/>
      <c r="GTD1529"/>
      <c r="GTE1529"/>
      <c r="GTF1529"/>
      <c r="GTG1529"/>
      <c r="GTH1529"/>
      <c r="GTI1529"/>
      <c r="GTJ1529"/>
      <c r="GTK1529"/>
      <c r="GTL1529"/>
      <c r="GTM1529"/>
      <c r="GTN1529"/>
      <c r="GTO1529"/>
      <c r="GTP1529"/>
      <c r="GTQ1529"/>
      <c r="GTR1529"/>
      <c r="GTS1529"/>
      <c r="GTT1529"/>
      <c r="GTU1529"/>
      <c r="GTV1529"/>
      <c r="GTW1529"/>
      <c r="GTX1529"/>
      <c r="GTY1529"/>
      <c r="GTZ1529"/>
      <c r="GUA1529"/>
      <c r="GUB1529"/>
      <c r="GUC1529"/>
      <c r="GUD1529"/>
      <c r="GUE1529"/>
      <c r="GUF1529"/>
      <c r="GUG1529"/>
      <c r="GUH1529"/>
      <c r="GUI1529"/>
      <c r="GUJ1529"/>
      <c r="GUK1529"/>
      <c r="GUL1529"/>
      <c r="GUM1529"/>
      <c r="GUN1529"/>
      <c r="GUO1529"/>
      <c r="GUP1529"/>
      <c r="GUQ1529"/>
      <c r="GUR1529"/>
      <c r="GUS1529"/>
      <c r="GUT1529"/>
      <c r="GUU1529"/>
      <c r="GUV1529"/>
      <c r="GUW1529"/>
      <c r="GUX1529"/>
      <c r="GUY1529"/>
      <c r="GUZ1529"/>
      <c r="GVA1529"/>
      <c r="GVB1529"/>
      <c r="GVC1529"/>
      <c r="GVD1529"/>
      <c r="GVE1529"/>
      <c r="GVF1529"/>
      <c r="GVG1529"/>
      <c r="GVH1529"/>
      <c r="GVI1529"/>
      <c r="GVJ1529"/>
      <c r="GVK1529"/>
      <c r="GVL1529"/>
      <c r="GVM1529"/>
      <c r="GVN1529"/>
      <c r="GVO1529"/>
      <c r="GVP1529"/>
      <c r="GVQ1529"/>
      <c r="GVR1529"/>
      <c r="GVS1529"/>
      <c r="GVT1529"/>
      <c r="GVU1529"/>
      <c r="GVV1529"/>
      <c r="GVW1529"/>
      <c r="GVX1529"/>
      <c r="GVY1529"/>
      <c r="GVZ1529"/>
      <c r="GWA1529"/>
      <c r="GWB1529"/>
      <c r="GWC1529"/>
      <c r="GWD1529"/>
      <c r="GWE1529"/>
      <c r="GWF1529"/>
      <c r="GWG1529"/>
      <c r="GWH1529"/>
      <c r="GWI1529"/>
      <c r="GWJ1529"/>
      <c r="GWK1529"/>
      <c r="GWL1529"/>
      <c r="GWM1529"/>
      <c r="GWN1529"/>
      <c r="GWO1529"/>
      <c r="GWP1529"/>
      <c r="GWQ1529"/>
      <c r="GWR1529"/>
      <c r="GWS1529"/>
      <c r="GWT1529"/>
      <c r="GWU1529"/>
      <c r="GWV1529"/>
      <c r="GWW1529"/>
      <c r="GWX1529"/>
      <c r="GWY1529"/>
      <c r="GWZ1529"/>
      <c r="GXA1529"/>
      <c r="GXB1529"/>
      <c r="GXC1529"/>
      <c r="GXD1529"/>
      <c r="GXE1529"/>
      <c r="GXF1529"/>
      <c r="GXG1529"/>
      <c r="GXH1529"/>
      <c r="GXI1529"/>
      <c r="GXJ1529"/>
      <c r="GXK1529"/>
      <c r="GXL1529"/>
      <c r="GXM1529"/>
      <c r="GXN1529"/>
      <c r="GXO1529"/>
      <c r="GXP1529"/>
      <c r="GXQ1529"/>
      <c r="GXR1529"/>
      <c r="GXS1529"/>
      <c r="GXT1529"/>
      <c r="GXU1529"/>
      <c r="GXV1529"/>
      <c r="GXW1529"/>
      <c r="GXX1529"/>
      <c r="GXY1529"/>
      <c r="GXZ1529"/>
      <c r="GYA1529"/>
      <c r="GYB1529"/>
      <c r="GYC1529"/>
      <c r="GYD1529"/>
      <c r="GYE1529"/>
      <c r="GYF1529"/>
      <c r="GYG1529"/>
      <c r="GYH1529"/>
      <c r="GYI1529"/>
      <c r="GYJ1529"/>
      <c r="GYK1529"/>
      <c r="GYL1529"/>
      <c r="GYM1529"/>
      <c r="GYN1529"/>
      <c r="GYO1529"/>
      <c r="GYP1529"/>
      <c r="GYQ1529"/>
      <c r="GYR1529"/>
      <c r="GYS1529"/>
      <c r="GYT1529"/>
      <c r="GYU1529"/>
      <c r="GYV1529"/>
      <c r="GYW1529"/>
      <c r="GYX1529"/>
      <c r="GYY1529"/>
      <c r="GYZ1529"/>
      <c r="GZA1529"/>
      <c r="GZB1529"/>
      <c r="GZC1529"/>
      <c r="GZD1529"/>
      <c r="GZE1529"/>
      <c r="GZF1529"/>
      <c r="GZG1529"/>
      <c r="GZH1529"/>
      <c r="GZI1529"/>
      <c r="GZJ1529"/>
      <c r="GZK1529"/>
      <c r="GZL1529"/>
      <c r="GZM1529"/>
      <c r="GZN1529"/>
      <c r="GZO1529"/>
      <c r="GZP1529"/>
      <c r="GZQ1529"/>
      <c r="GZR1529"/>
      <c r="GZS1529"/>
      <c r="GZT1529"/>
      <c r="GZU1529"/>
      <c r="GZV1529"/>
      <c r="GZW1529"/>
      <c r="GZX1529"/>
      <c r="GZY1529"/>
      <c r="GZZ1529"/>
      <c r="HAA1529"/>
      <c r="HAB1529"/>
      <c r="HAC1529"/>
      <c r="HAD1529"/>
      <c r="HAE1529"/>
      <c r="HAF1529"/>
      <c r="HAG1529"/>
      <c r="HAH1529"/>
      <c r="HAI1529"/>
      <c r="HAJ1529"/>
      <c r="HAK1529"/>
      <c r="HAL1529"/>
      <c r="HAM1529"/>
      <c r="HAN1529"/>
      <c r="HAO1529"/>
      <c r="HAP1529"/>
      <c r="HAQ1529"/>
      <c r="HAR1529"/>
      <c r="HAS1529"/>
      <c r="HAT1529"/>
      <c r="HAU1529"/>
      <c r="HAV1529"/>
      <c r="HAW1529"/>
      <c r="HAX1529"/>
      <c r="HAY1529"/>
      <c r="HAZ1529"/>
      <c r="HBA1529"/>
      <c r="HBB1529"/>
      <c r="HBC1529"/>
      <c r="HBD1529"/>
      <c r="HBE1529"/>
      <c r="HBF1529"/>
      <c r="HBG1529"/>
      <c r="HBH1529"/>
      <c r="HBI1529"/>
      <c r="HBJ1529"/>
      <c r="HBK1529"/>
      <c r="HBL1529"/>
      <c r="HBM1529"/>
      <c r="HBN1529"/>
      <c r="HBO1529"/>
      <c r="HBP1529"/>
      <c r="HBQ1529"/>
      <c r="HBR1529"/>
      <c r="HBS1529"/>
      <c r="HBT1529"/>
      <c r="HBU1529"/>
      <c r="HBV1529"/>
      <c r="HBW1529"/>
      <c r="HBX1529"/>
      <c r="HBY1529"/>
      <c r="HBZ1529"/>
      <c r="HCA1529"/>
      <c r="HCB1529"/>
      <c r="HCC1529"/>
      <c r="HCD1529"/>
      <c r="HCE1529"/>
      <c r="HCF1529"/>
      <c r="HCG1529"/>
      <c r="HCH1529"/>
      <c r="HCI1529"/>
      <c r="HCJ1529"/>
      <c r="HCK1529"/>
      <c r="HCL1529"/>
      <c r="HCM1529"/>
      <c r="HCN1529"/>
      <c r="HCO1529"/>
      <c r="HCP1529"/>
      <c r="HCQ1529"/>
      <c r="HCR1529"/>
      <c r="HCS1529"/>
      <c r="HCT1529"/>
      <c r="HCU1529"/>
      <c r="HCV1529"/>
      <c r="HCW1529"/>
      <c r="HCX1529"/>
      <c r="HCY1529"/>
      <c r="HCZ1529"/>
      <c r="HDA1529"/>
      <c r="HDB1529"/>
      <c r="HDC1529"/>
      <c r="HDD1529"/>
      <c r="HDE1529"/>
      <c r="HDF1529"/>
      <c r="HDG1529"/>
      <c r="HDH1529"/>
      <c r="HDI1529"/>
      <c r="HDJ1529"/>
      <c r="HDK1529"/>
      <c r="HDL1529"/>
      <c r="HDM1529"/>
      <c r="HDN1529"/>
      <c r="HDO1529"/>
      <c r="HDP1529"/>
      <c r="HDQ1529"/>
      <c r="HDR1529"/>
      <c r="HDS1529"/>
      <c r="HDT1529"/>
      <c r="HDU1529"/>
      <c r="HDV1529"/>
      <c r="HDW1529"/>
      <c r="HDX1529"/>
      <c r="HDY1529"/>
      <c r="HDZ1529"/>
      <c r="HEA1529"/>
      <c r="HEB1529"/>
      <c r="HEC1529"/>
      <c r="HED1529"/>
      <c r="HEE1529"/>
      <c r="HEF1529"/>
      <c r="HEG1529"/>
      <c r="HEH1529"/>
      <c r="HEI1529"/>
      <c r="HEJ1529"/>
      <c r="HEK1529"/>
      <c r="HEL1529"/>
      <c r="HEM1529"/>
      <c r="HEN1529"/>
      <c r="HEO1529"/>
      <c r="HEP1529"/>
      <c r="HEQ1529"/>
      <c r="HER1529"/>
      <c r="HES1529"/>
      <c r="HET1529"/>
      <c r="HEU1529"/>
      <c r="HEV1529"/>
      <c r="HEW1529"/>
      <c r="HEX1529"/>
      <c r="HEY1529"/>
      <c r="HEZ1529"/>
      <c r="HFA1529"/>
      <c r="HFB1529"/>
      <c r="HFC1529"/>
      <c r="HFD1529"/>
      <c r="HFE1529"/>
      <c r="HFF1529"/>
      <c r="HFG1529"/>
      <c r="HFH1529"/>
      <c r="HFI1529"/>
      <c r="HFJ1529"/>
      <c r="HFK1529"/>
      <c r="HFL1529"/>
      <c r="HFM1529"/>
      <c r="HFN1529"/>
      <c r="HFO1529"/>
      <c r="HFP1529"/>
      <c r="HFQ1529"/>
      <c r="HFR1529"/>
      <c r="HFS1529"/>
      <c r="HFT1529"/>
      <c r="HFU1529"/>
      <c r="HFV1529"/>
      <c r="HFW1529"/>
      <c r="HFX1529"/>
      <c r="HFY1529"/>
      <c r="HFZ1529"/>
      <c r="HGA1529"/>
      <c r="HGB1529"/>
      <c r="HGC1529"/>
      <c r="HGD1529"/>
      <c r="HGE1529"/>
      <c r="HGF1529"/>
      <c r="HGG1529"/>
      <c r="HGH1529"/>
      <c r="HGI1529"/>
      <c r="HGJ1529"/>
      <c r="HGK1529"/>
      <c r="HGL1529"/>
      <c r="HGM1529"/>
      <c r="HGN1529"/>
      <c r="HGO1529"/>
      <c r="HGP1529"/>
      <c r="HGQ1529"/>
      <c r="HGR1529"/>
      <c r="HGS1529"/>
      <c r="HGT1529"/>
      <c r="HGU1529"/>
      <c r="HGV1529"/>
      <c r="HGW1529"/>
      <c r="HGX1529"/>
      <c r="HGY1529"/>
      <c r="HGZ1529"/>
      <c r="HHA1529"/>
      <c r="HHB1529"/>
      <c r="HHC1529"/>
      <c r="HHD1529"/>
      <c r="HHE1529"/>
      <c r="HHF1529"/>
      <c r="HHG1529"/>
      <c r="HHH1529"/>
      <c r="HHI1529"/>
      <c r="HHJ1529"/>
      <c r="HHK1529"/>
      <c r="HHL1529"/>
      <c r="HHM1529"/>
      <c r="HHN1529"/>
      <c r="HHO1529"/>
      <c r="HHP1529"/>
      <c r="HHQ1529"/>
      <c r="HHR1529"/>
      <c r="HHS1529"/>
      <c r="HHT1529"/>
      <c r="HHU1529"/>
      <c r="HHV1529"/>
      <c r="HHW1529"/>
      <c r="HHX1529"/>
      <c r="HHY1529"/>
      <c r="HHZ1529"/>
      <c r="HIA1529"/>
      <c r="HIB1529"/>
      <c r="HIC1529"/>
      <c r="HID1529"/>
      <c r="HIE1529"/>
      <c r="HIF1529"/>
      <c r="HIG1529"/>
      <c r="HIH1529"/>
      <c r="HII1529"/>
      <c r="HIJ1529"/>
      <c r="HIK1529"/>
      <c r="HIL1529"/>
      <c r="HIM1529"/>
      <c r="HIN1529"/>
      <c r="HIO1529"/>
      <c r="HIP1529"/>
      <c r="HIQ1529"/>
      <c r="HIR1529"/>
      <c r="HIS1529"/>
      <c r="HIT1529"/>
      <c r="HIU1529"/>
      <c r="HIV1529"/>
      <c r="HIW1529"/>
      <c r="HIX1529"/>
      <c r="HIY1529"/>
      <c r="HIZ1529"/>
      <c r="HJA1529"/>
      <c r="HJB1529"/>
      <c r="HJC1529"/>
      <c r="HJD1529"/>
      <c r="HJE1529"/>
      <c r="HJF1529"/>
      <c r="HJG1529"/>
      <c r="HJH1529"/>
      <c r="HJI1529"/>
      <c r="HJJ1529"/>
      <c r="HJK1529"/>
      <c r="HJL1529"/>
      <c r="HJM1529"/>
      <c r="HJN1529"/>
      <c r="HJO1529"/>
      <c r="HJP1529"/>
      <c r="HJQ1529"/>
      <c r="HJR1529"/>
      <c r="HJS1529"/>
      <c r="HJT1529"/>
      <c r="HJU1529"/>
      <c r="HJV1529"/>
      <c r="HJW1529"/>
      <c r="HJX1529"/>
      <c r="HJY1529"/>
      <c r="HJZ1529"/>
      <c r="HKA1529"/>
      <c r="HKB1529"/>
      <c r="HKC1529"/>
      <c r="HKD1529"/>
      <c r="HKE1529"/>
      <c r="HKF1529"/>
      <c r="HKG1529"/>
      <c r="HKH1529"/>
      <c r="HKI1529"/>
      <c r="HKJ1529"/>
      <c r="HKK1529"/>
      <c r="HKL1529"/>
      <c r="HKM1529"/>
      <c r="HKN1529"/>
      <c r="HKO1529"/>
      <c r="HKP1529"/>
      <c r="HKQ1529"/>
      <c r="HKR1529"/>
      <c r="HKS1529"/>
      <c r="HKT1529"/>
      <c r="HKU1529"/>
      <c r="HKV1529"/>
      <c r="HKW1529"/>
      <c r="HKX1529"/>
      <c r="HKY1529"/>
      <c r="HKZ1529"/>
      <c r="HLA1529"/>
      <c r="HLB1529"/>
      <c r="HLC1529"/>
      <c r="HLD1529"/>
      <c r="HLE1529"/>
      <c r="HLF1529"/>
      <c r="HLG1529"/>
      <c r="HLH1529"/>
      <c r="HLI1529"/>
      <c r="HLJ1529"/>
      <c r="HLK1529"/>
      <c r="HLL1529"/>
      <c r="HLM1529"/>
      <c r="HLN1529"/>
      <c r="HLO1529"/>
      <c r="HLP1529"/>
      <c r="HLQ1529"/>
      <c r="HLR1529"/>
      <c r="HLS1529"/>
      <c r="HLT1529"/>
      <c r="HLU1529"/>
      <c r="HLV1529"/>
      <c r="HLW1529"/>
      <c r="HLX1529"/>
      <c r="HLY1529"/>
      <c r="HLZ1529"/>
      <c r="HMA1529"/>
      <c r="HMB1529"/>
      <c r="HMC1529"/>
      <c r="HMD1529"/>
      <c r="HME1529"/>
      <c r="HMF1529"/>
      <c r="HMG1529"/>
      <c r="HMH1529"/>
      <c r="HMI1529"/>
      <c r="HMJ1529"/>
      <c r="HMK1529"/>
      <c r="HML1529"/>
      <c r="HMM1529"/>
      <c r="HMN1529"/>
      <c r="HMO1529"/>
      <c r="HMP1529"/>
      <c r="HMQ1529"/>
      <c r="HMR1529"/>
      <c r="HMS1529"/>
      <c r="HMT1529"/>
      <c r="HMU1529"/>
      <c r="HMV1529"/>
      <c r="HMW1529"/>
      <c r="HMX1529"/>
      <c r="HMY1529"/>
      <c r="HMZ1529"/>
      <c r="HNA1529"/>
      <c r="HNB1529"/>
      <c r="HNC1529"/>
      <c r="HND1529"/>
      <c r="HNE1529"/>
      <c r="HNF1529"/>
      <c r="HNG1529"/>
      <c r="HNH1529"/>
      <c r="HNI1529"/>
      <c r="HNJ1529"/>
      <c r="HNK1529"/>
      <c r="HNL1529"/>
      <c r="HNM1529"/>
      <c r="HNN1529"/>
      <c r="HNO1529"/>
      <c r="HNP1529"/>
      <c r="HNQ1529"/>
      <c r="HNR1529"/>
      <c r="HNS1529"/>
      <c r="HNT1529"/>
      <c r="HNU1529"/>
      <c r="HNV1529"/>
      <c r="HNW1529"/>
      <c r="HNX1529"/>
      <c r="HNY1529"/>
      <c r="HNZ1529"/>
      <c r="HOA1529"/>
      <c r="HOB1529"/>
      <c r="HOC1529"/>
      <c r="HOD1529"/>
      <c r="HOE1529"/>
      <c r="HOF1529"/>
      <c r="HOG1529"/>
      <c r="HOH1529"/>
      <c r="HOI1529"/>
      <c r="HOJ1529"/>
      <c r="HOK1529"/>
      <c r="HOL1529"/>
      <c r="HOM1529"/>
      <c r="HON1529"/>
      <c r="HOO1529"/>
      <c r="HOP1529"/>
      <c r="HOQ1529"/>
      <c r="HOR1529"/>
      <c r="HOS1529"/>
      <c r="HOT1529"/>
      <c r="HOU1529"/>
      <c r="HOV1529"/>
      <c r="HOW1529"/>
      <c r="HOX1529"/>
      <c r="HOY1529"/>
      <c r="HOZ1529"/>
      <c r="HPA1529"/>
      <c r="HPB1529"/>
      <c r="HPC1529"/>
      <c r="HPD1529"/>
      <c r="HPE1529"/>
      <c r="HPF1529"/>
      <c r="HPG1529"/>
      <c r="HPH1529"/>
      <c r="HPI1529"/>
      <c r="HPJ1529"/>
      <c r="HPK1529"/>
      <c r="HPL1529"/>
      <c r="HPM1529"/>
      <c r="HPN1529"/>
      <c r="HPO1529"/>
      <c r="HPP1529"/>
      <c r="HPQ1529"/>
      <c r="HPR1529"/>
      <c r="HPS1529"/>
      <c r="HPT1529"/>
      <c r="HPU1529"/>
      <c r="HPV1529"/>
      <c r="HPW1529"/>
      <c r="HPX1529"/>
      <c r="HPY1529"/>
      <c r="HPZ1529"/>
      <c r="HQA1529"/>
      <c r="HQB1529"/>
      <c r="HQC1529"/>
      <c r="HQD1529"/>
      <c r="HQE1529"/>
      <c r="HQF1529"/>
      <c r="HQG1529"/>
      <c r="HQH1529"/>
      <c r="HQI1529"/>
      <c r="HQJ1529"/>
      <c r="HQK1529"/>
      <c r="HQL1529"/>
      <c r="HQM1529"/>
      <c r="HQN1529"/>
      <c r="HQO1529"/>
      <c r="HQP1529"/>
      <c r="HQQ1529"/>
      <c r="HQR1529"/>
      <c r="HQS1529"/>
      <c r="HQT1529"/>
      <c r="HQU1529"/>
      <c r="HQV1529"/>
      <c r="HQW1529"/>
      <c r="HQX1529"/>
      <c r="HQY1529"/>
      <c r="HQZ1529"/>
      <c r="HRA1529"/>
      <c r="HRB1529"/>
      <c r="HRC1529"/>
      <c r="HRD1529"/>
      <c r="HRE1529"/>
      <c r="HRF1529"/>
      <c r="HRG1529"/>
      <c r="HRH1529"/>
      <c r="HRI1529"/>
      <c r="HRJ1529"/>
      <c r="HRK1529"/>
      <c r="HRL1529"/>
      <c r="HRM1529"/>
      <c r="HRN1529"/>
      <c r="HRO1529"/>
      <c r="HRP1529"/>
      <c r="HRQ1529"/>
      <c r="HRR1529"/>
      <c r="HRS1529"/>
      <c r="HRT1529"/>
      <c r="HRU1529"/>
      <c r="HRV1529"/>
      <c r="HRW1529"/>
      <c r="HRX1529"/>
      <c r="HRY1529"/>
      <c r="HRZ1529"/>
      <c r="HSA1529"/>
      <c r="HSB1529"/>
      <c r="HSC1529"/>
      <c r="HSD1529"/>
      <c r="HSE1529"/>
      <c r="HSF1529"/>
      <c r="HSG1529"/>
      <c r="HSH1529"/>
      <c r="HSI1529"/>
      <c r="HSJ1529"/>
      <c r="HSK1529"/>
      <c r="HSL1529"/>
      <c r="HSM1529"/>
      <c r="HSN1529"/>
      <c r="HSO1529"/>
      <c r="HSP1529"/>
      <c r="HSQ1529"/>
      <c r="HSR1529"/>
      <c r="HSS1529"/>
      <c r="HST1529"/>
      <c r="HSU1529"/>
      <c r="HSV1529"/>
      <c r="HSW1529"/>
      <c r="HSX1529"/>
      <c r="HSY1529"/>
      <c r="HSZ1529"/>
      <c r="HTA1529"/>
      <c r="HTB1529"/>
      <c r="HTC1529"/>
      <c r="HTD1529"/>
      <c r="HTE1529"/>
      <c r="HTF1529"/>
      <c r="HTG1529"/>
      <c r="HTH1529"/>
      <c r="HTI1529"/>
      <c r="HTJ1529"/>
      <c r="HTK1529"/>
      <c r="HTL1529"/>
      <c r="HTM1529"/>
      <c r="HTN1529"/>
      <c r="HTO1529"/>
      <c r="HTP1529"/>
      <c r="HTQ1529"/>
      <c r="HTR1529"/>
      <c r="HTS1529"/>
      <c r="HTT1529"/>
      <c r="HTU1529"/>
      <c r="HTV1529"/>
      <c r="HTW1529"/>
      <c r="HTX1529"/>
      <c r="HTY1529"/>
      <c r="HTZ1529"/>
      <c r="HUA1529"/>
      <c r="HUB1529"/>
      <c r="HUC1529"/>
      <c r="HUD1529"/>
      <c r="HUE1529"/>
      <c r="HUF1529"/>
      <c r="HUG1529"/>
      <c r="HUH1529"/>
      <c r="HUI1529"/>
      <c r="HUJ1529"/>
      <c r="HUK1529"/>
      <c r="HUL1529"/>
      <c r="HUM1529"/>
      <c r="HUN1529"/>
      <c r="HUO1529"/>
      <c r="HUP1529"/>
      <c r="HUQ1529"/>
      <c r="HUR1529"/>
      <c r="HUS1529"/>
      <c r="HUT1529"/>
      <c r="HUU1529"/>
      <c r="HUV1529"/>
      <c r="HUW1529"/>
      <c r="HUX1529"/>
      <c r="HUY1529"/>
      <c r="HUZ1529"/>
      <c r="HVA1529"/>
      <c r="HVB1529"/>
      <c r="HVC1529"/>
      <c r="HVD1529"/>
      <c r="HVE1529"/>
      <c r="HVF1529"/>
      <c r="HVG1529"/>
      <c r="HVH1529"/>
      <c r="HVI1529"/>
      <c r="HVJ1529"/>
      <c r="HVK1529"/>
      <c r="HVL1529"/>
      <c r="HVM1529"/>
      <c r="HVN1529"/>
      <c r="HVO1529"/>
      <c r="HVP1529"/>
      <c r="HVQ1529"/>
      <c r="HVR1529"/>
      <c r="HVS1529"/>
      <c r="HVT1529"/>
      <c r="HVU1529"/>
      <c r="HVV1529"/>
      <c r="HVW1529"/>
      <c r="HVX1529"/>
      <c r="HVY1529"/>
      <c r="HVZ1529"/>
      <c r="HWA1529"/>
      <c r="HWB1529"/>
      <c r="HWC1529"/>
      <c r="HWD1529"/>
      <c r="HWE1529"/>
      <c r="HWF1529"/>
      <c r="HWG1529"/>
      <c r="HWH1529"/>
      <c r="HWI1529"/>
      <c r="HWJ1529"/>
      <c r="HWK1529"/>
      <c r="HWL1529"/>
      <c r="HWM1529"/>
      <c r="HWN1529"/>
      <c r="HWO1529"/>
      <c r="HWP1529"/>
      <c r="HWQ1529"/>
      <c r="HWR1529"/>
      <c r="HWS1529"/>
      <c r="HWT1529"/>
      <c r="HWU1529"/>
      <c r="HWV1529"/>
      <c r="HWW1529"/>
      <c r="HWX1529"/>
      <c r="HWY1529"/>
      <c r="HWZ1529"/>
      <c r="HXA1529"/>
      <c r="HXB1529"/>
      <c r="HXC1529"/>
      <c r="HXD1529"/>
      <c r="HXE1529"/>
      <c r="HXF1529"/>
      <c r="HXG1529"/>
      <c r="HXH1529"/>
      <c r="HXI1529"/>
      <c r="HXJ1529"/>
      <c r="HXK1529"/>
      <c r="HXL1529"/>
      <c r="HXM1529"/>
      <c r="HXN1529"/>
      <c r="HXO1529"/>
      <c r="HXP1529"/>
      <c r="HXQ1529"/>
      <c r="HXR1529"/>
      <c r="HXS1529"/>
      <c r="HXT1529"/>
      <c r="HXU1529"/>
      <c r="HXV1529"/>
      <c r="HXW1529"/>
      <c r="HXX1529"/>
      <c r="HXY1529"/>
      <c r="HXZ1529"/>
      <c r="HYA1529"/>
      <c r="HYB1529"/>
      <c r="HYC1529"/>
      <c r="HYD1529"/>
      <c r="HYE1529"/>
      <c r="HYF1529"/>
      <c r="HYG1529"/>
      <c r="HYH1529"/>
      <c r="HYI1529"/>
      <c r="HYJ1529"/>
      <c r="HYK1529"/>
      <c r="HYL1529"/>
      <c r="HYM1529"/>
      <c r="HYN1529"/>
      <c r="HYO1529"/>
      <c r="HYP1529"/>
      <c r="HYQ1529"/>
      <c r="HYR1529"/>
      <c r="HYS1529"/>
      <c r="HYT1529"/>
      <c r="HYU1529"/>
      <c r="HYV1529"/>
      <c r="HYW1529"/>
      <c r="HYX1529"/>
      <c r="HYY1529"/>
      <c r="HYZ1529"/>
      <c r="HZA1529"/>
      <c r="HZB1529"/>
      <c r="HZC1529"/>
      <c r="HZD1529"/>
      <c r="HZE1529"/>
      <c r="HZF1529"/>
      <c r="HZG1529"/>
      <c r="HZH1529"/>
      <c r="HZI1529"/>
      <c r="HZJ1529"/>
      <c r="HZK1529"/>
      <c r="HZL1529"/>
      <c r="HZM1529"/>
      <c r="HZN1529"/>
      <c r="HZO1529"/>
      <c r="HZP1529"/>
      <c r="HZQ1529"/>
      <c r="HZR1529"/>
      <c r="HZS1529"/>
      <c r="HZT1529"/>
      <c r="HZU1529"/>
      <c r="HZV1529"/>
      <c r="HZW1529"/>
      <c r="HZX1529"/>
      <c r="HZY1529"/>
      <c r="HZZ1529"/>
      <c r="IAA1529"/>
      <c r="IAB1529"/>
      <c r="IAC1529"/>
      <c r="IAD1529"/>
      <c r="IAE1529"/>
      <c r="IAF1529"/>
      <c r="IAG1529"/>
      <c r="IAH1529"/>
      <c r="IAI1529"/>
      <c r="IAJ1529"/>
      <c r="IAK1529"/>
      <c r="IAL1529"/>
      <c r="IAM1529"/>
      <c r="IAN1529"/>
      <c r="IAO1529"/>
      <c r="IAP1529"/>
      <c r="IAQ1529"/>
      <c r="IAR1529"/>
      <c r="IAS1529"/>
      <c r="IAT1529"/>
      <c r="IAU1529"/>
      <c r="IAV1529"/>
      <c r="IAW1529"/>
      <c r="IAX1529"/>
      <c r="IAY1529"/>
      <c r="IAZ1529"/>
      <c r="IBA1529"/>
      <c r="IBB1529"/>
      <c r="IBC1529"/>
      <c r="IBD1529"/>
      <c r="IBE1529"/>
      <c r="IBF1529"/>
      <c r="IBG1529"/>
      <c r="IBH1529"/>
      <c r="IBI1529"/>
      <c r="IBJ1529"/>
      <c r="IBK1529"/>
      <c r="IBL1529"/>
      <c r="IBM1529"/>
      <c r="IBN1529"/>
      <c r="IBO1529"/>
      <c r="IBP1529"/>
      <c r="IBQ1529"/>
      <c r="IBR1529"/>
      <c r="IBS1529"/>
      <c r="IBT1529"/>
      <c r="IBU1529"/>
      <c r="IBV1529"/>
      <c r="IBW1529"/>
      <c r="IBX1529"/>
      <c r="IBY1529"/>
      <c r="IBZ1529"/>
      <c r="ICA1529"/>
      <c r="ICB1529"/>
      <c r="ICC1529"/>
      <c r="ICD1529"/>
      <c r="ICE1529"/>
      <c r="ICF1529"/>
      <c r="ICG1529"/>
      <c r="ICH1529"/>
      <c r="ICI1529"/>
      <c r="ICJ1529"/>
      <c r="ICK1529"/>
      <c r="ICL1529"/>
      <c r="ICM1529"/>
      <c r="ICN1529"/>
      <c r="ICO1529"/>
      <c r="ICP1529"/>
      <c r="ICQ1529"/>
      <c r="ICR1529"/>
      <c r="ICS1529"/>
      <c r="ICT1529"/>
      <c r="ICU1529"/>
      <c r="ICV1529"/>
      <c r="ICW1529"/>
      <c r="ICX1529"/>
      <c r="ICY1529"/>
      <c r="ICZ1529"/>
      <c r="IDA1529"/>
      <c r="IDB1529"/>
      <c r="IDC1529"/>
      <c r="IDD1529"/>
      <c r="IDE1529"/>
      <c r="IDF1529"/>
      <c r="IDG1529"/>
      <c r="IDH1529"/>
      <c r="IDI1529"/>
      <c r="IDJ1529"/>
      <c r="IDK1529"/>
      <c r="IDL1529"/>
      <c r="IDM1529"/>
      <c r="IDN1529"/>
      <c r="IDO1529"/>
      <c r="IDP1529"/>
      <c r="IDQ1529"/>
      <c r="IDR1529"/>
      <c r="IDS1529"/>
      <c r="IDT1529"/>
      <c r="IDU1529"/>
      <c r="IDV1529"/>
      <c r="IDW1529"/>
      <c r="IDX1529"/>
      <c r="IDY1529"/>
      <c r="IDZ1529"/>
      <c r="IEA1529"/>
      <c r="IEB1529"/>
      <c r="IEC1529"/>
      <c r="IED1529"/>
      <c r="IEE1529"/>
      <c r="IEF1529"/>
      <c r="IEG1529"/>
      <c r="IEH1529"/>
      <c r="IEI1529"/>
      <c r="IEJ1529"/>
      <c r="IEK1529"/>
      <c r="IEL1529"/>
      <c r="IEM1529"/>
      <c r="IEN1529"/>
      <c r="IEO1529"/>
      <c r="IEP1529"/>
      <c r="IEQ1529"/>
      <c r="IER1529"/>
      <c r="IES1529"/>
      <c r="IET1529"/>
      <c r="IEU1529"/>
      <c r="IEV1529"/>
      <c r="IEW1529"/>
      <c r="IEX1529"/>
      <c r="IEY1529"/>
      <c r="IEZ1529"/>
      <c r="IFA1529"/>
      <c r="IFB1529"/>
      <c r="IFC1529"/>
      <c r="IFD1529"/>
      <c r="IFE1529"/>
      <c r="IFF1529"/>
      <c r="IFG1529"/>
      <c r="IFH1529"/>
      <c r="IFI1529"/>
      <c r="IFJ1529"/>
      <c r="IFK1529"/>
      <c r="IFL1529"/>
      <c r="IFM1529"/>
      <c r="IFN1529"/>
      <c r="IFO1529"/>
      <c r="IFP1529"/>
      <c r="IFQ1529"/>
      <c r="IFR1529"/>
      <c r="IFS1529"/>
      <c r="IFT1529"/>
      <c r="IFU1529"/>
      <c r="IFV1529"/>
      <c r="IFW1529"/>
      <c r="IFX1529"/>
      <c r="IFY1529"/>
      <c r="IFZ1529"/>
      <c r="IGA1529"/>
      <c r="IGB1529"/>
      <c r="IGC1529"/>
      <c r="IGD1529"/>
      <c r="IGE1529"/>
      <c r="IGF1529"/>
      <c r="IGG1529"/>
      <c r="IGH1529"/>
      <c r="IGI1529"/>
      <c r="IGJ1529"/>
      <c r="IGK1529"/>
      <c r="IGL1529"/>
      <c r="IGM1529"/>
      <c r="IGN1529"/>
      <c r="IGO1529"/>
      <c r="IGP1529"/>
      <c r="IGQ1529"/>
      <c r="IGR1529"/>
      <c r="IGS1529"/>
      <c r="IGT1529"/>
      <c r="IGU1529"/>
      <c r="IGV1529"/>
      <c r="IGW1529"/>
      <c r="IGX1529"/>
      <c r="IGY1529"/>
      <c r="IGZ1529"/>
      <c r="IHA1529"/>
      <c r="IHB1529"/>
      <c r="IHC1529"/>
      <c r="IHD1529"/>
      <c r="IHE1529"/>
      <c r="IHF1529"/>
      <c r="IHG1529"/>
      <c r="IHH1529"/>
      <c r="IHI1529"/>
      <c r="IHJ1529"/>
      <c r="IHK1529"/>
      <c r="IHL1529"/>
      <c r="IHM1529"/>
      <c r="IHN1529"/>
      <c r="IHO1529"/>
      <c r="IHP1529"/>
      <c r="IHQ1529"/>
      <c r="IHR1529"/>
      <c r="IHS1529"/>
      <c r="IHT1529"/>
      <c r="IHU1529"/>
      <c r="IHV1529"/>
      <c r="IHW1529"/>
      <c r="IHX1529"/>
      <c r="IHY1529"/>
      <c r="IHZ1529"/>
      <c r="IIA1529"/>
      <c r="IIB1529"/>
      <c r="IIC1529"/>
      <c r="IID1529"/>
      <c r="IIE1529"/>
      <c r="IIF1529"/>
      <c r="IIG1529"/>
      <c r="IIH1529"/>
      <c r="III1529"/>
      <c r="IIJ1529"/>
      <c r="IIK1529"/>
      <c r="IIL1529"/>
      <c r="IIM1529"/>
      <c r="IIN1529"/>
      <c r="IIO1529"/>
      <c r="IIP1529"/>
      <c r="IIQ1529"/>
      <c r="IIR1529"/>
      <c r="IIS1529"/>
      <c r="IIT1529"/>
      <c r="IIU1529"/>
      <c r="IIV1529"/>
      <c r="IIW1529"/>
      <c r="IIX1529"/>
      <c r="IIY1529"/>
      <c r="IIZ1529"/>
      <c r="IJA1529"/>
      <c r="IJB1529"/>
      <c r="IJC1529"/>
      <c r="IJD1529"/>
      <c r="IJE1529"/>
      <c r="IJF1529"/>
      <c r="IJG1529"/>
      <c r="IJH1529"/>
      <c r="IJI1529"/>
      <c r="IJJ1529"/>
      <c r="IJK1529"/>
      <c r="IJL1529"/>
      <c r="IJM1529"/>
      <c r="IJN1529"/>
      <c r="IJO1529"/>
      <c r="IJP1529"/>
      <c r="IJQ1529"/>
      <c r="IJR1529"/>
      <c r="IJS1529"/>
      <c r="IJT1529"/>
      <c r="IJU1529"/>
      <c r="IJV1529"/>
      <c r="IJW1529"/>
      <c r="IJX1529"/>
      <c r="IJY1529"/>
      <c r="IJZ1529"/>
      <c r="IKA1529"/>
      <c r="IKB1529"/>
      <c r="IKC1529"/>
      <c r="IKD1529"/>
      <c r="IKE1529"/>
      <c r="IKF1529"/>
      <c r="IKG1529"/>
      <c r="IKH1529"/>
      <c r="IKI1529"/>
      <c r="IKJ1529"/>
      <c r="IKK1529"/>
      <c r="IKL1529"/>
      <c r="IKM1529"/>
      <c r="IKN1529"/>
      <c r="IKO1529"/>
      <c r="IKP1529"/>
      <c r="IKQ1529"/>
      <c r="IKR1529"/>
      <c r="IKS1529"/>
      <c r="IKT1529"/>
      <c r="IKU1529"/>
      <c r="IKV1529"/>
      <c r="IKW1529"/>
      <c r="IKX1529"/>
      <c r="IKY1529"/>
      <c r="IKZ1529"/>
      <c r="ILA1529"/>
      <c r="ILB1529"/>
      <c r="ILC1529"/>
      <c r="ILD1529"/>
      <c r="ILE1529"/>
      <c r="ILF1529"/>
      <c r="ILG1529"/>
      <c r="ILH1529"/>
      <c r="ILI1529"/>
      <c r="ILJ1529"/>
      <c r="ILK1529"/>
      <c r="ILL1529"/>
      <c r="ILM1529"/>
      <c r="ILN1529"/>
      <c r="ILO1529"/>
      <c r="ILP1529"/>
      <c r="ILQ1529"/>
      <c r="ILR1529"/>
      <c r="ILS1529"/>
      <c r="ILT1529"/>
      <c r="ILU1529"/>
      <c r="ILV1529"/>
      <c r="ILW1529"/>
      <c r="ILX1529"/>
      <c r="ILY1529"/>
      <c r="ILZ1529"/>
      <c r="IMA1529"/>
      <c r="IMB1529"/>
      <c r="IMC1529"/>
      <c r="IMD1529"/>
      <c r="IME1529"/>
      <c r="IMF1529"/>
      <c r="IMG1529"/>
      <c r="IMH1529"/>
      <c r="IMI1529"/>
      <c r="IMJ1529"/>
      <c r="IMK1529"/>
      <c r="IML1529"/>
      <c r="IMM1529"/>
      <c r="IMN1529"/>
      <c r="IMO1529"/>
      <c r="IMP1529"/>
      <c r="IMQ1529"/>
      <c r="IMR1529"/>
      <c r="IMS1529"/>
      <c r="IMT1529"/>
      <c r="IMU1529"/>
      <c r="IMV1529"/>
      <c r="IMW1529"/>
      <c r="IMX1529"/>
      <c r="IMY1529"/>
      <c r="IMZ1529"/>
      <c r="INA1529"/>
      <c r="INB1529"/>
      <c r="INC1529"/>
      <c r="IND1529"/>
      <c r="INE1529"/>
      <c r="INF1529"/>
      <c r="ING1529"/>
      <c r="INH1529"/>
      <c r="INI1529"/>
      <c r="INJ1529"/>
      <c r="INK1529"/>
      <c r="INL1529"/>
      <c r="INM1529"/>
      <c r="INN1529"/>
      <c r="INO1529"/>
      <c r="INP1529"/>
      <c r="INQ1529"/>
      <c r="INR1529"/>
      <c r="INS1529"/>
      <c r="INT1529"/>
      <c r="INU1529"/>
      <c r="INV1529"/>
      <c r="INW1529"/>
      <c r="INX1529"/>
      <c r="INY1529"/>
      <c r="INZ1529"/>
      <c r="IOA1529"/>
      <c r="IOB1529"/>
      <c r="IOC1529"/>
      <c r="IOD1529"/>
      <c r="IOE1529"/>
      <c r="IOF1529"/>
      <c r="IOG1529"/>
      <c r="IOH1529"/>
      <c r="IOI1529"/>
      <c r="IOJ1529"/>
      <c r="IOK1529"/>
      <c r="IOL1529"/>
      <c r="IOM1529"/>
      <c r="ION1529"/>
      <c r="IOO1529"/>
      <c r="IOP1529"/>
      <c r="IOQ1529"/>
      <c r="IOR1529"/>
      <c r="IOS1529"/>
      <c r="IOT1529"/>
      <c r="IOU1529"/>
      <c r="IOV1529"/>
      <c r="IOW1529"/>
      <c r="IOX1529"/>
      <c r="IOY1529"/>
      <c r="IOZ1529"/>
      <c r="IPA1529"/>
      <c r="IPB1529"/>
      <c r="IPC1529"/>
      <c r="IPD1529"/>
      <c r="IPE1529"/>
      <c r="IPF1529"/>
      <c r="IPG1529"/>
      <c r="IPH1529"/>
      <c r="IPI1529"/>
      <c r="IPJ1529"/>
      <c r="IPK1529"/>
      <c r="IPL1529"/>
      <c r="IPM1529"/>
      <c r="IPN1529"/>
      <c r="IPO1529"/>
      <c r="IPP1529"/>
      <c r="IPQ1529"/>
      <c r="IPR1529"/>
      <c r="IPS1529"/>
      <c r="IPT1529"/>
      <c r="IPU1529"/>
      <c r="IPV1529"/>
      <c r="IPW1529"/>
      <c r="IPX1529"/>
      <c r="IPY1529"/>
      <c r="IPZ1529"/>
      <c r="IQA1529"/>
      <c r="IQB1529"/>
      <c r="IQC1529"/>
      <c r="IQD1529"/>
      <c r="IQE1529"/>
      <c r="IQF1529"/>
      <c r="IQG1529"/>
      <c r="IQH1529"/>
      <c r="IQI1529"/>
      <c r="IQJ1529"/>
      <c r="IQK1529"/>
      <c r="IQL1529"/>
      <c r="IQM1529"/>
      <c r="IQN1529"/>
      <c r="IQO1529"/>
      <c r="IQP1529"/>
      <c r="IQQ1529"/>
      <c r="IQR1529"/>
      <c r="IQS1529"/>
      <c r="IQT1529"/>
      <c r="IQU1529"/>
      <c r="IQV1529"/>
      <c r="IQW1529"/>
      <c r="IQX1529"/>
      <c r="IQY1529"/>
      <c r="IQZ1529"/>
      <c r="IRA1529"/>
      <c r="IRB1529"/>
      <c r="IRC1529"/>
      <c r="IRD1529"/>
      <c r="IRE1529"/>
      <c r="IRF1529"/>
      <c r="IRG1529"/>
      <c r="IRH1529"/>
      <c r="IRI1529"/>
      <c r="IRJ1529"/>
      <c r="IRK1529"/>
      <c r="IRL1529"/>
      <c r="IRM1529"/>
      <c r="IRN1529"/>
      <c r="IRO1529"/>
      <c r="IRP1529"/>
      <c r="IRQ1529"/>
      <c r="IRR1529"/>
      <c r="IRS1529"/>
      <c r="IRT1529"/>
      <c r="IRU1529"/>
      <c r="IRV1529"/>
      <c r="IRW1529"/>
      <c r="IRX1529"/>
      <c r="IRY1529"/>
      <c r="IRZ1529"/>
      <c r="ISA1529"/>
      <c r="ISB1529"/>
      <c r="ISC1529"/>
      <c r="ISD1529"/>
      <c r="ISE1529"/>
      <c r="ISF1529"/>
      <c r="ISG1529"/>
      <c r="ISH1529"/>
      <c r="ISI1529"/>
      <c r="ISJ1529"/>
      <c r="ISK1529"/>
      <c r="ISL1529"/>
      <c r="ISM1529"/>
      <c r="ISN1529"/>
      <c r="ISO1529"/>
      <c r="ISP1529"/>
      <c r="ISQ1529"/>
      <c r="ISR1529"/>
      <c r="ISS1529"/>
      <c r="IST1529"/>
      <c r="ISU1529"/>
      <c r="ISV1529"/>
      <c r="ISW1529"/>
      <c r="ISX1529"/>
      <c r="ISY1529"/>
      <c r="ISZ1529"/>
      <c r="ITA1529"/>
      <c r="ITB1529"/>
      <c r="ITC1529"/>
      <c r="ITD1529"/>
      <c r="ITE1529"/>
      <c r="ITF1529"/>
      <c r="ITG1529"/>
      <c r="ITH1529"/>
      <c r="ITI1529"/>
      <c r="ITJ1529"/>
      <c r="ITK1529"/>
      <c r="ITL1529"/>
      <c r="ITM1529"/>
      <c r="ITN1529"/>
      <c r="ITO1529"/>
      <c r="ITP1529"/>
      <c r="ITQ1529"/>
      <c r="ITR1529"/>
      <c r="ITS1529"/>
      <c r="ITT1529"/>
      <c r="ITU1529"/>
      <c r="ITV1529"/>
      <c r="ITW1529"/>
      <c r="ITX1529"/>
      <c r="ITY1529"/>
      <c r="ITZ1529"/>
      <c r="IUA1529"/>
      <c r="IUB1529"/>
      <c r="IUC1529"/>
      <c r="IUD1529"/>
      <c r="IUE1529"/>
      <c r="IUF1529"/>
      <c r="IUG1529"/>
      <c r="IUH1529"/>
      <c r="IUI1529"/>
      <c r="IUJ1529"/>
      <c r="IUK1529"/>
      <c r="IUL1529"/>
      <c r="IUM1529"/>
      <c r="IUN1529"/>
      <c r="IUO1529"/>
      <c r="IUP1529"/>
      <c r="IUQ1529"/>
      <c r="IUR1529"/>
      <c r="IUS1529"/>
      <c r="IUT1529"/>
      <c r="IUU1529"/>
      <c r="IUV1529"/>
      <c r="IUW1529"/>
      <c r="IUX1529"/>
      <c r="IUY1529"/>
      <c r="IUZ1529"/>
      <c r="IVA1529"/>
      <c r="IVB1529"/>
      <c r="IVC1529"/>
      <c r="IVD1529"/>
      <c r="IVE1529"/>
      <c r="IVF1529"/>
      <c r="IVG1529"/>
      <c r="IVH1529"/>
      <c r="IVI1529"/>
      <c r="IVJ1529"/>
      <c r="IVK1529"/>
      <c r="IVL1529"/>
      <c r="IVM1529"/>
      <c r="IVN1529"/>
      <c r="IVO1529"/>
      <c r="IVP1529"/>
      <c r="IVQ1529"/>
      <c r="IVR1529"/>
      <c r="IVS1529"/>
      <c r="IVT1529"/>
      <c r="IVU1529"/>
      <c r="IVV1529"/>
      <c r="IVW1529"/>
      <c r="IVX1529"/>
      <c r="IVY1529"/>
      <c r="IVZ1529"/>
      <c r="IWA1529"/>
      <c r="IWB1529"/>
      <c r="IWC1529"/>
      <c r="IWD1529"/>
      <c r="IWE1529"/>
      <c r="IWF1529"/>
      <c r="IWG1529"/>
      <c r="IWH1529"/>
      <c r="IWI1529"/>
      <c r="IWJ1529"/>
      <c r="IWK1529"/>
      <c r="IWL1529"/>
      <c r="IWM1529"/>
      <c r="IWN1529"/>
      <c r="IWO1529"/>
      <c r="IWP1529"/>
      <c r="IWQ1529"/>
      <c r="IWR1529"/>
      <c r="IWS1529"/>
      <c r="IWT1529"/>
      <c r="IWU1529"/>
      <c r="IWV1529"/>
      <c r="IWW1529"/>
      <c r="IWX1529"/>
      <c r="IWY1529"/>
      <c r="IWZ1529"/>
      <c r="IXA1529"/>
      <c r="IXB1529"/>
      <c r="IXC1529"/>
      <c r="IXD1529"/>
      <c r="IXE1529"/>
      <c r="IXF1529"/>
      <c r="IXG1529"/>
      <c r="IXH1529"/>
      <c r="IXI1529"/>
      <c r="IXJ1529"/>
      <c r="IXK1529"/>
      <c r="IXL1529"/>
      <c r="IXM1529"/>
      <c r="IXN1529"/>
      <c r="IXO1529"/>
      <c r="IXP1529"/>
      <c r="IXQ1529"/>
      <c r="IXR1529"/>
      <c r="IXS1529"/>
      <c r="IXT1529"/>
      <c r="IXU1529"/>
      <c r="IXV1529"/>
      <c r="IXW1529"/>
      <c r="IXX1529"/>
      <c r="IXY1529"/>
      <c r="IXZ1529"/>
      <c r="IYA1529"/>
      <c r="IYB1529"/>
      <c r="IYC1529"/>
      <c r="IYD1529"/>
      <c r="IYE1529"/>
      <c r="IYF1529"/>
      <c r="IYG1529"/>
      <c r="IYH1529"/>
      <c r="IYI1529"/>
      <c r="IYJ1529"/>
      <c r="IYK1529"/>
      <c r="IYL1529"/>
      <c r="IYM1529"/>
      <c r="IYN1529"/>
      <c r="IYO1529"/>
      <c r="IYP1529"/>
      <c r="IYQ1529"/>
      <c r="IYR1529"/>
      <c r="IYS1529"/>
      <c r="IYT1529"/>
      <c r="IYU1529"/>
      <c r="IYV1529"/>
      <c r="IYW1529"/>
      <c r="IYX1529"/>
      <c r="IYY1529"/>
      <c r="IYZ1529"/>
      <c r="IZA1529"/>
      <c r="IZB1529"/>
      <c r="IZC1529"/>
      <c r="IZD1529"/>
      <c r="IZE1529"/>
      <c r="IZF1529"/>
      <c r="IZG1529"/>
      <c r="IZH1529"/>
      <c r="IZI1529"/>
      <c r="IZJ1529"/>
      <c r="IZK1529"/>
      <c r="IZL1529"/>
      <c r="IZM1529"/>
      <c r="IZN1529"/>
      <c r="IZO1529"/>
      <c r="IZP1529"/>
      <c r="IZQ1529"/>
      <c r="IZR1529"/>
      <c r="IZS1529"/>
      <c r="IZT1529"/>
      <c r="IZU1529"/>
      <c r="IZV1529"/>
      <c r="IZW1529"/>
      <c r="IZX1529"/>
      <c r="IZY1529"/>
      <c r="IZZ1529"/>
      <c r="JAA1529"/>
      <c r="JAB1529"/>
      <c r="JAC1529"/>
      <c r="JAD1529"/>
      <c r="JAE1529"/>
      <c r="JAF1529"/>
      <c r="JAG1529"/>
      <c r="JAH1529"/>
      <c r="JAI1529"/>
      <c r="JAJ1529"/>
      <c r="JAK1529"/>
      <c r="JAL1529"/>
      <c r="JAM1529"/>
      <c r="JAN1529"/>
      <c r="JAO1529"/>
      <c r="JAP1529"/>
      <c r="JAQ1529"/>
      <c r="JAR1529"/>
      <c r="JAS1529"/>
      <c r="JAT1529"/>
      <c r="JAU1529"/>
      <c r="JAV1529"/>
      <c r="JAW1529"/>
      <c r="JAX1529"/>
      <c r="JAY1529"/>
      <c r="JAZ1529"/>
      <c r="JBA1529"/>
      <c r="JBB1529"/>
      <c r="JBC1529"/>
      <c r="JBD1529"/>
      <c r="JBE1529"/>
      <c r="JBF1529"/>
      <c r="JBG1529"/>
      <c r="JBH1529"/>
      <c r="JBI1529"/>
      <c r="JBJ1529"/>
      <c r="JBK1529"/>
      <c r="JBL1529"/>
      <c r="JBM1529"/>
      <c r="JBN1529"/>
      <c r="JBO1529"/>
      <c r="JBP1529"/>
      <c r="JBQ1529"/>
      <c r="JBR1529"/>
      <c r="JBS1529"/>
      <c r="JBT1529"/>
      <c r="JBU1529"/>
      <c r="JBV1529"/>
      <c r="JBW1529"/>
      <c r="JBX1529"/>
      <c r="JBY1529"/>
      <c r="JBZ1529"/>
      <c r="JCA1529"/>
      <c r="JCB1529"/>
      <c r="JCC1529"/>
      <c r="JCD1529"/>
      <c r="JCE1529"/>
      <c r="JCF1529"/>
      <c r="JCG1529"/>
      <c r="JCH1529"/>
      <c r="JCI1529"/>
      <c r="JCJ1529"/>
      <c r="JCK1529"/>
      <c r="JCL1529"/>
      <c r="JCM1529"/>
      <c r="JCN1529"/>
      <c r="JCO1529"/>
      <c r="JCP1529"/>
      <c r="JCQ1529"/>
      <c r="JCR1529"/>
      <c r="JCS1529"/>
      <c r="JCT1529"/>
      <c r="JCU1529"/>
      <c r="JCV1529"/>
      <c r="JCW1529"/>
      <c r="JCX1529"/>
      <c r="JCY1529"/>
      <c r="JCZ1529"/>
      <c r="JDA1529"/>
      <c r="JDB1529"/>
      <c r="JDC1529"/>
      <c r="JDD1529"/>
      <c r="JDE1529"/>
      <c r="JDF1529"/>
      <c r="JDG1529"/>
      <c r="JDH1529"/>
      <c r="JDI1529"/>
      <c r="JDJ1529"/>
      <c r="JDK1529"/>
      <c r="JDL1529"/>
      <c r="JDM1529"/>
      <c r="JDN1529"/>
      <c r="JDO1529"/>
      <c r="JDP1529"/>
      <c r="JDQ1529"/>
      <c r="JDR1529"/>
      <c r="JDS1529"/>
      <c r="JDT1529"/>
      <c r="JDU1529"/>
      <c r="JDV1529"/>
      <c r="JDW1529"/>
      <c r="JDX1529"/>
      <c r="JDY1529"/>
      <c r="JDZ1529"/>
      <c r="JEA1529"/>
      <c r="JEB1529"/>
      <c r="JEC1529"/>
      <c r="JED1529"/>
      <c r="JEE1529"/>
      <c r="JEF1529"/>
      <c r="JEG1529"/>
      <c r="JEH1529"/>
      <c r="JEI1529"/>
      <c r="JEJ1529"/>
      <c r="JEK1529"/>
      <c r="JEL1529"/>
      <c r="JEM1529"/>
      <c r="JEN1529"/>
      <c r="JEO1529"/>
      <c r="JEP1529"/>
      <c r="JEQ1529"/>
      <c r="JER1529"/>
      <c r="JES1529"/>
      <c r="JET1529"/>
      <c r="JEU1529"/>
      <c r="JEV1529"/>
      <c r="JEW1529"/>
      <c r="JEX1529"/>
      <c r="JEY1529"/>
      <c r="JEZ1529"/>
      <c r="JFA1529"/>
      <c r="JFB1529"/>
      <c r="JFC1529"/>
      <c r="JFD1529"/>
      <c r="JFE1529"/>
      <c r="JFF1529"/>
      <c r="JFG1529"/>
      <c r="JFH1529"/>
      <c r="JFI1529"/>
      <c r="JFJ1529"/>
      <c r="JFK1529"/>
      <c r="JFL1529"/>
      <c r="JFM1529"/>
      <c r="JFN1529"/>
      <c r="JFO1529"/>
      <c r="JFP1529"/>
      <c r="JFQ1529"/>
      <c r="JFR1529"/>
      <c r="JFS1529"/>
      <c r="JFT1529"/>
      <c r="JFU1529"/>
      <c r="JFV1529"/>
      <c r="JFW1529"/>
      <c r="JFX1529"/>
      <c r="JFY1529"/>
      <c r="JFZ1529"/>
      <c r="JGA1529"/>
      <c r="JGB1529"/>
      <c r="JGC1529"/>
      <c r="JGD1529"/>
      <c r="JGE1529"/>
      <c r="JGF1529"/>
      <c r="JGG1529"/>
      <c r="JGH1529"/>
      <c r="JGI1529"/>
      <c r="JGJ1529"/>
      <c r="JGK1529"/>
      <c r="JGL1529"/>
      <c r="JGM1529"/>
      <c r="JGN1529"/>
      <c r="JGO1529"/>
      <c r="JGP1529"/>
      <c r="JGQ1529"/>
      <c r="JGR1529"/>
      <c r="JGS1529"/>
      <c r="JGT1529"/>
      <c r="JGU1529"/>
      <c r="JGV1529"/>
      <c r="JGW1529"/>
      <c r="JGX1529"/>
      <c r="JGY1529"/>
      <c r="JGZ1529"/>
      <c r="JHA1529"/>
      <c r="JHB1529"/>
      <c r="JHC1529"/>
      <c r="JHD1529"/>
      <c r="JHE1529"/>
      <c r="JHF1529"/>
      <c r="JHG1529"/>
      <c r="JHH1529"/>
      <c r="JHI1529"/>
      <c r="JHJ1529"/>
      <c r="JHK1529"/>
      <c r="JHL1529"/>
      <c r="JHM1529"/>
      <c r="JHN1529"/>
      <c r="JHO1529"/>
      <c r="JHP1529"/>
      <c r="JHQ1529"/>
      <c r="JHR1529"/>
      <c r="JHS1529"/>
      <c r="JHT1529"/>
      <c r="JHU1529"/>
      <c r="JHV1529"/>
      <c r="JHW1529"/>
      <c r="JHX1529"/>
      <c r="JHY1529"/>
      <c r="JHZ1529"/>
      <c r="JIA1529"/>
      <c r="JIB1529"/>
      <c r="JIC1529"/>
      <c r="JID1529"/>
      <c r="JIE1529"/>
      <c r="JIF1529"/>
      <c r="JIG1529"/>
      <c r="JIH1529"/>
      <c r="JII1529"/>
      <c r="JIJ1529"/>
      <c r="JIK1529"/>
      <c r="JIL1529"/>
      <c r="JIM1529"/>
      <c r="JIN1529"/>
      <c r="JIO1529"/>
      <c r="JIP1529"/>
      <c r="JIQ1529"/>
      <c r="JIR1529"/>
      <c r="JIS1529"/>
      <c r="JIT1529"/>
      <c r="JIU1529"/>
      <c r="JIV1529"/>
      <c r="JIW1529"/>
      <c r="JIX1529"/>
      <c r="JIY1529"/>
      <c r="JIZ1529"/>
      <c r="JJA1529"/>
      <c r="JJB1529"/>
      <c r="JJC1529"/>
      <c r="JJD1529"/>
      <c r="JJE1529"/>
      <c r="JJF1529"/>
      <c r="JJG1529"/>
      <c r="JJH1529"/>
      <c r="JJI1529"/>
      <c r="JJJ1529"/>
      <c r="JJK1529"/>
      <c r="JJL1529"/>
      <c r="JJM1529"/>
      <c r="JJN1529"/>
      <c r="JJO1529"/>
      <c r="JJP1529"/>
      <c r="JJQ1529"/>
      <c r="JJR1529"/>
      <c r="JJS1529"/>
      <c r="JJT1529"/>
      <c r="JJU1529"/>
      <c r="JJV1529"/>
      <c r="JJW1529"/>
      <c r="JJX1529"/>
      <c r="JJY1529"/>
      <c r="JJZ1529"/>
      <c r="JKA1529"/>
      <c r="JKB1529"/>
      <c r="JKC1529"/>
      <c r="JKD1529"/>
      <c r="JKE1529"/>
      <c r="JKF1529"/>
      <c r="JKG1529"/>
      <c r="JKH1529"/>
      <c r="JKI1529"/>
      <c r="JKJ1529"/>
      <c r="JKK1529"/>
      <c r="JKL1529"/>
      <c r="JKM1529"/>
      <c r="JKN1529"/>
      <c r="JKO1529"/>
      <c r="JKP1529"/>
      <c r="JKQ1529"/>
      <c r="JKR1529"/>
      <c r="JKS1529"/>
      <c r="JKT1529"/>
      <c r="JKU1529"/>
      <c r="JKV1529"/>
      <c r="JKW1529"/>
      <c r="JKX1529"/>
      <c r="JKY1529"/>
      <c r="JKZ1529"/>
      <c r="JLA1529"/>
      <c r="JLB1529"/>
      <c r="JLC1529"/>
      <c r="JLD1529"/>
      <c r="JLE1529"/>
      <c r="JLF1529"/>
      <c r="JLG1529"/>
      <c r="JLH1529"/>
      <c r="JLI1529"/>
      <c r="JLJ1529"/>
      <c r="JLK1529"/>
      <c r="JLL1529"/>
      <c r="JLM1529"/>
      <c r="JLN1529"/>
      <c r="JLO1529"/>
      <c r="JLP1529"/>
      <c r="JLQ1529"/>
      <c r="JLR1529"/>
      <c r="JLS1529"/>
      <c r="JLT1529"/>
      <c r="JLU1529"/>
      <c r="JLV1529"/>
      <c r="JLW1529"/>
      <c r="JLX1529"/>
      <c r="JLY1529"/>
      <c r="JLZ1529"/>
      <c r="JMA1529"/>
      <c r="JMB1529"/>
      <c r="JMC1529"/>
      <c r="JMD1529"/>
      <c r="JME1529"/>
      <c r="JMF1529"/>
      <c r="JMG1529"/>
      <c r="JMH1529"/>
      <c r="JMI1529"/>
      <c r="JMJ1529"/>
      <c r="JMK1529"/>
      <c r="JML1529"/>
      <c r="JMM1529"/>
      <c r="JMN1529"/>
      <c r="JMO1529"/>
      <c r="JMP1529"/>
      <c r="JMQ1529"/>
      <c r="JMR1529"/>
      <c r="JMS1529"/>
      <c r="JMT1529"/>
      <c r="JMU1529"/>
      <c r="JMV1529"/>
      <c r="JMW1529"/>
      <c r="JMX1529"/>
      <c r="JMY1529"/>
      <c r="JMZ1529"/>
      <c r="JNA1529"/>
      <c r="JNB1529"/>
      <c r="JNC1529"/>
      <c r="JND1529"/>
      <c r="JNE1529"/>
      <c r="JNF1529"/>
      <c r="JNG1529"/>
      <c r="JNH1529"/>
      <c r="JNI1529"/>
      <c r="JNJ1529"/>
      <c r="JNK1529"/>
      <c r="JNL1529"/>
      <c r="JNM1529"/>
      <c r="JNN1529"/>
      <c r="JNO1529"/>
      <c r="JNP1529"/>
      <c r="JNQ1529"/>
      <c r="JNR1529"/>
      <c r="JNS1529"/>
      <c r="JNT1529"/>
      <c r="JNU1529"/>
      <c r="JNV1529"/>
      <c r="JNW1529"/>
      <c r="JNX1529"/>
      <c r="JNY1529"/>
      <c r="JNZ1529"/>
      <c r="JOA1529"/>
      <c r="JOB1529"/>
      <c r="JOC1529"/>
      <c r="JOD1529"/>
      <c r="JOE1529"/>
      <c r="JOF1529"/>
      <c r="JOG1529"/>
      <c r="JOH1529"/>
      <c r="JOI1529"/>
      <c r="JOJ1529"/>
      <c r="JOK1529"/>
      <c r="JOL1529"/>
      <c r="JOM1529"/>
      <c r="JON1529"/>
      <c r="JOO1529"/>
      <c r="JOP1529"/>
      <c r="JOQ1529"/>
      <c r="JOR1529"/>
      <c r="JOS1529"/>
      <c r="JOT1529"/>
      <c r="JOU1529"/>
      <c r="JOV1529"/>
      <c r="JOW1529"/>
      <c r="JOX1529"/>
      <c r="JOY1529"/>
      <c r="JOZ1529"/>
      <c r="JPA1529"/>
      <c r="JPB1529"/>
      <c r="JPC1529"/>
      <c r="JPD1529"/>
      <c r="JPE1529"/>
      <c r="JPF1529"/>
      <c r="JPG1529"/>
      <c r="JPH1529"/>
      <c r="JPI1529"/>
      <c r="JPJ1529"/>
      <c r="JPK1529"/>
      <c r="JPL1529"/>
      <c r="JPM1529"/>
      <c r="JPN1529"/>
      <c r="JPO1529"/>
      <c r="JPP1529"/>
      <c r="JPQ1529"/>
      <c r="JPR1529"/>
      <c r="JPS1529"/>
      <c r="JPT1529"/>
      <c r="JPU1529"/>
      <c r="JPV1529"/>
      <c r="JPW1529"/>
      <c r="JPX1529"/>
      <c r="JPY1529"/>
      <c r="JPZ1529"/>
      <c r="JQA1529"/>
      <c r="JQB1529"/>
      <c r="JQC1529"/>
      <c r="JQD1529"/>
      <c r="JQE1529"/>
      <c r="JQF1529"/>
      <c r="JQG1529"/>
      <c r="JQH1529"/>
      <c r="JQI1529"/>
      <c r="JQJ1529"/>
      <c r="JQK1529"/>
      <c r="JQL1529"/>
      <c r="JQM1529"/>
      <c r="JQN1529"/>
      <c r="JQO1529"/>
      <c r="JQP1529"/>
      <c r="JQQ1529"/>
      <c r="JQR1529"/>
      <c r="JQS1529"/>
      <c r="JQT1529"/>
      <c r="JQU1529"/>
      <c r="JQV1529"/>
      <c r="JQW1529"/>
      <c r="JQX1529"/>
      <c r="JQY1529"/>
      <c r="JQZ1529"/>
      <c r="JRA1529"/>
      <c r="JRB1529"/>
      <c r="JRC1529"/>
      <c r="JRD1529"/>
      <c r="JRE1529"/>
      <c r="JRF1529"/>
      <c r="JRG1529"/>
      <c r="JRH1529"/>
      <c r="JRI1529"/>
      <c r="JRJ1529"/>
      <c r="JRK1529"/>
      <c r="JRL1529"/>
      <c r="JRM1529"/>
      <c r="JRN1529"/>
      <c r="JRO1529"/>
      <c r="JRP1529"/>
      <c r="JRQ1529"/>
      <c r="JRR1529"/>
      <c r="JRS1529"/>
      <c r="JRT1529"/>
      <c r="JRU1529"/>
      <c r="JRV1529"/>
      <c r="JRW1529"/>
      <c r="JRX1529"/>
      <c r="JRY1529"/>
      <c r="JRZ1529"/>
      <c r="JSA1529"/>
      <c r="JSB1529"/>
      <c r="JSC1529"/>
      <c r="JSD1529"/>
      <c r="JSE1529"/>
      <c r="JSF1529"/>
      <c r="JSG1529"/>
      <c r="JSH1529"/>
      <c r="JSI1529"/>
      <c r="JSJ1529"/>
      <c r="JSK1529"/>
      <c r="JSL1529"/>
      <c r="JSM1529"/>
      <c r="JSN1529"/>
      <c r="JSO1529"/>
      <c r="JSP1529"/>
      <c r="JSQ1529"/>
      <c r="JSR1529"/>
      <c r="JSS1529"/>
      <c r="JST1529"/>
      <c r="JSU1529"/>
      <c r="JSV1529"/>
      <c r="JSW1529"/>
      <c r="JSX1529"/>
      <c r="JSY1529"/>
      <c r="JSZ1529"/>
      <c r="JTA1529"/>
      <c r="JTB1529"/>
      <c r="JTC1529"/>
      <c r="JTD1529"/>
      <c r="JTE1529"/>
      <c r="JTF1529"/>
      <c r="JTG1529"/>
      <c r="JTH1529"/>
      <c r="JTI1529"/>
      <c r="JTJ1529"/>
      <c r="JTK1529"/>
      <c r="JTL1529"/>
      <c r="JTM1529"/>
      <c r="JTN1529"/>
      <c r="JTO1529"/>
      <c r="JTP1529"/>
      <c r="JTQ1529"/>
      <c r="JTR1529"/>
      <c r="JTS1529"/>
      <c r="JTT1529"/>
      <c r="JTU1529"/>
      <c r="JTV1529"/>
      <c r="JTW1529"/>
      <c r="JTX1529"/>
      <c r="JTY1529"/>
      <c r="JTZ1529"/>
      <c r="JUA1529"/>
      <c r="JUB1529"/>
      <c r="JUC1529"/>
      <c r="JUD1529"/>
      <c r="JUE1529"/>
      <c r="JUF1529"/>
      <c r="JUG1529"/>
      <c r="JUH1529"/>
      <c r="JUI1529"/>
      <c r="JUJ1529"/>
      <c r="JUK1529"/>
      <c r="JUL1529"/>
      <c r="JUM1529"/>
      <c r="JUN1529"/>
      <c r="JUO1529"/>
      <c r="JUP1529"/>
      <c r="JUQ1529"/>
      <c r="JUR1529"/>
      <c r="JUS1529"/>
      <c r="JUT1529"/>
      <c r="JUU1529"/>
      <c r="JUV1529"/>
      <c r="JUW1529"/>
      <c r="JUX1529"/>
      <c r="JUY1529"/>
      <c r="JUZ1529"/>
      <c r="JVA1529"/>
      <c r="JVB1529"/>
      <c r="JVC1529"/>
      <c r="JVD1529"/>
      <c r="JVE1529"/>
      <c r="JVF1529"/>
      <c r="JVG1529"/>
      <c r="JVH1529"/>
      <c r="JVI1529"/>
      <c r="JVJ1529"/>
      <c r="JVK1529"/>
      <c r="JVL1529"/>
      <c r="JVM1529"/>
      <c r="JVN1529"/>
      <c r="JVO1529"/>
      <c r="JVP1529"/>
      <c r="JVQ1529"/>
      <c r="JVR1529"/>
      <c r="JVS1529"/>
      <c r="JVT1529"/>
      <c r="JVU1529"/>
      <c r="JVV1529"/>
      <c r="JVW1529"/>
      <c r="JVX1529"/>
      <c r="JVY1529"/>
      <c r="JVZ1529"/>
      <c r="JWA1529"/>
      <c r="JWB1529"/>
      <c r="JWC1529"/>
      <c r="JWD1529"/>
      <c r="JWE1529"/>
      <c r="JWF1529"/>
      <c r="JWG1529"/>
      <c r="JWH1529"/>
      <c r="JWI1529"/>
      <c r="JWJ1529"/>
      <c r="JWK1529"/>
      <c r="JWL1529"/>
      <c r="JWM1529"/>
      <c r="JWN1529"/>
      <c r="JWO1529"/>
      <c r="JWP1529"/>
      <c r="JWQ1529"/>
      <c r="JWR1529"/>
      <c r="JWS1529"/>
      <c r="JWT1529"/>
      <c r="JWU1529"/>
      <c r="JWV1529"/>
      <c r="JWW1529"/>
      <c r="JWX1529"/>
      <c r="JWY1529"/>
      <c r="JWZ1529"/>
      <c r="JXA1529"/>
      <c r="JXB1529"/>
      <c r="JXC1529"/>
      <c r="JXD1529"/>
      <c r="JXE1529"/>
      <c r="JXF1529"/>
      <c r="JXG1529"/>
      <c r="JXH1529"/>
      <c r="JXI1529"/>
      <c r="JXJ1529"/>
      <c r="JXK1529"/>
      <c r="JXL1529"/>
      <c r="JXM1529"/>
      <c r="JXN1529"/>
      <c r="JXO1529"/>
      <c r="JXP1529"/>
      <c r="JXQ1529"/>
      <c r="JXR1529"/>
      <c r="JXS1529"/>
      <c r="JXT1529"/>
      <c r="JXU1529"/>
      <c r="JXV1529"/>
      <c r="JXW1529"/>
      <c r="JXX1529"/>
      <c r="JXY1529"/>
      <c r="JXZ1529"/>
      <c r="JYA1529"/>
      <c r="JYB1529"/>
      <c r="JYC1529"/>
      <c r="JYD1529"/>
      <c r="JYE1529"/>
      <c r="JYF1529"/>
      <c r="JYG1529"/>
      <c r="JYH1529"/>
      <c r="JYI1529"/>
      <c r="JYJ1529"/>
      <c r="JYK1529"/>
      <c r="JYL1529"/>
      <c r="JYM1529"/>
      <c r="JYN1529"/>
      <c r="JYO1529"/>
      <c r="JYP1529"/>
      <c r="JYQ1529"/>
      <c r="JYR1529"/>
      <c r="JYS1529"/>
      <c r="JYT1529"/>
      <c r="JYU1529"/>
      <c r="JYV1529"/>
      <c r="JYW1529"/>
      <c r="JYX1529"/>
      <c r="JYY1529"/>
      <c r="JYZ1529"/>
      <c r="JZA1529"/>
      <c r="JZB1529"/>
      <c r="JZC1529"/>
      <c r="JZD1529"/>
      <c r="JZE1529"/>
      <c r="JZF1529"/>
      <c r="JZG1529"/>
      <c r="JZH1529"/>
      <c r="JZI1529"/>
      <c r="JZJ1529"/>
      <c r="JZK1529"/>
      <c r="JZL1529"/>
      <c r="JZM1529"/>
      <c r="JZN1529"/>
      <c r="JZO1529"/>
      <c r="JZP1529"/>
      <c r="JZQ1529"/>
      <c r="JZR1529"/>
      <c r="JZS1529"/>
      <c r="JZT1529"/>
      <c r="JZU1529"/>
      <c r="JZV1529"/>
      <c r="JZW1529"/>
      <c r="JZX1529"/>
      <c r="JZY1529"/>
      <c r="JZZ1529"/>
      <c r="KAA1529"/>
      <c r="KAB1529"/>
      <c r="KAC1529"/>
      <c r="KAD1529"/>
      <c r="KAE1529"/>
      <c r="KAF1529"/>
      <c r="KAG1529"/>
      <c r="KAH1529"/>
      <c r="KAI1529"/>
      <c r="KAJ1529"/>
      <c r="KAK1529"/>
      <c r="KAL1529"/>
      <c r="KAM1529"/>
      <c r="KAN1529"/>
      <c r="KAO1529"/>
      <c r="KAP1529"/>
      <c r="KAQ1529"/>
      <c r="KAR1529"/>
      <c r="KAS1529"/>
      <c r="KAT1529"/>
      <c r="KAU1529"/>
      <c r="KAV1529"/>
      <c r="KAW1529"/>
      <c r="KAX1529"/>
      <c r="KAY1529"/>
      <c r="KAZ1529"/>
      <c r="KBA1529"/>
      <c r="KBB1529"/>
      <c r="KBC1529"/>
      <c r="KBD1529"/>
      <c r="KBE1529"/>
      <c r="KBF1529"/>
      <c r="KBG1529"/>
      <c r="KBH1529"/>
      <c r="KBI1529"/>
      <c r="KBJ1529"/>
      <c r="KBK1529"/>
      <c r="KBL1529"/>
      <c r="KBM1529"/>
      <c r="KBN1529"/>
      <c r="KBO1529"/>
      <c r="KBP1529"/>
      <c r="KBQ1529"/>
      <c r="KBR1529"/>
      <c r="KBS1529"/>
      <c r="KBT1529"/>
      <c r="KBU1529"/>
      <c r="KBV1529"/>
      <c r="KBW1529"/>
      <c r="KBX1529"/>
      <c r="KBY1529"/>
      <c r="KBZ1529"/>
      <c r="KCA1529"/>
      <c r="KCB1529"/>
      <c r="KCC1529"/>
      <c r="KCD1529"/>
      <c r="KCE1529"/>
      <c r="KCF1529"/>
      <c r="KCG1529"/>
      <c r="KCH1529"/>
      <c r="KCI1529"/>
      <c r="KCJ1529"/>
      <c r="KCK1529"/>
      <c r="KCL1529"/>
      <c r="KCM1529"/>
      <c r="KCN1529"/>
      <c r="KCO1529"/>
      <c r="KCP1529"/>
      <c r="KCQ1529"/>
      <c r="KCR1529"/>
      <c r="KCS1529"/>
      <c r="KCT1529"/>
      <c r="KCU1529"/>
      <c r="KCV1529"/>
      <c r="KCW1529"/>
      <c r="KCX1529"/>
      <c r="KCY1529"/>
      <c r="KCZ1529"/>
      <c r="KDA1529"/>
      <c r="KDB1529"/>
      <c r="KDC1529"/>
      <c r="KDD1529"/>
      <c r="KDE1529"/>
      <c r="KDF1529"/>
      <c r="KDG1529"/>
      <c r="KDH1529"/>
      <c r="KDI1529"/>
      <c r="KDJ1529"/>
      <c r="KDK1529"/>
      <c r="KDL1529"/>
      <c r="KDM1529"/>
      <c r="KDN1529"/>
      <c r="KDO1529"/>
      <c r="KDP1529"/>
      <c r="KDQ1529"/>
      <c r="KDR1529"/>
      <c r="KDS1529"/>
      <c r="KDT1529"/>
      <c r="KDU1529"/>
      <c r="KDV1529"/>
      <c r="KDW1529"/>
      <c r="KDX1529"/>
      <c r="KDY1529"/>
      <c r="KDZ1529"/>
      <c r="KEA1529"/>
      <c r="KEB1529"/>
      <c r="KEC1529"/>
      <c r="KED1529"/>
      <c r="KEE1529"/>
      <c r="KEF1529"/>
      <c r="KEG1529"/>
      <c r="KEH1529"/>
      <c r="KEI1529"/>
      <c r="KEJ1529"/>
      <c r="KEK1529"/>
      <c r="KEL1529"/>
      <c r="KEM1529"/>
      <c r="KEN1529"/>
      <c r="KEO1529"/>
      <c r="KEP1529"/>
      <c r="KEQ1529"/>
      <c r="KER1529"/>
      <c r="KES1529"/>
      <c r="KET1529"/>
      <c r="KEU1529"/>
      <c r="KEV1529"/>
      <c r="KEW1529"/>
      <c r="KEX1529"/>
      <c r="KEY1529"/>
      <c r="KEZ1529"/>
      <c r="KFA1529"/>
      <c r="KFB1529"/>
      <c r="KFC1529"/>
      <c r="KFD1529"/>
      <c r="KFE1529"/>
      <c r="KFF1529"/>
      <c r="KFG1529"/>
      <c r="KFH1529"/>
      <c r="KFI1529"/>
      <c r="KFJ1529"/>
      <c r="KFK1529"/>
      <c r="KFL1529"/>
      <c r="KFM1529"/>
      <c r="KFN1529"/>
      <c r="KFO1529"/>
      <c r="KFP1529"/>
      <c r="KFQ1529"/>
      <c r="KFR1529"/>
      <c r="KFS1529"/>
      <c r="KFT1529"/>
      <c r="KFU1529"/>
      <c r="KFV1529"/>
      <c r="KFW1529"/>
      <c r="KFX1529"/>
      <c r="KFY1529"/>
      <c r="KFZ1529"/>
      <c r="KGA1529"/>
      <c r="KGB1529"/>
      <c r="KGC1529"/>
      <c r="KGD1529"/>
      <c r="KGE1529"/>
      <c r="KGF1529"/>
      <c r="KGG1529"/>
      <c r="KGH1529"/>
      <c r="KGI1529"/>
      <c r="KGJ1529"/>
      <c r="KGK1529"/>
      <c r="KGL1529"/>
      <c r="KGM1529"/>
      <c r="KGN1529"/>
      <c r="KGO1529"/>
      <c r="KGP1529"/>
      <c r="KGQ1529"/>
      <c r="KGR1529"/>
      <c r="KGS1529"/>
      <c r="KGT1529"/>
      <c r="KGU1529"/>
      <c r="KGV1529"/>
      <c r="KGW1529"/>
      <c r="KGX1529"/>
      <c r="KGY1529"/>
      <c r="KGZ1529"/>
      <c r="KHA1529"/>
      <c r="KHB1529"/>
      <c r="KHC1529"/>
      <c r="KHD1529"/>
      <c r="KHE1529"/>
      <c r="KHF1529"/>
      <c r="KHG1529"/>
      <c r="KHH1529"/>
      <c r="KHI1529"/>
      <c r="KHJ1529"/>
      <c r="KHK1529"/>
      <c r="KHL1529"/>
      <c r="KHM1529"/>
      <c r="KHN1529"/>
      <c r="KHO1529"/>
      <c r="KHP1529"/>
      <c r="KHQ1529"/>
      <c r="KHR1529"/>
      <c r="KHS1529"/>
      <c r="KHT1529"/>
      <c r="KHU1529"/>
      <c r="KHV1529"/>
      <c r="KHW1529"/>
      <c r="KHX1529"/>
      <c r="KHY1529"/>
      <c r="KHZ1529"/>
      <c r="KIA1529"/>
      <c r="KIB1529"/>
      <c r="KIC1529"/>
      <c r="KID1529"/>
      <c r="KIE1529"/>
      <c r="KIF1529"/>
      <c r="KIG1529"/>
      <c r="KIH1529"/>
      <c r="KII1529"/>
      <c r="KIJ1529"/>
      <c r="KIK1529"/>
      <c r="KIL1529"/>
      <c r="KIM1529"/>
      <c r="KIN1529"/>
      <c r="KIO1529"/>
      <c r="KIP1529"/>
      <c r="KIQ1529"/>
      <c r="KIR1529"/>
      <c r="KIS1529"/>
      <c r="KIT1529"/>
      <c r="KIU1529"/>
      <c r="KIV1529"/>
      <c r="KIW1529"/>
      <c r="KIX1529"/>
      <c r="KIY1529"/>
      <c r="KIZ1529"/>
      <c r="KJA1529"/>
      <c r="KJB1529"/>
      <c r="KJC1529"/>
      <c r="KJD1529"/>
      <c r="KJE1529"/>
      <c r="KJF1529"/>
      <c r="KJG1529"/>
      <c r="KJH1529"/>
      <c r="KJI1529"/>
      <c r="KJJ1529"/>
      <c r="KJK1529"/>
      <c r="KJL1529"/>
      <c r="KJM1529"/>
      <c r="KJN1529"/>
      <c r="KJO1529"/>
      <c r="KJP1529"/>
      <c r="KJQ1529"/>
      <c r="KJR1529"/>
      <c r="KJS1529"/>
      <c r="KJT1529"/>
      <c r="KJU1529"/>
      <c r="KJV1529"/>
      <c r="KJW1529"/>
      <c r="KJX1529"/>
      <c r="KJY1529"/>
      <c r="KJZ1529"/>
      <c r="KKA1529"/>
      <c r="KKB1529"/>
      <c r="KKC1529"/>
      <c r="KKD1529"/>
      <c r="KKE1529"/>
      <c r="KKF1529"/>
      <c r="KKG1529"/>
      <c r="KKH1529"/>
      <c r="KKI1529"/>
      <c r="KKJ1529"/>
      <c r="KKK1529"/>
      <c r="KKL1529"/>
      <c r="KKM1529"/>
      <c r="KKN1529"/>
      <c r="KKO1529"/>
      <c r="KKP1529"/>
      <c r="KKQ1529"/>
      <c r="KKR1529"/>
      <c r="KKS1529"/>
      <c r="KKT1529"/>
      <c r="KKU1529"/>
      <c r="KKV1529"/>
      <c r="KKW1529"/>
      <c r="KKX1529"/>
      <c r="KKY1529"/>
      <c r="KKZ1529"/>
      <c r="KLA1529"/>
      <c r="KLB1529"/>
      <c r="KLC1529"/>
      <c r="KLD1529"/>
      <c r="KLE1529"/>
      <c r="KLF1529"/>
      <c r="KLG1529"/>
      <c r="KLH1529"/>
      <c r="KLI1529"/>
      <c r="KLJ1529"/>
      <c r="KLK1529"/>
      <c r="KLL1529"/>
      <c r="KLM1529"/>
      <c r="KLN1529"/>
      <c r="KLO1529"/>
      <c r="KLP1529"/>
      <c r="KLQ1529"/>
      <c r="KLR1529"/>
      <c r="KLS1529"/>
      <c r="KLT1529"/>
      <c r="KLU1529"/>
      <c r="KLV1529"/>
      <c r="KLW1529"/>
      <c r="KLX1529"/>
      <c r="KLY1529"/>
      <c r="KLZ1529"/>
      <c r="KMA1529"/>
      <c r="KMB1529"/>
      <c r="KMC1529"/>
      <c r="KMD1529"/>
      <c r="KME1529"/>
      <c r="KMF1529"/>
      <c r="KMG1529"/>
      <c r="KMH1529"/>
      <c r="KMI1529"/>
      <c r="KMJ1529"/>
      <c r="KMK1529"/>
      <c r="KML1529"/>
      <c r="KMM1529"/>
      <c r="KMN1529"/>
      <c r="KMO1529"/>
      <c r="KMP1529"/>
      <c r="KMQ1529"/>
      <c r="KMR1529"/>
      <c r="KMS1529"/>
      <c r="KMT1529"/>
      <c r="KMU1529"/>
      <c r="KMV1529"/>
      <c r="KMW1529"/>
      <c r="KMX1529"/>
      <c r="KMY1529"/>
      <c r="KMZ1529"/>
      <c r="KNA1529"/>
      <c r="KNB1529"/>
      <c r="KNC1529"/>
      <c r="KND1529"/>
      <c r="KNE1529"/>
      <c r="KNF1529"/>
      <c r="KNG1529"/>
      <c r="KNH1529"/>
      <c r="KNI1529"/>
      <c r="KNJ1529"/>
      <c r="KNK1529"/>
      <c r="KNL1529"/>
      <c r="KNM1529"/>
      <c r="KNN1529"/>
      <c r="KNO1529"/>
      <c r="KNP1529"/>
      <c r="KNQ1529"/>
      <c r="KNR1529"/>
      <c r="KNS1529"/>
      <c r="KNT1529"/>
      <c r="KNU1529"/>
      <c r="KNV1529"/>
      <c r="KNW1529"/>
      <c r="KNX1529"/>
      <c r="KNY1529"/>
      <c r="KNZ1529"/>
      <c r="KOA1529"/>
      <c r="KOB1529"/>
      <c r="KOC1529"/>
      <c r="KOD1529"/>
      <c r="KOE1529"/>
      <c r="KOF1529"/>
      <c r="KOG1529"/>
      <c r="KOH1529"/>
      <c r="KOI1529"/>
      <c r="KOJ1529"/>
      <c r="KOK1529"/>
      <c r="KOL1529"/>
      <c r="KOM1529"/>
      <c r="KON1529"/>
      <c r="KOO1529"/>
      <c r="KOP1529"/>
      <c r="KOQ1529"/>
      <c r="KOR1529"/>
      <c r="KOS1529"/>
      <c r="KOT1529"/>
      <c r="KOU1529"/>
      <c r="KOV1529"/>
      <c r="KOW1529"/>
      <c r="KOX1529"/>
      <c r="KOY1529"/>
      <c r="KOZ1529"/>
      <c r="KPA1529"/>
      <c r="KPB1529"/>
      <c r="KPC1529"/>
      <c r="KPD1529"/>
      <c r="KPE1529"/>
      <c r="KPF1529"/>
      <c r="KPG1529"/>
      <c r="KPH1529"/>
      <c r="KPI1529"/>
      <c r="KPJ1529"/>
      <c r="KPK1529"/>
      <c r="KPL1529"/>
      <c r="KPM1529"/>
      <c r="KPN1529"/>
      <c r="KPO1529"/>
      <c r="KPP1529"/>
      <c r="KPQ1529"/>
      <c r="KPR1529"/>
      <c r="KPS1529"/>
      <c r="KPT1529"/>
      <c r="KPU1529"/>
      <c r="KPV1529"/>
      <c r="KPW1529"/>
      <c r="KPX1529"/>
      <c r="KPY1529"/>
      <c r="KPZ1529"/>
      <c r="KQA1529"/>
      <c r="KQB1529"/>
      <c r="KQC1529"/>
      <c r="KQD1529"/>
      <c r="KQE1529"/>
      <c r="KQF1529"/>
      <c r="KQG1529"/>
      <c r="KQH1529"/>
      <c r="KQI1529"/>
      <c r="KQJ1529"/>
      <c r="KQK1529"/>
      <c r="KQL1529"/>
      <c r="KQM1529"/>
      <c r="KQN1529"/>
      <c r="KQO1529"/>
      <c r="KQP1529"/>
      <c r="KQQ1529"/>
      <c r="KQR1529"/>
      <c r="KQS1529"/>
      <c r="KQT1529"/>
      <c r="KQU1529"/>
      <c r="KQV1529"/>
      <c r="KQW1529"/>
      <c r="KQX1529"/>
      <c r="KQY1529"/>
      <c r="KQZ1529"/>
      <c r="KRA1529"/>
      <c r="KRB1529"/>
      <c r="KRC1529"/>
      <c r="KRD1529"/>
      <c r="KRE1529"/>
      <c r="KRF1529"/>
      <c r="KRG1529"/>
      <c r="KRH1529"/>
      <c r="KRI1529"/>
      <c r="KRJ1529"/>
      <c r="KRK1529"/>
      <c r="KRL1529"/>
      <c r="KRM1529"/>
      <c r="KRN1529"/>
      <c r="KRO1529"/>
      <c r="KRP1529"/>
      <c r="KRQ1529"/>
      <c r="KRR1529"/>
      <c r="KRS1529"/>
      <c r="KRT1529"/>
      <c r="KRU1529"/>
      <c r="KRV1529"/>
      <c r="KRW1529"/>
      <c r="KRX1529"/>
      <c r="KRY1529"/>
      <c r="KRZ1529"/>
      <c r="KSA1529"/>
      <c r="KSB1529"/>
      <c r="KSC1529"/>
      <c r="KSD1529"/>
      <c r="KSE1529"/>
      <c r="KSF1529"/>
      <c r="KSG1529"/>
      <c r="KSH1529"/>
      <c r="KSI1529"/>
      <c r="KSJ1529"/>
      <c r="KSK1529"/>
      <c r="KSL1529"/>
      <c r="KSM1529"/>
      <c r="KSN1529"/>
      <c r="KSO1529"/>
      <c r="KSP1529"/>
      <c r="KSQ1529"/>
      <c r="KSR1529"/>
      <c r="KSS1529"/>
      <c r="KST1529"/>
      <c r="KSU1529"/>
      <c r="KSV1529"/>
      <c r="KSW1529"/>
      <c r="KSX1529"/>
      <c r="KSY1529"/>
      <c r="KSZ1529"/>
      <c r="KTA1529"/>
      <c r="KTB1529"/>
      <c r="KTC1529"/>
      <c r="KTD1529"/>
      <c r="KTE1529"/>
      <c r="KTF1529"/>
      <c r="KTG1529"/>
      <c r="KTH1529"/>
      <c r="KTI1529"/>
      <c r="KTJ1529"/>
      <c r="KTK1529"/>
      <c r="KTL1529"/>
      <c r="KTM1529"/>
      <c r="KTN1529"/>
      <c r="KTO1529"/>
      <c r="KTP1529"/>
      <c r="KTQ1529"/>
      <c r="KTR1529"/>
      <c r="KTS1529"/>
      <c r="KTT1529"/>
      <c r="KTU1529"/>
      <c r="KTV1529"/>
      <c r="KTW1529"/>
      <c r="KTX1529"/>
      <c r="KTY1529"/>
      <c r="KTZ1529"/>
      <c r="KUA1529"/>
      <c r="KUB1529"/>
      <c r="KUC1529"/>
      <c r="KUD1529"/>
      <c r="KUE1529"/>
      <c r="KUF1529"/>
      <c r="KUG1529"/>
      <c r="KUH1529"/>
      <c r="KUI1529"/>
      <c r="KUJ1529"/>
      <c r="KUK1529"/>
      <c r="KUL1529"/>
      <c r="KUM1529"/>
      <c r="KUN1529"/>
      <c r="KUO1529"/>
      <c r="KUP1529"/>
      <c r="KUQ1529"/>
      <c r="KUR1529"/>
      <c r="KUS1529"/>
      <c r="KUT1529"/>
      <c r="KUU1529"/>
      <c r="KUV1529"/>
      <c r="KUW1529"/>
      <c r="KUX1529"/>
      <c r="KUY1529"/>
      <c r="KUZ1529"/>
      <c r="KVA1529"/>
      <c r="KVB1529"/>
      <c r="KVC1529"/>
      <c r="KVD1529"/>
      <c r="KVE1529"/>
      <c r="KVF1529"/>
      <c r="KVG1529"/>
      <c r="KVH1529"/>
      <c r="KVI1529"/>
      <c r="KVJ1529"/>
      <c r="KVK1529"/>
      <c r="KVL1529"/>
      <c r="KVM1529"/>
      <c r="KVN1529"/>
      <c r="KVO1529"/>
      <c r="KVP1529"/>
      <c r="KVQ1529"/>
      <c r="KVR1529"/>
      <c r="KVS1529"/>
      <c r="KVT1529"/>
      <c r="KVU1529"/>
      <c r="KVV1529"/>
      <c r="KVW1529"/>
      <c r="KVX1529"/>
      <c r="KVY1529"/>
      <c r="KVZ1529"/>
      <c r="KWA1529"/>
      <c r="KWB1529"/>
      <c r="KWC1529"/>
      <c r="KWD1529"/>
      <c r="KWE1529"/>
      <c r="KWF1529"/>
      <c r="KWG1529"/>
      <c r="KWH1529"/>
      <c r="KWI1529"/>
      <c r="KWJ1529"/>
      <c r="KWK1529"/>
      <c r="KWL1529"/>
      <c r="KWM1529"/>
      <c r="KWN1529"/>
      <c r="KWO1529"/>
      <c r="KWP1529"/>
      <c r="KWQ1529"/>
      <c r="KWR1529"/>
      <c r="KWS1529"/>
      <c r="KWT1529"/>
      <c r="KWU1529"/>
      <c r="KWV1529"/>
      <c r="KWW1529"/>
      <c r="KWX1529"/>
      <c r="KWY1529"/>
      <c r="KWZ1529"/>
      <c r="KXA1529"/>
      <c r="KXB1529"/>
      <c r="KXC1529"/>
      <c r="KXD1529"/>
      <c r="KXE1529"/>
      <c r="KXF1529"/>
      <c r="KXG1529"/>
      <c r="KXH1529"/>
      <c r="KXI1529"/>
      <c r="KXJ1529"/>
      <c r="KXK1529"/>
      <c r="KXL1529"/>
      <c r="KXM1529"/>
      <c r="KXN1529"/>
      <c r="KXO1529"/>
      <c r="KXP1529"/>
      <c r="KXQ1529"/>
      <c r="KXR1529"/>
      <c r="KXS1529"/>
      <c r="KXT1529"/>
      <c r="KXU1529"/>
      <c r="KXV1529"/>
      <c r="KXW1529"/>
      <c r="KXX1529"/>
      <c r="KXY1529"/>
      <c r="KXZ1529"/>
      <c r="KYA1529"/>
      <c r="KYB1529"/>
      <c r="KYC1529"/>
      <c r="KYD1529"/>
      <c r="KYE1529"/>
      <c r="KYF1529"/>
      <c r="KYG1529"/>
      <c r="KYH1529"/>
      <c r="KYI1529"/>
      <c r="KYJ1529"/>
      <c r="KYK1529"/>
      <c r="KYL1529"/>
      <c r="KYM1529"/>
      <c r="KYN1529"/>
      <c r="KYO1529"/>
      <c r="KYP1529"/>
      <c r="KYQ1529"/>
      <c r="KYR1529"/>
      <c r="KYS1529"/>
      <c r="KYT1529"/>
      <c r="KYU1529"/>
      <c r="KYV1529"/>
      <c r="KYW1529"/>
      <c r="KYX1529"/>
      <c r="KYY1529"/>
      <c r="KYZ1529"/>
      <c r="KZA1529"/>
      <c r="KZB1529"/>
      <c r="KZC1529"/>
      <c r="KZD1529"/>
      <c r="KZE1529"/>
      <c r="KZF1529"/>
      <c r="KZG1529"/>
      <c r="KZH1529"/>
      <c r="KZI1529"/>
      <c r="KZJ1529"/>
      <c r="KZK1529"/>
      <c r="KZL1529"/>
      <c r="KZM1529"/>
      <c r="KZN1529"/>
      <c r="KZO1529"/>
      <c r="KZP1529"/>
      <c r="KZQ1529"/>
      <c r="KZR1529"/>
      <c r="KZS1529"/>
      <c r="KZT1529"/>
      <c r="KZU1529"/>
      <c r="KZV1529"/>
      <c r="KZW1529"/>
      <c r="KZX1529"/>
      <c r="KZY1529"/>
      <c r="KZZ1529"/>
      <c r="LAA1529"/>
      <c r="LAB1529"/>
      <c r="LAC1529"/>
      <c r="LAD1529"/>
      <c r="LAE1529"/>
      <c r="LAF1529"/>
      <c r="LAG1529"/>
      <c r="LAH1529"/>
      <c r="LAI1529"/>
      <c r="LAJ1529"/>
      <c r="LAK1529"/>
      <c r="LAL1529"/>
      <c r="LAM1529"/>
      <c r="LAN1529"/>
      <c r="LAO1529"/>
      <c r="LAP1529"/>
      <c r="LAQ1529"/>
      <c r="LAR1529"/>
      <c r="LAS1529"/>
      <c r="LAT1529"/>
      <c r="LAU1529"/>
      <c r="LAV1529"/>
      <c r="LAW1529"/>
      <c r="LAX1529"/>
      <c r="LAY1529"/>
      <c r="LAZ1529"/>
      <c r="LBA1529"/>
      <c r="LBB1529"/>
      <c r="LBC1529"/>
      <c r="LBD1529"/>
      <c r="LBE1529"/>
      <c r="LBF1529"/>
      <c r="LBG1529"/>
      <c r="LBH1529"/>
      <c r="LBI1529"/>
      <c r="LBJ1529"/>
      <c r="LBK1529"/>
      <c r="LBL1529"/>
      <c r="LBM1529"/>
      <c r="LBN1529"/>
      <c r="LBO1529"/>
      <c r="LBP1529"/>
      <c r="LBQ1529"/>
      <c r="LBR1529"/>
      <c r="LBS1529"/>
      <c r="LBT1529"/>
      <c r="LBU1529"/>
      <c r="LBV1529"/>
      <c r="LBW1529"/>
      <c r="LBX1529"/>
      <c r="LBY1529"/>
      <c r="LBZ1529"/>
      <c r="LCA1529"/>
      <c r="LCB1529"/>
      <c r="LCC1529"/>
      <c r="LCD1529"/>
      <c r="LCE1529"/>
      <c r="LCF1529"/>
      <c r="LCG1529"/>
      <c r="LCH1529"/>
      <c r="LCI1529"/>
      <c r="LCJ1529"/>
      <c r="LCK1529"/>
      <c r="LCL1529"/>
      <c r="LCM1529"/>
      <c r="LCN1529"/>
      <c r="LCO1529"/>
      <c r="LCP1529"/>
      <c r="LCQ1529"/>
      <c r="LCR1529"/>
      <c r="LCS1529"/>
      <c r="LCT1529"/>
      <c r="LCU1529"/>
      <c r="LCV1529"/>
      <c r="LCW1529"/>
      <c r="LCX1529"/>
      <c r="LCY1529"/>
      <c r="LCZ1529"/>
      <c r="LDA1529"/>
      <c r="LDB1529"/>
      <c r="LDC1529"/>
      <c r="LDD1529"/>
      <c r="LDE1529"/>
      <c r="LDF1529"/>
      <c r="LDG1529"/>
      <c r="LDH1529"/>
      <c r="LDI1529"/>
      <c r="LDJ1529"/>
      <c r="LDK1529"/>
      <c r="LDL1529"/>
      <c r="LDM1529"/>
      <c r="LDN1529"/>
      <c r="LDO1529"/>
      <c r="LDP1529"/>
      <c r="LDQ1529"/>
      <c r="LDR1529"/>
      <c r="LDS1529"/>
      <c r="LDT1529"/>
      <c r="LDU1529"/>
      <c r="LDV1529"/>
      <c r="LDW1529"/>
      <c r="LDX1529"/>
      <c r="LDY1529"/>
      <c r="LDZ1529"/>
      <c r="LEA1529"/>
      <c r="LEB1529"/>
      <c r="LEC1529"/>
      <c r="LED1529"/>
      <c r="LEE1529"/>
      <c r="LEF1529"/>
      <c r="LEG1529"/>
      <c r="LEH1529"/>
      <c r="LEI1529"/>
      <c r="LEJ1529"/>
      <c r="LEK1529"/>
      <c r="LEL1529"/>
      <c r="LEM1529"/>
      <c r="LEN1529"/>
      <c r="LEO1529"/>
      <c r="LEP1529"/>
      <c r="LEQ1529"/>
      <c r="LER1529"/>
      <c r="LES1529"/>
      <c r="LET1529"/>
      <c r="LEU1529"/>
      <c r="LEV1529"/>
      <c r="LEW1529"/>
      <c r="LEX1529"/>
      <c r="LEY1529"/>
      <c r="LEZ1529"/>
      <c r="LFA1529"/>
      <c r="LFB1529"/>
      <c r="LFC1529"/>
      <c r="LFD1529"/>
      <c r="LFE1529"/>
      <c r="LFF1529"/>
      <c r="LFG1529"/>
      <c r="LFH1529"/>
      <c r="LFI1529"/>
      <c r="LFJ1529"/>
      <c r="LFK1529"/>
      <c r="LFL1529"/>
      <c r="LFM1529"/>
      <c r="LFN1529"/>
      <c r="LFO1529"/>
      <c r="LFP1529"/>
      <c r="LFQ1529"/>
      <c r="LFR1529"/>
      <c r="LFS1529"/>
      <c r="LFT1529"/>
      <c r="LFU1529"/>
      <c r="LFV1529"/>
      <c r="LFW1529"/>
      <c r="LFX1529"/>
      <c r="LFY1529"/>
      <c r="LFZ1529"/>
      <c r="LGA1529"/>
      <c r="LGB1529"/>
      <c r="LGC1529"/>
      <c r="LGD1529"/>
      <c r="LGE1529"/>
      <c r="LGF1529"/>
      <c r="LGG1529"/>
      <c r="LGH1529"/>
      <c r="LGI1529"/>
      <c r="LGJ1529"/>
      <c r="LGK1529"/>
      <c r="LGL1529"/>
      <c r="LGM1529"/>
      <c r="LGN1529"/>
      <c r="LGO1529"/>
      <c r="LGP1529"/>
      <c r="LGQ1529"/>
      <c r="LGR1529"/>
      <c r="LGS1529"/>
      <c r="LGT1529"/>
      <c r="LGU1529"/>
      <c r="LGV1529"/>
      <c r="LGW1529"/>
      <c r="LGX1529"/>
      <c r="LGY1529"/>
      <c r="LGZ1529"/>
      <c r="LHA1529"/>
      <c r="LHB1529"/>
      <c r="LHC1529"/>
      <c r="LHD1529"/>
      <c r="LHE1529"/>
      <c r="LHF1529"/>
      <c r="LHG1529"/>
      <c r="LHH1529"/>
      <c r="LHI1529"/>
      <c r="LHJ1529"/>
      <c r="LHK1529"/>
      <c r="LHL1529"/>
      <c r="LHM1529"/>
      <c r="LHN1529"/>
      <c r="LHO1529"/>
      <c r="LHP1529"/>
      <c r="LHQ1529"/>
      <c r="LHR1529"/>
      <c r="LHS1529"/>
      <c r="LHT1529"/>
      <c r="LHU1529"/>
      <c r="LHV1529"/>
      <c r="LHW1529"/>
      <c r="LHX1529"/>
      <c r="LHY1529"/>
      <c r="LHZ1529"/>
      <c r="LIA1529"/>
      <c r="LIB1529"/>
      <c r="LIC1529"/>
      <c r="LID1529"/>
      <c r="LIE1529"/>
      <c r="LIF1529"/>
      <c r="LIG1529"/>
      <c r="LIH1529"/>
      <c r="LII1529"/>
      <c r="LIJ1529"/>
      <c r="LIK1529"/>
      <c r="LIL1529"/>
      <c r="LIM1529"/>
      <c r="LIN1529"/>
      <c r="LIO1529"/>
      <c r="LIP1529"/>
      <c r="LIQ1529"/>
      <c r="LIR1529"/>
      <c r="LIS1529"/>
      <c r="LIT1529"/>
      <c r="LIU1529"/>
      <c r="LIV1529"/>
      <c r="LIW1529"/>
      <c r="LIX1529"/>
      <c r="LIY1529"/>
      <c r="LIZ1529"/>
      <c r="LJA1529"/>
      <c r="LJB1529"/>
      <c r="LJC1529"/>
      <c r="LJD1529"/>
      <c r="LJE1529"/>
      <c r="LJF1529"/>
      <c r="LJG1529"/>
      <c r="LJH1529"/>
      <c r="LJI1529"/>
      <c r="LJJ1529"/>
      <c r="LJK1529"/>
      <c r="LJL1529"/>
      <c r="LJM1529"/>
      <c r="LJN1529"/>
      <c r="LJO1529"/>
      <c r="LJP1529"/>
      <c r="LJQ1529"/>
      <c r="LJR1529"/>
      <c r="LJS1529"/>
      <c r="LJT1529"/>
      <c r="LJU1529"/>
      <c r="LJV1529"/>
      <c r="LJW1529"/>
      <c r="LJX1529"/>
      <c r="LJY1529"/>
      <c r="LJZ1529"/>
      <c r="LKA1529"/>
      <c r="LKB1529"/>
      <c r="LKC1529"/>
      <c r="LKD1529"/>
      <c r="LKE1529"/>
      <c r="LKF1529"/>
      <c r="LKG1529"/>
      <c r="LKH1529"/>
      <c r="LKI1529"/>
      <c r="LKJ1529"/>
      <c r="LKK1529"/>
      <c r="LKL1529"/>
      <c r="LKM1529"/>
      <c r="LKN1529"/>
      <c r="LKO1529"/>
      <c r="LKP1529"/>
      <c r="LKQ1529"/>
      <c r="LKR1529"/>
      <c r="LKS1529"/>
      <c r="LKT1529"/>
      <c r="LKU1529"/>
      <c r="LKV1529"/>
      <c r="LKW1529"/>
      <c r="LKX1529"/>
      <c r="LKY1529"/>
      <c r="LKZ1529"/>
      <c r="LLA1529"/>
      <c r="LLB1529"/>
      <c r="LLC1529"/>
      <c r="LLD1529"/>
      <c r="LLE1529"/>
      <c r="LLF1529"/>
      <c r="LLG1529"/>
      <c r="LLH1529"/>
      <c r="LLI1529"/>
      <c r="LLJ1529"/>
      <c r="LLK1529"/>
      <c r="LLL1529"/>
      <c r="LLM1529"/>
      <c r="LLN1529"/>
      <c r="LLO1529"/>
      <c r="LLP1529"/>
      <c r="LLQ1529"/>
      <c r="LLR1529"/>
      <c r="LLS1529"/>
      <c r="LLT1529"/>
      <c r="LLU1529"/>
      <c r="LLV1529"/>
      <c r="LLW1529"/>
      <c r="LLX1529"/>
      <c r="LLY1529"/>
      <c r="LLZ1529"/>
      <c r="LMA1529"/>
      <c r="LMB1529"/>
      <c r="LMC1529"/>
      <c r="LMD1529"/>
      <c r="LME1529"/>
      <c r="LMF1529"/>
      <c r="LMG1529"/>
      <c r="LMH1529"/>
      <c r="LMI1529"/>
      <c r="LMJ1529"/>
      <c r="LMK1529"/>
      <c r="LML1529"/>
      <c r="LMM1529"/>
      <c r="LMN1529"/>
      <c r="LMO1529"/>
      <c r="LMP1529"/>
      <c r="LMQ1529"/>
      <c r="LMR1529"/>
      <c r="LMS1529"/>
      <c r="LMT1529"/>
      <c r="LMU1529"/>
      <c r="LMV1529"/>
      <c r="LMW1529"/>
      <c r="LMX1529"/>
      <c r="LMY1529"/>
      <c r="LMZ1529"/>
      <c r="LNA1529"/>
      <c r="LNB1529"/>
      <c r="LNC1529"/>
      <c r="LND1529"/>
      <c r="LNE1529"/>
      <c r="LNF1529"/>
      <c r="LNG1529"/>
      <c r="LNH1529"/>
      <c r="LNI1529"/>
      <c r="LNJ1529"/>
      <c r="LNK1529"/>
      <c r="LNL1529"/>
      <c r="LNM1529"/>
      <c r="LNN1529"/>
      <c r="LNO1529"/>
      <c r="LNP1529"/>
      <c r="LNQ1529"/>
      <c r="LNR1529"/>
      <c r="LNS1529"/>
      <c r="LNT1529"/>
      <c r="LNU1529"/>
      <c r="LNV1529"/>
      <c r="LNW1529"/>
      <c r="LNX1529"/>
      <c r="LNY1529"/>
      <c r="LNZ1529"/>
      <c r="LOA1529"/>
      <c r="LOB1529"/>
      <c r="LOC1529"/>
      <c r="LOD1529"/>
      <c r="LOE1529"/>
      <c r="LOF1529"/>
      <c r="LOG1529"/>
      <c r="LOH1529"/>
      <c r="LOI1529"/>
      <c r="LOJ1529"/>
      <c r="LOK1529"/>
      <c r="LOL1529"/>
      <c r="LOM1529"/>
      <c r="LON1529"/>
      <c r="LOO1529"/>
      <c r="LOP1529"/>
      <c r="LOQ1529"/>
      <c r="LOR1529"/>
      <c r="LOS1529"/>
      <c r="LOT1529"/>
      <c r="LOU1529"/>
      <c r="LOV1529"/>
      <c r="LOW1529"/>
      <c r="LOX1529"/>
      <c r="LOY1529"/>
      <c r="LOZ1529"/>
      <c r="LPA1529"/>
      <c r="LPB1529"/>
      <c r="LPC1529"/>
      <c r="LPD1529"/>
      <c r="LPE1529"/>
      <c r="LPF1529"/>
      <c r="LPG1529"/>
      <c r="LPH1529"/>
      <c r="LPI1529"/>
      <c r="LPJ1529"/>
      <c r="LPK1529"/>
      <c r="LPL1529"/>
      <c r="LPM1529"/>
      <c r="LPN1529"/>
      <c r="LPO1529"/>
      <c r="LPP1529"/>
      <c r="LPQ1529"/>
      <c r="LPR1529"/>
      <c r="LPS1529"/>
      <c r="LPT1529"/>
      <c r="LPU1529"/>
      <c r="LPV1529"/>
      <c r="LPW1529"/>
      <c r="LPX1529"/>
      <c r="LPY1529"/>
      <c r="LPZ1529"/>
      <c r="LQA1529"/>
      <c r="LQB1529"/>
      <c r="LQC1529"/>
      <c r="LQD1529"/>
      <c r="LQE1529"/>
      <c r="LQF1529"/>
      <c r="LQG1529"/>
      <c r="LQH1529"/>
      <c r="LQI1529"/>
      <c r="LQJ1529"/>
      <c r="LQK1529"/>
      <c r="LQL1529"/>
      <c r="LQM1529"/>
      <c r="LQN1529"/>
      <c r="LQO1529"/>
      <c r="LQP1529"/>
      <c r="LQQ1529"/>
      <c r="LQR1529"/>
      <c r="LQS1529"/>
      <c r="LQT1529"/>
      <c r="LQU1529"/>
      <c r="LQV1529"/>
      <c r="LQW1529"/>
      <c r="LQX1529"/>
      <c r="LQY1529"/>
      <c r="LQZ1529"/>
      <c r="LRA1529"/>
      <c r="LRB1529"/>
      <c r="LRC1529"/>
      <c r="LRD1529"/>
      <c r="LRE1529"/>
      <c r="LRF1529"/>
      <c r="LRG1529"/>
      <c r="LRH1529"/>
      <c r="LRI1529"/>
      <c r="LRJ1529"/>
      <c r="LRK1529"/>
      <c r="LRL1529"/>
      <c r="LRM1529"/>
      <c r="LRN1529"/>
      <c r="LRO1529"/>
      <c r="LRP1529"/>
      <c r="LRQ1529"/>
      <c r="LRR1529"/>
      <c r="LRS1529"/>
      <c r="LRT1529"/>
      <c r="LRU1529"/>
      <c r="LRV1529"/>
      <c r="LRW1529"/>
      <c r="LRX1529"/>
      <c r="LRY1529"/>
      <c r="LRZ1529"/>
      <c r="LSA1529"/>
      <c r="LSB1529"/>
      <c r="LSC1529"/>
      <c r="LSD1529"/>
      <c r="LSE1529"/>
      <c r="LSF1529"/>
      <c r="LSG1529"/>
      <c r="LSH1529"/>
      <c r="LSI1529"/>
      <c r="LSJ1529"/>
      <c r="LSK1529"/>
      <c r="LSL1529"/>
      <c r="LSM1529"/>
      <c r="LSN1529"/>
      <c r="LSO1529"/>
      <c r="LSP1529"/>
      <c r="LSQ1529"/>
      <c r="LSR1529"/>
      <c r="LSS1529"/>
      <c r="LST1529"/>
      <c r="LSU1529"/>
      <c r="LSV1529"/>
      <c r="LSW1529"/>
      <c r="LSX1529"/>
      <c r="LSY1529"/>
      <c r="LSZ1529"/>
      <c r="LTA1529"/>
      <c r="LTB1529"/>
      <c r="LTC1529"/>
      <c r="LTD1529"/>
      <c r="LTE1529"/>
      <c r="LTF1529"/>
      <c r="LTG1529"/>
      <c r="LTH1529"/>
      <c r="LTI1529"/>
      <c r="LTJ1529"/>
      <c r="LTK1529"/>
      <c r="LTL1529"/>
      <c r="LTM1529"/>
      <c r="LTN1529"/>
      <c r="LTO1529"/>
      <c r="LTP1529"/>
      <c r="LTQ1529"/>
      <c r="LTR1529"/>
      <c r="LTS1529"/>
      <c r="LTT1529"/>
      <c r="LTU1529"/>
      <c r="LTV1529"/>
      <c r="LTW1529"/>
      <c r="LTX1529"/>
      <c r="LTY1529"/>
      <c r="LTZ1529"/>
      <c r="LUA1529"/>
      <c r="LUB1529"/>
      <c r="LUC1529"/>
      <c r="LUD1529"/>
      <c r="LUE1529"/>
      <c r="LUF1529"/>
      <c r="LUG1529"/>
      <c r="LUH1529"/>
      <c r="LUI1529"/>
      <c r="LUJ1529"/>
      <c r="LUK1529"/>
      <c r="LUL1529"/>
      <c r="LUM1529"/>
      <c r="LUN1529"/>
      <c r="LUO1529"/>
      <c r="LUP1529"/>
      <c r="LUQ1529"/>
      <c r="LUR1529"/>
      <c r="LUS1529"/>
      <c r="LUT1529"/>
      <c r="LUU1529"/>
      <c r="LUV1529"/>
      <c r="LUW1529"/>
      <c r="LUX1529"/>
      <c r="LUY1529"/>
      <c r="LUZ1529"/>
      <c r="LVA1529"/>
      <c r="LVB1529"/>
      <c r="LVC1529"/>
      <c r="LVD1529"/>
      <c r="LVE1529"/>
      <c r="LVF1529"/>
      <c r="LVG1529"/>
      <c r="LVH1529"/>
      <c r="LVI1529"/>
      <c r="LVJ1529"/>
      <c r="LVK1529"/>
      <c r="LVL1529"/>
      <c r="LVM1529"/>
      <c r="LVN1529"/>
      <c r="LVO1529"/>
      <c r="LVP1529"/>
      <c r="LVQ1529"/>
      <c r="LVR1529"/>
      <c r="LVS1529"/>
      <c r="LVT1529"/>
      <c r="LVU1529"/>
      <c r="LVV1529"/>
      <c r="LVW1529"/>
      <c r="LVX1529"/>
      <c r="LVY1529"/>
      <c r="LVZ1529"/>
      <c r="LWA1529"/>
      <c r="LWB1529"/>
      <c r="LWC1529"/>
      <c r="LWD1529"/>
      <c r="LWE1529"/>
      <c r="LWF1529"/>
      <c r="LWG1529"/>
      <c r="LWH1529"/>
      <c r="LWI1529"/>
      <c r="LWJ1529"/>
      <c r="LWK1529"/>
      <c r="LWL1529"/>
      <c r="LWM1529"/>
      <c r="LWN1529"/>
      <c r="LWO1529"/>
      <c r="LWP1529"/>
      <c r="LWQ1529"/>
      <c r="LWR1529"/>
      <c r="LWS1529"/>
      <c r="LWT1529"/>
      <c r="LWU1529"/>
      <c r="LWV1529"/>
      <c r="LWW1529"/>
      <c r="LWX1529"/>
      <c r="LWY1529"/>
      <c r="LWZ1529"/>
      <c r="LXA1529"/>
      <c r="LXB1529"/>
      <c r="LXC1529"/>
      <c r="LXD1529"/>
      <c r="LXE1529"/>
      <c r="LXF1529"/>
      <c r="LXG1529"/>
      <c r="LXH1529"/>
      <c r="LXI1529"/>
      <c r="LXJ1529"/>
      <c r="LXK1529"/>
      <c r="LXL1529"/>
      <c r="LXM1529"/>
      <c r="LXN1529"/>
      <c r="LXO1529"/>
      <c r="LXP1529"/>
      <c r="LXQ1529"/>
      <c r="LXR1529"/>
      <c r="LXS1529"/>
      <c r="LXT1529"/>
      <c r="LXU1529"/>
      <c r="LXV1529"/>
      <c r="LXW1529"/>
      <c r="LXX1529"/>
      <c r="LXY1529"/>
      <c r="LXZ1529"/>
      <c r="LYA1529"/>
      <c r="LYB1529"/>
      <c r="LYC1529"/>
      <c r="LYD1529"/>
      <c r="LYE1529"/>
      <c r="LYF1529"/>
      <c r="LYG1529"/>
      <c r="LYH1529"/>
      <c r="LYI1529"/>
      <c r="LYJ1529"/>
      <c r="LYK1529"/>
      <c r="LYL1529"/>
      <c r="LYM1529"/>
      <c r="LYN1529"/>
      <c r="LYO1529"/>
      <c r="LYP1529"/>
      <c r="LYQ1529"/>
      <c r="LYR1529"/>
      <c r="LYS1529"/>
      <c r="LYT1529"/>
      <c r="LYU1529"/>
      <c r="LYV1529"/>
      <c r="LYW1529"/>
      <c r="LYX1529"/>
      <c r="LYY1529"/>
      <c r="LYZ1529"/>
      <c r="LZA1529"/>
      <c r="LZB1529"/>
      <c r="LZC1529"/>
      <c r="LZD1529"/>
      <c r="LZE1529"/>
      <c r="LZF1529"/>
      <c r="LZG1529"/>
      <c r="LZH1529"/>
      <c r="LZI1529"/>
      <c r="LZJ1529"/>
      <c r="LZK1529"/>
      <c r="LZL1529"/>
      <c r="LZM1529"/>
      <c r="LZN1529"/>
      <c r="LZO1529"/>
      <c r="LZP1529"/>
      <c r="LZQ1529"/>
      <c r="LZR1529"/>
      <c r="LZS1529"/>
      <c r="LZT1529"/>
      <c r="LZU1529"/>
      <c r="LZV1529"/>
      <c r="LZW1529"/>
      <c r="LZX1529"/>
      <c r="LZY1529"/>
      <c r="LZZ1529"/>
      <c r="MAA1529"/>
      <c r="MAB1529"/>
      <c r="MAC1529"/>
      <c r="MAD1529"/>
      <c r="MAE1529"/>
      <c r="MAF1529"/>
      <c r="MAG1529"/>
      <c r="MAH1529"/>
      <c r="MAI1529"/>
      <c r="MAJ1529"/>
      <c r="MAK1529"/>
      <c r="MAL1529"/>
      <c r="MAM1529"/>
      <c r="MAN1529"/>
      <c r="MAO1529"/>
      <c r="MAP1529"/>
      <c r="MAQ1529"/>
      <c r="MAR1529"/>
      <c r="MAS1529"/>
      <c r="MAT1529"/>
      <c r="MAU1529"/>
      <c r="MAV1529"/>
      <c r="MAW1529"/>
      <c r="MAX1529"/>
      <c r="MAY1529"/>
      <c r="MAZ1529"/>
      <c r="MBA1529"/>
      <c r="MBB1529"/>
      <c r="MBC1529"/>
      <c r="MBD1529"/>
      <c r="MBE1529"/>
      <c r="MBF1529"/>
      <c r="MBG1529"/>
      <c r="MBH1529"/>
      <c r="MBI1529"/>
      <c r="MBJ1529"/>
      <c r="MBK1529"/>
      <c r="MBL1529"/>
      <c r="MBM1529"/>
      <c r="MBN1529"/>
      <c r="MBO1529"/>
      <c r="MBP1529"/>
      <c r="MBQ1529"/>
      <c r="MBR1529"/>
      <c r="MBS1529"/>
      <c r="MBT1529"/>
      <c r="MBU1529"/>
      <c r="MBV1529"/>
      <c r="MBW1529"/>
      <c r="MBX1529"/>
      <c r="MBY1529"/>
      <c r="MBZ1529"/>
      <c r="MCA1529"/>
      <c r="MCB1529"/>
      <c r="MCC1529"/>
      <c r="MCD1529"/>
      <c r="MCE1529"/>
      <c r="MCF1529"/>
      <c r="MCG1529"/>
      <c r="MCH1529"/>
      <c r="MCI1529"/>
      <c r="MCJ1529"/>
      <c r="MCK1529"/>
      <c r="MCL1529"/>
      <c r="MCM1529"/>
      <c r="MCN1529"/>
      <c r="MCO1529"/>
      <c r="MCP1529"/>
      <c r="MCQ1529"/>
      <c r="MCR1529"/>
      <c r="MCS1529"/>
      <c r="MCT1529"/>
      <c r="MCU1529"/>
      <c r="MCV1529"/>
      <c r="MCW1529"/>
      <c r="MCX1529"/>
      <c r="MCY1529"/>
      <c r="MCZ1529"/>
      <c r="MDA1529"/>
      <c r="MDB1529"/>
      <c r="MDC1529"/>
      <c r="MDD1529"/>
      <c r="MDE1529"/>
      <c r="MDF1529"/>
      <c r="MDG1529"/>
      <c r="MDH1529"/>
      <c r="MDI1529"/>
      <c r="MDJ1529"/>
      <c r="MDK1529"/>
      <c r="MDL1529"/>
      <c r="MDM1529"/>
      <c r="MDN1529"/>
      <c r="MDO1529"/>
      <c r="MDP1529"/>
      <c r="MDQ1529"/>
      <c r="MDR1529"/>
      <c r="MDS1529"/>
      <c r="MDT1529"/>
      <c r="MDU1529"/>
      <c r="MDV1529"/>
      <c r="MDW1529"/>
      <c r="MDX1529"/>
      <c r="MDY1529"/>
      <c r="MDZ1529"/>
      <c r="MEA1529"/>
      <c r="MEB1529"/>
      <c r="MEC1529"/>
      <c r="MED1529"/>
      <c r="MEE1529"/>
      <c r="MEF1529"/>
      <c r="MEG1529"/>
      <c r="MEH1529"/>
      <c r="MEI1529"/>
      <c r="MEJ1529"/>
      <c r="MEK1529"/>
      <c r="MEL1529"/>
      <c r="MEM1529"/>
      <c r="MEN1529"/>
      <c r="MEO1529"/>
      <c r="MEP1529"/>
      <c r="MEQ1529"/>
      <c r="MER1529"/>
      <c r="MES1529"/>
      <c r="MET1529"/>
      <c r="MEU1529"/>
      <c r="MEV1529"/>
      <c r="MEW1529"/>
      <c r="MEX1529"/>
      <c r="MEY1529"/>
      <c r="MEZ1529"/>
      <c r="MFA1529"/>
      <c r="MFB1529"/>
      <c r="MFC1529"/>
      <c r="MFD1529"/>
      <c r="MFE1529"/>
      <c r="MFF1529"/>
      <c r="MFG1529"/>
      <c r="MFH1529"/>
      <c r="MFI1529"/>
      <c r="MFJ1529"/>
      <c r="MFK1529"/>
      <c r="MFL1529"/>
      <c r="MFM1529"/>
      <c r="MFN1529"/>
      <c r="MFO1529"/>
      <c r="MFP1529"/>
      <c r="MFQ1529"/>
      <c r="MFR1529"/>
      <c r="MFS1529"/>
      <c r="MFT1529"/>
      <c r="MFU1529"/>
      <c r="MFV1529"/>
      <c r="MFW1529"/>
      <c r="MFX1529"/>
      <c r="MFY1529"/>
      <c r="MFZ1529"/>
      <c r="MGA1529"/>
      <c r="MGB1529"/>
      <c r="MGC1529"/>
      <c r="MGD1529"/>
      <c r="MGE1529"/>
      <c r="MGF1529"/>
      <c r="MGG1529"/>
      <c r="MGH1529"/>
      <c r="MGI1529"/>
      <c r="MGJ1529"/>
      <c r="MGK1529"/>
      <c r="MGL1529"/>
      <c r="MGM1529"/>
      <c r="MGN1529"/>
      <c r="MGO1529"/>
      <c r="MGP1529"/>
      <c r="MGQ1529"/>
      <c r="MGR1529"/>
      <c r="MGS1529"/>
      <c r="MGT1529"/>
      <c r="MGU1529"/>
      <c r="MGV1529"/>
      <c r="MGW1529"/>
      <c r="MGX1529"/>
      <c r="MGY1529"/>
      <c r="MGZ1529"/>
      <c r="MHA1529"/>
      <c r="MHB1529"/>
      <c r="MHC1529"/>
      <c r="MHD1529"/>
      <c r="MHE1529"/>
      <c r="MHF1529"/>
      <c r="MHG1529"/>
      <c r="MHH1529"/>
      <c r="MHI1529"/>
      <c r="MHJ1529"/>
      <c r="MHK1529"/>
      <c r="MHL1529"/>
      <c r="MHM1529"/>
      <c r="MHN1529"/>
      <c r="MHO1529"/>
      <c r="MHP1529"/>
      <c r="MHQ1529"/>
      <c r="MHR1529"/>
      <c r="MHS1529"/>
      <c r="MHT1529"/>
      <c r="MHU1529"/>
      <c r="MHV1529"/>
      <c r="MHW1529"/>
      <c r="MHX1529"/>
      <c r="MHY1529"/>
      <c r="MHZ1529"/>
      <c r="MIA1529"/>
      <c r="MIB1529"/>
      <c r="MIC1529"/>
      <c r="MID1529"/>
      <c r="MIE1529"/>
      <c r="MIF1529"/>
      <c r="MIG1529"/>
      <c r="MIH1529"/>
      <c r="MII1529"/>
      <c r="MIJ1529"/>
      <c r="MIK1529"/>
      <c r="MIL1529"/>
      <c r="MIM1529"/>
      <c r="MIN1529"/>
      <c r="MIO1529"/>
      <c r="MIP1529"/>
      <c r="MIQ1529"/>
      <c r="MIR1529"/>
      <c r="MIS1529"/>
      <c r="MIT1529"/>
      <c r="MIU1529"/>
      <c r="MIV1529"/>
      <c r="MIW1529"/>
      <c r="MIX1529"/>
      <c r="MIY1529"/>
      <c r="MIZ1529"/>
      <c r="MJA1529"/>
      <c r="MJB1529"/>
      <c r="MJC1529"/>
      <c r="MJD1529"/>
      <c r="MJE1529"/>
      <c r="MJF1529"/>
      <c r="MJG1529"/>
      <c r="MJH1529"/>
      <c r="MJI1529"/>
      <c r="MJJ1529"/>
      <c r="MJK1529"/>
      <c r="MJL1529"/>
      <c r="MJM1529"/>
      <c r="MJN1529"/>
      <c r="MJO1529"/>
      <c r="MJP1529"/>
      <c r="MJQ1529"/>
      <c r="MJR1529"/>
      <c r="MJS1529"/>
      <c r="MJT1529"/>
      <c r="MJU1529"/>
      <c r="MJV1529"/>
      <c r="MJW1529"/>
      <c r="MJX1529"/>
      <c r="MJY1529"/>
      <c r="MJZ1529"/>
      <c r="MKA1529"/>
      <c r="MKB1529"/>
      <c r="MKC1529"/>
      <c r="MKD1529"/>
      <c r="MKE1529"/>
      <c r="MKF1529"/>
      <c r="MKG1529"/>
      <c r="MKH1529"/>
      <c r="MKI1529"/>
      <c r="MKJ1529"/>
      <c r="MKK1529"/>
      <c r="MKL1529"/>
      <c r="MKM1529"/>
      <c r="MKN1529"/>
      <c r="MKO1529"/>
      <c r="MKP1529"/>
      <c r="MKQ1529"/>
      <c r="MKR1529"/>
      <c r="MKS1529"/>
      <c r="MKT1529"/>
      <c r="MKU1529"/>
      <c r="MKV1529"/>
      <c r="MKW1529"/>
      <c r="MKX1529"/>
      <c r="MKY1529"/>
      <c r="MKZ1529"/>
      <c r="MLA1529"/>
      <c r="MLB1529"/>
      <c r="MLC1529"/>
      <c r="MLD1529"/>
      <c r="MLE1529"/>
      <c r="MLF1529"/>
      <c r="MLG1529"/>
      <c r="MLH1529"/>
      <c r="MLI1529"/>
      <c r="MLJ1529"/>
      <c r="MLK1529"/>
      <c r="MLL1529"/>
      <c r="MLM1529"/>
      <c r="MLN1529"/>
      <c r="MLO1529"/>
      <c r="MLP1529"/>
      <c r="MLQ1529"/>
      <c r="MLR1529"/>
      <c r="MLS1529"/>
      <c r="MLT1529"/>
      <c r="MLU1529"/>
      <c r="MLV1529"/>
      <c r="MLW1529"/>
      <c r="MLX1529"/>
      <c r="MLY1529"/>
      <c r="MLZ1529"/>
      <c r="MMA1529"/>
      <c r="MMB1529"/>
      <c r="MMC1529"/>
      <c r="MMD1529"/>
      <c r="MME1529"/>
      <c r="MMF1529"/>
      <c r="MMG1529"/>
      <c r="MMH1529"/>
      <c r="MMI1529"/>
      <c r="MMJ1529"/>
      <c r="MMK1529"/>
      <c r="MML1529"/>
      <c r="MMM1529"/>
      <c r="MMN1529"/>
      <c r="MMO1529"/>
      <c r="MMP1529"/>
      <c r="MMQ1529"/>
      <c r="MMR1529"/>
      <c r="MMS1529"/>
      <c r="MMT1529"/>
      <c r="MMU1529"/>
      <c r="MMV1529"/>
      <c r="MMW1529"/>
      <c r="MMX1529"/>
      <c r="MMY1529"/>
      <c r="MMZ1529"/>
      <c r="MNA1529"/>
      <c r="MNB1529"/>
      <c r="MNC1529"/>
      <c r="MND1529"/>
      <c r="MNE1529"/>
      <c r="MNF1529"/>
      <c r="MNG1529"/>
      <c r="MNH1529"/>
      <c r="MNI1529"/>
      <c r="MNJ1529"/>
      <c r="MNK1529"/>
      <c r="MNL1529"/>
      <c r="MNM1529"/>
      <c r="MNN1529"/>
      <c r="MNO1529"/>
      <c r="MNP1529"/>
      <c r="MNQ1529"/>
      <c r="MNR1529"/>
      <c r="MNS1529"/>
      <c r="MNT1529"/>
      <c r="MNU1529"/>
      <c r="MNV1529"/>
      <c r="MNW1529"/>
      <c r="MNX1529"/>
      <c r="MNY1529"/>
      <c r="MNZ1529"/>
      <c r="MOA1529"/>
      <c r="MOB1529"/>
      <c r="MOC1529"/>
      <c r="MOD1529"/>
      <c r="MOE1529"/>
      <c r="MOF1529"/>
      <c r="MOG1529"/>
      <c r="MOH1529"/>
      <c r="MOI1529"/>
      <c r="MOJ1529"/>
      <c r="MOK1529"/>
      <c r="MOL1529"/>
      <c r="MOM1529"/>
      <c r="MON1529"/>
      <c r="MOO1529"/>
      <c r="MOP1529"/>
      <c r="MOQ1529"/>
      <c r="MOR1529"/>
      <c r="MOS1529"/>
      <c r="MOT1529"/>
      <c r="MOU1529"/>
      <c r="MOV1529"/>
      <c r="MOW1529"/>
      <c r="MOX1529"/>
      <c r="MOY1529"/>
      <c r="MOZ1529"/>
      <c r="MPA1529"/>
      <c r="MPB1529"/>
      <c r="MPC1529"/>
      <c r="MPD1529"/>
      <c r="MPE1529"/>
      <c r="MPF1529"/>
      <c r="MPG1529"/>
      <c r="MPH1529"/>
      <c r="MPI1529"/>
      <c r="MPJ1529"/>
      <c r="MPK1529"/>
      <c r="MPL1529"/>
      <c r="MPM1529"/>
      <c r="MPN1529"/>
      <c r="MPO1529"/>
      <c r="MPP1529"/>
      <c r="MPQ1529"/>
      <c r="MPR1529"/>
      <c r="MPS1529"/>
      <c r="MPT1529"/>
      <c r="MPU1529"/>
      <c r="MPV1529"/>
      <c r="MPW1529"/>
      <c r="MPX1529"/>
      <c r="MPY1529"/>
      <c r="MPZ1529"/>
      <c r="MQA1529"/>
      <c r="MQB1529"/>
      <c r="MQC1529"/>
      <c r="MQD1529"/>
      <c r="MQE1529"/>
      <c r="MQF1529"/>
      <c r="MQG1529"/>
      <c r="MQH1529"/>
      <c r="MQI1529"/>
      <c r="MQJ1529"/>
      <c r="MQK1529"/>
      <c r="MQL1529"/>
      <c r="MQM1529"/>
      <c r="MQN1529"/>
      <c r="MQO1529"/>
      <c r="MQP1529"/>
      <c r="MQQ1529"/>
      <c r="MQR1529"/>
      <c r="MQS1529"/>
      <c r="MQT1529"/>
      <c r="MQU1529"/>
      <c r="MQV1529"/>
      <c r="MQW1529"/>
      <c r="MQX1529"/>
      <c r="MQY1529"/>
      <c r="MQZ1529"/>
      <c r="MRA1529"/>
      <c r="MRB1529"/>
      <c r="MRC1529"/>
      <c r="MRD1529"/>
      <c r="MRE1529"/>
      <c r="MRF1529"/>
      <c r="MRG1529"/>
      <c r="MRH1529"/>
      <c r="MRI1529"/>
      <c r="MRJ1529"/>
      <c r="MRK1529"/>
      <c r="MRL1529"/>
      <c r="MRM1529"/>
      <c r="MRN1529"/>
      <c r="MRO1529"/>
      <c r="MRP1529"/>
      <c r="MRQ1529"/>
      <c r="MRR1529"/>
      <c r="MRS1529"/>
      <c r="MRT1529"/>
      <c r="MRU1529"/>
      <c r="MRV1529"/>
      <c r="MRW1529"/>
      <c r="MRX1529"/>
      <c r="MRY1529"/>
      <c r="MRZ1529"/>
      <c r="MSA1529"/>
      <c r="MSB1529"/>
      <c r="MSC1529"/>
      <c r="MSD1529"/>
      <c r="MSE1529"/>
      <c r="MSF1529"/>
      <c r="MSG1529"/>
      <c r="MSH1529"/>
      <c r="MSI1529"/>
      <c r="MSJ1529"/>
      <c r="MSK1529"/>
      <c r="MSL1529"/>
      <c r="MSM1529"/>
      <c r="MSN1529"/>
      <c r="MSO1529"/>
      <c r="MSP1529"/>
      <c r="MSQ1529"/>
      <c r="MSR1529"/>
      <c r="MSS1529"/>
      <c r="MST1529"/>
      <c r="MSU1529"/>
      <c r="MSV1529"/>
      <c r="MSW1529"/>
      <c r="MSX1529"/>
      <c r="MSY1529"/>
      <c r="MSZ1529"/>
      <c r="MTA1529"/>
      <c r="MTB1529"/>
      <c r="MTC1529"/>
      <c r="MTD1529"/>
      <c r="MTE1529"/>
      <c r="MTF1529"/>
      <c r="MTG1529"/>
      <c r="MTH1529"/>
      <c r="MTI1529"/>
      <c r="MTJ1529"/>
      <c r="MTK1529"/>
      <c r="MTL1529"/>
      <c r="MTM1529"/>
      <c r="MTN1529"/>
      <c r="MTO1529"/>
      <c r="MTP1529"/>
      <c r="MTQ1529"/>
      <c r="MTR1529"/>
      <c r="MTS1529"/>
      <c r="MTT1529"/>
      <c r="MTU1529"/>
      <c r="MTV1529"/>
      <c r="MTW1529"/>
      <c r="MTX1529"/>
      <c r="MTY1529"/>
      <c r="MTZ1529"/>
      <c r="MUA1529"/>
      <c r="MUB1529"/>
      <c r="MUC1529"/>
      <c r="MUD1529"/>
      <c r="MUE1529"/>
      <c r="MUF1529"/>
      <c r="MUG1529"/>
      <c r="MUH1529"/>
      <c r="MUI1529"/>
      <c r="MUJ1529"/>
      <c r="MUK1529"/>
      <c r="MUL1529"/>
      <c r="MUM1529"/>
      <c r="MUN1529"/>
      <c r="MUO1529"/>
      <c r="MUP1529"/>
      <c r="MUQ1529"/>
      <c r="MUR1529"/>
      <c r="MUS1529"/>
      <c r="MUT1529"/>
      <c r="MUU1529"/>
      <c r="MUV1529"/>
      <c r="MUW1529"/>
      <c r="MUX1529"/>
      <c r="MUY1529"/>
      <c r="MUZ1529"/>
      <c r="MVA1529"/>
      <c r="MVB1529"/>
      <c r="MVC1529"/>
      <c r="MVD1529"/>
      <c r="MVE1529"/>
      <c r="MVF1529"/>
      <c r="MVG1529"/>
      <c r="MVH1529"/>
      <c r="MVI1529"/>
      <c r="MVJ1529"/>
      <c r="MVK1529"/>
      <c r="MVL1529"/>
      <c r="MVM1529"/>
      <c r="MVN1529"/>
      <c r="MVO1529"/>
      <c r="MVP1529"/>
      <c r="MVQ1529"/>
      <c r="MVR1529"/>
      <c r="MVS1529"/>
      <c r="MVT1529"/>
      <c r="MVU1529"/>
      <c r="MVV1529"/>
      <c r="MVW1529"/>
      <c r="MVX1529"/>
      <c r="MVY1529"/>
      <c r="MVZ1529"/>
      <c r="MWA1529"/>
      <c r="MWB1529"/>
      <c r="MWC1529"/>
      <c r="MWD1529"/>
      <c r="MWE1529"/>
      <c r="MWF1529"/>
      <c r="MWG1529"/>
      <c r="MWH1529"/>
      <c r="MWI1529"/>
      <c r="MWJ1529"/>
      <c r="MWK1529"/>
      <c r="MWL1529"/>
      <c r="MWM1529"/>
      <c r="MWN1529"/>
      <c r="MWO1529"/>
      <c r="MWP1529"/>
      <c r="MWQ1529"/>
      <c r="MWR1529"/>
      <c r="MWS1529"/>
      <c r="MWT1529"/>
      <c r="MWU1529"/>
      <c r="MWV1529"/>
      <c r="MWW1529"/>
      <c r="MWX1529"/>
      <c r="MWY1529"/>
      <c r="MWZ1529"/>
      <c r="MXA1529"/>
      <c r="MXB1529"/>
      <c r="MXC1529"/>
      <c r="MXD1529"/>
      <c r="MXE1529"/>
      <c r="MXF1529"/>
      <c r="MXG1529"/>
      <c r="MXH1529"/>
      <c r="MXI1529"/>
      <c r="MXJ1529"/>
      <c r="MXK1529"/>
      <c r="MXL1529"/>
      <c r="MXM1529"/>
      <c r="MXN1529"/>
      <c r="MXO1529"/>
      <c r="MXP1529"/>
      <c r="MXQ1529"/>
      <c r="MXR1529"/>
      <c r="MXS1529"/>
      <c r="MXT1529"/>
      <c r="MXU1529"/>
      <c r="MXV1529"/>
      <c r="MXW1529"/>
      <c r="MXX1529"/>
      <c r="MXY1529"/>
      <c r="MXZ1529"/>
      <c r="MYA1529"/>
      <c r="MYB1529"/>
      <c r="MYC1529"/>
      <c r="MYD1529"/>
      <c r="MYE1529"/>
      <c r="MYF1529"/>
      <c r="MYG1529"/>
      <c r="MYH1529"/>
      <c r="MYI1529"/>
      <c r="MYJ1529"/>
      <c r="MYK1529"/>
      <c r="MYL1529"/>
      <c r="MYM1529"/>
      <c r="MYN1529"/>
      <c r="MYO1529"/>
      <c r="MYP1529"/>
      <c r="MYQ1529"/>
      <c r="MYR1529"/>
      <c r="MYS1529"/>
      <c r="MYT1529"/>
      <c r="MYU1529"/>
      <c r="MYV1529"/>
      <c r="MYW1529"/>
      <c r="MYX1529"/>
      <c r="MYY1529"/>
      <c r="MYZ1529"/>
      <c r="MZA1529"/>
      <c r="MZB1529"/>
      <c r="MZC1529"/>
      <c r="MZD1529"/>
      <c r="MZE1529"/>
      <c r="MZF1529"/>
      <c r="MZG1529"/>
      <c r="MZH1529"/>
      <c r="MZI1529"/>
      <c r="MZJ1529"/>
      <c r="MZK1529"/>
      <c r="MZL1529"/>
      <c r="MZM1529"/>
      <c r="MZN1529"/>
      <c r="MZO1529"/>
      <c r="MZP1529"/>
      <c r="MZQ1529"/>
      <c r="MZR1529"/>
      <c r="MZS1529"/>
      <c r="MZT1529"/>
      <c r="MZU1529"/>
      <c r="MZV1529"/>
      <c r="MZW1529"/>
      <c r="MZX1529"/>
      <c r="MZY1529"/>
      <c r="MZZ1529"/>
      <c r="NAA1529"/>
      <c r="NAB1529"/>
      <c r="NAC1529"/>
      <c r="NAD1529"/>
      <c r="NAE1529"/>
      <c r="NAF1529"/>
      <c r="NAG1529"/>
      <c r="NAH1529"/>
      <c r="NAI1529"/>
      <c r="NAJ1529"/>
      <c r="NAK1529"/>
      <c r="NAL1529"/>
      <c r="NAM1529"/>
      <c r="NAN1529"/>
      <c r="NAO1529"/>
      <c r="NAP1529"/>
      <c r="NAQ1529"/>
      <c r="NAR1529"/>
      <c r="NAS1529"/>
      <c r="NAT1529"/>
      <c r="NAU1529"/>
      <c r="NAV1529"/>
      <c r="NAW1529"/>
      <c r="NAX1529"/>
      <c r="NAY1529"/>
      <c r="NAZ1529"/>
      <c r="NBA1529"/>
      <c r="NBB1529"/>
      <c r="NBC1529"/>
      <c r="NBD1529"/>
      <c r="NBE1529"/>
      <c r="NBF1529"/>
      <c r="NBG1529"/>
      <c r="NBH1529"/>
      <c r="NBI1529"/>
      <c r="NBJ1529"/>
      <c r="NBK1529"/>
      <c r="NBL1529"/>
      <c r="NBM1529"/>
      <c r="NBN1529"/>
      <c r="NBO1529"/>
      <c r="NBP1529"/>
      <c r="NBQ1529"/>
      <c r="NBR1529"/>
      <c r="NBS1529"/>
      <c r="NBT1529"/>
      <c r="NBU1529"/>
      <c r="NBV1529"/>
      <c r="NBW1529"/>
      <c r="NBX1529"/>
      <c r="NBY1529"/>
      <c r="NBZ1529"/>
      <c r="NCA1529"/>
      <c r="NCB1529"/>
      <c r="NCC1529"/>
      <c r="NCD1529"/>
      <c r="NCE1529"/>
      <c r="NCF1529"/>
      <c r="NCG1529"/>
      <c r="NCH1529"/>
      <c r="NCI1529"/>
      <c r="NCJ1529"/>
      <c r="NCK1529"/>
      <c r="NCL1529"/>
      <c r="NCM1529"/>
      <c r="NCN1529"/>
      <c r="NCO1529"/>
      <c r="NCP1529"/>
      <c r="NCQ1529"/>
      <c r="NCR1529"/>
      <c r="NCS1529"/>
      <c r="NCT1529"/>
      <c r="NCU1529"/>
      <c r="NCV1529"/>
      <c r="NCW1529"/>
      <c r="NCX1529"/>
      <c r="NCY1529"/>
      <c r="NCZ1529"/>
      <c r="NDA1529"/>
      <c r="NDB1529"/>
      <c r="NDC1529"/>
      <c r="NDD1529"/>
      <c r="NDE1529"/>
      <c r="NDF1529"/>
      <c r="NDG1529"/>
      <c r="NDH1529"/>
      <c r="NDI1529"/>
      <c r="NDJ1529"/>
      <c r="NDK1529"/>
      <c r="NDL1529"/>
      <c r="NDM1529"/>
      <c r="NDN1529"/>
      <c r="NDO1529"/>
      <c r="NDP1529"/>
      <c r="NDQ1529"/>
      <c r="NDR1529"/>
      <c r="NDS1529"/>
      <c r="NDT1529"/>
      <c r="NDU1529"/>
      <c r="NDV1529"/>
      <c r="NDW1529"/>
      <c r="NDX1529"/>
      <c r="NDY1529"/>
      <c r="NDZ1529"/>
      <c r="NEA1529"/>
      <c r="NEB1529"/>
      <c r="NEC1529"/>
      <c r="NED1529"/>
      <c r="NEE1529"/>
      <c r="NEF1529"/>
      <c r="NEG1529"/>
      <c r="NEH1529"/>
      <c r="NEI1529"/>
      <c r="NEJ1529"/>
      <c r="NEK1529"/>
      <c r="NEL1529"/>
      <c r="NEM1529"/>
      <c r="NEN1529"/>
      <c r="NEO1529"/>
      <c r="NEP1529"/>
      <c r="NEQ1529"/>
      <c r="NER1529"/>
      <c r="NES1529"/>
      <c r="NET1529"/>
      <c r="NEU1529"/>
      <c r="NEV1529"/>
      <c r="NEW1529"/>
      <c r="NEX1529"/>
      <c r="NEY1529"/>
      <c r="NEZ1529"/>
      <c r="NFA1529"/>
      <c r="NFB1529"/>
      <c r="NFC1529"/>
      <c r="NFD1529"/>
      <c r="NFE1529"/>
      <c r="NFF1529"/>
      <c r="NFG1529"/>
      <c r="NFH1529"/>
      <c r="NFI1529"/>
      <c r="NFJ1529"/>
      <c r="NFK1529"/>
      <c r="NFL1529"/>
      <c r="NFM1529"/>
      <c r="NFN1529"/>
      <c r="NFO1529"/>
      <c r="NFP1529"/>
      <c r="NFQ1529"/>
      <c r="NFR1529"/>
      <c r="NFS1529"/>
      <c r="NFT1529"/>
      <c r="NFU1529"/>
      <c r="NFV1529"/>
      <c r="NFW1529"/>
      <c r="NFX1529"/>
      <c r="NFY1529"/>
      <c r="NFZ1529"/>
      <c r="NGA1529"/>
      <c r="NGB1529"/>
      <c r="NGC1529"/>
      <c r="NGD1529"/>
      <c r="NGE1529"/>
      <c r="NGF1529"/>
      <c r="NGG1529"/>
      <c r="NGH1529"/>
      <c r="NGI1529"/>
      <c r="NGJ1529"/>
      <c r="NGK1529"/>
      <c r="NGL1529"/>
      <c r="NGM1529"/>
      <c r="NGN1529"/>
      <c r="NGO1529"/>
      <c r="NGP1529"/>
      <c r="NGQ1529"/>
      <c r="NGR1529"/>
      <c r="NGS1529"/>
      <c r="NGT1529"/>
      <c r="NGU1529"/>
      <c r="NGV1529"/>
      <c r="NGW1529"/>
      <c r="NGX1529"/>
      <c r="NGY1529"/>
      <c r="NGZ1529"/>
      <c r="NHA1529"/>
      <c r="NHB1529"/>
      <c r="NHC1529"/>
      <c r="NHD1529"/>
      <c r="NHE1529"/>
      <c r="NHF1529"/>
      <c r="NHG1529"/>
      <c r="NHH1529"/>
      <c r="NHI1529"/>
      <c r="NHJ1529"/>
      <c r="NHK1529"/>
      <c r="NHL1529"/>
      <c r="NHM1529"/>
      <c r="NHN1529"/>
      <c r="NHO1529"/>
      <c r="NHP1529"/>
      <c r="NHQ1529"/>
      <c r="NHR1529"/>
      <c r="NHS1529"/>
      <c r="NHT1529"/>
      <c r="NHU1529"/>
      <c r="NHV1529"/>
      <c r="NHW1529"/>
      <c r="NHX1529"/>
      <c r="NHY1529"/>
      <c r="NHZ1529"/>
      <c r="NIA1529"/>
      <c r="NIB1529"/>
      <c r="NIC1529"/>
      <c r="NID1529"/>
      <c r="NIE1529"/>
      <c r="NIF1529"/>
      <c r="NIG1529"/>
      <c r="NIH1529"/>
      <c r="NII1529"/>
      <c r="NIJ1529"/>
      <c r="NIK1529"/>
      <c r="NIL1529"/>
      <c r="NIM1529"/>
      <c r="NIN1529"/>
      <c r="NIO1529"/>
      <c r="NIP1529"/>
      <c r="NIQ1529"/>
      <c r="NIR1529"/>
      <c r="NIS1529"/>
      <c r="NIT1529"/>
      <c r="NIU1529"/>
      <c r="NIV1529"/>
      <c r="NIW1529"/>
      <c r="NIX1529"/>
      <c r="NIY1529"/>
      <c r="NIZ1529"/>
      <c r="NJA1529"/>
      <c r="NJB1529"/>
      <c r="NJC1529"/>
      <c r="NJD1529"/>
      <c r="NJE1529"/>
      <c r="NJF1529"/>
      <c r="NJG1529"/>
      <c r="NJH1529"/>
      <c r="NJI1529"/>
      <c r="NJJ1529"/>
      <c r="NJK1529"/>
      <c r="NJL1529"/>
      <c r="NJM1529"/>
      <c r="NJN1529"/>
      <c r="NJO1529"/>
      <c r="NJP1529"/>
      <c r="NJQ1529"/>
      <c r="NJR1529"/>
      <c r="NJS1529"/>
      <c r="NJT1529"/>
      <c r="NJU1529"/>
      <c r="NJV1529"/>
      <c r="NJW1529"/>
      <c r="NJX1529"/>
      <c r="NJY1529"/>
      <c r="NJZ1529"/>
      <c r="NKA1529"/>
      <c r="NKB1529"/>
      <c r="NKC1529"/>
      <c r="NKD1529"/>
      <c r="NKE1529"/>
      <c r="NKF1529"/>
      <c r="NKG1529"/>
      <c r="NKH1529"/>
      <c r="NKI1529"/>
      <c r="NKJ1529"/>
      <c r="NKK1529"/>
      <c r="NKL1529"/>
      <c r="NKM1529"/>
      <c r="NKN1529"/>
      <c r="NKO1529"/>
      <c r="NKP1529"/>
      <c r="NKQ1529"/>
      <c r="NKR1529"/>
      <c r="NKS1529"/>
      <c r="NKT1529"/>
      <c r="NKU1529"/>
      <c r="NKV1529"/>
      <c r="NKW1529"/>
      <c r="NKX1529"/>
      <c r="NKY1529"/>
      <c r="NKZ1529"/>
      <c r="NLA1529"/>
      <c r="NLB1529"/>
      <c r="NLC1529"/>
      <c r="NLD1529"/>
      <c r="NLE1529"/>
      <c r="NLF1529"/>
      <c r="NLG1529"/>
      <c r="NLH1529"/>
      <c r="NLI1529"/>
      <c r="NLJ1529"/>
      <c r="NLK1529"/>
      <c r="NLL1529"/>
      <c r="NLM1529"/>
      <c r="NLN1529"/>
      <c r="NLO1529"/>
      <c r="NLP1529"/>
      <c r="NLQ1529"/>
      <c r="NLR1529"/>
      <c r="NLS1529"/>
      <c r="NLT1529"/>
      <c r="NLU1529"/>
      <c r="NLV1529"/>
      <c r="NLW1529"/>
      <c r="NLX1529"/>
      <c r="NLY1529"/>
      <c r="NLZ1529"/>
      <c r="NMA1529"/>
      <c r="NMB1529"/>
      <c r="NMC1529"/>
      <c r="NMD1529"/>
      <c r="NME1529"/>
      <c r="NMF1529"/>
      <c r="NMG1529"/>
      <c r="NMH1529"/>
      <c r="NMI1529"/>
      <c r="NMJ1529"/>
      <c r="NMK1529"/>
      <c r="NML1529"/>
      <c r="NMM1529"/>
      <c r="NMN1529"/>
      <c r="NMO1529"/>
      <c r="NMP1529"/>
      <c r="NMQ1529"/>
      <c r="NMR1529"/>
      <c r="NMS1529"/>
      <c r="NMT1529"/>
      <c r="NMU1529"/>
      <c r="NMV1529"/>
      <c r="NMW1529"/>
      <c r="NMX1529"/>
      <c r="NMY1529"/>
      <c r="NMZ1529"/>
      <c r="NNA1529"/>
      <c r="NNB1529"/>
      <c r="NNC1529"/>
      <c r="NND1529"/>
      <c r="NNE1529"/>
      <c r="NNF1529"/>
      <c r="NNG1529"/>
      <c r="NNH1529"/>
      <c r="NNI1529"/>
      <c r="NNJ1529"/>
      <c r="NNK1529"/>
      <c r="NNL1529"/>
      <c r="NNM1529"/>
      <c r="NNN1529"/>
      <c r="NNO1529"/>
      <c r="NNP1529"/>
      <c r="NNQ1529"/>
      <c r="NNR1529"/>
      <c r="NNS1529"/>
      <c r="NNT1529"/>
      <c r="NNU1529"/>
      <c r="NNV1529"/>
      <c r="NNW1529"/>
      <c r="NNX1529"/>
      <c r="NNY1529"/>
      <c r="NNZ1529"/>
      <c r="NOA1529"/>
      <c r="NOB1529"/>
      <c r="NOC1529"/>
      <c r="NOD1529"/>
      <c r="NOE1529"/>
      <c r="NOF1529"/>
      <c r="NOG1529"/>
      <c r="NOH1529"/>
      <c r="NOI1529"/>
      <c r="NOJ1529"/>
      <c r="NOK1529"/>
      <c r="NOL1529"/>
      <c r="NOM1529"/>
      <c r="NON1529"/>
      <c r="NOO1529"/>
      <c r="NOP1529"/>
      <c r="NOQ1529"/>
      <c r="NOR1529"/>
      <c r="NOS1529"/>
      <c r="NOT1529"/>
      <c r="NOU1529"/>
      <c r="NOV1529"/>
      <c r="NOW1529"/>
      <c r="NOX1529"/>
      <c r="NOY1529"/>
      <c r="NOZ1529"/>
      <c r="NPA1529"/>
      <c r="NPB1529"/>
      <c r="NPC1529"/>
      <c r="NPD1529"/>
      <c r="NPE1529"/>
      <c r="NPF1529"/>
      <c r="NPG1529"/>
      <c r="NPH1529"/>
      <c r="NPI1529"/>
      <c r="NPJ1529"/>
      <c r="NPK1529"/>
      <c r="NPL1529"/>
      <c r="NPM1529"/>
      <c r="NPN1529"/>
      <c r="NPO1529"/>
      <c r="NPP1529"/>
      <c r="NPQ1529"/>
      <c r="NPR1529"/>
      <c r="NPS1529"/>
      <c r="NPT1529"/>
      <c r="NPU1529"/>
      <c r="NPV1529"/>
      <c r="NPW1529"/>
      <c r="NPX1529"/>
      <c r="NPY1529"/>
      <c r="NPZ1529"/>
      <c r="NQA1529"/>
      <c r="NQB1529"/>
      <c r="NQC1529"/>
      <c r="NQD1529"/>
      <c r="NQE1529"/>
      <c r="NQF1529"/>
      <c r="NQG1529"/>
      <c r="NQH1529"/>
      <c r="NQI1529"/>
      <c r="NQJ1529"/>
      <c r="NQK1529"/>
      <c r="NQL1529"/>
      <c r="NQM1529"/>
      <c r="NQN1529"/>
      <c r="NQO1529"/>
      <c r="NQP1529"/>
      <c r="NQQ1529"/>
      <c r="NQR1529"/>
      <c r="NQS1529"/>
      <c r="NQT1529"/>
      <c r="NQU1529"/>
      <c r="NQV1529"/>
      <c r="NQW1529"/>
      <c r="NQX1529"/>
      <c r="NQY1529"/>
      <c r="NQZ1529"/>
      <c r="NRA1529"/>
      <c r="NRB1529"/>
      <c r="NRC1529"/>
      <c r="NRD1529"/>
      <c r="NRE1529"/>
      <c r="NRF1529"/>
      <c r="NRG1529"/>
      <c r="NRH1529"/>
      <c r="NRI1529"/>
      <c r="NRJ1529"/>
      <c r="NRK1529"/>
      <c r="NRL1529"/>
      <c r="NRM1529"/>
      <c r="NRN1529"/>
      <c r="NRO1529"/>
      <c r="NRP1529"/>
      <c r="NRQ1529"/>
      <c r="NRR1529"/>
      <c r="NRS1529"/>
      <c r="NRT1529"/>
      <c r="NRU1529"/>
      <c r="NRV1529"/>
      <c r="NRW1529"/>
      <c r="NRX1529"/>
      <c r="NRY1529"/>
      <c r="NRZ1529"/>
      <c r="NSA1529"/>
      <c r="NSB1529"/>
      <c r="NSC1529"/>
      <c r="NSD1529"/>
      <c r="NSE1529"/>
      <c r="NSF1529"/>
      <c r="NSG1529"/>
      <c r="NSH1529"/>
      <c r="NSI1529"/>
      <c r="NSJ1529"/>
      <c r="NSK1529"/>
      <c r="NSL1529"/>
      <c r="NSM1529"/>
      <c r="NSN1529"/>
      <c r="NSO1529"/>
      <c r="NSP1529"/>
      <c r="NSQ1529"/>
      <c r="NSR1529"/>
      <c r="NSS1529"/>
      <c r="NST1529"/>
      <c r="NSU1529"/>
      <c r="NSV1529"/>
      <c r="NSW1529"/>
      <c r="NSX1529"/>
      <c r="NSY1529"/>
      <c r="NSZ1529"/>
      <c r="NTA1529"/>
      <c r="NTB1529"/>
      <c r="NTC1529"/>
      <c r="NTD1529"/>
      <c r="NTE1529"/>
      <c r="NTF1529"/>
      <c r="NTG1529"/>
      <c r="NTH1529"/>
      <c r="NTI1529"/>
      <c r="NTJ1529"/>
      <c r="NTK1529"/>
      <c r="NTL1529"/>
      <c r="NTM1529"/>
      <c r="NTN1529"/>
      <c r="NTO1529"/>
      <c r="NTP1529"/>
      <c r="NTQ1529"/>
      <c r="NTR1529"/>
      <c r="NTS1529"/>
      <c r="NTT1529"/>
      <c r="NTU1529"/>
      <c r="NTV1529"/>
      <c r="NTW1529"/>
      <c r="NTX1529"/>
      <c r="NTY1529"/>
      <c r="NTZ1529"/>
      <c r="NUA1529"/>
      <c r="NUB1529"/>
      <c r="NUC1529"/>
      <c r="NUD1529"/>
      <c r="NUE1529"/>
      <c r="NUF1529"/>
      <c r="NUG1529"/>
      <c r="NUH1529"/>
      <c r="NUI1529"/>
      <c r="NUJ1529"/>
      <c r="NUK1529"/>
      <c r="NUL1529"/>
      <c r="NUM1529"/>
      <c r="NUN1529"/>
      <c r="NUO1529"/>
      <c r="NUP1529"/>
      <c r="NUQ1529"/>
      <c r="NUR1529"/>
      <c r="NUS1529"/>
      <c r="NUT1529"/>
      <c r="NUU1529"/>
      <c r="NUV1529"/>
      <c r="NUW1529"/>
      <c r="NUX1529"/>
      <c r="NUY1529"/>
      <c r="NUZ1529"/>
      <c r="NVA1529"/>
      <c r="NVB1529"/>
      <c r="NVC1529"/>
      <c r="NVD1529"/>
      <c r="NVE1529"/>
      <c r="NVF1529"/>
      <c r="NVG1529"/>
      <c r="NVH1529"/>
      <c r="NVI1529"/>
      <c r="NVJ1529"/>
      <c r="NVK1529"/>
      <c r="NVL1529"/>
      <c r="NVM1529"/>
      <c r="NVN1529"/>
      <c r="NVO1529"/>
      <c r="NVP1529"/>
      <c r="NVQ1529"/>
      <c r="NVR1529"/>
      <c r="NVS1529"/>
      <c r="NVT1529"/>
      <c r="NVU1529"/>
      <c r="NVV1529"/>
      <c r="NVW1529"/>
      <c r="NVX1529"/>
      <c r="NVY1529"/>
      <c r="NVZ1529"/>
      <c r="NWA1529"/>
      <c r="NWB1529"/>
      <c r="NWC1529"/>
      <c r="NWD1529"/>
      <c r="NWE1529"/>
      <c r="NWF1529"/>
      <c r="NWG1529"/>
      <c r="NWH1529"/>
      <c r="NWI1529"/>
      <c r="NWJ1529"/>
      <c r="NWK1529"/>
      <c r="NWL1529"/>
      <c r="NWM1529"/>
      <c r="NWN1529"/>
      <c r="NWO1529"/>
      <c r="NWP1529"/>
      <c r="NWQ1529"/>
      <c r="NWR1529"/>
      <c r="NWS1529"/>
      <c r="NWT1529"/>
      <c r="NWU1529"/>
      <c r="NWV1529"/>
      <c r="NWW1529"/>
      <c r="NWX1529"/>
      <c r="NWY1529"/>
      <c r="NWZ1529"/>
      <c r="NXA1529"/>
      <c r="NXB1529"/>
      <c r="NXC1529"/>
      <c r="NXD1529"/>
      <c r="NXE1529"/>
      <c r="NXF1529"/>
      <c r="NXG1529"/>
      <c r="NXH1529"/>
      <c r="NXI1529"/>
      <c r="NXJ1529"/>
      <c r="NXK1529"/>
      <c r="NXL1529"/>
      <c r="NXM1529"/>
      <c r="NXN1529"/>
      <c r="NXO1529"/>
      <c r="NXP1529"/>
      <c r="NXQ1529"/>
      <c r="NXR1529"/>
      <c r="NXS1529"/>
      <c r="NXT1529"/>
      <c r="NXU1529"/>
      <c r="NXV1529"/>
      <c r="NXW1529"/>
      <c r="NXX1529"/>
      <c r="NXY1529"/>
      <c r="NXZ1529"/>
      <c r="NYA1529"/>
      <c r="NYB1529"/>
      <c r="NYC1529"/>
      <c r="NYD1529"/>
      <c r="NYE1529"/>
      <c r="NYF1529"/>
      <c r="NYG1529"/>
      <c r="NYH1529"/>
      <c r="NYI1529"/>
      <c r="NYJ1529"/>
      <c r="NYK1529"/>
      <c r="NYL1529"/>
      <c r="NYM1529"/>
      <c r="NYN1529"/>
      <c r="NYO1529"/>
      <c r="NYP1529"/>
      <c r="NYQ1529"/>
      <c r="NYR1529"/>
      <c r="NYS1529"/>
      <c r="NYT1529"/>
      <c r="NYU1529"/>
      <c r="NYV1529"/>
      <c r="NYW1529"/>
      <c r="NYX1529"/>
      <c r="NYY1529"/>
      <c r="NYZ1529"/>
      <c r="NZA1529"/>
      <c r="NZB1529"/>
      <c r="NZC1529"/>
      <c r="NZD1529"/>
      <c r="NZE1529"/>
      <c r="NZF1529"/>
      <c r="NZG1529"/>
      <c r="NZH1529"/>
      <c r="NZI1529"/>
      <c r="NZJ1529"/>
      <c r="NZK1529"/>
      <c r="NZL1529"/>
      <c r="NZM1529"/>
      <c r="NZN1529"/>
      <c r="NZO1529"/>
      <c r="NZP1529"/>
      <c r="NZQ1529"/>
      <c r="NZR1529"/>
      <c r="NZS1529"/>
      <c r="NZT1529"/>
      <c r="NZU1529"/>
      <c r="NZV1529"/>
      <c r="NZW1529"/>
      <c r="NZX1529"/>
      <c r="NZY1529"/>
      <c r="NZZ1529"/>
      <c r="OAA1529"/>
      <c r="OAB1529"/>
      <c r="OAC1529"/>
      <c r="OAD1529"/>
      <c r="OAE1529"/>
      <c r="OAF1529"/>
      <c r="OAG1529"/>
      <c r="OAH1529"/>
      <c r="OAI1529"/>
      <c r="OAJ1529"/>
      <c r="OAK1529"/>
      <c r="OAL1529"/>
      <c r="OAM1529"/>
      <c r="OAN1529"/>
      <c r="OAO1529"/>
      <c r="OAP1529"/>
      <c r="OAQ1529"/>
      <c r="OAR1529"/>
      <c r="OAS1529"/>
      <c r="OAT1529"/>
      <c r="OAU1529"/>
      <c r="OAV1529"/>
      <c r="OAW1529"/>
      <c r="OAX1529"/>
      <c r="OAY1529"/>
      <c r="OAZ1529"/>
      <c r="OBA1529"/>
      <c r="OBB1529"/>
      <c r="OBC1529"/>
      <c r="OBD1529"/>
      <c r="OBE1529"/>
      <c r="OBF1529"/>
      <c r="OBG1529"/>
      <c r="OBH1529"/>
      <c r="OBI1529"/>
      <c r="OBJ1529"/>
      <c r="OBK1529"/>
      <c r="OBL1529"/>
      <c r="OBM1529"/>
      <c r="OBN1529"/>
      <c r="OBO1529"/>
      <c r="OBP1529"/>
      <c r="OBQ1529"/>
      <c r="OBR1529"/>
      <c r="OBS1529"/>
      <c r="OBT1529"/>
      <c r="OBU1529"/>
      <c r="OBV1529"/>
      <c r="OBW1529"/>
      <c r="OBX1529"/>
      <c r="OBY1529"/>
      <c r="OBZ1529"/>
      <c r="OCA1529"/>
      <c r="OCB1529"/>
      <c r="OCC1529"/>
      <c r="OCD1529"/>
      <c r="OCE1529"/>
      <c r="OCF1529"/>
      <c r="OCG1529"/>
      <c r="OCH1529"/>
      <c r="OCI1529"/>
      <c r="OCJ1529"/>
      <c r="OCK1529"/>
      <c r="OCL1529"/>
      <c r="OCM1529"/>
      <c r="OCN1529"/>
      <c r="OCO1529"/>
      <c r="OCP1529"/>
      <c r="OCQ1529"/>
      <c r="OCR1529"/>
      <c r="OCS1529"/>
      <c r="OCT1529"/>
      <c r="OCU1529"/>
      <c r="OCV1529"/>
      <c r="OCW1529"/>
      <c r="OCX1529"/>
      <c r="OCY1529"/>
      <c r="OCZ1529"/>
      <c r="ODA1529"/>
      <c r="ODB1529"/>
      <c r="ODC1529"/>
      <c r="ODD1529"/>
      <c r="ODE1529"/>
      <c r="ODF1529"/>
      <c r="ODG1529"/>
      <c r="ODH1529"/>
      <c r="ODI1529"/>
      <c r="ODJ1529"/>
      <c r="ODK1529"/>
      <c r="ODL1529"/>
      <c r="ODM1529"/>
      <c r="ODN1529"/>
      <c r="ODO1529"/>
      <c r="ODP1529"/>
      <c r="ODQ1529"/>
      <c r="ODR1529"/>
      <c r="ODS1529"/>
      <c r="ODT1529"/>
      <c r="ODU1529"/>
      <c r="ODV1529"/>
      <c r="ODW1529"/>
      <c r="ODX1529"/>
      <c r="ODY1529"/>
      <c r="ODZ1529"/>
      <c r="OEA1529"/>
      <c r="OEB1529"/>
      <c r="OEC1529"/>
      <c r="OED1529"/>
      <c r="OEE1529"/>
      <c r="OEF1529"/>
      <c r="OEG1529"/>
      <c r="OEH1529"/>
      <c r="OEI1529"/>
      <c r="OEJ1529"/>
      <c r="OEK1529"/>
      <c r="OEL1529"/>
      <c r="OEM1529"/>
      <c r="OEN1529"/>
      <c r="OEO1529"/>
      <c r="OEP1529"/>
      <c r="OEQ1529"/>
      <c r="OER1529"/>
      <c r="OES1529"/>
      <c r="OET1529"/>
      <c r="OEU1529"/>
      <c r="OEV1529"/>
      <c r="OEW1529"/>
      <c r="OEX1529"/>
      <c r="OEY1529"/>
      <c r="OEZ1529"/>
      <c r="OFA1529"/>
      <c r="OFB1529"/>
      <c r="OFC1529"/>
      <c r="OFD1529"/>
      <c r="OFE1529"/>
      <c r="OFF1529"/>
      <c r="OFG1529"/>
      <c r="OFH1529"/>
      <c r="OFI1529"/>
      <c r="OFJ1529"/>
      <c r="OFK1529"/>
      <c r="OFL1529"/>
      <c r="OFM1529"/>
      <c r="OFN1529"/>
      <c r="OFO1529"/>
      <c r="OFP1529"/>
      <c r="OFQ1529"/>
      <c r="OFR1529"/>
      <c r="OFS1529"/>
      <c r="OFT1529"/>
      <c r="OFU1529"/>
      <c r="OFV1529"/>
      <c r="OFW1529"/>
      <c r="OFX1529"/>
      <c r="OFY1529"/>
      <c r="OFZ1529"/>
      <c r="OGA1529"/>
      <c r="OGB1529"/>
      <c r="OGC1529"/>
      <c r="OGD1529"/>
      <c r="OGE1529"/>
      <c r="OGF1529"/>
      <c r="OGG1529"/>
      <c r="OGH1529"/>
      <c r="OGI1529"/>
      <c r="OGJ1529"/>
      <c r="OGK1529"/>
      <c r="OGL1529"/>
      <c r="OGM1529"/>
      <c r="OGN1529"/>
      <c r="OGO1529"/>
      <c r="OGP1529"/>
      <c r="OGQ1529"/>
      <c r="OGR1529"/>
      <c r="OGS1529"/>
      <c r="OGT1529"/>
      <c r="OGU1529"/>
      <c r="OGV1529"/>
      <c r="OGW1529"/>
      <c r="OGX1529"/>
      <c r="OGY1529"/>
      <c r="OGZ1529"/>
      <c r="OHA1529"/>
      <c r="OHB1529"/>
      <c r="OHC1529"/>
      <c r="OHD1529"/>
      <c r="OHE1529"/>
      <c r="OHF1529"/>
      <c r="OHG1529"/>
      <c r="OHH1529"/>
      <c r="OHI1529"/>
      <c r="OHJ1529"/>
      <c r="OHK1529"/>
      <c r="OHL1529"/>
      <c r="OHM1529"/>
      <c r="OHN1529"/>
      <c r="OHO1529"/>
      <c r="OHP1529"/>
      <c r="OHQ1529"/>
      <c r="OHR1529"/>
      <c r="OHS1529"/>
      <c r="OHT1529"/>
      <c r="OHU1529"/>
      <c r="OHV1529"/>
      <c r="OHW1529"/>
      <c r="OHX1529"/>
      <c r="OHY1529"/>
      <c r="OHZ1529"/>
      <c r="OIA1529"/>
      <c r="OIB1529"/>
      <c r="OIC1529"/>
      <c r="OID1529"/>
      <c r="OIE1529"/>
      <c r="OIF1529"/>
      <c r="OIG1529"/>
      <c r="OIH1529"/>
      <c r="OII1529"/>
      <c r="OIJ1529"/>
      <c r="OIK1529"/>
      <c r="OIL1529"/>
      <c r="OIM1529"/>
      <c r="OIN1529"/>
      <c r="OIO1529"/>
      <c r="OIP1529"/>
      <c r="OIQ1529"/>
      <c r="OIR1529"/>
      <c r="OIS1529"/>
      <c r="OIT1529"/>
      <c r="OIU1529"/>
      <c r="OIV1529"/>
      <c r="OIW1529"/>
      <c r="OIX1529"/>
      <c r="OIY1529"/>
      <c r="OIZ1529"/>
      <c r="OJA1529"/>
      <c r="OJB1529"/>
      <c r="OJC1529"/>
      <c r="OJD1529"/>
      <c r="OJE1529"/>
      <c r="OJF1529"/>
      <c r="OJG1529"/>
      <c r="OJH1529"/>
      <c r="OJI1529"/>
      <c r="OJJ1529"/>
      <c r="OJK1529"/>
      <c r="OJL1529"/>
      <c r="OJM1529"/>
      <c r="OJN1529"/>
      <c r="OJO1529"/>
      <c r="OJP1529"/>
      <c r="OJQ1529"/>
      <c r="OJR1529"/>
      <c r="OJS1529"/>
      <c r="OJT1529"/>
      <c r="OJU1529"/>
      <c r="OJV1529"/>
      <c r="OJW1529"/>
      <c r="OJX1529"/>
      <c r="OJY1529"/>
      <c r="OJZ1529"/>
      <c r="OKA1529"/>
      <c r="OKB1529"/>
      <c r="OKC1529"/>
      <c r="OKD1529"/>
      <c r="OKE1529"/>
      <c r="OKF1529"/>
      <c r="OKG1529"/>
      <c r="OKH1529"/>
      <c r="OKI1529"/>
      <c r="OKJ1529"/>
      <c r="OKK1529"/>
      <c r="OKL1529"/>
      <c r="OKM1529"/>
      <c r="OKN1529"/>
      <c r="OKO1529"/>
      <c r="OKP1529"/>
      <c r="OKQ1529"/>
      <c r="OKR1529"/>
      <c r="OKS1529"/>
      <c r="OKT1529"/>
      <c r="OKU1529"/>
      <c r="OKV1529"/>
      <c r="OKW1529"/>
      <c r="OKX1529"/>
      <c r="OKY1529"/>
      <c r="OKZ1529"/>
      <c r="OLA1529"/>
      <c r="OLB1529"/>
      <c r="OLC1529"/>
      <c r="OLD1529"/>
      <c r="OLE1529"/>
      <c r="OLF1529"/>
      <c r="OLG1529"/>
      <c r="OLH1529"/>
      <c r="OLI1529"/>
      <c r="OLJ1529"/>
      <c r="OLK1529"/>
      <c r="OLL1529"/>
      <c r="OLM1529"/>
      <c r="OLN1529"/>
      <c r="OLO1529"/>
      <c r="OLP1529"/>
      <c r="OLQ1529"/>
      <c r="OLR1529"/>
      <c r="OLS1529"/>
      <c r="OLT1529"/>
      <c r="OLU1529"/>
      <c r="OLV1529"/>
      <c r="OLW1529"/>
      <c r="OLX1529"/>
      <c r="OLY1529"/>
      <c r="OLZ1529"/>
      <c r="OMA1529"/>
      <c r="OMB1529"/>
      <c r="OMC1529"/>
      <c r="OMD1529"/>
      <c r="OME1529"/>
      <c r="OMF1529"/>
      <c r="OMG1529"/>
      <c r="OMH1529"/>
      <c r="OMI1529"/>
      <c r="OMJ1529"/>
      <c r="OMK1529"/>
      <c r="OML1529"/>
      <c r="OMM1529"/>
      <c r="OMN1529"/>
      <c r="OMO1529"/>
      <c r="OMP1529"/>
      <c r="OMQ1529"/>
      <c r="OMR1529"/>
      <c r="OMS1529"/>
      <c r="OMT1529"/>
      <c r="OMU1529"/>
      <c r="OMV1529"/>
      <c r="OMW1529"/>
      <c r="OMX1529"/>
      <c r="OMY1529"/>
      <c r="OMZ1529"/>
      <c r="ONA1529"/>
      <c r="ONB1529"/>
      <c r="ONC1529"/>
      <c r="OND1529"/>
      <c r="ONE1529"/>
      <c r="ONF1529"/>
      <c r="ONG1529"/>
      <c r="ONH1529"/>
      <c r="ONI1529"/>
      <c r="ONJ1529"/>
      <c r="ONK1529"/>
      <c r="ONL1529"/>
      <c r="ONM1529"/>
      <c r="ONN1529"/>
      <c r="ONO1529"/>
      <c r="ONP1529"/>
      <c r="ONQ1529"/>
      <c r="ONR1529"/>
      <c r="ONS1529"/>
      <c r="ONT1529"/>
      <c r="ONU1529"/>
      <c r="ONV1529"/>
      <c r="ONW1529"/>
      <c r="ONX1529"/>
      <c r="ONY1529"/>
      <c r="ONZ1529"/>
      <c r="OOA1529"/>
      <c r="OOB1529"/>
      <c r="OOC1529"/>
      <c r="OOD1529"/>
      <c r="OOE1529"/>
      <c r="OOF1529"/>
      <c r="OOG1529"/>
      <c r="OOH1529"/>
      <c r="OOI1529"/>
      <c r="OOJ1529"/>
      <c r="OOK1529"/>
      <c r="OOL1529"/>
      <c r="OOM1529"/>
      <c r="OON1529"/>
      <c r="OOO1529"/>
      <c r="OOP1529"/>
      <c r="OOQ1529"/>
      <c r="OOR1529"/>
      <c r="OOS1529"/>
      <c r="OOT1529"/>
      <c r="OOU1529"/>
      <c r="OOV1529"/>
      <c r="OOW1529"/>
      <c r="OOX1529"/>
      <c r="OOY1529"/>
      <c r="OOZ1529"/>
      <c r="OPA1529"/>
      <c r="OPB1529"/>
      <c r="OPC1529"/>
      <c r="OPD1529"/>
      <c r="OPE1529"/>
      <c r="OPF1529"/>
      <c r="OPG1529"/>
      <c r="OPH1529"/>
      <c r="OPI1529"/>
      <c r="OPJ1529"/>
      <c r="OPK1529"/>
      <c r="OPL1529"/>
      <c r="OPM1529"/>
      <c r="OPN1529"/>
      <c r="OPO1529"/>
      <c r="OPP1529"/>
      <c r="OPQ1529"/>
      <c r="OPR1529"/>
      <c r="OPS1529"/>
      <c r="OPT1529"/>
      <c r="OPU1529"/>
      <c r="OPV1529"/>
      <c r="OPW1529"/>
      <c r="OPX1529"/>
      <c r="OPY1529"/>
      <c r="OPZ1529"/>
      <c r="OQA1529"/>
      <c r="OQB1529"/>
      <c r="OQC1529"/>
      <c r="OQD1529"/>
      <c r="OQE1529"/>
      <c r="OQF1529"/>
      <c r="OQG1529"/>
      <c r="OQH1529"/>
      <c r="OQI1529"/>
      <c r="OQJ1529"/>
      <c r="OQK1529"/>
      <c r="OQL1529"/>
      <c r="OQM1529"/>
      <c r="OQN1529"/>
      <c r="OQO1529"/>
      <c r="OQP1529"/>
      <c r="OQQ1529"/>
      <c r="OQR1529"/>
      <c r="OQS1529"/>
      <c r="OQT1529"/>
      <c r="OQU1529"/>
      <c r="OQV1529"/>
      <c r="OQW1529"/>
      <c r="OQX1529"/>
      <c r="OQY1529"/>
      <c r="OQZ1529"/>
      <c r="ORA1529"/>
      <c r="ORB1529"/>
      <c r="ORC1529"/>
      <c r="ORD1529"/>
      <c r="ORE1529"/>
      <c r="ORF1529"/>
      <c r="ORG1529"/>
      <c r="ORH1529"/>
      <c r="ORI1529"/>
      <c r="ORJ1529"/>
      <c r="ORK1529"/>
      <c r="ORL1529"/>
      <c r="ORM1529"/>
      <c r="ORN1529"/>
      <c r="ORO1529"/>
      <c r="ORP1529"/>
      <c r="ORQ1529"/>
      <c r="ORR1529"/>
      <c r="ORS1529"/>
      <c r="ORT1529"/>
      <c r="ORU1529"/>
      <c r="ORV1529"/>
      <c r="ORW1529"/>
      <c r="ORX1529"/>
      <c r="ORY1529"/>
      <c r="ORZ1529"/>
      <c r="OSA1529"/>
      <c r="OSB1529"/>
      <c r="OSC1529"/>
      <c r="OSD1529"/>
      <c r="OSE1529"/>
      <c r="OSF1529"/>
      <c r="OSG1529"/>
      <c r="OSH1529"/>
      <c r="OSI1529"/>
      <c r="OSJ1529"/>
      <c r="OSK1529"/>
      <c r="OSL1529"/>
      <c r="OSM1529"/>
      <c r="OSN1529"/>
      <c r="OSO1529"/>
      <c r="OSP1529"/>
      <c r="OSQ1529"/>
      <c r="OSR1529"/>
      <c r="OSS1529"/>
      <c r="OST1529"/>
      <c r="OSU1529"/>
      <c r="OSV1529"/>
      <c r="OSW1529"/>
      <c r="OSX1529"/>
      <c r="OSY1529"/>
      <c r="OSZ1529"/>
      <c r="OTA1529"/>
      <c r="OTB1529"/>
      <c r="OTC1529"/>
      <c r="OTD1529"/>
      <c r="OTE1529"/>
      <c r="OTF1529"/>
      <c r="OTG1529"/>
      <c r="OTH1529"/>
      <c r="OTI1529"/>
      <c r="OTJ1529"/>
      <c r="OTK1529"/>
      <c r="OTL1529"/>
      <c r="OTM1529"/>
      <c r="OTN1529"/>
      <c r="OTO1529"/>
      <c r="OTP1529"/>
      <c r="OTQ1529"/>
      <c r="OTR1529"/>
      <c r="OTS1529"/>
      <c r="OTT1529"/>
      <c r="OTU1529"/>
      <c r="OTV1529"/>
      <c r="OTW1529"/>
      <c r="OTX1529"/>
      <c r="OTY1529"/>
      <c r="OTZ1529"/>
      <c r="OUA1529"/>
      <c r="OUB1529"/>
      <c r="OUC1529"/>
      <c r="OUD1529"/>
      <c r="OUE1529"/>
      <c r="OUF1529"/>
      <c r="OUG1529"/>
      <c r="OUH1529"/>
      <c r="OUI1529"/>
      <c r="OUJ1529"/>
      <c r="OUK1529"/>
      <c r="OUL1529"/>
      <c r="OUM1529"/>
      <c r="OUN1529"/>
      <c r="OUO1529"/>
      <c r="OUP1529"/>
      <c r="OUQ1529"/>
      <c r="OUR1529"/>
      <c r="OUS1529"/>
      <c r="OUT1529"/>
      <c r="OUU1529"/>
      <c r="OUV1529"/>
      <c r="OUW1529"/>
      <c r="OUX1529"/>
      <c r="OUY1529"/>
      <c r="OUZ1529"/>
      <c r="OVA1529"/>
      <c r="OVB1529"/>
      <c r="OVC1529"/>
      <c r="OVD1529"/>
      <c r="OVE1529"/>
      <c r="OVF1529"/>
      <c r="OVG1529"/>
      <c r="OVH1529"/>
      <c r="OVI1529"/>
      <c r="OVJ1529"/>
      <c r="OVK1529"/>
      <c r="OVL1529"/>
      <c r="OVM1529"/>
      <c r="OVN1529"/>
      <c r="OVO1529"/>
      <c r="OVP1529"/>
      <c r="OVQ1529"/>
      <c r="OVR1529"/>
      <c r="OVS1529"/>
      <c r="OVT1529"/>
      <c r="OVU1529"/>
      <c r="OVV1529"/>
      <c r="OVW1529"/>
      <c r="OVX1529"/>
      <c r="OVY1529"/>
      <c r="OVZ1529"/>
      <c r="OWA1529"/>
      <c r="OWB1529"/>
      <c r="OWC1529"/>
      <c r="OWD1529"/>
      <c r="OWE1529"/>
      <c r="OWF1529"/>
      <c r="OWG1529"/>
      <c r="OWH1529"/>
      <c r="OWI1529"/>
      <c r="OWJ1529"/>
      <c r="OWK1529"/>
      <c r="OWL1529"/>
      <c r="OWM1529"/>
      <c r="OWN1529"/>
      <c r="OWO1529"/>
      <c r="OWP1529"/>
      <c r="OWQ1529"/>
      <c r="OWR1529"/>
      <c r="OWS1529"/>
      <c r="OWT1529"/>
      <c r="OWU1529"/>
      <c r="OWV1529"/>
      <c r="OWW1529"/>
      <c r="OWX1529"/>
      <c r="OWY1529"/>
      <c r="OWZ1529"/>
      <c r="OXA1529"/>
      <c r="OXB1529"/>
      <c r="OXC1529"/>
      <c r="OXD1529"/>
      <c r="OXE1529"/>
      <c r="OXF1529"/>
      <c r="OXG1529"/>
      <c r="OXH1529"/>
      <c r="OXI1529"/>
      <c r="OXJ1529"/>
      <c r="OXK1529"/>
      <c r="OXL1529"/>
      <c r="OXM1529"/>
      <c r="OXN1529"/>
      <c r="OXO1529"/>
      <c r="OXP1529"/>
      <c r="OXQ1529"/>
      <c r="OXR1529"/>
      <c r="OXS1529"/>
      <c r="OXT1529"/>
      <c r="OXU1529"/>
      <c r="OXV1529"/>
      <c r="OXW1529"/>
      <c r="OXX1529"/>
      <c r="OXY1529"/>
      <c r="OXZ1529"/>
      <c r="OYA1529"/>
      <c r="OYB1529"/>
      <c r="OYC1529"/>
      <c r="OYD1529"/>
      <c r="OYE1529"/>
      <c r="OYF1529"/>
      <c r="OYG1529"/>
      <c r="OYH1529"/>
      <c r="OYI1529"/>
      <c r="OYJ1529"/>
      <c r="OYK1529"/>
      <c r="OYL1529"/>
      <c r="OYM1529"/>
      <c r="OYN1529"/>
      <c r="OYO1529"/>
      <c r="OYP1529"/>
      <c r="OYQ1529"/>
      <c r="OYR1529"/>
      <c r="OYS1529"/>
      <c r="OYT1529"/>
      <c r="OYU1529"/>
      <c r="OYV1529"/>
      <c r="OYW1529"/>
      <c r="OYX1529"/>
      <c r="OYY1529"/>
      <c r="OYZ1529"/>
      <c r="OZA1529"/>
      <c r="OZB1529"/>
      <c r="OZC1529"/>
      <c r="OZD1529"/>
      <c r="OZE1529"/>
      <c r="OZF1529"/>
      <c r="OZG1529"/>
      <c r="OZH1529"/>
      <c r="OZI1529"/>
      <c r="OZJ1529"/>
      <c r="OZK1529"/>
      <c r="OZL1529"/>
      <c r="OZM1529"/>
      <c r="OZN1529"/>
      <c r="OZO1529"/>
      <c r="OZP1529"/>
      <c r="OZQ1529"/>
      <c r="OZR1529"/>
      <c r="OZS1529"/>
      <c r="OZT1529"/>
      <c r="OZU1529"/>
      <c r="OZV1529"/>
      <c r="OZW1529"/>
      <c r="OZX1529"/>
      <c r="OZY1529"/>
      <c r="OZZ1529"/>
      <c r="PAA1529"/>
      <c r="PAB1529"/>
      <c r="PAC1529"/>
      <c r="PAD1529"/>
      <c r="PAE1529"/>
      <c r="PAF1529"/>
      <c r="PAG1529"/>
      <c r="PAH1529"/>
      <c r="PAI1529"/>
      <c r="PAJ1529"/>
      <c r="PAK1529"/>
      <c r="PAL1529"/>
      <c r="PAM1529"/>
      <c r="PAN1529"/>
      <c r="PAO1529"/>
      <c r="PAP1529"/>
      <c r="PAQ1529"/>
      <c r="PAR1529"/>
      <c r="PAS1529"/>
      <c r="PAT1529"/>
      <c r="PAU1529"/>
      <c r="PAV1529"/>
      <c r="PAW1529"/>
      <c r="PAX1529"/>
      <c r="PAY1529"/>
      <c r="PAZ1529"/>
      <c r="PBA1529"/>
      <c r="PBB1529"/>
      <c r="PBC1529"/>
      <c r="PBD1529"/>
      <c r="PBE1529"/>
      <c r="PBF1529"/>
      <c r="PBG1529"/>
      <c r="PBH1529"/>
      <c r="PBI1529"/>
      <c r="PBJ1529"/>
      <c r="PBK1529"/>
      <c r="PBL1529"/>
      <c r="PBM1529"/>
      <c r="PBN1529"/>
      <c r="PBO1529"/>
      <c r="PBP1529"/>
      <c r="PBQ1529"/>
      <c r="PBR1529"/>
      <c r="PBS1529"/>
      <c r="PBT1529"/>
      <c r="PBU1529"/>
      <c r="PBV1529"/>
      <c r="PBW1529"/>
      <c r="PBX1529"/>
      <c r="PBY1529"/>
      <c r="PBZ1529"/>
      <c r="PCA1529"/>
      <c r="PCB1529"/>
      <c r="PCC1529"/>
      <c r="PCD1529"/>
      <c r="PCE1529"/>
      <c r="PCF1529"/>
      <c r="PCG1529"/>
      <c r="PCH1529"/>
      <c r="PCI1529"/>
      <c r="PCJ1529"/>
      <c r="PCK1529"/>
      <c r="PCL1529"/>
      <c r="PCM1529"/>
      <c r="PCN1529"/>
      <c r="PCO1529"/>
      <c r="PCP1529"/>
      <c r="PCQ1529"/>
      <c r="PCR1529"/>
      <c r="PCS1529"/>
      <c r="PCT1529"/>
      <c r="PCU1529"/>
      <c r="PCV1529"/>
      <c r="PCW1529"/>
      <c r="PCX1529"/>
      <c r="PCY1529"/>
      <c r="PCZ1529"/>
      <c r="PDA1529"/>
      <c r="PDB1529"/>
      <c r="PDC1529"/>
      <c r="PDD1529"/>
      <c r="PDE1529"/>
      <c r="PDF1529"/>
      <c r="PDG1529"/>
      <c r="PDH1529"/>
      <c r="PDI1529"/>
      <c r="PDJ1529"/>
      <c r="PDK1529"/>
      <c r="PDL1529"/>
      <c r="PDM1529"/>
      <c r="PDN1529"/>
      <c r="PDO1529"/>
      <c r="PDP1529"/>
      <c r="PDQ1529"/>
      <c r="PDR1529"/>
      <c r="PDS1529"/>
      <c r="PDT1529"/>
      <c r="PDU1529"/>
      <c r="PDV1529"/>
      <c r="PDW1529"/>
      <c r="PDX1529"/>
      <c r="PDY1529"/>
      <c r="PDZ1529"/>
      <c r="PEA1529"/>
      <c r="PEB1529"/>
      <c r="PEC1529"/>
      <c r="PED1529"/>
      <c r="PEE1529"/>
      <c r="PEF1529"/>
      <c r="PEG1529"/>
      <c r="PEH1529"/>
      <c r="PEI1529"/>
      <c r="PEJ1529"/>
      <c r="PEK1529"/>
      <c r="PEL1529"/>
      <c r="PEM1529"/>
      <c r="PEN1529"/>
      <c r="PEO1529"/>
      <c r="PEP1529"/>
      <c r="PEQ1529"/>
      <c r="PER1529"/>
      <c r="PES1529"/>
      <c r="PET1529"/>
      <c r="PEU1529"/>
      <c r="PEV1529"/>
      <c r="PEW1529"/>
      <c r="PEX1529"/>
      <c r="PEY1529"/>
      <c r="PEZ1529"/>
      <c r="PFA1529"/>
      <c r="PFB1529"/>
      <c r="PFC1529"/>
      <c r="PFD1529"/>
      <c r="PFE1529"/>
      <c r="PFF1529"/>
      <c r="PFG1529"/>
      <c r="PFH1529"/>
      <c r="PFI1529"/>
      <c r="PFJ1529"/>
      <c r="PFK1529"/>
      <c r="PFL1529"/>
      <c r="PFM1529"/>
      <c r="PFN1529"/>
      <c r="PFO1529"/>
      <c r="PFP1529"/>
      <c r="PFQ1529"/>
      <c r="PFR1529"/>
      <c r="PFS1529"/>
      <c r="PFT1529"/>
      <c r="PFU1529"/>
      <c r="PFV1529"/>
      <c r="PFW1529"/>
      <c r="PFX1529"/>
      <c r="PFY1529"/>
      <c r="PFZ1529"/>
      <c r="PGA1529"/>
      <c r="PGB1529"/>
      <c r="PGC1529"/>
      <c r="PGD1529"/>
      <c r="PGE1529"/>
      <c r="PGF1529"/>
      <c r="PGG1529"/>
      <c r="PGH1529"/>
      <c r="PGI1529"/>
      <c r="PGJ1529"/>
      <c r="PGK1529"/>
      <c r="PGL1529"/>
      <c r="PGM1529"/>
      <c r="PGN1529"/>
      <c r="PGO1529"/>
      <c r="PGP1529"/>
      <c r="PGQ1529"/>
      <c r="PGR1529"/>
      <c r="PGS1529"/>
      <c r="PGT1529"/>
      <c r="PGU1529"/>
      <c r="PGV1529"/>
      <c r="PGW1529"/>
      <c r="PGX1529"/>
      <c r="PGY1529"/>
      <c r="PGZ1529"/>
      <c r="PHA1529"/>
      <c r="PHB1529"/>
      <c r="PHC1529"/>
      <c r="PHD1529"/>
      <c r="PHE1529"/>
      <c r="PHF1529"/>
      <c r="PHG1529"/>
      <c r="PHH1529"/>
      <c r="PHI1529"/>
      <c r="PHJ1529"/>
      <c r="PHK1529"/>
      <c r="PHL1529"/>
      <c r="PHM1529"/>
      <c r="PHN1529"/>
      <c r="PHO1529"/>
      <c r="PHP1529"/>
      <c r="PHQ1529"/>
      <c r="PHR1529"/>
      <c r="PHS1529"/>
      <c r="PHT1529"/>
      <c r="PHU1529"/>
      <c r="PHV1529"/>
      <c r="PHW1529"/>
      <c r="PHX1529"/>
      <c r="PHY1529"/>
      <c r="PHZ1529"/>
      <c r="PIA1529"/>
      <c r="PIB1529"/>
      <c r="PIC1529"/>
      <c r="PID1529"/>
      <c r="PIE1529"/>
      <c r="PIF1529"/>
      <c r="PIG1529"/>
      <c r="PIH1529"/>
      <c r="PII1529"/>
      <c r="PIJ1529"/>
      <c r="PIK1529"/>
      <c r="PIL1529"/>
      <c r="PIM1529"/>
      <c r="PIN1529"/>
      <c r="PIO1529"/>
      <c r="PIP1529"/>
      <c r="PIQ1529"/>
      <c r="PIR1529"/>
      <c r="PIS1529"/>
      <c r="PIT1529"/>
      <c r="PIU1529"/>
      <c r="PIV1529"/>
      <c r="PIW1529"/>
      <c r="PIX1529"/>
      <c r="PIY1529"/>
      <c r="PIZ1529"/>
      <c r="PJA1529"/>
      <c r="PJB1529"/>
      <c r="PJC1529"/>
      <c r="PJD1529"/>
      <c r="PJE1529"/>
      <c r="PJF1529"/>
      <c r="PJG1529"/>
      <c r="PJH1529"/>
      <c r="PJI1529"/>
      <c r="PJJ1529"/>
      <c r="PJK1529"/>
      <c r="PJL1529"/>
      <c r="PJM1529"/>
      <c r="PJN1529"/>
      <c r="PJO1529"/>
      <c r="PJP1529"/>
      <c r="PJQ1529"/>
      <c r="PJR1529"/>
      <c r="PJS1529"/>
      <c r="PJT1529"/>
      <c r="PJU1529"/>
      <c r="PJV1529"/>
      <c r="PJW1529"/>
      <c r="PJX1529"/>
      <c r="PJY1529"/>
      <c r="PJZ1529"/>
      <c r="PKA1529"/>
      <c r="PKB1529"/>
      <c r="PKC1529"/>
      <c r="PKD1529"/>
      <c r="PKE1529"/>
      <c r="PKF1529"/>
      <c r="PKG1529"/>
      <c r="PKH1529"/>
      <c r="PKI1529"/>
      <c r="PKJ1529"/>
      <c r="PKK1529"/>
      <c r="PKL1529"/>
      <c r="PKM1529"/>
      <c r="PKN1529"/>
      <c r="PKO1529"/>
      <c r="PKP1529"/>
      <c r="PKQ1529"/>
      <c r="PKR1529"/>
      <c r="PKS1529"/>
      <c r="PKT1529"/>
      <c r="PKU1529"/>
      <c r="PKV1529"/>
      <c r="PKW1529"/>
      <c r="PKX1529"/>
      <c r="PKY1529"/>
      <c r="PKZ1529"/>
      <c r="PLA1529"/>
      <c r="PLB1529"/>
      <c r="PLC1529"/>
      <c r="PLD1529"/>
      <c r="PLE1529"/>
      <c r="PLF1529"/>
      <c r="PLG1529"/>
      <c r="PLH1529"/>
      <c r="PLI1529"/>
      <c r="PLJ1529"/>
      <c r="PLK1529"/>
      <c r="PLL1529"/>
      <c r="PLM1529"/>
      <c r="PLN1529"/>
      <c r="PLO1529"/>
      <c r="PLP1529"/>
      <c r="PLQ1529"/>
      <c r="PLR1529"/>
      <c r="PLS1529"/>
      <c r="PLT1529"/>
      <c r="PLU1529"/>
      <c r="PLV1529"/>
      <c r="PLW1529"/>
      <c r="PLX1529"/>
      <c r="PLY1529"/>
      <c r="PLZ1529"/>
      <c r="PMA1529"/>
      <c r="PMB1529"/>
      <c r="PMC1529"/>
      <c r="PMD1529"/>
      <c r="PME1529"/>
      <c r="PMF1529"/>
      <c r="PMG1529"/>
      <c r="PMH1529"/>
      <c r="PMI1529"/>
      <c r="PMJ1529"/>
      <c r="PMK1529"/>
      <c r="PML1529"/>
      <c r="PMM1529"/>
      <c r="PMN1529"/>
      <c r="PMO1529"/>
      <c r="PMP1529"/>
      <c r="PMQ1529"/>
      <c r="PMR1529"/>
      <c r="PMS1529"/>
      <c r="PMT1529"/>
      <c r="PMU1529"/>
      <c r="PMV1529"/>
      <c r="PMW1529"/>
      <c r="PMX1529"/>
      <c r="PMY1529"/>
      <c r="PMZ1529"/>
      <c r="PNA1529"/>
      <c r="PNB1529"/>
      <c r="PNC1529"/>
      <c r="PND1529"/>
      <c r="PNE1529"/>
      <c r="PNF1529"/>
      <c r="PNG1529"/>
      <c r="PNH1529"/>
      <c r="PNI1529"/>
      <c r="PNJ1529"/>
      <c r="PNK1529"/>
      <c r="PNL1529"/>
      <c r="PNM1529"/>
      <c r="PNN1529"/>
      <c r="PNO1529"/>
      <c r="PNP1529"/>
      <c r="PNQ1529"/>
      <c r="PNR1529"/>
      <c r="PNS1529"/>
      <c r="PNT1529"/>
      <c r="PNU1529"/>
      <c r="PNV1529"/>
      <c r="PNW1529"/>
      <c r="PNX1529"/>
      <c r="PNY1529"/>
      <c r="PNZ1529"/>
      <c r="POA1529"/>
      <c r="POB1529"/>
      <c r="POC1529"/>
      <c r="POD1529"/>
      <c r="POE1529"/>
      <c r="POF1529"/>
      <c r="POG1529"/>
      <c r="POH1529"/>
      <c r="POI1529"/>
      <c r="POJ1529"/>
      <c r="POK1529"/>
      <c r="POL1529"/>
      <c r="POM1529"/>
      <c r="PON1529"/>
      <c r="POO1529"/>
      <c r="POP1529"/>
      <c r="POQ1529"/>
      <c r="POR1529"/>
      <c r="POS1529"/>
      <c r="POT1529"/>
      <c r="POU1529"/>
      <c r="POV1529"/>
      <c r="POW1529"/>
      <c r="POX1529"/>
      <c r="POY1529"/>
      <c r="POZ1529"/>
      <c r="PPA1529"/>
      <c r="PPB1529"/>
      <c r="PPC1529"/>
      <c r="PPD1529"/>
      <c r="PPE1529"/>
      <c r="PPF1529"/>
      <c r="PPG1529"/>
      <c r="PPH1529"/>
      <c r="PPI1529"/>
      <c r="PPJ1529"/>
      <c r="PPK1529"/>
      <c r="PPL1529"/>
      <c r="PPM1529"/>
      <c r="PPN1529"/>
      <c r="PPO1529"/>
      <c r="PPP1529"/>
      <c r="PPQ1529"/>
      <c r="PPR1529"/>
      <c r="PPS1529"/>
      <c r="PPT1529"/>
      <c r="PPU1529"/>
      <c r="PPV1529"/>
      <c r="PPW1529"/>
      <c r="PPX1529"/>
      <c r="PPY1529"/>
      <c r="PPZ1529"/>
      <c r="PQA1529"/>
      <c r="PQB1529"/>
      <c r="PQC1529"/>
      <c r="PQD1529"/>
      <c r="PQE1529"/>
      <c r="PQF1529"/>
      <c r="PQG1529"/>
      <c r="PQH1529"/>
      <c r="PQI1529"/>
      <c r="PQJ1529"/>
      <c r="PQK1529"/>
      <c r="PQL1529"/>
      <c r="PQM1529"/>
      <c r="PQN1529"/>
      <c r="PQO1529"/>
      <c r="PQP1529"/>
      <c r="PQQ1529"/>
      <c r="PQR1529"/>
      <c r="PQS1529"/>
      <c r="PQT1529"/>
      <c r="PQU1529"/>
      <c r="PQV1529"/>
      <c r="PQW1529"/>
      <c r="PQX1529"/>
      <c r="PQY1529"/>
      <c r="PQZ1529"/>
      <c r="PRA1529"/>
      <c r="PRB1529"/>
      <c r="PRC1529"/>
      <c r="PRD1529"/>
      <c r="PRE1529"/>
      <c r="PRF1529"/>
      <c r="PRG1529"/>
      <c r="PRH1529"/>
      <c r="PRI1529"/>
      <c r="PRJ1529"/>
      <c r="PRK1529"/>
      <c r="PRL1529"/>
      <c r="PRM1529"/>
      <c r="PRN1529"/>
      <c r="PRO1529"/>
      <c r="PRP1529"/>
      <c r="PRQ1529"/>
      <c r="PRR1529"/>
      <c r="PRS1529"/>
      <c r="PRT1529"/>
      <c r="PRU1529"/>
      <c r="PRV1529"/>
      <c r="PRW1529"/>
      <c r="PRX1529"/>
      <c r="PRY1529"/>
      <c r="PRZ1529"/>
      <c r="PSA1529"/>
      <c r="PSB1529"/>
      <c r="PSC1529"/>
      <c r="PSD1529"/>
      <c r="PSE1529"/>
      <c r="PSF1529"/>
      <c r="PSG1529"/>
      <c r="PSH1529"/>
      <c r="PSI1529"/>
      <c r="PSJ1529"/>
      <c r="PSK1529"/>
      <c r="PSL1529"/>
      <c r="PSM1529"/>
      <c r="PSN1529"/>
      <c r="PSO1529"/>
      <c r="PSP1529"/>
      <c r="PSQ1529"/>
      <c r="PSR1529"/>
      <c r="PSS1529"/>
      <c r="PST1529"/>
      <c r="PSU1529"/>
      <c r="PSV1529"/>
      <c r="PSW1529"/>
      <c r="PSX1529"/>
      <c r="PSY1529"/>
      <c r="PSZ1529"/>
      <c r="PTA1529"/>
      <c r="PTB1529"/>
      <c r="PTC1529"/>
      <c r="PTD1529"/>
      <c r="PTE1529"/>
      <c r="PTF1529"/>
      <c r="PTG1529"/>
      <c r="PTH1529"/>
      <c r="PTI1529"/>
      <c r="PTJ1529"/>
      <c r="PTK1529"/>
      <c r="PTL1529"/>
      <c r="PTM1529"/>
      <c r="PTN1529"/>
      <c r="PTO1529"/>
      <c r="PTP1529"/>
      <c r="PTQ1529"/>
      <c r="PTR1529"/>
      <c r="PTS1529"/>
      <c r="PTT1529"/>
      <c r="PTU1529"/>
      <c r="PTV1529"/>
      <c r="PTW1529"/>
      <c r="PTX1529"/>
      <c r="PTY1529"/>
      <c r="PTZ1529"/>
      <c r="PUA1529"/>
      <c r="PUB1529"/>
      <c r="PUC1529"/>
      <c r="PUD1529"/>
      <c r="PUE1529"/>
      <c r="PUF1529"/>
      <c r="PUG1529"/>
      <c r="PUH1529"/>
      <c r="PUI1529"/>
      <c r="PUJ1529"/>
      <c r="PUK1529"/>
      <c r="PUL1529"/>
      <c r="PUM1529"/>
      <c r="PUN1529"/>
      <c r="PUO1529"/>
      <c r="PUP1529"/>
      <c r="PUQ1529"/>
      <c r="PUR1529"/>
      <c r="PUS1529"/>
      <c r="PUT1529"/>
      <c r="PUU1529"/>
      <c r="PUV1529"/>
      <c r="PUW1529"/>
      <c r="PUX1529"/>
      <c r="PUY1529"/>
      <c r="PUZ1529"/>
      <c r="PVA1529"/>
      <c r="PVB1529"/>
      <c r="PVC1529"/>
      <c r="PVD1529"/>
      <c r="PVE1529"/>
      <c r="PVF1529"/>
      <c r="PVG1529"/>
      <c r="PVH1529"/>
      <c r="PVI1529"/>
      <c r="PVJ1529"/>
      <c r="PVK1529"/>
      <c r="PVL1529"/>
      <c r="PVM1529"/>
      <c r="PVN1529"/>
      <c r="PVO1529"/>
      <c r="PVP1529"/>
      <c r="PVQ1529"/>
      <c r="PVR1529"/>
      <c r="PVS1529"/>
      <c r="PVT1529"/>
      <c r="PVU1529"/>
      <c r="PVV1529"/>
      <c r="PVW1529"/>
      <c r="PVX1529"/>
      <c r="PVY1529"/>
      <c r="PVZ1529"/>
      <c r="PWA1529"/>
      <c r="PWB1529"/>
      <c r="PWC1529"/>
      <c r="PWD1529"/>
      <c r="PWE1529"/>
      <c r="PWF1529"/>
      <c r="PWG1529"/>
      <c r="PWH1529"/>
      <c r="PWI1529"/>
      <c r="PWJ1529"/>
      <c r="PWK1529"/>
      <c r="PWL1529"/>
      <c r="PWM1529"/>
      <c r="PWN1529"/>
      <c r="PWO1529"/>
      <c r="PWP1529"/>
      <c r="PWQ1529"/>
      <c r="PWR1529"/>
      <c r="PWS1529"/>
      <c r="PWT1529"/>
      <c r="PWU1529"/>
      <c r="PWV1529"/>
      <c r="PWW1529"/>
      <c r="PWX1529"/>
      <c r="PWY1529"/>
      <c r="PWZ1529"/>
      <c r="PXA1529"/>
      <c r="PXB1529"/>
      <c r="PXC1529"/>
      <c r="PXD1529"/>
      <c r="PXE1529"/>
      <c r="PXF1529"/>
      <c r="PXG1529"/>
      <c r="PXH1529"/>
      <c r="PXI1529"/>
      <c r="PXJ1529"/>
      <c r="PXK1529"/>
      <c r="PXL1529"/>
      <c r="PXM1529"/>
      <c r="PXN1529"/>
      <c r="PXO1529"/>
      <c r="PXP1529"/>
      <c r="PXQ1529"/>
      <c r="PXR1529"/>
      <c r="PXS1529"/>
      <c r="PXT1529"/>
      <c r="PXU1529"/>
      <c r="PXV1529"/>
      <c r="PXW1529"/>
      <c r="PXX1529"/>
      <c r="PXY1529"/>
      <c r="PXZ1529"/>
      <c r="PYA1529"/>
      <c r="PYB1529"/>
      <c r="PYC1529"/>
      <c r="PYD1529"/>
      <c r="PYE1529"/>
      <c r="PYF1529"/>
      <c r="PYG1529"/>
      <c r="PYH1529"/>
      <c r="PYI1529"/>
      <c r="PYJ1529"/>
      <c r="PYK1529"/>
      <c r="PYL1529"/>
      <c r="PYM1529"/>
      <c r="PYN1529"/>
      <c r="PYO1529"/>
      <c r="PYP1529"/>
      <c r="PYQ1529"/>
      <c r="PYR1529"/>
      <c r="PYS1529"/>
      <c r="PYT1529"/>
      <c r="PYU1529"/>
      <c r="PYV1529"/>
      <c r="PYW1529"/>
      <c r="PYX1529"/>
      <c r="PYY1529"/>
      <c r="PYZ1529"/>
      <c r="PZA1529"/>
      <c r="PZB1529"/>
      <c r="PZC1529"/>
      <c r="PZD1529"/>
      <c r="PZE1529"/>
      <c r="PZF1529"/>
      <c r="PZG1529"/>
      <c r="PZH1529"/>
      <c r="PZI1529"/>
      <c r="PZJ1529"/>
      <c r="PZK1529"/>
      <c r="PZL1529"/>
      <c r="PZM1529"/>
      <c r="PZN1529"/>
      <c r="PZO1529"/>
      <c r="PZP1529"/>
      <c r="PZQ1529"/>
      <c r="PZR1529"/>
      <c r="PZS1529"/>
      <c r="PZT1529"/>
      <c r="PZU1529"/>
      <c r="PZV1529"/>
      <c r="PZW1529"/>
      <c r="PZX1529"/>
      <c r="PZY1529"/>
      <c r="PZZ1529"/>
      <c r="QAA1529"/>
      <c r="QAB1529"/>
      <c r="QAC1529"/>
      <c r="QAD1529"/>
      <c r="QAE1529"/>
      <c r="QAF1529"/>
      <c r="QAG1529"/>
      <c r="QAH1529"/>
      <c r="QAI1529"/>
      <c r="QAJ1529"/>
      <c r="QAK1529"/>
      <c r="QAL1529"/>
      <c r="QAM1529"/>
      <c r="QAN1529"/>
      <c r="QAO1529"/>
      <c r="QAP1529"/>
      <c r="QAQ1529"/>
      <c r="QAR1529"/>
      <c r="QAS1529"/>
      <c r="QAT1529"/>
      <c r="QAU1529"/>
      <c r="QAV1529"/>
      <c r="QAW1529"/>
      <c r="QAX1529"/>
      <c r="QAY1529"/>
      <c r="QAZ1529"/>
      <c r="QBA1529"/>
      <c r="QBB1529"/>
      <c r="QBC1529"/>
      <c r="QBD1529"/>
      <c r="QBE1529"/>
      <c r="QBF1529"/>
      <c r="QBG1529"/>
      <c r="QBH1529"/>
      <c r="QBI1529"/>
      <c r="QBJ1529"/>
      <c r="QBK1529"/>
      <c r="QBL1529"/>
      <c r="QBM1529"/>
      <c r="QBN1529"/>
      <c r="QBO1529"/>
      <c r="QBP1529"/>
      <c r="QBQ1529"/>
      <c r="QBR1529"/>
      <c r="QBS1529"/>
      <c r="QBT1529"/>
      <c r="QBU1529"/>
      <c r="QBV1529"/>
      <c r="QBW1529"/>
      <c r="QBX1529"/>
      <c r="QBY1529"/>
      <c r="QBZ1529"/>
      <c r="QCA1529"/>
      <c r="QCB1529"/>
      <c r="QCC1529"/>
      <c r="QCD1529"/>
      <c r="QCE1529"/>
      <c r="QCF1529"/>
      <c r="QCG1529"/>
      <c r="QCH1529"/>
      <c r="QCI1529"/>
      <c r="QCJ1529"/>
      <c r="QCK1529"/>
      <c r="QCL1529"/>
      <c r="QCM1529"/>
      <c r="QCN1529"/>
      <c r="QCO1529"/>
      <c r="QCP1529"/>
      <c r="QCQ1529"/>
      <c r="QCR1529"/>
      <c r="QCS1529"/>
      <c r="QCT1529"/>
      <c r="QCU1529"/>
      <c r="QCV1529"/>
      <c r="QCW1529"/>
      <c r="QCX1529"/>
      <c r="QCY1529"/>
      <c r="QCZ1529"/>
      <c r="QDA1529"/>
      <c r="QDB1529"/>
      <c r="QDC1529"/>
      <c r="QDD1529"/>
      <c r="QDE1529"/>
      <c r="QDF1529"/>
      <c r="QDG1529"/>
      <c r="QDH1529"/>
      <c r="QDI1529"/>
      <c r="QDJ1529"/>
      <c r="QDK1529"/>
      <c r="QDL1529"/>
      <c r="QDM1529"/>
      <c r="QDN1529"/>
      <c r="QDO1529"/>
      <c r="QDP1529"/>
      <c r="QDQ1529"/>
      <c r="QDR1529"/>
      <c r="QDS1529"/>
      <c r="QDT1529"/>
      <c r="QDU1529"/>
      <c r="QDV1529"/>
      <c r="QDW1529"/>
      <c r="QDX1529"/>
      <c r="QDY1529"/>
      <c r="QDZ1529"/>
      <c r="QEA1529"/>
      <c r="QEB1529"/>
      <c r="QEC1529"/>
      <c r="QED1529"/>
      <c r="QEE1529"/>
      <c r="QEF1529"/>
      <c r="QEG1529"/>
      <c r="QEH1529"/>
      <c r="QEI1529"/>
      <c r="QEJ1529"/>
      <c r="QEK1529"/>
      <c r="QEL1529"/>
      <c r="QEM1529"/>
      <c r="QEN1529"/>
      <c r="QEO1529"/>
      <c r="QEP1529"/>
      <c r="QEQ1529"/>
      <c r="QER1529"/>
      <c r="QES1529"/>
      <c r="QET1529"/>
      <c r="QEU1529"/>
      <c r="QEV1529"/>
      <c r="QEW1529"/>
      <c r="QEX1529"/>
      <c r="QEY1529"/>
      <c r="QEZ1529"/>
      <c r="QFA1529"/>
      <c r="QFB1529"/>
      <c r="QFC1529"/>
      <c r="QFD1529"/>
      <c r="QFE1529"/>
      <c r="QFF1529"/>
      <c r="QFG1529"/>
      <c r="QFH1529"/>
      <c r="QFI1529"/>
      <c r="QFJ1529"/>
      <c r="QFK1529"/>
      <c r="QFL1529"/>
      <c r="QFM1529"/>
      <c r="QFN1529"/>
      <c r="QFO1529"/>
      <c r="QFP1529"/>
      <c r="QFQ1529"/>
      <c r="QFR1529"/>
      <c r="QFS1529"/>
      <c r="QFT1529"/>
      <c r="QFU1529"/>
      <c r="QFV1529"/>
      <c r="QFW1529"/>
      <c r="QFX1529"/>
      <c r="QFY1529"/>
      <c r="QFZ1529"/>
      <c r="QGA1529"/>
      <c r="QGB1529"/>
      <c r="QGC1529"/>
      <c r="QGD1529"/>
      <c r="QGE1529"/>
      <c r="QGF1529"/>
      <c r="QGG1529"/>
      <c r="QGH1529"/>
      <c r="QGI1529"/>
      <c r="QGJ1529"/>
      <c r="QGK1529"/>
      <c r="QGL1529"/>
      <c r="QGM1529"/>
      <c r="QGN1529"/>
      <c r="QGO1529"/>
      <c r="QGP1529"/>
      <c r="QGQ1529"/>
      <c r="QGR1529"/>
      <c r="QGS1529"/>
      <c r="QGT1529"/>
      <c r="QGU1529"/>
      <c r="QGV1529"/>
      <c r="QGW1529"/>
      <c r="QGX1529"/>
      <c r="QGY1529"/>
      <c r="QGZ1529"/>
      <c r="QHA1529"/>
      <c r="QHB1529"/>
      <c r="QHC1529"/>
      <c r="QHD1529"/>
      <c r="QHE1529"/>
      <c r="QHF1529"/>
      <c r="QHG1529"/>
      <c r="QHH1529"/>
      <c r="QHI1529"/>
      <c r="QHJ1529"/>
      <c r="QHK1529"/>
      <c r="QHL1529"/>
      <c r="QHM1529"/>
      <c r="QHN1529"/>
      <c r="QHO1529"/>
      <c r="QHP1529"/>
      <c r="QHQ1529"/>
      <c r="QHR1529"/>
      <c r="QHS1529"/>
      <c r="QHT1529"/>
      <c r="QHU1529"/>
      <c r="QHV1529"/>
      <c r="QHW1529"/>
      <c r="QHX1529"/>
      <c r="QHY1529"/>
      <c r="QHZ1529"/>
      <c r="QIA1529"/>
      <c r="QIB1529"/>
      <c r="QIC1529"/>
      <c r="QID1529"/>
      <c r="QIE1529"/>
      <c r="QIF1529"/>
      <c r="QIG1529"/>
      <c r="QIH1529"/>
      <c r="QII1529"/>
      <c r="QIJ1529"/>
      <c r="QIK1529"/>
      <c r="QIL1529"/>
      <c r="QIM1529"/>
      <c r="QIN1529"/>
      <c r="QIO1529"/>
      <c r="QIP1529"/>
      <c r="QIQ1529"/>
      <c r="QIR1529"/>
      <c r="QIS1529"/>
      <c r="QIT1529"/>
      <c r="QIU1529"/>
      <c r="QIV1529"/>
      <c r="QIW1529"/>
      <c r="QIX1529"/>
      <c r="QIY1529"/>
      <c r="QIZ1529"/>
      <c r="QJA1529"/>
      <c r="QJB1529"/>
      <c r="QJC1529"/>
      <c r="QJD1529"/>
      <c r="QJE1529"/>
      <c r="QJF1529"/>
      <c r="QJG1529"/>
      <c r="QJH1529"/>
      <c r="QJI1529"/>
      <c r="QJJ1529"/>
      <c r="QJK1529"/>
      <c r="QJL1529"/>
      <c r="QJM1529"/>
      <c r="QJN1529"/>
      <c r="QJO1529"/>
      <c r="QJP1529"/>
      <c r="QJQ1529"/>
      <c r="QJR1529"/>
      <c r="QJS1529"/>
      <c r="QJT1529"/>
      <c r="QJU1529"/>
      <c r="QJV1529"/>
      <c r="QJW1529"/>
      <c r="QJX1529"/>
      <c r="QJY1529"/>
      <c r="QJZ1529"/>
      <c r="QKA1529"/>
      <c r="QKB1529"/>
      <c r="QKC1529"/>
      <c r="QKD1529"/>
      <c r="QKE1529"/>
      <c r="QKF1529"/>
      <c r="QKG1529"/>
      <c r="QKH1529"/>
      <c r="QKI1529"/>
      <c r="QKJ1529"/>
      <c r="QKK1529"/>
      <c r="QKL1529"/>
      <c r="QKM1529"/>
      <c r="QKN1529"/>
      <c r="QKO1529"/>
      <c r="QKP1529"/>
      <c r="QKQ1529"/>
      <c r="QKR1529"/>
      <c r="QKS1529"/>
      <c r="QKT1529"/>
      <c r="QKU1529"/>
      <c r="QKV1529"/>
      <c r="QKW1529"/>
      <c r="QKX1529"/>
      <c r="QKY1529"/>
      <c r="QKZ1529"/>
      <c r="QLA1529"/>
      <c r="QLB1529"/>
      <c r="QLC1529"/>
      <c r="QLD1529"/>
      <c r="QLE1529"/>
      <c r="QLF1529"/>
      <c r="QLG1529"/>
      <c r="QLH1529"/>
      <c r="QLI1529"/>
      <c r="QLJ1529"/>
      <c r="QLK1529"/>
      <c r="QLL1529"/>
      <c r="QLM1529"/>
      <c r="QLN1529"/>
      <c r="QLO1529"/>
      <c r="QLP1529"/>
      <c r="QLQ1529"/>
      <c r="QLR1529"/>
      <c r="QLS1529"/>
      <c r="QLT1529"/>
      <c r="QLU1529"/>
      <c r="QLV1529"/>
      <c r="QLW1529"/>
      <c r="QLX1529"/>
      <c r="QLY1529"/>
      <c r="QLZ1529"/>
      <c r="QMA1529"/>
      <c r="QMB1529"/>
      <c r="QMC1529"/>
      <c r="QMD1529"/>
      <c r="QME1529"/>
      <c r="QMF1529"/>
      <c r="QMG1529"/>
      <c r="QMH1529"/>
      <c r="QMI1529"/>
      <c r="QMJ1529"/>
      <c r="QMK1529"/>
      <c r="QML1529"/>
      <c r="QMM1529"/>
      <c r="QMN1529"/>
      <c r="QMO1529"/>
      <c r="QMP1529"/>
      <c r="QMQ1529"/>
      <c r="QMR1529"/>
      <c r="QMS1529"/>
      <c r="QMT1529"/>
      <c r="QMU1529"/>
      <c r="QMV1529"/>
      <c r="QMW1529"/>
      <c r="QMX1529"/>
      <c r="QMY1529"/>
      <c r="QMZ1529"/>
      <c r="QNA1529"/>
      <c r="QNB1529"/>
      <c r="QNC1529"/>
      <c r="QND1529"/>
      <c r="QNE1529"/>
      <c r="QNF1529"/>
      <c r="QNG1529"/>
      <c r="QNH1529"/>
      <c r="QNI1529"/>
      <c r="QNJ1529"/>
      <c r="QNK1529"/>
      <c r="QNL1529"/>
      <c r="QNM1529"/>
      <c r="QNN1529"/>
      <c r="QNO1529"/>
      <c r="QNP1529"/>
      <c r="QNQ1529"/>
      <c r="QNR1529"/>
      <c r="QNS1529"/>
      <c r="QNT1529"/>
      <c r="QNU1529"/>
      <c r="QNV1529"/>
      <c r="QNW1529"/>
      <c r="QNX1529"/>
      <c r="QNY1529"/>
      <c r="QNZ1529"/>
      <c r="QOA1529"/>
      <c r="QOB1529"/>
      <c r="QOC1529"/>
      <c r="QOD1529"/>
      <c r="QOE1529"/>
      <c r="QOF1529"/>
      <c r="QOG1529"/>
      <c r="QOH1529"/>
      <c r="QOI1529"/>
      <c r="QOJ1529"/>
      <c r="QOK1529"/>
      <c r="QOL1529"/>
      <c r="QOM1529"/>
      <c r="QON1529"/>
      <c r="QOO1529"/>
      <c r="QOP1529"/>
      <c r="QOQ1529"/>
      <c r="QOR1529"/>
      <c r="QOS1529"/>
      <c r="QOT1529"/>
      <c r="QOU1529"/>
      <c r="QOV1529"/>
      <c r="QOW1529"/>
      <c r="QOX1529"/>
      <c r="QOY1529"/>
      <c r="QOZ1529"/>
      <c r="QPA1529"/>
      <c r="QPB1529"/>
      <c r="QPC1529"/>
      <c r="QPD1529"/>
      <c r="QPE1529"/>
      <c r="QPF1529"/>
      <c r="QPG1529"/>
      <c r="QPH1529"/>
      <c r="QPI1529"/>
      <c r="QPJ1529"/>
      <c r="QPK1529"/>
      <c r="QPL1529"/>
      <c r="QPM1529"/>
      <c r="QPN1529"/>
      <c r="QPO1529"/>
      <c r="QPP1529"/>
      <c r="QPQ1529"/>
      <c r="QPR1529"/>
      <c r="QPS1529"/>
      <c r="QPT1529"/>
      <c r="QPU1529"/>
      <c r="QPV1529"/>
      <c r="QPW1529"/>
      <c r="QPX1529"/>
      <c r="QPY1529"/>
      <c r="QPZ1529"/>
      <c r="QQA1529"/>
      <c r="QQB1529"/>
      <c r="QQC1529"/>
      <c r="QQD1529"/>
      <c r="QQE1529"/>
      <c r="QQF1529"/>
      <c r="QQG1529"/>
      <c r="QQH1529"/>
      <c r="QQI1529"/>
      <c r="QQJ1529"/>
      <c r="QQK1529"/>
      <c r="QQL1529"/>
      <c r="QQM1529"/>
      <c r="QQN1529"/>
      <c r="QQO1529"/>
      <c r="QQP1529"/>
      <c r="QQQ1529"/>
      <c r="QQR1529"/>
      <c r="QQS1529"/>
      <c r="QQT1529"/>
      <c r="QQU1529"/>
      <c r="QQV1529"/>
      <c r="QQW1529"/>
      <c r="QQX1529"/>
      <c r="QQY1529"/>
      <c r="QQZ1529"/>
      <c r="QRA1529"/>
      <c r="QRB1529"/>
      <c r="QRC1529"/>
      <c r="QRD1529"/>
      <c r="QRE1529"/>
      <c r="QRF1529"/>
      <c r="QRG1529"/>
      <c r="QRH1529"/>
      <c r="QRI1529"/>
      <c r="QRJ1529"/>
      <c r="QRK1529"/>
      <c r="QRL1529"/>
      <c r="QRM1529"/>
      <c r="QRN1529"/>
      <c r="QRO1529"/>
      <c r="QRP1529"/>
      <c r="QRQ1529"/>
      <c r="QRR1529"/>
      <c r="QRS1529"/>
      <c r="QRT1529"/>
      <c r="QRU1529"/>
      <c r="QRV1529"/>
      <c r="QRW1529"/>
      <c r="QRX1529"/>
      <c r="QRY1529"/>
      <c r="QRZ1529"/>
      <c r="QSA1529"/>
      <c r="QSB1529"/>
      <c r="QSC1529"/>
      <c r="QSD1529"/>
      <c r="QSE1529"/>
      <c r="QSF1529"/>
      <c r="QSG1529"/>
      <c r="QSH1529"/>
      <c r="QSI1529"/>
      <c r="QSJ1529"/>
      <c r="QSK1529"/>
      <c r="QSL1529"/>
      <c r="QSM1529"/>
      <c r="QSN1529"/>
      <c r="QSO1529"/>
      <c r="QSP1529"/>
      <c r="QSQ1529"/>
      <c r="QSR1529"/>
      <c r="QSS1529"/>
      <c r="QST1529"/>
      <c r="QSU1529"/>
      <c r="QSV1529"/>
      <c r="QSW1529"/>
      <c r="QSX1529"/>
      <c r="QSY1529"/>
      <c r="QSZ1529"/>
      <c r="QTA1529"/>
      <c r="QTB1529"/>
      <c r="QTC1529"/>
      <c r="QTD1529"/>
      <c r="QTE1529"/>
      <c r="QTF1529"/>
      <c r="QTG1529"/>
      <c r="QTH1529"/>
      <c r="QTI1529"/>
      <c r="QTJ1529"/>
      <c r="QTK1529"/>
      <c r="QTL1529"/>
      <c r="QTM1529"/>
      <c r="QTN1529"/>
      <c r="QTO1529"/>
      <c r="QTP1529"/>
      <c r="QTQ1529"/>
      <c r="QTR1529"/>
      <c r="QTS1529"/>
      <c r="QTT1529"/>
      <c r="QTU1529"/>
      <c r="QTV1529"/>
      <c r="QTW1529"/>
      <c r="QTX1529"/>
      <c r="QTY1529"/>
      <c r="QTZ1529"/>
      <c r="QUA1529"/>
      <c r="QUB1529"/>
      <c r="QUC1529"/>
      <c r="QUD1529"/>
      <c r="QUE1529"/>
      <c r="QUF1529"/>
      <c r="QUG1529"/>
      <c r="QUH1529"/>
      <c r="QUI1529"/>
      <c r="QUJ1529"/>
      <c r="QUK1529"/>
      <c r="QUL1529"/>
      <c r="QUM1529"/>
      <c r="QUN1529"/>
      <c r="QUO1529"/>
      <c r="QUP1529"/>
      <c r="QUQ1529"/>
      <c r="QUR1529"/>
      <c r="QUS1529"/>
      <c r="QUT1529"/>
      <c r="QUU1529"/>
      <c r="QUV1529"/>
      <c r="QUW1529"/>
      <c r="QUX1529"/>
      <c r="QUY1529"/>
      <c r="QUZ1529"/>
      <c r="QVA1529"/>
      <c r="QVB1529"/>
      <c r="QVC1529"/>
      <c r="QVD1529"/>
      <c r="QVE1529"/>
      <c r="QVF1529"/>
      <c r="QVG1529"/>
      <c r="QVH1529"/>
      <c r="QVI1529"/>
      <c r="QVJ1529"/>
      <c r="QVK1529"/>
      <c r="QVL1529"/>
      <c r="QVM1529"/>
      <c r="QVN1529"/>
      <c r="QVO1529"/>
      <c r="QVP1529"/>
      <c r="QVQ1529"/>
      <c r="QVR1529"/>
      <c r="QVS1529"/>
      <c r="QVT1529"/>
      <c r="QVU1529"/>
      <c r="QVV1529"/>
      <c r="QVW1529"/>
      <c r="QVX1529"/>
      <c r="QVY1529"/>
      <c r="QVZ1529"/>
      <c r="QWA1529"/>
      <c r="QWB1529"/>
      <c r="QWC1529"/>
      <c r="QWD1529"/>
      <c r="QWE1529"/>
      <c r="QWF1529"/>
      <c r="QWG1529"/>
      <c r="QWH1529"/>
      <c r="QWI1529"/>
      <c r="QWJ1529"/>
      <c r="QWK1529"/>
      <c r="QWL1529"/>
      <c r="QWM1529"/>
      <c r="QWN1529"/>
      <c r="QWO1529"/>
      <c r="QWP1529"/>
      <c r="QWQ1529"/>
      <c r="QWR1529"/>
      <c r="QWS1529"/>
      <c r="QWT1529"/>
      <c r="QWU1529"/>
      <c r="QWV1529"/>
      <c r="QWW1529"/>
      <c r="QWX1529"/>
      <c r="QWY1529"/>
      <c r="QWZ1529"/>
      <c r="QXA1529"/>
      <c r="QXB1529"/>
      <c r="QXC1529"/>
      <c r="QXD1529"/>
      <c r="QXE1529"/>
      <c r="QXF1529"/>
      <c r="QXG1529"/>
      <c r="QXH1529"/>
      <c r="QXI1529"/>
      <c r="QXJ1529"/>
      <c r="QXK1529"/>
      <c r="QXL1529"/>
      <c r="QXM1529"/>
      <c r="QXN1529"/>
      <c r="QXO1529"/>
      <c r="QXP1529"/>
      <c r="QXQ1529"/>
      <c r="QXR1529"/>
      <c r="QXS1529"/>
      <c r="QXT1529"/>
      <c r="QXU1529"/>
      <c r="QXV1529"/>
      <c r="QXW1529"/>
      <c r="QXX1529"/>
      <c r="QXY1529"/>
      <c r="QXZ1529"/>
      <c r="QYA1529"/>
      <c r="QYB1529"/>
      <c r="QYC1529"/>
      <c r="QYD1529"/>
      <c r="QYE1529"/>
      <c r="QYF1529"/>
      <c r="QYG1529"/>
      <c r="QYH1529"/>
      <c r="QYI1529"/>
      <c r="QYJ1529"/>
      <c r="QYK1529"/>
      <c r="QYL1529"/>
      <c r="QYM1529"/>
      <c r="QYN1529"/>
      <c r="QYO1529"/>
      <c r="QYP1529"/>
      <c r="QYQ1529"/>
      <c r="QYR1529"/>
      <c r="QYS1529"/>
      <c r="QYT1529"/>
      <c r="QYU1529"/>
      <c r="QYV1529"/>
      <c r="QYW1529"/>
      <c r="QYX1529"/>
      <c r="QYY1529"/>
      <c r="QYZ1529"/>
      <c r="QZA1529"/>
      <c r="QZB1529"/>
      <c r="QZC1529"/>
      <c r="QZD1529"/>
      <c r="QZE1529"/>
      <c r="QZF1529"/>
      <c r="QZG1529"/>
      <c r="QZH1529"/>
      <c r="QZI1529"/>
      <c r="QZJ1529"/>
      <c r="QZK1529"/>
      <c r="QZL1529"/>
      <c r="QZM1529"/>
      <c r="QZN1529"/>
      <c r="QZO1529"/>
      <c r="QZP1529"/>
      <c r="QZQ1529"/>
      <c r="QZR1529"/>
      <c r="QZS1529"/>
      <c r="QZT1529"/>
      <c r="QZU1529"/>
      <c r="QZV1529"/>
      <c r="QZW1529"/>
      <c r="QZX1529"/>
      <c r="QZY1529"/>
      <c r="QZZ1529"/>
      <c r="RAA1529"/>
      <c r="RAB1529"/>
      <c r="RAC1529"/>
      <c r="RAD1529"/>
      <c r="RAE1529"/>
      <c r="RAF1529"/>
      <c r="RAG1529"/>
      <c r="RAH1529"/>
      <c r="RAI1529"/>
      <c r="RAJ1529"/>
      <c r="RAK1529"/>
      <c r="RAL1529"/>
      <c r="RAM1529"/>
      <c r="RAN1529"/>
      <c r="RAO1529"/>
      <c r="RAP1529"/>
      <c r="RAQ1529"/>
      <c r="RAR1529"/>
      <c r="RAS1529"/>
      <c r="RAT1529"/>
      <c r="RAU1529"/>
      <c r="RAV1529"/>
      <c r="RAW1529"/>
      <c r="RAX1529"/>
      <c r="RAY1529"/>
      <c r="RAZ1529"/>
      <c r="RBA1529"/>
      <c r="RBB1529"/>
      <c r="RBC1529"/>
      <c r="RBD1529"/>
      <c r="RBE1529"/>
      <c r="RBF1529"/>
      <c r="RBG1529"/>
      <c r="RBH1529"/>
      <c r="RBI1529"/>
      <c r="RBJ1529"/>
      <c r="RBK1529"/>
      <c r="RBL1529"/>
      <c r="RBM1529"/>
      <c r="RBN1529"/>
      <c r="RBO1529"/>
      <c r="RBP1529"/>
      <c r="RBQ1529"/>
      <c r="RBR1529"/>
      <c r="RBS1529"/>
      <c r="RBT1529"/>
      <c r="RBU1529"/>
      <c r="RBV1529"/>
      <c r="RBW1529"/>
      <c r="RBX1529"/>
      <c r="RBY1529"/>
      <c r="RBZ1529"/>
      <c r="RCA1529"/>
      <c r="RCB1529"/>
      <c r="RCC1529"/>
      <c r="RCD1529"/>
      <c r="RCE1529"/>
      <c r="RCF1529"/>
      <c r="RCG1529"/>
      <c r="RCH1529"/>
      <c r="RCI1529"/>
      <c r="RCJ1529"/>
      <c r="RCK1529"/>
      <c r="RCL1529"/>
      <c r="RCM1529"/>
      <c r="RCN1529"/>
      <c r="RCO1529"/>
      <c r="RCP1529"/>
      <c r="RCQ1529"/>
      <c r="RCR1529"/>
      <c r="RCS1529"/>
      <c r="RCT1529"/>
      <c r="RCU1529"/>
      <c r="RCV1529"/>
      <c r="RCW1529"/>
      <c r="RCX1529"/>
      <c r="RCY1529"/>
      <c r="RCZ1529"/>
      <c r="RDA1529"/>
      <c r="RDB1529"/>
      <c r="RDC1529"/>
      <c r="RDD1529"/>
      <c r="RDE1529"/>
      <c r="RDF1529"/>
      <c r="RDG1529"/>
      <c r="RDH1529"/>
      <c r="RDI1529"/>
      <c r="RDJ1529"/>
      <c r="RDK1529"/>
      <c r="RDL1529"/>
      <c r="RDM1529"/>
      <c r="RDN1529"/>
      <c r="RDO1529"/>
      <c r="RDP1529"/>
      <c r="RDQ1529"/>
      <c r="RDR1529"/>
      <c r="RDS1529"/>
      <c r="RDT1529"/>
      <c r="RDU1529"/>
      <c r="RDV1529"/>
      <c r="RDW1529"/>
      <c r="RDX1529"/>
      <c r="RDY1529"/>
      <c r="RDZ1529"/>
      <c r="REA1529"/>
      <c r="REB1529"/>
      <c r="REC1529"/>
      <c r="RED1529"/>
      <c r="REE1529"/>
      <c r="REF1529"/>
      <c r="REG1529"/>
      <c r="REH1529"/>
      <c r="REI1529"/>
      <c r="REJ1529"/>
      <c r="REK1529"/>
      <c r="REL1529"/>
      <c r="REM1529"/>
      <c r="REN1529"/>
      <c r="REO1529"/>
      <c r="REP1529"/>
      <c r="REQ1529"/>
      <c r="RER1529"/>
      <c r="RES1529"/>
      <c r="RET1529"/>
      <c r="REU1529"/>
      <c r="REV1529"/>
      <c r="REW1529"/>
      <c r="REX1529"/>
      <c r="REY1529"/>
      <c r="REZ1529"/>
      <c r="RFA1529"/>
      <c r="RFB1529"/>
      <c r="RFC1529"/>
      <c r="RFD1529"/>
      <c r="RFE1529"/>
      <c r="RFF1529"/>
      <c r="RFG1529"/>
      <c r="RFH1529"/>
      <c r="RFI1529"/>
      <c r="RFJ1529"/>
      <c r="RFK1529"/>
      <c r="RFL1529"/>
      <c r="RFM1529"/>
      <c r="RFN1529"/>
      <c r="RFO1529"/>
      <c r="RFP1529"/>
      <c r="RFQ1529"/>
      <c r="RFR1529"/>
      <c r="RFS1529"/>
      <c r="RFT1529"/>
      <c r="RFU1529"/>
      <c r="RFV1529"/>
      <c r="RFW1529"/>
      <c r="RFX1529"/>
      <c r="RFY1529"/>
      <c r="RFZ1529"/>
      <c r="RGA1529"/>
      <c r="RGB1529"/>
      <c r="RGC1529"/>
      <c r="RGD1529"/>
      <c r="RGE1529"/>
      <c r="RGF1529"/>
      <c r="RGG1529"/>
      <c r="RGH1529"/>
      <c r="RGI1529"/>
      <c r="RGJ1529"/>
      <c r="RGK1529"/>
      <c r="RGL1529"/>
      <c r="RGM1529"/>
      <c r="RGN1529"/>
      <c r="RGO1529"/>
      <c r="RGP1529"/>
      <c r="RGQ1529"/>
      <c r="RGR1529"/>
      <c r="RGS1529"/>
      <c r="RGT1529"/>
      <c r="RGU1529"/>
      <c r="RGV1529"/>
      <c r="RGW1529"/>
      <c r="RGX1529"/>
      <c r="RGY1529"/>
      <c r="RGZ1529"/>
      <c r="RHA1529"/>
      <c r="RHB1529"/>
      <c r="RHC1529"/>
      <c r="RHD1529"/>
      <c r="RHE1529"/>
      <c r="RHF1529"/>
      <c r="RHG1529"/>
      <c r="RHH1529"/>
      <c r="RHI1529"/>
      <c r="RHJ1529"/>
      <c r="RHK1529"/>
      <c r="RHL1529"/>
      <c r="RHM1529"/>
      <c r="RHN1529"/>
      <c r="RHO1529"/>
      <c r="RHP1529"/>
      <c r="RHQ1529"/>
      <c r="RHR1529"/>
      <c r="RHS1529"/>
      <c r="RHT1529"/>
      <c r="RHU1529"/>
      <c r="RHV1529"/>
      <c r="RHW1529"/>
      <c r="RHX1529"/>
      <c r="RHY1529"/>
      <c r="RHZ1529"/>
      <c r="RIA1529"/>
      <c r="RIB1529"/>
      <c r="RIC1529"/>
      <c r="RID1529"/>
      <c r="RIE1529"/>
      <c r="RIF1529"/>
      <c r="RIG1529"/>
      <c r="RIH1529"/>
      <c r="RII1529"/>
      <c r="RIJ1529"/>
      <c r="RIK1529"/>
      <c r="RIL1529"/>
      <c r="RIM1529"/>
      <c r="RIN1529"/>
      <c r="RIO1529"/>
      <c r="RIP1529"/>
      <c r="RIQ1529"/>
      <c r="RIR1529"/>
      <c r="RIS1529"/>
      <c r="RIT1529"/>
      <c r="RIU1529"/>
      <c r="RIV1529"/>
      <c r="RIW1529"/>
      <c r="RIX1529"/>
      <c r="RIY1529"/>
      <c r="RIZ1529"/>
      <c r="RJA1529"/>
      <c r="RJB1529"/>
      <c r="RJC1529"/>
      <c r="RJD1529"/>
      <c r="RJE1529"/>
      <c r="RJF1529"/>
      <c r="RJG1529"/>
      <c r="RJH1529"/>
      <c r="RJI1529"/>
      <c r="RJJ1529"/>
      <c r="RJK1529"/>
      <c r="RJL1529"/>
      <c r="RJM1529"/>
      <c r="RJN1529"/>
      <c r="RJO1529"/>
      <c r="RJP1529"/>
      <c r="RJQ1529"/>
      <c r="RJR1529"/>
      <c r="RJS1529"/>
      <c r="RJT1529"/>
      <c r="RJU1529"/>
      <c r="RJV1529"/>
      <c r="RJW1529"/>
      <c r="RJX1529"/>
      <c r="RJY1529"/>
      <c r="RJZ1529"/>
      <c r="RKA1529"/>
      <c r="RKB1529"/>
      <c r="RKC1529"/>
      <c r="RKD1529"/>
      <c r="RKE1529"/>
      <c r="RKF1529"/>
      <c r="RKG1529"/>
      <c r="RKH1529"/>
      <c r="RKI1529"/>
      <c r="RKJ1529"/>
      <c r="RKK1529"/>
      <c r="RKL1529"/>
      <c r="RKM1529"/>
      <c r="RKN1529"/>
      <c r="RKO1529"/>
      <c r="RKP1529"/>
      <c r="RKQ1529"/>
      <c r="RKR1529"/>
      <c r="RKS1529"/>
      <c r="RKT1529"/>
      <c r="RKU1529"/>
      <c r="RKV1529"/>
      <c r="RKW1529"/>
      <c r="RKX1529"/>
      <c r="RKY1529"/>
      <c r="RKZ1529"/>
      <c r="RLA1529"/>
      <c r="RLB1529"/>
      <c r="RLC1529"/>
      <c r="RLD1529"/>
      <c r="RLE1529"/>
      <c r="RLF1529"/>
      <c r="RLG1529"/>
      <c r="RLH1529"/>
      <c r="RLI1529"/>
      <c r="RLJ1529"/>
      <c r="RLK1529"/>
      <c r="RLL1529"/>
      <c r="RLM1529"/>
      <c r="RLN1529"/>
      <c r="RLO1529"/>
      <c r="RLP1529"/>
      <c r="RLQ1529"/>
      <c r="RLR1529"/>
      <c r="RLS1529"/>
      <c r="RLT1529"/>
      <c r="RLU1529"/>
      <c r="RLV1529"/>
      <c r="RLW1529"/>
      <c r="RLX1529"/>
      <c r="RLY1529"/>
      <c r="RLZ1529"/>
      <c r="RMA1529"/>
      <c r="RMB1529"/>
      <c r="RMC1529"/>
      <c r="RMD1529"/>
      <c r="RME1529"/>
      <c r="RMF1529"/>
      <c r="RMG1529"/>
      <c r="RMH1529"/>
      <c r="RMI1529"/>
      <c r="RMJ1529"/>
      <c r="RMK1529"/>
      <c r="RML1529"/>
      <c r="RMM1529"/>
      <c r="RMN1529"/>
      <c r="RMO1529"/>
      <c r="RMP1529"/>
      <c r="RMQ1529"/>
      <c r="RMR1529"/>
      <c r="RMS1529"/>
      <c r="RMT1529"/>
      <c r="RMU1529"/>
      <c r="RMV1529"/>
      <c r="RMW1529"/>
      <c r="RMX1529"/>
      <c r="RMY1529"/>
      <c r="RMZ1529"/>
      <c r="RNA1529"/>
      <c r="RNB1529"/>
      <c r="RNC1529"/>
      <c r="RND1529"/>
      <c r="RNE1529"/>
      <c r="RNF1529"/>
      <c r="RNG1529"/>
      <c r="RNH1529"/>
      <c r="RNI1529"/>
      <c r="RNJ1529"/>
      <c r="RNK1529"/>
      <c r="RNL1529"/>
      <c r="RNM1529"/>
      <c r="RNN1529"/>
      <c r="RNO1529"/>
      <c r="RNP1529"/>
      <c r="RNQ1529"/>
      <c r="RNR1529"/>
      <c r="RNS1529"/>
      <c r="RNT1529"/>
      <c r="RNU1529"/>
      <c r="RNV1529"/>
      <c r="RNW1529"/>
      <c r="RNX1529"/>
      <c r="RNY1529"/>
      <c r="RNZ1529"/>
      <c r="ROA1529"/>
      <c r="ROB1529"/>
      <c r="ROC1529"/>
      <c r="ROD1529"/>
      <c r="ROE1529"/>
      <c r="ROF1529"/>
      <c r="ROG1529"/>
      <c r="ROH1529"/>
      <c r="ROI1529"/>
      <c r="ROJ1529"/>
      <c r="ROK1529"/>
      <c r="ROL1529"/>
      <c r="ROM1529"/>
      <c r="RON1529"/>
      <c r="ROO1529"/>
      <c r="ROP1529"/>
      <c r="ROQ1529"/>
      <c r="ROR1529"/>
      <c r="ROS1529"/>
      <c r="ROT1529"/>
      <c r="ROU1529"/>
      <c r="ROV1529"/>
      <c r="ROW1529"/>
      <c r="ROX1529"/>
      <c r="ROY1529"/>
      <c r="ROZ1529"/>
      <c r="RPA1529"/>
      <c r="RPB1529"/>
      <c r="RPC1529"/>
      <c r="RPD1529"/>
      <c r="RPE1529"/>
      <c r="RPF1529"/>
      <c r="RPG1529"/>
      <c r="RPH1529"/>
      <c r="RPI1529"/>
      <c r="RPJ1529"/>
      <c r="RPK1529"/>
      <c r="RPL1529"/>
      <c r="RPM1529"/>
      <c r="RPN1529"/>
      <c r="RPO1529"/>
      <c r="RPP1529"/>
      <c r="RPQ1529"/>
      <c r="RPR1529"/>
      <c r="RPS1529"/>
      <c r="RPT1529"/>
      <c r="RPU1529"/>
      <c r="RPV1529"/>
      <c r="RPW1529"/>
      <c r="RPX1529"/>
      <c r="RPY1529"/>
      <c r="RPZ1529"/>
      <c r="RQA1529"/>
      <c r="RQB1529"/>
      <c r="RQC1529"/>
      <c r="RQD1529"/>
      <c r="RQE1529"/>
      <c r="RQF1529"/>
      <c r="RQG1529"/>
      <c r="RQH1529"/>
      <c r="RQI1529"/>
      <c r="RQJ1529"/>
      <c r="RQK1529"/>
      <c r="RQL1529"/>
      <c r="RQM1529"/>
      <c r="RQN1529"/>
      <c r="RQO1529"/>
      <c r="RQP1529"/>
      <c r="RQQ1529"/>
      <c r="RQR1529"/>
      <c r="RQS1529"/>
      <c r="RQT1529"/>
      <c r="RQU1529"/>
      <c r="RQV1529"/>
      <c r="RQW1529"/>
      <c r="RQX1529"/>
      <c r="RQY1529"/>
      <c r="RQZ1529"/>
      <c r="RRA1529"/>
      <c r="RRB1529"/>
      <c r="RRC1529"/>
      <c r="RRD1529"/>
      <c r="RRE1529"/>
      <c r="RRF1529"/>
      <c r="RRG1529"/>
      <c r="RRH1529"/>
      <c r="RRI1529"/>
      <c r="RRJ1529"/>
      <c r="RRK1529"/>
      <c r="RRL1529"/>
      <c r="RRM1529"/>
      <c r="RRN1529"/>
      <c r="RRO1529"/>
      <c r="RRP1529"/>
      <c r="RRQ1529"/>
      <c r="RRR1529"/>
      <c r="RRS1529"/>
      <c r="RRT1529"/>
      <c r="RRU1529"/>
      <c r="RRV1529"/>
      <c r="RRW1529"/>
      <c r="RRX1529"/>
      <c r="RRY1529"/>
      <c r="RRZ1529"/>
      <c r="RSA1529"/>
      <c r="RSB1529"/>
      <c r="RSC1529"/>
      <c r="RSD1529"/>
      <c r="RSE1529"/>
      <c r="RSF1529"/>
      <c r="RSG1529"/>
      <c r="RSH1529"/>
      <c r="RSI1529"/>
      <c r="RSJ1529"/>
      <c r="RSK1529"/>
      <c r="RSL1529"/>
      <c r="RSM1529"/>
      <c r="RSN1529"/>
      <c r="RSO1529"/>
      <c r="RSP1529"/>
      <c r="RSQ1529"/>
      <c r="RSR1529"/>
      <c r="RSS1529"/>
      <c r="RST1529"/>
      <c r="RSU1529"/>
      <c r="RSV1529"/>
      <c r="RSW1529"/>
      <c r="RSX1529"/>
      <c r="RSY1529"/>
      <c r="RSZ1529"/>
      <c r="RTA1529"/>
      <c r="RTB1529"/>
      <c r="RTC1529"/>
      <c r="RTD1529"/>
      <c r="RTE1529"/>
      <c r="RTF1529"/>
      <c r="RTG1529"/>
      <c r="RTH1529"/>
      <c r="RTI1529"/>
      <c r="RTJ1529"/>
      <c r="RTK1529"/>
      <c r="RTL1529"/>
      <c r="RTM1529"/>
      <c r="RTN1529"/>
      <c r="RTO1529"/>
      <c r="RTP1529"/>
      <c r="RTQ1529"/>
      <c r="RTR1529"/>
      <c r="RTS1529"/>
      <c r="RTT1529"/>
      <c r="RTU1529"/>
      <c r="RTV1529"/>
      <c r="RTW1529"/>
      <c r="RTX1529"/>
      <c r="RTY1529"/>
      <c r="RTZ1529"/>
      <c r="RUA1529"/>
      <c r="RUB1529"/>
      <c r="RUC1529"/>
      <c r="RUD1529"/>
      <c r="RUE1529"/>
      <c r="RUF1529"/>
      <c r="RUG1529"/>
      <c r="RUH1529"/>
      <c r="RUI1529"/>
      <c r="RUJ1529"/>
      <c r="RUK1529"/>
      <c r="RUL1529"/>
      <c r="RUM1529"/>
      <c r="RUN1529"/>
      <c r="RUO1529"/>
      <c r="RUP1529"/>
      <c r="RUQ1529"/>
      <c r="RUR1529"/>
      <c r="RUS1529"/>
      <c r="RUT1529"/>
      <c r="RUU1529"/>
      <c r="RUV1529"/>
      <c r="RUW1529"/>
      <c r="RUX1529"/>
      <c r="RUY1529"/>
      <c r="RUZ1529"/>
      <c r="RVA1529"/>
      <c r="RVB1529"/>
      <c r="RVC1529"/>
      <c r="RVD1529"/>
      <c r="RVE1529"/>
      <c r="RVF1529"/>
      <c r="RVG1529"/>
      <c r="RVH1529"/>
      <c r="RVI1529"/>
      <c r="RVJ1529"/>
      <c r="RVK1529"/>
      <c r="RVL1529"/>
      <c r="RVM1529"/>
      <c r="RVN1529"/>
      <c r="RVO1529"/>
      <c r="RVP1529"/>
      <c r="RVQ1529"/>
      <c r="RVR1529"/>
      <c r="RVS1529"/>
      <c r="RVT1529"/>
      <c r="RVU1529"/>
      <c r="RVV1529"/>
      <c r="RVW1529"/>
      <c r="RVX1529"/>
      <c r="RVY1529"/>
      <c r="RVZ1529"/>
      <c r="RWA1529"/>
      <c r="RWB1529"/>
      <c r="RWC1529"/>
      <c r="RWD1529"/>
      <c r="RWE1529"/>
      <c r="RWF1529"/>
      <c r="RWG1529"/>
      <c r="RWH1529"/>
      <c r="RWI1529"/>
      <c r="RWJ1529"/>
      <c r="RWK1529"/>
      <c r="RWL1529"/>
      <c r="RWM1529"/>
      <c r="RWN1529"/>
      <c r="RWO1529"/>
      <c r="RWP1529"/>
      <c r="RWQ1529"/>
      <c r="RWR1529"/>
      <c r="RWS1529"/>
      <c r="RWT1529"/>
      <c r="RWU1529"/>
      <c r="RWV1529"/>
      <c r="RWW1529"/>
      <c r="RWX1529"/>
      <c r="RWY1529"/>
      <c r="RWZ1529"/>
      <c r="RXA1529"/>
      <c r="RXB1529"/>
      <c r="RXC1529"/>
      <c r="RXD1529"/>
      <c r="RXE1529"/>
      <c r="RXF1529"/>
      <c r="RXG1529"/>
      <c r="RXH1529"/>
      <c r="RXI1529"/>
      <c r="RXJ1529"/>
      <c r="RXK1529"/>
      <c r="RXL1529"/>
      <c r="RXM1529"/>
      <c r="RXN1529"/>
      <c r="RXO1529"/>
      <c r="RXP1529"/>
      <c r="RXQ1529"/>
      <c r="RXR1529"/>
      <c r="RXS1529"/>
      <c r="RXT1529"/>
      <c r="RXU1529"/>
      <c r="RXV1529"/>
      <c r="RXW1529"/>
      <c r="RXX1529"/>
      <c r="RXY1529"/>
      <c r="RXZ1529"/>
      <c r="RYA1529"/>
      <c r="RYB1529"/>
      <c r="RYC1529"/>
      <c r="RYD1529"/>
      <c r="RYE1529"/>
      <c r="RYF1529"/>
      <c r="RYG1529"/>
      <c r="RYH1529"/>
      <c r="RYI1529"/>
      <c r="RYJ1529"/>
      <c r="RYK1529"/>
      <c r="RYL1529"/>
      <c r="RYM1529"/>
      <c r="RYN1529"/>
      <c r="RYO1529"/>
      <c r="RYP1529"/>
      <c r="RYQ1529"/>
      <c r="RYR1529"/>
      <c r="RYS1529"/>
      <c r="RYT1529"/>
      <c r="RYU1529"/>
      <c r="RYV1529"/>
      <c r="RYW1529"/>
      <c r="RYX1529"/>
      <c r="RYY1529"/>
      <c r="RYZ1529"/>
      <c r="RZA1529"/>
      <c r="RZB1529"/>
      <c r="RZC1529"/>
      <c r="RZD1529"/>
      <c r="RZE1529"/>
      <c r="RZF1529"/>
      <c r="RZG1529"/>
      <c r="RZH1529"/>
      <c r="RZI1529"/>
      <c r="RZJ1529"/>
      <c r="RZK1529"/>
      <c r="RZL1529"/>
      <c r="RZM1529"/>
      <c r="RZN1529"/>
      <c r="RZO1529"/>
      <c r="RZP1529"/>
      <c r="RZQ1529"/>
      <c r="RZR1529"/>
      <c r="RZS1529"/>
      <c r="RZT1529"/>
      <c r="RZU1529"/>
      <c r="RZV1529"/>
      <c r="RZW1529"/>
      <c r="RZX1529"/>
      <c r="RZY1529"/>
      <c r="RZZ1529"/>
      <c r="SAA1529"/>
      <c r="SAB1529"/>
      <c r="SAC1529"/>
      <c r="SAD1529"/>
      <c r="SAE1529"/>
      <c r="SAF1529"/>
      <c r="SAG1529"/>
      <c r="SAH1529"/>
      <c r="SAI1529"/>
      <c r="SAJ1529"/>
      <c r="SAK1529"/>
      <c r="SAL1529"/>
      <c r="SAM1529"/>
      <c r="SAN1529"/>
      <c r="SAO1529"/>
      <c r="SAP1529"/>
      <c r="SAQ1529"/>
      <c r="SAR1529"/>
      <c r="SAS1529"/>
      <c r="SAT1529"/>
      <c r="SAU1529"/>
      <c r="SAV1529"/>
      <c r="SAW1529"/>
      <c r="SAX1529"/>
      <c r="SAY1529"/>
      <c r="SAZ1529"/>
      <c r="SBA1529"/>
      <c r="SBB1529"/>
      <c r="SBC1529"/>
      <c r="SBD1529"/>
      <c r="SBE1529"/>
      <c r="SBF1529"/>
      <c r="SBG1529"/>
      <c r="SBH1529"/>
      <c r="SBI1529"/>
      <c r="SBJ1529"/>
      <c r="SBK1529"/>
      <c r="SBL1529"/>
      <c r="SBM1529"/>
      <c r="SBN1529"/>
      <c r="SBO1529"/>
      <c r="SBP1529"/>
      <c r="SBQ1529"/>
      <c r="SBR1529"/>
      <c r="SBS1529"/>
      <c r="SBT1529"/>
      <c r="SBU1529"/>
      <c r="SBV1529"/>
      <c r="SBW1529"/>
      <c r="SBX1529"/>
      <c r="SBY1529"/>
      <c r="SBZ1529"/>
      <c r="SCA1529"/>
      <c r="SCB1529"/>
      <c r="SCC1529"/>
      <c r="SCD1529"/>
      <c r="SCE1529"/>
      <c r="SCF1529"/>
      <c r="SCG1529"/>
      <c r="SCH1529"/>
      <c r="SCI1529"/>
      <c r="SCJ1529"/>
      <c r="SCK1529"/>
      <c r="SCL1529"/>
      <c r="SCM1529"/>
      <c r="SCN1529"/>
      <c r="SCO1529"/>
      <c r="SCP1529"/>
      <c r="SCQ1529"/>
      <c r="SCR1529"/>
      <c r="SCS1529"/>
      <c r="SCT1529"/>
      <c r="SCU1529"/>
      <c r="SCV1529"/>
      <c r="SCW1529"/>
      <c r="SCX1529"/>
      <c r="SCY1529"/>
      <c r="SCZ1529"/>
      <c r="SDA1529"/>
      <c r="SDB1529"/>
      <c r="SDC1529"/>
      <c r="SDD1529"/>
      <c r="SDE1529"/>
      <c r="SDF1529"/>
      <c r="SDG1529"/>
      <c r="SDH1529"/>
      <c r="SDI1529"/>
      <c r="SDJ1529"/>
      <c r="SDK1529"/>
      <c r="SDL1529"/>
      <c r="SDM1529"/>
      <c r="SDN1529"/>
      <c r="SDO1529"/>
      <c r="SDP1529"/>
      <c r="SDQ1529"/>
      <c r="SDR1529"/>
      <c r="SDS1529"/>
      <c r="SDT1529"/>
      <c r="SDU1529"/>
      <c r="SDV1529"/>
      <c r="SDW1529"/>
      <c r="SDX1529"/>
      <c r="SDY1529"/>
      <c r="SDZ1529"/>
      <c r="SEA1529"/>
      <c r="SEB1529"/>
      <c r="SEC1529"/>
      <c r="SED1529"/>
      <c r="SEE1529"/>
      <c r="SEF1529"/>
      <c r="SEG1529"/>
      <c r="SEH1529"/>
      <c r="SEI1529"/>
      <c r="SEJ1529"/>
      <c r="SEK1529"/>
      <c r="SEL1529"/>
      <c r="SEM1529"/>
      <c r="SEN1529"/>
      <c r="SEO1529"/>
      <c r="SEP1529"/>
      <c r="SEQ1529"/>
      <c r="SER1529"/>
      <c r="SES1529"/>
      <c r="SET1529"/>
      <c r="SEU1529"/>
      <c r="SEV1529"/>
      <c r="SEW1529"/>
      <c r="SEX1529"/>
      <c r="SEY1529"/>
      <c r="SEZ1529"/>
      <c r="SFA1529"/>
      <c r="SFB1529"/>
      <c r="SFC1529"/>
      <c r="SFD1529"/>
      <c r="SFE1529"/>
      <c r="SFF1529"/>
      <c r="SFG1529"/>
      <c r="SFH1529"/>
      <c r="SFI1529"/>
      <c r="SFJ1529"/>
      <c r="SFK1529"/>
      <c r="SFL1529"/>
      <c r="SFM1529"/>
      <c r="SFN1529"/>
      <c r="SFO1529"/>
      <c r="SFP1529"/>
      <c r="SFQ1529"/>
      <c r="SFR1529"/>
      <c r="SFS1529"/>
      <c r="SFT1529"/>
      <c r="SFU1529"/>
      <c r="SFV1529"/>
      <c r="SFW1529"/>
      <c r="SFX1529"/>
      <c r="SFY1529"/>
      <c r="SFZ1529"/>
      <c r="SGA1529"/>
      <c r="SGB1529"/>
      <c r="SGC1529"/>
      <c r="SGD1529"/>
      <c r="SGE1529"/>
      <c r="SGF1529"/>
      <c r="SGG1529"/>
      <c r="SGH1529"/>
      <c r="SGI1529"/>
      <c r="SGJ1529"/>
      <c r="SGK1529"/>
      <c r="SGL1529"/>
      <c r="SGM1529"/>
      <c r="SGN1529"/>
      <c r="SGO1529"/>
      <c r="SGP1529"/>
      <c r="SGQ1529"/>
      <c r="SGR1529"/>
      <c r="SGS1529"/>
      <c r="SGT1529"/>
      <c r="SGU1529"/>
      <c r="SGV1529"/>
      <c r="SGW1529"/>
      <c r="SGX1529"/>
      <c r="SGY1529"/>
      <c r="SGZ1529"/>
      <c r="SHA1529"/>
      <c r="SHB1529"/>
      <c r="SHC1529"/>
      <c r="SHD1529"/>
      <c r="SHE1529"/>
      <c r="SHF1529"/>
      <c r="SHG1529"/>
      <c r="SHH1529"/>
      <c r="SHI1529"/>
      <c r="SHJ1529"/>
      <c r="SHK1529"/>
      <c r="SHL1529"/>
      <c r="SHM1529"/>
      <c r="SHN1529"/>
      <c r="SHO1529"/>
      <c r="SHP1529"/>
      <c r="SHQ1529"/>
      <c r="SHR1529"/>
      <c r="SHS1529"/>
      <c r="SHT1529"/>
      <c r="SHU1529"/>
      <c r="SHV1529"/>
      <c r="SHW1529"/>
      <c r="SHX1529"/>
      <c r="SHY1529"/>
      <c r="SHZ1529"/>
      <c r="SIA1529"/>
      <c r="SIB1529"/>
      <c r="SIC1529"/>
      <c r="SID1529"/>
      <c r="SIE1529"/>
      <c r="SIF1529"/>
      <c r="SIG1529"/>
      <c r="SIH1529"/>
      <c r="SII1529"/>
      <c r="SIJ1529"/>
      <c r="SIK1529"/>
      <c r="SIL1529"/>
      <c r="SIM1529"/>
      <c r="SIN1529"/>
      <c r="SIO1529"/>
      <c r="SIP1529"/>
      <c r="SIQ1529"/>
      <c r="SIR1529"/>
      <c r="SIS1529"/>
      <c r="SIT1529"/>
      <c r="SIU1529"/>
      <c r="SIV1529"/>
      <c r="SIW1529"/>
      <c r="SIX1529"/>
      <c r="SIY1529"/>
      <c r="SIZ1529"/>
      <c r="SJA1529"/>
      <c r="SJB1529"/>
      <c r="SJC1529"/>
      <c r="SJD1529"/>
      <c r="SJE1529"/>
      <c r="SJF1529"/>
      <c r="SJG1529"/>
      <c r="SJH1529"/>
      <c r="SJI1529"/>
      <c r="SJJ1529"/>
      <c r="SJK1529"/>
      <c r="SJL1529"/>
      <c r="SJM1529"/>
      <c r="SJN1529"/>
      <c r="SJO1529"/>
      <c r="SJP1529"/>
      <c r="SJQ1529"/>
      <c r="SJR1529"/>
      <c r="SJS1529"/>
      <c r="SJT1529"/>
      <c r="SJU1529"/>
      <c r="SJV1529"/>
      <c r="SJW1529"/>
      <c r="SJX1529"/>
      <c r="SJY1529"/>
      <c r="SJZ1529"/>
      <c r="SKA1529"/>
      <c r="SKB1529"/>
      <c r="SKC1529"/>
      <c r="SKD1529"/>
      <c r="SKE1529"/>
      <c r="SKF1529"/>
      <c r="SKG1529"/>
      <c r="SKH1529"/>
      <c r="SKI1529"/>
      <c r="SKJ1529"/>
      <c r="SKK1529"/>
      <c r="SKL1529"/>
      <c r="SKM1529"/>
      <c r="SKN1529"/>
      <c r="SKO1529"/>
      <c r="SKP1529"/>
      <c r="SKQ1529"/>
      <c r="SKR1529"/>
      <c r="SKS1529"/>
      <c r="SKT1529"/>
      <c r="SKU1529"/>
      <c r="SKV1529"/>
      <c r="SKW1529"/>
      <c r="SKX1529"/>
      <c r="SKY1529"/>
      <c r="SKZ1529"/>
      <c r="SLA1529"/>
      <c r="SLB1529"/>
      <c r="SLC1529"/>
      <c r="SLD1529"/>
      <c r="SLE1529"/>
      <c r="SLF1529"/>
      <c r="SLG1529"/>
      <c r="SLH1529"/>
      <c r="SLI1529"/>
      <c r="SLJ1529"/>
      <c r="SLK1529"/>
      <c r="SLL1529"/>
      <c r="SLM1529"/>
      <c r="SLN1529"/>
      <c r="SLO1529"/>
      <c r="SLP1529"/>
      <c r="SLQ1529"/>
      <c r="SLR1529"/>
      <c r="SLS1529"/>
      <c r="SLT1529"/>
      <c r="SLU1529"/>
      <c r="SLV1529"/>
      <c r="SLW1529"/>
      <c r="SLX1529"/>
      <c r="SLY1529"/>
      <c r="SLZ1529"/>
      <c r="SMA1529"/>
      <c r="SMB1529"/>
      <c r="SMC1529"/>
      <c r="SMD1529"/>
      <c r="SME1529"/>
      <c r="SMF1529"/>
      <c r="SMG1529"/>
      <c r="SMH1529"/>
      <c r="SMI1529"/>
      <c r="SMJ1529"/>
      <c r="SMK1529"/>
      <c r="SML1529"/>
      <c r="SMM1529"/>
      <c r="SMN1529"/>
      <c r="SMO1529"/>
      <c r="SMP1529"/>
      <c r="SMQ1529"/>
      <c r="SMR1529"/>
      <c r="SMS1529"/>
      <c r="SMT1529"/>
      <c r="SMU1529"/>
      <c r="SMV1529"/>
      <c r="SMW1529"/>
      <c r="SMX1529"/>
      <c r="SMY1529"/>
      <c r="SMZ1529"/>
      <c r="SNA1529"/>
      <c r="SNB1529"/>
      <c r="SNC1529"/>
      <c r="SND1529"/>
      <c r="SNE1529"/>
      <c r="SNF1529"/>
      <c r="SNG1529"/>
      <c r="SNH1529"/>
      <c r="SNI1529"/>
      <c r="SNJ1529"/>
      <c r="SNK1529"/>
      <c r="SNL1529"/>
      <c r="SNM1529"/>
      <c r="SNN1529"/>
      <c r="SNO1529"/>
      <c r="SNP1529"/>
      <c r="SNQ1529"/>
      <c r="SNR1529"/>
      <c r="SNS1529"/>
      <c r="SNT1529"/>
      <c r="SNU1529"/>
      <c r="SNV1529"/>
      <c r="SNW1529"/>
      <c r="SNX1529"/>
      <c r="SNY1529"/>
      <c r="SNZ1529"/>
      <c r="SOA1529"/>
      <c r="SOB1529"/>
      <c r="SOC1529"/>
      <c r="SOD1529"/>
      <c r="SOE1529"/>
      <c r="SOF1529"/>
      <c r="SOG1529"/>
      <c r="SOH1529"/>
      <c r="SOI1529"/>
      <c r="SOJ1529"/>
      <c r="SOK1529"/>
      <c r="SOL1529"/>
      <c r="SOM1529"/>
      <c r="SON1529"/>
      <c r="SOO1529"/>
      <c r="SOP1529"/>
      <c r="SOQ1529"/>
      <c r="SOR1529"/>
      <c r="SOS1529"/>
      <c r="SOT1529"/>
      <c r="SOU1529"/>
      <c r="SOV1529"/>
      <c r="SOW1529"/>
      <c r="SOX1529"/>
      <c r="SOY1529"/>
      <c r="SOZ1529"/>
      <c r="SPA1529"/>
      <c r="SPB1529"/>
      <c r="SPC1529"/>
      <c r="SPD1529"/>
      <c r="SPE1529"/>
      <c r="SPF1529"/>
      <c r="SPG1529"/>
      <c r="SPH1529"/>
      <c r="SPI1529"/>
      <c r="SPJ1529"/>
      <c r="SPK1529"/>
      <c r="SPL1529"/>
      <c r="SPM1529"/>
      <c r="SPN1529"/>
      <c r="SPO1529"/>
      <c r="SPP1529"/>
      <c r="SPQ1529"/>
      <c r="SPR1529"/>
      <c r="SPS1529"/>
      <c r="SPT1529"/>
      <c r="SPU1529"/>
      <c r="SPV1529"/>
      <c r="SPW1529"/>
      <c r="SPX1529"/>
      <c r="SPY1529"/>
      <c r="SPZ1529"/>
      <c r="SQA1529"/>
      <c r="SQB1529"/>
      <c r="SQC1529"/>
      <c r="SQD1529"/>
      <c r="SQE1529"/>
      <c r="SQF1529"/>
      <c r="SQG1529"/>
      <c r="SQH1529"/>
      <c r="SQI1529"/>
      <c r="SQJ1529"/>
      <c r="SQK1529"/>
      <c r="SQL1529"/>
      <c r="SQM1529"/>
      <c r="SQN1529"/>
      <c r="SQO1529"/>
      <c r="SQP1529"/>
      <c r="SQQ1529"/>
      <c r="SQR1529"/>
      <c r="SQS1529"/>
      <c r="SQT1529"/>
      <c r="SQU1529"/>
      <c r="SQV1529"/>
      <c r="SQW1529"/>
      <c r="SQX1529"/>
      <c r="SQY1529"/>
      <c r="SQZ1529"/>
      <c r="SRA1529"/>
      <c r="SRB1529"/>
      <c r="SRC1529"/>
      <c r="SRD1529"/>
      <c r="SRE1529"/>
      <c r="SRF1529"/>
      <c r="SRG1529"/>
      <c r="SRH1529"/>
      <c r="SRI1529"/>
      <c r="SRJ1529"/>
      <c r="SRK1529"/>
      <c r="SRL1529"/>
      <c r="SRM1529"/>
      <c r="SRN1529"/>
      <c r="SRO1529"/>
      <c r="SRP1529"/>
      <c r="SRQ1529"/>
      <c r="SRR1529"/>
      <c r="SRS1529"/>
      <c r="SRT1529"/>
      <c r="SRU1529"/>
      <c r="SRV1529"/>
      <c r="SRW1529"/>
      <c r="SRX1529"/>
      <c r="SRY1529"/>
      <c r="SRZ1529"/>
      <c r="SSA1529"/>
      <c r="SSB1529"/>
      <c r="SSC1529"/>
      <c r="SSD1529"/>
      <c r="SSE1529"/>
      <c r="SSF1529"/>
      <c r="SSG1529"/>
      <c r="SSH1529"/>
      <c r="SSI1529"/>
      <c r="SSJ1529"/>
      <c r="SSK1529"/>
      <c r="SSL1529"/>
      <c r="SSM1529"/>
      <c r="SSN1529"/>
      <c r="SSO1529"/>
      <c r="SSP1529"/>
      <c r="SSQ1529"/>
      <c r="SSR1529"/>
      <c r="SSS1529"/>
      <c r="SST1529"/>
      <c r="SSU1529"/>
      <c r="SSV1529"/>
      <c r="SSW1529"/>
      <c r="SSX1529"/>
      <c r="SSY1529"/>
      <c r="SSZ1529"/>
      <c r="STA1529"/>
      <c r="STB1529"/>
      <c r="STC1529"/>
      <c r="STD1529"/>
      <c r="STE1529"/>
      <c r="STF1529"/>
      <c r="STG1529"/>
      <c r="STH1529"/>
      <c r="STI1529"/>
      <c r="STJ1529"/>
      <c r="STK1529"/>
      <c r="STL1529"/>
      <c r="STM1529"/>
      <c r="STN1529"/>
      <c r="STO1529"/>
      <c r="STP1529"/>
      <c r="STQ1529"/>
      <c r="STR1529"/>
      <c r="STS1529"/>
      <c r="STT1529"/>
      <c r="STU1529"/>
      <c r="STV1529"/>
      <c r="STW1529"/>
      <c r="STX1529"/>
      <c r="STY1529"/>
      <c r="STZ1529"/>
      <c r="SUA1529"/>
      <c r="SUB1529"/>
      <c r="SUC1529"/>
      <c r="SUD1529"/>
      <c r="SUE1529"/>
      <c r="SUF1529"/>
      <c r="SUG1529"/>
      <c r="SUH1529"/>
      <c r="SUI1529"/>
      <c r="SUJ1529"/>
      <c r="SUK1529"/>
      <c r="SUL1529"/>
      <c r="SUM1529"/>
      <c r="SUN1529"/>
      <c r="SUO1529"/>
      <c r="SUP1529"/>
      <c r="SUQ1529"/>
      <c r="SUR1529"/>
      <c r="SUS1529"/>
      <c r="SUT1529"/>
      <c r="SUU1529"/>
      <c r="SUV1529"/>
      <c r="SUW1529"/>
      <c r="SUX1529"/>
      <c r="SUY1529"/>
      <c r="SUZ1529"/>
      <c r="SVA1529"/>
      <c r="SVB1529"/>
      <c r="SVC1529"/>
      <c r="SVD1529"/>
      <c r="SVE1529"/>
      <c r="SVF1529"/>
      <c r="SVG1529"/>
      <c r="SVH1529"/>
      <c r="SVI1529"/>
      <c r="SVJ1529"/>
      <c r="SVK1529"/>
      <c r="SVL1529"/>
      <c r="SVM1529"/>
      <c r="SVN1529"/>
      <c r="SVO1529"/>
      <c r="SVP1529"/>
      <c r="SVQ1529"/>
      <c r="SVR1529"/>
      <c r="SVS1529"/>
      <c r="SVT1529"/>
      <c r="SVU1529"/>
      <c r="SVV1529"/>
      <c r="SVW1529"/>
      <c r="SVX1529"/>
      <c r="SVY1529"/>
      <c r="SVZ1529"/>
      <c r="SWA1529"/>
      <c r="SWB1529"/>
      <c r="SWC1529"/>
      <c r="SWD1529"/>
      <c r="SWE1529"/>
      <c r="SWF1529"/>
      <c r="SWG1529"/>
      <c r="SWH1529"/>
      <c r="SWI1529"/>
      <c r="SWJ1529"/>
      <c r="SWK1529"/>
      <c r="SWL1529"/>
      <c r="SWM1529"/>
      <c r="SWN1529"/>
      <c r="SWO1529"/>
      <c r="SWP1529"/>
      <c r="SWQ1529"/>
      <c r="SWR1529"/>
      <c r="SWS1529"/>
      <c r="SWT1529"/>
      <c r="SWU1529"/>
      <c r="SWV1529"/>
      <c r="SWW1529"/>
      <c r="SWX1529"/>
      <c r="SWY1529"/>
      <c r="SWZ1529"/>
      <c r="SXA1529"/>
      <c r="SXB1529"/>
      <c r="SXC1529"/>
      <c r="SXD1529"/>
      <c r="SXE1529"/>
      <c r="SXF1529"/>
      <c r="SXG1529"/>
      <c r="SXH1529"/>
      <c r="SXI1529"/>
      <c r="SXJ1529"/>
      <c r="SXK1529"/>
      <c r="SXL1529"/>
      <c r="SXM1529"/>
      <c r="SXN1529"/>
      <c r="SXO1529"/>
      <c r="SXP1529"/>
      <c r="SXQ1529"/>
      <c r="SXR1529"/>
      <c r="SXS1529"/>
      <c r="SXT1529"/>
      <c r="SXU1529"/>
      <c r="SXV1529"/>
      <c r="SXW1529"/>
      <c r="SXX1529"/>
      <c r="SXY1529"/>
      <c r="SXZ1529"/>
      <c r="SYA1529"/>
      <c r="SYB1529"/>
      <c r="SYC1529"/>
      <c r="SYD1529"/>
      <c r="SYE1529"/>
      <c r="SYF1529"/>
      <c r="SYG1529"/>
      <c r="SYH1529"/>
      <c r="SYI1529"/>
      <c r="SYJ1529"/>
      <c r="SYK1529"/>
      <c r="SYL1529"/>
      <c r="SYM1529"/>
      <c r="SYN1529"/>
      <c r="SYO1529"/>
      <c r="SYP1529"/>
      <c r="SYQ1529"/>
      <c r="SYR1529"/>
      <c r="SYS1529"/>
      <c r="SYT1529"/>
      <c r="SYU1529"/>
      <c r="SYV1529"/>
      <c r="SYW1529"/>
      <c r="SYX1529"/>
      <c r="SYY1529"/>
      <c r="SYZ1529"/>
      <c r="SZA1529"/>
      <c r="SZB1529"/>
      <c r="SZC1529"/>
      <c r="SZD1529"/>
      <c r="SZE1529"/>
      <c r="SZF1529"/>
      <c r="SZG1529"/>
      <c r="SZH1529"/>
      <c r="SZI1529"/>
      <c r="SZJ1529"/>
      <c r="SZK1529"/>
      <c r="SZL1529"/>
      <c r="SZM1529"/>
      <c r="SZN1529"/>
      <c r="SZO1529"/>
      <c r="SZP1529"/>
      <c r="SZQ1529"/>
      <c r="SZR1529"/>
      <c r="SZS1529"/>
      <c r="SZT1529"/>
      <c r="SZU1529"/>
      <c r="SZV1529"/>
      <c r="SZW1529"/>
      <c r="SZX1529"/>
      <c r="SZY1529"/>
      <c r="SZZ1529"/>
      <c r="TAA1529"/>
      <c r="TAB1529"/>
      <c r="TAC1529"/>
      <c r="TAD1529"/>
      <c r="TAE1529"/>
      <c r="TAF1529"/>
      <c r="TAG1529"/>
      <c r="TAH1529"/>
      <c r="TAI1529"/>
      <c r="TAJ1529"/>
      <c r="TAK1529"/>
      <c r="TAL1529"/>
      <c r="TAM1529"/>
      <c r="TAN1529"/>
      <c r="TAO1529"/>
      <c r="TAP1529"/>
      <c r="TAQ1529"/>
      <c r="TAR1529"/>
      <c r="TAS1529"/>
      <c r="TAT1529"/>
      <c r="TAU1529"/>
      <c r="TAV1529"/>
      <c r="TAW1529"/>
      <c r="TAX1529"/>
      <c r="TAY1529"/>
      <c r="TAZ1529"/>
      <c r="TBA1529"/>
      <c r="TBB1529"/>
      <c r="TBC1529"/>
      <c r="TBD1529"/>
      <c r="TBE1529"/>
      <c r="TBF1529"/>
      <c r="TBG1529"/>
      <c r="TBH1529"/>
      <c r="TBI1529"/>
      <c r="TBJ1529"/>
      <c r="TBK1529"/>
      <c r="TBL1529"/>
      <c r="TBM1529"/>
      <c r="TBN1529"/>
      <c r="TBO1529"/>
      <c r="TBP1529"/>
      <c r="TBQ1529"/>
      <c r="TBR1529"/>
      <c r="TBS1529"/>
      <c r="TBT1529"/>
      <c r="TBU1529"/>
      <c r="TBV1529"/>
      <c r="TBW1529"/>
      <c r="TBX1529"/>
      <c r="TBY1529"/>
      <c r="TBZ1529"/>
      <c r="TCA1529"/>
      <c r="TCB1529"/>
      <c r="TCC1529"/>
      <c r="TCD1529"/>
      <c r="TCE1529"/>
      <c r="TCF1529"/>
      <c r="TCG1529"/>
      <c r="TCH1529"/>
      <c r="TCI1529"/>
      <c r="TCJ1529"/>
      <c r="TCK1529"/>
      <c r="TCL1529"/>
      <c r="TCM1529"/>
      <c r="TCN1529"/>
      <c r="TCO1529"/>
      <c r="TCP1529"/>
      <c r="TCQ1529"/>
      <c r="TCR1529"/>
      <c r="TCS1529"/>
      <c r="TCT1529"/>
      <c r="TCU1529"/>
      <c r="TCV1529"/>
      <c r="TCW1529"/>
      <c r="TCX1529"/>
      <c r="TCY1529"/>
      <c r="TCZ1529"/>
      <c r="TDA1529"/>
      <c r="TDB1529"/>
      <c r="TDC1529"/>
      <c r="TDD1529"/>
      <c r="TDE1529"/>
      <c r="TDF1529"/>
      <c r="TDG1529"/>
      <c r="TDH1529"/>
      <c r="TDI1529"/>
      <c r="TDJ1529"/>
      <c r="TDK1529"/>
      <c r="TDL1529"/>
      <c r="TDM1529"/>
      <c r="TDN1529"/>
      <c r="TDO1529"/>
      <c r="TDP1529"/>
      <c r="TDQ1529"/>
      <c r="TDR1529"/>
      <c r="TDS1529"/>
      <c r="TDT1529"/>
      <c r="TDU1529"/>
      <c r="TDV1529"/>
      <c r="TDW1529"/>
      <c r="TDX1529"/>
      <c r="TDY1529"/>
      <c r="TDZ1529"/>
      <c r="TEA1529"/>
      <c r="TEB1529"/>
      <c r="TEC1529"/>
      <c r="TED1529"/>
      <c r="TEE1529"/>
      <c r="TEF1529"/>
      <c r="TEG1529"/>
      <c r="TEH1529"/>
      <c r="TEI1529"/>
      <c r="TEJ1529"/>
      <c r="TEK1529"/>
      <c r="TEL1529"/>
      <c r="TEM1529"/>
      <c r="TEN1529"/>
      <c r="TEO1529"/>
      <c r="TEP1529"/>
      <c r="TEQ1529"/>
      <c r="TER1529"/>
      <c r="TES1529"/>
      <c r="TET1529"/>
      <c r="TEU1529"/>
      <c r="TEV1529"/>
      <c r="TEW1529"/>
      <c r="TEX1529"/>
      <c r="TEY1529"/>
      <c r="TEZ1529"/>
      <c r="TFA1529"/>
      <c r="TFB1529"/>
      <c r="TFC1529"/>
      <c r="TFD1529"/>
      <c r="TFE1529"/>
      <c r="TFF1529"/>
      <c r="TFG1529"/>
      <c r="TFH1529"/>
      <c r="TFI1529"/>
      <c r="TFJ1529"/>
      <c r="TFK1529"/>
      <c r="TFL1529"/>
      <c r="TFM1529"/>
      <c r="TFN1529"/>
      <c r="TFO1529"/>
      <c r="TFP1529"/>
      <c r="TFQ1529"/>
      <c r="TFR1529"/>
      <c r="TFS1529"/>
      <c r="TFT1529"/>
      <c r="TFU1529"/>
      <c r="TFV1529"/>
      <c r="TFW1529"/>
      <c r="TFX1529"/>
      <c r="TFY1529"/>
      <c r="TFZ1529"/>
      <c r="TGA1529"/>
      <c r="TGB1529"/>
      <c r="TGC1529"/>
      <c r="TGD1529"/>
      <c r="TGE1529"/>
      <c r="TGF1529"/>
      <c r="TGG1529"/>
      <c r="TGH1529"/>
      <c r="TGI1529"/>
      <c r="TGJ1529"/>
      <c r="TGK1529"/>
      <c r="TGL1529"/>
      <c r="TGM1529"/>
      <c r="TGN1529"/>
      <c r="TGO1529"/>
      <c r="TGP1529"/>
      <c r="TGQ1529"/>
      <c r="TGR1529"/>
      <c r="TGS1529"/>
      <c r="TGT1529"/>
      <c r="TGU1529"/>
      <c r="TGV1529"/>
      <c r="TGW1529"/>
      <c r="TGX1529"/>
      <c r="TGY1529"/>
      <c r="TGZ1529"/>
      <c r="THA1529"/>
      <c r="THB1529"/>
      <c r="THC1529"/>
      <c r="THD1529"/>
      <c r="THE1529"/>
      <c r="THF1529"/>
      <c r="THG1529"/>
      <c r="THH1529"/>
      <c r="THI1529"/>
      <c r="THJ1529"/>
      <c r="THK1529"/>
      <c r="THL1529"/>
      <c r="THM1529"/>
      <c r="THN1529"/>
      <c r="THO1529"/>
      <c r="THP1529"/>
      <c r="THQ1529"/>
      <c r="THR1529"/>
      <c r="THS1529"/>
      <c r="THT1529"/>
      <c r="THU1529"/>
      <c r="THV1529"/>
      <c r="THW1529"/>
      <c r="THX1529"/>
      <c r="THY1529"/>
      <c r="THZ1529"/>
      <c r="TIA1529"/>
      <c r="TIB1529"/>
      <c r="TIC1529"/>
      <c r="TID1529"/>
      <c r="TIE1529"/>
      <c r="TIF1529"/>
      <c r="TIG1529"/>
      <c r="TIH1529"/>
      <c r="TII1529"/>
      <c r="TIJ1529"/>
      <c r="TIK1529"/>
      <c r="TIL1529"/>
      <c r="TIM1529"/>
      <c r="TIN1529"/>
      <c r="TIO1529"/>
      <c r="TIP1529"/>
      <c r="TIQ1529"/>
      <c r="TIR1529"/>
      <c r="TIS1529"/>
      <c r="TIT1529"/>
      <c r="TIU1529"/>
      <c r="TIV1529"/>
      <c r="TIW1529"/>
      <c r="TIX1529"/>
      <c r="TIY1529"/>
      <c r="TIZ1529"/>
      <c r="TJA1529"/>
      <c r="TJB1529"/>
      <c r="TJC1529"/>
      <c r="TJD1529"/>
      <c r="TJE1529"/>
      <c r="TJF1529"/>
      <c r="TJG1529"/>
      <c r="TJH1529"/>
      <c r="TJI1529"/>
      <c r="TJJ1529"/>
      <c r="TJK1529"/>
      <c r="TJL1529"/>
      <c r="TJM1529"/>
      <c r="TJN1529"/>
      <c r="TJO1529"/>
      <c r="TJP1529"/>
      <c r="TJQ1529"/>
      <c r="TJR1529"/>
      <c r="TJS1529"/>
      <c r="TJT1529"/>
      <c r="TJU1529"/>
      <c r="TJV1529"/>
      <c r="TJW1529"/>
      <c r="TJX1529"/>
      <c r="TJY1529"/>
      <c r="TJZ1529"/>
      <c r="TKA1529"/>
      <c r="TKB1529"/>
      <c r="TKC1529"/>
      <c r="TKD1529"/>
      <c r="TKE1529"/>
      <c r="TKF1529"/>
      <c r="TKG1529"/>
      <c r="TKH1529"/>
      <c r="TKI1529"/>
      <c r="TKJ1529"/>
      <c r="TKK1529"/>
      <c r="TKL1529"/>
      <c r="TKM1529"/>
      <c r="TKN1529"/>
      <c r="TKO1529"/>
      <c r="TKP1529"/>
      <c r="TKQ1529"/>
      <c r="TKR1529"/>
      <c r="TKS1529"/>
      <c r="TKT1529"/>
      <c r="TKU1529"/>
      <c r="TKV1529"/>
      <c r="TKW1529"/>
      <c r="TKX1529"/>
      <c r="TKY1529"/>
      <c r="TKZ1529"/>
      <c r="TLA1529"/>
      <c r="TLB1529"/>
      <c r="TLC1529"/>
      <c r="TLD1529"/>
      <c r="TLE1529"/>
      <c r="TLF1529"/>
      <c r="TLG1529"/>
      <c r="TLH1529"/>
      <c r="TLI1529"/>
      <c r="TLJ1529"/>
      <c r="TLK1529"/>
      <c r="TLL1529"/>
      <c r="TLM1529"/>
      <c r="TLN1529"/>
      <c r="TLO1529"/>
      <c r="TLP1529"/>
      <c r="TLQ1529"/>
      <c r="TLR1529"/>
      <c r="TLS1529"/>
      <c r="TLT1529"/>
      <c r="TLU1529"/>
      <c r="TLV1529"/>
      <c r="TLW1529"/>
      <c r="TLX1529"/>
      <c r="TLY1529"/>
      <c r="TLZ1529"/>
      <c r="TMA1529"/>
      <c r="TMB1529"/>
      <c r="TMC1529"/>
      <c r="TMD1529"/>
      <c r="TME1529"/>
      <c r="TMF1529"/>
      <c r="TMG1529"/>
      <c r="TMH1529"/>
      <c r="TMI1529"/>
      <c r="TMJ1529"/>
      <c r="TMK1529"/>
      <c r="TML1529"/>
      <c r="TMM1529"/>
      <c r="TMN1529"/>
      <c r="TMO1529"/>
      <c r="TMP1529"/>
      <c r="TMQ1529"/>
      <c r="TMR1529"/>
      <c r="TMS1529"/>
      <c r="TMT1529"/>
      <c r="TMU1529"/>
      <c r="TMV1529"/>
      <c r="TMW1529"/>
      <c r="TMX1529"/>
      <c r="TMY1529"/>
      <c r="TMZ1529"/>
      <c r="TNA1529"/>
      <c r="TNB1529"/>
      <c r="TNC1529"/>
      <c r="TND1529"/>
      <c r="TNE1529"/>
      <c r="TNF1529"/>
      <c r="TNG1529"/>
      <c r="TNH1529"/>
      <c r="TNI1529"/>
      <c r="TNJ1529"/>
      <c r="TNK1529"/>
      <c r="TNL1529"/>
      <c r="TNM1529"/>
      <c r="TNN1529"/>
      <c r="TNO1529"/>
      <c r="TNP1529"/>
      <c r="TNQ1529"/>
      <c r="TNR1529"/>
      <c r="TNS1529"/>
      <c r="TNT1529"/>
      <c r="TNU1529"/>
      <c r="TNV1529"/>
      <c r="TNW1529"/>
      <c r="TNX1529"/>
      <c r="TNY1529"/>
      <c r="TNZ1529"/>
      <c r="TOA1529"/>
      <c r="TOB1529"/>
      <c r="TOC1529"/>
      <c r="TOD1529"/>
      <c r="TOE1529"/>
      <c r="TOF1529"/>
      <c r="TOG1529"/>
      <c r="TOH1529"/>
      <c r="TOI1529"/>
      <c r="TOJ1529"/>
      <c r="TOK1529"/>
      <c r="TOL1529"/>
      <c r="TOM1529"/>
      <c r="TON1529"/>
      <c r="TOO1529"/>
      <c r="TOP1529"/>
      <c r="TOQ1529"/>
      <c r="TOR1529"/>
      <c r="TOS1529"/>
      <c r="TOT1529"/>
      <c r="TOU1529"/>
      <c r="TOV1529"/>
      <c r="TOW1529"/>
      <c r="TOX1529"/>
      <c r="TOY1529"/>
      <c r="TOZ1529"/>
      <c r="TPA1529"/>
      <c r="TPB1529"/>
      <c r="TPC1529"/>
      <c r="TPD1529"/>
      <c r="TPE1529"/>
      <c r="TPF1529"/>
      <c r="TPG1529"/>
      <c r="TPH1529"/>
      <c r="TPI1529"/>
      <c r="TPJ1529"/>
      <c r="TPK1529"/>
      <c r="TPL1529"/>
      <c r="TPM1529"/>
      <c r="TPN1529"/>
      <c r="TPO1529"/>
      <c r="TPP1529"/>
      <c r="TPQ1529"/>
      <c r="TPR1529"/>
      <c r="TPS1529"/>
      <c r="TPT1529"/>
      <c r="TPU1529"/>
      <c r="TPV1529"/>
      <c r="TPW1529"/>
      <c r="TPX1529"/>
      <c r="TPY1529"/>
      <c r="TPZ1529"/>
      <c r="TQA1529"/>
      <c r="TQB1529"/>
      <c r="TQC1529"/>
      <c r="TQD1529"/>
      <c r="TQE1529"/>
      <c r="TQF1529"/>
      <c r="TQG1529"/>
      <c r="TQH1529"/>
      <c r="TQI1529"/>
      <c r="TQJ1529"/>
      <c r="TQK1529"/>
      <c r="TQL1529"/>
      <c r="TQM1529"/>
      <c r="TQN1529"/>
      <c r="TQO1529"/>
      <c r="TQP1529"/>
      <c r="TQQ1529"/>
      <c r="TQR1529"/>
      <c r="TQS1529"/>
      <c r="TQT1529"/>
      <c r="TQU1529"/>
      <c r="TQV1529"/>
      <c r="TQW1529"/>
      <c r="TQX1529"/>
      <c r="TQY1529"/>
      <c r="TQZ1529"/>
      <c r="TRA1529"/>
      <c r="TRB1529"/>
      <c r="TRC1529"/>
      <c r="TRD1529"/>
      <c r="TRE1529"/>
      <c r="TRF1529"/>
      <c r="TRG1529"/>
      <c r="TRH1529"/>
      <c r="TRI1529"/>
      <c r="TRJ1529"/>
      <c r="TRK1529"/>
      <c r="TRL1529"/>
      <c r="TRM1529"/>
      <c r="TRN1529"/>
      <c r="TRO1529"/>
      <c r="TRP1529"/>
      <c r="TRQ1529"/>
      <c r="TRR1529"/>
      <c r="TRS1529"/>
      <c r="TRT1529"/>
      <c r="TRU1529"/>
      <c r="TRV1529"/>
      <c r="TRW1529"/>
      <c r="TRX1529"/>
      <c r="TRY1529"/>
      <c r="TRZ1529"/>
      <c r="TSA1529"/>
      <c r="TSB1529"/>
      <c r="TSC1529"/>
      <c r="TSD1529"/>
      <c r="TSE1529"/>
      <c r="TSF1529"/>
      <c r="TSG1529"/>
      <c r="TSH1529"/>
      <c r="TSI1529"/>
      <c r="TSJ1529"/>
      <c r="TSK1529"/>
      <c r="TSL1529"/>
      <c r="TSM1529"/>
      <c r="TSN1529"/>
      <c r="TSO1529"/>
      <c r="TSP1529"/>
      <c r="TSQ1529"/>
      <c r="TSR1529"/>
      <c r="TSS1529"/>
      <c r="TST1529"/>
      <c r="TSU1529"/>
      <c r="TSV1529"/>
      <c r="TSW1529"/>
      <c r="TSX1529"/>
      <c r="TSY1529"/>
      <c r="TSZ1529"/>
      <c r="TTA1529"/>
      <c r="TTB1529"/>
      <c r="TTC1529"/>
      <c r="TTD1529"/>
      <c r="TTE1529"/>
      <c r="TTF1529"/>
      <c r="TTG1529"/>
      <c r="TTH1529"/>
      <c r="TTI1529"/>
      <c r="TTJ1529"/>
      <c r="TTK1529"/>
      <c r="TTL1529"/>
      <c r="TTM1529"/>
      <c r="TTN1529"/>
      <c r="TTO1529"/>
      <c r="TTP1529"/>
      <c r="TTQ1529"/>
      <c r="TTR1529"/>
      <c r="TTS1529"/>
      <c r="TTT1529"/>
      <c r="TTU1529"/>
      <c r="TTV1529"/>
      <c r="TTW1529"/>
      <c r="TTX1529"/>
      <c r="TTY1529"/>
      <c r="TTZ1529"/>
      <c r="TUA1529"/>
      <c r="TUB1529"/>
      <c r="TUC1529"/>
      <c r="TUD1529"/>
      <c r="TUE1529"/>
      <c r="TUF1529"/>
      <c r="TUG1529"/>
      <c r="TUH1529"/>
      <c r="TUI1529"/>
      <c r="TUJ1529"/>
      <c r="TUK1529"/>
      <c r="TUL1529"/>
      <c r="TUM1529"/>
      <c r="TUN1529"/>
      <c r="TUO1529"/>
      <c r="TUP1529"/>
      <c r="TUQ1529"/>
      <c r="TUR1529"/>
      <c r="TUS1529"/>
      <c r="TUT1529"/>
      <c r="TUU1529"/>
      <c r="TUV1529"/>
      <c r="TUW1529"/>
      <c r="TUX1529"/>
      <c r="TUY1529"/>
      <c r="TUZ1529"/>
      <c r="TVA1529"/>
      <c r="TVB1529"/>
      <c r="TVC1529"/>
      <c r="TVD1529"/>
      <c r="TVE1529"/>
      <c r="TVF1529"/>
      <c r="TVG1529"/>
      <c r="TVH1529"/>
      <c r="TVI1529"/>
      <c r="TVJ1529"/>
      <c r="TVK1529"/>
      <c r="TVL1529"/>
      <c r="TVM1529"/>
      <c r="TVN1529"/>
      <c r="TVO1529"/>
      <c r="TVP1529"/>
      <c r="TVQ1529"/>
      <c r="TVR1529"/>
      <c r="TVS1529"/>
      <c r="TVT1529"/>
      <c r="TVU1529"/>
      <c r="TVV1529"/>
      <c r="TVW1529"/>
      <c r="TVX1529"/>
      <c r="TVY1529"/>
      <c r="TVZ1529"/>
      <c r="TWA1529"/>
      <c r="TWB1529"/>
      <c r="TWC1529"/>
      <c r="TWD1529"/>
      <c r="TWE1529"/>
      <c r="TWF1529"/>
      <c r="TWG1529"/>
      <c r="TWH1529"/>
      <c r="TWI1529"/>
      <c r="TWJ1529"/>
      <c r="TWK1529"/>
      <c r="TWL1529"/>
      <c r="TWM1529"/>
      <c r="TWN1529"/>
      <c r="TWO1529"/>
      <c r="TWP1529"/>
      <c r="TWQ1529"/>
      <c r="TWR1529"/>
      <c r="TWS1529"/>
      <c r="TWT1529"/>
      <c r="TWU1529"/>
      <c r="TWV1529"/>
      <c r="TWW1529"/>
      <c r="TWX1529"/>
      <c r="TWY1529"/>
      <c r="TWZ1529"/>
      <c r="TXA1529"/>
      <c r="TXB1529"/>
      <c r="TXC1529"/>
      <c r="TXD1529"/>
      <c r="TXE1529"/>
      <c r="TXF1529"/>
      <c r="TXG1529"/>
      <c r="TXH1529"/>
      <c r="TXI1529"/>
      <c r="TXJ1529"/>
      <c r="TXK1529"/>
      <c r="TXL1529"/>
      <c r="TXM1529"/>
      <c r="TXN1529"/>
      <c r="TXO1529"/>
      <c r="TXP1529"/>
      <c r="TXQ1529"/>
      <c r="TXR1529"/>
      <c r="TXS1529"/>
      <c r="TXT1529"/>
      <c r="TXU1529"/>
      <c r="TXV1529"/>
      <c r="TXW1529"/>
      <c r="TXX1529"/>
      <c r="TXY1529"/>
      <c r="TXZ1529"/>
      <c r="TYA1529"/>
      <c r="TYB1529"/>
      <c r="TYC1529"/>
      <c r="TYD1529"/>
      <c r="TYE1529"/>
      <c r="TYF1529"/>
      <c r="TYG1529"/>
      <c r="TYH1529"/>
      <c r="TYI1529"/>
      <c r="TYJ1529"/>
      <c r="TYK1529"/>
      <c r="TYL1529"/>
      <c r="TYM1529"/>
      <c r="TYN1529"/>
      <c r="TYO1529"/>
      <c r="TYP1529"/>
      <c r="TYQ1529"/>
      <c r="TYR1529"/>
      <c r="TYS1529"/>
      <c r="TYT1529"/>
      <c r="TYU1529"/>
      <c r="TYV1529"/>
      <c r="TYW1529"/>
      <c r="TYX1529"/>
      <c r="TYY1529"/>
      <c r="TYZ1529"/>
      <c r="TZA1529"/>
      <c r="TZB1529"/>
      <c r="TZC1529"/>
      <c r="TZD1529"/>
      <c r="TZE1529"/>
      <c r="TZF1529"/>
      <c r="TZG1529"/>
      <c r="TZH1529"/>
      <c r="TZI1529"/>
      <c r="TZJ1529"/>
      <c r="TZK1529"/>
      <c r="TZL1529"/>
      <c r="TZM1529"/>
      <c r="TZN1529"/>
      <c r="TZO1529"/>
      <c r="TZP1529"/>
      <c r="TZQ1529"/>
      <c r="TZR1529"/>
      <c r="TZS1529"/>
      <c r="TZT1529"/>
      <c r="TZU1529"/>
      <c r="TZV1529"/>
      <c r="TZW1529"/>
      <c r="TZX1529"/>
      <c r="TZY1529"/>
      <c r="TZZ1529"/>
      <c r="UAA1529"/>
      <c r="UAB1529"/>
      <c r="UAC1529"/>
      <c r="UAD1529"/>
      <c r="UAE1529"/>
      <c r="UAF1529"/>
      <c r="UAG1529"/>
      <c r="UAH1529"/>
      <c r="UAI1529"/>
      <c r="UAJ1529"/>
      <c r="UAK1529"/>
      <c r="UAL1529"/>
      <c r="UAM1529"/>
      <c r="UAN1529"/>
      <c r="UAO1529"/>
      <c r="UAP1529"/>
      <c r="UAQ1529"/>
      <c r="UAR1529"/>
      <c r="UAS1529"/>
      <c r="UAT1529"/>
      <c r="UAU1529"/>
      <c r="UAV1529"/>
      <c r="UAW1529"/>
      <c r="UAX1529"/>
      <c r="UAY1529"/>
      <c r="UAZ1529"/>
      <c r="UBA1529"/>
      <c r="UBB1529"/>
      <c r="UBC1529"/>
      <c r="UBD1529"/>
      <c r="UBE1529"/>
      <c r="UBF1529"/>
      <c r="UBG1529"/>
      <c r="UBH1529"/>
      <c r="UBI1529"/>
      <c r="UBJ1529"/>
      <c r="UBK1529"/>
      <c r="UBL1529"/>
      <c r="UBM1529"/>
      <c r="UBN1529"/>
      <c r="UBO1529"/>
      <c r="UBP1529"/>
      <c r="UBQ1529"/>
      <c r="UBR1529"/>
      <c r="UBS1529"/>
      <c r="UBT1529"/>
      <c r="UBU1529"/>
      <c r="UBV1529"/>
      <c r="UBW1529"/>
      <c r="UBX1529"/>
      <c r="UBY1529"/>
      <c r="UBZ1529"/>
      <c r="UCA1529"/>
      <c r="UCB1529"/>
      <c r="UCC1529"/>
      <c r="UCD1529"/>
      <c r="UCE1529"/>
      <c r="UCF1529"/>
      <c r="UCG1529"/>
      <c r="UCH1529"/>
      <c r="UCI1529"/>
      <c r="UCJ1529"/>
      <c r="UCK1529"/>
      <c r="UCL1529"/>
      <c r="UCM1529"/>
      <c r="UCN1529"/>
      <c r="UCO1529"/>
      <c r="UCP1529"/>
      <c r="UCQ1529"/>
      <c r="UCR1529"/>
      <c r="UCS1529"/>
      <c r="UCT1529"/>
      <c r="UCU1529"/>
      <c r="UCV1529"/>
      <c r="UCW1529"/>
      <c r="UCX1529"/>
      <c r="UCY1529"/>
      <c r="UCZ1529"/>
      <c r="UDA1529"/>
      <c r="UDB1529"/>
      <c r="UDC1529"/>
      <c r="UDD1529"/>
      <c r="UDE1529"/>
      <c r="UDF1529"/>
      <c r="UDG1529"/>
      <c r="UDH1529"/>
      <c r="UDI1529"/>
      <c r="UDJ1529"/>
      <c r="UDK1529"/>
      <c r="UDL1529"/>
      <c r="UDM1529"/>
      <c r="UDN1529"/>
      <c r="UDO1529"/>
      <c r="UDP1529"/>
      <c r="UDQ1529"/>
      <c r="UDR1529"/>
      <c r="UDS1529"/>
      <c r="UDT1529"/>
      <c r="UDU1529"/>
      <c r="UDV1529"/>
      <c r="UDW1529"/>
      <c r="UDX1529"/>
      <c r="UDY1529"/>
      <c r="UDZ1529"/>
      <c r="UEA1529"/>
      <c r="UEB1529"/>
      <c r="UEC1529"/>
      <c r="UED1529"/>
      <c r="UEE1529"/>
      <c r="UEF1529"/>
      <c r="UEG1529"/>
      <c r="UEH1529"/>
      <c r="UEI1529"/>
      <c r="UEJ1529"/>
      <c r="UEK1529"/>
      <c r="UEL1529"/>
      <c r="UEM1529"/>
      <c r="UEN1529"/>
      <c r="UEO1529"/>
      <c r="UEP1529"/>
      <c r="UEQ1529"/>
      <c r="UER1529"/>
      <c r="UES1529"/>
      <c r="UET1529"/>
      <c r="UEU1529"/>
      <c r="UEV1529"/>
      <c r="UEW1529"/>
      <c r="UEX1529"/>
      <c r="UEY1529"/>
      <c r="UEZ1529"/>
      <c r="UFA1529"/>
      <c r="UFB1529"/>
      <c r="UFC1529"/>
      <c r="UFD1529"/>
      <c r="UFE1529"/>
      <c r="UFF1529"/>
      <c r="UFG1529"/>
      <c r="UFH1529"/>
      <c r="UFI1529"/>
      <c r="UFJ1529"/>
      <c r="UFK1529"/>
      <c r="UFL1529"/>
      <c r="UFM1529"/>
      <c r="UFN1529"/>
      <c r="UFO1529"/>
      <c r="UFP1529"/>
      <c r="UFQ1529"/>
      <c r="UFR1529"/>
      <c r="UFS1529"/>
      <c r="UFT1529"/>
      <c r="UFU1529"/>
      <c r="UFV1529"/>
      <c r="UFW1529"/>
      <c r="UFX1529"/>
      <c r="UFY1529"/>
      <c r="UFZ1529"/>
      <c r="UGA1529"/>
      <c r="UGB1529"/>
      <c r="UGC1529"/>
      <c r="UGD1529"/>
      <c r="UGE1529"/>
      <c r="UGF1529"/>
      <c r="UGG1529"/>
      <c r="UGH1529"/>
      <c r="UGI1529"/>
      <c r="UGJ1529"/>
      <c r="UGK1529"/>
      <c r="UGL1529"/>
      <c r="UGM1529"/>
      <c r="UGN1529"/>
      <c r="UGO1529"/>
      <c r="UGP1529"/>
      <c r="UGQ1529"/>
      <c r="UGR1529"/>
      <c r="UGS1529"/>
      <c r="UGT1529"/>
      <c r="UGU1529"/>
      <c r="UGV1529"/>
      <c r="UGW1529"/>
      <c r="UGX1529"/>
      <c r="UGY1529"/>
      <c r="UGZ1529"/>
      <c r="UHA1529"/>
      <c r="UHB1529"/>
      <c r="UHC1529"/>
      <c r="UHD1529"/>
      <c r="UHE1529"/>
      <c r="UHF1529"/>
      <c r="UHG1529"/>
      <c r="UHH1529"/>
      <c r="UHI1529"/>
      <c r="UHJ1529"/>
      <c r="UHK1529"/>
      <c r="UHL1529"/>
      <c r="UHM1529"/>
      <c r="UHN1529"/>
      <c r="UHO1529"/>
      <c r="UHP1529"/>
      <c r="UHQ1529"/>
      <c r="UHR1529"/>
      <c r="UHS1529"/>
      <c r="UHT1529"/>
      <c r="UHU1529"/>
      <c r="UHV1529"/>
      <c r="UHW1529"/>
      <c r="UHX1529"/>
      <c r="UHY1529"/>
      <c r="UHZ1529"/>
      <c r="UIA1529"/>
      <c r="UIB1529"/>
      <c r="UIC1529"/>
      <c r="UID1529"/>
      <c r="UIE1529"/>
      <c r="UIF1529"/>
      <c r="UIG1529"/>
      <c r="UIH1529"/>
      <c r="UII1529"/>
      <c r="UIJ1529"/>
      <c r="UIK1529"/>
      <c r="UIL1529"/>
      <c r="UIM1529"/>
      <c r="UIN1529"/>
      <c r="UIO1529"/>
      <c r="UIP1529"/>
      <c r="UIQ1529"/>
      <c r="UIR1529"/>
      <c r="UIS1529"/>
      <c r="UIT1529"/>
      <c r="UIU1529"/>
      <c r="UIV1529"/>
      <c r="UIW1529"/>
      <c r="UIX1529"/>
      <c r="UIY1529"/>
      <c r="UIZ1529"/>
      <c r="UJA1529"/>
      <c r="UJB1529"/>
      <c r="UJC1529"/>
      <c r="UJD1529"/>
      <c r="UJE1529"/>
      <c r="UJF1529"/>
      <c r="UJG1529"/>
      <c r="UJH1529"/>
      <c r="UJI1529"/>
      <c r="UJJ1529"/>
      <c r="UJK1529"/>
      <c r="UJL1529"/>
      <c r="UJM1529"/>
      <c r="UJN1529"/>
      <c r="UJO1529"/>
      <c r="UJP1529"/>
      <c r="UJQ1529"/>
      <c r="UJR1529"/>
      <c r="UJS1529"/>
      <c r="UJT1529"/>
      <c r="UJU1529"/>
      <c r="UJV1529"/>
      <c r="UJW1529"/>
      <c r="UJX1529"/>
      <c r="UJY1529"/>
      <c r="UJZ1529"/>
      <c r="UKA1529"/>
      <c r="UKB1529"/>
      <c r="UKC1529"/>
      <c r="UKD1529"/>
      <c r="UKE1529"/>
      <c r="UKF1529"/>
      <c r="UKG1529"/>
      <c r="UKH1529"/>
      <c r="UKI1529"/>
      <c r="UKJ1529"/>
      <c r="UKK1529"/>
      <c r="UKL1529"/>
      <c r="UKM1529"/>
      <c r="UKN1529"/>
      <c r="UKO1529"/>
      <c r="UKP1529"/>
      <c r="UKQ1529"/>
      <c r="UKR1529"/>
      <c r="UKS1529"/>
      <c r="UKT1529"/>
      <c r="UKU1529"/>
      <c r="UKV1529"/>
      <c r="UKW1529"/>
      <c r="UKX1529"/>
      <c r="UKY1529"/>
      <c r="UKZ1529"/>
      <c r="ULA1529"/>
      <c r="ULB1529"/>
      <c r="ULC1529"/>
      <c r="ULD1529"/>
      <c r="ULE1529"/>
      <c r="ULF1529"/>
      <c r="ULG1529"/>
      <c r="ULH1529"/>
      <c r="ULI1529"/>
      <c r="ULJ1529"/>
      <c r="ULK1529"/>
      <c r="ULL1529"/>
      <c r="ULM1529"/>
      <c r="ULN1529"/>
      <c r="ULO1529"/>
      <c r="ULP1529"/>
      <c r="ULQ1529"/>
      <c r="ULR1529"/>
      <c r="ULS1529"/>
      <c r="ULT1529"/>
      <c r="ULU1529"/>
      <c r="ULV1529"/>
      <c r="ULW1529"/>
      <c r="ULX1529"/>
      <c r="ULY1529"/>
      <c r="ULZ1529"/>
      <c r="UMA1529"/>
      <c r="UMB1529"/>
      <c r="UMC1529"/>
      <c r="UMD1529"/>
      <c r="UME1529"/>
      <c r="UMF1529"/>
      <c r="UMG1529"/>
      <c r="UMH1529"/>
      <c r="UMI1529"/>
      <c r="UMJ1529"/>
      <c r="UMK1529"/>
      <c r="UML1529"/>
      <c r="UMM1529"/>
      <c r="UMN1529"/>
      <c r="UMO1529"/>
      <c r="UMP1529"/>
      <c r="UMQ1529"/>
      <c r="UMR1529"/>
      <c r="UMS1529"/>
      <c r="UMT1529"/>
      <c r="UMU1529"/>
      <c r="UMV1529"/>
      <c r="UMW1529"/>
      <c r="UMX1529"/>
      <c r="UMY1529"/>
      <c r="UMZ1529"/>
      <c r="UNA1529"/>
      <c r="UNB1529"/>
      <c r="UNC1529"/>
      <c r="UND1529"/>
      <c r="UNE1529"/>
      <c r="UNF1529"/>
      <c r="UNG1529"/>
      <c r="UNH1529"/>
      <c r="UNI1529"/>
      <c r="UNJ1529"/>
      <c r="UNK1529"/>
      <c r="UNL1529"/>
      <c r="UNM1529"/>
      <c r="UNN1529"/>
      <c r="UNO1529"/>
      <c r="UNP1529"/>
      <c r="UNQ1529"/>
      <c r="UNR1529"/>
      <c r="UNS1529"/>
      <c r="UNT1529"/>
      <c r="UNU1529"/>
      <c r="UNV1529"/>
      <c r="UNW1529"/>
      <c r="UNX1529"/>
      <c r="UNY1529"/>
      <c r="UNZ1529"/>
      <c r="UOA1529"/>
      <c r="UOB1529"/>
      <c r="UOC1529"/>
      <c r="UOD1529"/>
      <c r="UOE1529"/>
      <c r="UOF1529"/>
      <c r="UOG1529"/>
      <c r="UOH1529"/>
      <c r="UOI1529"/>
      <c r="UOJ1529"/>
      <c r="UOK1529"/>
      <c r="UOL1529"/>
      <c r="UOM1529"/>
      <c r="UON1529"/>
      <c r="UOO1529"/>
      <c r="UOP1529"/>
      <c r="UOQ1529"/>
      <c r="UOR1529"/>
      <c r="UOS1529"/>
      <c r="UOT1529"/>
      <c r="UOU1529"/>
      <c r="UOV1529"/>
      <c r="UOW1529"/>
      <c r="UOX1529"/>
      <c r="UOY1529"/>
      <c r="UOZ1529"/>
      <c r="UPA1529"/>
      <c r="UPB1529"/>
      <c r="UPC1529"/>
      <c r="UPD1529"/>
      <c r="UPE1529"/>
      <c r="UPF1529"/>
      <c r="UPG1529"/>
      <c r="UPH1529"/>
      <c r="UPI1529"/>
      <c r="UPJ1529"/>
      <c r="UPK1529"/>
      <c r="UPL1529"/>
      <c r="UPM1529"/>
      <c r="UPN1529"/>
      <c r="UPO1529"/>
      <c r="UPP1529"/>
      <c r="UPQ1529"/>
      <c r="UPR1529"/>
      <c r="UPS1529"/>
      <c r="UPT1529"/>
      <c r="UPU1529"/>
      <c r="UPV1529"/>
      <c r="UPW1529"/>
      <c r="UPX1529"/>
      <c r="UPY1529"/>
      <c r="UPZ1529"/>
      <c r="UQA1529"/>
      <c r="UQB1529"/>
      <c r="UQC1529"/>
      <c r="UQD1529"/>
      <c r="UQE1529"/>
      <c r="UQF1529"/>
      <c r="UQG1529"/>
      <c r="UQH1529"/>
      <c r="UQI1529"/>
      <c r="UQJ1529"/>
      <c r="UQK1529"/>
      <c r="UQL1529"/>
      <c r="UQM1529"/>
      <c r="UQN1529"/>
      <c r="UQO1529"/>
      <c r="UQP1529"/>
      <c r="UQQ1529"/>
      <c r="UQR1529"/>
      <c r="UQS1529"/>
      <c r="UQT1529"/>
      <c r="UQU1529"/>
      <c r="UQV1529"/>
      <c r="UQW1529"/>
      <c r="UQX1529"/>
      <c r="UQY1529"/>
      <c r="UQZ1529"/>
      <c r="URA1529"/>
      <c r="URB1529"/>
      <c r="URC1529"/>
      <c r="URD1529"/>
      <c r="URE1529"/>
      <c r="URF1529"/>
      <c r="URG1529"/>
      <c r="URH1529"/>
      <c r="URI1529"/>
      <c r="URJ1529"/>
      <c r="URK1529"/>
      <c r="URL1529"/>
      <c r="URM1529"/>
      <c r="URN1529"/>
      <c r="URO1529"/>
      <c r="URP1529"/>
      <c r="URQ1529"/>
      <c r="URR1529"/>
      <c r="URS1529"/>
      <c r="URT1529"/>
      <c r="URU1529"/>
      <c r="URV1529"/>
      <c r="URW1529"/>
      <c r="URX1529"/>
      <c r="URY1529"/>
      <c r="URZ1529"/>
      <c r="USA1529"/>
      <c r="USB1529"/>
      <c r="USC1529"/>
      <c r="USD1529"/>
      <c r="USE1529"/>
      <c r="USF1529"/>
      <c r="USG1529"/>
      <c r="USH1529"/>
      <c r="USI1529"/>
      <c r="USJ1529"/>
      <c r="USK1529"/>
      <c r="USL1529"/>
      <c r="USM1529"/>
      <c r="USN1529"/>
      <c r="USO1529"/>
      <c r="USP1529"/>
      <c r="USQ1529"/>
      <c r="USR1529"/>
      <c r="USS1529"/>
      <c r="UST1529"/>
      <c r="USU1529"/>
      <c r="USV1529"/>
      <c r="USW1529"/>
      <c r="USX1529"/>
      <c r="USY1529"/>
      <c r="USZ1529"/>
      <c r="UTA1529"/>
      <c r="UTB1529"/>
      <c r="UTC1529"/>
      <c r="UTD1529"/>
      <c r="UTE1529"/>
      <c r="UTF1529"/>
      <c r="UTG1529"/>
      <c r="UTH1529"/>
      <c r="UTI1529"/>
      <c r="UTJ1529"/>
      <c r="UTK1529"/>
      <c r="UTL1529"/>
      <c r="UTM1529"/>
      <c r="UTN1529"/>
      <c r="UTO1529"/>
      <c r="UTP1529"/>
      <c r="UTQ1529"/>
      <c r="UTR1529"/>
      <c r="UTS1529"/>
      <c r="UTT1529"/>
      <c r="UTU1529"/>
      <c r="UTV1529"/>
      <c r="UTW1529"/>
      <c r="UTX1529"/>
      <c r="UTY1529"/>
      <c r="UTZ1529"/>
      <c r="UUA1529"/>
      <c r="UUB1529"/>
      <c r="UUC1529"/>
      <c r="UUD1529"/>
      <c r="UUE1529"/>
      <c r="UUF1529"/>
      <c r="UUG1529"/>
      <c r="UUH1529"/>
      <c r="UUI1529"/>
      <c r="UUJ1529"/>
      <c r="UUK1529"/>
      <c r="UUL1529"/>
      <c r="UUM1529"/>
      <c r="UUN1529"/>
      <c r="UUO1529"/>
      <c r="UUP1529"/>
      <c r="UUQ1529"/>
      <c r="UUR1529"/>
      <c r="UUS1529"/>
      <c r="UUT1529"/>
      <c r="UUU1529"/>
      <c r="UUV1529"/>
      <c r="UUW1529"/>
      <c r="UUX1529"/>
      <c r="UUY1529"/>
      <c r="UUZ1529"/>
      <c r="UVA1529"/>
      <c r="UVB1529"/>
      <c r="UVC1529"/>
      <c r="UVD1529"/>
      <c r="UVE1529"/>
      <c r="UVF1529"/>
      <c r="UVG1529"/>
      <c r="UVH1529"/>
      <c r="UVI1529"/>
      <c r="UVJ1529"/>
      <c r="UVK1529"/>
      <c r="UVL1529"/>
      <c r="UVM1529"/>
      <c r="UVN1529"/>
      <c r="UVO1529"/>
      <c r="UVP1529"/>
      <c r="UVQ1529"/>
      <c r="UVR1529"/>
      <c r="UVS1529"/>
      <c r="UVT1529"/>
      <c r="UVU1529"/>
      <c r="UVV1529"/>
      <c r="UVW1529"/>
      <c r="UVX1529"/>
      <c r="UVY1529"/>
      <c r="UVZ1529"/>
      <c r="UWA1529"/>
      <c r="UWB1529"/>
      <c r="UWC1529"/>
      <c r="UWD1529"/>
      <c r="UWE1529"/>
      <c r="UWF1529"/>
      <c r="UWG1529"/>
      <c r="UWH1529"/>
      <c r="UWI1529"/>
      <c r="UWJ1529"/>
      <c r="UWK1529"/>
      <c r="UWL1529"/>
      <c r="UWM1529"/>
      <c r="UWN1529"/>
      <c r="UWO1529"/>
      <c r="UWP1529"/>
      <c r="UWQ1529"/>
      <c r="UWR1529"/>
      <c r="UWS1529"/>
      <c r="UWT1529"/>
      <c r="UWU1529"/>
      <c r="UWV1529"/>
      <c r="UWW1529"/>
      <c r="UWX1529"/>
      <c r="UWY1529"/>
      <c r="UWZ1529"/>
      <c r="UXA1529"/>
      <c r="UXB1529"/>
      <c r="UXC1529"/>
      <c r="UXD1529"/>
      <c r="UXE1529"/>
      <c r="UXF1529"/>
      <c r="UXG1529"/>
      <c r="UXH1529"/>
      <c r="UXI1529"/>
      <c r="UXJ1529"/>
      <c r="UXK1529"/>
      <c r="UXL1529"/>
      <c r="UXM1529"/>
      <c r="UXN1529"/>
      <c r="UXO1529"/>
      <c r="UXP1529"/>
      <c r="UXQ1529"/>
      <c r="UXR1529"/>
      <c r="UXS1529"/>
      <c r="UXT1529"/>
      <c r="UXU1529"/>
      <c r="UXV1529"/>
      <c r="UXW1529"/>
      <c r="UXX1529"/>
      <c r="UXY1529"/>
      <c r="UXZ1529"/>
      <c r="UYA1529"/>
      <c r="UYB1529"/>
      <c r="UYC1529"/>
      <c r="UYD1529"/>
      <c r="UYE1529"/>
      <c r="UYF1529"/>
      <c r="UYG1529"/>
      <c r="UYH1529"/>
      <c r="UYI1529"/>
      <c r="UYJ1529"/>
      <c r="UYK1529"/>
      <c r="UYL1529"/>
      <c r="UYM1529"/>
      <c r="UYN1529"/>
      <c r="UYO1529"/>
      <c r="UYP1529"/>
      <c r="UYQ1529"/>
      <c r="UYR1529"/>
      <c r="UYS1529"/>
      <c r="UYT1529"/>
      <c r="UYU1529"/>
      <c r="UYV1529"/>
      <c r="UYW1529"/>
      <c r="UYX1529"/>
      <c r="UYY1529"/>
      <c r="UYZ1529"/>
      <c r="UZA1529"/>
      <c r="UZB1529"/>
      <c r="UZC1529"/>
      <c r="UZD1529"/>
      <c r="UZE1529"/>
      <c r="UZF1529"/>
      <c r="UZG1529"/>
      <c r="UZH1529"/>
      <c r="UZI1529"/>
      <c r="UZJ1529"/>
      <c r="UZK1529"/>
      <c r="UZL1529"/>
      <c r="UZM1529"/>
      <c r="UZN1529"/>
      <c r="UZO1529"/>
      <c r="UZP1529"/>
      <c r="UZQ1529"/>
      <c r="UZR1529"/>
      <c r="UZS1529"/>
      <c r="UZT1529"/>
      <c r="UZU1529"/>
      <c r="UZV1529"/>
      <c r="UZW1529"/>
      <c r="UZX1529"/>
      <c r="UZY1529"/>
      <c r="UZZ1529"/>
      <c r="VAA1529"/>
      <c r="VAB1529"/>
      <c r="VAC1529"/>
      <c r="VAD1529"/>
      <c r="VAE1529"/>
      <c r="VAF1529"/>
      <c r="VAG1529"/>
      <c r="VAH1529"/>
      <c r="VAI1529"/>
      <c r="VAJ1529"/>
      <c r="VAK1529"/>
      <c r="VAL1529"/>
      <c r="VAM1529"/>
      <c r="VAN1529"/>
      <c r="VAO1529"/>
      <c r="VAP1529"/>
      <c r="VAQ1529"/>
      <c r="VAR1529"/>
      <c r="VAS1529"/>
      <c r="VAT1529"/>
      <c r="VAU1529"/>
      <c r="VAV1529"/>
      <c r="VAW1529"/>
      <c r="VAX1529"/>
      <c r="VAY1529"/>
      <c r="VAZ1529"/>
      <c r="VBA1529"/>
      <c r="VBB1529"/>
      <c r="VBC1529"/>
      <c r="VBD1529"/>
      <c r="VBE1529"/>
      <c r="VBF1529"/>
      <c r="VBG1529"/>
      <c r="VBH1529"/>
      <c r="VBI1529"/>
      <c r="VBJ1529"/>
      <c r="VBK1529"/>
      <c r="VBL1529"/>
      <c r="VBM1529"/>
      <c r="VBN1529"/>
      <c r="VBO1529"/>
      <c r="VBP1529"/>
      <c r="VBQ1529"/>
      <c r="VBR1529"/>
      <c r="VBS1529"/>
      <c r="VBT1529"/>
      <c r="VBU1529"/>
      <c r="VBV1529"/>
      <c r="VBW1529"/>
      <c r="VBX1529"/>
      <c r="VBY1529"/>
      <c r="VBZ1529"/>
      <c r="VCA1529"/>
      <c r="VCB1529"/>
      <c r="VCC1529"/>
      <c r="VCD1529"/>
      <c r="VCE1529"/>
      <c r="VCF1529"/>
      <c r="VCG1529"/>
      <c r="VCH1529"/>
      <c r="VCI1529"/>
      <c r="VCJ1529"/>
      <c r="VCK1529"/>
      <c r="VCL1529"/>
      <c r="VCM1529"/>
      <c r="VCN1529"/>
      <c r="VCO1529"/>
      <c r="VCP1529"/>
      <c r="VCQ1529"/>
      <c r="VCR1529"/>
      <c r="VCS1529"/>
      <c r="VCT1529"/>
      <c r="VCU1529"/>
      <c r="VCV1529"/>
      <c r="VCW1529"/>
      <c r="VCX1529"/>
      <c r="VCY1529"/>
      <c r="VCZ1529"/>
      <c r="VDA1529"/>
      <c r="VDB1529"/>
      <c r="VDC1529"/>
      <c r="VDD1529"/>
      <c r="VDE1529"/>
      <c r="VDF1529"/>
      <c r="VDG1529"/>
      <c r="VDH1529"/>
      <c r="VDI1529"/>
      <c r="VDJ1529"/>
      <c r="VDK1529"/>
      <c r="VDL1529"/>
      <c r="VDM1529"/>
      <c r="VDN1529"/>
      <c r="VDO1529"/>
      <c r="VDP1529"/>
      <c r="VDQ1529"/>
      <c r="VDR1529"/>
      <c r="VDS1529"/>
      <c r="VDT1529"/>
      <c r="VDU1529"/>
      <c r="VDV1529"/>
      <c r="VDW1529"/>
      <c r="VDX1529"/>
      <c r="VDY1529"/>
      <c r="VDZ1529"/>
      <c r="VEA1529"/>
      <c r="VEB1529"/>
      <c r="VEC1529"/>
      <c r="VED1529"/>
      <c r="VEE1529"/>
      <c r="VEF1529"/>
      <c r="VEG1529"/>
      <c r="VEH1529"/>
      <c r="VEI1529"/>
      <c r="VEJ1529"/>
      <c r="VEK1529"/>
      <c r="VEL1529"/>
      <c r="VEM1529"/>
      <c r="VEN1529"/>
      <c r="VEO1529"/>
      <c r="VEP1529"/>
      <c r="VEQ1529"/>
      <c r="VER1529"/>
      <c r="VES1529"/>
      <c r="VET1529"/>
      <c r="VEU1529"/>
      <c r="VEV1529"/>
      <c r="VEW1529"/>
      <c r="VEX1529"/>
      <c r="VEY1529"/>
      <c r="VEZ1529"/>
      <c r="VFA1529"/>
      <c r="VFB1529"/>
      <c r="VFC1529"/>
      <c r="VFD1529"/>
      <c r="VFE1529"/>
      <c r="VFF1529"/>
      <c r="VFG1529"/>
      <c r="VFH1529"/>
      <c r="VFI1529"/>
      <c r="VFJ1529"/>
      <c r="VFK1529"/>
      <c r="VFL1529"/>
      <c r="VFM1529"/>
      <c r="VFN1529"/>
      <c r="VFO1529"/>
      <c r="VFP1529"/>
      <c r="VFQ1529"/>
      <c r="VFR1529"/>
      <c r="VFS1529"/>
      <c r="VFT1529"/>
      <c r="VFU1529"/>
      <c r="VFV1529"/>
      <c r="VFW1529"/>
      <c r="VFX1529"/>
      <c r="VFY1529"/>
      <c r="VFZ1529"/>
      <c r="VGA1529"/>
      <c r="VGB1529"/>
      <c r="VGC1529"/>
      <c r="VGD1529"/>
      <c r="VGE1529"/>
      <c r="VGF1529"/>
      <c r="VGG1529"/>
      <c r="VGH1529"/>
      <c r="VGI1529"/>
      <c r="VGJ1529"/>
      <c r="VGK1529"/>
      <c r="VGL1529"/>
      <c r="VGM1529"/>
      <c r="VGN1529"/>
      <c r="VGO1529"/>
      <c r="VGP1529"/>
      <c r="VGQ1529"/>
      <c r="VGR1529"/>
      <c r="VGS1529"/>
      <c r="VGT1529"/>
      <c r="VGU1529"/>
      <c r="VGV1529"/>
      <c r="VGW1529"/>
      <c r="VGX1529"/>
      <c r="VGY1529"/>
      <c r="VGZ1529"/>
      <c r="VHA1529"/>
      <c r="VHB1529"/>
      <c r="VHC1529"/>
      <c r="VHD1529"/>
      <c r="VHE1529"/>
      <c r="VHF1529"/>
      <c r="VHG1529"/>
      <c r="VHH1529"/>
      <c r="VHI1529"/>
      <c r="VHJ1529"/>
      <c r="VHK1529"/>
      <c r="VHL1529"/>
      <c r="VHM1529"/>
      <c r="VHN1529"/>
      <c r="VHO1529"/>
      <c r="VHP1529"/>
      <c r="VHQ1529"/>
      <c r="VHR1529"/>
      <c r="VHS1529"/>
      <c r="VHT1529"/>
      <c r="VHU1529"/>
      <c r="VHV1529"/>
      <c r="VHW1529"/>
      <c r="VHX1529"/>
      <c r="VHY1529"/>
      <c r="VHZ1529"/>
      <c r="VIA1529"/>
      <c r="VIB1529"/>
      <c r="VIC1529"/>
      <c r="VID1529"/>
      <c r="VIE1529"/>
      <c r="VIF1529"/>
      <c r="VIG1529"/>
      <c r="VIH1529"/>
      <c r="VII1529"/>
      <c r="VIJ1529"/>
      <c r="VIK1529"/>
      <c r="VIL1529"/>
      <c r="VIM1529"/>
      <c r="VIN1529"/>
      <c r="VIO1529"/>
      <c r="VIP1529"/>
      <c r="VIQ1529"/>
      <c r="VIR1529"/>
      <c r="VIS1529"/>
      <c r="VIT1529"/>
      <c r="VIU1529"/>
      <c r="VIV1529"/>
      <c r="VIW1529"/>
      <c r="VIX1529"/>
      <c r="VIY1529"/>
      <c r="VIZ1529"/>
      <c r="VJA1529"/>
      <c r="VJB1529"/>
      <c r="VJC1529"/>
      <c r="VJD1529"/>
      <c r="VJE1529"/>
      <c r="VJF1529"/>
      <c r="VJG1529"/>
      <c r="VJH1529"/>
      <c r="VJI1529"/>
      <c r="VJJ1529"/>
      <c r="VJK1529"/>
      <c r="VJL1529"/>
      <c r="VJM1529"/>
      <c r="VJN1529"/>
      <c r="VJO1529"/>
      <c r="VJP1529"/>
      <c r="VJQ1529"/>
      <c r="VJR1529"/>
      <c r="VJS1529"/>
      <c r="VJT1529"/>
      <c r="VJU1529"/>
      <c r="VJV1529"/>
      <c r="VJW1529"/>
      <c r="VJX1529"/>
      <c r="VJY1529"/>
      <c r="VJZ1529"/>
      <c r="VKA1529"/>
      <c r="VKB1529"/>
      <c r="VKC1529"/>
      <c r="VKD1529"/>
      <c r="VKE1529"/>
      <c r="VKF1529"/>
      <c r="VKG1529"/>
      <c r="VKH1529"/>
      <c r="VKI1529"/>
      <c r="VKJ1529"/>
      <c r="VKK1529"/>
      <c r="VKL1529"/>
      <c r="VKM1529"/>
      <c r="VKN1529"/>
      <c r="VKO1529"/>
      <c r="VKP1529"/>
      <c r="VKQ1529"/>
      <c r="VKR1529"/>
      <c r="VKS1529"/>
      <c r="VKT1529"/>
      <c r="VKU1529"/>
      <c r="VKV1529"/>
      <c r="VKW1529"/>
      <c r="VKX1529"/>
      <c r="VKY1529"/>
      <c r="VKZ1529"/>
      <c r="VLA1529"/>
      <c r="VLB1529"/>
      <c r="VLC1529"/>
      <c r="VLD1529"/>
      <c r="VLE1529"/>
      <c r="VLF1529"/>
      <c r="VLG1529"/>
      <c r="VLH1529"/>
      <c r="VLI1529"/>
      <c r="VLJ1529"/>
      <c r="VLK1529"/>
      <c r="VLL1529"/>
      <c r="VLM1529"/>
      <c r="VLN1529"/>
      <c r="VLO1529"/>
      <c r="VLP1529"/>
      <c r="VLQ1529"/>
      <c r="VLR1529"/>
      <c r="VLS1529"/>
      <c r="VLT1529"/>
      <c r="VLU1529"/>
      <c r="VLV1529"/>
      <c r="VLW1529"/>
      <c r="VLX1529"/>
      <c r="VLY1529"/>
      <c r="VLZ1529"/>
      <c r="VMA1529"/>
      <c r="VMB1529"/>
      <c r="VMC1529"/>
      <c r="VMD1529"/>
      <c r="VME1529"/>
      <c r="VMF1529"/>
      <c r="VMG1529"/>
      <c r="VMH1529"/>
      <c r="VMI1529"/>
      <c r="VMJ1529"/>
      <c r="VMK1529"/>
      <c r="VML1529"/>
      <c r="VMM1529"/>
      <c r="VMN1529"/>
      <c r="VMO1529"/>
      <c r="VMP1529"/>
      <c r="VMQ1529"/>
      <c r="VMR1529"/>
      <c r="VMS1529"/>
      <c r="VMT1529"/>
      <c r="VMU1529"/>
      <c r="VMV1529"/>
      <c r="VMW1529"/>
      <c r="VMX1529"/>
      <c r="VMY1529"/>
      <c r="VMZ1529"/>
      <c r="VNA1529"/>
      <c r="VNB1529"/>
      <c r="VNC1529"/>
      <c r="VND1529"/>
      <c r="VNE1529"/>
      <c r="VNF1529"/>
      <c r="VNG1529"/>
      <c r="VNH1529"/>
      <c r="VNI1529"/>
      <c r="VNJ1529"/>
      <c r="VNK1529"/>
      <c r="VNL1529"/>
      <c r="VNM1529"/>
      <c r="VNN1529"/>
      <c r="VNO1529"/>
      <c r="VNP1529"/>
      <c r="VNQ1529"/>
      <c r="VNR1529"/>
      <c r="VNS1529"/>
      <c r="VNT1529"/>
      <c r="VNU1529"/>
      <c r="VNV1529"/>
      <c r="VNW1529"/>
      <c r="VNX1529"/>
      <c r="VNY1529"/>
      <c r="VNZ1529"/>
      <c r="VOA1529"/>
      <c r="VOB1529"/>
      <c r="VOC1529"/>
      <c r="VOD1529"/>
      <c r="VOE1529"/>
      <c r="VOF1529"/>
      <c r="VOG1529"/>
      <c r="VOH1529"/>
      <c r="VOI1529"/>
      <c r="VOJ1529"/>
      <c r="VOK1529"/>
      <c r="VOL1529"/>
      <c r="VOM1529"/>
      <c r="VON1529"/>
      <c r="VOO1529"/>
      <c r="VOP1529"/>
      <c r="VOQ1529"/>
      <c r="VOR1529"/>
      <c r="VOS1529"/>
      <c r="VOT1529"/>
      <c r="VOU1529"/>
      <c r="VOV1529"/>
      <c r="VOW1529"/>
      <c r="VOX1529"/>
      <c r="VOY1529"/>
      <c r="VOZ1529"/>
      <c r="VPA1529"/>
      <c r="VPB1529"/>
      <c r="VPC1529"/>
      <c r="VPD1529"/>
      <c r="VPE1529"/>
      <c r="VPF1529"/>
      <c r="VPG1529"/>
      <c r="VPH1529"/>
      <c r="VPI1529"/>
      <c r="VPJ1529"/>
      <c r="VPK1529"/>
      <c r="VPL1529"/>
      <c r="VPM1529"/>
      <c r="VPN1529"/>
      <c r="VPO1529"/>
      <c r="VPP1529"/>
      <c r="VPQ1529"/>
      <c r="VPR1529"/>
      <c r="VPS1529"/>
      <c r="VPT1529"/>
      <c r="VPU1529"/>
      <c r="VPV1529"/>
      <c r="VPW1529"/>
      <c r="VPX1529"/>
      <c r="VPY1529"/>
      <c r="VPZ1529"/>
      <c r="VQA1529"/>
      <c r="VQB1529"/>
      <c r="VQC1529"/>
      <c r="VQD1529"/>
      <c r="VQE1529"/>
      <c r="VQF1529"/>
      <c r="VQG1529"/>
      <c r="VQH1529"/>
      <c r="VQI1529"/>
      <c r="VQJ1529"/>
      <c r="VQK1529"/>
      <c r="VQL1529"/>
      <c r="VQM1529"/>
      <c r="VQN1529"/>
      <c r="VQO1529"/>
      <c r="VQP1529"/>
      <c r="VQQ1529"/>
      <c r="VQR1529"/>
      <c r="VQS1529"/>
      <c r="VQT1529"/>
      <c r="VQU1529"/>
      <c r="VQV1529"/>
      <c r="VQW1529"/>
      <c r="VQX1529"/>
      <c r="VQY1529"/>
      <c r="VQZ1529"/>
      <c r="VRA1529"/>
      <c r="VRB1529"/>
      <c r="VRC1529"/>
      <c r="VRD1529"/>
      <c r="VRE1529"/>
      <c r="VRF1529"/>
      <c r="VRG1529"/>
      <c r="VRH1529"/>
      <c r="VRI1529"/>
      <c r="VRJ1529"/>
      <c r="VRK1529"/>
      <c r="VRL1529"/>
      <c r="VRM1529"/>
      <c r="VRN1529"/>
      <c r="VRO1529"/>
      <c r="VRP1529"/>
      <c r="VRQ1529"/>
      <c r="VRR1529"/>
      <c r="VRS1529"/>
      <c r="VRT1529"/>
      <c r="VRU1529"/>
      <c r="VRV1529"/>
      <c r="VRW1529"/>
      <c r="VRX1529"/>
      <c r="VRY1529"/>
      <c r="VRZ1529"/>
      <c r="VSA1529"/>
      <c r="VSB1529"/>
      <c r="VSC1529"/>
      <c r="VSD1529"/>
      <c r="VSE1529"/>
      <c r="VSF1529"/>
      <c r="VSG1529"/>
      <c r="VSH1529"/>
      <c r="VSI1529"/>
      <c r="VSJ1529"/>
      <c r="VSK1529"/>
      <c r="VSL1529"/>
      <c r="VSM1529"/>
      <c r="VSN1529"/>
      <c r="VSO1529"/>
      <c r="VSP1529"/>
      <c r="VSQ1529"/>
      <c r="VSR1529"/>
      <c r="VSS1529"/>
      <c r="VST1529"/>
      <c r="VSU1529"/>
      <c r="VSV1529"/>
      <c r="VSW1529"/>
      <c r="VSX1529"/>
      <c r="VSY1529"/>
      <c r="VSZ1529"/>
      <c r="VTA1529"/>
      <c r="VTB1529"/>
      <c r="VTC1529"/>
      <c r="VTD1529"/>
      <c r="VTE1529"/>
      <c r="VTF1529"/>
      <c r="VTG1529"/>
      <c r="VTH1529"/>
      <c r="VTI1529"/>
      <c r="VTJ1529"/>
      <c r="VTK1529"/>
      <c r="VTL1529"/>
      <c r="VTM1529"/>
      <c r="VTN1529"/>
      <c r="VTO1529"/>
      <c r="VTP1529"/>
      <c r="VTQ1529"/>
      <c r="VTR1529"/>
      <c r="VTS1529"/>
      <c r="VTT1529"/>
      <c r="VTU1529"/>
      <c r="VTV1529"/>
      <c r="VTW1529"/>
      <c r="VTX1529"/>
      <c r="VTY1529"/>
      <c r="VTZ1529"/>
      <c r="VUA1529"/>
      <c r="VUB1529"/>
      <c r="VUC1529"/>
      <c r="VUD1529"/>
      <c r="VUE1529"/>
      <c r="VUF1529"/>
      <c r="VUG1529"/>
      <c r="VUH1529"/>
      <c r="VUI1529"/>
      <c r="VUJ1529"/>
      <c r="VUK1529"/>
      <c r="VUL1529"/>
      <c r="VUM1529"/>
      <c r="VUN1529"/>
      <c r="VUO1529"/>
      <c r="VUP1529"/>
      <c r="VUQ1529"/>
      <c r="VUR1529"/>
      <c r="VUS1529"/>
      <c r="VUT1529"/>
      <c r="VUU1529"/>
      <c r="VUV1529"/>
      <c r="VUW1529"/>
      <c r="VUX1529"/>
      <c r="VUY1529"/>
      <c r="VUZ1529"/>
      <c r="VVA1529"/>
      <c r="VVB1529"/>
      <c r="VVC1529"/>
      <c r="VVD1529"/>
      <c r="VVE1529"/>
      <c r="VVF1529"/>
      <c r="VVG1529"/>
      <c r="VVH1529"/>
      <c r="VVI1529"/>
      <c r="VVJ1529"/>
      <c r="VVK1529"/>
      <c r="VVL1529"/>
      <c r="VVM1529"/>
      <c r="VVN1529"/>
      <c r="VVO1529"/>
      <c r="VVP1529"/>
      <c r="VVQ1529"/>
      <c r="VVR1529"/>
      <c r="VVS1529"/>
      <c r="VVT1529"/>
      <c r="VVU1529"/>
      <c r="VVV1529"/>
      <c r="VVW1529"/>
      <c r="VVX1529"/>
      <c r="VVY1529"/>
      <c r="VVZ1529"/>
      <c r="VWA1529"/>
      <c r="VWB1529"/>
      <c r="VWC1529"/>
      <c r="VWD1529"/>
      <c r="VWE1529"/>
      <c r="VWF1529"/>
      <c r="VWG1529"/>
      <c r="VWH1529"/>
      <c r="VWI1529"/>
      <c r="VWJ1529"/>
      <c r="VWK1529"/>
      <c r="VWL1529"/>
      <c r="VWM1529"/>
      <c r="VWN1529"/>
      <c r="VWO1529"/>
      <c r="VWP1529"/>
      <c r="VWQ1529"/>
      <c r="VWR1529"/>
      <c r="VWS1529"/>
      <c r="VWT1529"/>
      <c r="VWU1529"/>
      <c r="VWV1529"/>
      <c r="VWW1529"/>
      <c r="VWX1529"/>
      <c r="VWY1529"/>
      <c r="VWZ1529"/>
      <c r="VXA1529"/>
      <c r="VXB1529"/>
      <c r="VXC1529"/>
      <c r="VXD1529"/>
      <c r="VXE1529"/>
      <c r="VXF1529"/>
      <c r="VXG1529"/>
      <c r="VXH1529"/>
      <c r="VXI1529"/>
      <c r="VXJ1529"/>
      <c r="VXK1529"/>
      <c r="VXL1529"/>
      <c r="VXM1529"/>
      <c r="VXN1529"/>
      <c r="VXO1529"/>
      <c r="VXP1529"/>
      <c r="VXQ1529"/>
      <c r="VXR1529"/>
      <c r="VXS1529"/>
      <c r="VXT1529"/>
      <c r="VXU1529"/>
      <c r="VXV1529"/>
      <c r="VXW1529"/>
      <c r="VXX1529"/>
      <c r="VXY1529"/>
      <c r="VXZ1529"/>
      <c r="VYA1529"/>
      <c r="VYB1529"/>
      <c r="VYC1529"/>
      <c r="VYD1529"/>
      <c r="VYE1529"/>
      <c r="VYF1529"/>
      <c r="VYG1529"/>
      <c r="VYH1529"/>
      <c r="VYI1529"/>
      <c r="VYJ1529"/>
      <c r="VYK1529"/>
      <c r="VYL1529"/>
      <c r="VYM1529"/>
      <c r="VYN1529"/>
      <c r="VYO1529"/>
      <c r="VYP1529"/>
      <c r="VYQ1529"/>
      <c r="VYR1529"/>
      <c r="VYS1529"/>
      <c r="VYT1529"/>
      <c r="VYU1529"/>
      <c r="VYV1529"/>
      <c r="VYW1529"/>
      <c r="VYX1529"/>
      <c r="VYY1529"/>
      <c r="VYZ1529"/>
      <c r="VZA1529"/>
      <c r="VZB1529"/>
      <c r="VZC1529"/>
      <c r="VZD1529"/>
      <c r="VZE1529"/>
      <c r="VZF1529"/>
      <c r="VZG1529"/>
      <c r="VZH1529"/>
      <c r="VZI1529"/>
      <c r="VZJ1529"/>
      <c r="VZK1529"/>
      <c r="VZL1529"/>
      <c r="VZM1529"/>
      <c r="VZN1529"/>
      <c r="VZO1529"/>
      <c r="VZP1529"/>
      <c r="VZQ1529"/>
      <c r="VZR1529"/>
      <c r="VZS1529"/>
      <c r="VZT1529"/>
      <c r="VZU1529"/>
      <c r="VZV1529"/>
      <c r="VZW1529"/>
      <c r="VZX1529"/>
      <c r="VZY1529"/>
      <c r="VZZ1529"/>
      <c r="WAA1529"/>
      <c r="WAB1529"/>
      <c r="WAC1529"/>
      <c r="WAD1529"/>
      <c r="WAE1529"/>
      <c r="WAF1529"/>
      <c r="WAG1529"/>
      <c r="WAH1529"/>
      <c r="WAI1529"/>
      <c r="WAJ1529"/>
      <c r="WAK1529"/>
      <c r="WAL1529"/>
      <c r="WAM1529"/>
      <c r="WAN1529"/>
      <c r="WAO1529"/>
      <c r="WAP1529"/>
      <c r="WAQ1529"/>
      <c r="WAR1529"/>
      <c r="WAS1529"/>
      <c r="WAT1529"/>
      <c r="WAU1529"/>
      <c r="WAV1529"/>
      <c r="WAW1529"/>
      <c r="WAX1529"/>
      <c r="WAY1529"/>
      <c r="WAZ1529"/>
      <c r="WBA1529"/>
      <c r="WBB1529"/>
      <c r="WBC1529"/>
      <c r="WBD1529"/>
      <c r="WBE1529"/>
      <c r="WBF1529"/>
      <c r="WBG1529"/>
      <c r="WBH1529"/>
      <c r="WBI1529"/>
      <c r="WBJ1529"/>
      <c r="WBK1529"/>
      <c r="WBL1529"/>
      <c r="WBM1529"/>
      <c r="WBN1529"/>
      <c r="WBO1529"/>
      <c r="WBP1529"/>
      <c r="WBQ1529"/>
      <c r="WBR1529"/>
      <c r="WBS1529"/>
      <c r="WBT1529"/>
      <c r="WBU1529"/>
      <c r="WBV1529"/>
      <c r="WBW1529"/>
      <c r="WBX1529"/>
      <c r="WBY1529"/>
      <c r="WBZ1529"/>
      <c r="WCA1529"/>
      <c r="WCB1529"/>
      <c r="WCC1529"/>
      <c r="WCD1529"/>
      <c r="WCE1529"/>
      <c r="WCF1529"/>
      <c r="WCG1529"/>
      <c r="WCH1529"/>
      <c r="WCI1529"/>
      <c r="WCJ1529"/>
      <c r="WCK1529"/>
      <c r="WCL1529"/>
      <c r="WCM1529"/>
      <c r="WCN1529"/>
      <c r="WCO1529"/>
      <c r="WCP1529"/>
      <c r="WCQ1529"/>
      <c r="WCR1529"/>
      <c r="WCS1529"/>
      <c r="WCT1529"/>
      <c r="WCU1529"/>
      <c r="WCV1529"/>
      <c r="WCW1529"/>
      <c r="WCX1529"/>
      <c r="WCY1529"/>
      <c r="WCZ1529"/>
      <c r="WDA1529"/>
      <c r="WDB1529"/>
      <c r="WDC1529"/>
      <c r="WDD1529"/>
      <c r="WDE1529"/>
      <c r="WDF1529"/>
      <c r="WDG1529"/>
      <c r="WDH1529"/>
      <c r="WDI1529"/>
      <c r="WDJ1529"/>
      <c r="WDK1529"/>
      <c r="WDL1529"/>
      <c r="WDM1529"/>
      <c r="WDN1529"/>
      <c r="WDO1529"/>
      <c r="WDP1529"/>
      <c r="WDQ1529"/>
      <c r="WDR1529"/>
      <c r="WDS1529"/>
      <c r="WDT1529"/>
      <c r="WDU1529"/>
      <c r="WDV1529"/>
      <c r="WDW1529"/>
      <c r="WDX1529"/>
      <c r="WDY1529"/>
      <c r="WDZ1529"/>
      <c r="WEA1529"/>
      <c r="WEB1529"/>
      <c r="WEC1529"/>
      <c r="WED1529"/>
      <c r="WEE1529"/>
      <c r="WEF1529"/>
      <c r="WEG1529"/>
      <c r="WEH1529"/>
      <c r="WEI1529"/>
      <c r="WEJ1529"/>
      <c r="WEK1529"/>
      <c r="WEL1529"/>
      <c r="WEM1529"/>
      <c r="WEN1529"/>
      <c r="WEO1529"/>
      <c r="WEP1529"/>
      <c r="WEQ1529"/>
      <c r="WER1529"/>
      <c r="WES1529"/>
      <c r="WET1529"/>
      <c r="WEU1529"/>
      <c r="WEV1529"/>
      <c r="WEW1529"/>
      <c r="WEX1529"/>
      <c r="WEY1529"/>
      <c r="WEZ1529"/>
      <c r="WFA1529"/>
      <c r="WFB1529"/>
      <c r="WFC1529"/>
      <c r="WFD1529"/>
      <c r="WFE1529"/>
      <c r="WFF1529"/>
      <c r="WFG1529"/>
      <c r="WFH1529"/>
      <c r="WFI1529"/>
      <c r="WFJ1529"/>
      <c r="WFK1529"/>
      <c r="WFL1529"/>
      <c r="WFM1529"/>
      <c r="WFN1529"/>
      <c r="WFO1529"/>
      <c r="WFP1529"/>
      <c r="WFQ1529"/>
      <c r="WFR1529"/>
      <c r="WFS1529"/>
      <c r="WFT1529"/>
      <c r="WFU1529"/>
      <c r="WFV1529"/>
      <c r="WFW1529"/>
      <c r="WFX1529"/>
      <c r="WFY1529"/>
      <c r="WFZ1529"/>
      <c r="WGA1529"/>
      <c r="WGB1529"/>
      <c r="WGC1529"/>
      <c r="WGD1529"/>
      <c r="WGE1529"/>
      <c r="WGF1529"/>
      <c r="WGG1529"/>
      <c r="WGH1529"/>
      <c r="WGI1529"/>
      <c r="WGJ1529"/>
      <c r="WGK1529"/>
      <c r="WGL1529"/>
      <c r="WGM1529"/>
      <c r="WGN1529"/>
      <c r="WGO1529"/>
      <c r="WGP1529"/>
      <c r="WGQ1529"/>
      <c r="WGR1529"/>
      <c r="WGS1529"/>
      <c r="WGT1529"/>
      <c r="WGU1529"/>
      <c r="WGV1529"/>
      <c r="WGW1529"/>
      <c r="WGX1529"/>
      <c r="WGY1529"/>
      <c r="WGZ1529"/>
      <c r="WHA1529"/>
      <c r="WHB1529"/>
      <c r="WHC1529"/>
      <c r="WHD1529"/>
      <c r="WHE1529"/>
      <c r="WHF1529"/>
      <c r="WHG1529"/>
      <c r="WHH1529"/>
      <c r="WHI1529"/>
      <c r="WHJ1529"/>
      <c r="WHK1529"/>
      <c r="WHL1529"/>
      <c r="WHM1529"/>
      <c r="WHN1529"/>
      <c r="WHO1529"/>
      <c r="WHP1529"/>
      <c r="WHQ1529"/>
      <c r="WHR1529"/>
      <c r="WHS1529"/>
      <c r="WHT1529"/>
      <c r="WHU1529"/>
      <c r="WHV1529"/>
      <c r="WHW1529"/>
      <c r="WHX1529"/>
      <c r="WHY1529"/>
      <c r="WHZ1529"/>
      <c r="WIA1529"/>
      <c r="WIB1529"/>
      <c r="WIC1529"/>
      <c r="WID1529"/>
      <c r="WIE1529"/>
      <c r="WIF1529"/>
      <c r="WIG1529"/>
      <c r="WIH1529"/>
      <c r="WII1529"/>
      <c r="WIJ1529"/>
      <c r="WIK1529"/>
      <c r="WIL1529"/>
      <c r="WIM1529"/>
      <c r="WIN1529"/>
      <c r="WIO1529"/>
      <c r="WIP1529"/>
      <c r="WIQ1529"/>
      <c r="WIR1529"/>
      <c r="WIS1529"/>
      <c r="WIT1529"/>
      <c r="WIU1529"/>
      <c r="WIV1529"/>
      <c r="WIW1529"/>
      <c r="WIX1529"/>
      <c r="WIY1529"/>
      <c r="WIZ1529"/>
      <c r="WJA1529"/>
      <c r="WJB1529"/>
      <c r="WJC1529"/>
      <c r="WJD1529"/>
      <c r="WJE1529"/>
      <c r="WJF1529"/>
      <c r="WJG1529"/>
      <c r="WJH1529"/>
      <c r="WJI1529"/>
      <c r="WJJ1529"/>
      <c r="WJK1529"/>
      <c r="WJL1529"/>
      <c r="WJM1529"/>
      <c r="WJN1529"/>
      <c r="WJO1529"/>
      <c r="WJP1529"/>
      <c r="WJQ1529"/>
      <c r="WJR1529"/>
      <c r="WJS1529"/>
      <c r="WJT1529"/>
      <c r="WJU1529"/>
      <c r="WJV1529"/>
      <c r="WJW1529"/>
      <c r="WJX1529"/>
      <c r="WJY1529"/>
      <c r="WJZ1529"/>
      <c r="WKA1529"/>
      <c r="WKB1529"/>
      <c r="WKC1529"/>
      <c r="WKD1529"/>
      <c r="WKE1529"/>
      <c r="WKF1529"/>
      <c r="WKG1529"/>
      <c r="WKH1529"/>
      <c r="WKI1529"/>
      <c r="WKJ1529"/>
      <c r="WKK1529"/>
      <c r="WKL1529"/>
      <c r="WKM1529"/>
      <c r="WKN1529"/>
      <c r="WKO1529"/>
      <c r="WKP1529"/>
      <c r="WKQ1529"/>
      <c r="WKR1529"/>
      <c r="WKS1529"/>
      <c r="WKT1529"/>
      <c r="WKU1529"/>
      <c r="WKV1529"/>
      <c r="WKW1529"/>
      <c r="WKX1529"/>
      <c r="WKY1529"/>
      <c r="WKZ1529"/>
      <c r="WLA1529"/>
      <c r="WLB1529"/>
      <c r="WLC1529"/>
      <c r="WLD1529"/>
      <c r="WLE1529"/>
      <c r="WLF1529"/>
      <c r="WLG1529"/>
      <c r="WLH1529"/>
      <c r="WLI1529"/>
      <c r="WLJ1529"/>
      <c r="WLK1529"/>
      <c r="WLL1529"/>
      <c r="WLM1529"/>
      <c r="WLN1529"/>
      <c r="WLO1529"/>
      <c r="WLP1529"/>
      <c r="WLQ1529"/>
      <c r="WLR1529"/>
      <c r="WLS1529"/>
      <c r="WLT1529"/>
      <c r="WLU1529"/>
      <c r="WLV1529"/>
      <c r="WLW1529"/>
      <c r="WLX1529"/>
      <c r="WLY1529"/>
      <c r="WLZ1529"/>
      <c r="WMA1529"/>
      <c r="WMB1529"/>
      <c r="WMC1529"/>
      <c r="WMD1529"/>
      <c r="WME1529"/>
      <c r="WMF1529"/>
      <c r="WMG1529"/>
      <c r="WMH1529"/>
      <c r="WMI1529"/>
      <c r="WMJ1529"/>
      <c r="WMK1529"/>
      <c r="WML1529"/>
      <c r="WMM1529"/>
      <c r="WMN1529"/>
      <c r="WMO1529"/>
      <c r="WMP1529"/>
      <c r="WMQ1529"/>
      <c r="WMR1529"/>
      <c r="WMS1529"/>
      <c r="WMT1529"/>
      <c r="WMU1529"/>
      <c r="WMV1529"/>
      <c r="WMW1529"/>
      <c r="WMX1529"/>
      <c r="WMY1529"/>
      <c r="WMZ1529"/>
      <c r="WNA1529"/>
      <c r="WNB1529"/>
      <c r="WNC1529"/>
      <c r="WND1529"/>
      <c r="WNE1529"/>
      <c r="WNF1529"/>
      <c r="WNG1529"/>
      <c r="WNH1529"/>
      <c r="WNI1529"/>
      <c r="WNJ1529"/>
      <c r="WNK1529"/>
      <c r="WNL1529"/>
      <c r="WNM1529"/>
      <c r="WNN1529"/>
      <c r="WNO1529"/>
      <c r="WNP1529"/>
      <c r="WNQ1529"/>
      <c r="WNR1529"/>
      <c r="WNS1529"/>
      <c r="WNT1529"/>
      <c r="WNU1529"/>
      <c r="WNV1529"/>
      <c r="WNW1529"/>
      <c r="WNX1529"/>
      <c r="WNY1529"/>
      <c r="WNZ1529"/>
      <c r="WOA1529"/>
      <c r="WOB1529"/>
      <c r="WOC1529"/>
      <c r="WOD1529"/>
      <c r="WOE1529"/>
      <c r="WOF1529"/>
      <c r="WOG1529"/>
      <c r="WOH1529"/>
      <c r="WOI1529"/>
      <c r="WOJ1529"/>
      <c r="WOK1529"/>
      <c r="WOL1529"/>
      <c r="WOM1529"/>
      <c r="WON1529"/>
      <c r="WOO1529"/>
      <c r="WOP1529"/>
      <c r="WOQ1529"/>
      <c r="WOR1529"/>
      <c r="WOS1529"/>
      <c r="WOT1529"/>
      <c r="WOU1529"/>
      <c r="WOV1529"/>
      <c r="WOW1529"/>
      <c r="WOX1529"/>
      <c r="WOY1529"/>
      <c r="WOZ1529"/>
      <c r="WPA1529"/>
      <c r="WPB1529"/>
      <c r="WPC1529"/>
      <c r="WPD1529"/>
      <c r="WPE1529"/>
      <c r="WPF1529"/>
      <c r="WPG1529"/>
      <c r="WPH1529"/>
      <c r="WPI1529"/>
      <c r="WPJ1529"/>
      <c r="WPK1529"/>
      <c r="WPL1529"/>
      <c r="WPM1529"/>
      <c r="WPN1529"/>
      <c r="WPO1529"/>
      <c r="WPP1529"/>
      <c r="WPQ1529"/>
      <c r="WPR1529"/>
      <c r="WPS1529"/>
      <c r="WPT1529"/>
      <c r="WPU1529"/>
      <c r="WPV1529"/>
      <c r="WPW1529"/>
      <c r="WPX1529"/>
      <c r="WPY1529"/>
      <c r="WPZ1529"/>
      <c r="WQA1529"/>
      <c r="WQB1529"/>
      <c r="WQC1529"/>
      <c r="WQD1529"/>
      <c r="WQE1529"/>
      <c r="WQF1529"/>
      <c r="WQG1529"/>
      <c r="WQH1529"/>
      <c r="WQI1529"/>
      <c r="WQJ1529"/>
      <c r="WQK1529"/>
      <c r="WQL1529"/>
      <c r="WQM1529"/>
      <c r="WQN1529"/>
      <c r="WQO1529"/>
      <c r="WQP1529"/>
      <c r="WQQ1529"/>
      <c r="WQR1529"/>
      <c r="WQS1529"/>
      <c r="WQT1529"/>
      <c r="WQU1529"/>
      <c r="WQV1529"/>
      <c r="WQW1529"/>
      <c r="WQX1529"/>
      <c r="WQY1529"/>
      <c r="WQZ1529"/>
      <c r="WRA1529"/>
      <c r="WRB1529"/>
      <c r="WRC1529"/>
      <c r="WRD1529"/>
      <c r="WRE1529"/>
      <c r="WRF1529"/>
      <c r="WRG1529"/>
      <c r="WRH1529"/>
      <c r="WRI1529"/>
      <c r="WRJ1529"/>
      <c r="WRK1529"/>
      <c r="WRL1529"/>
      <c r="WRM1529"/>
      <c r="WRN1529"/>
      <c r="WRO1529"/>
      <c r="WRP1529"/>
      <c r="WRQ1529"/>
      <c r="WRR1529"/>
      <c r="WRS1529"/>
      <c r="WRT1529"/>
      <c r="WRU1529"/>
      <c r="WRV1529"/>
      <c r="WRW1529"/>
      <c r="WRX1529"/>
      <c r="WRY1529"/>
      <c r="WRZ1529"/>
      <c r="WSA1529"/>
      <c r="WSB1529"/>
      <c r="WSC1529"/>
      <c r="WSD1529"/>
      <c r="WSE1529"/>
      <c r="WSF1529"/>
      <c r="WSG1529"/>
      <c r="WSH1529"/>
      <c r="WSI1529"/>
      <c r="WSJ1529"/>
      <c r="WSK1529"/>
      <c r="WSL1529"/>
      <c r="WSM1529"/>
      <c r="WSN1529"/>
      <c r="WSO1529"/>
      <c r="WSP1529"/>
      <c r="WSQ1529"/>
      <c r="WSR1529"/>
      <c r="WSS1529"/>
      <c r="WST1529"/>
      <c r="WSU1529"/>
      <c r="WSV1529"/>
      <c r="WSW1529"/>
      <c r="WSX1529"/>
      <c r="WSY1529"/>
      <c r="WSZ1529"/>
      <c r="WTA1529"/>
      <c r="WTB1529"/>
      <c r="WTC1529"/>
      <c r="WTD1529"/>
      <c r="WTE1529"/>
      <c r="WTF1529"/>
      <c r="WTG1529"/>
      <c r="WTH1529"/>
      <c r="WTI1529"/>
      <c r="WTJ1529"/>
      <c r="WTK1529"/>
      <c r="WTL1529"/>
      <c r="WTM1529"/>
      <c r="WTN1529"/>
      <c r="WTO1529"/>
      <c r="WTP1529"/>
      <c r="WTQ1529"/>
      <c r="WTR1529"/>
      <c r="WTS1529"/>
      <c r="WTT1529"/>
      <c r="WTU1529"/>
      <c r="WTV1529"/>
      <c r="WTW1529"/>
      <c r="WTX1529"/>
      <c r="WTY1529"/>
      <c r="WTZ1529"/>
      <c r="WUA1529"/>
      <c r="WUB1529"/>
      <c r="WUC1529"/>
      <c r="WUD1529"/>
      <c r="WUE1529"/>
      <c r="WUF1529"/>
      <c r="WUG1529"/>
      <c r="WUH1529"/>
      <c r="WUI1529"/>
      <c r="WUJ1529"/>
      <c r="WUK1529"/>
      <c r="WUL1529"/>
      <c r="WUM1529"/>
      <c r="WUN1529"/>
      <c r="WUO1529"/>
      <c r="WUP1529"/>
      <c r="WUQ1529"/>
      <c r="WUR1529"/>
      <c r="WUS1529"/>
      <c r="WUT1529"/>
      <c r="WUU1529"/>
      <c r="WUV1529"/>
      <c r="WUW1529"/>
      <c r="WUX1529"/>
      <c r="WUY1529"/>
      <c r="WUZ1529"/>
      <c r="WVA1529"/>
      <c r="WVB1529"/>
      <c r="WVC1529"/>
      <c r="WVD1529"/>
      <c r="WVE1529"/>
      <c r="WVF1529"/>
      <c r="WVG1529"/>
      <c r="WVH1529"/>
      <c r="WVI1529"/>
      <c r="WVJ1529"/>
      <c r="WVK1529"/>
      <c r="WVL1529"/>
      <c r="WVM1529"/>
      <c r="WVN1529"/>
      <c r="WVO1529"/>
      <c r="WVP1529"/>
      <c r="WVQ1529"/>
      <c r="WVR1529"/>
      <c r="WVS1529"/>
      <c r="WVT1529"/>
      <c r="WVU1529"/>
      <c r="WVV1529"/>
      <c r="WVW1529"/>
      <c r="WVX1529"/>
      <c r="WVY1529"/>
      <c r="WVZ1529"/>
      <c r="WWA1529"/>
      <c r="WWB1529"/>
      <c r="WWC1529"/>
      <c r="WWD1529"/>
      <c r="WWE1529"/>
      <c r="WWF1529"/>
      <c r="WWG1529"/>
      <c r="WWH1529"/>
      <c r="WWI1529"/>
      <c r="WWJ1529"/>
      <c r="WWK1529"/>
      <c r="WWL1529"/>
      <c r="WWM1529"/>
      <c r="WWN1529"/>
      <c r="WWO1529"/>
      <c r="WWP1529"/>
      <c r="WWQ1529"/>
      <c r="WWR1529"/>
      <c r="WWS1529"/>
      <c r="WWT1529"/>
      <c r="WWU1529"/>
      <c r="WWV1529"/>
      <c r="WWW1529"/>
      <c r="WWX1529"/>
      <c r="WWY1529"/>
      <c r="WWZ1529"/>
      <c r="WXA1529"/>
      <c r="WXB1529"/>
      <c r="WXC1529"/>
      <c r="WXD1529"/>
      <c r="WXE1529"/>
      <c r="WXF1529"/>
      <c r="WXG1529"/>
      <c r="WXH1529"/>
      <c r="WXI1529"/>
      <c r="WXJ1529"/>
      <c r="WXK1529"/>
      <c r="WXL1529"/>
      <c r="WXM1529"/>
      <c r="WXN1529"/>
      <c r="WXO1529"/>
      <c r="WXP1529"/>
      <c r="WXQ1529"/>
      <c r="WXR1529"/>
      <c r="WXS1529"/>
      <c r="WXT1529"/>
      <c r="WXU1529"/>
      <c r="WXV1529"/>
      <c r="WXW1529"/>
      <c r="WXX1529"/>
      <c r="WXY1529"/>
      <c r="WXZ1529"/>
      <c r="WYA1529"/>
      <c r="WYB1529"/>
      <c r="WYC1529"/>
      <c r="WYD1529"/>
      <c r="WYE1529"/>
      <c r="WYF1529"/>
      <c r="WYG1529"/>
      <c r="WYH1529"/>
      <c r="WYI1529"/>
      <c r="WYJ1529"/>
      <c r="WYK1529"/>
      <c r="WYL1529"/>
      <c r="WYM1529"/>
      <c r="WYN1529"/>
      <c r="WYO1529"/>
      <c r="WYP1529"/>
      <c r="WYQ1529"/>
      <c r="WYR1529"/>
      <c r="WYS1529"/>
      <c r="WYT1529"/>
      <c r="WYU1529"/>
      <c r="WYV1529"/>
      <c r="WYW1529"/>
      <c r="WYX1529"/>
      <c r="WYY1529"/>
      <c r="WYZ1529"/>
      <c r="WZA1529"/>
      <c r="WZB1529"/>
      <c r="WZC1529"/>
      <c r="WZD1529"/>
      <c r="WZE1529"/>
      <c r="WZF1529"/>
      <c r="WZG1529"/>
      <c r="WZH1529"/>
      <c r="WZI1529"/>
      <c r="WZJ1529"/>
      <c r="WZK1529"/>
      <c r="WZL1529"/>
      <c r="WZM1529"/>
      <c r="WZN1529"/>
      <c r="WZO1529"/>
      <c r="WZP1529"/>
      <c r="WZQ1529"/>
      <c r="WZR1529"/>
      <c r="WZS1529"/>
      <c r="WZT1529"/>
      <c r="WZU1529"/>
      <c r="WZV1529"/>
      <c r="WZW1529"/>
      <c r="WZX1529"/>
      <c r="WZY1529"/>
      <c r="WZZ1529"/>
      <c r="XAA1529"/>
      <c r="XAB1529"/>
      <c r="XAC1529"/>
      <c r="XAD1529"/>
      <c r="XAE1529"/>
      <c r="XAF1529"/>
      <c r="XAG1529"/>
      <c r="XAH1529"/>
      <c r="XAI1529"/>
      <c r="XAJ1529"/>
      <c r="XAK1529"/>
      <c r="XAL1529"/>
      <c r="XAM1529"/>
      <c r="XAN1529"/>
      <c r="XAO1529"/>
      <c r="XAP1529"/>
      <c r="XAQ1529"/>
      <c r="XAR1529"/>
      <c r="XAS1529"/>
      <c r="XAT1529"/>
      <c r="XAU1529"/>
      <c r="XAV1529"/>
      <c r="XAW1529"/>
      <c r="XAX1529"/>
      <c r="XAY1529"/>
      <c r="XAZ1529"/>
      <c r="XBA1529"/>
      <c r="XBB1529"/>
      <c r="XBC1529"/>
      <c r="XBD1529"/>
      <c r="XBE1529"/>
      <c r="XBF1529"/>
      <c r="XBG1529"/>
      <c r="XBH1529"/>
      <c r="XBI1529"/>
      <c r="XBJ1529"/>
      <c r="XBK1529"/>
      <c r="XBL1529"/>
      <c r="XBM1529"/>
      <c r="XBN1529"/>
      <c r="XBO1529"/>
      <c r="XBP1529"/>
      <c r="XBQ1529"/>
      <c r="XBR1529"/>
      <c r="XBS1529"/>
      <c r="XBT1529"/>
      <c r="XBU1529"/>
      <c r="XBV1529"/>
      <c r="XBW1529"/>
      <c r="XBX1529"/>
      <c r="XBY1529"/>
      <c r="XBZ1529"/>
      <c r="XCA1529"/>
      <c r="XCB1529"/>
      <c r="XCC1529"/>
      <c r="XCD1529"/>
      <c r="XCE1529"/>
      <c r="XCF1529"/>
      <c r="XCG1529"/>
      <c r="XCH1529"/>
      <c r="XCI1529"/>
      <c r="XCJ1529"/>
      <c r="XCK1529"/>
      <c r="XCL1529"/>
      <c r="XCM1529"/>
      <c r="XCN1529"/>
      <c r="XCO1529"/>
      <c r="XCP1529"/>
      <c r="XCQ1529"/>
      <c r="XCR1529"/>
      <c r="XCS1529"/>
      <c r="XCT1529"/>
      <c r="XCU1529"/>
      <c r="XCV1529"/>
      <c r="XCW1529"/>
      <c r="XCX1529"/>
      <c r="XCY1529"/>
      <c r="XCZ1529"/>
      <c r="XDA1529"/>
      <c r="XDB1529"/>
      <c r="XDC1529"/>
      <c r="XDD1529"/>
      <c r="XDE1529"/>
      <c r="XDF1529"/>
      <c r="XDG1529"/>
      <c r="XDH1529"/>
      <c r="XDI1529"/>
      <c r="XDJ1529"/>
      <c r="XDK1529"/>
      <c r="XDL1529"/>
      <c r="XDM1529"/>
      <c r="XDN1529"/>
      <c r="XDO1529"/>
      <c r="XDP1529"/>
      <c r="XDQ1529"/>
      <c r="XDR1529"/>
      <c r="XDS1529"/>
      <c r="XDT1529"/>
      <c r="XDU1529"/>
      <c r="XDV1529"/>
      <c r="XDW1529"/>
      <c r="XDX1529"/>
      <c r="XDY1529"/>
      <c r="XDZ1529"/>
      <c r="XEA1529"/>
      <c r="XEB1529"/>
      <c r="XEC1529"/>
      <c r="XED1529"/>
      <c r="XEE1529"/>
      <c r="XEF1529"/>
      <c r="XEG1529"/>
      <c r="XEH1529"/>
      <c r="XEI1529"/>
      <c r="XEJ1529"/>
      <c r="XEK1529"/>
      <c r="XEL1529"/>
      <c r="XEM1529"/>
      <c r="XEN1529"/>
      <c r="XEO1529"/>
      <c r="XEP1529"/>
      <c r="XEQ1529"/>
      <c r="XER1529"/>
      <c r="XES1529"/>
      <c r="XET1529"/>
      <c r="XEU1529"/>
      <c r="XEV1529"/>
      <c r="XEW1529"/>
      <c r="XEX1529"/>
    </row>
    <row r="1530" spans="1:16378" ht="15" customHeight="1" x14ac:dyDescent="0.25">
      <c r="A1530">
        <v>2025</v>
      </c>
      <c r="B1530" s="879" t="s">
        <v>1073</v>
      </c>
      <c r="C1530" s="879" t="s">
        <v>8064</v>
      </c>
      <c r="D1530" s="1018" t="s">
        <v>8684</v>
      </c>
      <c r="E1530" s="965" t="s">
        <v>1915</v>
      </c>
      <c r="F1530" s="879" t="s">
        <v>851</v>
      </c>
      <c r="G1530" s="879" t="s">
        <v>7152</v>
      </c>
      <c r="H1530" s="879" t="s">
        <v>4001</v>
      </c>
      <c r="I1530" s="883">
        <v>45895</v>
      </c>
      <c r="J1530" s="918" t="s">
        <v>2052</v>
      </c>
      <c r="K1530" s="945">
        <v>45904</v>
      </c>
      <c r="L1530" s="884">
        <f>IF(ISTEXT(Table15[[#This Row],[Engineering Approved Design Date]]),Table15[[#This Row],[Date Completed]]-Table15[[#This Row],[Date Assigned to Designer]],Table15[[#This Row],[Engineering Approved Design Date]]-Table15[[#This Row],[Date Completed]])</f>
        <v>9</v>
      </c>
      <c r="M1530" s="879" t="s">
        <v>9147</v>
      </c>
      <c r="N1530" s="99" t="s">
        <v>739</v>
      </c>
      <c r="O1530" s="886" t="s">
        <v>376</v>
      </c>
      <c r="P1530" s="1154" t="s">
        <v>739</v>
      </c>
      <c r="Q1530" s="1150">
        <f>SUM(Table15[[#This Row],[Shactee Effort]:[KH Hourly Effort]])</f>
        <v>0</v>
      </c>
      <c r="R1530" s="920" t="s">
        <v>1922</v>
      </c>
      <c r="S1530" s="1015">
        <v>0</v>
      </c>
      <c r="T1530" s="1015">
        <v>0</v>
      </c>
      <c r="U1530"/>
      <c r="V1530"/>
      <c r="W1530" s="1189">
        <v>0</v>
      </c>
      <c r="X1530" s="888" t="s">
        <v>29</v>
      </c>
      <c r="Y1530" s="888"/>
      <c r="Z1530" s="888" t="s">
        <v>29</v>
      </c>
      <c r="AA1530" s="888" t="s">
        <v>29</v>
      </c>
      <c r="AB1530" s="893" t="s">
        <v>29</v>
      </c>
      <c r="AC1530" s="896" t="s">
        <v>29</v>
      </c>
      <c r="AD1530" s="1155" t="s">
        <v>29</v>
      </c>
      <c r="AE1530" s="1016" t="s">
        <v>29</v>
      </c>
      <c r="AF1530" s="1016" t="s">
        <v>29</v>
      </c>
      <c r="AG1530" s="1016" t="s">
        <v>376</v>
      </c>
      <c r="AH1530" s="1230" t="s">
        <v>376</v>
      </c>
      <c r="AI1530" s="921" t="s">
        <v>29</v>
      </c>
      <c r="AJ1530" s="922" t="s">
        <v>29</v>
      </c>
      <c r="AK1530" s="922" t="s">
        <v>29</v>
      </c>
      <c r="AL1530" s="923" t="s">
        <v>29</v>
      </c>
      <c r="AM1530" s="542" t="s">
        <v>709</v>
      </c>
      <c r="AN1530" s="924"/>
      <c r="AO1530" s="925"/>
      <c r="AP1530" s="926"/>
      <c r="AQ1530" s="926"/>
      <c r="AR1530" s="926"/>
      <c r="AS1530" s="926"/>
      <c r="AT1530" s="926"/>
      <c r="AU1530" s="926"/>
      <c r="AV1530" s="926"/>
      <c r="AW1530" s="927"/>
      <c r="AX1530" s="926"/>
      <c r="AY1530" s="1538" t="s">
        <v>29</v>
      </c>
      <c r="AZ1530" s="1530"/>
      <c r="BA1530" s="966">
        <v>1</v>
      </c>
      <c r="BB1530" s="949" t="s">
        <v>29</v>
      </c>
      <c r="BC1530" s="1274" t="s">
        <v>116</v>
      </c>
      <c r="BD1530" s="1274" t="s">
        <v>115</v>
      </c>
      <c r="BE1530" s="1274" t="s">
        <v>3332</v>
      </c>
      <c r="BF1530" s="1274" t="s">
        <v>3333</v>
      </c>
      <c r="BG1530" s="1274" t="s">
        <v>8352</v>
      </c>
      <c r="BH1530" s="1175" t="s">
        <v>9148</v>
      </c>
      <c r="BI1530" s="929" t="s">
        <v>709</v>
      </c>
      <c r="BJ1530" s="929" t="s">
        <v>116</v>
      </c>
      <c r="BK1530" s="929" t="s">
        <v>709</v>
      </c>
      <c r="BL1530" s="929" t="s">
        <v>709</v>
      </c>
      <c r="BM1530" s="929" t="s">
        <v>709</v>
      </c>
      <c r="BN1530" s="929" t="s">
        <v>709</v>
      </c>
      <c r="BO1530" s="929" t="s">
        <v>709</v>
      </c>
      <c r="BP1530" s="929">
        <v>17275</v>
      </c>
      <c r="BQ1530" s="929">
        <v>1196</v>
      </c>
      <c r="BR1530" s="929">
        <v>98</v>
      </c>
      <c r="BS1530" s="929">
        <v>26</v>
      </c>
      <c r="BT1530" s="929" t="s">
        <v>709</v>
      </c>
      <c r="BU1530" s="929" t="s">
        <v>709</v>
      </c>
      <c r="BV1530" s="929" t="s">
        <v>709</v>
      </c>
      <c r="BW1530" s="929" t="s">
        <v>709</v>
      </c>
      <c r="BX1530" s="929" t="s">
        <v>709</v>
      </c>
      <c r="BY1530" s="929" t="s">
        <v>709</v>
      </c>
      <c r="BZ1530" s="929" t="s">
        <v>709</v>
      </c>
      <c r="CA1530" s="1195"/>
      <c r="CB1530" s="547"/>
      <c r="CC1530"/>
      <c r="CD1530"/>
      <c r="CE1530" s="646"/>
      <c r="CF1530" s="646"/>
      <c r="CG1530" s="646"/>
      <c r="CH1530" s="646"/>
      <c r="CI1530" s="646"/>
      <c r="CJ1530" s="646"/>
      <c r="CK1530" s="646"/>
      <c r="CL1530" s="646"/>
      <c r="CM1530" s="646"/>
      <c r="CN1530" s="646"/>
      <c r="CO1530" s="646"/>
      <c r="CP1530" s="646"/>
      <c r="CQ1530" s="646"/>
      <c r="CR1530" s="646"/>
      <c r="CS1530" s="646"/>
      <c r="CT1530" s="646"/>
      <c r="CU1530" s="646"/>
      <c r="CV1530" s="646"/>
      <c r="CW1530" s="646"/>
      <c r="CX1530" s="646"/>
      <c r="CY1530" s="646"/>
      <c r="CZ1530" s="646"/>
      <c r="DA1530" s="646"/>
      <c r="DB1530" s="646"/>
      <c r="DC1530" s="646"/>
      <c r="DD1530" s="646"/>
      <c r="DE1530" s="646"/>
      <c r="DF1530" s="646"/>
      <c r="DG1530" s="646"/>
      <c r="DH1530" s="646"/>
      <c r="DI1530" s="646"/>
      <c r="DJ1530" s="646"/>
      <c r="DK1530" s="646"/>
      <c r="DL1530" s="646"/>
      <c r="DM1530" s="646"/>
      <c r="DN1530" s="646"/>
      <c r="DO1530" s="646"/>
      <c r="DP1530" s="646"/>
      <c r="DQ1530" s="646"/>
      <c r="DR1530" s="646"/>
      <c r="DS1530" s="646"/>
      <c r="DT1530" s="646"/>
      <c r="DU1530" s="646"/>
      <c r="DV1530" s="646"/>
      <c r="DW1530" s="646"/>
      <c r="DX1530" s="646"/>
      <c r="DY1530" s="646"/>
      <c r="DZ1530" s="646"/>
      <c r="EA1530" s="646"/>
      <c r="EB1530" s="646"/>
      <c r="EC1530" s="646"/>
      <c r="ED1530" s="646"/>
      <c r="EE1530" s="646"/>
      <c r="EF1530" s="646"/>
      <c r="EG1530" s="646"/>
      <c r="EH1530" s="646"/>
      <c r="EI1530" s="646"/>
      <c r="EJ1530" s="646"/>
      <c r="EK1530" s="646"/>
      <c r="EL1530" s="646"/>
      <c r="EM1530" s="646"/>
      <c r="EN1530" s="646"/>
      <c r="EO1530" s="646"/>
      <c r="EP1530" s="646"/>
      <c r="EQ1530" s="646"/>
      <c r="ER1530" s="646"/>
      <c r="ES1530" s="646"/>
      <c r="ET1530" s="646"/>
      <c r="EU1530" s="646"/>
      <c r="EV1530" s="646"/>
      <c r="EW1530" s="646"/>
      <c r="EX1530" s="646"/>
      <c r="EY1530" s="646"/>
      <c r="EZ1530" s="646"/>
      <c r="FA1530" s="646"/>
      <c r="FB1530" s="646"/>
      <c r="FC1530" s="646"/>
      <c r="FD1530" s="646"/>
      <c r="FE1530" s="646"/>
      <c r="FF1530" s="646"/>
      <c r="FG1530" s="646"/>
      <c r="FH1530" s="646"/>
      <c r="FI1530" s="646"/>
      <c r="FJ1530" s="646"/>
      <c r="FK1530" s="646"/>
      <c r="FL1530" s="646"/>
      <c r="FM1530" s="646"/>
      <c r="FN1530" s="646"/>
      <c r="FO1530" s="646"/>
      <c r="FP1530" s="646"/>
      <c r="FQ1530" s="646"/>
      <c r="FR1530" s="646"/>
      <c r="FS1530" s="646"/>
      <c r="FT1530" s="646"/>
      <c r="FU1530" s="646"/>
      <c r="FV1530" s="646"/>
      <c r="FW1530" s="646"/>
      <c r="FX1530" s="646"/>
      <c r="FY1530" s="646"/>
      <c r="FZ1530" s="646"/>
      <c r="GA1530" s="646"/>
      <c r="GB1530" s="646"/>
      <c r="GC1530" s="646"/>
      <c r="GD1530" s="646"/>
      <c r="GE1530" s="646"/>
      <c r="GF1530" s="646"/>
      <c r="GG1530" s="646"/>
      <c r="GH1530" s="646"/>
      <c r="GI1530" s="646"/>
      <c r="GJ1530" s="646"/>
      <c r="GK1530" s="646"/>
      <c r="GL1530" s="646"/>
      <c r="GM1530" s="646"/>
      <c r="GN1530" s="646"/>
      <c r="GO1530" s="646"/>
      <c r="GP1530" s="646"/>
      <c r="GQ1530" s="646"/>
      <c r="GR1530" s="646"/>
      <c r="GS1530" s="646"/>
      <c r="GT1530" s="646"/>
      <c r="GU1530" s="646"/>
      <c r="GV1530" s="646"/>
      <c r="GW1530" s="646"/>
      <c r="GX1530" s="646"/>
      <c r="GY1530" s="646"/>
      <c r="GZ1530" s="646"/>
      <c r="HA1530" s="646"/>
      <c r="HB1530" s="646"/>
      <c r="HC1530" s="646"/>
      <c r="HD1530" s="646"/>
      <c r="HE1530" s="646"/>
      <c r="HF1530" s="646"/>
      <c r="HG1530" s="646"/>
      <c r="HH1530" s="646"/>
      <c r="HI1530" s="646"/>
      <c r="HJ1530" s="646"/>
      <c r="HK1530" s="646"/>
      <c r="HL1530" s="646"/>
      <c r="HM1530" s="646"/>
      <c r="HN1530" s="646"/>
      <c r="HO1530" s="646"/>
      <c r="HP1530" s="646"/>
      <c r="HQ1530" s="646"/>
      <c r="HR1530" s="646"/>
      <c r="HS1530" s="646"/>
      <c r="HT1530" s="646"/>
      <c r="HU1530" s="646"/>
      <c r="HV1530" s="646"/>
      <c r="HW1530" s="646"/>
      <c r="HX1530" s="646"/>
      <c r="HY1530" s="646"/>
      <c r="HZ1530" s="646"/>
      <c r="IA1530" s="646"/>
      <c r="IB1530" s="646"/>
      <c r="IC1530" s="646"/>
      <c r="ID1530" s="646"/>
      <c r="IE1530" s="646"/>
      <c r="IF1530" s="646"/>
      <c r="IG1530" s="646"/>
      <c r="IH1530" s="646"/>
      <c r="II1530" s="646"/>
      <c r="IJ1530" s="646"/>
      <c r="IK1530" s="646"/>
      <c r="IL1530" s="646"/>
      <c r="IM1530" s="646"/>
      <c r="IN1530" s="646"/>
      <c r="IO1530" s="646"/>
      <c r="IP1530" s="646"/>
      <c r="IQ1530" s="646"/>
      <c r="IR1530" s="646"/>
      <c r="IS1530" s="646"/>
      <c r="IT1530" s="646"/>
      <c r="IU1530" s="646"/>
      <c r="IV1530" s="646"/>
      <c r="IW1530" s="646"/>
      <c r="IX1530" s="646"/>
      <c r="IY1530" s="646"/>
      <c r="IZ1530" s="646"/>
      <c r="JA1530" s="646"/>
      <c r="JB1530" s="646"/>
      <c r="JC1530" s="646"/>
      <c r="JD1530" s="646"/>
      <c r="JE1530" s="646"/>
      <c r="JF1530" s="646"/>
      <c r="JG1530" s="646"/>
      <c r="JH1530" s="646"/>
      <c r="JI1530" s="646"/>
      <c r="JJ1530" s="646"/>
      <c r="JK1530" s="646"/>
      <c r="JL1530" s="646"/>
      <c r="JM1530" s="646"/>
      <c r="JN1530" s="646"/>
      <c r="JO1530" s="646"/>
      <c r="JP1530" s="646"/>
      <c r="JQ1530" s="646"/>
      <c r="JR1530" s="646"/>
      <c r="JS1530" s="646"/>
      <c r="JT1530" s="646"/>
      <c r="JU1530" s="646"/>
      <c r="JV1530" s="646"/>
      <c r="JW1530" s="646"/>
      <c r="JX1530" s="646"/>
      <c r="JY1530" s="646"/>
      <c r="JZ1530" s="646"/>
      <c r="KA1530" s="646"/>
      <c r="KB1530" s="646"/>
      <c r="KC1530" s="646"/>
      <c r="KD1530" s="646"/>
      <c r="KE1530" s="646"/>
      <c r="KF1530" s="646"/>
      <c r="KG1530" s="646"/>
      <c r="KH1530" s="646"/>
      <c r="KI1530" s="646"/>
      <c r="KJ1530" s="646"/>
      <c r="KK1530" s="646"/>
      <c r="KL1530" s="646"/>
      <c r="KM1530" s="646"/>
      <c r="KN1530" s="646"/>
      <c r="KO1530" s="646"/>
      <c r="KP1530" s="646"/>
      <c r="KQ1530" s="646"/>
      <c r="KR1530" s="646"/>
      <c r="KS1530" s="646"/>
      <c r="KT1530" s="646"/>
      <c r="KU1530" s="646"/>
      <c r="KV1530" s="646"/>
      <c r="KW1530" s="646"/>
      <c r="KX1530" s="646"/>
      <c r="KY1530" s="646"/>
      <c r="KZ1530" s="646"/>
      <c r="LA1530" s="646"/>
      <c r="LB1530" s="646"/>
      <c r="LC1530" s="646"/>
      <c r="LD1530" s="646"/>
      <c r="LE1530" s="646"/>
      <c r="LF1530" s="646"/>
      <c r="LG1530" s="646"/>
      <c r="LH1530" s="646"/>
      <c r="LI1530" s="646"/>
      <c r="LJ1530" s="646"/>
      <c r="LK1530" s="646"/>
      <c r="LL1530" s="646"/>
      <c r="LM1530" s="646"/>
      <c r="LN1530" s="646"/>
      <c r="LO1530" s="646"/>
      <c r="LP1530" s="646"/>
      <c r="LQ1530" s="646"/>
      <c r="LR1530" s="646"/>
      <c r="LS1530" s="646"/>
      <c r="LT1530" s="646"/>
      <c r="LU1530" s="646"/>
      <c r="LV1530" s="646"/>
      <c r="LW1530" s="646"/>
      <c r="LX1530" s="646"/>
      <c r="LY1530" s="646"/>
      <c r="LZ1530" s="646"/>
      <c r="MA1530" s="646"/>
      <c r="MB1530" s="646"/>
      <c r="MC1530" s="646"/>
      <c r="MD1530" s="646"/>
      <c r="ME1530" s="646"/>
      <c r="MF1530" s="646"/>
      <c r="MG1530" s="646"/>
      <c r="MH1530" s="646"/>
      <c r="MI1530" s="646"/>
      <c r="MJ1530" s="646"/>
      <c r="MK1530" s="646"/>
      <c r="ML1530" s="646"/>
      <c r="MM1530" s="646"/>
      <c r="MN1530" s="646"/>
      <c r="MO1530" s="646"/>
      <c r="MP1530" s="646"/>
      <c r="MQ1530" s="646"/>
      <c r="MR1530" s="646"/>
      <c r="MS1530" s="646"/>
      <c r="MT1530" s="646"/>
      <c r="MU1530" s="646"/>
      <c r="MV1530" s="646"/>
      <c r="MW1530" s="646"/>
      <c r="MX1530" s="646"/>
      <c r="MY1530" s="646"/>
      <c r="MZ1530" s="646"/>
      <c r="NA1530" s="646"/>
      <c r="NB1530" s="646"/>
      <c r="NC1530" s="646"/>
      <c r="ND1530" s="646"/>
      <c r="NE1530" s="646"/>
      <c r="NF1530" s="646"/>
      <c r="NG1530" s="646"/>
      <c r="NH1530" s="646"/>
      <c r="NI1530" s="646"/>
      <c r="NJ1530" s="646"/>
      <c r="NK1530" s="646"/>
      <c r="NL1530" s="646"/>
      <c r="NM1530" s="646"/>
      <c r="NN1530" s="646"/>
      <c r="NO1530" s="646"/>
      <c r="NP1530" s="646"/>
      <c r="NQ1530" s="646"/>
      <c r="NR1530" s="646"/>
      <c r="NS1530" s="646"/>
      <c r="NT1530" s="646"/>
      <c r="NU1530" s="646"/>
      <c r="NV1530" s="646"/>
      <c r="NW1530" s="646"/>
      <c r="NX1530" s="646"/>
      <c r="NY1530" s="646"/>
      <c r="NZ1530" s="646"/>
      <c r="OA1530" s="646"/>
      <c r="OB1530" s="646"/>
      <c r="OC1530" s="646"/>
      <c r="OD1530" s="646"/>
      <c r="OE1530" s="646"/>
      <c r="OF1530" s="646"/>
      <c r="OG1530" s="646"/>
      <c r="OH1530" s="646"/>
      <c r="OI1530" s="646"/>
      <c r="OJ1530" s="646"/>
      <c r="OK1530" s="646"/>
      <c r="OL1530" s="646"/>
      <c r="OM1530" s="646"/>
      <c r="ON1530" s="646"/>
      <c r="OO1530" s="646"/>
      <c r="OP1530" s="646"/>
      <c r="OQ1530" s="646"/>
      <c r="OR1530" s="646"/>
      <c r="OS1530" s="646"/>
      <c r="OT1530" s="646"/>
      <c r="OU1530" s="646"/>
      <c r="OV1530" s="646"/>
      <c r="OW1530" s="646"/>
      <c r="OX1530" s="646"/>
      <c r="OY1530" s="646"/>
      <c r="OZ1530" s="646"/>
      <c r="PA1530" s="646"/>
      <c r="PB1530" s="646"/>
      <c r="PC1530" s="646"/>
      <c r="PD1530" s="646"/>
      <c r="PE1530" s="646"/>
      <c r="PF1530" s="646"/>
      <c r="PG1530" s="646"/>
      <c r="PH1530" s="646"/>
      <c r="PI1530" s="646"/>
      <c r="PJ1530" s="646"/>
      <c r="PK1530" s="646"/>
      <c r="PL1530" s="646"/>
      <c r="PM1530" s="646"/>
      <c r="PN1530" s="646"/>
      <c r="PO1530" s="646"/>
      <c r="PP1530" s="646"/>
      <c r="PQ1530" s="646"/>
      <c r="PR1530" s="646"/>
      <c r="PS1530" s="646"/>
      <c r="PT1530" s="646"/>
      <c r="PU1530" s="646"/>
      <c r="PV1530" s="646"/>
      <c r="PW1530" s="646"/>
      <c r="PX1530" s="646"/>
      <c r="PY1530" s="646"/>
      <c r="PZ1530" s="646"/>
      <c r="QA1530" s="646"/>
      <c r="QB1530" s="646"/>
      <c r="QC1530" s="646"/>
      <c r="QD1530" s="646"/>
      <c r="QE1530" s="646"/>
      <c r="QF1530" s="646"/>
      <c r="QG1530" s="646"/>
      <c r="QH1530" s="646"/>
      <c r="QI1530" s="646"/>
      <c r="QJ1530" s="646"/>
      <c r="QK1530" s="646"/>
      <c r="QL1530" s="646"/>
      <c r="QM1530" s="646"/>
      <c r="QN1530" s="646"/>
      <c r="QO1530" s="646"/>
      <c r="QP1530" s="646"/>
      <c r="QQ1530" s="646"/>
      <c r="QR1530" s="646"/>
      <c r="QS1530" s="646"/>
      <c r="QT1530" s="646"/>
      <c r="QU1530" s="646"/>
      <c r="QV1530" s="646"/>
      <c r="QW1530" s="646"/>
      <c r="QX1530" s="646"/>
      <c r="QY1530" s="646"/>
      <c r="QZ1530" s="646"/>
      <c r="RA1530" s="646"/>
      <c r="RB1530" s="646"/>
      <c r="RC1530" s="646"/>
      <c r="RD1530" s="646"/>
      <c r="RE1530" s="646"/>
      <c r="RF1530" s="646"/>
      <c r="RG1530" s="646"/>
      <c r="RH1530" s="646"/>
      <c r="RI1530" s="646"/>
      <c r="RJ1530" s="646"/>
      <c r="RK1530" s="646"/>
      <c r="RL1530" s="646"/>
      <c r="RM1530" s="646"/>
      <c r="RN1530" s="646"/>
      <c r="RO1530" s="646"/>
      <c r="RP1530" s="646"/>
      <c r="RQ1530" s="646"/>
      <c r="RR1530" s="646"/>
      <c r="RS1530" s="646"/>
      <c r="RT1530" s="646"/>
      <c r="RU1530" s="646"/>
      <c r="RV1530" s="646"/>
      <c r="RW1530" s="646"/>
      <c r="RX1530" s="646"/>
      <c r="RY1530" s="646"/>
      <c r="RZ1530" s="646"/>
      <c r="SA1530" s="646"/>
      <c r="SB1530" s="646"/>
      <c r="SC1530" s="646"/>
      <c r="SD1530" s="646"/>
      <c r="SE1530" s="646"/>
      <c r="SF1530" s="646"/>
      <c r="SG1530" s="646"/>
      <c r="SH1530" s="646"/>
      <c r="SI1530" s="646"/>
      <c r="SJ1530" s="646"/>
      <c r="SK1530" s="646"/>
      <c r="SL1530" s="646"/>
      <c r="SM1530" s="646"/>
      <c r="SN1530" s="646"/>
      <c r="SO1530" s="646"/>
      <c r="SP1530" s="646"/>
      <c r="SQ1530" s="646"/>
      <c r="SR1530" s="646"/>
      <c r="SS1530" s="646"/>
      <c r="ST1530" s="646"/>
      <c r="SU1530" s="646"/>
      <c r="SV1530" s="646"/>
      <c r="SW1530" s="646"/>
      <c r="SX1530" s="646"/>
      <c r="SY1530" s="646"/>
      <c r="SZ1530" s="646"/>
      <c r="TA1530" s="646"/>
      <c r="TB1530" s="646"/>
      <c r="TC1530" s="646"/>
      <c r="TD1530" s="646"/>
      <c r="TE1530" s="646"/>
      <c r="TF1530" s="646"/>
      <c r="TG1530" s="646"/>
      <c r="TH1530" s="646"/>
      <c r="TI1530" s="646"/>
      <c r="TJ1530" s="646"/>
      <c r="TK1530" s="646"/>
      <c r="TL1530" s="646"/>
      <c r="TM1530" s="646"/>
      <c r="TN1530" s="646"/>
      <c r="TO1530" s="646"/>
      <c r="TP1530" s="646"/>
      <c r="TQ1530" s="646"/>
      <c r="TR1530" s="646"/>
      <c r="TS1530" s="646"/>
      <c r="TT1530" s="646"/>
      <c r="TU1530" s="646"/>
      <c r="TV1530" s="646"/>
      <c r="TW1530" s="646"/>
      <c r="TX1530" s="646"/>
      <c r="TY1530" s="646"/>
      <c r="TZ1530" s="646"/>
      <c r="UA1530" s="646"/>
      <c r="UB1530" s="646"/>
      <c r="UC1530" s="646"/>
      <c r="UD1530" s="646"/>
      <c r="UE1530" s="646"/>
      <c r="UF1530" s="646"/>
      <c r="UG1530" s="646"/>
      <c r="UH1530" s="646"/>
      <c r="UI1530" s="646"/>
      <c r="UJ1530" s="646"/>
      <c r="UK1530" s="646"/>
      <c r="UL1530" s="646"/>
      <c r="UM1530" s="646"/>
      <c r="UN1530" s="646"/>
      <c r="UO1530" s="646"/>
      <c r="UP1530" s="646"/>
      <c r="UQ1530" s="646"/>
      <c r="UR1530" s="646"/>
      <c r="US1530" s="646"/>
      <c r="UT1530" s="646"/>
      <c r="UU1530" s="646"/>
      <c r="UV1530" s="646"/>
      <c r="UW1530" s="646"/>
      <c r="UX1530" s="646"/>
      <c r="UY1530" s="646"/>
      <c r="UZ1530" s="646"/>
      <c r="VA1530" s="646"/>
      <c r="VB1530" s="646"/>
      <c r="VC1530" s="646"/>
      <c r="VD1530" s="646"/>
      <c r="VE1530" s="646"/>
      <c r="VF1530" s="646"/>
      <c r="VG1530" s="646"/>
      <c r="VH1530" s="646"/>
      <c r="VI1530" s="646"/>
      <c r="VJ1530" s="646"/>
      <c r="VK1530" s="646"/>
      <c r="VL1530" s="646"/>
      <c r="VM1530" s="646"/>
      <c r="VN1530" s="646"/>
      <c r="VO1530" s="646"/>
      <c r="VP1530" s="646"/>
      <c r="VQ1530" s="646"/>
      <c r="VR1530" s="646"/>
      <c r="VS1530" s="646"/>
      <c r="VT1530" s="646"/>
      <c r="VU1530" s="646"/>
      <c r="VV1530" s="646"/>
      <c r="VW1530" s="646"/>
      <c r="VX1530" s="646"/>
      <c r="VY1530" s="646"/>
      <c r="VZ1530" s="646"/>
      <c r="WA1530" s="646"/>
      <c r="WB1530" s="646"/>
      <c r="WC1530" s="646"/>
      <c r="WD1530" s="646"/>
      <c r="WE1530" s="646"/>
      <c r="WF1530" s="646"/>
      <c r="WG1530" s="646"/>
      <c r="WH1530" s="646"/>
      <c r="WI1530" s="646"/>
      <c r="WJ1530" s="646"/>
      <c r="WK1530" s="646"/>
      <c r="WL1530" s="646"/>
      <c r="WM1530" s="646"/>
      <c r="WN1530" s="646"/>
      <c r="WO1530" s="646"/>
      <c r="WP1530" s="646"/>
      <c r="WQ1530" s="646"/>
      <c r="WR1530" s="646"/>
      <c r="WS1530" s="646"/>
      <c r="WT1530" s="646"/>
      <c r="WU1530" s="646"/>
      <c r="WV1530" s="646"/>
      <c r="WW1530" s="646"/>
      <c r="WX1530" s="646"/>
      <c r="WY1530" s="646"/>
      <c r="WZ1530" s="646"/>
      <c r="XA1530" s="646"/>
      <c r="XB1530" s="646"/>
      <c r="XC1530" s="646"/>
      <c r="XD1530" s="646"/>
      <c r="XE1530" s="646"/>
      <c r="XF1530" s="646"/>
      <c r="XG1530" s="646"/>
      <c r="XH1530" s="646"/>
      <c r="XI1530" s="646"/>
      <c r="XJ1530" s="646"/>
      <c r="XK1530" s="646"/>
      <c r="XL1530" s="646"/>
      <c r="XM1530" s="646"/>
      <c r="XN1530" s="646"/>
      <c r="XO1530" s="646"/>
      <c r="XP1530" s="646"/>
      <c r="XQ1530" s="646"/>
      <c r="XR1530" s="646"/>
      <c r="XS1530" s="646"/>
      <c r="XT1530" s="646"/>
      <c r="XU1530" s="646"/>
      <c r="XV1530" s="646"/>
      <c r="XW1530" s="646"/>
      <c r="XX1530" s="646"/>
      <c r="XY1530" s="646"/>
      <c r="XZ1530" s="646"/>
      <c r="YA1530" s="646"/>
      <c r="YB1530" s="646"/>
      <c r="YC1530" s="646"/>
      <c r="YD1530" s="646"/>
      <c r="YE1530" s="646"/>
      <c r="YF1530" s="646"/>
      <c r="YG1530" s="646"/>
      <c r="YH1530" s="646"/>
      <c r="YI1530" s="646"/>
      <c r="YJ1530" s="646"/>
      <c r="YK1530" s="646"/>
      <c r="YL1530" s="646"/>
      <c r="YM1530" s="646"/>
      <c r="YN1530" s="646"/>
      <c r="YO1530" s="646"/>
      <c r="YP1530" s="646"/>
      <c r="YQ1530" s="646"/>
      <c r="YR1530" s="646"/>
      <c r="YS1530" s="646"/>
      <c r="YT1530" s="646"/>
      <c r="YU1530" s="646"/>
      <c r="YV1530" s="646"/>
      <c r="YW1530" s="646"/>
      <c r="YX1530" s="646"/>
      <c r="YY1530" s="646"/>
      <c r="YZ1530" s="646"/>
      <c r="ZA1530" s="646"/>
      <c r="ZB1530" s="646"/>
      <c r="ZC1530" s="646"/>
      <c r="ZD1530" s="646"/>
      <c r="ZE1530" s="646"/>
      <c r="ZF1530" s="646"/>
      <c r="ZG1530" s="646"/>
      <c r="ZH1530" s="646"/>
      <c r="ZI1530" s="646"/>
      <c r="ZJ1530" s="646"/>
      <c r="ZK1530" s="646"/>
      <c r="ZL1530" s="646"/>
      <c r="ZM1530" s="646"/>
      <c r="ZN1530" s="646"/>
      <c r="ZO1530" s="646"/>
      <c r="ZP1530" s="646"/>
      <c r="ZQ1530" s="646"/>
      <c r="ZR1530" s="646"/>
      <c r="ZS1530" s="646"/>
      <c r="ZT1530" s="646"/>
      <c r="ZU1530" s="646"/>
      <c r="ZV1530" s="646"/>
      <c r="ZW1530" s="646"/>
      <c r="ZX1530" s="646"/>
      <c r="ZY1530" s="646"/>
      <c r="ZZ1530" s="646"/>
      <c r="AAA1530" s="646"/>
      <c r="AAB1530" s="646"/>
      <c r="AAC1530" s="646"/>
      <c r="AAD1530" s="646"/>
      <c r="AAE1530" s="646"/>
      <c r="AAF1530" s="646"/>
      <c r="AAG1530" s="646"/>
      <c r="AAH1530" s="646"/>
      <c r="AAI1530" s="646"/>
      <c r="AAJ1530" s="646"/>
      <c r="AAK1530" s="646"/>
      <c r="AAL1530" s="646"/>
      <c r="AAM1530" s="646"/>
      <c r="AAN1530" s="646"/>
      <c r="AAO1530" s="646"/>
      <c r="AAP1530" s="646"/>
      <c r="AAQ1530" s="646"/>
      <c r="AAR1530" s="646"/>
      <c r="AAS1530" s="646"/>
      <c r="AAT1530" s="646"/>
      <c r="AAU1530" s="646"/>
      <c r="AAV1530" s="646"/>
      <c r="AAW1530" s="646"/>
      <c r="AAX1530" s="646"/>
      <c r="AAY1530" s="646"/>
      <c r="AAZ1530" s="646"/>
      <c r="ABA1530" s="646"/>
      <c r="ABB1530" s="646"/>
      <c r="ABC1530" s="646"/>
      <c r="ABD1530" s="646"/>
      <c r="ABE1530" s="646"/>
      <c r="ABF1530" s="646"/>
      <c r="ABG1530" s="646"/>
      <c r="ABH1530" s="646"/>
      <c r="ABI1530" s="646"/>
      <c r="ABJ1530" s="646"/>
      <c r="ABK1530" s="646"/>
      <c r="ABL1530" s="646"/>
      <c r="ABM1530" s="646"/>
      <c r="ABN1530" s="646"/>
      <c r="ABO1530" s="646"/>
      <c r="ABP1530" s="646"/>
      <c r="ABQ1530" s="646"/>
      <c r="ABR1530" s="646"/>
      <c r="ABS1530" s="646"/>
      <c r="ABT1530" s="646"/>
      <c r="ABU1530" s="646"/>
      <c r="ABV1530" s="646"/>
      <c r="ABW1530" s="646"/>
      <c r="ABX1530" s="646"/>
      <c r="ABY1530" s="646"/>
      <c r="ABZ1530" s="646"/>
      <c r="ACA1530" s="646"/>
      <c r="ACB1530" s="646"/>
      <c r="ACC1530" s="646"/>
      <c r="ACD1530" s="646"/>
      <c r="ACE1530" s="646"/>
      <c r="ACF1530" s="646"/>
      <c r="ACG1530" s="646"/>
      <c r="ACH1530" s="646"/>
      <c r="ACI1530" s="646"/>
      <c r="ACJ1530" s="646"/>
      <c r="ACK1530" s="646"/>
      <c r="ACL1530" s="646"/>
      <c r="ACM1530" s="646"/>
      <c r="ACN1530" s="646"/>
      <c r="ACO1530" s="646"/>
      <c r="ACP1530" s="646"/>
      <c r="ACQ1530" s="646"/>
      <c r="ACR1530" s="646"/>
      <c r="ACS1530" s="646"/>
      <c r="ACT1530" s="646"/>
      <c r="ACU1530" s="646"/>
      <c r="ACV1530" s="646"/>
      <c r="ACW1530" s="646"/>
      <c r="ACX1530" s="646"/>
      <c r="ACY1530" s="646"/>
      <c r="ACZ1530" s="646"/>
      <c r="ADA1530" s="646"/>
      <c r="ADB1530" s="646"/>
      <c r="ADC1530" s="646"/>
      <c r="ADD1530" s="646"/>
      <c r="ADE1530" s="646"/>
      <c r="ADF1530" s="646"/>
      <c r="ADG1530" s="646"/>
      <c r="ADH1530" s="646"/>
      <c r="ADI1530" s="646"/>
      <c r="ADJ1530" s="646"/>
      <c r="ADK1530" s="646"/>
      <c r="ADL1530" s="646"/>
      <c r="ADM1530" s="646"/>
      <c r="ADN1530" s="646"/>
      <c r="ADO1530" s="646"/>
      <c r="ADP1530" s="646"/>
      <c r="ADQ1530" s="646"/>
      <c r="ADR1530" s="646"/>
      <c r="ADS1530" s="646"/>
      <c r="ADT1530" s="646"/>
      <c r="ADU1530" s="646"/>
      <c r="ADV1530" s="646"/>
      <c r="ADW1530" s="646"/>
      <c r="ADX1530" s="646"/>
      <c r="ADY1530" s="646"/>
      <c r="ADZ1530" s="646"/>
      <c r="AEA1530" s="646"/>
      <c r="AEB1530" s="646"/>
      <c r="AEC1530" s="646"/>
      <c r="AED1530" s="646"/>
      <c r="AEE1530" s="646"/>
      <c r="AEF1530" s="646"/>
      <c r="AEG1530" s="646"/>
      <c r="AEH1530" s="646"/>
      <c r="AEI1530" s="646"/>
      <c r="AEJ1530" s="646"/>
      <c r="AEK1530" s="646"/>
      <c r="AEL1530" s="646"/>
      <c r="AEM1530" s="646"/>
      <c r="AEN1530" s="646"/>
      <c r="AEO1530" s="646"/>
      <c r="AEP1530" s="646"/>
      <c r="AEQ1530" s="646"/>
      <c r="AER1530" s="646"/>
      <c r="AES1530" s="646"/>
      <c r="AET1530" s="646"/>
      <c r="AEU1530" s="646"/>
      <c r="AEV1530" s="646"/>
      <c r="AEW1530" s="646"/>
      <c r="AEX1530" s="646"/>
      <c r="AEY1530" s="646"/>
      <c r="AEZ1530" s="646"/>
      <c r="AFA1530" s="646"/>
      <c r="AFB1530" s="646"/>
      <c r="AFC1530" s="646"/>
      <c r="AFD1530" s="646"/>
      <c r="AFE1530" s="646"/>
      <c r="AFF1530" s="646"/>
      <c r="AFG1530" s="646"/>
      <c r="AFH1530" s="646"/>
      <c r="AFI1530" s="646"/>
      <c r="AFJ1530" s="646"/>
      <c r="AFK1530" s="646"/>
      <c r="AFL1530" s="646"/>
      <c r="AFM1530" s="646"/>
      <c r="AFN1530" s="646"/>
      <c r="AFO1530" s="646"/>
      <c r="AFP1530" s="646"/>
      <c r="AFQ1530" s="646"/>
      <c r="AFR1530" s="646"/>
      <c r="AFS1530" s="646"/>
      <c r="AFT1530" s="646"/>
      <c r="AFU1530" s="646"/>
      <c r="AFV1530" s="646"/>
      <c r="AFW1530" s="646"/>
      <c r="AFX1530" s="646"/>
      <c r="AFY1530" s="646"/>
      <c r="AFZ1530" s="646"/>
      <c r="AGA1530" s="646"/>
      <c r="AGB1530" s="646"/>
      <c r="AGC1530" s="646"/>
      <c r="AGD1530" s="646"/>
      <c r="AGE1530" s="646"/>
      <c r="AGF1530" s="646"/>
      <c r="AGG1530" s="646"/>
      <c r="AGH1530" s="646"/>
      <c r="AGI1530" s="646"/>
      <c r="AGJ1530" s="646"/>
      <c r="AGK1530" s="646"/>
      <c r="AGL1530" s="646"/>
      <c r="AGM1530" s="646"/>
      <c r="AGN1530" s="646"/>
      <c r="AGO1530" s="646"/>
      <c r="AGP1530" s="646"/>
      <c r="AGQ1530" s="646"/>
      <c r="AGR1530" s="646"/>
      <c r="AGS1530" s="646"/>
      <c r="AGT1530" s="646"/>
      <c r="AGU1530" s="646"/>
      <c r="AGV1530" s="646"/>
      <c r="AGW1530" s="646"/>
      <c r="AGX1530" s="646"/>
      <c r="AGY1530" s="646"/>
      <c r="AGZ1530" s="646"/>
      <c r="AHA1530" s="646"/>
      <c r="AHB1530" s="646"/>
      <c r="AHC1530" s="646"/>
      <c r="AHD1530" s="646"/>
      <c r="AHE1530" s="646"/>
      <c r="AHF1530" s="646"/>
      <c r="AHG1530" s="646"/>
      <c r="AHH1530" s="646"/>
      <c r="AHI1530" s="646"/>
      <c r="AHJ1530" s="646"/>
      <c r="AHK1530" s="646"/>
      <c r="AHL1530" s="646"/>
      <c r="AHM1530" s="646"/>
      <c r="AHN1530" s="646"/>
      <c r="AHO1530" s="646"/>
      <c r="AHP1530" s="646"/>
      <c r="AHQ1530" s="646"/>
      <c r="AHR1530" s="646"/>
      <c r="AHS1530" s="646"/>
      <c r="AHT1530" s="646"/>
      <c r="AHU1530" s="646"/>
      <c r="AHV1530" s="646"/>
      <c r="AHW1530" s="646"/>
      <c r="AHX1530" s="646"/>
      <c r="AHY1530" s="646"/>
      <c r="AHZ1530" s="646"/>
      <c r="AIA1530" s="646"/>
      <c r="AIB1530" s="646"/>
      <c r="AIC1530" s="646"/>
      <c r="AID1530" s="646"/>
      <c r="AIE1530" s="646"/>
      <c r="AIF1530" s="646"/>
      <c r="AIG1530" s="646"/>
      <c r="AIH1530" s="646"/>
      <c r="AII1530" s="646"/>
      <c r="AIJ1530" s="646"/>
      <c r="AIK1530" s="646"/>
      <c r="AIL1530" s="646"/>
      <c r="AIM1530" s="646"/>
      <c r="AIN1530" s="646"/>
      <c r="AIO1530" s="646"/>
      <c r="AIP1530" s="646"/>
      <c r="AIQ1530" s="646"/>
      <c r="AIR1530" s="646"/>
      <c r="AIS1530" s="646"/>
      <c r="AIT1530" s="646"/>
      <c r="AIU1530" s="646"/>
      <c r="AIV1530" s="646"/>
      <c r="AIW1530" s="646"/>
      <c r="AIX1530" s="646"/>
      <c r="AIY1530" s="646"/>
      <c r="AIZ1530" s="646"/>
      <c r="AJA1530" s="646"/>
      <c r="AJB1530" s="646"/>
      <c r="AJC1530" s="646"/>
      <c r="AJD1530" s="646"/>
      <c r="AJE1530" s="646"/>
      <c r="AJF1530" s="646"/>
      <c r="AJG1530" s="646"/>
      <c r="AJH1530" s="646"/>
      <c r="AJI1530" s="646"/>
      <c r="AJJ1530" s="646"/>
      <c r="AJK1530" s="646"/>
      <c r="AJL1530" s="646"/>
      <c r="AJM1530" s="646"/>
      <c r="AJN1530" s="646"/>
      <c r="AJO1530" s="646"/>
      <c r="AJP1530" s="646"/>
      <c r="AJQ1530" s="646"/>
      <c r="AJR1530" s="646"/>
      <c r="AJS1530" s="646"/>
      <c r="AJT1530" s="646"/>
      <c r="AJU1530" s="646"/>
      <c r="AJV1530" s="646"/>
      <c r="AJW1530" s="646"/>
      <c r="AJX1530" s="646"/>
      <c r="AJY1530" s="646"/>
      <c r="AJZ1530" s="646"/>
      <c r="AKA1530" s="646"/>
      <c r="AKB1530" s="646"/>
      <c r="AKC1530" s="646"/>
      <c r="AKD1530" s="646"/>
      <c r="AKE1530" s="646"/>
      <c r="AKF1530" s="646"/>
      <c r="AKG1530" s="646"/>
      <c r="AKH1530" s="646"/>
      <c r="AKI1530" s="646"/>
      <c r="AKJ1530" s="646"/>
      <c r="AKK1530" s="646"/>
      <c r="AKL1530" s="646"/>
      <c r="AKM1530" s="646"/>
      <c r="AKN1530" s="646"/>
      <c r="AKO1530" s="646"/>
      <c r="AKP1530" s="646"/>
      <c r="AKQ1530" s="646"/>
      <c r="AKR1530" s="646"/>
      <c r="AKS1530" s="646"/>
      <c r="AKT1530" s="646"/>
      <c r="AKU1530" s="646"/>
      <c r="AKV1530" s="646"/>
      <c r="AKW1530" s="646"/>
      <c r="AKX1530" s="646"/>
      <c r="AKY1530" s="646"/>
      <c r="AKZ1530" s="646"/>
      <c r="ALA1530" s="646"/>
      <c r="ALB1530" s="646"/>
      <c r="ALC1530" s="646"/>
      <c r="ALD1530" s="646"/>
      <c r="ALE1530" s="646"/>
      <c r="ALF1530" s="646"/>
      <c r="ALG1530" s="646"/>
      <c r="ALH1530" s="646"/>
      <c r="ALI1530" s="646"/>
      <c r="ALJ1530" s="646"/>
      <c r="ALK1530" s="646"/>
      <c r="ALL1530" s="646"/>
      <c r="ALM1530" s="646"/>
      <c r="ALN1530" s="646"/>
      <c r="ALO1530" s="646"/>
      <c r="ALP1530" s="646"/>
      <c r="ALQ1530" s="646"/>
      <c r="ALR1530" s="646"/>
      <c r="ALS1530" s="646"/>
      <c r="ALT1530" s="646"/>
      <c r="ALU1530" s="646"/>
      <c r="ALV1530" s="646"/>
      <c r="ALW1530" s="646"/>
      <c r="ALX1530" s="646"/>
      <c r="ALY1530" s="646"/>
      <c r="ALZ1530" s="646"/>
      <c r="AMA1530" s="646"/>
      <c r="AMB1530" s="646"/>
      <c r="AMC1530" s="646"/>
      <c r="AMD1530" s="646"/>
      <c r="AME1530" s="646"/>
      <c r="AMF1530" s="646"/>
      <c r="AMG1530" s="646"/>
      <c r="AMH1530" s="646"/>
      <c r="AMI1530" s="646"/>
      <c r="AMJ1530" s="646"/>
      <c r="AMK1530" s="646"/>
      <c r="AML1530" s="646"/>
      <c r="AMM1530" s="646"/>
      <c r="AMN1530" s="646"/>
      <c r="AMO1530" s="646"/>
      <c r="AMP1530" s="646"/>
      <c r="AMQ1530" s="646"/>
      <c r="AMR1530" s="646"/>
      <c r="AMS1530" s="646"/>
      <c r="AMT1530" s="646"/>
      <c r="AMU1530" s="646"/>
      <c r="AMV1530" s="646"/>
      <c r="AMW1530" s="646"/>
      <c r="AMX1530" s="646"/>
      <c r="AMY1530" s="646"/>
      <c r="AMZ1530" s="646"/>
      <c r="ANA1530" s="646"/>
      <c r="ANB1530" s="646"/>
      <c r="ANC1530" s="646"/>
      <c r="AND1530" s="646"/>
      <c r="ANE1530" s="646"/>
      <c r="ANF1530" s="646"/>
      <c r="ANG1530" s="646"/>
      <c r="ANH1530" s="646"/>
      <c r="ANI1530" s="646"/>
      <c r="ANJ1530" s="646"/>
      <c r="ANK1530" s="646"/>
      <c r="ANL1530" s="646"/>
      <c r="ANM1530" s="646"/>
      <c r="ANN1530" s="646"/>
      <c r="ANO1530" s="646"/>
      <c r="ANP1530" s="646"/>
      <c r="ANQ1530" s="646"/>
      <c r="ANR1530" s="646"/>
      <c r="ANS1530" s="646"/>
      <c r="ANT1530" s="646"/>
      <c r="ANU1530" s="646"/>
      <c r="ANV1530" s="646"/>
      <c r="ANW1530" s="646"/>
      <c r="ANX1530" s="646"/>
      <c r="ANY1530" s="646"/>
      <c r="ANZ1530" s="646"/>
      <c r="AOA1530" s="646"/>
      <c r="AOB1530" s="646"/>
      <c r="AOC1530" s="646"/>
      <c r="AOD1530" s="646"/>
      <c r="AOE1530" s="646"/>
      <c r="AOF1530" s="646"/>
      <c r="AOG1530" s="646"/>
      <c r="AOH1530" s="646"/>
      <c r="AOI1530" s="646"/>
      <c r="AOJ1530" s="646"/>
      <c r="AOK1530" s="646"/>
      <c r="AOL1530" s="646"/>
      <c r="AOM1530" s="646"/>
      <c r="AON1530" s="646"/>
      <c r="AOO1530" s="646"/>
      <c r="AOP1530" s="646"/>
      <c r="AOQ1530" s="646"/>
      <c r="AOR1530" s="646"/>
      <c r="AOS1530" s="646"/>
      <c r="AOT1530" s="646"/>
      <c r="AOU1530" s="646"/>
      <c r="AOV1530" s="646"/>
      <c r="AOW1530" s="646"/>
      <c r="AOX1530" s="646"/>
      <c r="AOY1530" s="646"/>
      <c r="AOZ1530" s="646"/>
      <c r="APA1530" s="646"/>
      <c r="APB1530" s="646"/>
      <c r="APC1530" s="646"/>
      <c r="APD1530" s="646"/>
      <c r="APE1530" s="646"/>
      <c r="APF1530" s="646"/>
      <c r="APG1530" s="646"/>
      <c r="APH1530" s="646"/>
      <c r="API1530" s="646"/>
      <c r="APJ1530" s="646"/>
      <c r="APK1530" s="646"/>
      <c r="APL1530" s="646"/>
      <c r="APM1530" s="646"/>
      <c r="APN1530" s="646"/>
      <c r="APO1530" s="646"/>
      <c r="APP1530" s="646"/>
      <c r="APQ1530" s="646"/>
      <c r="APR1530" s="646"/>
      <c r="APS1530" s="646"/>
      <c r="APT1530" s="646"/>
      <c r="APU1530" s="646"/>
      <c r="APV1530" s="646"/>
      <c r="APW1530" s="646"/>
      <c r="APX1530" s="646"/>
      <c r="APY1530" s="646"/>
      <c r="APZ1530" s="646"/>
      <c r="AQA1530" s="646"/>
      <c r="AQB1530" s="646"/>
      <c r="AQC1530" s="646"/>
      <c r="AQD1530" s="646"/>
      <c r="AQE1530" s="646"/>
      <c r="AQF1530" s="646"/>
      <c r="AQG1530" s="646"/>
      <c r="AQH1530" s="646"/>
      <c r="AQI1530" s="646"/>
      <c r="AQJ1530" s="646"/>
      <c r="AQK1530" s="646"/>
      <c r="AQL1530" s="646"/>
      <c r="AQM1530" s="646"/>
      <c r="AQN1530" s="646"/>
      <c r="AQO1530" s="646"/>
      <c r="AQP1530" s="646"/>
      <c r="AQQ1530" s="646"/>
      <c r="AQR1530" s="646"/>
      <c r="AQS1530" s="646"/>
      <c r="AQT1530" s="646"/>
      <c r="AQU1530" s="646"/>
      <c r="AQV1530" s="646"/>
      <c r="AQW1530" s="646"/>
      <c r="AQX1530" s="646"/>
      <c r="AQY1530" s="646"/>
      <c r="AQZ1530" s="646"/>
      <c r="ARA1530" s="646"/>
      <c r="ARB1530" s="646"/>
      <c r="ARC1530" s="646"/>
      <c r="ARD1530" s="646"/>
      <c r="ARE1530" s="646"/>
      <c r="ARF1530" s="646"/>
      <c r="ARG1530" s="646"/>
      <c r="ARH1530" s="646"/>
      <c r="ARI1530" s="646"/>
      <c r="ARJ1530" s="646"/>
      <c r="ARK1530" s="646"/>
      <c r="ARL1530" s="646"/>
      <c r="ARM1530" s="646"/>
      <c r="ARN1530" s="646"/>
      <c r="ARO1530" s="646"/>
      <c r="ARP1530" s="646"/>
      <c r="ARQ1530" s="646"/>
      <c r="ARR1530" s="646"/>
      <c r="ARS1530" s="646"/>
      <c r="ART1530" s="646"/>
      <c r="ARU1530" s="646"/>
      <c r="ARV1530" s="646"/>
      <c r="ARW1530" s="646"/>
      <c r="ARX1530" s="646"/>
      <c r="ARY1530" s="646"/>
      <c r="ARZ1530" s="646"/>
      <c r="ASA1530" s="646"/>
      <c r="ASB1530" s="646"/>
      <c r="ASC1530" s="646"/>
      <c r="ASD1530" s="646"/>
      <c r="ASE1530" s="646"/>
      <c r="ASF1530" s="646"/>
      <c r="ASG1530" s="646"/>
      <c r="ASH1530" s="646"/>
      <c r="ASI1530" s="646"/>
      <c r="ASJ1530" s="646"/>
      <c r="ASK1530" s="646"/>
      <c r="ASL1530" s="646"/>
      <c r="ASM1530" s="646"/>
      <c r="ASN1530" s="646"/>
      <c r="ASO1530" s="646"/>
      <c r="ASP1530" s="646"/>
      <c r="ASQ1530" s="646"/>
      <c r="ASR1530" s="646"/>
      <c r="ASS1530" s="646"/>
      <c r="AST1530" s="646"/>
      <c r="ASU1530" s="646"/>
      <c r="ASV1530" s="646"/>
      <c r="ASW1530" s="646"/>
      <c r="ASX1530" s="646"/>
      <c r="ASY1530" s="646"/>
      <c r="ASZ1530" s="646"/>
      <c r="ATA1530" s="646"/>
      <c r="ATB1530" s="646"/>
      <c r="ATC1530" s="646"/>
      <c r="ATD1530" s="646"/>
      <c r="ATE1530" s="646"/>
      <c r="ATF1530" s="646"/>
      <c r="ATG1530" s="646"/>
      <c r="ATH1530" s="646"/>
      <c r="ATI1530" s="646"/>
      <c r="ATJ1530" s="646"/>
      <c r="ATK1530" s="646"/>
      <c r="ATL1530" s="646"/>
      <c r="ATM1530" s="646"/>
      <c r="ATN1530" s="646"/>
      <c r="ATO1530" s="646"/>
      <c r="ATP1530" s="646"/>
      <c r="ATQ1530" s="646"/>
      <c r="ATR1530" s="646"/>
      <c r="ATS1530" s="646"/>
      <c r="ATT1530" s="646"/>
      <c r="ATU1530" s="646"/>
      <c r="ATV1530" s="646"/>
      <c r="ATW1530" s="646"/>
      <c r="ATX1530" s="646"/>
      <c r="ATY1530" s="646"/>
      <c r="ATZ1530" s="646"/>
      <c r="AUA1530" s="646"/>
      <c r="AUB1530" s="646"/>
      <c r="AUC1530" s="646"/>
      <c r="AUD1530" s="646"/>
      <c r="AUE1530" s="646"/>
      <c r="AUF1530" s="646"/>
      <c r="AUG1530" s="646"/>
      <c r="AUH1530" s="646"/>
      <c r="AUI1530" s="646"/>
      <c r="AUJ1530" s="646"/>
      <c r="AUK1530" s="646"/>
      <c r="AUL1530" s="646"/>
      <c r="AUM1530" s="646"/>
      <c r="AUN1530" s="646"/>
      <c r="AUO1530" s="646"/>
      <c r="AUP1530" s="646"/>
      <c r="AUQ1530" s="646"/>
      <c r="AUR1530" s="646"/>
      <c r="AUS1530" s="646"/>
      <c r="AUT1530" s="646"/>
      <c r="AUU1530" s="646"/>
      <c r="AUV1530" s="646"/>
      <c r="AUW1530" s="646"/>
      <c r="AUX1530" s="646"/>
      <c r="AUY1530" s="646"/>
      <c r="AUZ1530" s="646"/>
      <c r="AVA1530" s="646"/>
      <c r="AVB1530" s="646"/>
      <c r="AVC1530" s="646"/>
      <c r="AVD1530" s="646"/>
      <c r="AVE1530" s="646"/>
      <c r="AVF1530" s="646"/>
      <c r="AVG1530" s="646"/>
      <c r="AVH1530" s="646"/>
      <c r="AVI1530" s="646"/>
      <c r="AVJ1530" s="646"/>
      <c r="AVK1530" s="646"/>
      <c r="AVL1530" s="646"/>
      <c r="AVM1530" s="646"/>
      <c r="AVN1530" s="646"/>
      <c r="AVO1530" s="646"/>
      <c r="AVP1530" s="646"/>
      <c r="AVQ1530" s="646"/>
      <c r="AVR1530" s="646"/>
      <c r="AVS1530" s="646"/>
      <c r="AVT1530" s="646"/>
      <c r="AVU1530" s="646"/>
      <c r="AVV1530" s="646"/>
      <c r="AVW1530" s="646"/>
      <c r="AVX1530" s="646"/>
      <c r="AVY1530" s="646"/>
      <c r="AVZ1530" s="646"/>
      <c r="AWA1530" s="646"/>
      <c r="AWB1530" s="646"/>
      <c r="AWC1530" s="646"/>
      <c r="AWD1530" s="646"/>
      <c r="AWE1530" s="646"/>
      <c r="AWF1530" s="646"/>
      <c r="AWG1530" s="646"/>
      <c r="AWH1530" s="646"/>
      <c r="AWI1530" s="646"/>
      <c r="AWJ1530" s="646"/>
      <c r="AWK1530" s="646"/>
      <c r="AWL1530" s="646"/>
      <c r="AWM1530" s="646"/>
      <c r="AWN1530" s="646"/>
      <c r="AWO1530" s="646"/>
      <c r="AWP1530" s="646"/>
      <c r="AWQ1530" s="646"/>
      <c r="AWR1530" s="646"/>
      <c r="AWS1530" s="646"/>
      <c r="AWT1530" s="646"/>
      <c r="AWU1530" s="646"/>
      <c r="AWV1530" s="646"/>
      <c r="AWW1530" s="646"/>
      <c r="AWX1530" s="646"/>
      <c r="AWY1530" s="646"/>
      <c r="AWZ1530" s="646"/>
      <c r="AXA1530" s="646"/>
      <c r="AXB1530" s="646"/>
      <c r="AXC1530" s="646"/>
      <c r="AXD1530" s="646"/>
      <c r="AXE1530" s="646"/>
      <c r="AXF1530" s="646"/>
      <c r="AXG1530" s="646"/>
      <c r="AXH1530" s="646"/>
      <c r="AXI1530" s="646"/>
      <c r="AXJ1530" s="646"/>
      <c r="AXK1530" s="646"/>
      <c r="AXL1530" s="646"/>
      <c r="AXM1530" s="646"/>
      <c r="AXN1530" s="646"/>
      <c r="AXO1530" s="646"/>
      <c r="AXP1530" s="646"/>
      <c r="AXQ1530" s="646"/>
      <c r="AXR1530" s="646"/>
      <c r="AXS1530" s="646"/>
      <c r="AXT1530" s="646"/>
      <c r="AXU1530" s="646"/>
      <c r="AXV1530" s="646"/>
      <c r="AXW1530" s="646"/>
      <c r="AXX1530" s="646"/>
      <c r="AXY1530" s="646"/>
      <c r="AXZ1530" s="646"/>
      <c r="AYA1530" s="646"/>
      <c r="AYB1530" s="646"/>
      <c r="AYC1530" s="646"/>
      <c r="AYD1530" s="646"/>
      <c r="AYE1530" s="646"/>
      <c r="AYF1530" s="646"/>
      <c r="AYG1530" s="646"/>
      <c r="AYH1530" s="646"/>
      <c r="AYI1530" s="646"/>
      <c r="AYJ1530" s="646"/>
      <c r="AYK1530" s="646"/>
      <c r="AYL1530" s="646"/>
      <c r="AYM1530" s="646"/>
      <c r="AYN1530" s="646"/>
      <c r="AYO1530" s="646"/>
      <c r="AYP1530" s="646"/>
      <c r="AYQ1530" s="646"/>
      <c r="AYR1530" s="646"/>
      <c r="AYS1530" s="646"/>
      <c r="AYT1530" s="646"/>
      <c r="AYU1530" s="646"/>
      <c r="AYV1530" s="646"/>
      <c r="AYW1530" s="646"/>
      <c r="AYX1530" s="646"/>
      <c r="AYY1530" s="646"/>
      <c r="AYZ1530" s="646"/>
      <c r="AZA1530" s="646"/>
      <c r="AZB1530" s="646"/>
      <c r="AZC1530" s="646"/>
      <c r="AZD1530" s="646"/>
      <c r="AZE1530" s="646"/>
      <c r="AZF1530" s="646"/>
      <c r="AZG1530" s="646"/>
      <c r="AZH1530" s="646"/>
      <c r="AZI1530" s="646"/>
      <c r="AZJ1530" s="646"/>
      <c r="AZK1530" s="646"/>
      <c r="AZL1530" s="646"/>
      <c r="AZM1530" s="646"/>
      <c r="AZN1530" s="646"/>
      <c r="AZO1530" s="646"/>
      <c r="AZP1530" s="646"/>
      <c r="AZQ1530" s="646"/>
      <c r="AZR1530" s="646"/>
      <c r="AZS1530" s="646"/>
      <c r="AZT1530" s="646"/>
      <c r="AZU1530" s="646"/>
      <c r="AZV1530" s="646"/>
      <c r="AZW1530" s="646"/>
      <c r="AZX1530" s="646"/>
      <c r="AZY1530" s="646"/>
      <c r="AZZ1530" s="646"/>
      <c r="BAA1530" s="646"/>
      <c r="BAB1530" s="646"/>
      <c r="BAC1530" s="646"/>
      <c r="BAD1530" s="646"/>
      <c r="BAE1530" s="646"/>
      <c r="BAF1530" s="646"/>
      <c r="BAG1530" s="646"/>
      <c r="BAH1530" s="646"/>
      <c r="BAI1530" s="646"/>
      <c r="BAJ1530" s="646"/>
      <c r="BAK1530" s="646"/>
      <c r="BAL1530" s="646"/>
      <c r="BAM1530" s="646"/>
      <c r="BAN1530" s="646"/>
      <c r="BAO1530" s="646"/>
      <c r="BAP1530" s="646"/>
      <c r="BAQ1530" s="646"/>
      <c r="BAR1530" s="646"/>
      <c r="BAS1530" s="646"/>
      <c r="BAT1530" s="646"/>
      <c r="BAU1530" s="646"/>
      <c r="BAV1530" s="646"/>
      <c r="BAW1530" s="646"/>
      <c r="BAX1530" s="646"/>
      <c r="BAY1530" s="646"/>
      <c r="BAZ1530" s="646"/>
      <c r="BBA1530" s="646"/>
      <c r="BBB1530" s="646"/>
      <c r="BBC1530" s="646"/>
      <c r="BBD1530" s="646"/>
      <c r="BBE1530" s="646"/>
      <c r="BBF1530" s="646"/>
      <c r="BBG1530" s="646"/>
      <c r="BBH1530" s="646"/>
      <c r="BBI1530" s="646"/>
      <c r="BBJ1530" s="646"/>
      <c r="BBK1530" s="646"/>
      <c r="BBL1530" s="646"/>
      <c r="BBM1530" s="646"/>
      <c r="BBN1530" s="646"/>
      <c r="BBO1530" s="646"/>
      <c r="BBP1530" s="646"/>
      <c r="BBQ1530" s="646"/>
      <c r="BBR1530" s="646"/>
      <c r="BBS1530" s="646"/>
      <c r="BBT1530" s="646"/>
      <c r="BBU1530" s="646"/>
      <c r="BBV1530" s="646"/>
      <c r="BBW1530" s="646"/>
      <c r="BBX1530" s="646"/>
      <c r="BBY1530" s="646"/>
      <c r="BBZ1530" s="646"/>
      <c r="BCA1530" s="646"/>
      <c r="BCB1530" s="646"/>
      <c r="BCC1530" s="646"/>
      <c r="BCD1530" s="646"/>
      <c r="BCE1530" s="646"/>
      <c r="BCF1530" s="646"/>
      <c r="BCG1530" s="646"/>
      <c r="BCH1530" s="646"/>
      <c r="BCI1530" s="646"/>
      <c r="BCJ1530" s="646"/>
      <c r="BCK1530" s="646"/>
      <c r="BCL1530" s="646"/>
      <c r="BCM1530" s="646"/>
      <c r="BCN1530" s="646"/>
      <c r="BCO1530" s="646"/>
      <c r="BCP1530" s="646"/>
      <c r="BCQ1530" s="646"/>
      <c r="BCR1530" s="646"/>
      <c r="BCS1530" s="646"/>
      <c r="BCT1530" s="646"/>
      <c r="BCU1530" s="646"/>
      <c r="BCV1530" s="646"/>
      <c r="BCW1530" s="646"/>
      <c r="BCX1530" s="646"/>
      <c r="BCY1530" s="646"/>
      <c r="BCZ1530" s="646"/>
      <c r="BDA1530" s="646"/>
      <c r="BDB1530" s="646"/>
      <c r="BDC1530" s="646"/>
      <c r="BDD1530" s="646"/>
      <c r="BDE1530" s="646"/>
      <c r="BDF1530" s="646"/>
      <c r="BDG1530" s="646"/>
      <c r="BDH1530" s="646"/>
      <c r="BDI1530" s="646"/>
      <c r="BDJ1530" s="646"/>
      <c r="BDK1530" s="646"/>
      <c r="BDL1530" s="646"/>
      <c r="BDM1530" s="646"/>
      <c r="BDN1530" s="646"/>
      <c r="BDO1530" s="646"/>
      <c r="BDP1530" s="646"/>
      <c r="BDQ1530" s="646"/>
      <c r="BDR1530" s="646"/>
      <c r="BDS1530" s="646"/>
      <c r="BDT1530" s="646"/>
      <c r="BDU1530" s="646"/>
      <c r="BDV1530" s="646"/>
      <c r="BDW1530" s="646"/>
      <c r="BDX1530" s="646"/>
      <c r="BDY1530" s="646"/>
      <c r="BDZ1530" s="646"/>
      <c r="BEA1530" s="646"/>
      <c r="BEB1530" s="646"/>
      <c r="BEC1530" s="646"/>
      <c r="BED1530" s="646"/>
      <c r="BEE1530" s="646"/>
      <c r="BEF1530" s="646"/>
      <c r="BEG1530" s="646"/>
      <c r="BEH1530" s="646"/>
      <c r="BEI1530" s="646"/>
      <c r="BEJ1530" s="646"/>
      <c r="BEK1530" s="646"/>
      <c r="BEL1530" s="646"/>
      <c r="BEM1530" s="646"/>
      <c r="BEN1530" s="646"/>
      <c r="BEO1530" s="646"/>
      <c r="BEP1530" s="646"/>
      <c r="BEQ1530" s="646"/>
      <c r="BER1530" s="646"/>
      <c r="BES1530" s="646"/>
      <c r="BET1530" s="646"/>
      <c r="BEU1530" s="646"/>
      <c r="BEV1530" s="646"/>
      <c r="BEW1530" s="646"/>
      <c r="BEX1530" s="646"/>
      <c r="BEY1530" s="646"/>
      <c r="BEZ1530" s="646"/>
      <c r="BFA1530" s="646"/>
      <c r="BFB1530" s="646"/>
      <c r="BFC1530" s="646"/>
      <c r="BFD1530" s="646"/>
      <c r="BFE1530" s="646"/>
      <c r="BFF1530" s="646"/>
      <c r="BFG1530" s="646"/>
      <c r="BFH1530" s="646"/>
      <c r="BFI1530" s="646"/>
      <c r="BFJ1530" s="646"/>
      <c r="BFK1530" s="646"/>
      <c r="BFL1530" s="646"/>
      <c r="BFM1530" s="646"/>
      <c r="BFN1530" s="646"/>
      <c r="BFO1530" s="646"/>
      <c r="BFP1530" s="646"/>
      <c r="BFQ1530" s="646"/>
      <c r="BFR1530" s="646"/>
      <c r="BFS1530" s="646"/>
      <c r="BFT1530" s="646"/>
      <c r="BFU1530" s="646"/>
      <c r="BFV1530" s="646"/>
      <c r="BFW1530" s="646"/>
      <c r="BFX1530" s="646"/>
      <c r="BFY1530" s="646"/>
      <c r="BFZ1530" s="646"/>
      <c r="BGA1530" s="646"/>
      <c r="BGB1530" s="646"/>
      <c r="BGC1530" s="646"/>
      <c r="BGD1530" s="646"/>
      <c r="BGE1530" s="646"/>
      <c r="BGF1530" s="646"/>
      <c r="BGG1530" s="646"/>
      <c r="BGH1530" s="646"/>
      <c r="BGI1530" s="646"/>
      <c r="BGJ1530" s="646"/>
      <c r="BGK1530" s="646"/>
      <c r="BGL1530" s="646"/>
      <c r="BGM1530" s="646"/>
      <c r="BGN1530" s="646"/>
      <c r="BGO1530" s="646"/>
      <c r="BGP1530" s="646"/>
      <c r="BGQ1530" s="646"/>
      <c r="BGR1530" s="646"/>
      <c r="BGS1530" s="646"/>
      <c r="BGT1530" s="646"/>
      <c r="BGU1530" s="646"/>
      <c r="BGV1530" s="646"/>
      <c r="BGW1530" s="646"/>
      <c r="BGX1530" s="646"/>
      <c r="BGY1530" s="646"/>
      <c r="BGZ1530" s="646"/>
      <c r="BHA1530" s="646"/>
      <c r="BHB1530" s="646"/>
      <c r="BHC1530" s="646"/>
      <c r="BHD1530" s="646"/>
      <c r="BHE1530" s="646"/>
      <c r="BHF1530" s="646"/>
      <c r="BHG1530" s="646"/>
      <c r="BHH1530" s="646"/>
      <c r="BHI1530" s="646"/>
      <c r="BHJ1530" s="646"/>
      <c r="BHK1530" s="646"/>
      <c r="BHL1530" s="646"/>
      <c r="BHM1530" s="646"/>
      <c r="BHN1530" s="646"/>
      <c r="BHO1530" s="646"/>
      <c r="BHP1530" s="646"/>
      <c r="BHQ1530" s="646"/>
      <c r="BHR1530" s="646"/>
      <c r="BHS1530" s="646"/>
      <c r="BHT1530" s="646"/>
      <c r="BHU1530" s="646"/>
      <c r="BHV1530" s="646"/>
      <c r="BHW1530" s="646"/>
      <c r="BHX1530" s="646"/>
      <c r="BHY1530" s="646"/>
      <c r="BHZ1530" s="646"/>
      <c r="BIA1530" s="646"/>
      <c r="BIB1530" s="646"/>
      <c r="BIC1530" s="646"/>
      <c r="BID1530" s="646"/>
      <c r="BIE1530" s="646"/>
      <c r="BIF1530" s="646"/>
      <c r="BIG1530" s="646"/>
      <c r="BIH1530" s="646"/>
      <c r="BII1530" s="646"/>
      <c r="BIJ1530" s="646"/>
      <c r="BIK1530" s="646"/>
      <c r="BIL1530" s="646"/>
      <c r="BIM1530" s="646"/>
      <c r="BIN1530" s="646"/>
      <c r="BIO1530" s="646"/>
      <c r="BIP1530" s="646"/>
      <c r="BIQ1530" s="646"/>
      <c r="BIR1530" s="646"/>
      <c r="BIS1530" s="646"/>
      <c r="BIT1530" s="646"/>
      <c r="BIU1530" s="646"/>
      <c r="BIV1530" s="646"/>
      <c r="BIW1530" s="646"/>
      <c r="BIX1530" s="646"/>
      <c r="BIY1530" s="646"/>
      <c r="BIZ1530" s="646"/>
      <c r="BJA1530" s="646"/>
      <c r="BJB1530" s="646"/>
      <c r="BJC1530" s="646"/>
      <c r="BJD1530" s="646"/>
      <c r="BJE1530" s="646"/>
      <c r="BJF1530" s="646"/>
      <c r="BJG1530" s="646"/>
      <c r="BJH1530" s="646"/>
      <c r="BJI1530" s="646"/>
      <c r="BJJ1530" s="646"/>
      <c r="BJK1530" s="646"/>
      <c r="BJL1530" s="646"/>
      <c r="BJM1530" s="646"/>
      <c r="BJN1530" s="646"/>
      <c r="BJO1530" s="646"/>
      <c r="BJP1530" s="646"/>
      <c r="BJQ1530" s="646"/>
      <c r="BJR1530" s="646"/>
      <c r="BJS1530" s="646"/>
      <c r="BJT1530" s="646"/>
      <c r="BJU1530" s="646"/>
      <c r="BJV1530" s="646"/>
      <c r="BJW1530" s="646"/>
      <c r="BJX1530" s="646"/>
      <c r="BJY1530" s="646"/>
      <c r="BJZ1530" s="646"/>
      <c r="BKA1530" s="646"/>
      <c r="BKB1530" s="646"/>
      <c r="BKC1530" s="646"/>
      <c r="BKD1530" s="646"/>
      <c r="BKE1530" s="646"/>
      <c r="BKF1530" s="646"/>
      <c r="BKG1530" s="646"/>
      <c r="BKH1530" s="646"/>
      <c r="BKI1530" s="646"/>
      <c r="BKJ1530" s="646"/>
      <c r="BKK1530" s="646"/>
      <c r="BKL1530" s="646"/>
      <c r="BKM1530" s="646"/>
      <c r="BKN1530" s="646"/>
      <c r="BKO1530" s="646"/>
      <c r="BKP1530" s="646"/>
      <c r="BKQ1530" s="646"/>
      <c r="BKR1530" s="646"/>
      <c r="BKS1530" s="646"/>
      <c r="BKT1530" s="646"/>
      <c r="BKU1530" s="646"/>
      <c r="BKV1530" s="646"/>
      <c r="BKW1530" s="646"/>
      <c r="BKX1530" s="646"/>
      <c r="BKY1530" s="646"/>
      <c r="BKZ1530" s="646"/>
      <c r="BLA1530" s="646"/>
      <c r="BLB1530" s="646"/>
      <c r="BLC1530" s="646"/>
      <c r="BLD1530" s="646"/>
      <c r="BLE1530" s="646"/>
      <c r="BLF1530" s="646"/>
      <c r="BLG1530" s="646"/>
      <c r="BLH1530" s="646"/>
      <c r="BLI1530" s="646"/>
      <c r="BLJ1530" s="646"/>
      <c r="BLK1530" s="646"/>
      <c r="BLL1530" s="646"/>
      <c r="BLM1530" s="646"/>
      <c r="BLN1530" s="646"/>
      <c r="BLO1530" s="646"/>
      <c r="BLP1530" s="646"/>
      <c r="BLQ1530" s="646"/>
      <c r="BLR1530" s="646"/>
      <c r="BLS1530" s="646"/>
      <c r="BLT1530" s="646"/>
      <c r="BLU1530" s="646"/>
      <c r="BLV1530" s="646"/>
      <c r="BLW1530" s="646"/>
      <c r="BLX1530" s="646"/>
      <c r="BLY1530" s="646"/>
      <c r="BLZ1530" s="646"/>
      <c r="BMA1530" s="646"/>
      <c r="BMB1530" s="646"/>
      <c r="BMC1530" s="646"/>
      <c r="BMD1530" s="646"/>
      <c r="BME1530" s="646"/>
      <c r="BMF1530" s="646"/>
      <c r="BMG1530" s="646"/>
      <c r="BMH1530" s="646"/>
      <c r="BMI1530" s="646"/>
      <c r="BMJ1530" s="646"/>
      <c r="BMK1530" s="646"/>
      <c r="BML1530" s="646"/>
      <c r="BMM1530" s="646"/>
      <c r="BMN1530" s="646"/>
      <c r="BMO1530" s="646"/>
      <c r="BMP1530" s="646"/>
      <c r="BMQ1530" s="646"/>
      <c r="BMR1530" s="646"/>
      <c r="BMS1530" s="646"/>
      <c r="BMT1530" s="646"/>
      <c r="BMU1530" s="646"/>
      <c r="BMV1530" s="646"/>
      <c r="BMW1530" s="646"/>
      <c r="BMX1530" s="646"/>
      <c r="BMY1530" s="646"/>
      <c r="BMZ1530" s="646"/>
      <c r="BNA1530" s="646"/>
      <c r="BNB1530" s="646"/>
      <c r="BNC1530" s="646"/>
      <c r="BND1530" s="646"/>
      <c r="BNE1530" s="646"/>
      <c r="BNF1530" s="646"/>
      <c r="BNG1530" s="646"/>
      <c r="BNH1530" s="646"/>
      <c r="BNI1530" s="646"/>
      <c r="BNJ1530" s="646"/>
      <c r="BNK1530" s="646"/>
      <c r="BNL1530" s="646"/>
      <c r="BNM1530" s="646"/>
      <c r="BNN1530" s="646"/>
      <c r="BNO1530" s="646"/>
      <c r="BNP1530" s="646"/>
      <c r="BNQ1530" s="646"/>
      <c r="BNR1530" s="646"/>
      <c r="BNS1530" s="646"/>
      <c r="BNT1530" s="646"/>
      <c r="BNU1530" s="646"/>
      <c r="BNV1530" s="646"/>
      <c r="BNW1530" s="646"/>
      <c r="BNX1530" s="646"/>
      <c r="BNY1530" s="646"/>
      <c r="BNZ1530" s="646"/>
      <c r="BOA1530" s="646"/>
      <c r="BOB1530" s="646"/>
      <c r="BOC1530" s="646"/>
      <c r="BOD1530" s="646"/>
      <c r="BOE1530" s="646"/>
      <c r="BOF1530" s="646"/>
      <c r="BOG1530" s="646"/>
      <c r="BOH1530" s="646"/>
      <c r="BOI1530" s="646"/>
      <c r="BOJ1530" s="646"/>
      <c r="BOK1530" s="646"/>
      <c r="BOL1530" s="646"/>
      <c r="BOM1530" s="646"/>
      <c r="BON1530" s="646"/>
      <c r="BOO1530" s="646"/>
      <c r="BOP1530" s="646"/>
      <c r="BOQ1530" s="646"/>
      <c r="BOR1530" s="646"/>
      <c r="BOS1530" s="646"/>
      <c r="BOT1530" s="646"/>
      <c r="BOU1530" s="646"/>
      <c r="BOV1530" s="646"/>
      <c r="BOW1530" s="646"/>
      <c r="BOX1530" s="646"/>
      <c r="BOY1530" s="646"/>
      <c r="BOZ1530" s="646"/>
      <c r="BPA1530" s="646"/>
      <c r="BPB1530" s="646"/>
      <c r="BPC1530" s="646"/>
      <c r="BPD1530" s="646"/>
      <c r="BPE1530" s="646"/>
      <c r="BPF1530" s="646"/>
      <c r="BPG1530" s="646"/>
      <c r="BPH1530" s="646"/>
      <c r="BPI1530" s="646"/>
      <c r="BPJ1530" s="646"/>
      <c r="BPK1530" s="646"/>
      <c r="BPL1530" s="646"/>
      <c r="BPM1530" s="646"/>
      <c r="BPN1530" s="646"/>
      <c r="BPO1530" s="646"/>
      <c r="BPP1530" s="646"/>
      <c r="BPQ1530" s="646"/>
      <c r="BPR1530" s="646"/>
      <c r="BPS1530" s="646"/>
      <c r="BPT1530" s="646"/>
      <c r="BPU1530" s="646"/>
      <c r="BPV1530" s="646"/>
      <c r="BPW1530" s="646"/>
      <c r="BPX1530" s="646"/>
      <c r="BPY1530" s="646"/>
      <c r="BPZ1530" s="646"/>
      <c r="BQA1530" s="646"/>
      <c r="BQB1530" s="646"/>
      <c r="BQC1530" s="646"/>
      <c r="BQD1530" s="646"/>
      <c r="BQE1530" s="646"/>
      <c r="BQF1530" s="646"/>
      <c r="BQG1530" s="646"/>
      <c r="BQH1530" s="646"/>
      <c r="BQI1530" s="646"/>
      <c r="BQJ1530" s="646"/>
      <c r="BQK1530" s="646"/>
      <c r="BQL1530" s="646"/>
      <c r="BQM1530" s="646"/>
      <c r="BQN1530" s="646"/>
      <c r="BQO1530" s="646"/>
      <c r="BQP1530" s="646"/>
      <c r="BQQ1530" s="646"/>
      <c r="BQR1530" s="646"/>
      <c r="BQS1530" s="646"/>
      <c r="BQT1530" s="646"/>
      <c r="BQU1530" s="646"/>
      <c r="BQV1530" s="646"/>
      <c r="BQW1530" s="646"/>
      <c r="BQX1530" s="646"/>
      <c r="BQY1530" s="646"/>
      <c r="BQZ1530" s="646"/>
      <c r="BRA1530" s="646"/>
      <c r="BRB1530" s="646"/>
      <c r="BRC1530" s="646"/>
      <c r="BRD1530" s="646"/>
      <c r="BRE1530" s="646"/>
      <c r="BRF1530" s="646"/>
      <c r="BRG1530" s="646"/>
      <c r="BRH1530" s="646"/>
      <c r="BRI1530" s="646"/>
      <c r="BRJ1530" s="646"/>
      <c r="BRK1530" s="646"/>
      <c r="BRL1530" s="646"/>
      <c r="BRM1530" s="646"/>
      <c r="BRN1530" s="646"/>
      <c r="BRO1530" s="646"/>
      <c r="BRP1530" s="646"/>
      <c r="BRQ1530" s="646"/>
      <c r="BRR1530" s="646"/>
      <c r="BRS1530" s="646"/>
      <c r="BRT1530" s="646"/>
      <c r="BRU1530" s="646"/>
      <c r="BRV1530" s="646"/>
      <c r="BRW1530" s="646"/>
      <c r="BRX1530" s="646"/>
      <c r="BRY1530" s="646"/>
      <c r="BRZ1530" s="646"/>
      <c r="BSA1530" s="646"/>
      <c r="BSB1530" s="646"/>
      <c r="BSC1530" s="646"/>
      <c r="BSD1530" s="646"/>
      <c r="BSE1530" s="646"/>
      <c r="BSF1530" s="646"/>
      <c r="BSG1530" s="646"/>
      <c r="BSH1530" s="646"/>
      <c r="BSI1530" s="646"/>
      <c r="BSJ1530" s="646"/>
      <c r="BSK1530" s="646"/>
      <c r="BSL1530" s="646"/>
      <c r="BSM1530" s="646"/>
      <c r="BSN1530" s="646"/>
      <c r="BSO1530" s="646"/>
      <c r="BSP1530" s="646"/>
      <c r="BSQ1530" s="646"/>
      <c r="BSR1530" s="646"/>
      <c r="BSS1530" s="646"/>
      <c r="BST1530" s="646"/>
      <c r="BSU1530" s="646"/>
      <c r="BSV1530" s="646"/>
      <c r="BSW1530" s="646"/>
      <c r="BSX1530" s="646"/>
      <c r="BSY1530" s="646"/>
      <c r="BSZ1530" s="646"/>
      <c r="BTA1530" s="646"/>
      <c r="BTB1530" s="646"/>
      <c r="BTC1530" s="646"/>
      <c r="BTD1530" s="646"/>
      <c r="BTE1530" s="646"/>
      <c r="BTF1530" s="646"/>
      <c r="BTG1530" s="646"/>
      <c r="BTH1530" s="646"/>
      <c r="BTI1530" s="646"/>
      <c r="BTJ1530" s="646"/>
      <c r="BTK1530" s="646"/>
      <c r="BTL1530" s="646"/>
      <c r="BTM1530" s="646"/>
      <c r="BTN1530" s="646"/>
      <c r="BTO1530" s="646"/>
      <c r="BTP1530" s="646"/>
      <c r="BTQ1530" s="646"/>
      <c r="BTR1530" s="646"/>
      <c r="BTS1530" s="646"/>
      <c r="BTT1530" s="646"/>
      <c r="BTU1530" s="646"/>
      <c r="BTV1530" s="646"/>
      <c r="BTW1530" s="646"/>
      <c r="BTX1530" s="646"/>
      <c r="BTY1530" s="646"/>
      <c r="BTZ1530" s="646"/>
      <c r="BUA1530" s="646"/>
      <c r="BUB1530" s="646"/>
      <c r="BUC1530" s="646"/>
      <c r="BUD1530" s="646"/>
      <c r="BUE1530" s="646"/>
      <c r="BUF1530" s="646"/>
      <c r="BUG1530" s="646"/>
      <c r="BUH1530" s="646"/>
      <c r="BUI1530" s="646"/>
      <c r="BUJ1530" s="646"/>
      <c r="BUK1530" s="646"/>
      <c r="BUL1530" s="646"/>
      <c r="BUM1530" s="646"/>
      <c r="BUN1530" s="646"/>
      <c r="BUO1530" s="646"/>
      <c r="BUP1530" s="646"/>
      <c r="BUQ1530" s="646"/>
      <c r="BUR1530" s="646"/>
      <c r="BUS1530" s="646"/>
      <c r="BUT1530" s="646"/>
      <c r="BUU1530" s="646"/>
      <c r="BUV1530" s="646"/>
      <c r="BUW1530" s="646"/>
      <c r="BUX1530" s="646"/>
      <c r="BUY1530" s="646"/>
      <c r="BUZ1530" s="646"/>
      <c r="BVA1530" s="646"/>
      <c r="BVB1530" s="646"/>
      <c r="BVC1530" s="646"/>
      <c r="BVD1530" s="646"/>
      <c r="BVE1530" s="646"/>
      <c r="BVF1530" s="646"/>
      <c r="BVG1530" s="646"/>
      <c r="BVH1530" s="646"/>
      <c r="BVI1530" s="646"/>
      <c r="BVJ1530" s="646"/>
      <c r="BVK1530" s="646"/>
      <c r="BVL1530" s="646"/>
      <c r="BVM1530" s="646"/>
      <c r="BVN1530" s="646"/>
      <c r="BVO1530" s="646"/>
      <c r="BVP1530" s="646"/>
      <c r="BVQ1530" s="646"/>
      <c r="BVR1530" s="646"/>
      <c r="BVS1530" s="646"/>
      <c r="BVT1530" s="646"/>
      <c r="BVU1530" s="646"/>
      <c r="BVV1530" s="646"/>
      <c r="BVW1530" s="646"/>
      <c r="BVX1530" s="646"/>
      <c r="BVY1530" s="646"/>
      <c r="BVZ1530" s="646"/>
      <c r="BWA1530" s="646"/>
      <c r="BWB1530" s="646"/>
      <c r="BWC1530" s="646"/>
      <c r="BWD1530" s="646"/>
      <c r="BWE1530" s="646"/>
      <c r="BWF1530" s="646"/>
      <c r="BWG1530" s="646"/>
      <c r="BWH1530" s="646"/>
      <c r="BWI1530" s="646"/>
      <c r="BWJ1530" s="646"/>
      <c r="BWK1530" s="646"/>
      <c r="BWL1530" s="646"/>
      <c r="BWM1530" s="646"/>
      <c r="BWN1530" s="646"/>
      <c r="BWO1530" s="646"/>
      <c r="BWP1530" s="646"/>
      <c r="BWQ1530" s="646"/>
      <c r="BWR1530" s="646"/>
      <c r="BWS1530" s="646"/>
      <c r="BWT1530" s="646"/>
      <c r="BWU1530" s="646"/>
      <c r="BWV1530" s="646"/>
      <c r="BWW1530" s="646"/>
      <c r="BWX1530" s="646"/>
      <c r="BWY1530" s="646"/>
      <c r="BWZ1530" s="646"/>
      <c r="BXA1530" s="646"/>
      <c r="BXB1530" s="646"/>
      <c r="BXC1530" s="646"/>
      <c r="BXD1530" s="646"/>
      <c r="BXE1530" s="646"/>
      <c r="BXF1530" s="646"/>
      <c r="BXG1530" s="646"/>
      <c r="BXH1530" s="646"/>
      <c r="BXI1530" s="646"/>
      <c r="BXJ1530" s="646"/>
      <c r="BXK1530" s="646"/>
      <c r="BXL1530" s="646"/>
      <c r="BXM1530" s="646"/>
      <c r="BXN1530" s="646"/>
      <c r="BXO1530" s="646"/>
      <c r="BXP1530" s="646"/>
      <c r="BXQ1530" s="646"/>
      <c r="BXR1530" s="646"/>
      <c r="BXS1530" s="646"/>
      <c r="BXT1530" s="646"/>
      <c r="BXU1530" s="646"/>
      <c r="BXV1530" s="646"/>
      <c r="BXW1530" s="646"/>
      <c r="BXX1530" s="646"/>
      <c r="BXY1530" s="646"/>
      <c r="BXZ1530" s="646"/>
      <c r="BYA1530" s="646"/>
      <c r="BYB1530" s="646"/>
      <c r="BYC1530" s="646"/>
      <c r="BYD1530" s="646"/>
      <c r="BYE1530" s="646"/>
      <c r="BYF1530" s="646"/>
      <c r="BYG1530" s="646"/>
      <c r="BYH1530" s="646"/>
      <c r="BYI1530" s="646"/>
      <c r="BYJ1530" s="646"/>
      <c r="BYK1530" s="646"/>
      <c r="BYL1530" s="646"/>
      <c r="BYM1530" s="646"/>
      <c r="BYN1530" s="646"/>
      <c r="BYO1530" s="646"/>
      <c r="BYP1530" s="646"/>
      <c r="BYQ1530" s="646"/>
      <c r="BYR1530" s="646"/>
      <c r="BYS1530" s="646"/>
      <c r="BYT1530" s="646"/>
      <c r="BYU1530" s="646"/>
      <c r="BYV1530" s="646"/>
      <c r="BYW1530" s="646"/>
      <c r="BYX1530" s="646"/>
      <c r="BYY1530" s="646"/>
      <c r="BYZ1530" s="646"/>
      <c r="BZA1530" s="646"/>
      <c r="BZB1530" s="646"/>
      <c r="BZC1530" s="646"/>
      <c r="BZD1530" s="646"/>
      <c r="BZE1530" s="646"/>
      <c r="BZF1530" s="646"/>
      <c r="BZG1530" s="646"/>
      <c r="BZH1530" s="646"/>
      <c r="BZI1530" s="646"/>
      <c r="BZJ1530" s="646"/>
      <c r="BZK1530" s="646"/>
      <c r="BZL1530" s="646"/>
      <c r="BZM1530" s="646"/>
      <c r="BZN1530" s="646"/>
      <c r="BZO1530" s="646"/>
      <c r="BZP1530" s="646"/>
      <c r="BZQ1530" s="646"/>
      <c r="BZR1530" s="646"/>
      <c r="BZS1530" s="646"/>
      <c r="BZT1530" s="646"/>
      <c r="BZU1530" s="646"/>
      <c r="BZV1530" s="646"/>
      <c r="BZW1530" s="646"/>
      <c r="BZX1530" s="646"/>
      <c r="BZY1530" s="646"/>
      <c r="BZZ1530" s="646"/>
      <c r="CAA1530" s="646"/>
      <c r="CAB1530" s="646"/>
      <c r="CAC1530" s="646"/>
      <c r="CAD1530" s="646"/>
      <c r="CAE1530" s="646"/>
      <c r="CAF1530" s="646"/>
      <c r="CAG1530" s="646"/>
      <c r="CAH1530" s="646"/>
      <c r="CAI1530" s="646"/>
      <c r="CAJ1530" s="646"/>
      <c r="CAK1530" s="646"/>
      <c r="CAL1530" s="646"/>
      <c r="CAM1530" s="646"/>
      <c r="CAN1530" s="646"/>
      <c r="CAO1530" s="646"/>
      <c r="CAP1530" s="646"/>
      <c r="CAQ1530" s="646"/>
      <c r="CAR1530" s="646"/>
      <c r="CAS1530" s="646"/>
      <c r="CAT1530" s="646"/>
      <c r="CAU1530" s="646"/>
      <c r="CAV1530" s="646"/>
      <c r="CAW1530" s="646"/>
      <c r="CAX1530" s="646"/>
      <c r="CAY1530" s="646"/>
      <c r="CAZ1530" s="646"/>
      <c r="CBA1530" s="646"/>
      <c r="CBB1530" s="646"/>
      <c r="CBC1530" s="646"/>
      <c r="CBD1530" s="646"/>
      <c r="CBE1530" s="646"/>
      <c r="CBF1530" s="646"/>
      <c r="CBG1530" s="646"/>
      <c r="CBH1530" s="646"/>
      <c r="CBI1530" s="646"/>
      <c r="CBJ1530" s="646"/>
      <c r="CBK1530" s="646"/>
      <c r="CBL1530" s="646"/>
      <c r="CBM1530" s="646"/>
      <c r="CBN1530" s="646"/>
      <c r="CBO1530" s="646"/>
      <c r="CBP1530" s="646"/>
      <c r="CBQ1530" s="646"/>
      <c r="CBR1530" s="646"/>
      <c r="CBS1530" s="646"/>
      <c r="CBT1530" s="646"/>
      <c r="CBU1530" s="646"/>
      <c r="CBV1530" s="646"/>
      <c r="CBW1530" s="646"/>
      <c r="CBX1530" s="646"/>
      <c r="CBY1530" s="646"/>
      <c r="CBZ1530" s="646"/>
      <c r="CCA1530" s="646"/>
      <c r="CCB1530" s="646"/>
      <c r="CCC1530" s="646"/>
      <c r="CCD1530" s="646"/>
      <c r="CCE1530" s="646"/>
      <c r="CCF1530" s="646"/>
      <c r="CCG1530" s="646"/>
      <c r="CCH1530" s="646"/>
      <c r="CCI1530" s="646"/>
      <c r="CCJ1530" s="646"/>
      <c r="CCK1530" s="646"/>
      <c r="CCL1530" s="646"/>
      <c r="CCM1530" s="646"/>
      <c r="CCN1530" s="646"/>
      <c r="CCO1530" s="646"/>
      <c r="CCP1530" s="646"/>
      <c r="CCQ1530" s="646"/>
      <c r="CCR1530" s="646"/>
      <c r="CCS1530" s="646"/>
      <c r="CCT1530" s="646"/>
      <c r="CCU1530" s="646"/>
      <c r="CCV1530" s="646"/>
      <c r="CCW1530" s="646"/>
      <c r="CCX1530" s="646"/>
      <c r="CCY1530" s="646"/>
      <c r="CCZ1530" s="646"/>
      <c r="CDA1530" s="646"/>
      <c r="CDB1530" s="646"/>
      <c r="CDC1530" s="646"/>
      <c r="CDD1530" s="646"/>
      <c r="CDE1530" s="646"/>
      <c r="CDF1530" s="646"/>
      <c r="CDG1530" s="646"/>
      <c r="CDH1530" s="646"/>
      <c r="CDI1530" s="646"/>
      <c r="CDJ1530" s="646"/>
      <c r="CDK1530" s="646"/>
      <c r="CDL1530" s="646"/>
      <c r="CDM1530" s="646"/>
      <c r="CDN1530" s="646"/>
      <c r="CDO1530" s="646"/>
      <c r="CDP1530" s="646"/>
      <c r="CDQ1530" s="646"/>
      <c r="CDR1530" s="646"/>
      <c r="CDS1530" s="646"/>
      <c r="CDT1530" s="646"/>
      <c r="CDU1530" s="646"/>
      <c r="CDV1530" s="646"/>
      <c r="CDW1530" s="646"/>
      <c r="CDX1530" s="646"/>
      <c r="CDY1530" s="646"/>
      <c r="CDZ1530" s="646"/>
      <c r="CEA1530" s="646"/>
      <c r="CEB1530" s="646"/>
      <c r="CEC1530" s="646"/>
      <c r="CED1530" s="646"/>
      <c r="CEE1530" s="646"/>
      <c r="CEF1530" s="646"/>
      <c r="CEG1530" s="646"/>
      <c r="CEH1530" s="646"/>
      <c r="CEI1530" s="646"/>
      <c r="CEJ1530" s="646"/>
      <c r="CEK1530" s="646"/>
      <c r="CEL1530" s="646"/>
      <c r="CEM1530" s="646"/>
      <c r="CEN1530" s="646"/>
      <c r="CEO1530" s="646"/>
      <c r="CEP1530" s="646"/>
      <c r="CEQ1530" s="646"/>
      <c r="CER1530" s="646"/>
      <c r="CES1530" s="646"/>
      <c r="CET1530" s="646"/>
      <c r="CEU1530" s="646"/>
      <c r="CEV1530" s="646"/>
      <c r="CEW1530" s="646"/>
      <c r="CEX1530" s="646"/>
      <c r="CEY1530" s="646"/>
      <c r="CEZ1530" s="646"/>
      <c r="CFA1530" s="646"/>
      <c r="CFB1530" s="646"/>
      <c r="CFC1530" s="646"/>
      <c r="CFD1530" s="646"/>
      <c r="CFE1530" s="646"/>
      <c r="CFF1530" s="646"/>
      <c r="CFG1530" s="646"/>
      <c r="CFH1530" s="646"/>
      <c r="CFI1530" s="646"/>
      <c r="CFJ1530" s="646"/>
      <c r="CFK1530" s="646"/>
      <c r="CFL1530" s="646"/>
      <c r="CFM1530" s="646"/>
      <c r="CFN1530" s="646"/>
      <c r="CFO1530" s="646"/>
      <c r="CFP1530" s="646"/>
      <c r="CFQ1530" s="646"/>
      <c r="CFR1530" s="646"/>
      <c r="CFS1530" s="646"/>
      <c r="CFT1530" s="646"/>
      <c r="CFU1530" s="646"/>
      <c r="CFV1530" s="646"/>
      <c r="CFW1530" s="646"/>
      <c r="CFX1530" s="646"/>
      <c r="CFY1530" s="646"/>
      <c r="CFZ1530" s="646"/>
      <c r="CGA1530" s="646"/>
      <c r="CGB1530" s="646"/>
      <c r="CGC1530" s="646"/>
      <c r="CGD1530" s="646"/>
      <c r="CGE1530" s="646"/>
      <c r="CGF1530" s="646"/>
      <c r="CGG1530" s="646"/>
      <c r="CGH1530" s="646"/>
      <c r="CGI1530" s="646"/>
      <c r="CGJ1530" s="646"/>
      <c r="CGK1530" s="646"/>
      <c r="CGL1530" s="646"/>
      <c r="CGM1530" s="646"/>
      <c r="CGN1530" s="646"/>
      <c r="CGO1530" s="646"/>
      <c r="CGP1530" s="646"/>
      <c r="CGQ1530" s="646"/>
      <c r="CGR1530" s="646"/>
      <c r="CGS1530" s="646"/>
      <c r="CGT1530" s="646"/>
      <c r="CGU1530" s="646"/>
      <c r="CGV1530" s="646"/>
      <c r="CGW1530" s="646"/>
      <c r="CGX1530" s="646"/>
      <c r="CGY1530" s="646"/>
      <c r="CGZ1530" s="646"/>
      <c r="CHA1530" s="646"/>
      <c r="CHB1530" s="646"/>
      <c r="CHC1530" s="646"/>
      <c r="CHD1530" s="646"/>
      <c r="CHE1530" s="646"/>
      <c r="CHF1530" s="646"/>
      <c r="CHG1530" s="646"/>
      <c r="CHH1530" s="646"/>
      <c r="CHI1530" s="646"/>
      <c r="CHJ1530" s="646"/>
      <c r="CHK1530" s="646"/>
      <c r="CHL1530" s="646"/>
      <c r="CHM1530" s="646"/>
      <c r="CHN1530" s="646"/>
      <c r="CHO1530" s="646"/>
      <c r="CHP1530" s="646"/>
      <c r="CHQ1530" s="646"/>
      <c r="CHR1530" s="646"/>
      <c r="CHS1530" s="646"/>
      <c r="CHT1530" s="646"/>
      <c r="CHU1530" s="646"/>
      <c r="CHV1530" s="646"/>
      <c r="CHW1530" s="646"/>
      <c r="CHX1530" s="646"/>
      <c r="CHY1530" s="646"/>
      <c r="CHZ1530" s="646"/>
      <c r="CIA1530" s="646"/>
      <c r="CIB1530" s="646"/>
      <c r="CIC1530" s="646"/>
      <c r="CID1530" s="646"/>
      <c r="CIE1530" s="646"/>
      <c r="CIF1530" s="646"/>
      <c r="CIG1530" s="646"/>
      <c r="CIH1530" s="646"/>
      <c r="CII1530" s="646"/>
      <c r="CIJ1530" s="646"/>
      <c r="CIK1530" s="646"/>
      <c r="CIL1530" s="646"/>
      <c r="CIM1530" s="646"/>
      <c r="CIN1530" s="646"/>
      <c r="CIO1530" s="646"/>
      <c r="CIP1530" s="646"/>
      <c r="CIQ1530" s="646"/>
      <c r="CIR1530" s="646"/>
      <c r="CIS1530" s="646"/>
      <c r="CIT1530" s="646"/>
      <c r="CIU1530" s="646"/>
      <c r="CIV1530" s="646"/>
      <c r="CIW1530" s="646"/>
      <c r="CIX1530" s="646"/>
      <c r="CIY1530" s="646"/>
      <c r="CIZ1530" s="646"/>
      <c r="CJA1530" s="646"/>
      <c r="CJB1530" s="646"/>
      <c r="CJC1530" s="646"/>
      <c r="CJD1530" s="646"/>
      <c r="CJE1530" s="646"/>
      <c r="CJF1530" s="646"/>
      <c r="CJG1530" s="646"/>
      <c r="CJH1530" s="646"/>
      <c r="CJI1530" s="646"/>
      <c r="CJJ1530" s="646"/>
      <c r="CJK1530" s="646"/>
      <c r="CJL1530" s="646"/>
      <c r="CJM1530" s="646"/>
      <c r="CJN1530" s="646"/>
      <c r="CJO1530" s="646"/>
      <c r="CJP1530" s="646"/>
      <c r="CJQ1530" s="646"/>
      <c r="CJR1530" s="646"/>
      <c r="CJS1530" s="646"/>
      <c r="CJT1530" s="646"/>
      <c r="CJU1530" s="646"/>
      <c r="CJV1530" s="646"/>
      <c r="CJW1530" s="646"/>
      <c r="CJX1530" s="646"/>
      <c r="CJY1530" s="646"/>
      <c r="CJZ1530" s="646"/>
      <c r="CKA1530" s="646"/>
      <c r="CKB1530" s="646"/>
      <c r="CKC1530" s="646"/>
      <c r="CKD1530" s="646"/>
      <c r="CKE1530" s="646"/>
      <c r="CKF1530" s="646"/>
      <c r="CKG1530" s="646"/>
      <c r="CKH1530" s="646"/>
      <c r="CKI1530" s="646"/>
      <c r="CKJ1530" s="646"/>
      <c r="CKK1530" s="646"/>
      <c r="CKL1530" s="646"/>
      <c r="CKM1530" s="646"/>
      <c r="CKN1530" s="646"/>
      <c r="CKO1530" s="646"/>
      <c r="CKP1530" s="646"/>
      <c r="CKQ1530" s="646"/>
      <c r="CKR1530" s="646"/>
      <c r="CKS1530" s="646"/>
      <c r="CKT1530" s="646"/>
      <c r="CKU1530" s="646"/>
      <c r="CKV1530" s="646"/>
      <c r="CKW1530" s="646"/>
      <c r="CKX1530" s="646"/>
      <c r="CKY1530" s="646"/>
      <c r="CKZ1530" s="646"/>
      <c r="CLA1530" s="646"/>
      <c r="CLB1530" s="646"/>
      <c r="CLC1530" s="646"/>
      <c r="CLD1530" s="646"/>
      <c r="CLE1530" s="646"/>
      <c r="CLF1530" s="646"/>
      <c r="CLG1530" s="646"/>
      <c r="CLH1530" s="646"/>
      <c r="CLI1530" s="646"/>
      <c r="CLJ1530" s="646"/>
      <c r="CLK1530" s="646"/>
      <c r="CLL1530" s="646"/>
      <c r="CLM1530" s="646"/>
      <c r="CLN1530" s="646"/>
      <c r="CLO1530" s="646"/>
      <c r="CLP1530" s="646"/>
      <c r="CLQ1530" s="646"/>
      <c r="CLR1530" s="646"/>
      <c r="CLS1530" s="646"/>
      <c r="CLT1530" s="646"/>
      <c r="CLU1530" s="646"/>
      <c r="CLV1530" s="646"/>
      <c r="CLW1530" s="646"/>
      <c r="CLX1530" s="646"/>
      <c r="CLY1530" s="646"/>
      <c r="CLZ1530" s="646"/>
      <c r="CMA1530" s="646"/>
      <c r="CMB1530" s="646"/>
      <c r="CMC1530" s="646"/>
      <c r="CMD1530" s="646"/>
      <c r="CME1530" s="646"/>
      <c r="CMF1530" s="646"/>
      <c r="CMG1530" s="646"/>
      <c r="CMH1530" s="646"/>
      <c r="CMI1530" s="646"/>
      <c r="CMJ1530" s="646"/>
      <c r="CMK1530" s="646"/>
      <c r="CML1530" s="646"/>
      <c r="CMM1530" s="646"/>
      <c r="CMN1530" s="646"/>
      <c r="CMO1530" s="646"/>
      <c r="CMP1530" s="646"/>
      <c r="CMQ1530" s="646"/>
      <c r="CMR1530" s="646"/>
      <c r="CMS1530" s="646"/>
      <c r="CMT1530" s="646"/>
      <c r="CMU1530" s="646"/>
      <c r="CMV1530" s="646"/>
      <c r="CMW1530" s="646"/>
      <c r="CMX1530" s="646"/>
      <c r="CMY1530" s="646"/>
      <c r="CMZ1530" s="646"/>
      <c r="CNA1530" s="646"/>
      <c r="CNB1530" s="646"/>
      <c r="CNC1530" s="646"/>
      <c r="CND1530" s="646"/>
      <c r="CNE1530" s="646"/>
      <c r="CNF1530" s="646"/>
      <c r="CNG1530" s="646"/>
      <c r="CNH1530" s="646"/>
      <c r="CNI1530" s="646"/>
      <c r="CNJ1530" s="646"/>
      <c r="CNK1530" s="646"/>
      <c r="CNL1530" s="646"/>
      <c r="CNM1530" s="646"/>
      <c r="CNN1530" s="646"/>
      <c r="CNO1530" s="646"/>
      <c r="CNP1530" s="646"/>
      <c r="CNQ1530" s="646"/>
      <c r="CNR1530" s="646"/>
      <c r="CNS1530" s="646"/>
      <c r="CNT1530" s="646"/>
      <c r="CNU1530" s="646"/>
      <c r="CNV1530" s="646"/>
      <c r="CNW1530" s="646"/>
      <c r="CNX1530" s="646"/>
      <c r="CNY1530" s="646"/>
      <c r="CNZ1530" s="646"/>
      <c r="COA1530" s="646"/>
      <c r="COB1530" s="646"/>
      <c r="COC1530" s="646"/>
      <c r="COD1530" s="646"/>
      <c r="COE1530" s="646"/>
      <c r="COF1530" s="646"/>
      <c r="COG1530" s="646"/>
      <c r="COH1530" s="646"/>
      <c r="COI1530" s="646"/>
      <c r="COJ1530" s="646"/>
      <c r="COK1530" s="646"/>
      <c r="COL1530" s="646"/>
      <c r="COM1530" s="646"/>
      <c r="CON1530" s="646"/>
      <c r="COO1530" s="646"/>
      <c r="COP1530" s="646"/>
      <c r="COQ1530" s="646"/>
      <c r="COR1530" s="646"/>
      <c r="COS1530" s="646"/>
      <c r="COT1530" s="646"/>
      <c r="COU1530" s="646"/>
      <c r="COV1530" s="646"/>
      <c r="COW1530" s="646"/>
      <c r="COX1530" s="646"/>
      <c r="COY1530" s="646"/>
      <c r="COZ1530" s="646"/>
      <c r="CPA1530" s="646"/>
      <c r="CPB1530" s="646"/>
      <c r="CPC1530" s="646"/>
      <c r="CPD1530" s="646"/>
      <c r="CPE1530" s="646"/>
      <c r="CPF1530" s="646"/>
      <c r="CPG1530" s="646"/>
      <c r="CPH1530" s="646"/>
      <c r="CPI1530" s="646"/>
      <c r="CPJ1530" s="646"/>
      <c r="CPK1530" s="646"/>
      <c r="CPL1530" s="646"/>
      <c r="CPM1530" s="646"/>
      <c r="CPN1530" s="646"/>
      <c r="CPO1530" s="646"/>
      <c r="CPP1530" s="646"/>
      <c r="CPQ1530" s="646"/>
      <c r="CPR1530" s="646"/>
      <c r="CPS1530" s="646"/>
      <c r="CPT1530" s="646"/>
      <c r="CPU1530" s="646"/>
      <c r="CPV1530" s="646"/>
      <c r="CPW1530" s="646"/>
      <c r="CPX1530" s="646"/>
      <c r="CPY1530" s="646"/>
      <c r="CPZ1530" s="646"/>
      <c r="CQA1530" s="646"/>
      <c r="CQB1530" s="646"/>
      <c r="CQC1530" s="646"/>
      <c r="CQD1530" s="646"/>
      <c r="CQE1530" s="646"/>
      <c r="CQF1530" s="646"/>
      <c r="CQG1530" s="646"/>
      <c r="CQH1530" s="646"/>
      <c r="CQI1530" s="646"/>
      <c r="CQJ1530" s="646"/>
      <c r="CQK1530" s="646"/>
      <c r="CQL1530" s="646"/>
      <c r="CQM1530" s="646"/>
      <c r="CQN1530" s="646"/>
      <c r="CQO1530" s="646"/>
      <c r="CQP1530" s="646"/>
      <c r="CQQ1530" s="646"/>
      <c r="CQR1530" s="646"/>
      <c r="CQS1530" s="646"/>
      <c r="CQT1530" s="646"/>
      <c r="CQU1530" s="646"/>
      <c r="CQV1530" s="646"/>
      <c r="CQW1530" s="646"/>
      <c r="CQX1530" s="646"/>
      <c r="CQY1530" s="646"/>
      <c r="CQZ1530" s="646"/>
      <c r="CRA1530" s="646"/>
      <c r="CRB1530" s="646"/>
      <c r="CRC1530" s="646"/>
      <c r="CRD1530" s="646"/>
      <c r="CRE1530" s="646"/>
      <c r="CRF1530" s="646"/>
      <c r="CRG1530" s="646"/>
      <c r="CRH1530" s="646"/>
      <c r="CRI1530" s="646"/>
      <c r="CRJ1530" s="646"/>
      <c r="CRK1530" s="646"/>
      <c r="CRL1530" s="646"/>
      <c r="CRM1530" s="646"/>
      <c r="CRN1530" s="646"/>
      <c r="CRO1530" s="646"/>
      <c r="CRP1530" s="646"/>
      <c r="CRQ1530" s="646"/>
      <c r="CRR1530" s="646"/>
      <c r="CRS1530" s="646"/>
      <c r="CRT1530" s="646"/>
      <c r="CRU1530" s="646"/>
      <c r="CRV1530" s="646"/>
      <c r="CRW1530" s="646"/>
      <c r="CRX1530" s="646"/>
      <c r="CRY1530" s="646"/>
      <c r="CRZ1530" s="646"/>
      <c r="CSA1530" s="646"/>
      <c r="CSB1530" s="646"/>
      <c r="CSC1530" s="646"/>
      <c r="CSD1530" s="646"/>
      <c r="CSE1530" s="646"/>
      <c r="CSF1530" s="646"/>
      <c r="CSG1530" s="646"/>
      <c r="CSH1530" s="646"/>
      <c r="CSI1530" s="646"/>
      <c r="CSJ1530" s="646"/>
      <c r="CSK1530" s="646"/>
      <c r="CSL1530" s="646"/>
      <c r="CSM1530" s="646"/>
      <c r="CSN1530" s="646"/>
      <c r="CSO1530" s="646"/>
      <c r="CSP1530" s="646"/>
      <c r="CSQ1530" s="646"/>
      <c r="CSR1530" s="646"/>
      <c r="CSS1530" s="646"/>
      <c r="CST1530" s="646"/>
      <c r="CSU1530" s="646"/>
      <c r="CSV1530" s="646"/>
      <c r="CSW1530" s="646"/>
      <c r="CSX1530" s="646"/>
      <c r="CSY1530" s="646"/>
      <c r="CSZ1530" s="646"/>
      <c r="CTA1530" s="646"/>
      <c r="CTB1530" s="646"/>
      <c r="CTC1530" s="646"/>
      <c r="CTD1530" s="646"/>
      <c r="CTE1530" s="646"/>
      <c r="CTF1530" s="646"/>
      <c r="CTG1530" s="646"/>
      <c r="CTH1530" s="646"/>
      <c r="CTI1530" s="646"/>
      <c r="CTJ1530" s="646"/>
      <c r="CTK1530" s="646"/>
      <c r="CTL1530" s="646"/>
      <c r="CTM1530" s="646"/>
      <c r="CTN1530" s="646"/>
      <c r="CTO1530" s="646"/>
      <c r="CTP1530" s="646"/>
      <c r="CTQ1530" s="646"/>
      <c r="CTR1530" s="646"/>
      <c r="CTS1530" s="646"/>
      <c r="CTT1530" s="646"/>
      <c r="CTU1530" s="646"/>
      <c r="CTV1530" s="646"/>
      <c r="CTW1530" s="646"/>
      <c r="CTX1530" s="646"/>
      <c r="CTY1530" s="646"/>
      <c r="CTZ1530" s="646"/>
      <c r="CUA1530" s="646"/>
      <c r="CUB1530" s="646"/>
      <c r="CUC1530" s="646"/>
      <c r="CUD1530" s="646"/>
      <c r="CUE1530" s="646"/>
      <c r="CUF1530" s="646"/>
      <c r="CUG1530" s="646"/>
      <c r="CUH1530" s="646"/>
      <c r="CUI1530" s="646"/>
      <c r="CUJ1530" s="646"/>
      <c r="CUK1530" s="646"/>
      <c r="CUL1530" s="646"/>
      <c r="CUM1530" s="646"/>
      <c r="CUN1530" s="646"/>
      <c r="CUO1530" s="646"/>
      <c r="CUP1530" s="646"/>
      <c r="CUQ1530" s="646"/>
      <c r="CUR1530" s="646"/>
      <c r="CUS1530" s="646"/>
      <c r="CUT1530" s="646"/>
      <c r="CUU1530" s="646"/>
      <c r="CUV1530" s="646"/>
      <c r="CUW1530" s="646"/>
      <c r="CUX1530" s="646"/>
      <c r="CUY1530" s="646"/>
      <c r="CUZ1530" s="646"/>
      <c r="CVA1530" s="646"/>
      <c r="CVB1530" s="646"/>
      <c r="CVC1530" s="646"/>
      <c r="CVD1530" s="646"/>
      <c r="CVE1530" s="646"/>
      <c r="CVF1530" s="646"/>
      <c r="CVG1530" s="646"/>
      <c r="CVH1530" s="646"/>
      <c r="CVI1530" s="646"/>
      <c r="CVJ1530" s="646"/>
      <c r="CVK1530" s="646"/>
      <c r="CVL1530" s="646"/>
      <c r="CVM1530" s="646"/>
      <c r="CVN1530" s="646"/>
      <c r="CVO1530" s="646"/>
      <c r="CVP1530" s="646"/>
      <c r="CVQ1530" s="646"/>
      <c r="CVR1530" s="646"/>
      <c r="CVS1530" s="646"/>
      <c r="CVT1530" s="646"/>
      <c r="CVU1530" s="646"/>
      <c r="CVV1530" s="646"/>
      <c r="CVW1530" s="646"/>
      <c r="CVX1530" s="646"/>
      <c r="CVY1530" s="646"/>
      <c r="CVZ1530" s="646"/>
      <c r="CWA1530" s="646"/>
      <c r="CWB1530" s="646"/>
      <c r="CWC1530" s="646"/>
      <c r="CWD1530" s="646"/>
      <c r="CWE1530" s="646"/>
      <c r="CWF1530" s="646"/>
      <c r="CWG1530" s="646"/>
      <c r="CWH1530" s="646"/>
      <c r="CWI1530" s="646"/>
      <c r="CWJ1530" s="646"/>
      <c r="CWK1530" s="646"/>
      <c r="CWL1530" s="646"/>
      <c r="CWM1530" s="646"/>
      <c r="CWN1530" s="646"/>
      <c r="CWO1530" s="646"/>
      <c r="CWP1530" s="646"/>
      <c r="CWQ1530" s="646"/>
      <c r="CWR1530" s="646"/>
      <c r="CWS1530" s="646"/>
      <c r="CWT1530" s="646"/>
      <c r="CWU1530" s="646"/>
      <c r="CWV1530" s="646"/>
      <c r="CWW1530" s="646"/>
      <c r="CWX1530" s="646"/>
      <c r="CWY1530" s="646"/>
      <c r="CWZ1530" s="646"/>
      <c r="CXA1530" s="646"/>
      <c r="CXB1530" s="646"/>
      <c r="CXC1530" s="646"/>
      <c r="CXD1530" s="646"/>
      <c r="CXE1530" s="646"/>
      <c r="CXF1530" s="646"/>
      <c r="CXG1530" s="646"/>
      <c r="CXH1530" s="646"/>
      <c r="CXI1530" s="646"/>
      <c r="CXJ1530" s="646"/>
      <c r="CXK1530" s="646"/>
      <c r="CXL1530" s="646"/>
      <c r="CXM1530" s="646"/>
      <c r="CXN1530" s="646"/>
      <c r="CXO1530" s="646"/>
      <c r="CXP1530" s="646"/>
      <c r="CXQ1530" s="646"/>
      <c r="CXR1530" s="646"/>
      <c r="CXS1530" s="646"/>
      <c r="CXT1530" s="646"/>
      <c r="CXU1530" s="646"/>
      <c r="CXV1530" s="646"/>
      <c r="CXW1530" s="646"/>
      <c r="CXX1530" s="646"/>
      <c r="CXY1530" s="646"/>
      <c r="CXZ1530" s="646"/>
      <c r="CYA1530" s="646"/>
      <c r="CYB1530" s="646"/>
      <c r="CYC1530" s="646"/>
      <c r="CYD1530" s="646"/>
      <c r="CYE1530" s="646"/>
      <c r="CYF1530" s="646"/>
      <c r="CYG1530" s="646"/>
      <c r="CYH1530" s="646"/>
      <c r="CYI1530" s="646"/>
      <c r="CYJ1530" s="646"/>
      <c r="CYK1530" s="646"/>
      <c r="CYL1530" s="646"/>
      <c r="CYM1530" s="646"/>
      <c r="CYN1530" s="646"/>
      <c r="CYO1530" s="646"/>
      <c r="CYP1530" s="646"/>
      <c r="CYQ1530" s="646"/>
      <c r="CYR1530" s="646"/>
      <c r="CYS1530" s="646"/>
      <c r="CYT1530" s="646"/>
      <c r="CYU1530" s="646"/>
      <c r="CYV1530" s="646"/>
      <c r="CYW1530" s="646"/>
      <c r="CYX1530" s="646"/>
      <c r="CYY1530" s="646"/>
      <c r="CYZ1530" s="646"/>
      <c r="CZA1530" s="646"/>
      <c r="CZB1530" s="646"/>
      <c r="CZC1530" s="646"/>
      <c r="CZD1530" s="646"/>
      <c r="CZE1530" s="646"/>
      <c r="CZF1530" s="646"/>
      <c r="CZG1530" s="646"/>
      <c r="CZH1530" s="646"/>
      <c r="CZI1530" s="646"/>
      <c r="CZJ1530" s="646"/>
      <c r="CZK1530" s="646"/>
      <c r="CZL1530" s="646"/>
      <c r="CZM1530" s="646"/>
      <c r="CZN1530" s="646"/>
      <c r="CZO1530" s="646"/>
      <c r="CZP1530" s="646"/>
      <c r="CZQ1530" s="646"/>
      <c r="CZR1530" s="646"/>
      <c r="CZS1530" s="646"/>
      <c r="CZT1530" s="646"/>
      <c r="CZU1530" s="646"/>
      <c r="CZV1530" s="646"/>
      <c r="CZW1530" s="646"/>
      <c r="CZX1530" s="646"/>
      <c r="CZY1530" s="646"/>
      <c r="CZZ1530" s="646"/>
      <c r="DAA1530" s="646"/>
      <c r="DAB1530" s="646"/>
      <c r="DAC1530" s="646"/>
      <c r="DAD1530" s="646"/>
      <c r="DAE1530" s="646"/>
      <c r="DAF1530" s="646"/>
      <c r="DAG1530" s="646"/>
      <c r="DAH1530" s="646"/>
      <c r="DAI1530" s="646"/>
      <c r="DAJ1530" s="646"/>
      <c r="DAK1530" s="646"/>
      <c r="DAL1530" s="646"/>
      <c r="DAM1530" s="646"/>
      <c r="DAN1530" s="646"/>
      <c r="DAO1530" s="646"/>
      <c r="DAP1530" s="646"/>
      <c r="DAQ1530" s="646"/>
      <c r="DAR1530" s="646"/>
      <c r="DAS1530" s="646"/>
      <c r="DAT1530" s="646"/>
      <c r="DAU1530" s="646"/>
      <c r="DAV1530" s="646"/>
      <c r="DAW1530" s="646"/>
      <c r="DAX1530" s="646"/>
      <c r="DAY1530" s="646"/>
      <c r="DAZ1530" s="646"/>
      <c r="DBA1530" s="646"/>
      <c r="DBB1530" s="646"/>
      <c r="DBC1530" s="646"/>
      <c r="DBD1530" s="646"/>
      <c r="DBE1530" s="646"/>
      <c r="DBF1530" s="646"/>
      <c r="DBG1530" s="646"/>
      <c r="DBH1530" s="646"/>
      <c r="DBI1530" s="646"/>
      <c r="DBJ1530" s="646"/>
      <c r="DBK1530" s="646"/>
      <c r="DBL1530" s="646"/>
      <c r="DBM1530" s="646"/>
      <c r="DBN1530" s="646"/>
      <c r="DBO1530" s="646"/>
      <c r="DBP1530" s="646"/>
      <c r="DBQ1530" s="646"/>
      <c r="DBR1530" s="646"/>
      <c r="DBS1530" s="646"/>
      <c r="DBT1530" s="646"/>
      <c r="DBU1530" s="646"/>
      <c r="DBV1530" s="646"/>
      <c r="DBW1530" s="646"/>
      <c r="DBX1530" s="646"/>
      <c r="DBY1530" s="646"/>
      <c r="DBZ1530" s="646"/>
      <c r="DCA1530" s="646"/>
      <c r="DCB1530" s="646"/>
      <c r="DCC1530" s="646"/>
      <c r="DCD1530" s="646"/>
      <c r="DCE1530" s="646"/>
      <c r="DCF1530" s="646"/>
      <c r="DCG1530" s="646"/>
      <c r="DCH1530" s="646"/>
      <c r="DCI1530" s="646"/>
      <c r="DCJ1530" s="646"/>
      <c r="DCK1530" s="646"/>
      <c r="DCL1530" s="646"/>
      <c r="DCM1530" s="646"/>
      <c r="DCN1530" s="646"/>
      <c r="DCO1530" s="646"/>
      <c r="DCP1530" s="646"/>
      <c r="DCQ1530" s="646"/>
      <c r="DCR1530" s="646"/>
      <c r="DCS1530" s="646"/>
      <c r="DCT1530" s="646"/>
      <c r="DCU1530" s="646"/>
      <c r="DCV1530" s="646"/>
      <c r="DCW1530" s="646"/>
      <c r="DCX1530" s="646"/>
      <c r="DCY1530" s="646"/>
      <c r="DCZ1530" s="646"/>
      <c r="DDA1530" s="646"/>
      <c r="DDB1530" s="646"/>
      <c r="DDC1530" s="646"/>
      <c r="DDD1530" s="646"/>
      <c r="DDE1530" s="646"/>
      <c r="DDF1530" s="646"/>
      <c r="DDG1530" s="646"/>
      <c r="DDH1530" s="646"/>
      <c r="DDI1530" s="646"/>
      <c r="DDJ1530" s="646"/>
      <c r="DDK1530" s="646"/>
      <c r="DDL1530" s="646"/>
      <c r="DDM1530" s="646"/>
      <c r="DDN1530" s="646"/>
      <c r="DDO1530" s="646"/>
      <c r="DDP1530" s="646"/>
      <c r="DDQ1530" s="646"/>
      <c r="DDR1530" s="646"/>
      <c r="DDS1530" s="646"/>
      <c r="DDT1530" s="646"/>
      <c r="DDU1530" s="646"/>
      <c r="DDV1530" s="646"/>
      <c r="DDW1530" s="646"/>
      <c r="DDX1530" s="646"/>
      <c r="DDY1530" s="646"/>
      <c r="DDZ1530" s="646"/>
      <c r="DEA1530" s="646"/>
      <c r="DEB1530" s="646"/>
      <c r="DEC1530" s="646"/>
      <c r="DED1530" s="646"/>
      <c r="DEE1530" s="646"/>
      <c r="DEF1530" s="646"/>
      <c r="DEG1530" s="646"/>
      <c r="DEH1530" s="646"/>
      <c r="DEI1530" s="646"/>
      <c r="DEJ1530" s="646"/>
      <c r="DEK1530" s="646"/>
      <c r="DEL1530" s="646"/>
      <c r="DEM1530" s="646"/>
      <c r="DEN1530" s="646"/>
      <c r="DEO1530" s="646"/>
      <c r="DEP1530" s="646"/>
      <c r="DEQ1530" s="646"/>
      <c r="DER1530" s="646"/>
      <c r="DES1530" s="646"/>
      <c r="DET1530" s="646"/>
      <c r="DEU1530" s="646"/>
      <c r="DEV1530" s="646"/>
      <c r="DEW1530" s="646"/>
      <c r="DEX1530" s="646"/>
      <c r="DEY1530" s="646"/>
      <c r="DEZ1530" s="646"/>
      <c r="DFA1530" s="646"/>
      <c r="DFB1530" s="646"/>
      <c r="DFC1530" s="646"/>
      <c r="DFD1530" s="646"/>
      <c r="DFE1530" s="646"/>
      <c r="DFF1530" s="646"/>
      <c r="DFG1530" s="646"/>
      <c r="DFH1530" s="646"/>
      <c r="DFI1530" s="646"/>
      <c r="DFJ1530" s="646"/>
      <c r="DFK1530" s="646"/>
      <c r="DFL1530" s="646"/>
      <c r="DFM1530" s="646"/>
      <c r="DFN1530" s="646"/>
      <c r="DFO1530" s="646"/>
      <c r="DFP1530" s="646"/>
      <c r="DFQ1530" s="646"/>
      <c r="DFR1530" s="646"/>
      <c r="DFS1530" s="646"/>
      <c r="DFT1530" s="646"/>
      <c r="DFU1530" s="646"/>
      <c r="DFV1530" s="646"/>
      <c r="DFW1530" s="646"/>
      <c r="DFX1530" s="646"/>
      <c r="DFY1530" s="646"/>
      <c r="DFZ1530" s="646"/>
      <c r="DGA1530" s="646"/>
      <c r="DGB1530" s="646"/>
      <c r="DGC1530" s="646"/>
      <c r="DGD1530" s="646"/>
      <c r="DGE1530" s="646"/>
      <c r="DGF1530" s="646"/>
      <c r="DGG1530" s="646"/>
      <c r="DGH1530" s="646"/>
      <c r="DGI1530" s="646"/>
      <c r="DGJ1530" s="646"/>
      <c r="DGK1530" s="646"/>
      <c r="DGL1530" s="646"/>
      <c r="DGM1530" s="646"/>
      <c r="DGN1530" s="646"/>
      <c r="DGO1530" s="646"/>
      <c r="DGP1530" s="646"/>
      <c r="DGQ1530" s="646"/>
      <c r="DGR1530" s="646"/>
      <c r="DGS1530" s="646"/>
      <c r="DGT1530" s="646"/>
      <c r="DGU1530" s="646"/>
      <c r="DGV1530" s="646"/>
      <c r="DGW1530" s="646"/>
      <c r="DGX1530" s="646"/>
      <c r="DGY1530" s="646"/>
      <c r="DGZ1530" s="646"/>
      <c r="DHA1530" s="646"/>
      <c r="DHB1530" s="646"/>
      <c r="DHC1530" s="646"/>
      <c r="DHD1530" s="646"/>
      <c r="DHE1530" s="646"/>
      <c r="DHF1530" s="646"/>
      <c r="DHG1530" s="646"/>
      <c r="DHH1530" s="646"/>
      <c r="DHI1530" s="646"/>
      <c r="DHJ1530" s="646"/>
      <c r="DHK1530" s="646"/>
      <c r="DHL1530" s="646"/>
      <c r="DHM1530" s="646"/>
      <c r="DHN1530" s="646"/>
      <c r="DHO1530" s="646"/>
      <c r="DHP1530" s="646"/>
      <c r="DHQ1530" s="646"/>
      <c r="DHR1530" s="646"/>
      <c r="DHS1530" s="646"/>
      <c r="DHT1530" s="646"/>
      <c r="DHU1530" s="646"/>
      <c r="DHV1530" s="646"/>
      <c r="DHW1530" s="646"/>
      <c r="DHX1530" s="646"/>
      <c r="DHY1530" s="646"/>
      <c r="DHZ1530" s="646"/>
      <c r="DIA1530" s="646"/>
      <c r="DIB1530" s="646"/>
      <c r="DIC1530" s="646"/>
      <c r="DID1530" s="646"/>
      <c r="DIE1530" s="646"/>
      <c r="DIF1530" s="646"/>
      <c r="DIG1530" s="646"/>
      <c r="DIH1530" s="646"/>
      <c r="DII1530" s="646"/>
      <c r="DIJ1530" s="646"/>
      <c r="DIK1530" s="646"/>
      <c r="DIL1530" s="646"/>
      <c r="DIM1530" s="646"/>
      <c r="DIN1530" s="646"/>
      <c r="DIO1530" s="646"/>
      <c r="DIP1530" s="646"/>
      <c r="DIQ1530" s="646"/>
      <c r="DIR1530" s="646"/>
      <c r="DIS1530" s="646"/>
      <c r="DIT1530" s="646"/>
      <c r="DIU1530" s="646"/>
      <c r="DIV1530" s="646"/>
      <c r="DIW1530" s="646"/>
      <c r="DIX1530" s="646"/>
      <c r="DIY1530" s="646"/>
      <c r="DIZ1530" s="646"/>
      <c r="DJA1530" s="646"/>
      <c r="DJB1530" s="646"/>
      <c r="DJC1530" s="646"/>
      <c r="DJD1530" s="646"/>
      <c r="DJE1530" s="646"/>
      <c r="DJF1530" s="646"/>
      <c r="DJG1530" s="646"/>
      <c r="DJH1530" s="646"/>
      <c r="DJI1530" s="646"/>
      <c r="DJJ1530" s="646"/>
      <c r="DJK1530" s="646"/>
      <c r="DJL1530" s="646"/>
      <c r="DJM1530" s="646"/>
      <c r="DJN1530" s="646"/>
      <c r="DJO1530" s="646"/>
      <c r="DJP1530" s="646"/>
      <c r="DJQ1530" s="646"/>
      <c r="DJR1530" s="646"/>
      <c r="DJS1530" s="646"/>
      <c r="DJT1530" s="646"/>
      <c r="DJU1530" s="646"/>
      <c r="DJV1530" s="646"/>
      <c r="DJW1530" s="646"/>
      <c r="DJX1530" s="646"/>
      <c r="DJY1530" s="646"/>
      <c r="DJZ1530" s="646"/>
      <c r="DKA1530" s="646"/>
      <c r="DKB1530" s="646"/>
      <c r="DKC1530" s="646"/>
      <c r="DKD1530" s="646"/>
      <c r="DKE1530" s="646"/>
      <c r="DKF1530" s="646"/>
      <c r="DKG1530" s="646"/>
      <c r="DKH1530" s="646"/>
      <c r="DKI1530" s="646"/>
      <c r="DKJ1530" s="646"/>
      <c r="DKK1530" s="646"/>
      <c r="DKL1530" s="646"/>
      <c r="DKM1530" s="646"/>
      <c r="DKN1530" s="646"/>
      <c r="DKO1530" s="646"/>
      <c r="DKP1530" s="646"/>
      <c r="DKQ1530" s="646"/>
      <c r="DKR1530" s="646"/>
      <c r="DKS1530" s="646"/>
      <c r="DKT1530" s="646"/>
      <c r="DKU1530" s="646"/>
      <c r="DKV1530" s="646"/>
      <c r="DKW1530" s="646"/>
      <c r="DKX1530" s="646"/>
      <c r="DKY1530" s="646"/>
      <c r="DKZ1530" s="646"/>
      <c r="DLA1530" s="646"/>
      <c r="DLB1530" s="646"/>
      <c r="DLC1530" s="646"/>
      <c r="DLD1530" s="646"/>
      <c r="DLE1530" s="646"/>
      <c r="DLF1530" s="646"/>
      <c r="DLG1530" s="646"/>
      <c r="DLH1530" s="646"/>
      <c r="DLI1530" s="646"/>
      <c r="DLJ1530" s="646"/>
      <c r="DLK1530" s="646"/>
      <c r="DLL1530" s="646"/>
      <c r="DLM1530" s="646"/>
      <c r="DLN1530" s="646"/>
      <c r="DLO1530" s="646"/>
      <c r="DLP1530" s="646"/>
      <c r="DLQ1530" s="646"/>
      <c r="DLR1530" s="646"/>
      <c r="DLS1530" s="646"/>
      <c r="DLT1530" s="646"/>
      <c r="DLU1530" s="646"/>
      <c r="DLV1530" s="646"/>
      <c r="DLW1530" s="646"/>
      <c r="DLX1530" s="646"/>
      <c r="DLY1530" s="646"/>
      <c r="DLZ1530" s="646"/>
      <c r="DMA1530" s="646"/>
      <c r="DMB1530" s="646"/>
      <c r="DMC1530" s="646"/>
      <c r="DMD1530" s="646"/>
      <c r="DME1530" s="646"/>
      <c r="DMF1530" s="646"/>
      <c r="DMG1530" s="646"/>
      <c r="DMH1530" s="646"/>
      <c r="DMI1530" s="646"/>
      <c r="DMJ1530" s="646"/>
      <c r="DMK1530" s="646"/>
      <c r="DML1530" s="646"/>
      <c r="DMM1530" s="646"/>
      <c r="DMN1530" s="646"/>
      <c r="DMO1530" s="646"/>
      <c r="DMP1530" s="646"/>
      <c r="DMQ1530" s="646"/>
      <c r="DMR1530" s="646"/>
      <c r="DMS1530" s="646"/>
      <c r="DMT1530" s="646"/>
      <c r="DMU1530" s="646"/>
      <c r="DMV1530" s="646"/>
      <c r="DMW1530" s="646"/>
      <c r="DMX1530" s="646"/>
      <c r="DMY1530" s="646"/>
      <c r="DMZ1530" s="646"/>
      <c r="DNA1530" s="646"/>
      <c r="DNB1530" s="646"/>
      <c r="DNC1530" s="646"/>
      <c r="DND1530" s="646"/>
      <c r="DNE1530" s="646"/>
      <c r="DNF1530" s="646"/>
      <c r="DNG1530" s="646"/>
      <c r="DNH1530" s="646"/>
      <c r="DNI1530" s="646"/>
      <c r="DNJ1530" s="646"/>
      <c r="DNK1530" s="646"/>
      <c r="DNL1530" s="646"/>
      <c r="DNM1530" s="646"/>
      <c r="DNN1530" s="646"/>
      <c r="DNO1530" s="646"/>
      <c r="DNP1530" s="646"/>
      <c r="DNQ1530" s="646"/>
      <c r="DNR1530" s="646"/>
      <c r="DNS1530" s="646"/>
      <c r="DNT1530" s="646"/>
      <c r="DNU1530" s="646"/>
      <c r="DNV1530" s="646"/>
      <c r="DNW1530" s="646"/>
      <c r="DNX1530" s="646"/>
      <c r="DNY1530" s="646"/>
      <c r="DNZ1530" s="646"/>
      <c r="DOA1530" s="646"/>
      <c r="DOB1530" s="646"/>
      <c r="DOC1530" s="646"/>
      <c r="DOD1530" s="646"/>
      <c r="DOE1530" s="646"/>
      <c r="DOF1530" s="646"/>
      <c r="DOG1530" s="646"/>
      <c r="DOH1530" s="646"/>
      <c r="DOI1530" s="646"/>
      <c r="DOJ1530" s="646"/>
      <c r="DOK1530" s="646"/>
      <c r="DOL1530" s="646"/>
      <c r="DOM1530" s="646"/>
      <c r="DON1530" s="646"/>
      <c r="DOO1530" s="646"/>
      <c r="DOP1530" s="646"/>
      <c r="DOQ1530" s="646"/>
      <c r="DOR1530" s="646"/>
      <c r="DOS1530" s="646"/>
      <c r="DOT1530" s="646"/>
      <c r="DOU1530" s="646"/>
      <c r="DOV1530" s="646"/>
      <c r="DOW1530" s="646"/>
      <c r="DOX1530" s="646"/>
      <c r="DOY1530" s="646"/>
      <c r="DOZ1530" s="646"/>
      <c r="DPA1530" s="646"/>
      <c r="DPB1530" s="646"/>
      <c r="DPC1530" s="646"/>
      <c r="DPD1530" s="646"/>
      <c r="DPE1530" s="646"/>
      <c r="DPF1530" s="646"/>
      <c r="DPG1530" s="646"/>
      <c r="DPH1530" s="646"/>
      <c r="DPI1530" s="646"/>
      <c r="DPJ1530" s="646"/>
      <c r="DPK1530" s="646"/>
      <c r="DPL1530" s="646"/>
      <c r="DPM1530" s="646"/>
      <c r="DPN1530" s="646"/>
      <c r="DPO1530" s="646"/>
      <c r="DPP1530" s="646"/>
      <c r="DPQ1530" s="646"/>
      <c r="DPR1530" s="646"/>
      <c r="DPS1530" s="646"/>
      <c r="DPT1530" s="646"/>
      <c r="DPU1530" s="646"/>
      <c r="DPV1530" s="646"/>
      <c r="DPW1530" s="646"/>
      <c r="DPX1530" s="646"/>
      <c r="DPY1530" s="646"/>
      <c r="DPZ1530" s="646"/>
      <c r="DQA1530" s="646"/>
      <c r="DQB1530" s="646"/>
      <c r="DQC1530" s="646"/>
      <c r="DQD1530" s="646"/>
      <c r="DQE1530" s="646"/>
      <c r="DQF1530" s="646"/>
      <c r="DQG1530" s="646"/>
      <c r="DQH1530" s="646"/>
      <c r="DQI1530" s="646"/>
      <c r="DQJ1530" s="646"/>
      <c r="DQK1530" s="646"/>
      <c r="DQL1530" s="646"/>
      <c r="DQM1530" s="646"/>
      <c r="DQN1530" s="646"/>
      <c r="DQO1530" s="646"/>
      <c r="DQP1530" s="646"/>
      <c r="DQQ1530" s="646"/>
      <c r="DQR1530" s="646"/>
      <c r="DQS1530" s="646"/>
      <c r="DQT1530" s="646"/>
      <c r="DQU1530" s="646"/>
      <c r="DQV1530" s="646"/>
      <c r="DQW1530" s="646"/>
      <c r="DQX1530" s="646"/>
      <c r="DQY1530" s="646"/>
      <c r="DQZ1530" s="646"/>
      <c r="DRA1530" s="646"/>
      <c r="DRB1530" s="646"/>
      <c r="DRC1530" s="646"/>
      <c r="DRD1530" s="646"/>
      <c r="DRE1530" s="646"/>
      <c r="DRF1530" s="646"/>
      <c r="DRG1530" s="646"/>
      <c r="DRH1530" s="646"/>
      <c r="DRI1530" s="646"/>
      <c r="DRJ1530" s="646"/>
      <c r="DRK1530" s="646"/>
      <c r="DRL1530" s="646"/>
      <c r="DRM1530" s="646"/>
      <c r="DRN1530" s="646"/>
      <c r="DRO1530" s="646"/>
      <c r="DRP1530" s="646"/>
      <c r="DRQ1530" s="646"/>
      <c r="DRR1530" s="646"/>
      <c r="DRS1530" s="646"/>
      <c r="DRT1530" s="646"/>
      <c r="DRU1530" s="646"/>
      <c r="DRV1530" s="646"/>
      <c r="DRW1530" s="646"/>
      <c r="DRX1530" s="646"/>
      <c r="DRY1530" s="646"/>
      <c r="DRZ1530" s="646"/>
      <c r="DSA1530" s="646"/>
      <c r="DSB1530" s="646"/>
      <c r="DSC1530" s="646"/>
      <c r="DSD1530" s="646"/>
      <c r="DSE1530" s="646"/>
      <c r="DSF1530" s="646"/>
      <c r="DSG1530" s="646"/>
      <c r="DSH1530" s="646"/>
      <c r="DSI1530" s="646"/>
      <c r="DSJ1530" s="646"/>
      <c r="DSK1530" s="646"/>
      <c r="DSL1530" s="646"/>
      <c r="DSM1530" s="646"/>
      <c r="DSN1530" s="646"/>
      <c r="DSO1530" s="646"/>
      <c r="DSP1530" s="646"/>
      <c r="DSQ1530" s="646"/>
      <c r="DSR1530" s="646"/>
      <c r="DSS1530" s="646"/>
      <c r="DST1530" s="646"/>
      <c r="DSU1530" s="646"/>
      <c r="DSV1530" s="646"/>
      <c r="DSW1530" s="646"/>
      <c r="DSX1530" s="646"/>
      <c r="DSY1530" s="646"/>
      <c r="DSZ1530" s="646"/>
      <c r="DTA1530" s="646"/>
      <c r="DTB1530" s="646"/>
      <c r="DTC1530" s="646"/>
      <c r="DTD1530" s="646"/>
      <c r="DTE1530" s="646"/>
      <c r="DTF1530" s="646"/>
      <c r="DTG1530" s="646"/>
      <c r="DTH1530" s="646"/>
      <c r="DTI1530" s="646"/>
      <c r="DTJ1530" s="646"/>
      <c r="DTK1530" s="646"/>
      <c r="DTL1530" s="646"/>
      <c r="DTM1530" s="646"/>
      <c r="DTN1530" s="646"/>
      <c r="DTO1530" s="646"/>
      <c r="DTP1530" s="646"/>
      <c r="DTQ1530" s="646"/>
      <c r="DTR1530" s="646"/>
      <c r="DTS1530" s="646"/>
      <c r="DTT1530" s="646"/>
      <c r="DTU1530" s="646"/>
      <c r="DTV1530" s="646"/>
      <c r="DTW1530" s="646"/>
      <c r="DTX1530" s="646"/>
      <c r="DTY1530" s="646"/>
      <c r="DTZ1530" s="646"/>
      <c r="DUA1530" s="646"/>
      <c r="DUB1530" s="646"/>
      <c r="DUC1530" s="646"/>
      <c r="DUD1530" s="646"/>
      <c r="DUE1530" s="646"/>
      <c r="DUF1530" s="646"/>
      <c r="DUG1530" s="646"/>
      <c r="DUH1530" s="646"/>
      <c r="DUI1530" s="646"/>
      <c r="DUJ1530" s="646"/>
      <c r="DUK1530" s="646"/>
      <c r="DUL1530" s="646"/>
      <c r="DUM1530" s="646"/>
      <c r="DUN1530" s="646"/>
      <c r="DUO1530" s="646"/>
      <c r="DUP1530" s="646"/>
      <c r="DUQ1530" s="646"/>
      <c r="DUR1530" s="646"/>
      <c r="DUS1530" s="646"/>
      <c r="DUT1530" s="646"/>
      <c r="DUU1530" s="646"/>
      <c r="DUV1530" s="646"/>
      <c r="DUW1530" s="646"/>
      <c r="DUX1530" s="646"/>
      <c r="DUY1530" s="646"/>
      <c r="DUZ1530" s="646"/>
      <c r="DVA1530" s="646"/>
      <c r="DVB1530" s="646"/>
      <c r="DVC1530" s="646"/>
      <c r="DVD1530" s="646"/>
      <c r="DVE1530" s="646"/>
      <c r="DVF1530" s="646"/>
      <c r="DVG1530" s="646"/>
      <c r="DVH1530" s="646"/>
      <c r="DVI1530" s="646"/>
      <c r="DVJ1530" s="646"/>
      <c r="DVK1530" s="646"/>
      <c r="DVL1530" s="646"/>
      <c r="DVM1530" s="646"/>
      <c r="DVN1530" s="646"/>
      <c r="DVO1530" s="646"/>
      <c r="DVP1530" s="646"/>
      <c r="DVQ1530" s="646"/>
      <c r="DVR1530" s="646"/>
      <c r="DVS1530" s="646"/>
      <c r="DVT1530" s="646"/>
      <c r="DVU1530" s="646"/>
      <c r="DVV1530" s="646"/>
      <c r="DVW1530" s="646"/>
      <c r="DVX1530" s="646"/>
      <c r="DVY1530" s="646"/>
      <c r="DVZ1530" s="646"/>
      <c r="DWA1530" s="646"/>
      <c r="DWB1530" s="646"/>
      <c r="DWC1530" s="646"/>
      <c r="DWD1530" s="646"/>
      <c r="DWE1530" s="646"/>
      <c r="DWF1530" s="646"/>
      <c r="DWG1530" s="646"/>
      <c r="DWH1530" s="646"/>
      <c r="DWI1530" s="646"/>
      <c r="DWJ1530" s="646"/>
      <c r="DWK1530" s="646"/>
      <c r="DWL1530" s="646"/>
      <c r="DWM1530" s="646"/>
      <c r="DWN1530" s="646"/>
      <c r="DWO1530" s="646"/>
      <c r="DWP1530" s="646"/>
      <c r="DWQ1530" s="646"/>
      <c r="DWR1530" s="646"/>
      <c r="DWS1530" s="646"/>
      <c r="DWT1530" s="646"/>
      <c r="DWU1530" s="646"/>
      <c r="DWV1530" s="646"/>
      <c r="DWW1530" s="646"/>
      <c r="DWX1530" s="646"/>
      <c r="DWY1530" s="646"/>
      <c r="DWZ1530" s="646"/>
      <c r="DXA1530" s="646"/>
      <c r="DXB1530" s="646"/>
      <c r="DXC1530" s="646"/>
      <c r="DXD1530" s="646"/>
      <c r="DXE1530" s="646"/>
      <c r="DXF1530" s="646"/>
      <c r="DXG1530" s="646"/>
      <c r="DXH1530" s="646"/>
      <c r="DXI1530" s="646"/>
      <c r="DXJ1530" s="646"/>
      <c r="DXK1530" s="646"/>
      <c r="DXL1530" s="646"/>
      <c r="DXM1530" s="646"/>
      <c r="DXN1530" s="646"/>
      <c r="DXO1530" s="646"/>
      <c r="DXP1530" s="646"/>
      <c r="DXQ1530" s="646"/>
      <c r="DXR1530" s="646"/>
      <c r="DXS1530" s="646"/>
      <c r="DXT1530" s="646"/>
      <c r="DXU1530" s="646"/>
      <c r="DXV1530" s="646"/>
      <c r="DXW1530" s="646"/>
      <c r="DXX1530" s="646"/>
      <c r="DXY1530" s="646"/>
      <c r="DXZ1530" s="646"/>
      <c r="DYA1530" s="646"/>
      <c r="DYB1530" s="646"/>
      <c r="DYC1530" s="646"/>
      <c r="DYD1530" s="646"/>
      <c r="DYE1530" s="646"/>
      <c r="DYF1530" s="646"/>
      <c r="DYG1530" s="646"/>
      <c r="DYH1530" s="646"/>
      <c r="DYI1530" s="646"/>
      <c r="DYJ1530" s="646"/>
      <c r="DYK1530" s="646"/>
      <c r="DYL1530" s="646"/>
      <c r="DYM1530" s="646"/>
      <c r="DYN1530" s="646"/>
      <c r="DYO1530" s="646"/>
      <c r="DYP1530" s="646"/>
      <c r="DYQ1530" s="646"/>
      <c r="DYR1530" s="646"/>
      <c r="DYS1530" s="646"/>
      <c r="DYT1530" s="646"/>
      <c r="DYU1530" s="646"/>
      <c r="DYV1530" s="646"/>
      <c r="DYW1530" s="646"/>
      <c r="DYX1530" s="646"/>
      <c r="DYY1530" s="646"/>
      <c r="DYZ1530" s="646"/>
      <c r="DZA1530" s="646"/>
      <c r="DZB1530" s="646"/>
      <c r="DZC1530" s="646"/>
      <c r="DZD1530" s="646"/>
      <c r="DZE1530" s="646"/>
      <c r="DZF1530" s="646"/>
      <c r="DZG1530" s="646"/>
      <c r="DZH1530" s="646"/>
      <c r="DZI1530" s="646"/>
      <c r="DZJ1530" s="646"/>
      <c r="DZK1530" s="646"/>
      <c r="DZL1530" s="646"/>
      <c r="DZM1530" s="646"/>
      <c r="DZN1530" s="646"/>
      <c r="DZO1530" s="646"/>
      <c r="DZP1530" s="646"/>
      <c r="DZQ1530" s="646"/>
      <c r="DZR1530" s="646"/>
      <c r="DZS1530" s="646"/>
      <c r="DZT1530" s="646"/>
      <c r="DZU1530" s="646"/>
      <c r="DZV1530" s="646"/>
      <c r="DZW1530" s="646"/>
      <c r="DZX1530" s="646"/>
      <c r="DZY1530" s="646"/>
      <c r="DZZ1530" s="646"/>
      <c r="EAA1530" s="646"/>
      <c r="EAB1530" s="646"/>
      <c r="EAC1530" s="646"/>
      <c r="EAD1530" s="646"/>
      <c r="EAE1530" s="646"/>
      <c r="EAF1530" s="646"/>
      <c r="EAG1530" s="646"/>
      <c r="EAH1530" s="646"/>
      <c r="EAI1530" s="646"/>
      <c r="EAJ1530" s="646"/>
      <c r="EAK1530" s="646"/>
      <c r="EAL1530" s="646"/>
      <c r="EAM1530" s="646"/>
      <c r="EAN1530" s="646"/>
      <c r="EAO1530" s="646"/>
      <c r="EAP1530" s="646"/>
      <c r="EAQ1530" s="646"/>
      <c r="EAR1530" s="646"/>
      <c r="EAS1530" s="646"/>
      <c r="EAT1530" s="646"/>
      <c r="EAU1530" s="646"/>
      <c r="EAV1530" s="646"/>
      <c r="EAW1530" s="646"/>
      <c r="EAX1530" s="646"/>
      <c r="EAY1530" s="646"/>
      <c r="EAZ1530" s="646"/>
      <c r="EBA1530" s="646"/>
      <c r="EBB1530" s="646"/>
      <c r="EBC1530" s="646"/>
      <c r="EBD1530" s="646"/>
      <c r="EBE1530" s="646"/>
      <c r="EBF1530" s="646"/>
      <c r="EBG1530" s="646"/>
      <c r="EBH1530" s="646"/>
      <c r="EBI1530" s="646"/>
      <c r="EBJ1530" s="646"/>
      <c r="EBK1530" s="646"/>
      <c r="EBL1530" s="646"/>
      <c r="EBM1530" s="646"/>
      <c r="EBN1530" s="646"/>
      <c r="EBO1530" s="646"/>
      <c r="EBP1530" s="646"/>
      <c r="EBQ1530" s="646"/>
      <c r="EBR1530" s="646"/>
      <c r="EBS1530" s="646"/>
      <c r="EBT1530" s="646"/>
      <c r="EBU1530" s="646"/>
      <c r="EBV1530" s="646"/>
      <c r="EBW1530" s="646"/>
      <c r="EBX1530" s="646"/>
      <c r="EBY1530" s="646"/>
      <c r="EBZ1530" s="646"/>
      <c r="ECA1530" s="646"/>
      <c r="ECB1530" s="646"/>
      <c r="ECC1530" s="646"/>
      <c r="ECD1530" s="646"/>
      <c r="ECE1530" s="646"/>
      <c r="ECF1530" s="646"/>
      <c r="ECG1530" s="646"/>
      <c r="ECH1530" s="646"/>
      <c r="ECI1530" s="646"/>
      <c r="ECJ1530" s="646"/>
      <c r="ECK1530" s="646"/>
      <c r="ECL1530" s="646"/>
      <c r="ECM1530" s="646"/>
      <c r="ECN1530" s="646"/>
      <c r="ECO1530" s="646"/>
      <c r="ECP1530" s="646"/>
      <c r="ECQ1530" s="646"/>
      <c r="ECR1530" s="646"/>
      <c r="ECS1530" s="646"/>
      <c r="ECT1530" s="646"/>
      <c r="ECU1530" s="646"/>
      <c r="ECV1530" s="646"/>
      <c r="ECW1530" s="646"/>
      <c r="ECX1530" s="646"/>
      <c r="ECY1530" s="646"/>
      <c r="ECZ1530" s="646"/>
      <c r="EDA1530" s="646"/>
      <c r="EDB1530" s="646"/>
      <c r="EDC1530" s="646"/>
      <c r="EDD1530" s="646"/>
      <c r="EDE1530" s="646"/>
      <c r="EDF1530" s="646"/>
      <c r="EDG1530" s="646"/>
      <c r="EDH1530" s="646"/>
      <c r="EDI1530" s="646"/>
      <c r="EDJ1530" s="646"/>
      <c r="EDK1530" s="646"/>
      <c r="EDL1530" s="646"/>
      <c r="EDM1530" s="646"/>
      <c r="EDN1530" s="646"/>
      <c r="EDO1530" s="646"/>
      <c r="EDP1530" s="646"/>
      <c r="EDQ1530" s="646"/>
      <c r="EDR1530" s="646"/>
      <c r="EDS1530" s="646"/>
      <c r="EDT1530" s="646"/>
      <c r="EDU1530" s="646"/>
      <c r="EDV1530" s="646"/>
      <c r="EDW1530" s="646"/>
      <c r="EDX1530" s="646"/>
      <c r="EDY1530" s="646"/>
      <c r="EDZ1530" s="646"/>
      <c r="EEA1530" s="646"/>
      <c r="EEB1530" s="646"/>
      <c r="EEC1530" s="646"/>
      <c r="EED1530" s="646"/>
      <c r="EEE1530" s="646"/>
      <c r="EEF1530" s="646"/>
      <c r="EEG1530" s="646"/>
      <c r="EEH1530" s="646"/>
      <c r="EEI1530" s="646"/>
      <c r="EEJ1530" s="646"/>
      <c r="EEK1530" s="646"/>
      <c r="EEL1530" s="646"/>
      <c r="EEM1530" s="646"/>
      <c r="EEN1530" s="646"/>
      <c r="EEO1530" s="646"/>
      <c r="EEP1530" s="646"/>
      <c r="EEQ1530" s="646"/>
      <c r="EER1530" s="646"/>
      <c r="EES1530" s="646"/>
      <c r="EET1530" s="646"/>
      <c r="EEU1530" s="646"/>
      <c r="EEV1530" s="646"/>
      <c r="EEW1530" s="646"/>
      <c r="EEX1530" s="646"/>
      <c r="EEY1530" s="646"/>
      <c r="EEZ1530" s="646"/>
      <c r="EFA1530" s="646"/>
      <c r="EFB1530" s="646"/>
      <c r="EFC1530" s="646"/>
      <c r="EFD1530" s="646"/>
      <c r="EFE1530" s="646"/>
      <c r="EFF1530" s="646"/>
      <c r="EFG1530" s="646"/>
      <c r="EFH1530" s="646"/>
      <c r="EFI1530" s="646"/>
      <c r="EFJ1530" s="646"/>
      <c r="EFK1530" s="646"/>
      <c r="EFL1530" s="646"/>
      <c r="EFM1530" s="646"/>
      <c r="EFN1530" s="646"/>
      <c r="EFO1530" s="646"/>
      <c r="EFP1530" s="646"/>
      <c r="EFQ1530" s="646"/>
      <c r="EFR1530" s="646"/>
      <c r="EFS1530" s="646"/>
      <c r="EFT1530" s="646"/>
      <c r="EFU1530" s="646"/>
      <c r="EFV1530" s="646"/>
      <c r="EFW1530" s="646"/>
      <c r="EFX1530" s="646"/>
      <c r="EFY1530" s="646"/>
      <c r="EFZ1530" s="646"/>
      <c r="EGA1530" s="646"/>
      <c r="EGB1530" s="646"/>
      <c r="EGC1530" s="646"/>
      <c r="EGD1530" s="646"/>
      <c r="EGE1530" s="646"/>
      <c r="EGF1530" s="646"/>
      <c r="EGG1530" s="646"/>
      <c r="EGH1530" s="646"/>
      <c r="EGI1530" s="646"/>
      <c r="EGJ1530" s="646"/>
      <c r="EGK1530" s="646"/>
      <c r="EGL1530" s="646"/>
      <c r="EGM1530" s="646"/>
      <c r="EGN1530" s="646"/>
      <c r="EGO1530" s="646"/>
      <c r="EGP1530" s="646"/>
      <c r="EGQ1530" s="646"/>
      <c r="EGR1530" s="646"/>
      <c r="EGS1530" s="646"/>
      <c r="EGT1530" s="646"/>
      <c r="EGU1530" s="646"/>
      <c r="EGV1530" s="646"/>
      <c r="EGW1530" s="646"/>
      <c r="EGX1530" s="646"/>
      <c r="EGY1530" s="646"/>
      <c r="EGZ1530" s="646"/>
      <c r="EHA1530" s="646"/>
      <c r="EHB1530" s="646"/>
      <c r="EHC1530" s="646"/>
      <c r="EHD1530" s="646"/>
      <c r="EHE1530" s="646"/>
      <c r="EHF1530" s="646"/>
      <c r="EHG1530" s="646"/>
      <c r="EHH1530" s="646"/>
      <c r="EHI1530" s="646"/>
      <c r="EHJ1530" s="646"/>
      <c r="EHK1530" s="646"/>
      <c r="EHL1530" s="646"/>
      <c r="EHM1530" s="646"/>
      <c r="EHN1530" s="646"/>
      <c r="EHO1530" s="646"/>
      <c r="EHP1530" s="646"/>
      <c r="EHQ1530" s="646"/>
      <c r="EHR1530" s="646"/>
      <c r="EHS1530" s="646"/>
      <c r="EHT1530" s="646"/>
      <c r="EHU1530" s="646"/>
      <c r="EHV1530" s="646"/>
      <c r="EHW1530" s="646"/>
      <c r="EHX1530" s="646"/>
      <c r="EHY1530" s="646"/>
      <c r="EHZ1530" s="646"/>
      <c r="EIA1530" s="646"/>
      <c r="EIB1530" s="646"/>
      <c r="EIC1530" s="646"/>
      <c r="EID1530" s="646"/>
      <c r="EIE1530" s="646"/>
      <c r="EIF1530" s="646"/>
      <c r="EIG1530" s="646"/>
      <c r="EIH1530" s="646"/>
      <c r="EII1530" s="646"/>
      <c r="EIJ1530" s="646"/>
      <c r="EIK1530" s="646"/>
      <c r="EIL1530" s="646"/>
      <c r="EIM1530" s="646"/>
      <c r="EIN1530" s="646"/>
      <c r="EIO1530" s="646"/>
      <c r="EIP1530" s="646"/>
      <c r="EIQ1530" s="646"/>
      <c r="EIR1530" s="646"/>
      <c r="EIS1530" s="646"/>
      <c r="EIT1530" s="646"/>
      <c r="EIU1530" s="646"/>
      <c r="EIV1530" s="646"/>
      <c r="EIW1530" s="646"/>
      <c r="EIX1530" s="646"/>
      <c r="EIY1530" s="646"/>
      <c r="EIZ1530" s="646"/>
      <c r="EJA1530" s="646"/>
      <c r="EJB1530" s="646"/>
      <c r="EJC1530" s="646"/>
      <c r="EJD1530" s="646"/>
      <c r="EJE1530" s="646"/>
      <c r="EJF1530" s="646"/>
      <c r="EJG1530" s="646"/>
      <c r="EJH1530" s="646"/>
      <c r="EJI1530" s="646"/>
      <c r="EJJ1530" s="646"/>
      <c r="EJK1530" s="646"/>
      <c r="EJL1530" s="646"/>
      <c r="EJM1530" s="646"/>
      <c r="EJN1530" s="646"/>
      <c r="EJO1530" s="646"/>
      <c r="EJP1530" s="646"/>
      <c r="EJQ1530" s="646"/>
      <c r="EJR1530" s="646"/>
      <c r="EJS1530" s="646"/>
      <c r="EJT1530" s="646"/>
      <c r="EJU1530" s="646"/>
      <c r="EJV1530" s="646"/>
      <c r="EJW1530" s="646"/>
      <c r="EJX1530" s="646"/>
      <c r="EJY1530" s="646"/>
      <c r="EJZ1530" s="646"/>
      <c r="EKA1530" s="646"/>
      <c r="EKB1530" s="646"/>
      <c r="EKC1530" s="646"/>
      <c r="EKD1530" s="646"/>
      <c r="EKE1530" s="646"/>
      <c r="EKF1530" s="646"/>
      <c r="EKG1530" s="646"/>
      <c r="EKH1530" s="646"/>
      <c r="EKI1530" s="646"/>
      <c r="EKJ1530" s="646"/>
      <c r="EKK1530" s="646"/>
      <c r="EKL1530" s="646"/>
      <c r="EKM1530" s="646"/>
      <c r="EKN1530" s="646"/>
      <c r="EKO1530" s="646"/>
      <c r="EKP1530" s="646"/>
      <c r="EKQ1530" s="646"/>
      <c r="EKR1530" s="646"/>
      <c r="EKS1530" s="646"/>
      <c r="EKT1530" s="646"/>
      <c r="EKU1530" s="646"/>
      <c r="EKV1530" s="646"/>
      <c r="EKW1530" s="646"/>
      <c r="EKX1530" s="646"/>
      <c r="EKY1530" s="646"/>
      <c r="EKZ1530" s="646"/>
      <c r="ELA1530" s="646"/>
      <c r="ELB1530" s="646"/>
      <c r="ELC1530" s="646"/>
      <c r="ELD1530" s="646"/>
      <c r="ELE1530" s="646"/>
      <c r="ELF1530" s="646"/>
      <c r="ELG1530" s="646"/>
      <c r="ELH1530" s="646"/>
      <c r="ELI1530" s="646"/>
      <c r="ELJ1530" s="646"/>
      <c r="ELK1530" s="646"/>
      <c r="ELL1530" s="646"/>
      <c r="ELM1530" s="646"/>
      <c r="ELN1530" s="646"/>
      <c r="ELO1530" s="646"/>
      <c r="ELP1530" s="646"/>
      <c r="ELQ1530" s="646"/>
      <c r="ELR1530" s="646"/>
      <c r="ELS1530" s="646"/>
      <c r="ELT1530" s="646"/>
      <c r="ELU1530" s="646"/>
      <c r="ELV1530" s="646"/>
      <c r="ELW1530" s="646"/>
      <c r="ELX1530" s="646"/>
      <c r="ELY1530" s="646"/>
      <c r="ELZ1530" s="646"/>
      <c r="EMA1530" s="646"/>
      <c r="EMB1530" s="646"/>
      <c r="EMC1530" s="646"/>
      <c r="EMD1530" s="646"/>
      <c r="EME1530" s="646"/>
      <c r="EMF1530" s="646"/>
      <c r="EMG1530" s="646"/>
      <c r="EMH1530" s="646"/>
      <c r="EMI1530" s="646"/>
      <c r="EMJ1530" s="646"/>
      <c r="EMK1530" s="646"/>
      <c r="EML1530" s="646"/>
      <c r="EMM1530" s="646"/>
      <c r="EMN1530" s="646"/>
      <c r="EMO1530" s="646"/>
      <c r="EMP1530" s="646"/>
      <c r="EMQ1530" s="646"/>
      <c r="EMR1530" s="646"/>
      <c r="EMS1530" s="646"/>
      <c r="EMT1530" s="646"/>
      <c r="EMU1530" s="646"/>
      <c r="EMV1530" s="646"/>
      <c r="EMW1530" s="646"/>
      <c r="EMX1530" s="646"/>
      <c r="EMY1530" s="646"/>
      <c r="EMZ1530" s="646"/>
      <c r="ENA1530" s="646"/>
      <c r="ENB1530" s="646"/>
      <c r="ENC1530" s="646"/>
      <c r="END1530" s="646"/>
      <c r="ENE1530" s="646"/>
      <c r="ENF1530" s="646"/>
      <c r="ENG1530" s="646"/>
      <c r="ENH1530" s="646"/>
      <c r="ENI1530" s="646"/>
      <c r="ENJ1530" s="646"/>
      <c r="ENK1530" s="646"/>
      <c r="ENL1530" s="646"/>
      <c r="ENM1530" s="646"/>
      <c r="ENN1530" s="646"/>
      <c r="ENO1530" s="646"/>
      <c r="ENP1530" s="646"/>
      <c r="ENQ1530" s="646"/>
      <c r="ENR1530" s="646"/>
      <c r="ENS1530" s="646"/>
      <c r="ENT1530" s="646"/>
      <c r="ENU1530" s="646"/>
      <c r="ENV1530" s="646"/>
      <c r="ENW1530" s="646"/>
      <c r="ENX1530" s="646"/>
      <c r="ENY1530" s="646"/>
      <c r="ENZ1530" s="646"/>
      <c r="EOA1530" s="646"/>
      <c r="EOB1530" s="646"/>
      <c r="EOC1530" s="646"/>
      <c r="EOD1530" s="646"/>
      <c r="EOE1530" s="646"/>
      <c r="EOF1530" s="646"/>
      <c r="EOG1530" s="646"/>
      <c r="EOH1530" s="646"/>
      <c r="EOI1530" s="646"/>
      <c r="EOJ1530" s="646"/>
      <c r="EOK1530" s="646"/>
      <c r="EOL1530" s="646"/>
      <c r="EOM1530" s="646"/>
      <c r="EON1530" s="646"/>
      <c r="EOO1530" s="646"/>
      <c r="EOP1530" s="646"/>
      <c r="EOQ1530" s="646"/>
      <c r="EOR1530" s="646"/>
      <c r="EOS1530" s="646"/>
      <c r="EOT1530" s="646"/>
      <c r="EOU1530" s="646"/>
      <c r="EOV1530" s="646"/>
      <c r="EOW1530" s="646"/>
      <c r="EOX1530" s="646"/>
      <c r="EOY1530" s="646"/>
      <c r="EOZ1530" s="646"/>
      <c r="EPA1530" s="646"/>
      <c r="EPB1530" s="646"/>
      <c r="EPC1530" s="646"/>
      <c r="EPD1530" s="646"/>
      <c r="EPE1530" s="646"/>
      <c r="EPF1530" s="646"/>
      <c r="EPG1530" s="646"/>
      <c r="EPH1530" s="646"/>
      <c r="EPI1530" s="646"/>
      <c r="EPJ1530" s="646"/>
      <c r="EPK1530" s="646"/>
      <c r="EPL1530" s="646"/>
      <c r="EPM1530" s="646"/>
      <c r="EPN1530" s="646"/>
      <c r="EPO1530" s="646"/>
      <c r="EPP1530" s="646"/>
      <c r="EPQ1530" s="646"/>
      <c r="EPR1530" s="646"/>
      <c r="EPS1530" s="646"/>
      <c r="EPT1530" s="646"/>
      <c r="EPU1530" s="646"/>
      <c r="EPV1530" s="646"/>
      <c r="EPW1530" s="646"/>
      <c r="EPX1530" s="646"/>
      <c r="EPY1530" s="646"/>
      <c r="EPZ1530" s="646"/>
      <c r="EQA1530" s="646"/>
      <c r="EQB1530" s="646"/>
      <c r="EQC1530" s="646"/>
      <c r="EQD1530" s="646"/>
      <c r="EQE1530" s="646"/>
      <c r="EQF1530" s="646"/>
      <c r="EQG1530" s="646"/>
      <c r="EQH1530" s="646"/>
      <c r="EQI1530" s="646"/>
      <c r="EQJ1530" s="646"/>
      <c r="EQK1530" s="646"/>
      <c r="EQL1530" s="646"/>
      <c r="EQM1530" s="646"/>
      <c r="EQN1530" s="646"/>
      <c r="EQO1530" s="646"/>
      <c r="EQP1530" s="646"/>
      <c r="EQQ1530" s="646"/>
      <c r="EQR1530" s="646"/>
      <c r="EQS1530" s="646"/>
      <c r="EQT1530" s="646"/>
      <c r="EQU1530" s="646"/>
      <c r="EQV1530" s="646"/>
      <c r="EQW1530" s="646"/>
      <c r="EQX1530" s="646"/>
      <c r="EQY1530" s="646"/>
      <c r="EQZ1530" s="646"/>
      <c r="ERA1530" s="646"/>
      <c r="ERB1530" s="646"/>
      <c r="ERC1530" s="646"/>
      <c r="ERD1530" s="646"/>
      <c r="ERE1530" s="646"/>
      <c r="ERF1530" s="646"/>
      <c r="ERG1530" s="646"/>
      <c r="ERH1530" s="646"/>
      <c r="ERI1530" s="646"/>
      <c r="ERJ1530" s="646"/>
      <c r="ERK1530" s="646"/>
      <c r="ERL1530" s="646"/>
      <c r="ERM1530" s="646"/>
      <c r="ERN1530" s="646"/>
      <c r="ERO1530" s="646"/>
      <c r="ERP1530" s="646"/>
      <c r="ERQ1530" s="646"/>
      <c r="ERR1530" s="646"/>
      <c r="ERS1530" s="646"/>
      <c r="ERT1530" s="646"/>
      <c r="ERU1530" s="646"/>
      <c r="ERV1530" s="646"/>
      <c r="ERW1530" s="646"/>
      <c r="ERX1530" s="646"/>
      <c r="ERY1530" s="646"/>
      <c r="ERZ1530" s="646"/>
      <c r="ESA1530" s="646"/>
      <c r="ESB1530" s="646"/>
      <c r="ESC1530" s="646"/>
      <c r="ESD1530" s="646"/>
      <c r="ESE1530" s="646"/>
      <c r="ESF1530" s="646"/>
      <c r="ESG1530" s="646"/>
      <c r="ESH1530" s="646"/>
      <c r="ESI1530" s="646"/>
      <c r="ESJ1530" s="646"/>
      <c r="ESK1530" s="646"/>
      <c r="ESL1530" s="646"/>
      <c r="ESM1530" s="646"/>
      <c r="ESN1530" s="646"/>
      <c r="ESO1530" s="646"/>
      <c r="ESP1530" s="646"/>
      <c r="ESQ1530" s="646"/>
      <c r="ESR1530" s="646"/>
      <c r="ESS1530" s="646"/>
      <c r="EST1530" s="646"/>
      <c r="ESU1530" s="646"/>
      <c r="ESV1530" s="646"/>
      <c r="ESW1530" s="646"/>
      <c r="ESX1530" s="646"/>
      <c r="ESY1530" s="646"/>
      <c r="ESZ1530" s="646"/>
      <c r="ETA1530" s="646"/>
      <c r="ETB1530" s="646"/>
      <c r="ETC1530" s="646"/>
      <c r="ETD1530" s="646"/>
      <c r="ETE1530" s="646"/>
      <c r="ETF1530" s="646"/>
      <c r="ETG1530" s="646"/>
      <c r="ETH1530" s="646"/>
      <c r="ETI1530" s="646"/>
      <c r="ETJ1530" s="646"/>
      <c r="ETK1530" s="646"/>
      <c r="ETL1530" s="646"/>
      <c r="ETM1530" s="646"/>
      <c r="ETN1530" s="646"/>
      <c r="ETO1530" s="646"/>
      <c r="ETP1530" s="646"/>
      <c r="ETQ1530" s="646"/>
      <c r="ETR1530" s="646"/>
      <c r="ETS1530" s="646"/>
      <c r="ETT1530" s="646"/>
      <c r="ETU1530" s="646"/>
      <c r="ETV1530" s="646"/>
      <c r="ETW1530" s="646"/>
      <c r="ETX1530" s="646"/>
      <c r="ETY1530" s="646"/>
      <c r="ETZ1530" s="646"/>
      <c r="EUA1530" s="646"/>
      <c r="EUB1530" s="646"/>
      <c r="EUC1530" s="646"/>
      <c r="EUD1530" s="646"/>
      <c r="EUE1530" s="646"/>
      <c r="EUF1530" s="646"/>
      <c r="EUG1530" s="646"/>
      <c r="EUH1530" s="646"/>
      <c r="EUI1530" s="646"/>
      <c r="EUJ1530" s="646"/>
      <c r="EUK1530" s="646"/>
      <c r="EUL1530" s="646"/>
      <c r="EUM1530" s="646"/>
      <c r="EUN1530" s="646"/>
      <c r="EUO1530" s="646"/>
      <c r="EUP1530" s="646"/>
      <c r="EUQ1530" s="646"/>
      <c r="EUR1530" s="646"/>
      <c r="EUS1530" s="646"/>
      <c r="EUT1530" s="646"/>
      <c r="EUU1530" s="646"/>
      <c r="EUV1530" s="646"/>
      <c r="EUW1530" s="646"/>
      <c r="EUX1530" s="646"/>
      <c r="EUY1530" s="646"/>
      <c r="EUZ1530" s="646"/>
      <c r="EVA1530" s="646"/>
      <c r="EVB1530" s="646"/>
      <c r="EVC1530" s="646"/>
      <c r="EVD1530" s="646"/>
      <c r="EVE1530" s="646"/>
      <c r="EVF1530" s="646"/>
      <c r="EVG1530" s="646"/>
      <c r="EVH1530" s="646"/>
      <c r="EVI1530" s="646"/>
      <c r="EVJ1530" s="646"/>
      <c r="EVK1530" s="646"/>
      <c r="EVL1530" s="646"/>
      <c r="EVM1530" s="646"/>
      <c r="EVN1530" s="646"/>
      <c r="EVO1530" s="646"/>
      <c r="EVP1530" s="646"/>
      <c r="EVQ1530" s="646"/>
      <c r="EVR1530" s="646"/>
      <c r="EVS1530" s="646"/>
      <c r="EVT1530" s="646"/>
      <c r="EVU1530" s="646"/>
      <c r="EVV1530" s="646"/>
      <c r="EVW1530" s="646"/>
      <c r="EVX1530" s="646"/>
      <c r="EVY1530" s="646"/>
      <c r="EVZ1530" s="646"/>
      <c r="EWA1530" s="646"/>
      <c r="EWB1530" s="646"/>
      <c r="EWC1530" s="646"/>
      <c r="EWD1530" s="646"/>
      <c r="EWE1530" s="646"/>
      <c r="EWF1530" s="646"/>
      <c r="EWG1530" s="646"/>
      <c r="EWH1530" s="646"/>
      <c r="EWI1530" s="646"/>
      <c r="EWJ1530" s="646"/>
      <c r="EWK1530" s="646"/>
      <c r="EWL1530" s="646"/>
      <c r="EWM1530" s="646"/>
      <c r="EWN1530" s="646"/>
      <c r="EWO1530" s="646"/>
      <c r="EWP1530" s="646"/>
      <c r="EWQ1530" s="646"/>
      <c r="EWR1530" s="646"/>
      <c r="EWS1530" s="646"/>
      <c r="EWT1530" s="646"/>
      <c r="EWU1530" s="646"/>
      <c r="EWV1530" s="646"/>
      <c r="EWW1530" s="646"/>
      <c r="EWX1530" s="646"/>
      <c r="EWY1530" s="646"/>
      <c r="EWZ1530" s="646"/>
      <c r="EXA1530" s="646"/>
      <c r="EXB1530" s="646"/>
      <c r="EXC1530" s="646"/>
      <c r="EXD1530" s="646"/>
      <c r="EXE1530" s="646"/>
      <c r="EXF1530" s="646"/>
      <c r="EXG1530" s="646"/>
      <c r="EXH1530" s="646"/>
      <c r="EXI1530" s="646"/>
      <c r="EXJ1530" s="646"/>
      <c r="EXK1530" s="646"/>
      <c r="EXL1530" s="646"/>
      <c r="EXM1530" s="646"/>
      <c r="EXN1530" s="646"/>
      <c r="EXO1530" s="646"/>
      <c r="EXP1530" s="646"/>
      <c r="EXQ1530" s="646"/>
      <c r="EXR1530" s="646"/>
      <c r="EXS1530" s="646"/>
      <c r="EXT1530" s="646"/>
      <c r="EXU1530" s="646"/>
      <c r="EXV1530" s="646"/>
      <c r="EXW1530" s="646"/>
      <c r="EXX1530" s="646"/>
      <c r="EXY1530" s="646"/>
      <c r="EXZ1530" s="646"/>
      <c r="EYA1530" s="646"/>
      <c r="EYB1530" s="646"/>
      <c r="EYC1530" s="646"/>
      <c r="EYD1530" s="646"/>
      <c r="EYE1530" s="646"/>
      <c r="EYF1530" s="646"/>
      <c r="EYG1530" s="646"/>
      <c r="EYH1530" s="646"/>
      <c r="EYI1530" s="646"/>
      <c r="EYJ1530" s="646"/>
      <c r="EYK1530" s="646"/>
      <c r="EYL1530" s="646"/>
      <c r="EYM1530" s="646"/>
      <c r="EYN1530" s="646"/>
      <c r="EYO1530" s="646"/>
      <c r="EYP1530" s="646"/>
      <c r="EYQ1530" s="646"/>
      <c r="EYR1530" s="646"/>
      <c r="EYS1530" s="646"/>
      <c r="EYT1530" s="646"/>
      <c r="EYU1530" s="646"/>
      <c r="EYV1530" s="646"/>
      <c r="EYW1530" s="646"/>
      <c r="EYX1530" s="646"/>
      <c r="EYY1530" s="646"/>
      <c r="EYZ1530" s="646"/>
      <c r="EZA1530" s="646"/>
      <c r="EZB1530" s="646"/>
      <c r="EZC1530" s="646"/>
      <c r="EZD1530" s="646"/>
      <c r="EZE1530" s="646"/>
      <c r="EZF1530" s="646"/>
      <c r="EZG1530" s="646"/>
      <c r="EZH1530" s="646"/>
      <c r="EZI1530" s="646"/>
      <c r="EZJ1530" s="646"/>
      <c r="EZK1530" s="646"/>
      <c r="EZL1530" s="646"/>
      <c r="EZM1530" s="646"/>
      <c r="EZN1530" s="646"/>
      <c r="EZO1530" s="646"/>
      <c r="EZP1530" s="646"/>
      <c r="EZQ1530" s="646"/>
      <c r="EZR1530" s="646"/>
      <c r="EZS1530" s="646"/>
      <c r="EZT1530" s="646"/>
      <c r="EZU1530" s="646"/>
      <c r="EZV1530" s="646"/>
      <c r="EZW1530" s="646"/>
      <c r="EZX1530" s="646"/>
      <c r="EZY1530" s="646"/>
      <c r="EZZ1530" s="646"/>
      <c r="FAA1530" s="646"/>
      <c r="FAB1530" s="646"/>
      <c r="FAC1530" s="646"/>
      <c r="FAD1530" s="646"/>
      <c r="FAE1530" s="646"/>
      <c r="FAF1530" s="646"/>
      <c r="FAG1530" s="646"/>
      <c r="FAH1530" s="646"/>
      <c r="FAI1530" s="646"/>
      <c r="FAJ1530" s="646"/>
      <c r="FAK1530" s="646"/>
      <c r="FAL1530" s="646"/>
      <c r="FAM1530" s="646"/>
      <c r="FAN1530" s="646"/>
      <c r="FAO1530" s="646"/>
      <c r="FAP1530" s="646"/>
      <c r="FAQ1530" s="646"/>
      <c r="FAR1530" s="646"/>
      <c r="FAS1530" s="646"/>
      <c r="FAT1530" s="646"/>
      <c r="FAU1530" s="646"/>
      <c r="FAV1530" s="646"/>
      <c r="FAW1530" s="646"/>
      <c r="FAX1530" s="646"/>
      <c r="FAY1530" s="646"/>
      <c r="FAZ1530" s="646"/>
      <c r="FBA1530" s="646"/>
      <c r="FBB1530" s="646"/>
      <c r="FBC1530" s="646"/>
      <c r="FBD1530" s="646"/>
      <c r="FBE1530" s="646"/>
      <c r="FBF1530" s="646"/>
      <c r="FBG1530" s="646"/>
      <c r="FBH1530" s="646"/>
      <c r="FBI1530" s="646"/>
      <c r="FBJ1530" s="646"/>
      <c r="FBK1530" s="646"/>
      <c r="FBL1530" s="646"/>
      <c r="FBM1530" s="646"/>
      <c r="FBN1530" s="646"/>
      <c r="FBO1530" s="646"/>
      <c r="FBP1530" s="646"/>
      <c r="FBQ1530" s="646"/>
      <c r="FBR1530" s="646"/>
      <c r="FBS1530" s="646"/>
      <c r="FBT1530" s="646"/>
      <c r="FBU1530" s="646"/>
      <c r="FBV1530" s="646"/>
      <c r="FBW1530" s="646"/>
      <c r="FBX1530" s="646"/>
      <c r="FBY1530" s="646"/>
      <c r="FBZ1530" s="646"/>
      <c r="FCA1530" s="646"/>
      <c r="FCB1530" s="646"/>
      <c r="FCC1530" s="646"/>
      <c r="FCD1530" s="646"/>
      <c r="FCE1530" s="646"/>
      <c r="FCF1530" s="646"/>
      <c r="FCG1530" s="646"/>
      <c r="FCH1530" s="646"/>
      <c r="FCI1530" s="646"/>
      <c r="FCJ1530" s="646"/>
      <c r="FCK1530" s="646"/>
      <c r="FCL1530" s="646"/>
      <c r="FCM1530" s="646"/>
      <c r="FCN1530" s="646"/>
      <c r="FCO1530" s="646"/>
      <c r="FCP1530" s="646"/>
      <c r="FCQ1530" s="646"/>
      <c r="FCR1530" s="646"/>
      <c r="FCS1530" s="646"/>
      <c r="FCT1530" s="646"/>
      <c r="FCU1530" s="646"/>
      <c r="FCV1530" s="646"/>
      <c r="FCW1530" s="646"/>
      <c r="FCX1530" s="646"/>
      <c r="FCY1530" s="646"/>
      <c r="FCZ1530" s="646"/>
      <c r="FDA1530" s="646"/>
      <c r="FDB1530" s="646"/>
      <c r="FDC1530" s="646"/>
      <c r="FDD1530" s="646"/>
      <c r="FDE1530" s="646"/>
      <c r="FDF1530" s="646"/>
      <c r="FDG1530" s="646"/>
      <c r="FDH1530" s="646"/>
      <c r="FDI1530" s="646"/>
      <c r="FDJ1530" s="646"/>
      <c r="FDK1530" s="646"/>
      <c r="FDL1530" s="646"/>
      <c r="FDM1530" s="646"/>
      <c r="FDN1530" s="646"/>
      <c r="FDO1530" s="646"/>
      <c r="FDP1530" s="646"/>
      <c r="FDQ1530" s="646"/>
      <c r="FDR1530" s="646"/>
      <c r="FDS1530" s="646"/>
      <c r="FDT1530" s="646"/>
      <c r="FDU1530" s="646"/>
      <c r="FDV1530" s="646"/>
      <c r="FDW1530" s="646"/>
      <c r="FDX1530" s="646"/>
      <c r="FDY1530" s="646"/>
      <c r="FDZ1530" s="646"/>
      <c r="FEA1530" s="646"/>
      <c r="FEB1530" s="646"/>
      <c r="FEC1530" s="646"/>
      <c r="FED1530" s="646"/>
      <c r="FEE1530" s="646"/>
      <c r="FEF1530" s="646"/>
      <c r="FEG1530" s="646"/>
      <c r="FEH1530" s="646"/>
      <c r="FEI1530" s="646"/>
      <c r="FEJ1530" s="646"/>
      <c r="FEK1530" s="646"/>
      <c r="FEL1530" s="646"/>
      <c r="FEM1530" s="646"/>
      <c r="FEN1530" s="646"/>
      <c r="FEO1530" s="646"/>
      <c r="FEP1530" s="646"/>
      <c r="FEQ1530" s="646"/>
      <c r="FER1530" s="646"/>
      <c r="FES1530" s="646"/>
      <c r="FET1530" s="646"/>
      <c r="FEU1530" s="646"/>
      <c r="FEV1530" s="646"/>
      <c r="FEW1530" s="646"/>
      <c r="FEX1530" s="646"/>
      <c r="FEY1530" s="646"/>
      <c r="FEZ1530" s="646"/>
      <c r="FFA1530" s="646"/>
      <c r="FFB1530" s="646"/>
      <c r="FFC1530" s="646"/>
      <c r="FFD1530" s="646"/>
      <c r="FFE1530" s="646"/>
      <c r="FFF1530" s="646"/>
      <c r="FFG1530" s="646"/>
      <c r="FFH1530" s="646"/>
      <c r="FFI1530" s="646"/>
      <c r="FFJ1530" s="646"/>
      <c r="FFK1530" s="646"/>
      <c r="FFL1530" s="646"/>
      <c r="FFM1530" s="646"/>
      <c r="FFN1530" s="646"/>
      <c r="FFO1530" s="646"/>
      <c r="FFP1530" s="646"/>
      <c r="FFQ1530" s="646"/>
      <c r="FFR1530" s="646"/>
      <c r="FFS1530" s="646"/>
      <c r="FFT1530" s="646"/>
      <c r="FFU1530" s="646"/>
      <c r="FFV1530" s="646"/>
      <c r="FFW1530" s="646"/>
      <c r="FFX1530" s="646"/>
      <c r="FFY1530" s="646"/>
      <c r="FFZ1530" s="646"/>
      <c r="FGA1530" s="646"/>
      <c r="FGB1530" s="646"/>
      <c r="FGC1530" s="646"/>
      <c r="FGD1530" s="646"/>
      <c r="FGE1530" s="646"/>
      <c r="FGF1530" s="646"/>
      <c r="FGG1530" s="646"/>
      <c r="FGH1530" s="646"/>
      <c r="FGI1530" s="646"/>
      <c r="FGJ1530" s="646"/>
      <c r="FGK1530" s="646"/>
      <c r="FGL1530" s="646"/>
      <c r="FGM1530" s="646"/>
      <c r="FGN1530" s="646"/>
      <c r="FGO1530" s="646"/>
      <c r="FGP1530" s="646"/>
      <c r="FGQ1530" s="646"/>
      <c r="FGR1530" s="646"/>
      <c r="FGS1530" s="646"/>
      <c r="FGT1530" s="646"/>
      <c r="FGU1530" s="646"/>
      <c r="FGV1530" s="646"/>
      <c r="FGW1530" s="646"/>
      <c r="FGX1530" s="646"/>
      <c r="FGY1530" s="646"/>
      <c r="FGZ1530" s="646"/>
      <c r="FHA1530" s="646"/>
      <c r="FHB1530" s="646"/>
      <c r="FHC1530" s="646"/>
      <c r="FHD1530" s="646"/>
      <c r="FHE1530" s="646"/>
      <c r="FHF1530" s="646"/>
      <c r="FHG1530" s="646"/>
      <c r="FHH1530" s="646"/>
      <c r="FHI1530" s="646"/>
      <c r="FHJ1530" s="646"/>
      <c r="FHK1530" s="646"/>
      <c r="FHL1530" s="646"/>
      <c r="FHM1530" s="646"/>
      <c r="FHN1530" s="646"/>
      <c r="FHO1530" s="646"/>
      <c r="FHP1530" s="646"/>
      <c r="FHQ1530" s="646"/>
      <c r="FHR1530" s="646"/>
      <c r="FHS1530" s="646"/>
      <c r="FHT1530" s="646"/>
      <c r="FHU1530" s="646"/>
      <c r="FHV1530" s="646"/>
      <c r="FHW1530" s="646"/>
      <c r="FHX1530" s="646"/>
      <c r="FHY1530" s="646"/>
      <c r="FHZ1530" s="646"/>
      <c r="FIA1530" s="646"/>
      <c r="FIB1530" s="646"/>
      <c r="FIC1530" s="646"/>
      <c r="FID1530" s="646"/>
      <c r="FIE1530" s="646"/>
      <c r="FIF1530" s="646"/>
      <c r="FIG1530" s="646"/>
      <c r="FIH1530" s="646"/>
      <c r="FII1530" s="646"/>
      <c r="FIJ1530" s="646"/>
      <c r="FIK1530" s="646"/>
      <c r="FIL1530" s="646"/>
      <c r="FIM1530" s="646"/>
      <c r="FIN1530" s="646"/>
      <c r="FIO1530" s="646"/>
      <c r="FIP1530" s="646"/>
      <c r="FIQ1530" s="646"/>
      <c r="FIR1530" s="646"/>
      <c r="FIS1530" s="646"/>
      <c r="FIT1530" s="646"/>
      <c r="FIU1530" s="646"/>
      <c r="FIV1530" s="646"/>
      <c r="FIW1530" s="646"/>
      <c r="FIX1530" s="646"/>
      <c r="FIY1530" s="646"/>
      <c r="FIZ1530" s="646"/>
      <c r="FJA1530" s="646"/>
      <c r="FJB1530" s="646"/>
      <c r="FJC1530" s="646"/>
      <c r="FJD1530" s="646"/>
      <c r="FJE1530" s="646"/>
      <c r="FJF1530" s="646"/>
      <c r="FJG1530" s="646"/>
      <c r="FJH1530" s="646"/>
      <c r="FJI1530" s="646"/>
      <c r="FJJ1530" s="646"/>
      <c r="FJK1530" s="646"/>
      <c r="FJL1530" s="646"/>
      <c r="FJM1530" s="646"/>
      <c r="FJN1530" s="646"/>
      <c r="FJO1530" s="646"/>
      <c r="FJP1530" s="646"/>
      <c r="FJQ1530" s="646"/>
      <c r="FJR1530" s="646"/>
      <c r="FJS1530" s="646"/>
      <c r="FJT1530" s="646"/>
      <c r="FJU1530" s="646"/>
      <c r="FJV1530" s="646"/>
      <c r="FJW1530" s="646"/>
      <c r="FJX1530" s="646"/>
      <c r="FJY1530" s="646"/>
      <c r="FJZ1530" s="646"/>
      <c r="FKA1530" s="646"/>
      <c r="FKB1530" s="646"/>
      <c r="FKC1530" s="646"/>
      <c r="FKD1530" s="646"/>
      <c r="FKE1530" s="646"/>
      <c r="FKF1530" s="646"/>
      <c r="FKG1530" s="646"/>
      <c r="FKH1530" s="646"/>
      <c r="FKI1530" s="646"/>
      <c r="FKJ1530" s="646"/>
      <c r="FKK1530" s="646"/>
      <c r="FKL1530" s="646"/>
      <c r="FKM1530" s="646"/>
      <c r="FKN1530" s="646"/>
      <c r="FKO1530" s="646"/>
      <c r="FKP1530" s="646"/>
      <c r="FKQ1530" s="646"/>
      <c r="FKR1530" s="646"/>
      <c r="FKS1530" s="646"/>
      <c r="FKT1530" s="646"/>
      <c r="FKU1530" s="646"/>
      <c r="FKV1530" s="646"/>
      <c r="FKW1530" s="646"/>
      <c r="FKX1530" s="646"/>
      <c r="FKY1530" s="646"/>
      <c r="FKZ1530" s="646"/>
      <c r="FLA1530" s="646"/>
      <c r="FLB1530" s="646"/>
      <c r="FLC1530" s="646"/>
      <c r="FLD1530" s="646"/>
      <c r="FLE1530" s="646"/>
      <c r="FLF1530" s="646"/>
      <c r="FLG1530" s="646"/>
      <c r="FLH1530" s="646"/>
      <c r="FLI1530" s="646"/>
      <c r="FLJ1530" s="646"/>
      <c r="FLK1530" s="646"/>
      <c r="FLL1530" s="646"/>
      <c r="FLM1530" s="646"/>
      <c r="FLN1530" s="646"/>
      <c r="FLO1530" s="646"/>
      <c r="FLP1530" s="646"/>
      <c r="FLQ1530" s="646"/>
      <c r="FLR1530" s="646"/>
      <c r="FLS1530" s="646"/>
      <c r="FLT1530" s="646"/>
      <c r="FLU1530" s="646"/>
      <c r="FLV1530" s="646"/>
      <c r="FLW1530" s="646"/>
      <c r="FLX1530" s="646"/>
      <c r="FLY1530" s="646"/>
      <c r="FLZ1530" s="646"/>
      <c r="FMA1530" s="646"/>
      <c r="FMB1530" s="646"/>
      <c r="FMC1530" s="646"/>
      <c r="FMD1530" s="646"/>
      <c r="FME1530" s="646"/>
      <c r="FMF1530" s="646"/>
      <c r="FMG1530" s="646"/>
      <c r="FMH1530" s="646"/>
      <c r="FMI1530" s="646"/>
      <c r="FMJ1530" s="646"/>
      <c r="FMK1530" s="646"/>
      <c r="FML1530" s="646"/>
      <c r="FMM1530" s="646"/>
      <c r="FMN1530" s="646"/>
      <c r="FMO1530" s="646"/>
      <c r="FMP1530" s="646"/>
      <c r="FMQ1530" s="646"/>
      <c r="FMR1530" s="646"/>
      <c r="FMS1530" s="646"/>
      <c r="FMT1530" s="646"/>
      <c r="FMU1530" s="646"/>
      <c r="FMV1530" s="646"/>
      <c r="FMW1530" s="646"/>
      <c r="FMX1530" s="646"/>
      <c r="FMY1530" s="646"/>
      <c r="FMZ1530" s="646"/>
      <c r="FNA1530" s="646"/>
      <c r="FNB1530" s="646"/>
      <c r="FNC1530" s="646"/>
      <c r="FND1530" s="646"/>
      <c r="FNE1530" s="646"/>
      <c r="FNF1530" s="646"/>
      <c r="FNG1530" s="646"/>
      <c r="FNH1530" s="646"/>
      <c r="FNI1530" s="646"/>
      <c r="FNJ1530" s="646"/>
      <c r="FNK1530" s="646"/>
      <c r="FNL1530" s="646"/>
      <c r="FNM1530" s="646"/>
      <c r="FNN1530" s="646"/>
      <c r="FNO1530" s="646"/>
      <c r="FNP1530" s="646"/>
      <c r="FNQ1530" s="646"/>
      <c r="FNR1530" s="646"/>
      <c r="FNS1530" s="646"/>
      <c r="FNT1530" s="646"/>
      <c r="FNU1530" s="646"/>
      <c r="FNV1530" s="646"/>
      <c r="FNW1530" s="646"/>
      <c r="FNX1530" s="646"/>
      <c r="FNY1530" s="646"/>
      <c r="FNZ1530" s="646"/>
      <c r="FOA1530" s="646"/>
      <c r="FOB1530" s="646"/>
      <c r="FOC1530" s="646"/>
      <c r="FOD1530" s="646"/>
      <c r="FOE1530" s="646"/>
      <c r="FOF1530" s="646"/>
      <c r="FOG1530" s="646"/>
      <c r="FOH1530" s="646"/>
      <c r="FOI1530" s="646"/>
      <c r="FOJ1530" s="646"/>
      <c r="FOK1530" s="646"/>
      <c r="FOL1530" s="646"/>
      <c r="FOM1530" s="646"/>
      <c r="FON1530" s="646"/>
      <c r="FOO1530" s="646"/>
      <c r="FOP1530" s="646"/>
      <c r="FOQ1530" s="646"/>
      <c r="FOR1530" s="646"/>
      <c r="FOS1530" s="646"/>
      <c r="FOT1530" s="646"/>
      <c r="FOU1530" s="646"/>
      <c r="FOV1530" s="646"/>
      <c r="FOW1530" s="646"/>
      <c r="FOX1530" s="646"/>
      <c r="FOY1530" s="646"/>
      <c r="FOZ1530" s="646"/>
      <c r="FPA1530" s="646"/>
      <c r="FPB1530" s="646"/>
      <c r="FPC1530" s="646"/>
      <c r="FPD1530" s="646"/>
      <c r="FPE1530" s="646"/>
      <c r="FPF1530" s="646"/>
      <c r="FPG1530" s="646"/>
      <c r="FPH1530" s="646"/>
      <c r="FPI1530" s="646"/>
      <c r="FPJ1530" s="646"/>
      <c r="FPK1530" s="646"/>
      <c r="FPL1530" s="646"/>
      <c r="FPM1530" s="646"/>
      <c r="FPN1530" s="646"/>
      <c r="FPO1530" s="646"/>
      <c r="FPP1530" s="646"/>
      <c r="FPQ1530" s="646"/>
      <c r="FPR1530" s="646"/>
      <c r="FPS1530" s="646"/>
      <c r="FPT1530" s="646"/>
      <c r="FPU1530" s="646"/>
      <c r="FPV1530" s="646"/>
      <c r="FPW1530" s="646"/>
      <c r="FPX1530" s="646"/>
      <c r="FPY1530" s="646"/>
      <c r="FPZ1530" s="646"/>
      <c r="FQA1530" s="646"/>
      <c r="FQB1530" s="646"/>
      <c r="FQC1530" s="646"/>
      <c r="FQD1530" s="646"/>
      <c r="FQE1530" s="646"/>
      <c r="FQF1530" s="646"/>
      <c r="FQG1530" s="646"/>
      <c r="FQH1530" s="646"/>
      <c r="FQI1530" s="646"/>
      <c r="FQJ1530" s="646"/>
      <c r="FQK1530" s="646"/>
      <c r="FQL1530" s="646"/>
      <c r="FQM1530" s="646"/>
      <c r="FQN1530" s="646"/>
      <c r="FQO1530" s="646"/>
      <c r="FQP1530" s="646"/>
      <c r="FQQ1530" s="646"/>
      <c r="FQR1530" s="646"/>
      <c r="FQS1530" s="646"/>
      <c r="FQT1530" s="646"/>
      <c r="FQU1530" s="646"/>
      <c r="FQV1530" s="646"/>
      <c r="FQW1530" s="646"/>
      <c r="FQX1530" s="646"/>
      <c r="FQY1530" s="646"/>
      <c r="FQZ1530" s="646"/>
      <c r="FRA1530" s="646"/>
      <c r="FRB1530" s="646"/>
      <c r="FRC1530" s="646"/>
      <c r="FRD1530" s="646"/>
      <c r="FRE1530" s="646"/>
      <c r="FRF1530" s="646"/>
      <c r="FRG1530" s="646"/>
      <c r="FRH1530" s="646"/>
      <c r="FRI1530" s="646"/>
      <c r="FRJ1530" s="646"/>
      <c r="FRK1530" s="646"/>
      <c r="FRL1530" s="646"/>
      <c r="FRM1530" s="646"/>
      <c r="FRN1530" s="646"/>
      <c r="FRO1530" s="646"/>
      <c r="FRP1530" s="646"/>
      <c r="FRQ1530" s="646"/>
      <c r="FRR1530" s="646"/>
      <c r="FRS1530" s="646"/>
      <c r="FRT1530" s="646"/>
      <c r="FRU1530" s="646"/>
      <c r="FRV1530" s="646"/>
      <c r="FRW1530" s="646"/>
      <c r="FRX1530" s="646"/>
      <c r="FRY1530" s="646"/>
      <c r="FRZ1530" s="646"/>
      <c r="FSA1530" s="646"/>
      <c r="FSB1530" s="646"/>
      <c r="FSC1530" s="646"/>
      <c r="FSD1530" s="646"/>
      <c r="FSE1530" s="646"/>
      <c r="FSF1530" s="646"/>
      <c r="FSG1530" s="646"/>
      <c r="FSH1530" s="646"/>
      <c r="FSI1530" s="646"/>
      <c r="FSJ1530" s="646"/>
      <c r="FSK1530" s="646"/>
      <c r="FSL1530" s="646"/>
      <c r="FSM1530" s="646"/>
      <c r="FSN1530" s="646"/>
      <c r="FSO1530" s="646"/>
      <c r="FSP1530" s="646"/>
      <c r="FSQ1530" s="646"/>
      <c r="FSR1530" s="646"/>
      <c r="FSS1530" s="646"/>
      <c r="FST1530" s="646"/>
      <c r="FSU1530" s="646"/>
      <c r="FSV1530" s="646"/>
      <c r="FSW1530" s="646"/>
      <c r="FSX1530" s="646"/>
      <c r="FSY1530" s="646"/>
      <c r="FSZ1530" s="646"/>
      <c r="FTA1530" s="646"/>
      <c r="FTB1530" s="646"/>
      <c r="FTC1530" s="646"/>
      <c r="FTD1530" s="646"/>
      <c r="FTE1530" s="646"/>
      <c r="FTF1530" s="646"/>
      <c r="FTG1530" s="646"/>
      <c r="FTH1530" s="646"/>
      <c r="FTI1530" s="646"/>
      <c r="FTJ1530" s="646"/>
      <c r="FTK1530" s="646"/>
      <c r="FTL1530" s="646"/>
      <c r="FTM1530" s="646"/>
      <c r="FTN1530" s="646"/>
      <c r="FTO1530" s="646"/>
      <c r="FTP1530" s="646"/>
      <c r="FTQ1530" s="646"/>
      <c r="FTR1530" s="646"/>
      <c r="FTS1530" s="646"/>
      <c r="FTT1530" s="646"/>
      <c r="FTU1530" s="646"/>
      <c r="FTV1530" s="646"/>
      <c r="FTW1530" s="646"/>
      <c r="FTX1530" s="646"/>
      <c r="FTY1530" s="646"/>
      <c r="FTZ1530" s="646"/>
      <c r="FUA1530" s="646"/>
      <c r="FUB1530" s="646"/>
      <c r="FUC1530" s="646"/>
      <c r="FUD1530" s="646"/>
      <c r="FUE1530" s="646"/>
      <c r="FUF1530" s="646"/>
      <c r="FUG1530" s="646"/>
      <c r="FUH1530" s="646"/>
      <c r="FUI1530" s="646"/>
      <c r="FUJ1530" s="646"/>
      <c r="FUK1530" s="646"/>
      <c r="FUL1530" s="646"/>
      <c r="FUM1530" s="646"/>
      <c r="FUN1530" s="646"/>
      <c r="FUO1530" s="646"/>
      <c r="FUP1530" s="646"/>
      <c r="FUQ1530" s="646"/>
      <c r="FUR1530" s="646"/>
      <c r="FUS1530" s="646"/>
      <c r="FUT1530" s="646"/>
      <c r="FUU1530" s="646"/>
      <c r="FUV1530" s="646"/>
      <c r="FUW1530" s="646"/>
      <c r="FUX1530" s="646"/>
      <c r="FUY1530" s="646"/>
      <c r="FUZ1530" s="646"/>
      <c r="FVA1530" s="646"/>
      <c r="FVB1530" s="646"/>
      <c r="FVC1530" s="646"/>
      <c r="FVD1530" s="646"/>
      <c r="FVE1530" s="646"/>
      <c r="FVF1530" s="646"/>
      <c r="FVG1530" s="646"/>
      <c r="FVH1530" s="646"/>
      <c r="FVI1530" s="646"/>
      <c r="FVJ1530" s="646"/>
      <c r="FVK1530" s="646"/>
      <c r="FVL1530" s="646"/>
      <c r="FVM1530" s="646"/>
      <c r="FVN1530" s="646"/>
      <c r="FVO1530" s="646"/>
      <c r="FVP1530" s="646"/>
      <c r="FVQ1530" s="646"/>
      <c r="FVR1530" s="646"/>
      <c r="FVS1530" s="646"/>
      <c r="FVT1530" s="646"/>
      <c r="FVU1530" s="646"/>
      <c r="FVV1530" s="646"/>
      <c r="FVW1530" s="646"/>
      <c r="FVX1530" s="646"/>
      <c r="FVY1530" s="646"/>
      <c r="FVZ1530" s="646"/>
      <c r="FWA1530" s="646"/>
      <c r="FWB1530" s="646"/>
      <c r="FWC1530" s="646"/>
      <c r="FWD1530" s="646"/>
      <c r="FWE1530" s="646"/>
      <c r="FWF1530" s="646"/>
      <c r="FWG1530" s="646"/>
      <c r="FWH1530" s="646"/>
      <c r="FWI1530" s="646"/>
      <c r="FWJ1530" s="646"/>
      <c r="FWK1530" s="646"/>
      <c r="FWL1530" s="646"/>
      <c r="FWM1530" s="646"/>
      <c r="FWN1530" s="646"/>
      <c r="FWO1530" s="646"/>
      <c r="FWP1530" s="646"/>
      <c r="FWQ1530" s="646"/>
      <c r="FWR1530" s="646"/>
      <c r="FWS1530" s="646"/>
      <c r="FWT1530" s="646"/>
      <c r="FWU1530" s="646"/>
      <c r="FWV1530" s="646"/>
      <c r="FWW1530" s="646"/>
      <c r="FWX1530" s="646"/>
      <c r="FWY1530" s="646"/>
      <c r="FWZ1530" s="646"/>
      <c r="FXA1530" s="646"/>
      <c r="FXB1530" s="646"/>
      <c r="FXC1530" s="646"/>
      <c r="FXD1530" s="646"/>
      <c r="FXE1530" s="646"/>
      <c r="FXF1530" s="646"/>
      <c r="FXG1530" s="646"/>
      <c r="FXH1530" s="646"/>
      <c r="FXI1530" s="646"/>
      <c r="FXJ1530" s="646"/>
      <c r="FXK1530" s="646"/>
      <c r="FXL1530" s="646"/>
      <c r="FXM1530" s="646"/>
      <c r="FXN1530" s="646"/>
      <c r="FXO1530" s="646"/>
      <c r="FXP1530" s="646"/>
      <c r="FXQ1530" s="646"/>
      <c r="FXR1530" s="646"/>
      <c r="FXS1530" s="646"/>
      <c r="FXT1530" s="646"/>
      <c r="FXU1530" s="646"/>
      <c r="FXV1530" s="646"/>
      <c r="FXW1530" s="646"/>
      <c r="FXX1530" s="646"/>
      <c r="FXY1530" s="646"/>
      <c r="FXZ1530" s="646"/>
      <c r="FYA1530" s="646"/>
      <c r="FYB1530" s="646"/>
      <c r="FYC1530" s="646"/>
      <c r="FYD1530" s="646"/>
      <c r="FYE1530" s="646"/>
      <c r="FYF1530" s="646"/>
      <c r="FYG1530" s="646"/>
      <c r="FYH1530" s="646"/>
      <c r="FYI1530" s="646"/>
      <c r="FYJ1530" s="646"/>
      <c r="FYK1530" s="646"/>
      <c r="FYL1530" s="646"/>
      <c r="FYM1530" s="646"/>
      <c r="FYN1530" s="646"/>
      <c r="FYO1530" s="646"/>
      <c r="FYP1530" s="646"/>
      <c r="FYQ1530" s="646"/>
      <c r="FYR1530" s="646"/>
      <c r="FYS1530" s="646"/>
      <c r="FYT1530" s="646"/>
      <c r="FYU1530" s="646"/>
      <c r="FYV1530" s="646"/>
      <c r="FYW1530" s="646"/>
      <c r="FYX1530" s="646"/>
      <c r="FYY1530" s="646"/>
      <c r="FYZ1530" s="646"/>
      <c r="FZA1530" s="646"/>
      <c r="FZB1530" s="646"/>
      <c r="FZC1530" s="646"/>
      <c r="FZD1530" s="646"/>
      <c r="FZE1530" s="646"/>
      <c r="FZF1530" s="646"/>
      <c r="FZG1530" s="646"/>
      <c r="FZH1530" s="646"/>
      <c r="FZI1530" s="646"/>
      <c r="FZJ1530" s="646"/>
      <c r="FZK1530" s="646"/>
      <c r="FZL1530" s="646"/>
      <c r="FZM1530" s="646"/>
      <c r="FZN1530" s="646"/>
      <c r="FZO1530" s="646"/>
      <c r="FZP1530" s="646"/>
      <c r="FZQ1530" s="646"/>
      <c r="FZR1530" s="646"/>
      <c r="FZS1530" s="646"/>
      <c r="FZT1530" s="646"/>
      <c r="FZU1530" s="646"/>
      <c r="FZV1530" s="646"/>
      <c r="FZW1530" s="646"/>
      <c r="FZX1530" s="646"/>
      <c r="FZY1530" s="646"/>
      <c r="FZZ1530" s="646"/>
      <c r="GAA1530" s="646"/>
      <c r="GAB1530" s="646"/>
      <c r="GAC1530" s="646"/>
      <c r="GAD1530" s="646"/>
      <c r="GAE1530" s="646"/>
      <c r="GAF1530" s="646"/>
      <c r="GAG1530" s="646"/>
      <c r="GAH1530" s="646"/>
      <c r="GAI1530" s="646"/>
      <c r="GAJ1530" s="646"/>
      <c r="GAK1530" s="646"/>
      <c r="GAL1530" s="646"/>
      <c r="GAM1530" s="646"/>
      <c r="GAN1530" s="646"/>
      <c r="GAO1530" s="646"/>
      <c r="GAP1530" s="646"/>
      <c r="GAQ1530" s="646"/>
      <c r="GAR1530" s="646"/>
      <c r="GAS1530" s="646"/>
      <c r="GAT1530" s="646"/>
      <c r="GAU1530" s="646"/>
      <c r="GAV1530" s="646"/>
      <c r="GAW1530" s="646"/>
      <c r="GAX1530" s="646"/>
      <c r="GAY1530" s="646"/>
      <c r="GAZ1530" s="646"/>
      <c r="GBA1530" s="646"/>
      <c r="GBB1530" s="646"/>
      <c r="GBC1530" s="646"/>
      <c r="GBD1530" s="646"/>
      <c r="GBE1530" s="646"/>
      <c r="GBF1530" s="646"/>
      <c r="GBG1530" s="646"/>
      <c r="GBH1530" s="646"/>
      <c r="GBI1530" s="646"/>
      <c r="GBJ1530" s="646"/>
      <c r="GBK1530" s="646"/>
      <c r="GBL1530" s="646"/>
      <c r="GBM1530" s="646"/>
      <c r="GBN1530" s="646"/>
      <c r="GBO1530" s="646"/>
      <c r="GBP1530" s="646"/>
      <c r="GBQ1530" s="646"/>
      <c r="GBR1530" s="646"/>
      <c r="GBS1530" s="646"/>
      <c r="GBT1530" s="646"/>
      <c r="GBU1530" s="646"/>
      <c r="GBV1530" s="646"/>
      <c r="GBW1530" s="646"/>
      <c r="GBX1530" s="646"/>
      <c r="GBY1530" s="646"/>
      <c r="GBZ1530" s="646"/>
      <c r="GCA1530" s="646"/>
      <c r="GCB1530" s="646"/>
      <c r="GCC1530" s="646"/>
      <c r="GCD1530" s="646"/>
      <c r="GCE1530" s="646"/>
      <c r="GCF1530" s="646"/>
      <c r="GCG1530" s="646"/>
      <c r="GCH1530" s="646"/>
      <c r="GCI1530" s="646"/>
      <c r="GCJ1530" s="646"/>
      <c r="GCK1530" s="646"/>
      <c r="GCL1530" s="646"/>
      <c r="GCM1530" s="646"/>
      <c r="GCN1530" s="646"/>
      <c r="GCO1530" s="646"/>
      <c r="GCP1530" s="646"/>
      <c r="GCQ1530" s="646"/>
      <c r="GCR1530" s="646"/>
      <c r="GCS1530" s="646"/>
      <c r="GCT1530" s="646"/>
      <c r="GCU1530" s="646"/>
      <c r="GCV1530" s="646"/>
      <c r="GCW1530" s="646"/>
      <c r="GCX1530" s="646"/>
      <c r="GCY1530" s="646"/>
      <c r="GCZ1530" s="646"/>
      <c r="GDA1530" s="646"/>
      <c r="GDB1530" s="646"/>
      <c r="GDC1530" s="646"/>
      <c r="GDD1530" s="646"/>
      <c r="GDE1530" s="646"/>
      <c r="GDF1530" s="646"/>
      <c r="GDG1530" s="646"/>
      <c r="GDH1530" s="646"/>
      <c r="GDI1530" s="646"/>
      <c r="GDJ1530" s="646"/>
      <c r="GDK1530" s="646"/>
      <c r="GDL1530" s="646"/>
      <c r="GDM1530" s="646"/>
      <c r="GDN1530" s="646"/>
      <c r="GDO1530" s="646"/>
      <c r="GDP1530" s="646"/>
      <c r="GDQ1530" s="646"/>
      <c r="GDR1530" s="646"/>
      <c r="GDS1530" s="646"/>
      <c r="GDT1530" s="646"/>
      <c r="GDU1530" s="646"/>
      <c r="GDV1530" s="646"/>
      <c r="GDW1530" s="646"/>
      <c r="GDX1530" s="646"/>
      <c r="GDY1530" s="646"/>
      <c r="GDZ1530" s="646"/>
      <c r="GEA1530" s="646"/>
      <c r="GEB1530" s="646"/>
      <c r="GEC1530" s="646"/>
      <c r="GED1530" s="646"/>
      <c r="GEE1530" s="646"/>
      <c r="GEF1530" s="646"/>
      <c r="GEG1530" s="646"/>
      <c r="GEH1530" s="646"/>
      <c r="GEI1530" s="646"/>
      <c r="GEJ1530" s="646"/>
      <c r="GEK1530" s="646"/>
      <c r="GEL1530" s="646"/>
      <c r="GEM1530" s="646"/>
      <c r="GEN1530" s="646"/>
      <c r="GEO1530" s="646"/>
      <c r="GEP1530" s="646"/>
      <c r="GEQ1530" s="646"/>
      <c r="GER1530" s="646"/>
      <c r="GES1530" s="646"/>
      <c r="GET1530" s="646"/>
      <c r="GEU1530" s="646"/>
      <c r="GEV1530" s="646"/>
      <c r="GEW1530" s="646"/>
      <c r="GEX1530" s="646"/>
      <c r="GEY1530" s="646"/>
      <c r="GEZ1530" s="646"/>
      <c r="GFA1530" s="646"/>
      <c r="GFB1530" s="646"/>
      <c r="GFC1530" s="646"/>
      <c r="GFD1530" s="646"/>
      <c r="GFE1530" s="646"/>
      <c r="GFF1530" s="646"/>
      <c r="GFG1530" s="646"/>
      <c r="GFH1530" s="646"/>
      <c r="GFI1530" s="646"/>
      <c r="GFJ1530" s="646"/>
      <c r="GFK1530" s="646"/>
      <c r="GFL1530" s="646"/>
      <c r="GFM1530" s="646"/>
      <c r="GFN1530" s="646"/>
      <c r="GFO1530" s="646"/>
      <c r="GFP1530" s="646"/>
      <c r="GFQ1530" s="646"/>
      <c r="GFR1530" s="646"/>
      <c r="GFS1530" s="646"/>
      <c r="GFT1530" s="646"/>
      <c r="GFU1530" s="646"/>
      <c r="GFV1530" s="646"/>
      <c r="GFW1530" s="646"/>
      <c r="GFX1530" s="646"/>
      <c r="GFY1530" s="646"/>
      <c r="GFZ1530" s="646"/>
      <c r="GGA1530" s="646"/>
      <c r="GGB1530" s="646"/>
      <c r="GGC1530" s="646"/>
      <c r="GGD1530" s="646"/>
      <c r="GGE1530" s="646"/>
      <c r="GGF1530" s="646"/>
      <c r="GGG1530" s="646"/>
      <c r="GGH1530" s="646"/>
      <c r="GGI1530" s="646"/>
      <c r="GGJ1530" s="646"/>
      <c r="GGK1530" s="646"/>
      <c r="GGL1530" s="646"/>
      <c r="GGM1530" s="646"/>
      <c r="GGN1530" s="646"/>
      <c r="GGO1530" s="646"/>
      <c r="GGP1530" s="646"/>
      <c r="GGQ1530" s="646"/>
      <c r="GGR1530" s="646"/>
      <c r="GGS1530" s="646"/>
      <c r="GGT1530" s="646"/>
      <c r="GGU1530" s="646"/>
      <c r="GGV1530" s="646"/>
      <c r="GGW1530" s="646"/>
      <c r="GGX1530" s="646"/>
      <c r="GGY1530" s="646"/>
      <c r="GGZ1530" s="646"/>
      <c r="GHA1530" s="646"/>
      <c r="GHB1530" s="646"/>
      <c r="GHC1530" s="646"/>
      <c r="GHD1530" s="646"/>
      <c r="GHE1530" s="646"/>
      <c r="GHF1530" s="646"/>
      <c r="GHG1530" s="646"/>
      <c r="GHH1530" s="646"/>
      <c r="GHI1530" s="646"/>
      <c r="GHJ1530" s="646"/>
      <c r="GHK1530" s="646"/>
      <c r="GHL1530" s="646"/>
      <c r="GHM1530" s="646"/>
      <c r="GHN1530" s="646"/>
      <c r="GHO1530" s="646"/>
      <c r="GHP1530" s="646"/>
      <c r="GHQ1530" s="646"/>
      <c r="GHR1530" s="646"/>
      <c r="GHS1530" s="646"/>
      <c r="GHT1530" s="646"/>
      <c r="GHU1530" s="646"/>
      <c r="GHV1530" s="646"/>
      <c r="GHW1530" s="646"/>
      <c r="GHX1530" s="646"/>
      <c r="GHY1530" s="646"/>
      <c r="GHZ1530" s="646"/>
      <c r="GIA1530" s="646"/>
      <c r="GIB1530" s="646"/>
      <c r="GIC1530" s="646"/>
      <c r="GID1530" s="646"/>
      <c r="GIE1530" s="646"/>
      <c r="GIF1530" s="646"/>
      <c r="GIG1530" s="646"/>
      <c r="GIH1530" s="646"/>
      <c r="GII1530" s="646"/>
      <c r="GIJ1530" s="646"/>
      <c r="GIK1530" s="646"/>
      <c r="GIL1530" s="646"/>
      <c r="GIM1530" s="646"/>
      <c r="GIN1530" s="646"/>
      <c r="GIO1530" s="646"/>
      <c r="GIP1530" s="646"/>
      <c r="GIQ1530" s="646"/>
      <c r="GIR1530" s="646"/>
      <c r="GIS1530" s="646"/>
      <c r="GIT1530" s="646"/>
      <c r="GIU1530" s="646"/>
      <c r="GIV1530" s="646"/>
      <c r="GIW1530" s="646"/>
      <c r="GIX1530" s="646"/>
      <c r="GIY1530" s="646"/>
      <c r="GIZ1530" s="646"/>
      <c r="GJA1530" s="646"/>
      <c r="GJB1530" s="646"/>
      <c r="GJC1530" s="646"/>
      <c r="GJD1530" s="646"/>
      <c r="GJE1530" s="646"/>
      <c r="GJF1530" s="646"/>
      <c r="GJG1530" s="646"/>
      <c r="GJH1530" s="646"/>
      <c r="GJI1530" s="646"/>
      <c r="GJJ1530" s="646"/>
      <c r="GJK1530" s="646"/>
      <c r="GJL1530" s="646"/>
      <c r="GJM1530" s="646"/>
      <c r="GJN1530" s="646"/>
      <c r="GJO1530" s="646"/>
      <c r="GJP1530" s="646"/>
      <c r="GJQ1530" s="646"/>
      <c r="GJR1530" s="646"/>
      <c r="GJS1530" s="646"/>
      <c r="GJT1530" s="646"/>
      <c r="GJU1530" s="646"/>
      <c r="GJV1530" s="646"/>
      <c r="GJW1530" s="646"/>
      <c r="GJX1530" s="646"/>
      <c r="GJY1530" s="646"/>
      <c r="GJZ1530" s="646"/>
      <c r="GKA1530" s="646"/>
      <c r="GKB1530" s="646"/>
      <c r="GKC1530" s="646"/>
      <c r="GKD1530" s="646"/>
      <c r="GKE1530" s="646"/>
      <c r="GKF1530" s="646"/>
      <c r="GKG1530" s="646"/>
      <c r="GKH1530" s="646"/>
      <c r="GKI1530" s="646"/>
      <c r="GKJ1530" s="646"/>
      <c r="GKK1530" s="646"/>
      <c r="GKL1530" s="646"/>
      <c r="GKM1530" s="646"/>
      <c r="GKN1530" s="646"/>
      <c r="GKO1530" s="646"/>
      <c r="GKP1530" s="646"/>
      <c r="GKQ1530" s="646"/>
      <c r="GKR1530" s="646"/>
      <c r="GKS1530" s="646"/>
      <c r="GKT1530" s="646"/>
      <c r="GKU1530" s="646"/>
      <c r="GKV1530" s="646"/>
      <c r="GKW1530" s="646"/>
      <c r="GKX1530" s="646"/>
      <c r="GKY1530" s="646"/>
      <c r="GKZ1530" s="646"/>
      <c r="GLA1530" s="646"/>
      <c r="GLB1530" s="646"/>
      <c r="GLC1530" s="646"/>
      <c r="GLD1530" s="646"/>
      <c r="GLE1530" s="646"/>
      <c r="GLF1530" s="646"/>
      <c r="GLG1530" s="646"/>
      <c r="GLH1530" s="646"/>
      <c r="GLI1530" s="646"/>
      <c r="GLJ1530" s="646"/>
      <c r="GLK1530" s="646"/>
      <c r="GLL1530" s="646"/>
      <c r="GLM1530" s="646"/>
      <c r="GLN1530" s="646"/>
      <c r="GLO1530" s="646"/>
      <c r="GLP1530" s="646"/>
      <c r="GLQ1530" s="646"/>
      <c r="GLR1530" s="646"/>
      <c r="GLS1530" s="646"/>
      <c r="GLT1530" s="646"/>
      <c r="GLU1530" s="646"/>
      <c r="GLV1530" s="646"/>
      <c r="GLW1530" s="646"/>
      <c r="GLX1530" s="646"/>
      <c r="GLY1530" s="646"/>
      <c r="GLZ1530" s="646"/>
      <c r="GMA1530" s="646"/>
      <c r="GMB1530" s="646"/>
      <c r="GMC1530" s="646"/>
      <c r="GMD1530" s="646"/>
      <c r="GME1530" s="646"/>
      <c r="GMF1530" s="646"/>
      <c r="GMG1530" s="646"/>
      <c r="GMH1530" s="646"/>
      <c r="GMI1530" s="646"/>
      <c r="GMJ1530" s="646"/>
      <c r="GMK1530" s="646"/>
      <c r="GML1530" s="646"/>
      <c r="GMM1530" s="646"/>
      <c r="GMN1530" s="646"/>
      <c r="GMO1530" s="646"/>
      <c r="GMP1530" s="646"/>
      <c r="GMQ1530" s="646"/>
      <c r="GMR1530" s="646"/>
      <c r="GMS1530" s="646"/>
      <c r="GMT1530" s="646"/>
      <c r="GMU1530" s="646"/>
      <c r="GMV1530" s="646"/>
      <c r="GMW1530" s="646"/>
      <c r="GMX1530" s="646"/>
      <c r="GMY1530" s="646"/>
      <c r="GMZ1530" s="646"/>
      <c r="GNA1530" s="646"/>
      <c r="GNB1530" s="646"/>
      <c r="GNC1530" s="646"/>
      <c r="GND1530" s="646"/>
      <c r="GNE1530" s="646"/>
      <c r="GNF1530" s="646"/>
      <c r="GNG1530" s="646"/>
      <c r="GNH1530" s="646"/>
      <c r="GNI1530" s="646"/>
      <c r="GNJ1530" s="646"/>
      <c r="GNK1530" s="646"/>
      <c r="GNL1530" s="646"/>
      <c r="GNM1530" s="646"/>
      <c r="GNN1530" s="646"/>
      <c r="GNO1530" s="646"/>
      <c r="GNP1530" s="646"/>
      <c r="GNQ1530" s="646"/>
      <c r="GNR1530" s="646"/>
      <c r="GNS1530" s="646"/>
      <c r="GNT1530" s="646"/>
      <c r="GNU1530" s="646"/>
      <c r="GNV1530" s="646"/>
      <c r="GNW1530" s="646"/>
      <c r="GNX1530" s="646"/>
      <c r="GNY1530" s="646"/>
      <c r="GNZ1530" s="646"/>
      <c r="GOA1530" s="646"/>
      <c r="GOB1530" s="646"/>
      <c r="GOC1530" s="646"/>
      <c r="GOD1530" s="646"/>
      <c r="GOE1530" s="646"/>
      <c r="GOF1530" s="646"/>
      <c r="GOG1530" s="646"/>
      <c r="GOH1530" s="646"/>
      <c r="GOI1530" s="646"/>
      <c r="GOJ1530" s="646"/>
      <c r="GOK1530" s="646"/>
      <c r="GOL1530" s="646"/>
      <c r="GOM1530" s="646"/>
      <c r="GON1530" s="646"/>
      <c r="GOO1530" s="646"/>
      <c r="GOP1530" s="646"/>
      <c r="GOQ1530" s="646"/>
      <c r="GOR1530" s="646"/>
      <c r="GOS1530" s="646"/>
      <c r="GOT1530" s="646"/>
      <c r="GOU1530" s="646"/>
      <c r="GOV1530" s="646"/>
      <c r="GOW1530" s="646"/>
      <c r="GOX1530" s="646"/>
      <c r="GOY1530" s="646"/>
      <c r="GOZ1530" s="646"/>
      <c r="GPA1530" s="646"/>
      <c r="GPB1530" s="646"/>
      <c r="GPC1530" s="646"/>
      <c r="GPD1530" s="646"/>
      <c r="GPE1530" s="646"/>
      <c r="GPF1530" s="646"/>
      <c r="GPG1530" s="646"/>
      <c r="GPH1530" s="646"/>
      <c r="GPI1530" s="646"/>
      <c r="GPJ1530" s="646"/>
      <c r="GPK1530" s="646"/>
      <c r="GPL1530" s="646"/>
      <c r="GPM1530" s="646"/>
      <c r="GPN1530" s="646"/>
      <c r="GPO1530" s="646"/>
      <c r="GPP1530" s="646"/>
      <c r="GPQ1530" s="646"/>
      <c r="GPR1530" s="646"/>
      <c r="GPS1530" s="646"/>
      <c r="GPT1530" s="646"/>
      <c r="GPU1530" s="646"/>
      <c r="GPV1530" s="646"/>
      <c r="GPW1530" s="646"/>
      <c r="GPX1530" s="646"/>
      <c r="GPY1530" s="646"/>
      <c r="GPZ1530" s="646"/>
      <c r="GQA1530" s="646"/>
      <c r="GQB1530" s="646"/>
      <c r="GQC1530" s="646"/>
      <c r="GQD1530" s="646"/>
      <c r="GQE1530" s="646"/>
      <c r="GQF1530" s="646"/>
      <c r="GQG1530" s="646"/>
      <c r="GQH1530" s="646"/>
      <c r="GQI1530" s="646"/>
      <c r="GQJ1530" s="646"/>
      <c r="GQK1530" s="646"/>
      <c r="GQL1530" s="646"/>
      <c r="GQM1530" s="646"/>
      <c r="GQN1530" s="646"/>
      <c r="GQO1530" s="646"/>
      <c r="GQP1530" s="646"/>
      <c r="GQQ1530" s="646"/>
      <c r="GQR1530" s="646"/>
      <c r="GQS1530" s="646"/>
      <c r="GQT1530" s="646"/>
      <c r="GQU1530" s="646"/>
      <c r="GQV1530" s="646"/>
      <c r="GQW1530" s="646"/>
      <c r="GQX1530" s="646"/>
      <c r="GQY1530" s="646"/>
      <c r="GQZ1530" s="646"/>
      <c r="GRA1530" s="646"/>
      <c r="GRB1530" s="646"/>
      <c r="GRC1530" s="646"/>
      <c r="GRD1530" s="646"/>
      <c r="GRE1530" s="646"/>
      <c r="GRF1530" s="646"/>
      <c r="GRG1530" s="646"/>
      <c r="GRH1530" s="646"/>
      <c r="GRI1530" s="646"/>
      <c r="GRJ1530" s="646"/>
      <c r="GRK1530" s="646"/>
      <c r="GRL1530" s="646"/>
      <c r="GRM1530" s="646"/>
      <c r="GRN1530" s="646"/>
      <c r="GRO1530" s="646"/>
      <c r="GRP1530" s="646"/>
      <c r="GRQ1530" s="646"/>
      <c r="GRR1530" s="646"/>
      <c r="GRS1530" s="646"/>
      <c r="GRT1530" s="646"/>
      <c r="GRU1530" s="646"/>
      <c r="GRV1530" s="646"/>
      <c r="GRW1530" s="646"/>
      <c r="GRX1530" s="646"/>
      <c r="GRY1530" s="646"/>
      <c r="GRZ1530" s="646"/>
      <c r="GSA1530" s="646"/>
      <c r="GSB1530" s="646"/>
      <c r="GSC1530" s="646"/>
      <c r="GSD1530" s="646"/>
      <c r="GSE1530" s="646"/>
      <c r="GSF1530" s="646"/>
      <c r="GSG1530" s="646"/>
      <c r="GSH1530" s="646"/>
      <c r="GSI1530" s="646"/>
      <c r="GSJ1530" s="646"/>
      <c r="GSK1530" s="646"/>
      <c r="GSL1530" s="646"/>
      <c r="GSM1530" s="646"/>
      <c r="GSN1530" s="646"/>
      <c r="GSO1530" s="646"/>
      <c r="GSP1530" s="646"/>
      <c r="GSQ1530" s="646"/>
      <c r="GSR1530" s="646"/>
      <c r="GSS1530" s="646"/>
      <c r="GST1530" s="646"/>
      <c r="GSU1530" s="646"/>
      <c r="GSV1530" s="646"/>
      <c r="GSW1530" s="646"/>
      <c r="GSX1530" s="646"/>
      <c r="GSY1530" s="646"/>
      <c r="GSZ1530" s="646"/>
      <c r="GTA1530" s="646"/>
      <c r="GTB1530" s="646"/>
      <c r="GTC1530" s="646"/>
      <c r="GTD1530" s="646"/>
      <c r="GTE1530" s="646"/>
      <c r="GTF1530" s="646"/>
      <c r="GTG1530" s="646"/>
      <c r="GTH1530" s="646"/>
      <c r="GTI1530" s="646"/>
      <c r="GTJ1530" s="646"/>
      <c r="GTK1530" s="646"/>
      <c r="GTL1530" s="646"/>
      <c r="GTM1530" s="646"/>
      <c r="GTN1530" s="646"/>
      <c r="GTO1530" s="646"/>
      <c r="GTP1530" s="646"/>
      <c r="GTQ1530" s="646"/>
      <c r="GTR1530" s="646"/>
      <c r="GTS1530" s="646"/>
      <c r="GTT1530" s="646"/>
      <c r="GTU1530" s="646"/>
      <c r="GTV1530" s="646"/>
      <c r="GTW1530" s="646"/>
      <c r="GTX1530" s="646"/>
      <c r="GTY1530" s="646"/>
      <c r="GTZ1530" s="646"/>
      <c r="GUA1530" s="646"/>
      <c r="GUB1530" s="646"/>
      <c r="GUC1530" s="646"/>
      <c r="GUD1530" s="646"/>
      <c r="GUE1530" s="646"/>
      <c r="GUF1530" s="646"/>
      <c r="GUG1530" s="646"/>
      <c r="GUH1530" s="646"/>
      <c r="GUI1530" s="646"/>
      <c r="GUJ1530" s="646"/>
      <c r="GUK1530" s="646"/>
      <c r="GUL1530" s="646"/>
      <c r="GUM1530" s="646"/>
      <c r="GUN1530" s="646"/>
      <c r="GUO1530" s="646"/>
      <c r="GUP1530" s="646"/>
      <c r="GUQ1530" s="646"/>
      <c r="GUR1530" s="646"/>
      <c r="GUS1530" s="646"/>
      <c r="GUT1530" s="646"/>
      <c r="GUU1530" s="646"/>
      <c r="GUV1530" s="646"/>
      <c r="GUW1530" s="646"/>
      <c r="GUX1530" s="646"/>
      <c r="GUY1530" s="646"/>
      <c r="GUZ1530" s="646"/>
      <c r="GVA1530" s="646"/>
      <c r="GVB1530" s="646"/>
      <c r="GVC1530" s="646"/>
      <c r="GVD1530" s="646"/>
      <c r="GVE1530" s="646"/>
      <c r="GVF1530" s="646"/>
      <c r="GVG1530" s="646"/>
      <c r="GVH1530" s="646"/>
      <c r="GVI1530" s="646"/>
      <c r="GVJ1530" s="646"/>
      <c r="GVK1530" s="646"/>
      <c r="GVL1530" s="646"/>
      <c r="GVM1530" s="646"/>
      <c r="GVN1530" s="646"/>
      <c r="GVO1530" s="646"/>
      <c r="GVP1530" s="646"/>
      <c r="GVQ1530" s="646"/>
      <c r="GVR1530" s="646"/>
      <c r="GVS1530" s="646"/>
      <c r="GVT1530" s="646"/>
      <c r="GVU1530" s="646"/>
      <c r="GVV1530" s="646"/>
      <c r="GVW1530" s="646"/>
      <c r="GVX1530" s="646"/>
      <c r="GVY1530" s="646"/>
      <c r="GVZ1530" s="646"/>
      <c r="GWA1530" s="646"/>
      <c r="GWB1530" s="646"/>
      <c r="GWC1530" s="646"/>
      <c r="GWD1530" s="646"/>
      <c r="GWE1530" s="646"/>
      <c r="GWF1530" s="646"/>
      <c r="GWG1530" s="646"/>
      <c r="GWH1530" s="646"/>
      <c r="GWI1530" s="646"/>
      <c r="GWJ1530" s="646"/>
      <c r="GWK1530" s="646"/>
      <c r="GWL1530" s="646"/>
      <c r="GWM1530" s="646"/>
      <c r="GWN1530" s="646"/>
      <c r="GWO1530" s="646"/>
      <c r="GWP1530" s="646"/>
      <c r="GWQ1530" s="646"/>
      <c r="GWR1530" s="646"/>
      <c r="GWS1530" s="646"/>
      <c r="GWT1530" s="646"/>
      <c r="GWU1530" s="646"/>
      <c r="GWV1530" s="646"/>
      <c r="GWW1530" s="646"/>
      <c r="GWX1530" s="646"/>
      <c r="GWY1530" s="646"/>
      <c r="GWZ1530" s="646"/>
      <c r="GXA1530" s="646"/>
      <c r="GXB1530" s="646"/>
      <c r="GXC1530" s="646"/>
      <c r="GXD1530" s="646"/>
      <c r="GXE1530" s="646"/>
      <c r="GXF1530" s="646"/>
      <c r="GXG1530" s="646"/>
      <c r="GXH1530" s="646"/>
      <c r="GXI1530" s="646"/>
      <c r="GXJ1530" s="646"/>
      <c r="GXK1530" s="646"/>
      <c r="GXL1530" s="646"/>
      <c r="GXM1530" s="646"/>
      <c r="GXN1530" s="646"/>
      <c r="GXO1530" s="646"/>
      <c r="GXP1530" s="646"/>
      <c r="GXQ1530" s="646"/>
      <c r="GXR1530" s="646"/>
      <c r="GXS1530" s="646"/>
      <c r="GXT1530" s="646"/>
      <c r="GXU1530" s="646"/>
      <c r="GXV1530" s="646"/>
      <c r="GXW1530" s="646"/>
      <c r="GXX1530" s="646"/>
      <c r="GXY1530" s="646"/>
      <c r="GXZ1530" s="646"/>
      <c r="GYA1530" s="646"/>
      <c r="GYB1530" s="646"/>
      <c r="GYC1530" s="646"/>
      <c r="GYD1530" s="646"/>
      <c r="GYE1530" s="646"/>
      <c r="GYF1530" s="646"/>
      <c r="GYG1530" s="646"/>
      <c r="GYH1530" s="646"/>
      <c r="GYI1530" s="646"/>
      <c r="GYJ1530" s="646"/>
      <c r="GYK1530" s="646"/>
      <c r="GYL1530" s="646"/>
      <c r="GYM1530" s="646"/>
      <c r="GYN1530" s="646"/>
      <c r="GYO1530" s="646"/>
      <c r="GYP1530" s="646"/>
      <c r="GYQ1530" s="646"/>
      <c r="GYR1530" s="646"/>
      <c r="GYS1530" s="646"/>
      <c r="GYT1530" s="646"/>
      <c r="GYU1530" s="646"/>
      <c r="GYV1530" s="646"/>
      <c r="GYW1530" s="646"/>
      <c r="GYX1530" s="646"/>
      <c r="GYY1530" s="646"/>
      <c r="GYZ1530" s="646"/>
      <c r="GZA1530" s="646"/>
      <c r="GZB1530" s="646"/>
      <c r="GZC1530" s="646"/>
      <c r="GZD1530" s="646"/>
      <c r="GZE1530" s="646"/>
      <c r="GZF1530" s="646"/>
      <c r="GZG1530" s="646"/>
      <c r="GZH1530" s="646"/>
      <c r="GZI1530" s="646"/>
      <c r="GZJ1530" s="646"/>
      <c r="GZK1530" s="646"/>
      <c r="GZL1530" s="646"/>
      <c r="GZM1530" s="646"/>
      <c r="GZN1530" s="646"/>
      <c r="GZO1530" s="646"/>
      <c r="GZP1530" s="646"/>
      <c r="GZQ1530" s="646"/>
      <c r="GZR1530" s="646"/>
      <c r="GZS1530" s="646"/>
      <c r="GZT1530" s="646"/>
      <c r="GZU1530" s="646"/>
      <c r="GZV1530" s="646"/>
      <c r="GZW1530" s="646"/>
      <c r="GZX1530" s="646"/>
      <c r="GZY1530" s="646"/>
      <c r="GZZ1530" s="646"/>
      <c r="HAA1530" s="646"/>
      <c r="HAB1530" s="646"/>
      <c r="HAC1530" s="646"/>
      <c r="HAD1530" s="646"/>
      <c r="HAE1530" s="646"/>
      <c r="HAF1530" s="646"/>
      <c r="HAG1530" s="646"/>
      <c r="HAH1530" s="646"/>
      <c r="HAI1530" s="646"/>
      <c r="HAJ1530" s="646"/>
      <c r="HAK1530" s="646"/>
      <c r="HAL1530" s="646"/>
      <c r="HAM1530" s="646"/>
      <c r="HAN1530" s="646"/>
      <c r="HAO1530" s="646"/>
      <c r="HAP1530" s="646"/>
      <c r="HAQ1530" s="646"/>
      <c r="HAR1530" s="646"/>
      <c r="HAS1530" s="646"/>
      <c r="HAT1530" s="646"/>
      <c r="HAU1530" s="646"/>
      <c r="HAV1530" s="646"/>
      <c r="HAW1530" s="646"/>
      <c r="HAX1530" s="646"/>
      <c r="HAY1530" s="646"/>
      <c r="HAZ1530" s="646"/>
      <c r="HBA1530" s="646"/>
      <c r="HBB1530" s="646"/>
      <c r="HBC1530" s="646"/>
      <c r="HBD1530" s="646"/>
      <c r="HBE1530" s="646"/>
      <c r="HBF1530" s="646"/>
      <c r="HBG1530" s="646"/>
      <c r="HBH1530" s="646"/>
      <c r="HBI1530" s="646"/>
      <c r="HBJ1530" s="646"/>
      <c r="HBK1530" s="646"/>
      <c r="HBL1530" s="646"/>
      <c r="HBM1530" s="646"/>
      <c r="HBN1530" s="646"/>
      <c r="HBO1530" s="646"/>
      <c r="HBP1530" s="646"/>
      <c r="HBQ1530" s="646"/>
      <c r="HBR1530" s="646"/>
      <c r="HBS1530" s="646"/>
      <c r="HBT1530" s="646"/>
      <c r="HBU1530" s="646"/>
      <c r="HBV1530" s="646"/>
      <c r="HBW1530" s="646"/>
      <c r="HBX1530" s="646"/>
      <c r="HBY1530" s="646"/>
      <c r="HBZ1530" s="646"/>
      <c r="HCA1530" s="646"/>
      <c r="HCB1530" s="646"/>
      <c r="HCC1530" s="646"/>
      <c r="HCD1530" s="646"/>
      <c r="HCE1530" s="646"/>
      <c r="HCF1530" s="646"/>
      <c r="HCG1530" s="646"/>
      <c r="HCH1530" s="646"/>
      <c r="HCI1530" s="646"/>
      <c r="HCJ1530" s="646"/>
      <c r="HCK1530" s="646"/>
      <c r="HCL1530" s="646"/>
      <c r="HCM1530" s="646"/>
      <c r="HCN1530" s="646"/>
      <c r="HCO1530" s="646"/>
      <c r="HCP1530" s="646"/>
      <c r="HCQ1530" s="646"/>
      <c r="HCR1530" s="646"/>
      <c r="HCS1530" s="646"/>
      <c r="HCT1530" s="646"/>
      <c r="HCU1530" s="646"/>
      <c r="HCV1530" s="646"/>
      <c r="HCW1530" s="646"/>
      <c r="HCX1530" s="646"/>
      <c r="HCY1530" s="646"/>
      <c r="HCZ1530" s="646"/>
      <c r="HDA1530" s="646"/>
      <c r="HDB1530" s="646"/>
      <c r="HDC1530" s="646"/>
      <c r="HDD1530" s="646"/>
      <c r="HDE1530" s="646"/>
      <c r="HDF1530" s="646"/>
      <c r="HDG1530" s="646"/>
      <c r="HDH1530" s="646"/>
      <c r="HDI1530" s="646"/>
      <c r="HDJ1530" s="646"/>
      <c r="HDK1530" s="646"/>
      <c r="HDL1530" s="646"/>
      <c r="HDM1530" s="646"/>
      <c r="HDN1530" s="646"/>
      <c r="HDO1530" s="646"/>
      <c r="HDP1530" s="646"/>
      <c r="HDQ1530" s="646"/>
      <c r="HDR1530" s="646"/>
      <c r="HDS1530" s="646"/>
      <c r="HDT1530" s="646"/>
      <c r="HDU1530" s="646"/>
      <c r="HDV1530" s="646"/>
      <c r="HDW1530" s="646"/>
      <c r="HDX1530" s="646"/>
      <c r="HDY1530" s="646"/>
      <c r="HDZ1530" s="646"/>
      <c r="HEA1530" s="646"/>
      <c r="HEB1530" s="646"/>
      <c r="HEC1530" s="646"/>
      <c r="HED1530" s="646"/>
      <c r="HEE1530" s="646"/>
      <c r="HEF1530" s="646"/>
      <c r="HEG1530" s="646"/>
      <c r="HEH1530" s="646"/>
      <c r="HEI1530" s="646"/>
      <c r="HEJ1530" s="646"/>
      <c r="HEK1530" s="646"/>
      <c r="HEL1530" s="646"/>
      <c r="HEM1530" s="646"/>
      <c r="HEN1530" s="646"/>
      <c r="HEO1530" s="646"/>
      <c r="HEP1530" s="646"/>
      <c r="HEQ1530" s="646"/>
      <c r="HER1530" s="646"/>
      <c r="HES1530" s="646"/>
      <c r="HET1530" s="646"/>
      <c r="HEU1530" s="646"/>
      <c r="HEV1530" s="646"/>
      <c r="HEW1530" s="646"/>
      <c r="HEX1530" s="646"/>
      <c r="HEY1530" s="646"/>
      <c r="HEZ1530" s="646"/>
      <c r="HFA1530" s="646"/>
      <c r="HFB1530" s="646"/>
      <c r="HFC1530" s="646"/>
      <c r="HFD1530" s="646"/>
      <c r="HFE1530" s="646"/>
      <c r="HFF1530" s="646"/>
      <c r="HFG1530" s="646"/>
      <c r="HFH1530" s="646"/>
      <c r="HFI1530" s="646"/>
      <c r="HFJ1530" s="646"/>
      <c r="HFK1530" s="646"/>
      <c r="HFL1530" s="646"/>
      <c r="HFM1530" s="646"/>
      <c r="HFN1530" s="646"/>
      <c r="HFO1530" s="646"/>
      <c r="HFP1530" s="646"/>
      <c r="HFQ1530" s="646"/>
      <c r="HFR1530" s="646"/>
      <c r="HFS1530" s="646"/>
      <c r="HFT1530" s="646"/>
      <c r="HFU1530" s="646"/>
      <c r="HFV1530" s="646"/>
      <c r="HFW1530" s="646"/>
      <c r="HFX1530" s="646"/>
      <c r="HFY1530" s="646"/>
      <c r="HFZ1530" s="646"/>
      <c r="HGA1530" s="646"/>
      <c r="HGB1530" s="646"/>
      <c r="HGC1530" s="646"/>
      <c r="HGD1530" s="646"/>
      <c r="HGE1530" s="646"/>
      <c r="HGF1530" s="646"/>
      <c r="HGG1530" s="646"/>
      <c r="HGH1530" s="646"/>
      <c r="HGI1530" s="646"/>
      <c r="HGJ1530" s="646"/>
      <c r="HGK1530" s="646"/>
      <c r="HGL1530" s="646"/>
      <c r="HGM1530" s="646"/>
      <c r="HGN1530" s="646"/>
      <c r="HGO1530" s="646"/>
      <c r="HGP1530" s="646"/>
      <c r="HGQ1530" s="646"/>
      <c r="HGR1530" s="646"/>
      <c r="HGS1530" s="646"/>
      <c r="HGT1530" s="646"/>
      <c r="HGU1530" s="646"/>
      <c r="HGV1530" s="646"/>
      <c r="HGW1530" s="646"/>
      <c r="HGX1530" s="646"/>
      <c r="HGY1530" s="646"/>
      <c r="HGZ1530" s="646"/>
      <c r="HHA1530" s="646"/>
      <c r="HHB1530" s="646"/>
      <c r="HHC1530" s="646"/>
      <c r="HHD1530" s="646"/>
      <c r="HHE1530" s="646"/>
      <c r="HHF1530" s="646"/>
      <c r="HHG1530" s="646"/>
      <c r="HHH1530" s="646"/>
      <c r="HHI1530" s="646"/>
      <c r="HHJ1530" s="646"/>
      <c r="HHK1530" s="646"/>
      <c r="HHL1530" s="646"/>
      <c r="HHM1530" s="646"/>
      <c r="HHN1530" s="646"/>
      <c r="HHO1530" s="646"/>
      <c r="HHP1530" s="646"/>
      <c r="HHQ1530" s="646"/>
      <c r="HHR1530" s="646"/>
      <c r="HHS1530" s="646"/>
      <c r="HHT1530" s="646"/>
      <c r="HHU1530" s="646"/>
      <c r="HHV1530" s="646"/>
      <c r="HHW1530" s="646"/>
      <c r="HHX1530" s="646"/>
      <c r="HHY1530" s="646"/>
      <c r="HHZ1530" s="646"/>
      <c r="HIA1530" s="646"/>
      <c r="HIB1530" s="646"/>
      <c r="HIC1530" s="646"/>
      <c r="HID1530" s="646"/>
      <c r="HIE1530" s="646"/>
      <c r="HIF1530" s="646"/>
      <c r="HIG1530" s="646"/>
      <c r="HIH1530" s="646"/>
      <c r="HII1530" s="646"/>
      <c r="HIJ1530" s="646"/>
      <c r="HIK1530" s="646"/>
      <c r="HIL1530" s="646"/>
      <c r="HIM1530" s="646"/>
      <c r="HIN1530" s="646"/>
      <c r="HIO1530" s="646"/>
      <c r="HIP1530" s="646"/>
      <c r="HIQ1530" s="646"/>
      <c r="HIR1530" s="646"/>
      <c r="HIS1530" s="646"/>
      <c r="HIT1530" s="646"/>
      <c r="HIU1530" s="646"/>
      <c r="HIV1530" s="646"/>
      <c r="HIW1530" s="646"/>
      <c r="HIX1530" s="646"/>
      <c r="HIY1530" s="646"/>
      <c r="HIZ1530" s="646"/>
      <c r="HJA1530" s="646"/>
      <c r="HJB1530" s="646"/>
      <c r="HJC1530" s="646"/>
      <c r="HJD1530" s="646"/>
      <c r="HJE1530" s="646"/>
      <c r="HJF1530" s="646"/>
      <c r="HJG1530" s="646"/>
      <c r="HJH1530" s="646"/>
      <c r="HJI1530" s="646"/>
      <c r="HJJ1530" s="646"/>
      <c r="HJK1530" s="646"/>
      <c r="HJL1530" s="646"/>
      <c r="HJM1530" s="646"/>
      <c r="HJN1530" s="646"/>
      <c r="HJO1530" s="646"/>
      <c r="HJP1530" s="646"/>
      <c r="HJQ1530" s="646"/>
      <c r="HJR1530" s="646"/>
      <c r="HJS1530" s="646"/>
      <c r="HJT1530" s="646"/>
      <c r="HJU1530" s="646"/>
      <c r="HJV1530" s="646"/>
      <c r="HJW1530" s="646"/>
      <c r="HJX1530" s="646"/>
      <c r="HJY1530" s="646"/>
      <c r="HJZ1530" s="646"/>
      <c r="HKA1530" s="646"/>
      <c r="HKB1530" s="646"/>
      <c r="HKC1530" s="646"/>
      <c r="HKD1530" s="646"/>
      <c r="HKE1530" s="646"/>
      <c r="HKF1530" s="646"/>
      <c r="HKG1530" s="646"/>
      <c r="HKH1530" s="646"/>
      <c r="HKI1530" s="646"/>
      <c r="HKJ1530" s="646"/>
      <c r="HKK1530" s="646"/>
      <c r="HKL1530" s="646"/>
      <c r="HKM1530" s="646"/>
      <c r="HKN1530" s="646"/>
      <c r="HKO1530" s="646"/>
      <c r="HKP1530" s="646"/>
      <c r="HKQ1530" s="646"/>
      <c r="HKR1530" s="646"/>
      <c r="HKS1530" s="646"/>
      <c r="HKT1530" s="646"/>
      <c r="HKU1530" s="646"/>
      <c r="HKV1530" s="646"/>
      <c r="HKW1530" s="646"/>
      <c r="HKX1530" s="646"/>
      <c r="HKY1530" s="646"/>
      <c r="HKZ1530" s="646"/>
      <c r="HLA1530" s="646"/>
      <c r="HLB1530" s="646"/>
      <c r="HLC1530" s="646"/>
      <c r="HLD1530" s="646"/>
      <c r="HLE1530" s="646"/>
      <c r="HLF1530" s="646"/>
      <c r="HLG1530" s="646"/>
      <c r="HLH1530" s="646"/>
      <c r="HLI1530" s="646"/>
      <c r="HLJ1530" s="646"/>
      <c r="HLK1530" s="646"/>
      <c r="HLL1530" s="646"/>
      <c r="HLM1530" s="646"/>
      <c r="HLN1530" s="646"/>
      <c r="HLO1530" s="646"/>
      <c r="HLP1530" s="646"/>
      <c r="HLQ1530" s="646"/>
      <c r="HLR1530" s="646"/>
      <c r="HLS1530" s="646"/>
      <c r="HLT1530" s="646"/>
      <c r="HLU1530" s="646"/>
      <c r="HLV1530" s="646"/>
      <c r="HLW1530" s="646"/>
      <c r="HLX1530" s="646"/>
      <c r="HLY1530" s="646"/>
      <c r="HLZ1530" s="646"/>
      <c r="HMA1530" s="646"/>
      <c r="HMB1530" s="646"/>
      <c r="HMC1530" s="646"/>
      <c r="HMD1530" s="646"/>
      <c r="HME1530" s="646"/>
      <c r="HMF1530" s="646"/>
      <c r="HMG1530" s="646"/>
      <c r="HMH1530" s="646"/>
      <c r="HMI1530" s="646"/>
      <c r="HMJ1530" s="646"/>
      <c r="HMK1530" s="646"/>
      <c r="HML1530" s="646"/>
      <c r="HMM1530" s="646"/>
      <c r="HMN1530" s="646"/>
      <c r="HMO1530" s="646"/>
      <c r="HMP1530" s="646"/>
      <c r="HMQ1530" s="646"/>
      <c r="HMR1530" s="646"/>
      <c r="HMS1530" s="646"/>
      <c r="HMT1530" s="646"/>
      <c r="HMU1530" s="646"/>
      <c r="HMV1530" s="646"/>
      <c r="HMW1530" s="646"/>
      <c r="HMX1530" s="646"/>
      <c r="HMY1530" s="646"/>
      <c r="HMZ1530" s="646"/>
      <c r="HNA1530" s="646"/>
      <c r="HNB1530" s="646"/>
      <c r="HNC1530" s="646"/>
      <c r="HND1530" s="646"/>
      <c r="HNE1530" s="646"/>
      <c r="HNF1530" s="646"/>
      <c r="HNG1530" s="646"/>
      <c r="HNH1530" s="646"/>
      <c r="HNI1530" s="646"/>
      <c r="HNJ1530" s="646"/>
      <c r="HNK1530" s="646"/>
      <c r="HNL1530" s="646"/>
      <c r="HNM1530" s="646"/>
      <c r="HNN1530" s="646"/>
      <c r="HNO1530" s="646"/>
      <c r="HNP1530" s="646"/>
      <c r="HNQ1530" s="646"/>
      <c r="HNR1530" s="646"/>
      <c r="HNS1530" s="646"/>
      <c r="HNT1530" s="646"/>
      <c r="HNU1530" s="646"/>
      <c r="HNV1530" s="646"/>
      <c r="HNW1530" s="646"/>
      <c r="HNX1530" s="646"/>
      <c r="HNY1530" s="646"/>
      <c r="HNZ1530" s="646"/>
      <c r="HOA1530" s="646"/>
      <c r="HOB1530" s="646"/>
      <c r="HOC1530" s="646"/>
      <c r="HOD1530" s="646"/>
      <c r="HOE1530" s="646"/>
      <c r="HOF1530" s="646"/>
      <c r="HOG1530" s="646"/>
      <c r="HOH1530" s="646"/>
      <c r="HOI1530" s="646"/>
      <c r="HOJ1530" s="646"/>
      <c r="HOK1530" s="646"/>
      <c r="HOL1530" s="646"/>
      <c r="HOM1530" s="646"/>
      <c r="HON1530" s="646"/>
      <c r="HOO1530" s="646"/>
      <c r="HOP1530" s="646"/>
      <c r="HOQ1530" s="646"/>
      <c r="HOR1530" s="646"/>
      <c r="HOS1530" s="646"/>
      <c r="HOT1530" s="646"/>
      <c r="HOU1530" s="646"/>
      <c r="HOV1530" s="646"/>
      <c r="HOW1530" s="646"/>
      <c r="HOX1530" s="646"/>
      <c r="HOY1530" s="646"/>
      <c r="HOZ1530" s="646"/>
      <c r="HPA1530" s="646"/>
      <c r="HPB1530" s="646"/>
      <c r="HPC1530" s="646"/>
      <c r="HPD1530" s="646"/>
      <c r="HPE1530" s="646"/>
      <c r="HPF1530" s="646"/>
      <c r="HPG1530" s="646"/>
      <c r="HPH1530" s="646"/>
      <c r="HPI1530" s="646"/>
      <c r="HPJ1530" s="646"/>
      <c r="HPK1530" s="646"/>
      <c r="HPL1530" s="646"/>
      <c r="HPM1530" s="646"/>
      <c r="HPN1530" s="646"/>
      <c r="HPO1530" s="646"/>
      <c r="HPP1530" s="646"/>
      <c r="HPQ1530" s="646"/>
      <c r="HPR1530" s="646"/>
      <c r="HPS1530" s="646"/>
      <c r="HPT1530" s="646"/>
      <c r="HPU1530" s="646"/>
      <c r="HPV1530" s="646"/>
      <c r="HPW1530" s="646"/>
      <c r="HPX1530" s="646"/>
      <c r="HPY1530" s="646"/>
      <c r="HPZ1530" s="646"/>
      <c r="HQA1530" s="646"/>
      <c r="HQB1530" s="646"/>
      <c r="HQC1530" s="646"/>
      <c r="HQD1530" s="646"/>
      <c r="HQE1530" s="646"/>
      <c r="HQF1530" s="646"/>
      <c r="HQG1530" s="646"/>
      <c r="HQH1530" s="646"/>
      <c r="HQI1530" s="646"/>
      <c r="HQJ1530" s="646"/>
      <c r="HQK1530" s="646"/>
      <c r="HQL1530" s="646"/>
      <c r="HQM1530" s="646"/>
      <c r="HQN1530" s="646"/>
      <c r="HQO1530" s="646"/>
      <c r="HQP1530" s="646"/>
      <c r="HQQ1530" s="646"/>
      <c r="HQR1530" s="646"/>
      <c r="HQS1530" s="646"/>
      <c r="HQT1530" s="646"/>
      <c r="HQU1530" s="646"/>
      <c r="HQV1530" s="646"/>
      <c r="HQW1530" s="646"/>
      <c r="HQX1530" s="646"/>
      <c r="HQY1530" s="646"/>
      <c r="HQZ1530" s="646"/>
      <c r="HRA1530" s="646"/>
      <c r="HRB1530" s="646"/>
      <c r="HRC1530" s="646"/>
      <c r="HRD1530" s="646"/>
      <c r="HRE1530" s="646"/>
      <c r="HRF1530" s="646"/>
      <c r="HRG1530" s="646"/>
      <c r="HRH1530" s="646"/>
      <c r="HRI1530" s="646"/>
      <c r="HRJ1530" s="646"/>
      <c r="HRK1530" s="646"/>
      <c r="HRL1530" s="646"/>
      <c r="HRM1530" s="646"/>
      <c r="HRN1530" s="646"/>
      <c r="HRO1530" s="646"/>
      <c r="HRP1530" s="646"/>
      <c r="HRQ1530" s="646"/>
      <c r="HRR1530" s="646"/>
      <c r="HRS1530" s="646"/>
      <c r="HRT1530" s="646"/>
      <c r="HRU1530" s="646"/>
      <c r="HRV1530" s="646"/>
      <c r="HRW1530" s="646"/>
      <c r="HRX1530" s="646"/>
      <c r="HRY1530" s="646"/>
      <c r="HRZ1530" s="646"/>
      <c r="HSA1530" s="646"/>
      <c r="HSB1530" s="646"/>
      <c r="HSC1530" s="646"/>
      <c r="HSD1530" s="646"/>
      <c r="HSE1530" s="646"/>
      <c r="HSF1530" s="646"/>
      <c r="HSG1530" s="646"/>
      <c r="HSH1530" s="646"/>
      <c r="HSI1530" s="646"/>
      <c r="HSJ1530" s="646"/>
      <c r="HSK1530" s="646"/>
      <c r="HSL1530" s="646"/>
      <c r="HSM1530" s="646"/>
      <c r="HSN1530" s="646"/>
      <c r="HSO1530" s="646"/>
      <c r="HSP1530" s="646"/>
      <c r="HSQ1530" s="646"/>
      <c r="HSR1530" s="646"/>
      <c r="HSS1530" s="646"/>
      <c r="HST1530" s="646"/>
      <c r="HSU1530" s="646"/>
      <c r="HSV1530" s="646"/>
      <c r="HSW1530" s="646"/>
      <c r="HSX1530" s="646"/>
      <c r="HSY1530" s="646"/>
      <c r="HSZ1530" s="646"/>
      <c r="HTA1530" s="646"/>
      <c r="HTB1530" s="646"/>
      <c r="HTC1530" s="646"/>
      <c r="HTD1530" s="646"/>
      <c r="HTE1530" s="646"/>
      <c r="HTF1530" s="646"/>
      <c r="HTG1530" s="646"/>
      <c r="HTH1530" s="646"/>
      <c r="HTI1530" s="646"/>
      <c r="HTJ1530" s="646"/>
      <c r="HTK1530" s="646"/>
      <c r="HTL1530" s="646"/>
      <c r="HTM1530" s="646"/>
      <c r="HTN1530" s="646"/>
      <c r="HTO1530" s="646"/>
      <c r="HTP1530" s="646"/>
      <c r="HTQ1530" s="646"/>
      <c r="HTR1530" s="646"/>
      <c r="HTS1530" s="646"/>
      <c r="HTT1530" s="646"/>
      <c r="HTU1530" s="646"/>
      <c r="HTV1530" s="646"/>
      <c r="HTW1530" s="646"/>
      <c r="HTX1530" s="646"/>
      <c r="HTY1530" s="646"/>
      <c r="HTZ1530" s="646"/>
      <c r="HUA1530" s="646"/>
      <c r="HUB1530" s="646"/>
      <c r="HUC1530" s="646"/>
      <c r="HUD1530" s="646"/>
      <c r="HUE1530" s="646"/>
      <c r="HUF1530" s="646"/>
      <c r="HUG1530" s="646"/>
      <c r="HUH1530" s="646"/>
      <c r="HUI1530" s="646"/>
      <c r="HUJ1530" s="646"/>
      <c r="HUK1530" s="646"/>
      <c r="HUL1530" s="646"/>
      <c r="HUM1530" s="646"/>
      <c r="HUN1530" s="646"/>
      <c r="HUO1530" s="646"/>
      <c r="HUP1530" s="646"/>
      <c r="HUQ1530" s="646"/>
      <c r="HUR1530" s="646"/>
      <c r="HUS1530" s="646"/>
      <c r="HUT1530" s="646"/>
      <c r="HUU1530" s="646"/>
      <c r="HUV1530" s="646"/>
      <c r="HUW1530" s="646"/>
      <c r="HUX1530" s="646"/>
      <c r="HUY1530" s="646"/>
      <c r="HUZ1530" s="646"/>
      <c r="HVA1530" s="646"/>
      <c r="HVB1530" s="646"/>
      <c r="HVC1530" s="646"/>
      <c r="HVD1530" s="646"/>
      <c r="HVE1530" s="646"/>
      <c r="HVF1530" s="646"/>
      <c r="HVG1530" s="646"/>
      <c r="HVH1530" s="646"/>
      <c r="HVI1530" s="646"/>
      <c r="HVJ1530" s="646"/>
      <c r="HVK1530" s="646"/>
      <c r="HVL1530" s="646"/>
      <c r="HVM1530" s="646"/>
      <c r="HVN1530" s="646"/>
      <c r="HVO1530" s="646"/>
      <c r="HVP1530" s="646"/>
      <c r="HVQ1530" s="646"/>
      <c r="HVR1530" s="646"/>
      <c r="HVS1530" s="646"/>
      <c r="HVT1530" s="646"/>
      <c r="HVU1530" s="646"/>
      <c r="HVV1530" s="646"/>
      <c r="HVW1530" s="646"/>
      <c r="HVX1530" s="646"/>
      <c r="HVY1530" s="646"/>
      <c r="HVZ1530" s="646"/>
      <c r="HWA1530" s="646"/>
      <c r="HWB1530" s="646"/>
      <c r="HWC1530" s="646"/>
      <c r="HWD1530" s="646"/>
      <c r="HWE1530" s="646"/>
      <c r="HWF1530" s="646"/>
      <c r="HWG1530" s="646"/>
      <c r="HWH1530" s="646"/>
      <c r="HWI1530" s="646"/>
      <c r="HWJ1530" s="646"/>
      <c r="HWK1530" s="646"/>
      <c r="HWL1530" s="646"/>
      <c r="HWM1530" s="646"/>
      <c r="HWN1530" s="646"/>
      <c r="HWO1530" s="646"/>
      <c r="HWP1530" s="646"/>
      <c r="HWQ1530" s="646"/>
      <c r="HWR1530" s="646"/>
      <c r="HWS1530" s="646"/>
      <c r="HWT1530" s="646"/>
      <c r="HWU1530" s="646"/>
      <c r="HWV1530" s="646"/>
      <c r="HWW1530" s="646"/>
      <c r="HWX1530" s="646"/>
      <c r="HWY1530" s="646"/>
      <c r="HWZ1530" s="646"/>
      <c r="HXA1530" s="646"/>
      <c r="HXB1530" s="646"/>
      <c r="HXC1530" s="646"/>
      <c r="HXD1530" s="646"/>
      <c r="HXE1530" s="646"/>
      <c r="HXF1530" s="646"/>
      <c r="HXG1530" s="646"/>
      <c r="HXH1530" s="646"/>
      <c r="HXI1530" s="646"/>
      <c r="HXJ1530" s="646"/>
      <c r="HXK1530" s="646"/>
      <c r="HXL1530" s="646"/>
      <c r="HXM1530" s="646"/>
      <c r="HXN1530" s="646"/>
      <c r="HXO1530" s="646"/>
      <c r="HXP1530" s="646"/>
      <c r="HXQ1530" s="646"/>
      <c r="HXR1530" s="646"/>
      <c r="HXS1530" s="646"/>
      <c r="HXT1530" s="646"/>
      <c r="HXU1530" s="646"/>
      <c r="HXV1530" s="646"/>
      <c r="HXW1530" s="646"/>
      <c r="HXX1530" s="646"/>
      <c r="HXY1530" s="646"/>
      <c r="HXZ1530" s="646"/>
      <c r="HYA1530" s="646"/>
      <c r="HYB1530" s="646"/>
      <c r="HYC1530" s="646"/>
      <c r="HYD1530" s="646"/>
      <c r="HYE1530" s="646"/>
      <c r="HYF1530" s="646"/>
      <c r="HYG1530" s="646"/>
      <c r="HYH1530" s="646"/>
      <c r="HYI1530" s="646"/>
      <c r="HYJ1530" s="646"/>
      <c r="HYK1530" s="646"/>
      <c r="HYL1530" s="646"/>
      <c r="HYM1530" s="646"/>
      <c r="HYN1530" s="646"/>
      <c r="HYO1530" s="646"/>
      <c r="HYP1530" s="646"/>
      <c r="HYQ1530" s="646"/>
      <c r="HYR1530" s="646"/>
      <c r="HYS1530" s="646"/>
      <c r="HYT1530" s="646"/>
      <c r="HYU1530" s="646"/>
      <c r="HYV1530" s="646"/>
      <c r="HYW1530" s="646"/>
      <c r="HYX1530" s="646"/>
      <c r="HYY1530" s="646"/>
      <c r="HYZ1530" s="646"/>
      <c r="HZA1530" s="646"/>
      <c r="HZB1530" s="646"/>
      <c r="HZC1530" s="646"/>
      <c r="HZD1530" s="646"/>
      <c r="HZE1530" s="646"/>
      <c r="HZF1530" s="646"/>
      <c r="HZG1530" s="646"/>
      <c r="HZH1530" s="646"/>
      <c r="HZI1530" s="646"/>
      <c r="HZJ1530" s="646"/>
      <c r="HZK1530" s="646"/>
      <c r="HZL1530" s="646"/>
      <c r="HZM1530" s="646"/>
      <c r="HZN1530" s="646"/>
      <c r="HZO1530" s="646"/>
      <c r="HZP1530" s="646"/>
      <c r="HZQ1530" s="646"/>
      <c r="HZR1530" s="646"/>
      <c r="HZS1530" s="646"/>
      <c r="HZT1530" s="646"/>
      <c r="HZU1530" s="646"/>
      <c r="HZV1530" s="646"/>
      <c r="HZW1530" s="646"/>
      <c r="HZX1530" s="646"/>
      <c r="HZY1530" s="646"/>
      <c r="HZZ1530" s="646"/>
      <c r="IAA1530" s="646"/>
      <c r="IAB1530" s="646"/>
      <c r="IAC1530" s="646"/>
      <c r="IAD1530" s="646"/>
      <c r="IAE1530" s="646"/>
      <c r="IAF1530" s="646"/>
      <c r="IAG1530" s="646"/>
      <c r="IAH1530" s="646"/>
      <c r="IAI1530" s="646"/>
      <c r="IAJ1530" s="646"/>
      <c r="IAK1530" s="646"/>
      <c r="IAL1530" s="646"/>
      <c r="IAM1530" s="646"/>
      <c r="IAN1530" s="646"/>
      <c r="IAO1530" s="646"/>
      <c r="IAP1530" s="646"/>
      <c r="IAQ1530" s="646"/>
      <c r="IAR1530" s="646"/>
      <c r="IAS1530" s="646"/>
      <c r="IAT1530" s="646"/>
      <c r="IAU1530" s="646"/>
      <c r="IAV1530" s="646"/>
      <c r="IAW1530" s="646"/>
      <c r="IAX1530" s="646"/>
      <c r="IAY1530" s="646"/>
      <c r="IAZ1530" s="646"/>
      <c r="IBA1530" s="646"/>
      <c r="IBB1530" s="646"/>
      <c r="IBC1530" s="646"/>
      <c r="IBD1530" s="646"/>
      <c r="IBE1530" s="646"/>
      <c r="IBF1530" s="646"/>
      <c r="IBG1530" s="646"/>
      <c r="IBH1530" s="646"/>
      <c r="IBI1530" s="646"/>
      <c r="IBJ1530" s="646"/>
      <c r="IBK1530" s="646"/>
      <c r="IBL1530" s="646"/>
      <c r="IBM1530" s="646"/>
      <c r="IBN1530" s="646"/>
      <c r="IBO1530" s="646"/>
      <c r="IBP1530" s="646"/>
      <c r="IBQ1530" s="646"/>
      <c r="IBR1530" s="646"/>
      <c r="IBS1530" s="646"/>
      <c r="IBT1530" s="646"/>
      <c r="IBU1530" s="646"/>
      <c r="IBV1530" s="646"/>
      <c r="IBW1530" s="646"/>
      <c r="IBX1530" s="646"/>
      <c r="IBY1530" s="646"/>
      <c r="IBZ1530" s="646"/>
      <c r="ICA1530" s="646"/>
      <c r="ICB1530" s="646"/>
      <c r="ICC1530" s="646"/>
      <c r="ICD1530" s="646"/>
      <c r="ICE1530" s="646"/>
      <c r="ICF1530" s="646"/>
      <c r="ICG1530" s="646"/>
      <c r="ICH1530" s="646"/>
      <c r="ICI1530" s="646"/>
      <c r="ICJ1530" s="646"/>
      <c r="ICK1530" s="646"/>
      <c r="ICL1530" s="646"/>
      <c r="ICM1530" s="646"/>
      <c r="ICN1530" s="646"/>
      <c r="ICO1530" s="646"/>
      <c r="ICP1530" s="646"/>
      <c r="ICQ1530" s="646"/>
      <c r="ICR1530" s="646"/>
      <c r="ICS1530" s="646"/>
      <c r="ICT1530" s="646"/>
      <c r="ICU1530" s="646"/>
      <c r="ICV1530" s="646"/>
      <c r="ICW1530" s="646"/>
      <c r="ICX1530" s="646"/>
      <c r="ICY1530" s="646"/>
      <c r="ICZ1530" s="646"/>
      <c r="IDA1530" s="646"/>
      <c r="IDB1530" s="646"/>
      <c r="IDC1530" s="646"/>
      <c r="IDD1530" s="646"/>
      <c r="IDE1530" s="646"/>
      <c r="IDF1530" s="646"/>
      <c r="IDG1530" s="646"/>
      <c r="IDH1530" s="646"/>
      <c r="IDI1530" s="646"/>
      <c r="IDJ1530" s="646"/>
      <c r="IDK1530" s="646"/>
      <c r="IDL1530" s="646"/>
      <c r="IDM1530" s="646"/>
      <c r="IDN1530" s="646"/>
      <c r="IDO1530" s="646"/>
      <c r="IDP1530" s="646"/>
      <c r="IDQ1530" s="646"/>
      <c r="IDR1530" s="646"/>
      <c r="IDS1530" s="646"/>
      <c r="IDT1530" s="646"/>
      <c r="IDU1530" s="646"/>
      <c r="IDV1530" s="646"/>
      <c r="IDW1530" s="646"/>
      <c r="IDX1530" s="646"/>
      <c r="IDY1530" s="646"/>
      <c r="IDZ1530" s="646"/>
      <c r="IEA1530" s="646"/>
      <c r="IEB1530" s="646"/>
      <c r="IEC1530" s="646"/>
      <c r="IED1530" s="646"/>
      <c r="IEE1530" s="646"/>
      <c r="IEF1530" s="646"/>
      <c r="IEG1530" s="646"/>
      <c r="IEH1530" s="646"/>
      <c r="IEI1530" s="646"/>
      <c r="IEJ1530" s="646"/>
      <c r="IEK1530" s="646"/>
      <c r="IEL1530" s="646"/>
      <c r="IEM1530" s="646"/>
      <c r="IEN1530" s="646"/>
      <c r="IEO1530" s="646"/>
      <c r="IEP1530" s="646"/>
      <c r="IEQ1530" s="646"/>
      <c r="IER1530" s="646"/>
      <c r="IES1530" s="646"/>
      <c r="IET1530" s="646"/>
      <c r="IEU1530" s="646"/>
      <c r="IEV1530" s="646"/>
      <c r="IEW1530" s="646"/>
      <c r="IEX1530" s="646"/>
      <c r="IEY1530" s="646"/>
      <c r="IEZ1530" s="646"/>
      <c r="IFA1530" s="646"/>
      <c r="IFB1530" s="646"/>
      <c r="IFC1530" s="646"/>
      <c r="IFD1530" s="646"/>
      <c r="IFE1530" s="646"/>
      <c r="IFF1530" s="646"/>
      <c r="IFG1530" s="646"/>
      <c r="IFH1530" s="646"/>
      <c r="IFI1530" s="646"/>
      <c r="IFJ1530" s="646"/>
      <c r="IFK1530" s="646"/>
      <c r="IFL1530" s="646"/>
      <c r="IFM1530" s="646"/>
      <c r="IFN1530" s="646"/>
      <c r="IFO1530" s="646"/>
      <c r="IFP1530" s="646"/>
      <c r="IFQ1530" s="646"/>
      <c r="IFR1530" s="646"/>
      <c r="IFS1530" s="646"/>
      <c r="IFT1530" s="646"/>
      <c r="IFU1530" s="646"/>
      <c r="IFV1530" s="646"/>
      <c r="IFW1530" s="646"/>
      <c r="IFX1530" s="646"/>
      <c r="IFY1530" s="646"/>
      <c r="IFZ1530" s="646"/>
      <c r="IGA1530" s="646"/>
      <c r="IGB1530" s="646"/>
      <c r="IGC1530" s="646"/>
      <c r="IGD1530" s="646"/>
      <c r="IGE1530" s="646"/>
      <c r="IGF1530" s="646"/>
      <c r="IGG1530" s="646"/>
      <c r="IGH1530" s="646"/>
      <c r="IGI1530" s="646"/>
      <c r="IGJ1530" s="646"/>
      <c r="IGK1530" s="646"/>
      <c r="IGL1530" s="646"/>
      <c r="IGM1530" s="646"/>
      <c r="IGN1530" s="646"/>
      <c r="IGO1530" s="646"/>
      <c r="IGP1530" s="646"/>
      <c r="IGQ1530" s="646"/>
      <c r="IGR1530" s="646"/>
      <c r="IGS1530" s="646"/>
      <c r="IGT1530" s="646"/>
      <c r="IGU1530" s="646"/>
      <c r="IGV1530" s="646"/>
      <c r="IGW1530" s="646"/>
      <c r="IGX1530" s="646"/>
      <c r="IGY1530" s="646"/>
      <c r="IGZ1530" s="646"/>
      <c r="IHA1530" s="646"/>
      <c r="IHB1530" s="646"/>
      <c r="IHC1530" s="646"/>
      <c r="IHD1530" s="646"/>
      <c r="IHE1530" s="646"/>
      <c r="IHF1530" s="646"/>
      <c r="IHG1530" s="646"/>
      <c r="IHH1530" s="646"/>
      <c r="IHI1530" s="646"/>
      <c r="IHJ1530" s="646"/>
      <c r="IHK1530" s="646"/>
      <c r="IHL1530" s="646"/>
      <c r="IHM1530" s="646"/>
      <c r="IHN1530" s="646"/>
      <c r="IHO1530" s="646"/>
      <c r="IHP1530" s="646"/>
      <c r="IHQ1530" s="646"/>
      <c r="IHR1530" s="646"/>
      <c r="IHS1530" s="646"/>
      <c r="IHT1530" s="646"/>
      <c r="IHU1530" s="646"/>
      <c r="IHV1530" s="646"/>
      <c r="IHW1530" s="646"/>
      <c r="IHX1530" s="646"/>
      <c r="IHY1530" s="646"/>
      <c r="IHZ1530" s="646"/>
      <c r="IIA1530" s="646"/>
      <c r="IIB1530" s="646"/>
      <c r="IIC1530" s="646"/>
      <c r="IID1530" s="646"/>
      <c r="IIE1530" s="646"/>
      <c r="IIF1530" s="646"/>
      <c r="IIG1530" s="646"/>
      <c r="IIH1530" s="646"/>
      <c r="III1530" s="646"/>
      <c r="IIJ1530" s="646"/>
      <c r="IIK1530" s="646"/>
      <c r="IIL1530" s="646"/>
      <c r="IIM1530" s="646"/>
      <c r="IIN1530" s="646"/>
      <c r="IIO1530" s="646"/>
      <c r="IIP1530" s="646"/>
      <c r="IIQ1530" s="646"/>
      <c r="IIR1530" s="646"/>
      <c r="IIS1530" s="646"/>
      <c r="IIT1530" s="646"/>
      <c r="IIU1530" s="646"/>
      <c r="IIV1530" s="646"/>
      <c r="IIW1530" s="646"/>
      <c r="IIX1530" s="646"/>
      <c r="IIY1530" s="646"/>
      <c r="IIZ1530" s="646"/>
      <c r="IJA1530" s="646"/>
      <c r="IJB1530" s="646"/>
      <c r="IJC1530" s="646"/>
      <c r="IJD1530" s="646"/>
      <c r="IJE1530" s="646"/>
      <c r="IJF1530" s="646"/>
      <c r="IJG1530" s="646"/>
      <c r="IJH1530" s="646"/>
      <c r="IJI1530" s="646"/>
      <c r="IJJ1530" s="646"/>
      <c r="IJK1530" s="646"/>
      <c r="IJL1530" s="646"/>
      <c r="IJM1530" s="646"/>
      <c r="IJN1530" s="646"/>
      <c r="IJO1530" s="646"/>
      <c r="IJP1530" s="646"/>
      <c r="IJQ1530" s="646"/>
      <c r="IJR1530" s="646"/>
      <c r="IJS1530" s="646"/>
      <c r="IJT1530" s="646"/>
      <c r="IJU1530" s="646"/>
      <c r="IJV1530" s="646"/>
      <c r="IJW1530" s="646"/>
      <c r="IJX1530" s="646"/>
      <c r="IJY1530" s="646"/>
      <c r="IJZ1530" s="646"/>
      <c r="IKA1530" s="646"/>
      <c r="IKB1530" s="646"/>
      <c r="IKC1530" s="646"/>
      <c r="IKD1530" s="646"/>
      <c r="IKE1530" s="646"/>
      <c r="IKF1530" s="646"/>
      <c r="IKG1530" s="646"/>
      <c r="IKH1530" s="646"/>
      <c r="IKI1530" s="646"/>
      <c r="IKJ1530" s="646"/>
      <c r="IKK1530" s="646"/>
      <c r="IKL1530" s="646"/>
      <c r="IKM1530" s="646"/>
      <c r="IKN1530" s="646"/>
      <c r="IKO1530" s="646"/>
      <c r="IKP1530" s="646"/>
      <c r="IKQ1530" s="646"/>
      <c r="IKR1530" s="646"/>
      <c r="IKS1530" s="646"/>
      <c r="IKT1530" s="646"/>
      <c r="IKU1530" s="646"/>
      <c r="IKV1530" s="646"/>
      <c r="IKW1530" s="646"/>
      <c r="IKX1530" s="646"/>
      <c r="IKY1530" s="646"/>
      <c r="IKZ1530" s="646"/>
      <c r="ILA1530" s="646"/>
      <c r="ILB1530" s="646"/>
      <c r="ILC1530" s="646"/>
      <c r="ILD1530" s="646"/>
      <c r="ILE1530" s="646"/>
      <c r="ILF1530" s="646"/>
      <c r="ILG1530" s="646"/>
      <c r="ILH1530" s="646"/>
      <c r="ILI1530" s="646"/>
      <c r="ILJ1530" s="646"/>
      <c r="ILK1530" s="646"/>
      <c r="ILL1530" s="646"/>
      <c r="ILM1530" s="646"/>
      <c r="ILN1530" s="646"/>
      <c r="ILO1530" s="646"/>
      <c r="ILP1530" s="646"/>
      <c r="ILQ1530" s="646"/>
      <c r="ILR1530" s="646"/>
      <c r="ILS1530" s="646"/>
      <c r="ILT1530" s="646"/>
      <c r="ILU1530" s="646"/>
      <c r="ILV1530" s="646"/>
      <c r="ILW1530" s="646"/>
      <c r="ILX1530" s="646"/>
      <c r="ILY1530" s="646"/>
      <c r="ILZ1530" s="646"/>
      <c r="IMA1530" s="646"/>
      <c r="IMB1530" s="646"/>
      <c r="IMC1530" s="646"/>
      <c r="IMD1530" s="646"/>
      <c r="IME1530" s="646"/>
      <c r="IMF1530" s="646"/>
      <c r="IMG1530" s="646"/>
      <c r="IMH1530" s="646"/>
      <c r="IMI1530" s="646"/>
      <c r="IMJ1530" s="646"/>
      <c r="IMK1530" s="646"/>
      <c r="IML1530" s="646"/>
      <c r="IMM1530" s="646"/>
      <c r="IMN1530" s="646"/>
      <c r="IMO1530" s="646"/>
      <c r="IMP1530" s="646"/>
      <c r="IMQ1530" s="646"/>
      <c r="IMR1530" s="646"/>
      <c r="IMS1530" s="646"/>
      <c r="IMT1530" s="646"/>
      <c r="IMU1530" s="646"/>
      <c r="IMV1530" s="646"/>
      <c r="IMW1530" s="646"/>
      <c r="IMX1530" s="646"/>
      <c r="IMY1530" s="646"/>
      <c r="IMZ1530" s="646"/>
      <c r="INA1530" s="646"/>
      <c r="INB1530" s="646"/>
      <c r="INC1530" s="646"/>
      <c r="IND1530" s="646"/>
      <c r="INE1530" s="646"/>
      <c r="INF1530" s="646"/>
      <c r="ING1530" s="646"/>
      <c r="INH1530" s="646"/>
      <c r="INI1530" s="646"/>
      <c r="INJ1530" s="646"/>
      <c r="INK1530" s="646"/>
      <c r="INL1530" s="646"/>
      <c r="INM1530" s="646"/>
      <c r="INN1530" s="646"/>
      <c r="INO1530" s="646"/>
      <c r="INP1530" s="646"/>
      <c r="INQ1530" s="646"/>
      <c r="INR1530" s="646"/>
      <c r="INS1530" s="646"/>
      <c r="INT1530" s="646"/>
      <c r="INU1530" s="646"/>
      <c r="INV1530" s="646"/>
      <c r="INW1530" s="646"/>
      <c r="INX1530" s="646"/>
      <c r="INY1530" s="646"/>
      <c r="INZ1530" s="646"/>
      <c r="IOA1530" s="646"/>
      <c r="IOB1530" s="646"/>
      <c r="IOC1530" s="646"/>
      <c r="IOD1530" s="646"/>
      <c r="IOE1530" s="646"/>
      <c r="IOF1530" s="646"/>
      <c r="IOG1530" s="646"/>
      <c r="IOH1530" s="646"/>
      <c r="IOI1530" s="646"/>
      <c r="IOJ1530" s="646"/>
      <c r="IOK1530" s="646"/>
      <c r="IOL1530" s="646"/>
      <c r="IOM1530" s="646"/>
      <c r="ION1530" s="646"/>
      <c r="IOO1530" s="646"/>
      <c r="IOP1530" s="646"/>
      <c r="IOQ1530" s="646"/>
      <c r="IOR1530" s="646"/>
      <c r="IOS1530" s="646"/>
      <c r="IOT1530" s="646"/>
      <c r="IOU1530" s="646"/>
      <c r="IOV1530" s="646"/>
      <c r="IOW1530" s="646"/>
      <c r="IOX1530" s="646"/>
      <c r="IOY1530" s="646"/>
      <c r="IOZ1530" s="646"/>
      <c r="IPA1530" s="646"/>
      <c r="IPB1530" s="646"/>
      <c r="IPC1530" s="646"/>
      <c r="IPD1530" s="646"/>
      <c r="IPE1530" s="646"/>
      <c r="IPF1530" s="646"/>
      <c r="IPG1530" s="646"/>
      <c r="IPH1530" s="646"/>
      <c r="IPI1530" s="646"/>
      <c r="IPJ1530" s="646"/>
      <c r="IPK1530" s="646"/>
      <c r="IPL1530" s="646"/>
      <c r="IPM1530" s="646"/>
      <c r="IPN1530" s="646"/>
      <c r="IPO1530" s="646"/>
      <c r="IPP1530" s="646"/>
      <c r="IPQ1530" s="646"/>
      <c r="IPR1530" s="646"/>
      <c r="IPS1530" s="646"/>
      <c r="IPT1530" s="646"/>
      <c r="IPU1530" s="646"/>
      <c r="IPV1530" s="646"/>
      <c r="IPW1530" s="646"/>
      <c r="IPX1530" s="646"/>
      <c r="IPY1530" s="646"/>
      <c r="IPZ1530" s="646"/>
      <c r="IQA1530" s="646"/>
      <c r="IQB1530" s="646"/>
      <c r="IQC1530" s="646"/>
      <c r="IQD1530" s="646"/>
      <c r="IQE1530" s="646"/>
      <c r="IQF1530" s="646"/>
      <c r="IQG1530" s="646"/>
      <c r="IQH1530" s="646"/>
      <c r="IQI1530" s="646"/>
      <c r="IQJ1530" s="646"/>
      <c r="IQK1530" s="646"/>
      <c r="IQL1530" s="646"/>
      <c r="IQM1530" s="646"/>
      <c r="IQN1530" s="646"/>
      <c r="IQO1530" s="646"/>
      <c r="IQP1530" s="646"/>
      <c r="IQQ1530" s="646"/>
      <c r="IQR1530" s="646"/>
      <c r="IQS1530" s="646"/>
      <c r="IQT1530" s="646"/>
      <c r="IQU1530" s="646"/>
      <c r="IQV1530" s="646"/>
      <c r="IQW1530" s="646"/>
      <c r="IQX1530" s="646"/>
      <c r="IQY1530" s="646"/>
      <c r="IQZ1530" s="646"/>
      <c r="IRA1530" s="646"/>
      <c r="IRB1530" s="646"/>
      <c r="IRC1530" s="646"/>
      <c r="IRD1530" s="646"/>
      <c r="IRE1530" s="646"/>
      <c r="IRF1530" s="646"/>
      <c r="IRG1530" s="646"/>
      <c r="IRH1530" s="646"/>
      <c r="IRI1530" s="646"/>
      <c r="IRJ1530" s="646"/>
      <c r="IRK1530" s="646"/>
      <c r="IRL1530" s="646"/>
      <c r="IRM1530" s="646"/>
      <c r="IRN1530" s="646"/>
      <c r="IRO1530" s="646"/>
      <c r="IRP1530" s="646"/>
      <c r="IRQ1530" s="646"/>
      <c r="IRR1530" s="646"/>
      <c r="IRS1530" s="646"/>
      <c r="IRT1530" s="646"/>
      <c r="IRU1530" s="646"/>
      <c r="IRV1530" s="646"/>
      <c r="IRW1530" s="646"/>
      <c r="IRX1530" s="646"/>
      <c r="IRY1530" s="646"/>
      <c r="IRZ1530" s="646"/>
      <c r="ISA1530" s="646"/>
      <c r="ISB1530" s="646"/>
      <c r="ISC1530" s="646"/>
      <c r="ISD1530" s="646"/>
      <c r="ISE1530" s="646"/>
      <c r="ISF1530" s="646"/>
      <c r="ISG1530" s="646"/>
      <c r="ISH1530" s="646"/>
      <c r="ISI1530" s="646"/>
      <c r="ISJ1530" s="646"/>
      <c r="ISK1530" s="646"/>
      <c r="ISL1530" s="646"/>
      <c r="ISM1530" s="646"/>
      <c r="ISN1530" s="646"/>
      <c r="ISO1530" s="646"/>
      <c r="ISP1530" s="646"/>
      <c r="ISQ1530" s="646"/>
      <c r="ISR1530" s="646"/>
      <c r="ISS1530" s="646"/>
      <c r="IST1530" s="646"/>
      <c r="ISU1530" s="646"/>
      <c r="ISV1530" s="646"/>
      <c r="ISW1530" s="646"/>
      <c r="ISX1530" s="646"/>
      <c r="ISY1530" s="646"/>
      <c r="ISZ1530" s="646"/>
      <c r="ITA1530" s="646"/>
      <c r="ITB1530" s="646"/>
      <c r="ITC1530" s="646"/>
      <c r="ITD1530" s="646"/>
      <c r="ITE1530" s="646"/>
      <c r="ITF1530" s="646"/>
      <c r="ITG1530" s="646"/>
      <c r="ITH1530" s="646"/>
      <c r="ITI1530" s="646"/>
      <c r="ITJ1530" s="646"/>
      <c r="ITK1530" s="646"/>
      <c r="ITL1530" s="646"/>
      <c r="ITM1530" s="646"/>
      <c r="ITN1530" s="646"/>
      <c r="ITO1530" s="646"/>
      <c r="ITP1530" s="646"/>
      <c r="ITQ1530" s="646"/>
      <c r="ITR1530" s="646"/>
      <c r="ITS1530" s="646"/>
      <c r="ITT1530" s="646"/>
      <c r="ITU1530" s="646"/>
      <c r="ITV1530" s="646"/>
      <c r="ITW1530" s="646"/>
      <c r="ITX1530" s="646"/>
      <c r="ITY1530" s="646"/>
      <c r="ITZ1530" s="646"/>
      <c r="IUA1530" s="646"/>
      <c r="IUB1530" s="646"/>
      <c r="IUC1530" s="646"/>
      <c r="IUD1530" s="646"/>
      <c r="IUE1530" s="646"/>
      <c r="IUF1530" s="646"/>
      <c r="IUG1530" s="646"/>
      <c r="IUH1530" s="646"/>
      <c r="IUI1530" s="646"/>
      <c r="IUJ1530" s="646"/>
      <c r="IUK1530" s="646"/>
      <c r="IUL1530" s="646"/>
      <c r="IUM1530" s="646"/>
      <c r="IUN1530" s="646"/>
      <c r="IUO1530" s="646"/>
      <c r="IUP1530" s="646"/>
      <c r="IUQ1530" s="646"/>
      <c r="IUR1530" s="646"/>
      <c r="IUS1530" s="646"/>
      <c r="IUT1530" s="646"/>
      <c r="IUU1530" s="646"/>
      <c r="IUV1530" s="646"/>
      <c r="IUW1530" s="646"/>
      <c r="IUX1530" s="646"/>
      <c r="IUY1530" s="646"/>
      <c r="IUZ1530" s="646"/>
      <c r="IVA1530" s="646"/>
      <c r="IVB1530" s="646"/>
      <c r="IVC1530" s="646"/>
      <c r="IVD1530" s="646"/>
      <c r="IVE1530" s="646"/>
      <c r="IVF1530" s="646"/>
      <c r="IVG1530" s="646"/>
      <c r="IVH1530" s="646"/>
      <c r="IVI1530" s="646"/>
      <c r="IVJ1530" s="646"/>
      <c r="IVK1530" s="646"/>
      <c r="IVL1530" s="646"/>
      <c r="IVM1530" s="646"/>
      <c r="IVN1530" s="646"/>
      <c r="IVO1530" s="646"/>
      <c r="IVP1530" s="646"/>
      <c r="IVQ1530" s="646"/>
      <c r="IVR1530" s="646"/>
      <c r="IVS1530" s="646"/>
      <c r="IVT1530" s="646"/>
      <c r="IVU1530" s="646"/>
      <c r="IVV1530" s="646"/>
      <c r="IVW1530" s="646"/>
      <c r="IVX1530" s="646"/>
      <c r="IVY1530" s="646"/>
      <c r="IVZ1530" s="646"/>
      <c r="IWA1530" s="646"/>
      <c r="IWB1530" s="646"/>
      <c r="IWC1530" s="646"/>
      <c r="IWD1530" s="646"/>
      <c r="IWE1530" s="646"/>
      <c r="IWF1530" s="646"/>
      <c r="IWG1530" s="646"/>
      <c r="IWH1530" s="646"/>
      <c r="IWI1530" s="646"/>
      <c r="IWJ1530" s="646"/>
      <c r="IWK1530" s="646"/>
      <c r="IWL1530" s="646"/>
      <c r="IWM1530" s="646"/>
      <c r="IWN1530" s="646"/>
      <c r="IWO1530" s="646"/>
      <c r="IWP1530" s="646"/>
      <c r="IWQ1530" s="646"/>
      <c r="IWR1530" s="646"/>
      <c r="IWS1530" s="646"/>
      <c r="IWT1530" s="646"/>
      <c r="IWU1530" s="646"/>
      <c r="IWV1530" s="646"/>
      <c r="IWW1530" s="646"/>
      <c r="IWX1530" s="646"/>
      <c r="IWY1530" s="646"/>
      <c r="IWZ1530" s="646"/>
      <c r="IXA1530" s="646"/>
      <c r="IXB1530" s="646"/>
      <c r="IXC1530" s="646"/>
      <c r="IXD1530" s="646"/>
      <c r="IXE1530" s="646"/>
      <c r="IXF1530" s="646"/>
      <c r="IXG1530" s="646"/>
      <c r="IXH1530" s="646"/>
      <c r="IXI1530" s="646"/>
      <c r="IXJ1530" s="646"/>
      <c r="IXK1530" s="646"/>
      <c r="IXL1530" s="646"/>
      <c r="IXM1530" s="646"/>
      <c r="IXN1530" s="646"/>
      <c r="IXO1530" s="646"/>
      <c r="IXP1530" s="646"/>
      <c r="IXQ1530" s="646"/>
      <c r="IXR1530" s="646"/>
      <c r="IXS1530" s="646"/>
      <c r="IXT1530" s="646"/>
      <c r="IXU1530" s="646"/>
      <c r="IXV1530" s="646"/>
      <c r="IXW1530" s="646"/>
      <c r="IXX1530" s="646"/>
      <c r="IXY1530" s="646"/>
      <c r="IXZ1530" s="646"/>
      <c r="IYA1530" s="646"/>
      <c r="IYB1530" s="646"/>
      <c r="IYC1530" s="646"/>
      <c r="IYD1530" s="646"/>
      <c r="IYE1530" s="646"/>
      <c r="IYF1530" s="646"/>
      <c r="IYG1530" s="646"/>
      <c r="IYH1530" s="646"/>
      <c r="IYI1530" s="646"/>
      <c r="IYJ1530" s="646"/>
      <c r="IYK1530" s="646"/>
      <c r="IYL1530" s="646"/>
      <c r="IYM1530" s="646"/>
      <c r="IYN1530" s="646"/>
      <c r="IYO1530" s="646"/>
      <c r="IYP1530" s="646"/>
      <c r="IYQ1530" s="646"/>
      <c r="IYR1530" s="646"/>
      <c r="IYS1530" s="646"/>
      <c r="IYT1530" s="646"/>
      <c r="IYU1530" s="646"/>
      <c r="IYV1530" s="646"/>
      <c r="IYW1530" s="646"/>
      <c r="IYX1530" s="646"/>
      <c r="IYY1530" s="646"/>
      <c r="IYZ1530" s="646"/>
      <c r="IZA1530" s="646"/>
      <c r="IZB1530" s="646"/>
      <c r="IZC1530" s="646"/>
      <c r="IZD1530" s="646"/>
      <c r="IZE1530" s="646"/>
      <c r="IZF1530" s="646"/>
      <c r="IZG1530" s="646"/>
      <c r="IZH1530" s="646"/>
      <c r="IZI1530" s="646"/>
      <c r="IZJ1530" s="646"/>
      <c r="IZK1530" s="646"/>
      <c r="IZL1530" s="646"/>
      <c r="IZM1530" s="646"/>
      <c r="IZN1530" s="646"/>
      <c r="IZO1530" s="646"/>
      <c r="IZP1530" s="646"/>
      <c r="IZQ1530" s="646"/>
      <c r="IZR1530" s="646"/>
      <c r="IZS1530" s="646"/>
      <c r="IZT1530" s="646"/>
      <c r="IZU1530" s="646"/>
      <c r="IZV1530" s="646"/>
      <c r="IZW1530" s="646"/>
      <c r="IZX1530" s="646"/>
      <c r="IZY1530" s="646"/>
      <c r="IZZ1530" s="646"/>
      <c r="JAA1530" s="646"/>
      <c r="JAB1530" s="646"/>
      <c r="JAC1530" s="646"/>
      <c r="JAD1530" s="646"/>
      <c r="JAE1530" s="646"/>
      <c r="JAF1530" s="646"/>
      <c r="JAG1530" s="646"/>
      <c r="JAH1530" s="646"/>
      <c r="JAI1530" s="646"/>
      <c r="JAJ1530" s="646"/>
      <c r="JAK1530" s="646"/>
      <c r="JAL1530" s="646"/>
      <c r="JAM1530" s="646"/>
      <c r="JAN1530" s="646"/>
      <c r="JAO1530" s="646"/>
      <c r="JAP1530" s="646"/>
      <c r="JAQ1530" s="646"/>
      <c r="JAR1530" s="646"/>
      <c r="JAS1530" s="646"/>
      <c r="JAT1530" s="646"/>
      <c r="JAU1530" s="646"/>
      <c r="JAV1530" s="646"/>
      <c r="JAW1530" s="646"/>
      <c r="JAX1530" s="646"/>
      <c r="JAY1530" s="646"/>
      <c r="JAZ1530" s="646"/>
      <c r="JBA1530" s="646"/>
      <c r="JBB1530" s="646"/>
      <c r="JBC1530" s="646"/>
      <c r="JBD1530" s="646"/>
      <c r="JBE1530" s="646"/>
      <c r="JBF1530" s="646"/>
      <c r="JBG1530" s="646"/>
      <c r="JBH1530" s="646"/>
      <c r="JBI1530" s="646"/>
      <c r="JBJ1530" s="646"/>
      <c r="JBK1530" s="646"/>
      <c r="JBL1530" s="646"/>
      <c r="JBM1530" s="646"/>
      <c r="JBN1530" s="646"/>
      <c r="JBO1530" s="646"/>
      <c r="JBP1530" s="646"/>
      <c r="JBQ1530" s="646"/>
      <c r="JBR1530" s="646"/>
      <c r="JBS1530" s="646"/>
      <c r="JBT1530" s="646"/>
      <c r="JBU1530" s="646"/>
      <c r="JBV1530" s="646"/>
      <c r="JBW1530" s="646"/>
      <c r="JBX1530" s="646"/>
      <c r="JBY1530" s="646"/>
      <c r="JBZ1530" s="646"/>
      <c r="JCA1530" s="646"/>
      <c r="JCB1530" s="646"/>
      <c r="JCC1530" s="646"/>
      <c r="JCD1530" s="646"/>
      <c r="JCE1530" s="646"/>
      <c r="JCF1530" s="646"/>
      <c r="JCG1530" s="646"/>
      <c r="JCH1530" s="646"/>
      <c r="JCI1530" s="646"/>
      <c r="JCJ1530" s="646"/>
      <c r="JCK1530" s="646"/>
      <c r="JCL1530" s="646"/>
      <c r="JCM1530" s="646"/>
      <c r="JCN1530" s="646"/>
      <c r="JCO1530" s="646"/>
      <c r="JCP1530" s="646"/>
      <c r="JCQ1530" s="646"/>
      <c r="JCR1530" s="646"/>
      <c r="JCS1530" s="646"/>
      <c r="JCT1530" s="646"/>
      <c r="JCU1530" s="646"/>
      <c r="JCV1530" s="646"/>
      <c r="JCW1530" s="646"/>
      <c r="JCX1530" s="646"/>
      <c r="JCY1530" s="646"/>
      <c r="JCZ1530" s="646"/>
      <c r="JDA1530" s="646"/>
      <c r="JDB1530" s="646"/>
      <c r="JDC1530" s="646"/>
      <c r="JDD1530" s="646"/>
      <c r="JDE1530" s="646"/>
      <c r="JDF1530" s="646"/>
      <c r="JDG1530" s="646"/>
      <c r="JDH1530" s="646"/>
      <c r="JDI1530" s="646"/>
      <c r="JDJ1530" s="646"/>
      <c r="JDK1530" s="646"/>
      <c r="JDL1530" s="646"/>
      <c r="JDM1530" s="646"/>
      <c r="JDN1530" s="646"/>
      <c r="JDO1530" s="646"/>
      <c r="JDP1530" s="646"/>
      <c r="JDQ1530" s="646"/>
      <c r="JDR1530" s="646"/>
      <c r="JDS1530" s="646"/>
      <c r="JDT1530" s="646"/>
      <c r="JDU1530" s="646"/>
      <c r="JDV1530" s="646"/>
      <c r="JDW1530" s="646"/>
      <c r="JDX1530" s="646"/>
      <c r="JDY1530" s="646"/>
      <c r="JDZ1530" s="646"/>
      <c r="JEA1530" s="646"/>
      <c r="JEB1530" s="646"/>
      <c r="JEC1530" s="646"/>
      <c r="JED1530" s="646"/>
      <c r="JEE1530" s="646"/>
      <c r="JEF1530" s="646"/>
      <c r="JEG1530" s="646"/>
      <c r="JEH1530" s="646"/>
      <c r="JEI1530" s="646"/>
      <c r="JEJ1530" s="646"/>
      <c r="JEK1530" s="646"/>
      <c r="JEL1530" s="646"/>
      <c r="JEM1530" s="646"/>
      <c r="JEN1530" s="646"/>
      <c r="JEO1530" s="646"/>
      <c r="JEP1530" s="646"/>
      <c r="JEQ1530" s="646"/>
      <c r="JER1530" s="646"/>
      <c r="JES1530" s="646"/>
      <c r="JET1530" s="646"/>
      <c r="JEU1530" s="646"/>
      <c r="JEV1530" s="646"/>
      <c r="JEW1530" s="646"/>
      <c r="JEX1530" s="646"/>
      <c r="JEY1530" s="646"/>
      <c r="JEZ1530" s="646"/>
      <c r="JFA1530" s="646"/>
      <c r="JFB1530" s="646"/>
      <c r="JFC1530" s="646"/>
      <c r="JFD1530" s="646"/>
      <c r="JFE1530" s="646"/>
      <c r="JFF1530" s="646"/>
      <c r="JFG1530" s="646"/>
      <c r="JFH1530" s="646"/>
      <c r="JFI1530" s="646"/>
      <c r="JFJ1530" s="646"/>
      <c r="JFK1530" s="646"/>
      <c r="JFL1530" s="646"/>
      <c r="JFM1530" s="646"/>
      <c r="JFN1530" s="646"/>
      <c r="JFO1530" s="646"/>
      <c r="JFP1530" s="646"/>
      <c r="JFQ1530" s="646"/>
      <c r="JFR1530" s="646"/>
      <c r="JFS1530" s="646"/>
      <c r="JFT1530" s="646"/>
      <c r="JFU1530" s="646"/>
      <c r="JFV1530" s="646"/>
      <c r="JFW1530" s="646"/>
      <c r="JFX1530" s="646"/>
      <c r="JFY1530" s="646"/>
      <c r="JFZ1530" s="646"/>
      <c r="JGA1530" s="646"/>
      <c r="JGB1530" s="646"/>
      <c r="JGC1530" s="646"/>
      <c r="JGD1530" s="646"/>
      <c r="JGE1530" s="646"/>
      <c r="JGF1530" s="646"/>
      <c r="JGG1530" s="646"/>
      <c r="JGH1530" s="646"/>
      <c r="JGI1530" s="646"/>
      <c r="JGJ1530" s="646"/>
      <c r="JGK1530" s="646"/>
      <c r="JGL1530" s="646"/>
      <c r="JGM1530" s="646"/>
      <c r="JGN1530" s="646"/>
      <c r="JGO1530" s="646"/>
      <c r="JGP1530" s="646"/>
      <c r="JGQ1530" s="646"/>
      <c r="JGR1530" s="646"/>
      <c r="JGS1530" s="646"/>
      <c r="JGT1530" s="646"/>
      <c r="JGU1530" s="646"/>
      <c r="JGV1530" s="646"/>
      <c r="JGW1530" s="646"/>
      <c r="JGX1530" s="646"/>
      <c r="JGY1530" s="646"/>
      <c r="JGZ1530" s="646"/>
      <c r="JHA1530" s="646"/>
      <c r="JHB1530" s="646"/>
      <c r="JHC1530" s="646"/>
      <c r="JHD1530" s="646"/>
      <c r="JHE1530" s="646"/>
      <c r="JHF1530" s="646"/>
      <c r="JHG1530" s="646"/>
      <c r="JHH1530" s="646"/>
      <c r="JHI1530" s="646"/>
      <c r="JHJ1530" s="646"/>
      <c r="JHK1530" s="646"/>
      <c r="JHL1530" s="646"/>
      <c r="JHM1530" s="646"/>
      <c r="JHN1530" s="646"/>
      <c r="JHO1530" s="646"/>
      <c r="JHP1530" s="646"/>
      <c r="JHQ1530" s="646"/>
      <c r="JHR1530" s="646"/>
      <c r="JHS1530" s="646"/>
      <c r="JHT1530" s="646"/>
      <c r="JHU1530" s="646"/>
      <c r="JHV1530" s="646"/>
      <c r="JHW1530" s="646"/>
      <c r="JHX1530" s="646"/>
      <c r="JHY1530" s="646"/>
      <c r="JHZ1530" s="646"/>
      <c r="JIA1530" s="646"/>
      <c r="JIB1530" s="646"/>
      <c r="JIC1530" s="646"/>
      <c r="JID1530" s="646"/>
      <c r="JIE1530" s="646"/>
      <c r="JIF1530" s="646"/>
      <c r="JIG1530" s="646"/>
      <c r="JIH1530" s="646"/>
      <c r="JII1530" s="646"/>
      <c r="JIJ1530" s="646"/>
      <c r="JIK1530" s="646"/>
      <c r="JIL1530" s="646"/>
      <c r="JIM1530" s="646"/>
      <c r="JIN1530" s="646"/>
      <c r="JIO1530" s="646"/>
      <c r="JIP1530" s="646"/>
      <c r="JIQ1530" s="646"/>
      <c r="JIR1530" s="646"/>
      <c r="JIS1530" s="646"/>
      <c r="JIT1530" s="646"/>
      <c r="JIU1530" s="646"/>
      <c r="JIV1530" s="646"/>
      <c r="JIW1530" s="646"/>
      <c r="JIX1530" s="646"/>
      <c r="JIY1530" s="646"/>
      <c r="JIZ1530" s="646"/>
      <c r="JJA1530" s="646"/>
      <c r="JJB1530" s="646"/>
      <c r="JJC1530" s="646"/>
      <c r="JJD1530" s="646"/>
      <c r="JJE1530" s="646"/>
      <c r="JJF1530" s="646"/>
      <c r="JJG1530" s="646"/>
      <c r="JJH1530" s="646"/>
      <c r="JJI1530" s="646"/>
      <c r="JJJ1530" s="646"/>
      <c r="JJK1530" s="646"/>
      <c r="JJL1530" s="646"/>
      <c r="JJM1530" s="646"/>
      <c r="JJN1530" s="646"/>
      <c r="JJO1530" s="646"/>
      <c r="JJP1530" s="646"/>
      <c r="JJQ1530" s="646"/>
      <c r="JJR1530" s="646"/>
      <c r="JJS1530" s="646"/>
      <c r="JJT1530" s="646"/>
      <c r="JJU1530" s="646"/>
      <c r="JJV1530" s="646"/>
      <c r="JJW1530" s="646"/>
      <c r="JJX1530" s="646"/>
      <c r="JJY1530" s="646"/>
      <c r="JJZ1530" s="646"/>
      <c r="JKA1530" s="646"/>
      <c r="JKB1530" s="646"/>
      <c r="JKC1530" s="646"/>
      <c r="JKD1530" s="646"/>
      <c r="JKE1530" s="646"/>
      <c r="JKF1530" s="646"/>
      <c r="JKG1530" s="646"/>
      <c r="JKH1530" s="646"/>
      <c r="JKI1530" s="646"/>
      <c r="JKJ1530" s="646"/>
      <c r="JKK1530" s="646"/>
      <c r="JKL1530" s="646"/>
      <c r="JKM1530" s="646"/>
      <c r="JKN1530" s="646"/>
      <c r="JKO1530" s="646"/>
      <c r="JKP1530" s="646"/>
      <c r="JKQ1530" s="646"/>
      <c r="JKR1530" s="646"/>
      <c r="JKS1530" s="646"/>
      <c r="JKT1530" s="646"/>
      <c r="JKU1530" s="646"/>
      <c r="JKV1530" s="646"/>
      <c r="JKW1530" s="646"/>
      <c r="JKX1530" s="646"/>
      <c r="JKY1530" s="646"/>
      <c r="JKZ1530" s="646"/>
      <c r="JLA1530" s="646"/>
      <c r="JLB1530" s="646"/>
      <c r="JLC1530" s="646"/>
      <c r="JLD1530" s="646"/>
      <c r="JLE1530" s="646"/>
      <c r="JLF1530" s="646"/>
      <c r="JLG1530" s="646"/>
      <c r="JLH1530" s="646"/>
      <c r="JLI1530" s="646"/>
      <c r="JLJ1530" s="646"/>
      <c r="JLK1530" s="646"/>
      <c r="JLL1530" s="646"/>
      <c r="JLM1530" s="646"/>
      <c r="JLN1530" s="646"/>
      <c r="JLO1530" s="646"/>
      <c r="JLP1530" s="646"/>
      <c r="JLQ1530" s="646"/>
      <c r="JLR1530" s="646"/>
      <c r="JLS1530" s="646"/>
      <c r="JLT1530" s="646"/>
      <c r="JLU1530" s="646"/>
      <c r="JLV1530" s="646"/>
      <c r="JLW1530" s="646"/>
      <c r="JLX1530" s="646"/>
      <c r="JLY1530" s="646"/>
      <c r="JLZ1530" s="646"/>
      <c r="JMA1530" s="646"/>
      <c r="JMB1530" s="646"/>
      <c r="JMC1530" s="646"/>
      <c r="JMD1530" s="646"/>
      <c r="JME1530" s="646"/>
      <c r="JMF1530" s="646"/>
      <c r="JMG1530" s="646"/>
      <c r="JMH1530" s="646"/>
      <c r="JMI1530" s="646"/>
      <c r="JMJ1530" s="646"/>
      <c r="JMK1530" s="646"/>
      <c r="JML1530" s="646"/>
      <c r="JMM1530" s="646"/>
      <c r="JMN1530" s="646"/>
      <c r="JMO1530" s="646"/>
      <c r="JMP1530" s="646"/>
      <c r="JMQ1530" s="646"/>
      <c r="JMR1530" s="646"/>
      <c r="JMS1530" s="646"/>
      <c r="JMT1530" s="646"/>
      <c r="JMU1530" s="646"/>
      <c r="JMV1530" s="646"/>
      <c r="JMW1530" s="646"/>
      <c r="JMX1530" s="646"/>
      <c r="JMY1530" s="646"/>
      <c r="JMZ1530" s="646"/>
      <c r="JNA1530" s="646"/>
      <c r="JNB1530" s="646"/>
      <c r="JNC1530" s="646"/>
      <c r="JND1530" s="646"/>
      <c r="JNE1530" s="646"/>
      <c r="JNF1530" s="646"/>
      <c r="JNG1530" s="646"/>
      <c r="JNH1530" s="646"/>
      <c r="JNI1530" s="646"/>
      <c r="JNJ1530" s="646"/>
      <c r="JNK1530" s="646"/>
      <c r="JNL1530" s="646"/>
      <c r="JNM1530" s="646"/>
      <c r="JNN1530" s="646"/>
      <c r="JNO1530" s="646"/>
      <c r="JNP1530" s="646"/>
      <c r="JNQ1530" s="646"/>
      <c r="JNR1530" s="646"/>
      <c r="JNS1530" s="646"/>
      <c r="JNT1530" s="646"/>
      <c r="JNU1530" s="646"/>
      <c r="JNV1530" s="646"/>
      <c r="JNW1530" s="646"/>
      <c r="JNX1530" s="646"/>
      <c r="JNY1530" s="646"/>
      <c r="JNZ1530" s="646"/>
      <c r="JOA1530" s="646"/>
      <c r="JOB1530" s="646"/>
      <c r="JOC1530" s="646"/>
      <c r="JOD1530" s="646"/>
      <c r="JOE1530" s="646"/>
      <c r="JOF1530" s="646"/>
      <c r="JOG1530" s="646"/>
      <c r="JOH1530" s="646"/>
      <c r="JOI1530" s="646"/>
      <c r="JOJ1530" s="646"/>
      <c r="JOK1530" s="646"/>
      <c r="JOL1530" s="646"/>
      <c r="JOM1530" s="646"/>
      <c r="JON1530" s="646"/>
      <c r="JOO1530" s="646"/>
      <c r="JOP1530" s="646"/>
      <c r="JOQ1530" s="646"/>
      <c r="JOR1530" s="646"/>
      <c r="JOS1530" s="646"/>
      <c r="JOT1530" s="646"/>
      <c r="JOU1530" s="646"/>
      <c r="JOV1530" s="646"/>
      <c r="JOW1530" s="646"/>
      <c r="JOX1530" s="646"/>
      <c r="JOY1530" s="646"/>
      <c r="JOZ1530" s="646"/>
      <c r="JPA1530" s="646"/>
      <c r="JPB1530" s="646"/>
      <c r="JPC1530" s="646"/>
      <c r="JPD1530" s="646"/>
      <c r="JPE1530" s="646"/>
      <c r="JPF1530" s="646"/>
      <c r="JPG1530" s="646"/>
      <c r="JPH1530" s="646"/>
      <c r="JPI1530" s="646"/>
      <c r="JPJ1530" s="646"/>
      <c r="JPK1530" s="646"/>
      <c r="JPL1530" s="646"/>
      <c r="JPM1530" s="646"/>
      <c r="JPN1530" s="646"/>
      <c r="JPO1530" s="646"/>
      <c r="JPP1530" s="646"/>
      <c r="JPQ1530" s="646"/>
      <c r="JPR1530" s="646"/>
      <c r="JPS1530" s="646"/>
      <c r="JPT1530" s="646"/>
      <c r="JPU1530" s="646"/>
      <c r="JPV1530" s="646"/>
      <c r="JPW1530" s="646"/>
      <c r="JPX1530" s="646"/>
      <c r="JPY1530" s="646"/>
      <c r="JPZ1530" s="646"/>
      <c r="JQA1530" s="646"/>
      <c r="JQB1530" s="646"/>
      <c r="JQC1530" s="646"/>
      <c r="JQD1530" s="646"/>
      <c r="JQE1530" s="646"/>
      <c r="JQF1530" s="646"/>
      <c r="JQG1530" s="646"/>
      <c r="JQH1530" s="646"/>
      <c r="JQI1530" s="646"/>
      <c r="JQJ1530" s="646"/>
      <c r="JQK1530" s="646"/>
      <c r="JQL1530" s="646"/>
      <c r="JQM1530" s="646"/>
      <c r="JQN1530" s="646"/>
      <c r="JQO1530" s="646"/>
      <c r="JQP1530" s="646"/>
      <c r="JQQ1530" s="646"/>
      <c r="JQR1530" s="646"/>
      <c r="JQS1530" s="646"/>
      <c r="JQT1530" s="646"/>
      <c r="JQU1530" s="646"/>
      <c r="JQV1530" s="646"/>
      <c r="JQW1530" s="646"/>
      <c r="JQX1530" s="646"/>
      <c r="JQY1530" s="646"/>
      <c r="JQZ1530" s="646"/>
      <c r="JRA1530" s="646"/>
      <c r="JRB1530" s="646"/>
      <c r="JRC1530" s="646"/>
      <c r="JRD1530" s="646"/>
      <c r="JRE1530" s="646"/>
      <c r="JRF1530" s="646"/>
      <c r="JRG1530" s="646"/>
      <c r="JRH1530" s="646"/>
      <c r="JRI1530" s="646"/>
      <c r="JRJ1530" s="646"/>
      <c r="JRK1530" s="646"/>
      <c r="JRL1530" s="646"/>
      <c r="JRM1530" s="646"/>
      <c r="JRN1530" s="646"/>
      <c r="JRO1530" s="646"/>
      <c r="JRP1530" s="646"/>
      <c r="JRQ1530" s="646"/>
      <c r="JRR1530" s="646"/>
      <c r="JRS1530" s="646"/>
      <c r="JRT1530" s="646"/>
      <c r="JRU1530" s="646"/>
      <c r="JRV1530" s="646"/>
      <c r="JRW1530" s="646"/>
      <c r="JRX1530" s="646"/>
      <c r="JRY1530" s="646"/>
      <c r="JRZ1530" s="646"/>
      <c r="JSA1530" s="646"/>
      <c r="JSB1530" s="646"/>
      <c r="JSC1530" s="646"/>
      <c r="JSD1530" s="646"/>
      <c r="JSE1530" s="646"/>
      <c r="JSF1530" s="646"/>
      <c r="JSG1530" s="646"/>
      <c r="JSH1530" s="646"/>
      <c r="JSI1530" s="646"/>
      <c r="JSJ1530" s="646"/>
      <c r="JSK1530" s="646"/>
      <c r="JSL1530" s="646"/>
      <c r="JSM1530" s="646"/>
      <c r="JSN1530" s="646"/>
      <c r="JSO1530" s="646"/>
      <c r="JSP1530" s="646"/>
      <c r="JSQ1530" s="646"/>
      <c r="JSR1530" s="646"/>
      <c r="JSS1530" s="646"/>
      <c r="JST1530" s="646"/>
      <c r="JSU1530" s="646"/>
      <c r="JSV1530" s="646"/>
      <c r="JSW1530" s="646"/>
      <c r="JSX1530" s="646"/>
      <c r="JSY1530" s="646"/>
      <c r="JSZ1530" s="646"/>
      <c r="JTA1530" s="646"/>
      <c r="JTB1530" s="646"/>
      <c r="JTC1530" s="646"/>
      <c r="JTD1530" s="646"/>
      <c r="JTE1530" s="646"/>
      <c r="JTF1530" s="646"/>
      <c r="JTG1530" s="646"/>
      <c r="JTH1530" s="646"/>
      <c r="JTI1530" s="646"/>
      <c r="JTJ1530" s="646"/>
      <c r="JTK1530" s="646"/>
      <c r="JTL1530" s="646"/>
      <c r="JTM1530" s="646"/>
      <c r="JTN1530" s="646"/>
      <c r="JTO1530" s="646"/>
      <c r="JTP1530" s="646"/>
      <c r="JTQ1530" s="646"/>
      <c r="JTR1530" s="646"/>
      <c r="JTS1530" s="646"/>
      <c r="JTT1530" s="646"/>
      <c r="JTU1530" s="646"/>
      <c r="JTV1530" s="646"/>
      <c r="JTW1530" s="646"/>
      <c r="JTX1530" s="646"/>
      <c r="JTY1530" s="646"/>
      <c r="JTZ1530" s="646"/>
      <c r="JUA1530" s="646"/>
      <c r="JUB1530" s="646"/>
      <c r="JUC1530" s="646"/>
      <c r="JUD1530" s="646"/>
      <c r="JUE1530" s="646"/>
      <c r="JUF1530" s="646"/>
      <c r="JUG1530" s="646"/>
      <c r="JUH1530" s="646"/>
      <c r="JUI1530" s="646"/>
      <c r="JUJ1530" s="646"/>
      <c r="JUK1530" s="646"/>
      <c r="JUL1530" s="646"/>
      <c r="JUM1530" s="646"/>
      <c r="JUN1530" s="646"/>
      <c r="JUO1530" s="646"/>
      <c r="JUP1530" s="646"/>
      <c r="JUQ1530" s="646"/>
      <c r="JUR1530" s="646"/>
      <c r="JUS1530" s="646"/>
      <c r="JUT1530" s="646"/>
      <c r="JUU1530" s="646"/>
      <c r="JUV1530" s="646"/>
      <c r="JUW1530" s="646"/>
      <c r="JUX1530" s="646"/>
      <c r="JUY1530" s="646"/>
      <c r="JUZ1530" s="646"/>
      <c r="JVA1530" s="646"/>
      <c r="JVB1530" s="646"/>
      <c r="JVC1530" s="646"/>
      <c r="JVD1530" s="646"/>
      <c r="JVE1530" s="646"/>
      <c r="JVF1530" s="646"/>
      <c r="JVG1530" s="646"/>
      <c r="JVH1530" s="646"/>
      <c r="JVI1530" s="646"/>
      <c r="JVJ1530" s="646"/>
      <c r="JVK1530" s="646"/>
      <c r="JVL1530" s="646"/>
      <c r="JVM1530" s="646"/>
      <c r="JVN1530" s="646"/>
      <c r="JVO1530" s="646"/>
      <c r="JVP1530" s="646"/>
      <c r="JVQ1530" s="646"/>
      <c r="JVR1530" s="646"/>
      <c r="JVS1530" s="646"/>
      <c r="JVT1530" s="646"/>
      <c r="JVU1530" s="646"/>
      <c r="JVV1530" s="646"/>
      <c r="JVW1530" s="646"/>
      <c r="JVX1530" s="646"/>
      <c r="JVY1530" s="646"/>
      <c r="JVZ1530" s="646"/>
      <c r="JWA1530" s="646"/>
      <c r="JWB1530" s="646"/>
      <c r="JWC1530" s="646"/>
      <c r="JWD1530" s="646"/>
      <c r="JWE1530" s="646"/>
      <c r="JWF1530" s="646"/>
      <c r="JWG1530" s="646"/>
      <c r="JWH1530" s="646"/>
      <c r="JWI1530" s="646"/>
      <c r="JWJ1530" s="646"/>
      <c r="JWK1530" s="646"/>
      <c r="JWL1530" s="646"/>
      <c r="JWM1530" s="646"/>
      <c r="JWN1530" s="646"/>
      <c r="JWO1530" s="646"/>
      <c r="JWP1530" s="646"/>
      <c r="JWQ1530" s="646"/>
      <c r="JWR1530" s="646"/>
      <c r="JWS1530" s="646"/>
      <c r="JWT1530" s="646"/>
      <c r="JWU1530" s="646"/>
      <c r="JWV1530" s="646"/>
      <c r="JWW1530" s="646"/>
      <c r="JWX1530" s="646"/>
      <c r="JWY1530" s="646"/>
      <c r="JWZ1530" s="646"/>
      <c r="JXA1530" s="646"/>
      <c r="JXB1530" s="646"/>
      <c r="JXC1530" s="646"/>
      <c r="JXD1530" s="646"/>
      <c r="JXE1530" s="646"/>
      <c r="JXF1530" s="646"/>
      <c r="JXG1530" s="646"/>
      <c r="JXH1530" s="646"/>
      <c r="JXI1530" s="646"/>
      <c r="JXJ1530" s="646"/>
      <c r="JXK1530" s="646"/>
      <c r="JXL1530" s="646"/>
      <c r="JXM1530" s="646"/>
      <c r="JXN1530" s="646"/>
      <c r="JXO1530" s="646"/>
      <c r="JXP1530" s="646"/>
      <c r="JXQ1530" s="646"/>
      <c r="JXR1530" s="646"/>
      <c r="JXS1530" s="646"/>
      <c r="JXT1530" s="646"/>
      <c r="JXU1530" s="646"/>
      <c r="JXV1530" s="646"/>
      <c r="JXW1530" s="646"/>
      <c r="JXX1530" s="646"/>
      <c r="JXY1530" s="646"/>
      <c r="JXZ1530" s="646"/>
      <c r="JYA1530" s="646"/>
      <c r="JYB1530" s="646"/>
      <c r="JYC1530" s="646"/>
      <c r="JYD1530" s="646"/>
      <c r="JYE1530" s="646"/>
      <c r="JYF1530" s="646"/>
      <c r="JYG1530" s="646"/>
      <c r="JYH1530" s="646"/>
      <c r="JYI1530" s="646"/>
      <c r="JYJ1530" s="646"/>
      <c r="JYK1530" s="646"/>
      <c r="JYL1530" s="646"/>
      <c r="JYM1530" s="646"/>
      <c r="JYN1530" s="646"/>
      <c r="JYO1530" s="646"/>
      <c r="JYP1530" s="646"/>
      <c r="JYQ1530" s="646"/>
      <c r="JYR1530" s="646"/>
      <c r="JYS1530" s="646"/>
      <c r="JYT1530" s="646"/>
      <c r="JYU1530" s="646"/>
      <c r="JYV1530" s="646"/>
      <c r="JYW1530" s="646"/>
      <c r="JYX1530" s="646"/>
      <c r="JYY1530" s="646"/>
      <c r="JYZ1530" s="646"/>
      <c r="JZA1530" s="646"/>
      <c r="JZB1530" s="646"/>
      <c r="JZC1530" s="646"/>
      <c r="JZD1530" s="646"/>
      <c r="JZE1530" s="646"/>
      <c r="JZF1530" s="646"/>
      <c r="JZG1530" s="646"/>
      <c r="JZH1530" s="646"/>
      <c r="JZI1530" s="646"/>
      <c r="JZJ1530" s="646"/>
      <c r="JZK1530" s="646"/>
      <c r="JZL1530" s="646"/>
      <c r="JZM1530" s="646"/>
      <c r="JZN1530" s="646"/>
      <c r="JZO1530" s="646"/>
      <c r="JZP1530" s="646"/>
      <c r="JZQ1530" s="646"/>
      <c r="JZR1530" s="646"/>
      <c r="JZS1530" s="646"/>
      <c r="JZT1530" s="646"/>
      <c r="JZU1530" s="646"/>
      <c r="JZV1530" s="646"/>
      <c r="JZW1530" s="646"/>
      <c r="JZX1530" s="646"/>
      <c r="JZY1530" s="646"/>
      <c r="JZZ1530" s="646"/>
      <c r="KAA1530" s="646"/>
      <c r="KAB1530" s="646"/>
      <c r="KAC1530" s="646"/>
      <c r="KAD1530" s="646"/>
      <c r="KAE1530" s="646"/>
      <c r="KAF1530" s="646"/>
      <c r="KAG1530" s="646"/>
      <c r="KAH1530" s="646"/>
      <c r="KAI1530" s="646"/>
      <c r="KAJ1530" s="646"/>
      <c r="KAK1530" s="646"/>
      <c r="KAL1530" s="646"/>
      <c r="KAM1530" s="646"/>
      <c r="KAN1530" s="646"/>
      <c r="KAO1530" s="646"/>
      <c r="KAP1530" s="646"/>
      <c r="KAQ1530" s="646"/>
      <c r="KAR1530" s="646"/>
      <c r="KAS1530" s="646"/>
      <c r="KAT1530" s="646"/>
      <c r="KAU1530" s="646"/>
      <c r="KAV1530" s="646"/>
      <c r="KAW1530" s="646"/>
      <c r="KAX1530" s="646"/>
      <c r="KAY1530" s="646"/>
      <c r="KAZ1530" s="646"/>
      <c r="KBA1530" s="646"/>
      <c r="KBB1530" s="646"/>
      <c r="KBC1530" s="646"/>
      <c r="KBD1530" s="646"/>
      <c r="KBE1530" s="646"/>
      <c r="KBF1530" s="646"/>
      <c r="KBG1530" s="646"/>
      <c r="KBH1530" s="646"/>
      <c r="KBI1530" s="646"/>
      <c r="KBJ1530" s="646"/>
      <c r="KBK1530" s="646"/>
      <c r="KBL1530" s="646"/>
      <c r="KBM1530" s="646"/>
      <c r="KBN1530" s="646"/>
      <c r="KBO1530" s="646"/>
      <c r="KBP1530" s="646"/>
      <c r="KBQ1530" s="646"/>
      <c r="KBR1530" s="646"/>
      <c r="KBS1530" s="646"/>
      <c r="KBT1530" s="646"/>
      <c r="KBU1530" s="646"/>
      <c r="KBV1530" s="646"/>
      <c r="KBW1530" s="646"/>
      <c r="KBX1530" s="646"/>
      <c r="KBY1530" s="646"/>
      <c r="KBZ1530" s="646"/>
      <c r="KCA1530" s="646"/>
      <c r="KCB1530" s="646"/>
      <c r="KCC1530" s="646"/>
      <c r="KCD1530" s="646"/>
      <c r="KCE1530" s="646"/>
      <c r="KCF1530" s="646"/>
      <c r="KCG1530" s="646"/>
      <c r="KCH1530" s="646"/>
      <c r="KCI1530" s="646"/>
      <c r="KCJ1530" s="646"/>
      <c r="KCK1530" s="646"/>
      <c r="KCL1530" s="646"/>
      <c r="KCM1530" s="646"/>
      <c r="KCN1530" s="646"/>
      <c r="KCO1530" s="646"/>
      <c r="KCP1530" s="646"/>
      <c r="KCQ1530" s="646"/>
      <c r="KCR1530" s="646"/>
      <c r="KCS1530" s="646"/>
      <c r="KCT1530" s="646"/>
      <c r="KCU1530" s="646"/>
      <c r="KCV1530" s="646"/>
      <c r="KCW1530" s="646"/>
      <c r="KCX1530" s="646"/>
      <c r="KCY1530" s="646"/>
      <c r="KCZ1530" s="646"/>
      <c r="KDA1530" s="646"/>
      <c r="KDB1530" s="646"/>
      <c r="KDC1530" s="646"/>
      <c r="KDD1530" s="646"/>
      <c r="KDE1530" s="646"/>
      <c r="KDF1530" s="646"/>
      <c r="KDG1530" s="646"/>
      <c r="KDH1530" s="646"/>
      <c r="KDI1530" s="646"/>
      <c r="KDJ1530" s="646"/>
      <c r="KDK1530" s="646"/>
      <c r="KDL1530" s="646"/>
      <c r="KDM1530" s="646"/>
      <c r="KDN1530" s="646"/>
      <c r="KDO1530" s="646"/>
      <c r="KDP1530" s="646"/>
      <c r="KDQ1530" s="646"/>
      <c r="KDR1530" s="646"/>
      <c r="KDS1530" s="646"/>
      <c r="KDT1530" s="646"/>
      <c r="KDU1530" s="646"/>
      <c r="KDV1530" s="646"/>
      <c r="KDW1530" s="646"/>
      <c r="KDX1530" s="646"/>
      <c r="KDY1530" s="646"/>
      <c r="KDZ1530" s="646"/>
      <c r="KEA1530" s="646"/>
      <c r="KEB1530" s="646"/>
      <c r="KEC1530" s="646"/>
      <c r="KED1530" s="646"/>
      <c r="KEE1530" s="646"/>
      <c r="KEF1530" s="646"/>
      <c r="KEG1530" s="646"/>
      <c r="KEH1530" s="646"/>
      <c r="KEI1530" s="646"/>
      <c r="KEJ1530" s="646"/>
      <c r="KEK1530" s="646"/>
      <c r="KEL1530" s="646"/>
      <c r="KEM1530" s="646"/>
      <c r="KEN1530" s="646"/>
      <c r="KEO1530" s="646"/>
      <c r="KEP1530" s="646"/>
      <c r="KEQ1530" s="646"/>
      <c r="KER1530" s="646"/>
      <c r="KES1530" s="646"/>
      <c r="KET1530" s="646"/>
      <c r="KEU1530" s="646"/>
      <c r="KEV1530" s="646"/>
      <c r="KEW1530" s="646"/>
      <c r="KEX1530" s="646"/>
      <c r="KEY1530" s="646"/>
      <c r="KEZ1530" s="646"/>
      <c r="KFA1530" s="646"/>
      <c r="KFB1530" s="646"/>
      <c r="KFC1530" s="646"/>
      <c r="KFD1530" s="646"/>
      <c r="KFE1530" s="646"/>
      <c r="KFF1530" s="646"/>
      <c r="KFG1530" s="646"/>
      <c r="KFH1530" s="646"/>
      <c r="KFI1530" s="646"/>
      <c r="KFJ1530" s="646"/>
      <c r="KFK1530" s="646"/>
      <c r="KFL1530" s="646"/>
      <c r="KFM1530" s="646"/>
      <c r="KFN1530" s="646"/>
      <c r="KFO1530" s="646"/>
      <c r="KFP1530" s="646"/>
      <c r="KFQ1530" s="646"/>
      <c r="KFR1530" s="646"/>
      <c r="KFS1530" s="646"/>
      <c r="KFT1530" s="646"/>
      <c r="KFU1530" s="646"/>
      <c r="KFV1530" s="646"/>
      <c r="KFW1530" s="646"/>
      <c r="KFX1530" s="646"/>
      <c r="KFY1530" s="646"/>
      <c r="KFZ1530" s="646"/>
      <c r="KGA1530" s="646"/>
      <c r="KGB1530" s="646"/>
      <c r="KGC1530" s="646"/>
      <c r="KGD1530" s="646"/>
      <c r="KGE1530" s="646"/>
      <c r="KGF1530" s="646"/>
      <c r="KGG1530" s="646"/>
      <c r="KGH1530" s="646"/>
      <c r="KGI1530" s="646"/>
      <c r="KGJ1530" s="646"/>
      <c r="KGK1530" s="646"/>
      <c r="KGL1530" s="646"/>
      <c r="KGM1530" s="646"/>
      <c r="KGN1530" s="646"/>
      <c r="KGO1530" s="646"/>
      <c r="KGP1530" s="646"/>
      <c r="KGQ1530" s="646"/>
      <c r="KGR1530" s="646"/>
      <c r="KGS1530" s="646"/>
      <c r="KGT1530" s="646"/>
      <c r="KGU1530" s="646"/>
      <c r="KGV1530" s="646"/>
      <c r="KGW1530" s="646"/>
      <c r="KGX1530" s="646"/>
      <c r="KGY1530" s="646"/>
      <c r="KGZ1530" s="646"/>
      <c r="KHA1530" s="646"/>
      <c r="KHB1530" s="646"/>
      <c r="KHC1530" s="646"/>
      <c r="KHD1530" s="646"/>
      <c r="KHE1530" s="646"/>
      <c r="KHF1530" s="646"/>
      <c r="KHG1530" s="646"/>
      <c r="KHH1530" s="646"/>
      <c r="KHI1530" s="646"/>
      <c r="KHJ1530" s="646"/>
      <c r="KHK1530" s="646"/>
      <c r="KHL1530" s="646"/>
      <c r="KHM1530" s="646"/>
      <c r="KHN1530" s="646"/>
      <c r="KHO1530" s="646"/>
      <c r="KHP1530" s="646"/>
      <c r="KHQ1530" s="646"/>
      <c r="KHR1530" s="646"/>
      <c r="KHS1530" s="646"/>
      <c r="KHT1530" s="646"/>
      <c r="KHU1530" s="646"/>
      <c r="KHV1530" s="646"/>
      <c r="KHW1530" s="646"/>
      <c r="KHX1530" s="646"/>
      <c r="KHY1530" s="646"/>
      <c r="KHZ1530" s="646"/>
      <c r="KIA1530" s="646"/>
      <c r="KIB1530" s="646"/>
      <c r="KIC1530" s="646"/>
      <c r="KID1530" s="646"/>
      <c r="KIE1530" s="646"/>
      <c r="KIF1530" s="646"/>
      <c r="KIG1530" s="646"/>
      <c r="KIH1530" s="646"/>
      <c r="KII1530" s="646"/>
      <c r="KIJ1530" s="646"/>
      <c r="KIK1530" s="646"/>
      <c r="KIL1530" s="646"/>
      <c r="KIM1530" s="646"/>
      <c r="KIN1530" s="646"/>
      <c r="KIO1530" s="646"/>
      <c r="KIP1530" s="646"/>
      <c r="KIQ1530" s="646"/>
      <c r="KIR1530" s="646"/>
      <c r="KIS1530" s="646"/>
      <c r="KIT1530" s="646"/>
      <c r="KIU1530" s="646"/>
      <c r="KIV1530" s="646"/>
      <c r="KIW1530" s="646"/>
      <c r="KIX1530" s="646"/>
      <c r="KIY1530" s="646"/>
      <c r="KIZ1530" s="646"/>
      <c r="KJA1530" s="646"/>
      <c r="KJB1530" s="646"/>
      <c r="KJC1530" s="646"/>
      <c r="KJD1530" s="646"/>
      <c r="KJE1530" s="646"/>
      <c r="KJF1530" s="646"/>
      <c r="KJG1530" s="646"/>
      <c r="KJH1530" s="646"/>
      <c r="KJI1530" s="646"/>
      <c r="KJJ1530" s="646"/>
      <c r="KJK1530" s="646"/>
      <c r="KJL1530" s="646"/>
      <c r="KJM1530" s="646"/>
      <c r="KJN1530" s="646"/>
      <c r="KJO1530" s="646"/>
      <c r="KJP1530" s="646"/>
      <c r="KJQ1530" s="646"/>
      <c r="KJR1530" s="646"/>
      <c r="KJS1530" s="646"/>
      <c r="KJT1530" s="646"/>
      <c r="KJU1530" s="646"/>
      <c r="KJV1530" s="646"/>
      <c r="KJW1530" s="646"/>
      <c r="KJX1530" s="646"/>
      <c r="KJY1530" s="646"/>
      <c r="KJZ1530" s="646"/>
      <c r="KKA1530" s="646"/>
      <c r="KKB1530" s="646"/>
      <c r="KKC1530" s="646"/>
      <c r="KKD1530" s="646"/>
      <c r="KKE1530" s="646"/>
      <c r="KKF1530" s="646"/>
      <c r="KKG1530" s="646"/>
      <c r="KKH1530" s="646"/>
      <c r="KKI1530" s="646"/>
      <c r="KKJ1530" s="646"/>
      <c r="KKK1530" s="646"/>
      <c r="KKL1530" s="646"/>
      <c r="KKM1530" s="646"/>
      <c r="KKN1530" s="646"/>
      <c r="KKO1530" s="646"/>
      <c r="KKP1530" s="646"/>
      <c r="KKQ1530" s="646"/>
      <c r="KKR1530" s="646"/>
      <c r="KKS1530" s="646"/>
      <c r="KKT1530" s="646"/>
      <c r="KKU1530" s="646"/>
      <c r="KKV1530" s="646"/>
      <c r="KKW1530" s="646"/>
      <c r="KKX1530" s="646"/>
      <c r="KKY1530" s="646"/>
      <c r="KKZ1530" s="646"/>
      <c r="KLA1530" s="646"/>
      <c r="KLB1530" s="646"/>
      <c r="KLC1530" s="646"/>
      <c r="KLD1530" s="646"/>
      <c r="KLE1530" s="646"/>
      <c r="KLF1530" s="646"/>
      <c r="KLG1530" s="646"/>
      <c r="KLH1530" s="646"/>
      <c r="KLI1530" s="646"/>
      <c r="KLJ1530" s="646"/>
      <c r="KLK1530" s="646"/>
      <c r="KLL1530" s="646"/>
      <c r="KLM1530" s="646"/>
      <c r="KLN1530" s="646"/>
      <c r="KLO1530" s="646"/>
      <c r="KLP1530" s="646"/>
      <c r="KLQ1530" s="646"/>
      <c r="KLR1530" s="646"/>
      <c r="KLS1530" s="646"/>
      <c r="KLT1530" s="646"/>
      <c r="KLU1530" s="646"/>
      <c r="KLV1530" s="646"/>
      <c r="KLW1530" s="646"/>
      <c r="KLX1530" s="646"/>
      <c r="KLY1530" s="646"/>
      <c r="KLZ1530" s="646"/>
      <c r="KMA1530" s="646"/>
      <c r="KMB1530" s="646"/>
      <c r="KMC1530" s="646"/>
      <c r="KMD1530" s="646"/>
      <c r="KME1530" s="646"/>
      <c r="KMF1530" s="646"/>
      <c r="KMG1530" s="646"/>
      <c r="KMH1530" s="646"/>
      <c r="KMI1530" s="646"/>
      <c r="KMJ1530" s="646"/>
      <c r="KMK1530" s="646"/>
      <c r="KML1530" s="646"/>
      <c r="KMM1530" s="646"/>
      <c r="KMN1530" s="646"/>
      <c r="KMO1530" s="646"/>
      <c r="KMP1530" s="646"/>
      <c r="KMQ1530" s="646"/>
      <c r="KMR1530" s="646"/>
      <c r="KMS1530" s="646"/>
      <c r="KMT1530" s="646"/>
      <c r="KMU1530" s="646"/>
      <c r="KMV1530" s="646"/>
      <c r="KMW1530" s="646"/>
      <c r="KMX1530" s="646"/>
      <c r="KMY1530" s="646"/>
      <c r="KMZ1530" s="646"/>
      <c r="KNA1530" s="646"/>
      <c r="KNB1530" s="646"/>
      <c r="KNC1530" s="646"/>
      <c r="KND1530" s="646"/>
      <c r="KNE1530" s="646"/>
      <c r="KNF1530" s="646"/>
      <c r="KNG1530" s="646"/>
      <c r="KNH1530" s="646"/>
      <c r="KNI1530" s="646"/>
      <c r="KNJ1530" s="646"/>
      <c r="KNK1530" s="646"/>
      <c r="KNL1530" s="646"/>
      <c r="KNM1530" s="646"/>
      <c r="KNN1530" s="646"/>
      <c r="KNO1530" s="646"/>
      <c r="KNP1530" s="646"/>
      <c r="KNQ1530" s="646"/>
      <c r="KNR1530" s="646"/>
      <c r="KNS1530" s="646"/>
      <c r="KNT1530" s="646"/>
      <c r="KNU1530" s="646"/>
      <c r="KNV1530" s="646"/>
      <c r="KNW1530" s="646"/>
      <c r="KNX1530" s="646"/>
      <c r="KNY1530" s="646"/>
      <c r="KNZ1530" s="646"/>
      <c r="KOA1530" s="646"/>
      <c r="KOB1530" s="646"/>
      <c r="KOC1530" s="646"/>
      <c r="KOD1530" s="646"/>
      <c r="KOE1530" s="646"/>
      <c r="KOF1530" s="646"/>
      <c r="KOG1530" s="646"/>
      <c r="KOH1530" s="646"/>
      <c r="KOI1530" s="646"/>
      <c r="KOJ1530" s="646"/>
      <c r="KOK1530" s="646"/>
      <c r="KOL1530" s="646"/>
      <c r="KOM1530" s="646"/>
      <c r="KON1530" s="646"/>
      <c r="KOO1530" s="646"/>
      <c r="KOP1530" s="646"/>
      <c r="KOQ1530" s="646"/>
      <c r="KOR1530" s="646"/>
      <c r="KOS1530" s="646"/>
      <c r="KOT1530" s="646"/>
      <c r="KOU1530" s="646"/>
      <c r="KOV1530" s="646"/>
      <c r="KOW1530" s="646"/>
      <c r="KOX1530" s="646"/>
      <c r="KOY1530" s="646"/>
      <c r="KOZ1530" s="646"/>
      <c r="KPA1530" s="646"/>
      <c r="KPB1530" s="646"/>
      <c r="KPC1530" s="646"/>
      <c r="KPD1530" s="646"/>
      <c r="KPE1530" s="646"/>
      <c r="KPF1530" s="646"/>
      <c r="KPG1530" s="646"/>
      <c r="KPH1530" s="646"/>
      <c r="KPI1530" s="646"/>
      <c r="KPJ1530" s="646"/>
      <c r="KPK1530" s="646"/>
      <c r="KPL1530" s="646"/>
      <c r="KPM1530" s="646"/>
      <c r="KPN1530" s="646"/>
      <c r="KPO1530" s="646"/>
      <c r="KPP1530" s="646"/>
      <c r="KPQ1530" s="646"/>
      <c r="KPR1530" s="646"/>
      <c r="KPS1530" s="646"/>
      <c r="KPT1530" s="646"/>
      <c r="KPU1530" s="646"/>
      <c r="KPV1530" s="646"/>
      <c r="KPW1530" s="646"/>
      <c r="KPX1530" s="646"/>
      <c r="KPY1530" s="646"/>
      <c r="KPZ1530" s="646"/>
      <c r="KQA1530" s="646"/>
      <c r="KQB1530" s="646"/>
      <c r="KQC1530" s="646"/>
      <c r="KQD1530" s="646"/>
      <c r="KQE1530" s="646"/>
      <c r="KQF1530" s="646"/>
      <c r="KQG1530" s="646"/>
      <c r="KQH1530" s="646"/>
      <c r="KQI1530" s="646"/>
      <c r="KQJ1530" s="646"/>
      <c r="KQK1530" s="646"/>
      <c r="KQL1530" s="646"/>
      <c r="KQM1530" s="646"/>
      <c r="KQN1530" s="646"/>
      <c r="KQO1530" s="646"/>
      <c r="KQP1530" s="646"/>
      <c r="KQQ1530" s="646"/>
      <c r="KQR1530" s="646"/>
      <c r="KQS1530" s="646"/>
      <c r="KQT1530" s="646"/>
      <c r="KQU1530" s="646"/>
      <c r="KQV1530" s="646"/>
      <c r="KQW1530" s="646"/>
      <c r="KQX1530" s="646"/>
      <c r="KQY1530" s="646"/>
      <c r="KQZ1530" s="646"/>
      <c r="KRA1530" s="646"/>
      <c r="KRB1530" s="646"/>
      <c r="KRC1530" s="646"/>
      <c r="KRD1530" s="646"/>
      <c r="KRE1530" s="646"/>
      <c r="KRF1530" s="646"/>
      <c r="KRG1530" s="646"/>
      <c r="KRH1530" s="646"/>
      <c r="KRI1530" s="646"/>
      <c r="KRJ1530" s="646"/>
      <c r="KRK1530" s="646"/>
      <c r="KRL1530" s="646"/>
      <c r="KRM1530" s="646"/>
      <c r="KRN1530" s="646"/>
      <c r="KRO1530" s="646"/>
      <c r="KRP1530" s="646"/>
      <c r="KRQ1530" s="646"/>
      <c r="KRR1530" s="646"/>
      <c r="KRS1530" s="646"/>
      <c r="KRT1530" s="646"/>
      <c r="KRU1530" s="646"/>
      <c r="KRV1530" s="646"/>
      <c r="KRW1530" s="646"/>
      <c r="KRX1530" s="646"/>
      <c r="KRY1530" s="646"/>
      <c r="KRZ1530" s="646"/>
      <c r="KSA1530" s="646"/>
      <c r="KSB1530" s="646"/>
      <c r="KSC1530" s="646"/>
      <c r="KSD1530" s="646"/>
      <c r="KSE1530" s="646"/>
      <c r="KSF1530" s="646"/>
      <c r="KSG1530" s="646"/>
      <c r="KSH1530" s="646"/>
      <c r="KSI1530" s="646"/>
      <c r="KSJ1530" s="646"/>
      <c r="KSK1530" s="646"/>
      <c r="KSL1530" s="646"/>
      <c r="KSM1530" s="646"/>
      <c r="KSN1530" s="646"/>
      <c r="KSO1530" s="646"/>
      <c r="KSP1530" s="646"/>
      <c r="KSQ1530" s="646"/>
      <c r="KSR1530" s="646"/>
      <c r="KSS1530" s="646"/>
      <c r="KST1530" s="646"/>
      <c r="KSU1530" s="646"/>
      <c r="KSV1530" s="646"/>
      <c r="KSW1530" s="646"/>
      <c r="KSX1530" s="646"/>
      <c r="KSY1530" s="646"/>
      <c r="KSZ1530" s="646"/>
      <c r="KTA1530" s="646"/>
      <c r="KTB1530" s="646"/>
      <c r="KTC1530" s="646"/>
      <c r="KTD1530" s="646"/>
      <c r="KTE1530" s="646"/>
      <c r="KTF1530" s="646"/>
      <c r="KTG1530" s="646"/>
      <c r="KTH1530" s="646"/>
      <c r="KTI1530" s="646"/>
      <c r="KTJ1530" s="646"/>
      <c r="KTK1530" s="646"/>
      <c r="KTL1530" s="646"/>
      <c r="KTM1530" s="646"/>
      <c r="KTN1530" s="646"/>
      <c r="KTO1530" s="646"/>
      <c r="KTP1530" s="646"/>
      <c r="KTQ1530" s="646"/>
      <c r="KTR1530" s="646"/>
      <c r="KTS1530" s="646"/>
      <c r="KTT1530" s="646"/>
      <c r="KTU1530" s="646"/>
      <c r="KTV1530" s="646"/>
      <c r="KTW1530" s="646"/>
      <c r="KTX1530" s="646"/>
      <c r="KTY1530" s="646"/>
      <c r="KTZ1530" s="646"/>
      <c r="KUA1530" s="646"/>
      <c r="KUB1530" s="646"/>
      <c r="KUC1530" s="646"/>
      <c r="KUD1530" s="646"/>
      <c r="KUE1530" s="646"/>
      <c r="KUF1530" s="646"/>
      <c r="KUG1530" s="646"/>
      <c r="KUH1530" s="646"/>
      <c r="KUI1530" s="646"/>
      <c r="KUJ1530" s="646"/>
      <c r="KUK1530" s="646"/>
      <c r="KUL1530" s="646"/>
      <c r="KUM1530" s="646"/>
      <c r="KUN1530" s="646"/>
      <c r="KUO1530" s="646"/>
      <c r="KUP1530" s="646"/>
      <c r="KUQ1530" s="646"/>
      <c r="KUR1530" s="646"/>
      <c r="KUS1530" s="646"/>
      <c r="KUT1530" s="646"/>
      <c r="KUU1530" s="646"/>
      <c r="KUV1530" s="646"/>
      <c r="KUW1530" s="646"/>
      <c r="KUX1530" s="646"/>
      <c r="KUY1530" s="646"/>
      <c r="KUZ1530" s="646"/>
      <c r="KVA1530" s="646"/>
      <c r="KVB1530" s="646"/>
      <c r="KVC1530" s="646"/>
      <c r="KVD1530" s="646"/>
      <c r="KVE1530" s="646"/>
      <c r="KVF1530" s="646"/>
      <c r="KVG1530" s="646"/>
      <c r="KVH1530" s="646"/>
      <c r="KVI1530" s="646"/>
      <c r="KVJ1530" s="646"/>
      <c r="KVK1530" s="646"/>
      <c r="KVL1530" s="646"/>
      <c r="KVM1530" s="646"/>
      <c r="KVN1530" s="646"/>
      <c r="KVO1530" s="646"/>
      <c r="KVP1530" s="646"/>
      <c r="KVQ1530" s="646"/>
      <c r="KVR1530" s="646"/>
      <c r="KVS1530" s="646"/>
      <c r="KVT1530" s="646"/>
      <c r="KVU1530" s="646"/>
      <c r="KVV1530" s="646"/>
      <c r="KVW1530" s="646"/>
      <c r="KVX1530" s="646"/>
      <c r="KVY1530" s="646"/>
      <c r="KVZ1530" s="646"/>
      <c r="KWA1530" s="646"/>
      <c r="KWB1530" s="646"/>
      <c r="KWC1530" s="646"/>
      <c r="KWD1530" s="646"/>
      <c r="KWE1530" s="646"/>
      <c r="KWF1530" s="646"/>
      <c r="KWG1530" s="646"/>
      <c r="KWH1530" s="646"/>
      <c r="KWI1530" s="646"/>
      <c r="KWJ1530" s="646"/>
      <c r="KWK1530" s="646"/>
      <c r="KWL1530" s="646"/>
      <c r="KWM1530" s="646"/>
      <c r="KWN1530" s="646"/>
      <c r="KWO1530" s="646"/>
      <c r="KWP1530" s="646"/>
      <c r="KWQ1530" s="646"/>
      <c r="KWR1530" s="646"/>
      <c r="KWS1530" s="646"/>
      <c r="KWT1530" s="646"/>
      <c r="KWU1530" s="646"/>
      <c r="KWV1530" s="646"/>
      <c r="KWW1530" s="646"/>
      <c r="KWX1530" s="646"/>
      <c r="KWY1530" s="646"/>
      <c r="KWZ1530" s="646"/>
      <c r="KXA1530" s="646"/>
      <c r="KXB1530" s="646"/>
      <c r="KXC1530" s="646"/>
      <c r="KXD1530" s="646"/>
      <c r="KXE1530" s="646"/>
      <c r="KXF1530" s="646"/>
      <c r="KXG1530" s="646"/>
      <c r="KXH1530" s="646"/>
      <c r="KXI1530" s="646"/>
      <c r="KXJ1530" s="646"/>
      <c r="KXK1530" s="646"/>
      <c r="KXL1530" s="646"/>
      <c r="KXM1530" s="646"/>
      <c r="KXN1530" s="646"/>
      <c r="KXO1530" s="646"/>
      <c r="KXP1530" s="646"/>
      <c r="KXQ1530" s="646"/>
      <c r="KXR1530" s="646"/>
      <c r="KXS1530" s="646"/>
      <c r="KXT1530" s="646"/>
      <c r="KXU1530" s="646"/>
      <c r="KXV1530" s="646"/>
      <c r="KXW1530" s="646"/>
      <c r="KXX1530" s="646"/>
      <c r="KXY1530" s="646"/>
      <c r="KXZ1530" s="646"/>
      <c r="KYA1530" s="646"/>
      <c r="KYB1530" s="646"/>
      <c r="KYC1530" s="646"/>
      <c r="KYD1530" s="646"/>
      <c r="KYE1530" s="646"/>
      <c r="KYF1530" s="646"/>
      <c r="KYG1530" s="646"/>
      <c r="KYH1530" s="646"/>
      <c r="KYI1530" s="646"/>
      <c r="KYJ1530" s="646"/>
      <c r="KYK1530" s="646"/>
      <c r="KYL1530" s="646"/>
      <c r="KYM1530" s="646"/>
      <c r="KYN1530" s="646"/>
      <c r="KYO1530" s="646"/>
      <c r="KYP1530" s="646"/>
      <c r="KYQ1530" s="646"/>
      <c r="KYR1530" s="646"/>
      <c r="KYS1530" s="646"/>
      <c r="KYT1530" s="646"/>
      <c r="KYU1530" s="646"/>
      <c r="KYV1530" s="646"/>
      <c r="KYW1530" s="646"/>
      <c r="KYX1530" s="646"/>
      <c r="KYY1530" s="646"/>
      <c r="KYZ1530" s="646"/>
      <c r="KZA1530" s="646"/>
      <c r="KZB1530" s="646"/>
      <c r="KZC1530" s="646"/>
      <c r="KZD1530" s="646"/>
      <c r="KZE1530" s="646"/>
      <c r="KZF1530" s="646"/>
      <c r="KZG1530" s="646"/>
      <c r="KZH1530" s="646"/>
      <c r="KZI1530" s="646"/>
      <c r="KZJ1530" s="646"/>
      <c r="KZK1530" s="646"/>
      <c r="KZL1530" s="646"/>
      <c r="KZM1530" s="646"/>
      <c r="KZN1530" s="646"/>
      <c r="KZO1530" s="646"/>
      <c r="KZP1530" s="646"/>
      <c r="KZQ1530" s="646"/>
      <c r="KZR1530" s="646"/>
      <c r="KZS1530" s="646"/>
      <c r="KZT1530" s="646"/>
      <c r="KZU1530" s="646"/>
      <c r="KZV1530" s="646"/>
      <c r="KZW1530" s="646"/>
      <c r="KZX1530" s="646"/>
      <c r="KZY1530" s="646"/>
      <c r="KZZ1530" s="646"/>
      <c r="LAA1530" s="646"/>
      <c r="LAB1530" s="646"/>
      <c r="LAC1530" s="646"/>
      <c r="LAD1530" s="646"/>
      <c r="LAE1530" s="646"/>
      <c r="LAF1530" s="646"/>
      <c r="LAG1530" s="646"/>
      <c r="LAH1530" s="646"/>
      <c r="LAI1530" s="646"/>
      <c r="LAJ1530" s="646"/>
      <c r="LAK1530" s="646"/>
      <c r="LAL1530" s="646"/>
      <c r="LAM1530" s="646"/>
      <c r="LAN1530" s="646"/>
      <c r="LAO1530" s="646"/>
      <c r="LAP1530" s="646"/>
      <c r="LAQ1530" s="646"/>
      <c r="LAR1530" s="646"/>
      <c r="LAS1530" s="646"/>
      <c r="LAT1530" s="646"/>
      <c r="LAU1530" s="646"/>
      <c r="LAV1530" s="646"/>
      <c r="LAW1530" s="646"/>
      <c r="LAX1530" s="646"/>
      <c r="LAY1530" s="646"/>
      <c r="LAZ1530" s="646"/>
      <c r="LBA1530" s="646"/>
      <c r="LBB1530" s="646"/>
      <c r="LBC1530" s="646"/>
      <c r="LBD1530" s="646"/>
      <c r="LBE1530" s="646"/>
      <c r="LBF1530" s="646"/>
      <c r="LBG1530" s="646"/>
      <c r="LBH1530" s="646"/>
      <c r="LBI1530" s="646"/>
      <c r="LBJ1530" s="646"/>
      <c r="LBK1530" s="646"/>
      <c r="LBL1530" s="646"/>
      <c r="LBM1530" s="646"/>
      <c r="LBN1530" s="646"/>
      <c r="LBO1530" s="646"/>
      <c r="LBP1530" s="646"/>
      <c r="LBQ1530" s="646"/>
      <c r="LBR1530" s="646"/>
      <c r="LBS1530" s="646"/>
      <c r="LBT1530" s="646"/>
      <c r="LBU1530" s="646"/>
      <c r="LBV1530" s="646"/>
      <c r="LBW1530" s="646"/>
      <c r="LBX1530" s="646"/>
      <c r="LBY1530" s="646"/>
      <c r="LBZ1530" s="646"/>
      <c r="LCA1530" s="646"/>
      <c r="LCB1530" s="646"/>
      <c r="LCC1530" s="646"/>
      <c r="LCD1530" s="646"/>
      <c r="LCE1530" s="646"/>
      <c r="LCF1530" s="646"/>
      <c r="LCG1530" s="646"/>
      <c r="LCH1530" s="646"/>
      <c r="LCI1530" s="646"/>
      <c r="LCJ1530" s="646"/>
      <c r="LCK1530" s="646"/>
      <c r="LCL1530" s="646"/>
      <c r="LCM1530" s="646"/>
      <c r="LCN1530" s="646"/>
      <c r="LCO1530" s="646"/>
      <c r="LCP1530" s="646"/>
      <c r="LCQ1530" s="646"/>
      <c r="LCR1530" s="646"/>
      <c r="LCS1530" s="646"/>
      <c r="LCT1530" s="646"/>
      <c r="LCU1530" s="646"/>
      <c r="LCV1530" s="646"/>
      <c r="LCW1530" s="646"/>
      <c r="LCX1530" s="646"/>
      <c r="LCY1530" s="646"/>
      <c r="LCZ1530" s="646"/>
      <c r="LDA1530" s="646"/>
      <c r="LDB1530" s="646"/>
      <c r="LDC1530" s="646"/>
      <c r="LDD1530" s="646"/>
      <c r="LDE1530" s="646"/>
      <c r="LDF1530" s="646"/>
      <c r="LDG1530" s="646"/>
      <c r="LDH1530" s="646"/>
      <c r="LDI1530" s="646"/>
      <c r="LDJ1530" s="646"/>
      <c r="LDK1530" s="646"/>
      <c r="LDL1530" s="646"/>
      <c r="LDM1530" s="646"/>
      <c r="LDN1530" s="646"/>
      <c r="LDO1530" s="646"/>
      <c r="LDP1530" s="646"/>
      <c r="LDQ1530" s="646"/>
      <c r="LDR1530" s="646"/>
      <c r="LDS1530" s="646"/>
      <c r="LDT1530" s="646"/>
      <c r="LDU1530" s="646"/>
      <c r="LDV1530" s="646"/>
      <c r="LDW1530" s="646"/>
      <c r="LDX1530" s="646"/>
      <c r="LDY1530" s="646"/>
      <c r="LDZ1530" s="646"/>
      <c r="LEA1530" s="646"/>
      <c r="LEB1530" s="646"/>
      <c r="LEC1530" s="646"/>
      <c r="LED1530" s="646"/>
      <c r="LEE1530" s="646"/>
      <c r="LEF1530" s="646"/>
      <c r="LEG1530" s="646"/>
      <c r="LEH1530" s="646"/>
      <c r="LEI1530" s="646"/>
      <c r="LEJ1530" s="646"/>
      <c r="LEK1530" s="646"/>
      <c r="LEL1530" s="646"/>
      <c r="LEM1530" s="646"/>
      <c r="LEN1530" s="646"/>
      <c r="LEO1530" s="646"/>
      <c r="LEP1530" s="646"/>
      <c r="LEQ1530" s="646"/>
      <c r="LER1530" s="646"/>
      <c r="LES1530" s="646"/>
      <c r="LET1530" s="646"/>
      <c r="LEU1530" s="646"/>
      <c r="LEV1530" s="646"/>
      <c r="LEW1530" s="646"/>
      <c r="LEX1530" s="646"/>
      <c r="LEY1530" s="646"/>
      <c r="LEZ1530" s="646"/>
      <c r="LFA1530" s="646"/>
      <c r="LFB1530" s="646"/>
      <c r="LFC1530" s="646"/>
      <c r="LFD1530" s="646"/>
      <c r="LFE1530" s="646"/>
      <c r="LFF1530" s="646"/>
      <c r="LFG1530" s="646"/>
      <c r="LFH1530" s="646"/>
      <c r="LFI1530" s="646"/>
      <c r="LFJ1530" s="646"/>
      <c r="LFK1530" s="646"/>
      <c r="LFL1530" s="646"/>
      <c r="LFM1530" s="646"/>
      <c r="LFN1530" s="646"/>
      <c r="LFO1530" s="646"/>
      <c r="LFP1530" s="646"/>
      <c r="LFQ1530" s="646"/>
      <c r="LFR1530" s="646"/>
      <c r="LFS1530" s="646"/>
      <c r="LFT1530" s="646"/>
      <c r="LFU1530" s="646"/>
      <c r="LFV1530" s="646"/>
      <c r="LFW1530" s="646"/>
      <c r="LFX1530" s="646"/>
      <c r="LFY1530" s="646"/>
      <c r="LFZ1530" s="646"/>
      <c r="LGA1530" s="646"/>
      <c r="LGB1530" s="646"/>
      <c r="LGC1530" s="646"/>
      <c r="LGD1530" s="646"/>
      <c r="LGE1530" s="646"/>
      <c r="LGF1530" s="646"/>
      <c r="LGG1530" s="646"/>
      <c r="LGH1530" s="646"/>
      <c r="LGI1530" s="646"/>
      <c r="LGJ1530" s="646"/>
      <c r="LGK1530" s="646"/>
      <c r="LGL1530" s="646"/>
      <c r="LGM1530" s="646"/>
      <c r="LGN1530" s="646"/>
      <c r="LGO1530" s="646"/>
      <c r="LGP1530" s="646"/>
      <c r="LGQ1530" s="646"/>
      <c r="LGR1530" s="646"/>
      <c r="LGS1530" s="646"/>
      <c r="LGT1530" s="646"/>
      <c r="LGU1530" s="646"/>
      <c r="LGV1530" s="646"/>
      <c r="LGW1530" s="646"/>
      <c r="LGX1530" s="646"/>
      <c r="LGY1530" s="646"/>
      <c r="LGZ1530" s="646"/>
      <c r="LHA1530" s="646"/>
      <c r="LHB1530" s="646"/>
      <c r="LHC1530" s="646"/>
      <c r="LHD1530" s="646"/>
      <c r="LHE1530" s="646"/>
      <c r="LHF1530" s="646"/>
      <c r="LHG1530" s="646"/>
      <c r="LHH1530" s="646"/>
      <c r="LHI1530" s="646"/>
      <c r="LHJ1530" s="646"/>
      <c r="LHK1530" s="646"/>
      <c r="LHL1530" s="646"/>
      <c r="LHM1530" s="646"/>
      <c r="LHN1530" s="646"/>
      <c r="LHO1530" s="646"/>
      <c r="LHP1530" s="646"/>
      <c r="LHQ1530" s="646"/>
      <c r="LHR1530" s="646"/>
      <c r="LHS1530" s="646"/>
      <c r="LHT1530" s="646"/>
      <c r="LHU1530" s="646"/>
      <c r="LHV1530" s="646"/>
      <c r="LHW1530" s="646"/>
      <c r="LHX1530" s="646"/>
      <c r="LHY1530" s="646"/>
      <c r="LHZ1530" s="646"/>
      <c r="LIA1530" s="646"/>
      <c r="LIB1530" s="646"/>
      <c r="LIC1530" s="646"/>
      <c r="LID1530" s="646"/>
      <c r="LIE1530" s="646"/>
      <c r="LIF1530" s="646"/>
      <c r="LIG1530" s="646"/>
      <c r="LIH1530" s="646"/>
      <c r="LII1530" s="646"/>
      <c r="LIJ1530" s="646"/>
      <c r="LIK1530" s="646"/>
      <c r="LIL1530" s="646"/>
      <c r="LIM1530" s="646"/>
      <c r="LIN1530" s="646"/>
      <c r="LIO1530" s="646"/>
      <c r="LIP1530" s="646"/>
      <c r="LIQ1530" s="646"/>
      <c r="LIR1530" s="646"/>
      <c r="LIS1530" s="646"/>
      <c r="LIT1530" s="646"/>
      <c r="LIU1530" s="646"/>
      <c r="LIV1530" s="646"/>
      <c r="LIW1530" s="646"/>
      <c r="LIX1530" s="646"/>
      <c r="LIY1530" s="646"/>
      <c r="LIZ1530" s="646"/>
      <c r="LJA1530" s="646"/>
      <c r="LJB1530" s="646"/>
      <c r="LJC1530" s="646"/>
      <c r="LJD1530" s="646"/>
      <c r="LJE1530" s="646"/>
      <c r="LJF1530" s="646"/>
      <c r="LJG1530" s="646"/>
      <c r="LJH1530" s="646"/>
      <c r="LJI1530" s="646"/>
      <c r="LJJ1530" s="646"/>
      <c r="LJK1530" s="646"/>
      <c r="LJL1530" s="646"/>
      <c r="LJM1530" s="646"/>
      <c r="LJN1530" s="646"/>
      <c r="LJO1530" s="646"/>
      <c r="LJP1530" s="646"/>
      <c r="LJQ1530" s="646"/>
      <c r="LJR1530" s="646"/>
      <c r="LJS1530" s="646"/>
      <c r="LJT1530" s="646"/>
      <c r="LJU1530" s="646"/>
      <c r="LJV1530" s="646"/>
      <c r="LJW1530" s="646"/>
      <c r="LJX1530" s="646"/>
      <c r="LJY1530" s="646"/>
      <c r="LJZ1530" s="646"/>
      <c r="LKA1530" s="646"/>
      <c r="LKB1530" s="646"/>
      <c r="LKC1530" s="646"/>
      <c r="LKD1530" s="646"/>
      <c r="LKE1530" s="646"/>
      <c r="LKF1530" s="646"/>
      <c r="LKG1530" s="646"/>
      <c r="LKH1530" s="646"/>
      <c r="LKI1530" s="646"/>
      <c r="LKJ1530" s="646"/>
      <c r="LKK1530" s="646"/>
      <c r="LKL1530" s="646"/>
      <c r="LKM1530" s="646"/>
      <c r="LKN1530" s="646"/>
      <c r="LKO1530" s="646"/>
      <c r="LKP1530" s="646"/>
      <c r="LKQ1530" s="646"/>
      <c r="LKR1530" s="646"/>
      <c r="LKS1530" s="646"/>
      <c r="LKT1530" s="646"/>
      <c r="LKU1530" s="646"/>
      <c r="LKV1530" s="646"/>
      <c r="LKW1530" s="646"/>
      <c r="LKX1530" s="646"/>
      <c r="LKY1530" s="646"/>
      <c r="LKZ1530" s="646"/>
      <c r="LLA1530" s="646"/>
      <c r="LLB1530" s="646"/>
      <c r="LLC1530" s="646"/>
      <c r="LLD1530" s="646"/>
      <c r="LLE1530" s="646"/>
      <c r="LLF1530" s="646"/>
      <c r="LLG1530" s="646"/>
      <c r="LLH1530" s="646"/>
      <c r="LLI1530" s="646"/>
      <c r="LLJ1530" s="646"/>
      <c r="LLK1530" s="646"/>
      <c r="LLL1530" s="646"/>
      <c r="LLM1530" s="646"/>
      <c r="LLN1530" s="646"/>
      <c r="LLO1530" s="646"/>
      <c r="LLP1530" s="646"/>
      <c r="LLQ1530" s="646"/>
      <c r="LLR1530" s="646"/>
      <c r="LLS1530" s="646"/>
      <c r="LLT1530" s="646"/>
      <c r="LLU1530" s="646"/>
      <c r="LLV1530" s="646"/>
      <c r="LLW1530" s="646"/>
      <c r="LLX1530" s="646"/>
      <c r="LLY1530" s="646"/>
      <c r="LLZ1530" s="646"/>
      <c r="LMA1530" s="646"/>
      <c r="LMB1530" s="646"/>
      <c r="LMC1530" s="646"/>
      <c r="LMD1530" s="646"/>
      <c r="LME1530" s="646"/>
      <c r="LMF1530" s="646"/>
      <c r="LMG1530" s="646"/>
      <c r="LMH1530" s="646"/>
      <c r="LMI1530" s="646"/>
      <c r="LMJ1530" s="646"/>
      <c r="LMK1530" s="646"/>
      <c r="LML1530" s="646"/>
      <c r="LMM1530" s="646"/>
      <c r="LMN1530" s="646"/>
      <c r="LMO1530" s="646"/>
      <c r="LMP1530" s="646"/>
      <c r="LMQ1530" s="646"/>
      <c r="LMR1530" s="646"/>
      <c r="LMS1530" s="646"/>
      <c r="LMT1530" s="646"/>
      <c r="LMU1530" s="646"/>
      <c r="LMV1530" s="646"/>
      <c r="LMW1530" s="646"/>
      <c r="LMX1530" s="646"/>
      <c r="LMY1530" s="646"/>
      <c r="LMZ1530" s="646"/>
      <c r="LNA1530" s="646"/>
      <c r="LNB1530" s="646"/>
      <c r="LNC1530" s="646"/>
      <c r="LND1530" s="646"/>
      <c r="LNE1530" s="646"/>
      <c r="LNF1530" s="646"/>
      <c r="LNG1530" s="646"/>
      <c r="LNH1530" s="646"/>
      <c r="LNI1530" s="646"/>
      <c r="LNJ1530" s="646"/>
      <c r="LNK1530" s="646"/>
      <c r="LNL1530" s="646"/>
      <c r="LNM1530" s="646"/>
      <c r="LNN1530" s="646"/>
      <c r="LNO1530" s="646"/>
      <c r="LNP1530" s="646"/>
      <c r="LNQ1530" s="646"/>
      <c r="LNR1530" s="646"/>
      <c r="LNS1530" s="646"/>
      <c r="LNT1530" s="646"/>
      <c r="LNU1530" s="646"/>
      <c r="LNV1530" s="646"/>
      <c r="LNW1530" s="646"/>
      <c r="LNX1530" s="646"/>
      <c r="LNY1530" s="646"/>
      <c r="LNZ1530" s="646"/>
      <c r="LOA1530" s="646"/>
      <c r="LOB1530" s="646"/>
      <c r="LOC1530" s="646"/>
      <c r="LOD1530" s="646"/>
      <c r="LOE1530" s="646"/>
      <c r="LOF1530" s="646"/>
      <c r="LOG1530" s="646"/>
      <c r="LOH1530" s="646"/>
      <c r="LOI1530" s="646"/>
      <c r="LOJ1530" s="646"/>
      <c r="LOK1530" s="646"/>
      <c r="LOL1530" s="646"/>
      <c r="LOM1530" s="646"/>
      <c r="LON1530" s="646"/>
      <c r="LOO1530" s="646"/>
      <c r="LOP1530" s="646"/>
      <c r="LOQ1530" s="646"/>
      <c r="LOR1530" s="646"/>
      <c r="LOS1530" s="646"/>
      <c r="LOT1530" s="646"/>
      <c r="LOU1530" s="646"/>
      <c r="LOV1530" s="646"/>
      <c r="LOW1530" s="646"/>
      <c r="LOX1530" s="646"/>
      <c r="LOY1530" s="646"/>
      <c r="LOZ1530" s="646"/>
      <c r="LPA1530" s="646"/>
      <c r="LPB1530" s="646"/>
      <c r="LPC1530" s="646"/>
      <c r="LPD1530" s="646"/>
      <c r="LPE1530" s="646"/>
      <c r="LPF1530" s="646"/>
      <c r="LPG1530" s="646"/>
      <c r="LPH1530" s="646"/>
      <c r="LPI1530" s="646"/>
      <c r="LPJ1530" s="646"/>
      <c r="LPK1530" s="646"/>
      <c r="LPL1530" s="646"/>
      <c r="LPM1530" s="646"/>
      <c r="LPN1530" s="646"/>
      <c r="LPO1530" s="646"/>
      <c r="LPP1530" s="646"/>
      <c r="LPQ1530" s="646"/>
      <c r="LPR1530" s="646"/>
      <c r="LPS1530" s="646"/>
      <c r="LPT1530" s="646"/>
      <c r="LPU1530" s="646"/>
      <c r="LPV1530" s="646"/>
      <c r="LPW1530" s="646"/>
      <c r="LPX1530" s="646"/>
      <c r="LPY1530" s="646"/>
      <c r="LPZ1530" s="646"/>
      <c r="LQA1530" s="646"/>
      <c r="LQB1530" s="646"/>
      <c r="LQC1530" s="646"/>
      <c r="LQD1530" s="646"/>
      <c r="LQE1530" s="646"/>
      <c r="LQF1530" s="646"/>
      <c r="LQG1530" s="646"/>
      <c r="LQH1530" s="646"/>
      <c r="LQI1530" s="646"/>
      <c r="LQJ1530" s="646"/>
      <c r="LQK1530" s="646"/>
      <c r="LQL1530" s="646"/>
      <c r="LQM1530" s="646"/>
      <c r="LQN1530" s="646"/>
      <c r="LQO1530" s="646"/>
      <c r="LQP1530" s="646"/>
      <c r="LQQ1530" s="646"/>
      <c r="LQR1530" s="646"/>
      <c r="LQS1530" s="646"/>
      <c r="LQT1530" s="646"/>
      <c r="LQU1530" s="646"/>
      <c r="LQV1530" s="646"/>
      <c r="LQW1530" s="646"/>
      <c r="LQX1530" s="646"/>
      <c r="LQY1530" s="646"/>
      <c r="LQZ1530" s="646"/>
      <c r="LRA1530" s="646"/>
      <c r="LRB1530" s="646"/>
      <c r="LRC1530" s="646"/>
      <c r="LRD1530" s="646"/>
      <c r="LRE1530" s="646"/>
      <c r="LRF1530" s="646"/>
      <c r="LRG1530" s="646"/>
      <c r="LRH1530" s="646"/>
      <c r="LRI1530" s="646"/>
      <c r="LRJ1530" s="646"/>
      <c r="LRK1530" s="646"/>
      <c r="LRL1530" s="646"/>
      <c r="LRM1530" s="646"/>
      <c r="LRN1530" s="646"/>
      <c r="LRO1530" s="646"/>
      <c r="LRP1530" s="646"/>
      <c r="LRQ1530" s="646"/>
      <c r="LRR1530" s="646"/>
      <c r="LRS1530" s="646"/>
      <c r="LRT1530" s="646"/>
      <c r="LRU1530" s="646"/>
      <c r="LRV1530" s="646"/>
      <c r="LRW1530" s="646"/>
      <c r="LRX1530" s="646"/>
      <c r="LRY1530" s="646"/>
      <c r="LRZ1530" s="646"/>
      <c r="LSA1530" s="646"/>
      <c r="LSB1530" s="646"/>
      <c r="LSC1530" s="646"/>
      <c r="LSD1530" s="646"/>
      <c r="LSE1530" s="646"/>
      <c r="LSF1530" s="646"/>
      <c r="LSG1530" s="646"/>
      <c r="LSH1530" s="646"/>
      <c r="LSI1530" s="646"/>
      <c r="LSJ1530" s="646"/>
      <c r="LSK1530" s="646"/>
      <c r="LSL1530" s="646"/>
      <c r="LSM1530" s="646"/>
      <c r="LSN1530" s="646"/>
      <c r="LSO1530" s="646"/>
      <c r="LSP1530" s="646"/>
      <c r="LSQ1530" s="646"/>
      <c r="LSR1530" s="646"/>
      <c r="LSS1530" s="646"/>
      <c r="LST1530" s="646"/>
      <c r="LSU1530" s="646"/>
      <c r="LSV1530" s="646"/>
      <c r="LSW1530" s="646"/>
      <c r="LSX1530" s="646"/>
      <c r="LSY1530" s="646"/>
      <c r="LSZ1530" s="646"/>
      <c r="LTA1530" s="646"/>
      <c r="LTB1530" s="646"/>
      <c r="LTC1530" s="646"/>
      <c r="LTD1530" s="646"/>
      <c r="LTE1530" s="646"/>
      <c r="LTF1530" s="646"/>
      <c r="LTG1530" s="646"/>
      <c r="LTH1530" s="646"/>
      <c r="LTI1530" s="646"/>
      <c r="LTJ1530" s="646"/>
      <c r="LTK1530" s="646"/>
      <c r="LTL1530" s="646"/>
      <c r="LTM1530" s="646"/>
      <c r="LTN1530" s="646"/>
      <c r="LTO1530" s="646"/>
      <c r="LTP1530" s="646"/>
      <c r="LTQ1530" s="646"/>
      <c r="LTR1530" s="646"/>
      <c r="LTS1530" s="646"/>
      <c r="LTT1530" s="646"/>
      <c r="LTU1530" s="646"/>
      <c r="LTV1530" s="646"/>
      <c r="LTW1530" s="646"/>
      <c r="LTX1530" s="646"/>
      <c r="LTY1530" s="646"/>
      <c r="LTZ1530" s="646"/>
      <c r="LUA1530" s="646"/>
      <c r="LUB1530" s="646"/>
      <c r="LUC1530" s="646"/>
      <c r="LUD1530" s="646"/>
      <c r="LUE1530" s="646"/>
      <c r="LUF1530" s="646"/>
      <c r="LUG1530" s="646"/>
      <c r="LUH1530" s="646"/>
      <c r="LUI1530" s="646"/>
      <c r="LUJ1530" s="646"/>
      <c r="LUK1530" s="646"/>
      <c r="LUL1530" s="646"/>
      <c r="LUM1530" s="646"/>
      <c r="LUN1530" s="646"/>
      <c r="LUO1530" s="646"/>
      <c r="LUP1530" s="646"/>
      <c r="LUQ1530" s="646"/>
      <c r="LUR1530" s="646"/>
      <c r="LUS1530" s="646"/>
      <c r="LUT1530" s="646"/>
      <c r="LUU1530" s="646"/>
      <c r="LUV1530" s="646"/>
      <c r="LUW1530" s="646"/>
      <c r="LUX1530" s="646"/>
      <c r="LUY1530" s="646"/>
      <c r="LUZ1530" s="646"/>
      <c r="LVA1530" s="646"/>
      <c r="LVB1530" s="646"/>
      <c r="LVC1530" s="646"/>
      <c r="LVD1530" s="646"/>
      <c r="LVE1530" s="646"/>
      <c r="LVF1530" s="646"/>
      <c r="LVG1530" s="646"/>
      <c r="LVH1530" s="646"/>
      <c r="LVI1530" s="646"/>
      <c r="LVJ1530" s="646"/>
      <c r="LVK1530" s="646"/>
      <c r="LVL1530" s="646"/>
      <c r="LVM1530" s="646"/>
      <c r="LVN1530" s="646"/>
      <c r="LVO1530" s="646"/>
      <c r="LVP1530" s="646"/>
      <c r="LVQ1530" s="646"/>
      <c r="LVR1530" s="646"/>
      <c r="LVS1530" s="646"/>
      <c r="LVT1530" s="646"/>
      <c r="LVU1530" s="646"/>
      <c r="LVV1530" s="646"/>
      <c r="LVW1530" s="646"/>
      <c r="LVX1530" s="646"/>
      <c r="LVY1530" s="646"/>
      <c r="LVZ1530" s="646"/>
      <c r="LWA1530" s="646"/>
      <c r="LWB1530" s="646"/>
      <c r="LWC1530" s="646"/>
      <c r="LWD1530" s="646"/>
      <c r="LWE1530" s="646"/>
      <c r="LWF1530" s="646"/>
      <c r="LWG1530" s="646"/>
      <c r="LWH1530" s="646"/>
      <c r="LWI1530" s="646"/>
      <c r="LWJ1530" s="646"/>
      <c r="LWK1530" s="646"/>
      <c r="LWL1530" s="646"/>
      <c r="LWM1530" s="646"/>
      <c r="LWN1530" s="646"/>
      <c r="LWO1530" s="646"/>
      <c r="LWP1530" s="646"/>
      <c r="LWQ1530" s="646"/>
      <c r="LWR1530" s="646"/>
      <c r="LWS1530" s="646"/>
      <c r="LWT1530" s="646"/>
      <c r="LWU1530" s="646"/>
      <c r="LWV1530" s="646"/>
      <c r="LWW1530" s="646"/>
      <c r="LWX1530" s="646"/>
      <c r="LWY1530" s="646"/>
      <c r="LWZ1530" s="646"/>
      <c r="LXA1530" s="646"/>
      <c r="LXB1530" s="646"/>
      <c r="LXC1530" s="646"/>
      <c r="LXD1530" s="646"/>
      <c r="LXE1530" s="646"/>
      <c r="LXF1530" s="646"/>
      <c r="LXG1530" s="646"/>
      <c r="LXH1530" s="646"/>
      <c r="LXI1530" s="646"/>
      <c r="LXJ1530" s="646"/>
      <c r="LXK1530" s="646"/>
      <c r="LXL1530" s="646"/>
      <c r="LXM1530" s="646"/>
      <c r="LXN1530" s="646"/>
      <c r="LXO1530" s="646"/>
      <c r="LXP1530" s="646"/>
      <c r="LXQ1530" s="646"/>
      <c r="LXR1530" s="646"/>
      <c r="LXS1530" s="646"/>
      <c r="LXT1530" s="646"/>
      <c r="LXU1530" s="646"/>
      <c r="LXV1530" s="646"/>
      <c r="LXW1530" s="646"/>
      <c r="LXX1530" s="646"/>
      <c r="LXY1530" s="646"/>
      <c r="LXZ1530" s="646"/>
      <c r="LYA1530" s="646"/>
      <c r="LYB1530" s="646"/>
      <c r="LYC1530" s="646"/>
      <c r="LYD1530" s="646"/>
      <c r="LYE1530" s="646"/>
      <c r="LYF1530" s="646"/>
      <c r="LYG1530" s="646"/>
      <c r="LYH1530" s="646"/>
      <c r="LYI1530" s="646"/>
      <c r="LYJ1530" s="646"/>
      <c r="LYK1530" s="646"/>
      <c r="LYL1530" s="646"/>
      <c r="LYM1530" s="646"/>
      <c r="LYN1530" s="646"/>
      <c r="LYO1530" s="646"/>
      <c r="LYP1530" s="646"/>
      <c r="LYQ1530" s="646"/>
      <c r="LYR1530" s="646"/>
      <c r="LYS1530" s="646"/>
      <c r="LYT1530" s="646"/>
      <c r="LYU1530" s="646"/>
      <c r="LYV1530" s="646"/>
      <c r="LYW1530" s="646"/>
      <c r="LYX1530" s="646"/>
      <c r="LYY1530" s="646"/>
      <c r="LYZ1530" s="646"/>
      <c r="LZA1530" s="646"/>
      <c r="LZB1530" s="646"/>
      <c r="LZC1530" s="646"/>
      <c r="LZD1530" s="646"/>
      <c r="LZE1530" s="646"/>
      <c r="LZF1530" s="646"/>
      <c r="LZG1530" s="646"/>
      <c r="LZH1530" s="646"/>
      <c r="LZI1530" s="646"/>
      <c r="LZJ1530" s="646"/>
      <c r="LZK1530" s="646"/>
      <c r="LZL1530" s="646"/>
      <c r="LZM1530" s="646"/>
      <c r="LZN1530" s="646"/>
      <c r="LZO1530" s="646"/>
      <c r="LZP1530" s="646"/>
      <c r="LZQ1530" s="646"/>
      <c r="LZR1530" s="646"/>
      <c r="LZS1530" s="646"/>
      <c r="LZT1530" s="646"/>
      <c r="LZU1530" s="646"/>
      <c r="LZV1530" s="646"/>
      <c r="LZW1530" s="646"/>
      <c r="LZX1530" s="646"/>
      <c r="LZY1530" s="646"/>
      <c r="LZZ1530" s="646"/>
      <c r="MAA1530" s="646"/>
      <c r="MAB1530" s="646"/>
      <c r="MAC1530" s="646"/>
      <c r="MAD1530" s="646"/>
      <c r="MAE1530" s="646"/>
      <c r="MAF1530" s="646"/>
      <c r="MAG1530" s="646"/>
      <c r="MAH1530" s="646"/>
      <c r="MAI1530" s="646"/>
      <c r="MAJ1530" s="646"/>
      <c r="MAK1530" s="646"/>
      <c r="MAL1530" s="646"/>
      <c r="MAM1530" s="646"/>
      <c r="MAN1530" s="646"/>
      <c r="MAO1530" s="646"/>
      <c r="MAP1530" s="646"/>
      <c r="MAQ1530" s="646"/>
      <c r="MAR1530" s="646"/>
      <c r="MAS1530" s="646"/>
      <c r="MAT1530" s="646"/>
      <c r="MAU1530" s="646"/>
      <c r="MAV1530" s="646"/>
      <c r="MAW1530" s="646"/>
      <c r="MAX1530" s="646"/>
      <c r="MAY1530" s="646"/>
      <c r="MAZ1530" s="646"/>
      <c r="MBA1530" s="646"/>
      <c r="MBB1530" s="646"/>
      <c r="MBC1530" s="646"/>
      <c r="MBD1530" s="646"/>
      <c r="MBE1530" s="646"/>
      <c r="MBF1530" s="646"/>
      <c r="MBG1530" s="646"/>
      <c r="MBH1530" s="646"/>
      <c r="MBI1530" s="646"/>
      <c r="MBJ1530" s="646"/>
      <c r="MBK1530" s="646"/>
      <c r="MBL1530" s="646"/>
      <c r="MBM1530" s="646"/>
      <c r="MBN1530" s="646"/>
      <c r="MBO1530" s="646"/>
      <c r="MBP1530" s="646"/>
      <c r="MBQ1530" s="646"/>
      <c r="MBR1530" s="646"/>
      <c r="MBS1530" s="646"/>
      <c r="MBT1530" s="646"/>
      <c r="MBU1530" s="646"/>
      <c r="MBV1530" s="646"/>
      <c r="MBW1530" s="646"/>
      <c r="MBX1530" s="646"/>
      <c r="MBY1530" s="646"/>
      <c r="MBZ1530" s="646"/>
      <c r="MCA1530" s="646"/>
      <c r="MCB1530" s="646"/>
      <c r="MCC1530" s="646"/>
      <c r="MCD1530" s="646"/>
      <c r="MCE1530" s="646"/>
      <c r="MCF1530" s="646"/>
      <c r="MCG1530" s="646"/>
      <c r="MCH1530" s="646"/>
      <c r="MCI1530" s="646"/>
      <c r="MCJ1530" s="646"/>
      <c r="MCK1530" s="646"/>
      <c r="MCL1530" s="646"/>
      <c r="MCM1530" s="646"/>
      <c r="MCN1530" s="646"/>
      <c r="MCO1530" s="646"/>
      <c r="MCP1530" s="646"/>
      <c r="MCQ1530" s="646"/>
      <c r="MCR1530" s="646"/>
      <c r="MCS1530" s="646"/>
      <c r="MCT1530" s="646"/>
      <c r="MCU1530" s="646"/>
      <c r="MCV1530" s="646"/>
      <c r="MCW1530" s="646"/>
      <c r="MCX1530" s="646"/>
      <c r="MCY1530" s="646"/>
      <c r="MCZ1530" s="646"/>
      <c r="MDA1530" s="646"/>
      <c r="MDB1530" s="646"/>
      <c r="MDC1530" s="646"/>
      <c r="MDD1530" s="646"/>
      <c r="MDE1530" s="646"/>
      <c r="MDF1530" s="646"/>
      <c r="MDG1530" s="646"/>
      <c r="MDH1530" s="646"/>
      <c r="MDI1530" s="646"/>
      <c r="MDJ1530" s="646"/>
      <c r="MDK1530" s="646"/>
      <c r="MDL1530" s="646"/>
      <c r="MDM1530" s="646"/>
      <c r="MDN1530" s="646"/>
      <c r="MDO1530" s="646"/>
      <c r="MDP1530" s="646"/>
      <c r="MDQ1530" s="646"/>
      <c r="MDR1530" s="646"/>
      <c r="MDS1530" s="646"/>
      <c r="MDT1530" s="646"/>
      <c r="MDU1530" s="646"/>
      <c r="MDV1530" s="646"/>
      <c r="MDW1530" s="646"/>
      <c r="MDX1530" s="646"/>
      <c r="MDY1530" s="646"/>
      <c r="MDZ1530" s="646"/>
      <c r="MEA1530" s="646"/>
      <c r="MEB1530" s="646"/>
      <c r="MEC1530" s="646"/>
      <c r="MED1530" s="646"/>
      <c r="MEE1530" s="646"/>
      <c r="MEF1530" s="646"/>
      <c r="MEG1530" s="646"/>
      <c r="MEH1530" s="646"/>
      <c r="MEI1530" s="646"/>
      <c r="MEJ1530" s="646"/>
      <c r="MEK1530" s="646"/>
      <c r="MEL1530" s="646"/>
      <c r="MEM1530" s="646"/>
      <c r="MEN1530" s="646"/>
      <c r="MEO1530" s="646"/>
      <c r="MEP1530" s="646"/>
      <c r="MEQ1530" s="646"/>
      <c r="MER1530" s="646"/>
      <c r="MES1530" s="646"/>
      <c r="MET1530" s="646"/>
      <c r="MEU1530" s="646"/>
      <c r="MEV1530" s="646"/>
      <c r="MEW1530" s="646"/>
      <c r="MEX1530" s="646"/>
      <c r="MEY1530" s="646"/>
      <c r="MEZ1530" s="646"/>
      <c r="MFA1530" s="646"/>
      <c r="MFB1530" s="646"/>
      <c r="MFC1530" s="646"/>
      <c r="MFD1530" s="646"/>
      <c r="MFE1530" s="646"/>
      <c r="MFF1530" s="646"/>
      <c r="MFG1530" s="646"/>
      <c r="MFH1530" s="646"/>
      <c r="MFI1530" s="646"/>
      <c r="MFJ1530" s="646"/>
      <c r="MFK1530" s="646"/>
      <c r="MFL1530" s="646"/>
      <c r="MFM1530" s="646"/>
      <c r="MFN1530" s="646"/>
      <c r="MFO1530" s="646"/>
      <c r="MFP1530" s="646"/>
      <c r="MFQ1530" s="646"/>
      <c r="MFR1530" s="646"/>
      <c r="MFS1530" s="646"/>
      <c r="MFT1530" s="646"/>
      <c r="MFU1530" s="646"/>
      <c r="MFV1530" s="646"/>
      <c r="MFW1530" s="646"/>
      <c r="MFX1530" s="646"/>
      <c r="MFY1530" s="646"/>
      <c r="MFZ1530" s="646"/>
      <c r="MGA1530" s="646"/>
      <c r="MGB1530" s="646"/>
      <c r="MGC1530" s="646"/>
      <c r="MGD1530" s="646"/>
      <c r="MGE1530" s="646"/>
      <c r="MGF1530" s="646"/>
      <c r="MGG1530" s="646"/>
      <c r="MGH1530" s="646"/>
      <c r="MGI1530" s="646"/>
      <c r="MGJ1530" s="646"/>
      <c r="MGK1530" s="646"/>
      <c r="MGL1530" s="646"/>
      <c r="MGM1530" s="646"/>
      <c r="MGN1530" s="646"/>
      <c r="MGO1530" s="646"/>
      <c r="MGP1530" s="646"/>
      <c r="MGQ1530" s="646"/>
      <c r="MGR1530" s="646"/>
      <c r="MGS1530" s="646"/>
      <c r="MGT1530" s="646"/>
      <c r="MGU1530" s="646"/>
      <c r="MGV1530" s="646"/>
      <c r="MGW1530" s="646"/>
      <c r="MGX1530" s="646"/>
      <c r="MGY1530" s="646"/>
      <c r="MGZ1530" s="646"/>
      <c r="MHA1530" s="646"/>
      <c r="MHB1530" s="646"/>
      <c r="MHC1530" s="646"/>
      <c r="MHD1530" s="646"/>
      <c r="MHE1530" s="646"/>
      <c r="MHF1530" s="646"/>
      <c r="MHG1530" s="646"/>
      <c r="MHH1530" s="646"/>
      <c r="MHI1530" s="646"/>
      <c r="MHJ1530" s="646"/>
      <c r="MHK1530" s="646"/>
      <c r="MHL1530" s="646"/>
      <c r="MHM1530" s="646"/>
      <c r="MHN1530" s="646"/>
      <c r="MHO1530" s="646"/>
      <c r="MHP1530" s="646"/>
      <c r="MHQ1530" s="646"/>
      <c r="MHR1530" s="646"/>
      <c r="MHS1530" s="646"/>
      <c r="MHT1530" s="646"/>
      <c r="MHU1530" s="646"/>
      <c r="MHV1530" s="646"/>
      <c r="MHW1530" s="646"/>
      <c r="MHX1530" s="646"/>
      <c r="MHY1530" s="646"/>
      <c r="MHZ1530" s="646"/>
      <c r="MIA1530" s="646"/>
      <c r="MIB1530" s="646"/>
      <c r="MIC1530" s="646"/>
      <c r="MID1530" s="646"/>
      <c r="MIE1530" s="646"/>
      <c r="MIF1530" s="646"/>
      <c r="MIG1530" s="646"/>
      <c r="MIH1530" s="646"/>
      <c r="MII1530" s="646"/>
      <c r="MIJ1530" s="646"/>
      <c r="MIK1530" s="646"/>
      <c r="MIL1530" s="646"/>
      <c r="MIM1530" s="646"/>
      <c r="MIN1530" s="646"/>
      <c r="MIO1530" s="646"/>
      <c r="MIP1530" s="646"/>
      <c r="MIQ1530" s="646"/>
      <c r="MIR1530" s="646"/>
      <c r="MIS1530" s="646"/>
      <c r="MIT1530" s="646"/>
      <c r="MIU1530" s="646"/>
      <c r="MIV1530" s="646"/>
      <c r="MIW1530" s="646"/>
      <c r="MIX1530" s="646"/>
      <c r="MIY1530" s="646"/>
      <c r="MIZ1530" s="646"/>
      <c r="MJA1530" s="646"/>
      <c r="MJB1530" s="646"/>
      <c r="MJC1530" s="646"/>
      <c r="MJD1530" s="646"/>
      <c r="MJE1530" s="646"/>
      <c r="MJF1530" s="646"/>
      <c r="MJG1530" s="646"/>
      <c r="MJH1530" s="646"/>
      <c r="MJI1530" s="646"/>
      <c r="MJJ1530" s="646"/>
      <c r="MJK1530" s="646"/>
      <c r="MJL1530" s="646"/>
      <c r="MJM1530" s="646"/>
      <c r="MJN1530" s="646"/>
      <c r="MJO1530" s="646"/>
      <c r="MJP1530" s="646"/>
      <c r="MJQ1530" s="646"/>
      <c r="MJR1530" s="646"/>
      <c r="MJS1530" s="646"/>
      <c r="MJT1530" s="646"/>
      <c r="MJU1530" s="646"/>
      <c r="MJV1530" s="646"/>
      <c r="MJW1530" s="646"/>
      <c r="MJX1530" s="646"/>
      <c r="MJY1530" s="646"/>
      <c r="MJZ1530" s="646"/>
      <c r="MKA1530" s="646"/>
      <c r="MKB1530" s="646"/>
      <c r="MKC1530" s="646"/>
      <c r="MKD1530" s="646"/>
      <c r="MKE1530" s="646"/>
      <c r="MKF1530" s="646"/>
      <c r="MKG1530" s="646"/>
      <c r="MKH1530" s="646"/>
      <c r="MKI1530" s="646"/>
      <c r="MKJ1530" s="646"/>
      <c r="MKK1530" s="646"/>
      <c r="MKL1530" s="646"/>
      <c r="MKM1530" s="646"/>
      <c r="MKN1530" s="646"/>
      <c r="MKO1530" s="646"/>
      <c r="MKP1530" s="646"/>
      <c r="MKQ1530" s="646"/>
      <c r="MKR1530" s="646"/>
      <c r="MKS1530" s="646"/>
      <c r="MKT1530" s="646"/>
      <c r="MKU1530" s="646"/>
      <c r="MKV1530" s="646"/>
      <c r="MKW1530" s="646"/>
      <c r="MKX1530" s="646"/>
      <c r="MKY1530" s="646"/>
      <c r="MKZ1530" s="646"/>
      <c r="MLA1530" s="646"/>
      <c r="MLB1530" s="646"/>
      <c r="MLC1530" s="646"/>
      <c r="MLD1530" s="646"/>
      <c r="MLE1530" s="646"/>
      <c r="MLF1530" s="646"/>
      <c r="MLG1530" s="646"/>
      <c r="MLH1530" s="646"/>
      <c r="MLI1530" s="646"/>
      <c r="MLJ1530" s="646"/>
      <c r="MLK1530" s="646"/>
      <c r="MLL1530" s="646"/>
      <c r="MLM1530" s="646"/>
      <c r="MLN1530" s="646"/>
      <c r="MLO1530" s="646"/>
      <c r="MLP1530" s="646"/>
      <c r="MLQ1530" s="646"/>
      <c r="MLR1530" s="646"/>
      <c r="MLS1530" s="646"/>
      <c r="MLT1530" s="646"/>
      <c r="MLU1530" s="646"/>
      <c r="MLV1530" s="646"/>
      <c r="MLW1530" s="646"/>
      <c r="MLX1530" s="646"/>
      <c r="MLY1530" s="646"/>
      <c r="MLZ1530" s="646"/>
      <c r="MMA1530" s="646"/>
      <c r="MMB1530" s="646"/>
      <c r="MMC1530" s="646"/>
      <c r="MMD1530" s="646"/>
      <c r="MME1530" s="646"/>
      <c r="MMF1530" s="646"/>
      <c r="MMG1530" s="646"/>
      <c r="MMH1530" s="646"/>
      <c r="MMI1530" s="646"/>
      <c r="MMJ1530" s="646"/>
      <c r="MMK1530" s="646"/>
      <c r="MML1530" s="646"/>
      <c r="MMM1530" s="646"/>
      <c r="MMN1530" s="646"/>
      <c r="MMO1530" s="646"/>
      <c r="MMP1530" s="646"/>
      <c r="MMQ1530" s="646"/>
      <c r="MMR1530" s="646"/>
      <c r="MMS1530" s="646"/>
      <c r="MMT1530" s="646"/>
      <c r="MMU1530" s="646"/>
      <c r="MMV1530" s="646"/>
      <c r="MMW1530" s="646"/>
      <c r="MMX1530" s="646"/>
      <c r="MMY1530" s="646"/>
      <c r="MMZ1530" s="646"/>
      <c r="MNA1530" s="646"/>
      <c r="MNB1530" s="646"/>
      <c r="MNC1530" s="646"/>
      <c r="MND1530" s="646"/>
      <c r="MNE1530" s="646"/>
      <c r="MNF1530" s="646"/>
      <c r="MNG1530" s="646"/>
      <c r="MNH1530" s="646"/>
      <c r="MNI1530" s="646"/>
      <c r="MNJ1530" s="646"/>
      <c r="MNK1530" s="646"/>
      <c r="MNL1530" s="646"/>
      <c r="MNM1530" s="646"/>
      <c r="MNN1530" s="646"/>
      <c r="MNO1530" s="646"/>
      <c r="MNP1530" s="646"/>
      <c r="MNQ1530" s="646"/>
      <c r="MNR1530" s="646"/>
      <c r="MNS1530" s="646"/>
      <c r="MNT1530" s="646"/>
      <c r="MNU1530" s="646"/>
      <c r="MNV1530" s="646"/>
      <c r="MNW1530" s="646"/>
      <c r="MNX1530" s="646"/>
      <c r="MNY1530" s="646"/>
      <c r="MNZ1530" s="646"/>
      <c r="MOA1530" s="646"/>
      <c r="MOB1530" s="646"/>
      <c r="MOC1530" s="646"/>
      <c r="MOD1530" s="646"/>
      <c r="MOE1530" s="646"/>
      <c r="MOF1530" s="646"/>
      <c r="MOG1530" s="646"/>
      <c r="MOH1530" s="646"/>
      <c r="MOI1530" s="646"/>
      <c r="MOJ1530" s="646"/>
      <c r="MOK1530" s="646"/>
      <c r="MOL1530" s="646"/>
      <c r="MOM1530" s="646"/>
      <c r="MON1530" s="646"/>
      <c r="MOO1530" s="646"/>
      <c r="MOP1530" s="646"/>
      <c r="MOQ1530" s="646"/>
      <c r="MOR1530" s="646"/>
      <c r="MOS1530" s="646"/>
      <c r="MOT1530" s="646"/>
      <c r="MOU1530" s="646"/>
      <c r="MOV1530" s="646"/>
      <c r="MOW1530" s="646"/>
      <c r="MOX1530" s="646"/>
      <c r="MOY1530" s="646"/>
      <c r="MOZ1530" s="646"/>
      <c r="MPA1530" s="646"/>
      <c r="MPB1530" s="646"/>
      <c r="MPC1530" s="646"/>
      <c r="MPD1530" s="646"/>
      <c r="MPE1530" s="646"/>
      <c r="MPF1530" s="646"/>
      <c r="MPG1530" s="646"/>
      <c r="MPH1530" s="646"/>
      <c r="MPI1530" s="646"/>
      <c r="MPJ1530" s="646"/>
      <c r="MPK1530" s="646"/>
      <c r="MPL1530" s="646"/>
      <c r="MPM1530" s="646"/>
      <c r="MPN1530" s="646"/>
      <c r="MPO1530" s="646"/>
      <c r="MPP1530" s="646"/>
      <c r="MPQ1530" s="646"/>
      <c r="MPR1530" s="646"/>
      <c r="MPS1530" s="646"/>
      <c r="MPT1530" s="646"/>
      <c r="MPU1530" s="646"/>
      <c r="MPV1530" s="646"/>
      <c r="MPW1530" s="646"/>
      <c r="MPX1530" s="646"/>
      <c r="MPY1530" s="646"/>
      <c r="MPZ1530" s="646"/>
      <c r="MQA1530" s="646"/>
      <c r="MQB1530" s="646"/>
      <c r="MQC1530" s="646"/>
      <c r="MQD1530" s="646"/>
      <c r="MQE1530" s="646"/>
      <c r="MQF1530" s="646"/>
      <c r="MQG1530" s="646"/>
      <c r="MQH1530" s="646"/>
      <c r="MQI1530" s="646"/>
      <c r="MQJ1530" s="646"/>
      <c r="MQK1530" s="646"/>
      <c r="MQL1530" s="646"/>
      <c r="MQM1530" s="646"/>
      <c r="MQN1530" s="646"/>
      <c r="MQO1530" s="646"/>
      <c r="MQP1530" s="646"/>
      <c r="MQQ1530" s="646"/>
      <c r="MQR1530" s="646"/>
      <c r="MQS1530" s="646"/>
      <c r="MQT1530" s="646"/>
      <c r="MQU1530" s="646"/>
      <c r="MQV1530" s="646"/>
      <c r="MQW1530" s="646"/>
      <c r="MQX1530" s="646"/>
      <c r="MQY1530" s="646"/>
      <c r="MQZ1530" s="646"/>
      <c r="MRA1530" s="646"/>
      <c r="MRB1530" s="646"/>
      <c r="MRC1530" s="646"/>
      <c r="MRD1530" s="646"/>
      <c r="MRE1530" s="646"/>
      <c r="MRF1530" s="646"/>
      <c r="MRG1530" s="646"/>
      <c r="MRH1530" s="646"/>
      <c r="MRI1530" s="646"/>
      <c r="MRJ1530" s="646"/>
      <c r="MRK1530" s="646"/>
      <c r="MRL1530" s="646"/>
      <c r="MRM1530" s="646"/>
      <c r="MRN1530" s="646"/>
      <c r="MRO1530" s="646"/>
      <c r="MRP1530" s="646"/>
      <c r="MRQ1530" s="646"/>
      <c r="MRR1530" s="646"/>
      <c r="MRS1530" s="646"/>
      <c r="MRT1530" s="646"/>
      <c r="MRU1530" s="646"/>
      <c r="MRV1530" s="646"/>
      <c r="MRW1530" s="646"/>
      <c r="MRX1530" s="646"/>
      <c r="MRY1530" s="646"/>
      <c r="MRZ1530" s="646"/>
      <c r="MSA1530" s="646"/>
      <c r="MSB1530" s="646"/>
      <c r="MSC1530" s="646"/>
      <c r="MSD1530" s="646"/>
      <c r="MSE1530" s="646"/>
      <c r="MSF1530" s="646"/>
      <c r="MSG1530" s="646"/>
      <c r="MSH1530" s="646"/>
      <c r="MSI1530" s="646"/>
      <c r="MSJ1530" s="646"/>
      <c r="MSK1530" s="646"/>
      <c r="MSL1530" s="646"/>
      <c r="MSM1530" s="646"/>
      <c r="MSN1530" s="646"/>
      <c r="MSO1530" s="646"/>
      <c r="MSP1530" s="646"/>
      <c r="MSQ1530" s="646"/>
      <c r="MSR1530" s="646"/>
      <c r="MSS1530" s="646"/>
      <c r="MST1530" s="646"/>
      <c r="MSU1530" s="646"/>
      <c r="MSV1530" s="646"/>
      <c r="MSW1530" s="646"/>
      <c r="MSX1530" s="646"/>
      <c r="MSY1530" s="646"/>
      <c r="MSZ1530" s="646"/>
      <c r="MTA1530" s="646"/>
      <c r="MTB1530" s="646"/>
      <c r="MTC1530" s="646"/>
      <c r="MTD1530" s="646"/>
      <c r="MTE1530" s="646"/>
      <c r="MTF1530" s="646"/>
      <c r="MTG1530" s="646"/>
      <c r="MTH1530" s="646"/>
      <c r="MTI1530" s="646"/>
      <c r="MTJ1530" s="646"/>
      <c r="MTK1530" s="646"/>
      <c r="MTL1530" s="646"/>
      <c r="MTM1530" s="646"/>
      <c r="MTN1530" s="646"/>
      <c r="MTO1530" s="646"/>
      <c r="MTP1530" s="646"/>
      <c r="MTQ1530" s="646"/>
      <c r="MTR1530" s="646"/>
      <c r="MTS1530" s="646"/>
      <c r="MTT1530" s="646"/>
      <c r="MTU1530" s="646"/>
      <c r="MTV1530" s="646"/>
      <c r="MTW1530" s="646"/>
      <c r="MTX1530" s="646"/>
      <c r="MTY1530" s="646"/>
      <c r="MTZ1530" s="646"/>
      <c r="MUA1530" s="646"/>
      <c r="MUB1530" s="646"/>
      <c r="MUC1530" s="646"/>
      <c r="MUD1530" s="646"/>
      <c r="MUE1530" s="646"/>
      <c r="MUF1530" s="646"/>
      <c r="MUG1530" s="646"/>
      <c r="MUH1530" s="646"/>
      <c r="MUI1530" s="646"/>
      <c r="MUJ1530" s="646"/>
      <c r="MUK1530" s="646"/>
      <c r="MUL1530" s="646"/>
      <c r="MUM1530" s="646"/>
      <c r="MUN1530" s="646"/>
      <c r="MUO1530" s="646"/>
      <c r="MUP1530" s="646"/>
      <c r="MUQ1530" s="646"/>
      <c r="MUR1530" s="646"/>
      <c r="MUS1530" s="646"/>
      <c r="MUT1530" s="646"/>
      <c r="MUU1530" s="646"/>
      <c r="MUV1530" s="646"/>
      <c r="MUW1530" s="646"/>
      <c r="MUX1530" s="646"/>
      <c r="MUY1530" s="646"/>
      <c r="MUZ1530" s="646"/>
      <c r="MVA1530" s="646"/>
      <c r="MVB1530" s="646"/>
      <c r="MVC1530" s="646"/>
      <c r="MVD1530" s="646"/>
      <c r="MVE1530" s="646"/>
      <c r="MVF1530" s="646"/>
      <c r="MVG1530" s="646"/>
      <c r="MVH1530" s="646"/>
      <c r="MVI1530" s="646"/>
      <c r="MVJ1530" s="646"/>
      <c r="MVK1530" s="646"/>
      <c r="MVL1530" s="646"/>
      <c r="MVM1530" s="646"/>
      <c r="MVN1530" s="646"/>
      <c r="MVO1530" s="646"/>
      <c r="MVP1530" s="646"/>
      <c r="MVQ1530" s="646"/>
      <c r="MVR1530" s="646"/>
      <c r="MVS1530" s="646"/>
      <c r="MVT1530" s="646"/>
      <c r="MVU1530" s="646"/>
      <c r="MVV1530" s="646"/>
      <c r="MVW1530" s="646"/>
      <c r="MVX1530" s="646"/>
      <c r="MVY1530" s="646"/>
      <c r="MVZ1530" s="646"/>
      <c r="MWA1530" s="646"/>
      <c r="MWB1530" s="646"/>
      <c r="MWC1530" s="646"/>
      <c r="MWD1530" s="646"/>
      <c r="MWE1530" s="646"/>
      <c r="MWF1530" s="646"/>
      <c r="MWG1530" s="646"/>
      <c r="MWH1530" s="646"/>
      <c r="MWI1530" s="646"/>
      <c r="MWJ1530" s="646"/>
      <c r="MWK1530" s="646"/>
      <c r="MWL1530" s="646"/>
      <c r="MWM1530" s="646"/>
      <c r="MWN1530" s="646"/>
      <c r="MWO1530" s="646"/>
      <c r="MWP1530" s="646"/>
      <c r="MWQ1530" s="646"/>
      <c r="MWR1530" s="646"/>
      <c r="MWS1530" s="646"/>
      <c r="MWT1530" s="646"/>
      <c r="MWU1530" s="646"/>
      <c r="MWV1530" s="646"/>
      <c r="MWW1530" s="646"/>
      <c r="MWX1530" s="646"/>
      <c r="MWY1530" s="646"/>
      <c r="MWZ1530" s="646"/>
      <c r="MXA1530" s="646"/>
      <c r="MXB1530" s="646"/>
      <c r="MXC1530" s="646"/>
      <c r="MXD1530" s="646"/>
      <c r="MXE1530" s="646"/>
      <c r="MXF1530" s="646"/>
      <c r="MXG1530" s="646"/>
      <c r="MXH1530" s="646"/>
      <c r="MXI1530" s="646"/>
      <c r="MXJ1530" s="646"/>
      <c r="MXK1530" s="646"/>
      <c r="MXL1530" s="646"/>
      <c r="MXM1530" s="646"/>
      <c r="MXN1530" s="646"/>
      <c r="MXO1530" s="646"/>
      <c r="MXP1530" s="646"/>
      <c r="MXQ1530" s="646"/>
      <c r="MXR1530" s="646"/>
      <c r="MXS1530" s="646"/>
      <c r="MXT1530" s="646"/>
      <c r="MXU1530" s="646"/>
      <c r="MXV1530" s="646"/>
      <c r="MXW1530" s="646"/>
      <c r="MXX1530" s="646"/>
      <c r="MXY1530" s="646"/>
      <c r="MXZ1530" s="646"/>
      <c r="MYA1530" s="646"/>
      <c r="MYB1530" s="646"/>
      <c r="MYC1530" s="646"/>
      <c r="MYD1530" s="646"/>
      <c r="MYE1530" s="646"/>
      <c r="MYF1530" s="646"/>
      <c r="MYG1530" s="646"/>
      <c r="MYH1530" s="646"/>
      <c r="MYI1530" s="646"/>
      <c r="MYJ1530" s="646"/>
      <c r="MYK1530" s="646"/>
      <c r="MYL1530" s="646"/>
      <c r="MYM1530" s="646"/>
      <c r="MYN1530" s="646"/>
      <c r="MYO1530" s="646"/>
      <c r="MYP1530" s="646"/>
      <c r="MYQ1530" s="646"/>
      <c r="MYR1530" s="646"/>
      <c r="MYS1530" s="646"/>
      <c r="MYT1530" s="646"/>
      <c r="MYU1530" s="646"/>
      <c r="MYV1530" s="646"/>
      <c r="MYW1530" s="646"/>
      <c r="MYX1530" s="646"/>
      <c r="MYY1530" s="646"/>
      <c r="MYZ1530" s="646"/>
      <c r="MZA1530" s="646"/>
      <c r="MZB1530" s="646"/>
      <c r="MZC1530" s="646"/>
      <c r="MZD1530" s="646"/>
      <c r="MZE1530" s="646"/>
      <c r="MZF1530" s="646"/>
      <c r="MZG1530" s="646"/>
      <c r="MZH1530" s="646"/>
      <c r="MZI1530" s="646"/>
      <c r="MZJ1530" s="646"/>
      <c r="MZK1530" s="646"/>
      <c r="MZL1530" s="646"/>
      <c r="MZM1530" s="646"/>
      <c r="MZN1530" s="646"/>
      <c r="MZO1530" s="646"/>
      <c r="MZP1530" s="646"/>
      <c r="MZQ1530" s="646"/>
      <c r="MZR1530" s="646"/>
      <c r="MZS1530" s="646"/>
      <c r="MZT1530" s="646"/>
      <c r="MZU1530" s="646"/>
      <c r="MZV1530" s="646"/>
      <c r="MZW1530" s="646"/>
      <c r="MZX1530" s="646"/>
      <c r="MZY1530" s="646"/>
      <c r="MZZ1530" s="646"/>
      <c r="NAA1530" s="646"/>
      <c r="NAB1530" s="646"/>
      <c r="NAC1530" s="646"/>
      <c r="NAD1530" s="646"/>
      <c r="NAE1530" s="646"/>
      <c r="NAF1530" s="646"/>
      <c r="NAG1530" s="646"/>
      <c r="NAH1530" s="646"/>
      <c r="NAI1530" s="646"/>
      <c r="NAJ1530" s="646"/>
      <c r="NAK1530" s="646"/>
      <c r="NAL1530" s="646"/>
      <c r="NAM1530" s="646"/>
      <c r="NAN1530" s="646"/>
      <c r="NAO1530" s="646"/>
      <c r="NAP1530" s="646"/>
      <c r="NAQ1530" s="646"/>
      <c r="NAR1530" s="646"/>
      <c r="NAS1530" s="646"/>
      <c r="NAT1530" s="646"/>
      <c r="NAU1530" s="646"/>
      <c r="NAV1530" s="646"/>
      <c r="NAW1530" s="646"/>
      <c r="NAX1530" s="646"/>
      <c r="NAY1530" s="646"/>
      <c r="NAZ1530" s="646"/>
      <c r="NBA1530" s="646"/>
      <c r="NBB1530" s="646"/>
      <c r="NBC1530" s="646"/>
      <c r="NBD1530" s="646"/>
      <c r="NBE1530" s="646"/>
      <c r="NBF1530" s="646"/>
      <c r="NBG1530" s="646"/>
      <c r="NBH1530" s="646"/>
      <c r="NBI1530" s="646"/>
      <c r="NBJ1530" s="646"/>
      <c r="NBK1530" s="646"/>
      <c r="NBL1530" s="646"/>
      <c r="NBM1530" s="646"/>
      <c r="NBN1530" s="646"/>
      <c r="NBO1530" s="646"/>
      <c r="NBP1530" s="646"/>
      <c r="NBQ1530" s="646"/>
      <c r="NBR1530" s="646"/>
      <c r="NBS1530" s="646"/>
      <c r="NBT1530" s="646"/>
      <c r="NBU1530" s="646"/>
      <c r="NBV1530" s="646"/>
      <c r="NBW1530" s="646"/>
      <c r="NBX1530" s="646"/>
      <c r="NBY1530" s="646"/>
      <c r="NBZ1530" s="646"/>
      <c r="NCA1530" s="646"/>
      <c r="NCB1530" s="646"/>
      <c r="NCC1530" s="646"/>
      <c r="NCD1530" s="646"/>
      <c r="NCE1530" s="646"/>
      <c r="NCF1530" s="646"/>
      <c r="NCG1530" s="646"/>
      <c r="NCH1530" s="646"/>
      <c r="NCI1530" s="646"/>
      <c r="NCJ1530" s="646"/>
      <c r="NCK1530" s="646"/>
      <c r="NCL1530" s="646"/>
      <c r="NCM1530" s="646"/>
      <c r="NCN1530" s="646"/>
      <c r="NCO1530" s="646"/>
      <c r="NCP1530" s="646"/>
      <c r="NCQ1530" s="646"/>
      <c r="NCR1530" s="646"/>
      <c r="NCS1530" s="646"/>
      <c r="NCT1530" s="646"/>
      <c r="NCU1530" s="646"/>
      <c r="NCV1530" s="646"/>
      <c r="NCW1530" s="646"/>
      <c r="NCX1530" s="646"/>
      <c r="NCY1530" s="646"/>
      <c r="NCZ1530" s="646"/>
      <c r="NDA1530" s="646"/>
      <c r="NDB1530" s="646"/>
      <c r="NDC1530" s="646"/>
      <c r="NDD1530" s="646"/>
      <c r="NDE1530" s="646"/>
      <c r="NDF1530" s="646"/>
      <c r="NDG1530" s="646"/>
      <c r="NDH1530" s="646"/>
      <c r="NDI1530" s="646"/>
      <c r="NDJ1530" s="646"/>
      <c r="NDK1530" s="646"/>
      <c r="NDL1530" s="646"/>
      <c r="NDM1530" s="646"/>
      <c r="NDN1530" s="646"/>
      <c r="NDO1530" s="646"/>
      <c r="NDP1530" s="646"/>
      <c r="NDQ1530" s="646"/>
      <c r="NDR1530" s="646"/>
      <c r="NDS1530" s="646"/>
      <c r="NDT1530" s="646"/>
      <c r="NDU1530" s="646"/>
      <c r="NDV1530" s="646"/>
      <c r="NDW1530" s="646"/>
      <c r="NDX1530" s="646"/>
      <c r="NDY1530" s="646"/>
      <c r="NDZ1530" s="646"/>
      <c r="NEA1530" s="646"/>
      <c r="NEB1530" s="646"/>
      <c r="NEC1530" s="646"/>
      <c r="NED1530" s="646"/>
      <c r="NEE1530" s="646"/>
      <c r="NEF1530" s="646"/>
      <c r="NEG1530" s="646"/>
      <c r="NEH1530" s="646"/>
      <c r="NEI1530" s="646"/>
      <c r="NEJ1530" s="646"/>
      <c r="NEK1530" s="646"/>
      <c r="NEL1530" s="646"/>
      <c r="NEM1530" s="646"/>
      <c r="NEN1530" s="646"/>
      <c r="NEO1530" s="646"/>
      <c r="NEP1530" s="646"/>
      <c r="NEQ1530" s="646"/>
      <c r="NER1530" s="646"/>
      <c r="NES1530" s="646"/>
      <c r="NET1530" s="646"/>
      <c r="NEU1530" s="646"/>
      <c r="NEV1530" s="646"/>
      <c r="NEW1530" s="646"/>
      <c r="NEX1530" s="646"/>
      <c r="NEY1530" s="646"/>
      <c r="NEZ1530" s="646"/>
      <c r="NFA1530" s="646"/>
      <c r="NFB1530" s="646"/>
      <c r="NFC1530" s="646"/>
      <c r="NFD1530" s="646"/>
      <c r="NFE1530" s="646"/>
      <c r="NFF1530" s="646"/>
      <c r="NFG1530" s="646"/>
      <c r="NFH1530" s="646"/>
      <c r="NFI1530" s="646"/>
      <c r="NFJ1530" s="646"/>
      <c r="NFK1530" s="646"/>
      <c r="NFL1530" s="646"/>
      <c r="NFM1530" s="646"/>
      <c r="NFN1530" s="646"/>
      <c r="NFO1530" s="646"/>
      <c r="NFP1530" s="646"/>
      <c r="NFQ1530" s="646"/>
      <c r="NFR1530" s="646"/>
      <c r="NFS1530" s="646"/>
      <c r="NFT1530" s="646"/>
      <c r="NFU1530" s="646"/>
      <c r="NFV1530" s="646"/>
      <c r="NFW1530" s="646"/>
      <c r="NFX1530" s="646"/>
      <c r="NFY1530" s="646"/>
      <c r="NFZ1530" s="646"/>
      <c r="NGA1530" s="646"/>
      <c r="NGB1530" s="646"/>
      <c r="NGC1530" s="646"/>
      <c r="NGD1530" s="646"/>
      <c r="NGE1530" s="646"/>
      <c r="NGF1530" s="646"/>
      <c r="NGG1530" s="646"/>
      <c r="NGH1530" s="646"/>
      <c r="NGI1530" s="646"/>
      <c r="NGJ1530" s="646"/>
      <c r="NGK1530" s="646"/>
      <c r="NGL1530" s="646"/>
      <c r="NGM1530" s="646"/>
      <c r="NGN1530" s="646"/>
      <c r="NGO1530" s="646"/>
      <c r="NGP1530" s="646"/>
      <c r="NGQ1530" s="646"/>
      <c r="NGR1530" s="646"/>
      <c r="NGS1530" s="646"/>
      <c r="NGT1530" s="646"/>
      <c r="NGU1530" s="646"/>
      <c r="NGV1530" s="646"/>
      <c r="NGW1530" s="646"/>
      <c r="NGX1530" s="646"/>
      <c r="NGY1530" s="646"/>
      <c r="NGZ1530" s="646"/>
      <c r="NHA1530" s="646"/>
      <c r="NHB1530" s="646"/>
      <c r="NHC1530" s="646"/>
      <c r="NHD1530" s="646"/>
      <c r="NHE1530" s="646"/>
      <c r="NHF1530" s="646"/>
      <c r="NHG1530" s="646"/>
      <c r="NHH1530" s="646"/>
      <c r="NHI1530" s="646"/>
      <c r="NHJ1530" s="646"/>
      <c r="NHK1530" s="646"/>
      <c r="NHL1530" s="646"/>
      <c r="NHM1530" s="646"/>
      <c r="NHN1530" s="646"/>
      <c r="NHO1530" s="646"/>
      <c r="NHP1530" s="646"/>
      <c r="NHQ1530" s="646"/>
      <c r="NHR1530" s="646"/>
      <c r="NHS1530" s="646"/>
      <c r="NHT1530" s="646"/>
      <c r="NHU1530" s="646"/>
      <c r="NHV1530" s="646"/>
      <c r="NHW1530" s="646"/>
      <c r="NHX1530" s="646"/>
      <c r="NHY1530" s="646"/>
      <c r="NHZ1530" s="646"/>
      <c r="NIA1530" s="646"/>
      <c r="NIB1530" s="646"/>
      <c r="NIC1530" s="646"/>
      <c r="NID1530" s="646"/>
      <c r="NIE1530" s="646"/>
      <c r="NIF1530" s="646"/>
      <c r="NIG1530" s="646"/>
      <c r="NIH1530" s="646"/>
      <c r="NII1530" s="646"/>
      <c r="NIJ1530" s="646"/>
      <c r="NIK1530" s="646"/>
      <c r="NIL1530" s="646"/>
      <c r="NIM1530" s="646"/>
      <c r="NIN1530" s="646"/>
      <c r="NIO1530" s="646"/>
      <c r="NIP1530" s="646"/>
      <c r="NIQ1530" s="646"/>
      <c r="NIR1530" s="646"/>
      <c r="NIS1530" s="646"/>
      <c r="NIT1530" s="646"/>
      <c r="NIU1530" s="646"/>
      <c r="NIV1530" s="646"/>
      <c r="NIW1530" s="646"/>
      <c r="NIX1530" s="646"/>
      <c r="NIY1530" s="646"/>
      <c r="NIZ1530" s="646"/>
      <c r="NJA1530" s="646"/>
      <c r="NJB1530" s="646"/>
      <c r="NJC1530" s="646"/>
      <c r="NJD1530" s="646"/>
      <c r="NJE1530" s="646"/>
      <c r="NJF1530" s="646"/>
      <c r="NJG1530" s="646"/>
      <c r="NJH1530" s="646"/>
      <c r="NJI1530" s="646"/>
      <c r="NJJ1530" s="646"/>
      <c r="NJK1530" s="646"/>
      <c r="NJL1530" s="646"/>
      <c r="NJM1530" s="646"/>
      <c r="NJN1530" s="646"/>
      <c r="NJO1530" s="646"/>
      <c r="NJP1530" s="646"/>
      <c r="NJQ1530" s="646"/>
      <c r="NJR1530" s="646"/>
      <c r="NJS1530" s="646"/>
      <c r="NJT1530" s="646"/>
      <c r="NJU1530" s="646"/>
      <c r="NJV1530" s="646"/>
      <c r="NJW1530" s="646"/>
      <c r="NJX1530" s="646"/>
      <c r="NJY1530" s="646"/>
      <c r="NJZ1530" s="646"/>
      <c r="NKA1530" s="646"/>
      <c r="NKB1530" s="646"/>
      <c r="NKC1530" s="646"/>
      <c r="NKD1530" s="646"/>
      <c r="NKE1530" s="646"/>
      <c r="NKF1530" s="646"/>
      <c r="NKG1530" s="646"/>
      <c r="NKH1530" s="646"/>
      <c r="NKI1530" s="646"/>
      <c r="NKJ1530" s="646"/>
      <c r="NKK1530" s="646"/>
      <c r="NKL1530" s="646"/>
      <c r="NKM1530" s="646"/>
      <c r="NKN1530" s="646"/>
      <c r="NKO1530" s="646"/>
      <c r="NKP1530" s="646"/>
      <c r="NKQ1530" s="646"/>
      <c r="NKR1530" s="646"/>
      <c r="NKS1530" s="646"/>
      <c r="NKT1530" s="646"/>
      <c r="NKU1530" s="646"/>
      <c r="NKV1530" s="646"/>
      <c r="NKW1530" s="646"/>
      <c r="NKX1530" s="646"/>
      <c r="NKY1530" s="646"/>
      <c r="NKZ1530" s="646"/>
      <c r="NLA1530" s="646"/>
      <c r="NLB1530" s="646"/>
      <c r="NLC1530" s="646"/>
      <c r="NLD1530" s="646"/>
      <c r="NLE1530" s="646"/>
      <c r="NLF1530" s="646"/>
      <c r="NLG1530" s="646"/>
      <c r="NLH1530" s="646"/>
      <c r="NLI1530" s="646"/>
      <c r="NLJ1530" s="646"/>
      <c r="NLK1530" s="646"/>
      <c r="NLL1530" s="646"/>
      <c r="NLM1530" s="646"/>
      <c r="NLN1530" s="646"/>
      <c r="NLO1530" s="646"/>
      <c r="NLP1530" s="646"/>
      <c r="NLQ1530" s="646"/>
      <c r="NLR1530" s="646"/>
      <c r="NLS1530" s="646"/>
      <c r="NLT1530" s="646"/>
      <c r="NLU1530" s="646"/>
      <c r="NLV1530" s="646"/>
      <c r="NLW1530" s="646"/>
      <c r="NLX1530" s="646"/>
      <c r="NLY1530" s="646"/>
      <c r="NLZ1530" s="646"/>
      <c r="NMA1530" s="646"/>
      <c r="NMB1530" s="646"/>
      <c r="NMC1530" s="646"/>
      <c r="NMD1530" s="646"/>
      <c r="NME1530" s="646"/>
      <c r="NMF1530" s="646"/>
      <c r="NMG1530" s="646"/>
      <c r="NMH1530" s="646"/>
      <c r="NMI1530" s="646"/>
      <c r="NMJ1530" s="646"/>
      <c r="NMK1530" s="646"/>
      <c r="NML1530" s="646"/>
      <c r="NMM1530" s="646"/>
      <c r="NMN1530" s="646"/>
      <c r="NMO1530" s="646"/>
      <c r="NMP1530" s="646"/>
      <c r="NMQ1530" s="646"/>
      <c r="NMR1530" s="646"/>
      <c r="NMS1530" s="646"/>
      <c r="NMT1530" s="646"/>
      <c r="NMU1530" s="646"/>
      <c r="NMV1530" s="646"/>
      <c r="NMW1530" s="646"/>
      <c r="NMX1530" s="646"/>
      <c r="NMY1530" s="646"/>
      <c r="NMZ1530" s="646"/>
      <c r="NNA1530" s="646"/>
      <c r="NNB1530" s="646"/>
      <c r="NNC1530" s="646"/>
      <c r="NND1530" s="646"/>
      <c r="NNE1530" s="646"/>
      <c r="NNF1530" s="646"/>
      <c r="NNG1530" s="646"/>
      <c r="NNH1530" s="646"/>
      <c r="NNI1530" s="646"/>
      <c r="NNJ1530" s="646"/>
      <c r="NNK1530" s="646"/>
      <c r="NNL1530" s="646"/>
      <c r="NNM1530" s="646"/>
      <c r="NNN1530" s="646"/>
      <c r="NNO1530" s="646"/>
      <c r="NNP1530" s="646"/>
      <c r="NNQ1530" s="646"/>
      <c r="NNR1530" s="646"/>
      <c r="NNS1530" s="646"/>
      <c r="NNT1530" s="646"/>
      <c r="NNU1530" s="646"/>
      <c r="NNV1530" s="646"/>
      <c r="NNW1530" s="646"/>
      <c r="NNX1530" s="646"/>
      <c r="NNY1530" s="646"/>
      <c r="NNZ1530" s="646"/>
      <c r="NOA1530" s="646"/>
      <c r="NOB1530" s="646"/>
      <c r="NOC1530" s="646"/>
      <c r="NOD1530" s="646"/>
      <c r="NOE1530" s="646"/>
      <c r="NOF1530" s="646"/>
      <c r="NOG1530" s="646"/>
      <c r="NOH1530" s="646"/>
      <c r="NOI1530" s="646"/>
      <c r="NOJ1530" s="646"/>
      <c r="NOK1530" s="646"/>
      <c r="NOL1530" s="646"/>
      <c r="NOM1530" s="646"/>
      <c r="NON1530" s="646"/>
      <c r="NOO1530" s="646"/>
      <c r="NOP1530" s="646"/>
      <c r="NOQ1530" s="646"/>
      <c r="NOR1530" s="646"/>
      <c r="NOS1530" s="646"/>
      <c r="NOT1530" s="646"/>
      <c r="NOU1530" s="646"/>
      <c r="NOV1530" s="646"/>
      <c r="NOW1530" s="646"/>
      <c r="NOX1530" s="646"/>
      <c r="NOY1530" s="646"/>
      <c r="NOZ1530" s="646"/>
      <c r="NPA1530" s="646"/>
      <c r="NPB1530" s="646"/>
      <c r="NPC1530" s="646"/>
      <c r="NPD1530" s="646"/>
      <c r="NPE1530" s="646"/>
      <c r="NPF1530" s="646"/>
      <c r="NPG1530" s="646"/>
      <c r="NPH1530" s="646"/>
      <c r="NPI1530" s="646"/>
      <c r="NPJ1530" s="646"/>
      <c r="NPK1530" s="646"/>
      <c r="NPL1530" s="646"/>
      <c r="NPM1530" s="646"/>
      <c r="NPN1530" s="646"/>
      <c r="NPO1530" s="646"/>
      <c r="NPP1530" s="646"/>
      <c r="NPQ1530" s="646"/>
      <c r="NPR1530" s="646"/>
      <c r="NPS1530" s="646"/>
      <c r="NPT1530" s="646"/>
      <c r="NPU1530" s="646"/>
      <c r="NPV1530" s="646"/>
      <c r="NPW1530" s="646"/>
      <c r="NPX1530" s="646"/>
      <c r="NPY1530" s="646"/>
      <c r="NPZ1530" s="646"/>
      <c r="NQA1530" s="646"/>
      <c r="NQB1530" s="646"/>
      <c r="NQC1530" s="646"/>
      <c r="NQD1530" s="646"/>
      <c r="NQE1530" s="646"/>
      <c r="NQF1530" s="646"/>
      <c r="NQG1530" s="646"/>
      <c r="NQH1530" s="646"/>
      <c r="NQI1530" s="646"/>
      <c r="NQJ1530" s="646"/>
      <c r="NQK1530" s="646"/>
      <c r="NQL1530" s="646"/>
      <c r="NQM1530" s="646"/>
      <c r="NQN1530" s="646"/>
      <c r="NQO1530" s="646"/>
      <c r="NQP1530" s="646"/>
      <c r="NQQ1530" s="646"/>
      <c r="NQR1530" s="646"/>
      <c r="NQS1530" s="646"/>
      <c r="NQT1530" s="646"/>
      <c r="NQU1530" s="646"/>
      <c r="NQV1530" s="646"/>
      <c r="NQW1530" s="646"/>
      <c r="NQX1530" s="646"/>
      <c r="NQY1530" s="646"/>
      <c r="NQZ1530" s="646"/>
      <c r="NRA1530" s="646"/>
      <c r="NRB1530" s="646"/>
      <c r="NRC1530" s="646"/>
      <c r="NRD1530" s="646"/>
      <c r="NRE1530" s="646"/>
      <c r="NRF1530" s="646"/>
      <c r="NRG1530" s="646"/>
      <c r="NRH1530" s="646"/>
      <c r="NRI1530" s="646"/>
      <c r="NRJ1530" s="646"/>
      <c r="NRK1530" s="646"/>
      <c r="NRL1530" s="646"/>
      <c r="NRM1530" s="646"/>
      <c r="NRN1530" s="646"/>
      <c r="NRO1530" s="646"/>
      <c r="NRP1530" s="646"/>
      <c r="NRQ1530" s="646"/>
      <c r="NRR1530" s="646"/>
      <c r="NRS1530" s="646"/>
      <c r="NRT1530" s="646"/>
      <c r="NRU1530" s="646"/>
      <c r="NRV1530" s="646"/>
      <c r="NRW1530" s="646"/>
      <c r="NRX1530" s="646"/>
      <c r="NRY1530" s="646"/>
      <c r="NRZ1530" s="646"/>
      <c r="NSA1530" s="646"/>
      <c r="NSB1530" s="646"/>
      <c r="NSC1530" s="646"/>
      <c r="NSD1530" s="646"/>
      <c r="NSE1530" s="646"/>
      <c r="NSF1530" s="646"/>
      <c r="NSG1530" s="646"/>
      <c r="NSH1530" s="646"/>
      <c r="NSI1530" s="646"/>
      <c r="NSJ1530" s="646"/>
      <c r="NSK1530" s="646"/>
      <c r="NSL1530" s="646"/>
      <c r="NSM1530" s="646"/>
      <c r="NSN1530" s="646"/>
      <c r="NSO1530" s="646"/>
      <c r="NSP1530" s="646"/>
      <c r="NSQ1530" s="646"/>
      <c r="NSR1530" s="646"/>
      <c r="NSS1530" s="646"/>
      <c r="NST1530" s="646"/>
      <c r="NSU1530" s="646"/>
      <c r="NSV1530" s="646"/>
      <c r="NSW1530" s="646"/>
      <c r="NSX1530" s="646"/>
      <c r="NSY1530" s="646"/>
      <c r="NSZ1530" s="646"/>
      <c r="NTA1530" s="646"/>
      <c r="NTB1530" s="646"/>
      <c r="NTC1530" s="646"/>
      <c r="NTD1530" s="646"/>
      <c r="NTE1530" s="646"/>
      <c r="NTF1530" s="646"/>
      <c r="NTG1530" s="646"/>
      <c r="NTH1530" s="646"/>
      <c r="NTI1530" s="646"/>
      <c r="NTJ1530" s="646"/>
      <c r="NTK1530" s="646"/>
      <c r="NTL1530" s="646"/>
      <c r="NTM1530" s="646"/>
      <c r="NTN1530" s="646"/>
      <c r="NTO1530" s="646"/>
      <c r="NTP1530" s="646"/>
      <c r="NTQ1530" s="646"/>
      <c r="NTR1530" s="646"/>
      <c r="NTS1530" s="646"/>
      <c r="NTT1530" s="646"/>
      <c r="NTU1530" s="646"/>
      <c r="NTV1530" s="646"/>
      <c r="NTW1530" s="646"/>
      <c r="NTX1530" s="646"/>
      <c r="NTY1530" s="646"/>
      <c r="NTZ1530" s="646"/>
      <c r="NUA1530" s="646"/>
      <c r="NUB1530" s="646"/>
      <c r="NUC1530" s="646"/>
      <c r="NUD1530" s="646"/>
      <c r="NUE1530" s="646"/>
      <c r="NUF1530" s="646"/>
      <c r="NUG1530" s="646"/>
      <c r="NUH1530" s="646"/>
      <c r="NUI1530" s="646"/>
      <c r="NUJ1530" s="646"/>
      <c r="NUK1530" s="646"/>
      <c r="NUL1530" s="646"/>
      <c r="NUM1530" s="646"/>
      <c r="NUN1530" s="646"/>
      <c r="NUO1530" s="646"/>
      <c r="NUP1530" s="646"/>
      <c r="NUQ1530" s="646"/>
      <c r="NUR1530" s="646"/>
      <c r="NUS1530" s="646"/>
      <c r="NUT1530" s="646"/>
      <c r="NUU1530" s="646"/>
      <c r="NUV1530" s="646"/>
      <c r="NUW1530" s="646"/>
      <c r="NUX1530" s="646"/>
      <c r="NUY1530" s="646"/>
      <c r="NUZ1530" s="646"/>
      <c r="NVA1530" s="646"/>
      <c r="NVB1530" s="646"/>
      <c r="NVC1530" s="646"/>
      <c r="NVD1530" s="646"/>
      <c r="NVE1530" s="646"/>
      <c r="NVF1530" s="646"/>
      <c r="NVG1530" s="646"/>
      <c r="NVH1530" s="646"/>
      <c r="NVI1530" s="646"/>
      <c r="NVJ1530" s="646"/>
      <c r="NVK1530" s="646"/>
      <c r="NVL1530" s="646"/>
      <c r="NVM1530" s="646"/>
      <c r="NVN1530" s="646"/>
      <c r="NVO1530" s="646"/>
      <c r="NVP1530" s="646"/>
      <c r="NVQ1530" s="646"/>
      <c r="NVR1530" s="646"/>
      <c r="NVS1530" s="646"/>
      <c r="NVT1530" s="646"/>
      <c r="NVU1530" s="646"/>
      <c r="NVV1530" s="646"/>
      <c r="NVW1530" s="646"/>
      <c r="NVX1530" s="646"/>
      <c r="NVY1530" s="646"/>
      <c r="NVZ1530" s="646"/>
      <c r="NWA1530" s="646"/>
      <c r="NWB1530" s="646"/>
      <c r="NWC1530" s="646"/>
      <c r="NWD1530" s="646"/>
      <c r="NWE1530" s="646"/>
      <c r="NWF1530" s="646"/>
      <c r="NWG1530" s="646"/>
      <c r="NWH1530" s="646"/>
      <c r="NWI1530" s="646"/>
      <c r="NWJ1530" s="646"/>
      <c r="NWK1530" s="646"/>
      <c r="NWL1530" s="646"/>
      <c r="NWM1530" s="646"/>
      <c r="NWN1530" s="646"/>
      <c r="NWO1530" s="646"/>
      <c r="NWP1530" s="646"/>
      <c r="NWQ1530" s="646"/>
      <c r="NWR1530" s="646"/>
      <c r="NWS1530" s="646"/>
      <c r="NWT1530" s="646"/>
      <c r="NWU1530" s="646"/>
      <c r="NWV1530" s="646"/>
      <c r="NWW1530" s="646"/>
      <c r="NWX1530" s="646"/>
      <c r="NWY1530" s="646"/>
      <c r="NWZ1530" s="646"/>
      <c r="NXA1530" s="646"/>
      <c r="NXB1530" s="646"/>
      <c r="NXC1530" s="646"/>
      <c r="NXD1530" s="646"/>
      <c r="NXE1530" s="646"/>
      <c r="NXF1530" s="646"/>
      <c r="NXG1530" s="646"/>
      <c r="NXH1530" s="646"/>
      <c r="NXI1530" s="646"/>
      <c r="NXJ1530" s="646"/>
      <c r="NXK1530" s="646"/>
      <c r="NXL1530" s="646"/>
      <c r="NXM1530" s="646"/>
      <c r="NXN1530" s="646"/>
      <c r="NXO1530" s="646"/>
      <c r="NXP1530" s="646"/>
      <c r="NXQ1530" s="646"/>
      <c r="NXR1530" s="646"/>
      <c r="NXS1530" s="646"/>
      <c r="NXT1530" s="646"/>
      <c r="NXU1530" s="646"/>
      <c r="NXV1530" s="646"/>
      <c r="NXW1530" s="646"/>
      <c r="NXX1530" s="646"/>
      <c r="NXY1530" s="646"/>
      <c r="NXZ1530" s="646"/>
      <c r="NYA1530" s="646"/>
      <c r="NYB1530" s="646"/>
      <c r="NYC1530" s="646"/>
      <c r="NYD1530" s="646"/>
      <c r="NYE1530" s="646"/>
      <c r="NYF1530" s="646"/>
      <c r="NYG1530" s="646"/>
      <c r="NYH1530" s="646"/>
      <c r="NYI1530" s="646"/>
      <c r="NYJ1530" s="646"/>
      <c r="NYK1530" s="646"/>
      <c r="NYL1530" s="646"/>
      <c r="NYM1530" s="646"/>
      <c r="NYN1530" s="646"/>
      <c r="NYO1530" s="646"/>
      <c r="NYP1530" s="646"/>
      <c r="NYQ1530" s="646"/>
      <c r="NYR1530" s="646"/>
      <c r="NYS1530" s="646"/>
      <c r="NYT1530" s="646"/>
      <c r="NYU1530" s="646"/>
      <c r="NYV1530" s="646"/>
      <c r="NYW1530" s="646"/>
      <c r="NYX1530" s="646"/>
      <c r="NYY1530" s="646"/>
      <c r="NYZ1530" s="646"/>
      <c r="NZA1530" s="646"/>
      <c r="NZB1530" s="646"/>
      <c r="NZC1530" s="646"/>
      <c r="NZD1530" s="646"/>
      <c r="NZE1530" s="646"/>
      <c r="NZF1530" s="646"/>
      <c r="NZG1530" s="646"/>
      <c r="NZH1530" s="646"/>
      <c r="NZI1530" s="646"/>
      <c r="NZJ1530" s="646"/>
      <c r="NZK1530" s="646"/>
      <c r="NZL1530" s="646"/>
      <c r="NZM1530" s="646"/>
      <c r="NZN1530" s="646"/>
      <c r="NZO1530" s="646"/>
      <c r="NZP1530" s="646"/>
      <c r="NZQ1530" s="646"/>
      <c r="NZR1530" s="646"/>
      <c r="NZS1530" s="646"/>
      <c r="NZT1530" s="646"/>
      <c r="NZU1530" s="646"/>
      <c r="NZV1530" s="646"/>
      <c r="NZW1530" s="646"/>
      <c r="NZX1530" s="646"/>
      <c r="NZY1530" s="646"/>
      <c r="NZZ1530" s="646"/>
      <c r="OAA1530" s="646"/>
      <c r="OAB1530" s="646"/>
      <c r="OAC1530" s="646"/>
      <c r="OAD1530" s="646"/>
      <c r="OAE1530" s="646"/>
      <c r="OAF1530" s="646"/>
      <c r="OAG1530" s="646"/>
      <c r="OAH1530" s="646"/>
      <c r="OAI1530" s="646"/>
      <c r="OAJ1530" s="646"/>
      <c r="OAK1530" s="646"/>
      <c r="OAL1530" s="646"/>
      <c r="OAM1530" s="646"/>
      <c r="OAN1530" s="646"/>
      <c r="OAO1530" s="646"/>
      <c r="OAP1530" s="646"/>
      <c r="OAQ1530" s="646"/>
      <c r="OAR1530" s="646"/>
      <c r="OAS1530" s="646"/>
      <c r="OAT1530" s="646"/>
      <c r="OAU1530" s="646"/>
      <c r="OAV1530" s="646"/>
      <c r="OAW1530" s="646"/>
      <c r="OAX1530" s="646"/>
      <c r="OAY1530" s="646"/>
      <c r="OAZ1530" s="646"/>
      <c r="OBA1530" s="646"/>
      <c r="OBB1530" s="646"/>
      <c r="OBC1530" s="646"/>
      <c r="OBD1530" s="646"/>
      <c r="OBE1530" s="646"/>
      <c r="OBF1530" s="646"/>
      <c r="OBG1530" s="646"/>
      <c r="OBH1530" s="646"/>
      <c r="OBI1530" s="646"/>
      <c r="OBJ1530" s="646"/>
      <c r="OBK1530" s="646"/>
      <c r="OBL1530" s="646"/>
      <c r="OBM1530" s="646"/>
      <c r="OBN1530" s="646"/>
      <c r="OBO1530" s="646"/>
      <c r="OBP1530" s="646"/>
      <c r="OBQ1530" s="646"/>
      <c r="OBR1530" s="646"/>
      <c r="OBS1530" s="646"/>
      <c r="OBT1530" s="646"/>
      <c r="OBU1530" s="646"/>
      <c r="OBV1530" s="646"/>
      <c r="OBW1530" s="646"/>
      <c r="OBX1530" s="646"/>
      <c r="OBY1530" s="646"/>
      <c r="OBZ1530" s="646"/>
      <c r="OCA1530" s="646"/>
      <c r="OCB1530" s="646"/>
      <c r="OCC1530" s="646"/>
      <c r="OCD1530" s="646"/>
      <c r="OCE1530" s="646"/>
      <c r="OCF1530" s="646"/>
      <c r="OCG1530" s="646"/>
      <c r="OCH1530" s="646"/>
      <c r="OCI1530" s="646"/>
      <c r="OCJ1530" s="646"/>
      <c r="OCK1530" s="646"/>
      <c r="OCL1530" s="646"/>
      <c r="OCM1530" s="646"/>
      <c r="OCN1530" s="646"/>
      <c r="OCO1530" s="646"/>
      <c r="OCP1530" s="646"/>
      <c r="OCQ1530" s="646"/>
      <c r="OCR1530" s="646"/>
      <c r="OCS1530" s="646"/>
      <c r="OCT1530" s="646"/>
      <c r="OCU1530" s="646"/>
      <c r="OCV1530" s="646"/>
      <c r="OCW1530" s="646"/>
      <c r="OCX1530" s="646"/>
      <c r="OCY1530" s="646"/>
      <c r="OCZ1530" s="646"/>
      <c r="ODA1530" s="646"/>
      <c r="ODB1530" s="646"/>
      <c r="ODC1530" s="646"/>
      <c r="ODD1530" s="646"/>
      <c r="ODE1530" s="646"/>
      <c r="ODF1530" s="646"/>
      <c r="ODG1530" s="646"/>
      <c r="ODH1530" s="646"/>
      <c r="ODI1530" s="646"/>
      <c r="ODJ1530" s="646"/>
      <c r="ODK1530" s="646"/>
      <c r="ODL1530" s="646"/>
      <c r="ODM1530" s="646"/>
      <c r="ODN1530" s="646"/>
      <c r="ODO1530" s="646"/>
      <c r="ODP1530" s="646"/>
      <c r="ODQ1530" s="646"/>
      <c r="ODR1530" s="646"/>
      <c r="ODS1530" s="646"/>
      <c r="ODT1530" s="646"/>
      <c r="ODU1530" s="646"/>
      <c r="ODV1530" s="646"/>
      <c r="ODW1530" s="646"/>
      <c r="ODX1530" s="646"/>
      <c r="ODY1530" s="646"/>
      <c r="ODZ1530" s="646"/>
      <c r="OEA1530" s="646"/>
      <c r="OEB1530" s="646"/>
      <c r="OEC1530" s="646"/>
      <c r="OED1530" s="646"/>
      <c r="OEE1530" s="646"/>
      <c r="OEF1530" s="646"/>
      <c r="OEG1530" s="646"/>
      <c r="OEH1530" s="646"/>
      <c r="OEI1530" s="646"/>
      <c r="OEJ1530" s="646"/>
      <c r="OEK1530" s="646"/>
      <c r="OEL1530" s="646"/>
      <c r="OEM1530" s="646"/>
      <c r="OEN1530" s="646"/>
      <c r="OEO1530" s="646"/>
      <c r="OEP1530" s="646"/>
      <c r="OEQ1530" s="646"/>
      <c r="OER1530" s="646"/>
      <c r="OES1530" s="646"/>
      <c r="OET1530" s="646"/>
      <c r="OEU1530" s="646"/>
      <c r="OEV1530" s="646"/>
      <c r="OEW1530" s="646"/>
      <c r="OEX1530" s="646"/>
      <c r="OEY1530" s="646"/>
      <c r="OEZ1530" s="646"/>
      <c r="OFA1530" s="646"/>
      <c r="OFB1530" s="646"/>
      <c r="OFC1530" s="646"/>
      <c r="OFD1530" s="646"/>
      <c r="OFE1530" s="646"/>
      <c r="OFF1530" s="646"/>
      <c r="OFG1530" s="646"/>
      <c r="OFH1530" s="646"/>
      <c r="OFI1530" s="646"/>
      <c r="OFJ1530" s="646"/>
      <c r="OFK1530" s="646"/>
      <c r="OFL1530" s="646"/>
      <c r="OFM1530" s="646"/>
      <c r="OFN1530" s="646"/>
      <c r="OFO1530" s="646"/>
      <c r="OFP1530" s="646"/>
      <c r="OFQ1530" s="646"/>
      <c r="OFR1530" s="646"/>
      <c r="OFS1530" s="646"/>
      <c r="OFT1530" s="646"/>
      <c r="OFU1530" s="646"/>
      <c r="OFV1530" s="646"/>
      <c r="OFW1530" s="646"/>
      <c r="OFX1530" s="646"/>
      <c r="OFY1530" s="646"/>
      <c r="OFZ1530" s="646"/>
      <c r="OGA1530" s="646"/>
      <c r="OGB1530" s="646"/>
      <c r="OGC1530" s="646"/>
      <c r="OGD1530" s="646"/>
      <c r="OGE1530" s="646"/>
      <c r="OGF1530" s="646"/>
      <c r="OGG1530" s="646"/>
      <c r="OGH1530" s="646"/>
      <c r="OGI1530" s="646"/>
      <c r="OGJ1530" s="646"/>
      <c r="OGK1530" s="646"/>
      <c r="OGL1530" s="646"/>
      <c r="OGM1530" s="646"/>
      <c r="OGN1530" s="646"/>
      <c r="OGO1530" s="646"/>
      <c r="OGP1530" s="646"/>
      <c r="OGQ1530" s="646"/>
      <c r="OGR1530" s="646"/>
      <c r="OGS1530" s="646"/>
      <c r="OGT1530" s="646"/>
      <c r="OGU1530" s="646"/>
      <c r="OGV1530" s="646"/>
      <c r="OGW1530" s="646"/>
      <c r="OGX1530" s="646"/>
      <c r="OGY1530" s="646"/>
      <c r="OGZ1530" s="646"/>
      <c r="OHA1530" s="646"/>
      <c r="OHB1530" s="646"/>
      <c r="OHC1530" s="646"/>
      <c r="OHD1530" s="646"/>
      <c r="OHE1530" s="646"/>
      <c r="OHF1530" s="646"/>
      <c r="OHG1530" s="646"/>
      <c r="OHH1530" s="646"/>
      <c r="OHI1530" s="646"/>
      <c r="OHJ1530" s="646"/>
      <c r="OHK1530" s="646"/>
      <c r="OHL1530" s="646"/>
      <c r="OHM1530" s="646"/>
      <c r="OHN1530" s="646"/>
      <c r="OHO1530" s="646"/>
      <c r="OHP1530" s="646"/>
      <c r="OHQ1530" s="646"/>
      <c r="OHR1530" s="646"/>
      <c r="OHS1530" s="646"/>
      <c r="OHT1530" s="646"/>
      <c r="OHU1530" s="646"/>
      <c r="OHV1530" s="646"/>
      <c r="OHW1530" s="646"/>
      <c r="OHX1530" s="646"/>
      <c r="OHY1530" s="646"/>
      <c r="OHZ1530" s="646"/>
      <c r="OIA1530" s="646"/>
      <c r="OIB1530" s="646"/>
      <c r="OIC1530" s="646"/>
      <c r="OID1530" s="646"/>
      <c r="OIE1530" s="646"/>
      <c r="OIF1530" s="646"/>
      <c r="OIG1530" s="646"/>
      <c r="OIH1530" s="646"/>
      <c r="OII1530" s="646"/>
      <c r="OIJ1530" s="646"/>
      <c r="OIK1530" s="646"/>
      <c r="OIL1530" s="646"/>
      <c r="OIM1530" s="646"/>
      <c r="OIN1530" s="646"/>
      <c r="OIO1530" s="646"/>
      <c r="OIP1530" s="646"/>
      <c r="OIQ1530" s="646"/>
      <c r="OIR1530" s="646"/>
      <c r="OIS1530" s="646"/>
      <c r="OIT1530" s="646"/>
      <c r="OIU1530" s="646"/>
      <c r="OIV1530" s="646"/>
      <c r="OIW1530" s="646"/>
      <c r="OIX1530" s="646"/>
      <c r="OIY1530" s="646"/>
      <c r="OIZ1530" s="646"/>
      <c r="OJA1530" s="646"/>
      <c r="OJB1530" s="646"/>
      <c r="OJC1530" s="646"/>
      <c r="OJD1530" s="646"/>
      <c r="OJE1530" s="646"/>
      <c r="OJF1530" s="646"/>
      <c r="OJG1530" s="646"/>
      <c r="OJH1530" s="646"/>
      <c r="OJI1530" s="646"/>
      <c r="OJJ1530" s="646"/>
      <c r="OJK1530" s="646"/>
      <c r="OJL1530" s="646"/>
      <c r="OJM1530" s="646"/>
      <c r="OJN1530" s="646"/>
      <c r="OJO1530" s="646"/>
      <c r="OJP1530" s="646"/>
      <c r="OJQ1530" s="646"/>
      <c r="OJR1530" s="646"/>
      <c r="OJS1530" s="646"/>
      <c r="OJT1530" s="646"/>
      <c r="OJU1530" s="646"/>
      <c r="OJV1530" s="646"/>
      <c r="OJW1530" s="646"/>
      <c r="OJX1530" s="646"/>
      <c r="OJY1530" s="646"/>
      <c r="OJZ1530" s="646"/>
      <c r="OKA1530" s="646"/>
      <c r="OKB1530" s="646"/>
      <c r="OKC1530" s="646"/>
      <c r="OKD1530" s="646"/>
      <c r="OKE1530" s="646"/>
      <c r="OKF1530" s="646"/>
      <c r="OKG1530" s="646"/>
      <c r="OKH1530" s="646"/>
      <c r="OKI1530" s="646"/>
      <c r="OKJ1530" s="646"/>
      <c r="OKK1530" s="646"/>
      <c r="OKL1530" s="646"/>
      <c r="OKM1530" s="646"/>
      <c r="OKN1530" s="646"/>
      <c r="OKO1530" s="646"/>
      <c r="OKP1530" s="646"/>
      <c r="OKQ1530" s="646"/>
      <c r="OKR1530" s="646"/>
      <c r="OKS1530" s="646"/>
      <c r="OKT1530" s="646"/>
      <c r="OKU1530" s="646"/>
      <c r="OKV1530" s="646"/>
      <c r="OKW1530" s="646"/>
      <c r="OKX1530" s="646"/>
      <c r="OKY1530" s="646"/>
      <c r="OKZ1530" s="646"/>
      <c r="OLA1530" s="646"/>
      <c r="OLB1530" s="646"/>
      <c r="OLC1530" s="646"/>
      <c r="OLD1530" s="646"/>
      <c r="OLE1530" s="646"/>
      <c r="OLF1530" s="646"/>
      <c r="OLG1530" s="646"/>
      <c r="OLH1530" s="646"/>
      <c r="OLI1530" s="646"/>
      <c r="OLJ1530" s="646"/>
      <c r="OLK1530" s="646"/>
      <c r="OLL1530" s="646"/>
      <c r="OLM1530" s="646"/>
      <c r="OLN1530" s="646"/>
      <c r="OLO1530" s="646"/>
      <c r="OLP1530" s="646"/>
      <c r="OLQ1530" s="646"/>
      <c r="OLR1530" s="646"/>
      <c r="OLS1530" s="646"/>
      <c r="OLT1530" s="646"/>
      <c r="OLU1530" s="646"/>
      <c r="OLV1530" s="646"/>
      <c r="OLW1530" s="646"/>
      <c r="OLX1530" s="646"/>
      <c r="OLY1530" s="646"/>
      <c r="OLZ1530" s="646"/>
      <c r="OMA1530" s="646"/>
      <c r="OMB1530" s="646"/>
      <c r="OMC1530" s="646"/>
      <c r="OMD1530" s="646"/>
      <c r="OME1530" s="646"/>
      <c r="OMF1530" s="646"/>
      <c r="OMG1530" s="646"/>
      <c r="OMH1530" s="646"/>
      <c r="OMI1530" s="646"/>
      <c r="OMJ1530" s="646"/>
      <c r="OMK1530" s="646"/>
      <c r="OML1530" s="646"/>
      <c r="OMM1530" s="646"/>
      <c r="OMN1530" s="646"/>
      <c r="OMO1530" s="646"/>
      <c r="OMP1530" s="646"/>
      <c r="OMQ1530" s="646"/>
      <c r="OMR1530" s="646"/>
      <c r="OMS1530" s="646"/>
      <c r="OMT1530" s="646"/>
      <c r="OMU1530" s="646"/>
      <c r="OMV1530" s="646"/>
      <c r="OMW1530" s="646"/>
      <c r="OMX1530" s="646"/>
      <c r="OMY1530" s="646"/>
      <c r="OMZ1530" s="646"/>
      <c r="ONA1530" s="646"/>
      <c r="ONB1530" s="646"/>
      <c r="ONC1530" s="646"/>
      <c r="OND1530" s="646"/>
      <c r="ONE1530" s="646"/>
      <c r="ONF1530" s="646"/>
      <c r="ONG1530" s="646"/>
      <c r="ONH1530" s="646"/>
      <c r="ONI1530" s="646"/>
      <c r="ONJ1530" s="646"/>
      <c r="ONK1530" s="646"/>
      <c r="ONL1530" s="646"/>
      <c r="ONM1530" s="646"/>
      <c r="ONN1530" s="646"/>
      <c r="ONO1530" s="646"/>
      <c r="ONP1530" s="646"/>
      <c r="ONQ1530" s="646"/>
      <c r="ONR1530" s="646"/>
      <c r="ONS1530" s="646"/>
      <c r="ONT1530" s="646"/>
      <c r="ONU1530" s="646"/>
      <c r="ONV1530" s="646"/>
      <c r="ONW1530" s="646"/>
      <c r="ONX1530" s="646"/>
      <c r="ONY1530" s="646"/>
      <c r="ONZ1530" s="646"/>
      <c r="OOA1530" s="646"/>
      <c r="OOB1530" s="646"/>
      <c r="OOC1530" s="646"/>
      <c r="OOD1530" s="646"/>
      <c r="OOE1530" s="646"/>
      <c r="OOF1530" s="646"/>
      <c r="OOG1530" s="646"/>
      <c r="OOH1530" s="646"/>
      <c r="OOI1530" s="646"/>
      <c r="OOJ1530" s="646"/>
      <c r="OOK1530" s="646"/>
      <c r="OOL1530" s="646"/>
      <c r="OOM1530" s="646"/>
      <c r="OON1530" s="646"/>
      <c r="OOO1530" s="646"/>
      <c r="OOP1530" s="646"/>
      <c r="OOQ1530" s="646"/>
      <c r="OOR1530" s="646"/>
      <c r="OOS1530" s="646"/>
      <c r="OOT1530" s="646"/>
      <c r="OOU1530" s="646"/>
      <c r="OOV1530" s="646"/>
      <c r="OOW1530" s="646"/>
      <c r="OOX1530" s="646"/>
      <c r="OOY1530" s="646"/>
      <c r="OOZ1530" s="646"/>
      <c r="OPA1530" s="646"/>
      <c r="OPB1530" s="646"/>
      <c r="OPC1530" s="646"/>
      <c r="OPD1530" s="646"/>
      <c r="OPE1530" s="646"/>
      <c r="OPF1530" s="646"/>
      <c r="OPG1530" s="646"/>
      <c r="OPH1530" s="646"/>
      <c r="OPI1530" s="646"/>
      <c r="OPJ1530" s="646"/>
      <c r="OPK1530" s="646"/>
      <c r="OPL1530" s="646"/>
      <c r="OPM1530" s="646"/>
      <c r="OPN1530" s="646"/>
      <c r="OPO1530" s="646"/>
      <c r="OPP1530" s="646"/>
      <c r="OPQ1530" s="646"/>
      <c r="OPR1530" s="646"/>
      <c r="OPS1530" s="646"/>
      <c r="OPT1530" s="646"/>
      <c r="OPU1530" s="646"/>
      <c r="OPV1530" s="646"/>
      <c r="OPW1530" s="646"/>
      <c r="OPX1530" s="646"/>
      <c r="OPY1530" s="646"/>
      <c r="OPZ1530" s="646"/>
      <c r="OQA1530" s="646"/>
      <c r="OQB1530" s="646"/>
      <c r="OQC1530" s="646"/>
      <c r="OQD1530" s="646"/>
      <c r="OQE1530" s="646"/>
      <c r="OQF1530" s="646"/>
      <c r="OQG1530" s="646"/>
      <c r="OQH1530" s="646"/>
      <c r="OQI1530" s="646"/>
      <c r="OQJ1530" s="646"/>
      <c r="OQK1530" s="646"/>
      <c r="OQL1530" s="646"/>
      <c r="OQM1530" s="646"/>
      <c r="OQN1530" s="646"/>
      <c r="OQO1530" s="646"/>
      <c r="OQP1530" s="646"/>
      <c r="OQQ1530" s="646"/>
      <c r="OQR1530" s="646"/>
      <c r="OQS1530" s="646"/>
      <c r="OQT1530" s="646"/>
      <c r="OQU1530" s="646"/>
      <c r="OQV1530" s="646"/>
      <c r="OQW1530" s="646"/>
      <c r="OQX1530" s="646"/>
      <c r="OQY1530" s="646"/>
      <c r="OQZ1530" s="646"/>
      <c r="ORA1530" s="646"/>
      <c r="ORB1530" s="646"/>
      <c r="ORC1530" s="646"/>
      <c r="ORD1530" s="646"/>
      <c r="ORE1530" s="646"/>
      <c r="ORF1530" s="646"/>
      <c r="ORG1530" s="646"/>
      <c r="ORH1530" s="646"/>
      <c r="ORI1530" s="646"/>
      <c r="ORJ1530" s="646"/>
      <c r="ORK1530" s="646"/>
      <c r="ORL1530" s="646"/>
      <c r="ORM1530" s="646"/>
      <c r="ORN1530" s="646"/>
      <c r="ORO1530" s="646"/>
      <c r="ORP1530" s="646"/>
      <c r="ORQ1530" s="646"/>
      <c r="ORR1530" s="646"/>
      <c r="ORS1530" s="646"/>
      <c r="ORT1530" s="646"/>
      <c r="ORU1530" s="646"/>
      <c r="ORV1530" s="646"/>
      <c r="ORW1530" s="646"/>
      <c r="ORX1530" s="646"/>
      <c r="ORY1530" s="646"/>
      <c r="ORZ1530" s="646"/>
      <c r="OSA1530" s="646"/>
      <c r="OSB1530" s="646"/>
      <c r="OSC1530" s="646"/>
      <c r="OSD1530" s="646"/>
      <c r="OSE1530" s="646"/>
      <c r="OSF1530" s="646"/>
      <c r="OSG1530" s="646"/>
      <c r="OSH1530" s="646"/>
      <c r="OSI1530" s="646"/>
      <c r="OSJ1530" s="646"/>
      <c r="OSK1530" s="646"/>
      <c r="OSL1530" s="646"/>
      <c r="OSM1530" s="646"/>
      <c r="OSN1530" s="646"/>
      <c r="OSO1530" s="646"/>
      <c r="OSP1530" s="646"/>
      <c r="OSQ1530" s="646"/>
      <c r="OSR1530" s="646"/>
      <c r="OSS1530" s="646"/>
      <c r="OST1530" s="646"/>
      <c r="OSU1530" s="646"/>
      <c r="OSV1530" s="646"/>
      <c r="OSW1530" s="646"/>
      <c r="OSX1530" s="646"/>
      <c r="OSY1530" s="646"/>
      <c r="OSZ1530" s="646"/>
      <c r="OTA1530" s="646"/>
      <c r="OTB1530" s="646"/>
      <c r="OTC1530" s="646"/>
      <c r="OTD1530" s="646"/>
      <c r="OTE1530" s="646"/>
      <c r="OTF1530" s="646"/>
      <c r="OTG1530" s="646"/>
      <c r="OTH1530" s="646"/>
      <c r="OTI1530" s="646"/>
      <c r="OTJ1530" s="646"/>
      <c r="OTK1530" s="646"/>
      <c r="OTL1530" s="646"/>
      <c r="OTM1530" s="646"/>
      <c r="OTN1530" s="646"/>
      <c r="OTO1530" s="646"/>
      <c r="OTP1530" s="646"/>
      <c r="OTQ1530" s="646"/>
      <c r="OTR1530" s="646"/>
      <c r="OTS1530" s="646"/>
      <c r="OTT1530" s="646"/>
      <c r="OTU1530" s="646"/>
      <c r="OTV1530" s="646"/>
      <c r="OTW1530" s="646"/>
      <c r="OTX1530" s="646"/>
      <c r="OTY1530" s="646"/>
      <c r="OTZ1530" s="646"/>
      <c r="OUA1530" s="646"/>
      <c r="OUB1530" s="646"/>
      <c r="OUC1530" s="646"/>
      <c r="OUD1530" s="646"/>
      <c r="OUE1530" s="646"/>
      <c r="OUF1530" s="646"/>
      <c r="OUG1530" s="646"/>
      <c r="OUH1530" s="646"/>
      <c r="OUI1530" s="646"/>
      <c r="OUJ1530" s="646"/>
      <c r="OUK1530" s="646"/>
      <c r="OUL1530" s="646"/>
      <c r="OUM1530" s="646"/>
      <c r="OUN1530" s="646"/>
      <c r="OUO1530" s="646"/>
      <c r="OUP1530" s="646"/>
      <c r="OUQ1530" s="646"/>
      <c r="OUR1530" s="646"/>
      <c r="OUS1530" s="646"/>
      <c r="OUT1530" s="646"/>
      <c r="OUU1530" s="646"/>
      <c r="OUV1530" s="646"/>
      <c r="OUW1530" s="646"/>
      <c r="OUX1530" s="646"/>
      <c r="OUY1530" s="646"/>
      <c r="OUZ1530" s="646"/>
      <c r="OVA1530" s="646"/>
      <c r="OVB1530" s="646"/>
      <c r="OVC1530" s="646"/>
      <c r="OVD1530" s="646"/>
      <c r="OVE1530" s="646"/>
      <c r="OVF1530" s="646"/>
      <c r="OVG1530" s="646"/>
      <c r="OVH1530" s="646"/>
      <c r="OVI1530" s="646"/>
      <c r="OVJ1530" s="646"/>
      <c r="OVK1530" s="646"/>
      <c r="OVL1530" s="646"/>
      <c r="OVM1530" s="646"/>
      <c r="OVN1530" s="646"/>
      <c r="OVO1530" s="646"/>
      <c r="OVP1530" s="646"/>
      <c r="OVQ1530" s="646"/>
      <c r="OVR1530" s="646"/>
      <c r="OVS1530" s="646"/>
      <c r="OVT1530" s="646"/>
      <c r="OVU1530" s="646"/>
      <c r="OVV1530" s="646"/>
      <c r="OVW1530" s="646"/>
      <c r="OVX1530" s="646"/>
      <c r="OVY1530" s="646"/>
      <c r="OVZ1530" s="646"/>
      <c r="OWA1530" s="646"/>
      <c r="OWB1530" s="646"/>
      <c r="OWC1530" s="646"/>
      <c r="OWD1530" s="646"/>
      <c r="OWE1530" s="646"/>
      <c r="OWF1530" s="646"/>
      <c r="OWG1530" s="646"/>
      <c r="OWH1530" s="646"/>
      <c r="OWI1530" s="646"/>
      <c r="OWJ1530" s="646"/>
      <c r="OWK1530" s="646"/>
      <c r="OWL1530" s="646"/>
      <c r="OWM1530" s="646"/>
      <c r="OWN1530" s="646"/>
      <c r="OWO1530" s="646"/>
      <c r="OWP1530" s="646"/>
      <c r="OWQ1530" s="646"/>
      <c r="OWR1530" s="646"/>
      <c r="OWS1530" s="646"/>
      <c r="OWT1530" s="646"/>
      <c r="OWU1530" s="646"/>
      <c r="OWV1530" s="646"/>
      <c r="OWW1530" s="646"/>
      <c r="OWX1530" s="646"/>
      <c r="OWY1530" s="646"/>
      <c r="OWZ1530" s="646"/>
      <c r="OXA1530" s="646"/>
      <c r="OXB1530" s="646"/>
      <c r="OXC1530" s="646"/>
      <c r="OXD1530" s="646"/>
      <c r="OXE1530" s="646"/>
      <c r="OXF1530" s="646"/>
      <c r="OXG1530" s="646"/>
      <c r="OXH1530" s="646"/>
      <c r="OXI1530" s="646"/>
      <c r="OXJ1530" s="646"/>
      <c r="OXK1530" s="646"/>
      <c r="OXL1530" s="646"/>
      <c r="OXM1530" s="646"/>
      <c r="OXN1530" s="646"/>
      <c r="OXO1530" s="646"/>
      <c r="OXP1530" s="646"/>
      <c r="OXQ1530" s="646"/>
      <c r="OXR1530" s="646"/>
      <c r="OXS1530" s="646"/>
      <c r="OXT1530" s="646"/>
      <c r="OXU1530" s="646"/>
      <c r="OXV1530" s="646"/>
      <c r="OXW1530" s="646"/>
      <c r="OXX1530" s="646"/>
      <c r="OXY1530" s="646"/>
      <c r="OXZ1530" s="646"/>
      <c r="OYA1530" s="646"/>
      <c r="OYB1530" s="646"/>
      <c r="OYC1530" s="646"/>
      <c r="OYD1530" s="646"/>
      <c r="OYE1530" s="646"/>
      <c r="OYF1530" s="646"/>
      <c r="OYG1530" s="646"/>
      <c r="OYH1530" s="646"/>
      <c r="OYI1530" s="646"/>
      <c r="OYJ1530" s="646"/>
      <c r="OYK1530" s="646"/>
      <c r="OYL1530" s="646"/>
      <c r="OYM1530" s="646"/>
      <c r="OYN1530" s="646"/>
      <c r="OYO1530" s="646"/>
      <c r="OYP1530" s="646"/>
      <c r="OYQ1530" s="646"/>
      <c r="OYR1530" s="646"/>
      <c r="OYS1530" s="646"/>
      <c r="OYT1530" s="646"/>
      <c r="OYU1530" s="646"/>
      <c r="OYV1530" s="646"/>
      <c r="OYW1530" s="646"/>
      <c r="OYX1530" s="646"/>
      <c r="OYY1530" s="646"/>
      <c r="OYZ1530" s="646"/>
      <c r="OZA1530" s="646"/>
      <c r="OZB1530" s="646"/>
      <c r="OZC1530" s="646"/>
      <c r="OZD1530" s="646"/>
      <c r="OZE1530" s="646"/>
      <c r="OZF1530" s="646"/>
      <c r="OZG1530" s="646"/>
      <c r="OZH1530" s="646"/>
      <c r="OZI1530" s="646"/>
      <c r="OZJ1530" s="646"/>
      <c r="OZK1530" s="646"/>
      <c r="OZL1530" s="646"/>
      <c r="OZM1530" s="646"/>
      <c r="OZN1530" s="646"/>
      <c r="OZO1530" s="646"/>
      <c r="OZP1530" s="646"/>
      <c r="OZQ1530" s="646"/>
      <c r="OZR1530" s="646"/>
      <c r="OZS1530" s="646"/>
      <c r="OZT1530" s="646"/>
      <c r="OZU1530" s="646"/>
      <c r="OZV1530" s="646"/>
      <c r="OZW1530" s="646"/>
      <c r="OZX1530" s="646"/>
      <c r="OZY1530" s="646"/>
      <c r="OZZ1530" s="646"/>
      <c r="PAA1530" s="646"/>
      <c r="PAB1530" s="646"/>
      <c r="PAC1530" s="646"/>
      <c r="PAD1530" s="646"/>
      <c r="PAE1530" s="646"/>
      <c r="PAF1530" s="646"/>
      <c r="PAG1530" s="646"/>
      <c r="PAH1530" s="646"/>
      <c r="PAI1530" s="646"/>
      <c r="PAJ1530" s="646"/>
      <c r="PAK1530" s="646"/>
      <c r="PAL1530" s="646"/>
      <c r="PAM1530" s="646"/>
      <c r="PAN1530" s="646"/>
      <c r="PAO1530" s="646"/>
      <c r="PAP1530" s="646"/>
      <c r="PAQ1530" s="646"/>
      <c r="PAR1530" s="646"/>
      <c r="PAS1530" s="646"/>
      <c r="PAT1530" s="646"/>
      <c r="PAU1530" s="646"/>
      <c r="PAV1530" s="646"/>
      <c r="PAW1530" s="646"/>
      <c r="PAX1530" s="646"/>
      <c r="PAY1530" s="646"/>
      <c r="PAZ1530" s="646"/>
      <c r="PBA1530" s="646"/>
      <c r="PBB1530" s="646"/>
      <c r="PBC1530" s="646"/>
      <c r="PBD1530" s="646"/>
      <c r="PBE1530" s="646"/>
      <c r="PBF1530" s="646"/>
      <c r="PBG1530" s="646"/>
      <c r="PBH1530" s="646"/>
      <c r="PBI1530" s="646"/>
      <c r="PBJ1530" s="646"/>
      <c r="PBK1530" s="646"/>
      <c r="PBL1530" s="646"/>
      <c r="PBM1530" s="646"/>
      <c r="PBN1530" s="646"/>
      <c r="PBO1530" s="646"/>
      <c r="PBP1530" s="646"/>
      <c r="PBQ1530" s="646"/>
      <c r="PBR1530" s="646"/>
      <c r="PBS1530" s="646"/>
      <c r="PBT1530" s="646"/>
      <c r="PBU1530" s="646"/>
      <c r="PBV1530" s="646"/>
      <c r="PBW1530" s="646"/>
      <c r="PBX1530" s="646"/>
      <c r="PBY1530" s="646"/>
      <c r="PBZ1530" s="646"/>
      <c r="PCA1530" s="646"/>
      <c r="PCB1530" s="646"/>
      <c r="PCC1530" s="646"/>
      <c r="PCD1530" s="646"/>
      <c r="PCE1530" s="646"/>
      <c r="PCF1530" s="646"/>
      <c r="PCG1530" s="646"/>
      <c r="PCH1530" s="646"/>
      <c r="PCI1530" s="646"/>
      <c r="PCJ1530" s="646"/>
      <c r="PCK1530" s="646"/>
      <c r="PCL1530" s="646"/>
      <c r="PCM1530" s="646"/>
      <c r="PCN1530" s="646"/>
      <c r="PCO1530" s="646"/>
      <c r="PCP1530" s="646"/>
      <c r="PCQ1530" s="646"/>
      <c r="PCR1530" s="646"/>
      <c r="PCS1530" s="646"/>
      <c r="PCT1530" s="646"/>
      <c r="PCU1530" s="646"/>
      <c r="PCV1530" s="646"/>
      <c r="PCW1530" s="646"/>
      <c r="PCX1530" s="646"/>
      <c r="PCY1530" s="646"/>
      <c r="PCZ1530" s="646"/>
      <c r="PDA1530" s="646"/>
      <c r="PDB1530" s="646"/>
      <c r="PDC1530" s="646"/>
      <c r="PDD1530" s="646"/>
      <c r="PDE1530" s="646"/>
      <c r="PDF1530" s="646"/>
      <c r="PDG1530" s="646"/>
      <c r="PDH1530" s="646"/>
      <c r="PDI1530" s="646"/>
      <c r="PDJ1530" s="646"/>
      <c r="PDK1530" s="646"/>
      <c r="PDL1530" s="646"/>
      <c r="PDM1530" s="646"/>
      <c r="PDN1530" s="646"/>
      <c r="PDO1530" s="646"/>
      <c r="PDP1530" s="646"/>
      <c r="PDQ1530" s="646"/>
      <c r="PDR1530" s="646"/>
      <c r="PDS1530" s="646"/>
      <c r="PDT1530" s="646"/>
      <c r="PDU1530" s="646"/>
      <c r="PDV1530" s="646"/>
      <c r="PDW1530" s="646"/>
      <c r="PDX1530" s="646"/>
      <c r="PDY1530" s="646"/>
      <c r="PDZ1530" s="646"/>
      <c r="PEA1530" s="646"/>
      <c r="PEB1530" s="646"/>
      <c r="PEC1530" s="646"/>
      <c r="PED1530" s="646"/>
      <c r="PEE1530" s="646"/>
      <c r="PEF1530" s="646"/>
      <c r="PEG1530" s="646"/>
      <c r="PEH1530" s="646"/>
      <c r="PEI1530" s="646"/>
      <c r="PEJ1530" s="646"/>
      <c r="PEK1530" s="646"/>
      <c r="PEL1530" s="646"/>
      <c r="PEM1530" s="646"/>
      <c r="PEN1530" s="646"/>
      <c r="PEO1530" s="646"/>
      <c r="PEP1530" s="646"/>
      <c r="PEQ1530" s="646"/>
      <c r="PER1530" s="646"/>
      <c r="PES1530" s="646"/>
      <c r="PET1530" s="646"/>
      <c r="PEU1530" s="646"/>
      <c r="PEV1530" s="646"/>
      <c r="PEW1530" s="646"/>
      <c r="PEX1530" s="646"/>
      <c r="PEY1530" s="646"/>
      <c r="PEZ1530" s="646"/>
      <c r="PFA1530" s="646"/>
      <c r="PFB1530" s="646"/>
      <c r="PFC1530" s="646"/>
      <c r="PFD1530" s="646"/>
      <c r="PFE1530" s="646"/>
      <c r="PFF1530" s="646"/>
      <c r="PFG1530" s="646"/>
      <c r="PFH1530" s="646"/>
      <c r="PFI1530" s="646"/>
      <c r="PFJ1530" s="646"/>
      <c r="PFK1530" s="646"/>
      <c r="PFL1530" s="646"/>
      <c r="PFM1530" s="646"/>
      <c r="PFN1530" s="646"/>
      <c r="PFO1530" s="646"/>
      <c r="PFP1530" s="646"/>
      <c r="PFQ1530" s="646"/>
      <c r="PFR1530" s="646"/>
      <c r="PFS1530" s="646"/>
      <c r="PFT1530" s="646"/>
      <c r="PFU1530" s="646"/>
      <c r="PFV1530" s="646"/>
      <c r="PFW1530" s="646"/>
      <c r="PFX1530" s="646"/>
      <c r="PFY1530" s="646"/>
      <c r="PFZ1530" s="646"/>
      <c r="PGA1530" s="646"/>
      <c r="PGB1530" s="646"/>
      <c r="PGC1530" s="646"/>
      <c r="PGD1530" s="646"/>
      <c r="PGE1530" s="646"/>
      <c r="PGF1530" s="646"/>
      <c r="PGG1530" s="646"/>
      <c r="PGH1530" s="646"/>
      <c r="PGI1530" s="646"/>
      <c r="PGJ1530" s="646"/>
      <c r="PGK1530" s="646"/>
      <c r="PGL1530" s="646"/>
      <c r="PGM1530" s="646"/>
      <c r="PGN1530" s="646"/>
      <c r="PGO1530" s="646"/>
      <c r="PGP1530" s="646"/>
      <c r="PGQ1530" s="646"/>
      <c r="PGR1530" s="646"/>
      <c r="PGS1530" s="646"/>
      <c r="PGT1530" s="646"/>
      <c r="PGU1530" s="646"/>
      <c r="PGV1530" s="646"/>
      <c r="PGW1530" s="646"/>
      <c r="PGX1530" s="646"/>
      <c r="PGY1530" s="646"/>
      <c r="PGZ1530" s="646"/>
      <c r="PHA1530" s="646"/>
      <c r="PHB1530" s="646"/>
      <c r="PHC1530" s="646"/>
      <c r="PHD1530" s="646"/>
      <c r="PHE1530" s="646"/>
      <c r="PHF1530" s="646"/>
      <c r="PHG1530" s="646"/>
      <c r="PHH1530" s="646"/>
      <c r="PHI1530" s="646"/>
      <c r="PHJ1530" s="646"/>
      <c r="PHK1530" s="646"/>
      <c r="PHL1530" s="646"/>
      <c r="PHM1530" s="646"/>
      <c r="PHN1530" s="646"/>
      <c r="PHO1530" s="646"/>
      <c r="PHP1530" s="646"/>
      <c r="PHQ1530" s="646"/>
      <c r="PHR1530" s="646"/>
      <c r="PHS1530" s="646"/>
      <c r="PHT1530" s="646"/>
      <c r="PHU1530" s="646"/>
      <c r="PHV1530" s="646"/>
      <c r="PHW1530" s="646"/>
      <c r="PHX1530" s="646"/>
      <c r="PHY1530" s="646"/>
      <c r="PHZ1530" s="646"/>
      <c r="PIA1530" s="646"/>
      <c r="PIB1530" s="646"/>
      <c r="PIC1530" s="646"/>
      <c r="PID1530" s="646"/>
      <c r="PIE1530" s="646"/>
      <c r="PIF1530" s="646"/>
      <c r="PIG1530" s="646"/>
      <c r="PIH1530" s="646"/>
      <c r="PII1530" s="646"/>
      <c r="PIJ1530" s="646"/>
      <c r="PIK1530" s="646"/>
      <c r="PIL1530" s="646"/>
      <c r="PIM1530" s="646"/>
      <c r="PIN1530" s="646"/>
      <c r="PIO1530" s="646"/>
      <c r="PIP1530" s="646"/>
      <c r="PIQ1530" s="646"/>
      <c r="PIR1530" s="646"/>
      <c r="PIS1530" s="646"/>
      <c r="PIT1530" s="646"/>
      <c r="PIU1530" s="646"/>
      <c r="PIV1530" s="646"/>
      <c r="PIW1530" s="646"/>
      <c r="PIX1530" s="646"/>
      <c r="PIY1530" s="646"/>
      <c r="PIZ1530" s="646"/>
      <c r="PJA1530" s="646"/>
      <c r="PJB1530" s="646"/>
      <c r="PJC1530" s="646"/>
      <c r="PJD1530" s="646"/>
      <c r="PJE1530" s="646"/>
      <c r="PJF1530" s="646"/>
      <c r="PJG1530" s="646"/>
      <c r="PJH1530" s="646"/>
      <c r="PJI1530" s="646"/>
      <c r="PJJ1530" s="646"/>
      <c r="PJK1530" s="646"/>
      <c r="PJL1530" s="646"/>
      <c r="PJM1530" s="646"/>
      <c r="PJN1530" s="646"/>
      <c r="PJO1530" s="646"/>
      <c r="PJP1530" s="646"/>
      <c r="PJQ1530" s="646"/>
      <c r="PJR1530" s="646"/>
      <c r="PJS1530" s="646"/>
      <c r="PJT1530" s="646"/>
      <c r="PJU1530" s="646"/>
      <c r="PJV1530" s="646"/>
      <c r="PJW1530" s="646"/>
      <c r="PJX1530" s="646"/>
      <c r="PJY1530" s="646"/>
      <c r="PJZ1530" s="646"/>
      <c r="PKA1530" s="646"/>
      <c r="PKB1530" s="646"/>
      <c r="PKC1530" s="646"/>
      <c r="PKD1530" s="646"/>
      <c r="PKE1530" s="646"/>
      <c r="PKF1530" s="646"/>
      <c r="PKG1530" s="646"/>
      <c r="PKH1530" s="646"/>
      <c r="PKI1530" s="646"/>
      <c r="PKJ1530" s="646"/>
      <c r="PKK1530" s="646"/>
      <c r="PKL1530" s="646"/>
      <c r="PKM1530" s="646"/>
      <c r="PKN1530" s="646"/>
      <c r="PKO1530" s="646"/>
      <c r="PKP1530" s="646"/>
      <c r="PKQ1530" s="646"/>
      <c r="PKR1530" s="646"/>
      <c r="PKS1530" s="646"/>
      <c r="PKT1530" s="646"/>
      <c r="PKU1530" s="646"/>
      <c r="PKV1530" s="646"/>
      <c r="PKW1530" s="646"/>
      <c r="PKX1530" s="646"/>
      <c r="PKY1530" s="646"/>
      <c r="PKZ1530" s="646"/>
      <c r="PLA1530" s="646"/>
      <c r="PLB1530" s="646"/>
      <c r="PLC1530" s="646"/>
      <c r="PLD1530" s="646"/>
      <c r="PLE1530" s="646"/>
      <c r="PLF1530" s="646"/>
      <c r="PLG1530" s="646"/>
      <c r="PLH1530" s="646"/>
      <c r="PLI1530" s="646"/>
      <c r="PLJ1530" s="646"/>
      <c r="PLK1530" s="646"/>
      <c r="PLL1530" s="646"/>
      <c r="PLM1530" s="646"/>
      <c r="PLN1530" s="646"/>
      <c r="PLO1530" s="646"/>
      <c r="PLP1530" s="646"/>
      <c r="PLQ1530" s="646"/>
      <c r="PLR1530" s="646"/>
      <c r="PLS1530" s="646"/>
      <c r="PLT1530" s="646"/>
      <c r="PLU1530" s="646"/>
      <c r="PLV1530" s="646"/>
      <c r="PLW1530" s="646"/>
      <c r="PLX1530" s="646"/>
      <c r="PLY1530" s="646"/>
      <c r="PLZ1530" s="646"/>
      <c r="PMA1530" s="646"/>
      <c r="PMB1530" s="646"/>
      <c r="PMC1530" s="646"/>
      <c r="PMD1530" s="646"/>
      <c r="PME1530" s="646"/>
      <c r="PMF1530" s="646"/>
      <c r="PMG1530" s="646"/>
      <c r="PMH1530" s="646"/>
      <c r="PMI1530" s="646"/>
      <c r="PMJ1530" s="646"/>
      <c r="PMK1530" s="646"/>
      <c r="PML1530" s="646"/>
      <c r="PMM1530" s="646"/>
      <c r="PMN1530" s="646"/>
      <c r="PMO1530" s="646"/>
      <c r="PMP1530" s="646"/>
      <c r="PMQ1530" s="646"/>
      <c r="PMR1530" s="646"/>
      <c r="PMS1530" s="646"/>
      <c r="PMT1530" s="646"/>
      <c r="PMU1530" s="646"/>
      <c r="PMV1530" s="646"/>
      <c r="PMW1530" s="646"/>
      <c r="PMX1530" s="646"/>
      <c r="PMY1530" s="646"/>
      <c r="PMZ1530" s="646"/>
      <c r="PNA1530" s="646"/>
      <c r="PNB1530" s="646"/>
      <c r="PNC1530" s="646"/>
      <c r="PND1530" s="646"/>
      <c r="PNE1530" s="646"/>
      <c r="PNF1530" s="646"/>
      <c r="PNG1530" s="646"/>
      <c r="PNH1530" s="646"/>
      <c r="PNI1530" s="646"/>
      <c r="PNJ1530" s="646"/>
      <c r="PNK1530" s="646"/>
      <c r="PNL1530" s="646"/>
      <c r="PNM1530" s="646"/>
      <c r="PNN1530" s="646"/>
      <c r="PNO1530" s="646"/>
      <c r="PNP1530" s="646"/>
      <c r="PNQ1530" s="646"/>
      <c r="PNR1530" s="646"/>
      <c r="PNS1530" s="646"/>
      <c r="PNT1530" s="646"/>
      <c r="PNU1530" s="646"/>
      <c r="PNV1530" s="646"/>
      <c r="PNW1530" s="646"/>
      <c r="PNX1530" s="646"/>
      <c r="PNY1530" s="646"/>
      <c r="PNZ1530" s="646"/>
      <c r="POA1530" s="646"/>
      <c r="POB1530" s="646"/>
      <c r="POC1530" s="646"/>
      <c r="POD1530" s="646"/>
      <c r="POE1530" s="646"/>
      <c r="POF1530" s="646"/>
      <c r="POG1530" s="646"/>
      <c r="POH1530" s="646"/>
      <c r="POI1530" s="646"/>
      <c r="POJ1530" s="646"/>
      <c r="POK1530" s="646"/>
      <c r="POL1530" s="646"/>
      <c r="POM1530" s="646"/>
      <c r="PON1530" s="646"/>
      <c r="POO1530" s="646"/>
      <c r="POP1530" s="646"/>
      <c r="POQ1530" s="646"/>
      <c r="POR1530" s="646"/>
      <c r="POS1530" s="646"/>
      <c r="POT1530" s="646"/>
      <c r="POU1530" s="646"/>
      <c r="POV1530" s="646"/>
      <c r="POW1530" s="646"/>
      <c r="POX1530" s="646"/>
      <c r="POY1530" s="646"/>
      <c r="POZ1530" s="646"/>
      <c r="PPA1530" s="646"/>
      <c r="PPB1530" s="646"/>
      <c r="PPC1530" s="646"/>
      <c r="PPD1530" s="646"/>
      <c r="PPE1530" s="646"/>
      <c r="PPF1530" s="646"/>
      <c r="PPG1530" s="646"/>
      <c r="PPH1530" s="646"/>
      <c r="PPI1530" s="646"/>
      <c r="PPJ1530" s="646"/>
      <c r="PPK1530" s="646"/>
      <c r="PPL1530" s="646"/>
      <c r="PPM1530" s="646"/>
      <c r="PPN1530" s="646"/>
      <c r="PPO1530" s="646"/>
      <c r="PPP1530" s="646"/>
      <c r="PPQ1530" s="646"/>
      <c r="PPR1530" s="646"/>
      <c r="PPS1530" s="646"/>
      <c r="PPT1530" s="646"/>
      <c r="PPU1530" s="646"/>
      <c r="PPV1530" s="646"/>
      <c r="PPW1530" s="646"/>
      <c r="PPX1530" s="646"/>
      <c r="PPY1530" s="646"/>
      <c r="PPZ1530" s="646"/>
      <c r="PQA1530" s="646"/>
      <c r="PQB1530" s="646"/>
      <c r="PQC1530" s="646"/>
      <c r="PQD1530" s="646"/>
      <c r="PQE1530" s="646"/>
      <c r="PQF1530" s="646"/>
      <c r="PQG1530" s="646"/>
      <c r="PQH1530" s="646"/>
      <c r="PQI1530" s="646"/>
      <c r="PQJ1530" s="646"/>
      <c r="PQK1530" s="646"/>
      <c r="PQL1530" s="646"/>
      <c r="PQM1530" s="646"/>
      <c r="PQN1530" s="646"/>
      <c r="PQO1530" s="646"/>
      <c r="PQP1530" s="646"/>
      <c r="PQQ1530" s="646"/>
      <c r="PQR1530" s="646"/>
      <c r="PQS1530" s="646"/>
      <c r="PQT1530" s="646"/>
      <c r="PQU1530" s="646"/>
      <c r="PQV1530" s="646"/>
      <c r="PQW1530" s="646"/>
      <c r="PQX1530" s="646"/>
      <c r="PQY1530" s="646"/>
      <c r="PQZ1530" s="646"/>
      <c r="PRA1530" s="646"/>
      <c r="PRB1530" s="646"/>
      <c r="PRC1530" s="646"/>
      <c r="PRD1530" s="646"/>
      <c r="PRE1530" s="646"/>
      <c r="PRF1530" s="646"/>
      <c r="PRG1530" s="646"/>
      <c r="PRH1530" s="646"/>
      <c r="PRI1530" s="646"/>
      <c r="PRJ1530" s="646"/>
      <c r="PRK1530" s="646"/>
      <c r="PRL1530" s="646"/>
      <c r="PRM1530" s="646"/>
      <c r="PRN1530" s="646"/>
      <c r="PRO1530" s="646"/>
      <c r="PRP1530" s="646"/>
      <c r="PRQ1530" s="646"/>
      <c r="PRR1530" s="646"/>
      <c r="PRS1530" s="646"/>
      <c r="PRT1530" s="646"/>
      <c r="PRU1530" s="646"/>
      <c r="PRV1530" s="646"/>
      <c r="PRW1530" s="646"/>
      <c r="PRX1530" s="646"/>
      <c r="PRY1530" s="646"/>
      <c r="PRZ1530" s="646"/>
      <c r="PSA1530" s="646"/>
      <c r="PSB1530" s="646"/>
      <c r="PSC1530" s="646"/>
      <c r="PSD1530" s="646"/>
      <c r="PSE1530" s="646"/>
      <c r="PSF1530" s="646"/>
      <c r="PSG1530" s="646"/>
      <c r="PSH1530" s="646"/>
      <c r="PSI1530" s="646"/>
      <c r="PSJ1530" s="646"/>
      <c r="PSK1530" s="646"/>
      <c r="PSL1530" s="646"/>
      <c r="PSM1530" s="646"/>
      <c r="PSN1530" s="646"/>
      <c r="PSO1530" s="646"/>
      <c r="PSP1530" s="646"/>
      <c r="PSQ1530" s="646"/>
      <c r="PSR1530" s="646"/>
      <c r="PSS1530" s="646"/>
      <c r="PST1530" s="646"/>
      <c r="PSU1530" s="646"/>
      <c r="PSV1530" s="646"/>
      <c r="PSW1530" s="646"/>
      <c r="PSX1530" s="646"/>
      <c r="PSY1530" s="646"/>
      <c r="PSZ1530" s="646"/>
      <c r="PTA1530" s="646"/>
      <c r="PTB1530" s="646"/>
      <c r="PTC1530" s="646"/>
      <c r="PTD1530" s="646"/>
      <c r="PTE1530" s="646"/>
      <c r="PTF1530" s="646"/>
      <c r="PTG1530" s="646"/>
      <c r="PTH1530" s="646"/>
      <c r="PTI1530" s="646"/>
      <c r="PTJ1530" s="646"/>
      <c r="PTK1530" s="646"/>
      <c r="PTL1530" s="646"/>
      <c r="PTM1530" s="646"/>
      <c r="PTN1530" s="646"/>
      <c r="PTO1530" s="646"/>
      <c r="PTP1530" s="646"/>
      <c r="PTQ1530" s="646"/>
      <c r="PTR1530" s="646"/>
      <c r="PTS1530" s="646"/>
      <c r="PTT1530" s="646"/>
      <c r="PTU1530" s="646"/>
      <c r="PTV1530" s="646"/>
      <c r="PTW1530" s="646"/>
      <c r="PTX1530" s="646"/>
      <c r="PTY1530" s="646"/>
      <c r="PTZ1530" s="646"/>
      <c r="PUA1530" s="646"/>
      <c r="PUB1530" s="646"/>
      <c r="PUC1530" s="646"/>
      <c r="PUD1530" s="646"/>
      <c r="PUE1530" s="646"/>
      <c r="PUF1530" s="646"/>
      <c r="PUG1530" s="646"/>
      <c r="PUH1530" s="646"/>
      <c r="PUI1530" s="646"/>
      <c r="PUJ1530" s="646"/>
      <c r="PUK1530" s="646"/>
      <c r="PUL1530" s="646"/>
      <c r="PUM1530" s="646"/>
      <c r="PUN1530" s="646"/>
      <c r="PUO1530" s="646"/>
      <c r="PUP1530" s="646"/>
      <c r="PUQ1530" s="646"/>
      <c r="PUR1530" s="646"/>
      <c r="PUS1530" s="646"/>
      <c r="PUT1530" s="646"/>
      <c r="PUU1530" s="646"/>
      <c r="PUV1530" s="646"/>
      <c r="PUW1530" s="646"/>
      <c r="PUX1530" s="646"/>
      <c r="PUY1530" s="646"/>
      <c r="PUZ1530" s="646"/>
      <c r="PVA1530" s="646"/>
      <c r="PVB1530" s="646"/>
      <c r="PVC1530" s="646"/>
      <c r="PVD1530" s="646"/>
      <c r="PVE1530" s="646"/>
      <c r="PVF1530" s="646"/>
      <c r="PVG1530" s="646"/>
      <c r="PVH1530" s="646"/>
      <c r="PVI1530" s="646"/>
      <c r="PVJ1530" s="646"/>
      <c r="PVK1530" s="646"/>
      <c r="PVL1530" s="646"/>
      <c r="PVM1530" s="646"/>
      <c r="PVN1530" s="646"/>
      <c r="PVO1530" s="646"/>
      <c r="PVP1530" s="646"/>
      <c r="PVQ1530" s="646"/>
      <c r="PVR1530" s="646"/>
      <c r="PVS1530" s="646"/>
      <c r="PVT1530" s="646"/>
      <c r="PVU1530" s="646"/>
      <c r="PVV1530" s="646"/>
      <c r="PVW1530" s="646"/>
      <c r="PVX1530" s="646"/>
      <c r="PVY1530" s="646"/>
      <c r="PVZ1530" s="646"/>
      <c r="PWA1530" s="646"/>
      <c r="PWB1530" s="646"/>
      <c r="PWC1530" s="646"/>
      <c r="PWD1530" s="646"/>
      <c r="PWE1530" s="646"/>
      <c r="PWF1530" s="646"/>
      <c r="PWG1530" s="646"/>
      <c r="PWH1530" s="646"/>
      <c r="PWI1530" s="646"/>
      <c r="PWJ1530" s="646"/>
      <c r="PWK1530" s="646"/>
      <c r="PWL1530" s="646"/>
      <c r="PWM1530" s="646"/>
      <c r="PWN1530" s="646"/>
      <c r="PWO1530" s="646"/>
      <c r="PWP1530" s="646"/>
      <c r="PWQ1530" s="646"/>
      <c r="PWR1530" s="646"/>
      <c r="PWS1530" s="646"/>
      <c r="PWT1530" s="646"/>
      <c r="PWU1530" s="646"/>
      <c r="PWV1530" s="646"/>
      <c r="PWW1530" s="646"/>
      <c r="PWX1530" s="646"/>
      <c r="PWY1530" s="646"/>
      <c r="PWZ1530" s="646"/>
      <c r="PXA1530" s="646"/>
      <c r="PXB1530" s="646"/>
      <c r="PXC1530" s="646"/>
      <c r="PXD1530" s="646"/>
      <c r="PXE1530" s="646"/>
      <c r="PXF1530" s="646"/>
      <c r="PXG1530" s="646"/>
      <c r="PXH1530" s="646"/>
      <c r="PXI1530" s="646"/>
      <c r="PXJ1530" s="646"/>
      <c r="PXK1530" s="646"/>
      <c r="PXL1530" s="646"/>
      <c r="PXM1530" s="646"/>
      <c r="PXN1530" s="646"/>
      <c r="PXO1530" s="646"/>
      <c r="PXP1530" s="646"/>
      <c r="PXQ1530" s="646"/>
      <c r="PXR1530" s="646"/>
      <c r="PXS1530" s="646"/>
      <c r="PXT1530" s="646"/>
      <c r="PXU1530" s="646"/>
      <c r="PXV1530" s="646"/>
      <c r="PXW1530" s="646"/>
      <c r="PXX1530" s="646"/>
      <c r="PXY1530" s="646"/>
      <c r="PXZ1530" s="646"/>
      <c r="PYA1530" s="646"/>
      <c r="PYB1530" s="646"/>
      <c r="PYC1530" s="646"/>
      <c r="PYD1530" s="646"/>
      <c r="PYE1530" s="646"/>
      <c r="PYF1530" s="646"/>
      <c r="PYG1530" s="646"/>
      <c r="PYH1530" s="646"/>
      <c r="PYI1530" s="646"/>
      <c r="PYJ1530" s="646"/>
      <c r="PYK1530" s="646"/>
      <c r="PYL1530" s="646"/>
      <c r="PYM1530" s="646"/>
      <c r="PYN1530" s="646"/>
      <c r="PYO1530" s="646"/>
      <c r="PYP1530" s="646"/>
      <c r="PYQ1530" s="646"/>
      <c r="PYR1530" s="646"/>
      <c r="PYS1530" s="646"/>
      <c r="PYT1530" s="646"/>
      <c r="PYU1530" s="646"/>
      <c r="PYV1530" s="646"/>
      <c r="PYW1530" s="646"/>
      <c r="PYX1530" s="646"/>
      <c r="PYY1530" s="646"/>
      <c r="PYZ1530" s="646"/>
      <c r="PZA1530" s="646"/>
      <c r="PZB1530" s="646"/>
      <c r="PZC1530" s="646"/>
      <c r="PZD1530" s="646"/>
      <c r="PZE1530" s="646"/>
      <c r="PZF1530" s="646"/>
      <c r="PZG1530" s="646"/>
      <c r="PZH1530" s="646"/>
      <c r="PZI1530" s="646"/>
      <c r="PZJ1530" s="646"/>
      <c r="PZK1530" s="646"/>
      <c r="PZL1530" s="646"/>
      <c r="PZM1530" s="646"/>
      <c r="PZN1530" s="646"/>
      <c r="PZO1530" s="646"/>
      <c r="PZP1530" s="646"/>
      <c r="PZQ1530" s="646"/>
      <c r="PZR1530" s="646"/>
      <c r="PZS1530" s="646"/>
      <c r="PZT1530" s="646"/>
      <c r="PZU1530" s="646"/>
      <c r="PZV1530" s="646"/>
      <c r="PZW1530" s="646"/>
      <c r="PZX1530" s="646"/>
      <c r="PZY1530" s="646"/>
      <c r="PZZ1530" s="646"/>
      <c r="QAA1530" s="646"/>
      <c r="QAB1530" s="646"/>
      <c r="QAC1530" s="646"/>
      <c r="QAD1530" s="646"/>
      <c r="QAE1530" s="646"/>
      <c r="QAF1530" s="646"/>
      <c r="QAG1530" s="646"/>
      <c r="QAH1530" s="646"/>
      <c r="QAI1530" s="646"/>
      <c r="QAJ1530" s="646"/>
      <c r="QAK1530" s="646"/>
      <c r="QAL1530" s="646"/>
      <c r="QAM1530" s="646"/>
      <c r="QAN1530" s="646"/>
      <c r="QAO1530" s="646"/>
      <c r="QAP1530" s="646"/>
      <c r="QAQ1530" s="646"/>
      <c r="QAR1530" s="646"/>
      <c r="QAS1530" s="646"/>
      <c r="QAT1530" s="646"/>
      <c r="QAU1530" s="646"/>
      <c r="QAV1530" s="646"/>
      <c r="QAW1530" s="646"/>
      <c r="QAX1530" s="646"/>
      <c r="QAY1530" s="646"/>
      <c r="QAZ1530" s="646"/>
      <c r="QBA1530" s="646"/>
      <c r="QBB1530" s="646"/>
      <c r="QBC1530" s="646"/>
      <c r="QBD1530" s="646"/>
      <c r="QBE1530" s="646"/>
      <c r="QBF1530" s="646"/>
      <c r="QBG1530" s="646"/>
      <c r="QBH1530" s="646"/>
      <c r="QBI1530" s="646"/>
      <c r="QBJ1530" s="646"/>
      <c r="QBK1530" s="646"/>
      <c r="QBL1530" s="646"/>
      <c r="QBM1530" s="646"/>
      <c r="QBN1530" s="646"/>
      <c r="QBO1530" s="646"/>
      <c r="QBP1530" s="646"/>
      <c r="QBQ1530" s="646"/>
      <c r="QBR1530" s="646"/>
      <c r="QBS1530" s="646"/>
      <c r="QBT1530" s="646"/>
      <c r="QBU1530" s="646"/>
      <c r="QBV1530" s="646"/>
      <c r="QBW1530" s="646"/>
      <c r="QBX1530" s="646"/>
      <c r="QBY1530" s="646"/>
      <c r="QBZ1530" s="646"/>
      <c r="QCA1530" s="646"/>
      <c r="QCB1530" s="646"/>
      <c r="QCC1530" s="646"/>
      <c r="QCD1530" s="646"/>
      <c r="QCE1530" s="646"/>
      <c r="QCF1530" s="646"/>
      <c r="QCG1530" s="646"/>
      <c r="QCH1530" s="646"/>
      <c r="QCI1530" s="646"/>
      <c r="QCJ1530" s="646"/>
      <c r="QCK1530" s="646"/>
      <c r="QCL1530" s="646"/>
      <c r="QCM1530" s="646"/>
      <c r="QCN1530" s="646"/>
      <c r="QCO1530" s="646"/>
      <c r="QCP1530" s="646"/>
      <c r="QCQ1530" s="646"/>
      <c r="QCR1530" s="646"/>
      <c r="QCS1530" s="646"/>
      <c r="QCT1530" s="646"/>
      <c r="QCU1530" s="646"/>
      <c r="QCV1530" s="646"/>
      <c r="QCW1530" s="646"/>
      <c r="QCX1530" s="646"/>
      <c r="QCY1530" s="646"/>
      <c r="QCZ1530" s="646"/>
      <c r="QDA1530" s="646"/>
      <c r="QDB1530" s="646"/>
      <c r="QDC1530" s="646"/>
      <c r="QDD1530" s="646"/>
      <c r="QDE1530" s="646"/>
      <c r="QDF1530" s="646"/>
      <c r="QDG1530" s="646"/>
      <c r="QDH1530" s="646"/>
      <c r="QDI1530" s="646"/>
      <c r="QDJ1530" s="646"/>
      <c r="QDK1530" s="646"/>
      <c r="QDL1530" s="646"/>
      <c r="QDM1530" s="646"/>
      <c r="QDN1530" s="646"/>
      <c r="QDO1530" s="646"/>
      <c r="QDP1530" s="646"/>
      <c r="QDQ1530" s="646"/>
      <c r="QDR1530" s="646"/>
      <c r="QDS1530" s="646"/>
      <c r="QDT1530" s="646"/>
      <c r="QDU1530" s="646"/>
      <c r="QDV1530" s="646"/>
      <c r="QDW1530" s="646"/>
      <c r="QDX1530" s="646"/>
      <c r="QDY1530" s="646"/>
      <c r="QDZ1530" s="646"/>
      <c r="QEA1530" s="646"/>
      <c r="QEB1530" s="646"/>
      <c r="QEC1530" s="646"/>
      <c r="QED1530" s="646"/>
      <c r="QEE1530" s="646"/>
      <c r="QEF1530" s="646"/>
      <c r="QEG1530" s="646"/>
      <c r="QEH1530" s="646"/>
      <c r="QEI1530" s="646"/>
      <c r="QEJ1530" s="646"/>
      <c r="QEK1530" s="646"/>
      <c r="QEL1530" s="646"/>
      <c r="QEM1530" s="646"/>
      <c r="QEN1530" s="646"/>
      <c r="QEO1530" s="646"/>
      <c r="QEP1530" s="646"/>
      <c r="QEQ1530" s="646"/>
      <c r="QER1530" s="646"/>
      <c r="QES1530" s="646"/>
      <c r="QET1530" s="646"/>
      <c r="QEU1530" s="646"/>
      <c r="QEV1530" s="646"/>
      <c r="QEW1530" s="646"/>
      <c r="QEX1530" s="646"/>
      <c r="QEY1530" s="646"/>
      <c r="QEZ1530" s="646"/>
      <c r="QFA1530" s="646"/>
      <c r="QFB1530" s="646"/>
      <c r="QFC1530" s="646"/>
      <c r="QFD1530" s="646"/>
      <c r="QFE1530" s="646"/>
      <c r="QFF1530" s="646"/>
      <c r="QFG1530" s="646"/>
      <c r="QFH1530" s="646"/>
      <c r="QFI1530" s="646"/>
      <c r="QFJ1530" s="646"/>
      <c r="QFK1530" s="646"/>
      <c r="QFL1530" s="646"/>
      <c r="QFM1530" s="646"/>
      <c r="QFN1530" s="646"/>
      <c r="QFO1530" s="646"/>
      <c r="QFP1530" s="646"/>
      <c r="QFQ1530" s="646"/>
      <c r="QFR1530" s="646"/>
      <c r="QFS1530" s="646"/>
      <c r="QFT1530" s="646"/>
      <c r="QFU1530" s="646"/>
      <c r="QFV1530" s="646"/>
      <c r="QFW1530" s="646"/>
      <c r="QFX1530" s="646"/>
      <c r="QFY1530" s="646"/>
      <c r="QFZ1530" s="646"/>
      <c r="QGA1530" s="646"/>
      <c r="QGB1530" s="646"/>
      <c r="QGC1530" s="646"/>
      <c r="QGD1530" s="646"/>
      <c r="QGE1530" s="646"/>
      <c r="QGF1530" s="646"/>
      <c r="QGG1530" s="646"/>
      <c r="QGH1530" s="646"/>
      <c r="QGI1530" s="646"/>
      <c r="QGJ1530" s="646"/>
      <c r="QGK1530" s="646"/>
      <c r="QGL1530" s="646"/>
      <c r="QGM1530" s="646"/>
      <c r="QGN1530" s="646"/>
      <c r="QGO1530" s="646"/>
      <c r="QGP1530" s="646"/>
      <c r="QGQ1530" s="646"/>
      <c r="QGR1530" s="646"/>
      <c r="QGS1530" s="646"/>
      <c r="QGT1530" s="646"/>
      <c r="QGU1530" s="646"/>
      <c r="QGV1530" s="646"/>
      <c r="QGW1530" s="646"/>
      <c r="QGX1530" s="646"/>
      <c r="QGY1530" s="646"/>
      <c r="QGZ1530" s="646"/>
      <c r="QHA1530" s="646"/>
      <c r="QHB1530" s="646"/>
      <c r="QHC1530" s="646"/>
      <c r="QHD1530" s="646"/>
      <c r="QHE1530" s="646"/>
      <c r="QHF1530" s="646"/>
      <c r="QHG1530" s="646"/>
      <c r="QHH1530" s="646"/>
      <c r="QHI1530" s="646"/>
      <c r="QHJ1530" s="646"/>
      <c r="QHK1530" s="646"/>
      <c r="QHL1530" s="646"/>
      <c r="QHM1530" s="646"/>
      <c r="QHN1530" s="646"/>
      <c r="QHO1530" s="646"/>
      <c r="QHP1530" s="646"/>
      <c r="QHQ1530" s="646"/>
      <c r="QHR1530" s="646"/>
      <c r="QHS1530" s="646"/>
      <c r="QHT1530" s="646"/>
      <c r="QHU1530" s="646"/>
      <c r="QHV1530" s="646"/>
      <c r="QHW1530" s="646"/>
      <c r="QHX1530" s="646"/>
      <c r="QHY1530" s="646"/>
      <c r="QHZ1530" s="646"/>
      <c r="QIA1530" s="646"/>
      <c r="QIB1530" s="646"/>
      <c r="QIC1530" s="646"/>
      <c r="QID1530" s="646"/>
      <c r="QIE1530" s="646"/>
      <c r="QIF1530" s="646"/>
      <c r="QIG1530" s="646"/>
      <c r="QIH1530" s="646"/>
      <c r="QII1530" s="646"/>
      <c r="QIJ1530" s="646"/>
      <c r="QIK1530" s="646"/>
      <c r="QIL1530" s="646"/>
      <c r="QIM1530" s="646"/>
      <c r="QIN1530" s="646"/>
      <c r="QIO1530" s="646"/>
      <c r="QIP1530" s="646"/>
      <c r="QIQ1530" s="646"/>
      <c r="QIR1530" s="646"/>
      <c r="QIS1530" s="646"/>
      <c r="QIT1530" s="646"/>
      <c r="QIU1530" s="646"/>
      <c r="QIV1530" s="646"/>
      <c r="QIW1530" s="646"/>
      <c r="QIX1530" s="646"/>
      <c r="QIY1530" s="646"/>
      <c r="QIZ1530" s="646"/>
      <c r="QJA1530" s="646"/>
      <c r="QJB1530" s="646"/>
      <c r="QJC1530" s="646"/>
      <c r="QJD1530" s="646"/>
      <c r="QJE1530" s="646"/>
      <c r="QJF1530" s="646"/>
      <c r="QJG1530" s="646"/>
      <c r="QJH1530" s="646"/>
      <c r="QJI1530" s="646"/>
      <c r="QJJ1530" s="646"/>
      <c r="QJK1530" s="646"/>
      <c r="QJL1530" s="646"/>
      <c r="QJM1530" s="646"/>
      <c r="QJN1530" s="646"/>
      <c r="QJO1530" s="646"/>
      <c r="QJP1530" s="646"/>
      <c r="QJQ1530" s="646"/>
      <c r="QJR1530" s="646"/>
      <c r="QJS1530" s="646"/>
      <c r="QJT1530" s="646"/>
      <c r="QJU1530" s="646"/>
      <c r="QJV1530" s="646"/>
      <c r="QJW1530" s="646"/>
      <c r="QJX1530" s="646"/>
      <c r="QJY1530" s="646"/>
      <c r="QJZ1530" s="646"/>
      <c r="QKA1530" s="646"/>
      <c r="QKB1530" s="646"/>
      <c r="QKC1530" s="646"/>
      <c r="QKD1530" s="646"/>
      <c r="QKE1530" s="646"/>
      <c r="QKF1530" s="646"/>
      <c r="QKG1530" s="646"/>
      <c r="QKH1530" s="646"/>
      <c r="QKI1530" s="646"/>
      <c r="QKJ1530" s="646"/>
      <c r="QKK1530" s="646"/>
      <c r="QKL1530" s="646"/>
      <c r="QKM1530" s="646"/>
      <c r="QKN1530" s="646"/>
      <c r="QKO1530" s="646"/>
      <c r="QKP1530" s="646"/>
      <c r="QKQ1530" s="646"/>
      <c r="QKR1530" s="646"/>
      <c r="QKS1530" s="646"/>
      <c r="QKT1530" s="646"/>
      <c r="QKU1530" s="646"/>
      <c r="QKV1530" s="646"/>
      <c r="QKW1530" s="646"/>
      <c r="QKX1530" s="646"/>
      <c r="QKY1530" s="646"/>
      <c r="QKZ1530" s="646"/>
      <c r="QLA1530" s="646"/>
      <c r="QLB1530" s="646"/>
      <c r="QLC1530" s="646"/>
      <c r="QLD1530" s="646"/>
      <c r="QLE1530" s="646"/>
      <c r="QLF1530" s="646"/>
      <c r="QLG1530" s="646"/>
      <c r="QLH1530" s="646"/>
      <c r="QLI1530" s="646"/>
      <c r="QLJ1530" s="646"/>
      <c r="QLK1530" s="646"/>
      <c r="QLL1530" s="646"/>
      <c r="QLM1530" s="646"/>
      <c r="QLN1530" s="646"/>
      <c r="QLO1530" s="646"/>
      <c r="QLP1530" s="646"/>
      <c r="QLQ1530" s="646"/>
      <c r="QLR1530" s="646"/>
      <c r="QLS1530" s="646"/>
      <c r="QLT1530" s="646"/>
      <c r="QLU1530" s="646"/>
      <c r="QLV1530" s="646"/>
      <c r="QLW1530" s="646"/>
      <c r="QLX1530" s="646"/>
      <c r="QLY1530" s="646"/>
      <c r="QLZ1530" s="646"/>
      <c r="QMA1530" s="646"/>
      <c r="QMB1530" s="646"/>
      <c r="QMC1530" s="646"/>
      <c r="QMD1530" s="646"/>
      <c r="QME1530" s="646"/>
      <c r="QMF1530" s="646"/>
      <c r="QMG1530" s="646"/>
      <c r="QMH1530" s="646"/>
      <c r="QMI1530" s="646"/>
      <c r="QMJ1530" s="646"/>
      <c r="QMK1530" s="646"/>
      <c r="QML1530" s="646"/>
      <c r="QMM1530" s="646"/>
      <c r="QMN1530" s="646"/>
      <c r="QMO1530" s="646"/>
      <c r="QMP1530" s="646"/>
      <c r="QMQ1530" s="646"/>
      <c r="QMR1530" s="646"/>
      <c r="QMS1530" s="646"/>
      <c r="QMT1530" s="646"/>
      <c r="QMU1530" s="646"/>
      <c r="QMV1530" s="646"/>
      <c r="QMW1530" s="646"/>
      <c r="QMX1530" s="646"/>
      <c r="QMY1530" s="646"/>
      <c r="QMZ1530" s="646"/>
      <c r="QNA1530" s="646"/>
      <c r="QNB1530" s="646"/>
      <c r="QNC1530" s="646"/>
      <c r="QND1530" s="646"/>
      <c r="QNE1530" s="646"/>
      <c r="QNF1530" s="646"/>
      <c r="QNG1530" s="646"/>
      <c r="QNH1530" s="646"/>
      <c r="QNI1530" s="646"/>
      <c r="QNJ1530" s="646"/>
      <c r="QNK1530" s="646"/>
      <c r="QNL1530" s="646"/>
      <c r="QNM1530" s="646"/>
      <c r="QNN1530" s="646"/>
      <c r="QNO1530" s="646"/>
      <c r="QNP1530" s="646"/>
      <c r="QNQ1530" s="646"/>
      <c r="QNR1530" s="646"/>
      <c r="QNS1530" s="646"/>
      <c r="QNT1530" s="646"/>
      <c r="QNU1530" s="646"/>
      <c r="QNV1530" s="646"/>
      <c r="QNW1530" s="646"/>
      <c r="QNX1530" s="646"/>
      <c r="QNY1530" s="646"/>
      <c r="QNZ1530" s="646"/>
      <c r="QOA1530" s="646"/>
      <c r="QOB1530" s="646"/>
      <c r="QOC1530" s="646"/>
      <c r="QOD1530" s="646"/>
      <c r="QOE1530" s="646"/>
      <c r="QOF1530" s="646"/>
      <c r="QOG1530" s="646"/>
      <c r="QOH1530" s="646"/>
      <c r="QOI1530" s="646"/>
      <c r="QOJ1530" s="646"/>
      <c r="QOK1530" s="646"/>
      <c r="QOL1530" s="646"/>
      <c r="QOM1530" s="646"/>
      <c r="QON1530" s="646"/>
      <c r="QOO1530" s="646"/>
      <c r="QOP1530" s="646"/>
      <c r="QOQ1530" s="646"/>
      <c r="QOR1530" s="646"/>
      <c r="QOS1530" s="646"/>
      <c r="QOT1530" s="646"/>
      <c r="QOU1530" s="646"/>
      <c r="QOV1530" s="646"/>
      <c r="QOW1530" s="646"/>
      <c r="QOX1530" s="646"/>
      <c r="QOY1530" s="646"/>
      <c r="QOZ1530" s="646"/>
      <c r="QPA1530" s="646"/>
      <c r="QPB1530" s="646"/>
      <c r="QPC1530" s="646"/>
      <c r="QPD1530" s="646"/>
      <c r="QPE1530" s="646"/>
      <c r="QPF1530" s="646"/>
      <c r="QPG1530" s="646"/>
      <c r="QPH1530" s="646"/>
      <c r="QPI1530" s="646"/>
      <c r="QPJ1530" s="646"/>
      <c r="QPK1530" s="646"/>
      <c r="QPL1530" s="646"/>
      <c r="QPM1530" s="646"/>
      <c r="QPN1530" s="646"/>
      <c r="QPO1530" s="646"/>
      <c r="QPP1530" s="646"/>
      <c r="QPQ1530" s="646"/>
      <c r="QPR1530" s="646"/>
      <c r="QPS1530" s="646"/>
      <c r="QPT1530" s="646"/>
      <c r="QPU1530" s="646"/>
      <c r="QPV1530" s="646"/>
      <c r="QPW1530" s="646"/>
      <c r="QPX1530" s="646"/>
      <c r="QPY1530" s="646"/>
      <c r="QPZ1530" s="646"/>
      <c r="QQA1530" s="646"/>
      <c r="QQB1530" s="646"/>
      <c r="QQC1530" s="646"/>
      <c r="QQD1530" s="646"/>
      <c r="QQE1530" s="646"/>
      <c r="QQF1530" s="646"/>
      <c r="QQG1530" s="646"/>
      <c r="QQH1530" s="646"/>
      <c r="QQI1530" s="646"/>
      <c r="QQJ1530" s="646"/>
      <c r="QQK1530" s="646"/>
      <c r="QQL1530" s="646"/>
      <c r="QQM1530" s="646"/>
      <c r="QQN1530" s="646"/>
      <c r="QQO1530" s="646"/>
      <c r="QQP1530" s="646"/>
      <c r="QQQ1530" s="646"/>
      <c r="QQR1530" s="646"/>
      <c r="QQS1530" s="646"/>
      <c r="QQT1530" s="646"/>
      <c r="QQU1530" s="646"/>
      <c r="QQV1530" s="646"/>
      <c r="QQW1530" s="646"/>
      <c r="QQX1530" s="646"/>
      <c r="QQY1530" s="646"/>
      <c r="QQZ1530" s="646"/>
      <c r="QRA1530" s="646"/>
      <c r="QRB1530" s="646"/>
      <c r="QRC1530" s="646"/>
      <c r="QRD1530" s="646"/>
      <c r="QRE1530" s="646"/>
      <c r="QRF1530" s="646"/>
      <c r="QRG1530" s="646"/>
      <c r="QRH1530" s="646"/>
      <c r="QRI1530" s="646"/>
      <c r="QRJ1530" s="646"/>
      <c r="QRK1530" s="646"/>
      <c r="QRL1530" s="646"/>
      <c r="QRM1530" s="646"/>
      <c r="QRN1530" s="646"/>
      <c r="QRO1530" s="646"/>
      <c r="QRP1530" s="646"/>
      <c r="QRQ1530" s="646"/>
      <c r="QRR1530" s="646"/>
      <c r="QRS1530" s="646"/>
      <c r="QRT1530" s="646"/>
      <c r="QRU1530" s="646"/>
      <c r="QRV1530" s="646"/>
      <c r="QRW1530" s="646"/>
      <c r="QRX1530" s="646"/>
      <c r="QRY1530" s="646"/>
      <c r="QRZ1530" s="646"/>
      <c r="QSA1530" s="646"/>
      <c r="QSB1530" s="646"/>
      <c r="QSC1530" s="646"/>
      <c r="QSD1530" s="646"/>
      <c r="QSE1530" s="646"/>
      <c r="QSF1530" s="646"/>
      <c r="QSG1530" s="646"/>
      <c r="QSH1530" s="646"/>
      <c r="QSI1530" s="646"/>
      <c r="QSJ1530" s="646"/>
      <c r="QSK1530" s="646"/>
      <c r="QSL1530" s="646"/>
      <c r="QSM1530" s="646"/>
      <c r="QSN1530" s="646"/>
      <c r="QSO1530" s="646"/>
      <c r="QSP1530" s="646"/>
      <c r="QSQ1530" s="646"/>
      <c r="QSR1530" s="646"/>
      <c r="QSS1530" s="646"/>
      <c r="QST1530" s="646"/>
      <c r="QSU1530" s="646"/>
      <c r="QSV1530" s="646"/>
      <c r="QSW1530" s="646"/>
      <c r="QSX1530" s="646"/>
      <c r="QSY1530" s="646"/>
      <c r="QSZ1530" s="646"/>
      <c r="QTA1530" s="646"/>
      <c r="QTB1530" s="646"/>
      <c r="QTC1530" s="646"/>
      <c r="QTD1530" s="646"/>
      <c r="QTE1530" s="646"/>
      <c r="QTF1530" s="646"/>
      <c r="QTG1530" s="646"/>
      <c r="QTH1530" s="646"/>
      <c r="QTI1530" s="646"/>
      <c r="QTJ1530" s="646"/>
      <c r="QTK1530" s="646"/>
      <c r="QTL1530" s="646"/>
      <c r="QTM1530" s="646"/>
      <c r="QTN1530" s="646"/>
      <c r="QTO1530" s="646"/>
      <c r="QTP1530" s="646"/>
      <c r="QTQ1530" s="646"/>
      <c r="QTR1530" s="646"/>
      <c r="QTS1530" s="646"/>
      <c r="QTT1530" s="646"/>
      <c r="QTU1530" s="646"/>
      <c r="QTV1530" s="646"/>
      <c r="QTW1530" s="646"/>
      <c r="QTX1530" s="646"/>
      <c r="QTY1530" s="646"/>
      <c r="QTZ1530" s="646"/>
      <c r="QUA1530" s="646"/>
      <c r="QUB1530" s="646"/>
      <c r="QUC1530" s="646"/>
      <c r="QUD1530" s="646"/>
      <c r="QUE1530" s="646"/>
      <c r="QUF1530" s="646"/>
      <c r="QUG1530" s="646"/>
      <c r="QUH1530" s="646"/>
      <c r="QUI1530" s="646"/>
      <c r="QUJ1530" s="646"/>
      <c r="QUK1530" s="646"/>
      <c r="QUL1530" s="646"/>
      <c r="QUM1530" s="646"/>
      <c r="QUN1530" s="646"/>
      <c r="QUO1530" s="646"/>
      <c r="QUP1530" s="646"/>
      <c r="QUQ1530" s="646"/>
      <c r="QUR1530" s="646"/>
      <c r="QUS1530" s="646"/>
      <c r="QUT1530" s="646"/>
      <c r="QUU1530" s="646"/>
      <c r="QUV1530" s="646"/>
      <c r="QUW1530" s="646"/>
      <c r="QUX1530" s="646"/>
      <c r="QUY1530" s="646"/>
      <c r="QUZ1530" s="646"/>
      <c r="QVA1530" s="646"/>
      <c r="QVB1530" s="646"/>
      <c r="QVC1530" s="646"/>
      <c r="QVD1530" s="646"/>
      <c r="QVE1530" s="646"/>
      <c r="QVF1530" s="646"/>
      <c r="QVG1530" s="646"/>
      <c r="QVH1530" s="646"/>
      <c r="QVI1530" s="646"/>
      <c r="QVJ1530" s="646"/>
      <c r="QVK1530" s="646"/>
      <c r="QVL1530" s="646"/>
      <c r="QVM1530" s="646"/>
      <c r="QVN1530" s="646"/>
      <c r="QVO1530" s="646"/>
      <c r="QVP1530" s="646"/>
      <c r="QVQ1530" s="646"/>
      <c r="QVR1530" s="646"/>
      <c r="QVS1530" s="646"/>
      <c r="QVT1530" s="646"/>
      <c r="QVU1530" s="646"/>
      <c r="QVV1530" s="646"/>
      <c r="QVW1530" s="646"/>
      <c r="QVX1530" s="646"/>
      <c r="QVY1530" s="646"/>
      <c r="QVZ1530" s="646"/>
      <c r="QWA1530" s="646"/>
      <c r="QWB1530" s="646"/>
      <c r="QWC1530" s="646"/>
      <c r="QWD1530" s="646"/>
      <c r="QWE1530" s="646"/>
      <c r="QWF1530" s="646"/>
      <c r="QWG1530" s="646"/>
      <c r="QWH1530" s="646"/>
      <c r="QWI1530" s="646"/>
      <c r="QWJ1530" s="646"/>
      <c r="QWK1530" s="646"/>
      <c r="QWL1530" s="646"/>
      <c r="QWM1530" s="646"/>
      <c r="QWN1530" s="646"/>
      <c r="QWO1530" s="646"/>
      <c r="QWP1530" s="646"/>
      <c r="QWQ1530" s="646"/>
      <c r="QWR1530" s="646"/>
      <c r="QWS1530" s="646"/>
      <c r="QWT1530" s="646"/>
      <c r="QWU1530" s="646"/>
      <c r="QWV1530" s="646"/>
      <c r="QWW1530" s="646"/>
      <c r="QWX1530" s="646"/>
      <c r="QWY1530" s="646"/>
      <c r="QWZ1530" s="646"/>
      <c r="QXA1530" s="646"/>
      <c r="QXB1530" s="646"/>
      <c r="QXC1530" s="646"/>
      <c r="QXD1530" s="646"/>
      <c r="QXE1530" s="646"/>
      <c r="QXF1530" s="646"/>
      <c r="QXG1530" s="646"/>
      <c r="QXH1530" s="646"/>
      <c r="QXI1530" s="646"/>
      <c r="QXJ1530" s="646"/>
      <c r="QXK1530" s="646"/>
      <c r="QXL1530" s="646"/>
      <c r="QXM1530" s="646"/>
      <c r="QXN1530" s="646"/>
      <c r="QXO1530" s="646"/>
      <c r="QXP1530" s="646"/>
      <c r="QXQ1530" s="646"/>
      <c r="QXR1530" s="646"/>
      <c r="QXS1530" s="646"/>
      <c r="QXT1530" s="646"/>
      <c r="QXU1530" s="646"/>
      <c r="QXV1530" s="646"/>
      <c r="QXW1530" s="646"/>
      <c r="QXX1530" s="646"/>
      <c r="QXY1530" s="646"/>
      <c r="QXZ1530" s="646"/>
      <c r="QYA1530" s="646"/>
      <c r="QYB1530" s="646"/>
      <c r="QYC1530" s="646"/>
      <c r="QYD1530" s="646"/>
      <c r="QYE1530" s="646"/>
      <c r="QYF1530" s="646"/>
      <c r="QYG1530" s="646"/>
      <c r="QYH1530" s="646"/>
      <c r="QYI1530" s="646"/>
      <c r="QYJ1530" s="646"/>
      <c r="QYK1530" s="646"/>
      <c r="QYL1530" s="646"/>
      <c r="QYM1530" s="646"/>
      <c r="QYN1530" s="646"/>
      <c r="QYO1530" s="646"/>
      <c r="QYP1530" s="646"/>
      <c r="QYQ1530" s="646"/>
      <c r="QYR1530" s="646"/>
      <c r="QYS1530" s="646"/>
      <c r="QYT1530" s="646"/>
      <c r="QYU1530" s="646"/>
      <c r="QYV1530" s="646"/>
      <c r="QYW1530" s="646"/>
      <c r="QYX1530" s="646"/>
      <c r="QYY1530" s="646"/>
      <c r="QYZ1530" s="646"/>
      <c r="QZA1530" s="646"/>
      <c r="QZB1530" s="646"/>
      <c r="QZC1530" s="646"/>
      <c r="QZD1530" s="646"/>
      <c r="QZE1530" s="646"/>
      <c r="QZF1530" s="646"/>
      <c r="QZG1530" s="646"/>
      <c r="QZH1530" s="646"/>
      <c r="QZI1530" s="646"/>
      <c r="QZJ1530" s="646"/>
      <c r="QZK1530" s="646"/>
      <c r="QZL1530" s="646"/>
      <c r="QZM1530" s="646"/>
      <c r="QZN1530" s="646"/>
      <c r="QZO1530" s="646"/>
      <c r="QZP1530" s="646"/>
      <c r="QZQ1530" s="646"/>
      <c r="QZR1530" s="646"/>
      <c r="QZS1530" s="646"/>
      <c r="QZT1530" s="646"/>
      <c r="QZU1530" s="646"/>
      <c r="QZV1530" s="646"/>
      <c r="QZW1530" s="646"/>
      <c r="QZX1530" s="646"/>
      <c r="QZY1530" s="646"/>
      <c r="QZZ1530" s="646"/>
      <c r="RAA1530" s="646"/>
      <c r="RAB1530" s="646"/>
      <c r="RAC1530" s="646"/>
      <c r="RAD1530" s="646"/>
      <c r="RAE1530" s="646"/>
      <c r="RAF1530" s="646"/>
      <c r="RAG1530" s="646"/>
      <c r="RAH1530" s="646"/>
      <c r="RAI1530" s="646"/>
      <c r="RAJ1530" s="646"/>
      <c r="RAK1530" s="646"/>
      <c r="RAL1530" s="646"/>
      <c r="RAM1530" s="646"/>
      <c r="RAN1530" s="646"/>
      <c r="RAO1530" s="646"/>
      <c r="RAP1530" s="646"/>
      <c r="RAQ1530" s="646"/>
      <c r="RAR1530" s="646"/>
      <c r="RAS1530" s="646"/>
      <c r="RAT1530" s="646"/>
      <c r="RAU1530" s="646"/>
      <c r="RAV1530" s="646"/>
      <c r="RAW1530" s="646"/>
      <c r="RAX1530" s="646"/>
      <c r="RAY1530" s="646"/>
      <c r="RAZ1530" s="646"/>
      <c r="RBA1530" s="646"/>
      <c r="RBB1530" s="646"/>
      <c r="RBC1530" s="646"/>
      <c r="RBD1530" s="646"/>
      <c r="RBE1530" s="646"/>
      <c r="RBF1530" s="646"/>
      <c r="RBG1530" s="646"/>
      <c r="RBH1530" s="646"/>
      <c r="RBI1530" s="646"/>
      <c r="RBJ1530" s="646"/>
      <c r="RBK1530" s="646"/>
      <c r="RBL1530" s="646"/>
      <c r="RBM1530" s="646"/>
      <c r="RBN1530" s="646"/>
      <c r="RBO1530" s="646"/>
      <c r="RBP1530" s="646"/>
      <c r="RBQ1530" s="646"/>
      <c r="RBR1530" s="646"/>
      <c r="RBS1530" s="646"/>
      <c r="RBT1530" s="646"/>
      <c r="RBU1530" s="646"/>
      <c r="RBV1530" s="646"/>
      <c r="RBW1530" s="646"/>
      <c r="RBX1530" s="646"/>
      <c r="RBY1530" s="646"/>
      <c r="RBZ1530" s="646"/>
      <c r="RCA1530" s="646"/>
      <c r="RCB1530" s="646"/>
      <c r="RCC1530" s="646"/>
      <c r="RCD1530" s="646"/>
      <c r="RCE1530" s="646"/>
      <c r="RCF1530" s="646"/>
      <c r="RCG1530" s="646"/>
      <c r="RCH1530" s="646"/>
      <c r="RCI1530" s="646"/>
      <c r="RCJ1530" s="646"/>
      <c r="RCK1530" s="646"/>
      <c r="RCL1530" s="646"/>
      <c r="RCM1530" s="646"/>
      <c r="RCN1530" s="646"/>
      <c r="RCO1530" s="646"/>
      <c r="RCP1530" s="646"/>
      <c r="RCQ1530" s="646"/>
      <c r="RCR1530" s="646"/>
      <c r="RCS1530" s="646"/>
      <c r="RCT1530" s="646"/>
      <c r="RCU1530" s="646"/>
      <c r="RCV1530" s="646"/>
      <c r="RCW1530" s="646"/>
      <c r="RCX1530" s="646"/>
      <c r="RCY1530" s="646"/>
      <c r="RCZ1530" s="646"/>
      <c r="RDA1530" s="646"/>
      <c r="RDB1530" s="646"/>
      <c r="RDC1530" s="646"/>
      <c r="RDD1530" s="646"/>
      <c r="RDE1530" s="646"/>
      <c r="RDF1530" s="646"/>
      <c r="RDG1530" s="646"/>
      <c r="RDH1530" s="646"/>
      <c r="RDI1530" s="646"/>
      <c r="RDJ1530" s="646"/>
      <c r="RDK1530" s="646"/>
      <c r="RDL1530" s="646"/>
      <c r="RDM1530" s="646"/>
      <c r="RDN1530" s="646"/>
      <c r="RDO1530" s="646"/>
      <c r="RDP1530" s="646"/>
      <c r="RDQ1530" s="646"/>
      <c r="RDR1530" s="646"/>
      <c r="RDS1530" s="646"/>
      <c r="RDT1530" s="646"/>
      <c r="RDU1530" s="646"/>
      <c r="RDV1530" s="646"/>
      <c r="RDW1530" s="646"/>
      <c r="RDX1530" s="646"/>
      <c r="RDY1530" s="646"/>
      <c r="RDZ1530" s="646"/>
      <c r="REA1530" s="646"/>
      <c r="REB1530" s="646"/>
      <c r="REC1530" s="646"/>
      <c r="RED1530" s="646"/>
      <c r="REE1530" s="646"/>
      <c r="REF1530" s="646"/>
      <c r="REG1530" s="646"/>
      <c r="REH1530" s="646"/>
      <c r="REI1530" s="646"/>
      <c r="REJ1530" s="646"/>
      <c r="REK1530" s="646"/>
      <c r="REL1530" s="646"/>
      <c r="REM1530" s="646"/>
      <c r="REN1530" s="646"/>
      <c r="REO1530" s="646"/>
      <c r="REP1530" s="646"/>
      <c r="REQ1530" s="646"/>
      <c r="RER1530" s="646"/>
      <c r="RES1530" s="646"/>
      <c r="RET1530" s="646"/>
      <c r="REU1530" s="646"/>
      <c r="REV1530" s="646"/>
      <c r="REW1530" s="646"/>
      <c r="REX1530" s="646"/>
      <c r="REY1530" s="646"/>
      <c r="REZ1530" s="646"/>
      <c r="RFA1530" s="646"/>
      <c r="RFB1530" s="646"/>
      <c r="RFC1530" s="646"/>
      <c r="RFD1530" s="646"/>
      <c r="RFE1530" s="646"/>
      <c r="RFF1530" s="646"/>
      <c r="RFG1530" s="646"/>
      <c r="RFH1530" s="646"/>
      <c r="RFI1530" s="646"/>
      <c r="RFJ1530" s="646"/>
      <c r="RFK1530" s="646"/>
      <c r="RFL1530" s="646"/>
      <c r="RFM1530" s="646"/>
      <c r="RFN1530" s="646"/>
      <c r="RFO1530" s="646"/>
      <c r="RFP1530" s="646"/>
      <c r="RFQ1530" s="646"/>
      <c r="RFR1530" s="646"/>
      <c r="RFS1530" s="646"/>
      <c r="RFT1530" s="646"/>
      <c r="RFU1530" s="646"/>
      <c r="RFV1530" s="646"/>
      <c r="RFW1530" s="646"/>
      <c r="RFX1530" s="646"/>
      <c r="RFY1530" s="646"/>
      <c r="RFZ1530" s="646"/>
      <c r="RGA1530" s="646"/>
      <c r="RGB1530" s="646"/>
      <c r="RGC1530" s="646"/>
      <c r="RGD1530" s="646"/>
      <c r="RGE1530" s="646"/>
      <c r="RGF1530" s="646"/>
      <c r="RGG1530" s="646"/>
      <c r="RGH1530" s="646"/>
      <c r="RGI1530" s="646"/>
      <c r="RGJ1530" s="646"/>
      <c r="RGK1530" s="646"/>
      <c r="RGL1530" s="646"/>
      <c r="RGM1530" s="646"/>
      <c r="RGN1530" s="646"/>
      <c r="RGO1530" s="646"/>
      <c r="RGP1530" s="646"/>
      <c r="RGQ1530" s="646"/>
      <c r="RGR1530" s="646"/>
      <c r="RGS1530" s="646"/>
      <c r="RGT1530" s="646"/>
      <c r="RGU1530" s="646"/>
      <c r="RGV1530" s="646"/>
      <c r="RGW1530" s="646"/>
      <c r="RGX1530" s="646"/>
      <c r="RGY1530" s="646"/>
      <c r="RGZ1530" s="646"/>
      <c r="RHA1530" s="646"/>
      <c r="RHB1530" s="646"/>
      <c r="RHC1530" s="646"/>
      <c r="RHD1530" s="646"/>
      <c r="RHE1530" s="646"/>
      <c r="RHF1530" s="646"/>
      <c r="RHG1530" s="646"/>
      <c r="RHH1530" s="646"/>
      <c r="RHI1530" s="646"/>
      <c r="RHJ1530" s="646"/>
      <c r="RHK1530" s="646"/>
      <c r="RHL1530" s="646"/>
      <c r="RHM1530" s="646"/>
      <c r="RHN1530" s="646"/>
      <c r="RHO1530" s="646"/>
      <c r="RHP1530" s="646"/>
      <c r="RHQ1530" s="646"/>
      <c r="RHR1530" s="646"/>
      <c r="RHS1530" s="646"/>
      <c r="RHT1530" s="646"/>
      <c r="RHU1530" s="646"/>
      <c r="RHV1530" s="646"/>
      <c r="RHW1530" s="646"/>
      <c r="RHX1530" s="646"/>
      <c r="RHY1530" s="646"/>
      <c r="RHZ1530" s="646"/>
      <c r="RIA1530" s="646"/>
      <c r="RIB1530" s="646"/>
      <c r="RIC1530" s="646"/>
      <c r="RID1530" s="646"/>
      <c r="RIE1530" s="646"/>
      <c r="RIF1530" s="646"/>
      <c r="RIG1530" s="646"/>
      <c r="RIH1530" s="646"/>
      <c r="RII1530" s="646"/>
      <c r="RIJ1530" s="646"/>
      <c r="RIK1530" s="646"/>
      <c r="RIL1530" s="646"/>
      <c r="RIM1530" s="646"/>
      <c r="RIN1530" s="646"/>
      <c r="RIO1530" s="646"/>
      <c r="RIP1530" s="646"/>
      <c r="RIQ1530" s="646"/>
      <c r="RIR1530" s="646"/>
      <c r="RIS1530" s="646"/>
      <c r="RIT1530" s="646"/>
      <c r="RIU1530" s="646"/>
      <c r="RIV1530" s="646"/>
      <c r="RIW1530" s="646"/>
      <c r="RIX1530" s="646"/>
      <c r="RIY1530" s="646"/>
      <c r="RIZ1530" s="646"/>
      <c r="RJA1530" s="646"/>
      <c r="RJB1530" s="646"/>
      <c r="RJC1530" s="646"/>
      <c r="RJD1530" s="646"/>
      <c r="RJE1530" s="646"/>
      <c r="RJF1530" s="646"/>
      <c r="RJG1530" s="646"/>
      <c r="RJH1530" s="646"/>
      <c r="RJI1530" s="646"/>
      <c r="RJJ1530" s="646"/>
      <c r="RJK1530" s="646"/>
      <c r="RJL1530" s="646"/>
      <c r="RJM1530" s="646"/>
      <c r="RJN1530" s="646"/>
      <c r="RJO1530" s="646"/>
      <c r="RJP1530" s="646"/>
      <c r="RJQ1530" s="646"/>
      <c r="RJR1530" s="646"/>
      <c r="RJS1530" s="646"/>
      <c r="RJT1530" s="646"/>
      <c r="RJU1530" s="646"/>
      <c r="RJV1530" s="646"/>
      <c r="RJW1530" s="646"/>
      <c r="RJX1530" s="646"/>
      <c r="RJY1530" s="646"/>
      <c r="RJZ1530" s="646"/>
      <c r="RKA1530" s="646"/>
      <c r="RKB1530" s="646"/>
      <c r="RKC1530" s="646"/>
      <c r="RKD1530" s="646"/>
      <c r="RKE1530" s="646"/>
      <c r="RKF1530" s="646"/>
      <c r="RKG1530" s="646"/>
      <c r="RKH1530" s="646"/>
      <c r="RKI1530" s="646"/>
      <c r="RKJ1530" s="646"/>
      <c r="RKK1530" s="646"/>
      <c r="RKL1530" s="646"/>
      <c r="RKM1530" s="646"/>
      <c r="RKN1530" s="646"/>
      <c r="RKO1530" s="646"/>
      <c r="RKP1530" s="646"/>
      <c r="RKQ1530" s="646"/>
      <c r="RKR1530" s="646"/>
      <c r="RKS1530" s="646"/>
      <c r="RKT1530" s="646"/>
      <c r="RKU1530" s="646"/>
      <c r="RKV1530" s="646"/>
      <c r="RKW1530" s="646"/>
      <c r="RKX1530" s="646"/>
      <c r="RKY1530" s="646"/>
      <c r="RKZ1530" s="646"/>
      <c r="RLA1530" s="646"/>
      <c r="RLB1530" s="646"/>
      <c r="RLC1530" s="646"/>
      <c r="RLD1530" s="646"/>
      <c r="RLE1530" s="646"/>
      <c r="RLF1530" s="646"/>
      <c r="RLG1530" s="646"/>
      <c r="RLH1530" s="646"/>
      <c r="RLI1530" s="646"/>
      <c r="RLJ1530" s="646"/>
      <c r="RLK1530" s="646"/>
      <c r="RLL1530" s="646"/>
      <c r="RLM1530" s="646"/>
      <c r="RLN1530" s="646"/>
      <c r="RLO1530" s="646"/>
      <c r="RLP1530" s="646"/>
      <c r="RLQ1530" s="646"/>
      <c r="RLR1530" s="646"/>
      <c r="RLS1530" s="646"/>
      <c r="RLT1530" s="646"/>
      <c r="RLU1530" s="646"/>
      <c r="RLV1530" s="646"/>
      <c r="RLW1530" s="646"/>
      <c r="RLX1530" s="646"/>
      <c r="RLY1530" s="646"/>
      <c r="RLZ1530" s="646"/>
      <c r="RMA1530" s="646"/>
      <c r="RMB1530" s="646"/>
      <c r="RMC1530" s="646"/>
      <c r="RMD1530" s="646"/>
      <c r="RME1530" s="646"/>
      <c r="RMF1530" s="646"/>
      <c r="RMG1530" s="646"/>
      <c r="RMH1530" s="646"/>
      <c r="RMI1530" s="646"/>
      <c r="RMJ1530" s="646"/>
      <c r="RMK1530" s="646"/>
      <c r="RML1530" s="646"/>
      <c r="RMM1530" s="646"/>
      <c r="RMN1530" s="646"/>
      <c r="RMO1530" s="646"/>
      <c r="RMP1530" s="646"/>
      <c r="RMQ1530" s="646"/>
      <c r="RMR1530" s="646"/>
      <c r="RMS1530" s="646"/>
      <c r="RMT1530" s="646"/>
      <c r="RMU1530" s="646"/>
      <c r="RMV1530" s="646"/>
      <c r="RMW1530" s="646"/>
      <c r="RMX1530" s="646"/>
      <c r="RMY1530" s="646"/>
      <c r="RMZ1530" s="646"/>
      <c r="RNA1530" s="646"/>
      <c r="RNB1530" s="646"/>
      <c r="RNC1530" s="646"/>
      <c r="RND1530" s="646"/>
      <c r="RNE1530" s="646"/>
      <c r="RNF1530" s="646"/>
      <c r="RNG1530" s="646"/>
      <c r="RNH1530" s="646"/>
      <c r="RNI1530" s="646"/>
      <c r="RNJ1530" s="646"/>
      <c r="RNK1530" s="646"/>
      <c r="RNL1530" s="646"/>
      <c r="RNM1530" s="646"/>
      <c r="RNN1530" s="646"/>
      <c r="RNO1530" s="646"/>
      <c r="RNP1530" s="646"/>
      <c r="RNQ1530" s="646"/>
      <c r="RNR1530" s="646"/>
      <c r="RNS1530" s="646"/>
      <c r="RNT1530" s="646"/>
      <c r="RNU1530" s="646"/>
      <c r="RNV1530" s="646"/>
      <c r="RNW1530" s="646"/>
      <c r="RNX1530" s="646"/>
      <c r="RNY1530" s="646"/>
      <c r="RNZ1530" s="646"/>
      <c r="ROA1530" s="646"/>
      <c r="ROB1530" s="646"/>
      <c r="ROC1530" s="646"/>
      <c r="ROD1530" s="646"/>
      <c r="ROE1530" s="646"/>
      <c r="ROF1530" s="646"/>
      <c r="ROG1530" s="646"/>
      <c r="ROH1530" s="646"/>
      <c r="ROI1530" s="646"/>
      <c r="ROJ1530" s="646"/>
      <c r="ROK1530" s="646"/>
      <c r="ROL1530" s="646"/>
      <c r="ROM1530" s="646"/>
      <c r="RON1530" s="646"/>
      <c r="ROO1530" s="646"/>
      <c r="ROP1530" s="646"/>
      <c r="ROQ1530" s="646"/>
      <c r="ROR1530" s="646"/>
      <c r="ROS1530" s="646"/>
      <c r="ROT1530" s="646"/>
      <c r="ROU1530" s="646"/>
      <c r="ROV1530" s="646"/>
      <c r="ROW1530" s="646"/>
      <c r="ROX1530" s="646"/>
      <c r="ROY1530" s="646"/>
      <c r="ROZ1530" s="646"/>
      <c r="RPA1530" s="646"/>
      <c r="RPB1530" s="646"/>
      <c r="RPC1530" s="646"/>
      <c r="RPD1530" s="646"/>
      <c r="RPE1530" s="646"/>
      <c r="RPF1530" s="646"/>
      <c r="RPG1530" s="646"/>
      <c r="RPH1530" s="646"/>
      <c r="RPI1530" s="646"/>
      <c r="RPJ1530" s="646"/>
      <c r="RPK1530" s="646"/>
      <c r="RPL1530" s="646"/>
      <c r="RPM1530" s="646"/>
      <c r="RPN1530" s="646"/>
      <c r="RPO1530" s="646"/>
      <c r="RPP1530" s="646"/>
      <c r="RPQ1530" s="646"/>
      <c r="RPR1530" s="646"/>
      <c r="RPS1530" s="646"/>
      <c r="RPT1530" s="646"/>
      <c r="RPU1530" s="646"/>
      <c r="RPV1530" s="646"/>
      <c r="RPW1530" s="646"/>
      <c r="RPX1530" s="646"/>
      <c r="RPY1530" s="646"/>
      <c r="RPZ1530" s="646"/>
      <c r="RQA1530" s="646"/>
      <c r="RQB1530" s="646"/>
      <c r="RQC1530" s="646"/>
      <c r="RQD1530" s="646"/>
      <c r="RQE1530" s="646"/>
      <c r="RQF1530" s="646"/>
      <c r="RQG1530" s="646"/>
      <c r="RQH1530" s="646"/>
      <c r="RQI1530" s="646"/>
      <c r="RQJ1530" s="646"/>
      <c r="RQK1530" s="646"/>
      <c r="RQL1530" s="646"/>
      <c r="RQM1530" s="646"/>
      <c r="RQN1530" s="646"/>
      <c r="RQO1530" s="646"/>
      <c r="RQP1530" s="646"/>
      <c r="RQQ1530" s="646"/>
      <c r="RQR1530" s="646"/>
      <c r="RQS1530" s="646"/>
      <c r="RQT1530" s="646"/>
      <c r="RQU1530" s="646"/>
      <c r="RQV1530" s="646"/>
      <c r="RQW1530" s="646"/>
      <c r="RQX1530" s="646"/>
      <c r="RQY1530" s="646"/>
      <c r="RQZ1530" s="646"/>
      <c r="RRA1530" s="646"/>
      <c r="RRB1530" s="646"/>
      <c r="RRC1530" s="646"/>
      <c r="RRD1530" s="646"/>
      <c r="RRE1530" s="646"/>
      <c r="RRF1530" s="646"/>
      <c r="RRG1530" s="646"/>
      <c r="RRH1530" s="646"/>
      <c r="RRI1530" s="646"/>
      <c r="RRJ1530" s="646"/>
      <c r="RRK1530" s="646"/>
      <c r="RRL1530" s="646"/>
      <c r="RRM1530" s="646"/>
      <c r="RRN1530" s="646"/>
      <c r="RRO1530" s="646"/>
      <c r="RRP1530" s="646"/>
      <c r="RRQ1530" s="646"/>
      <c r="RRR1530" s="646"/>
      <c r="RRS1530" s="646"/>
      <c r="RRT1530" s="646"/>
      <c r="RRU1530" s="646"/>
      <c r="RRV1530" s="646"/>
      <c r="RRW1530" s="646"/>
      <c r="RRX1530" s="646"/>
      <c r="RRY1530" s="646"/>
      <c r="RRZ1530" s="646"/>
      <c r="RSA1530" s="646"/>
      <c r="RSB1530" s="646"/>
      <c r="RSC1530" s="646"/>
      <c r="RSD1530" s="646"/>
      <c r="RSE1530" s="646"/>
      <c r="RSF1530" s="646"/>
      <c r="RSG1530" s="646"/>
      <c r="RSH1530" s="646"/>
      <c r="RSI1530" s="646"/>
      <c r="RSJ1530" s="646"/>
      <c r="RSK1530" s="646"/>
      <c r="RSL1530" s="646"/>
      <c r="RSM1530" s="646"/>
      <c r="RSN1530" s="646"/>
      <c r="RSO1530" s="646"/>
      <c r="RSP1530" s="646"/>
      <c r="RSQ1530" s="646"/>
      <c r="RSR1530" s="646"/>
      <c r="RSS1530" s="646"/>
      <c r="RST1530" s="646"/>
      <c r="RSU1530" s="646"/>
      <c r="RSV1530" s="646"/>
      <c r="RSW1530" s="646"/>
      <c r="RSX1530" s="646"/>
      <c r="RSY1530" s="646"/>
      <c r="RSZ1530" s="646"/>
      <c r="RTA1530" s="646"/>
      <c r="RTB1530" s="646"/>
      <c r="RTC1530" s="646"/>
      <c r="RTD1530" s="646"/>
      <c r="RTE1530" s="646"/>
      <c r="RTF1530" s="646"/>
      <c r="RTG1530" s="646"/>
      <c r="RTH1530" s="646"/>
      <c r="RTI1530" s="646"/>
      <c r="RTJ1530" s="646"/>
      <c r="RTK1530" s="646"/>
      <c r="RTL1530" s="646"/>
      <c r="RTM1530" s="646"/>
      <c r="RTN1530" s="646"/>
      <c r="RTO1530" s="646"/>
      <c r="RTP1530" s="646"/>
      <c r="RTQ1530" s="646"/>
      <c r="RTR1530" s="646"/>
      <c r="RTS1530" s="646"/>
      <c r="RTT1530" s="646"/>
      <c r="RTU1530" s="646"/>
      <c r="RTV1530" s="646"/>
      <c r="RTW1530" s="646"/>
      <c r="RTX1530" s="646"/>
      <c r="RTY1530" s="646"/>
      <c r="RTZ1530" s="646"/>
      <c r="RUA1530" s="646"/>
      <c r="RUB1530" s="646"/>
      <c r="RUC1530" s="646"/>
      <c r="RUD1530" s="646"/>
      <c r="RUE1530" s="646"/>
      <c r="RUF1530" s="646"/>
      <c r="RUG1530" s="646"/>
      <c r="RUH1530" s="646"/>
      <c r="RUI1530" s="646"/>
      <c r="RUJ1530" s="646"/>
      <c r="RUK1530" s="646"/>
      <c r="RUL1530" s="646"/>
      <c r="RUM1530" s="646"/>
      <c r="RUN1530" s="646"/>
      <c r="RUO1530" s="646"/>
      <c r="RUP1530" s="646"/>
      <c r="RUQ1530" s="646"/>
      <c r="RUR1530" s="646"/>
      <c r="RUS1530" s="646"/>
      <c r="RUT1530" s="646"/>
      <c r="RUU1530" s="646"/>
      <c r="RUV1530" s="646"/>
      <c r="RUW1530" s="646"/>
      <c r="RUX1530" s="646"/>
      <c r="RUY1530" s="646"/>
      <c r="RUZ1530" s="646"/>
      <c r="RVA1530" s="646"/>
      <c r="RVB1530" s="646"/>
      <c r="RVC1530" s="646"/>
      <c r="RVD1530" s="646"/>
      <c r="RVE1530" s="646"/>
      <c r="RVF1530" s="646"/>
      <c r="RVG1530" s="646"/>
      <c r="RVH1530" s="646"/>
      <c r="RVI1530" s="646"/>
      <c r="RVJ1530" s="646"/>
      <c r="RVK1530" s="646"/>
      <c r="RVL1530" s="646"/>
      <c r="RVM1530" s="646"/>
      <c r="RVN1530" s="646"/>
      <c r="RVO1530" s="646"/>
      <c r="RVP1530" s="646"/>
      <c r="RVQ1530" s="646"/>
      <c r="RVR1530" s="646"/>
      <c r="RVS1530" s="646"/>
      <c r="RVT1530" s="646"/>
      <c r="RVU1530" s="646"/>
      <c r="RVV1530" s="646"/>
      <c r="RVW1530" s="646"/>
      <c r="RVX1530" s="646"/>
      <c r="RVY1530" s="646"/>
      <c r="RVZ1530" s="646"/>
      <c r="RWA1530" s="646"/>
      <c r="RWB1530" s="646"/>
      <c r="RWC1530" s="646"/>
      <c r="RWD1530" s="646"/>
      <c r="RWE1530" s="646"/>
      <c r="RWF1530" s="646"/>
      <c r="RWG1530" s="646"/>
      <c r="RWH1530" s="646"/>
      <c r="RWI1530" s="646"/>
      <c r="RWJ1530" s="646"/>
      <c r="RWK1530" s="646"/>
      <c r="RWL1530" s="646"/>
      <c r="RWM1530" s="646"/>
      <c r="RWN1530" s="646"/>
      <c r="RWO1530" s="646"/>
      <c r="RWP1530" s="646"/>
      <c r="RWQ1530" s="646"/>
      <c r="RWR1530" s="646"/>
      <c r="RWS1530" s="646"/>
      <c r="RWT1530" s="646"/>
      <c r="RWU1530" s="646"/>
      <c r="RWV1530" s="646"/>
      <c r="RWW1530" s="646"/>
      <c r="RWX1530" s="646"/>
      <c r="RWY1530" s="646"/>
      <c r="RWZ1530" s="646"/>
      <c r="RXA1530" s="646"/>
      <c r="RXB1530" s="646"/>
      <c r="RXC1530" s="646"/>
      <c r="RXD1530" s="646"/>
      <c r="RXE1530" s="646"/>
      <c r="RXF1530" s="646"/>
      <c r="RXG1530" s="646"/>
      <c r="RXH1530" s="646"/>
      <c r="RXI1530" s="646"/>
      <c r="RXJ1530" s="646"/>
      <c r="RXK1530" s="646"/>
      <c r="RXL1530" s="646"/>
      <c r="RXM1530" s="646"/>
      <c r="RXN1530" s="646"/>
      <c r="RXO1530" s="646"/>
      <c r="RXP1530" s="646"/>
      <c r="RXQ1530" s="646"/>
      <c r="RXR1530" s="646"/>
      <c r="RXS1530" s="646"/>
      <c r="RXT1530" s="646"/>
      <c r="RXU1530" s="646"/>
      <c r="RXV1530" s="646"/>
      <c r="RXW1530" s="646"/>
      <c r="RXX1530" s="646"/>
      <c r="RXY1530" s="646"/>
      <c r="RXZ1530" s="646"/>
      <c r="RYA1530" s="646"/>
      <c r="RYB1530" s="646"/>
      <c r="RYC1530" s="646"/>
      <c r="RYD1530" s="646"/>
      <c r="RYE1530" s="646"/>
      <c r="RYF1530" s="646"/>
      <c r="RYG1530" s="646"/>
      <c r="RYH1530" s="646"/>
      <c r="RYI1530" s="646"/>
      <c r="RYJ1530" s="646"/>
      <c r="RYK1530" s="646"/>
      <c r="RYL1530" s="646"/>
      <c r="RYM1530" s="646"/>
      <c r="RYN1530" s="646"/>
      <c r="RYO1530" s="646"/>
      <c r="RYP1530" s="646"/>
      <c r="RYQ1530" s="646"/>
      <c r="RYR1530" s="646"/>
      <c r="RYS1530" s="646"/>
      <c r="RYT1530" s="646"/>
      <c r="RYU1530" s="646"/>
      <c r="RYV1530" s="646"/>
      <c r="RYW1530" s="646"/>
      <c r="RYX1530" s="646"/>
      <c r="RYY1530" s="646"/>
      <c r="RYZ1530" s="646"/>
      <c r="RZA1530" s="646"/>
      <c r="RZB1530" s="646"/>
      <c r="RZC1530" s="646"/>
      <c r="RZD1530" s="646"/>
      <c r="RZE1530" s="646"/>
      <c r="RZF1530" s="646"/>
      <c r="RZG1530" s="646"/>
      <c r="RZH1530" s="646"/>
      <c r="RZI1530" s="646"/>
      <c r="RZJ1530" s="646"/>
      <c r="RZK1530" s="646"/>
      <c r="RZL1530" s="646"/>
      <c r="RZM1530" s="646"/>
      <c r="RZN1530" s="646"/>
      <c r="RZO1530" s="646"/>
      <c r="RZP1530" s="646"/>
      <c r="RZQ1530" s="646"/>
      <c r="RZR1530" s="646"/>
      <c r="RZS1530" s="646"/>
      <c r="RZT1530" s="646"/>
      <c r="RZU1530" s="646"/>
      <c r="RZV1530" s="646"/>
      <c r="RZW1530" s="646"/>
      <c r="RZX1530" s="646"/>
      <c r="RZY1530" s="646"/>
      <c r="RZZ1530" s="646"/>
      <c r="SAA1530" s="646"/>
      <c r="SAB1530" s="646"/>
      <c r="SAC1530" s="646"/>
      <c r="SAD1530" s="646"/>
      <c r="SAE1530" s="646"/>
      <c r="SAF1530" s="646"/>
      <c r="SAG1530" s="646"/>
      <c r="SAH1530" s="646"/>
      <c r="SAI1530" s="646"/>
      <c r="SAJ1530" s="646"/>
      <c r="SAK1530" s="646"/>
      <c r="SAL1530" s="646"/>
      <c r="SAM1530" s="646"/>
      <c r="SAN1530" s="646"/>
      <c r="SAO1530" s="646"/>
      <c r="SAP1530" s="646"/>
      <c r="SAQ1530" s="646"/>
      <c r="SAR1530" s="646"/>
      <c r="SAS1530" s="646"/>
      <c r="SAT1530" s="646"/>
      <c r="SAU1530" s="646"/>
      <c r="SAV1530" s="646"/>
      <c r="SAW1530" s="646"/>
      <c r="SAX1530" s="646"/>
      <c r="SAY1530" s="646"/>
      <c r="SAZ1530" s="646"/>
      <c r="SBA1530" s="646"/>
      <c r="SBB1530" s="646"/>
      <c r="SBC1530" s="646"/>
      <c r="SBD1530" s="646"/>
      <c r="SBE1530" s="646"/>
      <c r="SBF1530" s="646"/>
      <c r="SBG1530" s="646"/>
      <c r="SBH1530" s="646"/>
      <c r="SBI1530" s="646"/>
      <c r="SBJ1530" s="646"/>
      <c r="SBK1530" s="646"/>
      <c r="SBL1530" s="646"/>
      <c r="SBM1530" s="646"/>
      <c r="SBN1530" s="646"/>
      <c r="SBO1530" s="646"/>
      <c r="SBP1530" s="646"/>
      <c r="SBQ1530" s="646"/>
      <c r="SBR1530" s="646"/>
      <c r="SBS1530" s="646"/>
      <c r="SBT1530" s="646"/>
      <c r="SBU1530" s="646"/>
      <c r="SBV1530" s="646"/>
      <c r="SBW1530" s="646"/>
      <c r="SBX1530" s="646"/>
      <c r="SBY1530" s="646"/>
      <c r="SBZ1530" s="646"/>
      <c r="SCA1530" s="646"/>
      <c r="SCB1530" s="646"/>
      <c r="SCC1530" s="646"/>
      <c r="SCD1530" s="646"/>
      <c r="SCE1530" s="646"/>
      <c r="SCF1530" s="646"/>
      <c r="SCG1530" s="646"/>
      <c r="SCH1530" s="646"/>
      <c r="SCI1530" s="646"/>
      <c r="SCJ1530" s="646"/>
      <c r="SCK1530" s="646"/>
      <c r="SCL1530" s="646"/>
      <c r="SCM1530" s="646"/>
      <c r="SCN1530" s="646"/>
      <c r="SCO1530" s="646"/>
      <c r="SCP1530" s="646"/>
      <c r="SCQ1530" s="646"/>
      <c r="SCR1530" s="646"/>
      <c r="SCS1530" s="646"/>
      <c r="SCT1530" s="646"/>
      <c r="SCU1530" s="646"/>
      <c r="SCV1530" s="646"/>
      <c r="SCW1530" s="646"/>
      <c r="SCX1530" s="646"/>
      <c r="SCY1530" s="646"/>
      <c r="SCZ1530" s="646"/>
      <c r="SDA1530" s="646"/>
      <c r="SDB1530" s="646"/>
      <c r="SDC1530" s="646"/>
      <c r="SDD1530" s="646"/>
      <c r="SDE1530" s="646"/>
      <c r="SDF1530" s="646"/>
      <c r="SDG1530" s="646"/>
      <c r="SDH1530" s="646"/>
      <c r="SDI1530" s="646"/>
      <c r="SDJ1530" s="646"/>
      <c r="SDK1530" s="646"/>
      <c r="SDL1530" s="646"/>
      <c r="SDM1530" s="646"/>
      <c r="SDN1530" s="646"/>
      <c r="SDO1530" s="646"/>
      <c r="SDP1530" s="646"/>
      <c r="SDQ1530" s="646"/>
      <c r="SDR1530" s="646"/>
      <c r="SDS1530" s="646"/>
      <c r="SDT1530" s="646"/>
      <c r="SDU1530" s="646"/>
      <c r="SDV1530" s="646"/>
      <c r="SDW1530" s="646"/>
      <c r="SDX1530" s="646"/>
      <c r="SDY1530" s="646"/>
      <c r="SDZ1530" s="646"/>
      <c r="SEA1530" s="646"/>
      <c r="SEB1530" s="646"/>
      <c r="SEC1530" s="646"/>
      <c r="SED1530" s="646"/>
      <c r="SEE1530" s="646"/>
      <c r="SEF1530" s="646"/>
      <c r="SEG1530" s="646"/>
      <c r="SEH1530" s="646"/>
      <c r="SEI1530" s="646"/>
      <c r="SEJ1530" s="646"/>
      <c r="SEK1530" s="646"/>
      <c r="SEL1530" s="646"/>
      <c r="SEM1530" s="646"/>
      <c r="SEN1530" s="646"/>
      <c r="SEO1530" s="646"/>
      <c r="SEP1530" s="646"/>
      <c r="SEQ1530" s="646"/>
      <c r="SER1530" s="646"/>
      <c r="SES1530" s="646"/>
      <c r="SET1530" s="646"/>
      <c r="SEU1530" s="646"/>
      <c r="SEV1530" s="646"/>
      <c r="SEW1530" s="646"/>
      <c r="SEX1530" s="646"/>
      <c r="SEY1530" s="646"/>
      <c r="SEZ1530" s="646"/>
      <c r="SFA1530" s="646"/>
      <c r="SFB1530" s="646"/>
      <c r="SFC1530" s="646"/>
      <c r="SFD1530" s="646"/>
      <c r="SFE1530" s="646"/>
      <c r="SFF1530" s="646"/>
      <c r="SFG1530" s="646"/>
      <c r="SFH1530" s="646"/>
      <c r="SFI1530" s="646"/>
      <c r="SFJ1530" s="646"/>
      <c r="SFK1530" s="646"/>
      <c r="SFL1530" s="646"/>
      <c r="SFM1530" s="646"/>
      <c r="SFN1530" s="646"/>
      <c r="SFO1530" s="646"/>
      <c r="SFP1530" s="646"/>
      <c r="SFQ1530" s="646"/>
      <c r="SFR1530" s="646"/>
      <c r="SFS1530" s="646"/>
      <c r="SFT1530" s="646"/>
      <c r="SFU1530" s="646"/>
      <c r="SFV1530" s="646"/>
      <c r="SFW1530" s="646"/>
      <c r="SFX1530" s="646"/>
      <c r="SFY1530" s="646"/>
      <c r="SFZ1530" s="646"/>
      <c r="SGA1530" s="646"/>
      <c r="SGB1530" s="646"/>
      <c r="SGC1530" s="646"/>
      <c r="SGD1530" s="646"/>
      <c r="SGE1530" s="646"/>
      <c r="SGF1530" s="646"/>
      <c r="SGG1530" s="646"/>
      <c r="SGH1530" s="646"/>
      <c r="SGI1530" s="646"/>
      <c r="SGJ1530" s="646"/>
      <c r="SGK1530" s="646"/>
      <c r="SGL1530" s="646"/>
      <c r="SGM1530" s="646"/>
      <c r="SGN1530" s="646"/>
      <c r="SGO1530" s="646"/>
      <c r="SGP1530" s="646"/>
      <c r="SGQ1530" s="646"/>
      <c r="SGR1530" s="646"/>
      <c r="SGS1530" s="646"/>
      <c r="SGT1530" s="646"/>
      <c r="SGU1530" s="646"/>
      <c r="SGV1530" s="646"/>
      <c r="SGW1530" s="646"/>
      <c r="SGX1530" s="646"/>
      <c r="SGY1530" s="646"/>
      <c r="SGZ1530" s="646"/>
      <c r="SHA1530" s="646"/>
      <c r="SHB1530" s="646"/>
      <c r="SHC1530" s="646"/>
      <c r="SHD1530" s="646"/>
      <c r="SHE1530" s="646"/>
      <c r="SHF1530" s="646"/>
      <c r="SHG1530" s="646"/>
      <c r="SHH1530" s="646"/>
      <c r="SHI1530" s="646"/>
      <c r="SHJ1530" s="646"/>
      <c r="SHK1530" s="646"/>
      <c r="SHL1530" s="646"/>
      <c r="SHM1530" s="646"/>
      <c r="SHN1530" s="646"/>
      <c r="SHO1530" s="646"/>
      <c r="SHP1530" s="646"/>
      <c r="SHQ1530" s="646"/>
      <c r="SHR1530" s="646"/>
      <c r="SHS1530" s="646"/>
      <c r="SHT1530" s="646"/>
      <c r="SHU1530" s="646"/>
      <c r="SHV1530" s="646"/>
      <c r="SHW1530" s="646"/>
      <c r="SHX1530" s="646"/>
      <c r="SHY1530" s="646"/>
      <c r="SHZ1530" s="646"/>
      <c r="SIA1530" s="646"/>
      <c r="SIB1530" s="646"/>
      <c r="SIC1530" s="646"/>
      <c r="SID1530" s="646"/>
      <c r="SIE1530" s="646"/>
      <c r="SIF1530" s="646"/>
      <c r="SIG1530" s="646"/>
      <c r="SIH1530" s="646"/>
      <c r="SII1530" s="646"/>
      <c r="SIJ1530" s="646"/>
      <c r="SIK1530" s="646"/>
      <c r="SIL1530" s="646"/>
      <c r="SIM1530" s="646"/>
      <c r="SIN1530" s="646"/>
      <c r="SIO1530" s="646"/>
      <c r="SIP1530" s="646"/>
      <c r="SIQ1530" s="646"/>
      <c r="SIR1530" s="646"/>
      <c r="SIS1530" s="646"/>
      <c r="SIT1530" s="646"/>
      <c r="SIU1530" s="646"/>
      <c r="SIV1530" s="646"/>
      <c r="SIW1530" s="646"/>
      <c r="SIX1530" s="646"/>
      <c r="SIY1530" s="646"/>
      <c r="SIZ1530" s="646"/>
      <c r="SJA1530" s="646"/>
      <c r="SJB1530" s="646"/>
      <c r="SJC1530" s="646"/>
      <c r="SJD1530" s="646"/>
      <c r="SJE1530" s="646"/>
      <c r="SJF1530" s="646"/>
      <c r="SJG1530" s="646"/>
      <c r="SJH1530" s="646"/>
      <c r="SJI1530" s="646"/>
      <c r="SJJ1530" s="646"/>
      <c r="SJK1530" s="646"/>
      <c r="SJL1530" s="646"/>
      <c r="SJM1530" s="646"/>
      <c r="SJN1530" s="646"/>
      <c r="SJO1530" s="646"/>
      <c r="SJP1530" s="646"/>
      <c r="SJQ1530" s="646"/>
      <c r="SJR1530" s="646"/>
      <c r="SJS1530" s="646"/>
      <c r="SJT1530" s="646"/>
      <c r="SJU1530" s="646"/>
      <c r="SJV1530" s="646"/>
      <c r="SJW1530" s="646"/>
      <c r="SJX1530" s="646"/>
      <c r="SJY1530" s="646"/>
      <c r="SJZ1530" s="646"/>
      <c r="SKA1530" s="646"/>
      <c r="SKB1530" s="646"/>
      <c r="SKC1530" s="646"/>
      <c r="SKD1530" s="646"/>
      <c r="SKE1530" s="646"/>
      <c r="SKF1530" s="646"/>
      <c r="SKG1530" s="646"/>
      <c r="SKH1530" s="646"/>
      <c r="SKI1530" s="646"/>
      <c r="SKJ1530" s="646"/>
      <c r="SKK1530" s="646"/>
      <c r="SKL1530" s="646"/>
      <c r="SKM1530" s="646"/>
      <c r="SKN1530" s="646"/>
      <c r="SKO1530" s="646"/>
      <c r="SKP1530" s="646"/>
      <c r="SKQ1530" s="646"/>
      <c r="SKR1530" s="646"/>
      <c r="SKS1530" s="646"/>
      <c r="SKT1530" s="646"/>
      <c r="SKU1530" s="646"/>
      <c r="SKV1530" s="646"/>
      <c r="SKW1530" s="646"/>
      <c r="SKX1530" s="646"/>
      <c r="SKY1530" s="646"/>
      <c r="SKZ1530" s="646"/>
      <c r="SLA1530" s="646"/>
      <c r="SLB1530" s="646"/>
      <c r="SLC1530" s="646"/>
      <c r="SLD1530" s="646"/>
      <c r="SLE1530" s="646"/>
      <c r="SLF1530" s="646"/>
      <c r="SLG1530" s="646"/>
      <c r="SLH1530" s="646"/>
      <c r="SLI1530" s="646"/>
      <c r="SLJ1530" s="646"/>
      <c r="SLK1530" s="646"/>
      <c r="SLL1530" s="646"/>
      <c r="SLM1530" s="646"/>
      <c r="SLN1530" s="646"/>
      <c r="SLO1530" s="646"/>
      <c r="SLP1530" s="646"/>
      <c r="SLQ1530" s="646"/>
      <c r="SLR1530" s="646"/>
      <c r="SLS1530" s="646"/>
      <c r="SLT1530" s="646"/>
      <c r="SLU1530" s="646"/>
      <c r="SLV1530" s="646"/>
      <c r="SLW1530" s="646"/>
      <c r="SLX1530" s="646"/>
      <c r="SLY1530" s="646"/>
      <c r="SLZ1530" s="646"/>
      <c r="SMA1530" s="646"/>
      <c r="SMB1530" s="646"/>
      <c r="SMC1530" s="646"/>
      <c r="SMD1530" s="646"/>
      <c r="SME1530" s="646"/>
      <c r="SMF1530" s="646"/>
      <c r="SMG1530" s="646"/>
      <c r="SMH1530" s="646"/>
      <c r="SMI1530" s="646"/>
      <c r="SMJ1530" s="646"/>
      <c r="SMK1530" s="646"/>
      <c r="SML1530" s="646"/>
      <c r="SMM1530" s="646"/>
      <c r="SMN1530" s="646"/>
      <c r="SMO1530" s="646"/>
      <c r="SMP1530" s="646"/>
      <c r="SMQ1530" s="646"/>
      <c r="SMR1530" s="646"/>
      <c r="SMS1530" s="646"/>
      <c r="SMT1530" s="646"/>
      <c r="SMU1530" s="646"/>
      <c r="SMV1530" s="646"/>
      <c r="SMW1530" s="646"/>
      <c r="SMX1530" s="646"/>
      <c r="SMY1530" s="646"/>
      <c r="SMZ1530" s="646"/>
      <c r="SNA1530" s="646"/>
      <c r="SNB1530" s="646"/>
      <c r="SNC1530" s="646"/>
      <c r="SND1530" s="646"/>
      <c r="SNE1530" s="646"/>
      <c r="SNF1530" s="646"/>
      <c r="SNG1530" s="646"/>
      <c r="SNH1530" s="646"/>
      <c r="SNI1530" s="646"/>
      <c r="SNJ1530" s="646"/>
      <c r="SNK1530" s="646"/>
      <c r="SNL1530" s="646"/>
      <c r="SNM1530" s="646"/>
      <c r="SNN1530" s="646"/>
      <c r="SNO1530" s="646"/>
      <c r="SNP1530" s="646"/>
      <c r="SNQ1530" s="646"/>
      <c r="SNR1530" s="646"/>
      <c r="SNS1530" s="646"/>
      <c r="SNT1530" s="646"/>
      <c r="SNU1530" s="646"/>
      <c r="SNV1530" s="646"/>
      <c r="SNW1530" s="646"/>
      <c r="SNX1530" s="646"/>
      <c r="SNY1530" s="646"/>
      <c r="SNZ1530" s="646"/>
      <c r="SOA1530" s="646"/>
      <c r="SOB1530" s="646"/>
      <c r="SOC1530" s="646"/>
      <c r="SOD1530" s="646"/>
      <c r="SOE1530" s="646"/>
      <c r="SOF1530" s="646"/>
      <c r="SOG1530" s="646"/>
      <c r="SOH1530" s="646"/>
      <c r="SOI1530" s="646"/>
      <c r="SOJ1530" s="646"/>
      <c r="SOK1530" s="646"/>
      <c r="SOL1530" s="646"/>
      <c r="SOM1530" s="646"/>
      <c r="SON1530" s="646"/>
      <c r="SOO1530" s="646"/>
      <c r="SOP1530" s="646"/>
      <c r="SOQ1530" s="646"/>
      <c r="SOR1530" s="646"/>
      <c r="SOS1530" s="646"/>
      <c r="SOT1530" s="646"/>
      <c r="SOU1530" s="646"/>
      <c r="SOV1530" s="646"/>
      <c r="SOW1530" s="646"/>
      <c r="SOX1530" s="646"/>
      <c r="SOY1530" s="646"/>
      <c r="SOZ1530" s="646"/>
      <c r="SPA1530" s="646"/>
      <c r="SPB1530" s="646"/>
      <c r="SPC1530" s="646"/>
      <c r="SPD1530" s="646"/>
      <c r="SPE1530" s="646"/>
      <c r="SPF1530" s="646"/>
      <c r="SPG1530" s="646"/>
      <c r="SPH1530" s="646"/>
      <c r="SPI1530" s="646"/>
      <c r="SPJ1530" s="646"/>
      <c r="SPK1530" s="646"/>
      <c r="SPL1530" s="646"/>
      <c r="SPM1530" s="646"/>
      <c r="SPN1530" s="646"/>
      <c r="SPO1530" s="646"/>
      <c r="SPP1530" s="646"/>
      <c r="SPQ1530" s="646"/>
      <c r="SPR1530" s="646"/>
      <c r="SPS1530" s="646"/>
      <c r="SPT1530" s="646"/>
      <c r="SPU1530" s="646"/>
      <c r="SPV1530" s="646"/>
      <c r="SPW1530" s="646"/>
      <c r="SPX1530" s="646"/>
      <c r="SPY1530" s="646"/>
      <c r="SPZ1530" s="646"/>
      <c r="SQA1530" s="646"/>
      <c r="SQB1530" s="646"/>
      <c r="SQC1530" s="646"/>
      <c r="SQD1530" s="646"/>
      <c r="SQE1530" s="646"/>
      <c r="SQF1530" s="646"/>
      <c r="SQG1530" s="646"/>
      <c r="SQH1530" s="646"/>
      <c r="SQI1530" s="646"/>
      <c r="SQJ1530" s="646"/>
      <c r="SQK1530" s="646"/>
      <c r="SQL1530" s="646"/>
      <c r="SQM1530" s="646"/>
      <c r="SQN1530" s="646"/>
      <c r="SQO1530" s="646"/>
      <c r="SQP1530" s="646"/>
      <c r="SQQ1530" s="646"/>
      <c r="SQR1530" s="646"/>
      <c r="SQS1530" s="646"/>
      <c r="SQT1530" s="646"/>
      <c r="SQU1530" s="646"/>
      <c r="SQV1530" s="646"/>
      <c r="SQW1530" s="646"/>
      <c r="SQX1530" s="646"/>
      <c r="SQY1530" s="646"/>
      <c r="SQZ1530" s="646"/>
      <c r="SRA1530" s="646"/>
      <c r="SRB1530" s="646"/>
      <c r="SRC1530" s="646"/>
      <c r="SRD1530" s="646"/>
      <c r="SRE1530" s="646"/>
      <c r="SRF1530" s="646"/>
      <c r="SRG1530" s="646"/>
      <c r="SRH1530" s="646"/>
      <c r="SRI1530" s="646"/>
      <c r="SRJ1530" s="646"/>
      <c r="SRK1530" s="646"/>
      <c r="SRL1530" s="646"/>
      <c r="SRM1530" s="646"/>
      <c r="SRN1530" s="646"/>
      <c r="SRO1530" s="646"/>
      <c r="SRP1530" s="646"/>
      <c r="SRQ1530" s="646"/>
      <c r="SRR1530" s="646"/>
      <c r="SRS1530" s="646"/>
      <c r="SRT1530" s="646"/>
      <c r="SRU1530" s="646"/>
      <c r="SRV1530" s="646"/>
      <c r="SRW1530" s="646"/>
      <c r="SRX1530" s="646"/>
      <c r="SRY1530" s="646"/>
      <c r="SRZ1530" s="646"/>
      <c r="SSA1530" s="646"/>
      <c r="SSB1530" s="646"/>
      <c r="SSC1530" s="646"/>
      <c r="SSD1530" s="646"/>
      <c r="SSE1530" s="646"/>
      <c r="SSF1530" s="646"/>
      <c r="SSG1530" s="646"/>
      <c r="SSH1530" s="646"/>
      <c r="SSI1530" s="646"/>
      <c r="SSJ1530" s="646"/>
      <c r="SSK1530" s="646"/>
      <c r="SSL1530" s="646"/>
      <c r="SSM1530" s="646"/>
      <c r="SSN1530" s="646"/>
      <c r="SSO1530" s="646"/>
      <c r="SSP1530" s="646"/>
      <c r="SSQ1530" s="646"/>
      <c r="SSR1530" s="646"/>
      <c r="SSS1530" s="646"/>
      <c r="SST1530" s="646"/>
      <c r="SSU1530" s="646"/>
      <c r="SSV1530" s="646"/>
      <c r="SSW1530" s="646"/>
      <c r="SSX1530" s="646"/>
      <c r="SSY1530" s="646"/>
      <c r="SSZ1530" s="646"/>
      <c r="STA1530" s="646"/>
      <c r="STB1530" s="646"/>
      <c r="STC1530" s="646"/>
      <c r="STD1530" s="646"/>
      <c r="STE1530" s="646"/>
      <c r="STF1530" s="646"/>
      <c r="STG1530" s="646"/>
      <c r="STH1530" s="646"/>
      <c r="STI1530" s="646"/>
      <c r="STJ1530" s="646"/>
      <c r="STK1530" s="646"/>
      <c r="STL1530" s="646"/>
      <c r="STM1530" s="646"/>
      <c r="STN1530" s="646"/>
      <c r="STO1530" s="646"/>
      <c r="STP1530" s="646"/>
      <c r="STQ1530" s="646"/>
      <c r="STR1530" s="646"/>
      <c r="STS1530" s="646"/>
      <c r="STT1530" s="646"/>
      <c r="STU1530" s="646"/>
      <c r="STV1530" s="646"/>
      <c r="STW1530" s="646"/>
      <c r="STX1530" s="646"/>
      <c r="STY1530" s="646"/>
      <c r="STZ1530" s="646"/>
      <c r="SUA1530" s="646"/>
      <c r="SUB1530" s="646"/>
      <c r="SUC1530" s="646"/>
      <c r="SUD1530" s="646"/>
      <c r="SUE1530" s="646"/>
      <c r="SUF1530" s="646"/>
      <c r="SUG1530" s="646"/>
      <c r="SUH1530" s="646"/>
      <c r="SUI1530" s="646"/>
      <c r="SUJ1530" s="646"/>
      <c r="SUK1530" s="646"/>
      <c r="SUL1530" s="646"/>
      <c r="SUM1530" s="646"/>
      <c r="SUN1530" s="646"/>
      <c r="SUO1530" s="646"/>
      <c r="SUP1530" s="646"/>
      <c r="SUQ1530" s="646"/>
      <c r="SUR1530" s="646"/>
      <c r="SUS1530" s="646"/>
      <c r="SUT1530" s="646"/>
      <c r="SUU1530" s="646"/>
      <c r="SUV1530" s="646"/>
      <c r="SUW1530" s="646"/>
      <c r="SUX1530" s="646"/>
      <c r="SUY1530" s="646"/>
      <c r="SUZ1530" s="646"/>
      <c r="SVA1530" s="646"/>
      <c r="SVB1530" s="646"/>
      <c r="SVC1530" s="646"/>
      <c r="SVD1530" s="646"/>
      <c r="SVE1530" s="646"/>
      <c r="SVF1530" s="646"/>
      <c r="SVG1530" s="646"/>
      <c r="SVH1530" s="646"/>
      <c r="SVI1530" s="646"/>
      <c r="SVJ1530" s="646"/>
      <c r="SVK1530" s="646"/>
      <c r="SVL1530" s="646"/>
      <c r="SVM1530" s="646"/>
      <c r="SVN1530" s="646"/>
      <c r="SVO1530" s="646"/>
      <c r="SVP1530" s="646"/>
      <c r="SVQ1530" s="646"/>
      <c r="SVR1530" s="646"/>
      <c r="SVS1530" s="646"/>
      <c r="SVT1530" s="646"/>
      <c r="SVU1530" s="646"/>
      <c r="SVV1530" s="646"/>
      <c r="SVW1530" s="646"/>
      <c r="SVX1530" s="646"/>
      <c r="SVY1530" s="646"/>
      <c r="SVZ1530" s="646"/>
      <c r="SWA1530" s="646"/>
      <c r="SWB1530" s="646"/>
      <c r="SWC1530" s="646"/>
      <c r="SWD1530" s="646"/>
      <c r="SWE1530" s="646"/>
      <c r="SWF1530" s="646"/>
      <c r="SWG1530" s="646"/>
      <c r="SWH1530" s="646"/>
      <c r="SWI1530" s="646"/>
      <c r="SWJ1530" s="646"/>
      <c r="SWK1530" s="646"/>
      <c r="SWL1530" s="646"/>
      <c r="SWM1530" s="646"/>
      <c r="SWN1530" s="646"/>
      <c r="SWO1530" s="646"/>
      <c r="SWP1530" s="646"/>
      <c r="SWQ1530" s="646"/>
      <c r="SWR1530" s="646"/>
      <c r="SWS1530" s="646"/>
      <c r="SWT1530" s="646"/>
      <c r="SWU1530" s="646"/>
      <c r="SWV1530" s="646"/>
      <c r="SWW1530" s="646"/>
      <c r="SWX1530" s="646"/>
      <c r="SWY1530" s="646"/>
      <c r="SWZ1530" s="646"/>
      <c r="SXA1530" s="646"/>
      <c r="SXB1530" s="646"/>
      <c r="SXC1530" s="646"/>
      <c r="SXD1530" s="646"/>
      <c r="SXE1530" s="646"/>
      <c r="SXF1530" s="646"/>
      <c r="SXG1530" s="646"/>
      <c r="SXH1530" s="646"/>
      <c r="SXI1530" s="646"/>
      <c r="SXJ1530" s="646"/>
      <c r="SXK1530" s="646"/>
      <c r="SXL1530" s="646"/>
      <c r="SXM1530" s="646"/>
      <c r="SXN1530" s="646"/>
      <c r="SXO1530" s="646"/>
      <c r="SXP1530" s="646"/>
      <c r="SXQ1530" s="646"/>
      <c r="SXR1530" s="646"/>
      <c r="SXS1530" s="646"/>
      <c r="SXT1530" s="646"/>
      <c r="SXU1530" s="646"/>
      <c r="SXV1530" s="646"/>
      <c r="SXW1530" s="646"/>
      <c r="SXX1530" s="646"/>
      <c r="SXY1530" s="646"/>
      <c r="SXZ1530" s="646"/>
      <c r="SYA1530" s="646"/>
      <c r="SYB1530" s="646"/>
      <c r="SYC1530" s="646"/>
      <c r="SYD1530" s="646"/>
      <c r="SYE1530" s="646"/>
      <c r="SYF1530" s="646"/>
      <c r="SYG1530" s="646"/>
      <c r="SYH1530" s="646"/>
      <c r="SYI1530" s="646"/>
      <c r="SYJ1530" s="646"/>
      <c r="SYK1530" s="646"/>
      <c r="SYL1530" s="646"/>
      <c r="SYM1530" s="646"/>
      <c r="SYN1530" s="646"/>
      <c r="SYO1530" s="646"/>
      <c r="SYP1530" s="646"/>
      <c r="SYQ1530" s="646"/>
      <c r="SYR1530" s="646"/>
      <c r="SYS1530" s="646"/>
      <c r="SYT1530" s="646"/>
      <c r="SYU1530" s="646"/>
      <c r="SYV1530" s="646"/>
      <c r="SYW1530" s="646"/>
      <c r="SYX1530" s="646"/>
      <c r="SYY1530" s="646"/>
      <c r="SYZ1530" s="646"/>
      <c r="SZA1530" s="646"/>
      <c r="SZB1530" s="646"/>
      <c r="SZC1530" s="646"/>
      <c r="SZD1530" s="646"/>
      <c r="SZE1530" s="646"/>
      <c r="SZF1530" s="646"/>
      <c r="SZG1530" s="646"/>
      <c r="SZH1530" s="646"/>
      <c r="SZI1530" s="646"/>
      <c r="SZJ1530" s="646"/>
      <c r="SZK1530" s="646"/>
      <c r="SZL1530" s="646"/>
      <c r="SZM1530" s="646"/>
      <c r="SZN1530" s="646"/>
      <c r="SZO1530" s="646"/>
      <c r="SZP1530" s="646"/>
      <c r="SZQ1530" s="646"/>
      <c r="SZR1530" s="646"/>
      <c r="SZS1530" s="646"/>
      <c r="SZT1530" s="646"/>
      <c r="SZU1530" s="646"/>
      <c r="SZV1530" s="646"/>
      <c r="SZW1530" s="646"/>
      <c r="SZX1530" s="646"/>
      <c r="SZY1530" s="646"/>
      <c r="SZZ1530" s="646"/>
      <c r="TAA1530" s="646"/>
      <c r="TAB1530" s="646"/>
      <c r="TAC1530" s="646"/>
      <c r="TAD1530" s="646"/>
      <c r="TAE1530" s="646"/>
      <c r="TAF1530" s="646"/>
      <c r="TAG1530" s="646"/>
      <c r="TAH1530" s="646"/>
      <c r="TAI1530" s="646"/>
      <c r="TAJ1530" s="646"/>
      <c r="TAK1530" s="646"/>
      <c r="TAL1530" s="646"/>
      <c r="TAM1530" s="646"/>
      <c r="TAN1530" s="646"/>
      <c r="TAO1530" s="646"/>
      <c r="TAP1530" s="646"/>
      <c r="TAQ1530" s="646"/>
      <c r="TAR1530" s="646"/>
      <c r="TAS1530" s="646"/>
      <c r="TAT1530" s="646"/>
      <c r="TAU1530" s="646"/>
      <c r="TAV1530" s="646"/>
      <c r="TAW1530" s="646"/>
      <c r="TAX1530" s="646"/>
      <c r="TAY1530" s="646"/>
      <c r="TAZ1530" s="646"/>
      <c r="TBA1530" s="646"/>
      <c r="TBB1530" s="646"/>
      <c r="TBC1530" s="646"/>
      <c r="TBD1530" s="646"/>
      <c r="TBE1530" s="646"/>
      <c r="TBF1530" s="646"/>
      <c r="TBG1530" s="646"/>
      <c r="TBH1530" s="646"/>
      <c r="TBI1530" s="646"/>
      <c r="TBJ1530" s="646"/>
      <c r="TBK1530" s="646"/>
      <c r="TBL1530" s="646"/>
      <c r="TBM1530" s="646"/>
      <c r="TBN1530" s="646"/>
      <c r="TBO1530" s="646"/>
      <c r="TBP1530" s="646"/>
      <c r="TBQ1530" s="646"/>
      <c r="TBR1530" s="646"/>
      <c r="TBS1530" s="646"/>
      <c r="TBT1530" s="646"/>
      <c r="TBU1530" s="646"/>
      <c r="TBV1530" s="646"/>
      <c r="TBW1530" s="646"/>
      <c r="TBX1530" s="646"/>
      <c r="TBY1530" s="646"/>
      <c r="TBZ1530" s="646"/>
      <c r="TCA1530" s="646"/>
      <c r="TCB1530" s="646"/>
      <c r="TCC1530" s="646"/>
      <c r="TCD1530" s="646"/>
      <c r="TCE1530" s="646"/>
      <c r="TCF1530" s="646"/>
      <c r="TCG1530" s="646"/>
      <c r="TCH1530" s="646"/>
      <c r="TCI1530" s="646"/>
      <c r="TCJ1530" s="646"/>
      <c r="TCK1530" s="646"/>
      <c r="TCL1530" s="646"/>
      <c r="TCM1530" s="646"/>
      <c r="TCN1530" s="646"/>
      <c r="TCO1530" s="646"/>
      <c r="TCP1530" s="646"/>
      <c r="TCQ1530" s="646"/>
      <c r="TCR1530" s="646"/>
      <c r="TCS1530" s="646"/>
      <c r="TCT1530" s="646"/>
      <c r="TCU1530" s="646"/>
      <c r="TCV1530" s="646"/>
      <c r="TCW1530" s="646"/>
      <c r="TCX1530" s="646"/>
      <c r="TCY1530" s="646"/>
      <c r="TCZ1530" s="646"/>
      <c r="TDA1530" s="646"/>
      <c r="TDB1530" s="646"/>
      <c r="TDC1530" s="646"/>
      <c r="TDD1530" s="646"/>
      <c r="TDE1530" s="646"/>
      <c r="TDF1530" s="646"/>
      <c r="TDG1530" s="646"/>
      <c r="TDH1530" s="646"/>
      <c r="TDI1530" s="646"/>
      <c r="TDJ1530" s="646"/>
      <c r="TDK1530" s="646"/>
      <c r="TDL1530" s="646"/>
      <c r="TDM1530" s="646"/>
      <c r="TDN1530" s="646"/>
      <c r="TDO1530" s="646"/>
      <c r="TDP1530" s="646"/>
      <c r="TDQ1530" s="646"/>
      <c r="TDR1530" s="646"/>
      <c r="TDS1530" s="646"/>
      <c r="TDT1530" s="646"/>
      <c r="TDU1530" s="646"/>
      <c r="TDV1530" s="646"/>
      <c r="TDW1530" s="646"/>
      <c r="TDX1530" s="646"/>
      <c r="TDY1530" s="646"/>
      <c r="TDZ1530" s="646"/>
      <c r="TEA1530" s="646"/>
      <c r="TEB1530" s="646"/>
      <c r="TEC1530" s="646"/>
      <c r="TED1530" s="646"/>
      <c r="TEE1530" s="646"/>
      <c r="TEF1530" s="646"/>
      <c r="TEG1530" s="646"/>
      <c r="TEH1530" s="646"/>
      <c r="TEI1530" s="646"/>
      <c r="TEJ1530" s="646"/>
      <c r="TEK1530" s="646"/>
      <c r="TEL1530" s="646"/>
      <c r="TEM1530" s="646"/>
      <c r="TEN1530" s="646"/>
      <c r="TEO1530" s="646"/>
      <c r="TEP1530" s="646"/>
      <c r="TEQ1530" s="646"/>
      <c r="TER1530" s="646"/>
      <c r="TES1530" s="646"/>
      <c r="TET1530" s="646"/>
      <c r="TEU1530" s="646"/>
      <c r="TEV1530" s="646"/>
      <c r="TEW1530" s="646"/>
      <c r="TEX1530" s="646"/>
      <c r="TEY1530" s="646"/>
      <c r="TEZ1530" s="646"/>
      <c r="TFA1530" s="646"/>
      <c r="TFB1530" s="646"/>
      <c r="TFC1530" s="646"/>
      <c r="TFD1530" s="646"/>
      <c r="TFE1530" s="646"/>
      <c r="TFF1530" s="646"/>
      <c r="TFG1530" s="646"/>
      <c r="TFH1530" s="646"/>
      <c r="TFI1530" s="646"/>
      <c r="TFJ1530" s="646"/>
      <c r="TFK1530" s="646"/>
      <c r="TFL1530" s="646"/>
      <c r="TFM1530" s="646"/>
      <c r="TFN1530" s="646"/>
      <c r="TFO1530" s="646"/>
      <c r="TFP1530" s="646"/>
      <c r="TFQ1530" s="646"/>
      <c r="TFR1530" s="646"/>
      <c r="TFS1530" s="646"/>
      <c r="TFT1530" s="646"/>
      <c r="TFU1530" s="646"/>
      <c r="TFV1530" s="646"/>
      <c r="TFW1530" s="646"/>
      <c r="TFX1530" s="646"/>
      <c r="TFY1530" s="646"/>
      <c r="TFZ1530" s="646"/>
      <c r="TGA1530" s="646"/>
      <c r="TGB1530" s="646"/>
      <c r="TGC1530" s="646"/>
      <c r="TGD1530" s="646"/>
      <c r="TGE1530" s="646"/>
      <c r="TGF1530" s="646"/>
      <c r="TGG1530" s="646"/>
      <c r="TGH1530" s="646"/>
      <c r="TGI1530" s="646"/>
      <c r="TGJ1530" s="646"/>
      <c r="TGK1530" s="646"/>
      <c r="TGL1530" s="646"/>
      <c r="TGM1530" s="646"/>
      <c r="TGN1530" s="646"/>
      <c r="TGO1530" s="646"/>
      <c r="TGP1530" s="646"/>
      <c r="TGQ1530" s="646"/>
      <c r="TGR1530" s="646"/>
      <c r="TGS1530" s="646"/>
      <c r="TGT1530" s="646"/>
      <c r="TGU1530" s="646"/>
      <c r="TGV1530" s="646"/>
      <c r="TGW1530" s="646"/>
      <c r="TGX1530" s="646"/>
      <c r="TGY1530" s="646"/>
      <c r="TGZ1530" s="646"/>
      <c r="THA1530" s="646"/>
      <c r="THB1530" s="646"/>
      <c r="THC1530" s="646"/>
      <c r="THD1530" s="646"/>
      <c r="THE1530" s="646"/>
      <c r="THF1530" s="646"/>
      <c r="THG1530" s="646"/>
      <c r="THH1530" s="646"/>
      <c r="THI1530" s="646"/>
      <c r="THJ1530" s="646"/>
      <c r="THK1530" s="646"/>
      <c r="THL1530" s="646"/>
      <c r="THM1530" s="646"/>
      <c r="THN1530" s="646"/>
      <c r="THO1530" s="646"/>
      <c r="THP1530" s="646"/>
      <c r="THQ1530" s="646"/>
      <c r="THR1530" s="646"/>
      <c r="THS1530" s="646"/>
      <c r="THT1530" s="646"/>
      <c r="THU1530" s="646"/>
      <c r="THV1530" s="646"/>
      <c r="THW1530" s="646"/>
      <c r="THX1530" s="646"/>
      <c r="THY1530" s="646"/>
      <c r="THZ1530" s="646"/>
      <c r="TIA1530" s="646"/>
      <c r="TIB1530" s="646"/>
      <c r="TIC1530" s="646"/>
      <c r="TID1530" s="646"/>
      <c r="TIE1530" s="646"/>
      <c r="TIF1530" s="646"/>
      <c r="TIG1530" s="646"/>
      <c r="TIH1530" s="646"/>
      <c r="TII1530" s="646"/>
      <c r="TIJ1530" s="646"/>
      <c r="TIK1530" s="646"/>
      <c r="TIL1530" s="646"/>
      <c r="TIM1530" s="646"/>
      <c r="TIN1530" s="646"/>
      <c r="TIO1530" s="646"/>
      <c r="TIP1530" s="646"/>
      <c r="TIQ1530" s="646"/>
      <c r="TIR1530" s="646"/>
      <c r="TIS1530" s="646"/>
      <c r="TIT1530" s="646"/>
      <c r="TIU1530" s="646"/>
      <c r="TIV1530" s="646"/>
      <c r="TIW1530" s="646"/>
      <c r="TIX1530" s="646"/>
      <c r="TIY1530" s="646"/>
      <c r="TIZ1530" s="646"/>
      <c r="TJA1530" s="646"/>
      <c r="TJB1530" s="646"/>
      <c r="TJC1530" s="646"/>
      <c r="TJD1530" s="646"/>
      <c r="TJE1530" s="646"/>
      <c r="TJF1530" s="646"/>
      <c r="TJG1530" s="646"/>
      <c r="TJH1530" s="646"/>
      <c r="TJI1530" s="646"/>
      <c r="TJJ1530" s="646"/>
      <c r="TJK1530" s="646"/>
      <c r="TJL1530" s="646"/>
      <c r="TJM1530" s="646"/>
      <c r="TJN1530" s="646"/>
      <c r="TJO1530" s="646"/>
      <c r="TJP1530" s="646"/>
      <c r="TJQ1530" s="646"/>
      <c r="TJR1530" s="646"/>
      <c r="TJS1530" s="646"/>
      <c r="TJT1530" s="646"/>
      <c r="TJU1530" s="646"/>
      <c r="TJV1530" s="646"/>
      <c r="TJW1530" s="646"/>
      <c r="TJX1530" s="646"/>
      <c r="TJY1530" s="646"/>
      <c r="TJZ1530" s="646"/>
      <c r="TKA1530" s="646"/>
      <c r="TKB1530" s="646"/>
      <c r="TKC1530" s="646"/>
      <c r="TKD1530" s="646"/>
      <c r="TKE1530" s="646"/>
      <c r="TKF1530" s="646"/>
      <c r="TKG1530" s="646"/>
      <c r="TKH1530" s="646"/>
      <c r="TKI1530" s="646"/>
      <c r="TKJ1530" s="646"/>
      <c r="TKK1530" s="646"/>
      <c r="TKL1530" s="646"/>
      <c r="TKM1530" s="646"/>
      <c r="TKN1530" s="646"/>
      <c r="TKO1530" s="646"/>
      <c r="TKP1530" s="646"/>
      <c r="TKQ1530" s="646"/>
      <c r="TKR1530" s="646"/>
      <c r="TKS1530" s="646"/>
      <c r="TKT1530" s="646"/>
      <c r="TKU1530" s="646"/>
      <c r="TKV1530" s="646"/>
      <c r="TKW1530" s="646"/>
      <c r="TKX1530" s="646"/>
      <c r="TKY1530" s="646"/>
      <c r="TKZ1530" s="646"/>
      <c r="TLA1530" s="646"/>
      <c r="TLB1530" s="646"/>
      <c r="TLC1530" s="646"/>
      <c r="TLD1530" s="646"/>
      <c r="TLE1530" s="646"/>
      <c r="TLF1530" s="646"/>
      <c r="TLG1530" s="646"/>
      <c r="TLH1530" s="646"/>
      <c r="TLI1530" s="646"/>
      <c r="TLJ1530" s="646"/>
      <c r="TLK1530" s="646"/>
      <c r="TLL1530" s="646"/>
      <c r="TLM1530" s="646"/>
      <c r="TLN1530" s="646"/>
      <c r="TLO1530" s="646"/>
      <c r="TLP1530" s="646"/>
      <c r="TLQ1530" s="646"/>
      <c r="TLR1530" s="646"/>
      <c r="TLS1530" s="646"/>
      <c r="TLT1530" s="646"/>
      <c r="TLU1530" s="646"/>
      <c r="TLV1530" s="646"/>
      <c r="TLW1530" s="646"/>
      <c r="TLX1530" s="646"/>
      <c r="TLY1530" s="646"/>
      <c r="TLZ1530" s="646"/>
      <c r="TMA1530" s="646"/>
      <c r="TMB1530" s="646"/>
      <c r="TMC1530" s="646"/>
      <c r="TMD1530" s="646"/>
      <c r="TME1530" s="646"/>
      <c r="TMF1530" s="646"/>
      <c r="TMG1530" s="646"/>
      <c r="TMH1530" s="646"/>
      <c r="TMI1530" s="646"/>
      <c r="TMJ1530" s="646"/>
      <c r="TMK1530" s="646"/>
      <c r="TML1530" s="646"/>
      <c r="TMM1530" s="646"/>
      <c r="TMN1530" s="646"/>
      <c r="TMO1530" s="646"/>
      <c r="TMP1530" s="646"/>
      <c r="TMQ1530" s="646"/>
      <c r="TMR1530" s="646"/>
      <c r="TMS1530" s="646"/>
      <c r="TMT1530" s="646"/>
      <c r="TMU1530" s="646"/>
      <c r="TMV1530" s="646"/>
      <c r="TMW1530" s="646"/>
      <c r="TMX1530" s="646"/>
      <c r="TMY1530" s="646"/>
      <c r="TMZ1530" s="646"/>
      <c r="TNA1530" s="646"/>
      <c r="TNB1530" s="646"/>
      <c r="TNC1530" s="646"/>
      <c r="TND1530" s="646"/>
      <c r="TNE1530" s="646"/>
      <c r="TNF1530" s="646"/>
      <c r="TNG1530" s="646"/>
      <c r="TNH1530" s="646"/>
      <c r="TNI1530" s="646"/>
      <c r="TNJ1530" s="646"/>
      <c r="TNK1530" s="646"/>
      <c r="TNL1530" s="646"/>
      <c r="TNM1530" s="646"/>
      <c r="TNN1530" s="646"/>
      <c r="TNO1530" s="646"/>
      <c r="TNP1530" s="646"/>
      <c r="TNQ1530" s="646"/>
      <c r="TNR1530" s="646"/>
      <c r="TNS1530" s="646"/>
      <c r="TNT1530" s="646"/>
      <c r="TNU1530" s="646"/>
      <c r="TNV1530" s="646"/>
      <c r="TNW1530" s="646"/>
      <c r="TNX1530" s="646"/>
      <c r="TNY1530" s="646"/>
      <c r="TNZ1530" s="646"/>
      <c r="TOA1530" s="646"/>
      <c r="TOB1530" s="646"/>
      <c r="TOC1530" s="646"/>
      <c r="TOD1530" s="646"/>
      <c r="TOE1530" s="646"/>
      <c r="TOF1530" s="646"/>
      <c r="TOG1530" s="646"/>
      <c r="TOH1530" s="646"/>
      <c r="TOI1530" s="646"/>
      <c r="TOJ1530" s="646"/>
      <c r="TOK1530" s="646"/>
      <c r="TOL1530" s="646"/>
      <c r="TOM1530" s="646"/>
      <c r="TON1530" s="646"/>
      <c r="TOO1530" s="646"/>
      <c r="TOP1530" s="646"/>
      <c r="TOQ1530" s="646"/>
      <c r="TOR1530" s="646"/>
      <c r="TOS1530" s="646"/>
      <c r="TOT1530" s="646"/>
      <c r="TOU1530" s="646"/>
      <c r="TOV1530" s="646"/>
      <c r="TOW1530" s="646"/>
      <c r="TOX1530" s="646"/>
      <c r="TOY1530" s="646"/>
      <c r="TOZ1530" s="646"/>
      <c r="TPA1530" s="646"/>
      <c r="TPB1530" s="646"/>
      <c r="TPC1530" s="646"/>
      <c r="TPD1530" s="646"/>
      <c r="TPE1530" s="646"/>
      <c r="TPF1530" s="646"/>
      <c r="TPG1530" s="646"/>
      <c r="TPH1530" s="646"/>
      <c r="TPI1530" s="646"/>
      <c r="TPJ1530" s="646"/>
      <c r="TPK1530" s="646"/>
      <c r="TPL1530" s="646"/>
      <c r="TPM1530" s="646"/>
      <c r="TPN1530" s="646"/>
      <c r="TPO1530" s="646"/>
      <c r="TPP1530" s="646"/>
      <c r="TPQ1530" s="646"/>
      <c r="TPR1530" s="646"/>
      <c r="TPS1530" s="646"/>
      <c r="TPT1530" s="646"/>
      <c r="TPU1530" s="646"/>
      <c r="TPV1530" s="646"/>
      <c r="TPW1530" s="646"/>
      <c r="TPX1530" s="646"/>
      <c r="TPY1530" s="646"/>
      <c r="TPZ1530" s="646"/>
      <c r="TQA1530" s="646"/>
      <c r="TQB1530" s="646"/>
      <c r="TQC1530" s="646"/>
      <c r="TQD1530" s="646"/>
      <c r="TQE1530" s="646"/>
      <c r="TQF1530" s="646"/>
      <c r="TQG1530" s="646"/>
      <c r="TQH1530" s="646"/>
      <c r="TQI1530" s="646"/>
      <c r="TQJ1530" s="646"/>
      <c r="TQK1530" s="646"/>
      <c r="TQL1530" s="646"/>
      <c r="TQM1530" s="646"/>
      <c r="TQN1530" s="646"/>
      <c r="TQO1530" s="646"/>
      <c r="TQP1530" s="646"/>
      <c r="TQQ1530" s="646"/>
      <c r="TQR1530" s="646"/>
      <c r="TQS1530" s="646"/>
      <c r="TQT1530" s="646"/>
      <c r="TQU1530" s="646"/>
      <c r="TQV1530" s="646"/>
      <c r="TQW1530" s="646"/>
      <c r="TQX1530" s="646"/>
      <c r="TQY1530" s="646"/>
      <c r="TQZ1530" s="646"/>
      <c r="TRA1530" s="646"/>
      <c r="TRB1530" s="646"/>
      <c r="TRC1530" s="646"/>
      <c r="TRD1530" s="646"/>
      <c r="TRE1530" s="646"/>
      <c r="TRF1530" s="646"/>
      <c r="TRG1530" s="646"/>
      <c r="TRH1530" s="646"/>
      <c r="TRI1530" s="646"/>
      <c r="TRJ1530" s="646"/>
      <c r="TRK1530" s="646"/>
      <c r="TRL1530" s="646"/>
      <c r="TRM1530" s="646"/>
      <c r="TRN1530" s="646"/>
      <c r="TRO1530" s="646"/>
      <c r="TRP1530" s="646"/>
      <c r="TRQ1530" s="646"/>
      <c r="TRR1530" s="646"/>
      <c r="TRS1530" s="646"/>
      <c r="TRT1530" s="646"/>
      <c r="TRU1530" s="646"/>
      <c r="TRV1530" s="646"/>
      <c r="TRW1530" s="646"/>
      <c r="TRX1530" s="646"/>
      <c r="TRY1530" s="646"/>
      <c r="TRZ1530" s="646"/>
      <c r="TSA1530" s="646"/>
      <c r="TSB1530" s="646"/>
      <c r="TSC1530" s="646"/>
      <c r="TSD1530" s="646"/>
      <c r="TSE1530" s="646"/>
      <c r="TSF1530" s="646"/>
      <c r="TSG1530" s="646"/>
      <c r="TSH1530" s="646"/>
      <c r="TSI1530" s="646"/>
      <c r="TSJ1530" s="646"/>
      <c r="TSK1530" s="646"/>
      <c r="TSL1530" s="646"/>
      <c r="TSM1530" s="646"/>
      <c r="TSN1530" s="646"/>
      <c r="TSO1530" s="646"/>
      <c r="TSP1530" s="646"/>
      <c r="TSQ1530" s="646"/>
      <c r="TSR1530" s="646"/>
      <c r="TSS1530" s="646"/>
      <c r="TST1530" s="646"/>
      <c r="TSU1530" s="646"/>
      <c r="TSV1530" s="646"/>
      <c r="TSW1530" s="646"/>
      <c r="TSX1530" s="646"/>
      <c r="TSY1530" s="646"/>
      <c r="TSZ1530" s="646"/>
      <c r="TTA1530" s="646"/>
      <c r="TTB1530" s="646"/>
      <c r="TTC1530" s="646"/>
      <c r="TTD1530" s="646"/>
      <c r="TTE1530" s="646"/>
      <c r="TTF1530" s="646"/>
      <c r="TTG1530" s="646"/>
      <c r="TTH1530" s="646"/>
      <c r="TTI1530" s="646"/>
      <c r="TTJ1530" s="646"/>
      <c r="TTK1530" s="646"/>
      <c r="TTL1530" s="646"/>
      <c r="TTM1530" s="646"/>
      <c r="TTN1530" s="646"/>
      <c r="TTO1530" s="646"/>
      <c r="TTP1530" s="646"/>
      <c r="TTQ1530" s="646"/>
      <c r="TTR1530" s="646"/>
      <c r="TTS1530" s="646"/>
      <c r="TTT1530" s="646"/>
      <c r="TTU1530" s="646"/>
      <c r="TTV1530" s="646"/>
      <c r="TTW1530" s="646"/>
      <c r="TTX1530" s="646"/>
      <c r="TTY1530" s="646"/>
      <c r="TTZ1530" s="646"/>
      <c r="TUA1530" s="646"/>
      <c r="TUB1530" s="646"/>
      <c r="TUC1530" s="646"/>
      <c r="TUD1530" s="646"/>
      <c r="TUE1530" s="646"/>
      <c r="TUF1530" s="646"/>
      <c r="TUG1530" s="646"/>
      <c r="TUH1530" s="646"/>
      <c r="TUI1530" s="646"/>
      <c r="TUJ1530" s="646"/>
      <c r="TUK1530" s="646"/>
      <c r="TUL1530" s="646"/>
      <c r="TUM1530" s="646"/>
      <c r="TUN1530" s="646"/>
      <c r="TUO1530" s="646"/>
      <c r="TUP1530" s="646"/>
      <c r="TUQ1530" s="646"/>
      <c r="TUR1530" s="646"/>
      <c r="TUS1530" s="646"/>
      <c r="TUT1530" s="646"/>
      <c r="TUU1530" s="646"/>
      <c r="TUV1530" s="646"/>
      <c r="TUW1530" s="646"/>
      <c r="TUX1530" s="646"/>
      <c r="TUY1530" s="646"/>
      <c r="TUZ1530" s="646"/>
      <c r="TVA1530" s="646"/>
      <c r="TVB1530" s="646"/>
      <c r="TVC1530" s="646"/>
      <c r="TVD1530" s="646"/>
      <c r="TVE1530" s="646"/>
      <c r="TVF1530" s="646"/>
      <c r="TVG1530" s="646"/>
      <c r="TVH1530" s="646"/>
      <c r="TVI1530" s="646"/>
      <c r="TVJ1530" s="646"/>
      <c r="TVK1530" s="646"/>
      <c r="TVL1530" s="646"/>
      <c r="TVM1530" s="646"/>
      <c r="TVN1530" s="646"/>
      <c r="TVO1530" s="646"/>
      <c r="TVP1530" s="646"/>
      <c r="TVQ1530" s="646"/>
      <c r="TVR1530" s="646"/>
      <c r="TVS1530" s="646"/>
      <c r="TVT1530" s="646"/>
      <c r="TVU1530" s="646"/>
      <c r="TVV1530" s="646"/>
      <c r="TVW1530" s="646"/>
      <c r="TVX1530" s="646"/>
      <c r="TVY1530" s="646"/>
      <c r="TVZ1530" s="646"/>
      <c r="TWA1530" s="646"/>
      <c r="TWB1530" s="646"/>
      <c r="TWC1530" s="646"/>
      <c r="TWD1530" s="646"/>
      <c r="TWE1530" s="646"/>
      <c r="TWF1530" s="646"/>
      <c r="TWG1530" s="646"/>
      <c r="TWH1530" s="646"/>
      <c r="TWI1530" s="646"/>
      <c r="TWJ1530" s="646"/>
      <c r="TWK1530" s="646"/>
      <c r="TWL1530" s="646"/>
      <c r="TWM1530" s="646"/>
      <c r="TWN1530" s="646"/>
      <c r="TWO1530" s="646"/>
      <c r="TWP1530" s="646"/>
      <c r="TWQ1530" s="646"/>
      <c r="TWR1530" s="646"/>
      <c r="TWS1530" s="646"/>
      <c r="TWT1530" s="646"/>
      <c r="TWU1530" s="646"/>
      <c r="TWV1530" s="646"/>
      <c r="TWW1530" s="646"/>
      <c r="TWX1530" s="646"/>
      <c r="TWY1530" s="646"/>
      <c r="TWZ1530" s="646"/>
      <c r="TXA1530" s="646"/>
      <c r="TXB1530" s="646"/>
      <c r="TXC1530" s="646"/>
      <c r="TXD1530" s="646"/>
      <c r="TXE1530" s="646"/>
      <c r="TXF1530" s="646"/>
      <c r="TXG1530" s="646"/>
      <c r="TXH1530" s="646"/>
      <c r="TXI1530" s="646"/>
      <c r="TXJ1530" s="646"/>
      <c r="TXK1530" s="646"/>
      <c r="TXL1530" s="646"/>
      <c r="TXM1530" s="646"/>
      <c r="TXN1530" s="646"/>
      <c r="TXO1530" s="646"/>
      <c r="TXP1530" s="646"/>
      <c r="TXQ1530" s="646"/>
      <c r="TXR1530" s="646"/>
      <c r="TXS1530" s="646"/>
      <c r="TXT1530" s="646"/>
      <c r="TXU1530" s="646"/>
      <c r="TXV1530" s="646"/>
      <c r="TXW1530" s="646"/>
      <c r="TXX1530" s="646"/>
      <c r="TXY1530" s="646"/>
      <c r="TXZ1530" s="646"/>
      <c r="TYA1530" s="646"/>
      <c r="TYB1530" s="646"/>
      <c r="TYC1530" s="646"/>
      <c r="TYD1530" s="646"/>
      <c r="TYE1530" s="646"/>
      <c r="TYF1530" s="646"/>
      <c r="TYG1530" s="646"/>
      <c r="TYH1530" s="646"/>
      <c r="TYI1530" s="646"/>
      <c r="TYJ1530" s="646"/>
      <c r="TYK1530" s="646"/>
      <c r="TYL1530" s="646"/>
      <c r="TYM1530" s="646"/>
      <c r="TYN1530" s="646"/>
      <c r="TYO1530" s="646"/>
      <c r="TYP1530" s="646"/>
      <c r="TYQ1530" s="646"/>
      <c r="TYR1530" s="646"/>
      <c r="TYS1530" s="646"/>
      <c r="TYT1530" s="646"/>
      <c r="TYU1530" s="646"/>
      <c r="TYV1530" s="646"/>
      <c r="TYW1530" s="646"/>
      <c r="TYX1530" s="646"/>
      <c r="TYY1530" s="646"/>
      <c r="TYZ1530" s="646"/>
      <c r="TZA1530" s="646"/>
      <c r="TZB1530" s="646"/>
      <c r="TZC1530" s="646"/>
      <c r="TZD1530" s="646"/>
      <c r="TZE1530" s="646"/>
      <c r="TZF1530" s="646"/>
      <c r="TZG1530" s="646"/>
      <c r="TZH1530" s="646"/>
      <c r="TZI1530" s="646"/>
      <c r="TZJ1530" s="646"/>
      <c r="TZK1530" s="646"/>
      <c r="TZL1530" s="646"/>
      <c r="TZM1530" s="646"/>
      <c r="TZN1530" s="646"/>
      <c r="TZO1530" s="646"/>
      <c r="TZP1530" s="646"/>
      <c r="TZQ1530" s="646"/>
      <c r="TZR1530" s="646"/>
      <c r="TZS1530" s="646"/>
      <c r="TZT1530" s="646"/>
      <c r="TZU1530" s="646"/>
      <c r="TZV1530" s="646"/>
      <c r="TZW1530" s="646"/>
      <c r="TZX1530" s="646"/>
      <c r="TZY1530" s="646"/>
      <c r="TZZ1530" s="646"/>
      <c r="UAA1530" s="646"/>
      <c r="UAB1530" s="646"/>
      <c r="UAC1530" s="646"/>
      <c r="UAD1530" s="646"/>
      <c r="UAE1530" s="646"/>
      <c r="UAF1530" s="646"/>
      <c r="UAG1530" s="646"/>
      <c r="UAH1530" s="646"/>
      <c r="UAI1530" s="646"/>
      <c r="UAJ1530" s="646"/>
      <c r="UAK1530" s="646"/>
      <c r="UAL1530" s="646"/>
      <c r="UAM1530" s="646"/>
      <c r="UAN1530" s="646"/>
      <c r="UAO1530" s="646"/>
      <c r="UAP1530" s="646"/>
      <c r="UAQ1530" s="646"/>
      <c r="UAR1530" s="646"/>
      <c r="UAS1530" s="646"/>
      <c r="UAT1530" s="646"/>
      <c r="UAU1530" s="646"/>
      <c r="UAV1530" s="646"/>
      <c r="UAW1530" s="646"/>
      <c r="UAX1530" s="646"/>
      <c r="UAY1530" s="646"/>
      <c r="UAZ1530" s="646"/>
      <c r="UBA1530" s="646"/>
      <c r="UBB1530" s="646"/>
      <c r="UBC1530" s="646"/>
      <c r="UBD1530" s="646"/>
      <c r="UBE1530" s="646"/>
      <c r="UBF1530" s="646"/>
      <c r="UBG1530" s="646"/>
      <c r="UBH1530" s="646"/>
      <c r="UBI1530" s="646"/>
      <c r="UBJ1530" s="646"/>
      <c r="UBK1530" s="646"/>
      <c r="UBL1530" s="646"/>
      <c r="UBM1530" s="646"/>
      <c r="UBN1530" s="646"/>
      <c r="UBO1530" s="646"/>
      <c r="UBP1530" s="646"/>
      <c r="UBQ1530" s="646"/>
      <c r="UBR1530" s="646"/>
      <c r="UBS1530" s="646"/>
      <c r="UBT1530" s="646"/>
      <c r="UBU1530" s="646"/>
      <c r="UBV1530" s="646"/>
      <c r="UBW1530" s="646"/>
      <c r="UBX1530" s="646"/>
      <c r="UBY1530" s="646"/>
      <c r="UBZ1530" s="646"/>
      <c r="UCA1530" s="646"/>
      <c r="UCB1530" s="646"/>
      <c r="UCC1530" s="646"/>
      <c r="UCD1530" s="646"/>
      <c r="UCE1530" s="646"/>
      <c r="UCF1530" s="646"/>
      <c r="UCG1530" s="646"/>
      <c r="UCH1530" s="646"/>
      <c r="UCI1530" s="646"/>
      <c r="UCJ1530" s="646"/>
      <c r="UCK1530" s="646"/>
      <c r="UCL1530" s="646"/>
      <c r="UCM1530" s="646"/>
      <c r="UCN1530" s="646"/>
      <c r="UCO1530" s="646"/>
      <c r="UCP1530" s="646"/>
      <c r="UCQ1530" s="646"/>
      <c r="UCR1530" s="646"/>
      <c r="UCS1530" s="646"/>
      <c r="UCT1530" s="646"/>
      <c r="UCU1530" s="646"/>
      <c r="UCV1530" s="646"/>
      <c r="UCW1530" s="646"/>
      <c r="UCX1530" s="646"/>
      <c r="UCY1530" s="646"/>
      <c r="UCZ1530" s="646"/>
      <c r="UDA1530" s="646"/>
      <c r="UDB1530" s="646"/>
      <c r="UDC1530" s="646"/>
      <c r="UDD1530" s="646"/>
      <c r="UDE1530" s="646"/>
      <c r="UDF1530" s="646"/>
      <c r="UDG1530" s="646"/>
      <c r="UDH1530" s="646"/>
      <c r="UDI1530" s="646"/>
      <c r="UDJ1530" s="646"/>
      <c r="UDK1530" s="646"/>
      <c r="UDL1530" s="646"/>
      <c r="UDM1530" s="646"/>
      <c r="UDN1530" s="646"/>
      <c r="UDO1530" s="646"/>
      <c r="UDP1530" s="646"/>
      <c r="UDQ1530" s="646"/>
      <c r="UDR1530" s="646"/>
      <c r="UDS1530" s="646"/>
      <c r="UDT1530" s="646"/>
      <c r="UDU1530" s="646"/>
      <c r="UDV1530" s="646"/>
      <c r="UDW1530" s="646"/>
      <c r="UDX1530" s="646"/>
      <c r="UDY1530" s="646"/>
      <c r="UDZ1530" s="646"/>
      <c r="UEA1530" s="646"/>
      <c r="UEB1530" s="646"/>
      <c r="UEC1530" s="646"/>
      <c r="UED1530" s="646"/>
      <c r="UEE1530" s="646"/>
      <c r="UEF1530" s="646"/>
      <c r="UEG1530" s="646"/>
      <c r="UEH1530" s="646"/>
      <c r="UEI1530" s="646"/>
      <c r="UEJ1530" s="646"/>
      <c r="UEK1530" s="646"/>
      <c r="UEL1530" s="646"/>
      <c r="UEM1530" s="646"/>
      <c r="UEN1530" s="646"/>
      <c r="UEO1530" s="646"/>
      <c r="UEP1530" s="646"/>
      <c r="UEQ1530" s="646"/>
      <c r="UER1530" s="646"/>
      <c r="UES1530" s="646"/>
      <c r="UET1530" s="646"/>
      <c r="UEU1530" s="646"/>
      <c r="UEV1530" s="646"/>
      <c r="UEW1530" s="646"/>
      <c r="UEX1530" s="646"/>
      <c r="UEY1530" s="646"/>
      <c r="UEZ1530" s="646"/>
      <c r="UFA1530" s="646"/>
      <c r="UFB1530" s="646"/>
      <c r="UFC1530" s="646"/>
      <c r="UFD1530" s="646"/>
      <c r="UFE1530" s="646"/>
      <c r="UFF1530" s="646"/>
      <c r="UFG1530" s="646"/>
      <c r="UFH1530" s="646"/>
      <c r="UFI1530" s="646"/>
      <c r="UFJ1530" s="646"/>
      <c r="UFK1530" s="646"/>
      <c r="UFL1530" s="646"/>
      <c r="UFM1530" s="646"/>
      <c r="UFN1530" s="646"/>
      <c r="UFO1530" s="646"/>
      <c r="UFP1530" s="646"/>
      <c r="UFQ1530" s="646"/>
      <c r="UFR1530" s="646"/>
      <c r="UFS1530" s="646"/>
      <c r="UFT1530" s="646"/>
      <c r="UFU1530" s="646"/>
      <c r="UFV1530" s="646"/>
      <c r="UFW1530" s="646"/>
      <c r="UFX1530" s="646"/>
      <c r="UFY1530" s="646"/>
      <c r="UFZ1530" s="646"/>
      <c r="UGA1530" s="646"/>
      <c r="UGB1530" s="646"/>
      <c r="UGC1530" s="646"/>
      <c r="UGD1530" s="646"/>
      <c r="UGE1530" s="646"/>
      <c r="UGF1530" s="646"/>
      <c r="UGG1530" s="646"/>
      <c r="UGH1530" s="646"/>
      <c r="UGI1530" s="646"/>
      <c r="UGJ1530" s="646"/>
      <c r="UGK1530" s="646"/>
      <c r="UGL1530" s="646"/>
      <c r="UGM1530" s="646"/>
      <c r="UGN1530" s="646"/>
      <c r="UGO1530" s="646"/>
      <c r="UGP1530" s="646"/>
      <c r="UGQ1530" s="646"/>
      <c r="UGR1530" s="646"/>
      <c r="UGS1530" s="646"/>
      <c r="UGT1530" s="646"/>
      <c r="UGU1530" s="646"/>
      <c r="UGV1530" s="646"/>
      <c r="UGW1530" s="646"/>
      <c r="UGX1530" s="646"/>
      <c r="UGY1530" s="646"/>
      <c r="UGZ1530" s="646"/>
      <c r="UHA1530" s="646"/>
      <c r="UHB1530" s="646"/>
      <c r="UHC1530" s="646"/>
      <c r="UHD1530" s="646"/>
      <c r="UHE1530" s="646"/>
      <c r="UHF1530" s="646"/>
      <c r="UHG1530" s="646"/>
      <c r="UHH1530" s="646"/>
      <c r="UHI1530" s="646"/>
      <c r="UHJ1530" s="646"/>
      <c r="UHK1530" s="646"/>
      <c r="UHL1530" s="646"/>
      <c r="UHM1530" s="646"/>
      <c r="UHN1530" s="646"/>
      <c r="UHO1530" s="646"/>
      <c r="UHP1530" s="646"/>
      <c r="UHQ1530" s="646"/>
      <c r="UHR1530" s="646"/>
      <c r="UHS1530" s="646"/>
      <c r="UHT1530" s="646"/>
      <c r="UHU1530" s="646"/>
      <c r="UHV1530" s="646"/>
      <c r="UHW1530" s="646"/>
      <c r="UHX1530" s="646"/>
      <c r="UHY1530" s="646"/>
      <c r="UHZ1530" s="646"/>
      <c r="UIA1530" s="646"/>
      <c r="UIB1530" s="646"/>
      <c r="UIC1530" s="646"/>
      <c r="UID1530" s="646"/>
      <c r="UIE1530" s="646"/>
      <c r="UIF1530" s="646"/>
      <c r="UIG1530" s="646"/>
      <c r="UIH1530" s="646"/>
      <c r="UII1530" s="646"/>
      <c r="UIJ1530" s="646"/>
      <c r="UIK1530" s="646"/>
      <c r="UIL1530" s="646"/>
      <c r="UIM1530" s="646"/>
      <c r="UIN1530" s="646"/>
      <c r="UIO1530" s="646"/>
      <c r="UIP1530" s="646"/>
      <c r="UIQ1530" s="646"/>
      <c r="UIR1530" s="646"/>
      <c r="UIS1530" s="646"/>
      <c r="UIT1530" s="646"/>
      <c r="UIU1530" s="646"/>
      <c r="UIV1530" s="646"/>
      <c r="UIW1530" s="646"/>
      <c r="UIX1530" s="646"/>
      <c r="UIY1530" s="646"/>
      <c r="UIZ1530" s="646"/>
      <c r="UJA1530" s="646"/>
      <c r="UJB1530" s="646"/>
      <c r="UJC1530" s="646"/>
      <c r="UJD1530" s="646"/>
      <c r="UJE1530" s="646"/>
      <c r="UJF1530" s="646"/>
      <c r="UJG1530" s="646"/>
      <c r="UJH1530" s="646"/>
      <c r="UJI1530" s="646"/>
      <c r="UJJ1530" s="646"/>
      <c r="UJK1530" s="646"/>
      <c r="UJL1530" s="646"/>
      <c r="UJM1530" s="646"/>
      <c r="UJN1530" s="646"/>
      <c r="UJO1530" s="646"/>
      <c r="UJP1530" s="646"/>
      <c r="UJQ1530" s="646"/>
      <c r="UJR1530" s="646"/>
      <c r="UJS1530" s="646"/>
      <c r="UJT1530" s="646"/>
      <c r="UJU1530" s="646"/>
      <c r="UJV1530" s="646"/>
      <c r="UJW1530" s="646"/>
      <c r="UJX1530" s="646"/>
      <c r="UJY1530" s="646"/>
      <c r="UJZ1530" s="646"/>
      <c r="UKA1530" s="646"/>
      <c r="UKB1530" s="646"/>
      <c r="UKC1530" s="646"/>
      <c r="UKD1530" s="646"/>
      <c r="UKE1530" s="646"/>
      <c r="UKF1530" s="646"/>
      <c r="UKG1530" s="646"/>
      <c r="UKH1530" s="646"/>
      <c r="UKI1530" s="646"/>
      <c r="UKJ1530" s="646"/>
      <c r="UKK1530" s="646"/>
      <c r="UKL1530" s="646"/>
      <c r="UKM1530" s="646"/>
      <c r="UKN1530" s="646"/>
      <c r="UKO1530" s="646"/>
      <c r="UKP1530" s="646"/>
      <c r="UKQ1530" s="646"/>
      <c r="UKR1530" s="646"/>
      <c r="UKS1530" s="646"/>
      <c r="UKT1530" s="646"/>
      <c r="UKU1530" s="646"/>
      <c r="UKV1530" s="646"/>
      <c r="UKW1530" s="646"/>
      <c r="UKX1530" s="646"/>
      <c r="UKY1530" s="646"/>
      <c r="UKZ1530" s="646"/>
      <c r="ULA1530" s="646"/>
      <c r="ULB1530" s="646"/>
      <c r="ULC1530" s="646"/>
      <c r="ULD1530" s="646"/>
      <c r="ULE1530" s="646"/>
      <c r="ULF1530" s="646"/>
      <c r="ULG1530" s="646"/>
      <c r="ULH1530" s="646"/>
      <c r="ULI1530" s="646"/>
      <c r="ULJ1530" s="646"/>
      <c r="ULK1530" s="646"/>
      <c r="ULL1530" s="646"/>
      <c r="ULM1530" s="646"/>
      <c r="ULN1530" s="646"/>
      <c r="ULO1530" s="646"/>
      <c r="ULP1530" s="646"/>
      <c r="ULQ1530" s="646"/>
      <c r="ULR1530" s="646"/>
      <c r="ULS1530" s="646"/>
      <c r="ULT1530" s="646"/>
      <c r="ULU1530" s="646"/>
      <c r="ULV1530" s="646"/>
      <c r="ULW1530" s="646"/>
      <c r="ULX1530" s="646"/>
      <c r="ULY1530" s="646"/>
      <c r="ULZ1530" s="646"/>
      <c r="UMA1530" s="646"/>
      <c r="UMB1530" s="646"/>
      <c r="UMC1530" s="646"/>
      <c r="UMD1530" s="646"/>
      <c r="UME1530" s="646"/>
      <c r="UMF1530" s="646"/>
      <c r="UMG1530" s="646"/>
      <c r="UMH1530" s="646"/>
      <c r="UMI1530" s="646"/>
      <c r="UMJ1530" s="646"/>
      <c r="UMK1530" s="646"/>
      <c r="UML1530" s="646"/>
      <c r="UMM1530" s="646"/>
      <c r="UMN1530" s="646"/>
      <c r="UMO1530" s="646"/>
      <c r="UMP1530" s="646"/>
      <c r="UMQ1530" s="646"/>
      <c r="UMR1530" s="646"/>
      <c r="UMS1530" s="646"/>
      <c r="UMT1530" s="646"/>
      <c r="UMU1530" s="646"/>
      <c r="UMV1530" s="646"/>
      <c r="UMW1530" s="646"/>
      <c r="UMX1530" s="646"/>
      <c r="UMY1530" s="646"/>
      <c r="UMZ1530" s="646"/>
      <c r="UNA1530" s="646"/>
      <c r="UNB1530" s="646"/>
      <c r="UNC1530" s="646"/>
      <c r="UND1530" s="646"/>
      <c r="UNE1530" s="646"/>
      <c r="UNF1530" s="646"/>
      <c r="UNG1530" s="646"/>
      <c r="UNH1530" s="646"/>
      <c r="UNI1530" s="646"/>
      <c r="UNJ1530" s="646"/>
      <c r="UNK1530" s="646"/>
      <c r="UNL1530" s="646"/>
      <c r="UNM1530" s="646"/>
      <c r="UNN1530" s="646"/>
      <c r="UNO1530" s="646"/>
      <c r="UNP1530" s="646"/>
      <c r="UNQ1530" s="646"/>
      <c r="UNR1530" s="646"/>
      <c r="UNS1530" s="646"/>
      <c r="UNT1530" s="646"/>
      <c r="UNU1530" s="646"/>
      <c r="UNV1530" s="646"/>
      <c r="UNW1530" s="646"/>
      <c r="UNX1530" s="646"/>
      <c r="UNY1530" s="646"/>
      <c r="UNZ1530" s="646"/>
      <c r="UOA1530" s="646"/>
      <c r="UOB1530" s="646"/>
      <c r="UOC1530" s="646"/>
      <c r="UOD1530" s="646"/>
      <c r="UOE1530" s="646"/>
      <c r="UOF1530" s="646"/>
      <c r="UOG1530" s="646"/>
      <c r="UOH1530" s="646"/>
      <c r="UOI1530" s="646"/>
      <c r="UOJ1530" s="646"/>
      <c r="UOK1530" s="646"/>
      <c r="UOL1530" s="646"/>
      <c r="UOM1530" s="646"/>
      <c r="UON1530" s="646"/>
      <c r="UOO1530" s="646"/>
      <c r="UOP1530" s="646"/>
      <c r="UOQ1530" s="646"/>
      <c r="UOR1530" s="646"/>
      <c r="UOS1530" s="646"/>
      <c r="UOT1530" s="646"/>
      <c r="UOU1530" s="646"/>
      <c r="UOV1530" s="646"/>
      <c r="UOW1530" s="646"/>
      <c r="UOX1530" s="646"/>
      <c r="UOY1530" s="646"/>
      <c r="UOZ1530" s="646"/>
      <c r="UPA1530" s="646"/>
      <c r="UPB1530" s="646"/>
      <c r="UPC1530" s="646"/>
      <c r="UPD1530" s="646"/>
      <c r="UPE1530" s="646"/>
      <c r="UPF1530" s="646"/>
      <c r="UPG1530" s="646"/>
      <c r="UPH1530" s="646"/>
      <c r="UPI1530" s="646"/>
      <c r="UPJ1530" s="646"/>
      <c r="UPK1530" s="646"/>
      <c r="UPL1530" s="646"/>
      <c r="UPM1530" s="646"/>
      <c r="UPN1530" s="646"/>
      <c r="UPO1530" s="646"/>
      <c r="UPP1530" s="646"/>
      <c r="UPQ1530" s="646"/>
      <c r="UPR1530" s="646"/>
      <c r="UPS1530" s="646"/>
      <c r="UPT1530" s="646"/>
      <c r="UPU1530" s="646"/>
      <c r="UPV1530" s="646"/>
      <c r="UPW1530" s="646"/>
      <c r="UPX1530" s="646"/>
      <c r="UPY1530" s="646"/>
      <c r="UPZ1530" s="646"/>
      <c r="UQA1530" s="646"/>
      <c r="UQB1530" s="646"/>
      <c r="UQC1530" s="646"/>
      <c r="UQD1530" s="646"/>
      <c r="UQE1530" s="646"/>
      <c r="UQF1530" s="646"/>
      <c r="UQG1530" s="646"/>
      <c r="UQH1530" s="646"/>
      <c r="UQI1530" s="646"/>
      <c r="UQJ1530" s="646"/>
      <c r="UQK1530" s="646"/>
      <c r="UQL1530" s="646"/>
      <c r="UQM1530" s="646"/>
      <c r="UQN1530" s="646"/>
      <c r="UQO1530" s="646"/>
      <c r="UQP1530" s="646"/>
      <c r="UQQ1530" s="646"/>
      <c r="UQR1530" s="646"/>
      <c r="UQS1530" s="646"/>
      <c r="UQT1530" s="646"/>
      <c r="UQU1530" s="646"/>
      <c r="UQV1530" s="646"/>
      <c r="UQW1530" s="646"/>
      <c r="UQX1530" s="646"/>
      <c r="UQY1530" s="646"/>
      <c r="UQZ1530" s="646"/>
      <c r="URA1530" s="646"/>
      <c r="URB1530" s="646"/>
      <c r="URC1530" s="646"/>
      <c r="URD1530" s="646"/>
      <c r="URE1530" s="646"/>
      <c r="URF1530" s="646"/>
      <c r="URG1530" s="646"/>
      <c r="URH1530" s="646"/>
      <c r="URI1530" s="646"/>
      <c r="URJ1530" s="646"/>
      <c r="URK1530" s="646"/>
      <c r="URL1530" s="646"/>
      <c r="URM1530" s="646"/>
      <c r="URN1530" s="646"/>
      <c r="URO1530" s="646"/>
      <c r="URP1530" s="646"/>
      <c r="URQ1530" s="646"/>
      <c r="URR1530" s="646"/>
      <c r="URS1530" s="646"/>
      <c r="URT1530" s="646"/>
      <c r="URU1530" s="646"/>
      <c r="URV1530" s="646"/>
      <c r="URW1530" s="646"/>
      <c r="URX1530" s="646"/>
      <c r="URY1530" s="646"/>
      <c r="URZ1530" s="646"/>
      <c r="USA1530" s="646"/>
      <c r="USB1530" s="646"/>
      <c r="USC1530" s="646"/>
      <c r="USD1530" s="646"/>
      <c r="USE1530" s="646"/>
      <c r="USF1530" s="646"/>
      <c r="USG1530" s="646"/>
      <c r="USH1530" s="646"/>
      <c r="USI1530" s="646"/>
      <c r="USJ1530" s="646"/>
      <c r="USK1530" s="646"/>
      <c r="USL1530" s="646"/>
      <c r="USM1530" s="646"/>
      <c r="USN1530" s="646"/>
      <c r="USO1530" s="646"/>
      <c r="USP1530" s="646"/>
      <c r="USQ1530" s="646"/>
      <c r="USR1530" s="646"/>
      <c r="USS1530" s="646"/>
      <c r="UST1530" s="646"/>
      <c r="USU1530" s="646"/>
      <c r="USV1530" s="646"/>
      <c r="USW1530" s="646"/>
      <c r="USX1530" s="646"/>
      <c r="USY1530" s="646"/>
      <c r="USZ1530" s="646"/>
      <c r="UTA1530" s="646"/>
      <c r="UTB1530" s="646"/>
      <c r="UTC1530" s="646"/>
      <c r="UTD1530" s="646"/>
      <c r="UTE1530" s="646"/>
      <c r="UTF1530" s="646"/>
      <c r="UTG1530" s="646"/>
      <c r="UTH1530" s="646"/>
      <c r="UTI1530" s="646"/>
      <c r="UTJ1530" s="646"/>
      <c r="UTK1530" s="646"/>
      <c r="UTL1530" s="646"/>
      <c r="UTM1530" s="646"/>
      <c r="UTN1530" s="646"/>
      <c r="UTO1530" s="646"/>
      <c r="UTP1530" s="646"/>
      <c r="UTQ1530" s="646"/>
      <c r="UTR1530" s="646"/>
      <c r="UTS1530" s="646"/>
      <c r="UTT1530" s="646"/>
      <c r="UTU1530" s="646"/>
      <c r="UTV1530" s="646"/>
      <c r="UTW1530" s="646"/>
      <c r="UTX1530" s="646"/>
      <c r="UTY1530" s="646"/>
      <c r="UTZ1530" s="646"/>
      <c r="UUA1530" s="646"/>
      <c r="UUB1530" s="646"/>
      <c r="UUC1530" s="646"/>
      <c r="UUD1530" s="646"/>
      <c r="UUE1530" s="646"/>
      <c r="UUF1530" s="646"/>
      <c r="UUG1530" s="646"/>
      <c r="UUH1530" s="646"/>
      <c r="UUI1530" s="646"/>
      <c r="UUJ1530" s="646"/>
      <c r="UUK1530" s="646"/>
      <c r="UUL1530" s="646"/>
      <c r="UUM1530" s="646"/>
      <c r="UUN1530" s="646"/>
      <c r="UUO1530" s="646"/>
      <c r="UUP1530" s="646"/>
      <c r="UUQ1530" s="646"/>
      <c r="UUR1530" s="646"/>
      <c r="UUS1530" s="646"/>
      <c r="UUT1530" s="646"/>
      <c r="UUU1530" s="646"/>
      <c r="UUV1530" s="646"/>
      <c r="UUW1530" s="646"/>
      <c r="UUX1530" s="646"/>
      <c r="UUY1530" s="646"/>
      <c r="UUZ1530" s="646"/>
      <c r="UVA1530" s="646"/>
      <c r="UVB1530" s="646"/>
      <c r="UVC1530" s="646"/>
      <c r="UVD1530" s="646"/>
      <c r="UVE1530" s="646"/>
      <c r="UVF1530" s="646"/>
      <c r="UVG1530" s="646"/>
      <c r="UVH1530" s="646"/>
      <c r="UVI1530" s="646"/>
      <c r="UVJ1530" s="646"/>
      <c r="UVK1530" s="646"/>
      <c r="UVL1530" s="646"/>
      <c r="UVM1530" s="646"/>
      <c r="UVN1530" s="646"/>
      <c r="UVO1530" s="646"/>
      <c r="UVP1530" s="646"/>
      <c r="UVQ1530" s="646"/>
      <c r="UVR1530" s="646"/>
      <c r="UVS1530" s="646"/>
      <c r="UVT1530" s="646"/>
      <c r="UVU1530" s="646"/>
      <c r="UVV1530" s="646"/>
      <c r="UVW1530" s="646"/>
      <c r="UVX1530" s="646"/>
      <c r="UVY1530" s="646"/>
      <c r="UVZ1530" s="646"/>
      <c r="UWA1530" s="646"/>
      <c r="UWB1530" s="646"/>
      <c r="UWC1530" s="646"/>
      <c r="UWD1530" s="646"/>
      <c r="UWE1530" s="646"/>
      <c r="UWF1530" s="646"/>
      <c r="UWG1530" s="646"/>
      <c r="UWH1530" s="646"/>
      <c r="UWI1530" s="646"/>
      <c r="UWJ1530" s="646"/>
      <c r="UWK1530" s="646"/>
      <c r="UWL1530" s="646"/>
      <c r="UWM1530" s="646"/>
      <c r="UWN1530" s="646"/>
      <c r="UWO1530" s="646"/>
      <c r="UWP1530" s="646"/>
      <c r="UWQ1530" s="646"/>
      <c r="UWR1530" s="646"/>
      <c r="UWS1530" s="646"/>
      <c r="UWT1530" s="646"/>
      <c r="UWU1530" s="646"/>
      <c r="UWV1530" s="646"/>
      <c r="UWW1530" s="646"/>
      <c r="UWX1530" s="646"/>
      <c r="UWY1530" s="646"/>
      <c r="UWZ1530" s="646"/>
      <c r="UXA1530" s="646"/>
      <c r="UXB1530" s="646"/>
      <c r="UXC1530" s="646"/>
      <c r="UXD1530" s="646"/>
      <c r="UXE1530" s="646"/>
      <c r="UXF1530" s="646"/>
      <c r="UXG1530" s="646"/>
      <c r="UXH1530" s="646"/>
      <c r="UXI1530" s="646"/>
      <c r="UXJ1530" s="646"/>
      <c r="UXK1530" s="646"/>
      <c r="UXL1530" s="646"/>
      <c r="UXM1530" s="646"/>
      <c r="UXN1530" s="646"/>
      <c r="UXO1530" s="646"/>
      <c r="UXP1530" s="646"/>
      <c r="UXQ1530" s="646"/>
      <c r="UXR1530" s="646"/>
      <c r="UXS1530" s="646"/>
      <c r="UXT1530" s="646"/>
      <c r="UXU1530" s="646"/>
      <c r="UXV1530" s="646"/>
      <c r="UXW1530" s="646"/>
      <c r="UXX1530" s="646"/>
      <c r="UXY1530" s="646"/>
      <c r="UXZ1530" s="646"/>
      <c r="UYA1530" s="646"/>
      <c r="UYB1530" s="646"/>
      <c r="UYC1530" s="646"/>
      <c r="UYD1530" s="646"/>
      <c r="UYE1530" s="646"/>
      <c r="UYF1530" s="646"/>
      <c r="UYG1530" s="646"/>
      <c r="UYH1530" s="646"/>
      <c r="UYI1530" s="646"/>
      <c r="UYJ1530" s="646"/>
      <c r="UYK1530" s="646"/>
      <c r="UYL1530" s="646"/>
      <c r="UYM1530" s="646"/>
      <c r="UYN1530" s="646"/>
      <c r="UYO1530" s="646"/>
      <c r="UYP1530" s="646"/>
      <c r="UYQ1530" s="646"/>
      <c r="UYR1530" s="646"/>
      <c r="UYS1530" s="646"/>
      <c r="UYT1530" s="646"/>
      <c r="UYU1530" s="646"/>
      <c r="UYV1530" s="646"/>
      <c r="UYW1530" s="646"/>
      <c r="UYX1530" s="646"/>
      <c r="UYY1530" s="646"/>
      <c r="UYZ1530" s="646"/>
      <c r="UZA1530" s="646"/>
      <c r="UZB1530" s="646"/>
      <c r="UZC1530" s="646"/>
      <c r="UZD1530" s="646"/>
      <c r="UZE1530" s="646"/>
      <c r="UZF1530" s="646"/>
      <c r="UZG1530" s="646"/>
      <c r="UZH1530" s="646"/>
      <c r="UZI1530" s="646"/>
      <c r="UZJ1530" s="646"/>
      <c r="UZK1530" s="646"/>
      <c r="UZL1530" s="646"/>
      <c r="UZM1530" s="646"/>
      <c r="UZN1530" s="646"/>
      <c r="UZO1530" s="646"/>
      <c r="UZP1530" s="646"/>
      <c r="UZQ1530" s="646"/>
      <c r="UZR1530" s="646"/>
      <c r="UZS1530" s="646"/>
      <c r="UZT1530" s="646"/>
      <c r="UZU1530" s="646"/>
      <c r="UZV1530" s="646"/>
      <c r="UZW1530" s="646"/>
      <c r="UZX1530" s="646"/>
      <c r="UZY1530" s="646"/>
      <c r="UZZ1530" s="646"/>
      <c r="VAA1530" s="646"/>
      <c r="VAB1530" s="646"/>
      <c r="VAC1530" s="646"/>
      <c r="VAD1530" s="646"/>
      <c r="VAE1530" s="646"/>
      <c r="VAF1530" s="646"/>
      <c r="VAG1530" s="646"/>
      <c r="VAH1530" s="646"/>
      <c r="VAI1530" s="646"/>
      <c r="VAJ1530" s="646"/>
      <c r="VAK1530" s="646"/>
      <c r="VAL1530" s="646"/>
      <c r="VAM1530" s="646"/>
      <c r="VAN1530" s="646"/>
      <c r="VAO1530" s="646"/>
      <c r="VAP1530" s="646"/>
      <c r="VAQ1530" s="646"/>
      <c r="VAR1530" s="646"/>
      <c r="VAS1530" s="646"/>
      <c r="VAT1530" s="646"/>
      <c r="VAU1530" s="646"/>
      <c r="VAV1530" s="646"/>
      <c r="VAW1530" s="646"/>
      <c r="VAX1530" s="646"/>
      <c r="VAY1530" s="646"/>
      <c r="VAZ1530" s="646"/>
      <c r="VBA1530" s="646"/>
      <c r="VBB1530" s="646"/>
      <c r="VBC1530" s="646"/>
      <c r="VBD1530" s="646"/>
      <c r="VBE1530" s="646"/>
      <c r="VBF1530" s="646"/>
      <c r="VBG1530" s="646"/>
      <c r="VBH1530" s="646"/>
      <c r="VBI1530" s="646"/>
      <c r="VBJ1530" s="646"/>
      <c r="VBK1530" s="646"/>
      <c r="VBL1530" s="646"/>
      <c r="VBM1530" s="646"/>
      <c r="VBN1530" s="646"/>
      <c r="VBO1530" s="646"/>
      <c r="VBP1530" s="646"/>
      <c r="VBQ1530" s="646"/>
      <c r="VBR1530" s="646"/>
      <c r="VBS1530" s="646"/>
      <c r="VBT1530" s="646"/>
      <c r="VBU1530" s="646"/>
      <c r="VBV1530" s="646"/>
      <c r="VBW1530" s="646"/>
      <c r="VBX1530" s="646"/>
      <c r="VBY1530" s="646"/>
      <c r="VBZ1530" s="646"/>
      <c r="VCA1530" s="646"/>
      <c r="VCB1530" s="646"/>
      <c r="VCC1530" s="646"/>
      <c r="VCD1530" s="646"/>
      <c r="VCE1530" s="646"/>
      <c r="VCF1530" s="646"/>
      <c r="VCG1530" s="646"/>
      <c r="VCH1530" s="646"/>
      <c r="VCI1530" s="646"/>
      <c r="VCJ1530" s="646"/>
      <c r="VCK1530" s="646"/>
      <c r="VCL1530" s="646"/>
      <c r="VCM1530" s="646"/>
      <c r="VCN1530" s="646"/>
      <c r="VCO1530" s="646"/>
      <c r="VCP1530" s="646"/>
      <c r="VCQ1530" s="646"/>
      <c r="VCR1530" s="646"/>
      <c r="VCS1530" s="646"/>
      <c r="VCT1530" s="646"/>
      <c r="VCU1530" s="646"/>
      <c r="VCV1530" s="646"/>
      <c r="VCW1530" s="646"/>
      <c r="VCX1530" s="646"/>
      <c r="VCY1530" s="646"/>
      <c r="VCZ1530" s="646"/>
      <c r="VDA1530" s="646"/>
      <c r="VDB1530" s="646"/>
      <c r="VDC1530" s="646"/>
      <c r="VDD1530" s="646"/>
      <c r="VDE1530" s="646"/>
      <c r="VDF1530" s="646"/>
      <c r="VDG1530" s="646"/>
      <c r="VDH1530" s="646"/>
      <c r="VDI1530" s="646"/>
      <c r="VDJ1530" s="646"/>
      <c r="VDK1530" s="646"/>
      <c r="VDL1530" s="646"/>
      <c r="VDM1530" s="646"/>
      <c r="VDN1530" s="646"/>
      <c r="VDO1530" s="646"/>
      <c r="VDP1530" s="646"/>
      <c r="VDQ1530" s="646"/>
      <c r="VDR1530" s="646"/>
      <c r="VDS1530" s="646"/>
      <c r="VDT1530" s="646"/>
      <c r="VDU1530" s="646"/>
      <c r="VDV1530" s="646"/>
      <c r="VDW1530" s="646"/>
      <c r="VDX1530" s="646"/>
      <c r="VDY1530" s="646"/>
      <c r="VDZ1530" s="646"/>
      <c r="VEA1530" s="646"/>
      <c r="VEB1530" s="646"/>
      <c r="VEC1530" s="646"/>
      <c r="VED1530" s="646"/>
      <c r="VEE1530" s="646"/>
      <c r="VEF1530" s="646"/>
      <c r="VEG1530" s="646"/>
      <c r="VEH1530" s="646"/>
      <c r="VEI1530" s="646"/>
      <c r="VEJ1530" s="646"/>
      <c r="VEK1530" s="646"/>
      <c r="VEL1530" s="646"/>
      <c r="VEM1530" s="646"/>
      <c r="VEN1530" s="646"/>
      <c r="VEO1530" s="646"/>
      <c r="VEP1530" s="646"/>
      <c r="VEQ1530" s="646"/>
      <c r="VER1530" s="646"/>
      <c r="VES1530" s="646"/>
      <c r="VET1530" s="646"/>
      <c r="VEU1530" s="646"/>
      <c r="VEV1530" s="646"/>
      <c r="VEW1530" s="646"/>
      <c r="VEX1530" s="646"/>
      <c r="VEY1530" s="646"/>
      <c r="VEZ1530" s="646"/>
      <c r="VFA1530" s="646"/>
      <c r="VFB1530" s="646"/>
      <c r="VFC1530" s="646"/>
      <c r="VFD1530" s="646"/>
      <c r="VFE1530" s="646"/>
      <c r="VFF1530" s="646"/>
      <c r="VFG1530" s="646"/>
      <c r="VFH1530" s="646"/>
      <c r="VFI1530" s="646"/>
      <c r="VFJ1530" s="646"/>
      <c r="VFK1530" s="646"/>
      <c r="VFL1530" s="646"/>
      <c r="VFM1530" s="646"/>
      <c r="VFN1530" s="646"/>
      <c r="VFO1530" s="646"/>
      <c r="VFP1530" s="646"/>
      <c r="VFQ1530" s="646"/>
      <c r="VFR1530" s="646"/>
      <c r="VFS1530" s="646"/>
      <c r="VFT1530" s="646"/>
      <c r="VFU1530" s="646"/>
      <c r="VFV1530" s="646"/>
      <c r="VFW1530" s="646"/>
      <c r="VFX1530" s="646"/>
      <c r="VFY1530" s="646"/>
      <c r="VFZ1530" s="646"/>
      <c r="VGA1530" s="646"/>
      <c r="VGB1530" s="646"/>
      <c r="VGC1530" s="646"/>
      <c r="VGD1530" s="646"/>
      <c r="VGE1530" s="646"/>
      <c r="VGF1530" s="646"/>
      <c r="VGG1530" s="646"/>
      <c r="VGH1530" s="646"/>
      <c r="VGI1530" s="646"/>
      <c r="VGJ1530" s="646"/>
      <c r="VGK1530" s="646"/>
      <c r="VGL1530" s="646"/>
      <c r="VGM1530" s="646"/>
      <c r="VGN1530" s="646"/>
      <c r="VGO1530" s="646"/>
      <c r="VGP1530" s="646"/>
      <c r="VGQ1530" s="646"/>
      <c r="VGR1530" s="646"/>
      <c r="VGS1530" s="646"/>
      <c r="VGT1530" s="646"/>
      <c r="VGU1530" s="646"/>
      <c r="VGV1530" s="646"/>
      <c r="VGW1530" s="646"/>
      <c r="VGX1530" s="646"/>
      <c r="VGY1530" s="646"/>
      <c r="VGZ1530" s="646"/>
      <c r="VHA1530" s="646"/>
      <c r="VHB1530" s="646"/>
      <c r="VHC1530" s="646"/>
      <c r="VHD1530" s="646"/>
      <c r="VHE1530" s="646"/>
      <c r="VHF1530" s="646"/>
      <c r="VHG1530" s="646"/>
      <c r="VHH1530" s="646"/>
      <c r="VHI1530" s="646"/>
      <c r="VHJ1530" s="646"/>
      <c r="VHK1530" s="646"/>
      <c r="VHL1530" s="646"/>
      <c r="VHM1530" s="646"/>
      <c r="VHN1530" s="646"/>
      <c r="VHO1530" s="646"/>
      <c r="VHP1530" s="646"/>
      <c r="VHQ1530" s="646"/>
      <c r="VHR1530" s="646"/>
      <c r="VHS1530" s="646"/>
      <c r="VHT1530" s="646"/>
      <c r="VHU1530" s="646"/>
      <c r="VHV1530" s="646"/>
      <c r="VHW1530" s="646"/>
      <c r="VHX1530" s="646"/>
      <c r="VHY1530" s="646"/>
      <c r="VHZ1530" s="646"/>
      <c r="VIA1530" s="646"/>
      <c r="VIB1530" s="646"/>
      <c r="VIC1530" s="646"/>
      <c r="VID1530" s="646"/>
      <c r="VIE1530" s="646"/>
      <c r="VIF1530" s="646"/>
      <c r="VIG1530" s="646"/>
      <c r="VIH1530" s="646"/>
      <c r="VII1530" s="646"/>
      <c r="VIJ1530" s="646"/>
      <c r="VIK1530" s="646"/>
      <c r="VIL1530" s="646"/>
      <c r="VIM1530" s="646"/>
      <c r="VIN1530" s="646"/>
      <c r="VIO1530" s="646"/>
      <c r="VIP1530" s="646"/>
      <c r="VIQ1530" s="646"/>
      <c r="VIR1530" s="646"/>
      <c r="VIS1530" s="646"/>
      <c r="VIT1530" s="646"/>
      <c r="VIU1530" s="646"/>
      <c r="VIV1530" s="646"/>
      <c r="VIW1530" s="646"/>
      <c r="VIX1530" s="646"/>
      <c r="VIY1530" s="646"/>
      <c r="VIZ1530" s="646"/>
      <c r="VJA1530" s="646"/>
      <c r="VJB1530" s="646"/>
      <c r="VJC1530" s="646"/>
      <c r="VJD1530" s="646"/>
      <c r="VJE1530" s="646"/>
      <c r="VJF1530" s="646"/>
      <c r="VJG1530" s="646"/>
      <c r="VJH1530" s="646"/>
      <c r="VJI1530" s="646"/>
      <c r="VJJ1530" s="646"/>
      <c r="VJK1530" s="646"/>
      <c r="VJL1530" s="646"/>
      <c r="VJM1530" s="646"/>
      <c r="VJN1530" s="646"/>
      <c r="VJO1530" s="646"/>
      <c r="VJP1530" s="646"/>
      <c r="VJQ1530" s="646"/>
      <c r="VJR1530" s="646"/>
      <c r="VJS1530" s="646"/>
      <c r="VJT1530" s="646"/>
      <c r="VJU1530" s="646"/>
      <c r="VJV1530" s="646"/>
      <c r="VJW1530" s="646"/>
      <c r="VJX1530" s="646"/>
      <c r="VJY1530" s="646"/>
      <c r="VJZ1530" s="646"/>
      <c r="VKA1530" s="646"/>
      <c r="VKB1530" s="646"/>
      <c r="VKC1530" s="646"/>
      <c r="VKD1530" s="646"/>
      <c r="VKE1530" s="646"/>
      <c r="VKF1530" s="646"/>
      <c r="VKG1530" s="646"/>
      <c r="VKH1530" s="646"/>
      <c r="VKI1530" s="646"/>
      <c r="VKJ1530" s="646"/>
      <c r="VKK1530" s="646"/>
      <c r="VKL1530" s="646"/>
      <c r="VKM1530" s="646"/>
      <c r="VKN1530" s="646"/>
      <c r="VKO1530" s="646"/>
      <c r="VKP1530" s="646"/>
      <c r="VKQ1530" s="646"/>
      <c r="VKR1530" s="646"/>
      <c r="VKS1530" s="646"/>
      <c r="VKT1530" s="646"/>
      <c r="VKU1530" s="646"/>
      <c r="VKV1530" s="646"/>
      <c r="VKW1530" s="646"/>
      <c r="VKX1530" s="646"/>
      <c r="VKY1530" s="646"/>
      <c r="VKZ1530" s="646"/>
      <c r="VLA1530" s="646"/>
      <c r="VLB1530" s="646"/>
      <c r="VLC1530" s="646"/>
      <c r="VLD1530" s="646"/>
      <c r="VLE1530" s="646"/>
      <c r="VLF1530" s="646"/>
      <c r="VLG1530" s="646"/>
      <c r="VLH1530" s="646"/>
      <c r="VLI1530" s="646"/>
      <c r="VLJ1530" s="646"/>
      <c r="VLK1530" s="646"/>
      <c r="VLL1530" s="646"/>
      <c r="VLM1530" s="646"/>
      <c r="VLN1530" s="646"/>
      <c r="VLO1530" s="646"/>
      <c r="VLP1530" s="646"/>
      <c r="VLQ1530" s="646"/>
      <c r="VLR1530" s="646"/>
      <c r="VLS1530" s="646"/>
      <c r="VLT1530" s="646"/>
      <c r="VLU1530" s="646"/>
      <c r="VLV1530" s="646"/>
      <c r="VLW1530" s="646"/>
      <c r="VLX1530" s="646"/>
      <c r="VLY1530" s="646"/>
      <c r="VLZ1530" s="646"/>
      <c r="VMA1530" s="646"/>
      <c r="VMB1530" s="646"/>
      <c r="VMC1530" s="646"/>
      <c r="VMD1530" s="646"/>
      <c r="VME1530" s="646"/>
      <c r="VMF1530" s="646"/>
      <c r="VMG1530" s="646"/>
      <c r="VMH1530" s="646"/>
      <c r="VMI1530" s="646"/>
      <c r="VMJ1530" s="646"/>
      <c r="VMK1530" s="646"/>
      <c r="VML1530" s="646"/>
      <c r="VMM1530" s="646"/>
      <c r="VMN1530" s="646"/>
      <c r="VMO1530" s="646"/>
      <c r="VMP1530" s="646"/>
      <c r="VMQ1530" s="646"/>
      <c r="VMR1530" s="646"/>
      <c r="VMS1530" s="646"/>
      <c r="VMT1530" s="646"/>
      <c r="VMU1530" s="646"/>
      <c r="VMV1530" s="646"/>
      <c r="VMW1530" s="646"/>
      <c r="VMX1530" s="646"/>
      <c r="VMY1530" s="646"/>
      <c r="VMZ1530" s="646"/>
      <c r="VNA1530" s="646"/>
      <c r="VNB1530" s="646"/>
      <c r="VNC1530" s="646"/>
      <c r="VND1530" s="646"/>
      <c r="VNE1530" s="646"/>
      <c r="VNF1530" s="646"/>
      <c r="VNG1530" s="646"/>
      <c r="VNH1530" s="646"/>
      <c r="VNI1530" s="646"/>
      <c r="VNJ1530" s="646"/>
      <c r="VNK1530" s="646"/>
      <c r="VNL1530" s="646"/>
      <c r="VNM1530" s="646"/>
      <c r="VNN1530" s="646"/>
      <c r="VNO1530" s="646"/>
      <c r="VNP1530" s="646"/>
      <c r="VNQ1530" s="646"/>
      <c r="VNR1530" s="646"/>
      <c r="VNS1530" s="646"/>
      <c r="VNT1530" s="646"/>
      <c r="VNU1530" s="646"/>
      <c r="VNV1530" s="646"/>
      <c r="VNW1530" s="646"/>
      <c r="VNX1530" s="646"/>
      <c r="VNY1530" s="646"/>
      <c r="VNZ1530" s="646"/>
      <c r="VOA1530" s="646"/>
      <c r="VOB1530" s="646"/>
      <c r="VOC1530" s="646"/>
      <c r="VOD1530" s="646"/>
      <c r="VOE1530" s="646"/>
      <c r="VOF1530" s="646"/>
      <c r="VOG1530" s="646"/>
      <c r="VOH1530" s="646"/>
      <c r="VOI1530" s="646"/>
      <c r="VOJ1530" s="646"/>
      <c r="VOK1530" s="646"/>
      <c r="VOL1530" s="646"/>
      <c r="VOM1530" s="646"/>
      <c r="VON1530" s="646"/>
      <c r="VOO1530" s="646"/>
      <c r="VOP1530" s="646"/>
      <c r="VOQ1530" s="646"/>
      <c r="VOR1530" s="646"/>
      <c r="VOS1530" s="646"/>
      <c r="VOT1530" s="646"/>
      <c r="VOU1530" s="646"/>
      <c r="VOV1530" s="646"/>
      <c r="VOW1530" s="646"/>
      <c r="VOX1530" s="646"/>
      <c r="VOY1530" s="646"/>
      <c r="VOZ1530" s="646"/>
      <c r="VPA1530" s="646"/>
      <c r="VPB1530" s="646"/>
      <c r="VPC1530" s="646"/>
      <c r="VPD1530" s="646"/>
      <c r="VPE1530" s="646"/>
      <c r="VPF1530" s="646"/>
      <c r="VPG1530" s="646"/>
      <c r="VPH1530" s="646"/>
      <c r="VPI1530" s="646"/>
      <c r="VPJ1530" s="646"/>
      <c r="VPK1530" s="646"/>
      <c r="VPL1530" s="646"/>
      <c r="VPM1530" s="646"/>
      <c r="VPN1530" s="646"/>
      <c r="VPO1530" s="646"/>
      <c r="VPP1530" s="646"/>
      <c r="VPQ1530" s="646"/>
      <c r="VPR1530" s="646"/>
      <c r="VPS1530" s="646"/>
      <c r="VPT1530" s="646"/>
      <c r="VPU1530" s="646"/>
      <c r="VPV1530" s="646"/>
      <c r="VPW1530" s="646"/>
      <c r="VPX1530" s="646"/>
      <c r="VPY1530" s="646"/>
      <c r="VPZ1530" s="646"/>
      <c r="VQA1530" s="646"/>
      <c r="VQB1530" s="646"/>
      <c r="VQC1530" s="646"/>
      <c r="VQD1530" s="646"/>
      <c r="VQE1530" s="646"/>
      <c r="VQF1530" s="646"/>
      <c r="VQG1530" s="646"/>
      <c r="VQH1530" s="646"/>
      <c r="VQI1530" s="646"/>
      <c r="VQJ1530" s="646"/>
      <c r="VQK1530" s="646"/>
      <c r="VQL1530" s="646"/>
      <c r="VQM1530" s="646"/>
      <c r="VQN1530" s="646"/>
      <c r="VQO1530" s="646"/>
      <c r="VQP1530" s="646"/>
      <c r="VQQ1530" s="646"/>
      <c r="VQR1530" s="646"/>
      <c r="VQS1530" s="646"/>
      <c r="VQT1530" s="646"/>
      <c r="VQU1530" s="646"/>
      <c r="VQV1530" s="646"/>
      <c r="VQW1530" s="646"/>
      <c r="VQX1530" s="646"/>
      <c r="VQY1530" s="646"/>
      <c r="VQZ1530" s="646"/>
      <c r="VRA1530" s="646"/>
      <c r="VRB1530" s="646"/>
      <c r="VRC1530" s="646"/>
      <c r="VRD1530" s="646"/>
      <c r="VRE1530" s="646"/>
      <c r="VRF1530" s="646"/>
      <c r="VRG1530" s="646"/>
      <c r="VRH1530" s="646"/>
      <c r="VRI1530" s="646"/>
      <c r="VRJ1530" s="646"/>
      <c r="VRK1530" s="646"/>
      <c r="VRL1530" s="646"/>
      <c r="VRM1530" s="646"/>
      <c r="VRN1530" s="646"/>
      <c r="VRO1530" s="646"/>
      <c r="VRP1530" s="646"/>
      <c r="VRQ1530" s="646"/>
      <c r="VRR1530" s="646"/>
      <c r="VRS1530" s="646"/>
      <c r="VRT1530" s="646"/>
      <c r="VRU1530" s="646"/>
      <c r="VRV1530" s="646"/>
      <c r="VRW1530" s="646"/>
      <c r="VRX1530" s="646"/>
      <c r="VRY1530" s="646"/>
      <c r="VRZ1530" s="646"/>
      <c r="VSA1530" s="646"/>
      <c r="VSB1530" s="646"/>
      <c r="VSC1530" s="646"/>
      <c r="VSD1530" s="646"/>
      <c r="VSE1530" s="646"/>
      <c r="VSF1530" s="646"/>
      <c r="VSG1530" s="646"/>
      <c r="VSH1530" s="646"/>
      <c r="VSI1530" s="646"/>
      <c r="VSJ1530" s="646"/>
      <c r="VSK1530" s="646"/>
      <c r="VSL1530" s="646"/>
      <c r="VSM1530" s="646"/>
      <c r="VSN1530" s="646"/>
      <c r="VSO1530" s="646"/>
      <c r="VSP1530" s="646"/>
      <c r="VSQ1530" s="646"/>
      <c r="VSR1530" s="646"/>
      <c r="VSS1530" s="646"/>
      <c r="VST1530" s="646"/>
      <c r="VSU1530" s="646"/>
      <c r="VSV1530" s="646"/>
      <c r="VSW1530" s="646"/>
      <c r="VSX1530" s="646"/>
      <c r="VSY1530" s="646"/>
      <c r="VSZ1530" s="646"/>
      <c r="VTA1530" s="646"/>
      <c r="VTB1530" s="646"/>
      <c r="VTC1530" s="646"/>
      <c r="VTD1530" s="646"/>
      <c r="VTE1530" s="646"/>
      <c r="VTF1530" s="646"/>
      <c r="VTG1530" s="646"/>
      <c r="VTH1530" s="646"/>
      <c r="VTI1530" s="646"/>
      <c r="VTJ1530" s="646"/>
      <c r="VTK1530" s="646"/>
      <c r="VTL1530" s="646"/>
      <c r="VTM1530" s="646"/>
      <c r="VTN1530" s="646"/>
      <c r="VTO1530" s="646"/>
      <c r="VTP1530" s="646"/>
      <c r="VTQ1530" s="646"/>
      <c r="VTR1530" s="646"/>
      <c r="VTS1530" s="646"/>
      <c r="VTT1530" s="646"/>
      <c r="VTU1530" s="646"/>
      <c r="VTV1530" s="646"/>
      <c r="VTW1530" s="646"/>
      <c r="VTX1530" s="646"/>
      <c r="VTY1530" s="646"/>
      <c r="VTZ1530" s="646"/>
      <c r="VUA1530" s="646"/>
      <c r="VUB1530" s="646"/>
      <c r="VUC1530" s="646"/>
      <c r="VUD1530" s="646"/>
      <c r="VUE1530" s="646"/>
      <c r="VUF1530" s="646"/>
      <c r="VUG1530" s="646"/>
      <c r="VUH1530" s="646"/>
      <c r="VUI1530" s="646"/>
      <c r="VUJ1530" s="646"/>
      <c r="VUK1530" s="646"/>
      <c r="VUL1530" s="646"/>
      <c r="VUM1530" s="646"/>
      <c r="VUN1530" s="646"/>
      <c r="VUO1530" s="646"/>
      <c r="VUP1530" s="646"/>
      <c r="VUQ1530" s="646"/>
      <c r="VUR1530" s="646"/>
      <c r="VUS1530" s="646"/>
      <c r="VUT1530" s="646"/>
      <c r="VUU1530" s="646"/>
      <c r="VUV1530" s="646"/>
      <c r="VUW1530" s="646"/>
      <c r="VUX1530" s="646"/>
      <c r="VUY1530" s="646"/>
      <c r="VUZ1530" s="646"/>
      <c r="VVA1530" s="646"/>
      <c r="VVB1530" s="646"/>
      <c r="VVC1530" s="646"/>
      <c r="VVD1530" s="646"/>
      <c r="VVE1530" s="646"/>
      <c r="VVF1530" s="646"/>
      <c r="VVG1530" s="646"/>
      <c r="VVH1530" s="646"/>
      <c r="VVI1530" s="646"/>
      <c r="VVJ1530" s="646"/>
      <c r="VVK1530" s="646"/>
      <c r="VVL1530" s="646"/>
      <c r="VVM1530" s="646"/>
      <c r="VVN1530" s="646"/>
      <c r="VVO1530" s="646"/>
      <c r="VVP1530" s="646"/>
      <c r="VVQ1530" s="646"/>
      <c r="VVR1530" s="646"/>
      <c r="VVS1530" s="646"/>
      <c r="VVT1530" s="646"/>
      <c r="VVU1530" s="646"/>
      <c r="VVV1530" s="646"/>
      <c r="VVW1530" s="646"/>
      <c r="VVX1530" s="646"/>
      <c r="VVY1530" s="646"/>
      <c r="VVZ1530" s="646"/>
      <c r="VWA1530" s="646"/>
      <c r="VWB1530" s="646"/>
      <c r="VWC1530" s="646"/>
      <c r="VWD1530" s="646"/>
      <c r="VWE1530" s="646"/>
      <c r="VWF1530" s="646"/>
      <c r="VWG1530" s="646"/>
      <c r="VWH1530" s="646"/>
      <c r="VWI1530" s="646"/>
      <c r="VWJ1530" s="646"/>
      <c r="VWK1530" s="646"/>
      <c r="VWL1530" s="646"/>
      <c r="VWM1530" s="646"/>
      <c r="VWN1530" s="646"/>
      <c r="VWO1530" s="646"/>
      <c r="VWP1530" s="646"/>
      <c r="VWQ1530" s="646"/>
      <c r="VWR1530" s="646"/>
      <c r="VWS1530" s="646"/>
      <c r="VWT1530" s="646"/>
      <c r="VWU1530" s="646"/>
      <c r="VWV1530" s="646"/>
      <c r="VWW1530" s="646"/>
      <c r="VWX1530" s="646"/>
      <c r="VWY1530" s="646"/>
      <c r="VWZ1530" s="646"/>
      <c r="VXA1530" s="646"/>
      <c r="VXB1530" s="646"/>
      <c r="VXC1530" s="646"/>
      <c r="VXD1530" s="646"/>
      <c r="VXE1530" s="646"/>
      <c r="VXF1530" s="646"/>
      <c r="VXG1530" s="646"/>
      <c r="VXH1530" s="646"/>
      <c r="VXI1530" s="646"/>
      <c r="VXJ1530" s="646"/>
      <c r="VXK1530" s="646"/>
      <c r="VXL1530" s="646"/>
      <c r="VXM1530" s="646"/>
      <c r="VXN1530" s="646"/>
      <c r="VXO1530" s="646"/>
      <c r="VXP1530" s="646"/>
      <c r="VXQ1530" s="646"/>
      <c r="VXR1530" s="646"/>
      <c r="VXS1530" s="646"/>
      <c r="VXT1530" s="646"/>
      <c r="VXU1530" s="646"/>
      <c r="VXV1530" s="646"/>
      <c r="VXW1530" s="646"/>
      <c r="VXX1530" s="646"/>
      <c r="VXY1530" s="646"/>
      <c r="VXZ1530" s="646"/>
      <c r="VYA1530" s="646"/>
      <c r="VYB1530" s="646"/>
      <c r="VYC1530" s="646"/>
      <c r="VYD1530" s="646"/>
      <c r="VYE1530" s="646"/>
      <c r="VYF1530" s="646"/>
      <c r="VYG1530" s="646"/>
      <c r="VYH1530" s="646"/>
      <c r="VYI1530" s="646"/>
      <c r="VYJ1530" s="646"/>
      <c r="VYK1530" s="646"/>
      <c r="VYL1530" s="646"/>
      <c r="VYM1530" s="646"/>
      <c r="VYN1530" s="646"/>
      <c r="VYO1530" s="646"/>
      <c r="VYP1530" s="646"/>
      <c r="VYQ1530" s="646"/>
      <c r="VYR1530" s="646"/>
      <c r="VYS1530" s="646"/>
      <c r="VYT1530" s="646"/>
      <c r="VYU1530" s="646"/>
      <c r="VYV1530" s="646"/>
      <c r="VYW1530" s="646"/>
      <c r="VYX1530" s="646"/>
      <c r="VYY1530" s="646"/>
      <c r="VYZ1530" s="646"/>
      <c r="VZA1530" s="646"/>
      <c r="VZB1530" s="646"/>
      <c r="VZC1530" s="646"/>
      <c r="VZD1530" s="646"/>
      <c r="VZE1530" s="646"/>
      <c r="VZF1530" s="646"/>
      <c r="VZG1530" s="646"/>
      <c r="VZH1530" s="646"/>
      <c r="VZI1530" s="646"/>
      <c r="VZJ1530" s="646"/>
      <c r="VZK1530" s="646"/>
      <c r="VZL1530" s="646"/>
      <c r="VZM1530" s="646"/>
      <c r="VZN1530" s="646"/>
      <c r="VZO1530" s="646"/>
      <c r="VZP1530" s="646"/>
      <c r="VZQ1530" s="646"/>
      <c r="VZR1530" s="646"/>
      <c r="VZS1530" s="646"/>
      <c r="VZT1530" s="646"/>
      <c r="VZU1530" s="646"/>
      <c r="VZV1530" s="646"/>
      <c r="VZW1530" s="646"/>
      <c r="VZX1530" s="646"/>
      <c r="VZY1530" s="646"/>
      <c r="VZZ1530" s="646"/>
      <c r="WAA1530" s="646"/>
      <c r="WAB1530" s="646"/>
      <c r="WAC1530" s="646"/>
      <c r="WAD1530" s="646"/>
      <c r="WAE1530" s="646"/>
      <c r="WAF1530" s="646"/>
      <c r="WAG1530" s="646"/>
      <c r="WAH1530" s="646"/>
      <c r="WAI1530" s="646"/>
      <c r="WAJ1530" s="646"/>
      <c r="WAK1530" s="646"/>
      <c r="WAL1530" s="646"/>
      <c r="WAM1530" s="646"/>
      <c r="WAN1530" s="646"/>
      <c r="WAO1530" s="646"/>
      <c r="WAP1530" s="646"/>
      <c r="WAQ1530" s="646"/>
      <c r="WAR1530" s="646"/>
      <c r="WAS1530" s="646"/>
      <c r="WAT1530" s="646"/>
      <c r="WAU1530" s="646"/>
      <c r="WAV1530" s="646"/>
      <c r="WAW1530" s="646"/>
      <c r="WAX1530" s="646"/>
      <c r="WAY1530" s="646"/>
      <c r="WAZ1530" s="646"/>
      <c r="WBA1530" s="646"/>
      <c r="WBB1530" s="646"/>
      <c r="WBC1530" s="646"/>
      <c r="WBD1530" s="646"/>
      <c r="WBE1530" s="646"/>
      <c r="WBF1530" s="646"/>
      <c r="WBG1530" s="646"/>
      <c r="WBH1530" s="646"/>
      <c r="WBI1530" s="646"/>
      <c r="WBJ1530" s="646"/>
      <c r="WBK1530" s="646"/>
      <c r="WBL1530" s="646"/>
      <c r="WBM1530" s="646"/>
      <c r="WBN1530" s="646"/>
      <c r="WBO1530" s="646"/>
      <c r="WBP1530" s="646"/>
      <c r="WBQ1530" s="646"/>
      <c r="WBR1530" s="646"/>
      <c r="WBS1530" s="646"/>
      <c r="WBT1530" s="646"/>
      <c r="WBU1530" s="646"/>
      <c r="WBV1530" s="646"/>
      <c r="WBW1530" s="646"/>
      <c r="WBX1530" s="646"/>
      <c r="WBY1530" s="646"/>
      <c r="WBZ1530" s="646"/>
      <c r="WCA1530" s="646"/>
      <c r="WCB1530" s="646"/>
      <c r="WCC1530" s="646"/>
      <c r="WCD1530" s="646"/>
      <c r="WCE1530" s="646"/>
      <c r="WCF1530" s="646"/>
      <c r="WCG1530" s="646"/>
      <c r="WCH1530" s="646"/>
      <c r="WCI1530" s="646"/>
      <c r="WCJ1530" s="646"/>
      <c r="WCK1530" s="646"/>
      <c r="WCL1530" s="646"/>
      <c r="WCM1530" s="646"/>
      <c r="WCN1530" s="646"/>
      <c r="WCO1530" s="646"/>
      <c r="WCP1530" s="646"/>
      <c r="WCQ1530" s="646"/>
      <c r="WCR1530" s="646"/>
      <c r="WCS1530" s="646"/>
      <c r="WCT1530" s="646"/>
      <c r="WCU1530" s="646"/>
      <c r="WCV1530" s="646"/>
      <c r="WCW1530" s="646"/>
      <c r="WCX1530" s="646"/>
      <c r="WCY1530" s="646"/>
      <c r="WCZ1530" s="646"/>
      <c r="WDA1530" s="646"/>
      <c r="WDB1530" s="646"/>
      <c r="WDC1530" s="646"/>
      <c r="WDD1530" s="646"/>
      <c r="WDE1530" s="646"/>
      <c r="WDF1530" s="646"/>
      <c r="WDG1530" s="646"/>
      <c r="WDH1530" s="646"/>
      <c r="WDI1530" s="646"/>
      <c r="WDJ1530" s="646"/>
      <c r="WDK1530" s="646"/>
      <c r="WDL1530" s="646"/>
      <c r="WDM1530" s="646"/>
      <c r="WDN1530" s="646"/>
      <c r="WDO1530" s="646"/>
      <c r="WDP1530" s="646"/>
      <c r="WDQ1530" s="646"/>
      <c r="WDR1530" s="646"/>
      <c r="WDS1530" s="646"/>
      <c r="WDT1530" s="646"/>
      <c r="WDU1530" s="646"/>
      <c r="WDV1530" s="646"/>
      <c r="WDW1530" s="646"/>
      <c r="WDX1530" s="646"/>
      <c r="WDY1530" s="646"/>
      <c r="WDZ1530" s="646"/>
      <c r="WEA1530" s="646"/>
      <c r="WEB1530" s="646"/>
      <c r="WEC1530" s="646"/>
      <c r="WED1530" s="646"/>
      <c r="WEE1530" s="646"/>
      <c r="WEF1530" s="646"/>
      <c r="WEG1530" s="646"/>
      <c r="WEH1530" s="646"/>
      <c r="WEI1530" s="646"/>
      <c r="WEJ1530" s="646"/>
      <c r="WEK1530" s="646"/>
      <c r="WEL1530" s="646"/>
      <c r="WEM1530" s="646"/>
      <c r="WEN1530" s="646"/>
      <c r="WEO1530" s="646"/>
      <c r="WEP1530" s="646"/>
      <c r="WEQ1530" s="646"/>
      <c r="WER1530" s="646"/>
      <c r="WES1530" s="646"/>
      <c r="WET1530" s="646"/>
      <c r="WEU1530" s="646"/>
      <c r="WEV1530" s="646"/>
      <c r="WEW1530" s="646"/>
      <c r="WEX1530" s="646"/>
      <c r="WEY1530" s="646"/>
      <c r="WEZ1530" s="646"/>
      <c r="WFA1530" s="646"/>
      <c r="WFB1530" s="646"/>
      <c r="WFC1530" s="646"/>
      <c r="WFD1530" s="646"/>
      <c r="WFE1530" s="646"/>
      <c r="WFF1530" s="646"/>
      <c r="WFG1530" s="646"/>
      <c r="WFH1530" s="646"/>
      <c r="WFI1530" s="646"/>
      <c r="WFJ1530" s="646"/>
      <c r="WFK1530" s="646"/>
      <c r="WFL1530" s="646"/>
      <c r="WFM1530" s="646"/>
      <c r="WFN1530" s="646"/>
      <c r="WFO1530" s="646"/>
      <c r="WFP1530" s="646"/>
      <c r="WFQ1530" s="646"/>
      <c r="WFR1530" s="646"/>
      <c r="WFS1530" s="646"/>
      <c r="WFT1530" s="646"/>
      <c r="WFU1530" s="646"/>
      <c r="WFV1530" s="646"/>
      <c r="WFW1530" s="646"/>
      <c r="WFX1530" s="646"/>
      <c r="WFY1530" s="646"/>
      <c r="WFZ1530" s="646"/>
      <c r="WGA1530" s="646"/>
      <c r="WGB1530" s="646"/>
      <c r="WGC1530" s="646"/>
      <c r="WGD1530" s="646"/>
      <c r="WGE1530" s="646"/>
      <c r="WGF1530" s="646"/>
      <c r="WGG1530" s="646"/>
      <c r="WGH1530" s="646"/>
      <c r="WGI1530" s="646"/>
      <c r="WGJ1530" s="646"/>
      <c r="WGK1530" s="646"/>
      <c r="WGL1530" s="646"/>
      <c r="WGM1530" s="646"/>
      <c r="WGN1530" s="646"/>
      <c r="WGO1530" s="646"/>
      <c r="WGP1530" s="646"/>
      <c r="WGQ1530" s="646"/>
      <c r="WGR1530" s="646"/>
      <c r="WGS1530" s="646"/>
      <c r="WGT1530" s="646"/>
      <c r="WGU1530" s="646"/>
      <c r="WGV1530" s="646"/>
      <c r="WGW1530" s="646"/>
      <c r="WGX1530" s="646"/>
      <c r="WGY1530" s="646"/>
      <c r="WGZ1530" s="646"/>
      <c r="WHA1530" s="646"/>
      <c r="WHB1530" s="646"/>
      <c r="WHC1530" s="646"/>
      <c r="WHD1530" s="646"/>
      <c r="WHE1530" s="646"/>
      <c r="WHF1530" s="646"/>
      <c r="WHG1530" s="646"/>
      <c r="WHH1530" s="646"/>
      <c r="WHI1530" s="646"/>
      <c r="WHJ1530" s="646"/>
      <c r="WHK1530" s="646"/>
      <c r="WHL1530" s="646"/>
      <c r="WHM1530" s="646"/>
      <c r="WHN1530" s="646"/>
      <c r="WHO1530" s="646"/>
      <c r="WHP1530" s="646"/>
      <c r="WHQ1530" s="646"/>
      <c r="WHR1530" s="646"/>
      <c r="WHS1530" s="646"/>
      <c r="WHT1530" s="646"/>
      <c r="WHU1530" s="646"/>
      <c r="WHV1530" s="646"/>
      <c r="WHW1530" s="646"/>
      <c r="WHX1530" s="646"/>
      <c r="WHY1530" s="646"/>
      <c r="WHZ1530" s="646"/>
      <c r="WIA1530" s="646"/>
      <c r="WIB1530" s="646"/>
      <c r="WIC1530" s="646"/>
      <c r="WID1530" s="646"/>
      <c r="WIE1530" s="646"/>
      <c r="WIF1530" s="646"/>
      <c r="WIG1530" s="646"/>
      <c r="WIH1530" s="646"/>
      <c r="WII1530" s="646"/>
      <c r="WIJ1530" s="646"/>
      <c r="WIK1530" s="646"/>
      <c r="WIL1530" s="646"/>
      <c r="WIM1530" s="646"/>
      <c r="WIN1530" s="646"/>
      <c r="WIO1530" s="646"/>
      <c r="WIP1530" s="646"/>
      <c r="WIQ1530" s="646"/>
      <c r="WIR1530" s="646"/>
      <c r="WIS1530" s="646"/>
      <c r="WIT1530" s="646"/>
      <c r="WIU1530" s="646"/>
      <c r="WIV1530" s="646"/>
      <c r="WIW1530" s="646"/>
      <c r="WIX1530" s="646"/>
      <c r="WIY1530" s="646"/>
      <c r="WIZ1530" s="646"/>
      <c r="WJA1530" s="646"/>
      <c r="WJB1530" s="646"/>
      <c r="WJC1530" s="646"/>
      <c r="WJD1530" s="646"/>
      <c r="WJE1530" s="646"/>
      <c r="WJF1530" s="646"/>
      <c r="WJG1530" s="646"/>
      <c r="WJH1530" s="646"/>
      <c r="WJI1530" s="646"/>
      <c r="WJJ1530" s="646"/>
      <c r="WJK1530" s="646"/>
      <c r="WJL1530" s="646"/>
      <c r="WJM1530" s="646"/>
      <c r="WJN1530" s="646"/>
      <c r="WJO1530" s="646"/>
      <c r="WJP1530" s="646"/>
      <c r="WJQ1530" s="646"/>
      <c r="WJR1530" s="646"/>
      <c r="WJS1530" s="646"/>
      <c r="WJT1530" s="646"/>
      <c r="WJU1530" s="646"/>
      <c r="WJV1530" s="646"/>
      <c r="WJW1530" s="646"/>
      <c r="WJX1530" s="646"/>
      <c r="WJY1530" s="646"/>
      <c r="WJZ1530" s="646"/>
      <c r="WKA1530" s="646"/>
      <c r="WKB1530" s="646"/>
      <c r="WKC1530" s="646"/>
      <c r="WKD1530" s="646"/>
      <c r="WKE1530" s="646"/>
      <c r="WKF1530" s="646"/>
      <c r="WKG1530" s="646"/>
      <c r="WKH1530" s="646"/>
      <c r="WKI1530" s="646"/>
      <c r="WKJ1530" s="646"/>
      <c r="WKK1530" s="646"/>
      <c r="WKL1530" s="646"/>
      <c r="WKM1530" s="646"/>
      <c r="WKN1530" s="646"/>
      <c r="WKO1530" s="646"/>
      <c r="WKP1530" s="646"/>
      <c r="WKQ1530" s="646"/>
      <c r="WKR1530" s="646"/>
      <c r="WKS1530" s="646"/>
      <c r="WKT1530" s="646"/>
      <c r="WKU1530" s="646"/>
      <c r="WKV1530" s="646"/>
      <c r="WKW1530" s="646"/>
      <c r="WKX1530" s="646"/>
      <c r="WKY1530" s="646"/>
      <c r="WKZ1530" s="646"/>
      <c r="WLA1530" s="646"/>
      <c r="WLB1530" s="646"/>
      <c r="WLC1530" s="646"/>
      <c r="WLD1530" s="646"/>
      <c r="WLE1530" s="646"/>
      <c r="WLF1530" s="646"/>
      <c r="WLG1530" s="646"/>
      <c r="WLH1530" s="646"/>
      <c r="WLI1530" s="646"/>
      <c r="WLJ1530" s="646"/>
      <c r="WLK1530" s="646"/>
      <c r="WLL1530" s="646"/>
      <c r="WLM1530" s="646"/>
      <c r="WLN1530" s="646"/>
      <c r="WLO1530" s="646"/>
      <c r="WLP1530" s="646"/>
      <c r="WLQ1530" s="646"/>
      <c r="WLR1530" s="646"/>
      <c r="WLS1530" s="646"/>
      <c r="WLT1530" s="646"/>
      <c r="WLU1530" s="646"/>
      <c r="WLV1530" s="646"/>
      <c r="WLW1530" s="646"/>
      <c r="WLX1530" s="646"/>
      <c r="WLY1530" s="646"/>
      <c r="WLZ1530" s="646"/>
      <c r="WMA1530" s="646"/>
      <c r="WMB1530" s="646"/>
      <c r="WMC1530" s="646"/>
      <c r="WMD1530" s="646"/>
      <c r="WME1530" s="646"/>
      <c r="WMF1530" s="646"/>
      <c r="WMG1530" s="646"/>
      <c r="WMH1530" s="646"/>
      <c r="WMI1530" s="646"/>
      <c r="WMJ1530" s="646"/>
      <c r="WMK1530" s="646"/>
      <c r="WML1530" s="646"/>
      <c r="WMM1530" s="646"/>
      <c r="WMN1530" s="646"/>
      <c r="WMO1530" s="646"/>
      <c r="WMP1530" s="646"/>
      <c r="WMQ1530" s="646"/>
      <c r="WMR1530" s="646"/>
      <c r="WMS1530" s="646"/>
      <c r="WMT1530" s="646"/>
      <c r="WMU1530" s="646"/>
      <c r="WMV1530" s="646"/>
      <c r="WMW1530" s="646"/>
      <c r="WMX1530" s="646"/>
      <c r="WMY1530" s="646"/>
      <c r="WMZ1530" s="646"/>
      <c r="WNA1530" s="646"/>
      <c r="WNB1530" s="646"/>
      <c r="WNC1530" s="646"/>
      <c r="WND1530" s="646"/>
      <c r="WNE1530" s="646"/>
      <c r="WNF1530" s="646"/>
      <c r="WNG1530" s="646"/>
      <c r="WNH1530" s="646"/>
      <c r="WNI1530" s="646"/>
      <c r="WNJ1530" s="646"/>
      <c r="WNK1530" s="646"/>
      <c r="WNL1530" s="646"/>
      <c r="WNM1530" s="646"/>
      <c r="WNN1530" s="646"/>
      <c r="WNO1530" s="646"/>
      <c r="WNP1530" s="646"/>
      <c r="WNQ1530" s="646"/>
      <c r="WNR1530" s="646"/>
      <c r="WNS1530" s="646"/>
      <c r="WNT1530" s="646"/>
      <c r="WNU1530" s="646"/>
      <c r="WNV1530" s="646"/>
      <c r="WNW1530" s="646"/>
      <c r="WNX1530" s="646"/>
      <c r="WNY1530" s="646"/>
      <c r="WNZ1530" s="646"/>
      <c r="WOA1530" s="646"/>
      <c r="WOB1530" s="646"/>
      <c r="WOC1530" s="646"/>
      <c r="WOD1530" s="646"/>
      <c r="WOE1530" s="646"/>
      <c r="WOF1530" s="646"/>
      <c r="WOG1530" s="646"/>
      <c r="WOH1530" s="646"/>
      <c r="WOI1530" s="646"/>
      <c r="WOJ1530" s="646"/>
      <c r="WOK1530" s="646"/>
      <c r="WOL1530" s="646"/>
      <c r="WOM1530" s="646"/>
      <c r="WON1530" s="646"/>
      <c r="WOO1530" s="646"/>
      <c r="WOP1530" s="646"/>
      <c r="WOQ1530" s="646"/>
      <c r="WOR1530" s="646"/>
      <c r="WOS1530" s="646"/>
      <c r="WOT1530" s="646"/>
      <c r="WOU1530" s="646"/>
      <c r="WOV1530" s="646"/>
      <c r="WOW1530" s="646"/>
      <c r="WOX1530" s="646"/>
      <c r="WOY1530" s="646"/>
      <c r="WOZ1530" s="646"/>
      <c r="WPA1530" s="646"/>
      <c r="WPB1530" s="646"/>
      <c r="WPC1530" s="646"/>
      <c r="WPD1530" s="646"/>
      <c r="WPE1530" s="646"/>
      <c r="WPF1530" s="646"/>
      <c r="WPG1530" s="646"/>
      <c r="WPH1530" s="646"/>
      <c r="WPI1530" s="646"/>
      <c r="WPJ1530" s="646"/>
      <c r="WPK1530" s="646"/>
      <c r="WPL1530" s="646"/>
      <c r="WPM1530" s="646"/>
      <c r="WPN1530" s="646"/>
      <c r="WPO1530" s="646"/>
      <c r="WPP1530" s="646"/>
      <c r="WPQ1530" s="646"/>
      <c r="WPR1530" s="646"/>
      <c r="WPS1530" s="646"/>
      <c r="WPT1530" s="646"/>
      <c r="WPU1530" s="646"/>
      <c r="WPV1530" s="646"/>
      <c r="WPW1530" s="646"/>
      <c r="WPX1530" s="646"/>
      <c r="WPY1530" s="646"/>
      <c r="WPZ1530" s="646"/>
      <c r="WQA1530" s="646"/>
      <c r="WQB1530" s="646"/>
      <c r="WQC1530" s="646"/>
      <c r="WQD1530" s="646"/>
      <c r="WQE1530" s="646"/>
      <c r="WQF1530" s="646"/>
      <c r="WQG1530" s="646"/>
      <c r="WQH1530" s="646"/>
      <c r="WQI1530" s="646"/>
      <c r="WQJ1530" s="646"/>
      <c r="WQK1530" s="646"/>
      <c r="WQL1530" s="646"/>
      <c r="WQM1530" s="646"/>
      <c r="WQN1530" s="646"/>
      <c r="WQO1530" s="646"/>
      <c r="WQP1530" s="646"/>
      <c r="WQQ1530" s="646"/>
      <c r="WQR1530" s="646"/>
      <c r="WQS1530" s="646"/>
      <c r="WQT1530" s="646"/>
      <c r="WQU1530" s="646"/>
      <c r="WQV1530" s="646"/>
      <c r="WQW1530" s="646"/>
      <c r="WQX1530" s="646"/>
      <c r="WQY1530" s="646"/>
      <c r="WQZ1530" s="646"/>
      <c r="WRA1530" s="646"/>
      <c r="WRB1530" s="646"/>
      <c r="WRC1530" s="646"/>
      <c r="WRD1530" s="646"/>
      <c r="WRE1530" s="646"/>
      <c r="WRF1530" s="646"/>
      <c r="WRG1530" s="646"/>
      <c r="WRH1530" s="646"/>
      <c r="WRI1530" s="646"/>
      <c r="WRJ1530" s="646"/>
      <c r="WRK1530" s="646"/>
      <c r="WRL1530" s="646"/>
      <c r="WRM1530" s="646"/>
      <c r="WRN1530" s="646"/>
      <c r="WRO1530" s="646"/>
      <c r="WRP1530" s="646"/>
      <c r="WRQ1530" s="646"/>
      <c r="WRR1530" s="646"/>
      <c r="WRS1530" s="646"/>
      <c r="WRT1530" s="646"/>
      <c r="WRU1530" s="646"/>
      <c r="WRV1530" s="646"/>
      <c r="WRW1530" s="646"/>
      <c r="WRX1530" s="646"/>
      <c r="WRY1530" s="646"/>
      <c r="WRZ1530" s="646"/>
      <c r="WSA1530" s="646"/>
      <c r="WSB1530" s="646"/>
      <c r="WSC1530" s="646"/>
      <c r="WSD1530" s="646"/>
      <c r="WSE1530" s="646"/>
      <c r="WSF1530" s="646"/>
      <c r="WSG1530" s="646"/>
      <c r="WSH1530" s="646"/>
      <c r="WSI1530" s="646"/>
      <c r="WSJ1530" s="646"/>
      <c r="WSK1530" s="646"/>
      <c r="WSL1530" s="646"/>
      <c r="WSM1530" s="646"/>
      <c r="WSN1530" s="646"/>
      <c r="WSO1530" s="646"/>
      <c r="WSP1530" s="646"/>
      <c r="WSQ1530" s="646"/>
      <c r="WSR1530" s="646"/>
      <c r="WSS1530" s="646"/>
      <c r="WST1530" s="646"/>
      <c r="WSU1530" s="646"/>
      <c r="WSV1530" s="646"/>
      <c r="WSW1530" s="646"/>
      <c r="WSX1530" s="646"/>
      <c r="WSY1530" s="646"/>
      <c r="WSZ1530" s="646"/>
      <c r="WTA1530" s="646"/>
      <c r="WTB1530" s="646"/>
      <c r="WTC1530" s="646"/>
      <c r="WTD1530" s="646"/>
      <c r="WTE1530" s="646"/>
      <c r="WTF1530" s="646"/>
      <c r="WTG1530" s="646"/>
      <c r="WTH1530" s="646"/>
      <c r="WTI1530" s="646"/>
      <c r="WTJ1530" s="646"/>
      <c r="WTK1530" s="646"/>
      <c r="WTL1530" s="646"/>
      <c r="WTM1530" s="646"/>
      <c r="WTN1530" s="646"/>
      <c r="WTO1530" s="646"/>
      <c r="WTP1530" s="646"/>
      <c r="WTQ1530" s="646"/>
      <c r="WTR1530" s="646"/>
      <c r="WTS1530" s="646"/>
      <c r="WTT1530" s="646"/>
      <c r="WTU1530" s="646"/>
      <c r="WTV1530" s="646"/>
      <c r="WTW1530" s="646"/>
      <c r="WTX1530" s="646"/>
      <c r="WTY1530" s="646"/>
      <c r="WTZ1530" s="646"/>
      <c r="WUA1530" s="646"/>
      <c r="WUB1530" s="646"/>
      <c r="WUC1530" s="646"/>
      <c r="WUD1530" s="646"/>
      <c r="WUE1530" s="646"/>
      <c r="WUF1530" s="646"/>
      <c r="WUG1530" s="646"/>
      <c r="WUH1530" s="646"/>
      <c r="WUI1530" s="646"/>
      <c r="WUJ1530" s="646"/>
      <c r="WUK1530" s="646"/>
      <c r="WUL1530" s="646"/>
      <c r="WUM1530" s="646"/>
      <c r="WUN1530" s="646"/>
      <c r="WUO1530" s="646"/>
      <c r="WUP1530" s="646"/>
      <c r="WUQ1530" s="646"/>
      <c r="WUR1530" s="646"/>
      <c r="WUS1530" s="646"/>
      <c r="WUT1530" s="646"/>
      <c r="WUU1530" s="646"/>
      <c r="WUV1530" s="646"/>
      <c r="WUW1530" s="646"/>
      <c r="WUX1530" s="646"/>
      <c r="WUY1530" s="646"/>
      <c r="WUZ1530" s="646"/>
      <c r="WVA1530" s="646"/>
      <c r="WVB1530" s="646"/>
      <c r="WVC1530" s="646"/>
      <c r="WVD1530" s="646"/>
      <c r="WVE1530" s="646"/>
      <c r="WVF1530" s="646"/>
      <c r="WVG1530" s="646"/>
      <c r="WVH1530" s="646"/>
      <c r="WVI1530" s="646"/>
      <c r="WVJ1530" s="646"/>
      <c r="WVK1530" s="646"/>
      <c r="WVL1530" s="646"/>
      <c r="WVM1530" s="646"/>
      <c r="WVN1530" s="646"/>
      <c r="WVO1530" s="646"/>
      <c r="WVP1530" s="646"/>
      <c r="WVQ1530" s="646"/>
      <c r="WVR1530" s="646"/>
      <c r="WVS1530" s="646"/>
      <c r="WVT1530" s="646"/>
      <c r="WVU1530" s="646"/>
      <c r="WVV1530" s="646"/>
      <c r="WVW1530" s="646"/>
      <c r="WVX1530" s="646"/>
      <c r="WVY1530" s="646"/>
      <c r="WVZ1530" s="646"/>
      <c r="WWA1530" s="646"/>
      <c r="WWB1530" s="646"/>
      <c r="WWC1530" s="646"/>
      <c r="WWD1530" s="646"/>
      <c r="WWE1530" s="646"/>
      <c r="WWF1530" s="646"/>
      <c r="WWG1530" s="646"/>
      <c r="WWH1530" s="646"/>
      <c r="WWI1530" s="646"/>
      <c r="WWJ1530" s="646"/>
      <c r="WWK1530" s="646"/>
      <c r="WWL1530" s="646"/>
      <c r="WWM1530" s="646"/>
      <c r="WWN1530" s="646"/>
      <c r="WWO1530" s="646"/>
      <c r="WWP1530" s="646"/>
      <c r="WWQ1530" s="646"/>
      <c r="WWR1530" s="646"/>
      <c r="WWS1530" s="646"/>
      <c r="WWT1530" s="646"/>
      <c r="WWU1530" s="646"/>
      <c r="WWV1530" s="646"/>
      <c r="WWW1530" s="646"/>
      <c r="WWX1530" s="646"/>
      <c r="WWY1530" s="646"/>
      <c r="WWZ1530" s="646"/>
      <c r="WXA1530" s="646"/>
      <c r="WXB1530" s="646"/>
      <c r="WXC1530" s="646"/>
      <c r="WXD1530" s="646"/>
      <c r="WXE1530" s="646"/>
      <c r="WXF1530" s="646"/>
      <c r="WXG1530" s="646"/>
      <c r="WXH1530" s="646"/>
      <c r="WXI1530" s="646"/>
      <c r="WXJ1530" s="646"/>
      <c r="WXK1530" s="646"/>
      <c r="WXL1530" s="646"/>
      <c r="WXM1530" s="646"/>
      <c r="WXN1530" s="646"/>
      <c r="WXO1530" s="646"/>
      <c r="WXP1530" s="646"/>
      <c r="WXQ1530" s="646"/>
      <c r="WXR1530" s="646"/>
      <c r="WXS1530" s="646"/>
      <c r="WXT1530" s="646"/>
      <c r="WXU1530" s="646"/>
      <c r="WXV1530" s="646"/>
      <c r="WXW1530" s="646"/>
      <c r="WXX1530" s="646"/>
      <c r="WXY1530" s="646"/>
      <c r="WXZ1530" s="646"/>
      <c r="WYA1530" s="646"/>
      <c r="WYB1530" s="646"/>
      <c r="WYC1530" s="646"/>
      <c r="WYD1530" s="646"/>
      <c r="WYE1530" s="646"/>
      <c r="WYF1530" s="646"/>
      <c r="WYG1530" s="646"/>
      <c r="WYH1530" s="646"/>
      <c r="WYI1530" s="646"/>
      <c r="WYJ1530" s="646"/>
      <c r="WYK1530" s="646"/>
      <c r="WYL1530" s="646"/>
      <c r="WYM1530" s="646"/>
      <c r="WYN1530" s="646"/>
      <c r="WYO1530" s="646"/>
      <c r="WYP1530" s="646"/>
      <c r="WYQ1530" s="646"/>
      <c r="WYR1530" s="646"/>
      <c r="WYS1530" s="646"/>
      <c r="WYT1530" s="646"/>
      <c r="WYU1530" s="646"/>
      <c r="WYV1530" s="646"/>
      <c r="WYW1530" s="646"/>
      <c r="WYX1530" s="646"/>
      <c r="WYY1530" s="646"/>
      <c r="WYZ1530" s="646"/>
      <c r="WZA1530" s="646"/>
      <c r="WZB1530" s="646"/>
      <c r="WZC1530" s="646"/>
      <c r="WZD1530" s="646"/>
      <c r="WZE1530" s="646"/>
      <c r="WZF1530" s="646"/>
      <c r="WZG1530" s="646"/>
      <c r="WZH1530" s="646"/>
      <c r="WZI1530" s="646"/>
      <c r="WZJ1530" s="646"/>
      <c r="WZK1530" s="646"/>
      <c r="WZL1530" s="646"/>
      <c r="WZM1530" s="646"/>
      <c r="WZN1530" s="646"/>
      <c r="WZO1530" s="646"/>
      <c r="WZP1530" s="646"/>
      <c r="WZQ1530" s="646"/>
      <c r="WZR1530" s="646"/>
      <c r="WZS1530" s="646"/>
      <c r="WZT1530" s="646"/>
      <c r="WZU1530" s="646"/>
      <c r="WZV1530" s="646"/>
      <c r="WZW1530" s="646"/>
      <c r="WZX1530" s="646"/>
      <c r="WZY1530" s="646"/>
      <c r="WZZ1530" s="646"/>
      <c r="XAA1530" s="646"/>
      <c r="XAB1530" s="646"/>
      <c r="XAC1530" s="646"/>
      <c r="XAD1530" s="646"/>
      <c r="XAE1530" s="646"/>
      <c r="XAF1530" s="646"/>
      <c r="XAG1530" s="646"/>
      <c r="XAH1530" s="646"/>
      <c r="XAI1530" s="646"/>
      <c r="XAJ1530" s="646"/>
      <c r="XAK1530" s="646"/>
      <c r="XAL1530" s="646"/>
      <c r="XAM1530" s="646"/>
      <c r="XAN1530" s="646"/>
      <c r="XAO1530" s="646"/>
      <c r="XAP1530" s="646"/>
      <c r="XAQ1530" s="646"/>
      <c r="XAR1530" s="646"/>
      <c r="XAS1530" s="646"/>
      <c r="XAT1530" s="646"/>
      <c r="XAU1530" s="646"/>
      <c r="XAV1530" s="646"/>
      <c r="XAW1530" s="646"/>
      <c r="XAX1530" s="646"/>
      <c r="XAY1530" s="646"/>
      <c r="XAZ1530" s="646"/>
      <c r="XBA1530" s="646"/>
      <c r="XBB1530" s="646"/>
      <c r="XBC1530" s="646"/>
      <c r="XBD1530" s="646"/>
      <c r="XBE1530" s="646"/>
      <c r="XBF1530" s="646"/>
      <c r="XBG1530" s="646"/>
      <c r="XBH1530" s="646"/>
      <c r="XBI1530" s="646"/>
      <c r="XBJ1530" s="646"/>
      <c r="XBK1530" s="646"/>
      <c r="XBL1530" s="646"/>
      <c r="XBM1530" s="646"/>
      <c r="XBN1530" s="646"/>
      <c r="XBO1530" s="646"/>
      <c r="XBP1530" s="646"/>
      <c r="XBQ1530" s="646"/>
      <c r="XBR1530" s="646"/>
      <c r="XBS1530" s="646"/>
      <c r="XBT1530" s="646"/>
      <c r="XBU1530" s="646"/>
      <c r="XBV1530" s="646"/>
      <c r="XBW1530" s="646"/>
      <c r="XBX1530" s="646"/>
      <c r="XBY1530" s="646"/>
      <c r="XBZ1530" s="646"/>
      <c r="XCA1530" s="646"/>
      <c r="XCB1530" s="646"/>
      <c r="XCC1530" s="646"/>
      <c r="XCD1530" s="646"/>
      <c r="XCE1530" s="646"/>
      <c r="XCF1530" s="646"/>
      <c r="XCG1530" s="646"/>
      <c r="XCH1530" s="646"/>
      <c r="XCI1530" s="646"/>
      <c r="XCJ1530" s="646"/>
      <c r="XCK1530" s="646"/>
      <c r="XCL1530" s="646"/>
      <c r="XCM1530" s="646"/>
      <c r="XCN1530" s="646"/>
      <c r="XCO1530" s="646"/>
      <c r="XCP1530" s="646"/>
      <c r="XCQ1530" s="646"/>
      <c r="XCR1530" s="646"/>
      <c r="XCS1530" s="646"/>
      <c r="XCT1530" s="646"/>
      <c r="XCU1530" s="646"/>
      <c r="XCV1530" s="646"/>
      <c r="XCW1530" s="646"/>
      <c r="XCX1530" s="646"/>
      <c r="XCY1530" s="646"/>
      <c r="XCZ1530" s="646"/>
      <c r="XDA1530" s="646"/>
      <c r="XDB1530" s="646"/>
      <c r="XDC1530" s="646"/>
      <c r="XDD1530" s="646"/>
      <c r="XDE1530" s="646"/>
      <c r="XDF1530" s="646"/>
      <c r="XDG1530" s="646"/>
      <c r="XDH1530" s="646"/>
      <c r="XDI1530" s="646"/>
      <c r="XDJ1530" s="646"/>
      <c r="XDK1530" s="646"/>
      <c r="XDL1530" s="646"/>
      <c r="XDM1530" s="646"/>
      <c r="XDN1530" s="646"/>
      <c r="XDO1530" s="646"/>
      <c r="XDP1530" s="646"/>
      <c r="XDQ1530" s="646"/>
      <c r="XDR1530" s="646"/>
      <c r="XDS1530" s="646"/>
      <c r="XDT1530" s="646"/>
      <c r="XDU1530" s="646"/>
      <c r="XDV1530" s="646"/>
      <c r="XDW1530" s="646"/>
      <c r="XDX1530" s="646"/>
      <c r="XDY1530" s="646"/>
      <c r="XDZ1530" s="646"/>
      <c r="XEA1530" s="646"/>
      <c r="XEB1530" s="646"/>
      <c r="XEC1530" s="646"/>
      <c r="XED1530" s="646"/>
      <c r="XEE1530" s="646"/>
      <c r="XEF1530" s="646"/>
      <c r="XEG1530" s="646"/>
      <c r="XEH1530" s="646"/>
      <c r="XEI1530" s="646"/>
      <c r="XEJ1530" s="646"/>
      <c r="XEK1530" s="646"/>
      <c r="XEL1530" s="646"/>
      <c r="XEM1530" s="646"/>
      <c r="XEN1530" s="646"/>
      <c r="XEO1530" s="646"/>
      <c r="XEP1530" s="646"/>
      <c r="XEQ1530" s="646"/>
      <c r="XER1530" s="646"/>
      <c r="XES1530" s="646"/>
      <c r="XET1530" s="646"/>
      <c r="XEU1530" s="646"/>
      <c r="XEV1530" s="646"/>
      <c r="XEW1530" s="646"/>
      <c r="XEX1530" s="646"/>
    </row>
    <row r="1531" spans="1:16378" customFormat="1" ht="15" customHeight="1" x14ac:dyDescent="0.25">
      <c r="A1531" s="11" t="s">
        <v>6816</v>
      </c>
      <c r="B1531" s="8" t="s">
        <v>730</v>
      </c>
      <c r="C1531" s="8" t="s">
        <v>9149</v>
      </c>
      <c r="D1531" s="8" t="s">
        <v>9209</v>
      </c>
      <c r="E1531" s="8" t="s">
        <v>9150</v>
      </c>
      <c r="F1531" s="8" t="s">
        <v>6643</v>
      </c>
      <c r="G1531" s="8" t="s">
        <v>6996</v>
      </c>
      <c r="H1531" s="8" t="s">
        <v>59</v>
      </c>
      <c r="I1531" s="642">
        <v>45665</v>
      </c>
      <c r="J1531" s="18">
        <v>45911</v>
      </c>
      <c r="K1531" s="18">
        <v>45911</v>
      </c>
      <c r="L1531" s="16">
        <f>IF(ISTEXT(Table15[[#This Row],[Engineering Approved Design Date]]),Table15[[#This Row],[Date Completed]]-Table15[[#This Row],[Date Assigned to Designer]],Table15[[#This Row],[Engineering Approved Design Date]]-Table15[[#This Row],[Date Completed]])</f>
        <v>0</v>
      </c>
      <c r="M1531" s="13"/>
      <c r="N1531" s="770" t="s">
        <v>739</v>
      </c>
      <c r="O1531" s="1060" t="s">
        <v>376</v>
      </c>
      <c r="P1531" s="1152" t="s">
        <v>120</v>
      </c>
      <c r="Q1531" s="340">
        <f>Table15[[#This Row],[Rate]]*Table15[[#This Row],[Construction Cost to Bill From]]</f>
        <v>19096.747199999998</v>
      </c>
      <c r="R1531" s="1039">
        <v>0.09</v>
      </c>
      <c r="S1531" s="538">
        <f>4167.94+3418.8</f>
        <v>7586.74</v>
      </c>
      <c r="T1531" s="538" t="s">
        <v>29</v>
      </c>
      <c r="U1531" s="28" t="s">
        <v>29</v>
      </c>
      <c r="V1531" s="1672">
        <v>1459</v>
      </c>
      <c r="W1531" s="1578">
        <v>1</v>
      </c>
      <c r="X1531" s="1213">
        <v>168539.09</v>
      </c>
      <c r="Y1531" s="1222"/>
      <c r="Z1531" s="1213">
        <v>43646.99</v>
      </c>
      <c r="AA1531" s="1272">
        <f>SUM(Table15[[#This Row],[PCTS Investment Amount]:[PCTS Retirement Amount]])</f>
        <v>212186.08</v>
      </c>
      <c r="AB1531" s="1580"/>
      <c r="AC1531" s="582" t="s">
        <v>29</v>
      </c>
      <c r="AD1531" s="1612"/>
      <c r="AE1531" s="1673" t="s">
        <v>756</v>
      </c>
      <c r="AF1531" s="1673" t="s">
        <v>29</v>
      </c>
      <c r="AG1531" s="1260" t="s">
        <v>376</v>
      </c>
      <c r="AH1531" s="1673" t="s">
        <v>376</v>
      </c>
      <c r="AI1531" s="1342" t="s">
        <v>29</v>
      </c>
      <c r="AJ1531" s="1344" t="s">
        <v>29</v>
      </c>
      <c r="AK1531" s="1674">
        <f>4167.94+3418.8</f>
        <v>7586.74</v>
      </c>
      <c r="AL1531" s="1676">
        <f>Table15[[#This Row],[Staffing]]/Table15[[#This Row],[Amount Invoiced]]</f>
        <v>0.3972791764243494</v>
      </c>
      <c r="AM1531" s="536"/>
      <c r="AN1531" s="903"/>
      <c r="AO1531" s="1536"/>
      <c r="AP1531" s="1537"/>
      <c r="AQ1531" s="1537"/>
      <c r="AR1531" s="1537"/>
      <c r="AS1531" s="888"/>
      <c r="AT1531" s="888"/>
      <c r="AU1531" s="888"/>
      <c r="AV1531" s="905"/>
      <c r="AW1531" s="1509"/>
      <c r="AX1531" s="888"/>
      <c r="AY1531" s="636"/>
      <c r="AZ1531" s="333"/>
      <c r="BA1531" s="1074" t="s">
        <v>9151</v>
      </c>
      <c r="BB1531" s="644" t="s">
        <v>9152</v>
      </c>
      <c r="BC1531" s="544" t="s">
        <v>116</v>
      </c>
      <c r="BD1531" s="544" t="s">
        <v>115</v>
      </c>
      <c r="BE1531" s="544" t="s">
        <v>115</v>
      </c>
      <c r="BF1531" s="544" t="s">
        <v>9153</v>
      </c>
      <c r="BG1531" s="548" t="s">
        <v>115</v>
      </c>
      <c r="BH1531" s="615" t="s">
        <v>9154</v>
      </c>
      <c r="BI1531" s="619" t="s">
        <v>745</v>
      </c>
      <c r="BJ1531" s="619" t="s">
        <v>745</v>
      </c>
      <c r="BK1531" s="619" t="s">
        <v>116</v>
      </c>
      <c r="BL1531" s="619" t="s">
        <v>116</v>
      </c>
      <c r="BM1531" s="619" t="s">
        <v>745</v>
      </c>
      <c r="BN1531" s="619" t="s">
        <v>745</v>
      </c>
      <c r="BO1531" s="619" t="s">
        <v>745</v>
      </c>
      <c r="BP1531" s="632" t="s">
        <v>745</v>
      </c>
      <c r="BQ1531" s="632" t="s">
        <v>745</v>
      </c>
      <c r="BR1531" s="633" t="s">
        <v>745</v>
      </c>
      <c r="BS1531" s="633" t="s">
        <v>116</v>
      </c>
      <c r="BT1531" s="619" t="s">
        <v>745</v>
      </c>
      <c r="BU1531" s="619" t="s">
        <v>116</v>
      </c>
      <c r="BV1531" s="619" t="s">
        <v>745</v>
      </c>
      <c r="BW1531" s="619" t="s">
        <v>745</v>
      </c>
      <c r="BX1531" s="619" t="s">
        <v>116</v>
      </c>
      <c r="BY1531" s="619" t="s">
        <v>745</v>
      </c>
      <c r="BZ1531" s="619" t="s">
        <v>745</v>
      </c>
      <c r="CA1531" s="483" t="s">
        <v>709</v>
      </c>
      <c r="CB1531" s="547"/>
      <c r="CC1531" s="646"/>
      <c r="CD1531" s="646" t="str">
        <f>Table15[[#This Row],[Engineering Number]]&amp;Table15[[#This Row],[WO Number]]&amp;Table15[[#This Row],[Date Assigned to Designer]]&amp;Table15[[#This Row],[Date Completed]]</f>
        <v>RS130310148944566545911</v>
      </c>
    </row>
    <row r="1532" spans="1:16378" ht="15" customHeight="1" x14ac:dyDescent="0.25">
      <c r="A1532">
        <v>2025</v>
      </c>
      <c r="B1532" s="878" t="s">
        <v>771</v>
      </c>
      <c r="C1532" s="878" t="s">
        <v>9042</v>
      </c>
      <c r="D1532" s="878">
        <v>1214924</v>
      </c>
      <c r="E1532" s="8" t="s">
        <v>8752</v>
      </c>
      <c r="F1532" s="878" t="s">
        <v>6874</v>
      </c>
      <c r="G1532" s="874" t="s">
        <v>31</v>
      </c>
      <c r="H1532" s="878" t="s">
        <v>4189</v>
      </c>
      <c r="I1532" s="883">
        <v>45882</v>
      </c>
      <c r="J1532" s="918" t="s">
        <v>2052</v>
      </c>
      <c r="K1532" s="945">
        <v>45911</v>
      </c>
      <c r="L1532" s="884">
        <f>IF(ISTEXT(Table15[[#This Row],[Engineering Approved Design Date]]),Table15[[#This Row],[Date Completed]]-Table15[[#This Row],[Date Assigned to Designer]],Table15[[#This Row],[Engineering Approved Design Date]]-Table15[[#This Row],[Date Completed]])</f>
        <v>29</v>
      </c>
      <c r="M1532" s="919" t="s">
        <v>9155</v>
      </c>
      <c r="N1532" s="883" t="s">
        <v>376</v>
      </c>
      <c r="O1532" s="886" t="s">
        <v>376</v>
      </c>
      <c r="P1532" s="1153" t="s">
        <v>120</v>
      </c>
      <c r="Q1532" s="1151"/>
      <c r="R1532" s="887" t="s">
        <v>1922</v>
      </c>
      <c r="S1532" s="1540"/>
      <c r="T1532" s="1540"/>
      <c r="U1532" s="1556"/>
      <c r="V1532" s="1666"/>
      <c r="W1532" s="1579"/>
      <c r="X1532" s="1540"/>
      <c r="Y1532" s="1667"/>
      <c r="Z1532" s="1540"/>
      <c r="AA1532" s="1540"/>
      <c r="AB1532" s="1668"/>
      <c r="AC1532" s="996"/>
      <c r="AD1532" s="1669"/>
      <c r="AE1532" s="1219"/>
      <c r="AF1532" s="1007"/>
      <c r="AG1532" s="1670"/>
      <c r="AH1532" s="1671"/>
      <c r="AI1532" s="921"/>
      <c r="AJ1532" s="922"/>
      <c r="AK1532" s="922"/>
      <c r="AL1532" s="1030"/>
      <c r="AM1532" s="542"/>
      <c r="AN1532" s="924"/>
      <c r="AO1532" s="925"/>
      <c r="AP1532" s="926"/>
      <c r="AQ1532" s="926"/>
      <c r="AR1532" s="926"/>
      <c r="AS1532" s="926"/>
      <c r="AT1532" s="926"/>
      <c r="AU1532" s="926"/>
      <c r="AV1532" s="926"/>
      <c r="AW1532" s="927"/>
      <c r="AX1532" s="926"/>
      <c r="AY1532" s="1528"/>
      <c r="AZ1532" s="1530"/>
      <c r="BA1532" s="910">
        <v>4</v>
      </c>
      <c r="BB1532" s="1000" t="s">
        <v>9156</v>
      </c>
      <c r="BC1532" s="915" t="s">
        <v>115</v>
      </c>
      <c r="BD1532" s="915" t="s">
        <v>115</v>
      </c>
      <c r="BE1532" s="912" t="s">
        <v>8104</v>
      </c>
      <c r="BF1532" s="913" t="s">
        <v>115</v>
      </c>
      <c r="BG1532" s="1001" t="s">
        <v>115</v>
      </c>
      <c r="BH1532" s="1023" t="s">
        <v>9157</v>
      </c>
      <c r="BI1532" s="1268"/>
      <c r="BJ1532" s="1268"/>
      <c r="BK1532" s="1268"/>
      <c r="BL1532" s="1268"/>
      <c r="BM1532" s="1268"/>
      <c r="BN1532" s="1268"/>
      <c r="BO1532" s="1268"/>
      <c r="BP1532" s="1268"/>
      <c r="BQ1532" s="1268"/>
      <c r="BR1532" s="1268"/>
      <c r="BS1532" s="1268"/>
      <c r="BT1532" s="1268"/>
      <c r="BU1532" s="1268"/>
      <c r="BV1532" s="1268"/>
      <c r="BW1532" s="1268"/>
      <c r="BX1532" s="1268"/>
      <c r="BY1532" s="1268"/>
      <c r="BZ1532" s="1268"/>
      <c r="CA1532" s="1269"/>
      <c r="CB1532" s="547"/>
      <c r="CD1532" s="879" t="str">
        <f>Table15[[#This Row],[Engineering Number]]&amp;Table15[[#This Row],[WO Number]]&amp;Table15[[#This Row],[Date Assigned to Designer]]&amp;Table15[[#This Row],[Date Completed]]</f>
        <v>MR2BID9647-112149244588245911</v>
      </c>
      <c r="CE1532" s="646"/>
      <c r="CF1532" s="646"/>
      <c r="CG1532" s="646"/>
      <c r="CH1532" s="646"/>
      <c r="CI1532" s="646"/>
      <c r="CJ1532" s="646"/>
      <c r="CK1532" s="646"/>
      <c r="CL1532" s="646"/>
      <c r="CM1532" s="646"/>
      <c r="CN1532" s="646"/>
      <c r="CO1532" s="646"/>
      <c r="CP1532" s="646"/>
      <c r="CQ1532" s="646"/>
      <c r="CR1532" s="646"/>
      <c r="CS1532" s="646"/>
      <c r="CT1532" s="646"/>
      <c r="CU1532" s="646"/>
      <c r="CV1532" s="646"/>
      <c r="CW1532" s="646"/>
      <c r="CX1532" s="646"/>
      <c r="CY1532" s="646"/>
      <c r="CZ1532" s="646"/>
      <c r="DA1532" s="646"/>
      <c r="DB1532" s="646"/>
      <c r="DC1532" s="646"/>
      <c r="DD1532" s="646"/>
      <c r="DE1532" s="646"/>
      <c r="DF1532" s="646"/>
      <c r="DG1532" s="646"/>
      <c r="DH1532" s="646"/>
      <c r="DI1532" s="646"/>
      <c r="DJ1532" s="646"/>
      <c r="DK1532" s="646"/>
      <c r="DL1532" s="646"/>
      <c r="DM1532" s="646"/>
      <c r="DN1532" s="646"/>
      <c r="DO1532" s="646"/>
      <c r="DP1532" s="646"/>
      <c r="DQ1532" s="646"/>
      <c r="DR1532" s="646"/>
      <c r="DS1532" s="646"/>
      <c r="DT1532" s="646"/>
      <c r="DU1532" s="646"/>
      <c r="DV1532" s="646"/>
      <c r="DW1532" s="646"/>
      <c r="DX1532" s="646"/>
      <c r="DY1532" s="646"/>
      <c r="DZ1532" s="646"/>
      <c r="EA1532" s="646"/>
      <c r="EB1532" s="646"/>
      <c r="EC1532" s="646"/>
      <c r="ED1532" s="646"/>
      <c r="EE1532" s="646"/>
      <c r="EF1532" s="646"/>
      <c r="EG1532" s="646"/>
      <c r="EH1532" s="646"/>
      <c r="EI1532" s="646"/>
      <c r="EJ1532" s="646"/>
      <c r="EK1532" s="646"/>
      <c r="EL1532" s="646"/>
      <c r="EM1532" s="646"/>
      <c r="EN1532" s="646"/>
      <c r="EO1532" s="646"/>
      <c r="EP1532" s="646"/>
      <c r="EQ1532" s="646"/>
      <c r="ER1532" s="646"/>
      <c r="ES1532" s="646"/>
      <c r="ET1532" s="646"/>
      <c r="EU1532" s="646"/>
      <c r="EV1532" s="646"/>
      <c r="EW1532" s="646"/>
      <c r="EX1532" s="646"/>
      <c r="EY1532" s="646"/>
      <c r="EZ1532" s="646"/>
      <c r="FA1532" s="646"/>
      <c r="FB1532" s="646"/>
      <c r="FC1532" s="646"/>
      <c r="FD1532" s="646"/>
      <c r="FE1532" s="646"/>
      <c r="FF1532" s="646"/>
      <c r="FG1532" s="646"/>
      <c r="FH1532" s="646"/>
      <c r="FI1532" s="646"/>
      <c r="FJ1532" s="646"/>
      <c r="FK1532" s="646"/>
      <c r="FL1532" s="646"/>
      <c r="FM1532" s="646"/>
      <c r="FN1532" s="646"/>
      <c r="FO1532" s="646"/>
      <c r="FP1532" s="646"/>
      <c r="FQ1532" s="646"/>
      <c r="FR1532" s="646"/>
      <c r="FS1532" s="646"/>
      <c r="FT1532" s="646"/>
      <c r="FU1532" s="646"/>
      <c r="FV1532" s="646"/>
      <c r="FW1532" s="646"/>
      <c r="FX1532" s="646"/>
      <c r="FY1532" s="646"/>
      <c r="FZ1532" s="646"/>
      <c r="GA1532" s="646"/>
      <c r="GB1532" s="646"/>
      <c r="GC1532" s="646"/>
      <c r="GD1532" s="646"/>
      <c r="GE1532" s="646"/>
      <c r="GF1532" s="646"/>
      <c r="GG1532" s="646"/>
      <c r="GH1532" s="646"/>
      <c r="GI1532" s="646"/>
      <c r="GJ1532" s="646"/>
      <c r="GK1532" s="646"/>
      <c r="GL1532" s="646"/>
      <c r="GM1532" s="646"/>
      <c r="GN1532" s="646"/>
      <c r="GO1532" s="646"/>
      <c r="GP1532" s="646"/>
      <c r="GQ1532" s="646"/>
      <c r="GR1532" s="646"/>
      <c r="GS1532" s="646"/>
      <c r="GT1532" s="646"/>
      <c r="GU1532" s="646"/>
      <c r="GV1532" s="646"/>
      <c r="GW1532" s="646"/>
      <c r="GX1532" s="646"/>
      <c r="GY1532" s="646"/>
      <c r="GZ1532" s="646"/>
      <c r="HA1532" s="646"/>
      <c r="HB1532" s="646"/>
      <c r="HC1532" s="646"/>
      <c r="HD1532" s="646"/>
      <c r="HE1532" s="646"/>
      <c r="HF1532" s="646"/>
      <c r="HG1532" s="646"/>
      <c r="HH1532" s="646"/>
      <c r="HI1532" s="646"/>
      <c r="HJ1532" s="646"/>
      <c r="HK1532" s="646"/>
      <c r="HL1532" s="646"/>
      <c r="HM1532" s="646"/>
      <c r="HN1532" s="646"/>
      <c r="HO1532" s="646"/>
      <c r="HP1532" s="646"/>
      <c r="HQ1532" s="646"/>
      <c r="HR1532" s="646"/>
      <c r="HS1532" s="646"/>
      <c r="HT1532" s="646"/>
      <c r="HU1532" s="646"/>
      <c r="HV1532" s="646"/>
      <c r="HW1532" s="646"/>
      <c r="HX1532" s="646"/>
      <c r="HY1532" s="646"/>
      <c r="HZ1532" s="646"/>
      <c r="IA1532" s="646"/>
      <c r="IB1532" s="646"/>
      <c r="IC1532" s="646"/>
      <c r="ID1532" s="646"/>
      <c r="IE1532" s="646"/>
      <c r="IF1532" s="646"/>
      <c r="IG1532" s="646"/>
      <c r="IH1532" s="646"/>
      <c r="II1532" s="646"/>
      <c r="IJ1532" s="646"/>
      <c r="IK1532" s="646"/>
      <c r="IL1532" s="646"/>
      <c r="IM1532" s="646"/>
      <c r="IN1532" s="646"/>
      <c r="IO1532" s="646"/>
      <c r="IP1532" s="646"/>
      <c r="IQ1532" s="646"/>
      <c r="IR1532" s="646"/>
      <c r="IS1532" s="646"/>
      <c r="IT1532" s="646"/>
      <c r="IU1532" s="646"/>
      <c r="IV1532" s="646"/>
      <c r="IW1532" s="646"/>
      <c r="IX1532" s="646"/>
      <c r="IY1532" s="646"/>
      <c r="IZ1532" s="646"/>
      <c r="JA1532" s="646"/>
      <c r="JB1532" s="646"/>
      <c r="JC1532" s="646"/>
      <c r="JD1532" s="646"/>
      <c r="JE1532" s="646"/>
      <c r="JF1532" s="646"/>
      <c r="JG1532" s="646"/>
      <c r="JH1532" s="646"/>
      <c r="JI1532" s="646"/>
      <c r="JJ1532" s="646"/>
      <c r="JK1532" s="646"/>
      <c r="JL1532" s="646"/>
      <c r="JM1532" s="646"/>
      <c r="JN1532" s="646"/>
      <c r="JO1532" s="646"/>
      <c r="JP1532" s="646"/>
      <c r="JQ1532" s="646"/>
      <c r="JR1532" s="646"/>
      <c r="JS1532" s="646"/>
      <c r="JT1532" s="646"/>
      <c r="JU1532" s="646"/>
      <c r="JV1532" s="646"/>
      <c r="JW1532" s="646"/>
      <c r="JX1532" s="646"/>
      <c r="JY1532" s="646"/>
      <c r="JZ1532" s="646"/>
      <c r="KA1532" s="646"/>
      <c r="KB1532" s="646"/>
      <c r="KC1532" s="646"/>
      <c r="KD1532" s="646"/>
      <c r="KE1532" s="646"/>
      <c r="KF1532" s="646"/>
      <c r="KG1532" s="646"/>
      <c r="KH1532" s="646"/>
      <c r="KI1532" s="646"/>
      <c r="KJ1532" s="646"/>
      <c r="KK1532" s="646"/>
      <c r="KL1532" s="646"/>
      <c r="KM1532" s="646"/>
      <c r="KN1532" s="646"/>
      <c r="KO1532" s="646"/>
      <c r="KP1532" s="646"/>
      <c r="KQ1532" s="646"/>
      <c r="KR1532" s="646"/>
      <c r="KS1532" s="646"/>
      <c r="KT1532" s="646"/>
      <c r="KU1532" s="646"/>
      <c r="KV1532" s="646"/>
      <c r="KW1532" s="646"/>
      <c r="KX1532" s="646"/>
      <c r="KY1532" s="646"/>
      <c r="KZ1532" s="646"/>
      <c r="LA1532" s="646"/>
      <c r="LB1532" s="646"/>
      <c r="LC1532" s="646"/>
      <c r="LD1532" s="646"/>
      <c r="LE1532" s="646"/>
      <c r="LF1532" s="646"/>
      <c r="LG1532" s="646"/>
      <c r="LH1532" s="646"/>
      <c r="LI1532" s="646"/>
      <c r="LJ1532" s="646"/>
      <c r="LK1532" s="646"/>
      <c r="LL1532" s="646"/>
      <c r="LM1532" s="646"/>
      <c r="LN1532" s="646"/>
      <c r="LO1532" s="646"/>
      <c r="LP1532" s="646"/>
      <c r="LQ1532" s="646"/>
      <c r="LR1532" s="646"/>
      <c r="LS1532" s="646"/>
      <c r="LT1532" s="646"/>
      <c r="LU1532" s="646"/>
      <c r="LV1532" s="646"/>
      <c r="LW1532" s="646"/>
      <c r="LX1532" s="646"/>
      <c r="LY1532" s="646"/>
      <c r="LZ1532" s="646"/>
      <c r="MA1532" s="646"/>
      <c r="MB1532" s="646"/>
      <c r="MC1532" s="646"/>
      <c r="MD1532" s="646"/>
      <c r="ME1532" s="646"/>
      <c r="MF1532" s="646"/>
      <c r="MG1532" s="646"/>
      <c r="MH1532" s="646"/>
      <c r="MI1532" s="646"/>
      <c r="MJ1532" s="646"/>
      <c r="MK1532" s="646"/>
      <c r="ML1532" s="646"/>
      <c r="MM1532" s="646"/>
      <c r="MN1532" s="646"/>
      <c r="MO1532" s="646"/>
      <c r="MP1532" s="646"/>
      <c r="MQ1532" s="646"/>
      <c r="MR1532" s="646"/>
      <c r="MS1532" s="646"/>
      <c r="MT1532" s="646"/>
      <c r="MU1532" s="646"/>
      <c r="MV1532" s="646"/>
      <c r="MW1532" s="646"/>
      <c r="MX1532" s="646"/>
      <c r="MY1532" s="646"/>
      <c r="MZ1532" s="646"/>
      <c r="NA1532" s="646"/>
      <c r="NB1532" s="646"/>
      <c r="NC1532" s="646"/>
      <c r="ND1532" s="646"/>
      <c r="NE1532" s="646"/>
      <c r="NF1532" s="646"/>
      <c r="NG1532" s="646"/>
      <c r="NH1532" s="646"/>
      <c r="NI1532" s="646"/>
      <c r="NJ1532" s="646"/>
      <c r="NK1532" s="646"/>
      <c r="NL1532" s="646"/>
      <c r="NM1532" s="646"/>
      <c r="NN1532" s="646"/>
      <c r="NO1532" s="646"/>
      <c r="NP1532" s="646"/>
      <c r="NQ1532" s="646"/>
      <c r="NR1532" s="646"/>
      <c r="NS1532" s="646"/>
      <c r="NT1532" s="646"/>
      <c r="NU1532" s="646"/>
      <c r="NV1532" s="646"/>
      <c r="NW1532" s="646"/>
      <c r="NX1532" s="646"/>
      <c r="NY1532" s="646"/>
      <c r="NZ1532" s="646"/>
      <c r="OA1532" s="646"/>
      <c r="OB1532" s="646"/>
      <c r="OC1532" s="646"/>
      <c r="OD1532" s="646"/>
      <c r="OE1532" s="646"/>
      <c r="OF1532" s="646"/>
      <c r="OG1532" s="646"/>
      <c r="OH1532" s="646"/>
      <c r="OI1532" s="646"/>
      <c r="OJ1532" s="646"/>
      <c r="OK1532" s="646"/>
      <c r="OL1532" s="646"/>
      <c r="OM1532" s="646"/>
      <c r="ON1532" s="646"/>
      <c r="OO1532" s="646"/>
      <c r="OP1532" s="646"/>
      <c r="OQ1532" s="646"/>
      <c r="OR1532" s="646"/>
      <c r="OS1532" s="646"/>
      <c r="OT1532" s="646"/>
      <c r="OU1532" s="646"/>
      <c r="OV1532" s="646"/>
      <c r="OW1532" s="646"/>
      <c r="OX1532" s="646"/>
      <c r="OY1532" s="646"/>
      <c r="OZ1532" s="646"/>
      <c r="PA1532" s="646"/>
      <c r="PB1532" s="646"/>
      <c r="PC1532" s="646"/>
      <c r="PD1532" s="646"/>
      <c r="PE1532" s="646"/>
      <c r="PF1532" s="646"/>
      <c r="PG1532" s="646"/>
      <c r="PH1532" s="646"/>
      <c r="PI1532" s="646"/>
      <c r="PJ1532" s="646"/>
      <c r="PK1532" s="646"/>
      <c r="PL1532" s="646"/>
      <c r="PM1532" s="646"/>
      <c r="PN1532" s="646"/>
      <c r="PO1532" s="646"/>
      <c r="PP1532" s="646"/>
      <c r="PQ1532" s="646"/>
      <c r="PR1532" s="646"/>
      <c r="PS1532" s="646"/>
      <c r="PT1532" s="646"/>
      <c r="PU1532" s="646"/>
      <c r="PV1532" s="646"/>
      <c r="PW1532" s="646"/>
      <c r="PX1532" s="646"/>
      <c r="PY1532" s="646"/>
      <c r="PZ1532" s="646"/>
      <c r="QA1532" s="646"/>
      <c r="QB1532" s="646"/>
      <c r="QC1532" s="646"/>
      <c r="QD1532" s="646"/>
      <c r="QE1532" s="646"/>
      <c r="QF1532" s="646"/>
      <c r="QG1532" s="646"/>
      <c r="QH1532" s="646"/>
      <c r="QI1532" s="646"/>
      <c r="QJ1532" s="646"/>
      <c r="QK1532" s="646"/>
      <c r="QL1532" s="646"/>
      <c r="QM1532" s="646"/>
      <c r="QN1532" s="646"/>
      <c r="QO1532" s="646"/>
      <c r="QP1532" s="646"/>
      <c r="QQ1532" s="646"/>
      <c r="QR1532" s="646"/>
      <c r="QS1532" s="646"/>
      <c r="QT1532" s="646"/>
      <c r="QU1532" s="646"/>
      <c r="QV1532" s="646"/>
      <c r="QW1532" s="646"/>
      <c r="QX1532" s="646"/>
      <c r="QY1532" s="646"/>
      <c r="QZ1532" s="646"/>
      <c r="RA1532" s="646"/>
      <c r="RB1532" s="646"/>
      <c r="RC1532" s="646"/>
      <c r="RD1532" s="646"/>
      <c r="RE1532" s="646"/>
      <c r="RF1532" s="646"/>
      <c r="RG1532" s="646"/>
      <c r="RH1532" s="646"/>
      <c r="RI1532" s="646"/>
      <c r="RJ1532" s="646"/>
      <c r="RK1532" s="646"/>
      <c r="RL1532" s="646"/>
      <c r="RM1532" s="646"/>
      <c r="RN1532" s="646"/>
      <c r="RO1532" s="646"/>
      <c r="RP1532" s="646"/>
      <c r="RQ1532" s="646"/>
      <c r="RR1532" s="646"/>
      <c r="RS1532" s="646"/>
      <c r="RT1532" s="646"/>
      <c r="RU1532" s="646"/>
      <c r="RV1532" s="646"/>
      <c r="RW1532" s="646"/>
      <c r="RX1532" s="646"/>
      <c r="RY1532" s="646"/>
      <c r="RZ1532" s="646"/>
      <c r="SA1532" s="646"/>
      <c r="SB1532" s="646"/>
      <c r="SC1532" s="646"/>
      <c r="SD1532" s="646"/>
      <c r="SE1532" s="646"/>
      <c r="SF1532" s="646"/>
      <c r="SG1532" s="646"/>
      <c r="SH1532" s="646"/>
      <c r="SI1532" s="646"/>
      <c r="SJ1532" s="646"/>
      <c r="SK1532" s="646"/>
      <c r="SL1532" s="646"/>
      <c r="SM1532" s="646"/>
      <c r="SN1532" s="646"/>
      <c r="SO1532" s="646"/>
      <c r="SP1532" s="646"/>
      <c r="SQ1532" s="646"/>
      <c r="SR1532" s="646"/>
      <c r="SS1532" s="646"/>
      <c r="ST1532" s="646"/>
      <c r="SU1532" s="646"/>
      <c r="SV1532" s="646"/>
      <c r="SW1532" s="646"/>
      <c r="SX1532" s="646"/>
      <c r="SY1532" s="646"/>
      <c r="SZ1532" s="646"/>
      <c r="TA1532" s="646"/>
      <c r="TB1532" s="646"/>
      <c r="TC1532" s="646"/>
      <c r="TD1532" s="646"/>
      <c r="TE1532" s="646"/>
      <c r="TF1532" s="646"/>
      <c r="TG1532" s="646"/>
      <c r="TH1532" s="646"/>
      <c r="TI1532" s="646"/>
      <c r="TJ1532" s="646"/>
      <c r="TK1532" s="646"/>
      <c r="TL1532" s="646"/>
      <c r="TM1532" s="646"/>
      <c r="TN1532" s="646"/>
      <c r="TO1532" s="646"/>
      <c r="TP1532" s="646"/>
      <c r="TQ1532" s="646"/>
      <c r="TR1532" s="646"/>
      <c r="TS1532" s="646"/>
      <c r="TT1532" s="646"/>
      <c r="TU1532" s="646"/>
      <c r="TV1532" s="646"/>
      <c r="TW1532" s="646"/>
      <c r="TX1532" s="646"/>
      <c r="TY1532" s="646"/>
      <c r="TZ1532" s="646"/>
      <c r="UA1532" s="646"/>
      <c r="UB1532" s="646"/>
      <c r="UC1532" s="646"/>
      <c r="UD1532" s="646"/>
      <c r="UE1532" s="646"/>
      <c r="UF1532" s="646"/>
      <c r="UG1532" s="646"/>
      <c r="UH1532" s="646"/>
      <c r="UI1532" s="646"/>
      <c r="UJ1532" s="646"/>
      <c r="UK1532" s="646"/>
      <c r="UL1532" s="646"/>
      <c r="UM1532" s="646"/>
      <c r="UN1532" s="646"/>
      <c r="UO1532" s="646"/>
      <c r="UP1532" s="646"/>
      <c r="UQ1532" s="646"/>
      <c r="UR1532" s="646"/>
      <c r="US1532" s="646"/>
      <c r="UT1532" s="646"/>
      <c r="UU1532" s="646"/>
      <c r="UV1532" s="646"/>
      <c r="UW1532" s="646"/>
      <c r="UX1532" s="646"/>
      <c r="UY1532" s="646"/>
      <c r="UZ1532" s="646"/>
      <c r="VA1532" s="646"/>
      <c r="VB1532" s="646"/>
      <c r="VC1532" s="646"/>
      <c r="VD1532" s="646"/>
      <c r="VE1532" s="646"/>
      <c r="VF1532" s="646"/>
      <c r="VG1532" s="646"/>
      <c r="VH1532" s="646"/>
      <c r="VI1532" s="646"/>
      <c r="VJ1532" s="646"/>
      <c r="VK1532" s="646"/>
      <c r="VL1532" s="646"/>
      <c r="VM1532" s="646"/>
      <c r="VN1532" s="646"/>
      <c r="VO1532" s="646"/>
      <c r="VP1532" s="646"/>
      <c r="VQ1532" s="646"/>
      <c r="VR1532" s="646"/>
      <c r="VS1532" s="646"/>
      <c r="VT1532" s="646"/>
      <c r="VU1532" s="646"/>
      <c r="VV1532" s="646"/>
      <c r="VW1532" s="646"/>
      <c r="VX1532" s="646"/>
      <c r="VY1532" s="646"/>
      <c r="VZ1532" s="646"/>
      <c r="WA1532" s="646"/>
      <c r="WB1532" s="646"/>
      <c r="WC1532" s="646"/>
      <c r="WD1532" s="646"/>
      <c r="WE1532" s="646"/>
      <c r="WF1532" s="646"/>
      <c r="WG1532" s="646"/>
      <c r="WH1532" s="646"/>
      <c r="WI1532" s="646"/>
      <c r="WJ1532" s="646"/>
      <c r="WK1532" s="646"/>
      <c r="WL1532" s="646"/>
      <c r="WM1532" s="646"/>
      <c r="WN1532" s="646"/>
      <c r="WO1532" s="646"/>
      <c r="WP1532" s="646"/>
      <c r="WQ1532" s="646"/>
      <c r="WR1532" s="646"/>
      <c r="WS1532" s="646"/>
      <c r="WT1532" s="646"/>
      <c r="WU1532" s="646"/>
      <c r="WV1532" s="646"/>
      <c r="WW1532" s="646"/>
      <c r="WX1532" s="646"/>
      <c r="WY1532" s="646"/>
      <c r="WZ1532" s="646"/>
      <c r="XA1532" s="646"/>
      <c r="XB1532" s="646"/>
      <c r="XC1532" s="646"/>
      <c r="XD1532" s="646"/>
      <c r="XE1532" s="646"/>
      <c r="XF1532" s="646"/>
      <c r="XG1532" s="646"/>
      <c r="XH1532" s="646"/>
      <c r="XI1532" s="646"/>
      <c r="XJ1532" s="646"/>
      <c r="XK1532" s="646"/>
      <c r="XL1532" s="646"/>
      <c r="XM1532" s="646"/>
      <c r="XN1532" s="646"/>
      <c r="XO1532" s="646"/>
      <c r="XP1532" s="646"/>
      <c r="XQ1532" s="646"/>
      <c r="XR1532" s="646"/>
      <c r="XS1532" s="646"/>
      <c r="XT1532" s="646"/>
      <c r="XU1532" s="646"/>
      <c r="XV1532" s="646"/>
      <c r="XW1532" s="646"/>
      <c r="XX1532" s="646"/>
      <c r="XY1532" s="646"/>
      <c r="XZ1532" s="646"/>
      <c r="YA1532" s="646"/>
      <c r="YB1532" s="646"/>
      <c r="YC1532" s="646"/>
      <c r="YD1532" s="646"/>
      <c r="YE1532" s="646"/>
      <c r="YF1532" s="646"/>
      <c r="YG1532" s="646"/>
      <c r="YH1532" s="646"/>
      <c r="YI1532" s="646"/>
      <c r="YJ1532" s="646"/>
      <c r="YK1532" s="646"/>
      <c r="YL1532" s="646"/>
      <c r="YM1532" s="646"/>
      <c r="YN1532" s="646"/>
      <c r="YO1532" s="646"/>
      <c r="YP1532" s="646"/>
      <c r="YQ1532" s="646"/>
      <c r="YR1532" s="646"/>
      <c r="YS1532" s="646"/>
      <c r="YT1532" s="646"/>
      <c r="YU1532" s="646"/>
      <c r="YV1532" s="646"/>
      <c r="YW1532" s="646"/>
      <c r="YX1532" s="646"/>
      <c r="YY1532" s="646"/>
      <c r="YZ1532" s="646"/>
      <c r="ZA1532" s="646"/>
      <c r="ZB1532" s="646"/>
      <c r="ZC1532" s="646"/>
      <c r="ZD1532" s="646"/>
      <c r="ZE1532" s="646"/>
      <c r="ZF1532" s="646"/>
      <c r="ZG1532" s="646"/>
      <c r="ZH1532" s="646"/>
      <c r="ZI1532" s="646"/>
      <c r="ZJ1532" s="646"/>
      <c r="ZK1532" s="646"/>
      <c r="ZL1532" s="646"/>
      <c r="ZM1532" s="646"/>
      <c r="ZN1532" s="646"/>
      <c r="ZO1532" s="646"/>
      <c r="ZP1532" s="646"/>
      <c r="ZQ1532" s="646"/>
      <c r="ZR1532" s="646"/>
      <c r="ZS1532" s="646"/>
      <c r="ZT1532" s="646"/>
      <c r="ZU1532" s="646"/>
      <c r="ZV1532" s="646"/>
      <c r="ZW1532" s="646"/>
      <c r="ZX1532" s="646"/>
      <c r="ZY1532" s="646"/>
      <c r="ZZ1532" s="646"/>
      <c r="AAA1532" s="646"/>
      <c r="AAB1532" s="646"/>
      <c r="AAC1532" s="646"/>
      <c r="AAD1532" s="646"/>
      <c r="AAE1532" s="646"/>
      <c r="AAF1532" s="646"/>
      <c r="AAG1532" s="646"/>
      <c r="AAH1532" s="646"/>
      <c r="AAI1532" s="646"/>
      <c r="AAJ1532" s="646"/>
      <c r="AAK1532" s="646"/>
      <c r="AAL1532" s="646"/>
      <c r="AAM1532" s="646"/>
      <c r="AAN1532" s="646"/>
      <c r="AAO1532" s="646"/>
      <c r="AAP1532" s="646"/>
      <c r="AAQ1532" s="646"/>
      <c r="AAR1532" s="646"/>
      <c r="AAS1532" s="646"/>
      <c r="AAT1532" s="646"/>
      <c r="AAU1532" s="646"/>
      <c r="AAV1532" s="646"/>
      <c r="AAW1532" s="646"/>
      <c r="AAX1532" s="646"/>
      <c r="AAY1532" s="646"/>
      <c r="AAZ1532" s="646"/>
      <c r="ABA1532" s="646"/>
      <c r="ABB1532" s="646"/>
      <c r="ABC1532" s="646"/>
      <c r="ABD1532" s="646"/>
      <c r="ABE1532" s="646"/>
      <c r="ABF1532" s="646"/>
      <c r="ABG1532" s="646"/>
      <c r="ABH1532" s="646"/>
      <c r="ABI1532" s="646"/>
      <c r="ABJ1532" s="646"/>
      <c r="ABK1532" s="646"/>
      <c r="ABL1532" s="646"/>
      <c r="ABM1532" s="646"/>
      <c r="ABN1532" s="646"/>
      <c r="ABO1532" s="646"/>
      <c r="ABP1532" s="646"/>
      <c r="ABQ1532" s="646"/>
      <c r="ABR1532" s="646"/>
      <c r="ABS1532" s="646"/>
      <c r="ABT1532" s="646"/>
      <c r="ABU1532" s="646"/>
      <c r="ABV1532" s="646"/>
      <c r="ABW1532" s="646"/>
      <c r="ABX1532" s="646"/>
      <c r="ABY1532" s="646"/>
      <c r="ABZ1532" s="646"/>
      <c r="ACA1532" s="646"/>
      <c r="ACB1532" s="646"/>
      <c r="ACC1532" s="646"/>
      <c r="ACD1532" s="646"/>
      <c r="ACE1532" s="646"/>
      <c r="ACF1532" s="646"/>
      <c r="ACG1532" s="646"/>
      <c r="ACH1532" s="646"/>
      <c r="ACI1532" s="646"/>
      <c r="ACJ1532" s="646"/>
      <c r="ACK1532" s="646"/>
      <c r="ACL1532" s="646"/>
      <c r="ACM1532" s="646"/>
      <c r="ACN1532" s="646"/>
      <c r="ACO1532" s="646"/>
      <c r="ACP1532" s="646"/>
      <c r="ACQ1532" s="646"/>
      <c r="ACR1532" s="646"/>
      <c r="ACS1532" s="646"/>
      <c r="ACT1532" s="646"/>
      <c r="ACU1532" s="646"/>
      <c r="ACV1532" s="646"/>
      <c r="ACW1532" s="646"/>
      <c r="ACX1532" s="646"/>
      <c r="ACY1532" s="646"/>
      <c r="ACZ1532" s="646"/>
      <c r="ADA1532" s="646"/>
      <c r="ADB1532" s="646"/>
      <c r="ADC1532" s="646"/>
      <c r="ADD1532" s="646"/>
      <c r="ADE1532" s="646"/>
      <c r="ADF1532" s="646"/>
      <c r="ADG1532" s="646"/>
      <c r="ADH1532" s="646"/>
      <c r="ADI1532" s="646"/>
      <c r="ADJ1532" s="646"/>
      <c r="ADK1532" s="646"/>
      <c r="ADL1532" s="646"/>
      <c r="ADM1532" s="646"/>
      <c r="ADN1532" s="646"/>
      <c r="ADO1532" s="646"/>
      <c r="ADP1532" s="646"/>
      <c r="ADQ1532" s="646"/>
      <c r="ADR1532" s="646"/>
      <c r="ADS1532" s="646"/>
      <c r="ADT1532" s="646"/>
      <c r="ADU1532" s="646"/>
      <c r="ADV1532" s="646"/>
      <c r="ADW1532" s="646"/>
      <c r="ADX1532" s="646"/>
      <c r="ADY1532" s="646"/>
      <c r="ADZ1532" s="646"/>
      <c r="AEA1532" s="646"/>
      <c r="AEB1532" s="646"/>
      <c r="AEC1532" s="646"/>
      <c r="AED1532" s="646"/>
      <c r="AEE1532" s="646"/>
      <c r="AEF1532" s="646"/>
      <c r="AEG1532" s="646"/>
      <c r="AEH1532" s="646"/>
      <c r="AEI1532" s="646"/>
      <c r="AEJ1532" s="646"/>
      <c r="AEK1532" s="646"/>
      <c r="AEL1532" s="646"/>
      <c r="AEM1532" s="646"/>
      <c r="AEN1532" s="646"/>
      <c r="AEO1532" s="646"/>
      <c r="AEP1532" s="646"/>
      <c r="AEQ1532" s="646"/>
      <c r="AER1532" s="646"/>
      <c r="AES1532" s="646"/>
      <c r="AET1532" s="646"/>
      <c r="AEU1532" s="646"/>
      <c r="AEV1532" s="646"/>
      <c r="AEW1532" s="646"/>
      <c r="AEX1532" s="646"/>
      <c r="AEY1532" s="646"/>
      <c r="AEZ1532" s="646"/>
      <c r="AFA1532" s="646"/>
      <c r="AFB1532" s="646"/>
      <c r="AFC1532" s="646"/>
      <c r="AFD1532" s="646"/>
      <c r="AFE1532" s="646"/>
      <c r="AFF1532" s="646"/>
      <c r="AFG1532" s="646"/>
      <c r="AFH1532" s="646"/>
      <c r="AFI1532" s="646"/>
      <c r="AFJ1532" s="646"/>
      <c r="AFK1532" s="646"/>
      <c r="AFL1532" s="646"/>
      <c r="AFM1532" s="646"/>
      <c r="AFN1532" s="646"/>
      <c r="AFO1532" s="646"/>
      <c r="AFP1532" s="646"/>
      <c r="AFQ1532" s="646"/>
      <c r="AFR1532" s="646"/>
      <c r="AFS1532" s="646"/>
      <c r="AFT1532" s="646"/>
      <c r="AFU1532" s="646"/>
      <c r="AFV1532" s="646"/>
      <c r="AFW1532" s="646"/>
      <c r="AFX1532" s="646"/>
      <c r="AFY1532" s="646"/>
      <c r="AFZ1532" s="646"/>
      <c r="AGA1532" s="646"/>
      <c r="AGB1532" s="646"/>
      <c r="AGC1532" s="646"/>
      <c r="AGD1532" s="646"/>
      <c r="AGE1532" s="646"/>
      <c r="AGF1532" s="646"/>
      <c r="AGG1532" s="646"/>
      <c r="AGH1532" s="646"/>
      <c r="AGI1532" s="646"/>
      <c r="AGJ1532" s="646"/>
      <c r="AGK1532" s="646"/>
      <c r="AGL1532" s="646"/>
      <c r="AGM1532" s="646"/>
      <c r="AGN1532" s="646"/>
      <c r="AGO1532" s="646"/>
      <c r="AGP1532" s="646"/>
      <c r="AGQ1532" s="646"/>
      <c r="AGR1532" s="646"/>
      <c r="AGS1532" s="646"/>
      <c r="AGT1532" s="646"/>
      <c r="AGU1532" s="646"/>
      <c r="AGV1532" s="646"/>
      <c r="AGW1532" s="646"/>
      <c r="AGX1532" s="646"/>
      <c r="AGY1532" s="646"/>
      <c r="AGZ1532" s="646"/>
      <c r="AHA1532" s="646"/>
      <c r="AHB1532" s="646"/>
      <c r="AHC1532" s="646"/>
      <c r="AHD1532" s="646"/>
      <c r="AHE1532" s="646"/>
      <c r="AHF1532" s="646"/>
      <c r="AHG1532" s="646"/>
      <c r="AHH1532" s="646"/>
      <c r="AHI1532" s="646"/>
      <c r="AHJ1532" s="646"/>
      <c r="AHK1532" s="646"/>
      <c r="AHL1532" s="646"/>
      <c r="AHM1532" s="646"/>
      <c r="AHN1532" s="646"/>
      <c r="AHO1532" s="646"/>
      <c r="AHP1532" s="646"/>
      <c r="AHQ1532" s="646"/>
      <c r="AHR1532" s="646"/>
      <c r="AHS1532" s="646"/>
      <c r="AHT1532" s="646"/>
      <c r="AHU1532" s="646"/>
      <c r="AHV1532" s="646"/>
      <c r="AHW1532" s="646"/>
      <c r="AHX1532" s="646"/>
      <c r="AHY1532" s="646"/>
      <c r="AHZ1532" s="646"/>
      <c r="AIA1532" s="646"/>
      <c r="AIB1532" s="646"/>
      <c r="AIC1532" s="646"/>
      <c r="AID1532" s="646"/>
      <c r="AIE1532" s="646"/>
      <c r="AIF1532" s="646"/>
      <c r="AIG1532" s="646"/>
      <c r="AIH1532" s="646"/>
      <c r="AII1532" s="646"/>
      <c r="AIJ1532" s="646"/>
      <c r="AIK1532" s="646"/>
      <c r="AIL1532" s="646"/>
      <c r="AIM1532" s="646"/>
      <c r="AIN1532" s="646"/>
      <c r="AIO1532" s="646"/>
      <c r="AIP1532" s="646"/>
      <c r="AIQ1532" s="646"/>
      <c r="AIR1532" s="646"/>
      <c r="AIS1532" s="646"/>
      <c r="AIT1532" s="646"/>
      <c r="AIU1532" s="646"/>
      <c r="AIV1532" s="646"/>
      <c r="AIW1532" s="646"/>
      <c r="AIX1532" s="646"/>
      <c r="AIY1532" s="646"/>
      <c r="AIZ1532" s="646"/>
      <c r="AJA1532" s="646"/>
      <c r="AJB1532" s="646"/>
      <c r="AJC1532" s="646"/>
      <c r="AJD1532" s="646"/>
      <c r="AJE1532" s="646"/>
      <c r="AJF1532" s="646"/>
      <c r="AJG1532" s="646"/>
      <c r="AJH1532" s="646"/>
      <c r="AJI1532" s="646"/>
      <c r="AJJ1532" s="646"/>
      <c r="AJK1532" s="646"/>
      <c r="AJL1532" s="646"/>
      <c r="AJM1532" s="646"/>
      <c r="AJN1532" s="646"/>
      <c r="AJO1532" s="646"/>
      <c r="AJP1532" s="646"/>
      <c r="AJQ1532" s="646"/>
      <c r="AJR1532" s="646"/>
      <c r="AJS1532" s="646"/>
      <c r="AJT1532" s="646"/>
      <c r="AJU1532" s="646"/>
      <c r="AJV1532" s="646"/>
      <c r="AJW1532" s="646"/>
      <c r="AJX1532" s="646"/>
      <c r="AJY1532" s="646"/>
      <c r="AJZ1532" s="646"/>
      <c r="AKA1532" s="646"/>
      <c r="AKB1532" s="646"/>
      <c r="AKC1532" s="646"/>
      <c r="AKD1532" s="646"/>
      <c r="AKE1532" s="646"/>
      <c r="AKF1532" s="646"/>
      <c r="AKG1532" s="646"/>
      <c r="AKH1532" s="646"/>
      <c r="AKI1532" s="646"/>
      <c r="AKJ1532" s="646"/>
      <c r="AKK1532" s="646"/>
      <c r="AKL1532" s="646"/>
      <c r="AKM1532" s="646"/>
      <c r="AKN1532" s="646"/>
      <c r="AKO1532" s="646"/>
      <c r="AKP1532" s="646"/>
      <c r="AKQ1532" s="646"/>
      <c r="AKR1532" s="646"/>
      <c r="AKS1532" s="646"/>
      <c r="AKT1532" s="646"/>
      <c r="AKU1532" s="646"/>
      <c r="AKV1532" s="646"/>
      <c r="AKW1532" s="646"/>
      <c r="AKX1532" s="646"/>
      <c r="AKY1532" s="646"/>
      <c r="AKZ1532" s="646"/>
      <c r="ALA1532" s="646"/>
      <c r="ALB1532" s="646"/>
      <c r="ALC1532" s="646"/>
      <c r="ALD1532" s="646"/>
      <c r="ALE1532" s="646"/>
      <c r="ALF1532" s="646"/>
      <c r="ALG1532" s="646"/>
      <c r="ALH1532" s="646"/>
      <c r="ALI1532" s="646"/>
      <c r="ALJ1532" s="646"/>
      <c r="ALK1532" s="646"/>
      <c r="ALL1532" s="646"/>
      <c r="ALM1532" s="646"/>
      <c r="ALN1532" s="646"/>
      <c r="ALO1532" s="646"/>
      <c r="ALP1532" s="646"/>
      <c r="ALQ1532" s="646"/>
      <c r="ALR1532" s="646"/>
      <c r="ALS1532" s="646"/>
      <c r="ALT1532" s="646"/>
      <c r="ALU1532" s="646"/>
      <c r="ALV1532" s="646"/>
      <c r="ALW1532" s="646"/>
      <c r="ALX1532" s="646"/>
      <c r="ALY1532" s="646"/>
      <c r="ALZ1532" s="646"/>
      <c r="AMA1532" s="646"/>
      <c r="AMB1532" s="646"/>
      <c r="AMC1532" s="646"/>
      <c r="AMD1532" s="646"/>
      <c r="AME1532" s="646"/>
      <c r="AMF1532" s="646"/>
      <c r="AMG1532" s="646"/>
      <c r="AMH1532" s="646"/>
      <c r="AMI1532" s="646"/>
      <c r="AMJ1532" s="646"/>
      <c r="AMK1532" s="646"/>
      <c r="AML1532" s="646"/>
      <c r="AMM1532" s="646"/>
      <c r="AMN1532" s="646"/>
      <c r="AMO1532" s="646"/>
      <c r="AMP1532" s="646"/>
      <c r="AMQ1532" s="646"/>
      <c r="AMR1532" s="646"/>
      <c r="AMS1532" s="646"/>
      <c r="AMT1532" s="646"/>
      <c r="AMU1532" s="646"/>
      <c r="AMV1532" s="646"/>
      <c r="AMW1532" s="646"/>
      <c r="AMX1532" s="646"/>
      <c r="AMY1532" s="646"/>
      <c r="AMZ1532" s="646"/>
      <c r="ANA1532" s="646"/>
      <c r="ANB1532" s="646"/>
      <c r="ANC1532" s="646"/>
      <c r="AND1532" s="646"/>
      <c r="ANE1532" s="646"/>
      <c r="ANF1532" s="646"/>
      <c r="ANG1532" s="646"/>
      <c r="ANH1532" s="646"/>
      <c r="ANI1532" s="646"/>
      <c r="ANJ1532" s="646"/>
      <c r="ANK1532" s="646"/>
      <c r="ANL1532" s="646"/>
      <c r="ANM1532" s="646"/>
      <c r="ANN1532" s="646"/>
      <c r="ANO1532" s="646"/>
      <c r="ANP1532" s="646"/>
      <c r="ANQ1532" s="646"/>
      <c r="ANR1532" s="646"/>
      <c r="ANS1532" s="646"/>
      <c r="ANT1532" s="646"/>
      <c r="ANU1532" s="646"/>
      <c r="ANV1532" s="646"/>
      <c r="ANW1532" s="646"/>
      <c r="ANX1532" s="646"/>
      <c r="ANY1532" s="646"/>
      <c r="ANZ1532" s="646"/>
      <c r="AOA1532" s="646"/>
      <c r="AOB1532" s="646"/>
      <c r="AOC1532" s="646"/>
      <c r="AOD1532" s="646"/>
      <c r="AOE1532" s="646"/>
      <c r="AOF1532" s="646"/>
      <c r="AOG1532" s="646"/>
      <c r="AOH1532" s="646"/>
      <c r="AOI1532" s="646"/>
      <c r="AOJ1532" s="646"/>
      <c r="AOK1532" s="646"/>
      <c r="AOL1532" s="646"/>
      <c r="AOM1532" s="646"/>
      <c r="AON1532" s="646"/>
      <c r="AOO1532" s="646"/>
      <c r="AOP1532" s="646"/>
      <c r="AOQ1532" s="646"/>
      <c r="AOR1532" s="646"/>
      <c r="AOS1532" s="646"/>
      <c r="AOT1532" s="646"/>
      <c r="AOU1532" s="646"/>
      <c r="AOV1532" s="646"/>
      <c r="AOW1532" s="646"/>
      <c r="AOX1532" s="646"/>
      <c r="AOY1532" s="646"/>
      <c r="AOZ1532" s="646"/>
      <c r="APA1532" s="646"/>
      <c r="APB1532" s="646"/>
      <c r="APC1532" s="646"/>
      <c r="APD1532" s="646"/>
      <c r="APE1532" s="646"/>
      <c r="APF1532" s="646"/>
      <c r="APG1532" s="646"/>
      <c r="APH1532" s="646"/>
      <c r="API1532" s="646"/>
      <c r="APJ1532" s="646"/>
      <c r="APK1532" s="646"/>
      <c r="APL1532" s="646"/>
      <c r="APM1532" s="646"/>
      <c r="APN1532" s="646"/>
      <c r="APO1532" s="646"/>
      <c r="APP1532" s="646"/>
      <c r="APQ1532" s="646"/>
      <c r="APR1532" s="646"/>
      <c r="APS1532" s="646"/>
      <c r="APT1532" s="646"/>
      <c r="APU1532" s="646"/>
      <c r="APV1532" s="646"/>
      <c r="APW1532" s="646"/>
      <c r="APX1532" s="646"/>
      <c r="APY1532" s="646"/>
      <c r="APZ1532" s="646"/>
      <c r="AQA1532" s="646"/>
      <c r="AQB1532" s="646"/>
      <c r="AQC1532" s="646"/>
      <c r="AQD1532" s="646"/>
      <c r="AQE1532" s="646"/>
      <c r="AQF1532" s="646"/>
      <c r="AQG1532" s="646"/>
      <c r="AQH1532" s="646"/>
      <c r="AQI1532" s="646"/>
      <c r="AQJ1532" s="646"/>
      <c r="AQK1532" s="646"/>
      <c r="AQL1532" s="646"/>
      <c r="AQM1532" s="646"/>
      <c r="AQN1532" s="646"/>
      <c r="AQO1532" s="646"/>
      <c r="AQP1532" s="646"/>
      <c r="AQQ1532" s="646"/>
      <c r="AQR1532" s="646"/>
      <c r="AQS1532" s="646"/>
      <c r="AQT1532" s="646"/>
      <c r="AQU1532" s="646"/>
      <c r="AQV1532" s="646"/>
      <c r="AQW1532" s="646"/>
      <c r="AQX1532" s="646"/>
      <c r="AQY1532" s="646"/>
      <c r="AQZ1532" s="646"/>
      <c r="ARA1532" s="646"/>
      <c r="ARB1532" s="646"/>
      <c r="ARC1532" s="646"/>
      <c r="ARD1532" s="646"/>
      <c r="ARE1532" s="646"/>
      <c r="ARF1532" s="646"/>
      <c r="ARG1532" s="646"/>
      <c r="ARH1532" s="646"/>
      <c r="ARI1532" s="646"/>
      <c r="ARJ1532" s="646"/>
      <c r="ARK1532" s="646"/>
      <c r="ARL1532" s="646"/>
      <c r="ARM1532" s="646"/>
      <c r="ARN1532" s="646"/>
      <c r="ARO1532" s="646"/>
      <c r="ARP1532" s="646"/>
      <c r="ARQ1532" s="646"/>
      <c r="ARR1532" s="646"/>
      <c r="ARS1532" s="646"/>
      <c r="ART1532" s="646"/>
      <c r="ARU1532" s="646"/>
      <c r="ARV1532" s="646"/>
      <c r="ARW1532" s="646"/>
      <c r="ARX1532" s="646"/>
      <c r="ARY1532" s="646"/>
      <c r="ARZ1532" s="646"/>
      <c r="ASA1532" s="646"/>
      <c r="ASB1532" s="646"/>
      <c r="ASC1532" s="646"/>
      <c r="ASD1532" s="646"/>
      <c r="ASE1532" s="646"/>
      <c r="ASF1532" s="646"/>
      <c r="ASG1532" s="646"/>
      <c r="ASH1532" s="646"/>
      <c r="ASI1532" s="646"/>
      <c r="ASJ1532" s="646"/>
      <c r="ASK1532" s="646"/>
      <c r="ASL1532" s="646"/>
      <c r="ASM1532" s="646"/>
      <c r="ASN1532" s="646"/>
      <c r="ASO1532" s="646"/>
      <c r="ASP1532" s="646"/>
      <c r="ASQ1532" s="646"/>
      <c r="ASR1532" s="646"/>
      <c r="ASS1532" s="646"/>
      <c r="AST1532" s="646"/>
      <c r="ASU1532" s="646"/>
      <c r="ASV1532" s="646"/>
      <c r="ASW1532" s="646"/>
      <c r="ASX1532" s="646"/>
      <c r="ASY1532" s="646"/>
      <c r="ASZ1532" s="646"/>
      <c r="ATA1532" s="646"/>
      <c r="ATB1532" s="646"/>
      <c r="ATC1532" s="646"/>
      <c r="ATD1532" s="646"/>
      <c r="ATE1532" s="646"/>
      <c r="ATF1532" s="646"/>
      <c r="ATG1532" s="646"/>
      <c r="ATH1532" s="646"/>
      <c r="ATI1532" s="646"/>
      <c r="ATJ1532" s="646"/>
      <c r="ATK1532" s="646"/>
      <c r="ATL1532" s="646"/>
      <c r="ATM1532" s="646"/>
      <c r="ATN1532" s="646"/>
      <c r="ATO1532" s="646"/>
      <c r="ATP1532" s="646"/>
      <c r="ATQ1532" s="646"/>
      <c r="ATR1532" s="646"/>
      <c r="ATS1532" s="646"/>
      <c r="ATT1532" s="646"/>
      <c r="ATU1532" s="646"/>
      <c r="ATV1532" s="646"/>
      <c r="ATW1532" s="646"/>
      <c r="ATX1532" s="646"/>
      <c r="ATY1532" s="646"/>
      <c r="ATZ1532" s="646"/>
      <c r="AUA1532" s="646"/>
      <c r="AUB1532" s="646"/>
      <c r="AUC1532" s="646"/>
      <c r="AUD1532" s="646"/>
      <c r="AUE1532" s="646"/>
      <c r="AUF1532" s="646"/>
      <c r="AUG1532" s="646"/>
      <c r="AUH1532" s="646"/>
      <c r="AUI1532" s="646"/>
      <c r="AUJ1532" s="646"/>
      <c r="AUK1532" s="646"/>
      <c r="AUL1532" s="646"/>
      <c r="AUM1532" s="646"/>
      <c r="AUN1532" s="646"/>
      <c r="AUO1532" s="646"/>
      <c r="AUP1532" s="646"/>
      <c r="AUQ1532" s="646"/>
      <c r="AUR1532" s="646"/>
      <c r="AUS1532" s="646"/>
      <c r="AUT1532" s="646"/>
      <c r="AUU1532" s="646"/>
      <c r="AUV1532" s="646"/>
      <c r="AUW1532" s="646"/>
      <c r="AUX1532" s="646"/>
      <c r="AUY1532" s="646"/>
      <c r="AUZ1532" s="646"/>
      <c r="AVA1532" s="646"/>
      <c r="AVB1532" s="646"/>
      <c r="AVC1532" s="646"/>
      <c r="AVD1532" s="646"/>
      <c r="AVE1532" s="646"/>
      <c r="AVF1532" s="646"/>
      <c r="AVG1532" s="646"/>
      <c r="AVH1532" s="646"/>
      <c r="AVI1532" s="646"/>
      <c r="AVJ1532" s="646"/>
      <c r="AVK1532" s="646"/>
      <c r="AVL1532" s="646"/>
      <c r="AVM1532" s="646"/>
      <c r="AVN1532" s="646"/>
      <c r="AVO1532" s="646"/>
      <c r="AVP1532" s="646"/>
      <c r="AVQ1532" s="646"/>
      <c r="AVR1532" s="646"/>
      <c r="AVS1532" s="646"/>
      <c r="AVT1532" s="646"/>
      <c r="AVU1532" s="646"/>
      <c r="AVV1532" s="646"/>
      <c r="AVW1532" s="646"/>
      <c r="AVX1532" s="646"/>
      <c r="AVY1532" s="646"/>
      <c r="AVZ1532" s="646"/>
      <c r="AWA1532" s="646"/>
      <c r="AWB1532" s="646"/>
      <c r="AWC1532" s="646"/>
      <c r="AWD1532" s="646"/>
      <c r="AWE1532" s="646"/>
      <c r="AWF1532" s="646"/>
      <c r="AWG1532" s="646"/>
      <c r="AWH1532" s="646"/>
      <c r="AWI1532" s="646"/>
      <c r="AWJ1532" s="646"/>
      <c r="AWK1532" s="646"/>
      <c r="AWL1532" s="646"/>
      <c r="AWM1532" s="646"/>
      <c r="AWN1532" s="646"/>
      <c r="AWO1532" s="646"/>
      <c r="AWP1532" s="646"/>
      <c r="AWQ1532" s="646"/>
      <c r="AWR1532" s="646"/>
      <c r="AWS1532" s="646"/>
      <c r="AWT1532" s="646"/>
      <c r="AWU1532" s="646"/>
      <c r="AWV1532" s="646"/>
      <c r="AWW1532" s="646"/>
      <c r="AWX1532" s="646"/>
      <c r="AWY1532" s="646"/>
      <c r="AWZ1532" s="646"/>
      <c r="AXA1532" s="646"/>
      <c r="AXB1532" s="646"/>
      <c r="AXC1532" s="646"/>
      <c r="AXD1532" s="646"/>
      <c r="AXE1532" s="646"/>
      <c r="AXF1532" s="646"/>
      <c r="AXG1532" s="646"/>
      <c r="AXH1532" s="646"/>
      <c r="AXI1532" s="646"/>
      <c r="AXJ1532" s="646"/>
      <c r="AXK1532" s="646"/>
      <c r="AXL1532" s="646"/>
      <c r="AXM1532" s="646"/>
      <c r="AXN1532" s="646"/>
      <c r="AXO1532" s="646"/>
      <c r="AXP1532" s="646"/>
      <c r="AXQ1532" s="646"/>
      <c r="AXR1532" s="646"/>
      <c r="AXS1532" s="646"/>
      <c r="AXT1532" s="646"/>
      <c r="AXU1532" s="646"/>
      <c r="AXV1532" s="646"/>
      <c r="AXW1532" s="646"/>
      <c r="AXX1532" s="646"/>
      <c r="AXY1532" s="646"/>
      <c r="AXZ1532" s="646"/>
      <c r="AYA1532" s="646"/>
      <c r="AYB1532" s="646"/>
      <c r="AYC1532" s="646"/>
      <c r="AYD1532" s="646"/>
      <c r="AYE1532" s="646"/>
      <c r="AYF1532" s="646"/>
      <c r="AYG1532" s="646"/>
      <c r="AYH1532" s="646"/>
      <c r="AYI1532" s="646"/>
      <c r="AYJ1532" s="646"/>
      <c r="AYK1532" s="646"/>
      <c r="AYL1532" s="646"/>
      <c r="AYM1532" s="646"/>
      <c r="AYN1532" s="646"/>
      <c r="AYO1532" s="646"/>
      <c r="AYP1532" s="646"/>
      <c r="AYQ1532" s="646"/>
      <c r="AYR1532" s="646"/>
      <c r="AYS1532" s="646"/>
      <c r="AYT1532" s="646"/>
      <c r="AYU1532" s="646"/>
      <c r="AYV1532" s="646"/>
      <c r="AYW1532" s="646"/>
      <c r="AYX1532" s="646"/>
      <c r="AYY1532" s="646"/>
      <c r="AYZ1532" s="646"/>
      <c r="AZA1532" s="646"/>
      <c r="AZB1532" s="646"/>
      <c r="AZC1532" s="646"/>
      <c r="AZD1532" s="646"/>
      <c r="AZE1532" s="646"/>
      <c r="AZF1532" s="646"/>
      <c r="AZG1532" s="646"/>
      <c r="AZH1532" s="646"/>
      <c r="AZI1532" s="646"/>
      <c r="AZJ1532" s="646"/>
      <c r="AZK1532" s="646"/>
      <c r="AZL1532" s="646"/>
      <c r="AZM1532" s="646"/>
      <c r="AZN1532" s="646"/>
      <c r="AZO1532" s="646"/>
      <c r="AZP1532" s="646"/>
      <c r="AZQ1532" s="646"/>
      <c r="AZR1532" s="646"/>
      <c r="AZS1532" s="646"/>
      <c r="AZT1532" s="646"/>
      <c r="AZU1532" s="646"/>
      <c r="AZV1532" s="646"/>
      <c r="AZW1532" s="646"/>
      <c r="AZX1532" s="646"/>
      <c r="AZY1532" s="646"/>
      <c r="AZZ1532" s="646"/>
      <c r="BAA1532" s="646"/>
      <c r="BAB1532" s="646"/>
      <c r="BAC1532" s="646"/>
      <c r="BAD1532" s="646"/>
      <c r="BAE1532" s="646"/>
      <c r="BAF1532" s="646"/>
      <c r="BAG1532" s="646"/>
      <c r="BAH1532" s="646"/>
      <c r="BAI1532" s="646"/>
      <c r="BAJ1532" s="646"/>
      <c r="BAK1532" s="646"/>
      <c r="BAL1532" s="646"/>
      <c r="BAM1532" s="646"/>
      <c r="BAN1532" s="646"/>
      <c r="BAO1532" s="646"/>
      <c r="BAP1532" s="646"/>
      <c r="BAQ1532" s="646"/>
      <c r="BAR1532" s="646"/>
      <c r="BAS1532" s="646"/>
      <c r="BAT1532" s="646"/>
      <c r="BAU1532" s="646"/>
      <c r="BAV1532" s="646"/>
      <c r="BAW1532" s="646"/>
      <c r="BAX1532" s="646"/>
      <c r="BAY1532" s="646"/>
      <c r="BAZ1532" s="646"/>
      <c r="BBA1532" s="646"/>
      <c r="BBB1532" s="646"/>
      <c r="BBC1532" s="646"/>
      <c r="BBD1532" s="646"/>
      <c r="BBE1532" s="646"/>
      <c r="BBF1532" s="646"/>
      <c r="BBG1532" s="646"/>
      <c r="BBH1532" s="646"/>
      <c r="BBI1532" s="646"/>
      <c r="BBJ1532" s="646"/>
      <c r="BBK1532" s="646"/>
      <c r="BBL1532" s="646"/>
      <c r="BBM1532" s="646"/>
      <c r="BBN1532" s="646"/>
      <c r="BBO1532" s="646"/>
      <c r="BBP1532" s="646"/>
      <c r="BBQ1532" s="646"/>
      <c r="BBR1532" s="646"/>
      <c r="BBS1532" s="646"/>
      <c r="BBT1532" s="646"/>
      <c r="BBU1532" s="646"/>
      <c r="BBV1532" s="646"/>
      <c r="BBW1532" s="646"/>
      <c r="BBX1532" s="646"/>
      <c r="BBY1532" s="646"/>
      <c r="BBZ1532" s="646"/>
      <c r="BCA1532" s="646"/>
      <c r="BCB1532" s="646"/>
      <c r="BCC1532" s="646"/>
      <c r="BCD1532" s="646"/>
      <c r="BCE1532" s="646"/>
      <c r="BCF1532" s="646"/>
      <c r="BCG1532" s="646"/>
      <c r="BCH1532" s="646"/>
      <c r="BCI1532" s="646"/>
      <c r="BCJ1532" s="646"/>
      <c r="BCK1532" s="646"/>
      <c r="BCL1532" s="646"/>
      <c r="BCM1532" s="646"/>
      <c r="BCN1532" s="646"/>
      <c r="BCO1532" s="646"/>
      <c r="BCP1532" s="646"/>
      <c r="BCQ1532" s="646"/>
      <c r="BCR1532" s="646"/>
      <c r="BCS1532" s="646"/>
      <c r="BCT1532" s="646"/>
      <c r="BCU1532" s="646"/>
      <c r="BCV1532" s="646"/>
      <c r="BCW1532" s="646"/>
      <c r="BCX1532" s="646"/>
      <c r="BCY1532" s="646"/>
      <c r="BCZ1532" s="646"/>
      <c r="BDA1532" s="646"/>
      <c r="BDB1532" s="646"/>
      <c r="BDC1532" s="646"/>
      <c r="BDD1532" s="646"/>
      <c r="BDE1532" s="646"/>
      <c r="BDF1532" s="646"/>
      <c r="BDG1532" s="646"/>
      <c r="BDH1532" s="646"/>
      <c r="BDI1532" s="646"/>
      <c r="BDJ1532" s="646"/>
      <c r="BDK1532" s="646"/>
      <c r="BDL1532" s="646"/>
      <c r="BDM1532" s="646"/>
      <c r="BDN1532" s="646"/>
      <c r="BDO1532" s="646"/>
      <c r="BDP1532" s="646"/>
      <c r="BDQ1532" s="646"/>
      <c r="BDR1532" s="646"/>
      <c r="BDS1532" s="646"/>
      <c r="BDT1532" s="646"/>
      <c r="BDU1532" s="646"/>
      <c r="BDV1532" s="646"/>
      <c r="BDW1532" s="646"/>
      <c r="BDX1532" s="646"/>
      <c r="BDY1532" s="646"/>
      <c r="BDZ1532" s="646"/>
      <c r="BEA1532" s="646"/>
      <c r="BEB1532" s="646"/>
      <c r="BEC1532" s="646"/>
      <c r="BED1532" s="646"/>
      <c r="BEE1532" s="646"/>
      <c r="BEF1532" s="646"/>
      <c r="BEG1532" s="646"/>
      <c r="BEH1532" s="646"/>
      <c r="BEI1532" s="646"/>
      <c r="BEJ1532" s="646"/>
      <c r="BEK1532" s="646"/>
      <c r="BEL1532" s="646"/>
      <c r="BEM1532" s="646"/>
      <c r="BEN1532" s="646"/>
      <c r="BEO1532" s="646"/>
      <c r="BEP1532" s="646"/>
      <c r="BEQ1532" s="646"/>
      <c r="BER1532" s="646"/>
      <c r="BES1532" s="646"/>
      <c r="BET1532" s="646"/>
      <c r="BEU1532" s="646"/>
      <c r="BEV1532" s="646"/>
      <c r="BEW1532" s="646"/>
      <c r="BEX1532" s="646"/>
      <c r="BEY1532" s="646"/>
      <c r="BEZ1532" s="646"/>
      <c r="BFA1532" s="646"/>
      <c r="BFB1532" s="646"/>
      <c r="BFC1532" s="646"/>
      <c r="BFD1532" s="646"/>
      <c r="BFE1532" s="646"/>
      <c r="BFF1532" s="646"/>
      <c r="BFG1532" s="646"/>
      <c r="BFH1532" s="646"/>
      <c r="BFI1532" s="646"/>
      <c r="BFJ1532" s="646"/>
      <c r="BFK1532" s="646"/>
      <c r="BFL1532" s="646"/>
      <c r="BFM1532" s="646"/>
      <c r="BFN1532" s="646"/>
      <c r="BFO1532" s="646"/>
      <c r="BFP1532" s="646"/>
      <c r="BFQ1532" s="646"/>
      <c r="BFR1532" s="646"/>
      <c r="BFS1532" s="646"/>
      <c r="BFT1532" s="646"/>
      <c r="BFU1532" s="646"/>
      <c r="BFV1532" s="646"/>
      <c r="BFW1532" s="646"/>
      <c r="BFX1532" s="646"/>
      <c r="BFY1532" s="646"/>
      <c r="BFZ1532" s="646"/>
      <c r="BGA1532" s="646"/>
      <c r="BGB1532" s="646"/>
      <c r="BGC1532" s="646"/>
      <c r="BGD1532" s="646"/>
      <c r="BGE1532" s="646"/>
      <c r="BGF1532" s="646"/>
      <c r="BGG1532" s="646"/>
      <c r="BGH1532" s="646"/>
      <c r="BGI1532" s="646"/>
      <c r="BGJ1532" s="646"/>
      <c r="BGK1532" s="646"/>
      <c r="BGL1532" s="646"/>
      <c r="BGM1532" s="646"/>
      <c r="BGN1532" s="646"/>
      <c r="BGO1532" s="646"/>
      <c r="BGP1532" s="646"/>
      <c r="BGQ1532" s="646"/>
      <c r="BGR1532" s="646"/>
      <c r="BGS1532" s="646"/>
      <c r="BGT1532" s="646"/>
      <c r="BGU1532" s="646"/>
      <c r="BGV1532" s="646"/>
      <c r="BGW1532" s="646"/>
      <c r="BGX1532" s="646"/>
      <c r="BGY1532" s="646"/>
      <c r="BGZ1532" s="646"/>
      <c r="BHA1532" s="646"/>
      <c r="BHB1532" s="646"/>
      <c r="BHC1532" s="646"/>
      <c r="BHD1532" s="646"/>
      <c r="BHE1532" s="646"/>
      <c r="BHF1532" s="646"/>
      <c r="BHG1532" s="646"/>
      <c r="BHH1532" s="646"/>
      <c r="BHI1532" s="646"/>
      <c r="BHJ1532" s="646"/>
      <c r="BHK1532" s="646"/>
      <c r="BHL1532" s="646"/>
      <c r="BHM1532" s="646"/>
      <c r="BHN1532" s="646"/>
      <c r="BHO1532" s="646"/>
      <c r="BHP1532" s="646"/>
      <c r="BHQ1532" s="646"/>
      <c r="BHR1532" s="646"/>
      <c r="BHS1532" s="646"/>
      <c r="BHT1532" s="646"/>
      <c r="BHU1532" s="646"/>
      <c r="BHV1532" s="646"/>
      <c r="BHW1532" s="646"/>
      <c r="BHX1532" s="646"/>
      <c r="BHY1532" s="646"/>
      <c r="BHZ1532" s="646"/>
      <c r="BIA1532" s="646"/>
      <c r="BIB1532" s="646"/>
      <c r="BIC1532" s="646"/>
      <c r="BID1532" s="646"/>
      <c r="BIE1532" s="646"/>
      <c r="BIF1532" s="646"/>
      <c r="BIG1532" s="646"/>
      <c r="BIH1532" s="646"/>
      <c r="BII1532" s="646"/>
      <c r="BIJ1532" s="646"/>
      <c r="BIK1532" s="646"/>
      <c r="BIL1532" s="646"/>
      <c r="BIM1532" s="646"/>
      <c r="BIN1532" s="646"/>
      <c r="BIO1532" s="646"/>
      <c r="BIP1532" s="646"/>
      <c r="BIQ1532" s="646"/>
      <c r="BIR1532" s="646"/>
      <c r="BIS1532" s="646"/>
      <c r="BIT1532" s="646"/>
      <c r="BIU1532" s="646"/>
      <c r="BIV1532" s="646"/>
      <c r="BIW1532" s="646"/>
      <c r="BIX1532" s="646"/>
      <c r="BIY1532" s="646"/>
      <c r="BIZ1532" s="646"/>
      <c r="BJA1532" s="646"/>
      <c r="BJB1532" s="646"/>
      <c r="BJC1532" s="646"/>
      <c r="BJD1532" s="646"/>
      <c r="BJE1532" s="646"/>
      <c r="BJF1532" s="646"/>
      <c r="BJG1532" s="646"/>
      <c r="BJH1532" s="646"/>
      <c r="BJI1532" s="646"/>
      <c r="BJJ1532" s="646"/>
      <c r="BJK1532" s="646"/>
      <c r="BJL1532" s="646"/>
      <c r="BJM1532" s="646"/>
      <c r="BJN1532" s="646"/>
      <c r="BJO1532" s="646"/>
      <c r="BJP1532" s="646"/>
      <c r="BJQ1532" s="646"/>
      <c r="BJR1532" s="646"/>
      <c r="BJS1532" s="646"/>
      <c r="BJT1532" s="646"/>
      <c r="BJU1532" s="646"/>
      <c r="BJV1532" s="646"/>
      <c r="BJW1532" s="646"/>
      <c r="BJX1532" s="646"/>
      <c r="BJY1532" s="646"/>
      <c r="BJZ1532" s="646"/>
      <c r="BKA1532" s="646"/>
      <c r="BKB1532" s="646"/>
      <c r="BKC1532" s="646"/>
      <c r="BKD1532" s="646"/>
      <c r="BKE1532" s="646"/>
      <c r="BKF1532" s="646"/>
      <c r="BKG1532" s="646"/>
      <c r="BKH1532" s="646"/>
      <c r="BKI1532" s="646"/>
      <c r="BKJ1532" s="646"/>
      <c r="BKK1532" s="646"/>
      <c r="BKL1532" s="646"/>
      <c r="BKM1532" s="646"/>
      <c r="BKN1532" s="646"/>
      <c r="BKO1532" s="646"/>
      <c r="BKP1532" s="646"/>
      <c r="BKQ1532" s="646"/>
      <c r="BKR1532" s="646"/>
      <c r="BKS1532" s="646"/>
      <c r="BKT1532" s="646"/>
      <c r="BKU1532" s="646"/>
      <c r="BKV1532" s="646"/>
      <c r="BKW1532" s="646"/>
      <c r="BKX1532" s="646"/>
      <c r="BKY1532" s="646"/>
      <c r="BKZ1532" s="646"/>
      <c r="BLA1532" s="646"/>
      <c r="BLB1532" s="646"/>
      <c r="BLC1532" s="646"/>
      <c r="BLD1532" s="646"/>
      <c r="BLE1532" s="646"/>
      <c r="BLF1532" s="646"/>
      <c r="BLG1532" s="646"/>
      <c r="BLH1532" s="646"/>
      <c r="BLI1532" s="646"/>
      <c r="BLJ1532" s="646"/>
      <c r="BLK1532" s="646"/>
      <c r="BLL1532" s="646"/>
      <c r="BLM1532" s="646"/>
      <c r="BLN1532" s="646"/>
      <c r="BLO1532" s="646"/>
      <c r="BLP1532" s="646"/>
      <c r="BLQ1532" s="646"/>
      <c r="BLR1532" s="646"/>
      <c r="BLS1532" s="646"/>
      <c r="BLT1532" s="646"/>
      <c r="BLU1532" s="646"/>
      <c r="BLV1532" s="646"/>
      <c r="BLW1532" s="646"/>
      <c r="BLX1532" s="646"/>
      <c r="BLY1532" s="646"/>
      <c r="BLZ1532" s="646"/>
      <c r="BMA1532" s="646"/>
      <c r="BMB1532" s="646"/>
      <c r="BMC1532" s="646"/>
      <c r="BMD1532" s="646"/>
      <c r="BME1532" s="646"/>
      <c r="BMF1532" s="646"/>
      <c r="BMG1532" s="646"/>
      <c r="BMH1532" s="646"/>
      <c r="BMI1532" s="646"/>
      <c r="BMJ1532" s="646"/>
      <c r="BMK1532" s="646"/>
      <c r="BML1532" s="646"/>
      <c r="BMM1532" s="646"/>
      <c r="BMN1532" s="646"/>
      <c r="BMO1532" s="646"/>
      <c r="BMP1532" s="646"/>
      <c r="BMQ1532" s="646"/>
      <c r="BMR1532" s="646"/>
      <c r="BMS1532" s="646"/>
      <c r="BMT1532" s="646"/>
      <c r="BMU1532" s="646"/>
      <c r="BMV1532" s="646"/>
      <c r="BMW1532" s="646"/>
      <c r="BMX1532" s="646"/>
      <c r="BMY1532" s="646"/>
      <c r="BMZ1532" s="646"/>
      <c r="BNA1532" s="646"/>
      <c r="BNB1532" s="646"/>
      <c r="BNC1532" s="646"/>
      <c r="BND1532" s="646"/>
      <c r="BNE1532" s="646"/>
      <c r="BNF1532" s="646"/>
      <c r="BNG1532" s="646"/>
      <c r="BNH1532" s="646"/>
      <c r="BNI1532" s="646"/>
      <c r="BNJ1532" s="646"/>
      <c r="BNK1532" s="646"/>
      <c r="BNL1532" s="646"/>
      <c r="BNM1532" s="646"/>
      <c r="BNN1532" s="646"/>
      <c r="BNO1532" s="646"/>
      <c r="BNP1532" s="646"/>
      <c r="BNQ1532" s="646"/>
      <c r="BNR1532" s="646"/>
      <c r="BNS1532" s="646"/>
      <c r="BNT1532" s="646"/>
      <c r="BNU1532" s="646"/>
      <c r="BNV1532" s="646"/>
      <c r="BNW1532" s="646"/>
      <c r="BNX1532" s="646"/>
      <c r="BNY1532" s="646"/>
      <c r="BNZ1532" s="646"/>
      <c r="BOA1532" s="646"/>
      <c r="BOB1532" s="646"/>
      <c r="BOC1532" s="646"/>
      <c r="BOD1532" s="646"/>
      <c r="BOE1532" s="646"/>
      <c r="BOF1532" s="646"/>
      <c r="BOG1532" s="646"/>
      <c r="BOH1532" s="646"/>
      <c r="BOI1532" s="646"/>
      <c r="BOJ1532" s="646"/>
      <c r="BOK1532" s="646"/>
      <c r="BOL1532" s="646"/>
      <c r="BOM1532" s="646"/>
      <c r="BON1532" s="646"/>
      <c r="BOO1532" s="646"/>
      <c r="BOP1532" s="646"/>
      <c r="BOQ1532" s="646"/>
      <c r="BOR1532" s="646"/>
      <c r="BOS1532" s="646"/>
      <c r="BOT1532" s="646"/>
      <c r="BOU1532" s="646"/>
      <c r="BOV1532" s="646"/>
      <c r="BOW1532" s="646"/>
      <c r="BOX1532" s="646"/>
      <c r="BOY1532" s="646"/>
      <c r="BOZ1532" s="646"/>
      <c r="BPA1532" s="646"/>
      <c r="BPB1532" s="646"/>
      <c r="BPC1532" s="646"/>
      <c r="BPD1532" s="646"/>
      <c r="BPE1532" s="646"/>
      <c r="BPF1532" s="646"/>
      <c r="BPG1532" s="646"/>
      <c r="BPH1532" s="646"/>
      <c r="BPI1532" s="646"/>
      <c r="BPJ1532" s="646"/>
      <c r="BPK1532" s="646"/>
      <c r="BPL1532" s="646"/>
      <c r="BPM1532" s="646"/>
      <c r="BPN1532" s="646"/>
      <c r="BPO1532" s="646"/>
      <c r="BPP1532" s="646"/>
      <c r="BPQ1532" s="646"/>
      <c r="BPR1532" s="646"/>
      <c r="BPS1532" s="646"/>
      <c r="BPT1532" s="646"/>
      <c r="BPU1532" s="646"/>
      <c r="BPV1532" s="646"/>
      <c r="BPW1532" s="646"/>
      <c r="BPX1532" s="646"/>
      <c r="BPY1532" s="646"/>
      <c r="BPZ1532" s="646"/>
      <c r="BQA1532" s="646"/>
      <c r="BQB1532" s="646"/>
      <c r="BQC1532" s="646"/>
      <c r="BQD1532" s="646"/>
      <c r="BQE1532" s="646"/>
      <c r="BQF1532" s="646"/>
      <c r="BQG1532" s="646"/>
      <c r="BQH1532" s="646"/>
      <c r="BQI1532" s="646"/>
      <c r="BQJ1532" s="646"/>
      <c r="BQK1532" s="646"/>
      <c r="BQL1532" s="646"/>
      <c r="BQM1532" s="646"/>
      <c r="BQN1532" s="646"/>
      <c r="BQO1532" s="646"/>
      <c r="BQP1532" s="646"/>
      <c r="BQQ1532" s="646"/>
      <c r="BQR1532" s="646"/>
      <c r="BQS1532" s="646"/>
      <c r="BQT1532" s="646"/>
      <c r="BQU1532" s="646"/>
      <c r="BQV1532" s="646"/>
      <c r="BQW1532" s="646"/>
      <c r="BQX1532" s="646"/>
      <c r="BQY1532" s="646"/>
      <c r="BQZ1532" s="646"/>
      <c r="BRA1532" s="646"/>
      <c r="BRB1532" s="646"/>
      <c r="BRC1532" s="646"/>
      <c r="BRD1532" s="646"/>
      <c r="BRE1532" s="646"/>
      <c r="BRF1532" s="646"/>
      <c r="BRG1532" s="646"/>
      <c r="BRH1532" s="646"/>
      <c r="BRI1532" s="646"/>
      <c r="BRJ1532" s="646"/>
      <c r="BRK1532" s="646"/>
      <c r="BRL1532" s="646"/>
      <c r="BRM1532" s="646"/>
      <c r="BRN1532" s="646"/>
      <c r="BRO1532" s="646"/>
      <c r="BRP1532" s="646"/>
      <c r="BRQ1532" s="646"/>
      <c r="BRR1532" s="646"/>
      <c r="BRS1532" s="646"/>
      <c r="BRT1532" s="646"/>
      <c r="BRU1532" s="646"/>
      <c r="BRV1532" s="646"/>
      <c r="BRW1532" s="646"/>
      <c r="BRX1532" s="646"/>
      <c r="BRY1532" s="646"/>
      <c r="BRZ1532" s="646"/>
      <c r="BSA1532" s="646"/>
      <c r="BSB1532" s="646"/>
      <c r="BSC1532" s="646"/>
      <c r="BSD1532" s="646"/>
      <c r="BSE1532" s="646"/>
      <c r="BSF1532" s="646"/>
      <c r="BSG1532" s="646"/>
      <c r="BSH1532" s="646"/>
      <c r="BSI1532" s="646"/>
      <c r="BSJ1532" s="646"/>
      <c r="BSK1532" s="646"/>
      <c r="BSL1532" s="646"/>
      <c r="BSM1532" s="646"/>
      <c r="BSN1532" s="646"/>
      <c r="BSO1532" s="646"/>
      <c r="BSP1532" s="646"/>
      <c r="BSQ1532" s="646"/>
      <c r="BSR1532" s="646"/>
      <c r="BSS1532" s="646"/>
      <c r="BST1532" s="646"/>
      <c r="BSU1532" s="646"/>
      <c r="BSV1532" s="646"/>
      <c r="BSW1532" s="646"/>
      <c r="BSX1532" s="646"/>
      <c r="BSY1532" s="646"/>
      <c r="BSZ1532" s="646"/>
      <c r="BTA1532" s="646"/>
      <c r="BTB1532" s="646"/>
      <c r="BTC1532" s="646"/>
      <c r="BTD1532" s="646"/>
      <c r="BTE1532" s="646"/>
      <c r="BTF1532" s="646"/>
      <c r="BTG1532" s="646"/>
      <c r="BTH1532" s="646"/>
      <c r="BTI1532" s="646"/>
      <c r="BTJ1532" s="646"/>
      <c r="BTK1532" s="646"/>
      <c r="BTL1532" s="646"/>
      <c r="BTM1532" s="646"/>
      <c r="BTN1532" s="646"/>
      <c r="BTO1532" s="646"/>
      <c r="BTP1532" s="646"/>
      <c r="BTQ1532" s="646"/>
      <c r="BTR1532" s="646"/>
      <c r="BTS1532" s="646"/>
      <c r="BTT1532" s="646"/>
      <c r="BTU1532" s="646"/>
      <c r="BTV1532" s="646"/>
      <c r="BTW1532" s="646"/>
      <c r="BTX1532" s="646"/>
      <c r="BTY1532" s="646"/>
      <c r="BTZ1532" s="646"/>
      <c r="BUA1532" s="646"/>
      <c r="BUB1532" s="646"/>
      <c r="BUC1532" s="646"/>
      <c r="BUD1532" s="646"/>
      <c r="BUE1532" s="646"/>
      <c r="BUF1532" s="646"/>
      <c r="BUG1532" s="646"/>
      <c r="BUH1532" s="646"/>
      <c r="BUI1532" s="646"/>
      <c r="BUJ1532" s="646"/>
      <c r="BUK1532" s="646"/>
      <c r="BUL1532" s="646"/>
      <c r="BUM1532" s="646"/>
      <c r="BUN1532" s="646"/>
      <c r="BUO1532" s="646"/>
      <c r="BUP1532" s="646"/>
      <c r="BUQ1532" s="646"/>
      <c r="BUR1532" s="646"/>
      <c r="BUS1532" s="646"/>
      <c r="BUT1532" s="646"/>
      <c r="BUU1532" s="646"/>
      <c r="BUV1532" s="646"/>
      <c r="BUW1532" s="646"/>
      <c r="BUX1532" s="646"/>
      <c r="BUY1532" s="646"/>
      <c r="BUZ1532" s="646"/>
      <c r="BVA1532" s="646"/>
      <c r="BVB1532" s="646"/>
      <c r="BVC1532" s="646"/>
      <c r="BVD1532" s="646"/>
      <c r="BVE1532" s="646"/>
      <c r="BVF1532" s="646"/>
      <c r="BVG1532" s="646"/>
      <c r="BVH1532" s="646"/>
      <c r="BVI1532" s="646"/>
      <c r="BVJ1532" s="646"/>
      <c r="BVK1532" s="646"/>
      <c r="BVL1532" s="646"/>
      <c r="BVM1532" s="646"/>
      <c r="BVN1532" s="646"/>
      <c r="BVO1532" s="646"/>
      <c r="BVP1532" s="646"/>
      <c r="BVQ1532" s="646"/>
      <c r="BVR1532" s="646"/>
      <c r="BVS1532" s="646"/>
      <c r="BVT1532" s="646"/>
      <c r="BVU1532" s="646"/>
      <c r="BVV1532" s="646"/>
      <c r="BVW1532" s="646"/>
      <c r="BVX1532" s="646"/>
      <c r="BVY1532" s="646"/>
      <c r="BVZ1532" s="646"/>
      <c r="BWA1532" s="646"/>
      <c r="BWB1532" s="646"/>
      <c r="BWC1532" s="646"/>
      <c r="BWD1532" s="646"/>
      <c r="BWE1532" s="646"/>
      <c r="BWF1532" s="646"/>
      <c r="BWG1532" s="646"/>
      <c r="BWH1532" s="646"/>
      <c r="BWI1532" s="646"/>
      <c r="BWJ1532" s="646"/>
      <c r="BWK1532" s="646"/>
      <c r="BWL1532" s="646"/>
      <c r="BWM1532" s="646"/>
      <c r="BWN1532" s="646"/>
      <c r="BWO1532" s="646"/>
      <c r="BWP1532" s="646"/>
      <c r="BWQ1532" s="646"/>
      <c r="BWR1532" s="646"/>
      <c r="BWS1532" s="646"/>
      <c r="BWT1532" s="646"/>
      <c r="BWU1532" s="646"/>
      <c r="BWV1532" s="646"/>
      <c r="BWW1532" s="646"/>
      <c r="BWX1532" s="646"/>
      <c r="BWY1532" s="646"/>
      <c r="BWZ1532" s="646"/>
      <c r="BXA1532" s="646"/>
      <c r="BXB1532" s="646"/>
      <c r="BXC1532" s="646"/>
      <c r="BXD1532" s="646"/>
      <c r="BXE1532" s="646"/>
      <c r="BXF1532" s="646"/>
      <c r="BXG1532" s="646"/>
      <c r="BXH1532" s="646"/>
      <c r="BXI1532" s="646"/>
      <c r="BXJ1532" s="646"/>
      <c r="BXK1532" s="646"/>
      <c r="BXL1532" s="646"/>
      <c r="BXM1532" s="646"/>
      <c r="BXN1532" s="646"/>
      <c r="BXO1532" s="646"/>
      <c r="BXP1532" s="646"/>
      <c r="BXQ1532" s="646"/>
      <c r="BXR1532" s="646"/>
      <c r="BXS1532" s="646"/>
      <c r="BXT1532" s="646"/>
      <c r="BXU1532" s="646"/>
      <c r="BXV1532" s="646"/>
      <c r="BXW1532" s="646"/>
      <c r="BXX1532" s="646"/>
      <c r="BXY1532" s="646"/>
      <c r="BXZ1532" s="646"/>
      <c r="BYA1532" s="646"/>
      <c r="BYB1532" s="646"/>
      <c r="BYC1532" s="646"/>
      <c r="BYD1532" s="646"/>
      <c r="BYE1532" s="646"/>
      <c r="BYF1532" s="646"/>
      <c r="BYG1532" s="646"/>
      <c r="BYH1532" s="646"/>
      <c r="BYI1532" s="646"/>
      <c r="BYJ1532" s="646"/>
      <c r="BYK1532" s="646"/>
      <c r="BYL1532" s="646"/>
      <c r="BYM1532" s="646"/>
      <c r="BYN1532" s="646"/>
      <c r="BYO1532" s="646"/>
      <c r="BYP1532" s="646"/>
      <c r="BYQ1532" s="646"/>
      <c r="BYR1532" s="646"/>
      <c r="BYS1532" s="646"/>
      <c r="BYT1532" s="646"/>
      <c r="BYU1532" s="646"/>
      <c r="BYV1532" s="646"/>
      <c r="BYW1532" s="646"/>
      <c r="BYX1532" s="646"/>
      <c r="BYY1532" s="646"/>
      <c r="BYZ1532" s="646"/>
      <c r="BZA1532" s="646"/>
      <c r="BZB1532" s="646"/>
      <c r="BZC1532" s="646"/>
      <c r="BZD1532" s="646"/>
      <c r="BZE1532" s="646"/>
      <c r="BZF1532" s="646"/>
      <c r="BZG1532" s="646"/>
      <c r="BZH1532" s="646"/>
      <c r="BZI1532" s="646"/>
      <c r="BZJ1532" s="646"/>
      <c r="BZK1532" s="646"/>
      <c r="BZL1532" s="646"/>
      <c r="BZM1532" s="646"/>
      <c r="BZN1532" s="646"/>
      <c r="BZO1532" s="646"/>
      <c r="BZP1532" s="646"/>
      <c r="BZQ1532" s="646"/>
      <c r="BZR1532" s="646"/>
      <c r="BZS1532" s="646"/>
      <c r="BZT1532" s="646"/>
      <c r="BZU1532" s="646"/>
      <c r="BZV1532" s="646"/>
      <c r="BZW1532" s="646"/>
      <c r="BZX1532" s="646"/>
      <c r="BZY1532" s="646"/>
      <c r="BZZ1532" s="646"/>
      <c r="CAA1532" s="646"/>
      <c r="CAB1532" s="646"/>
      <c r="CAC1532" s="646"/>
      <c r="CAD1532" s="646"/>
      <c r="CAE1532" s="646"/>
      <c r="CAF1532" s="646"/>
      <c r="CAG1532" s="646"/>
      <c r="CAH1532" s="646"/>
      <c r="CAI1532" s="646"/>
      <c r="CAJ1532" s="646"/>
      <c r="CAK1532" s="646"/>
      <c r="CAL1532" s="646"/>
      <c r="CAM1532" s="646"/>
      <c r="CAN1532" s="646"/>
      <c r="CAO1532" s="646"/>
      <c r="CAP1532" s="646"/>
      <c r="CAQ1532" s="646"/>
      <c r="CAR1532" s="646"/>
      <c r="CAS1532" s="646"/>
      <c r="CAT1532" s="646"/>
      <c r="CAU1532" s="646"/>
      <c r="CAV1532" s="646"/>
      <c r="CAW1532" s="646"/>
      <c r="CAX1532" s="646"/>
      <c r="CAY1532" s="646"/>
      <c r="CAZ1532" s="646"/>
      <c r="CBA1532" s="646"/>
      <c r="CBB1532" s="646"/>
      <c r="CBC1532" s="646"/>
      <c r="CBD1532" s="646"/>
      <c r="CBE1532" s="646"/>
      <c r="CBF1532" s="646"/>
      <c r="CBG1532" s="646"/>
      <c r="CBH1532" s="646"/>
      <c r="CBI1532" s="646"/>
      <c r="CBJ1532" s="646"/>
      <c r="CBK1532" s="646"/>
      <c r="CBL1532" s="646"/>
      <c r="CBM1532" s="646"/>
      <c r="CBN1532" s="646"/>
      <c r="CBO1532" s="646"/>
      <c r="CBP1532" s="646"/>
      <c r="CBQ1532" s="646"/>
      <c r="CBR1532" s="646"/>
      <c r="CBS1532" s="646"/>
      <c r="CBT1532" s="646"/>
      <c r="CBU1532" s="646"/>
      <c r="CBV1532" s="646"/>
      <c r="CBW1532" s="646"/>
      <c r="CBX1532" s="646"/>
      <c r="CBY1532" s="646"/>
      <c r="CBZ1532" s="646"/>
      <c r="CCA1532" s="646"/>
      <c r="CCB1532" s="646"/>
      <c r="CCC1532" s="646"/>
      <c r="CCD1532" s="646"/>
      <c r="CCE1532" s="646"/>
      <c r="CCF1532" s="646"/>
      <c r="CCG1532" s="646"/>
      <c r="CCH1532" s="646"/>
      <c r="CCI1532" s="646"/>
      <c r="CCJ1532" s="646"/>
      <c r="CCK1532" s="646"/>
      <c r="CCL1532" s="646"/>
      <c r="CCM1532" s="646"/>
      <c r="CCN1532" s="646"/>
      <c r="CCO1532" s="646"/>
      <c r="CCP1532" s="646"/>
      <c r="CCQ1532" s="646"/>
      <c r="CCR1532" s="646"/>
      <c r="CCS1532" s="646"/>
      <c r="CCT1532" s="646"/>
      <c r="CCU1532" s="646"/>
      <c r="CCV1532" s="646"/>
      <c r="CCW1532" s="646"/>
      <c r="CCX1532" s="646"/>
      <c r="CCY1532" s="646"/>
      <c r="CCZ1532" s="646"/>
      <c r="CDA1532" s="646"/>
      <c r="CDB1532" s="646"/>
      <c r="CDC1532" s="646"/>
      <c r="CDD1532" s="646"/>
      <c r="CDE1532" s="646"/>
      <c r="CDF1532" s="646"/>
      <c r="CDG1532" s="646"/>
      <c r="CDH1532" s="646"/>
      <c r="CDI1532" s="646"/>
      <c r="CDJ1532" s="646"/>
      <c r="CDK1532" s="646"/>
      <c r="CDL1532" s="646"/>
      <c r="CDM1532" s="646"/>
      <c r="CDN1532" s="646"/>
      <c r="CDO1532" s="646"/>
      <c r="CDP1532" s="646"/>
      <c r="CDQ1532" s="646"/>
      <c r="CDR1532" s="646"/>
      <c r="CDS1532" s="646"/>
      <c r="CDT1532" s="646"/>
      <c r="CDU1532" s="646"/>
      <c r="CDV1532" s="646"/>
      <c r="CDW1532" s="646"/>
      <c r="CDX1532" s="646"/>
      <c r="CDY1532" s="646"/>
      <c r="CDZ1532" s="646"/>
      <c r="CEA1532" s="646"/>
      <c r="CEB1532" s="646"/>
      <c r="CEC1532" s="646"/>
      <c r="CED1532" s="646"/>
      <c r="CEE1532" s="646"/>
      <c r="CEF1532" s="646"/>
      <c r="CEG1532" s="646"/>
      <c r="CEH1532" s="646"/>
      <c r="CEI1532" s="646"/>
      <c r="CEJ1532" s="646"/>
      <c r="CEK1532" s="646"/>
      <c r="CEL1532" s="646"/>
      <c r="CEM1532" s="646"/>
      <c r="CEN1532" s="646"/>
      <c r="CEO1532" s="646"/>
      <c r="CEP1532" s="646"/>
      <c r="CEQ1532" s="646"/>
      <c r="CER1532" s="646"/>
      <c r="CES1532" s="646"/>
      <c r="CET1532" s="646"/>
      <c r="CEU1532" s="646"/>
      <c r="CEV1532" s="646"/>
      <c r="CEW1532" s="646"/>
      <c r="CEX1532" s="646"/>
      <c r="CEY1532" s="646"/>
      <c r="CEZ1532" s="646"/>
      <c r="CFA1532" s="646"/>
      <c r="CFB1532" s="646"/>
      <c r="CFC1532" s="646"/>
      <c r="CFD1532" s="646"/>
      <c r="CFE1532" s="646"/>
      <c r="CFF1532" s="646"/>
      <c r="CFG1532" s="646"/>
      <c r="CFH1532" s="646"/>
      <c r="CFI1532" s="646"/>
      <c r="CFJ1532" s="646"/>
      <c r="CFK1532" s="646"/>
      <c r="CFL1532" s="646"/>
      <c r="CFM1532" s="646"/>
      <c r="CFN1532" s="646"/>
      <c r="CFO1532" s="646"/>
      <c r="CFP1532" s="646"/>
      <c r="CFQ1532" s="646"/>
      <c r="CFR1532" s="646"/>
      <c r="CFS1532" s="646"/>
      <c r="CFT1532" s="646"/>
      <c r="CFU1532" s="646"/>
      <c r="CFV1532" s="646"/>
      <c r="CFW1532" s="646"/>
      <c r="CFX1532" s="646"/>
      <c r="CFY1532" s="646"/>
      <c r="CFZ1532" s="646"/>
      <c r="CGA1532" s="646"/>
      <c r="CGB1532" s="646"/>
      <c r="CGC1532" s="646"/>
      <c r="CGD1532" s="646"/>
      <c r="CGE1532" s="646"/>
      <c r="CGF1532" s="646"/>
      <c r="CGG1532" s="646"/>
      <c r="CGH1532" s="646"/>
      <c r="CGI1532" s="646"/>
      <c r="CGJ1532" s="646"/>
      <c r="CGK1532" s="646"/>
      <c r="CGL1532" s="646"/>
      <c r="CGM1532" s="646"/>
      <c r="CGN1532" s="646"/>
      <c r="CGO1532" s="646"/>
      <c r="CGP1532" s="646"/>
      <c r="CGQ1532" s="646"/>
      <c r="CGR1532" s="646"/>
      <c r="CGS1532" s="646"/>
      <c r="CGT1532" s="646"/>
      <c r="CGU1532" s="646"/>
      <c r="CGV1532" s="646"/>
      <c r="CGW1532" s="646"/>
      <c r="CGX1532" s="646"/>
      <c r="CGY1532" s="646"/>
      <c r="CGZ1532" s="646"/>
      <c r="CHA1532" s="646"/>
      <c r="CHB1532" s="646"/>
      <c r="CHC1532" s="646"/>
      <c r="CHD1532" s="646"/>
      <c r="CHE1532" s="646"/>
      <c r="CHF1532" s="646"/>
      <c r="CHG1532" s="646"/>
      <c r="CHH1532" s="646"/>
      <c r="CHI1532" s="646"/>
      <c r="CHJ1532" s="646"/>
      <c r="CHK1532" s="646"/>
      <c r="CHL1532" s="646"/>
      <c r="CHM1532" s="646"/>
      <c r="CHN1532" s="646"/>
      <c r="CHO1532" s="646"/>
      <c r="CHP1532" s="646"/>
      <c r="CHQ1532" s="646"/>
      <c r="CHR1532" s="646"/>
      <c r="CHS1532" s="646"/>
      <c r="CHT1532" s="646"/>
      <c r="CHU1532" s="646"/>
      <c r="CHV1532" s="646"/>
      <c r="CHW1532" s="646"/>
      <c r="CHX1532" s="646"/>
      <c r="CHY1532" s="646"/>
      <c r="CHZ1532" s="646"/>
      <c r="CIA1532" s="646"/>
      <c r="CIB1532" s="646"/>
      <c r="CIC1532" s="646"/>
      <c r="CID1532" s="646"/>
      <c r="CIE1532" s="646"/>
      <c r="CIF1532" s="646"/>
      <c r="CIG1532" s="646"/>
      <c r="CIH1532" s="646"/>
      <c r="CII1532" s="646"/>
      <c r="CIJ1532" s="646"/>
      <c r="CIK1532" s="646"/>
      <c r="CIL1532" s="646"/>
      <c r="CIM1532" s="646"/>
      <c r="CIN1532" s="646"/>
      <c r="CIO1532" s="646"/>
      <c r="CIP1532" s="646"/>
      <c r="CIQ1532" s="646"/>
      <c r="CIR1532" s="646"/>
      <c r="CIS1532" s="646"/>
      <c r="CIT1532" s="646"/>
      <c r="CIU1532" s="646"/>
      <c r="CIV1532" s="646"/>
      <c r="CIW1532" s="646"/>
      <c r="CIX1532" s="646"/>
      <c r="CIY1532" s="646"/>
      <c r="CIZ1532" s="646"/>
      <c r="CJA1532" s="646"/>
      <c r="CJB1532" s="646"/>
      <c r="CJC1532" s="646"/>
      <c r="CJD1532" s="646"/>
      <c r="CJE1532" s="646"/>
      <c r="CJF1532" s="646"/>
      <c r="CJG1532" s="646"/>
      <c r="CJH1532" s="646"/>
      <c r="CJI1532" s="646"/>
      <c r="CJJ1532" s="646"/>
      <c r="CJK1532" s="646"/>
      <c r="CJL1532" s="646"/>
      <c r="CJM1532" s="646"/>
      <c r="CJN1532" s="646"/>
      <c r="CJO1532" s="646"/>
      <c r="CJP1532" s="646"/>
      <c r="CJQ1532" s="646"/>
      <c r="CJR1532" s="646"/>
      <c r="CJS1532" s="646"/>
      <c r="CJT1532" s="646"/>
      <c r="CJU1532" s="646"/>
      <c r="CJV1532" s="646"/>
      <c r="CJW1532" s="646"/>
      <c r="CJX1532" s="646"/>
      <c r="CJY1532" s="646"/>
      <c r="CJZ1532" s="646"/>
      <c r="CKA1532" s="646"/>
      <c r="CKB1532" s="646"/>
      <c r="CKC1532" s="646"/>
      <c r="CKD1532" s="646"/>
      <c r="CKE1532" s="646"/>
      <c r="CKF1532" s="646"/>
      <c r="CKG1532" s="646"/>
      <c r="CKH1532" s="646"/>
      <c r="CKI1532" s="646"/>
      <c r="CKJ1532" s="646"/>
      <c r="CKK1532" s="646"/>
      <c r="CKL1532" s="646"/>
      <c r="CKM1532" s="646"/>
      <c r="CKN1532" s="646"/>
      <c r="CKO1532" s="646"/>
      <c r="CKP1532" s="646"/>
      <c r="CKQ1532" s="646"/>
      <c r="CKR1532" s="646"/>
      <c r="CKS1532" s="646"/>
      <c r="CKT1532" s="646"/>
      <c r="CKU1532" s="646"/>
      <c r="CKV1532" s="646"/>
      <c r="CKW1532" s="646"/>
      <c r="CKX1532" s="646"/>
      <c r="CKY1532" s="646"/>
      <c r="CKZ1532" s="646"/>
      <c r="CLA1532" s="646"/>
      <c r="CLB1532" s="646"/>
      <c r="CLC1532" s="646"/>
      <c r="CLD1532" s="646"/>
      <c r="CLE1532" s="646"/>
      <c r="CLF1532" s="646"/>
      <c r="CLG1532" s="646"/>
      <c r="CLH1532" s="646"/>
      <c r="CLI1532" s="646"/>
      <c r="CLJ1532" s="646"/>
      <c r="CLK1532" s="646"/>
      <c r="CLL1532" s="646"/>
      <c r="CLM1532" s="646"/>
      <c r="CLN1532" s="646"/>
      <c r="CLO1532" s="646"/>
      <c r="CLP1532" s="646"/>
      <c r="CLQ1532" s="646"/>
      <c r="CLR1532" s="646"/>
      <c r="CLS1532" s="646"/>
      <c r="CLT1532" s="646"/>
      <c r="CLU1532" s="646"/>
      <c r="CLV1532" s="646"/>
      <c r="CLW1532" s="646"/>
      <c r="CLX1532" s="646"/>
      <c r="CLY1532" s="646"/>
      <c r="CLZ1532" s="646"/>
      <c r="CMA1532" s="646"/>
      <c r="CMB1532" s="646"/>
      <c r="CMC1532" s="646"/>
      <c r="CMD1532" s="646"/>
      <c r="CME1532" s="646"/>
      <c r="CMF1532" s="646"/>
      <c r="CMG1532" s="646"/>
      <c r="CMH1532" s="646"/>
      <c r="CMI1532" s="646"/>
      <c r="CMJ1532" s="646"/>
      <c r="CMK1532" s="646"/>
      <c r="CML1532" s="646"/>
      <c r="CMM1532" s="646"/>
      <c r="CMN1532" s="646"/>
      <c r="CMO1532" s="646"/>
      <c r="CMP1532" s="646"/>
      <c r="CMQ1532" s="646"/>
      <c r="CMR1532" s="646"/>
      <c r="CMS1532" s="646"/>
      <c r="CMT1532" s="646"/>
      <c r="CMU1532" s="646"/>
      <c r="CMV1532" s="646"/>
      <c r="CMW1532" s="646"/>
      <c r="CMX1532" s="646"/>
      <c r="CMY1532" s="646"/>
      <c r="CMZ1532" s="646"/>
      <c r="CNA1532" s="646"/>
      <c r="CNB1532" s="646"/>
      <c r="CNC1532" s="646"/>
      <c r="CND1532" s="646"/>
      <c r="CNE1532" s="646"/>
      <c r="CNF1532" s="646"/>
      <c r="CNG1532" s="646"/>
      <c r="CNH1532" s="646"/>
      <c r="CNI1532" s="646"/>
      <c r="CNJ1532" s="646"/>
      <c r="CNK1532" s="646"/>
      <c r="CNL1532" s="646"/>
      <c r="CNM1532" s="646"/>
      <c r="CNN1532" s="646"/>
      <c r="CNO1532" s="646"/>
      <c r="CNP1532" s="646"/>
      <c r="CNQ1532" s="646"/>
      <c r="CNR1532" s="646"/>
      <c r="CNS1532" s="646"/>
      <c r="CNT1532" s="646"/>
      <c r="CNU1532" s="646"/>
      <c r="CNV1532" s="646"/>
      <c r="CNW1532" s="646"/>
      <c r="CNX1532" s="646"/>
      <c r="CNY1532" s="646"/>
      <c r="CNZ1532" s="646"/>
      <c r="COA1532" s="646"/>
      <c r="COB1532" s="646"/>
      <c r="COC1532" s="646"/>
      <c r="COD1532" s="646"/>
      <c r="COE1532" s="646"/>
      <c r="COF1532" s="646"/>
      <c r="COG1532" s="646"/>
      <c r="COH1532" s="646"/>
      <c r="COI1532" s="646"/>
      <c r="COJ1532" s="646"/>
      <c r="COK1532" s="646"/>
      <c r="COL1532" s="646"/>
      <c r="COM1532" s="646"/>
      <c r="CON1532" s="646"/>
      <c r="COO1532" s="646"/>
      <c r="COP1532" s="646"/>
      <c r="COQ1532" s="646"/>
      <c r="COR1532" s="646"/>
      <c r="COS1532" s="646"/>
      <c r="COT1532" s="646"/>
      <c r="COU1532" s="646"/>
      <c r="COV1532" s="646"/>
      <c r="COW1532" s="646"/>
      <c r="COX1532" s="646"/>
      <c r="COY1532" s="646"/>
      <c r="COZ1532" s="646"/>
      <c r="CPA1532" s="646"/>
      <c r="CPB1532" s="646"/>
      <c r="CPC1532" s="646"/>
      <c r="CPD1532" s="646"/>
      <c r="CPE1532" s="646"/>
      <c r="CPF1532" s="646"/>
      <c r="CPG1532" s="646"/>
      <c r="CPH1532" s="646"/>
      <c r="CPI1532" s="646"/>
      <c r="CPJ1532" s="646"/>
      <c r="CPK1532" s="646"/>
      <c r="CPL1532" s="646"/>
      <c r="CPM1532" s="646"/>
      <c r="CPN1532" s="646"/>
      <c r="CPO1532" s="646"/>
      <c r="CPP1532" s="646"/>
      <c r="CPQ1532" s="646"/>
      <c r="CPR1532" s="646"/>
      <c r="CPS1532" s="646"/>
      <c r="CPT1532" s="646"/>
      <c r="CPU1532" s="646"/>
      <c r="CPV1532" s="646"/>
      <c r="CPW1532" s="646"/>
      <c r="CPX1532" s="646"/>
      <c r="CPY1532" s="646"/>
      <c r="CPZ1532" s="646"/>
      <c r="CQA1532" s="646"/>
      <c r="CQB1532" s="646"/>
      <c r="CQC1532" s="646"/>
      <c r="CQD1532" s="646"/>
      <c r="CQE1532" s="646"/>
      <c r="CQF1532" s="646"/>
      <c r="CQG1532" s="646"/>
      <c r="CQH1532" s="646"/>
      <c r="CQI1532" s="646"/>
      <c r="CQJ1532" s="646"/>
      <c r="CQK1532" s="646"/>
      <c r="CQL1532" s="646"/>
      <c r="CQM1532" s="646"/>
      <c r="CQN1532" s="646"/>
      <c r="CQO1532" s="646"/>
      <c r="CQP1532" s="646"/>
      <c r="CQQ1532" s="646"/>
      <c r="CQR1532" s="646"/>
      <c r="CQS1532" s="646"/>
      <c r="CQT1532" s="646"/>
      <c r="CQU1532" s="646"/>
      <c r="CQV1532" s="646"/>
      <c r="CQW1532" s="646"/>
      <c r="CQX1532" s="646"/>
      <c r="CQY1532" s="646"/>
      <c r="CQZ1532" s="646"/>
      <c r="CRA1532" s="646"/>
      <c r="CRB1532" s="646"/>
      <c r="CRC1532" s="646"/>
      <c r="CRD1532" s="646"/>
      <c r="CRE1532" s="646"/>
      <c r="CRF1532" s="646"/>
      <c r="CRG1532" s="646"/>
      <c r="CRH1532" s="646"/>
      <c r="CRI1532" s="646"/>
      <c r="CRJ1532" s="646"/>
      <c r="CRK1532" s="646"/>
      <c r="CRL1532" s="646"/>
      <c r="CRM1532" s="646"/>
      <c r="CRN1532" s="646"/>
      <c r="CRO1532" s="646"/>
      <c r="CRP1532" s="646"/>
      <c r="CRQ1532" s="646"/>
      <c r="CRR1532" s="646"/>
      <c r="CRS1532" s="646"/>
      <c r="CRT1532" s="646"/>
      <c r="CRU1532" s="646"/>
      <c r="CRV1532" s="646"/>
      <c r="CRW1532" s="646"/>
      <c r="CRX1532" s="646"/>
      <c r="CRY1532" s="646"/>
      <c r="CRZ1532" s="646"/>
      <c r="CSA1532" s="646"/>
      <c r="CSB1532" s="646"/>
      <c r="CSC1532" s="646"/>
      <c r="CSD1532" s="646"/>
      <c r="CSE1532" s="646"/>
      <c r="CSF1532" s="646"/>
      <c r="CSG1532" s="646"/>
      <c r="CSH1532" s="646"/>
      <c r="CSI1532" s="646"/>
      <c r="CSJ1532" s="646"/>
      <c r="CSK1532" s="646"/>
      <c r="CSL1532" s="646"/>
      <c r="CSM1532" s="646"/>
      <c r="CSN1532" s="646"/>
      <c r="CSO1532" s="646"/>
      <c r="CSP1532" s="646"/>
      <c r="CSQ1532" s="646"/>
      <c r="CSR1532" s="646"/>
      <c r="CSS1532" s="646"/>
      <c r="CST1532" s="646"/>
      <c r="CSU1532" s="646"/>
      <c r="CSV1532" s="646"/>
      <c r="CSW1532" s="646"/>
      <c r="CSX1532" s="646"/>
      <c r="CSY1532" s="646"/>
      <c r="CSZ1532" s="646"/>
      <c r="CTA1532" s="646"/>
      <c r="CTB1532" s="646"/>
      <c r="CTC1532" s="646"/>
      <c r="CTD1532" s="646"/>
      <c r="CTE1532" s="646"/>
      <c r="CTF1532" s="646"/>
      <c r="CTG1532" s="646"/>
      <c r="CTH1532" s="646"/>
      <c r="CTI1532" s="646"/>
      <c r="CTJ1532" s="646"/>
      <c r="CTK1532" s="646"/>
      <c r="CTL1532" s="646"/>
      <c r="CTM1532" s="646"/>
      <c r="CTN1532" s="646"/>
      <c r="CTO1532" s="646"/>
      <c r="CTP1532" s="646"/>
      <c r="CTQ1532" s="646"/>
      <c r="CTR1532" s="646"/>
      <c r="CTS1532" s="646"/>
      <c r="CTT1532" s="646"/>
      <c r="CTU1532" s="646"/>
      <c r="CTV1532" s="646"/>
      <c r="CTW1532" s="646"/>
      <c r="CTX1532" s="646"/>
      <c r="CTY1532" s="646"/>
      <c r="CTZ1532" s="646"/>
      <c r="CUA1532" s="646"/>
      <c r="CUB1532" s="646"/>
      <c r="CUC1532" s="646"/>
      <c r="CUD1532" s="646"/>
      <c r="CUE1532" s="646"/>
      <c r="CUF1532" s="646"/>
      <c r="CUG1532" s="646"/>
      <c r="CUH1532" s="646"/>
      <c r="CUI1532" s="646"/>
      <c r="CUJ1532" s="646"/>
      <c r="CUK1532" s="646"/>
      <c r="CUL1532" s="646"/>
      <c r="CUM1532" s="646"/>
      <c r="CUN1532" s="646"/>
      <c r="CUO1532" s="646"/>
      <c r="CUP1532" s="646"/>
      <c r="CUQ1532" s="646"/>
      <c r="CUR1532" s="646"/>
      <c r="CUS1532" s="646"/>
      <c r="CUT1532" s="646"/>
      <c r="CUU1532" s="646"/>
      <c r="CUV1532" s="646"/>
      <c r="CUW1532" s="646"/>
      <c r="CUX1532" s="646"/>
      <c r="CUY1532" s="646"/>
      <c r="CUZ1532" s="646"/>
      <c r="CVA1532" s="646"/>
      <c r="CVB1532" s="646"/>
      <c r="CVC1532" s="646"/>
      <c r="CVD1532" s="646"/>
      <c r="CVE1532" s="646"/>
      <c r="CVF1532" s="646"/>
      <c r="CVG1532" s="646"/>
      <c r="CVH1532" s="646"/>
      <c r="CVI1532" s="646"/>
      <c r="CVJ1532" s="646"/>
      <c r="CVK1532" s="646"/>
      <c r="CVL1532" s="646"/>
      <c r="CVM1532" s="646"/>
      <c r="CVN1532" s="646"/>
      <c r="CVO1532" s="646"/>
      <c r="CVP1532" s="646"/>
      <c r="CVQ1532" s="646"/>
      <c r="CVR1532" s="646"/>
      <c r="CVS1532" s="646"/>
      <c r="CVT1532" s="646"/>
      <c r="CVU1532" s="646"/>
      <c r="CVV1532" s="646"/>
      <c r="CVW1532" s="646"/>
      <c r="CVX1532" s="646"/>
      <c r="CVY1532" s="646"/>
      <c r="CVZ1532" s="646"/>
      <c r="CWA1532" s="646"/>
      <c r="CWB1532" s="646"/>
      <c r="CWC1532" s="646"/>
      <c r="CWD1532" s="646"/>
      <c r="CWE1532" s="646"/>
      <c r="CWF1532" s="646"/>
      <c r="CWG1532" s="646"/>
      <c r="CWH1532" s="646"/>
      <c r="CWI1532" s="646"/>
      <c r="CWJ1532" s="646"/>
      <c r="CWK1532" s="646"/>
      <c r="CWL1532" s="646"/>
      <c r="CWM1532" s="646"/>
      <c r="CWN1532" s="646"/>
      <c r="CWO1532" s="646"/>
      <c r="CWP1532" s="646"/>
      <c r="CWQ1532" s="646"/>
      <c r="CWR1532" s="646"/>
      <c r="CWS1532" s="646"/>
      <c r="CWT1532" s="646"/>
      <c r="CWU1532" s="646"/>
      <c r="CWV1532" s="646"/>
      <c r="CWW1532" s="646"/>
      <c r="CWX1532" s="646"/>
      <c r="CWY1532" s="646"/>
      <c r="CWZ1532" s="646"/>
      <c r="CXA1532" s="646"/>
      <c r="CXB1532" s="646"/>
      <c r="CXC1532" s="646"/>
      <c r="CXD1532" s="646"/>
      <c r="CXE1532" s="646"/>
      <c r="CXF1532" s="646"/>
      <c r="CXG1532" s="646"/>
      <c r="CXH1532" s="646"/>
      <c r="CXI1532" s="646"/>
      <c r="CXJ1532" s="646"/>
      <c r="CXK1532" s="646"/>
      <c r="CXL1532" s="646"/>
      <c r="CXM1532" s="646"/>
      <c r="CXN1532" s="646"/>
      <c r="CXO1532" s="646"/>
      <c r="CXP1532" s="646"/>
      <c r="CXQ1532" s="646"/>
      <c r="CXR1532" s="646"/>
      <c r="CXS1532" s="646"/>
      <c r="CXT1532" s="646"/>
      <c r="CXU1532" s="646"/>
      <c r="CXV1532" s="646"/>
      <c r="CXW1532" s="646"/>
      <c r="CXX1532" s="646"/>
      <c r="CXY1532" s="646"/>
      <c r="CXZ1532" s="646"/>
      <c r="CYA1532" s="646"/>
      <c r="CYB1532" s="646"/>
      <c r="CYC1532" s="646"/>
      <c r="CYD1532" s="646"/>
      <c r="CYE1532" s="646"/>
      <c r="CYF1532" s="646"/>
      <c r="CYG1532" s="646"/>
      <c r="CYH1532" s="646"/>
      <c r="CYI1532" s="646"/>
      <c r="CYJ1532" s="646"/>
      <c r="CYK1532" s="646"/>
      <c r="CYL1532" s="646"/>
      <c r="CYM1532" s="646"/>
      <c r="CYN1532" s="646"/>
      <c r="CYO1532" s="646"/>
      <c r="CYP1532" s="646"/>
      <c r="CYQ1532" s="646"/>
      <c r="CYR1532" s="646"/>
      <c r="CYS1532" s="646"/>
      <c r="CYT1532" s="646"/>
      <c r="CYU1532" s="646"/>
      <c r="CYV1532" s="646"/>
      <c r="CYW1532" s="646"/>
      <c r="CYX1532" s="646"/>
      <c r="CYY1532" s="646"/>
      <c r="CYZ1532" s="646"/>
      <c r="CZA1532" s="646"/>
      <c r="CZB1532" s="646"/>
      <c r="CZC1532" s="646"/>
      <c r="CZD1532" s="646"/>
      <c r="CZE1532" s="646"/>
      <c r="CZF1532" s="646"/>
      <c r="CZG1532" s="646"/>
      <c r="CZH1532" s="646"/>
      <c r="CZI1532" s="646"/>
      <c r="CZJ1532" s="646"/>
      <c r="CZK1532" s="646"/>
      <c r="CZL1532" s="646"/>
      <c r="CZM1532" s="646"/>
      <c r="CZN1532" s="646"/>
      <c r="CZO1532" s="646"/>
      <c r="CZP1532" s="646"/>
      <c r="CZQ1532" s="646"/>
      <c r="CZR1532" s="646"/>
      <c r="CZS1532" s="646"/>
      <c r="CZT1532" s="646"/>
      <c r="CZU1532" s="646"/>
      <c r="CZV1532" s="646"/>
      <c r="CZW1532" s="646"/>
      <c r="CZX1532" s="646"/>
      <c r="CZY1532" s="646"/>
      <c r="CZZ1532" s="646"/>
      <c r="DAA1532" s="646"/>
      <c r="DAB1532" s="646"/>
      <c r="DAC1532" s="646"/>
      <c r="DAD1532" s="646"/>
      <c r="DAE1532" s="646"/>
      <c r="DAF1532" s="646"/>
      <c r="DAG1532" s="646"/>
      <c r="DAH1532" s="646"/>
      <c r="DAI1532" s="646"/>
      <c r="DAJ1532" s="646"/>
      <c r="DAK1532" s="646"/>
      <c r="DAL1532" s="646"/>
      <c r="DAM1532" s="646"/>
      <c r="DAN1532" s="646"/>
      <c r="DAO1532" s="646"/>
      <c r="DAP1532" s="646"/>
      <c r="DAQ1532" s="646"/>
      <c r="DAR1532" s="646"/>
      <c r="DAS1532" s="646"/>
      <c r="DAT1532" s="646"/>
      <c r="DAU1532" s="646"/>
      <c r="DAV1532" s="646"/>
      <c r="DAW1532" s="646"/>
      <c r="DAX1532" s="646"/>
      <c r="DAY1532" s="646"/>
      <c r="DAZ1532" s="646"/>
      <c r="DBA1532" s="646"/>
      <c r="DBB1532" s="646"/>
      <c r="DBC1532" s="646"/>
      <c r="DBD1532" s="646"/>
      <c r="DBE1532" s="646"/>
      <c r="DBF1532" s="646"/>
      <c r="DBG1532" s="646"/>
      <c r="DBH1532" s="646"/>
      <c r="DBI1532" s="646"/>
      <c r="DBJ1532" s="646"/>
      <c r="DBK1532" s="646"/>
      <c r="DBL1532" s="646"/>
      <c r="DBM1532" s="646"/>
      <c r="DBN1532" s="646"/>
      <c r="DBO1532" s="646"/>
      <c r="DBP1532" s="646"/>
      <c r="DBQ1532" s="646"/>
      <c r="DBR1532" s="646"/>
      <c r="DBS1532" s="646"/>
      <c r="DBT1532" s="646"/>
      <c r="DBU1532" s="646"/>
      <c r="DBV1532" s="646"/>
      <c r="DBW1532" s="646"/>
      <c r="DBX1532" s="646"/>
      <c r="DBY1532" s="646"/>
      <c r="DBZ1532" s="646"/>
      <c r="DCA1532" s="646"/>
      <c r="DCB1532" s="646"/>
      <c r="DCC1532" s="646"/>
      <c r="DCD1532" s="646"/>
      <c r="DCE1532" s="646"/>
      <c r="DCF1532" s="646"/>
      <c r="DCG1532" s="646"/>
      <c r="DCH1532" s="646"/>
      <c r="DCI1532" s="646"/>
      <c r="DCJ1532" s="646"/>
      <c r="DCK1532" s="646"/>
      <c r="DCL1532" s="646"/>
      <c r="DCM1532" s="646"/>
      <c r="DCN1532" s="646"/>
      <c r="DCO1532" s="646"/>
      <c r="DCP1532" s="646"/>
      <c r="DCQ1532" s="646"/>
      <c r="DCR1532" s="646"/>
      <c r="DCS1532" s="646"/>
      <c r="DCT1532" s="646"/>
      <c r="DCU1532" s="646"/>
      <c r="DCV1532" s="646"/>
      <c r="DCW1532" s="646"/>
      <c r="DCX1532" s="646"/>
      <c r="DCY1532" s="646"/>
      <c r="DCZ1532" s="646"/>
      <c r="DDA1532" s="646"/>
      <c r="DDB1532" s="646"/>
      <c r="DDC1532" s="646"/>
      <c r="DDD1532" s="646"/>
      <c r="DDE1532" s="646"/>
      <c r="DDF1532" s="646"/>
      <c r="DDG1532" s="646"/>
      <c r="DDH1532" s="646"/>
      <c r="DDI1532" s="646"/>
      <c r="DDJ1532" s="646"/>
      <c r="DDK1532" s="646"/>
      <c r="DDL1532" s="646"/>
      <c r="DDM1532" s="646"/>
      <c r="DDN1532" s="646"/>
      <c r="DDO1532" s="646"/>
      <c r="DDP1532" s="646"/>
      <c r="DDQ1532" s="646"/>
      <c r="DDR1532" s="646"/>
      <c r="DDS1532" s="646"/>
      <c r="DDT1532" s="646"/>
      <c r="DDU1532" s="646"/>
      <c r="DDV1532" s="646"/>
      <c r="DDW1532" s="646"/>
      <c r="DDX1532" s="646"/>
      <c r="DDY1532" s="646"/>
      <c r="DDZ1532" s="646"/>
      <c r="DEA1532" s="646"/>
      <c r="DEB1532" s="646"/>
      <c r="DEC1532" s="646"/>
      <c r="DED1532" s="646"/>
      <c r="DEE1532" s="646"/>
      <c r="DEF1532" s="646"/>
      <c r="DEG1532" s="646"/>
      <c r="DEH1532" s="646"/>
      <c r="DEI1532" s="646"/>
      <c r="DEJ1532" s="646"/>
      <c r="DEK1532" s="646"/>
      <c r="DEL1532" s="646"/>
      <c r="DEM1532" s="646"/>
      <c r="DEN1532" s="646"/>
      <c r="DEO1532" s="646"/>
      <c r="DEP1532" s="646"/>
      <c r="DEQ1532" s="646"/>
      <c r="DER1532" s="646"/>
      <c r="DES1532" s="646"/>
      <c r="DET1532" s="646"/>
      <c r="DEU1532" s="646"/>
      <c r="DEV1532" s="646"/>
      <c r="DEW1532" s="646"/>
      <c r="DEX1532" s="646"/>
      <c r="DEY1532" s="646"/>
      <c r="DEZ1532" s="646"/>
      <c r="DFA1532" s="646"/>
      <c r="DFB1532" s="646"/>
      <c r="DFC1532" s="646"/>
      <c r="DFD1532" s="646"/>
      <c r="DFE1532" s="646"/>
      <c r="DFF1532" s="646"/>
      <c r="DFG1532" s="646"/>
      <c r="DFH1532" s="646"/>
      <c r="DFI1532" s="646"/>
      <c r="DFJ1532" s="646"/>
      <c r="DFK1532" s="646"/>
      <c r="DFL1532" s="646"/>
      <c r="DFM1532" s="646"/>
      <c r="DFN1532" s="646"/>
      <c r="DFO1532" s="646"/>
      <c r="DFP1532" s="646"/>
      <c r="DFQ1532" s="646"/>
      <c r="DFR1532" s="646"/>
      <c r="DFS1532" s="646"/>
      <c r="DFT1532" s="646"/>
      <c r="DFU1532" s="646"/>
      <c r="DFV1532" s="646"/>
      <c r="DFW1532" s="646"/>
      <c r="DFX1532" s="646"/>
      <c r="DFY1532" s="646"/>
      <c r="DFZ1532" s="646"/>
      <c r="DGA1532" s="646"/>
      <c r="DGB1532" s="646"/>
      <c r="DGC1532" s="646"/>
      <c r="DGD1532" s="646"/>
      <c r="DGE1532" s="646"/>
      <c r="DGF1532" s="646"/>
      <c r="DGG1532" s="646"/>
      <c r="DGH1532" s="646"/>
      <c r="DGI1532" s="646"/>
      <c r="DGJ1532" s="646"/>
      <c r="DGK1532" s="646"/>
      <c r="DGL1532" s="646"/>
      <c r="DGM1532" s="646"/>
      <c r="DGN1532" s="646"/>
      <c r="DGO1532" s="646"/>
      <c r="DGP1532" s="646"/>
      <c r="DGQ1532" s="646"/>
      <c r="DGR1532" s="646"/>
      <c r="DGS1532" s="646"/>
      <c r="DGT1532" s="646"/>
      <c r="DGU1532" s="646"/>
      <c r="DGV1532" s="646"/>
      <c r="DGW1532" s="646"/>
      <c r="DGX1532" s="646"/>
      <c r="DGY1532" s="646"/>
      <c r="DGZ1532" s="646"/>
      <c r="DHA1532" s="646"/>
      <c r="DHB1532" s="646"/>
      <c r="DHC1532" s="646"/>
      <c r="DHD1532" s="646"/>
      <c r="DHE1532" s="646"/>
      <c r="DHF1532" s="646"/>
      <c r="DHG1532" s="646"/>
      <c r="DHH1532" s="646"/>
      <c r="DHI1532" s="646"/>
      <c r="DHJ1532" s="646"/>
      <c r="DHK1532" s="646"/>
      <c r="DHL1532" s="646"/>
      <c r="DHM1532" s="646"/>
      <c r="DHN1532" s="646"/>
      <c r="DHO1532" s="646"/>
      <c r="DHP1532" s="646"/>
      <c r="DHQ1532" s="646"/>
      <c r="DHR1532" s="646"/>
      <c r="DHS1532" s="646"/>
      <c r="DHT1532" s="646"/>
      <c r="DHU1532" s="646"/>
      <c r="DHV1532" s="646"/>
      <c r="DHW1532" s="646"/>
      <c r="DHX1532" s="646"/>
      <c r="DHY1532" s="646"/>
      <c r="DHZ1532" s="646"/>
      <c r="DIA1532" s="646"/>
      <c r="DIB1532" s="646"/>
      <c r="DIC1532" s="646"/>
      <c r="DID1532" s="646"/>
      <c r="DIE1532" s="646"/>
      <c r="DIF1532" s="646"/>
      <c r="DIG1532" s="646"/>
      <c r="DIH1532" s="646"/>
      <c r="DII1532" s="646"/>
      <c r="DIJ1532" s="646"/>
      <c r="DIK1532" s="646"/>
      <c r="DIL1532" s="646"/>
      <c r="DIM1532" s="646"/>
      <c r="DIN1532" s="646"/>
      <c r="DIO1532" s="646"/>
      <c r="DIP1532" s="646"/>
      <c r="DIQ1532" s="646"/>
      <c r="DIR1532" s="646"/>
      <c r="DIS1532" s="646"/>
      <c r="DIT1532" s="646"/>
      <c r="DIU1532" s="646"/>
      <c r="DIV1532" s="646"/>
      <c r="DIW1532" s="646"/>
      <c r="DIX1532" s="646"/>
      <c r="DIY1532" s="646"/>
      <c r="DIZ1532" s="646"/>
      <c r="DJA1532" s="646"/>
      <c r="DJB1532" s="646"/>
      <c r="DJC1532" s="646"/>
      <c r="DJD1532" s="646"/>
      <c r="DJE1532" s="646"/>
      <c r="DJF1532" s="646"/>
      <c r="DJG1532" s="646"/>
      <c r="DJH1532" s="646"/>
      <c r="DJI1532" s="646"/>
      <c r="DJJ1532" s="646"/>
      <c r="DJK1532" s="646"/>
      <c r="DJL1532" s="646"/>
      <c r="DJM1532" s="646"/>
      <c r="DJN1532" s="646"/>
      <c r="DJO1532" s="646"/>
      <c r="DJP1532" s="646"/>
      <c r="DJQ1532" s="646"/>
      <c r="DJR1532" s="646"/>
      <c r="DJS1532" s="646"/>
      <c r="DJT1532" s="646"/>
      <c r="DJU1532" s="646"/>
      <c r="DJV1532" s="646"/>
      <c r="DJW1532" s="646"/>
      <c r="DJX1532" s="646"/>
      <c r="DJY1532" s="646"/>
      <c r="DJZ1532" s="646"/>
      <c r="DKA1532" s="646"/>
      <c r="DKB1532" s="646"/>
      <c r="DKC1532" s="646"/>
      <c r="DKD1532" s="646"/>
      <c r="DKE1532" s="646"/>
      <c r="DKF1532" s="646"/>
      <c r="DKG1532" s="646"/>
      <c r="DKH1532" s="646"/>
      <c r="DKI1532" s="646"/>
      <c r="DKJ1532" s="646"/>
      <c r="DKK1532" s="646"/>
      <c r="DKL1532" s="646"/>
      <c r="DKM1532" s="646"/>
      <c r="DKN1532" s="646"/>
      <c r="DKO1532" s="646"/>
      <c r="DKP1532" s="646"/>
      <c r="DKQ1532" s="646"/>
      <c r="DKR1532" s="646"/>
      <c r="DKS1532" s="646"/>
      <c r="DKT1532" s="646"/>
      <c r="DKU1532" s="646"/>
      <c r="DKV1532" s="646"/>
      <c r="DKW1532" s="646"/>
      <c r="DKX1532" s="646"/>
      <c r="DKY1532" s="646"/>
      <c r="DKZ1532" s="646"/>
      <c r="DLA1532" s="646"/>
      <c r="DLB1532" s="646"/>
      <c r="DLC1532" s="646"/>
      <c r="DLD1532" s="646"/>
      <c r="DLE1532" s="646"/>
      <c r="DLF1532" s="646"/>
      <c r="DLG1532" s="646"/>
      <c r="DLH1532" s="646"/>
      <c r="DLI1532" s="646"/>
      <c r="DLJ1532" s="646"/>
      <c r="DLK1532" s="646"/>
      <c r="DLL1532" s="646"/>
      <c r="DLM1532" s="646"/>
      <c r="DLN1532" s="646"/>
      <c r="DLO1532" s="646"/>
      <c r="DLP1532" s="646"/>
      <c r="DLQ1532" s="646"/>
      <c r="DLR1532" s="646"/>
      <c r="DLS1532" s="646"/>
      <c r="DLT1532" s="646"/>
      <c r="DLU1532" s="646"/>
      <c r="DLV1532" s="646"/>
      <c r="DLW1532" s="646"/>
      <c r="DLX1532" s="646"/>
      <c r="DLY1532" s="646"/>
      <c r="DLZ1532" s="646"/>
      <c r="DMA1532" s="646"/>
      <c r="DMB1532" s="646"/>
      <c r="DMC1532" s="646"/>
      <c r="DMD1532" s="646"/>
      <c r="DME1532" s="646"/>
      <c r="DMF1532" s="646"/>
      <c r="DMG1532" s="646"/>
      <c r="DMH1532" s="646"/>
      <c r="DMI1532" s="646"/>
      <c r="DMJ1532" s="646"/>
      <c r="DMK1532" s="646"/>
      <c r="DML1532" s="646"/>
      <c r="DMM1532" s="646"/>
      <c r="DMN1532" s="646"/>
      <c r="DMO1532" s="646"/>
      <c r="DMP1532" s="646"/>
      <c r="DMQ1532" s="646"/>
      <c r="DMR1532" s="646"/>
      <c r="DMS1532" s="646"/>
      <c r="DMT1532" s="646"/>
      <c r="DMU1532" s="646"/>
      <c r="DMV1532" s="646"/>
      <c r="DMW1532" s="646"/>
      <c r="DMX1532" s="646"/>
      <c r="DMY1532" s="646"/>
      <c r="DMZ1532" s="646"/>
      <c r="DNA1532" s="646"/>
      <c r="DNB1532" s="646"/>
      <c r="DNC1532" s="646"/>
      <c r="DND1532" s="646"/>
      <c r="DNE1532" s="646"/>
      <c r="DNF1532" s="646"/>
      <c r="DNG1532" s="646"/>
      <c r="DNH1532" s="646"/>
      <c r="DNI1532" s="646"/>
      <c r="DNJ1532" s="646"/>
      <c r="DNK1532" s="646"/>
      <c r="DNL1532" s="646"/>
      <c r="DNM1532" s="646"/>
      <c r="DNN1532" s="646"/>
      <c r="DNO1532" s="646"/>
      <c r="DNP1532" s="646"/>
      <c r="DNQ1532" s="646"/>
      <c r="DNR1532" s="646"/>
      <c r="DNS1532" s="646"/>
      <c r="DNT1532" s="646"/>
      <c r="DNU1532" s="646"/>
      <c r="DNV1532" s="646"/>
      <c r="DNW1532" s="646"/>
      <c r="DNX1532" s="646"/>
      <c r="DNY1532" s="646"/>
      <c r="DNZ1532" s="646"/>
      <c r="DOA1532" s="646"/>
      <c r="DOB1532" s="646"/>
      <c r="DOC1532" s="646"/>
      <c r="DOD1532" s="646"/>
      <c r="DOE1532" s="646"/>
      <c r="DOF1532" s="646"/>
      <c r="DOG1532" s="646"/>
      <c r="DOH1532" s="646"/>
      <c r="DOI1532" s="646"/>
      <c r="DOJ1532" s="646"/>
      <c r="DOK1532" s="646"/>
      <c r="DOL1532" s="646"/>
      <c r="DOM1532" s="646"/>
      <c r="DON1532" s="646"/>
      <c r="DOO1532" s="646"/>
      <c r="DOP1532" s="646"/>
      <c r="DOQ1532" s="646"/>
      <c r="DOR1532" s="646"/>
      <c r="DOS1532" s="646"/>
      <c r="DOT1532" s="646"/>
      <c r="DOU1532" s="646"/>
      <c r="DOV1532" s="646"/>
      <c r="DOW1532" s="646"/>
      <c r="DOX1532" s="646"/>
      <c r="DOY1532" s="646"/>
      <c r="DOZ1532" s="646"/>
      <c r="DPA1532" s="646"/>
      <c r="DPB1532" s="646"/>
      <c r="DPC1532" s="646"/>
      <c r="DPD1532" s="646"/>
      <c r="DPE1532" s="646"/>
      <c r="DPF1532" s="646"/>
      <c r="DPG1532" s="646"/>
      <c r="DPH1532" s="646"/>
      <c r="DPI1532" s="646"/>
      <c r="DPJ1532" s="646"/>
      <c r="DPK1532" s="646"/>
      <c r="DPL1532" s="646"/>
      <c r="DPM1532" s="646"/>
      <c r="DPN1532" s="646"/>
      <c r="DPO1532" s="646"/>
      <c r="DPP1532" s="646"/>
      <c r="DPQ1532" s="646"/>
      <c r="DPR1532" s="646"/>
      <c r="DPS1532" s="646"/>
      <c r="DPT1532" s="646"/>
      <c r="DPU1532" s="646"/>
      <c r="DPV1532" s="646"/>
      <c r="DPW1532" s="646"/>
      <c r="DPX1532" s="646"/>
      <c r="DPY1532" s="646"/>
      <c r="DPZ1532" s="646"/>
      <c r="DQA1532" s="646"/>
      <c r="DQB1532" s="646"/>
      <c r="DQC1532" s="646"/>
      <c r="DQD1532" s="646"/>
      <c r="DQE1532" s="646"/>
      <c r="DQF1532" s="646"/>
      <c r="DQG1532" s="646"/>
      <c r="DQH1532" s="646"/>
      <c r="DQI1532" s="646"/>
      <c r="DQJ1532" s="646"/>
      <c r="DQK1532" s="646"/>
      <c r="DQL1532" s="646"/>
      <c r="DQM1532" s="646"/>
      <c r="DQN1532" s="646"/>
      <c r="DQO1532" s="646"/>
      <c r="DQP1532" s="646"/>
      <c r="DQQ1532" s="646"/>
      <c r="DQR1532" s="646"/>
      <c r="DQS1532" s="646"/>
      <c r="DQT1532" s="646"/>
      <c r="DQU1532" s="646"/>
      <c r="DQV1532" s="646"/>
      <c r="DQW1532" s="646"/>
      <c r="DQX1532" s="646"/>
      <c r="DQY1532" s="646"/>
      <c r="DQZ1532" s="646"/>
      <c r="DRA1532" s="646"/>
      <c r="DRB1532" s="646"/>
      <c r="DRC1532" s="646"/>
      <c r="DRD1532" s="646"/>
      <c r="DRE1532" s="646"/>
      <c r="DRF1532" s="646"/>
      <c r="DRG1532" s="646"/>
      <c r="DRH1532" s="646"/>
      <c r="DRI1532" s="646"/>
      <c r="DRJ1532" s="646"/>
      <c r="DRK1532" s="646"/>
      <c r="DRL1532" s="646"/>
      <c r="DRM1532" s="646"/>
      <c r="DRN1532" s="646"/>
      <c r="DRO1532" s="646"/>
      <c r="DRP1532" s="646"/>
      <c r="DRQ1532" s="646"/>
      <c r="DRR1532" s="646"/>
      <c r="DRS1532" s="646"/>
      <c r="DRT1532" s="646"/>
      <c r="DRU1532" s="646"/>
      <c r="DRV1532" s="646"/>
      <c r="DRW1532" s="646"/>
      <c r="DRX1532" s="646"/>
      <c r="DRY1532" s="646"/>
      <c r="DRZ1532" s="646"/>
      <c r="DSA1532" s="646"/>
      <c r="DSB1532" s="646"/>
      <c r="DSC1532" s="646"/>
      <c r="DSD1532" s="646"/>
      <c r="DSE1532" s="646"/>
      <c r="DSF1532" s="646"/>
      <c r="DSG1532" s="646"/>
      <c r="DSH1532" s="646"/>
      <c r="DSI1532" s="646"/>
      <c r="DSJ1532" s="646"/>
      <c r="DSK1532" s="646"/>
      <c r="DSL1532" s="646"/>
      <c r="DSM1532" s="646"/>
      <c r="DSN1532" s="646"/>
      <c r="DSO1532" s="646"/>
      <c r="DSP1532" s="646"/>
      <c r="DSQ1532" s="646"/>
      <c r="DSR1532" s="646"/>
      <c r="DSS1532" s="646"/>
      <c r="DST1532" s="646"/>
      <c r="DSU1532" s="646"/>
      <c r="DSV1532" s="646"/>
      <c r="DSW1532" s="646"/>
      <c r="DSX1532" s="646"/>
      <c r="DSY1532" s="646"/>
      <c r="DSZ1532" s="646"/>
      <c r="DTA1532" s="646"/>
      <c r="DTB1532" s="646"/>
      <c r="DTC1532" s="646"/>
      <c r="DTD1532" s="646"/>
      <c r="DTE1532" s="646"/>
      <c r="DTF1532" s="646"/>
      <c r="DTG1532" s="646"/>
      <c r="DTH1532" s="646"/>
      <c r="DTI1532" s="646"/>
      <c r="DTJ1532" s="646"/>
      <c r="DTK1532" s="646"/>
      <c r="DTL1532" s="646"/>
      <c r="DTM1532" s="646"/>
      <c r="DTN1532" s="646"/>
      <c r="DTO1532" s="646"/>
      <c r="DTP1532" s="646"/>
      <c r="DTQ1532" s="646"/>
      <c r="DTR1532" s="646"/>
      <c r="DTS1532" s="646"/>
      <c r="DTT1532" s="646"/>
      <c r="DTU1532" s="646"/>
      <c r="DTV1532" s="646"/>
      <c r="DTW1532" s="646"/>
      <c r="DTX1532" s="646"/>
      <c r="DTY1532" s="646"/>
      <c r="DTZ1532" s="646"/>
      <c r="DUA1532" s="646"/>
      <c r="DUB1532" s="646"/>
      <c r="DUC1532" s="646"/>
      <c r="DUD1532" s="646"/>
      <c r="DUE1532" s="646"/>
      <c r="DUF1532" s="646"/>
      <c r="DUG1532" s="646"/>
      <c r="DUH1532" s="646"/>
      <c r="DUI1532" s="646"/>
      <c r="DUJ1532" s="646"/>
      <c r="DUK1532" s="646"/>
      <c r="DUL1532" s="646"/>
      <c r="DUM1532" s="646"/>
      <c r="DUN1532" s="646"/>
      <c r="DUO1532" s="646"/>
      <c r="DUP1532" s="646"/>
      <c r="DUQ1532" s="646"/>
      <c r="DUR1532" s="646"/>
      <c r="DUS1532" s="646"/>
      <c r="DUT1532" s="646"/>
      <c r="DUU1532" s="646"/>
      <c r="DUV1532" s="646"/>
      <c r="DUW1532" s="646"/>
      <c r="DUX1532" s="646"/>
      <c r="DUY1532" s="646"/>
      <c r="DUZ1532" s="646"/>
      <c r="DVA1532" s="646"/>
      <c r="DVB1532" s="646"/>
      <c r="DVC1532" s="646"/>
      <c r="DVD1532" s="646"/>
      <c r="DVE1532" s="646"/>
      <c r="DVF1532" s="646"/>
      <c r="DVG1532" s="646"/>
      <c r="DVH1532" s="646"/>
      <c r="DVI1532" s="646"/>
      <c r="DVJ1532" s="646"/>
      <c r="DVK1532" s="646"/>
      <c r="DVL1532" s="646"/>
      <c r="DVM1532" s="646"/>
      <c r="DVN1532" s="646"/>
      <c r="DVO1532" s="646"/>
      <c r="DVP1532" s="646"/>
      <c r="DVQ1532" s="646"/>
      <c r="DVR1532" s="646"/>
      <c r="DVS1532" s="646"/>
      <c r="DVT1532" s="646"/>
      <c r="DVU1532" s="646"/>
      <c r="DVV1532" s="646"/>
      <c r="DVW1532" s="646"/>
      <c r="DVX1532" s="646"/>
      <c r="DVY1532" s="646"/>
      <c r="DVZ1532" s="646"/>
      <c r="DWA1532" s="646"/>
      <c r="DWB1532" s="646"/>
      <c r="DWC1532" s="646"/>
      <c r="DWD1532" s="646"/>
      <c r="DWE1532" s="646"/>
      <c r="DWF1532" s="646"/>
      <c r="DWG1532" s="646"/>
      <c r="DWH1532" s="646"/>
      <c r="DWI1532" s="646"/>
      <c r="DWJ1532" s="646"/>
      <c r="DWK1532" s="646"/>
      <c r="DWL1532" s="646"/>
      <c r="DWM1532" s="646"/>
      <c r="DWN1532" s="646"/>
      <c r="DWO1532" s="646"/>
      <c r="DWP1532" s="646"/>
      <c r="DWQ1532" s="646"/>
      <c r="DWR1532" s="646"/>
      <c r="DWS1532" s="646"/>
      <c r="DWT1532" s="646"/>
      <c r="DWU1532" s="646"/>
      <c r="DWV1532" s="646"/>
      <c r="DWW1532" s="646"/>
      <c r="DWX1532" s="646"/>
      <c r="DWY1532" s="646"/>
      <c r="DWZ1532" s="646"/>
      <c r="DXA1532" s="646"/>
      <c r="DXB1532" s="646"/>
      <c r="DXC1532" s="646"/>
      <c r="DXD1532" s="646"/>
      <c r="DXE1532" s="646"/>
      <c r="DXF1532" s="646"/>
      <c r="DXG1532" s="646"/>
      <c r="DXH1532" s="646"/>
      <c r="DXI1532" s="646"/>
      <c r="DXJ1532" s="646"/>
      <c r="DXK1532" s="646"/>
      <c r="DXL1532" s="646"/>
      <c r="DXM1532" s="646"/>
      <c r="DXN1532" s="646"/>
      <c r="DXO1532" s="646"/>
      <c r="DXP1532" s="646"/>
      <c r="DXQ1532" s="646"/>
      <c r="DXR1532" s="646"/>
      <c r="DXS1532" s="646"/>
      <c r="DXT1532" s="646"/>
      <c r="DXU1532" s="646"/>
      <c r="DXV1532" s="646"/>
      <c r="DXW1532" s="646"/>
      <c r="DXX1532" s="646"/>
      <c r="DXY1532" s="646"/>
      <c r="DXZ1532" s="646"/>
      <c r="DYA1532" s="646"/>
      <c r="DYB1532" s="646"/>
      <c r="DYC1532" s="646"/>
      <c r="DYD1532" s="646"/>
      <c r="DYE1532" s="646"/>
      <c r="DYF1532" s="646"/>
      <c r="DYG1532" s="646"/>
      <c r="DYH1532" s="646"/>
      <c r="DYI1532" s="646"/>
      <c r="DYJ1532" s="646"/>
      <c r="DYK1532" s="646"/>
      <c r="DYL1532" s="646"/>
      <c r="DYM1532" s="646"/>
      <c r="DYN1532" s="646"/>
      <c r="DYO1532" s="646"/>
      <c r="DYP1532" s="646"/>
      <c r="DYQ1532" s="646"/>
      <c r="DYR1532" s="646"/>
      <c r="DYS1532" s="646"/>
      <c r="DYT1532" s="646"/>
      <c r="DYU1532" s="646"/>
      <c r="DYV1532" s="646"/>
      <c r="DYW1532" s="646"/>
      <c r="DYX1532" s="646"/>
      <c r="DYY1532" s="646"/>
      <c r="DYZ1532" s="646"/>
      <c r="DZA1532" s="646"/>
      <c r="DZB1532" s="646"/>
      <c r="DZC1532" s="646"/>
      <c r="DZD1532" s="646"/>
      <c r="DZE1532" s="646"/>
      <c r="DZF1532" s="646"/>
      <c r="DZG1532" s="646"/>
      <c r="DZH1532" s="646"/>
      <c r="DZI1532" s="646"/>
      <c r="DZJ1532" s="646"/>
      <c r="DZK1532" s="646"/>
      <c r="DZL1532" s="646"/>
      <c r="DZM1532" s="646"/>
      <c r="DZN1532" s="646"/>
      <c r="DZO1532" s="646"/>
      <c r="DZP1532" s="646"/>
      <c r="DZQ1532" s="646"/>
      <c r="DZR1532" s="646"/>
      <c r="DZS1532" s="646"/>
      <c r="DZT1532" s="646"/>
      <c r="DZU1532" s="646"/>
      <c r="DZV1532" s="646"/>
      <c r="DZW1532" s="646"/>
      <c r="DZX1532" s="646"/>
      <c r="DZY1532" s="646"/>
      <c r="DZZ1532" s="646"/>
      <c r="EAA1532" s="646"/>
      <c r="EAB1532" s="646"/>
      <c r="EAC1532" s="646"/>
      <c r="EAD1532" s="646"/>
      <c r="EAE1532" s="646"/>
      <c r="EAF1532" s="646"/>
      <c r="EAG1532" s="646"/>
      <c r="EAH1532" s="646"/>
      <c r="EAI1532" s="646"/>
      <c r="EAJ1532" s="646"/>
      <c r="EAK1532" s="646"/>
      <c r="EAL1532" s="646"/>
      <c r="EAM1532" s="646"/>
      <c r="EAN1532" s="646"/>
      <c r="EAO1532" s="646"/>
      <c r="EAP1532" s="646"/>
      <c r="EAQ1532" s="646"/>
      <c r="EAR1532" s="646"/>
      <c r="EAS1532" s="646"/>
      <c r="EAT1532" s="646"/>
      <c r="EAU1532" s="646"/>
      <c r="EAV1532" s="646"/>
      <c r="EAW1532" s="646"/>
      <c r="EAX1532" s="646"/>
      <c r="EAY1532" s="646"/>
      <c r="EAZ1532" s="646"/>
      <c r="EBA1532" s="646"/>
      <c r="EBB1532" s="646"/>
      <c r="EBC1532" s="646"/>
      <c r="EBD1532" s="646"/>
      <c r="EBE1532" s="646"/>
      <c r="EBF1532" s="646"/>
      <c r="EBG1532" s="646"/>
      <c r="EBH1532" s="646"/>
      <c r="EBI1532" s="646"/>
      <c r="EBJ1532" s="646"/>
      <c r="EBK1532" s="646"/>
      <c r="EBL1532" s="646"/>
      <c r="EBM1532" s="646"/>
      <c r="EBN1532" s="646"/>
      <c r="EBO1532" s="646"/>
      <c r="EBP1532" s="646"/>
      <c r="EBQ1532" s="646"/>
      <c r="EBR1532" s="646"/>
      <c r="EBS1532" s="646"/>
      <c r="EBT1532" s="646"/>
      <c r="EBU1532" s="646"/>
      <c r="EBV1532" s="646"/>
      <c r="EBW1532" s="646"/>
      <c r="EBX1532" s="646"/>
      <c r="EBY1532" s="646"/>
      <c r="EBZ1532" s="646"/>
      <c r="ECA1532" s="646"/>
      <c r="ECB1532" s="646"/>
      <c r="ECC1532" s="646"/>
      <c r="ECD1532" s="646"/>
      <c r="ECE1532" s="646"/>
      <c r="ECF1532" s="646"/>
      <c r="ECG1532" s="646"/>
      <c r="ECH1532" s="646"/>
      <c r="ECI1532" s="646"/>
      <c r="ECJ1532" s="646"/>
      <c r="ECK1532" s="646"/>
      <c r="ECL1532" s="646"/>
      <c r="ECM1532" s="646"/>
      <c r="ECN1532" s="646"/>
      <c r="ECO1532" s="646"/>
      <c r="ECP1532" s="646"/>
      <c r="ECQ1532" s="646"/>
      <c r="ECR1532" s="646"/>
      <c r="ECS1532" s="646"/>
      <c r="ECT1532" s="646"/>
      <c r="ECU1532" s="646"/>
      <c r="ECV1532" s="646"/>
      <c r="ECW1532" s="646"/>
      <c r="ECX1532" s="646"/>
      <c r="ECY1532" s="646"/>
      <c r="ECZ1532" s="646"/>
      <c r="EDA1532" s="646"/>
      <c r="EDB1532" s="646"/>
      <c r="EDC1532" s="646"/>
      <c r="EDD1532" s="646"/>
      <c r="EDE1532" s="646"/>
      <c r="EDF1532" s="646"/>
      <c r="EDG1532" s="646"/>
      <c r="EDH1532" s="646"/>
      <c r="EDI1532" s="646"/>
      <c r="EDJ1532" s="646"/>
      <c r="EDK1532" s="646"/>
      <c r="EDL1532" s="646"/>
      <c r="EDM1532" s="646"/>
      <c r="EDN1532" s="646"/>
      <c r="EDO1532" s="646"/>
      <c r="EDP1532" s="646"/>
      <c r="EDQ1532" s="646"/>
      <c r="EDR1532" s="646"/>
      <c r="EDS1532" s="646"/>
      <c r="EDT1532" s="646"/>
      <c r="EDU1532" s="646"/>
      <c r="EDV1532" s="646"/>
      <c r="EDW1532" s="646"/>
      <c r="EDX1532" s="646"/>
      <c r="EDY1532" s="646"/>
      <c r="EDZ1532" s="646"/>
      <c r="EEA1532" s="646"/>
      <c r="EEB1532" s="646"/>
      <c r="EEC1532" s="646"/>
      <c r="EED1532" s="646"/>
      <c r="EEE1532" s="646"/>
      <c r="EEF1532" s="646"/>
      <c r="EEG1532" s="646"/>
      <c r="EEH1532" s="646"/>
      <c r="EEI1532" s="646"/>
      <c r="EEJ1532" s="646"/>
      <c r="EEK1532" s="646"/>
      <c r="EEL1532" s="646"/>
      <c r="EEM1532" s="646"/>
      <c r="EEN1532" s="646"/>
      <c r="EEO1532" s="646"/>
      <c r="EEP1532" s="646"/>
      <c r="EEQ1532" s="646"/>
      <c r="EER1532" s="646"/>
      <c r="EES1532" s="646"/>
      <c r="EET1532" s="646"/>
      <c r="EEU1532" s="646"/>
      <c r="EEV1532" s="646"/>
      <c r="EEW1532" s="646"/>
      <c r="EEX1532" s="646"/>
      <c r="EEY1532" s="646"/>
      <c r="EEZ1532" s="646"/>
      <c r="EFA1532" s="646"/>
      <c r="EFB1532" s="646"/>
      <c r="EFC1532" s="646"/>
      <c r="EFD1532" s="646"/>
      <c r="EFE1532" s="646"/>
      <c r="EFF1532" s="646"/>
      <c r="EFG1532" s="646"/>
      <c r="EFH1532" s="646"/>
      <c r="EFI1532" s="646"/>
      <c r="EFJ1532" s="646"/>
      <c r="EFK1532" s="646"/>
      <c r="EFL1532" s="646"/>
      <c r="EFM1532" s="646"/>
      <c r="EFN1532" s="646"/>
      <c r="EFO1532" s="646"/>
      <c r="EFP1532" s="646"/>
      <c r="EFQ1532" s="646"/>
      <c r="EFR1532" s="646"/>
      <c r="EFS1532" s="646"/>
      <c r="EFT1532" s="646"/>
      <c r="EFU1532" s="646"/>
      <c r="EFV1532" s="646"/>
      <c r="EFW1532" s="646"/>
      <c r="EFX1532" s="646"/>
      <c r="EFY1532" s="646"/>
      <c r="EFZ1532" s="646"/>
      <c r="EGA1532" s="646"/>
      <c r="EGB1532" s="646"/>
      <c r="EGC1532" s="646"/>
      <c r="EGD1532" s="646"/>
      <c r="EGE1532" s="646"/>
      <c r="EGF1532" s="646"/>
      <c r="EGG1532" s="646"/>
      <c r="EGH1532" s="646"/>
      <c r="EGI1532" s="646"/>
      <c r="EGJ1532" s="646"/>
      <c r="EGK1532" s="646"/>
      <c r="EGL1532" s="646"/>
      <c r="EGM1532" s="646"/>
      <c r="EGN1532" s="646"/>
      <c r="EGO1532" s="646"/>
      <c r="EGP1532" s="646"/>
      <c r="EGQ1532" s="646"/>
      <c r="EGR1532" s="646"/>
      <c r="EGS1532" s="646"/>
      <c r="EGT1532" s="646"/>
      <c r="EGU1532" s="646"/>
      <c r="EGV1532" s="646"/>
      <c r="EGW1532" s="646"/>
      <c r="EGX1532" s="646"/>
      <c r="EGY1532" s="646"/>
      <c r="EGZ1532" s="646"/>
      <c r="EHA1532" s="646"/>
      <c r="EHB1532" s="646"/>
      <c r="EHC1532" s="646"/>
      <c r="EHD1532" s="646"/>
      <c r="EHE1532" s="646"/>
      <c r="EHF1532" s="646"/>
      <c r="EHG1532" s="646"/>
      <c r="EHH1532" s="646"/>
      <c r="EHI1532" s="646"/>
      <c r="EHJ1532" s="646"/>
      <c r="EHK1532" s="646"/>
      <c r="EHL1532" s="646"/>
      <c r="EHM1532" s="646"/>
      <c r="EHN1532" s="646"/>
      <c r="EHO1532" s="646"/>
      <c r="EHP1532" s="646"/>
      <c r="EHQ1532" s="646"/>
      <c r="EHR1532" s="646"/>
      <c r="EHS1532" s="646"/>
      <c r="EHT1532" s="646"/>
      <c r="EHU1532" s="646"/>
      <c r="EHV1532" s="646"/>
      <c r="EHW1532" s="646"/>
      <c r="EHX1532" s="646"/>
      <c r="EHY1532" s="646"/>
      <c r="EHZ1532" s="646"/>
      <c r="EIA1532" s="646"/>
      <c r="EIB1532" s="646"/>
      <c r="EIC1532" s="646"/>
      <c r="EID1532" s="646"/>
      <c r="EIE1532" s="646"/>
      <c r="EIF1532" s="646"/>
      <c r="EIG1532" s="646"/>
      <c r="EIH1532" s="646"/>
      <c r="EII1532" s="646"/>
      <c r="EIJ1532" s="646"/>
      <c r="EIK1532" s="646"/>
      <c r="EIL1532" s="646"/>
      <c r="EIM1532" s="646"/>
      <c r="EIN1532" s="646"/>
      <c r="EIO1532" s="646"/>
      <c r="EIP1532" s="646"/>
      <c r="EIQ1532" s="646"/>
      <c r="EIR1532" s="646"/>
      <c r="EIS1532" s="646"/>
      <c r="EIT1532" s="646"/>
      <c r="EIU1532" s="646"/>
      <c r="EIV1532" s="646"/>
      <c r="EIW1532" s="646"/>
      <c r="EIX1532" s="646"/>
      <c r="EIY1532" s="646"/>
      <c r="EIZ1532" s="646"/>
      <c r="EJA1532" s="646"/>
      <c r="EJB1532" s="646"/>
      <c r="EJC1532" s="646"/>
      <c r="EJD1532" s="646"/>
      <c r="EJE1532" s="646"/>
      <c r="EJF1532" s="646"/>
      <c r="EJG1532" s="646"/>
      <c r="EJH1532" s="646"/>
      <c r="EJI1532" s="646"/>
      <c r="EJJ1532" s="646"/>
      <c r="EJK1532" s="646"/>
      <c r="EJL1532" s="646"/>
      <c r="EJM1532" s="646"/>
      <c r="EJN1532" s="646"/>
      <c r="EJO1532" s="646"/>
      <c r="EJP1532" s="646"/>
      <c r="EJQ1532" s="646"/>
      <c r="EJR1532" s="646"/>
      <c r="EJS1532" s="646"/>
      <c r="EJT1532" s="646"/>
      <c r="EJU1532" s="646"/>
      <c r="EJV1532" s="646"/>
      <c r="EJW1532" s="646"/>
      <c r="EJX1532" s="646"/>
      <c r="EJY1532" s="646"/>
      <c r="EJZ1532" s="646"/>
      <c r="EKA1532" s="646"/>
      <c r="EKB1532" s="646"/>
      <c r="EKC1532" s="646"/>
      <c r="EKD1532" s="646"/>
      <c r="EKE1532" s="646"/>
      <c r="EKF1532" s="646"/>
      <c r="EKG1532" s="646"/>
      <c r="EKH1532" s="646"/>
      <c r="EKI1532" s="646"/>
      <c r="EKJ1532" s="646"/>
      <c r="EKK1532" s="646"/>
      <c r="EKL1532" s="646"/>
      <c r="EKM1532" s="646"/>
      <c r="EKN1532" s="646"/>
      <c r="EKO1532" s="646"/>
      <c r="EKP1532" s="646"/>
      <c r="EKQ1532" s="646"/>
      <c r="EKR1532" s="646"/>
      <c r="EKS1532" s="646"/>
      <c r="EKT1532" s="646"/>
      <c r="EKU1532" s="646"/>
      <c r="EKV1532" s="646"/>
      <c r="EKW1532" s="646"/>
      <c r="EKX1532" s="646"/>
      <c r="EKY1532" s="646"/>
      <c r="EKZ1532" s="646"/>
      <c r="ELA1532" s="646"/>
      <c r="ELB1532" s="646"/>
      <c r="ELC1532" s="646"/>
      <c r="ELD1532" s="646"/>
      <c r="ELE1532" s="646"/>
      <c r="ELF1532" s="646"/>
      <c r="ELG1532" s="646"/>
      <c r="ELH1532" s="646"/>
      <c r="ELI1532" s="646"/>
      <c r="ELJ1532" s="646"/>
      <c r="ELK1532" s="646"/>
      <c r="ELL1532" s="646"/>
      <c r="ELM1532" s="646"/>
      <c r="ELN1532" s="646"/>
      <c r="ELO1532" s="646"/>
      <c r="ELP1532" s="646"/>
      <c r="ELQ1532" s="646"/>
      <c r="ELR1532" s="646"/>
      <c r="ELS1532" s="646"/>
      <c r="ELT1532" s="646"/>
      <c r="ELU1532" s="646"/>
      <c r="ELV1532" s="646"/>
      <c r="ELW1532" s="646"/>
      <c r="ELX1532" s="646"/>
      <c r="ELY1532" s="646"/>
      <c r="ELZ1532" s="646"/>
      <c r="EMA1532" s="646"/>
      <c r="EMB1532" s="646"/>
      <c r="EMC1532" s="646"/>
      <c r="EMD1532" s="646"/>
      <c r="EME1532" s="646"/>
      <c r="EMF1532" s="646"/>
      <c r="EMG1532" s="646"/>
      <c r="EMH1532" s="646"/>
      <c r="EMI1532" s="646"/>
      <c r="EMJ1532" s="646"/>
      <c r="EMK1532" s="646"/>
      <c r="EML1532" s="646"/>
      <c r="EMM1532" s="646"/>
      <c r="EMN1532" s="646"/>
      <c r="EMO1532" s="646"/>
      <c r="EMP1532" s="646"/>
      <c r="EMQ1532" s="646"/>
      <c r="EMR1532" s="646"/>
      <c r="EMS1532" s="646"/>
      <c r="EMT1532" s="646"/>
      <c r="EMU1532" s="646"/>
      <c r="EMV1532" s="646"/>
      <c r="EMW1532" s="646"/>
      <c r="EMX1532" s="646"/>
      <c r="EMY1532" s="646"/>
      <c r="EMZ1532" s="646"/>
      <c r="ENA1532" s="646"/>
      <c r="ENB1532" s="646"/>
      <c r="ENC1532" s="646"/>
      <c r="END1532" s="646"/>
      <c r="ENE1532" s="646"/>
      <c r="ENF1532" s="646"/>
      <c r="ENG1532" s="646"/>
      <c r="ENH1532" s="646"/>
      <c r="ENI1532" s="646"/>
      <c r="ENJ1532" s="646"/>
      <c r="ENK1532" s="646"/>
      <c r="ENL1532" s="646"/>
      <c r="ENM1532" s="646"/>
      <c r="ENN1532" s="646"/>
      <c r="ENO1532" s="646"/>
      <c r="ENP1532" s="646"/>
      <c r="ENQ1532" s="646"/>
      <c r="ENR1532" s="646"/>
      <c r="ENS1532" s="646"/>
      <c r="ENT1532" s="646"/>
      <c r="ENU1532" s="646"/>
      <c r="ENV1532" s="646"/>
      <c r="ENW1532" s="646"/>
      <c r="ENX1532" s="646"/>
      <c r="ENY1532" s="646"/>
      <c r="ENZ1532" s="646"/>
      <c r="EOA1532" s="646"/>
      <c r="EOB1532" s="646"/>
      <c r="EOC1532" s="646"/>
      <c r="EOD1532" s="646"/>
      <c r="EOE1532" s="646"/>
      <c r="EOF1532" s="646"/>
      <c r="EOG1532" s="646"/>
      <c r="EOH1532" s="646"/>
      <c r="EOI1532" s="646"/>
      <c r="EOJ1532" s="646"/>
      <c r="EOK1532" s="646"/>
      <c r="EOL1532" s="646"/>
      <c r="EOM1532" s="646"/>
      <c r="EON1532" s="646"/>
      <c r="EOO1532" s="646"/>
      <c r="EOP1532" s="646"/>
      <c r="EOQ1532" s="646"/>
      <c r="EOR1532" s="646"/>
      <c r="EOS1532" s="646"/>
      <c r="EOT1532" s="646"/>
      <c r="EOU1532" s="646"/>
      <c r="EOV1532" s="646"/>
      <c r="EOW1532" s="646"/>
      <c r="EOX1532" s="646"/>
      <c r="EOY1532" s="646"/>
      <c r="EOZ1532" s="646"/>
      <c r="EPA1532" s="646"/>
      <c r="EPB1532" s="646"/>
      <c r="EPC1532" s="646"/>
      <c r="EPD1532" s="646"/>
      <c r="EPE1532" s="646"/>
      <c r="EPF1532" s="646"/>
      <c r="EPG1532" s="646"/>
      <c r="EPH1532" s="646"/>
      <c r="EPI1532" s="646"/>
      <c r="EPJ1532" s="646"/>
      <c r="EPK1532" s="646"/>
      <c r="EPL1532" s="646"/>
      <c r="EPM1532" s="646"/>
      <c r="EPN1532" s="646"/>
      <c r="EPO1532" s="646"/>
      <c r="EPP1532" s="646"/>
      <c r="EPQ1532" s="646"/>
      <c r="EPR1532" s="646"/>
      <c r="EPS1532" s="646"/>
      <c r="EPT1532" s="646"/>
      <c r="EPU1532" s="646"/>
      <c r="EPV1532" s="646"/>
      <c r="EPW1532" s="646"/>
      <c r="EPX1532" s="646"/>
      <c r="EPY1532" s="646"/>
      <c r="EPZ1532" s="646"/>
      <c r="EQA1532" s="646"/>
      <c r="EQB1532" s="646"/>
      <c r="EQC1532" s="646"/>
      <c r="EQD1532" s="646"/>
      <c r="EQE1532" s="646"/>
      <c r="EQF1532" s="646"/>
      <c r="EQG1532" s="646"/>
      <c r="EQH1532" s="646"/>
      <c r="EQI1532" s="646"/>
      <c r="EQJ1532" s="646"/>
      <c r="EQK1532" s="646"/>
      <c r="EQL1532" s="646"/>
      <c r="EQM1532" s="646"/>
      <c r="EQN1532" s="646"/>
      <c r="EQO1532" s="646"/>
      <c r="EQP1532" s="646"/>
      <c r="EQQ1532" s="646"/>
      <c r="EQR1532" s="646"/>
      <c r="EQS1532" s="646"/>
      <c r="EQT1532" s="646"/>
      <c r="EQU1532" s="646"/>
      <c r="EQV1532" s="646"/>
      <c r="EQW1532" s="646"/>
      <c r="EQX1532" s="646"/>
      <c r="EQY1532" s="646"/>
      <c r="EQZ1532" s="646"/>
      <c r="ERA1532" s="646"/>
      <c r="ERB1532" s="646"/>
      <c r="ERC1532" s="646"/>
      <c r="ERD1532" s="646"/>
      <c r="ERE1532" s="646"/>
      <c r="ERF1532" s="646"/>
      <c r="ERG1532" s="646"/>
      <c r="ERH1532" s="646"/>
      <c r="ERI1532" s="646"/>
      <c r="ERJ1532" s="646"/>
      <c r="ERK1532" s="646"/>
      <c r="ERL1532" s="646"/>
      <c r="ERM1532" s="646"/>
      <c r="ERN1532" s="646"/>
      <c r="ERO1532" s="646"/>
      <c r="ERP1532" s="646"/>
      <c r="ERQ1532" s="646"/>
      <c r="ERR1532" s="646"/>
      <c r="ERS1532" s="646"/>
      <c r="ERT1532" s="646"/>
      <c r="ERU1532" s="646"/>
      <c r="ERV1532" s="646"/>
      <c r="ERW1532" s="646"/>
      <c r="ERX1532" s="646"/>
      <c r="ERY1532" s="646"/>
      <c r="ERZ1532" s="646"/>
      <c r="ESA1532" s="646"/>
      <c r="ESB1532" s="646"/>
      <c r="ESC1532" s="646"/>
      <c r="ESD1532" s="646"/>
      <c r="ESE1532" s="646"/>
      <c r="ESF1532" s="646"/>
      <c r="ESG1532" s="646"/>
      <c r="ESH1532" s="646"/>
      <c r="ESI1532" s="646"/>
      <c r="ESJ1532" s="646"/>
      <c r="ESK1532" s="646"/>
      <c r="ESL1532" s="646"/>
      <c r="ESM1532" s="646"/>
      <c r="ESN1532" s="646"/>
      <c r="ESO1532" s="646"/>
      <c r="ESP1532" s="646"/>
      <c r="ESQ1532" s="646"/>
      <c r="ESR1532" s="646"/>
      <c r="ESS1532" s="646"/>
      <c r="EST1532" s="646"/>
      <c r="ESU1532" s="646"/>
      <c r="ESV1532" s="646"/>
      <c r="ESW1532" s="646"/>
      <c r="ESX1532" s="646"/>
      <c r="ESY1532" s="646"/>
      <c r="ESZ1532" s="646"/>
      <c r="ETA1532" s="646"/>
      <c r="ETB1532" s="646"/>
      <c r="ETC1532" s="646"/>
      <c r="ETD1532" s="646"/>
      <c r="ETE1532" s="646"/>
      <c r="ETF1532" s="646"/>
      <c r="ETG1532" s="646"/>
      <c r="ETH1532" s="646"/>
      <c r="ETI1532" s="646"/>
      <c r="ETJ1532" s="646"/>
      <c r="ETK1532" s="646"/>
      <c r="ETL1532" s="646"/>
      <c r="ETM1532" s="646"/>
      <c r="ETN1532" s="646"/>
      <c r="ETO1532" s="646"/>
      <c r="ETP1532" s="646"/>
      <c r="ETQ1532" s="646"/>
      <c r="ETR1532" s="646"/>
      <c r="ETS1532" s="646"/>
      <c r="ETT1532" s="646"/>
      <c r="ETU1532" s="646"/>
      <c r="ETV1532" s="646"/>
      <c r="ETW1532" s="646"/>
      <c r="ETX1532" s="646"/>
      <c r="ETY1532" s="646"/>
      <c r="ETZ1532" s="646"/>
      <c r="EUA1532" s="646"/>
      <c r="EUB1532" s="646"/>
      <c r="EUC1532" s="646"/>
      <c r="EUD1532" s="646"/>
      <c r="EUE1532" s="646"/>
      <c r="EUF1532" s="646"/>
      <c r="EUG1532" s="646"/>
      <c r="EUH1532" s="646"/>
      <c r="EUI1532" s="646"/>
      <c r="EUJ1532" s="646"/>
      <c r="EUK1532" s="646"/>
      <c r="EUL1532" s="646"/>
      <c r="EUM1532" s="646"/>
      <c r="EUN1532" s="646"/>
      <c r="EUO1532" s="646"/>
      <c r="EUP1532" s="646"/>
      <c r="EUQ1532" s="646"/>
      <c r="EUR1532" s="646"/>
      <c r="EUS1532" s="646"/>
      <c r="EUT1532" s="646"/>
      <c r="EUU1532" s="646"/>
      <c r="EUV1532" s="646"/>
      <c r="EUW1532" s="646"/>
      <c r="EUX1532" s="646"/>
      <c r="EUY1532" s="646"/>
      <c r="EUZ1532" s="646"/>
      <c r="EVA1532" s="646"/>
      <c r="EVB1532" s="646"/>
      <c r="EVC1532" s="646"/>
      <c r="EVD1532" s="646"/>
      <c r="EVE1532" s="646"/>
      <c r="EVF1532" s="646"/>
      <c r="EVG1532" s="646"/>
      <c r="EVH1532" s="646"/>
      <c r="EVI1532" s="646"/>
      <c r="EVJ1532" s="646"/>
      <c r="EVK1532" s="646"/>
      <c r="EVL1532" s="646"/>
      <c r="EVM1532" s="646"/>
      <c r="EVN1532" s="646"/>
      <c r="EVO1532" s="646"/>
      <c r="EVP1532" s="646"/>
      <c r="EVQ1532" s="646"/>
      <c r="EVR1532" s="646"/>
      <c r="EVS1532" s="646"/>
      <c r="EVT1532" s="646"/>
      <c r="EVU1532" s="646"/>
      <c r="EVV1532" s="646"/>
      <c r="EVW1532" s="646"/>
      <c r="EVX1532" s="646"/>
      <c r="EVY1532" s="646"/>
      <c r="EVZ1532" s="646"/>
      <c r="EWA1532" s="646"/>
      <c r="EWB1532" s="646"/>
      <c r="EWC1532" s="646"/>
      <c r="EWD1532" s="646"/>
      <c r="EWE1532" s="646"/>
      <c r="EWF1532" s="646"/>
      <c r="EWG1532" s="646"/>
      <c r="EWH1532" s="646"/>
      <c r="EWI1532" s="646"/>
      <c r="EWJ1532" s="646"/>
      <c r="EWK1532" s="646"/>
      <c r="EWL1532" s="646"/>
      <c r="EWM1532" s="646"/>
      <c r="EWN1532" s="646"/>
      <c r="EWO1532" s="646"/>
      <c r="EWP1532" s="646"/>
      <c r="EWQ1532" s="646"/>
      <c r="EWR1532" s="646"/>
      <c r="EWS1532" s="646"/>
      <c r="EWT1532" s="646"/>
      <c r="EWU1532" s="646"/>
      <c r="EWV1532" s="646"/>
      <c r="EWW1532" s="646"/>
      <c r="EWX1532" s="646"/>
      <c r="EWY1532" s="646"/>
      <c r="EWZ1532" s="646"/>
      <c r="EXA1532" s="646"/>
      <c r="EXB1532" s="646"/>
      <c r="EXC1532" s="646"/>
      <c r="EXD1532" s="646"/>
      <c r="EXE1532" s="646"/>
      <c r="EXF1532" s="646"/>
      <c r="EXG1532" s="646"/>
      <c r="EXH1532" s="646"/>
      <c r="EXI1532" s="646"/>
      <c r="EXJ1532" s="646"/>
      <c r="EXK1532" s="646"/>
      <c r="EXL1532" s="646"/>
      <c r="EXM1532" s="646"/>
      <c r="EXN1532" s="646"/>
      <c r="EXO1532" s="646"/>
      <c r="EXP1532" s="646"/>
      <c r="EXQ1532" s="646"/>
      <c r="EXR1532" s="646"/>
      <c r="EXS1532" s="646"/>
      <c r="EXT1532" s="646"/>
      <c r="EXU1532" s="646"/>
      <c r="EXV1532" s="646"/>
      <c r="EXW1532" s="646"/>
      <c r="EXX1532" s="646"/>
      <c r="EXY1532" s="646"/>
      <c r="EXZ1532" s="646"/>
      <c r="EYA1532" s="646"/>
      <c r="EYB1532" s="646"/>
      <c r="EYC1532" s="646"/>
      <c r="EYD1532" s="646"/>
      <c r="EYE1532" s="646"/>
      <c r="EYF1532" s="646"/>
      <c r="EYG1532" s="646"/>
      <c r="EYH1532" s="646"/>
      <c r="EYI1532" s="646"/>
      <c r="EYJ1532" s="646"/>
      <c r="EYK1532" s="646"/>
      <c r="EYL1532" s="646"/>
      <c r="EYM1532" s="646"/>
      <c r="EYN1532" s="646"/>
      <c r="EYO1532" s="646"/>
      <c r="EYP1532" s="646"/>
      <c r="EYQ1532" s="646"/>
      <c r="EYR1532" s="646"/>
      <c r="EYS1532" s="646"/>
      <c r="EYT1532" s="646"/>
      <c r="EYU1532" s="646"/>
      <c r="EYV1532" s="646"/>
      <c r="EYW1532" s="646"/>
      <c r="EYX1532" s="646"/>
      <c r="EYY1532" s="646"/>
      <c r="EYZ1532" s="646"/>
      <c r="EZA1532" s="646"/>
      <c r="EZB1532" s="646"/>
      <c r="EZC1532" s="646"/>
      <c r="EZD1532" s="646"/>
      <c r="EZE1532" s="646"/>
      <c r="EZF1532" s="646"/>
      <c r="EZG1532" s="646"/>
      <c r="EZH1532" s="646"/>
      <c r="EZI1532" s="646"/>
      <c r="EZJ1532" s="646"/>
      <c r="EZK1532" s="646"/>
      <c r="EZL1532" s="646"/>
      <c r="EZM1532" s="646"/>
      <c r="EZN1532" s="646"/>
      <c r="EZO1532" s="646"/>
      <c r="EZP1532" s="646"/>
      <c r="EZQ1532" s="646"/>
      <c r="EZR1532" s="646"/>
      <c r="EZS1532" s="646"/>
      <c r="EZT1532" s="646"/>
      <c r="EZU1532" s="646"/>
      <c r="EZV1532" s="646"/>
      <c r="EZW1532" s="646"/>
      <c r="EZX1532" s="646"/>
      <c r="EZY1532" s="646"/>
      <c r="EZZ1532" s="646"/>
      <c r="FAA1532" s="646"/>
      <c r="FAB1532" s="646"/>
      <c r="FAC1532" s="646"/>
      <c r="FAD1532" s="646"/>
      <c r="FAE1532" s="646"/>
      <c r="FAF1532" s="646"/>
      <c r="FAG1532" s="646"/>
      <c r="FAH1532" s="646"/>
      <c r="FAI1532" s="646"/>
      <c r="FAJ1532" s="646"/>
      <c r="FAK1532" s="646"/>
      <c r="FAL1532" s="646"/>
      <c r="FAM1532" s="646"/>
      <c r="FAN1532" s="646"/>
      <c r="FAO1532" s="646"/>
      <c r="FAP1532" s="646"/>
      <c r="FAQ1532" s="646"/>
      <c r="FAR1532" s="646"/>
      <c r="FAS1532" s="646"/>
      <c r="FAT1532" s="646"/>
      <c r="FAU1532" s="646"/>
      <c r="FAV1532" s="646"/>
      <c r="FAW1532" s="646"/>
      <c r="FAX1532" s="646"/>
      <c r="FAY1532" s="646"/>
      <c r="FAZ1532" s="646"/>
      <c r="FBA1532" s="646"/>
      <c r="FBB1532" s="646"/>
      <c r="FBC1532" s="646"/>
      <c r="FBD1532" s="646"/>
      <c r="FBE1532" s="646"/>
      <c r="FBF1532" s="646"/>
      <c r="FBG1532" s="646"/>
      <c r="FBH1532" s="646"/>
      <c r="FBI1532" s="646"/>
      <c r="FBJ1532" s="646"/>
      <c r="FBK1532" s="646"/>
      <c r="FBL1532" s="646"/>
      <c r="FBM1532" s="646"/>
      <c r="FBN1532" s="646"/>
      <c r="FBO1532" s="646"/>
      <c r="FBP1532" s="646"/>
      <c r="FBQ1532" s="646"/>
      <c r="FBR1532" s="646"/>
      <c r="FBS1532" s="646"/>
      <c r="FBT1532" s="646"/>
      <c r="FBU1532" s="646"/>
      <c r="FBV1532" s="646"/>
      <c r="FBW1532" s="646"/>
      <c r="FBX1532" s="646"/>
      <c r="FBY1532" s="646"/>
      <c r="FBZ1532" s="646"/>
      <c r="FCA1532" s="646"/>
      <c r="FCB1532" s="646"/>
      <c r="FCC1532" s="646"/>
      <c r="FCD1532" s="646"/>
      <c r="FCE1532" s="646"/>
      <c r="FCF1532" s="646"/>
      <c r="FCG1532" s="646"/>
      <c r="FCH1532" s="646"/>
      <c r="FCI1532" s="646"/>
      <c r="FCJ1532" s="646"/>
      <c r="FCK1532" s="646"/>
      <c r="FCL1532" s="646"/>
      <c r="FCM1532" s="646"/>
      <c r="FCN1532" s="646"/>
      <c r="FCO1532" s="646"/>
      <c r="FCP1532" s="646"/>
      <c r="FCQ1532" s="646"/>
      <c r="FCR1532" s="646"/>
      <c r="FCS1532" s="646"/>
      <c r="FCT1532" s="646"/>
      <c r="FCU1532" s="646"/>
      <c r="FCV1532" s="646"/>
      <c r="FCW1532" s="646"/>
      <c r="FCX1532" s="646"/>
      <c r="FCY1532" s="646"/>
      <c r="FCZ1532" s="646"/>
      <c r="FDA1532" s="646"/>
      <c r="FDB1532" s="646"/>
      <c r="FDC1532" s="646"/>
      <c r="FDD1532" s="646"/>
      <c r="FDE1532" s="646"/>
      <c r="FDF1532" s="646"/>
      <c r="FDG1532" s="646"/>
      <c r="FDH1532" s="646"/>
      <c r="FDI1532" s="646"/>
      <c r="FDJ1532" s="646"/>
      <c r="FDK1532" s="646"/>
      <c r="FDL1532" s="646"/>
      <c r="FDM1532" s="646"/>
      <c r="FDN1532" s="646"/>
      <c r="FDO1532" s="646"/>
      <c r="FDP1532" s="646"/>
      <c r="FDQ1532" s="646"/>
      <c r="FDR1532" s="646"/>
      <c r="FDS1532" s="646"/>
      <c r="FDT1532" s="646"/>
      <c r="FDU1532" s="646"/>
      <c r="FDV1532" s="646"/>
      <c r="FDW1532" s="646"/>
      <c r="FDX1532" s="646"/>
      <c r="FDY1532" s="646"/>
      <c r="FDZ1532" s="646"/>
      <c r="FEA1532" s="646"/>
      <c r="FEB1532" s="646"/>
      <c r="FEC1532" s="646"/>
      <c r="FED1532" s="646"/>
      <c r="FEE1532" s="646"/>
      <c r="FEF1532" s="646"/>
      <c r="FEG1532" s="646"/>
      <c r="FEH1532" s="646"/>
      <c r="FEI1532" s="646"/>
      <c r="FEJ1532" s="646"/>
      <c r="FEK1532" s="646"/>
      <c r="FEL1532" s="646"/>
      <c r="FEM1532" s="646"/>
      <c r="FEN1532" s="646"/>
      <c r="FEO1532" s="646"/>
      <c r="FEP1532" s="646"/>
      <c r="FEQ1532" s="646"/>
      <c r="FER1532" s="646"/>
      <c r="FES1532" s="646"/>
      <c r="FET1532" s="646"/>
      <c r="FEU1532" s="646"/>
      <c r="FEV1532" s="646"/>
      <c r="FEW1532" s="646"/>
      <c r="FEX1532" s="646"/>
      <c r="FEY1532" s="646"/>
      <c r="FEZ1532" s="646"/>
      <c r="FFA1532" s="646"/>
      <c r="FFB1532" s="646"/>
      <c r="FFC1532" s="646"/>
      <c r="FFD1532" s="646"/>
      <c r="FFE1532" s="646"/>
      <c r="FFF1532" s="646"/>
      <c r="FFG1532" s="646"/>
      <c r="FFH1532" s="646"/>
      <c r="FFI1532" s="646"/>
      <c r="FFJ1532" s="646"/>
      <c r="FFK1532" s="646"/>
      <c r="FFL1532" s="646"/>
      <c r="FFM1532" s="646"/>
      <c r="FFN1532" s="646"/>
      <c r="FFO1532" s="646"/>
      <c r="FFP1532" s="646"/>
      <c r="FFQ1532" s="646"/>
      <c r="FFR1532" s="646"/>
      <c r="FFS1532" s="646"/>
      <c r="FFT1532" s="646"/>
      <c r="FFU1532" s="646"/>
      <c r="FFV1532" s="646"/>
      <c r="FFW1532" s="646"/>
      <c r="FFX1532" s="646"/>
      <c r="FFY1532" s="646"/>
      <c r="FFZ1532" s="646"/>
      <c r="FGA1532" s="646"/>
      <c r="FGB1532" s="646"/>
      <c r="FGC1532" s="646"/>
      <c r="FGD1532" s="646"/>
      <c r="FGE1532" s="646"/>
      <c r="FGF1532" s="646"/>
      <c r="FGG1532" s="646"/>
      <c r="FGH1532" s="646"/>
      <c r="FGI1532" s="646"/>
      <c r="FGJ1532" s="646"/>
      <c r="FGK1532" s="646"/>
      <c r="FGL1532" s="646"/>
      <c r="FGM1532" s="646"/>
      <c r="FGN1532" s="646"/>
      <c r="FGO1532" s="646"/>
      <c r="FGP1532" s="646"/>
      <c r="FGQ1532" s="646"/>
      <c r="FGR1532" s="646"/>
      <c r="FGS1532" s="646"/>
      <c r="FGT1532" s="646"/>
      <c r="FGU1532" s="646"/>
      <c r="FGV1532" s="646"/>
      <c r="FGW1532" s="646"/>
      <c r="FGX1532" s="646"/>
      <c r="FGY1532" s="646"/>
      <c r="FGZ1532" s="646"/>
      <c r="FHA1532" s="646"/>
      <c r="FHB1532" s="646"/>
      <c r="FHC1532" s="646"/>
      <c r="FHD1532" s="646"/>
      <c r="FHE1532" s="646"/>
      <c r="FHF1532" s="646"/>
      <c r="FHG1532" s="646"/>
      <c r="FHH1532" s="646"/>
      <c r="FHI1532" s="646"/>
      <c r="FHJ1532" s="646"/>
      <c r="FHK1532" s="646"/>
      <c r="FHL1532" s="646"/>
      <c r="FHM1532" s="646"/>
      <c r="FHN1532" s="646"/>
      <c r="FHO1532" s="646"/>
      <c r="FHP1532" s="646"/>
      <c r="FHQ1532" s="646"/>
      <c r="FHR1532" s="646"/>
      <c r="FHS1532" s="646"/>
      <c r="FHT1532" s="646"/>
      <c r="FHU1532" s="646"/>
      <c r="FHV1532" s="646"/>
      <c r="FHW1532" s="646"/>
      <c r="FHX1532" s="646"/>
      <c r="FHY1532" s="646"/>
      <c r="FHZ1532" s="646"/>
      <c r="FIA1532" s="646"/>
      <c r="FIB1532" s="646"/>
      <c r="FIC1532" s="646"/>
      <c r="FID1532" s="646"/>
      <c r="FIE1532" s="646"/>
      <c r="FIF1532" s="646"/>
      <c r="FIG1532" s="646"/>
      <c r="FIH1532" s="646"/>
      <c r="FII1532" s="646"/>
      <c r="FIJ1532" s="646"/>
      <c r="FIK1532" s="646"/>
      <c r="FIL1532" s="646"/>
      <c r="FIM1532" s="646"/>
      <c r="FIN1532" s="646"/>
      <c r="FIO1532" s="646"/>
      <c r="FIP1532" s="646"/>
      <c r="FIQ1532" s="646"/>
      <c r="FIR1532" s="646"/>
      <c r="FIS1532" s="646"/>
      <c r="FIT1532" s="646"/>
      <c r="FIU1532" s="646"/>
      <c r="FIV1532" s="646"/>
      <c r="FIW1532" s="646"/>
      <c r="FIX1532" s="646"/>
      <c r="FIY1532" s="646"/>
      <c r="FIZ1532" s="646"/>
      <c r="FJA1532" s="646"/>
      <c r="FJB1532" s="646"/>
      <c r="FJC1532" s="646"/>
      <c r="FJD1532" s="646"/>
      <c r="FJE1532" s="646"/>
      <c r="FJF1532" s="646"/>
      <c r="FJG1532" s="646"/>
      <c r="FJH1532" s="646"/>
      <c r="FJI1532" s="646"/>
      <c r="FJJ1532" s="646"/>
      <c r="FJK1532" s="646"/>
      <c r="FJL1532" s="646"/>
      <c r="FJM1532" s="646"/>
      <c r="FJN1532" s="646"/>
      <c r="FJO1532" s="646"/>
      <c r="FJP1532" s="646"/>
      <c r="FJQ1532" s="646"/>
      <c r="FJR1532" s="646"/>
      <c r="FJS1532" s="646"/>
      <c r="FJT1532" s="646"/>
      <c r="FJU1532" s="646"/>
      <c r="FJV1532" s="646"/>
      <c r="FJW1532" s="646"/>
      <c r="FJX1532" s="646"/>
      <c r="FJY1532" s="646"/>
      <c r="FJZ1532" s="646"/>
      <c r="FKA1532" s="646"/>
      <c r="FKB1532" s="646"/>
      <c r="FKC1532" s="646"/>
      <c r="FKD1532" s="646"/>
      <c r="FKE1532" s="646"/>
      <c r="FKF1532" s="646"/>
      <c r="FKG1532" s="646"/>
      <c r="FKH1532" s="646"/>
      <c r="FKI1532" s="646"/>
      <c r="FKJ1532" s="646"/>
      <c r="FKK1532" s="646"/>
      <c r="FKL1532" s="646"/>
      <c r="FKM1532" s="646"/>
      <c r="FKN1532" s="646"/>
      <c r="FKO1532" s="646"/>
      <c r="FKP1532" s="646"/>
      <c r="FKQ1532" s="646"/>
      <c r="FKR1532" s="646"/>
      <c r="FKS1532" s="646"/>
      <c r="FKT1532" s="646"/>
      <c r="FKU1532" s="646"/>
      <c r="FKV1532" s="646"/>
      <c r="FKW1532" s="646"/>
      <c r="FKX1532" s="646"/>
      <c r="FKY1532" s="646"/>
      <c r="FKZ1532" s="646"/>
      <c r="FLA1532" s="646"/>
      <c r="FLB1532" s="646"/>
      <c r="FLC1532" s="646"/>
      <c r="FLD1532" s="646"/>
      <c r="FLE1532" s="646"/>
      <c r="FLF1532" s="646"/>
      <c r="FLG1532" s="646"/>
      <c r="FLH1532" s="646"/>
      <c r="FLI1532" s="646"/>
      <c r="FLJ1532" s="646"/>
      <c r="FLK1532" s="646"/>
      <c r="FLL1532" s="646"/>
      <c r="FLM1532" s="646"/>
      <c r="FLN1532" s="646"/>
      <c r="FLO1532" s="646"/>
      <c r="FLP1532" s="646"/>
      <c r="FLQ1532" s="646"/>
      <c r="FLR1532" s="646"/>
      <c r="FLS1532" s="646"/>
      <c r="FLT1532" s="646"/>
      <c r="FLU1532" s="646"/>
      <c r="FLV1532" s="646"/>
      <c r="FLW1532" s="646"/>
      <c r="FLX1532" s="646"/>
      <c r="FLY1532" s="646"/>
      <c r="FLZ1532" s="646"/>
      <c r="FMA1532" s="646"/>
      <c r="FMB1532" s="646"/>
      <c r="FMC1532" s="646"/>
      <c r="FMD1532" s="646"/>
      <c r="FME1532" s="646"/>
      <c r="FMF1532" s="646"/>
      <c r="FMG1532" s="646"/>
      <c r="FMH1532" s="646"/>
      <c r="FMI1532" s="646"/>
      <c r="FMJ1532" s="646"/>
      <c r="FMK1532" s="646"/>
      <c r="FML1532" s="646"/>
      <c r="FMM1532" s="646"/>
      <c r="FMN1532" s="646"/>
      <c r="FMO1532" s="646"/>
      <c r="FMP1532" s="646"/>
      <c r="FMQ1532" s="646"/>
      <c r="FMR1532" s="646"/>
      <c r="FMS1532" s="646"/>
      <c r="FMT1532" s="646"/>
      <c r="FMU1532" s="646"/>
      <c r="FMV1532" s="646"/>
      <c r="FMW1532" s="646"/>
      <c r="FMX1532" s="646"/>
      <c r="FMY1532" s="646"/>
      <c r="FMZ1532" s="646"/>
      <c r="FNA1532" s="646"/>
      <c r="FNB1532" s="646"/>
      <c r="FNC1532" s="646"/>
      <c r="FND1532" s="646"/>
      <c r="FNE1532" s="646"/>
      <c r="FNF1532" s="646"/>
      <c r="FNG1532" s="646"/>
      <c r="FNH1532" s="646"/>
      <c r="FNI1532" s="646"/>
      <c r="FNJ1532" s="646"/>
      <c r="FNK1532" s="646"/>
      <c r="FNL1532" s="646"/>
      <c r="FNM1532" s="646"/>
      <c r="FNN1532" s="646"/>
      <c r="FNO1532" s="646"/>
      <c r="FNP1532" s="646"/>
      <c r="FNQ1532" s="646"/>
      <c r="FNR1532" s="646"/>
      <c r="FNS1532" s="646"/>
      <c r="FNT1532" s="646"/>
      <c r="FNU1532" s="646"/>
      <c r="FNV1532" s="646"/>
      <c r="FNW1532" s="646"/>
      <c r="FNX1532" s="646"/>
      <c r="FNY1532" s="646"/>
      <c r="FNZ1532" s="646"/>
      <c r="FOA1532" s="646"/>
      <c r="FOB1532" s="646"/>
      <c r="FOC1532" s="646"/>
      <c r="FOD1532" s="646"/>
      <c r="FOE1532" s="646"/>
      <c r="FOF1532" s="646"/>
      <c r="FOG1532" s="646"/>
      <c r="FOH1532" s="646"/>
      <c r="FOI1532" s="646"/>
      <c r="FOJ1532" s="646"/>
      <c r="FOK1532" s="646"/>
      <c r="FOL1532" s="646"/>
      <c r="FOM1532" s="646"/>
      <c r="FON1532" s="646"/>
      <c r="FOO1532" s="646"/>
      <c r="FOP1532" s="646"/>
      <c r="FOQ1532" s="646"/>
      <c r="FOR1532" s="646"/>
      <c r="FOS1532" s="646"/>
      <c r="FOT1532" s="646"/>
      <c r="FOU1532" s="646"/>
      <c r="FOV1532" s="646"/>
      <c r="FOW1532" s="646"/>
      <c r="FOX1532" s="646"/>
      <c r="FOY1532" s="646"/>
      <c r="FOZ1532" s="646"/>
      <c r="FPA1532" s="646"/>
      <c r="FPB1532" s="646"/>
      <c r="FPC1532" s="646"/>
      <c r="FPD1532" s="646"/>
      <c r="FPE1532" s="646"/>
      <c r="FPF1532" s="646"/>
      <c r="FPG1532" s="646"/>
      <c r="FPH1532" s="646"/>
      <c r="FPI1532" s="646"/>
      <c r="FPJ1532" s="646"/>
      <c r="FPK1532" s="646"/>
      <c r="FPL1532" s="646"/>
      <c r="FPM1532" s="646"/>
      <c r="FPN1532" s="646"/>
      <c r="FPO1532" s="646"/>
      <c r="FPP1532" s="646"/>
      <c r="FPQ1532" s="646"/>
      <c r="FPR1532" s="646"/>
      <c r="FPS1532" s="646"/>
      <c r="FPT1532" s="646"/>
      <c r="FPU1532" s="646"/>
      <c r="FPV1532" s="646"/>
      <c r="FPW1532" s="646"/>
      <c r="FPX1532" s="646"/>
      <c r="FPY1532" s="646"/>
      <c r="FPZ1532" s="646"/>
      <c r="FQA1532" s="646"/>
      <c r="FQB1532" s="646"/>
      <c r="FQC1532" s="646"/>
      <c r="FQD1532" s="646"/>
      <c r="FQE1532" s="646"/>
      <c r="FQF1532" s="646"/>
      <c r="FQG1532" s="646"/>
      <c r="FQH1532" s="646"/>
      <c r="FQI1532" s="646"/>
      <c r="FQJ1532" s="646"/>
      <c r="FQK1532" s="646"/>
      <c r="FQL1532" s="646"/>
      <c r="FQM1532" s="646"/>
      <c r="FQN1532" s="646"/>
      <c r="FQO1532" s="646"/>
      <c r="FQP1532" s="646"/>
      <c r="FQQ1532" s="646"/>
      <c r="FQR1532" s="646"/>
      <c r="FQS1532" s="646"/>
      <c r="FQT1532" s="646"/>
      <c r="FQU1532" s="646"/>
      <c r="FQV1532" s="646"/>
      <c r="FQW1532" s="646"/>
      <c r="FQX1532" s="646"/>
      <c r="FQY1532" s="646"/>
      <c r="FQZ1532" s="646"/>
      <c r="FRA1532" s="646"/>
      <c r="FRB1532" s="646"/>
      <c r="FRC1532" s="646"/>
      <c r="FRD1532" s="646"/>
      <c r="FRE1532" s="646"/>
      <c r="FRF1532" s="646"/>
      <c r="FRG1532" s="646"/>
      <c r="FRH1532" s="646"/>
      <c r="FRI1532" s="646"/>
      <c r="FRJ1532" s="646"/>
      <c r="FRK1532" s="646"/>
      <c r="FRL1532" s="646"/>
      <c r="FRM1532" s="646"/>
      <c r="FRN1532" s="646"/>
      <c r="FRO1532" s="646"/>
      <c r="FRP1532" s="646"/>
      <c r="FRQ1532" s="646"/>
      <c r="FRR1532" s="646"/>
      <c r="FRS1532" s="646"/>
      <c r="FRT1532" s="646"/>
      <c r="FRU1532" s="646"/>
      <c r="FRV1532" s="646"/>
      <c r="FRW1532" s="646"/>
      <c r="FRX1532" s="646"/>
      <c r="FRY1532" s="646"/>
      <c r="FRZ1532" s="646"/>
      <c r="FSA1532" s="646"/>
      <c r="FSB1532" s="646"/>
      <c r="FSC1532" s="646"/>
      <c r="FSD1532" s="646"/>
      <c r="FSE1532" s="646"/>
      <c r="FSF1532" s="646"/>
      <c r="FSG1532" s="646"/>
      <c r="FSH1532" s="646"/>
      <c r="FSI1532" s="646"/>
      <c r="FSJ1532" s="646"/>
      <c r="FSK1532" s="646"/>
      <c r="FSL1532" s="646"/>
      <c r="FSM1532" s="646"/>
      <c r="FSN1532" s="646"/>
      <c r="FSO1532" s="646"/>
      <c r="FSP1532" s="646"/>
      <c r="FSQ1532" s="646"/>
      <c r="FSR1532" s="646"/>
      <c r="FSS1532" s="646"/>
      <c r="FST1532" s="646"/>
      <c r="FSU1532" s="646"/>
      <c r="FSV1532" s="646"/>
      <c r="FSW1532" s="646"/>
      <c r="FSX1532" s="646"/>
      <c r="FSY1532" s="646"/>
      <c r="FSZ1532" s="646"/>
      <c r="FTA1532" s="646"/>
      <c r="FTB1532" s="646"/>
      <c r="FTC1532" s="646"/>
      <c r="FTD1532" s="646"/>
      <c r="FTE1532" s="646"/>
      <c r="FTF1532" s="646"/>
      <c r="FTG1532" s="646"/>
      <c r="FTH1532" s="646"/>
      <c r="FTI1532" s="646"/>
      <c r="FTJ1532" s="646"/>
      <c r="FTK1532" s="646"/>
      <c r="FTL1532" s="646"/>
      <c r="FTM1532" s="646"/>
      <c r="FTN1532" s="646"/>
      <c r="FTO1532" s="646"/>
      <c r="FTP1532" s="646"/>
      <c r="FTQ1532" s="646"/>
      <c r="FTR1532" s="646"/>
      <c r="FTS1532" s="646"/>
      <c r="FTT1532" s="646"/>
      <c r="FTU1532" s="646"/>
      <c r="FTV1532" s="646"/>
      <c r="FTW1532" s="646"/>
      <c r="FTX1532" s="646"/>
      <c r="FTY1532" s="646"/>
      <c r="FTZ1532" s="646"/>
      <c r="FUA1532" s="646"/>
      <c r="FUB1532" s="646"/>
      <c r="FUC1532" s="646"/>
      <c r="FUD1532" s="646"/>
      <c r="FUE1532" s="646"/>
      <c r="FUF1532" s="646"/>
      <c r="FUG1532" s="646"/>
      <c r="FUH1532" s="646"/>
      <c r="FUI1532" s="646"/>
      <c r="FUJ1532" s="646"/>
      <c r="FUK1532" s="646"/>
      <c r="FUL1532" s="646"/>
      <c r="FUM1532" s="646"/>
      <c r="FUN1532" s="646"/>
      <c r="FUO1532" s="646"/>
      <c r="FUP1532" s="646"/>
      <c r="FUQ1532" s="646"/>
      <c r="FUR1532" s="646"/>
      <c r="FUS1532" s="646"/>
      <c r="FUT1532" s="646"/>
      <c r="FUU1532" s="646"/>
      <c r="FUV1532" s="646"/>
      <c r="FUW1532" s="646"/>
      <c r="FUX1532" s="646"/>
      <c r="FUY1532" s="646"/>
      <c r="FUZ1532" s="646"/>
      <c r="FVA1532" s="646"/>
      <c r="FVB1532" s="646"/>
      <c r="FVC1532" s="646"/>
      <c r="FVD1532" s="646"/>
      <c r="FVE1532" s="646"/>
      <c r="FVF1532" s="646"/>
      <c r="FVG1532" s="646"/>
      <c r="FVH1532" s="646"/>
      <c r="FVI1532" s="646"/>
      <c r="FVJ1532" s="646"/>
      <c r="FVK1532" s="646"/>
      <c r="FVL1532" s="646"/>
      <c r="FVM1532" s="646"/>
      <c r="FVN1532" s="646"/>
      <c r="FVO1532" s="646"/>
      <c r="FVP1532" s="646"/>
      <c r="FVQ1532" s="646"/>
      <c r="FVR1532" s="646"/>
      <c r="FVS1532" s="646"/>
      <c r="FVT1532" s="646"/>
      <c r="FVU1532" s="646"/>
      <c r="FVV1532" s="646"/>
      <c r="FVW1532" s="646"/>
      <c r="FVX1532" s="646"/>
      <c r="FVY1532" s="646"/>
      <c r="FVZ1532" s="646"/>
      <c r="FWA1532" s="646"/>
      <c r="FWB1532" s="646"/>
      <c r="FWC1532" s="646"/>
      <c r="FWD1532" s="646"/>
      <c r="FWE1532" s="646"/>
      <c r="FWF1532" s="646"/>
      <c r="FWG1532" s="646"/>
      <c r="FWH1532" s="646"/>
      <c r="FWI1532" s="646"/>
      <c r="FWJ1532" s="646"/>
      <c r="FWK1532" s="646"/>
      <c r="FWL1532" s="646"/>
      <c r="FWM1532" s="646"/>
      <c r="FWN1532" s="646"/>
      <c r="FWO1532" s="646"/>
      <c r="FWP1532" s="646"/>
      <c r="FWQ1532" s="646"/>
      <c r="FWR1532" s="646"/>
      <c r="FWS1532" s="646"/>
      <c r="FWT1532" s="646"/>
      <c r="FWU1532" s="646"/>
      <c r="FWV1532" s="646"/>
      <c r="FWW1532" s="646"/>
      <c r="FWX1532" s="646"/>
      <c r="FWY1532" s="646"/>
      <c r="FWZ1532" s="646"/>
      <c r="FXA1532" s="646"/>
      <c r="FXB1532" s="646"/>
      <c r="FXC1532" s="646"/>
      <c r="FXD1532" s="646"/>
      <c r="FXE1532" s="646"/>
      <c r="FXF1532" s="646"/>
      <c r="FXG1532" s="646"/>
      <c r="FXH1532" s="646"/>
      <c r="FXI1532" s="646"/>
      <c r="FXJ1532" s="646"/>
      <c r="FXK1532" s="646"/>
      <c r="FXL1532" s="646"/>
      <c r="FXM1532" s="646"/>
      <c r="FXN1532" s="646"/>
      <c r="FXO1532" s="646"/>
      <c r="FXP1532" s="646"/>
      <c r="FXQ1532" s="646"/>
      <c r="FXR1532" s="646"/>
      <c r="FXS1532" s="646"/>
      <c r="FXT1532" s="646"/>
      <c r="FXU1532" s="646"/>
      <c r="FXV1532" s="646"/>
      <c r="FXW1532" s="646"/>
      <c r="FXX1532" s="646"/>
      <c r="FXY1532" s="646"/>
      <c r="FXZ1532" s="646"/>
      <c r="FYA1532" s="646"/>
      <c r="FYB1532" s="646"/>
      <c r="FYC1532" s="646"/>
      <c r="FYD1532" s="646"/>
      <c r="FYE1532" s="646"/>
      <c r="FYF1532" s="646"/>
      <c r="FYG1532" s="646"/>
      <c r="FYH1532" s="646"/>
      <c r="FYI1532" s="646"/>
      <c r="FYJ1532" s="646"/>
      <c r="FYK1532" s="646"/>
      <c r="FYL1532" s="646"/>
      <c r="FYM1532" s="646"/>
      <c r="FYN1532" s="646"/>
      <c r="FYO1532" s="646"/>
      <c r="FYP1532" s="646"/>
      <c r="FYQ1532" s="646"/>
      <c r="FYR1532" s="646"/>
      <c r="FYS1532" s="646"/>
      <c r="FYT1532" s="646"/>
      <c r="FYU1532" s="646"/>
      <c r="FYV1532" s="646"/>
      <c r="FYW1532" s="646"/>
      <c r="FYX1532" s="646"/>
      <c r="FYY1532" s="646"/>
      <c r="FYZ1532" s="646"/>
      <c r="FZA1532" s="646"/>
      <c r="FZB1532" s="646"/>
      <c r="FZC1532" s="646"/>
      <c r="FZD1532" s="646"/>
      <c r="FZE1532" s="646"/>
      <c r="FZF1532" s="646"/>
      <c r="FZG1532" s="646"/>
      <c r="FZH1532" s="646"/>
      <c r="FZI1532" s="646"/>
      <c r="FZJ1532" s="646"/>
      <c r="FZK1532" s="646"/>
      <c r="FZL1532" s="646"/>
      <c r="FZM1532" s="646"/>
      <c r="FZN1532" s="646"/>
      <c r="FZO1532" s="646"/>
      <c r="FZP1532" s="646"/>
      <c r="FZQ1532" s="646"/>
      <c r="FZR1532" s="646"/>
      <c r="FZS1532" s="646"/>
      <c r="FZT1532" s="646"/>
      <c r="FZU1532" s="646"/>
      <c r="FZV1532" s="646"/>
      <c r="FZW1532" s="646"/>
      <c r="FZX1532" s="646"/>
      <c r="FZY1532" s="646"/>
      <c r="FZZ1532" s="646"/>
      <c r="GAA1532" s="646"/>
      <c r="GAB1532" s="646"/>
      <c r="GAC1532" s="646"/>
      <c r="GAD1532" s="646"/>
      <c r="GAE1532" s="646"/>
      <c r="GAF1532" s="646"/>
      <c r="GAG1532" s="646"/>
      <c r="GAH1532" s="646"/>
      <c r="GAI1532" s="646"/>
      <c r="GAJ1532" s="646"/>
      <c r="GAK1532" s="646"/>
      <c r="GAL1532" s="646"/>
      <c r="GAM1532" s="646"/>
      <c r="GAN1532" s="646"/>
      <c r="GAO1532" s="646"/>
      <c r="GAP1532" s="646"/>
      <c r="GAQ1532" s="646"/>
      <c r="GAR1532" s="646"/>
      <c r="GAS1532" s="646"/>
      <c r="GAT1532" s="646"/>
      <c r="GAU1532" s="646"/>
      <c r="GAV1532" s="646"/>
      <c r="GAW1532" s="646"/>
      <c r="GAX1532" s="646"/>
      <c r="GAY1532" s="646"/>
      <c r="GAZ1532" s="646"/>
      <c r="GBA1532" s="646"/>
      <c r="GBB1532" s="646"/>
      <c r="GBC1532" s="646"/>
      <c r="GBD1532" s="646"/>
      <c r="GBE1532" s="646"/>
      <c r="GBF1532" s="646"/>
      <c r="GBG1532" s="646"/>
      <c r="GBH1532" s="646"/>
      <c r="GBI1532" s="646"/>
      <c r="GBJ1532" s="646"/>
      <c r="GBK1532" s="646"/>
      <c r="GBL1532" s="646"/>
      <c r="GBM1532" s="646"/>
      <c r="GBN1532" s="646"/>
      <c r="GBO1532" s="646"/>
      <c r="GBP1532" s="646"/>
      <c r="GBQ1532" s="646"/>
      <c r="GBR1532" s="646"/>
      <c r="GBS1532" s="646"/>
      <c r="GBT1532" s="646"/>
      <c r="GBU1532" s="646"/>
      <c r="GBV1532" s="646"/>
      <c r="GBW1532" s="646"/>
      <c r="GBX1532" s="646"/>
      <c r="GBY1532" s="646"/>
      <c r="GBZ1532" s="646"/>
      <c r="GCA1532" s="646"/>
      <c r="GCB1532" s="646"/>
      <c r="GCC1532" s="646"/>
      <c r="GCD1532" s="646"/>
      <c r="GCE1532" s="646"/>
      <c r="GCF1532" s="646"/>
      <c r="GCG1532" s="646"/>
      <c r="GCH1532" s="646"/>
      <c r="GCI1532" s="646"/>
      <c r="GCJ1532" s="646"/>
      <c r="GCK1532" s="646"/>
      <c r="GCL1532" s="646"/>
      <c r="GCM1532" s="646"/>
      <c r="GCN1532" s="646"/>
      <c r="GCO1532" s="646"/>
      <c r="GCP1532" s="646"/>
      <c r="GCQ1532" s="646"/>
      <c r="GCR1532" s="646"/>
      <c r="GCS1532" s="646"/>
      <c r="GCT1532" s="646"/>
      <c r="GCU1532" s="646"/>
      <c r="GCV1532" s="646"/>
      <c r="GCW1532" s="646"/>
      <c r="GCX1532" s="646"/>
      <c r="GCY1532" s="646"/>
      <c r="GCZ1532" s="646"/>
      <c r="GDA1532" s="646"/>
      <c r="GDB1532" s="646"/>
      <c r="GDC1532" s="646"/>
      <c r="GDD1532" s="646"/>
      <c r="GDE1532" s="646"/>
      <c r="GDF1532" s="646"/>
      <c r="GDG1532" s="646"/>
      <c r="GDH1532" s="646"/>
      <c r="GDI1532" s="646"/>
      <c r="GDJ1532" s="646"/>
      <c r="GDK1532" s="646"/>
      <c r="GDL1532" s="646"/>
      <c r="GDM1532" s="646"/>
      <c r="GDN1532" s="646"/>
      <c r="GDO1532" s="646"/>
      <c r="GDP1532" s="646"/>
      <c r="GDQ1532" s="646"/>
      <c r="GDR1532" s="646"/>
      <c r="GDS1532" s="646"/>
      <c r="GDT1532" s="646"/>
      <c r="GDU1532" s="646"/>
      <c r="GDV1532" s="646"/>
      <c r="GDW1532" s="646"/>
      <c r="GDX1532" s="646"/>
      <c r="GDY1532" s="646"/>
      <c r="GDZ1532" s="646"/>
      <c r="GEA1532" s="646"/>
      <c r="GEB1532" s="646"/>
      <c r="GEC1532" s="646"/>
      <c r="GED1532" s="646"/>
      <c r="GEE1532" s="646"/>
      <c r="GEF1532" s="646"/>
      <c r="GEG1532" s="646"/>
      <c r="GEH1532" s="646"/>
      <c r="GEI1532" s="646"/>
      <c r="GEJ1532" s="646"/>
      <c r="GEK1532" s="646"/>
      <c r="GEL1532" s="646"/>
      <c r="GEM1532" s="646"/>
      <c r="GEN1532" s="646"/>
      <c r="GEO1532" s="646"/>
      <c r="GEP1532" s="646"/>
      <c r="GEQ1532" s="646"/>
      <c r="GER1532" s="646"/>
      <c r="GES1532" s="646"/>
      <c r="GET1532" s="646"/>
      <c r="GEU1532" s="646"/>
      <c r="GEV1532" s="646"/>
      <c r="GEW1532" s="646"/>
      <c r="GEX1532" s="646"/>
      <c r="GEY1532" s="646"/>
      <c r="GEZ1532" s="646"/>
      <c r="GFA1532" s="646"/>
      <c r="GFB1532" s="646"/>
      <c r="GFC1532" s="646"/>
      <c r="GFD1532" s="646"/>
      <c r="GFE1532" s="646"/>
      <c r="GFF1532" s="646"/>
      <c r="GFG1532" s="646"/>
      <c r="GFH1532" s="646"/>
      <c r="GFI1532" s="646"/>
      <c r="GFJ1532" s="646"/>
      <c r="GFK1532" s="646"/>
      <c r="GFL1532" s="646"/>
      <c r="GFM1532" s="646"/>
      <c r="GFN1532" s="646"/>
      <c r="GFO1532" s="646"/>
      <c r="GFP1532" s="646"/>
      <c r="GFQ1532" s="646"/>
      <c r="GFR1532" s="646"/>
      <c r="GFS1532" s="646"/>
      <c r="GFT1532" s="646"/>
      <c r="GFU1532" s="646"/>
      <c r="GFV1532" s="646"/>
      <c r="GFW1532" s="646"/>
      <c r="GFX1532" s="646"/>
      <c r="GFY1532" s="646"/>
      <c r="GFZ1532" s="646"/>
      <c r="GGA1532" s="646"/>
      <c r="GGB1532" s="646"/>
      <c r="GGC1532" s="646"/>
      <c r="GGD1532" s="646"/>
      <c r="GGE1532" s="646"/>
      <c r="GGF1532" s="646"/>
      <c r="GGG1532" s="646"/>
      <c r="GGH1532" s="646"/>
      <c r="GGI1532" s="646"/>
      <c r="GGJ1532" s="646"/>
      <c r="GGK1532" s="646"/>
      <c r="GGL1532" s="646"/>
      <c r="GGM1532" s="646"/>
      <c r="GGN1532" s="646"/>
      <c r="GGO1532" s="646"/>
      <c r="GGP1532" s="646"/>
      <c r="GGQ1532" s="646"/>
      <c r="GGR1532" s="646"/>
      <c r="GGS1532" s="646"/>
      <c r="GGT1532" s="646"/>
      <c r="GGU1532" s="646"/>
      <c r="GGV1532" s="646"/>
      <c r="GGW1532" s="646"/>
      <c r="GGX1532" s="646"/>
      <c r="GGY1532" s="646"/>
      <c r="GGZ1532" s="646"/>
      <c r="GHA1532" s="646"/>
      <c r="GHB1532" s="646"/>
      <c r="GHC1532" s="646"/>
      <c r="GHD1532" s="646"/>
      <c r="GHE1532" s="646"/>
      <c r="GHF1532" s="646"/>
      <c r="GHG1532" s="646"/>
      <c r="GHH1532" s="646"/>
      <c r="GHI1532" s="646"/>
      <c r="GHJ1532" s="646"/>
      <c r="GHK1532" s="646"/>
      <c r="GHL1532" s="646"/>
      <c r="GHM1532" s="646"/>
      <c r="GHN1532" s="646"/>
      <c r="GHO1532" s="646"/>
      <c r="GHP1532" s="646"/>
      <c r="GHQ1532" s="646"/>
      <c r="GHR1532" s="646"/>
      <c r="GHS1532" s="646"/>
      <c r="GHT1532" s="646"/>
      <c r="GHU1532" s="646"/>
      <c r="GHV1532" s="646"/>
      <c r="GHW1532" s="646"/>
      <c r="GHX1532" s="646"/>
      <c r="GHY1532" s="646"/>
      <c r="GHZ1532" s="646"/>
      <c r="GIA1532" s="646"/>
      <c r="GIB1532" s="646"/>
      <c r="GIC1532" s="646"/>
      <c r="GID1532" s="646"/>
      <c r="GIE1532" s="646"/>
      <c r="GIF1532" s="646"/>
      <c r="GIG1532" s="646"/>
      <c r="GIH1532" s="646"/>
      <c r="GII1532" s="646"/>
      <c r="GIJ1532" s="646"/>
      <c r="GIK1532" s="646"/>
      <c r="GIL1532" s="646"/>
      <c r="GIM1532" s="646"/>
      <c r="GIN1532" s="646"/>
      <c r="GIO1532" s="646"/>
      <c r="GIP1532" s="646"/>
      <c r="GIQ1532" s="646"/>
      <c r="GIR1532" s="646"/>
      <c r="GIS1532" s="646"/>
      <c r="GIT1532" s="646"/>
      <c r="GIU1532" s="646"/>
      <c r="GIV1532" s="646"/>
      <c r="GIW1532" s="646"/>
      <c r="GIX1532" s="646"/>
      <c r="GIY1532" s="646"/>
      <c r="GIZ1532" s="646"/>
      <c r="GJA1532" s="646"/>
      <c r="GJB1532" s="646"/>
      <c r="GJC1532" s="646"/>
      <c r="GJD1532" s="646"/>
      <c r="GJE1532" s="646"/>
      <c r="GJF1532" s="646"/>
      <c r="GJG1532" s="646"/>
      <c r="GJH1532" s="646"/>
      <c r="GJI1532" s="646"/>
      <c r="GJJ1532" s="646"/>
      <c r="GJK1532" s="646"/>
      <c r="GJL1532" s="646"/>
      <c r="GJM1532" s="646"/>
      <c r="GJN1532" s="646"/>
      <c r="GJO1532" s="646"/>
      <c r="GJP1532" s="646"/>
      <c r="GJQ1532" s="646"/>
      <c r="GJR1532" s="646"/>
      <c r="GJS1532" s="646"/>
      <c r="GJT1532" s="646"/>
      <c r="GJU1532" s="646"/>
      <c r="GJV1532" s="646"/>
      <c r="GJW1532" s="646"/>
      <c r="GJX1532" s="646"/>
      <c r="GJY1532" s="646"/>
      <c r="GJZ1532" s="646"/>
      <c r="GKA1532" s="646"/>
      <c r="GKB1532" s="646"/>
      <c r="GKC1532" s="646"/>
      <c r="GKD1532" s="646"/>
      <c r="GKE1532" s="646"/>
      <c r="GKF1532" s="646"/>
      <c r="GKG1532" s="646"/>
      <c r="GKH1532" s="646"/>
      <c r="GKI1532" s="646"/>
      <c r="GKJ1532" s="646"/>
      <c r="GKK1532" s="646"/>
      <c r="GKL1532" s="646"/>
      <c r="GKM1532" s="646"/>
      <c r="GKN1532" s="646"/>
      <c r="GKO1532" s="646"/>
      <c r="GKP1532" s="646"/>
      <c r="GKQ1532" s="646"/>
      <c r="GKR1532" s="646"/>
      <c r="GKS1532" s="646"/>
      <c r="GKT1532" s="646"/>
      <c r="GKU1532" s="646"/>
      <c r="GKV1532" s="646"/>
      <c r="GKW1532" s="646"/>
      <c r="GKX1532" s="646"/>
      <c r="GKY1532" s="646"/>
      <c r="GKZ1532" s="646"/>
      <c r="GLA1532" s="646"/>
      <c r="GLB1532" s="646"/>
      <c r="GLC1532" s="646"/>
      <c r="GLD1532" s="646"/>
      <c r="GLE1532" s="646"/>
      <c r="GLF1532" s="646"/>
      <c r="GLG1532" s="646"/>
      <c r="GLH1532" s="646"/>
      <c r="GLI1532" s="646"/>
      <c r="GLJ1532" s="646"/>
      <c r="GLK1532" s="646"/>
      <c r="GLL1532" s="646"/>
      <c r="GLM1532" s="646"/>
      <c r="GLN1532" s="646"/>
      <c r="GLO1532" s="646"/>
      <c r="GLP1532" s="646"/>
      <c r="GLQ1532" s="646"/>
      <c r="GLR1532" s="646"/>
      <c r="GLS1532" s="646"/>
      <c r="GLT1532" s="646"/>
      <c r="GLU1532" s="646"/>
      <c r="GLV1532" s="646"/>
      <c r="GLW1532" s="646"/>
      <c r="GLX1532" s="646"/>
      <c r="GLY1532" s="646"/>
      <c r="GLZ1532" s="646"/>
      <c r="GMA1532" s="646"/>
      <c r="GMB1532" s="646"/>
      <c r="GMC1532" s="646"/>
      <c r="GMD1532" s="646"/>
      <c r="GME1532" s="646"/>
      <c r="GMF1532" s="646"/>
      <c r="GMG1532" s="646"/>
      <c r="GMH1532" s="646"/>
      <c r="GMI1532" s="646"/>
      <c r="GMJ1532" s="646"/>
      <c r="GMK1532" s="646"/>
      <c r="GML1532" s="646"/>
      <c r="GMM1532" s="646"/>
      <c r="GMN1532" s="646"/>
      <c r="GMO1532" s="646"/>
      <c r="GMP1532" s="646"/>
      <c r="GMQ1532" s="646"/>
      <c r="GMR1532" s="646"/>
      <c r="GMS1532" s="646"/>
      <c r="GMT1532" s="646"/>
      <c r="GMU1532" s="646"/>
      <c r="GMV1532" s="646"/>
      <c r="GMW1532" s="646"/>
      <c r="GMX1532" s="646"/>
      <c r="GMY1532" s="646"/>
      <c r="GMZ1532" s="646"/>
      <c r="GNA1532" s="646"/>
      <c r="GNB1532" s="646"/>
      <c r="GNC1532" s="646"/>
      <c r="GND1532" s="646"/>
      <c r="GNE1532" s="646"/>
      <c r="GNF1532" s="646"/>
      <c r="GNG1532" s="646"/>
      <c r="GNH1532" s="646"/>
      <c r="GNI1532" s="646"/>
      <c r="GNJ1532" s="646"/>
      <c r="GNK1532" s="646"/>
      <c r="GNL1532" s="646"/>
      <c r="GNM1532" s="646"/>
      <c r="GNN1532" s="646"/>
      <c r="GNO1532" s="646"/>
      <c r="GNP1532" s="646"/>
      <c r="GNQ1532" s="646"/>
      <c r="GNR1532" s="646"/>
      <c r="GNS1532" s="646"/>
      <c r="GNT1532" s="646"/>
      <c r="GNU1532" s="646"/>
      <c r="GNV1532" s="646"/>
      <c r="GNW1532" s="646"/>
      <c r="GNX1532" s="646"/>
      <c r="GNY1532" s="646"/>
      <c r="GNZ1532" s="646"/>
      <c r="GOA1532" s="646"/>
      <c r="GOB1532" s="646"/>
      <c r="GOC1532" s="646"/>
      <c r="GOD1532" s="646"/>
      <c r="GOE1532" s="646"/>
      <c r="GOF1532" s="646"/>
      <c r="GOG1532" s="646"/>
      <c r="GOH1532" s="646"/>
      <c r="GOI1532" s="646"/>
      <c r="GOJ1532" s="646"/>
      <c r="GOK1532" s="646"/>
      <c r="GOL1532" s="646"/>
      <c r="GOM1532" s="646"/>
      <c r="GON1532" s="646"/>
      <c r="GOO1532" s="646"/>
      <c r="GOP1532" s="646"/>
      <c r="GOQ1532" s="646"/>
      <c r="GOR1532" s="646"/>
      <c r="GOS1532" s="646"/>
      <c r="GOT1532" s="646"/>
      <c r="GOU1532" s="646"/>
      <c r="GOV1532" s="646"/>
      <c r="GOW1532" s="646"/>
      <c r="GOX1532" s="646"/>
      <c r="GOY1532" s="646"/>
      <c r="GOZ1532" s="646"/>
      <c r="GPA1532" s="646"/>
      <c r="GPB1532" s="646"/>
      <c r="GPC1532" s="646"/>
      <c r="GPD1532" s="646"/>
      <c r="GPE1532" s="646"/>
      <c r="GPF1532" s="646"/>
      <c r="GPG1532" s="646"/>
      <c r="GPH1532" s="646"/>
      <c r="GPI1532" s="646"/>
      <c r="GPJ1532" s="646"/>
      <c r="GPK1532" s="646"/>
      <c r="GPL1532" s="646"/>
      <c r="GPM1532" s="646"/>
      <c r="GPN1532" s="646"/>
      <c r="GPO1532" s="646"/>
      <c r="GPP1532" s="646"/>
      <c r="GPQ1532" s="646"/>
      <c r="GPR1532" s="646"/>
      <c r="GPS1532" s="646"/>
      <c r="GPT1532" s="646"/>
      <c r="GPU1532" s="646"/>
      <c r="GPV1532" s="646"/>
      <c r="GPW1532" s="646"/>
      <c r="GPX1532" s="646"/>
      <c r="GPY1532" s="646"/>
      <c r="GPZ1532" s="646"/>
      <c r="GQA1532" s="646"/>
      <c r="GQB1532" s="646"/>
      <c r="GQC1532" s="646"/>
      <c r="GQD1532" s="646"/>
      <c r="GQE1532" s="646"/>
      <c r="GQF1532" s="646"/>
      <c r="GQG1532" s="646"/>
      <c r="GQH1532" s="646"/>
      <c r="GQI1532" s="646"/>
      <c r="GQJ1532" s="646"/>
      <c r="GQK1532" s="646"/>
      <c r="GQL1532" s="646"/>
      <c r="GQM1532" s="646"/>
      <c r="GQN1532" s="646"/>
      <c r="GQO1532" s="646"/>
      <c r="GQP1532" s="646"/>
      <c r="GQQ1532" s="646"/>
      <c r="GQR1532" s="646"/>
      <c r="GQS1532" s="646"/>
      <c r="GQT1532" s="646"/>
      <c r="GQU1532" s="646"/>
      <c r="GQV1532" s="646"/>
      <c r="GQW1532" s="646"/>
      <c r="GQX1532" s="646"/>
      <c r="GQY1532" s="646"/>
      <c r="GQZ1532" s="646"/>
      <c r="GRA1532" s="646"/>
      <c r="GRB1532" s="646"/>
      <c r="GRC1532" s="646"/>
      <c r="GRD1532" s="646"/>
      <c r="GRE1532" s="646"/>
      <c r="GRF1532" s="646"/>
      <c r="GRG1532" s="646"/>
      <c r="GRH1532" s="646"/>
      <c r="GRI1532" s="646"/>
      <c r="GRJ1532" s="646"/>
      <c r="GRK1532" s="646"/>
      <c r="GRL1532" s="646"/>
      <c r="GRM1532" s="646"/>
      <c r="GRN1532" s="646"/>
      <c r="GRO1532" s="646"/>
      <c r="GRP1532" s="646"/>
      <c r="GRQ1532" s="646"/>
      <c r="GRR1532" s="646"/>
      <c r="GRS1532" s="646"/>
      <c r="GRT1532" s="646"/>
      <c r="GRU1532" s="646"/>
      <c r="GRV1532" s="646"/>
      <c r="GRW1532" s="646"/>
      <c r="GRX1532" s="646"/>
      <c r="GRY1532" s="646"/>
      <c r="GRZ1532" s="646"/>
      <c r="GSA1532" s="646"/>
      <c r="GSB1532" s="646"/>
      <c r="GSC1532" s="646"/>
      <c r="GSD1532" s="646"/>
      <c r="GSE1532" s="646"/>
      <c r="GSF1532" s="646"/>
      <c r="GSG1532" s="646"/>
      <c r="GSH1532" s="646"/>
      <c r="GSI1532" s="646"/>
      <c r="GSJ1532" s="646"/>
      <c r="GSK1532" s="646"/>
      <c r="GSL1532" s="646"/>
      <c r="GSM1532" s="646"/>
      <c r="GSN1532" s="646"/>
      <c r="GSO1532" s="646"/>
      <c r="GSP1532" s="646"/>
      <c r="GSQ1532" s="646"/>
      <c r="GSR1532" s="646"/>
      <c r="GSS1532" s="646"/>
      <c r="GST1532" s="646"/>
      <c r="GSU1532" s="646"/>
      <c r="GSV1532" s="646"/>
      <c r="GSW1532" s="646"/>
      <c r="GSX1532" s="646"/>
      <c r="GSY1532" s="646"/>
      <c r="GSZ1532" s="646"/>
      <c r="GTA1532" s="646"/>
      <c r="GTB1532" s="646"/>
      <c r="GTC1532" s="646"/>
      <c r="GTD1532" s="646"/>
      <c r="GTE1532" s="646"/>
      <c r="GTF1532" s="646"/>
      <c r="GTG1532" s="646"/>
      <c r="GTH1532" s="646"/>
      <c r="GTI1532" s="646"/>
      <c r="GTJ1532" s="646"/>
      <c r="GTK1532" s="646"/>
      <c r="GTL1532" s="646"/>
      <c r="GTM1532" s="646"/>
      <c r="GTN1532" s="646"/>
      <c r="GTO1532" s="646"/>
      <c r="GTP1532" s="646"/>
      <c r="GTQ1532" s="646"/>
      <c r="GTR1532" s="646"/>
      <c r="GTS1532" s="646"/>
      <c r="GTT1532" s="646"/>
      <c r="GTU1532" s="646"/>
      <c r="GTV1532" s="646"/>
      <c r="GTW1532" s="646"/>
      <c r="GTX1532" s="646"/>
      <c r="GTY1532" s="646"/>
      <c r="GTZ1532" s="646"/>
      <c r="GUA1532" s="646"/>
      <c r="GUB1532" s="646"/>
      <c r="GUC1532" s="646"/>
      <c r="GUD1532" s="646"/>
      <c r="GUE1532" s="646"/>
      <c r="GUF1532" s="646"/>
      <c r="GUG1532" s="646"/>
      <c r="GUH1532" s="646"/>
      <c r="GUI1532" s="646"/>
      <c r="GUJ1532" s="646"/>
      <c r="GUK1532" s="646"/>
      <c r="GUL1532" s="646"/>
      <c r="GUM1532" s="646"/>
      <c r="GUN1532" s="646"/>
      <c r="GUO1532" s="646"/>
      <c r="GUP1532" s="646"/>
      <c r="GUQ1532" s="646"/>
      <c r="GUR1532" s="646"/>
      <c r="GUS1532" s="646"/>
      <c r="GUT1532" s="646"/>
      <c r="GUU1532" s="646"/>
      <c r="GUV1532" s="646"/>
      <c r="GUW1532" s="646"/>
      <c r="GUX1532" s="646"/>
      <c r="GUY1532" s="646"/>
      <c r="GUZ1532" s="646"/>
      <c r="GVA1532" s="646"/>
      <c r="GVB1532" s="646"/>
      <c r="GVC1532" s="646"/>
      <c r="GVD1532" s="646"/>
      <c r="GVE1532" s="646"/>
      <c r="GVF1532" s="646"/>
      <c r="GVG1532" s="646"/>
      <c r="GVH1532" s="646"/>
      <c r="GVI1532" s="646"/>
      <c r="GVJ1532" s="646"/>
      <c r="GVK1532" s="646"/>
      <c r="GVL1532" s="646"/>
      <c r="GVM1532" s="646"/>
      <c r="GVN1532" s="646"/>
      <c r="GVO1532" s="646"/>
      <c r="GVP1532" s="646"/>
      <c r="GVQ1532" s="646"/>
      <c r="GVR1532" s="646"/>
      <c r="GVS1532" s="646"/>
      <c r="GVT1532" s="646"/>
      <c r="GVU1532" s="646"/>
      <c r="GVV1532" s="646"/>
      <c r="GVW1532" s="646"/>
      <c r="GVX1532" s="646"/>
      <c r="GVY1532" s="646"/>
      <c r="GVZ1532" s="646"/>
      <c r="GWA1532" s="646"/>
      <c r="GWB1532" s="646"/>
      <c r="GWC1532" s="646"/>
      <c r="GWD1532" s="646"/>
      <c r="GWE1532" s="646"/>
      <c r="GWF1532" s="646"/>
      <c r="GWG1532" s="646"/>
      <c r="GWH1532" s="646"/>
      <c r="GWI1532" s="646"/>
      <c r="GWJ1532" s="646"/>
      <c r="GWK1532" s="646"/>
      <c r="GWL1532" s="646"/>
      <c r="GWM1532" s="646"/>
      <c r="GWN1532" s="646"/>
      <c r="GWO1532" s="646"/>
      <c r="GWP1532" s="646"/>
      <c r="GWQ1532" s="646"/>
      <c r="GWR1532" s="646"/>
      <c r="GWS1532" s="646"/>
      <c r="GWT1532" s="646"/>
      <c r="GWU1532" s="646"/>
      <c r="GWV1532" s="646"/>
      <c r="GWW1532" s="646"/>
      <c r="GWX1532" s="646"/>
      <c r="GWY1532" s="646"/>
      <c r="GWZ1532" s="646"/>
      <c r="GXA1532" s="646"/>
      <c r="GXB1532" s="646"/>
      <c r="GXC1532" s="646"/>
      <c r="GXD1532" s="646"/>
      <c r="GXE1532" s="646"/>
      <c r="GXF1532" s="646"/>
      <c r="GXG1532" s="646"/>
      <c r="GXH1532" s="646"/>
      <c r="GXI1532" s="646"/>
      <c r="GXJ1532" s="646"/>
      <c r="GXK1532" s="646"/>
      <c r="GXL1532" s="646"/>
      <c r="GXM1532" s="646"/>
      <c r="GXN1532" s="646"/>
      <c r="GXO1532" s="646"/>
      <c r="GXP1532" s="646"/>
      <c r="GXQ1532" s="646"/>
      <c r="GXR1532" s="646"/>
      <c r="GXS1532" s="646"/>
      <c r="GXT1532" s="646"/>
      <c r="GXU1532" s="646"/>
      <c r="GXV1532" s="646"/>
      <c r="GXW1532" s="646"/>
      <c r="GXX1532" s="646"/>
      <c r="GXY1532" s="646"/>
      <c r="GXZ1532" s="646"/>
      <c r="GYA1532" s="646"/>
      <c r="GYB1532" s="646"/>
      <c r="GYC1532" s="646"/>
      <c r="GYD1532" s="646"/>
      <c r="GYE1532" s="646"/>
      <c r="GYF1532" s="646"/>
      <c r="GYG1532" s="646"/>
      <c r="GYH1532" s="646"/>
      <c r="GYI1532" s="646"/>
      <c r="GYJ1532" s="646"/>
      <c r="GYK1532" s="646"/>
      <c r="GYL1532" s="646"/>
      <c r="GYM1532" s="646"/>
      <c r="GYN1532" s="646"/>
      <c r="GYO1532" s="646"/>
      <c r="GYP1532" s="646"/>
      <c r="GYQ1532" s="646"/>
      <c r="GYR1532" s="646"/>
      <c r="GYS1532" s="646"/>
      <c r="GYT1532" s="646"/>
      <c r="GYU1532" s="646"/>
      <c r="GYV1532" s="646"/>
      <c r="GYW1532" s="646"/>
      <c r="GYX1532" s="646"/>
      <c r="GYY1532" s="646"/>
      <c r="GYZ1532" s="646"/>
      <c r="GZA1532" s="646"/>
      <c r="GZB1532" s="646"/>
      <c r="GZC1532" s="646"/>
      <c r="GZD1532" s="646"/>
      <c r="GZE1532" s="646"/>
      <c r="GZF1532" s="646"/>
      <c r="GZG1532" s="646"/>
      <c r="GZH1532" s="646"/>
      <c r="GZI1532" s="646"/>
      <c r="GZJ1532" s="646"/>
      <c r="GZK1532" s="646"/>
      <c r="GZL1532" s="646"/>
      <c r="GZM1532" s="646"/>
      <c r="GZN1532" s="646"/>
      <c r="GZO1532" s="646"/>
      <c r="GZP1532" s="646"/>
      <c r="GZQ1532" s="646"/>
      <c r="GZR1532" s="646"/>
      <c r="GZS1532" s="646"/>
      <c r="GZT1532" s="646"/>
      <c r="GZU1532" s="646"/>
      <c r="GZV1532" s="646"/>
      <c r="GZW1532" s="646"/>
      <c r="GZX1532" s="646"/>
      <c r="GZY1532" s="646"/>
      <c r="GZZ1532" s="646"/>
      <c r="HAA1532" s="646"/>
      <c r="HAB1532" s="646"/>
      <c r="HAC1532" s="646"/>
      <c r="HAD1532" s="646"/>
      <c r="HAE1532" s="646"/>
      <c r="HAF1532" s="646"/>
      <c r="HAG1532" s="646"/>
      <c r="HAH1532" s="646"/>
      <c r="HAI1532" s="646"/>
      <c r="HAJ1532" s="646"/>
      <c r="HAK1532" s="646"/>
      <c r="HAL1532" s="646"/>
      <c r="HAM1532" s="646"/>
      <c r="HAN1532" s="646"/>
      <c r="HAO1532" s="646"/>
      <c r="HAP1532" s="646"/>
      <c r="HAQ1532" s="646"/>
      <c r="HAR1532" s="646"/>
      <c r="HAS1532" s="646"/>
      <c r="HAT1532" s="646"/>
      <c r="HAU1532" s="646"/>
      <c r="HAV1532" s="646"/>
      <c r="HAW1532" s="646"/>
      <c r="HAX1532" s="646"/>
      <c r="HAY1532" s="646"/>
      <c r="HAZ1532" s="646"/>
      <c r="HBA1532" s="646"/>
      <c r="HBB1532" s="646"/>
      <c r="HBC1532" s="646"/>
      <c r="HBD1532" s="646"/>
      <c r="HBE1532" s="646"/>
      <c r="HBF1532" s="646"/>
      <c r="HBG1532" s="646"/>
      <c r="HBH1532" s="646"/>
      <c r="HBI1532" s="646"/>
      <c r="HBJ1532" s="646"/>
      <c r="HBK1532" s="646"/>
      <c r="HBL1532" s="646"/>
      <c r="HBM1532" s="646"/>
      <c r="HBN1532" s="646"/>
      <c r="HBO1532" s="646"/>
      <c r="HBP1532" s="646"/>
      <c r="HBQ1532" s="646"/>
      <c r="HBR1532" s="646"/>
      <c r="HBS1532" s="646"/>
      <c r="HBT1532" s="646"/>
      <c r="HBU1532" s="646"/>
      <c r="HBV1532" s="646"/>
      <c r="HBW1532" s="646"/>
      <c r="HBX1532" s="646"/>
      <c r="HBY1532" s="646"/>
      <c r="HBZ1532" s="646"/>
      <c r="HCA1532" s="646"/>
      <c r="HCB1532" s="646"/>
      <c r="HCC1532" s="646"/>
      <c r="HCD1532" s="646"/>
      <c r="HCE1532" s="646"/>
      <c r="HCF1532" s="646"/>
      <c r="HCG1532" s="646"/>
      <c r="HCH1532" s="646"/>
      <c r="HCI1532" s="646"/>
      <c r="HCJ1532" s="646"/>
      <c r="HCK1532" s="646"/>
      <c r="HCL1532" s="646"/>
      <c r="HCM1532" s="646"/>
      <c r="HCN1532" s="646"/>
      <c r="HCO1532" s="646"/>
      <c r="HCP1532" s="646"/>
      <c r="HCQ1532" s="646"/>
      <c r="HCR1532" s="646"/>
      <c r="HCS1532" s="646"/>
      <c r="HCT1532" s="646"/>
      <c r="HCU1532" s="646"/>
      <c r="HCV1532" s="646"/>
      <c r="HCW1532" s="646"/>
      <c r="HCX1532" s="646"/>
      <c r="HCY1532" s="646"/>
      <c r="HCZ1532" s="646"/>
      <c r="HDA1532" s="646"/>
      <c r="HDB1532" s="646"/>
      <c r="HDC1532" s="646"/>
      <c r="HDD1532" s="646"/>
      <c r="HDE1532" s="646"/>
      <c r="HDF1532" s="646"/>
      <c r="HDG1532" s="646"/>
      <c r="HDH1532" s="646"/>
      <c r="HDI1532" s="646"/>
      <c r="HDJ1532" s="646"/>
      <c r="HDK1532" s="646"/>
      <c r="HDL1532" s="646"/>
      <c r="HDM1532" s="646"/>
      <c r="HDN1532" s="646"/>
      <c r="HDO1532" s="646"/>
      <c r="HDP1532" s="646"/>
      <c r="HDQ1532" s="646"/>
      <c r="HDR1532" s="646"/>
      <c r="HDS1532" s="646"/>
      <c r="HDT1532" s="646"/>
      <c r="HDU1532" s="646"/>
      <c r="HDV1532" s="646"/>
      <c r="HDW1532" s="646"/>
      <c r="HDX1532" s="646"/>
      <c r="HDY1532" s="646"/>
      <c r="HDZ1532" s="646"/>
      <c r="HEA1532" s="646"/>
      <c r="HEB1532" s="646"/>
      <c r="HEC1532" s="646"/>
      <c r="HED1532" s="646"/>
      <c r="HEE1532" s="646"/>
      <c r="HEF1532" s="646"/>
      <c r="HEG1532" s="646"/>
      <c r="HEH1532" s="646"/>
      <c r="HEI1532" s="646"/>
      <c r="HEJ1532" s="646"/>
      <c r="HEK1532" s="646"/>
      <c r="HEL1532" s="646"/>
      <c r="HEM1532" s="646"/>
      <c r="HEN1532" s="646"/>
      <c r="HEO1532" s="646"/>
      <c r="HEP1532" s="646"/>
      <c r="HEQ1532" s="646"/>
      <c r="HER1532" s="646"/>
      <c r="HES1532" s="646"/>
      <c r="HET1532" s="646"/>
      <c r="HEU1532" s="646"/>
      <c r="HEV1532" s="646"/>
      <c r="HEW1532" s="646"/>
      <c r="HEX1532" s="646"/>
      <c r="HEY1532" s="646"/>
      <c r="HEZ1532" s="646"/>
      <c r="HFA1532" s="646"/>
      <c r="HFB1532" s="646"/>
      <c r="HFC1532" s="646"/>
      <c r="HFD1532" s="646"/>
      <c r="HFE1532" s="646"/>
      <c r="HFF1532" s="646"/>
      <c r="HFG1532" s="646"/>
      <c r="HFH1532" s="646"/>
      <c r="HFI1532" s="646"/>
      <c r="HFJ1532" s="646"/>
      <c r="HFK1532" s="646"/>
      <c r="HFL1532" s="646"/>
      <c r="HFM1532" s="646"/>
      <c r="HFN1532" s="646"/>
      <c r="HFO1532" s="646"/>
      <c r="HFP1532" s="646"/>
      <c r="HFQ1532" s="646"/>
      <c r="HFR1532" s="646"/>
      <c r="HFS1532" s="646"/>
      <c r="HFT1532" s="646"/>
      <c r="HFU1532" s="646"/>
      <c r="HFV1532" s="646"/>
      <c r="HFW1532" s="646"/>
      <c r="HFX1532" s="646"/>
      <c r="HFY1532" s="646"/>
      <c r="HFZ1532" s="646"/>
      <c r="HGA1532" s="646"/>
      <c r="HGB1532" s="646"/>
      <c r="HGC1532" s="646"/>
      <c r="HGD1532" s="646"/>
      <c r="HGE1532" s="646"/>
      <c r="HGF1532" s="646"/>
      <c r="HGG1532" s="646"/>
      <c r="HGH1532" s="646"/>
      <c r="HGI1532" s="646"/>
      <c r="HGJ1532" s="646"/>
      <c r="HGK1532" s="646"/>
      <c r="HGL1532" s="646"/>
      <c r="HGM1532" s="646"/>
      <c r="HGN1532" s="646"/>
      <c r="HGO1532" s="646"/>
      <c r="HGP1532" s="646"/>
      <c r="HGQ1532" s="646"/>
      <c r="HGR1532" s="646"/>
      <c r="HGS1532" s="646"/>
      <c r="HGT1532" s="646"/>
      <c r="HGU1532" s="646"/>
      <c r="HGV1532" s="646"/>
      <c r="HGW1532" s="646"/>
      <c r="HGX1532" s="646"/>
      <c r="HGY1532" s="646"/>
      <c r="HGZ1532" s="646"/>
      <c r="HHA1532" s="646"/>
      <c r="HHB1532" s="646"/>
      <c r="HHC1532" s="646"/>
      <c r="HHD1532" s="646"/>
      <c r="HHE1532" s="646"/>
      <c r="HHF1532" s="646"/>
      <c r="HHG1532" s="646"/>
      <c r="HHH1532" s="646"/>
      <c r="HHI1532" s="646"/>
      <c r="HHJ1532" s="646"/>
      <c r="HHK1532" s="646"/>
      <c r="HHL1532" s="646"/>
      <c r="HHM1532" s="646"/>
      <c r="HHN1532" s="646"/>
      <c r="HHO1532" s="646"/>
      <c r="HHP1532" s="646"/>
      <c r="HHQ1532" s="646"/>
      <c r="HHR1532" s="646"/>
      <c r="HHS1532" s="646"/>
      <c r="HHT1532" s="646"/>
      <c r="HHU1532" s="646"/>
      <c r="HHV1532" s="646"/>
      <c r="HHW1532" s="646"/>
      <c r="HHX1532" s="646"/>
      <c r="HHY1532" s="646"/>
      <c r="HHZ1532" s="646"/>
      <c r="HIA1532" s="646"/>
      <c r="HIB1532" s="646"/>
      <c r="HIC1532" s="646"/>
      <c r="HID1532" s="646"/>
      <c r="HIE1532" s="646"/>
      <c r="HIF1532" s="646"/>
      <c r="HIG1532" s="646"/>
      <c r="HIH1532" s="646"/>
      <c r="HII1532" s="646"/>
      <c r="HIJ1532" s="646"/>
      <c r="HIK1532" s="646"/>
      <c r="HIL1532" s="646"/>
      <c r="HIM1532" s="646"/>
      <c r="HIN1532" s="646"/>
      <c r="HIO1532" s="646"/>
      <c r="HIP1532" s="646"/>
      <c r="HIQ1532" s="646"/>
      <c r="HIR1532" s="646"/>
      <c r="HIS1532" s="646"/>
      <c r="HIT1532" s="646"/>
      <c r="HIU1532" s="646"/>
      <c r="HIV1532" s="646"/>
      <c r="HIW1532" s="646"/>
      <c r="HIX1532" s="646"/>
      <c r="HIY1532" s="646"/>
      <c r="HIZ1532" s="646"/>
      <c r="HJA1532" s="646"/>
      <c r="HJB1532" s="646"/>
      <c r="HJC1532" s="646"/>
      <c r="HJD1532" s="646"/>
      <c r="HJE1532" s="646"/>
      <c r="HJF1532" s="646"/>
      <c r="HJG1532" s="646"/>
      <c r="HJH1532" s="646"/>
      <c r="HJI1532" s="646"/>
      <c r="HJJ1532" s="646"/>
      <c r="HJK1532" s="646"/>
      <c r="HJL1532" s="646"/>
      <c r="HJM1532" s="646"/>
      <c r="HJN1532" s="646"/>
      <c r="HJO1532" s="646"/>
      <c r="HJP1532" s="646"/>
      <c r="HJQ1532" s="646"/>
      <c r="HJR1532" s="646"/>
      <c r="HJS1532" s="646"/>
      <c r="HJT1532" s="646"/>
      <c r="HJU1532" s="646"/>
      <c r="HJV1532" s="646"/>
      <c r="HJW1532" s="646"/>
      <c r="HJX1532" s="646"/>
      <c r="HJY1532" s="646"/>
      <c r="HJZ1532" s="646"/>
      <c r="HKA1532" s="646"/>
      <c r="HKB1532" s="646"/>
      <c r="HKC1532" s="646"/>
      <c r="HKD1532" s="646"/>
      <c r="HKE1532" s="646"/>
      <c r="HKF1532" s="646"/>
      <c r="HKG1532" s="646"/>
      <c r="HKH1532" s="646"/>
      <c r="HKI1532" s="646"/>
      <c r="HKJ1532" s="646"/>
      <c r="HKK1532" s="646"/>
      <c r="HKL1532" s="646"/>
      <c r="HKM1532" s="646"/>
      <c r="HKN1532" s="646"/>
      <c r="HKO1532" s="646"/>
      <c r="HKP1532" s="646"/>
      <c r="HKQ1532" s="646"/>
      <c r="HKR1532" s="646"/>
      <c r="HKS1532" s="646"/>
      <c r="HKT1532" s="646"/>
      <c r="HKU1532" s="646"/>
      <c r="HKV1532" s="646"/>
      <c r="HKW1532" s="646"/>
      <c r="HKX1532" s="646"/>
      <c r="HKY1532" s="646"/>
      <c r="HKZ1532" s="646"/>
      <c r="HLA1532" s="646"/>
      <c r="HLB1532" s="646"/>
      <c r="HLC1532" s="646"/>
      <c r="HLD1532" s="646"/>
      <c r="HLE1532" s="646"/>
      <c r="HLF1532" s="646"/>
      <c r="HLG1532" s="646"/>
      <c r="HLH1532" s="646"/>
      <c r="HLI1532" s="646"/>
      <c r="HLJ1532" s="646"/>
      <c r="HLK1532" s="646"/>
      <c r="HLL1532" s="646"/>
      <c r="HLM1532" s="646"/>
      <c r="HLN1532" s="646"/>
      <c r="HLO1532" s="646"/>
      <c r="HLP1532" s="646"/>
      <c r="HLQ1532" s="646"/>
      <c r="HLR1532" s="646"/>
      <c r="HLS1532" s="646"/>
      <c r="HLT1532" s="646"/>
      <c r="HLU1532" s="646"/>
      <c r="HLV1532" s="646"/>
      <c r="HLW1532" s="646"/>
      <c r="HLX1532" s="646"/>
      <c r="HLY1532" s="646"/>
      <c r="HLZ1532" s="646"/>
      <c r="HMA1532" s="646"/>
      <c r="HMB1532" s="646"/>
      <c r="HMC1532" s="646"/>
      <c r="HMD1532" s="646"/>
      <c r="HME1532" s="646"/>
      <c r="HMF1532" s="646"/>
      <c r="HMG1532" s="646"/>
      <c r="HMH1532" s="646"/>
      <c r="HMI1532" s="646"/>
      <c r="HMJ1532" s="646"/>
      <c r="HMK1532" s="646"/>
      <c r="HML1532" s="646"/>
      <c r="HMM1532" s="646"/>
      <c r="HMN1532" s="646"/>
      <c r="HMO1532" s="646"/>
      <c r="HMP1532" s="646"/>
      <c r="HMQ1532" s="646"/>
      <c r="HMR1532" s="646"/>
      <c r="HMS1532" s="646"/>
      <c r="HMT1532" s="646"/>
      <c r="HMU1532" s="646"/>
      <c r="HMV1532" s="646"/>
      <c r="HMW1532" s="646"/>
      <c r="HMX1532" s="646"/>
      <c r="HMY1532" s="646"/>
      <c r="HMZ1532" s="646"/>
      <c r="HNA1532" s="646"/>
      <c r="HNB1532" s="646"/>
      <c r="HNC1532" s="646"/>
      <c r="HND1532" s="646"/>
      <c r="HNE1532" s="646"/>
      <c r="HNF1532" s="646"/>
      <c r="HNG1532" s="646"/>
      <c r="HNH1532" s="646"/>
      <c r="HNI1532" s="646"/>
      <c r="HNJ1532" s="646"/>
      <c r="HNK1532" s="646"/>
      <c r="HNL1532" s="646"/>
      <c r="HNM1532" s="646"/>
      <c r="HNN1532" s="646"/>
      <c r="HNO1532" s="646"/>
      <c r="HNP1532" s="646"/>
      <c r="HNQ1532" s="646"/>
      <c r="HNR1532" s="646"/>
      <c r="HNS1532" s="646"/>
      <c r="HNT1532" s="646"/>
      <c r="HNU1532" s="646"/>
      <c r="HNV1532" s="646"/>
      <c r="HNW1532" s="646"/>
      <c r="HNX1532" s="646"/>
      <c r="HNY1532" s="646"/>
      <c r="HNZ1532" s="646"/>
      <c r="HOA1532" s="646"/>
      <c r="HOB1532" s="646"/>
      <c r="HOC1532" s="646"/>
      <c r="HOD1532" s="646"/>
      <c r="HOE1532" s="646"/>
      <c r="HOF1532" s="646"/>
      <c r="HOG1532" s="646"/>
      <c r="HOH1532" s="646"/>
      <c r="HOI1532" s="646"/>
      <c r="HOJ1532" s="646"/>
      <c r="HOK1532" s="646"/>
      <c r="HOL1532" s="646"/>
      <c r="HOM1532" s="646"/>
      <c r="HON1532" s="646"/>
      <c r="HOO1532" s="646"/>
      <c r="HOP1532" s="646"/>
      <c r="HOQ1532" s="646"/>
      <c r="HOR1532" s="646"/>
      <c r="HOS1532" s="646"/>
      <c r="HOT1532" s="646"/>
      <c r="HOU1532" s="646"/>
      <c r="HOV1532" s="646"/>
      <c r="HOW1532" s="646"/>
      <c r="HOX1532" s="646"/>
      <c r="HOY1532" s="646"/>
      <c r="HOZ1532" s="646"/>
      <c r="HPA1532" s="646"/>
      <c r="HPB1532" s="646"/>
      <c r="HPC1532" s="646"/>
      <c r="HPD1532" s="646"/>
      <c r="HPE1532" s="646"/>
      <c r="HPF1532" s="646"/>
      <c r="HPG1532" s="646"/>
      <c r="HPH1532" s="646"/>
      <c r="HPI1532" s="646"/>
      <c r="HPJ1532" s="646"/>
      <c r="HPK1532" s="646"/>
      <c r="HPL1532" s="646"/>
      <c r="HPM1532" s="646"/>
      <c r="HPN1532" s="646"/>
      <c r="HPO1532" s="646"/>
      <c r="HPP1532" s="646"/>
      <c r="HPQ1532" s="646"/>
      <c r="HPR1532" s="646"/>
      <c r="HPS1532" s="646"/>
      <c r="HPT1532" s="646"/>
      <c r="HPU1532" s="646"/>
      <c r="HPV1532" s="646"/>
      <c r="HPW1532" s="646"/>
      <c r="HPX1532" s="646"/>
      <c r="HPY1532" s="646"/>
      <c r="HPZ1532" s="646"/>
      <c r="HQA1532" s="646"/>
      <c r="HQB1532" s="646"/>
      <c r="HQC1532" s="646"/>
      <c r="HQD1532" s="646"/>
      <c r="HQE1532" s="646"/>
      <c r="HQF1532" s="646"/>
      <c r="HQG1532" s="646"/>
      <c r="HQH1532" s="646"/>
      <c r="HQI1532" s="646"/>
      <c r="HQJ1532" s="646"/>
      <c r="HQK1532" s="646"/>
      <c r="HQL1532" s="646"/>
      <c r="HQM1532" s="646"/>
      <c r="HQN1532" s="646"/>
      <c r="HQO1532" s="646"/>
      <c r="HQP1532" s="646"/>
      <c r="HQQ1532" s="646"/>
      <c r="HQR1532" s="646"/>
      <c r="HQS1532" s="646"/>
      <c r="HQT1532" s="646"/>
      <c r="HQU1532" s="646"/>
      <c r="HQV1532" s="646"/>
      <c r="HQW1532" s="646"/>
      <c r="HQX1532" s="646"/>
      <c r="HQY1532" s="646"/>
      <c r="HQZ1532" s="646"/>
      <c r="HRA1532" s="646"/>
      <c r="HRB1532" s="646"/>
      <c r="HRC1532" s="646"/>
      <c r="HRD1532" s="646"/>
      <c r="HRE1532" s="646"/>
      <c r="HRF1532" s="646"/>
      <c r="HRG1532" s="646"/>
      <c r="HRH1532" s="646"/>
      <c r="HRI1532" s="646"/>
      <c r="HRJ1532" s="646"/>
      <c r="HRK1532" s="646"/>
      <c r="HRL1532" s="646"/>
      <c r="HRM1532" s="646"/>
      <c r="HRN1532" s="646"/>
      <c r="HRO1532" s="646"/>
      <c r="HRP1532" s="646"/>
      <c r="HRQ1532" s="646"/>
      <c r="HRR1532" s="646"/>
      <c r="HRS1532" s="646"/>
      <c r="HRT1532" s="646"/>
      <c r="HRU1532" s="646"/>
      <c r="HRV1532" s="646"/>
      <c r="HRW1532" s="646"/>
      <c r="HRX1532" s="646"/>
      <c r="HRY1532" s="646"/>
      <c r="HRZ1532" s="646"/>
      <c r="HSA1532" s="646"/>
      <c r="HSB1532" s="646"/>
      <c r="HSC1532" s="646"/>
      <c r="HSD1532" s="646"/>
      <c r="HSE1532" s="646"/>
      <c r="HSF1532" s="646"/>
      <c r="HSG1532" s="646"/>
      <c r="HSH1532" s="646"/>
      <c r="HSI1532" s="646"/>
      <c r="HSJ1532" s="646"/>
      <c r="HSK1532" s="646"/>
      <c r="HSL1532" s="646"/>
      <c r="HSM1532" s="646"/>
      <c r="HSN1532" s="646"/>
      <c r="HSO1532" s="646"/>
      <c r="HSP1532" s="646"/>
      <c r="HSQ1532" s="646"/>
      <c r="HSR1532" s="646"/>
      <c r="HSS1532" s="646"/>
      <c r="HST1532" s="646"/>
      <c r="HSU1532" s="646"/>
      <c r="HSV1532" s="646"/>
      <c r="HSW1532" s="646"/>
      <c r="HSX1532" s="646"/>
      <c r="HSY1532" s="646"/>
      <c r="HSZ1532" s="646"/>
      <c r="HTA1532" s="646"/>
      <c r="HTB1532" s="646"/>
      <c r="HTC1532" s="646"/>
      <c r="HTD1532" s="646"/>
      <c r="HTE1532" s="646"/>
      <c r="HTF1532" s="646"/>
      <c r="HTG1532" s="646"/>
      <c r="HTH1532" s="646"/>
      <c r="HTI1532" s="646"/>
      <c r="HTJ1532" s="646"/>
      <c r="HTK1532" s="646"/>
      <c r="HTL1532" s="646"/>
      <c r="HTM1532" s="646"/>
      <c r="HTN1532" s="646"/>
      <c r="HTO1532" s="646"/>
      <c r="HTP1532" s="646"/>
      <c r="HTQ1532" s="646"/>
      <c r="HTR1532" s="646"/>
      <c r="HTS1532" s="646"/>
      <c r="HTT1532" s="646"/>
      <c r="HTU1532" s="646"/>
      <c r="HTV1532" s="646"/>
      <c r="HTW1532" s="646"/>
      <c r="HTX1532" s="646"/>
      <c r="HTY1532" s="646"/>
      <c r="HTZ1532" s="646"/>
      <c r="HUA1532" s="646"/>
      <c r="HUB1532" s="646"/>
      <c r="HUC1532" s="646"/>
      <c r="HUD1532" s="646"/>
      <c r="HUE1532" s="646"/>
      <c r="HUF1532" s="646"/>
      <c r="HUG1532" s="646"/>
      <c r="HUH1532" s="646"/>
      <c r="HUI1532" s="646"/>
      <c r="HUJ1532" s="646"/>
      <c r="HUK1532" s="646"/>
      <c r="HUL1532" s="646"/>
      <c r="HUM1532" s="646"/>
      <c r="HUN1532" s="646"/>
      <c r="HUO1532" s="646"/>
      <c r="HUP1532" s="646"/>
      <c r="HUQ1532" s="646"/>
      <c r="HUR1532" s="646"/>
      <c r="HUS1532" s="646"/>
      <c r="HUT1532" s="646"/>
      <c r="HUU1532" s="646"/>
      <c r="HUV1532" s="646"/>
      <c r="HUW1532" s="646"/>
      <c r="HUX1532" s="646"/>
      <c r="HUY1532" s="646"/>
      <c r="HUZ1532" s="646"/>
      <c r="HVA1532" s="646"/>
      <c r="HVB1532" s="646"/>
      <c r="HVC1532" s="646"/>
      <c r="HVD1532" s="646"/>
      <c r="HVE1532" s="646"/>
      <c r="HVF1532" s="646"/>
      <c r="HVG1532" s="646"/>
      <c r="HVH1532" s="646"/>
      <c r="HVI1532" s="646"/>
      <c r="HVJ1532" s="646"/>
      <c r="HVK1532" s="646"/>
      <c r="HVL1532" s="646"/>
      <c r="HVM1532" s="646"/>
      <c r="HVN1532" s="646"/>
      <c r="HVO1532" s="646"/>
      <c r="HVP1532" s="646"/>
      <c r="HVQ1532" s="646"/>
      <c r="HVR1532" s="646"/>
      <c r="HVS1532" s="646"/>
      <c r="HVT1532" s="646"/>
      <c r="HVU1532" s="646"/>
      <c r="HVV1532" s="646"/>
      <c r="HVW1532" s="646"/>
      <c r="HVX1532" s="646"/>
      <c r="HVY1532" s="646"/>
      <c r="HVZ1532" s="646"/>
      <c r="HWA1532" s="646"/>
      <c r="HWB1532" s="646"/>
      <c r="HWC1532" s="646"/>
      <c r="HWD1532" s="646"/>
      <c r="HWE1532" s="646"/>
      <c r="HWF1532" s="646"/>
      <c r="HWG1532" s="646"/>
      <c r="HWH1532" s="646"/>
      <c r="HWI1532" s="646"/>
      <c r="HWJ1532" s="646"/>
      <c r="HWK1532" s="646"/>
      <c r="HWL1532" s="646"/>
      <c r="HWM1532" s="646"/>
      <c r="HWN1532" s="646"/>
      <c r="HWO1532" s="646"/>
      <c r="HWP1532" s="646"/>
      <c r="HWQ1532" s="646"/>
      <c r="HWR1532" s="646"/>
      <c r="HWS1532" s="646"/>
      <c r="HWT1532" s="646"/>
      <c r="HWU1532" s="646"/>
      <c r="HWV1532" s="646"/>
      <c r="HWW1532" s="646"/>
      <c r="HWX1532" s="646"/>
      <c r="HWY1532" s="646"/>
      <c r="HWZ1532" s="646"/>
      <c r="HXA1532" s="646"/>
      <c r="HXB1532" s="646"/>
      <c r="HXC1532" s="646"/>
      <c r="HXD1532" s="646"/>
      <c r="HXE1532" s="646"/>
      <c r="HXF1532" s="646"/>
      <c r="HXG1532" s="646"/>
      <c r="HXH1532" s="646"/>
      <c r="HXI1532" s="646"/>
      <c r="HXJ1532" s="646"/>
      <c r="HXK1532" s="646"/>
      <c r="HXL1532" s="646"/>
      <c r="HXM1532" s="646"/>
      <c r="HXN1532" s="646"/>
      <c r="HXO1532" s="646"/>
      <c r="HXP1532" s="646"/>
      <c r="HXQ1532" s="646"/>
      <c r="HXR1532" s="646"/>
      <c r="HXS1532" s="646"/>
      <c r="HXT1532" s="646"/>
      <c r="HXU1532" s="646"/>
      <c r="HXV1532" s="646"/>
      <c r="HXW1532" s="646"/>
      <c r="HXX1532" s="646"/>
      <c r="HXY1532" s="646"/>
      <c r="HXZ1532" s="646"/>
      <c r="HYA1532" s="646"/>
      <c r="HYB1532" s="646"/>
      <c r="HYC1532" s="646"/>
      <c r="HYD1532" s="646"/>
      <c r="HYE1532" s="646"/>
      <c r="HYF1532" s="646"/>
      <c r="HYG1532" s="646"/>
      <c r="HYH1532" s="646"/>
      <c r="HYI1532" s="646"/>
      <c r="HYJ1532" s="646"/>
      <c r="HYK1532" s="646"/>
      <c r="HYL1532" s="646"/>
      <c r="HYM1532" s="646"/>
      <c r="HYN1532" s="646"/>
      <c r="HYO1532" s="646"/>
      <c r="HYP1532" s="646"/>
      <c r="HYQ1532" s="646"/>
      <c r="HYR1532" s="646"/>
      <c r="HYS1532" s="646"/>
      <c r="HYT1532" s="646"/>
      <c r="HYU1532" s="646"/>
      <c r="HYV1532" s="646"/>
      <c r="HYW1532" s="646"/>
      <c r="HYX1532" s="646"/>
      <c r="HYY1532" s="646"/>
      <c r="HYZ1532" s="646"/>
      <c r="HZA1532" s="646"/>
      <c r="HZB1532" s="646"/>
      <c r="HZC1532" s="646"/>
      <c r="HZD1532" s="646"/>
      <c r="HZE1532" s="646"/>
      <c r="HZF1532" s="646"/>
      <c r="HZG1532" s="646"/>
      <c r="HZH1532" s="646"/>
      <c r="HZI1532" s="646"/>
      <c r="HZJ1532" s="646"/>
      <c r="HZK1532" s="646"/>
      <c r="HZL1532" s="646"/>
      <c r="HZM1532" s="646"/>
      <c r="HZN1532" s="646"/>
      <c r="HZO1532" s="646"/>
      <c r="HZP1532" s="646"/>
      <c r="HZQ1532" s="646"/>
      <c r="HZR1532" s="646"/>
      <c r="HZS1532" s="646"/>
      <c r="HZT1532" s="646"/>
      <c r="HZU1532" s="646"/>
      <c r="HZV1532" s="646"/>
      <c r="HZW1532" s="646"/>
      <c r="HZX1532" s="646"/>
      <c r="HZY1532" s="646"/>
      <c r="HZZ1532" s="646"/>
      <c r="IAA1532" s="646"/>
      <c r="IAB1532" s="646"/>
      <c r="IAC1532" s="646"/>
      <c r="IAD1532" s="646"/>
      <c r="IAE1532" s="646"/>
      <c r="IAF1532" s="646"/>
      <c r="IAG1532" s="646"/>
      <c r="IAH1532" s="646"/>
      <c r="IAI1532" s="646"/>
      <c r="IAJ1532" s="646"/>
      <c r="IAK1532" s="646"/>
      <c r="IAL1532" s="646"/>
      <c r="IAM1532" s="646"/>
      <c r="IAN1532" s="646"/>
      <c r="IAO1532" s="646"/>
      <c r="IAP1532" s="646"/>
      <c r="IAQ1532" s="646"/>
      <c r="IAR1532" s="646"/>
      <c r="IAS1532" s="646"/>
      <c r="IAT1532" s="646"/>
      <c r="IAU1532" s="646"/>
      <c r="IAV1532" s="646"/>
      <c r="IAW1532" s="646"/>
      <c r="IAX1532" s="646"/>
      <c r="IAY1532" s="646"/>
      <c r="IAZ1532" s="646"/>
      <c r="IBA1532" s="646"/>
      <c r="IBB1532" s="646"/>
      <c r="IBC1532" s="646"/>
      <c r="IBD1532" s="646"/>
      <c r="IBE1532" s="646"/>
      <c r="IBF1532" s="646"/>
      <c r="IBG1532" s="646"/>
      <c r="IBH1532" s="646"/>
      <c r="IBI1532" s="646"/>
      <c r="IBJ1532" s="646"/>
      <c r="IBK1532" s="646"/>
      <c r="IBL1532" s="646"/>
      <c r="IBM1532" s="646"/>
      <c r="IBN1532" s="646"/>
      <c r="IBO1532" s="646"/>
      <c r="IBP1532" s="646"/>
      <c r="IBQ1532" s="646"/>
      <c r="IBR1532" s="646"/>
      <c r="IBS1532" s="646"/>
      <c r="IBT1532" s="646"/>
      <c r="IBU1532" s="646"/>
      <c r="IBV1532" s="646"/>
      <c r="IBW1532" s="646"/>
      <c r="IBX1532" s="646"/>
      <c r="IBY1532" s="646"/>
      <c r="IBZ1532" s="646"/>
      <c r="ICA1532" s="646"/>
      <c r="ICB1532" s="646"/>
      <c r="ICC1532" s="646"/>
      <c r="ICD1532" s="646"/>
      <c r="ICE1532" s="646"/>
      <c r="ICF1532" s="646"/>
      <c r="ICG1532" s="646"/>
      <c r="ICH1532" s="646"/>
      <c r="ICI1532" s="646"/>
      <c r="ICJ1532" s="646"/>
      <c r="ICK1532" s="646"/>
      <c r="ICL1532" s="646"/>
      <c r="ICM1532" s="646"/>
      <c r="ICN1532" s="646"/>
      <c r="ICO1532" s="646"/>
      <c r="ICP1532" s="646"/>
      <c r="ICQ1532" s="646"/>
      <c r="ICR1532" s="646"/>
      <c r="ICS1532" s="646"/>
      <c r="ICT1532" s="646"/>
      <c r="ICU1532" s="646"/>
      <c r="ICV1532" s="646"/>
      <c r="ICW1532" s="646"/>
      <c r="ICX1532" s="646"/>
      <c r="ICY1532" s="646"/>
      <c r="ICZ1532" s="646"/>
      <c r="IDA1532" s="646"/>
      <c r="IDB1532" s="646"/>
      <c r="IDC1532" s="646"/>
      <c r="IDD1532" s="646"/>
      <c r="IDE1532" s="646"/>
      <c r="IDF1532" s="646"/>
      <c r="IDG1532" s="646"/>
      <c r="IDH1532" s="646"/>
      <c r="IDI1532" s="646"/>
      <c r="IDJ1532" s="646"/>
      <c r="IDK1532" s="646"/>
      <c r="IDL1532" s="646"/>
      <c r="IDM1532" s="646"/>
      <c r="IDN1532" s="646"/>
      <c r="IDO1532" s="646"/>
      <c r="IDP1532" s="646"/>
      <c r="IDQ1532" s="646"/>
      <c r="IDR1532" s="646"/>
      <c r="IDS1532" s="646"/>
      <c r="IDT1532" s="646"/>
      <c r="IDU1532" s="646"/>
      <c r="IDV1532" s="646"/>
      <c r="IDW1532" s="646"/>
      <c r="IDX1532" s="646"/>
      <c r="IDY1532" s="646"/>
      <c r="IDZ1532" s="646"/>
      <c r="IEA1532" s="646"/>
      <c r="IEB1532" s="646"/>
      <c r="IEC1532" s="646"/>
      <c r="IED1532" s="646"/>
      <c r="IEE1532" s="646"/>
      <c r="IEF1532" s="646"/>
      <c r="IEG1532" s="646"/>
      <c r="IEH1532" s="646"/>
      <c r="IEI1532" s="646"/>
      <c r="IEJ1532" s="646"/>
      <c r="IEK1532" s="646"/>
      <c r="IEL1532" s="646"/>
      <c r="IEM1532" s="646"/>
      <c r="IEN1532" s="646"/>
      <c r="IEO1532" s="646"/>
      <c r="IEP1532" s="646"/>
      <c r="IEQ1532" s="646"/>
      <c r="IER1532" s="646"/>
      <c r="IES1532" s="646"/>
      <c r="IET1532" s="646"/>
      <c r="IEU1532" s="646"/>
      <c r="IEV1532" s="646"/>
      <c r="IEW1532" s="646"/>
      <c r="IEX1532" s="646"/>
      <c r="IEY1532" s="646"/>
      <c r="IEZ1532" s="646"/>
      <c r="IFA1532" s="646"/>
      <c r="IFB1532" s="646"/>
      <c r="IFC1532" s="646"/>
      <c r="IFD1532" s="646"/>
      <c r="IFE1532" s="646"/>
      <c r="IFF1532" s="646"/>
      <c r="IFG1532" s="646"/>
      <c r="IFH1532" s="646"/>
      <c r="IFI1532" s="646"/>
      <c r="IFJ1532" s="646"/>
      <c r="IFK1532" s="646"/>
      <c r="IFL1532" s="646"/>
      <c r="IFM1532" s="646"/>
      <c r="IFN1532" s="646"/>
      <c r="IFO1532" s="646"/>
      <c r="IFP1532" s="646"/>
      <c r="IFQ1532" s="646"/>
      <c r="IFR1532" s="646"/>
      <c r="IFS1532" s="646"/>
      <c r="IFT1532" s="646"/>
      <c r="IFU1532" s="646"/>
      <c r="IFV1532" s="646"/>
      <c r="IFW1532" s="646"/>
      <c r="IFX1532" s="646"/>
      <c r="IFY1532" s="646"/>
      <c r="IFZ1532" s="646"/>
      <c r="IGA1532" s="646"/>
      <c r="IGB1532" s="646"/>
      <c r="IGC1532" s="646"/>
      <c r="IGD1532" s="646"/>
      <c r="IGE1532" s="646"/>
      <c r="IGF1532" s="646"/>
      <c r="IGG1532" s="646"/>
      <c r="IGH1532" s="646"/>
      <c r="IGI1532" s="646"/>
      <c r="IGJ1532" s="646"/>
      <c r="IGK1532" s="646"/>
      <c r="IGL1532" s="646"/>
      <c r="IGM1532" s="646"/>
      <c r="IGN1532" s="646"/>
      <c r="IGO1532" s="646"/>
      <c r="IGP1532" s="646"/>
      <c r="IGQ1532" s="646"/>
      <c r="IGR1532" s="646"/>
      <c r="IGS1532" s="646"/>
      <c r="IGT1532" s="646"/>
      <c r="IGU1532" s="646"/>
      <c r="IGV1532" s="646"/>
      <c r="IGW1532" s="646"/>
      <c r="IGX1532" s="646"/>
      <c r="IGY1532" s="646"/>
      <c r="IGZ1532" s="646"/>
      <c r="IHA1532" s="646"/>
      <c r="IHB1532" s="646"/>
      <c r="IHC1532" s="646"/>
      <c r="IHD1532" s="646"/>
      <c r="IHE1532" s="646"/>
      <c r="IHF1532" s="646"/>
      <c r="IHG1532" s="646"/>
      <c r="IHH1532" s="646"/>
      <c r="IHI1532" s="646"/>
      <c r="IHJ1532" s="646"/>
      <c r="IHK1532" s="646"/>
      <c r="IHL1532" s="646"/>
      <c r="IHM1532" s="646"/>
      <c r="IHN1532" s="646"/>
      <c r="IHO1532" s="646"/>
      <c r="IHP1532" s="646"/>
      <c r="IHQ1532" s="646"/>
      <c r="IHR1532" s="646"/>
      <c r="IHS1532" s="646"/>
      <c r="IHT1532" s="646"/>
      <c r="IHU1532" s="646"/>
      <c r="IHV1532" s="646"/>
      <c r="IHW1532" s="646"/>
      <c r="IHX1532" s="646"/>
      <c r="IHY1532" s="646"/>
      <c r="IHZ1532" s="646"/>
      <c r="IIA1532" s="646"/>
      <c r="IIB1532" s="646"/>
      <c r="IIC1532" s="646"/>
      <c r="IID1532" s="646"/>
      <c r="IIE1532" s="646"/>
      <c r="IIF1532" s="646"/>
      <c r="IIG1532" s="646"/>
      <c r="IIH1532" s="646"/>
      <c r="III1532" s="646"/>
      <c r="IIJ1532" s="646"/>
      <c r="IIK1532" s="646"/>
      <c r="IIL1532" s="646"/>
      <c r="IIM1532" s="646"/>
      <c r="IIN1532" s="646"/>
      <c r="IIO1532" s="646"/>
      <c r="IIP1532" s="646"/>
      <c r="IIQ1532" s="646"/>
      <c r="IIR1532" s="646"/>
      <c r="IIS1532" s="646"/>
      <c r="IIT1532" s="646"/>
      <c r="IIU1532" s="646"/>
      <c r="IIV1532" s="646"/>
      <c r="IIW1532" s="646"/>
      <c r="IIX1532" s="646"/>
      <c r="IIY1532" s="646"/>
      <c r="IIZ1532" s="646"/>
      <c r="IJA1532" s="646"/>
      <c r="IJB1532" s="646"/>
      <c r="IJC1532" s="646"/>
      <c r="IJD1532" s="646"/>
      <c r="IJE1532" s="646"/>
      <c r="IJF1532" s="646"/>
      <c r="IJG1532" s="646"/>
      <c r="IJH1532" s="646"/>
      <c r="IJI1532" s="646"/>
      <c r="IJJ1532" s="646"/>
      <c r="IJK1532" s="646"/>
      <c r="IJL1532" s="646"/>
      <c r="IJM1532" s="646"/>
      <c r="IJN1532" s="646"/>
      <c r="IJO1532" s="646"/>
      <c r="IJP1532" s="646"/>
      <c r="IJQ1532" s="646"/>
      <c r="IJR1532" s="646"/>
      <c r="IJS1532" s="646"/>
      <c r="IJT1532" s="646"/>
      <c r="IJU1532" s="646"/>
      <c r="IJV1532" s="646"/>
      <c r="IJW1532" s="646"/>
      <c r="IJX1532" s="646"/>
      <c r="IJY1532" s="646"/>
      <c r="IJZ1532" s="646"/>
      <c r="IKA1532" s="646"/>
      <c r="IKB1532" s="646"/>
      <c r="IKC1532" s="646"/>
      <c r="IKD1532" s="646"/>
      <c r="IKE1532" s="646"/>
      <c r="IKF1532" s="646"/>
      <c r="IKG1532" s="646"/>
      <c r="IKH1532" s="646"/>
      <c r="IKI1532" s="646"/>
      <c r="IKJ1532" s="646"/>
      <c r="IKK1532" s="646"/>
      <c r="IKL1532" s="646"/>
      <c r="IKM1532" s="646"/>
      <c r="IKN1532" s="646"/>
      <c r="IKO1532" s="646"/>
      <c r="IKP1532" s="646"/>
      <c r="IKQ1532" s="646"/>
      <c r="IKR1532" s="646"/>
      <c r="IKS1532" s="646"/>
      <c r="IKT1532" s="646"/>
      <c r="IKU1532" s="646"/>
      <c r="IKV1532" s="646"/>
      <c r="IKW1532" s="646"/>
      <c r="IKX1532" s="646"/>
      <c r="IKY1532" s="646"/>
      <c r="IKZ1532" s="646"/>
      <c r="ILA1532" s="646"/>
      <c r="ILB1532" s="646"/>
      <c r="ILC1532" s="646"/>
      <c r="ILD1532" s="646"/>
      <c r="ILE1532" s="646"/>
      <c r="ILF1532" s="646"/>
      <c r="ILG1532" s="646"/>
      <c r="ILH1532" s="646"/>
      <c r="ILI1532" s="646"/>
      <c r="ILJ1532" s="646"/>
      <c r="ILK1532" s="646"/>
      <c r="ILL1532" s="646"/>
      <c r="ILM1532" s="646"/>
      <c r="ILN1532" s="646"/>
      <c r="ILO1532" s="646"/>
      <c r="ILP1532" s="646"/>
      <c r="ILQ1532" s="646"/>
      <c r="ILR1532" s="646"/>
      <c r="ILS1532" s="646"/>
      <c r="ILT1532" s="646"/>
      <c r="ILU1532" s="646"/>
      <c r="ILV1532" s="646"/>
      <c r="ILW1532" s="646"/>
      <c r="ILX1532" s="646"/>
      <c r="ILY1532" s="646"/>
      <c r="ILZ1532" s="646"/>
      <c r="IMA1532" s="646"/>
      <c r="IMB1532" s="646"/>
      <c r="IMC1532" s="646"/>
      <c r="IMD1532" s="646"/>
      <c r="IME1532" s="646"/>
      <c r="IMF1532" s="646"/>
      <c r="IMG1532" s="646"/>
      <c r="IMH1532" s="646"/>
      <c r="IMI1532" s="646"/>
      <c r="IMJ1532" s="646"/>
      <c r="IMK1532" s="646"/>
      <c r="IML1532" s="646"/>
      <c r="IMM1532" s="646"/>
      <c r="IMN1532" s="646"/>
      <c r="IMO1532" s="646"/>
      <c r="IMP1532" s="646"/>
      <c r="IMQ1532" s="646"/>
      <c r="IMR1532" s="646"/>
      <c r="IMS1532" s="646"/>
      <c r="IMT1532" s="646"/>
      <c r="IMU1532" s="646"/>
      <c r="IMV1532" s="646"/>
      <c r="IMW1532" s="646"/>
      <c r="IMX1532" s="646"/>
      <c r="IMY1532" s="646"/>
      <c r="IMZ1532" s="646"/>
      <c r="INA1532" s="646"/>
      <c r="INB1532" s="646"/>
      <c r="INC1532" s="646"/>
      <c r="IND1532" s="646"/>
      <c r="INE1532" s="646"/>
      <c r="INF1532" s="646"/>
      <c r="ING1532" s="646"/>
      <c r="INH1532" s="646"/>
      <c r="INI1532" s="646"/>
      <c r="INJ1532" s="646"/>
      <c r="INK1532" s="646"/>
      <c r="INL1532" s="646"/>
      <c r="INM1532" s="646"/>
      <c r="INN1532" s="646"/>
      <c r="INO1532" s="646"/>
      <c r="INP1532" s="646"/>
      <c r="INQ1532" s="646"/>
      <c r="INR1532" s="646"/>
      <c r="INS1532" s="646"/>
      <c r="INT1532" s="646"/>
      <c r="INU1532" s="646"/>
      <c r="INV1532" s="646"/>
      <c r="INW1532" s="646"/>
      <c r="INX1532" s="646"/>
      <c r="INY1532" s="646"/>
      <c r="INZ1532" s="646"/>
      <c r="IOA1532" s="646"/>
      <c r="IOB1532" s="646"/>
      <c r="IOC1532" s="646"/>
      <c r="IOD1532" s="646"/>
      <c r="IOE1532" s="646"/>
      <c r="IOF1532" s="646"/>
      <c r="IOG1532" s="646"/>
      <c r="IOH1532" s="646"/>
      <c r="IOI1532" s="646"/>
      <c r="IOJ1532" s="646"/>
      <c r="IOK1532" s="646"/>
      <c r="IOL1532" s="646"/>
      <c r="IOM1532" s="646"/>
      <c r="ION1532" s="646"/>
      <c r="IOO1532" s="646"/>
      <c r="IOP1532" s="646"/>
      <c r="IOQ1532" s="646"/>
      <c r="IOR1532" s="646"/>
      <c r="IOS1532" s="646"/>
      <c r="IOT1532" s="646"/>
      <c r="IOU1532" s="646"/>
      <c r="IOV1532" s="646"/>
      <c r="IOW1532" s="646"/>
      <c r="IOX1532" s="646"/>
      <c r="IOY1532" s="646"/>
      <c r="IOZ1532" s="646"/>
      <c r="IPA1532" s="646"/>
      <c r="IPB1532" s="646"/>
      <c r="IPC1532" s="646"/>
      <c r="IPD1532" s="646"/>
      <c r="IPE1532" s="646"/>
      <c r="IPF1532" s="646"/>
      <c r="IPG1532" s="646"/>
      <c r="IPH1532" s="646"/>
      <c r="IPI1532" s="646"/>
      <c r="IPJ1532" s="646"/>
      <c r="IPK1532" s="646"/>
      <c r="IPL1532" s="646"/>
      <c r="IPM1532" s="646"/>
      <c r="IPN1532" s="646"/>
      <c r="IPO1532" s="646"/>
      <c r="IPP1532" s="646"/>
      <c r="IPQ1532" s="646"/>
      <c r="IPR1532" s="646"/>
      <c r="IPS1532" s="646"/>
      <c r="IPT1532" s="646"/>
      <c r="IPU1532" s="646"/>
      <c r="IPV1532" s="646"/>
      <c r="IPW1532" s="646"/>
      <c r="IPX1532" s="646"/>
      <c r="IPY1532" s="646"/>
      <c r="IPZ1532" s="646"/>
      <c r="IQA1532" s="646"/>
      <c r="IQB1532" s="646"/>
      <c r="IQC1532" s="646"/>
      <c r="IQD1532" s="646"/>
      <c r="IQE1532" s="646"/>
      <c r="IQF1532" s="646"/>
      <c r="IQG1532" s="646"/>
      <c r="IQH1532" s="646"/>
      <c r="IQI1532" s="646"/>
      <c r="IQJ1532" s="646"/>
      <c r="IQK1532" s="646"/>
      <c r="IQL1532" s="646"/>
      <c r="IQM1532" s="646"/>
      <c r="IQN1532" s="646"/>
      <c r="IQO1532" s="646"/>
      <c r="IQP1532" s="646"/>
      <c r="IQQ1532" s="646"/>
      <c r="IQR1532" s="646"/>
      <c r="IQS1532" s="646"/>
      <c r="IQT1532" s="646"/>
      <c r="IQU1532" s="646"/>
      <c r="IQV1532" s="646"/>
      <c r="IQW1532" s="646"/>
      <c r="IQX1532" s="646"/>
      <c r="IQY1532" s="646"/>
      <c r="IQZ1532" s="646"/>
      <c r="IRA1532" s="646"/>
      <c r="IRB1532" s="646"/>
      <c r="IRC1532" s="646"/>
      <c r="IRD1532" s="646"/>
      <c r="IRE1532" s="646"/>
      <c r="IRF1532" s="646"/>
      <c r="IRG1532" s="646"/>
      <c r="IRH1532" s="646"/>
      <c r="IRI1532" s="646"/>
      <c r="IRJ1532" s="646"/>
      <c r="IRK1532" s="646"/>
      <c r="IRL1532" s="646"/>
      <c r="IRM1532" s="646"/>
      <c r="IRN1532" s="646"/>
      <c r="IRO1532" s="646"/>
      <c r="IRP1532" s="646"/>
      <c r="IRQ1532" s="646"/>
      <c r="IRR1532" s="646"/>
      <c r="IRS1532" s="646"/>
      <c r="IRT1532" s="646"/>
      <c r="IRU1532" s="646"/>
      <c r="IRV1532" s="646"/>
      <c r="IRW1532" s="646"/>
      <c r="IRX1532" s="646"/>
      <c r="IRY1532" s="646"/>
      <c r="IRZ1532" s="646"/>
      <c r="ISA1532" s="646"/>
      <c r="ISB1532" s="646"/>
      <c r="ISC1532" s="646"/>
      <c r="ISD1532" s="646"/>
      <c r="ISE1532" s="646"/>
      <c r="ISF1532" s="646"/>
      <c r="ISG1532" s="646"/>
      <c r="ISH1532" s="646"/>
      <c r="ISI1532" s="646"/>
      <c r="ISJ1532" s="646"/>
      <c r="ISK1532" s="646"/>
      <c r="ISL1532" s="646"/>
      <c r="ISM1532" s="646"/>
      <c r="ISN1532" s="646"/>
      <c r="ISO1532" s="646"/>
      <c r="ISP1532" s="646"/>
      <c r="ISQ1532" s="646"/>
      <c r="ISR1532" s="646"/>
      <c r="ISS1532" s="646"/>
      <c r="IST1532" s="646"/>
      <c r="ISU1532" s="646"/>
      <c r="ISV1532" s="646"/>
      <c r="ISW1532" s="646"/>
      <c r="ISX1532" s="646"/>
      <c r="ISY1532" s="646"/>
      <c r="ISZ1532" s="646"/>
      <c r="ITA1532" s="646"/>
      <c r="ITB1532" s="646"/>
      <c r="ITC1532" s="646"/>
      <c r="ITD1532" s="646"/>
      <c r="ITE1532" s="646"/>
      <c r="ITF1532" s="646"/>
      <c r="ITG1532" s="646"/>
      <c r="ITH1532" s="646"/>
      <c r="ITI1532" s="646"/>
      <c r="ITJ1532" s="646"/>
      <c r="ITK1532" s="646"/>
      <c r="ITL1532" s="646"/>
      <c r="ITM1532" s="646"/>
      <c r="ITN1532" s="646"/>
      <c r="ITO1532" s="646"/>
      <c r="ITP1532" s="646"/>
      <c r="ITQ1532" s="646"/>
      <c r="ITR1532" s="646"/>
      <c r="ITS1532" s="646"/>
      <c r="ITT1532" s="646"/>
      <c r="ITU1532" s="646"/>
      <c r="ITV1532" s="646"/>
      <c r="ITW1532" s="646"/>
      <c r="ITX1532" s="646"/>
      <c r="ITY1532" s="646"/>
      <c r="ITZ1532" s="646"/>
      <c r="IUA1532" s="646"/>
      <c r="IUB1532" s="646"/>
      <c r="IUC1532" s="646"/>
      <c r="IUD1532" s="646"/>
      <c r="IUE1532" s="646"/>
      <c r="IUF1532" s="646"/>
      <c r="IUG1532" s="646"/>
      <c r="IUH1532" s="646"/>
      <c r="IUI1532" s="646"/>
      <c r="IUJ1532" s="646"/>
      <c r="IUK1532" s="646"/>
      <c r="IUL1532" s="646"/>
      <c r="IUM1532" s="646"/>
      <c r="IUN1532" s="646"/>
      <c r="IUO1532" s="646"/>
      <c r="IUP1532" s="646"/>
      <c r="IUQ1532" s="646"/>
      <c r="IUR1532" s="646"/>
      <c r="IUS1532" s="646"/>
      <c r="IUT1532" s="646"/>
      <c r="IUU1532" s="646"/>
      <c r="IUV1532" s="646"/>
      <c r="IUW1532" s="646"/>
      <c r="IUX1532" s="646"/>
      <c r="IUY1532" s="646"/>
      <c r="IUZ1532" s="646"/>
      <c r="IVA1532" s="646"/>
      <c r="IVB1532" s="646"/>
      <c r="IVC1532" s="646"/>
      <c r="IVD1532" s="646"/>
      <c r="IVE1532" s="646"/>
      <c r="IVF1532" s="646"/>
      <c r="IVG1532" s="646"/>
      <c r="IVH1532" s="646"/>
      <c r="IVI1532" s="646"/>
      <c r="IVJ1532" s="646"/>
      <c r="IVK1532" s="646"/>
      <c r="IVL1532" s="646"/>
      <c r="IVM1532" s="646"/>
      <c r="IVN1532" s="646"/>
      <c r="IVO1532" s="646"/>
      <c r="IVP1532" s="646"/>
      <c r="IVQ1532" s="646"/>
      <c r="IVR1532" s="646"/>
      <c r="IVS1532" s="646"/>
      <c r="IVT1532" s="646"/>
      <c r="IVU1532" s="646"/>
      <c r="IVV1532" s="646"/>
      <c r="IVW1532" s="646"/>
      <c r="IVX1532" s="646"/>
      <c r="IVY1532" s="646"/>
      <c r="IVZ1532" s="646"/>
      <c r="IWA1532" s="646"/>
      <c r="IWB1532" s="646"/>
      <c r="IWC1532" s="646"/>
      <c r="IWD1532" s="646"/>
      <c r="IWE1532" s="646"/>
      <c r="IWF1532" s="646"/>
      <c r="IWG1532" s="646"/>
      <c r="IWH1532" s="646"/>
      <c r="IWI1532" s="646"/>
      <c r="IWJ1532" s="646"/>
      <c r="IWK1532" s="646"/>
      <c r="IWL1532" s="646"/>
      <c r="IWM1532" s="646"/>
      <c r="IWN1532" s="646"/>
      <c r="IWO1532" s="646"/>
      <c r="IWP1532" s="646"/>
      <c r="IWQ1532" s="646"/>
      <c r="IWR1532" s="646"/>
      <c r="IWS1532" s="646"/>
      <c r="IWT1532" s="646"/>
      <c r="IWU1532" s="646"/>
      <c r="IWV1532" s="646"/>
      <c r="IWW1532" s="646"/>
      <c r="IWX1532" s="646"/>
      <c r="IWY1532" s="646"/>
      <c r="IWZ1532" s="646"/>
      <c r="IXA1532" s="646"/>
      <c r="IXB1532" s="646"/>
      <c r="IXC1532" s="646"/>
      <c r="IXD1532" s="646"/>
      <c r="IXE1532" s="646"/>
      <c r="IXF1532" s="646"/>
      <c r="IXG1532" s="646"/>
      <c r="IXH1532" s="646"/>
      <c r="IXI1532" s="646"/>
      <c r="IXJ1532" s="646"/>
      <c r="IXK1532" s="646"/>
      <c r="IXL1532" s="646"/>
      <c r="IXM1532" s="646"/>
      <c r="IXN1532" s="646"/>
      <c r="IXO1532" s="646"/>
      <c r="IXP1532" s="646"/>
      <c r="IXQ1532" s="646"/>
      <c r="IXR1532" s="646"/>
      <c r="IXS1532" s="646"/>
      <c r="IXT1532" s="646"/>
      <c r="IXU1532" s="646"/>
      <c r="IXV1532" s="646"/>
      <c r="IXW1532" s="646"/>
      <c r="IXX1532" s="646"/>
      <c r="IXY1532" s="646"/>
      <c r="IXZ1532" s="646"/>
      <c r="IYA1532" s="646"/>
      <c r="IYB1532" s="646"/>
      <c r="IYC1532" s="646"/>
      <c r="IYD1532" s="646"/>
      <c r="IYE1532" s="646"/>
      <c r="IYF1532" s="646"/>
      <c r="IYG1532" s="646"/>
      <c r="IYH1532" s="646"/>
      <c r="IYI1532" s="646"/>
      <c r="IYJ1532" s="646"/>
      <c r="IYK1532" s="646"/>
      <c r="IYL1532" s="646"/>
      <c r="IYM1532" s="646"/>
      <c r="IYN1532" s="646"/>
      <c r="IYO1532" s="646"/>
      <c r="IYP1532" s="646"/>
      <c r="IYQ1532" s="646"/>
      <c r="IYR1532" s="646"/>
      <c r="IYS1532" s="646"/>
      <c r="IYT1532" s="646"/>
      <c r="IYU1532" s="646"/>
      <c r="IYV1532" s="646"/>
      <c r="IYW1532" s="646"/>
      <c r="IYX1532" s="646"/>
      <c r="IYY1532" s="646"/>
      <c r="IYZ1532" s="646"/>
      <c r="IZA1532" s="646"/>
      <c r="IZB1532" s="646"/>
      <c r="IZC1532" s="646"/>
      <c r="IZD1532" s="646"/>
      <c r="IZE1532" s="646"/>
      <c r="IZF1532" s="646"/>
      <c r="IZG1532" s="646"/>
      <c r="IZH1532" s="646"/>
      <c r="IZI1532" s="646"/>
      <c r="IZJ1532" s="646"/>
      <c r="IZK1532" s="646"/>
      <c r="IZL1532" s="646"/>
      <c r="IZM1532" s="646"/>
      <c r="IZN1532" s="646"/>
      <c r="IZO1532" s="646"/>
      <c r="IZP1532" s="646"/>
      <c r="IZQ1532" s="646"/>
      <c r="IZR1532" s="646"/>
      <c r="IZS1532" s="646"/>
      <c r="IZT1532" s="646"/>
      <c r="IZU1532" s="646"/>
      <c r="IZV1532" s="646"/>
      <c r="IZW1532" s="646"/>
      <c r="IZX1532" s="646"/>
      <c r="IZY1532" s="646"/>
      <c r="IZZ1532" s="646"/>
      <c r="JAA1532" s="646"/>
      <c r="JAB1532" s="646"/>
      <c r="JAC1532" s="646"/>
      <c r="JAD1532" s="646"/>
      <c r="JAE1532" s="646"/>
      <c r="JAF1532" s="646"/>
      <c r="JAG1532" s="646"/>
      <c r="JAH1532" s="646"/>
      <c r="JAI1532" s="646"/>
      <c r="JAJ1532" s="646"/>
      <c r="JAK1532" s="646"/>
      <c r="JAL1532" s="646"/>
      <c r="JAM1532" s="646"/>
      <c r="JAN1532" s="646"/>
      <c r="JAO1532" s="646"/>
      <c r="JAP1532" s="646"/>
      <c r="JAQ1532" s="646"/>
      <c r="JAR1532" s="646"/>
      <c r="JAS1532" s="646"/>
      <c r="JAT1532" s="646"/>
      <c r="JAU1532" s="646"/>
      <c r="JAV1532" s="646"/>
      <c r="JAW1532" s="646"/>
      <c r="JAX1532" s="646"/>
      <c r="JAY1532" s="646"/>
      <c r="JAZ1532" s="646"/>
      <c r="JBA1532" s="646"/>
      <c r="JBB1532" s="646"/>
      <c r="JBC1532" s="646"/>
      <c r="JBD1532" s="646"/>
      <c r="JBE1532" s="646"/>
      <c r="JBF1532" s="646"/>
      <c r="JBG1532" s="646"/>
      <c r="JBH1532" s="646"/>
      <c r="JBI1532" s="646"/>
      <c r="JBJ1532" s="646"/>
      <c r="JBK1532" s="646"/>
      <c r="JBL1532" s="646"/>
      <c r="JBM1532" s="646"/>
      <c r="JBN1532" s="646"/>
      <c r="JBO1532" s="646"/>
      <c r="JBP1532" s="646"/>
      <c r="JBQ1532" s="646"/>
      <c r="JBR1532" s="646"/>
      <c r="JBS1532" s="646"/>
      <c r="JBT1532" s="646"/>
      <c r="JBU1532" s="646"/>
      <c r="JBV1532" s="646"/>
      <c r="JBW1532" s="646"/>
      <c r="JBX1532" s="646"/>
      <c r="JBY1532" s="646"/>
      <c r="JBZ1532" s="646"/>
      <c r="JCA1532" s="646"/>
      <c r="JCB1532" s="646"/>
      <c r="JCC1532" s="646"/>
      <c r="JCD1532" s="646"/>
      <c r="JCE1532" s="646"/>
      <c r="JCF1532" s="646"/>
      <c r="JCG1532" s="646"/>
      <c r="JCH1532" s="646"/>
      <c r="JCI1532" s="646"/>
      <c r="JCJ1532" s="646"/>
      <c r="JCK1532" s="646"/>
      <c r="JCL1532" s="646"/>
      <c r="JCM1532" s="646"/>
      <c r="JCN1532" s="646"/>
      <c r="JCO1532" s="646"/>
      <c r="JCP1532" s="646"/>
      <c r="JCQ1532" s="646"/>
      <c r="JCR1532" s="646"/>
      <c r="JCS1532" s="646"/>
      <c r="JCT1532" s="646"/>
      <c r="JCU1532" s="646"/>
      <c r="JCV1532" s="646"/>
      <c r="JCW1532" s="646"/>
      <c r="JCX1532" s="646"/>
      <c r="JCY1532" s="646"/>
      <c r="JCZ1532" s="646"/>
      <c r="JDA1532" s="646"/>
      <c r="JDB1532" s="646"/>
      <c r="JDC1532" s="646"/>
      <c r="JDD1532" s="646"/>
      <c r="JDE1532" s="646"/>
      <c r="JDF1532" s="646"/>
      <c r="JDG1532" s="646"/>
      <c r="JDH1532" s="646"/>
      <c r="JDI1532" s="646"/>
      <c r="JDJ1532" s="646"/>
      <c r="JDK1532" s="646"/>
      <c r="JDL1532" s="646"/>
      <c r="JDM1532" s="646"/>
      <c r="JDN1532" s="646"/>
      <c r="JDO1532" s="646"/>
      <c r="JDP1532" s="646"/>
      <c r="JDQ1532" s="646"/>
      <c r="JDR1532" s="646"/>
      <c r="JDS1532" s="646"/>
      <c r="JDT1532" s="646"/>
      <c r="JDU1532" s="646"/>
      <c r="JDV1532" s="646"/>
      <c r="JDW1532" s="646"/>
      <c r="JDX1532" s="646"/>
      <c r="JDY1532" s="646"/>
      <c r="JDZ1532" s="646"/>
      <c r="JEA1532" s="646"/>
      <c r="JEB1532" s="646"/>
      <c r="JEC1532" s="646"/>
      <c r="JED1532" s="646"/>
      <c r="JEE1532" s="646"/>
      <c r="JEF1532" s="646"/>
      <c r="JEG1532" s="646"/>
      <c r="JEH1532" s="646"/>
      <c r="JEI1532" s="646"/>
      <c r="JEJ1532" s="646"/>
      <c r="JEK1532" s="646"/>
      <c r="JEL1532" s="646"/>
      <c r="JEM1532" s="646"/>
      <c r="JEN1532" s="646"/>
      <c r="JEO1532" s="646"/>
      <c r="JEP1532" s="646"/>
      <c r="JEQ1532" s="646"/>
      <c r="JER1532" s="646"/>
      <c r="JES1532" s="646"/>
      <c r="JET1532" s="646"/>
      <c r="JEU1532" s="646"/>
      <c r="JEV1532" s="646"/>
      <c r="JEW1532" s="646"/>
      <c r="JEX1532" s="646"/>
      <c r="JEY1532" s="646"/>
      <c r="JEZ1532" s="646"/>
      <c r="JFA1532" s="646"/>
      <c r="JFB1532" s="646"/>
      <c r="JFC1532" s="646"/>
      <c r="JFD1532" s="646"/>
      <c r="JFE1532" s="646"/>
      <c r="JFF1532" s="646"/>
      <c r="JFG1532" s="646"/>
      <c r="JFH1532" s="646"/>
      <c r="JFI1532" s="646"/>
      <c r="JFJ1532" s="646"/>
      <c r="JFK1532" s="646"/>
      <c r="JFL1532" s="646"/>
      <c r="JFM1532" s="646"/>
      <c r="JFN1532" s="646"/>
      <c r="JFO1532" s="646"/>
      <c r="JFP1532" s="646"/>
      <c r="JFQ1532" s="646"/>
      <c r="JFR1532" s="646"/>
      <c r="JFS1532" s="646"/>
      <c r="JFT1532" s="646"/>
      <c r="JFU1532" s="646"/>
      <c r="JFV1532" s="646"/>
      <c r="JFW1532" s="646"/>
      <c r="JFX1532" s="646"/>
      <c r="JFY1532" s="646"/>
      <c r="JFZ1532" s="646"/>
      <c r="JGA1532" s="646"/>
      <c r="JGB1532" s="646"/>
      <c r="JGC1532" s="646"/>
      <c r="JGD1532" s="646"/>
      <c r="JGE1532" s="646"/>
      <c r="JGF1532" s="646"/>
      <c r="JGG1532" s="646"/>
      <c r="JGH1532" s="646"/>
      <c r="JGI1532" s="646"/>
      <c r="JGJ1532" s="646"/>
      <c r="JGK1532" s="646"/>
      <c r="JGL1532" s="646"/>
      <c r="JGM1532" s="646"/>
      <c r="JGN1532" s="646"/>
      <c r="JGO1532" s="646"/>
      <c r="JGP1532" s="646"/>
      <c r="JGQ1532" s="646"/>
      <c r="JGR1532" s="646"/>
      <c r="JGS1532" s="646"/>
      <c r="JGT1532" s="646"/>
      <c r="JGU1532" s="646"/>
      <c r="JGV1532" s="646"/>
      <c r="JGW1532" s="646"/>
      <c r="JGX1532" s="646"/>
      <c r="JGY1532" s="646"/>
      <c r="JGZ1532" s="646"/>
      <c r="JHA1532" s="646"/>
      <c r="JHB1532" s="646"/>
      <c r="JHC1532" s="646"/>
      <c r="JHD1532" s="646"/>
      <c r="JHE1532" s="646"/>
      <c r="JHF1532" s="646"/>
      <c r="JHG1532" s="646"/>
      <c r="JHH1532" s="646"/>
      <c r="JHI1532" s="646"/>
      <c r="JHJ1532" s="646"/>
      <c r="JHK1532" s="646"/>
      <c r="JHL1532" s="646"/>
      <c r="JHM1532" s="646"/>
      <c r="JHN1532" s="646"/>
      <c r="JHO1532" s="646"/>
      <c r="JHP1532" s="646"/>
      <c r="JHQ1532" s="646"/>
      <c r="JHR1532" s="646"/>
      <c r="JHS1532" s="646"/>
      <c r="JHT1532" s="646"/>
      <c r="JHU1532" s="646"/>
      <c r="JHV1532" s="646"/>
      <c r="JHW1532" s="646"/>
      <c r="JHX1532" s="646"/>
      <c r="JHY1532" s="646"/>
      <c r="JHZ1532" s="646"/>
      <c r="JIA1532" s="646"/>
      <c r="JIB1532" s="646"/>
      <c r="JIC1532" s="646"/>
      <c r="JID1532" s="646"/>
      <c r="JIE1532" s="646"/>
      <c r="JIF1532" s="646"/>
      <c r="JIG1532" s="646"/>
      <c r="JIH1532" s="646"/>
      <c r="JII1532" s="646"/>
      <c r="JIJ1532" s="646"/>
      <c r="JIK1532" s="646"/>
      <c r="JIL1532" s="646"/>
      <c r="JIM1532" s="646"/>
      <c r="JIN1532" s="646"/>
      <c r="JIO1532" s="646"/>
      <c r="JIP1532" s="646"/>
      <c r="JIQ1532" s="646"/>
      <c r="JIR1532" s="646"/>
      <c r="JIS1532" s="646"/>
      <c r="JIT1532" s="646"/>
      <c r="JIU1532" s="646"/>
      <c r="JIV1532" s="646"/>
      <c r="JIW1532" s="646"/>
      <c r="JIX1532" s="646"/>
      <c r="JIY1532" s="646"/>
      <c r="JIZ1532" s="646"/>
      <c r="JJA1532" s="646"/>
      <c r="JJB1532" s="646"/>
      <c r="JJC1532" s="646"/>
      <c r="JJD1532" s="646"/>
      <c r="JJE1532" s="646"/>
      <c r="JJF1532" s="646"/>
      <c r="JJG1532" s="646"/>
      <c r="JJH1532" s="646"/>
      <c r="JJI1532" s="646"/>
      <c r="JJJ1532" s="646"/>
      <c r="JJK1532" s="646"/>
      <c r="JJL1532" s="646"/>
      <c r="JJM1532" s="646"/>
      <c r="JJN1532" s="646"/>
      <c r="JJO1532" s="646"/>
      <c r="JJP1532" s="646"/>
      <c r="JJQ1532" s="646"/>
      <c r="JJR1532" s="646"/>
      <c r="JJS1532" s="646"/>
      <c r="JJT1532" s="646"/>
      <c r="JJU1532" s="646"/>
      <c r="JJV1532" s="646"/>
      <c r="JJW1532" s="646"/>
      <c r="JJX1532" s="646"/>
      <c r="JJY1532" s="646"/>
      <c r="JJZ1532" s="646"/>
      <c r="JKA1532" s="646"/>
      <c r="JKB1532" s="646"/>
      <c r="JKC1532" s="646"/>
      <c r="JKD1532" s="646"/>
      <c r="JKE1532" s="646"/>
      <c r="JKF1532" s="646"/>
      <c r="JKG1532" s="646"/>
      <c r="JKH1532" s="646"/>
      <c r="JKI1532" s="646"/>
      <c r="JKJ1532" s="646"/>
      <c r="JKK1532" s="646"/>
      <c r="JKL1532" s="646"/>
      <c r="JKM1532" s="646"/>
      <c r="JKN1532" s="646"/>
      <c r="JKO1532" s="646"/>
      <c r="JKP1532" s="646"/>
      <c r="JKQ1532" s="646"/>
      <c r="JKR1532" s="646"/>
      <c r="JKS1532" s="646"/>
      <c r="JKT1532" s="646"/>
      <c r="JKU1532" s="646"/>
      <c r="JKV1532" s="646"/>
      <c r="JKW1532" s="646"/>
      <c r="JKX1532" s="646"/>
      <c r="JKY1532" s="646"/>
      <c r="JKZ1532" s="646"/>
      <c r="JLA1532" s="646"/>
      <c r="JLB1532" s="646"/>
      <c r="JLC1532" s="646"/>
      <c r="JLD1532" s="646"/>
      <c r="JLE1532" s="646"/>
      <c r="JLF1532" s="646"/>
      <c r="JLG1532" s="646"/>
      <c r="JLH1532" s="646"/>
      <c r="JLI1532" s="646"/>
      <c r="JLJ1532" s="646"/>
      <c r="JLK1532" s="646"/>
      <c r="JLL1532" s="646"/>
      <c r="JLM1532" s="646"/>
      <c r="JLN1532" s="646"/>
      <c r="JLO1532" s="646"/>
      <c r="JLP1532" s="646"/>
      <c r="JLQ1532" s="646"/>
      <c r="JLR1532" s="646"/>
      <c r="JLS1532" s="646"/>
      <c r="JLT1532" s="646"/>
      <c r="JLU1532" s="646"/>
      <c r="JLV1532" s="646"/>
      <c r="JLW1532" s="646"/>
      <c r="JLX1532" s="646"/>
      <c r="JLY1532" s="646"/>
      <c r="JLZ1532" s="646"/>
      <c r="JMA1532" s="646"/>
      <c r="JMB1532" s="646"/>
      <c r="JMC1532" s="646"/>
      <c r="JMD1532" s="646"/>
      <c r="JME1532" s="646"/>
      <c r="JMF1532" s="646"/>
      <c r="JMG1532" s="646"/>
      <c r="JMH1532" s="646"/>
      <c r="JMI1532" s="646"/>
      <c r="JMJ1532" s="646"/>
      <c r="JMK1532" s="646"/>
      <c r="JML1532" s="646"/>
      <c r="JMM1532" s="646"/>
      <c r="JMN1532" s="646"/>
      <c r="JMO1532" s="646"/>
      <c r="JMP1532" s="646"/>
      <c r="JMQ1532" s="646"/>
      <c r="JMR1532" s="646"/>
      <c r="JMS1532" s="646"/>
      <c r="JMT1532" s="646"/>
      <c r="JMU1532" s="646"/>
      <c r="JMV1532" s="646"/>
      <c r="JMW1532" s="646"/>
      <c r="JMX1532" s="646"/>
      <c r="JMY1532" s="646"/>
      <c r="JMZ1532" s="646"/>
      <c r="JNA1532" s="646"/>
      <c r="JNB1532" s="646"/>
      <c r="JNC1532" s="646"/>
      <c r="JND1532" s="646"/>
      <c r="JNE1532" s="646"/>
      <c r="JNF1532" s="646"/>
      <c r="JNG1532" s="646"/>
      <c r="JNH1532" s="646"/>
      <c r="JNI1532" s="646"/>
      <c r="JNJ1532" s="646"/>
      <c r="JNK1532" s="646"/>
      <c r="JNL1532" s="646"/>
      <c r="JNM1532" s="646"/>
      <c r="JNN1532" s="646"/>
      <c r="JNO1532" s="646"/>
      <c r="JNP1532" s="646"/>
      <c r="JNQ1532" s="646"/>
      <c r="JNR1532" s="646"/>
      <c r="JNS1532" s="646"/>
      <c r="JNT1532" s="646"/>
      <c r="JNU1532" s="646"/>
      <c r="JNV1532" s="646"/>
      <c r="JNW1532" s="646"/>
      <c r="JNX1532" s="646"/>
      <c r="JNY1532" s="646"/>
      <c r="JNZ1532" s="646"/>
      <c r="JOA1532" s="646"/>
      <c r="JOB1532" s="646"/>
      <c r="JOC1532" s="646"/>
      <c r="JOD1532" s="646"/>
      <c r="JOE1532" s="646"/>
      <c r="JOF1532" s="646"/>
      <c r="JOG1532" s="646"/>
      <c r="JOH1532" s="646"/>
      <c r="JOI1532" s="646"/>
      <c r="JOJ1532" s="646"/>
      <c r="JOK1532" s="646"/>
      <c r="JOL1532" s="646"/>
      <c r="JOM1532" s="646"/>
      <c r="JON1532" s="646"/>
      <c r="JOO1532" s="646"/>
      <c r="JOP1532" s="646"/>
      <c r="JOQ1532" s="646"/>
      <c r="JOR1532" s="646"/>
      <c r="JOS1532" s="646"/>
      <c r="JOT1532" s="646"/>
      <c r="JOU1532" s="646"/>
      <c r="JOV1532" s="646"/>
      <c r="JOW1532" s="646"/>
      <c r="JOX1532" s="646"/>
      <c r="JOY1532" s="646"/>
      <c r="JOZ1532" s="646"/>
      <c r="JPA1532" s="646"/>
      <c r="JPB1532" s="646"/>
      <c r="JPC1532" s="646"/>
      <c r="JPD1532" s="646"/>
      <c r="JPE1532" s="646"/>
      <c r="JPF1532" s="646"/>
      <c r="JPG1532" s="646"/>
      <c r="JPH1532" s="646"/>
      <c r="JPI1532" s="646"/>
      <c r="JPJ1532" s="646"/>
      <c r="JPK1532" s="646"/>
      <c r="JPL1532" s="646"/>
      <c r="JPM1532" s="646"/>
      <c r="JPN1532" s="646"/>
      <c r="JPO1532" s="646"/>
      <c r="JPP1532" s="646"/>
      <c r="JPQ1532" s="646"/>
      <c r="JPR1532" s="646"/>
      <c r="JPS1532" s="646"/>
      <c r="JPT1532" s="646"/>
      <c r="JPU1532" s="646"/>
      <c r="JPV1532" s="646"/>
      <c r="JPW1532" s="646"/>
      <c r="JPX1532" s="646"/>
      <c r="JPY1532" s="646"/>
      <c r="JPZ1532" s="646"/>
      <c r="JQA1532" s="646"/>
      <c r="JQB1532" s="646"/>
      <c r="JQC1532" s="646"/>
      <c r="JQD1532" s="646"/>
      <c r="JQE1532" s="646"/>
      <c r="JQF1532" s="646"/>
      <c r="JQG1532" s="646"/>
      <c r="JQH1532" s="646"/>
      <c r="JQI1532" s="646"/>
      <c r="JQJ1532" s="646"/>
      <c r="JQK1532" s="646"/>
      <c r="JQL1532" s="646"/>
      <c r="JQM1532" s="646"/>
      <c r="JQN1532" s="646"/>
      <c r="JQO1532" s="646"/>
      <c r="JQP1532" s="646"/>
      <c r="JQQ1532" s="646"/>
      <c r="JQR1532" s="646"/>
      <c r="JQS1532" s="646"/>
      <c r="JQT1532" s="646"/>
      <c r="JQU1532" s="646"/>
      <c r="JQV1532" s="646"/>
      <c r="JQW1532" s="646"/>
      <c r="JQX1532" s="646"/>
      <c r="JQY1532" s="646"/>
      <c r="JQZ1532" s="646"/>
      <c r="JRA1532" s="646"/>
      <c r="JRB1532" s="646"/>
      <c r="JRC1532" s="646"/>
      <c r="JRD1532" s="646"/>
      <c r="JRE1532" s="646"/>
      <c r="JRF1532" s="646"/>
      <c r="JRG1532" s="646"/>
      <c r="JRH1532" s="646"/>
      <c r="JRI1532" s="646"/>
      <c r="JRJ1532" s="646"/>
      <c r="JRK1532" s="646"/>
      <c r="JRL1532" s="646"/>
      <c r="JRM1532" s="646"/>
      <c r="JRN1532" s="646"/>
      <c r="JRO1532" s="646"/>
      <c r="JRP1532" s="646"/>
      <c r="JRQ1532" s="646"/>
      <c r="JRR1532" s="646"/>
      <c r="JRS1532" s="646"/>
      <c r="JRT1532" s="646"/>
      <c r="JRU1532" s="646"/>
      <c r="JRV1532" s="646"/>
      <c r="JRW1532" s="646"/>
      <c r="JRX1532" s="646"/>
      <c r="JRY1532" s="646"/>
      <c r="JRZ1532" s="646"/>
      <c r="JSA1532" s="646"/>
      <c r="JSB1532" s="646"/>
      <c r="JSC1532" s="646"/>
      <c r="JSD1532" s="646"/>
      <c r="JSE1532" s="646"/>
      <c r="JSF1532" s="646"/>
      <c r="JSG1532" s="646"/>
      <c r="JSH1532" s="646"/>
      <c r="JSI1532" s="646"/>
      <c r="JSJ1532" s="646"/>
      <c r="JSK1532" s="646"/>
      <c r="JSL1532" s="646"/>
      <c r="JSM1532" s="646"/>
      <c r="JSN1532" s="646"/>
      <c r="JSO1532" s="646"/>
      <c r="JSP1532" s="646"/>
      <c r="JSQ1532" s="646"/>
      <c r="JSR1532" s="646"/>
      <c r="JSS1532" s="646"/>
      <c r="JST1532" s="646"/>
      <c r="JSU1532" s="646"/>
      <c r="JSV1532" s="646"/>
      <c r="JSW1532" s="646"/>
      <c r="JSX1532" s="646"/>
      <c r="JSY1532" s="646"/>
      <c r="JSZ1532" s="646"/>
      <c r="JTA1532" s="646"/>
      <c r="JTB1532" s="646"/>
      <c r="JTC1532" s="646"/>
      <c r="JTD1532" s="646"/>
      <c r="JTE1532" s="646"/>
      <c r="JTF1532" s="646"/>
      <c r="JTG1532" s="646"/>
      <c r="JTH1532" s="646"/>
      <c r="JTI1532" s="646"/>
      <c r="JTJ1532" s="646"/>
      <c r="JTK1532" s="646"/>
      <c r="JTL1532" s="646"/>
      <c r="JTM1532" s="646"/>
      <c r="JTN1532" s="646"/>
      <c r="JTO1532" s="646"/>
      <c r="JTP1532" s="646"/>
      <c r="JTQ1532" s="646"/>
      <c r="JTR1532" s="646"/>
      <c r="JTS1532" s="646"/>
      <c r="JTT1532" s="646"/>
      <c r="JTU1532" s="646"/>
      <c r="JTV1532" s="646"/>
      <c r="JTW1532" s="646"/>
      <c r="JTX1532" s="646"/>
      <c r="JTY1532" s="646"/>
      <c r="JTZ1532" s="646"/>
      <c r="JUA1532" s="646"/>
      <c r="JUB1532" s="646"/>
      <c r="JUC1532" s="646"/>
      <c r="JUD1532" s="646"/>
      <c r="JUE1532" s="646"/>
      <c r="JUF1532" s="646"/>
      <c r="JUG1532" s="646"/>
      <c r="JUH1532" s="646"/>
      <c r="JUI1532" s="646"/>
      <c r="JUJ1532" s="646"/>
      <c r="JUK1532" s="646"/>
      <c r="JUL1532" s="646"/>
      <c r="JUM1532" s="646"/>
      <c r="JUN1532" s="646"/>
      <c r="JUO1532" s="646"/>
      <c r="JUP1532" s="646"/>
      <c r="JUQ1532" s="646"/>
      <c r="JUR1532" s="646"/>
      <c r="JUS1532" s="646"/>
      <c r="JUT1532" s="646"/>
      <c r="JUU1532" s="646"/>
      <c r="JUV1532" s="646"/>
      <c r="JUW1532" s="646"/>
      <c r="JUX1532" s="646"/>
      <c r="JUY1532" s="646"/>
      <c r="JUZ1532" s="646"/>
      <c r="JVA1532" s="646"/>
      <c r="JVB1532" s="646"/>
      <c r="JVC1532" s="646"/>
      <c r="JVD1532" s="646"/>
      <c r="JVE1532" s="646"/>
      <c r="JVF1532" s="646"/>
      <c r="JVG1532" s="646"/>
      <c r="JVH1532" s="646"/>
      <c r="JVI1532" s="646"/>
      <c r="JVJ1532" s="646"/>
      <c r="JVK1532" s="646"/>
      <c r="JVL1532" s="646"/>
      <c r="JVM1532" s="646"/>
      <c r="JVN1532" s="646"/>
      <c r="JVO1532" s="646"/>
      <c r="JVP1532" s="646"/>
      <c r="JVQ1532" s="646"/>
      <c r="JVR1532" s="646"/>
      <c r="JVS1532" s="646"/>
      <c r="JVT1532" s="646"/>
      <c r="JVU1532" s="646"/>
      <c r="JVV1532" s="646"/>
      <c r="JVW1532" s="646"/>
      <c r="JVX1532" s="646"/>
      <c r="JVY1532" s="646"/>
      <c r="JVZ1532" s="646"/>
      <c r="JWA1532" s="646"/>
      <c r="JWB1532" s="646"/>
      <c r="JWC1532" s="646"/>
      <c r="JWD1532" s="646"/>
      <c r="JWE1532" s="646"/>
      <c r="JWF1532" s="646"/>
      <c r="JWG1532" s="646"/>
      <c r="JWH1532" s="646"/>
      <c r="JWI1532" s="646"/>
      <c r="JWJ1532" s="646"/>
      <c r="JWK1532" s="646"/>
      <c r="JWL1532" s="646"/>
      <c r="JWM1532" s="646"/>
      <c r="JWN1532" s="646"/>
      <c r="JWO1532" s="646"/>
      <c r="JWP1532" s="646"/>
      <c r="JWQ1532" s="646"/>
      <c r="JWR1532" s="646"/>
      <c r="JWS1532" s="646"/>
      <c r="JWT1532" s="646"/>
      <c r="JWU1532" s="646"/>
      <c r="JWV1532" s="646"/>
      <c r="JWW1532" s="646"/>
      <c r="JWX1532" s="646"/>
      <c r="JWY1532" s="646"/>
      <c r="JWZ1532" s="646"/>
      <c r="JXA1532" s="646"/>
      <c r="JXB1532" s="646"/>
      <c r="JXC1532" s="646"/>
      <c r="JXD1532" s="646"/>
      <c r="JXE1532" s="646"/>
      <c r="JXF1532" s="646"/>
      <c r="JXG1532" s="646"/>
      <c r="JXH1532" s="646"/>
      <c r="JXI1532" s="646"/>
      <c r="JXJ1532" s="646"/>
      <c r="JXK1532" s="646"/>
      <c r="JXL1532" s="646"/>
      <c r="JXM1532" s="646"/>
      <c r="JXN1532" s="646"/>
      <c r="JXO1532" s="646"/>
      <c r="JXP1532" s="646"/>
      <c r="JXQ1532" s="646"/>
      <c r="JXR1532" s="646"/>
      <c r="JXS1532" s="646"/>
      <c r="JXT1532" s="646"/>
      <c r="JXU1532" s="646"/>
      <c r="JXV1532" s="646"/>
      <c r="JXW1532" s="646"/>
      <c r="JXX1532" s="646"/>
      <c r="JXY1532" s="646"/>
      <c r="JXZ1532" s="646"/>
      <c r="JYA1532" s="646"/>
      <c r="JYB1532" s="646"/>
      <c r="JYC1532" s="646"/>
      <c r="JYD1532" s="646"/>
      <c r="JYE1532" s="646"/>
      <c r="JYF1532" s="646"/>
      <c r="JYG1532" s="646"/>
      <c r="JYH1532" s="646"/>
      <c r="JYI1532" s="646"/>
      <c r="JYJ1532" s="646"/>
      <c r="JYK1532" s="646"/>
      <c r="JYL1532" s="646"/>
      <c r="JYM1532" s="646"/>
      <c r="JYN1532" s="646"/>
      <c r="JYO1532" s="646"/>
      <c r="JYP1532" s="646"/>
      <c r="JYQ1532" s="646"/>
      <c r="JYR1532" s="646"/>
      <c r="JYS1532" s="646"/>
      <c r="JYT1532" s="646"/>
      <c r="JYU1532" s="646"/>
      <c r="JYV1532" s="646"/>
      <c r="JYW1532" s="646"/>
      <c r="JYX1532" s="646"/>
      <c r="JYY1532" s="646"/>
      <c r="JYZ1532" s="646"/>
      <c r="JZA1532" s="646"/>
      <c r="JZB1532" s="646"/>
      <c r="JZC1532" s="646"/>
      <c r="JZD1532" s="646"/>
      <c r="JZE1532" s="646"/>
      <c r="JZF1532" s="646"/>
      <c r="JZG1532" s="646"/>
      <c r="JZH1532" s="646"/>
      <c r="JZI1532" s="646"/>
      <c r="JZJ1532" s="646"/>
      <c r="JZK1532" s="646"/>
      <c r="JZL1532" s="646"/>
      <c r="JZM1532" s="646"/>
      <c r="JZN1532" s="646"/>
      <c r="JZO1532" s="646"/>
      <c r="JZP1532" s="646"/>
      <c r="JZQ1532" s="646"/>
      <c r="JZR1532" s="646"/>
      <c r="JZS1532" s="646"/>
      <c r="JZT1532" s="646"/>
      <c r="JZU1532" s="646"/>
      <c r="JZV1532" s="646"/>
      <c r="JZW1532" s="646"/>
      <c r="JZX1532" s="646"/>
      <c r="JZY1532" s="646"/>
      <c r="JZZ1532" s="646"/>
      <c r="KAA1532" s="646"/>
      <c r="KAB1532" s="646"/>
      <c r="KAC1532" s="646"/>
      <c r="KAD1532" s="646"/>
      <c r="KAE1532" s="646"/>
      <c r="KAF1532" s="646"/>
      <c r="KAG1532" s="646"/>
      <c r="KAH1532" s="646"/>
      <c r="KAI1532" s="646"/>
      <c r="KAJ1532" s="646"/>
      <c r="KAK1532" s="646"/>
      <c r="KAL1532" s="646"/>
      <c r="KAM1532" s="646"/>
      <c r="KAN1532" s="646"/>
      <c r="KAO1532" s="646"/>
      <c r="KAP1532" s="646"/>
      <c r="KAQ1532" s="646"/>
      <c r="KAR1532" s="646"/>
      <c r="KAS1532" s="646"/>
      <c r="KAT1532" s="646"/>
      <c r="KAU1532" s="646"/>
      <c r="KAV1532" s="646"/>
      <c r="KAW1532" s="646"/>
      <c r="KAX1532" s="646"/>
      <c r="KAY1532" s="646"/>
      <c r="KAZ1532" s="646"/>
      <c r="KBA1532" s="646"/>
      <c r="KBB1532" s="646"/>
      <c r="KBC1532" s="646"/>
      <c r="KBD1532" s="646"/>
      <c r="KBE1532" s="646"/>
      <c r="KBF1532" s="646"/>
      <c r="KBG1532" s="646"/>
      <c r="KBH1532" s="646"/>
      <c r="KBI1532" s="646"/>
      <c r="KBJ1532" s="646"/>
      <c r="KBK1532" s="646"/>
      <c r="KBL1532" s="646"/>
      <c r="KBM1532" s="646"/>
      <c r="KBN1532" s="646"/>
      <c r="KBO1532" s="646"/>
      <c r="KBP1532" s="646"/>
      <c r="KBQ1532" s="646"/>
      <c r="KBR1532" s="646"/>
      <c r="KBS1532" s="646"/>
      <c r="KBT1532" s="646"/>
      <c r="KBU1532" s="646"/>
      <c r="KBV1532" s="646"/>
      <c r="KBW1532" s="646"/>
      <c r="KBX1532" s="646"/>
      <c r="KBY1532" s="646"/>
      <c r="KBZ1532" s="646"/>
      <c r="KCA1532" s="646"/>
      <c r="KCB1532" s="646"/>
      <c r="KCC1532" s="646"/>
      <c r="KCD1532" s="646"/>
      <c r="KCE1532" s="646"/>
      <c r="KCF1532" s="646"/>
      <c r="KCG1532" s="646"/>
      <c r="KCH1532" s="646"/>
      <c r="KCI1532" s="646"/>
      <c r="KCJ1532" s="646"/>
      <c r="KCK1532" s="646"/>
      <c r="KCL1532" s="646"/>
      <c r="KCM1532" s="646"/>
      <c r="KCN1532" s="646"/>
      <c r="KCO1532" s="646"/>
      <c r="KCP1532" s="646"/>
      <c r="KCQ1532" s="646"/>
      <c r="KCR1532" s="646"/>
      <c r="KCS1532" s="646"/>
      <c r="KCT1532" s="646"/>
      <c r="KCU1532" s="646"/>
      <c r="KCV1532" s="646"/>
      <c r="KCW1532" s="646"/>
      <c r="KCX1532" s="646"/>
      <c r="KCY1532" s="646"/>
      <c r="KCZ1532" s="646"/>
      <c r="KDA1532" s="646"/>
      <c r="KDB1532" s="646"/>
      <c r="KDC1532" s="646"/>
      <c r="KDD1532" s="646"/>
      <c r="KDE1532" s="646"/>
      <c r="KDF1532" s="646"/>
      <c r="KDG1532" s="646"/>
      <c r="KDH1532" s="646"/>
      <c r="KDI1532" s="646"/>
      <c r="KDJ1532" s="646"/>
      <c r="KDK1532" s="646"/>
      <c r="KDL1532" s="646"/>
      <c r="KDM1532" s="646"/>
      <c r="KDN1532" s="646"/>
      <c r="KDO1532" s="646"/>
      <c r="KDP1532" s="646"/>
      <c r="KDQ1532" s="646"/>
      <c r="KDR1532" s="646"/>
      <c r="KDS1532" s="646"/>
      <c r="KDT1532" s="646"/>
      <c r="KDU1532" s="646"/>
      <c r="KDV1532" s="646"/>
      <c r="KDW1532" s="646"/>
      <c r="KDX1532" s="646"/>
      <c r="KDY1532" s="646"/>
      <c r="KDZ1532" s="646"/>
      <c r="KEA1532" s="646"/>
      <c r="KEB1532" s="646"/>
      <c r="KEC1532" s="646"/>
      <c r="KED1532" s="646"/>
      <c r="KEE1532" s="646"/>
      <c r="KEF1532" s="646"/>
      <c r="KEG1532" s="646"/>
      <c r="KEH1532" s="646"/>
      <c r="KEI1532" s="646"/>
      <c r="KEJ1532" s="646"/>
      <c r="KEK1532" s="646"/>
      <c r="KEL1532" s="646"/>
      <c r="KEM1532" s="646"/>
      <c r="KEN1532" s="646"/>
      <c r="KEO1532" s="646"/>
      <c r="KEP1532" s="646"/>
      <c r="KEQ1532" s="646"/>
      <c r="KER1532" s="646"/>
      <c r="KES1532" s="646"/>
      <c r="KET1532" s="646"/>
      <c r="KEU1532" s="646"/>
      <c r="KEV1532" s="646"/>
      <c r="KEW1532" s="646"/>
      <c r="KEX1532" s="646"/>
      <c r="KEY1532" s="646"/>
      <c r="KEZ1532" s="646"/>
      <c r="KFA1532" s="646"/>
      <c r="KFB1532" s="646"/>
      <c r="KFC1532" s="646"/>
      <c r="KFD1532" s="646"/>
      <c r="KFE1532" s="646"/>
      <c r="KFF1532" s="646"/>
      <c r="KFG1532" s="646"/>
      <c r="KFH1532" s="646"/>
      <c r="KFI1532" s="646"/>
      <c r="KFJ1532" s="646"/>
      <c r="KFK1532" s="646"/>
      <c r="KFL1532" s="646"/>
      <c r="KFM1532" s="646"/>
      <c r="KFN1532" s="646"/>
      <c r="KFO1532" s="646"/>
      <c r="KFP1532" s="646"/>
      <c r="KFQ1532" s="646"/>
      <c r="KFR1532" s="646"/>
      <c r="KFS1532" s="646"/>
      <c r="KFT1532" s="646"/>
      <c r="KFU1532" s="646"/>
      <c r="KFV1532" s="646"/>
      <c r="KFW1532" s="646"/>
      <c r="KFX1532" s="646"/>
      <c r="KFY1532" s="646"/>
      <c r="KFZ1532" s="646"/>
      <c r="KGA1532" s="646"/>
      <c r="KGB1532" s="646"/>
      <c r="KGC1532" s="646"/>
      <c r="KGD1532" s="646"/>
      <c r="KGE1532" s="646"/>
      <c r="KGF1532" s="646"/>
      <c r="KGG1532" s="646"/>
      <c r="KGH1532" s="646"/>
      <c r="KGI1532" s="646"/>
      <c r="KGJ1532" s="646"/>
      <c r="KGK1532" s="646"/>
      <c r="KGL1532" s="646"/>
      <c r="KGM1532" s="646"/>
      <c r="KGN1532" s="646"/>
      <c r="KGO1532" s="646"/>
      <c r="KGP1532" s="646"/>
      <c r="KGQ1532" s="646"/>
      <c r="KGR1532" s="646"/>
      <c r="KGS1532" s="646"/>
      <c r="KGT1532" s="646"/>
      <c r="KGU1532" s="646"/>
      <c r="KGV1532" s="646"/>
      <c r="KGW1532" s="646"/>
      <c r="KGX1532" s="646"/>
      <c r="KGY1532" s="646"/>
      <c r="KGZ1532" s="646"/>
      <c r="KHA1532" s="646"/>
      <c r="KHB1532" s="646"/>
      <c r="KHC1532" s="646"/>
      <c r="KHD1532" s="646"/>
      <c r="KHE1532" s="646"/>
      <c r="KHF1532" s="646"/>
      <c r="KHG1532" s="646"/>
      <c r="KHH1532" s="646"/>
      <c r="KHI1532" s="646"/>
      <c r="KHJ1532" s="646"/>
      <c r="KHK1532" s="646"/>
      <c r="KHL1532" s="646"/>
      <c r="KHM1532" s="646"/>
      <c r="KHN1532" s="646"/>
      <c r="KHO1532" s="646"/>
      <c r="KHP1532" s="646"/>
      <c r="KHQ1532" s="646"/>
      <c r="KHR1532" s="646"/>
      <c r="KHS1532" s="646"/>
      <c r="KHT1532" s="646"/>
      <c r="KHU1532" s="646"/>
      <c r="KHV1532" s="646"/>
      <c r="KHW1532" s="646"/>
      <c r="KHX1532" s="646"/>
      <c r="KHY1532" s="646"/>
      <c r="KHZ1532" s="646"/>
      <c r="KIA1532" s="646"/>
      <c r="KIB1532" s="646"/>
      <c r="KIC1532" s="646"/>
      <c r="KID1532" s="646"/>
      <c r="KIE1532" s="646"/>
      <c r="KIF1532" s="646"/>
      <c r="KIG1532" s="646"/>
      <c r="KIH1532" s="646"/>
      <c r="KII1532" s="646"/>
      <c r="KIJ1532" s="646"/>
      <c r="KIK1532" s="646"/>
      <c r="KIL1532" s="646"/>
      <c r="KIM1532" s="646"/>
      <c r="KIN1532" s="646"/>
      <c r="KIO1532" s="646"/>
      <c r="KIP1532" s="646"/>
      <c r="KIQ1532" s="646"/>
      <c r="KIR1532" s="646"/>
      <c r="KIS1532" s="646"/>
      <c r="KIT1532" s="646"/>
      <c r="KIU1532" s="646"/>
      <c r="KIV1532" s="646"/>
      <c r="KIW1532" s="646"/>
      <c r="KIX1532" s="646"/>
      <c r="KIY1532" s="646"/>
      <c r="KIZ1532" s="646"/>
      <c r="KJA1532" s="646"/>
      <c r="KJB1532" s="646"/>
      <c r="KJC1532" s="646"/>
      <c r="KJD1532" s="646"/>
      <c r="KJE1532" s="646"/>
      <c r="KJF1532" s="646"/>
      <c r="KJG1532" s="646"/>
      <c r="KJH1532" s="646"/>
      <c r="KJI1532" s="646"/>
      <c r="KJJ1532" s="646"/>
      <c r="KJK1532" s="646"/>
      <c r="KJL1532" s="646"/>
      <c r="KJM1532" s="646"/>
      <c r="KJN1532" s="646"/>
      <c r="KJO1532" s="646"/>
      <c r="KJP1532" s="646"/>
      <c r="KJQ1532" s="646"/>
      <c r="KJR1532" s="646"/>
      <c r="KJS1532" s="646"/>
      <c r="KJT1532" s="646"/>
      <c r="KJU1532" s="646"/>
      <c r="KJV1532" s="646"/>
      <c r="KJW1532" s="646"/>
      <c r="KJX1532" s="646"/>
      <c r="KJY1532" s="646"/>
      <c r="KJZ1532" s="646"/>
      <c r="KKA1532" s="646"/>
      <c r="KKB1532" s="646"/>
      <c r="KKC1532" s="646"/>
      <c r="KKD1532" s="646"/>
      <c r="KKE1532" s="646"/>
      <c r="KKF1532" s="646"/>
      <c r="KKG1532" s="646"/>
      <c r="KKH1532" s="646"/>
      <c r="KKI1532" s="646"/>
      <c r="KKJ1532" s="646"/>
      <c r="KKK1532" s="646"/>
      <c r="KKL1532" s="646"/>
      <c r="KKM1532" s="646"/>
      <c r="KKN1532" s="646"/>
      <c r="KKO1532" s="646"/>
      <c r="KKP1532" s="646"/>
      <c r="KKQ1532" s="646"/>
      <c r="KKR1532" s="646"/>
      <c r="KKS1532" s="646"/>
      <c r="KKT1532" s="646"/>
      <c r="KKU1532" s="646"/>
      <c r="KKV1532" s="646"/>
      <c r="KKW1532" s="646"/>
      <c r="KKX1532" s="646"/>
      <c r="KKY1532" s="646"/>
      <c r="KKZ1532" s="646"/>
      <c r="KLA1532" s="646"/>
      <c r="KLB1532" s="646"/>
      <c r="KLC1532" s="646"/>
      <c r="KLD1532" s="646"/>
      <c r="KLE1532" s="646"/>
      <c r="KLF1532" s="646"/>
      <c r="KLG1532" s="646"/>
      <c r="KLH1532" s="646"/>
      <c r="KLI1532" s="646"/>
      <c r="KLJ1532" s="646"/>
      <c r="KLK1532" s="646"/>
      <c r="KLL1532" s="646"/>
      <c r="KLM1532" s="646"/>
      <c r="KLN1532" s="646"/>
      <c r="KLO1532" s="646"/>
      <c r="KLP1532" s="646"/>
      <c r="KLQ1532" s="646"/>
      <c r="KLR1532" s="646"/>
      <c r="KLS1532" s="646"/>
      <c r="KLT1532" s="646"/>
      <c r="KLU1532" s="646"/>
      <c r="KLV1532" s="646"/>
      <c r="KLW1532" s="646"/>
      <c r="KLX1532" s="646"/>
      <c r="KLY1532" s="646"/>
      <c r="KLZ1532" s="646"/>
      <c r="KMA1532" s="646"/>
      <c r="KMB1532" s="646"/>
      <c r="KMC1532" s="646"/>
      <c r="KMD1532" s="646"/>
      <c r="KME1532" s="646"/>
      <c r="KMF1532" s="646"/>
      <c r="KMG1532" s="646"/>
      <c r="KMH1532" s="646"/>
      <c r="KMI1532" s="646"/>
      <c r="KMJ1532" s="646"/>
      <c r="KMK1532" s="646"/>
      <c r="KML1532" s="646"/>
      <c r="KMM1532" s="646"/>
      <c r="KMN1532" s="646"/>
      <c r="KMO1532" s="646"/>
      <c r="KMP1532" s="646"/>
      <c r="KMQ1532" s="646"/>
      <c r="KMR1532" s="646"/>
      <c r="KMS1532" s="646"/>
      <c r="KMT1532" s="646"/>
      <c r="KMU1532" s="646"/>
      <c r="KMV1532" s="646"/>
      <c r="KMW1532" s="646"/>
      <c r="KMX1532" s="646"/>
      <c r="KMY1532" s="646"/>
      <c r="KMZ1532" s="646"/>
      <c r="KNA1532" s="646"/>
      <c r="KNB1532" s="646"/>
      <c r="KNC1532" s="646"/>
      <c r="KND1532" s="646"/>
      <c r="KNE1532" s="646"/>
      <c r="KNF1532" s="646"/>
      <c r="KNG1532" s="646"/>
      <c r="KNH1532" s="646"/>
      <c r="KNI1532" s="646"/>
      <c r="KNJ1532" s="646"/>
      <c r="KNK1532" s="646"/>
      <c r="KNL1532" s="646"/>
      <c r="KNM1532" s="646"/>
      <c r="KNN1532" s="646"/>
      <c r="KNO1532" s="646"/>
      <c r="KNP1532" s="646"/>
      <c r="KNQ1532" s="646"/>
      <c r="KNR1532" s="646"/>
      <c r="KNS1532" s="646"/>
      <c r="KNT1532" s="646"/>
      <c r="KNU1532" s="646"/>
      <c r="KNV1532" s="646"/>
      <c r="KNW1532" s="646"/>
      <c r="KNX1532" s="646"/>
      <c r="KNY1532" s="646"/>
      <c r="KNZ1532" s="646"/>
      <c r="KOA1532" s="646"/>
      <c r="KOB1532" s="646"/>
      <c r="KOC1532" s="646"/>
      <c r="KOD1532" s="646"/>
      <c r="KOE1532" s="646"/>
      <c r="KOF1532" s="646"/>
      <c r="KOG1532" s="646"/>
      <c r="KOH1532" s="646"/>
      <c r="KOI1532" s="646"/>
      <c r="KOJ1532" s="646"/>
      <c r="KOK1532" s="646"/>
      <c r="KOL1532" s="646"/>
      <c r="KOM1532" s="646"/>
      <c r="KON1532" s="646"/>
      <c r="KOO1532" s="646"/>
      <c r="KOP1532" s="646"/>
      <c r="KOQ1532" s="646"/>
      <c r="KOR1532" s="646"/>
      <c r="KOS1532" s="646"/>
      <c r="KOT1532" s="646"/>
      <c r="KOU1532" s="646"/>
      <c r="KOV1532" s="646"/>
      <c r="KOW1532" s="646"/>
      <c r="KOX1532" s="646"/>
      <c r="KOY1532" s="646"/>
      <c r="KOZ1532" s="646"/>
      <c r="KPA1532" s="646"/>
      <c r="KPB1532" s="646"/>
      <c r="KPC1532" s="646"/>
      <c r="KPD1532" s="646"/>
      <c r="KPE1532" s="646"/>
      <c r="KPF1532" s="646"/>
      <c r="KPG1532" s="646"/>
      <c r="KPH1532" s="646"/>
      <c r="KPI1532" s="646"/>
      <c r="KPJ1532" s="646"/>
      <c r="KPK1532" s="646"/>
      <c r="KPL1532" s="646"/>
      <c r="KPM1532" s="646"/>
      <c r="KPN1532" s="646"/>
      <c r="KPO1532" s="646"/>
      <c r="KPP1532" s="646"/>
      <c r="KPQ1532" s="646"/>
      <c r="KPR1532" s="646"/>
      <c r="KPS1532" s="646"/>
      <c r="KPT1532" s="646"/>
      <c r="KPU1532" s="646"/>
      <c r="KPV1532" s="646"/>
      <c r="KPW1532" s="646"/>
      <c r="KPX1532" s="646"/>
      <c r="KPY1532" s="646"/>
      <c r="KPZ1532" s="646"/>
      <c r="KQA1532" s="646"/>
      <c r="KQB1532" s="646"/>
      <c r="KQC1532" s="646"/>
      <c r="KQD1532" s="646"/>
      <c r="KQE1532" s="646"/>
      <c r="KQF1532" s="646"/>
      <c r="KQG1532" s="646"/>
      <c r="KQH1532" s="646"/>
      <c r="KQI1532" s="646"/>
      <c r="KQJ1532" s="646"/>
      <c r="KQK1532" s="646"/>
      <c r="KQL1532" s="646"/>
      <c r="KQM1532" s="646"/>
      <c r="KQN1532" s="646"/>
      <c r="KQO1532" s="646"/>
      <c r="KQP1532" s="646"/>
      <c r="KQQ1532" s="646"/>
      <c r="KQR1532" s="646"/>
      <c r="KQS1532" s="646"/>
      <c r="KQT1532" s="646"/>
      <c r="KQU1532" s="646"/>
      <c r="KQV1532" s="646"/>
      <c r="KQW1532" s="646"/>
      <c r="KQX1532" s="646"/>
      <c r="KQY1532" s="646"/>
      <c r="KQZ1532" s="646"/>
      <c r="KRA1532" s="646"/>
      <c r="KRB1532" s="646"/>
      <c r="KRC1532" s="646"/>
      <c r="KRD1532" s="646"/>
      <c r="KRE1532" s="646"/>
      <c r="KRF1532" s="646"/>
      <c r="KRG1532" s="646"/>
      <c r="KRH1532" s="646"/>
      <c r="KRI1532" s="646"/>
      <c r="KRJ1532" s="646"/>
      <c r="KRK1532" s="646"/>
      <c r="KRL1532" s="646"/>
      <c r="KRM1532" s="646"/>
      <c r="KRN1532" s="646"/>
      <c r="KRO1532" s="646"/>
      <c r="KRP1532" s="646"/>
      <c r="KRQ1532" s="646"/>
      <c r="KRR1532" s="646"/>
      <c r="KRS1532" s="646"/>
      <c r="KRT1532" s="646"/>
      <c r="KRU1532" s="646"/>
      <c r="KRV1532" s="646"/>
      <c r="KRW1532" s="646"/>
      <c r="KRX1532" s="646"/>
      <c r="KRY1532" s="646"/>
      <c r="KRZ1532" s="646"/>
      <c r="KSA1532" s="646"/>
      <c r="KSB1532" s="646"/>
      <c r="KSC1532" s="646"/>
      <c r="KSD1532" s="646"/>
      <c r="KSE1532" s="646"/>
      <c r="KSF1532" s="646"/>
      <c r="KSG1532" s="646"/>
      <c r="KSH1532" s="646"/>
      <c r="KSI1532" s="646"/>
      <c r="KSJ1532" s="646"/>
      <c r="KSK1532" s="646"/>
      <c r="KSL1532" s="646"/>
      <c r="KSM1532" s="646"/>
      <c r="KSN1532" s="646"/>
      <c r="KSO1532" s="646"/>
      <c r="KSP1532" s="646"/>
      <c r="KSQ1532" s="646"/>
      <c r="KSR1532" s="646"/>
      <c r="KSS1532" s="646"/>
      <c r="KST1532" s="646"/>
      <c r="KSU1532" s="646"/>
      <c r="KSV1532" s="646"/>
      <c r="KSW1532" s="646"/>
      <c r="KSX1532" s="646"/>
      <c r="KSY1532" s="646"/>
      <c r="KSZ1532" s="646"/>
      <c r="KTA1532" s="646"/>
      <c r="KTB1532" s="646"/>
      <c r="KTC1532" s="646"/>
      <c r="KTD1532" s="646"/>
      <c r="KTE1532" s="646"/>
      <c r="KTF1532" s="646"/>
      <c r="KTG1532" s="646"/>
      <c r="KTH1532" s="646"/>
      <c r="KTI1532" s="646"/>
      <c r="KTJ1532" s="646"/>
      <c r="KTK1532" s="646"/>
      <c r="KTL1532" s="646"/>
      <c r="KTM1532" s="646"/>
      <c r="KTN1532" s="646"/>
      <c r="KTO1532" s="646"/>
      <c r="KTP1532" s="646"/>
      <c r="KTQ1532" s="646"/>
      <c r="KTR1532" s="646"/>
      <c r="KTS1532" s="646"/>
      <c r="KTT1532" s="646"/>
      <c r="KTU1532" s="646"/>
      <c r="KTV1532" s="646"/>
      <c r="KTW1532" s="646"/>
      <c r="KTX1532" s="646"/>
      <c r="KTY1532" s="646"/>
      <c r="KTZ1532" s="646"/>
      <c r="KUA1532" s="646"/>
      <c r="KUB1532" s="646"/>
      <c r="KUC1532" s="646"/>
      <c r="KUD1532" s="646"/>
      <c r="KUE1532" s="646"/>
      <c r="KUF1532" s="646"/>
      <c r="KUG1532" s="646"/>
      <c r="KUH1532" s="646"/>
      <c r="KUI1532" s="646"/>
      <c r="KUJ1532" s="646"/>
      <c r="KUK1532" s="646"/>
      <c r="KUL1532" s="646"/>
      <c r="KUM1532" s="646"/>
      <c r="KUN1532" s="646"/>
      <c r="KUO1532" s="646"/>
      <c r="KUP1532" s="646"/>
      <c r="KUQ1532" s="646"/>
      <c r="KUR1532" s="646"/>
      <c r="KUS1532" s="646"/>
      <c r="KUT1532" s="646"/>
      <c r="KUU1532" s="646"/>
      <c r="KUV1532" s="646"/>
      <c r="KUW1532" s="646"/>
      <c r="KUX1532" s="646"/>
      <c r="KUY1532" s="646"/>
      <c r="KUZ1532" s="646"/>
      <c r="KVA1532" s="646"/>
      <c r="KVB1532" s="646"/>
      <c r="KVC1532" s="646"/>
      <c r="KVD1532" s="646"/>
      <c r="KVE1532" s="646"/>
      <c r="KVF1532" s="646"/>
      <c r="KVG1532" s="646"/>
      <c r="KVH1532" s="646"/>
      <c r="KVI1532" s="646"/>
      <c r="KVJ1532" s="646"/>
      <c r="KVK1532" s="646"/>
      <c r="KVL1532" s="646"/>
      <c r="KVM1532" s="646"/>
      <c r="KVN1532" s="646"/>
      <c r="KVO1532" s="646"/>
      <c r="KVP1532" s="646"/>
      <c r="KVQ1532" s="646"/>
      <c r="KVR1532" s="646"/>
      <c r="KVS1532" s="646"/>
      <c r="KVT1532" s="646"/>
      <c r="KVU1532" s="646"/>
      <c r="KVV1532" s="646"/>
      <c r="KVW1532" s="646"/>
      <c r="KVX1532" s="646"/>
      <c r="KVY1532" s="646"/>
      <c r="KVZ1532" s="646"/>
      <c r="KWA1532" s="646"/>
      <c r="KWB1532" s="646"/>
      <c r="KWC1532" s="646"/>
      <c r="KWD1532" s="646"/>
      <c r="KWE1532" s="646"/>
      <c r="KWF1532" s="646"/>
      <c r="KWG1532" s="646"/>
      <c r="KWH1532" s="646"/>
      <c r="KWI1532" s="646"/>
      <c r="KWJ1532" s="646"/>
      <c r="KWK1532" s="646"/>
      <c r="KWL1532" s="646"/>
      <c r="KWM1532" s="646"/>
      <c r="KWN1532" s="646"/>
      <c r="KWO1532" s="646"/>
      <c r="KWP1532" s="646"/>
      <c r="KWQ1532" s="646"/>
      <c r="KWR1532" s="646"/>
      <c r="KWS1532" s="646"/>
      <c r="KWT1532" s="646"/>
      <c r="KWU1532" s="646"/>
      <c r="KWV1532" s="646"/>
      <c r="KWW1532" s="646"/>
      <c r="KWX1532" s="646"/>
      <c r="KWY1532" s="646"/>
      <c r="KWZ1532" s="646"/>
      <c r="KXA1532" s="646"/>
      <c r="KXB1532" s="646"/>
      <c r="KXC1532" s="646"/>
      <c r="KXD1532" s="646"/>
      <c r="KXE1532" s="646"/>
      <c r="KXF1532" s="646"/>
      <c r="KXG1532" s="646"/>
      <c r="KXH1532" s="646"/>
      <c r="KXI1532" s="646"/>
      <c r="KXJ1532" s="646"/>
      <c r="KXK1532" s="646"/>
      <c r="KXL1532" s="646"/>
      <c r="KXM1532" s="646"/>
      <c r="KXN1532" s="646"/>
      <c r="KXO1532" s="646"/>
      <c r="KXP1532" s="646"/>
      <c r="KXQ1532" s="646"/>
      <c r="KXR1532" s="646"/>
      <c r="KXS1532" s="646"/>
      <c r="KXT1532" s="646"/>
      <c r="KXU1532" s="646"/>
      <c r="KXV1532" s="646"/>
      <c r="KXW1532" s="646"/>
      <c r="KXX1532" s="646"/>
      <c r="KXY1532" s="646"/>
      <c r="KXZ1532" s="646"/>
      <c r="KYA1532" s="646"/>
      <c r="KYB1532" s="646"/>
      <c r="KYC1532" s="646"/>
      <c r="KYD1532" s="646"/>
      <c r="KYE1532" s="646"/>
      <c r="KYF1532" s="646"/>
      <c r="KYG1532" s="646"/>
      <c r="KYH1532" s="646"/>
      <c r="KYI1532" s="646"/>
      <c r="KYJ1532" s="646"/>
      <c r="KYK1532" s="646"/>
      <c r="KYL1532" s="646"/>
      <c r="KYM1532" s="646"/>
      <c r="KYN1532" s="646"/>
      <c r="KYO1532" s="646"/>
      <c r="KYP1532" s="646"/>
      <c r="KYQ1532" s="646"/>
      <c r="KYR1532" s="646"/>
      <c r="KYS1532" s="646"/>
      <c r="KYT1532" s="646"/>
      <c r="KYU1532" s="646"/>
      <c r="KYV1532" s="646"/>
      <c r="KYW1532" s="646"/>
      <c r="KYX1532" s="646"/>
      <c r="KYY1532" s="646"/>
      <c r="KYZ1532" s="646"/>
      <c r="KZA1532" s="646"/>
      <c r="KZB1532" s="646"/>
      <c r="KZC1532" s="646"/>
      <c r="KZD1532" s="646"/>
      <c r="KZE1532" s="646"/>
      <c r="KZF1532" s="646"/>
      <c r="KZG1532" s="646"/>
      <c r="KZH1532" s="646"/>
      <c r="KZI1532" s="646"/>
      <c r="KZJ1532" s="646"/>
      <c r="KZK1532" s="646"/>
      <c r="KZL1532" s="646"/>
      <c r="KZM1532" s="646"/>
      <c r="KZN1532" s="646"/>
      <c r="KZO1532" s="646"/>
      <c r="KZP1532" s="646"/>
      <c r="KZQ1532" s="646"/>
      <c r="KZR1532" s="646"/>
      <c r="KZS1532" s="646"/>
      <c r="KZT1532" s="646"/>
      <c r="KZU1532" s="646"/>
      <c r="KZV1532" s="646"/>
      <c r="KZW1532" s="646"/>
      <c r="KZX1532" s="646"/>
      <c r="KZY1532" s="646"/>
      <c r="KZZ1532" s="646"/>
      <c r="LAA1532" s="646"/>
      <c r="LAB1532" s="646"/>
      <c r="LAC1532" s="646"/>
      <c r="LAD1532" s="646"/>
      <c r="LAE1532" s="646"/>
      <c r="LAF1532" s="646"/>
      <c r="LAG1532" s="646"/>
      <c r="LAH1532" s="646"/>
      <c r="LAI1532" s="646"/>
      <c r="LAJ1532" s="646"/>
      <c r="LAK1532" s="646"/>
      <c r="LAL1532" s="646"/>
      <c r="LAM1532" s="646"/>
      <c r="LAN1532" s="646"/>
      <c r="LAO1532" s="646"/>
      <c r="LAP1532" s="646"/>
      <c r="LAQ1532" s="646"/>
      <c r="LAR1532" s="646"/>
      <c r="LAS1532" s="646"/>
      <c r="LAT1532" s="646"/>
      <c r="LAU1532" s="646"/>
      <c r="LAV1532" s="646"/>
      <c r="LAW1532" s="646"/>
      <c r="LAX1532" s="646"/>
      <c r="LAY1532" s="646"/>
      <c r="LAZ1532" s="646"/>
      <c r="LBA1532" s="646"/>
      <c r="LBB1532" s="646"/>
      <c r="LBC1532" s="646"/>
      <c r="LBD1532" s="646"/>
      <c r="LBE1532" s="646"/>
      <c r="LBF1532" s="646"/>
      <c r="LBG1532" s="646"/>
      <c r="LBH1532" s="646"/>
      <c r="LBI1532" s="646"/>
      <c r="LBJ1532" s="646"/>
      <c r="LBK1532" s="646"/>
      <c r="LBL1532" s="646"/>
      <c r="LBM1532" s="646"/>
      <c r="LBN1532" s="646"/>
      <c r="LBO1532" s="646"/>
      <c r="LBP1532" s="646"/>
      <c r="LBQ1532" s="646"/>
      <c r="LBR1532" s="646"/>
      <c r="LBS1532" s="646"/>
      <c r="LBT1532" s="646"/>
      <c r="LBU1532" s="646"/>
      <c r="LBV1532" s="646"/>
      <c r="LBW1532" s="646"/>
      <c r="LBX1532" s="646"/>
      <c r="LBY1532" s="646"/>
      <c r="LBZ1532" s="646"/>
      <c r="LCA1532" s="646"/>
      <c r="LCB1532" s="646"/>
      <c r="LCC1532" s="646"/>
      <c r="LCD1532" s="646"/>
      <c r="LCE1532" s="646"/>
      <c r="LCF1532" s="646"/>
      <c r="LCG1532" s="646"/>
      <c r="LCH1532" s="646"/>
      <c r="LCI1532" s="646"/>
      <c r="LCJ1532" s="646"/>
      <c r="LCK1532" s="646"/>
      <c r="LCL1532" s="646"/>
      <c r="LCM1532" s="646"/>
      <c r="LCN1532" s="646"/>
      <c r="LCO1532" s="646"/>
      <c r="LCP1532" s="646"/>
      <c r="LCQ1532" s="646"/>
      <c r="LCR1532" s="646"/>
      <c r="LCS1532" s="646"/>
      <c r="LCT1532" s="646"/>
      <c r="LCU1532" s="646"/>
      <c r="LCV1532" s="646"/>
      <c r="LCW1532" s="646"/>
      <c r="LCX1532" s="646"/>
      <c r="LCY1532" s="646"/>
      <c r="LCZ1532" s="646"/>
      <c r="LDA1532" s="646"/>
      <c r="LDB1532" s="646"/>
      <c r="LDC1532" s="646"/>
      <c r="LDD1532" s="646"/>
      <c r="LDE1532" s="646"/>
      <c r="LDF1532" s="646"/>
      <c r="LDG1532" s="646"/>
      <c r="LDH1532" s="646"/>
      <c r="LDI1532" s="646"/>
      <c r="LDJ1532" s="646"/>
      <c r="LDK1532" s="646"/>
      <c r="LDL1532" s="646"/>
      <c r="LDM1532" s="646"/>
      <c r="LDN1532" s="646"/>
      <c r="LDO1532" s="646"/>
      <c r="LDP1532" s="646"/>
      <c r="LDQ1532" s="646"/>
      <c r="LDR1532" s="646"/>
      <c r="LDS1532" s="646"/>
      <c r="LDT1532" s="646"/>
      <c r="LDU1532" s="646"/>
      <c r="LDV1532" s="646"/>
      <c r="LDW1532" s="646"/>
      <c r="LDX1532" s="646"/>
      <c r="LDY1532" s="646"/>
      <c r="LDZ1532" s="646"/>
      <c r="LEA1532" s="646"/>
      <c r="LEB1532" s="646"/>
      <c r="LEC1532" s="646"/>
      <c r="LED1532" s="646"/>
      <c r="LEE1532" s="646"/>
      <c r="LEF1532" s="646"/>
      <c r="LEG1532" s="646"/>
      <c r="LEH1532" s="646"/>
      <c r="LEI1532" s="646"/>
      <c r="LEJ1532" s="646"/>
      <c r="LEK1532" s="646"/>
      <c r="LEL1532" s="646"/>
      <c r="LEM1532" s="646"/>
      <c r="LEN1532" s="646"/>
      <c r="LEO1532" s="646"/>
      <c r="LEP1532" s="646"/>
      <c r="LEQ1532" s="646"/>
      <c r="LER1532" s="646"/>
      <c r="LES1532" s="646"/>
      <c r="LET1532" s="646"/>
      <c r="LEU1532" s="646"/>
      <c r="LEV1532" s="646"/>
      <c r="LEW1532" s="646"/>
      <c r="LEX1532" s="646"/>
      <c r="LEY1532" s="646"/>
      <c r="LEZ1532" s="646"/>
      <c r="LFA1532" s="646"/>
      <c r="LFB1532" s="646"/>
      <c r="LFC1532" s="646"/>
      <c r="LFD1532" s="646"/>
      <c r="LFE1532" s="646"/>
      <c r="LFF1532" s="646"/>
      <c r="LFG1532" s="646"/>
      <c r="LFH1532" s="646"/>
      <c r="LFI1532" s="646"/>
      <c r="LFJ1532" s="646"/>
      <c r="LFK1532" s="646"/>
      <c r="LFL1532" s="646"/>
      <c r="LFM1532" s="646"/>
      <c r="LFN1532" s="646"/>
      <c r="LFO1532" s="646"/>
      <c r="LFP1532" s="646"/>
      <c r="LFQ1532" s="646"/>
      <c r="LFR1532" s="646"/>
      <c r="LFS1532" s="646"/>
      <c r="LFT1532" s="646"/>
      <c r="LFU1532" s="646"/>
      <c r="LFV1532" s="646"/>
      <c r="LFW1532" s="646"/>
      <c r="LFX1532" s="646"/>
      <c r="LFY1532" s="646"/>
      <c r="LFZ1532" s="646"/>
      <c r="LGA1532" s="646"/>
      <c r="LGB1532" s="646"/>
      <c r="LGC1532" s="646"/>
      <c r="LGD1532" s="646"/>
      <c r="LGE1532" s="646"/>
      <c r="LGF1532" s="646"/>
      <c r="LGG1532" s="646"/>
      <c r="LGH1532" s="646"/>
      <c r="LGI1532" s="646"/>
      <c r="LGJ1532" s="646"/>
      <c r="LGK1532" s="646"/>
      <c r="LGL1532" s="646"/>
      <c r="LGM1532" s="646"/>
      <c r="LGN1532" s="646"/>
      <c r="LGO1532" s="646"/>
      <c r="LGP1532" s="646"/>
      <c r="LGQ1532" s="646"/>
      <c r="LGR1532" s="646"/>
      <c r="LGS1532" s="646"/>
      <c r="LGT1532" s="646"/>
      <c r="LGU1532" s="646"/>
      <c r="LGV1532" s="646"/>
      <c r="LGW1532" s="646"/>
      <c r="LGX1532" s="646"/>
      <c r="LGY1532" s="646"/>
      <c r="LGZ1532" s="646"/>
      <c r="LHA1532" s="646"/>
      <c r="LHB1532" s="646"/>
      <c r="LHC1532" s="646"/>
      <c r="LHD1532" s="646"/>
      <c r="LHE1532" s="646"/>
      <c r="LHF1532" s="646"/>
      <c r="LHG1532" s="646"/>
      <c r="LHH1532" s="646"/>
      <c r="LHI1532" s="646"/>
      <c r="LHJ1532" s="646"/>
      <c r="LHK1532" s="646"/>
      <c r="LHL1532" s="646"/>
      <c r="LHM1532" s="646"/>
      <c r="LHN1532" s="646"/>
      <c r="LHO1532" s="646"/>
      <c r="LHP1532" s="646"/>
      <c r="LHQ1532" s="646"/>
      <c r="LHR1532" s="646"/>
      <c r="LHS1532" s="646"/>
      <c r="LHT1532" s="646"/>
      <c r="LHU1532" s="646"/>
      <c r="LHV1532" s="646"/>
      <c r="LHW1532" s="646"/>
      <c r="LHX1532" s="646"/>
      <c r="LHY1532" s="646"/>
      <c r="LHZ1532" s="646"/>
      <c r="LIA1532" s="646"/>
      <c r="LIB1532" s="646"/>
      <c r="LIC1532" s="646"/>
      <c r="LID1532" s="646"/>
      <c r="LIE1532" s="646"/>
      <c r="LIF1532" s="646"/>
      <c r="LIG1532" s="646"/>
      <c r="LIH1532" s="646"/>
      <c r="LII1532" s="646"/>
      <c r="LIJ1532" s="646"/>
      <c r="LIK1532" s="646"/>
      <c r="LIL1532" s="646"/>
      <c r="LIM1532" s="646"/>
      <c r="LIN1532" s="646"/>
      <c r="LIO1532" s="646"/>
      <c r="LIP1532" s="646"/>
      <c r="LIQ1532" s="646"/>
      <c r="LIR1532" s="646"/>
      <c r="LIS1532" s="646"/>
      <c r="LIT1532" s="646"/>
      <c r="LIU1532" s="646"/>
      <c r="LIV1532" s="646"/>
      <c r="LIW1532" s="646"/>
      <c r="LIX1532" s="646"/>
      <c r="LIY1532" s="646"/>
      <c r="LIZ1532" s="646"/>
      <c r="LJA1532" s="646"/>
      <c r="LJB1532" s="646"/>
      <c r="LJC1532" s="646"/>
      <c r="LJD1532" s="646"/>
      <c r="LJE1532" s="646"/>
      <c r="LJF1532" s="646"/>
      <c r="LJG1532" s="646"/>
      <c r="LJH1532" s="646"/>
      <c r="LJI1532" s="646"/>
      <c r="LJJ1532" s="646"/>
      <c r="LJK1532" s="646"/>
      <c r="LJL1532" s="646"/>
      <c r="LJM1532" s="646"/>
      <c r="LJN1532" s="646"/>
      <c r="LJO1532" s="646"/>
      <c r="LJP1532" s="646"/>
      <c r="LJQ1532" s="646"/>
      <c r="LJR1532" s="646"/>
      <c r="LJS1532" s="646"/>
      <c r="LJT1532" s="646"/>
      <c r="LJU1532" s="646"/>
      <c r="LJV1532" s="646"/>
      <c r="LJW1532" s="646"/>
      <c r="LJX1532" s="646"/>
      <c r="LJY1532" s="646"/>
      <c r="LJZ1532" s="646"/>
      <c r="LKA1532" s="646"/>
      <c r="LKB1532" s="646"/>
      <c r="LKC1532" s="646"/>
      <c r="LKD1532" s="646"/>
      <c r="LKE1532" s="646"/>
      <c r="LKF1532" s="646"/>
      <c r="LKG1532" s="646"/>
      <c r="LKH1532" s="646"/>
      <c r="LKI1532" s="646"/>
      <c r="LKJ1532" s="646"/>
      <c r="LKK1532" s="646"/>
      <c r="LKL1532" s="646"/>
      <c r="LKM1532" s="646"/>
      <c r="LKN1532" s="646"/>
      <c r="LKO1532" s="646"/>
      <c r="LKP1532" s="646"/>
      <c r="LKQ1532" s="646"/>
      <c r="LKR1532" s="646"/>
      <c r="LKS1532" s="646"/>
      <c r="LKT1532" s="646"/>
      <c r="LKU1532" s="646"/>
      <c r="LKV1532" s="646"/>
      <c r="LKW1532" s="646"/>
      <c r="LKX1532" s="646"/>
      <c r="LKY1532" s="646"/>
      <c r="LKZ1532" s="646"/>
      <c r="LLA1532" s="646"/>
      <c r="LLB1532" s="646"/>
      <c r="LLC1532" s="646"/>
      <c r="LLD1532" s="646"/>
      <c r="LLE1532" s="646"/>
      <c r="LLF1532" s="646"/>
      <c r="LLG1532" s="646"/>
      <c r="LLH1532" s="646"/>
      <c r="LLI1532" s="646"/>
      <c r="LLJ1532" s="646"/>
      <c r="LLK1532" s="646"/>
      <c r="LLL1532" s="646"/>
      <c r="LLM1532" s="646"/>
      <c r="LLN1532" s="646"/>
      <c r="LLO1532" s="646"/>
      <c r="LLP1532" s="646"/>
      <c r="LLQ1532" s="646"/>
      <c r="LLR1532" s="646"/>
      <c r="LLS1532" s="646"/>
      <c r="LLT1532" s="646"/>
      <c r="LLU1532" s="646"/>
      <c r="LLV1532" s="646"/>
      <c r="LLW1532" s="646"/>
      <c r="LLX1532" s="646"/>
      <c r="LLY1532" s="646"/>
      <c r="LLZ1532" s="646"/>
      <c r="LMA1532" s="646"/>
      <c r="LMB1532" s="646"/>
      <c r="LMC1532" s="646"/>
      <c r="LMD1532" s="646"/>
      <c r="LME1532" s="646"/>
      <c r="LMF1532" s="646"/>
      <c r="LMG1532" s="646"/>
      <c r="LMH1532" s="646"/>
      <c r="LMI1532" s="646"/>
      <c r="LMJ1532" s="646"/>
      <c r="LMK1532" s="646"/>
      <c r="LML1532" s="646"/>
      <c r="LMM1532" s="646"/>
      <c r="LMN1532" s="646"/>
      <c r="LMO1532" s="646"/>
      <c r="LMP1532" s="646"/>
      <c r="LMQ1532" s="646"/>
      <c r="LMR1532" s="646"/>
      <c r="LMS1532" s="646"/>
      <c r="LMT1532" s="646"/>
      <c r="LMU1532" s="646"/>
      <c r="LMV1532" s="646"/>
      <c r="LMW1532" s="646"/>
      <c r="LMX1532" s="646"/>
      <c r="LMY1532" s="646"/>
      <c r="LMZ1532" s="646"/>
      <c r="LNA1532" s="646"/>
      <c r="LNB1532" s="646"/>
      <c r="LNC1532" s="646"/>
      <c r="LND1532" s="646"/>
      <c r="LNE1532" s="646"/>
      <c r="LNF1532" s="646"/>
      <c r="LNG1532" s="646"/>
      <c r="LNH1532" s="646"/>
      <c r="LNI1532" s="646"/>
      <c r="LNJ1532" s="646"/>
      <c r="LNK1532" s="646"/>
      <c r="LNL1532" s="646"/>
      <c r="LNM1532" s="646"/>
      <c r="LNN1532" s="646"/>
      <c r="LNO1532" s="646"/>
      <c r="LNP1532" s="646"/>
      <c r="LNQ1532" s="646"/>
      <c r="LNR1532" s="646"/>
      <c r="LNS1532" s="646"/>
      <c r="LNT1532" s="646"/>
      <c r="LNU1532" s="646"/>
      <c r="LNV1532" s="646"/>
      <c r="LNW1532" s="646"/>
      <c r="LNX1532" s="646"/>
      <c r="LNY1532" s="646"/>
      <c r="LNZ1532" s="646"/>
      <c r="LOA1532" s="646"/>
      <c r="LOB1532" s="646"/>
      <c r="LOC1532" s="646"/>
      <c r="LOD1532" s="646"/>
      <c r="LOE1532" s="646"/>
      <c r="LOF1532" s="646"/>
      <c r="LOG1532" s="646"/>
      <c r="LOH1532" s="646"/>
      <c r="LOI1532" s="646"/>
      <c r="LOJ1532" s="646"/>
      <c r="LOK1532" s="646"/>
      <c r="LOL1532" s="646"/>
      <c r="LOM1532" s="646"/>
      <c r="LON1532" s="646"/>
      <c r="LOO1532" s="646"/>
      <c r="LOP1532" s="646"/>
      <c r="LOQ1532" s="646"/>
      <c r="LOR1532" s="646"/>
      <c r="LOS1532" s="646"/>
      <c r="LOT1532" s="646"/>
      <c r="LOU1532" s="646"/>
      <c r="LOV1532" s="646"/>
      <c r="LOW1532" s="646"/>
      <c r="LOX1532" s="646"/>
      <c r="LOY1532" s="646"/>
      <c r="LOZ1532" s="646"/>
      <c r="LPA1532" s="646"/>
      <c r="LPB1532" s="646"/>
      <c r="LPC1532" s="646"/>
      <c r="LPD1532" s="646"/>
      <c r="LPE1532" s="646"/>
      <c r="LPF1532" s="646"/>
      <c r="LPG1532" s="646"/>
      <c r="LPH1532" s="646"/>
      <c r="LPI1532" s="646"/>
      <c r="LPJ1532" s="646"/>
      <c r="LPK1532" s="646"/>
      <c r="LPL1532" s="646"/>
      <c r="LPM1532" s="646"/>
      <c r="LPN1532" s="646"/>
      <c r="LPO1532" s="646"/>
      <c r="LPP1532" s="646"/>
      <c r="LPQ1532" s="646"/>
      <c r="LPR1532" s="646"/>
      <c r="LPS1532" s="646"/>
      <c r="LPT1532" s="646"/>
      <c r="LPU1532" s="646"/>
      <c r="LPV1532" s="646"/>
      <c r="LPW1532" s="646"/>
      <c r="LPX1532" s="646"/>
      <c r="LPY1532" s="646"/>
      <c r="LPZ1532" s="646"/>
      <c r="LQA1532" s="646"/>
      <c r="LQB1532" s="646"/>
      <c r="LQC1532" s="646"/>
      <c r="LQD1532" s="646"/>
      <c r="LQE1532" s="646"/>
      <c r="LQF1532" s="646"/>
      <c r="LQG1532" s="646"/>
      <c r="LQH1532" s="646"/>
      <c r="LQI1532" s="646"/>
      <c r="LQJ1532" s="646"/>
      <c r="LQK1532" s="646"/>
      <c r="LQL1532" s="646"/>
      <c r="LQM1532" s="646"/>
      <c r="LQN1532" s="646"/>
      <c r="LQO1532" s="646"/>
      <c r="LQP1532" s="646"/>
      <c r="LQQ1532" s="646"/>
      <c r="LQR1532" s="646"/>
      <c r="LQS1532" s="646"/>
      <c r="LQT1532" s="646"/>
      <c r="LQU1532" s="646"/>
      <c r="LQV1532" s="646"/>
      <c r="LQW1532" s="646"/>
      <c r="LQX1532" s="646"/>
      <c r="LQY1532" s="646"/>
      <c r="LQZ1532" s="646"/>
      <c r="LRA1532" s="646"/>
      <c r="LRB1532" s="646"/>
      <c r="LRC1532" s="646"/>
      <c r="LRD1532" s="646"/>
      <c r="LRE1532" s="646"/>
      <c r="LRF1532" s="646"/>
      <c r="LRG1532" s="646"/>
      <c r="LRH1532" s="646"/>
      <c r="LRI1532" s="646"/>
      <c r="LRJ1532" s="646"/>
      <c r="LRK1532" s="646"/>
      <c r="LRL1532" s="646"/>
      <c r="LRM1532" s="646"/>
      <c r="LRN1532" s="646"/>
      <c r="LRO1532" s="646"/>
      <c r="LRP1532" s="646"/>
      <c r="LRQ1532" s="646"/>
      <c r="LRR1532" s="646"/>
      <c r="LRS1532" s="646"/>
      <c r="LRT1532" s="646"/>
      <c r="LRU1532" s="646"/>
      <c r="LRV1532" s="646"/>
      <c r="LRW1532" s="646"/>
      <c r="LRX1532" s="646"/>
      <c r="LRY1532" s="646"/>
      <c r="LRZ1532" s="646"/>
      <c r="LSA1532" s="646"/>
      <c r="LSB1532" s="646"/>
      <c r="LSC1532" s="646"/>
      <c r="LSD1532" s="646"/>
      <c r="LSE1532" s="646"/>
      <c r="LSF1532" s="646"/>
      <c r="LSG1532" s="646"/>
      <c r="LSH1532" s="646"/>
      <c r="LSI1532" s="646"/>
      <c r="LSJ1532" s="646"/>
      <c r="LSK1532" s="646"/>
      <c r="LSL1532" s="646"/>
      <c r="LSM1532" s="646"/>
      <c r="LSN1532" s="646"/>
      <c r="LSO1532" s="646"/>
      <c r="LSP1532" s="646"/>
      <c r="LSQ1532" s="646"/>
      <c r="LSR1532" s="646"/>
      <c r="LSS1532" s="646"/>
      <c r="LST1532" s="646"/>
      <c r="LSU1532" s="646"/>
      <c r="LSV1532" s="646"/>
      <c r="LSW1532" s="646"/>
      <c r="LSX1532" s="646"/>
      <c r="LSY1532" s="646"/>
      <c r="LSZ1532" s="646"/>
      <c r="LTA1532" s="646"/>
      <c r="LTB1532" s="646"/>
      <c r="LTC1532" s="646"/>
      <c r="LTD1532" s="646"/>
      <c r="LTE1532" s="646"/>
      <c r="LTF1532" s="646"/>
      <c r="LTG1532" s="646"/>
      <c r="LTH1532" s="646"/>
      <c r="LTI1532" s="646"/>
      <c r="LTJ1532" s="646"/>
      <c r="LTK1532" s="646"/>
      <c r="LTL1532" s="646"/>
      <c r="LTM1532" s="646"/>
      <c r="LTN1532" s="646"/>
      <c r="LTO1532" s="646"/>
      <c r="LTP1532" s="646"/>
      <c r="LTQ1532" s="646"/>
      <c r="LTR1532" s="646"/>
      <c r="LTS1532" s="646"/>
      <c r="LTT1532" s="646"/>
      <c r="LTU1532" s="646"/>
      <c r="LTV1532" s="646"/>
      <c r="LTW1532" s="646"/>
      <c r="LTX1532" s="646"/>
      <c r="LTY1532" s="646"/>
      <c r="LTZ1532" s="646"/>
      <c r="LUA1532" s="646"/>
      <c r="LUB1532" s="646"/>
      <c r="LUC1532" s="646"/>
      <c r="LUD1532" s="646"/>
      <c r="LUE1532" s="646"/>
      <c r="LUF1532" s="646"/>
      <c r="LUG1532" s="646"/>
      <c r="LUH1532" s="646"/>
      <c r="LUI1532" s="646"/>
      <c r="LUJ1532" s="646"/>
      <c r="LUK1532" s="646"/>
      <c r="LUL1532" s="646"/>
      <c r="LUM1532" s="646"/>
      <c r="LUN1532" s="646"/>
      <c r="LUO1532" s="646"/>
      <c r="LUP1532" s="646"/>
      <c r="LUQ1532" s="646"/>
      <c r="LUR1532" s="646"/>
      <c r="LUS1532" s="646"/>
      <c r="LUT1532" s="646"/>
      <c r="LUU1532" s="646"/>
      <c r="LUV1532" s="646"/>
      <c r="LUW1532" s="646"/>
      <c r="LUX1532" s="646"/>
      <c r="LUY1532" s="646"/>
      <c r="LUZ1532" s="646"/>
      <c r="LVA1532" s="646"/>
      <c r="LVB1532" s="646"/>
      <c r="LVC1532" s="646"/>
      <c r="LVD1532" s="646"/>
      <c r="LVE1532" s="646"/>
      <c r="LVF1532" s="646"/>
      <c r="LVG1532" s="646"/>
      <c r="LVH1532" s="646"/>
      <c r="LVI1532" s="646"/>
      <c r="LVJ1532" s="646"/>
      <c r="LVK1532" s="646"/>
      <c r="LVL1532" s="646"/>
      <c r="LVM1532" s="646"/>
      <c r="LVN1532" s="646"/>
      <c r="LVO1532" s="646"/>
      <c r="LVP1532" s="646"/>
      <c r="LVQ1532" s="646"/>
      <c r="LVR1532" s="646"/>
      <c r="LVS1532" s="646"/>
      <c r="LVT1532" s="646"/>
      <c r="LVU1532" s="646"/>
      <c r="LVV1532" s="646"/>
      <c r="LVW1532" s="646"/>
      <c r="LVX1532" s="646"/>
      <c r="LVY1532" s="646"/>
      <c r="LVZ1532" s="646"/>
      <c r="LWA1532" s="646"/>
      <c r="LWB1532" s="646"/>
      <c r="LWC1532" s="646"/>
      <c r="LWD1532" s="646"/>
      <c r="LWE1532" s="646"/>
      <c r="LWF1532" s="646"/>
      <c r="LWG1532" s="646"/>
      <c r="LWH1532" s="646"/>
      <c r="LWI1532" s="646"/>
      <c r="LWJ1532" s="646"/>
      <c r="LWK1532" s="646"/>
      <c r="LWL1532" s="646"/>
      <c r="LWM1532" s="646"/>
      <c r="LWN1532" s="646"/>
      <c r="LWO1532" s="646"/>
      <c r="LWP1532" s="646"/>
      <c r="LWQ1532" s="646"/>
      <c r="LWR1532" s="646"/>
      <c r="LWS1532" s="646"/>
      <c r="LWT1532" s="646"/>
      <c r="LWU1532" s="646"/>
      <c r="LWV1532" s="646"/>
      <c r="LWW1532" s="646"/>
      <c r="LWX1532" s="646"/>
      <c r="LWY1532" s="646"/>
      <c r="LWZ1532" s="646"/>
      <c r="LXA1532" s="646"/>
      <c r="LXB1532" s="646"/>
      <c r="LXC1532" s="646"/>
      <c r="LXD1532" s="646"/>
      <c r="LXE1532" s="646"/>
      <c r="LXF1532" s="646"/>
      <c r="LXG1532" s="646"/>
      <c r="LXH1532" s="646"/>
      <c r="LXI1532" s="646"/>
      <c r="LXJ1532" s="646"/>
      <c r="LXK1532" s="646"/>
      <c r="LXL1532" s="646"/>
      <c r="LXM1532" s="646"/>
      <c r="LXN1532" s="646"/>
      <c r="LXO1532" s="646"/>
      <c r="LXP1532" s="646"/>
      <c r="LXQ1532" s="646"/>
      <c r="LXR1532" s="646"/>
      <c r="LXS1532" s="646"/>
      <c r="LXT1532" s="646"/>
      <c r="LXU1532" s="646"/>
      <c r="LXV1532" s="646"/>
      <c r="LXW1532" s="646"/>
      <c r="LXX1532" s="646"/>
      <c r="LXY1532" s="646"/>
      <c r="LXZ1532" s="646"/>
      <c r="LYA1532" s="646"/>
      <c r="LYB1532" s="646"/>
      <c r="LYC1532" s="646"/>
      <c r="LYD1532" s="646"/>
      <c r="LYE1532" s="646"/>
      <c r="LYF1532" s="646"/>
      <c r="LYG1532" s="646"/>
      <c r="LYH1532" s="646"/>
      <c r="LYI1532" s="646"/>
      <c r="LYJ1532" s="646"/>
      <c r="LYK1532" s="646"/>
      <c r="LYL1532" s="646"/>
      <c r="LYM1532" s="646"/>
      <c r="LYN1532" s="646"/>
      <c r="LYO1532" s="646"/>
      <c r="LYP1532" s="646"/>
      <c r="LYQ1532" s="646"/>
      <c r="LYR1532" s="646"/>
      <c r="LYS1532" s="646"/>
      <c r="LYT1532" s="646"/>
      <c r="LYU1532" s="646"/>
      <c r="LYV1532" s="646"/>
      <c r="LYW1532" s="646"/>
      <c r="LYX1532" s="646"/>
      <c r="LYY1532" s="646"/>
      <c r="LYZ1532" s="646"/>
      <c r="LZA1532" s="646"/>
      <c r="LZB1532" s="646"/>
      <c r="LZC1532" s="646"/>
      <c r="LZD1532" s="646"/>
      <c r="LZE1532" s="646"/>
      <c r="LZF1532" s="646"/>
      <c r="LZG1532" s="646"/>
      <c r="LZH1532" s="646"/>
      <c r="LZI1532" s="646"/>
      <c r="LZJ1532" s="646"/>
      <c r="LZK1532" s="646"/>
      <c r="LZL1532" s="646"/>
      <c r="LZM1532" s="646"/>
      <c r="LZN1532" s="646"/>
      <c r="LZO1532" s="646"/>
      <c r="LZP1532" s="646"/>
      <c r="LZQ1532" s="646"/>
      <c r="LZR1532" s="646"/>
      <c r="LZS1532" s="646"/>
      <c r="LZT1532" s="646"/>
      <c r="LZU1532" s="646"/>
      <c r="LZV1532" s="646"/>
      <c r="LZW1532" s="646"/>
      <c r="LZX1532" s="646"/>
      <c r="LZY1532" s="646"/>
      <c r="LZZ1532" s="646"/>
      <c r="MAA1532" s="646"/>
      <c r="MAB1532" s="646"/>
      <c r="MAC1532" s="646"/>
      <c r="MAD1532" s="646"/>
      <c r="MAE1532" s="646"/>
      <c r="MAF1532" s="646"/>
      <c r="MAG1532" s="646"/>
      <c r="MAH1532" s="646"/>
      <c r="MAI1532" s="646"/>
      <c r="MAJ1532" s="646"/>
      <c r="MAK1532" s="646"/>
      <c r="MAL1532" s="646"/>
      <c r="MAM1532" s="646"/>
      <c r="MAN1532" s="646"/>
      <c r="MAO1532" s="646"/>
      <c r="MAP1532" s="646"/>
      <c r="MAQ1532" s="646"/>
      <c r="MAR1532" s="646"/>
      <c r="MAS1532" s="646"/>
      <c r="MAT1532" s="646"/>
      <c r="MAU1532" s="646"/>
      <c r="MAV1532" s="646"/>
      <c r="MAW1532" s="646"/>
      <c r="MAX1532" s="646"/>
      <c r="MAY1532" s="646"/>
      <c r="MAZ1532" s="646"/>
      <c r="MBA1532" s="646"/>
      <c r="MBB1532" s="646"/>
      <c r="MBC1532" s="646"/>
      <c r="MBD1532" s="646"/>
      <c r="MBE1532" s="646"/>
      <c r="MBF1532" s="646"/>
      <c r="MBG1532" s="646"/>
      <c r="MBH1532" s="646"/>
      <c r="MBI1532" s="646"/>
      <c r="MBJ1532" s="646"/>
      <c r="MBK1532" s="646"/>
      <c r="MBL1532" s="646"/>
      <c r="MBM1532" s="646"/>
      <c r="MBN1532" s="646"/>
      <c r="MBO1532" s="646"/>
      <c r="MBP1532" s="646"/>
      <c r="MBQ1532" s="646"/>
      <c r="MBR1532" s="646"/>
      <c r="MBS1532" s="646"/>
      <c r="MBT1532" s="646"/>
      <c r="MBU1532" s="646"/>
      <c r="MBV1532" s="646"/>
      <c r="MBW1532" s="646"/>
      <c r="MBX1532" s="646"/>
      <c r="MBY1532" s="646"/>
      <c r="MBZ1532" s="646"/>
      <c r="MCA1532" s="646"/>
      <c r="MCB1532" s="646"/>
      <c r="MCC1532" s="646"/>
      <c r="MCD1532" s="646"/>
      <c r="MCE1532" s="646"/>
      <c r="MCF1532" s="646"/>
      <c r="MCG1532" s="646"/>
      <c r="MCH1532" s="646"/>
      <c r="MCI1532" s="646"/>
      <c r="MCJ1532" s="646"/>
      <c r="MCK1532" s="646"/>
      <c r="MCL1532" s="646"/>
      <c r="MCM1532" s="646"/>
      <c r="MCN1532" s="646"/>
      <c r="MCO1532" s="646"/>
      <c r="MCP1532" s="646"/>
      <c r="MCQ1532" s="646"/>
      <c r="MCR1532" s="646"/>
      <c r="MCS1532" s="646"/>
      <c r="MCT1532" s="646"/>
      <c r="MCU1532" s="646"/>
      <c r="MCV1532" s="646"/>
      <c r="MCW1532" s="646"/>
      <c r="MCX1532" s="646"/>
      <c r="MCY1532" s="646"/>
      <c r="MCZ1532" s="646"/>
      <c r="MDA1532" s="646"/>
      <c r="MDB1532" s="646"/>
      <c r="MDC1532" s="646"/>
      <c r="MDD1532" s="646"/>
      <c r="MDE1532" s="646"/>
      <c r="MDF1532" s="646"/>
      <c r="MDG1532" s="646"/>
      <c r="MDH1532" s="646"/>
      <c r="MDI1532" s="646"/>
      <c r="MDJ1532" s="646"/>
      <c r="MDK1532" s="646"/>
      <c r="MDL1532" s="646"/>
      <c r="MDM1532" s="646"/>
      <c r="MDN1532" s="646"/>
      <c r="MDO1532" s="646"/>
      <c r="MDP1532" s="646"/>
      <c r="MDQ1532" s="646"/>
      <c r="MDR1532" s="646"/>
      <c r="MDS1532" s="646"/>
      <c r="MDT1532" s="646"/>
      <c r="MDU1532" s="646"/>
      <c r="MDV1532" s="646"/>
      <c r="MDW1532" s="646"/>
      <c r="MDX1532" s="646"/>
      <c r="MDY1532" s="646"/>
      <c r="MDZ1532" s="646"/>
      <c r="MEA1532" s="646"/>
      <c r="MEB1532" s="646"/>
      <c r="MEC1532" s="646"/>
      <c r="MED1532" s="646"/>
      <c r="MEE1532" s="646"/>
      <c r="MEF1532" s="646"/>
      <c r="MEG1532" s="646"/>
      <c r="MEH1532" s="646"/>
      <c r="MEI1532" s="646"/>
      <c r="MEJ1532" s="646"/>
      <c r="MEK1532" s="646"/>
      <c r="MEL1532" s="646"/>
      <c r="MEM1532" s="646"/>
      <c r="MEN1532" s="646"/>
      <c r="MEO1532" s="646"/>
      <c r="MEP1532" s="646"/>
      <c r="MEQ1532" s="646"/>
      <c r="MER1532" s="646"/>
      <c r="MES1532" s="646"/>
      <c r="MET1532" s="646"/>
      <c r="MEU1532" s="646"/>
      <c r="MEV1532" s="646"/>
      <c r="MEW1532" s="646"/>
      <c r="MEX1532" s="646"/>
      <c r="MEY1532" s="646"/>
      <c r="MEZ1532" s="646"/>
      <c r="MFA1532" s="646"/>
      <c r="MFB1532" s="646"/>
      <c r="MFC1532" s="646"/>
      <c r="MFD1532" s="646"/>
      <c r="MFE1532" s="646"/>
      <c r="MFF1532" s="646"/>
      <c r="MFG1532" s="646"/>
      <c r="MFH1532" s="646"/>
      <c r="MFI1532" s="646"/>
      <c r="MFJ1532" s="646"/>
      <c r="MFK1532" s="646"/>
      <c r="MFL1532" s="646"/>
      <c r="MFM1532" s="646"/>
      <c r="MFN1532" s="646"/>
      <c r="MFO1532" s="646"/>
      <c r="MFP1532" s="646"/>
      <c r="MFQ1532" s="646"/>
      <c r="MFR1532" s="646"/>
      <c r="MFS1532" s="646"/>
      <c r="MFT1532" s="646"/>
      <c r="MFU1532" s="646"/>
      <c r="MFV1532" s="646"/>
      <c r="MFW1532" s="646"/>
      <c r="MFX1532" s="646"/>
      <c r="MFY1532" s="646"/>
      <c r="MFZ1532" s="646"/>
      <c r="MGA1532" s="646"/>
      <c r="MGB1532" s="646"/>
      <c r="MGC1532" s="646"/>
      <c r="MGD1532" s="646"/>
      <c r="MGE1532" s="646"/>
      <c r="MGF1532" s="646"/>
      <c r="MGG1532" s="646"/>
      <c r="MGH1532" s="646"/>
      <c r="MGI1532" s="646"/>
      <c r="MGJ1532" s="646"/>
      <c r="MGK1532" s="646"/>
      <c r="MGL1532" s="646"/>
      <c r="MGM1532" s="646"/>
      <c r="MGN1532" s="646"/>
      <c r="MGO1532" s="646"/>
      <c r="MGP1532" s="646"/>
      <c r="MGQ1532" s="646"/>
      <c r="MGR1532" s="646"/>
      <c r="MGS1532" s="646"/>
      <c r="MGT1532" s="646"/>
      <c r="MGU1532" s="646"/>
      <c r="MGV1532" s="646"/>
      <c r="MGW1532" s="646"/>
      <c r="MGX1532" s="646"/>
      <c r="MGY1532" s="646"/>
      <c r="MGZ1532" s="646"/>
      <c r="MHA1532" s="646"/>
      <c r="MHB1532" s="646"/>
      <c r="MHC1532" s="646"/>
      <c r="MHD1532" s="646"/>
      <c r="MHE1532" s="646"/>
      <c r="MHF1532" s="646"/>
      <c r="MHG1532" s="646"/>
      <c r="MHH1532" s="646"/>
      <c r="MHI1532" s="646"/>
      <c r="MHJ1532" s="646"/>
      <c r="MHK1532" s="646"/>
      <c r="MHL1532" s="646"/>
      <c r="MHM1532" s="646"/>
      <c r="MHN1532" s="646"/>
      <c r="MHO1532" s="646"/>
      <c r="MHP1532" s="646"/>
      <c r="MHQ1532" s="646"/>
      <c r="MHR1532" s="646"/>
      <c r="MHS1532" s="646"/>
      <c r="MHT1532" s="646"/>
      <c r="MHU1532" s="646"/>
      <c r="MHV1532" s="646"/>
      <c r="MHW1532" s="646"/>
      <c r="MHX1532" s="646"/>
      <c r="MHY1532" s="646"/>
      <c r="MHZ1532" s="646"/>
      <c r="MIA1532" s="646"/>
      <c r="MIB1532" s="646"/>
      <c r="MIC1532" s="646"/>
      <c r="MID1532" s="646"/>
      <c r="MIE1532" s="646"/>
      <c r="MIF1532" s="646"/>
      <c r="MIG1532" s="646"/>
      <c r="MIH1532" s="646"/>
      <c r="MII1532" s="646"/>
      <c r="MIJ1532" s="646"/>
      <c r="MIK1532" s="646"/>
      <c r="MIL1532" s="646"/>
      <c r="MIM1532" s="646"/>
      <c r="MIN1532" s="646"/>
      <c r="MIO1532" s="646"/>
      <c r="MIP1532" s="646"/>
      <c r="MIQ1532" s="646"/>
      <c r="MIR1532" s="646"/>
      <c r="MIS1532" s="646"/>
      <c r="MIT1532" s="646"/>
      <c r="MIU1532" s="646"/>
      <c r="MIV1532" s="646"/>
      <c r="MIW1532" s="646"/>
      <c r="MIX1532" s="646"/>
      <c r="MIY1532" s="646"/>
      <c r="MIZ1532" s="646"/>
      <c r="MJA1532" s="646"/>
      <c r="MJB1532" s="646"/>
      <c r="MJC1532" s="646"/>
      <c r="MJD1532" s="646"/>
      <c r="MJE1532" s="646"/>
      <c r="MJF1532" s="646"/>
      <c r="MJG1532" s="646"/>
      <c r="MJH1532" s="646"/>
      <c r="MJI1532" s="646"/>
      <c r="MJJ1532" s="646"/>
      <c r="MJK1532" s="646"/>
      <c r="MJL1532" s="646"/>
      <c r="MJM1532" s="646"/>
      <c r="MJN1532" s="646"/>
      <c r="MJO1532" s="646"/>
      <c r="MJP1532" s="646"/>
      <c r="MJQ1532" s="646"/>
      <c r="MJR1532" s="646"/>
      <c r="MJS1532" s="646"/>
      <c r="MJT1532" s="646"/>
      <c r="MJU1532" s="646"/>
      <c r="MJV1532" s="646"/>
      <c r="MJW1532" s="646"/>
      <c r="MJX1532" s="646"/>
      <c r="MJY1532" s="646"/>
      <c r="MJZ1532" s="646"/>
      <c r="MKA1532" s="646"/>
      <c r="MKB1532" s="646"/>
      <c r="MKC1532" s="646"/>
      <c r="MKD1532" s="646"/>
      <c r="MKE1532" s="646"/>
      <c r="MKF1532" s="646"/>
      <c r="MKG1532" s="646"/>
      <c r="MKH1532" s="646"/>
      <c r="MKI1532" s="646"/>
      <c r="MKJ1532" s="646"/>
      <c r="MKK1532" s="646"/>
      <c r="MKL1532" s="646"/>
      <c r="MKM1532" s="646"/>
      <c r="MKN1532" s="646"/>
      <c r="MKO1532" s="646"/>
      <c r="MKP1532" s="646"/>
      <c r="MKQ1532" s="646"/>
      <c r="MKR1532" s="646"/>
      <c r="MKS1532" s="646"/>
      <c r="MKT1532" s="646"/>
      <c r="MKU1532" s="646"/>
      <c r="MKV1532" s="646"/>
      <c r="MKW1532" s="646"/>
      <c r="MKX1532" s="646"/>
      <c r="MKY1532" s="646"/>
      <c r="MKZ1532" s="646"/>
      <c r="MLA1532" s="646"/>
      <c r="MLB1532" s="646"/>
      <c r="MLC1532" s="646"/>
      <c r="MLD1532" s="646"/>
      <c r="MLE1532" s="646"/>
      <c r="MLF1532" s="646"/>
      <c r="MLG1532" s="646"/>
      <c r="MLH1532" s="646"/>
      <c r="MLI1532" s="646"/>
      <c r="MLJ1532" s="646"/>
      <c r="MLK1532" s="646"/>
      <c r="MLL1532" s="646"/>
      <c r="MLM1532" s="646"/>
      <c r="MLN1532" s="646"/>
      <c r="MLO1532" s="646"/>
      <c r="MLP1532" s="646"/>
      <c r="MLQ1532" s="646"/>
      <c r="MLR1532" s="646"/>
      <c r="MLS1532" s="646"/>
      <c r="MLT1532" s="646"/>
      <c r="MLU1532" s="646"/>
      <c r="MLV1532" s="646"/>
      <c r="MLW1532" s="646"/>
      <c r="MLX1532" s="646"/>
      <c r="MLY1532" s="646"/>
      <c r="MLZ1532" s="646"/>
      <c r="MMA1532" s="646"/>
      <c r="MMB1532" s="646"/>
      <c r="MMC1532" s="646"/>
      <c r="MMD1532" s="646"/>
      <c r="MME1532" s="646"/>
      <c r="MMF1532" s="646"/>
      <c r="MMG1532" s="646"/>
      <c r="MMH1532" s="646"/>
      <c r="MMI1532" s="646"/>
      <c r="MMJ1532" s="646"/>
      <c r="MMK1532" s="646"/>
      <c r="MML1532" s="646"/>
      <c r="MMM1532" s="646"/>
      <c r="MMN1532" s="646"/>
      <c r="MMO1532" s="646"/>
      <c r="MMP1532" s="646"/>
      <c r="MMQ1532" s="646"/>
      <c r="MMR1532" s="646"/>
      <c r="MMS1532" s="646"/>
      <c r="MMT1532" s="646"/>
      <c r="MMU1532" s="646"/>
      <c r="MMV1532" s="646"/>
      <c r="MMW1532" s="646"/>
      <c r="MMX1532" s="646"/>
      <c r="MMY1532" s="646"/>
      <c r="MMZ1532" s="646"/>
      <c r="MNA1532" s="646"/>
      <c r="MNB1532" s="646"/>
      <c r="MNC1532" s="646"/>
      <c r="MND1532" s="646"/>
      <c r="MNE1532" s="646"/>
      <c r="MNF1532" s="646"/>
      <c r="MNG1532" s="646"/>
      <c r="MNH1532" s="646"/>
      <c r="MNI1532" s="646"/>
      <c r="MNJ1532" s="646"/>
      <c r="MNK1532" s="646"/>
      <c r="MNL1532" s="646"/>
      <c r="MNM1532" s="646"/>
      <c r="MNN1532" s="646"/>
      <c r="MNO1532" s="646"/>
      <c r="MNP1532" s="646"/>
      <c r="MNQ1532" s="646"/>
      <c r="MNR1532" s="646"/>
      <c r="MNS1532" s="646"/>
      <c r="MNT1532" s="646"/>
      <c r="MNU1532" s="646"/>
      <c r="MNV1532" s="646"/>
      <c r="MNW1532" s="646"/>
      <c r="MNX1532" s="646"/>
      <c r="MNY1532" s="646"/>
      <c r="MNZ1532" s="646"/>
      <c r="MOA1532" s="646"/>
      <c r="MOB1532" s="646"/>
      <c r="MOC1532" s="646"/>
      <c r="MOD1532" s="646"/>
      <c r="MOE1532" s="646"/>
      <c r="MOF1532" s="646"/>
      <c r="MOG1532" s="646"/>
      <c r="MOH1532" s="646"/>
      <c r="MOI1532" s="646"/>
      <c r="MOJ1532" s="646"/>
      <c r="MOK1532" s="646"/>
      <c r="MOL1532" s="646"/>
      <c r="MOM1532" s="646"/>
      <c r="MON1532" s="646"/>
      <c r="MOO1532" s="646"/>
      <c r="MOP1532" s="646"/>
      <c r="MOQ1532" s="646"/>
      <c r="MOR1532" s="646"/>
      <c r="MOS1532" s="646"/>
      <c r="MOT1532" s="646"/>
      <c r="MOU1532" s="646"/>
      <c r="MOV1532" s="646"/>
      <c r="MOW1532" s="646"/>
      <c r="MOX1532" s="646"/>
      <c r="MOY1532" s="646"/>
      <c r="MOZ1532" s="646"/>
      <c r="MPA1532" s="646"/>
      <c r="MPB1532" s="646"/>
      <c r="MPC1532" s="646"/>
      <c r="MPD1532" s="646"/>
      <c r="MPE1532" s="646"/>
      <c r="MPF1532" s="646"/>
      <c r="MPG1532" s="646"/>
      <c r="MPH1532" s="646"/>
      <c r="MPI1532" s="646"/>
      <c r="MPJ1532" s="646"/>
      <c r="MPK1532" s="646"/>
      <c r="MPL1532" s="646"/>
      <c r="MPM1532" s="646"/>
      <c r="MPN1532" s="646"/>
      <c r="MPO1532" s="646"/>
      <c r="MPP1532" s="646"/>
      <c r="MPQ1532" s="646"/>
      <c r="MPR1532" s="646"/>
      <c r="MPS1532" s="646"/>
      <c r="MPT1532" s="646"/>
      <c r="MPU1532" s="646"/>
      <c r="MPV1532" s="646"/>
      <c r="MPW1532" s="646"/>
      <c r="MPX1532" s="646"/>
      <c r="MPY1532" s="646"/>
      <c r="MPZ1532" s="646"/>
      <c r="MQA1532" s="646"/>
      <c r="MQB1532" s="646"/>
      <c r="MQC1532" s="646"/>
      <c r="MQD1532" s="646"/>
      <c r="MQE1532" s="646"/>
      <c r="MQF1532" s="646"/>
      <c r="MQG1532" s="646"/>
      <c r="MQH1532" s="646"/>
      <c r="MQI1532" s="646"/>
      <c r="MQJ1532" s="646"/>
      <c r="MQK1532" s="646"/>
      <c r="MQL1532" s="646"/>
      <c r="MQM1532" s="646"/>
      <c r="MQN1532" s="646"/>
      <c r="MQO1532" s="646"/>
      <c r="MQP1532" s="646"/>
      <c r="MQQ1532" s="646"/>
      <c r="MQR1532" s="646"/>
      <c r="MQS1532" s="646"/>
      <c r="MQT1532" s="646"/>
      <c r="MQU1532" s="646"/>
      <c r="MQV1532" s="646"/>
      <c r="MQW1532" s="646"/>
      <c r="MQX1532" s="646"/>
      <c r="MQY1532" s="646"/>
      <c r="MQZ1532" s="646"/>
      <c r="MRA1532" s="646"/>
      <c r="MRB1532" s="646"/>
      <c r="MRC1532" s="646"/>
      <c r="MRD1532" s="646"/>
      <c r="MRE1532" s="646"/>
      <c r="MRF1532" s="646"/>
      <c r="MRG1532" s="646"/>
      <c r="MRH1532" s="646"/>
      <c r="MRI1532" s="646"/>
      <c r="MRJ1532" s="646"/>
      <c r="MRK1532" s="646"/>
      <c r="MRL1532" s="646"/>
      <c r="MRM1532" s="646"/>
      <c r="MRN1532" s="646"/>
      <c r="MRO1532" s="646"/>
      <c r="MRP1532" s="646"/>
      <c r="MRQ1532" s="646"/>
      <c r="MRR1532" s="646"/>
      <c r="MRS1532" s="646"/>
      <c r="MRT1532" s="646"/>
      <c r="MRU1532" s="646"/>
      <c r="MRV1532" s="646"/>
      <c r="MRW1532" s="646"/>
      <c r="MRX1532" s="646"/>
      <c r="MRY1532" s="646"/>
      <c r="MRZ1532" s="646"/>
      <c r="MSA1532" s="646"/>
      <c r="MSB1532" s="646"/>
      <c r="MSC1532" s="646"/>
      <c r="MSD1532" s="646"/>
      <c r="MSE1532" s="646"/>
      <c r="MSF1532" s="646"/>
      <c r="MSG1532" s="646"/>
      <c r="MSH1532" s="646"/>
      <c r="MSI1532" s="646"/>
      <c r="MSJ1532" s="646"/>
      <c r="MSK1532" s="646"/>
      <c r="MSL1532" s="646"/>
      <c r="MSM1532" s="646"/>
      <c r="MSN1532" s="646"/>
      <c r="MSO1532" s="646"/>
      <c r="MSP1532" s="646"/>
      <c r="MSQ1532" s="646"/>
      <c r="MSR1532" s="646"/>
      <c r="MSS1532" s="646"/>
      <c r="MST1532" s="646"/>
      <c r="MSU1532" s="646"/>
      <c r="MSV1532" s="646"/>
      <c r="MSW1532" s="646"/>
      <c r="MSX1532" s="646"/>
      <c r="MSY1532" s="646"/>
      <c r="MSZ1532" s="646"/>
      <c r="MTA1532" s="646"/>
      <c r="MTB1532" s="646"/>
      <c r="MTC1532" s="646"/>
      <c r="MTD1532" s="646"/>
      <c r="MTE1532" s="646"/>
      <c r="MTF1532" s="646"/>
      <c r="MTG1532" s="646"/>
      <c r="MTH1532" s="646"/>
      <c r="MTI1532" s="646"/>
      <c r="MTJ1532" s="646"/>
      <c r="MTK1532" s="646"/>
      <c r="MTL1532" s="646"/>
      <c r="MTM1532" s="646"/>
      <c r="MTN1532" s="646"/>
      <c r="MTO1532" s="646"/>
      <c r="MTP1532" s="646"/>
      <c r="MTQ1532" s="646"/>
      <c r="MTR1532" s="646"/>
      <c r="MTS1532" s="646"/>
      <c r="MTT1532" s="646"/>
      <c r="MTU1532" s="646"/>
      <c r="MTV1532" s="646"/>
      <c r="MTW1532" s="646"/>
      <c r="MTX1532" s="646"/>
      <c r="MTY1532" s="646"/>
      <c r="MTZ1532" s="646"/>
      <c r="MUA1532" s="646"/>
      <c r="MUB1532" s="646"/>
      <c r="MUC1532" s="646"/>
      <c r="MUD1532" s="646"/>
      <c r="MUE1532" s="646"/>
      <c r="MUF1532" s="646"/>
      <c r="MUG1532" s="646"/>
      <c r="MUH1532" s="646"/>
      <c r="MUI1532" s="646"/>
      <c r="MUJ1532" s="646"/>
      <c r="MUK1532" s="646"/>
      <c r="MUL1532" s="646"/>
      <c r="MUM1532" s="646"/>
      <c r="MUN1532" s="646"/>
      <c r="MUO1532" s="646"/>
      <c r="MUP1532" s="646"/>
      <c r="MUQ1532" s="646"/>
      <c r="MUR1532" s="646"/>
      <c r="MUS1532" s="646"/>
      <c r="MUT1532" s="646"/>
      <c r="MUU1532" s="646"/>
      <c r="MUV1532" s="646"/>
      <c r="MUW1532" s="646"/>
      <c r="MUX1532" s="646"/>
      <c r="MUY1532" s="646"/>
      <c r="MUZ1532" s="646"/>
      <c r="MVA1532" s="646"/>
      <c r="MVB1532" s="646"/>
      <c r="MVC1532" s="646"/>
      <c r="MVD1532" s="646"/>
      <c r="MVE1532" s="646"/>
      <c r="MVF1532" s="646"/>
      <c r="MVG1532" s="646"/>
      <c r="MVH1532" s="646"/>
      <c r="MVI1532" s="646"/>
      <c r="MVJ1532" s="646"/>
      <c r="MVK1532" s="646"/>
      <c r="MVL1532" s="646"/>
      <c r="MVM1532" s="646"/>
      <c r="MVN1532" s="646"/>
      <c r="MVO1532" s="646"/>
      <c r="MVP1532" s="646"/>
      <c r="MVQ1532" s="646"/>
      <c r="MVR1532" s="646"/>
      <c r="MVS1532" s="646"/>
      <c r="MVT1532" s="646"/>
      <c r="MVU1532" s="646"/>
      <c r="MVV1532" s="646"/>
      <c r="MVW1532" s="646"/>
      <c r="MVX1532" s="646"/>
      <c r="MVY1532" s="646"/>
      <c r="MVZ1532" s="646"/>
      <c r="MWA1532" s="646"/>
      <c r="MWB1532" s="646"/>
      <c r="MWC1532" s="646"/>
      <c r="MWD1532" s="646"/>
      <c r="MWE1532" s="646"/>
      <c r="MWF1532" s="646"/>
      <c r="MWG1532" s="646"/>
      <c r="MWH1532" s="646"/>
      <c r="MWI1532" s="646"/>
      <c r="MWJ1532" s="646"/>
      <c r="MWK1532" s="646"/>
      <c r="MWL1532" s="646"/>
      <c r="MWM1532" s="646"/>
      <c r="MWN1532" s="646"/>
      <c r="MWO1532" s="646"/>
      <c r="MWP1532" s="646"/>
      <c r="MWQ1532" s="646"/>
      <c r="MWR1532" s="646"/>
      <c r="MWS1532" s="646"/>
      <c r="MWT1532" s="646"/>
      <c r="MWU1532" s="646"/>
      <c r="MWV1532" s="646"/>
      <c r="MWW1532" s="646"/>
      <c r="MWX1532" s="646"/>
      <c r="MWY1532" s="646"/>
      <c r="MWZ1532" s="646"/>
      <c r="MXA1532" s="646"/>
      <c r="MXB1532" s="646"/>
      <c r="MXC1532" s="646"/>
      <c r="MXD1532" s="646"/>
      <c r="MXE1532" s="646"/>
      <c r="MXF1532" s="646"/>
      <c r="MXG1532" s="646"/>
      <c r="MXH1532" s="646"/>
      <c r="MXI1532" s="646"/>
      <c r="MXJ1532" s="646"/>
      <c r="MXK1532" s="646"/>
      <c r="MXL1532" s="646"/>
      <c r="MXM1532" s="646"/>
      <c r="MXN1532" s="646"/>
      <c r="MXO1532" s="646"/>
      <c r="MXP1532" s="646"/>
      <c r="MXQ1532" s="646"/>
      <c r="MXR1532" s="646"/>
      <c r="MXS1532" s="646"/>
      <c r="MXT1532" s="646"/>
      <c r="MXU1532" s="646"/>
      <c r="MXV1532" s="646"/>
      <c r="MXW1532" s="646"/>
      <c r="MXX1532" s="646"/>
      <c r="MXY1532" s="646"/>
      <c r="MXZ1532" s="646"/>
      <c r="MYA1532" s="646"/>
      <c r="MYB1532" s="646"/>
      <c r="MYC1532" s="646"/>
      <c r="MYD1532" s="646"/>
      <c r="MYE1532" s="646"/>
      <c r="MYF1532" s="646"/>
      <c r="MYG1532" s="646"/>
      <c r="MYH1532" s="646"/>
      <c r="MYI1532" s="646"/>
      <c r="MYJ1532" s="646"/>
      <c r="MYK1532" s="646"/>
      <c r="MYL1532" s="646"/>
      <c r="MYM1532" s="646"/>
      <c r="MYN1532" s="646"/>
      <c r="MYO1532" s="646"/>
      <c r="MYP1532" s="646"/>
      <c r="MYQ1532" s="646"/>
      <c r="MYR1532" s="646"/>
      <c r="MYS1532" s="646"/>
      <c r="MYT1532" s="646"/>
      <c r="MYU1532" s="646"/>
      <c r="MYV1532" s="646"/>
      <c r="MYW1532" s="646"/>
      <c r="MYX1532" s="646"/>
      <c r="MYY1532" s="646"/>
      <c r="MYZ1532" s="646"/>
      <c r="MZA1532" s="646"/>
      <c r="MZB1532" s="646"/>
      <c r="MZC1532" s="646"/>
      <c r="MZD1532" s="646"/>
      <c r="MZE1532" s="646"/>
      <c r="MZF1532" s="646"/>
      <c r="MZG1532" s="646"/>
      <c r="MZH1532" s="646"/>
      <c r="MZI1532" s="646"/>
      <c r="MZJ1532" s="646"/>
      <c r="MZK1532" s="646"/>
      <c r="MZL1532" s="646"/>
      <c r="MZM1532" s="646"/>
      <c r="MZN1532" s="646"/>
      <c r="MZO1532" s="646"/>
      <c r="MZP1532" s="646"/>
      <c r="MZQ1532" s="646"/>
      <c r="MZR1532" s="646"/>
      <c r="MZS1532" s="646"/>
      <c r="MZT1532" s="646"/>
      <c r="MZU1532" s="646"/>
      <c r="MZV1532" s="646"/>
      <c r="MZW1532" s="646"/>
      <c r="MZX1532" s="646"/>
      <c r="MZY1532" s="646"/>
      <c r="MZZ1532" s="646"/>
      <c r="NAA1532" s="646"/>
      <c r="NAB1532" s="646"/>
      <c r="NAC1532" s="646"/>
      <c r="NAD1532" s="646"/>
      <c r="NAE1532" s="646"/>
      <c r="NAF1532" s="646"/>
      <c r="NAG1532" s="646"/>
      <c r="NAH1532" s="646"/>
      <c r="NAI1532" s="646"/>
      <c r="NAJ1532" s="646"/>
      <c r="NAK1532" s="646"/>
      <c r="NAL1532" s="646"/>
      <c r="NAM1532" s="646"/>
      <c r="NAN1532" s="646"/>
      <c r="NAO1532" s="646"/>
      <c r="NAP1532" s="646"/>
      <c r="NAQ1532" s="646"/>
      <c r="NAR1532" s="646"/>
      <c r="NAS1532" s="646"/>
      <c r="NAT1532" s="646"/>
      <c r="NAU1532" s="646"/>
      <c r="NAV1532" s="646"/>
      <c r="NAW1532" s="646"/>
      <c r="NAX1532" s="646"/>
      <c r="NAY1532" s="646"/>
      <c r="NAZ1532" s="646"/>
      <c r="NBA1532" s="646"/>
      <c r="NBB1532" s="646"/>
      <c r="NBC1532" s="646"/>
      <c r="NBD1532" s="646"/>
      <c r="NBE1532" s="646"/>
      <c r="NBF1532" s="646"/>
      <c r="NBG1532" s="646"/>
      <c r="NBH1532" s="646"/>
      <c r="NBI1532" s="646"/>
      <c r="NBJ1532" s="646"/>
      <c r="NBK1532" s="646"/>
      <c r="NBL1532" s="646"/>
      <c r="NBM1532" s="646"/>
      <c r="NBN1532" s="646"/>
      <c r="NBO1532" s="646"/>
      <c r="NBP1532" s="646"/>
      <c r="NBQ1532" s="646"/>
      <c r="NBR1532" s="646"/>
      <c r="NBS1532" s="646"/>
      <c r="NBT1532" s="646"/>
      <c r="NBU1532" s="646"/>
      <c r="NBV1532" s="646"/>
      <c r="NBW1532" s="646"/>
      <c r="NBX1532" s="646"/>
      <c r="NBY1532" s="646"/>
      <c r="NBZ1532" s="646"/>
      <c r="NCA1532" s="646"/>
      <c r="NCB1532" s="646"/>
      <c r="NCC1532" s="646"/>
      <c r="NCD1532" s="646"/>
      <c r="NCE1532" s="646"/>
      <c r="NCF1532" s="646"/>
      <c r="NCG1532" s="646"/>
      <c r="NCH1532" s="646"/>
      <c r="NCI1532" s="646"/>
      <c r="NCJ1532" s="646"/>
      <c r="NCK1532" s="646"/>
      <c r="NCL1532" s="646"/>
      <c r="NCM1532" s="646"/>
      <c r="NCN1532" s="646"/>
      <c r="NCO1532" s="646"/>
      <c r="NCP1532" s="646"/>
      <c r="NCQ1532" s="646"/>
      <c r="NCR1532" s="646"/>
      <c r="NCS1532" s="646"/>
      <c r="NCT1532" s="646"/>
      <c r="NCU1532" s="646"/>
      <c r="NCV1532" s="646"/>
      <c r="NCW1532" s="646"/>
      <c r="NCX1532" s="646"/>
      <c r="NCY1532" s="646"/>
      <c r="NCZ1532" s="646"/>
      <c r="NDA1532" s="646"/>
      <c r="NDB1532" s="646"/>
      <c r="NDC1532" s="646"/>
      <c r="NDD1532" s="646"/>
      <c r="NDE1532" s="646"/>
      <c r="NDF1532" s="646"/>
      <c r="NDG1532" s="646"/>
      <c r="NDH1532" s="646"/>
      <c r="NDI1532" s="646"/>
      <c r="NDJ1532" s="646"/>
      <c r="NDK1532" s="646"/>
      <c r="NDL1532" s="646"/>
      <c r="NDM1532" s="646"/>
      <c r="NDN1532" s="646"/>
      <c r="NDO1532" s="646"/>
      <c r="NDP1532" s="646"/>
      <c r="NDQ1532" s="646"/>
      <c r="NDR1532" s="646"/>
      <c r="NDS1532" s="646"/>
      <c r="NDT1532" s="646"/>
      <c r="NDU1532" s="646"/>
      <c r="NDV1532" s="646"/>
      <c r="NDW1532" s="646"/>
      <c r="NDX1532" s="646"/>
      <c r="NDY1532" s="646"/>
      <c r="NDZ1532" s="646"/>
      <c r="NEA1532" s="646"/>
      <c r="NEB1532" s="646"/>
      <c r="NEC1532" s="646"/>
      <c r="NED1532" s="646"/>
      <c r="NEE1532" s="646"/>
      <c r="NEF1532" s="646"/>
      <c r="NEG1532" s="646"/>
      <c r="NEH1532" s="646"/>
      <c r="NEI1532" s="646"/>
      <c r="NEJ1532" s="646"/>
      <c r="NEK1532" s="646"/>
      <c r="NEL1532" s="646"/>
      <c r="NEM1532" s="646"/>
      <c r="NEN1532" s="646"/>
      <c r="NEO1532" s="646"/>
      <c r="NEP1532" s="646"/>
      <c r="NEQ1532" s="646"/>
      <c r="NER1532" s="646"/>
      <c r="NES1532" s="646"/>
      <c r="NET1532" s="646"/>
      <c r="NEU1532" s="646"/>
      <c r="NEV1532" s="646"/>
      <c r="NEW1532" s="646"/>
      <c r="NEX1532" s="646"/>
      <c r="NEY1532" s="646"/>
      <c r="NEZ1532" s="646"/>
      <c r="NFA1532" s="646"/>
      <c r="NFB1532" s="646"/>
      <c r="NFC1532" s="646"/>
      <c r="NFD1532" s="646"/>
      <c r="NFE1532" s="646"/>
      <c r="NFF1532" s="646"/>
      <c r="NFG1532" s="646"/>
      <c r="NFH1532" s="646"/>
      <c r="NFI1532" s="646"/>
      <c r="NFJ1532" s="646"/>
      <c r="NFK1532" s="646"/>
      <c r="NFL1532" s="646"/>
      <c r="NFM1532" s="646"/>
      <c r="NFN1532" s="646"/>
      <c r="NFO1532" s="646"/>
      <c r="NFP1532" s="646"/>
      <c r="NFQ1532" s="646"/>
      <c r="NFR1532" s="646"/>
      <c r="NFS1532" s="646"/>
      <c r="NFT1532" s="646"/>
      <c r="NFU1532" s="646"/>
      <c r="NFV1532" s="646"/>
      <c r="NFW1532" s="646"/>
      <c r="NFX1532" s="646"/>
      <c r="NFY1532" s="646"/>
      <c r="NFZ1532" s="646"/>
      <c r="NGA1532" s="646"/>
      <c r="NGB1532" s="646"/>
      <c r="NGC1532" s="646"/>
      <c r="NGD1532" s="646"/>
      <c r="NGE1532" s="646"/>
      <c r="NGF1532" s="646"/>
      <c r="NGG1532" s="646"/>
      <c r="NGH1532" s="646"/>
      <c r="NGI1532" s="646"/>
      <c r="NGJ1532" s="646"/>
      <c r="NGK1532" s="646"/>
      <c r="NGL1532" s="646"/>
      <c r="NGM1532" s="646"/>
      <c r="NGN1532" s="646"/>
      <c r="NGO1532" s="646"/>
      <c r="NGP1532" s="646"/>
      <c r="NGQ1532" s="646"/>
      <c r="NGR1532" s="646"/>
      <c r="NGS1532" s="646"/>
      <c r="NGT1532" s="646"/>
      <c r="NGU1532" s="646"/>
      <c r="NGV1532" s="646"/>
      <c r="NGW1532" s="646"/>
      <c r="NGX1532" s="646"/>
      <c r="NGY1532" s="646"/>
      <c r="NGZ1532" s="646"/>
      <c r="NHA1532" s="646"/>
      <c r="NHB1532" s="646"/>
      <c r="NHC1532" s="646"/>
      <c r="NHD1532" s="646"/>
      <c r="NHE1532" s="646"/>
      <c r="NHF1532" s="646"/>
      <c r="NHG1532" s="646"/>
      <c r="NHH1532" s="646"/>
      <c r="NHI1532" s="646"/>
      <c r="NHJ1532" s="646"/>
      <c r="NHK1532" s="646"/>
      <c r="NHL1532" s="646"/>
      <c r="NHM1532" s="646"/>
      <c r="NHN1532" s="646"/>
      <c r="NHO1532" s="646"/>
      <c r="NHP1532" s="646"/>
      <c r="NHQ1532" s="646"/>
      <c r="NHR1532" s="646"/>
      <c r="NHS1532" s="646"/>
      <c r="NHT1532" s="646"/>
      <c r="NHU1532" s="646"/>
      <c r="NHV1532" s="646"/>
      <c r="NHW1532" s="646"/>
      <c r="NHX1532" s="646"/>
      <c r="NHY1532" s="646"/>
      <c r="NHZ1532" s="646"/>
      <c r="NIA1532" s="646"/>
      <c r="NIB1532" s="646"/>
      <c r="NIC1532" s="646"/>
      <c r="NID1532" s="646"/>
      <c r="NIE1532" s="646"/>
      <c r="NIF1532" s="646"/>
      <c r="NIG1532" s="646"/>
      <c r="NIH1532" s="646"/>
      <c r="NII1532" s="646"/>
      <c r="NIJ1532" s="646"/>
      <c r="NIK1532" s="646"/>
      <c r="NIL1532" s="646"/>
      <c r="NIM1532" s="646"/>
      <c r="NIN1532" s="646"/>
      <c r="NIO1532" s="646"/>
      <c r="NIP1532" s="646"/>
      <c r="NIQ1532" s="646"/>
      <c r="NIR1532" s="646"/>
      <c r="NIS1532" s="646"/>
      <c r="NIT1532" s="646"/>
      <c r="NIU1532" s="646"/>
      <c r="NIV1532" s="646"/>
      <c r="NIW1532" s="646"/>
      <c r="NIX1532" s="646"/>
      <c r="NIY1532" s="646"/>
      <c r="NIZ1532" s="646"/>
      <c r="NJA1532" s="646"/>
      <c r="NJB1532" s="646"/>
      <c r="NJC1532" s="646"/>
      <c r="NJD1532" s="646"/>
      <c r="NJE1532" s="646"/>
      <c r="NJF1532" s="646"/>
      <c r="NJG1532" s="646"/>
      <c r="NJH1532" s="646"/>
      <c r="NJI1532" s="646"/>
      <c r="NJJ1532" s="646"/>
      <c r="NJK1532" s="646"/>
      <c r="NJL1532" s="646"/>
      <c r="NJM1532" s="646"/>
      <c r="NJN1532" s="646"/>
      <c r="NJO1532" s="646"/>
      <c r="NJP1532" s="646"/>
      <c r="NJQ1532" s="646"/>
      <c r="NJR1532" s="646"/>
      <c r="NJS1532" s="646"/>
      <c r="NJT1532" s="646"/>
      <c r="NJU1532" s="646"/>
      <c r="NJV1532" s="646"/>
      <c r="NJW1532" s="646"/>
      <c r="NJX1532" s="646"/>
      <c r="NJY1532" s="646"/>
      <c r="NJZ1532" s="646"/>
      <c r="NKA1532" s="646"/>
      <c r="NKB1532" s="646"/>
      <c r="NKC1532" s="646"/>
      <c r="NKD1532" s="646"/>
      <c r="NKE1532" s="646"/>
      <c r="NKF1532" s="646"/>
      <c r="NKG1532" s="646"/>
      <c r="NKH1532" s="646"/>
      <c r="NKI1532" s="646"/>
      <c r="NKJ1532" s="646"/>
      <c r="NKK1532" s="646"/>
      <c r="NKL1532" s="646"/>
      <c r="NKM1532" s="646"/>
      <c r="NKN1532" s="646"/>
      <c r="NKO1532" s="646"/>
      <c r="NKP1532" s="646"/>
      <c r="NKQ1532" s="646"/>
      <c r="NKR1532" s="646"/>
      <c r="NKS1532" s="646"/>
      <c r="NKT1532" s="646"/>
      <c r="NKU1532" s="646"/>
      <c r="NKV1532" s="646"/>
      <c r="NKW1532" s="646"/>
      <c r="NKX1532" s="646"/>
      <c r="NKY1532" s="646"/>
      <c r="NKZ1532" s="646"/>
      <c r="NLA1532" s="646"/>
      <c r="NLB1532" s="646"/>
      <c r="NLC1532" s="646"/>
      <c r="NLD1532" s="646"/>
      <c r="NLE1532" s="646"/>
      <c r="NLF1532" s="646"/>
      <c r="NLG1532" s="646"/>
      <c r="NLH1532" s="646"/>
      <c r="NLI1532" s="646"/>
      <c r="NLJ1532" s="646"/>
      <c r="NLK1532" s="646"/>
      <c r="NLL1532" s="646"/>
      <c r="NLM1532" s="646"/>
      <c r="NLN1532" s="646"/>
      <c r="NLO1532" s="646"/>
      <c r="NLP1532" s="646"/>
      <c r="NLQ1532" s="646"/>
      <c r="NLR1532" s="646"/>
      <c r="NLS1532" s="646"/>
      <c r="NLT1532" s="646"/>
      <c r="NLU1532" s="646"/>
      <c r="NLV1532" s="646"/>
      <c r="NLW1532" s="646"/>
      <c r="NLX1532" s="646"/>
      <c r="NLY1532" s="646"/>
      <c r="NLZ1532" s="646"/>
      <c r="NMA1532" s="646"/>
      <c r="NMB1532" s="646"/>
      <c r="NMC1532" s="646"/>
      <c r="NMD1532" s="646"/>
      <c r="NME1532" s="646"/>
      <c r="NMF1532" s="646"/>
      <c r="NMG1532" s="646"/>
      <c r="NMH1532" s="646"/>
      <c r="NMI1532" s="646"/>
      <c r="NMJ1532" s="646"/>
      <c r="NMK1532" s="646"/>
      <c r="NML1532" s="646"/>
      <c r="NMM1532" s="646"/>
      <c r="NMN1532" s="646"/>
      <c r="NMO1532" s="646"/>
      <c r="NMP1532" s="646"/>
      <c r="NMQ1532" s="646"/>
      <c r="NMR1532" s="646"/>
      <c r="NMS1532" s="646"/>
      <c r="NMT1532" s="646"/>
      <c r="NMU1532" s="646"/>
      <c r="NMV1532" s="646"/>
      <c r="NMW1532" s="646"/>
      <c r="NMX1532" s="646"/>
      <c r="NMY1532" s="646"/>
      <c r="NMZ1532" s="646"/>
      <c r="NNA1532" s="646"/>
      <c r="NNB1532" s="646"/>
      <c r="NNC1532" s="646"/>
      <c r="NND1532" s="646"/>
      <c r="NNE1532" s="646"/>
      <c r="NNF1532" s="646"/>
      <c r="NNG1532" s="646"/>
      <c r="NNH1532" s="646"/>
      <c r="NNI1532" s="646"/>
      <c r="NNJ1532" s="646"/>
      <c r="NNK1532" s="646"/>
      <c r="NNL1532" s="646"/>
      <c r="NNM1532" s="646"/>
      <c r="NNN1532" s="646"/>
      <c r="NNO1532" s="646"/>
      <c r="NNP1532" s="646"/>
      <c r="NNQ1532" s="646"/>
      <c r="NNR1532" s="646"/>
      <c r="NNS1532" s="646"/>
      <c r="NNT1532" s="646"/>
      <c r="NNU1532" s="646"/>
      <c r="NNV1532" s="646"/>
      <c r="NNW1532" s="646"/>
      <c r="NNX1532" s="646"/>
      <c r="NNY1532" s="646"/>
      <c r="NNZ1532" s="646"/>
      <c r="NOA1532" s="646"/>
      <c r="NOB1532" s="646"/>
      <c r="NOC1532" s="646"/>
      <c r="NOD1532" s="646"/>
      <c r="NOE1532" s="646"/>
      <c r="NOF1532" s="646"/>
      <c r="NOG1532" s="646"/>
      <c r="NOH1532" s="646"/>
      <c r="NOI1532" s="646"/>
      <c r="NOJ1532" s="646"/>
      <c r="NOK1532" s="646"/>
      <c r="NOL1532" s="646"/>
      <c r="NOM1532" s="646"/>
      <c r="NON1532" s="646"/>
      <c r="NOO1532" s="646"/>
      <c r="NOP1532" s="646"/>
      <c r="NOQ1532" s="646"/>
      <c r="NOR1532" s="646"/>
      <c r="NOS1532" s="646"/>
      <c r="NOT1532" s="646"/>
      <c r="NOU1532" s="646"/>
      <c r="NOV1532" s="646"/>
      <c r="NOW1532" s="646"/>
      <c r="NOX1532" s="646"/>
      <c r="NOY1532" s="646"/>
      <c r="NOZ1532" s="646"/>
      <c r="NPA1532" s="646"/>
      <c r="NPB1532" s="646"/>
      <c r="NPC1532" s="646"/>
      <c r="NPD1532" s="646"/>
      <c r="NPE1532" s="646"/>
      <c r="NPF1532" s="646"/>
      <c r="NPG1532" s="646"/>
      <c r="NPH1532" s="646"/>
      <c r="NPI1532" s="646"/>
      <c r="NPJ1532" s="646"/>
      <c r="NPK1532" s="646"/>
      <c r="NPL1532" s="646"/>
      <c r="NPM1532" s="646"/>
      <c r="NPN1532" s="646"/>
      <c r="NPO1532" s="646"/>
      <c r="NPP1532" s="646"/>
      <c r="NPQ1532" s="646"/>
      <c r="NPR1532" s="646"/>
      <c r="NPS1532" s="646"/>
      <c r="NPT1532" s="646"/>
      <c r="NPU1532" s="646"/>
      <c r="NPV1532" s="646"/>
      <c r="NPW1532" s="646"/>
      <c r="NPX1532" s="646"/>
      <c r="NPY1532" s="646"/>
      <c r="NPZ1532" s="646"/>
      <c r="NQA1532" s="646"/>
      <c r="NQB1532" s="646"/>
      <c r="NQC1532" s="646"/>
      <c r="NQD1532" s="646"/>
      <c r="NQE1532" s="646"/>
      <c r="NQF1532" s="646"/>
      <c r="NQG1532" s="646"/>
      <c r="NQH1532" s="646"/>
      <c r="NQI1532" s="646"/>
      <c r="NQJ1532" s="646"/>
      <c r="NQK1532" s="646"/>
      <c r="NQL1532" s="646"/>
      <c r="NQM1532" s="646"/>
      <c r="NQN1532" s="646"/>
      <c r="NQO1532" s="646"/>
      <c r="NQP1532" s="646"/>
      <c r="NQQ1532" s="646"/>
      <c r="NQR1532" s="646"/>
      <c r="NQS1532" s="646"/>
      <c r="NQT1532" s="646"/>
      <c r="NQU1532" s="646"/>
      <c r="NQV1532" s="646"/>
      <c r="NQW1532" s="646"/>
      <c r="NQX1532" s="646"/>
      <c r="NQY1532" s="646"/>
      <c r="NQZ1532" s="646"/>
      <c r="NRA1532" s="646"/>
      <c r="NRB1532" s="646"/>
      <c r="NRC1532" s="646"/>
      <c r="NRD1532" s="646"/>
      <c r="NRE1532" s="646"/>
      <c r="NRF1532" s="646"/>
      <c r="NRG1532" s="646"/>
      <c r="NRH1532" s="646"/>
      <c r="NRI1532" s="646"/>
      <c r="NRJ1532" s="646"/>
      <c r="NRK1532" s="646"/>
      <c r="NRL1532" s="646"/>
      <c r="NRM1532" s="646"/>
      <c r="NRN1532" s="646"/>
      <c r="NRO1532" s="646"/>
      <c r="NRP1532" s="646"/>
      <c r="NRQ1532" s="646"/>
      <c r="NRR1532" s="646"/>
      <c r="NRS1532" s="646"/>
      <c r="NRT1532" s="646"/>
      <c r="NRU1532" s="646"/>
      <c r="NRV1532" s="646"/>
      <c r="NRW1532" s="646"/>
      <c r="NRX1532" s="646"/>
      <c r="NRY1532" s="646"/>
      <c r="NRZ1532" s="646"/>
      <c r="NSA1532" s="646"/>
      <c r="NSB1532" s="646"/>
      <c r="NSC1532" s="646"/>
      <c r="NSD1532" s="646"/>
      <c r="NSE1532" s="646"/>
      <c r="NSF1532" s="646"/>
      <c r="NSG1532" s="646"/>
      <c r="NSH1532" s="646"/>
      <c r="NSI1532" s="646"/>
      <c r="NSJ1532" s="646"/>
      <c r="NSK1532" s="646"/>
      <c r="NSL1532" s="646"/>
      <c r="NSM1532" s="646"/>
      <c r="NSN1532" s="646"/>
      <c r="NSO1532" s="646"/>
      <c r="NSP1532" s="646"/>
      <c r="NSQ1532" s="646"/>
      <c r="NSR1532" s="646"/>
      <c r="NSS1532" s="646"/>
      <c r="NST1532" s="646"/>
      <c r="NSU1532" s="646"/>
      <c r="NSV1532" s="646"/>
      <c r="NSW1532" s="646"/>
      <c r="NSX1532" s="646"/>
      <c r="NSY1532" s="646"/>
      <c r="NSZ1532" s="646"/>
      <c r="NTA1532" s="646"/>
      <c r="NTB1532" s="646"/>
      <c r="NTC1532" s="646"/>
      <c r="NTD1532" s="646"/>
      <c r="NTE1532" s="646"/>
      <c r="NTF1532" s="646"/>
      <c r="NTG1532" s="646"/>
      <c r="NTH1532" s="646"/>
      <c r="NTI1532" s="646"/>
      <c r="NTJ1532" s="646"/>
      <c r="NTK1532" s="646"/>
      <c r="NTL1532" s="646"/>
      <c r="NTM1532" s="646"/>
      <c r="NTN1532" s="646"/>
      <c r="NTO1532" s="646"/>
      <c r="NTP1532" s="646"/>
      <c r="NTQ1532" s="646"/>
      <c r="NTR1532" s="646"/>
      <c r="NTS1532" s="646"/>
      <c r="NTT1532" s="646"/>
      <c r="NTU1532" s="646"/>
      <c r="NTV1532" s="646"/>
      <c r="NTW1532" s="646"/>
      <c r="NTX1532" s="646"/>
      <c r="NTY1532" s="646"/>
      <c r="NTZ1532" s="646"/>
      <c r="NUA1532" s="646"/>
      <c r="NUB1532" s="646"/>
      <c r="NUC1532" s="646"/>
      <c r="NUD1532" s="646"/>
      <c r="NUE1532" s="646"/>
      <c r="NUF1532" s="646"/>
      <c r="NUG1532" s="646"/>
      <c r="NUH1532" s="646"/>
      <c r="NUI1532" s="646"/>
      <c r="NUJ1532" s="646"/>
      <c r="NUK1532" s="646"/>
      <c r="NUL1532" s="646"/>
      <c r="NUM1532" s="646"/>
      <c r="NUN1532" s="646"/>
      <c r="NUO1532" s="646"/>
      <c r="NUP1532" s="646"/>
      <c r="NUQ1532" s="646"/>
      <c r="NUR1532" s="646"/>
      <c r="NUS1532" s="646"/>
      <c r="NUT1532" s="646"/>
      <c r="NUU1532" s="646"/>
      <c r="NUV1532" s="646"/>
      <c r="NUW1532" s="646"/>
      <c r="NUX1532" s="646"/>
      <c r="NUY1532" s="646"/>
      <c r="NUZ1532" s="646"/>
      <c r="NVA1532" s="646"/>
      <c r="NVB1532" s="646"/>
      <c r="NVC1532" s="646"/>
      <c r="NVD1532" s="646"/>
      <c r="NVE1532" s="646"/>
      <c r="NVF1532" s="646"/>
      <c r="NVG1532" s="646"/>
      <c r="NVH1532" s="646"/>
      <c r="NVI1532" s="646"/>
      <c r="NVJ1532" s="646"/>
      <c r="NVK1532" s="646"/>
      <c r="NVL1532" s="646"/>
      <c r="NVM1532" s="646"/>
      <c r="NVN1532" s="646"/>
      <c r="NVO1532" s="646"/>
      <c r="NVP1532" s="646"/>
      <c r="NVQ1532" s="646"/>
      <c r="NVR1532" s="646"/>
      <c r="NVS1532" s="646"/>
      <c r="NVT1532" s="646"/>
      <c r="NVU1532" s="646"/>
      <c r="NVV1532" s="646"/>
      <c r="NVW1532" s="646"/>
      <c r="NVX1532" s="646"/>
      <c r="NVY1532" s="646"/>
      <c r="NVZ1532" s="646"/>
      <c r="NWA1532" s="646"/>
      <c r="NWB1532" s="646"/>
      <c r="NWC1532" s="646"/>
      <c r="NWD1532" s="646"/>
      <c r="NWE1532" s="646"/>
      <c r="NWF1532" s="646"/>
      <c r="NWG1532" s="646"/>
      <c r="NWH1532" s="646"/>
      <c r="NWI1532" s="646"/>
      <c r="NWJ1532" s="646"/>
      <c r="NWK1532" s="646"/>
      <c r="NWL1532" s="646"/>
      <c r="NWM1532" s="646"/>
      <c r="NWN1532" s="646"/>
      <c r="NWO1532" s="646"/>
      <c r="NWP1532" s="646"/>
      <c r="NWQ1532" s="646"/>
      <c r="NWR1532" s="646"/>
      <c r="NWS1532" s="646"/>
      <c r="NWT1532" s="646"/>
      <c r="NWU1532" s="646"/>
      <c r="NWV1532" s="646"/>
      <c r="NWW1532" s="646"/>
      <c r="NWX1532" s="646"/>
      <c r="NWY1532" s="646"/>
      <c r="NWZ1532" s="646"/>
      <c r="NXA1532" s="646"/>
      <c r="NXB1532" s="646"/>
      <c r="NXC1532" s="646"/>
      <c r="NXD1532" s="646"/>
      <c r="NXE1532" s="646"/>
      <c r="NXF1532" s="646"/>
      <c r="NXG1532" s="646"/>
      <c r="NXH1532" s="646"/>
      <c r="NXI1532" s="646"/>
      <c r="NXJ1532" s="646"/>
      <c r="NXK1532" s="646"/>
      <c r="NXL1532" s="646"/>
      <c r="NXM1532" s="646"/>
      <c r="NXN1532" s="646"/>
      <c r="NXO1532" s="646"/>
      <c r="NXP1532" s="646"/>
      <c r="NXQ1532" s="646"/>
      <c r="NXR1532" s="646"/>
      <c r="NXS1532" s="646"/>
      <c r="NXT1532" s="646"/>
      <c r="NXU1532" s="646"/>
      <c r="NXV1532" s="646"/>
      <c r="NXW1532" s="646"/>
      <c r="NXX1532" s="646"/>
      <c r="NXY1532" s="646"/>
      <c r="NXZ1532" s="646"/>
      <c r="NYA1532" s="646"/>
      <c r="NYB1532" s="646"/>
      <c r="NYC1532" s="646"/>
      <c r="NYD1532" s="646"/>
      <c r="NYE1532" s="646"/>
      <c r="NYF1532" s="646"/>
      <c r="NYG1532" s="646"/>
      <c r="NYH1532" s="646"/>
      <c r="NYI1532" s="646"/>
      <c r="NYJ1532" s="646"/>
      <c r="NYK1532" s="646"/>
      <c r="NYL1532" s="646"/>
      <c r="NYM1532" s="646"/>
      <c r="NYN1532" s="646"/>
      <c r="NYO1532" s="646"/>
      <c r="NYP1532" s="646"/>
      <c r="NYQ1532" s="646"/>
      <c r="NYR1532" s="646"/>
      <c r="NYS1532" s="646"/>
      <c r="NYT1532" s="646"/>
      <c r="NYU1532" s="646"/>
      <c r="NYV1532" s="646"/>
      <c r="NYW1532" s="646"/>
      <c r="NYX1532" s="646"/>
      <c r="NYY1532" s="646"/>
      <c r="NYZ1532" s="646"/>
      <c r="NZA1532" s="646"/>
      <c r="NZB1532" s="646"/>
      <c r="NZC1532" s="646"/>
      <c r="NZD1532" s="646"/>
      <c r="NZE1532" s="646"/>
      <c r="NZF1532" s="646"/>
      <c r="NZG1532" s="646"/>
      <c r="NZH1532" s="646"/>
      <c r="NZI1532" s="646"/>
      <c r="NZJ1532" s="646"/>
      <c r="NZK1532" s="646"/>
      <c r="NZL1532" s="646"/>
      <c r="NZM1532" s="646"/>
      <c r="NZN1532" s="646"/>
      <c r="NZO1532" s="646"/>
      <c r="NZP1532" s="646"/>
      <c r="NZQ1532" s="646"/>
      <c r="NZR1532" s="646"/>
      <c r="NZS1532" s="646"/>
      <c r="NZT1532" s="646"/>
      <c r="NZU1532" s="646"/>
      <c r="NZV1532" s="646"/>
      <c r="NZW1532" s="646"/>
      <c r="NZX1532" s="646"/>
      <c r="NZY1532" s="646"/>
      <c r="NZZ1532" s="646"/>
      <c r="OAA1532" s="646"/>
      <c r="OAB1532" s="646"/>
      <c r="OAC1532" s="646"/>
      <c r="OAD1532" s="646"/>
      <c r="OAE1532" s="646"/>
      <c r="OAF1532" s="646"/>
      <c r="OAG1532" s="646"/>
      <c r="OAH1532" s="646"/>
      <c r="OAI1532" s="646"/>
      <c r="OAJ1532" s="646"/>
      <c r="OAK1532" s="646"/>
      <c r="OAL1532" s="646"/>
      <c r="OAM1532" s="646"/>
      <c r="OAN1532" s="646"/>
      <c r="OAO1532" s="646"/>
      <c r="OAP1532" s="646"/>
      <c r="OAQ1532" s="646"/>
      <c r="OAR1532" s="646"/>
      <c r="OAS1532" s="646"/>
      <c r="OAT1532" s="646"/>
      <c r="OAU1532" s="646"/>
      <c r="OAV1532" s="646"/>
      <c r="OAW1532" s="646"/>
      <c r="OAX1532" s="646"/>
      <c r="OAY1532" s="646"/>
      <c r="OAZ1532" s="646"/>
      <c r="OBA1532" s="646"/>
      <c r="OBB1532" s="646"/>
      <c r="OBC1532" s="646"/>
      <c r="OBD1532" s="646"/>
      <c r="OBE1532" s="646"/>
      <c r="OBF1532" s="646"/>
      <c r="OBG1532" s="646"/>
      <c r="OBH1532" s="646"/>
      <c r="OBI1532" s="646"/>
      <c r="OBJ1532" s="646"/>
      <c r="OBK1532" s="646"/>
      <c r="OBL1532" s="646"/>
      <c r="OBM1532" s="646"/>
      <c r="OBN1532" s="646"/>
      <c r="OBO1532" s="646"/>
      <c r="OBP1532" s="646"/>
      <c r="OBQ1532" s="646"/>
      <c r="OBR1532" s="646"/>
      <c r="OBS1532" s="646"/>
      <c r="OBT1532" s="646"/>
      <c r="OBU1532" s="646"/>
      <c r="OBV1532" s="646"/>
      <c r="OBW1532" s="646"/>
      <c r="OBX1532" s="646"/>
      <c r="OBY1532" s="646"/>
      <c r="OBZ1532" s="646"/>
      <c r="OCA1532" s="646"/>
      <c r="OCB1532" s="646"/>
      <c r="OCC1532" s="646"/>
      <c r="OCD1532" s="646"/>
      <c r="OCE1532" s="646"/>
      <c r="OCF1532" s="646"/>
      <c r="OCG1532" s="646"/>
      <c r="OCH1532" s="646"/>
      <c r="OCI1532" s="646"/>
      <c r="OCJ1532" s="646"/>
      <c r="OCK1532" s="646"/>
      <c r="OCL1532" s="646"/>
      <c r="OCM1532" s="646"/>
      <c r="OCN1532" s="646"/>
      <c r="OCO1532" s="646"/>
      <c r="OCP1532" s="646"/>
      <c r="OCQ1532" s="646"/>
      <c r="OCR1532" s="646"/>
      <c r="OCS1532" s="646"/>
      <c r="OCT1532" s="646"/>
      <c r="OCU1532" s="646"/>
      <c r="OCV1532" s="646"/>
      <c r="OCW1532" s="646"/>
      <c r="OCX1532" s="646"/>
      <c r="OCY1532" s="646"/>
      <c r="OCZ1532" s="646"/>
      <c r="ODA1532" s="646"/>
      <c r="ODB1532" s="646"/>
      <c r="ODC1532" s="646"/>
      <c r="ODD1532" s="646"/>
      <c r="ODE1532" s="646"/>
      <c r="ODF1532" s="646"/>
      <c r="ODG1532" s="646"/>
      <c r="ODH1532" s="646"/>
      <c r="ODI1532" s="646"/>
      <c r="ODJ1532" s="646"/>
      <c r="ODK1532" s="646"/>
      <c r="ODL1532" s="646"/>
      <c r="ODM1532" s="646"/>
      <c r="ODN1532" s="646"/>
      <c r="ODO1532" s="646"/>
      <c r="ODP1532" s="646"/>
      <c r="ODQ1532" s="646"/>
      <c r="ODR1532" s="646"/>
      <c r="ODS1532" s="646"/>
      <c r="ODT1532" s="646"/>
      <c r="ODU1532" s="646"/>
      <c r="ODV1532" s="646"/>
      <c r="ODW1532" s="646"/>
      <c r="ODX1532" s="646"/>
      <c r="ODY1532" s="646"/>
      <c r="ODZ1532" s="646"/>
      <c r="OEA1532" s="646"/>
      <c r="OEB1532" s="646"/>
      <c r="OEC1532" s="646"/>
      <c r="OED1532" s="646"/>
      <c r="OEE1532" s="646"/>
      <c r="OEF1532" s="646"/>
      <c r="OEG1532" s="646"/>
      <c r="OEH1532" s="646"/>
      <c r="OEI1532" s="646"/>
      <c r="OEJ1532" s="646"/>
      <c r="OEK1532" s="646"/>
      <c r="OEL1532" s="646"/>
      <c r="OEM1532" s="646"/>
      <c r="OEN1532" s="646"/>
      <c r="OEO1532" s="646"/>
      <c r="OEP1532" s="646"/>
      <c r="OEQ1532" s="646"/>
      <c r="OER1532" s="646"/>
      <c r="OES1532" s="646"/>
      <c r="OET1532" s="646"/>
      <c r="OEU1532" s="646"/>
      <c r="OEV1532" s="646"/>
      <c r="OEW1532" s="646"/>
      <c r="OEX1532" s="646"/>
      <c r="OEY1532" s="646"/>
      <c r="OEZ1532" s="646"/>
      <c r="OFA1532" s="646"/>
      <c r="OFB1532" s="646"/>
      <c r="OFC1532" s="646"/>
      <c r="OFD1532" s="646"/>
      <c r="OFE1532" s="646"/>
      <c r="OFF1532" s="646"/>
      <c r="OFG1532" s="646"/>
      <c r="OFH1532" s="646"/>
      <c r="OFI1532" s="646"/>
      <c r="OFJ1532" s="646"/>
      <c r="OFK1532" s="646"/>
      <c r="OFL1532" s="646"/>
      <c r="OFM1532" s="646"/>
      <c r="OFN1532" s="646"/>
      <c r="OFO1532" s="646"/>
      <c r="OFP1532" s="646"/>
      <c r="OFQ1532" s="646"/>
      <c r="OFR1532" s="646"/>
      <c r="OFS1532" s="646"/>
      <c r="OFT1532" s="646"/>
      <c r="OFU1532" s="646"/>
      <c r="OFV1532" s="646"/>
      <c r="OFW1532" s="646"/>
      <c r="OFX1532" s="646"/>
      <c r="OFY1532" s="646"/>
      <c r="OFZ1532" s="646"/>
      <c r="OGA1532" s="646"/>
      <c r="OGB1532" s="646"/>
      <c r="OGC1532" s="646"/>
      <c r="OGD1532" s="646"/>
      <c r="OGE1532" s="646"/>
      <c r="OGF1532" s="646"/>
      <c r="OGG1532" s="646"/>
      <c r="OGH1532" s="646"/>
      <c r="OGI1532" s="646"/>
      <c r="OGJ1532" s="646"/>
      <c r="OGK1532" s="646"/>
      <c r="OGL1532" s="646"/>
      <c r="OGM1532" s="646"/>
      <c r="OGN1532" s="646"/>
      <c r="OGO1532" s="646"/>
      <c r="OGP1532" s="646"/>
      <c r="OGQ1532" s="646"/>
      <c r="OGR1532" s="646"/>
      <c r="OGS1532" s="646"/>
      <c r="OGT1532" s="646"/>
      <c r="OGU1532" s="646"/>
      <c r="OGV1532" s="646"/>
      <c r="OGW1532" s="646"/>
      <c r="OGX1532" s="646"/>
      <c r="OGY1532" s="646"/>
      <c r="OGZ1532" s="646"/>
      <c r="OHA1532" s="646"/>
      <c r="OHB1532" s="646"/>
      <c r="OHC1532" s="646"/>
      <c r="OHD1532" s="646"/>
      <c r="OHE1532" s="646"/>
      <c r="OHF1532" s="646"/>
      <c r="OHG1532" s="646"/>
      <c r="OHH1532" s="646"/>
      <c r="OHI1532" s="646"/>
      <c r="OHJ1532" s="646"/>
      <c r="OHK1532" s="646"/>
      <c r="OHL1532" s="646"/>
      <c r="OHM1532" s="646"/>
      <c r="OHN1532" s="646"/>
      <c r="OHO1532" s="646"/>
      <c r="OHP1532" s="646"/>
      <c r="OHQ1532" s="646"/>
      <c r="OHR1532" s="646"/>
      <c r="OHS1532" s="646"/>
      <c r="OHT1532" s="646"/>
      <c r="OHU1532" s="646"/>
      <c r="OHV1532" s="646"/>
      <c r="OHW1532" s="646"/>
      <c r="OHX1532" s="646"/>
      <c r="OHY1532" s="646"/>
      <c r="OHZ1532" s="646"/>
      <c r="OIA1532" s="646"/>
      <c r="OIB1532" s="646"/>
      <c r="OIC1532" s="646"/>
      <c r="OID1532" s="646"/>
      <c r="OIE1532" s="646"/>
      <c r="OIF1532" s="646"/>
      <c r="OIG1532" s="646"/>
      <c r="OIH1532" s="646"/>
      <c r="OII1532" s="646"/>
      <c r="OIJ1532" s="646"/>
      <c r="OIK1532" s="646"/>
      <c r="OIL1532" s="646"/>
      <c r="OIM1532" s="646"/>
      <c r="OIN1532" s="646"/>
      <c r="OIO1532" s="646"/>
      <c r="OIP1532" s="646"/>
      <c r="OIQ1532" s="646"/>
      <c r="OIR1532" s="646"/>
      <c r="OIS1532" s="646"/>
      <c r="OIT1532" s="646"/>
      <c r="OIU1532" s="646"/>
      <c r="OIV1532" s="646"/>
      <c r="OIW1532" s="646"/>
      <c r="OIX1532" s="646"/>
      <c r="OIY1532" s="646"/>
      <c r="OIZ1532" s="646"/>
      <c r="OJA1532" s="646"/>
      <c r="OJB1532" s="646"/>
      <c r="OJC1532" s="646"/>
      <c r="OJD1532" s="646"/>
      <c r="OJE1532" s="646"/>
      <c r="OJF1532" s="646"/>
      <c r="OJG1532" s="646"/>
      <c r="OJH1532" s="646"/>
      <c r="OJI1532" s="646"/>
      <c r="OJJ1532" s="646"/>
      <c r="OJK1532" s="646"/>
      <c r="OJL1532" s="646"/>
      <c r="OJM1532" s="646"/>
      <c r="OJN1532" s="646"/>
      <c r="OJO1532" s="646"/>
      <c r="OJP1532" s="646"/>
      <c r="OJQ1532" s="646"/>
      <c r="OJR1532" s="646"/>
      <c r="OJS1532" s="646"/>
      <c r="OJT1532" s="646"/>
      <c r="OJU1532" s="646"/>
      <c r="OJV1532" s="646"/>
      <c r="OJW1532" s="646"/>
      <c r="OJX1532" s="646"/>
      <c r="OJY1532" s="646"/>
      <c r="OJZ1532" s="646"/>
      <c r="OKA1532" s="646"/>
      <c r="OKB1532" s="646"/>
      <c r="OKC1532" s="646"/>
      <c r="OKD1532" s="646"/>
      <c r="OKE1532" s="646"/>
      <c r="OKF1532" s="646"/>
      <c r="OKG1532" s="646"/>
      <c r="OKH1532" s="646"/>
      <c r="OKI1532" s="646"/>
      <c r="OKJ1532" s="646"/>
      <c r="OKK1532" s="646"/>
      <c r="OKL1532" s="646"/>
      <c r="OKM1532" s="646"/>
      <c r="OKN1532" s="646"/>
      <c r="OKO1532" s="646"/>
      <c r="OKP1532" s="646"/>
      <c r="OKQ1532" s="646"/>
      <c r="OKR1532" s="646"/>
      <c r="OKS1532" s="646"/>
      <c r="OKT1532" s="646"/>
      <c r="OKU1532" s="646"/>
      <c r="OKV1532" s="646"/>
      <c r="OKW1532" s="646"/>
      <c r="OKX1532" s="646"/>
      <c r="OKY1532" s="646"/>
      <c r="OKZ1532" s="646"/>
      <c r="OLA1532" s="646"/>
      <c r="OLB1532" s="646"/>
      <c r="OLC1532" s="646"/>
      <c r="OLD1532" s="646"/>
      <c r="OLE1532" s="646"/>
      <c r="OLF1532" s="646"/>
      <c r="OLG1532" s="646"/>
      <c r="OLH1532" s="646"/>
      <c r="OLI1532" s="646"/>
      <c r="OLJ1532" s="646"/>
      <c r="OLK1532" s="646"/>
      <c r="OLL1532" s="646"/>
      <c r="OLM1532" s="646"/>
      <c r="OLN1532" s="646"/>
      <c r="OLO1532" s="646"/>
      <c r="OLP1532" s="646"/>
      <c r="OLQ1532" s="646"/>
      <c r="OLR1532" s="646"/>
      <c r="OLS1532" s="646"/>
      <c r="OLT1532" s="646"/>
      <c r="OLU1532" s="646"/>
      <c r="OLV1532" s="646"/>
      <c r="OLW1532" s="646"/>
      <c r="OLX1532" s="646"/>
      <c r="OLY1532" s="646"/>
      <c r="OLZ1532" s="646"/>
      <c r="OMA1532" s="646"/>
      <c r="OMB1532" s="646"/>
      <c r="OMC1532" s="646"/>
      <c r="OMD1532" s="646"/>
      <c r="OME1532" s="646"/>
      <c r="OMF1532" s="646"/>
      <c r="OMG1532" s="646"/>
      <c r="OMH1532" s="646"/>
      <c r="OMI1532" s="646"/>
      <c r="OMJ1532" s="646"/>
      <c r="OMK1532" s="646"/>
      <c r="OML1532" s="646"/>
      <c r="OMM1532" s="646"/>
      <c r="OMN1532" s="646"/>
      <c r="OMO1532" s="646"/>
      <c r="OMP1532" s="646"/>
      <c r="OMQ1532" s="646"/>
      <c r="OMR1532" s="646"/>
      <c r="OMS1532" s="646"/>
      <c r="OMT1532" s="646"/>
      <c r="OMU1532" s="646"/>
      <c r="OMV1532" s="646"/>
      <c r="OMW1532" s="646"/>
      <c r="OMX1532" s="646"/>
      <c r="OMY1532" s="646"/>
      <c r="OMZ1532" s="646"/>
      <c r="ONA1532" s="646"/>
      <c r="ONB1532" s="646"/>
      <c r="ONC1532" s="646"/>
      <c r="OND1532" s="646"/>
      <c r="ONE1532" s="646"/>
      <c r="ONF1532" s="646"/>
      <c r="ONG1532" s="646"/>
      <c r="ONH1532" s="646"/>
      <c r="ONI1532" s="646"/>
      <c r="ONJ1532" s="646"/>
      <c r="ONK1532" s="646"/>
      <c r="ONL1532" s="646"/>
      <c r="ONM1532" s="646"/>
      <c r="ONN1532" s="646"/>
      <c r="ONO1532" s="646"/>
      <c r="ONP1532" s="646"/>
      <c r="ONQ1532" s="646"/>
      <c r="ONR1532" s="646"/>
      <c r="ONS1532" s="646"/>
      <c r="ONT1532" s="646"/>
      <c r="ONU1532" s="646"/>
      <c r="ONV1532" s="646"/>
      <c r="ONW1532" s="646"/>
      <c r="ONX1532" s="646"/>
      <c r="ONY1532" s="646"/>
      <c r="ONZ1532" s="646"/>
      <c r="OOA1532" s="646"/>
      <c r="OOB1532" s="646"/>
      <c r="OOC1532" s="646"/>
      <c r="OOD1532" s="646"/>
      <c r="OOE1532" s="646"/>
      <c r="OOF1532" s="646"/>
      <c r="OOG1532" s="646"/>
      <c r="OOH1532" s="646"/>
      <c r="OOI1532" s="646"/>
      <c r="OOJ1532" s="646"/>
      <c r="OOK1532" s="646"/>
      <c r="OOL1532" s="646"/>
      <c r="OOM1532" s="646"/>
      <c r="OON1532" s="646"/>
      <c r="OOO1532" s="646"/>
      <c r="OOP1532" s="646"/>
      <c r="OOQ1532" s="646"/>
      <c r="OOR1532" s="646"/>
      <c r="OOS1532" s="646"/>
      <c r="OOT1532" s="646"/>
      <c r="OOU1532" s="646"/>
      <c r="OOV1532" s="646"/>
      <c r="OOW1532" s="646"/>
      <c r="OOX1532" s="646"/>
      <c r="OOY1532" s="646"/>
      <c r="OOZ1532" s="646"/>
      <c r="OPA1532" s="646"/>
      <c r="OPB1532" s="646"/>
      <c r="OPC1532" s="646"/>
      <c r="OPD1532" s="646"/>
      <c r="OPE1532" s="646"/>
      <c r="OPF1532" s="646"/>
      <c r="OPG1532" s="646"/>
      <c r="OPH1532" s="646"/>
      <c r="OPI1532" s="646"/>
      <c r="OPJ1532" s="646"/>
      <c r="OPK1532" s="646"/>
      <c r="OPL1532" s="646"/>
      <c r="OPM1532" s="646"/>
      <c r="OPN1532" s="646"/>
      <c r="OPO1532" s="646"/>
      <c r="OPP1532" s="646"/>
      <c r="OPQ1532" s="646"/>
      <c r="OPR1532" s="646"/>
      <c r="OPS1532" s="646"/>
      <c r="OPT1532" s="646"/>
      <c r="OPU1532" s="646"/>
      <c r="OPV1532" s="646"/>
      <c r="OPW1532" s="646"/>
      <c r="OPX1532" s="646"/>
      <c r="OPY1532" s="646"/>
      <c r="OPZ1532" s="646"/>
      <c r="OQA1532" s="646"/>
      <c r="OQB1532" s="646"/>
      <c r="OQC1532" s="646"/>
      <c r="OQD1532" s="646"/>
      <c r="OQE1532" s="646"/>
      <c r="OQF1532" s="646"/>
      <c r="OQG1532" s="646"/>
      <c r="OQH1532" s="646"/>
      <c r="OQI1532" s="646"/>
      <c r="OQJ1532" s="646"/>
      <c r="OQK1532" s="646"/>
      <c r="OQL1532" s="646"/>
      <c r="OQM1532" s="646"/>
      <c r="OQN1532" s="646"/>
      <c r="OQO1532" s="646"/>
      <c r="OQP1532" s="646"/>
      <c r="OQQ1532" s="646"/>
      <c r="OQR1532" s="646"/>
      <c r="OQS1532" s="646"/>
      <c r="OQT1532" s="646"/>
      <c r="OQU1532" s="646"/>
      <c r="OQV1532" s="646"/>
      <c r="OQW1532" s="646"/>
      <c r="OQX1532" s="646"/>
      <c r="OQY1532" s="646"/>
      <c r="OQZ1532" s="646"/>
      <c r="ORA1532" s="646"/>
      <c r="ORB1532" s="646"/>
      <c r="ORC1532" s="646"/>
      <c r="ORD1532" s="646"/>
      <c r="ORE1532" s="646"/>
      <c r="ORF1532" s="646"/>
      <c r="ORG1532" s="646"/>
      <c r="ORH1532" s="646"/>
      <c r="ORI1532" s="646"/>
      <c r="ORJ1532" s="646"/>
      <c r="ORK1532" s="646"/>
      <c r="ORL1532" s="646"/>
      <c r="ORM1532" s="646"/>
      <c r="ORN1532" s="646"/>
      <c r="ORO1532" s="646"/>
      <c r="ORP1532" s="646"/>
      <c r="ORQ1532" s="646"/>
      <c r="ORR1532" s="646"/>
      <c r="ORS1532" s="646"/>
      <c r="ORT1532" s="646"/>
      <c r="ORU1532" s="646"/>
      <c r="ORV1532" s="646"/>
      <c r="ORW1532" s="646"/>
      <c r="ORX1532" s="646"/>
      <c r="ORY1532" s="646"/>
      <c r="ORZ1532" s="646"/>
      <c r="OSA1532" s="646"/>
      <c r="OSB1532" s="646"/>
      <c r="OSC1532" s="646"/>
      <c r="OSD1532" s="646"/>
      <c r="OSE1532" s="646"/>
      <c r="OSF1532" s="646"/>
      <c r="OSG1532" s="646"/>
      <c r="OSH1532" s="646"/>
      <c r="OSI1532" s="646"/>
      <c r="OSJ1532" s="646"/>
      <c r="OSK1532" s="646"/>
      <c r="OSL1532" s="646"/>
      <c r="OSM1532" s="646"/>
      <c r="OSN1532" s="646"/>
      <c r="OSO1532" s="646"/>
      <c r="OSP1532" s="646"/>
      <c r="OSQ1532" s="646"/>
      <c r="OSR1532" s="646"/>
      <c r="OSS1532" s="646"/>
      <c r="OST1532" s="646"/>
      <c r="OSU1532" s="646"/>
      <c r="OSV1532" s="646"/>
      <c r="OSW1532" s="646"/>
      <c r="OSX1532" s="646"/>
      <c r="OSY1532" s="646"/>
      <c r="OSZ1532" s="646"/>
      <c r="OTA1532" s="646"/>
      <c r="OTB1532" s="646"/>
      <c r="OTC1532" s="646"/>
      <c r="OTD1532" s="646"/>
      <c r="OTE1532" s="646"/>
      <c r="OTF1532" s="646"/>
      <c r="OTG1532" s="646"/>
      <c r="OTH1532" s="646"/>
      <c r="OTI1532" s="646"/>
      <c r="OTJ1532" s="646"/>
      <c r="OTK1532" s="646"/>
      <c r="OTL1532" s="646"/>
      <c r="OTM1532" s="646"/>
      <c r="OTN1532" s="646"/>
      <c r="OTO1532" s="646"/>
      <c r="OTP1532" s="646"/>
      <c r="OTQ1532" s="646"/>
      <c r="OTR1532" s="646"/>
      <c r="OTS1532" s="646"/>
      <c r="OTT1532" s="646"/>
      <c r="OTU1532" s="646"/>
      <c r="OTV1532" s="646"/>
      <c r="OTW1532" s="646"/>
      <c r="OTX1532" s="646"/>
      <c r="OTY1532" s="646"/>
      <c r="OTZ1532" s="646"/>
      <c r="OUA1532" s="646"/>
      <c r="OUB1532" s="646"/>
      <c r="OUC1532" s="646"/>
      <c r="OUD1532" s="646"/>
      <c r="OUE1532" s="646"/>
      <c r="OUF1532" s="646"/>
      <c r="OUG1532" s="646"/>
      <c r="OUH1532" s="646"/>
      <c r="OUI1532" s="646"/>
      <c r="OUJ1532" s="646"/>
      <c r="OUK1532" s="646"/>
      <c r="OUL1532" s="646"/>
      <c r="OUM1532" s="646"/>
      <c r="OUN1532" s="646"/>
      <c r="OUO1532" s="646"/>
      <c r="OUP1532" s="646"/>
      <c r="OUQ1532" s="646"/>
      <c r="OUR1532" s="646"/>
      <c r="OUS1532" s="646"/>
      <c r="OUT1532" s="646"/>
      <c r="OUU1532" s="646"/>
      <c r="OUV1532" s="646"/>
      <c r="OUW1532" s="646"/>
      <c r="OUX1532" s="646"/>
      <c r="OUY1532" s="646"/>
      <c r="OUZ1532" s="646"/>
      <c r="OVA1532" s="646"/>
      <c r="OVB1532" s="646"/>
      <c r="OVC1532" s="646"/>
      <c r="OVD1532" s="646"/>
      <c r="OVE1532" s="646"/>
      <c r="OVF1532" s="646"/>
      <c r="OVG1532" s="646"/>
      <c r="OVH1532" s="646"/>
      <c r="OVI1532" s="646"/>
      <c r="OVJ1532" s="646"/>
      <c r="OVK1532" s="646"/>
      <c r="OVL1532" s="646"/>
      <c r="OVM1532" s="646"/>
      <c r="OVN1532" s="646"/>
      <c r="OVO1532" s="646"/>
      <c r="OVP1532" s="646"/>
      <c r="OVQ1532" s="646"/>
      <c r="OVR1532" s="646"/>
      <c r="OVS1532" s="646"/>
      <c r="OVT1532" s="646"/>
      <c r="OVU1532" s="646"/>
      <c r="OVV1532" s="646"/>
      <c r="OVW1532" s="646"/>
      <c r="OVX1532" s="646"/>
      <c r="OVY1532" s="646"/>
      <c r="OVZ1532" s="646"/>
      <c r="OWA1532" s="646"/>
      <c r="OWB1532" s="646"/>
      <c r="OWC1532" s="646"/>
      <c r="OWD1532" s="646"/>
      <c r="OWE1532" s="646"/>
      <c r="OWF1532" s="646"/>
      <c r="OWG1532" s="646"/>
      <c r="OWH1532" s="646"/>
      <c r="OWI1532" s="646"/>
      <c r="OWJ1532" s="646"/>
      <c r="OWK1532" s="646"/>
      <c r="OWL1532" s="646"/>
      <c r="OWM1532" s="646"/>
      <c r="OWN1532" s="646"/>
      <c r="OWO1532" s="646"/>
      <c r="OWP1532" s="646"/>
      <c r="OWQ1532" s="646"/>
      <c r="OWR1532" s="646"/>
      <c r="OWS1532" s="646"/>
      <c r="OWT1532" s="646"/>
      <c r="OWU1532" s="646"/>
      <c r="OWV1532" s="646"/>
      <c r="OWW1532" s="646"/>
      <c r="OWX1532" s="646"/>
      <c r="OWY1532" s="646"/>
      <c r="OWZ1532" s="646"/>
      <c r="OXA1532" s="646"/>
      <c r="OXB1532" s="646"/>
      <c r="OXC1532" s="646"/>
      <c r="OXD1532" s="646"/>
      <c r="OXE1532" s="646"/>
      <c r="OXF1532" s="646"/>
      <c r="OXG1532" s="646"/>
      <c r="OXH1532" s="646"/>
      <c r="OXI1532" s="646"/>
      <c r="OXJ1532" s="646"/>
      <c r="OXK1532" s="646"/>
      <c r="OXL1532" s="646"/>
      <c r="OXM1532" s="646"/>
      <c r="OXN1532" s="646"/>
      <c r="OXO1532" s="646"/>
      <c r="OXP1532" s="646"/>
      <c r="OXQ1532" s="646"/>
      <c r="OXR1532" s="646"/>
      <c r="OXS1532" s="646"/>
      <c r="OXT1532" s="646"/>
      <c r="OXU1532" s="646"/>
      <c r="OXV1532" s="646"/>
      <c r="OXW1532" s="646"/>
      <c r="OXX1532" s="646"/>
      <c r="OXY1532" s="646"/>
      <c r="OXZ1532" s="646"/>
      <c r="OYA1532" s="646"/>
      <c r="OYB1532" s="646"/>
      <c r="OYC1532" s="646"/>
      <c r="OYD1532" s="646"/>
      <c r="OYE1532" s="646"/>
      <c r="OYF1532" s="646"/>
      <c r="OYG1532" s="646"/>
      <c r="OYH1532" s="646"/>
      <c r="OYI1532" s="646"/>
      <c r="OYJ1532" s="646"/>
      <c r="OYK1532" s="646"/>
      <c r="OYL1532" s="646"/>
      <c r="OYM1532" s="646"/>
      <c r="OYN1532" s="646"/>
      <c r="OYO1532" s="646"/>
      <c r="OYP1532" s="646"/>
      <c r="OYQ1532" s="646"/>
      <c r="OYR1532" s="646"/>
      <c r="OYS1532" s="646"/>
      <c r="OYT1532" s="646"/>
      <c r="OYU1532" s="646"/>
      <c r="OYV1532" s="646"/>
      <c r="OYW1532" s="646"/>
      <c r="OYX1532" s="646"/>
      <c r="OYY1532" s="646"/>
      <c r="OYZ1532" s="646"/>
      <c r="OZA1532" s="646"/>
      <c r="OZB1532" s="646"/>
      <c r="OZC1532" s="646"/>
      <c r="OZD1532" s="646"/>
      <c r="OZE1532" s="646"/>
      <c r="OZF1532" s="646"/>
      <c r="OZG1532" s="646"/>
      <c r="OZH1532" s="646"/>
      <c r="OZI1532" s="646"/>
      <c r="OZJ1532" s="646"/>
      <c r="OZK1532" s="646"/>
      <c r="OZL1532" s="646"/>
      <c r="OZM1532" s="646"/>
      <c r="OZN1532" s="646"/>
      <c r="OZO1532" s="646"/>
      <c r="OZP1532" s="646"/>
      <c r="OZQ1532" s="646"/>
      <c r="OZR1532" s="646"/>
      <c r="OZS1532" s="646"/>
      <c r="OZT1532" s="646"/>
      <c r="OZU1532" s="646"/>
      <c r="OZV1532" s="646"/>
      <c r="OZW1532" s="646"/>
      <c r="OZX1532" s="646"/>
      <c r="OZY1532" s="646"/>
      <c r="OZZ1532" s="646"/>
      <c r="PAA1532" s="646"/>
      <c r="PAB1532" s="646"/>
      <c r="PAC1532" s="646"/>
      <c r="PAD1532" s="646"/>
      <c r="PAE1532" s="646"/>
      <c r="PAF1532" s="646"/>
      <c r="PAG1532" s="646"/>
      <c r="PAH1532" s="646"/>
      <c r="PAI1532" s="646"/>
      <c r="PAJ1532" s="646"/>
      <c r="PAK1532" s="646"/>
      <c r="PAL1532" s="646"/>
      <c r="PAM1532" s="646"/>
      <c r="PAN1532" s="646"/>
      <c r="PAO1532" s="646"/>
      <c r="PAP1532" s="646"/>
      <c r="PAQ1532" s="646"/>
      <c r="PAR1532" s="646"/>
      <c r="PAS1532" s="646"/>
      <c r="PAT1532" s="646"/>
      <c r="PAU1532" s="646"/>
      <c r="PAV1532" s="646"/>
      <c r="PAW1532" s="646"/>
      <c r="PAX1532" s="646"/>
      <c r="PAY1532" s="646"/>
      <c r="PAZ1532" s="646"/>
      <c r="PBA1532" s="646"/>
      <c r="PBB1532" s="646"/>
      <c r="PBC1532" s="646"/>
      <c r="PBD1532" s="646"/>
      <c r="PBE1532" s="646"/>
      <c r="PBF1532" s="646"/>
      <c r="PBG1532" s="646"/>
      <c r="PBH1532" s="646"/>
      <c r="PBI1532" s="646"/>
      <c r="PBJ1532" s="646"/>
      <c r="PBK1532" s="646"/>
      <c r="PBL1532" s="646"/>
      <c r="PBM1532" s="646"/>
      <c r="PBN1532" s="646"/>
      <c r="PBO1532" s="646"/>
      <c r="PBP1532" s="646"/>
      <c r="PBQ1532" s="646"/>
      <c r="PBR1532" s="646"/>
      <c r="PBS1532" s="646"/>
      <c r="PBT1532" s="646"/>
      <c r="PBU1532" s="646"/>
      <c r="PBV1532" s="646"/>
      <c r="PBW1532" s="646"/>
      <c r="PBX1532" s="646"/>
      <c r="PBY1532" s="646"/>
      <c r="PBZ1532" s="646"/>
      <c r="PCA1532" s="646"/>
      <c r="PCB1532" s="646"/>
      <c r="PCC1532" s="646"/>
      <c r="PCD1532" s="646"/>
      <c r="PCE1532" s="646"/>
      <c r="PCF1532" s="646"/>
      <c r="PCG1532" s="646"/>
      <c r="PCH1532" s="646"/>
      <c r="PCI1532" s="646"/>
      <c r="PCJ1532" s="646"/>
      <c r="PCK1532" s="646"/>
      <c r="PCL1532" s="646"/>
      <c r="PCM1532" s="646"/>
      <c r="PCN1532" s="646"/>
      <c r="PCO1532" s="646"/>
      <c r="PCP1532" s="646"/>
      <c r="PCQ1532" s="646"/>
      <c r="PCR1532" s="646"/>
      <c r="PCS1532" s="646"/>
      <c r="PCT1532" s="646"/>
      <c r="PCU1532" s="646"/>
      <c r="PCV1532" s="646"/>
      <c r="PCW1532" s="646"/>
      <c r="PCX1532" s="646"/>
      <c r="PCY1532" s="646"/>
      <c r="PCZ1532" s="646"/>
      <c r="PDA1532" s="646"/>
      <c r="PDB1532" s="646"/>
      <c r="PDC1532" s="646"/>
      <c r="PDD1532" s="646"/>
      <c r="PDE1532" s="646"/>
      <c r="PDF1532" s="646"/>
      <c r="PDG1532" s="646"/>
      <c r="PDH1532" s="646"/>
      <c r="PDI1532" s="646"/>
      <c r="PDJ1532" s="646"/>
      <c r="PDK1532" s="646"/>
      <c r="PDL1532" s="646"/>
      <c r="PDM1532" s="646"/>
      <c r="PDN1532" s="646"/>
      <c r="PDO1532" s="646"/>
      <c r="PDP1532" s="646"/>
      <c r="PDQ1532" s="646"/>
      <c r="PDR1532" s="646"/>
      <c r="PDS1532" s="646"/>
      <c r="PDT1532" s="646"/>
      <c r="PDU1532" s="646"/>
      <c r="PDV1532" s="646"/>
      <c r="PDW1532" s="646"/>
      <c r="PDX1532" s="646"/>
      <c r="PDY1532" s="646"/>
      <c r="PDZ1532" s="646"/>
      <c r="PEA1532" s="646"/>
      <c r="PEB1532" s="646"/>
      <c r="PEC1532" s="646"/>
      <c r="PED1532" s="646"/>
      <c r="PEE1532" s="646"/>
      <c r="PEF1532" s="646"/>
      <c r="PEG1532" s="646"/>
      <c r="PEH1532" s="646"/>
      <c r="PEI1532" s="646"/>
      <c r="PEJ1532" s="646"/>
      <c r="PEK1532" s="646"/>
      <c r="PEL1532" s="646"/>
      <c r="PEM1532" s="646"/>
      <c r="PEN1532" s="646"/>
      <c r="PEO1532" s="646"/>
      <c r="PEP1532" s="646"/>
      <c r="PEQ1532" s="646"/>
      <c r="PER1532" s="646"/>
      <c r="PES1532" s="646"/>
      <c r="PET1532" s="646"/>
      <c r="PEU1532" s="646"/>
      <c r="PEV1532" s="646"/>
      <c r="PEW1532" s="646"/>
      <c r="PEX1532" s="646"/>
      <c r="PEY1532" s="646"/>
      <c r="PEZ1532" s="646"/>
      <c r="PFA1532" s="646"/>
      <c r="PFB1532" s="646"/>
      <c r="PFC1532" s="646"/>
      <c r="PFD1532" s="646"/>
      <c r="PFE1532" s="646"/>
      <c r="PFF1532" s="646"/>
      <c r="PFG1532" s="646"/>
      <c r="PFH1532" s="646"/>
      <c r="PFI1532" s="646"/>
      <c r="PFJ1532" s="646"/>
      <c r="PFK1532" s="646"/>
      <c r="PFL1532" s="646"/>
      <c r="PFM1532" s="646"/>
      <c r="PFN1532" s="646"/>
      <c r="PFO1532" s="646"/>
      <c r="PFP1532" s="646"/>
      <c r="PFQ1532" s="646"/>
      <c r="PFR1532" s="646"/>
      <c r="PFS1532" s="646"/>
      <c r="PFT1532" s="646"/>
      <c r="PFU1532" s="646"/>
      <c r="PFV1532" s="646"/>
      <c r="PFW1532" s="646"/>
      <c r="PFX1532" s="646"/>
      <c r="PFY1532" s="646"/>
      <c r="PFZ1532" s="646"/>
      <c r="PGA1532" s="646"/>
      <c r="PGB1532" s="646"/>
      <c r="PGC1532" s="646"/>
      <c r="PGD1532" s="646"/>
      <c r="PGE1532" s="646"/>
      <c r="PGF1532" s="646"/>
      <c r="PGG1532" s="646"/>
      <c r="PGH1532" s="646"/>
      <c r="PGI1532" s="646"/>
      <c r="PGJ1532" s="646"/>
      <c r="PGK1532" s="646"/>
      <c r="PGL1532" s="646"/>
      <c r="PGM1532" s="646"/>
      <c r="PGN1532" s="646"/>
      <c r="PGO1532" s="646"/>
      <c r="PGP1532" s="646"/>
      <c r="PGQ1532" s="646"/>
      <c r="PGR1532" s="646"/>
      <c r="PGS1532" s="646"/>
      <c r="PGT1532" s="646"/>
      <c r="PGU1532" s="646"/>
      <c r="PGV1532" s="646"/>
      <c r="PGW1532" s="646"/>
      <c r="PGX1532" s="646"/>
      <c r="PGY1532" s="646"/>
      <c r="PGZ1532" s="646"/>
      <c r="PHA1532" s="646"/>
      <c r="PHB1532" s="646"/>
      <c r="PHC1532" s="646"/>
      <c r="PHD1532" s="646"/>
      <c r="PHE1532" s="646"/>
      <c r="PHF1532" s="646"/>
      <c r="PHG1532" s="646"/>
      <c r="PHH1532" s="646"/>
      <c r="PHI1532" s="646"/>
      <c r="PHJ1532" s="646"/>
      <c r="PHK1532" s="646"/>
      <c r="PHL1532" s="646"/>
      <c r="PHM1532" s="646"/>
      <c r="PHN1532" s="646"/>
      <c r="PHO1532" s="646"/>
      <c r="PHP1532" s="646"/>
      <c r="PHQ1532" s="646"/>
      <c r="PHR1532" s="646"/>
      <c r="PHS1532" s="646"/>
      <c r="PHT1532" s="646"/>
      <c r="PHU1532" s="646"/>
      <c r="PHV1532" s="646"/>
      <c r="PHW1532" s="646"/>
      <c r="PHX1532" s="646"/>
      <c r="PHY1532" s="646"/>
      <c r="PHZ1532" s="646"/>
      <c r="PIA1532" s="646"/>
      <c r="PIB1532" s="646"/>
      <c r="PIC1532" s="646"/>
      <c r="PID1532" s="646"/>
      <c r="PIE1532" s="646"/>
      <c r="PIF1532" s="646"/>
      <c r="PIG1532" s="646"/>
      <c r="PIH1532" s="646"/>
      <c r="PII1532" s="646"/>
      <c r="PIJ1532" s="646"/>
      <c r="PIK1532" s="646"/>
      <c r="PIL1532" s="646"/>
      <c r="PIM1532" s="646"/>
      <c r="PIN1532" s="646"/>
      <c r="PIO1532" s="646"/>
      <c r="PIP1532" s="646"/>
      <c r="PIQ1532" s="646"/>
      <c r="PIR1532" s="646"/>
      <c r="PIS1532" s="646"/>
      <c r="PIT1532" s="646"/>
      <c r="PIU1532" s="646"/>
      <c r="PIV1532" s="646"/>
      <c r="PIW1532" s="646"/>
      <c r="PIX1532" s="646"/>
      <c r="PIY1532" s="646"/>
      <c r="PIZ1532" s="646"/>
      <c r="PJA1532" s="646"/>
      <c r="PJB1532" s="646"/>
      <c r="PJC1532" s="646"/>
      <c r="PJD1532" s="646"/>
      <c r="PJE1532" s="646"/>
      <c r="PJF1532" s="646"/>
      <c r="PJG1532" s="646"/>
      <c r="PJH1532" s="646"/>
      <c r="PJI1532" s="646"/>
      <c r="PJJ1532" s="646"/>
      <c r="PJK1532" s="646"/>
      <c r="PJL1532" s="646"/>
      <c r="PJM1532" s="646"/>
      <c r="PJN1532" s="646"/>
      <c r="PJO1532" s="646"/>
      <c r="PJP1532" s="646"/>
      <c r="PJQ1532" s="646"/>
      <c r="PJR1532" s="646"/>
      <c r="PJS1532" s="646"/>
      <c r="PJT1532" s="646"/>
      <c r="PJU1532" s="646"/>
      <c r="PJV1532" s="646"/>
      <c r="PJW1532" s="646"/>
      <c r="PJX1532" s="646"/>
      <c r="PJY1532" s="646"/>
      <c r="PJZ1532" s="646"/>
      <c r="PKA1532" s="646"/>
      <c r="PKB1532" s="646"/>
      <c r="PKC1532" s="646"/>
      <c r="PKD1532" s="646"/>
      <c r="PKE1532" s="646"/>
      <c r="PKF1532" s="646"/>
      <c r="PKG1532" s="646"/>
      <c r="PKH1532" s="646"/>
      <c r="PKI1532" s="646"/>
      <c r="PKJ1532" s="646"/>
      <c r="PKK1532" s="646"/>
      <c r="PKL1532" s="646"/>
      <c r="PKM1532" s="646"/>
      <c r="PKN1532" s="646"/>
      <c r="PKO1532" s="646"/>
      <c r="PKP1532" s="646"/>
      <c r="PKQ1532" s="646"/>
      <c r="PKR1532" s="646"/>
      <c r="PKS1532" s="646"/>
      <c r="PKT1532" s="646"/>
      <c r="PKU1532" s="646"/>
      <c r="PKV1532" s="646"/>
      <c r="PKW1532" s="646"/>
      <c r="PKX1532" s="646"/>
      <c r="PKY1532" s="646"/>
      <c r="PKZ1532" s="646"/>
      <c r="PLA1532" s="646"/>
      <c r="PLB1532" s="646"/>
      <c r="PLC1532" s="646"/>
      <c r="PLD1532" s="646"/>
      <c r="PLE1532" s="646"/>
      <c r="PLF1532" s="646"/>
      <c r="PLG1532" s="646"/>
      <c r="PLH1532" s="646"/>
      <c r="PLI1532" s="646"/>
      <c r="PLJ1532" s="646"/>
      <c r="PLK1532" s="646"/>
      <c r="PLL1532" s="646"/>
      <c r="PLM1532" s="646"/>
      <c r="PLN1532" s="646"/>
      <c r="PLO1532" s="646"/>
      <c r="PLP1532" s="646"/>
      <c r="PLQ1532" s="646"/>
      <c r="PLR1532" s="646"/>
      <c r="PLS1532" s="646"/>
      <c r="PLT1532" s="646"/>
      <c r="PLU1532" s="646"/>
      <c r="PLV1532" s="646"/>
      <c r="PLW1532" s="646"/>
      <c r="PLX1532" s="646"/>
      <c r="PLY1532" s="646"/>
      <c r="PLZ1532" s="646"/>
      <c r="PMA1532" s="646"/>
      <c r="PMB1532" s="646"/>
      <c r="PMC1532" s="646"/>
      <c r="PMD1532" s="646"/>
      <c r="PME1532" s="646"/>
      <c r="PMF1532" s="646"/>
      <c r="PMG1532" s="646"/>
      <c r="PMH1532" s="646"/>
      <c r="PMI1532" s="646"/>
      <c r="PMJ1532" s="646"/>
      <c r="PMK1532" s="646"/>
      <c r="PML1532" s="646"/>
      <c r="PMM1532" s="646"/>
      <c r="PMN1532" s="646"/>
      <c r="PMO1532" s="646"/>
      <c r="PMP1532" s="646"/>
      <c r="PMQ1532" s="646"/>
      <c r="PMR1532" s="646"/>
      <c r="PMS1532" s="646"/>
      <c r="PMT1532" s="646"/>
      <c r="PMU1532" s="646"/>
      <c r="PMV1532" s="646"/>
      <c r="PMW1532" s="646"/>
      <c r="PMX1532" s="646"/>
      <c r="PMY1532" s="646"/>
      <c r="PMZ1532" s="646"/>
      <c r="PNA1532" s="646"/>
      <c r="PNB1532" s="646"/>
      <c r="PNC1532" s="646"/>
      <c r="PND1532" s="646"/>
      <c r="PNE1532" s="646"/>
      <c r="PNF1532" s="646"/>
      <c r="PNG1532" s="646"/>
      <c r="PNH1532" s="646"/>
      <c r="PNI1532" s="646"/>
      <c r="PNJ1532" s="646"/>
      <c r="PNK1532" s="646"/>
      <c r="PNL1532" s="646"/>
      <c r="PNM1532" s="646"/>
      <c r="PNN1532" s="646"/>
      <c r="PNO1532" s="646"/>
      <c r="PNP1532" s="646"/>
      <c r="PNQ1532" s="646"/>
      <c r="PNR1532" s="646"/>
      <c r="PNS1532" s="646"/>
      <c r="PNT1532" s="646"/>
      <c r="PNU1532" s="646"/>
      <c r="PNV1532" s="646"/>
      <c r="PNW1532" s="646"/>
      <c r="PNX1532" s="646"/>
      <c r="PNY1532" s="646"/>
      <c r="PNZ1532" s="646"/>
      <c r="POA1532" s="646"/>
      <c r="POB1532" s="646"/>
      <c r="POC1532" s="646"/>
      <c r="POD1532" s="646"/>
      <c r="POE1532" s="646"/>
      <c r="POF1532" s="646"/>
      <c r="POG1532" s="646"/>
      <c r="POH1532" s="646"/>
      <c r="POI1532" s="646"/>
      <c r="POJ1532" s="646"/>
      <c r="POK1532" s="646"/>
      <c r="POL1532" s="646"/>
      <c r="POM1532" s="646"/>
      <c r="PON1532" s="646"/>
      <c r="POO1532" s="646"/>
      <c r="POP1532" s="646"/>
      <c r="POQ1532" s="646"/>
      <c r="POR1532" s="646"/>
      <c r="POS1532" s="646"/>
      <c r="POT1532" s="646"/>
      <c r="POU1532" s="646"/>
      <c r="POV1532" s="646"/>
      <c r="POW1532" s="646"/>
      <c r="POX1532" s="646"/>
      <c r="POY1532" s="646"/>
      <c r="POZ1532" s="646"/>
      <c r="PPA1532" s="646"/>
      <c r="PPB1532" s="646"/>
      <c r="PPC1532" s="646"/>
      <c r="PPD1532" s="646"/>
      <c r="PPE1532" s="646"/>
      <c r="PPF1532" s="646"/>
      <c r="PPG1532" s="646"/>
      <c r="PPH1532" s="646"/>
      <c r="PPI1532" s="646"/>
      <c r="PPJ1532" s="646"/>
      <c r="PPK1532" s="646"/>
      <c r="PPL1532" s="646"/>
      <c r="PPM1532" s="646"/>
      <c r="PPN1532" s="646"/>
      <c r="PPO1532" s="646"/>
      <c r="PPP1532" s="646"/>
      <c r="PPQ1532" s="646"/>
      <c r="PPR1532" s="646"/>
      <c r="PPS1532" s="646"/>
      <c r="PPT1532" s="646"/>
      <c r="PPU1532" s="646"/>
      <c r="PPV1532" s="646"/>
      <c r="PPW1532" s="646"/>
      <c r="PPX1532" s="646"/>
      <c r="PPY1532" s="646"/>
      <c r="PPZ1532" s="646"/>
      <c r="PQA1532" s="646"/>
      <c r="PQB1532" s="646"/>
      <c r="PQC1532" s="646"/>
      <c r="PQD1532" s="646"/>
      <c r="PQE1532" s="646"/>
      <c r="PQF1532" s="646"/>
      <c r="PQG1532" s="646"/>
      <c r="PQH1532" s="646"/>
      <c r="PQI1532" s="646"/>
      <c r="PQJ1532" s="646"/>
      <c r="PQK1532" s="646"/>
      <c r="PQL1532" s="646"/>
      <c r="PQM1532" s="646"/>
      <c r="PQN1532" s="646"/>
      <c r="PQO1532" s="646"/>
      <c r="PQP1532" s="646"/>
      <c r="PQQ1532" s="646"/>
      <c r="PQR1532" s="646"/>
      <c r="PQS1532" s="646"/>
      <c r="PQT1532" s="646"/>
      <c r="PQU1532" s="646"/>
      <c r="PQV1532" s="646"/>
      <c r="PQW1532" s="646"/>
      <c r="PQX1532" s="646"/>
      <c r="PQY1532" s="646"/>
      <c r="PQZ1532" s="646"/>
      <c r="PRA1532" s="646"/>
      <c r="PRB1532" s="646"/>
      <c r="PRC1532" s="646"/>
      <c r="PRD1532" s="646"/>
      <c r="PRE1532" s="646"/>
      <c r="PRF1532" s="646"/>
      <c r="PRG1532" s="646"/>
      <c r="PRH1532" s="646"/>
      <c r="PRI1532" s="646"/>
      <c r="PRJ1532" s="646"/>
      <c r="PRK1532" s="646"/>
      <c r="PRL1532" s="646"/>
      <c r="PRM1532" s="646"/>
      <c r="PRN1532" s="646"/>
      <c r="PRO1532" s="646"/>
      <c r="PRP1532" s="646"/>
      <c r="PRQ1532" s="646"/>
      <c r="PRR1532" s="646"/>
      <c r="PRS1532" s="646"/>
      <c r="PRT1532" s="646"/>
      <c r="PRU1532" s="646"/>
      <c r="PRV1532" s="646"/>
      <c r="PRW1532" s="646"/>
      <c r="PRX1532" s="646"/>
      <c r="PRY1532" s="646"/>
      <c r="PRZ1532" s="646"/>
      <c r="PSA1532" s="646"/>
      <c r="PSB1532" s="646"/>
      <c r="PSC1532" s="646"/>
      <c r="PSD1532" s="646"/>
      <c r="PSE1532" s="646"/>
      <c r="PSF1532" s="646"/>
      <c r="PSG1532" s="646"/>
      <c r="PSH1532" s="646"/>
      <c r="PSI1532" s="646"/>
      <c r="PSJ1532" s="646"/>
      <c r="PSK1532" s="646"/>
      <c r="PSL1532" s="646"/>
      <c r="PSM1532" s="646"/>
      <c r="PSN1532" s="646"/>
      <c r="PSO1532" s="646"/>
      <c r="PSP1532" s="646"/>
      <c r="PSQ1532" s="646"/>
      <c r="PSR1532" s="646"/>
      <c r="PSS1532" s="646"/>
      <c r="PST1532" s="646"/>
      <c r="PSU1532" s="646"/>
      <c r="PSV1532" s="646"/>
      <c r="PSW1532" s="646"/>
      <c r="PSX1532" s="646"/>
      <c r="PSY1532" s="646"/>
      <c r="PSZ1532" s="646"/>
      <c r="PTA1532" s="646"/>
      <c r="PTB1532" s="646"/>
      <c r="PTC1532" s="646"/>
      <c r="PTD1532" s="646"/>
      <c r="PTE1532" s="646"/>
      <c r="PTF1532" s="646"/>
      <c r="PTG1532" s="646"/>
      <c r="PTH1532" s="646"/>
      <c r="PTI1532" s="646"/>
      <c r="PTJ1532" s="646"/>
      <c r="PTK1532" s="646"/>
      <c r="PTL1532" s="646"/>
      <c r="PTM1532" s="646"/>
      <c r="PTN1532" s="646"/>
      <c r="PTO1532" s="646"/>
      <c r="PTP1532" s="646"/>
      <c r="PTQ1532" s="646"/>
      <c r="PTR1532" s="646"/>
      <c r="PTS1532" s="646"/>
      <c r="PTT1532" s="646"/>
      <c r="PTU1532" s="646"/>
      <c r="PTV1532" s="646"/>
      <c r="PTW1532" s="646"/>
      <c r="PTX1532" s="646"/>
      <c r="PTY1532" s="646"/>
      <c r="PTZ1532" s="646"/>
      <c r="PUA1532" s="646"/>
      <c r="PUB1532" s="646"/>
      <c r="PUC1532" s="646"/>
      <c r="PUD1532" s="646"/>
      <c r="PUE1532" s="646"/>
      <c r="PUF1532" s="646"/>
      <c r="PUG1532" s="646"/>
      <c r="PUH1532" s="646"/>
      <c r="PUI1532" s="646"/>
      <c r="PUJ1532" s="646"/>
      <c r="PUK1532" s="646"/>
      <c r="PUL1532" s="646"/>
      <c r="PUM1532" s="646"/>
      <c r="PUN1532" s="646"/>
      <c r="PUO1532" s="646"/>
      <c r="PUP1532" s="646"/>
      <c r="PUQ1532" s="646"/>
      <c r="PUR1532" s="646"/>
      <c r="PUS1532" s="646"/>
      <c r="PUT1532" s="646"/>
      <c r="PUU1532" s="646"/>
      <c r="PUV1532" s="646"/>
      <c r="PUW1532" s="646"/>
      <c r="PUX1532" s="646"/>
      <c r="PUY1532" s="646"/>
      <c r="PUZ1532" s="646"/>
      <c r="PVA1532" s="646"/>
      <c r="PVB1532" s="646"/>
      <c r="PVC1532" s="646"/>
      <c r="PVD1532" s="646"/>
      <c r="PVE1532" s="646"/>
      <c r="PVF1532" s="646"/>
      <c r="PVG1532" s="646"/>
      <c r="PVH1532" s="646"/>
      <c r="PVI1532" s="646"/>
      <c r="PVJ1532" s="646"/>
      <c r="PVK1532" s="646"/>
      <c r="PVL1532" s="646"/>
      <c r="PVM1532" s="646"/>
      <c r="PVN1532" s="646"/>
      <c r="PVO1532" s="646"/>
      <c r="PVP1532" s="646"/>
      <c r="PVQ1532" s="646"/>
      <c r="PVR1532" s="646"/>
      <c r="PVS1532" s="646"/>
      <c r="PVT1532" s="646"/>
      <c r="PVU1532" s="646"/>
      <c r="PVV1532" s="646"/>
      <c r="PVW1532" s="646"/>
      <c r="PVX1532" s="646"/>
      <c r="PVY1532" s="646"/>
      <c r="PVZ1532" s="646"/>
      <c r="PWA1532" s="646"/>
      <c r="PWB1532" s="646"/>
      <c r="PWC1532" s="646"/>
      <c r="PWD1532" s="646"/>
      <c r="PWE1532" s="646"/>
      <c r="PWF1532" s="646"/>
      <c r="PWG1532" s="646"/>
      <c r="PWH1532" s="646"/>
      <c r="PWI1532" s="646"/>
      <c r="PWJ1532" s="646"/>
      <c r="PWK1532" s="646"/>
      <c r="PWL1532" s="646"/>
      <c r="PWM1532" s="646"/>
      <c r="PWN1532" s="646"/>
      <c r="PWO1532" s="646"/>
      <c r="PWP1532" s="646"/>
      <c r="PWQ1532" s="646"/>
      <c r="PWR1532" s="646"/>
      <c r="PWS1532" s="646"/>
      <c r="PWT1532" s="646"/>
      <c r="PWU1532" s="646"/>
      <c r="PWV1532" s="646"/>
      <c r="PWW1532" s="646"/>
      <c r="PWX1532" s="646"/>
      <c r="PWY1532" s="646"/>
      <c r="PWZ1532" s="646"/>
      <c r="PXA1532" s="646"/>
      <c r="PXB1532" s="646"/>
      <c r="PXC1532" s="646"/>
      <c r="PXD1532" s="646"/>
      <c r="PXE1532" s="646"/>
      <c r="PXF1532" s="646"/>
      <c r="PXG1532" s="646"/>
      <c r="PXH1532" s="646"/>
      <c r="PXI1532" s="646"/>
      <c r="PXJ1532" s="646"/>
      <c r="PXK1532" s="646"/>
      <c r="PXL1532" s="646"/>
      <c r="PXM1532" s="646"/>
      <c r="PXN1532" s="646"/>
      <c r="PXO1532" s="646"/>
      <c r="PXP1532" s="646"/>
      <c r="PXQ1532" s="646"/>
      <c r="PXR1532" s="646"/>
      <c r="PXS1532" s="646"/>
      <c r="PXT1532" s="646"/>
      <c r="PXU1532" s="646"/>
      <c r="PXV1532" s="646"/>
      <c r="PXW1532" s="646"/>
      <c r="PXX1532" s="646"/>
      <c r="PXY1532" s="646"/>
      <c r="PXZ1532" s="646"/>
      <c r="PYA1532" s="646"/>
      <c r="PYB1532" s="646"/>
      <c r="PYC1532" s="646"/>
      <c r="PYD1532" s="646"/>
      <c r="PYE1532" s="646"/>
      <c r="PYF1532" s="646"/>
      <c r="PYG1532" s="646"/>
      <c r="PYH1532" s="646"/>
      <c r="PYI1532" s="646"/>
      <c r="PYJ1532" s="646"/>
      <c r="PYK1532" s="646"/>
      <c r="PYL1532" s="646"/>
      <c r="PYM1532" s="646"/>
      <c r="PYN1532" s="646"/>
      <c r="PYO1532" s="646"/>
      <c r="PYP1532" s="646"/>
      <c r="PYQ1532" s="646"/>
      <c r="PYR1532" s="646"/>
      <c r="PYS1532" s="646"/>
      <c r="PYT1532" s="646"/>
      <c r="PYU1532" s="646"/>
      <c r="PYV1532" s="646"/>
      <c r="PYW1532" s="646"/>
      <c r="PYX1532" s="646"/>
      <c r="PYY1532" s="646"/>
      <c r="PYZ1532" s="646"/>
      <c r="PZA1532" s="646"/>
      <c r="PZB1532" s="646"/>
      <c r="PZC1532" s="646"/>
      <c r="PZD1532" s="646"/>
      <c r="PZE1532" s="646"/>
      <c r="PZF1532" s="646"/>
      <c r="PZG1532" s="646"/>
      <c r="PZH1532" s="646"/>
      <c r="PZI1532" s="646"/>
      <c r="PZJ1532" s="646"/>
      <c r="PZK1532" s="646"/>
      <c r="PZL1532" s="646"/>
      <c r="PZM1532" s="646"/>
      <c r="PZN1532" s="646"/>
      <c r="PZO1532" s="646"/>
      <c r="PZP1532" s="646"/>
      <c r="PZQ1532" s="646"/>
      <c r="PZR1532" s="646"/>
      <c r="PZS1532" s="646"/>
      <c r="PZT1532" s="646"/>
      <c r="PZU1532" s="646"/>
      <c r="PZV1532" s="646"/>
      <c r="PZW1532" s="646"/>
      <c r="PZX1532" s="646"/>
      <c r="PZY1532" s="646"/>
      <c r="PZZ1532" s="646"/>
      <c r="QAA1532" s="646"/>
      <c r="QAB1532" s="646"/>
      <c r="QAC1532" s="646"/>
      <c r="QAD1532" s="646"/>
      <c r="QAE1532" s="646"/>
      <c r="QAF1532" s="646"/>
      <c r="QAG1532" s="646"/>
      <c r="QAH1532" s="646"/>
      <c r="QAI1532" s="646"/>
      <c r="QAJ1532" s="646"/>
      <c r="QAK1532" s="646"/>
      <c r="QAL1532" s="646"/>
      <c r="QAM1532" s="646"/>
      <c r="QAN1532" s="646"/>
      <c r="QAO1532" s="646"/>
      <c r="QAP1532" s="646"/>
      <c r="QAQ1532" s="646"/>
      <c r="QAR1532" s="646"/>
      <c r="QAS1532" s="646"/>
      <c r="QAT1532" s="646"/>
      <c r="QAU1532" s="646"/>
      <c r="QAV1532" s="646"/>
      <c r="QAW1532" s="646"/>
      <c r="QAX1532" s="646"/>
      <c r="QAY1532" s="646"/>
      <c r="QAZ1532" s="646"/>
      <c r="QBA1532" s="646"/>
      <c r="QBB1532" s="646"/>
      <c r="QBC1532" s="646"/>
      <c r="QBD1532" s="646"/>
      <c r="QBE1532" s="646"/>
      <c r="QBF1532" s="646"/>
      <c r="QBG1532" s="646"/>
      <c r="QBH1532" s="646"/>
      <c r="QBI1532" s="646"/>
      <c r="QBJ1532" s="646"/>
      <c r="QBK1532" s="646"/>
      <c r="QBL1532" s="646"/>
      <c r="QBM1532" s="646"/>
      <c r="QBN1532" s="646"/>
      <c r="QBO1532" s="646"/>
      <c r="QBP1532" s="646"/>
      <c r="QBQ1532" s="646"/>
      <c r="QBR1532" s="646"/>
      <c r="QBS1532" s="646"/>
      <c r="QBT1532" s="646"/>
      <c r="QBU1532" s="646"/>
      <c r="QBV1532" s="646"/>
      <c r="QBW1532" s="646"/>
      <c r="QBX1532" s="646"/>
      <c r="QBY1532" s="646"/>
      <c r="QBZ1532" s="646"/>
      <c r="QCA1532" s="646"/>
      <c r="QCB1532" s="646"/>
      <c r="QCC1532" s="646"/>
      <c r="QCD1532" s="646"/>
      <c r="QCE1532" s="646"/>
      <c r="QCF1532" s="646"/>
      <c r="QCG1532" s="646"/>
      <c r="QCH1532" s="646"/>
      <c r="QCI1532" s="646"/>
      <c r="QCJ1532" s="646"/>
      <c r="QCK1532" s="646"/>
      <c r="QCL1532" s="646"/>
      <c r="QCM1532" s="646"/>
      <c r="QCN1532" s="646"/>
      <c r="QCO1532" s="646"/>
      <c r="QCP1532" s="646"/>
      <c r="QCQ1532" s="646"/>
      <c r="QCR1532" s="646"/>
      <c r="QCS1532" s="646"/>
      <c r="QCT1532" s="646"/>
      <c r="QCU1532" s="646"/>
      <c r="QCV1532" s="646"/>
      <c r="QCW1532" s="646"/>
      <c r="QCX1532" s="646"/>
      <c r="QCY1532" s="646"/>
      <c r="QCZ1532" s="646"/>
      <c r="QDA1532" s="646"/>
      <c r="QDB1532" s="646"/>
      <c r="QDC1532" s="646"/>
      <c r="QDD1532" s="646"/>
      <c r="QDE1532" s="646"/>
      <c r="QDF1532" s="646"/>
      <c r="QDG1532" s="646"/>
      <c r="QDH1532" s="646"/>
      <c r="QDI1532" s="646"/>
      <c r="QDJ1532" s="646"/>
      <c r="QDK1532" s="646"/>
      <c r="QDL1532" s="646"/>
      <c r="QDM1532" s="646"/>
      <c r="QDN1532" s="646"/>
      <c r="QDO1532" s="646"/>
      <c r="QDP1532" s="646"/>
      <c r="QDQ1532" s="646"/>
      <c r="QDR1532" s="646"/>
      <c r="QDS1532" s="646"/>
      <c r="QDT1532" s="646"/>
      <c r="QDU1532" s="646"/>
      <c r="QDV1532" s="646"/>
      <c r="QDW1532" s="646"/>
      <c r="QDX1532" s="646"/>
      <c r="QDY1532" s="646"/>
      <c r="QDZ1532" s="646"/>
      <c r="QEA1532" s="646"/>
      <c r="QEB1532" s="646"/>
      <c r="QEC1532" s="646"/>
      <c r="QED1532" s="646"/>
      <c r="QEE1532" s="646"/>
      <c r="QEF1532" s="646"/>
      <c r="QEG1532" s="646"/>
      <c r="QEH1532" s="646"/>
      <c r="QEI1532" s="646"/>
      <c r="QEJ1532" s="646"/>
      <c r="QEK1532" s="646"/>
      <c r="QEL1532" s="646"/>
      <c r="QEM1532" s="646"/>
      <c r="QEN1532" s="646"/>
      <c r="QEO1532" s="646"/>
      <c r="QEP1532" s="646"/>
      <c r="QEQ1532" s="646"/>
      <c r="QER1532" s="646"/>
      <c r="QES1532" s="646"/>
      <c r="QET1532" s="646"/>
      <c r="QEU1532" s="646"/>
      <c r="QEV1532" s="646"/>
      <c r="QEW1532" s="646"/>
      <c r="QEX1532" s="646"/>
      <c r="QEY1532" s="646"/>
      <c r="QEZ1532" s="646"/>
      <c r="QFA1532" s="646"/>
      <c r="QFB1532" s="646"/>
      <c r="QFC1532" s="646"/>
      <c r="QFD1532" s="646"/>
      <c r="QFE1532" s="646"/>
      <c r="QFF1532" s="646"/>
      <c r="QFG1532" s="646"/>
      <c r="QFH1532" s="646"/>
      <c r="QFI1532" s="646"/>
      <c r="QFJ1532" s="646"/>
      <c r="QFK1532" s="646"/>
      <c r="QFL1532" s="646"/>
      <c r="QFM1532" s="646"/>
      <c r="QFN1532" s="646"/>
      <c r="QFO1532" s="646"/>
      <c r="QFP1532" s="646"/>
      <c r="QFQ1532" s="646"/>
      <c r="QFR1532" s="646"/>
      <c r="QFS1532" s="646"/>
      <c r="QFT1532" s="646"/>
      <c r="QFU1532" s="646"/>
      <c r="QFV1532" s="646"/>
      <c r="QFW1532" s="646"/>
      <c r="QFX1532" s="646"/>
      <c r="QFY1532" s="646"/>
      <c r="QFZ1532" s="646"/>
      <c r="QGA1532" s="646"/>
      <c r="QGB1532" s="646"/>
      <c r="QGC1532" s="646"/>
      <c r="QGD1532" s="646"/>
      <c r="QGE1532" s="646"/>
      <c r="QGF1532" s="646"/>
      <c r="QGG1532" s="646"/>
      <c r="QGH1532" s="646"/>
      <c r="QGI1532" s="646"/>
      <c r="QGJ1532" s="646"/>
      <c r="QGK1532" s="646"/>
      <c r="QGL1532" s="646"/>
      <c r="QGM1532" s="646"/>
      <c r="QGN1532" s="646"/>
      <c r="QGO1532" s="646"/>
      <c r="QGP1532" s="646"/>
      <c r="QGQ1532" s="646"/>
      <c r="QGR1532" s="646"/>
      <c r="QGS1532" s="646"/>
      <c r="QGT1532" s="646"/>
      <c r="QGU1532" s="646"/>
      <c r="QGV1532" s="646"/>
      <c r="QGW1532" s="646"/>
      <c r="QGX1532" s="646"/>
      <c r="QGY1532" s="646"/>
      <c r="QGZ1532" s="646"/>
      <c r="QHA1532" s="646"/>
      <c r="QHB1532" s="646"/>
      <c r="QHC1532" s="646"/>
      <c r="QHD1532" s="646"/>
      <c r="QHE1532" s="646"/>
      <c r="QHF1532" s="646"/>
      <c r="QHG1532" s="646"/>
      <c r="QHH1532" s="646"/>
      <c r="QHI1532" s="646"/>
      <c r="QHJ1532" s="646"/>
      <c r="QHK1532" s="646"/>
      <c r="QHL1532" s="646"/>
      <c r="QHM1532" s="646"/>
      <c r="QHN1532" s="646"/>
      <c r="QHO1532" s="646"/>
      <c r="QHP1532" s="646"/>
      <c r="QHQ1532" s="646"/>
      <c r="QHR1532" s="646"/>
      <c r="QHS1532" s="646"/>
      <c r="QHT1532" s="646"/>
      <c r="QHU1532" s="646"/>
      <c r="QHV1532" s="646"/>
      <c r="QHW1532" s="646"/>
      <c r="QHX1532" s="646"/>
      <c r="QHY1532" s="646"/>
      <c r="QHZ1532" s="646"/>
      <c r="QIA1532" s="646"/>
      <c r="QIB1532" s="646"/>
      <c r="QIC1532" s="646"/>
      <c r="QID1532" s="646"/>
      <c r="QIE1532" s="646"/>
      <c r="QIF1532" s="646"/>
      <c r="QIG1532" s="646"/>
      <c r="QIH1532" s="646"/>
      <c r="QII1532" s="646"/>
      <c r="QIJ1532" s="646"/>
      <c r="QIK1532" s="646"/>
      <c r="QIL1532" s="646"/>
      <c r="QIM1532" s="646"/>
      <c r="QIN1532" s="646"/>
      <c r="QIO1532" s="646"/>
      <c r="QIP1532" s="646"/>
      <c r="QIQ1532" s="646"/>
      <c r="QIR1532" s="646"/>
      <c r="QIS1532" s="646"/>
      <c r="QIT1532" s="646"/>
      <c r="QIU1532" s="646"/>
      <c r="QIV1532" s="646"/>
      <c r="QIW1532" s="646"/>
      <c r="QIX1532" s="646"/>
      <c r="QIY1532" s="646"/>
      <c r="QIZ1532" s="646"/>
      <c r="QJA1532" s="646"/>
      <c r="QJB1532" s="646"/>
      <c r="QJC1532" s="646"/>
      <c r="QJD1532" s="646"/>
      <c r="QJE1532" s="646"/>
      <c r="QJF1532" s="646"/>
      <c r="QJG1532" s="646"/>
      <c r="QJH1532" s="646"/>
      <c r="QJI1532" s="646"/>
      <c r="QJJ1532" s="646"/>
      <c r="QJK1532" s="646"/>
      <c r="QJL1532" s="646"/>
      <c r="QJM1532" s="646"/>
      <c r="QJN1532" s="646"/>
      <c r="QJO1532" s="646"/>
      <c r="QJP1532" s="646"/>
      <c r="QJQ1532" s="646"/>
      <c r="QJR1532" s="646"/>
      <c r="QJS1532" s="646"/>
      <c r="QJT1532" s="646"/>
      <c r="QJU1532" s="646"/>
      <c r="QJV1532" s="646"/>
      <c r="QJW1532" s="646"/>
      <c r="QJX1532" s="646"/>
      <c r="QJY1532" s="646"/>
      <c r="QJZ1532" s="646"/>
      <c r="QKA1532" s="646"/>
      <c r="QKB1532" s="646"/>
      <c r="QKC1532" s="646"/>
      <c r="QKD1532" s="646"/>
      <c r="QKE1532" s="646"/>
      <c r="QKF1532" s="646"/>
      <c r="QKG1532" s="646"/>
      <c r="QKH1532" s="646"/>
      <c r="QKI1532" s="646"/>
      <c r="QKJ1532" s="646"/>
      <c r="QKK1532" s="646"/>
      <c r="QKL1532" s="646"/>
      <c r="QKM1532" s="646"/>
      <c r="QKN1532" s="646"/>
      <c r="QKO1532" s="646"/>
      <c r="QKP1532" s="646"/>
      <c r="QKQ1532" s="646"/>
      <c r="QKR1532" s="646"/>
      <c r="QKS1532" s="646"/>
      <c r="QKT1532" s="646"/>
      <c r="QKU1532" s="646"/>
      <c r="QKV1532" s="646"/>
      <c r="QKW1532" s="646"/>
      <c r="QKX1532" s="646"/>
      <c r="QKY1532" s="646"/>
      <c r="QKZ1532" s="646"/>
      <c r="QLA1532" s="646"/>
      <c r="QLB1532" s="646"/>
      <c r="QLC1532" s="646"/>
      <c r="QLD1532" s="646"/>
      <c r="QLE1532" s="646"/>
      <c r="QLF1532" s="646"/>
      <c r="QLG1532" s="646"/>
      <c r="QLH1532" s="646"/>
      <c r="QLI1532" s="646"/>
      <c r="QLJ1532" s="646"/>
      <c r="QLK1532" s="646"/>
      <c r="QLL1532" s="646"/>
      <c r="QLM1532" s="646"/>
      <c r="QLN1532" s="646"/>
      <c r="QLO1532" s="646"/>
      <c r="QLP1532" s="646"/>
      <c r="QLQ1532" s="646"/>
      <c r="QLR1532" s="646"/>
      <c r="QLS1532" s="646"/>
      <c r="QLT1532" s="646"/>
      <c r="QLU1532" s="646"/>
      <c r="QLV1532" s="646"/>
      <c r="QLW1532" s="646"/>
      <c r="QLX1532" s="646"/>
      <c r="QLY1532" s="646"/>
      <c r="QLZ1532" s="646"/>
      <c r="QMA1532" s="646"/>
      <c r="QMB1532" s="646"/>
      <c r="QMC1532" s="646"/>
      <c r="QMD1532" s="646"/>
      <c r="QME1532" s="646"/>
      <c r="QMF1532" s="646"/>
      <c r="QMG1532" s="646"/>
      <c r="QMH1532" s="646"/>
      <c r="QMI1532" s="646"/>
      <c r="QMJ1532" s="646"/>
      <c r="QMK1532" s="646"/>
      <c r="QML1532" s="646"/>
      <c r="QMM1532" s="646"/>
      <c r="QMN1532" s="646"/>
      <c r="QMO1532" s="646"/>
      <c r="QMP1532" s="646"/>
      <c r="QMQ1532" s="646"/>
      <c r="QMR1532" s="646"/>
      <c r="QMS1532" s="646"/>
      <c r="QMT1532" s="646"/>
      <c r="QMU1532" s="646"/>
      <c r="QMV1532" s="646"/>
      <c r="QMW1532" s="646"/>
      <c r="QMX1532" s="646"/>
      <c r="QMY1532" s="646"/>
      <c r="QMZ1532" s="646"/>
      <c r="QNA1532" s="646"/>
      <c r="QNB1532" s="646"/>
      <c r="QNC1532" s="646"/>
      <c r="QND1532" s="646"/>
      <c r="QNE1532" s="646"/>
      <c r="QNF1532" s="646"/>
      <c r="QNG1532" s="646"/>
      <c r="QNH1532" s="646"/>
      <c r="QNI1532" s="646"/>
      <c r="QNJ1532" s="646"/>
      <c r="QNK1532" s="646"/>
      <c r="QNL1532" s="646"/>
      <c r="QNM1532" s="646"/>
      <c r="QNN1532" s="646"/>
      <c r="QNO1532" s="646"/>
      <c r="QNP1532" s="646"/>
      <c r="QNQ1532" s="646"/>
      <c r="QNR1532" s="646"/>
      <c r="QNS1532" s="646"/>
      <c r="QNT1532" s="646"/>
      <c r="QNU1532" s="646"/>
      <c r="QNV1532" s="646"/>
      <c r="QNW1532" s="646"/>
      <c r="QNX1532" s="646"/>
      <c r="QNY1532" s="646"/>
      <c r="QNZ1532" s="646"/>
      <c r="QOA1532" s="646"/>
      <c r="QOB1532" s="646"/>
      <c r="QOC1532" s="646"/>
      <c r="QOD1532" s="646"/>
      <c r="QOE1532" s="646"/>
      <c r="QOF1532" s="646"/>
      <c r="QOG1532" s="646"/>
      <c r="QOH1532" s="646"/>
      <c r="QOI1532" s="646"/>
      <c r="QOJ1532" s="646"/>
      <c r="QOK1532" s="646"/>
      <c r="QOL1532" s="646"/>
      <c r="QOM1532" s="646"/>
      <c r="QON1532" s="646"/>
      <c r="QOO1532" s="646"/>
      <c r="QOP1532" s="646"/>
      <c r="QOQ1532" s="646"/>
      <c r="QOR1532" s="646"/>
      <c r="QOS1532" s="646"/>
      <c r="QOT1532" s="646"/>
      <c r="QOU1532" s="646"/>
      <c r="QOV1532" s="646"/>
      <c r="QOW1532" s="646"/>
      <c r="QOX1532" s="646"/>
      <c r="QOY1532" s="646"/>
      <c r="QOZ1532" s="646"/>
      <c r="QPA1532" s="646"/>
      <c r="QPB1532" s="646"/>
      <c r="QPC1532" s="646"/>
      <c r="QPD1532" s="646"/>
      <c r="QPE1532" s="646"/>
      <c r="QPF1532" s="646"/>
      <c r="QPG1532" s="646"/>
      <c r="QPH1532" s="646"/>
      <c r="QPI1532" s="646"/>
      <c r="QPJ1532" s="646"/>
      <c r="QPK1532" s="646"/>
      <c r="QPL1532" s="646"/>
      <c r="QPM1532" s="646"/>
      <c r="QPN1532" s="646"/>
      <c r="QPO1532" s="646"/>
      <c r="QPP1532" s="646"/>
      <c r="QPQ1532" s="646"/>
      <c r="QPR1532" s="646"/>
      <c r="QPS1532" s="646"/>
      <c r="QPT1532" s="646"/>
      <c r="QPU1532" s="646"/>
      <c r="QPV1532" s="646"/>
      <c r="QPW1532" s="646"/>
      <c r="QPX1532" s="646"/>
      <c r="QPY1532" s="646"/>
      <c r="QPZ1532" s="646"/>
      <c r="QQA1532" s="646"/>
      <c r="QQB1532" s="646"/>
      <c r="QQC1532" s="646"/>
      <c r="QQD1532" s="646"/>
      <c r="QQE1532" s="646"/>
      <c r="QQF1532" s="646"/>
      <c r="QQG1532" s="646"/>
      <c r="QQH1532" s="646"/>
      <c r="QQI1532" s="646"/>
      <c r="QQJ1532" s="646"/>
      <c r="QQK1532" s="646"/>
      <c r="QQL1532" s="646"/>
      <c r="QQM1532" s="646"/>
      <c r="QQN1532" s="646"/>
      <c r="QQO1532" s="646"/>
      <c r="QQP1532" s="646"/>
      <c r="QQQ1532" s="646"/>
      <c r="QQR1532" s="646"/>
      <c r="QQS1532" s="646"/>
      <c r="QQT1532" s="646"/>
      <c r="QQU1532" s="646"/>
      <c r="QQV1532" s="646"/>
      <c r="QQW1532" s="646"/>
      <c r="QQX1532" s="646"/>
      <c r="QQY1532" s="646"/>
      <c r="QQZ1532" s="646"/>
      <c r="QRA1532" s="646"/>
      <c r="QRB1532" s="646"/>
      <c r="QRC1532" s="646"/>
      <c r="QRD1532" s="646"/>
      <c r="QRE1532" s="646"/>
      <c r="QRF1532" s="646"/>
      <c r="QRG1532" s="646"/>
      <c r="QRH1532" s="646"/>
      <c r="QRI1532" s="646"/>
      <c r="QRJ1532" s="646"/>
      <c r="QRK1532" s="646"/>
      <c r="QRL1532" s="646"/>
      <c r="QRM1532" s="646"/>
      <c r="QRN1532" s="646"/>
      <c r="QRO1532" s="646"/>
      <c r="QRP1532" s="646"/>
      <c r="QRQ1532" s="646"/>
      <c r="QRR1532" s="646"/>
      <c r="QRS1532" s="646"/>
      <c r="QRT1532" s="646"/>
      <c r="QRU1532" s="646"/>
      <c r="QRV1532" s="646"/>
      <c r="QRW1532" s="646"/>
      <c r="QRX1532" s="646"/>
      <c r="QRY1532" s="646"/>
      <c r="QRZ1532" s="646"/>
      <c r="QSA1532" s="646"/>
      <c r="QSB1532" s="646"/>
      <c r="QSC1532" s="646"/>
      <c r="QSD1532" s="646"/>
      <c r="QSE1532" s="646"/>
      <c r="QSF1532" s="646"/>
      <c r="QSG1532" s="646"/>
      <c r="QSH1532" s="646"/>
      <c r="QSI1532" s="646"/>
      <c r="QSJ1532" s="646"/>
      <c r="QSK1532" s="646"/>
      <c r="QSL1532" s="646"/>
      <c r="QSM1532" s="646"/>
      <c r="QSN1532" s="646"/>
      <c r="QSO1532" s="646"/>
      <c r="QSP1532" s="646"/>
      <c r="QSQ1532" s="646"/>
      <c r="QSR1532" s="646"/>
      <c r="QSS1532" s="646"/>
      <c r="QST1532" s="646"/>
      <c r="QSU1532" s="646"/>
      <c r="QSV1532" s="646"/>
      <c r="QSW1532" s="646"/>
      <c r="QSX1532" s="646"/>
      <c r="QSY1532" s="646"/>
      <c r="QSZ1532" s="646"/>
      <c r="QTA1532" s="646"/>
      <c r="QTB1532" s="646"/>
      <c r="QTC1532" s="646"/>
      <c r="QTD1532" s="646"/>
      <c r="QTE1532" s="646"/>
      <c r="QTF1532" s="646"/>
      <c r="QTG1532" s="646"/>
      <c r="QTH1532" s="646"/>
      <c r="QTI1532" s="646"/>
      <c r="QTJ1532" s="646"/>
      <c r="QTK1532" s="646"/>
      <c r="QTL1532" s="646"/>
      <c r="QTM1532" s="646"/>
      <c r="QTN1532" s="646"/>
      <c r="QTO1532" s="646"/>
      <c r="QTP1532" s="646"/>
      <c r="QTQ1532" s="646"/>
      <c r="QTR1532" s="646"/>
      <c r="QTS1532" s="646"/>
      <c r="QTT1532" s="646"/>
      <c r="QTU1532" s="646"/>
      <c r="QTV1532" s="646"/>
      <c r="QTW1532" s="646"/>
      <c r="QTX1532" s="646"/>
      <c r="QTY1532" s="646"/>
      <c r="QTZ1532" s="646"/>
      <c r="QUA1532" s="646"/>
      <c r="QUB1532" s="646"/>
      <c r="QUC1532" s="646"/>
      <c r="QUD1532" s="646"/>
      <c r="QUE1532" s="646"/>
      <c r="QUF1532" s="646"/>
      <c r="QUG1532" s="646"/>
      <c r="QUH1532" s="646"/>
      <c r="QUI1532" s="646"/>
      <c r="QUJ1532" s="646"/>
      <c r="QUK1532" s="646"/>
      <c r="QUL1532" s="646"/>
      <c r="QUM1532" s="646"/>
      <c r="QUN1532" s="646"/>
      <c r="QUO1532" s="646"/>
      <c r="QUP1532" s="646"/>
      <c r="QUQ1532" s="646"/>
      <c r="QUR1532" s="646"/>
      <c r="QUS1532" s="646"/>
      <c r="QUT1532" s="646"/>
      <c r="QUU1532" s="646"/>
      <c r="QUV1532" s="646"/>
      <c r="QUW1532" s="646"/>
      <c r="QUX1532" s="646"/>
      <c r="QUY1532" s="646"/>
      <c r="QUZ1532" s="646"/>
      <c r="QVA1532" s="646"/>
      <c r="QVB1532" s="646"/>
      <c r="QVC1532" s="646"/>
      <c r="QVD1532" s="646"/>
      <c r="QVE1532" s="646"/>
      <c r="QVF1532" s="646"/>
      <c r="QVG1532" s="646"/>
      <c r="QVH1532" s="646"/>
      <c r="QVI1532" s="646"/>
      <c r="QVJ1532" s="646"/>
      <c r="QVK1532" s="646"/>
      <c r="QVL1532" s="646"/>
      <c r="QVM1532" s="646"/>
      <c r="QVN1532" s="646"/>
      <c r="QVO1532" s="646"/>
      <c r="QVP1532" s="646"/>
      <c r="QVQ1532" s="646"/>
      <c r="QVR1532" s="646"/>
      <c r="QVS1532" s="646"/>
      <c r="QVT1532" s="646"/>
      <c r="QVU1532" s="646"/>
      <c r="QVV1532" s="646"/>
      <c r="QVW1532" s="646"/>
      <c r="QVX1532" s="646"/>
      <c r="QVY1532" s="646"/>
      <c r="QVZ1532" s="646"/>
      <c r="QWA1532" s="646"/>
      <c r="QWB1532" s="646"/>
      <c r="QWC1532" s="646"/>
      <c r="QWD1532" s="646"/>
      <c r="QWE1532" s="646"/>
      <c r="QWF1532" s="646"/>
      <c r="QWG1532" s="646"/>
      <c r="QWH1532" s="646"/>
      <c r="QWI1532" s="646"/>
      <c r="QWJ1532" s="646"/>
      <c r="QWK1532" s="646"/>
      <c r="QWL1532" s="646"/>
      <c r="QWM1532" s="646"/>
      <c r="QWN1532" s="646"/>
      <c r="QWO1532" s="646"/>
      <c r="QWP1532" s="646"/>
      <c r="QWQ1532" s="646"/>
      <c r="QWR1532" s="646"/>
      <c r="QWS1532" s="646"/>
      <c r="QWT1532" s="646"/>
      <c r="QWU1532" s="646"/>
      <c r="QWV1532" s="646"/>
      <c r="QWW1532" s="646"/>
      <c r="QWX1532" s="646"/>
      <c r="QWY1532" s="646"/>
      <c r="QWZ1532" s="646"/>
      <c r="QXA1532" s="646"/>
      <c r="QXB1532" s="646"/>
      <c r="QXC1532" s="646"/>
      <c r="QXD1532" s="646"/>
      <c r="QXE1532" s="646"/>
      <c r="QXF1532" s="646"/>
      <c r="QXG1532" s="646"/>
      <c r="QXH1532" s="646"/>
      <c r="QXI1532" s="646"/>
      <c r="QXJ1532" s="646"/>
      <c r="QXK1532" s="646"/>
      <c r="QXL1532" s="646"/>
      <c r="QXM1532" s="646"/>
      <c r="QXN1532" s="646"/>
      <c r="QXO1532" s="646"/>
      <c r="QXP1532" s="646"/>
      <c r="QXQ1532" s="646"/>
      <c r="QXR1532" s="646"/>
      <c r="QXS1532" s="646"/>
      <c r="QXT1532" s="646"/>
      <c r="QXU1532" s="646"/>
      <c r="QXV1532" s="646"/>
      <c r="QXW1532" s="646"/>
      <c r="QXX1532" s="646"/>
      <c r="QXY1532" s="646"/>
      <c r="QXZ1532" s="646"/>
      <c r="QYA1532" s="646"/>
      <c r="QYB1532" s="646"/>
      <c r="QYC1532" s="646"/>
      <c r="QYD1532" s="646"/>
      <c r="QYE1532" s="646"/>
      <c r="QYF1532" s="646"/>
      <c r="QYG1532" s="646"/>
      <c r="QYH1532" s="646"/>
      <c r="QYI1532" s="646"/>
      <c r="QYJ1532" s="646"/>
      <c r="QYK1532" s="646"/>
      <c r="QYL1532" s="646"/>
      <c r="QYM1532" s="646"/>
      <c r="QYN1532" s="646"/>
      <c r="QYO1532" s="646"/>
      <c r="QYP1532" s="646"/>
      <c r="QYQ1532" s="646"/>
      <c r="QYR1532" s="646"/>
      <c r="QYS1532" s="646"/>
      <c r="QYT1532" s="646"/>
      <c r="QYU1532" s="646"/>
      <c r="QYV1532" s="646"/>
      <c r="QYW1532" s="646"/>
      <c r="QYX1532" s="646"/>
      <c r="QYY1532" s="646"/>
      <c r="QYZ1532" s="646"/>
      <c r="QZA1532" s="646"/>
      <c r="QZB1532" s="646"/>
      <c r="QZC1532" s="646"/>
      <c r="QZD1532" s="646"/>
      <c r="QZE1532" s="646"/>
      <c r="QZF1532" s="646"/>
      <c r="QZG1532" s="646"/>
      <c r="QZH1532" s="646"/>
      <c r="QZI1532" s="646"/>
      <c r="QZJ1532" s="646"/>
      <c r="QZK1532" s="646"/>
      <c r="QZL1532" s="646"/>
      <c r="QZM1532" s="646"/>
      <c r="QZN1532" s="646"/>
      <c r="QZO1532" s="646"/>
      <c r="QZP1532" s="646"/>
      <c r="QZQ1532" s="646"/>
      <c r="QZR1532" s="646"/>
      <c r="QZS1532" s="646"/>
      <c r="QZT1532" s="646"/>
      <c r="QZU1532" s="646"/>
      <c r="QZV1532" s="646"/>
      <c r="QZW1532" s="646"/>
      <c r="QZX1532" s="646"/>
      <c r="QZY1532" s="646"/>
      <c r="QZZ1532" s="646"/>
      <c r="RAA1532" s="646"/>
      <c r="RAB1532" s="646"/>
      <c r="RAC1532" s="646"/>
      <c r="RAD1532" s="646"/>
      <c r="RAE1532" s="646"/>
      <c r="RAF1532" s="646"/>
      <c r="RAG1532" s="646"/>
      <c r="RAH1532" s="646"/>
      <c r="RAI1532" s="646"/>
      <c r="RAJ1532" s="646"/>
      <c r="RAK1532" s="646"/>
      <c r="RAL1532" s="646"/>
      <c r="RAM1532" s="646"/>
      <c r="RAN1532" s="646"/>
      <c r="RAO1532" s="646"/>
      <c r="RAP1532" s="646"/>
      <c r="RAQ1532" s="646"/>
      <c r="RAR1532" s="646"/>
      <c r="RAS1532" s="646"/>
      <c r="RAT1532" s="646"/>
      <c r="RAU1532" s="646"/>
      <c r="RAV1532" s="646"/>
      <c r="RAW1532" s="646"/>
      <c r="RAX1532" s="646"/>
      <c r="RAY1532" s="646"/>
      <c r="RAZ1532" s="646"/>
      <c r="RBA1532" s="646"/>
      <c r="RBB1532" s="646"/>
      <c r="RBC1532" s="646"/>
      <c r="RBD1532" s="646"/>
      <c r="RBE1532" s="646"/>
      <c r="RBF1532" s="646"/>
      <c r="RBG1532" s="646"/>
      <c r="RBH1532" s="646"/>
      <c r="RBI1532" s="646"/>
      <c r="RBJ1532" s="646"/>
      <c r="RBK1532" s="646"/>
      <c r="RBL1532" s="646"/>
      <c r="RBM1532" s="646"/>
      <c r="RBN1532" s="646"/>
      <c r="RBO1532" s="646"/>
      <c r="RBP1532" s="646"/>
      <c r="RBQ1532" s="646"/>
      <c r="RBR1532" s="646"/>
      <c r="RBS1532" s="646"/>
      <c r="RBT1532" s="646"/>
      <c r="RBU1532" s="646"/>
      <c r="RBV1532" s="646"/>
      <c r="RBW1532" s="646"/>
      <c r="RBX1532" s="646"/>
      <c r="RBY1532" s="646"/>
      <c r="RBZ1532" s="646"/>
      <c r="RCA1532" s="646"/>
      <c r="RCB1532" s="646"/>
      <c r="RCC1532" s="646"/>
      <c r="RCD1532" s="646"/>
      <c r="RCE1532" s="646"/>
      <c r="RCF1532" s="646"/>
      <c r="RCG1532" s="646"/>
      <c r="RCH1532" s="646"/>
      <c r="RCI1532" s="646"/>
      <c r="RCJ1532" s="646"/>
      <c r="RCK1532" s="646"/>
      <c r="RCL1532" s="646"/>
      <c r="RCM1532" s="646"/>
      <c r="RCN1532" s="646"/>
      <c r="RCO1532" s="646"/>
      <c r="RCP1532" s="646"/>
      <c r="RCQ1532" s="646"/>
      <c r="RCR1532" s="646"/>
      <c r="RCS1532" s="646"/>
      <c r="RCT1532" s="646"/>
      <c r="RCU1532" s="646"/>
      <c r="RCV1532" s="646"/>
      <c r="RCW1532" s="646"/>
      <c r="RCX1532" s="646"/>
      <c r="RCY1532" s="646"/>
      <c r="RCZ1532" s="646"/>
      <c r="RDA1532" s="646"/>
      <c r="RDB1532" s="646"/>
      <c r="RDC1532" s="646"/>
      <c r="RDD1532" s="646"/>
      <c r="RDE1532" s="646"/>
      <c r="RDF1532" s="646"/>
      <c r="RDG1532" s="646"/>
      <c r="RDH1532" s="646"/>
      <c r="RDI1532" s="646"/>
      <c r="RDJ1532" s="646"/>
      <c r="RDK1532" s="646"/>
      <c r="RDL1532" s="646"/>
      <c r="RDM1532" s="646"/>
      <c r="RDN1532" s="646"/>
      <c r="RDO1532" s="646"/>
      <c r="RDP1532" s="646"/>
      <c r="RDQ1532" s="646"/>
      <c r="RDR1532" s="646"/>
      <c r="RDS1532" s="646"/>
      <c r="RDT1532" s="646"/>
      <c r="RDU1532" s="646"/>
      <c r="RDV1532" s="646"/>
      <c r="RDW1532" s="646"/>
      <c r="RDX1532" s="646"/>
      <c r="RDY1532" s="646"/>
      <c r="RDZ1532" s="646"/>
      <c r="REA1532" s="646"/>
      <c r="REB1532" s="646"/>
      <c r="REC1532" s="646"/>
      <c r="RED1532" s="646"/>
      <c r="REE1532" s="646"/>
      <c r="REF1532" s="646"/>
      <c r="REG1532" s="646"/>
      <c r="REH1532" s="646"/>
      <c r="REI1532" s="646"/>
      <c r="REJ1532" s="646"/>
      <c r="REK1532" s="646"/>
      <c r="REL1532" s="646"/>
      <c r="REM1532" s="646"/>
      <c r="REN1532" s="646"/>
      <c r="REO1532" s="646"/>
      <c r="REP1532" s="646"/>
      <c r="REQ1532" s="646"/>
      <c r="RER1532" s="646"/>
      <c r="RES1532" s="646"/>
      <c r="RET1532" s="646"/>
      <c r="REU1532" s="646"/>
      <c r="REV1532" s="646"/>
      <c r="REW1532" s="646"/>
      <c r="REX1532" s="646"/>
      <c r="REY1532" s="646"/>
      <c r="REZ1532" s="646"/>
      <c r="RFA1532" s="646"/>
      <c r="RFB1532" s="646"/>
      <c r="RFC1532" s="646"/>
      <c r="RFD1532" s="646"/>
      <c r="RFE1532" s="646"/>
      <c r="RFF1532" s="646"/>
      <c r="RFG1532" s="646"/>
      <c r="RFH1532" s="646"/>
      <c r="RFI1532" s="646"/>
      <c r="RFJ1532" s="646"/>
      <c r="RFK1532" s="646"/>
      <c r="RFL1532" s="646"/>
      <c r="RFM1532" s="646"/>
      <c r="RFN1532" s="646"/>
      <c r="RFO1532" s="646"/>
      <c r="RFP1532" s="646"/>
      <c r="RFQ1532" s="646"/>
      <c r="RFR1532" s="646"/>
      <c r="RFS1532" s="646"/>
      <c r="RFT1532" s="646"/>
      <c r="RFU1532" s="646"/>
      <c r="RFV1532" s="646"/>
      <c r="RFW1532" s="646"/>
      <c r="RFX1532" s="646"/>
      <c r="RFY1532" s="646"/>
      <c r="RFZ1532" s="646"/>
      <c r="RGA1532" s="646"/>
      <c r="RGB1532" s="646"/>
      <c r="RGC1532" s="646"/>
      <c r="RGD1532" s="646"/>
      <c r="RGE1532" s="646"/>
      <c r="RGF1532" s="646"/>
      <c r="RGG1532" s="646"/>
      <c r="RGH1532" s="646"/>
      <c r="RGI1532" s="646"/>
      <c r="RGJ1532" s="646"/>
      <c r="RGK1532" s="646"/>
      <c r="RGL1532" s="646"/>
      <c r="RGM1532" s="646"/>
      <c r="RGN1532" s="646"/>
      <c r="RGO1532" s="646"/>
      <c r="RGP1532" s="646"/>
      <c r="RGQ1532" s="646"/>
      <c r="RGR1532" s="646"/>
      <c r="RGS1532" s="646"/>
      <c r="RGT1532" s="646"/>
      <c r="RGU1532" s="646"/>
      <c r="RGV1532" s="646"/>
      <c r="RGW1532" s="646"/>
      <c r="RGX1532" s="646"/>
      <c r="RGY1532" s="646"/>
      <c r="RGZ1532" s="646"/>
      <c r="RHA1532" s="646"/>
      <c r="RHB1532" s="646"/>
      <c r="RHC1532" s="646"/>
      <c r="RHD1532" s="646"/>
      <c r="RHE1532" s="646"/>
      <c r="RHF1532" s="646"/>
      <c r="RHG1532" s="646"/>
      <c r="RHH1532" s="646"/>
      <c r="RHI1532" s="646"/>
      <c r="RHJ1532" s="646"/>
      <c r="RHK1532" s="646"/>
      <c r="RHL1532" s="646"/>
      <c r="RHM1532" s="646"/>
      <c r="RHN1532" s="646"/>
      <c r="RHO1532" s="646"/>
      <c r="RHP1532" s="646"/>
      <c r="RHQ1532" s="646"/>
      <c r="RHR1532" s="646"/>
      <c r="RHS1532" s="646"/>
      <c r="RHT1532" s="646"/>
      <c r="RHU1532" s="646"/>
      <c r="RHV1532" s="646"/>
      <c r="RHW1532" s="646"/>
      <c r="RHX1532" s="646"/>
      <c r="RHY1532" s="646"/>
      <c r="RHZ1532" s="646"/>
      <c r="RIA1532" s="646"/>
      <c r="RIB1532" s="646"/>
      <c r="RIC1532" s="646"/>
      <c r="RID1532" s="646"/>
      <c r="RIE1532" s="646"/>
      <c r="RIF1532" s="646"/>
      <c r="RIG1532" s="646"/>
      <c r="RIH1532" s="646"/>
      <c r="RII1532" s="646"/>
      <c r="RIJ1532" s="646"/>
      <c r="RIK1532" s="646"/>
      <c r="RIL1532" s="646"/>
      <c r="RIM1532" s="646"/>
      <c r="RIN1532" s="646"/>
      <c r="RIO1532" s="646"/>
      <c r="RIP1532" s="646"/>
      <c r="RIQ1532" s="646"/>
      <c r="RIR1532" s="646"/>
      <c r="RIS1532" s="646"/>
      <c r="RIT1532" s="646"/>
      <c r="RIU1532" s="646"/>
      <c r="RIV1532" s="646"/>
      <c r="RIW1532" s="646"/>
      <c r="RIX1532" s="646"/>
      <c r="RIY1532" s="646"/>
      <c r="RIZ1532" s="646"/>
      <c r="RJA1532" s="646"/>
      <c r="RJB1532" s="646"/>
      <c r="RJC1532" s="646"/>
      <c r="RJD1532" s="646"/>
      <c r="RJE1532" s="646"/>
      <c r="RJF1532" s="646"/>
      <c r="RJG1532" s="646"/>
      <c r="RJH1532" s="646"/>
      <c r="RJI1532" s="646"/>
      <c r="RJJ1532" s="646"/>
      <c r="RJK1532" s="646"/>
      <c r="RJL1532" s="646"/>
      <c r="RJM1532" s="646"/>
      <c r="RJN1532" s="646"/>
      <c r="RJO1532" s="646"/>
      <c r="RJP1532" s="646"/>
      <c r="RJQ1532" s="646"/>
      <c r="RJR1532" s="646"/>
      <c r="RJS1532" s="646"/>
      <c r="RJT1532" s="646"/>
      <c r="RJU1532" s="646"/>
      <c r="RJV1532" s="646"/>
      <c r="RJW1532" s="646"/>
      <c r="RJX1532" s="646"/>
      <c r="RJY1532" s="646"/>
      <c r="RJZ1532" s="646"/>
      <c r="RKA1532" s="646"/>
      <c r="RKB1532" s="646"/>
      <c r="RKC1532" s="646"/>
      <c r="RKD1532" s="646"/>
      <c r="RKE1532" s="646"/>
      <c r="RKF1532" s="646"/>
      <c r="RKG1532" s="646"/>
      <c r="RKH1532" s="646"/>
      <c r="RKI1532" s="646"/>
      <c r="RKJ1532" s="646"/>
      <c r="RKK1532" s="646"/>
      <c r="RKL1532" s="646"/>
      <c r="RKM1532" s="646"/>
      <c r="RKN1532" s="646"/>
      <c r="RKO1532" s="646"/>
      <c r="RKP1532" s="646"/>
      <c r="RKQ1532" s="646"/>
      <c r="RKR1532" s="646"/>
      <c r="RKS1532" s="646"/>
      <c r="RKT1532" s="646"/>
      <c r="RKU1532" s="646"/>
      <c r="RKV1532" s="646"/>
      <c r="RKW1532" s="646"/>
      <c r="RKX1532" s="646"/>
      <c r="RKY1532" s="646"/>
      <c r="RKZ1532" s="646"/>
      <c r="RLA1532" s="646"/>
      <c r="RLB1532" s="646"/>
      <c r="RLC1532" s="646"/>
      <c r="RLD1532" s="646"/>
      <c r="RLE1532" s="646"/>
      <c r="RLF1532" s="646"/>
      <c r="RLG1532" s="646"/>
      <c r="RLH1532" s="646"/>
      <c r="RLI1532" s="646"/>
      <c r="RLJ1532" s="646"/>
      <c r="RLK1532" s="646"/>
      <c r="RLL1532" s="646"/>
      <c r="RLM1532" s="646"/>
      <c r="RLN1532" s="646"/>
      <c r="RLO1532" s="646"/>
      <c r="RLP1532" s="646"/>
      <c r="RLQ1532" s="646"/>
      <c r="RLR1532" s="646"/>
      <c r="RLS1532" s="646"/>
      <c r="RLT1532" s="646"/>
      <c r="RLU1532" s="646"/>
      <c r="RLV1532" s="646"/>
      <c r="RLW1532" s="646"/>
      <c r="RLX1532" s="646"/>
      <c r="RLY1532" s="646"/>
      <c r="RLZ1532" s="646"/>
      <c r="RMA1532" s="646"/>
      <c r="RMB1532" s="646"/>
      <c r="RMC1532" s="646"/>
      <c r="RMD1532" s="646"/>
      <c r="RME1532" s="646"/>
      <c r="RMF1532" s="646"/>
      <c r="RMG1532" s="646"/>
      <c r="RMH1532" s="646"/>
      <c r="RMI1532" s="646"/>
      <c r="RMJ1532" s="646"/>
      <c r="RMK1532" s="646"/>
      <c r="RML1532" s="646"/>
      <c r="RMM1532" s="646"/>
      <c r="RMN1532" s="646"/>
      <c r="RMO1532" s="646"/>
      <c r="RMP1532" s="646"/>
      <c r="RMQ1532" s="646"/>
      <c r="RMR1532" s="646"/>
      <c r="RMS1532" s="646"/>
      <c r="RMT1532" s="646"/>
      <c r="RMU1532" s="646"/>
      <c r="RMV1532" s="646"/>
      <c r="RMW1532" s="646"/>
      <c r="RMX1532" s="646"/>
      <c r="RMY1532" s="646"/>
      <c r="RMZ1532" s="646"/>
      <c r="RNA1532" s="646"/>
      <c r="RNB1532" s="646"/>
      <c r="RNC1532" s="646"/>
      <c r="RND1532" s="646"/>
      <c r="RNE1532" s="646"/>
      <c r="RNF1532" s="646"/>
      <c r="RNG1532" s="646"/>
      <c r="RNH1532" s="646"/>
      <c r="RNI1532" s="646"/>
      <c r="RNJ1532" s="646"/>
      <c r="RNK1532" s="646"/>
      <c r="RNL1532" s="646"/>
      <c r="RNM1532" s="646"/>
      <c r="RNN1532" s="646"/>
      <c r="RNO1532" s="646"/>
      <c r="RNP1532" s="646"/>
      <c r="RNQ1532" s="646"/>
      <c r="RNR1532" s="646"/>
      <c r="RNS1532" s="646"/>
      <c r="RNT1532" s="646"/>
      <c r="RNU1532" s="646"/>
      <c r="RNV1532" s="646"/>
      <c r="RNW1532" s="646"/>
      <c r="RNX1532" s="646"/>
      <c r="RNY1532" s="646"/>
      <c r="RNZ1532" s="646"/>
      <c r="ROA1532" s="646"/>
      <c r="ROB1532" s="646"/>
      <c r="ROC1532" s="646"/>
      <c r="ROD1532" s="646"/>
      <c r="ROE1532" s="646"/>
      <c r="ROF1532" s="646"/>
      <c r="ROG1532" s="646"/>
      <c r="ROH1532" s="646"/>
      <c r="ROI1532" s="646"/>
      <c r="ROJ1532" s="646"/>
      <c r="ROK1532" s="646"/>
      <c r="ROL1532" s="646"/>
      <c r="ROM1532" s="646"/>
      <c r="RON1532" s="646"/>
      <c r="ROO1532" s="646"/>
      <c r="ROP1532" s="646"/>
      <c r="ROQ1532" s="646"/>
      <c r="ROR1532" s="646"/>
      <c r="ROS1532" s="646"/>
      <c r="ROT1532" s="646"/>
      <c r="ROU1532" s="646"/>
      <c r="ROV1532" s="646"/>
      <c r="ROW1532" s="646"/>
      <c r="ROX1532" s="646"/>
      <c r="ROY1532" s="646"/>
      <c r="ROZ1532" s="646"/>
      <c r="RPA1532" s="646"/>
      <c r="RPB1532" s="646"/>
      <c r="RPC1532" s="646"/>
      <c r="RPD1532" s="646"/>
      <c r="RPE1532" s="646"/>
      <c r="RPF1532" s="646"/>
      <c r="RPG1532" s="646"/>
      <c r="RPH1532" s="646"/>
      <c r="RPI1532" s="646"/>
      <c r="RPJ1532" s="646"/>
      <c r="RPK1532" s="646"/>
      <c r="RPL1532" s="646"/>
      <c r="RPM1532" s="646"/>
      <c r="RPN1532" s="646"/>
      <c r="RPO1532" s="646"/>
      <c r="RPP1532" s="646"/>
      <c r="RPQ1532" s="646"/>
      <c r="RPR1532" s="646"/>
      <c r="RPS1532" s="646"/>
      <c r="RPT1532" s="646"/>
      <c r="RPU1532" s="646"/>
      <c r="RPV1532" s="646"/>
      <c r="RPW1532" s="646"/>
      <c r="RPX1532" s="646"/>
      <c r="RPY1532" s="646"/>
      <c r="RPZ1532" s="646"/>
      <c r="RQA1532" s="646"/>
      <c r="RQB1532" s="646"/>
      <c r="RQC1532" s="646"/>
      <c r="RQD1532" s="646"/>
      <c r="RQE1532" s="646"/>
      <c r="RQF1532" s="646"/>
      <c r="RQG1532" s="646"/>
      <c r="RQH1532" s="646"/>
      <c r="RQI1532" s="646"/>
      <c r="RQJ1532" s="646"/>
      <c r="RQK1532" s="646"/>
      <c r="RQL1532" s="646"/>
      <c r="RQM1532" s="646"/>
      <c r="RQN1532" s="646"/>
      <c r="RQO1532" s="646"/>
      <c r="RQP1532" s="646"/>
      <c r="RQQ1532" s="646"/>
      <c r="RQR1532" s="646"/>
      <c r="RQS1532" s="646"/>
      <c r="RQT1532" s="646"/>
      <c r="RQU1532" s="646"/>
      <c r="RQV1532" s="646"/>
      <c r="RQW1532" s="646"/>
      <c r="RQX1532" s="646"/>
      <c r="RQY1532" s="646"/>
      <c r="RQZ1532" s="646"/>
      <c r="RRA1532" s="646"/>
      <c r="RRB1532" s="646"/>
      <c r="RRC1532" s="646"/>
      <c r="RRD1532" s="646"/>
      <c r="RRE1532" s="646"/>
      <c r="RRF1532" s="646"/>
      <c r="RRG1532" s="646"/>
      <c r="RRH1532" s="646"/>
      <c r="RRI1532" s="646"/>
      <c r="RRJ1532" s="646"/>
      <c r="RRK1532" s="646"/>
      <c r="RRL1532" s="646"/>
      <c r="RRM1532" s="646"/>
      <c r="RRN1532" s="646"/>
      <c r="RRO1532" s="646"/>
      <c r="RRP1532" s="646"/>
      <c r="RRQ1532" s="646"/>
      <c r="RRR1532" s="646"/>
      <c r="RRS1532" s="646"/>
      <c r="RRT1532" s="646"/>
      <c r="RRU1532" s="646"/>
      <c r="RRV1532" s="646"/>
      <c r="RRW1532" s="646"/>
      <c r="RRX1532" s="646"/>
      <c r="RRY1532" s="646"/>
      <c r="RRZ1532" s="646"/>
      <c r="RSA1532" s="646"/>
      <c r="RSB1532" s="646"/>
      <c r="RSC1532" s="646"/>
      <c r="RSD1532" s="646"/>
      <c r="RSE1532" s="646"/>
      <c r="RSF1532" s="646"/>
      <c r="RSG1532" s="646"/>
      <c r="RSH1532" s="646"/>
      <c r="RSI1532" s="646"/>
      <c r="RSJ1532" s="646"/>
      <c r="RSK1532" s="646"/>
      <c r="RSL1532" s="646"/>
      <c r="RSM1532" s="646"/>
      <c r="RSN1532" s="646"/>
      <c r="RSO1532" s="646"/>
      <c r="RSP1532" s="646"/>
      <c r="RSQ1532" s="646"/>
      <c r="RSR1532" s="646"/>
      <c r="RSS1532" s="646"/>
      <c r="RST1532" s="646"/>
      <c r="RSU1532" s="646"/>
      <c r="RSV1532" s="646"/>
      <c r="RSW1532" s="646"/>
      <c r="RSX1532" s="646"/>
      <c r="RSY1532" s="646"/>
      <c r="RSZ1532" s="646"/>
      <c r="RTA1532" s="646"/>
      <c r="RTB1532" s="646"/>
      <c r="RTC1532" s="646"/>
      <c r="RTD1532" s="646"/>
      <c r="RTE1532" s="646"/>
      <c r="RTF1532" s="646"/>
      <c r="RTG1532" s="646"/>
      <c r="RTH1532" s="646"/>
      <c r="RTI1532" s="646"/>
      <c r="RTJ1532" s="646"/>
      <c r="RTK1532" s="646"/>
      <c r="RTL1532" s="646"/>
      <c r="RTM1532" s="646"/>
      <c r="RTN1532" s="646"/>
      <c r="RTO1532" s="646"/>
      <c r="RTP1532" s="646"/>
      <c r="RTQ1532" s="646"/>
      <c r="RTR1532" s="646"/>
      <c r="RTS1532" s="646"/>
      <c r="RTT1532" s="646"/>
      <c r="RTU1532" s="646"/>
      <c r="RTV1532" s="646"/>
      <c r="RTW1532" s="646"/>
      <c r="RTX1532" s="646"/>
      <c r="RTY1532" s="646"/>
      <c r="RTZ1532" s="646"/>
      <c r="RUA1532" s="646"/>
      <c r="RUB1532" s="646"/>
      <c r="RUC1532" s="646"/>
      <c r="RUD1532" s="646"/>
      <c r="RUE1532" s="646"/>
      <c r="RUF1532" s="646"/>
      <c r="RUG1532" s="646"/>
      <c r="RUH1532" s="646"/>
      <c r="RUI1532" s="646"/>
      <c r="RUJ1532" s="646"/>
      <c r="RUK1532" s="646"/>
      <c r="RUL1532" s="646"/>
      <c r="RUM1532" s="646"/>
      <c r="RUN1532" s="646"/>
      <c r="RUO1532" s="646"/>
      <c r="RUP1532" s="646"/>
      <c r="RUQ1532" s="646"/>
      <c r="RUR1532" s="646"/>
      <c r="RUS1532" s="646"/>
      <c r="RUT1532" s="646"/>
      <c r="RUU1532" s="646"/>
      <c r="RUV1532" s="646"/>
      <c r="RUW1532" s="646"/>
      <c r="RUX1532" s="646"/>
      <c r="RUY1532" s="646"/>
      <c r="RUZ1532" s="646"/>
      <c r="RVA1532" s="646"/>
      <c r="RVB1532" s="646"/>
      <c r="RVC1532" s="646"/>
      <c r="RVD1532" s="646"/>
      <c r="RVE1532" s="646"/>
      <c r="RVF1532" s="646"/>
      <c r="RVG1532" s="646"/>
      <c r="RVH1532" s="646"/>
      <c r="RVI1532" s="646"/>
      <c r="RVJ1532" s="646"/>
      <c r="RVK1532" s="646"/>
      <c r="RVL1532" s="646"/>
      <c r="RVM1532" s="646"/>
      <c r="RVN1532" s="646"/>
      <c r="RVO1532" s="646"/>
      <c r="RVP1532" s="646"/>
      <c r="RVQ1532" s="646"/>
      <c r="RVR1532" s="646"/>
      <c r="RVS1532" s="646"/>
      <c r="RVT1532" s="646"/>
      <c r="RVU1532" s="646"/>
      <c r="RVV1532" s="646"/>
      <c r="RVW1532" s="646"/>
      <c r="RVX1532" s="646"/>
      <c r="RVY1532" s="646"/>
      <c r="RVZ1532" s="646"/>
      <c r="RWA1532" s="646"/>
      <c r="RWB1532" s="646"/>
      <c r="RWC1532" s="646"/>
      <c r="RWD1532" s="646"/>
      <c r="RWE1532" s="646"/>
      <c r="RWF1532" s="646"/>
      <c r="RWG1532" s="646"/>
      <c r="RWH1532" s="646"/>
      <c r="RWI1532" s="646"/>
      <c r="RWJ1532" s="646"/>
      <c r="RWK1532" s="646"/>
      <c r="RWL1532" s="646"/>
      <c r="RWM1532" s="646"/>
      <c r="RWN1532" s="646"/>
      <c r="RWO1532" s="646"/>
      <c r="RWP1532" s="646"/>
      <c r="RWQ1532" s="646"/>
      <c r="RWR1532" s="646"/>
      <c r="RWS1532" s="646"/>
      <c r="RWT1532" s="646"/>
      <c r="RWU1532" s="646"/>
      <c r="RWV1532" s="646"/>
      <c r="RWW1532" s="646"/>
      <c r="RWX1532" s="646"/>
      <c r="RWY1532" s="646"/>
      <c r="RWZ1532" s="646"/>
      <c r="RXA1532" s="646"/>
      <c r="RXB1532" s="646"/>
      <c r="RXC1532" s="646"/>
      <c r="RXD1532" s="646"/>
      <c r="RXE1532" s="646"/>
      <c r="RXF1532" s="646"/>
      <c r="RXG1532" s="646"/>
      <c r="RXH1532" s="646"/>
      <c r="RXI1532" s="646"/>
      <c r="RXJ1532" s="646"/>
      <c r="RXK1532" s="646"/>
      <c r="RXL1532" s="646"/>
      <c r="RXM1532" s="646"/>
      <c r="RXN1532" s="646"/>
      <c r="RXO1532" s="646"/>
      <c r="RXP1532" s="646"/>
      <c r="RXQ1532" s="646"/>
      <c r="RXR1532" s="646"/>
      <c r="RXS1532" s="646"/>
      <c r="RXT1532" s="646"/>
      <c r="RXU1532" s="646"/>
      <c r="RXV1532" s="646"/>
      <c r="RXW1532" s="646"/>
      <c r="RXX1532" s="646"/>
      <c r="RXY1532" s="646"/>
      <c r="RXZ1532" s="646"/>
      <c r="RYA1532" s="646"/>
      <c r="RYB1532" s="646"/>
      <c r="RYC1532" s="646"/>
      <c r="RYD1532" s="646"/>
      <c r="RYE1532" s="646"/>
      <c r="RYF1532" s="646"/>
      <c r="RYG1532" s="646"/>
      <c r="RYH1532" s="646"/>
      <c r="RYI1532" s="646"/>
      <c r="RYJ1532" s="646"/>
      <c r="RYK1532" s="646"/>
      <c r="RYL1532" s="646"/>
      <c r="RYM1532" s="646"/>
      <c r="RYN1532" s="646"/>
      <c r="RYO1532" s="646"/>
      <c r="RYP1532" s="646"/>
      <c r="RYQ1532" s="646"/>
      <c r="RYR1532" s="646"/>
      <c r="RYS1532" s="646"/>
      <c r="RYT1532" s="646"/>
      <c r="RYU1532" s="646"/>
      <c r="RYV1532" s="646"/>
      <c r="RYW1532" s="646"/>
      <c r="RYX1532" s="646"/>
      <c r="RYY1532" s="646"/>
      <c r="RYZ1532" s="646"/>
      <c r="RZA1532" s="646"/>
      <c r="RZB1532" s="646"/>
      <c r="RZC1532" s="646"/>
      <c r="RZD1532" s="646"/>
      <c r="RZE1532" s="646"/>
      <c r="RZF1532" s="646"/>
      <c r="RZG1532" s="646"/>
      <c r="RZH1532" s="646"/>
      <c r="RZI1532" s="646"/>
      <c r="RZJ1532" s="646"/>
      <c r="RZK1532" s="646"/>
      <c r="RZL1532" s="646"/>
      <c r="RZM1532" s="646"/>
      <c r="RZN1532" s="646"/>
      <c r="RZO1532" s="646"/>
      <c r="RZP1532" s="646"/>
      <c r="RZQ1532" s="646"/>
      <c r="RZR1532" s="646"/>
      <c r="RZS1532" s="646"/>
      <c r="RZT1532" s="646"/>
      <c r="RZU1532" s="646"/>
      <c r="RZV1532" s="646"/>
      <c r="RZW1532" s="646"/>
      <c r="RZX1532" s="646"/>
      <c r="RZY1532" s="646"/>
      <c r="RZZ1532" s="646"/>
      <c r="SAA1532" s="646"/>
      <c r="SAB1532" s="646"/>
      <c r="SAC1532" s="646"/>
      <c r="SAD1532" s="646"/>
      <c r="SAE1532" s="646"/>
      <c r="SAF1532" s="646"/>
      <c r="SAG1532" s="646"/>
      <c r="SAH1532" s="646"/>
      <c r="SAI1532" s="646"/>
      <c r="SAJ1532" s="646"/>
      <c r="SAK1532" s="646"/>
      <c r="SAL1532" s="646"/>
      <c r="SAM1532" s="646"/>
      <c r="SAN1532" s="646"/>
      <c r="SAO1532" s="646"/>
      <c r="SAP1532" s="646"/>
      <c r="SAQ1532" s="646"/>
      <c r="SAR1532" s="646"/>
      <c r="SAS1532" s="646"/>
      <c r="SAT1532" s="646"/>
      <c r="SAU1532" s="646"/>
      <c r="SAV1532" s="646"/>
      <c r="SAW1532" s="646"/>
      <c r="SAX1532" s="646"/>
      <c r="SAY1532" s="646"/>
      <c r="SAZ1532" s="646"/>
      <c r="SBA1532" s="646"/>
      <c r="SBB1532" s="646"/>
      <c r="SBC1532" s="646"/>
      <c r="SBD1532" s="646"/>
      <c r="SBE1532" s="646"/>
      <c r="SBF1532" s="646"/>
      <c r="SBG1532" s="646"/>
      <c r="SBH1532" s="646"/>
      <c r="SBI1532" s="646"/>
      <c r="SBJ1532" s="646"/>
      <c r="SBK1532" s="646"/>
      <c r="SBL1532" s="646"/>
      <c r="SBM1532" s="646"/>
      <c r="SBN1532" s="646"/>
      <c r="SBO1532" s="646"/>
      <c r="SBP1532" s="646"/>
      <c r="SBQ1532" s="646"/>
      <c r="SBR1532" s="646"/>
      <c r="SBS1532" s="646"/>
      <c r="SBT1532" s="646"/>
      <c r="SBU1532" s="646"/>
      <c r="SBV1532" s="646"/>
      <c r="SBW1532" s="646"/>
      <c r="SBX1532" s="646"/>
      <c r="SBY1532" s="646"/>
      <c r="SBZ1532" s="646"/>
      <c r="SCA1532" s="646"/>
      <c r="SCB1532" s="646"/>
      <c r="SCC1532" s="646"/>
      <c r="SCD1532" s="646"/>
      <c r="SCE1532" s="646"/>
      <c r="SCF1532" s="646"/>
      <c r="SCG1532" s="646"/>
      <c r="SCH1532" s="646"/>
      <c r="SCI1532" s="646"/>
      <c r="SCJ1532" s="646"/>
      <c r="SCK1532" s="646"/>
      <c r="SCL1532" s="646"/>
      <c r="SCM1532" s="646"/>
      <c r="SCN1532" s="646"/>
      <c r="SCO1532" s="646"/>
      <c r="SCP1532" s="646"/>
      <c r="SCQ1532" s="646"/>
      <c r="SCR1532" s="646"/>
      <c r="SCS1532" s="646"/>
      <c r="SCT1532" s="646"/>
      <c r="SCU1532" s="646"/>
      <c r="SCV1532" s="646"/>
      <c r="SCW1532" s="646"/>
      <c r="SCX1532" s="646"/>
      <c r="SCY1532" s="646"/>
      <c r="SCZ1532" s="646"/>
      <c r="SDA1532" s="646"/>
      <c r="SDB1532" s="646"/>
      <c r="SDC1532" s="646"/>
      <c r="SDD1532" s="646"/>
      <c r="SDE1532" s="646"/>
      <c r="SDF1532" s="646"/>
      <c r="SDG1532" s="646"/>
      <c r="SDH1532" s="646"/>
      <c r="SDI1532" s="646"/>
      <c r="SDJ1532" s="646"/>
      <c r="SDK1532" s="646"/>
      <c r="SDL1532" s="646"/>
      <c r="SDM1532" s="646"/>
      <c r="SDN1532" s="646"/>
      <c r="SDO1532" s="646"/>
      <c r="SDP1532" s="646"/>
      <c r="SDQ1532" s="646"/>
      <c r="SDR1532" s="646"/>
      <c r="SDS1532" s="646"/>
      <c r="SDT1532" s="646"/>
      <c r="SDU1532" s="646"/>
      <c r="SDV1532" s="646"/>
      <c r="SDW1532" s="646"/>
      <c r="SDX1532" s="646"/>
      <c r="SDY1532" s="646"/>
      <c r="SDZ1532" s="646"/>
      <c r="SEA1532" s="646"/>
      <c r="SEB1532" s="646"/>
      <c r="SEC1532" s="646"/>
      <c r="SED1532" s="646"/>
      <c r="SEE1532" s="646"/>
      <c r="SEF1532" s="646"/>
      <c r="SEG1532" s="646"/>
      <c r="SEH1532" s="646"/>
      <c r="SEI1532" s="646"/>
      <c r="SEJ1532" s="646"/>
      <c r="SEK1532" s="646"/>
      <c r="SEL1532" s="646"/>
      <c r="SEM1532" s="646"/>
      <c r="SEN1532" s="646"/>
      <c r="SEO1532" s="646"/>
      <c r="SEP1532" s="646"/>
      <c r="SEQ1532" s="646"/>
      <c r="SER1532" s="646"/>
      <c r="SES1532" s="646"/>
      <c r="SET1532" s="646"/>
      <c r="SEU1532" s="646"/>
      <c r="SEV1532" s="646"/>
      <c r="SEW1532" s="646"/>
      <c r="SEX1532" s="646"/>
      <c r="SEY1532" s="646"/>
      <c r="SEZ1532" s="646"/>
      <c r="SFA1532" s="646"/>
      <c r="SFB1532" s="646"/>
      <c r="SFC1532" s="646"/>
      <c r="SFD1532" s="646"/>
      <c r="SFE1532" s="646"/>
      <c r="SFF1532" s="646"/>
      <c r="SFG1532" s="646"/>
      <c r="SFH1532" s="646"/>
      <c r="SFI1532" s="646"/>
      <c r="SFJ1532" s="646"/>
      <c r="SFK1532" s="646"/>
      <c r="SFL1532" s="646"/>
      <c r="SFM1532" s="646"/>
      <c r="SFN1532" s="646"/>
      <c r="SFO1532" s="646"/>
      <c r="SFP1532" s="646"/>
      <c r="SFQ1532" s="646"/>
      <c r="SFR1532" s="646"/>
      <c r="SFS1532" s="646"/>
      <c r="SFT1532" s="646"/>
      <c r="SFU1532" s="646"/>
      <c r="SFV1532" s="646"/>
      <c r="SFW1532" s="646"/>
      <c r="SFX1532" s="646"/>
      <c r="SFY1532" s="646"/>
      <c r="SFZ1532" s="646"/>
      <c r="SGA1532" s="646"/>
      <c r="SGB1532" s="646"/>
      <c r="SGC1532" s="646"/>
      <c r="SGD1532" s="646"/>
      <c r="SGE1532" s="646"/>
      <c r="SGF1532" s="646"/>
      <c r="SGG1532" s="646"/>
      <c r="SGH1532" s="646"/>
      <c r="SGI1532" s="646"/>
      <c r="SGJ1532" s="646"/>
      <c r="SGK1532" s="646"/>
      <c r="SGL1532" s="646"/>
      <c r="SGM1532" s="646"/>
      <c r="SGN1532" s="646"/>
      <c r="SGO1532" s="646"/>
      <c r="SGP1532" s="646"/>
      <c r="SGQ1532" s="646"/>
      <c r="SGR1532" s="646"/>
      <c r="SGS1532" s="646"/>
      <c r="SGT1532" s="646"/>
      <c r="SGU1532" s="646"/>
      <c r="SGV1532" s="646"/>
      <c r="SGW1532" s="646"/>
      <c r="SGX1532" s="646"/>
      <c r="SGY1532" s="646"/>
      <c r="SGZ1532" s="646"/>
      <c r="SHA1532" s="646"/>
      <c r="SHB1532" s="646"/>
      <c r="SHC1532" s="646"/>
      <c r="SHD1532" s="646"/>
      <c r="SHE1532" s="646"/>
      <c r="SHF1532" s="646"/>
      <c r="SHG1532" s="646"/>
      <c r="SHH1532" s="646"/>
      <c r="SHI1532" s="646"/>
      <c r="SHJ1532" s="646"/>
      <c r="SHK1532" s="646"/>
      <c r="SHL1532" s="646"/>
      <c r="SHM1532" s="646"/>
      <c r="SHN1532" s="646"/>
      <c r="SHO1532" s="646"/>
      <c r="SHP1532" s="646"/>
      <c r="SHQ1532" s="646"/>
      <c r="SHR1532" s="646"/>
      <c r="SHS1532" s="646"/>
      <c r="SHT1532" s="646"/>
      <c r="SHU1532" s="646"/>
      <c r="SHV1532" s="646"/>
      <c r="SHW1532" s="646"/>
      <c r="SHX1532" s="646"/>
      <c r="SHY1532" s="646"/>
      <c r="SHZ1532" s="646"/>
      <c r="SIA1532" s="646"/>
      <c r="SIB1532" s="646"/>
      <c r="SIC1532" s="646"/>
      <c r="SID1532" s="646"/>
      <c r="SIE1532" s="646"/>
      <c r="SIF1532" s="646"/>
      <c r="SIG1532" s="646"/>
      <c r="SIH1532" s="646"/>
      <c r="SII1532" s="646"/>
      <c r="SIJ1532" s="646"/>
      <c r="SIK1532" s="646"/>
      <c r="SIL1532" s="646"/>
      <c r="SIM1532" s="646"/>
      <c r="SIN1532" s="646"/>
      <c r="SIO1532" s="646"/>
      <c r="SIP1532" s="646"/>
      <c r="SIQ1532" s="646"/>
      <c r="SIR1532" s="646"/>
      <c r="SIS1532" s="646"/>
      <c r="SIT1532" s="646"/>
      <c r="SIU1532" s="646"/>
      <c r="SIV1532" s="646"/>
      <c r="SIW1532" s="646"/>
      <c r="SIX1532" s="646"/>
      <c r="SIY1532" s="646"/>
      <c r="SIZ1532" s="646"/>
      <c r="SJA1532" s="646"/>
      <c r="SJB1532" s="646"/>
      <c r="SJC1532" s="646"/>
      <c r="SJD1532" s="646"/>
      <c r="SJE1532" s="646"/>
      <c r="SJF1532" s="646"/>
      <c r="SJG1532" s="646"/>
      <c r="SJH1532" s="646"/>
      <c r="SJI1532" s="646"/>
      <c r="SJJ1532" s="646"/>
      <c r="SJK1532" s="646"/>
      <c r="SJL1532" s="646"/>
      <c r="SJM1532" s="646"/>
      <c r="SJN1532" s="646"/>
      <c r="SJO1532" s="646"/>
      <c r="SJP1532" s="646"/>
      <c r="SJQ1532" s="646"/>
      <c r="SJR1532" s="646"/>
      <c r="SJS1532" s="646"/>
      <c r="SJT1532" s="646"/>
      <c r="SJU1532" s="646"/>
      <c r="SJV1532" s="646"/>
      <c r="SJW1532" s="646"/>
      <c r="SJX1532" s="646"/>
      <c r="SJY1532" s="646"/>
      <c r="SJZ1532" s="646"/>
      <c r="SKA1532" s="646"/>
      <c r="SKB1532" s="646"/>
      <c r="SKC1532" s="646"/>
      <c r="SKD1532" s="646"/>
      <c r="SKE1532" s="646"/>
      <c r="SKF1532" s="646"/>
      <c r="SKG1532" s="646"/>
      <c r="SKH1532" s="646"/>
      <c r="SKI1532" s="646"/>
      <c r="SKJ1532" s="646"/>
      <c r="SKK1532" s="646"/>
      <c r="SKL1532" s="646"/>
      <c r="SKM1532" s="646"/>
      <c r="SKN1532" s="646"/>
      <c r="SKO1532" s="646"/>
      <c r="SKP1532" s="646"/>
      <c r="SKQ1532" s="646"/>
      <c r="SKR1532" s="646"/>
      <c r="SKS1532" s="646"/>
      <c r="SKT1532" s="646"/>
      <c r="SKU1532" s="646"/>
      <c r="SKV1532" s="646"/>
      <c r="SKW1532" s="646"/>
      <c r="SKX1532" s="646"/>
      <c r="SKY1532" s="646"/>
      <c r="SKZ1532" s="646"/>
      <c r="SLA1532" s="646"/>
      <c r="SLB1532" s="646"/>
      <c r="SLC1532" s="646"/>
      <c r="SLD1532" s="646"/>
      <c r="SLE1532" s="646"/>
      <c r="SLF1532" s="646"/>
      <c r="SLG1532" s="646"/>
      <c r="SLH1532" s="646"/>
      <c r="SLI1532" s="646"/>
      <c r="SLJ1532" s="646"/>
      <c r="SLK1532" s="646"/>
      <c r="SLL1532" s="646"/>
      <c r="SLM1532" s="646"/>
      <c r="SLN1532" s="646"/>
      <c r="SLO1532" s="646"/>
      <c r="SLP1532" s="646"/>
      <c r="SLQ1532" s="646"/>
      <c r="SLR1532" s="646"/>
      <c r="SLS1532" s="646"/>
      <c r="SLT1532" s="646"/>
      <c r="SLU1532" s="646"/>
      <c r="SLV1532" s="646"/>
      <c r="SLW1532" s="646"/>
      <c r="SLX1532" s="646"/>
      <c r="SLY1532" s="646"/>
      <c r="SLZ1532" s="646"/>
      <c r="SMA1532" s="646"/>
      <c r="SMB1532" s="646"/>
      <c r="SMC1532" s="646"/>
      <c r="SMD1532" s="646"/>
      <c r="SME1532" s="646"/>
      <c r="SMF1532" s="646"/>
      <c r="SMG1532" s="646"/>
      <c r="SMH1532" s="646"/>
      <c r="SMI1532" s="646"/>
      <c r="SMJ1532" s="646"/>
      <c r="SMK1532" s="646"/>
      <c r="SML1532" s="646"/>
      <c r="SMM1532" s="646"/>
      <c r="SMN1532" s="646"/>
      <c r="SMO1532" s="646"/>
      <c r="SMP1532" s="646"/>
      <c r="SMQ1532" s="646"/>
      <c r="SMR1532" s="646"/>
      <c r="SMS1532" s="646"/>
      <c r="SMT1532" s="646"/>
      <c r="SMU1532" s="646"/>
      <c r="SMV1532" s="646"/>
      <c r="SMW1532" s="646"/>
      <c r="SMX1532" s="646"/>
      <c r="SMY1532" s="646"/>
      <c r="SMZ1532" s="646"/>
      <c r="SNA1532" s="646"/>
      <c r="SNB1532" s="646"/>
      <c r="SNC1532" s="646"/>
      <c r="SND1532" s="646"/>
      <c r="SNE1532" s="646"/>
      <c r="SNF1532" s="646"/>
      <c r="SNG1532" s="646"/>
      <c r="SNH1532" s="646"/>
      <c r="SNI1532" s="646"/>
      <c r="SNJ1532" s="646"/>
      <c r="SNK1532" s="646"/>
      <c r="SNL1532" s="646"/>
      <c r="SNM1532" s="646"/>
      <c r="SNN1532" s="646"/>
      <c r="SNO1532" s="646"/>
      <c r="SNP1532" s="646"/>
      <c r="SNQ1532" s="646"/>
      <c r="SNR1532" s="646"/>
      <c r="SNS1532" s="646"/>
      <c r="SNT1532" s="646"/>
      <c r="SNU1532" s="646"/>
      <c r="SNV1532" s="646"/>
      <c r="SNW1532" s="646"/>
      <c r="SNX1532" s="646"/>
      <c r="SNY1532" s="646"/>
      <c r="SNZ1532" s="646"/>
      <c r="SOA1532" s="646"/>
      <c r="SOB1532" s="646"/>
      <c r="SOC1532" s="646"/>
      <c r="SOD1532" s="646"/>
      <c r="SOE1532" s="646"/>
      <c r="SOF1532" s="646"/>
      <c r="SOG1532" s="646"/>
      <c r="SOH1532" s="646"/>
      <c r="SOI1532" s="646"/>
      <c r="SOJ1532" s="646"/>
      <c r="SOK1532" s="646"/>
      <c r="SOL1532" s="646"/>
      <c r="SOM1532" s="646"/>
      <c r="SON1532" s="646"/>
      <c r="SOO1532" s="646"/>
      <c r="SOP1532" s="646"/>
      <c r="SOQ1532" s="646"/>
      <c r="SOR1532" s="646"/>
      <c r="SOS1532" s="646"/>
      <c r="SOT1532" s="646"/>
      <c r="SOU1532" s="646"/>
      <c r="SOV1532" s="646"/>
      <c r="SOW1532" s="646"/>
      <c r="SOX1532" s="646"/>
      <c r="SOY1532" s="646"/>
      <c r="SOZ1532" s="646"/>
      <c r="SPA1532" s="646"/>
      <c r="SPB1532" s="646"/>
      <c r="SPC1532" s="646"/>
      <c r="SPD1532" s="646"/>
      <c r="SPE1532" s="646"/>
      <c r="SPF1532" s="646"/>
      <c r="SPG1532" s="646"/>
      <c r="SPH1532" s="646"/>
      <c r="SPI1532" s="646"/>
      <c r="SPJ1532" s="646"/>
      <c r="SPK1532" s="646"/>
      <c r="SPL1532" s="646"/>
      <c r="SPM1532" s="646"/>
      <c r="SPN1532" s="646"/>
      <c r="SPO1532" s="646"/>
      <c r="SPP1532" s="646"/>
      <c r="SPQ1532" s="646"/>
      <c r="SPR1532" s="646"/>
      <c r="SPS1532" s="646"/>
      <c r="SPT1532" s="646"/>
      <c r="SPU1532" s="646"/>
      <c r="SPV1532" s="646"/>
      <c r="SPW1532" s="646"/>
      <c r="SPX1532" s="646"/>
      <c r="SPY1532" s="646"/>
      <c r="SPZ1532" s="646"/>
      <c r="SQA1532" s="646"/>
      <c r="SQB1532" s="646"/>
      <c r="SQC1532" s="646"/>
      <c r="SQD1532" s="646"/>
      <c r="SQE1532" s="646"/>
      <c r="SQF1532" s="646"/>
      <c r="SQG1532" s="646"/>
      <c r="SQH1532" s="646"/>
      <c r="SQI1532" s="646"/>
      <c r="SQJ1532" s="646"/>
      <c r="SQK1532" s="646"/>
      <c r="SQL1532" s="646"/>
      <c r="SQM1532" s="646"/>
      <c r="SQN1532" s="646"/>
      <c r="SQO1532" s="646"/>
      <c r="SQP1532" s="646"/>
      <c r="SQQ1532" s="646"/>
      <c r="SQR1532" s="646"/>
      <c r="SQS1532" s="646"/>
      <c r="SQT1532" s="646"/>
      <c r="SQU1532" s="646"/>
      <c r="SQV1532" s="646"/>
      <c r="SQW1532" s="646"/>
      <c r="SQX1532" s="646"/>
      <c r="SQY1532" s="646"/>
      <c r="SQZ1532" s="646"/>
      <c r="SRA1532" s="646"/>
      <c r="SRB1532" s="646"/>
      <c r="SRC1532" s="646"/>
      <c r="SRD1532" s="646"/>
      <c r="SRE1532" s="646"/>
      <c r="SRF1532" s="646"/>
      <c r="SRG1532" s="646"/>
      <c r="SRH1532" s="646"/>
      <c r="SRI1532" s="646"/>
      <c r="SRJ1532" s="646"/>
      <c r="SRK1532" s="646"/>
      <c r="SRL1532" s="646"/>
      <c r="SRM1532" s="646"/>
      <c r="SRN1532" s="646"/>
      <c r="SRO1532" s="646"/>
      <c r="SRP1532" s="646"/>
      <c r="SRQ1532" s="646"/>
      <c r="SRR1532" s="646"/>
      <c r="SRS1532" s="646"/>
      <c r="SRT1532" s="646"/>
      <c r="SRU1532" s="646"/>
      <c r="SRV1532" s="646"/>
      <c r="SRW1532" s="646"/>
      <c r="SRX1532" s="646"/>
      <c r="SRY1532" s="646"/>
      <c r="SRZ1532" s="646"/>
      <c r="SSA1532" s="646"/>
      <c r="SSB1532" s="646"/>
      <c r="SSC1532" s="646"/>
      <c r="SSD1532" s="646"/>
      <c r="SSE1532" s="646"/>
      <c r="SSF1532" s="646"/>
      <c r="SSG1532" s="646"/>
      <c r="SSH1532" s="646"/>
      <c r="SSI1532" s="646"/>
      <c r="SSJ1532" s="646"/>
      <c r="SSK1532" s="646"/>
      <c r="SSL1532" s="646"/>
      <c r="SSM1532" s="646"/>
      <c r="SSN1532" s="646"/>
      <c r="SSO1532" s="646"/>
      <c r="SSP1532" s="646"/>
      <c r="SSQ1532" s="646"/>
      <c r="SSR1532" s="646"/>
      <c r="SSS1532" s="646"/>
      <c r="SST1532" s="646"/>
      <c r="SSU1532" s="646"/>
      <c r="SSV1532" s="646"/>
      <c r="SSW1532" s="646"/>
      <c r="SSX1532" s="646"/>
      <c r="SSY1532" s="646"/>
      <c r="SSZ1532" s="646"/>
      <c r="STA1532" s="646"/>
      <c r="STB1532" s="646"/>
      <c r="STC1532" s="646"/>
      <c r="STD1532" s="646"/>
      <c r="STE1532" s="646"/>
      <c r="STF1532" s="646"/>
      <c r="STG1532" s="646"/>
      <c r="STH1532" s="646"/>
      <c r="STI1532" s="646"/>
      <c r="STJ1532" s="646"/>
      <c r="STK1532" s="646"/>
      <c r="STL1532" s="646"/>
      <c r="STM1532" s="646"/>
      <c r="STN1532" s="646"/>
      <c r="STO1532" s="646"/>
      <c r="STP1532" s="646"/>
      <c r="STQ1532" s="646"/>
      <c r="STR1532" s="646"/>
      <c r="STS1532" s="646"/>
      <c r="STT1532" s="646"/>
      <c r="STU1532" s="646"/>
      <c r="STV1532" s="646"/>
      <c r="STW1532" s="646"/>
      <c r="STX1532" s="646"/>
      <c r="STY1532" s="646"/>
      <c r="STZ1532" s="646"/>
      <c r="SUA1532" s="646"/>
      <c r="SUB1532" s="646"/>
      <c r="SUC1532" s="646"/>
      <c r="SUD1532" s="646"/>
      <c r="SUE1532" s="646"/>
      <c r="SUF1532" s="646"/>
      <c r="SUG1532" s="646"/>
      <c r="SUH1532" s="646"/>
      <c r="SUI1532" s="646"/>
      <c r="SUJ1532" s="646"/>
      <c r="SUK1532" s="646"/>
      <c r="SUL1532" s="646"/>
      <c r="SUM1532" s="646"/>
      <c r="SUN1532" s="646"/>
      <c r="SUO1532" s="646"/>
      <c r="SUP1532" s="646"/>
      <c r="SUQ1532" s="646"/>
      <c r="SUR1532" s="646"/>
      <c r="SUS1532" s="646"/>
      <c r="SUT1532" s="646"/>
      <c r="SUU1532" s="646"/>
      <c r="SUV1532" s="646"/>
      <c r="SUW1532" s="646"/>
      <c r="SUX1532" s="646"/>
      <c r="SUY1532" s="646"/>
      <c r="SUZ1532" s="646"/>
      <c r="SVA1532" s="646"/>
      <c r="SVB1532" s="646"/>
      <c r="SVC1532" s="646"/>
      <c r="SVD1532" s="646"/>
      <c r="SVE1532" s="646"/>
      <c r="SVF1532" s="646"/>
      <c r="SVG1532" s="646"/>
      <c r="SVH1532" s="646"/>
      <c r="SVI1532" s="646"/>
      <c r="SVJ1532" s="646"/>
      <c r="SVK1532" s="646"/>
      <c r="SVL1532" s="646"/>
      <c r="SVM1532" s="646"/>
      <c r="SVN1532" s="646"/>
      <c r="SVO1532" s="646"/>
      <c r="SVP1532" s="646"/>
      <c r="SVQ1532" s="646"/>
      <c r="SVR1532" s="646"/>
      <c r="SVS1532" s="646"/>
      <c r="SVT1532" s="646"/>
      <c r="SVU1532" s="646"/>
      <c r="SVV1532" s="646"/>
      <c r="SVW1532" s="646"/>
      <c r="SVX1532" s="646"/>
      <c r="SVY1532" s="646"/>
      <c r="SVZ1532" s="646"/>
      <c r="SWA1532" s="646"/>
      <c r="SWB1532" s="646"/>
      <c r="SWC1532" s="646"/>
      <c r="SWD1532" s="646"/>
      <c r="SWE1532" s="646"/>
      <c r="SWF1532" s="646"/>
      <c r="SWG1532" s="646"/>
      <c r="SWH1532" s="646"/>
      <c r="SWI1532" s="646"/>
      <c r="SWJ1532" s="646"/>
      <c r="SWK1532" s="646"/>
      <c r="SWL1532" s="646"/>
      <c r="SWM1532" s="646"/>
      <c r="SWN1532" s="646"/>
      <c r="SWO1532" s="646"/>
      <c r="SWP1532" s="646"/>
      <c r="SWQ1532" s="646"/>
      <c r="SWR1532" s="646"/>
      <c r="SWS1532" s="646"/>
      <c r="SWT1532" s="646"/>
      <c r="SWU1532" s="646"/>
      <c r="SWV1532" s="646"/>
      <c r="SWW1532" s="646"/>
      <c r="SWX1532" s="646"/>
      <c r="SWY1532" s="646"/>
      <c r="SWZ1532" s="646"/>
      <c r="SXA1532" s="646"/>
      <c r="SXB1532" s="646"/>
      <c r="SXC1532" s="646"/>
      <c r="SXD1532" s="646"/>
      <c r="SXE1532" s="646"/>
      <c r="SXF1532" s="646"/>
      <c r="SXG1532" s="646"/>
      <c r="SXH1532" s="646"/>
      <c r="SXI1532" s="646"/>
      <c r="SXJ1532" s="646"/>
      <c r="SXK1532" s="646"/>
      <c r="SXL1532" s="646"/>
      <c r="SXM1532" s="646"/>
      <c r="SXN1532" s="646"/>
      <c r="SXO1532" s="646"/>
      <c r="SXP1532" s="646"/>
      <c r="SXQ1532" s="646"/>
      <c r="SXR1532" s="646"/>
      <c r="SXS1532" s="646"/>
      <c r="SXT1532" s="646"/>
      <c r="SXU1532" s="646"/>
      <c r="SXV1532" s="646"/>
      <c r="SXW1532" s="646"/>
      <c r="SXX1532" s="646"/>
      <c r="SXY1532" s="646"/>
      <c r="SXZ1532" s="646"/>
      <c r="SYA1532" s="646"/>
      <c r="SYB1532" s="646"/>
      <c r="SYC1532" s="646"/>
      <c r="SYD1532" s="646"/>
      <c r="SYE1532" s="646"/>
      <c r="SYF1532" s="646"/>
      <c r="SYG1532" s="646"/>
      <c r="SYH1532" s="646"/>
      <c r="SYI1532" s="646"/>
      <c r="SYJ1532" s="646"/>
      <c r="SYK1532" s="646"/>
      <c r="SYL1532" s="646"/>
      <c r="SYM1532" s="646"/>
      <c r="SYN1532" s="646"/>
      <c r="SYO1532" s="646"/>
      <c r="SYP1532" s="646"/>
      <c r="SYQ1532" s="646"/>
      <c r="SYR1532" s="646"/>
      <c r="SYS1532" s="646"/>
      <c r="SYT1532" s="646"/>
      <c r="SYU1532" s="646"/>
      <c r="SYV1532" s="646"/>
      <c r="SYW1532" s="646"/>
      <c r="SYX1532" s="646"/>
      <c r="SYY1532" s="646"/>
      <c r="SYZ1532" s="646"/>
      <c r="SZA1532" s="646"/>
      <c r="SZB1532" s="646"/>
      <c r="SZC1532" s="646"/>
      <c r="SZD1532" s="646"/>
      <c r="SZE1532" s="646"/>
      <c r="SZF1532" s="646"/>
      <c r="SZG1532" s="646"/>
      <c r="SZH1532" s="646"/>
      <c r="SZI1532" s="646"/>
      <c r="SZJ1532" s="646"/>
      <c r="SZK1532" s="646"/>
      <c r="SZL1532" s="646"/>
      <c r="SZM1532" s="646"/>
      <c r="SZN1532" s="646"/>
      <c r="SZO1532" s="646"/>
      <c r="SZP1532" s="646"/>
      <c r="SZQ1532" s="646"/>
      <c r="SZR1532" s="646"/>
      <c r="SZS1532" s="646"/>
      <c r="SZT1532" s="646"/>
      <c r="SZU1532" s="646"/>
      <c r="SZV1532" s="646"/>
      <c r="SZW1532" s="646"/>
      <c r="SZX1532" s="646"/>
      <c r="SZY1532" s="646"/>
      <c r="SZZ1532" s="646"/>
      <c r="TAA1532" s="646"/>
      <c r="TAB1532" s="646"/>
      <c r="TAC1532" s="646"/>
      <c r="TAD1532" s="646"/>
      <c r="TAE1532" s="646"/>
      <c r="TAF1532" s="646"/>
      <c r="TAG1532" s="646"/>
      <c r="TAH1532" s="646"/>
      <c r="TAI1532" s="646"/>
      <c r="TAJ1532" s="646"/>
      <c r="TAK1532" s="646"/>
      <c r="TAL1532" s="646"/>
      <c r="TAM1532" s="646"/>
      <c r="TAN1532" s="646"/>
      <c r="TAO1532" s="646"/>
      <c r="TAP1532" s="646"/>
      <c r="TAQ1532" s="646"/>
      <c r="TAR1532" s="646"/>
      <c r="TAS1532" s="646"/>
      <c r="TAT1532" s="646"/>
      <c r="TAU1532" s="646"/>
      <c r="TAV1532" s="646"/>
      <c r="TAW1532" s="646"/>
      <c r="TAX1532" s="646"/>
      <c r="TAY1532" s="646"/>
      <c r="TAZ1532" s="646"/>
      <c r="TBA1532" s="646"/>
      <c r="TBB1532" s="646"/>
      <c r="TBC1532" s="646"/>
      <c r="TBD1532" s="646"/>
      <c r="TBE1532" s="646"/>
      <c r="TBF1532" s="646"/>
      <c r="TBG1532" s="646"/>
      <c r="TBH1532" s="646"/>
      <c r="TBI1532" s="646"/>
      <c r="TBJ1532" s="646"/>
      <c r="TBK1532" s="646"/>
      <c r="TBL1532" s="646"/>
      <c r="TBM1532" s="646"/>
      <c r="TBN1532" s="646"/>
      <c r="TBO1532" s="646"/>
      <c r="TBP1532" s="646"/>
      <c r="TBQ1532" s="646"/>
      <c r="TBR1532" s="646"/>
      <c r="TBS1532" s="646"/>
      <c r="TBT1532" s="646"/>
      <c r="TBU1532" s="646"/>
      <c r="TBV1532" s="646"/>
      <c r="TBW1532" s="646"/>
      <c r="TBX1532" s="646"/>
      <c r="TBY1532" s="646"/>
      <c r="TBZ1532" s="646"/>
      <c r="TCA1532" s="646"/>
      <c r="TCB1532" s="646"/>
      <c r="TCC1532" s="646"/>
      <c r="TCD1532" s="646"/>
      <c r="TCE1532" s="646"/>
      <c r="TCF1532" s="646"/>
      <c r="TCG1532" s="646"/>
      <c r="TCH1532" s="646"/>
      <c r="TCI1532" s="646"/>
      <c r="TCJ1532" s="646"/>
      <c r="TCK1532" s="646"/>
      <c r="TCL1532" s="646"/>
      <c r="TCM1532" s="646"/>
      <c r="TCN1532" s="646"/>
      <c r="TCO1532" s="646"/>
      <c r="TCP1532" s="646"/>
      <c r="TCQ1532" s="646"/>
      <c r="TCR1532" s="646"/>
      <c r="TCS1532" s="646"/>
      <c r="TCT1532" s="646"/>
      <c r="TCU1532" s="646"/>
      <c r="TCV1532" s="646"/>
      <c r="TCW1532" s="646"/>
      <c r="TCX1532" s="646"/>
      <c r="TCY1532" s="646"/>
      <c r="TCZ1532" s="646"/>
      <c r="TDA1532" s="646"/>
      <c r="TDB1532" s="646"/>
      <c r="TDC1532" s="646"/>
      <c r="TDD1532" s="646"/>
      <c r="TDE1532" s="646"/>
      <c r="TDF1532" s="646"/>
      <c r="TDG1532" s="646"/>
      <c r="TDH1532" s="646"/>
      <c r="TDI1532" s="646"/>
      <c r="TDJ1532" s="646"/>
      <c r="TDK1532" s="646"/>
      <c r="TDL1532" s="646"/>
      <c r="TDM1532" s="646"/>
      <c r="TDN1532" s="646"/>
      <c r="TDO1532" s="646"/>
      <c r="TDP1532" s="646"/>
      <c r="TDQ1532" s="646"/>
      <c r="TDR1532" s="646"/>
      <c r="TDS1532" s="646"/>
      <c r="TDT1532" s="646"/>
      <c r="TDU1532" s="646"/>
      <c r="TDV1532" s="646"/>
      <c r="TDW1532" s="646"/>
      <c r="TDX1532" s="646"/>
      <c r="TDY1532" s="646"/>
      <c r="TDZ1532" s="646"/>
      <c r="TEA1532" s="646"/>
      <c r="TEB1532" s="646"/>
      <c r="TEC1532" s="646"/>
      <c r="TED1532" s="646"/>
      <c r="TEE1532" s="646"/>
      <c r="TEF1532" s="646"/>
      <c r="TEG1532" s="646"/>
      <c r="TEH1532" s="646"/>
      <c r="TEI1532" s="646"/>
      <c r="TEJ1532" s="646"/>
      <c r="TEK1532" s="646"/>
      <c r="TEL1532" s="646"/>
      <c r="TEM1532" s="646"/>
      <c r="TEN1532" s="646"/>
      <c r="TEO1532" s="646"/>
      <c r="TEP1532" s="646"/>
      <c r="TEQ1532" s="646"/>
      <c r="TER1532" s="646"/>
      <c r="TES1532" s="646"/>
      <c r="TET1532" s="646"/>
      <c r="TEU1532" s="646"/>
      <c r="TEV1532" s="646"/>
      <c r="TEW1532" s="646"/>
      <c r="TEX1532" s="646"/>
      <c r="TEY1532" s="646"/>
      <c r="TEZ1532" s="646"/>
      <c r="TFA1532" s="646"/>
      <c r="TFB1532" s="646"/>
      <c r="TFC1532" s="646"/>
      <c r="TFD1532" s="646"/>
      <c r="TFE1532" s="646"/>
      <c r="TFF1532" s="646"/>
      <c r="TFG1532" s="646"/>
      <c r="TFH1532" s="646"/>
      <c r="TFI1532" s="646"/>
      <c r="TFJ1532" s="646"/>
      <c r="TFK1532" s="646"/>
      <c r="TFL1532" s="646"/>
      <c r="TFM1532" s="646"/>
      <c r="TFN1532" s="646"/>
      <c r="TFO1532" s="646"/>
      <c r="TFP1532" s="646"/>
      <c r="TFQ1532" s="646"/>
      <c r="TFR1532" s="646"/>
      <c r="TFS1532" s="646"/>
      <c r="TFT1532" s="646"/>
      <c r="TFU1532" s="646"/>
      <c r="TFV1532" s="646"/>
      <c r="TFW1532" s="646"/>
      <c r="TFX1532" s="646"/>
      <c r="TFY1532" s="646"/>
      <c r="TFZ1532" s="646"/>
      <c r="TGA1532" s="646"/>
      <c r="TGB1532" s="646"/>
      <c r="TGC1532" s="646"/>
      <c r="TGD1532" s="646"/>
      <c r="TGE1532" s="646"/>
      <c r="TGF1532" s="646"/>
      <c r="TGG1532" s="646"/>
      <c r="TGH1532" s="646"/>
      <c r="TGI1532" s="646"/>
      <c r="TGJ1532" s="646"/>
      <c r="TGK1532" s="646"/>
      <c r="TGL1532" s="646"/>
      <c r="TGM1532" s="646"/>
      <c r="TGN1532" s="646"/>
      <c r="TGO1532" s="646"/>
      <c r="TGP1532" s="646"/>
      <c r="TGQ1532" s="646"/>
      <c r="TGR1532" s="646"/>
      <c r="TGS1532" s="646"/>
      <c r="TGT1532" s="646"/>
      <c r="TGU1532" s="646"/>
      <c r="TGV1532" s="646"/>
      <c r="TGW1532" s="646"/>
      <c r="TGX1532" s="646"/>
      <c r="TGY1532" s="646"/>
      <c r="TGZ1532" s="646"/>
      <c r="THA1532" s="646"/>
      <c r="THB1532" s="646"/>
      <c r="THC1532" s="646"/>
      <c r="THD1532" s="646"/>
      <c r="THE1532" s="646"/>
      <c r="THF1532" s="646"/>
      <c r="THG1532" s="646"/>
      <c r="THH1532" s="646"/>
      <c r="THI1532" s="646"/>
      <c r="THJ1532" s="646"/>
      <c r="THK1532" s="646"/>
      <c r="THL1532" s="646"/>
      <c r="THM1532" s="646"/>
      <c r="THN1532" s="646"/>
      <c r="THO1532" s="646"/>
      <c r="THP1532" s="646"/>
      <c r="THQ1532" s="646"/>
      <c r="THR1532" s="646"/>
      <c r="THS1532" s="646"/>
      <c r="THT1532" s="646"/>
      <c r="THU1532" s="646"/>
      <c r="THV1532" s="646"/>
      <c r="THW1532" s="646"/>
      <c r="THX1532" s="646"/>
      <c r="THY1532" s="646"/>
      <c r="THZ1532" s="646"/>
      <c r="TIA1532" s="646"/>
      <c r="TIB1532" s="646"/>
      <c r="TIC1532" s="646"/>
      <c r="TID1532" s="646"/>
      <c r="TIE1532" s="646"/>
      <c r="TIF1532" s="646"/>
      <c r="TIG1532" s="646"/>
      <c r="TIH1532" s="646"/>
      <c r="TII1532" s="646"/>
      <c r="TIJ1532" s="646"/>
      <c r="TIK1532" s="646"/>
      <c r="TIL1532" s="646"/>
      <c r="TIM1532" s="646"/>
      <c r="TIN1532" s="646"/>
      <c r="TIO1532" s="646"/>
      <c r="TIP1532" s="646"/>
      <c r="TIQ1532" s="646"/>
      <c r="TIR1532" s="646"/>
      <c r="TIS1532" s="646"/>
      <c r="TIT1532" s="646"/>
      <c r="TIU1532" s="646"/>
      <c r="TIV1532" s="646"/>
      <c r="TIW1532" s="646"/>
      <c r="TIX1532" s="646"/>
      <c r="TIY1532" s="646"/>
      <c r="TIZ1532" s="646"/>
      <c r="TJA1532" s="646"/>
      <c r="TJB1532" s="646"/>
      <c r="TJC1532" s="646"/>
      <c r="TJD1532" s="646"/>
      <c r="TJE1532" s="646"/>
      <c r="TJF1532" s="646"/>
      <c r="TJG1532" s="646"/>
      <c r="TJH1532" s="646"/>
      <c r="TJI1532" s="646"/>
      <c r="TJJ1532" s="646"/>
      <c r="TJK1532" s="646"/>
      <c r="TJL1532" s="646"/>
      <c r="TJM1532" s="646"/>
      <c r="TJN1532" s="646"/>
      <c r="TJO1532" s="646"/>
      <c r="TJP1532" s="646"/>
      <c r="TJQ1532" s="646"/>
      <c r="TJR1532" s="646"/>
      <c r="TJS1532" s="646"/>
      <c r="TJT1532" s="646"/>
      <c r="TJU1532" s="646"/>
      <c r="TJV1532" s="646"/>
      <c r="TJW1532" s="646"/>
      <c r="TJX1532" s="646"/>
      <c r="TJY1532" s="646"/>
      <c r="TJZ1532" s="646"/>
      <c r="TKA1532" s="646"/>
      <c r="TKB1532" s="646"/>
      <c r="TKC1532" s="646"/>
      <c r="TKD1532" s="646"/>
      <c r="TKE1532" s="646"/>
      <c r="TKF1532" s="646"/>
      <c r="TKG1532" s="646"/>
      <c r="TKH1532" s="646"/>
      <c r="TKI1532" s="646"/>
      <c r="TKJ1532" s="646"/>
      <c r="TKK1532" s="646"/>
      <c r="TKL1532" s="646"/>
      <c r="TKM1532" s="646"/>
      <c r="TKN1532" s="646"/>
      <c r="TKO1532" s="646"/>
      <c r="TKP1532" s="646"/>
      <c r="TKQ1532" s="646"/>
      <c r="TKR1532" s="646"/>
      <c r="TKS1532" s="646"/>
      <c r="TKT1532" s="646"/>
      <c r="TKU1532" s="646"/>
      <c r="TKV1532" s="646"/>
      <c r="TKW1532" s="646"/>
      <c r="TKX1532" s="646"/>
      <c r="TKY1532" s="646"/>
      <c r="TKZ1532" s="646"/>
      <c r="TLA1532" s="646"/>
      <c r="TLB1532" s="646"/>
      <c r="TLC1532" s="646"/>
      <c r="TLD1532" s="646"/>
      <c r="TLE1532" s="646"/>
      <c r="TLF1532" s="646"/>
      <c r="TLG1532" s="646"/>
      <c r="TLH1532" s="646"/>
      <c r="TLI1532" s="646"/>
      <c r="TLJ1532" s="646"/>
      <c r="TLK1532" s="646"/>
      <c r="TLL1532" s="646"/>
      <c r="TLM1532" s="646"/>
      <c r="TLN1532" s="646"/>
      <c r="TLO1532" s="646"/>
      <c r="TLP1532" s="646"/>
      <c r="TLQ1532" s="646"/>
      <c r="TLR1532" s="646"/>
      <c r="TLS1532" s="646"/>
      <c r="TLT1532" s="646"/>
      <c r="TLU1532" s="646"/>
      <c r="TLV1532" s="646"/>
      <c r="TLW1532" s="646"/>
      <c r="TLX1532" s="646"/>
      <c r="TLY1532" s="646"/>
      <c r="TLZ1532" s="646"/>
      <c r="TMA1532" s="646"/>
      <c r="TMB1532" s="646"/>
      <c r="TMC1532" s="646"/>
      <c r="TMD1532" s="646"/>
      <c r="TME1532" s="646"/>
      <c r="TMF1532" s="646"/>
      <c r="TMG1532" s="646"/>
      <c r="TMH1532" s="646"/>
      <c r="TMI1532" s="646"/>
      <c r="TMJ1532" s="646"/>
      <c r="TMK1532" s="646"/>
      <c r="TML1532" s="646"/>
      <c r="TMM1532" s="646"/>
      <c r="TMN1532" s="646"/>
      <c r="TMO1532" s="646"/>
      <c r="TMP1532" s="646"/>
      <c r="TMQ1532" s="646"/>
      <c r="TMR1532" s="646"/>
      <c r="TMS1532" s="646"/>
      <c r="TMT1532" s="646"/>
      <c r="TMU1532" s="646"/>
      <c r="TMV1532" s="646"/>
      <c r="TMW1532" s="646"/>
      <c r="TMX1532" s="646"/>
      <c r="TMY1532" s="646"/>
      <c r="TMZ1532" s="646"/>
      <c r="TNA1532" s="646"/>
      <c r="TNB1532" s="646"/>
      <c r="TNC1532" s="646"/>
      <c r="TND1532" s="646"/>
      <c r="TNE1532" s="646"/>
      <c r="TNF1532" s="646"/>
      <c r="TNG1532" s="646"/>
      <c r="TNH1532" s="646"/>
      <c r="TNI1532" s="646"/>
      <c r="TNJ1532" s="646"/>
      <c r="TNK1532" s="646"/>
      <c r="TNL1532" s="646"/>
      <c r="TNM1532" s="646"/>
      <c r="TNN1532" s="646"/>
      <c r="TNO1532" s="646"/>
      <c r="TNP1532" s="646"/>
      <c r="TNQ1532" s="646"/>
      <c r="TNR1532" s="646"/>
      <c r="TNS1532" s="646"/>
      <c r="TNT1532" s="646"/>
      <c r="TNU1532" s="646"/>
      <c r="TNV1532" s="646"/>
      <c r="TNW1532" s="646"/>
      <c r="TNX1532" s="646"/>
      <c r="TNY1532" s="646"/>
      <c r="TNZ1532" s="646"/>
      <c r="TOA1532" s="646"/>
      <c r="TOB1532" s="646"/>
      <c r="TOC1532" s="646"/>
      <c r="TOD1532" s="646"/>
      <c r="TOE1532" s="646"/>
      <c r="TOF1532" s="646"/>
      <c r="TOG1532" s="646"/>
      <c r="TOH1532" s="646"/>
      <c r="TOI1532" s="646"/>
      <c r="TOJ1532" s="646"/>
      <c r="TOK1532" s="646"/>
      <c r="TOL1532" s="646"/>
      <c r="TOM1532" s="646"/>
      <c r="TON1532" s="646"/>
      <c r="TOO1532" s="646"/>
      <c r="TOP1532" s="646"/>
      <c r="TOQ1532" s="646"/>
      <c r="TOR1532" s="646"/>
      <c r="TOS1532" s="646"/>
      <c r="TOT1532" s="646"/>
      <c r="TOU1532" s="646"/>
      <c r="TOV1532" s="646"/>
      <c r="TOW1532" s="646"/>
      <c r="TOX1532" s="646"/>
      <c r="TOY1532" s="646"/>
      <c r="TOZ1532" s="646"/>
      <c r="TPA1532" s="646"/>
      <c r="TPB1532" s="646"/>
      <c r="TPC1532" s="646"/>
      <c r="TPD1532" s="646"/>
      <c r="TPE1532" s="646"/>
      <c r="TPF1532" s="646"/>
      <c r="TPG1532" s="646"/>
      <c r="TPH1532" s="646"/>
      <c r="TPI1532" s="646"/>
      <c r="TPJ1532" s="646"/>
      <c r="TPK1532" s="646"/>
      <c r="TPL1532" s="646"/>
      <c r="TPM1532" s="646"/>
      <c r="TPN1532" s="646"/>
      <c r="TPO1532" s="646"/>
      <c r="TPP1532" s="646"/>
      <c r="TPQ1532" s="646"/>
      <c r="TPR1532" s="646"/>
      <c r="TPS1532" s="646"/>
      <c r="TPT1532" s="646"/>
      <c r="TPU1532" s="646"/>
      <c r="TPV1532" s="646"/>
      <c r="TPW1532" s="646"/>
      <c r="TPX1532" s="646"/>
      <c r="TPY1532" s="646"/>
      <c r="TPZ1532" s="646"/>
      <c r="TQA1532" s="646"/>
      <c r="TQB1532" s="646"/>
      <c r="TQC1532" s="646"/>
      <c r="TQD1532" s="646"/>
      <c r="TQE1532" s="646"/>
      <c r="TQF1532" s="646"/>
      <c r="TQG1532" s="646"/>
      <c r="TQH1532" s="646"/>
      <c r="TQI1532" s="646"/>
      <c r="TQJ1532" s="646"/>
      <c r="TQK1532" s="646"/>
      <c r="TQL1532" s="646"/>
      <c r="TQM1532" s="646"/>
      <c r="TQN1532" s="646"/>
      <c r="TQO1532" s="646"/>
      <c r="TQP1532" s="646"/>
      <c r="TQQ1532" s="646"/>
      <c r="TQR1532" s="646"/>
      <c r="TQS1532" s="646"/>
      <c r="TQT1532" s="646"/>
      <c r="TQU1532" s="646"/>
      <c r="TQV1532" s="646"/>
      <c r="TQW1532" s="646"/>
      <c r="TQX1532" s="646"/>
      <c r="TQY1532" s="646"/>
      <c r="TQZ1532" s="646"/>
      <c r="TRA1532" s="646"/>
      <c r="TRB1532" s="646"/>
      <c r="TRC1532" s="646"/>
      <c r="TRD1532" s="646"/>
      <c r="TRE1532" s="646"/>
      <c r="TRF1532" s="646"/>
      <c r="TRG1532" s="646"/>
      <c r="TRH1532" s="646"/>
      <c r="TRI1532" s="646"/>
      <c r="TRJ1532" s="646"/>
      <c r="TRK1532" s="646"/>
      <c r="TRL1532" s="646"/>
      <c r="TRM1532" s="646"/>
      <c r="TRN1532" s="646"/>
      <c r="TRO1532" s="646"/>
      <c r="TRP1532" s="646"/>
      <c r="TRQ1532" s="646"/>
      <c r="TRR1532" s="646"/>
      <c r="TRS1532" s="646"/>
      <c r="TRT1532" s="646"/>
      <c r="TRU1532" s="646"/>
      <c r="TRV1532" s="646"/>
      <c r="TRW1532" s="646"/>
      <c r="TRX1532" s="646"/>
      <c r="TRY1532" s="646"/>
      <c r="TRZ1532" s="646"/>
      <c r="TSA1532" s="646"/>
      <c r="TSB1532" s="646"/>
      <c r="TSC1532" s="646"/>
      <c r="TSD1532" s="646"/>
      <c r="TSE1532" s="646"/>
      <c r="TSF1532" s="646"/>
      <c r="TSG1532" s="646"/>
      <c r="TSH1532" s="646"/>
      <c r="TSI1532" s="646"/>
      <c r="TSJ1532" s="646"/>
      <c r="TSK1532" s="646"/>
      <c r="TSL1532" s="646"/>
      <c r="TSM1532" s="646"/>
      <c r="TSN1532" s="646"/>
      <c r="TSO1532" s="646"/>
      <c r="TSP1532" s="646"/>
      <c r="TSQ1532" s="646"/>
      <c r="TSR1532" s="646"/>
      <c r="TSS1532" s="646"/>
      <c r="TST1532" s="646"/>
      <c r="TSU1532" s="646"/>
      <c r="TSV1532" s="646"/>
      <c r="TSW1532" s="646"/>
      <c r="TSX1532" s="646"/>
      <c r="TSY1532" s="646"/>
      <c r="TSZ1532" s="646"/>
      <c r="TTA1532" s="646"/>
      <c r="TTB1532" s="646"/>
      <c r="TTC1532" s="646"/>
      <c r="TTD1532" s="646"/>
      <c r="TTE1532" s="646"/>
      <c r="TTF1532" s="646"/>
      <c r="TTG1532" s="646"/>
      <c r="TTH1532" s="646"/>
      <c r="TTI1532" s="646"/>
      <c r="TTJ1532" s="646"/>
      <c r="TTK1532" s="646"/>
      <c r="TTL1532" s="646"/>
      <c r="TTM1532" s="646"/>
      <c r="TTN1532" s="646"/>
      <c r="TTO1532" s="646"/>
      <c r="TTP1532" s="646"/>
      <c r="TTQ1532" s="646"/>
      <c r="TTR1532" s="646"/>
      <c r="TTS1532" s="646"/>
      <c r="TTT1532" s="646"/>
      <c r="TTU1532" s="646"/>
      <c r="TTV1532" s="646"/>
      <c r="TTW1532" s="646"/>
      <c r="TTX1532" s="646"/>
      <c r="TTY1532" s="646"/>
      <c r="TTZ1532" s="646"/>
      <c r="TUA1532" s="646"/>
      <c r="TUB1532" s="646"/>
      <c r="TUC1532" s="646"/>
      <c r="TUD1532" s="646"/>
      <c r="TUE1532" s="646"/>
      <c r="TUF1532" s="646"/>
      <c r="TUG1532" s="646"/>
      <c r="TUH1532" s="646"/>
      <c r="TUI1532" s="646"/>
      <c r="TUJ1532" s="646"/>
      <c r="TUK1532" s="646"/>
      <c r="TUL1532" s="646"/>
      <c r="TUM1532" s="646"/>
      <c r="TUN1532" s="646"/>
      <c r="TUO1532" s="646"/>
      <c r="TUP1532" s="646"/>
      <c r="TUQ1532" s="646"/>
      <c r="TUR1532" s="646"/>
      <c r="TUS1532" s="646"/>
      <c r="TUT1532" s="646"/>
      <c r="TUU1532" s="646"/>
      <c r="TUV1532" s="646"/>
      <c r="TUW1532" s="646"/>
      <c r="TUX1532" s="646"/>
      <c r="TUY1532" s="646"/>
      <c r="TUZ1532" s="646"/>
      <c r="TVA1532" s="646"/>
      <c r="TVB1532" s="646"/>
      <c r="TVC1532" s="646"/>
      <c r="TVD1532" s="646"/>
      <c r="TVE1532" s="646"/>
      <c r="TVF1532" s="646"/>
      <c r="TVG1532" s="646"/>
      <c r="TVH1532" s="646"/>
      <c r="TVI1532" s="646"/>
      <c r="TVJ1532" s="646"/>
      <c r="TVK1532" s="646"/>
      <c r="TVL1532" s="646"/>
      <c r="TVM1532" s="646"/>
      <c r="TVN1532" s="646"/>
      <c r="TVO1532" s="646"/>
      <c r="TVP1532" s="646"/>
      <c r="TVQ1532" s="646"/>
      <c r="TVR1532" s="646"/>
      <c r="TVS1532" s="646"/>
      <c r="TVT1532" s="646"/>
      <c r="TVU1532" s="646"/>
      <c r="TVV1532" s="646"/>
      <c r="TVW1532" s="646"/>
      <c r="TVX1532" s="646"/>
      <c r="TVY1532" s="646"/>
      <c r="TVZ1532" s="646"/>
      <c r="TWA1532" s="646"/>
      <c r="TWB1532" s="646"/>
      <c r="TWC1532" s="646"/>
      <c r="TWD1532" s="646"/>
      <c r="TWE1532" s="646"/>
      <c r="TWF1532" s="646"/>
      <c r="TWG1532" s="646"/>
      <c r="TWH1532" s="646"/>
      <c r="TWI1532" s="646"/>
      <c r="TWJ1532" s="646"/>
      <c r="TWK1532" s="646"/>
      <c r="TWL1532" s="646"/>
      <c r="TWM1532" s="646"/>
      <c r="TWN1532" s="646"/>
      <c r="TWO1532" s="646"/>
      <c r="TWP1532" s="646"/>
      <c r="TWQ1532" s="646"/>
      <c r="TWR1532" s="646"/>
      <c r="TWS1532" s="646"/>
      <c r="TWT1532" s="646"/>
      <c r="TWU1532" s="646"/>
      <c r="TWV1532" s="646"/>
      <c r="TWW1532" s="646"/>
      <c r="TWX1532" s="646"/>
      <c r="TWY1532" s="646"/>
      <c r="TWZ1532" s="646"/>
      <c r="TXA1532" s="646"/>
      <c r="TXB1532" s="646"/>
      <c r="TXC1532" s="646"/>
      <c r="TXD1532" s="646"/>
      <c r="TXE1532" s="646"/>
      <c r="TXF1532" s="646"/>
      <c r="TXG1532" s="646"/>
      <c r="TXH1532" s="646"/>
      <c r="TXI1532" s="646"/>
      <c r="TXJ1532" s="646"/>
      <c r="TXK1532" s="646"/>
      <c r="TXL1532" s="646"/>
      <c r="TXM1532" s="646"/>
      <c r="TXN1532" s="646"/>
      <c r="TXO1532" s="646"/>
      <c r="TXP1532" s="646"/>
      <c r="TXQ1532" s="646"/>
      <c r="TXR1532" s="646"/>
      <c r="TXS1532" s="646"/>
      <c r="TXT1532" s="646"/>
      <c r="TXU1532" s="646"/>
      <c r="TXV1532" s="646"/>
      <c r="TXW1532" s="646"/>
      <c r="TXX1532" s="646"/>
      <c r="TXY1532" s="646"/>
      <c r="TXZ1532" s="646"/>
      <c r="TYA1532" s="646"/>
      <c r="TYB1532" s="646"/>
      <c r="TYC1532" s="646"/>
      <c r="TYD1532" s="646"/>
      <c r="TYE1532" s="646"/>
      <c r="TYF1532" s="646"/>
      <c r="TYG1532" s="646"/>
      <c r="TYH1532" s="646"/>
      <c r="TYI1532" s="646"/>
      <c r="TYJ1532" s="646"/>
      <c r="TYK1532" s="646"/>
      <c r="TYL1532" s="646"/>
      <c r="TYM1532" s="646"/>
      <c r="TYN1532" s="646"/>
      <c r="TYO1532" s="646"/>
      <c r="TYP1532" s="646"/>
      <c r="TYQ1532" s="646"/>
      <c r="TYR1532" s="646"/>
      <c r="TYS1532" s="646"/>
      <c r="TYT1532" s="646"/>
      <c r="TYU1532" s="646"/>
      <c r="TYV1532" s="646"/>
      <c r="TYW1532" s="646"/>
      <c r="TYX1532" s="646"/>
      <c r="TYY1532" s="646"/>
      <c r="TYZ1532" s="646"/>
      <c r="TZA1532" s="646"/>
      <c r="TZB1532" s="646"/>
      <c r="TZC1532" s="646"/>
      <c r="TZD1532" s="646"/>
      <c r="TZE1532" s="646"/>
      <c r="TZF1532" s="646"/>
      <c r="TZG1532" s="646"/>
      <c r="TZH1532" s="646"/>
      <c r="TZI1532" s="646"/>
      <c r="TZJ1532" s="646"/>
      <c r="TZK1532" s="646"/>
      <c r="TZL1532" s="646"/>
      <c r="TZM1532" s="646"/>
      <c r="TZN1532" s="646"/>
      <c r="TZO1532" s="646"/>
      <c r="TZP1532" s="646"/>
      <c r="TZQ1532" s="646"/>
      <c r="TZR1532" s="646"/>
      <c r="TZS1532" s="646"/>
      <c r="TZT1532" s="646"/>
      <c r="TZU1532" s="646"/>
      <c r="TZV1532" s="646"/>
      <c r="TZW1532" s="646"/>
      <c r="TZX1532" s="646"/>
      <c r="TZY1532" s="646"/>
      <c r="TZZ1532" s="646"/>
      <c r="UAA1532" s="646"/>
      <c r="UAB1532" s="646"/>
      <c r="UAC1532" s="646"/>
      <c r="UAD1532" s="646"/>
      <c r="UAE1532" s="646"/>
      <c r="UAF1532" s="646"/>
      <c r="UAG1532" s="646"/>
      <c r="UAH1532" s="646"/>
      <c r="UAI1532" s="646"/>
      <c r="UAJ1532" s="646"/>
      <c r="UAK1532" s="646"/>
      <c r="UAL1532" s="646"/>
      <c r="UAM1532" s="646"/>
      <c r="UAN1532" s="646"/>
      <c r="UAO1532" s="646"/>
      <c r="UAP1532" s="646"/>
      <c r="UAQ1532" s="646"/>
      <c r="UAR1532" s="646"/>
      <c r="UAS1532" s="646"/>
      <c r="UAT1532" s="646"/>
      <c r="UAU1532" s="646"/>
      <c r="UAV1532" s="646"/>
      <c r="UAW1532" s="646"/>
      <c r="UAX1532" s="646"/>
      <c r="UAY1532" s="646"/>
      <c r="UAZ1532" s="646"/>
      <c r="UBA1532" s="646"/>
      <c r="UBB1532" s="646"/>
      <c r="UBC1532" s="646"/>
      <c r="UBD1532" s="646"/>
      <c r="UBE1532" s="646"/>
      <c r="UBF1532" s="646"/>
      <c r="UBG1532" s="646"/>
      <c r="UBH1532" s="646"/>
      <c r="UBI1532" s="646"/>
      <c r="UBJ1532" s="646"/>
      <c r="UBK1532" s="646"/>
      <c r="UBL1532" s="646"/>
      <c r="UBM1532" s="646"/>
      <c r="UBN1532" s="646"/>
      <c r="UBO1532" s="646"/>
      <c r="UBP1532" s="646"/>
      <c r="UBQ1532" s="646"/>
      <c r="UBR1532" s="646"/>
      <c r="UBS1532" s="646"/>
      <c r="UBT1532" s="646"/>
      <c r="UBU1532" s="646"/>
      <c r="UBV1532" s="646"/>
      <c r="UBW1532" s="646"/>
      <c r="UBX1532" s="646"/>
      <c r="UBY1532" s="646"/>
      <c r="UBZ1532" s="646"/>
      <c r="UCA1532" s="646"/>
      <c r="UCB1532" s="646"/>
      <c r="UCC1532" s="646"/>
      <c r="UCD1532" s="646"/>
      <c r="UCE1532" s="646"/>
      <c r="UCF1532" s="646"/>
      <c r="UCG1532" s="646"/>
      <c r="UCH1532" s="646"/>
      <c r="UCI1532" s="646"/>
      <c r="UCJ1532" s="646"/>
      <c r="UCK1532" s="646"/>
      <c r="UCL1532" s="646"/>
      <c r="UCM1532" s="646"/>
      <c r="UCN1532" s="646"/>
      <c r="UCO1532" s="646"/>
      <c r="UCP1532" s="646"/>
      <c r="UCQ1532" s="646"/>
      <c r="UCR1532" s="646"/>
      <c r="UCS1532" s="646"/>
      <c r="UCT1532" s="646"/>
      <c r="UCU1532" s="646"/>
      <c r="UCV1532" s="646"/>
      <c r="UCW1532" s="646"/>
      <c r="UCX1532" s="646"/>
      <c r="UCY1532" s="646"/>
      <c r="UCZ1532" s="646"/>
      <c r="UDA1532" s="646"/>
      <c r="UDB1532" s="646"/>
      <c r="UDC1532" s="646"/>
      <c r="UDD1532" s="646"/>
      <c r="UDE1532" s="646"/>
      <c r="UDF1532" s="646"/>
      <c r="UDG1532" s="646"/>
      <c r="UDH1532" s="646"/>
      <c r="UDI1532" s="646"/>
      <c r="UDJ1532" s="646"/>
      <c r="UDK1532" s="646"/>
      <c r="UDL1532" s="646"/>
      <c r="UDM1532" s="646"/>
      <c r="UDN1532" s="646"/>
      <c r="UDO1532" s="646"/>
      <c r="UDP1532" s="646"/>
      <c r="UDQ1532" s="646"/>
      <c r="UDR1532" s="646"/>
      <c r="UDS1532" s="646"/>
      <c r="UDT1532" s="646"/>
      <c r="UDU1532" s="646"/>
      <c r="UDV1532" s="646"/>
      <c r="UDW1532" s="646"/>
      <c r="UDX1532" s="646"/>
      <c r="UDY1532" s="646"/>
      <c r="UDZ1532" s="646"/>
      <c r="UEA1532" s="646"/>
      <c r="UEB1532" s="646"/>
      <c r="UEC1532" s="646"/>
      <c r="UED1532" s="646"/>
      <c r="UEE1532" s="646"/>
      <c r="UEF1532" s="646"/>
      <c r="UEG1532" s="646"/>
      <c r="UEH1532" s="646"/>
      <c r="UEI1532" s="646"/>
      <c r="UEJ1532" s="646"/>
      <c r="UEK1532" s="646"/>
      <c r="UEL1532" s="646"/>
      <c r="UEM1532" s="646"/>
      <c r="UEN1532" s="646"/>
      <c r="UEO1532" s="646"/>
      <c r="UEP1532" s="646"/>
      <c r="UEQ1532" s="646"/>
      <c r="UER1532" s="646"/>
      <c r="UES1532" s="646"/>
      <c r="UET1532" s="646"/>
      <c r="UEU1532" s="646"/>
      <c r="UEV1532" s="646"/>
      <c r="UEW1532" s="646"/>
      <c r="UEX1532" s="646"/>
      <c r="UEY1532" s="646"/>
      <c r="UEZ1532" s="646"/>
      <c r="UFA1532" s="646"/>
      <c r="UFB1532" s="646"/>
      <c r="UFC1532" s="646"/>
      <c r="UFD1532" s="646"/>
      <c r="UFE1532" s="646"/>
      <c r="UFF1532" s="646"/>
      <c r="UFG1532" s="646"/>
      <c r="UFH1532" s="646"/>
      <c r="UFI1532" s="646"/>
      <c r="UFJ1532" s="646"/>
      <c r="UFK1532" s="646"/>
      <c r="UFL1532" s="646"/>
      <c r="UFM1532" s="646"/>
      <c r="UFN1532" s="646"/>
      <c r="UFO1532" s="646"/>
      <c r="UFP1532" s="646"/>
      <c r="UFQ1532" s="646"/>
      <c r="UFR1532" s="646"/>
      <c r="UFS1532" s="646"/>
      <c r="UFT1532" s="646"/>
      <c r="UFU1532" s="646"/>
      <c r="UFV1532" s="646"/>
      <c r="UFW1532" s="646"/>
      <c r="UFX1532" s="646"/>
      <c r="UFY1532" s="646"/>
      <c r="UFZ1532" s="646"/>
      <c r="UGA1532" s="646"/>
      <c r="UGB1532" s="646"/>
      <c r="UGC1532" s="646"/>
      <c r="UGD1532" s="646"/>
      <c r="UGE1532" s="646"/>
      <c r="UGF1532" s="646"/>
      <c r="UGG1532" s="646"/>
      <c r="UGH1532" s="646"/>
      <c r="UGI1532" s="646"/>
      <c r="UGJ1532" s="646"/>
      <c r="UGK1532" s="646"/>
      <c r="UGL1532" s="646"/>
      <c r="UGM1532" s="646"/>
      <c r="UGN1532" s="646"/>
      <c r="UGO1532" s="646"/>
      <c r="UGP1532" s="646"/>
      <c r="UGQ1532" s="646"/>
      <c r="UGR1532" s="646"/>
      <c r="UGS1532" s="646"/>
      <c r="UGT1532" s="646"/>
      <c r="UGU1532" s="646"/>
      <c r="UGV1532" s="646"/>
      <c r="UGW1532" s="646"/>
      <c r="UGX1532" s="646"/>
      <c r="UGY1532" s="646"/>
      <c r="UGZ1532" s="646"/>
      <c r="UHA1532" s="646"/>
      <c r="UHB1532" s="646"/>
      <c r="UHC1532" s="646"/>
      <c r="UHD1532" s="646"/>
      <c r="UHE1532" s="646"/>
      <c r="UHF1532" s="646"/>
      <c r="UHG1532" s="646"/>
      <c r="UHH1532" s="646"/>
      <c r="UHI1532" s="646"/>
      <c r="UHJ1532" s="646"/>
      <c r="UHK1532" s="646"/>
      <c r="UHL1532" s="646"/>
      <c r="UHM1532" s="646"/>
      <c r="UHN1532" s="646"/>
      <c r="UHO1532" s="646"/>
      <c r="UHP1532" s="646"/>
      <c r="UHQ1532" s="646"/>
      <c r="UHR1532" s="646"/>
      <c r="UHS1532" s="646"/>
      <c r="UHT1532" s="646"/>
      <c r="UHU1532" s="646"/>
      <c r="UHV1532" s="646"/>
      <c r="UHW1532" s="646"/>
      <c r="UHX1532" s="646"/>
      <c r="UHY1532" s="646"/>
      <c r="UHZ1532" s="646"/>
      <c r="UIA1532" s="646"/>
      <c r="UIB1532" s="646"/>
      <c r="UIC1532" s="646"/>
      <c r="UID1532" s="646"/>
      <c r="UIE1532" s="646"/>
      <c r="UIF1532" s="646"/>
      <c r="UIG1532" s="646"/>
      <c r="UIH1532" s="646"/>
      <c r="UII1532" s="646"/>
      <c r="UIJ1532" s="646"/>
      <c r="UIK1532" s="646"/>
      <c r="UIL1532" s="646"/>
      <c r="UIM1532" s="646"/>
      <c r="UIN1532" s="646"/>
      <c r="UIO1532" s="646"/>
      <c r="UIP1532" s="646"/>
      <c r="UIQ1532" s="646"/>
      <c r="UIR1532" s="646"/>
      <c r="UIS1532" s="646"/>
      <c r="UIT1532" s="646"/>
      <c r="UIU1532" s="646"/>
      <c r="UIV1532" s="646"/>
      <c r="UIW1532" s="646"/>
      <c r="UIX1532" s="646"/>
      <c r="UIY1532" s="646"/>
      <c r="UIZ1532" s="646"/>
      <c r="UJA1532" s="646"/>
      <c r="UJB1532" s="646"/>
      <c r="UJC1532" s="646"/>
      <c r="UJD1532" s="646"/>
      <c r="UJE1532" s="646"/>
      <c r="UJF1532" s="646"/>
      <c r="UJG1532" s="646"/>
      <c r="UJH1532" s="646"/>
      <c r="UJI1532" s="646"/>
      <c r="UJJ1532" s="646"/>
      <c r="UJK1532" s="646"/>
      <c r="UJL1532" s="646"/>
      <c r="UJM1532" s="646"/>
      <c r="UJN1532" s="646"/>
      <c r="UJO1532" s="646"/>
      <c r="UJP1532" s="646"/>
      <c r="UJQ1532" s="646"/>
      <c r="UJR1532" s="646"/>
      <c r="UJS1532" s="646"/>
      <c r="UJT1532" s="646"/>
      <c r="UJU1532" s="646"/>
      <c r="UJV1532" s="646"/>
      <c r="UJW1532" s="646"/>
      <c r="UJX1532" s="646"/>
      <c r="UJY1532" s="646"/>
      <c r="UJZ1532" s="646"/>
      <c r="UKA1532" s="646"/>
      <c r="UKB1532" s="646"/>
      <c r="UKC1532" s="646"/>
      <c r="UKD1532" s="646"/>
      <c r="UKE1532" s="646"/>
      <c r="UKF1532" s="646"/>
      <c r="UKG1532" s="646"/>
      <c r="UKH1532" s="646"/>
      <c r="UKI1532" s="646"/>
      <c r="UKJ1532" s="646"/>
      <c r="UKK1532" s="646"/>
      <c r="UKL1532" s="646"/>
      <c r="UKM1532" s="646"/>
      <c r="UKN1532" s="646"/>
      <c r="UKO1532" s="646"/>
      <c r="UKP1532" s="646"/>
      <c r="UKQ1532" s="646"/>
      <c r="UKR1532" s="646"/>
      <c r="UKS1532" s="646"/>
      <c r="UKT1532" s="646"/>
      <c r="UKU1532" s="646"/>
      <c r="UKV1532" s="646"/>
      <c r="UKW1532" s="646"/>
      <c r="UKX1532" s="646"/>
      <c r="UKY1532" s="646"/>
      <c r="UKZ1532" s="646"/>
      <c r="ULA1532" s="646"/>
      <c r="ULB1532" s="646"/>
      <c r="ULC1532" s="646"/>
      <c r="ULD1532" s="646"/>
      <c r="ULE1532" s="646"/>
      <c r="ULF1532" s="646"/>
      <c r="ULG1532" s="646"/>
      <c r="ULH1532" s="646"/>
      <c r="ULI1532" s="646"/>
      <c r="ULJ1532" s="646"/>
      <c r="ULK1532" s="646"/>
      <c r="ULL1532" s="646"/>
      <c r="ULM1532" s="646"/>
      <c r="ULN1532" s="646"/>
      <c r="ULO1532" s="646"/>
      <c r="ULP1532" s="646"/>
      <c r="ULQ1532" s="646"/>
      <c r="ULR1532" s="646"/>
      <c r="ULS1532" s="646"/>
      <c r="ULT1532" s="646"/>
      <c r="ULU1532" s="646"/>
      <c r="ULV1532" s="646"/>
      <c r="ULW1532" s="646"/>
      <c r="ULX1532" s="646"/>
      <c r="ULY1532" s="646"/>
      <c r="ULZ1532" s="646"/>
      <c r="UMA1532" s="646"/>
      <c r="UMB1532" s="646"/>
      <c r="UMC1532" s="646"/>
      <c r="UMD1532" s="646"/>
      <c r="UME1532" s="646"/>
      <c r="UMF1532" s="646"/>
      <c r="UMG1532" s="646"/>
      <c r="UMH1532" s="646"/>
      <c r="UMI1532" s="646"/>
      <c r="UMJ1532" s="646"/>
      <c r="UMK1532" s="646"/>
      <c r="UML1532" s="646"/>
      <c r="UMM1532" s="646"/>
      <c r="UMN1532" s="646"/>
      <c r="UMO1532" s="646"/>
      <c r="UMP1532" s="646"/>
      <c r="UMQ1532" s="646"/>
      <c r="UMR1532" s="646"/>
      <c r="UMS1532" s="646"/>
      <c r="UMT1532" s="646"/>
      <c r="UMU1532" s="646"/>
      <c r="UMV1532" s="646"/>
      <c r="UMW1532" s="646"/>
      <c r="UMX1532" s="646"/>
      <c r="UMY1532" s="646"/>
      <c r="UMZ1532" s="646"/>
      <c r="UNA1532" s="646"/>
      <c r="UNB1532" s="646"/>
      <c r="UNC1532" s="646"/>
      <c r="UND1532" s="646"/>
      <c r="UNE1532" s="646"/>
      <c r="UNF1532" s="646"/>
      <c r="UNG1532" s="646"/>
      <c r="UNH1532" s="646"/>
      <c r="UNI1532" s="646"/>
      <c r="UNJ1532" s="646"/>
      <c r="UNK1532" s="646"/>
      <c r="UNL1532" s="646"/>
      <c r="UNM1532" s="646"/>
      <c r="UNN1532" s="646"/>
      <c r="UNO1532" s="646"/>
      <c r="UNP1532" s="646"/>
      <c r="UNQ1532" s="646"/>
      <c r="UNR1532" s="646"/>
      <c r="UNS1532" s="646"/>
      <c r="UNT1532" s="646"/>
      <c r="UNU1532" s="646"/>
      <c r="UNV1532" s="646"/>
      <c r="UNW1532" s="646"/>
      <c r="UNX1532" s="646"/>
      <c r="UNY1532" s="646"/>
      <c r="UNZ1532" s="646"/>
      <c r="UOA1532" s="646"/>
      <c r="UOB1532" s="646"/>
      <c r="UOC1532" s="646"/>
      <c r="UOD1532" s="646"/>
      <c r="UOE1532" s="646"/>
      <c r="UOF1532" s="646"/>
      <c r="UOG1532" s="646"/>
      <c r="UOH1532" s="646"/>
      <c r="UOI1532" s="646"/>
      <c r="UOJ1532" s="646"/>
      <c r="UOK1532" s="646"/>
      <c r="UOL1532" s="646"/>
      <c r="UOM1532" s="646"/>
      <c r="UON1532" s="646"/>
      <c r="UOO1532" s="646"/>
      <c r="UOP1532" s="646"/>
      <c r="UOQ1532" s="646"/>
      <c r="UOR1532" s="646"/>
      <c r="UOS1532" s="646"/>
      <c r="UOT1532" s="646"/>
      <c r="UOU1532" s="646"/>
      <c r="UOV1532" s="646"/>
      <c r="UOW1532" s="646"/>
      <c r="UOX1532" s="646"/>
      <c r="UOY1532" s="646"/>
      <c r="UOZ1532" s="646"/>
      <c r="UPA1532" s="646"/>
      <c r="UPB1532" s="646"/>
      <c r="UPC1532" s="646"/>
      <c r="UPD1532" s="646"/>
      <c r="UPE1532" s="646"/>
      <c r="UPF1532" s="646"/>
      <c r="UPG1532" s="646"/>
      <c r="UPH1532" s="646"/>
      <c r="UPI1532" s="646"/>
      <c r="UPJ1532" s="646"/>
      <c r="UPK1532" s="646"/>
      <c r="UPL1532" s="646"/>
      <c r="UPM1532" s="646"/>
      <c r="UPN1532" s="646"/>
      <c r="UPO1532" s="646"/>
      <c r="UPP1532" s="646"/>
      <c r="UPQ1532" s="646"/>
      <c r="UPR1532" s="646"/>
      <c r="UPS1532" s="646"/>
      <c r="UPT1532" s="646"/>
      <c r="UPU1532" s="646"/>
      <c r="UPV1532" s="646"/>
      <c r="UPW1532" s="646"/>
      <c r="UPX1532" s="646"/>
      <c r="UPY1532" s="646"/>
      <c r="UPZ1532" s="646"/>
      <c r="UQA1532" s="646"/>
      <c r="UQB1532" s="646"/>
      <c r="UQC1532" s="646"/>
      <c r="UQD1532" s="646"/>
      <c r="UQE1532" s="646"/>
      <c r="UQF1532" s="646"/>
      <c r="UQG1532" s="646"/>
      <c r="UQH1532" s="646"/>
      <c r="UQI1532" s="646"/>
      <c r="UQJ1532" s="646"/>
      <c r="UQK1532" s="646"/>
      <c r="UQL1532" s="646"/>
      <c r="UQM1532" s="646"/>
      <c r="UQN1532" s="646"/>
      <c r="UQO1532" s="646"/>
      <c r="UQP1532" s="646"/>
      <c r="UQQ1532" s="646"/>
      <c r="UQR1532" s="646"/>
      <c r="UQS1532" s="646"/>
      <c r="UQT1532" s="646"/>
      <c r="UQU1532" s="646"/>
      <c r="UQV1532" s="646"/>
      <c r="UQW1532" s="646"/>
      <c r="UQX1532" s="646"/>
      <c r="UQY1532" s="646"/>
      <c r="UQZ1532" s="646"/>
      <c r="URA1532" s="646"/>
      <c r="URB1532" s="646"/>
      <c r="URC1532" s="646"/>
      <c r="URD1532" s="646"/>
      <c r="URE1532" s="646"/>
      <c r="URF1532" s="646"/>
      <c r="URG1532" s="646"/>
      <c r="URH1532" s="646"/>
      <c r="URI1532" s="646"/>
      <c r="URJ1532" s="646"/>
      <c r="URK1532" s="646"/>
      <c r="URL1532" s="646"/>
      <c r="URM1532" s="646"/>
      <c r="URN1532" s="646"/>
      <c r="URO1532" s="646"/>
      <c r="URP1532" s="646"/>
      <c r="URQ1532" s="646"/>
      <c r="URR1532" s="646"/>
      <c r="URS1532" s="646"/>
      <c r="URT1532" s="646"/>
      <c r="URU1532" s="646"/>
      <c r="URV1532" s="646"/>
      <c r="URW1532" s="646"/>
      <c r="URX1532" s="646"/>
      <c r="URY1532" s="646"/>
      <c r="URZ1532" s="646"/>
      <c r="USA1532" s="646"/>
      <c r="USB1532" s="646"/>
      <c r="USC1532" s="646"/>
      <c r="USD1532" s="646"/>
      <c r="USE1532" s="646"/>
      <c r="USF1532" s="646"/>
      <c r="USG1532" s="646"/>
      <c r="USH1532" s="646"/>
      <c r="USI1532" s="646"/>
      <c r="USJ1532" s="646"/>
      <c r="USK1532" s="646"/>
      <c r="USL1532" s="646"/>
      <c r="USM1532" s="646"/>
      <c r="USN1532" s="646"/>
      <c r="USO1532" s="646"/>
      <c r="USP1532" s="646"/>
      <c r="USQ1532" s="646"/>
      <c r="USR1532" s="646"/>
      <c r="USS1532" s="646"/>
      <c r="UST1532" s="646"/>
      <c r="USU1532" s="646"/>
      <c r="USV1532" s="646"/>
      <c r="USW1532" s="646"/>
      <c r="USX1532" s="646"/>
      <c r="USY1532" s="646"/>
      <c r="USZ1532" s="646"/>
      <c r="UTA1532" s="646"/>
      <c r="UTB1532" s="646"/>
      <c r="UTC1532" s="646"/>
      <c r="UTD1532" s="646"/>
      <c r="UTE1532" s="646"/>
      <c r="UTF1532" s="646"/>
      <c r="UTG1532" s="646"/>
      <c r="UTH1532" s="646"/>
      <c r="UTI1532" s="646"/>
      <c r="UTJ1532" s="646"/>
      <c r="UTK1532" s="646"/>
      <c r="UTL1532" s="646"/>
      <c r="UTM1532" s="646"/>
      <c r="UTN1532" s="646"/>
      <c r="UTO1532" s="646"/>
      <c r="UTP1532" s="646"/>
      <c r="UTQ1532" s="646"/>
      <c r="UTR1532" s="646"/>
      <c r="UTS1532" s="646"/>
      <c r="UTT1532" s="646"/>
      <c r="UTU1532" s="646"/>
      <c r="UTV1532" s="646"/>
      <c r="UTW1532" s="646"/>
      <c r="UTX1532" s="646"/>
      <c r="UTY1532" s="646"/>
      <c r="UTZ1532" s="646"/>
      <c r="UUA1532" s="646"/>
      <c r="UUB1532" s="646"/>
      <c r="UUC1532" s="646"/>
      <c r="UUD1532" s="646"/>
      <c r="UUE1532" s="646"/>
      <c r="UUF1532" s="646"/>
      <c r="UUG1532" s="646"/>
      <c r="UUH1532" s="646"/>
      <c r="UUI1532" s="646"/>
      <c r="UUJ1532" s="646"/>
      <c r="UUK1532" s="646"/>
      <c r="UUL1532" s="646"/>
      <c r="UUM1532" s="646"/>
      <c r="UUN1532" s="646"/>
      <c r="UUO1532" s="646"/>
      <c r="UUP1532" s="646"/>
      <c r="UUQ1532" s="646"/>
      <c r="UUR1532" s="646"/>
      <c r="UUS1532" s="646"/>
      <c r="UUT1532" s="646"/>
      <c r="UUU1532" s="646"/>
      <c r="UUV1532" s="646"/>
      <c r="UUW1532" s="646"/>
      <c r="UUX1532" s="646"/>
      <c r="UUY1532" s="646"/>
      <c r="UUZ1532" s="646"/>
      <c r="UVA1532" s="646"/>
      <c r="UVB1532" s="646"/>
      <c r="UVC1532" s="646"/>
      <c r="UVD1532" s="646"/>
      <c r="UVE1532" s="646"/>
      <c r="UVF1532" s="646"/>
      <c r="UVG1532" s="646"/>
      <c r="UVH1532" s="646"/>
      <c r="UVI1532" s="646"/>
      <c r="UVJ1532" s="646"/>
      <c r="UVK1532" s="646"/>
      <c r="UVL1532" s="646"/>
      <c r="UVM1532" s="646"/>
      <c r="UVN1532" s="646"/>
      <c r="UVO1532" s="646"/>
      <c r="UVP1532" s="646"/>
      <c r="UVQ1532" s="646"/>
      <c r="UVR1532" s="646"/>
      <c r="UVS1532" s="646"/>
      <c r="UVT1532" s="646"/>
      <c r="UVU1532" s="646"/>
      <c r="UVV1532" s="646"/>
      <c r="UVW1532" s="646"/>
      <c r="UVX1532" s="646"/>
      <c r="UVY1532" s="646"/>
      <c r="UVZ1532" s="646"/>
      <c r="UWA1532" s="646"/>
      <c r="UWB1532" s="646"/>
      <c r="UWC1532" s="646"/>
      <c r="UWD1532" s="646"/>
      <c r="UWE1532" s="646"/>
      <c r="UWF1532" s="646"/>
      <c r="UWG1532" s="646"/>
      <c r="UWH1532" s="646"/>
      <c r="UWI1532" s="646"/>
      <c r="UWJ1532" s="646"/>
      <c r="UWK1532" s="646"/>
      <c r="UWL1532" s="646"/>
      <c r="UWM1532" s="646"/>
      <c r="UWN1532" s="646"/>
      <c r="UWO1532" s="646"/>
      <c r="UWP1532" s="646"/>
      <c r="UWQ1532" s="646"/>
      <c r="UWR1532" s="646"/>
      <c r="UWS1532" s="646"/>
      <c r="UWT1532" s="646"/>
      <c r="UWU1532" s="646"/>
      <c r="UWV1532" s="646"/>
      <c r="UWW1532" s="646"/>
      <c r="UWX1532" s="646"/>
      <c r="UWY1532" s="646"/>
      <c r="UWZ1532" s="646"/>
      <c r="UXA1532" s="646"/>
      <c r="UXB1532" s="646"/>
      <c r="UXC1532" s="646"/>
      <c r="UXD1532" s="646"/>
      <c r="UXE1532" s="646"/>
      <c r="UXF1532" s="646"/>
      <c r="UXG1532" s="646"/>
      <c r="UXH1532" s="646"/>
      <c r="UXI1532" s="646"/>
      <c r="UXJ1532" s="646"/>
      <c r="UXK1532" s="646"/>
      <c r="UXL1532" s="646"/>
      <c r="UXM1532" s="646"/>
      <c r="UXN1532" s="646"/>
      <c r="UXO1532" s="646"/>
      <c r="UXP1532" s="646"/>
      <c r="UXQ1532" s="646"/>
      <c r="UXR1532" s="646"/>
      <c r="UXS1532" s="646"/>
      <c r="UXT1532" s="646"/>
      <c r="UXU1532" s="646"/>
      <c r="UXV1532" s="646"/>
      <c r="UXW1532" s="646"/>
      <c r="UXX1532" s="646"/>
      <c r="UXY1532" s="646"/>
      <c r="UXZ1532" s="646"/>
      <c r="UYA1532" s="646"/>
      <c r="UYB1532" s="646"/>
      <c r="UYC1532" s="646"/>
      <c r="UYD1532" s="646"/>
      <c r="UYE1532" s="646"/>
      <c r="UYF1532" s="646"/>
      <c r="UYG1532" s="646"/>
      <c r="UYH1532" s="646"/>
      <c r="UYI1532" s="646"/>
      <c r="UYJ1532" s="646"/>
      <c r="UYK1532" s="646"/>
      <c r="UYL1532" s="646"/>
      <c r="UYM1532" s="646"/>
      <c r="UYN1532" s="646"/>
      <c r="UYO1532" s="646"/>
      <c r="UYP1532" s="646"/>
      <c r="UYQ1532" s="646"/>
      <c r="UYR1532" s="646"/>
      <c r="UYS1532" s="646"/>
      <c r="UYT1532" s="646"/>
      <c r="UYU1532" s="646"/>
      <c r="UYV1532" s="646"/>
      <c r="UYW1532" s="646"/>
      <c r="UYX1532" s="646"/>
      <c r="UYY1532" s="646"/>
      <c r="UYZ1532" s="646"/>
      <c r="UZA1532" s="646"/>
      <c r="UZB1532" s="646"/>
      <c r="UZC1532" s="646"/>
      <c r="UZD1532" s="646"/>
      <c r="UZE1532" s="646"/>
      <c r="UZF1532" s="646"/>
      <c r="UZG1532" s="646"/>
      <c r="UZH1532" s="646"/>
      <c r="UZI1532" s="646"/>
      <c r="UZJ1532" s="646"/>
      <c r="UZK1532" s="646"/>
      <c r="UZL1532" s="646"/>
      <c r="UZM1532" s="646"/>
      <c r="UZN1532" s="646"/>
      <c r="UZO1532" s="646"/>
      <c r="UZP1532" s="646"/>
      <c r="UZQ1532" s="646"/>
      <c r="UZR1532" s="646"/>
      <c r="UZS1532" s="646"/>
      <c r="UZT1532" s="646"/>
      <c r="UZU1532" s="646"/>
      <c r="UZV1532" s="646"/>
      <c r="UZW1532" s="646"/>
      <c r="UZX1532" s="646"/>
      <c r="UZY1532" s="646"/>
      <c r="UZZ1532" s="646"/>
      <c r="VAA1532" s="646"/>
      <c r="VAB1532" s="646"/>
      <c r="VAC1532" s="646"/>
      <c r="VAD1532" s="646"/>
      <c r="VAE1532" s="646"/>
      <c r="VAF1532" s="646"/>
      <c r="VAG1532" s="646"/>
      <c r="VAH1532" s="646"/>
      <c r="VAI1532" s="646"/>
      <c r="VAJ1532" s="646"/>
      <c r="VAK1532" s="646"/>
      <c r="VAL1532" s="646"/>
      <c r="VAM1532" s="646"/>
      <c r="VAN1532" s="646"/>
      <c r="VAO1532" s="646"/>
      <c r="VAP1532" s="646"/>
      <c r="VAQ1532" s="646"/>
      <c r="VAR1532" s="646"/>
      <c r="VAS1532" s="646"/>
      <c r="VAT1532" s="646"/>
      <c r="VAU1532" s="646"/>
      <c r="VAV1532" s="646"/>
      <c r="VAW1532" s="646"/>
      <c r="VAX1532" s="646"/>
      <c r="VAY1532" s="646"/>
      <c r="VAZ1532" s="646"/>
      <c r="VBA1532" s="646"/>
      <c r="VBB1532" s="646"/>
      <c r="VBC1532" s="646"/>
      <c r="VBD1532" s="646"/>
      <c r="VBE1532" s="646"/>
      <c r="VBF1532" s="646"/>
      <c r="VBG1532" s="646"/>
      <c r="VBH1532" s="646"/>
      <c r="VBI1532" s="646"/>
      <c r="VBJ1532" s="646"/>
      <c r="VBK1532" s="646"/>
      <c r="VBL1532" s="646"/>
      <c r="VBM1532" s="646"/>
      <c r="VBN1532" s="646"/>
      <c r="VBO1532" s="646"/>
      <c r="VBP1532" s="646"/>
      <c r="VBQ1532" s="646"/>
      <c r="VBR1532" s="646"/>
      <c r="VBS1532" s="646"/>
      <c r="VBT1532" s="646"/>
      <c r="VBU1532" s="646"/>
      <c r="VBV1532" s="646"/>
      <c r="VBW1532" s="646"/>
      <c r="VBX1532" s="646"/>
      <c r="VBY1532" s="646"/>
      <c r="VBZ1532" s="646"/>
      <c r="VCA1532" s="646"/>
      <c r="VCB1532" s="646"/>
      <c r="VCC1532" s="646"/>
      <c r="VCD1532" s="646"/>
      <c r="VCE1532" s="646"/>
      <c r="VCF1532" s="646"/>
      <c r="VCG1532" s="646"/>
      <c r="VCH1532" s="646"/>
      <c r="VCI1532" s="646"/>
      <c r="VCJ1532" s="646"/>
      <c r="VCK1532" s="646"/>
      <c r="VCL1532" s="646"/>
      <c r="VCM1532" s="646"/>
      <c r="VCN1532" s="646"/>
      <c r="VCO1532" s="646"/>
      <c r="VCP1532" s="646"/>
      <c r="VCQ1532" s="646"/>
      <c r="VCR1532" s="646"/>
      <c r="VCS1532" s="646"/>
      <c r="VCT1532" s="646"/>
      <c r="VCU1532" s="646"/>
      <c r="VCV1532" s="646"/>
      <c r="VCW1532" s="646"/>
      <c r="VCX1532" s="646"/>
      <c r="VCY1532" s="646"/>
      <c r="VCZ1532" s="646"/>
      <c r="VDA1532" s="646"/>
      <c r="VDB1532" s="646"/>
      <c r="VDC1532" s="646"/>
      <c r="VDD1532" s="646"/>
      <c r="VDE1532" s="646"/>
      <c r="VDF1532" s="646"/>
      <c r="VDG1532" s="646"/>
      <c r="VDH1532" s="646"/>
      <c r="VDI1532" s="646"/>
      <c r="VDJ1532" s="646"/>
      <c r="VDK1532" s="646"/>
      <c r="VDL1532" s="646"/>
      <c r="VDM1532" s="646"/>
      <c r="VDN1532" s="646"/>
      <c r="VDO1532" s="646"/>
      <c r="VDP1532" s="646"/>
      <c r="VDQ1532" s="646"/>
      <c r="VDR1532" s="646"/>
      <c r="VDS1532" s="646"/>
      <c r="VDT1532" s="646"/>
      <c r="VDU1532" s="646"/>
      <c r="VDV1532" s="646"/>
      <c r="VDW1532" s="646"/>
      <c r="VDX1532" s="646"/>
      <c r="VDY1532" s="646"/>
      <c r="VDZ1532" s="646"/>
      <c r="VEA1532" s="646"/>
      <c r="VEB1532" s="646"/>
      <c r="VEC1532" s="646"/>
      <c r="VED1532" s="646"/>
      <c r="VEE1532" s="646"/>
      <c r="VEF1532" s="646"/>
      <c r="VEG1532" s="646"/>
      <c r="VEH1532" s="646"/>
      <c r="VEI1532" s="646"/>
      <c r="VEJ1532" s="646"/>
      <c r="VEK1532" s="646"/>
      <c r="VEL1532" s="646"/>
      <c r="VEM1532" s="646"/>
      <c r="VEN1532" s="646"/>
      <c r="VEO1532" s="646"/>
      <c r="VEP1532" s="646"/>
      <c r="VEQ1532" s="646"/>
      <c r="VER1532" s="646"/>
      <c r="VES1532" s="646"/>
      <c r="VET1532" s="646"/>
      <c r="VEU1532" s="646"/>
      <c r="VEV1532" s="646"/>
      <c r="VEW1532" s="646"/>
      <c r="VEX1532" s="646"/>
      <c r="VEY1532" s="646"/>
      <c r="VEZ1532" s="646"/>
      <c r="VFA1532" s="646"/>
      <c r="VFB1532" s="646"/>
      <c r="VFC1532" s="646"/>
      <c r="VFD1532" s="646"/>
      <c r="VFE1532" s="646"/>
      <c r="VFF1532" s="646"/>
      <c r="VFG1532" s="646"/>
      <c r="VFH1532" s="646"/>
      <c r="VFI1532" s="646"/>
      <c r="VFJ1532" s="646"/>
      <c r="VFK1532" s="646"/>
      <c r="VFL1532" s="646"/>
      <c r="VFM1532" s="646"/>
      <c r="VFN1532" s="646"/>
      <c r="VFO1532" s="646"/>
      <c r="VFP1532" s="646"/>
      <c r="VFQ1532" s="646"/>
      <c r="VFR1532" s="646"/>
      <c r="VFS1532" s="646"/>
      <c r="VFT1532" s="646"/>
      <c r="VFU1532" s="646"/>
      <c r="VFV1532" s="646"/>
      <c r="VFW1532" s="646"/>
      <c r="VFX1532" s="646"/>
      <c r="VFY1532" s="646"/>
      <c r="VFZ1532" s="646"/>
      <c r="VGA1532" s="646"/>
      <c r="VGB1532" s="646"/>
      <c r="VGC1532" s="646"/>
      <c r="VGD1532" s="646"/>
      <c r="VGE1532" s="646"/>
      <c r="VGF1532" s="646"/>
      <c r="VGG1532" s="646"/>
      <c r="VGH1532" s="646"/>
      <c r="VGI1532" s="646"/>
      <c r="VGJ1532" s="646"/>
      <c r="VGK1532" s="646"/>
      <c r="VGL1532" s="646"/>
      <c r="VGM1532" s="646"/>
      <c r="VGN1532" s="646"/>
      <c r="VGO1532" s="646"/>
      <c r="VGP1532" s="646"/>
      <c r="VGQ1532" s="646"/>
      <c r="VGR1532" s="646"/>
      <c r="VGS1532" s="646"/>
      <c r="VGT1532" s="646"/>
      <c r="VGU1532" s="646"/>
      <c r="VGV1532" s="646"/>
      <c r="VGW1532" s="646"/>
      <c r="VGX1532" s="646"/>
      <c r="VGY1532" s="646"/>
      <c r="VGZ1532" s="646"/>
      <c r="VHA1532" s="646"/>
      <c r="VHB1532" s="646"/>
      <c r="VHC1532" s="646"/>
      <c r="VHD1532" s="646"/>
      <c r="VHE1532" s="646"/>
      <c r="VHF1532" s="646"/>
      <c r="VHG1532" s="646"/>
      <c r="VHH1532" s="646"/>
      <c r="VHI1532" s="646"/>
      <c r="VHJ1532" s="646"/>
      <c r="VHK1532" s="646"/>
      <c r="VHL1532" s="646"/>
      <c r="VHM1532" s="646"/>
      <c r="VHN1532" s="646"/>
      <c r="VHO1532" s="646"/>
      <c r="VHP1532" s="646"/>
      <c r="VHQ1532" s="646"/>
      <c r="VHR1532" s="646"/>
      <c r="VHS1532" s="646"/>
      <c r="VHT1532" s="646"/>
      <c r="VHU1532" s="646"/>
      <c r="VHV1532" s="646"/>
      <c r="VHW1532" s="646"/>
      <c r="VHX1532" s="646"/>
      <c r="VHY1532" s="646"/>
      <c r="VHZ1532" s="646"/>
      <c r="VIA1532" s="646"/>
      <c r="VIB1532" s="646"/>
      <c r="VIC1532" s="646"/>
      <c r="VID1532" s="646"/>
      <c r="VIE1532" s="646"/>
      <c r="VIF1532" s="646"/>
      <c r="VIG1532" s="646"/>
      <c r="VIH1532" s="646"/>
      <c r="VII1532" s="646"/>
      <c r="VIJ1532" s="646"/>
      <c r="VIK1532" s="646"/>
      <c r="VIL1532" s="646"/>
      <c r="VIM1532" s="646"/>
      <c r="VIN1532" s="646"/>
      <c r="VIO1532" s="646"/>
      <c r="VIP1532" s="646"/>
      <c r="VIQ1532" s="646"/>
      <c r="VIR1532" s="646"/>
      <c r="VIS1532" s="646"/>
      <c r="VIT1532" s="646"/>
      <c r="VIU1532" s="646"/>
      <c r="VIV1532" s="646"/>
      <c r="VIW1532" s="646"/>
      <c r="VIX1532" s="646"/>
      <c r="VIY1532" s="646"/>
      <c r="VIZ1532" s="646"/>
      <c r="VJA1532" s="646"/>
      <c r="VJB1532" s="646"/>
      <c r="VJC1532" s="646"/>
      <c r="VJD1532" s="646"/>
      <c r="VJE1532" s="646"/>
      <c r="VJF1532" s="646"/>
      <c r="VJG1532" s="646"/>
      <c r="VJH1532" s="646"/>
      <c r="VJI1532" s="646"/>
      <c r="VJJ1532" s="646"/>
      <c r="VJK1532" s="646"/>
      <c r="VJL1532" s="646"/>
      <c r="VJM1532" s="646"/>
      <c r="VJN1532" s="646"/>
      <c r="VJO1532" s="646"/>
      <c r="VJP1532" s="646"/>
      <c r="VJQ1532" s="646"/>
      <c r="VJR1532" s="646"/>
      <c r="VJS1532" s="646"/>
      <c r="VJT1532" s="646"/>
      <c r="VJU1532" s="646"/>
      <c r="VJV1532" s="646"/>
      <c r="VJW1532" s="646"/>
      <c r="VJX1532" s="646"/>
      <c r="VJY1532" s="646"/>
      <c r="VJZ1532" s="646"/>
      <c r="VKA1532" s="646"/>
      <c r="VKB1532" s="646"/>
      <c r="VKC1532" s="646"/>
      <c r="VKD1532" s="646"/>
      <c r="VKE1532" s="646"/>
      <c r="VKF1532" s="646"/>
      <c r="VKG1532" s="646"/>
      <c r="VKH1532" s="646"/>
      <c r="VKI1532" s="646"/>
      <c r="VKJ1532" s="646"/>
      <c r="VKK1532" s="646"/>
      <c r="VKL1532" s="646"/>
      <c r="VKM1532" s="646"/>
      <c r="VKN1532" s="646"/>
      <c r="VKO1532" s="646"/>
      <c r="VKP1532" s="646"/>
      <c r="VKQ1532" s="646"/>
      <c r="VKR1532" s="646"/>
      <c r="VKS1532" s="646"/>
      <c r="VKT1532" s="646"/>
      <c r="VKU1532" s="646"/>
      <c r="VKV1532" s="646"/>
      <c r="VKW1532" s="646"/>
      <c r="VKX1532" s="646"/>
      <c r="VKY1532" s="646"/>
      <c r="VKZ1532" s="646"/>
      <c r="VLA1532" s="646"/>
      <c r="VLB1532" s="646"/>
      <c r="VLC1532" s="646"/>
      <c r="VLD1532" s="646"/>
      <c r="VLE1532" s="646"/>
      <c r="VLF1532" s="646"/>
      <c r="VLG1532" s="646"/>
      <c r="VLH1532" s="646"/>
      <c r="VLI1532" s="646"/>
      <c r="VLJ1532" s="646"/>
      <c r="VLK1532" s="646"/>
      <c r="VLL1532" s="646"/>
      <c r="VLM1532" s="646"/>
      <c r="VLN1532" s="646"/>
      <c r="VLO1532" s="646"/>
      <c r="VLP1532" s="646"/>
      <c r="VLQ1532" s="646"/>
      <c r="VLR1532" s="646"/>
      <c r="VLS1532" s="646"/>
      <c r="VLT1532" s="646"/>
      <c r="VLU1532" s="646"/>
      <c r="VLV1532" s="646"/>
      <c r="VLW1532" s="646"/>
      <c r="VLX1532" s="646"/>
      <c r="VLY1532" s="646"/>
      <c r="VLZ1532" s="646"/>
      <c r="VMA1532" s="646"/>
      <c r="VMB1532" s="646"/>
      <c r="VMC1532" s="646"/>
      <c r="VMD1532" s="646"/>
      <c r="VME1532" s="646"/>
      <c r="VMF1532" s="646"/>
      <c r="VMG1532" s="646"/>
      <c r="VMH1532" s="646"/>
      <c r="VMI1532" s="646"/>
      <c r="VMJ1532" s="646"/>
      <c r="VMK1532" s="646"/>
      <c r="VML1532" s="646"/>
      <c r="VMM1532" s="646"/>
      <c r="VMN1532" s="646"/>
      <c r="VMO1532" s="646"/>
      <c r="VMP1532" s="646"/>
      <c r="VMQ1532" s="646"/>
      <c r="VMR1532" s="646"/>
      <c r="VMS1532" s="646"/>
      <c r="VMT1532" s="646"/>
      <c r="VMU1532" s="646"/>
      <c r="VMV1532" s="646"/>
      <c r="VMW1532" s="646"/>
      <c r="VMX1532" s="646"/>
      <c r="VMY1532" s="646"/>
      <c r="VMZ1532" s="646"/>
      <c r="VNA1532" s="646"/>
      <c r="VNB1532" s="646"/>
      <c r="VNC1532" s="646"/>
      <c r="VND1532" s="646"/>
      <c r="VNE1532" s="646"/>
      <c r="VNF1532" s="646"/>
      <c r="VNG1532" s="646"/>
      <c r="VNH1532" s="646"/>
      <c r="VNI1532" s="646"/>
      <c r="VNJ1532" s="646"/>
      <c r="VNK1532" s="646"/>
      <c r="VNL1532" s="646"/>
      <c r="VNM1532" s="646"/>
      <c r="VNN1532" s="646"/>
      <c r="VNO1532" s="646"/>
      <c r="VNP1532" s="646"/>
      <c r="VNQ1532" s="646"/>
      <c r="VNR1532" s="646"/>
      <c r="VNS1532" s="646"/>
      <c r="VNT1532" s="646"/>
      <c r="VNU1532" s="646"/>
      <c r="VNV1532" s="646"/>
      <c r="VNW1532" s="646"/>
      <c r="VNX1532" s="646"/>
      <c r="VNY1532" s="646"/>
      <c r="VNZ1532" s="646"/>
      <c r="VOA1532" s="646"/>
      <c r="VOB1532" s="646"/>
      <c r="VOC1532" s="646"/>
      <c r="VOD1532" s="646"/>
      <c r="VOE1532" s="646"/>
      <c r="VOF1532" s="646"/>
      <c r="VOG1532" s="646"/>
      <c r="VOH1532" s="646"/>
      <c r="VOI1532" s="646"/>
      <c r="VOJ1532" s="646"/>
      <c r="VOK1532" s="646"/>
      <c r="VOL1532" s="646"/>
      <c r="VOM1532" s="646"/>
      <c r="VON1532" s="646"/>
      <c r="VOO1532" s="646"/>
      <c r="VOP1532" s="646"/>
      <c r="VOQ1532" s="646"/>
      <c r="VOR1532" s="646"/>
      <c r="VOS1532" s="646"/>
      <c r="VOT1532" s="646"/>
      <c r="VOU1532" s="646"/>
      <c r="VOV1532" s="646"/>
      <c r="VOW1532" s="646"/>
      <c r="VOX1532" s="646"/>
      <c r="VOY1532" s="646"/>
      <c r="VOZ1532" s="646"/>
      <c r="VPA1532" s="646"/>
      <c r="VPB1532" s="646"/>
      <c r="VPC1532" s="646"/>
      <c r="VPD1532" s="646"/>
      <c r="VPE1532" s="646"/>
      <c r="VPF1532" s="646"/>
      <c r="VPG1532" s="646"/>
      <c r="VPH1532" s="646"/>
      <c r="VPI1532" s="646"/>
      <c r="VPJ1532" s="646"/>
      <c r="VPK1532" s="646"/>
      <c r="VPL1532" s="646"/>
      <c r="VPM1532" s="646"/>
      <c r="VPN1532" s="646"/>
      <c r="VPO1532" s="646"/>
      <c r="VPP1532" s="646"/>
      <c r="VPQ1532" s="646"/>
      <c r="VPR1532" s="646"/>
      <c r="VPS1532" s="646"/>
      <c r="VPT1532" s="646"/>
      <c r="VPU1532" s="646"/>
      <c r="VPV1532" s="646"/>
      <c r="VPW1532" s="646"/>
      <c r="VPX1532" s="646"/>
      <c r="VPY1532" s="646"/>
      <c r="VPZ1532" s="646"/>
      <c r="VQA1532" s="646"/>
      <c r="VQB1532" s="646"/>
      <c r="VQC1532" s="646"/>
      <c r="VQD1532" s="646"/>
      <c r="VQE1532" s="646"/>
      <c r="VQF1532" s="646"/>
      <c r="VQG1532" s="646"/>
      <c r="VQH1532" s="646"/>
      <c r="VQI1532" s="646"/>
      <c r="VQJ1532" s="646"/>
      <c r="VQK1532" s="646"/>
      <c r="VQL1532" s="646"/>
      <c r="VQM1532" s="646"/>
      <c r="VQN1532" s="646"/>
      <c r="VQO1532" s="646"/>
      <c r="VQP1532" s="646"/>
      <c r="VQQ1532" s="646"/>
      <c r="VQR1532" s="646"/>
      <c r="VQS1532" s="646"/>
      <c r="VQT1532" s="646"/>
      <c r="VQU1532" s="646"/>
      <c r="VQV1532" s="646"/>
      <c r="VQW1532" s="646"/>
      <c r="VQX1532" s="646"/>
      <c r="VQY1532" s="646"/>
      <c r="VQZ1532" s="646"/>
      <c r="VRA1532" s="646"/>
      <c r="VRB1532" s="646"/>
      <c r="VRC1532" s="646"/>
      <c r="VRD1532" s="646"/>
      <c r="VRE1532" s="646"/>
      <c r="VRF1532" s="646"/>
      <c r="VRG1532" s="646"/>
      <c r="VRH1532" s="646"/>
      <c r="VRI1532" s="646"/>
      <c r="VRJ1532" s="646"/>
      <c r="VRK1532" s="646"/>
      <c r="VRL1532" s="646"/>
      <c r="VRM1532" s="646"/>
      <c r="VRN1532" s="646"/>
      <c r="VRO1532" s="646"/>
      <c r="VRP1532" s="646"/>
      <c r="VRQ1532" s="646"/>
      <c r="VRR1532" s="646"/>
      <c r="VRS1532" s="646"/>
      <c r="VRT1532" s="646"/>
      <c r="VRU1532" s="646"/>
      <c r="VRV1532" s="646"/>
      <c r="VRW1532" s="646"/>
      <c r="VRX1532" s="646"/>
      <c r="VRY1532" s="646"/>
      <c r="VRZ1532" s="646"/>
      <c r="VSA1532" s="646"/>
      <c r="VSB1532" s="646"/>
      <c r="VSC1532" s="646"/>
      <c r="VSD1532" s="646"/>
      <c r="VSE1532" s="646"/>
      <c r="VSF1532" s="646"/>
      <c r="VSG1532" s="646"/>
      <c r="VSH1532" s="646"/>
      <c r="VSI1532" s="646"/>
      <c r="VSJ1532" s="646"/>
      <c r="VSK1532" s="646"/>
      <c r="VSL1532" s="646"/>
      <c r="VSM1532" s="646"/>
      <c r="VSN1532" s="646"/>
      <c r="VSO1532" s="646"/>
      <c r="VSP1532" s="646"/>
      <c r="VSQ1532" s="646"/>
      <c r="VSR1532" s="646"/>
      <c r="VSS1532" s="646"/>
      <c r="VST1532" s="646"/>
      <c r="VSU1532" s="646"/>
      <c r="VSV1532" s="646"/>
      <c r="VSW1532" s="646"/>
      <c r="VSX1532" s="646"/>
      <c r="VSY1532" s="646"/>
      <c r="VSZ1532" s="646"/>
      <c r="VTA1532" s="646"/>
      <c r="VTB1532" s="646"/>
      <c r="VTC1532" s="646"/>
      <c r="VTD1532" s="646"/>
      <c r="VTE1532" s="646"/>
      <c r="VTF1532" s="646"/>
      <c r="VTG1532" s="646"/>
      <c r="VTH1532" s="646"/>
      <c r="VTI1532" s="646"/>
      <c r="VTJ1532" s="646"/>
      <c r="VTK1532" s="646"/>
      <c r="VTL1532" s="646"/>
      <c r="VTM1532" s="646"/>
      <c r="VTN1532" s="646"/>
      <c r="VTO1532" s="646"/>
      <c r="VTP1532" s="646"/>
      <c r="VTQ1532" s="646"/>
      <c r="VTR1532" s="646"/>
      <c r="VTS1532" s="646"/>
      <c r="VTT1532" s="646"/>
      <c r="VTU1532" s="646"/>
      <c r="VTV1532" s="646"/>
      <c r="VTW1532" s="646"/>
      <c r="VTX1532" s="646"/>
      <c r="VTY1532" s="646"/>
      <c r="VTZ1532" s="646"/>
      <c r="VUA1532" s="646"/>
      <c r="VUB1532" s="646"/>
      <c r="VUC1532" s="646"/>
      <c r="VUD1532" s="646"/>
      <c r="VUE1532" s="646"/>
      <c r="VUF1532" s="646"/>
      <c r="VUG1532" s="646"/>
      <c r="VUH1532" s="646"/>
      <c r="VUI1532" s="646"/>
      <c r="VUJ1532" s="646"/>
      <c r="VUK1532" s="646"/>
      <c r="VUL1532" s="646"/>
      <c r="VUM1532" s="646"/>
      <c r="VUN1532" s="646"/>
      <c r="VUO1532" s="646"/>
      <c r="VUP1532" s="646"/>
      <c r="VUQ1532" s="646"/>
      <c r="VUR1532" s="646"/>
      <c r="VUS1532" s="646"/>
      <c r="VUT1532" s="646"/>
      <c r="VUU1532" s="646"/>
      <c r="VUV1532" s="646"/>
      <c r="VUW1532" s="646"/>
      <c r="VUX1532" s="646"/>
      <c r="VUY1532" s="646"/>
      <c r="VUZ1532" s="646"/>
      <c r="VVA1532" s="646"/>
      <c r="VVB1532" s="646"/>
      <c r="VVC1532" s="646"/>
      <c r="VVD1532" s="646"/>
      <c r="VVE1532" s="646"/>
      <c r="VVF1532" s="646"/>
      <c r="VVG1532" s="646"/>
      <c r="VVH1532" s="646"/>
      <c r="VVI1532" s="646"/>
      <c r="VVJ1532" s="646"/>
      <c r="VVK1532" s="646"/>
      <c r="VVL1532" s="646"/>
      <c r="VVM1532" s="646"/>
      <c r="VVN1532" s="646"/>
      <c r="VVO1532" s="646"/>
      <c r="VVP1532" s="646"/>
      <c r="VVQ1532" s="646"/>
      <c r="VVR1532" s="646"/>
      <c r="VVS1532" s="646"/>
      <c r="VVT1532" s="646"/>
      <c r="VVU1532" s="646"/>
      <c r="VVV1532" s="646"/>
      <c r="VVW1532" s="646"/>
      <c r="VVX1532" s="646"/>
      <c r="VVY1532" s="646"/>
      <c r="VVZ1532" s="646"/>
      <c r="VWA1532" s="646"/>
      <c r="VWB1532" s="646"/>
      <c r="VWC1532" s="646"/>
      <c r="VWD1532" s="646"/>
      <c r="VWE1532" s="646"/>
      <c r="VWF1532" s="646"/>
      <c r="VWG1532" s="646"/>
      <c r="VWH1532" s="646"/>
      <c r="VWI1532" s="646"/>
      <c r="VWJ1532" s="646"/>
      <c r="VWK1532" s="646"/>
      <c r="VWL1532" s="646"/>
      <c r="VWM1532" s="646"/>
      <c r="VWN1532" s="646"/>
      <c r="VWO1532" s="646"/>
      <c r="VWP1532" s="646"/>
      <c r="VWQ1532" s="646"/>
      <c r="VWR1532" s="646"/>
      <c r="VWS1532" s="646"/>
      <c r="VWT1532" s="646"/>
      <c r="VWU1532" s="646"/>
      <c r="VWV1532" s="646"/>
      <c r="VWW1532" s="646"/>
      <c r="VWX1532" s="646"/>
      <c r="VWY1532" s="646"/>
      <c r="VWZ1532" s="646"/>
      <c r="VXA1532" s="646"/>
      <c r="VXB1532" s="646"/>
      <c r="VXC1532" s="646"/>
      <c r="VXD1532" s="646"/>
      <c r="VXE1532" s="646"/>
      <c r="VXF1532" s="646"/>
      <c r="VXG1532" s="646"/>
      <c r="VXH1532" s="646"/>
      <c r="VXI1532" s="646"/>
      <c r="VXJ1532" s="646"/>
      <c r="VXK1532" s="646"/>
      <c r="VXL1532" s="646"/>
      <c r="VXM1532" s="646"/>
      <c r="VXN1532" s="646"/>
      <c r="VXO1532" s="646"/>
      <c r="VXP1532" s="646"/>
      <c r="VXQ1532" s="646"/>
      <c r="VXR1532" s="646"/>
      <c r="VXS1532" s="646"/>
      <c r="VXT1532" s="646"/>
      <c r="VXU1532" s="646"/>
      <c r="VXV1532" s="646"/>
      <c r="VXW1532" s="646"/>
      <c r="VXX1532" s="646"/>
      <c r="VXY1532" s="646"/>
      <c r="VXZ1532" s="646"/>
      <c r="VYA1532" s="646"/>
      <c r="VYB1532" s="646"/>
      <c r="VYC1532" s="646"/>
      <c r="VYD1532" s="646"/>
      <c r="VYE1532" s="646"/>
      <c r="VYF1532" s="646"/>
      <c r="VYG1532" s="646"/>
      <c r="VYH1532" s="646"/>
      <c r="VYI1532" s="646"/>
      <c r="VYJ1532" s="646"/>
      <c r="VYK1532" s="646"/>
      <c r="VYL1532" s="646"/>
      <c r="VYM1532" s="646"/>
      <c r="VYN1532" s="646"/>
      <c r="VYO1532" s="646"/>
      <c r="VYP1532" s="646"/>
      <c r="VYQ1532" s="646"/>
      <c r="VYR1532" s="646"/>
      <c r="VYS1532" s="646"/>
      <c r="VYT1532" s="646"/>
      <c r="VYU1532" s="646"/>
      <c r="VYV1532" s="646"/>
      <c r="VYW1532" s="646"/>
      <c r="VYX1532" s="646"/>
      <c r="VYY1532" s="646"/>
      <c r="VYZ1532" s="646"/>
      <c r="VZA1532" s="646"/>
      <c r="VZB1532" s="646"/>
      <c r="VZC1532" s="646"/>
      <c r="VZD1532" s="646"/>
      <c r="VZE1532" s="646"/>
      <c r="VZF1532" s="646"/>
      <c r="VZG1532" s="646"/>
      <c r="VZH1532" s="646"/>
      <c r="VZI1532" s="646"/>
      <c r="VZJ1532" s="646"/>
      <c r="VZK1532" s="646"/>
      <c r="VZL1532" s="646"/>
      <c r="VZM1532" s="646"/>
      <c r="VZN1532" s="646"/>
      <c r="VZO1532" s="646"/>
      <c r="VZP1532" s="646"/>
      <c r="VZQ1532" s="646"/>
      <c r="VZR1532" s="646"/>
      <c r="VZS1532" s="646"/>
      <c r="VZT1532" s="646"/>
      <c r="VZU1532" s="646"/>
      <c r="VZV1532" s="646"/>
      <c r="VZW1532" s="646"/>
      <c r="VZX1532" s="646"/>
      <c r="VZY1532" s="646"/>
      <c r="VZZ1532" s="646"/>
      <c r="WAA1532" s="646"/>
      <c r="WAB1532" s="646"/>
      <c r="WAC1532" s="646"/>
      <c r="WAD1532" s="646"/>
      <c r="WAE1532" s="646"/>
      <c r="WAF1532" s="646"/>
      <c r="WAG1532" s="646"/>
      <c r="WAH1532" s="646"/>
      <c r="WAI1532" s="646"/>
      <c r="WAJ1532" s="646"/>
      <c r="WAK1532" s="646"/>
      <c r="WAL1532" s="646"/>
      <c r="WAM1532" s="646"/>
      <c r="WAN1532" s="646"/>
      <c r="WAO1532" s="646"/>
      <c r="WAP1532" s="646"/>
      <c r="WAQ1532" s="646"/>
      <c r="WAR1532" s="646"/>
      <c r="WAS1532" s="646"/>
      <c r="WAT1532" s="646"/>
      <c r="WAU1532" s="646"/>
      <c r="WAV1532" s="646"/>
      <c r="WAW1532" s="646"/>
      <c r="WAX1532" s="646"/>
      <c r="WAY1532" s="646"/>
      <c r="WAZ1532" s="646"/>
      <c r="WBA1532" s="646"/>
      <c r="WBB1532" s="646"/>
      <c r="WBC1532" s="646"/>
      <c r="WBD1532" s="646"/>
      <c r="WBE1532" s="646"/>
      <c r="WBF1532" s="646"/>
      <c r="WBG1532" s="646"/>
      <c r="WBH1532" s="646"/>
      <c r="WBI1532" s="646"/>
      <c r="WBJ1532" s="646"/>
      <c r="WBK1532" s="646"/>
      <c r="WBL1532" s="646"/>
      <c r="WBM1532" s="646"/>
      <c r="WBN1532" s="646"/>
      <c r="WBO1532" s="646"/>
      <c r="WBP1532" s="646"/>
      <c r="WBQ1532" s="646"/>
      <c r="WBR1532" s="646"/>
      <c r="WBS1532" s="646"/>
      <c r="WBT1532" s="646"/>
      <c r="WBU1532" s="646"/>
      <c r="WBV1532" s="646"/>
      <c r="WBW1532" s="646"/>
      <c r="WBX1532" s="646"/>
      <c r="WBY1532" s="646"/>
      <c r="WBZ1532" s="646"/>
      <c r="WCA1532" s="646"/>
      <c r="WCB1532" s="646"/>
      <c r="WCC1532" s="646"/>
      <c r="WCD1532" s="646"/>
      <c r="WCE1532" s="646"/>
      <c r="WCF1532" s="646"/>
      <c r="WCG1532" s="646"/>
      <c r="WCH1532" s="646"/>
      <c r="WCI1532" s="646"/>
      <c r="WCJ1532" s="646"/>
      <c r="WCK1532" s="646"/>
      <c r="WCL1532" s="646"/>
      <c r="WCM1532" s="646"/>
      <c r="WCN1532" s="646"/>
      <c r="WCO1532" s="646"/>
      <c r="WCP1532" s="646"/>
      <c r="WCQ1532" s="646"/>
      <c r="WCR1532" s="646"/>
      <c r="WCS1532" s="646"/>
      <c r="WCT1532" s="646"/>
      <c r="WCU1532" s="646"/>
      <c r="WCV1532" s="646"/>
      <c r="WCW1532" s="646"/>
      <c r="WCX1532" s="646"/>
      <c r="WCY1532" s="646"/>
      <c r="WCZ1532" s="646"/>
      <c r="WDA1532" s="646"/>
      <c r="WDB1532" s="646"/>
      <c r="WDC1532" s="646"/>
      <c r="WDD1532" s="646"/>
      <c r="WDE1532" s="646"/>
      <c r="WDF1532" s="646"/>
      <c r="WDG1532" s="646"/>
      <c r="WDH1532" s="646"/>
      <c r="WDI1532" s="646"/>
      <c r="WDJ1532" s="646"/>
      <c r="WDK1532" s="646"/>
      <c r="WDL1532" s="646"/>
      <c r="WDM1532" s="646"/>
      <c r="WDN1532" s="646"/>
      <c r="WDO1532" s="646"/>
      <c r="WDP1532" s="646"/>
      <c r="WDQ1532" s="646"/>
      <c r="WDR1532" s="646"/>
      <c r="WDS1532" s="646"/>
      <c r="WDT1532" s="646"/>
      <c r="WDU1532" s="646"/>
      <c r="WDV1532" s="646"/>
      <c r="WDW1532" s="646"/>
      <c r="WDX1532" s="646"/>
      <c r="WDY1532" s="646"/>
      <c r="WDZ1532" s="646"/>
      <c r="WEA1532" s="646"/>
      <c r="WEB1532" s="646"/>
      <c r="WEC1532" s="646"/>
      <c r="WED1532" s="646"/>
      <c r="WEE1532" s="646"/>
      <c r="WEF1532" s="646"/>
      <c r="WEG1532" s="646"/>
      <c r="WEH1532" s="646"/>
      <c r="WEI1532" s="646"/>
      <c r="WEJ1532" s="646"/>
      <c r="WEK1532" s="646"/>
      <c r="WEL1532" s="646"/>
      <c r="WEM1532" s="646"/>
      <c r="WEN1532" s="646"/>
      <c r="WEO1532" s="646"/>
      <c r="WEP1532" s="646"/>
      <c r="WEQ1532" s="646"/>
      <c r="WER1532" s="646"/>
      <c r="WES1532" s="646"/>
      <c r="WET1532" s="646"/>
      <c r="WEU1532" s="646"/>
      <c r="WEV1532" s="646"/>
      <c r="WEW1532" s="646"/>
      <c r="WEX1532" s="646"/>
      <c r="WEY1532" s="646"/>
      <c r="WEZ1532" s="646"/>
      <c r="WFA1532" s="646"/>
      <c r="WFB1532" s="646"/>
      <c r="WFC1532" s="646"/>
      <c r="WFD1532" s="646"/>
      <c r="WFE1532" s="646"/>
      <c r="WFF1532" s="646"/>
      <c r="WFG1532" s="646"/>
      <c r="WFH1532" s="646"/>
      <c r="WFI1532" s="646"/>
      <c r="WFJ1532" s="646"/>
      <c r="WFK1532" s="646"/>
      <c r="WFL1532" s="646"/>
      <c r="WFM1532" s="646"/>
      <c r="WFN1532" s="646"/>
      <c r="WFO1532" s="646"/>
      <c r="WFP1532" s="646"/>
      <c r="WFQ1532" s="646"/>
      <c r="WFR1532" s="646"/>
      <c r="WFS1532" s="646"/>
      <c r="WFT1532" s="646"/>
      <c r="WFU1532" s="646"/>
      <c r="WFV1532" s="646"/>
      <c r="WFW1532" s="646"/>
      <c r="WFX1532" s="646"/>
      <c r="WFY1532" s="646"/>
      <c r="WFZ1532" s="646"/>
      <c r="WGA1532" s="646"/>
      <c r="WGB1532" s="646"/>
      <c r="WGC1532" s="646"/>
      <c r="WGD1532" s="646"/>
      <c r="WGE1532" s="646"/>
      <c r="WGF1532" s="646"/>
      <c r="WGG1532" s="646"/>
      <c r="WGH1532" s="646"/>
      <c r="WGI1532" s="646"/>
      <c r="WGJ1532" s="646"/>
      <c r="WGK1532" s="646"/>
      <c r="WGL1532" s="646"/>
      <c r="WGM1532" s="646"/>
      <c r="WGN1532" s="646"/>
      <c r="WGO1532" s="646"/>
      <c r="WGP1532" s="646"/>
      <c r="WGQ1532" s="646"/>
      <c r="WGR1532" s="646"/>
      <c r="WGS1532" s="646"/>
      <c r="WGT1532" s="646"/>
      <c r="WGU1532" s="646"/>
      <c r="WGV1532" s="646"/>
      <c r="WGW1532" s="646"/>
      <c r="WGX1532" s="646"/>
      <c r="WGY1532" s="646"/>
      <c r="WGZ1532" s="646"/>
      <c r="WHA1532" s="646"/>
      <c r="WHB1532" s="646"/>
      <c r="WHC1532" s="646"/>
      <c r="WHD1532" s="646"/>
      <c r="WHE1532" s="646"/>
      <c r="WHF1532" s="646"/>
      <c r="WHG1532" s="646"/>
      <c r="WHH1532" s="646"/>
      <c r="WHI1532" s="646"/>
      <c r="WHJ1532" s="646"/>
      <c r="WHK1532" s="646"/>
      <c r="WHL1532" s="646"/>
      <c r="WHM1532" s="646"/>
      <c r="WHN1532" s="646"/>
      <c r="WHO1532" s="646"/>
      <c r="WHP1532" s="646"/>
      <c r="WHQ1532" s="646"/>
      <c r="WHR1532" s="646"/>
      <c r="WHS1532" s="646"/>
      <c r="WHT1532" s="646"/>
      <c r="WHU1532" s="646"/>
      <c r="WHV1532" s="646"/>
      <c r="WHW1532" s="646"/>
      <c r="WHX1532" s="646"/>
      <c r="WHY1532" s="646"/>
      <c r="WHZ1532" s="646"/>
      <c r="WIA1532" s="646"/>
      <c r="WIB1532" s="646"/>
      <c r="WIC1532" s="646"/>
      <c r="WID1532" s="646"/>
      <c r="WIE1532" s="646"/>
      <c r="WIF1532" s="646"/>
      <c r="WIG1532" s="646"/>
      <c r="WIH1532" s="646"/>
      <c r="WII1532" s="646"/>
      <c r="WIJ1532" s="646"/>
      <c r="WIK1532" s="646"/>
      <c r="WIL1532" s="646"/>
      <c r="WIM1532" s="646"/>
      <c r="WIN1532" s="646"/>
      <c r="WIO1532" s="646"/>
      <c r="WIP1532" s="646"/>
      <c r="WIQ1532" s="646"/>
      <c r="WIR1532" s="646"/>
      <c r="WIS1532" s="646"/>
      <c r="WIT1532" s="646"/>
      <c r="WIU1532" s="646"/>
      <c r="WIV1532" s="646"/>
      <c r="WIW1532" s="646"/>
      <c r="WIX1532" s="646"/>
      <c r="WIY1532" s="646"/>
      <c r="WIZ1532" s="646"/>
      <c r="WJA1532" s="646"/>
      <c r="WJB1532" s="646"/>
      <c r="WJC1532" s="646"/>
      <c r="WJD1532" s="646"/>
      <c r="WJE1532" s="646"/>
      <c r="WJF1532" s="646"/>
      <c r="WJG1532" s="646"/>
      <c r="WJH1532" s="646"/>
      <c r="WJI1532" s="646"/>
      <c r="WJJ1532" s="646"/>
      <c r="WJK1532" s="646"/>
      <c r="WJL1532" s="646"/>
      <c r="WJM1532" s="646"/>
      <c r="WJN1532" s="646"/>
      <c r="WJO1532" s="646"/>
      <c r="WJP1532" s="646"/>
      <c r="WJQ1532" s="646"/>
      <c r="WJR1532" s="646"/>
      <c r="WJS1532" s="646"/>
      <c r="WJT1532" s="646"/>
      <c r="WJU1532" s="646"/>
      <c r="WJV1532" s="646"/>
      <c r="WJW1532" s="646"/>
      <c r="WJX1532" s="646"/>
      <c r="WJY1532" s="646"/>
      <c r="WJZ1532" s="646"/>
      <c r="WKA1532" s="646"/>
      <c r="WKB1532" s="646"/>
      <c r="WKC1532" s="646"/>
      <c r="WKD1532" s="646"/>
      <c r="WKE1532" s="646"/>
      <c r="WKF1532" s="646"/>
      <c r="WKG1532" s="646"/>
      <c r="WKH1532" s="646"/>
      <c r="WKI1532" s="646"/>
      <c r="WKJ1532" s="646"/>
      <c r="WKK1532" s="646"/>
      <c r="WKL1532" s="646"/>
      <c r="WKM1532" s="646"/>
      <c r="WKN1532" s="646"/>
      <c r="WKO1532" s="646"/>
      <c r="WKP1532" s="646"/>
      <c r="WKQ1532" s="646"/>
      <c r="WKR1532" s="646"/>
      <c r="WKS1532" s="646"/>
      <c r="WKT1532" s="646"/>
      <c r="WKU1532" s="646"/>
      <c r="WKV1532" s="646"/>
      <c r="WKW1532" s="646"/>
      <c r="WKX1532" s="646"/>
      <c r="WKY1532" s="646"/>
      <c r="WKZ1532" s="646"/>
      <c r="WLA1532" s="646"/>
      <c r="WLB1532" s="646"/>
      <c r="WLC1532" s="646"/>
      <c r="WLD1532" s="646"/>
      <c r="WLE1532" s="646"/>
      <c r="WLF1532" s="646"/>
      <c r="WLG1532" s="646"/>
      <c r="WLH1532" s="646"/>
      <c r="WLI1532" s="646"/>
      <c r="WLJ1532" s="646"/>
      <c r="WLK1532" s="646"/>
      <c r="WLL1532" s="646"/>
      <c r="WLM1532" s="646"/>
      <c r="WLN1532" s="646"/>
      <c r="WLO1532" s="646"/>
      <c r="WLP1532" s="646"/>
      <c r="WLQ1532" s="646"/>
      <c r="WLR1532" s="646"/>
      <c r="WLS1532" s="646"/>
      <c r="WLT1532" s="646"/>
      <c r="WLU1532" s="646"/>
      <c r="WLV1532" s="646"/>
      <c r="WLW1532" s="646"/>
      <c r="WLX1532" s="646"/>
      <c r="WLY1532" s="646"/>
      <c r="WLZ1532" s="646"/>
      <c r="WMA1532" s="646"/>
      <c r="WMB1532" s="646"/>
      <c r="WMC1532" s="646"/>
      <c r="WMD1532" s="646"/>
      <c r="WME1532" s="646"/>
      <c r="WMF1532" s="646"/>
      <c r="WMG1532" s="646"/>
      <c r="WMH1532" s="646"/>
      <c r="WMI1532" s="646"/>
      <c r="WMJ1532" s="646"/>
      <c r="WMK1532" s="646"/>
      <c r="WML1532" s="646"/>
      <c r="WMM1532" s="646"/>
      <c r="WMN1532" s="646"/>
      <c r="WMO1532" s="646"/>
      <c r="WMP1532" s="646"/>
      <c r="WMQ1532" s="646"/>
      <c r="WMR1532" s="646"/>
      <c r="WMS1532" s="646"/>
      <c r="WMT1532" s="646"/>
      <c r="WMU1532" s="646"/>
      <c r="WMV1532" s="646"/>
      <c r="WMW1532" s="646"/>
      <c r="WMX1532" s="646"/>
      <c r="WMY1532" s="646"/>
      <c r="WMZ1532" s="646"/>
      <c r="WNA1532" s="646"/>
      <c r="WNB1532" s="646"/>
      <c r="WNC1532" s="646"/>
      <c r="WND1532" s="646"/>
      <c r="WNE1532" s="646"/>
      <c r="WNF1532" s="646"/>
      <c r="WNG1532" s="646"/>
      <c r="WNH1532" s="646"/>
      <c r="WNI1532" s="646"/>
      <c r="WNJ1532" s="646"/>
      <c r="WNK1532" s="646"/>
      <c r="WNL1532" s="646"/>
      <c r="WNM1532" s="646"/>
      <c r="WNN1532" s="646"/>
      <c r="WNO1532" s="646"/>
      <c r="WNP1532" s="646"/>
      <c r="WNQ1532" s="646"/>
      <c r="WNR1532" s="646"/>
      <c r="WNS1532" s="646"/>
      <c r="WNT1532" s="646"/>
      <c r="WNU1532" s="646"/>
      <c r="WNV1532" s="646"/>
      <c r="WNW1532" s="646"/>
      <c r="WNX1532" s="646"/>
      <c r="WNY1532" s="646"/>
      <c r="WNZ1532" s="646"/>
      <c r="WOA1532" s="646"/>
      <c r="WOB1532" s="646"/>
      <c r="WOC1532" s="646"/>
      <c r="WOD1532" s="646"/>
      <c r="WOE1532" s="646"/>
      <c r="WOF1532" s="646"/>
      <c r="WOG1532" s="646"/>
      <c r="WOH1532" s="646"/>
      <c r="WOI1532" s="646"/>
      <c r="WOJ1532" s="646"/>
      <c r="WOK1532" s="646"/>
      <c r="WOL1532" s="646"/>
      <c r="WOM1532" s="646"/>
      <c r="WON1532" s="646"/>
      <c r="WOO1532" s="646"/>
      <c r="WOP1532" s="646"/>
      <c r="WOQ1532" s="646"/>
      <c r="WOR1532" s="646"/>
      <c r="WOS1532" s="646"/>
      <c r="WOT1532" s="646"/>
      <c r="WOU1532" s="646"/>
      <c r="WOV1532" s="646"/>
      <c r="WOW1532" s="646"/>
      <c r="WOX1532" s="646"/>
      <c r="WOY1532" s="646"/>
      <c r="WOZ1532" s="646"/>
      <c r="WPA1532" s="646"/>
      <c r="WPB1532" s="646"/>
      <c r="WPC1532" s="646"/>
      <c r="WPD1532" s="646"/>
      <c r="WPE1532" s="646"/>
      <c r="WPF1532" s="646"/>
      <c r="WPG1532" s="646"/>
      <c r="WPH1532" s="646"/>
      <c r="WPI1532" s="646"/>
      <c r="WPJ1532" s="646"/>
      <c r="WPK1532" s="646"/>
      <c r="WPL1532" s="646"/>
      <c r="WPM1532" s="646"/>
      <c r="WPN1532" s="646"/>
      <c r="WPO1532" s="646"/>
      <c r="WPP1532" s="646"/>
      <c r="WPQ1532" s="646"/>
      <c r="WPR1532" s="646"/>
      <c r="WPS1532" s="646"/>
      <c r="WPT1532" s="646"/>
      <c r="WPU1532" s="646"/>
      <c r="WPV1532" s="646"/>
      <c r="WPW1532" s="646"/>
      <c r="WPX1532" s="646"/>
      <c r="WPY1532" s="646"/>
      <c r="WPZ1532" s="646"/>
      <c r="WQA1532" s="646"/>
      <c r="WQB1532" s="646"/>
      <c r="WQC1532" s="646"/>
      <c r="WQD1532" s="646"/>
      <c r="WQE1532" s="646"/>
      <c r="WQF1532" s="646"/>
      <c r="WQG1532" s="646"/>
      <c r="WQH1532" s="646"/>
      <c r="WQI1532" s="646"/>
      <c r="WQJ1532" s="646"/>
      <c r="WQK1532" s="646"/>
      <c r="WQL1532" s="646"/>
      <c r="WQM1532" s="646"/>
      <c r="WQN1532" s="646"/>
      <c r="WQO1532" s="646"/>
      <c r="WQP1532" s="646"/>
      <c r="WQQ1532" s="646"/>
      <c r="WQR1532" s="646"/>
      <c r="WQS1532" s="646"/>
      <c r="WQT1532" s="646"/>
      <c r="WQU1532" s="646"/>
      <c r="WQV1532" s="646"/>
      <c r="WQW1532" s="646"/>
      <c r="WQX1532" s="646"/>
      <c r="WQY1532" s="646"/>
      <c r="WQZ1532" s="646"/>
      <c r="WRA1532" s="646"/>
      <c r="WRB1532" s="646"/>
      <c r="WRC1532" s="646"/>
      <c r="WRD1532" s="646"/>
      <c r="WRE1532" s="646"/>
      <c r="WRF1532" s="646"/>
      <c r="WRG1532" s="646"/>
      <c r="WRH1532" s="646"/>
      <c r="WRI1532" s="646"/>
      <c r="WRJ1532" s="646"/>
      <c r="WRK1532" s="646"/>
      <c r="WRL1532" s="646"/>
      <c r="WRM1532" s="646"/>
      <c r="WRN1532" s="646"/>
      <c r="WRO1532" s="646"/>
      <c r="WRP1532" s="646"/>
      <c r="WRQ1532" s="646"/>
      <c r="WRR1532" s="646"/>
      <c r="WRS1532" s="646"/>
      <c r="WRT1532" s="646"/>
      <c r="WRU1532" s="646"/>
      <c r="WRV1532" s="646"/>
      <c r="WRW1532" s="646"/>
      <c r="WRX1532" s="646"/>
      <c r="WRY1532" s="646"/>
      <c r="WRZ1532" s="646"/>
      <c r="WSA1532" s="646"/>
      <c r="WSB1532" s="646"/>
      <c r="WSC1532" s="646"/>
      <c r="WSD1532" s="646"/>
      <c r="WSE1532" s="646"/>
      <c r="WSF1532" s="646"/>
      <c r="WSG1532" s="646"/>
      <c r="WSH1532" s="646"/>
      <c r="WSI1532" s="646"/>
      <c r="WSJ1532" s="646"/>
      <c r="WSK1532" s="646"/>
      <c r="WSL1532" s="646"/>
      <c r="WSM1532" s="646"/>
      <c r="WSN1532" s="646"/>
      <c r="WSO1532" s="646"/>
      <c r="WSP1532" s="646"/>
      <c r="WSQ1532" s="646"/>
      <c r="WSR1532" s="646"/>
      <c r="WSS1532" s="646"/>
      <c r="WST1532" s="646"/>
      <c r="WSU1532" s="646"/>
      <c r="WSV1532" s="646"/>
      <c r="WSW1532" s="646"/>
      <c r="WSX1532" s="646"/>
      <c r="WSY1532" s="646"/>
      <c r="WSZ1532" s="646"/>
      <c r="WTA1532" s="646"/>
      <c r="WTB1532" s="646"/>
      <c r="WTC1532" s="646"/>
      <c r="WTD1532" s="646"/>
      <c r="WTE1532" s="646"/>
      <c r="WTF1532" s="646"/>
      <c r="WTG1532" s="646"/>
      <c r="WTH1532" s="646"/>
      <c r="WTI1532" s="646"/>
      <c r="WTJ1532" s="646"/>
      <c r="WTK1532" s="646"/>
      <c r="WTL1532" s="646"/>
      <c r="WTM1532" s="646"/>
      <c r="WTN1532" s="646"/>
      <c r="WTO1532" s="646"/>
      <c r="WTP1532" s="646"/>
      <c r="WTQ1532" s="646"/>
      <c r="WTR1532" s="646"/>
      <c r="WTS1532" s="646"/>
      <c r="WTT1532" s="646"/>
      <c r="WTU1532" s="646"/>
      <c r="WTV1532" s="646"/>
      <c r="WTW1532" s="646"/>
      <c r="WTX1532" s="646"/>
      <c r="WTY1532" s="646"/>
      <c r="WTZ1532" s="646"/>
      <c r="WUA1532" s="646"/>
      <c r="WUB1532" s="646"/>
      <c r="WUC1532" s="646"/>
      <c r="WUD1532" s="646"/>
      <c r="WUE1532" s="646"/>
      <c r="WUF1532" s="646"/>
      <c r="WUG1532" s="646"/>
      <c r="WUH1532" s="646"/>
      <c r="WUI1532" s="646"/>
      <c r="WUJ1532" s="646"/>
      <c r="WUK1532" s="646"/>
      <c r="WUL1532" s="646"/>
      <c r="WUM1532" s="646"/>
      <c r="WUN1532" s="646"/>
      <c r="WUO1532" s="646"/>
      <c r="WUP1532" s="646"/>
      <c r="WUQ1532" s="646"/>
      <c r="WUR1532" s="646"/>
      <c r="WUS1532" s="646"/>
      <c r="WUT1532" s="646"/>
      <c r="WUU1532" s="646"/>
      <c r="WUV1532" s="646"/>
      <c r="WUW1532" s="646"/>
      <c r="WUX1532" s="646"/>
      <c r="WUY1532" s="646"/>
      <c r="WUZ1532" s="646"/>
      <c r="WVA1532" s="646"/>
      <c r="WVB1532" s="646"/>
      <c r="WVC1532" s="646"/>
      <c r="WVD1532" s="646"/>
      <c r="WVE1532" s="646"/>
      <c r="WVF1532" s="646"/>
      <c r="WVG1532" s="646"/>
      <c r="WVH1532" s="646"/>
      <c r="WVI1532" s="646"/>
      <c r="WVJ1532" s="646"/>
      <c r="WVK1532" s="646"/>
      <c r="WVL1532" s="646"/>
      <c r="WVM1532" s="646"/>
      <c r="WVN1532" s="646"/>
      <c r="WVO1532" s="646"/>
      <c r="WVP1532" s="646"/>
      <c r="WVQ1532" s="646"/>
      <c r="WVR1532" s="646"/>
      <c r="WVS1532" s="646"/>
      <c r="WVT1532" s="646"/>
      <c r="WVU1532" s="646"/>
      <c r="WVV1532" s="646"/>
      <c r="WVW1532" s="646"/>
      <c r="WVX1532" s="646"/>
      <c r="WVY1532" s="646"/>
      <c r="WVZ1532" s="646"/>
      <c r="WWA1532" s="646"/>
      <c r="WWB1532" s="646"/>
      <c r="WWC1532" s="646"/>
      <c r="WWD1532" s="646"/>
      <c r="WWE1532" s="646"/>
      <c r="WWF1532" s="646"/>
      <c r="WWG1532" s="646"/>
      <c r="WWH1532" s="646"/>
      <c r="WWI1532" s="646"/>
      <c r="WWJ1532" s="646"/>
      <c r="WWK1532" s="646"/>
      <c r="WWL1532" s="646"/>
      <c r="WWM1532" s="646"/>
      <c r="WWN1532" s="646"/>
      <c r="WWO1532" s="646"/>
      <c r="WWP1532" s="646"/>
      <c r="WWQ1532" s="646"/>
      <c r="WWR1532" s="646"/>
      <c r="WWS1532" s="646"/>
      <c r="WWT1532" s="646"/>
      <c r="WWU1532" s="646"/>
      <c r="WWV1532" s="646"/>
      <c r="WWW1532" s="646"/>
      <c r="WWX1532" s="646"/>
      <c r="WWY1532" s="646"/>
      <c r="WWZ1532" s="646"/>
      <c r="WXA1532" s="646"/>
      <c r="WXB1532" s="646"/>
      <c r="WXC1532" s="646"/>
      <c r="WXD1532" s="646"/>
      <c r="WXE1532" s="646"/>
      <c r="WXF1532" s="646"/>
      <c r="WXG1532" s="646"/>
      <c r="WXH1532" s="646"/>
      <c r="WXI1532" s="646"/>
      <c r="WXJ1532" s="646"/>
      <c r="WXK1532" s="646"/>
      <c r="WXL1532" s="646"/>
      <c r="WXM1532" s="646"/>
      <c r="WXN1532" s="646"/>
      <c r="WXO1532" s="646"/>
      <c r="WXP1532" s="646"/>
      <c r="WXQ1532" s="646"/>
      <c r="WXR1532" s="646"/>
      <c r="WXS1532" s="646"/>
      <c r="WXT1532" s="646"/>
      <c r="WXU1532" s="646"/>
      <c r="WXV1532" s="646"/>
      <c r="WXW1532" s="646"/>
      <c r="WXX1532" s="646"/>
      <c r="WXY1532" s="646"/>
      <c r="WXZ1532" s="646"/>
      <c r="WYA1532" s="646"/>
      <c r="WYB1532" s="646"/>
      <c r="WYC1532" s="646"/>
      <c r="WYD1532" s="646"/>
      <c r="WYE1532" s="646"/>
      <c r="WYF1532" s="646"/>
      <c r="WYG1532" s="646"/>
      <c r="WYH1532" s="646"/>
      <c r="WYI1532" s="646"/>
      <c r="WYJ1532" s="646"/>
      <c r="WYK1532" s="646"/>
      <c r="WYL1532" s="646"/>
      <c r="WYM1532" s="646"/>
      <c r="WYN1532" s="646"/>
      <c r="WYO1532" s="646"/>
      <c r="WYP1532" s="646"/>
      <c r="WYQ1532" s="646"/>
      <c r="WYR1532" s="646"/>
      <c r="WYS1532" s="646"/>
      <c r="WYT1532" s="646"/>
      <c r="WYU1532" s="646"/>
      <c r="WYV1532" s="646"/>
      <c r="WYW1532" s="646"/>
      <c r="WYX1532" s="646"/>
      <c r="WYY1532" s="646"/>
      <c r="WYZ1532" s="646"/>
      <c r="WZA1532" s="646"/>
      <c r="WZB1532" s="646"/>
      <c r="WZC1532" s="646"/>
      <c r="WZD1532" s="646"/>
      <c r="WZE1532" s="646"/>
      <c r="WZF1532" s="646"/>
      <c r="WZG1532" s="646"/>
      <c r="WZH1532" s="646"/>
      <c r="WZI1532" s="646"/>
      <c r="WZJ1532" s="646"/>
      <c r="WZK1532" s="646"/>
      <c r="WZL1532" s="646"/>
      <c r="WZM1532" s="646"/>
      <c r="WZN1532" s="646"/>
      <c r="WZO1532" s="646"/>
      <c r="WZP1532" s="646"/>
      <c r="WZQ1532" s="646"/>
      <c r="WZR1532" s="646"/>
      <c r="WZS1532" s="646"/>
      <c r="WZT1532" s="646"/>
      <c r="WZU1532" s="646"/>
      <c r="WZV1532" s="646"/>
      <c r="WZW1532" s="646"/>
      <c r="WZX1532" s="646"/>
      <c r="WZY1532" s="646"/>
      <c r="WZZ1532" s="646"/>
      <c r="XAA1532" s="646"/>
      <c r="XAB1532" s="646"/>
      <c r="XAC1532" s="646"/>
      <c r="XAD1532" s="646"/>
      <c r="XAE1532" s="646"/>
      <c r="XAF1532" s="646"/>
      <c r="XAG1532" s="646"/>
      <c r="XAH1532" s="646"/>
      <c r="XAI1532" s="646"/>
      <c r="XAJ1532" s="646"/>
      <c r="XAK1532" s="646"/>
      <c r="XAL1532" s="646"/>
      <c r="XAM1532" s="646"/>
      <c r="XAN1532" s="646"/>
      <c r="XAO1532" s="646"/>
      <c r="XAP1532" s="646"/>
      <c r="XAQ1532" s="646"/>
      <c r="XAR1532" s="646"/>
      <c r="XAS1532" s="646"/>
      <c r="XAT1532" s="646"/>
      <c r="XAU1532" s="646"/>
      <c r="XAV1532" s="646"/>
      <c r="XAW1532" s="646"/>
      <c r="XAX1532" s="646"/>
      <c r="XAY1532" s="646"/>
      <c r="XAZ1532" s="646"/>
      <c r="XBA1532" s="646"/>
      <c r="XBB1532" s="646"/>
      <c r="XBC1532" s="646"/>
      <c r="XBD1532" s="646"/>
      <c r="XBE1532" s="646"/>
      <c r="XBF1532" s="646"/>
      <c r="XBG1532" s="646"/>
      <c r="XBH1532" s="646"/>
      <c r="XBI1532" s="646"/>
      <c r="XBJ1532" s="646"/>
      <c r="XBK1532" s="646"/>
      <c r="XBL1532" s="646"/>
      <c r="XBM1532" s="646"/>
      <c r="XBN1532" s="646"/>
      <c r="XBO1532" s="646"/>
      <c r="XBP1532" s="646"/>
      <c r="XBQ1532" s="646"/>
      <c r="XBR1532" s="646"/>
      <c r="XBS1532" s="646"/>
      <c r="XBT1532" s="646"/>
      <c r="XBU1532" s="646"/>
      <c r="XBV1532" s="646"/>
      <c r="XBW1532" s="646"/>
      <c r="XBX1532" s="646"/>
      <c r="XBY1532" s="646"/>
      <c r="XBZ1532" s="646"/>
      <c r="XCA1532" s="646"/>
      <c r="XCB1532" s="646"/>
      <c r="XCC1532" s="646"/>
      <c r="XCD1532" s="646"/>
      <c r="XCE1532" s="646"/>
      <c r="XCF1532" s="646"/>
      <c r="XCG1532" s="646"/>
      <c r="XCH1532" s="646"/>
      <c r="XCI1532" s="646"/>
      <c r="XCJ1532" s="646"/>
      <c r="XCK1532" s="646"/>
      <c r="XCL1532" s="646"/>
      <c r="XCM1532" s="646"/>
      <c r="XCN1532" s="646"/>
      <c r="XCO1532" s="646"/>
      <c r="XCP1532" s="646"/>
      <c r="XCQ1532" s="646"/>
      <c r="XCR1532" s="646"/>
      <c r="XCS1532" s="646"/>
      <c r="XCT1532" s="646"/>
      <c r="XCU1532" s="646"/>
      <c r="XCV1532" s="646"/>
      <c r="XCW1532" s="646"/>
      <c r="XCX1532" s="646"/>
      <c r="XCY1532" s="646"/>
      <c r="XCZ1532" s="646"/>
      <c r="XDA1532" s="646"/>
      <c r="XDB1532" s="646"/>
      <c r="XDC1532" s="646"/>
      <c r="XDD1532" s="646"/>
      <c r="XDE1532" s="646"/>
      <c r="XDF1532" s="646"/>
      <c r="XDG1532" s="646"/>
      <c r="XDH1532" s="646"/>
      <c r="XDI1532" s="646"/>
      <c r="XDJ1532" s="646"/>
      <c r="XDK1532" s="646"/>
      <c r="XDL1532" s="646"/>
      <c r="XDM1532" s="646"/>
      <c r="XDN1532" s="646"/>
      <c r="XDO1532" s="646"/>
      <c r="XDP1532" s="646"/>
      <c r="XDQ1532" s="646"/>
      <c r="XDR1532" s="646"/>
      <c r="XDS1532" s="646"/>
      <c r="XDT1532" s="646"/>
      <c r="XDU1532" s="646"/>
      <c r="XDV1532" s="646"/>
      <c r="XDW1532" s="646"/>
      <c r="XDX1532" s="646"/>
      <c r="XDY1532" s="646"/>
      <c r="XDZ1532" s="646"/>
      <c r="XEA1532" s="646"/>
      <c r="XEB1532" s="646"/>
      <c r="XEC1532" s="646"/>
      <c r="XED1532" s="646"/>
      <c r="XEE1532" s="646"/>
      <c r="XEF1532" s="646"/>
      <c r="XEG1532" s="646"/>
      <c r="XEH1532" s="646"/>
      <c r="XEI1532" s="646"/>
      <c r="XEJ1532" s="646"/>
      <c r="XEK1532" s="646"/>
      <c r="XEL1532" s="646"/>
      <c r="XEM1532" s="646"/>
      <c r="XEN1532" s="646"/>
      <c r="XEO1532" s="646"/>
      <c r="XEP1532" s="646"/>
      <c r="XEQ1532" s="646"/>
      <c r="XER1532" s="646"/>
      <c r="XES1532" s="646"/>
      <c r="XET1532" s="646"/>
      <c r="XEU1532" s="646"/>
      <c r="XEV1532" s="646"/>
      <c r="XEW1532" s="646"/>
      <c r="XEX1532" s="646"/>
    </row>
    <row r="1533" spans="1:16378" s="30" customFormat="1" ht="15" customHeight="1" x14ac:dyDescent="0.25">
      <c r="A1533">
        <v>2025</v>
      </c>
      <c r="B1533" s="878" t="s">
        <v>771</v>
      </c>
      <c r="C1533" s="878" t="s">
        <v>1238</v>
      </c>
      <c r="D1533" s="878">
        <v>1210460</v>
      </c>
      <c r="E1533" s="8" t="s">
        <v>272</v>
      </c>
      <c r="F1533" s="878" t="s">
        <v>6874</v>
      </c>
      <c r="G1533" s="878" t="s">
        <v>7152</v>
      </c>
      <c r="H1533" s="878" t="s">
        <v>4001</v>
      </c>
      <c r="I1533" s="883">
        <v>45903</v>
      </c>
      <c r="J1533" s="918" t="s">
        <v>2052</v>
      </c>
      <c r="K1533" s="945">
        <v>45912</v>
      </c>
      <c r="L1533" s="884">
        <f>IF(ISTEXT(Table15[[#This Row],[Engineering Approved Design Date]]),Table15[[#This Row],[Date Completed]]-Table15[[#This Row],[Date Assigned to Designer]],Table15[[#This Row],[Engineering Approved Design Date]]-Table15[[#This Row],[Date Completed]])</f>
        <v>9</v>
      </c>
      <c r="M1533" s="919" t="s">
        <v>7759</v>
      </c>
      <c r="N1533" s="883" t="s">
        <v>376</v>
      </c>
      <c r="O1533" s="886" t="s">
        <v>376</v>
      </c>
      <c r="P1533" s="1153" t="s">
        <v>120</v>
      </c>
      <c r="Q1533" s="1151"/>
      <c r="R1533" s="887" t="s">
        <v>1922</v>
      </c>
      <c r="S1533" s="1540"/>
      <c r="T1533" s="1540"/>
      <c r="U1533" s="1556"/>
      <c r="V1533" s="1666"/>
      <c r="W1533" s="1579"/>
      <c r="X1533" s="1540"/>
      <c r="Y1533" s="1667"/>
      <c r="Z1533" s="1540"/>
      <c r="AA1533" s="1540"/>
      <c r="AB1533" s="1668"/>
      <c r="AC1533" s="996"/>
      <c r="AD1533" s="1669"/>
      <c r="AE1533" s="1219"/>
      <c r="AF1533" s="1007"/>
      <c r="AG1533" s="1670"/>
      <c r="AH1533" s="1671"/>
      <c r="AI1533" s="921"/>
      <c r="AJ1533" s="922"/>
      <c r="AK1533" s="922"/>
      <c r="AL1533" s="1030"/>
      <c r="AM1533" s="542" t="s">
        <v>709</v>
      </c>
      <c r="AN1533" s="924"/>
      <c r="AO1533" s="925"/>
      <c r="AP1533" s="926"/>
      <c r="AQ1533" s="926"/>
      <c r="AR1533" s="926"/>
      <c r="AS1533" s="926"/>
      <c r="AT1533" s="926"/>
      <c r="AU1533" s="926"/>
      <c r="AV1533" s="926"/>
      <c r="AW1533" s="927"/>
      <c r="AX1533" s="926"/>
      <c r="AY1533" s="1528" t="s">
        <v>29</v>
      </c>
      <c r="AZ1533" s="1530"/>
      <c r="BA1533" s="910">
        <v>8</v>
      </c>
      <c r="BB1533" s="1000" t="s">
        <v>7759</v>
      </c>
      <c r="BC1533" s="915" t="s">
        <v>115</v>
      </c>
      <c r="BD1533" s="915" t="s">
        <v>115</v>
      </c>
      <c r="BE1533" s="912" t="s">
        <v>115</v>
      </c>
      <c r="BF1533" s="913" t="s">
        <v>115</v>
      </c>
      <c r="BG1533" s="1001" t="s">
        <v>9158</v>
      </c>
      <c r="BH1533" s="1023" t="s">
        <v>7760</v>
      </c>
      <c r="BI1533" s="1268"/>
      <c r="BJ1533" s="1268"/>
      <c r="BK1533" s="1268"/>
      <c r="BL1533" s="1268"/>
      <c r="BM1533" s="1268"/>
      <c r="BN1533" s="1268"/>
      <c r="BO1533" s="1268"/>
      <c r="BP1533" s="1268"/>
      <c r="BQ1533" s="1268"/>
      <c r="BR1533" s="1268"/>
      <c r="BS1533" s="1268"/>
      <c r="BT1533" s="1268"/>
      <c r="BU1533" s="1268"/>
      <c r="BV1533" s="1268"/>
      <c r="BW1533" s="1268"/>
      <c r="BX1533" s="1268"/>
      <c r="BY1533" s="1268"/>
      <c r="BZ1533" s="1268"/>
      <c r="CA1533" s="1269"/>
      <c r="CB1533" s="547"/>
      <c r="CC1533" s="879"/>
      <c r="CD1533" s="879" t="str">
        <f>Table15[[#This Row],[Engineering Number]]&amp;Table15[[#This Row],[WO Number]]&amp;Table15[[#This Row],[Date Assigned to Designer]]&amp;Table15[[#This Row],[Date Completed]]</f>
        <v>BS194D-112104604590345912</v>
      </c>
      <c r="CE1533"/>
      <c r="CF1533"/>
      <c r="CG1533"/>
      <c r="CH1533"/>
      <c r="CI1533"/>
      <c r="CJ1533"/>
      <c r="CK1533"/>
      <c r="CL1533"/>
      <c r="CM1533"/>
      <c r="CN1533"/>
      <c r="CO1533"/>
      <c r="CP1533"/>
      <c r="CQ1533"/>
      <c r="CR1533"/>
      <c r="CS1533"/>
      <c r="CT1533"/>
      <c r="CU1533"/>
      <c r="CV1533"/>
      <c r="CW1533"/>
      <c r="CX1533"/>
      <c r="CY1533"/>
      <c r="CZ1533"/>
      <c r="DA1533"/>
      <c r="DB1533"/>
      <c r="DC1533"/>
      <c r="DD1533"/>
      <c r="DE1533"/>
      <c r="DF1533"/>
      <c r="DG1533"/>
      <c r="DH1533"/>
      <c r="DI1533"/>
      <c r="DJ1533"/>
      <c r="DK1533"/>
      <c r="DL1533"/>
      <c r="DM1533"/>
      <c r="DN1533"/>
      <c r="DO1533"/>
      <c r="DP1533"/>
      <c r="DQ1533"/>
      <c r="DR1533"/>
      <c r="DS1533"/>
      <c r="DT1533"/>
      <c r="DU1533"/>
      <c r="DV1533"/>
      <c r="DW1533"/>
      <c r="DX1533"/>
      <c r="DY1533"/>
      <c r="DZ1533"/>
      <c r="EA1533"/>
      <c r="EB1533"/>
      <c r="EC1533"/>
      <c r="ED1533"/>
      <c r="EE1533"/>
      <c r="EF1533"/>
      <c r="EG1533"/>
      <c r="EH1533"/>
      <c r="EI1533"/>
      <c r="EJ1533"/>
      <c r="EK1533"/>
      <c r="EL1533"/>
      <c r="EM1533"/>
      <c r="EN1533"/>
      <c r="EO1533"/>
      <c r="EP1533"/>
      <c r="EQ1533"/>
      <c r="ER1533"/>
      <c r="ES1533"/>
      <c r="ET1533"/>
      <c r="EU1533"/>
      <c r="EV1533"/>
      <c r="EW1533"/>
      <c r="EX1533"/>
      <c r="EY1533"/>
      <c r="EZ1533"/>
      <c r="FA1533"/>
      <c r="FB1533"/>
      <c r="FC1533"/>
      <c r="FD1533"/>
      <c r="FE1533"/>
      <c r="FF1533"/>
      <c r="FG1533"/>
      <c r="FH1533"/>
      <c r="FI1533"/>
      <c r="FJ1533"/>
      <c r="FK1533"/>
      <c r="FL1533"/>
      <c r="FM1533"/>
      <c r="FN1533"/>
      <c r="FO1533"/>
      <c r="FP1533"/>
      <c r="FQ1533"/>
      <c r="FR1533"/>
      <c r="FS1533"/>
      <c r="FT1533"/>
      <c r="FU1533"/>
      <c r="FV1533"/>
      <c r="FW1533"/>
      <c r="FX1533"/>
      <c r="FY1533"/>
      <c r="FZ1533"/>
      <c r="GA1533"/>
      <c r="GB1533"/>
      <c r="GC1533"/>
      <c r="GD1533"/>
      <c r="GE1533"/>
      <c r="GF1533"/>
      <c r="GG1533"/>
      <c r="GH1533"/>
      <c r="GI1533"/>
      <c r="GJ1533"/>
      <c r="GK1533"/>
      <c r="GL1533"/>
      <c r="GM1533"/>
      <c r="GN1533"/>
      <c r="GO1533"/>
      <c r="GP1533"/>
      <c r="GQ1533"/>
      <c r="GR1533"/>
      <c r="GS1533"/>
      <c r="GT1533"/>
      <c r="GU1533"/>
      <c r="GV1533"/>
      <c r="GW1533"/>
      <c r="GX1533"/>
      <c r="GY1533"/>
      <c r="GZ1533"/>
      <c r="HA1533"/>
      <c r="HB1533"/>
      <c r="HC1533"/>
      <c r="HD1533"/>
      <c r="HE1533"/>
      <c r="HF1533"/>
      <c r="HG1533"/>
      <c r="HH1533"/>
      <c r="HI1533"/>
      <c r="HJ1533"/>
      <c r="HK1533"/>
      <c r="HL1533"/>
      <c r="HM1533"/>
      <c r="HN1533"/>
      <c r="HO1533"/>
      <c r="HP1533"/>
      <c r="HQ1533"/>
      <c r="HR1533"/>
      <c r="HS1533"/>
      <c r="HT1533"/>
      <c r="HU1533"/>
      <c r="HV1533"/>
      <c r="HW1533"/>
      <c r="HX1533"/>
      <c r="HY1533"/>
      <c r="HZ1533"/>
      <c r="IA1533"/>
      <c r="IB1533"/>
      <c r="IC1533"/>
      <c r="ID1533"/>
      <c r="IE1533"/>
      <c r="IF1533"/>
      <c r="IG1533"/>
      <c r="IH1533"/>
      <c r="II1533"/>
      <c r="IJ1533"/>
      <c r="IK1533"/>
      <c r="IL1533"/>
      <c r="IM1533"/>
      <c r="IN1533"/>
      <c r="IO1533"/>
      <c r="IP1533"/>
      <c r="IQ1533"/>
      <c r="IR1533"/>
      <c r="IS1533"/>
      <c r="IT1533"/>
      <c r="IU1533"/>
      <c r="IV1533"/>
      <c r="IW1533"/>
      <c r="IX1533"/>
      <c r="IY1533"/>
      <c r="IZ1533"/>
      <c r="JA1533"/>
      <c r="JB1533"/>
      <c r="JC1533"/>
      <c r="JD1533"/>
      <c r="JE1533"/>
      <c r="JF1533"/>
      <c r="JG1533"/>
      <c r="JH1533"/>
      <c r="JI1533"/>
      <c r="JJ1533"/>
      <c r="JK1533"/>
      <c r="JL1533"/>
      <c r="JM1533"/>
      <c r="JN1533"/>
      <c r="JO1533"/>
      <c r="JP1533"/>
      <c r="JQ1533"/>
      <c r="JR1533"/>
      <c r="JS1533"/>
      <c r="JT1533"/>
      <c r="JU1533"/>
      <c r="JV1533"/>
      <c r="JW1533"/>
      <c r="JX1533"/>
      <c r="JY1533"/>
      <c r="JZ1533"/>
      <c r="KA1533"/>
      <c r="KB1533"/>
      <c r="KC1533"/>
      <c r="KD1533"/>
      <c r="KE1533"/>
      <c r="KF1533"/>
      <c r="KG1533"/>
      <c r="KH1533"/>
      <c r="KI1533"/>
      <c r="KJ1533"/>
      <c r="KK1533"/>
      <c r="KL1533"/>
      <c r="KM1533"/>
      <c r="KN1533"/>
      <c r="KO1533"/>
      <c r="KP1533"/>
      <c r="KQ1533"/>
      <c r="KR1533"/>
      <c r="KS1533"/>
      <c r="KT1533"/>
      <c r="KU1533"/>
      <c r="KV1533"/>
      <c r="KW1533"/>
      <c r="KX1533"/>
      <c r="KY1533"/>
      <c r="KZ1533"/>
      <c r="LA1533"/>
      <c r="LB1533"/>
      <c r="LC1533"/>
      <c r="LD1533"/>
      <c r="LE1533"/>
      <c r="LF1533"/>
      <c r="LG1533"/>
      <c r="LH1533"/>
      <c r="LI1533"/>
      <c r="LJ1533"/>
      <c r="LK1533"/>
      <c r="LL1533"/>
      <c r="LM1533"/>
      <c r="LN1533"/>
      <c r="LO1533"/>
      <c r="LP1533"/>
      <c r="LQ1533"/>
      <c r="LR1533"/>
      <c r="LS1533"/>
      <c r="LT1533"/>
      <c r="LU1533"/>
      <c r="LV1533"/>
      <c r="LW1533"/>
      <c r="LX1533"/>
      <c r="LY1533"/>
      <c r="LZ1533"/>
      <c r="MA1533"/>
      <c r="MB1533"/>
      <c r="MC1533"/>
      <c r="MD1533"/>
      <c r="ME1533"/>
      <c r="MF1533"/>
      <c r="MG1533"/>
      <c r="MH1533"/>
      <c r="MI1533"/>
      <c r="MJ1533"/>
      <c r="MK1533"/>
      <c r="ML1533"/>
      <c r="MM1533"/>
      <c r="MN1533"/>
      <c r="MO1533"/>
      <c r="MP1533"/>
      <c r="MQ1533"/>
      <c r="MR1533"/>
      <c r="MS1533"/>
      <c r="MT1533"/>
      <c r="MU1533"/>
      <c r="MV1533"/>
      <c r="MW1533"/>
      <c r="MX1533"/>
      <c r="MY1533"/>
      <c r="MZ1533"/>
      <c r="NA1533"/>
      <c r="NB1533"/>
      <c r="NC1533"/>
      <c r="ND1533"/>
      <c r="NE1533"/>
      <c r="NF1533"/>
      <c r="NG1533"/>
      <c r="NH1533"/>
      <c r="NI1533"/>
      <c r="NJ1533"/>
      <c r="NK1533"/>
      <c r="NL1533"/>
      <c r="NM1533"/>
      <c r="NN1533"/>
      <c r="NO1533"/>
      <c r="NP1533"/>
      <c r="NQ1533"/>
      <c r="NR1533"/>
      <c r="NS1533"/>
      <c r="NT1533"/>
      <c r="NU1533"/>
      <c r="NV1533"/>
      <c r="NW1533"/>
      <c r="NX1533"/>
      <c r="NY1533"/>
      <c r="NZ1533"/>
      <c r="OA1533"/>
      <c r="OB1533"/>
      <c r="OC1533"/>
      <c r="OD1533"/>
      <c r="OE1533"/>
      <c r="OF1533"/>
      <c r="OG1533"/>
      <c r="OH1533"/>
      <c r="OI1533"/>
      <c r="OJ1533"/>
      <c r="OK1533"/>
      <c r="OL1533"/>
      <c r="OM1533"/>
      <c r="ON1533"/>
      <c r="OO1533"/>
      <c r="OP1533"/>
      <c r="OQ1533"/>
      <c r="OR1533"/>
      <c r="OS1533"/>
      <c r="OT1533"/>
      <c r="OU1533"/>
      <c r="OV1533"/>
      <c r="OW1533"/>
      <c r="OX1533"/>
      <c r="OY1533"/>
      <c r="OZ1533"/>
      <c r="PA1533"/>
      <c r="PB1533"/>
      <c r="PC1533"/>
      <c r="PD1533"/>
      <c r="PE1533"/>
      <c r="PF1533"/>
      <c r="PG1533"/>
      <c r="PH1533"/>
      <c r="PI1533"/>
      <c r="PJ1533"/>
      <c r="PK1533"/>
      <c r="PL1533"/>
      <c r="PM1533"/>
      <c r="PN1533"/>
      <c r="PO1533"/>
      <c r="PP1533"/>
      <c r="PQ1533"/>
      <c r="PR1533"/>
      <c r="PS1533"/>
      <c r="PT1533"/>
      <c r="PU1533"/>
      <c r="PV1533"/>
      <c r="PW1533"/>
      <c r="PX1533"/>
      <c r="PY1533"/>
      <c r="PZ1533"/>
      <c r="QA1533"/>
      <c r="QB1533"/>
      <c r="QC1533"/>
      <c r="QD1533"/>
      <c r="QE1533"/>
      <c r="QF1533"/>
      <c r="QG1533"/>
      <c r="QH1533"/>
      <c r="QI1533"/>
      <c r="QJ1533"/>
      <c r="QK1533"/>
      <c r="QL1533"/>
      <c r="QM1533"/>
      <c r="QN1533"/>
      <c r="QO1533"/>
      <c r="QP1533"/>
      <c r="QQ1533"/>
      <c r="QR1533"/>
      <c r="QS1533"/>
      <c r="QT1533"/>
      <c r="QU1533"/>
      <c r="QV1533"/>
      <c r="QW1533"/>
      <c r="QX1533"/>
      <c r="QY1533"/>
      <c r="QZ1533"/>
      <c r="RA1533"/>
      <c r="RB1533"/>
      <c r="RC1533"/>
      <c r="RD1533"/>
      <c r="RE1533"/>
      <c r="RF1533"/>
      <c r="RG1533"/>
      <c r="RH1533"/>
      <c r="RI1533"/>
      <c r="RJ1533"/>
      <c r="RK1533"/>
      <c r="RL1533"/>
      <c r="RM1533"/>
      <c r="RN1533"/>
      <c r="RO1533"/>
      <c r="RP1533"/>
      <c r="RQ1533"/>
      <c r="RR1533"/>
      <c r="RS1533"/>
      <c r="RT1533"/>
      <c r="RU1533"/>
      <c r="RV1533"/>
      <c r="RW1533"/>
      <c r="RX1533"/>
      <c r="RY1533"/>
      <c r="RZ1533"/>
      <c r="SA1533"/>
      <c r="SB1533"/>
      <c r="SC1533"/>
      <c r="SD1533"/>
      <c r="SE1533"/>
      <c r="SF1533"/>
      <c r="SG1533"/>
      <c r="SH1533"/>
      <c r="SI1533"/>
      <c r="SJ1533"/>
      <c r="SK1533"/>
      <c r="SL1533"/>
      <c r="SM1533"/>
      <c r="SN1533"/>
      <c r="SO1533"/>
      <c r="SP1533"/>
      <c r="SQ1533"/>
      <c r="SR1533"/>
      <c r="SS1533"/>
      <c r="ST1533"/>
      <c r="SU1533"/>
      <c r="SV1533"/>
      <c r="SW1533"/>
      <c r="SX1533"/>
      <c r="SY1533"/>
      <c r="SZ1533"/>
      <c r="TA1533"/>
      <c r="TB1533"/>
      <c r="TC1533"/>
      <c r="TD1533"/>
      <c r="TE1533"/>
      <c r="TF1533"/>
      <c r="TG1533"/>
      <c r="TH1533"/>
      <c r="TI1533"/>
      <c r="TJ1533"/>
      <c r="TK1533"/>
      <c r="TL1533"/>
      <c r="TM1533"/>
      <c r="TN1533"/>
      <c r="TO1533"/>
      <c r="TP1533"/>
      <c r="TQ1533"/>
      <c r="TR1533"/>
      <c r="TS1533"/>
      <c r="TT1533"/>
      <c r="TU1533"/>
      <c r="TV1533"/>
      <c r="TW1533"/>
      <c r="TX1533"/>
      <c r="TY1533"/>
      <c r="TZ1533"/>
      <c r="UA1533"/>
      <c r="UB1533"/>
      <c r="UC1533"/>
      <c r="UD1533"/>
      <c r="UE1533"/>
      <c r="UF1533"/>
      <c r="UG1533"/>
      <c r="UH1533"/>
      <c r="UI1533"/>
      <c r="UJ1533"/>
      <c r="UK1533"/>
      <c r="UL1533"/>
      <c r="UM1533"/>
      <c r="UN1533"/>
      <c r="UO1533"/>
      <c r="UP1533"/>
      <c r="UQ1533"/>
      <c r="UR1533"/>
      <c r="US1533"/>
      <c r="UT1533"/>
      <c r="UU1533"/>
      <c r="UV1533"/>
      <c r="UW1533"/>
      <c r="UX1533"/>
      <c r="UY1533"/>
      <c r="UZ1533"/>
      <c r="VA1533"/>
      <c r="VB1533"/>
      <c r="VC1533"/>
      <c r="VD1533"/>
      <c r="VE1533"/>
      <c r="VF1533"/>
      <c r="VG1533"/>
      <c r="VH1533"/>
      <c r="VI1533"/>
      <c r="VJ1533"/>
      <c r="VK1533"/>
      <c r="VL1533"/>
      <c r="VM1533"/>
      <c r="VN1533"/>
      <c r="VO1533"/>
      <c r="VP1533"/>
      <c r="VQ1533"/>
      <c r="VR1533"/>
      <c r="VS1533"/>
      <c r="VT1533"/>
      <c r="VU1533"/>
      <c r="VV1533"/>
      <c r="VW1533"/>
      <c r="VX1533"/>
      <c r="VY1533"/>
      <c r="VZ1533"/>
      <c r="WA1533"/>
      <c r="WB1533"/>
      <c r="WC1533"/>
      <c r="WD1533"/>
      <c r="WE1533"/>
      <c r="WF1533"/>
      <c r="WG1533"/>
      <c r="WH1533"/>
      <c r="WI1533"/>
      <c r="WJ1533"/>
      <c r="WK1533"/>
      <c r="WL1533"/>
      <c r="WM1533"/>
      <c r="WN1533"/>
      <c r="WO1533"/>
      <c r="WP1533"/>
      <c r="WQ1533"/>
      <c r="WR1533"/>
      <c r="WS1533"/>
      <c r="WT1533"/>
      <c r="WU1533"/>
      <c r="WV1533"/>
      <c r="WW1533"/>
      <c r="WX1533"/>
      <c r="WY1533"/>
      <c r="WZ1533"/>
      <c r="XA1533"/>
      <c r="XB1533"/>
      <c r="XC1533"/>
      <c r="XD1533"/>
      <c r="XE1533"/>
      <c r="XF1533"/>
      <c r="XG1533"/>
      <c r="XH1533"/>
      <c r="XI1533"/>
      <c r="XJ1533"/>
      <c r="XK1533"/>
      <c r="XL1533"/>
      <c r="XM1533"/>
      <c r="XN1533"/>
      <c r="XO1533"/>
      <c r="XP1533"/>
      <c r="XQ1533"/>
      <c r="XR1533"/>
      <c r="XS1533"/>
      <c r="XT1533"/>
      <c r="XU1533"/>
      <c r="XV1533"/>
      <c r="XW1533"/>
      <c r="XX1533"/>
      <c r="XY1533"/>
      <c r="XZ1533"/>
      <c r="YA1533"/>
      <c r="YB1533"/>
      <c r="YC1533"/>
      <c r="YD1533"/>
      <c r="YE1533"/>
      <c r="YF1533"/>
      <c r="YG1533"/>
      <c r="YH1533"/>
      <c r="YI1533"/>
      <c r="YJ1533"/>
      <c r="YK1533"/>
      <c r="YL1533"/>
      <c r="YM1533"/>
      <c r="YN1533"/>
      <c r="YO1533"/>
      <c r="YP1533"/>
      <c r="YQ1533"/>
      <c r="YR1533"/>
      <c r="YS1533"/>
      <c r="YT1533"/>
      <c r="YU1533"/>
      <c r="YV1533"/>
      <c r="YW1533"/>
      <c r="YX1533"/>
      <c r="YY1533"/>
      <c r="YZ1533"/>
      <c r="ZA1533"/>
      <c r="ZB1533"/>
      <c r="ZC1533"/>
      <c r="ZD1533"/>
      <c r="ZE1533"/>
      <c r="ZF1533"/>
      <c r="ZG1533"/>
      <c r="ZH1533"/>
      <c r="ZI1533"/>
      <c r="ZJ1533"/>
      <c r="ZK1533"/>
      <c r="ZL1533"/>
      <c r="ZM1533"/>
      <c r="ZN1533"/>
      <c r="ZO1533"/>
      <c r="ZP1533"/>
      <c r="ZQ1533"/>
      <c r="ZR1533"/>
      <c r="ZS1533"/>
      <c r="ZT1533"/>
      <c r="ZU1533"/>
      <c r="ZV1533"/>
      <c r="ZW1533"/>
      <c r="ZX1533"/>
      <c r="ZY1533"/>
      <c r="ZZ1533"/>
      <c r="AAA1533"/>
      <c r="AAB1533"/>
      <c r="AAC1533"/>
      <c r="AAD1533"/>
      <c r="AAE1533"/>
      <c r="AAF1533"/>
      <c r="AAG1533"/>
      <c r="AAH1533"/>
      <c r="AAI1533"/>
      <c r="AAJ1533"/>
      <c r="AAK1533"/>
      <c r="AAL1533"/>
      <c r="AAM1533"/>
      <c r="AAN1533"/>
      <c r="AAO1533"/>
      <c r="AAP1533"/>
      <c r="AAQ1533"/>
      <c r="AAR1533"/>
      <c r="AAS1533"/>
      <c r="AAT1533"/>
      <c r="AAU1533"/>
      <c r="AAV1533"/>
      <c r="AAW1533"/>
      <c r="AAX1533"/>
      <c r="AAY1533"/>
      <c r="AAZ1533"/>
      <c r="ABA1533"/>
      <c r="ABB1533"/>
      <c r="ABC1533"/>
      <c r="ABD1533"/>
      <c r="ABE1533"/>
      <c r="ABF1533"/>
      <c r="ABG1533"/>
      <c r="ABH1533"/>
      <c r="ABI1533"/>
      <c r="ABJ1533"/>
      <c r="ABK1533"/>
      <c r="ABL1533"/>
      <c r="ABM1533"/>
      <c r="ABN1533"/>
      <c r="ABO1533"/>
      <c r="ABP1533"/>
      <c r="ABQ1533"/>
      <c r="ABR1533"/>
      <c r="ABS1533"/>
      <c r="ABT1533"/>
      <c r="ABU1533"/>
      <c r="ABV1533"/>
      <c r="ABW1533"/>
      <c r="ABX1533"/>
      <c r="ABY1533"/>
      <c r="ABZ1533"/>
      <c r="ACA1533"/>
      <c r="ACB1533"/>
      <c r="ACC1533"/>
      <c r="ACD1533"/>
      <c r="ACE1533"/>
      <c r="ACF1533"/>
      <c r="ACG1533"/>
      <c r="ACH1533"/>
      <c r="ACI1533"/>
      <c r="ACJ1533"/>
      <c r="ACK1533"/>
      <c r="ACL1533"/>
      <c r="ACM1533"/>
      <c r="ACN1533"/>
      <c r="ACO1533"/>
      <c r="ACP1533"/>
      <c r="ACQ1533"/>
      <c r="ACR1533"/>
      <c r="ACS1533"/>
      <c r="ACT1533"/>
      <c r="ACU1533"/>
      <c r="ACV1533"/>
      <c r="ACW1533"/>
      <c r="ACX1533"/>
      <c r="ACY1533"/>
      <c r="ACZ1533"/>
      <c r="ADA1533"/>
      <c r="ADB1533"/>
      <c r="ADC1533"/>
      <c r="ADD1533"/>
      <c r="ADE1533"/>
      <c r="ADF1533"/>
      <c r="ADG1533"/>
      <c r="ADH1533"/>
      <c r="ADI1533"/>
      <c r="ADJ1533"/>
      <c r="ADK1533"/>
      <c r="ADL1533"/>
      <c r="ADM1533"/>
      <c r="ADN1533"/>
      <c r="ADO1533"/>
      <c r="ADP1533"/>
      <c r="ADQ1533"/>
      <c r="ADR1533"/>
      <c r="ADS1533"/>
      <c r="ADT1533"/>
      <c r="ADU1533"/>
      <c r="ADV1533"/>
      <c r="ADW1533"/>
      <c r="ADX1533"/>
      <c r="ADY1533"/>
      <c r="ADZ1533"/>
      <c r="AEA1533"/>
      <c r="AEB1533"/>
      <c r="AEC1533"/>
      <c r="AED1533"/>
      <c r="AEE1533"/>
      <c r="AEF1533"/>
      <c r="AEG1533"/>
      <c r="AEH1533"/>
      <c r="AEI1533"/>
      <c r="AEJ1533"/>
      <c r="AEK1533"/>
      <c r="AEL1533"/>
      <c r="AEM1533"/>
      <c r="AEN1533"/>
      <c r="AEO1533"/>
      <c r="AEP1533"/>
      <c r="AEQ1533"/>
      <c r="AER1533"/>
      <c r="AES1533"/>
      <c r="AET1533"/>
      <c r="AEU1533"/>
      <c r="AEV1533"/>
      <c r="AEW1533"/>
      <c r="AEX1533"/>
      <c r="AEY1533"/>
      <c r="AEZ1533"/>
      <c r="AFA1533"/>
      <c r="AFB1533"/>
      <c r="AFC1533"/>
      <c r="AFD1533"/>
      <c r="AFE1533"/>
      <c r="AFF1533"/>
      <c r="AFG1533"/>
      <c r="AFH1533"/>
      <c r="AFI1533"/>
      <c r="AFJ1533"/>
      <c r="AFK1533"/>
      <c r="AFL1533"/>
      <c r="AFM1533"/>
      <c r="AFN1533"/>
      <c r="AFO1533"/>
      <c r="AFP1533"/>
      <c r="AFQ1533"/>
      <c r="AFR1533"/>
      <c r="AFS1533"/>
      <c r="AFT1533"/>
      <c r="AFU1533"/>
      <c r="AFV1533"/>
      <c r="AFW1533"/>
      <c r="AFX1533"/>
      <c r="AFY1533"/>
      <c r="AFZ1533"/>
      <c r="AGA1533"/>
      <c r="AGB1533"/>
      <c r="AGC1533"/>
      <c r="AGD1533"/>
      <c r="AGE1533"/>
      <c r="AGF1533"/>
      <c r="AGG1533"/>
      <c r="AGH1533"/>
      <c r="AGI1533"/>
      <c r="AGJ1533"/>
      <c r="AGK1533"/>
      <c r="AGL1533"/>
      <c r="AGM1533"/>
      <c r="AGN1533"/>
      <c r="AGO1533"/>
      <c r="AGP1533"/>
      <c r="AGQ1533"/>
      <c r="AGR1533"/>
      <c r="AGS1533"/>
      <c r="AGT1533"/>
      <c r="AGU1533"/>
      <c r="AGV1533"/>
      <c r="AGW1533"/>
      <c r="AGX1533"/>
      <c r="AGY1533"/>
      <c r="AGZ1533"/>
      <c r="AHA1533"/>
      <c r="AHB1533"/>
      <c r="AHC1533"/>
      <c r="AHD1533"/>
      <c r="AHE1533"/>
      <c r="AHF1533"/>
      <c r="AHG1533"/>
      <c r="AHH1533"/>
      <c r="AHI1533"/>
      <c r="AHJ1533"/>
      <c r="AHK1533"/>
      <c r="AHL1533"/>
      <c r="AHM1533"/>
      <c r="AHN1533"/>
      <c r="AHO1533"/>
      <c r="AHP1533"/>
      <c r="AHQ1533"/>
      <c r="AHR1533"/>
      <c r="AHS1533"/>
      <c r="AHT1533"/>
      <c r="AHU1533"/>
      <c r="AHV1533"/>
      <c r="AHW1533"/>
      <c r="AHX1533"/>
      <c r="AHY1533"/>
      <c r="AHZ1533"/>
      <c r="AIA1533"/>
      <c r="AIB1533"/>
      <c r="AIC1533"/>
      <c r="AID1533"/>
      <c r="AIE1533"/>
      <c r="AIF1533"/>
      <c r="AIG1533"/>
      <c r="AIH1533"/>
      <c r="AII1533"/>
      <c r="AIJ1533"/>
      <c r="AIK1533"/>
      <c r="AIL1533"/>
      <c r="AIM1533"/>
      <c r="AIN1533"/>
      <c r="AIO1533"/>
      <c r="AIP1533"/>
      <c r="AIQ1533"/>
      <c r="AIR1533"/>
      <c r="AIS1533"/>
      <c r="AIT1533"/>
      <c r="AIU1533"/>
      <c r="AIV1533"/>
      <c r="AIW1533"/>
      <c r="AIX1533"/>
      <c r="AIY1533"/>
      <c r="AIZ1533"/>
      <c r="AJA1533"/>
      <c r="AJB1533"/>
      <c r="AJC1533"/>
      <c r="AJD1533"/>
      <c r="AJE1533"/>
      <c r="AJF1533"/>
      <c r="AJG1533"/>
      <c r="AJH1533"/>
      <c r="AJI1533"/>
      <c r="AJJ1533"/>
      <c r="AJK1533"/>
      <c r="AJL1533"/>
      <c r="AJM1533"/>
      <c r="AJN1533"/>
      <c r="AJO1533"/>
      <c r="AJP1533"/>
      <c r="AJQ1533"/>
      <c r="AJR1533"/>
      <c r="AJS1533"/>
      <c r="AJT1533"/>
      <c r="AJU1533"/>
      <c r="AJV1533"/>
      <c r="AJW1533"/>
      <c r="AJX1533"/>
      <c r="AJY1533"/>
      <c r="AJZ1533"/>
      <c r="AKA1533"/>
      <c r="AKB1533"/>
      <c r="AKC1533"/>
      <c r="AKD1533"/>
      <c r="AKE1533"/>
      <c r="AKF1533"/>
      <c r="AKG1533"/>
      <c r="AKH1533"/>
      <c r="AKI1533"/>
      <c r="AKJ1533"/>
      <c r="AKK1533"/>
      <c r="AKL1533"/>
      <c r="AKM1533"/>
      <c r="AKN1533"/>
      <c r="AKO1533"/>
      <c r="AKP1533"/>
      <c r="AKQ1533"/>
      <c r="AKR1533"/>
      <c r="AKS1533"/>
      <c r="AKT1533"/>
      <c r="AKU1533"/>
      <c r="AKV1533"/>
      <c r="AKW1533"/>
      <c r="AKX1533"/>
      <c r="AKY1533"/>
      <c r="AKZ1533"/>
      <c r="ALA1533"/>
      <c r="ALB1533"/>
      <c r="ALC1533"/>
      <c r="ALD1533"/>
      <c r="ALE1533"/>
      <c r="ALF1533"/>
      <c r="ALG1533"/>
      <c r="ALH1533"/>
      <c r="ALI1533"/>
      <c r="ALJ1533"/>
      <c r="ALK1533"/>
      <c r="ALL1533"/>
      <c r="ALM1533"/>
      <c r="ALN1533"/>
      <c r="ALO1533"/>
      <c r="ALP1533"/>
      <c r="ALQ1533"/>
      <c r="ALR1533"/>
      <c r="ALS1533"/>
      <c r="ALT1533"/>
      <c r="ALU1533"/>
      <c r="ALV1533"/>
      <c r="ALW1533"/>
      <c r="ALX1533"/>
      <c r="ALY1533"/>
      <c r="ALZ1533"/>
      <c r="AMA1533"/>
      <c r="AMB1533"/>
      <c r="AMC1533"/>
      <c r="AMD1533"/>
      <c r="AME1533"/>
      <c r="AMF1533"/>
      <c r="AMG1533"/>
      <c r="AMH1533"/>
      <c r="AMI1533"/>
      <c r="AMJ1533"/>
      <c r="AMK1533"/>
      <c r="AML1533"/>
      <c r="AMM1533"/>
      <c r="AMN1533"/>
      <c r="AMO1533"/>
      <c r="AMP1533"/>
      <c r="AMQ1533"/>
      <c r="AMR1533"/>
      <c r="AMS1533"/>
      <c r="AMT1533"/>
      <c r="AMU1533"/>
      <c r="AMV1533"/>
      <c r="AMW1533"/>
      <c r="AMX1533"/>
      <c r="AMY1533"/>
      <c r="AMZ1533"/>
      <c r="ANA1533"/>
      <c r="ANB1533"/>
      <c r="ANC1533"/>
      <c r="AND1533"/>
      <c r="ANE1533"/>
      <c r="ANF1533"/>
      <c r="ANG1533"/>
      <c r="ANH1533"/>
      <c r="ANI1533"/>
      <c r="ANJ1533"/>
      <c r="ANK1533"/>
      <c r="ANL1533"/>
      <c r="ANM1533"/>
      <c r="ANN1533"/>
      <c r="ANO1533"/>
      <c r="ANP1533"/>
      <c r="ANQ1533"/>
      <c r="ANR1533"/>
      <c r="ANS1533"/>
      <c r="ANT1533"/>
      <c r="ANU1533"/>
      <c r="ANV1533"/>
      <c r="ANW1533"/>
      <c r="ANX1533"/>
      <c r="ANY1533"/>
      <c r="ANZ1533"/>
      <c r="AOA1533"/>
      <c r="AOB1533"/>
      <c r="AOC1533"/>
      <c r="AOD1533"/>
      <c r="AOE1533"/>
      <c r="AOF1533"/>
      <c r="AOG1533"/>
      <c r="AOH1533"/>
      <c r="AOI1533"/>
      <c r="AOJ1533"/>
      <c r="AOK1533"/>
      <c r="AOL1533"/>
      <c r="AOM1533"/>
      <c r="AON1533"/>
      <c r="AOO1533"/>
      <c r="AOP1533"/>
      <c r="AOQ1533"/>
      <c r="AOR1533"/>
      <c r="AOS1533"/>
      <c r="AOT1533"/>
      <c r="AOU1533"/>
      <c r="AOV1533"/>
      <c r="AOW1533"/>
      <c r="AOX1533"/>
      <c r="AOY1533"/>
      <c r="AOZ1533"/>
      <c r="APA1533"/>
      <c r="APB1533"/>
      <c r="APC1533"/>
      <c r="APD1533"/>
      <c r="APE1533"/>
      <c r="APF1533"/>
      <c r="APG1533"/>
      <c r="APH1533"/>
      <c r="API1533"/>
      <c r="APJ1533"/>
      <c r="APK1533"/>
      <c r="APL1533"/>
      <c r="APM1533"/>
      <c r="APN1533"/>
      <c r="APO1533"/>
      <c r="APP1533"/>
      <c r="APQ1533"/>
      <c r="APR1533"/>
      <c r="APS1533"/>
      <c r="APT1533"/>
      <c r="APU1533"/>
      <c r="APV1533"/>
      <c r="APW1533"/>
      <c r="APX1533"/>
      <c r="APY1533"/>
      <c r="APZ1533"/>
      <c r="AQA1533"/>
      <c r="AQB1533"/>
      <c r="AQC1533"/>
      <c r="AQD1533"/>
      <c r="AQE1533"/>
      <c r="AQF1533"/>
      <c r="AQG1533"/>
      <c r="AQH1533"/>
      <c r="AQI1533"/>
      <c r="AQJ1533"/>
      <c r="AQK1533"/>
      <c r="AQL1533"/>
      <c r="AQM1533"/>
      <c r="AQN1533"/>
      <c r="AQO1533"/>
      <c r="AQP1533"/>
      <c r="AQQ1533"/>
      <c r="AQR1533"/>
      <c r="AQS1533"/>
      <c r="AQT1533"/>
      <c r="AQU1533"/>
      <c r="AQV1533"/>
      <c r="AQW1533"/>
      <c r="AQX1533"/>
      <c r="AQY1533"/>
      <c r="AQZ1533"/>
      <c r="ARA1533"/>
      <c r="ARB1533"/>
      <c r="ARC1533"/>
      <c r="ARD1533"/>
      <c r="ARE1533"/>
      <c r="ARF1533"/>
      <c r="ARG1533"/>
      <c r="ARH1533"/>
      <c r="ARI1533"/>
      <c r="ARJ1533"/>
      <c r="ARK1533"/>
      <c r="ARL1533"/>
      <c r="ARM1533"/>
      <c r="ARN1533"/>
      <c r="ARO1533"/>
      <c r="ARP1533"/>
      <c r="ARQ1533"/>
      <c r="ARR1533"/>
      <c r="ARS1533"/>
      <c r="ART1533"/>
      <c r="ARU1533"/>
      <c r="ARV1533"/>
      <c r="ARW1533"/>
      <c r="ARX1533"/>
      <c r="ARY1533"/>
      <c r="ARZ1533"/>
      <c r="ASA1533"/>
      <c r="ASB1533"/>
      <c r="ASC1533"/>
      <c r="ASD1533"/>
      <c r="ASE1533"/>
      <c r="ASF1533"/>
      <c r="ASG1533"/>
      <c r="ASH1533"/>
      <c r="ASI1533"/>
      <c r="ASJ1533"/>
      <c r="ASK1533"/>
      <c r="ASL1533"/>
      <c r="ASM1533"/>
      <c r="ASN1533"/>
      <c r="ASO1533"/>
      <c r="ASP1533"/>
      <c r="ASQ1533"/>
      <c r="ASR1533"/>
      <c r="ASS1533"/>
      <c r="AST1533"/>
      <c r="ASU1533"/>
      <c r="ASV1533"/>
      <c r="ASW1533"/>
      <c r="ASX1533"/>
      <c r="ASY1533"/>
      <c r="ASZ1533"/>
      <c r="ATA1533"/>
      <c r="ATB1533"/>
      <c r="ATC1533"/>
      <c r="ATD1533"/>
      <c r="ATE1533"/>
      <c r="ATF1533"/>
      <c r="ATG1533"/>
      <c r="ATH1533"/>
      <c r="ATI1533"/>
      <c r="ATJ1533"/>
      <c r="ATK1533"/>
      <c r="ATL1533"/>
      <c r="ATM1533"/>
      <c r="ATN1533"/>
      <c r="ATO1533"/>
      <c r="ATP1533"/>
      <c r="ATQ1533"/>
      <c r="ATR1533"/>
      <c r="ATS1533"/>
      <c r="ATT1533"/>
      <c r="ATU1533"/>
      <c r="ATV1533"/>
      <c r="ATW1533"/>
      <c r="ATX1533"/>
      <c r="ATY1533"/>
      <c r="ATZ1533"/>
      <c r="AUA1533"/>
      <c r="AUB1533"/>
      <c r="AUC1533"/>
      <c r="AUD1533"/>
      <c r="AUE1533"/>
      <c r="AUF1533"/>
      <c r="AUG1533"/>
      <c r="AUH1533"/>
      <c r="AUI1533"/>
      <c r="AUJ1533"/>
      <c r="AUK1533"/>
      <c r="AUL1533"/>
      <c r="AUM1533"/>
      <c r="AUN1533"/>
      <c r="AUO1533"/>
      <c r="AUP1533"/>
      <c r="AUQ1533"/>
      <c r="AUR1533"/>
      <c r="AUS1533"/>
      <c r="AUT1533"/>
      <c r="AUU1533"/>
      <c r="AUV1533"/>
      <c r="AUW1533"/>
      <c r="AUX1533"/>
      <c r="AUY1533"/>
      <c r="AUZ1533"/>
      <c r="AVA1533"/>
      <c r="AVB1533"/>
      <c r="AVC1533"/>
      <c r="AVD1533"/>
      <c r="AVE1533"/>
      <c r="AVF1533"/>
      <c r="AVG1533"/>
      <c r="AVH1533"/>
      <c r="AVI1533"/>
      <c r="AVJ1533"/>
      <c r="AVK1533"/>
      <c r="AVL1533"/>
      <c r="AVM1533"/>
      <c r="AVN1533"/>
      <c r="AVO1533"/>
      <c r="AVP1533"/>
      <c r="AVQ1533"/>
      <c r="AVR1533"/>
      <c r="AVS1533"/>
      <c r="AVT1533"/>
      <c r="AVU1533"/>
      <c r="AVV1533"/>
      <c r="AVW1533"/>
      <c r="AVX1533"/>
      <c r="AVY1533"/>
      <c r="AVZ1533"/>
      <c r="AWA1533"/>
      <c r="AWB1533"/>
      <c r="AWC1533"/>
      <c r="AWD1533"/>
      <c r="AWE1533"/>
      <c r="AWF1533"/>
      <c r="AWG1533"/>
      <c r="AWH1533"/>
      <c r="AWI1533"/>
      <c r="AWJ1533"/>
      <c r="AWK1533"/>
      <c r="AWL1533"/>
      <c r="AWM1533"/>
      <c r="AWN1533"/>
      <c r="AWO1533"/>
      <c r="AWP1533"/>
      <c r="AWQ1533"/>
      <c r="AWR1533"/>
      <c r="AWS1533"/>
      <c r="AWT1533"/>
      <c r="AWU1533"/>
      <c r="AWV1533"/>
      <c r="AWW1533"/>
      <c r="AWX1533"/>
      <c r="AWY1533"/>
      <c r="AWZ1533"/>
      <c r="AXA1533"/>
      <c r="AXB1533"/>
      <c r="AXC1533"/>
      <c r="AXD1533"/>
      <c r="AXE1533"/>
      <c r="AXF1533"/>
      <c r="AXG1533"/>
      <c r="AXH1533"/>
      <c r="AXI1533"/>
      <c r="AXJ1533"/>
      <c r="AXK1533"/>
      <c r="AXL1533"/>
      <c r="AXM1533"/>
      <c r="AXN1533"/>
      <c r="AXO1533"/>
      <c r="AXP1533"/>
      <c r="AXQ1533"/>
      <c r="AXR1533"/>
      <c r="AXS1533"/>
      <c r="AXT1533"/>
      <c r="AXU1533"/>
      <c r="AXV1533"/>
      <c r="AXW1533"/>
      <c r="AXX1533"/>
      <c r="AXY1533"/>
      <c r="AXZ1533"/>
      <c r="AYA1533"/>
      <c r="AYB1533"/>
      <c r="AYC1533"/>
      <c r="AYD1533"/>
      <c r="AYE1533"/>
      <c r="AYF1533"/>
      <c r="AYG1533"/>
      <c r="AYH1533"/>
      <c r="AYI1533"/>
      <c r="AYJ1533"/>
      <c r="AYK1533"/>
      <c r="AYL1533"/>
      <c r="AYM1533"/>
      <c r="AYN1533"/>
      <c r="AYO1533"/>
      <c r="AYP1533"/>
      <c r="AYQ1533"/>
      <c r="AYR1533"/>
      <c r="AYS1533"/>
      <c r="AYT1533"/>
      <c r="AYU1533"/>
      <c r="AYV1533"/>
      <c r="AYW1533"/>
      <c r="AYX1533"/>
      <c r="AYY1533"/>
      <c r="AYZ1533"/>
      <c r="AZA1533"/>
      <c r="AZB1533"/>
      <c r="AZC1533"/>
      <c r="AZD1533"/>
      <c r="AZE1533"/>
      <c r="AZF1533"/>
      <c r="AZG1533"/>
      <c r="AZH1533"/>
      <c r="AZI1533"/>
      <c r="AZJ1533"/>
      <c r="AZK1533"/>
      <c r="AZL1533"/>
      <c r="AZM1533"/>
      <c r="AZN1533"/>
      <c r="AZO1533"/>
      <c r="AZP1533"/>
      <c r="AZQ1533"/>
      <c r="AZR1533"/>
      <c r="AZS1533"/>
      <c r="AZT1533"/>
      <c r="AZU1533"/>
      <c r="AZV1533"/>
      <c r="AZW1533"/>
      <c r="AZX1533"/>
      <c r="AZY1533"/>
      <c r="AZZ1533"/>
      <c r="BAA1533"/>
      <c r="BAB1533"/>
      <c r="BAC1533"/>
      <c r="BAD1533"/>
      <c r="BAE1533"/>
      <c r="BAF1533"/>
      <c r="BAG1533"/>
      <c r="BAH1533"/>
      <c r="BAI1533"/>
      <c r="BAJ1533"/>
      <c r="BAK1533"/>
      <c r="BAL1533"/>
      <c r="BAM1533"/>
      <c r="BAN1533"/>
      <c r="BAO1533"/>
      <c r="BAP1533"/>
      <c r="BAQ1533"/>
      <c r="BAR1533"/>
      <c r="BAS1533"/>
      <c r="BAT1533"/>
      <c r="BAU1533"/>
      <c r="BAV1533"/>
      <c r="BAW1533"/>
      <c r="BAX1533"/>
      <c r="BAY1533"/>
      <c r="BAZ1533"/>
      <c r="BBA1533"/>
      <c r="BBB1533"/>
      <c r="BBC1533"/>
      <c r="BBD1533"/>
      <c r="BBE1533"/>
      <c r="BBF1533"/>
      <c r="BBG1533"/>
      <c r="BBH1533"/>
      <c r="BBI1533"/>
      <c r="BBJ1533"/>
      <c r="BBK1533"/>
      <c r="BBL1533"/>
      <c r="BBM1533"/>
      <c r="BBN1533"/>
      <c r="BBO1533"/>
      <c r="BBP1533"/>
      <c r="BBQ1533"/>
      <c r="BBR1533"/>
      <c r="BBS1533"/>
      <c r="BBT1533"/>
      <c r="BBU1533"/>
      <c r="BBV1533"/>
      <c r="BBW1533"/>
      <c r="BBX1533"/>
      <c r="BBY1533"/>
      <c r="BBZ1533"/>
      <c r="BCA1533"/>
      <c r="BCB1533"/>
      <c r="BCC1533"/>
      <c r="BCD1533"/>
      <c r="BCE1533"/>
      <c r="BCF1533"/>
      <c r="BCG1533"/>
      <c r="BCH1533"/>
      <c r="BCI1533"/>
      <c r="BCJ1533"/>
      <c r="BCK1533"/>
      <c r="BCL1533"/>
      <c r="BCM1533"/>
      <c r="BCN1533"/>
      <c r="BCO1533"/>
      <c r="BCP1533"/>
      <c r="BCQ1533"/>
      <c r="BCR1533"/>
      <c r="BCS1533"/>
      <c r="BCT1533"/>
      <c r="BCU1533"/>
      <c r="BCV1533"/>
      <c r="BCW1533"/>
      <c r="BCX1533"/>
      <c r="BCY1533"/>
      <c r="BCZ1533"/>
      <c r="BDA1533"/>
      <c r="BDB1533"/>
      <c r="BDC1533"/>
      <c r="BDD1533"/>
      <c r="BDE1533"/>
      <c r="BDF1533"/>
      <c r="BDG1533"/>
      <c r="BDH1533"/>
      <c r="BDI1533"/>
      <c r="BDJ1533"/>
      <c r="BDK1533"/>
      <c r="BDL1533"/>
      <c r="BDM1533"/>
      <c r="BDN1533"/>
      <c r="BDO1533"/>
      <c r="BDP1533"/>
      <c r="BDQ1533"/>
      <c r="BDR1533"/>
      <c r="BDS1533"/>
      <c r="BDT1533"/>
      <c r="BDU1533"/>
      <c r="BDV1533"/>
      <c r="BDW1533"/>
      <c r="BDX1533"/>
      <c r="BDY1533"/>
      <c r="BDZ1533"/>
      <c r="BEA1533"/>
      <c r="BEB1533"/>
      <c r="BEC1533"/>
      <c r="BED1533"/>
      <c r="BEE1533"/>
      <c r="BEF1533"/>
      <c r="BEG1533"/>
      <c r="BEH1533"/>
      <c r="BEI1533"/>
      <c r="BEJ1533"/>
      <c r="BEK1533"/>
      <c r="BEL1533"/>
      <c r="BEM1533"/>
      <c r="BEN1533"/>
      <c r="BEO1533"/>
      <c r="BEP1533"/>
      <c r="BEQ1533"/>
      <c r="BER1533"/>
      <c r="BES1533"/>
      <c r="BET1533"/>
      <c r="BEU1533"/>
      <c r="BEV1533"/>
      <c r="BEW1533"/>
      <c r="BEX1533"/>
      <c r="BEY1533"/>
      <c r="BEZ1533"/>
      <c r="BFA1533"/>
      <c r="BFB1533"/>
      <c r="BFC1533"/>
      <c r="BFD1533"/>
      <c r="BFE1533"/>
      <c r="BFF1533"/>
      <c r="BFG1533"/>
      <c r="BFH1533"/>
      <c r="BFI1533"/>
      <c r="BFJ1533"/>
      <c r="BFK1533"/>
      <c r="BFL1533"/>
      <c r="BFM1533"/>
      <c r="BFN1533"/>
      <c r="BFO1533"/>
      <c r="BFP1533"/>
      <c r="BFQ1533"/>
      <c r="BFR1533"/>
      <c r="BFS1533"/>
      <c r="BFT1533"/>
      <c r="BFU1533"/>
      <c r="BFV1533"/>
      <c r="BFW1533"/>
      <c r="BFX1533"/>
      <c r="BFY1533"/>
      <c r="BFZ1533"/>
      <c r="BGA1533"/>
      <c r="BGB1533"/>
      <c r="BGC1533"/>
      <c r="BGD1533"/>
      <c r="BGE1533"/>
      <c r="BGF1533"/>
      <c r="BGG1533"/>
      <c r="BGH1533"/>
      <c r="BGI1533"/>
      <c r="BGJ1533"/>
      <c r="BGK1533"/>
      <c r="BGL1533"/>
      <c r="BGM1533"/>
      <c r="BGN1533"/>
      <c r="BGO1533"/>
      <c r="BGP1533"/>
      <c r="BGQ1533"/>
      <c r="BGR1533"/>
      <c r="BGS1533"/>
      <c r="BGT1533"/>
      <c r="BGU1533"/>
      <c r="BGV1533"/>
      <c r="BGW1533"/>
      <c r="BGX1533"/>
      <c r="BGY1533"/>
      <c r="BGZ1533"/>
      <c r="BHA1533"/>
      <c r="BHB1533"/>
      <c r="BHC1533"/>
      <c r="BHD1533"/>
      <c r="BHE1533"/>
      <c r="BHF1533"/>
      <c r="BHG1533"/>
      <c r="BHH1533"/>
      <c r="BHI1533"/>
      <c r="BHJ1533"/>
      <c r="BHK1533"/>
      <c r="BHL1533"/>
      <c r="BHM1533"/>
      <c r="BHN1533"/>
      <c r="BHO1533"/>
      <c r="BHP1533"/>
      <c r="BHQ1533"/>
      <c r="BHR1533"/>
      <c r="BHS1533"/>
      <c r="BHT1533"/>
      <c r="BHU1533"/>
      <c r="BHV1533"/>
      <c r="BHW1533"/>
      <c r="BHX1533"/>
      <c r="BHY1533"/>
      <c r="BHZ1533"/>
      <c r="BIA1533"/>
      <c r="BIB1533"/>
      <c r="BIC1533"/>
      <c r="BID1533"/>
      <c r="BIE1533"/>
      <c r="BIF1533"/>
      <c r="BIG1533"/>
      <c r="BIH1533"/>
      <c r="BII1533"/>
      <c r="BIJ1533"/>
      <c r="BIK1533"/>
      <c r="BIL1533"/>
      <c r="BIM1533"/>
      <c r="BIN1533"/>
      <c r="BIO1533"/>
      <c r="BIP1533"/>
      <c r="BIQ1533"/>
      <c r="BIR1533"/>
      <c r="BIS1533"/>
      <c r="BIT1533"/>
      <c r="BIU1533"/>
      <c r="BIV1533"/>
      <c r="BIW1533"/>
      <c r="BIX1533"/>
      <c r="BIY1533"/>
      <c r="BIZ1533"/>
      <c r="BJA1533"/>
      <c r="BJB1533"/>
      <c r="BJC1533"/>
      <c r="BJD1533"/>
      <c r="BJE1533"/>
      <c r="BJF1533"/>
      <c r="BJG1533"/>
      <c r="BJH1533"/>
      <c r="BJI1533"/>
      <c r="BJJ1533"/>
      <c r="BJK1533"/>
      <c r="BJL1533"/>
      <c r="BJM1533"/>
      <c r="BJN1533"/>
      <c r="BJO1533"/>
      <c r="BJP1533"/>
      <c r="BJQ1533"/>
      <c r="BJR1533"/>
      <c r="BJS1533"/>
      <c r="BJT1533"/>
      <c r="BJU1533"/>
      <c r="BJV1533"/>
      <c r="BJW1533"/>
      <c r="BJX1533"/>
      <c r="BJY1533"/>
      <c r="BJZ1533"/>
      <c r="BKA1533"/>
      <c r="BKB1533"/>
      <c r="BKC1533"/>
      <c r="BKD1533"/>
      <c r="BKE1533"/>
      <c r="BKF1533"/>
      <c r="BKG1533"/>
      <c r="BKH1533"/>
      <c r="BKI1533"/>
      <c r="BKJ1533"/>
      <c r="BKK1533"/>
      <c r="BKL1533"/>
      <c r="BKM1533"/>
      <c r="BKN1533"/>
      <c r="BKO1533"/>
      <c r="BKP1533"/>
      <c r="BKQ1533"/>
      <c r="BKR1533"/>
      <c r="BKS1533"/>
      <c r="BKT1533"/>
      <c r="BKU1533"/>
      <c r="BKV1533"/>
      <c r="BKW1533"/>
      <c r="BKX1533"/>
      <c r="BKY1533"/>
      <c r="BKZ1533"/>
      <c r="BLA1533"/>
      <c r="BLB1533"/>
      <c r="BLC1533"/>
      <c r="BLD1533"/>
      <c r="BLE1533"/>
      <c r="BLF1533"/>
      <c r="BLG1533"/>
      <c r="BLH1533"/>
      <c r="BLI1533"/>
      <c r="BLJ1533"/>
      <c r="BLK1533"/>
      <c r="BLL1533"/>
      <c r="BLM1533"/>
      <c r="BLN1533"/>
      <c r="BLO1533"/>
      <c r="BLP1533"/>
      <c r="BLQ1533"/>
      <c r="BLR1533"/>
      <c r="BLS1533"/>
      <c r="BLT1533"/>
      <c r="BLU1533"/>
      <c r="BLV1533"/>
      <c r="BLW1533"/>
      <c r="BLX1533"/>
      <c r="BLY1533"/>
      <c r="BLZ1533"/>
      <c r="BMA1533"/>
      <c r="BMB1533"/>
      <c r="BMC1533"/>
      <c r="BMD1533"/>
      <c r="BME1533"/>
      <c r="BMF1533"/>
      <c r="BMG1533"/>
      <c r="BMH1533"/>
      <c r="BMI1533"/>
      <c r="BMJ1533"/>
      <c r="BMK1533"/>
      <c r="BML1533"/>
      <c r="BMM1533"/>
      <c r="BMN1533"/>
      <c r="BMO1533"/>
      <c r="BMP1533"/>
      <c r="BMQ1533"/>
      <c r="BMR1533"/>
      <c r="BMS1533"/>
      <c r="BMT1533"/>
      <c r="BMU1533"/>
      <c r="BMV1533"/>
      <c r="BMW1533"/>
      <c r="BMX1533"/>
      <c r="BMY1533"/>
      <c r="BMZ1533"/>
      <c r="BNA1533"/>
      <c r="BNB1533"/>
      <c r="BNC1533"/>
      <c r="BND1533"/>
      <c r="BNE1533"/>
      <c r="BNF1533"/>
      <c r="BNG1533"/>
      <c r="BNH1533"/>
      <c r="BNI1533"/>
      <c r="BNJ1533"/>
      <c r="BNK1533"/>
      <c r="BNL1533"/>
      <c r="BNM1533"/>
      <c r="BNN1533"/>
      <c r="BNO1533"/>
      <c r="BNP1533"/>
      <c r="BNQ1533"/>
      <c r="BNR1533"/>
      <c r="BNS1533"/>
      <c r="BNT1533"/>
      <c r="BNU1533"/>
      <c r="BNV1533"/>
      <c r="BNW1533"/>
      <c r="BNX1533"/>
      <c r="BNY1533"/>
      <c r="BNZ1533"/>
      <c r="BOA1533"/>
      <c r="BOB1533"/>
      <c r="BOC1533"/>
      <c r="BOD1533"/>
      <c r="BOE1533"/>
      <c r="BOF1533"/>
      <c r="BOG1533"/>
      <c r="BOH1533"/>
      <c r="BOI1533"/>
      <c r="BOJ1533"/>
      <c r="BOK1533"/>
      <c r="BOL1533"/>
      <c r="BOM1533"/>
      <c r="BON1533"/>
      <c r="BOO1533"/>
      <c r="BOP1533"/>
      <c r="BOQ1533"/>
      <c r="BOR1533"/>
      <c r="BOS1533"/>
      <c r="BOT1533"/>
      <c r="BOU1533"/>
      <c r="BOV1533"/>
      <c r="BOW1533"/>
      <c r="BOX1533"/>
      <c r="BOY1533"/>
      <c r="BOZ1533"/>
      <c r="BPA1533"/>
      <c r="BPB1533"/>
      <c r="BPC1533"/>
      <c r="BPD1533"/>
      <c r="BPE1533"/>
      <c r="BPF1533"/>
      <c r="BPG1533"/>
      <c r="BPH1533"/>
      <c r="BPI1533"/>
      <c r="BPJ1533"/>
      <c r="BPK1533"/>
      <c r="BPL1533"/>
      <c r="BPM1533"/>
      <c r="BPN1533"/>
      <c r="BPO1533"/>
      <c r="BPP1533"/>
      <c r="BPQ1533"/>
      <c r="BPR1533"/>
      <c r="BPS1533"/>
      <c r="BPT1533"/>
      <c r="BPU1533"/>
      <c r="BPV1533"/>
      <c r="BPW1533"/>
      <c r="BPX1533"/>
      <c r="BPY1533"/>
      <c r="BPZ1533"/>
      <c r="BQA1533"/>
      <c r="BQB1533"/>
      <c r="BQC1533"/>
      <c r="BQD1533"/>
      <c r="BQE1533"/>
      <c r="BQF1533"/>
      <c r="BQG1533"/>
      <c r="BQH1533"/>
      <c r="BQI1533"/>
      <c r="BQJ1533"/>
      <c r="BQK1533"/>
      <c r="BQL1533"/>
      <c r="BQM1533"/>
      <c r="BQN1533"/>
      <c r="BQO1533"/>
      <c r="BQP1533"/>
      <c r="BQQ1533"/>
      <c r="BQR1533"/>
      <c r="BQS1533"/>
      <c r="BQT1533"/>
      <c r="BQU1533"/>
      <c r="BQV1533"/>
      <c r="BQW1533"/>
      <c r="BQX1533"/>
      <c r="BQY1533"/>
      <c r="BQZ1533"/>
      <c r="BRA1533"/>
      <c r="BRB1533"/>
      <c r="BRC1533"/>
      <c r="BRD1533"/>
      <c r="BRE1533"/>
      <c r="BRF1533"/>
      <c r="BRG1533"/>
      <c r="BRH1533"/>
      <c r="BRI1533"/>
      <c r="BRJ1533"/>
      <c r="BRK1533"/>
      <c r="BRL1533"/>
      <c r="BRM1533"/>
      <c r="BRN1533"/>
      <c r="BRO1533"/>
      <c r="BRP1533"/>
      <c r="BRQ1533"/>
      <c r="BRR1533"/>
      <c r="BRS1533"/>
      <c r="BRT1533"/>
      <c r="BRU1533"/>
      <c r="BRV1533"/>
      <c r="BRW1533"/>
      <c r="BRX1533"/>
      <c r="BRY1533"/>
      <c r="BRZ1533"/>
      <c r="BSA1533"/>
      <c r="BSB1533"/>
      <c r="BSC1533"/>
      <c r="BSD1533"/>
      <c r="BSE1533"/>
      <c r="BSF1533"/>
      <c r="BSG1533"/>
      <c r="BSH1533"/>
      <c r="BSI1533"/>
      <c r="BSJ1533"/>
      <c r="BSK1533"/>
      <c r="BSL1533"/>
      <c r="BSM1533"/>
      <c r="BSN1533"/>
      <c r="BSO1533"/>
      <c r="BSP1533"/>
      <c r="BSQ1533"/>
      <c r="BSR1533"/>
      <c r="BSS1533"/>
      <c r="BST1533"/>
      <c r="BSU1533"/>
      <c r="BSV1533"/>
      <c r="BSW1533"/>
      <c r="BSX1533"/>
      <c r="BSY1533"/>
      <c r="BSZ1533"/>
      <c r="BTA1533"/>
      <c r="BTB1533"/>
      <c r="BTC1533"/>
      <c r="BTD1533"/>
      <c r="BTE1533"/>
      <c r="BTF1533"/>
      <c r="BTG1533"/>
      <c r="BTH1533"/>
      <c r="BTI1533"/>
      <c r="BTJ1533"/>
      <c r="BTK1533"/>
      <c r="BTL1533"/>
      <c r="BTM1533"/>
      <c r="BTN1533"/>
      <c r="BTO1533"/>
      <c r="BTP1533"/>
      <c r="BTQ1533"/>
      <c r="BTR1533"/>
      <c r="BTS1533"/>
      <c r="BTT1533"/>
      <c r="BTU1533"/>
      <c r="BTV1533"/>
      <c r="BTW1533"/>
      <c r="BTX1533"/>
      <c r="BTY1533"/>
      <c r="BTZ1533"/>
      <c r="BUA1533"/>
      <c r="BUB1533"/>
      <c r="BUC1533"/>
      <c r="BUD1533"/>
      <c r="BUE1533"/>
      <c r="BUF1533"/>
      <c r="BUG1533"/>
      <c r="BUH1533"/>
      <c r="BUI1533"/>
      <c r="BUJ1533"/>
      <c r="BUK1533"/>
      <c r="BUL1533"/>
      <c r="BUM1533"/>
      <c r="BUN1533"/>
      <c r="BUO1533"/>
      <c r="BUP1533"/>
      <c r="BUQ1533"/>
      <c r="BUR1533"/>
      <c r="BUS1533"/>
      <c r="BUT1533"/>
      <c r="BUU1533"/>
      <c r="BUV1533"/>
      <c r="BUW1533"/>
      <c r="BUX1533"/>
      <c r="BUY1533"/>
      <c r="BUZ1533"/>
      <c r="BVA1533"/>
      <c r="BVB1533"/>
      <c r="BVC1533"/>
      <c r="BVD1533"/>
      <c r="BVE1533"/>
      <c r="BVF1533"/>
      <c r="BVG1533"/>
      <c r="BVH1533"/>
      <c r="BVI1533"/>
      <c r="BVJ1533"/>
      <c r="BVK1533"/>
      <c r="BVL1533"/>
      <c r="BVM1533"/>
      <c r="BVN1533"/>
      <c r="BVO1533"/>
      <c r="BVP1533"/>
      <c r="BVQ1533"/>
      <c r="BVR1533"/>
      <c r="BVS1533"/>
      <c r="BVT1533"/>
      <c r="BVU1533"/>
      <c r="BVV1533"/>
      <c r="BVW1533"/>
      <c r="BVX1533"/>
      <c r="BVY1533"/>
      <c r="BVZ1533"/>
      <c r="BWA1533"/>
      <c r="BWB1533"/>
      <c r="BWC1533"/>
      <c r="BWD1533"/>
      <c r="BWE1533"/>
      <c r="BWF1533"/>
      <c r="BWG1533"/>
      <c r="BWH1533"/>
      <c r="BWI1533"/>
      <c r="BWJ1533"/>
      <c r="BWK1533"/>
      <c r="BWL1533"/>
      <c r="BWM1533"/>
      <c r="BWN1533"/>
      <c r="BWO1533"/>
      <c r="BWP1533"/>
      <c r="BWQ1533"/>
      <c r="BWR1533"/>
      <c r="BWS1533"/>
      <c r="BWT1533"/>
      <c r="BWU1533"/>
      <c r="BWV1533"/>
      <c r="BWW1533"/>
      <c r="BWX1533"/>
      <c r="BWY1533"/>
      <c r="BWZ1533"/>
      <c r="BXA1533"/>
      <c r="BXB1533"/>
      <c r="BXC1533"/>
      <c r="BXD1533"/>
      <c r="BXE1533"/>
      <c r="BXF1533"/>
      <c r="BXG1533"/>
      <c r="BXH1533"/>
      <c r="BXI1533"/>
      <c r="BXJ1533"/>
      <c r="BXK1533"/>
      <c r="BXL1533"/>
      <c r="BXM1533"/>
      <c r="BXN1533"/>
      <c r="BXO1533"/>
      <c r="BXP1533"/>
      <c r="BXQ1533"/>
      <c r="BXR1533"/>
      <c r="BXS1533"/>
      <c r="BXT1533"/>
      <c r="BXU1533"/>
      <c r="BXV1533"/>
      <c r="BXW1533"/>
      <c r="BXX1533"/>
      <c r="BXY1533"/>
      <c r="BXZ1533"/>
      <c r="BYA1533"/>
      <c r="BYB1533"/>
      <c r="BYC1533"/>
      <c r="BYD1533"/>
      <c r="BYE1533"/>
      <c r="BYF1533"/>
      <c r="BYG1533"/>
      <c r="BYH1533"/>
      <c r="BYI1533"/>
      <c r="BYJ1533"/>
      <c r="BYK1533"/>
      <c r="BYL1533"/>
      <c r="BYM1533"/>
      <c r="BYN1533"/>
      <c r="BYO1533"/>
      <c r="BYP1533"/>
      <c r="BYQ1533"/>
      <c r="BYR1533"/>
      <c r="BYS1533"/>
      <c r="BYT1533"/>
      <c r="BYU1533"/>
      <c r="BYV1533"/>
      <c r="BYW1533"/>
      <c r="BYX1533"/>
      <c r="BYY1533"/>
      <c r="BYZ1533"/>
      <c r="BZA1533"/>
      <c r="BZB1533"/>
      <c r="BZC1533"/>
      <c r="BZD1533"/>
      <c r="BZE1533"/>
      <c r="BZF1533"/>
      <c r="BZG1533"/>
      <c r="BZH1533"/>
      <c r="BZI1533"/>
      <c r="BZJ1533"/>
      <c r="BZK1533"/>
      <c r="BZL1533"/>
      <c r="BZM1533"/>
      <c r="BZN1533"/>
      <c r="BZO1533"/>
      <c r="BZP1533"/>
      <c r="BZQ1533"/>
      <c r="BZR1533"/>
      <c r="BZS1533"/>
      <c r="BZT1533"/>
      <c r="BZU1533"/>
      <c r="BZV1533"/>
      <c r="BZW1533"/>
      <c r="BZX1533"/>
      <c r="BZY1533"/>
      <c r="BZZ1533"/>
      <c r="CAA1533"/>
      <c r="CAB1533"/>
      <c r="CAC1533"/>
      <c r="CAD1533"/>
      <c r="CAE1533"/>
      <c r="CAF1533"/>
      <c r="CAG1533"/>
      <c r="CAH1533"/>
      <c r="CAI1533"/>
      <c r="CAJ1533"/>
      <c r="CAK1533"/>
      <c r="CAL1533"/>
      <c r="CAM1533"/>
      <c r="CAN1533"/>
      <c r="CAO1533"/>
      <c r="CAP1533"/>
      <c r="CAQ1533"/>
      <c r="CAR1533"/>
      <c r="CAS1533"/>
      <c r="CAT1533"/>
      <c r="CAU1533"/>
      <c r="CAV1533"/>
      <c r="CAW1533"/>
      <c r="CAX1533"/>
      <c r="CAY1533"/>
      <c r="CAZ1533"/>
      <c r="CBA1533"/>
      <c r="CBB1533"/>
      <c r="CBC1533"/>
      <c r="CBD1533"/>
      <c r="CBE1533"/>
      <c r="CBF1533"/>
      <c r="CBG1533"/>
      <c r="CBH1533"/>
      <c r="CBI1533"/>
      <c r="CBJ1533"/>
      <c r="CBK1533"/>
      <c r="CBL1533"/>
      <c r="CBM1533"/>
      <c r="CBN1533"/>
      <c r="CBO1533"/>
      <c r="CBP1533"/>
      <c r="CBQ1533"/>
      <c r="CBR1533"/>
      <c r="CBS1533"/>
      <c r="CBT1533"/>
      <c r="CBU1533"/>
      <c r="CBV1533"/>
      <c r="CBW1533"/>
      <c r="CBX1533"/>
      <c r="CBY1533"/>
      <c r="CBZ1533"/>
      <c r="CCA1533"/>
      <c r="CCB1533"/>
      <c r="CCC1533"/>
      <c r="CCD1533"/>
      <c r="CCE1533"/>
      <c r="CCF1533"/>
      <c r="CCG1533"/>
      <c r="CCH1533"/>
      <c r="CCI1533"/>
      <c r="CCJ1533"/>
      <c r="CCK1533"/>
      <c r="CCL1533"/>
      <c r="CCM1533"/>
      <c r="CCN1533"/>
      <c r="CCO1533"/>
      <c r="CCP1533"/>
      <c r="CCQ1533"/>
      <c r="CCR1533"/>
      <c r="CCS1533"/>
      <c r="CCT1533"/>
      <c r="CCU1533"/>
      <c r="CCV1533"/>
      <c r="CCW1533"/>
      <c r="CCX1533"/>
      <c r="CCY1533"/>
      <c r="CCZ1533"/>
      <c r="CDA1533"/>
      <c r="CDB1533"/>
      <c r="CDC1533"/>
      <c r="CDD1533"/>
      <c r="CDE1533"/>
      <c r="CDF1533"/>
      <c r="CDG1533"/>
      <c r="CDH1533"/>
      <c r="CDI1533"/>
      <c r="CDJ1533"/>
      <c r="CDK1533"/>
      <c r="CDL1533"/>
      <c r="CDM1533"/>
      <c r="CDN1533"/>
      <c r="CDO1533"/>
      <c r="CDP1533"/>
      <c r="CDQ1533"/>
      <c r="CDR1533"/>
      <c r="CDS1533"/>
      <c r="CDT1533"/>
      <c r="CDU1533"/>
      <c r="CDV1533"/>
      <c r="CDW1533"/>
      <c r="CDX1533"/>
      <c r="CDY1533"/>
      <c r="CDZ1533"/>
      <c r="CEA1533"/>
      <c r="CEB1533"/>
      <c r="CEC1533"/>
      <c r="CED1533"/>
      <c r="CEE1533"/>
      <c r="CEF1533"/>
      <c r="CEG1533"/>
      <c r="CEH1533"/>
      <c r="CEI1533"/>
      <c r="CEJ1533"/>
      <c r="CEK1533"/>
      <c r="CEL1533"/>
      <c r="CEM1533"/>
      <c r="CEN1533"/>
      <c r="CEO1533"/>
      <c r="CEP1533"/>
      <c r="CEQ1533"/>
      <c r="CER1533"/>
      <c r="CES1533"/>
      <c r="CET1533"/>
      <c r="CEU1533"/>
      <c r="CEV1533"/>
      <c r="CEW1533"/>
      <c r="CEX1533"/>
      <c r="CEY1533"/>
      <c r="CEZ1533"/>
      <c r="CFA1533"/>
      <c r="CFB1533"/>
      <c r="CFC1533"/>
      <c r="CFD1533"/>
      <c r="CFE1533"/>
      <c r="CFF1533"/>
      <c r="CFG1533"/>
      <c r="CFH1533"/>
      <c r="CFI1533"/>
      <c r="CFJ1533"/>
      <c r="CFK1533"/>
      <c r="CFL1533"/>
      <c r="CFM1533"/>
      <c r="CFN1533"/>
      <c r="CFO1533"/>
      <c r="CFP1533"/>
      <c r="CFQ1533"/>
      <c r="CFR1533"/>
      <c r="CFS1533"/>
      <c r="CFT1533"/>
      <c r="CFU1533"/>
      <c r="CFV1533"/>
      <c r="CFW1533"/>
      <c r="CFX1533"/>
      <c r="CFY1533"/>
      <c r="CFZ1533"/>
      <c r="CGA1533"/>
      <c r="CGB1533"/>
      <c r="CGC1533"/>
      <c r="CGD1533"/>
      <c r="CGE1533"/>
      <c r="CGF1533"/>
      <c r="CGG1533"/>
      <c r="CGH1533"/>
      <c r="CGI1533"/>
      <c r="CGJ1533"/>
      <c r="CGK1533"/>
      <c r="CGL1533"/>
      <c r="CGM1533"/>
      <c r="CGN1533"/>
      <c r="CGO1533"/>
      <c r="CGP1533"/>
      <c r="CGQ1533"/>
      <c r="CGR1533"/>
      <c r="CGS1533"/>
      <c r="CGT1533"/>
      <c r="CGU1533"/>
      <c r="CGV1533"/>
      <c r="CGW1533"/>
      <c r="CGX1533"/>
      <c r="CGY1533"/>
      <c r="CGZ1533"/>
      <c r="CHA1533"/>
      <c r="CHB1533"/>
      <c r="CHC1533"/>
      <c r="CHD1533"/>
      <c r="CHE1533"/>
      <c r="CHF1533"/>
      <c r="CHG1533"/>
      <c r="CHH1533"/>
      <c r="CHI1533"/>
      <c r="CHJ1533"/>
      <c r="CHK1533"/>
      <c r="CHL1533"/>
      <c r="CHM1533"/>
      <c r="CHN1533"/>
      <c r="CHO1533"/>
      <c r="CHP1533"/>
      <c r="CHQ1533"/>
      <c r="CHR1533"/>
      <c r="CHS1533"/>
      <c r="CHT1533"/>
      <c r="CHU1533"/>
      <c r="CHV1533"/>
      <c r="CHW1533"/>
      <c r="CHX1533"/>
      <c r="CHY1533"/>
      <c r="CHZ1533"/>
      <c r="CIA1533"/>
      <c r="CIB1533"/>
      <c r="CIC1533"/>
      <c r="CID1533"/>
      <c r="CIE1533"/>
      <c r="CIF1533"/>
      <c r="CIG1533"/>
      <c r="CIH1533"/>
      <c r="CII1533"/>
      <c r="CIJ1533"/>
      <c r="CIK1533"/>
      <c r="CIL1533"/>
      <c r="CIM1533"/>
      <c r="CIN1533"/>
      <c r="CIO1533"/>
      <c r="CIP1533"/>
      <c r="CIQ1533"/>
      <c r="CIR1533"/>
      <c r="CIS1533"/>
      <c r="CIT1533"/>
      <c r="CIU1533"/>
      <c r="CIV1533"/>
      <c r="CIW1533"/>
      <c r="CIX1533"/>
      <c r="CIY1533"/>
      <c r="CIZ1533"/>
      <c r="CJA1533"/>
      <c r="CJB1533"/>
      <c r="CJC1533"/>
      <c r="CJD1533"/>
      <c r="CJE1533"/>
      <c r="CJF1533"/>
      <c r="CJG1533"/>
      <c r="CJH1533"/>
      <c r="CJI1533"/>
      <c r="CJJ1533"/>
      <c r="CJK1533"/>
      <c r="CJL1533"/>
      <c r="CJM1533"/>
      <c r="CJN1533"/>
      <c r="CJO1533"/>
      <c r="CJP1533"/>
      <c r="CJQ1533"/>
      <c r="CJR1533"/>
      <c r="CJS1533"/>
      <c r="CJT1533"/>
      <c r="CJU1533"/>
      <c r="CJV1533"/>
      <c r="CJW1533"/>
      <c r="CJX1533"/>
      <c r="CJY1533"/>
      <c r="CJZ1533"/>
      <c r="CKA1533"/>
      <c r="CKB1533"/>
      <c r="CKC1533"/>
      <c r="CKD1533"/>
      <c r="CKE1533"/>
      <c r="CKF1533"/>
      <c r="CKG1533"/>
      <c r="CKH1533"/>
      <c r="CKI1533"/>
      <c r="CKJ1533"/>
      <c r="CKK1533"/>
      <c r="CKL1533"/>
      <c r="CKM1533"/>
      <c r="CKN1533"/>
      <c r="CKO1533"/>
      <c r="CKP1533"/>
      <c r="CKQ1533"/>
      <c r="CKR1533"/>
      <c r="CKS1533"/>
      <c r="CKT1533"/>
      <c r="CKU1533"/>
      <c r="CKV1533"/>
      <c r="CKW1533"/>
      <c r="CKX1533"/>
      <c r="CKY1533"/>
      <c r="CKZ1533"/>
      <c r="CLA1533"/>
      <c r="CLB1533"/>
      <c r="CLC1533"/>
      <c r="CLD1533"/>
      <c r="CLE1533"/>
      <c r="CLF1533"/>
      <c r="CLG1533"/>
      <c r="CLH1533"/>
      <c r="CLI1533"/>
      <c r="CLJ1533"/>
      <c r="CLK1533"/>
      <c r="CLL1533"/>
      <c r="CLM1533"/>
      <c r="CLN1533"/>
      <c r="CLO1533"/>
      <c r="CLP1533"/>
      <c r="CLQ1533"/>
      <c r="CLR1533"/>
      <c r="CLS1533"/>
      <c r="CLT1533"/>
      <c r="CLU1533"/>
      <c r="CLV1533"/>
      <c r="CLW1533"/>
      <c r="CLX1533"/>
      <c r="CLY1533"/>
      <c r="CLZ1533"/>
      <c r="CMA1533"/>
      <c r="CMB1533"/>
      <c r="CMC1533"/>
      <c r="CMD1533"/>
      <c r="CME1533"/>
      <c r="CMF1533"/>
      <c r="CMG1533"/>
      <c r="CMH1533"/>
      <c r="CMI1533"/>
      <c r="CMJ1533"/>
      <c r="CMK1533"/>
      <c r="CML1533"/>
      <c r="CMM1533"/>
      <c r="CMN1533"/>
      <c r="CMO1533"/>
      <c r="CMP1533"/>
      <c r="CMQ1533"/>
      <c r="CMR1533"/>
      <c r="CMS1533"/>
      <c r="CMT1533"/>
      <c r="CMU1533"/>
      <c r="CMV1533"/>
      <c r="CMW1533"/>
      <c r="CMX1533"/>
      <c r="CMY1533"/>
      <c r="CMZ1533"/>
      <c r="CNA1533"/>
      <c r="CNB1533"/>
      <c r="CNC1533"/>
      <c r="CND1533"/>
      <c r="CNE1533"/>
      <c r="CNF1533"/>
      <c r="CNG1533"/>
      <c r="CNH1533"/>
      <c r="CNI1533"/>
      <c r="CNJ1533"/>
      <c r="CNK1533"/>
      <c r="CNL1533"/>
      <c r="CNM1533"/>
      <c r="CNN1533"/>
      <c r="CNO1533"/>
      <c r="CNP1533"/>
      <c r="CNQ1533"/>
      <c r="CNR1533"/>
      <c r="CNS1533"/>
      <c r="CNT1533"/>
      <c r="CNU1533"/>
      <c r="CNV1533"/>
      <c r="CNW1533"/>
      <c r="CNX1533"/>
      <c r="CNY1533"/>
      <c r="CNZ1533"/>
      <c r="COA1533"/>
      <c r="COB1533"/>
      <c r="COC1533"/>
      <c r="COD1533"/>
      <c r="COE1533"/>
      <c r="COF1533"/>
      <c r="COG1533"/>
      <c r="COH1533"/>
      <c r="COI1533"/>
      <c r="COJ1533"/>
      <c r="COK1533"/>
      <c r="COL1533"/>
      <c r="COM1533"/>
      <c r="CON1533"/>
      <c r="COO1533"/>
      <c r="COP1533"/>
      <c r="COQ1533"/>
      <c r="COR1533"/>
      <c r="COS1533"/>
      <c r="COT1533"/>
      <c r="COU1533"/>
      <c r="COV1533"/>
      <c r="COW1533"/>
      <c r="COX1533"/>
      <c r="COY1533"/>
      <c r="COZ1533"/>
      <c r="CPA1533"/>
      <c r="CPB1533"/>
      <c r="CPC1533"/>
      <c r="CPD1533"/>
      <c r="CPE1533"/>
      <c r="CPF1533"/>
      <c r="CPG1533"/>
      <c r="CPH1533"/>
      <c r="CPI1533"/>
      <c r="CPJ1533"/>
      <c r="CPK1533"/>
      <c r="CPL1533"/>
      <c r="CPM1533"/>
      <c r="CPN1533"/>
      <c r="CPO1533"/>
      <c r="CPP1533"/>
      <c r="CPQ1533"/>
      <c r="CPR1533"/>
      <c r="CPS1533"/>
      <c r="CPT1533"/>
      <c r="CPU1533"/>
      <c r="CPV1533"/>
      <c r="CPW1533"/>
      <c r="CPX1533"/>
      <c r="CPY1533"/>
      <c r="CPZ1533"/>
      <c r="CQA1533"/>
      <c r="CQB1533"/>
      <c r="CQC1533"/>
      <c r="CQD1533"/>
      <c r="CQE1533"/>
      <c r="CQF1533"/>
      <c r="CQG1533"/>
      <c r="CQH1533"/>
      <c r="CQI1533"/>
      <c r="CQJ1533"/>
      <c r="CQK1533"/>
      <c r="CQL1533"/>
      <c r="CQM1533"/>
      <c r="CQN1533"/>
      <c r="CQO1533"/>
      <c r="CQP1533"/>
      <c r="CQQ1533"/>
      <c r="CQR1533"/>
      <c r="CQS1533"/>
      <c r="CQT1533"/>
      <c r="CQU1533"/>
      <c r="CQV1533"/>
      <c r="CQW1533"/>
      <c r="CQX1533"/>
      <c r="CQY1533"/>
      <c r="CQZ1533"/>
      <c r="CRA1533"/>
      <c r="CRB1533"/>
      <c r="CRC1533"/>
      <c r="CRD1533"/>
      <c r="CRE1533"/>
      <c r="CRF1533"/>
      <c r="CRG1533"/>
      <c r="CRH1533"/>
      <c r="CRI1533"/>
      <c r="CRJ1533"/>
      <c r="CRK1533"/>
      <c r="CRL1533"/>
      <c r="CRM1533"/>
      <c r="CRN1533"/>
      <c r="CRO1533"/>
      <c r="CRP1533"/>
      <c r="CRQ1533"/>
      <c r="CRR1533"/>
      <c r="CRS1533"/>
      <c r="CRT1533"/>
      <c r="CRU1533"/>
      <c r="CRV1533"/>
      <c r="CRW1533"/>
      <c r="CRX1533"/>
      <c r="CRY1533"/>
      <c r="CRZ1533"/>
      <c r="CSA1533"/>
      <c r="CSB1533"/>
      <c r="CSC1533"/>
      <c r="CSD1533"/>
      <c r="CSE1533"/>
      <c r="CSF1533"/>
      <c r="CSG1533"/>
      <c r="CSH1533"/>
      <c r="CSI1533"/>
      <c r="CSJ1533"/>
      <c r="CSK1533"/>
      <c r="CSL1533"/>
      <c r="CSM1533"/>
      <c r="CSN1533"/>
      <c r="CSO1533"/>
      <c r="CSP1533"/>
      <c r="CSQ1533"/>
      <c r="CSR1533"/>
      <c r="CSS1533"/>
      <c r="CST1533"/>
      <c r="CSU1533"/>
      <c r="CSV1533"/>
      <c r="CSW1533"/>
      <c r="CSX1533"/>
      <c r="CSY1533"/>
      <c r="CSZ1533"/>
      <c r="CTA1533"/>
      <c r="CTB1533"/>
      <c r="CTC1533"/>
      <c r="CTD1533"/>
      <c r="CTE1533"/>
      <c r="CTF1533"/>
      <c r="CTG1533"/>
      <c r="CTH1533"/>
      <c r="CTI1533"/>
      <c r="CTJ1533"/>
      <c r="CTK1533"/>
      <c r="CTL1533"/>
      <c r="CTM1533"/>
      <c r="CTN1533"/>
      <c r="CTO1533"/>
      <c r="CTP1533"/>
      <c r="CTQ1533"/>
      <c r="CTR1533"/>
      <c r="CTS1533"/>
      <c r="CTT1533"/>
      <c r="CTU1533"/>
      <c r="CTV1533"/>
      <c r="CTW1533"/>
      <c r="CTX1533"/>
      <c r="CTY1533"/>
      <c r="CTZ1533"/>
      <c r="CUA1533"/>
      <c r="CUB1533"/>
      <c r="CUC1533"/>
      <c r="CUD1533"/>
      <c r="CUE1533"/>
      <c r="CUF1533"/>
      <c r="CUG1533"/>
      <c r="CUH1533"/>
      <c r="CUI1533"/>
      <c r="CUJ1533"/>
      <c r="CUK1533"/>
      <c r="CUL1533"/>
      <c r="CUM1533"/>
      <c r="CUN1533"/>
      <c r="CUO1533"/>
      <c r="CUP1533"/>
      <c r="CUQ1533"/>
      <c r="CUR1533"/>
      <c r="CUS1533"/>
      <c r="CUT1533"/>
      <c r="CUU1533"/>
      <c r="CUV1533"/>
      <c r="CUW1533"/>
      <c r="CUX1533"/>
      <c r="CUY1533"/>
      <c r="CUZ1533"/>
      <c r="CVA1533"/>
      <c r="CVB1533"/>
      <c r="CVC1533"/>
      <c r="CVD1533"/>
      <c r="CVE1533"/>
      <c r="CVF1533"/>
      <c r="CVG1533"/>
      <c r="CVH1533"/>
      <c r="CVI1533"/>
      <c r="CVJ1533"/>
      <c r="CVK1533"/>
      <c r="CVL1533"/>
      <c r="CVM1533"/>
      <c r="CVN1533"/>
      <c r="CVO1533"/>
      <c r="CVP1533"/>
      <c r="CVQ1533"/>
      <c r="CVR1533"/>
      <c r="CVS1533"/>
      <c r="CVT1533"/>
      <c r="CVU1533"/>
      <c r="CVV1533"/>
      <c r="CVW1533"/>
      <c r="CVX1533"/>
      <c r="CVY1533"/>
      <c r="CVZ1533"/>
      <c r="CWA1533"/>
      <c r="CWB1533"/>
      <c r="CWC1533"/>
      <c r="CWD1533"/>
      <c r="CWE1533"/>
      <c r="CWF1533"/>
      <c r="CWG1533"/>
      <c r="CWH1533"/>
      <c r="CWI1533"/>
      <c r="CWJ1533"/>
      <c r="CWK1533"/>
      <c r="CWL1533"/>
      <c r="CWM1533"/>
      <c r="CWN1533"/>
      <c r="CWO1533"/>
      <c r="CWP1533"/>
      <c r="CWQ1533"/>
      <c r="CWR1533"/>
      <c r="CWS1533"/>
      <c r="CWT1533"/>
      <c r="CWU1533"/>
      <c r="CWV1533"/>
      <c r="CWW1533"/>
      <c r="CWX1533"/>
      <c r="CWY1533"/>
      <c r="CWZ1533"/>
      <c r="CXA1533"/>
      <c r="CXB1533"/>
      <c r="CXC1533"/>
      <c r="CXD1533"/>
      <c r="CXE1533"/>
      <c r="CXF1533"/>
      <c r="CXG1533"/>
      <c r="CXH1533"/>
      <c r="CXI1533"/>
      <c r="CXJ1533"/>
      <c r="CXK1533"/>
      <c r="CXL1533"/>
      <c r="CXM1533"/>
      <c r="CXN1533"/>
      <c r="CXO1533"/>
      <c r="CXP1533"/>
      <c r="CXQ1533"/>
      <c r="CXR1533"/>
      <c r="CXS1533"/>
      <c r="CXT1533"/>
      <c r="CXU1533"/>
      <c r="CXV1533"/>
      <c r="CXW1533"/>
      <c r="CXX1533"/>
      <c r="CXY1533"/>
      <c r="CXZ1533"/>
      <c r="CYA1533"/>
      <c r="CYB1533"/>
      <c r="CYC1533"/>
      <c r="CYD1533"/>
      <c r="CYE1533"/>
      <c r="CYF1533"/>
      <c r="CYG1533"/>
      <c r="CYH1533"/>
      <c r="CYI1533"/>
      <c r="CYJ1533"/>
      <c r="CYK1533"/>
      <c r="CYL1533"/>
      <c r="CYM1533"/>
      <c r="CYN1533"/>
      <c r="CYO1533"/>
      <c r="CYP1533"/>
      <c r="CYQ1533"/>
      <c r="CYR1533"/>
      <c r="CYS1533"/>
      <c r="CYT1533"/>
      <c r="CYU1533"/>
      <c r="CYV1533"/>
      <c r="CYW1533"/>
      <c r="CYX1533"/>
      <c r="CYY1533"/>
      <c r="CYZ1533"/>
      <c r="CZA1533"/>
      <c r="CZB1533"/>
      <c r="CZC1533"/>
      <c r="CZD1533"/>
      <c r="CZE1533"/>
      <c r="CZF1533"/>
      <c r="CZG1533"/>
      <c r="CZH1533"/>
      <c r="CZI1533"/>
      <c r="CZJ1533"/>
      <c r="CZK1533"/>
      <c r="CZL1533"/>
      <c r="CZM1533"/>
      <c r="CZN1533"/>
      <c r="CZO1533"/>
      <c r="CZP1533"/>
      <c r="CZQ1533"/>
      <c r="CZR1533"/>
      <c r="CZS1533"/>
      <c r="CZT1533"/>
      <c r="CZU1533"/>
      <c r="CZV1533"/>
      <c r="CZW1533"/>
      <c r="CZX1533"/>
      <c r="CZY1533"/>
      <c r="CZZ1533"/>
      <c r="DAA1533"/>
      <c r="DAB1533"/>
      <c r="DAC1533"/>
      <c r="DAD1533"/>
      <c r="DAE1533"/>
      <c r="DAF1533"/>
      <c r="DAG1533"/>
      <c r="DAH1533"/>
      <c r="DAI1533"/>
      <c r="DAJ1533"/>
      <c r="DAK1533"/>
      <c r="DAL1533"/>
      <c r="DAM1533"/>
      <c r="DAN1533"/>
      <c r="DAO1533"/>
      <c r="DAP1533"/>
      <c r="DAQ1533"/>
      <c r="DAR1533"/>
      <c r="DAS1533"/>
      <c r="DAT1533"/>
      <c r="DAU1533"/>
      <c r="DAV1533"/>
      <c r="DAW1533"/>
      <c r="DAX1533"/>
      <c r="DAY1533"/>
      <c r="DAZ1533"/>
      <c r="DBA1533"/>
      <c r="DBB1533"/>
      <c r="DBC1533"/>
      <c r="DBD1533"/>
      <c r="DBE1533"/>
      <c r="DBF1533"/>
      <c r="DBG1533"/>
      <c r="DBH1533"/>
      <c r="DBI1533"/>
      <c r="DBJ1533"/>
      <c r="DBK1533"/>
      <c r="DBL1533"/>
      <c r="DBM1533"/>
      <c r="DBN1533"/>
      <c r="DBO1533"/>
      <c r="DBP1533"/>
      <c r="DBQ1533"/>
      <c r="DBR1533"/>
      <c r="DBS1533"/>
      <c r="DBT1533"/>
      <c r="DBU1533"/>
      <c r="DBV1533"/>
      <c r="DBW1533"/>
      <c r="DBX1533"/>
      <c r="DBY1533"/>
      <c r="DBZ1533"/>
      <c r="DCA1533"/>
      <c r="DCB1533"/>
      <c r="DCC1533"/>
      <c r="DCD1533"/>
      <c r="DCE1533"/>
      <c r="DCF1533"/>
      <c r="DCG1533"/>
      <c r="DCH1533"/>
      <c r="DCI1533"/>
      <c r="DCJ1533"/>
      <c r="DCK1533"/>
      <c r="DCL1533"/>
      <c r="DCM1533"/>
      <c r="DCN1533"/>
      <c r="DCO1533"/>
      <c r="DCP1533"/>
      <c r="DCQ1533"/>
      <c r="DCR1533"/>
      <c r="DCS1533"/>
      <c r="DCT1533"/>
      <c r="DCU1533"/>
      <c r="DCV1533"/>
      <c r="DCW1533"/>
      <c r="DCX1533"/>
      <c r="DCY1533"/>
      <c r="DCZ1533"/>
      <c r="DDA1533"/>
      <c r="DDB1533"/>
      <c r="DDC1533"/>
      <c r="DDD1533"/>
      <c r="DDE1533"/>
      <c r="DDF1533"/>
      <c r="DDG1533"/>
      <c r="DDH1533"/>
      <c r="DDI1533"/>
      <c r="DDJ1533"/>
      <c r="DDK1533"/>
      <c r="DDL1533"/>
      <c r="DDM1533"/>
      <c r="DDN1533"/>
      <c r="DDO1533"/>
      <c r="DDP1533"/>
      <c r="DDQ1533"/>
      <c r="DDR1533"/>
      <c r="DDS1533"/>
      <c r="DDT1533"/>
      <c r="DDU1533"/>
      <c r="DDV1533"/>
      <c r="DDW1533"/>
      <c r="DDX1533"/>
      <c r="DDY1533"/>
      <c r="DDZ1533"/>
      <c r="DEA1533"/>
      <c r="DEB1533"/>
      <c r="DEC1533"/>
      <c r="DED1533"/>
      <c r="DEE1533"/>
      <c r="DEF1533"/>
      <c r="DEG1533"/>
      <c r="DEH1533"/>
      <c r="DEI1533"/>
      <c r="DEJ1533"/>
      <c r="DEK1533"/>
      <c r="DEL1533"/>
      <c r="DEM1533"/>
      <c r="DEN1533"/>
      <c r="DEO1533"/>
      <c r="DEP1533"/>
      <c r="DEQ1533"/>
      <c r="DER1533"/>
      <c r="DES1533"/>
      <c r="DET1533"/>
      <c r="DEU1533"/>
      <c r="DEV1533"/>
      <c r="DEW1533"/>
      <c r="DEX1533"/>
      <c r="DEY1533"/>
      <c r="DEZ1533"/>
      <c r="DFA1533"/>
      <c r="DFB1533"/>
      <c r="DFC1533"/>
      <c r="DFD1533"/>
      <c r="DFE1533"/>
      <c r="DFF1533"/>
      <c r="DFG1533"/>
      <c r="DFH1533"/>
      <c r="DFI1533"/>
      <c r="DFJ1533"/>
      <c r="DFK1533"/>
      <c r="DFL1533"/>
      <c r="DFM1533"/>
      <c r="DFN1533"/>
      <c r="DFO1533"/>
      <c r="DFP1533"/>
      <c r="DFQ1533"/>
      <c r="DFR1533"/>
      <c r="DFS1533"/>
      <c r="DFT1533"/>
      <c r="DFU1533"/>
      <c r="DFV1533"/>
      <c r="DFW1533"/>
      <c r="DFX1533"/>
      <c r="DFY1533"/>
      <c r="DFZ1533"/>
      <c r="DGA1533"/>
      <c r="DGB1533"/>
      <c r="DGC1533"/>
      <c r="DGD1533"/>
      <c r="DGE1533"/>
      <c r="DGF1533"/>
      <c r="DGG1533"/>
      <c r="DGH1533"/>
      <c r="DGI1533"/>
      <c r="DGJ1533"/>
      <c r="DGK1533"/>
      <c r="DGL1533"/>
      <c r="DGM1533"/>
      <c r="DGN1533"/>
      <c r="DGO1533"/>
      <c r="DGP1533"/>
      <c r="DGQ1533"/>
      <c r="DGR1533"/>
      <c r="DGS1533"/>
      <c r="DGT1533"/>
      <c r="DGU1533"/>
      <c r="DGV1533"/>
      <c r="DGW1533"/>
      <c r="DGX1533"/>
      <c r="DGY1533"/>
      <c r="DGZ1533"/>
      <c r="DHA1533"/>
      <c r="DHB1533"/>
      <c r="DHC1533"/>
      <c r="DHD1533"/>
      <c r="DHE1533"/>
      <c r="DHF1533"/>
      <c r="DHG1533"/>
      <c r="DHH1533"/>
      <c r="DHI1533"/>
      <c r="DHJ1533"/>
      <c r="DHK1533"/>
      <c r="DHL1533"/>
      <c r="DHM1533"/>
      <c r="DHN1533"/>
      <c r="DHO1533"/>
      <c r="DHP1533"/>
      <c r="DHQ1533"/>
      <c r="DHR1533"/>
      <c r="DHS1533"/>
      <c r="DHT1533"/>
      <c r="DHU1533"/>
      <c r="DHV1533"/>
      <c r="DHW1533"/>
      <c r="DHX1533"/>
      <c r="DHY1533"/>
      <c r="DHZ1533"/>
      <c r="DIA1533"/>
      <c r="DIB1533"/>
      <c r="DIC1533"/>
      <c r="DID1533"/>
      <c r="DIE1533"/>
      <c r="DIF1533"/>
      <c r="DIG1533"/>
      <c r="DIH1533"/>
      <c r="DII1533"/>
      <c r="DIJ1533"/>
      <c r="DIK1533"/>
      <c r="DIL1533"/>
      <c r="DIM1533"/>
      <c r="DIN1533"/>
      <c r="DIO1533"/>
      <c r="DIP1533"/>
      <c r="DIQ1533"/>
      <c r="DIR1533"/>
      <c r="DIS1533"/>
      <c r="DIT1533"/>
      <c r="DIU1533"/>
      <c r="DIV1533"/>
      <c r="DIW1533"/>
      <c r="DIX1533"/>
      <c r="DIY1533"/>
      <c r="DIZ1533"/>
      <c r="DJA1533"/>
      <c r="DJB1533"/>
      <c r="DJC1533"/>
      <c r="DJD1533"/>
      <c r="DJE1533"/>
      <c r="DJF1533"/>
      <c r="DJG1533"/>
      <c r="DJH1533"/>
      <c r="DJI1533"/>
      <c r="DJJ1533"/>
      <c r="DJK1533"/>
      <c r="DJL1533"/>
      <c r="DJM1533"/>
      <c r="DJN1533"/>
      <c r="DJO1533"/>
      <c r="DJP1533"/>
      <c r="DJQ1533"/>
      <c r="DJR1533"/>
      <c r="DJS1533"/>
      <c r="DJT1533"/>
      <c r="DJU1533"/>
      <c r="DJV1533"/>
      <c r="DJW1533"/>
      <c r="DJX1533"/>
      <c r="DJY1533"/>
      <c r="DJZ1533"/>
      <c r="DKA1533"/>
      <c r="DKB1533"/>
      <c r="DKC1533"/>
      <c r="DKD1533"/>
      <c r="DKE1533"/>
      <c r="DKF1533"/>
      <c r="DKG1533"/>
      <c r="DKH1533"/>
      <c r="DKI1533"/>
      <c r="DKJ1533"/>
      <c r="DKK1533"/>
      <c r="DKL1533"/>
      <c r="DKM1533"/>
      <c r="DKN1533"/>
      <c r="DKO1533"/>
      <c r="DKP1533"/>
      <c r="DKQ1533"/>
      <c r="DKR1533"/>
      <c r="DKS1533"/>
      <c r="DKT1533"/>
      <c r="DKU1533"/>
      <c r="DKV1533"/>
      <c r="DKW1533"/>
      <c r="DKX1533"/>
      <c r="DKY1533"/>
      <c r="DKZ1533"/>
      <c r="DLA1533"/>
      <c r="DLB1533"/>
      <c r="DLC1533"/>
      <c r="DLD1533"/>
      <c r="DLE1533"/>
      <c r="DLF1533"/>
      <c r="DLG1533"/>
      <c r="DLH1533"/>
      <c r="DLI1533"/>
      <c r="DLJ1533"/>
      <c r="DLK1533"/>
      <c r="DLL1533"/>
      <c r="DLM1533"/>
      <c r="DLN1533"/>
      <c r="DLO1533"/>
      <c r="DLP1533"/>
      <c r="DLQ1533"/>
      <c r="DLR1533"/>
      <c r="DLS1533"/>
      <c r="DLT1533"/>
      <c r="DLU1533"/>
      <c r="DLV1533"/>
      <c r="DLW1533"/>
      <c r="DLX1533"/>
      <c r="DLY1533"/>
      <c r="DLZ1533"/>
      <c r="DMA1533"/>
      <c r="DMB1533"/>
      <c r="DMC1533"/>
      <c r="DMD1533"/>
      <c r="DME1533"/>
      <c r="DMF1533"/>
      <c r="DMG1533"/>
      <c r="DMH1533"/>
      <c r="DMI1533"/>
      <c r="DMJ1533"/>
      <c r="DMK1533"/>
      <c r="DML1533"/>
      <c r="DMM1533"/>
      <c r="DMN1533"/>
      <c r="DMO1533"/>
      <c r="DMP1533"/>
      <c r="DMQ1533"/>
      <c r="DMR1533"/>
      <c r="DMS1533"/>
      <c r="DMT1533"/>
      <c r="DMU1533"/>
      <c r="DMV1533"/>
      <c r="DMW1533"/>
      <c r="DMX1533"/>
      <c r="DMY1533"/>
      <c r="DMZ1533"/>
      <c r="DNA1533"/>
      <c r="DNB1533"/>
      <c r="DNC1533"/>
      <c r="DND1533"/>
      <c r="DNE1533"/>
      <c r="DNF1533"/>
      <c r="DNG1533"/>
      <c r="DNH1533"/>
      <c r="DNI1533"/>
      <c r="DNJ1533"/>
      <c r="DNK1533"/>
      <c r="DNL1533"/>
      <c r="DNM1533"/>
      <c r="DNN1533"/>
      <c r="DNO1533"/>
      <c r="DNP1533"/>
      <c r="DNQ1533"/>
      <c r="DNR1533"/>
      <c r="DNS1533"/>
      <c r="DNT1533"/>
      <c r="DNU1533"/>
      <c r="DNV1533"/>
      <c r="DNW1533"/>
      <c r="DNX1533"/>
      <c r="DNY1533"/>
      <c r="DNZ1533"/>
      <c r="DOA1533"/>
      <c r="DOB1533"/>
      <c r="DOC1533"/>
      <c r="DOD1533"/>
      <c r="DOE1533"/>
      <c r="DOF1533"/>
      <c r="DOG1533"/>
      <c r="DOH1533"/>
      <c r="DOI1533"/>
      <c r="DOJ1533"/>
      <c r="DOK1533"/>
      <c r="DOL1533"/>
      <c r="DOM1533"/>
      <c r="DON1533"/>
      <c r="DOO1533"/>
      <c r="DOP1533"/>
      <c r="DOQ1533"/>
      <c r="DOR1533"/>
      <c r="DOS1533"/>
      <c r="DOT1533"/>
      <c r="DOU1533"/>
      <c r="DOV1533"/>
      <c r="DOW1533"/>
      <c r="DOX1533"/>
      <c r="DOY1533"/>
      <c r="DOZ1533"/>
      <c r="DPA1533"/>
      <c r="DPB1533"/>
      <c r="DPC1533"/>
      <c r="DPD1533"/>
      <c r="DPE1533"/>
      <c r="DPF1533"/>
      <c r="DPG1533"/>
      <c r="DPH1533"/>
      <c r="DPI1533"/>
      <c r="DPJ1533"/>
      <c r="DPK1533"/>
      <c r="DPL1533"/>
      <c r="DPM1533"/>
      <c r="DPN1533"/>
      <c r="DPO1533"/>
      <c r="DPP1533"/>
      <c r="DPQ1533"/>
      <c r="DPR1533"/>
      <c r="DPS1533"/>
      <c r="DPT1533"/>
      <c r="DPU1533"/>
      <c r="DPV1533"/>
      <c r="DPW1533"/>
      <c r="DPX1533"/>
      <c r="DPY1533"/>
      <c r="DPZ1533"/>
      <c r="DQA1533"/>
      <c r="DQB1533"/>
      <c r="DQC1533"/>
      <c r="DQD1533"/>
      <c r="DQE1533"/>
      <c r="DQF1533"/>
      <c r="DQG1533"/>
      <c r="DQH1533"/>
      <c r="DQI1533"/>
      <c r="DQJ1533"/>
      <c r="DQK1533"/>
      <c r="DQL1533"/>
      <c r="DQM1533"/>
      <c r="DQN1533"/>
      <c r="DQO1533"/>
      <c r="DQP1533"/>
      <c r="DQQ1533"/>
      <c r="DQR1533"/>
      <c r="DQS1533"/>
      <c r="DQT1533"/>
      <c r="DQU1533"/>
      <c r="DQV1533"/>
      <c r="DQW1533"/>
      <c r="DQX1533"/>
      <c r="DQY1533"/>
      <c r="DQZ1533"/>
      <c r="DRA1533"/>
      <c r="DRB1533"/>
      <c r="DRC1533"/>
      <c r="DRD1533"/>
      <c r="DRE1533"/>
      <c r="DRF1533"/>
      <c r="DRG1533"/>
      <c r="DRH1533"/>
      <c r="DRI1533"/>
      <c r="DRJ1533"/>
      <c r="DRK1533"/>
      <c r="DRL1533"/>
      <c r="DRM1533"/>
      <c r="DRN1533"/>
      <c r="DRO1533"/>
      <c r="DRP1533"/>
      <c r="DRQ1533"/>
      <c r="DRR1533"/>
      <c r="DRS1533"/>
      <c r="DRT1533"/>
      <c r="DRU1533"/>
      <c r="DRV1533"/>
      <c r="DRW1533"/>
      <c r="DRX1533"/>
      <c r="DRY1533"/>
      <c r="DRZ1533"/>
      <c r="DSA1533"/>
      <c r="DSB1533"/>
      <c r="DSC1533"/>
      <c r="DSD1533"/>
      <c r="DSE1533"/>
      <c r="DSF1533"/>
      <c r="DSG1533"/>
      <c r="DSH1533"/>
      <c r="DSI1533"/>
      <c r="DSJ1533"/>
      <c r="DSK1533"/>
      <c r="DSL1533"/>
      <c r="DSM1533"/>
      <c r="DSN1533"/>
      <c r="DSO1533"/>
      <c r="DSP1533"/>
      <c r="DSQ1533"/>
      <c r="DSR1533"/>
      <c r="DSS1533"/>
      <c r="DST1533"/>
      <c r="DSU1533"/>
      <c r="DSV1533"/>
      <c r="DSW1533"/>
      <c r="DSX1533"/>
      <c r="DSY1533"/>
      <c r="DSZ1533"/>
      <c r="DTA1533"/>
      <c r="DTB1533"/>
      <c r="DTC1533"/>
      <c r="DTD1533"/>
      <c r="DTE1533"/>
      <c r="DTF1533"/>
      <c r="DTG1533"/>
      <c r="DTH1533"/>
      <c r="DTI1533"/>
      <c r="DTJ1533"/>
      <c r="DTK1533"/>
      <c r="DTL1533"/>
      <c r="DTM1533"/>
      <c r="DTN1533"/>
      <c r="DTO1533"/>
      <c r="DTP1533"/>
      <c r="DTQ1533"/>
      <c r="DTR1533"/>
      <c r="DTS1533"/>
      <c r="DTT1533"/>
      <c r="DTU1533"/>
      <c r="DTV1533"/>
      <c r="DTW1533"/>
      <c r="DTX1533"/>
      <c r="DTY1533"/>
      <c r="DTZ1533"/>
      <c r="DUA1533"/>
      <c r="DUB1533"/>
      <c r="DUC1533"/>
      <c r="DUD1533"/>
      <c r="DUE1533"/>
      <c r="DUF1533"/>
      <c r="DUG1533"/>
      <c r="DUH1533"/>
      <c r="DUI1533"/>
      <c r="DUJ1533"/>
      <c r="DUK1533"/>
      <c r="DUL1533"/>
      <c r="DUM1533"/>
      <c r="DUN1533"/>
      <c r="DUO1533"/>
      <c r="DUP1533"/>
      <c r="DUQ1533"/>
      <c r="DUR1533"/>
      <c r="DUS1533"/>
      <c r="DUT1533"/>
      <c r="DUU1533"/>
      <c r="DUV1533"/>
      <c r="DUW1533"/>
      <c r="DUX1533"/>
      <c r="DUY1533"/>
      <c r="DUZ1533"/>
      <c r="DVA1533"/>
      <c r="DVB1533"/>
      <c r="DVC1533"/>
      <c r="DVD1533"/>
      <c r="DVE1533"/>
      <c r="DVF1533"/>
      <c r="DVG1533"/>
      <c r="DVH1533"/>
      <c r="DVI1533"/>
      <c r="DVJ1533"/>
      <c r="DVK1533"/>
      <c r="DVL1533"/>
      <c r="DVM1533"/>
      <c r="DVN1533"/>
      <c r="DVO1533"/>
      <c r="DVP1533"/>
      <c r="DVQ1533"/>
      <c r="DVR1533"/>
      <c r="DVS1533"/>
      <c r="DVT1533"/>
      <c r="DVU1533"/>
      <c r="DVV1533"/>
      <c r="DVW1533"/>
      <c r="DVX1533"/>
      <c r="DVY1533"/>
      <c r="DVZ1533"/>
      <c r="DWA1533"/>
      <c r="DWB1533"/>
      <c r="DWC1533"/>
      <c r="DWD1533"/>
      <c r="DWE1533"/>
      <c r="DWF1533"/>
      <c r="DWG1533"/>
      <c r="DWH1533"/>
      <c r="DWI1533"/>
      <c r="DWJ1533"/>
      <c r="DWK1533"/>
      <c r="DWL1533"/>
      <c r="DWM1533"/>
      <c r="DWN1533"/>
      <c r="DWO1533"/>
      <c r="DWP1533"/>
      <c r="DWQ1533"/>
      <c r="DWR1533"/>
      <c r="DWS1533"/>
      <c r="DWT1533"/>
      <c r="DWU1533"/>
      <c r="DWV1533"/>
      <c r="DWW1533"/>
      <c r="DWX1533"/>
      <c r="DWY1533"/>
      <c r="DWZ1533"/>
      <c r="DXA1533"/>
      <c r="DXB1533"/>
      <c r="DXC1533"/>
      <c r="DXD1533"/>
      <c r="DXE1533"/>
      <c r="DXF1533"/>
      <c r="DXG1533"/>
      <c r="DXH1533"/>
      <c r="DXI1533"/>
      <c r="DXJ1533"/>
      <c r="DXK1533"/>
      <c r="DXL1533"/>
      <c r="DXM1533"/>
      <c r="DXN1533"/>
      <c r="DXO1533"/>
      <c r="DXP1533"/>
      <c r="DXQ1533"/>
      <c r="DXR1533"/>
      <c r="DXS1533"/>
      <c r="DXT1533"/>
      <c r="DXU1533"/>
      <c r="DXV1533"/>
      <c r="DXW1533"/>
      <c r="DXX1533"/>
      <c r="DXY1533"/>
      <c r="DXZ1533"/>
      <c r="DYA1533"/>
      <c r="DYB1533"/>
      <c r="DYC1533"/>
      <c r="DYD1533"/>
      <c r="DYE1533"/>
      <c r="DYF1533"/>
      <c r="DYG1533"/>
      <c r="DYH1533"/>
      <c r="DYI1533"/>
      <c r="DYJ1533"/>
      <c r="DYK1533"/>
      <c r="DYL1533"/>
      <c r="DYM1533"/>
      <c r="DYN1533"/>
      <c r="DYO1533"/>
      <c r="DYP1533"/>
      <c r="DYQ1533"/>
      <c r="DYR1533"/>
      <c r="DYS1533"/>
      <c r="DYT1533"/>
      <c r="DYU1533"/>
      <c r="DYV1533"/>
      <c r="DYW1533"/>
      <c r="DYX1533"/>
      <c r="DYY1533"/>
      <c r="DYZ1533"/>
      <c r="DZA1533"/>
      <c r="DZB1533"/>
      <c r="DZC1533"/>
      <c r="DZD1533"/>
      <c r="DZE1533"/>
      <c r="DZF1533"/>
      <c r="DZG1533"/>
      <c r="DZH1533"/>
      <c r="DZI1533"/>
      <c r="DZJ1533"/>
      <c r="DZK1533"/>
      <c r="DZL1533"/>
      <c r="DZM1533"/>
      <c r="DZN1533"/>
      <c r="DZO1533"/>
      <c r="DZP1533"/>
      <c r="DZQ1533"/>
      <c r="DZR1533"/>
      <c r="DZS1533"/>
      <c r="DZT1533"/>
      <c r="DZU1533"/>
      <c r="DZV1533"/>
      <c r="DZW1533"/>
      <c r="DZX1533"/>
      <c r="DZY1533"/>
      <c r="DZZ1533"/>
      <c r="EAA1533"/>
      <c r="EAB1533"/>
      <c r="EAC1533"/>
      <c r="EAD1533"/>
      <c r="EAE1533"/>
      <c r="EAF1533"/>
      <c r="EAG1533"/>
      <c r="EAH1533"/>
      <c r="EAI1533"/>
      <c r="EAJ1533"/>
      <c r="EAK1533"/>
      <c r="EAL1533"/>
      <c r="EAM1533"/>
      <c r="EAN1533"/>
      <c r="EAO1533"/>
      <c r="EAP1533"/>
      <c r="EAQ1533"/>
      <c r="EAR1533"/>
      <c r="EAS1533"/>
      <c r="EAT1533"/>
      <c r="EAU1533"/>
      <c r="EAV1533"/>
      <c r="EAW1533"/>
      <c r="EAX1533"/>
      <c r="EAY1533"/>
      <c r="EAZ1533"/>
      <c r="EBA1533"/>
      <c r="EBB1533"/>
      <c r="EBC1533"/>
      <c r="EBD1533"/>
      <c r="EBE1533"/>
      <c r="EBF1533"/>
      <c r="EBG1533"/>
      <c r="EBH1533"/>
      <c r="EBI1533"/>
      <c r="EBJ1533"/>
      <c r="EBK1533"/>
      <c r="EBL1533"/>
      <c r="EBM1533"/>
      <c r="EBN1533"/>
      <c r="EBO1533"/>
      <c r="EBP1533"/>
      <c r="EBQ1533"/>
      <c r="EBR1533"/>
      <c r="EBS1533"/>
      <c r="EBT1533"/>
      <c r="EBU1533"/>
      <c r="EBV1533"/>
      <c r="EBW1533"/>
      <c r="EBX1533"/>
      <c r="EBY1533"/>
      <c r="EBZ1533"/>
      <c r="ECA1533"/>
      <c r="ECB1533"/>
      <c r="ECC1533"/>
      <c r="ECD1533"/>
      <c r="ECE1533"/>
      <c r="ECF1533"/>
      <c r="ECG1533"/>
      <c r="ECH1533"/>
      <c r="ECI1533"/>
      <c r="ECJ1533"/>
      <c r="ECK1533"/>
      <c r="ECL1533"/>
      <c r="ECM1533"/>
      <c r="ECN1533"/>
      <c r="ECO1533"/>
      <c r="ECP1533"/>
      <c r="ECQ1533"/>
      <c r="ECR1533"/>
      <c r="ECS1533"/>
      <c r="ECT1533"/>
      <c r="ECU1533"/>
      <c r="ECV1533"/>
      <c r="ECW1533"/>
      <c r="ECX1533"/>
      <c r="ECY1533"/>
      <c r="ECZ1533"/>
      <c r="EDA1533"/>
      <c r="EDB1533"/>
      <c r="EDC1533"/>
      <c r="EDD1533"/>
      <c r="EDE1533"/>
      <c r="EDF1533"/>
      <c r="EDG1533"/>
      <c r="EDH1533"/>
      <c r="EDI1533"/>
      <c r="EDJ1533"/>
      <c r="EDK1533"/>
      <c r="EDL1533"/>
      <c r="EDM1533"/>
      <c r="EDN1533"/>
      <c r="EDO1533"/>
      <c r="EDP1533"/>
      <c r="EDQ1533"/>
      <c r="EDR1533"/>
      <c r="EDS1533"/>
      <c r="EDT1533"/>
      <c r="EDU1533"/>
      <c r="EDV1533"/>
      <c r="EDW1533"/>
      <c r="EDX1533"/>
      <c r="EDY1533"/>
      <c r="EDZ1533"/>
      <c r="EEA1533"/>
      <c r="EEB1533"/>
      <c r="EEC1533"/>
      <c r="EED1533"/>
      <c r="EEE1533"/>
      <c r="EEF1533"/>
      <c r="EEG1533"/>
      <c r="EEH1533"/>
      <c r="EEI1533"/>
      <c r="EEJ1533"/>
      <c r="EEK1533"/>
      <c r="EEL1533"/>
      <c r="EEM1533"/>
      <c r="EEN1533"/>
      <c r="EEO1533"/>
      <c r="EEP1533"/>
      <c r="EEQ1533"/>
      <c r="EER1533"/>
      <c r="EES1533"/>
      <c r="EET1533"/>
      <c r="EEU1533"/>
      <c r="EEV1533"/>
      <c r="EEW1533"/>
      <c r="EEX1533"/>
      <c r="EEY1533"/>
      <c r="EEZ1533"/>
      <c r="EFA1533"/>
      <c r="EFB1533"/>
      <c r="EFC1533"/>
      <c r="EFD1533"/>
      <c r="EFE1533"/>
      <c r="EFF1533"/>
      <c r="EFG1533"/>
      <c r="EFH1533"/>
      <c r="EFI1533"/>
      <c r="EFJ1533"/>
      <c r="EFK1533"/>
      <c r="EFL1533"/>
      <c r="EFM1533"/>
      <c r="EFN1533"/>
      <c r="EFO1533"/>
      <c r="EFP1533"/>
      <c r="EFQ1533"/>
      <c r="EFR1533"/>
      <c r="EFS1533"/>
      <c r="EFT1533"/>
      <c r="EFU1533"/>
      <c r="EFV1533"/>
      <c r="EFW1533"/>
      <c r="EFX1533"/>
      <c r="EFY1533"/>
      <c r="EFZ1533"/>
      <c r="EGA1533"/>
      <c r="EGB1533"/>
      <c r="EGC1533"/>
      <c r="EGD1533"/>
      <c r="EGE1533"/>
      <c r="EGF1533"/>
      <c r="EGG1533"/>
      <c r="EGH1533"/>
      <c r="EGI1533"/>
      <c r="EGJ1533"/>
      <c r="EGK1533"/>
      <c r="EGL1533"/>
      <c r="EGM1533"/>
      <c r="EGN1533"/>
      <c r="EGO1533"/>
      <c r="EGP1533"/>
      <c r="EGQ1533"/>
      <c r="EGR1533"/>
      <c r="EGS1533"/>
      <c r="EGT1533"/>
      <c r="EGU1533"/>
      <c r="EGV1533"/>
      <c r="EGW1533"/>
      <c r="EGX1533"/>
      <c r="EGY1533"/>
      <c r="EGZ1533"/>
      <c r="EHA1533"/>
      <c r="EHB1533"/>
      <c r="EHC1533"/>
      <c r="EHD1533"/>
      <c r="EHE1533"/>
      <c r="EHF1533"/>
      <c r="EHG1533"/>
      <c r="EHH1533"/>
      <c r="EHI1533"/>
      <c r="EHJ1533"/>
      <c r="EHK1533"/>
      <c r="EHL1533"/>
      <c r="EHM1533"/>
      <c r="EHN1533"/>
      <c r="EHO1533"/>
      <c r="EHP1533"/>
      <c r="EHQ1533"/>
      <c r="EHR1533"/>
      <c r="EHS1533"/>
      <c r="EHT1533"/>
      <c r="EHU1533"/>
      <c r="EHV1533"/>
      <c r="EHW1533"/>
      <c r="EHX1533"/>
      <c r="EHY1533"/>
      <c r="EHZ1533"/>
      <c r="EIA1533"/>
      <c r="EIB1533"/>
      <c r="EIC1533"/>
      <c r="EID1533"/>
      <c r="EIE1533"/>
      <c r="EIF1533"/>
      <c r="EIG1533"/>
      <c r="EIH1533"/>
      <c r="EII1533"/>
      <c r="EIJ1533"/>
      <c r="EIK1533"/>
      <c r="EIL1533"/>
      <c r="EIM1533"/>
      <c r="EIN1533"/>
      <c r="EIO1533"/>
      <c r="EIP1533"/>
      <c r="EIQ1533"/>
      <c r="EIR1533"/>
      <c r="EIS1533"/>
      <c r="EIT1533"/>
      <c r="EIU1533"/>
      <c r="EIV1533"/>
      <c r="EIW1533"/>
      <c r="EIX1533"/>
      <c r="EIY1533"/>
      <c r="EIZ1533"/>
      <c r="EJA1533"/>
      <c r="EJB1533"/>
      <c r="EJC1533"/>
      <c r="EJD1533"/>
      <c r="EJE1533"/>
      <c r="EJF1533"/>
      <c r="EJG1533"/>
      <c r="EJH1533"/>
      <c r="EJI1533"/>
      <c r="EJJ1533"/>
      <c r="EJK1533"/>
      <c r="EJL1533"/>
      <c r="EJM1533"/>
      <c r="EJN1533"/>
      <c r="EJO1533"/>
      <c r="EJP1533"/>
      <c r="EJQ1533"/>
      <c r="EJR1533"/>
      <c r="EJS1533"/>
      <c r="EJT1533"/>
      <c r="EJU1533"/>
      <c r="EJV1533"/>
      <c r="EJW1533"/>
      <c r="EJX1533"/>
      <c r="EJY1533"/>
      <c r="EJZ1533"/>
      <c r="EKA1533"/>
      <c r="EKB1533"/>
      <c r="EKC1533"/>
      <c r="EKD1533"/>
      <c r="EKE1533"/>
      <c r="EKF1533"/>
      <c r="EKG1533"/>
      <c r="EKH1533"/>
      <c r="EKI1533"/>
      <c r="EKJ1533"/>
      <c r="EKK1533"/>
      <c r="EKL1533"/>
      <c r="EKM1533"/>
      <c r="EKN1533"/>
      <c r="EKO1533"/>
      <c r="EKP1533"/>
      <c r="EKQ1533"/>
      <c r="EKR1533"/>
      <c r="EKS1533"/>
      <c r="EKT1533"/>
      <c r="EKU1533"/>
      <c r="EKV1533"/>
      <c r="EKW1533"/>
      <c r="EKX1533"/>
      <c r="EKY1533"/>
      <c r="EKZ1533"/>
      <c r="ELA1533"/>
      <c r="ELB1533"/>
      <c r="ELC1533"/>
      <c r="ELD1533"/>
      <c r="ELE1533"/>
      <c r="ELF1533"/>
      <c r="ELG1533"/>
      <c r="ELH1533"/>
      <c r="ELI1533"/>
      <c r="ELJ1533"/>
      <c r="ELK1533"/>
      <c r="ELL1533"/>
      <c r="ELM1533"/>
      <c r="ELN1533"/>
      <c r="ELO1533"/>
      <c r="ELP1533"/>
      <c r="ELQ1533"/>
      <c r="ELR1533"/>
      <c r="ELS1533"/>
      <c r="ELT1533"/>
      <c r="ELU1533"/>
      <c r="ELV1533"/>
      <c r="ELW1533"/>
      <c r="ELX1533"/>
      <c r="ELY1533"/>
      <c r="ELZ1533"/>
      <c r="EMA1533"/>
      <c r="EMB1533"/>
      <c r="EMC1533"/>
      <c r="EMD1533"/>
      <c r="EME1533"/>
      <c r="EMF1533"/>
      <c r="EMG1533"/>
      <c r="EMH1533"/>
      <c r="EMI1533"/>
      <c r="EMJ1533"/>
      <c r="EMK1533"/>
      <c r="EML1533"/>
      <c r="EMM1533"/>
      <c r="EMN1533"/>
      <c r="EMO1533"/>
      <c r="EMP1533"/>
      <c r="EMQ1533"/>
      <c r="EMR1533"/>
      <c r="EMS1533"/>
      <c r="EMT1533"/>
      <c r="EMU1533"/>
      <c r="EMV1533"/>
      <c r="EMW1533"/>
      <c r="EMX1533"/>
      <c r="EMY1533"/>
      <c r="EMZ1533"/>
      <c r="ENA1533"/>
      <c r="ENB1533"/>
      <c r="ENC1533"/>
      <c r="END1533"/>
      <c r="ENE1533"/>
      <c r="ENF1533"/>
      <c r="ENG1533"/>
      <c r="ENH1533"/>
      <c r="ENI1533"/>
      <c r="ENJ1533"/>
      <c r="ENK1533"/>
      <c r="ENL1533"/>
      <c r="ENM1533"/>
      <c r="ENN1533"/>
      <c r="ENO1533"/>
      <c r="ENP1533"/>
      <c r="ENQ1533"/>
      <c r="ENR1533"/>
      <c r="ENS1533"/>
      <c r="ENT1533"/>
      <c r="ENU1533"/>
      <c r="ENV1533"/>
      <c r="ENW1533"/>
      <c r="ENX1533"/>
      <c r="ENY1533"/>
      <c r="ENZ1533"/>
      <c r="EOA1533"/>
      <c r="EOB1533"/>
      <c r="EOC1533"/>
      <c r="EOD1533"/>
      <c r="EOE1533"/>
      <c r="EOF1533"/>
      <c r="EOG1533"/>
      <c r="EOH1533"/>
      <c r="EOI1533"/>
      <c r="EOJ1533"/>
      <c r="EOK1533"/>
      <c r="EOL1533"/>
      <c r="EOM1533"/>
      <c r="EON1533"/>
      <c r="EOO1533"/>
      <c r="EOP1533"/>
      <c r="EOQ1533"/>
      <c r="EOR1533"/>
      <c r="EOS1533"/>
      <c r="EOT1533"/>
      <c r="EOU1533"/>
      <c r="EOV1533"/>
      <c r="EOW1533"/>
      <c r="EOX1533"/>
      <c r="EOY1533"/>
      <c r="EOZ1533"/>
      <c r="EPA1533"/>
      <c r="EPB1533"/>
      <c r="EPC1533"/>
      <c r="EPD1533"/>
      <c r="EPE1533"/>
      <c r="EPF1533"/>
      <c r="EPG1533"/>
      <c r="EPH1533"/>
      <c r="EPI1533"/>
      <c r="EPJ1533"/>
      <c r="EPK1533"/>
      <c r="EPL1533"/>
      <c r="EPM1533"/>
      <c r="EPN1533"/>
      <c r="EPO1533"/>
      <c r="EPP1533"/>
      <c r="EPQ1533"/>
      <c r="EPR1533"/>
      <c r="EPS1533"/>
      <c r="EPT1533"/>
      <c r="EPU1533"/>
      <c r="EPV1533"/>
      <c r="EPW1533"/>
      <c r="EPX1533"/>
      <c r="EPY1533"/>
      <c r="EPZ1533"/>
      <c r="EQA1533"/>
      <c r="EQB1533"/>
      <c r="EQC1533"/>
      <c r="EQD1533"/>
      <c r="EQE1533"/>
      <c r="EQF1533"/>
      <c r="EQG1533"/>
      <c r="EQH1533"/>
      <c r="EQI1533"/>
      <c r="EQJ1533"/>
      <c r="EQK1533"/>
      <c r="EQL1533"/>
      <c r="EQM1533"/>
      <c r="EQN1533"/>
      <c r="EQO1533"/>
      <c r="EQP1533"/>
      <c r="EQQ1533"/>
      <c r="EQR1533"/>
      <c r="EQS1533"/>
      <c r="EQT1533"/>
      <c r="EQU1533"/>
      <c r="EQV1533"/>
      <c r="EQW1533"/>
      <c r="EQX1533"/>
      <c r="EQY1533"/>
      <c r="EQZ1533"/>
      <c r="ERA1533"/>
      <c r="ERB1533"/>
      <c r="ERC1533"/>
      <c r="ERD1533"/>
      <c r="ERE1533"/>
      <c r="ERF1533"/>
      <c r="ERG1533"/>
      <c r="ERH1533"/>
      <c r="ERI1533"/>
      <c r="ERJ1533"/>
      <c r="ERK1533"/>
      <c r="ERL1533"/>
      <c r="ERM1533"/>
      <c r="ERN1533"/>
      <c r="ERO1533"/>
      <c r="ERP1533"/>
      <c r="ERQ1533"/>
      <c r="ERR1533"/>
      <c r="ERS1533"/>
      <c r="ERT1533"/>
      <c r="ERU1533"/>
      <c r="ERV1533"/>
      <c r="ERW1533"/>
      <c r="ERX1533"/>
      <c r="ERY1533"/>
      <c r="ERZ1533"/>
      <c r="ESA1533"/>
      <c r="ESB1533"/>
      <c r="ESC1533"/>
      <c r="ESD1533"/>
      <c r="ESE1533"/>
      <c r="ESF1533"/>
      <c r="ESG1533"/>
      <c r="ESH1533"/>
      <c r="ESI1533"/>
      <c r="ESJ1533"/>
      <c r="ESK1533"/>
      <c r="ESL1533"/>
      <c r="ESM1533"/>
      <c r="ESN1533"/>
      <c r="ESO1533"/>
      <c r="ESP1533"/>
      <c r="ESQ1533"/>
      <c r="ESR1533"/>
      <c r="ESS1533"/>
      <c r="EST1533"/>
      <c r="ESU1533"/>
      <c r="ESV1533"/>
      <c r="ESW1533"/>
      <c r="ESX1533"/>
      <c r="ESY1533"/>
      <c r="ESZ1533"/>
      <c r="ETA1533"/>
      <c r="ETB1533"/>
      <c r="ETC1533"/>
      <c r="ETD1533"/>
      <c r="ETE1533"/>
      <c r="ETF1533"/>
      <c r="ETG1533"/>
      <c r="ETH1533"/>
      <c r="ETI1533"/>
      <c r="ETJ1533"/>
      <c r="ETK1533"/>
      <c r="ETL1533"/>
      <c r="ETM1533"/>
      <c r="ETN1533"/>
      <c r="ETO1533"/>
      <c r="ETP1533"/>
      <c r="ETQ1533"/>
      <c r="ETR1533"/>
      <c r="ETS1533"/>
      <c r="ETT1533"/>
      <c r="ETU1533"/>
      <c r="ETV1533"/>
      <c r="ETW1533"/>
      <c r="ETX1533"/>
      <c r="ETY1533"/>
      <c r="ETZ1533"/>
      <c r="EUA1533"/>
      <c r="EUB1533"/>
      <c r="EUC1533"/>
      <c r="EUD1533"/>
      <c r="EUE1533"/>
      <c r="EUF1533"/>
      <c r="EUG1533"/>
      <c r="EUH1533"/>
      <c r="EUI1533"/>
      <c r="EUJ1533"/>
      <c r="EUK1533"/>
      <c r="EUL1533"/>
      <c r="EUM1533"/>
      <c r="EUN1533"/>
      <c r="EUO1533"/>
      <c r="EUP1533"/>
      <c r="EUQ1533"/>
      <c r="EUR1533"/>
      <c r="EUS1533"/>
      <c r="EUT1533"/>
      <c r="EUU1533"/>
      <c r="EUV1533"/>
      <c r="EUW1533"/>
      <c r="EUX1533"/>
      <c r="EUY1533"/>
      <c r="EUZ1533"/>
      <c r="EVA1533"/>
      <c r="EVB1533"/>
      <c r="EVC1533"/>
      <c r="EVD1533"/>
      <c r="EVE1533"/>
      <c r="EVF1533"/>
      <c r="EVG1533"/>
      <c r="EVH1533"/>
      <c r="EVI1533"/>
      <c r="EVJ1533"/>
      <c r="EVK1533"/>
      <c r="EVL1533"/>
      <c r="EVM1533"/>
      <c r="EVN1533"/>
      <c r="EVO1533"/>
      <c r="EVP1533"/>
      <c r="EVQ1533"/>
      <c r="EVR1533"/>
      <c r="EVS1533"/>
      <c r="EVT1533"/>
      <c r="EVU1533"/>
      <c r="EVV1533"/>
      <c r="EVW1533"/>
      <c r="EVX1533"/>
      <c r="EVY1533"/>
      <c r="EVZ1533"/>
      <c r="EWA1533"/>
      <c r="EWB1533"/>
      <c r="EWC1533"/>
      <c r="EWD1533"/>
      <c r="EWE1533"/>
      <c r="EWF1533"/>
      <c r="EWG1533"/>
      <c r="EWH1533"/>
      <c r="EWI1533"/>
      <c r="EWJ1533"/>
      <c r="EWK1533"/>
      <c r="EWL1533"/>
      <c r="EWM1533"/>
      <c r="EWN1533"/>
      <c r="EWO1533"/>
      <c r="EWP1533"/>
      <c r="EWQ1533"/>
      <c r="EWR1533"/>
      <c r="EWS1533"/>
      <c r="EWT1533"/>
      <c r="EWU1533"/>
      <c r="EWV1533"/>
      <c r="EWW1533"/>
      <c r="EWX1533"/>
      <c r="EWY1533"/>
      <c r="EWZ1533"/>
      <c r="EXA1533"/>
      <c r="EXB1533"/>
      <c r="EXC1533"/>
      <c r="EXD1533"/>
      <c r="EXE1533"/>
      <c r="EXF1533"/>
      <c r="EXG1533"/>
      <c r="EXH1533"/>
      <c r="EXI1533"/>
      <c r="EXJ1533"/>
      <c r="EXK1533"/>
      <c r="EXL1533"/>
      <c r="EXM1533"/>
      <c r="EXN1533"/>
      <c r="EXO1533"/>
      <c r="EXP1533"/>
      <c r="EXQ1533"/>
      <c r="EXR1533"/>
      <c r="EXS1533"/>
      <c r="EXT1533"/>
      <c r="EXU1533"/>
      <c r="EXV1533"/>
      <c r="EXW1533"/>
      <c r="EXX1533"/>
      <c r="EXY1533"/>
      <c r="EXZ1533"/>
      <c r="EYA1533"/>
      <c r="EYB1533"/>
      <c r="EYC1533"/>
      <c r="EYD1533"/>
      <c r="EYE1533"/>
      <c r="EYF1533"/>
      <c r="EYG1533"/>
      <c r="EYH1533"/>
      <c r="EYI1533"/>
      <c r="EYJ1533"/>
      <c r="EYK1533"/>
      <c r="EYL1533"/>
      <c r="EYM1533"/>
      <c r="EYN1533"/>
      <c r="EYO1533"/>
      <c r="EYP1533"/>
      <c r="EYQ1533"/>
      <c r="EYR1533"/>
      <c r="EYS1533"/>
      <c r="EYT1533"/>
      <c r="EYU1533"/>
      <c r="EYV1533"/>
      <c r="EYW1533"/>
      <c r="EYX1533"/>
      <c r="EYY1533"/>
      <c r="EYZ1533"/>
      <c r="EZA1533"/>
      <c r="EZB1533"/>
      <c r="EZC1533"/>
      <c r="EZD1533"/>
      <c r="EZE1533"/>
      <c r="EZF1533"/>
      <c r="EZG1533"/>
      <c r="EZH1533"/>
      <c r="EZI1533"/>
      <c r="EZJ1533"/>
      <c r="EZK1533"/>
      <c r="EZL1533"/>
      <c r="EZM1533"/>
      <c r="EZN1533"/>
      <c r="EZO1533"/>
      <c r="EZP1533"/>
      <c r="EZQ1533"/>
      <c r="EZR1533"/>
      <c r="EZS1533"/>
      <c r="EZT1533"/>
      <c r="EZU1533"/>
      <c r="EZV1533"/>
      <c r="EZW1533"/>
      <c r="EZX1533"/>
      <c r="EZY1533"/>
      <c r="EZZ1533"/>
      <c r="FAA1533"/>
      <c r="FAB1533"/>
      <c r="FAC1533"/>
      <c r="FAD1533"/>
      <c r="FAE1533"/>
      <c r="FAF1533"/>
      <c r="FAG1533"/>
      <c r="FAH1533"/>
      <c r="FAI1533"/>
      <c r="FAJ1533"/>
      <c r="FAK1533"/>
      <c r="FAL1533"/>
      <c r="FAM1533"/>
      <c r="FAN1533"/>
      <c r="FAO1533"/>
      <c r="FAP1533"/>
      <c r="FAQ1533"/>
      <c r="FAR1533"/>
      <c r="FAS1533"/>
      <c r="FAT1533"/>
      <c r="FAU1533"/>
      <c r="FAV1533"/>
      <c r="FAW1533"/>
      <c r="FAX1533"/>
      <c r="FAY1533"/>
      <c r="FAZ1533"/>
      <c r="FBA1533"/>
      <c r="FBB1533"/>
      <c r="FBC1533"/>
      <c r="FBD1533"/>
      <c r="FBE1533"/>
      <c r="FBF1533"/>
      <c r="FBG1533"/>
      <c r="FBH1533"/>
      <c r="FBI1533"/>
      <c r="FBJ1533"/>
      <c r="FBK1533"/>
      <c r="FBL1533"/>
      <c r="FBM1533"/>
      <c r="FBN1533"/>
      <c r="FBO1533"/>
      <c r="FBP1533"/>
      <c r="FBQ1533"/>
      <c r="FBR1533"/>
      <c r="FBS1533"/>
      <c r="FBT1533"/>
      <c r="FBU1533"/>
      <c r="FBV1533"/>
      <c r="FBW1533"/>
      <c r="FBX1533"/>
      <c r="FBY1533"/>
      <c r="FBZ1533"/>
      <c r="FCA1533"/>
      <c r="FCB1533"/>
      <c r="FCC1533"/>
      <c r="FCD1533"/>
      <c r="FCE1533"/>
      <c r="FCF1533"/>
      <c r="FCG1533"/>
      <c r="FCH1533"/>
      <c r="FCI1533"/>
      <c r="FCJ1533"/>
      <c r="FCK1533"/>
      <c r="FCL1533"/>
      <c r="FCM1533"/>
      <c r="FCN1533"/>
      <c r="FCO1533"/>
      <c r="FCP1533"/>
      <c r="FCQ1533"/>
      <c r="FCR1533"/>
      <c r="FCS1533"/>
      <c r="FCT1533"/>
      <c r="FCU1533"/>
      <c r="FCV1533"/>
      <c r="FCW1533"/>
      <c r="FCX1533"/>
      <c r="FCY1533"/>
      <c r="FCZ1533"/>
      <c r="FDA1533"/>
      <c r="FDB1533"/>
      <c r="FDC1533"/>
      <c r="FDD1533"/>
      <c r="FDE1533"/>
      <c r="FDF1533"/>
      <c r="FDG1533"/>
      <c r="FDH1533"/>
      <c r="FDI1533"/>
      <c r="FDJ1533"/>
      <c r="FDK1533"/>
      <c r="FDL1533"/>
      <c r="FDM1533"/>
      <c r="FDN1533"/>
      <c r="FDO1533"/>
      <c r="FDP1533"/>
      <c r="FDQ1533"/>
      <c r="FDR1533"/>
      <c r="FDS1533"/>
      <c r="FDT1533"/>
      <c r="FDU1533"/>
      <c r="FDV1533"/>
      <c r="FDW1533"/>
      <c r="FDX1533"/>
      <c r="FDY1533"/>
      <c r="FDZ1533"/>
      <c r="FEA1533"/>
      <c r="FEB1533"/>
      <c r="FEC1533"/>
      <c r="FED1533"/>
      <c r="FEE1533"/>
      <c r="FEF1533"/>
      <c r="FEG1533"/>
      <c r="FEH1533"/>
      <c r="FEI1533"/>
      <c r="FEJ1533"/>
      <c r="FEK1533"/>
      <c r="FEL1533"/>
      <c r="FEM1533"/>
      <c r="FEN1533"/>
      <c r="FEO1533"/>
      <c r="FEP1533"/>
      <c r="FEQ1533"/>
      <c r="FER1533"/>
      <c r="FES1533"/>
      <c r="FET1533"/>
      <c r="FEU1533"/>
      <c r="FEV1533"/>
      <c r="FEW1533"/>
      <c r="FEX1533"/>
      <c r="FEY1533"/>
      <c r="FEZ1533"/>
      <c r="FFA1533"/>
      <c r="FFB1533"/>
      <c r="FFC1533"/>
      <c r="FFD1533"/>
      <c r="FFE1533"/>
      <c r="FFF1533"/>
      <c r="FFG1533"/>
      <c r="FFH1533"/>
      <c r="FFI1533"/>
      <c r="FFJ1533"/>
      <c r="FFK1533"/>
      <c r="FFL1533"/>
      <c r="FFM1533"/>
      <c r="FFN1533"/>
      <c r="FFO1533"/>
      <c r="FFP1533"/>
      <c r="FFQ1533"/>
      <c r="FFR1533"/>
      <c r="FFS1533"/>
      <c r="FFT1533"/>
      <c r="FFU1533"/>
      <c r="FFV1533"/>
      <c r="FFW1533"/>
      <c r="FFX1533"/>
      <c r="FFY1533"/>
      <c r="FFZ1533"/>
      <c r="FGA1533"/>
      <c r="FGB1533"/>
      <c r="FGC1533"/>
      <c r="FGD1533"/>
      <c r="FGE1533"/>
      <c r="FGF1533"/>
      <c r="FGG1533"/>
      <c r="FGH1533"/>
      <c r="FGI1533"/>
      <c r="FGJ1533"/>
      <c r="FGK1533"/>
      <c r="FGL1533"/>
      <c r="FGM1533"/>
      <c r="FGN1533"/>
      <c r="FGO1533"/>
      <c r="FGP1533"/>
      <c r="FGQ1533"/>
      <c r="FGR1533"/>
      <c r="FGS1533"/>
      <c r="FGT1533"/>
      <c r="FGU1533"/>
      <c r="FGV1533"/>
      <c r="FGW1533"/>
      <c r="FGX1533"/>
      <c r="FGY1533"/>
      <c r="FGZ1533"/>
      <c r="FHA1533"/>
      <c r="FHB1533"/>
      <c r="FHC1533"/>
      <c r="FHD1533"/>
      <c r="FHE1533"/>
      <c r="FHF1533"/>
      <c r="FHG1533"/>
      <c r="FHH1533"/>
      <c r="FHI1533"/>
      <c r="FHJ1533"/>
      <c r="FHK1533"/>
      <c r="FHL1533"/>
      <c r="FHM1533"/>
      <c r="FHN1533"/>
      <c r="FHO1533"/>
      <c r="FHP1533"/>
      <c r="FHQ1533"/>
      <c r="FHR1533"/>
      <c r="FHS1533"/>
      <c r="FHT1533"/>
      <c r="FHU1533"/>
      <c r="FHV1533"/>
      <c r="FHW1533"/>
      <c r="FHX1533"/>
      <c r="FHY1533"/>
      <c r="FHZ1533"/>
      <c r="FIA1533"/>
      <c r="FIB1533"/>
      <c r="FIC1533"/>
      <c r="FID1533"/>
      <c r="FIE1533"/>
      <c r="FIF1533"/>
      <c r="FIG1533"/>
      <c r="FIH1533"/>
      <c r="FII1533"/>
      <c r="FIJ1533"/>
      <c r="FIK1533"/>
      <c r="FIL1533"/>
      <c r="FIM1533"/>
      <c r="FIN1533"/>
      <c r="FIO1533"/>
      <c r="FIP1533"/>
      <c r="FIQ1533"/>
      <c r="FIR1533"/>
      <c r="FIS1533"/>
      <c r="FIT1533"/>
      <c r="FIU1533"/>
      <c r="FIV1533"/>
      <c r="FIW1533"/>
      <c r="FIX1533"/>
      <c r="FIY1533"/>
      <c r="FIZ1533"/>
      <c r="FJA1533"/>
      <c r="FJB1533"/>
      <c r="FJC1533"/>
      <c r="FJD1533"/>
      <c r="FJE1533"/>
      <c r="FJF1533"/>
      <c r="FJG1533"/>
      <c r="FJH1533"/>
      <c r="FJI1533"/>
      <c r="FJJ1533"/>
      <c r="FJK1533"/>
      <c r="FJL1533"/>
      <c r="FJM1533"/>
      <c r="FJN1533"/>
      <c r="FJO1533"/>
      <c r="FJP1533"/>
      <c r="FJQ1533"/>
      <c r="FJR1533"/>
      <c r="FJS1533"/>
      <c r="FJT1533"/>
      <c r="FJU1533"/>
      <c r="FJV1533"/>
      <c r="FJW1533"/>
      <c r="FJX1533"/>
      <c r="FJY1533"/>
      <c r="FJZ1533"/>
      <c r="FKA1533"/>
      <c r="FKB1533"/>
      <c r="FKC1533"/>
      <c r="FKD1533"/>
      <c r="FKE1533"/>
      <c r="FKF1533"/>
      <c r="FKG1533"/>
      <c r="FKH1533"/>
      <c r="FKI1533"/>
      <c r="FKJ1533"/>
      <c r="FKK1533"/>
      <c r="FKL1533"/>
      <c r="FKM1533"/>
      <c r="FKN1533"/>
      <c r="FKO1533"/>
      <c r="FKP1533"/>
      <c r="FKQ1533"/>
      <c r="FKR1533"/>
      <c r="FKS1533"/>
      <c r="FKT1533"/>
      <c r="FKU1533"/>
      <c r="FKV1533"/>
      <c r="FKW1533"/>
      <c r="FKX1533"/>
      <c r="FKY1533"/>
      <c r="FKZ1533"/>
      <c r="FLA1533"/>
      <c r="FLB1533"/>
      <c r="FLC1533"/>
      <c r="FLD1533"/>
      <c r="FLE1533"/>
      <c r="FLF1533"/>
      <c r="FLG1533"/>
      <c r="FLH1533"/>
      <c r="FLI1533"/>
      <c r="FLJ1533"/>
      <c r="FLK1533"/>
      <c r="FLL1533"/>
      <c r="FLM1533"/>
      <c r="FLN1533"/>
      <c r="FLO1533"/>
      <c r="FLP1533"/>
      <c r="FLQ1533"/>
      <c r="FLR1533"/>
      <c r="FLS1533"/>
      <c r="FLT1533"/>
      <c r="FLU1533"/>
      <c r="FLV1533"/>
      <c r="FLW1533"/>
      <c r="FLX1533"/>
      <c r="FLY1533"/>
      <c r="FLZ1533"/>
      <c r="FMA1533"/>
      <c r="FMB1533"/>
      <c r="FMC1533"/>
      <c r="FMD1533"/>
      <c r="FME1533"/>
      <c r="FMF1533"/>
      <c r="FMG1533"/>
      <c r="FMH1533"/>
      <c r="FMI1533"/>
      <c r="FMJ1533"/>
      <c r="FMK1533"/>
      <c r="FML1533"/>
      <c r="FMM1533"/>
      <c r="FMN1533"/>
      <c r="FMO1533"/>
      <c r="FMP1533"/>
      <c r="FMQ1533"/>
      <c r="FMR1533"/>
      <c r="FMS1533"/>
      <c r="FMT1533"/>
      <c r="FMU1533"/>
      <c r="FMV1533"/>
      <c r="FMW1533"/>
      <c r="FMX1533"/>
      <c r="FMY1533"/>
      <c r="FMZ1533"/>
      <c r="FNA1533"/>
      <c r="FNB1533"/>
      <c r="FNC1533"/>
      <c r="FND1533"/>
      <c r="FNE1533"/>
      <c r="FNF1533"/>
      <c r="FNG1533"/>
      <c r="FNH1533"/>
      <c r="FNI1533"/>
      <c r="FNJ1533"/>
      <c r="FNK1533"/>
      <c r="FNL1533"/>
      <c r="FNM1533"/>
      <c r="FNN1533"/>
      <c r="FNO1533"/>
      <c r="FNP1533"/>
      <c r="FNQ1533"/>
      <c r="FNR1533"/>
      <c r="FNS1533"/>
      <c r="FNT1533"/>
      <c r="FNU1533"/>
      <c r="FNV1533"/>
      <c r="FNW1533"/>
      <c r="FNX1533"/>
      <c r="FNY1533"/>
      <c r="FNZ1533"/>
      <c r="FOA1533"/>
      <c r="FOB1533"/>
      <c r="FOC1533"/>
      <c r="FOD1533"/>
      <c r="FOE1533"/>
      <c r="FOF1533"/>
      <c r="FOG1533"/>
      <c r="FOH1533"/>
      <c r="FOI1533"/>
      <c r="FOJ1533"/>
      <c r="FOK1533"/>
      <c r="FOL1533"/>
      <c r="FOM1533"/>
      <c r="FON1533"/>
      <c r="FOO1533"/>
      <c r="FOP1533"/>
      <c r="FOQ1533"/>
      <c r="FOR1533"/>
      <c r="FOS1533"/>
      <c r="FOT1533"/>
      <c r="FOU1533"/>
      <c r="FOV1533"/>
      <c r="FOW1533"/>
      <c r="FOX1533"/>
      <c r="FOY1533"/>
      <c r="FOZ1533"/>
      <c r="FPA1533"/>
      <c r="FPB1533"/>
      <c r="FPC1533"/>
      <c r="FPD1533"/>
      <c r="FPE1533"/>
      <c r="FPF1533"/>
      <c r="FPG1533"/>
      <c r="FPH1533"/>
      <c r="FPI1533"/>
      <c r="FPJ1533"/>
      <c r="FPK1533"/>
      <c r="FPL1533"/>
      <c r="FPM1533"/>
      <c r="FPN1533"/>
      <c r="FPO1533"/>
      <c r="FPP1533"/>
      <c r="FPQ1533"/>
      <c r="FPR1533"/>
      <c r="FPS1533"/>
      <c r="FPT1533"/>
      <c r="FPU1533"/>
      <c r="FPV1533"/>
      <c r="FPW1533"/>
      <c r="FPX1533"/>
      <c r="FPY1533"/>
      <c r="FPZ1533"/>
      <c r="FQA1533"/>
      <c r="FQB1533"/>
      <c r="FQC1533"/>
      <c r="FQD1533"/>
      <c r="FQE1533"/>
      <c r="FQF1533"/>
      <c r="FQG1533"/>
      <c r="FQH1533"/>
      <c r="FQI1533"/>
      <c r="FQJ1533"/>
      <c r="FQK1533"/>
      <c r="FQL1533"/>
      <c r="FQM1533"/>
      <c r="FQN1533"/>
      <c r="FQO1533"/>
      <c r="FQP1533"/>
      <c r="FQQ1533"/>
      <c r="FQR1533"/>
      <c r="FQS1533"/>
      <c r="FQT1533"/>
      <c r="FQU1533"/>
      <c r="FQV1533"/>
      <c r="FQW1533"/>
      <c r="FQX1533"/>
      <c r="FQY1533"/>
      <c r="FQZ1533"/>
      <c r="FRA1533"/>
      <c r="FRB1533"/>
      <c r="FRC1533"/>
      <c r="FRD1533"/>
      <c r="FRE1533"/>
      <c r="FRF1533"/>
      <c r="FRG1533"/>
      <c r="FRH1533"/>
      <c r="FRI1533"/>
      <c r="FRJ1533"/>
      <c r="FRK1533"/>
      <c r="FRL1533"/>
      <c r="FRM1533"/>
      <c r="FRN1533"/>
      <c r="FRO1533"/>
      <c r="FRP1533"/>
      <c r="FRQ1533"/>
      <c r="FRR1533"/>
      <c r="FRS1533"/>
      <c r="FRT1533"/>
      <c r="FRU1533"/>
      <c r="FRV1533"/>
      <c r="FRW1533"/>
      <c r="FRX1533"/>
      <c r="FRY1533"/>
      <c r="FRZ1533"/>
      <c r="FSA1533"/>
      <c r="FSB1533"/>
      <c r="FSC1533"/>
      <c r="FSD1533"/>
      <c r="FSE1533"/>
      <c r="FSF1533"/>
      <c r="FSG1533"/>
      <c r="FSH1533"/>
      <c r="FSI1533"/>
      <c r="FSJ1533"/>
      <c r="FSK1533"/>
      <c r="FSL1533"/>
      <c r="FSM1533"/>
      <c r="FSN1533"/>
      <c r="FSO1533"/>
      <c r="FSP1533"/>
      <c r="FSQ1533"/>
      <c r="FSR1533"/>
      <c r="FSS1533"/>
      <c r="FST1533"/>
      <c r="FSU1533"/>
      <c r="FSV1533"/>
      <c r="FSW1533"/>
      <c r="FSX1533"/>
      <c r="FSY1533"/>
      <c r="FSZ1533"/>
      <c r="FTA1533"/>
      <c r="FTB1533"/>
      <c r="FTC1533"/>
      <c r="FTD1533"/>
      <c r="FTE1533"/>
      <c r="FTF1533"/>
      <c r="FTG1533"/>
      <c r="FTH1533"/>
      <c r="FTI1533"/>
      <c r="FTJ1533"/>
      <c r="FTK1533"/>
      <c r="FTL1533"/>
      <c r="FTM1533"/>
      <c r="FTN1533"/>
      <c r="FTO1533"/>
      <c r="FTP1533"/>
      <c r="FTQ1533"/>
      <c r="FTR1533"/>
      <c r="FTS1533"/>
      <c r="FTT1533"/>
      <c r="FTU1533"/>
      <c r="FTV1533"/>
      <c r="FTW1533"/>
      <c r="FTX1533"/>
      <c r="FTY1533"/>
      <c r="FTZ1533"/>
      <c r="FUA1533"/>
      <c r="FUB1533"/>
      <c r="FUC1533"/>
      <c r="FUD1533"/>
      <c r="FUE1533"/>
      <c r="FUF1533"/>
      <c r="FUG1533"/>
      <c r="FUH1533"/>
      <c r="FUI1533"/>
      <c r="FUJ1533"/>
      <c r="FUK1533"/>
      <c r="FUL1533"/>
      <c r="FUM1533"/>
      <c r="FUN1533"/>
      <c r="FUO1533"/>
      <c r="FUP1533"/>
      <c r="FUQ1533"/>
      <c r="FUR1533"/>
      <c r="FUS1533"/>
      <c r="FUT1533"/>
      <c r="FUU1533"/>
      <c r="FUV1533"/>
      <c r="FUW1533"/>
      <c r="FUX1533"/>
      <c r="FUY1533"/>
      <c r="FUZ1533"/>
      <c r="FVA1533"/>
      <c r="FVB1533"/>
      <c r="FVC1533"/>
      <c r="FVD1533"/>
      <c r="FVE1533"/>
      <c r="FVF1533"/>
      <c r="FVG1533"/>
      <c r="FVH1533"/>
      <c r="FVI1533"/>
      <c r="FVJ1533"/>
      <c r="FVK1533"/>
      <c r="FVL1533"/>
      <c r="FVM1533"/>
      <c r="FVN1533"/>
      <c r="FVO1533"/>
      <c r="FVP1533"/>
      <c r="FVQ1533"/>
      <c r="FVR1533"/>
      <c r="FVS1533"/>
      <c r="FVT1533"/>
      <c r="FVU1533"/>
      <c r="FVV1533"/>
      <c r="FVW1533"/>
      <c r="FVX1533"/>
      <c r="FVY1533"/>
      <c r="FVZ1533"/>
      <c r="FWA1533"/>
      <c r="FWB1533"/>
      <c r="FWC1533"/>
      <c r="FWD1533"/>
      <c r="FWE1533"/>
      <c r="FWF1533"/>
      <c r="FWG1533"/>
      <c r="FWH1533"/>
      <c r="FWI1533"/>
      <c r="FWJ1533"/>
      <c r="FWK1533"/>
      <c r="FWL1533"/>
      <c r="FWM1533"/>
      <c r="FWN1533"/>
      <c r="FWO1533"/>
      <c r="FWP1533"/>
      <c r="FWQ1533"/>
      <c r="FWR1533"/>
      <c r="FWS1533"/>
      <c r="FWT1533"/>
      <c r="FWU1533"/>
      <c r="FWV1533"/>
      <c r="FWW1533"/>
      <c r="FWX1533"/>
      <c r="FWY1533"/>
      <c r="FWZ1533"/>
      <c r="FXA1533"/>
      <c r="FXB1533"/>
      <c r="FXC1533"/>
      <c r="FXD1533"/>
      <c r="FXE1533"/>
      <c r="FXF1533"/>
      <c r="FXG1533"/>
      <c r="FXH1533"/>
      <c r="FXI1533"/>
      <c r="FXJ1533"/>
      <c r="FXK1533"/>
      <c r="FXL1533"/>
      <c r="FXM1533"/>
      <c r="FXN1533"/>
      <c r="FXO1533"/>
      <c r="FXP1533"/>
      <c r="FXQ1533"/>
      <c r="FXR1533"/>
      <c r="FXS1533"/>
      <c r="FXT1533"/>
      <c r="FXU1533"/>
      <c r="FXV1533"/>
      <c r="FXW1533"/>
      <c r="FXX1533"/>
      <c r="FXY1533"/>
      <c r="FXZ1533"/>
      <c r="FYA1533"/>
      <c r="FYB1533"/>
      <c r="FYC1533"/>
      <c r="FYD1533"/>
      <c r="FYE1533"/>
      <c r="FYF1533"/>
      <c r="FYG1533"/>
      <c r="FYH1533"/>
      <c r="FYI1533"/>
      <c r="FYJ1533"/>
      <c r="FYK1533"/>
      <c r="FYL1533"/>
      <c r="FYM1533"/>
      <c r="FYN1533"/>
      <c r="FYO1533"/>
      <c r="FYP1533"/>
      <c r="FYQ1533"/>
      <c r="FYR1533"/>
      <c r="FYS1533"/>
      <c r="FYT1533"/>
      <c r="FYU1533"/>
      <c r="FYV1533"/>
      <c r="FYW1533"/>
      <c r="FYX1533"/>
      <c r="FYY1533"/>
      <c r="FYZ1533"/>
      <c r="FZA1533"/>
      <c r="FZB1533"/>
      <c r="FZC1533"/>
      <c r="FZD1533"/>
      <c r="FZE1533"/>
      <c r="FZF1533"/>
      <c r="FZG1533"/>
      <c r="FZH1533"/>
      <c r="FZI1533"/>
      <c r="FZJ1533"/>
      <c r="FZK1533"/>
      <c r="FZL1533"/>
      <c r="FZM1533"/>
      <c r="FZN1533"/>
      <c r="FZO1533"/>
      <c r="FZP1533"/>
      <c r="FZQ1533"/>
      <c r="FZR1533"/>
      <c r="FZS1533"/>
      <c r="FZT1533"/>
      <c r="FZU1533"/>
      <c r="FZV1533"/>
      <c r="FZW1533"/>
      <c r="FZX1533"/>
      <c r="FZY1533"/>
      <c r="FZZ1533"/>
      <c r="GAA1533"/>
      <c r="GAB1533"/>
      <c r="GAC1533"/>
      <c r="GAD1533"/>
      <c r="GAE1533"/>
      <c r="GAF1533"/>
      <c r="GAG1533"/>
      <c r="GAH1533"/>
      <c r="GAI1533"/>
      <c r="GAJ1533"/>
      <c r="GAK1533"/>
      <c r="GAL1533"/>
      <c r="GAM1533"/>
      <c r="GAN1533"/>
      <c r="GAO1533"/>
      <c r="GAP1533"/>
      <c r="GAQ1533"/>
      <c r="GAR1533"/>
      <c r="GAS1533"/>
      <c r="GAT1533"/>
      <c r="GAU1533"/>
      <c r="GAV1533"/>
      <c r="GAW1533"/>
      <c r="GAX1533"/>
      <c r="GAY1533"/>
      <c r="GAZ1533"/>
      <c r="GBA1533"/>
      <c r="GBB1533"/>
      <c r="GBC1533"/>
      <c r="GBD1533"/>
      <c r="GBE1533"/>
      <c r="GBF1533"/>
      <c r="GBG1533"/>
      <c r="GBH1533"/>
      <c r="GBI1533"/>
      <c r="GBJ1533"/>
      <c r="GBK1533"/>
      <c r="GBL1533"/>
      <c r="GBM1533"/>
      <c r="GBN1533"/>
      <c r="GBO1533"/>
      <c r="GBP1533"/>
      <c r="GBQ1533"/>
      <c r="GBR1533"/>
      <c r="GBS1533"/>
      <c r="GBT1533"/>
      <c r="GBU1533"/>
      <c r="GBV1533"/>
      <c r="GBW1533"/>
      <c r="GBX1533"/>
      <c r="GBY1533"/>
      <c r="GBZ1533"/>
      <c r="GCA1533"/>
      <c r="GCB1533"/>
      <c r="GCC1533"/>
      <c r="GCD1533"/>
      <c r="GCE1533"/>
      <c r="GCF1533"/>
      <c r="GCG1533"/>
      <c r="GCH1533"/>
      <c r="GCI1533"/>
      <c r="GCJ1533"/>
      <c r="GCK1533"/>
      <c r="GCL1533"/>
      <c r="GCM1533"/>
      <c r="GCN1533"/>
      <c r="GCO1533"/>
      <c r="GCP1533"/>
      <c r="GCQ1533"/>
      <c r="GCR1533"/>
      <c r="GCS1533"/>
      <c r="GCT1533"/>
      <c r="GCU1533"/>
      <c r="GCV1533"/>
      <c r="GCW1533"/>
      <c r="GCX1533"/>
      <c r="GCY1533"/>
      <c r="GCZ1533"/>
      <c r="GDA1533"/>
      <c r="GDB1533"/>
      <c r="GDC1533"/>
      <c r="GDD1533"/>
      <c r="GDE1533"/>
      <c r="GDF1533"/>
      <c r="GDG1533"/>
      <c r="GDH1533"/>
      <c r="GDI1533"/>
      <c r="GDJ1533"/>
      <c r="GDK1533"/>
      <c r="GDL1533"/>
      <c r="GDM1533"/>
      <c r="GDN1533"/>
      <c r="GDO1533"/>
      <c r="GDP1533"/>
      <c r="GDQ1533"/>
      <c r="GDR1533"/>
      <c r="GDS1533"/>
      <c r="GDT1533"/>
      <c r="GDU1533"/>
      <c r="GDV1533"/>
      <c r="GDW1533"/>
      <c r="GDX1533"/>
      <c r="GDY1533"/>
      <c r="GDZ1533"/>
      <c r="GEA1533"/>
      <c r="GEB1533"/>
      <c r="GEC1533"/>
      <c r="GED1533"/>
      <c r="GEE1533"/>
      <c r="GEF1533"/>
      <c r="GEG1533"/>
      <c r="GEH1533"/>
      <c r="GEI1533"/>
      <c r="GEJ1533"/>
      <c r="GEK1533"/>
      <c r="GEL1533"/>
      <c r="GEM1533"/>
      <c r="GEN1533"/>
      <c r="GEO1533"/>
      <c r="GEP1533"/>
      <c r="GEQ1533"/>
      <c r="GER1533"/>
      <c r="GES1533"/>
      <c r="GET1533"/>
      <c r="GEU1533"/>
      <c r="GEV1533"/>
      <c r="GEW1533"/>
      <c r="GEX1533"/>
      <c r="GEY1533"/>
      <c r="GEZ1533"/>
      <c r="GFA1533"/>
      <c r="GFB1533"/>
      <c r="GFC1533"/>
      <c r="GFD1533"/>
      <c r="GFE1533"/>
      <c r="GFF1533"/>
      <c r="GFG1533"/>
      <c r="GFH1533"/>
      <c r="GFI1533"/>
      <c r="GFJ1533"/>
      <c r="GFK1533"/>
      <c r="GFL1533"/>
      <c r="GFM1533"/>
      <c r="GFN1533"/>
      <c r="GFO1533"/>
      <c r="GFP1533"/>
      <c r="GFQ1533"/>
      <c r="GFR1533"/>
      <c r="GFS1533"/>
      <c r="GFT1533"/>
      <c r="GFU1533"/>
      <c r="GFV1533"/>
      <c r="GFW1533"/>
      <c r="GFX1533"/>
      <c r="GFY1533"/>
      <c r="GFZ1533"/>
      <c r="GGA1533"/>
      <c r="GGB1533"/>
      <c r="GGC1533"/>
      <c r="GGD1533"/>
      <c r="GGE1533"/>
      <c r="GGF1533"/>
      <c r="GGG1533"/>
      <c r="GGH1533"/>
      <c r="GGI1533"/>
      <c r="GGJ1533"/>
      <c r="GGK1533"/>
      <c r="GGL1533"/>
      <c r="GGM1533"/>
      <c r="GGN1533"/>
      <c r="GGO1533"/>
      <c r="GGP1533"/>
      <c r="GGQ1533"/>
      <c r="GGR1533"/>
      <c r="GGS1533"/>
      <c r="GGT1533"/>
      <c r="GGU1533"/>
      <c r="GGV1533"/>
      <c r="GGW1533"/>
      <c r="GGX1533"/>
      <c r="GGY1533"/>
      <c r="GGZ1533"/>
      <c r="GHA1533"/>
      <c r="GHB1533"/>
      <c r="GHC1533"/>
      <c r="GHD1533"/>
      <c r="GHE1533"/>
      <c r="GHF1533"/>
      <c r="GHG1533"/>
      <c r="GHH1533"/>
      <c r="GHI1533"/>
      <c r="GHJ1533"/>
      <c r="GHK1533"/>
      <c r="GHL1533"/>
      <c r="GHM1533"/>
      <c r="GHN1533"/>
      <c r="GHO1533"/>
      <c r="GHP1533"/>
      <c r="GHQ1533"/>
      <c r="GHR1533"/>
      <c r="GHS1533"/>
      <c r="GHT1533"/>
      <c r="GHU1533"/>
      <c r="GHV1533"/>
      <c r="GHW1533"/>
      <c r="GHX1533"/>
      <c r="GHY1533"/>
      <c r="GHZ1533"/>
      <c r="GIA1533"/>
      <c r="GIB1533"/>
      <c r="GIC1533"/>
      <c r="GID1533"/>
      <c r="GIE1533"/>
      <c r="GIF1533"/>
      <c r="GIG1533"/>
      <c r="GIH1533"/>
      <c r="GII1533"/>
      <c r="GIJ1533"/>
      <c r="GIK1533"/>
      <c r="GIL1533"/>
      <c r="GIM1533"/>
      <c r="GIN1533"/>
      <c r="GIO1533"/>
      <c r="GIP1533"/>
      <c r="GIQ1533"/>
      <c r="GIR1533"/>
      <c r="GIS1533"/>
      <c r="GIT1533"/>
      <c r="GIU1533"/>
      <c r="GIV1533"/>
      <c r="GIW1533"/>
      <c r="GIX1533"/>
      <c r="GIY1533"/>
      <c r="GIZ1533"/>
      <c r="GJA1533"/>
      <c r="GJB1533"/>
      <c r="GJC1533"/>
      <c r="GJD1533"/>
      <c r="GJE1533"/>
      <c r="GJF1533"/>
      <c r="GJG1533"/>
      <c r="GJH1533"/>
      <c r="GJI1533"/>
      <c r="GJJ1533"/>
      <c r="GJK1533"/>
      <c r="GJL1533"/>
      <c r="GJM1533"/>
      <c r="GJN1533"/>
      <c r="GJO1533"/>
      <c r="GJP1533"/>
      <c r="GJQ1533"/>
      <c r="GJR1533"/>
      <c r="GJS1533"/>
      <c r="GJT1533"/>
      <c r="GJU1533"/>
      <c r="GJV1533"/>
      <c r="GJW1533"/>
      <c r="GJX1533"/>
      <c r="GJY1533"/>
      <c r="GJZ1533"/>
      <c r="GKA1533"/>
      <c r="GKB1533"/>
      <c r="GKC1533"/>
      <c r="GKD1533"/>
      <c r="GKE1533"/>
      <c r="GKF1533"/>
      <c r="GKG1533"/>
      <c r="GKH1533"/>
      <c r="GKI1533"/>
      <c r="GKJ1533"/>
      <c r="GKK1533"/>
      <c r="GKL1533"/>
      <c r="GKM1533"/>
      <c r="GKN1533"/>
      <c r="GKO1533"/>
      <c r="GKP1533"/>
      <c r="GKQ1533"/>
      <c r="GKR1533"/>
      <c r="GKS1533"/>
      <c r="GKT1533"/>
      <c r="GKU1533"/>
      <c r="GKV1533"/>
      <c r="GKW1533"/>
      <c r="GKX1533"/>
      <c r="GKY1533"/>
      <c r="GKZ1533"/>
      <c r="GLA1533"/>
      <c r="GLB1533"/>
      <c r="GLC1533"/>
      <c r="GLD1533"/>
      <c r="GLE1533"/>
      <c r="GLF1533"/>
      <c r="GLG1533"/>
      <c r="GLH1533"/>
      <c r="GLI1533"/>
      <c r="GLJ1533"/>
      <c r="GLK1533"/>
      <c r="GLL1533"/>
      <c r="GLM1533"/>
      <c r="GLN1533"/>
      <c r="GLO1533"/>
      <c r="GLP1533"/>
      <c r="GLQ1533"/>
      <c r="GLR1533"/>
      <c r="GLS1533"/>
      <c r="GLT1533"/>
      <c r="GLU1533"/>
      <c r="GLV1533"/>
      <c r="GLW1533"/>
      <c r="GLX1533"/>
      <c r="GLY1533"/>
      <c r="GLZ1533"/>
      <c r="GMA1533"/>
      <c r="GMB1533"/>
      <c r="GMC1533"/>
      <c r="GMD1533"/>
      <c r="GME1533"/>
      <c r="GMF1533"/>
      <c r="GMG1533"/>
      <c r="GMH1533"/>
      <c r="GMI1533"/>
      <c r="GMJ1533"/>
      <c r="GMK1533"/>
      <c r="GML1533"/>
      <c r="GMM1533"/>
      <c r="GMN1533"/>
      <c r="GMO1533"/>
      <c r="GMP1533"/>
      <c r="GMQ1533"/>
      <c r="GMR1533"/>
      <c r="GMS1533"/>
      <c r="GMT1533"/>
      <c r="GMU1533"/>
      <c r="GMV1533"/>
      <c r="GMW1533"/>
      <c r="GMX1533"/>
      <c r="GMY1533"/>
      <c r="GMZ1533"/>
      <c r="GNA1533"/>
      <c r="GNB1533"/>
      <c r="GNC1533"/>
      <c r="GND1533"/>
      <c r="GNE1533"/>
      <c r="GNF1533"/>
      <c r="GNG1533"/>
      <c r="GNH1533"/>
      <c r="GNI1533"/>
      <c r="GNJ1533"/>
      <c r="GNK1533"/>
      <c r="GNL1533"/>
      <c r="GNM1533"/>
      <c r="GNN1533"/>
      <c r="GNO1533"/>
      <c r="GNP1533"/>
      <c r="GNQ1533"/>
      <c r="GNR1533"/>
      <c r="GNS1533"/>
      <c r="GNT1533"/>
      <c r="GNU1533"/>
      <c r="GNV1533"/>
      <c r="GNW1533"/>
      <c r="GNX1533"/>
      <c r="GNY1533"/>
      <c r="GNZ1533"/>
      <c r="GOA1533"/>
      <c r="GOB1533"/>
      <c r="GOC1533"/>
      <c r="GOD1533"/>
      <c r="GOE1533"/>
      <c r="GOF1533"/>
      <c r="GOG1533"/>
      <c r="GOH1533"/>
      <c r="GOI1533"/>
      <c r="GOJ1533"/>
      <c r="GOK1533"/>
      <c r="GOL1533"/>
      <c r="GOM1533"/>
      <c r="GON1533"/>
      <c r="GOO1533"/>
      <c r="GOP1533"/>
      <c r="GOQ1533"/>
      <c r="GOR1533"/>
      <c r="GOS1533"/>
      <c r="GOT1533"/>
      <c r="GOU1533"/>
      <c r="GOV1533"/>
      <c r="GOW1533"/>
      <c r="GOX1533"/>
      <c r="GOY1533"/>
      <c r="GOZ1533"/>
      <c r="GPA1533"/>
      <c r="GPB1533"/>
      <c r="GPC1533"/>
      <c r="GPD1533"/>
      <c r="GPE1533"/>
      <c r="GPF1533"/>
      <c r="GPG1533"/>
      <c r="GPH1533"/>
      <c r="GPI1533"/>
      <c r="GPJ1533"/>
      <c r="GPK1533"/>
      <c r="GPL1533"/>
      <c r="GPM1533"/>
      <c r="GPN1533"/>
      <c r="GPO1533"/>
      <c r="GPP1533"/>
      <c r="GPQ1533"/>
      <c r="GPR1533"/>
      <c r="GPS1533"/>
      <c r="GPT1533"/>
      <c r="GPU1533"/>
      <c r="GPV1533"/>
      <c r="GPW1533"/>
      <c r="GPX1533"/>
      <c r="GPY1533"/>
      <c r="GPZ1533"/>
      <c r="GQA1533"/>
      <c r="GQB1533"/>
      <c r="GQC1533"/>
      <c r="GQD1533"/>
      <c r="GQE1533"/>
      <c r="GQF1533"/>
      <c r="GQG1533"/>
      <c r="GQH1533"/>
      <c r="GQI1533"/>
      <c r="GQJ1533"/>
      <c r="GQK1533"/>
      <c r="GQL1533"/>
      <c r="GQM1533"/>
      <c r="GQN1533"/>
      <c r="GQO1533"/>
      <c r="GQP1533"/>
      <c r="GQQ1533"/>
      <c r="GQR1533"/>
      <c r="GQS1533"/>
      <c r="GQT1533"/>
      <c r="GQU1533"/>
      <c r="GQV1533"/>
      <c r="GQW1533"/>
      <c r="GQX1533"/>
      <c r="GQY1533"/>
      <c r="GQZ1533"/>
      <c r="GRA1533"/>
      <c r="GRB1533"/>
      <c r="GRC1533"/>
      <c r="GRD1533"/>
      <c r="GRE1533"/>
      <c r="GRF1533"/>
      <c r="GRG1533"/>
      <c r="GRH1533"/>
      <c r="GRI1533"/>
      <c r="GRJ1533"/>
      <c r="GRK1533"/>
      <c r="GRL1533"/>
      <c r="GRM1533"/>
      <c r="GRN1533"/>
      <c r="GRO1533"/>
      <c r="GRP1533"/>
      <c r="GRQ1533"/>
      <c r="GRR1533"/>
      <c r="GRS1533"/>
      <c r="GRT1533"/>
      <c r="GRU1533"/>
      <c r="GRV1533"/>
      <c r="GRW1533"/>
      <c r="GRX1533"/>
      <c r="GRY1533"/>
      <c r="GRZ1533"/>
      <c r="GSA1533"/>
      <c r="GSB1533"/>
      <c r="GSC1533"/>
      <c r="GSD1533"/>
      <c r="GSE1533"/>
      <c r="GSF1533"/>
      <c r="GSG1533"/>
      <c r="GSH1533"/>
      <c r="GSI1533"/>
      <c r="GSJ1533"/>
      <c r="GSK1533"/>
      <c r="GSL1533"/>
      <c r="GSM1533"/>
      <c r="GSN1533"/>
      <c r="GSO1533"/>
      <c r="GSP1533"/>
      <c r="GSQ1533"/>
      <c r="GSR1533"/>
      <c r="GSS1533"/>
      <c r="GST1533"/>
      <c r="GSU1533"/>
      <c r="GSV1533"/>
      <c r="GSW1533"/>
      <c r="GSX1533"/>
      <c r="GSY1533"/>
      <c r="GSZ1533"/>
      <c r="GTA1533"/>
      <c r="GTB1533"/>
      <c r="GTC1533"/>
      <c r="GTD1533"/>
      <c r="GTE1533"/>
      <c r="GTF1533"/>
      <c r="GTG1533"/>
      <c r="GTH1533"/>
      <c r="GTI1533"/>
      <c r="GTJ1533"/>
      <c r="GTK1533"/>
      <c r="GTL1533"/>
      <c r="GTM1533"/>
      <c r="GTN1533"/>
      <c r="GTO1533"/>
      <c r="GTP1533"/>
      <c r="GTQ1533"/>
      <c r="GTR1533"/>
      <c r="GTS1533"/>
      <c r="GTT1533"/>
      <c r="GTU1533"/>
      <c r="GTV1533"/>
      <c r="GTW1533"/>
      <c r="GTX1533"/>
      <c r="GTY1533"/>
      <c r="GTZ1533"/>
      <c r="GUA1533"/>
      <c r="GUB1533"/>
      <c r="GUC1533"/>
      <c r="GUD1533"/>
      <c r="GUE1533"/>
      <c r="GUF1533"/>
      <c r="GUG1533"/>
      <c r="GUH1533"/>
      <c r="GUI1533"/>
      <c r="GUJ1533"/>
      <c r="GUK1533"/>
      <c r="GUL1533"/>
      <c r="GUM1533"/>
      <c r="GUN1533"/>
      <c r="GUO1533"/>
      <c r="GUP1533"/>
      <c r="GUQ1533"/>
      <c r="GUR1533"/>
      <c r="GUS1533"/>
      <c r="GUT1533"/>
      <c r="GUU1533"/>
      <c r="GUV1533"/>
      <c r="GUW1533"/>
      <c r="GUX1533"/>
      <c r="GUY1533"/>
      <c r="GUZ1533"/>
      <c r="GVA1533"/>
      <c r="GVB1533"/>
      <c r="GVC1533"/>
      <c r="GVD1533"/>
      <c r="GVE1533"/>
      <c r="GVF1533"/>
      <c r="GVG1533"/>
      <c r="GVH1533"/>
      <c r="GVI1533"/>
      <c r="GVJ1533"/>
      <c r="GVK1533"/>
      <c r="GVL1533"/>
      <c r="GVM1533"/>
      <c r="GVN1533"/>
      <c r="GVO1533"/>
      <c r="GVP1533"/>
      <c r="GVQ1533"/>
      <c r="GVR1533"/>
      <c r="GVS1533"/>
      <c r="GVT1533"/>
      <c r="GVU1533"/>
      <c r="GVV1533"/>
      <c r="GVW1533"/>
      <c r="GVX1533"/>
      <c r="GVY1533"/>
      <c r="GVZ1533"/>
      <c r="GWA1533"/>
      <c r="GWB1533"/>
      <c r="GWC1533"/>
      <c r="GWD1533"/>
      <c r="GWE1533"/>
      <c r="GWF1533"/>
      <c r="GWG1533"/>
      <c r="GWH1533"/>
      <c r="GWI1533"/>
      <c r="GWJ1533"/>
      <c r="GWK1533"/>
      <c r="GWL1533"/>
      <c r="GWM1533"/>
      <c r="GWN1533"/>
      <c r="GWO1533"/>
      <c r="GWP1533"/>
      <c r="GWQ1533"/>
      <c r="GWR1533"/>
      <c r="GWS1533"/>
      <c r="GWT1533"/>
      <c r="GWU1533"/>
      <c r="GWV1533"/>
      <c r="GWW1533"/>
      <c r="GWX1533"/>
      <c r="GWY1533"/>
      <c r="GWZ1533"/>
      <c r="GXA1533"/>
      <c r="GXB1533"/>
      <c r="GXC1533"/>
      <c r="GXD1533"/>
      <c r="GXE1533"/>
      <c r="GXF1533"/>
      <c r="GXG1533"/>
      <c r="GXH1533"/>
      <c r="GXI1533"/>
      <c r="GXJ1533"/>
      <c r="GXK1533"/>
      <c r="GXL1533"/>
      <c r="GXM1533"/>
      <c r="GXN1533"/>
      <c r="GXO1533"/>
      <c r="GXP1533"/>
      <c r="GXQ1533"/>
      <c r="GXR1533"/>
      <c r="GXS1533"/>
      <c r="GXT1533"/>
      <c r="GXU1533"/>
      <c r="GXV1533"/>
      <c r="GXW1533"/>
      <c r="GXX1533"/>
      <c r="GXY1533"/>
      <c r="GXZ1533"/>
      <c r="GYA1533"/>
      <c r="GYB1533"/>
      <c r="GYC1533"/>
      <c r="GYD1533"/>
      <c r="GYE1533"/>
      <c r="GYF1533"/>
      <c r="GYG1533"/>
      <c r="GYH1533"/>
      <c r="GYI1533"/>
      <c r="GYJ1533"/>
      <c r="GYK1533"/>
      <c r="GYL1533"/>
      <c r="GYM1533"/>
      <c r="GYN1533"/>
      <c r="GYO1533"/>
      <c r="GYP1533"/>
      <c r="GYQ1533"/>
      <c r="GYR1533"/>
      <c r="GYS1533"/>
      <c r="GYT1533"/>
      <c r="GYU1533"/>
      <c r="GYV1533"/>
      <c r="GYW1533"/>
      <c r="GYX1533"/>
      <c r="GYY1533"/>
      <c r="GYZ1533"/>
      <c r="GZA1533"/>
      <c r="GZB1533"/>
      <c r="GZC1533"/>
      <c r="GZD1533"/>
      <c r="GZE1533"/>
      <c r="GZF1533"/>
      <c r="GZG1533"/>
      <c r="GZH1533"/>
      <c r="GZI1533"/>
      <c r="GZJ1533"/>
      <c r="GZK1533"/>
      <c r="GZL1533"/>
      <c r="GZM1533"/>
      <c r="GZN1533"/>
      <c r="GZO1533"/>
      <c r="GZP1533"/>
      <c r="GZQ1533"/>
      <c r="GZR1533"/>
      <c r="GZS1533"/>
      <c r="GZT1533"/>
      <c r="GZU1533"/>
      <c r="GZV1533"/>
      <c r="GZW1533"/>
      <c r="GZX1533"/>
      <c r="GZY1533"/>
      <c r="GZZ1533"/>
      <c r="HAA1533"/>
      <c r="HAB1533"/>
      <c r="HAC1533"/>
      <c r="HAD1533"/>
      <c r="HAE1533"/>
      <c r="HAF1533"/>
      <c r="HAG1533"/>
      <c r="HAH1533"/>
      <c r="HAI1533"/>
      <c r="HAJ1533"/>
      <c r="HAK1533"/>
      <c r="HAL1533"/>
      <c r="HAM1533"/>
      <c r="HAN1533"/>
      <c r="HAO1533"/>
      <c r="HAP1533"/>
      <c r="HAQ1533"/>
      <c r="HAR1533"/>
      <c r="HAS1533"/>
      <c r="HAT1533"/>
      <c r="HAU1533"/>
      <c r="HAV1533"/>
      <c r="HAW1533"/>
      <c r="HAX1533"/>
      <c r="HAY1533"/>
      <c r="HAZ1533"/>
      <c r="HBA1533"/>
      <c r="HBB1533"/>
      <c r="HBC1533"/>
      <c r="HBD1533"/>
      <c r="HBE1533"/>
      <c r="HBF1533"/>
      <c r="HBG1533"/>
      <c r="HBH1533"/>
      <c r="HBI1533"/>
      <c r="HBJ1533"/>
      <c r="HBK1533"/>
      <c r="HBL1533"/>
      <c r="HBM1533"/>
      <c r="HBN1533"/>
      <c r="HBO1533"/>
      <c r="HBP1533"/>
      <c r="HBQ1533"/>
      <c r="HBR1533"/>
      <c r="HBS1533"/>
      <c r="HBT1533"/>
      <c r="HBU1533"/>
      <c r="HBV1533"/>
      <c r="HBW1533"/>
      <c r="HBX1533"/>
      <c r="HBY1533"/>
      <c r="HBZ1533"/>
      <c r="HCA1533"/>
      <c r="HCB1533"/>
      <c r="HCC1533"/>
      <c r="HCD1533"/>
      <c r="HCE1533"/>
      <c r="HCF1533"/>
      <c r="HCG1533"/>
      <c r="HCH1533"/>
      <c r="HCI1533"/>
      <c r="HCJ1533"/>
      <c r="HCK1533"/>
      <c r="HCL1533"/>
      <c r="HCM1533"/>
      <c r="HCN1533"/>
      <c r="HCO1533"/>
      <c r="HCP1533"/>
      <c r="HCQ1533"/>
      <c r="HCR1533"/>
      <c r="HCS1533"/>
      <c r="HCT1533"/>
      <c r="HCU1533"/>
      <c r="HCV1533"/>
      <c r="HCW1533"/>
      <c r="HCX1533"/>
      <c r="HCY1533"/>
      <c r="HCZ1533"/>
      <c r="HDA1533"/>
      <c r="HDB1533"/>
      <c r="HDC1533"/>
      <c r="HDD1533"/>
      <c r="HDE1533"/>
      <c r="HDF1533"/>
      <c r="HDG1533"/>
      <c r="HDH1533"/>
      <c r="HDI1533"/>
      <c r="HDJ1533"/>
      <c r="HDK1533"/>
      <c r="HDL1533"/>
      <c r="HDM1533"/>
      <c r="HDN1533"/>
      <c r="HDO1533"/>
      <c r="HDP1533"/>
      <c r="HDQ1533"/>
      <c r="HDR1533"/>
      <c r="HDS1533"/>
      <c r="HDT1533"/>
      <c r="HDU1533"/>
      <c r="HDV1533"/>
      <c r="HDW1533"/>
      <c r="HDX1533"/>
      <c r="HDY1533"/>
      <c r="HDZ1533"/>
      <c r="HEA1533"/>
      <c r="HEB1533"/>
      <c r="HEC1533"/>
      <c r="HED1533"/>
      <c r="HEE1533"/>
      <c r="HEF1533"/>
      <c r="HEG1533"/>
      <c r="HEH1533"/>
      <c r="HEI1533"/>
      <c r="HEJ1533"/>
      <c r="HEK1533"/>
      <c r="HEL1533"/>
      <c r="HEM1533"/>
      <c r="HEN1533"/>
      <c r="HEO1533"/>
      <c r="HEP1533"/>
      <c r="HEQ1533"/>
      <c r="HER1533"/>
      <c r="HES1533"/>
      <c r="HET1533"/>
      <c r="HEU1533"/>
      <c r="HEV1533"/>
      <c r="HEW1533"/>
      <c r="HEX1533"/>
      <c r="HEY1533"/>
      <c r="HEZ1533"/>
      <c r="HFA1533"/>
      <c r="HFB1533"/>
      <c r="HFC1533"/>
      <c r="HFD1533"/>
      <c r="HFE1533"/>
      <c r="HFF1533"/>
      <c r="HFG1533"/>
      <c r="HFH1533"/>
      <c r="HFI1533"/>
      <c r="HFJ1533"/>
      <c r="HFK1533"/>
      <c r="HFL1533"/>
      <c r="HFM1533"/>
      <c r="HFN1533"/>
      <c r="HFO1533"/>
      <c r="HFP1533"/>
      <c r="HFQ1533"/>
      <c r="HFR1533"/>
      <c r="HFS1533"/>
      <c r="HFT1533"/>
      <c r="HFU1533"/>
      <c r="HFV1533"/>
      <c r="HFW1533"/>
      <c r="HFX1533"/>
      <c r="HFY1533"/>
      <c r="HFZ1533"/>
      <c r="HGA1533"/>
      <c r="HGB1533"/>
      <c r="HGC1533"/>
      <c r="HGD1533"/>
      <c r="HGE1533"/>
      <c r="HGF1533"/>
      <c r="HGG1533"/>
      <c r="HGH1533"/>
      <c r="HGI1533"/>
      <c r="HGJ1533"/>
      <c r="HGK1533"/>
      <c r="HGL1533"/>
      <c r="HGM1533"/>
      <c r="HGN1533"/>
      <c r="HGO1533"/>
      <c r="HGP1533"/>
      <c r="HGQ1533"/>
      <c r="HGR1533"/>
      <c r="HGS1533"/>
      <c r="HGT1533"/>
      <c r="HGU1533"/>
      <c r="HGV1533"/>
      <c r="HGW1533"/>
      <c r="HGX1533"/>
      <c r="HGY1533"/>
      <c r="HGZ1533"/>
      <c r="HHA1533"/>
      <c r="HHB1533"/>
      <c r="HHC1533"/>
      <c r="HHD1533"/>
      <c r="HHE1533"/>
      <c r="HHF1533"/>
      <c r="HHG1533"/>
      <c r="HHH1533"/>
      <c r="HHI1533"/>
      <c r="HHJ1533"/>
      <c r="HHK1533"/>
      <c r="HHL1533"/>
      <c r="HHM1533"/>
      <c r="HHN1533"/>
      <c r="HHO1533"/>
      <c r="HHP1533"/>
      <c r="HHQ1533"/>
      <c r="HHR1533"/>
      <c r="HHS1533"/>
      <c r="HHT1533"/>
      <c r="HHU1533"/>
      <c r="HHV1533"/>
      <c r="HHW1533"/>
      <c r="HHX1533"/>
      <c r="HHY1533"/>
      <c r="HHZ1533"/>
      <c r="HIA1533"/>
      <c r="HIB1533"/>
      <c r="HIC1533"/>
      <c r="HID1533"/>
      <c r="HIE1533"/>
      <c r="HIF1533"/>
      <c r="HIG1533"/>
      <c r="HIH1533"/>
      <c r="HII1533"/>
      <c r="HIJ1533"/>
      <c r="HIK1533"/>
      <c r="HIL1533"/>
      <c r="HIM1533"/>
      <c r="HIN1533"/>
      <c r="HIO1533"/>
      <c r="HIP1533"/>
      <c r="HIQ1533"/>
      <c r="HIR1533"/>
      <c r="HIS1533"/>
      <c r="HIT1533"/>
      <c r="HIU1533"/>
      <c r="HIV1533"/>
      <c r="HIW1533"/>
      <c r="HIX1533"/>
      <c r="HIY1533"/>
      <c r="HIZ1533"/>
      <c r="HJA1533"/>
      <c r="HJB1533"/>
      <c r="HJC1533"/>
      <c r="HJD1533"/>
      <c r="HJE1533"/>
      <c r="HJF1533"/>
      <c r="HJG1533"/>
      <c r="HJH1533"/>
      <c r="HJI1533"/>
      <c r="HJJ1533"/>
      <c r="HJK1533"/>
      <c r="HJL1533"/>
      <c r="HJM1533"/>
      <c r="HJN1533"/>
      <c r="HJO1533"/>
      <c r="HJP1533"/>
      <c r="HJQ1533"/>
      <c r="HJR1533"/>
      <c r="HJS1533"/>
      <c r="HJT1533"/>
      <c r="HJU1533"/>
      <c r="HJV1533"/>
      <c r="HJW1533"/>
      <c r="HJX1533"/>
      <c r="HJY1533"/>
      <c r="HJZ1533"/>
      <c r="HKA1533"/>
      <c r="HKB1533"/>
      <c r="HKC1533"/>
      <c r="HKD1533"/>
      <c r="HKE1533"/>
      <c r="HKF1533"/>
      <c r="HKG1533"/>
      <c r="HKH1533"/>
      <c r="HKI1533"/>
      <c r="HKJ1533"/>
      <c r="HKK1533"/>
      <c r="HKL1533"/>
      <c r="HKM1533"/>
      <c r="HKN1533"/>
      <c r="HKO1533"/>
      <c r="HKP1533"/>
      <c r="HKQ1533"/>
      <c r="HKR1533"/>
      <c r="HKS1533"/>
      <c r="HKT1533"/>
      <c r="HKU1533"/>
      <c r="HKV1533"/>
      <c r="HKW1533"/>
      <c r="HKX1533"/>
      <c r="HKY1533"/>
      <c r="HKZ1533"/>
      <c r="HLA1533"/>
      <c r="HLB1533"/>
      <c r="HLC1533"/>
      <c r="HLD1533"/>
      <c r="HLE1533"/>
      <c r="HLF1533"/>
      <c r="HLG1533"/>
      <c r="HLH1533"/>
      <c r="HLI1533"/>
      <c r="HLJ1533"/>
      <c r="HLK1533"/>
      <c r="HLL1533"/>
      <c r="HLM1533"/>
      <c r="HLN1533"/>
      <c r="HLO1533"/>
      <c r="HLP1533"/>
      <c r="HLQ1533"/>
      <c r="HLR1533"/>
      <c r="HLS1533"/>
      <c r="HLT1533"/>
      <c r="HLU1533"/>
      <c r="HLV1533"/>
      <c r="HLW1533"/>
      <c r="HLX1533"/>
      <c r="HLY1533"/>
      <c r="HLZ1533"/>
      <c r="HMA1533"/>
      <c r="HMB1533"/>
      <c r="HMC1533"/>
      <c r="HMD1533"/>
      <c r="HME1533"/>
      <c r="HMF1533"/>
      <c r="HMG1533"/>
      <c r="HMH1533"/>
      <c r="HMI1533"/>
      <c r="HMJ1533"/>
      <c r="HMK1533"/>
      <c r="HML1533"/>
      <c r="HMM1533"/>
      <c r="HMN1533"/>
      <c r="HMO1533"/>
      <c r="HMP1533"/>
      <c r="HMQ1533"/>
      <c r="HMR1533"/>
      <c r="HMS1533"/>
      <c r="HMT1533"/>
      <c r="HMU1533"/>
      <c r="HMV1533"/>
      <c r="HMW1533"/>
      <c r="HMX1533"/>
      <c r="HMY1533"/>
      <c r="HMZ1533"/>
      <c r="HNA1533"/>
      <c r="HNB1533"/>
      <c r="HNC1533"/>
      <c r="HND1533"/>
      <c r="HNE1533"/>
      <c r="HNF1533"/>
      <c r="HNG1533"/>
      <c r="HNH1533"/>
      <c r="HNI1533"/>
      <c r="HNJ1533"/>
      <c r="HNK1533"/>
      <c r="HNL1533"/>
      <c r="HNM1533"/>
      <c r="HNN1533"/>
      <c r="HNO1533"/>
      <c r="HNP1533"/>
      <c r="HNQ1533"/>
      <c r="HNR1533"/>
      <c r="HNS1533"/>
      <c r="HNT1533"/>
      <c r="HNU1533"/>
      <c r="HNV1533"/>
      <c r="HNW1533"/>
      <c r="HNX1533"/>
      <c r="HNY1533"/>
      <c r="HNZ1533"/>
      <c r="HOA1533"/>
      <c r="HOB1533"/>
      <c r="HOC1533"/>
      <c r="HOD1533"/>
      <c r="HOE1533"/>
      <c r="HOF1533"/>
      <c r="HOG1533"/>
      <c r="HOH1533"/>
      <c r="HOI1533"/>
      <c r="HOJ1533"/>
      <c r="HOK1533"/>
      <c r="HOL1533"/>
      <c r="HOM1533"/>
      <c r="HON1533"/>
      <c r="HOO1533"/>
      <c r="HOP1533"/>
      <c r="HOQ1533"/>
      <c r="HOR1533"/>
      <c r="HOS1533"/>
      <c r="HOT1533"/>
      <c r="HOU1533"/>
      <c r="HOV1533"/>
      <c r="HOW1533"/>
      <c r="HOX1533"/>
      <c r="HOY1533"/>
      <c r="HOZ1533"/>
      <c r="HPA1533"/>
      <c r="HPB1533"/>
      <c r="HPC1533"/>
      <c r="HPD1533"/>
      <c r="HPE1533"/>
      <c r="HPF1533"/>
      <c r="HPG1533"/>
      <c r="HPH1533"/>
      <c r="HPI1533"/>
      <c r="HPJ1533"/>
      <c r="HPK1533"/>
      <c r="HPL1533"/>
      <c r="HPM1533"/>
      <c r="HPN1533"/>
      <c r="HPO1533"/>
      <c r="HPP1533"/>
      <c r="HPQ1533"/>
      <c r="HPR1533"/>
      <c r="HPS1533"/>
      <c r="HPT1533"/>
      <c r="HPU1533"/>
      <c r="HPV1533"/>
      <c r="HPW1533"/>
      <c r="HPX1533"/>
      <c r="HPY1533"/>
      <c r="HPZ1533"/>
      <c r="HQA1533"/>
      <c r="HQB1533"/>
      <c r="HQC1533"/>
      <c r="HQD1533"/>
      <c r="HQE1533"/>
      <c r="HQF1533"/>
      <c r="HQG1533"/>
      <c r="HQH1533"/>
      <c r="HQI1533"/>
      <c r="HQJ1533"/>
      <c r="HQK1533"/>
      <c r="HQL1533"/>
      <c r="HQM1533"/>
      <c r="HQN1533"/>
      <c r="HQO1533"/>
      <c r="HQP1533"/>
      <c r="HQQ1533"/>
      <c r="HQR1533"/>
      <c r="HQS1533"/>
      <c r="HQT1533"/>
      <c r="HQU1533"/>
      <c r="HQV1533"/>
      <c r="HQW1533"/>
      <c r="HQX1533"/>
      <c r="HQY1533"/>
      <c r="HQZ1533"/>
      <c r="HRA1533"/>
      <c r="HRB1533"/>
      <c r="HRC1533"/>
      <c r="HRD1533"/>
      <c r="HRE1533"/>
      <c r="HRF1533"/>
      <c r="HRG1533"/>
      <c r="HRH1533"/>
      <c r="HRI1533"/>
      <c r="HRJ1533"/>
      <c r="HRK1533"/>
      <c r="HRL1533"/>
      <c r="HRM1533"/>
      <c r="HRN1533"/>
      <c r="HRO1533"/>
      <c r="HRP1533"/>
      <c r="HRQ1533"/>
      <c r="HRR1533"/>
      <c r="HRS1533"/>
      <c r="HRT1533"/>
      <c r="HRU1533"/>
      <c r="HRV1533"/>
      <c r="HRW1533"/>
      <c r="HRX1533"/>
      <c r="HRY1533"/>
      <c r="HRZ1533"/>
      <c r="HSA1533"/>
      <c r="HSB1533"/>
      <c r="HSC1533"/>
      <c r="HSD1533"/>
      <c r="HSE1533"/>
      <c r="HSF1533"/>
      <c r="HSG1533"/>
      <c r="HSH1533"/>
      <c r="HSI1533"/>
      <c r="HSJ1533"/>
      <c r="HSK1533"/>
      <c r="HSL1533"/>
      <c r="HSM1533"/>
      <c r="HSN1533"/>
      <c r="HSO1533"/>
      <c r="HSP1533"/>
      <c r="HSQ1533"/>
      <c r="HSR1533"/>
      <c r="HSS1533"/>
      <c r="HST1533"/>
      <c r="HSU1533"/>
      <c r="HSV1533"/>
      <c r="HSW1533"/>
      <c r="HSX1533"/>
      <c r="HSY1533"/>
      <c r="HSZ1533"/>
      <c r="HTA1533"/>
      <c r="HTB1533"/>
      <c r="HTC1533"/>
      <c r="HTD1533"/>
      <c r="HTE1533"/>
      <c r="HTF1533"/>
      <c r="HTG1533"/>
      <c r="HTH1533"/>
      <c r="HTI1533"/>
      <c r="HTJ1533"/>
      <c r="HTK1533"/>
      <c r="HTL1533"/>
      <c r="HTM1533"/>
      <c r="HTN1533"/>
      <c r="HTO1533"/>
      <c r="HTP1533"/>
      <c r="HTQ1533"/>
      <c r="HTR1533"/>
      <c r="HTS1533"/>
      <c r="HTT1533"/>
      <c r="HTU1533"/>
      <c r="HTV1533"/>
      <c r="HTW1533"/>
      <c r="HTX1533"/>
      <c r="HTY1533"/>
      <c r="HTZ1533"/>
      <c r="HUA1533"/>
      <c r="HUB1533"/>
      <c r="HUC1533"/>
      <c r="HUD1533"/>
      <c r="HUE1533"/>
      <c r="HUF1533"/>
      <c r="HUG1533"/>
      <c r="HUH1533"/>
      <c r="HUI1533"/>
      <c r="HUJ1533"/>
      <c r="HUK1533"/>
      <c r="HUL1533"/>
      <c r="HUM1533"/>
      <c r="HUN1533"/>
      <c r="HUO1533"/>
      <c r="HUP1533"/>
      <c r="HUQ1533"/>
      <c r="HUR1533"/>
      <c r="HUS1533"/>
      <c r="HUT1533"/>
      <c r="HUU1533"/>
      <c r="HUV1533"/>
      <c r="HUW1533"/>
      <c r="HUX1533"/>
      <c r="HUY1533"/>
      <c r="HUZ1533"/>
      <c r="HVA1533"/>
      <c r="HVB1533"/>
      <c r="HVC1533"/>
      <c r="HVD1533"/>
      <c r="HVE1533"/>
      <c r="HVF1533"/>
      <c r="HVG1533"/>
      <c r="HVH1533"/>
      <c r="HVI1533"/>
      <c r="HVJ1533"/>
      <c r="HVK1533"/>
      <c r="HVL1533"/>
      <c r="HVM1533"/>
      <c r="HVN1533"/>
      <c r="HVO1533"/>
      <c r="HVP1533"/>
      <c r="HVQ1533"/>
      <c r="HVR1533"/>
      <c r="HVS1533"/>
      <c r="HVT1533"/>
      <c r="HVU1533"/>
      <c r="HVV1533"/>
      <c r="HVW1533"/>
      <c r="HVX1533"/>
      <c r="HVY1533"/>
      <c r="HVZ1533"/>
      <c r="HWA1533"/>
      <c r="HWB1533"/>
      <c r="HWC1533"/>
      <c r="HWD1533"/>
      <c r="HWE1533"/>
      <c r="HWF1533"/>
      <c r="HWG1533"/>
      <c r="HWH1533"/>
      <c r="HWI1533"/>
      <c r="HWJ1533"/>
      <c r="HWK1533"/>
      <c r="HWL1533"/>
      <c r="HWM1533"/>
      <c r="HWN1533"/>
      <c r="HWO1533"/>
      <c r="HWP1533"/>
      <c r="HWQ1533"/>
      <c r="HWR1533"/>
      <c r="HWS1533"/>
      <c r="HWT1533"/>
      <c r="HWU1533"/>
      <c r="HWV1533"/>
      <c r="HWW1533"/>
      <c r="HWX1533"/>
      <c r="HWY1533"/>
      <c r="HWZ1533"/>
      <c r="HXA1533"/>
      <c r="HXB1533"/>
      <c r="HXC1533"/>
      <c r="HXD1533"/>
      <c r="HXE1533"/>
      <c r="HXF1533"/>
      <c r="HXG1533"/>
      <c r="HXH1533"/>
      <c r="HXI1533"/>
      <c r="HXJ1533"/>
      <c r="HXK1533"/>
      <c r="HXL1533"/>
      <c r="HXM1533"/>
      <c r="HXN1533"/>
      <c r="HXO1533"/>
      <c r="HXP1533"/>
      <c r="HXQ1533"/>
      <c r="HXR1533"/>
      <c r="HXS1533"/>
      <c r="HXT1533"/>
      <c r="HXU1533"/>
      <c r="HXV1533"/>
      <c r="HXW1533"/>
      <c r="HXX1533"/>
      <c r="HXY1533"/>
      <c r="HXZ1533"/>
      <c r="HYA1533"/>
      <c r="HYB1533"/>
      <c r="HYC1533"/>
      <c r="HYD1533"/>
      <c r="HYE1533"/>
      <c r="HYF1533"/>
      <c r="HYG1533"/>
      <c r="HYH1533"/>
      <c r="HYI1533"/>
      <c r="HYJ1533"/>
      <c r="HYK1533"/>
      <c r="HYL1533"/>
      <c r="HYM1533"/>
      <c r="HYN1533"/>
      <c r="HYO1533"/>
      <c r="HYP1533"/>
      <c r="HYQ1533"/>
      <c r="HYR1533"/>
      <c r="HYS1533"/>
      <c r="HYT1533"/>
      <c r="HYU1533"/>
      <c r="HYV1533"/>
      <c r="HYW1533"/>
      <c r="HYX1533"/>
      <c r="HYY1533"/>
      <c r="HYZ1533"/>
      <c r="HZA1533"/>
      <c r="HZB1533"/>
      <c r="HZC1533"/>
      <c r="HZD1533"/>
      <c r="HZE1533"/>
      <c r="HZF1533"/>
      <c r="HZG1533"/>
      <c r="HZH1533"/>
      <c r="HZI1533"/>
      <c r="HZJ1533"/>
      <c r="HZK1533"/>
      <c r="HZL1533"/>
      <c r="HZM1533"/>
      <c r="HZN1533"/>
      <c r="HZO1533"/>
      <c r="HZP1533"/>
      <c r="HZQ1533"/>
      <c r="HZR1533"/>
      <c r="HZS1533"/>
      <c r="HZT1533"/>
      <c r="HZU1533"/>
      <c r="HZV1533"/>
      <c r="HZW1533"/>
      <c r="HZX1533"/>
      <c r="HZY1533"/>
      <c r="HZZ1533"/>
      <c r="IAA1533"/>
      <c r="IAB1533"/>
      <c r="IAC1533"/>
      <c r="IAD1533"/>
      <c r="IAE1533"/>
      <c r="IAF1533"/>
      <c r="IAG1533"/>
      <c r="IAH1533"/>
      <c r="IAI1533"/>
      <c r="IAJ1533"/>
      <c r="IAK1533"/>
      <c r="IAL1533"/>
      <c r="IAM1533"/>
      <c r="IAN1533"/>
      <c r="IAO1533"/>
      <c r="IAP1533"/>
      <c r="IAQ1533"/>
      <c r="IAR1533"/>
      <c r="IAS1533"/>
      <c r="IAT1533"/>
      <c r="IAU1533"/>
      <c r="IAV1533"/>
      <c r="IAW1533"/>
      <c r="IAX1533"/>
      <c r="IAY1533"/>
      <c r="IAZ1533"/>
      <c r="IBA1533"/>
      <c r="IBB1533"/>
      <c r="IBC1533"/>
      <c r="IBD1533"/>
      <c r="IBE1533"/>
      <c r="IBF1533"/>
      <c r="IBG1533"/>
      <c r="IBH1533"/>
      <c r="IBI1533"/>
      <c r="IBJ1533"/>
      <c r="IBK1533"/>
      <c r="IBL1533"/>
      <c r="IBM1533"/>
      <c r="IBN1533"/>
      <c r="IBO1533"/>
      <c r="IBP1533"/>
      <c r="IBQ1533"/>
      <c r="IBR1533"/>
      <c r="IBS1533"/>
      <c r="IBT1533"/>
      <c r="IBU1533"/>
      <c r="IBV1533"/>
      <c r="IBW1533"/>
      <c r="IBX1533"/>
      <c r="IBY1533"/>
      <c r="IBZ1533"/>
      <c r="ICA1533"/>
      <c r="ICB1533"/>
      <c r="ICC1533"/>
      <c r="ICD1533"/>
      <c r="ICE1533"/>
      <c r="ICF1533"/>
      <c r="ICG1533"/>
      <c r="ICH1533"/>
      <c r="ICI1533"/>
      <c r="ICJ1533"/>
      <c r="ICK1533"/>
      <c r="ICL1533"/>
      <c r="ICM1533"/>
      <c r="ICN1533"/>
      <c r="ICO1533"/>
      <c r="ICP1533"/>
      <c r="ICQ1533"/>
      <c r="ICR1533"/>
      <c r="ICS1533"/>
      <c r="ICT1533"/>
      <c r="ICU1533"/>
      <c r="ICV1533"/>
      <c r="ICW1533"/>
      <c r="ICX1533"/>
      <c r="ICY1533"/>
      <c r="ICZ1533"/>
      <c r="IDA1533"/>
      <c r="IDB1533"/>
      <c r="IDC1533"/>
      <c r="IDD1533"/>
      <c r="IDE1533"/>
      <c r="IDF1533"/>
      <c r="IDG1533"/>
      <c r="IDH1533"/>
      <c r="IDI1533"/>
      <c r="IDJ1533"/>
      <c r="IDK1533"/>
      <c r="IDL1533"/>
      <c r="IDM1533"/>
      <c r="IDN1533"/>
      <c r="IDO1533"/>
      <c r="IDP1533"/>
      <c r="IDQ1533"/>
      <c r="IDR1533"/>
      <c r="IDS1533"/>
      <c r="IDT1533"/>
      <c r="IDU1533"/>
      <c r="IDV1533"/>
      <c r="IDW1533"/>
      <c r="IDX1533"/>
      <c r="IDY1533"/>
      <c r="IDZ1533"/>
      <c r="IEA1533"/>
      <c r="IEB1533"/>
      <c r="IEC1533"/>
      <c r="IED1533"/>
      <c r="IEE1533"/>
      <c r="IEF1533"/>
      <c r="IEG1533"/>
      <c r="IEH1533"/>
      <c r="IEI1533"/>
      <c r="IEJ1533"/>
      <c r="IEK1533"/>
      <c r="IEL1533"/>
      <c r="IEM1533"/>
      <c r="IEN1533"/>
      <c r="IEO1533"/>
      <c r="IEP1533"/>
      <c r="IEQ1533"/>
      <c r="IER1533"/>
      <c r="IES1533"/>
      <c r="IET1533"/>
      <c r="IEU1533"/>
      <c r="IEV1533"/>
      <c r="IEW1533"/>
      <c r="IEX1533"/>
      <c r="IEY1533"/>
      <c r="IEZ1533"/>
      <c r="IFA1533"/>
      <c r="IFB1533"/>
      <c r="IFC1533"/>
      <c r="IFD1533"/>
      <c r="IFE1533"/>
      <c r="IFF1533"/>
      <c r="IFG1533"/>
      <c r="IFH1533"/>
      <c r="IFI1533"/>
      <c r="IFJ1533"/>
      <c r="IFK1533"/>
      <c r="IFL1533"/>
      <c r="IFM1533"/>
      <c r="IFN1533"/>
      <c r="IFO1533"/>
      <c r="IFP1533"/>
      <c r="IFQ1533"/>
      <c r="IFR1533"/>
      <c r="IFS1533"/>
      <c r="IFT1533"/>
      <c r="IFU1533"/>
      <c r="IFV1533"/>
      <c r="IFW1533"/>
      <c r="IFX1533"/>
      <c r="IFY1533"/>
      <c r="IFZ1533"/>
      <c r="IGA1533"/>
      <c r="IGB1533"/>
      <c r="IGC1533"/>
      <c r="IGD1533"/>
      <c r="IGE1533"/>
      <c r="IGF1533"/>
      <c r="IGG1533"/>
      <c r="IGH1533"/>
      <c r="IGI1533"/>
      <c r="IGJ1533"/>
      <c r="IGK1533"/>
      <c r="IGL1533"/>
      <c r="IGM1533"/>
      <c r="IGN1533"/>
      <c r="IGO1533"/>
      <c r="IGP1533"/>
      <c r="IGQ1533"/>
      <c r="IGR1533"/>
      <c r="IGS1533"/>
      <c r="IGT1533"/>
      <c r="IGU1533"/>
      <c r="IGV1533"/>
      <c r="IGW1533"/>
      <c r="IGX1533"/>
      <c r="IGY1533"/>
      <c r="IGZ1533"/>
      <c r="IHA1533"/>
      <c r="IHB1533"/>
      <c r="IHC1533"/>
      <c r="IHD1533"/>
      <c r="IHE1533"/>
      <c r="IHF1533"/>
      <c r="IHG1533"/>
      <c r="IHH1533"/>
      <c r="IHI1533"/>
      <c r="IHJ1533"/>
      <c r="IHK1533"/>
      <c r="IHL1533"/>
      <c r="IHM1533"/>
      <c r="IHN1533"/>
      <c r="IHO1533"/>
      <c r="IHP1533"/>
      <c r="IHQ1533"/>
      <c r="IHR1533"/>
      <c r="IHS1533"/>
      <c r="IHT1533"/>
      <c r="IHU1533"/>
      <c r="IHV1533"/>
      <c r="IHW1533"/>
      <c r="IHX1533"/>
      <c r="IHY1533"/>
      <c r="IHZ1533"/>
      <c r="IIA1533"/>
      <c r="IIB1533"/>
      <c r="IIC1533"/>
      <c r="IID1533"/>
      <c r="IIE1533"/>
      <c r="IIF1533"/>
      <c r="IIG1533"/>
      <c r="IIH1533"/>
      <c r="III1533"/>
      <c r="IIJ1533"/>
      <c r="IIK1533"/>
      <c r="IIL1533"/>
      <c r="IIM1533"/>
      <c r="IIN1533"/>
      <c r="IIO1533"/>
      <c r="IIP1533"/>
      <c r="IIQ1533"/>
      <c r="IIR1533"/>
      <c r="IIS1533"/>
      <c r="IIT1533"/>
      <c r="IIU1533"/>
      <c r="IIV1533"/>
      <c r="IIW1533"/>
      <c r="IIX1533"/>
      <c r="IIY1533"/>
      <c r="IIZ1533"/>
      <c r="IJA1533"/>
      <c r="IJB1533"/>
      <c r="IJC1533"/>
      <c r="IJD1533"/>
      <c r="IJE1533"/>
      <c r="IJF1533"/>
      <c r="IJG1533"/>
      <c r="IJH1533"/>
      <c r="IJI1533"/>
      <c r="IJJ1533"/>
      <c r="IJK1533"/>
      <c r="IJL1533"/>
      <c r="IJM1533"/>
      <c r="IJN1533"/>
      <c r="IJO1533"/>
      <c r="IJP1533"/>
      <c r="IJQ1533"/>
      <c r="IJR1533"/>
      <c r="IJS1533"/>
      <c r="IJT1533"/>
      <c r="IJU1533"/>
      <c r="IJV1533"/>
      <c r="IJW1533"/>
      <c r="IJX1533"/>
      <c r="IJY1533"/>
      <c r="IJZ1533"/>
      <c r="IKA1533"/>
      <c r="IKB1533"/>
      <c r="IKC1533"/>
      <c r="IKD1533"/>
      <c r="IKE1533"/>
      <c r="IKF1533"/>
      <c r="IKG1533"/>
      <c r="IKH1533"/>
      <c r="IKI1533"/>
      <c r="IKJ1533"/>
      <c r="IKK1533"/>
      <c r="IKL1533"/>
      <c r="IKM1533"/>
      <c r="IKN1533"/>
      <c r="IKO1533"/>
      <c r="IKP1533"/>
      <c r="IKQ1533"/>
      <c r="IKR1533"/>
      <c r="IKS1533"/>
      <c r="IKT1533"/>
      <c r="IKU1533"/>
      <c r="IKV1533"/>
      <c r="IKW1533"/>
      <c r="IKX1533"/>
      <c r="IKY1533"/>
      <c r="IKZ1533"/>
      <c r="ILA1533"/>
      <c r="ILB1533"/>
      <c r="ILC1533"/>
      <c r="ILD1533"/>
      <c r="ILE1533"/>
      <c r="ILF1533"/>
      <c r="ILG1533"/>
      <c r="ILH1533"/>
      <c r="ILI1533"/>
      <c r="ILJ1533"/>
      <c r="ILK1533"/>
      <c r="ILL1533"/>
      <c r="ILM1533"/>
      <c r="ILN1533"/>
      <c r="ILO1533"/>
      <c r="ILP1533"/>
      <c r="ILQ1533"/>
      <c r="ILR1533"/>
      <c r="ILS1533"/>
      <c r="ILT1533"/>
      <c r="ILU1533"/>
      <c r="ILV1533"/>
      <c r="ILW1533"/>
      <c r="ILX1533"/>
      <c r="ILY1533"/>
      <c r="ILZ1533"/>
      <c r="IMA1533"/>
      <c r="IMB1533"/>
      <c r="IMC1533"/>
      <c r="IMD1533"/>
      <c r="IME1533"/>
      <c r="IMF1533"/>
      <c r="IMG1533"/>
      <c r="IMH1533"/>
      <c r="IMI1533"/>
      <c r="IMJ1533"/>
      <c r="IMK1533"/>
      <c r="IML1533"/>
      <c r="IMM1533"/>
      <c r="IMN1533"/>
      <c r="IMO1533"/>
      <c r="IMP1533"/>
      <c r="IMQ1533"/>
      <c r="IMR1533"/>
      <c r="IMS1533"/>
      <c r="IMT1533"/>
      <c r="IMU1533"/>
      <c r="IMV1533"/>
      <c r="IMW1533"/>
      <c r="IMX1533"/>
      <c r="IMY1533"/>
      <c r="IMZ1533"/>
      <c r="INA1533"/>
      <c r="INB1533"/>
      <c r="INC1533"/>
      <c r="IND1533"/>
      <c r="INE1533"/>
      <c r="INF1533"/>
      <c r="ING1533"/>
      <c r="INH1533"/>
      <c r="INI1533"/>
      <c r="INJ1533"/>
      <c r="INK1533"/>
      <c r="INL1533"/>
      <c r="INM1533"/>
      <c r="INN1533"/>
      <c r="INO1533"/>
      <c r="INP1533"/>
      <c r="INQ1533"/>
      <c r="INR1533"/>
      <c r="INS1533"/>
      <c r="INT1533"/>
      <c r="INU1533"/>
      <c r="INV1533"/>
      <c r="INW1533"/>
      <c r="INX1533"/>
      <c r="INY1533"/>
      <c r="INZ1533"/>
      <c r="IOA1533"/>
      <c r="IOB1533"/>
      <c r="IOC1533"/>
      <c r="IOD1533"/>
      <c r="IOE1533"/>
      <c r="IOF1533"/>
      <c r="IOG1533"/>
      <c r="IOH1533"/>
      <c r="IOI1533"/>
      <c r="IOJ1533"/>
      <c r="IOK1533"/>
      <c r="IOL1533"/>
      <c r="IOM1533"/>
      <c r="ION1533"/>
      <c r="IOO1533"/>
      <c r="IOP1533"/>
      <c r="IOQ1533"/>
      <c r="IOR1533"/>
      <c r="IOS1533"/>
      <c r="IOT1533"/>
      <c r="IOU1533"/>
      <c r="IOV1533"/>
      <c r="IOW1533"/>
      <c r="IOX1533"/>
      <c r="IOY1533"/>
      <c r="IOZ1533"/>
      <c r="IPA1533"/>
      <c r="IPB1533"/>
      <c r="IPC1533"/>
      <c r="IPD1533"/>
      <c r="IPE1533"/>
      <c r="IPF1533"/>
      <c r="IPG1533"/>
      <c r="IPH1533"/>
      <c r="IPI1533"/>
      <c r="IPJ1533"/>
      <c r="IPK1533"/>
      <c r="IPL1533"/>
      <c r="IPM1533"/>
      <c r="IPN1533"/>
      <c r="IPO1533"/>
      <c r="IPP1533"/>
      <c r="IPQ1533"/>
      <c r="IPR1533"/>
      <c r="IPS1533"/>
      <c r="IPT1533"/>
      <c r="IPU1533"/>
      <c r="IPV1533"/>
      <c r="IPW1533"/>
      <c r="IPX1533"/>
      <c r="IPY1533"/>
      <c r="IPZ1533"/>
      <c r="IQA1533"/>
      <c r="IQB1533"/>
      <c r="IQC1533"/>
      <c r="IQD1533"/>
      <c r="IQE1533"/>
      <c r="IQF1533"/>
      <c r="IQG1533"/>
      <c r="IQH1533"/>
      <c r="IQI1533"/>
      <c r="IQJ1533"/>
      <c r="IQK1533"/>
      <c r="IQL1533"/>
      <c r="IQM1533"/>
      <c r="IQN1533"/>
      <c r="IQO1533"/>
      <c r="IQP1533"/>
      <c r="IQQ1533"/>
      <c r="IQR1533"/>
      <c r="IQS1533"/>
      <c r="IQT1533"/>
      <c r="IQU1533"/>
      <c r="IQV1533"/>
      <c r="IQW1533"/>
      <c r="IQX1533"/>
      <c r="IQY1533"/>
      <c r="IQZ1533"/>
      <c r="IRA1533"/>
      <c r="IRB1533"/>
      <c r="IRC1533"/>
      <c r="IRD1533"/>
      <c r="IRE1533"/>
      <c r="IRF1533"/>
      <c r="IRG1533"/>
      <c r="IRH1533"/>
      <c r="IRI1533"/>
      <c r="IRJ1533"/>
      <c r="IRK1533"/>
      <c r="IRL1533"/>
      <c r="IRM1533"/>
      <c r="IRN1533"/>
      <c r="IRO1533"/>
      <c r="IRP1533"/>
      <c r="IRQ1533"/>
      <c r="IRR1533"/>
      <c r="IRS1533"/>
      <c r="IRT1533"/>
      <c r="IRU1533"/>
      <c r="IRV1533"/>
      <c r="IRW1533"/>
      <c r="IRX1533"/>
      <c r="IRY1533"/>
      <c r="IRZ1533"/>
      <c r="ISA1533"/>
      <c r="ISB1533"/>
      <c r="ISC1533"/>
      <c r="ISD1533"/>
      <c r="ISE1533"/>
      <c r="ISF1533"/>
      <c r="ISG1533"/>
      <c r="ISH1533"/>
      <c r="ISI1533"/>
      <c r="ISJ1533"/>
      <c r="ISK1533"/>
      <c r="ISL1533"/>
      <c r="ISM1533"/>
      <c r="ISN1533"/>
      <c r="ISO1533"/>
      <c r="ISP1533"/>
      <c r="ISQ1533"/>
      <c r="ISR1533"/>
      <c r="ISS1533"/>
      <c r="IST1533"/>
      <c r="ISU1533"/>
      <c r="ISV1533"/>
      <c r="ISW1533"/>
      <c r="ISX1533"/>
      <c r="ISY1533"/>
      <c r="ISZ1533"/>
      <c r="ITA1533"/>
      <c r="ITB1533"/>
      <c r="ITC1533"/>
      <c r="ITD1533"/>
      <c r="ITE1533"/>
      <c r="ITF1533"/>
      <c r="ITG1533"/>
      <c r="ITH1533"/>
      <c r="ITI1533"/>
      <c r="ITJ1533"/>
      <c r="ITK1533"/>
      <c r="ITL1533"/>
      <c r="ITM1533"/>
      <c r="ITN1533"/>
      <c r="ITO1533"/>
      <c r="ITP1533"/>
      <c r="ITQ1533"/>
      <c r="ITR1533"/>
      <c r="ITS1533"/>
      <c r="ITT1533"/>
      <c r="ITU1533"/>
      <c r="ITV1533"/>
      <c r="ITW1533"/>
      <c r="ITX1533"/>
      <c r="ITY1533"/>
      <c r="ITZ1533"/>
      <c r="IUA1533"/>
      <c r="IUB1533"/>
      <c r="IUC1533"/>
      <c r="IUD1533"/>
      <c r="IUE1533"/>
      <c r="IUF1533"/>
      <c r="IUG1533"/>
      <c r="IUH1533"/>
      <c r="IUI1533"/>
      <c r="IUJ1533"/>
      <c r="IUK1533"/>
      <c r="IUL1533"/>
      <c r="IUM1533"/>
      <c r="IUN1533"/>
      <c r="IUO1533"/>
      <c r="IUP1533"/>
      <c r="IUQ1533"/>
      <c r="IUR1533"/>
      <c r="IUS1533"/>
      <c r="IUT1533"/>
      <c r="IUU1533"/>
      <c r="IUV1533"/>
      <c r="IUW1533"/>
      <c r="IUX1533"/>
      <c r="IUY1533"/>
      <c r="IUZ1533"/>
      <c r="IVA1533"/>
      <c r="IVB1533"/>
      <c r="IVC1533"/>
      <c r="IVD1533"/>
      <c r="IVE1533"/>
      <c r="IVF1533"/>
      <c r="IVG1533"/>
      <c r="IVH1533"/>
      <c r="IVI1533"/>
      <c r="IVJ1533"/>
      <c r="IVK1533"/>
      <c r="IVL1533"/>
      <c r="IVM1533"/>
      <c r="IVN1533"/>
      <c r="IVO1533"/>
      <c r="IVP1533"/>
      <c r="IVQ1533"/>
      <c r="IVR1533"/>
      <c r="IVS1533"/>
      <c r="IVT1533"/>
      <c r="IVU1533"/>
      <c r="IVV1533"/>
      <c r="IVW1533"/>
      <c r="IVX1533"/>
      <c r="IVY1533"/>
      <c r="IVZ1533"/>
      <c r="IWA1533"/>
      <c r="IWB1533"/>
      <c r="IWC1533"/>
      <c r="IWD1533"/>
      <c r="IWE1533"/>
      <c r="IWF1533"/>
      <c r="IWG1533"/>
      <c r="IWH1533"/>
      <c r="IWI1533"/>
      <c r="IWJ1533"/>
      <c r="IWK1533"/>
      <c r="IWL1533"/>
      <c r="IWM1533"/>
      <c r="IWN1533"/>
      <c r="IWO1533"/>
      <c r="IWP1533"/>
      <c r="IWQ1533"/>
      <c r="IWR1533"/>
      <c r="IWS1533"/>
      <c r="IWT1533"/>
      <c r="IWU1533"/>
      <c r="IWV1533"/>
      <c r="IWW1533"/>
      <c r="IWX1533"/>
      <c r="IWY1533"/>
      <c r="IWZ1533"/>
      <c r="IXA1533"/>
      <c r="IXB1533"/>
      <c r="IXC1533"/>
      <c r="IXD1533"/>
      <c r="IXE1533"/>
      <c r="IXF1533"/>
      <c r="IXG1533"/>
      <c r="IXH1533"/>
      <c r="IXI1533"/>
      <c r="IXJ1533"/>
      <c r="IXK1533"/>
      <c r="IXL1533"/>
      <c r="IXM1533"/>
      <c r="IXN1533"/>
      <c r="IXO1533"/>
      <c r="IXP1533"/>
      <c r="IXQ1533"/>
      <c r="IXR1533"/>
      <c r="IXS1533"/>
      <c r="IXT1533"/>
      <c r="IXU1533"/>
      <c r="IXV1533"/>
      <c r="IXW1533"/>
      <c r="IXX1533"/>
      <c r="IXY1533"/>
      <c r="IXZ1533"/>
      <c r="IYA1533"/>
      <c r="IYB1533"/>
      <c r="IYC1533"/>
      <c r="IYD1533"/>
      <c r="IYE1533"/>
      <c r="IYF1533"/>
      <c r="IYG1533"/>
      <c r="IYH1533"/>
      <c r="IYI1533"/>
      <c r="IYJ1533"/>
      <c r="IYK1533"/>
      <c r="IYL1533"/>
      <c r="IYM1533"/>
      <c r="IYN1533"/>
      <c r="IYO1533"/>
      <c r="IYP1533"/>
      <c r="IYQ1533"/>
      <c r="IYR1533"/>
      <c r="IYS1533"/>
      <c r="IYT1533"/>
      <c r="IYU1533"/>
      <c r="IYV1533"/>
      <c r="IYW1533"/>
      <c r="IYX1533"/>
      <c r="IYY1533"/>
      <c r="IYZ1533"/>
      <c r="IZA1533"/>
      <c r="IZB1533"/>
      <c r="IZC1533"/>
      <c r="IZD1533"/>
      <c r="IZE1533"/>
      <c r="IZF1533"/>
      <c r="IZG1533"/>
      <c r="IZH1533"/>
      <c r="IZI1533"/>
      <c r="IZJ1533"/>
      <c r="IZK1533"/>
      <c r="IZL1533"/>
      <c r="IZM1533"/>
      <c r="IZN1533"/>
      <c r="IZO1533"/>
      <c r="IZP1533"/>
      <c r="IZQ1533"/>
      <c r="IZR1533"/>
      <c r="IZS1533"/>
      <c r="IZT1533"/>
      <c r="IZU1533"/>
      <c r="IZV1533"/>
      <c r="IZW1533"/>
      <c r="IZX1533"/>
      <c r="IZY1533"/>
      <c r="IZZ1533"/>
      <c r="JAA1533"/>
      <c r="JAB1533"/>
      <c r="JAC1533"/>
      <c r="JAD1533"/>
      <c r="JAE1533"/>
      <c r="JAF1533"/>
      <c r="JAG1533"/>
      <c r="JAH1533"/>
      <c r="JAI1533"/>
      <c r="JAJ1533"/>
      <c r="JAK1533"/>
      <c r="JAL1533"/>
      <c r="JAM1533"/>
      <c r="JAN1533"/>
      <c r="JAO1533"/>
      <c r="JAP1533"/>
      <c r="JAQ1533"/>
      <c r="JAR1533"/>
      <c r="JAS1533"/>
      <c r="JAT1533"/>
      <c r="JAU1533"/>
      <c r="JAV1533"/>
      <c r="JAW1533"/>
      <c r="JAX1533"/>
      <c r="JAY1533"/>
      <c r="JAZ1533"/>
      <c r="JBA1533"/>
      <c r="JBB1533"/>
      <c r="JBC1533"/>
      <c r="JBD1533"/>
      <c r="JBE1533"/>
      <c r="JBF1533"/>
      <c r="JBG1533"/>
      <c r="JBH1533"/>
      <c r="JBI1533"/>
      <c r="JBJ1533"/>
      <c r="JBK1533"/>
      <c r="JBL1533"/>
      <c r="JBM1533"/>
      <c r="JBN1533"/>
      <c r="JBO1533"/>
      <c r="JBP1533"/>
      <c r="JBQ1533"/>
      <c r="JBR1533"/>
      <c r="JBS1533"/>
      <c r="JBT1533"/>
      <c r="JBU1533"/>
      <c r="JBV1533"/>
      <c r="JBW1533"/>
      <c r="JBX1533"/>
      <c r="JBY1533"/>
      <c r="JBZ1533"/>
      <c r="JCA1533"/>
      <c r="JCB1533"/>
      <c r="JCC1533"/>
      <c r="JCD1533"/>
      <c r="JCE1533"/>
      <c r="JCF1533"/>
      <c r="JCG1533"/>
      <c r="JCH1533"/>
      <c r="JCI1533"/>
      <c r="JCJ1533"/>
      <c r="JCK1533"/>
      <c r="JCL1533"/>
      <c r="JCM1533"/>
      <c r="JCN1533"/>
      <c r="JCO1533"/>
      <c r="JCP1533"/>
      <c r="JCQ1533"/>
      <c r="JCR1533"/>
      <c r="JCS1533"/>
      <c r="JCT1533"/>
      <c r="JCU1533"/>
      <c r="JCV1533"/>
      <c r="JCW1533"/>
      <c r="JCX1533"/>
      <c r="JCY1533"/>
      <c r="JCZ1533"/>
      <c r="JDA1533"/>
      <c r="JDB1533"/>
      <c r="JDC1533"/>
      <c r="JDD1533"/>
      <c r="JDE1533"/>
      <c r="JDF1533"/>
      <c r="JDG1533"/>
      <c r="JDH1533"/>
      <c r="JDI1533"/>
      <c r="JDJ1533"/>
      <c r="JDK1533"/>
      <c r="JDL1533"/>
      <c r="JDM1533"/>
      <c r="JDN1533"/>
      <c r="JDO1533"/>
      <c r="JDP1533"/>
      <c r="JDQ1533"/>
      <c r="JDR1533"/>
      <c r="JDS1533"/>
      <c r="JDT1533"/>
      <c r="JDU1533"/>
      <c r="JDV1533"/>
      <c r="JDW1533"/>
      <c r="JDX1533"/>
      <c r="JDY1533"/>
      <c r="JDZ1533"/>
      <c r="JEA1533"/>
      <c r="JEB1533"/>
      <c r="JEC1533"/>
      <c r="JED1533"/>
      <c r="JEE1533"/>
      <c r="JEF1533"/>
      <c r="JEG1533"/>
      <c r="JEH1533"/>
      <c r="JEI1533"/>
      <c r="JEJ1533"/>
      <c r="JEK1533"/>
      <c r="JEL1533"/>
      <c r="JEM1533"/>
      <c r="JEN1533"/>
      <c r="JEO1533"/>
      <c r="JEP1533"/>
      <c r="JEQ1533"/>
      <c r="JER1533"/>
      <c r="JES1533"/>
      <c r="JET1533"/>
      <c r="JEU1533"/>
      <c r="JEV1533"/>
      <c r="JEW1533"/>
      <c r="JEX1533"/>
      <c r="JEY1533"/>
      <c r="JEZ1533"/>
      <c r="JFA1533"/>
      <c r="JFB1533"/>
      <c r="JFC1533"/>
      <c r="JFD1533"/>
      <c r="JFE1533"/>
      <c r="JFF1533"/>
      <c r="JFG1533"/>
      <c r="JFH1533"/>
      <c r="JFI1533"/>
      <c r="JFJ1533"/>
      <c r="JFK1533"/>
      <c r="JFL1533"/>
      <c r="JFM1533"/>
      <c r="JFN1533"/>
      <c r="JFO1533"/>
      <c r="JFP1533"/>
      <c r="JFQ1533"/>
      <c r="JFR1533"/>
      <c r="JFS1533"/>
      <c r="JFT1533"/>
      <c r="JFU1533"/>
      <c r="JFV1533"/>
      <c r="JFW1533"/>
      <c r="JFX1533"/>
      <c r="JFY1533"/>
      <c r="JFZ1533"/>
      <c r="JGA1533"/>
      <c r="JGB1533"/>
      <c r="JGC1533"/>
      <c r="JGD1533"/>
      <c r="JGE1533"/>
      <c r="JGF1533"/>
      <c r="JGG1533"/>
      <c r="JGH1533"/>
      <c r="JGI1533"/>
      <c r="JGJ1533"/>
      <c r="JGK1533"/>
      <c r="JGL1533"/>
      <c r="JGM1533"/>
      <c r="JGN1533"/>
      <c r="JGO1533"/>
      <c r="JGP1533"/>
      <c r="JGQ1533"/>
      <c r="JGR1533"/>
      <c r="JGS1533"/>
      <c r="JGT1533"/>
      <c r="JGU1533"/>
      <c r="JGV1533"/>
      <c r="JGW1533"/>
      <c r="JGX1533"/>
      <c r="JGY1533"/>
      <c r="JGZ1533"/>
      <c r="JHA1533"/>
      <c r="JHB1533"/>
      <c r="JHC1533"/>
      <c r="JHD1533"/>
      <c r="JHE1533"/>
      <c r="JHF1533"/>
      <c r="JHG1533"/>
      <c r="JHH1533"/>
      <c r="JHI1533"/>
      <c r="JHJ1533"/>
      <c r="JHK1533"/>
      <c r="JHL1533"/>
      <c r="JHM1533"/>
      <c r="JHN1533"/>
      <c r="JHO1533"/>
      <c r="JHP1533"/>
      <c r="JHQ1533"/>
      <c r="JHR1533"/>
      <c r="JHS1533"/>
      <c r="JHT1533"/>
      <c r="JHU1533"/>
      <c r="JHV1533"/>
      <c r="JHW1533"/>
      <c r="JHX1533"/>
      <c r="JHY1533"/>
      <c r="JHZ1533"/>
      <c r="JIA1533"/>
      <c r="JIB1533"/>
      <c r="JIC1533"/>
      <c r="JID1533"/>
      <c r="JIE1533"/>
      <c r="JIF1533"/>
      <c r="JIG1533"/>
      <c r="JIH1533"/>
      <c r="JII1533"/>
      <c r="JIJ1533"/>
      <c r="JIK1533"/>
      <c r="JIL1533"/>
      <c r="JIM1533"/>
      <c r="JIN1533"/>
      <c r="JIO1533"/>
      <c r="JIP1533"/>
      <c r="JIQ1533"/>
      <c r="JIR1533"/>
      <c r="JIS1533"/>
      <c r="JIT1533"/>
      <c r="JIU1533"/>
      <c r="JIV1533"/>
      <c r="JIW1533"/>
      <c r="JIX1533"/>
      <c r="JIY1533"/>
      <c r="JIZ1533"/>
      <c r="JJA1533"/>
      <c r="JJB1533"/>
      <c r="JJC1533"/>
      <c r="JJD1533"/>
      <c r="JJE1533"/>
      <c r="JJF1533"/>
      <c r="JJG1533"/>
      <c r="JJH1533"/>
      <c r="JJI1533"/>
      <c r="JJJ1533"/>
      <c r="JJK1533"/>
      <c r="JJL1533"/>
      <c r="JJM1533"/>
      <c r="JJN1533"/>
      <c r="JJO1533"/>
      <c r="JJP1533"/>
      <c r="JJQ1533"/>
      <c r="JJR1533"/>
      <c r="JJS1533"/>
      <c r="JJT1533"/>
      <c r="JJU1533"/>
      <c r="JJV1533"/>
      <c r="JJW1533"/>
      <c r="JJX1533"/>
      <c r="JJY1533"/>
      <c r="JJZ1533"/>
      <c r="JKA1533"/>
      <c r="JKB1533"/>
      <c r="JKC1533"/>
      <c r="JKD1533"/>
      <c r="JKE1533"/>
      <c r="JKF1533"/>
      <c r="JKG1533"/>
      <c r="JKH1533"/>
      <c r="JKI1533"/>
      <c r="JKJ1533"/>
      <c r="JKK1533"/>
      <c r="JKL1533"/>
      <c r="JKM1533"/>
      <c r="JKN1533"/>
      <c r="JKO1533"/>
      <c r="JKP1533"/>
      <c r="JKQ1533"/>
      <c r="JKR1533"/>
      <c r="JKS1533"/>
      <c r="JKT1533"/>
      <c r="JKU1533"/>
      <c r="JKV1533"/>
      <c r="JKW1533"/>
      <c r="JKX1533"/>
      <c r="JKY1533"/>
      <c r="JKZ1533"/>
      <c r="JLA1533"/>
      <c r="JLB1533"/>
      <c r="JLC1533"/>
      <c r="JLD1533"/>
      <c r="JLE1533"/>
      <c r="JLF1533"/>
      <c r="JLG1533"/>
      <c r="JLH1533"/>
      <c r="JLI1533"/>
      <c r="JLJ1533"/>
      <c r="JLK1533"/>
      <c r="JLL1533"/>
      <c r="JLM1533"/>
      <c r="JLN1533"/>
      <c r="JLO1533"/>
      <c r="JLP1533"/>
      <c r="JLQ1533"/>
      <c r="JLR1533"/>
      <c r="JLS1533"/>
      <c r="JLT1533"/>
      <c r="JLU1533"/>
      <c r="JLV1533"/>
      <c r="JLW1533"/>
      <c r="JLX1533"/>
      <c r="JLY1533"/>
      <c r="JLZ1533"/>
      <c r="JMA1533"/>
      <c r="JMB1533"/>
      <c r="JMC1533"/>
      <c r="JMD1533"/>
      <c r="JME1533"/>
      <c r="JMF1533"/>
      <c r="JMG1533"/>
      <c r="JMH1533"/>
      <c r="JMI1533"/>
      <c r="JMJ1533"/>
      <c r="JMK1533"/>
      <c r="JML1533"/>
      <c r="JMM1533"/>
      <c r="JMN1533"/>
      <c r="JMO1533"/>
      <c r="JMP1533"/>
      <c r="JMQ1533"/>
      <c r="JMR1533"/>
      <c r="JMS1533"/>
      <c r="JMT1533"/>
      <c r="JMU1533"/>
      <c r="JMV1533"/>
      <c r="JMW1533"/>
      <c r="JMX1533"/>
      <c r="JMY1533"/>
      <c r="JMZ1533"/>
      <c r="JNA1533"/>
      <c r="JNB1533"/>
      <c r="JNC1533"/>
      <c r="JND1533"/>
      <c r="JNE1533"/>
      <c r="JNF1533"/>
      <c r="JNG1533"/>
      <c r="JNH1533"/>
      <c r="JNI1533"/>
      <c r="JNJ1533"/>
      <c r="JNK1533"/>
      <c r="JNL1533"/>
      <c r="JNM1533"/>
      <c r="JNN1533"/>
      <c r="JNO1533"/>
      <c r="JNP1533"/>
      <c r="JNQ1533"/>
      <c r="JNR1533"/>
      <c r="JNS1533"/>
      <c r="JNT1533"/>
      <c r="JNU1533"/>
      <c r="JNV1533"/>
      <c r="JNW1533"/>
      <c r="JNX1533"/>
      <c r="JNY1533"/>
      <c r="JNZ1533"/>
      <c r="JOA1533"/>
      <c r="JOB1533"/>
      <c r="JOC1533"/>
      <c r="JOD1533"/>
      <c r="JOE1533"/>
      <c r="JOF1533"/>
      <c r="JOG1533"/>
      <c r="JOH1533"/>
      <c r="JOI1533"/>
      <c r="JOJ1533"/>
      <c r="JOK1533"/>
      <c r="JOL1533"/>
      <c r="JOM1533"/>
      <c r="JON1533"/>
      <c r="JOO1533"/>
      <c r="JOP1533"/>
      <c r="JOQ1533"/>
      <c r="JOR1533"/>
      <c r="JOS1533"/>
      <c r="JOT1533"/>
      <c r="JOU1533"/>
      <c r="JOV1533"/>
      <c r="JOW1533"/>
      <c r="JOX1533"/>
      <c r="JOY1533"/>
      <c r="JOZ1533"/>
      <c r="JPA1533"/>
      <c r="JPB1533"/>
      <c r="JPC1533"/>
      <c r="JPD1533"/>
      <c r="JPE1533"/>
      <c r="JPF1533"/>
      <c r="JPG1533"/>
      <c r="JPH1533"/>
      <c r="JPI1533"/>
      <c r="JPJ1533"/>
      <c r="JPK1533"/>
      <c r="JPL1533"/>
      <c r="JPM1533"/>
      <c r="JPN1533"/>
      <c r="JPO1533"/>
      <c r="JPP1533"/>
      <c r="JPQ1533"/>
      <c r="JPR1533"/>
      <c r="JPS1533"/>
      <c r="JPT1533"/>
      <c r="JPU1533"/>
      <c r="JPV1533"/>
      <c r="JPW1533"/>
      <c r="JPX1533"/>
      <c r="JPY1533"/>
      <c r="JPZ1533"/>
      <c r="JQA1533"/>
      <c r="JQB1533"/>
      <c r="JQC1533"/>
      <c r="JQD1533"/>
      <c r="JQE1533"/>
      <c r="JQF1533"/>
      <c r="JQG1533"/>
      <c r="JQH1533"/>
      <c r="JQI1533"/>
      <c r="JQJ1533"/>
      <c r="JQK1533"/>
      <c r="JQL1533"/>
      <c r="JQM1533"/>
      <c r="JQN1533"/>
      <c r="JQO1533"/>
      <c r="JQP1533"/>
      <c r="JQQ1533"/>
      <c r="JQR1533"/>
      <c r="JQS1533"/>
      <c r="JQT1533"/>
      <c r="JQU1533"/>
      <c r="JQV1533"/>
      <c r="JQW1533"/>
      <c r="JQX1533"/>
      <c r="JQY1533"/>
      <c r="JQZ1533"/>
      <c r="JRA1533"/>
      <c r="JRB1533"/>
      <c r="JRC1533"/>
      <c r="JRD1533"/>
      <c r="JRE1533"/>
      <c r="JRF1533"/>
      <c r="JRG1533"/>
      <c r="JRH1533"/>
      <c r="JRI1533"/>
      <c r="JRJ1533"/>
      <c r="JRK1533"/>
      <c r="JRL1533"/>
      <c r="JRM1533"/>
      <c r="JRN1533"/>
      <c r="JRO1533"/>
      <c r="JRP1533"/>
      <c r="JRQ1533"/>
      <c r="JRR1533"/>
      <c r="JRS1533"/>
      <c r="JRT1533"/>
      <c r="JRU1533"/>
      <c r="JRV1533"/>
      <c r="JRW1533"/>
      <c r="JRX1533"/>
      <c r="JRY1533"/>
      <c r="JRZ1533"/>
      <c r="JSA1533"/>
      <c r="JSB1533"/>
      <c r="JSC1533"/>
      <c r="JSD1533"/>
      <c r="JSE1533"/>
      <c r="JSF1533"/>
      <c r="JSG1533"/>
      <c r="JSH1533"/>
      <c r="JSI1533"/>
      <c r="JSJ1533"/>
      <c r="JSK1533"/>
      <c r="JSL1533"/>
      <c r="JSM1533"/>
      <c r="JSN1533"/>
      <c r="JSO1533"/>
      <c r="JSP1533"/>
      <c r="JSQ1533"/>
      <c r="JSR1533"/>
      <c r="JSS1533"/>
      <c r="JST1533"/>
      <c r="JSU1533"/>
      <c r="JSV1533"/>
      <c r="JSW1533"/>
      <c r="JSX1533"/>
      <c r="JSY1533"/>
      <c r="JSZ1533"/>
      <c r="JTA1533"/>
      <c r="JTB1533"/>
      <c r="JTC1533"/>
      <c r="JTD1533"/>
      <c r="JTE1533"/>
      <c r="JTF1533"/>
      <c r="JTG1533"/>
      <c r="JTH1533"/>
      <c r="JTI1533"/>
      <c r="JTJ1533"/>
      <c r="JTK1533"/>
      <c r="JTL1533"/>
      <c r="JTM1533"/>
      <c r="JTN1533"/>
      <c r="JTO1533"/>
      <c r="JTP1533"/>
      <c r="JTQ1533"/>
      <c r="JTR1533"/>
      <c r="JTS1533"/>
      <c r="JTT1533"/>
      <c r="JTU1533"/>
      <c r="JTV1533"/>
      <c r="JTW1533"/>
      <c r="JTX1533"/>
      <c r="JTY1533"/>
      <c r="JTZ1533"/>
      <c r="JUA1533"/>
      <c r="JUB1533"/>
      <c r="JUC1533"/>
      <c r="JUD1533"/>
      <c r="JUE1533"/>
      <c r="JUF1533"/>
      <c r="JUG1533"/>
      <c r="JUH1533"/>
      <c r="JUI1533"/>
      <c r="JUJ1533"/>
      <c r="JUK1533"/>
      <c r="JUL1533"/>
      <c r="JUM1533"/>
      <c r="JUN1533"/>
      <c r="JUO1533"/>
      <c r="JUP1533"/>
      <c r="JUQ1533"/>
      <c r="JUR1533"/>
      <c r="JUS1533"/>
      <c r="JUT1533"/>
      <c r="JUU1533"/>
      <c r="JUV1533"/>
      <c r="JUW1533"/>
      <c r="JUX1533"/>
      <c r="JUY1533"/>
      <c r="JUZ1533"/>
      <c r="JVA1533"/>
      <c r="JVB1533"/>
      <c r="JVC1533"/>
      <c r="JVD1533"/>
      <c r="JVE1533"/>
      <c r="JVF1533"/>
      <c r="JVG1533"/>
      <c r="JVH1533"/>
      <c r="JVI1533"/>
      <c r="JVJ1533"/>
      <c r="JVK1533"/>
      <c r="JVL1533"/>
      <c r="JVM1533"/>
      <c r="JVN1533"/>
      <c r="JVO1533"/>
      <c r="JVP1533"/>
      <c r="JVQ1533"/>
      <c r="JVR1533"/>
      <c r="JVS1533"/>
      <c r="JVT1533"/>
      <c r="JVU1533"/>
      <c r="JVV1533"/>
      <c r="JVW1533"/>
      <c r="JVX1533"/>
      <c r="JVY1533"/>
      <c r="JVZ1533"/>
      <c r="JWA1533"/>
      <c r="JWB1533"/>
      <c r="JWC1533"/>
      <c r="JWD1533"/>
      <c r="JWE1533"/>
      <c r="JWF1533"/>
      <c r="JWG1533"/>
      <c r="JWH1533"/>
      <c r="JWI1533"/>
      <c r="JWJ1533"/>
      <c r="JWK1533"/>
      <c r="JWL1533"/>
      <c r="JWM1533"/>
      <c r="JWN1533"/>
      <c r="JWO1533"/>
      <c r="JWP1533"/>
      <c r="JWQ1533"/>
      <c r="JWR1533"/>
      <c r="JWS1533"/>
      <c r="JWT1533"/>
      <c r="JWU1533"/>
      <c r="JWV1533"/>
      <c r="JWW1533"/>
      <c r="JWX1533"/>
      <c r="JWY1533"/>
      <c r="JWZ1533"/>
      <c r="JXA1533"/>
      <c r="JXB1533"/>
      <c r="JXC1533"/>
      <c r="JXD1533"/>
      <c r="JXE1533"/>
      <c r="JXF1533"/>
      <c r="JXG1533"/>
      <c r="JXH1533"/>
      <c r="JXI1533"/>
      <c r="JXJ1533"/>
      <c r="JXK1533"/>
      <c r="JXL1533"/>
      <c r="JXM1533"/>
      <c r="JXN1533"/>
      <c r="JXO1533"/>
      <c r="JXP1533"/>
      <c r="JXQ1533"/>
      <c r="JXR1533"/>
      <c r="JXS1533"/>
      <c r="JXT1533"/>
      <c r="JXU1533"/>
      <c r="JXV1533"/>
      <c r="JXW1533"/>
      <c r="JXX1533"/>
      <c r="JXY1533"/>
      <c r="JXZ1533"/>
      <c r="JYA1533"/>
      <c r="JYB1533"/>
      <c r="JYC1533"/>
      <c r="JYD1533"/>
      <c r="JYE1533"/>
      <c r="JYF1533"/>
      <c r="JYG1533"/>
      <c r="JYH1533"/>
      <c r="JYI1533"/>
      <c r="JYJ1533"/>
      <c r="JYK1533"/>
      <c r="JYL1533"/>
      <c r="JYM1533"/>
      <c r="JYN1533"/>
      <c r="JYO1533"/>
      <c r="JYP1533"/>
      <c r="JYQ1533"/>
      <c r="JYR1533"/>
      <c r="JYS1533"/>
      <c r="JYT1533"/>
      <c r="JYU1533"/>
      <c r="JYV1533"/>
      <c r="JYW1533"/>
      <c r="JYX1533"/>
      <c r="JYY1533"/>
      <c r="JYZ1533"/>
      <c r="JZA1533"/>
      <c r="JZB1533"/>
      <c r="JZC1533"/>
      <c r="JZD1533"/>
      <c r="JZE1533"/>
      <c r="JZF1533"/>
      <c r="JZG1533"/>
      <c r="JZH1533"/>
      <c r="JZI1533"/>
      <c r="JZJ1533"/>
      <c r="JZK1533"/>
      <c r="JZL1533"/>
      <c r="JZM1533"/>
      <c r="JZN1533"/>
      <c r="JZO1533"/>
      <c r="JZP1533"/>
      <c r="JZQ1533"/>
      <c r="JZR1533"/>
      <c r="JZS1533"/>
      <c r="JZT1533"/>
      <c r="JZU1533"/>
      <c r="JZV1533"/>
      <c r="JZW1533"/>
      <c r="JZX1533"/>
      <c r="JZY1533"/>
      <c r="JZZ1533"/>
      <c r="KAA1533"/>
      <c r="KAB1533"/>
      <c r="KAC1533"/>
      <c r="KAD1533"/>
      <c r="KAE1533"/>
      <c r="KAF1533"/>
      <c r="KAG1533"/>
      <c r="KAH1533"/>
      <c r="KAI1533"/>
      <c r="KAJ1533"/>
      <c r="KAK1533"/>
      <c r="KAL1533"/>
      <c r="KAM1533"/>
      <c r="KAN1533"/>
      <c r="KAO1533"/>
      <c r="KAP1533"/>
      <c r="KAQ1533"/>
      <c r="KAR1533"/>
      <c r="KAS1533"/>
      <c r="KAT1533"/>
      <c r="KAU1533"/>
      <c r="KAV1533"/>
      <c r="KAW1533"/>
      <c r="KAX1533"/>
      <c r="KAY1533"/>
      <c r="KAZ1533"/>
      <c r="KBA1533"/>
      <c r="KBB1533"/>
      <c r="KBC1533"/>
      <c r="KBD1533"/>
      <c r="KBE1533"/>
      <c r="KBF1533"/>
      <c r="KBG1533"/>
      <c r="KBH1533"/>
      <c r="KBI1533"/>
      <c r="KBJ1533"/>
      <c r="KBK1533"/>
      <c r="KBL1533"/>
      <c r="KBM1533"/>
      <c r="KBN1533"/>
      <c r="KBO1533"/>
      <c r="KBP1533"/>
      <c r="KBQ1533"/>
      <c r="KBR1533"/>
      <c r="KBS1533"/>
      <c r="KBT1533"/>
      <c r="KBU1533"/>
      <c r="KBV1533"/>
      <c r="KBW1533"/>
      <c r="KBX1533"/>
      <c r="KBY1533"/>
      <c r="KBZ1533"/>
      <c r="KCA1533"/>
      <c r="KCB1533"/>
      <c r="KCC1533"/>
      <c r="KCD1533"/>
      <c r="KCE1533"/>
      <c r="KCF1533"/>
      <c r="KCG1533"/>
      <c r="KCH1533"/>
      <c r="KCI1533"/>
      <c r="KCJ1533"/>
      <c r="KCK1533"/>
      <c r="KCL1533"/>
      <c r="KCM1533"/>
      <c r="KCN1533"/>
      <c r="KCO1533"/>
      <c r="KCP1533"/>
      <c r="KCQ1533"/>
      <c r="KCR1533"/>
      <c r="KCS1533"/>
      <c r="KCT1533"/>
      <c r="KCU1533"/>
      <c r="KCV1533"/>
      <c r="KCW1533"/>
      <c r="KCX1533"/>
      <c r="KCY1533"/>
      <c r="KCZ1533"/>
      <c r="KDA1533"/>
      <c r="KDB1533"/>
      <c r="KDC1533"/>
      <c r="KDD1533"/>
      <c r="KDE1533"/>
      <c r="KDF1533"/>
      <c r="KDG1533"/>
      <c r="KDH1533"/>
      <c r="KDI1533"/>
      <c r="KDJ1533"/>
      <c r="KDK1533"/>
      <c r="KDL1533"/>
      <c r="KDM1533"/>
      <c r="KDN1533"/>
      <c r="KDO1533"/>
      <c r="KDP1533"/>
      <c r="KDQ1533"/>
      <c r="KDR1533"/>
      <c r="KDS1533"/>
      <c r="KDT1533"/>
      <c r="KDU1533"/>
      <c r="KDV1533"/>
      <c r="KDW1533"/>
      <c r="KDX1533"/>
      <c r="KDY1533"/>
      <c r="KDZ1533"/>
      <c r="KEA1533"/>
      <c r="KEB1533"/>
      <c r="KEC1533"/>
      <c r="KED1533"/>
      <c r="KEE1533"/>
      <c r="KEF1533"/>
      <c r="KEG1533"/>
      <c r="KEH1533"/>
      <c r="KEI1533"/>
      <c r="KEJ1533"/>
      <c r="KEK1533"/>
      <c r="KEL1533"/>
      <c r="KEM1533"/>
      <c r="KEN1533"/>
      <c r="KEO1533"/>
      <c r="KEP1533"/>
      <c r="KEQ1533"/>
      <c r="KER1533"/>
      <c r="KES1533"/>
      <c r="KET1533"/>
      <c r="KEU1533"/>
      <c r="KEV1533"/>
      <c r="KEW1533"/>
      <c r="KEX1533"/>
      <c r="KEY1533"/>
      <c r="KEZ1533"/>
      <c r="KFA1533"/>
      <c r="KFB1533"/>
      <c r="KFC1533"/>
      <c r="KFD1533"/>
      <c r="KFE1533"/>
      <c r="KFF1533"/>
      <c r="KFG1533"/>
      <c r="KFH1533"/>
      <c r="KFI1533"/>
      <c r="KFJ1533"/>
      <c r="KFK1533"/>
      <c r="KFL1533"/>
      <c r="KFM1533"/>
      <c r="KFN1533"/>
      <c r="KFO1533"/>
      <c r="KFP1533"/>
      <c r="KFQ1533"/>
      <c r="KFR1533"/>
      <c r="KFS1533"/>
      <c r="KFT1533"/>
      <c r="KFU1533"/>
      <c r="KFV1533"/>
      <c r="KFW1533"/>
      <c r="KFX1533"/>
      <c r="KFY1533"/>
      <c r="KFZ1533"/>
      <c r="KGA1533"/>
      <c r="KGB1533"/>
      <c r="KGC1533"/>
      <c r="KGD1533"/>
      <c r="KGE1533"/>
      <c r="KGF1533"/>
      <c r="KGG1533"/>
      <c r="KGH1533"/>
      <c r="KGI1533"/>
      <c r="KGJ1533"/>
      <c r="KGK1533"/>
      <c r="KGL1533"/>
      <c r="KGM1533"/>
      <c r="KGN1533"/>
      <c r="KGO1533"/>
      <c r="KGP1533"/>
      <c r="KGQ1533"/>
      <c r="KGR1533"/>
      <c r="KGS1533"/>
      <c r="KGT1533"/>
      <c r="KGU1533"/>
      <c r="KGV1533"/>
      <c r="KGW1533"/>
      <c r="KGX1533"/>
      <c r="KGY1533"/>
      <c r="KGZ1533"/>
      <c r="KHA1533"/>
      <c r="KHB1533"/>
      <c r="KHC1533"/>
      <c r="KHD1533"/>
      <c r="KHE1533"/>
      <c r="KHF1533"/>
      <c r="KHG1533"/>
      <c r="KHH1533"/>
      <c r="KHI1533"/>
      <c r="KHJ1533"/>
      <c r="KHK1533"/>
      <c r="KHL1533"/>
      <c r="KHM1533"/>
      <c r="KHN1533"/>
      <c r="KHO1533"/>
      <c r="KHP1533"/>
      <c r="KHQ1533"/>
      <c r="KHR1533"/>
      <c r="KHS1533"/>
      <c r="KHT1533"/>
      <c r="KHU1533"/>
      <c r="KHV1533"/>
      <c r="KHW1533"/>
      <c r="KHX1533"/>
      <c r="KHY1533"/>
      <c r="KHZ1533"/>
      <c r="KIA1533"/>
      <c r="KIB1533"/>
      <c r="KIC1533"/>
      <c r="KID1533"/>
      <c r="KIE1533"/>
      <c r="KIF1533"/>
      <c r="KIG1533"/>
      <c r="KIH1533"/>
      <c r="KII1533"/>
      <c r="KIJ1533"/>
      <c r="KIK1533"/>
      <c r="KIL1533"/>
      <c r="KIM1533"/>
      <c r="KIN1533"/>
      <c r="KIO1533"/>
      <c r="KIP1533"/>
      <c r="KIQ1533"/>
      <c r="KIR1533"/>
      <c r="KIS1533"/>
      <c r="KIT1533"/>
      <c r="KIU1533"/>
      <c r="KIV1533"/>
      <c r="KIW1533"/>
      <c r="KIX1533"/>
      <c r="KIY1533"/>
      <c r="KIZ1533"/>
      <c r="KJA1533"/>
      <c r="KJB1533"/>
      <c r="KJC1533"/>
      <c r="KJD1533"/>
      <c r="KJE1533"/>
      <c r="KJF1533"/>
      <c r="KJG1533"/>
      <c r="KJH1533"/>
      <c r="KJI1533"/>
      <c r="KJJ1533"/>
      <c r="KJK1533"/>
      <c r="KJL1533"/>
      <c r="KJM1533"/>
      <c r="KJN1533"/>
      <c r="KJO1533"/>
      <c r="KJP1533"/>
      <c r="KJQ1533"/>
      <c r="KJR1533"/>
      <c r="KJS1533"/>
      <c r="KJT1533"/>
      <c r="KJU1533"/>
      <c r="KJV1533"/>
      <c r="KJW1533"/>
      <c r="KJX1533"/>
      <c r="KJY1533"/>
      <c r="KJZ1533"/>
      <c r="KKA1533"/>
      <c r="KKB1533"/>
      <c r="KKC1533"/>
      <c r="KKD1533"/>
      <c r="KKE1533"/>
      <c r="KKF1533"/>
      <c r="KKG1533"/>
      <c r="KKH1533"/>
      <c r="KKI1533"/>
      <c r="KKJ1533"/>
      <c r="KKK1533"/>
      <c r="KKL1533"/>
      <c r="KKM1533"/>
      <c r="KKN1533"/>
      <c r="KKO1533"/>
      <c r="KKP1533"/>
      <c r="KKQ1533"/>
      <c r="KKR1533"/>
      <c r="KKS1533"/>
      <c r="KKT1533"/>
      <c r="KKU1533"/>
      <c r="KKV1533"/>
      <c r="KKW1533"/>
      <c r="KKX1533"/>
      <c r="KKY1533"/>
      <c r="KKZ1533"/>
      <c r="KLA1533"/>
      <c r="KLB1533"/>
      <c r="KLC1533"/>
      <c r="KLD1533"/>
      <c r="KLE1533"/>
      <c r="KLF1533"/>
      <c r="KLG1533"/>
      <c r="KLH1533"/>
      <c r="KLI1533"/>
      <c r="KLJ1533"/>
      <c r="KLK1533"/>
      <c r="KLL1533"/>
      <c r="KLM1533"/>
      <c r="KLN1533"/>
      <c r="KLO1533"/>
      <c r="KLP1533"/>
      <c r="KLQ1533"/>
      <c r="KLR1533"/>
      <c r="KLS1533"/>
      <c r="KLT1533"/>
      <c r="KLU1533"/>
      <c r="KLV1533"/>
      <c r="KLW1533"/>
      <c r="KLX1533"/>
      <c r="KLY1533"/>
      <c r="KLZ1533"/>
      <c r="KMA1533"/>
      <c r="KMB1533"/>
      <c r="KMC1533"/>
      <c r="KMD1533"/>
      <c r="KME1533"/>
      <c r="KMF1533"/>
      <c r="KMG1533"/>
      <c r="KMH1533"/>
      <c r="KMI1533"/>
      <c r="KMJ1533"/>
      <c r="KMK1533"/>
      <c r="KML1533"/>
      <c r="KMM1533"/>
      <c r="KMN1533"/>
      <c r="KMO1533"/>
      <c r="KMP1533"/>
      <c r="KMQ1533"/>
      <c r="KMR1533"/>
      <c r="KMS1533"/>
      <c r="KMT1533"/>
      <c r="KMU1533"/>
      <c r="KMV1533"/>
      <c r="KMW1533"/>
      <c r="KMX1533"/>
      <c r="KMY1533"/>
      <c r="KMZ1533"/>
      <c r="KNA1533"/>
      <c r="KNB1533"/>
      <c r="KNC1533"/>
      <c r="KND1533"/>
      <c r="KNE1533"/>
      <c r="KNF1533"/>
      <c r="KNG1533"/>
      <c r="KNH1533"/>
      <c r="KNI1533"/>
      <c r="KNJ1533"/>
      <c r="KNK1533"/>
      <c r="KNL1533"/>
      <c r="KNM1533"/>
      <c r="KNN1533"/>
      <c r="KNO1533"/>
      <c r="KNP1533"/>
      <c r="KNQ1533"/>
      <c r="KNR1533"/>
      <c r="KNS1533"/>
      <c r="KNT1533"/>
      <c r="KNU1533"/>
      <c r="KNV1533"/>
      <c r="KNW1533"/>
      <c r="KNX1533"/>
      <c r="KNY1533"/>
      <c r="KNZ1533"/>
      <c r="KOA1533"/>
      <c r="KOB1533"/>
      <c r="KOC1533"/>
      <c r="KOD1533"/>
      <c r="KOE1533"/>
      <c r="KOF1533"/>
      <c r="KOG1533"/>
      <c r="KOH1533"/>
      <c r="KOI1533"/>
      <c r="KOJ1533"/>
      <c r="KOK1533"/>
      <c r="KOL1533"/>
      <c r="KOM1533"/>
      <c r="KON1533"/>
      <c r="KOO1533"/>
      <c r="KOP1533"/>
      <c r="KOQ1533"/>
      <c r="KOR1533"/>
      <c r="KOS1533"/>
      <c r="KOT1533"/>
      <c r="KOU1533"/>
      <c r="KOV1533"/>
      <c r="KOW1533"/>
      <c r="KOX1533"/>
      <c r="KOY1533"/>
      <c r="KOZ1533"/>
      <c r="KPA1533"/>
      <c r="KPB1533"/>
      <c r="KPC1533"/>
      <c r="KPD1533"/>
      <c r="KPE1533"/>
      <c r="KPF1533"/>
      <c r="KPG1533"/>
      <c r="KPH1533"/>
      <c r="KPI1533"/>
      <c r="KPJ1533"/>
      <c r="KPK1533"/>
      <c r="KPL1533"/>
      <c r="KPM1533"/>
      <c r="KPN1533"/>
      <c r="KPO1533"/>
      <c r="KPP1533"/>
      <c r="KPQ1533"/>
      <c r="KPR1533"/>
      <c r="KPS1533"/>
      <c r="KPT1533"/>
      <c r="KPU1533"/>
      <c r="KPV1533"/>
      <c r="KPW1533"/>
      <c r="KPX1533"/>
      <c r="KPY1533"/>
      <c r="KPZ1533"/>
      <c r="KQA1533"/>
      <c r="KQB1533"/>
      <c r="KQC1533"/>
      <c r="KQD1533"/>
      <c r="KQE1533"/>
      <c r="KQF1533"/>
      <c r="KQG1533"/>
      <c r="KQH1533"/>
      <c r="KQI1533"/>
      <c r="KQJ1533"/>
      <c r="KQK1533"/>
      <c r="KQL1533"/>
      <c r="KQM1533"/>
      <c r="KQN1533"/>
      <c r="KQO1533"/>
      <c r="KQP1533"/>
      <c r="KQQ1533"/>
      <c r="KQR1533"/>
      <c r="KQS1533"/>
      <c r="KQT1533"/>
      <c r="KQU1533"/>
      <c r="KQV1533"/>
      <c r="KQW1533"/>
      <c r="KQX1533"/>
      <c r="KQY1533"/>
      <c r="KQZ1533"/>
      <c r="KRA1533"/>
      <c r="KRB1533"/>
      <c r="KRC1533"/>
      <c r="KRD1533"/>
      <c r="KRE1533"/>
      <c r="KRF1533"/>
      <c r="KRG1533"/>
      <c r="KRH1533"/>
      <c r="KRI1533"/>
      <c r="KRJ1533"/>
      <c r="KRK1533"/>
      <c r="KRL1533"/>
      <c r="KRM1533"/>
      <c r="KRN1533"/>
      <c r="KRO1533"/>
      <c r="KRP1533"/>
      <c r="KRQ1533"/>
      <c r="KRR1533"/>
      <c r="KRS1533"/>
      <c r="KRT1533"/>
      <c r="KRU1533"/>
      <c r="KRV1533"/>
      <c r="KRW1533"/>
      <c r="KRX1533"/>
      <c r="KRY1533"/>
      <c r="KRZ1533"/>
      <c r="KSA1533"/>
      <c r="KSB1533"/>
      <c r="KSC1533"/>
      <c r="KSD1533"/>
      <c r="KSE1533"/>
      <c r="KSF1533"/>
      <c r="KSG1533"/>
      <c r="KSH1533"/>
      <c r="KSI1533"/>
      <c r="KSJ1533"/>
      <c r="KSK1533"/>
      <c r="KSL1533"/>
      <c r="KSM1533"/>
      <c r="KSN1533"/>
      <c r="KSO1533"/>
      <c r="KSP1533"/>
      <c r="KSQ1533"/>
      <c r="KSR1533"/>
      <c r="KSS1533"/>
      <c r="KST1533"/>
      <c r="KSU1533"/>
      <c r="KSV1533"/>
      <c r="KSW1533"/>
      <c r="KSX1533"/>
      <c r="KSY1533"/>
      <c r="KSZ1533"/>
      <c r="KTA1533"/>
      <c r="KTB1533"/>
      <c r="KTC1533"/>
      <c r="KTD1533"/>
      <c r="KTE1533"/>
      <c r="KTF1533"/>
      <c r="KTG1533"/>
      <c r="KTH1533"/>
      <c r="KTI1533"/>
      <c r="KTJ1533"/>
      <c r="KTK1533"/>
      <c r="KTL1533"/>
      <c r="KTM1533"/>
      <c r="KTN1533"/>
      <c r="KTO1533"/>
      <c r="KTP1533"/>
      <c r="KTQ1533"/>
      <c r="KTR1533"/>
      <c r="KTS1533"/>
      <c r="KTT1533"/>
      <c r="KTU1533"/>
      <c r="KTV1533"/>
      <c r="KTW1533"/>
      <c r="KTX1533"/>
      <c r="KTY1533"/>
      <c r="KTZ1533"/>
      <c r="KUA1533"/>
      <c r="KUB1533"/>
      <c r="KUC1533"/>
      <c r="KUD1533"/>
      <c r="KUE1533"/>
      <c r="KUF1533"/>
      <c r="KUG1533"/>
      <c r="KUH1533"/>
      <c r="KUI1533"/>
      <c r="KUJ1533"/>
      <c r="KUK1533"/>
      <c r="KUL1533"/>
      <c r="KUM1533"/>
      <c r="KUN1533"/>
      <c r="KUO1533"/>
      <c r="KUP1533"/>
      <c r="KUQ1533"/>
      <c r="KUR1533"/>
      <c r="KUS1533"/>
      <c r="KUT1533"/>
      <c r="KUU1533"/>
      <c r="KUV1533"/>
      <c r="KUW1533"/>
      <c r="KUX1533"/>
      <c r="KUY1533"/>
      <c r="KUZ1533"/>
      <c r="KVA1533"/>
      <c r="KVB1533"/>
      <c r="KVC1533"/>
      <c r="KVD1533"/>
      <c r="KVE1533"/>
      <c r="KVF1533"/>
      <c r="KVG1533"/>
      <c r="KVH1533"/>
      <c r="KVI1533"/>
      <c r="KVJ1533"/>
      <c r="KVK1533"/>
      <c r="KVL1533"/>
      <c r="KVM1533"/>
      <c r="KVN1533"/>
      <c r="KVO1533"/>
      <c r="KVP1533"/>
      <c r="KVQ1533"/>
      <c r="KVR1533"/>
      <c r="KVS1533"/>
      <c r="KVT1533"/>
      <c r="KVU1533"/>
      <c r="KVV1533"/>
      <c r="KVW1533"/>
      <c r="KVX1533"/>
      <c r="KVY1533"/>
      <c r="KVZ1533"/>
      <c r="KWA1533"/>
      <c r="KWB1533"/>
      <c r="KWC1533"/>
      <c r="KWD1533"/>
      <c r="KWE1533"/>
      <c r="KWF1533"/>
      <c r="KWG1533"/>
      <c r="KWH1533"/>
      <c r="KWI1533"/>
      <c r="KWJ1533"/>
      <c r="KWK1533"/>
      <c r="KWL1533"/>
      <c r="KWM1533"/>
      <c r="KWN1533"/>
      <c r="KWO1533"/>
      <c r="KWP1533"/>
      <c r="KWQ1533"/>
      <c r="KWR1533"/>
      <c r="KWS1533"/>
      <c r="KWT1533"/>
      <c r="KWU1533"/>
      <c r="KWV1533"/>
      <c r="KWW1533"/>
      <c r="KWX1533"/>
      <c r="KWY1533"/>
      <c r="KWZ1533"/>
      <c r="KXA1533"/>
      <c r="KXB1533"/>
      <c r="KXC1533"/>
      <c r="KXD1533"/>
      <c r="KXE1533"/>
      <c r="KXF1533"/>
      <c r="KXG1533"/>
      <c r="KXH1533"/>
      <c r="KXI1533"/>
      <c r="KXJ1533"/>
      <c r="KXK1533"/>
      <c r="KXL1533"/>
      <c r="KXM1533"/>
      <c r="KXN1533"/>
      <c r="KXO1533"/>
      <c r="KXP1533"/>
      <c r="KXQ1533"/>
      <c r="KXR1533"/>
      <c r="KXS1533"/>
      <c r="KXT1533"/>
      <c r="KXU1533"/>
      <c r="KXV1533"/>
      <c r="KXW1533"/>
      <c r="KXX1533"/>
      <c r="KXY1533"/>
      <c r="KXZ1533"/>
      <c r="KYA1533"/>
      <c r="KYB1533"/>
      <c r="KYC1533"/>
      <c r="KYD1533"/>
      <c r="KYE1533"/>
      <c r="KYF1533"/>
      <c r="KYG1533"/>
      <c r="KYH1533"/>
      <c r="KYI1533"/>
      <c r="KYJ1533"/>
      <c r="KYK1533"/>
      <c r="KYL1533"/>
      <c r="KYM1533"/>
      <c r="KYN1533"/>
      <c r="KYO1533"/>
      <c r="KYP1533"/>
      <c r="KYQ1533"/>
      <c r="KYR1533"/>
      <c r="KYS1533"/>
      <c r="KYT1533"/>
      <c r="KYU1533"/>
      <c r="KYV1533"/>
      <c r="KYW1533"/>
      <c r="KYX1533"/>
      <c r="KYY1533"/>
      <c r="KYZ1533"/>
      <c r="KZA1533"/>
      <c r="KZB1533"/>
      <c r="KZC1533"/>
      <c r="KZD1533"/>
      <c r="KZE1533"/>
      <c r="KZF1533"/>
      <c r="KZG1533"/>
      <c r="KZH1533"/>
      <c r="KZI1533"/>
      <c r="KZJ1533"/>
      <c r="KZK1533"/>
      <c r="KZL1533"/>
      <c r="KZM1533"/>
      <c r="KZN1533"/>
      <c r="KZO1533"/>
      <c r="KZP1533"/>
      <c r="KZQ1533"/>
      <c r="KZR1533"/>
      <c r="KZS1533"/>
      <c r="KZT1533"/>
      <c r="KZU1533"/>
      <c r="KZV1533"/>
      <c r="KZW1533"/>
      <c r="KZX1533"/>
      <c r="KZY1533"/>
      <c r="KZZ1533"/>
      <c r="LAA1533"/>
      <c r="LAB1533"/>
      <c r="LAC1533"/>
      <c r="LAD1533"/>
      <c r="LAE1533"/>
      <c r="LAF1533"/>
      <c r="LAG1533"/>
      <c r="LAH1533"/>
      <c r="LAI1533"/>
      <c r="LAJ1533"/>
      <c r="LAK1533"/>
      <c r="LAL1533"/>
      <c r="LAM1533"/>
      <c r="LAN1533"/>
      <c r="LAO1533"/>
      <c r="LAP1533"/>
      <c r="LAQ1533"/>
      <c r="LAR1533"/>
      <c r="LAS1533"/>
      <c r="LAT1533"/>
      <c r="LAU1533"/>
      <c r="LAV1533"/>
      <c r="LAW1533"/>
      <c r="LAX1533"/>
      <c r="LAY1533"/>
      <c r="LAZ1533"/>
      <c r="LBA1533"/>
      <c r="LBB1533"/>
      <c r="LBC1533"/>
      <c r="LBD1533"/>
      <c r="LBE1533"/>
      <c r="LBF1533"/>
      <c r="LBG1533"/>
      <c r="LBH1533"/>
      <c r="LBI1533"/>
      <c r="LBJ1533"/>
      <c r="LBK1533"/>
      <c r="LBL1533"/>
      <c r="LBM1533"/>
      <c r="LBN1533"/>
      <c r="LBO1533"/>
      <c r="LBP1533"/>
      <c r="LBQ1533"/>
      <c r="LBR1533"/>
      <c r="LBS1533"/>
      <c r="LBT1533"/>
      <c r="LBU1533"/>
      <c r="LBV1533"/>
      <c r="LBW1533"/>
      <c r="LBX1533"/>
      <c r="LBY1533"/>
      <c r="LBZ1533"/>
      <c r="LCA1533"/>
      <c r="LCB1533"/>
      <c r="LCC1533"/>
      <c r="LCD1533"/>
      <c r="LCE1533"/>
      <c r="LCF1533"/>
      <c r="LCG1533"/>
      <c r="LCH1533"/>
      <c r="LCI1533"/>
      <c r="LCJ1533"/>
      <c r="LCK1533"/>
      <c r="LCL1533"/>
      <c r="LCM1533"/>
      <c r="LCN1533"/>
      <c r="LCO1533"/>
      <c r="LCP1533"/>
      <c r="LCQ1533"/>
      <c r="LCR1533"/>
      <c r="LCS1533"/>
      <c r="LCT1533"/>
      <c r="LCU1533"/>
      <c r="LCV1533"/>
      <c r="LCW1533"/>
      <c r="LCX1533"/>
      <c r="LCY1533"/>
      <c r="LCZ1533"/>
      <c r="LDA1533"/>
      <c r="LDB1533"/>
      <c r="LDC1533"/>
      <c r="LDD1533"/>
      <c r="LDE1533"/>
      <c r="LDF1533"/>
      <c r="LDG1533"/>
      <c r="LDH1533"/>
      <c r="LDI1533"/>
      <c r="LDJ1533"/>
      <c r="LDK1533"/>
      <c r="LDL1533"/>
      <c r="LDM1533"/>
      <c r="LDN1533"/>
      <c r="LDO1533"/>
      <c r="LDP1533"/>
      <c r="LDQ1533"/>
      <c r="LDR1533"/>
      <c r="LDS1533"/>
      <c r="LDT1533"/>
      <c r="LDU1533"/>
      <c r="LDV1533"/>
      <c r="LDW1533"/>
      <c r="LDX1533"/>
      <c r="LDY1533"/>
      <c r="LDZ1533"/>
      <c r="LEA1533"/>
      <c r="LEB1533"/>
      <c r="LEC1533"/>
      <c r="LED1533"/>
      <c r="LEE1533"/>
      <c r="LEF1533"/>
      <c r="LEG1533"/>
      <c r="LEH1533"/>
      <c r="LEI1533"/>
      <c r="LEJ1533"/>
      <c r="LEK1533"/>
      <c r="LEL1533"/>
      <c r="LEM1533"/>
      <c r="LEN1533"/>
      <c r="LEO1533"/>
      <c r="LEP1533"/>
      <c r="LEQ1533"/>
      <c r="LER1533"/>
      <c r="LES1533"/>
      <c r="LET1533"/>
      <c r="LEU1533"/>
      <c r="LEV1533"/>
      <c r="LEW1533"/>
      <c r="LEX1533"/>
      <c r="LEY1533"/>
      <c r="LEZ1533"/>
      <c r="LFA1533"/>
      <c r="LFB1533"/>
      <c r="LFC1533"/>
      <c r="LFD1533"/>
      <c r="LFE1533"/>
      <c r="LFF1533"/>
      <c r="LFG1533"/>
      <c r="LFH1533"/>
      <c r="LFI1533"/>
      <c r="LFJ1533"/>
      <c r="LFK1533"/>
      <c r="LFL1533"/>
      <c r="LFM1533"/>
      <c r="LFN1533"/>
      <c r="LFO1533"/>
      <c r="LFP1533"/>
      <c r="LFQ1533"/>
      <c r="LFR1533"/>
      <c r="LFS1533"/>
      <c r="LFT1533"/>
      <c r="LFU1533"/>
      <c r="LFV1533"/>
      <c r="LFW1533"/>
      <c r="LFX1533"/>
      <c r="LFY1533"/>
      <c r="LFZ1533"/>
      <c r="LGA1533"/>
      <c r="LGB1533"/>
      <c r="LGC1533"/>
      <c r="LGD1533"/>
      <c r="LGE1533"/>
      <c r="LGF1533"/>
      <c r="LGG1533"/>
      <c r="LGH1533"/>
      <c r="LGI1533"/>
      <c r="LGJ1533"/>
      <c r="LGK1533"/>
      <c r="LGL1533"/>
      <c r="LGM1533"/>
      <c r="LGN1533"/>
      <c r="LGO1533"/>
      <c r="LGP1533"/>
      <c r="LGQ1533"/>
      <c r="LGR1533"/>
      <c r="LGS1533"/>
      <c r="LGT1533"/>
      <c r="LGU1533"/>
      <c r="LGV1533"/>
      <c r="LGW1533"/>
      <c r="LGX1533"/>
      <c r="LGY1533"/>
      <c r="LGZ1533"/>
      <c r="LHA1533"/>
      <c r="LHB1533"/>
      <c r="LHC1533"/>
      <c r="LHD1533"/>
      <c r="LHE1533"/>
      <c r="LHF1533"/>
      <c r="LHG1533"/>
      <c r="LHH1533"/>
      <c r="LHI1533"/>
      <c r="LHJ1533"/>
      <c r="LHK1533"/>
      <c r="LHL1533"/>
      <c r="LHM1533"/>
      <c r="LHN1533"/>
      <c r="LHO1533"/>
      <c r="LHP1533"/>
      <c r="LHQ1533"/>
      <c r="LHR1533"/>
      <c r="LHS1533"/>
      <c r="LHT1533"/>
      <c r="LHU1533"/>
      <c r="LHV1533"/>
      <c r="LHW1533"/>
      <c r="LHX1533"/>
      <c r="LHY1533"/>
      <c r="LHZ1533"/>
      <c r="LIA1533"/>
      <c r="LIB1533"/>
      <c r="LIC1533"/>
      <c r="LID1533"/>
      <c r="LIE1533"/>
      <c r="LIF1533"/>
      <c r="LIG1533"/>
      <c r="LIH1533"/>
      <c r="LII1533"/>
      <c r="LIJ1533"/>
      <c r="LIK1533"/>
      <c r="LIL1533"/>
      <c r="LIM1533"/>
      <c r="LIN1533"/>
      <c r="LIO1533"/>
      <c r="LIP1533"/>
      <c r="LIQ1533"/>
      <c r="LIR1533"/>
      <c r="LIS1533"/>
      <c r="LIT1533"/>
      <c r="LIU1533"/>
      <c r="LIV1533"/>
      <c r="LIW1533"/>
      <c r="LIX1533"/>
      <c r="LIY1533"/>
      <c r="LIZ1533"/>
      <c r="LJA1533"/>
      <c r="LJB1533"/>
      <c r="LJC1533"/>
      <c r="LJD1533"/>
      <c r="LJE1533"/>
      <c r="LJF1533"/>
      <c r="LJG1533"/>
      <c r="LJH1533"/>
      <c r="LJI1533"/>
      <c r="LJJ1533"/>
      <c r="LJK1533"/>
      <c r="LJL1533"/>
      <c r="LJM1533"/>
      <c r="LJN1533"/>
      <c r="LJO1533"/>
      <c r="LJP1533"/>
      <c r="LJQ1533"/>
      <c r="LJR1533"/>
      <c r="LJS1533"/>
      <c r="LJT1533"/>
      <c r="LJU1533"/>
      <c r="LJV1533"/>
      <c r="LJW1533"/>
      <c r="LJX1533"/>
      <c r="LJY1533"/>
      <c r="LJZ1533"/>
      <c r="LKA1533"/>
      <c r="LKB1533"/>
      <c r="LKC1533"/>
      <c r="LKD1533"/>
      <c r="LKE1533"/>
      <c r="LKF1533"/>
      <c r="LKG1533"/>
      <c r="LKH1533"/>
      <c r="LKI1533"/>
      <c r="LKJ1533"/>
      <c r="LKK1533"/>
      <c r="LKL1533"/>
      <c r="LKM1533"/>
      <c r="LKN1533"/>
      <c r="LKO1533"/>
      <c r="LKP1533"/>
      <c r="LKQ1533"/>
      <c r="LKR1533"/>
      <c r="LKS1533"/>
      <c r="LKT1533"/>
      <c r="LKU1533"/>
      <c r="LKV1533"/>
      <c r="LKW1533"/>
      <c r="LKX1533"/>
      <c r="LKY1533"/>
      <c r="LKZ1533"/>
      <c r="LLA1533"/>
      <c r="LLB1533"/>
      <c r="LLC1533"/>
      <c r="LLD1533"/>
      <c r="LLE1533"/>
      <c r="LLF1533"/>
      <c r="LLG1533"/>
      <c r="LLH1533"/>
      <c r="LLI1533"/>
      <c r="LLJ1533"/>
      <c r="LLK1533"/>
      <c r="LLL1533"/>
      <c r="LLM1533"/>
      <c r="LLN1533"/>
      <c r="LLO1533"/>
      <c r="LLP1533"/>
      <c r="LLQ1533"/>
      <c r="LLR1533"/>
      <c r="LLS1533"/>
      <c r="LLT1533"/>
      <c r="LLU1533"/>
      <c r="LLV1533"/>
      <c r="LLW1533"/>
      <c r="LLX1533"/>
      <c r="LLY1533"/>
      <c r="LLZ1533"/>
      <c r="LMA1533"/>
      <c r="LMB1533"/>
      <c r="LMC1533"/>
      <c r="LMD1533"/>
      <c r="LME1533"/>
      <c r="LMF1533"/>
      <c r="LMG1533"/>
      <c r="LMH1533"/>
      <c r="LMI1533"/>
      <c r="LMJ1533"/>
      <c r="LMK1533"/>
      <c r="LML1533"/>
      <c r="LMM1533"/>
      <c r="LMN1533"/>
      <c r="LMO1533"/>
      <c r="LMP1533"/>
      <c r="LMQ1533"/>
      <c r="LMR1533"/>
      <c r="LMS1533"/>
      <c r="LMT1533"/>
      <c r="LMU1533"/>
      <c r="LMV1533"/>
      <c r="LMW1533"/>
      <c r="LMX1533"/>
      <c r="LMY1533"/>
      <c r="LMZ1533"/>
      <c r="LNA1533"/>
      <c r="LNB1533"/>
      <c r="LNC1533"/>
      <c r="LND1533"/>
      <c r="LNE1533"/>
      <c r="LNF1533"/>
      <c r="LNG1533"/>
      <c r="LNH1533"/>
      <c r="LNI1533"/>
      <c r="LNJ1533"/>
      <c r="LNK1533"/>
      <c r="LNL1533"/>
      <c r="LNM1533"/>
      <c r="LNN1533"/>
      <c r="LNO1533"/>
      <c r="LNP1533"/>
      <c r="LNQ1533"/>
      <c r="LNR1533"/>
      <c r="LNS1533"/>
      <c r="LNT1533"/>
      <c r="LNU1533"/>
      <c r="LNV1533"/>
      <c r="LNW1533"/>
      <c r="LNX1533"/>
      <c r="LNY1533"/>
      <c r="LNZ1533"/>
      <c r="LOA1533"/>
      <c r="LOB1533"/>
      <c r="LOC1533"/>
      <c r="LOD1533"/>
      <c r="LOE1533"/>
      <c r="LOF1533"/>
      <c r="LOG1533"/>
      <c r="LOH1533"/>
      <c r="LOI1533"/>
      <c r="LOJ1533"/>
      <c r="LOK1533"/>
      <c r="LOL1533"/>
      <c r="LOM1533"/>
      <c r="LON1533"/>
      <c r="LOO1533"/>
      <c r="LOP1533"/>
      <c r="LOQ1533"/>
      <c r="LOR1533"/>
      <c r="LOS1533"/>
      <c r="LOT1533"/>
      <c r="LOU1533"/>
      <c r="LOV1533"/>
      <c r="LOW1533"/>
      <c r="LOX1533"/>
      <c r="LOY1533"/>
      <c r="LOZ1533"/>
      <c r="LPA1533"/>
      <c r="LPB1533"/>
      <c r="LPC1533"/>
      <c r="LPD1533"/>
      <c r="LPE1533"/>
      <c r="LPF1533"/>
      <c r="LPG1533"/>
      <c r="LPH1533"/>
      <c r="LPI1533"/>
      <c r="LPJ1533"/>
      <c r="LPK1533"/>
      <c r="LPL1533"/>
      <c r="LPM1533"/>
      <c r="LPN1533"/>
      <c r="LPO1533"/>
      <c r="LPP1533"/>
      <c r="LPQ1533"/>
      <c r="LPR1533"/>
      <c r="LPS1533"/>
      <c r="LPT1533"/>
      <c r="LPU1533"/>
      <c r="LPV1533"/>
      <c r="LPW1533"/>
      <c r="LPX1533"/>
      <c r="LPY1533"/>
      <c r="LPZ1533"/>
      <c r="LQA1533"/>
      <c r="LQB1533"/>
      <c r="LQC1533"/>
      <c r="LQD1533"/>
      <c r="LQE1533"/>
      <c r="LQF1533"/>
      <c r="LQG1533"/>
      <c r="LQH1533"/>
      <c r="LQI1533"/>
      <c r="LQJ1533"/>
      <c r="LQK1533"/>
      <c r="LQL1533"/>
      <c r="LQM1533"/>
      <c r="LQN1533"/>
      <c r="LQO1533"/>
      <c r="LQP1533"/>
      <c r="LQQ1533"/>
      <c r="LQR1533"/>
      <c r="LQS1533"/>
      <c r="LQT1533"/>
      <c r="LQU1533"/>
      <c r="LQV1533"/>
      <c r="LQW1533"/>
      <c r="LQX1533"/>
      <c r="LQY1533"/>
      <c r="LQZ1533"/>
      <c r="LRA1533"/>
      <c r="LRB1533"/>
      <c r="LRC1533"/>
      <c r="LRD1533"/>
      <c r="LRE1533"/>
      <c r="LRF1533"/>
      <c r="LRG1533"/>
      <c r="LRH1533"/>
      <c r="LRI1533"/>
      <c r="LRJ1533"/>
      <c r="LRK1533"/>
      <c r="LRL1533"/>
      <c r="LRM1533"/>
      <c r="LRN1533"/>
      <c r="LRO1533"/>
      <c r="LRP1533"/>
      <c r="LRQ1533"/>
      <c r="LRR1533"/>
      <c r="LRS1533"/>
      <c r="LRT1533"/>
      <c r="LRU1533"/>
      <c r="LRV1533"/>
      <c r="LRW1533"/>
      <c r="LRX1533"/>
      <c r="LRY1533"/>
      <c r="LRZ1533"/>
      <c r="LSA1533"/>
      <c r="LSB1533"/>
      <c r="LSC1533"/>
      <c r="LSD1533"/>
      <c r="LSE1533"/>
      <c r="LSF1533"/>
      <c r="LSG1533"/>
      <c r="LSH1533"/>
      <c r="LSI1533"/>
      <c r="LSJ1533"/>
      <c r="LSK1533"/>
      <c r="LSL1533"/>
      <c r="LSM1533"/>
      <c r="LSN1533"/>
      <c r="LSO1533"/>
      <c r="LSP1533"/>
      <c r="LSQ1533"/>
      <c r="LSR1533"/>
      <c r="LSS1533"/>
      <c r="LST1533"/>
      <c r="LSU1533"/>
      <c r="LSV1533"/>
      <c r="LSW1533"/>
      <c r="LSX1533"/>
      <c r="LSY1533"/>
      <c r="LSZ1533"/>
      <c r="LTA1533"/>
      <c r="LTB1533"/>
      <c r="LTC1533"/>
      <c r="LTD1533"/>
      <c r="LTE1533"/>
      <c r="LTF1533"/>
      <c r="LTG1533"/>
      <c r="LTH1533"/>
      <c r="LTI1533"/>
      <c r="LTJ1533"/>
      <c r="LTK1533"/>
      <c r="LTL1533"/>
      <c r="LTM1533"/>
      <c r="LTN1533"/>
      <c r="LTO1533"/>
      <c r="LTP1533"/>
      <c r="LTQ1533"/>
      <c r="LTR1533"/>
      <c r="LTS1533"/>
      <c r="LTT1533"/>
      <c r="LTU1533"/>
      <c r="LTV1533"/>
      <c r="LTW1533"/>
      <c r="LTX1533"/>
      <c r="LTY1533"/>
      <c r="LTZ1533"/>
      <c r="LUA1533"/>
      <c r="LUB1533"/>
      <c r="LUC1533"/>
      <c r="LUD1533"/>
      <c r="LUE1533"/>
      <c r="LUF1533"/>
      <c r="LUG1533"/>
      <c r="LUH1533"/>
      <c r="LUI1533"/>
      <c r="LUJ1533"/>
      <c r="LUK1533"/>
      <c r="LUL1533"/>
      <c r="LUM1533"/>
      <c r="LUN1533"/>
      <c r="LUO1533"/>
      <c r="LUP1533"/>
      <c r="LUQ1533"/>
      <c r="LUR1533"/>
      <c r="LUS1533"/>
      <c r="LUT1533"/>
      <c r="LUU1533"/>
      <c r="LUV1533"/>
      <c r="LUW1533"/>
      <c r="LUX1533"/>
      <c r="LUY1533"/>
      <c r="LUZ1533"/>
      <c r="LVA1533"/>
      <c r="LVB1533"/>
      <c r="LVC1533"/>
      <c r="LVD1533"/>
      <c r="LVE1533"/>
      <c r="LVF1533"/>
      <c r="LVG1533"/>
      <c r="LVH1533"/>
      <c r="LVI1533"/>
      <c r="LVJ1533"/>
      <c r="LVK1533"/>
      <c r="LVL1533"/>
      <c r="LVM1533"/>
      <c r="LVN1533"/>
      <c r="LVO1533"/>
      <c r="LVP1533"/>
      <c r="LVQ1533"/>
      <c r="LVR1533"/>
      <c r="LVS1533"/>
      <c r="LVT1533"/>
      <c r="LVU1533"/>
      <c r="LVV1533"/>
      <c r="LVW1533"/>
      <c r="LVX1533"/>
      <c r="LVY1533"/>
      <c r="LVZ1533"/>
      <c r="LWA1533"/>
      <c r="LWB1533"/>
      <c r="LWC1533"/>
      <c r="LWD1533"/>
      <c r="LWE1533"/>
      <c r="LWF1533"/>
      <c r="LWG1533"/>
      <c r="LWH1533"/>
      <c r="LWI1533"/>
      <c r="LWJ1533"/>
      <c r="LWK1533"/>
      <c r="LWL1533"/>
      <c r="LWM1533"/>
      <c r="LWN1533"/>
      <c r="LWO1533"/>
      <c r="LWP1533"/>
      <c r="LWQ1533"/>
      <c r="LWR1533"/>
      <c r="LWS1533"/>
      <c r="LWT1533"/>
      <c r="LWU1533"/>
      <c r="LWV1533"/>
      <c r="LWW1533"/>
      <c r="LWX1533"/>
      <c r="LWY1533"/>
      <c r="LWZ1533"/>
      <c r="LXA1533"/>
      <c r="LXB1533"/>
      <c r="LXC1533"/>
      <c r="LXD1533"/>
      <c r="LXE1533"/>
      <c r="LXF1533"/>
      <c r="LXG1533"/>
      <c r="LXH1533"/>
      <c r="LXI1533"/>
      <c r="LXJ1533"/>
      <c r="LXK1533"/>
      <c r="LXL1533"/>
      <c r="LXM1533"/>
      <c r="LXN1533"/>
      <c r="LXO1533"/>
      <c r="LXP1533"/>
      <c r="LXQ1533"/>
      <c r="LXR1533"/>
      <c r="LXS1533"/>
      <c r="LXT1533"/>
      <c r="LXU1533"/>
      <c r="LXV1533"/>
      <c r="LXW1533"/>
      <c r="LXX1533"/>
      <c r="LXY1533"/>
      <c r="LXZ1533"/>
      <c r="LYA1533"/>
      <c r="LYB1533"/>
      <c r="LYC1533"/>
      <c r="LYD1533"/>
      <c r="LYE1533"/>
      <c r="LYF1533"/>
      <c r="LYG1533"/>
      <c r="LYH1533"/>
      <c r="LYI1533"/>
      <c r="LYJ1533"/>
      <c r="LYK1533"/>
      <c r="LYL1533"/>
      <c r="LYM1533"/>
      <c r="LYN1533"/>
      <c r="LYO1533"/>
      <c r="LYP1533"/>
      <c r="LYQ1533"/>
      <c r="LYR1533"/>
      <c r="LYS1533"/>
      <c r="LYT1533"/>
      <c r="LYU1533"/>
      <c r="LYV1533"/>
      <c r="LYW1533"/>
      <c r="LYX1533"/>
      <c r="LYY1533"/>
      <c r="LYZ1533"/>
      <c r="LZA1533"/>
      <c r="LZB1533"/>
      <c r="LZC1533"/>
      <c r="LZD1533"/>
      <c r="LZE1533"/>
      <c r="LZF1533"/>
      <c r="LZG1533"/>
      <c r="LZH1533"/>
      <c r="LZI1533"/>
      <c r="LZJ1533"/>
      <c r="LZK1533"/>
      <c r="LZL1533"/>
      <c r="LZM1533"/>
      <c r="LZN1533"/>
      <c r="LZO1533"/>
      <c r="LZP1533"/>
      <c r="LZQ1533"/>
      <c r="LZR1533"/>
      <c r="LZS1533"/>
      <c r="LZT1533"/>
      <c r="LZU1533"/>
      <c r="LZV1533"/>
      <c r="LZW1533"/>
      <c r="LZX1533"/>
      <c r="LZY1533"/>
      <c r="LZZ1533"/>
      <c r="MAA1533"/>
      <c r="MAB1533"/>
      <c r="MAC1533"/>
      <c r="MAD1533"/>
      <c r="MAE1533"/>
      <c r="MAF1533"/>
      <c r="MAG1533"/>
      <c r="MAH1533"/>
      <c r="MAI1533"/>
      <c r="MAJ1533"/>
      <c r="MAK1533"/>
      <c r="MAL1533"/>
      <c r="MAM1533"/>
      <c r="MAN1533"/>
      <c r="MAO1533"/>
      <c r="MAP1533"/>
      <c r="MAQ1533"/>
      <c r="MAR1533"/>
      <c r="MAS1533"/>
      <c r="MAT1533"/>
      <c r="MAU1533"/>
      <c r="MAV1533"/>
      <c r="MAW1533"/>
      <c r="MAX1533"/>
      <c r="MAY1533"/>
      <c r="MAZ1533"/>
      <c r="MBA1533"/>
      <c r="MBB1533"/>
      <c r="MBC1533"/>
      <c r="MBD1533"/>
      <c r="MBE1533"/>
      <c r="MBF1533"/>
      <c r="MBG1533"/>
      <c r="MBH1533"/>
      <c r="MBI1533"/>
      <c r="MBJ1533"/>
      <c r="MBK1533"/>
      <c r="MBL1533"/>
      <c r="MBM1533"/>
      <c r="MBN1533"/>
      <c r="MBO1533"/>
      <c r="MBP1533"/>
      <c r="MBQ1533"/>
      <c r="MBR1533"/>
      <c r="MBS1533"/>
      <c r="MBT1533"/>
      <c r="MBU1533"/>
      <c r="MBV1533"/>
      <c r="MBW1533"/>
      <c r="MBX1533"/>
      <c r="MBY1533"/>
      <c r="MBZ1533"/>
      <c r="MCA1533"/>
      <c r="MCB1533"/>
      <c r="MCC1533"/>
      <c r="MCD1533"/>
      <c r="MCE1533"/>
      <c r="MCF1533"/>
      <c r="MCG1533"/>
      <c r="MCH1533"/>
      <c r="MCI1533"/>
      <c r="MCJ1533"/>
      <c r="MCK1533"/>
      <c r="MCL1533"/>
      <c r="MCM1533"/>
      <c r="MCN1533"/>
      <c r="MCO1533"/>
      <c r="MCP1533"/>
      <c r="MCQ1533"/>
      <c r="MCR1533"/>
      <c r="MCS1533"/>
      <c r="MCT1533"/>
      <c r="MCU1533"/>
      <c r="MCV1533"/>
      <c r="MCW1533"/>
      <c r="MCX1533"/>
      <c r="MCY1533"/>
      <c r="MCZ1533"/>
      <c r="MDA1533"/>
      <c r="MDB1533"/>
      <c r="MDC1533"/>
      <c r="MDD1533"/>
      <c r="MDE1533"/>
      <c r="MDF1533"/>
      <c r="MDG1533"/>
      <c r="MDH1533"/>
      <c r="MDI1533"/>
      <c r="MDJ1533"/>
      <c r="MDK1533"/>
      <c r="MDL1533"/>
      <c r="MDM1533"/>
      <c r="MDN1533"/>
      <c r="MDO1533"/>
      <c r="MDP1533"/>
      <c r="MDQ1533"/>
      <c r="MDR1533"/>
      <c r="MDS1533"/>
      <c r="MDT1533"/>
      <c r="MDU1533"/>
      <c r="MDV1533"/>
      <c r="MDW1533"/>
      <c r="MDX1533"/>
      <c r="MDY1533"/>
      <c r="MDZ1533"/>
      <c r="MEA1533"/>
      <c r="MEB1533"/>
      <c r="MEC1533"/>
      <c r="MED1533"/>
      <c r="MEE1533"/>
      <c r="MEF1533"/>
      <c r="MEG1533"/>
      <c r="MEH1533"/>
      <c r="MEI1533"/>
      <c r="MEJ1533"/>
      <c r="MEK1533"/>
      <c r="MEL1533"/>
      <c r="MEM1533"/>
      <c r="MEN1533"/>
      <c r="MEO1533"/>
      <c r="MEP1533"/>
      <c r="MEQ1533"/>
      <c r="MER1533"/>
      <c r="MES1533"/>
      <c r="MET1533"/>
      <c r="MEU1533"/>
      <c r="MEV1533"/>
      <c r="MEW1533"/>
      <c r="MEX1533"/>
      <c r="MEY1533"/>
      <c r="MEZ1533"/>
      <c r="MFA1533"/>
      <c r="MFB1533"/>
      <c r="MFC1533"/>
      <c r="MFD1533"/>
      <c r="MFE1533"/>
      <c r="MFF1533"/>
      <c r="MFG1533"/>
      <c r="MFH1533"/>
      <c r="MFI1533"/>
      <c r="MFJ1533"/>
      <c r="MFK1533"/>
      <c r="MFL1533"/>
      <c r="MFM1533"/>
      <c r="MFN1533"/>
      <c r="MFO1533"/>
      <c r="MFP1533"/>
      <c r="MFQ1533"/>
      <c r="MFR1533"/>
      <c r="MFS1533"/>
      <c r="MFT1533"/>
      <c r="MFU1533"/>
      <c r="MFV1533"/>
      <c r="MFW1533"/>
      <c r="MFX1533"/>
      <c r="MFY1533"/>
      <c r="MFZ1533"/>
      <c r="MGA1533"/>
      <c r="MGB1533"/>
      <c r="MGC1533"/>
      <c r="MGD1533"/>
      <c r="MGE1533"/>
      <c r="MGF1533"/>
      <c r="MGG1533"/>
      <c r="MGH1533"/>
      <c r="MGI1533"/>
      <c r="MGJ1533"/>
      <c r="MGK1533"/>
      <c r="MGL1533"/>
      <c r="MGM1533"/>
      <c r="MGN1533"/>
      <c r="MGO1533"/>
      <c r="MGP1533"/>
      <c r="MGQ1533"/>
      <c r="MGR1533"/>
      <c r="MGS1533"/>
      <c r="MGT1533"/>
      <c r="MGU1533"/>
      <c r="MGV1533"/>
      <c r="MGW1533"/>
      <c r="MGX1533"/>
      <c r="MGY1533"/>
      <c r="MGZ1533"/>
      <c r="MHA1533"/>
      <c r="MHB1533"/>
      <c r="MHC1533"/>
      <c r="MHD1533"/>
      <c r="MHE1533"/>
      <c r="MHF1533"/>
      <c r="MHG1533"/>
      <c r="MHH1533"/>
      <c r="MHI1533"/>
      <c r="MHJ1533"/>
      <c r="MHK1533"/>
      <c r="MHL1533"/>
      <c r="MHM1533"/>
      <c r="MHN1533"/>
      <c r="MHO1533"/>
      <c r="MHP1533"/>
      <c r="MHQ1533"/>
      <c r="MHR1533"/>
      <c r="MHS1533"/>
      <c r="MHT1533"/>
      <c r="MHU1533"/>
      <c r="MHV1533"/>
      <c r="MHW1533"/>
      <c r="MHX1533"/>
      <c r="MHY1533"/>
      <c r="MHZ1533"/>
      <c r="MIA1533"/>
      <c r="MIB1533"/>
      <c r="MIC1533"/>
      <c r="MID1533"/>
      <c r="MIE1533"/>
      <c r="MIF1533"/>
      <c r="MIG1533"/>
      <c r="MIH1533"/>
      <c r="MII1533"/>
      <c r="MIJ1533"/>
      <c r="MIK1533"/>
      <c r="MIL1533"/>
      <c r="MIM1533"/>
      <c r="MIN1533"/>
      <c r="MIO1533"/>
      <c r="MIP1533"/>
      <c r="MIQ1533"/>
      <c r="MIR1533"/>
      <c r="MIS1533"/>
      <c r="MIT1533"/>
      <c r="MIU1533"/>
      <c r="MIV1533"/>
      <c r="MIW1533"/>
      <c r="MIX1533"/>
      <c r="MIY1533"/>
      <c r="MIZ1533"/>
      <c r="MJA1533"/>
      <c r="MJB1533"/>
      <c r="MJC1533"/>
      <c r="MJD1533"/>
      <c r="MJE1533"/>
      <c r="MJF1533"/>
      <c r="MJG1533"/>
      <c r="MJH1533"/>
      <c r="MJI1533"/>
      <c r="MJJ1533"/>
      <c r="MJK1533"/>
      <c r="MJL1533"/>
      <c r="MJM1533"/>
      <c r="MJN1533"/>
      <c r="MJO1533"/>
      <c r="MJP1533"/>
      <c r="MJQ1533"/>
      <c r="MJR1533"/>
      <c r="MJS1533"/>
      <c r="MJT1533"/>
      <c r="MJU1533"/>
      <c r="MJV1533"/>
      <c r="MJW1533"/>
      <c r="MJX1533"/>
      <c r="MJY1533"/>
      <c r="MJZ1533"/>
      <c r="MKA1533"/>
      <c r="MKB1533"/>
      <c r="MKC1533"/>
      <c r="MKD1533"/>
      <c r="MKE1533"/>
      <c r="MKF1533"/>
      <c r="MKG1533"/>
      <c r="MKH1533"/>
      <c r="MKI1533"/>
      <c r="MKJ1533"/>
      <c r="MKK1533"/>
      <c r="MKL1533"/>
      <c r="MKM1533"/>
      <c r="MKN1533"/>
      <c r="MKO1533"/>
      <c r="MKP1533"/>
      <c r="MKQ1533"/>
      <c r="MKR1533"/>
      <c r="MKS1533"/>
      <c r="MKT1533"/>
      <c r="MKU1533"/>
      <c r="MKV1533"/>
      <c r="MKW1533"/>
      <c r="MKX1533"/>
      <c r="MKY1533"/>
      <c r="MKZ1533"/>
      <c r="MLA1533"/>
      <c r="MLB1533"/>
      <c r="MLC1533"/>
      <c r="MLD1533"/>
      <c r="MLE1533"/>
      <c r="MLF1533"/>
      <c r="MLG1533"/>
      <c r="MLH1533"/>
      <c r="MLI1533"/>
      <c r="MLJ1533"/>
      <c r="MLK1533"/>
      <c r="MLL1533"/>
      <c r="MLM1533"/>
      <c r="MLN1533"/>
      <c r="MLO1533"/>
      <c r="MLP1533"/>
      <c r="MLQ1533"/>
      <c r="MLR1533"/>
      <c r="MLS1533"/>
      <c r="MLT1533"/>
      <c r="MLU1533"/>
      <c r="MLV1533"/>
      <c r="MLW1533"/>
      <c r="MLX1533"/>
      <c r="MLY1533"/>
      <c r="MLZ1533"/>
      <c r="MMA1533"/>
      <c r="MMB1533"/>
      <c r="MMC1533"/>
      <c r="MMD1533"/>
      <c r="MME1533"/>
      <c r="MMF1533"/>
      <c r="MMG1533"/>
      <c r="MMH1533"/>
      <c r="MMI1533"/>
      <c r="MMJ1533"/>
      <c r="MMK1533"/>
      <c r="MML1533"/>
      <c r="MMM1533"/>
      <c r="MMN1533"/>
      <c r="MMO1533"/>
      <c r="MMP1533"/>
      <c r="MMQ1533"/>
      <c r="MMR1533"/>
      <c r="MMS1533"/>
      <c r="MMT1533"/>
      <c r="MMU1533"/>
      <c r="MMV1533"/>
      <c r="MMW1533"/>
      <c r="MMX1533"/>
      <c r="MMY1533"/>
      <c r="MMZ1533"/>
      <c r="MNA1533"/>
      <c r="MNB1533"/>
      <c r="MNC1533"/>
      <c r="MND1533"/>
      <c r="MNE1533"/>
      <c r="MNF1533"/>
      <c r="MNG1533"/>
      <c r="MNH1533"/>
      <c r="MNI1533"/>
      <c r="MNJ1533"/>
      <c r="MNK1533"/>
      <c r="MNL1533"/>
      <c r="MNM1533"/>
      <c r="MNN1533"/>
      <c r="MNO1533"/>
      <c r="MNP1533"/>
      <c r="MNQ1533"/>
      <c r="MNR1533"/>
      <c r="MNS1533"/>
      <c r="MNT1533"/>
      <c r="MNU1533"/>
      <c r="MNV1533"/>
      <c r="MNW1533"/>
      <c r="MNX1533"/>
      <c r="MNY1533"/>
      <c r="MNZ1533"/>
      <c r="MOA1533"/>
      <c r="MOB1533"/>
      <c r="MOC1533"/>
      <c r="MOD1533"/>
      <c r="MOE1533"/>
      <c r="MOF1533"/>
      <c r="MOG1533"/>
      <c r="MOH1533"/>
      <c r="MOI1533"/>
      <c r="MOJ1533"/>
      <c r="MOK1533"/>
      <c r="MOL1533"/>
      <c r="MOM1533"/>
      <c r="MON1533"/>
      <c r="MOO1533"/>
      <c r="MOP1533"/>
      <c r="MOQ1533"/>
      <c r="MOR1533"/>
      <c r="MOS1533"/>
      <c r="MOT1533"/>
      <c r="MOU1533"/>
      <c r="MOV1533"/>
      <c r="MOW1533"/>
      <c r="MOX1533"/>
      <c r="MOY1533"/>
      <c r="MOZ1533"/>
      <c r="MPA1533"/>
      <c r="MPB1533"/>
      <c r="MPC1533"/>
      <c r="MPD1533"/>
      <c r="MPE1533"/>
      <c r="MPF1533"/>
      <c r="MPG1533"/>
      <c r="MPH1533"/>
      <c r="MPI1533"/>
      <c r="MPJ1533"/>
      <c r="MPK1533"/>
      <c r="MPL1533"/>
      <c r="MPM1533"/>
      <c r="MPN1533"/>
      <c r="MPO1533"/>
      <c r="MPP1533"/>
      <c r="MPQ1533"/>
      <c r="MPR1533"/>
      <c r="MPS1533"/>
      <c r="MPT1533"/>
      <c r="MPU1533"/>
      <c r="MPV1533"/>
      <c r="MPW1533"/>
      <c r="MPX1533"/>
      <c r="MPY1533"/>
      <c r="MPZ1533"/>
      <c r="MQA1533"/>
      <c r="MQB1533"/>
      <c r="MQC1533"/>
      <c r="MQD1533"/>
      <c r="MQE1533"/>
      <c r="MQF1533"/>
      <c r="MQG1533"/>
      <c r="MQH1533"/>
      <c r="MQI1533"/>
      <c r="MQJ1533"/>
      <c r="MQK1533"/>
      <c r="MQL1533"/>
      <c r="MQM1533"/>
      <c r="MQN1533"/>
      <c r="MQO1533"/>
      <c r="MQP1533"/>
      <c r="MQQ1533"/>
      <c r="MQR1533"/>
      <c r="MQS1533"/>
      <c r="MQT1533"/>
      <c r="MQU1533"/>
      <c r="MQV1533"/>
      <c r="MQW1533"/>
      <c r="MQX1533"/>
      <c r="MQY1533"/>
      <c r="MQZ1533"/>
      <c r="MRA1533"/>
      <c r="MRB1533"/>
      <c r="MRC1533"/>
      <c r="MRD1533"/>
      <c r="MRE1533"/>
      <c r="MRF1533"/>
      <c r="MRG1533"/>
      <c r="MRH1533"/>
      <c r="MRI1533"/>
      <c r="MRJ1533"/>
      <c r="MRK1533"/>
      <c r="MRL1533"/>
      <c r="MRM1533"/>
      <c r="MRN1533"/>
      <c r="MRO1533"/>
      <c r="MRP1533"/>
      <c r="MRQ1533"/>
      <c r="MRR1533"/>
      <c r="MRS1533"/>
      <c r="MRT1533"/>
      <c r="MRU1533"/>
      <c r="MRV1533"/>
      <c r="MRW1533"/>
      <c r="MRX1533"/>
      <c r="MRY1533"/>
      <c r="MRZ1533"/>
      <c r="MSA1533"/>
      <c r="MSB1533"/>
      <c r="MSC1533"/>
      <c r="MSD1533"/>
      <c r="MSE1533"/>
      <c r="MSF1533"/>
      <c r="MSG1533"/>
      <c r="MSH1533"/>
      <c r="MSI1533"/>
      <c r="MSJ1533"/>
      <c r="MSK1533"/>
      <c r="MSL1533"/>
      <c r="MSM1533"/>
      <c r="MSN1533"/>
      <c r="MSO1533"/>
      <c r="MSP1533"/>
      <c r="MSQ1533"/>
      <c r="MSR1533"/>
      <c r="MSS1533"/>
      <c r="MST1533"/>
      <c r="MSU1533"/>
      <c r="MSV1533"/>
      <c r="MSW1533"/>
      <c r="MSX1533"/>
      <c r="MSY1533"/>
      <c r="MSZ1533"/>
      <c r="MTA1533"/>
      <c r="MTB1533"/>
      <c r="MTC1533"/>
      <c r="MTD1533"/>
      <c r="MTE1533"/>
      <c r="MTF1533"/>
      <c r="MTG1533"/>
      <c r="MTH1533"/>
      <c r="MTI1533"/>
      <c r="MTJ1533"/>
      <c r="MTK1533"/>
      <c r="MTL1533"/>
      <c r="MTM1533"/>
      <c r="MTN1533"/>
      <c r="MTO1533"/>
      <c r="MTP1533"/>
      <c r="MTQ1533"/>
      <c r="MTR1533"/>
      <c r="MTS1533"/>
      <c r="MTT1533"/>
      <c r="MTU1533"/>
      <c r="MTV1533"/>
      <c r="MTW1533"/>
      <c r="MTX1533"/>
      <c r="MTY1533"/>
      <c r="MTZ1533"/>
      <c r="MUA1533"/>
      <c r="MUB1533"/>
      <c r="MUC1533"/>
      <c r="MUD1533"/>
      <c r="MUE1533"/>
      <c r="MUF1533"/>
      <c r="MUG1533"/>
      <c r="MUH1533"/>
      <c r="MUI1533"/>
      <c r="MUJ1533"/>
      <c r="MUK1533"/>
      <c r="MUL1533"/>
      <c r="MUM1533"/>
      <c r="MUN1533"/>
      <c r="MUO1533"/>
      <c r="MUP1533"/>
      <c r="MUQ1533"/>
      <c r="MUR1533"/>
      <c r="MUS1533"/>
      <c r="MUT1533"/>
      <c r="MUU1533"/>
      <c r="MUV1533"/>
      <c r="MUW1533"/>
      <c r="MUX1533"/>
      <c r="MUY1533"/>
      <c r="MUZ1533"/>
      <c r="MVA1533"/>
      <c r="MVB1533"/>
      <c r="MVC1533"/>
      <c r="MVD1533"/>
      <c r="MVE1533"/>
      <c r="MVF1533"/>
      <c r="MVG1533"/>
      <c r="MVH1533"/>
      <c r="MVI1533"/>
      <c r="MVJ1533"/>
      <c r="MVK1533"/>
      <c r="MVL1533"/>
      <c r="MVM1533"/>
      <c r="MVN1533"/>
      <c r="MVO1533"/>
      <c r="MVP1533"/>
      <c r="MVQ1533"/>
      <c r="MVR1533"/>
      <c r="MVS1533"/>
      <c r="MVT1533"/>
      <c r="MVU1533"/>
      <c r="MVV1533"/>
      <c r="MVW1533"/>
      <c r="MVX1533"/>
      <c r="MVY1533"/>
      <c r="MVZ1533"/>
      <c r="MWA1533"/>
      <c r="MWB1533"/>
      <c r="MWC1533"/>
      <c r="MWD1533"/>
      <c r="MWE1533"/>
      <c r="MWF1533"/>
      <c r="MWG1533"/>
      <c r="MWH1533"/>
      <c r="MWI1533"/>
      <c r="MWJ1533"/>
      <c r="MWK1533"/>
      <c r="MWL1533"/>
      <c r="MWM1533"/>
      <c r="MWN1533"/>
      <c r="MWO1533"/>
      <c r="MWP1533"/>
      <c r="MWQ1533"/>
      <c r="MWR1533"/>
      <c r="MWS1533"/>
      <c r="MWT1533"/>
      <c r="MWU1533"/>
      <c r="MWV1533"/>
      <c r="MWW1533"/>
      <c r="MWX1533"/>
      <c r="MWY1533"/>
      <c r="MWZ1533"/>
      <c r="MXA1533"/>
      <c r="MXB1533"/>
      <c r="MXC1533"/>
      <c r="MXD1533"/>
      <c r="MXE1533"/>
      <c r="MXF1533"/>
      <c r="MXG1533"/>
      <c r="MXH1533"/>
      <c r="MXI1533"/>
      <c r="MXJ1533"/>
      <c r="MXK1533"/>
      <c r="MXL1533"/>
      <c r="MXM1533"/>
      <c r="MXN1533"/>
      <c r="MXO1533"/>
      <c r="MXP1533"/>
      <c r="MXQ1533"/>
      <c r="MXR1533"/>
      <c r="MXS1533"/>
      <c r="MXT1533"/>
      <c r="MXU1533"/>
      <c r="MXV1533"/>
      <c r="MXW1533"/>
      <c r="MXX1533"/>
      <c r="MXY1533"/>
      <c r="MXZ1533"/>
      <c r="MYA1533"/>
      <c r="MYB1533"/>
      <c r="MYC1533"/>
      <c r="MYD1533"/>
      <c r="MYE1533"/>
      <c r="MYF1533"/>
      <c r="MYG1533"/>
      <c r="MYH1533"/>
      <c r="MYI1533"/>
      <c r="MYJ1533"/>
      <c r="MYK1533"/>
      <c r="MYL1533"/>
      <c r="MYM1533"/>
      <c r="MYN1533"/>
      <c r="MYO1533"/>
      <c r="MYP1533"/>
      <c r="MYQ1533"/>
      <c r="MYR1533"/>
      <c r="MYS1533"/>
      <c r="MYT1533"/>
      <c r="MYU1533"/>
      <c r="MYV1533"/>
      <c r="MYW1533"/>
      <c r="MYX1533"/>
      <c r="MYY1533"/>
      <c r="MYZ1533"/>
      <c r="MZA1533"/>
      <c r="MZB1533"/>
      <c r="MZC1533"/>
      <c r="MZD1533"/>
      <c r="MZE1533"/>
      <c r="MZF1533"/>
      <c r="MZG1533"/>
      <c r="MZH1533"/>
      <c r="MZI1533"/>
      <c r="MZJ1533"/>
      <c r="MZK1533"/>
      <c r="MZL1533"/>
      <c r="MZM1533"/>
      <c r="MZN1533"/>
      <c r="MZO1533"/>
      <c r="MZP1533"/>
      <c r="MZQ1533"/>
      <c r="MZR1533"/>
      <c r="MZS1533"/>
      <c r="MZT1533"/>
      <c r="MZU1533"/>
      <c r="MZV1533"/>
      <c r="MZW1533"/>
      <c r="MZX1533"/>
      <c r="MZY1533"/>
      <c r="MZZ1533"/>
      <c r="NAA1533"/>
      <c r="NAB1533"/>
      <c r="NAC1533"/>
      <c r="NAD1533"/>
      <c r="NAE1533"/>
      <c r="NAF1533"/>
      <c r="NAG1533"/>
      <c r="NAH1533"/>
      <c r="NAI1533"/>
      <c r="NAJ1533"/>
      <c r="NAK1533"/>
      <c r="NAL1533"/>
      <c r="NAM1533"/>
      <c r="NAN1533"/>
      <c r="NAO1533"/>
      <c r="NAP1533"/>
      <c r="NAQ1533"/>
      <c r="NAR1533"/>
      <c r="NAS1533"/>
      <c r="NAT1533"/>
      <c r="NAU1533"/>
      <c r="NAV1533"/>
      <c r="NAW1533"/>
      <c r="NAX1533"/>
      <c r="NAY1533"/>
      <c r="NAZ1533"/>
      <c r="NBA1533"/>
      <c r="NBB1533"/>
      <c r="NBC1533"/>
      <c r="NBD1533"/>
      <c r="NBE1533"/>
      <c r="NBF1533"/>
      <c r="NBG1533"/>
      <c r="NBH1533"/>
      <c r="NBI1533"/>
      <c r="NBJ1533"/>
      <c r="NBK1533"/>
      <c r="NBL1533"/>
      <c r="NBM1533"/>
      <c r="NBN1533"/>
      <c r="NBO1533"/>
      <c r="NBP1533"/>
      <c r="NBQ1533"/>
      <c r="NBR1533"/>
      <c r="NBS1533"/>
      <c r="NBT1533"/>
      <c r="NBU1533"/>
      <c r="NBV1533"/>
      <c r="NBW1533"/>
      <c r="NBX1533"/>
      <c r="NBY1533"/>
      <c r="NBZ1533"/>
      <c r="NCA1533"/>
      <c r="NCB1533"/>
      <c r="NCC1533"/>
      <c r="NCD1533"/>
      <c r="NCE1533"/>
      <c r="NCF1533"/>
      <c r="NCG1533"/>
      <c r="NCH1533"/>
      <c r="NCI1533"/>
      <c r="NCJ1533"/>
      <c r="NCK1533"/>
      <c r="NCL1533"/>
      <c r="NCM1533"/>
      <c r="NCN1533"/>
      <c r="NCO1533"/>
      <c r="NCP1533"/>
      <c r="NCQ1533"/>
      <c r="NCR1533"/>
      <c r="NCS1533"/>
      <c r="NCT1533"/>
      <c r="NCU1533"/>
      <c r="NCV1533"/>
      <c r="NCW1533"/>
      <c r="NCX1533"/>
      <c r="NCY1533"/>
      <c r="NCZ1533"/>
      <c r="NDA1533"/>
      <c r="NDB1533"/>
      <c r="NDC1533"/>
      <c r="NDD1533"/>
      <c r="NDE1533"/>
      <c r="NDF1533"/>
      <c r="NDG1533"/>
      <c r="NDH1533"/>
      <c r="NDI1533"/>
      <c r="NDJ1533"/>
      <c r="NDK1533"/>
      <c r="NDL1533"/>
      <c r="NDM1533"/>
      <c r="NDN1533"/>
      <c r="NDO1533"/>
      <c r="NDP1533"/>
      <c r="NDQ1533"/>
      <c r="NDR1533"/>
      <c r="NDS1533"/>
      <c r="NDT1533"/>
      <c r="NDU1533"/>
      <c r="NDV1533"/>
      <c r="NDW1533"/>
      <c r="NDX1533"/>
      <c r="NDY1533"/>
      <c r="NDZ1533"/>
      <c r="NEA1533"/>
      <c r="NEB1533"/>
      <c r="NEC1533"/>
      <c r="NED1533"/>
      <c r="NEE1533"/>
      <c r="NEF1533"/>
      <c r="NEG1533"/>
      <c r="NEH1533"/>
      <c r="NEI1533"/>
      <c r="NEJ1533"/>
      <c r="NEK1533"/>
      <c r="NEL1533"/>
      <c r="NEM1533"/>
      <c r="NEN1533"/>
      <c r="NEO1533"/>
      <c r="NEP1533"/>
      <c r="NEQ1533"/>
      <c r="NER1533"/>
      <c r="NES1533"/>
      <c r="NET1533"/>
      <c r="NEU1533"/>
      <c r="NEV1533"/>
      <c r="NEW1533"/>
      <c r="NEX1533"/>
      <c r="NEY1533"/>
      <c r="NEZ1533"/>
      <c r="NFA1533"/>
      <c r="NFB1533"/>
      <c r="NFC1533"/>
      <c r="NFD1533"/>
      <c r="NFE1533"/>
      <c r="NFF1533"/>
      <c r="NFG1533"/>
      <c r="NFH1533"/>
      <c r="NFI1533"/>
      <c r="NFJ1533"/>
      <c r="NFK1533"/>
      <c r="NFL1533"/>
      <c r="NFM1533"/>
      <c r="NFN1533"/>
      <c r="NFO1533"/>
      <c r="NFP1533"/>
      <c r="NFQ1533"/>
      <c r="NFR1533"/>
      <c r="NFS1533"/>
      <c r="NFT1533"/>
      <c r="NFU1533"/>
      <c r="NFV1533"/>
      <c r="NFW1533"/>
      <c r="NFX1533"/>
      <c r="NFY1533"/>
      <c r="NFZ1533"/>
      <c r="NGA1533"/>
      <c r="NGB1533"/>
      <c r="NGC1533"/>
      <c r="NGD1533"/>
      <c r="NGE1533"/>
      <c r="NGF1533"/>
      <c r="NGG1533"/>
      <c r="NGH1533"/>
      <c r="NGI1533"/>
      <c r="NGJ1533"/>
      <c r="NGK1533"/>
      <c r="NGL1533"/>
      <c r="NGM1533"/>
      <c r="NGN1533"/>
      <c r="NGO1533"/>
      <c r="NGP1533"/>
      <c r="NGQ1533"/>
      <c r="NGR1533"/>
      <c r="NGS1533"/>
      <c r="NGT1533"/>
      <c r="NGU1533"/>
      <c r="NGV1533"/>
      <c r="NGW1533"/>
      <c r="NGX1533"/>
      <c r="NGY1533"/>
      <c r="NGZ1533"/>
      <c r="NHA1533"/>
      <c r="NHB1533"/>
      <c r="NHC1533"/>
      <c r="NHD1533"/>
      <c r="NHE1533"/>
      <c r="NHF1533"/>
      <c r="NHG1533"/>
      <c r="NHH1533"/>
      <c r="NHI1533"/>
      <c r="NHJ1533"/>
      <c r="NHK1533"/>
      <c r="NHL1533"/>
      <c r="NHM1533"/>
      <c r="NHN1533"/>
      <c r="NHO1533"/>
      <c r="NHP1533"/>
      <c r="NHQ1533"/>
      <c r="NHR1533"/>
      <c r="NHS1533"/>
      <c r="NHT1533"/>
      <c r="NHU1533"/>
      <c r="NHV1533"/>
      <c r="NHW1533"/>
      <c r="NHX1533"/>
      <c r="NHY1533"/>
      <c r="NHZ1533"/>
      <c r="NIA1533"/>
      <c r="NIB1533"/>
      <c r="NIC1533"/>
      <c r="NID1533"/>
      <c r="NIE1533"/>
      <c r="NIF1533"/>
      <c r="NIG1533"/>
      <c r="NIH1533"/>
      <c r="NII1533"/>
      <c r="NIJ1533"/>
      <c r="NIK1533"/>
      <c r="NIL1533"/>
      <c r="NIM1533"/>
      <c r="NIN1533"/>
      <c r="NIO1533"/>
      <c r="NIP1533"/>
      <c r="NIQ1533"/>
      <c r="NIR1533"/>
      <c r="NIS1533"/>
      <c r="NIT1533"/>
      <c r="NIU1533"/>
      <c r="NIV1533"/>
      <c r="NIW1533"/>
      <c r="NIX1533"/>
      <c r="NIY1533"/>
      <c r="NIZ1533"/>
      <c r="NJA1533"/>
      <c r="NJB1533"/>
      <c r="NJC1533"/>
      <c r="NJD1533"/>
      <c r="NJE1533"/>
      <c r="NJF1533"/>
      <c r="NJG1533"/>
      <c r="NJH1533"/>
      <c r="NJI1533"/>
      <c r="NJJ1533"/>
      <c r="NJK1533"/>
      <c r="NJL1533"/>
      <c r="NJM1533"/>
      <c r="NJN1533"/>
      <c r="NJO1533"/>
      <c r="NJP1533"/>
      <c r="NJQ1533"/>
      <c r="NJR1533"/>
      <c r="NJS1533"/>
      <c r="NJT1533"/>
      <c r="NJU1533"/>
      <c r="NJV1533"/>
      <c r="NJW1533"/>
      <c r="NJX1533"/>
      <c r="NJY1533"/>
      <c r="NJZ1533"/>
      <c r="NKA1533"/>
      <c r="NKB1533"/>
      <c r="NKC1533"/>
      <c r="NKD1533"/>
      <c r="NKE1533"/>
      <c r="NKF1533"/>
      <c r="NKG1533"/>
      <c r="NKH1533"/>
      <c r="NKI1533"/>
      <c r="NKJ1533"/>
      <c r="NKK1533"/>
      <c r="NKL1533"/>
      <c r="NKM1533"/>
      <c r="NKN1533"/>
      <c r="NKO1533"/>
      <c r="NKP1533"/>
      <c r="NKQ1533"/>
      <c r="NKR1533"/>
      <c r="NKS1533"/>
      <c r="NKT1533"/>
      <c r="NKU1533"/>
      <c r="NKV1533"/>
      <c r="NKW1533"/>
      <c r="NKX1533"/>
      <c r="NKY1533"/>
      <c r="NKZ1533"/>
      <c r="NLA1533"/>
      <c r="NLB1533"/>
      <c r="NLC1533"/>
      <c r="NLD1533"/>
      <c r="NLE1533"/>
      <c r="NLF1533"/>
      <c r="NLG1533"/>
      <c r="NLH1533"/>
      <c r="NLI1533"/>
      <c r="NLJ1533"/>
      <c r="NLK1533"/>
      <c r="NLL1533"/>
      <c r="NLM1533"/>
      <c r="NLN1533"/>
      <c r="NLO1533"/>
      <c r="NLP1533"/>
      <c r="NLQ1533"/>
      <c r="NLR1533"/>
      <c r="NLS1533"/>
      <c r="NLT1533"/>
      <c r="NLU1533"/>
      <c r="NLV1533"/>
      <c r="NLW1533"/>
      <c r="NLX1533"/>
      <c r="NLY1533"/>
      <c r="NLZ1533"/>
      <c r="NMA1533"/>
      <c r="NMB1533"/>
      <c r="NMC1533"/>
      <c r="NMD1533"/>
      <c r="NME1533"/>
      <c r="NMF1533"/>
      <c r="NMG1533"/>
      <c r="NMH1533"/>
      <c r="NMI1533"/>
      <c r="NMJ1533"/>
      <c r="NMK1533"/>
      <c r="NML1533"/>
      <c r="NMM1533"/>
      <c r="NMN1533"/>
      <c r="NMO1533"/>
      <c r="NMP1533"/>
      <c r="NMQ1533"/>
      <c r="NMR1533"/>
      <c r="NMS1533"/>
      <c r="NMT1533"/>
      <c r="NMU1533"/>
      <c r="NMV1533"/>
      <c r="NMW1533"/>
      <c r="NMX1533"/>
      <c r="NMY1533"/>
      <c r="NMZ1533"/>
      <c r="NNA1533"/>
      <c r="NNB1533"/>
      <c r="NNC1533"/>
      <c r="NND1533"/>
      <c r="NNE1533"/>
      <c r="NNF1533"/>
      <c r="NNG1533"/>
      <c r="NNH1533"/>
      <c r="NNI1533"/>
      <c r="NNJ1533"/>
      <c r="NNK1533"/>
      <c r="NNL1533"/>
      <c r="NNM1533"/>
      <c r="NNN1533"/>
      <c r="NNO1533"/>
      <c r="NNP1533"/>
      <c r="NNQ1533"/>
      <c r="NNR1533"/>
      <c r="NNS1533"/>
      <c r="NNT1533"/>
      <c r="NNU1533"/>
      <c r="NNV1533"/>
      <c r="NNW1533"/>
      <c r="NNX1533"/>
      <c r="NNY1533"/>
      <c r="NNZ1533"/>
      <c r="NOA1533"/>
      <c r="NOB1533"/>
      <c r="NOC1533"/>
      <c r="NOD1533"/>
      <c r="NOE1533"/>
      <c r="NOF1533"/>
      <c r="NOG1533"/>
      <c r="NOH1533"/>
      <c r="NOI1533"/>
      <c r="NOJ1533"/>
      <c r="NOK1533"/>
      <c r="NOL1533"/>
      <c r="NOM1533"/>
      <c r="NON1533"/>
      <c r="NOO1533"/>
      <c r="NOP1533"/>
      <c r="NOQ1533"/>
      <c r="NOR1533"/>
      <c r="NOS1533"/>
      <c r="NOT1533"/>
      <c r="NOU1533"/>
      <c r="NOV1533"/>
      <c r="NOW1533"/>
      <c r="NOX1533"/>
      <c r="NOY1533"/>
      <c r="NOZ1533"/>
      <c r="NPA1533"/>
      <c r="NPB1533"/>
      <c r="NPC1533"/>
      <c r="NPD1533"/>
      <c r="NPE1533"/>
      <c r="NPF1533"/>
      <c r="NPG1533"/>
      <c r="NPH1533"/>
      <c r="NPI1533"/>
      <c r="NPJ1533"/>
      <c r="NPK1533"/>
      <c r="NPL1533"/>
      <c r="NPM1533"/>
      <c r="NPN1533"/>
      <c r="NPO1533"/>
      <c r="NPP1533"/>
      <c r="NPQ1533"/>
      <c r="NPR1533"/>
      <c r="NPS1533"/>
      <c r="NPT1533"/>
      <c r="NPU1533"/>
      <c r="NPV1533"/>
      <c r="NPW1533"/>
      <c r="NPX1533"/>
      <c r="NPY1533"/>
      <c r="NPZ1533"/>
      <c r="NQA1533"/>
      <c r="NQB1533"/>
      <c r="NQC1533"/>
      <c r="NQD1533"/>
      <c r="NQE1533"/>
      <c r="NQF1533"/>
      <c r="NQG1533"/>
      <c r="NQH1533"/>
      <c r="NQI1533"/>
      <c r="NQJ1533"/>
      <c r="NQK1533"/>
      <c r="NQL1533"/>
      <c r="NQM1533"/>
      <c r="NQN1533"/>
      <c r="NQO1533"/>
      <c r="NQP1533"/>
      <c r="NQQ1533"/>
      <c r="NQR1533"/>
      <c r="NQS1533"/>
      <c r="NQT1533"/>
      <c r="NQU1533"/>
      <c r="NQV1533"/>
      <c r="NQW1533"/>
      <c r="NQX1533"/>
      <c r="NQY1533"/>
      <c r="NQZ1533"/>
      <c r="NRA1533"/>
      <c r="NRB1533"/>
      <c r="NRC1533"/>
      <c r="NRD1533"/>
      <c r="NRE1533"/>
      <c r="NRF1533"/>
      <c r="NRG1533"/>
      <c r="NRH1533"/>
      <c r="NRI1533"/>
      <c r="NRJ1533"/>
      <c r="NRK1533"/>
      <c r="NRL1533"/>
      <c r="NRM1533"/>
      <c r="NRN1533"/>
      <c r="NRO1533"/>
      <c r="NRP1533"/>
      <c r="NRQ1533"/>
      <c r="NRR1533"/>
      <c r="NRS1533"/>
      <c r="NRT1533"/>
      <c r="NRU1533"/>
      <c r="NRV1533"/>
      <c r="NRW1533"/>
      <c r="NRX1533"/>
      <c r="NRY1533"/>
      <c r="NRZ1533"/>
      <c r="NSA1533"/>
      <c r="NSB1533"/>
      <c r="NSC1533"/>
      <c r="NSD1533"/>
      <c r="NSE1533"/>
      <c r="NSF1533"/>
      <c r="NSG1533"/>
      <c r="NSH1533"/>
      <c r="NSI1533"/>
      <c r="NSJ1533"/>
      <c r="NSK1533"/>
      <c r="NSL1533"/>
      <c r="NSM1533"/>
      <c r="NSN1533"/>
      <c r="NSO1533"/>
      <c r="NSP1533"/>
      <c r="NSQ1533"/>
      <c r="NSR1533"/>
      <c r="NSS1533"/>
      <c r="NST1533"/>
      <c r="NSU1533"/>
      <c r="NSV1533"/>
      <c r="NSW1533"/>
      <c r="NSX1533"/>
      <c r="NSY1533"/>
      <c r="NSZ1533"/>
      <c r="NTA1533"/>
      <c r="NTB1533"/>
      <c r="NTC1533"/>
      <c r="NTD1533"/>
      <c r="NTE1533"/>
      <c r="NTF1533"/>
      <c r="NTG1533"/>
      <c r="NTH1533"/>
      <c r="NTI1533"/>
      <c r="NTJ1533"/>
      <c r="NTK1533"/>
      <c r="NTL1533"/>
      <c r="NTM1533"/>
      <c r="NTN1533"/>
      <c r="NTO1533"/>
      <c r="NTP1533"/>
      <c r="NTQ1533"/>
      <c r="NTR1533"/>
      <c r="NTS1533"/>
      <c r="NTT1533"/>
      <c r="NTU1533"/>
      <c r="NTV1533"/>
      <c r="NTW1533"/>
      <c r="NTX1533"/>
      <c r="NTY1533"/>
      <c r="NTZ1533"/>
      <c r="NUA1533"/>
      <c r="NUB1533"/>
      <c r="NUC1533"/>
      <c r="NUD1533"/>
      <c r="NUE1533"/>
      <c r="NUF1533"/>
      <c r="NUG1533"/>
      <c r="NUH1533"/>
      <c r="NUI1533"/>
      <c r="NUJ1533"/>
      <c r="NUK1533"/>
      <c r="NUL1533"/>
      <c r="NUM1533"/>
      <c r="NUN1533"/>
      <c r="NUO1533"/>
      <c r="NUP1533"/>
      <c r="NUQ1533"/>
      <c r="NUR1533"/>
      <c r="NUS1533"/>
      <c r="NUT1533"/>
      <c r="NUU1533"/>
      <c r="NUV1533"/>
      <c r="NUW1533"/>
      <c r="NUX1533"/>
      <c r="NUY1533"/>
      <c r="NUZ1533"/>
      <c r="NVA1533"/>
      <c r="NVB1533"/>
      <c r="NVC1533"/>
      <c r="NVD1533"/>
      <c r="NVE1533"/>
      <c r="NVF1533"/>
      <c r="NVG1533"/>
      <c r="NVH1533"/>
      <c r="NVI1533"/>
      <c r="NVJ1533"/>
      <c r="NVK1533"/>
      <c r="NVL1533"/>
      <c r="NVM1533"/>
      <c r="NVN1533"/>
      <c r="NVO1533"/>
      <c r="NVP1533"/>
      <c r="NVQ1533"/>
      <c r="NVR1533"/>
      <c r="NVS1533"/>
      <c r="NVT1533"/>
      <c r="NVU1533"/>
      <c r="NVV1533"/>
      <c r="NVW1533"/>
      <c r="NVX1533"/>
      <c r="NVY1533"/>
      <c r="NVZ1533"/>
      <c r="NWA1533"/>
      <c r="NWB1533"/>
      <c r="NWC1533"/>
      <c r="NWD1533"/>
      <c r="NWE1533"/>
      <c r="NWF1533"/>
      <c r="NWG1533"/>
      <c r="NWH1533"/>
      <c r="NWI1533"/>
      <c r="NWJ1533"/>
      <c r="NWK1533"/>
      <c r="NWL1533"/>
      <c r="NWM1533"/>
      <c r="NWN1533"/>
      <c r="NWO1533"/>
      <c r="NWP1533"/>
      <c r="NWQ1533"/>
      <c r="NWR1533"/>
      <c r="NWS1533"/>
      <c r="NWT1533"/>
      <c r="NWU1533"/>
      <c r="NWV1533"/>
      <c r="NWW1533"/>
      <c r="NWX1533"/>
      <c r="NWY1533"/>
      <c r="NWZ1533"/>
      <c r="NXA1533"/>
      <c r="NXB1533"/>
      <c r="NXC1533"/>
      <c r="NXD1533"/>
      <c r="NXE1533"/>
      <c r="NXF1533"/>
      <c r="NXG1533"/>
      <c r="NXH1533"/>
      <c r="NXI1533"/>
      <c r="NXJ1533"/>
      <c r="NXK1533"/>
      <c r="NXL1533"/>
      <c r="NXM1533"/>
      <c r="NXN1533"/>
      <c r="NXO1533"/>
      <c r="NXP1533"/>
      <c r="NXQ1533"/>
      <c r="NXR1533"/>
      <c r="NXS1533"/>
      <c r="NXT1533"/>
      <c r="NXU1533"/>
      <c r="NXV1533"/>
      <c r="NXW1533"/>
      <c r="NXX1533"/>
      <c r="NXY1533"/>
      <c r="NXZ1533"/>
      <c r="NYA1533"/>
      <c r="NYB1533"/>
      <c r="NYC1533"/>
      <c r="NYD1533"/>
      <c r="NYE1533"/>
      <c r="NYF1533"/>
      <c r="NYG1533"/>
      <c r="NYH1533"/>
      <c r="NYI1533"/>
      <c r="NYJ1533"/>
      <c r="NYK1533"/>
      <c r="NYL1533"/>
      <c r="NYM1533"/>
      <c r="NYN1533"/>
      <c r="NYO1533"/>
      <c r="NYP1533"/>
      <c r="NYQ1533"/>
      <c r="NYR1533"/>
      <c r="NYS1533"/>
      <c r="NYT1533"/>
      <c r="NYU1533"/>
      <c r="NYV1533"/>
      <c r="NYW1533"/>
      <c r="NYX1533"/>
      <c r="NYY1533"/>
      <c r="NYZ1533"/>
      <c r="NZA1533"/>
      <c r="NZB1533"/>
      <c r="NZC1533"/>
      <c r="NZD1533"/>
      <c r="NZE1533"/>
      <c r="NZF1533"/>
      <c r="NZG1533"/>
      <c r="NZH1533"/>
      <c r="NZI1533"/>
      <c r="NZJ1533"/>
      <c r="NZK1533"/>
      <c r="NZL1533"/>
      <c r="NZM1533"/>
      <c r="NZN1533"/>
      <c r="NZO1533"/>
      <c r="NZP1533"/>
      <c r="NZQ1533"/>
      <c r="NZR1533"/>
      <c r="NZS1533"/>
      <c r="NZT1533"/>
      <c r="NZU1533"/>
      <c r="NZV1533"/>
      <c r="NZW1533"/>
      <c r="NZX1533"/>
      <c r="NZY1533"/>
      <c r="NZZ1533"/>
      <c r="OAA1533"/>
      <c r="OAB1533"/>
      <c r="OAC1533"/>
      <c r="OAD1533"/>
      <c r="OAE1533"/>
      <c r="OAF1533"/>
      <c r="OAG1533"/>
      <c r="OAH1533"/>
      <c r="OAI1533"/>
      <c r="OAJ1533"/>
      <c r="OAK1533"/>
      <c r="OAL1533"/>
      <c r="OAM1533"/>
      <c r="OAN1533"/>
      <c r="OAO1533"/>
      <c r="OAP1533"/>
      <c r="OAQ1533"/>
      <c r="OAR1533"/>
      <c r="OAS1533"/>
      <c r="OAT1533"/>
      <c r="OAU1533"/>
      <c r="OAV1533"/>
      <c r="OAW1533"/>
      <c r="OAX1533"/>
      <c r="OAY1533"/>
      <c r="OAZ1533"/>
      <c r="OBA1533"/>
      <c r="OBB1533"/>
      <c r="OBC1533"/>
      <c r="OBD1533"/>
      <c r="OBE1533"/>
      <c r="OBF1533"/>
      <c r="OBG1533"/>
      <c r="OBH1533"/>
      <c r="OBI1533"/>
      <c r="OBJ1533"/>
      <c r="OBK1533"/>
      <c r="OBL1533"/>
      <c r="OBM1533"/>
      <c r="OBN1533"/>
      <c r="OBO1533"/>
      <c r="OBP1533"/>
      <c r="OBQ1533"/>
      <c r="OBR1533"/>
      <c r="OBS1533"/>
      <c r="OBT1533"/>
      <c r="OBU1533"/>
      <c r="OBV1533"/>
      <c r="OBW1533"/>
      <c r="OBX1533"/>
      <c r="OBY1533"/>
      <c r="OBZ1533"/>
      <c r="OCA1533"/>
      <c r="OCB1533"/>
      <c r="OCC1533"/>
      <c r="OCD1533"/>
      <c r="OCE1533"/>
      <c r="OCF1533"/>
      <c r="OCG1533"/>
      <c r="OCH1533"/>
      <c r="OCI1533"/>
      <c r="OCJ1533"/>
      <c r="OCK1533"/>
      <c r="OCL1533"/>
      <c r="OCM1533"/>
      <c r="OCN1533"/>
      <c r="OCO1533"/>
      <c r="OCP1533"/>
      <c r="OCQ1533"/>
      <c r="OCR1533"/>
      <c r="OCS1533"/>
      <c r="OCT1533"/>
      <c r="OCU1533"/>
      <c r="OCV1533"/>
      <c r="OCW1533"/>
      <c r="OCX1533"/>
      <c r="OCY1533"/>
      <c r="OCZ1533"/>
      <c r="ODA1533"/>
      <c r="ODB1533"/>
      <c r="ODC1533"/>
      <c r="ODD1533"/>
      <c r="ODE1533"/>
      <c r="ODF1533"/>
      <c r="ODG1533"/>
      <c r="ODH1533"/>
      <c r="ODI1533"/>
      <c r="ODJ1533"/>
      <c r="ODK1533"/>
      <c r="ODL1533"/>
      <c r="ODM1533"/>
      <c r="ODN1533"/>
      <c r="ODO1533"/>
      <c r="ODP1533"/>
      <c r="ODQ1533"/>
      <c r="ODR1533"/>
      <c r="ODS1533"/>
      <c r="ODT1533"/>
      <c r="ODU1533"/>
      <c r="ODV1533"/>
      <c r="ODW1533"/>
      <c r="ODX1533"/>
      <c r="ODY1533"/>
      <c r="ODZ1533"/>
      <c r="OEA1533"/>
      <c r="OEB1533"/>
      <c r="OEC1533"/>
      <c r="OED1533"/>
      <c r="OEE1533"/>
      <c r="OEF1533"/>
      <c r="OEG1533"/>
      <c r="OEH1533"/>
      <c r="OEI1533"/>
      <c r="OEJ1533"/>
      <c r="OEK1533"/>
      <c r="OEL1533"/>
      <c r="OEM1533"/>
      <c r="OEN1533"/>
      <c r="OEO1533"/>
      <c r="OEP1533"/>
      <c r="OEQ1533"/>
      <c r="OER1533"/>
      <c r="OES1533"/>
      <c r="OET1533"/>
      <c r="OEU1533"/>
      <c r="OEV1533"/>
      <c r="OEW1533"/>
      <c r="OEX1533"/>
      <c r="OEY1533"/>
      <c r="OEZ1533"/>
      <c r="OFA1533"/>
      <c r="OFB1533"/>
      <c r="OFC1533"/>
      <c r="OFD1533"/>
      <c r="OFE1533"/>
      <c r="OFF1533"/>
      <c r="OFG1533"/>
      <c r="OFH1533"/>
      <c r="OFI1533"/>
      <c r="OFJ1533"/>
      <c r="OFK1533"/>
      <c r="OFL1533"/>
      <c r="OFM1533"/>
      <c r="OFN1533"/>
      <c r="OFO1533"/>
      <c r="OFP1533"/>
      <c r="OFQ1533"/>
      <c r="OFR1533"/>
      <c r="OFS1533"/>
      <c r="OFT1533"/>
      <c r="OFU1533"/>
      <c r="OFV1533"/>
      <c r="OFW1533"/>
      <c r="OFX1533"/>
      <c r="OFY1533"/>
      <c r="OFZ1533"/>
      <c r="OGA1533"/>
      <c r="OGB1533"/>
      <c r="OGC1533"/>
      <c r="OGD1533"/>
      <c r="OGE1533"/>
      <c r="OGF1533"/>
      <c r="OGG1533"/>
      <c r="OGH1533"/>
      <c r="OGI1533"/>
      <c r="OGJ1533"/>
      <c r="OGK1533"/>
      <c r="OGL1533"/>
      <c r="OGM1533"/>
      <c r="OGN1533"/>
      <c r="OGO1533"/>
      <c r="OGP1533"/>
      <c r="OGQ1533"/>
      <c r="OGR1533"/>
      <c r="OGS1533"/>
      <c r="OGT1533"/>
      <c r="OGU1533"/>
      <c r="OGV1533"/>
      <c r="OGW1533"/>
      <c r="OGX1533"/>
      <c r="OGY1533"/>
      <c r="OGZ1533"/>
      <c r="OHA1533"/>
      <c r="OHB1533"/>
      <c r="OHC1533"/>
      <c r="OHD1533"/>
      <c r="OHE1533"/>
      <c r="OHF1533"/>
      <c r="OHG1533"/>
      <c r="OHH1533"/>
      <c r="OHI1533"/>
      <c r="OHJ1533"/>
      <c r="OHK1533"/>
      <c r="OHL1533"/>
      <c r="OHM1533"/>
      <c r="OHN1533"/>
      <c r="OHO1533"/>
      <c r="OHP1533"/>
      <c r="OHQ1533"/>
      <c r="OHR1533"/>
      <c r="OHS1533"/>
      <c r="OHT1533"/>
      <c r="OHU1533"/>
      <c r="OHV1533"/>
      <c r="OHW1533"/>
      <c r="OHX1533"/>
      <c r="OHY1533"/>
      <c r="OHZ1533"/>
      <c r="OIA1533"/>
      <c r="OIB1533"/>
      <c r="OIC1533"/>
      <c r="OID1533"/>
      <c r="OIE1533"/>
      <c r="OIF1533"/>
      <c r="OIG1533"/>
      <c r="OIH1533"/>
      <c r="OII1533"/>
      <c r="OIJ1533"/>
      <c r="OIK1533"/>
      <c r="OIL1533"/>
      <c r="OIM1533"/>
      <c r="OIN1533"/>
      <c r="OIO1533"/>
      <c r="OIP1533"/>
      <c r="OIQ1533"/>
      <c r="OIR1533"/>
      <c r="OIS1533"/>
      <c r="OIT1533"/>
      <c r="OIU1533"/>
      <c r="OIV1533"/>
      <c r="OIW1533"/>
      <c r="OIX1533"/>
      <c r="OIY1533"/>
      <c r="OIZ1533"/>
      <c r="OJA1533"/>
      <c r="OJB1533"/>
      <c r="OJC1533"/>
      <c r="OJD1533"/>
      <c r="OJE1533"/>
      <c r="OJF1533"/>
      <c r="OJG1533"/>
      <c r="OJH1533"/>
      <c r="OJI1533"/>
      <c r="OJJ1533"/>
      <c r="OJK1533"/>
      <c r="OJL1533"/>
      <c r="OJM1533"/>
      <c r="OJN1533"/>
      <c r="OJO1533"/>
      <c r="OJP1533"/>
      <c r="OJQ1533"/>
      <c r="OJR1533"/>
      <c r="OJS1533"/>
      <c r="OJT1533"/>
      <c r="OJU1533"/>
      <c r="OJV1533"/>
      <c r="OJW1533"/>
      <c r="OJX1533"/>
      <c r="OJY1533"/>
      <c r="OJZ1533"/>
      <c r="OKA1533"/>
      <c r="OKB1533"/>
      <c r="OKC1533"/>
      <c r="OKD1533"/>
      <c r="OKE1533"/>
      <c r="OKF1533"/>
      <c r="OKG1533"/>
      <c r="OKH1533"/>
      <c r="OKI1533"/>
      <c r="OKJ1533"/>
      <c r="OKK1533"/>
      <c r="OKL1533"/>
      <c r="OKM1533"/>
      <c r="OKN1533"/>
      <c r="OKO1533"/>
      <c r="OKP1533"/>
      <c r="OKQ1533"/>
      <c r="OKR1533"/>
      <c r="OKS1533"/>
      <c r="OKT1533"/>
      <c r="OKU1533"/>
      <c r="OKV1533"/>
      <c r="OKW1533"/>
      <c r="OKX1533"/>
      <c r="OKY1533"/>
      <c r="OKZ1533"/>
      <c r="OLA1533"/>
      <c r="OLB1533"/>
      <c r="OLC1533"/>
      <c r="OLD1533"/>
      <c r="OLE1533"/>
      <c r="OLF1533"/>
      <c r="OLG1533"/>
      <c r="OLH1533"/>
      <c r="OLI1533"/>
      <c r="OLJ1533"/>
      <c r="OLK1533"/>
      <c r="OLL1533"/>
      <c r="OLM1533"/>
      <c r="OLN1533"/>
      <c r="OLO1533"/>
      <c r="OLP1533"/>
      <c r="OLQ1533"/>
      <c r="OLR1533"/>
      <c r="OLS1533"/>
      <c r="OLT1533"/>
      <c r="OLU1533"/>
      <c r="OLV1533"/>
      <c r="OLW1533"/>
      <c r="OLX1533"/>
      <c r="OLY1533"/>
      <c r="OLZ1533"/>
      <c r="OMA1533"/>
      <c r="OMB1533"/>
      <c r="OMC1533"/>
      <c r="OMD1533"/>
      <c r="OME1533"/>
      <c r="OMF1533"/>
      <c r="OMG1533"/>
      <c r="OMH1533"/>
      <c r="OMI1533"/>
      <c r="OMJ1533"/>
      <c r="OMK1533"/>
      <c r="OML1533"/>
      <c r="OMM1533"/>
      <c r="OMN1533"/>
      <c r="OMO1533"/>
      <c r="OMP1533"/>
      <c r="OMQ1533"/>
      <c r="OMR1533"/>
      <c r="OMS1533"/>
      <c r="OMT1533"/>
      <c r="OMU1533"/>
      <c r="OMV1533"/>
      <c r="OMW1533"/>
      <c r="OMX1533"/>
      <c r="OMY1533"/>
      <c r="OMZ1533"/>
      <c r="ONA1533"/>
      <c r="ONB1533"/>
      <c r="ONC1533"/>
      <c r="OND1533"/>
      <c r="ONE1533"/>
      <c r="ONF1533"/>
      <c r="ONG1533"/>
      <c r="ONH1533"/>
      <c r="ONI1533"/>
      <c r="ONJ1533"/>
      <c r="ONK1533"/>
      <c r="ONL1533"/>
      <c r="ONM1533"/>
      <c r="ONN1533"/>
      <c r="ONO1533"/>
      <c r="ONP1533"/>
      <c r="ONQ1533"/>
      <c r="ONR1533"/>
      <c r="ONS1533"/>
      <c r="ONT1533"/>
      <c r="ONU1533"/>
      <c r="ONV1533"/>
      <c r="ONW1533"/>
      <c r="ONX1533"/>
      <c r="ONY1533"/>
      <c r="ONZ1533"/>
      <c r="OOA1533"/>
      <c r="OOB1533"/>
      <c r="OOC1533"/>
      <c r="OOD1533"/>
      <c r="OOE1533"/>
      <c r="OOF1533"/>
      <c r="OOG1533"/>
      <c r="OOH1533"/>
      <c r="OOI1533"/>
      <c r="OOJ1533"/>
      <c r="OOK1533"/>
      <c r="OOL1533"/>
      <c r="OOM1533"/>
      <c r="OON1533"/>
      <c r="OOO1533"/>
      <c r="OOP1533"/>
      <c r="OOQ1533"/>
      <c r="OOR1533"/>
      <c r="OOS1533"/>
      <c r="OOT1533"/>
      <c r="OOU1533"/>
      <c r="OOV1533"/>
      <c r="OOW1533"/>
      <c r="OOX1533"/>
      <c r="OOY1533"/>
      <c r="OOZ1533"/>
      <c r="OPA1533"/>
      <c r="OPB1533"/>
      <c r="OPC1533"/>
      <c r="OPD1533"/>
      <c r="OPE1533"/>
      <c r="OPF1533"/>
      <c r="OPG1533"/>
      <c r="OPH1533"/>
      <c r="OPI1533"/>
      <c r="OPJ1533"/>
      <c r="OPK1533"/>
      <c r="OPL1533"/>
      <c r="OPM1533"/>
      <c r="OPN1533"/>
      <c r="OPO1533"/>
      <c r="OPP1533"/>
      <c r="OPQ1533"/>
      <c r="OPR1533"/>
      <c r="OPS1533"/>
      <c r="OPT1533"/>
      <c r="OPU1533"/>
      <c r="OPV1533"/>
      <c r="OPW1533"/>
      <c r="OPX1533"/>
      <c r="OPY1533"/>
      <c r="OPZ1533"/>
      <c r="OQA1533"/>
      <c r="OQB1533"/>
      <c r="OQC1533"/>
      <c r="OQD1533"/>
      <c r="OQE1533"/>
      <c r="OQF1533"/>
      <c r="OQG1533"/>
      <c r="OQH1533"/>
      <c r="OQI1533"/>
      <c r="OQJ1533"/>
      <c r="OQK1533"/>
      <c r="OQL1533"/>
      <c r="OQM1533"/>
      <c r="OQN1533"/>
      <c r="OQO1533"/>
      <c r="OQP1533"/>
      <c r="OQQ1533"/>
      <c r="OQR1533"/>
      <c r="OQS1533"/>
      <c r="OQT1533"/>
      <c r="OQU1533"/>
      <c r="OQV1533"/>
      <c r="OQW1533"/>
      <c r="OQX1533"/>
      <c r="OQY1533"/>
      <c r="OQZ1533"/>
      <c r="ORA1533"/>
      <c r="ORB1533"/>
      <c r="ORC1533"/>
      <c r="ORD1533"/>
      <c r="ORE1533"/>
      <c r="ORF1533"/>
      <c r="ORG1533"/>
      <c r="ORH1533"/>
      <c r="ORI1533"/>
      <c r="ORJ1533"/>
      <c r="ORK1533"/>
      <c r="ORL1533"/>
      <c r="ORM1533"/>
      <c r="ORN1533"/>
      <c r="ORO1533"/>
      <c r="ORP1533"/>
      <c r="ORQ1533"/>
      <c r="ORR1533"/>
      <c r="ORS1533"/>
      <c r="ORT1533"/>
      <c r="ORU1533"/>
      <c r="ORV1533"/>
      <c r="ORW1533"/>
      <c r="ORX1533"/>
      <c r="ORY1533"/>
      <c r="ORZ1533"/>
      <c r="OSA1533"/>
      <c r="OSB1533"/>
      <c r="OSC1533"/>
      <c r="OSD1533"/>
      <c r="OSE1533"/>
      <c r="OSF1533"/>
      <c r="OSG1533"/>
      <c r="OSH1533"/>
      <c r="OSI1533"/>
      <c r="OSJ1533"/>
      <c r="OSK1533"/>
      <c r="OSL1533"/>
      <c r="OSM1533"/>
      <c r="OSN1533"/>
      <c r="OSO1533"/>
      <c r="OSP1533"/>
      <c r="OSQ1533"/>
      <c r="OSR1533"/>
      <c r="OSS1533"/>
      <c r="OST1533"/>
      <c r="OSU1533"/>
      <c r="OSV1533"/>
      <c r="OSW1533"/>
      <c r="OSX1533"/>
      <c r="OSY1533"/>
      <c r="OSZ1533"/>
      <c r="OTA1533"/>
      <c r="OTB1533"/>
      <c r="OTC1533"/>
      <c r="OTD1533"/>
      <c r="OTE1533"/>
      <c r="OTF1533"/>
      <c r="OTG1533"/>
      <c r="OTH1533"/>
      <c r="OTI1533"/>
      <c r="OTJ1533"/>
      <c r="OTK1533"/>
      <c r="OTL1533"/>
      <c r="OTM1533"/>
      <c r="OTN1533"/>
      <c r="OTO1533"/>
      <c r="OTP1533"/>
      <c r="OTQ1533"/>
      <c r="OTR1533"/>
      <c r="OTS1533"/>
      <c r="OTT1533"/>
      <c r="OTU1533"/>
      <c r="OTV1533"/>
      <c r="OTW1533"/>
      <c r="OTX1533"/>
      <c r="OTY1533"/>
      <c r="OTZ1533"/>
      <c r="OUA1533"/>
      <c r="OUB1533"/>
      <c r="OUC1533"/>
      <c r="OUD1533"/>
      <c r="OUE1533"/>
      <c r="OUF1533"/>
      <c r="OUG1533"/>
      <c r="OUH1533"/>
      <c r="OUI1533"/>
      <c r="OUJ1533"/>
      <c r="OUK1533"/>
      <c r="OUL1533"/>
      <c r="OUM1533"/>
      <c r="OUN1533"/>
      <c r="OUO1533"/>
      <c r="OUP1533"/>
      <c r="OUQ1533"/>
      <c r="OUR1533"/>
      <c r="OUS1533"/>
      <c r="OUT1533"/>
      <c r="OUU1533"/>
      <c r="OUV1533"/>
      <c r="OUW1533"/>
      <c r="OUX1533"/>
      <c r="OUY1533"/>
      <c r="OUZ1533"/>
      <c r="OVA1533"/>
      <c r="OVB1533"/>
      <c r="OVC1533"/>
      <c r="OVD1533"/>
      <c r="OVE1533"/>
      <c r="OVF1533"/>
      <c r="OVG1533"/>
      <c r="OVH1533"/>
      <c r="OVI1533"/>
      <c r="OVJ1533"/>
      <c r="OVK1533"/>
      <c r="OVL1533"/>
      <c r="OVM1533"/>
      <c r="OVN1533"/>
      <c r="OVO1533"/>
      <c r="OVP1533"/>
      <c r="OVQ1533"/>
      <c r="OVR1533"/>
      <c r="OVS1533"/>
      <c r="OVT1533"/>
      <c r="OVU1533"/>
      <c r="OVV1533"/>
      <c r="OVW1533"/>
      <c r="OVX1533"/>
      <c r="OVY1533"/>
      <c r="OVZ1533"/>
      <c r="OWA1533"/>
      <c r="OWB1533"/>
      <c r="OWC1533"/>
      <c r="OWD1533"/>
      <c r="OWE1533"/>
      <c r="OWF1533"/>
      <c r="OWG1533"/>
      <c r="OWH1533"/>
      <c r="OWI1533"/>
      <c r="OWJ1533"/>
      <c r="OWK1533"/>
      <c r="OWL1533"/>
      <c r="OWM1533"/>
      <c r="OWN1533"/>
      <c r="OWO1533"/>
      <c r="OWP1533"/>
      <c r="OWQ1533"/>
      <c r="OWR1533"/>
      <c r="OWS1533"/>
      <c r="OWT1533"/>
      <c r="OWU1533"/>
      <c r="OWV1533"/>
      <c r="OWW1533"/>
      <c r="OWX1533"/>
      <c r="OWY1533"/>
      <c r="OWZ1533"/>
      <c r="OXA1533"/>
      <c r="OXB1533"/>
      <c r="OXC1533"/>
      <c r="OXD1533"/>
      <c r="OXE1533"/>
      <c r="OXF1533"/>
      <c r="OXG1533"/>
      <c r="OXH1533"/>
      <c r="OXI1533"/>
      <c r="OXJ1533"/>
      <c r="OXK1533"/>
      <c r="OXL1533"/>
      <c r="OXM1533"/>
      <c r="OXN1533"/>
      <c r="OXO1533"/>
      <c r="OXP1533"/>
      <c r="OXQ1533"/>
      <c r="OXR1533"/>
      <c r="OXS1533"/>
      <c r="OXT1533"/>
      <c r="OXU1533"/>
      <c r="OXV1533"/>
      <c r="OXW1533"/>
      <c r="OXX1533"/>
      <c r="OXY1533"/>
      <c r="OXZ1533"/>
      <c r="OYA1533"/>
      <c r="OYB1533"/>
      <c r="OYC1533"/>
      <c r="OYD1533"/>
      <c r="OYE1533"/>
      <c r="OYF1533"/>
      <c r="OYG1533"/>
      <c r="OYH1533"/>
      <c r="OYI1533"/>
      <c r="OYJ1533"/>
      <c r="OYK1533"/>
      <c r="OYL1533"/>
      <c r="OYM1533"/>
      <c r="OYN1533"/>
      <c r="OYO1533"/>
      <c r="OYP1533"/>
      <c r="OYQ1533"/>
      <c r="OYR1533"/>
      <c r="OYS1533"/>
      <c r="OYT1533"/>
      <c r="OYU1533"/>
      <c r="OYV1533"/>
      <c r="OYW1533"/>
      <c r="OYX1533"/>
      <c r="OYY1533"/>
      <c r="OYZ1533"/>
      <c r="OZA1533"/>
      <c r="OZB1533"/>
      <c r="OZC1533"/>
      <c r="OZD1533"/>
      <c r="OZE1533"/>
      <c r="OZF1533"/>
      <c r="OZG1533"/>
      <c r="OZH1533"/>
      <c r="OZI1533"/>
      <c r="OZJ1533"/>
      <c r="OZK1533"/>
      <c r="OZL1533"/>
      <c r="OZM1533"/>
      <c r="OZN1533"/>
      <c r="OZO1533"/>
      <c r="OZP1533"/>
      <c r="OZQ1533"/>
      <c r="OZR1533"/>
      <c r="OZS1533"/>
      <c r="OZT1533"/>
      <c r="OZU1533"/>
      <c r="OZV1533"/>
      <c r="OZW1533"/>
      <c r="OZX1533"/>
      <c r="OZY1533"/>
      <c r="OZZ1533"/>
      <c r="PAA1533"/>
      <c r="PAB1533"/>
      <c r="PAC1533"/>
      <c r="PAD1533"/>
      <c r="PAE1533"/>
      <c r="PAF1533"/>
      <c r="PAG1533"/>
      <c r="PAH1533"/>
      <c r="PAI1533"/>
      <c r="PAJ1533"/>
      <c r="PAK1533"/>
      <c r="PAL1533"/>
      <c r="PAM1533"/>
      <c r="PAN1533"/>
      <c r="PAO1533"/>
      <c r="PAP1533"/>
      <c r="PAQ1533"/>
      <c r="PAR1533"/>
      <c r="PAS1533"/>
      <c r="PAT1533"/>
      <c r="PAU1533"/>
      <c r="PAV1533"/>
      <c r="PAW1533"/>
      <c r="PAX1533"/>
      <c r="PAY1533"/>
      <c r="PAZ1533"/>
      <c r="PBA1533"/>
      <c r="PBB1533"/>
      <c r="PBC1533"/>
      <c r="PBD1533"/>
      <c r="PBE1533"/>
      <c r="PBF1533"/>
      <c r="PBG1533"/>
      <c r="PBH1533"/>
      <c r="PBI1533"/>
      <c r="PBJ1533"/>
      <c r="PBK1533"/>
      <c r="PBL1533"/>
      <c r="PBM1533"/>
      <c r="PBN1533"/>
      <c r="PBO1533"/>
      <c r="PBP1533"/>
      <c r="PBQ1533"/>
      <c r="PBR1533"/>
      <c r="PBS1533"/>
      <c r="PBT1533"/>
      <c r="PBU1533"/>
      <c r="PBV1533"/>
      <c r="PBW1533"/>
      <c r="PBX1533"/>
      <c r="PBY1533"/>
      <c r="PBZ1533"/>
      <c r="PCA1533"/>
      <c r="PCB1533"/>
      <c r="PCC1533"/>
      <c r="PCD1533"/>
      <c r="PCE1533"/>
      <c r="PCF1533"/>
      <c r="PCG1533"/>
      <c r="PCH1533"/>
      <c r="PCI1533"/>
      <c r="PCJ1533"/>
      <c r="PCK1533"/>
      <c r="PCL1533"/>
      <c r="PCM1533"/>
      <c r="PCN1533"/>
      <c r="PCO1533"/>
      <c r="PCP1533"/>
      <c r="PCQ1533"/>
      <c r="PCR1533"/>
      <c r="PCS1533"/>
      <c r="PCT1533"/>
      <c r="PCU1533"/>
      <c r="PCV1533"/>
      <c r="PCW1533"/>
      <c r="PCX1533"/>
      <c r="PCY1533"/>
      <c r="PCZ1533"/>
      <c r="PDA1533"/>
      <c r="PDB1533"/>
      <c r="PDC1533"/>
      <c r="PDD1533"/>
      <c r="PDE1533"/>
      <c r="PDF1533"/>
      <c r="PDG1533"/>
      <c r="PDH1533"/>
      <c r="PDI1533"/>
      <c r="PDJ1533"/>
      <c r="PDK1533"/>
      <c r="PDL1533"/>
      <c r="PDM1533"/>
      <c r="PDN1533"/>
      <c r="PDO1533"/>
      <c r="PDP1533"/>
      <c r="PDQ1533"/>
      <c r="PDR1533"/>
      <c r="PDS1533"/>
      <c r="PDT1533"/>
      <c r="PDU1533"/>
      <c r="PDV1533"/>
      <c r="PDW1533"/>
      <c r="PDX1533"/>
      <c r="PDY1533"/>
      <c r="PDZ1533"/>
      <c r="PEA1533"/>
      <c r="PEB1533"/>
      <c r="PEC1533"/>
      <c r="PED1533"/>
      <c r="PEE1533"/>
      <c r="PEF1533"/>
      <c r="PEG1533"/>
      <c r="PEH1533"/>
      <c r="PEI1533"/>
      <c r="PEJ1533"/>
      <c r="PEK1533"/>
      <c r="PEL1533"/>
      <c r="PEM1533"/>
      <c r="PEN1533"/>
      <c r="PEO1533"/>
      <c r="PEP1533"/>
      <c r="PEQ1533"/>
      <c r="PER1533"/>
      <c r="PES1533"/>
      <c r="PET1533"/>
      <c r="PEU1533"/>
      <c r="PEV1533"/>
      <c r="PEW1533"/>
      <c r="PEX1533"/>
      <c r="PEY1533"/>
      <c r="PEZ1533"/>
      <c r="PFA1533"/>
      <c r="PFB1533"/>
      <c r="PFC1533"/>
      <c r="PFD1533"/>
      <c r="PFE1533"/>
      <c r="PFF1533"/>
      <c r="PFG1533"/>
      <c r="PFH1533"/>
      <c r="PFI1533"/>
      <c r="PFJ1533"/>
      <c r="PFK1533"/>
      <c r="PFL1533"/>
      <c r="PFM1533"/>
      <c r="PFN1533"/>
      <c r="PFO1533"/>
      <c r="PFP1533"/>
      <c r="PFQ1533"/>
      <c r="PFR1533"/>
      <c r="PFS1533"/>
      <c r="PFT1533"/>
      <c r="PFU1533"/>
      <c r="PFV1533"/>
      <c r="PFW1533"/>
      <c r="PFX1533"/>
      <c r="PFY1533"/>
      <c r="PFZ1533"/>
      <c r="PGA1533"/>
      <c r="PGB1533"/>
      <c r="PGC1533"/>
      <c r="PGD1533"/>
      <c r="PGE1533"/>
      <c r="PGF1533"/>
      <c r="PGG1533"/>
      <c r="PGH1533"/>
      <c r="PGI1533"/>
      <c r="PGJ1533"/>
      <c r="PGK1533"/>
      <c r="PGL1533"/>
      <c r="PGM1533"/>
      <c r="PGN1533"/>
      <c r="PGO1533"/>
      <c r="PGP1533"/>
      <c r="PGQ1533"/>
      <c r="PGR1533"/>
      <c r="PGS1533"/>
      <c r="PGT1533"/>
      <c r="PGU1533"/>
      <c r="PGV1533"/>
      <c r="PGW1533"/>
      <c r="PGX1533"/>
      <c r="PGY1533"/>
      <c r="PGZ1533"/>
      <c r="PHA1533"/>
      <c r="PHB1533"/>
      <c r="PHC1533"/>
      <c r="PHD1533"/>
      <c r="PHE1533"/>
      <c r="PHF1533"/>
      <c r="PHG1533"/>
      <c r="PHH1533"/>
      <c r="PHI1533"/>
      <c r="PHJ1533"/>
      <c r="PHK1533"/>
      <c r="PHL1533"/>
      <c r="PHM1533"/>
      <c r="PHN1533"/>
      <c r="PHO1533"/>
      <c r="PHP1533"/>
      <c r="PHQ1533"/>
      <c r="PHR1533"/>
      <c r="PHS1533"/>
      <c r="PHT1533"/>
      <c r="PHU1533"/>
      <c r="PHV1533"/>
      <c r="PHW1533"/>
      <c r="PHX1533"/>
      <c r="PHY1533"/>
      <c r="PHZ1533"/>
      <c r="PIA1533"/>
      <c r="PIB1533"/>
      <c r="PIC1533"/>
      <c r="PID1533"/>
      <c r="PIE1533"/>
      <c r="PIF1533"/>
      <c r="PIG1533"/>
      <c r="PIH1533"/>
      <c r="PII1533"/>
      <c r="PIJ1533"/>
      <c r="PIK1533"/>
      <c r="PIL1533"/>
      <c r="PIM1533"/>
      <c r="PIN1533"/>
      <c r="PIO1533"/>
      <c r="PIP1533"/>
      <c r="PIQ1533"/>
      <c r="PIR1533"/>
      <c r="PIS1533"/>
      <c r="PIT1533"/>
      <c r="PIU1533"/>
      <c r="PIV1533"/>
      <c r="PIW1533"/>
      <c r="PIX1533"/>
      <c r="PIY1533"/>
      <c r="PIZ1533"/>
      <c r="PJA1533"/>
      <c r="PJB1533"/>
      <c r="PJC1533"/>
      <c r="PJD1533"/>
      <c r="PJE1533"/>
      <c r="PJF1533"/>
      <c r="PJG1533"/>
      <c r="PJH1533"/>
      <c r="PJI1533"/>
      <c r="PJJ1533"/>
      <c r="PJK1533"/>
      <c r="PJL1533"/>
      <c r="PJM1533"/>
      <c r="PJN1533"/>
      <c r="PJO1533"/>
      <c r="PJP1533"/>
      <c r="PJQ1533"/>
      <c r="PJR1533"/>
      <c r="PJS1533"/>
      <c r="PJT1533"/>
      <c r="PJU1533"/>
      <c r="PJV1533"/>
      <c r="PJW1533"/>
      <c r="PJX1533"/>
      <c r="PJY1533"/>
      <c r="PJZ1533"/>
      <c r="PKA1533"/>
      <c r="PKB1533"/>
      <c r="PKC1533"/>
      <c r="PKD1533"/>
      <c r="PKE1533"/>
      <c r="PKF1533"/>
      <c r="PKG1533"/>
      <c r="PKH1533"/>
      <c r="PKI1533"/>
      <c r="PKJ1533"/>
      <c r="PKK1533"/>
      <c r="PKL1533"/>
      <c r="PKM1533"/>
      <c r="PKN1533"/>
      <c r="PKO1533"/>
      <c r="PKP1533"/>
      <c r="PKQ1533"/>
      <c r="PKR1533"/>
      <c r="PKS1533"/>
      <c r="PKT1533"/>
      <c r="PKU1533"/>
      <c r="PKV1533"/>
      <c r="PKW1533"/>
      <c r="PKX1533"/>
      <c r="PKY1533"/>
      <c r="PKZ1533"/>
      <c r="PLA1533"/>
      <c r="PLB1533"/>
      <c r="PLC1533"/>
      <c r="PLD1533"/>
      <c r="PLE1533"/>
      <c r="PLF1533"/>
      <c r="PLG1533"/>
      <c r="PLH1533"/>
      <c r="PLI1533"/>
      <c r="PLJ1533"/>
      <c r="PLK1533"/>
      <c r="PLL1533"/>
      <c r="PLM1533"/>
      <c r="PLN1533"/>
      <c r="PLO1533"/>
      <c r="PLP1533"/>
      <c r="PLQ1533"/>
      <c r="PLR1533"/>
      <c r="PLS1533"/>
      <c r="PLT1533"/>
      <c r="PLU1533"/>
      <c r="PLV1533"/>
      <c r="PLW1533"/>
      <c r="PLX1533"/>
      <c r="PLY1533"/>
      <c r="PLZ1533"/>
      <c r="PMA1533"/>
      <c r="PMB1533"/>
      <c r="PMC1533"/>
      <c r="PMD1533"/>
      <c r="PME1533"/>
      <c r="PMF1533"/>
      <c r="PMG1533"/>
      <c r="PMH1533"/>
      <c r="PMI1533"/>
      <c r="PMJ1533"/>
      <c r="PMK1533"/>
      <c r="PML1533"/>
      <c r="PMM1533"/>
      <c r="PMN1533"/>
      <c r="PMO1533"/>
      <c r="PMP1533"/>
      <c r="PMQ1533"/>
      <c r="PMR1533"/>
      <c r="PMS1533"/>
      <c r="PMT1533"/>
      <c r="PMU1533"/>
      <c r="PMV1533"/>
      <c r="PMW1533"/>
      <c r="PMX1533"/>
      <c r="PMY1533"/>
      <c r="PMZ1533"/>
      <c r="PNA1533"/>
      <c r="PNB1533"/>
      <c r="PNC1533"/>
      <c r="PND1533"/>
      <c r="PNE1533"/>
      <c r="PNF1533"/>
      <c r="PNG1533"/>
      <c r="PNH1533"/>
      <c r="PNI1533"/>
      <c r="PNJ1533"/>
      <c r="PNK1533"/>
      <c r="PNL1533"/>
      <c r="PNM1533"/>
      <c r="PNN1533"/>
      <c r="PNO1533"/>
      <c r="PNP1533"/>
      <c r="PNQ1533"/>
      <c r="PNR1533"/>
      <c r="PNS1533"/>
      <c r="PNT1533"/>
      <c r="PNU1533"/>
      <c r="PNV1533"/>
      <c r="PNW1533"/>
      <c r="PNX1533"/>
      <c r="PNY1533"/>
      <c r="PNZ1533"/>
      <c r="POA1533"/>
      <c r="POB1533"/>
      <c r="POC1533"/>
      <c r="POD1533"/>
      <c r="POE1533"/>
      <c r="POF1533"/>
      <c r="POG1533"/>
      <c r="POH1533"/>
      <c r="POI1533"/>
      <c r="POJ1533"/>
      <c r="POK1533"/>
      <c r="POL1533"/>
      <c r="POM1533"/>
      <c r="PON1533"/>
      <c r="POO1533"/>
      <c r="POP1533"/>
      <c r="POQ1533"/>
      <c r="POR1533"/>
      <c r="POS1533"/>
      <c r="POT1533"/>
      <c r="POU1533"/>
      <c r="POV1533"/>
      <c r="POW1533"/>
      <c r="POX1533"/>
      <c r="POY1533"/>
      <c r="POZ1533"/>
      <c r="PPA1533"/>
      <c r="PPB1533"/>
      <c r="PPC1533"/>
      <c r="PPD1533"/>
      <c r="PPE1533"/>
      <c r="PPF1533"/>
      <c r="PPG1533"/>
      <c r="PPH1533"/>
      <c r="PPI1533"/>
      <c r="PPJ1533"/>
      <c r="PPK1533"/>
      <c r="PPL1533"/>
      <c r="PPM1533"/>
      <c r="PPN1533"/>
      <c r="PPO1533"/>
      <c r="PPP1533"/>
      <c r="PPQ1533"/>
      <c r="PPR1533"/>
      <c r="PPS1533"/>
      <c r="PPT1533"/>
      <c r="PPU1533"/>
      <c r="PPV1533"/>
      <c r="PPW1533"/>
      <c r="PPX1533"/>
      <c r="PPY1533"/>
      <c r="PPZ1533"/>
      <c r="PQA1533"/>
      <c r="PQB1533"/>
      <c r="PQC1533"/>
      <c r="PQD1533"/>
      <c r="PQE1533"/>
      <c r="PQF1533"/>
      <c r="PQG1533"/>
      <c r="PQH1533"/>
      <c r="PQI1533"/>
      <c r="PQJ1533"/>
      <c r="PQK1533"/>
      <c r="PQL1533"/>
      <c r="PQM1533"/>
      <c r="PQN1533"/>
      <c r="PQO1533"/>
      <c r="PQP1533"/>
      <c r="PQQ1533"/>
      <c r="PQR1533"/>
      <c r="PQS1533"/>
      <c r="PQT1533"/>
      <c r="PQU1533"/>
      <c r="PQV1533"/>
      <c r="PQW1533"/>
      <c r="PQX1533"/>
      <c r="PQY1533"/>
      <c r="PQZ1533"/>
      <c r="PRA1533"/>
      <c r="PRB1533"/>
      <c r="PRC1533"/>
      <c r="PRD1533"/>
      <c r="PRE1533"/>
      <c r="PRF1533"/>
      <c r="PRG1533"/>
      <c r="PRH1533"/>
      <c r="PRI1533"/>
      <c r="PRJ1533"/>
      <c r="PRK1533"/>
      <c r="PRL1533"/>
      <c r="PRM1533"/>
      <c r="PRN1533"/>
      <c r="PRO1533"/>
      <c r="PRP1533"/>
      <c r="PRQ1533"/>
      <c r="PRR1533"/>
      <c r="PRS1533"/>
      <c r="PRT1533"/>
      <c r="PRU1533"/>
      <c r="PRV1533"/>
      <c r="PRW1533"/>
      <c r="PRX1533"/>
      <c r="PRY1533"/>
      <c r="PRZ1533"/>
      <c r="PSA1533"/>
      <c r="PSB1533"/>
      <c r="PSC1533"/>
      <c r="PSD1533"/>
      <c r="PSE1533"/>
      <c r="PSF1533"/>
      <c r="PSG1533"/>
      <c r="PSH1533"/>
      <c r="PSI1533"/>
      <c r="PSJ1533"/>
      <c r="PSK1533"/>
      <c r="PSL1533"/>
      <c r="PSM1533"/>
      <c r="PSN1533"/>
      <c r="PSO1533"/>
      <c r="PSP1533"/>
      <c r="PSQ1533"/>
      <c r="PSR1533"/>
      <c r="PSS1533"/>
      <c r="PST1533"/>
      <c r="PSU1533"/>
      <c r="PSV1533"/>
      <c r="PSW1533"/>
      <c r="PSX1533"/>
      <c r="PSY1533"/>
      <c r="PSZ1533"/>
      <c r="PTA1533"/>
      <c r="PTB1533"/>
      <c r="PTC1533"/>
      <c r="PTD1533"/>
      <c r="PTE1533"/>
      <c r="PTF1533"/>
      <c r="PTG1533"/>
      <c r="PTH1533"/>
      <c r="PTI1533"/>
      <c r="PTJ1533"/>
      <c r="PTK1533"/>
      <c r="PTL1533"/>
      <c r="PTM1533"/>
      <c r="PTN1533"/>
      <c r="PTO1533"/>
      <c r="PTP1533"/>
      <c r="PTQ1533"/>
      <c r="PTR1533"/>
      <c r="PTS1533"/>
      <c r="PTT1533"/>
      <c r="PTU1533"/>
      <c r="PTV1533"/>
      <c r="PTW1533"/>
      <c r="PTX1533"/>
      <c r="PTY1533"/>
      <c r="PTZ1533"/>
      <c r="PUA1533"/>
      <c r="PUB1533"/>
      <c r="PUC1533"/>
      <c r="PUD1533"/>
      <c r="PUE1533"/>
      <c r="PUF1533"/>
      <c r="PUG1533"/>
      <c r="PUH1533"/>
      <c r="PUI1533"/>
      <c r="PUJ1533"/>
      <c r="PUK1533"/>
      <c r="PUL1533"/>
      <c r="PUM1533"/>
      <c r="PUN1533"/>
      <c r="PUO1533"/>
      <c r="PUP1533"/>
      <c r="PUQ1533"/>
      <c r="PUR1533"/>
      <c r="PUS1533"/>
      <c r="PUT1533"/>
      <c r="PUU1533"/>
      <c r="PUV1533"/>
      <c r="PUW1533"/>
      <c r="PUX1533"/>
      <c r="PUY1533"/>
      <c r="PUZ1533"/>
      <c r="PVA1533"/>
      <c r="PVB1533"/>
      <c r="PVC1533"/>
      <c r="PVD1533"/>
      <c r="PVE1533"/>
      <c r="PVF1533"/>
      <c r="PVG1533"/>
      <c r="PVH1533"/>
      <c r="PVI1533"/>
      <c r="PVJ1533"/>
      <c r="PVK1533"/>
      <c r="PVL1533"/>
      <c r="PVM1533"/>
      <c r="PVN1533"/>
      <c r="PVO1533"/>
      <c r="PVP1533"/>
      <c r="PVQ1533"/>
      <c r="PVR1533"/>
      <c r="PVS1533"/>
      <c r="PVT1533"/>
      <c r="PVU1533"/>
      <c r="PVV1533"/>
      <c r="PVW1533"/>
      <c r="PVX1533"/>
      <c r="PVY1533"/>
      <c r="PVZ1533"/>
      <c r="PWA1533"/>
      <c r="PWB1533"/>
      <c r="PWC1533"/>
      <c r="PWD1533"/>
      <c r="PWE1533"/>
      <c r="PWF1533"/>
      <c r="PWG1533"/>
      <c r="PWH1533"/>
      <c r="PWI1533"/>
      <c r="PWJ1533"/>
      <c r="PWK1533"/>
      <c r="PWL1533"/>
      <c r="PWM1533"/>
      <c r="PWN1533"/>
      <c r="PWO1533"/>
      <c r="PWP1533"/>
      <c r="PWQ1533"/>
      <c r="PWR1533"/>
      <c r="PWS1533"/>
      <c r="PWT1533"/>
      <c r="PWU1533"/>
      <c r="PWV1533"/>
      <c r="PWW1533"/>
      <c r="PWX1533"/>
      <c r="PWY1533"/>
      <c r="PWZ1533"/>
      <c r="PXA1533"/>
      <c r="PXB1533"/>
      <c r="PXC1533"/>
      <c r="PXD1533"/>
      <c r="PXE1533"/>
      <c r="PXF1533"/>
      <c r="PXG1533"/>
      <c r="PXH1533"/>
      <c r="PXI1533"/>
      <c r="PXJ1533"/>
      <c r="PXK1533"/>
      <c r="PXL1533"/>
      <c r="PXM1533"/>
      <c r="PXN1533"/>
      <c r="PXO1533"/>
      <c r="PXP1533"/>
      <c r="PXQ1533"/>
      <c r="PXR1533"/>
      <c r="PXS1533"/>
      <c r="PXT1533"/>
      <c r="PXU1533"/>
      <c r="PXV1533"/>
      <c r="PXW1533"/>
      <c r="PXX1533"/>
      <c r="PXY1533"/>
      <c r="PXZ1533"/>
      <c r="PYA1533"/>
      <c r="PYB1533"/>
      <c r="PYC1533"/>
      <c r="PYD1533"/>
      <c r="PYE1533"/>
      <c r="PYF1533"/>
      <c r="PYG1533"/>
      <c r="PYH1533"/>
      <c r="PYI1533"/>
      <c r="PYJ1533"/>
      <c r="PYK1533"/>
      <c r="PYL1533"/>
      <c r="PYM1533"/>
      <c r="PYN1533"/>
      <c r="PYO1533"/>
      <c r="PYP1533"/>
      <c r="PYQ1533"/>
      <c r="PYR1533"/>
      <c r="PYS1533"/>
      <c r="PYT1533"/>
      <c r="PYU1533"/>
      <c r="PYV1533"/>
      <c r="PYW1533"/>
      <c r="PYX1533"/>
      <c r="PYY1533"/>
      <c r="PYZ1533"/>
      <c r="PZA1533"/>
      <c r="PZB1533"/>
      <c r="PZC1533"/>
      <c r="PZD1533"/>
      <c r="PZE1533"/>
      <c r="PZF1533"/>
      <c r="PZG1533"/>
      <c r="PZH1533"/>
      <c r="PZI1533"/>
      <c r="PZJ1533"/>
      <c r="PZK1533"/>
      <c r="PZL1533"/>
      <c r="PZM1533"/>
      <c r="PZN1533"/>
      <c r="PZO1533"/>
      <c r="PZP1533"/>
      <c r="PZQ1533"/>
      <c r="PZR1533"/>
      <c r="PZS1533"/>
      <c r="PZT1533"/>
      <c r="PZU1533"/>
      <c r="PZV1533"/>
      <c r="PZW1533"/>
      <c r="PZX1533"/>
      <c r="PZY1533"/>
      <c r="PZZ1533"/>
      <c r="QAA1533"/>
      <c r="QAB1533"/>
      <c r="QAC1533"/>
      <c r="QAD1533"/>
      <c r="QAE1533"/>
      <c r="QAF1533"/>
      <c r="QAG1533"/>
      <c r="QAH1533"/>
      <c r="QAI1533"/>
      <c r="QAJ1533"/>
      <c r="QAK1533"/>
      <c r="QAL1533"/>
      <c r="QAM1533"/>
      <c r="QAN1533"/>
      <c r="QAO1533"/>
      <c r="QAP1533"/>
      <c r="QAQ1533"/>
      <c r="QAR1533"/>
      <c r="QAS1533"/>
      <c r="QAT1533"/>
      <c r="QAU1533"/>
      <c r="QAV1533"/>
      <c r="QAW1533"/>
      <c r="QAX1533"/>
      <c r="QAY1533"/>
      <c r="QAZ1533"/>
      <c r="QBA1533"/>
      <c r="QBB1533"/>
      <c r="QBC1533"/>
      <c r="QBD1533"/>
      <c r="QBE1533"/>
      <c r="QBF1533"/>
      <c r="QBG1533"/>
      <c r="QBH1533"/>
      <c r="QBI1533"/>
      <c r="QBJ1533"/>
      <c r="QBK1533"/>
      <c r="QBL1533"/>
      <c r="QBM1533"/>
      <c r="QBN1533"/>
      <c r="QBO1533"/>
      <c r="QBP1533"/>
      <c r="QBQ1533"/>
      <c r="QBR1533"/>
      <c r="QBS1533"/>
      <c r="QBT1533"/>
      <c r="QBU1533"/>
      <c r="QBV1533"/>
      <c r="QBW1533"/>
      <c r="QBX1533"/>
      <c r="QBY1533"/>
      <c r="QBZ1533"/>
      <c r="QCA1533"/>
      <c r="QCB1533"/>
      <c r="QCC1533"/>
      <c r="QCD1533"/>
      <c r="QCE1533"/>
      <c r="QCF1533"/>
      <c r="QCG1533"/>
      <c r="QCH1533"/>
      <c r="QCI1533"/>
      <c r="QCJ1533"/>
      <c r="QCK1533"/>
      <c r="QCL1533"/>
      <c r="QCM1533"/>
      <c r="QCN1533"/>
      <c r="QCO1533"/>
      <c r="QCP1533"/>
      <c r="QCQ1533"/>
      <c r="QCR1533"/>
      <c r="QCS1533"/>
      <c r="QCT1533"/>
      <c r="QCU1533"/>
      <c r="QCV1533"/>
      <c r="QCW1533"/>
      <c r="QCX1533"/>
      <c r="QCY1533"/>
      <c r="QCZ1533"/>
      <c r="QDA1533"/>
      <c r="QDB1533"/>
      <c r="QDC1533"/>
      <c r="QDD1533"/>
      <c r="QDE1533"/>
      <c r="QDF1533"/>
      <c r="QDG1533"/>
      <c r="QDH1533"/>
      <c r="QDI1533"/>
      <c r="QDJ1533"/>
      <c r="QDK1533"/>
      <c r="QDL1533"/>
      <c r="QDM1533"/>
      <c r="QDN1533"/>
      <c r="QDO1533"/>
      <c r="QDP1533"/>
      <c r="QDQ1533"/>
      <c r="QDR1533"/>
      <c r="QDS1533"/>
      <c r="QDT1533"/>
      <c r="QDU1533"/>
      <c r="QDV1533"/>
      <c r="QDW1533"/>
      <c r="QDX1533"/>
      <c r="QDY1533"/>
      <c r="QDZ1533"/>
      <c r="QEA1533"/>
      <c r="QEB1533"/>
      <c r="QEC1533"/>
      <c r="QED1533"/>
      <c r="QEE1533"/>
      <c r="QEF1533"/>
      <c r="QEG1533"/>
      <c r="QEH1533"/>
      <c r="QEI1533"/>
      <c r="QEJ1533"/>
      <c r="QEK1533"/>
      <c r="QEL1533"/>
      <c r="QEM1533"/>
      <c r="QEN1533"/>
      <c r="QEO1533"/>
      <c r="QEP1533"/>
      <c r="QEQ1533"/>
      <c r="QER1533"/>
      <c r="QES1533"/>
      <c r="QET1533"/>
      <c r="QEU1533"/>
      <c r="QEV1533"/>
      <c r="QEW1533"/>
      <c r="QEX1533"/>
      <c r="QEY1533"/>
      <c r="QEZ1533"/>
      <c r="QFA1533"/>
      <c r="QFB1533"/>
      <c r="QFC1533"/>
      <c r="QFD1533"/>
      <c r="QFE1533"/>
      <c r="QFF1533"/>
      <c r="QFG1533"/>
      <c r="QFH1533"/>
      <c r="QFI1533"/>
      <c r="QFJ1533"/>
      <c r="QFK1533"/>
      <c r="QFL1533"/>
      <c r="QFM1533"/>
      <c r="QFN1533"/>
      <c r="QFO1533"/>
      <c r="QFP1533"/>
      <c r="QFQ1533"/>
      <c r="QFR1533"/>
      <c r="QFS1533"/>
      <c r="QFT1533"/>
      <c r="QFU1533"/>
      <c r="QFV1533"/>
      <c r="QFW1533"/>
      <c r="QFX1533"/>
      <c r="QFY1533"/>
      <c r="QFZ1533"/>
      <c r="QGA1533"/>
      <c r="QGB1533"/>
      <c r="QGC1533"/>
      <c r="QGD1533"/>
      <c r="QGE1533"/>
      <c r="QGF1533"/>
      <c r="QGG1533"/>
      <c r="QGH1533"/>
      <c r="QGI1533"/>
      <c r="QGJ1533"/>
      <c r="QGK1533"/>
      <c r="QGL1533"/>
      <c r="QGM1533"/>
      <c r="QGN1533"/>
      <c r="QGO1533"/>
      <c r="QGP1533"/>
      <c r="QGQ1533"/>
      <c r="QGR1533"/>
      <c r="QGS1533"/>
      <c r="QGT1533"/>
      <c r="QGU1533"/>
      <c r="QGV1533"/>
      <c r="QGW1533"/>
      <c r="QGX1533"/>
      <c r="QGY1533"/>
      <c r="QGZ1533"/>
      <c r="QHA1533"/>
      <c r="QHB1533"/>
      <c r="QHC1533"/>
      <c r="QHD1533"/>
      <c r="QHE1533"/>
      <c r="QHF1533"/>
      <c r="QHG1533"/>
      <c r="QHH1533"/>
      <c r="QHI1533"/>
      <c r="QHJ1533"/>
      <c r="QHK1533"/>
      <c r="QHL1533"/>
      <c r="QHM1533"/>
      <c r="QHN1533"/>
      <c r="QHO1533"/>
      <c r="QHP1533"/>
      <c r="QHQ1533"/>
      <c r="QHR1533"/>
      <c r="QHS1533"/>
      <c r="QHT1533"/>
      <c r="QHU1533"/>
      <c r="QHV1533"/>
      <c r="QHW1533"/>
      <c r="QHX1533"/>
      <c r="QHY1533"/>
      <c r="QHZ1533"/>
      <c r="QIA1533"/>
      <c r="QIB1533"/>
      <c r="QIC1533"/>
      <c r="QID1533"/>
      <c r="QIE1533"/>
      <c r="QIF1533"/>
      <c r="QIG1533"/>
      <c r="QIH1533"/>
      <c r="QII1533"/>
      <c r="QIJ1533"/>
      <c r="QIK1533"/>
      <c r="QIL1533"/>
      <c r="QIM1533"/>
      <c r="QIN1533"/>
      <c r="QIO1533"/>
      <c r="QIP1533"/>
      <c r="QIQ1533"/>
      <c r="QIR1533"/>
      <c r="QIS1533"/>
      <c r="QIT1533"/>
      <c r="QIU1533"/>
      <c r="QIV1533"/>
      <c r="QIW1533"/>
      <c r="QIX1533"/>
      <c r="QIY1533"/>
      <c r="QIZ1533"/>
      <c r="QJA1533"/>
      <c r="QJB1533"/>
      <c r="QJC1533"/>
      <c r="QJD1533"/>
      <c r="QJE1533"/>
      <c r="QJF1533"/>
      <c r="QJG1533"/>
      <c r="QJH1533"/>
      <c r="QJI1533"/>
      <c r="QJJ1533"/>
      <c r="QJK1533"/>
      <c r="QJL1533"/>
      <c r="QJM1533"/>
      <c r="QJN1533"/>
      <c r="QJO1533"/>
      <c r="QJP1533"/>
      <c r="QJQ1533"/>
      <c r="QJR1533"/>
      <c r="QJS1533"/>
      <c r="QJT1533"/>
      <c r="QJU1533"/>
      <c r="QJV1533"/>
      <c r="QJW1533"/>
      <c r="QJX1533"/>
      <c r="QJY1533"/>
      <c r="QJZ1533"/>
      <c r="QKA1533"/>
      <c r="QKB1533"/>
      <c r="QKC1533"/>
      <c r="QKD1533"/>
      <c r="QKE1533"/>
      <c r="QKF1533"/>
      <c r="QKG1533"/>
      <c r="QKH1533"/>
      <c r="QKI1533"/>
      <c r="QKJ1533"/>
      <c r="QKK1533"/>
      <c r="QKL1533"/>
      <c r="QKM1533"/>
      <c r="QKN1533"/>
      <c r="QKO1533"/>
      <c r="QKP1533"/>
      <c r="QKQ1533"/>
      <c r="QKR1533"/>
      <c r="QKS1533"/>
      <c r="QKT1533"/>
      <c r="QKU1533"/>
      <c r="QKV1533"/>
      <c r="QKW1533"/>
      <c r="QKX1533"/>
      <c r="QKY1533"/>
      <c r="QKZ1533"/>
      <c r="QLA1533"/>
      <c r="QLB1533"/>
      <c r="QLC1533"/>
      <c r="QLD1533"/>
      <c r="QLE1533"/>
      <c r="QLF1533"/>
      <c r="QLG1533"/>
      <c r="QLH1533"/>
      <c r="QLI1533"/>
      <c r="QLJ1533"/>
      <c r="QLK1533"/>
      <c r="QLL1533"/>
      <c r="QLM1533"/>
      <c r="QLN1533"/>
      <c r="QLO1533"/>
      <c r="QLP1533"/>
      <c r="QLQ1533"/>
      <c r="QLR1533"/>
      <c r="QLS1533"/>
      <c r="QLT1533"/>
      <c r="QLU1533"/>
      <c r="QLV1533"/>
      <c r="QLW1533"/>
      <c r="QLX1533"/>
      <c r="QLY1533"/>
      <c r="QLZ1533"/>
      <c r="QMA1533"/>
      <c r="QMB1533"/>
      <c r="QMC1533"/>
      <c r="QMD1533"/>
      <c r="QME1533"/>
      <c r="QMF1533"/>
      <c r="QMG1533"/>
      <c r="QMH1533"/>
      <c r="QMI1533"/>
      <c r="QMJ1533"/>
      <c r="QMK1533"/>
      <c r="QML1533"/>
      <c r="QMM1533"/>
      <c r="QMN1533"/>
      <c r="QMO1533"/>
      <c r="QMP1533"/>
      <c r="QMQ1533"/>
      <c r="QMR1533"/>
      <c r="QMS1533"/>
      <c r="QMT1533"/>
      <c r="QMU1533"/>
      <c r="QMV1533"/>
      <c r="QMW1533"/>
      <c r="QMX1533"/>
      <c r="QMY1533"/>
      <c r="QMZ1533"/>
      <c r="QNA1533"/>
      <c r="QNB1533"/>
      <c r="QNC1533"/>
      <c r="QND1533"/>
      <c r="QNE1533"/>
      <c r="QNF1533"/>
      <c r="QNG1533"/>
      <c r="QNH1533"/>
      <c r="QNI1533"/>
      <c r="QNJ1533"/>
      <c r="QNK1533"/>
      <c r="QNL1533"/>
      <c r="QNM1533"/>
      <c r="QNN1533"/>
      <c r="QNO1533"/>
      <c r="QNP1533"/>
      <c r="QNQ1533"/>
      <c r="QNR1533"/>
      <c r="QNS1533"/>
      <c r="QNT1533"/>
      <c r="QNU1533"/>
      <c r="QNV1533"/>
      <c r="QNW1533"/>
      <c r="QNX1533"/>
      <c r="QNY1533"/>
      <c r="QNZ1533"/>
      <c r="QOA1533"/>
      <c r="QOB1533"/>
      <c r="QOC1533"/>
      <c r="QOD1533"/>
      <c r="QOE1533"/>
      <c r="QOF1533"/>
      <c r="QOG1533"/>
      <c r="QOH1533"/>
      <c r="QOI1533"/>
      <c r="QOJ1533"/>
      <c r="QOK1533"/>
      <c r="QOL1533"/>
      <c r="QOM1533"/>
      <c r="QON1533"/>
      <c r="QOO1533"/>
      <c r="QOP1533"/>
      <c r="QOQ1533"/>
      <c r="QOR1533"/>
      <c r="QOS1533"/>
      <c r="QOT1533"/>
      <c r="QOU1533"/>
      <c r="QOV1533"/>
      <c r="QOW1533"/>
      <c r="QOX1533"/>
      <c r="QOY1533"/>
      <c r="QOZ1533"/>
      <c r="QPA1533"/>
      <c r="QPB1533"/>
      <c r="QPC1533"/>
      <c r="QPD1533"/>
      <c r="QPE1533"/>
      <c r="QPF1533"/>
      <c r="QPG1533"/>
      <c r="QPH1533"/>
      <c r="QPI1533"/>
      <c r="QPJ1533"/>
      <c r="QPK1533"/>
      <c r="QPL1533"/>
      <c r="QPM1533"/>
      <c r="QPN1533"/>
      <c r="QPO1533"/>
      <c r="QPP1533"/>
      <c r="QPQ1533"/>
      <c r="QPR1533"/>
      <c r="QPS1533"/>
      <c r="QPT1533"/>
      <c r="QPU1533"/>
      <c r="QPV1533"/>
      <c r="QPW1533"/>
      <c r="QPX1533"/>
      <c r="QPY1533"/>
      <c r="QPZ1533"/>
      <c r="QQA1533"/>
      <c r="QQB1533"/>
      <c r="QQC1533"/>
      <c r="QQD1533"/>
      <c r="QQE1533"/>
      <c r="QQF1533"/>
      <c r="QQG1533"/>
      <c r="QQH1533"/>
      <c r="QQI1533"/>
      <c r="QQJ1533"/>
      <c r="QQK1533"/>
      <c r="QQL1533"/>
      <c r="QQM1533"/>
      <c r="QQN1533"/>
      <c r="QQO1533"/>
      <c r="QQP1533"/>
      <c r="QQQ1533"/>
      <c r="QQR1533"/>
      <c r="QQS1533"/>
      <c r="QQT1533"/>
      <c r="QQU1533"/>
      <c r="QQV1533"/>
      <c r="QQW1533"/>
      <c r="QQX1533"/>
      <c r="QQY1533"/>
      <c r="QQZ1533"/>
      <c r="QRA1533"/>
      <c r="QRB1533"/>
      <c r="QRC1533"/>
      <c r="QRD1533"/>
      <c r="QRE1533"/>
      <c r="QRF1533"/>
      <c r="QRG1533"/>
      <c r="QRH1533"/>
      <c r="QRI1533"/>
      <c r="QRJ1533"/>
      <c r="QRK1533"/>
      <c r="QRL1533"/>
      <c r="QRM1533"/>
      <c r="QRN1533"/>
      <c r="QRO1533"/>
      <c r="QRP1533"/>
      <c r="QRQ1533"/>
      <c r="QRR1533"/>
      <c r="QRS1533"/>
      <c r="QRT1533"/>
      <c r="QRU1533"/>
      <c r="QRV1533"/>
      <c r="QRW1533"/>
      <c r="QRX1533"/>
      <c r="QRY1533"/>
      <c r="QRZ1533"/>
      <c r="QSA1533"/>
      <c r="QSB1533"/>
      <c r="QSC1533"/>
      <c r="QSD1533"/>
      <c r="QSE1533"/>
      <c r="QSF1533"/>
      <c r="QSG1533"/>
      <c r="QSH1533"/>
      <c r="QSI1533"/>
      <c r="QSJ1533"/>
      <c r="QSK1533"/>
      <c r="QSL1533"/>
      <c r="QSM1533"/>
      <c r="QSN1533"/>
      <c r="QSO1533"/>
      <c r="QSP1533"/>
      <c r="QSQ1533"/>
      <c r="QSR1533"/>
      <c r="QSS1533"/>
      <c r="QST1533"/>
      <c r="QSU1533"/>
      <c r="QSV1533"/>
      <c r="QSW1533"/>
      <c r="QSX1533"/>
      <c r="QSY1533"/>
      <c r="QSZ1533"/>
      <c r="QTA1533"/>
      <c r="QTB1533"/>
      <c r="QTC1533"/>
      <c r="QTD1533"/>
      <c r="QTE1533"/>
      <c r="QTF1533"/>
      <c r="QTG1533"/>
      <c r="QTH1533"/>
      <c r="QTI1533"/>
      <c r="QTJ1533"/>
      <c r="QTK1533"/>
      <c r="QTL1533"/>
      <c r="QTM1533"/>
      <c r="QTN1533"/>
      <c r="QTO1533"/>
      <c r="QTP1533"/>
      <c r="QTQ1533"/>
      <c r="QTR1533"/>
      <c r="QTS1533"/>
      <c r="QTT1533"/>
      <c r="QTU1533"/>
      <c r="QTV1533"/>
      <c r="QTW1533"/>
      <c r="QTX1533"/>
      <c r="QTY1533"/>
      <c r="QTZ1533"/>
      <c r="QUA1533"/>
      <c r="QUB1533"/>
      <c r="QUC1533"/>
      <c r="QUD1533"/>
      <c r="QUE1533"/>
      <c r="QUF1533"/>
      <c r="QUG1533"/>
      <c r="QUH1533"/>
      <c r="QUI1533"/>
      <c r="QUJ1533"/>
      <c r="QUK1533"/>
      <c r="QUL1533"/>
      <c r="QUM1533"/>
      <c r="QUN1533"/>
      <c r="QUO1533"/>
      <c r="QUP1533"/>
      <c r="QUQ1533"/>
      <c r="QUR1533"/>
      <c r="QUS1533"/>
      <c r="QUT1533"/>
      <c r="QUU1533"/>
      <c r="QUV1533"/>
      <c r="QUW1533"/>
      <c r="QUX1533"/>
      <c r="QUY1533"/>
      <c r="QUZ1533"/>
      <c r="QVA1533"/>
      <c r="QVB1533"/>
      <c r="QVC1533"/>
      <c r="QVD1533"/>
      <c r="QVE1533"/>
      <c r="QVF1533"/>
      <c r="QVG1533"/>
      <c r="QVH1533"/>
      <c r="QVI1533"/>
      <c r="QVJ1533"/>
      <c r="QVK1533"/>
      <c r="QVL1533"/>
      <c r="QVM1533"/>
      <c r="QVN1533"/>
      <c r="QVO1533"/>
      <c r="QVP1533"/>
      <c r="QVQ1533"/>
      <c r="QVR1533"/>
      <c r="QVS1533"/>
      <c r="QVT1533"/>
      <c r="QVU1533"/>
      <c r="QVV1533"/>
      <c r="QVW1533"/>
      <c r="QVX1533"/>
      <c r="QVY1533"/>
      <c r="QVZ1533"/>
      <c r="QWA1533"/>
      <c r="QWB1533"/>
      <c r="QWC1533"/>
      <c r="QWD1533"/>
      <c r="QWE1533"/>
      <c r="QWF1533"/>
      <c r="QWG1533"/>
      <c r="QWH1533"/>
      <c r="QWI1533"/>
      <c r="QWJ1533"/>
      <c r="QWK1533"/>
      <c r="QWL1533"/>
      <c r="QWM1533"/>
      <c r="QWN1533"/>
      <c r="QWO1533"/>
      <c r="QWP1533"/>
      <c r="QWQ1533"/>
      <c r="QWR1533"/>
      <c r="QWS1533"/>
      <c r="QWT1533"/>
      <c r="QWU1533"/>
      <c r="QWV1533"/>
      <c r="QWW1533"/>
      <c r="QWX1533"/>
      <c r="QWY1533"/>
      <c r="QWZ1533"/>
      <c r="QXA1533"/>
      <c r="QXB1533"/>
      <c r="QXC1533"/>
      <c r="QXD1533"/>
      <c r="QXE1533"/>
      <c r="QXF1533"/>
      <c r="QXG1533"/>
      <c r="QXH1533"/>
      <c r="QXI1533"/>
      <c r="QXJ1533"/>
      <c r="QXK1533"/>
      <c r="QXL1533"/>
      <c r="QXM1533"/>
      <c r="QXN1533"/>
      <c r="QXO1533"/>
      <c r="QXP1533"/>
      <c r="QXQ1533"/>
      <c r="QXR1533"/>
      <c r="QXS1533"/>
      <c r="QXT1533"/>
      <c r="QXU1533"/>
      <c r="QXV1533"/>
      <c r="QXW1533"/>
      <c r="QXX1533"/>
      <c r="QXY1533"/>
      <c r="QXZ1533"/>
      <c r="QYA1533"/>
      <c r="QYB1533"/>
      <c r="QYC1533"/>
      <c r="QYD1533"/>
      <c r="QYE1533"/>
      <c r="QYF1533"/>
      <c r="QYG1533"/>
      <c r="QYH1533"/>
      <c r="QYI1533"/>
      <c r="QYJ1533"/>
      <c r="QYK1533"/>
      <c r="QYL1533"/>
      <c r="QYM1533"/>
      <c r="QYN1533"/>
      <c r="QYO1533"/>
      <c r="QYP1533"/>
      <c r="QYQ1533"/>
      <c r="QYR1533"/>
      <c r="QYS1533"/>
      <c r="QYT1533"/>
      <c r="QYU1533"/>
      <c r="QYV1533"/>
      <c r="QYW1533"/>
      <c r="QYX1533"/>
      <c r="QYY1533"/>
      <c r="QYZ1533"/>
      <c r="QZA1533"/>
      <c r="QZB1533"/>
      <c r="QZC1533"/>
      <c r="QZD1533"/>
      <c r="QZE1533"/>
      <c r="QZF1533"/>
      <c r="QZG1533"/>
      <c r="QZH1533"/>
      <c r="QZI1533"/>
      <c r="QZJ1533"/>
      <c r="QZK1533"/>
      <c r="QZL1533"/>
      <c r="QZM1533"/>
      <c r="QZN1533"/>
      <c r="QZO1533"/>
      <c r="QZP1533"/>
      <c r="QZQ1533"/>
      <c r="QZR1533"/>
      <c r="QZS1533"/>
      <c r="QZT1533"/>
      <c r="QZU1533"/>
      <c r="QZV1533"/>
      <c r="QZW1533"/>
      <c r="QZX1533"/>
      <c r="QZY1533"/>
      <c r="QZZ1533"/>
      <c r="RAA1533"/>
      <c r="RAB1533"/>
      <c r="RAC1533"/>
      <c r="RAD1533"/>
      <c r="RAE1533"/>
      <c r="RAF1533"/>
      <c r="RAG1533"/>
      <c r="RAH1533"/>
      <c r="RAI1533"/>
      <c r="RAJ1533"/>
      <c r="RAK1533"/>
      <c r="RAL1533"/>
      <c r="RAM1533"/>
      <c r="RAN1533"/>
      <c r="RAO1533"/>
      <c r="RAP1533"/>
      <c r="RAQ1533"/>
      <c r="RAR1533"/>
      <c r="RAS1533"/>
      <c r="RAT1533"/>
      <c r="RAU1533"/>
      <c r="RAV1533"/>
      <c r="RAW1533"/>
      <c r="RAX1533"/>
      <c r="RAY1533"/>
      <c r="RAZ1533"/>
      <c r="RBA1533"/>
      <c r="RBB1533"/>
      <c r="RBC1533"/>
      <c r="RBD1533"/>
      <c r="RBE1533"/>
      <c r="RBF1533"/>
      <c r="RBG1533"/>
      <c r="RBH1533"/>
      <c r="RBI1533"/>
      <c r="RBJ1533"/>
      <c r="RBK1533"/>
      <c r="RBL1533"/>
      <c r="RBM1533"/>
      <c r="RBN1533"/>
      <c r="RBO1533"/>
      <c r="RBP1533"/>
      <c r="RBQ1533"/>
      <c r="RBR1533"/>
      <c r="RBS1533"/>
      <c r="RBT1533"/>
      <c r="RBU1533"/>
      <c r="RBV1533"/>
      <c r="RBW1533"/>
      <c r="RBX1533"/>
      <c r="RBY1533"/>
      <c r="RBZ1533"/>
      <c r="RCA1533"/>
      <c r="RCB1533"/>
      <c r="RCC1533"/>
      <c r="RCD1533"/>
      <c r="RCE1533"/>
      <c r="RCF1533"/>
      <c r="RCG1533"/>
      <c r="RCH1533"/>
      <c r="RCI1533"/>
      <c r="RCJ1533"/>
      <c r="RCK1533"/>
      <c r="RCL1533"/>
      <c r="RCM1533"/>
      <c r="RCN1533"/>
      <c r="RCO1533"/>
      <c r="RCP1533"/>
      <c r="RCQ1533"/>
      <c r="RCR1533"/>
      <c r="RCS1533"/>
      <c r="RCT1533"/>
      <c r="RCU1533"/>
      <c r="RCV1533"/>
      <c r="RCW1533"/>
      <c r="RCX1533"/>
      <c r="RCY1533"/>
      <c r="RCZ1533"/>
      <c r="RDA1533"/>
      <c r="RDB1533"/>
      <c r="RDC1533"/>
      <c r="RDD1533"/>
      <c r="RDE1533"/>
      <c r="RDF1533"/>
      <c r="RDG1533"/>
      <c r="RDH1533"/>
      <c r="RDI1533"/>
      <c r="RDJ1533"/>
      <c r="RDK1533"/>
      <c r="RDL1533"/>
      <c r="RDM1533"/>
      <c r="RDN1533"/>
      <c r="RDO1533"/>
      <c r="RDP1533"/>
      <c r="RDQ1533"/>
      <c r="RDR1533"/>
      <c r="RDS1533"/>
      <c r="RDT1533"/>
      <c r="RDU1533"/>
      <c r="RDV1533"/>
      <c r="RDW1533"/>
      <c r="RDX1533"/>
      <c r="RDY1533"/>
      <c r="RDZ1533"/>
      <c r="REA1533"/>
      <c r="REB1533"/>
      <c r="REC1533"/>
      <c r="RED1533"/>
      <c r="REE1533"/>
      <c r="REF1533"/>
      <c r="REG1533"/>
      <c r="REH1533"/>
      <c r="REI1533"/>
      <c r="REJ1533"/>
      <c r="REK1533"/>
      <c r="REL1533"/>
      <c r="REM1533"/>
      <c r="REN1533"/>
      <c r="REO1533"/>
      <c r="REP1533"/>
      <c r="REQ1533"/>
      <c r="RER1533"/>
      <c r="RES1533"/>
      <c r="RET1533"/>
      <c r="REU1533"/>
      <c r="REV1533"/>
      <c r="REW1533"/>
      <c r="REX1533"/>
      <c r="REY1533"/>
      <c r="REZ1533"/>
      <c r="RFA1533"/>
      <c r="RFB1533"/>
      <c r="RFC1533"/>
      <c r="RFD1533"/>
      <c r="RFE1533"/>
      <c r="RFF1533"/>
      <c r="RFG1533"/>
      <c r="RFH1533"/>
      <c r="RFI1533"/>
      <c r="RFJ1533"/>
      <c r="RFK1533"/>
      <c r="RFL1533"/>
      <c r="RFM1533"/>
      <c r="RFN1533"/>
      <c r="RFO1533"/>
      <c r="RFP1533"/>
      <c r="RFQ1533"/>
      <c r="RFR1533"/>
      <c r="RFS1533"/>
      <c r="RFT1533"/>
      <c r="RFU1533"/>
      <c r="RFV1533"/>
      <c r="RFW1533"/>
      <c r="RFX1533"/>
      <c r="RFY1533"/>
      <c r="RFZ1533"/>
      <c r="RGA1533"/>
      <c r="RGB1533"/>
      <c r="RGC1533"/>
      <c r="RGD1533"/>
      <c r="RGE1533"/>
      <c r="RGF1533"/>
      <c r="RGG1533"/>
      <c r="RGH1533"/>
      <c r="RGI1533"/>
      <c r="RGJ1533"/>
      <c r="RGK1533"/>
      <c r="RGL1533"/>
      <c r="RGM1533"/>
      <c r="RGN1533"/>
      <c r="RGO1533"/>
      <c r="RGP1533"/>
      <c r="RGQ1533"/>
      <c r="RGR1533"/>
      <c r="RGS1533"/>
      <c r="RGT1533"/>
      <c r="RGU1533"/>
      <c r="RGV1533"/>
      <c r="RGW1533"/>
      <c r="RGX1533"/>
      <c r="RGY1533"/>
      <c r="RGZ1533"/>
      <c r="RHA1533"/>
      <c r="RHB1533"/>
      <c r="RHC1533"/>
      <c r="RHD1533"/>
      <c r="RHE1533"/>
      <c r="RHF1533"/>
      <c r="RHG1533"/>
      <c r="RHH1533"/>
      <c r="RHI1533"/>
      <c r="RHJ1533"/>
      <c r="RHK1533"/>
      <c r="RHL1533"/>
      <c r="RHM1533"/>
      <c r="RHN1533"/>
      <c r="RHO1533"/>
      <c r="RHP1533"/>
      <c r="RHQ1533"/>
      <c r="RHR1533"/>
      <c r="RHS1533"/>
      <c r="RHT1533"/>
      <c r="RHU1533"/>
      <c r="RHV1533"/>
      <c r="RHW1533"/>
      <c r="RHX1533"/>
      <c r="RHY1533"/>
      <c r="RHZ1533"/>
      <c r="RIA1533"/>
      <c r="RIB1533"/>
      <c r="RIC1533"/>
      <c r="RID1533"/>
      <c r="RIE1533"/>
      <c r="RIF1533"/>
      <c r="RIG1533"/>
      <c r="RIH1533"/>
      <c r="RII1533"/>
      <c r="RIJ1533"/>
      <c r="RIK1533"/>
      <c r="RIL1533"/>
      <c r="RIM1533"/>
      <c r="RIN1533"/>
      <c r="RIO1533"/>
      <c r="RIP1533"/>
      <c r="RIQ1533"/>
      <c r="RIR1533"/>
      <c r="RIS1533"/>
      <c r="RIT1533"/>
      <c r="RIU1533"/>
      <c r="RIV1533"/>
      <c r="RIW1533"/>
      <c r="RIX1533"/>
      <c r="RIY1533"/>
      <c r="RIZ1533"/>
      <c r="RJA1533"/>
      <c r="RJB1533"/>
      <c r="RJC1533"/>
      <c r="RJD1533"/>
      <c r="RJE1533"/>
      <c r="RJF1533"/>
      <c r="RJG1533"/>
      <c r="RJH1533"/>
      <c r="RJI1533"/>
      <c r="RJJ1533"/>
      <c r="RJK1533"/>
      <c r="RJL1533"/>
      <c r="RJM1533"/>
      <c r="RJN1533"/>
      <c r="RJO1533"/>
      <c r="RJP1533"/>
      <c r="RJQ1533"/>
      <c r="RJR1533"/>
      <c r="RJS1533"/>
      <c r="RJT1533"/>
      <c r="RJU1533"/>
      <c r="RJV1533"/>
      <c r="RJW1533"/>
      <c r="RJX1533"/>
      <c r="RJY1533"/>
      <c r="RJZ1533"/>
      <c r="RKA1533"/>
      <c r="RKB1533"/>
      <c r="RKC1533"/>
      <c r="RKD1533"/>
      <c r="RKE1533"/>
      <c r="RKF1533"/>
      <c r="RKG1533"/>
      <c r="RKH1533"/>
      <c r="RKI1533"/>
      <c r="RKJ1533"/>
      <c r="RKK1533"/>
      <c r="RKL1533"/>
      <c r="RKM1533"/>
      <c r="RKN1533"/>
      <c r="RKO1533"/>
      <c r="RKP1533"/>
      <c r="RKQ1533"/>
      <c r="RKR1533"/>
      <c r="RKS1533"/>
      <c r="RKT1533"/>
      <c r="RKU1533"/>
      <c r="RKV1533"/>
      <c r="RKW1533"/>
      <c r="RKX1533"/>
      <c r="RKY1533"/>
      <c r="RKZ1533"/>
      <c r="RLA1533"/>
      <c r="RLB1533"/>
      <c r="RLC1533"/>
      <c r="RLD1533"/>
      <c r="RLE1533"/>
      <c r="RLF1533"/>
      <c r="RLG1533"/>
      <c r="RLH1533"/>
      <c r="RLI1533"/>
      <c r="RLJ1533"/>
      <c r="RLK1533"/>
      <c r="RLL1533"/>
      <c r="RLM1533"/>
      <c r="RLN1533"/>
      <c r="RLO1533"/>
      <c r="RLP1533"/>
      <c r="RLQ1533"/>
      <c r="RLR1533"/>
      <c r="RLS1533"/>
      <c r="RLT1533"/>
      <c r="RLU1533"/>
      <c r="RLV1533"/>
      <c r="RLW1533"/>
      <c r="RLX1533"/>
      <c r="RLY1533"/>
      <c r="RLZ1533"/>
      <c r="RMA1533"/>
      <c r="RMB1533"/>
      <c r="RMC1533"/>
      <c r="RMD1533"/>
      <c r="RME1533"/>
      <c r="RMF1533"/>
      <c r="RMG1533"/>
      <c r="RMH1533"/>
      <c r="RMI1533"/>
      <c r="RMJ1533"/>
      <c r="RMK1533"/>
      <c r="RML1533"/>
      <c r="RMM1533"/>
      <c r="RMN1533"/>
      <c r="RMO1533"/>
      <c r="RMP1533"/>
      <c r="RMQ1533"/>
      <c r="RMR1533"/>
      <c r="RMS1533"/>
      <c r="RMT1533"/>
      <c r="RMU1533"/>
      <c r="RMV1533"/>
      <c r="RMW1533"/>
      <c r="RMX1533"/>
      <c r="RMY1533"/>
      <c r="RMZ1533"/>
      <c r="RNA1533"/>
      <c r="RNB1533"/>
      <c r="RNC1533"/>
      <c r="RND1533"/>
      <c r="RNE1533"/>
      <c r="RNF1533"/>
      <c r="RNG1533"/>
      <c r="RNH1533"/>
      <c r="RNI1533"/>
      <c r="RNJ1533"/>
      <c r="RNK1533"/>
      <c r="RNL1533"/>
      <c r="RNM1533"/>
      <c r="RNN1533"/>
      <c r="RNO1533"/>
      <c r="RNP1533"/>
      <c r="RNQ1533"/>
      <c r="RNR1533"/>
      <c r="RNS1533"/>
      <c r="RNT1533"/>
      <c r="RNU1533"/>
      <c r="RNV1533"/>
      <c r="RNW1533"/>
      <c r="RNX1533"/>
      <c r="RNY1533"/>
      <c r="RNZ1533"/>
      <c r="ROA1533"/>
      <c r="ROB1533"/>
      <c r="ROC1533"/>
      <c r="ROD1533"/>
      <c r="ROE1533"/>
      <c r="ROF1533"/>
      <c r="ROG1533"/>
      <c r="ROH1533"/>
      <c r="ROI1533"/>
      <c r="ROJ1533"/>
      <c r="ROK1533"/>
      <c r="ROL1533"/>
      <c r="ROM1533"/>
      <c r="RON1533"/>
      <c r="ROO1533"/>
      <c r="ROP1533"/>
      <c r="ROQ1533"/>
      <c r="ROR1533"/>
      <c r="ROS1533"/>
      <c r="ROT1533"/>
      <c r="ROU1533"/>
      <c r="ROV1533"/>
      <c r="ROW1533"/>
      <c r="ROX1533"/>
      <c r="ROY1533"/>
      <c r="ROZ1533"/>
      <c r="RPA1533"/>
      <c r="RPB1533"/>
      <c r="RPC1533"/>
      <c r="RPD1533"/>
      <c r="RPE1533"/>
      <c r="RPF1533"/>
      <c r="RPG1533"/>
      <c r="RPH1533"/>
      <c r="RPI1533"/>
      <c r="RPJ1533"/>
      <c r="RPK1533"/>
      <c r="RPL1533"/>
      <c r="RPM1533"/>
      <c r="RPN1533"/>
      <c r="RPO1533"/>
      <c r="RPP1533"/>
      <c r="RPQ1533"/>
      <c r="RPR1533"/>
      <c r="RPS1533"/>
      <c r="RPT1533"/>
      <c r="RPU1533"/>
      <c r="RPV1533"/>
      <c r="RPW1533"/>
      <c r="RPX1533"/>
      <c r="RPY1533"/>
      <c r="RPZ1533"/>
      <c r="RQA1533"/>
      <c r="RQB1533"/>
      <c r="RQC1533"/>
      <c r="RQD1533"/>
      <c r="RQE1533"/>
      <c r="RQF1533"/>
      <c r="RQG1533"/>
      <c r="RQH1533"/>
      <c r="RQI1533"/>
      <c r="RQJ1533"/>
      <c r="RQK1533"/>
      <c r="RQL1533"/>
      <c r="RQM1533"/>
      <c r="RQN1533"/>
      <c r="RQO1533"/>
      <c r="RQP1533"/>
      <c r="RQQ1533"/>
      <c r="RQR1533"/>
      <c r="RQS1533"/>
      <c r="RQT1533"/>
      <c r="RQU1533"/>
      <c r="RQV1533"/>
      <c r="RQW1533"/>
      <c r="RQX1533"/>
      <c r="RQY1533"/>
      <c r="RQZ1533"/>
      <c r="RRA1533"/>
      <c r="RRB1533"/>
      <c r="RRC1533"/>
      <c r="RRD1533"/>
      <c r="RRE1533"/>
      <c r="RRF1533"/>
      <c r="RRG1533"/>
      <c r="RRH1533"/>
      <c r="RRI1533"/>
      <c r="RRJ1533"/>
      <c r="RRK1533"/>
      <c r="RRL1533"/>
      <c r="RRM1533"/>
      <c r="RRN1533"/>
      <c r="RRO1533"/>
      <c r="RRP1533"/>
      <c r="RRQ1533"/>
      <c r="RRR1533"/>
      <c r="RRS1533"/>
      <c r="RRT1533"/>
      <c r="RRU1533"/>
      <c r="RRV1533"/>
      <c r="RRW1533"/>
      <c r="RRX1533"/>
      <c r="RRY1533"/>
      <c r="RRZ1533"/>
      <c r="RSA1533"/>
      <c r="RSB1533"/>
      <c r="RSC1533"/>
      <c r="RSD1533"/>
      <c r="RSE1533"/>
      <c r="RSF1533"/>
      <c r="RSG1533"/>
      <c r="RSH1533"/>
      <c r="RSI1533"/>
      <c r="RSJ1533"/>
      <c r="RSK1533"/>
      <c r="RSL1533"/>
      <c r="RSM1533"/>
      <c r="RSN1533"/>
      <c r="RSO1533"/>
      <c r="RSP1533"/>
      <c r="RSQ1533"/>
      <c r="RSR1533"/>
      <c r="RSS1533"/>
      <c r="RST1533"/>
      <c r="RSU1533"/>
      <c r="RSV1533"/>
      <c r="RSW1533"/>
      <c r="RSX1533"/>
      <c r="RSY1533"/>
      <c r="RSZ1533"/>
      <c r="RTA1533"/>
      <c r="RTB1533"/>
      <c r="RTC1533"/>
      <c r="RTD1533"/>
      <c r="RTE1533"/>
      <c r="RTF1533"/>
      <c r="RTG1533"/>
      <c r="RTH1533"/>
      <c r="RTI1533"/>
      <c r="RTJ1533"/>
      <c r="RTK1533"/>
      <c r="RTL1533"/>
      <c r="RTM1533"/>
      <c r="RTN1533"/>
      <c r="RTO1533"/>
      <c r="RTP1533"/>
      <c r="RTQ1533"/>
      <c r="RTR1533"/>
      <c r="RTS1533"/>
      <c r="RTT1533"/>
      <c r="RTU1533"/>
      <c r="RTV1533"/>
      <c r="RTW1533"/>
      <c r="RTX1533"/>
      <c r="RTY1533"/>
      <c r="RTZ1533"/>
      <c r="RUA1533"/>
      <c r="RUB1533"/>
      <c r="RUC1533"/>
      <c r="RUD1533"/>
      <c r="RUE1533"/>
      <c r="RUF1533"/>
      <c r="RUG1533"/>
      <c r="RUH1533"/>
      <c r="RUI1533"/>
      <c r="RUJ1533"/>
      <c r="RUK1533"/>
      <c r="RUL1533"/>
      <c r="RUM1533"/>
      <c r="RUN1533"/>
      <c r="RUO1533"/>
      <c r="RUP1533"/>
      <c r="RUQ1533"/>
      <c r="RUR1533"/>
      <c r="RUS1533"/>
      <c r="RUT1533"/>
      <c r="RUU1533"/>
      <c r="RUV1533"/>
      <c r="RUW1533"/>
      <c r="RUX1533"/>
      <c r="RUY1533"/>
      <c r="RUZ1533"/>
      <c r="RVA1533"/>
      <c r="RVB1533"/>
      <c r="RVC1533"/>
      <c r="RVD1533"/>
      <c r="RVE1533"/>
      <c r="RVF1533"/>
      <c r="RVG1533"/>
      <c r="RVH1533"/>
      <c r="RVI1533"/>
      <c r="RVJ1533"/>
      <c r="RVK1533"/>
      <c r="RVL1533"/>
      <c r="RVM1533"/>
      <c r="RVN1533"/>
      <c r="RVO1533"/>
      <c r="RVP1533"/>
      <c r="RVQ1533"/>
      <c r="RVR1533"/>
      <c r="RVS1533"/>
      <c r="RVT1533"/>
      <c r="RVU1533"/>
      <c r="RVV1533"/>
      <c r="RVW1533"/>
      <c r="RVX1533"/>
      <c r="RVY1533"/>
      <c r="RVZ1533"/>
      <c r="RWA1533"/>
      <c r="RWB1533"/>
      <c r="RWC1533"/>
      <c r="RWD1533"/>
      <c r="RWE1533"/>
      <c r="RWF1533"/>
      <c r="RWG1533"/>
      <c r="RWH1533"/>
      <c r="RWI1533"/>
      <c r="RWJ1533"/>
      <c r="RWK1533"/>
      <c r="RWL1533"/>
      <c r="RWM1533"/>
      <c r="RWN1533"/>
      <c r="RWO1533"/>
      <c r="RWP1533"/>
      <c r="RWQ1533"/>
      <c r="RWR1533"/>
      <c r="RWS1533"/>
      <c r="RWT1533"/>
      <c r="RWU1533"/>
      <c r="RWV1533"/>
      <c r="RWW1533"/>
      <c r="RWX1533"/>
      <c r="RWY1533"/>
      <c r="RWZ1533"/>
      <c r="RXA1533"/>
      <c r="RXB1533"/>
      <c r="RXC1533"/>
      <c r="RXD1533"/>
      <c r="RXE1533"/>
      <c r="RXF1533"/>
      <c r="RXG1533"/>
      <c r="RXH1533"/>
      <c r="RXI1533"/>
      <c r="RXJ1533"/>
      <c r="RXK1533"/>
      <c r="RXL1533"/>
      <c r="RXM1533"/>
      <c r="RXN1533"/>
      <c r="RXO1533"/>
      <c r="RXP1533"/>
      <c r="RXQ1533"/>
      <c r="RXR1533"/>
      <c r="RXS1533"/>
      <c r="RXT1533"/>
      <c r="RXU1533"/>
      <c r="RXV1533"/>
      <c r="RXW1533"/>
      <c r="RXX1533"/>
      <c r="RXY1533"/>
      <c r="RXZ1533"/>
      <c r="RYA1533"/>
      <c r="RYB1533"/>
      <c r="RYC1533"/>
      <c r="RYD1533"/>
      <c r="RYE1533"/>
      <c r="RYF1533"/>
      <c r="RYG1533"/>
      <c r="RYH1533"/>
      <c r="RYI1533"/>
      <c r="RYJ1533"/>
      <c r="RYK1533"/>
      <c r="RYL1533"/>
      <c r="RYM1533"/>
      <c r="RYN1533"/>
      <c r="RYO1533"/>
      <c r="RYP1533"/>
      <c r="RYQ1533"/>
      <c r="RYR1533"/>
      <c r="RYS1533"/>
      <c r="RYT1533"/>
      <c r="RYU1533"/>
      <c r="RYV1533"/>
      <c r="RYW1533"/>
      <c r="RYX1533"/>
      <c r="RYY1533"/>
      <c r="RYZ1533"/>
      <c r="RZA1533"/>
      <c r="RZB1533"/>
      <c r="RZC1533"/>
      <c r="RZD1533"/>
      <c r="RZE1533"/>
      <c r="RZF1533"/>
      <c r="RZG1533"/>
      <c r="RZH1533"/>
      <c r="RZI1533"/>
      <c r="RZJ1533"/>
      <c r="RZK1533"/>
      <c r="RZL1533"/>
      <c r="RZM1533"/>
      <c r="RZN1533"/>
      <c r="RZO1533"/>
      <c r="RZP1533"/>
      <c r="RZQ1533"/>
      <c r="RZR1533"/>
      <c r="RZS1533"/>
      <c r="RZT1533"/>
      <c r="RZU1533"/>
      <c r="RZV1533"/>
      <c r="RZW1533"/>
      <c r="RZX1533"/>
      <c r="RZY1533"/>
      <c r="RZZ1533"/>
      <c r="SAA1533"/>
      <c r="SAB1533"/>
      <c r="SAC1533"/>
      <c r="SAD1533"/>
      <c r="SAE1533"/>
      <c r="SAF1533"/>
      <c r="SAG1533"/>
      <c r="SAH1533"/>
      <c r="SAI1533"/>
      <c r="SAJ1533"/>
      <c r="SAK1533"/>
      <c r="SAL1533"/>
      <c r="SAM1533"/>
      <c r="SAN1533"/>
      <c r="SAO1533"/>
      <c r="SAP1533"/>
      <c r="SAQ1533"/>
      <c r="SAR1533"/>
      <c r="SAS1533"/>
      <c r="SAT1533"/>
      <c r="SAU1533"/>
      <c r="SAV1533"/>
      <c r="SAW1533"/>
      <c r="SAX1533"/>
      <c r="SAY1533"/>
      <c r="SAZ1533"/>
      <c r="SBA1533"/>
      <c r="SBB1533"/>
      <c r="SBC1533"/>
      <c r="SBD1533"/>
      <c r="SBE1533"/>
      <c r="SBF1533"/>
      <c r="SBG1533"/>
      <c r="SBH1533"/>
      <c r="SBI1533"/>
      <c r="SBJ1533"/>
      <c r="SBK1533"/>
      <c r="SBL1533"/>
      <c r="SBM1533"/>
      <c r="SBN1533"/>
      <c r="SBO1533"/>
      <c r="SBP1533"/>
      <c r="SBQ1533"/>
      <c r="SBR1533"/>
      <c r="SBS1533"/>
      <c r="SBT1533"/>
      <c r="SBU1533"/>
      <c r="SBV1533"/>
      <c r="SBW1533"/>
      <c r="SBX1533"/>
      <c r="SBY1533"/>
      <c r="SBZ1533"/>
      <c r="SCA1533"/>
      <c r="SCB1533"/>
      <c r="SCC1533"/>
      <c r="SCD1533"/>
      <c r="SCE1533"/>
      <c r="SCF1533"/>
      <c r="SCG1533"/>
      <c r="SCH1533"/>
      <c r="SCI1533"/>
      <c r="SCJ1533"/>
      <c r="SCK1533"/>
      <c r="SCL1533"/>
      <c r="SCM1533"/>
      <c r="SCN1533"/>
      <c r="SCO1533"/>
      <c r="SCP1533"/>
      <c r="SCQ1533"/>
      <c r="SCR1533"/>
      <c r="SCS1533"/>
      <c r="SCT1533"/>
      <c r="SCU1533"/>
      <c r="SCV1533"/>
      <c r="SCW1533"/>
      <c r="SCX1533"/>
      <c r="SCY1533"/>
      <c r="SCZ1533"/>
      <c r="SDA1533"/>
      <c r="SDB1533"/>
      <c r="SDC1533"/>
      <c r="SDD1533"/>
      <c r="SDE1533"/>
      <c r="SDF1533"/>
      <c r="SDG1533"/>
      <c r="SDH1533"/>
      <c r="SDI1533"/>
      <c r="SDJ1533"/>
      <c r="SDK1533"/>
      <c r="SDL1533"/>
      <c r="SDM1533"/>
      <c r="SDN1533"/>
      <c r="SDO1533"/>
      <c r="SDP1533"/>
      <c r="SDQ1533"/>
      <c r="SDR1533"/>
      <c r="SDS1533"/>
      <c r="SDT1533"/>
      <c r="SDU1533"/>
      <c r="SDV1533"/>
      <c r="SDW1533"/>
      <c r="SDX1533"/>
      <c r="SDY1533"/>
      <c r="SDZ1533"/>
      <c r="SEA1533"/>
      <c r="SEB1533"/>
      <c r="SEC1533"/>
      <c r="SED1533"/>
      <c r="SEE1533"/>
      <c r="SEF1533"/>
      <c r="SEG1533"/>
      <c r="SEH1533"/>
      <c r="SEI1533"/>
      <c r="SEJ1533"/>
      <c r="SEK1533"/>
      <c r="SEL1533"/>
      <c r="SEM1533"/>
      <c r="SEN1533"/>
      <c r="SEO1533"/>
      <c r="SEP1533"/>
      <c r="SEQ1533"/>
      <c r="SER1533"/>
      <c r="SES1533"/>
      <c r="SET1533"/>
      <c r="SEU1533"/>
      <c r="SEV1533"/>
      <c r="SEW1533"/>
      <c r="SEX1533"/>
      <c r="SEY1533"/>
      <c r="SEZ1533"/>
      <c r="SFA1533"/>
      <c r="SFB1533"/>
      <c r="SFC1533"/>
      <c r="SFD1533"/>
      <c r="SFE1533"/>
      <c r="SFF1533"/>
      <c r="SFG1533"/>
      <c r="SFH1533"/>
      <c r="SFI1533"/>
      <c r="SFJ1533"/>
      <c r="SFK1533"/>
      <c r="SFL1533"/>
      <c r="SFM1533"/>
      <c r="SFN1533"/>
      <c r="SFO1533"/>
      <c r="SFP1533"/>
      <c r="SFQ1533"/>
      <c r="SFR1533"/>
      <c r="SFS1533"/>
      <c r="SFT1533"/>
      <c r="SFU1533"/>
      <c r="SFV1533"/>
      <c r="SFW1533"/>
      <c r="SFX1533"/>
      <c r="SFY1533"/>
      <c r="SFZ1533"/>
      <c r="SGA1533"/>
      <c r="SGB1533"/>
      <c r="SGC1533"/>
      <c r="SGD1533"/>
      <c r="SGE1533"/>
      <c r="SGF1533"/>
      <c r="SGG1533"/>
      <c r="SGH1533"/>
      <c r="SGI1533"/>
      <c r="SGJ1533"/>
      <c r="SGK1533"/>
      <c r="SGL1533"/>
      <c r="SGM1533"/>
      <c r="SGN1533"/>
      <c r="SGO1533"/>
      <c r="SGP1533"/>
      <c r="SGQ1533"/>
      <c r="SGR1533"/>
      <c r="SGS1533"/>
      <c r="SGT1533"/>
      <c r="SGU1533"/>
      <c r="SGV1533"/>
      <c r="SGW1533"/>
      <c r="SGX1533"/>
      <c r="SGY1533"/>
      <c r="SGZ1533"/>
      <c r="SHA1533"/>
      <c r="SHB1533"/>
      <c r="SHC1533"/>
      <c r="SHD1533"/>
      <c r="SHE1533"/>
      <c r="SHF1533"/>
      <c r="SHG1533"/>
      <c r="SHH1533"/>
      <c r="SHI1533"/>
      <c r="SHJ1533"/>
      <c r="SHK1533"/>
      <c r="SHL1533"/>
      <c r="SHM1533"/>
      <c r="SHN1533"/>
      <c r="SHO1533"/>
      <c r="SHP1533"/>
      <c r="SHQ1533"/>
      <c r="SHR1533"/>
      <c r="SHS1533"/>
      <c r="SHT1533"/>
      <c r="SHU1533"/>
      <c r="SHV1533"/>
      <c r="SHW1533"/>
      <c r="SHX1533"/>
      <c r="SHY1533"/>
      <c r="SHZ1533"/>
      <c r="SIA1533"/>
      <c r="SIB1533"/>
      <c r="SIC1533"/>
      <c r="SID1533"/>
      <c r="SIE1533"/>
      <c r="SIF1533"/>
      <c r="SIG1533"/>
      <c r="SIH1533"/>
      <c r="SII1533"/>
      <c r="SIJ1533"/>
      <c r="SIK1533"/>
      <c r="SIL1533"/>
      <c r="SIM1533"/>
      <c r="SIN1533"/>
      <c r="SIO1533"/>
      <c r="SIP1533"/>
      <c r="SIQ1533"/>
      <c r="SIR1533"/>
      <c r="SIS1533"/>
      <c r="SIT1533"/>
      <c r="SIU1533"/>
      <c r="SIV1533"/>
      <c r="SIW1533"/>
      <c r="SIX1533"/>
      <c r="SIY1533"/>
      <c r="SIZ1533"/>
      <c r="SJA1533"/>
      <c r="SJB1533"/>
      <c r="SJC1533"/>
      <c r="SJD1533"/>
      <c r="SJE1533"/>
      <c r="SJF1533"/>
      <c r="SJG1533"/>
      <c r="SJH1533"/>
      <c r="SJI1533"/>
      <c r="SJJ1533"/>
      <c r="SJK1533"/>
      <c r="SJL1533"/>
      <c r="SJM1533"/>
      <c r="SJN1533"/>
      <c r="SJO1533"/>
      <c r="SJP1533"/>
      <c r="SJQ1533"/>
      <c r="SJR1533"/>
      <c r="SJS1533"/>
      <c r="SJT1533"/>
      <c r="SJU1533"/>
      <c r="SJV1533"/>
      <c r="SJW1533"/>
      <c r="SJX1533"/>
      <c r="SJY1533"/>
      <c r="SJZ1533"/>
      <c r="SKA1533"/>
      <c r="SKB1533"/>
      <c r="SKC1533"/>
      <c r="SKD1533"/>
      <c r="SKE1533"/>
      <c r="SKF1533"/>
      <c r="SKG1533"/>
      <c r="SKH1533"/>
      <c r="SKI1533"/>
      <c r="SKJ1533"/>
      <c r="SKK1533"/>
      <c r="SKL1533"/>
      <c r="SKM1533"/>
      <c r="SKN1533"/>
      <c r="SKO1533"/>
      <c r="SKP1533"/>
      <c r="SKQ1533"/>
      <c r="SKR1533"/>
      <c r="SKS1533"/>
      <c r="SKT1533"/>
      <c r="SKU1533"/>
      <c r="SKV1533"/>
      <c r="SKW1533"/>
      <c r="SKX1533"/>
      <c r="SKY1533"/>
      <c r="SKZ1533"/>
      <c r="SLA1533"/>
      <c r="SLB1533"/>
      <c r="SLC1533"/>
      <c r="SLD1533"/>
      <c r="SLE1533"/>
      <c r="SLF1533"/>
      <c r="SLG1533"/>
      <c r="SLH1533"/>
      <c r="SLI1533"/>
      <c r="SLJ1533"/>
      <c r="SLK1533"/>
      <c r="SLL1533"/>
      <c r="SLM1533"/>
      <c r="SLN1533"/>
      <c r="SLO1533"/>
      <c r="SLP1533"/>
      <c r="SLQ1533"/>
      <c r="SLR1533"/>
      <c r="SLS1533"/>
      <c r="SLT1533"/>
      <c r="SLU1533"/>
      <c r="SLV1533"/>
      <c r="SLW1533"/>
      <c r="SLX1533"/>
      <c r="SLY1533"/>
      <c r="SLZ1533"/>
      <c r="SMA1533"/>
      <c r="SMB1533"/>
      <c r="SMC1533"/>
      <c r="SMD1533"/>
      <c r="SME1533"/>
      <c r="SMF1533"/>
      <c r="SMG1533"/>
      <c r="SMH1533"/>
      <c r="SMI1533"/>
      <c r="SMJ1533"/>
      <c r="SMK1533"/>
      <c r="SML1533"/>
      <c r="SMM1533"/>
      <c r="SMN1533"/>
      <c r="SMO1533"/>
      <c r="SMP1533"/>
      <c r="SMQ1533"/>
      <c r="SMR1533"/>
      <c r="SMS1533"/>
      <c r="SMT1533"/>
      <c r="SMU1533"/>
      <c r="SMV1533"/>
      <c r="SMW1533"/>
      <c r="SMX1533"/>
      <c r="SMY1533"/>
      <c r="SMZ1533"/>
      <c r="SNA1533"/>
      <c r="SNB1533"/>
      <c r="SNC1533"/>
      <c r="SND1533"/>
      <c r="SNE1533"/>
      <c r="SNF1533"/>
      <c r="SNG1533"/>
      <c r="SNH1533"/>
      <c r="SNI1533"/>
      <c r="SNJ1533"/>
      <c r="SNK1533"/>
      <c r="SNL1533"/>
      <c r="SNM1533"/>
      <c r="SNN1533"/>
      <c r="SNO1533"/>
      <c r="SNP1533"/>
      <c r="SNQ1533"/>
      <c r="SNR1533"/>
      <c r="SNS1533"/>
      <c r="SNT1533"/>
      <c r="SNU1533"/>
      <c r="SNV1533"/>
      <c r="SNW1533"/>
      <c r="SNX1533"/>
      <c r="SNY1533"/>
      <c r="SNZ1533"/>
      <c r="SOA1533"/>
      <c r="SOB1533"/>
      <c r="SOC1533"/>
      <c r="SOD1533"/>
      <c r="SOE1533"/>
      <c r="SOF1533"/>
      <c r="SOG1533"/>
      <c r="SOH1533"/>
      <c r="SOI1533"/>
      <c r="SOJ1533"/>
      <c r="SOK1533"/>
      <c r="SOL1533"/>
      <c r="SOM1533"/>
      <c r="SON1533"/>
      <c r="SOO1533"/>
      <c r="SOP1533"/>
      <c r="SOQ1533"/>
      <c r="SOR1533"/>
      <c r="SOS1533"/>
      <c r="SOT1533"/>
      <c r="SOU1533"/>
      <c r="SOV1533"/>
      <c r="SOW1533"/>
      <c r="SOX1533"/>
      <c r="SOY1533"/>
      <c r="SOZ1533"/>
      <c r="SPA1533"/>
      <c r="SPB1533"/>
      <c r="SPC1533"/>
      <c r="SPD1533"/>
      <c r="SPE1533"/>
      <c r="SPF1533"/>
      <c r="SPG1533"/>
      <c r="SPH1533"/>
      <c r="SPI1533"/>
      <c r="SPJ1533"/>
      <c r="SPK1533"/>
      <c r="SPL1533"/>
      <c r="SPM1533"/>
      <c r="SPN1533"/>
      <c r="SPO1533"/>
      <c r="SPP1533"/>
      <c r="SPQ1533"/>
      <c r="SPR1533"/>
      <c r="SPS1533"/>
      <c r="SPT1533"/>
      <c r="SPU1533"/>
      <c r="SPV1533"/>
      <c r="SPW1533"/>
      <c r="SPX1533"/>
      <c r="SPY1533"/>
      <c r="SPZ1533"/>
      <c r="SQA1533"/>
      <c r="SQB1533"/>
      <c r="SQC1533"/>
      <c r="SQD1533"/>
      <c r="SQE1533"/>
      <c r="SQF1533"/>
      <c r="SQG1533"/>
      <c r="SQH1533"/>
      <c r="SQI1533"/>
      <c r="SQJ1533"/>
      <c r="SQK1533"/>
      <c r="SQL1533"/>
      <c r="SQM1533"/>
      <c r="SQN1533"/>
      <c r="SQO1533"/>
      <c r="SQP1533"/>
      <c r="SQQ1533"/>
      <c r="SQR1533"/>
      <c r="SQS1533"/>
      <c r="SQT1533"/>
      <c r="SQU1533"/>
      <c r="SQV1533"/>
      <c r="SQW1533"/>
      <c r="SQX1533"/>
      <c r="SQY1533"/>
      <c r="SQZ1533"/>
      <c r="SRA1533"/>
      <c r="SRB1533"/>
      <c r="SRC1533"/>
      <c r="SRD1533"/>
      <c r="SRE1533"/>
      <c r="SRF1533"/>
      <c r="SRG1533"/>
      <c r="SRH1533"/>
      <c r="SRI1533"/>
      <c r="SRJ1533"/>
      <c r="SRK1533"/>
      <c r="SRL1533"/>
      <c r="SRM1533"/>
      <c r="SRN1533"/>
      <c r="SRO1533"/>
      <c r="SRP1533"/>
      <c r="SRQ1533"/>
      <c r="SRR1533"/>
      <c r="SRS1533"/>
      <c r="SRT1533"/>
      <c r="SRU1533"/>
      <c r="SRV1533"/>
      <c r="SRW1533"/>
      <c r="SRX1533"/>
      <c r="SRY1533"/>
      <c r="SRZ1533"/>
      <c r="SSA1533"/>
      <c r="SSB1533"/>
      <c r="SSC1533"/>
      <c r="SSD1533"/>
      <c r="SSE1533"/>
      <c r="SSF1533"/>
      <c r="SSG1533"/>
      <c r="SSH1533"/>
      <c r="SSI1533"/>
      <c r="SSJ1533"/>
      <c r="SSK1533"/>
      <c r="SSL1533"/>
      <c r="SSM1533"/>
      <c r="SSN1533"/>
      <c r="SSO1533"/>
      <c r="SSP1533"/>
      <c r="SSQ1533"/>
      <c r="SSR1533"/>
      <c r="SSS1533"/>
      <c r="SST1533"/>
      <c r="SSU1533"/>
      <c r="SSV1533"/>
      <c r="SSW1533"/>
      <c r="SSX1533"/>
      <c r="SSY1533"/>
      <c r="SSZ1533"/>
      <c r="STA1533"/>
      <c r="STB1533"/>
      <c r="STC1533"/>
      <c r="STD1533"/>
      <c r="STE1533"/>
      <c r="STF1533"/>
      <c r="STG1533"/>
      <c r="STH1533"/>
      <c r="STI1533"/>
      <c r="STJ1533"/>
      <c r="STK1533"/>
      <c r="STL1533"/>
      <c r="STM1533"/>
      <c r="STN1533"/>
      <c r="STO1533"/>
      <c r="STP1533"/>
      <c r="STQ1533"/>
      <c r="STR1533"/>
      <c r="STS1533"/>
      <c r="STT1533"/>
      <c r="STU1533"/>
      <c r="STV1533"/>
      <c r="STW1533"/>
      <c r="STX1533"/>
      <c r="STY1533"/>
      <c r="STZ1533"/>
      <c r="SUA1533"/>
      <c r="SUB1533"/>
      <c r="SUC1533"/>
      <c r="SUD1533"/>
      <c r="SUE1533"/>
      <c r="SUF1533"/>
      <c r="SUG1533"/>
      <c r="SUH1533"/>
      <c r="SUI1533"/>
      <c r="SUJ1533"/>
      <c r="SUK1533"/>
      <c r="SUL1533"/>
      <c r="SUM1533"/>
      <c r="SUN1533"/>
      <c r="SUO1533"/>
      <c r="SUP1533"/>
      <c r="SUQ1533"/>
      <c r="SUR1533"/>
      <c r="SUS1533"/>
      <c r="SUT1533"/>
      <c r="SUU1533"/>
      <c r="SUV1533"/>
      <c r="SUW1533"/>
      <c r="SUX1533"/>
      <c r="SUY1533"/>
      <c r="SUZ1533"/>
      <c r="SVA1533"/>
      <c r="SVB1533"/>
      <c r="SVC1533"/>
      <c r="SVD1533"/>
      <c r="SVE1533"/>
      <c r="SVF1533"/>
      <c r="SVG1533"/>
      <c r="SVH1533"/>
      <c r="SVI1533"/>
      <c r="SVJ1533"/>
      <c r="SVK1533"/>
      <c r="SVL1533"/>
      <c r="SVM1533"/>
      <c r="SVN1533"/>
      <c r="SVO1533"/>
      <c r="SVP1533"/>
      <c r="SVQ1533"/>
      <c r="SVR1533"/>
      <c r="SVS1533"/>
      <c r="SVT1533"/>
      <c r="SVU1533"/>
      <c r="SVV1533"/>
      <c r="SVW1533"/>
      <c r="SVX1533"/>
      <c r="SVY1533"/>
      <c r="SVZ1533"/>
      <c r="SWA1533"/>
      <c r="SWB1533"/>
      <c r="SWC1533"/>
      <c r="SWD1533"/>
      <c r="SWE1533"/>
      <c r="SWF1533"/>
      <c r="SWG1533"/>
      <c r="SWH1533"/>
      <c r="SWI1533"/>
      <c r="SWJ1533"/>
      <c r="SWK1533"/>
      <c r="SWL1533"/>
      <c r="SWM1533"/>
      <c r="SWN1533"/>
      <c r="SWO1533"/>
      <c r="SWP1533"/>
      <c r="SWQ1533"/>
      <c r="SWR1533"/>
      <c r="SWS1533"/>
      <c r="SWT1533"/>
      <c r="SWU1533"/>
      <c r="SWV1533"/>
      <c r="SWW1533"/>
      <c r="SWX1533"/>
      <c r="SWY1533"/>
      <c r="SWZ1533"/>
      <c r="SXA1533"/>
      <c r="SXB1533"/>
      <c r="SXC1533"/>
      <c r="SXD1533"/>
      <c r="SXE1533"/>
      <c r="SXF1533"/>
      <c r="SXG1533"/>
      <c r="SXH1533"/>
      <c r="SXI1533"/>
      <c r="SXJ1533"/>
      <c r="SXK1533"/>
      <c r="SXL1533"/>
      <c r="SXM1533"/>
      <c r="SXN1533"/>
      <c r="SXO1533"/>
      <c r="SXP1533"/>
      <c r="SXQ1533"/>
      <c r="SXR1533"/>
      <c r="SXS1533"/>
      <c r="SXT1533"/>
      <c r="SXU1533"/>
      <c r="SXV1533"/>
      <c r="SXW1533"/>
      <c r="SXX1533"/>
      <c r="SXY1533"/>
      <c r="SXZ1533"/>
      <c r="SYA1533"/>
      <c r="SYB1533"/>
      <c r="SYC1533"/>
      <c r="SYD1533"/>
      <c r="SYE1533"/>
      <c r="SYF1533"/>
      <c r="SYG1533"/>
      <c r="SYH1533"/>
      <c r="SYI1533"/>
      <c r="SYJ1533"/>
      <c r="SYK1533"/>
      <c r="SYL1533"/>
      <c r="SYM1533"/>
      <c r="SYN1533"/>
      <c r="SYO1533"/>
      <c r="SYP1533"/>
      <c r="SYQ1533"/>
      <c r="SYR1533"/>
      <c r="SYS1533"/>
      <c r="SYT1533"/>
      <c r="SYU1533"/>
      <c r="SYV1533"/>
      <c r="SYW1533"/>
      <c r="SYX1533"/>
      <c r="SYY1533"/>
      <c r="SYZ1533"/>
      <c r="SZA1533"/>
      <c r="SZB1533"/>
      <c r="SZC1533"/>
      <c r="SZD1533"/>
      <c r="SZE1533"/>
      <c r="SZF1533"/>
      <c r="SZG1533"/>
      <c r="SZH1533"/>
      <c r="SZI1533"/>
      <c r="SZJ1533"/>
      <c r="SZK1533"/>
      <c r="SZL1533"/>
      <c r="SZM1533"/>
      <c r="SZN1533"/>
      <c r="SZO1533"/>
      <c r="SZP1533"/>
      <c r="SZQ1533"/>
      <c r="SZR1533"/>
      <c r="SZS1533"/>
      <c r="SZT1533"/>
      <c r="SZU1533"/>
      <c r="SZV1533"/>
      <c r="SZW1533"/>
      <c r="SZX1533"/>
      <c r="SZY1533"/>
      <c r="SZZ1533"/>
      <c r="TAA1533"/>
      <c r="TAB1533"/>
      <c r="TAC1533"/>
      <c r="TAD1533"/>
      <c r="TAE1533"/>
      <c r="TAF1533"/>
      <c r="TAG1533"/>
      <c r="TAH1533"/>
      <c r="TAI1533"/>
      <c r="TAJ1533"/>
      <c r="TAK1533"/>
      <c r="TAL1533"/>
      <c r="TAM1533"/>
      <c r="TAN1533"/>
      <c r="TAO1533"/>
      <c r="TAP1533"/>
      <c r="TAQ1533"/>
      <c r="TAR1533"/>
      <c r="TAS1533"/>
      <c r="TAT1533"/>
      <c r="TAU1533"/>
      <c r="TAV1533"/>
      <c r="TAW1533"/>
      <c r="TAX1533"/>
      <c r="TAY1533"/>
      <c r="TAZ1533"/>
      <c r="TBA1533"/>
      <c r="TBB1533"/>
      <c r="TBC1533"/>
      <c r="TBD1533"/>
      <c r="TBE1533"/>
      <c r="TBF1533"/>
      <c r="TBG1533"/>
      <c r="TBH1533"/>
      <c r="TBI1533"/>
      <c r="TBJ1533"/>
      <c r="TBK1533"/>
      <c r="TBL1533"/>
      <c r="TBM1533"/>
      <c r="TBN1533"/>
      <c r="TBO1533"/>
      <c r="TBP1533"/>
      <c r="TBQ1533"/>
      <c r="TBR1533"/>
      <c r="TBS1533"/>
      <c r="TBT1533"/>
      <c r="TBU1533"/>
      <c r="TBV1533"/>
      <c r="TBW1533"/>
      <c r="TBX1533"/>
      <c r="TBY1533"/>
      <c r="TBZ1533"/>
      <c r="TCA1533"/>
      <c r="TCB1533"/>
      <c r="TCC1533"/>
      <c r="TCD1533"/>
      <c r="TCE1533"/>
      <c r="TCF1533"/>
      <c r="TCG1533"/>
      <c r="TCH1533"/>
      <c r="TCI1533"/>
      <c r="TCJ1533"/>
      <c r="TCK1533"/>
      <c r="TCL1533"/>
      <c r="TCM1533"/>
      <c r="TCN1533"/>
      <c r="TCO1533"/>
      <c r="TCP1533"/>
      <c r="TCQ1533"/>
      <c r="TCR1533"/>
      <c r="TCS1533"/>
      <c r="TCT1533"/>
      <c r="TCU1533"/>
      <c r="TCV1533"/>
      <c r="TCW1533"/>
      <c r="TCX1533"/>
      <c r="TCY1533"/>
      <c r="TCZ1533"/>
      <c r="TDA1533"/>
      <c r="TDB1533"/>
      <c r="TDC1533"/>
      <c r="TDD1533"/>
      <c r="TDE1533"/>
      <c r="TDF1533"/>
      <c r="TDG1533"/>
      <c r="TDH1533"/>
      <c r="TDI1533"/>
      <c r="TDJ1533"/>
      <c r="TDK1533"/>
      <c r="TDL1533"/>
      <c r="TDM1533"/>
      <c r="TDN1533"/>
      <c r="TDO1533"/>
      <c r="TDP1533"/>
      <c r="TDQ1533"/>
      <c r="TDR1533"/>
      <c r="TDS1533"/>
      <c r="TDT1533"/>
      <c r="TDU1533"/>
      <c r="TDV1533"/>
      <c r="TDW1533"/>
      <c r="TDX1533"/>
      <c r="TDY1533"/>
      <c r="TDZ1533"/>
      <c r="TEA1533"/>
      <c r="TEB1533"/>
      <c r="TEC1533"/>
      <c r="TED1533"/>
      <c r="TEE1533"/>
      <c r="TEF1533"/>
      <c r="TEG1533"/>
      <c r="TEH1533"/>
      <c r="TEI1533"/>
      <c r="TEJ1533"/>
      <c r="TEK1533"/>
      <c r="TEL1533"/>
      <c r="TEM1533"/>
      <c r="TEN1533"/>
      <c r="TEO1533"/>
      <c r="TEP1533"/>
      <c r="TEQ1533"/>
      <c r="TER1533"/>
      <c r="TES1533"/>
      <c r="TET1533"/>
      <c r="TEU1533"/>
      <c r="TEV1533"/>
      <c r="TEW1533"/>
      <c r="TEX1533"/>
      <c r="TEY1533"/>
      <c r="TEZ1533"/>
      <c r="TFA1533"/>
      <c r="TFB1533"/>
      <c r="TFC1533"/>
      <c r="TFD1533"/>
      <c r="TFE1533"/>
      <c r="TFF1533"/>
      <c r="TFG1533"/>
      <c r="TFH1533"/>
      <c r="TFI1533"/>
      <c r="TFJ1533"/>
      <c r="TFK1533"/>
      <c r="TFL1533"/>
      <c r="TFM1533"/>
      <c r="TFN1533"/>
      <c r="TFO1533"/>
      <c r="TFP1533"/>
      <c r="TFQ1533"/>
      <c r="TFR1533"/>
      <c r="TFS1533"/>
      <c r="TFT1533"/>
      <c r="TFU1533"/>
      <c r="TFV1533"/>
      <c r="TFW1533"/>
      <c r="TFX1533"/>
      <c r="TFY1533"/>
      <c r="TFZ1533"/>
      <c r="TGA1533"/>
      <c r="TGB1533"/>
      <c r="TGC1533"/>
      <c r="TGD1533"/>
      <c r="TGE1533"/>
      <c r="TGF1533"/>
      <c r="TGG1533"/>
      <c r="TGH1533"/>
      <c r="TGI1533"/>
      <c r="TGJ1533"/>
      <c r="TGK1533"/>
      <c r="TGL1533"/>
      <c r="TGM1533"/>
      <c r="TGN1533"/>
      <c r="TGO1533"/>
      <c r="TGP1533"/>
      <c r="TGQ1533"/>
      <c r="TGR1533"/>
      <c r="TGS1533"/>
      <c r="TGT1533"/>
      <c r="TGU1533"/>
      <c r="TGV1533"/>
      <c r="TGW1533"/>
      <c r="TGX1533"/>
      <c r="TGY1533"/>
      <c r="TGZ1533"/>
      <c r="THA1533"/>
      <c r="THB1533"/>
      <c r="THC1533"/>
      <c r="THD1533"/>
      <c r="THE1533"/>
      <c r="THF1533"/>
      <c r="THG1533"/>
      <c r="THH1533"/>
      <c r="THI1533"/>
      <c r="THJ1533"/>
      <c r="THK1533"/>
      <c r="THL1533"/>
      <c r="THM1533"/>
      <c r="THN1533"/>
      <c r="THO1533"/>
      <c r="THP1533"/>
      <c r="THQ1533"/>
      <c r="THR1533"/>
      <c r="THS1533"/>
      <c r="THT1533"/>
      <c r="THU1533"/>
      <c r="THV1533"/>
      <c r="THW1533"/>
      <c r="THX1533"/>
      <c r="THY1533"/>
      <c r="THZ1533"/>
      <c r="TIA1533"/>
      <c r="TIB1533"/>
      <c r="TIC1533"/>
      <c r="TID1533"/>
      <c r="TIE1533"/>
      <c r="TIF1533"/>
      <c r="TIG1533"/>
      <c r="TIH1533"/>
      <c r="TII1533"/>
      <c r="TIJ1533"/>
      <c r="TIK1533"/>
      <c r="TIL1533"/>
      <c r="TIM1533"/>
      <c r="TIN1533"/>
      <c r="TIO1533"/>
      <c r="TIP1533"/>
      <c r="TIQ1533"/>
      <c r="TIR1533"/>
      <c r="TIS1533"/>
      <c r="TIT1533"/>
      <c r="TIU1533"/>
      <c r="TIV1533"/>
      <c r="TIW1533"/>
      <c r="TIX1533"/>
      <c r="TIY1533"/>
      <c r="TIZ1533"/>
      <c r="TJA1533"/>
      <c r="TJB1533"/>
      <c r="TJC1533"/>
      <c r="TJD1533"/>
      <c r="TJE1533"/>
      <c r="TJF1533"/>
      <c r="TJG1533"/>
      <c r="TJH1533"/>
      <c r="TJI1533"/>
      <c r="TJJ1533"/>
      <c r="TJK1533"/>
      <c r="TJL1533"/>
      <c r="TJM1533"/>
      <c r="TJN1533"/>
      <c r="TJO1533"/>
      <c r="TJP1533"/>
      <c r="TJQ1533"/>
      <c r="TJR1533"/>
      <c r="TJS1533"/>
      <c r="TJT1533"/>
      <c r="TJU1533"/>
      <c r="TJV1533"/>
      <c r="TJW1533"/>
      <c r="TJX1533"/>
      <c r="TJY1533"/>
      <c r="TJZ1533"/>
      <c r="TKA1533"/>
      <c r="TKB1533"/>
      <c r="TKC1533"/>
      <c r="TKD1533"/>
      <c r="TKE1533"/>
      <c r="TKF1533"/>
      <c r="TKG1533"/>
      <c r="TKH1533"/>
      <c r="TKI1533"/>
      <c r="TKJ1533"/>
      <c r="TKK1533"/>
      <c r="TKL1533"/>
      <c r="TKM1533"/>
      <c r="TKN1533"/>
      <c r="TKO1533"/>
      <c r="TKP1533"/>
      <c r="TKQ1533"/>
      <c r="TKR1533"/>
      <c r="TKS1533"/>
      <c r="TKT1533"/>
      <c r="TKU1533"/>
      <c r="TKV1533"/>
      <c r="TKW1533"/>
      <c r="TKX1533"/>
      <c r="TKY1533"/>
      <c r="TKZ1533"/>
      <c r="TLA1533"/>
      <c r="TLB1533"/>
      <c r="TLC1533"/>
      <c r="TLD1533"/>
      <c r="TLE1533"/>
      <c r="TLF1533"/>
      <c r="TLG1533"/>
      <c r="TLH1533"/>
      <c r="TLI1533"/>
      <c r="TLJ1533"/>
      <c r="TLK1533"/>
      <c r="TLL1533"/>
      <c r="TLM1533"/>
      <c r="TLN1533"/>
      <c r="TLO1533"/>
      <c r="TLP1533"/>
      <c r="TLQ1533"/>
      <c r="TLR1533"/>
      <c r="TLS1533"/>
      <c r="TLT1533"/>
      <c r="TLU1533"/>
      <c r="TLV1533"/>
      <c r="TLW1533"/>
      <c r="TLX1533"/>
      <c r="TLY1533"/>
      <c r="TLZ1533"/>
      <c r="TMA1533"/>
      <c r="TMB1533"/>
      <c r="TMC1533"/>
      <c r="TMD1533"/>
      <c r="TME1533"/>
      <c r="TMF1533"/>
      <c r="TMG1533"/>
      <c r="TMH1533"/>
      <c r="TMI1533"/>
      <c r="TMJ1533"/>
      <c r="TMK1533"/>
      <c r="TML1533"/>
      <c r="TMM1533"/>
      <c r="TMN1533"/>
      <c r="TMO1533"/>
      <c r="TMP1533"/>
      <c r="TMQ1533"/>
      <c r="TMR1533"/>
      <c r="TMS1533"/>
      <c r="TMT1533"/>
      <c r="TMU1533"/>
      <c r="TMV1533"/>
      <c r="TMW1533"/>
      <c r="TMX1533"/>
      <c r="TMY1533"/>
      <c r="TMZ1533"/>
      <c r="TNA1533"/>
      <c r="TNB1533"/>
      <c r="TNC1533"/>
      <c r="TND1533"/>
      <c r="TNE1533"/>
      <c r="TNF1533"/>
      <c r="TNG1533"/>
      <c r="TNH1533"/>
      <c r="TNI1533"/>
      <c r="TNJ1533"/>
      <c r="TNK1533"/>
      <c r="TNL1533"/>
      <c r="TNM1533"/>
      <c r="TNN1533"/>
      <c r="TNO1533"/>
      <c r="TNP1533"/>
      <c r="TNQ1533"/>
      <c r="TNR1533"/>
      <c r="TNS1533"/>
      <c r="TNT1533"/>
      <c r="TNU1533"/>
      <c r="TNV1533"/>
      <c r="TNW1533"/>
      <c r="TNX1533"/>
      <c r="TNY1533"/>
      <c r="TNZ1533"/>
      <c r="TOA1533"/>
      <c r="TOB1533"/>
      <c r="TOC1533"/>
      <c r="TOD1533"/>
      <c r="TOE1533"/>
      <c r="TOF1533"/>
      <c r="TOG1533"/>
      <c r="TOH1533"/>
      <c r="TOI1533"/>
      <c r="TOJ1533"/>
      <c r="TOK1533"/>
      <c r="TOL1533"/>
      <c r="TOM1533"/>
      <c r="TON1533"/>
      <c r="TOO1533"/>
      <c r="TOP1533"/>
      <c r="TOQ1533"/>
      <c r="TOR1533"/>
      <c r="TOS1533"/>
      <c r="TOT1533"/>
      <c r="TOU1533"/>
      <c r="TOV1533"/>
      <c r="TOW1533"/>
      <c r="TOX1533"/>
      <c r="TOY1533"/>
      <c r="TOZ1533"/>
      <c r="TPA1533"/>
      <c r="TPB1533"/>
      <c r="TPC1533"/>
      <c r="TPD1533"/>
      <c r="TPE1533"/>
      <c r="TPF1533"/>
      <c r="TPG1533"/>
      <c r="TPH1533"/>
      <c r="TPI1533"/>
      <c r="TPJ1533"/>
      <c r="TPK1533"/>
      <c r="TPL1533"/>
      <c r="TPM1533"/>
      <c r="TPN1533"/>
      <c r="TPO1533"/>
      <c r="TPP1533"/>
      <c r="TPQ1533"/>
      <c r="TPR1533"/>
      <c r="TPS1533"/>
      <c r="TPT1533"/>
      <c r="TPU1533"/>
      <c r="TPV1533"/>
      <c r="TPW1533"/>
      <c r="TPX1533"/>
      <c r="TPY1533"/>
      <c r="TPZ1533"/>
      <c r="TQA1533"/>
      <c r="TQB1533"/>
      <c r="TQC1533"/>
      <c r="TQD1533"/>
      <c r="TQE1533"/>
      <c r="TQF1533"/>
      <c r="TQG1533"/>
      <c r="TQH1533"/>
      <c r="TQI1533"/>
      <c r="TQJ1533"/>
      <c r="TQK1533"/>
      <c r="TQL1533"/>
      <c r="TQM1533"/>
      <c r="TQN1533"/>
      <c r="TQO1533"/>
      <c r="TQP1533"/>
      <c r="TQQ1533"/>
      <c r="TQR1533"/>
      <c r="TQS1533"/>
      <c r="TQT1533"/>
      <c r="TQU1533"/>
      <c r="TQV1533"/>
      <c r="TQW1533"/>
      <c r="TQX1533"/>
      <c r="TQY1533"/>
      <c r="TQZ1533"/>
      <c r="TRA1533"/>
      <c r="TRB1533"/>
      <c r="TRC1533"/>
      <c r="TRD1533"/>
      <c r="TRE1533"/>
      <c r="TRF1533"/>
      <c r="TRG1533"/>
      <c r="TRH1533"/>
      <c r="TRI1533"/>
      <c r="TRJ1533"/>
      <c r="TRK1533"/>
      <c r="TRL1533"/>
      <c r="TRM1533"/>
      <c r="TRN1533"/>
      <c r="TRO1533"/>
      <c r="TRP1533"/>
      <c r="TRQ1533"/>
      <c r="TRR1533"/>
      <c r="TRS1533"/>
      <c r="TRT1533"/>
      <c r="TRU1533"/>
      <c r="TRV1533"/>
      <c r="TRW1533"/>
      <c r="TRX1533"/>
      <c r="TRY1533"/>
      <c r="TRZ1533"/>
      <c r="TSA1533"/>
      <c r="TSB1533"/>
      <c r="TSC1533"/>
      <c r="TSD1533"/>
      <c r="TSE1533"/>
      <c r="TSF1533"/>
      <c r="TSG1533"/>
      <c r="TSH1533"/>
      <c r="TSI1533"/>
      <c r="TSJ1533"/>
      <c r="TSK1533"/>
      <c r="TSL1533"/>
      <c r="TSM1533"/>
      <c r="TSN1533"/>
      <c r="TSO1533"/>
      <c r="TSP1533"/>
      <c r="TSQ1533"/>
      <c r="TSR1533"/>
      <c r="TSS1533"/>
      <c r="TST1533"/>
      <c r="TSU1533"/>
      <c r="TSV1533"/>
      <c r="TSW1533"/>
      <c r="TSX1533"/>
      <c r="TSY1533"/>
      <c r="TSZ1533"/>
      <c r="TTA1533"/>
      <c r="TTB1533"/>
      <c r="TTC1533"/>
      <c r="TTD1533"/>
      <c r="TTE1533"/>
      <c r="TTF1533"/>
      <c r="TTG1533"/>
      <c r="TTH1533"/>
      <c r="TTI1533"/>
      <c r="TTJ1533"/>
      <c r="TTK1533"/>
      <c r="TTL1533"/>
      <c r="TTM1533"/>
      <c r="TTN1533"/>
      <c r="TTO1533"/>
      <c r="TTP1533"/>
      <c r="TTQ1533"/>
      <c r="TTR1533"/>
      <c r="TTS1533"/>
      <c r="TTT1533"/>
      <c r="TTU1533"/>
      <c r="TTV1533"/>
      <c r="TTW1533"/>
      <c r="TTX1533"/>
      <c r="TTY1533"/>
      <c r="TTZ1533"/>
      <c r="TUA1533"/>
      <c r="TUB1533"/>
      <c r="TUC1533"/>
      <c r="TUD1533"/>
      <c r="TUE1533"/>
      <c r="TUF1533"/>
      <c r="TUG1533"/>
      <c r="TUH1533"/>
      <c r="TUI1533"/>
      <c r="TUJ1533"/>
      <c r="TUK1533"/>
      <c r="TUL1533"/>
      <c r="TUM1533"/>
      <c r="TUN1533"/>
      <c r="TUO1533"/>
      <c r="TUP1533"/>
      <c r="TUQ1533"/>
      <c r="TUR1533"/>
      <c r="TUS1533"/>
      <c r="TUT1533"/>
      <c r="TUU1533"/>
      <c r="TUV1533"/>
      <c r="TUW1533"/>
      <c r="TUX1533"/>
      <c r="TUY1533"/>
      <c r="TUZ1533"/>
      <c r="TVA1533"/>
      <c r="TVB1533"/>
      <c r="TVC1533"/>
      <c r="TVD1533"/>
      <c r="TVE1533"/>
      <c r="TVF1533"/>
      <c r="TVG1533"/>
      <c r="TVH1533"/>
      <c r="TVI1533"/>
      <c r="TVJ1533"/>
      <c r="TVK1533"/>
      <c r="TVL1533"/>
      <c r="TVM1533"/>
      <c r="TVN1533"/>
      <c r="TVO1533"/>
      <c r="TVP1533"/>
      <c r="TVQ1533"/>
      <c r="TVR1533"/>
      <c r="TVS1533"/>
      <c r="TVT1533"/>
      <c r="TVU1533"/>
      <c r="TVV1533"/>
      <c r="TVW1533"/>
      <c r="TVX1533"/>
      <c r="TVY1533"/>
      <c r="TVZ1533"/>
      <c r="TWA1533"/>
      <c r="TWB1533"/>
      <c r="TWC1533"/>
      <c r="TWD1533"/>
      <c r="TWE1533"/>
      <c r="TWF1533"/>
      <c r="TWG1533"/>
      <c r="TWH1533"/>
      <c r="TWI1533"/>
      <c r="TWJ1533"/>
      <c r="TWK1533"/>
      <c r="TWL1533"/>
      <c r="TWM1533"/>
      <c r="TWN1533"/>
      <c r="TWO1533"/>
      <c r="TWP1533"/>
      <c r="TWQ1533"/>
      <c r="TWR1533"/>
      <c r="TWS1533"/>
      <c r="TWT1533"/>
      <c r="TWU1533"/>
      <c r="TWV1533"/>
      <c r="TWW1533"/>
      <c r="TWX1533"/>
      <c r="TWY1533"/>
      <c r="TWZ1533"/>
      <c r="TXA1533"/>
      <c r="TXB1533"/>
      <c r="TXC1533"/>
      <c r="TXD1533"/>
      <c r="TXE1533"/>
      <c r="TXF1533"/>
      <c r="TXG1533"/>
      <c r="TXH1533"/>
      <c r="TXI1533"/>
      <c r="TXJ1533"/>
      <c r="TXK1533"/>
      <c r="TXL1533"/>
      <c r="TXM1533"/>
      <c r="TXN1533"/>
      <c r="TXO1533"/>
      <c r="TXP1533"/>
      <c r="TXQ1533"/>
      <c r="TXR1533"/>
      <c r="TXS1533"/>
      <c r="TXT1533"/>
      <c r="TXU1533"/>
      <c r="TXV1533"/>
      <c r="TXW1533"/>
      <c r="TXX1533"/>
      <c r="TXY1533"/>
      <c r="TXZ1533"/>
      <c r="TYA1533"/>
      <c r="TYB1533"/>
      <c r="TYC1533"/>
      <c r="TYD1533"/>
      <c r="TYE1533"/>
      <c r="TYF1533"/>
      <c r="TYG1533"/>
      <c r="TYH1533"/>
      <c r="TYI1533"/>
      <c r="TYJ1533"/>
      <c r="TYK1533"/>
      <c r="TYL1533"/>
      <c r="TYM1533"/>
      <c r="TYN1533"/>
      <c r="TYO1533"/>
      <c r="TYP1533"/>
      <c r="TYQ1533"/>
      <c r="TYR1533"/>
      <c r="TYS1533"/>
      <c r="TYT1533"/>
      <c r="TYU1533"/>
      <c r="TYV1533"/>
      <c r="TYW1533"/>
      <c r="TYX1533"/>
      <c r="TYY1533"/>
      <c r="TYZ1533"/>
      <c r="TZA1533"/>
      <c r="TZB1533"/>
      <c r="TZC1533"/>
      <c r="TZD1533"/>
      <c r="TZE1533"/>
      <c r="TZF1533"/>
      <c r="TZG1533"/>
      <c r="TZH1533"/>
      <c r="TZI1533"/>
      <c r="TZJ1533"/>
      <c r="TZK1533"/>
      <c r="TZL1533"/>
      <c r="TZM1533"/>
      <c r="TZN1533"/>
      <c r="TZO1533"/>
      <c r="TZP1533"/>
      <c r="TZQ1533"/>
      <c r="TZR1533"/>
      <c r="TZS1533"/>
      <c r="TZT1533"/>
      <c r="TZU1533"/>
      <c r="TZV1533"/>
      <c r="TZW1533"/>
      <c r="TZX1533"/>
      <c r="TZY1533"/>
      <c r="TZZ1533"/>
      <c r="UAA1533"/>
      <c r="UAB1533"/>
      <c r="UAC1533"/>
      <c r="UAD1533"/>
      <c r="UAE1533"/>
      <c r="UAF1533"/>
      <c r="UAG1533"/>
      <c r="UAH1533"/>
      <c r="UAI1533"/>
      <c r="UAJ1533"/>
      <c r="UAK1533"/>
      <c r="UAL1533"/>
      <c r="UAM1533"/>
      <c r="UAN1533"/>
      <c r="UAO1533"/>
      <c r="UAP1533"/>
      <c r="UAQ1533"/>
      <c r="UAR1533"/>
      <c r="UAS1533"/>
      <c r="UAT1533"/>
      <c r="UAU1533"/>
      <c r="UAV1533"/>
      <c r="UAW1533"/>
      <c r="UAX1533"/>
      <c r="UAY1533"/>
      <c r="UAZ1533"/>
      <c r="UBA1533"/>
      <c r="UBB1533"/>
      <c r="UBC1533"/>
      <c r="UBD1533"/>
      <c r="UBE1533"/>
      <c r="UBF1533"/>
      <c r="UBG1533"/>
      <c r="UBH1533"/>
      <c r="UBI1533"/>
      <c r="UBJ1533"/>
      <c r="UBK1533"/>
      <c r="UBL1533"/>
      <c r="UBM1533"/>
      <c r="UBN1533"/>
      <c r="UBO1533"/>
      <c r="UBP1533"/>
      <c r="UBQ1533"/>
      <c r="UBR1533"/>
      <c r="UBS1533"/>
      <c r="UBT1533"/>
      <c r="UBU1533"/>
      <c r="UBV1533"/>
      <c r="UBW1533"/>
      <c r="UBX1533"/>
      <c r="UBY1533"/>
      <c r="UBZ1533"/>
      <c r="UCA1533"/>
      <c r="UCB1533"/>
      <c r="UCC1533"/>
      <c r="UCD1533"/>
      <c r="UCE1533"/>
      <c r="UCF1533"/>
      <c r="UCG1533"/>
      <c r="UCH1533"/>
      <c r="UCI1533"/>
      <c r="UCJ1533"/>
      <c r="UCK1533"/>
      <c r="UCL1533"/>
      <c r="UCM1533"/>
      <c r="UCN1533"/>
      <c r="UCO1533"/>
      <c r="UCP1533"/>
      <c r="UCQ1533"/>
      <c r="UCR1533"/>
      <c r="UCS1533"/>
      <c r="UCT1533"/>
      <c r="UCU1533"/>
      <c r="UCV1533"/>
      <c r="UCW1533"/>
      <c r="UCX1533"/>
      <c r="UCY1533"/>
      <c r="UCZ1533"/>
      <c r="UDA1533"/>
      <c r="UDB1533"/>
      <c r="UDC1533"/>
      <c r="UDD1533"/>
      <c r="UDE1533"/>
      <c r="UDF1533"/>
      <c r="UDG1533"/>
      <c r="UDH1533"/>
      <c r="UDI1533"/>
      <c r="UDJ1533"/>
      <c r="UDK1533"/>
      <c r="UDL1533"/>
      <c r="UDM1533"/>
      <c r="UDN1533"/>
      <c r="UDO1533"/>
      <c r="UDP1533"/>
      <c r="UDQ1533"/>
      <c r="UDR1533"/>
      <c r="UDS1533"/>
      <c r="UDT1533"/>
      <c r="UDU1533"/>
      <c r="UDV1533"/>
      <c r="UDW1533"/>
      <c r="UDX1533"/>
      <c r="UDY1533"/>
      <c r="UDZ1533"/>
      <c r="UEA1533"/>
      <c r="UEB1533"/>
      <c r="UEC1533"/>
      <c r="UED1533"/>
      <c r="UEE1533"/>
      <c r="UEF1533"/>
      <c r="UEG1533"/>
      <c r="UEH1533"/>
      <c r="UEI1533"/>
      <c r="UEJ1533"/>
      <c r="UEK1533"/>
      <c r="UEL1533"/>
      <c r="UEM1533"/>
      <c r="UEN1533"/>
      <c r="UEO1533"/>
      <c r="UEP1533"/>
      <c r="UEQ1533"/>
      <c r="UER1533"/>
      <c r="UES1533"/>
      <c r="UET1533"/>
      <c r="UEU1533"/>
      <c r="UEV1533"/>
      <c r="UEW1533"/>
      <c r="UEX1533"/>
      <c r="UEY1533"/>
      <c r="UEZ1533"/>
      <c r="UFA1533"/>
      <c r="UFB1533"/>
      <c r="UFC1533"/>
      <c r="UFD1533"/>
      <c r="UFE1533"/>
      <c r="UFF1533"/>
      <c r="UFG1533"/>
      <c r="UFH1533"/>
      <c r="UFI1533"/>
      <c r="UFJ1533"/>
      <c r="UFK1533"/>
      <c r="UFL1533"/>
      <c r="UFM1533"/>
      <c r="UFN1533"/>
      <c r="UFO1533"/>
      <c r="UFP1533"/>
      <c r="UFQ1533"/>
      <c r="UFR1533"/>
      <c r="UFS1533"/>
      <c r="UFT1533"/>
      <c r="UFU1533"/>
      <c r="UFV1533"/>
      <c r="UFW1533"/>
      <c r="UFX1533"/>
      <c r="UFY1533"/>
      <c r="UFZ1533"/>
      <c r="UGA1533"/>
      <c r="UGB1533"/>
      <c r="UGC1533"/>
      <c r="UGD1533"/>
      <c r="UGE1533"/>
      <c r="UGF1533"/>
      <c r="UGG1533"/>
      <c r="UGH1533"/>
      <c r="UGI1533"/>
      <c r="UGJ1533"/>
      <c r="UGK1533"/>
      <c r="UGL1533"/>
      <c r="UGM1533"/>
      <c r="UGN1533"/>
      <c r="UGO1533"/>
      <c r="UGP1533"/>
      <c r="UGQ1533"/>
      <c r="UGR1533"/>
      <c r="UGS1533"/>
      <c r="UGT1533"/>
      <c r="UGU1533"/>
      <c r="UGV1533"/>
      <c r="UGW1533"/>
      <c r="UGX1533"/>
      <c r="UGY1533"/>
      <c r="UGZ1533"/>
      <c r="UHA1533"/>
      <c r="UHB1533"/>
      <c r="UHC1533"/>
      <c r="UHD1533"/>
      <c r="UHE1533"/>
      <c r="UHF1533"/>
      <c r="UHG1533"/>
      <c r="UHH1533"/>
      <c r="UHI1533"/>
      <c r="UHJ1533"/>
      <c r="UHK1533"/>
      <c r="UHL1533"/>
      <c r="UHM1533"/>
      <c r="UHN1533"/>
      <c r="UHO1533"/>
      <c r="UHP1533"/>
      <c r="UHQ1533"/>
      <c r="UHR1533"/>
      <c r="UHS1533"/>
      <c r="UHT1533"/>
      <c r="UHU1533"/>
      <c r="UHV1533"/>
      <c r="UHW1533"/>
      <c r="UHX1533"/>
      <c r="UHY1533"/>
      <c r="UHZ1533"/>
      <c r="UIA1533"/>
      <c r="UIB1533"/>
      <c r="UIC1533"/>
      <c r="UID1533"/>
      <c r="UIE1533"/>
      <c r="UIF1533"/>
      <c r="UIG1533"/>
      <c r="UIH1533"/>
      <c r="UII1533"/>
      <c r="UIJ1533"/>
      <c r="UIK1533"/>
      <c r="UIL1533"/>
      <c r="UIM1533"/>
      <c r="UIN1533"/>
      <c r="UIO1533"/>
      <c r="UIP1533"/>
      <c r="UIQ1533"/>
      <c r="UIR1533"/>
      <c r="UIS1533"/>
      <c r="UIT1533"/>
      <c r="UIU1533"/>
      <c r="UIV1533"/>
      <c r="UIW1533"/>
      <c r="UIX1533"/>
      <c r="UIY1533"/>
      <c r="UIZ1533"/>
      <c r="UJA1533"/>
      <c r="UJB1533"/>
      <c r="UJC1533"/>
      <c r="UJD1533"/>
      <c r="UJE1533"/>
      <c r="UJF1533"/>
      <c r="UJG1533"/>
      <c r="UJH1533"/>
      <c r="UJI1533"/>
      <c r="UJJ1533"/>
      <c r="UJK1533"/>
      <c r="UJL1533"/>
      <c r="UJM1533"/>
      <c r="UJN1533"/>
      <c r="UJO1533"/>
      <c r="UJP1533"/>
      <c r="UJQ1533"/>
      <c r="UJR1533"/>
      <c r="UJS1533"/>
      <c r="UJT1533"/>
      <c r="UJU1533"/>
      <c r="UJV1533"/>
      <c r="UJW1533"/>
      <c r="UJX1533"/>
      <c r="UJY1533"/>
      <c r="UJZ1533"/>
      <c r="UKA1533"/>
      <c r="UKB1533"/>
      <c r="UKC1533"/>
      <c r="UKD1533"/>
      <c r="UKE1533"/>
      <c r="UKF1533"/>
      <c r="UKG1533"/>
      <c r="UKH1533"/>
      <c r="UKI1533"/>
      <c r="UKJ1533"/>
      <c r="UKK1533"/>
      <c r="UKL1533"/>
      <c r="UKM1533"/>
      <c r="UKN1533"/>
      <c r="UKO1533"/>
      <c r="UKP1533"/>
      <c r="UKQ1533"/>
      <c r="UKR1533"/>
      <c r="UKS1533"/>
      <c r="UKT1533"/>
      <c r="UKU1533"/>
      <c r="UKV1533"/>
      <c r="UKW1533"/>
      <c r="UKX1533"/>
      <c r="UKY1533"/>
      <c r="UKZ1533"/>
      <c r="ULA1533"/>
      <c r="ULB1533"/>
      <c r="ULC1533"/>
      <c r="ULD1533"/>
      <c r="ULE1533"/>
      <c r="ULF1533"/>
      <c r="ULG1533"/>
      <c r="ULH1533"/>
      <c r="ULI1533"/>
      <c r="ULJ1533"/>
      <c r="ULK1533"/>
      <c r="ULL1533"/>
      <c r="ULM1533"/>
      <c r="ULN1533"/>
      <c r="ULO1533"/>
      <c r="ULP1533"/>
      <c r="ULQ1533"/>
      <c r="ULR1533"/>
      <c r="ULS1533"/>
      <c r="ULT1533"/>
      <c r="ULU1533"/>
      <c r="ULV1533"/>
      <c r="ULW1533"/>
      <c r="ULX1533"/>
      <c r="ULY1533"/>
      <c r="ULZ1533"/>
      <c r="UMA1533"/>
      <c r="UMB1533"/>
      <c r="UMC1533"/>
      <c r="UMD1533"/>
      <c r="UME1533"/>
      <c r="UMF1533"/>
      <c r="UMG1533"/>
      <c r="UMH1533"/>
      <c r="UMI1533"/>
      <c r="UMJ1533"/>
      <c r="UMK1533"/>
      <c r="UML1533"/>
      <c r="UMM1533"/>
      <c r="UMN1533"/>
      <c r="UMO1533"/>
      <c r="UMP1533"/>
      <c r="UMQ1533"/>
      <c r="UMR1533"/>
      <c r="UMS1533"/>
      <c r="UMT1533"/>
      <c r="UMU1533"/>
      <c r="UMV1533"/>
      <c r="UMW1533"/>
      <c r="UMX1533"/>
      <c r="UMY1533"/>
      <c r="UMZ1533"/>
      <c r="UNA1533"/>
      <c r="UNB1533"/>
      <c r="UNC1533"/>
      <c r="UND1533"/>
      <c r="UNE1533"/>
      <c r="UNF1533"/>
      <c r="UNG1533"/>
      <c r="UNH1533"/>
      <c r="UNI1533"/>
      <c r="UNJ1533"/>
      <c r="UNK1533"/>
      <c r="UNL1533"/>
      <c r="UNM1533"/>
      <c r="UNN1533"/>
      <c r="UNO1533"/>
      <c r="UNP1533"/>
      <c r="UNQ1533"/>
      <c r="UNR1533"/>
      <c r="UNS1533"/>
      <c r="UNT1533"/>
      <c r="UNU1533"/>
      <c r="UNV1533"/>
      <c r="UNW1533"/>
      <c r="UNX1533"/>
      <c r="UNY1533"/>
      <c r="UNZ1533"/>
      <c r="UOA1533"/>
      <c r="UOB1533"/>
      <c r="UOC1533"/>
      <c r="UOD1533"/>
      <c r="UOE1533"/>
      <c r="UOF1533"/>
      <c r="UOG1533"/>
      <c r="UOH1533"/>
      <c r="UOI1533"/>
      <c r="UOJ1533"/>
      <c r="UOK1533"/>
      <c r="UOL1533"/>
      <c r="UOM1533"/>
      <c r="UON1533"/>
      <c r="UOO1533"/>
      <c r="UOP1533"/>
      <c r="UOQ1533"/>
      <c r="UOR1533"/>
      <c r="UOS1533"/>
      <c r="UOT1533"/>
      <c r="UOU1533"/>
      <c r="UOV1533"/>
      <c r="UOW1533"/>
      <c r="UOX1533"/>
      <c r="UOY1533"/>
      <c r="UOZ1533"/>
      <c r="UPA1533"/>
      <c r="UPB1533"/>
      <c r="UPC1533"/>
      <c r="UPD1533"/>
      <c r="UPE1533"/>
      <c r="UPF1533"/>
      <c r="UPG1533"/>
      <c r="UPH1533"/>
      <c r="UPI1533"/>
      <c r="UPJ1533"/>
      <c r="UPK1533"/>
      <c r="UPL1533"/>
      <c r="UPM1533"/>
      <c r="UPN1533"/>
      <c r="UPO1533"/>
      <c r="UPP1533"/>
      <c r="UPQ1533"/>
      <c r="UPR1533"/>
      <c r="UPS1533"/>
      <c r="UPT1533"/>
      <c r="UPU1533"/>
      <c r="UPV1533"/>
      <c r="UPW1533"/>
      <c r="UPX1533"/>
      <c r="UPY1533"/>
      <c r="UPZ1533"/>
      <c r="UQA1533"/>
      <c r="UQB1533"/>
      <c r="UQC1533"/>
      <c r="UQD1533"/>
      <c r="UQE1533"/>
      <c r="UQF1533"/>
      <c r="UQG1533"/>
      <c r="UQH1533"/>
      <c r="UQI1533"/>
      <c r="UQJ1533"/>
      <c r="UQK1533"/>
      <c r="UQL1533"/>
      <c r="UQM1533"/>
      <c r="UQN1533"/>
      <c r="UQO1533"/>
      <c r="UQP1533"/>
      <c r="UQQ1533"/>
      <c r="UQR1533"/>
      <c r="UQS1533"/>
      <c r="UQT1533"/>
      <c r="UQU1533"/>
      <c r="UQV1533"/>
      <c r="UQW1533"/>
      <c r="UQX1533"/>
      <c r="UQY1533"/>
      <c r="UQZ1533"/>
      <c r="URA1533"/>
      <c r="URB1533"/>
      <c r="URC1533"/>
      <c r="URD1533"/>
      <c r="URE1533"/>
      <c r="URF1533"/>
      <c r="URG1533"/>
      <c r="URH1533"/>
      <c r="URI1533"/>
      <c r="URJ1533"/>
      <c r="URK1533"/>
      <c r="URL1533"/>
      <c r="URM1533"/>
      <c r="URN1533"/>
      <c r="URO1533"/>
      <c r="URP1533"/>
      <c r="URQ1533"/>
      <c r="URR1533"/>
      <c r="URS1533"/>
      <c r="URT1533"/>
      <c r="URU1533"/>
      <c r="URV1533"/>
      <c r="URW1533"/>
      <c r="URX1533"/>
      <c r="URY1533"/>
      <c r="URZ1533"/>
      <c r="USA1533"/>
      <c r="USB1533"/>
      <c r="USC1533"/>
      <c r="USD1533"/>
      <c r="USE1533"/>
      <c r="USF1533"/>
      <c r="USG1533"/>
      <c r="USH1533"/>
      <c r="USI1533"/>
      <c r="USJ1533"/>
      <c r="USK1533"/>
      <c r="USL1533"/>
      <c r="USM1533"/>
      <c r="USN1533"/>
      <c r="USO1533"/>
      <c r="USP1533"/>
      <c r="USQ1533"/>
      <c r="USR1533"/>
      <c r="USS1533"/>
      <c r="UST1533"/>
      <c r="USU1533"/>
      <c r="USV1533"/>
      <c r="USW1533"/>
      <c r="USX1533"/>
      <c r="USY1533"/>
      <c r="USZ1533"/>
      <c r="UTA1533"/>
      <c r="UTB1533"/>
      <c r="UTC1533"/>
      <c r="UTD1533"/>
      <c r="UTE1533"/>
      <c r="UTF1533"/>
      <c r="UTG1533"/>
      <c r="UTH1533"/>
      <c r="UTI1533"/>
      <c r="UTJ1533"/>
      <c r="UTK1533"/>
      <c r="UTL1533"/>
      <c r="UTM1533"/>
      <c r="UTN1533"/>
      <c r="UTO1533"/>
      <c r="UTP1533"/>
      <c r="UTQ1533"/>
      <c r="UTR1533"/>
      <c r="UTS1533"/>
      <c r="UTT1533"/>
      <c r="UTU1533"/>
      <c r="UTV1533"/>
      <c r="UTW1533"/>
      <c r="UTX1533"/>
      <c r="UTY1533"/>
      <c r="UTZ1533"/>
      <c r="UUA1533"/>
      <c r="UUB1533"/>
      <c r="UUC1533"/>
      <c r="UUD1533"/>
      <c r="UUE1533"/>
      <c r="UUF1533"/>
      <c r="UUG1533"/>
      <c r="UUH1533"/>
      <c r="UUI1533"/>
      <c r="UUJ1533"/>
      <c r="UUK1533"/>
      <c r="UUL1533"/>
      <c r="UUM1533"/>
      <c r="UUN1533"/>
      <c r="UUO1533"/>
      <c r="UUP1533"/>
      <c r="UUQ1533"/>
      <c r="UUR1533"/>
      <c r="UUS1533"/>
      <c r="UUT1533"/>
      <c r="UUU1533"/>
      <c r="UUV1533"/>
      <c r="UUW1533"/>
      <c r="UUX1533"/>
      <c r="UUY1533"/>
      <c r="UUZ1533"/>
      <c r="UVA1533"/>
      <c r="UVB1533"/>
      <c r="UVC1533"/>
      <c r="UVD1533"/>
      <c r="UVE1533"/>
      <c r="UVF1533"/>
      <c r="UVG1533"/>
      <c r="UVH1533"/>
      <c r="UVI1533"/>
      <c r="UVJ1533"/>
      <c r="UVK1533"/>
      <c r="UVL1533"/>
      <c r="UVM1533"/>
      <c r="UVN1533"/>
      <c r="UVO1533"/>
      <c r="UVP1533"/>
      <c r="UVQ1533"/>
      <c r="UVR1533"/>
      <c r="UVS1533"/>
      <c r="UVT1533"/>
      <c r="UVU1533"/>
      <c r="UVV1533"/>
      <c r="UVW1533"/>
      <c r="UVX1533"/>
      <c r="UVY1533"/>
      <c r="UVZ1533"/>
      <c r="UWA1533"/>
      <c r="UWB1533"/>
      <c r="UWC1533"/>
      <c r="UWD1533"/>
      <c r="UWE1533"/>
      <c r="UWF1533"/>
      <c r="UWG1533"/>
      <c r="UWH1533"/>
      <c r="UWI1533"/>
      <c r="UWJ1533"/>
      <c r="UWK1533"/>
      <c r="UWL1533"/>
      <c r="UWM1533"/>
      <c r="UWN1533"/>
      <c r="UWO1533"/>
      <c r="UWP1533"/>
      <c r="UWQ1533"/>
      <c r="UWR1533"/>
      <c r="UWS1533"/>
      <c r="UWT1533"/>
      <c r="UWU1533"/>
      <c r="UWV1533"/>
      <c r="UWW1533"/>
      <c r="UWX1533"/>
      <c r="UWY1533"/>
      <c r="UWZ1533"/>
      <c r="UXA1533"/>
      <c r="UXB1533"/>
      <c r="UXC1533"/>
      <c r="UXD1533"/>
      <c r="UXE1533"/>
      <c r="UXF1533"/>
      <c r="UXG1533"/>
      <c r="UXH1533"/>
      <c r="UXI1533"/>
      <c r="UXJ1533"/>
      <c r="UXK1533"/>
      <c r="UXL1533"/>
      <c r="UXM1533"/>
      <c r="UXN1533"/>
      <c r="UXO1533"/>
      <c r="UXP1533"/>
      <c r="UXQ1533"/>
      <c r="UXR1533"/>
      <c r="UXS1533"/>
      <c r="UXT1533"/>
      <c r="UXU1533"/>
      <c r="UXV1533"/>
      <c r="UXW1533"/>
      <c r="UXX1533"/>
      <c r="UXY1533"/>
      <c r="UXZ1533"/>
      <c r="UYA1533"/>
      <c r="UYB1533"/>
      <c r="UYC1533"/>
      <c r="UYD1533"/>
      <c r="UYE1533"/>
      <c r="UYF1533"/>
      <c r="UYG1533"/>
      <c r="UYH1533"/>
      <c r="UYI1533"/>
      <c r="UYJ1533"/>
      <c r="UYK1533"/>
      <c r="UYL1533"/>
      <c r="UYM1533"/>
      <c r="UYN1533"/>
      <c r="UYO1533"/>
      <c r="UYP1533"/>
      <c r="UYQ1533"/>
      <c r="UYR1533"/>
      <c r="UYS1533"/>
      <c r="UYT1533"/>
      <c r="UYU1533"/>
      <c r="UYV1533"/>
      <c r="UYW1533"/>
      <c r="UYX1533"/>
      <c r="UYY1533"/>
      <c r="UYZ1533"/>
      <c r="UZA1533"/>
      <c r="UZB1533"/>
      <c r="UZC1533"/>
      <c r="UZD1533"/>
      <c r="UZE1533"/>
      <c r="UZF1533"/>
      <c r="UZG1533"/>
      <c r="UZH1533"/>
      <c r="UZI1533"/>
      <c r="UZJ1533"/>
      <c r="UZK1533"/>
      <c r="UZL1533"/>
      <c r="UZM1533"/>
      <c r="UZN1533"/>
      <c r="UZO1533"/>
      <c r="UZP1533"/>
      <c r="UZQ1533"/>
      <c r="UZR1533"/>
      <c r="UZS1533"/>
      <c r="UZT1533"/>
      <c r="UZU1533"/>
      <c r="UZV1533"/>
      <c r="UZW1533"/>
      <c r="UZX1533"/>
      <c r="UZY1533"/>
      <c r="UZZ1533"/>
      <c r="VAA1533"/>
      <c r="VAB1533"/>
      <c r="VAC1533"/>
      <c r="VAD1533"/>
      <c r="VAE1533"/>
      <c r="VAF1533"/>
      <c r="VAG1533"/>
      <c r="VAH1533"/>
      <c r="VAI1533"/>
      <c r="VAJ1533"/>
      <c r="VAK1533"/>
      <c r="VAL1533"/>
      <c r="VAM1533"/>
      <c r="VAN1533"/>
      <c r="VAO1533"/>
      <c r="VAP1533"/>
      <c r="VAQ1533"/>
      <c r="VAR1533"/>
      <c r="VAS1533"/>
      <c r="VAT1533"/>
      <c r="VAU1533"/>
      <c r="VAV1533"/>
      <c r="VAW1533"/>
      <c r="VAX1533"/>
      <c r="VAY1533"/>
      <c r="VAZ1533"/>
      <c r="VBA1533"/>
      <c r="VBB1533"/>
      <c r="VBC1533"/>
      <c r="VBD1533"/>
      <c r="VBE1533"/>
      <c r="VBF1533"/>
      <c r="VBG1533"/>
      <c r="VBH1533"/>
      <c r="VBI1533"/>
      <c r="VBJ1533"/>
      <c r="VBK1533"/>
      <c r="VBL1533"/>
      <c r="VBM1533"/>
      <c r="VBN1533"/>
      <c r="VBO1533"/>
      <c r="VBP1533"/>
      <c r="VBQ1533"/>
      <c r="VBR1533"/>
      <c r="VBS1533"/>
      <c r="VBT1533"/>
      <c r="VBU1533"/>
      <c r="VBV1533"/>
      <c r="VBW1533"/>
      <c r="VBX1533"/>
      <c r="VBY1533"/>
      <c r="VBZ1533"/>
      <c r="VCA1533"/>
      <c r="VCB1533"/>
      <c r="VCC1533"/>
      <c r="VCD1533"/>
      <c r="VCE1533"/>
      <c r="VCF1533"/>
      <c r="VCG1533"/>
      <c r="VCH1533"/>
      <c r="VCI1533"/>
      <c r="VCJ1533"/>
      <c r="VCK1533"/>
      <c r="VCL1533"/>
      <c r="VCM1533"/>
      <c r="VCN1533"/>
      <c r="VCO1533"/>
      <c r="VCP1533"/>
      <c r="VCQ1533"/>
      <c r="VCR1533"/>
      <c r="VCS1533"/>
      <c r="VCT1533"/>
      <c r="VCU1533"/>
      <c r="VCV1533"/>
      <c r="VCW1533"/>
      <c r="VCX1533"/>
      <c r="VCY1533"/>
      <c r="VCZ1533"/>
      <c r="VDA1533"/>
      <c r="VDB1533"/>
      <c r="VDC1533"/>
      <c r="VDD1533"/>
      <c r="VDE1533"/>
      <c r="VDF1533"/>
      <c r="VDG1533"/>
      <c r="VDH1533"/>
      <c r="VDI1533"/>
      <c r="VDJ1533"/>
      <c r="VDK1533"/>
      <c r="VDL1533"/>
      <c r="VDM1533"/>
      <c r="VDN1533"/>
      <c r="VDO1533"/>
      <c r="VDP1533"/>
      <c r="VDQ1533"/>
      <c r="VDR1533"/>
      <c r="VDS1533"/>
      <c r="VDT1533"/>
      <c r="VDU1533"/>
      <c r="VDV1533"/>
      <c r="VDW1533"/>
      <c r="VDX1533"/>
      <c r="VDY1533"/>
      <c r="VDZ1533"/>
      <c r="VEA1533"/>
      <c r="VEB1533"/>
      <c r="VEC1533"/>
      <c r="VED1533"/>
      <c r="VEE1533"/>
      <c r="VEF1533"/>
      <c r="VEG1533"/>
      <c r="VEH1533"/>
      <c r="VEI1533"/>
      <c r="VEJ1533"/>
      <c r="VEK1533"/>
      <c r="VEL1533"/>
      <c r="VEM1533"/>
      <c r="VEN1533"/>
      <c r="VEO1533"/>
      <c r="VEP1533"/>
      <c r="VEQ1533"/>
      <c r="VER1533"/>
      <c r="VES1533"/>
      <c r="VET1533"/>
      <c r="VEU1533"/>
      <c r="VEV1533"/>
      <c r="VEW1533"/>
      <c r="VEX1533"/>
      <c r="VEY1533"/>
      <c r="VEZ1533"/>
      <c r="VFA1533"/>
      <c r="VFB1533"/>
      <c r="VFC1533"/>
      <c r="VFD1533"/>
      <c r="VFE1533"/>
      <c r="VFF1533"/>
      <c r="VFG1533"/>
      <c r="VFH1533"/>
      <c r="VFI1533"/>
      <c r="VFJ1533"/>
      <c r="VFK1533"/>
      <c r="VFL1533"/>
      <c r="VFM1533"/>
      <c r="VFN1533"/>
      <c r="VFO1533"/>
      <c r="VFP1533"/>
      <c r="VFQ1533"/>
      <c r="VFR1533"/>
      <c r="VFS1533"/>
      <c r="VFT1533"/>
      <c r="VFU1533"/>
      <c r="VFV1533"/>
      <c r="VFW1533"/>
      <c r="VFX1533"/>
      <c r="VFY1533"/>
      <c r="VFZ1533"/>
      <c r="VGA1533"/>
      <c r="VGB1533"/>
      <c r="VGC1533"/>
      <c r="VGD1533"/>
      <c r="VGE1533"/>
      <c r="VGF1533"/>
      <c r="VGG1533"/>
      <c r="VGH1533"/>
      <c r="VGI1533"/>
      <c r="VGJ1533"/>
      <c r="VGK1533"/>
      <c r="VGL1533"/>
      <c r="VGM1533"/>
      <c r="VGN1533"/>
      <c r="VGO1533"/>
      <c r="VGP1533"/>
      <c r="VGQ1533"/>
      <c r="VGR1533"/>
      <c r="VGS1533"/>
      <c r="VGT1533"/>
      <c r="VGU1533"/>
      <c r="VGV1533"/>
      <c r="VGW1533"/>
      <c r="VGX1533"/>
      <c r="VGY1533"/>
      <c r="VGZ1533"/>
      <c r="VHA1533"/>
      <c r="VHB1533"/>
      <c r="VHC1533"/>
      <c r="VHD1533"/>
      <c r="VHE1533"/>
      <c r="VHF1533"/>
      <c r="VHG1533"/>
      <c r="VHH1533"/>
      <c r="VHI1533"/>
      <c r="VHJ1533"/>
      <c r="VHK1533"/>
      <c r="VHL1533"/>
      <c r="VHM1533"/>
      <c r="VHN1533"/>
      <c r="VHO1533"/>
      <c r="VHP1533"/>
      <c r="VHQ1533"/>
      <c r="VHR1533"/>
      <c r="VHS1533"/>
      <c r="VHT1533"/>
      <c r="VHU1533"/>
      <c r="VHV1533"/>
      <c r="VHW1533"/>
      <c r="VHX1533"/>
      <c r="VHY1533"/>
      <c r="VHZ1533"/>
      <c r="VIA1533"/>
      <c r="VIB1533"/>
      <c r="VIC1533"/>
      <c r="VID1533"/>
      <c r="VIE1533"/>
      <c r="VIF1533"/>
      <c r="VIG1533"/>
      <c r="VIH1533"/>
      <c r="VII1533"/>
      <c r="VIJ1533"/>
      <c r="VIK1533"/>
      <c r="VIL1533"/>
      <c r="VIM1533"/>
      <c r="VIN1533"/>
      <c r="VIO1533"/>
      <c r="VIP1533"/>
      <c r="VIQ1533"/>
      <c r="VIR1533"/>
      <c r="VIS1533"/>
      <c r="VIT1533"/>
      <c r="VIU1533"/>
      <c r="VIV1533"/>
      <c r="VIW1533"/>
      <c r="VIX1533"/>
      <c r="VIY1533"/>
      <c r="VIZ1533"/>
      <c r="VJA1533"/>
      <c r="VJB1533"/>
      <c r="VJC1533"/>
      <c r="VJD1533"/>
      <c r="VJE1533"/>
      <c r="VJF1533"/>
      <c r="VJG1533"/>
      <c r="VJH1533"/>
      <c r="VJI1533"/>
      <c r="VJJ1533"/>
      <c r="VJK1533"/>
      <c r="VJL1533"/>
      <c r="VJM1533"/>
      <c r="VJN1533"/>
      <c r="VJO1533"/>
      <c r="VJP1533"/>
      <c r="VJQ1533"/>
      <c r="VJR1533"/>
      <c r="VJS1533"/>
      <c r="VJT1533"/>
      <c r="VJU1533"/>
      <c r="VJV1533"/>
      <c r="VJW1533"/>
      <c r="VJX1533"/>
      <c r="VJY1533"/>
      <c r="VJZ1533"/>
      <c r="VKA1533"/>
      <c r="VKB1533"/>
      <c r="VKC1533"/>
      <c r="VKD1533"/>
      <c r="VKE1533"/>
      <c r="VKF1533"/>
      <c r="VKG1533"/>
      <c r="VKH1533"/>
      <c r="VKI1533"/>
      <c r="VKJ1533"/>
      <c r="VKK1533"/>
      <c r="VKL1533"/>
      <c r="VKM1533"/>
      <c r="VKN1533"/>
      <c r="VKO1533"/>
      <c r="VKP1533"/>
      <c r="VKQ1533"/>
      <c r="VKR1533"/>
      <c r="VKS1533"/>
      <c r="VKT1533"/>
      <c r="VKU1533"/>
      <c r="VKV1533"/>
      <c r="VKW1533"/>
      <c r="VKX1533"/>
      <c r="VKY1533"/>
      <c r="VKZ1533"/>
      <c r="VLA1533"/>
      <c r="VLB1533"/>
      <c r="VLC1533"/>
      <c r="VLD1533"/>
      <c r="VLE1533"/>
      <c r="VLF1533"/>
      <c r="VLG1533"/>
      <c r="VLH1533"/>
      <c r="VLI1533"/>
      <c r="VLJ1533"/>
      <c r="VLK1533"/>
      <c r="VLL1533"/>
      <c r="VLM1533"/>
      <c r="VLN1533"/>
      <c r="VLO1533"/>
      <c r="VLP1533"/>
      <c r="VLQ1533"/>
      <c r="VLR1533"/>
      <c r="VLS1533"/>
      <c r="VLT1533"/>
      <c r="VLU1533"/>
      <c r="VLV1533"/>
      <c r="VLW1533"/>
      <c r="VLX1533"/>
      <c r="VLY1533"/>
      <c r="VLZ1533"/>
      <c r="VMA1533"/>
      <c r="VMB1533"/>
      <c r="VMC1533"/>
      <c r="VMD1533"/>
      <c r="VME1533"/>
      <c r="VMF1533"/>
      <c r="VMG1533"/>
      <c r="VMH1533"/>
      <c r="VMI1533"/>
      <c r="VMJ1533"/>
      <c r="VMK1533"/>
      <c r="VML1533"/>
      <c r="VMM1533"/>
      <c r="VMN1533"/>
      <c r="VMO1533"/>
      <c r="VMP1533"/>
      <c r="VMQ1533"/>
      <c r="VMR1533"/>
      <c r="VMS1533"/>
      <c r="VMT1533"/>
      <c r="VMU1533"/>
      <c r="VMV1533"/>
      <c r="VMW1533"/>
      <c r="VMX1533"/>
      <c r="VMY1533"/>
      <c r="VMZ1533"/>
      <c r="VNA1533"/>
      <c r="VNB1533"/>
      <c r="VNC1533"/>
      <c r="VND1533"/>
      <c r="VNE1533"/>
      <c r="VNF1533"/>
      <c r="VNG1533"/>
      <c r="VNH1533"/>
      <c r="VNI1533"/>
      <c r="VNJ1533"/>
      <c r="VNK1533"/>
      <c r="VNL1533"/>
      <c r="VNM1533"/>
      <c r="VNN1533"/>
      <c r="VNO1533"/>
      <c r="VNP1533"/>
      <c r="VNQ1533"/>
      <c r="VNR1533"/>
      <c r="VNS1533"/>
      <c r="VNT1533"/>
      <c r="VNU1533"/>
      <c r="VNV1533"/>
      <c r="VNW1533"/>
      <c r="VNX1533"/>
      <c r="VNY1533"/>
      <c r="VNZ1533"/>
      <c r="VOA1533"/>
      <c r="VOB1533"/>
      <c r="VOC1533"/>
      <c r="VOD1533"/>
      <c r="VOE1533"/>
      <c r="VOF1533"/>
      <c r="VOG1533"/>
      <c r="VOH1533"/>
      <c r="VOI1533"/>
      <c r="VOJ1533"/>
      <c r="VOK1533"/>
      <c r="VOL1533"/>
      <c r="VOM1533"/>
      <c r="VON1533"/>
      <c r="VOO1533"/>
      <c r="VOP1533"/>
      <c r="VOQ1533"/>
      <c r="VOR1533"/>
      <c r="VOS1533"/>
      <c r="VOT1533"/>
      <c r="VOU1533"/>
      <c r="VOV1533"/>
      <c r="VOW1533"/>
      <c r="VOX1533"/>
      <c r="VOY1533"/>
      <c r="VOZ1533"/>
      <c r="VPA1533"/>
      <c r="VPB1533"/>
      <c r="VPC1533"/>
      <c r="VPD1533"/>
      <c r="VPE1533"/>
      <c r="VPF1533"/>
      <c r="VPG1533"/>
      <c r="VPH1533"/>
      <c r="VPI1533"/>
      <c r="VPJ1533"/>
      <c r="VPK1533"/>
      <c r="VPL1533"/>
      <c r="VPM1533"/>
      <c r="VPN1533"/>
      <c r="VPO1533"/>
      <c r="VPP1533"/>
      <c r="VPQ1533"/>
      <c r="VPR1533"/>
      <c r="VPS1533"/>
      <c r="VPT1533"/>
      <c r="VPU1533"/>
      <c r="VPV1533"/>
      <c r="VPW1533"/>
      <c r="VPX1533"/>
      <c r="VPY1533"/>
      <c r="VPZ1533"/>
      <c r="VQA1533"/>
      <c r="VQB1533"/>
      <c r="VQC1533"/>
      <c r="VQD1533"/>
      <c r="VQE1533"/>
      <c r="VQF1533"/>
      <c r="VQG1533"/>
      <c r="VQH1533"/>
      <c r="VQI1533"/>
      <c r="VQJ1533"/>
      <c r="VQK1533"/>
      <c r="VQL1533"/>
      <c r="VQM1533"/>
      <c r="VQN1533"/>
      <c r="VQO1533"/>
      <c r="VQP1533"/>
      <c r="VQQ1533"/>
      <c r="VQR1533"/>
      <c r="VQS1533"/>
      <c r="VQT1533"/>
      <c r="VQU1533"/>
      <c r="VQV1533"/>
      <c r="VQW1533"/>
      <c r="VQX1533"/>
      <c r="VQY1533"/>
      <c r="VQZ1533"/>
      <c r="VRA1533"/>
      <c r="VRB1533"/>
      <c r="VRC1533"/>
      <c r="VRD1533"/>
      <c r="VRE1533"/>
      <c r="VRF1533"/>
      <c r="VRG1533"/>
      <c r="VRH1533"/>
      <c r="VRI1533"/>
      <c r="VRJ1533"/>
      <c r="VRK1533"/>
      <c r="VRL1533"/>
      <c r="VRM1533"/>
      <c r="VRN1533"/>
      <c r="VRO1533"/>
      <c r="VRP1533"/>
      <c r="VRQ1533"/>
      <c r="VRR1533"/>
      <c r="VRS1533"/>
      <c r="VRT1533"/>
      <c r="VRU1533"/>
      <c r="VRV1533"/>
      <c r="VRW1533"/>
      <c r="VRX1533"/>
      <c r="VRY1533"/>
      <c r="VRZ1533"/>
      <c r="VSA1533"/>
      <c r="VSB1533"/>
      <c r="VSC1533"/>
      <c r="VSD1533"/>
      <c r="VSE1533"/>
      <c r="VSF1533"/>
      <c r="VSG1533"/>
      <c r="VSH1533"/>
      <c r="VSI1533"/>
      <c r="VSJ1533"/>
      <c r="VSK1533"/>
      <c r="VSL1533"/>
      <c r="VSM1533"/>
      <c r="VSN1533"/>
      <c r="VSO1533"/>
      <c r="VSP1533"/>
      <c r="VSQ1533"/>
      <c r="VSR1533"/>
      <c r="VSS1533"/>
      <c r="VST1533"/>
      <c r="VSU1533"/>
      <c r="VSV1533"/>
      <c r="VSW1533"/>
      <c r="VSX1533"/>
      <c r="VSY1533"/>
      <c r="VSZ1533"/>
      <c r="VTA1533"/>
      <c r="VTB1533"/>
      <c r="VTC1533"/>
      <c r="VTD1533"/>
      <c r="VTE1533"/>
      <c r="VTF1533"/>
      <c r="VTG1533"/>
      <c r="VTH1533"/>
      <c r="VTI1533"/>
      <c r="VTJ1533"/>
      <c r="VTK1533"/>
      <c r="VTL1533"/>
      <c r="VTM1533"/>
      <c r="VTN1533"/>
      <c r="VTO1533"/>
      <c r="VTP1533"/>
      <c r="VTQ1533"/>
      <c r="VTR1533"/>
      <c r="VTS1533"/>
      <c r="VTT1533"/>
      <c r="VTU1533"/>
      <c r="VTV1533"/>
      <c r="VTW1533"/>
      <c r="VTX1533"/>
      <c r="VTY1533"/>
      <c r="VTZ1533"/>
      <c r="VUA1533"/>
      <c r="VUB1533"/>
      <c r="VUC1533"/>
      <c r="VUD1533"/>
      <c r="VUE1533"/>
      <c r="VUF1533"/>
      <c r="VUG1533"/>
      <c r="VUH1533"/>
      <c r="VUI1533"/>
      <c r="VUJ1533"/>
      <c r="VUK1533"/>
      <c r="VUL1533"/>
      <c r="VUM1533"/>
      <c r="VUN1533"/>
      <c r="VUO1533"/>
      <c r="VUP1533"/>
      <c r="VUQ1533"/>
      <c r="VUR1533"/>
      <c r="VUS1533"/>
      <c r="VUT1533"/>
      <c r="VUU1533"/>
      <c r="VUV1533"/>
      <c r="VUW1533"/>
      <c r="VUX1533"/>
      <c r="VUY1533"/>
      <c r="VUZ1533"/>
      <c r="VVA1533"/>
      <c r="VVB1533"/>
      <c r="VVC1533"/>
      <c r="VVD1533"/>
      <c r="VVE1533"/>
      <c r="VVF1533"/>
      <c r="VVG1533"/>
      <c r="VVH1533"/>
      <c r="VVI1533"/>
      <c r="VVJ1533"/>
      <c r="VVK1533"/>
      <c r="VVL1533"/>
      <c r="VVM1533"/>
      <c r="VVN1533"/>
      <c r="VVO1533"/>
      <c r="VVP1533"/>
      <c r="VVQ1533"/>
      <c r="VVR1533"/>
      <c r="VVS1533"/>
      <c r="VVT1533"/>
      <c r="VVU1533"/>
      <c r="VVV1533"/>
      <c r="VVW1533"/>
      <c r="VVX1533"/>
      <c r="VVY1533"/>
      <c r="VVZ1533"/>
      <c r="VWA1533"/>
      <c r="VWB1533"/>
      <c r="VWC1533"/>
      <c r="VWD1533"/>
      <c r="VWE1533"/>
      <c r="VWF1533"/>
      <c r="VWG1533"/>
      <c r="VWH1533"/>
      <c r="VWI1533"/>
      <c r="VWJ1533"/>
      <c r="VWK1533"/>
      <c r="VWL1533"/>
      <c r="VWM1533"/>
      <c r="VWN1533"/>
      <c r="VWO1533"/>
      <c r="VWP1533"/>
      <c r="VWQ1533"/>
      <c r="VWR1533"/>
      <c r="VWS1533"/>
      <c r="VWT1533"/>
      <c r="VWU1533"/>
      <c r="VWV1533"/>
      <c r="VWW1533"/>
      <c r="VWX1533"/>
      <c r="VWY1533"/>
      <c r="VWZ1533"/>
      <c r="VXA1533"/>
      <c r="VXB1533"/>
      <c r="VXC1533"/>
      <c r="VXD1533"/>
      <c r="VXE1533"/>
      <c r="VXF1533"/>
      <c r="VXG1533"/>
      <c r="VXH1533"/>
      <c r="VXI1533"/>
      <c r="VXJ1533"/>
      <c r="VXK1533"/>
      <c r="VXL1533"/>
      <c r="VXM1533"/>
      <c r="VXN1533"/>
      <c r="VXO1533"/>
      <c r="VXP1533"/>
      <c r="VXQ1533"/>
      <c r="VXR1533"/>
      <c r="VXS1533"/>
      <c r="VXT1533"/>
      <c r="VXU1533"/>
      <c r="VXV1533"/>
      <c r="VXW1533"/>
      <c r="VXX1533"/>
      <c r="VXY1533"/>
      <c r="VXZ1533"/>
      <c r="VYA1533"/>
      <c r="VYB1533"/>
      <c r="VYC1533"/>
      <c r="VYD1533"/>
      <c r="VYE1533"/>
      <c r="VYF1533"/>
      <c r="VYG1533"/>
      <c r="VYH1533"/>
      <c r="VYI1533"/>
      <c r="VYJ1533"/>
      <c r="VYK1533"/>
      <c r="VYL1533"/>
      <c r="VYM1533"/>
      <c r="VYN1533"/>
      <c r="VYO1533"/>
      <c r="VYP1533"/>
      <c r="VYQ1533"/>
      <c r="VYR1533"/>
      <c r="VYS1533"/>
      <c r="VYT1533"/>
      <c r="VYU1533"/>
      <c r="VYV1533"/>
      <c r="VYW1533"/>
      <c r="VYX1533"/>
      <c r="VYY1533"/>
      <c r="VYZ1533"/>
      <c r="VZA1533"/>
      <c r="VZB1533"/>
      <c r="VZC1533"/>
      <c r="VZD1533"/>
      <c r="VZE1533"/>
      <c r="VZF1533"/>
      <c r="VZG1533"/>
      <c r="VZH1533"/>
      <c r="VZI1533"/>
      <c r="VZJ1533"/>
      <c r="VZK1533"/>
      <c r="VZL1533"/>
      <c r="VZM1533"/>
      <c r="VZN1533"/>
      <c r="VZO1533"/>
      <c r="VZP1533"/>
      <c r="VZQ1533"/>
      <c r="VZR1533"/>
      <c r="VZS1533"/>
      <c r="VZT1533"/>
      <c r="VZU1533"/>
      <c r="VZV1533"/>
      <c r="VZW1533"/>
      <c r="VZX1533"/>
      <c r="VZY1533"/>
      <c r="VZZ1533"/>
      <c r="WAA1533"/>
      <c r="WAB1533"/>
      <c r="WAC1533"/>
      <c r="WAD1533"/>
      <c r="WAE1533"/>
      <c r="WAF1533"/>
      <c r="WAG1533"/>
      <c r="WAH1533"/>
      <c r="WAI1533"/>
      <c r="WAJ1533"/>
      <c r="WAK1533"/>
      <c r="WAL1533"/>
      <c r="WAM1533"/>
      <c r="WAN1533"/>
      <c r="WAO1533"/>
      <c r="WAP1533"/>
      <c r="WAQ1533"/>
      <c r="WAR1533"/>
      <c r="WAS1533"/>
      <c r="WAT1533"/>
      <c r="WAU1533"/>
      <c r="WAV1533"/>
      <c r="WAW1533"/>
      <c r="WAX1533"/>
      <c r="WAY1533"/>
      <c r="WAZ1533"/>
      <c r="WBA1533"/>
      <c r="WBB1533"/>
      <c r="WBC1533"/>
      <c r="WBD1533"/>
      <c r="WBE1533"/>
      <c r="WBF1533"/>
      <c r="WBG1533"/>
      <c r="WBH1533"/>
      <c r="WBI1533"/>
      <c r="WBJ1533"/>
      <c r="WBK1533"/>
      <c r="WBL1533"/>
      <c r="WBM1533"/>
      <c r="WBN1533"/>
      <c r="WBO1533"/>
      <c r="WBP1533"/>
      <c r="WBQ1533"/>
      <c r="WBR1533"/>
      <c r="WBS1533"/>
      <c r="WBT1533"/>
      <c r="WBU1533"/>
      <c r="WBV1533"/>
      <c r="WBW1533"/>
      <c r="WBX1533"/>
      <c r="WBY1533"/>
      <c r="WBZ1533"/>
      <c r="WCA1533"/>
      <c r="WCB1533"/>
      <c r="WCC1533"/>
      <c r="WCD1533"/>
      <c r="WCE1533"/>
      <c r="WCF1533"/>
      <c r="WCG1533"/>
      <c r="WCH1533"/>
      <c r="WCI1533"/>
      <c r="WCJ1533"/>
      <c r="WCK1533"/>
      <c r="WCL1533"/>
      <c r="WCM1533"/>
      <c r="WCN1533"/>
      <c r="WCO1533"/>
      <c r="WCP1533"/>
      <c r="WCQ1533"/>
      <c r="WCR1533"/>
      <c r="WCS1533"/>
      <c r="WCT1533"/>
      <c r="WCU1533"/>
      <c r="WCV1533"/>
      <c r="WCW1533"/>
      <c r="WCX1533"/>
      <c r="WCY1533"/>
      <c r="WCZ1533"/>
      <c r="WDA1533"/>
      <c r="WDB1533"/>
      <c r="WDC1533"/>
      <c r="WDD1533"/>
      <c r="WDE1533"/>
      <c r="WDF1533"/>
      <c r="WDG1533"/>
      <c r="WDH1533"/>
      <c r="WDI1533"/>
      <c r="WDJ1533"/>
      <c r="WDK1533"/>
      <c r="WDL1533"/>
      <c r="WDM1533"/>
      <c r="WDN1533"/>
      <c r="WDO1533"/>
      <c r="WDP1533"/>
      <c r="WDQ1533"/>
      <c r="WDR1533"/>
      <c r="WDS1533"/>
      <c r="WDT1533"/>
      <c r="WDU1533"/>
      <c r="WDV1533"/>
      <c r="WDW1533"/>
      <c r="WDX1533"/>
      <c r="WDY1533"/>
      <c r="WDZ1533"/>
      <c r="WEA1533"/>
      <c r="WEB1533"/>
      <c r="WEC1533"/>
      <c r="WED1533"/>
      <c r="WEE1533"/>
      <c r="WEF1533"/>
      <c r="WEG1533"/>
      <c r="WEH1533"/>
      <c r="WEI1533"/>
      <c r="WEJ1533"/>
      <c r="WEK1533"/>
      <c r="WEL1533"/>
      <c r="WEM1533"/>
      <c r="WEN1533"/>
      <c r="WEO1533"/>
      <c r="WEP1533"/>
      <c r="WEQ1533"/>
      <c r="WER1533"/>
      <c r="WES1533"/>
      <c r="WET1533"/>
      <c r="WEU1533"/>
      <c r="WEV1533"/>
      <c r="WEW1533"/>
      <c r="WEX1533"/>
      <c r="WEY1533"/>
      <c r="WEZ1533"/>
      <c r="WFA1533"/>
      <c r="WFB1533"/>
      <c r="WFC1533"/>
      <c r="WFD1533"/>
      <c r="WFE1533"/>
      <c r="WFF1533"/>
      <c r="WFG1533"/>
      <c r="WFH1533"/>
      <c r="WFI1533"/>
      <c r="WFJ1533"/>
      <c r="WFK1533"/>
      <c r="WFL1533"/>
      <c r="WFM1533"/>
      <c r="WFN1533"/>
      <c r="WFO1533"/>
      <c r="WFP1533"/>
      <c r="WFQ1533"/>
      <c r="WFR1533"/>
      <c r="WFS1533"/>
      <c r="WFT1533"/>
      <c r="WFU1533"/>
      <c r="WFV1533"/>
      <c r="WFW1533"/>
      <c r="WFX1533"/>
      <c r="WFY1533"/>
      <c r="WFZ1533"/>
      <c r="WGA1533"/>
      <c r="WGB1533"/>
      <c r="WGC1533"/>
      <c r="WGD1533"/>
      <c r="WGE1533"/>
      <c r="WGF1533"/>
      <c r="WGG1533"/>
      <c r="WGH1533"/>
      <c r="WGI1533"/>
      <c r="WGJ1533"/>
      <c r="WGK1533"/>
      <c r="WGL1533"/>
      <c r="WGM1533"/>
      <c r="WGN1533"/>
      <c r="WGO1533"/>
      <c r="WGP1533"/>
      <c r="WGQ1533"/>
      <c r="WGR1533"/>
      <c r="WGS1533"/>
      <c r="WGT1533"/>
      <c r="WGU1533"/>
      <c r="WGV1533"/>
      <c r="WGW1533"/>
      <c r="WGX1533"/>
      <c r="WGY1533"/>
      <c r="WGZ1533"/>
      <c r="WHA1533"/>
      <c r="WHB1533"/>
      <c r="WHC1533"/>
      <c r="WHD1533"/>
      <c r="WHE1533"/>
      <c r="WHF1533"/>
      <c r="WHG1533"/>
      <c r="WHH1533"/>
      <c r="WHI1533"/>
      <c r="WHJ1533"/>
      <c r="WHK1533"/>
      <c r="WHL1533"/>
      <c r="WHM1533"/>
      <c r="WHN1533"/>
      <c r="WHO1533"/>
      <c r="WHP1533"/>
      <c r="WHQ1533"/>
      <c r="WHR1533"/>
      <c r="WHS1533"/>
      <c r="WHT1533"/>
      <c r="WHU1533"/>
      <c r="WHV1533"/>
      <c r="WHW1533"/>
      <c r="WHX1533"/>
      <c r="WHY1533"/>
      <c r="WHZ1533"/>
      <c r="WIA1533"/>
      <c r="WIB1533"/>
      <c r="WIC1533"/>
      <c r="WID1533"/>
      <c r="WIE1533"/>
      <c r="WIF1533"/>
      <c r="WIG1533"/>
      <c r="WIH1533"/>
      <c r="WII1533"/>
      <c r="WIJ1533"/>
      <c r="WIK1533"/>
      <c r="WIL1533"/>
      <c r="WIM1533"/>
      <c r="WIN1533"/>
      <c r="WIO1533"/>
      <c r="WIP1533"/>
      <c r="WIQ1533"/>
      <c r="WIR1533"/>
      <c r="WIS1533"/>
      <c r="WIT1533"/>
      <c r="WIU1533"/>
      <c r="WIV1533"/>
      <c r="WIW1533"/>
      <c r="WIX1533"/>
      <c r="WIY1533"/>
      <c r="WIZ1533"/>
      <c r="WJA1533"/>
      <c r="WJB1533"/>
      <c r="WJC1533"/>
      <c r="WJD1533"/>
      <c r="WJE1533"/>
      <c r="WJF1533"/>
      <c r="WJG1533"/>
      <c r="WJH1533"/>
      <c r="WJI1533"/>
      <c r="WJJ1533"/>
      <c r="WJK1533"/>
      <c r="WJL1533"/>
      <c r="WJM1533"/>
      <c r="WJN1533"/>
      <c r="WJO1533"/>
      <c r="WJP1533"/>
      <c r="WJQ1533"/>
      <c r="WJR1533"/>
      <c r="WJS1533"/>
      <c r="WJT1533"/>
      <c r="WJU1533"/>
      <c r="WJV1533"/>
      <c r="WJW1533"/>
      <c r="WJX1533"/>
      <c r="WJY1533"/>
      <c r="WJZ1533"/>
      <c r="WKA1533"/>
      <c r="WKB1533"/>
      <c r="WKC1533"/>
      <c r="WKD1533"/>
      <c r="WKE1533"/>
      <c r="WKF1533"/>
      <c r="WKG1533"/>
      <c r="WKH1533"/>
      <c r="WKI1533"/>
      <c r="WKJ1533"/>
      <c r="WKK1533"/>
      <c r="WKL1533"/>
      <c r="WKM1533"/>
      <c r="WKN1533"/>
      <c r="WKO1533"/>
      <c r="WKP1533"/>
      <c r="WKQ1533"/>
      <c r="WKR1533"/>
      <c r="WKS1533"/>
      <c r="WKT1533"/>
      <c r="WKU1533"/>
      <c r="WKV1533"/>
      <c r="WKW1533"/>
      <c r="WKX1533"/>
      <c r="WKY1533"/>
      <c r="WKZ1533"/>
      <c r="WLA1533"/>
      <c r="WLB1533"/>
      <c r="WLC1533"/>
      <c r="WLD1533"/>
      <c r="WLE1533"/>
      <c r="WLF1533"/>
      <c r="WLG1533"/>
      <c r="WLH1533"/>
      <c r="WLI1533"/>
      <c r="WLJ1533"/>
      <c r="WLK1533"/>
      <c r="WLL1533"/>
      <c r="WLM1533"/>
      <c r="WLN1533"/>
      <c r="WLO1533"/>
      <c r="WLP1533"/>
      <c r="WLQ1533"/>
      <c r="WLR1533"/>
      <c r="WLS1533"/>
      <c r="WLT1533"/>
      <c r="WLU1533"/>
      <c r="WLV1533"/>
      <c r="WLW1533"/>
      <c r="WLX1533"/>
      <c r="WLY1533"/>
      <c r="WLZ1533"/>
      <c r="WMA1533"/>
      <c r="WMB1533"/>
      <c r="WMC1533"/>
      <c r="WMD1533"/>
      <c r="WME1533"/>
      <c r="WMF1533"/>
      <c r="WMG1533"/>
      <c r="WMH1533"/>
      <c r="WMI1533"/>
      <c r="WMJ1533"/>
      <c r="WMK1533"/>
      <c r="WML1533"/>
      <c r="WMM1533"/>
      <c r="WMN1533"/>
      <c r="WMO1533"/>
      <c r="WMP1533"/>
      <c r="WMQ1533"/>
      <c r="WMR1533"/>
      <c r="WMS1533"/>
      <c r="WMT1533"/>
      <c r="WMU1533"/>
      <c r="WMV1533"/>
      <c r="WMW1533"/>
      <c r="WMX1533"/>
      <c r="WMY1533"/>
      <c r="WMZ1533"/>
      <c r="WNA1533"/>
      <c r="WNB1533"/>
      <c r="WNC1533"/>
      <c r="WND1533"/>
      <c r="WNE1533"/>
      <c r="WNF1533"/>
      <c r="WNG1533"/>
      <c r="WNH1533"/>
      <c r="WNI1533"/>
      <c r="WNJ1533"/>
      <c r="WNK1533"/>
      <c r="WNL1533"/>
      <c r="WNM1533"/>
      <c r="WNN1533"/>
      <c r="WNO1533"/>
      <c r="WNP1533"/>
      <c r="WNQ1533"/>
      <c r="WNR1533"/>
      <c r="WNS1533"/>
      <c r="WNT1533"/>
      <c r="WNU1533"/>
      <c r="WNV1533"/>
      <c r="WNW1533"/>
      <c r="WNX1533"/>
      <c r="WNY1533"/>
      <c r="WNZ1533"/>
      <c r="WOA1533"/>
      <c r="WOB1533"/>
      <c r="WOC1533"/>
      <c r="WOD1533"/>
      <c r="WOE1533"/>
      <c r="WOF1533"/>
      <c r="WOG1533"/>
      <c r="WOH1533"/>
      <c r="WOI1533"/>
      <c r="WOJ1533"/>
      <c r="WOK1533"/>
      <c r="WOL1533"/>
      <c r="WOM1533"/>
      <c r="WON1533"/>
      <c r="WOO1533"/>
      <c r="WOP1533"/>
      <c r="WOQ1533"/>
      <c r="WOR1533"/>
      <c r="WOS1533"/>
      <c r="WOT1533"/>
      <c r="WOU1533"/>
      <c r="WOV1533"/>
      <c r="WOW1533"/>
      <c r="WOX1533"/>
      <c r="WOY1533"/>
      <c r="WOZ1533"/>
      <c r="WPA1533"/>
      <c r="WPB1533"/>
      <c r="WPC1533"/>
      <c r="WPD1533"/>
      <c r="WPE1533"/>
      <c r="WPF1533"/>
      <c r="WPG1533"/>
      <c r="WPH1533"/>
      <c r="WPI1533"/>
      <c r="WPJ1533"/>
      <c r="WPK1533"/>
      <c r="WPL1533"/>
      <c r="WPM1533"/>
      <c r="WPN1533"/>
      <c r="WPO1533"/>
      <c r="WPP1533"/>
      <c r="WPQ1533"/>
      <c r="WPR1533"/>
      <c r="WPS1533"/>
      <c r="WPT1533"/>
      <c r="WPU1533"/>
      <c r="WPV1533"/>
      <c r="WPW1533"/>
      <c r="WPX1533"/>
      <c r="WPY1533"/>
      <c r="WPZ1533"/>
      <c r="WQA1533"/>
      <c r="WQB1533"/>
      <c r="WQC1533"/>
      <c r="WQD1533"/>
      <c r="WQE1533"/>
      <c r="WQF1533"/>
      <c r="WQG1533"/>
      <c r="WQH1533"/>
      <c r="WQI1533"/>
      <c r="WQJ1533"/>
      <c r="WQK1533"/>
      <c r="WQL1533"/>
      <c r="WQM1533"/>
      <c r="WQN1533"/>
      <c r="WQO1533"/>
      <c r="WQP1533"/>
      <c r="WQQ1533"/>
      <c r="WQR1533"/>
      <c r="WQS1533"/>
      <c r="WQT1533"/>
      <c r="WQU1533"/>
      <c r="WQV1533"/>
      <c r="WQW1533"/>
      <c r="WQX1533"/>
      <c r="WQY1533"/>
      <c r="WQZ1533"/>
      <c r="WRA1533"/>
      <c r="WRB1533"/>
      <c r="WRC1533"/>
      <c r="WRD1533"/>
      <c r="WRE1533"/>
      <c r="WRF1533"/>
      <c r="WRG1533"/>
      <c r="WRH1533"/>
      <c r="WRI1533"/>
      <c r="WRJ1533"/>
      <c r="WRK1533"/>
      <c r="WRL1533"/>
      <c r="WRM1533"/>
      <c r="WRN1533"/>
      <c r="WRO1533"/>
      <c r="WRP1533"/>
      <c r="WRQ1533"/>
      <c r="WRR1533"/>
      <c r="WRS1533"/>
      <c r="WRT1533"/>
      <c r="WRU1533"/>
      <c r="WRV1533"/>
      <c r="WRW1533"/>
      <c r="WRX1533"/>
      <c r="WRY1533"/>
      <c r="WRZ1533"/>
      <c r="WSA1533"/>
      <c r="WSB1533"/>
      <c r="WSC1533"/>
      <c r="WSD1533"/>
      <c r="WSE1533"/>
      <c r="WSF1533"/>
      <c r="WSG1533"/>
      <c r="WSH1533"/>
      <c r="WSI1533"/>
      <c r="WSJ1533"/>
      <c r="WSK1533"/>
      <c r="WSL1533"/>
      <c r="WSM1533"/>
      <c r="WSN1533"/>
      <c r="WSO1533"/>
      <c r="WSP1533"/>
      <c r="WSQ1533"/>
      <c r="WSR1533"/>
      <c r="WSS1533"/>
      <c r="WST1533"/>
      <c r="WSU1533"/>
      <c r="WSV1533"/>
      <c r="WSW1533"/>
      <c r="WSX1533"/>
      <c r="WSY1533"/>
      <c r="WSZ1533"/>
      <c r="WTA1533"/>
      <c r="WTB1533"/>
      <c r="WTC1533"/>
      <c r="WTD1533"/>
      <c r="WTE1533"/>
      <c r="WTF1533"/>
      <c r="WTG1533"/>
      <c r="WTH1533"/>
      <c r="WTI1533"/>
      <c r="WTJ1533"/>
      <c r="WTK1533"/>
      <c r="WTL1533"/>
      <c r="WTM1533"/>
      <c r="WTN1533"/>
      <c r="WTO1533"/>
      <c r="WTP1533"/>
      <c r="WTQ1533"/>
      <c r="WTR1533"/>
      <c r="WTS1533"/>
      <c r="WTT1533"/>
      <c r="WTU1533"/>
      <c r="WTV1533"/>
      <c r="WTW1533"/>
      <c r="WTX1533"/>
      <c r="WTY1533"/>
      <c r="WTZ1533"/>
      <c r="WUA1533"/>
      <c r="WUB1533"/>
      <c r="WUC1533"/>
      <c r="WUD1533"/>
      <c r="WUE1533"/>
      <c r="WUF1533"/>
      <c r="WUG1533"/>
      <c r="WUH1533"/>
      <c r="WUI1533"/>
      <c r="WUJ1533"/>
      <c r="WUK1533"/>
      <c r="WUL1533"/>
      <c r="WUM1533"/>
      <c r="WUN1533"/>
      <c r="WUO1533"/>
      <c r="WUP1533"/>
      <c r="WUQ1533"/>
      <c r="WUR1533"/>
      <c r="WUS1533"/>
      <c r="WUT1533"/>
      <c r="WUU1533"/>
      <c r="WUV1533"/>
      <c r="WUW1533"/>
      <c r="WUX1533"/>
      <c r="WUY1533"/>
      <c r="WUZ1533"/>
      <c r="WVA1533"/>
      <c r="WVB1533"/>
      <c r="WVC1533"/>
      <c r="WVD1533"/>
      <c r="WVE1533"/>
      <c r="WVF1533"/>
      <c r="WVG1533"/>
      <c r="WVH1533"/>
      <c r="WVI1533"/>
      <c r="WVJ1533"/>
      <c r="WVK1533"/>
      <c r="WVL1533"/>
      <c r="WVM1533"/>
      <c r="WVN1533"/>
      <c r="WVO1533"/>
      <c r="WVP1533"/>
      <c r="WVQ1533"/>
      <c r="WVR1533"/>
      <c r="WVS1533"/>
      <c r="WVT1533"/>
      <c r="WVU1533"/>
      <c r="WVV1533"/>
      <c r="WVW1533"/>
      <c r="WVX1533"/>
      <c r="WVY1533"/>
      <c r="WVZ1533"/>
      <c r="WWA1533"/>
      <c r="WWB1533"/>
      <c r="WWC1533"/>
      <c r="WWD1533"/>
      <c r="WWE1533"/>
      <c r="WWF1533"/>
      <c r="WWG1533"/>
      <c r="WWH1533"/>
      <c r="WWI1533"/>
      <c r="WWJ1533"/>
      <c r="WWK1533"/>
      <c r="WWL1533"/>
      <c r="WWM1533"/>
      <c r="WWN1533"/>
      <c r="WWO1533"/>
      <c r="WWP1533"/>
      <c r="WWQ1533"/>
      <c r="WWR1533"/>
      <c r="WWS1533"/>
      <c r="WWT1533"/>
      <c r="WWU1533"/>
      <c r="WWV1533"/>
      <c r="WWW1533"/>
      <c r="WWX1533"/>
      <c r="WWY1533"/>
      <c r="WWZ1533"/>
      <c r="WXA1533"/>
      <c r="WXB1533"/>
      <c r="WXC1533"/>
      <c r="WXD1533"/>
      <c r="WXE1533"/>
      <c r="WXF1533"/>
      <c r="WXG1533"/>
      <c r="WXH1533"/>
      <c r="WXI1533"/>
      <c r="WXJ1533"/>
      <c r="WXK1533"/>
      <c r="WXL1533"/>
      <c r="WXM1533"/>
      <c r="WXN1533"/>
      <c r="WXO1533"/>
      <c r="WXP1533"/>
      <c r="WXQ1533"/>
      <c r="WXR1533"/>
      <c r="WXS1533"/>
      <c r="WXT1533"/>
      <c r="WXU1533"/>
      <c r="WXV1533"/>
      <c r="WXW1533"/>
      <c r="WXX1533"/>
      <c r="WXY1533"/>
      <c r="WXZ1533"/>
      <c r="WYA1533"/>
      <c r="WYB1533"/>
      <c r="WYC1533"/>
      <c r="WYD1533"/>
      <c r="WYE1533"/>
      <c r="WYF1533"/>
      <c r="WYG1533"/>
      <c r="WYH1533"/>
      <c r="WYI1533"/>
      <c r="WYJ1533"/>
      <c r="WYK1533"/>
      <c r="WYL1533"/>
      <c r="WYM1533"/>
      <c r="WYN1533"/>
      <c r="WYO1533"/>
      <c r="WYP1533"/>
      <c r="WYQ1533"/>
      <c r="WYR1533"/>
      <c r="WYS1533"/>
      <c r="WYT1533"/>
      <c r="WYU1533"/>
      <c r="WYV1533"/>
      <c r="WYW1533"/>
      <c r="WYX1533"/>
      <c r="WYY1533"/>
      <c r="WYZ1533"/>
      <c r="WZA1533"/>
      <c r="WZB1533"/>
      <c r="WZC1533"/>
      <c r="WZD1533"/>
      <c r="WZE1533"/>
      <c r="WZF1533"/>
      <c r="WZG1533"/>
      <c r="WZH1533"/>
      <c r="WZI1533"/>
      <c r="WZJ1533"/>
      <c r="WZK1533"/>
      <c r="WZL1533"/>
      <c r="WZM1533"/>
      <c r="WZN1533"/>
      <c r="WZO1533"/>
      <c r="WZP1533"/>
      <c r="WZQ1533"/>
      <c r="WZR1533"/>
      <c r="WZS1533"/>
      <c r="WZT1533"/>
      <c r="WZU1533"/>
      <c r="WZV1533"/>
      <c r="WZW1533"/>
      <c r="WZX1533"/>
      <c r="WZY1533"/>
      <c r="WZZ1533"/>
      <c r="XAA1533"/>
      <c r="XAB1533"/>
      <c r="XAC1533"/>
      <c r="XAD1533"/>
      <c r="XAE1533"/>
      <c r="XAF1533"/>
      <c r="XAG1533"/>
      <c r="XAH1533"/>
      <c r="XAI1533"/>
      <c r="XAJ1533"/>
      <c r="XAK1533"/>
      <c r="XAL1533"/>
      <c r="XAM1533"/>
      <c r="XAN1533"/>
      <c r="XAO1533"/>
      <c r="XAP1533"/>
      <c r="XAQ1533"/>
      <c r="XAR1533"/>
      <c r="XAS1533"/>
      <c r="XAT1533"/>
      <c r="XAU1533"/>
      <c r="XAV1533"/>
      <c r="XAW1533"/>
      <c r="XAX1533"/>
      <c r="XAY1533"/>
      <c r="XAZ1533"/>
      <c r="XBA1533"/>
      <c r="XBB1533"/>
      <c r="XBC1533"/>
      <c r="XBD1533"/>
      <c r="XBE1533"/>
      <c r="XBF1533"/>
      <c r="XBG1533"/>
      <c r="XBH1533"/>
      <c r="XBI1533"/>
      <c r="XBJ1533"/>
      <c r="XBK1533"/>
      <c r="XBL1533"/>
      <c r="XBM1533"/>
      <c r="XBN1533"/>
      <c r="XBO1533"/>
      <c r="XBP1533"/>
      <c r="XBQ1533"/>
      <c r="XBR1533"/>
      <c r="XBS1533"/>
      <c r="XBT1533"/>
      <c r="XBU1533"/>
      <c r="XBV1533"/>
      <c r="XBW1533"/>
      <c r="XBX1533"/>
      <c r="XBY1533"/>
      <c r="XBZ1533"/>
      <c r="XCA1533"/>
      <c r="XCB1533"/>
      <c r="XCC1533"/>
      <c r="XCD1533"/>
      <c r="XCE1533"/>
      <c r="XCF1533"/>
      <c r="XCG1533"/>
      <c r="XCH1533"/>
      <c r="XCI1533"/>
      <c r="XCJ1533"/>
      <c r="XCK1533"/>
      <c r="XCL1533"/>
      <c r="XCM1533"/>
      <c r="XCN1533"/>
      <c r="XCO1533"/>
      <c r="XCP1533"/>
      <c r="XCQ1533"/>
      <c r="XCR1533"/>
      <c r="XCS1533"/>
      <c r="XCT1533"/>
      <c r="XCU1533"/>
      <c r="XCV1533"/>
      <c r="XCW1533"/>
      <c r="XCX1533"/>
      <c r="XCY1533"/>
      <c r="XCZ1533"/>
      <c r="XDA1533"/>
      <c r="XDB1533"/>
      <c r="XDC1533"/>
      <c r="XDD1533"/>
      <c r="XDE1533"/>
      <c r="XDF1533"/>
      <c r="XDG1533"/>
      <c r="XDH1533"/>
      <c r="XDI1533"/>
      <c r="XDJ1533"/>
      <c r="XDK1533"/>
      <c r="XDL1533"/>
      <c r="XDM1533"/>
      <c r="XDN1533"/>
      <c r="XDO1533"/>
      <c r="XDP1533"/>
      <c r="XDQ1533"/>
      <c r="XDR1533"/>
      <c r="XDS1533"/>
      <c r="XDT1533"/>
      <c r="XDU1533"/>
      <c r="XDV1533"/>
      <c r="XDW1533"/>
      <c r="XDX1533"/>
      <c r="XDY1533"/>
      <c r="XDZ1533"/>
      <c r="XEA1533"/>
      <c r="XEB1533"/>
      <c r="XEC1533"/>
      <c r="XED1533"/>
      <c r="XEE1533"/>
      <c r="XEF1533"/>
      <c r="XEG1533"/>
      <c r="XEH1533"/>
      <c r="XEI1533"/>
      <c r="XEJ1533"/>
      <c r="XEK1533"/>
      <c r="XEL1533"/>
      <c r="XEM1533"/>
      <c r="XEN1533"/>
      <c r="XEO1533"/>
      <c r="XEP1533"/>
      <c r="XEQ1533"/>
      <c r="XER1533"/>
      <c r="XES1533"/>
      <c r="XET1533"/>
      <c r="XEU1533"/>
      <c r="XEV1533"/>
      <c r="XEW1533"/>
      <c r="XEX1533"/>
    </row>
    <row r="1534" spans="1:16378" s="30" customFormat="1" ht="15" customHeight="1" x14ac:dyDescent="0.25">
      <c r="A1534">
        <v>2025</v>
      </c>
      <c r="B1534" s="8" t="s">
        <v>730</v>
      </c>
      <c r="C1534" s="8" t="s">
        <v>9159</v>
      </c>
      <c r="D1534" s="8" t="s">
        <v>9160</v>
      </c>
      <c r="E1534" s="8" t="s">
        <v>239</v>
      </c>
      <c r="F1534" s="8" t="s">
        <v>6643</v>
      </c>
      <c r="G1534" s="8" t="s">
        <v>7152</v>
      </c>
      <c r="H1534" s="8" t="s">
        <v>59</v>
      </c>
      <c r="I1534" s="642">
        <v>45665</v>
      </c>
      <c r="J1534" s="18">
        <v>45904</v>
      </c>
      <c r="K1534" s="18">
        <v>45903</v>
      </c>
      <c r="L1534" s="16">
        <f>IF(ISTEXT(Table15[[#This Row],[Engineering Approved Design Date]]),Table15[[#This Row],[Date Completed]]-Table15[[#This Row],[Date Assigned to Designer]],Table15[[#This Row],[Engineering Approved Design Date]]-Table15[[#This Row],[Date Completed]])</f>
        <v>1</v>
      </c>
      <c r="M1534" s="13"/>
      <c r="N1534" s="770" t="s">
        <v>376</v>
      </c>
      <c r="O1534" s="1060" t="s">
        <v>376</v>
      </c>
      <c r="P1534" s="1152" t="s">
        <v>120</v>
      </c>
      <c r="Q1534" s="340">
        <f>Table15[[#This Row],[Rate]]*Table15[[#This Row],[Construction Cost to Bill From]]</f>
        <v>23955.797799999997</v>
      </c>
      <c r="R1534" s="1039">
        <v>0.11</v>
      </c>
      <c r="S1534" s="1135" t="s">
        <v>709</v>
      </c>
      <c r="T1534" s="538" t="s">
        <v>709</v>
      </c>
      <c r="U1534" s="28" t="s">
        <v>709</v>
      </c>
      <c r="V1534" s="858">
        <f>215+724+83</f>
        <v>1022</v>
      </c>
      <c r="W1534" s="437">
        <v>1</v>
      </c>
      <c r="X1534" s="552">
        <v>163444.87</v>
      </c>
      <c r="Y1534" s="551"/>
      <c r="Z1534" s="552">
        <v>54335.11</v>
      </c>
      <c r="AA1534" s="892">
        <f>SUM(Table15[[#This Row],[PCTS Investment Amount]:[PCTS Retirement Amount]])</f>
        <v>217779.97999999998</v>
      </c>
      <c r="AB1534" s="1217">
        <v>45911</v>
      </c>
      <c r="AC1534" s="568" t="s">
        <v>116</v>
      </c>
      <c r="AD1534" s="1159" t="s">
        <v>29</v>
      </c>
      <c r="AE1534" s="573" t="s">
        <v>116</v>
      </c>
      <c r="AF1534" s="573" t="s">
        <v>116</v>
      </c>
      <c r="AG1534" s="569" t="s">
        <v>376</v>
      </c>
      <c r="AH1534" s="573" t="s">
        <v>376</v>
      </c>
      <c r="AI1534" s="1109"/>
      <c r="AJ1534" s="1110">
        <v>3527.15</v>
      </c>
      <c r="AK1534" s="1143">
        <v>4836.3100000000004</v>
      </c>
      <c r="AL1534" s="971">
        <f>SUM(Table15[[#This Row],[Nicor Initiated DBE]:[Staffing]])/(Table15[[#This Row],[Amount Invoiced]])</f>
        <v>0.34912049558207586</v>
      </c>
      <c r="AM1534" s="536" t="s">
        <v>116</v>
      </c>
      <c r="AN1534" s="903"/>
      <c r="AO1534" s="1536"/>
      <c r="AP1534" s="1537"/>
      <c r="AQ1534" s="1537"/>
      <c r="AR1534" s="1537"/>
      <c r="AS1534" s="888"/>
      <c r="AT1534" s="888"/>
      <c r="AU1534" s="888"/>
      <c r="AV1534" s="905"/>
      <c r="AW1534" s="1509"/>
      <c r="AX1534" s="888"/>
      <c r="AY1534" s="636"/>
      <c r="AZ1534" s="333"/>
      <c r="BA1534" s="1074" t="s">
        <v>9161</v>
      </c>
      <c r="BB1534" s="644" t="s">
        <v>9162</v>
      </c>
      <c r="BC1534" s="544" t="s">
        <v>115</v>
      </c>
      <c r="BD1534" s="544" t="s">
        <v>806</v>
      </c>
      <c r="BE1534" s="544" t="s">
        <v>115</v>
      </c>
      <c r="BF1534" s="544" t="s">
        <v>9163</v>
      </c>
      <c r="BG1534" s="548" t="s">
        <v>115</v>
      </c>
      <c r="BH1534" s="615" t="s">
        <v>9164</v>
      </c>
      <c r="BI1534" s="547" t="s">
        <v>709</v>
      </c>
      <c r="BJ1534" s="547" t="s">
        <v>709</v>
      </c>
      <c r="BK1534" s="547" t="s">
        <v>116</v>
      </c>
      <c r="BL1534" s="547" t="s">
        <v>116</v>
      </c>
      <c r="BM1534" s="547" t="s">
        <v>709</v>
      </c>
      <c r="BN1534" s="547" t="s">
        <v>709</v>
      </c>
      <c r="BO1534" s="547" t="s">
        <v>709</v>
      </c>
      <c r="BP1534" s="626" t="s">
        <v>709</v>
      </c>
      <c r="BQ1534" s="626" t="s">
        <v>709</v>
      </c>
      <c r="BR1534" s="549">
        <v>724</v>
      </c>
      <c r="BS1534" s="549">
        <v>298</v>
      </c>
      <c r="BT1534" s="547" t="s">
        <v>709</v>
      </c>
      <c r="BU1534" s="547">
        <v>1</v>
      </c>
      <c r="BV1534" s="547" t="s">
        <v>709</v>
      </c>
      <c r="BW1534" s="547" t="s">
        <v>709</v>
      </c>
      <c r="BX1534" s="547">
        <v>1</v>
      </c>
      <c r="BY1534" s="547" t="s">
        <v>709</v>
      </c>
      <c r="BZ1534" s="547" t="s">
        <v>709</v>
      </c>
      <c r="CA1534" s="483"/>
      <c r="CB1534" s="547"/>
      <c r="CC1534" s="646" t="b">
        <v>0</v>
      </c>
      <c r="CD1534" s="646" t="str">
        <f>Table15[[#This Row],[Engineering Number]]&amp;Table15[[#This Row],[WO Number]]&amp;Table15[[#This Row],[Date Assigned to Designer]]&amp;Table15[[#This Row],[Date Completed]]</f>
        <v>RS131210148804566545903</v>
      </c>
      <c r="CE1534"/>
      <c r="CF1534"/>
      <c r="CG1534"/>
      <c r="CH1534"/>
      <c r="CI1534"/>
      <c r="CJ1534"/>
      <c r="CK1534"/>
      <c r="CL1534"/>
      <c r="CM1534"/>
      <c r="CN1534"/>
      <c r="CO1534"/>
      <c r="CP1534"/>
      <c r="CQ1534"/>
      <c r="CR1534"/>
      <c r="CS1534"/>
      <c r="CT1534"/>
      <c r="CU1534"/>
      <c r="CV1534"/>
      <c r="CW1534"/>
      <c r="CX1534"/>
      <c r="CY1534"/>
      <c r="CZ1534"/>
      <c r="DA1534"/>
      <c r="DB1534"/>
      <c r="DC1534"/>
      <c r="DD1534"/>
      <c r="DE1534"/>
      <c r="DF1534"/>
      <c r="DG1534"/>
      <c r="DH1534"/>
      <c r="DI1534"/>
      <c r="DJ1534"/>
      <c r="DK1534"/>
      <c r="DL1534"/>
      <c r="DM1534"/>
      <c r="DN1534"/>
      <c r="DO1534"/>
      <c r="DP1534"/>
      <c r="DQ1534"/>
      <c r="DR1534"/>
      <c r="DS1534"/>
      <c r="DT1534"/>
      <c r="DU1534"/>
      <c r="DV1534"/>
      <c r="DW1534"/>
      <c r="DX1534"/>
      <c r="DY1534"/>
      <c r="DZ1534"/>
      <c r="EA1534"/>
      <c r="EB1534"/>
      <c r="EC1534"/>
      <c r="ED1534"/>
      <c r="EE1534"/>
      <c r="EF1534"/>
      <c r="EG1534"/>
      <c r="EH1534"/>
      <c r="EI1534"/>
      <c r="EJ1534"/>
      <c r="EK1534"/>
      <c r="EL1534"/>
      <c r="EM1534"/>
      <c r="EN1534"/>
      <c r="EO1534"/>
      <c r="EP1534"/>
      <c r="EQ1534"/>
      <c r="ER1534"/>
      <c r="ES1534"/>
      <c r="ET1534"/>
      <c r="EU1534"/>
      <c r="EV1534"/>
      <c r="EW1534"/>
      <c r="EX1534"/>
      <c r="EY1534"/>
      <c r="EZ1534"/>
      <c r="FA1534"/>
      <c r="FB1534"/>
      <c r="FC1534"/>
      <c r="FD1534"/>
      <c r="FE1534"/>
      <c r="FF1534"/>
      <c r="FG1534"/>
      <c r="FH1534"/>
      <c r="FI1534"/>
      <c r="FJ1534"/>
      <c r="FK1534"/>
      <c r="FL1534"/>
      <c r="FM1534"/>
      <c r="FN1534"/>
      <c r="FO1534"/>
      <c r="FP1534"/>
      <c r="FQ1534"/>
      <c r="FR1534"/>
      <c r="FS1534"/>
      <c r="FT1534"/>
      <c r="FU1534"/>
      <c r="FV1534"/>
      <c r="FW1534"/>
      <c r="FX1534"/>
      <c r="FY1534"/>
      <c r="FZ1534"/>
      <c r="GA1534"/>
      <c r="GB1534"/>
      <c r="GC1534"/>
      <c r="GD1534"/>
      <c r="GE1534"/>
      <c r="GF1534"/>
      <c r="GG1534"/>
      <c r="GH1534"/>
      <c r="GI1534"/>
      <c r="GJ1534"/>
      <c r="GK1534"/>
      <c r="GL1534"/>
      <c r="GM1534"/>
      <c r="GN1534"/>
      <c r="GO1534"/>
      <c r="GP1534"/>
      <c r="GQ1534"/>
      <c r="GR1534"/>
      <c r="GS1534"/>
      <c r="GT1534"/>
      <c r="GU1534"/>
      <c r="GV1534"/>
      <c r="GW1534"/>
      <c r="GX1534"/>
      <c r="GY1534"/>
      <c r="GZ1534"/>
      <c r="HA1534"/>
      <c r="HB1534"/>
      <c r="HC1534"/>
      <c r="HD1534"/>
      <c r="HE1534"/>
      <c r="HF1534"/>
      <c r="HG1534"/>
      <c r="HH1534"/>
      <c r="HI1534"/>
      <c r="HJ1534"/>
      <c r="HK1534"/>
      <c r="HL1534"/>
      <c r="HM1534"/>
      <c r="HN1534"/>
      <c r="HO1534"/>
      <c r="HP1534"/>
      <c r="HQ1534"/>
      <c r="HR1534"/>
      <c r="HS1534"/>
      <c r="HT1534"/>
      <c r="HU1534"/>
      <c r="HV1534"/>
      <c r="HW1534"/>
      <c r="HX1534"/>
      <c r="HY1534"/>
      <c r="HZ1534"/>
      <c r="IA1534"/>
      <c r="IB1534"/>
      <c r="IC1534"/>
      <c r="ID1534"/>
      <c r="IE1534"/>
      <c r="IF1534"/>
      <c r="IG1534"/>
      <c r="IH1534"/>
      <c r="II1534"/>
      <c r="IJ1534"/>
      <c r="IK1534"/>
      <c r="IL1534"/>
      <c r="IM1534"/>
      <c r="IN1534"/>
      <c r="IO1534"/>
      <c r="IP1534"/>
      <c r="IQ1534"/>
      <c r="IR1534"/>
      <c r="IS1534"/>
      <c r="IT1534"/>
      <c r="IU1534"/>
      <c r="IV1534"/>
      <c r="IW1534"/>
      <c r="IX1534"/>
      <c r="IY1534"/>
      <c r="IZ1534"/>
      <c r="JA1534"/>
      <c r="JB1534"/>
      <c r="JC1534"/>
      <c r="JD1534"/>
      <c r="JE1534"/>
      <c r="JF1534"/>
      <c r="JG1534"/>
      <c r="JH1534"/>
      <c r="JI1534"/>
      <c r="JJ1534"/>
      <c r="JK1534"/>
      <c r="JL1534"/>
      <c r="JM1534"/>
      <c r="JN1534"/>
      <c r="JO1534"/>
      <c r="JP1534"/>
      <c r="JQ1534"/>
      <c r="JR1534"/>
      <c r="JS1534"/>
      <c r="JT1534"/>
      <c r="JU1534"/>
      <c r="JV1534"/>
      <c r="JW1534"/>
      <c r="JX1534"/>
      <c r="JY1534"/>
      <c r="JZ1534"/>
      <c r="KA1534"/>
      <c r="KB1534"/>
      <c r="KC1534"/>
      <c r="KD1534"/>
      <c r="KE1534"/>
      <c r="KF1534"/>
      <c r="KG1534"/>
      <c r="KH1534"/>
      <c r="KI1534"/>
      <c r="KJ1534"/>
      <c r="KK1534"/>
      <c r="KL1534"/>
      <c r="KM1534"/>
      <c r="KN1534"/>
      <c r="KO1534"/>
      <c r="KP1534"/>
      <c r="KQ1534"/>
      <c r="KR1534"/>
      <c r="KS1534"/>
      <c r="KT1534"/>
      <c r="KU1534"/>
      <c r="KV1534"/>
      <c r="KW1534"/>
      <c r="KX1534"/>
      <c r="KY1534"/>
      <c r="KZ1534"/>
      <c r="LA1534"/>
      <c r="LB1534"/>
      <c r="LC1534"/>
      <c r="LD1534"/>
      <c r="LE1534"/>
      <c r="LF1534"/>
      <c r="LG1534"/>
      <c r="LH1534"/>
      <c r="LI1534"/>
      <c r="LJ1534"/>
      <c r="LK1534"/>
      <c r="LL1534"/>
      <c r="LM1534"/>
      <c r="LN1534"/>
      <c r="LO1534"/>
      <c r="LP1534"/>
      <c r="LQ1534"/>
      <c r="LR1534"/>
      <c r="LS1534"/>
      <c r="LT1534"/>
      <c r="LU1534"/>
      <c r="LV1534"/>
      <c r="LW1534"/>
      <c r="LX1534"/>
      <c r="LY1534"/>
      <c r="LZ1534"/>
      <c r="MA1534"/>
      <c r="MB1534"/>
      <c r="MC1534"/>
      <c r="MD1534"/>
      <c r="ME1534"/>
      <c r="MF1534"/>
      <c r="MG1534"/>
      <c r="MH1534"/>
      <c r="MI1534"/>
      <c r="MJ1534"/>
      <c r="MK1534"/>
      <c r="ML1534"/>
      <c r="MM1534"/>
      <c r="MN1534"/>
      <c r="MO1534"/>
      <c r="MP1534"/>
      <c r="MQ1534"/>
      <c r="MR1534"/>
      <c r="MS1534"/>
      <c r="MT1534"/>
      <c r="MU1534"/>
      <c r="MV1534"/>
      <c r="MW1534"/>
      <c r="MX1534"/>
      <c r="MY1534"/>
      <c r="MZ1534"/>
      <c r="NA1534"/>
      <c r="NB1534"/>
      <c r="NC1534"/>
      <c r="ND1534"/>
      <c r="NE1534"/>
      <c r="NF1534"/>
      <c r="NG1534"/>
      <c r="NH1534"/>
      <c r="NI1534"/>
      <c r="NJ1534"/>
      <c r="NK1534"/>
      <c r="NL1534"/>
      <c r="NM1534"/>
      <c r="NN1534"/>
      <c r="NO1534"/>
      <c r="NP1534"/>
      <c r="NQ1534"/>
      <c r="NR1534"/>
      <c r="NS1534"/>
      <c r="NT1534"/>
      <c r="NU1534"/>
      <c r="NV1534"/>
      <c r="NW1534"/>
      <c r="NX1534"/>
      <c r="NY1534"/>
      <c r="NZ1534"/>
      <c r="OA1534"/>
      <c r="OB1534"/>
      <c r="OC1534"/>
      <c r="OD1534"/>
      <c r="OE1534"/>
      <c r="OF1534"/>
      <c r="OG1534"/>
      <c r="OH1534"/>
      <c r="OI1534"/>
      <c r="OJ1534"/>
      <c r="OK1534"/>
      <c r="OL1534"/>
      <c r="OM1534"/>
      <c r="ON1534"/>
      <c r="OO1534"/>
      <c r="OP1534"/>
      <c r="OQ1534"/>
      <c r="OR1534"/>
      <c r="OS1534"/>
      <c r="OT1534"/>
      <c r="OU1534"/>
      <c r="OV1534"/>
      <c r="OW1534"/>
      <c r="OX1534"/>
      <c r="OY1534"/>
      <c r="OZ1534"/>
      <c r="PA1534"/>
      <c r="PB1534"/>
      <c r="PC1534"/>
      <c r="PD1534"/>
      <c r="PE1534"/>
      <c r="PF1534"/>
      <c r="PG1534"/>
      <c r="PH1534"/>
      <c r="PI1534"/>
      <c r="PJ1534"/>
      <c r="PK1534"/>
      <c r="PL1534"/>
      <c r="PM1534"/>
      <c r="PN1534"/>
      <c r="PO1534"/>
      <c r="PP1534"/>
      <c r="PQ1534"/>
      <c r="PR1534"/>
      <c r="PS1534"/>
      <c r="PT1534"/>
      <c r="PU1534"/>
      <c r="PV1534"/>
      <c r="PW1534"/>
      <c r="PX1534"/>
      <c r="PY1534"/>
      <c r="PZ1534"/>
      <c r="QA1534"/>
      <c r="QB1534"/>
      <c r="QC1534"/>
      <c r="QD1534"/>
      <c r="QE1534"/>
      <c r="QF1534"/>
      <c r="QG1534"/>
      <c r="QH1534"/>
      <c r="QI1534"/>
      <c r="QJ1534"/>
      <c r="QK1534"/>
      <c r="QL1534"/>
      <c r="QM1534"/>
      <c r="QN1534"/>
      <c r="QO1534"/>
      <c r="QP1534"/>
      <c r="QQ1534"/>
      <c r="QR1534"/>
      <c r="QS1534"/>
      <c r="QT1534"/>
      <c r="QU1534"/>
      <c r="QV1534"/>
      <c r="QW1534"/>
      <c r="QX1534"/>
      <c r="QY1534"/>
      <c r="QZ1534"/>
      <c r="RA1534"/>
      <c r="RB1534"/>
      <c r="RC1534"/>
      <c r="RD1534"/>
      <c r="RE1534"/>
      <c r="RF1534"/>
      <c r="RG1534"/>
      <c r="RH1534"/>
      <c r="RI1534"/>
      <c r="RJ1534"/>
      <c r="RK1534"/>
      <c r="RL1534"/>
      <c r="RM1534"/>
      <c r="RN1534"/>
      <c r="RO1534"/>
      <c r="RP1534"/>
      <c r="RQ1534"/>
      <c r="RR1534"/>
      <c r="RS1534"/>
      <c r="RT1534"/>
      <c r="RU1534"/>
      <c r="RV1534"/>
      <c r="RW1534"/>
      <c r="RX1534"/>
      <c r="RY1534"/>
      <c r="RZ1534"/>
      <c r="SA1534"/>
      <c r="SB1534"/>
      <c r="SC1534"/>
      <c r="SD1534"/>
      <c r="SE1534"/>
      <c r="SF1534"/>
      <c r="SG1534"/>
      <c r="SH1534"/>
      <c r="SI1534"/>
      <c r="SJ1534"/>
      <c r="SK1534"/>
      <c r="SL1534"/>
      <c r="SM1534"/>
      <c r="SN1534"/>
      <c r="SO1534"/>
      <c r="SP1534"/>
      <c r="SQ1534"/>
      <c r="SR1534"/>
      <c r="SS1534"/>
      <c r="ST1534"/>
      <c r="SU1534"/>
      <c r="SV1534"/>
      <c r="SW1534"/>
      <c r="SX1534"/>
      <c r="SY1534"/>
      <c r="SZ1534"/>
      <c r="TA1534"/>
      <c r="TB1534"/>
      <c r="TC1534"/>
      <c r="TD1534"/>
      <c r="TE1534"/>
      <c r="TF1534"/>
      <c r="TG1534"/>
      <c r="TH1534"/>
      <c r="TI1534"/>
      <c r="TJ1534"/>
      <c r="TK1534"/>
      <c r="TL1534"/>
      <c r="TM1534"/>
      <c r="TN1534"/>
      <c r="TO1534"/>
      <c r="TP1534"/>
      <c r="TQ1534"/>
      <c r="TR1534"/>
      <c r="TS1534"/>
      <c r="TT1534"/>
      <c r="TU1534"/>
      <c r="TV1534"/>
      <c r="TW1534"/>
      <c r="TX1534"/>
      <c r="TY1534"/>
      <c r="TZ1534"/>
      <c r="UA1534"/>
      <c r="UB1534"/>
      <c r="UC1534"/>
      <c r="UD1534"/>
      <c r="UE1534"/>
      <c r="UF1534"/>
      <c r="UG1534"/>
      <c r="UH1534"/>
      <c r="UI1534"/>
      <c r="UJ1534"/>
      <c r="UK1534"/>
      <c r="UL1534"/>
      <c r="UM1534"/>
      <c r="UN1534"/>
      <c r="UO1534"/>
      <c r="UP1534"/>
      <c r="UQ1534"/>
      <c r="UR1534"/>
      <c r="US1534"/>
      <c r="UT1534"/>
      <c r="UU1534"/>
      <c r="UV1534"/>
      <c r="UW1534"/>
      <c r="UX1534"/>
      <c r="UY1534"/>
      <c r="UZ1534"/>
      <c r="VA1534"/>
      <c r="VB1534"/>
      <c r="VC1534"/>
      <c r="VD1534"/>
      <c r="VE1534"/>
      <c r="VF1534"/>
      <c r="VG1534"/>
      <c r="VH1534"/>
      <c r="VI1534"/>
      <c r="VJ1534"/>
      <c r="VK1534"/>
      <c r="VL1534"/>
      <c r="VM1534"/>
      <c r="VN1534"/>
      <c r="VO1534"/>
      <c r="VP1534"/>
      <c r="VQ1534"/>
      <c r="VR1534"/>
      <c r="VS1534"/>
      <c r="VT1534"/>
      <c r="VU1534"/>
      <c r="VV1534"/>
      <c r="VW1534"/>
      <c r="VX1534"/>
      <c r="VY1534"/>
      <c r="VZ1534"/>
      <c r="WA1534"/>
      <c r="WB1534"/>
      <c r="WC1534"/>
      <c r="WD1534"/>
      <c r="WE1534"/>
      <c r="WF1534"/>
      <c r="WG1534"/>
      <c r="WH1534"/>
      <c r="WI1534"/>
      <c r="WJ1534"/>
      <c r="WK1534"/>
      <c r="WL1534"/>
      <c r="WM1534"/>
      <c r="WN1534"/>
      <c r="WO1534"/>
      <c r="WP1534"/>
      <c r="WQ1534"/>
      <c r="WR1534"/>
      <c r="WS1534"/>
      <c r="WT1534"/>
      <c r="WU1534"/>
      <c r="WV1534"/>
      <c r="WW1534"/>
      <c r="WX1534"/>
      <c r="WY1534"/>
      <c r="WZ1534"/>
      <c r="XA1534"/>
      <c r="XB1534"/>
      <c r="XC1534"/>
      <c r="XD1534"/>
      <c r="XE1534"/>
      <c r="XF1534"/>
      <c r="XG1534"/>
      <c r="XH1534"/>
      <c r="XI1534"/>
      <c r="XJ1534"/>
      <c r="XK1534"/>
      <c r="XL1534"/>
      <c r="XM1534"/>
      <c r="XN1534"/>
      <c r="XO1534"/>
      <c r="XP1534"/>
      <c r="XQ1534"/>
      <c r="XR1534"/>
      <c r="XS1534"/>
      <c r="XT1534"/>
      <c r="XU1534"/>
      <c r="XV1534"/>
      <c r="XW1534"/>
      <c r="XX1534"/>
      <c r="XY1534"/>
      <c r="XZ1534"/>
      <c r="YA1534"/>
      <c r="YB1534"/>
      <c r="YC1534"/>
      <c r="YD1534"/>
      <c r="YE1534"/>
      <c r="YF1534"/>
      <c r="YG1534"/>
      <c r="YH1534"/>
      <c r="YI1534"/>
      <c r="YJ1534"/>
      <c r="YK1534"/>
      <c r="YL1534"/>
      <c r="YM1534"/>
      <c r="YN1534"/>
      <c r="YO1534"/>
      <c r="YP1534"/>
      <c r="YQ1534"/>
      <c r="YR1534"/>
      <c r="YS1534"/>
      <c r="YT1534"/>
      <c r="YU1534"/>
      <c r="YV1534"/>
      <c r="YW1534"/>
      <c r="YX1534"/>
      <c r="YY1534"/>
      <c r="YZ1534"/>
      <c r="ZA1534"/>
      <c r="ZB1534"/>
      <c r="ZC1534"/>
      <c r="ZD1534"/>
      <c r="ZE1534"/>
      <c r="ZF1534"/>
      <c r="ZG1534"/>
      <c r="ZH1534"/>
      <c r="ZI1534"/>
      <c r="ZJ1534"/>
      <c r="ZK1534"/>
      <c r="ZL1534"/>
      <c r="ZM1534"/>
      <c r="ZN1534"/>
      <c r="ZO1534"/>
      <c r="ZP1534"/>
      <c r="ZQ1534"/>
      <c r="ZR1534"/>
      <c r="ZS1534"/>
      <c r="ZT1534"/>
      <c r="ZU1534"/>
      <c r="ZV1534"/>
      <c r="ZW1534"/>
      <c r="ZX1534"/>
      <c r="ZY1534"/>
      <c r="ZZ1534"/>
      <c r="AAA1534"/>
      <c r="AAB1534"/>
      <c r="AAC1534"/>
      <c r="AAD1534"/>
      <c r="AAE1534"/>
      <c r="AAF1534"/>
      <c r="AAG1534"/>
      <c r="AAH1534"/>
      <c r="AAI1534"/>
      <c r="AAJ1534"/>
      <c r="AAK1534"/>
      <c r="AAL1534"/>
      <c r="AAM1534"/>
      <c r="AAN1534"/>
      <c r="AAO1534"/>
      <c r="AAP1534"/>
      <c r="AAQ1534"/>
      <c r="AAR1534"/>
      <c r="AAS1534"/>
      <c r="AAT1534"/>
      <c r="AAU1534"/>
      <c r="AAV1534"/>
      <c r="AAW1534"/>
      <c r="AAX1534"/>
      <c r="AAY1534"/>
      <c r="AAZ1534"/>
      <c r="ABA1534"/>
      <c r="ABB1534"/>
      <c r="ABC1534"/>
      <c r="ABD1534"/>
      <c r="ABE1534"/>
      <c r="ABF1534"/>
      <c r="ABG1534"/>
      <c r="ABH1534"/>
      <c r="ABI1534"/>
      <c r="ABJ1534"/>
      <c r="ABK1534"/>
      <c r="ABL1534"/>
      <c r="ABM1534"/>
      <c r="ABN1534"/>
      <c r="ABO1534"/>
      <c r="ABP1534"/>
      <c r="ABQ1534"/>
      <c r="ABR1534"/>
      <c r="ABS1534"/>
      <c r="ABT1534"/>
      <c r="ABU1534"/>
      <c r="ABV1534"/>
      <c r="ABW1534"/>
      <c r="ABX1534"/>
      <c r="ABY1534"/>
      <c r="ABZ1534"/>
      <c r="ACA1534"/>
      <c r="ACB1534"/>
      <c r="ACC1534"/>
      <c r="ACD1534"/>
      <c r="ACE1534"/>
      <c r="ACF1534"/>
      <c r="ACG1534"/>
      <c r="ACH1534"/>
      <c r="ACI1534"/>
      <c r="ACJ1534"/>
      <c r="ACK1534"/>
      <c r="ACL1534"/>
      <c r="ACM1534"/>
      <c r="ACN1534"/>
      <c r="ACO1534"/>
      <c r="ACP1534"/>
      <c r="ACQ1534"/>
      <c r="ACR1534"/>
      <c r="ACS1534"/>
      <c r="ACT1534"/>
      <c r="ACU1534"/>
      <c r="ACV1534"/>
      <c r="ACW1534"/>
      <c r="ACX1534"/>
      <c r="ACY1534"/>
      <c r="ACZ1534"/>
      <c r="ADA1534"/>
      <c r="ADB1534"/>
      <c r="ADC1534"/>
      <c r="ADD1534"/>
      <c r="ADE1534"/>
      <c r="ADF1534"/>
      <c r="ADG1534"/>
      <c r="ADH1534"/>
      <c r="ADI1534"/>
      <c r="ADJ1534"/>
      <c r="ADK1534"/>
      <c r="ADL1534"/>
      <c r="ADM1534"/>
      <c r="ADN1534"/>
      <c r="ADO1534"/>
      <c r="ADP1534"/>
      <c r="ADQ1534"/>
      <c r="ADR1534"/>
      <c r="ADS1534"/>
      <c r="ADT1534"/>
      <c r="ADU1534"/>
      <c r="ADV1534"/>
      <c r="ADW1534"/>
      <c r="ADX1534"/>
      <c r="ADY1534"/>
      <c r="ADZ1534"/>
      <c r="AEA1534"/>
      <c r="AEB1534"/>
      <c r="AEC1534"/>
      <c r="AED1534"/>
      <c r="AEE1534"/>
      <c r="AEF1534"/>
      <c r="AEG1534"/>
      <c r="AEH1534"/>
      <c r="AEI1534"/>
      <c r="AEJ1534"/>
      <c r="AEK1534"/>
      <c r="AEL1534"/>
      <c r="AEM1534"/>
      <c r="AEN1534"/>
      <c r="AEO1534"/>
      <c r="AEP1534"/>
      <c r="AEQ1534"/>
      <c r="AER1534"/>
      <c r="AES1534"/>
      <c r="AET1534"/>
      <c r="AEU1534"/>
      <c r="AEV1534"/>
      <c r="AEW1534"/>
      <c r="AEX1534"/>
      <c r="AEY1534"/>
      <c r="AEZ1534"/>
      <c r="AFA1534"/>
      <c r="AFB1534"/>
      <c r="AFC1534"/>
      <c r="AFD1534"/>
      <c r="AFE1534"/>
      <c r="AFF1534"/>
      <c r="AFG1534"/>
      <c r="AFH1534"/>
      <c r="AFI1534"/>
      <c r="AFJ1534"/>
      <c r="AFK1534"/>
      <c r="AFL1534"/>
      <c r="AFM1534"/>
      <c r="AFN1534"/>
      <c r="AFO1534"/>
      <c r="AFP1534"/>
      <c r="AFQ1534"/>
      <c r="AFR1534"/>
      <c r="AFS1534"/>
      <c r="AFT1534"/>
      <c r="AFU1534"/>
      <c r="AFV1534"/>
      <c r="AFW1534"/>
      <c r="AFX1534"/>
      <c r="AFY1534"/>
      <c r="AFZ1534"/>
      <c r="AGA1534"/>
      <c r="AGB1534"/>
      <c r="AGC1534"/>
      <c r="AGD1534"/>
      <c r="AGE1534"/>
      <c r="AGF1534"/>
      <c r="AGG1534"/>
      <c r="AGH1534"/>
      <c r="AGI1534"/>
      <c r="AGJ1534"/>
      <c r="AGK1534"/>
      <c r="AGL1534"/>
      <c r="AGM1534"/>
      <c r="AGN1534"/>
      <c r="AGO1534"/>
      <c r="AGP1534"/>
      <c r="AGQ1534"/>
      <c r="AGR1534"/>
      <c r="AGS1534"/>
      <c r="AGT1534"/>
      <c r="AGU1534"/>
      <c r="AGV1534"/>
      <c r="AGW1534"/>
      <c r="AGX1534"/>
      <c r="AGY1534"/>
      <c r="AGZ1534"/>
      <c r="AHA1534"/>
      <c r="AHB1534"/>
      <c r="AHC1534"/>
      <c r="AHD1534"/>
      <c r="AHE1534"/>
      <c r="AHF1534"/>
      <c r="AHG1534"/>
      <c r="AHH1534"/>
      <c r="AHI1534"/>
      <c r="AHJ1534"/>
      <c r="AHK1534"/>
      <c r="AHL1534"/>
      <c r="AHM1534"/>
      <c r="AHN1534"/>
      <c r="AHO1534"/>
      <c r="AHP1534"/>
      <c r="AHQ1534"/>
      <c r="AHR1534"/>
      <c r="AHS1534"/>
      <c r="AHT1534"/>
      <c r="AHU1534"/>
      <c r="AHV1534"/>
      <c r="AHW1534"/>
      <c r="AHX1534"/>
      <c r="AHY1534"/>
      <c r="AHZ1534"/>
      <c r="AIA1534"/>
      <c r="AIB1534"/>
      <c r="AIC1534"/>
      <c r="AID1534"/>
      <c r="AIE1534"/>
      <c r="AIF1534"/>
      <c r="AIG1534"/>
      <c r="AIH1534"/>
      <c r="AII1534"/>
      <c r="AIJ1534"/>
      <c r="AIK1534"/>
      <c r="AIL1534"/>
      <c r="AIM1534"/>
      <c r="AIN1534"/>
      <c r="AIO1534"/>
      <c r="AIP1534"/>
      <c r="AIQ1534"/>
      <c r="AIR1534"/>
      <c r="AIS1534"/>
      <c r="AIT1534"/>
      <c r="AIU1534"/>
      <c r="AIV1534"/>
      <c r="AIW1534"/>
      <c r="AIX1534"/>
      <c r="AIY1534"/>
      <c r="AIZ1534"/>
      <c r="AJA1534"/>
      <c r="AJB1534"/>
      <c r="AJC1534"/>
      <c r="AJD1534"/>
      <c r="AJE1534"/>
      <c r="AJF1534"/>
      <c r="AJG1534"/>
      <c r="AJH1534"/>
      <c r="AJI1534"/>
      <c r="AJJ1534"/>
      <c r="AJK1534"/>
      <c r="AJL1534"/>
      <c r="AJM1534"/>
      <c r="AJN1534"/>
      <c r="AJO1534"/>
      <c r="AJP1534"/>
      <c r="AJQ1534"/>
      <c r="AJR1534"/>
      <c r="AJS1534"/>
      <c r="AJT1534"/>
      <c r="AJU1534"/>
      <c r="AJV1534"/>
      <c r="AJW1534"/>
      <c r="AJX1534"/>
      <c r="AJY1534"/>
      <c r="AJZ1534"/>
      <c r="AKA1534"/>
      <c r="AKB1534"/>
      <c r="AKC1534"/>
      <c r="AKD1534"/>
      <c r="AKE1534"/>
      <c r="AKF1534"/>
      <c r="AKG1534"/>
      <c r="AKH1534"/>
      <c r="AKI1534"/>
      <c r="AKJ1534"/>
      <c r="AKK1534"/>
      <c r="AKL1534"/>
      <c r="AKM1534"/>
      <c r="AKN1534"/>
      <c r="AKO1534"/>
      <c r="AKP1534"/>
      <c r="AKQ1534"/>
      <c r="AKR1534"/>
      <c r="AKS1534"/>
      <c r="AKT1534"/>
      <c r="AKU1534"/>
      <c r="AKV1534"/>
      <c r="AKW1534"/>
      <c r="AKX1534"/>
      <c r="AKY1534"/>
      <c r="AKZ1534"/>
      <c r="ALA1534"/>
      <c r="ALB1534"/>
      <c r="ALC1534"/>
      <c r="ALD1534"/>
      <c r="ALE1534"/>
      <c r="ALF1534"/>
      <c r="ALG1534"/>
      <c r="ALH1534"/>
      <c r="ALI1534"/>
      <c r="ALJ1534"/>
      <c r="ALK1534"/>
      <c r="ALL1534"/>
      <c r="ALM1534"/>
      <c r="ALN1534"/>
      <c r="ALO1534"/>
      <c r="ALP1534"/>
      <c r="ALQ1534"/>
      <c r="ALR1534"/>
      <c r="ALS1534"/>
      <c r="ALT1534"/>
      <c r="ALU1534"/>
      <c r="ALV1534"/>
      <c r="ALW1534"/>
      <c r="ALX1534"/>
      <c r="ALY1534"/>
      <c r="ALZ1534"/>
      <c r="AMA1534"/>
      <c r="AMB1534"/>
      <c r="AMC1534"/>
      <c r="AMD1534"/>
      <c r="AME1534"/>
      <c r="AMF1534"/>
      <c r="AMG1534"/>
      <c r="AMH1534"/>
      <c r="AMI1534"/>
      <c r="AMJ1534"/>
      <c r="AMK1534"/>
      <c r="AML1534"/>
      <c r="AMM1534"/>
      <c r="AMN1534"/>
      <c r="AMO1534"/>
      <c r="AMP1534"/>
      <c r="AMQ1534"/>
      <c r="AMR1534"/>
      <c r="AMS1534"/>
      <c r="AMT1534"/>
      <c r="AMU1534"/>
      <c r="AMV1534"/>
      <c r="AMW1534"/>
      <c r="AMX1534"/>
      <c r="AMY1534"/>
      <c r="AMZ1534"/>
      <c r="ANA1534"/>
      <c r="ANB1534"/>
      <c r="ANC1534"/>
      <c r="AND1534"/>
      <c r="ANE1534"/>
      <c r="ANF1534"/>
      <c r="ANG1534"/>
      <c r="ANH1534"/>
      <c r="ANI1534"/>
      <c r="ANJ1534"/>
      <c r="ANK1534"/>
      <c r="ANL1534"/>
      <c r="ANM1534"/>
      <c r="ANN1534"/>
      <c r="ANO1534"/>
      <c r="ANP1534"/>
      <c r="ANQ1534"/>
      <c r="ANR1534"/>
      <c r="ANS1534"/>
      <c r="ANT1534"/>
      <c r="ANU1534"/>
      <c r="ANV1534"/>
      <c r="ANW1534"/>
      <c r="ANX1534"/>
      <c r="ANY1534"/>
      <c r="ANZ1534"/>
      <c r="AOA1534"/>
      <c r="AOB1534"/>
      <c r="AOC1534"/>
      <c r="AOD1534"/>
      <c r="AOE1534"/>
      <c r="AOF1534"/>
      <c r="AOG1534"/>
      <c r="AOH1534"/>
      <c r="AOI1534"/>
      <c r="AOJ1534"/>
      <c r="AOK1534"/>
      <c r="AOL1534"/>
      <c r="AOM1534"/>
      <c r="AON1534"/>
      <c r="AOO1534"/>
      <c r="AOP1534"/>
      <c r="AOQ1534"/>
      <c r="AOR1534"/>
      <c r="AOS1534"/>
      <c r="AOT1534"/>
      <c r="AOU1534"/>
      <c r="AOV1534"/>
      <c r="AOW1534"/>
      <c r="AOX1534"/>
      <c r="AOY1534"/>
      <c r="AOZ1534"/>
      <c r="APA1534"/>
      <c r="APB1534"/>
      <c r="APC1534"/>
      <c r="APD1534"/>
      <c r="APE1534"/>
      <c r="APF1534"/>
      <c r="APG1534"/>
      <c r="APH1534"/>
      <c r="API1534"/>
      <c r="APJ1534"/>
      <c r="APK1534"/>
      <c r="APL1534"/>
      <c r="APM1534"/>
      <c r="APN1534"/>
      <c r="APO1534"/>
      <c r="APP1534"/>
      <c r="APQ1534"/>
      <c r="APR1534"/>
      <c r="APS1534"/>
      <c r="APT1534"/>
      <c r="APU1534"/>
      <c r="APV1534"/>
      <c r="APW1534"/>
      <c r="APX1534"/>
      <c r="APY1534"/>
      <c r="APZ1534"/>
      <c r="AQA1534"/>
      <c r="AQB1534"/>
      <c r="AQC1534"/>
      <c r="AQD1534"/>
      <c r="AQE1534"/>
      <c r="AQF1534"/>
      <c r="AQG1534"/>
      <c r="AQH1534"/>
      <c r="AQI1534"/>
      <c r="AQJ1534"/>
      <c r="AQK1534"/>
      <c r="AQL1534"/>
      <c r="AQM1534"/>
      <c r="AQN1534"/>
      <c r="AQO1534"/>
      <c r="AQP1534"/>
      <c r="AQQ1534"/>
      <c r="AQR1534"/>
      <c r="AQS1534"/>
      <c r="AQT1534"/>
      <c r="AQU1534"/>
      <c r="AQV1534"/>
      <c r="AQW1534"/>
      <c r="AQX1534"/>
      <c r="AQY1534"/>
      <c r="AQZ1534"/>
      <c r="ARA1534"/>
      <c r="ARB1534"/>
      <c r="ARC1534"/>
      <c r="ARD1534"/>
      <c r="ARE1534"/>
      <c r="ARF1534"/>
      <c r="ARG1534"/>
      <c r="ARH1534"/>
      <c r="ARI1534"/>
      <c r="ARJ1534"/>
      <c r="ARK1534"/>
      <c r="ARL1534"/>
      <c r="ARM1534"/>
      <c r="ARN1534"/>
      <c r="ARO1534"/>
      <c r="ARP1534"/>
      <c r="ARQ1534"/>
      <c r="ARR1534"/>
      <c r="ARS1534"/>
      <c r="ART1534"/>
      <c r="ARU1534"/>
      <c r="ARV1534"/>
      <c r="ARW1534"/>
      <c r="ARX1534"/>
      <c r="ARY1534"/>
      <c r="ARZ1534"/>
      <c r="ASA1534"/>
      <c r="ASB1534"/>
      <c r="ASC1534"/>
      <c r="ASD1534"/>
      <c r="ASE1534"/>
      <c r="ASF1534"/>
      <c r="ASG1534"/>
      <c r="ASH1534"/>
      <c r="ASI1534"/>
      <c r="ASJ1534"/>
      <c r="ASK1534"/>
      <c r="ASL1534"/>
      <c r="ASM1534"/>
      <c r="ASN1534"/>
      <c r="ASO1534"/>
      <c r="ASP1534"/>
      <c r="ASQ1534"/>
      <c r="ASR1534"/>
      <c r="ASS1534"/>
      <c r="AST1534"/>
      <c r="ASU1534"/>
      <c r="ASV1534"/>
      <c r="ASW1534"/>
      <c r="ASX1534"/>
      <c r="ASY1534"/>
      <c r="ASZ1534"/>
      <c r="ATA1534"/>
      <c r="ATB1534"/>
      <c r="ATC1534"/>
      <c r="ATD1534"/>
      <c r="ATE1534"/>
      <c r="ATF1534"/>
      <c r="ATG1534"/>
      <c r="ATH1534"/>
      <c r="ATI1534"/>
      <c r="ATJ1534"/>
      <c r="ATK1534"/>
      <c r="ATL1534"/>
      <c r="ATM1534"/>
      <c r="ATN1534"/>
      <c r="ATO1534"/>
      <c r="ATP1534"/>
      <c r="ATQ1534"/>
      <c r="ATR1534"/>
      <c r="ATS1534"/>
      <c r="ATT1534"/>
      <c r="ATU1534"/>
      <c r="ATV1534"/>
      <c r="ATW1534"/>
      <c r="ATX1534"/>
      <c r="ATY1534"/>
      <c r="ATZ1534"/>
      <c r="AUA1534"/>
      <c r="AUB1534"/>
      <c r="AUC1534"/>
      <c r="AUD1534"/>
      <c r="AUE1534"/>
      <c r="AUF1534"/>
      <c r="AUG1534"/>
      <c r="AUH1534"/>
      <c r="AUI1534"/>
      <c r="AUJ1534"/>
      <c r="AUK1534"/>
      <c r="AUL1534"/>
      <c r="AUM1534"/>
      <c r="AUN1534"/>
      <c r="AUO1534"/>
      <c r="AUP1534"/>
      <c r="AUQ1534"/>
      <c r="AUR1534"/>
      <c r="AUS1534"/>
      <c r="AUT1534"/>
      <c r="AUU1534"/>
      <c r="AUV1534"/>
      <c r="AUW1534"/>
      <c r="AUX1534"/>
      <c r="AUY1534"/>
      <c r="AUZ1534"/>
      <c r="AVA1534"/>
      <c r="AVB1534"/>
      <c r="AVC1534"/>
      <c r="AVD1534"/>
      <c r="AVE1534"/>
      <c r="AVF1534"/>
      <c r="AVG1534"/>
      <c r="AVH1534"/>
      <c r="AVI1534"/>
      <c r="AVJ1534"/>
      <c r="AVK1534"/>
      <c r="AVL1534"/>
      <c r="AVM1534"/>
      <c r="AVN1534"/>
      <c r="AVO1534"/>
      <c r="AVP1534"/>
      <c r="AVQ1534"/>
      <c r="AVR1534"/>
      <c r="AVS1534"/>
      <c r="AVT1534"/>
      <c r="AVU1534"/>
      <c r="AVV1534"/>
      <c r="AVW1534"/>
      <c r="AVX1534"/>
      <c r="AVY1534"/>
      <c r="AVZ1534"/>
      <c r="AWA1534"/>
      <c r="AWB1534"/>
      <c r="AWC1534"/>
      <c r="AWD1534"/>
      <c r="AWE1534"/>
      <c r="AWF1534"/>
      <c r="AWG1534"/>
      <c r="AWH1534"/>
      <c r="AWI1534"/>
      <c r="AWJ1534"/>
      <c r="AWK1534"/>
      <c r="AWL1534"/>
      <c r="AWM1534"/>
      <c r="AWN1534"/>
      <c r="AWO1534"/>
      <c r="AWP1534"/>
      <c r="AWQ1534"/>
      <c r="AWR1534"/>
      <c r="AWS1534"/>
      <c r="AWT1534"/>
      <c r="AWU1534"/>
      <c r="AWV1534"/>
      <c r="AWW1534"/>
      <c r="AWX1534"/>
      <c r="AWY1534"/>
      <c r="AWZ1534"/>
      <c r="AXA1534"/>
      <c r="AXB1534"/>
      <c r="AXC1534"/>
      <c r="AXD1534"/>
      <c r="AXE1534"/>
      <c r="AXF1534"/>
      <c r="AXG1534"/>
      <c r="AXH1534"/>
      <c r="AXI1534"/>
      <c r="AXJ1534"/>
      <c r="AXK1534"/>
      <c r="AXL1534"/>
      <c r="AXM1534"/>
      <c r="AXN1534"/>
      <c r="AXO1534"/>
      <c r="AXP1534"/>
      <c r="AXQ1534"/>
      <c r="AXR1534"/>
      <c r="AXS1534"/>
      <c r="AXT1534"/>
      <c r="AXU1534"/>
      <c r="AXV1534"/>
      <c r="AXW1534"/>
      <c r="AXX1534"/>
      <c r="AXY1534"/>
      <c r="AXZ1534"/>
      <c r="AYA1534"/>
      <c r="AYB1534"/>
      <c r="AYC1534"/>
      <c r="AYD1534"/>
      <c r="AYE1534"/>
      <c r="AYF1534"/>
      <c r="AYG1534"/>
      <c r="AYH1534"/>
      <c r="AYI1534"/>
      <c r="AYJ1534"/>
      <c r="AYK1534"/>
      <c r="AYL1534"/>
      <c r="AYM1534"/>
      <c r="AYN1534"/>
      <c r="AYO1534"/>
      <c r="AYP1534"/>
      <c r="AYQ1534"/>
      <c r="AYR1534"/>
      <c r="AYS1534"/>
      <c r="AYT1534"/>
      <c r="AYU1534"/>
      <c r="AYV1534"/>
      <c r="AYW1534"/>
      <c r="AYX1534"/>
      <c r="AYY1534"/>
      <c r="AYZ1534"/>
      <c r="AZA1534"/>
      <c r="AZB1534"/>
      <c r="AZC1534"/>
      <c r="AZD1534"/>
      <c r="AZE1534"/>
      <c r="AZF1534"/>
      <c r="AZG1534"/>
      <c r="AZH1534"/>
      <c r="AZI1534"/>
      <c r="AZJ1534"/>
      <c r="AZK1534"/>
      <c r="AZL1534"/>
      <c r="AZM1534"/>
      <c r="AZN1534"/>
      <c r="AZO1534"/>
      <c r="AZP1534"/>
      <c r="AZQ1534"/>
      <c r="AZR1534"/>
      <c r="AZS1534"/>
      <c r="AZT1534"/>
      <c r="AZU1534"/>
      <c r="AZV1534"/>
      <c r="AZW1534"/>
      <c r="AZX1534"/>
      <c r="AZY1534"/>
      <c r="AZZ1534"/>
      <c r="BAA1534"/>
      <c r="BAB1534"/>
      <c r="BAC1534"/>
      <c r="BAD1534"/>
      <c r="BAE1534"/>
      <c r="BAF1534"/>
      <c r="BAG1534"/>
      <c r="BAH1534"/>
      <c r="BAI1534"/>
      <c r="BAJ1534"/>
      <c r="BAK1534"/>
      <c r="BAL1534"/>
      <c r="BAM1534"/>
      <c r="BAN1534"/>
      <c r="BAO1534"/>
      <c r="BAP1534"/>
      <c r="BAQ1534"/>
      <c r="BAR1534"/>
      <c r="BAS1534"/>
      <c r="BAT1534"/>
      <c r="BAU1534"/>
      <c r="BAV1534"/>
      <c r="BAW1534"/>
      <c r="BAX1534"/>
      <c r="BAY1534"/>
      <c r="BAZ1534"/>
      <c r="BBA1534"/>
      <c r="BBB1534"/>
      <c r="BBC1534"/>
      <c r="BBD1534"/>
      <c r="BBE1534"/>
      <c r="BBF1534"/>
      <c r="BBG1534"/>
      <c r="BBH1534"/>
      <c r="BBI1534"/>
      <c r="BBJ1534"/>
      <c r="BBK1534"/>
      <c r="BBL1534"/>
      <c r="BBM1534"/>
      <c r="BBN1534"/>
      <c r="BBO1534"/>
      <c r="BBP1534"/>
      <c r="BBQ1534"/>
      <c r="BBR1534"/>
      <c r="BBS1534"/>
      <c r="BBT1534"/>
      <c r="BBU1534"/>
      <c r="BBV1534"/>
      <c r="BBW1534"/>
      <c r="BBX1534"/>
      <c r="BBY1534"/>
      <c r="BBZ1534"/>
      <c r="BCA1534"/>
      <c r="BCB1534"/>
      <c r="BCC1534"/>
      <c r="BCD1534"/>
      <c r="BCE1534"/>
      <c r="BCF1534"/>
      <c r="BCG1534"/>
      <c r="BCH1534"/>
      <c r="BCI1534"/>
      <c r="BCJ1534"/>
      <c r="BCK1534"/>
      <c r="BCL1534"/>
      <c r="BCM1534"/>
      <c r="BCN1534"/>
      <c r="BCO1534"/>
      <c r="BCP1534"/>
      <c r="BCQ1534"/>
      <c r="BCR1534"/>
      <c r="BCS1534"/>
      <c r="BCT1534"/>
      <c r="BCU1534"/>
      <c r="BCV1534"/>
      <c r="BCW1534"/>
      <c r="BCX1534"/>
      <c r="BCY1534"/>
      <c r="BCZ1534"/>
      <c r="BDA1534"/>
      <c r="BDB1534"/>
      <c r="BDC1534"/>
      <c r="BDD1534"/>
      <c r="BDE1534"/>
      <c r="BDF1534"/>
      <c r="BDG1534"/>
      <c r="BDH1534"/>
      <c r="BDI1534"/>
      <c r="BDJ1534"/>
      <c r="BDK1534"/>
      <c r="BDL1534"/>
      <c r="BDM1534"/>
      <c r="BDN1534"/>
      <c r="BDO1534"/>
      <c r="BDP1534"/>
      <c r="BDQ1534"/>
      <c r="BDR1534"/>
      <c r="BDS1534"/>
      <c r="BDT1534"/>
      <c r="BDU1534"/>
      <c r="BDV1534"/>
      <c r="BDW1534"/>
      <c r="BDX1534"/>
      <c r="BDY1534"/>
      <c r="BDZ1534"/>
      <c r="BEA1534"/>
      <c r="BEB1534"/>
      <c r="BEC1534"/>
      <c r="BED1534"/>
      <c r="BEE1534"/>
      <c r="BEF1534"/>
      <c r="BEG1534"/>
      <c r="BEH1534"/>
      <c r="BEI1534"/>
      <c r="BEJ1534"/>
      <c r="BEK1534"/>
      <c r="BEL1534"/>
      <c r="BEM1534"/>
      <c r="BEN1534"/>
      <c r="BEO1534"/>
      <c r="BEP1534"/>
      <c r="BEQ1534"/>
      <c r="BER1534"/>
      <c r="BES1534"/>
      <c r="BET1534"/>
      <c r="BEU1534"/>
      <c r="BEV1534"/>
      <c r="BEW1534"/>
      <c r="BEX1534"/>
      <c r="BEY1534"/>
      <c r="BEZ1534"/>
      <c r="BFA1534"/>
      <c r="BFB1534"/>
      <c r="BFC1534"/>
      <c r="BFD1534"/>
      <c r="BFE1534"/>
      <c r="BFF1534"/>
      <c r="BFG1534"/>
      <c r="BFH1534"/>
      <c r="BFI1534"/>
      <c r="BFJ1534"/>
      <c r="BFK1534"/>
      <c r="BFL1534"/>
      <c r="BFM1534"/>
      <c r="BFN1534"/>
      <c r="BFO1534"/>
      <c r="BFP1534"/>
      <c r="BFQ1534"/>
      <c r="BFR1534"/>
      <c r="BFS1534"/>
      <c r="BFT1534"/>
      <c r="BFU1534"/>
      <c r="BFV1534"/>
      <c r="BFW1534"/>
      <c r="BFX1534"/>
      <c r="BFY1534"/>
      <c r="BFZ1534"/>
      <c r="BGA1534"/>
      <c r="BGB1534"/>
      <c r="BGC1534"/>
      <c r="BGD1534"/>
      <c r="BGE1534"/>
      <c r="BGF1534"/>
      <c r="BGG1534"/>
      <c r="BGH1534"/>
      <c r="BGI1534"/>
      <c r="BGJ1534"/>
      <c r="BGK1534"/>
      <c r="BGL1534"/>
      <c r="BGM1534"/>
      <c r="BGN1534"/>
      <c r="BGO1534"/>
      <c r="BGP1534"/>
      <c r="BGQ1534"/>
      <c r="BGR1534"/>
      <c r="BGS1534"/>
      <c r="BGT1534"/>
      <c r="BGU1534"/>
      <c r="BGV1534"/>
      <c r="BGW1534"/>
      <c r="BGX1534"/>
      <c r="BGY1534"/>
      <c r="BGZ1534"/>
      <c r="BHA1534"/>
      <c r="BHB1534"/>
      <c r="BHC1534"/>
      <c r="BHD1534"/>
      <c r="BHE1534"/>
      <c r="BHF1534"/>
      <c r="BHG1534"/>
      <c r="BHH1534"/>
      <c r="BHI1534"/>
      <c r="BHJ1534"/>
      <c r="BHK1534"/>
      <c r="BHL1534"/>
      <c r="BHM1534"/>
      <c r="BHN1534"/>
      <c r="BHO1534"/>
      <c r="BHP1534"/>
      <c r="BHQ1534"/>
      <c r="BHR1534"/>
      <c r="BHS1534"/>
      <c r="BHT1534"/>
      <c r="BHU1534"/>
      <c r="BHV1534"/>
      <c r="BHW1534"/>
      <c r="BHX1534"/>
      <c r="BHY1534"/>
      <c r="BHZ1534"/>
      <c r="BIA1534"/>
      <c r="BIB1534"/>
      <c r="BIC1534"/>
      <c r="BID1534"/>
      <c r="BIE1534"/>
      <c r="BIF1534"/>
      <c r="BIG1534"/>
      <c r="BIH1534"/>
      <c r="BII1534"/>
      <c r="BIJ1534"/>
      <c r="BIK1534"/>
      <c r="BIL1534"/>
      <c r="BIM1534"/>
      <c r="BIN1534"/>
      <c r="BIO1534"/>
      <c r="BIP1534"/>
      <c r="BIQ1534"/>
      <c r="BIR1534"/>
      <c r="BIS1534"/>
      <c r="BIT1534"/>
      <c r="BIU1534"/>
      <c r="BIV1534"/>
      <c r="BIW1534"/>
      <c r="BIX1534"/>
      <c r="BIY1534"/>
      <c r="BIZ1534"/>
      <c r="BJA1534"/>
      <c r="BJB1534"/>
      <c r="BJC1534"/>
      <c r="BJD1534"/>
      <c r="BJE1534"/>
      <c r="BJF1534"/>
      <c r="BJG1534"/>
      <c r="BJH1534"/>
      <c r="BJI1534"/>
      <c r="BJJ1534"/>
      <c r="BJK1534"/>
      <c r="BJL1534"/>
      <c r="BJM1534"/>
      <c r="BJN1534"/>
      <c r="BJO1534"/>
      <c r="BJP1534"/>
      <c r="BJQ1534"/>
      <c r="BJR1534"/>
      <c r="BJS1534"/>
      <c r="BJT1534"/>
      <c r="BJU1534"/>
      <c r="BJV1534"/>
      <c r="BJW1534"/>
      <c r="BJX1534"/>
      <c r="BJY1534"/>
      <c r="BJZ1534"/>
      <c r="BKA1534"/>
      <c r="BKB1534"/>
      <c r="BKC1534"/>
      <c r="BKD1534"/>
      <c r="BKE1534"/>
      <c r="BKF1534"/>
      <c r="BKG1534"/>
      <c r="BKH1534"/>
      <c r="BKI1534"/>
      <c r="BKJ1534"/>
      <c r="BKK1534"/>
      <c r="BKL1534"/>
      <c r="BKM1534"/>
      <c r="BKN1534"/>
      <c r="BKO1534"/>
      <c r="BKP1534"/>
      <c r="BKQ1534"/>
      <c r="BKR1534"/>
      <c r="BKS1534"/>
      <c r="BKT1534"/>
      <c r="BKU1534"/>
      <c r="BKV1534"/>
      <c r="BKW1534"/>
      <c r="BKX1534"/>
      <c r="BKY1534"/>
      <c r="BKZ1534"/>
      <c r="BLA1534"/>
      <c r="BLB1534"/>
      <c r="BLC1534"/>
      <c r="BLD1534"/>
      <c r="BLE1534"/>
      <c r="BLF1534"/>
      <c r="BLG1534"/>
      <c r="BLH1534"/>
      <c r="BLI1534"/>
      <c r="BLJ1534"/>
      <c r="BLK1534"/>
      <c r="BLL1534"/>
      <c r="BLM1534"/>
      <c r="BLN1534"/>
      <c r="BLO1534"/>
      <c r="BLP1534"/>
      <c r="BLQ1534"/>
      <c r="BLR1534"/>
      <c r="BLS1534"/>
      <c r="BLT1534"/>
      <c r="BLU1534"/>
      <c r="BLV1534"/>
      <c r="BLW1534"/>
      <c r="BLX1534"/>
      <c r="BLY1534"/>
      <c r="BLZ1534"/>
      <c r="BMA1534"/>
      <c r="BMB1534"/>
      <c r="BMC1534"/>
      <c r="BMD1534"/>
      <c r="BME1534"/>
      <c r="BMF1534"/>
      <c r="BMG1534"/>
      <c r="BMH1534"/>
      <c r="BMI1534"/>
      <c r="BMJ1534"/>
      <c r="BMK1534"/>
      <c r="BML1534"/>
      <c r="BMM1534"/>
      <c r="BMN1534"/>
      <c r="BMO1534"/>
      <c r="BMP1534"/>
      <c r="BMQ1534"/>
      <c r="BMR1534"/>
      <c r="BMS1534"/>
      <c r="BMT1534"/>
      <c r="BMU1534"/>
      <c r="BMV1534"/>
      <c r="BMW1534"/>
      <c r="BMX1534"/>
      <c r="BMY1534"/>
      <c r="BMZ1534"/>
      <c r="BNA1534"/>
      <c r="BNB1534"/>
      <c r="BNC1534"/>
      <c r="BND1534"/>
      <c r="BNE1534"/>
      <c r="BNF1534"/>
      <c r="BNG1534"/>
      <c r="BNH1534"/>
      <c r="BNI1534"/>
      <c r="BNJ1534"/>
      <c r="BNK1534"/>
      <c r="BNL1534"/>
      <c r="BNM1534"/>
      <c r="BNN1534"/>
      <c r="BNO1534"/>
      <c r="BNP1534"/>
      <c r="BNQ1534"/>
      <c r="BNR1534"/>
      <c r="BNS1534"/>
      <c r="BNT1534"/>
      <c r="BNU1534"/>
      <c r="BNV1534"/>
      <c r="BNW1534"/>
      <c r="BNX1534"/>
      <c r="BNY1534"/>
      <c r="BNZ1534"/>
      <c r="BOA1534"/>
      <c r="BOB1534"/>
      <c r="BOC1534"/>
      <c r="BOD1534"/>
      <c r="BOE1534"/>
      <c r="BOF1534"/>
      <c r="BOG1534"/>
      <c r="BOH1534"/>
      <c r="BOI1534"/>
      <c r="BOJ1534"/>
      <c r="BOK1534"/>
      <c r="BOL1534"/>
      <c r="BOM1534"/>
      <c r="BON1534"/>
      <c r="BOO1534"/>
      <c r="BOP1534"/>
      <c r="BOQ1534"/>
      <c r="BOR1534"/>
      <c r="BOS1534"/>
      <c r="BOT1534"/>
      <c r="BOU1534"/>
      <c r="BOV1534"/>
      <c r="BOW1534"/>
      <c r="BOX1534"/>
      <c r="BOY1534"/>
      <c r="BOZ1534"/>
      <c r="BPA1534"/>
      <c r="BPB1534"/>
      <c r="BPC1534"/>
      <c r="BPD1534"/>
      <c r="BPE1534"/>
      <c r="BPF1534"/>
      <c r="BPG1534"/>
      <c r="BPH1534"/>
      <c r="BPI1534"/>
      <c r="BPJ1534"/>
      <c r="BPK1534"/>
      <c r="BPL1534"/>
      <c r="BPM1534"/>
      <c r="BPN1534"/>
      <c r="BPO1534"/>
      <c r="BPP1534"/>
      <c r="BPQ1534"/>
      <c r="BPR1534"/>
      <c r="BPS1534"/>
      <c r="BPT1534"/>
      <c r="BPU1534"/>
      <c r="BPV1534"/>
      <c r="BPW1534"/>
      <c r="BPX1534"/>
      <c r="BPY1534"/>
      <c r="BPZ1534"/>
      <c r="BQA1534"/>
      <c r="BQB1534"/>
      <c r="BQC1534"/>
      <c r="BQD1534"/>
      <c r="BQE1534"/>
      <c r="BQF1534"/>
      <c r="BQG1534"/>
      <c r="BQH1534"/>
      <c r="BQI1534"/>
      <c r="BQJ1534"/>
      <c r="BQK1534"/>
      <c r="BQL1534"/>
      <c r="BQM1534"/>
      <c r="BQN1534"/>
      <c r="BQO1534"/>
      <c r="BQP1534"/>
      <c r="BQQ1534"/>
      <c r="BQR1534"/>
      <c r="BQS1534"/>
      <c r="BQT1534"/>
      <c r="BQU1534"/>
      <c r="BQV1534"/>
      <c r="BQW1534"/>
      <c r="BQX1534"/>
      <c r="BQY1534"/>
      <c r="BQZ1534"/>
      <c r="BRA1534"/>
      <c r="BRB1534"/>
      <c r="BRC1534"/>
      <c r="BRD1534"/>
      <c r="BRE1534"/>
      <c r="BRF1534"/>
      <c r="BRG1534"/>
      <c r="BRH1534"/>
      <c r="BRI1534"/>
      <c r="BRJ1534"/>
      <c r="BRK1534"/>
      <c r="BRL1534"/>
      <c r="BRM1534"/>
      <c r="BRN1534"/>
      <c r="BRO1534"/>
      <c r="BRP1534"/>
      <c r="BRQ1534"/>
      <c r="BRR1534"/>
      <c r="BRS1534"/>
      <c r="BRT1534"/>
      <c r="BRU1534"/>
      <c r="BRV1534"/>
      <c r="BRW1534"/>
      <c r="BRX1534"/>
      <c r="BRY1534"/>
      <c r="BRZ1534"/>
      <c r="BSA1534"/>
      <c r="BSB1534"/>
      <c r="BSC1534"/>
      <c r="BSD1534"/>
      <c r="BSE1534"/>
      <c r="BSF1534"/>
      <c r="BSG1534"/>
      <c r="BSH1534"/>
      <c r="BSI1534"/>
      <c r="BSJ1534"/>
      <c r="BSK1534"/>
      <c r="BSL1534"/>
      <c r="BSM1534"/>
      <c r="BSN1534"/>
      <c r="BSO1534"/>
      <c r="BSP1534"/>
      <c r="BSQ1534"/>
      <c r="BSR1534"/>
      <c r="BSS1534"/>
      <c r="BST1534"/>
      <c r="BSU1534"/>
      <c r="BSV1534"/>
      <c r="BSW1534"/>
      <c r="BSX1534"/>
      <c r="BSY1534"/>
      <c r="BSZ1534"/>
      <c r="BTA1534"/>
      <c r="BTB1534"/>
      <c r="BTC1534"/>
      <c r="BTD1534"/>
      <c r="BTE1534"/>
      <c r="BTF1534"/>
      <c r="BTG1534"/>
      <c r="BTH1534"/>
      <c r="BTI1534"/>
      <c r="BTJ1534"/>
      <c r="BTK1534"/>
      <c r="BTL1534"/>
      <c r="BTM1534"/>
      <c r="BTN1534"/>
      <c r="BTO1534"/>
      <c r="BTP1534"/>
      <c r="BTQ1534"/>
      <c r="BTR1534"/>
      <c r="BTS1534"/>
      <c r="BTT1534"/>
      <c r="BTU1534"/>
      <c r="BTV1534"/>
      <c r="BTW1534"/>
      <c r="BTX1534"/>
      <c r="BTY1534"/>
      <c r="BTZ1534"/>
      <c r="BUA1534"/>
      <c r="BUB1534"/>
      <c r="BUC1534"/>
      <c r="BUD1534"/>
      <c r="BUE1534"/>
      <c r="BUF1534"/>
      <c r="BUG1534"/>
      <c r="BUH1534"/>
      <c r="BUI1534"/>
      <c r="BUJ1534"/>
      <c r="BUK1534"/>
      <c r="BUL1534"/>
      <c r="BUM1534"/>
      <c r="BUN1534"/>
      <c r="BUO1534"/>
      <c r="BUP1534"/>
      <c r="BUQ1534"/>
      <c r="BUR1534"/>
      <c r="BUS1534"/>
      <c r="BUT1534"/>
      <c r="BUU1534"/>
      <c r="BUV1534"/>
      <c r="BUW1534"/>
      <c r="BUX1534"/>
      <c r="BUY1534"/>
      <c r="BUZ1534"/>
      <c r="BVA1534"/>
      <c r="BVB1534"/>
      <c r="BVC1534"/>
      <c r="BVD1534"/>
      <c r="BVE1534"/>
      <c r="BVF1534"/>
      <c r="BVG1534"/>
      <c r="BVH1534"/>
      <c r="BVI1534"/>
      <c r="BVJ1534"/>
      <c r="BVK1534"/>
      <c r="BVL1534"/>
      <c r="BVM1534"/>
      <c r="BVN1534"/>
      <c r="BVO1534"/>
      <c r="BVP1534"/>
      <c r="BVQ1534"/>
      <c r="BVR1534"/>
      <c r="BVS1534"/>
      <c r="BVT1534"/>
      <c r="BVU1534"/>
      <c r="BVV1534"/>
      <c r="BVW1534"/>
      <c r="BVX1534"/>
      <c r="BVY1534"/>
      <c r="BVZ1534"/>
      <c r="BWA1534"/>
      <c r="BWB1534"/>
      <c r="BWC1534"/>
      <c r="BWD1534"/>
      <c r="BWE1534"/>
      <c r="BWF1534"/>
      <c r="BWG1534"/>
      <c r="BWH1534"/>
      <c r="BWI1534"/>
      <c r="BWJ1534"/>
      <c r="BWK1534"/>
      <c r="BWL1534"/>
      <c r="BWM1534"/>
      <c r="BWN1534"/>
      <c r="BWO1534"/>
      <c r="BWP1534"/>
      <c r="BWQ1534"/>
      <c r="BWR1534"/>
      <c r="BWS1534"/>
      <c r="BWT1534"/>
      <c r="BWU1534"/>
      <c r="BWV1534"/>
      <c r="BWW1534"/>
      <c r="BWX1534"/>
      <c r="BWY1534"/>
      <c r="BWZ1534"/>
      <c r="BXA1534"/>
      <c r="BXB1534"/>
      <c r="BXC1534"/>
      <c r="BXD1534"/>
      <c r="BXE1534"/>
      <c r="BXF1534"/>
      <c r="BXG1534"/>
      <c r="BXH1534"/>
      <c r="BXI1534"/>
      <c r="BXJ1534"/>
      <c r="BXK1534"/>
      <c r="BXL1534"/>
      <c r="BXM1534"/>
      <c r="BXN1534"/>
      <c r="BXO1534"/>
      <c r="BXP1534"/>
      <c r="BXQ1534"/>
      <c r="BXR1534"/>
      <c r="BXS1534"/>
      <c r="BXT1534"/>
      <c r="BXU1534"/>
      <c r="BXV1534"/>
      <c r="BXW1534"/>
      <c r="BXX1534"/>
      <c r="BXY1534"/>
      <c r="BXZ1534"/>
      <c r="BYA1534"/>
      <c r="BYB1534"/>
      <c r="BYC1534"/>
      <c r="BYD1534"/>
      <c r="BYE1534"/>
      <c r="BYF1534"/>
      <c r="BYG1534"/>
      <c r="BYH1534"/>
      <c r="BYI1534"/>
      <c r="BYJ1534"/>
      <c r="BYK1534"/>
      <c r="BYL1534"/>
      <c r="BYM1534"/>
      <c r="BYN1534"/>
      <c r="BYO1534"/>
      <c r="BYP1534"/>
      <c r="BYQ1534"/>
      <c r="BYR1534"/>
      <c r="BYS1534"/>
      <c r="BYT1534"/>
      <c r="BYU1534"/>
      <c r="BYV1534"/>
      <c r="BYW1534"/>
      <c r="BYX1534"/>
      <c r="BYY1534"/>
      <c r="BYZ1534"/>
      <c r="BZA1534"/>
      <c r="BZB1534"/>
      <c r="BZC1534"/>
      <c r="BZD1534"/>
      <c r="BZE1534"/>
      <c r="BZF1534"/>
      <c r="BZG1534"/>
      <c r="BZH1534"/>
      <c r="BZI1534"/>
      <c r="BZJ1534"/>
      <c r="BZK1534"/>
      <c r="BZL1534"/>
      <c r="BZM1534"/>
      <c r="BZN1534"/>
      <c r="BZO1534"/>
      <c r="BZP1534"/>
      <c r="BZQ1534"/>
      <c r="BZR1534"/>
      <c r="BZS1534"/>
      <c r="BZT1534"/>
      <c r="BZU1534"/>
      <c r="BZV1534"/>
      <c r="BZW1534"/>
      <c r="BZX1534"/>
      <c r="BZY1534"/>
      <c r="BZZ1534"/>
      <c r="CAA1534"/>
      <c r="CAB1534"/>
      <c r="CAC1534"/>
      <c r="CAD1534"/>
      <c r="CAE1534"/>
      <c r="CAF1534"/>
      <c r="CAG1534"/>
      <c r="CAH1534"/>
      <c r="CAI1534"/>
      <c r="CAJ1534"/>
      <c r="CAK1534"/>
      <c r="CAL1534"/>
      <c r="CAM1534"/>
      <c r="CAN1534"/>
      <c r="CAO1534"/>
      <c r="CAP1534"/>
      <c r="CAQ1534"/>
      <c r="CAR1534"/>
      <c r="CAS1534"/>
      <c r="CAT1534"/>
      <c r="CAU1534"/>
      <c r="CAV1534"/>
      <c r="CAW1534"/>
      <c r="CAX1534"/>
      <c r="CAY1534"/>
      <c r="CAZ1534"/>
      <c r="CBA1534"/>
      <c r="CBB1534"/>
      <c r="CBC1534"/>
      <c r="CBD1534"/>
      <c r="CBE1534"/>
      <c r="CBF1534"/>
      <c r="CBG1534"/>
      <c r="CBH1534"/>
      <c r="CBI1534"/>
      <c r="CBJ1534"/>
      <c r="CBK1534"/>
      <c r="CBL1534"/>
      <c r="CBM1534"/>
      <c r="CBN1534"/>
      <c r="CBO1534"/>
      <c r="CBP1534"/>
      <c r="CBQ1534"/>
      <c r="CBR1534"/>
      <c r="CBS1534"/>
      <c r="CBT1534"/>
      <c r="CBU1534"/>
      <c r="CBV1534"/>
      <c r="CBW1534"/>
      <c r="CBX1534"/>
      <c r="CBY1534"/>
      <c r="CBZ1534"/>
      <c r="CCA1534"/>
      <c r="CCB1534"/>
      <c r="CCC1534"/>
      <c r="CCD1534"/>
      <c r="CCE1534"/>
      <c r="CCF1534"/>
      <c r="CCG1534"/>
      <c r="CCH1534"/>
      <c r="CCI1534"/>
      <c r="CCJ1534"/>
      <c r="CCK1534"/>
      <c r="CCL1534"/>
      <c r="CCM1534"/>
      <c r="CCN1534"/>
      <c r="CCO1534"/>
      <c r="CCP1534"/>
      <c r="CCQ1534"/>
      <c r="CCR1534"/>
      <c r="CCS1534"/>
      <c r="CCT1534"/>
      <c r="CCU1534"/>
      <c r="CCV1534"/>
      <c r="CCW1534"/>
      <c r="CCX1534"/>
      <c r="CCY1534"/>
      <c r="CCZ1534"/>
      <c r="CDA1534"/>
      <c r="CDB1534"/>
      <c r="CDC1534"/>
      <c r="CDD1534"/>
      <c r="CDE1534"/>
      <c r="CDF1534"/>
      <c r="CDG1534"/>
      <c r="CDH1534"/>
      <c r="CDI1534"/>
      <c r="CDJ1534"/>
      <c r="CDK1534"/>
      <c r="CDL1534"/>
      <c r="CDM1534"/>
      <c r="CDN1534"/>
      <c r="CDO1534"/>
      <c r="CDP1534"/>
      <c r="CDQ1534"/>
      <c r="CDR1534"/>
      <c r="CDS1534"/>
      <c r="CDT1534"/>
      <c r="CDU1534"/>
      <c r="CDV1534"/>
      <c r="CDW1534"/>
      <c r="CDX1534"/>
      <c r="CDY1534"/>
      <c r="CDZ1534"/>
      <c r="CEA1534"/>
      <c r="CEB1534"/>
      <c r="CEC1534"/>
      <c r="CED1534"/>
      <c r="CEE1534"/>
      <c r="CEF1534"/>
      <c r="CEG1534"/>
      <c r="CEH1534"/>
      <c r="CEI1534"/>
      <c r="CEJ1534"/>
      <c r="CEK1534"/>
      <c r="CEL1534"/>
      <c r="CEM1534"/>
      <c r="CEN1534"/>
      <c r="CEO1534"/>
      <c r="CEP1534"/>
      <c r="CEQ1534"/>
      <c r="CER1534"/>
      <c r="CES1534"/>
      <c r="CET1534"/>
      <c r="CEU1534"/>
      <c r="CEV1534"/>
      <c r="CEW1534"/>
      <c r="CEX1534"/>
      <c r="CEY1534"/>
      <c r="CEZ1534"/>
      <c r="CFA1534"/>
      <c r="CFB1534"/>
      <c r="CFC1534"/>
      <c r="CFD1534"/>
      <c r="CFE1534"/>
      <c r="CFF1534"/>
      <c r="CFG1534"/>
      <c r="CFH1534"/>
      <c r="CFI1534"/>
      <c r="CFJ1534"/>
      <c r="CFK1534"/>
      <c r="CFL1534"/>
      <c r="CFM1534"/>
      <c r="CFN1534"/>
      <c r="CFO1534"/>
      <c r="CFP1534"/>
      <c r="CFQ1534"/>
      <c r="CFR1534"/>
      <c r="CFS1534"/>
      <c r="CFT1534"/>
      <c r="CFU1534"/>
      <c r="CFV1534"/>
      <c r="CFW1534"/>
      <c r="CFX1534"/>
      <c r="CFY1534"/>
      <c r="CFZ1534"/>
      <c r="CGA1534"/>
      <c r="CGB1534"/>
      <c r="CGC1534"/>
      <c r="CGD1534"/>
      <c r="CGE1534"/>
      <c r="CGF1534"/>
      <c r="CGG1534"/>
      <c r="CGH1534"/>
      <c r="CGI1534"/>
      <c r="CGJ1534"/>
      <c r="CGK1534"/>
      <c r="CGL1534"/>
      <c r="CGM1534"/>
      <c r="CGN1534"/>
      <c r="CGO1534"/>
      <c r="CGP1534"/>
      <c r="CGQ1534"/>
      <c r="CGR1534"/>
      <c r="CGS1534"/>
      <c r="CGT1534"/>
      <c r="CGU1534"/>
      <c r="CGV1534"/>
      <c r="CGW1534"/>
      <c r="CGX1534"/>
      <c r="CGY1534"/>
      <c r="CGZ1534"/>
      <c r="CHA1534"/>
      <c r="CHB1534"/>
      <c r="CHC1534"/>
      <c r="CHD1534"/>
      <c r="CHE1534"/>
      <c r="CHF1534"/>
      <c r="CHG1534"/>
      <c r="CHH1534"/>
      <c r="CHI1534"/>
      <c r="CHJ1534"/>
      <c r="CHK1534"/>
      <c r="CHL1534"/>
      <c r="CHM1534"/>
      <c r="CHN1534"/>
      <c r="CHO1534"/>
      <c r="CHP1534"/>
      <c r="CHQ1534"/>
      <c r="CHR1534"/>
      <c r="CHS1534"/>
      <c r="CHT1534"/>
      <c r="CHU1534"/>
      <c r="CHV1534"/>
      <c r="CHW1534"/>
      <c r="CHX1534"/>
      <c r="CHY1534"/>
      <c r="CHZ1534"/>
      <c r="CIA1534"/>
      <c r="CIB1534"/>
      <c r="CIC1534"/>
      <c r="CID1534"/>
      <c r="CIE1534"/>
      <c r="CIF1534"/>
      <c r="CIG1534"/>
      <c r="CIH1534"/>
      <c r="CII1534"/>
      <c r="CIJ1534"/>
      <c r="CIK1534"/>
      <c r="CIL1534"/>
      <c r="CIM1534"/>
      <c r="CIN1534"/>
      <c r="CIO1534"/>
      <c r="CIP1534"/>
      <c r="CIQ1534"/>
      <c r="CIR1534"/>
      <c r="CIS1534"/>
      <c r="CIT1534"/>
      <c r="CIU1534"/>
      <c r="CIV1534"/>
      <c r="CIW1534"/>
      <c r="CIX1534"/>
      <c r="CIY1534"/>
      <c r="CIZ1534"/>
      <c r="CJA1534"/>
      <c r="CJB1534"/>
      <c r="CJC1534"/>
      <c r="CJD1534"/>
      <c r="CJE1534"/>
      <c r="CJF1534"/>
      <c r="CJG1534"/>
      <c r="CJH1534"/>
      <c r="CJI1534"/>
      <c r="CJJ1534"/>
      <c r="CJK1534"/>
      <c r="CJL1534"/>
      <c r="CJM1534"/>
      <c r="CJN1534"/>
      <c r="CJO1534"/>
      <c r="CJP1534"/>
      <c r="CJQ1534"/>
      <c r="CJR1534"/>
      <c r="CJS1534"/>
      <c r="CJT1534"/>
      <c r="CJU1534"/>
      <c r="CJV1534"/>
      <c r="CJW1534"/>
      <c r="CJX1534"/>
      <c r="CJY1534"/>
      <c r="CJZ1534"/>
      <c r="CKA1534"/>
      <c r="CKB1534"/>
      <c r="CKC1534"/>
      <c r="CKD1534"/>
      <c r="CKE1534"/>
      <c r="CKF1534"/>
      <c r="CKG1534"/>
      <c r="CKH1534"/>
      <c r="CKI1534"/>
      <c r="CKJ1534"/>
      <c r="CKK1534"/>
      <c r="CKL1534"/>
      <c r="CKM1534"/>
      <c r="CKN1534"/>
      <c r="CKO1534"/>
      <c r="CKP1534"/>
      <c r="CKQ1534"/>
      <c r="CKR1534"/>
      <c r="CKS1534"/>
      <c r="CKT1534"/>
      <c r="CKU1534"/>
      <c r="CKV1534"/>
      <c r="CKW1534"/>
      <c r="CKX1534"/>
      <c r="CKY1534"/>
      <c r="CKZ1534"/>
      <c r="CLA1534"/>
      <c r="CLB1534"/>
      <c r="CLC1534"/>
      <c r="CLD1534"/>
      <c r="CLE1534"/>
      <c r="CLF1534"/>
      <c r="CLG1534"/>
      <c r="CLH1534"/>
      <c r="CLI1534"/>
      <c r="CLJ1534"/>
      <c r="CLK1534"/>
      <c r="CLL1534"/>
      <c r="CLM1534"/>
      <c r="CLN1534"/>
      <c r="CLO1534"/>
      <c r="CLP1534"/>
      <c r="CLQ1534"/>
      <c r="CLR1534"/>
      <c r="CLS1534"/>
      <c r="CLT1534"/>
      <c r="CLU1534"/>
      <c r="CLV1534"/>
      <c r="CLW1534"/>
      <c r="CLX1534"/>
      <c r="CLY1534"/>
      <c r="CLZ1534"/>
      <c r="CMA1534"/>
      <c r="CMB1534"/>
      <c r="CMC1534"/>
      <c r="CMD1534"/>
      <c r="CME1534"/>
      <c r="CMF1534"/>
      <c r="CMG1534"/>
      <c r="CMH1534"/>
      <c r="CMI1534"/>
      <c r="CMJ1534"/>
      <c r="CMK1534"/>
      <c r="CML1534"/>
      <c r="CMM1534"/>
      <c r="CMN1534"/>
      <c r="CMO1534"/>
      <c r="CMP1534"/>
      <c r="CMQ1534"/>
      <c r="CMR1534"/>
      <c r="CMS1534"/>
      <c r="CMT1534"/>
      <c r="CMU1534"/>
      <c r="CMV1534"/>
      <c r="CMW1534"/>
      <c r="CMX1534"/>
      <c r="CMY1534"/>
      <c r="CMZ1534"/>
      <c r="CNA1534"/>
      <c r="CNB1534"/>
      <c r="CNC1534"/>
      <c r="CND1534"/>
      <c r="CNE1534"/>
      <c r="CNF1534"/>
      <c r="CNG1534"/>
      <c r="CNH1534"/>
      <c r="CNI1534"/>
      <c r="CNJ1534"/>
      <c r="CNK1534"/>
      <c r="CNL1534"/>
      <c r="CNM1534"/>
      <c r="CNN1534"/>
      <c r="CNO1534"/>
      <c r="CNP1534"/>
      <c r="CNQ1534"/>
      <c r="CNR1534"/>
      <c r="CNS1534"/>
      <c r="CNT1534"/>
      <c r="CNU1534"/>
      <c r="CNV1534"/>
      <c r="CNW1534"/>
      <c r="CNX1534"/>
      <c r="CNY1534"/>
      <c r="CNZ1534"/>
      <c r="COA1534"/>
      <c r="COB1534"/>
      <c r="COC1534"/>
      <c r="COD1534"/>
      <c r="COE1534"/>
      <c r="COF1534"/>
      <c r="COG1534"/>
      <c r="COH1534"/>
      <c r="COI1534"/>
      <c r="COJ1534"/>
      <c r="COK1534"/>
      <c r="COL1534"/>
      <c r="COM1534"/>
      <c r="CON1534"/>
      <c r="COO1534"/>
      <c r="COP1534"/>
      <c r="COQ1534"/>
      <c r="COR1534"/>
      <c r="COS1534"/>
      <c r="COT1534"/>
      <c r="COU1534"/>
      <c r="COV1534"/>
      <c r="COW1534"/>
      <c r="COX1534"/>
      <c r="COY1534"/>
      <c r="COZ1534"/>
      <c r="CPA1534"/>
      <c r="CPB1534"/>
      <c r="CPC1534"/>
      <c r="CPD1534"/>
      <c r="CPE1534"/>
      <c r="CPF1534"/>
      <c r="CPG1534"/>
      <c r="CPH1534"/>
      <c r="CPI1534"/>
      <c r="CPJ1534"/>
      <c r="CPK1534"/>
      <c r="CPL1534"/>
      <c r="CPM1534"/>
      <c r="CPN1534"/>
      <c r="CPO1534"/>
      <c r="CPP1534"/>
      <c r="CPQ1534"/>
      <c r="CPR1534"/>
      <c r="CPS1534"/>
      <c r="CPT1534"/>
      <c r="CPU1534"/>
      <c r="CPV1534"/>
      <c r="CPW1534"/>
      <c r="CPX1534"/>
      <c r="CPY1534"/>
      <c r="CPZ1534"/>
      <c r="CQA1534"/>
      <c r="CQB1534"/>
      <c r="CQC1534"/>
      <c r="CQD1534"/>
      <c r="CQE1534"/>
      <c r="CQF1534"/>
      <c r="CQG1534"/>
      <c r="CQH1534"/>
      <c r="CQI1534"/>
      <c r="CQJ1534"/>
      <c r="CQK1534"/>
      <c r="CQL1534"/>
      <c r="CQM1534"/>
      <c r="CQN1534"/>
      <c r="CQO1534"/>
      <c r="CQP1534"/>
      <c r="CQQ1534"/>
      <c r="CQR1534"/>
      <c r="CQS1534"/>
      <c r="CQT1534"/>
      <c r="CQU1534"/>
      <c r="CQV1534"/>
      <c r="CQW1534"/>
      <c r="CQX1534"/>
      <c r="CQY1534"/>
      <c r="CQZ1534"/>
      <c r="CRA1534"/>
      <c r="CRB1534"/>
      <c r="CRC1534"/>
      <c r="CRD1534"/>
      <c r="CRE1534"/>
      <c r="CRF1534"/>
      <c r="CRG1534"/>
      <c r="CRH1534"/>
      <c r="CRI1534"/>
      <c r="CRJ1534"/>
      <c r="CRK1534"/>
      <c r="CRL1534"/>
      <c r="CRM1534"/>
      <c r="CRN1534"/>
      <c r="CRO1534"/>
      <c r="CRP1534"/>
      <c r="CRQ1534"/>
      <c r="CRR1534"/>
      <c r="CRS1534"/>
      <c r="CRT1534"/>
      <c r="CRU1534"/>
      <c r="CRV1534"/>
      <c r="CRW1534"/>
      <c r="CRX1534"/>
      <c r="CRY1534"/>
      <c r="CRZ1534"/>
      <c r="CSA1534"/>
      <c r="CSB1534"/>
      <c r="CSC1534"/>
      <c r="CSD1534"/>
      <c r="CSE1534"/>
      <c r="CSF1534"/>
      <c r="CSG1534"/>
      <c r="CSH1534"/>
      <c r="CSI1534"/>
      <c r="CSJ1534"/>
      <c r="CSK1534"/>
      <c r="CSL1534"/>
      <c r="CSM1534"/>
      <c r="CSN1534"/>
      <c r="CSO1534"/>
      <c r="CSP1534"/>
      <c r="CSQ1534"/>
      <c r="CSR1534"/>
      <c r="CSS1534"/>
      <c r="CST1534"/>
      <c r="CSU1534"/>
      <c r="CSV1534"/>
      <c r="CSW1534"/>
      <c r="CSX1534"/>
      <c r="CSY1534"/>
      <c r="CSZ1534"/>
      <c r="CTA1534"/>
      <c r="CTB1534"/>
      <c r="CTC1534"/>
      <c r="CTD1534"/>
      <c r="CTE1534"/>
      <c r="CTF1534"/>
      <c r="CTG1534"/>
      <c r="CTH1534"/>
      <c r="CTI1534"/>
      <c r="CTJ1534"/>
      <c r="CTK1534"/>
      <c r="CTL1534"/>
      <c r="CTM1534"/>
      <c r="CTN1534"/>
      <c r="CTO1534"/>
      <c r="CTP1534"/>
      <c r="CTQ1534"/>
      <c r="CTR1534"/>
      <c r="CTS1534"/>
      <c r="CTT1534"/>
      <c r="CTU1534"/>
      <c r="CTV1534"/>
      <c r="CTW1534"/>
      <c r="CTX1534"/>
      <c r="CTY1534"/>
      <c r="CTZ1534"/>
      <c r="CUA1534"/>
      <c r="CUB1534"/>
      <c r="CUC1534"/>
      <c r="CUD1534"/>
      <c r="CUE1534"/>
      <c r="CUF1534"/>
      <c r="CUG1534"/>
      <c r="CUH1534"/>
      <c r="CUI1534"/>
      <c r="CUJ1534"/>
      <c r="CUK1534"/>
      <c r="CUL1534"/>
      <c r="CUM1534"/>
      <c r="CUN1534"/>
      <c r="CUO1534"/>
      <c r="CUP1534"/>
      <c r="CUQ1534"/>
      <c r="CUR1534"/>
      <c r="CUS1534"/>
      <c r="CUT1534"/>
      <c r="CUU1534"/>
      <c r="CUV1534"/>
      <c r="CUW1534"/>
      <c r="CUX1534"/>
      <c r="CUY1534"/>
      <c r="CUZ1534"/>
      <c r="CVA1534"/>
      <c r="CVB1534"/>
      <c r="CVC1534"/>
      <c r="CVD1534"/>
      <c r="CVE1534"/>
      <c r="CVF1534"/>
      <c r="CVG1534"/>
      <c r="CVH1534"/>
      <c r="CVI1534"/>
      <c r="CVJ1534"/>
      <c r="CVK1534"/>
      <c r="CVL1534"/>
      <c r="CVM1534"/>
      <c r="CVN1534"/>
      <c r="CVO1534"/>
      <c r="CVP1534"/>
      <c r="CVQ1534"/>
      <c r="CVR1534"/>
      <c r="CVS1534"/>
      <c r="CVT1534"/>
      <c r="CVU1534"/>
      <c r="CVV1534"/>
      <c r="CVW1534"/>
      <c r="CVX1534"/>
      <c r="CVY1534"/>
      <c r="CVZ1534"/>
      <c r="CWA1534"/>
      <c r="CWB1534"/>
      <c r="CWC1534"/>
      <c r="CWD1534"/>
      <c r="CWE1534"/>
      <c r="CWF1534"/>
      <c r="CWG1534"/>
      <c r="CWH1534"/>
      <c r="CWI1534"/>
      <c r="CWJ1534"/>
      <c r="CWK1534"/>
      <c r="CWL1534"/>
      <c r="CWM1534"/>
      <c r="CWN1534"/>
      <c r="CWO1534"/>
      <c r="CWP1534"/>
      <c r="CWQ1534"/>
      <c r="CWR1534"/>
      <c r="CWS1534"/>
      <c r="CWT1534"/>
      <c r="CWU1534"/>
      <c r="CWV1534"/>
      <c r="CWW1534"/>
      <c r="CWX1534"/>
      <c r="CWY1534"/>
      <c r="CWZ1534"/>
      <c r="CXA1534"/>
      <c r="CXB1534"/>
      <c r="CXC1534"/>
      <c r="CXD1534"/>
      <c r="CXE1534"/>
      <c r="CXF1534"/>
      <c r="CXG1534"/>
      <c r="CXH1534"/>
      <c r="CXI1534"/>
      <c r="CXJ1534"/>
      <c r="CXK1534"/>
      <c r="CXL1534"/>
      <c r="CXM1534"/>
      <c r="CXN1534"/>
      <c r="CXO1534"/>
      <c r="CXP1534"/>
      <c r="CXQ1534"/>
      <c r="CXR1534"/>
      <c r="CXS1534"/>
      <c r="CXT1534"/>
      <c r="CXU1534"/>
      <c r="CXV1534"/>
      <c r="CXW1534"/>
      <c r="CXX1534"/>
      <c r="CXY1534"/>
      <c r="CXZ1534"/>
      <c r="CYA1534"/>
      <c r="CYB1534"/>
      <c r="CYC1534"/>
      <c r="CYD1534"/>
      <c r="CYE1534"/>
      <c r="CYF1534"/>
      <c r="CYG1534"/>
      <c r="CYH1534"/>
      <c r="CYI1534"/>
      <c r="CYJ1534"/>
      <c r="CYK1534"/>
      <c r="CYL1534"/>
      <c r="CYM1534"/>
      <c r="CYN1534"/>
      <c r="CYO1534"/>
      <c r="CYP1534"/>
      <c r="CYQ1534"/>
      <c r="CYR1534"/>
      <c r="CYS1534"/>
      <c r="CYT1534"/>
      <c r="CYU1534"/>
      <c r="CYV1534"/>
      <c r="CYW1534"/>
      <c r="CYX1534"/>
      <c r="CYY1534"/>
      <c r="CYZ1534"/>
      <c r="CZA1534"/>
      <c r="CZB1534"/>
      <c r="CZC1534"/>
      <c r="CZD1534"/>
      <c r="CZE1534"/>
      <c r="CZF1534"/>
      <c r="CZG1534"/>
      <c r="CZH1534"/>
      <c r="CZI1534"/>
      <c r="CZJ1534"/>
      <c r="CZK1534"/>
      <c r="CZL1534"/>
      <c r="CZM1534"/>
      <c r="CZN1534"/>
      <c r="CZO1534"/>
      <c r="CZP1534"/>
      <c r="CZQ1534"/>
      <c r="CZR1534"/>
      <c r="CZS1534"/>
      <c r="CZT1534"/>
      <c r="CZU1534"/>
      <c r="CZV1534"/>
      <c r="CZW1534"/>
      <c r="CZX1534"/>
      <c r="CZY1534"/>
      <c r="CZZ1534"/>
      <c r="DAA1534"/>
      <c r="DAB1534"/>
      <c r="DAC1534"/>
      <c r="DAD1534"/>
      <c r="DAE1534"/>
      <c r="DAF1534"/>
      <c r="DAG1534"/>
      <c r="DAH1534"/>
      <c r="DAI1534"/>
      <c r="DAJ1534"/>
      <c r="DAK1534"/>
      <c r="DAL1534"/>
      <c r="DAM1534"/>
      <c r="DAN1534"/>
      <c r="DAO1534"/>
      <c r="DAP1534"/>
      <c r="DAQ1534"/>
      <c r="DAR1534"/>
      <c r="DAS1534"/>
      <c r="DAT1534"/>
      <c r="DAU1534"/>
      <c r="DAV1534"/>
      <c r="DAW1534"/>
      <c r="DAX1534"/>
      <c r="DAY1534"/>
      <c r="DAZ1534"/>
      <c r="DBA1534"/>
      <c r="DBB1534"/>
      <c r="DBC1534"/>
      <c r="DBD1534"/>
      <c r="DBE1534"/>
      <c r="DBF1534"/>
      <c r="DBG1534"/>
      <c r="DBH1534"/>
      <c r="DBI1534"/>
      <c r="DBJ1534"/>
      <c r="DBK1534"/>
      <c r="DBL1534"/>
      <c r="DBM1534"/>
      <c r="DBN1534"/>
      <c r="DBO1534"/>
      <c r="DBP1534"/>
      <c r="DBQ1534"/>
      <c r="DBR1534"/>
      <c r="DBS1534"/>
      <c r="DBT1534"/>
      <c r="DBU1534"/>
      <c r="DBV1534"/>
      <c r="DBW1534"/>
      <c r="DBX1534"/>
      <c r="DBY1534"/>
      <c r="DBZ1534"/>
      <c r="DCA1534"/>
      <c r="DCB1534"/>
      <c r="DCC1534"/>
      <c r="DCD1534"/>
      <c r="DCE1534"/>
      <c r="DCF1534"/>
      <c r="DCG1534"/>
      <c r="DCH1534"/>
      <c r="DCI1534"/>
      <c r="DCJ1534"/>
      <c r="DCK1534"/>
      <c r="DCL1534"/>
      <c r="DCM1534"/>
      <c r="DCN1534"/>
      <c r="DCO1534"/>
      <c r="DCP1534"/>
      <c r="DCQ1534"/>
      <c r="DCR1534"/>
      <c r="DCS1534"/>
      <c r="DCT1534"/>
      <c r="DCU1534"/>
      <c r="DCV1534"/>
      <c r="DCW1534"/>
      <c r="DCX1534"/>
      <c r="DCY1534"/>
      <c r="DCZ1534"/>
      <c r="DDA1534"/>
      <c r="DDB1534"/>
      <c r="DDC1534"/>
      <c r="DDD1534"/>
      <c r="DDE1534"/>
      <c r="DDF1534"/>
      <c r="DDG1534"/>
      <c r="DDH1534"/>
      <c r="DDI1534"/>
      <c r="DDJ1534"/>
      <c r="DDK1534"/>
      <c r="DDL1534"/>
      <c r="DDM1534"/>
      <c r="DDN1534"/>
      <c r="DDO1534"/>
      <c r="DDP1534"/>
      <c r="DDQ1534"/>
      <c r="DDR1534"/>
      <c r="DDS1534"/>
      <c r="DDT1534"/>
      <c r="DDU1534"/>
      <c r="DDV1534"/>
      <c r="DDW1534"/>
      <c r="DDX1534"/>
      <c r="DDY1534"/>
      <c r="DDZ1534"/>
      <c r="DEA1534"/>
      <c r="DEB1534"/>
      <c r="DEC1534"/>
      <c r="DED1534"/>
      <c r="DEE1534"/>
      <c r="DEF1534"/>
      <c r="DEG1534"/>
      <c r="DEH1534"/>
      <c r="DEI1534"/>
      <c r="DEJ1534"/>
      <c r="DEK1534"/>
      <c r="DEL1534"/>
      <c r="DEM1534"/>
      <c r="DEN1534"/>
      <c r="DEO1534"/>
      <c r="DEP1534"/>
      <c r="DEQ1534"/>
      <c r="DER1534"/>
      <c r="DES1534"/>
      <c r="DET1534"/>
      <c r="DEU1534"/>
      <c r="DEV1534"/>
      <c r="DEW1534"/>
      <c r="DEX1534"/>
      <c r="DEY1534"/>
      <c r="DEZ1534"/>
      <c r="DFA1534"/>
      <c r="DFB1534"/>
      <c r="DFC1534"/>
      <c r="DFD1534"/>
      <c r="DFE1534"/>
      <c r="DFF1534"/>
      <c r="DFG1534"/>
      <c r="DFH1534"/>
      <c r="DFI1534"/>
      <c r="DFJ1534"/>
      <c r="DFK1534"/>
      <c r="DFL1534"/>
      <c r="DFM1534"/>
      <c r="DFN1534"/>
      <c r="DFO1534"/>
      <c r="DFP1534"/>
      <c r="DFQ1534"/>
      <c r="DFR1534"/>
      <c r="DFS1534"/>
      <c r="DFT1534"/>
      <c r="DFU1534"/>
      <c r="DFV1534"/>
      <c r="DFW1534"/>
      <c r="DFX1534"/>
      <c r="DFY1534"/>
      <c r="DFZ1534"/>
      <c r="DGA1534"/>
      <c r="DGB1534"/>
      <c r="DGC1534"/>
      <c r="DGD1534"/>
      <c r="DGE1534"/>
      <c r="DGF1534"/>
      <c r="DGG1534"/>
      <c r="DGH1534"/>
      <c r="DGI1534"/>
      <c r="DGJ1534"/>
      <c r="DGK1534"/>
      <c r="DGL1534"/>
      <c r="DGM1534"/>
      <c r="DGN1534"/>
      <c r="DGO1534"/>
      <c r="DGP1534"/>
      <c r="DGQ1534"/>
      <c r="DGR1534"/>
      <c r="DGS1534"/>
      <c r="DGT1534"/>
      <c r="DGU1534"/>
      <c r="DGV1534"/>
      <c r="DGW1534"/>
      <c r="DGX1534"/>
      <c r="DGY1534"/>
      <c r="DGZ1534"/>
      <c r="DHA1534"/>
      <c r="DHB1534"/>
      <c r="DHC1534"/>
      <c r="DHD1534"/>
      <c r="DHE1534"/>
      <c r="DHF1534"/>
      <c r="DHG1534"/>
      <c r="DHH1534"/>
      <c r="DHI1534"/>
      <c r="DHJ1534"/>
      <c r="DHK1534"/>
      <c r="DHL1534"/>
      <c r="DHM1534"/>
      <c r="DHN1534"/>
      <c r="DHO1534"/>
      <c r="DHP1534"/>
      <c r="DHQ1534"/>
      <c r="DHR1534"/>
      <c r="DHS1534"/>
      <c r="DHT1534"/>
      <c r="DHU1534"/>
      <c r="DHV1534"/>
      <c r="DHW1534"/>
      <c r="DHX1534"/>
      <c r="DHY1534"/>
      <c r="DHZ1534"/>
      <c r="DIA1534"/>
      <c r="DIB1534"/>
      <c r="DIC1534"/>
      <c r="DID1534"/>
      <c r="DIE1534"/>
      <c r="DIF1534"/>
      <c r="DIG1534"/>
      <c r="DIH1534"/>
      <c r="DII1534"/>
      <c r="DIJ1534"/>
      <c r="DIK1534"/>
      <c r="DIL1534"/>
      <c r="DIM1534"/>
      <c r="DIN1534"/>
      <c r="DIO1534"/>
      <c r="DIP1534"/>
      <c r="DIQ1534"/>
      <c r="DIR1534"/>
      <c r="DIS1534"/>
      <c r="DIT1534"/>
      <c r="DIU1534"/>
      <c r="DIV1534"/>
      <c r="DIW1534"/>
      <c r="DIX1534"/>
      <c r="DIY1534"/>
      <c r="DIZ1534"/>
      <c r="DJA1534"/>
      <c r="DJB1534"/>
      <c r="DJC1534"/>
      <c r="DJD1534"/>
      <c r="DJE1534"/>
      <c r="DJF1534"/>
      <c r="DJG1534"/>
      <c r="DJH1534"/>
      <c r="DJI1534"/>
      <c r="DJJ1534"/>
      <c r="DJK1534"/>
      <c r="DJL1534"/>
      <c r="DJM1534"/>
      <c r="DJN1534"/>
      <c r="DJO1534"/>
      <c r="DJP1534"/>
      <c r="DJQ1534"/>
      <c r="DJR1534"/>
      <c r="DJS1534"/>
      <c r="DJT1534"/>
      <c r="DJU1534"/>
      <c r="DJV1534"/>
      <c r="DJW1534"/>
      <c r="DJX1534"/>
      <c r="DJY1534"/>
      <c r="DJZ1534"/>
      <c r="DKA1534"/>
      <c r="DKB1534"/>
      <c r="DKC1534"/>
      <c r="DKD1534"/>
      <c r="DKE1534"/>
      <c r="DKF1534"/>
      <c r="DKG1534"/>
      <c r="DKH1534"/>
      <c r="DKI1534"/>
      <c r="DKJ1534"/>
      <c r="DKK1534"/>
      <c r="DKL1534"/>
      <c r="DKM1534"/>
      <c r="DKN1534"/>
      <c r="DKO1534"/>
      <c r="DKP1534"/>
      <c r="DKQ1534"/>
      <c r="DKR1534"/>
      <c r="DKS1534"/>
      <c r="DKT1534"/>
      <c r="DKU1534"/>
      <c r="DKV1534"/>
      <c r="DKW1534"/>
      <c r="DKX1534"/>
      <c r="DKY1534"/>
      <c r="DKZ1534"/>
      <c r="DLA1534"/>
      <c r="DLB1534"/>
      <c r="DLC1534"/>
      <c r="DLD1534"/>
      <c r="DLE1534"/>
      <c r="DLF1534"/>
      <c r="DLG1534"/>
      <c r="DLH1534"/>
      <c r="DLI1534"/>
      <c r="DLJ1534"/>
      <c r="DLK1534"/>
      <c r="DLL1534"/>
      <c r="DLM1534"/>
      <c r="DLN1534"/>
      <c r="DLO1534"/>
      <c r="DLP1534"/>
      <c r="DLQ1534"/>
      <c r="DLR1534"/>
      <c r="DLS1534"/>
      <c r="DLT1534"/>
      <c r="DLU1534"/>
      <c r="DLV1534"/>
      <c r="DLW1534"/>
      <c r="DLX1534"/>
      <c r="DLY1534"/>
      <c r="DLZ1534"/>
      <c r="DMA1534"/>
      <c r="DMB1534"/>
      <c r="DMC1534"/>
      <c r="DMD1534"/>
      <c r="DME1534"/>
      <c r="DMF1534"/>
      <c r="DMG1534"/>
      <c r="DMH1534"/>
      <c r="DMI1534"/>
      <c r="DMJ1534"/>
      <c r="DMK1534"/>
      <c r="DML1534"/>
      <c r="DMM1534"/>
      <c r="DMN1534"/>
      <c r="DMO1534"/>
      <c r="DMP1534"/>
      <c r="DMQ1534"/>
      <c r="DMR1534"/>
      <c r="DMS1534"/>
      <c r="DMT1534"/>
      <c r="DMU1534"/>
      <c r="DMV1534"/>
      <c r="DMW1534"/>
      <c r="DMX1534"/>
      <c r="DMY1534"/>
      <c r="DMZ1534"/>
      <c r="DNA1534"/>
      <c r="DNB1534"/>
      <c r="DNC1534"/>
      <c r="DND1534"/>
      <c r="DNE1534"/>
      <c r="DNF1534"/>
      <c r="DNG1534"/>
      <c r="DNH1534"/>
      <c r="DNI1534"/>
      <c r="DNJ1534"/>
      <c r="DNK1534"/>
      <c r="DNL1534"/>
      <c r="DNM1534"/>
      <c r="DNN1534"/>
      <c r="DNO1534"/>
      <c r="DNP1534"/>
      <c r="DNQ1534"/>
      <c r="DNR1534"/>
      <c r="DNS1534"/>
      <c r="DNT1534"/>
      <c r="DNU1534"/>
      <c r="DNV1534"/>
      <c r="DNW1534"/>
      <c r="DNX1534"/>
      <c r="DNY1534"/>
      <c r="DNZ1534"/>
      <c r="DOA1534"/>
      <c r="DOB1534"/>
      <c r="DOC1534"/>
      <c r="DOD1534"/>
      <c r="DOE1534"/>
      <c r="DOF1534"/>
      <c r="DOG1534"/>
      <c r="DOH1534"/>
      <c r="DOI1534"/>
      <c r="DOJ1534"/>
      <c r="DOK1534"/>
      <c r="DOL1534"/>
      <c r="DOM1534"/>
      <c r="DON1534"/>
      <c r="DOO1534"/>
      <c r="DOP1534"/>
      <c r="DOQ1534"/>
      <c r="DOR1534"/>
      <c r="DOS1534"/>
      <c r="DOT1534"/>
      <c r="DOU1534"/>
      <c r="DOV1534"/>
      <c r="DOW1534"/>
      <c r="DOX1534"/>
      <c r="DOY1534"/>
      <c r="DOZ1534"/>
      <c r="DPA1534"/>
      <c r="DPB1534"/>
      <c r="DPC1534"/>
      <c r="DPD1534"/>
      <c r="DPE1534"/>
      <c r="DPF1534"/>
      <c r="DPG1534"/>
      <c r="DPH1534"/>
      <c r="DPI1534"/>
      <c r="DPJ1534"/>
      <c r="DPK1534"/>
      <c r="DPL1534"/>
      <c r="DPM1534"/>
      <c r="DPN1534"/>
      <c r="DPO1534"/>
      <c r="DPP1534"/>
      <c r="DPQ1534"/>
      <c r="DPR1534"/>
      <c r="DPS1534"/>
      <c r="DPT1534"/>
      <c r="DPU1534"/>
      <c r="DPV1534"/>
      <c r="DPW1534"/>
      <c r="DPX1534"/>
      <c r="DPY1534"/>
      <c r="DPZ1534"/>
      <c r="DQA1534"/>
      <c r="DQB1534"/>
      <c r="DQC1534"/>
      <c r="DQD1534"/>
      <c r="DQE1534"/>
      <c r="DQF1534"/>
      <c r="DQG1534"/>
      <c r="DQH1534"/>
      <c r="DQI1534"/>
      <c r="DQJ1534"/>
      <c r="DQK1534"/>
      <c r="DQL1534"/>
      <c r="DQM1534"/>
      <c r="DQN1534"/>
      <c r="DQO1534"/>
      <c r="DQP1534"/>
      <c r="DQQ1534"/>
      <c r="DQR1534"/>
      <c r="DQS1534"/>
      <c r="DQT1534"/>
      <c r="DQU1534"/>
      <c r="DQV1534"/>
      <c r="DQW1534"/>
      <c r="DQX1534"/>
      <c r="DQY1534"/>
      <c r="DQZ1534"/>
      <c r="DRA1534"/>
      <c r="DRB1534"/>
      <c r="DRC1534"/>
      <c r="DRD1534"/>
      <c r="DRE1534"/>
      <c r="DRF1534"/>
      <c r="DRG1534"/>
      <c r="DRH1534"/>
      <c r="DRI1534"/>
      <c r="DRJ1534"/>
      <c r="DRK1534"/>
      <c r="DRL1534"/>
      <c r="DRM1534"/>
      <c r="DRN1534"/>
      <c r="DRO1534"/>
      <c r="DRP1534"/>
      <c r="DRQ1534"/>
      <c r="DRR1534"/>
      <c r="DRS1534"/>
      <c r="DRT1534"/>
      <c r="DRU1534"/>
      <c r="DRV1534"/>
      <c r="DRW1534"/>
      <c r="DRX1534"/>
      <c r="DRY1534"/>
      <c r="DRZ1534"/>
      <c r="DSA1534"/>
      <c r="DSB1534"/>
      <c r="DSC1534"/>
      <c r="DSD1534"/>
      <c r="DSE1534"/>
      <c r="DSF1534"/>
      <c r="DSG1534"/>
      <c r="DSH1534"/>
      <c r="DSI1534"/>
      <c r="DSJ1534"/>
      <c r="DSK1534"/>
      <c r="DSL1534"/>
      <c r="DSM1534"/>
      <c r="DSN1534"/>
      <c r="DSO1534"/>
      <c r="DSP1534"/>
      <c r="DSQ1534"/>
      <c r="DSR1534"/>
      <c r="DSS1534"/>
      <c r="DST1534"/>
      <c r="DSU1534"/>
      <c r="DSV1534"/>
      <c r="DSW1534"/>
      <c r="DSX1534"/>
      <c r="DSY1534"/>
      <c r="DSZ1534"/>
      <c r="DTA1534"/>
      <c r="DTB1534"/>
      <c r="DTC1534"/>
      <c r="DTD1534"/>
      <c r="DTE1534"/>
      <c r="DTF1534"/>
      <c r="DTG1534"/>
      <c r="DTH1534"/>
      <c r="DTI1534"/>
      <c r="DTJ1534"/>
      <c r="DTK1534"/>
      <c r="DTL1534"/>
      <c r="DTM1534"/>
      <c r="DTN1534"/>
      <c r="DTO1534"/>
      <c r="DTP1534"/>
      <c r="DTQ1534"/>
      <c r="DTR1534"/>
      <c r="DTS1534"/>
      <c r="DTT1534"/>
      <c r="DTU1534"/>
      <c r="DTV1534"/>
      <c r="DTW1534"/>
      <c r="DTX1534"/>
      <c r="DTY1534"/>
      <c r="DTZ1534"/>
      <c r="DUA1534"/>
      <c r="DUB1534"/>
      <c r="DUC1534"/>
      <c r="DUD1534"/>
      <c r="DUE1534"/>
      <c r="DUF1534"/>
      <c r="DUG1534"/>
      <c r="DUH1534"/>
      <c r="DUI1534"/>
      <c r="DUJ1534"/>
      <c r="DUK1534"/>
      <c r="DUL1534"/>
      <c r="DUM1534"/>
      <c r="DUN1534"/>
      <c r="DUO1534"/>
      <c r="DUP1534"/>
      <c r="DUQ1534"/>
      <c r="DUR1534"/>
      <c r="DUS1534"/>
      <c r="DUT1534"/>
      <c r="DUU1534"/>
      <c r="DUV1534"/>
      <c r="DUW1534"/>
      <c r="DUX1534"/>
      <c r="DUY1534"/>
      <c r="DUZ1534"/>
      <c r="DVA1534"/>
      <c r="DVB1534"/>
      <c r="DVC1534"/>
      <c r="DVD1534"/>
      <c r="DVE1534"/>
      <c r="DVF1534"/>
      <c r="DVG1534"/>
      <c r="DVH1534"/>
      <c r="DVI1534"/>
      <c r="DVJ1534"/>
      <c r="DVK1534"/>
      <c r="DVL1534"/>
      <c r="DVM1534"/>
      <c r="DVN1534"/>
      <c r="DVO1534"/>
      <c r="DVP1534"/>
      <c r="DVQ1534"/>
      <c r="DVR1534"/>
      <c r="DVS1534"/>
      <c r="DVT1534"/>
      <c r="DVU1534"/>
      <c r="DVV1534"/>
      <c r="DVW1534"/>
      <c r="DVX1534"/>
      <c r="DVY1534"/>
      <c r="DVZ1534"/>
      <c r="DWA1534"/>
      <c r="DWB1534"/>
      <c r="DWC1534"/>
      <c r="DWD1534"/>
      <c r="DWE1534"/>
      <c r="DWF1534"/>
      <c r="DWG1534"/>
      <c r="DWH1534"/>
      <c r="DWI1534"/>
      <c r="DWJ1534"/>
      <c r="DWK1534"/>
      <c r="DWL1534"/>
      <c r="DWM1534"/>
      <c r="DWN1534"/>
      <c r="DWO1534"/>
      <c r="DWP1534"/>
      <c r="DWQ1534"/>
      <c r="DWR1534"/>
      <c r="DWS1534"/>
      <c r="DWT1534"/>
      <c r="DWU1534"/>
      <c r="DWV1534"/>
      <c r="DWW1534"/>
      <c r="DWX1534"/>
      <c r="DWY1534"/>
      <c r="DWZ1534"/>
      <c r="DXA1534"/>
      <c r="DXB1534"/>
      <c r="DXC1534"/>
      <c r="DXD1534"/>
      <c r="DXE1534"/>
      <c r="DXF1534"/>
      <c r="DXG1534"/>
      <c r="DXH1534"/>
      <c r="DXI1534"/>
      <c r="DXJ1534"/>
      <c r="DXK1534"/>
      <c r="DXL1534"/>
      <c r="DXM1534"/>
      <c r="DXN1534"/>
      <c r="DXO1534"/>
      <c r="DXP1534"/>
      <c r="DXQ1534"/>
      <c r="DXR1534"/>
      <c r="DXS1534"/>
      <c r="DXT1534"/>
      <c r="DXU1534"/>
      <c r="DXV1534"/>
      <c r="DXW1534"/>
      <c r="DXX1534"/>
      <c r="DXY1534"/>
      <c r="DXZ1534"/>
      <c r="DYA1534"/>
      <c r="DYB1534"/>
      <c r="DYC1534"/>
      <c r="DYD1534"/>
      <c r="DYE1534"/>
      <c r="DYF1534"/>
      <c r="DYG1534"/>
      <c r="DYH1534"/>
      <c r="DYI1534"/>
      <c r="DYJ1534"/>
      <c r="DYK1534"/>
      <c r="DYL1534"/>
      <c r="DYM1534"/>
      <c r="DYN1534"/>
      <c r="DYO1534"/>
      <c r="DYP1534"/>
      <c r="DYQ1534"/>
      <c r="DYR1534"/>
      <c r="DYS1534"/>
      <c r="DYT1534"/>
      <c r="DYU1534"/>
      <c r="DYV1534"/>
      <c r="DYW1534"/>
      <c r="DYX1534"/>
      <c r="DYY1534"/>
      <c r="DYZ1534"/>
      <c r="DZA1534"/>
      <c r="DZB1534"/>
      <c r="DZC1534"/>
      <c r="DZD1534"/>
      <c r="DZE1534"/>
      <c r="DZF1534"/>
      <c r="DZG1534"/>
      <c r="DZH1534"/>
      <c r="DZI1534"/>
      <c r="DZJ1534"/>
      <c r="DZK1534"/>
      <c r="DZL1534"/>
      <c r="DZM1534"/>
      <c r="DZN1534"/>
      <c r="DZO1534"/>
      <c r="DZP1534"/>
      <c r="DZQ1534"/>
      <c r="DZR1534"/>
      <c r="DZS1534"/>
      <c r="DZT1534"/>
      <c r="DZU1534"/>
      <c r="DZV1534"/>
      <c r="DZW1534"/>
      <c r="DZX1534"/>
      <c r="DZY1534"/>
      <c r="DZZ1534"/>
      <c r="EAA1534"/>
      <c r="EAB1534"/>
      <c r="EAC1534"/>
      <c r="EAD1534"/>
      <c r="EAE1534"/>
      <c r="EAF1534"/>
      <c r="EAG1534"/>
      <c r="EAH1534"/>
      <c r="EAI1534"/>
      <c r="EAJ1534"/>
      <c r="EAK1534"/>
      <c r="EAL1534"/>
      <c r="EAM1534"/>
      <c r="EAN1534"/>
      <c r="EAO1534"/>
      <c r="EAP1534"/>
      <c r="EAQ1534"/>
      <c r="EAR1534"/>
      <c r="EAS1534"/>
      <c r="EAT1534"/>
      <c r="EAU1534"/>
      <c r="EAV1534"/>
      <c r="EAW1534"/>
      <c r="EAX1534"/>
      <c r="EAY1534"/>
      <c r="EAZ1534"/>
      <c r="EBA1534"/>
      <c r="EBB1534"/>
      <c r="EBC1534"/>
      <c r="EBD1534"/>
      <c r="EBE1534"/>
      <c r="EBF1534"/>
      <c r="EBG1534"/>
      <c r="EBH1534"/>
      <c r="EBI1534"/>
      <c r="EBJ1534"/>
      <c r="EBK1534"/>
      <c r="EBL1534"/>
      <c r="EBM1534"/>
      <c r="EBN1534"/>
      <c r="EBO1534"/>
      <c r="EBP1534"/>
      <c r="EBQ1534"/>
      <c r="EBR1534"/>
      <c r="EBS1534"/>
      <c r="EBT1534"/>
      <c r="EBU1534"/>
      <c r="EBV1534"/>
      <c r="EBW1534"/>
      <c r="EBX1534"/>
      <c r="EBY1534"/>
      <c r="EBZ1534"/>
      <c r="ECA1534"/>
      <c r="ECB1534"/>
      <c r="ECC1534"/>
      <c r="ECD1534"/>
      <c r="ECE1534"/>
      <c r="ECF1534"/>
      <c r="ECG1534"/>
      <c r="ECH1534"/>
      <c r="ECI1534"/>
      <c r="ECJ1534"/>
      <c r="ECK1534"/>
      <c r="ECL1534"/>
      <c r="ECM1534"/>
      <c r="ECN1534"/>
      <c r="ECO1534"/>
      <c r="ECP1534"/>
      <c r="ECQ1534"/>
      <c r="ECR1534"/>
      <c r="ECS1534"/>
      <c r="ECT1534"/>
      <c r="ECU1534"/>
      <c r="ECV1534"/>
      <c r="ECW1534"/>
      <c r="ECX1534"/>
      <c r="ECY1534"/>
      <c r="ECZ1534"/>
      <c r="EDA1534"/>
      <c r="EDB1534"/>
      <c r="EDC1534"/>
      <c r="EDD1534"/>
      <c r="EDE1534"/>
      <c r="EDF1534"/>
      <c r="EDG1534"/>
      <c r="EDH1534"/>
      <c r="EDI1534"/>
      <c r="EDJ1534"/>
      <c r="EDK1534"/>
      <c r="EDL1534"/>
      <c r="EDM1534"/>
      <c r="EDN1534"/>
      <c r="EDO1534"/>
      <c r="EDP1534"/>
      <c r="EDQ1534"/>
      <c r="EDR1534"/>
      <c r="EDS1534"/>
      <c r="EDT1534"/>
      <c r="EDU1534"/>
      <c r="EDV1534"/>
      <c r="EDW1534"/>
      <c r="EDX1534"/>
      <c r="EDY1534"/>
      <c r="EDZ1534"/>
      <c r="EEA1534"/>
      <c r="EEB1534"/>
      <c r="EEC1534"/>
      <c r="EED1534"/>
      <c r="EEE1534"/>
      <c r="EEF1534"/>
      <c r="EEG1534"/>
      <c r="EEH1534"/>
      <c r="EEI1534"/>
      <c r="EEJ1534"/>
      <c r="EEK1534"/>
      <c r="EEL1534"/>
      <c r="EEM1534"/>
      <c r="EEN1534"/>
      <c r="EEO1534"/>
      <c r="EEP1534"/>
      <c r="EEQ1534"/>
      <c r="EER1534"/>
      <c r="EES1534"/>
      <c r="EET1534"/>
      <c r="EEU1534"/>
      <c r="EEV1534"/>
      <c r="EEW1534"/>
      <c r="EEX1534"/>
      <c r="EEY1534"/>
      <c r="EEZ1534"/>
      <c r="EFA1534"/>
      <c r="EFB1534"/>
      <c r="EFC1534"/>
      <c r="EFD1534"/>
      <c r="EFE1534"/>
      <c r="EFF1534"/>
      <c r="EFG1534"/>
      <c r="EFH1534"/>
      <c r="EFI1534"/>
      <c r="EFJ1534"/>
      <c r="EFK1534"/>
      <c r="EFL1534"/>
      <c r="EFM1534"/>
      <c r="EFN1534"/>
      <c r="EFO1534"/>
      <c r="EFP1534"/>
      <c r="EFQ1534"/>
      <c r="EFR1534"/>
      <c r="EFS1534"/>
      <c r="EFT1534"/>
      <c r="EFU1534"/>
      <c r="EFV1534"/>
      <c r="EFW1534"/>
      <c r="EFX1534"/>
      <c r="EFY1534"/>
      <c r="EFZ1534"/>
      <c r="EGA1534"/>
      <c r="EGB1534"/>
      <c r="EGC1534"/>
      <c r="EGD1534"/>
      <c r="EGE1534"/>
      <c r="EGF1534"/>
      <c r="EGG1534"/>
      <c r="EGH1534"/>
      <c r="EGI1534"/>
      <c r="EGJ1534"/>
      <c r="EGK1534"/>
      <c r="EGL1534"/>
      <c r="EGM1534"/>
      <c r="EGN1534"/>
      <c r="EGO1534"/>
      <c r="EGP1534"/>
      <c r="EGQ1534"/>
      <c r="EGR1534"/>
      <c r="EGS1534"/>
      <c r="EGT1534"/>
      <c r="EGU1534"/>
      <c r="EGV1534"/>
      <c r="EGW1534"/>
      <c r="EGX1534"/>
      <c r="EGY1534"/>
      <c r="EGZ1534"/>
      <c r="EHA1534"/>
      <c r="EHB1534"/>
      <c r="EHC1534"/>
      <c r="EHD1534"/>
      <c r="EHE1534"/>
      <c r="EHF1534"/>
      <c r="EHG1534"/>
      <c r="EHH1534"/>
      <c r="EHI1534"/>
      <c r="EHJ1534"/>
      <c r="EHK1534"/>
      <c r="EHL1534"/>
      <c r="EHM1534"/>
      <c r="EHN1534"/>
      <c r="EHO1534"/>
      <c r="EHP1534"/>
      <c r="EHQ1534"/>
      <c r="EHR1534"/>
      <c r="EHS1534"/>
      <c r="EHT1534"/>
      <c r="EHU1534"/>
      <c r="EHV1534"/>
      <c r="EHW1534"/>
      <c r="EHX1534"/>
      <c r="EHY1534"/>
      <c r="EHZ1534"/>
      <c r="EIA1534"/>
      <c r="EIB1534"/>
      <c r="EIC1534"/>
      <c r="EID1534"/>
      <c r="EIE1534"/>
      <c r="EIF1534"/>
      <c r="EIG1534"/>
      <c r="EIH1534"/>
      <c r="EII1534"/>
      <c r="EIJ1534"/>
      <c r="EIK1534"/>
      <c r="EIL1534"/>
      <c r="EIM1534"/>
      <c r="EIN1534"/>
      <c r="EIO1534"/>
      <c r="EIP1534"/>
      <c r="EIQ1534"/>
      <c r="EIR1534"/>
      <c r="EIS1534"/>
      <c r="EIT1534"/>
      <c r="EIU1534"/>
      <c r="EIV1534"/>
      <c r="EIW1534"/>
      <c r="EIX1534"/>
      <c r="EIY1534"/>
      <c r="EIZ1534"/>
      <c r="EJA1534"/>
      <c r="EJB1534"/>
      <c r="EJC1534"/>
      <c r="EJD1534"/>
      <c r="EJE1534"/>
      <c r="EJF1534"/>
      <c r="EJG1534"/>
      <c r="EJH1534"/>
      <c r="EJI1534"/>
      <c r="EJJ1534"/>
      <c r="EJK1534"/>
      <c r="EJL1534"/>
      <c r="EJM1534"/>
      <c r="EJN1534"/>
      <c r="EJO1534"/>
      <c r="EJP1534"/>
      <c r="EJQ1534"/>
      <c r="EJR1534"/>
      <c r="EJS1534"/>
      <c r="EJT1534"/>
      <c r="EJU1534"/>
      <c r="EJV1534"/>
      <c r="EJW1534"/>
      <c r="EJX1534"/>
      <c r="EJY1534"/>
      <c r="EJZ1534"/>
      <c r="EKA1534"/>
      <c r="EKB1534"/>
      <c r="EKC1534"/>
      <c r="EKD1534"/>
      <c r="EKE1534"/>
      <c r="EKF1534"/>
      <c r="EKG1534"/>
      <c r="EKH1534"/>
      <c r="EKI1534"/>
      <c r="EKJ1534"/>
      <c r="EKK1534"/>
      <c r="EKL1534"/>
      <c r="EKM1534"/>
      <c r="EKN1534"/>
      <c r="EKO1534"/>
      <c r="EKP1534"/>
      <c r="EKQ1534"/>
      <c r="EKR1534"/>
      <c r="EKS1534"/>
      <c r="EKT1534"/>
      <c r="EKU1534"/>
      <c r="EKV1534"/>
      <c r="EKW1534"/>
      <c r="EKX1534"/>
      <c r="EKY1534"/>
      <c r="EKZ1534"/>
      <c r="ELA1534"/>
      <c r="ELB1534"/>
      <c r="ELC1534"/>
      <c r="ELD1534"/>
      <c r="ELE1534"/>
      <c r="ELF1534"/>
      <c r="ELG1534"/>
      <c r="ELH1534"/>
      <c r="ELI1534"/>
      <c r="ELJ1534"/>
      <c r="ELK1534"/>
      <c r="ELL1534"/>
      <c r="ELM1534"/>
      <c r="ELN1534"/>
      <c r="ELO1534"/>
      <c r="ELP1534"/>
      <c r="ELQ1534"/>
      <c r="ELR1534"/>
      <c r="ELS1534"/>
      <c r="ELT1534"/>
      <c r="ELU1534"/>
      <c r="ELV1534"/>
      <c r="ELW1534"/>
      <c r="ELX1534"/>
      <c r="ELY1534"/>
      <c r="ELZ1534"/>
      <c r="EMA1534"/>
      <c r="EMB1534"/>
      <c r="EMC1534"/>
      <c r="EMD1534"/>
      <c r="EME1534"/>
      <c r="EMF1534"/>
      <c r="EMG1534"/>
      <c r="EMH1534"/>
      <c r="EMI1534"/>
      <c r="EMJ1534"/>
      <c r="EMK1534"/>
      <c r="EML1534"/>
      <c r="EMM1534"/>
      <c r="EMN1534"/>
      <c r="EMO1534"/>
      <c r="EMP1534"/>
      <c r="EMQ1534"/>
      <c r="EMR1534"/>
      <c r="EMS1534"/>
      <c r="EMT1534"/>
      <c r="EMU1534"/>
      <c r="EMV1534"/>
      <c r="EMW1534"/>
      <c r="EMX1534"/>
      <c r="EMY1534"/>
      <c r="EMZ1534"/>
      <c r="ENA1534"/>
      <c r="ENB1534"/>
      <c r="ENC1534"/>
      <c r="END1534"/>
      <c r="ENE1534"/>
      <c r="ENF1534"/>
      <c r="ENG1534"/>
      <c r="ENH1534"/>
      <c r="ENI1534"/>
      <c r="ENJ1534"/>
      <c r="ENK1534"/>
      <c r="ENL1534"/>
      <c r="ENM1534"/>
      <c r="ENN1534"/>
      <c r="ENO1534"/>
      <c r="ENP1534"/>
      <c r="ENQ1534"/>
      <c r="ENR1534"/>
      <c r="ENS1534"/>
      <c r="ENT1534"/>
      <c r="ENU1534"/>
      <c r="ENV1534"/>
      <c r="ENW1534"/>
      <c r="ENX1534"/>
      <c r="ENY1534"/>
      <c r="ENZ1534"/>
      <c r="EOA1534"/>
      <c r="EOB1534"/>
      <c r="EOC1534"/>
      <c r="EOD1534"/>
      <c r="EOE1534"/>
      <c r="EOF1534"/>
      <c r="EOG1534"/>
      <c r="EOH1534"/>
      <c r="EOI1534"/>
      <c r="EOJ1534"/>
      <c r="EOK1534"/>
      <c r="EOL1534"/>
      <c r="EOM1534"/>
      <c r="EON1534"/>
      <c r="EOO1534"/>
      <c r="EOP1534"/>
      <c r="EOQ1534"/>
      <c r="EOR1534"/>
      <c r="EOS1534"/>
      <c r="EOT1534"/>
      <c r="EOU1534"/>
      <c r="EOV1534"/>
      <c r="EOW1534"/>
      <c r="EOX1534"/>
      <c r="EOY1534"/>
      <c r="EOZ1534"/>
      <c r="EPA1534"/>
      <c r="EPB1534"/>
      <c r="EPC1534"/>
      <c r="EPD1534"/>
      <c r="EPE1534"/>
      <c r="EPF1534"/>
      <c r="EPG1534"/>
      <c r="EPH1534"/>
      <c r="EPI1534"/>
      <c r="EPJ1534"/>
      <c r="EPK1534"/>
      <c r="EPL1534"/>
      <c r="EPM1534"/>
      <c r="EPN1534"/>
      <c r="EPO1534"/>
      <c r="EPP1534"/>
      <c r="EPQ1534"/>
      <c r="EPR1534"/>
      <c r="EPS1534"/>
      <c r="EPT1534"/>
      <c r="EPU1534"/>
      <c r="EPV1534"/>
      <c r="EPW1534"/>
      <c r="EPX1534"/>
      <c r="EPY1534"/>
      <c r="EPZ1534"/>
      <c r="EQA1534"/>
      <c r="EQB1534"/>
      <c r="EQC1534"/>
      <c r="EQD1534"/>
      <c r="EQE1534"/>
      <c r="EQF1534"/>
      <c r="EQG1534"/>
      <c r="EQH1534"/>
      <c r="EQI1534"/>
      <c r="EQJ1534"/>
      <c r="EQK1534"/>
      <c r="EQL1534"/>
      <c r="EQM1534"/>
      <c r="EQN1534"/>
      <c r="EQO1534"/>
      <c r="EQP1534"/>
      <c r="EQQ1534"/>
      <c r="EQR1534"/>
      <c r="EQS1534"/>
      <c r="EQT1534"/>
      <c r="EQU1534"/>
      <c r="EQV1534"/>
      <c r="EQW1534"/>
      <c r="EQX1534"/>
      <c r="EQY1534"/>
      <c r="EQZ1534"/>
      <c r="ERA1534"/>
      <c r="ERB1534"/>
      <c r="ERC1534"/>
      <c r="ERD1534"/>
      <c r="ERE1534"/>
      <c r="ERF1534"/>
      <c r="ERG1534"/>
      <c r="ERH1534"/>
      <c r="ERI1534"/>
      <c r="ERJ1534"/>
      <c r="ERK1534"/>
      <c r="ERL1534"/>
      <c r="ERM1534"/>
      <c r="ERN1534"/>
      <c r="ERO1534"/>
      <c r="ERP1534"/>
      <c r="ERQ1534"/>
      <c r="ERR1534"/>
      <c r="ERS1534"/>
      <c r="ERT1534"/>
      <c r="ERU1534"/>
      <c r="ERV1534"/>
      <c r="ERW1534"/>
      <c r="ERX1534"/>
      <c r="ERY1534"/>
      <c r="ERZ1534"/>
      <c r="ESA1534"/>
      <c r="ESB1534"/>
      <c r="ESC1534"/>
      <c r="ESD1534"/>
      <c r="ESE1534"/>
      <c r="ESF1534"/>
      <c r="ESG1534"/>
      <c r="ESH1534"/>
      <c r="ESI1534"/>
      <c r="ESJ1534"/>
      <c r="ESK1534"/>
      <c r="ESL1534"/>
      <c r="ESM1534"/>
      <c r="ESN1534"/>
      <c r="ESO1534"/>
      <c r="ESP1534"/>
      <c r="ESQ1534"/>
      <c r="ESR1534"/>
      <c r="ESS1534"/>
      <c r="EST1534"/>
      <c r="ESU1534"/>
      <c r="ESV1534"/>
      <c r="ESW1534"/>
      <c r="ESX1534"/>
      <c r="ESY1534"/>
      <c r="ESZ1534"/>
      <c r="ETA1534"/>
      <c r="ETB1534"/>
      <c r="ETC1534"/>
      <c r="ETD1534"/>
      <c r="ETE1534"/>
      <c r="ETF1534"/>
      <c r="ETG1534"/>
      <c r="ETH1534"/>
      <c r="ETI1534"/>
      <c r="ETJ1534"/>
      <c r="ETK1534"/>
      <c r="ETL1534"/>
      <c r="ETM1534"/>
      <c r="ETN1534"/>
      <c r="ETO1534"/>
      <c r="ETP1534"/>
      <c r="ETQ1534"/>
      <c r="ETR1534"/>
      <c r="ETS1534"/>
      <c r="ETT1534"/>
      <c r="ETU1534"/>
      <c r="ETV1534"/>
      <c r="ETW1534"/>
      <c r="ETX1534"/>
      <c r="ETY1534"/>
      <c r="ETZ1534"/>
      <c r="EUA1534"/>
      <c r="EUB1534"/>
      <c r="EUC1534"/>
      <c r="EUD1534"/>
      <c r="EUE1534"/>
      <c r="EUF1534"/>
      <c r="EUG1534"/>
      <c r="EUH1534"/>
      <c r="EUI1534"/>
      <c r="EUJ1534"/>
      <c r="EUK1534"/>
      <c r="EUL1534"/>
      <c r="EUM1534"/>
      <c r="EUN1534"/>
      <c r="EUO1534"/>
      <c r="EUP1534"/>
      <c r="EUQ1534"/>
      <c r="EUR1534"/>
      <c r="EUS1534"/>
      <c r="EUT1534"/>
      <c r="EUU1534"/>
      <c r="EUV1534"/>
      <c r="EUW1534"/>
      <c r="EUX1534"/>
      <c r="EUY1534"/>
      <c r="EUZ1534"/>
      <c r="EVA1534"/>
      <c r="EVB1534"/>
      <c r="EVC1534"/>
      <c r="EVD1534"/>
      <c r="EVE1534"/>
      <c r="EVF1534"/>
      <c r="EVG1534"/>
      <c r="EVH1534"/>
      <c r="EVI1534"/>
      <c r="EVJ1534"/>
      <c r="EVK1534"/>
      <c r="EVL1534"/>
      <c r="EVM1534"/>
      <c r="EVN1534"/>
      <c r="EVO1534"/>
      <c r="EVP1534"/>
      <c r="EVQ1534"/>
      <c r="EVR1534"/>
      <c r="EVS1534"/>
      <c r="EVT1534"/>
      <c r="EVU1534"/>
      <c r="EVV1534"/>
      <c r="EVW1534"/>
      <c r="EVX1534"/>
      <c r="EVY1534"/>
      <c r="EVZ1534"/>
      <c r="EWA1534"/>
      <c r="EWB1534"/>
      <c r="EWC1534"/>
      <c r="EWD1534"/>
      <c r="EWE1534"/>
      <c r="EWF1534"/>
      <c r="EWG1534"/>
      <c r="EWH1534"/>
      <c r="EWI1534"/>
      <c r="EWJ1534"/>
      <c r="EWK1534"/>
      <c r="EWL1534"/>
      <c r="EWM1534"/>
      <c r="EWN1534"/>
      <c r="EWO1534"/>
      <c r="EWP1534"/>
      <c r="EWQ1534"/>
      <c r="EWR1534"/>
      <c r="EWS1534"/>
      <c r="EWT1534"/>
      <c r="EWU1534"/>
      <c r="EWV1534"/>
      <c r="EWW1534"/>
      <c r="EWX1534"/>
      <c r="EWY1534"/>
      <c r="EWZ1534"/>
      <c r="EXA1534"/>
      <c r="EXB1534"/>
      <c r="EXC1534"/>
      <c r="EXD1534"/>
      <c r="EXE1534"/>
      <c r="EXF1534"/>
      <c r="EXG1534"/>
      <c r="EXH1534"/>
      <c r="EXI1534"/>
      <c r="EXJ1534"/>
      <c r="EXK1534"/>
      <c r="EXL1534"/>
      <c r="EXM1534"/>
      <c r="EXN1534"/>
      <c r="EXO1534"/>
      <c r="EXP1534"/>
      <c r="EXQ1534"/>
      <c r="EXR1534"/>
      <c r="EXS1534"/>
      <c r="EXT1534"/>
      <c r="EXU1534"/>
      <c r="EXV1534"/>
      <c r="EXW1534"/>
      <c r="EXX1534"/>
      <c r="EXY1534"/>
      <c r="EXZ1534"/>
      <c r="EYA1534"/>
      <c r="EYB1534"/>
      <c r="EYC1534"/>
      <c r="EYD1534"/>
      <c r="EYE1534"/>
      <c r="EYF1534"/>
      <c r="EYG1534"/>
      <c r="EYH1534"/>
      <c r="EYI1534"/>
      <c r="EYJ1534"/>
      <c r="EYK1534"/>
      <c r="EYL1534"/>
      <c r="EYM1534"/>
      <c r="EYN1534"/>
      <c r="EYO1534"/>
      <c r="EYP1534"/>
      <c r="EYQ1534"/>
      <c r="EYR1534"/>
      <c r="EYS1534"/>
      <c r="EYT1534"/>
      <c r="EYU1534"/>
      <c r="EYV1534"/>
      <c r="EYW1534"/>
      <c r="EYX1534"/>
      <c r="EYY1534"/>
      <c r="EYZ1534"/>
      <c r="EZA1534"/>
      <c r="EZB1534"/>
      <c r="EZC1534"/>
      <c r="EZD1534"/>
      <c r="EZE1534"/>
      <c r="EZF1534"/>
      <c r="EZG1534"/>
      <c r="EZH1534"/>
      <c r="EZI1534"/>
      <c r="EZJ1534"/>
      <c r="EZK1534"/>
      <c r="EZL1534"/>
      <c r="EZM1534"/>
      <c r="EZN1534"/>
      <c r="EZO1534"/>
      <c r="EZP1534"/>
      <c r="EZQ1534"/>
      <c r="EZR1534"/>
      <c r="EZS1534"/>
      <c r="EZT1534"/>
      <c r="EZU1534"/>
      <c r="EZV1534"/>
      <c r="EZW1534"/>
      <c r="EZX1534"/>
      <c r="EZY1534"/>
      <c r="EZZ1534"/>
      <c r="FAA1534"/>
      <c r="FAB1534"/>
      <c r="FAC1534"/>
      <c r="FAD1534"/>
      <c r="FAE1534"/>
      <c r="FAF1534"/>
      <c r="FAG1534"/>
      <c r="FAH1534"/>
      <c r="FAI1534"/>
      <c r="FAJ1534"/>
      <c r="FAK1534"/>
      <c r="FAL1534"/>
      <c r="FAM1534"/>
      <c r="FAN1534"/>
      <c r="FAO1534"/>
      <c r="FAP1534"/>
      <c r="FAQ1534"/>
      <c r="FAR1534"/>
      <c r="FAS1534"/>
      <c r="FAT1534"/>
      <c r="FAU1534"/>
      <c r="FAV1534"/>
      <c r="FAW1534"/>
      <c r="FAX1534"/>
      <c r="FAY1534"/>
      <c r="FAZ1534"/>
      <c r="FBA1534"/>
      <c r="FBB1534"/>
      <c r="FBC1534"/>
      <c r="FBD1534"/>
      <c r="FBE1534"/>
      <c r="FBF1534"/>
      <c r="FBG1534"/>
      <c r="FBH1534"/>
      <c r="FBI1534"/>
      <c r="FBJ1534"/>
      <c r="FBK1534"/>
      <c r="FBL1534"/>
      <c r="FBM1534"/>
      <c r="FBN1534"/>
      <c r="FBO1534"/>
      <c r="FBP1534"/>
      <c r="FBQ1534"/>
      <c r="FBR1534"/>
      <c r="FBS1534"/>
      <c r="FBT1534"/>
      <c r="FBU1534"/>
      <c r="FBV1534"/>
      <c r="FBW1534"/>
      <c r="FBX1534"/>
      <c r="FBY1534"/>
      <c r="FBZ1534"/>
      <c r="FCA1534"/>
      <c r="FCB1534"/>
      <c r="FCC1534"/>
      <c r="FCD1534"/>
      <c r="FCE1534"/>
      <c r="FCF1534"/>
      <c r="FCG1534"/>
      <c r="FCH1534"/>
      <c r="FCI1534"/>
      <c r="FCJ1534"/>
      <c r="FCK1534"/>
      <c r="FCL1534"/>
      <c r="FCM1534"/>
      <c r="FCN1534"/>
      <c r="FCO1534"/>
      <c r="FCP1534"/>
      <c r="FCQ1534"/>
      <c r="FCR1534"/>
      <c r="FCS1534"/>
      <c r="FCT1534"/>
      <c r="FCU1534"/>
      <c r="FCV1534"/>
      <c r="FCW1534"/>
      <c r="FCX1534"/>
      <c r="FCY1534"/>
      <c r="FCZ1534"/>
      <c r="FDA1534"/>
      <c r="FDB1534"/>
      <c r="FDC1534"/>
      <c r="FDD1534"/>
      <c r="FDE1534"/>
      <c r="FDF1534"/>
      <c r="FDG1534"/>
      <c r="FDH1534"/>
      <c r="FDI1534"/>
      <c r="FDJ1534"/>
      <c r="FDK1534"/>
      <c r="FDL1534"/>
      <c r="FDM1534"/>
      <c r="FDN1534"/>
      <c r="FDO1534"/>
      <c r="FDP1534"/>
      <c r="FDQ1534"/>
      <c r="FDR1534"/>
      <c r="FDS1534"/>
      <c r="FDT1534"/>
      <c r="FDU1534"/>
      <c r="FDV1534"/>
      <c r="FDW1534"/>
      <c r="FDX1534"/>
      <c r="FDY1534"/>
      <c r="FDZ1534"/>
      <c r="FEA1534"/>
      <c r="FEB1534"/>
      <c r="FEC1534"/>
      <c r="FED1534"/>
      <c r="FEE1534"/>
      <c r="FEF1534"/>
      <c r="FEG1534"/>
      <c r="FEH1534"/>
      <c r="FEI1534"/>
      <c r="FEJ1534"/>
      <c r="FEK1534"/>
      <c r="FEL1534"/>
      <c r="FEM1534"/>
      <c r="FEN1534"/>
      <c r="FEO1534"/>
      <c r="FEP1534"/>
      <c r="FEQ1534"/>
      <c r="FER1534"/>
      <c r="FES1534"/>
      <c r="FET1534"/>
      <c r="FEU1534"/>
      <c r="FEV1534"/>
      <c r="FEW1534"/>
      <c r="FEX1534"/>
      <c r="FEY1534"/>
      <c r="FEZ1534"/>
      <c r="FFA1534"/>
      <c r="FFB1534"/>
      <c r="FFC1534"/>
      <c r="FFD1534"/>
      <c r="FFE1534"/>
      <c r="FFF1534"/>
      <c r="FFG1534"/>
      <c r="FFH1534"/>
      <c r="FFI1534"/>
      <c r="FFJ1534"/>
      <c r="FFK1534"/>
      <c r="FFL1534"/>
      <c r="FFM1534"/>
      <c r="FFN1534"/>
      <c r="FFO1534"/>
      <c r="FFP1534"/>
      <c r="FFQ1534"/>
      <c r="FFR1534"/>
      <c r="FFS1534"/>
      <c r="FFT1534"/>
      <c r="FFU1534"/>
      <c r="FFV1534"/>
      <c r="FFW1534"/>
      <c r="FFX1534"/>
      <c r="FFY1534"/>
      <c r="FFZ1534"/>
      <c r="FGA1534"/>
      <c r="FGB1534"/>
      <c r="FGC1534"/>
      <c r="FGD1534"/>
      <c r="FGE1534"/>
      <c r="FGF1534"/>
      <c r="FGG1534"/>
      <c r="FGH1534"/>
      <c r="FGI1534"/>
      <c r="FGJ1534"/>
      <c r="FGK1534"/>
      <c r="FGL1534"/>
      <c r="FGM1534"/>
      <c r="FGN1534"/>
      <c r="FGO1534"/>
      <c r="FGP1534"/>
      <c r="FGQ1534"/>
      <c r="FGR1534"/>
      <c r="FGS1534"/>
      <c r="FGT1534"/>
      <c r="FGU1534"/>
      <c r="FGV1534"/>
      <c r="FGW1534"/>
      <c r="FGX1534"/>
      <c r="FGY1534"/>
      <c r="FGZ1534"/>
      <c r="FHA1534"/>
      <c r="FHB1534"/>
      <c r="FHC1534"/>
      <c r="FHD1534"/>
      <c r="FHE1534"/>
      <c r="FHF1534"/>
      <c r="FHG1534"/>
      <c r="FHH1534"/>
      <c r="FHI1534"/>
      <c r="FHJ1534"/>
      <c r="FHK1534"/>
      <c r="FHL1534"/>
      <c r="FHM1534"/>
      <c r="FHN1534"/>
      <c r="FHO1534"/>
      <c r="FHP1534"/>
      <c r="FHQ1534"/>
      <c r="FHR1534"/>
      <c r="FHS1534"/>
      <c r="FHT1534"/>
      <c r="FHU1534"/>
      <c r="FHV1534"/>
      <c r="FHW1534"/>
      <c r="FHX1534"/>
      <c r="FHY1534"/>
      <c r="FHZ1534"/>
      <c r="FIA1534"/>
      <c r="FIB1534"/>
      <c r="FIC1534"/>
      <c r="FID1534"/>
      <c r="FIE1534"/>
      <c r="FIF1534"/>
      <c r="FIG1534"/>
      <c r="FIH1534"/>
      <c r="FII1534"/>
      <c r="FIJ1534"/>
      <c r="FIK1534"/>
      <c r="FIL1534"/>
      <c r="FIM1534"/>
      <c r="FIN1534"/>
      <c r="FIO1534"/>
      <c r="FIP1534"/>
      <c r="FIQ1534"/>
      <c r="FIR1534"/>
      <c r="FIS1534"/>
      <c r="FIT1534"/>
      <c r="FIU1534"/>
      <c r="FIV1534"/>
      <c r="FIW1534"/>
      <c r="FIX1534"/>
      <c r="FIY1534"/>
      <c r="FIZ1534"/>
      <c r="FJA1534"/>
      <c r="FJB1534"/>
      <c r="FJC1534"/>
      <c r="FJD1534"/>
      <c r="FJE1534"/>
      <c r="FJF1534"/>
      <c r="FJG1534"/>
      <c r="FJH1534"/>
      <c r="FJI1534"/>
      <c r="FJJ1534"/>
      <c r="FJK1534"/>
      <c r="FJL1534"/>
      <c r="FJM1534"/>
      <c r="FJN1534"/>
      <c r="FJO1534"/>
      <c r="FJP1534"/>
      <c r="FJQ1534"/>
      <c r="FJR1534"/>
      <c r="FJS1534"/>
      <c r="FJT1534"/>
      <c r="FJU1534"/>
      <c r="FJV1534"/>
      <c r="FJW1534"/>
      <c r="FJX1534"/>
      <c r="FJY1534"/>
      <c r="FJZ1534"/>
      <c r="FKA1534"/>
      <c r="FKB1534"/>
      <c r="FKC1534"/>
      <c r="FKD1534"/>
      <c r="FKE1534"/>
      <c r="FKF1534"/>
      <c r="FKG1534"/>
      <c r="FKH1534"/>
      <c r="FKI1534"/>
      <c r="FKJ1534"/>
      <c r="FKK1534"/>
      <c r="FKL1534"/>
      <c r="FKM1534"/>
      <c r="FKN1534"/>
      <c r="FKO1534"/>
      <c r="FKP1534"/>
      <c r="FKQ1534"/>
      <c r="FKR1534"/>
      <c r="FKS1534"/>
      <c r="FKT1534"/>
      <c r="FKU1534"/>
      <c r="FKV1534"/>
      <c r="FKW1534"/>
      <c r="FKX1534"/>
      <c r="FKY1534"/>
      <c r="FKZ1534"/>
      <c r="FLA1534"/>
      <c r="FLB1534"/>
      <c r="FLC1534"/>
      <c r="FLD1534"/>
      <c r="FLE1534"/>
      <c r="FLF1534"/>
      <c r="FLG1534"/>
      <c r="FLH1534"/>
      <c r="FLI1534"/>
      <c r="FLJ1534"/>
      <c r="FLK1534"/>
      <c r="FLL1534"/>
      <c r="FLM1534"/>
      <c r="FLN1534"/>
      <c r="FLO1534"/>
      <c r="FLP1534"/>
      <c r="FLQ1534"/>
      <c r="FLR1534"/>
      <c r="FLS1534"/>
      <c r="FLT1534"/>
      <c r="FLU1534"/>
      <c r="FLV1534"/>
      <c r="FLW1534"/>
      <c r="FLX1534"/>
      <c r="FLY1534"/>
      <c r="FLZ1534"/>
      <c r="FMA1534"/>
      <c r="FMB1534"/>
      <c r="FMC1534"/>
      <c r="FMD1534"/>
      <c r="FME1534"/>
      <c r="FMF1534"/>
      <c r="FMG1534"/>
      <c r="FMH1534"/>
      <c r="FMI1534"/>
      <c r="FMJ1534"/>
      <c r="FMK1534"/>
      <c r="FML1534"/>
      <c r="FMM1534"/>
      <c r="FMN1534"/>
      <c r="FMO1534"/>
      <c r="FMP1534"/>
      <c r="FMQ1534"/>
      <c r="FMR1534"/>
      <c r="FMS1534"/>
      <c r="FMT1534"/>
      <c r="FMU1534"/>
      <c r="FMV1534"/>
      <c r="FMW1534"/>
      <c r="FMX1534"/>
      <c r="FMY1534"/>
      <c r="FMZ1534"/>
      <c r="FNA1534"/>
      <c r="FNB1534"/>
      <c r="FNC1534"/>
      <c r="FND1534"/>
      <c r="FNE1534"/>
      <c r="FNF1534"/>
      <c r="FNG1534"/>
      <c r="FNH1534"/>
      <c r="FNI1534"/>
      <c r="FNJ1534"/>
      <c r="FNK1534"/>
      <c r="FNL1534"/>
      <c r="FNM1534"/>
      <c r="FNN1534"/>
      <c r="FNO1534"/>
      <c r="FNP1534"/>
      <c r="FNQ1534"/>
      <c r="FNR1534"/>
      <c r="FNS1534"/>
      <c r="FNT1534"/>
      <c r="FNU1534"/>
      <c r="FNV1534"/>
      <c r="FNW1534"/>
      <c r="FNX1534"/>
      <c r="FNY1534"/>
      <c r="FNZ1534"/>
      <c r="FOA1534"/>
      <c r="FOB1534"/>
      <c r="FOC1534"/>
      <c r="FOD1534"/>
      <c r="FOE1534"/>
      <c r="FOF1534"/>
      <c r="FOG1534"/>
      <c r="FOH1534"/>
      <c r="FOI1534"/>
      <c r="FOJ1534"/>
      <c r="FOK1534"/>
      <c r="FOL1534"/>
      <c r="FOM1534"/>
      <c r="FON1534"/>
      <c r="FOO1534"/>
      <c r="FOP1534"/>
      <c r="FOQ1534"/>
      <c r="FOR1534"/>
      <c r="FOS1534"/>
      <c r="FOT1534"/>
      <c r="FOU1534"/>
      <c r="FOV1534"/>
      <c r="FOW1534"/>
      <c r="FOX1534"/>
      <c r="FOY1534"/>
      <c r="FOZ1534"/>
      <c r="FPA1534"/>
      <c r="FPB1534"/>
      <c r="FPC1534"/>
      <c r="FPD1534"/>
      <c r="FPE1534"/>
      <c r="FPF1534"/>
      <c r="FPG1534"/>
      <c r="FPH1534"/>
      <c r="FPI1534"/>
      <c r="FPJ1534"/>
      <c r="FPK1534"/>
      <c r="FPL1534"/>
      <c r="FPM1534"/>
      <c r="FPN1534"/>
      <c r="FPO1534"/>
      <c r="FPP1534"/>
      <c r="FPQ1534"/>
      <c r="FPR1534"/>
      <c r="FPS1534"/>
      <c r="FPT1534"/>
      <c r="FPU1534"/>
      <c r="FPV1534"/>
      <c r="FPW1534"/>
      <c r="FPX1534"/>
      <c r="FPY1534"/>
      <c r="FPZ1534"/>
      <c r="FQA1534"/>
      <c r="FQB1534"/>
      <c r="FQC1534"/>
      <c r="FQD1534"/>
      <c r="FQE1534"/>
      <c r="FQF1534"/>
      <c r="FQG1534"/>
      <c r="FQH1534"/>
      <c r="FQI1534"/>
      <c r="FQJ1534"/>
      <c r="FQK1534"/>
      <c r="FQL1534"/>
      <c r="FQM1534"/>
      <c r="FQN1534"/>
      <c r="FQO1534"/>
      <c r="FQP1534"/>
      <c r="FQQ1534"/>
      <c r="FQR1534"/>
      <c r="FQS1534"/>
      <c r="FQT1534"/>
      <c r="FQU1534"/>
      <c r="FQV1534"/>
      <c r="FQW1534"/>
      <c r="FQX1534"/>
      <c r="FQY1534"/>
      <c r="FQZ1534"/>
      <c r="FRA1534"/>
      <c r="FRB1534"/>
      <c r="FRC1534"/>
      <c r="FRD1534"/>
      <c r="FRE1534"/>
      <c r="FRF1534"/>
      <c r="FRG1534"/>
      <c r="FRH1534"/>
      <c r="FRI1534"/>
      <c r="FRJ1534"/>
      <c r="FRK1534"/>
      <c r="FRL1534"/>
      <c r="FRM1534"/>
      <c r="FRN1534"/>
      <c r="FRO1534"/>
      <c r="FRP1534"/>
      <c r="FRQ1534"/>
      <c r="FRR1534"/>
      <c r="FRS1534"/>
      <c r="FRT1534"/>
      <c r="FRU1534"/>
      <c r="FRV1534"/>
      <c r="FRW1534"/>
      <c r="FRX1534"/>
      <c r="FRY1534"/>
      <c r="FRZ1534"/>
      <c r="FSA1534"/>
      <c r="FSB1534"/>
      <c r="FSC1534"/>
      <c r="FSD1534"/>
      <c r="FSE1534"/>
      <c r="FSF1534"/>
      <c r="FSG1534"/>
      <c r="FSH1534"/>
      <c r="FSI1534"/>
      <c r="FSJ1534"/>
      <c r="FSK1534"/>
      <c r="FSL1534"/>
      <c r="FSM1534"/>
      <c r="FSN1534"/>
      <c r="FSO1534"/>
      <c r="FSP1534"/>
      <c r="FSQ1534"/>
      <c r="FSR1534"/>
      <c r="FSS1534"/>
      <c r="FST1534"/>
      <c r="FSU1534"/>
      <c r="FSV1534"/>
      <c r="FSW1534"/>
      <c r="FSX1534"/>
      <c r="FSY1534"/>
      <c r="FSZ1534"/>
      <c r="FTA1534"/>
      <c r="FTB1534"/>
      <c r="FTC1534"/>
      <c r="FTD1534"/>
      <c r="FTE1534"/>
      <c r="FTF1534"/>
      <c r="FTG1534"/>
      <c r="FTH1534"/>
      <c r="FTI1534"/>
      <c r="FTJ1534"/>
      <c r="FTK1534"/>
      <c r="FTL1534"/>
      <c r="FTM1534"/>
      <c r="FTN1534"/>
      <c r="FTO1534"/>
      <c r="FTP1534"/>
      <c r="FTQ1534"/>
      <c r="FTR1534"/>
      <c r="FTS1534"/>
      <c r="FTT1534"/>
      <c r="FTU1534"/>
      <c r="FTV1534"/>
      <c r="FTW1534"/>
      <c r="FTX1534"/>
      <c r="FTY1534"/>
      <c r="FTZ1534"/>
      <c r="FUA1534"/>
      <c r="FUB1534"/>
      <c r="FUC1534"/>
      <c r="FUD1534"/>
      <c r="FUE1534"/>
      <c r="FUF1534"/>
      <c r="FUG1534"/>
      <c r="FUH1534"/>
      <c r="FUI1534"/>
      <c r="FUJ1534"/>
      <c r="FUK1534"/>
      <c r="FUL1534"/>
      <c r="FUM1534"/>
      <c r="FUN1534"/>
      <c r="FUO1534"/>
      <c r="FUP1534"/>
      <c r="FUQ1534"/>
      <c r="FUR1534"/>
      <c r="FUS1534"/>
      <c r="FUT1534"/>
      <c r="FUU1534"/>
      <c r="FUV1534"/>
      <c r="FUW1534"/>
      <c r="FUX1534"/>
      <c r="FUY1534"/>
      <c r="FUZ1534"/>
      <c r="FVA1534"/>
      <c r="FVB1534"/>
      <c r="FVC1534"/>
      <c r="FVD1534"/>
      <c r="FVE1534"/>
      <c r="FVF1534"/>
      <c r="FVG1534"/>
      <c r="FVH1534"/>
      <c r="FVI1534"/>
      <c r="FVJ1534"/>
      <c r="FVK1534"/>
      <c r="FVL1534"/>
      <c r="FVM1534"/>
      <c r="FVN1534"/>
      <c r="FVO1534"/>
      <c r="FVP1534"/>
      <c r="FVQ1534"/>
      <c r="FVR1534"/>
      <c r="FVS1534"/>
      <c r="FVT1534"/>
      <c r="FVU1534"/>
      <c r="FVV1534"/>
      <c r="FVW1534"/>
      <c r="FVX1534"/>
      <c r="FVY1534"/>
      <c r="FVZ1534"/>
      <c r="FWA1534"/>
      <c r="FWB1534"/>
      <c r="FWC1534"/>
      <c r="FWD1534"/>
      <c r="FWE1534"/>
      <c r="FWF1534"/>
      <c r="FWG1534"/>
      <c r="FWH1534"/>
      <c r="FWI1534"/>
      <c r="FWJ1534"/>
      <c r="FWK1534"/>
      <c r="FWL1534"/>
      <c r="FWM1534"/>
      <c r="FWN1534"/>
      <c r="FWO1534"/>
      <c r="FWP1534"/>
      <c r="FWQ1534"/>
      <c r="FWR1534"/>
      <c r="FWS1534"/>
      <c r="FWT1534"/>
      <c r="FWU1534"/>
      <c r="FWV1534"/>
      <c r="FWW1534"/>
      <c r="FWX1534"/>
      <c r="FWY1534"/>
      <c r="FWZ1534"/>
      <c r="FXA1534"/>
      <c r="FXB1534"/>
      <c r="FXC1534"/>
      <c r="FXD1534"/>
      <c r="FXE1534"/>
      <c r="FXF1534"/>
      <c r="FXG1534"/>
      <c r="FXH1534"/>
      <c r="FXI1534"/>
      <c r="FXJ1534"/>
      <c r="FXK1534"/>
      <c r="FXL1534"/>
      <c r="FXM1534"/>
      <c r="FXN1534"/>
      <c r="FXO1534"/>
      <c r="FXP1534"/>
      <c r="FXQ1534"/>
      <c r="FXR1534"/>
      <c r="FXS1534"/>
      <c r="FXT1534"/>
      <c r="FXU1534"/>
      <c r="FXV1534"/>
      <c r="FXW1534"/>
      <c r="FXX1534"/>
      <c r="FXY1534"/>
      <c r="FXZ1534"/>
      <c r="FYA1534"/>
      <c r="FYB1534"/>
      <c r="FYC1534"/>
      <c r="FYD1534"/>
      <c r="FYE1534"/>
      <c r="FYF1534"/>
      <c r="FYG1534"/>
      <c r="FYH1534"/>
      <c r="FYI1534"/>
      <c r="FYJ1534"/>
      <c r="FYK1534"/>
      <c r="FYL1534"/>
      <c r="FYM1534"/>
      <c r="FYN1534"/>
      <c r="FYO1534"/>
      <c r="FYP1534"/>
      <c r="FYQ1534"/>
      <c r="FYR1534"/>
      <c r="FYS1534"/>
      <c r="FYT1534"/>
      <c r="FYU1534"/>
      <c r="FYV1534"/>
      <c r="FYW1534"/>
      <c r="FYX1534"/>
      <c r="FYY1534"/>
      <c r="FYZ1534"/>
      <c r="FZA1534"/>
      <c r="FZB1534"/>
      <c r="FZC1534"/>
      <c r="FZD1534"/>
      <c r="FZE1534"/>
      <c r="FZF1534"/>
      <c r="FZG1534"/>
      <c r="FZH1534"/>
      <c r="FZI1534"/>
      <c r="FZJ1534"/>
      <c r="FZK1534"/>
      <c r="FZL1534"/>
      <c r="FZM1534"/>
      <c r="FZN1534"/>
      <c r="FZO1534"/>
      <c r="FZP1534"/>
      <c r="FZQ1534"/>
      <c r="FZR1534"/>
      <c r="FZS1534"/>
      <c r="FZT1534"/>
      <c r="FZU1534"/>
      <c r="FZV1534"/>
      <c r="FZW1534"/>
      <c r="FZX1534"/>
      <c r="FZY1534"/>
      <c r="FZZ1534"/>
      <c r="GAA1534"/>
      <c r="GAB1534"/>
      <c r="GAC1534"/>
      <c r="GAD1534"/>
      <c r="GAE1534"/>
      <c r="GAF1534"/>
      <c r="GAG1534"/>
      <c r="GAH1534"/>
      <c r="GAI1534"/>
      <c r="GAJ1534"/>
      <c r="GAK1534"/>
      <c r="GAL1534"/>
      <c r="GAM1534"/>
      <c r="GAN1534"/>
      <c r="GAO1534"/>
      <c r="GAP1534"/>
      <c r="GAQ1534"/>
      <c r="GAR1534"/>
      <c r="GAS1534"/>
      <c r="GAT1534"/>
      <c r="GAU1534"/>
      <c r="GAV1534"/>
      <c r="GAW1534"/>
      <c r="GAX1534"/>
      <c r="GAY1534"/>
      <c r="GAZ1534"/>
      <c r="GBA1534"/>
      <c r="GBB1534"/>
      <c r="GBC1534"/>
      <c r="GBD1534"/>
      <c r="GBE1534"/>
      <c r="GBF1534"/>
      <c r="GBG1534"/>
      <c r="GBH1534"/>
      <c r="GBI1534"/>
      <c r="GBJ1534"/>
      <c r="GBK1534"/>
      <c r="GBL1534"/>
      <c r="GBM1534"/>
      <c r="GBN1534"/>
      <c r="GBO1534"/>
      <c r="GBP1534"/>
      <c r="GBQ1534"/>
      <c r="GBR1534"/>
      <c r="GBS1534"/>
      <c r="GBT1534"/>
      <c r="GBU1534"/>
      <c r="GBV1534"/>
      <c r="GBW1534"/>
      <c r="GBX1534"/>
      <c r="GBY1534"/>
      <c r="GBZ1534"/>
      <c r="GCA1534"/>
      <c r="GCB1534"/>
      <c r="GCC1534"/>
      <c r="GCD1534"/>
      <c r="GCE1534"/>
      <c r="GCF1534"/>
      <c r="GCG1534"/>
      <c r="GCH1534"/>
      <c r="GCI1534"/>
      <c r="GCJ1534"/>
      <c r="GCK1534"/>
      <c r="GCL1534"/>
      <c r="GCM1534"/>
      <c r="GCN1534"/>
      <c r="GCO1534"/>
      <c r="GCP1534"/>
      <c r="GCQ1534"/>
      <c r="GCR1534"/>
      <c r="GCS1534"/>
      <c r="GCT1534"/>
      <c r="GCU1534"/>
      <c r="GCV1534"/>
      <c r="GCW1534"/>
      <c r="GCX1534"/>
      <c r="GCY1534"/>
      <c r="GCZ1534"/>
      <c r="GDA1534"/>
      <c r="GDB1534"/>
      <c r="GDC1534"/>
      <c r="GDD1534"/>
      <c r="GDE1534"/>
      <c r="GDF1534"/>
      <c r="GDG1534"/>
      <c r="GDH1534"/>
      <c r="GDI1534"/>
      <c r="GDJ1534"/>
      <c r="GDK1534"/>
      <c r="GDL1534"/>
      <c r="GDM1534"/>
      <c r="GDN1534"/>
      <c r="GDO1534"/>
      <c r="GDP1534"/>
      <c r="GDQ1534"/>
      <c r="GDR1534"/>
      <c r="GDS1534"/>
      <c r="GDT1534"/>
      <c r="GDU1534"/>
      <c r="GDV1534"/>
      <c r="GDW1534"/>
      <c r="GDX1534"/>
      <c r="GDY1534"/>
      <c r="GDZ1534"/>
      <c r="GEA1534"/>
      <c r="GEB1534"/>
      <c r="GEC1534"/>
      <c r="GED1534"/>
      <c r="GEE1534"/>
      <c r="GEF1534"/>
      <c r="GEG1534"/>
      <c r="GEH1534"/>
      <c r="GEI1534"/>
      <c r="GEJ1534"/>
      <c r="GEK1534"/>
      <c r="GEL1534"/>
      <c r="GEM1534"/>
      <c r="GEN1534"/>
      <c r="GEO1534"/>
      <c r="GEP1534"/>
      <c r="GEQ1534"/>
      <c r="GER1534"/>
      <c r="GES1534"/>
      <c r="GET1534"/>
      <c r="GEU1534"/>
      <c r="GEV1534"/>
      <c r="GEW1534"/>
      <c r="GEX1534"/>
      <c r="GEY1534"/>
      <c r="GEZ1534"/>
      <c r="GFA1534"/>
      <c r="GFB1534"/>
      <c r="GFC1534"/>
      <c r="GFD1534"/>
      <c r="GFE1534"/>
      <c r="GFF1534"/>
      <c r="GFG1534"/>
      <c r="GFH1534"/>
      <c r="GFI1534"/>
      <c r="GFJ1534"/>
      <c r="GFK1534"/>
      <c r="GFL1534"/>
      <c r="GFM1534"/>
      <c r="GFN1534"/>
      <c r="GFO1534"/>
      <c r="GFP1534"/>
      <c r="GFQ1534"/>
      <c r="GFR1534"/>
      <c r="GFS1534"/>
      <c r="GFT1534"/>
      <c r="GFU1534"/>
      <c r="GFV1534"/>
      <c r="GFW1534"/>
      <c r="GFX1534"/>
      <c r="GFY1534"/>
      <c r="GFZ1534"/>
      <c r="GGA1534"/>
      <c r="GGB1534"/>
      <c r="GGC1534"/>
      <c r="GGD1534"/>
      <c r="GGE1534"/>
      <c r="GGF1534"/>
      <c r="GGG1534"/>
      <c r="GGH1534"/>
      <c r="GGI1534"/>
      <c r="GGJ1534"/>
      <c r="GGK1534"/>
      <c r="GGL1534"/>
      <c r="GGM1534"/>
      <c r="GGN1534"/>
      <c r="GGO1534"/>
      <c r="GGP1534"/>
      <c r="GGQ1534"/>
      <c r="GGR1534"/>
      <c r="GGS1534"/>
      <c r="GGT1534"/>
      <c r="GGU1534"/>
      <c r="GGV1534"/>
      <c r="GGW1534"/>
      <c r="GGX1534"/>
      <c r="GGY1534"/>
      <c r="GGZ1534"/>
      <c r="GHA1534"/>
      <c r="GHB1534"/>
      <c r="GHC1534"/>
      <c r="GHD1534"/>
      <c r="GHE1534"/>
      <c r="GHF1534"/>
      <c r="GHG1534"/>
      <c r="GHH1534"/>
      <c r="GHI1534"/>
      <c r="GHJ1534"/>
      <c r="GHK1534"/>
      <c r="GHL1534"/>
      <c r="GHM1534"/>
      <c r="GHN1534"/>
      <c r="GHO1534"/>
      <c r="GHP1534"/>
      <c r="GHQ1534"/>
      <c r="GHR1534"/>
      <c r="GHS1534"/>
      <c r="GHT1534"/>
      <c r="GHU1534"/>
      <c r="GHV1534"/>
      <c r="GHW1534"/>
      <c r="GHX1534"/>
      <c r="GHY1534"/>
      <c r="GHZ1534"/>
      <c r="GIA1534"/>
      <c r="GIB1534"/>
      <c r="GIC1534"/>
      <c r="GID1534"/>
      <c r="GIE1534"/>
      <c r="GIF1534"/>
      <c r="GIG1534"/>
      <c r="GIH1534"/>
      <c r="GII1534"/>
      <c r="GIJ1534"/>
      <c r="GIK1534"/>
      <c r="GIL1534"/>
      <c r="GIM1534"/>
      <c r="GIN1534"/>
      <c r="GIO1534"/>
      <c r="GIP1534"/>
      <c r="GIQ1534"/>
      <c r="GIR1534"/>
      <c r="GIS1534"/>
      <c r="GIT1534"/>
      <c r="GIU1534"/>
      <c r="GIV1534"/>
      <c r="GIW1534"/>
      <c r="GIX1534"/>
      <c r="GIY1534"/>
      <c r="GIZ1534"/>
      <c r="GJA1534"/>
      <c r="GJB1534"/>
      <c r="GJC1534"/>
      <c r="GJD1534"/>
      <c r="GJE1534"/>
      <c r="GJF1534"/>
      <c r="GJG1534"/>
      <c r="GJH1534"/>
      <c r="GJI1534"/>
      <c r="GJJ1534"/>
      <c r="GJK1534"/>
      <c r="GJL1534"/>
      <c r="GJM1534"/>
      <c r="GJN1534"/>
      <c r="GJO1534"/>
      <c r="GJP1534"/>
      <c r="GJQ1534"/>
      <c r="GJR1534"/>
      <c r="GJS1534"/>
      <c r="GJT1534"/>
      <c r="GJU1534"/>
      <c r="GJV1534"/>
      <c r="GJW1534"/>
      <c r="GJX1534"/>
      <c r="GJY1534"/>
      <c r="GJZ1534"/>
      <c r="GKA1534"/>
      <c r="GKB1534"/>
      <c r="GKC1534"/>
      <c r="GKD1534"/>
      <c r="GKE1534"/>
      <c r="GKF1534"/>
      <c r="GKG1534"/>
      <c r="GKH1534"/>
      <c r="GKI1534"/>
      <c r="GKJ1534"/>
      <c r="GKK1534"/>
      <c r="GKL1534"/>
      <c r="GKM1534"/>
      <c r="GKN1534"/>
      <c r="GKO1534"/>
      <c r="GKP1534"/>
      <c r="GKQ1534"/>
      <c r="GKR1534"/>
      <c r="GKS1534"/>
      <c r="GKT1534"/>
      <c r="GKU1534"/>
      <c r="GKV1534"/>
      <c r="GKW1534"/>
      <c r="GKX1534"/>
      <c r="GKY1534"/>
      <c r="GKZ1534"/>
      <c r="GLA1534"/>
      <c r="GLB1534"/>
      <c r="GLC1534"/>
      <c r="GLD1534"/>
      <c r="GLE1534"/>
      <c r="GLF1534"/>
      <c r="GLG1534"/>
      <c r="GLH1534"/>
      <c r="GLI1534"/>
      <c r="GLJ1534"/>
      <c r="GLK1534"/>
      <c r="GLL1534"/>
      <c r="GLM1534"/>
      <c r="GLN1534"/>
      <c r="GLO1534"/>
      <c r="GLP1534"/>
      <c r="GLQ1534"/>
      <c r="GLR1534"/>
      <c r="GLS1534"/>
      <c r="GLT1534"/>
      <c r="GLU1534"/>
      <c r="GLV1534"/>
      <c r="GLW1534"/>
      <c r="GLX1534"/>
      <c r="GLY1534"/>
      <c r="GLZ1534"/>
      <c r="GMA1534"/>
      <c r="GMB1534"/>
      <c r="GMC1534"/>
      <c r="GMD1534"/>
      <c r="GME1534"/>
      <c r="GMF1534"/>
      <c r="GMG1534"/>
      <c r="GMH1534"/>
      <c r="GMI1534"/>
      <c r="GMJ1534"/>
      <c r="GMK1534"/>
      <c r="GML1534"/>
      <c r="GMM1534"/>
      <c r="GMN1534"/>
      <c r="GMO1534"/>
      <c r="GMP1534"/>
      <c r="GMQ1534"/>
      <c r="GMR1534"/>
      <c r="GMS1534"/>
      <c r="GMT1534"/>
      <c r="GMU1534"/>
      <c r="GMV1534"/>
      <c r="GMW1534"/>
      <c r="GMX1534"/>
      <c r="GMY1534"/>
      <c r="GMZ1534"/>
      <c r="GNA1534"/>
      <c r="GNB1534"/>
      <c r="GNC1534"/>
      <c r="GND1534"/>
      <c r="GNE1534"/>
      <c r="GNF1534"/>
      <c r="GNG1534"/>
      <c r="GNH1534"/>
      <c r="GNI1534"/>
      <c r="GNJ1534"/>
      <c r="GNK1534"/>
      <c r="GNL1534"/>
      <c r="GNM1534"/>
      <c r="GNN1534"/>
      <c r="GNO1534"/>
      <c r="GNP1534"/>
      <c r="GNQ1534"/>
      <c r="GNR1534"/>
      <c r="GNS1534"/>
      <c r="GNT1534"/>
      <c r="GNU1534"/>
      <c r="GNV1534"/>
      <c r="GNW1534"/>
      <c r="GNX1534"/>
      <c r="GNY1534"/>
      <c r="GNZ1534"/>
      <c r="GOA1534"/>
      <c r="GOB1534"/>
      <c r="GOC1534"/>
      <c r="GOD1534"/>
      <c r="GOE1534"/>
      <c r="GOF1534"/>
      <c r="GOG1534"/>
      <c r="GOH1534"/>
      <c r="GOI1534"/>
      <c r="GOJ1534"/>
      <c r="GOK1534"/>
      <c r="GOL1534"/>
      <c r="GOM1534"/>
      <c r="GON1534"/>
      <c r="GOO1534"/>
      <c r="GOP1534"/>
      <c r="GOQ1534"/>
      <c r="GOR1534"/>
      <c r="GOS1534"/>
      <c r="GOT1534"/>
      <c r="GOU1534"/>
      <c r="GOV1534"/>
      <c r="GOW1534"/>
      <c r="GOX1534"/>
      <c r="GOY1534"/>
      <c r="GOZ1534"/>
      <c r="GPA1534"/>
      <c r="GPB1534"/>
      <c r="GPC1534"/>
      <c r="GPD1534"/>
      <c r="GPE1534"/>
      <c r="GPF1534"/>
      <c r="GPG1534"/>
      <c r="GPH1534"/>
      <c r="GPI1534"/>
      <c r="GPJ1534"/>
      <c r="GPK1534"/>
      <c r="GPL1534"/>
      <c r="GPM1534"/>
      <c r="GPN1534"/>
      <c r="GPO1534"/>
      <c r="GPP1534"/>
      <c r="GPQ1534"/>
      <c r="GPR1534"/>
      <c r="GPS1534"/>
      <c r="GPT1534"/>
      <c r="GPU1534"/>
      <c r="GPV1534"/>
      <c r="GPW1534"/>
      <c r="GPX1534"/>
      <c r="GPY1534"/>
      <c r="GPZ1534"/>
      <c r="GQA1534"/>
      <c r="GQB1534"/>
      <c r="GQC1534"/>
      <c r="GQD1534"/>
      <c r="GQE1534"/>
      <c r="GQF1534"/>
      <c r="GQG1534"/>
      <c r="GQH1534"/>
      <c r="GQI1534"/>
      <c r="GQJ1534"/>
      <c r="GQK1534"/>
      <c r="GQL1534"/>
      <c r="GQM1534"/>
      <c r="GQN1534"/>
      <c r="GQO1534"/>
      <c r="GQP1534"/>
      <c r="GQQ1534"/>
      <c r="GQR1534"/>
      <c r="GQS1534"/>
      <c r="GQT1534"/>
      <c r="GQU1534"/>
      <c r="GQV1534"/>
      <c r="GQW1534"/>
      <c r="GQX1534"/>
      <c r="GQY1534"/>
      <c r="GQZ1534"/>
      <c r="GRA1534"/>
      <c r="GRB1534"/>
      <c r="GRC1534"/>
      <c r="GRD1534"/>
      <c r="GRE1534"/>
      <c r="GRF1534"/>
      <c r="GRG1534"/>
      <c r="GRH1534"/>
      <c r="GRI1534"/>
      <c r="GRJ1534"/>
      <c r="GRK1534"/>
      <c r="GRL1534"/>
      <c r="GRM1534"/>
      <c r="GRN1534"/>
      <c r="GRO1534"/>
      <c r="GRP1534"/>
      <c r="GRQ1534"/>
      <c r="GRR1534"/>
      <c r="GRS1534"/>
      <c r="GRT1534"/>
      <c r="GRU1534"/>
      <c r="GRV1534"/>
      <c r="GRW1534"/>
      <c r="GRX1534"/>
      <c r="GRY1534"/>
      <c r="GRZ1534"/>
      <c r="GSA1534"/>
      <c r="GSB1534"/>
      <c r="GSC1534"/>
      <c r="GSD1534"/>
      <c r="GSE1534"/>
      <c r="GSF1534"/>
      <c r="GSG1534"/>
      <c r="GSH1534"/>
      <c r="GSI1534"/>
      <c r="GSJ1534"/>
      <c r="GSK1534"/>
      <c r="GSL1534"/>
      <c r="GSM1534"/>
      <c r="GSN1534"/>
      <c r="GSO1534"/>
      <c r="GSP1534"/>
      <c r="GSQ1534"/>
      <c r="GSR1534"/>
      <c r="GSS1534"/>
      <c r="GST1534"/>
      <c r="GSU1534"/>
      <c r="GSV1534"/>
      <c r="GSW1534"/>
      <c r="GSX1534"/>
      <c r="GSY1534"/>
      <c r="GSZ1534"/>
      <c r="GTA1534"/>
      <c r="GTB1534"/>
      <c r="GTC1534"/>
      <c r="GTD1534"/>
      <c r="GTE1534"/>
      <c r="GTF1534"/>
      <c r="GTG1534"/>
      <c r="GTH1534"/>
      <c r="GTI1534"/>
      <c r="GTJ1534"/>
      <c r="GTK1534"/>
      <c r="GTL1534"/>
      <c r="GTM1534"/>
      <c r="GTN1534"/>
      <c r="GTO1534"/>
      <c r="GTP1534"/>
      <c r="GTQ1534"/>
      <c r="GTR1534"/>
      <c r="GTS1534"/>
      <c r="GTT1534"/>
      <c r="GTU1534"/>
      <c r="GTV1534"/>
      <c r="GTW1534"/>
      <c r="GTX1534"/>
      <c r="GTY1534"/>
      <c r="GTZ1534"/>
      <c r="GUA1534"/>
      <c r="GUB1534"/>
      <c r="GUC1534"/>
      <c r="GUD1534"/>
      <c r="GUE1534"/>
      <c r="GUF1534"/>
      <c r="GUG1534"/>
      <c r="GUH1534"/>
      <c r="GUI1534"/>
      <c r="GUJ1534"/>
      <c r="GUK1534"/>
      <c r="GUL1534"/>
      <c r="GUM1534"/>
      <c r="GUN1534"/>
      <c r="GUO1534"/>
      <c r="GUP1534"/>
      <c r="GUQ1534"/>
      <c r="GUR1534"/>
      <c r="GUS1534"/>
      <c r="GUT1534"/>
      <c r="GUU1534"/>
      <c r="GUV1534"/>
      <c r="GUW1534"/>
      <c r="GUX1534"/>
      <c r="GUY1534"/>
      <c r="GUZ1534"/>
      <c r="GVA1534"/>
      <c r="GVB1534"/>
      <c r="GVC1534"/>
      <c r="GVD1534"/>
      <c r="GVE1534"/>
      <c r="GVF1534"/>
      <c r="GVG1534"/>
      <c r="GVH1534"/>
      <c r="GVI1534"/>
      <c r="GVJ1534"/>
      <c r="GVK1534"/>
      <c r="GVL1534"/>
      <c r="GVM1534"/>
      <c r="GVN1534"/>
      <c r="GVO1534"/>
      <c r="GVP1534"/>
      <c r="GVQ1534"/>
      <c r="GVR1534"/>
      <c r="GVS1534"/>
      <c r="GVT1534"/>
      <c r="GVU1534"/>
      <c r="GVV1534"/>
      <c r="GVW1534"/>
      <c r="GVX1534"/>
      <c r="GVY1534"/>
      <c r="GVZ1534"/>
      <c r="GWA1534"/>
      <c r="GWB1534"/>
      <c r="GWC1534"/>
      <c r="GWD1534"/>
      <c r="GWE1534"/>
      <c r="GWF1534"/>
      <c r="GWG1534"/>
      <c r="GWH1534"/>
      <c r="GWI1534"/>
      <c r="GWJ1534"/>
      <c r="GWK1534"/>
      <c r="GWL1534"/>
      <c r="GWM1534"/>
      <c r="GWN1534"/>
      <c r="GWO1534"/>
      <c r="GWP1534"/>
      <c r="GWQ1534"/>
      <c r="GWR1534"/>
      <c r="GWS1534"/>
      <c r="GWT1534"/>
      <c r="GWU1534"/>
      <c r="GWV1534"/>
      <c r="GWW1534"/>
      <c r="GWX1534"/>
      <c r="GWY1534"/>
      <c r="GWZ1534"/>
      <c r="GXA1534"/>
      <c r="GXB1534"/>
      <c r="GXC1534"/>
      <c r="GXD1534"/>
      <c r="GXE1534"/>
      <c r="GXF1534"/>
      <c r="GXG1534"/>
      <c r="GXH1534"/>
      <c r="GXI1534"/>
      <c r="GXJ1534"/>
      <c r="GXK1534"/>
      <c r="GXL1534"/>
      <c r="GXM1534"/>
      <c r="GXN1534"/>
      <c r="GXO1534"/>
      <c r="GXP1534"/>
      <c r="GXQ1534"/>
      <c r="GXR1534"/>
      <c r="GXS1534"/>
      <c r="GXT1534"/>
      <c r="GXU1534"/>
      <c r="GXV1534"/>
      <c r="GXW1534"/>
      <c r="GXX1534"/>
      <c r="GXY1534"/>
      <c r="GXZ1534"/>
      <c r="GYA1534"/>
      <c r="GYB1534"/>
      <c r="GYC1534"/>
      <c r="GYD1534"/>
      <c r="GYE1534"/>
      <c r="GYF1534"/>
      <c r="GYG1534"/>
      <c r="GYH1534"/>
      <c r="GYI1534"/>
      <c r="GYJ1534"/>
      <c r="GYK1534"/>
      <c r="GYL1534"/>
      <c r="GYM1534"/>
      <c r="GYN1534"/>
      <c r="GYO1534"/>
      <c r="GYP1534"/>
      <c r="GYQ1534"/>
      <c r="GYR1534"/>
      <c r="GYS1534"/>
      <c r="GYT1534"/>
      <c r="GYU1534"/>
      <c r="GYV1534"/>
      <c r="GYW1534"/>
      <c r="GYX1534"/>
      <c r="GYY1534"/>
      <c r="GYZ1534"/>
      <c r="GZA1534"/>
      <c r="GZB1534"/>
      <c r="GZC1534"/>
      <c r="GZD1534"/>
      <c r="GZE1534"/>
      <c r="GZF1534"/>
      <c r="GZG1534"/>
      <c r="GZH1534"/>
      <c r="GZI1534"/>
      <c r="GZJ1534"/>
      <c r="GZK1534"/>
      <c r="GZL1534"/>
      <c r="GZM1534"/>
      <c r="GZN1534"/>
      <c r="GZO1534"/>
      <c r="GZP1534"/>
      <c r="GZQ1534"/>
      <c r="GZR1534"/>
      <c r="GZS1534"/>
      <c r="GZT1534"/>
      <c r="GZU1534"/>
      <c r="GZV1534"/>
      <c r="GZW1534"/>
      <c r="GZX1534"/>
      <c r="GZY1534"/>
      <c r="GZZ1534"/>
      <c r="HAA1534"/>
      <c r="HAB1534"/>
      <c r="HAC1534"/>
      <c r="HAD1534"/>
      <c r="HAE1534"/>
      <c r="HAF1534"/>
      <c r="HAG1534"/>
      <c r="HAH1534"/>
      <c r="HAI1534"/>
      <c r="HAJ1534"/>
      <c r="HAK1534"/>
      <c r="HAL1534"/>
      <c r="HAM1534"/>
      <c r="HAN1534"/>
      <c r="HAO1534"/>
      <c r="HAP1534"/>
      <c r="HAQ1534"/>
      <c r="HAR1534"/>
      <c r="HAS1534"/>
      <c r="HAT1534"/>
      <c r="HAU1534"/>
      <c r="HAV1534"/>
      <c r="HAW1534"/>
      <c r="HAX1534"/>
      <c r="HAY1534"/>
      <c r="HAZ1534"/>
      <c r="HBA1534"/>
      <c r="HBB1534"/>
      <c r="HBC1534"/>
      <c r="HBD1534"/>
      <c r="HBE1534"/>
      <c r="HBF1534"/>
      <c r="HBG1534"/>
      <c r="HBH1534"/>
      <c r="HBI1534"/>
      <c r="HBJ1534"/>
      <c r="HBK1534"/>
      <c r="HBL1534"/>
      <c r="HBM1534"/>
      <c r="HBN1534"/>
      <c r="HBO1534"/>
      <c r="HBP1534"/>
      <c r="HBQ1534"/>
      <c r="HBR1534"/>
      <c r="HBS1534"/>
      <c r="HBT1534"/>
      <c r="HBU1534"/>
      <c r="HBV1534"/>
      <c r="HBW1534"/>
      <c r="HBX1534"/>
      <c r="HBY1534"/>
      <c r="HBZ1534"/>
      <c r="HCA1534"/>
      <c r="HCB1534"/>
      <c r="HCC1534"/>
      <c r="HCD1534"/>
      <c r="HCE1534"/>
      <c r="HCF1534"/>
      <c r="HCG1534"/>
      <c r="HCH1534"/>
      <c r="HCI1534"/>
      <c r="HCJ1534"/>
      <c r="HCK1534"/>
      <c r="HCL1534"/>
      <c r="HCM1534"/>
      <c r="HCN1534"/>
      <c r="HCO1534"/>
      <c r="HCP1534"/>
      <c r="HCQ1534"/>
      <c r="HCR1534"/>
      <c r="HCS1534"/>
      <c r="HCT1534"/>
      <c r="HCU1534"/>
      <c r="HCV1534"/>
      <c r="HCW1534"/>
      <c r="HCX1534"/>
      <c r="HCY1534"/>
      <c r="HCZ1534"/>
      <c r="HDA1534"/>
      <c r="HDB1534"/>
      <c r="HDC1534"/>
      <c r="HDD1534"/>
      <c r="HDE1534"/>
      <c r="HDF1534"/>
      <c r="HDG1534"/>
      <c r="HDH1534"/>
      <c r="HDI1534"/>
      <c r="HDJ1534"/>
      <c r="HDK1534"/>
      <c r="HDL1534"/>
      <c r="HDM1534"/>
      <c r="HDN1534"/>
      <c r="HDO1534"/>
      <c r="HDP1534"/>
      <c r="HDQ1534"/>
      <c r="HDR1534"/>
      <c r="HDS1534"/>
      <c r="HDT1534"/>
      <c r="HDU1534"/>
      <c r="HDV1534"/>
      <c r="HDW1534"/>
      <c r="HDX1534"/>
      <c r="HDY1534"/>
      <c r="HDZ1534"/>
      <c r="HEA1534"/>
      <c r="HEB1534"/>
      <c r="HEC1534"/>
      <c r="HED1534"/>
      <c r="HEE1534"/>
      <c r="HEF1534"/>
      <c r="HEG1534"/>
      <c r="HEH1534"/>
      <c r="HEI1534"/>
      <c r="HEJ1534"/>
      <c r="HEK1534"/>
      <c r="HEL1534"/>
      <c r="HEM1534"/>
      <c r="HEN1534"/>
      <c r="HEO1534"/>
      <c r="HEP1534"/>
      <c r="HEQ1534"/>
      <c r="HER1534"/>
      <c r="HES1534"/>
      <c r="HET1534"/>
      <c r="HEU1534"/>
      <c r="HEV1534"/>
      <c r="HEW1534"/>
      <c r="HEX1534"/>
      <c r="HEY1534"/>
      <c r="HEZ1534"/>
      <c r="HFA1534"/>
      <c r="HFB1534"/>
      <c r="HFC1534"/>
      <c r="HFD1534"/>
      <c r="HFE1534"/>
      <c r="HFF1534"/>
      <c r="HFG1534"/>
      <c r="HFH1534"/>
      <c r="HFI1534"/>
      <c r="HFJ1534"/>
      <c r="HFK1534"/>
      <c r="HFL1534"/>
      <c r="HFM1534"/>
      <c r="HFN1534"/>
      <c r="HFO1534"/>
      <c r="HFP1534"/>
      <c r="HFQ1534"/>
      <c r="HFR1534"/>
      <c r="HFS1534"/>
      <c r="HFT1534"/>
      <c r="HFU1534"/>
      <c r="HFV1534"/>
      <c r="HFW1534"/>
      <c r="HFX1534"/>
      <c r="HFY1534"/>
      <c r="HFZ1534"/>
      <c r="HGA1534"/>
      <c r="HGB1534"/>
      <c r="HGC1534"/>
      <c r="HGD1534"/>
      <c r="HGE1534"/>
      <c r="HGF1534"/>
      <c r="HGG1534"/>
      <c r="HGH1534"/>
      <c r="HGI1534"/>
      <c r="HGJ1534"/>
      <c r="HGK1534"/>
      <c r="HGL1534"/>
      <c r="HGM1534"/>
      <c r="HGN1534"/>
      <c r="HGO1534"/>
      <c r="HGP1534"/>
      <c r="HGQ1534"/>
      <c r="HGR1534"/>
      <c r="HGS1534"/>
      <c r="HGT1534"/>
      <c r="HGU1534"/>
      <c r="HGV1534"/>
      <c r="HGW1534"/>
      <c r="HGX1534"/>
      <c r="HGY1534"/>
      <c r="HGZ1534"/>
      <c r="HHA1534"/>
      <c r="HHB1534"/>
      <c r="HHC1534"/>
      <c r="HHD1534"/>
      <c r="HHE1534"/>
      <c r="HHF1534"/>
      <c r="HHG1534"/>
      <c r="HHH1534"/>
      <c r="HHI1534"/>
      <c r="HHJ1534"/>
      <c r="HHK1534"/>
      <c r="HHL1534"/>
      <c r="HHM1534"/>
      <c r="HHN1534"/>
      <c r="HHO1534"/>
      <c r="HHP1534"/>
      <c r="HHQ1534"/>
      <c r="HHR1534"/>
      <c r="HHS1534"/>
      <c r="HHT1534"/>
      <c r="HHU1534"/>
      <c r="HHV1534"/>
      <c r="HHW1534"/>
      <c r="HHX1534"/>
      <c r="HHY1534"/>
      <c r="HHZ1534"/>
      <c r="HIA1534"/>
      <c r="HIB1534"/>
      <c r="HIC1534"/>
      <c r="HID1534"/>
      <c r="HIE1534"/>
      <c r="HIF1534"/>
      <c r="HIG1534"/>
      <c r="HIH1534"/>
      <c r="HII1534"/>
      <c r="HIJ1534"/>
      <c r="HIK1534"/>
      <c r="HIL1534"/>
      <c r="HIM1534"/>
      <c r="HIN1534"/>
      <c r="HIO1534"/>
      <c r="HIP1534"/>
      <c r="HIQ1534"/>
      <c r="HIR1534"/>
      <c r="HIS1534"/>
      <c r="HIT1534"/>
      <c r="HIU1534"/>
      <c r="HIV1534"/>
      <c r="HIW1534"/>
      <c r="HIX1534"/>
      <c r="HIY1534"/>
      <c r="HIZ1534"/>
      <c r="HJA1534"/>
      <c r="HJB1534"/>
      <c r="HJC1534"/>
      <c r="HJD1534"/>
      <c r="HJE1534"/>
      <c r="HJF1534"/>
      <c r="HJG1534"/>
      <c r="HJH1534"/>
      <c r="HJI1534"/>
      <c r="HJJ1534"/>
      <c r="HJK1534"/>
      <c r="HJL1534"/>
      <c r="HJM1534"/>
      <c r="HJN1534"/>
      <c r="HJO1534"/>
      <c r="HJP1534"/>
      <c r="HJQ1534"/>
      <c r="HJR1534"/>
      <c r="HJS1534"/>
      <c r="HJT1534"/>
      <c r="HJU1534"/>
      <c r="HJV1534"/>
      <c r="HJW1534"/>
      <c r="HJX1534"/>
      <c r="HJY1534"/>
      <c r="HJZ1534"/>
      <c r="HKA1534"/>
      <c r="HKB1534"/>
      <c r="HKC1534"/>
      <c r="HKD1534"/>
      <c r="HKE1534"/>
      <c r="HKF1534"/>
      <c r="HKG1534"/>
      <c r="HKH1534"/>
      <c r="HKI1534"/>
      <c r="HKJ1534"/>
      <c r="HKK1534"/>
      <c r="HKL1534"/>
      <c r="HKM1534"/>
      <c r="HKN1534"/>
      <c r="HKO1534"/>
      <c r="HKP1534"/>
      <c r="HKQ1534"/>
      <c r="HKR1534"/>
      <c r="HKS1534"/>
      <c r="HKT1534"/>
      <c r="HKU1534"/>
      <c r="HKV1534"/>
      <c r="HKW1534"/>
      <c r="HKX1534"/>
      <c r="HKY1534"/>
      <c r="HKZ1534"/>
      <c r="HLA1534"/>
      <c r="HLB1534"/>
      <c r="HLC1534"/>
      <c r="HLD1534"/>
      <c r="HLE1534"/>
      <c r="HLF1534"/>
      <c r="HLG1534"/>
      <c r="HLH1534"/>
      <c r="HLI1534"/>
      <c r="HLJ1534"/>
      <c r="HLK1534"/>
      <c r="HLL1534"/>
      <c r="HLM1534"/>
      <c r="HLN1534"/>
      <c r="HLO1534"/>
      <c r="HLP1534"/>
      <c r="HLQ1534"/>
      <c r="HLR1534"/>
      <c r="HLS1534"/>
      <c r="HLT1534"/>
      <c r="HLU1534"/>
      <c r="HLV1534"/>
      <c r="HLW1534"/>
      <c r="HLX1534"/>
      <c r="HLY1534"/>
      <c r="HLZ1534"/>
      <c r="HMA1534"/>
      <c r="HMB1534"/>
      <c r="HMC1534"/>
      <c r="HMD1534"/>
      <c r="HME1534"/>
      <c r="HMF1534"/>
      <c r="HMG1534"/>
      <c r="HMH1534"/>
      <c r="HMI1534"/>
      <c r="HMJ1534"/>
      <c r="HMK1534"/>
      <c r="HML1534"/>
      <c r="HMM1534"/>
      <c r="HMN1534"/>
      <c r="HMO1534"/>
      <c r="HMP1534"/>
      <c r="HMQ1534"/>
      <c r="HMR1534"/>
      <c r="HMS1534"/>
      <c r="HMT1534"/>
      <c r="HMU1534"/>
      <c r="HMV1534"/>
      <c r="HMW1534"/>
      <c r="HMX1534"/>
      <c r="HMY1534"/>
      <c r="HMZ1534"/>
      <c r="HNA1534"/>
      <c r="HNB1534"/>
      <c r="HNC1534"/>
      <c r="HND1534"/>
      <c r="HNE1534"/>
      <c r="HNF1534"/>
      <c r="HNG1534"/>
      <c r="HNH1534"/>
      <c r="HNI1534"/>
      <c r="HNJ1534"/>
      <c r="HNK1534"/>
      <c r="HNL1534"/>
      <c r="HNM1534"/>
      <c r="HNN1534"/>
      <c r="HNO1534"/>
      <c r="HNP1534"/>
      <c r="HNQ1534"/>
      <c r="HNR1534"/>
      <c r="HNS1534"/>
      <c r="HNT1534"/>
      <c r="HNU1534"/>
      <c r="HNV1534"/>
      <c r="HNW1534"/>
      <c r="HNX1534"/>
      <c r="HNY1534"/>
      <c r="HNZ1534"/>
      <c r="HOA1534"/>
      <c r="HOB1534"/>
      <c r="HOC1534"/>
      <c r="HOD1534"/>
      <c r="HOE1534"/>
      <c r="HOF1534"/>
      <c r="HOG1534"/>
      <c r="HOH1534"/>
      <c r="HOI1534"/>
      <c r="HOJ1534"/>
      <c r="HOK1534"/>
      <c r="HOL1534"/>
      <c r="HOM1534"/>
      <c r="HON1534"/>
      <c r="HOO1534"/>
      <c r="HOP1534"/>
      <c r="HOQ1534"/>
      <c r="HOR1534"/>
      <c r="HOS1534"/>
      <c r="HOT1534"/>
      <c r="HOU1534"/>
      <c r="HOV1534"/>
      <c r="HOW1534"/>
      <c r="HOX1534"/>
      <c r="HOY1534"/>
      <c r="HOZ1534"/>
      <c r="HPA1534"/>
      <c r="HPB1534"/>
      <c r="HPC1534"/>
      <c r="HPD1534"/>
      <c r="HPE1534"/>
      <c r="HPF1534"/>
      <c r="HPG1534"/>
      <c r="HPH1534"/>
      <c r="HPI1534"/>
      <c r="HPJ1534"/>
      <c r="HPK1534"/>
      <c r="HPL1534"/>
      <c r="HPM1534"/>
      <c r="HPN1534"/>
      <c r="HPO1534"/>
      <c r="HPP1534"/>
      <c r="HPQ1534"/>
      <c r="HPR1534"/>
      <c r="HPS1534"/>
      <c r="HPT1534"/>
      <c r="HPU1534"/>
      <c r="HPV1534"/>
      <c r="HPW1534"/>
      <c r="HPX1534"/>
      <c r="HPY1534"/>
      <c r="HPZ1534"/>
      <c r="HQA1534"/>
      <c r="HQB1534"/>
      <c r="HQC1534"/>
      <c r="HQD1534"/>
      <c r="HQE1534"/>
      <c r="HQF1534"/>
      <c r="HQG1534"/>
      <c r="HQH1534"/>
      <c r="HQI1534"/>
      <c r="HQJ1534"/>
      <c r="HQK1534"/>
      <c r="HQL1534"/>
      <c r="HQM1534"/>
      <c r="HQN1534"/>
      <c r="HQO1534"/>
      <c r="HQP1534"/>
      <c r="HQQ1534"/>
      <c r="HQR1534"/>
      <c r="HQS1534"/>
      <c r="HQT1534"/>
      <c r="HQU1534"/>
      <c r="HQV1534"/>
      <c r="HQW1534"/>
      <c r="HQX1534"/>
      <c r="HQY1534"/>
      <c r="HQZ1534"/>
      <c r="HRA1534"/>
      <c r="HRB1534"/>
      <c r="HRC1534"/>
      <c r="HRD1534"/>
      <c r="HRE1534"/>
      <c r="HRF1534"/>
      <c r="HRG1534"/>
      <c r="HRH1534"/>
      <c r="HRI1534"/>
      <c r="HRJ1534"/>
      <c r="HRK1534"/>
      <c r="HRL1534"/>
      <c r="HRM1534"/>
      <c r="HRN1534"/>
      <c r="HRO1534"/>
      <c r="HRP1534"/>
      <c r="HRQ1534"/>
      <c r="HRR1534"/>
      <c r="HRS1534"/>
      <c r="HRT1534"/>
      <c r="HRU1534"/>
      <c r="HRV1534"/>
      <c r="HRW1534"/>
      <c r="HRX1534"/>
      <c r="HRY1534"/>
      <c r="HRZ1534"/>
      <c r="HSA1534"/>
      <c r="HSB1534"/>
      <c r="HSC1534"/>
      <c r="HSD1534"/>
      <c r="HSE1534"/>
      <c r="HSF1534"/>
      <c r="HSG1534"/>
      <c r="HSH1534"/>
      <c r="HSI1534"/>
      <c r="HSJ1534"/>
      <c r="HSK1534"/>
      <c r="HSL1534"/>
      <c r="HSM1534"/>
      <c r="HSN1534"/>
      <c r="HSO1534"/>
      <c r="HSP1534"/>
      <c r="HSQ1534"/>
      <c r="HSR1534"/>
      <c r="HSS1534"/>
      <c r="HST1534"/>
      <c r="HSU1534"/>
      <c r="HSV1534"/>
      <c r="HSW1534"/>
      <c r="HSX1534"/>
      <c r="HSY1534"/>
      <c r="HSZ1534"/>
      <c r="HTA1534"/>
      <c r="HTB1534"/>
      <c r="HTC1534"/>
      <c r="HTD1534"/>
      <c r="HTE1534"/>
      <c r="HTF1534"/>
      <c r="HTG1534"/>
      <c r="HTH1534"/>
      <c r="HTI1534"/>
      <c r="HTJ1534"/>
      <c r="HTK1534"/>
      <c r="HTL1534"/>
      <c r="HTM1534"/>
      <c r="HTN1534"/>
      <c r="HTO1534"/>
      <c r="HTP1534"/>
      <c r="HTQ1534"/>
      <c r="HTR1534"/>
      <c r="HTS1534"/>
      <c r="HTT1534"/>
      <c r="HTU1534"/>
      <c r="HTV1534"/>
      <c r="HTW1534"/>
      <c r="HTX1534"/>
      <c r="HTY1534"/>
      <c r="HTZ1534"/>
      <c r="HUA1534"/>
      <c r="HUB1534"/>
      <c r="HUC1534"/>
      <c r="HUD1534"/>
      <c r="HUE1534"/>
      <c r="HUF1534"/>
      <c r="HUG1534"/>
      <c r="HUH1534"/>
      <c r="HUI1534"/>
      <c r="HUJ1534"/>
      <c r="HUK1534"/>
      <c r="HUL1534"/>
      <c r="HUM1534"/>
      <c r="HUN1534"/>
      <c r="HUO1534"/>
      <c r="HUP1534"/>
      <c r="HUQ1534"/>
      <c r="HUR1534"/>
      <c r="HUS1534"/>
      <c r="HUT1534"/>
      <c r="HUU1534"/>
      <c r="HUV1534"/>
      <c r="HUW1534"/>
      <c r="HUX1534"/>
      <c r="HUY1534"/>
      <c r="HUZ1534"/>
      <c r="HVA1534"/>
      <c r="HVB1534"/>
      <c r="HVC1534"/>
      <c r="HVD1534"/>
      <c r="HVE1534"/>
      <c r="HVF1534"/>
      <c r="HVG1534"/>
      <c r="HVH1534"/>
      <c r="HVI1534"/>
      <c r="HVJ1534"/>
      <c r="HVK1534"/>
      <c r="HVL1534"/>
      <c r="HVM1534"/>
      <c r="HVN1534"/>
      <c r="HVO1534"/>
      <c r="HVP1534"/>
      <c r="HVQ1534"/>
      <c r="HVR1534"/>
      <c r="HVS1534"/>
      <c r="HVT1534"/>
      <c r="HVU1534"/>
      <c r="HVV1534"/>
      <c r="HVW1534"/>
      <c r="HVX1534"/>
      <c r="HVY1534"/>
      <c r="HVZ1534"/>
      <c r="HWA1534"/>
      <c r="HWB1534"/>
      <c r="HWC1534"/>
      <c r="HWD1534"/>
      <c r="HWE1534"/>
      <c r="HWF1534"/>
      <c r="HWG1534"/>
      <c r="HWH1534"/>
      <c r="HWI1534"/>
      <c r="HWJ1534"/>
      <c r="HWK1534"/>
      <c r="HWL1534"/>
      <c r="HWM1534"/>
      <c r="HWN1534"/>
      <c r="HWO1534"/>
      <c r="HWP1534"/>
      <c r="HWQ1534"/>
      <c r="HWR1534"/>
      <c r="HWS1534"/>
      <c r="HWT1534"/>
      <c r="HWU1534"/>
      <c r="HWV1534"/>
      <c r="HWW1534"/>
      <c r="HWX1534"/>
      <c r="HWY1534"/>
      <c r="HWZ1534"/>
      <c r="HXA1534"/>
      <c r="HXB1534"/>
      <c r="HXC1534"/>
      <c r="HXD1534"/>
      <c r="HXE1534"/>
      <c r="HXF1534"/>
      <c r="HXG1534"/>
      <c r="HXH1534"/>
      <c r="HXI1534"/>
      <c r="HXJ1534"/>
      <c r="HXK1534"/>
      <c r="HXL1534"/>
      <c r="HXM1534"/>
      <c r="HXN1534"/>
      <c r="HXO1534"/>
      <c r="HXP1534"/>
      <c r="HXQ1534"/>
      <c r="HXR1534"/>
      <c r="HXS1534"/>
      <c r="HXT1534"/>
      <c r="HXU1534"/>
      <c r="HXV1534"/>
      <c r="HXW1534"/>
      <c r="HXX1534"/>
      <c r="HXY1534"/>
      <c r="HXZ1534"/>
      <c r="HYA1534"/>
      <c r="HYB1534"/>
      <c r="HYC1534"/>
      <c r="HYD1534"/>
      <c r="HYE1534"/>
      <c r="HYF1534"/>
      <c r="HYG1534"/>
      <c r="HYH1534"/>
      <c r="HYI1534"/>
      <c r="HYJ1534"/>
      <c r="HYK1534"/>
      <c r="HYL1534"/>
      <c r="HYM1534"/>
      <c r="HYN1534"/>
      <c r="HYO1534"/>
      <c r="HYP1534"/>
      <c r="HYQ1534"/>
      <c r="HYR1534"/>
      <c r="HYS1534"/>
      <c r="HYT1534"/>
      <c r="HYU1534"/>
      <c r="HYV1534"/>
      <c r="HYW1534"/>
      <c r="HYX1534"/>
      <c r="HYY1534"/>
      <c r="HYZ1534"/>
      <c r="HZA1534"/>
      <c r="HZB1534"/>
      <c r="HZC1534"/>
      <c r="HZD1534"/>
      <c r="HZE1534"/>
      <c r="HZF1534"/>
      <c r="HZG1534"/>
      <c r="HZH1534"/>
      <c r="HZI1534"/>
      <c r="HZJ1534"/>
      <c r="HZK1534"/>
      <c r="HZL1534"/>
      <c r="HZM1534"/>
      <c r="HZN1534"/>
      <c r="HZO1534"/>
      <c r="HZP1534"/>
      <c r="HZQ1534"/>
      <c r="HZR1534"/>
      <c r="HZS1534"/>
      <c r="HZT1534"/>
      <c r="HZU1534"/>
      <c r="HZV1534"/>
      <c r="HZW1534"/>
      <c r="HZX1534"/>
      <c r="HZY1534"/>
      <c r="HZZ1534"/>
      <c r="IAA1534"/>
      <c r="IAB1534"/>
      <c r="IAC1534"/>
      <c r="IAD1534"/>
      <c r="IAE1534"/>
      <c r="IAF1534"/>
      <c r="IAG1534"/>
      <c r="IAH1534"/>
      <c r="IAI1534"/>
      <c r="IAJ1534"/>
      <c r="IAK1534"/>
      <c r="IAL1534"/>
      <c r="IAM1534"/>
      <c r="IAN1534"/>
      <c r="IAO1534"/>
      <c r="IAP1534"/>
      <c r="IAQ1534"/>
      <c r="IAR1534"/>
      <c r="IAS1534"/>
      <c r="IAT1534"/>
      <c r="IAU1534"/>
      <c r="IAV1534"/>
      <c r="IAW1534"/>
      <c r="IAX1534"/>
      <c r="IAY1534"/>
      <c r="IAZ1534"/>
      <c r="IBA1534"/>
      <c r="IBB1534"/>
      <c r="IBC1534"/>
      <c r="IBD1534"/>
      <c r="IBE1534"/>
      <c r="IBF1534"/>
      <c r="IBG1534"/>
      <c r="IBH1534"/>
      <c r="IBI1534"/>
      <c r="IBJ1534"/>
      <c r="IBK1534"/>
      <c r="IBL1534"/>
      <c r="IBM1534"/>
      <c r="IBN1534"/>
      <c r="IBO1534"/>
      <c r="IBP1534"/>
      <c r="IBQ1534"/>
      <c r="IBR1534"/>
      <c r="IBS1534"/>
      <c r="IBT1534"/>
      <c r="IBU1534"/>
      <c r="IBV1534"/>
      <c r="IBW1534"/>
      <c r="IBX1534"/>
      <c r="IBY1534"/>
      <c r="IBZ1534"/>
      <c r="ICA1534"/>
      <c r="ICB1534"/>
      <c r="ICC1534"/>
      <c r="ICD1534"/>
      <c r="ICE1534"/>
      <c r="ICF1534"/>
      <c r="ICG1534"/>
      <c r="ICH1534"/>
      <c r="ICI1534"/>
      <c r="ICJ1534"/>
      <c r="ICK1534"/>
      <c r="ICL1534"/>
      <c r="ICM1534"/>
      <c r="ICN1534"/>
      <c r="ICO1534"/>
      <c r="ICP1534"/>
      <c r="ICQ1534"/>
      <c r="ICR1534"/>
      <c r="ICS1534"/>
      <c r="ICT1534"/>
      <c r="ICU1534"/>
      <c r="ICV1534"/>
      <c r="ICW1534"/>
      <c r="ICX1534"/>
      <c r="ICY1534"/>
      <c r="ICZ1534"/>
      <c r="IDA1534"/>
      <c r="IDB1534"/>
      <c r="IDC1534"/>
      <c r="IDD1534"/>
      <c r="IDE1534"/>
      <c r="IDF1534"/>
      <c r="IDG1534"/>
      <c r="IDH1534"/>
      <c r="IDI1534"/>
      <c r="IDJ1534"/>
      <c r="IDK1534"/>
      <c r="IDL1534"/>
      <c r="IDM1534"/>
      <c r="IDN1534"/>
      <c r="IDO1534"/>
      <c r="IDP1534"/>
      <c r="IDQ1534"/>
      <c r="IDR1534"/>
      <c r="IDS1534"/>
      <c r="IDT1534"/>
      <c r="IDU1534"/>
      <c r="IDV1534"/>
      <c r="IDW1534"/>
      <c r="IDX1534"/>
      <c r="IDY1534"/>
      <c r="IDZ1534"/>
      <c r="IEA1534"/>
      <c r="IEB1534"/>
      <c r="IEC1534"/>
      <c r="IED1534"/>
      <c r="IEE1534"/>
      <c r="IEF1534"/>
      <c r="IEG1534"/>
      <c r="IEH1534"/>
      <c r="IEI1534"/>
      <c r="IEJ1534"/>
      <c r="IEK1534"/>
      <c r="IEL1534"/>
      <c r="IEM1534"/>
      <c r="IEN1534"/>
      <c r="IEO1534"/>
      <c r="IEP1534"/>
      <c r="IEQ1534"/>
      <c r="IER1534"/>
      <c r="IES1534"/>
      <c r="IET1534"/>
      <c r="IEU1534"/>
      <c r="IEV1534"/>
      <c r="IEW1534"/>
      <c r="IEX1534"/>
      <c r="IEY1534"/>
      <c r="IEZ1534"/>
      <c r="IFA1534"/>
      <c r="IFB1534"/>
      <c r="IFC1534"/>
      <c r="IFD1534"/>
      <c r="IFE1534"/>
      <c r="IFF1534"/>
      <c r="IFG1534"/>
      <c r="IFH1534"/>
      <c r="IFI1534"/>
      <c r="IFJ1534"/>
      <c r="IFK1534"/>
      <c r="IFL1534"/>
      <c r="IFM1534"/>
      <c r="IFN1534"/>
      <c r="IFO1534"/>
      <c r="IFP1534"/>
      <c r="IFQ1534"/>
      <c r="IFR1534"/>
      <c r="IFS1534"/>
      <c r="IFT1534"/>
      <c r="IFU1534"/>
      <c r="IFV1534"/>
      <c r="IFW1534"/>
      <c r="IFX1534"/>
      <c r="IFY1534"/>
      <c r="IFZ1534"/>
      <c r="IGA1534"/>
      <c r="IGB1534"/>
      <c r="IGC1534"/>
      <c r="IGD1534"/>
      <c r="IGE1534"/>
      <c r="IGF1534"/>
      <c r="IGG1534"/>
      <c r="IGH1534"/>
      <c r="IGI1534"/>
      <c r="IGJ1534"/>
      <c r="IGK1534"/>
      <c r="IGL1534"/>
      <c r="IGM1534"/>
      <c r="IGN1534"/>
      <c r="IGO1534"/>
      <c r="IGP1534"/>
      <c r="IGQ1534"/>
      <c r="IGR1534"/>
      <c r="IGS1534"/>
      <c r="IGT1534"/>
      <c r="IGU1534"/>
      <c r="IGV1534"/>
      <c r="IGW1534"/>
      <c r="IGX1534"/>
      <c r="IGY1534"/>
      <c r="IGZ1534"/>
      <c r="IHA1534"/>
      <c r="IHB1534"/>
      <c r="IHC1534"/>
      <c r="IHD1534"/>
      <c r="IHE1534"/>
      <c r="IHF1534"/>
      <c r="IHG1534"/>
      <c r="IHH1534"/>
      <c r="IHI1534"/>
      <c r="IHJ1534"/>
      <c r="IHK1534"/>
      <c r="IHL1534"/>
      <c r="IHM1534"/>
      <c r="IHN1534"/>
      <c r="IHO1534"/>
      <c r="IHP1534"/>
      <c r="IHQ1534"/>
      <c r="IHR1534"/>
      <c r="IHS1534"/>
      <c r="IHT1534"/>
      <c r="IHU1534"/>
      <c r="IHV1534"/>
      <c r="IHW1534"/>
      <c r="IHX1534"/>
      <c r="IHY1534"/>
      <c r="IHZ1534"/>
      <c r="IIA1534"/>
      <c r="IIB1534"/>
      <c r="IIC1534"/>
      <c r="IID1534"/>
      <c r="IIE1534"/>
      <c r="IIF1534"/>
      <c r="IIG1534"/>
      <c r="IIH1534"/>
      <c r="III1534"/>
      <c r="IIJ1534"/>
      <c r="IIK1534"/>
      <c r="IIL1534"/>
      <c r="IIM1534"/>
      <c r="IIN1534"/>
      <c r="IIO1534"/>
      <c r="IIP1534"/>
      <c r="IIQ1534"/>
      <c r="IIR1534"/>
      <c r="IIS1534"/>
      <c r="IIT1534"/>
      <c r="IIU1534"/>
      <c r="IIV1534"/>
      <c r="IIW1534"/>
      <c r="IIX1534"/>
      <c r="IIY1534"/>
      <c r="IIZ1534"/>
      <c r="IJA1534"/>
      <c r="IJB1534"/>
      <c r="IJC1534"/>
      <c r="IJD1534"/>
      <c r="IJE1534"/>
      <c r="IJF1534"/>
      <c r="IJG1534"/>
      <c r="IJH1534"/>
      <c r="IJI1534"/>
      <c r="IJJ1534"/>
      <c r="IJK1534"/>
      <c r="IJL1534"/>
      <c r="IJM1534"/>
      <c r="IJN1534"/>
      <c r="IJO1534"/>
      <c r="IJP1534"/>
      <c r="IJQ1534"/>
      <c r="IJR1534"/>
      <c r="IJS1534"/>
      <c r="IJT1534"/>
      <c r="IJU1534"/>
      <c r="IJV1534"/>
      <c r="IJW1534"/>
      <c r="IJX1534"/>
      <c r="IJY1534"/>
      <c r="IJZ1534"/>
      <c r="IKA1534"/>
      <c r="IKB1534"/>
      <c r="IKC1534"/>
      <c r="IKD1534"/>
      <c r="IKE1534"/>
      <c r="IKF1534"/>
      <c r="IKG1534"/>
      <c r="IKH1534"/>
      <c r="IKI1534"/>
      <c r="IKJ1534"/>
      <c r="IKK1534"/>
      <c r="IKL1534"/>
      <c r="IKM1534"/>
      <c r="IKN1534"/>
      <c r="IKO1534"/>
      <c r="IKP1534"/>
      <c r="IKQ1534"/>
      <c r="IKR1534"/>
      <c r="IKS1534"/>
      <c r="IKT1534"/>
      <c r="IKU1534"/>
      <c r="IKV1534"/>
      <c r="IKW1534"/>
      <c r="IKX1534"/>
      <c r="IKY1534"/>
      <c r="IKZ1534"/>
      <c r="ILA1534"/>
      <c r="ILB1534"/>
      <c r="ILC1534"/>
      <c r="ILD1534"/>
      <c r="ILE1534"/>
      <c r="ILF1534"/>
      <c r="ILG1534"/>
      <c r="ILH1534"/>
      <c r="ILI1534"/>
      <c r="ILJ1534"/>
      <c r="ILK1534"/>
      <c r="ILL1534"/>
      <c r="ILM1534"/>
      <c r="ILN1534"/>
      <c r="ILO1534"/>
      <c r="ILP1534"/>
      <c r="ILQ1534"/>
      <c r="ILR1534"/>
      <c r="ILS1534"/>
      <c r="ILT1534"/>
      <c r="ILU1534"/>
      <c r="ILV1534"/>
      <c r="ILW1534"/>
      <c r="ILX1534"/>
      <c r="ILY1534"/>
      <c r="ILZ1534"/>
      <c r="IMA1534"/>
      <c r="IMB1534"/>
      <c r="IMC1534"/>
      <c r="IMD1534"/>
      <c r="IME1534"/>
      <c r="IMF1534"/>
      <c r="IMG1534"/>
      <c r="IMH1534"/>
      <c r="IMI1534"/>
      <c r="IMJ1534"/>
      <c r="IMK1534"/>
      <c r="IML1534"/>
      <c r="IMM1534"/>
      <c r="IMN1534"/>
      <c r="IMO1534"/>
      <c r="IMP1534"/>
      <c r="IMQ1534"/>
      <c r="IMR1534"/>
      <c r="IMS1534"/>
      <c r="IMT1534"/>
      <c r="IMU1534"/>
      <c r="IMV1534"/>
      <c r="IMW1534"/>
      <c r="IMX1534"/>
      <c r="IMY1534"/>
      <c r="IMZ1534"/>
      <c r="INA1534"/>
      <c r="INB1534"/>
      <c r="INC1534"/>
      <c r="IND1534"/>
      <c r="INE1534"/>
      <c r="INF1534"/>
      <c r="ING1534"/>
      <c r="INH1534"/>
      <c r="INI1534"/>
      <c r="INJ1534"/>
      <c r="INK1534"/>
      <c r="INL1534"/>
      <c r="INM1534"/>
      <c r="INN1534"/>
      <c r="INO1534"/>
      <c r="INP1534"/>
      <c r="INQ1534"/>
      <c r="INR1534"/>
      <c r="INS1534"/>
      <c r="INT1534"/>
      <c r="INU1534"/>
      <c r="INV1534"/>
      <c r="INW1534"/>
      <c r="INX1534"/>
      <c r="INY1534"/>
      <c r="INZ1534"/>
      <c r="IOA1534"/>
      <c r="IOB1534"/>
      <c r="IOC1534"/>
      <c r="IOD1534"/>
      <c r="IOE1534"/>
      <c r="IOF1534"/>
      <c r="IOG1534"/>
      <c r="IOH1534"/>
      <c r="IOI1534"/>
      <c r="IOJ1534"/>
      <c r="IOK1534"/>
      <c r="IOL1534"/>
      <c r="IOM1534"/>
      <c r="ION1534"/>
      <c r="IOO1534"/>
      <c r="IOP1534"/>
      <c r="IOQ1534"/>
      <c r="IOR1534"/>
      <c r="IOS1534"/>
      <c r="IOT1534"/>
      <c r="IOU1534"/>
      <c r="IOV1534"/>
      <c r="IOW1534"/>
      <c r="IOX1534"/>
      <c r="IOY1534"/>
      <c r="IOZ1534"/>
      <c r="IPA1534"/>
      <c r="IPB1534"/>
      <c r="IPC1534"/>
      <c r="IPD1534"/>
      <c r="IPE1534"/>
      <c r="IPF1534"/>
      <c r="IPG1534"/>
      <c r="IPH1534"/>
      <c r="IPI1534"/>
      <c r="IPJ1534"/>
      <c r="IPK1534"/>
      <c r="IPL1534"/>
      <c r="IPM1534"/>
      <c r="IPN1534"/>
      <c r="IPO1534"/>
      <c r="IPP1534"/>
      <c r="IPQ1534"/>
      <c r="IPR1534"/>
      <c r="IPS1534"/>
      <c r="IPT1534"/>
      <c r="IPU1534"/>
      <c r="IPV1534"/>
      <c r="IPW1534"/>
      <c r="IPX1534"/>
      <c r="IPY1534"/>
      <c r="IPZ1534"/>
      <c r="IQA1534"/>
      <c r="IQB1534"/>
      <c r="IQC1534"/>
      <c r="IQD1534"/>
      <c r="IQE1534"/>
      <c r="IQF1534"/>
      <c r="IQG1534"/>
      <c r="IQH1534"/>
      <c r="IQI1534"/>
      <c r="IQJ1534"/>
      <c r="IQK1534"/>
      <c r="IQL1534"/>
      <c r="IQM1534"/>
      <c r="IQN1534"/>
      <c r="IQO1534"/>
      <c r="IQP1534"/>
      <c r="IQQ1534"/>
      <c r="IQR1534"/>
      <c r="IQS1534"/>
      <c r="IQT1534"/>
      <c r="IQU1534"/>
      <c r="IQV1534"/>
      <c r="IQW1534"/>
      <c r="IQX1534"/>
      <c r="IQY1534"/>
      <c r="IQZ1534"/>
      <c r="IRA1534"/>
      <c r="IRB1534"/>
      <c r="IRC1534"/>
      <c r="IRD1534"/>
      <c r="IRE1534"/>
      <c r="IRF1534"/>
      <c r="IRG1534"/>
      <c r="IRH1534"/>
      <c r="IRI1534"/>
      <c r="IRJ1534"/>
      <c r="IRK1534"/>
      <c r="IRL1534"/>
      <c r="IRM1534"/>
      <c r="IRN1534"/>
      <c r="IRO1534"/>
      <c r="IRP1534"/>
      <c r="IRQ1534"/>
      <c r="IRR1534"/>
      <c r="IRS1534"/>
      <c r="IRT1534"/>
      <c r="IRU1534"/>
      <c r="IRV1534"/>
      <c r="IRW1534"/>
      <c r="IRX1534"/>
      <c r="IRY1534"/>
      <c r="IRZ1534"/>
      <c r="ISA1534"/>
      <c r="ISB1534"/>
      <c r="ISC1534"/>
      <c r="ISD1534"/>
      <c r="ISE1534"/>
      <c r="ISF1534"/>
      <c r="ISG1534"/>
      <c r="ISH1534"/>
      <c r="ISI1534"/>
      <c r="ISJ1534"/>
      <c r="ISK1534"/>
      <c r="ISL1534"/>
      <c r="ISM1534"/>
      <c r="ISN1534"/>
      <c r="ISO1534"/>
      <c r="ISP1534"/>
      <c r="ISQ1534"/>
      <c r="ISR1534"/>
      <c r="ISS1534"/>
      <c r="IST1534"/>
      <c r="ISU1534"/>
      <c r="ISV1534"/>
      <c r="ISW1534"/>
      <c r="ISX1534"/>
      <c r="ISY1534"/>
      <c r="ISZ1534"/>
      <c r="ITA1534"/>
      <c r="ITB1534"/>
      <c r="ITC1534"/>
      <c r="ITD1534"/>
      <c r="ITE1534"/>
      <c r="ITF1534"/>
      <c r="ITG1534"/>
      <c r="ITH1534"/>
      <c r="ITI1534"/>
      <c r="ITJ1534"/>
      <c r="ITK1534"/>
      <c r="ITL1534"/>
      <c r="ITM1534"/>
      <c r="ITN1534"/>
      <c r="ITO1534"/>
      <c r="ITP1534"/>
      <c r="ITQ1534"/>
      <c r="ITR1534"/>
      <c r="ITS1534"/>
      <c r="ITT1534"/>
      <c r="ITU1534"/>
      <c r="ITV1534"/>
      <c r="ITW1534"/>
      <c r="ITX1534"/>
      <c r="ITY1534"/>
      <c r="ITZ1534"/>
      <c r="IUA1534"/>
      <c r="IUB1534"/>
      <c r="IUC1534"/>
      <c r="IUD1534"/>
      <c r="IUE1534"/>
      <c r="IUF1534"/>
      <c r="IUG1534"/>
      <c r="IUH1534"/>
      <c r="IUI1534"/>
      <c r="IUJ1534"/>
      <c r="IUK1534"/>
      <c r="IUL1534"/>
      <c r="IUM1534"/>
      <c r="IUN1534"/>
      <c r="IUO1534"/>
      <c r="IUP1534"/>
      <c r="IUQ1534"/>
      <c r="IUR1534"/>
      <c r="IUS1534"/>
      <c r="IUT1534"/>
      <c r="IUU1534"/>
      <c r="IUV1534"/>
      <c r="IUW1534"/>
      <c r="IUX1534"/>
      <c r="IUY1534"/>
      <c r="IUZ1534"/>
      <c r="IVA1534"/>
      <c r="IVB1534"/>
      <c r="IVC1534"/>
      <c r="IVD1534"/>
      <c r="IVE1534"/>
      <c r="IVF1534"/>
      <c r="IVG1534"/>
      <c r="IVH1534"/>
      <c r="IVI1534"/>
      <c r="IVJ1534"/>
      <c r="IVK1534"/>
      <c r="IVL1534"/>
      <c r="IVM1534"/>
      <c r="IVN1534"/>
      <c r="IVO1534"/>
      <c r="IVP1534"/>
      <c r="IVQ1534"/>
      <c r="IVR1534"/>
      <c r="IVS1534"/>
      <c r="IVT1534"/>
      <c r="IVU1534"/>
      <c r="IVV1534"/>
      <c r="IVW1534"/>
      <c r="IVX1534"/>
      <c r="IVY1534"/>
      <c r="IVZ1534"/>
      <c r="IWA1534"/>
      <c r="IWB1534"/>
      <c r="IWC1534"/>
      <c r="IWD1534"/>
      <c r="IWE1534"/>
      <c r="IWF1534"/>
      <c r="IWG1534"/>
      <c r="IWH1534"/>
      <c r="IWI1534"/>
      <c r="IWJ1534"/>
      <c r="IWK1534"/>
      <c r="IWL1534"/>
      <c r="IWM1534"/>
      <c r="IWN1534"/>
      <c r="IWO1534"/>
      <c r="IWP1534"/>
      <c r="IWQ1534"/>
      <c r="IWR1534"/>
      <c r="IWS1534"/>
      <c r="IWT1534"/>
      <c r="IWU1534"/>
      <c r="IWV1534"/>
      <c r="IWW1534"/>
      <c r="IWX1534"/>
      <c r="IWY1534"/>
      <c r="IWZ1534"/>
      <c r="IXA1534"/>
      <c r="IXB1534"/>
      <c r="IXC1534"/>
      <c r="IXD1534"/>
      <c r="IXE1534"/>
      <c r="IXF1534"/>
      <c r="IXG1534"/>
      <c r="IXH1534"/>
      <c r="IXI1534"/>
      <c r="IXJ1534"/>
      <c r="IXK1534"/>
      <c r="IXL1534"/>
      <c r="IXM1534"/>
      <c r="IXN1534"/>
      <c r="IXO1534"/>
      <c r="IXP1534"/>
      <c r="IXQ1534"/>
      <c r="IXR1534"/>
      <c r="IXS1534"/>
      <c r="IXT1534"/>
      <c r="IXU1534"/>
      <c r="IXV1534"/>
      <c r="IXW1534"/>
      <c r="IXX1534"/>
      <c r="IXY1534"/>
      <c r="IXZ1534"/>
      <c r="IYA1534"/>
      <c r="IYB1534"/>
      <c r="IYC1534"/>
      <c r="IYD1534"/>
      <c r="IYE1534"/>
      <c r="IYF1534"/>
      <c r="IYG1534"/>
      <c r="IYH1534"/>
      <c r="IYI1534"/>
      <c r="IYJ1534"/>
      <c r="IYK1534"/>
      <c r="IYL1534"/>
      <c r="IYM1534"/>
      <c r="IYN1534"/>
      <c r="IYO1534"/>
      <c r="IYP1534"/>
      <c r="IYQ1534"/>
      <c r="IYR1534"/>
      <c r="IYS1534"/>
      <c r="IYT1534"/>
      <c r="IYU1534"/>
      <c r="IYV1534"/>
      <c r="IYW1534"/>
      <c r="IYX1534"/>
      <c r="IYY1534"/>
      <c r="IYZ1534"/>
      <c r="IZA1534"/>
      <c r="IZB1534"/>
      <c r="IZC1534"/>
      <c r="IZD1534"/>
      <c r="IZE1534"/>
      <c r="IZF1534"/>
      <c r="IZG1534"/>
      <c r="IZH1534"/>
      <c r="IZI1534"/>
      <c r="IZJ1534"/>
      <c r="IZK1534"/>
      <c r="IZL1534"/>
      <c r="IZM1534"/>
      <c r="IZN1534"/>
      <c r="IZO1534"/>
      <c r="IZP1534"/>
      <c r="IZQ1534"/>
      <c r="IZR1534"/>
      <c r="IZS1534"/>
      <c r="IZT1534"/>
      <c r="IZU1534"/>
      <c r="IZV1534"/>
      <c r="IZW1534"/>
      <c r="IZX1534"/>
      <c r="IZY1534"/>
      <c r="IZZ1534"/>
      <c r="JAA1534"/>
      <c r="JAB1534"/>
      <c r="JAC1534"/>
      <c r="JAD1534"/>
      <c r="JAE1534"/>
      <c r="JAF1534"/>
      <c r="JAG1534"/>
      <c r="JAH1534"/>
      <c r="JAI1534"/>
      <c r="JAJ1534"/>
      <c r="JAK1534"/>
      <c r="JAL1534"/>
      <c r="JAM1534"/>
      <c r="JAN1534"/>
      <c r="JAO1534"/>
      <c r="JAP1534"/>
      <c r="JAQ1534"/>
      <c r="JAR1534"/>
      <c r="JAS1534"/>
      <c r="JAT1534"/>
      <c r="JAU1534"/>
      <c r="JAV1534"/>
      <c r="JAW1534"/>
      <c r="JAX1534"/>
      <c r="JAY1534"/>
      <c r="JAZ1534"/>
      <c r="JBA1534"/>
      <c r="JBB1534"/>
      <c r="JBC1534"/>
      <c r="JBD1534"/>
      <c r="JBE1534"/>
      <c r="JBF1534"/>
      <c r="JBG1534"/>
      <c r="JBH1534"/>
      <c r="JBI1534"/>
      <c r="JBJ1534"/>
      <c r="JBK1534"/>
      <c r="JBL1534"/>
      <c r="JBM1534"/>
      <c r="JBN1534"/>
      <c r="JBO1534"/>
      <c r="JBP1534"/>
      <c r="JBQ1534"/>
      <c r="JBR1534"/>
      <c r="JBS1534"/>
      <c r="JBT1534"/>
      <c r="JBU1534"/>
      <c r="JBV1534"/>
      <c r="JBW1534"/>
      <c r="JBX1534"/>
      <c r="JBY1534"/>
      <c r="JBZ1534"/>
      <c r="JCA1534"/>
      <c r="JCB1534"/>
      <c r="JCC1534"/>
      <c r="JCD1534"/>
      <c r="JCE1534"/>
      <c r="JCF1534"/>
      <c r="JCG1534"/>
      <c r="JCH1534"/>
      <c r="JCI1534"/>
      <c r="JCJ1534"/>
      <c r="JCK1534"/>
      <c r="JCL1534"/>
      <c r="JCM1534"/>
      <c r="JCN1534"/>
      <c r="JCO1534"/>
      <c r="JCP1534"/>
      <c r="JCQ1534"/>
      <c r="JCR1534"/>
      <c r="JCS1534"/>
      <c r="JCT1534"/>
      <c r="JCU1534"/>
      <c r="JCV1534"/>
      <c r="JCW1534"/>
      <c r="JCX1534"/>
      <c r="JCY1534"/>
      <c r="JCZ1534"/>
      <c r="JDA1534"/>
      <c r="JDB1534"/>
      <c r="JDC1534"/>
      <c r="JDD1534"/>
      <c r="JDE1534"/>
      <c r="JDF1534"/>
      <c r="JDG1534"/>
      <c r="JDH1534"/>
      <c r="JDI1534"/>
      <c r="JDJ1534"/>
      <c r="JDK1534"/>
      <c r="JDL1534"/>
      <c r="JDM1534"/>
      <c r="JDN1534"/>
      <c r="JDO1534"/>
      <c r="JDP1534"/>
      <c r="JDQ1534"/>
      <c r="JDR1534"/>
      <c r="JDS1534"/>
      <c r="JDT1534"/>
      <c r="JDU1534"/>
      <c r="JDV1534"/>
      <c r="JDW1534"/>
      <c r="JDX1534"/>
      <c r="JDY1534"/>
      <c r="JDZ1534"/>
      <c r="JEA1534"/>
      <c r="JEB1534"/>
      <c r="JEC1534"/>
      <c r="JED1534"/>
      <c r="JEE1534"/>
      <c r="JEF1534"/>
      <c r="JEG1534"/>
      <c r="JEH1534"/>
      <c r="JEI1534"/>
      <c r="JEJ1534"/>
      <c r="JEK1534"/>
      <c r="JEL1534"/>
      <c r="JEM1534"/>
      <c r="JEN1534"/>
      <c r="JEO1534"/>
      <c r="JEP1534"/>
      <c r="JEQ1534"/>
      <c r="JER1534"/>
      <c r="JES1534"/>
      <c r="JET1534"/>
      <c r="JEU1534"/>
      <c r="JEV1534"/>
      <c r="JEW1534"/>
      <c r="JEX1534"/>
      <c r="JEY1534"/>
      <c r="JEZ1534"/>
      <c r="JFA1534"/>
      <c r="JFB1534"/>
      <c r="JFC1534"/>
      <c r="JFD1534"/>
      <c r="JFE1534"/>
      <c r="JFF1534"/>
      <c r="JFG1534"/>
      <c r="JFH1534"/>
      <c r="JFI1534"/>
      <c r="JFJ1534"/>
      <c r="JFK1534"/>
      <c r="JFL1534"/>
      <c r="JFM1534"/>
      <c r="JFN1534"/>
      <c r="JFO1534"/>
      <c r="JFP1534"/>
      <c r="JFQ1534"/>
      <c r="JFR1534"/>
      <c r="JFS1534"/>
      <c r="JFT1534"/>
      <c r="JFU1534"/>
      <c r="JFV1534"/>
      <c r="JFW1534"/>
      <c r="JFX1534"/>
      <c r="JFY1534"/>
      <c r="JFZ1534"/>
      <c r="JGA1534"/>
      <c r="JGB1534"/>
      <c r="JGC1534"/>
      <c r="JGD1534"/>
      <c r="JGE1534"/>
      <c r="JGF1534"/>
      <c r="JGG1534"/>
      <c r="JGH1534"/>
      <c r="JGI1534"/>
      <c r="JGJ1534"/>
      <c r="JGK1534"/>
      <c r="JGL1534"/>
      <c r="JGM1534"/>
      <c r="JGN1534"/>
      <c r="JGO1534"/>
      <c r="JGP1534"/>
      <c r="JGQ1534"/>
      <c r="JGR1534"/>
      <c r="JGS1534"/>
      <c r="JGT1534"/>
      <c r="JGU1534"/>
      <c r="JGV1534"/>
      <c r="JGW1534"/>
      <c r="JGX1534"/>
      <c r="JGY1534"/>
      <c r="JGZ1534"/>
      <c r="JHA1534"/>
      <c r="JHB1534"/>
      <c r="JHC1534"/>
      <c r="JHD1534"/>
      <c r="JHE1534"/>
      <c r="JHF1534"/>
      <c r="JHG1534"/>
      <c r="JHH1534"/>
      <c r="JHI1534"/>
      <c r="JHJ1534"/>
      <c r="JHK1534"/>
      <c r="JHL1534"/>
      <c r="JHM1534"/>
      <c r="JHN1534"/>
      <c r="JHO1534"/>
      <c r="JHP1534"/>
      <c r="JHQ1534"/>
      <c r="JHR1534"/>
      <c r="JHS1534"/>
      <c r="JHT1534"/>
      <c r="JHU1534"/>
      <c r="JHV1534"/>
      <c r="JHW1534"/>
      <c r="JHX1534"/>
      <c r="JHY1534"/>
      <c r="JHZ1534"/>
      <c r="JIA1534"/>
      <c r="JIB1534"/>
      <c r="JIC1534"/>
      <c r="JID1534"/>
      <c r="JIE1534"/>
      <c r="JIF1534"/>
      <c r="JIG1534"/>
      <c r="JIH1534"/>
      <c r="JII1534"/>
      <c r="JIJ1534"/>
      <c r="JIK1534"/>
      <c r="JIL1534"/>
      <c r="JIM1534"/>
      <c r="JIN1534"/>
      <c r="JIO1534"/>
      <c r="JIP1534"/>
      <c r="JIQ1534"/>
      <c r="JIR1534"/>
      <c r="JIS1534"/>
      <c r="JIT1534"/>
      <c r="JIU1534"/>
      <c r="JIV1534"/>
      <c r="JIW1534"/>
      <c r="JIX1534"/>
      <c r="JIY1534"/>
      <c r="JIZ1534"/>
      <c r="JJA1534"/>
      <c r="JJB1534"/>
      <c r="JJC1534"/>
      <c r="JJD1534"/>
      <c r="JJE1534"/>
      <c r="JJF1534"/>
      <c r="JJG1534"/>
      <c r="JJH1534"/>
      <c r="JJI1534"/>
      <c r="JJJ1534"/>
      <c r="JJK1534"/>
      <c r="JJL1534"/>
      <c r="JJM1534"/>
      <c r="JJN1534"/>
      <c r="JJO1534"/>
      <c r="JJP1534"/>
      <c r="JJQ1534"/>
      <c r="JJR1534"/>
      <c r="JJS1534"/>
      <c r="JJT1534"/>
      <c r="JJU1534"/>
      <c r="JJV1534"/>
      <c r="JJW1534"/>
      <c r="JJX1534"/>
      <c r="JJY1534"/>
      <c r="JJZ1534"/>
      <c r="JKA1534"/>
      <c r="JKB1534"/>
      <c r="JKC1534"/>
      <c r="JKD1534"/>
      <c r="JKE1534"/>
      <c r="JKF1534"/>
      <c r="JKG1534"/>
      <c r="JKH1534"/>
      <c r="JKI1534"/>
      <c r="JKJ1534"/>
      <c r="JKK1534"/>
      <c r="JKL1534"/>
      <c r="JKM1534"/>
      <c r="JKN1534"/>
      <c r="JKO1534"/>
      <c r="JKP1534"/>
      <c r="JKQ1534"/>
      <c r="JKR1534"/>
      <c r="JKS1534"/>
      <c r="JKT1534"/>
      <c r="JKU1534"/>
      <c r="JKV1534"/>
      <c r="JKW1534"/>
      <c r="JKX1534"/>
      <c r="JKY1534"/>
      <c r="JKZ1534"/>
      <c r="JLA1534"/>
      <c r="JLB1534"/>
      <c r="JLC1534"/>
      <c r="JLD1534"/>
      <c r="JLE1534"/>
      <c r="JLF1534"/>
      <c r="JLG1534"/>
      <c r="JLH1534"/>
      <c r="JLI1534"/>
      <c r="JLJ1534"/>
      <c r="JLK1534"/>
      <c r="JLL1534"/>
      <c r="JLM1534"/>
      <c r="JLN1534"/>
      <c r="JLO1534"/>
      <c r="JLP1534"/>
      <c r="JLQ1534"/>
      <c r="JLR1534"/>
      <c r="JLS1534"/>
      <c r="JLT1534"/>
      <c r="JLU1534"/>
      <c r="JLV1534"/>
      <c r="JLW1534"/>
      <c r="JLX1534"/>
      <c r="JLY1534"/>
      <c r="JLZ1534"/>
      <c r="JMA1534"/>
      <c r="JMB1534"/>
      <c r="JMC1534"/>
      <c r="JMD1534"/>
      <c r="JME1534"/>
      <c r="JMF1534"/>
      <c r="JMG1534"/>
      <c r="JMH1534"/>
      <c r="JMI1534"/>
      <c r="JMJ1534"/>
      <c r="JMK1534"/>
      <c r="JML1534"/>
      <c r="JMM1534"/>
      <c r="JMN1534"/>
      <c r="JMO1534"/>
      <c r="JMP1534"/>
      <c r="JMQ1534"/>
      <c r="JMR1534"/>
      <c r="JMS1534"/>
      <c r="JMT1534"/>
      <c r="JMU1534"/>
      <c r="JMV1534"/>
      <c r="JMW1534"/>
      <c r="JMX1534"/>
      <c r="JMY1534"/>
      <c r="JMZ1534"/>
      <c r="JNA1534"/>
      <c r="JNB1534"/>
      <c r="JNC1534"/>
      <c r="JND1534"/>
      <c r="JNE1534"/>
      <c r="JNF1534"/>
      <c r="JNG1534"/>
      <c r="JNH1534"/>
      <c r="JNI1534"/>
      <c r="JNJ1534"/>
      <c r="JNK1534"/>
      <c r="JNL1534"/>
      <c r="JNM1534"/>
      <c r="JNN1534"/>
      <c r="JNO1534"/>
      <c r="JNP1534"/>
      <c r="JNQ1534"/>
      <c r="JNR1534"/>
      <c r="JNS1534"/>
      <c r="JNT1534"/>
      <c r="JNU1534"/>
      <c r="JNV1534"/>
      <c r="JNW1534"/>
      <c r="JNX1534"/>
      <c r="JNY1534"/>
      <c r="JNZ1534"/>
      <c r="JOA1534"/>
      <c r="JOB1534"/>
      <c r="JOC1534"/>
      <c r="JOD1534"/>
      <c r="JOE1534"/>
      <c r="JOF1534"/>
      <c r="JOG1534"/>
      <c r="JOH1534"/>
      <c r="JOI1534"/>
      <c r="JOJ1534"/>
      <c r="JOK1534"/>
      <c r="JOL1534"/>
      <c r="JOM1534"/>
      <c r="JON1534"/>
      <c r="JOO1534"/>
      <c r="JOP1534"/>
      <c r="JOQ1534"/>
      <c r="JOR1534"/>
      <c r="JOS1534"/>
      <c r="JOT1534"/>
      <c r="JOU1534"/>
      <c r="JOV1534"/>
      <c r="JOW1534"/>
      <c r="JOX1534"/>
      <c r="JOY1534"/>
      <c r="JOZ1534"/>
      <c r="JPA1534"/>
      <c r="JPB1534"/>
      <c r="JPC1534"/>
      <c r="JPD1534"/>
      <c r="JPE1534"/>
      <c r="JPF1534"/>
      <c r="JPG1534"/>
      <c r="JPH1534"/>
      <c r="JPI1534"/>
      <c r="JPJ1534"/>
      <c r="JPK1534"/>
      <c r="JPL1534"/>
      <c r="JPM1534"/>
      <c r="JPN1534"/>
      <c r="JPO1534"/>
      <c r="JPP1534"/>
      <c r="JPQ1534"/>
      <c r="JPR1534"/>
      <c r="JPS1534"/>
      <c r="JPT1534"/>
      <c r="JPU1534"/>
      <c r="JPV1534"/>
      <c r="JPW1534"/>
      <c r="JPX1534"/>
      <c r="JPY1534"/>
      <c r="JPZ1534"/>
      <c r="JQA1534"/>
      <c r="JQB1534"/>
      <c r="JQC1534"/>
      <c r="JQD1534"/>
      <c r="JQE1534"/>
      <c r="JQF1534"/>
      <c r="JQG1534"/>
      <c r="JQH1534"/>
      <c r="JQI1534"/>
      <c r="JQJ1534"/>
      <c r="JQK1534"/>
      <c r="JQL1534"/>
      <c r="JQM1534"/>
      <c r="JQN1534"/>
      <c r="JQO1534"/>
      <c r="JQP1534"/>
      <c r="JQQ1534"/>
      <c r="JQR1534"/>
      <c r="JQS1534"/>
      <c r="JQT1534"/>
      <c r="JQU1534"/>
      <c r="JQV1534"/>
      <c r="JQW1534"/>
      <c r="JQX1534"/>
      <c r="JQY1534"/>
      <c r="JQZ1534"/>
      <c r="JRA1534"/>
      <c r="JRB1534"/>
      <c r="JRC1534"/>
      <c r="JRD1534"/>
      <c r="JRE1534"/>
      <c r="JRF1534"/>
      <c r="JRG1534"/>
      <c r="JRH1534"/>
      <c r="JRI1534"/>
      <c r="JRJ1534"/>
      <c r="JRK1534"/>
      <c r="JRL1534"/>
      <c r="JRM1534"/>
      <c r="JRN1534"/>
      <c r="JRO1534"/>
      <c r="JRP1534"/>
      <c r="JRQ1534"/>
      <c r="JRR1534"/>
      <c r="JRS1534"/>
      <c r="JRT1534"/>
      <c r="JRU1534"/>
      <c r="JRV1534"/>
      <c r="JRW1534"/>
      <c r="JRX1534"/>
      <c r="JRY1534"/>
      <c r="JRZ1534"/>
      <c r="JSA1534"/>
      <c r="JSB1534"/>
      <c r="JSC1534"/>
      <c r="JSD1534"/>
      <c r="JSE1534"/>
      <c r="JSF1534"/>
      <c r="JSG1534"/>
      <c r="JSH1534"/>
      <c r="JSI1534"/>
      <c r="JSJ1534"/>
      <c r="JSK1534"/>
      <c r="JSL1534"/>
      <c r="JSM1534"/>
      <c r="JSN1534"/>
      <c r="JSO1534"/>
      <c r="JSP1534"/>
      <c r="JSQ1534"/>
      <c r="JSR1534"/>
      <c r="JSS1534"/>
      <c r="JST1534"/>
      <c r="JSU1534"/>
      <c r="JSV1534"/>
      <c r="JSW1534"/>
      <c r="JSX1534"/>
      <c r="JSY1534"/>
      <c r="JSZ1534"/>
      <c r="JTA1534"/>
      <c r="JTB1534"/>
      <c r="JTC1534"/>
      <c r="JTD1534"/>
      <c r="JTE1534"/>
      <c r="JTF1534"/>
      <c r="JTG1534"/>
      <c r="JTH1534"/>
      <c r="JTI1534"/>
      <c r="JTJ1534"/>
      <c r="JTK1534"/>
      <c r="JTL1534"/>
      <c r="JTM1534"/>
      <c r="JTN1534"/>
      <c r="JTO1534"/>
      <c r="JTP1534"/>
      <c r="JTQ1534"/>
      <c r="JTR1534"/>
      <c r="JTS1534"/>
      <c r="JTT1534"/>
      <c r="JTU1534"/>
      <c r="JTV1534"/>
      <c r="JTW1534"/>
      <c r="JTX1534"/>
      <c r="JTY1534"/>
      <c r="JTZ1534"/>
      <c r="JUA1534"/>
      <c r="JUB1534"/>
      <c r="JUC1534"/>
      <c r="JUD1534"/>
      <c r="JUE1534"/>
      <c r="JUF1534"/>
      <c r="JUG1534"/>
      <c r="JUH1534"/>
      <c r="JUI1534"/>
      <c r="JUJ1534"/>
      <c r="JUK1534"/>
      <c r="JUL1534"/>
      <c r="JUM1534"/>
      <c r="JUN1534"/>
      <c r="JUO1534"/>
      <c r="JUP1534"/>
      <c r="JUQ1534"/>
      <c r="JUR1534"/>
      <c r="JUS1534"/>
      <c r="JUT1534"/>
      <c r="JUU1534"/>
      <c r="JUV1534"/>
      <c r="JUW1534"/>
      <c r="JUX1534"/>
      <c r="JUY1534"/>
      <c r="JUZ1534"/>
      <c r="JVA1534"/>
      <c r="JVB1534"/>
      <c r="JVC1534"/>
      <c r="JVD1534"/>
      <c r="JVE1534"/>
      <c r="JVF1534"/>
      <c r="JVG1534"/>
      <c r="JVH1534"/>
      <c r="JVI1534"/>
      <c r="JVJ1534"/>
      <c r="JVK1534"/>
      <c r="JVL1534"/>
      <c r="JVM1534"/>
      <c r="JVN1534"/>
      <c r="JVO1534"/>
      <c r="JVP1534"/>
      <c r="JVQ1534"/>
      <c r="JVR1534"/>
      <c r="JVS1534"/>
      <c r="JVT1534"/>
      <c r="JVU1534"/>
      <c r="JVV1534"/>
      <c r="JVW1534"/>
      <c r="JVX1534"/>
      <c r="JVY1534"/>
      <c r="JVZ1534"/>
      <c r="JWA1534"/>
      <c r="JWB1534"/>
      <c r="JWC1534"/>
      <c r="JWD1534"/>
      <c r="JWE1534"/>
      <c r="JWF1534"/>
      <c r="JWG1534"/>
      <c r="JWH1534"/>
      <c r="JWI1534"/>
      <c r="JWJ1534"/>
      <c r="JWK1534"/>
      <c r="JWL1534"/>
      <c r="JWM1534"/>
      <c r="JWN1534"/>
      <c r="JWO1534"/>
      <c r="JWP1534"/>
      <c r="JWQ1534"/>
      <c r="JWR1534"/>
      <c r="JWS1534"/>
      <c r="JWT1534"/>
      <c r="JWU1534"/>
      <c r="JWV1534"/>
      <c r="JWW1534"/>
      <c r="JWX1534"/>
      <c r="JWY1534"/>
      <c r="JWZ1534"/>
      <c r="JXA1534"/>
      <c r="JXB1534"/>
      <c r="JXC1534"/>
      <c r="JXD1534"/>
      <c r="JXE1534"/>
      <c r="JXF1534"/>
      <c r="JXG1534"/>
      <c r="JXH1534"/>
      <c r="JXI1534"/>
      <c r="JXJ1534"/>
      <c r="JXK1534"/>
      <c r="JXL1534"/>
      <c r="JXM1534"/>
      <c r="JXN1534"/>
      <c r="JXO1534"/>
      <c r="JXP1534"/>
      <c r="JXQ1534"/>
      <c r="JXR1534"/>
      <c r="JXS1534"/>
      <c r="JXT1534"/>
      <c r="JXU1534"/>
      <c r="JXV1534"/>
      <c r="JXW1534"/>
      <c r="JXX1534"/>
      <c r="JXY1534"/>
      <c r="JXZ1534"/>
      <c r="JYA1534"/>
      <c r="JYB1534"/>
      <c r="JYC1534"/>
      <c r="JYD1534"/>
      <c r="JYE1534"/>
      <c r="JYF1534"/>
      <c r="JYG1534"/>
      <c r="JYH1534"/>
      <c r="JYI1534"/>
      <c r="JYJ1534"/>
      <c r="JYK1534"/>
      <c r="JYL1534"/>
      <c r="JYM1534"/>
      <c r="JYN1534"/>
      <c r="JYO1534"/>
      <c r="JYP1534"/>
      <c r="JYQ1534"/>
      <c r="JYR1534"/>
      <c r="JYS1534"/>
      <c r="JYT1534"/>
      <c r="JYU1534"/>
      <c r="JYV1534"/>
      <c r="JYW1534"/>
      <c r="JYX1534"/>
      <c r="JYY1534"/>
      <c r="JYZ1534"/>
      <c r="JZA1534"/>
      <c r="JZB1534"/>
      <c r="JZC1534"/>
      <c r="JZD1534"/>
      <c r="JZE1534"/>
      <c r="JZF1534"/>
      <c r="JZG1534"/>
      <c r="JZH1534"/>
      <c r="JZI1534"/>
      <c r="JZJ1534"/>
      <c r="JZK1534"/>
      <c r="JZL1534"/>
      <c r="JZM1534"/>
      <c r="JZN1534"/>
      <c r="JZO1534"/>
      <c r="JZP1534"/>
      <c r="JZQ1534"/>
      <c r="JZR1534"/>
      <c r="JZS1534"/>
      <c r="JZT1534"/>
      <c r="JZU1534"/>
      <c r="JZV1534"/>
      <c r="JZW1534"/>
      <c r="JZX1534"/>
      <c r="JZY1534"/>
      <c r="JZZ1534"/>
      <c r="KAA1534"/>
      <c r="KAB1534"/>
      <c r="KAC1534"/>
      <c r="KAD1534"/>
      <c r="KAE1534"/>
      <c r="KAF1534"/>
      <c r="KAG1534"/>
      <c r="KAH1534"/>
      <c r="KAI1534"/>
      <c r="KAJ1534"/>
      <c r="KAK1534"/>
      <c r="KAL1534"/>
      <c r="KAM1534"/>
      <c r="KAN1534"/>
      <c r="KAO1534"/>
      <c r="KAP1534"/>
      <c r="KAQ1534"/>
      <c r="KAR1534"/>
      <c r="KAS1534"/>
      <c r="KAT1534"/>
      <c r="KAU1534"/>
      <c r="KAV1534"/>
      <c r="KAW1534"/>
      <c r="KAX1534"/>
      <c r="KAY1534"/>
      <c r="KAZ1534"/>
      <c r="KBA1534"/>
      <c r="KBB1534"/>
      <c r="KBC1534"/>
      <c r="KBD1534"/>
      <c r="KBE1534"/>
      <c r="KBF1534"/>
      <c r="KBG1534"/>
      <c r="KBH1534"/>
      <c r="KBI1534"/>
      <c r="KBJ1534"/>
      <c r="KBK1534"/>
      <c r="KBL1534"/>
      <c r="KBM1534"/>
      <c r="KBN1534"/>
      <c r="KBO1534"/>
      <c r="KBP1534"/>
      <c r="KBQ1534"/>
      <c r="KBR1534"/>
      <c r="KBS1534"/>
      <c r="KBT1534"/>
      <c r="KBU1534"/>
      <c r="KBV1534"/>
      <c r="KBW1534"/>
      <c r="KBX1534"/>
      <c r="KBY1534"/>
      <c r="KBZ1534"/>
      <c r="KCA1534"/>
      <c r="KCB1534"/>
      <c r="KCC1534"/>
      <c r="KCD1534"/>
      <c r="KCE1534"/>
      <c r="KCF1534"/>
      <c r="KCG1534"/>
      <c r="KCH1534"/>
      <c r="KCI1534"/>
      <c r="KCJ1534"/>
      <c r="KCK1534"/>
      <c r="KCL1534"/>
      <c r="KCM1534"/>
      <c r="KCN1534"/>
      <c r="KCO1534"/>
      <c r="KCP1534"/>
      <c r="KCQ1534"/>
      <c r="KCR1534"/>
      <c r="KCS1534"/>
      <c r="KCT1534"/>
      <c r="KCU1534"/>
      <c r="KCV1534"/>
      <c r="KCW1534"/>
      <c r="KCX1534"/>
      <c r="KCY1534"/>
      <c r="KCZ1534"/>
      <c r="KDA1534"/>
      <c r="KDB1534"/>
      <c r="KDC1534"/>
      <c r="KDD1534"/>
      <c r="KDE1534"/>
      <c r="KDF1534"/>
      <c r="KDG1534"/>
      <c r="KDH1534"/>
      <c r="KDI1534"/>
      <c r="KDJ1534"/>
      <c r="KDK1534"/>
      <c r="KDL1534"/>
      <c r="KDM1534"/>
      <c r="KDN1534"/>
      <c r="KDO1534"/>
      <c r="KDP1534"/>
      <c r="KDQ1534"/>
      <c r="KDR1534"/>
      <c r="KDS1534"/>
      <c r="KDT1534"/>
      <c r="KDU1534"/>
      <c r="KDV1534"/>
      <c r="KDW1534"/>
      <c r="KDX1534"/>
      <c r="KDY1534"/>
      <c r="KDZ1534"/>
      <c r="KEA1534"/>
      <c r="KEB1534"/>
      <c r="KEC1534"/>
      <c r="KED1534"/>
      <c r="KEE1534"/>
      <c r="KEF1534"/>
      <c r="KEG1534"/>
      <c r="KEH1534"/>
      <c r="KEI1534"/>
      <c r="KEJ1534"/>
      <c r="KEK1534"/>
      <c r="KEL1534"/>
      <c r="KEM1534"/>
      <c r="KEN1534"/>
      <c r="KEO1534"/>
      <c r="KEP1534"/>
      <c r="KEQ1534"/>
      <c r="KER1534"/>
      <c r="KES1534"/>
      <c r="KET1534"/>
      <c r="KEU1534"/>
      <c r="KEV1534"/>
      <c r="KEW1534"/>
      <c r="KEX1534"/>
      <c r="KEY1534"/>
      <c r="KEZ1534"/>
      <c r="KFA1534"/>
      <c r="KFB1534"/>
      <c r="KFC1534"/>
      <c r="KFD1534"/>
      <c r="KFE1534"/>
      <c r="KFF1534"/>
      <c r="KFG1534"/>
      <c r="KFH1534"/>
      <c r="KFI1534"/>
      <c r="KFJ1534"/>
      <c r="KFK1534"/>
      <c r="KFL1534"/>
      <c r="KFM1534"/>
      <c r="KFN1534"/>
      <c r="KFO1534"/>
      <c r="KFP1534"/>
      <c r="KFQ1534"/>
      <c r="KFR1534"/>
      <c r="KFS1534"/>
      <c r="KFT1534"/>
      <c r="KFU1534"/>
      <c r="KFV1534"/>
      <c r="KFW1534"/>
      <c r="KFX1534"/>
      <c r="KFY1534"/>
      <c r="KFZ1534"/>
      <c r="KGA1534"/>
      <c r="KGB1534"/>
      <c r="KGC1534"/>
      <c r="KGD1534"/>
      <c r="KGE1534"/>
      <c r="KGF1534"/>
      <c r="KGG1534"/>
      <c r="KGH1534"/>
      <c r="KGI1534"/>
      <c r="KGJ1534"/>
      <c r="KGK1534"/>
      <c r="KGL1534"/>
      <c r="KGM1534"/>
      <c r="KGN1534"/>
      <c r="KGO1534"/>
      <c r="KGP1534"/>
      <c r="KGQ1534"/>
      <c r="KGR1534"/>
      <c r="KGS1534"/>
      <c r="KGT1534"/>
      <c r="KGU1534"/>
      <c r="KGV1534"/>
      <c r="KGW1534"/>
      <c r="KGX1534"/>
      <c r="KGY1534"/>
      <c r="KGZ1534"/>
      <c r="KHA1534"/>
      <c r="KHB1534"/>
      <c r="KHC1534"/>
      <c r="KHD1534"/>
      <c r="KHE1534"/>
      <c r="KHF1534"/>
      <c r="KHG1534"/>
      <c r="KHH1534"/>
      <c r="KHI1534"/>
      <c r="KHJ1534"/>
      <c r="KHK1534"/>
      <c r="KHL1534"/>
      <c r="KHM1534"/>
      <c r="KHN1534"/>
      <c r="KHO1534"/>
      <c r="KHP1534"/>
      <c r="KHQ1534"/>
      <c r="KHR1534"/>
      <c r="KHS1534"/>
      <c r="KHT1534"/>
      <c r="KHU1534"/>
      <c r="KHV1534"/>
      <c r="KHW1534"/>
      <c r="KHX1534"/>
      <c r="KHY1534"/>
      <c r="KHZ1534"/>
      <c r="KIA1534"/>
      <c r="KIB1534"/>
      <c r="KIC1534"/>
      <c r="KID1534"/>
      <c r="KIE1534"/>
      <c r="KIF1534"/>
      <c r="KIG1534"/>
      <c r="KIH1534"/>
      <c r="KII1534"/>
      <c r="KIJ1534"/>
      <c r="KIK1534"/>
      <c r="KIL1534"/>
      <c r="KIM1534"/>
      <c r="KIN1534"/>
      <c r="KIO1534"/>
      <c r="KIP1534"/>
      <c r="KIQ1534"/>
      <c r="KIR1534"/>
      <c r="KIS1534"/>
      <c r="KIT1534"/>
      <c r="KIU1534"/>
      <c r="KIV1534"/>
      <c r="KIW1534"/>
      <c r="KIX1534"/>
      <c r="KIY1534"/>
      <c r="KIZ1534"/>
      <c r="KJA1534"/>
      <c r="KJB1534"/>
      <c r="KJC1534"/>
      <c r="KJD1534"/>
      <c r="KJE1534"/>
      <c r="KJF1534"/>
      <c r="KJG1534"/>
      <c r="KJH1534"/>
      <c r="KJI1534"/>
      <c r="KJJ1534"/>
      <c r="KJK1534"/>
      <c r="KJL1534"/>
      <c r="KJM1534"/>
      <c r="KJN1534"/>
      <c r="KJO1534"/>
      <c r="KJP1534"/>
      <c r="KJQ1534"/>
      <c r="KJR1534"/>
      <c r="KJS1534"/>
      <c r="KJT1534"/>
      <c r="KJU1534"/>
      <c r="KJV1534"/>
      <c r="KJW1534"/>
      <c r="KJX1534"/>
      <c r="KJY1534"/>
      <c r="KJZ1534"/>
      <c r="KKA1534"/>
      <c r="KKB1534"/>
      <c r="KKC1534"/>
      <c r="KKD1534"/>
      <c r="KKE1534"/>
      <c r="KKF1534"/>
      <c r="KKG1534"/>
      <c r="KKH1534"/>
      <c r="KKI1534"/>
      <c r="KKJ1534"/>
      <c r="KKK1534"/>
      <c r="KKL1534"/>
      <c r="KKM1534"/>
      <c r="KKN1534"/>
      <c r="KKO1534"/>
      <c r="KKP1534"/>
      <c r="KKQ1534"/>
      <c r="KKR1534"/>
      <c r="KKS1534"/>
      <c r="KKT1534"/>
      <c r="KKU1534"/>
      <c r="KKV1534"/>
      <c r="KKW1534"/>
      <c r="KKX1534"/>
      <c r="KKY1534"/>
      <c r="KKZ1534"/>
      <c r="KLA1534"/>
      <c r="KLB1534"/>
      <c r="KLC1534"/>
      <c r="KLD1534"/>
      <c r="KLE1534"/>
      <c r="KLF1534"/>
      <c r="KLG1534"/>
      <c r="KLH1534"/>
      <c r="KLI1534"/>
      <c r="KLJ1534"/>
      <c r="KLK1534"/>
      <c r="KLL1534"/>
      <c r="KLM1534"/>
      <c r="KLN1534"/>
      <c r="KLO1534"/>
      <c r="KLP1534"/>
      <c r="KLQ1534"/>
      <c r="KLR1534"/>
      <c r="KLS1534"/>
      <c r="KLT1534"/>
      <c r="KLU1534"/>
      <c r="KLV1534"/>
      <c r="KLW1534"/>
      <c r="KLX1534"/>
      <c r="KLY1534"/>
      <c r="KLZ1534"/>
      <c r="KMA1534"/>
      <c r="KMB1534"/>
      <c r="KMC1534"/>
      <c r="KMD1534"/>
      <c r="KME1534"/>
      <c r="KMF1534"/>
      <c r="KMG1534"/>
      <c r="KMH1534"/>
      <c r="KMI1534"/>
      <c r="KMJ1534"/>
      <c r="KMK1534"/>
      <c r="KML1534"/>
      <c r="KMM1534"/>
      <c r="KMN1534"/>
      <c r="KMO1534"/>
      <c r="KMP1534"/>
      <c r="KMQ1534"/>
      <c r="KMR1534"/>
      <c r="KMS1534"/>
      <c r="KMT1534"/>
      <c r="KMU1534"/>
      <c r="KMV1534"/>
      <c r="KMW1534"/>
      <c r="KMX1534"/>
      <c r="KMY1534"/>
      <c r="KMZ1534"/>
      <c r="KNA1534"/>
      <c r="KNB1534"/>
      <c r="KNC1534"/>
      <c r="KND1534"/>
      <c r="KNE1534"/>
      <c r="KNF1534"/>
      <c r="KNG1534"/>
      <c r="KNH1534"/>
      <c r="KNI1534"/>
      <c r="KNJ1534"/>
      <c r="KNK1534"/>
      <c r="KNL1534"/>
      <c r="KNM1534"/>
      <c r="KNN1534"/>
      <c r="KNO1534"/>
      <c r="KNP1534"/>
      <c r="KNQ1534"/>
      <c r="KNR1534"/>
      <c r="KNS1534"/>
      <c r="KNT1534"/>
      <c r="KNU1534"/>
      <c r="KNV1534"/>
      <c r="KNW1534"/>
      <c r="KNX1534"/>
      <c r="KNY1534"/>
      <c r="KNZ1534"/>
      <c r="KOA1534"/>
      <c r="KOB1534"/>
      <c r="KOC1534"/>
      <c r="KOD1534"/>
      <c r="KOE1534"/>
      <c r="KOF1534"/>
      <c r="KOG1534"/>
      <c r="KOH1534"/>
      <c r="KOI1534"/>
      <c r="KOJ1534"/>
      <c r="KOK1534"/>
      <c r="KOL1534"/>
      <c r="KOM1534"/>
      <c r="KON1534"/>
      <c r="KOO1534"/>
      <c r="KOP1534"/>
      <c r="KOQ1534"/>
      <c r="KOR1534"/>
      <c r="KOS1534"/>
      <c r="KOT1534"/>
      <c r="KOU1534"/>
      <c r="KOV1534"/>
      <c r="KOW1534"/>
      <c r="KOX1534"/>
      <c r="KOY1534"/>
      <c r="KOZ1534"/>
      <c r="KPA1534"/>
      <c r="KPB1534"/>
      <c r="KPC1534"/>
      <c r="KPD1534"/>
      <c r="KPE1534"/>
      <c r="KPF1534"/>
      <c r="KPG1534"/>
      <c r="KPH1534"/>
      <c r="KPI1534"/>
      <c r="KPJ1534"/>
      <c r="KPK1534"/>
      <c r="KPL1534"/>
      <c r="KPM1534"/>
      <c r="KPN1534"/>
      <c r="KPO1534"/>
      <c r="KPP1534"/>
      <c r="KPQ1534"/>
      <c r="KPR1534"/>
      <c r="KPS1534"/>
      <c r="KPT1534"/>
      <c r="KPU1534"/>
      <c r="KPV1534"/>
      <c r="KPW1534"/>
      <c r="KPX1534"/>
      <c r="KPY1534"/>
      <c r="KPZ1534"/>
      <c r="KQA1534"/>
      <c r="KQB1534"/>
      <c r="KQC1534"/>
      <c r="KQD1534"/>
      <c r="KQE1534"/>
      <c r="KQF1534"/>
      <c r="KQG1534"/>
      <c r="KQH1534"/>
      <c r="KQI1534"/>
      <c r="KQJ1534"/>
      <c r="KQK1534"/>
      <c r="KQL1534"/>
      <c r="KQM1534"/>
      <c r="KQN1534"/>
      <c r="KQO1534"/>
      <c r="KQP1534"/>
      <c r="KQQ1534"/>
      <c r="KQR1534"/>
      <c r="KQS1534"/>
      <c r="KQT1534"/>
      <c r="KQU1534"/>
      <c r="KQV1534"/>
      <c r="KQW1534"/>
      <c r="KQX1534"/>
      <c r="KQY1534"/>
      <c r="KQZ1534"/>
      <c r="KRA1534"/>
      <c r="KRB1534"/>
      <c r="KRC1534"/>
      <c r="KRD1534"/>
      <c r="KRE1534"/>
      <c r="KRF1534"/>
      <c r="KRG1534"/>
      <c r="KRH1534"/>
      <c r="KRI1534"/>
      <c r="KRJ1534"/>
      <c r="KRK1534"/>
      <c r="KRL1534"/>
      <c r="KRM1534"/>
      <c r="KRN1534"/>
      <c r="KRO1534"/>
      <c r="KRP1534"/>
      <c r="KRQ1534"/>
      <c r="KRR1534"/>
      <c r="KRS1534"/>
      <c r="KRT1534"/>
      <c r="KRU1534"/>
      <c r="KRV1534"/>
      <c r="KRW1534"/>
      <c r="KRX1534"/>
      <c r="KRY1534"/>
      <c r="KRZ1534"/>
      <c r="KSA1534"/>
      <c r="KSB1534"/>
      <c r="KSC1534"/>
      <c r="KSD1534"/>
      <c r="KSE1534"/>
      <c r="KSF1534"/>
      <c r="KSG1534"/>
      <c r="KSH1534"/>
      <c r="KSI1534"/>
      <c r="KSJ1534"/>
      <c r="KSK1534"/>
      <c r="KSL1534"/>
      <c r="KSM1534"/>
      <c r="KSN1534"/>
      <c r="KSO1534"/>
      <c r="KSP1534"/>
      <c r="KSQ1534"/>
      <c r="KSR1534"/>
      <c r="KSS1534"/>
      <c r="KST1534"/>
      <c r="KSU1534"/>
      <c r="KSV1534"/>
      <c r="KSW1534"/>
      <c r="KSX1534"/>
      <c r="KSY1534"/>
      <c r="KSZ1534"/>
      <c r="KTA1534"/>
      <c r="KTB1534"/>
      <c r="KTC1534"/>
      <c r="KTD1534"/>
      <c r="KTE1534"/>
      <c r="KTF1534"/>
      <c r="KTG1534"/>
      <c r="KTH1534"/>
      <c r="KTI1534"/>
      <c r="KTJ1534"/>
      <c r="KTK1534"/>
      <c r="KTL1534"/>
      <c r="KTM1534"/>
      <c r="KTN1534"/>
      <c r="KTO1534"/>
      <c r="KTP1534"/>
      <c r="KTQ1534"/>
      <c r="KTR1534"/>
      <c r="KTS1534"/>
      <c r="KTT1534"/>
      <c r="KTU1534"/>
      <c r="KTV1534"/>
      <c r="KTW1534"/>
      <c r="KTX1534"/>
      <c r="KTY1534"/>
      <c r="KTZ1534"/>
      <c r="KUA1534"/>
      <c r="KUB1534"/>
      <c r="KUC1534"/>
      <c r="KUD1534"/>
      <c r="KUE1534"/>
      <c r="KUF1534"/>
      <c r="KUG1534"/>
      <c r="KUH1534"/>
      <c r="KUI1534"/>
      <c r="KUJ1534"/>
      <c r="KUK1534"/>
      <c r="KUL1534"/>
      <c r="KUM1534"/>
      <c r="KUN1534"/>
      <c r="KUO1534"/>
      <c r="KUP1534"/>
      <c r="KUQ1534"/>
      <c r="KUR1534"/>
      <c r="KUS1534"/>
      <c r="KUT1534"/>
      <c r="KUU1534"/>
      <c r="KUV1534"/>
      <c r="KUW1534"/>
      <c r="KUX1534"/>
      <c r="KUY1534"/>
      <c r="KUZ1534"/>
      <c r="KVA1534"/>
      <c r="KVB1534"/>
      <c r="KVC1534"/>
      <c r="KVD1534"/>
      <c r="KVE1534"/>
      <c r="KVF1534"/>
      <c r="KVG1534"/>
      <c r="KVH1534"/>
      <c r="KVI1534"/>
      <c r="KVJ1534"/>
      <c r="KVK1534"/>
      <c r="KVL1534"/>
      <c r="KVM1534"/>
      <c r="KVN1534"/>
      <c r="KVO1534"/>
      <c r="KVP1534"/>
      <c r="KVQ1534"/>
      <c r="KVR1534"/>
      <c r="KVS1534"/>
      <c r="KVT1534"/>
      <c r="KVU1534"/>
      <c r="KVV1534"/>
      <c r="KVW1534"/>
      <c r="KVX1534"/>
      <c r="KVY1534"/>
      <c r="KVZ1534"/>
      <c r="KWA1534"/>
      <c r="KWB1534"/>
      <c r="KWC1534"/>
      <c r="KWD1534"/>
      <c r="KWE1534"/>
      <c r="KWF1534"/>
      <c r="KWG1534"/>
      <c r="KWH1534"/>
      <c r="KWI1534"/>
      <c r="KWJ1534"/>
      <c r="KWK1534"/>
      <c r="KWL1534"/>
      <c r="KWM1534"/>
      <c r="KWN1534"/>
      <c r="KWO1534"/>
      <c r="KWP1534"/>
      <c r="KWQ1534"/>
      <c r="KWR1534"/>
      <c r="KWS1534"/>
      <c r="KWT1534"/>
      <c r="KWU1534"/>
      <c r="KWV1534"/>
      <c r="KWW1534"/>
      <c r="KWX1534"/>
      <c r="KWY1534"/>
      <c r="KWZ1534"/>
      <c r="KXA1534"/>
      <c r="KXB1534"/>
      <c r="KXC1534"/>
      <c r="KXD1534"/>
      <c r="KXE1534"/>
      <c r="KXF1534"/>
      <c r="KXG1534"/>
      <c r="KXH1534"/>
      <c r="KXI1534"/>
      <c r="KXJ1534"/>
      <c r="KXK1534"/>
      <c r="KXL1534"/>
      <c r="KXM1534"/>
      <c r="KXN1534"/>
      <c r="KXO1534"/>
      <c r="KXP1534"/>
      <c r="KXQ1534"/>
      <c r="KXR1534"/>
      <c r="KXS1534"/>
      <c r="KXT1534"/>
      <c r="KXU1534"/>
      <c r="KXV1534"/>
      <c r="KXW1534"/>
      <c r="KXX1534"/>
      <c r="KXY1534"/>
      <c r="KXZ1534"/>
      <c r="KYA1534"/>
      <c r="KYB1534"/>
      <c r="KYC1534"/>
      <c r="KYD1534"/>
      <c r="KYE1534"/>
      <c r="KYF1534"/>
      <c r="KYG1534"/>
      <c r="KYH1534"/>
      <c r="KYI1534"/>
      <c r="KYJ1534"/>
      <c r="KYK1534"/>
      <c r="KYL1534"/>
      <c r="KYM1534"/>
      <c r="KYN1534"/>
      <c r="KYO1534"/>
      <c r="KYP1534"/>
      <c r="KYQ1534"/>
      <c r="KYR1534"/>
      <c r="KYS1534"/>
      <c r="KYT1534"/>
      <c r="KYU1534"/>
      <c r="KYV1534"/>
      <c r="KYW1534"/>
      <c r="KYX1534"/>
      <c r="KYY1534"/>
      <c r="KYZ1534"/>
      <c r="KZA1534"/>
      <c r="KZB1534"/>
      <c r="KZC1534"/>
      <c r="KZD1534"/>
      <c r="KZE1534"/>
      <c r="KZF1534"/>
      <c r="KZG1534"/>
      <c r="KZH1534"/>
      <c r="KZI1534"/>
      <c r="KZJ1534"/>
      <c r="KZK1534"/>
      <c r="KZL1534"/>
      <c r="KZM1534"/>
      <c r="KZN1534"/>
      <c r="KZO1534"/>
      <c r="KZP1534"/>
      <c r="KZQ1534"/>
      <c r="KZR1534"/>
      <c r="KZS1534"/>
      <c r="KZT1534"/>
      <c r="KZU1534"/>
      <c r="KZV1534"/>
      <c r="KZW1534"/>
      <c r="KZX1534"/>
      <c r="KZY1534"/>
      <c r="KZZ1534"/>
      <c r="LAA1534"/>
      <c r="LAB1534"/>
      <c r="LAC1534"/>
      <c r="LAD1534"/>
      <c r="LAE1534"/>
      <c r="LAF1534"/>
      <c r="LAG1534"/>
      <c r="LAH1534"/>
      <c r="LAI1534"/>
      <c r="LAJ1534"/>
      <c r="LAK1534"/>
      <c r="LAL1534"/>
      <c r="LAM1534"/>
      <c r="LAN1534"/>
      <c r="LAO1534"/>
      <c r="LAP1534"/>
      <c r="LAQ1534"/>
      <c r="LAR1534"/>
      <c r="LAS1534"/>
      <c r="LAT1534"/>
      <c r="LAU1534"/>
      <c r="LAV1534"/>
      <c r="LAW1534"/>
      <c r="LAX1534"/>
      <c r="LAY1534"/>
      <c r="LAZ1534"/>
      <c r="LBA1534"/>
      <c r="LBB1534"/>
      <c r="LBC1534"/>
      <c r="LBD1534"/>
      <c r="LBE1534"/>
      <c r="LBF1534"/>
      <c r="LBG1534"/>
      <c r="LBH1534"/>
      <c r="LBI1534"/>
      <c r="LBJ1534"/>
      <c r="LBK1534"/>
      <c r="LBL1534"/>
      <c r="LBM1534"/>
      <c r="LBN1534"/>
      <c r="LBO1534"/>
      <c r="LBP1534"/>
      <c r="LBQ1534"/>
      <c r="LBR1534"/>
      <c r="LBS1534"/>
      <c r="LBT1534"/>
      <c r="LBU1534"/>
      <c r="LBV1534"/>
      <c r="LBW1534"/>
      <c r="LBX1534"/>
      <c r="LBY1534"/>
      <c r="LBZ1534"/>
      <c r="LCA1534"/>
      <c r="LCB1534"/>
      <c r="LCC1534"/>
      <c r="LCD1534"/>
      <c r="LCE1534"/>
      <c r="LCF1534"/>
      <c r="LCG1534"/>
      <c r="LCH1534"/>
      <c r="LCI1534"/>
      <c r="LCJ1534"/>
      <c r="LCK1534"/>
      <c r="LCL1534"/>
      <c r="LCM1534"/>
      <c r="LCN1534"/>
      <c r="LCO1534"/>
      <c r="LCP1534"/>
      <c r="LCQ1534"/>
      <c r="LCR1534"/>
      <c r="LCS1534"/>
      <c r="LCT1534"/>
      <c r="LCU1534"/>
      <c r="LCV1534"/>
      <c r="LCW1534"/>
      <c r="LCX1534"/>
      <c r="LCY1534"/>
      <c r="LCZ1534"/>
      <c r="LDA1534"/>
      <c r="LDB1534"/>
      <c r="LDC1534"/>
      <c r="LDD1534"/>
      <c r="LDE1534"/>
      <c r="LDF1534"/>
      <c r="LDG1534"/>
      <c r="LDH1534"/>
      <c r="LDI1534"/>
      <c r="LDJ1534"/>
      <c r="LDK1534"/>
      <c r="LDL1534"/>
      <c r="LDM1534"/>
      <c r="LDN1534"/>
      <c r="LDO1534"/>
      <c r="LDP1534"/>
      <c r="LDQ1534"/>
      <c r="LDR1534"/>
      <c r="LDS1534"/>
      <c r="LDT1534"/>
      <c r="LDU1534"/>
      <c r="LDV1534"/>
      <c r="LDW1534"/>
      <c r="LDX1534"/>
      <c r="LDY1534"/>
      <c r="LDZ1534"/>
      <c r="LEA1534"/>
      <c r="LEB1534"/>
      <c r="LEC1534"/>
      <c r="LED1534"/>
      <c r="LEE1534"/>
      <c r="LEF1534"/>
      <c r="LEG1534"/>
      <c r="LEH1534"/>
      <c r="LEI1534"/>
      <c r="LEJ1534"/>
      <c r="LEK1534"/>
      <c r="LEL1534"/>
      <c r="LEM1534"/>
      <c r="LEN1534"/>
      <c r="LEO1534"/>
      <c r="LEP1534"/>
      <c r="LEQ1534"/>
      <c r="LER1534"/>
      <c r="LES1534"/>
      <c r="LET1534"/>
      <c r="LEU1534"/>
      <c r="LEV1534"/>
      <c r="LEW1534"/>
      <c r="LEX1534"/>
      <c r="LEY1534"/>
      <c r="LEZ1534"/>
      <c r="LFA1534"/>
      <c r="LFB1534"/>
      <c r="LFC1534"/>
      <c r="LFD1534"/>
      <c r="LFE1534"/>
      <c r="LFF1534"/>
      <c r="LFG1534"/>
      <c r="LFH1534"/>
      <c r="LFI1534"/>
      <c r="LFJ1534"/>
      <c r="LFK1534"/>
      <c r="LFL1534"/>
      <c r="LFM1534"/>
      <c r="LFN1534"/>
      <c r="LFO1534"/>
      <c r="LFP1534"/>
      <c r="LFQ1534"/>
      <c r="LFR1534"/>
      <c r="LFS1534"/>
      <c r="LFT1534"/>
      <c r="LFU1534"/>
      <c r="LFV1534"/>
      <c r="LFW1534"/>
      <c r="LFX1534"/>
      <c r="LFY1534"/>
      <c r="LFZ1534"/>
      <c r="LGA1534"/>
      <c r="LGB1534"/>
      <c r="LGC1534"/>
      <c r="LGD1534"/>
      <c r="LGE1534"/>
      <c r="LGF1534"/>
      <c r="LGG1534"/>
      <c r="LGH1534"/>
      <c r="LGI1534"/>
      <c r="LGJ1534"/>
      <c r="LGK1534"/>
      <c r="LGL1534"/>
      <c r="LGM1534"/>
      <c r="LGN1534"/>
      <c r="LGO1534"/>
      <c r="LGP1534"/>
      <c r="LGQ1534"/>
      <c r="LGR1534"/>
      <c r="LGS1534"/>
      <c r="LGT1534"/>
      <c r="LGU1534"/>
      <c r="LGV1534"/>
      <c r="LGW1534"/>
      <c r="LGX1534"/>
      <c r="LGY1534"/>
      <c r="LGZ1534"/>
      <c r="LHA1534"/>
      <c r="LHB1534"/>
      <c r="LHC1534"/>
      <c r="LHD1534"/>
      <c r="LHE1534"/>
      <c r="LHF1534"/>
      <c r="LHG1534"/>
      <c r="LHH1534"/>
      <c r="LHI1534"/>
      <c r="LHJ1534"/>
      <c r="LHK1534"/>
      <c r="LHL1534"/>
      <c r="LHM1534"/>
      <c r="LHN1534"/>
      <c r="LHO1534"/>
      <c r="LHP1534"/>
      <c r="LHQ1534"/>
      <c r="LHR1534"/>
      <c r="LHS1534"/>
      <c r="LHT1534"/>
      <c r="LHU1534"/>
      <c r="LHV1534"/>
      <c r="LHW1534"/>
      <c r="LHX1534"/>
      <c r="LHY1534"/>
      <c r="LHZ1534"/>
      <c r="LIA1534"/>
      <c r="LIB1534"/>
      <c r="LIC1534"/>
      <c r="LID1534"/>
      <c r="LIE1534"/>
      <c r="LIF1534"/>
      <c r="LIG1534"/>
      <c r="LIH1534"/>
      <c r="LII1534"/>
      <c r="LIJ1534"/>
      <c r="LIK1534"/>
      <c r="LIL1534"/>
      <c r="LIM1534"/>
      <c r="LIN1534"/>
      <c r="LIO1534"/>
      <c r="LIP1534"/>
      <c r="LIQ1534"/>
      <c r="LIR1534"/>
      <c r="LIS1534"/>
      <c r="LIT1534"/>
      <c r="LIU1534"/>
      <c r="LIV1534"/>
      <c r="LIW1534"/>
      <c r="LIX1534"/>
      <c r="LIY1534"/>
      <c r="LIZ1534"/>
      <c r="LJA1534"/>
      <c r="LJB1534"/>
      <c r="LJC1534"/>
      <c r="LJD1534"/>
      <c r="LJE1534"/>
      <c r="LJF1534"/>
      <c r="LJG1534"/>
      <c r="LJH1534"/>
      <c r="LJI1534"/>
      <c r="LJJ1534"/>
      <c r="LJK1534"/>
      <c r="LJL1534"/>
      <c r="LJM1534"/>
      <c r="LJN1534"/>
      <c r="LJO1534"/>
      <c r="LJP1534"/>
      <c r="LJQ1534"/>
      <c r="LJR1534"/>
      <c r="LJS1534"/>
      <c r="LJT1534"/>
      <c r="LJU1534"/>
      <c r="LJV1534"/>
      <c r="LJW1534"/>
      <c r="LJX1534"/>
      <c r="LJY1534"/>
      <c r="LJZ1534"/>
      <c r="LKA1534"/>
      <c r="LKB1534"/>
      <c r="LKC1534"/>
      <c r="LKD1534"/>
      <c r="LKE1534"/>
      <c r="LKF1534"/>
      <c r="LKG1534"/>
      <c r="LKH1534"/>
      <c r="LKI1534"/>
      <c r="LKJ1534"/>
      <c r="LKK1534"/>
      <c r="LKL1534"/>
      <c r="LKM1534"/>
      <c r="LKN1534"/>
      <c r="LKO1534"/>
      <c r="LKP1534"/>
      <c r="LKQ1534"/>
      <c r="LKR1534"/>
      <c r="LKS1534"/>
      <c r="LKT1534"/>
      <c r="LKU1534"/>
      <c r="LKV1534"/>
      <c r="LKW1534"/>
      <c r="LKX1534"/>
      <c r="LKY1534"/>
      <c r="LKZ1534"/>
      <c r="LLA1534"/>
      <c r="LLB1534"/>
      <c r="LLC1534"/>
      <c r="LLD1534"/>
      <c r="LLE1534"/>
      <c r="LLF1534"/>
      <c r="LLG1534"/>
      <c r="LLH1534"/>
      <c r="LLI1534"/>
      <c r="LLJ1534"/>
      <c r="LLK1534"/>
      <c r="LLL1534"/>
      <c r="LLM1534"/>
      <c r="LLN1534"/>
      <c r="LLO1534"/>
      <c r="LLP1534"/>
      <c r="LLQ1534"/>
      <c r="LLR1534"/>
      <c r="LLS1534"/>
      <c r="LLT1534"/>
      <c r="LLU1534"/>
      <c r="LLV1534"/>
      <c r="LLW1534"/>
      <c r="LLX1534"/>
      <c r="LLY1534"/>
      <c r="LLZ1534"/>
      <c r="LMA1534"/>
      <c r="LMB1534"/>
      <c r="LMC1534"/>
      <c r="LMD1534"/>
      <c r="LME1534"/>
      <c r="LMF1534"/>
      <c r="LMG1534"/>
      <c r="LMH1534"/>
      <c r="LMI1534"/>
      <c r="LMJ1534"/>
      <c r="LMK1534"/>
      <c r="LML1534"/>
      <c r="LMM1534"/>
      <c r="LMN1534"/>
      <c r="LMO1534"/>
      <c r="LMP1534"/>
      <c r="LMQ1534"/>
      <c r="LMR1534"/>
      <c r="LMS1534"/>
      <c r="LMT1534"/>
      <c r="LMU1534"/>
      <c r="LMV1534"/>
      <c r="LMW1534"/>
      <c r="LMX1534"/>
      <c r="LMY1534"/>
      <c r="LMZ1534"/>
      <c r="LNA1534"/>
      <c r="LNB1534"/>
      <c r="LNC1534"/>
      <c r="LND1534"/>
      <c r="LNE1534"/>
      <c r="LNF1534"/>
      <c r="LNG1534"/>
      <c r="LNH1534"/>
      <c r="LNI1534"/>
      <c r="LNJ1534"/>
      <c r="LNK1534"/>
      <c r="LNL1534"/>
      <c r="LNM1534"/>
      <c r="LNN1534"/>
      <c r="LNO1534"/>
      <c r="LNP1534"/>
      <c r="LNQ1534"/>
      <c r="LNR1534"/>
      <c r="LNS1534"/>
      <c r="LNT1534"/>
      <c r="LNU1534"/>
      <c r="LNV1534"/>
      <c r="LNW1534"/>
      <c r="LNX1534"/>
      <c r="LNY1534"/>
      <c r="LNZ1534"/>
      <c r="LOA1534"/>
      <c r="LOB1534"/>
      <c r="LOC1534"/>
      <c r="LOD1534"/>
      <c r="LOE1534"/>
      <c r="LOF1534"/>
      <c r="LOG1534"/>
      <c r="LOH1534"/>
      <c r="LOI1534"/>
      <c r="LOJ1534"/>
      <c r="LOK1534"/>
      <c r="LOL1534"/>
      <c r="LOM1534"/>
      <c r="LON1534"/>
      <c r="LOO1534"/>
      <c r="LOP1534"/>
      <c r="LOQ1534"/>
      <c r="LOR1534"/>
      <c r="LOS1534"/>
      <c r="LOT1534"/>
      <c r="LOU1534"/>
      <c r="LOV1534"/>
      <c r="LOW1534"/>
      <c r="LOX1534"/>
      <c r="LOY1534"/>
      <c r="LOZ1534"/>
      <c r="LPA1534"/>
      <c r="LPB1534"/>
      <c r="LPC1534"/>
      <c r="LPD1534"/>
      <c r="LPE1534"/>
      <c r="LPF1534"/>
      <c r="LPG1534"/>
      <c r="LPH1534"/>
      <c r="LPI1534"/>
      <c r="LPJ1534"/>
      <c r="LPK1534"/>
      <c r="LPL1534"/>
      <c r="LPM1534"/>
      <c r="LPN1534"/>
      <c r="LPO1534"/>
      <c r="LPP1534"/>
      <c r="LPQ1534"/>
      <c r="LPR1534"/>
      <c r="LPS1534"/>
      <c r="LPT1534"/>
      <c r="LPU1534"/>
      <c r="LPV1534"/>
      <c r="LPW1534"/>
      <c r="LPX1534"/>
      <c r="LPY1534"/>
      <c r="LPZ1534"/>
      <c r="LQA1534"/>
      <c r="LQB1534"/>
      <c r="LQC1534"/>
      <c r="LQD1534"/>
      <c r="LQE1534"/>
      <c r="LQF1534"/>
      <c r="LQG1534"/>
      <c r="LQH1534"/>
      <c r="LQI1534"/>
      <c r="LQJ1534"/>
      <c r="LQK1534"/>
      <c r="LQL1534"/>
      <c r="LQM1534"/>
      <c r="LQN1534"/>
      <c r="LQO1534"/>
      <c r="LQP1534"/>
      <c r="LQQ1534"/>
      <c r="LQR1534"/>
      <c r="LQS1534"/>
      <c r="LQT1534"/>
      <c r="LQU1534"/>
      <c r="LQV1534"/>
      <c r="LQW1534"/>
      <c r="LQX1534"/>
      <c r="LQY1534"/>
      <c r="LQZ1534"/>
      <c r="LRA1534"/>
      <c r="LRB1534"/>
      <c r="LRC1534"/>
      <c r="LRD1534"/>
      <c r="LRE1534"/>
      <c r="LRF1534"/>
      <c r="LRG1534"/>
      <c r="LRH1534"/>
      <c r="LRI1534"/>
      <c r="LRJ1534"/>
      <c r="LRK1534"/>
      <c r="LRL1534"/>
      <c r="LRM1534"/>
      <c r="LRN1534"/>
      <c r="LRO1534"/>
      <c r="LRP1534"/>
      <c r="LRQ1534"/>
      <c r="LRR1534"/>
      <c r="LRS1534"/>
      <c r="LRT1534"/>
      <c r="LRU1534"/>
      <c r="LRV1534"/>
      <c r="LRW1534"/>
      <c r="LRX1534"/>
      <c r="LRY1534"/>
      <c r="LRZ1534"/>
      <c r="LSA1534"/>
      <c r="LSB1534"/>
      <c r="LSC1534"/>
      <c r="LSD1534"/>
      <c r="LSE1534"/>
      <c r="LSF1534"/>
      <c r="LSG1534"/>
      <c r="LSH1534"/>
      <c r="LSI1534"/>
      <c r="LSJ1534"/>
      <c r="LSK1534"/>
      <c r="LSL1534"/>
      <c r="LSM1534"/>
      <c r="LSN1534"/>
      <c r="LSO1534"/>
      <c r="LSP1534"/>
      <c r="LSQ1534"/>
      <c r="LSR1534"/>
      <c r="LSS1534"/>
      <c r="LST1534"/>
      <c r="LSU1534"/>
      <c r="LSV1534"/>
      <c r="LSW1534"/>
      <c r="LSX1534"/>
      <c r="LSY1534"/>
      <c r="LSZ1534"/>
      <c r="LTA1534"/>
      <c r="LTB1534"/>
      <c r="LTC1534"/>
      <c r="LTD1534"/>
      <c r="LTE1534"/>
      <c r="LTF1534"/>
      <c r="LTG1534"/>
      <c r="LTH1534"/>
      <c r="LTI1534"/>
      <c r="LTJ1534"/>
      <c r="LTK1534"/>
      <c r="LTL1534"/>
      <c r="LTM1534"/>
      <c r="LTN1534"/>
      <c r="LTO1534"/>
      <c r="LTP1534"/>
      <c r="LTQ1534"/>
      <c r="LTR1534"/>
      <c r="LTS1534"/>
      <c r="LTT1534"/>
      <c r="LTU1534"/>
      <c r="LTV1534"/>
      <c r="LTW1534"/>
      <c r="LTX1534"/>
      <c r="LTY1534"/>
      <c r="LTZ1534"/>
      <c r="LUA1534"/>
      <c r="LUB1534"/>
      <c r="LUC1534"/>
      <c r="LUD1534"/>
      <c r="LUE1534"/>
      <c r="LUF1534"/>
      <c r="LUG1534"/>
      <c r="LUH1534"/>
      <c r="LUI1534"/>
      <c r="LUJ1534"/>
      <c r="LUK1534"/>
      <c r="LUL1534"/>
      <c r="LUM1534"/>
      <c r="LUN1534"/>
      <c r="LUO1534"/>
      <c r="LUP1534"/>
      <c r="LUQ1534"/>
      <c r="LUR1534"/>
      <c r="LUS1534"/>
      <c r="LUT1534"/>
      <c r="LUU1534"/>
      <c r="LUV1534"/>
      <c r="LUW1534"/>
      <c r="LUX1534"/>
      <c r="LUY1534"/>
      <c r="LUZ1534"/>
      <c r="LVA1534"/>
      <c r="LVB1534"/>
      <c r="LVC1534"/>
      <c r="LVD1534"/>
      <c r="LVE1534"/>
      <c r="LVF1534"/>
      <c r="LVG1534"/>
      <c r="LVH1534"/>
      <c r="LVI1534"/>
      <c r="LVJ1534"/>
      <c r="LVK1534"/>
      <c r="LVL1534"/>
      <c r="LVM1534"/>
      <c r="LVN1534"/>
      <c r="LVO1534"/>
      <c r="LVP1534"/>
      <c r="LVQ1534"/>
      <c r="LVR1534"/>
      <c r="LVS1534"/>
      <c r="LVT1534"/>
      <c r="LVU1534"/>
      <c r="LVV1534"/>
      <c r="LVW1534"/>
      <c r="LVX1534"/>
      <c r="LVY1534"/>
      <c r="LVZ1534"/>
      <c r="LWA1534"/>
      <c r="LWB1534"/>
      <c r="LWC1534"/>
      <c r="LWD1534"/>
      <c r="LWE1534"/>
      <c r="LWF1534"/>
      <c r="LWG1534"/>
      <c r="LWH1534"/>
      <c r="LWI1534"/>
      <c r="LWJ1534"/>
      <c r="LWK1534"/>
      <c r="LWL1534"/>
      <c r="LWM1534"/>
      <c r="LWN1534"/>
      <c r="LWO1534"/>
      <c r="LWP1534"/>
      <c r="LWQ1534"/>
      <c r="LWR1534"/>
      <c r="LWS1534"/>
      <c r="LWT1534"/>
      <c r="LWU1534"/>
      <c r="LWV1534"/>
      <c r="LWW1534"/>
      <c r="LWX1534"/>
      <c r="LWY1534"/>
      <c r="LWZ1534"/>
      <c r="LXA1534"/>
      <c r="LXB1534"/>
      <c r="LXC1534"/>
      <c r="LXD1534"/>
      <c r="LXE1534"/>
      <c r="LXF1534"/>
      <c r="LXG1534"/>
      <c r="LXH1534"/>
      <c r="LXI1534"/>
      <c r="LXJ1534"/>
      <c r="LXK1534"/>
      <c r="LXL1534"/>
      <c r="LXM1534"/>
      <c r="LXN1534"/>
      <c r="LXO1534"/>
      <c r="LXP1534"/>
      <c r="LXQ1534"/>
      <c r="LXR1534"/>
      <c r="LXS1534"/>
      <c r="LXT1534"/>
      <c r="LXU1534"/>
      <c r="LXV1534"/>
      <c r="LXW1534"/>
      <c r="LXX1534"/>
      <c r="LXY1534"/>
      <c r="LXZ1534"/>
      <c r="LYA1534"/>
      <c r="LYB1534"/>
      <c r="LYC1534"/>
      <c r="LYD1534"/>
      <c r="LYE1534"/>
      <c r="LYF1534"/>
      <c r="LYG1534"/>
      <c r="LYH1534"/>
      <c r="LYI1534"/>
      <c r="LYJ1534"/>
      <c r="LYK1534"/>
      <c r="LYL1534"/>
      <c r="LYM1534"/>
      <c r="LYN1534"/>
      <c r="LYO1534"/>
      <c r="LYP1534"/>
      <c r="LYQ1534"/>
      <c r="LYR1534"/>
      <c r="LYS1534"/>
      <c r="LYT1534"/>
      <c r="LYU1534"/>
      <c r="LYV1534"/>
      <c r="LYW1534"/>
      <c r="LYX1534"/>
      <c r="LYY1534"/>
      <c r="LYZ1534"/>
      <c r="LZA1534"/>
      <c r="LZB1534"/>
      <c r="LZC1534"/>
      <c r="LZD1534"/>
      <c r="LZE1534"/>
      <c r="LZF1534"/>
      <c r="LZG1534"/>
      <c r="LZH1534"/>
      <c r="LZI1534"/>
      <c r="LZJ1534"/>
      <c r="LZK1534"/>
      <c r="LZL1534"/>
      <c r="LZM1534"/>
      <c r="LZN1534"/>
      <c r="LZO1534"/>
      <c r="LZP1534"/>
      <c r="LZQ1534"/>
      <c r="LZR1534"/>
      <c r="LZS1534"/>
      <c r="LZT1534"/>
      <c r="LZU1534"/>
      <c r="LZV1534"/>
      <c r="LZW1534"/>
      <c r="LZX1534"/>
      <c r="LZY1534"/>
      <c r="LZZ1534"/>
      <c r="MAA1534"/>
      <c r="MAB1534"/>
      <c r="MAC1534"/>
      <c r="MAD1534"/>
      <c r="MAE1534"/>
      <c r="MAF1534"/>
      <c r="MAG1534"/>
      <c r="MAH1534"/>
      <c r="MAI1534"/>
      <c r="MAJ1534"/>
      <c r="MAK1534"/>
      <c r="MAL1534"/>
      <c r="MAM1534"/>
      <c r="MAN1534"/>
      <c r="MAO1534"/>
      <c r="MAP1534"/>
      <c r="MAQ1534"/>
      <c r="MAR1534"/>
      <c r="MAS1534"/>
      <c r="MAT1534"/>
      <c r="MAU1534"/>
      <c r="MAV1534"/>
      <c r="MAW1534"/>
      <c r="MAX1534"/>
      <c r="MAY1534"/>
      <c r="MAZ1534"/>
      <c r="MBA1534"/>
      <c r="MBB1534"/>
      <c r="MBC1534"/>
      <c r="MBD1534"/>
      <c r="MBE1534"/>
      <c r="MBF1534"/>
      <c r="MBG1534"/>
      <c r="MBH1534"/>
      <c r="MBI1534"/>
      <c r="MBJ1534"/>
      <c r="MBK1534"/>
      <c r="MBL1534"/>
      <c r="MBM1534"/>
      <c r="MBN1534"/>
      <c r="MBO1534"/>
      <c r="MBP1534"/>
      <c r="MBQ1534"/>
      <c r="MBR1534"/>
      <c r="MBS1534"/>
      <c r="MBT1534"/>
      <c r="MBU1534"/>
      <c r="MBV1534"/>
      <c r="MBW1534"/>
      <c r="MBX1534"/>
      <c r="MBY1534"/>
      <c r="MBZ1534"/>
      <c r="MCA1534"/>
      <c r="MCB1534"/>
      <c r="MCC1534"/>
      <c r="MCD1534"/>
      <c r="MCE1534"/>
      <c r="MCF1534"/>
      <c r="MCG1534"/>
      <c r="MCH1534"/>
      <c r="MCI1534"/>
      <c r="MCJ1534"/>
      <c r="MCK1534"/>
      <c r="MCL1534"/>
      <c r="MCM1534"/>
      <c r="MCN1534"/>
      <c r="MCO1534"/>
      <c r="MCP1534"/>
      <c r="MCQ1534"/>
      <c r="MCR1534"/>
      <c r="MCS1534"/>
      <c r="MCT1534"/>
      <c r="MCU1534"/>
      <c r="MCV1534"/>
      <c r="MCW1534"/>
      <c r="MCX1534"/>
      <c r="MCY1534"/>
      <c r="MCZ1534"/>
      <c r="MDA1534"/>
      <c r="MDB1534"/>
      <c r="MDC1534"/>
      <c r="MDD1534"/>
      <c r="MDE1534"/>
      <c r="MDF1534"/>
      <c r="MDG1534"/>
      <c r="MDH1534"/>
      <c r="MDI1534"/>
      <c r="MDJ1534"/>
      <c r="MDK1534"/>
      <c r="MDL1534"/>
      <c r="MDM1534"/>
      <c r="MDN1534"/>
      <c r="MDO1534"/>
      <c r="MDP1534"/>
      <c r="MDQ1534"/>
      <c r="MDR1534"/>
      <c r="MDS1534"/>
      <c r="MDT1534"/>
      <c r="MDU1534"/>
      <c r="MDV1534"/>
      <c r="MDW1534"/>
      <c r="MDX1534"/>
      <c r="MDY1534"/>
      <c r="MDZ1534"/>
      <c r="MEA1534"/>
      <c r="MEB1534"/>
      <c r="MEC1534"/>
      <c r="MED1534"/>
      <c r="MEE1534"/>
      <c r="MEF1534"/>
      <c r="MEG1534"/>
      <c r="MEH1534"/>
      <c r="MEI1534"/>
      <c r="MEJ1534"/>
      <c r="MEK1534"/>
      <c r="MEL1534"/>
      <c r="MEM1534"/>
      <c r="MEN1534"/>
      <c r="MEO1534"/>
      <c r="MEP1534"/>
      <c r="MEQ1534"/>
      <c r="MER1534"/>
      <c r="MES1534"/>
      <c r="MET1534"/>
      <c r="MEU1534"/>
      <c r="MEV1534"/>
      <c r="MEW1534"/>
      <c r="MEX1534"/>
      <c r="MEY1534"/>
      <c r="MEZ1534"/>
      <c r="MFA1534"/>
      <c r="MFB1534"/>
      <c r="MFC1534"/>
      <c r="MFD1534"/>
      <c r="MFE1534"/>
      <c r="MFF1534"/>
      <c r="MFG1534"/>
      <c r="MFH1534"/>
      <c r="MFI1534"/>
      <c r="MFJ1534"/>
      <c r="MFK1534"/>
      <c r="MFL1534"/>
      <c r="MFM1534"/>
      <c r="MFN1534"/>
      <c r="MFO1534"/>
      <c r="MFP1534"/>
      <c r="MFQ1534"/>
      <c r="MFR1534"/>
      <c r="MFS1534"/>
      <c r="MFT1534"/>
      <c r="MFU1534"/>
      <c r="MFV1534"/>
      <c r="MFW1534"/>
      <c r="MFX1534"/>
      <c r="MFY1534"/>
      <c r="MFZ1534"/>
      <c r="MGA1534"/>
      <c r="MGB1534"/>
      <c r="MGC1534"/>
      <c r="MGD1534"/>
      <c r="MGE1534"/>
      <c r="MGF1534"/>
      <c r="MGG1534"/>
      <c r="MGH1534"/>
      <c r="MGI1534"/>
      <c r="MGJ1534"/>
      <c r="MGK1534"/>
      <c r="MGL1534"/>
      <c r="MGM1534"/>
      <c r="MGN1534"/>
      <c r="MGO1534"/>
      <c r="MGP1534"/>
      <c r="MGQ1534"/>
      <c r="MGR1534"/>
      <c r="MGS1534"/>
      <c r="MGT1534"/>
      <c r="MGU1534"/>
      <c r="MGV1534"/>
      <c r="MGW1534"/>
      <c r="MGX1534"/>
      <c r="MGY1534"/>
      <c r="MGZ1534"/>
      <c r="MHA1534"/>
      <c r="MHB1534"/>
      <c r="MHC1534"/>
      <c r="MHD1534"/>
      <c r="MHE1534"/>
      <c r="MHF1534"/>
      <c r="MHG1534"/>
      <c r="MHH1534"/>
      <c r="MHI1534"/>
      <c r="MHJ1534"/>
      <c r="MHK1534"/>
      <c r="MHL1534"/>
      <c r="MHM1534"/>
      <c r="MHN1534"/>
      <c r="MHO1534"/>
      <c r="MHP1534"/>
      <c r="MHQ1534"/>
      <c r="MHR1534"/>
      <c r="MHS1534"/>
      <c r="MHT1534"/>
      <c r="MHU1534"/>
      <c r="MHV1534"/>
      <c r="MHW1534"/>
      <c r="MHX1534"/>
      <c r="MHY1534"/>
      <c r="MHZ1534"/>
      <c r="MIA1534"/>
      <c r="MIB1534"/>
      <c r="MIC1534"/>
      <c r="MID1534"/>
      <c r="MIE1534"/>
      <c r="MIF1534"/>
      <c r="MIG1534"/>
      <c r="MIH1534"/>
      <c r="MII1534"/>
      <c r="MIJ1534"/>
      <c r="MIK1534"/>
      <c r="MIL1534"/>
      <c r="MIM1534"/>
      <c r="MIN1534"/>
      <c r="MIO1534"/>
      <c r="MIP1534"/>
      <c r="MIQ1534"/>
      <c r="MIR1534"/>
      <c r="MIS1534"/>
      <c r="MIT1534"/>
      <c r="MIU1534"/>
      <c r="MIV1534"/>
      <c r="MIW1534"/>
      <c r="MIX1534"/>
      <c r="MIY1534"/>
      <c r="MIZ1534"/>
      <c r="MJA1534"/>
      <c r="MJB1534"/>
      <c r="MJC1534"/>
      <c r="MJD1534"/>
      <c r="MJE1534"/>
      <c r="MJF1534"/>
      <c r="MJG1534"/>
      <c r="MJH1534"/>
      <c r="MJI1534"/>
      <c r="MJJ1534"/>
      <c r="MJK1534"/>
      <c r="MJL1534"/>
      <c r="MJM1534"/>
      <c r="MJN1534"/>
      <c r="MJO1534"/>
      <c r="MJP1534"/>
      <c r="MJQ1534"/>
      <c r="MJR1534"/>
      <c r="MJS1534"/>
      <c r="MJT1534"/>
      <c r="MJU1534"/>
      <c r="MJV1534"/>
      <c r="MJW1534"/>
      <c r="MJX1534"/>
      <c r="MJY1534"/>
      <c r="MJZ1534"/>
      <c r="MKA1534"/>
      <c r="MKB1534"/>
      <c r="MKC1534"/>
      <c r="MKD1534"/>
      <c r="MKE1534"/>
      <c r="MKF1534"/>
      <c r="MKG1534"/>
      <c r="MKH1534"/>
      <c r="MKI1534"/>
      <c r="MKJ1534"/>
      <c r="MKK1534"/>
      <c r="MKL1534"/>
      <c r="MKM1534"/>
      <c r="MKN1534"/>
      <c r="MKO1534"/>
      <c r="MKP1534"/>
      <c r="MKQ1534"/>
      <c r="MKR1534"/>
      <c r="MKS1534"/>
      <c r="MKT1534"/>
      <c r="MKU1534"/>
      <c r="MKV1534"/>
      <c r="MKW1534"/>
      <c r="MKX1534"/>
      <c r="MKY1534"/>
      <c r="MKZ1534"/>
      <c r="MLA1534"/>
      <c r="MLB1534"/>
      <c r="MLC1534"/>
      <c r="MLD1534"/>
      <c r="MLE1534"/>
      <c r="MLF1534"/>
      <c r="MLG1534"/>
      <c r="MLH1534"/>
      <c r="MLI1534"/>
      <c r="MLJ1534"/>
      <c r="MLK1534"/>
      <c r="MLL1534"/>
      <c r="MLM1534"/>
      <c r="MLN1534"/>
      <c r="MLO1534"/>
      <c r="MLP1534"/>
      <c r="MLQ1534"/>
      <c r="MLR1534"/>
      <c r="MLS1534"/>
      <c r="MLT1534"/>
      <c r="MLU1534"/>
      <c r="MLV1534"/>
      <c r="MLW1534"/>
      <c r="MLX1534"/>
      <c r="MLY1534"/>
      <c r="MLZ1534"/>
      <c r="MMA1534"/>
      <c r="MMB1534"/>
      <c r="MMC1534"/>
      <c r="MMD1534"/>
      <c r="MME1534"/>
      <c r="MMF1534"/>
      <c r="MMG1534"/>
      <c r="MMH1534"/>
      <c r="MMI1534"/>
      <c r="MMJ1534"/>
      <c r="MMK1534"/>
      <c r="MML1534"/>
      <c r="MMM1534"/>
      <c r="MMN1534"/>
      <c r="MMO1534"/>
      <c r="MMP1534"/>
      <c r="MMQ1534"/>
      <c r="MMR1534"/>
      <c r="MMS1534"/>
      <c r="MMT1534"/>
      <c r="MMU1534"/>
      <c r="MMV1534"/>
      <c r="MMW1534"/>
      <c r="MMX1534"/>
      <c r="MMY1534"/>
      <c r="MMZ1534"/>
      <c r="MNA1534"/>
      <c r="MNB1534"/>
      <c r="MNC1534"/>
      <c r="MND1534"/>
      <c r="MNE1534"/>
      <c r="MNF1534"/>
      <c r="MNG1534"/>
      <c r="MNH1534"/>
      <c r="MNI1534"/>
      <c r="MNJ1534"/>
      <c r="MNK1534"/>
      <c r="MNL1534"/>
      <c r="MNM1534"/>
      <c r="MNN1534"/>
      <c r="MNO1534"/>
      <c r="MNP1534"/>
      <c r="MNQ1534"/>
      <c r="MNR1534"/>
      <c r="MNS1534"/>
      <c r="MNT1534"/>
      <c r="MNU1534"/>
      <c r="MNV1534"/>
      <c r="MNW1534"/>
      <c r="MNX1534"/>
      <c r="MNY1534"/>
      <c r="MNZ1534"/>
      <c r="MOA1534"/>
      <c r="MOB1534"/>
      <c r="MOC1534"/>
      <c r="MOD1534"/>
      <c r="MOE1534"/>
      <c r="MOF1534"/>
      <c r="MOG1534"/>
      <c r="MOH1534"/>
      <c r="MOI1534"/>
      <c r="MOJ1534"/>
      <c r="MOK1534"/>
      <c r="MOL1534"/>
      <c r="MOM1534"/>
      <c r="MON1534"/>
      <c r="MOO1534"/>
      <c r="MOP1534"/>
      <c r="MOQ1534"/>
      <c r="MOR1534"/>
      <c r="MOS1534"/>
      <c r="MOT1534"/>
      <c r="MOU1534"/>
      <c r="MOV1534"/>
      <c r="MOW1534"/>
      <c r="MOX1534"/>
      <c r="MOY1534"/>
      <c r="MOZ1534"/>
      <c r="MPA1534"/>
      <c r="MPB1534"/>
      <c r="MPC1534"/>
      <c r="MPD1534"/>
      <c r="MPE1534"/>
      <c r="MPF1534"/>
      <c r="MPG1534"/>
      <c r="MPH1534"/>
      <c r="MPI1534"/>
      <c r="MPJ1534"/>
      <c r="MPK1534"/>
      <c r="MPL1534"/>
      <c r="MPM1534"/>
      <c r="MPN1534"/>
      <c r="MPO1534"/>
      <c r="MPP1534"/>
      <c r="MPQ1534"/>
      <c r="MPR1534"/>
      <c r="MPS1534"/>
      <c r="MPT1534"/>
      <c r="MPU1534"/>
      <c r="MPV1534"/>
      <c r="MPW1534"/>
      <c r="MPX1534"/>
      <c r="MPY1534"/>
      <c r="MPZ1534"/>
      <c r="MQA1534"/>
      <c r="MQB1534"/>
      <c r="MQC1534"/>
      <c r="MQD1534"/>
      <c r="MQE1534"/>
      <c r="MQF1534"/>
      <c r="MQG1534"/>
      <c r="MQH1534"/>
      <c r="MQI1534"/>
      <c r="MQJ1534"/>
      <c r="MQK1534"/>
      <c r="MQL1534"/>
      <c r="MQM1534"/>
      <c r="MQN1534"/>
      <c r="MQO1534"/>
      <c r="MQP1534"/>
      <c r="MQQ1534"/>
      <c r="MQR1534"/>
      <c r="MQS1534"/>
      <c r="MQT1534"/>
      <c r="MQU1534"/>
      <c r="MQV1534"/>
      <c r="MQW1534"/>
      <c r="MQX1534"/>
      <c r="MQY1534"/>
      <c r="MQZ1534"/>
      <c r="MRA1534"/>
      <c r="MRB1534"/>
      <c r="MRC1534"/>
      <c r="MRD1534"/>
      <c r="MRE1534"/>
      <c r="MRF1534"/>
      <c r="MRG1534"/>
      <c r="MRH1534"/>
      <c r="MRI1534"/>
      <c r="MRJ1534"/>
      <c r="MRK1534"/>
      <c r="MRL1534"/>
      <c r="MRM1534"/>
      <c r="MRN1534"/>
      <c r="MRO1534"/>
      <c r="MRP1534"/>
      <c r="MRQ1534"/>
      <c r="MRR1534"/>
      <c r="MRS1534"/>
      <c r="MRT1534"/>
      <c r="MRU1534"/>
      <c r="MRV1534"/>
      <c r="MRW1534"/>
      <c r="MRX1534"/>
      <c r="MRY1534"/>
      <c r="MRZ1534"/>
      <c r="MSA1534"/>
      <c r="MSB1534"/>
      <c r="MSC1534"/>
      <c r="MSD1534"/>
      <c r="MSE1534"/>
      <c r="MSF1534"/>
      <c r="MSG1534"/>
      <c r="MSH1534"/>
      <c r="MSI1534"/>
      <c r="MSJ1534"/>
      <c r="MSK1534"/>
      <c r="MSL1534"/>
      <c r="MSM1534"/>
      <c r="MSN1534"/>
      <c r="MSO1534"/>
      <c r="MSP1534"/>
      <c r="MSQ1534"/>
      <c r="MSR1534"/>
      <c r="MSS1534"/>
      <c r="MST1534"/>
      <c r="MSU1534"/>
      <c r="MSV1534"/>
      <c r="MSW1534"/>
      <c r="MSX1534"/>
      <c r="MSY1534"/>
      <c r="MSZ1534"/>
      <c r="MTA1534"/>
      <c r="MTB1534"/>
      <c r="MTC1534"/>
      <c r="MTD1534"/>
      <c r="MTE1534"/>
      <c r="MTF1534"/>
      <c r="MTG1534"/>
      <c r="MTH1534"/>
      <c r="MTI1534"/>
      <c r="MTJ1534"/>
      <c r="MTK1534"/>
      <c r="MTL1534"/>
      <c r="MTM1534"/>
      <c r="MTN1534"/>
      <c r="MTO1534"/>
      <c r="MTP1534"/>
      <c r="MTQ1534"/>
      <c r="MTR1534"/>
      <c r="MTS1534"/>
      <c r="MTT1534"/>
      <c r="MTU1534"/>
      <c r="MTV1534"/>
      <c r="MTW1534"/>
      <c r="MTX1534"/>
      <c r="MTY1534"/>
      <c r="MTZ1534"/>
      <c r="MUA1534"/>
      <c r="MUB1534"/>
      <c r="MUC1534"/>
      <c r="MUD1534"/>
      <c r="MUE1534"/>
      <c r="MUF1534"/>
      <c r="MUG1534"/>
      <c r="MUH1534"/>
      <c r="MUI1534"/>
      <c r="MUJ1534"/>
      <c r="MUK1534"/>
      <c r="MUL1534"/>
      <c r="MUM1534"/>
      <c r="MUN1534"/>
      <c r="MUO1534"/>
      <c r="MUP1534"/>
      <c r="MUQ1534"/>
      <c r="MUR1534"/>
      <c r="MUS1534"/>
      <c r="MUT1534"/>
      <c r="MUU1534"/>
      <c r="MUV1534"/>
      <c r="MUW1534"/>
      <c r="MUX1534"/>
      <c r="MUY1534"/>
      <c r="MUZ1534"/>
      <c r="MVA1534"/>
      <c r="MVB1534"/>
      <c r="MVC1534"/>
      <c r="MVD1534"/>
      <c r="MVE1534"/>
      <c r="MVF1534"/>
      <c r="MVG1534"/>
      <c r="MVH1534"/>
      <c r="MVI1534"/>
      <c r="MVJ1534"/>
      <c r="MVK1534"/>
      <c r="MVL1534"/>
      <c r="MVM1534"/>
      <c r="MVN1534"/>
      <c r="MVO1534"/>
      <c r="MVP1534"/>
      <c r="MVQ1534"/>
      <c r="MVR1534"/>
      <c r="MVS1534"/>
      <c r="MVT1534"/>
      <c r="MVU1534"/>
      <c r="MVV1534"/>
      <c r="MVW1534"/>
      <c r="MVX1534"/>
      <c r="MVY1534"/>
      <c r="MVZ1534"/>
      <c r="MWA1534"/>
      <c r="MWB1534"/>
      <c r="MWC1534"/>
      <c r="MWD1534"/>
      <c r="MWE1534"/>
      <c r="MWF1534"/>
      <c r="MWG1534"/>
      <c r="MWH1534"/>
      <c r="MWI1534"/>
      <c r="MWJ1534"/>
      <c r="MWK1534"/>
      <c r="MWL1534"/>
      <c r="MWM1534"/>
      <c r="MWN1534"/>
      <c r="MWO1534"/>
      <c r="MWP1534"/>
      <c r="MWQ1534"/>
      <c r="MWR1534"/>
      <c r="MWS1534"/>
      <c r="MWT1534"/>
      <c r="MWU1534"/>
      <c r="MWV1534"/>
      <c r="MWW1534"/>
      <c r="MWX1534"/>
      <c r="MWY1534"/>
      <c r="MWZ1534"/>
      <c r="MXA1534"/>
      <c r="MXB1534"/>
      <c r="MXC1534"/>
      <c r="MXD1534"/>
      <c r="MXE1534"/>
      <c r="MXF1534"/>
      <c r="MXG1534"/>
      <c r="MXH1534"/>
      <c r="MXI1534"/>
      <c r="MXJ1534"/>
      <c r="MXK1534"/>
      <c r="MXL1534"/>
      <c r="MXM1534"/>
      <c r="MXN1534"/>
      <c r="MXO1534"/>
      <c r="MXP1534"/>
      <c r="MXQ1534"/>
      <c r="MXR1534"/>
      <c r="MXS1534"/>
      <c r="MXT1534"/>
      <c r="MXU1534"/>
      <c r="MXV1534"/>
      <c r="MXW1534"/>
      <c r="MXX1534"/>
      <c r="MXY1534"/>
      <c r="MXZ1534"/>
      <c r="MYA1534"/>
      <c r="MYB1534"/>
      <c r="MYC1534"/>
      <c r="MYD1534"/>
      <c r="MYE1534"/>
      <c r="MYF1534"/>
      <c r="MYG1534"/>
      <c r="MYH1534"/>
      <c r="MYI1534"/>
      <c r="MYJ1534"/>
      <c r="MYK1534"/>
      <c r="MYL1534"/>
      <c r="MYM1534"/>
      <c r="MYN1534"/>
      <c r="MYO1534"/>
      <c r="MYP1534"/>
      <c r="MYQ1534"/>
      <c r="MYR1534"/>
      <c r="MYS1534"/>
      <c r="MYT1534"/>
      <c r="MYU1534"/>
      <c r="MYV1534"/>
      <c r="MYW1534"/>
      <c r="MYX1534"/>
      <c r="MYY1534"/>
      <c r="MYZ1534"/>
      <c r="MZA1534"/>
      <c r="MZB1534"/>
      <c r="MZC1534"/>
      <c r="MZD1534"/>
      <c r="MZE1534"/>
      <c r="MZF1534"/>
      <c r="MZG1534"/>
      <c r="MZH1534"/>
      <c r="MZI1534"/>
      <c r="MZJ1534"/>
      <c r="MZK1534"/>
      <c r="MZL1534"/>
      <c r="MZM1534"/>
      <c r="MZN1534"/>
      <c r="MZO1534"/>
      <c r="MZP1534"/>
      <c r="MZQ1534"/>
      <c r="MZR1534"/>
      <c r="MZS1534"/>
      <c r="MZT1534"/>
      <c r="MZU1534"/>
      <c r="MZV1534"/>
      <c r="MZW1534"/>
      <c r="MZX1534"/>
      <c r="MZY1534"/>
      <c r="MZZ1534"/>
      <c r="NAA1534"/>
      <c r="NAB1534"/>
      <c r="NAC1534"/>
      <c r="NAD1534"/>
      <c r="NAE1534"/>
      <c r="NAF1534"/>
      <c r="NAG1534"/>
      <c r="NAH1534"/>
      <c r="NAI1534"/>
      <c r="NAJ1534"/>
      <c r="NAK1534"/>
      <c r="NAL1534"/>
      <c r="NAM1534"/>
      <c r="NAN1534"/>
      <c r="NAO1534"/>
      <c r="NAP1534"/>
      <c r="NAQ1534"/>
      <c r="NAR1534"/>
      <c r="NAS1534"/>
      <c r="NAT1534"/>
      <c r="NAU1534"/>
      <c r="NAV1534"/>
      <c r="NAW1534"/>
      <c r="NAX1534"/>
      <c r="NAY1534"/>
      <c r="NAZ1534"/>
      <c r="NBA1534"/>
      <c r="NBB1534"/>
      <c r="NBC1534"/>
      <c r="NBD1534"/>
      <c r="NBE1534"/>
      <c r="NBF1534"/>
      <c r="NBG1534"/>
      <c r="NBH1534"/>
      <c r="NBI1534"/>
      <c r="NBJ1534"/>
      <c r="NBK1534"/>
      <c r="NBL1534"/>
      <c r="NBM1534"/>
      <c r="NBN1534"/>
      <c r="NBO1534"/>
      <c r="NBP1534"/>
      <c r="NBQ1534"/>
      <c r="NBR1534"/>
      <c r="NBS1534"/>
      <c r="NBT1534"/>
      <c r="NBU1534"/>
      <c r="NBV1534"/>
      <c r="NBW1534"/>
      <c r="NBX1534"/>
      <c r="NBY1534"/>
      <c r="NBZ1534"/>
      <c r="NCA1534"/>
      <c r="NCB1534"/>
      <c r="NCC1534"/>
      <c r="NCD1534"/>
      <c r="NCE1534"/>
      <c r="NCF1534"/>
      <c r="NCG1534"/>
      <c r="NCH1534"/>
      <c r="NCI1534"/>
      <c r="NCJ1534"/>
      <c r="NCK1534"/>
      <c r="NCL1534"/>
      <c r="NCM1534"/>
      <c r="NCN1534"/>
      <c r="NCO1534"/>
      <c r="NCP1534"/>
      <c r="NCQ1534"/>
      <c r="NCR1534"/>
      <c r="NCS1534"/>
      <c r="NCT1534"/>
      <c r="NCU1534"/>
      <c r="NCV1534"/>
      <c r="NCW1534"/>
      <c r="NCX1534"/>
      <c r="NCY1534"/>
      <c r="NCZ1534"/>
      <c r="NDA1534"/>
      <c r="NDB1534"/>
      <c r="NDC1534"/>
      <c r="NDD1534"/>
      <c r="NDE1534"/>
      <c r="NDF1534"/>
      <c r="NDG1534"/>
      <c r="NDH1534"/>
      <c r="NDI1534"/>
      <c r="NDJ1534"/>
      <c r="NDK1534"/>
      <c r="NDL1534"/>
      <c r="NDM1534"/>
      <c r="NDN1534"/>
      <c r="NDO1534"/>
      <c r="NDP1534"/>
      <c r="NDQ1534"/>
      <c r="NDR1534"/>
      <c r="NDS1534"/>
      <c r="NDT1534"/>
      <c r="NDU1534"/>
      <c r="NDV1534"/>
      <c r="NDW1534"/>
      <c r="NDX1534"/>
      <c r="NDY1534"/>
      <c r="NDZ1534"/>
      <c r="NEA1534"/>
      <c r="NEB1534"/>
      <c r="NEC1534"/>
      <c r="NED1534"/>
      <c r="NEE1534"/>
      <c r="NEF1534"/>
      <c r="NEG1534"/>
      <c r="NEH1534"/>
      <c r="NEI1534"/>
      <c r="NEJ1534"/>
      <c r="NEK1534"/>
      <c r="NEL1534"/>
      <c r="NEM1534"/>
      <c r="NEN1534"/>
      <c r="NEO1534"/>
      <c r="NEP1534"/>
      <c r="NEQ1534"/>
      <c r="NER1534"/>
      <c r="NES1534"/>
      <c r="NET1534"/>
      <c r="NEU1534"/>
      <c r="NEV1534"/>
      <c r="NEW1534"/>
      <c r="NEX1534"/>
      <c r="NEY1534"/>
      <c r="NEZ1534"/>
      <c r="NFA1534"/>
      <c r="NFB1534"/>
      <c r="NFC1534"/>
      <c r="NFD1534"/>
      <c r="NFE1534"/>
      <c r="NFF1534"/>
      <c r="NFG1534"/>
      <c r="NFH1534"/>
      <c r="NFI1534"/>
      <c r="NFJ1534"/>
      <c r="NFK1534"/>
      <c r="NFL1534"/>
      <c r="NFM1534"/>
      <c r="NFN1534"/>
      <c r="NFO1534"/>
      <c r="NFP1534"/>
      <c r="NFQ1534"/>
      <c r="NFR1534"/>
      <c r="NFS1534"/>
      <c r="NFT1534"/>
      <c r="NFU1534"/>
      <c r="NFV1534"/>
      <c r="NFW1534"/>
      <c r="NFX1534"/>
      <c r="NFY1534"/>
      <c r="NFZ1534"/>
      <c r="NGA1534"/>
      <c r="NGB1534"/>
      <c r="NGC1534"/>
      <c r="NGD1534"/>
      <c r="NGE1534"/>
      <c r="NGF1534"/>
      <c r="NGG1534"/>
      <c r="NGH1534"/>
      <c r="NGI1534"/>
      <c r="NGJ1534"/>
      <c r="NGK1534"/>
      <c r="NGL1534"/>
      <c r="NGM1534"/>
      <c r="NGN1534"/>
      <c r="NGO1534"/>
      <c r="NGP1534"/>
      <c r="NGQ1534"/>
      <c r="NGR1534"/>
      <c r="NGS1534"/>
      <c r="NGT1534"/>
      <c r="NGU1534"/>
      <c r="NGV1534"/>
      <c r="NGW1534"/>
      <c r="NGX1534"/>
      <c r="NGY1534"/>
      <c r="NGZ1534"/>
      <c r="NHA1534"/>
      <c r="NHB1534"/>
      <c r="NHC1534"/>
      <c r="NHD1534"/>
      <c r="NHE1534"/>
      <c r="NHF1534"/>
      <c r="NHG1534"/>
      <c r="NHH1534"/>
      <c r="NHI1534"/>
      <c r="NHJ1534"/>
      <c r="NHK1534"/>
      <c r="NHL1534"/>
      <c r="NHM1534"/>
      <c r="NHN1534"/>
      <c r="NHO1534"/>
      <c r="NHP1534"/>
      <c r="NHQ1534"/>
      <c r="NHR1534"/>
      <c r="NHS1534"/>
      <c r="NHT1534"/>
      <c r="NHU1534"/>
      <c r="NHV1534"/>
      <c r="NHW1534"/>
      <c r="NHX1534"/>
      <c r="NHY1534"/>
      <c r="NHZ1534"/>
      <c r="NIA1534"/>
      <c r="NIB1534"/>
      <c r="NIC1534"/>
      <c r="NID1534"/>
      <c r="NIE1534"/>
      <c r="NIF1534"/>
      <c r="NIG1534"/>
      <c r="NIH1534"/>
      <c r="NII1534"/>
      <c r="NIJ1534"/>
      <c r="NIK1534"/>
      <c r="NIL1534"/>
      <c r="NIM1534"/>
      <c r="NIN1534"/>
      <c r="NIO1534"/>
      <c r="NIP1534"/>
      <c r="NIQ1534"/>
      <c r="NIR1534"/>
      <c r="NIS1534"/>
      <c r="NIT1534"/>
      <c r="NIU1534"/>
      <c r="NIV1534"/>
      <c r="NIW1534"/>
      <c r="NIX1534"/>
      <c r="NIY1534"/>
      <c r="NIZ1534"/>
      <c r="NJA1534"/>
      <c r="NJB1534"/>
      <c r="NJC1534"/>
      <c r="NJD1534"/>
      <c r="NJE1534"/>
      <c r="NJF1534"/>
      <c r="NJG1534"/>
      <c r="NJH1534"/>
      <c r="NJI1534"/>
      <c r="NJJ1534"/>
      <c r="NJK1534"/>
      <c r="NJL1534"/>
      <c r="NJM1534"/>
      <c r="NJN1534"/>
      <c r="NJO1534"/>
      <c r="NJP1534"/>
      <c r="NJQ1534"/>
      <c r="NJR1534"/>
      <c r="NJS1534"/>
      <c r="NJT1534"/>
      <c r="NJU1534"/>
      <c r="NJV1534"/>
      <c r="NJW1534"/>
      <c r="NJX1534"/>
      <c r="NJY1534"/>
      <c r="NJZ1534"/>
      <c r="NKA1534"/>
      <c r="NKB1534"/>
      <c r="NKC1534"/>
      <c r="NKD1534"/>
      <c r="NKE1534"/>
      <c r="NKF1534"/>
      <c r="NKG1534"/>
      <c r="NKH1534"/>
      <c r="NKI1534"/>
      <c r="NKJ1534"/>
      <c r="NKK1534"/>
      <c r="NKL1534"/>
      <c r="NKM1534"/>
      <c r="NKN1534"/>
      <c r="NKO1534"/>
      <c r="NKP1534"/>
      <c r="NKQ1534"/>
      <c r="NKR1534"/>
      <c r="NKS1534"/>
      <c r="NKT1534"/>
      <c r="NKU1534"/>
      <c r="NKV1534"/>
      <c r="NKW1534"/>
      <c r="NKX1534"/>
      <c r="NKY1534"/>
      <c r="NKZ1534"/>
      <c r="NLA1534"/>
      <c r="NLB1534"/>
      <c r="NLC1534"/>
      <c r="NLD1534"/>
      <c r="NLE1534"/>
      <c r="NLF1534"/>
      <c r="NLG1534"/>
      <c r="NLH1534"/>
      <c r="NLI1534"/>
      <c r="NLJ1534"/>
      <c r="NLK1534"/>
      <c r="NLL1534"/>
      <c r="NLM1534"/>
      <c r="NLN1534"/>
      <c r="NLO1534"/>
      <c r="NLP1534"/>
      <c r="NLQ1534"/>
      <c r="NLR1534"/>
      <c r="NLS1534"/>
      <c r="NLT1534"/>
      <c r="NLU1534"/>
      <c r="NLV1534"/>
      <c r="NLW1534"/>
      <c r="NLX1534"/>
      <c r="NLY1534"/>
      <c r="NLZ1534"/>
      <c r="NMA1534"/>
      <c r="NMB1534"/>
      <c r="NMC1534"/>
      <c r="NMD1534"/>
      <c r="NME1534"/>
      <c r="NMF1534"/>
      <c r="NMG1534"/>
      <c r="NMH1534"/>
      <c r="NMI1534"/>
      <c r="NMJ1534"/>
      <c r="NMK1534"/>
      <c r="NML1534"/>
      <c r="NMM1534"/>
      <c r="NMN1534"/>
      <c r="NMO1534"/>
      <c r="NMP1534"/>
      <c r="NMQ1534"/>
      <c r="NMR1534"/>
      <c r="NMS1534"/>
      <c r="NMT1534"/>
      <c r="NMU1534"/>
      <c r="NMV1534"/>
      <c r="NMW1534"/>
      <c r="NMX1534"/>
      <c r="NMY1534"/>
      <c r="NMZ1534"/>
      <c r="NNA1534"/>
      <c r="NNB1534"/>
      <c r="NNC1534"/>
      <c r="NND1534"/>
      <c r="NNE1534"/>
      <c r="NNF1534"/>
      <c r="NNG1534"/>
      <c r="NNH1534"/>
      <c r="NNI1534"/>
      <c r="NNJ1534"/>
      <c r="NNK1534"/>
      <c r="NNL1534"/>
      <c r="NNM1534"/>
      <c r="NNN1534"/>
      <c r="NNO1534"/>
      <c r="NNP1534"/>
      <c r="NNQ1534"/>
      <c r="NNR1534"/>
      <c r="NNS1534"/>
      <c r="NNT1534"/>
      <c r="NNU1534"/>
      <c r="NNV1534"/>
      <c r="NNW1534"/>
      <c r="NNX1534"/>
      <c r="NNY1534"/>
      <c r="NNZ1534"/>
      <c r="NOA1534"/>
      <c r="NOB1534"/>
      <c r="NOC1534"/>
      <c r="NOD1534"/>
      <c r="NOE1534"/>
      <c r="NOF1534"/>
      <c r="NOG1534"/>
      <c r="NOH1534"/>
      <c r="NOI1534"/>
      <c r="NOJ1534"/>
      <c r="NOK1534"/>
      <c r="NOL1534"/>
      <c r="NOM1534"/>
      <c r="NON1534"/>
      <c r="NOO1534"/>
      <c r="NOP1534"/>
      <c r="NOQ1534"/>
      <c r="NOR1534"/>
      <c r="NOS1534"/>
      <c r="NOT1534"/>
      <c r="NOU1534"/>
      <c r="NOV1534"/>
      <c r="NOW1534"/>
      <c r="NOX1534"/>
      <c r="NOY1534"/>
      <c r="NOZ1534"/>
      <c r="NPA1534"/>
      <c r="NPB1534"/>
      <c r="NPC1534"/>
      <c r="NPD1534"/>
      <c r="NPE1534"/>
      <c r="NPF1534"/>
      <c r="NPG1534"/>
      <c r="NPH1534"/>
      <c r="NPI1534"/>
      <c r="NPJ1534"/>
      <c r="NPK1534"/>
      <c r="NPL1534"/>
      <c r="NPM1534"/>
      <c r="NPN1534"/>
      <c r="NPO1534"/>
      <c r="NPP1534"/>
      <c r="NPQ1534"/>
      <c r="NPR1534"/>
      <c r="NPS1534"/>
      <c r="NPT1534"/>
      <c r="NPU1534"/>
      <c r="NPV1534"/>
      <c r="NPW1534"/>
      <c r="NPX1534"/>
      <c r="NPY1534"/>
      <c r="NPZ1534"/>
      <c r="NQA1534"/>
      <c r="NQB1534"/>
      <c r="NQC1534"/>
      <c r="NQD1534"/>
      <c r="NQE1534"/>
      <c r="NQF1534"/>
      <c r="NQG1534"/>
      <c r="NQH1534"/>
      <c r="NQI1534"/>
      <c r="NQJ1534"/>
      <c r="NQK1534"/>
      <c r="NQL1534"/>
      <c r="NQM1534"/>
      <c r="NQN1534"/>
      <c r="NQO1534"/>
      <c r="NQP1534"/>
      <c r="NQQ1534"/>
      <c r="NQR1534"/>
      <c r="NQS1534"/>
      <c r="NQT1534"/>
      <c r="NQU1534"/>
      <c r="NQV1534"/>
      <c r="NQW1534"/>
      <c r="NQX1534"/>
      <c r="NQY1534"/>
      <c r="NQZ1534"/>
      <c r="NRA1534"/>
      <c r="NRB1534"/>
      <c r="NRC1534"/>
      <c r="NRD1534"/>
      <c r="NRE1534"/>
      <c r="NRF1534"/>
      <c r="NRG1534"/>
      <c r="NRH1534"/>
      <c r="NRI1534"/>
      <c r="NRJ1534"/>
      <c r="NRK1534"/>
      <c r="NRL1534"/>
      <c r="NRM1534"/>
      <c r="NRN1534"/>
      <c r="NRO1534"/>
      <c r="NRP1534"/>
      <c r="NRQ1534"/>
      <c r="NRR1534"/>
      <c r="NRS1534"/>
      <c r="NRT1534"/>
      <c r="NRU1534"/>
      <c r="NRV1534"/>
      <c r="NRW1534"/>
      <c r="NRX1534"/>
      <c r="NRY1534"/>
      <c r="NRZ1534"/>
      <c r="NSA1534"/>
      <c r="NSB1534"/>
      <c r="NSC1534"/>
      <c r="NSD1534"/>
      <c r="NSE1534"/>
      <c r="NSF1534"/>
      <c r="NSG1534"/>
      <c r="NSH1534"/>
      <c r="NSI1534"/>
      <c r="NSJ1534"/>
      <c r="NSK1534"/>
      <c r="NSL1534"/>
      <c r="NSM1534"/>
      <c r="NSN1534"/>
      <c r="NSO1534"/>
      <c r="NSP1534"/>
      <c r="NSQ1534"/>
      <c r="NSR1534"/>
      <c r="NSS1534"/>
      <c r="NST1534"/>
      <c r="NSU1534"/>
      <c r="NSV1534"/>
      <c r="NSW1534"/>
      <c r="NSX1534"/>
      <c r="NSY1534"/>
      <c r="NSZ1534"/>
      <c r="NTA1534"/>
      <c r="NTB1534"/>
      <c r="NTC1534"/>
      <c r="NTD1534"/>
      <c r="NTE1534"/>
      <c r="NTF1534"/>
      <c r="NTG1534"/>
      <c r="NTH1534"/>
      <c r="NTI1534"/>
      <c r="NTJ1534"/>
      <c r="NTK1534"/>
      <c r="NTL1534"/>
      <c r="NTM1534"/>
      <c r="NTN1534"/>
      <c r="NTO1534"/>
      <c r="NTP1534"/>
      <c r="NTQ1534"/>
      <c r="NTR1534"/>
      <c r="NTS1534"/>
      <c r="NTT1534"/>
      <c r="NTU1534"/>
      <c r="NTV1534"/>
      <c r="NTW1534"/>
      <c r="NTX1534"/>
      <c r="NTY1534"/>
      <c r="NTZ1534"/>
      <c r="NUA1534"/>
      <c r="NUB1534"/>
      <c r="NUC1534"/>
      <c r="NUD1534"/>
      <c r="NUE1534"/>
      <c r="NUF1534"/>
      <c r="NUG1534"/>
      <c r="NUH1534"/>
      <c r="NUI1534"/>
      <c r="NUJ1534"/>
      <c r="NUK1534"/>
      <c r="NUL1534"/>
      <c r="NUM1534"/>
      <c r="NUN1534"/>
      <c r="NUO1534"/>
      <c r="NUP1534"/>
      <c r="NUQ1534"/>
      <c r="NUR1534"/>
      <c r="NUS1534"/>
      <c r="NUT1534"/>
      <c r="NUU1534"/>
      <c r="NUV1534"/>
      <c r="NUW1534"/>
      <c r="NUX1534"/>
      <c r="NUY1534"/>
      <c r="NUZ1534"/>
      <c r="NVA1534"/>
      <c r="NVB1534"/>
      <c r="NVC1534"/>
      <c r="NVD1534"/>
      <c r="NVE1534"/>
      <c r="NVF1534"/>
      <c r="NVG1534"/>
      <c r="NVH1534"/>
      <c r="NVI1534"/>
      <c r="NVJ1534"/>
      <c r="NVK1534"/>
      <c r="NVL1534"/>
      <c r="NVM1534"/>
      <c r="NVN1534"/>
      <c r="NVO1534"/>
      <c r="NVP1534"/>
      <c r="NVQ1534"/>
      <c r="NVR1534"/>
      <c r="NVS1534"/>
      <c r="NVT1534"/>
      <c r="NVU1534"/>
      <c r="NVV1534"/>
      <c r="NVW1534"/>
      <c r="NVX1534"/>
      <c r="NVY1534"/>
      <c r="NVZ1534"/>
      <c r="NWA1534"/>
      <c r="NWB1534"/>
      <c r="NWC1534"/>
      <c r="NWD1534"/>
      <c r="NWE1534"/>
      <c r="NWF1534"/>
      <c r="NWG1534"/>
      <c r="NWH1534"/>
      <c r="NWI1534"/>
      <c r="NWJ1534"/>
      <c r="NWK1534"/>
      <c r="NWL1534"/>
      <c r="NWM1534"/>
      <c r="NWN1534"/>
      <c r="NWO1534"/>
      <c r="NWP1534"/>
      <c r="NWQ1534"/>
      <c r="NWR1534"/>
      <c r="NWS1534"/>
      <c r="NWT1534"/>
      <c r="NWU1534"/>
      <c r="NWV1534"/>
      <c r="NWW1534"/>
      <c r="NWX1534"/>
      <c r="NWY1534"/>
      <c r="NWZ1534"/>
      <c r="NXA1534"/>
      <c r="NXB1534"/>
      <c r="NXC1534"/>
      <c r="NXD1534"/>
      <c r="NXE1534"/>
      <c r="NXF1534"/>
      <c r="NXG1534"/>
      <c r="NXH1534"/>
      <c r="NXI1534"/>
      <c r="NXJ1534"/>
      <c r="NXK1534"/>
      <c r="NXL1534"/>
      <c r="NXM1534"/>
      <c r="NXN1534"/>
      <c r="NXO1534"/>
      <c r="NXP1534"/>
      <c r="NXQ1534"/>
      <c r="NXR1534"/>
      <c r="NXS1534"/>
      <c r="NXT1534"/>
      <c r="NXU1534"/>
      <c r="NXV1534"/>
      <c r="NXW1534"/>
      <c r="NXX1534"/>
      <c r="NXY1534"/>
      <c r="NXZ1534"/>
      <c r="NYA1534"/>
      <c r="NYB1534"/>
      <c r="NYC1534"/>
      <c r="NYD1534"/>
      <c r="NYE1534"/>
      <c r="NYF1534"/>
      <c r="NYG1534"/>
      <c r="NYH1534"/>
      <c r="NYI1534"/>
      <c r="NYJ1534"/>
      <c r="NYK1534"/>
      <c r="NYL1534"/>
      <c r="NYM1534"/>
      <c r="NYN1534"/>
      <c r="NYO1534"/>
      <c r="NYP1534"/>
      <c r="NYQ1534"/>
      <c r="NYR1534"/>
      <c r="NYS1534"/>
      <c r="NYT1534"/>
      <c r="NYU1534"/>
      <c r="NYV1534"/>
      <c r="NYW1534"/>
      <c r="NYX1534"/>
      <c r="NYY1534"/>
      <c r="NYZ1534"/>
      <c r="NZA1534"/>
      <c r="NZB1534"/>
      <c r="NZC1534"/>
      <c r="NZD1534"/>
      <c r="NZE1534"/>
      <c r="NZF1534"/>
      <c r="NZG1534"/>
      <c r="NZH1534"/>
      <c r="NZI1534"/>
      <c r="NZJ1534"/>
      <c r="NZK1534"/>
      <c r="NZL1534"/>
      <c r="NZM1534"/>
      <c r="NZN1534"/>
      <c r="NZO1534"/>
      <c r="NZP1534"/>
      <c r="NZQ1534"/>
      <c r="NZR1534"/>
      <c r="NZS1534"/>
      <c r="NZT1534"/>
      <c r="NZU1534"/>
      <c r="NZV1534"/>
      <c r="NZW1534"/>
      <c r="NZX1534"/>
      <c r="NZY1534"/>
      <c r="NZZ1534"/>
      <c r="OAA1534"/>
      <c r="OAB1534"/>
      <c r="OAC1534"/>
      <c r="OAD1534"/>
      <c r="OAE1534"/>
      <c r="OAF1534"/>
      <c r="OAG1534"/>
      <c r="OAH1534"/>
      <c r="OAI1534"/>
      <c r="OAJ1534"/>
      <c r="OAK1534"/>
      <c r="OAL1534"/>
      <c r="OAM1534"/>
      <c r="OAN1534"/>
      <c r="OAO1534"/>
      <c r="OAP1534"/>
      <c r="OAQ1534"/>
      <c r="OAR1534"/>
      <c r="OAS1534"/>
      <c r="OAT1534"/>
      <c r="OAU1534"/>
      <c r="OAV1534"/>
      <c r="OAW1534"/>
      <c r="OAX1534"/>
      <c r="OAY1534"/>
      <c r="OAZ1534"/>
      <c r="OBA1534"/>
      <c r="OBB1534"/>
      <c r="OBC1534"/>
      <c r="OBD1534"/>
      <c r="OBE1534"/>
      <c r="OBF1534"/>
      <c r="OBG1534"/>
      <c r="OBH1534"/>
      <c r="OBI1534"/>
      <c r="OBJ1534"/>
      <c r="OBK1534"/>
      <c r="OBL1534"/>
      <c r="OBM1534"/>
      <c r="OBN1534"/>
      <c r="OBO1534"/>
      <c r="OBP1534"/>
      <c r="OBQ1534"/>
      <c r="OBR1534"/>
      <c r="OBS1534"/>
      <c r="OBT1534"/>
      <c r="OBU1534"/>
      <c r="OBV1534"/>
      <c r="OBW1534"/>
      <c r="OBX1534"/>
      <c r="OBY1534"/>
      <c r="OBZ1534"/>
      <c r="OCA1534"/>
      <c r="OCB1534"/>
      <c r="OCC1534"/>
      <c r="OCD1534"/>
      <c r="OCE1534"/>
      <c r="OCF1534"/>
      <c r="OCG1534"/>
      <c r="OCH1534"/>
      <c r="OCI1534"/>
      <c r="OCJ1534"/>
      <c r="OCK1534"/>
      <c r="OCL1534"/>
      <c r="OCM1534"/>
      <c r="OCN1534"/>
      <c r="OCO1534"/>
      <c r="OCP1534"/>
      <c r="OCQ1534"/>
      <c r="OCR1534"/>
      <c r="OCS1534"/>
      <c r="OCT1534"/>
      <c r="OCU1534"/>
      <c r="OCV1534"/>
      <c r="OCW1534"/>
      <c r="OCX1534"/>
      <c r="OCY1534"/>
      <c r="OCZ1534"/>
      <c r="ODA1534"/>
      <c r="ODB1534"/>
      <c r="ODC1534"/>
      <c r="ODD1534"/>
      <c r="ODE1534"/>
      <c r="ODF1534"/>
      <c r="ODG1534"/>
      <c r="ODH1534"/>
      <c r="ODI1534"/>
      <c r="ODJ1534"/>
      <c r="ODK1534"/>
      <c r="ODL1534"/>
      <c r="ODM1534"/>
      <c r="ODN1534"/>
      <c r="ODO1534"/>
      <c r="ODP1534"/>
      <c r="ODQ1534"/>
      <c r="ODR1534"/>
      <c r="ODS1534"/>
      <c r="ODT1534"/>
      <c r="ODU1534"/>
      <c r="ODV1534"/>
      <c r="ODW1534"/>
      <c r="ODX1534"/>
      <c r="ODY1534"/>
      <c r="ODZ1534"/>
      <c r="OEA1534"/>
      <c r="OEB1534"/>
      <c r="OEC1534"/>
      <c r="OED1534"/>
      <c r="OEE1534"/>
      <c r="OEF1534"/>
      <c r="OEG1534"/>
      <c r="OEH1534"/>
      <c r="OEI1534"/>
      <c r="OEJ1534"/>
      <c r="OEK1534"/>
      <c r="OEL1534"/>
      <c r="OEM1534"/>
      <c r="OEN1534"/>
      <c r="OEO1534"/>
      <c r="OEP1534"/>
      <c r="OEQ1534"/>
      <c r="OER1534"/>
      <c r="OES1534"/>
      <c r="OET1534"/>
      <c r="OEU1534"/>
      <c r="OEV1534"/>
      <c r="OEW1534"/>
      <c r="OEX1534"/>
      <c r="OEY1534"/>
      <c r="OEZ1534"/>
      <c r="OFA1534"/>
      <c r="OFB1534"/>
      <c r="OFC1534"/>
      <c r="OFD1534"/>
      <c r="OFE1534"/>
      <c r="OFF1534"/>
      <c r="OFG1534"/>
      <c r="OFH1534"/>
      <c r="OFI1534"/>
      <c r="OFJ1534"/>
      <c r="OFK1534"/>
      <c r="OFL1534"/>
      <c r="OFM1534"/>
      <c r="OFN1534"/>
      <c r="OFO1534"/>
      <c r="OFP1534"/>
      <c r="OFQ1534"/>
      <c r="OFR1534"/>
      <c r="OFS1534"/>
      <c r="OFT1534"/>
      <c r="OFU1534"/>
      <c r="OFV1534"/>
      <c r="OFW1534"/>
      <c r="OFX1534"/>
      <c r="OFY1534"/>
      <c r="OFZ1534"/>
      <c r="OGA1534"/>
      <c r="OGB1534"/>
      <c r="OGC1534"/>
      <c r="OGD1534"/>
      <c r="OGE1534"/>
      <c r="OGF1534"/>
      <c r="OGG1534"/>
      <c r="OGH1534"/>
      <c r="OGI1534"/>
      <c r="OGJ1534"/>
      <c r="OGK1534"/>
      <c r="OGL1534"/>
      <c r="OGM1534"/>
      <c r="OGN1534"/>
      <c r="OGO1534"/>
      <c r="OGP1534"/>
      <c r="OGQ1534"/>
      <c r="OGR1534"/>
      <c r="OGS1534"/>
      <c r="OGT1534"/>
      <c r="OGU1534"/>
      <c r="OGV1534"/>
      <c r="OGW1534"/>
      <c r="OGX1534"/>
      <c r="OGY1534"/>
      <c r="OGZ1534"/>
      <c r="OHA1534"/>
      <c r="OHB1534"/>
      <c r="OHC1534"/>
      <c r="OHD1534"/>
      <c r="OHE1534"/>
      <c r="OHF1534"/>
      <c r="OHG1534"/>
      <c r="OHH1534"/>
      <c r="OHI1534"/>
      <c r="OHJ1534"/>
      <c r="OHK1534"/>
      <c r="OHL1534"/>
      <c r="OHM1534"/>
      <c r="OHN1534"/>
      <c r="OHO1534"/>
      <c r="OHP1534"/>
      <c r="OHQ1534"/>
      <c r="OHR1534"/>
      <c r="OHS1534"/>
      <c r="OHT1534"/>
      <c r="OHU1534"/>
      <c r="OHV1534"/>
      <c r="OHW1534"/>
      <c r="OHX1534"/>
      <c r="OHY1534"/>
      <c r="OHZ1534"/>
      <c r="OIA1534"/>
      <c r="OIB1534"/>
      <c r="OIC1534"/>
      <c r="OID1534"/>
      <c r="OIE1534"/>
      <c r="OIF1534"/>
      <c r="OIG1534"/>
      <c r="OIH1534"/>
      <c r="OII1534"/>
      <c r="OIJ1534"/>
      <c r="OIK1534"/>
      <c r="OIL1534"/>
      <c r="OIM1534"/>
      <c r="OIN1534"/>
      <c r="OIO1534"/>
      <c r="OIP1534"/>
      <c r="OIQ1534"/>
      <c r="OIR1534"/>
      <c r="OIS1534"/>
      <c r="OIT1534"/>
      <c r="OIU1534"/>
      <c r="OIV1534"/>
      <c r="OIW1534"/>
      <c r="OIX1534"/>
      <c r="OIY1534"/>
      <c r="OIZ1534"/>
      <c r="OJA1534"/>
      <c r="OJB1534"/>
      <c r="OJC1534"/>
      <c r="OJD1534"/>
      <c r="OJE1534"/>
      <c r="OJF1534"/>
      <c r="OJG1534"/>
      <c r="OJH1534"/>
      <c r="OJI1534"/>
      <c r="OJJ1534"/>
      <c r="OJK1534"/>
      <c r="OJL1534"/>
      <c r="OJM1534"/>
      <c r="OJN1534"/>
      <c r="OJO1534"/>
      <c r="OJP1534"/>
      <c r="OJQ1534"/>
      <c r="OJR1534"/>
      <c r="OJS1534"/>
      <c r="OJT1534"/>
      <c r="OJU1534"/>
      <c r="OJV1534"/>
      <c r="OJW1534"/>
      <c r="OJX1534"/>
      <c r="OJY1534"/>
      <c r="OJZ1534"/>
      <c r="OKA1534"/>
      <c r="OKB1534"/>
      <c r="OKC1534"/>
      <c r="OKD1534"/>
      <c r="OKE1534"/>
      <c r="OKF1534"/>
      <c r="OKG1534"/>
      <c r="OKH1534"/>
      <c r="OKI1534"/>
      <c r="OKJ1534"/>
      <c r="OKK1534"/>
      <c r="OKL1534"/>
      <c r="OKM1534"/>
      <c r="OKN1534"/>
      <c r="OKO1534"/>
      <c r="OKP1534"/>
      <c r="OKQ1534"/>
      <c r="OKR1534"/>
      <c r="OKS1534"/>
      <c r="OKT1534"/>
      <c r="OKU1534"/>
      <c r="OKV1534"/>
      <c r="OKW1534"/>
      <c r="OKX1534"/>
      <c r="OKY1534"/>
      <c r="OKZ1534"/>
      <c r="OLA1534"/>
      <c r="OLB1534"/>
      <c r="OLC1534"/>
      <c r="OLD1534"/>
      <c r="OLE1534"/>
      <c r="OLF1534"/>
      <c r="OLG1534"/>
      <c r="OLH1534"/>
      <c r="OLI1534"/>
      <c r="OLJ1534"/>
      <c r="OLK1534"/>
      <c r="OLL1534"/>
      <c r="OLM1534"/>
      <c r="OLN1534"/>
      <c r="OLO1534"/>
      <c r="OLP1534"/>
      <c r="OLQ1534"/>
      <c r="OLR1534"/>
      <c r="OLS1534"/>
      <c r="OLT1534"/>
      <c r="OLU1534"/>
      <c r="OLV1534"/>
      <c r="OLW1534"/>
      <c r="OLX1534"/>
      <c r="OLY1534"/>
      <c r="OLZ1534"/>
      <c r="OMA1534"/>
      <c r="OMB1534"/>
      <c r="OMC1534"/>
      <c r="OMD1534"/>
      <c r="OME1534"/>
      <c r="OMF1534"/>
      <c r="OMG1534"/>
      <c r="OMH1534"/>
      <c r="OMI1534"/>
      <c r="OMJ1534"/>
      <c r="OMK1534"/>
      <c r="OML1534"/>
      <c r="OMM1534"/>
      <c r="OMN1534"/>
      <c r="OMO1534"/>
      <c r="OMP1534"/>
      <c r="OMQ1534"/>
      <c r="OMR1534"/>
      <c r="OMS1534"/>
      <c r="OMT1534"/>
      <c r="OMU1534"/>
      <c r="OMV1534"/>
      <c r="OMW1534"/>
      <c r="OMX1534"/>
      <c r="OMY1534"/>
      <c r="OMZ1534"/>
      <c r="ONA1534"/>
      <c r="ONB1534"/>
      <c r="ONC1534"/>
      <c r="OND1534"/>
      <c r="ONE1534"/>
      <c r="ONF1534"/>
      <c r="ONG1534"/>
      <c r="ONH1534"/>
      <c r="ONI1534"/>
      <c r="ONJ1534"/>
      <c r="ONK1534"/>
      <c r="ONL1534"/>
      <c r="ONM1534"/>
      <c r="ONN1534"/>
      <c r="ONO1534"/>
      <c r="ONP1534"/>
      <c r="ONQ1534"/>
      <c r="ONR1534"/>
      <c r="ONS1534"/>
      <c r="ONT1534"/>
      <c r="ONU1534"/>
      <c r="ONV1534"/>
      <c r="ONW1534"/>
      <c r="ONX1534"/>
      <c r="ONY1534"/>
      <c r="ONZ1534"/>
      <c r="OOA1534"/>
      <c r="OOB1534"/>
      <c r="OOC1534"/>
      <c r="OOD1534"/>
      <c r="OOE1534"/>
      <c r="OOF1534"/>
      <c r="OOG1534"/>
      <c r="OOH1534"/>
      <c r="OOI1534"/>
      <c r="OOJ1534"/>
      <c r="OOK1534"/>
      <c r="OOL1534"/>
      <c r="OOM1534"/>
      <c r="OON1534"/>
      <c r="OOO1534"/>
      <c r="OOP1534"/>
      <c r="OOQ1534"/>
      <c r="OOR1534"/>
      <c r="OOS1534"/>
      <c r="OOT1534"/>
      <c r="OOU1534"/>
      <c r="OOV1534"/>
      <c r="OOW1534"/>
      <c r="OOX1534"/>
      <c r="OOY1534"/>
      <c r="OOZ1534"/>
      <c r="OPA1534"/>
      <c r="OPB1534"/>
      <c r="OPC1534"/>
      <c r="OPD1534"/>
      <c r="OPE1534"/>
      <c r="OPF1534"/>
      <c r="OPG1534"/>
      <c r="OPH1534"/>
      <c r="OPI1534"/>
      <c r="OPJ1534"/>
      <c r="OPK1534"/>
      <c r="OPL1534"/>
      <c r="OPM1534"/>
      <c r="OPN1534"/>
      <c r="OPO1534"/>
      <c r="OPP1534"/>
      <c r="OPQ1534"/>
      <c r="OPR1534"/>
      <c r="OPS1534"/>
      <c r="OPT1534"/>
      <c r="OPU1534"/>
      <c r="OPV1534"/>
      <c r="OPW1534"/>
      <c r="OPX1534"/>
      <c r="OPY1534"/>
      <c r="OPZ1534"/>
      <c r="OQA1534"/>
      <c r="OQB1534"/>
      <c r="OQC1534"/>
      <c r="OQD1534"/>
      <c r="OQE1534"/>
      <c r="OQF1534"/>
      <c r="OQG1534"/>
      <c r="OQH1534"/>
      <c r="OQI1534"/>
      <c r="OQJ1534"/>
      <c r="OQK1534"/>
      <c r="OQL1534"/>
      <c r="OQM1534"/>
      <c r="OQN1534"/>
      <c r="OQO1534"/>
      <c r="OQP1534"/>
      <c r="OQQ1534"/>
      <c r="OQR1534"/>
      <c r="OQS1534"/>
      <c r="OQT1534"/>
      <c r="OQU1534"/>
      <c r="OQV1534"/>
      <c r="OQW1534"/>
      <c r="OQX1534"/>
      <c r="OQY1534"/>
      <c r="OQZ1534"/>
      <c r="ORA1534"/>
      <c r="ORB1534"/>
      <c r="ORC1534"/>
      <c r="ORD1534"/>
      <c r="ORE1534"/>
      <c r="ORF1534"/>
      <c r="ORG1534"/>
      <c r="ORH1534"/>
      <c r="ORI1534"/>
      <c r="ORJ1534"/>
      <c r="ORK1534"/>
      <c r="ORL1534"/>
      <c r="ORM1534"/>
      <c r="ORN1534"/>
      <c r="ORO1534"/>
      <c r="ORP1534"/>
      <c r="ORQ1534"/>
      <c r="ORR1534"/>
      <c r="ORS1534"/>
      <c r="ORT1534"/>
      <c r="ORU1534"/>
      <c r="ORV1534"/>
      <c r="ORW1534"/>
      <c r="ORX1534"/>
      <c r="ORY1534"/>
      <c r="ORZ1534"/>
      <c r="OSA1534"/>
      <c r="OSB1534"/>
      <c r="OSC1534"/>
      <c r="OSD1534"/>
      <c r="OSE1534"/>
      <c r="OSF1534"/>
      <c r="OSG1534"/>
      <c r="OSH1534"/>
      <c r="OSI1534"/>
      <c r="OSJ1534"/>
      <c r="OSK1534"/>
      <c r="OSL1534"/>
      <c r="OSM1534"/>
      <c r="OSN1534"/>
      <c r="OSO1534"/>
      <c r="OSP1534"/>
      <c r="OSQ1534"/>
      <c r="OSR1534"/>
      <c r="OSS1534"/>
      <c r="OST1534"/>
      <c r="OSU1534"/>
      <c r="OSV1534"/>
      <c r="OSW1534"/>
      <c r="OSX1534"/>
      <c r="OSY1534"/>
      <c r="OSZ1534"/>
      <c r="OTA1534"/>
      <c r="OTB1534"/>
      <c r="OTC1534"/>
      <c r="OTD1534"/>
      <c r="OTE1534"/>
      <c r="OTF1534"/>
      <c r="OTG1534"/>
      <c r="OTH1534"/>
      <c r="OTI1534"/>
      <c r="OTJ1534"/>
      <c r="OTK1534"/>
      <c r="OTL1534"/>
      <c r="OTM1534"/>
      <c r="OTN1534"/>
      <c r="OTO1534"/>
      <c r="OTP1534"/>
      <c r="OTQ1534"/>
      <c r="OTR1534"/>
      <c r="OTS1534"/>
      <c r="OTT1534"/>
      <c r="OTU1534"/>
      <c r="OTV1534"/>
      <c r="OTW1534"/>
      <c r="OTX1534"/>
      <c r="OTY1534"/>
      <c r="OTZ1534"/>
      <c r="OUA1534"/>
      <c r="OUB1534"/>
      <c r="OUC1534"/>
      <c r="OUD1534"/>
      <c r="OUE1534"/>
      <c r="OUF1534"/>
      <c r="OUG1534"/>
      <c r="OUH1534"/>
      <c r="OUI1534"/>
      <c r="OUJ1534"/>
      <c r="OUK1534"/>
      <c r="OUL1534"/>
      <c r="OUM1534"/>
      <c r="OUN1534"/>
      <c r="OUO1534"/>
      <c r="OUP1534"/>
      <c r="OUQ1534"/>
      <c r="OUR1534"/>
      <c r="OUS1534"/>
      <c r="OUT1534"/>
      <c r="OUU1534"/>
      <c r="OUV1534"/>
      <c r="OUW1534"/>
      <c r="OUX1534"/>
      <c r="OUY1534"/>
      <c r="OUZ1534"/>
      <c r="OVA1534"/>
      <c r="OVB1534"/>
      <c r="OVC1534"/>
      <c r="OVD1534"/>
      <c r="OVE1534"/>
      <c r="OVF1534"/>
      <c r="OVG1534"/>
      <c r="OVH1534"/>
      <c r="OVI1534"/>
      <c r="OVJ1534"/>
      <c r="OVK1534"/>
      <c r="OVL1534"/>
      <c r="OVM1534"/>
      <c r="OVN1534"/>
      <c r="OVO1534"/>
      <c r="OVP1534"/>
      <c r="OVQ1534"/>
      <c r="OVR1534"/>
      <c r="OVS1534"/>
      <c r="OVT1534"/>
      <c r="OVU1534"/>
      <c r="OVV1534"/>
      <c r="OVW1534"/>
      <c r="OVX1534"/>
      <c r="OVY1534"/>
      <c r="OVZ1534"/>
      <c r="OWA1534"/>
      <c r="OWB1534"/>
      <c r="OWC1534"/>
      <c r="OWD1534"/>
      <c r="OWE1534"/>
      <c r="OWF1534"/>
      <c r="OWG1534"/>
      <c r="OWH1534"/>
      <c r="OWI1534"/>
      <c r="OWJ1534"/>
      <c r="OWK1534"/>
      <c r="OWL1534"/>
      <c r="OWM1534"/>
      <c r="OWN1534"/>
      <c r="OWO1534"/>
      <c r="OWP1534"/>
      <c r="OWQ1534"/>
      <c r="OWR1534"/>
      <c r="OWS1534"/>
      <c r="OWT1534"/>
      <c r="OWU1534"/>
      <c r="OWV1534"/>
      <c r="OWW1534"/>
      <c r="OWX1534"/>
      <c r="OWY1534"/>
      <c r="OWZ1534"/>
      <c r="OXA1534"/>
      <c r="OXB1534"/>
      <c r="OXC1534"/>
      <c r="OXD1534"/>
      <c r="OXE1534"/>
      <c r="OXF1534"/>
      <c r="OXG1534"/>
      <c r="OXH1534"/>
      <c r="OXI1534"/>
      <c r="OXJ1534"/>
      <c r="OXK1534"/>
      <c r="OXL1534"/>
      <c r="OXM1534"/>
      <c r="OXN1534"/>
      <c r="OXO1534"/>
      <c r="OXP1534"/>
      <c r="OXQ1534"/>
      <c r="OXR1534"/>
      <c r="OXS1534"/>
      <c r="OXT1534"/>
      <c r="OXU1534"/>
      <c r="OXV1534"/>
      <c r="OXW1534"/>
      <c r="OXX1534"/>
      <c r="OXY1534"/>
      <c r="OXZ1534"/>
      <c r="OYA1534"/>
      <c r="OYB1534"/>
      <c r="OYC1534"/>
      <c r="OYD1534"/>
      <c r="OYE1534"/>
      <c r="OYF1534"/>
      <c r="OYG1534"/>
      <c r="OYH1534"/>
      <c r="OYI1534"/>
      <c r="OYJ1534"/>
      <c r="OYK1534"/>
      <c r="OYL1534"/>
      <c r="OYM1534"/>
      <c r="OYN1534"/>
      <c r="OYO1534"/>
      <c r="OYP1534"/>
      <c r="OYQ1534"/>
      <c r="OYR1534"/>
      <c r="OYS1534"/>
      <c r="OYT1534"/>
      <c r="OYU1534"/>
      <c r="OYV1534"/>
      <c r="OYW1534"/>
      <c r="OYX1534"/>
      <c r="OYY1534"/>
      <c r="OYZ1534"/>
      <c r="OZA1534"/>
      <c r="OZB1534"/>
      <c r="OZC1534"/>
      <c r="OZD1534"/>
      <c r="OZE1534"/>
      <c r="OZF1534"/>
      <c r="OZG1534"/>
      <c r="OZH1534"/>
      <c r="OZI1534"/>
      <c r="OZJ1534"/>
      <c r="OZK1534"/>
      <c r="OZL1534"/>
      <c r="OZM1534"/>
      <c r="OZN1534"/>
      <c r="OZO1534"/>
      <c r="OZP1534"/>
      <c r="OZQ1534"/>
      <c r="OZR1534"/>
      <c r="OZS1534"/>
      <c r="OZT1534"/>
      <c r="OZU1534"/>
      <c r="OZV1534"/>
      <c r="OZW1534"/>
      <c r="OZX1534"/>
      <c r="OZY1534"/>
      <c r="OZZ1534"/>
      <c r="PAA1534"/>
      <c r="PAB1534"/>
      <c r="PAC1534"/>
      <c r="PAD1534"/>
      <c r="PAE1534"/>
      <c r="PAF1534"/>
      <c r="PAG1534"/>
      <c r="PAH1534"/>
      <c r="PAI1534"/>
      <c r="PAJ1534"/>
      <c r="PAK1534"/>
      <c r="PAL1534"/>
      <c r="PAM1534"/>
      <c r="PAN1534"/>
      <c r="PAO1534"/>
      <c r="PAP1534"/>
      <c r="PAQ1534"/>
      <c r="PAR1534"/>
      <c r="PAS1534"/>
      <c r="PAT1534"/>
      <c r="PAU1534"/>
      <c r="PAV1534"/>
      <c r="PAW1534"/>
      <c r="PAX1534"/>
      <c r="PAY1534"/>
      <c r="PAZ1534"/>
      <c r="PBA1534"/>
      <c r="PBB1534"/>
      <c r="PBC1534"/>
      <c r="PBD1534"/>
      <c r="PBE1534"/>
      <c r="PBF1534"/>
      <c r="PBG1534"/>
      <c r="PBH1534"/>
      <c r="PBI1534"/>
      <c r="PBJ1534"/>
      <c r="PBK1534"/>
      <c r="PBL1534"/>
      <c r="PBM1534"/>
      <c r="PBN1534"/>
      <c r="PBO1534"/>
      <c r="PBP1534"/>
      <c r="PBQ1534"/>
      <c r="PBR1534"/>
      <c r="PBS1534"/>
      <c r="PBT1534"/>
      <c r="PBU1534"/>
      <c r="PBV1534"/>
      <c r="PBW1534"/>
      <c r="PBX1534"/>
      <c r="PBY1534"/>
      <c r="PBZ1534"/>
      <c r="PCA1534"/>
      <c r="PCB1534"/>
      <c r="PCC1534"/>
      <c r="PCD1534"/>
      <c r="PCE1534"/>
      <c r="PCF1534"/>
      <c r="PCG1534"/>
      <c r="PCH1534"/>
      <c r="PCI1534"/>
      <c r="PCJ1534"/>
      <c r="PCK1534"/>
      <c r="PCL1534"/>
      <c r="PCM1534"/>
      <c r="PCN1534"/>
      <c r="PCO1534"/>
      <c r="PCP1534"/>
      <c r="PCQ1534"/>
      <c r="PCR1534"/>
      <c r="PCS1534"/>
      <c r="PCT1534"/>
      <c r="PCU1534"/>
      <c r="PCV1534"/>
      <c r="PCW1534"/>
      <c r="PCX1534"/>
      <c r="PCY1534"/>
      <c r="PCZ1534"/>
      <c r="PDA1534"/>
      <c r="PDB1534"/>
      <c r="PDC1534"/>
      <c r="PDD1534"/>
      <c r="PDE1534"/>
      <c r="PDF1534"/>
      <c r="PDG1534"/>
      <c r="PDH1534"/>
      <c r="PDI1534"/>
      <c r="PDJ1534"/>
      <c r="PDK1534"/>
      <c r="PDL1534"/>
      <c r="PDM1534"/>
      <c r="PDN1534"/>
      <c r="PDO1534"/>
      <c r="PDP1534"/>
      <c r="PDQ1534"/>
      <c r="PDR1534"/>
      <c r="PDS1534"/>
      <c r="PDT1534"/>
      <c r="PDU1534"/>
      <c r="PDV1534"/>
      <c r="PDW1534"/>
      <c r="PDX1534"/>
      <c r="PDY1534"/>
      <c r="PDZ1534"/>
      <c r="PEA1534"/>
      <c r="PEB1534"/>
      <c r="PEC1534"/>
      <c r="PED1534"/>
      <c r="PEE1534"/>
      <c r="PEF1534"/>
      <c r="PEG1534"/>
      <c r="PEH1534"/>
      <c r="PEI1534"/>
      <c r="PEJ1534"/>
      <c r="PEK1534"/>
      <c r="PEL1534"/>
      <c r="PEM1534"/>
      <c r="PEN1534"/>
      <c r="PEO1534"/>
      <c r="PEP1534"/>
      <c r="PEQ1534"/>
      <c r="PER1534"/>
      <c r="PES1534"/>
      <c r="PET1534"/>
      <c r="PEU1534"/>
      <c r="PEV1534"/>
      <c r="PEW1534"/>
      <c r="PEX1534"/>
      <c r="PEY1534"/>
      <c r="PEZ1534"/>
      <c r="PFA1534"/>
      <c r="PFB1534"/>
      <c r="PFC1534"/>
      <c r="PFD1534"/>
      <c r="PFE1534"/>
      <c r="PFF1534"/>
      <c r="PFG1534"/>
      <c r="PFH1534"/>
      <c r="PFI1534"/>
      <c r="PFJ1534"/>
      <c r="PFK1534"/>
      <c r="PFL1534"/>
      <c r="PFM1534"/>
      <c r="PFN1534"/>
      <c r="PFO1534"/>
      <c r="PFP1534"/>
      <c r="PFQ1534"/>
      <c r="PFR1534"/>
      <c r="PFS1534"/>
      <c r="PFT1534"/>
      <c r="PFU1534"/>
      <c r="PFV1534"/>
      <c r="PFW1534"/>
      <c r="PFX1534"/>
      <c r="PFY1534"/>
      <c r="PFZ1534"/>
      <c r="PGA1534"/>
      <c r="PGB1534"/>
      <c r="PGC1534"/>
      <c r="PGD1534"/>
      <c r="PGE1534"/>
      <c r="PGF1534"/>
      <c r="PGG1534"/>
      <c r="PGH1534"/>
      <c r="PGI1534"/>
      <c r="PGJ1534"/>
      <c r="PGK1534"/>
      <c r="PGL1534"/>
      <c r="PGM1534"/>
      <c r="PGN1534"/>
      <c r="PGO1534"/>
      <c r="PGP1534"/>
      <c r="PGQ1534"/>
      <c r="PGR1534"/>
      <c r="PGS1534"/>
      <c r="PGT1534"/>
      <c r="PGU1534"/>
      <c r="PGV1534"/>
      <c r="PGW1534"/>
      <c r="PGX1534"/>
      <c r="PGY1534"/>
      <c r="PGZ1534"/>
      <c r="PHA1534"/>
      <c r="PHB1534"/>
      <c r="PHC1534"/>
      <c r="PHD1534"/>
      <c r="PHE1534"/>
      <c r="PHF1534"/>
      <c r="PHG1534"/>
      <c r="PHH1534"/>
      <c r="PHI1534"/>
      <c r="PHJ1534"/>
      <c r="PHK1534"/>
      <c r="PHL1534"/>
      <c r="PHM1534"/>
      <c r="PHN1534"/>
      <c r="PHO1534"/>
      <c r="PHP1534"/>
      <c r="PHQ1534"/>
      <c r="PHR1534"/>
      <c r="PHS1534"/>
      <c r="PHT1534"/>
      <c r="PHU1534"/>
      <c r="PHV1534"/>
      <c r="PHW1534"/>
      <c r="PHX1534"/>
      <c r="PHY1534"/>
      <c r="PHZ1534"/>
      <c r="PIA1534"/>
      <c r="PIB1534"/>
      <c r="PIC1534"/>
      <c r="PID1534"/>
      <c r="PIE1534"/>
      <c r="PIF1534"/>
      <c r="PIG1534"/>
      <c r="PIH1534"/>
      <c r="PII1534"/>
      <c r="PIJ1534"/>
      <c r="PIK1534"/>
      <c r="PIL1534"/>
      <c r="PIM1534"/>
      <c r="PIN1534"/>
      <c r="PIO1534"/>
      <c r="PIP1534"/>
      <c r="PIQ1534"/>
      <c r="PIR1534"/>
      <c r="PIS1534"/>
      <c r="PIT1534"/>
      <c r="PIU1534"/>
      <c r="PIV1534"/>
      <c r="PIW1534"/>
      <c r="PIX1534"/>
      <c r="PIY1534"/>
      <c r="PIZ1534"/>
      <c r="PJA1534"/>
      <c r="PJB1534"/>
      <c r="PJC1534"/>
      <c r="PJD1534"/>
      <c r="PJE1534"/>
      <c r="PJF1534"/>
      <c r="PJG1534"/>
      <c r="PJH1534"/>
      <c r="PJI1534"/>
      <c r="PJJ1534"/>
      <c r="PJK1534"/>
      <c r="PJL1534"/>
      <c r="PJM1534"/>
      <c r="PJN1534"/>
      <c r="PJO1534"/>
      <c r="PJP1534"/>
      <c r="PJQ1534"/>
      <c r="PJR1534"/>
      <c r="PJS1534"/>
      <c r="PJT1534"/>
      <c r="PJU1534"/>
      <c r="PJV1534"/>
      <c r="PJW1534"/>
      <c r="PJX1534"/>
      <c r="PJY1534"/>
      <c r="PJZ1534"/>
      <c r="PKA1534"/>
      <c r="PKB1534"/>
      <c r="PKC1534"/>
      <c r="PKD1534"/>
      <c r="PKE1534"/>
      <c r="PKF1534"/>
      <c r="PKG1534"/>
      <c r="PKH1534"/>
      <c r="PKI1534"/>
      <c r="PKJ1534"/>
      <c r="PKK1534"/>
      <c r="PKL1534"/>
      <c r="PKM1534"/>
      <c r="PKN1534"/>
      <c r="PKO1534"/>
      <c r="PKP1534"/>
      <c r="PKQ1534"/>
      <c r="PKR1534"/>
      <c r="PKS1534"/>
      <c r="PKT1534"/>
      <c r="PKU1534"/>
      <c r="PKV1534"/>
      <c r="PKW1534"/>
      <c r="PKX1534"/>
      <c r="PKY1534"/>
      <c r="PKZ1534"/>
      <c r="PLA1534"/>
      <c r="PLB1534"/>
      <c r="PLC1534"/>
      <c r="PLD1534"/>
      <c r="PLE1534"/>
      <c r="PLF1534"/>
      <c r="PLG1534"/>
      <c r="PLH1534"/>
      <c r="PLI1534"/>
      <c r="PLJ1534"/>
      <c r="PLK1534"/>
      <c r="PLL1534"/>
      <c r="PLM1534"/>
      <c r="PLN1534"/>
      <c r="PLO1534"/>
      <c r="PLP1534"/>
      <c r="PLQ1534"/>
      <c r="PLR1534"/>
      <c r="PLS1534"/>
      <c r="PLT1534"/>
      <c r="PLU1534"/>
      <c r="PLV1534"/>
      <c r="PLW1534"/>
      <c r="PLX1534"/>
      <c r="PLY1534"/>
      <c r="PLZ1534"/>
      <c r="PMA1534"/>
      <c r="PMB1534"/>
      <c r="PMC1534"/>
      <c r="PMD1534"/>
      <c r="PME1534"/>
      <c r="PMF1534"/>
      <c r="PMG1534"/>
      <c r="PMH1534"/>
      <c r="PMI1534"/>
      <c r="PMJ1534"/>
      <c r="PMK1534"/>
      <c r="PML1534"/>
      <c r="PMM1534"/>
      <c r="PMN1534"/>
      <c r="PMO1534"/>
      <c r="PMP1534"/>
      <c r="PMQ1534"/>
      <c r="PMR1534"/>
      <c r="PMS1534"/>
      <c r="PMT1534"/>
      <c r="PMU1534"/>
      <c r="PMV1534"/>
      <c r="PMW1534"/>
      <c r="PMX1534"/>
      <c r="PMY1534"/>
      <c r="PMZ1534"/>
      <c r="PNA1534"/>
      <c r="PNB1534"/>
      <c r="PNC1534"/>
      <c r="PND1534"/>
      <c r="PNE1534"/>
      <c r="PNF1534"/>
      <c r="PNG1534"/>
      <c r="PNH1534"/>
      <c r="PNI1534"/>
      <c r="PNJ1534"/>
      <c r="PNK1534"/>
      <c r="PNL1534"/>
      <c r="PNM1534"/>
      <c r="PNN1534"/>
      <c r="PNO1534"/>
      <c r="PNP1534"/>
      <c r="PNQ1534"/>
      <c r="PNR1534"/>
      <c r="PNS1534"/>
      <c r="PNT1534"/>
      <c r="PNU1534"/>
      <c r="PNV1534"/>
      <c r="PNW1534"/>
      <c r="PNX1534"/>
      <c r="PNY1534"/>
      <c r="PNZ1534"/>
      <c r="POA1534"/>
      <c r="POB1534"/>
      <c r="POC1534"/>
      <c r="POD1534"/>
      <c r="POE1534"/>
      <c r="POF1534"/>
      <c r="POG1534"/>
      <c r="POH1534"/>
      <c r="POI1534"/>
      <c r="POJ1534"/>
      <c r="POK1534"/>
      <c r="POL1534"/>
      <c r="POM1534"/>
      <c r="PON1534"/>
      <c r="POO1534"/>
      <c r="POP1534"/>
      <c r="POQ1534"/>
      <c r="POR1534"/>
      <c r="POS1534"/>
      <c r="POT1534"/>
      <c r="POU1534"/>
      <c r="POV1534"/>
      <c r="POW1534"/>
      <c r="POX1534"/>
      <c r="POY1534"/>
      <c r="POZ1534"/>
      <c r="PPA1534"/>
      <c r="PPB1534"/>
      <c r="PPC1534"/>
      <c r="PPD1534"/>
      <c r="PPE1534"/>
      <c r="PPF1534"/>
      <c r="PPG1534"/>
      <c r="PPH1534"/>
      <c r="PPI1534"/>
      <c r="PPJ1534"/>
      <c r="PPK1534"/>
      <c r="PPL1534"/>
      <c r="PPM1534"/>
      <c r="PPN1534"/>
      <c r="PPO1534"/>
      <c r="PPP1534"/>
      <c r="PPQ1534"/>
      <c r="PPR1534"/>
      <c r="PPS1534"/>
      <c r="PPT1534"/>
      <c r="PPU1534"/>
      <c r="PPV1534"/>
      <c r="PPW1534"/>
      <c r="PPX1534"/>
      <c r="PPY1534"/>
      <c r="PPZ1534"/>
      <c r="PQA1534"/>
      <c r="PQB1534"/>
      <c r="PQC1534"/>
      <c r="PQD1534"/>
      <c r="PQE1534"/>
      <c r="PQF1534"/>
      <c r="PQG1534"/>
      <c r="PQH1534"/>
      <c r="PQI1534"/>
      <c r="PQJ1534"/>
      <c r="PQK1534"/>
      <c r="PQL1534"/>
      <c r="PQM1534"/>
      <c r="PQN1534"/>
      <c r="PQO1534"/>
      <c r="PQP1534"/>
      <c r="PQQ1534"/>
      <c r="PQR1534"/>
      <c r="PQS1534"/>
      <c r="PQT1534"/>
      <c r="PQU1534"/>
      <c r="PQV1534"/>
      <c r="PQW1534"/>
      <c r="PQX1534"/>
      <c r="PQY1534"/>
      <c r="PQZ1534"/>
      <c r="PRA1534"/>
      <c r="PRB1534"/>
      <c r="PRC1534"/>
      <c r="PRD1534"/>
      <c r="PRE1534"/>
      <c r="PRF1534"/>
      <c r="PRG1534"/>
      <c r="PRH1534"/>
      <c r="PRI1534"/>
      <c r="PRJ1534"/>
      <c r="PRK1534"/>
      <c r="PRL1534"/>
      <c r="PRM1534"/>
      <c r="PRN1534"/>
      <c r="PRO1534"/>
      <c r="PRP1534"/>
      <c r="PRQ1534"/>
      <c r="PRR1534"/>
      <c r="PRS1534"/>
      <c r="PRT1534"/>
      <c r="PRU1534"/>
      <c r="PRV1534"/>
      <c r="PRW1534"/>
      <c r="PRX1534"/>
      <c r="PRY1534"/>
      <c r="PRZ1534"/>
      <c r="PSA1534"/>
      <c r="PSB1534"/>
      <c r="PSC1534"/>
      <c r="PSD1534"/>
      <c r="PSE1534"/>
      <c r="PSF1534"/>
      <c r="PSG1534"/>
      <c r="PSH1534"/>
      <c r="PSI1534"/>
      <c r="PSJ1534"/>
      <c r="PSK1534"/>
      <c r="PSL1534"/>
      <c r="PSM1534"/>
      <c r="PSN1534"/>
      <c r="PSO1534"/>
      <c r="PSP1534"/>
      <c r="PSQ1534"/>
      <c r="PSR1534"/>
      <c r="PSS1534"/>
      <c r="PST1534"/>
      <c r="PSU1534"/>
      <c r="PSV1534"/>
      <c r="PSW1534"/>
      <c r="PSX1534"/>
      <c r="PSY1534"/>
      <c r="PSZ1534"/>
      <c r="PTA1534"/>
      <c r="PTB1534"/>
      <c r="PTC1534"/>
      <c r="PTD1534"/>
      <c r="PTE1534"/>
      <c r="PTF1534"/>
      <c r="PTG1534"/>
      <c r="PTH1534"/>
      <c r="PTI1534"/>
      <c r="PTJ1534"/>
      <c r="PTK1534"/>
      <c r="PTL1534"/>
      <c r="PTM1534"/>
      <c r="PTN1534"/>
      <c r="PTO1534"/>
      <c r="PTP1534"/>
      <c r="PTQ1534"/>
      <c r="PTR1534"/>
      <c r="PTS1534"/>
      <c r="PTT1534"/>
      <c r="PTU1534"/>
      <c r="PTV1534"/>
      <c r="PTW1534"/>
      <c r="PTX1534"/>
      <c r="PTY1534"/>
      <c r="PTZ1534"/>
      <c r="PUA1534"/>
      <c r="PUB1534"/>
      <c r="PUC1534"/>
      <c r="PUD1534"/>
      <c r="PUE1534"/>
      <c r="PUF1534"/>
      <c r="PUG1534"/>
      <c r="PUH1534"/>
      <c r="PUI1534"/>
      <c r="PUJ1534"/>
      <c r="PUK1534"/>
      <c r="PUL1534"/>
      <c r="PUM1534"/>
      <c r="PUN1534"/>
      <c r="PUO1534"/>
      <c r="PUP1534"/>
      <c r="PUQ1534"/>
      <c r="PUR1534"/>
      <c r="PUS1534"/>
      <c r="PUT1534"/>
      <c r="PUU1534"/>
      <c r="PUV1534"/>
      <c r="PUW1534"/>
      <c r="PUX1534"/>
      <c r="PUY1534"/>
      <c r="PUZ1534"/>
      <c r="PVA1534"/>
      <c r="PVB1534"/>
      <c r="PVC1534"/>
      <c r="PVD1534"/>
      <c r="PVE1534"/>
      <c r="PVF1534"/>
      <c r="PVG1534"/>
      <c r="PVH1534"/>
      <c r="PVI1534"/>
      <c r="PVJ1534"/>
      <c r="PVK1534"/>
      <c r="PVL1534"/>
      <c r="PVM1534"/>
      <c r="PVN1534"/>
      <c r="PVO1534"/>
      <c r="PVP1534"/>
      <c r="PVQ1534"/>
      <c r="PVR1534"/>
      <c r="PVS1534"/>
      <c r="PVT1534"/>
      <c r="PVU1534"/>
      <c r="PVV1534"/>
      <c r="PVW1534"/>
      <c r="PVX1534"/>
      <c r="PVY1534"/>
      <c r="PVZ1534"/>
      <c r="PWA1534"/>
      <c r="PWB1534"/>
      <c r="PWC1534"/>
      <c r="PWD1534"/>
      <c r="PWE1534"/>
      <c r="PWF1534"/>
      <c r="PWG1534"/>
      <c r="PWH1534"/>
      <c r="PWI1534"/>
      <c r="PWJ1534"/>
      <c r="PWK1534"/>
      <c r="PWL1534"/>
      <c r="PWM1534"/>
      <c r="PWN1534"/>
      <c r="PWO1534"/>
      <c r="PWP1534"/>
      <c r="PWQ1534"/>
      <c r="PWR1534"/>
      <c r="PWS1534"/>
      <c r="PWT1534"/>
      <c r="PWU1534"/>
      <c r="PWV1534"/>
      <c r="PWW1534"/>
      <c r="PWX1534"/>
      <c r="PWY1534"/>
      <c r="PWZ1534"/>
      <c r="PXA1534"/>
      <c r="PXB1534"/>
      <c r="PXC1534"/>
      <c r="PXD1534"/>
      <c r="PXE1534"/>
      <c r="PXF1534"/>
      <c r="PXG1534"/>
      <c r="PXH1534"/>
      <c r="PXI1534"/>
      <c r="PXJ1534"/>
      <c r="PXK1534"/>
      <c r="PXL1534"/>
      <c r="PXM1534"/>
      <c r="PXN1534"/>
      <c r="PXO1534"/>
      <c r="PXP1534"/>
      <c r="PXQ1534"/>
      <c r="PXR1534"/>
      <c r="PXS1534"/>
      <c r="PXT1534"/>
      <c r="PXU1534"/>
      <c r="PXV1534"/>
      <c r="PXW1534"/>
      <c r="PXX1534"/>
      <c r="PXY1534"/>
      <c r="PXZ1534"/>
      <c r="PYA1534"/>
      <c r="PYB1534"/>
      <c r="PYC1534"/>
      <c r="PYD1534"/>
      <c r="PYE1534"/>
      <c r="PYF1534"/>
      <c r="PYG1534"/>
      <c r="PYH1534"/>
      <c r="PYI1534"/>
      <c r="PYJ1534"/>
      <c r="PYK1534"/>
      <c r="PYL1534"/>
      <c r="PYM1534"/>
      <c r="PYN1534"/>
      <c r="PYO1534"/>
      <c r="PYP1534"/>
      <c r="PYQ1534"/>
      <c r="PYR1534"/>
      <c r="PYS1534"/>
      <c r="PYT1534"/>
      <c r="PYU1534"/>
      <c r="PYV1534"/>
      <c r="PYW1534"/>
      <c r="PYX1534"/>
      <c r="PYY1534"/>
      <c r="PYZ1534"/>
      <c r="PZA1534"/>
      <c r="PZB1534"/>
      <c r="PZC1534"/>
      <c r="PZD1534"/>
      <c r="PZE1534"/>
      <c r="PZF1534"/>
      <c r="PZG1534"/>
      <c r="PZH1534"/>
      <c r="PZI1534"/>
      <c r="PZJ1534"/>
      <c r="PZK1534"/>
      <c r="PZL1534"/>
      <c r="PZM1534"/>
      <c r="PZN1534"/>
      <c r="PZO1534"/>
      <c r="PZP1534"/>
      <c r="PZQ1534"/>
      <c r="PZR1534"/>
      <c r="PZS1534"/>
      <c r="PZT1534"/>
      <c r="PZU1534"/>
      <c r="PZV1534"/>
      <c r="PZW1534"/>
      <c r="PZX1534"/>
      <c r="PZY1534"/>
      <c r="PZZ1534"/>
      <c r="QAA1534"/>
      <c r="QAB1534"/>
      <c r="QAC1534"/>
      <c r="QAD1534"/>
      <c r="QAE1534"/>
      <c r="QAF1534"/>
      <c r="QAG1534"/>
      <c r="QAH1534"/>
      <c r="QAI1534"/>
      <c r="QAJ1534"/>
      <c r="QAK1534"/>
      <c r="QAL1534"/>
      <c r="QAM1534"/>
      <c r="QAN1534"/>
      <c r="QAO1534"/>
      <c r="QAP1534"/>
      <c r="QAQ1534"/>
      <c r="QAR1534"/>
      <c r="QAS1534"/>
      <c r="QAT1534"/>
      <c r="QAU1534"/>
      <c r="QAV1534"/>
      <c r="QAW1534"/>
      <c r="QAX1534"/>
      <c r="QAY1534"/>
      <c r="QAZ1534"/>
      <c r="QBA1534"/>
      <c r="QBB1534"/>
      <c r="QBC1534"/>
      <c r="QBD1534"/>
      <c r="QBE1534"/>
      <c r="QBF1534"/>
      <c r="QBG1534"/>
      <c r="QBH1534"/>
      <c r="QBI1534"/>
      <c r="QBJ1534"/>
      <c r="QBK1534"/>
      <c r="QBL1534"/>
      <c r="QBM1534"/>
      <c r="QBN1534"/>
      <c r="QBO1534"/>
      <c r="QBP1534"/>
      <c r="QBQ1534"/>
      <c r="QBR1534"/>
      <c r="QBS1534"/>
      <c r="QBT1534"/>
      <c r="QBU1534"/>
      <c r="QBV1534"/>
      <c r="QBW1534"/>
      <c r="QBX1534"/>
      <c r="QBY1534"/>
      <c r="QBZ1534"/>
      <c r="QCA1534"/>
      <c r="QCB1534"/>
      <c r="QCC1534"/>
      <c r="QCD1534"/>
      <c r="QCE1534"/>
      <c r="QCF1534"/>
      <c r="QCG1534"/>
      <c r="QCH1534"/>
      <c r="QCI1534"/>
      <c r="QCJ1534"/>
      <c r="QCK1534"/>
      <c r="QCL1534"/>
      <c r="QCM1534"/>
      <c r="QCN1534"/>
      <c r="QCO1534"/>
      <c r="QCP1534"/>
      <c r="QCQ1534"/>
      <c r="QCR1534"/>
      <c r="QCS1534"/>
      <c r="QCT1534"/>
      <c r="QCU1534"/>
      <c r="QCV1534"/>
      <c r="QCW1534"/>
      <c r="QCX1534"/>
      <c r="QCY1534"/>
      <c r="QCZ1534"/>
      <c r="QDA1534"/>
      <c r="QDB1534"/>
      <c r="QDC1534"/>
      <c r="QDD1534"/>
      <c r="QDE1534"/>
      <c r="QDF1534"/>
      <c r="QDG1534"/>
      <c r="QDH1534"/>
      <c r="QDI1534"/>
      <c r="QDJ1534"/>
      <c r="QDK1534"/>
      <c r="QDL1534"/>
      <c r="QDM1534"/>
      <c r="QDN1534"/>
      <c r="QDO1534"/>
      <c r="QDP1534"/>
      <c r="QDQ1534"/>
      <c r="QDR1534"/>
      <c r="QDS1534"/>
      <c r="QDT1534"/>
      <c r="QDU1534"/>
      <c r="QDV1534"/>
      <c r="QDW1534"/>
      <c r="QDX1534"/>
      <c r="QDY1534"/>
      <c r="QDZ1534"/>
      <c r="QEA1534"/>
      <c r="QEB1534"/>
      <c r="QEC1534"/>
      <c r="QED1534"/>
      <c r="QEE1534"/>
      <c r="QEF1534"/>
      <c r="QEG1534"/>
      <c r="QEH1534"/>
      <c r="QEI1534"/>
      <c r="QEJ1534"/>
      <c r="QEK1534"/>
      <c r="QEL1534"/>
      <c r="QEM1534"/>
      <c r="QEN1534"/>
      <c r="QEO1534"/>
      <c r="QEP1534"/>
      <c r="QEQ1534"/>
      <c r="QER1534"/>
      <c r="QES1534"/>
      <c r="QET1534"/>
      <c r="QEU1534"/>
      <c r="QEV1534"/>
      <c r="QEW1534"/>
      <c r="QEX1534"/>
      <c r="QEY1534"/>
      <c r="QEZ1534"/>
      <c r="QFA1534"/>
      <c r="QFB1534"/>
      <c r="QFC1534"/>
      <c r="QFD1534"/>
      <c r="QFE1534"/>
      <c r="QFF1534"/>
      <c r="QFG1534"/>
      <c r="QFH1534"/>
      <c r="QFI1534"/>
      <c r="QFJ1534"/>
      <c r="QFK1534"/>
      <c r="QFL1534"/>
      <c r="QFM1534"/>
      <c r="QFN1534"/>
      <c r="QFO1534"/>
      <c r="QFP1534"/>
      <c r="QFQ1534"/>
      <c r="QFR1534"/>
      <c r="QFS1534"/>
      <c r="QFT1534"/>
      <c r="QFU1534"/>
      <c r="QFV1534"/>
      <c r="QFW1534"/>
      <c r="QFX1534"/>
      <c r="QFY1534"/>
      <c r="QFZ1534"/>
      <c r="QGA1534"/>
      <c r="QGB1534"/>
      <c r="QGC1534"/>
      <c r="QGD1534"/>
      <c r="QGE1534"/>
      <c r="QGF1534"/>
      <c r="QGG1534"/>
      <c r="QGH1534"/>
      <c r="QGI1534"/>
      <c r="QGJ1534"/>
      <c r="QGK1534"/>
      <c r="QGL1534"/>
      <c r="QGM1534"/>
      <c r="QGN1534"/>
      <c r="QGO1534"/>
      <c r="QGP1534"/>
      <c r="QGQ1534"/>
      <c r="QGR1534"/>
      <c r="QGS1534"/>
      <c r="QGT1534"/>
      <c r="QGU1534"/>
      <c r="QGV1534"/>
      <c r="QGW1534"/>
      <c r="QGX1534"/>
      <c r="QGY1534"/>
      <c r="QGZ1534"/>
      <c r="QHA1534"/>
      <c r="QHB1534"/>
      <c r="QHC1534"/>
      <c r="QHD1534"/>
      <c r="QHE1534"/>
      <c r="QHF1534"/>
      <c r="QHG1534"/>
      <c r="QHH1534"/>
      <c r="QHI1534"/>
      <c r="QHJ1534"/>
      <c r="QHK1534"/>
      <c r="QHL1534"/>
      <c r="QHM1534"/>
      <c r="QHN1534"/>
      <c r="QHO1534"/>
      <c r="QHP1534"/>
      <c r="QHQ1534"/>
      <c r="QHR1534"/>
      <c r="QHS1534"/>
      <c r="QHT1534"/>
      <c r="QHU1534"/>
      <c r="QHV1534"/>
      <c r="QHW1534"/>
      <c r="QHX1534"/>
      <c r="QHY1534"/>
      <c r="QHZ1534"/>
      <c r="QIA1534"/>
      <c r="QIB1534"/>
      <c r="QIC1534"/>
      <c r="QID1534"/>
      <c r="QIE1534"/>
      <c r="QIF1534"/>
      <c r="QIG1534"/>
      <c r="QIH1534"/>
      <c r="QII1534"/>
      <c r="QIJ1534"/>
      <c r="QIK1534"/>
      <c r="QIL1534"/>
      <c r="QIM1534"/>
      <c r="QIN1534"/>
      <c r="QIO1534"/>
      <c r="QIP1534"/>
      <c r="QIQ1534"/>
      <c r="QIR1534"/>
      <c r="QIS1534"/>
      <c r="QIT1534"/>
      <c r="QIU1534"/>
      <c r="QIV1534"/>
      <c r="QIW1534"/>
      <c r="QIX1534"/>
      <c r="QIY1534"/>
      <c r="QIZ1534"/>
      <c r="QJA1534"/>
      <c r="QJB1534"/>
      <c r="QJC1534"/>
      <c r="QJD1534"/>
      <c r="QJE1534"/>
      <c r="QJF1534"/>
      <c r="QJG1534"/>
      <c r="QJH1534"/>
      <c r="QJI1534"/>
      <c r="QJJ1534"/>
      <c r="QJK1534"/>
      <c r="QJL1534"/>
      <c r="QJM1534"/>
      <c r="QJN1534"/>
      <c r="QJO1534"/>
      <c r="QJP1534"/>
      <c r="QJQ1534"/>
      <c r="QJR1534"/>
      <c r="QJS1534"/>
      <c r="QJT1534"/>
      <c r="QJU1534"/>
      <c r="QJV1534"/>
      <c r="QJW1534"/>
      <c r="QJX1534"/>
      <c r="QJY1534"/>
      <c r="QJZ1534"/>
      <c r="QKA1534"/>
      <c r="QKB1534"/>
      <c r="QKC1534"/>
      <c r="QKD1534"/>
      <c r="QKE1534"/>
      <c r="QKF1534"/>
      <c r="QKG1534"/>
      <c r="QKH1534"/>
      <c r="QKI1534"/>
      <c r="QKJ1534"/>
      <c r="QKK1534"/>
      <c r="QKL1534"/>
      <c r="QKM1534"/>
      <c r="QKN1534"/>
      <c r="QKO1534"/>
      <c r="QKP1534"/>
      <c r="QKQ1534"/>
      <c r="QKR1534"/>
      <c r="QKS1534"/>
      <c r="QKT1534"/>
      <c r="QKU1534"/>
      <c r="QKV1534"/>
      <c r="QKW1534"/>
      <c r="QKX1534"/>
      <c r="QKY1534"/>
      <c r="QKZ1534"/>
      <c r="QLA1534"/>
      <c r="QLB1534"/>
      <c r="QLC1534"/>
      <c r="QLD1534"/>
      <c r="QLE1534"/>
      <c r="QLF1534"/>
      <c r="QLG1534"/>
      <c r="QLH1534"/>
      <c r="QLI1534"/>
      <c r="QLJ1534"/>
      <c r="QLK1534"/>
      <c r="QLL1534"/>
      <c r="QLM1534"/>
      <c r="QLN1534"/>
      <c r="QLO1534"/>
      <c r="QLP1534"/>
      <c r="QLQ1534"/>
      <c r="QLR1534"/>
      <c r="QLS1534"/>
      <c r="QLT1534"/>
      <c r="QLU1534"/>
      <c r="QLV1534"/>
      <c r="QLW1534"/>
      <c r="QLX1534"/>
      <c r="QLY1534"/>
      <c r="QLZ1534"/>
      <c r="QMA1534"/>
      <c r="QMB1534"/>
      <c r="QMC1534"/>
      <c r="QMD1534"/>
      <c r="QME1534"/>
      <c r="QMF1534"/>
      <c r="QMG1534"/>
      <c r="QMH1534"/>
      <c r="QMI1534"/>
      <c r="QMJ1534"/>
      <c r="QMK1534"/>
      <c r="QML1534"/>
      <c r="QMM1534"/>
      <c r="QMN1534"/>
      <c r="QMO1534"/>
      <c r="QMP1534"/>
      <c r="QMQ1534"/>
      <c r="QMR1534"/>
      <c r="QMS1534"/>
      <c r="QMT1534"/>
      <c r="QMU1534"/>
      <c r="QMV1534"/>
      <c r="QMW1534"/>
      <c r="QMX1534"/>
      <c r="QMY1534"/>
      <c r="QMZ1534"/>
      <c r="QNA1534"/>
      <c r="QNB1534"/>
      <c r="QNC1534"/>
      <c r="QND1534"/>
      <c r="QNE1534"/>
      <c r="QNF1534"/>
      <c r="QNG1534"/>
      <c r="QNH1534"/>
      <c r="QNI1534"/>
      <c r="QNJ1534"/>
      <c r="QNK1534"/>
      <c r="QNL1534"/>
      <c r="QNM1534"/>
      <c r="QNN1534"/>
      <c r="QNO1534"/>
      <c r="QNP1534"/>
      <c r="QNQ1534"/>
      <c r="QNR1534"/>
      <c r="QNS1534"/>
      <c r="QNT1534"/>
      <c r="QNU1534"/>
      <c r="QNV1534"/>
      <c r="QNW1534"/>
      <c r="QNX1534"/>
      <c r="QNY1534"/>
      <c r="QNZ1534"/>
      <c r="QOA1534"/>
      <c r="QOB1534"/>
      <c r="QOC1534"/>
      <c r="QOD1534"/>
      <c r="QOE1534"/>
      <c r="QOF1534"/>
      <c r="QOG1534"/>
      <c r="QOH1534"/>
      <c r="QOI1534"/>
      <c r="QOJ1534"/>
      <c r="QOK1534"/>
      <c r="QOL1534"/>
      <c r="QOM1534"/>
      <c r="QON1534"/>
      <c r="QOO1534"/>
      <c r="QOP1534"/>
      <c r="QOQ1534"/>
      <c r="QOR1534"/>
      <c r="QOS1534"/>
      <c r="QOT1534"/>
      <c r="QOU1534"/>
      <c r="QOV1534"/>
      <c r="QOW1534"/>
      <c r="QOX1534"/>
      <c r="QOY1534"/>
      <c r="QOZ1534"/>
      <c r="QPA1534"/>
      <c r="QPB1534"/>
      <c r="QPC1534"/>
      <c r="QPD1534"/>
      <c r="QPE1534"/>
      <c r="QPF1534"/>
      <c r="QPG1534"/>
      <c r="QPH1534"/>
      <c r="QPI1534"/>
      <c r="QPJ1534"/>
      <c r="QPK1534"/>
      <c r="QPL1534"/>
      <c r="QPM1534"/>
      <c r="QPN1534"/>
      <c r="QPO1534"/>
      <c r="QPP1534"/>
      <c r="QPQ1534"/>
      <c r="QPR1534"/>
      <c r="QPS1534"/>
      <c r="QPT1534"/>
      <c r="QPU1534"/>
      <c r="QPV1534"/>
      <c r="QPW1534"/>
      <c r="QPX1534"/>
      <c r="QPY1534"/>
      <c r="QPZ1534"/>
      <c r="QQA1534"/>
      <c r="QQB1534"/>
      <c r="QQC1534"/>
      <c r="QQD1534"/>
      <c r="QQE1534"/>
      <c r="QQF1534"/>
      <c r="QQG1534"/>
      <c r="QQH1534"/>
      <c r="QQI1534"/>
      <c r="QQJ1534"/>
      <c r="QQK1534"/>
      <c r="QQL1534"/>
      <c r="QQM1534"/>
      <c r="QQN1534"/>
      <c r="QQO1534"/>
      <c r="QQP1534"/>
      <c r="QQQ1534"/>
      <c r="QQR1534"/>
      <c r="QQS1534"/>
      <c r="QQT1534"/>
      <c r="QQU1534"/>
      <c r="QQV1534"/>
      <c r="QQW1534"/>
      <c r="QQX1534"/>
      <c r="QQY1534"/>
      <c r="QQZ1534"/>
      <c r="QRA1534"/>
      <c r="QRB1534"/>
      <c r="QRC1534"/>
      <c r="QRD1534"/>
      <c r="QRE1534"/>
      <c r="QRF1534"/>
      <c r="QRG1534"/>
      <c r="QRH1534"/>
      <c r="QRI1534"/>
      <c r="QRJ1534"/>
      <c r="QRK1534"/>
      <c r="QRL1534"/>
      <c r="QRM1534"/>
      <c r="QRN1534"/>
      <c r="QRO1534"/>
      <c r="QRP1534"/>
      <c r="QRQ1534"/>
      <c r="QRR1534"/>
      <c r="QRS1534"/>
      <c r="QRT1534"/>
      <c r="QRU1534"/>
      <c r="QRV1534"/>
      <c r="QRW1534"/>
      <c r="QRX1534"/>
      <c r="QRY1534"/>
      <c r="QRZ1534"/>
      <c r="QSA1534"/>
      <c r="QSB1534"/>
      <c r="QSC1534"/>
      <c r="QSD1534"/>
      <c r="QSE1534"/>
      <c r="QSF1534"/>
      <c r="QSG1534"/>
      <c r="QSH1534"/>
      <c r="QSI1534"/>
      <c r="QSJ1534"/>
      <c r="QSK1534"/>
      <c r="QSL1534"/>
      <c r="QSM1534"/>
      <c r="QSN1534"/>
      <c r="QSO1534"/>
      <c r="QSP1534"/>
      <c r="QSQ1534"/>
      <c r="QSR1534"/>
      <c r="QSS1534"/>
      <c r="QST1534"/>
      <c r="QSU1534"/>
      <c r="QSV1534"/>
      <c r="QSW1534"/>
      <c r="QSX1534"/>
      <c r="QSY1534"/>
      <c r="QSZ1534"/>
      <c r="QTA1534"/>
      <c r="QTB1534"/>
      <c r="QTC1534"/>
      <c r="QTD1534"/>
      <c r="QTE1534"/>
      <c r="QTF1534"/>
      <c r="QTG1534"/>
      <c r="QTH1534"/>
      <c r="QTI1534"/>
      <c r="QTJ1534"/>
      <c r="QTK1534"/>
      <c r="QTL1534"/>
      <c r="QTM1534"/>
      <c r="QTN1534"/>
      <c r="QTO1534"/>
      <c r="QTP1534"/>
      <c r="QTQ1534"/>
      <c r="QTR1534"/>
      <c r="QTS1534"/>
      <c r="QTT1534"/>
      <c r="QTU1534"/>
      <c r="QTV1534"/>
      <c r="QTW1534"/>
      <c r="QTX1534"/>
      <c r="QTY1534"/>
      <c r="QTZ1534"/>
      <c r="QUA1534"/>
      <c r="QUB1534"/>
      <c r="QUC1534"/>
      <c r="QUD1534"/>
      <c r="QUE1534"/>
      <c r="QUF1534"/>
      <c r="QUG1534"/>
      <c r="QUH1534"/>
      <c r="QUI1534"/>
      <c r="QUJ1534"/>
      <c r="QUK1534"/>
      <c r="QUL1534"/>
      <c r="QUM1534"/>
      <c r="QUN1534"/>
      <c r="QUO1534"/>
      <c r="QUP1534"/>
      <c r="QUQ1534"/>
      <c r="QUR1534"/>
      <c r="QUS1534"/>
      <c r="QUT1534"/>
      <c r="QUU1534"/>
      <c r="QUV1534"/>
      <c r="QUW1534"/>
      <c r="QUX1534"/>
      <c r="QUY1534"/>
      <c r="QUZ1534"/>
      <c r="QVA1534"/>
      <c r="QVB1534"/>
      <c r="QVC1534"/>
      <c r="QVD1534"/>
      <c r="QVE1534"/>
      <c r="QVF1534"/>
      <c r="QVG1534"/>
      <c r="QVH1534"/>
      <c r="QVI1534"/>
      <c r="QVJ1534"/>
      <c r="QVK1534"/>
      <c r="QVL1534"/>
      <c r="QVM1534"/>
      <c r="QVN1534"/>
      <c r="QVO1534"/>
      <c r="QVP1534"/>
      <c r="QVQ1534"/>
      <c r="QVR1534"/>
      <c r="QVS1534"/>
      <c r="QVT1534"/>
      <c r="QVU1534"/>
      <c r="QVV1534"/>
      <c r="QVW1534"/>
      <c r="QVX1534"/>
      <c r="QVY1534"/>
      <c r="QVZ1534"/>
      <c r="QWA1534"/>
      <c r="QWB1534"/>
      <c r="QWC1534"/>
      <c r="QWD1534"/>
      <c r="QWE1534"/>
      <c r="QWF1534"/>
      <c r="QWG1534"/>
      <c r="QWH1534"/>
      <c r="QWI1534"/>
      <c r="QWJ1534"/>
      <c r="QWK1534"/>
      <c r="QWL1534"/>
      <c r="QWM1534"/>
      <c r="QWN1534"/>
      <c r="QWO1534"/>
      <c r="QWP1534"/>
      <c r="QWQ1534"/>
      <c r="QWR1534"/>
      <c r="QWS1534"/>
      <c r="QWT1534"/>
      <c r="QWU1534"/>
      <c r="QWV1534"/>
      <c r="QWW1534"/>
      <c r="QWX1534"/>
      <c r="QWY1534"/>
      <c r="QWZ1534"/>
      <c r="QXA1534"/>
      <c r="QXB1534"/>
      <c r="QXC1534"/>
      <c r="QXD1534"/>
      <c r="QXE1534"/>
      <c r="QXF1534"/>
      <c r="QXG1534"/>
      <c r="QXH1534"/>
      <c r="QXI1534"/>
      <c r="QXJ1534"/>
      <c r="QXK1534"/>
      <c r="QXL1534"/>
      <c r="QXM1534"/>
      <c r="QXN1534"/>
      <c r="QXO1534"/>
      <c r="QXP1534"/>
      <c r="QXQ1534"/>
      <c r="QXR1534"/>
      <c r="QXS1534"/>
      <c r="QXT1534"/>
      <c r="QXU1534"/>
      <c r="QXV1534"/>
      <c r="QXW1534"/>
      <c r="QXX1534"/>
      <c r="QXY1534"/>
      <c r="QXZ1534"/>
      <c r="QYA1534"/>
      <c r="QYB1534"/>
      <c r="QYC1534"/>
      <c r="QYD1534"/>
      <c r="QYE1534"/>
      <c r="QYF1534"/>
      <c r="QYG1534"/>
      <c r="QYH1534"/>
      <c r="QYI1534"/>
      <c r="QYJ1534"/>
      <c r="QYK1534"/>
      <c r="QYL1534"/>
      <c r="QYM1534"/>
      <c r="QYN1534"/>
      <c r="QYO1534"/>
      <c r="QYP1534"/>
      <c r="QYQ1534"/>
      <c r="QYR1534"/>
      <c r="QYS1534"/>
      <c r="QYT1534"/>
      <c r="QYU1534"/>
      <c r="QYV1534"/>
      <c r="QYW1534"/>
      <c r="QYX1534"/>
      <c r="QYY1534"/>
      <c r="QYZ1534"/>
      <c r="QZA1534"/>
      <c r="QZB1534"/>
      <c r="QZC1534"/>
      <c r="QZD1534"/>
      <c r="QZE1534"/>
      <c r="QZF1534"/>
      <c r="QZG1534"/>
      <c r="QZH1534"/>
      <c r="QZI1534"/>
      <c r="QZJ1534"/>
      <c r="QZK1534"/>
      <c r="QZL1534"/>
      <c r="QZM1534"/>
      <c r="QZN1534"/>
      <c r="QZO1534"/>
      <c r="QZP1534"/>
      <c r="QZQ1534"/>
      <c r="QZR1534"/>
      <c r="QZS1534"/>
      <c r="QZT1534"/>
      <c r="QZU1534"/>
      <c r="QZV1534"/>
      <c r="QZW1534"/>
      <c r="QZX1534"/>
      <c r="QZY1534"/>
      <c r="QZZ1534"/>
      <c r="RAA1534"/>
      <c r="RAB1534"/>
      <c r="RAC1534"/>
      <c r="RAD1534"/>
      <c r="RAE1534"/>
      <c r="RAF1534"/>
      <c r="RAG1534"/>
      <c r="RAH1534"/>
      <c r="RAI1534"/>
      <c r="RAJ1534"/>
      <c r="RAK1534"/>
      <c r="RAL1534"/>
      <c r="RAM1534"/>
      <c r="RAN1534"/>
      <c r="RAO1534"/>
      <c r="RAP1534"/>
      <c r="RAQ1534"/>
      <c r="RAR1534"/>
      <c r="RAS1534"/>
      <c r="RAT1534"/>
      <c r="RAU1534"/>
      <c r="RAV1534"/>
      <c r="RAW1534"/>
      <c r="RAX1534"/>
      <c r="RAY1534"/>
      <c r="RAZ1534"/>
      <c r="RBA1534"/>
      <c r="RBB1534"/>
      <c r="RBC1534"/>
      <c r="RBD1534"/>
      <c r="RBE1534"/>
      <c r="RBF1534"/>
      <c r="RBG1534"/>
      <c r="RBH1534"/>
      <c r="RBI1534"/>
      <c r="RBJ1534"/>
      <c r="RBK1534"/>
      <c r="RBL1534"/>
      <c r="RBM1534"/>
      <c r="RBN1534"/>
      <c r="RBO1534"/>
      <c r="RBP1534"/>
      <c r="RBQ1534"/>
      <c r="RBR1534"/>
      <c r="RBS1534"/>
      <c r="RBT1534"/>
      <c r="RBU1534"/>
      <c r="RBV1534"/>
      <c r="RBW1534"/>
      <c r="RBX1534"/>
      <c r="RBY1534"/>
      <c r="RBZ1534"/>
      <c r="RCA1534"/>
      <c r="RCB1534"/>
      <c r="RCC1534"/>
      <c r="RCD1534"/>
      <c r="RCE1534"/>
      <c r="RCF1534"/>
      <c r="RCG1534"/>
      <c r="RCH1534"/>
      <c r="RCI1534"/>
      <c r="RCJ1534"/>
      <c r="RCK1534"/>
      <c r="RCL1534"/>
      <c r="RCM1534"/>
      <c r="RCN1534"/>
      <c r="RCO1534"/>
      <c r="RCP1534"/>
      <c r="RCQ1534"/>
      <c r="RCR1534"/>
      <c r="RCS1534"/>
      <c r="RCT1534"/>
      <c r="RCU1534"/>
      <c r="RCV1534"/>
      <c r="RCW1534"/>
      <c r="RCX1534"/>
      <c r="RCY1534"/>
      <c r="RCZ1534"/>
      <c r="RDA1534"/>
      <c r="RDB1534"/>
      <c r="RDC1534"/>
      <c r="RDD1534"/>
      <c r="RDE1534"/>
      <c r="RDF1534"/>
      <c r="RDG1534"/>
      <c r="RDH1534"/>
      <c r="RDI1534"/>
      <c r="RDJ1534"/>
      <c r="RDK1534"/>
      <c r="RDL1534"/>
      <c r="RDM1534"/>
      <c r="RDN1534"/>
      <c r="RDO1534"/>
      <c r="RDP1534"/>
      <c r="RDQ1534"/>
      <c r="RDR1534"/>
      <c r="RDS1534"/>
      <c r="RDT1534"/>
      <c r="RDU1534"/>
      <c r="RDV1534"/>
      <c r="RDW1534"/>
      <c r="RDX1534"/>
      <c r="RDY1534"/>
      <c r="RDZ1534"/>
      <c r="REA1534"/>
      <c r="REB1534"/>
      <c r="REC1534"/>
      <c r="RED1534"/>
      <c r="REE1534"/>
      <c r="REF1534"/>
      <c r="REG1534"/>
      <c r="REH1534"/>
      <c r="REI1534"/>
      <c r="REJ1534"/>
      <c r="REK1534"/>
      <c r="REL1534"/>
      <c r="REM1534"/>
      <c r="REN1534"/>
      <c r="REO1534"/>
      <c r="REP1534"/>
      <c r="REQ1534"/>
      <c r="RER1534"/>
      <c r="RES1534"/>
      <c r="RET1534"/>
      <c r="REU1534"/>
      <c r="REV1534"/>
      <c r="REW1534"/>
      <c r="REX1534"/>
      <c r="REY1534"/>
      <c r="REZ1534"/>
      <c r="RFA1534"/>
      <c r="RFB1534"/>
      <c r="RFC1534"/>
      <c r="RFD1534"/>
      <c r="RFE1534"/>
      <c r="RFF1534"/>
      <c r="RFG1534"/>
      <c r="RFH1534"/>
      <c r="RFI1534"/>
      <c r="RFJ1534"/>
      <c r="RFK1534"/>
      <c r="RFL1534"/>
      <c r="RFM1534"/>
      <c r="RFN1534"/>
      <c r="RFO1534"/>
      <c r="RFP1534"/>
      <c r="RFQ1534"/>
      <c r="RFR1534"/>
      <c r="RFS1534"/>
      <c r="RFT1534"/>
      <c r="RFU1534"/>
      <c r="RFV1534"/>
      <c r="RFW1534"/>
      <c r="RFX1534"/>
      <c r="RFY1534"/>
      <c r="RFZ1534"/>
      <c r="RGA1534"/>
      <c r="RGB1534"/>
      <c r="RGC1534"/>
      <c r="RGD1534"/>
      <c r="RGE1534"/>
      <c r="RGF1534"/>
      <c r="RGG1534"/>
      <c r="RGH1534"/>
      <c r="RGI1534"/>
      <c r="RGJ1534"/>
      <c r="RGK1534"/>
      <c r="RGL1534"/>
      <c r="RGM1534"/>
      <c r="RGN1534"/>
      <c r="RGO1534"/>
      <c r="RGP1534"/>
      <c r="RGQ1534"/>
      <c r="RGR1534"/>
      <c r="RGS1534"/>
      <c r="RGT1534"/>
      <c r="RGU1534"/>
      <c r="RGV1534"/>
      <c r="RGW1534"/>
      <c r="RGX1534"/>
      <c r="RGY1534"/>
      <c r="RGZ1534"/>
      <c r="RHA1534"/>
      <c r="RHB1534"/>
      <c r="RHC1534"/>
      <c r="RHD1534"/>
      <c r="RHE1534"/>
      <c r="RHF1534"/>
      <c r="RHG1534"/>
      <c r="RHH1534"/>
      <c r="RHI1534"/>
      <c r="RHJ1534"/>
      <c r="RHK1534"/>
      <c r="RHL1534"/>
      <c r="RHM1534"/>
      <c r="RHN1534"/>
      <c r="RHO1534"/>
      <c r="RHP1534"/>
      <c r="RHQ1534"/>
      <c r="RHR1534"/>
      <c r="RHS1534"/>
      <c r="RHT1534"/>
      <c r="RHU1534"/>
      <c r="RHV1534"/>
      <c r="RHW1534"/>
      <c r="RHX1534"/>
      <c r="RHY1534"/>
      <c r="RHZ1534"/>
      <c r="RIA1534"/>
      <c r="RIB1534"/>
      <c r="RIC1534"/>
      <c r="RID1534"/>
      <c r="RIE1534"/>
      <c r="RIF1534"/>
      <c r="RIG1534"/>
      <c r="RIH1534"/>
      <c r="RII1534"/>
      <c r="RIJ1534"/>
      <c r="RIK1534"/>
      <c r="RIL1534"/>
      <c r="RIM1534"/>
      <c r="RIN1534"/>
      <c r="RIO1534"/>
      <c r="RIP1534"/>
      <c r="RIQ1534"/>
      <c r="RIR1534"/>
      <c r="RIS1534"/>
      <c r="RIT1534"/>
      <c r="RIU1534"/>
      <c r="RIV1534"/>
      <c r="RIW1534"/>
      <c r="RIX1534"/>
      <c r="RIY1534"/>
      <c r="RIZ1534"/>
      <c r="RJA1534"/>
      <c r="RJB1534"/>
      <c r="RJC1534"/>
      <c r="RJD1534"/>
      <c r="RJE1534"/>
      <c r="RJF1534"/>
      <c r="RJG1534"/>
      <c r="RJH1534"/>
      <c r="RJI1534"/>
      <c r="RJJ1534"/>
      <c r="RJK1534"/>
      <c r="RJL1534"/>
      <c r="RJM1534"/>
      <c r="RJN1534"/>
      <c r="RJO1534"/>
      <c r="RJP1534"/>
      <c r="RJQ1534"/>
      <c r="RJR1534"/>
      <c r="RJS1534"/>
      <c r="RJT1534"/>
      <c r="RJU1534"/>
      <c r="RJV1534"/>
      <c r="RJW1534"/>
      <c r="RJX1534"/>
      <c r="RJY1534"/>
      <c r="RJZ1534"/>
      <c r="RKA1534"/>
      <c r="RKB1534"/>
      <c r="RKC1534"/>
      <c r="RKD1534"/>
      <c r="RKE1534"/>
      <c r="RKF1534"/>
      <c r="RKG1534"/>
      <c r="RKH1534"/>
      <c r="RKI1534"/>
      <c r="RKJ1534"/>
      <c r="RKK1534"/>
      <c r="RKL1534"/>
      <c r="RKM1534"/>
      <c r="RKN1534"/>
      <c r="RKO1534"/>
      <c r="RKP1534"/>
      <c r="RKQ1534"/>
      <c r="RKR1534"/>
      <c r="RKS1534"/>
      <c r="RKT1534"/>
      <c r="RKU1534"/>
      <c r="RKV1534"/>
      <c r="RKW1534"/>
      <c r="RKX1534"/>
      <c r="RKY1534"/>
      <c r="RKZ1534"/>
      <c r="RLA1534"/>
      <c r="RLB1534"/>
      <c r="RLC1534"/>
      <c r="RLD1534"/>
      <c r="RLE1534"/>
      <c r="RLF1534"/>
      <c r="RLG1534"/>
      <c r="RLH1534"/>
      <c r="RLI1534"/>
      <c r="RLJ1534"/>
      <c r="RLK1534"/>
      <c r="RLL1534"/>
      <c r="RLM1534"/>
      <c r="RLN1534"/>
      <c r="RLO1534"/>
      <c r="RLP1534"/>
      <c r="RLQ1534"/>
      <c r="RLR1534"/>
      <c r="RLS1534"/>
      <c r="RLT1534"/>
      <c r="RLU1534"/>
      <c r="RLV1534"/>
      <c r="RLW1534"/>
      <c r="RLX1534"/>
      <c r="RLY1534"/>
      <c r="RLZ1534"/>
      <c r="RMA1534"/>
      <c r="RMB1534"/>
      <c r="RMC1534"/>
      <c r="RMD1534"/>
      <c r="RME1534"/>
      <c r="RMF1534"/>
      <c r="RMG1534"/>
      <c r="RMH1534"/>
      <c r="RMI1534"/>
      <c r="RMJ1534"/>
      <c r="RMK1534"/>
      <c r="RML1534"/>
      <c r="RMM1534"/>
      <c r="RMN1534"/>
      <c r="RMO1534"/>
      <c r="RMP1534"/>
      <c r="RMQ1534"/>
      <c r="RMR1534"/>
      <c r="RMS1534"/>
      <c r="RMT1534"/>
      <c r="RMU1534"/>
      <c r="RMV1534"/>
      <c r="RMW1534"/>
      <c r="RMX1534"/>
      <c r="RMY1534"/>
      <c r="RMZ1534"/>
      <c r="RNA1534"/>
      <c r="RNB1534"/>
      <c r="RNC1534"/>
      <c r="RND1534"/>
      <c r="RNE1534"/>
      <c r="RNF1534"/>
      <c r="RNG1534"/>
      <c r="RNH1534"/>
      <c r="RNI1534"/>
      <c r="RNJ1534"/>
      <c r="RNK1534"/>
      <c r="RNL1534"/>
      <c r="RNM1534"/>
      <c r="RNN1534"/>
      <c r="RNO1534"/>
      <c r="RNP1534"/>
      <c r="RNQ1534"/>
      <c r="RNR1534"/>
      <c r="RNS1534"/>
      <c r="RNT1534"/>
      <c r="RNU1534"/>
      <c r="RNV1534"/>
      <c r="RNW1534"/>
      <c r="RNX1534"/>
      <c r="RNY1534"/>
      <c r="RNZ1534"/>
      <c r="ROA1534"/>
      <c r="ROB1534"/>
      <c r="ROC1534"/>
      <c r="ROD1534"/>
      <c r="ROE1534"/>
      <c r="ROF1534"/>
      <c r="ROG1534"/>
      <c r="ROH1534"/>
      <c r="ROI1534"/>
      <c r="ROJ1534"/>
      <c r="ROK1534"/>
      <c r="ROL1534"/>
      <c r="ROM1534"/>
      <c r="RON1534"/>
      <c r="ROO1534"/>
      <c r="ROP1534"/>
      <c r="ROQ1534"/>
      <c r="ROR1534"/>
      <c r="ROS1534"/>
      <c r="ROT1534"/>
      <c r="ROU1534"/>
      <c r="ROV1534"/>
      <c r="ROW1534"/>
      <c r="ROX1534"/>
      <c r="ROY1534"/>
      <c r="ROZ1534"/>
      <c r="RPA1534"/>
      <c r="RPB1534"/>
      <c r="RPC1534"/>
      <c r="RPD1534"/>
      <c r="RPE1534"/>
      <c r="RPF1534"/>
      <c r="RPG1534"/>
      <c r="RPH1534"/>
      <c r="RPI1534"/>
      <c r="RPJ1534"/>
      <c r="RPK1534"/>
      <c r="RPL1534"/>
      <c r="RPM1534"/>
      <c r="RPN1534"/>
      <c r="RPO1534"/>
      <c r="RPP1534"/>
      <c r="RPQ1534"/>
      <c r="RPR1534"/>
      <c r="RPS1534"/>
      <c r="RPT1534"/>
      <c r="RPU1534"/>
      <c r="RPV1534"/>
      <c r="RPW1534"/>
      <c r="RPX1534"/>
      <c r="RPY1534"/>
      <c r="RPZ1534"/>
      <c r="RQA1534"/>
      <c r="RQB1534"/>
      <c r="RQC1534"/>
      <c r="RQD1534"/>
      <c r="RQE1534"/>
      <c r="RQF1534"/>
      <c r="RQG1534"/>
      <c r="RQH1534"/>
      <c r="RQI1534"/>
      <c r="RQJ1534"/>
      <c r="RQK1534"/>
      <c r="RQL1534"/>
      <c r="RQM1534"/>
      <c r="RQN1534"/>
      <c r="RQO1534"/>
      <c r="RQP1534"/>
      <c r="RQQ1534"/>
      <c r="RQR1534"/>
      <c r="RQS1534"/>
      <c r="RQT1534"/>
      <c r="RQU1534"/>
      <c r="RQV1534"/>
      <c r="RQW1534"/>
      <c r="RQX1534"/>
      <c r="RQY1534"/>
      <c r="RQZ1534"/>
      <c r="RRA1534"/>
      <c r="RRB1534"/>
      <c r="RRC1534"/>
      <c r="RRD1534"/>
      <c r="RRE1534"/>
      <c r="RRF1534"/>
      <c r="RRG1534"/>
      <c r="RRH1534"/>
      <c r="RRI1534"/>
      <c r="RRJ1534"/>
      <c r="RRK1534"/>
      <c r="RRL1534"/>
      <c r="RRM1534"/>
      <c r="RRN1534"/>
      <c r="RRO1534"/>
      <c r="RRP1534"/>
      <c r="RRQ1534"/>
      <c r="RRR1534"/>
      <c r="RRS1534"/>
      <c r="RRT1534"/>
      <c r="RRU1534"/>
      <c r="RRV1534"/>
      <c r="RRW1534"/>
      <c r="RRX1534"/>
      <c r="RRY1534"/>
      <c r="RRZ1534"/>
      <c r="RSA1534"/>
      <c r="RSB1534"/>
      <c r="RSC1534"/>
      <c r="RSD1534"/>
      <c r="RSE1534"/>
      <c r="RSF1534"/>
      <c r="RSG1534"/>
      <c r="RSH1534"/>
      <c r="RSI1534"/>
      <c r="RSJ1534"/>
      <c r="RSK1534"/>
      <c r="RSL1534"/>
      <c r="RSM1534"/>
      <c r="RSN1534"/>
      <c r="RSO1534"/>
      <c r="RSP1534"/>
      <c r="RSQ1534"/>
      <c r="RSR1534"/>
      <c r="RSS1534"/>
      <c r="RST1534"/>
      <c r="RSU1534"/>
      <c r="RSV1534"/>
      <c r="RSW1534"/>
      <c r="RSX1534"/>
      <c r="RSY1534"/>
      <c r="RSZ1534"/>
      <c r="RTA1534"/>
      <c r="RTB1534"/>
      <c r="RTC1534"/>
      <c r="RTD1534"/>
      <c r="RTE1534"/>
      <c r="RTF1534"/>
      <c r="RTG1534"/>
      <c r="RTH1534"/>
      <c r="RTI1534"/>
      <c r="RTJ1534"/>
      <c r="RTK1534"/>
      <c r="RTL1534"/>
      <c r="RTM1534"/>
      <c r="RTN1534"/>
      <c r="RTO1534"/>
      <c r="RTP1534"/>
      <c r="RTQ1534"/>
      <c r="RTR1534"/>
      <c r="RTS1534"/>
      <c r="RTT1534"/>
      <c r="RTU1534"/>
      <c r="RTV1534"/>
      <c r="RTW1534"/>
      <c r="RTX1534"/>
      <c r="RTY1534"/>
      <c r="RTZ1534"/>
      <c r="RUA1534"/>
      <c r="RUB1534"/>
      <c r="RUC1534"/>
      <c r="RUD1534"/>
      <c r="RUE1534"/>
      <c r="RUF1534"/>
      <c r="RUG1534"/>
      <c r="RUH1534"/>
      <c r="RUI1534"/>
      <c r="RUJ1534"/>
      <c r="RUK1534"/>
      <c r="RUL1534"/>
      <c r="RUM1534"/>
      <c r="RUN1534"/>
      <c r="RUO1534"/>
      <c r="RUP1534"/>
      <c r="RUQ1534"/>
      <c r="RUR1534"/>
      <c r="RUS1534"/>
      <c r="RUT1534"/>
      <c r="RUU1534"/>
      <c r="RUV1534"/>
      <c r="RUW1534"/>
      <c r="RUX1534"/>
      <c r="RUY1534"/>
      <c r="RUZ1534"/>
      <c r="RVA1534"/>
      <c r="RVB1534"/>
      <c r="RVC1534"/>
      <c r="RVD1534"/>
      <c r="RVE1534"/>
      <c r="RVF1534"/>
      <c r="RVG1534"/>
      <c r="RVH1534"/>
      <c r="RVI1534"/>
      <c r="RVJ1534"/>
      <c r="RVK1534"/>
      <c r="RVL1534"/>
      <c r="RVM1534"/>
      <c r="RVN1534"/>
      <c r="RVO1534"/>
      <c r="RVP1534"/>
      <c r="RVQ1534"/>
      <c r="RVR1534"/>
      <c r="RVS1534"/>
      <c r="RVT1534"/>
      <c r="RVU1534"/>
      <c r="RVV1534"/>
      <c r="RVW1534"/>
      <c r="RVX1534"/>
      <c r="RVY1534"/>
      <c r="RVZ1534"/>
      <c r="RWA1534"/>
      <c r="RWB1534"/>
      <c r="RWC1534"/>
      <c r="RWD1534"/>
      <c r="RWE1534"/>
      <c r="RWF1534"/>
      <c r="RWG1534"/>
      <c r="RWH1534"/>
      <c r="RWI1534"/>
      <c r="RWJ1534"/>
      <c r="RWK1534"/>
      <c r="RWL1534"/>
      <c r="RWM1534"/>
      <c r="RWN1534"/>
      <c r="RWO1534"/>
      <c r="RWP1534"/>
      <c r="RWQ1534"/>
      <c r="RWR1534"/>
      <c r="RWS1534"/>
      <c r="RWT1534"/>
      <c r="RWU1534"/>
      <c r="RWV1534"/>
      <c r="RWW1534"/>
      <c r="RWX1534"/>
      <c r="RWY1534"/>
      <c r="RWZ1534"/>
      <c r="RXA1534"/>
      <c r="RXB1534"/>
      <c r="RXC1534"/>
      <c r="RXD1534"/>
      <c r="RXE1534"/>
      <c r="RXF1534"/>
      <c r="RXG1534"/>
      <c r="RXH1534"/>
      <c r="RXI1534"/>
      <c r="RXJ1534"/>
      <c r="RXK1534"/>
      <c r="RXL1534"/>
      <c r="RXM1534"/>
      <c r="RXN1534"/>
      <c r="RXO1534"/>
      <c r="RXP1534"/>
      <c r="RXQ1534"/>
      <c r="RXR1534"/>
      <c r="RXS1534"/>
      <c r="RXT1534"/>
      <c r="RXU1534"/>
      <c r="RXV1534"/>
      <c r="RXW1534"/>
      <c r="RXX1534"/>
      <c r="RXY1534"/>
      <c r="RXZ1534"/>
      <c r="RYA1534"/>
      <c r="RYB1534"/>
      <c r="RYC1534"/>
      <c r="RYD1534"/>
      <c r="RYE1534"/>
      <c r="RYF1534"/>
      <c r="RYG1534"/>
      <c r="RYH1534"/>
      <c r="RYI1534"/>
      <c r="RYJ1534"/>
      <c r="RYK1534"/>
      <c r="RYL1534"/>
      <c r="RYM1534"/>
      <c r="RYN1534"/>
      <c r="RYO1534"/>
      <c r="RYP1534"/>
      <c r="RYQ1534"/>
      <c r="RYR1534"/>
      <c r="RYS1534"/>
      <c r="RYT1534"/>
      <c r="RYU1534"/>
      <c r="RYV1534"/>
      <c r="RYW1534"/>
      <c r="RYX1534"/>
      <c r="RYY1534"/>
      <c r="RYZ1534"/>
      <c r="RZA1534"/>
      <c r="RZB1534"/>
      <c r="RZC1534"/>
      <c r="RZD1534"/>
      <c r="RZE1534"/>
      <c r="RZF1534"/>
      <c r="RZG1534"/>
      <c r="RZH1534"/>
      <c r="RZI1534"/>
      <c r="RZJ1534"/>
      <c r="RZK1534"/>
      <c r="RZL1534"/>
      <c r="RZM1534"/>
      <c r="RZN1534"/>
      <c r="RZO1534"/>
      <c r="RZP1534"/>
      <c r="RZQ1534"/>
      <c r="RZR1534"/>
      <c r="RZS1534"/>
      <c r="RZT1534"/>
      <c r="RZU1534"/>
      <c r="RZV1534"/>
      <c r="RZW1534"/>
      <c r="RZX1534"/>
      <c r="RZY1534"/>
      <c r="RZZ1534"/>
      <c r="SAA1534"/>
      <c r="SAB1534"/>
      <c r="SAC1534"/>
      <c r="SAD1534"/>
      <c r="SAE1534"/>
      <c r="SAF1534"/>
      <c r="SAG1534"/>
      <c r="SAH1534"/>
      <c r="SAI1534"/>
      <c r="SAJ1534"/>
      <c r="SAK1534"/>
      <c r="SAL1534"/>
      <c r="SAM1534"/>
      <c r="SAN1534"/>
      <c r="SAO1534"/>
      <c r="SAP1534"/>
      <c r="SAQ1534"/>
      <c r="SAR1534"/>
      <c r="SAS1534"/>
      <c r="SAT1534"/>
      <c r="SAU1534"/>
      <c r="SAV1534"/>
      <c r="SAW1534"/>
      <c r="SAX1534"/>
      <c r="SAY1534"/>
      <c r="SAZ1534"/>
      <c r="SBA1534"/>
      <c r="SBB1534"/>
      <c r="SBC1534"/>
      <c r="SBD1534"/>
      <c r="SBE1534"/>
      <c r="SBF1534"/>
      <c r="SBG1534"/>
      <c r="SBH1534"/>
      <c r="SBI1534"/>
      <c r="SBJ1534"/>
      <c r="SBK1534"/>
      <c r="SBL1534"/>
      <c r="SBM1534"/>
      <c r="SBN1534"/>
      <c r="SBO1534"/>
      <c r="SBP1534"/>
      <c r="SBQ1534"/>
      <c r="SBR1534"/>
      <c r="SBS1534"/>
      <c r="SBT1534"/>
      <c r="SBU1534"/>
      <c r="SBV1534"/>
      <c r="SBW1534"/>
      <c r="SBX1534"/>
      <c r="SBY1534"/>
      <c r="SBZ1534"/>
      <c r="SCA1534"/>
      <c r="SCB1534"/>
      <c r="SCC1534"/>
      <c r="SCD1534"/>
      <c r="SCE1534"/>
      <c r="SCF1534"/>
      <c r="SCG1534"/>
      <c r="SCH1534"/>
      <c r="SCI1534"/>
      <c r="SCJ1534"/>
      <c r="SCK1534"/>
      <c r="SCL1534"/>
      <c r="SCM1534"/>
      <c r="SCN1534"/>
      <c r="SCO1534"/>
      <c r="SCP1534"/>
      <c r="SCQ1534"/>
      <c r="SCR1534"/>
      <c r="SCS1534"/>
      <c r="SCT1534"/>
      <c r="SCU1534"/>
      <c r="SCV1534"/>
      <c r="SCW1534"/>
      <c r="SCX1534"/>
      <c r="SCY1534"/>
      <c r="SCZ1534"/>
      <c r="SDA1534"/>
      <c r="SDB1534"/>
      <c r="SDC1534"/>
      <c r="SDD1534"/>
      <c r="SDE1534"/>
      <c r="SDF1534"/>
      <c r="SDG1534"/>
      <c r="SDH1534"/>
      <c r="SDI1534"/>
      <c r="SDJ1534"/>
      <c r="SDK1534"/>
      <c r="SDL1534"/>
      <c r="SDM1534"/>
      <c r="SDN1534"/>
      <c r="SDO1534"/>
      <c r="SDP1534"/>
      <c r="SDQ1534"/>
      <c r="SDR1534"/>
      <c r="SDS1534"/>
      <c r="SDT1534"/>
      <c r="SDU1534"/>
      <c r="SDV1534"/>
      <c r="SDW1534"/>
      <c r="SDX1534"/>
      <c r="SDY1534"/>
      <c r="SDZ1534"/>
      <c r="SEA1534"/>
      <c r="SEB1534"/>
      <c r="SEC1534"/>
      <c r="SED1534"/>
      <c r="SEE1534"/>
      <c r="SEF1534"/>
      <c r="SEG1534"/>
      <c r="SEH1534"/>
      <c r="SEI1534"/>
      <c r="SEJ1534"/>
      <c r="SEK1534"/>
      <c r="SEL1534"/>
      <c r="SEM1534"/>
      <c r="SEN1534"/>
      <c r="SEO1534"/>
      <c r="SEP1534"/>
      <c r="SEQ1534"/>
      <c r="SER1534"/>
      <c r="SES1534"/>
      <c r="SET1534"/>
      <c r="SEU1534"/>
      <c r="SEV1534"/>
      <c r="SEW1534"/>
      <c r="SEX1534"/>
      <c r="SEY1534"/>
      <c r="SEZ1534"/>
      <c r="SFA1534"/>
      <c r="SFB1534"/>
      <c r="SFC1534"/>
      <c r="SFD1534"/>
      <c r="SFE1534"/>
      <c r="SFF1534"/>
      <c r="SFG1534"/>
      <c r="SFH1534"/>
      <c r="SFI1534"/>
      <c r="SFJ1534"/>
      <c r="SFK1534"/>
      <c r="SFL1534"/>
      <c r="SFM1534"/>
      <c r="SFN1534"/>
      <c r="SFO1534"/>
      <c r="SFP1534"/>
      <c r="SFQ1534"/>
      <c r="SFR1534"/>
      <c r="SFS1534"/>
      <c r="SFT1534"/>
      <c r="SFU1534"/>
      <c r="SFV1534"/>
      <c r="SFW1534"/>
      <c r="SFX1534"/>
      <c r="SFY1534"/>
      <c r="SFZ1534"/>
      <c r="SGA1534"/>
      <c r="SGB1534"/>
      <c r="SGC1534"/>
      <c r="SGD1534"/>
      <c r="SGE1534"/>
      <c r="SGF1534"/>
      <c r="SGG1534"/>
      <c r="SGH1534"/>
      <c r="SGI1534"/>
      <c r="SGJ1534"/>
      <c r="SGK1534"/>
      <c r="SGL1534"/>
      <c r="SGM1534"/>
      <c r="SGN1534"/>
      <c r="SGO1534"/>
      <c r="SGP1534"/>
      <c r="SGQ1534"/>
      <c r="SGR1534"/>
      <c r="SGS1534"/>
      <c r="SGT1534"/>
      <c r="SGU1534"/>
      <c r="SGV1534"/>
      <c r="SGW1534"/>
      <c r="SGX1534"/>
      <c r="SGY1534"/>
      <c r="SGZ1534"/>
      <c r="SHA1534"/>
      <c r="SHB1534"/>
      <c r="SHC1534"/>
      <c r="SHD1534"/>
      <c r="SHE1534"/>
      <c r="SHF1534"/>
      <c r="SHG1534"/>
      <c r="SHH1534"/>
      <c r="SHI1534"/>
      <c r="SHJ1534"/>
      <c r="SHK1534"/>
      <c r="SHL1534"/>
      <c r="SHM1534"/>
      <c r="SHN1534"/>
      <c r="SHO1534"/>
      <c r="SHP1534"/>
      <c r="SHQ1534"/>
      <c r="SHR1534"/>
      <c r="SHS1534"/>
      <c r="SHT1534"/>
      <c r="SHU1534"/>
      <c r="SHV1534"/>
      <c r="SHW1534"/>
      <c r="SHX1534"/>
      <c r="SHY1534"/>
      <c r="SHZ1534"/>
      <c r="SIA1534"/>
      <c r="SIB1534"/>
      <c r="SIC1534"/>
      <c r="SID1534"/>
      <c r="SIE1534"/>
      <c r="SIF1534"/>
      <c r="SIG1534"/>
      <c r="SIH1534"/>
      <c r="SII1534"/>
      <c r="SIJ1534"/>
      <c r="SIK1534"/>
      <c r="SIL1534"/>
      <c r="SIM1534"/>
      <c r="SIN1534"/>
      <c r="SIO1534"/>
      <c r="SIP1534"/>
      <c r="SIQ1534"/>
      <c r="SIR1534"/>
      <c r="SIS1534"/>
      <c r="SIT1534"/>
      <c r="SIU1534"/>
      <c r="SIV1534"/>
      <c r="SIW1534"/>
      <c r="SIX1534"/>
      <c r="SIY1534"/>
      <c r="SIZ1534"/>
      <c r="SJA1534"/>
      <c r="SJB1534"/>
      <c r="SJC1534"/>
      <c r="SJD1534"/>
      <c r="SJE1534"/>
      <c r="SJF1534"/>
      <c r="SJG1534"/>
      <c r="SJH1534"/>
      <c r="SJI1534"/>
      <c r="SJJ1534"/>
      <c r="SJK1534"/>
      <c r="SJL1534"/>
      <c r="SJM1534"/>
      <c r="SJN1534"/>
      <c r="SJO1534"/>
      <c r="SJP1534"/>
      <c r="SJQ1534"/>
      <c r="SJR1534"/>
      <c r="SJS1534"/>
      <c r="SJT1534"/>
      <c r="SJU1534"/>
      <c r="SJV1534"/>
      <c r="SJW1534"/>
      <c r="SJX1534"/>
      <c r="SJY1534"/>
      <c r="SJZ1534"/>
      <c r="SKA1534"/>
      <c r="SKB1534"/>
      <c r="SKC1534"/>
      <c r="SKD1534"/>
      <c r="SKE1534"/>
      <c r="SKF1534"/>
      <c r="SKG1534"/>
      <c r="SKH1534"/>
      <c r="SKI1534"/>
      <c r="SKJ1534"/>
      <c r="SKK1534"/>
      <c r="SKL1534"/>
      <c r="SKM1534"/>
      <c r="SKN1534"/>
      <c r="SKO1534"/>
      <c r="SKP1534"/>
      <c r="SKQ1534"/>
      <c r="SKR1534"/>
      <c r="SKS1534"/>
      <c r="SKT1534"/>
      <c r="SKU1534"/>
      <c r="SKV1534"/>
      <c r="SKW1534"/>
      <c r="SKX1534"/>
      <c r="SKY1534"/>
      <c r="SKZ1534"/>
      <c r="SLA1534"/>
      <c r="SLB1534"/>
      <c r="SLC1534"/>
      <c r="SLD1534"/>
      <c r="SLE1534"/>
      <c r="SLF1534"/>
      <c r="SLG1534"/>
      <c r="SLH1534"/>
      <c r="SLI1534"/>
      <c r="SLJ1534"/>
      <c r="SLK1534"/>
      <c r="SLL1534"/>
      <c r="SLM1534"/>
      <c r="SLN1534"/>
      <c r="SLO1534"/>
      <c r="SLP1534"/>
      <c r="SLQ1534"/>
      <c r="SLR1534"/>
      <c r="SLS1534"/>
      <c r="SLT1534"/>
      <c r="SLU1534"/>
      <c r="SLV1534"/>
      <c r="SLW1534"/>
      <c r="SLX1534"/>
      <c r="SLY1534"/>
      <c r="SLZ1534"/>
      <c r="SMA1534"/>
      <c r="SMB1534"/>
      <c r="SMC1534"/>
      <c r="SMD1534"/>
      <c r="SME1534"/>
      <c r="SMF1534"/>
      <c r="SMG1534"/>
      <c r="SMH1534"/>
      <c r="SMI1534"/>
      <c r="SMJ1534"/>
      <c r="SMK1534"/>
      <c r="SML1534"/>
      <c r="SMM1534"/>
      <c r="SMN1534"/>
      <c r="SMO1534"/>
      <c r="SMP1534"/>
      <c r="SMQ1534"/>
      <c r="SMR1534"/>
      <c r="SMS1534"/>
      <c r="SMT1534"/>
      <c r="SMU1534"/>
      <c r="SMV1534"/>
      <c r="SMW1534"/>
      <c r="SMX1534"/>
      <c r="SMY1534"/>
      <c r="SMZ1534"/>
      <c r="SNA1534"/>
      <c r="SNB1534"/>
      <c r="SNC1534"/>
      <c r="SND1534"/>
      <c r="SNE1534"/>
      <c r="SNF1534"/>
      <c r="SNG1534"/>
      <c r="SNH1534"/>
      <c r="SNI1534"/>
      <c r="SNJ1534"/>
      <c r="SNK1534"/>
      <c r="SNL1534"/>
      <c r="SNM1534"/>
      <c r="SNN1534"/>
      <c r="SNO1534"/>
      <c r="SNP1534"/>
      <c r="SNQ1534"/>
      <c r="SNR1534"/>
      <c r="SNS1534"/>
      <c r="SNT1534"/>
      <c r="SNU1534"/>
      <c r="SNV1534"/>
      <c r="SNW1534"/>
      <c r="SNX1534"/>
      <c r="SNY1534"/>
      <c r="SNZ1534"/>
      <c r="SOA1534"/>
      <c r="SOB1534"/>
      <c r="SOC1534"/>
      <c r="SOD1534"/>
      <c r="SOE1534"/>
      <c r="SOF1534"/>
      <c r="SOG1534"/>
      <c r="SOH1534"/>
      <c r="SOI1534"/>
      <c r="SOJ1534"/>
      <c r="SOK1534"/>
      <c r="SOL1534"/>
      <c r="SOM1534"/>
      <c r="SON1534"/>
      <c r="SOO1534"/>
      <c r="SOP1534"/>
      <c r="SOQ1534"/>
      <c r="SOR1534"/>
      <c r="SOS1534"/>
      <c r="SOT1534"/>
      <c r="SOU1534"/>
      <c r="SOV1534"/>
      <c r="SOW1534"/>
      <c r="SOX1534"/>
      <c r="SOY1534"/>
      <c r="SOZ1534"/>
      <c r="SPA1534"/>
      <c r="SPB1534"/>
      <c r="SPC1534"/>
      <c r="SPD1534"/>
      <c r="SPE1534"/>
      <c r="SPF1534"/>
      <c r="SPG1534"/>
      <c r="SPH1534"/>
      <c r="SPI1534"/>
      <c r="SPJ1534"/>
      <c r="SPK1534"/>
      <c r="SPL1534"/>
      <c r="SPM1534"/>
      <c r="SPN1534"/>
      <c r="SPO1534"/>
      <c r="SPP1534"/>
      <c r="SPQ1534"/>
      <c r="SPR1534"/>
      <c r="SPS1534"/>
      <c r="SPT1534"/>
      <c r="SPU1534"/>
      <c r="SPV1534"/>
      <c r="SPW1534"/>
      <c r="SPX1534"/>
      <c r="SPY1534"/>
      <c r="SPZ1534"/>
      <c r="SQA1534"/>
      <c r="SQB1534"/>
      <c r="SQC1534"/>
      <c r="SQD1534"/>
      <c r="SQE1534"/>
      <c r="SQF1534"/>
      <c r="SQG1534"/>
      <c r="SQH1534"/>
      <c r="SQI1534"/>
      <c r="SQJ1534"/>
      <c r="SQK1534"/>
      <c r="SQL1534"/>
      <c r="SQM1534"/>
      <c r="SQN1534"/>
      <c r="SQO1534"/>
      <c r="SQP1534"/>
      <c r="SQQ1534"/>
      <c r="SQR1534"/>
      <c r="SQS1534"/>
      <c r="SQT1534"/>
      <c r="SQU1534"/>
      <c r="SQV1534"/>
      <c r="SQW1534"/>
      <c r="SQX1534"/>
      <c r="SQY1534"/>
      <c r="SQZ1534"/>
      <c r="SRA1534"/>
      <c r="SRB1534"/>
      <c r="SRC1534"/>
      <c r="SRD1534"/>
      <c r="SRE1534"/>
      <c r="SRF1534"/>
      <c r="SRG1534"/>
      <c r="SRH1534"/>
      <c r="SRI1534"/>
      <c r="SRJ1534"/>
      <c r="SRK1534"/>
      <c r="SRL1534"/>
      <c r="SRM1534"/>
      <c r="SRN1534"/>
      <c r="SRO1534"/>
      <c r="SRP1534"/>
      <c r="SRQ1534"/>
      <c r="SRR1534"/>
      <c r="SRS1534"/>
      <c r="SRT1534"/>
      <c r="SRU1534"/>
      <c r="SRV1534"/>
      <c r="SRW1534"/>
      <c r="SRX1534"/>
      <c r="SRY1534"/>
      <c r="SRZ1534"/>
      <c r="SSA1534"/>
      <c r="SSB1534"/>
      <c r="SSC1534"/>
      <c r="SSD1534"/>
      <c r="SSE1534"/>
      <c r="SSF1534"/>
      <c r="SSG1534"/>
      <c r="SSH1534"/>
      <c r="SSI1534"/>
      <c r="SSJ1534"/>
      <c r="SSK1534"/>
      <c r="SSL1534"/>
      <c r="SSM1534"/>
      <c r="SSN1534"/>
      <c r="SSO1534"/>
      <c r="SSP1534"/>
      <c r="SSQ1534"/>
      <c r="SSR1534"/>
      <c r="SSS1534"/>
      <c r="SST1534"/>
      <c r="SSU1534"/>
      <c r="SSV1534"/>
      <c r="SSW1534"/>
      <c r="SSX1534"/>
      <c r="SSY1534"/>
      <c r="SSZ1534"/>
      <c r="STA1534"/>
      <c r="STB1534"/>
      <c r="STC1534"/>
      <c r="STD1534"/>
      <c r="STE1534"/>
      <c r="STF1534"/>
      <c r="STG1534"/>
      <c r="STH1534"/>
      <c r="STI1534"/>
      <c r="STJ1534"/>
      <c r="STK1534"/>
      <c r="STL1534"/>
      <c r="STM1534"/>
      <c r="STN1534"/>
      <c r="STO1534"/>
      <c r="STP1534"/>
      <c r="STQ1534"/>
      <c r="STR1534"/>
      <c r="STS1534"/>
      <c r="STT1534"/>
      <c r="STU1534"/>
      <c r="STV1534"/>
      <c r="STW1534"/>
      <c r="STX1534"/>
      <c r="STY1534"/>
      <c r="STZ1534"/>
      <c r="SUA1534"/>
      <c r="SUB1534"/>
      <c r="SUC1534"/>
      <c r="SUD1534"/>
      <c r="SUE1534"/>
      <c r="SUF1534"/>
      <c r="SUG1534"/>
      <c r="SUH1534"/>
      <c r="SUI1534"/>
      <c r="SUJ1534"/>
      <c r="SUK1534"/>
      <c r="SUL1534"/>
      <c r="SUM1534"/>
      <c r="SUN1534"/>
      <c r="SUO1534"/>
      <c r="SUP1534"/>
      <c r="SUQ1534"/>
      <c r="SUR1534"/>
      <c r="SUS1534"/>
      <c r="SUT1534"/>
      <c r="SUU1534"/>
      <c r="SUV1534"/>
      <c r="SUW1534"/>
      <c r="SUX1534"/>
      <c r="SUY1534"/>
      <c r="SUZ1534"/>
      <c r="SVA1534"/>
      <c r="SVB1534"/>
      <c r="SVC1534"/>
      <c r="SVD1534"/>
      <c r="SVE1534"/>
      <c r="SVF1534"/>
      <c r="SVG1534"/>
      <c r="SVH1534"/>
      <c r="SVI1534"/>
      <c r="SVJ1534"/>
      <c r="SVK1534"/>
      <c r="SVL1534"/>
      <c r="SVM1534"/>
      <c r="SVN1534"/>
      <c r="SVO1534"/>
      <c r="SVP1534"/>
      <c r="SVQ1534"/>
      <c r="SVR1534"/>
      <c r="SVS1534"/>
      <c r="SVT1534"/>
      <c r="SVU1534"/>
      <c r="SVV1534"/>
      <c r="SVW1534"/>
      <c r="SVX1534"/>
      <c r="SVY1534"/>
      <c r="SVZ1534"/>
      <c r="SWA1534"/>
      <c r="SWB1534"/>
      <c r="SWC1534"/>
      <c r="SWD1534"/>
      <c r="SWE1534"/>
      <c r="SWF1534"/>
      <c r="SWG1534"/>
      <c r="SWH1534"/>
      <c r="SWI1534"/>
      <c r="SWJ1534"/>
      <c r="SWK1534"/>
      <c r="SWL1534"/>
      <c r="SWM1534"/>
      <c r="SWN1534"/>
      <c r="SWO1534"/>
      <c r="SWP1534"/>
      <c r="SWQ1534"/>
      <c r="SWR1534"/>
      <c r="SWS1534"/>
      <c r="SWT1534"/>
      <c r="SWU1534"/>
      <c r="SWV1534"/>
      <c r="SWW1534"/>
      <c r="SWX1534"/>
      <c r="SWY1534"/>
      <c r="SWZ1534"/>
      <c r="SXA1534"/>
      <c r="SXB1534"/>
      <c r="SXC1534"/>
      <c r="SXD1534"/>
      <c r="SXE1534"/>
      <c r="SXF1534"/>
      <c r="SXG1534"/>
      <c r="SXH1534"/>
      <c r="SXI1534"/>
      <c r="SXJ1534"/>
      <c r="SXK1534"/>
      <c r="SXL1534"/>
      <c r="SXM1534"/>
      <c r="SXN1534"/>
      <c r="SXO1534"/>
      <c r="SXP1534"/>
      <c r="SXQ1534"/>
      <c r="SXR1534"/>
      <c r="SXS1534"/>
      <c r="SXT1534"/>
      <c r="SXU1534"/>
      <c r="SXV1534"/>
      <c r="SXW1534"/>
      <c r="SXX1534"/>
      <c r="SXY1534"/>
      <c r="SXZ1534"/>
      <c r="SYA1534"/>
      <c r="SYB1534"/>
      <c r="SYC1534"/>
      <c r="SYD1534"/>
      <c r="SYE1534"/>
      <c r="SYF1534"/>
      <c r="SYG1534"/>
      <c r="SYH1534"/>
      <c r="SYI1534"/>
      <c r="SYJ1534"/>
      <c r="SYK1534"/>
      <c r="SYL1534"/>
      <c r="SYM1534"/>
      <c r="SYN1534"/>
      <c r="SYO1534"/>
      <c r="SYP1534"/>
      <c r="SYQ1534"/>
      <c r="SYR1534"/>
      <c r="SYS1534"/>
      <c r="SYT1534"/>
      <c r="SYU1534"/>
      <c r="SYV1534"/>
      <c r="SYW1534"/>
      <c r="SYX1534"/>
      <c r="SYY1534"/>
      <c r="SYZ1534"/>
      <c r="SZA1534"/>
      <c r="SZB1534"/>
      <c r="SZC1534"/>
      <c r="SZD1534"/>
      <c r="SZE1534"/>
      <c r="SZF1534"/>
      <c r="SZG1534"/>
      <c r="SZH1534"/>
      <c r="SZI1534"/>
      <c r="SZJ1534"/>
      <c r="SZK1534"/>
      <c r="SZL1534"/>
      <c r="SZM1534"/>
      <c r="SZN1534"/>
      <c r="SZO1534"/>
      <c r="SZP1534"/>
      <c r="SZQ1534"/>
      <c r="SZR1534"/>
      <c r="SZS1534"/>
      <c r="SZT1534"/>
      <c r="SZU1534"/>
      <c r="SZV1534"/>
      <c r="SZW1534"/>
      <c r="SZX1534"/>
      <c r="SZY1534"/>
      <c r="SZZ1534"/>
      <c r="TAA1534"/>
      <c r="TAB1534"/>
      <c r="TAC1534"/>
      <c r="TAD1534"/>
      <c r="TAE1534"/>
      <c r="TAF1534"/>
      <c r="TAG1534"/>
      <c r="TAH1534"/>
      <c r="TAI1534"/>
      <c r="TAJ1534"/>
      <c r="TAK1534"/>
      <c r="TAL1534"/>
      <c r="TAM1534"/>
      <c r="TAN1534"/>
      <c r="TAO1534"/>
      <c r="TAP1534"/>
      <c r="TAQ1534"/>
      <c r="TAR1534"/>
      <c r="TAS1534"/>
      <c r="TAT1534"/>
      <c r="TAU1534"/>
      <c r="TAV1534"/>
      <c r="TAW1534"/>
      <c r="TAX1534"/>
      <c r="TAY1534"/>
      <c r="TAZ1534"/>
      <c r="TBA1534"/>
      <c r="TBB1534"/>
      <c r="TBC1534"/>
      <c r="TBD1534"/>
      <c r="TBE1534"/>
      <c r="TBF1534"/>
      <c r="TBG1534"/>
      <c r="TBH1534"/>
      <c r="TBI1534"/>
      <c r="TBJ1534"/>
      <c r="TBK1534"/>
      <c r="TBL1534"/>
      <c r="TBM1534"/>
      <c r="TBN1534"/>
      <c r="TBO1534"/>
      <c r="TBP1534"/>
      <c r="TBQ1534"/>
      <c r="TBR1534"/>
      <c r="TBS1534"/>
      <c r="TBT1534"/>
      <c r="TBU1534"/>
      <c r="TBV1534"/>
      <c r="TBW1534"/>
      <c r="TBX1534"/>
      <c r="TBY1534"/>
      <c r="TBZ1534"/>
      <c r="TCA1534"/>
      <c r="TCB1534"/>
      <c r="TCC1534"/>
      <c r="TCD1534"/>
      <c r="TCE1534"/>
      <c r="TCF1534"/>
      <c r="TCG1534"/>
      <c r="TCH1534"/>
      <c r="TCI1534"/>
      <c r="TCJ1534"/>
      <c r="TCK1534"/>
      <c r="TCL1534"/>
      <c r="TCM1534"/>
      <c r="TCN1534"/>
      <c r="TCO1534"/>
      <c r="TCP1534"/>
      <c r="TCQ1534"/>
      <c r="TCR1534"/>
      <c r="TCS1534"/>
      <c r="TCT1534"/>
      <c r="TCU1534"/>
      <c r="TCV1534"/>
      <c r="TCW1534"/>
      <c r="TCX1534"/>
      <c r="TCY1534"/>
      <c r="TCZ1534"/>
      <c r="TDA1534"/>
      <c r="TDB1534"/>
      <c r="TDC1534"/>
      <c r="TDD1534"/>
      <c r="TDE1534"/>
      <c r="TDF1534"/>
      <c r="TDG1534"/>
      <c r="TDH1534"/>
      <c r="TDI1534"/>
      <c r="TDJ1534"/>
      <c r="TDK1534"/>
      <c r="TDL1534"/>
      <c r="TDM1534"/>
      <c r="TDN1534"/>
      <c r="TDO1534"/>
      <c r="TDP1534"/>
      <c r="TDQ1534"/>
      <c r="TDR1534"/>
      <c r="TDS1534"/>
      <c r="TDT1534"/>
      <c r="TDU1534"/>
      <c r="TDV1534"/>
      <c r="TDW1534"/>
      <c r="TDX1534"/>
      <c r="TDY1534"/>
      <c r="TDZ1534"/>
      <c r="TEA1534"/>
      <c r="TEB1534"/>
      <c r="TEC1534"/>
      <c r="TED1534"/>
      <c r="TEE1534"/>
      <c r="TEF1534"/>
      <c r="TEG1534"/>
      <c r="TEH1534"/>
      <c r="TEI1534"/>
      <c r="TEJ1534"/>
      <c r="TEK1534"/>
      <c r="TEL1534"/>
      <c r="TEM1534"/>
      <c r="TEN1534"/>
      <c r="TEO1534"/>
      <c r="TEP1534"/>
      <c r="TEQ1534"/>
      <c r="TER1534"/>
      <c r="TES1534"/>
      <c r="TET1534"/>
      <c r="TEU1534"/>
      <c r="TEV1534"/>
      <c r="TEW1534"/>
      <c r="TEX1534"/>
      <c r="TEY1534"/>
      <c r="TEZ1534"/>
      <c r="TFA1534"/>
      <c r="TFB1534"/>
      <c r="TFC1534"/>
      <c r="TFD1534"/>
      <c r="TFE1534"/>
      <c r="TFF1534"/>
      <c r="TFG1534"/>
      <c r="TFH1534"/>
      <c r="TFI1534"/>
      <c r="TFJ1534"/>
      <c r="TFK1534"/>
      <c r="TFL1534"/>
      <c r="TFM1534"/>
      <c r="TFN1534"/>
      <c r="TFO1534"/>
      <c r="TFP1534"/>
      <c r="TFQ1534"/>
      <c r="TFR1534"/>
      <c r="TFS1534"/>
      <c r="TFT1534"/>
      <c r="TFU1534"/>
      <c r="TFV1534"/>
      <c r="TFW1534"/>
      <c r="TFX1534"/>
      <c r="TFY1534"/>
      <c r="TFZ1534"/>
      <c r="TGA1534"/>
      <c r="TGB1534"/>
      <c r="TGC1534"/>
      <c r="TGD1534"/>
      <c r="TGE1534"/>
      <c r="TGF1534"/>
      <c r="TGG1534"/>
      <c r="TGH1534"/>
      <c r="TGI1534"/>
      <c r="TGJ1534"/>
      <c r="TGK1534"/>
      <c r="TGL1534"/>
      <c r="TGM1534"/>
      <c r="TGN1534"/>
      <c r="TGO1534"/>
      <c r="TGP1534"/>
      <c r="TGQ1534"/>
      <c r="TGR1534"/>
      <c r="TGS1534"/>
      <c r="TGT1534"/>
      <c r="TGU1534"/>
      <c r="TGV1534"/>
      <c r="TGW1534"/>
      <c r="TGX1534"/>
      <c r="TGY1534"/>
      <c r="TGZ1534"/>
      <c r="THA1534"/>
      <c r="THB1534"/>
      <c r="THC1534"/>
      <c r="THD1534"/>
      <c r="THE1534"/>
      <c r="THF1534"/>
      <c r="THG1534"/>
      <c r="THH1534"/>
      <c r="THI1534"/>
      <c r="THJ1534"/>
      <c r="THK1534"/>
      <c r="THL1534"/>
      <c r="THM1534"/>
      <c r="THN1534"/>
      <c r="THO1534"/>
      <c r="THP1534"/>
      <c r="THQ1534"/>
      <c r="THR1534"/>
      <c r="THS1534"/>
      <c r="THT1534"/>
      <c r="THU1534"/>
      <c r="THV1534"/>
      <c r="THW1534"/>
      <c r="THX1534"/>
      <c r="THY1534"/>
      <c r="THZ1534"/>
      <c r="TIA1534"/>
      <c r="TIB1534"/>
      <c r="TIC1534"/>
      <c r="TID1534"/>
      <c r="TIE1534"/>
      <c r="TIF1534"/>
      <c r="TIG1534"/>
      <c r="TIH1534"/>
      <c r="TII1534"/>
      <c r="TIJ1534"/>
      <c r="TIK1534"/>
      <c r="TIL1534"/>
      <c r="TIM1534"/>
      <c r="TIN1534"/>
      <c r="TIO1534"/>
      <c r="TIP1534"/>
      <c r="TIQ1534"/>
      <c r="TIR1534"/>
      <c r="TIS1534"/>
      <c r="TIT1534"/>
      <c r="TIU1534"/>
      <c r="TIV1534"/>
      <c r="TIW1534"/>
      <c r="TIX1534"/>
      <c r="TIY1534"/>
      <c r="TIZ1534"/>
      <c r="TJA1534"/>
      <c r="TJB1534"/>
      <c r="TJC1534"/>
      <c r="TJD1534"/>
      <c r="TJE1534"/>
      <c r="TJF1534"/>
      <c r="TJG1534"/>
      <c r="TJH1534"/>
      <c r="TJI1534"/>
      <c r="TJJ1534"/>
      <c r="TJK1534"/>
      <c r="TJL1534"/>
      <c r="TJM1534"/>
      <c r="TJN1534"/>
      <c r="TJO1534"/>
      <c r="TJP1534"/>
      <c r="TJQ1534"/>
      <c r="TJR1534"/>
      <c r="TJS1534"/>
      <c r="TJT1534"/>
      <c r="TJU1534"/>
      <c r="TJV1534"/>
      <c r="TJW1534"/>
      <c r="TJX1534"/>
      <c r="TJY1534"/>
      <c r="TJZ1534"/>
      <c r="TKA1534"/>
      <c r="TKB1534"/>
      <c r="TKC1534"/>
      <c r="TKD1534"/>
      <c r="TKE1534"/>
      <c r="TKF1534"/>
      <c r="TKG1534"/>
      <c r="TKH1534"/>
      <c r="TKI1534"/>
      <c r="TKJ1534"/>
      <c r="TKK1534"/>
      <c r="TKL1534"/>
      <c r="TKM1534"/>
      <c r="TKN1534"/>
      <c r="TKO1534"/>
      <c r="TKP1534"/>
      <c r="TKQ1534"/>
      <c r="TKR1534"/>
      <c r="TKS1534"/>
      <c r="TKT1534"/>
      <c r="TKU1534"/>
      <c r="TKV1534"/>
      <c r="TKW1534"/>
      <c r="TKX1534"/>
      <c r="TKY1534"/>
      <c r="TKZ1534"/>
      <c r="TLA1534"/>
      <c r="TLB1534"/>
      <c r="TLC1534"/>
      <c r="TLD1534"/>
      <c r="TLE1534"/>
      <c r="TLF1534"/>
      <c r="TLG1534"/>
      <c r="TLH1534"/>
      <c r="TLI1534"/>
      <c r="TLJ1534"/>
      <c r="TLK1534"/>
      <c r="TLL1534"/>
      <c r="TLM1534"/>
      <c r="TLN1534"/>
      <c r="TLO1534"/>
      <c r="TLP1534"/>
      <c r="TLQ1534"/>
      <c r="TLR1534"/>
      <c r="TLS1534"/>
      <c r="TLT1534"/>
      <c r="TLU1534"/>
      <c r="TLV1534"/>
      <c r="TLW1534"/>
      <c r="TLX1534"/>
      <c r="TLY1534"/>
      <c r="TLZ1534"/>
      <c r="TMA1534"/>
      <c r="TMB1534"/>
      <c r="TMC1534"/>
      <c r="TMD1534"/>
      <c r="TME1534"/>
      <c r="TMF1534"/>
      <c r="TMG1534"/>
      <c r="TMH1534"/>
      <c r="TMI1534"/>
      <c r="TMJ1534"/>
      <c r="TMK1534"/>
      <c r="TML1534"/>
      <c r="TMM1534"/>
      <c r="TMN1534"/>
      <c r="TMO1534"/>
      <c r="TMP1534"/>
      <c r="TMQ1534"/>
      <c r="TMR1534"/>
      <c r="TMS1534"/>
      <c r="TMT1534"/>
      <c r="TMU1534"/>
      <c r="TMV1534"/>
      <c r="TMW1534"/>
      <c r="TMX1534"/>
      <c r="TMY1534"/>
      <c r="TMZ1534"/>
      <c r="TNA1534"/>
      <c r="TNB1534"/>
      <c r="TNC1534"/>
      <c r="TND1534"/>
      <c r="TNE1534"/>
      <c r="TNF1534"/>
      <c r="TNG1534"/>
      <c r="TNH1534"/>
      <c r="TNI1534"/>
      <c r="TNJ1534"/>
      <c r="TNK1534"/>
      <c r="TNL1534"/>
      <c r="TNM1534"/>
      <c r="TNN1534"/>
      <c r="TNO1534"/>
      <c r="TNP1534"/>
      <c r="TNQ1534"/>
      <c r="TNR1534"/>
      <c r="TNS1534"/>
      <c r="TNT1534"/>
      <c r="TNU1534"/>
      <c r="TNV1534"/>
      <c r="TNW1534"/>
      <c r="TNX1534"/>
      <c r="TNY1534"/>
      <c r="TNZ1534"/>
      <c r="TOA1534"/>
      <c r="TOB1534"/>
      <c r="TOC1534"/>
      <c r="TOD1534"/>
      <c r="TOE1534"/>
      <c r="TOF1534"/>
      <c r="TOG1534"/>
      <c r="TOH1534"/>
      <c r="TOI1534"/>
      <c r="TOJ1534"/>
      <c r="TOK1534"/>
      <c r="TOL1534"/>
      <c r="TOM1534"/>
      <c r="TON1534"/>
      <c r="TOO1534"/>
      <c r="TOP1534"/>
      <c r="TOQ1534"/>
      <c r="TOR1534"/>
      <c r="TOS1534"/>
      <c r="TOT1534"/>
      <c r="TOU1534"/>
      <c r="TOV1534"/>
      <c r="TOW1534"/>
      <c r="TOX1534"/>
      <c r="TOY1534"/>
      <c r="TOZ1534"/>
      <c r="TPA1534"/>
      <c r="TPB1534"/>
      <c r="TPC1534"/>
      <c r="TPD1534"/>
      <c r="TPE1534"/>
      <c r="TPF1534"/>
      <c r="TPG1534"/>
      <c r="TPH1534"/>
      <c r="TPI1534"/>
      <c r="TPJ1534"/>
      <c r="TPK1534"/>
      <c r="TPL1534"/>
      <c r="TPM1534"/>
      <c r="TPN1534"/>
      <c r="TPO1534"/>
      <c r="TPP1534"/>
      <c r="TPQ1534"/>
      <c r="TPR1534"/>
      <c r="TPS1534"/>
      <c r="TPT1534"/>
      <c r="TPU1534"/>
      <c r="TPV1534"/>
      <c r="TPW1534"/>
      <c r="TPX1534"/>
      <c r="TPY1534"/>
      <c r="TPZ1534"/>
      <c r="TQA1534"/>
      <c r="TQB1534"/>
      <c r="TQC1534"/>
      <c r="TQD1534"/>
      <c r="TQE1534"/>
      <c r="TQF1534"/>
      <c r="TQG1534"/>
      <c r="TQH1534"/>
      <c r="TQI1534"/>
      <c r="TQJ1534"/>
      <c r="TQK1534"/>
      <c r="TQL1534"/>
      <c r="TQM1534"/>
      <c r="TQN1534"/>
      <c r="TQO1534"/>
      <c r="TQP1534"/>
      <c r="TQQ1534"/>
      <c r="TQR1534"/>
      <c r="TQS1534"/>
      <c r="TQT1534"/>
      <c r="TQU1534"/>
      <c r="TQV1534"/>
      <c r="TQW1534"/>
      <c r="TQX1534"/>
      <c r="TQY1534"/>
      <c r="TQZ1534"/>
      <c r="TRA1534"/>
      <c r="TRB1534"/>
      <c r="TRC1534"/>
      <c r="TRD1534"/>
      <c r="TRE1534"/>
      <c r="TRF1534"/>
      <c r="TRG1534"/>
      <c r="TRH1534"/>
      <c r="TRI1534"/>
      <c r="TRJ1534"/>
      <c r="TRK1534"/>
      <c r="TRL1534"/>
      <c r="TRM1534"/>
      <c r="TRN1534"/>
      <c r="TRO1534"/>
      <c r="TRP1534"/>
      <c r="TRQ1534"/>
      <c r="TRR1534"/>
      <c r="TRS1534"/>
      <c r="TRT1534"/>
      <c r="TRU1534"/>
      <c r="TRV1534"/>
      <c r="TRW1534"/>
      <c r="TRX1534"/>
      <c r="TRY1534"/>
      <c r="TRZ1534"/>
      <c r="TSA1534"/>
      <c r="TSB1534"/>
      <c r="TSC1534"/>
      <c r="TSD1534"/>
      <c r="TSE1534"/>
      <c r="TSF1534"/>
      <c r="TSG1534"/>
      <c r="TSH1534"/>
      <c r="TSI1534"/>
      <c r="TSJ1534"/>
      <c r="TSK1534"/>
      <c r="TSL1534"/>
      <c r="TSM1534"/>
      <c r="TSN1534"/>
      <c r="TSO1534"/>
      <c r="TSP1534"/>
      <c r="TSQ1534"/>
      <c r="TSR1534"/>
      <c r="TSS1534"/>
      <c r="TST1534"/>
      <c r="TSU1534"/>
      <c r="TSV1534"/>
      <c r="TSW1534"/>
      <c r="TSX1534"/>
      <c r="TSY1534"/>
      <c r="TSZ1534"/>
      <c r="TTA1534"/>
      <c r="TTB1534"/>
      <c r="TTC1534"/>
      <c r="TTD1534"/>
      <c r="TTE1534"/>
      <c r="TTF1534"/>
      <c r="TTG1534"/>
      <c r="TTH1534"/>
      <c r="TTI1534"/>
      <c r="TTJ1534"/>
      <c r="TTK1534"/>
      <c r="TTL1534"/>
      <c r="TTM1534"/>
      <c r="TTN1534"/>
      <c r="TTO1534"/>
      <c r="TTP1534"/>
      <c r="TTQ1534"/>
      <c r="TTR1534"/>
      <c r="TTS1534"/>
      <c r="TTT1534"/>
      <c r="TTU1534"/>
      <c r="TTV1534"/>
      <c r="TTW1534"/>
      <c r="TTX1534"/>
      <c r="TTY1534"/>
      <c r="TTZ1534"/>
      <c r="TUA1534"/>
      <c r="TUB1534"/>
      <c r="TUC1534"/>
      <c r="TUD1534"/>
      <c r="TUE1534"/>
      <c r="TUF1534"/>
      <c r="TUG1534"/>
      <c r="TUH1534"/>
      <c r="TUI1534"/>
      <c r="TUJ1534"/>
      <c r="TUK1534"/>
      <c r="TUL1534"/>
      <c r="TUM1534"/>
      <c r="TUN1534"/>
      <c r="TUO1534"/>
      <c r="TUP1534"/>
      <c r="TUQ1534"/>
      <c r="TUR1534"/>
      <c r="TUS1534"/>
      <c r="TUT1534"/>
      <c r="TUU1534"/>
      <c r="TUV1534"/>
      <c r="TUW1534"/>
      <c r="TUX1534"/>
      <c r="TUY1534"/>
      <c r="TUZ1534"/>
      <c r="TVA1534"/>
      <c r="TVB1534"/>
      <c r="TVC1534"/>
      <c r="TVD1534"/>
      <c r="TVE1534"/>
      <c r="TVF1534"/>
      <c r="TVG1534"/>
      <c r="TVH1534"/>
      <c r="TVI1534"/>
      <c r="TVJ1534"/>
      <c r="TVK1534"/>
      <c r="TVL1534"/>
      <c r="TVM1534"/>
      <c r="TVN1534"/>
      <c r="TVO1534"/>
      <c r="TVP1534"/>
      <c r="TVQ1534"/>
      <c r="TVR1534"/>
      <c r="TVS1534"/>
      <c r="TVT1534"/>
      <c r="TVU1534"/>
      <c r="TVV1534"/>
      <c r="TVW1534"/>
      <c r="TVX1534"/>
      <c r="TVY1534"/>
      <c r="TVZ1534"/>
      <c r="TWA1534"/>
      <c r="TWB1534"/>
      <c r="TWC1534"/>
      <c r="TWD1534"/>
      <c r="TWE1534"/>
      <c r="TWF1534"/>
      <c r="TWG1534"/>
      <c r="TWH1534"/>
      <c r="TWI1534"/>
      <c r="TWJ1534"/>
      <c r="TWK1534"/>
      <c r="TWL1534"/>
      <c r="TWM1534"/>
      <c r="TWN1534"/>
      <c r="TWO1534"/>
      <c r="TWP1534"/>
      <c r="TWQ1534"/>
      <c r="TWR1534"/>
      <c r="TWS1534"/>
      <c r="TWT1534"/>
      <c r="TWU1534"/>
      <c r="TWV1534"/>
      <c r="TWW1534"/>
      <c r="TWX1534"/>
      <c r="TWY1534"/>
      <c r="TWZ1534"/>
      <c r="TXA1534"/>
      <c r="TXB1534"/>
      <c r="TXC1534"/>
      <c r="TXD1534"/>
      <c r="TXE1534"/>
      <c r="TXF1534"/>
      <c r="TXG1534"/>
      <c r="TXH1534"/>
      <c r="TXI1534"/>
      <c r="TXJ1534"/>
      <c r="TXK1534"/>
      <c r="TXL1534"/>
      <c r="TXM1534"/>
      <c r="TXN1534"/>
      <c r="TXO1534"/>
      <c r="TXP1534"/>
      <c r="TXQ1534"/>
      <c r="TXR1534"/>
      <c r="TXS1534"/>
      <c r="TXT1534"/>
      <c r="TXU1534"/>
      <c r="TXV1534"/>
      <c r="TXW1534"/>
      <c r="TXX1534"/>
      <c r="TXY1534"/>
      <c r="TXZ1534"/>
      <c r="TYA1534"/>
      <c r="TYB1534"/>
      <c r="TYC1534"/>
      <c r="TYD1534"/>
      <c r="TYE1534"/>
      <c r="TYF1534"/>
      <c r="TYG1534"/>
      <c r="TYH1534"/>
      <c r="TYI1534"/>
      <c r="TYJ1534"/>
      <c r="TYK1534"/>
      <c r="TYL1534"/>
      <c r="TYM1534"/>
      <c r="TYN1534"/>
      <c r="TYO1534"/>
      <c r="TYP1534"/>
      <c r="TYQ1534"/>
      <c r="TYR1534"/>
      <c r="TYS1534"/>
      <c r="TYT1534"/>
      <c r="TYU1534"/>
      <c r="TYV1534"/>
      <c r="TYW1534"/>
      <c r="TYX1534"/>
      <c r="TYY1534"/>
      <c r="TYZ1534"/>
      <c r="TZA1534"/>
      <c r="TZB1534"/>
      <c r="TZC1534"/>
      <c r="TZD1534"/>
      <c r="TZE1534"/>
      <c r="TZF1534"/>
      <c r="TZG1534"/>
      <c r="TZH1534"/>
      <c r="TZI1534"/>
      <c r="TZJ1534"/>
      <c r="TZK1534"/>
      <c r="TZL1534"/>
      <c r="TZM1534"/>
      <c r="TZN1534"/>
      <c r="TZO1534"/>
      <c r="TZP1534"/>
      <c r="TZQ1534"/>
      <c r="TZR1534"/>
      <c r="TZS1534"/>
      <c r="TZT1534"/>
      <c r="TZU1534"/>
      <c r="TZV1534"/>
      <c r="TZW1534"/>
      <c r="TZX1534"/>
      <c r="TZY1534"/>
      <c r="TZZ1534"/>
      <c r="UAA1534"/>
      <c r="UAB1534"/>
      <c r="UAC1534"/>
      <c r="UAD1534"/>
      <c r="UAE1534"/>
      <c r="UAF1534"/>
      <c r="UAG1534"/>
      <c r="UAH1534"/>
      <c r="UAI1534"/>
      <c r="UAJ1534"/>
      <c r="UAK1534"/>
      <c r="UAL1534"/>
      <c r="UAM1534"/>
      <c r="UAN1534"/>
      <c r="UAO1534"/>
      <c r="UAP1534"/>
      <c r="UAQ1534"/>
      <c r="UAR1534"/>
      <c r="UAS1534"/>
      <c r="UAT1534"/>
      <c r="UAU1534"/>
      <c r="UAV1534"/>
      <c r="UAW1534"/>
      <c r="UAX1534"/>
      <c r="UAY1534"/>
      <c r="UAZ1534"/>
      <c r="UBA1534"/>
      <c r="UBB1534"/>
      <c r="UBC1534"/>
      <c r="UBD1534"/>
      <c r="UBE1534"/>
      <c r="UBF1534"/>
      <c r="UBG1534"/>
      <c r="UBH1534"/>
      <c r="UBI1534"/>
      <c r="UBJ1534"/>
      <c r="UBK1534"/>
      <c r="UBL1534"/>
      <c r="UBM1534"/>
      <c r="UBN1534"/>
      <c r="UBO1534"/>
      <c r="UBP1534"/>
      <c r="UBQ1534"/>
      <c r="UBR1534"/>
      <c r="UBS1534"/>
      <c r="UBT1534"/>
      <c r="UBU1534"/>
      <c r="UBV1534"/>
      <c r="UBW1534"/>
      <c r="UBX1534"/>
      <c r="UBY1534"/>
      <c r="UBZ1534"/>
      <c r="UCA1534"/>
      <c r="UCB1534"/>
      <c r="UCC1534"/>
      <c r="UCD1534"/>
      <c r="UCE1534"/>
      <c r="UCF1534"/>
      <c r="UCG1534"/>
      <c r="UCH1534"/>
      <c r="UCI1534"/>
      <c r="UCJ1534"/>
      <c r="UCK1534"/>
      <c r="UCL1534"/>
      <c r="UCM1534"/>
      <c r="UCN1534"/>
      <c r="UCO1534"/>
      <c r="UCP1534"/>
      <c r="UCQ1534"/>
      <c r="UCR1534"/>
      <c r="UCS1534"/>
      <c r="UCT1534"/>
      <c r="UCU1534"/>
      <c r="UCV1534"/>
      <c r="UCW1534"/>
      <c r="UCX1534"/>
      <c r="UCY1534"/>
      <c r="UCZ1534"/>
      <c r="UDA1534"/>
      <c r="UDB1534"/>
      <c r="UDC1534"/>
      <c r="UDD1534"/>
      <c r="UDE1534"/>
      <c r="UDF1534"/>
      <c r="UDG1534"/>
      <c r="UDH1534"/>
      <c r="UDI1534"/>
      <c r="UDJ1534"/>
      <c r="UDK1534"/>
      <c r="UDL1534"/>
      <c r="UDM1534"/>
      <c r="UDN1534"/>
      <c r="UDO1534"/>
      <c r="UDP1534"/>
      <c r="UDQ1534"/>
      <c r="UDR1534"/>
      <c r="UDS1534"/>
      <c r="UDT1534"/>
      <c r="UDU1534"/>
      <c r="UDV1534"/>
      <c r="UDW1534"/>
      <c r="UDX1534"/>
      <c r="UDY1534"/>
      <c r="UDZ1534"/>
      <c r="UEA1534"/>
      <c r="UEB1534"/>
      <c r="UEC1534"/>
      <c r="UED1534"/>
      <c r="UEE1534"/>
      <c r="UEF1534"/>
      <c r="UEG1534"/>
      <c r="UEH1534"/>
      <c r="UEI1534"/>
      <c r="UEJ1534"/>
      <c r="UEK1534"/>
      <c r="UEL1534"/>
      <c r="UEM1534"/>
      <c r="UEN1534"/>
      <c r="UEO1534"/>
      <c r="UEP1534"/>
      <c r="UEQ1534"/>
      <c r="UER1534"/>
      <c r="UES1534"/>
      <c r="UET1534"/>
      <c r="UEU1534"/>
      <c r="UEV1534"/>
      <c r="UEW1534"/>
      <c r="UEX1534"/>
      <c r="UEY1534"/>
      <c r="UEZ1534"/>
      <c r="UFA1534"/>
      <c r="UFB1534"/>
      <c r="UFC1534"/>
      <c r="UFD1534"/>
      <c r="UFE1534"/>
      <c r="UFF1534"/>
      <c r="UFG1534"/>
      <c r="UFH1534"/>
      <c r="UFI1534"/>
      <c r="UFJ1534"/>
      <c r="UFK1534"/>
      <c r="UFL1534"/>
      <c r="UFM1534"/>
      <c r="UFN1534"/>
      <c r="UFO1534"/>
      <c r="UFP1534"/>
      <c r="UFQ1534"/>
      <c r="UFR1534"/>
      <c r="UFS1534"/>
      <c r="UFT1534"/>
      <c r="UFU1534"/>
      <c r="UFV1534"/>
      <c r="UFW1534"/>
      <c r="UFX1534"/>
      <c r="UFY1534"/>
      <c r="UFZ1534"/>
      <c r="UGA1534"/>
      <c r="UGB1534"/>
      <c r="UGC1534"/>
      <c r="UGD1534"/>
      <c r="UGE1534"/>
      <c r="UGF1534"/>
      <c r="UGG1534"/>
      <c r="UGH1534"/>
      <c r="UGI1534"/>
      <c r="UGJ1534"/>
      <c r="UGK1534"/>
      <c r="UGL1534"/>
      <c r="UGM1534"/>
      <c r="UGN1534"/>
      <c r="UGO1534"/>
      <c r="UGP1534"/>
      <c r="UGQ1534"/>
      <c r="UGR1534"/>
      <c r="UGS1534"/>
      <c r="UGT1534"/>
      <c r="UGU1534"/>
      <c r="UGV1534"/>
      <c r="UGW1534"/>
      <c r="UGX1534"/>
      <c r="UGY1534"/>
      <c r="UGZ1534"/>
      <c r="UHA1534"/>
      <c r="UHB1534"/>
      <c r="UHC1534"/>
      <c r="UHD1534"/>
      <c r="UHE1534"/>
      <c r="UHF1534"/>
      <c r="UHG1534"/>
      <c r="UHH1534"/>
      <c r="UHI1534"/>
      <c r="UHJ1534"/>
      <c r="UHK1534"/>
      <c r="UHL1534"/>
      <c r="UHM1534"/>
      <c r="UHN1534"/>
      <c r="UHO1534"/>
      <c r="UHP1534"/>
      <c r="UHQ1534"/>
      <c r="UHR1534"/>
      <c r="UHS1534"/>
      <c r="UHT1534"/>
      <c r="UHU1534"/>
      <c r="UHV1534"/>
      <c r="UHW1534"/>
      <c r="UHX1534"/>
      <c r="UHY1534"/>
      <c r="UHZ1534"/>
      <c r="UIA1534"/>
      <c r="UIB1534"/>
      <c r="UIC1534"/>
      <c r="UID1534"/>
      <c r="UIE1534"/>
      <c r="UIF1534"/>
      <c r="UIG1534"/>
      <c r="UIH1534"/>
      <c r="UII1534"/>
      <c r="UIJ1534"/>
      <c r="UIK1534"/>
      <c r="UIL1534"/>
      <c r="UIM1534"/>
      <c r="UIN1534"/>
      <c r="UIO1534"/>
      <c r="UIP1534"/>
      <c r="UIQ1534"/>
      <c r="UIR1534"/>
      <c r="UIS1534"/>
      <c r="UIT1534"/>
      <c r="UIU1534"/>
      <c r="UIV1534"/>
      <c r="UIW1534"/>
      <c r="UIX1534"/>
      <c r="UIY1534"/>
      <c r="UIZ1534"/>
      <c r="UJA1534"/>
      <c r="UJB1534"/>
      <c r="UJC1534"/>
      <c r="UJD1534"/>
      <c r="UJE1534"/>
      <c r="UJF1534"/>
      <c r="UJG1534"/>
      <c r="UJH1534"/>
      <c r="UJI1534"/>
      <c r="UJJ1534"/>
      <c r="UJK1534"/>
      <c r="UJL1534"/>
      <c r="UJM1534"/>
      <c r="UJN1534"/>
      <c r="UJO1534"/>
      <c r="UJP1534"/>
      <c r="UJQ1534"/>
      <c r="UJR1534"/>
      <c r="UJS1534"/>
      <c r="UJT1534"/>
      <c r="UJU1534"/>
      <c r="UJV1534"/>
      <c r="UJW1534"/>
      <c r="UJX1534"/>
      <c r="UJY1534"/>
      <c r="UJZ1534"/>
      <c r="UKA1534"/>
      <c r="UKB1534"/>
      <c r="UKC1534"/>
      <c r="UKD1534"/>
      <c r="UKE1534"/>
      <c r="UKF1534"/>
      <c r="UKG1534"/>
      <c r="UKH1534"/>
      <c r="UKI1534"/>
      <c r="UKJ1534"/>
      <c r="UKK1534"/>
      <c r="UKL1534"/>
      <c r="UKM1534"/>
      <c r="UKN1534"/>
      <c r="UKO1534"/>
      <c r="UKP1534"/>
      <c r="UKQ1534"/>
      <c r="UKR1534"/>
      <c r="UKS1534"/>
      <c r="UKT1534"/>
      <c r="UKU1534"/>
      <c r="UKV1534"/>
      <c r="UKW1534"/>
      <c r="UKX1534"/>
      <c r="UKY1534"/>
      <c r="UKZ1534"/>
      <c r="ULA1534"/>
      <c r="ULB1534"/>
      <c r="ULC1534"/>
      <c r="ULD1534"/>
      <c r="ULE1534"/>
      <c r="ULF1534"/>
      <c r="ULG1534"/>
      <c r="ULH1534"/>
      <c r="ULI1534"/>
      <c r="ULJ1534"/>
      <c r="ULK1534"/>
      <c r="ULL1534"/>
      <c r="ULM1534"/>
      <c r="ULN1534"/>
      <c r="ULO1534"/>
      <c r="ULP1534"/>
      <c r="ULQ1534"/>
      <c r="ULR1534"/>
      <c r="ULS1534"/>
      <c r="ULT1534"/>
      <c r="ULU1534"/>
      <c r="ULV1534"/>
      <c r="ULW1534"/>
      <c r="ULX1534"/>
      <c r="ULY1534"/>
      <c r="ULZ1534"/>
      <c r="UMA1534"/>
      <c r="UMB1534"/>
      <c r="UMC1534"/>
      <c r="UMD1534"/>
      <c r="UME1534"/>
      <c r="UMF1534"/>
      <c r="UMG1534"/>
      <c r="UMH1534"/>
      <c r="UMI1534"/>
      <c r="UMJ1534"/>
      <c r="UMK1534"/>
      <c r="UML1534"/>
      <c r="UMM1534"/>
      <c r="UMN1534"/>
      <c r="UMO1534"/>
      <c r="UMP1534"/>
      <c r="UMQ1534"/>
      <c r="UMR1534"/>
      <c r="UMS1534"/>
      <c r="UMT1534"/>
      <c r="UMU1534"/>
      <c r="UMV1534"/>
      <c r="UMW1534"/>
      <c r="UMX1534"/>
      <c r="UMY1534"/>
      <c r="UMZ1534"/>
      <c r="UNA1534"/>
      <c r="UNB1534"/>
      <c r="UNC1534"/>
      <c r="UND1534"/>
      <c r="UNE1534"/>
      <c r="UNF1534"/>
      <c r="UNG1534"/>
      <c r="UNH1534"/>
      <c r="UNI1534"/>
      <c r="UNJ1534"/>
      <c r="UNK1534"/>
      <c r="UNL1534"/>
      <c r="UNM1534"/>
      <c r="UNN1534"/>
      <c r="UNO1534"/>
      <c r="UNP1534"/>
      <c r="UNQ1534"/>
      <c r="UNR1534"/>
      <c r="UNS1534"/>
      <c r="UNT1534"/>
      <c r="UNU1534"/>
      <c r="UNV1534"/>
      <c r="UNW1534"/>
      <c r="UNX1534"/>
      <c r="UNY1534"/>
      <c r="UNZ1534"/>
      <c r="UOA1534"/>
      <c r="UOB1534"/>
      <c r="UOC1534"/>
      <c r="UOD1534"/>
      <c r="UOE1534"/>
      <c r="UOF1534"/>
      <c r="UOG1534"/>
      <c r="UOH1534"/>
      <c r="UOI1534"/>
      <c r="UOJ1534"/>
      <c r="UOK1534"/>
      <c r="UOL1534"/>
      <c r="UOM1534"/>
      <c r="UON1534"/>
      <c r="UOO1534"/>
      <c r="UOP1534"/>
      <c r="UOQ1534"/>
      <c r="UOR1534"/>
      <c r="UOS1534"/>
      <c r="UOT1534"/>
      <c r="UOU1534"/>
      <c r="UOV1534"/>
      <c r="UOW1534"/>
      <c r="UOX1534"/>
      <c r="UOY1534"/>
      <c r="UOZ1534"/>
      <c r="UPA1534"/>
      <c r="UPB1534"/>
      <c r="UPC1534"/>
      <c r="UPD1534"/>
      <c r="UPE1534"/>
      <c r="UPF1534"/>
      <c r="UPG1534"/>
      <c r="UPH1534"/>
      <c r="UPI1534"/>
      <c r="UPJ1534"/>
      <c r="UPK1534"/>
      <c r="UPL1534"/>
      <c r="UPM1534"/>
      <c r="UPN1534"/>
      <c r="UPO1534"/>
      <c r="UPP1534"/>
      <c r="UPQ1534"/>
      <c r="UPR1534"/>
      <c r="UPS1534"/>
      <c r="UPT1534"/>
      <c r="UPU1534"/>
      <c r="UPV1534"/>
      <c r="UPW1534"/>
      <c r="UPX1534"/>
      <c r="UPY1534"/>
      <c r="UPZ1534"/>
      <c r="UQA1534"/>
      <c r="UQB1534"/>
      <c r="UQC1534"/>
      <c r="UQD1534"/>
      <c r="UQE1534"/>
      <c r="UQF1534"/>
      <c r="UQG1534"/>
      <c r="UQH1534"/>
      <c r="UQI1534"/>
      <c r="UQJ1534"/>
      <c r="UQK1534"/>
      <c r="UQL1534"/>
      <c r="UQM1534"/>
      <c r="UQN1534"/>
      <c r="UQO1534"/>
      <c r="UQP1534"/>
      <c r="UQQ1534"/>
      <c r="UQR1534"/>
      <c r="UQS1534"/>
      <c r="UQT1534"/>
      <c r="UQU1534"/>
      <c r="UQV1534"/>
      <c r="UQW1534"/>
      <c r="UQX1534"/>
      <c r="UQY1534"/>
      <c r="UQZ1534"/>
      <c r="URA1534"/>
      <c r="URB1534"/>
      <c r="URC1534"/>
      <c r="URD1534"/>
      <c r="URE1534"/>
      <c r="URF1534"/>
      <c r="URG1534"/>
      <c r="URH1534"/>
      <c r="URI1534"/>
      <c r="URJ1534"/>
      <c r="URK1534"/>
      <c r="URL1534"/>
      <c r="URM1534"/>
      <c r="URN1534"/>
      <c r="URO1534"/>
      <c r="URP1534"/>
      <c r="URQ1534"/>
      <c r="URR1534"/>
      <c r="URS1534"/>
      <c r="URT1534"/>
      <c r="URU1534"/>
      <c r="URV1534"/>
      <c r="URW1534"/>
      <c r="URX1534"/>
      <c r="URY1534"/>
      <c r="URZ1534"/>
      <c r="USA1534"/>
      <c r="USB1534"/>
      <c r="USC1534"/>
      <c r="USD1534"/>
      <c r="USE1534"/>
      <c r="USF1534"/>
      <c r="USG1534"/>
      <c r="USH1534"/>
      <c r="USI1534"/>
      <c r="USJ1534"/>
      <c r="USK1534"/>
      <c r="USL1534"/>
      <c r="USM1534"/>
      <c r="USN1534"/>
      <c r="USO1534"/>
      <c r="USP1534"/>
      <c r="USQ1534"/>
      <c r="USR1534"/>
      <c r="USS1534"/>
      <c r="UST1534"/>
      <c r="USU1534"/>
      <c r="USV1534"/>
      <c r="USW1534"/>
      <c r="USX1534"/>
      <c r="USY1534"/>
      <c r="USZ1534"/>
      <c r="UTA1534"/>
      <c r="UTB1534"/>
      <c r="UTC1534"/>
      <c r="UTD1534"/>
      <c r="UTE1534"/>
      <c r="UTF1534"/>
      <c r="UTG1534"/>
      <c r="UTH1534"/>
      <c r="UTI1534"/>
      <c r="UTJ1534"/>
      <c r="UTK1534"/>
      <c r="UTL1534"/>
      <c r="UTM1534"/>
      <c r="UTN1534"/>
      <c r="UTO1534"/>
      <c r="UTP1534"/>
      <c r="UTQ1534"/>
      <c r="UTR1534"/>
      <c r="UTS1534"/>
      <c r="UTT1534"/>
      <c r="UTU1534"/>
      <c r="UTV1534"/>
      <c r="UTW1534"/>
      <c r="UTX1534"/>
      <c r="UTY1534"/>
      <c r="UTZ1534"/>
      <c r="UUA1534"/>
      <c r="UUB1534"/>
      <c r="UUC1534"/>
      <c r="UUD1534"/>
      <c r="UUE1534"/>
      <c r="UUF1534"/>
      <c r="UUG1534"/>
      <c r="UUH1534"/>
      <c r="UUI1534"/>
      <c r="UUJ1534"/>
      <c r="UUK1534"/>
      <c r="UUL1534"/>
      <c r="UUM1534"/>
      <c r="UUN1534"/>
      <c r="UUO1534"/>
      <c r="UUP1534"/>
      <c r="UUQ1534"/>
      <c r="UUR1534"/>
      <c r="UUS1534"/>
      <c r="UUT1534"/>
      <c r="UUU1534"/>
      <c r="UUV1534"/>
      <c r="UUW1534"/>
      <c r="UUX1534"/>
      <c r="UUY1534"/>
      <c r="UUZ1534"/>
      <c r="UVA1534"/>
      <c r="UVB1534"/>
      <c r="UVC1534"/>
      <c r="UVD1534"/>
      <c r="UVE1534"/>
      <c r="UVF1534"/>
      <c r="UVG1534"/>
      <c r="UVH1534"/>
      <c r="UVI1534"/>
      <c r="UVJ1534"/>
      <c r="UVK1534"/>
      <c r="UVL1534"/>
      <c r="UVM1534"/>
      <c r="UVN1534"/>
      <c r="UVO1534"/>
      <c r="UVP1534"/>
      <c r="UVQ1534"/>
      <c r="UVR1534"/>
      <c r="UVS1534"/>
      <c r="UVT1534"/>
      <c r="UVU1534"/>
      <c r="UVV1534"/>
      <c r="UVW1534"/>
      <c r="UVX1534"/>
      <c r="UVY1534"/>
      <c r="UVZ1534"/>
      <c r="UWA1534"/>
      <c r="UWB1534"/>
      <c r="UWC1534"/>
      <c r="UWD1534"/>
      <c r="UWE1534"/>
      <c r="UWF1534"/>
      <c r="UWG1534"/>
      <c r="UWH1534"/>
      <c r="UWI1534"/>
      <c r="UWJ1534"/>
      <c r="UWK1534"/>
      <c r="UWL1534"/>
      <c r="UWM1534"/>
      <c r="UWN1534"/>
      <c r="UWO1534"/>
      <c r="UWP1534"/>
      <c r="UWQ1534"/>
      <c r="UWR1534"/>
      <c r="UWS1534"/>
      <c r="UWT1534"/>
      <c r="UWU1534"/>
      <c r="UWV1534"/>
      <c r="UWW1534"/>
      <c r="UWX1534"/>
      <c r="UWY1534"/>
      <c r="UWZ1534"/>
      <c r="UXA1534"/>
      <c r="UXB1534"/>
      <c r="UXC1534"/>
      <c r="UXD1534"/>
      <c r="UXE1534"/>
      <c r="UXF1534"/>
      <c r="UXG1534"/>
      <c r="UXH1534"/>
      <c r="UXI1534"/>
      <c r="UXJ1534"/>
      <c r="UXK1534"/>
      <c r="UXL1534"/>
      <c r="UXM1534"/>
      <c r="UXN1534"/>
      <c r="UXO1534"/>
      <c r="UXP1534"/>
      <c r="UXQ1534"/>
      <c r="UXR1534"/>
      <c r="UXS1534"/>
      <c r="UXT1534"/>
      <c r="UXU1534"/>
      <c r="UXV1534"/>
      <c r="UXW1534"/>
      <c r="UXX1534"/>
      <c r="UXY1534"/>
      <c r="UXZ1534"/>
      <c r="UYA1534"/>
      <c r="UYB1534"/>
      <c r="UYC1534"/>
      <c r="UYD1534"/>
      <c r="UYE1534"/>
      <c r="UYF1534"/>
      <c r="UYG1534"/>
      <c r="UYH1534"/>
      <c r="UYI1534"/>
      <c r="UYJ1534"/>
      <c r="UYK1534"/>
      <c r="UYL1534"/>
      <c r="UYM1534"/>
      <c r="UYN1534"/>
      <c r="UYO1534"/>
      <c r="UYP1534"/>
      <c r="UYQ1534"/>
      <c r="UYR1534"/>
      <c r="UYS1534"/>
      <c r="UYT1534"/>
      <c r="UYU1534"/>
      <c r="UYV1534"/>
      <c r="UYW1534"/>
      <c r="UYX1534"/>
      <c r="UYY1534"/>
      <c r="UYZ1534"/>
      <c r="UZA1534"/>
      <c r="UZB1534"/>
      <c r="UZC1534"/>
      <c r="UZD1534"/>
      <c r="UZE1534"/>
      <c r="UZF1534"/>
      <c r="UZG1534"/>
      <c r="UZH1534"/>
      <c r="UZI1534"/>
      <c r="UZJ1534"/>
      <c r="UZK1534"/>
      <c r="UZL1534"/>
      <c r="UZM1534"/>
      <c r="UZN1534"/>
      <c r="UZO1534"/>
      <c r="UZP1534"/>
      <c r="UZQ1534"/>
      <c r="UZR1534"/>
      <c r="UZS1534"/>
      <c r="UZT1534"/>
      <c r="UZU1534"/>
      <c r="UZV1534"/>
      <c r="UZW1534"/>
      <c r="UZX1534"/>
      <c r="UZY1534"/>
      <c r="UZZ1534"/>
      <c r="VAA1534"/>
      <c r="VAB1534"/>
      <c r="VAC1534"/>
      <c r="VAD1534"/>
      <c r="VAE1534"/>
      <c r="VAF1534"/>
      <c r="VAG1534"/>
      <c r="VAH1534"/>
      <c r="VAI1534"/>
      <c r="VAJ1534"/>
      <c r="VAK1534"/>
      <c r="VAL1534"/>
      <c r="VAM1534"/>
      <c r="VAN1534"/>
      <c r="VAO1534"/>
      <c r="VAP1534"/>
      <c r="VAQ1534"/>
      <c r="VAR1534"/>
      <c r="VAS1534"/>
      <c r="VAT1534"/>
      <c r="VAU1534"/>
      <c r="VAV1534"/>
      <c r="VAW1534"/>
      <c r="VAX1534"/>
      <c r="VAY1534"/>
      <c r="VAZ1534"/>
      <c r="VBA1534"/>
      <c r="VBB1534"/>
      <c r="VBC1534"/>
      <c r="VBD1534"/>
      <c r="VBE1534"/>
      <c r="VBF1534"/>
      <c r="VBG1534"/>
      <c r="VBH1534"/>
      <c r="VBI1534"/>
      <c r="VBJ1534"/>
      <c r="VBK1534"/>
      <c r="VBL1534"/>
      <c r="VBM1534"/>
      <c r="VBN1534"/>
      <c r="VBO1534"/>
      <c r="VBP1534"/>
      <c r="VBQ1534"/>
      <c r="VBR1534"/>
      <c r="VBS1534"/>
      <c r="VBT1534"/>
      <c r="VBU1534"/>
      <c r="VBV1534"/>
      <c r="VBW1534"/>
      <c r="VBX1534"/>
      <c r="VBY1534"/>
      <c r="VBZ1534"/>
      <c r="VCA1534"/>
      <c r="VCB1534"/>
      <c r="VCC1534"/>
      <c r="VCD1534"/>
      <c r="VCE1534"/>
      <c r="VCF1534"/>
      <c r="VCG1534"/>
      <c r="VCH1534"/>
      <c r="VCI1534"/>
      <c r="VCJ1534"/>
      <c r="VCK1534"/>
      <c r="VCL1534"/>
      <c r="VCM1534"/>
      <c r="VCN1534"/>
      <c r="VCO1534"/>
      <c r="VCP1534"/>
      <c r="VCQ1534"/>
      <c r="VCR1534"/>
      <c r="VCS1534"/>
      <c r="VCT1534"/>
      <c r="VCU1534"/>
      <c r="VCV1534"/>
      <c r="VCW1534"/>
      <c r="VCX1534"/>
      <c r="VCY1534"/>
      <c r="VCZ1534"/>
      <c r="VDA1534"/>
      <c r="VDB1534"/>
      <c r="VDC1534"/>
      <c r="VDD1534"/>
      <c r="VDE1534"/>
      <c r="VDF1534"/>
      <c r="VDG1534"/>
      <c r="VDH1534"/>
      <c r="VDI1534"/>
      <c r="VDJ1534"/>
      <c r="VDK1534"/>
      <c r="VDL1534"/>
      <c r="VDM1534"/>
      <c r="VDN1534"/>
      <c r="VDO1534"/>
      <c r="VDP1534"/>
      <c r="VDQ1534"/>
      <c r="VDR1534"/>
      <c r="VDS1534"/>
      <c r="VDT1534"/>
      <c r="VDU1534"/>
      <c r="VDV1534"/>
      <c r="VDW1534"/>
      <c r="VDX1534"/>
      <c r="VDY1534"/>
      <c r="VDZ1534"/>
      <c r="VEA1534"/>
      <c r="VEB1534"/>
      <c r="VEC1534"/>
      <c r="VED1534"/>
      <c r="VEE1534"/>
      <c r="VEF1534"/>
      <c r="VEG1534"/>
      <c r="VEH1534"/>
      <c r="VEI1534"/>
      <c r="VEJ1534"/>
      <c r="VEK1534"/>
      <c r="VEL1534"/>
      <c r="VEM1534"/>
      <c r="VEN1534"/>
      <c r="VEO1534"/>
      <c r="VEP1534"/>
      <c r="VEQ1534"/>
      <c r="VER1534"/>
      <c r="VES1534"/>
      <c r="VET1534"/>
      <c r="VEU1534"/>
      <c r="VEV1534"/>
      <c r="VEW1534"/>
      <c r="VEX1534"/>
      <c r="VEY1534"/>
      <c r="VEZ1534"/>
      <c r="VFA1534"/>
      <c r="VFB1534"/>
      <c r="VFC1534"/>
      <c r="VFD1534"/>
      <c r="VFE1534"/>
      <c r="VFF1534"/>
      <c r="VFG1534"/>
      <c r="VFH1534"/>
      <c r="VFI1534"/>
      <c r="VFJ1534"/>
      <c r="VFK1534"/>
      <c r="VFL1534"/>
      <c r="VFM1534"/>
      <c r="VFN1534"/>
      <c r="VFO1534"/>
      <c r="VFP1534"/>
      <c r="VFQ1534"/>
      <c r="VFR1534"/>
      <c r="VFS1534"/>
      <c r="VFT1534"/>
      <c r="VFU1534"/>
      <c r="VFV1534"/>
      <c r="VFW1534"/>
      <c r="VFX1534"/>
      <c r="VFY1534"/>
      <c r="VFZ1534"/>
      <c r="VGA1534"/>
      <c r="VGB1534"/>
      <c r="VGC1534"/>
      <c r="VGD1534"/>
      <c r="VGE1534"/>
      <c r="VGF1534"/>
      <c r="VGG1534"/>
      <c r="VGH1534"/>
      <c r="VGI1534"/>
      <c r="VGJ1534"/>
      <c r="VGK1534"/>
      <c r="VGL1534"/>
      <c r="VGM1534"/>
      <c r="VGN1534"/>
      <c r="VGO1534"/>
      <c r="VGP1534"/>
      <c r="VGQ1534"/>
      <c r="VGR1534"/>
      <c r="VGS1534"/>
      <c r="VGT1534"/>
      <c r="VGU1534"/>
      <c r="VGV1534"/>
      <c r="VGW1534"/>
      <c r="VGX1534"/>
      <c r="VGY1534"/>
      <c r="VGZ1534"/>
      <c r="VHA1534"/>
      <c r="VHB1534"/>
      <c r="VHC1534"/>
      <c r="VHD1534"/>
      <c r="VHE1534"/>
      <c r="VHF1534"/>
      <c r="VHG1534"/>
      <c r="VHH1534"/>
      <c r="VHI1534"/>
      <c r="VHJ1534"/>
      <c r="VHK1534"/>
      <c r="VHL1534"/>
      <c r="VHM1534"/>
      <c r="VHN1534"/>
      <c r="VHO1534"/>
      <c r="VHP1534"/>
      <c r="VHQ1534"/>
      <c r="VHR1534"/>
      <c r="VHS1534"/>
      <c r="VHT1534"/>
      <c r="VHU1534"/>
      <c r="VHV1534"/>
      <c r="VHW1534"/>
      <c r="VHX1534"/>
      <c r="VHY1534"/>
      <c r="VHZ1534"/>
      <c r="VIA1534"/>
      <c r="VIB1534"/>
      <c r="VIC1534"/>
      <c r="VID1534"/>
      <c r="VIE1534"/>
      <c r="VIF1534"/>
      <c r="VIG1534"/>
      <c r="VIH1534"/>
      <c r="VII1534"/>
      <c r="VIJ1534"/>
      <c r="VIK1534"/>
      <c r="VIL1534"/>
      <c r="VIM1534"/>
      <c r="VIN1534"/>
      <c r="VIO1534"/>
      <c r="VIP1534"/>
      <c r="VIQ1534"/>
      <c r="VIR1534"/>
      <c r="VIS1534"/>
      <c r="VIT1534"/>
      <c r="VIU1534"/>
      <c r="VIV1534"/>
      <c r="VIW1534"/>
      <c r="VIX1534"/>
      <c r="VIY1534"/>
      <c r="VIZ1534"/>
      <c r="VJA1534"/>
      <c r="VJB1534"/>
      <c r="VJC1534"/>
      <c r="VJD1534"/>
      <c r="VJE1534"/>
      <c r="VJF1534"/>
      <c r="VJG1534"/>
      <c r="VJH1534"/>
      <c r="VJI1534"/>
      <c r="VJJ1534"/>
      <c r="VJK1534"/>
      <c r="VJL1534"/>
      <c r="VJM1534"/>
      <c r="VJN1534"/>
      <c r="VJO1534"/>
      <c r="VJP1534"/>
      <c r="VJQ1534"/>
      <c r="VJR1534"/>
      <c r="VJS1534"/>
      <c r="VJT1534"/>
      <c r="VJU1534"/>
      <c r="VJV1534"/>
      <c r="VJW1534"/>
      <c r="VJX1534"/>
      <c r="VJY1534"/>
      <c r="VJZ1534"/>
      <c r="VKA1534"/>
      <c r="VKB1534"/>
      <c r="VKC1534"/>
      <c r="VKD1534"/>
      <c r="VKE1534"/>
      <c r="VKF1534"/>
      <c r="VKG1534"/>
      <c r="VKH1534"/>
      <c r="VKI1534"/>
      <c r="VKJ1534"/>
      <c r="VKK1534"/>
      <c r="VKL1534"/>
      <c r="VKM1534"/>
      <c r="VKN1534"/>
      <c r="VKO1534"/>
      <c r="VKP1534"/>
      <c r="VKQ1534"/>
      <c r="VKR1534"/>
      <c r="VKS1534"/>
      <c r="VKT1534"/>
      <c r="VKU1534"/>
      <c r="VKV1534"/>
      <c r="VKW1534"/>
      <c r="VKX1534"/>
      <c r="VKY1534"/>
      <c r="VKZ1534"/>
      <c r="VLA1534"/>
      <c r="VLB1534"/>
      <c r="VLC1534"/>
      <c r="VLD1534"/>
      <c r="VLE1534"/>
      <c r="VLF1534"/>
      <c r="VLG1534"/>
      <c r="VLH1534"/>
      <c r="VLI1534"/>
      <c r="VLJ1534"/>
      <c r="VLK1534"/>
      <c r="VLL1534"/>
      <c r="VLM1534"/>
      <c r="VLN1534"/>
      <c r="VLO1534"/>
      <c r="VLP1534"/>
      <c r="VLQ1534"/>
      <c r="VLR1534"/>
      <c r="VLS1534"/>
      <c r="VLT1534"/>
      <c r="VLU1534"/>
      <c r="VLV1534"/>
      <c r="VLW1534"/>
      <c r="VLX1534"/>
      <c r="VLY1534"/>
      <c r="VLZ1534"/>
      <c r="VMA1534"/>
      <c r="VMB1534"/>
      <c r="VMC1534"/>
      <c r="VMD1534"/>
      <c r="VME1534"/>
      <c r="VMF1534"/>
      <c r="VMG1534"/>
      <c r="VMH1534"/>
      <c r="VMI1534"/>
      <c r="VMJ1534"/>
      <c r="VMK1534"/>
      <c r="VML1534"/>
      <c r="VMM1534"/>
      <c r="VMN1534"/>
      <c r="VMO1534"/>
      <c r="VMP1534"/>
      <c r="VMQ1534"/>
      <c r="VMR1534"/>
      <c r="VMS1534"/>
      <c r="VMT1534"/>
      <c r="VMU1534"/>
      <c r="VMV1534"/>
      <c r="VMW1534"/>
      <c r="VMX1534"/>
      <c r="VMY1534"/>
      <c r="VMZ1534"/>
      <c r="VNA1534"/>
      <c r="VNB1534"/>
      <c r="VNC1534"/>
      <c r="VND1534"/>
      <c r="VNE1534"/>
      <c r="VNF1534"/>
      <c r="VNG1534"/>
      <c r="VNH1534"/>
      <c r="VNI1534"/>
      <c r="VNJ1534"/>
      <c r="VNK1534"/>
      <c r="VNL1534"/>
      <c r="VNM1534"/>
      <c r="VNN1534"/>
      <c r="VNO1534"/>
      <c r="VNP1534"/>
      <c r="VNQ1534"/>
      <c r="VNR1534"/>
      <c r="VNS1534"/>
      <c r="VNT1534"/>
      <c r="VNU1534"/>
      <c r="VNV1534"/>
      <c r="VNW1534"/>
      <c r="VNX1534"/>
      <c r="VNY1534"/>
      <c r="VNZ1534"/>
      <c r="VOA1534"/>
      <c r="VOB1534"/>
      <c r="VOC1534"/>
      <c r="VOD1534"/>
      <c r="VOE1534"/>
      <c r="VOF1534"/>
      <c r="VOG1534"/>
      <c r="VOH1534"/>
      <c r="VOI1534"/>
      <c r="VOJ1534"/>
      <c r="VOK1534"/>
      <c r="VOL1534"/>
      <c r="VOM1534"/>
      <c r="VON1534"/>
      <c r="VOO1534"/>
      <c r="VOP1534"/>
      <c r="VOQ1534"/>
      <c r="VOR1534"/>
      <c r="VOS1534"/>
      <c r="VOT1534"/>
      <c r="VOU1534"/>
      <c r="VOV1534"/>
      <c r="VOW1534"/>
      <c r="VOX1534"/>
      <c r="VOY1534"/>
      <c r="VOZ1534"/>
      <c r="VPA1534"/>
      <c r="VPB1534"/>
      <c r="VPC1534"/>
      <c r="VPD1534"/>
      <c r="VPE1534"/>
      <c r="VPF1534"/>
      <c r="VPG1534"/>
      <c r="VPH1534"/>
      <c r="VPI1534"/>
      <c r="VPJ1534"/>
      <c r="VPK1534"/>
      <c r="VPL1534"/>
      <c r="VPM1534"/>
      <c r="VPN1534"/>
      <c r="VPO1534"/>
      <c r="VPP1534"/>
      <c r="VPQ1534"/>
      <c r="VPR1534"/>
      <c r="VPS1534"/>
      <c r="VPT1534"/>
      <c r="VPU1534"/>
      <c r="VPV1534"/>
      <c r="VPW1534"/>
      <c r="VPX1534"/>
      <c r="VPY1534"/>
      <c r="VPZ1534"/>
      <c r="VQA1534"/>
      <c r="VQB1534"/>
      <c r="VQC1534"/>
      <c r="VQD1534"/>
      <c r="VQE1534"/>
      <c r="VQF1534"/>
      <c r="VQG1534"/>
      <c r="VQH1534"/>
      <c r="VQI1534"/>
      <c r="VQJ1534"/>
      <c r="VQK1534"/>
      <c r="VQL1534"/>
      <c r="VQM1534"/>
      <c r="VQN1534"/>
      <c r="VQO1534"/>
      <c r="VQP1534"/>
      <c r="VQQ1534"/>
      <c r="VQR1534"/>
      <c r="VQS1534"/>
      <c r="VQT1534"/>
      <c r="VQU1534"/>
      <c r="VQV1534"/>
      <c r="VQW1534"/>
      <c r="VQX1534"/>
      <c r="VQY1534"/>
      <c r="VQZ1534"/>
      <c r="VRA1534"/>
      <c r="VRB1534"/>
      <c r="VRC1534"/>
      <c r="VRD1534"/>
      <c r="VRE1534"/>
      <c r="VRF1534"/>
      <c r="VRG1534"/>
      <c r="VRH1534"/>
      <c r="VRI1534"/>
      <c r="VRJ1534"/>
      <c r="VRK1534"/>
      <c r="VRL1534"/>
      <c r="VRM1534"/>
      <c r="VRN1534"/>
      <c r="VRO1534"/>
      <c r="VRP1534"/>
      <c r="VRQ1534"/>
      <c r="VRR1534"/>
      <c r="VRS1534"/>
      <c r="VRT1534"/>
      <c r="VRU1534"/>
      <c r="VRV1534"/>
      <c r="VRW1534"/>
      <c r="VRX1534"/>
      <c r="VRY1534"/>
      <c r="VRZ1534"/>
      <c r="VSA1534"/>
      <c r="VSB1534"/>
      <c r="VSC1534"/>
      <c r="VSD1534"/>
      <c r="VSE1534"/>
      <c r="VSF1534"/>
      <c r="VSG1534"/>
      <c r="VSH1534"/>
      <c r="VSI1534"/>
      <c r="VSJ1534"/>
      <c r="VSK1534"/>
      <c r="VSL1534"/>
      <c r="VSM1534"/>
      <c r="VSN1534"/>
      <c r="VSO1534"/>
      <c r="VSP1534"/>
      <c r="VSQ1534"/>
      <c r="VSR1534"/>
      <c r="VSS1534"/>
      <c r="VST1534"/>
      <c r="VSU1534"/>
      <c r="VSV1534"/>
      <c r="VSW1534"/>
      <c r="VSX1534"/>
      <c r="VSY1534"/>
      <c r="VSZ1534"/>
      <c r="VTA1534"/>
      <c r="VTB1534"/>
      <c r="VTC1534"/>
      <c r="VTD1534"/>
      <c r="VTE1534"/>
      <c r="VTF1534"/>
      <c r="VTG1534"/>
      <c r="VTH1534"/>
      <c r="VTI1534"/>
      <c r="VTJ1534"/>
      <c r="VTK1534"/>
      <c r="VTL1534"/>
      <c r="VTM1534"/>
      <c r="VTN1534"/>
      <c r="VTO1534"/>
      <c r="VTP1534"/>
      <c r="VTQ1534"/>
      <c r="VTR1534"/>
      <c r="VTS1534"/>
      <c r="VTT1534"/>
      <c r="VTU1534"/>
      <c r="VTV1534"/>
      <c r="VTW1534"/>
      <c r="VTX1534"/>
      <c r="VTY1534"/>
      <c r="VTZ1534"/>
      <c r="VUA1534"/>
      <c r="VUB1534"/>
      <c r="VUC1534"/>
      <c r="VUD1534"/>
      <c r="VUE1534"/>
      <c r="VUF1534"/>
      <c r="VUG1534"/>
      <c r="VUH1534"/>
      <c r="VUI1534"/>
      <c r="VUJ1534"/>
      <c r="VUK1534"/>
      <c r="VUL1534"/>
      <c r="VUM1534"/>
      <c r="VUN1534"/>
      <c r="VUO1534"/>
      <c r="VUP1534"/>
      <c r="VUQ1534"/>
      <c r="VUR1534"/>
      <c r="VUS1534"/>
      <c r="VUT1534"/>
      <c r="VUU1534"/>
      <c r="VUV1534"/>
      <c r="VUW1534"/>
      <c r="VUX1534"/>
      <c r="VUY1534"/>
      <c r="VUZ1534"/>
      <c r="VVA1534"/>
      <c r="VVB1534"/>
      <c r="VVC1534"/>
      <c r="VVD1534"/>
      <c r="VVE1534"/>
      <c r="VVF1534"/>
      <c r="VVG1534"/>
      <c r="VVH1534"/>
      <c r="VVI1534"/>
      <c r="VVJ1534"/>
      <c r="VVK1534"/>
      <c r="VVL1534"/>
      <c r="VVM1534"/>
      <c r="VVN1534"/>
      <c r="VVO1534"/>
      <c r="VVP1534"/>
      <c r="VVQ1534"/>
      <c r="VVR1534"/>
      <c r="VVS1534"/>
      <c r="VVT1534"/>
      <c r="VVU1534"/>
      <c r="VVV1534"/>
      <c r="VVW1534"/>
      <c r="VVX1534"/>
      <c r="VVY1534"/>
      <c r="VVZ1534"/>
      <c r="VWA1534"/>
      <c r="VWB1534"/>
      <c r="VWC1534"/>
      <c r="VWD1534"/>
      <c r="VWE1534"/>
      <c r="VWF1534"/>
      <c r="VWG1534"/>
      <c r="VWH1534"/>
      <c r="VWI1534"/>
      <c r="VWJ1534"/>
      <c r="VWK1534"/>
      <c r="VWL1534"/>
      <c r="VWM1534"/>
      <c r="VWN1534"/>
      <c r="VWO1534"/>
      <c r="VWP1534"/>
      <c r="VWQ1534"/>
      <c r="VWR1534"/>
      <c r="VWS1534"/>
      <c r="VWT1534"/>
      <c r="VWU1534"/>
      <c r="VWV1534"/>
      <c r="VWW1534"/>
      <c r="VWX1534"/>
      <c r="VWY1534"/>
      <c r="VWZ1534"/>
      <c r="VXA1534"/>
      <c r="VXB1534"/>
      <c r="VXC1534"/>
      <c r="VXD1534"/>
      <c r="VXE1534"/>
      <c r="VXF1534"/>
      <c r="VXG1534"/>
      <c r="VXH1534"/>
      <c r="VXI1534"/>
      <c r="VXJ1534"/>
      <c r="VXK1534"/>
      <c r="VXL1534"/>
      <c r="VXM1534"/>
      <c r="VXN1534"/>
      <c r="VXO1534"/>
      <c r="VXP1534"/>
      <c r="VXQ1534"/>
      <c r="VXR1534"/>
      <c r="VXS1534"/>
      <c r="VXT1534"/>
      <c r="VXU1534"/>
      <c r="VXV1534"/>
      <c r="VXW1534"/>
      <c r="VXX1534"/>
      <c r="VXY1534"/>
      <c r="VXZ1534"/>
      <c r="VYA1534"/>
      <c r="VYB1534"/>
      <c r="VYC1534"/>
      <c r="VYD1534"/>
      <c r="VYE1534"/>
      <c r="VYF1534"/>
      <c r="VYG1534"/>
      <c r="VYH1534"/>
      <c r="VYI1534"/>
      <c r="VYJ1534"/>
      <c r="VYK1534"/>
      <c r="VYL1534"/>
      <c r="VYM1534"/>
      <c r="VYN1534"/>
      <c r="VYO1534"/>
      <c r="VYP1534"/>
      <c r="VYQ1534"/>
      <c r="VYR1534"/>
      <c r="VYS1534"/>
      <c r="VYT1534"/>
      <c r="VYU1534"/>
      <c r="VYV1534"/>
      <c r="VYW1534"/>
      <c r="VYX1534"/>
      <c r="VYY1534"/>
      <c r="VYZ1534"/>
      <c r="VZA1534"/>
      <c r="VZB1534"/>
      <c r="VZC1534"/>
      <c r="VZD1534"/>
      <c r="VZE1534"/>
      <c r="VZF1534"/>
      <c r="VZG1534"/>
      <c r="VZH1534"/>
      <c r="VZI1534"/>
      <c r="VZJ1534"/>
      <c r="VZK1534"/>
      <c r="VZL1534"/>
      <c r="VZM1534"/>
      <c r="VZN1534"/>
      <c r="VZO1534"/>
      <c r="VZP1534"/>
      <c r="VZQ1534"/>
      <c r="VZR1534"/>
      <c r="VZS1534"/>
      <c r="VZT1534"/>
      <c r="VZU1534"/>
      <c r="VZV1534"/>
      <c r="VZW1534"/>
      <c r="VZX1534"/>
      <c r="VZY1534"/>
      <c r="VZZ1534"/>
      <c r="WAA1534"/>
      <c r="WAB1534"/>
      <c r="WAC1534"/>
      <c r="WAD1534"/>
      <c r="WAE1534"/>
      <c r="WAF1534"/>
      <c r="WAG1534"/>
      <c r="WAH1534"/>
      <c r="WAI1534"/>
      <c r="WAJ1534"/>
      <c r="WAK1534"/>
      <c r="WAL1534"/>
      <c r="WAM1534"/>
      <c r="WAN1534"/>
      <c r="WAO1534"/>
      <c r="WAP1534"/>
      <c r="WAQ1534"/>
      <c r="WAR1534"/>
      <c r="WAS1534"/>
      <c r="WAT1534"/>
      <c r="WAU1534"/>
      <c r="WAV1534"/>
      <c r="WAW1534"/>
      <c r="WAX1534"/>
      <c r="WAY1534"/>
      <c r="WAZ1534"/>
      <c r="WBA1534"/>
      <c r="WBB1534"/>
      <c r="WBC1534"/>
      <c r="WBD1534"/>
      <c r="WBE1534"/>
      <c r="WBF1534"/>
      <c r="WBG1534"/>
      <c r="WBH1534"/>
      <c r="WBI1534"/>
      <c r="WBJ1534"/>
      <c r="WBK1534"/>
      <c r="WBL1534"/>
      <c r="WBM1534"/>
      <c r="WBN1534"/>
      <c r="WBO1534"/>
      <c r="WBP1534"/>
      <c r="WBQ1534"/>
      <c r="WBR1534"/>
      <c r="WBS1534"/>
      <c r="WBT1534"/>
      <c r="WBU1534"/>
      <c r="WBV1534"/>
      <c r="WBW1534"/>
      <c r="WBX1534"/>
      <c r="WBY1534"/>
      <c r="WBZ1534"/>
      <c r="WCA1534"/>
      <c r="WCB1534"/>
      <c r="WCC1534"/>
      <c r="WCD1534"/>
      <c r="WCE1534"/>
      <c r="WCF1534"/>
      <c r="WCG1534"/>
      <c r="WCH1534"/>
      <c r="WCI1534"/>
      <c r="WCJ1534"/>
      <c r="WCK1534"/>
      <c r="WCL1534"/>
      <c r="WCM1534"/>
      <c r="WCN1534"/>
      <c r="WCO1534"/>
      <c r="WCP1534"/>
      <c r="WCQ1534"/>
      <c r="WCR1534"/>
      <c r="WCS1534"/>
      <c r="WCT1534"/>
      <c r="WCU1534"/>
      <c r="WCV1534"/>
      <c r="WCW1534"/>
      <c r="WCX1534"/>
      <c r="WCY1534"/>
      <c r="WCZ1534"/>
      <c r="WDA1534"/>
      <c r="WDB1534"/>
      <c r="WDC1534"/>
      <c r="WDD1534"/>
      <c r="WDE1534"/>
      <c r="WDF1534"/>
      <c r="WDG1534"/>
      <c r="WDH1534"/>
      <c r="WDI1534"/>
      <c r="WDJ1534"/>
      <c r="WDK1534"/>
      <c r="WDL1534"/>
      <c r="WDM1534"/>
      <c r="WDN1534"/>
      <c r="WDO1534"/>
      <c r="WDP1534"/>
      <c r="WDQ1534"/>
      <c r="WDR1534"/>
      <c r="WDS1534"/>
      <c r="WDT1534"/>
      <c r="WDU1534"/>
      <c r="WDV1534"/>
      <c r="WDW1534"/>
      <c r="WDX1534"/>
      <c r="WDY1534"/>
      <c r="WDZ1534"/>
      <c r="WEA1534"/>
      <c r="WEB1534"/>
      <c r="WEC1534"/>
      <c r="WED1534"/>
      <c r="WEE1534"/>
      <c r="WEF1534"/>
      <c r="WEG1534"/>
      <c r="WEH1534"/>
      <c r="WEI1534"/>
      <c r="WEJ1534"/>
      <c r="WEK1534"/>
      <c r="WEL1534"/>
      <c r="WEM1534"/>
      <c r="WEN1534"/>
      <c r="WEO1534"/>
      <c r="WEP1534"/>
      <c r="WEQ1534"/>
      <c r="WER1534"/>
      <c r="WES1534"/>
      <c r="WET1534"/>
      <c r="WEU1534"/>
      <c r="WEV1534"/>
      <c r="WEW1534"/>
      <c r="WEX1534"/>
      <c r="WEY1534"/>
      <c r="WEZ1534"/>
      <c r="WFA1534"/>
      <c r="WFB1534"/>
      <c r="WFC1534"/>
      <c r="WFD1534"/>
      <c r="WFE1534"/>
      <c r="WFF1534"/>
      <c r="WFG1534"/>
      <c r="WFH1534"/>
      <c r="WFI1534"/>
      <c r="WFJ1534"/>
      <c r="WFK1534"/>
      <c r="WFL1534"/>
      <c r="WFM1534"/>
      <c r="WFN1534"/>
      <c r="WFO1534"/>
      <c r="WFP1534"/>
      <c r="WFQ1534"/>
      <c r="WFR1534"/>
      <c r="WFS1534"/>
      <c r="WFT1534"/>
      <c r="WFU1534"/>
      <c r="WFV1534"/>
      <c r="WFW1534"/>
      <c r="WFX1534"/>
      <c r="WFY1534"/>
      <c r="WFZ1534"/>
      <c r="WGA1534"/>
      <c r="WGB1534"/>
      <c r="WGC1534"/>
      <c r="WGD1534"/>
      <c r="WGE1534"/>
      <c r="WGF1534"/>
      <c r="WGG1534"/>
      <c r="WGH1534"/>
      <c r="WGI1534"/>
      <c r="WGJ1534"/>
      <c r="WGK1534"/>
      <c r="WGL1534"/>
      <c r="WGM1534"/>
      <c r="WGN1534"/>
      <c r="WGO1534"/>
      <c r="WGP1534"/>
      <c r="WGQ1534"/>
      <c r="WGR1534"/>
      <c r="WGS1534"/>
      <c r="WGT1534"/>
      <c r="WGU1534"/>
      <c r="WGV1534"/>
      <c r="WGW1534"/>
      <c r="WGX1534"/>
      <c r="WGY1534"/>
      <c r="WGZ1534"/>
      <c r="WHA1534"/>
      <c r="WHB1534"/>
      <c r="WHC1534"/>
      <c r="WHD1534"/>
      <c r="WHE1534"/>
      <c r="WHF1534"/>
      <c r="WHG1534"/>
      <c r="WHH1534"/>
      <c r="WHI1534"/>
      <c r="WHJ1534"/>
      <c r="WHK1534"/>
      <c r="WHL1534"/>
      <c r="WHM1534"/>
      <c r="WHN1534"/>
      <c r="WHO1534"/>
      <c r="WHP1534"/>
      <c r="WHQ1534"/>
      <c r="WHR1534"/>
      <c r="WHS1534"/>
      <c r="WHT1534"/>
      <c r="WHU1534"/>
      <c r="WHV1534"/>
      <c r="WHW1534"/>
      <c r="WHX1534"/>
      <c r="WHY1534"/>
      <c r="WHZ1534"/>
      <c r="WIA1534"/>
      <c r="WIB1534"/>
      <c r="WIC1534"/>
      <c r="WID1534"/>
      <c r="WIE1534"/>
      <c r="WIF1534"/>
      <c r="WIG1534"/>
      <c r="WIH1534"/>
      <c r="WII1534"/>
      <c r="WIJ1534"/>
      <c r="WIK1534"/>
      <c r="WIL1534"/>
      <c r="WIM1534"/>
      <c r="WIN1534"/>
      <c r="WIO1534"/>
      <c r="WIP1534"/>
      <c r="WIQ1534"/>
      <c r="WIR1534"/>
      <c r="WIS1534"/>
      <c r="WIT1534"/>
      <c r="WIU1534"/>
      <c r="WIV1534"/>
      <c r="WIW1534"/>
      <c r="WIX1534"/>
      <c r="WIY1534"/>
      <c r="WIZ1534"/>
      <c r="WJA1534"/>
      <c r="WJB1534"/>
      <c r="WJC1534"/>
      <c r="WJD1534"/>
      <c r="WJE1534"/>
      <c r="WJF1534"/>
      <c r="WJG1534"/>
      <c r="WJH1534"/>
      <c r="WJI1534"/>
      <c r="WJJ1534"/>
      <c r="WJK1534"/>
      <c r="WJL1534"/>
      <c r="WJM1534"/>
      <c r="WJN1534"/>
      <c r="WJO1534"/>
      <c r="WJP1534"/>
      <c r="WJQ1534"/>
      <c r="WJR1534"/>
      <c r="WJS1534"/>
      <c r="WJT1534"/>
      <c r="WJU1534"/>
      <c r="WJV1534"/>
      <c r="WJW1534"/>
      <c r="WJX1534"/>
      <c r="WJY1534"/>
      <c r="WJZ1534"/>
      <c r="WKA1534"/>
      <c r="WKB1534"/>
      <c r="WKC1534"/>
      <c r="WKD1534"/>
      <c r="WKE1534"/>
      <c r="WKF1534"/>
      <c r="WKG1534"/>
      <c r="WKH1534"/>
      <c r="WKI1534"/>
      <c r="WKJ1534"/>
      <c r="WKK1534"/>
      <c r="WKL1534"/>
      <c r="WKM1534"/>
      <c r="WKN1534"/>
      <c r="WKO1534"/>
      <c r="WKP1534"/>
      <c r="WKQ1534"/>
      <c r="WKR1534"/>
      <c r="WKS1534"/>
      <c r="WKT1534"/>
      <c r="WKU1534"/>
      <c r="WKV1534"/>
      <c r="WKW1534"/>
      <c r="WKX1534"/>
      <c r="WKY1534"/>
      <c r="WKZ1534"/>
      <c r="WLA1534"/>
      <c r="WLB1534"/>
      <c r="WLC1534"/>
      <c r="WLD1534"/>
      <c r="WLE1534"/>
      <c r="WLF1534"/>
      <c r="WLG1534"/>
      <c r="WLH1534"/>
      <c r="WLI1534"/>
      <c r="WLJ1534"/>
      <c r="WLK1534"/>
      <c r="WLL1534"/>
      <c r="WLM1534"/>
      <c r="WLN1534"/>
      <c r="WLO1534"/>
      <c r="WLP1534"/>
      <c r="WLQ1534"/>
      <c r="WLR1534"/>
      <c r="WLS1534"/>
      <c r="WLT1534"/>
      <c r="WLU1534"/>
      <c r="WLV1534"/>
      <c r="WLW1534"/>
      <c r="WLX1534"/>
      <c r="WLY1534"/>
      <c r="WLZ1534"/>
      <c r="WMA1534"/>
      <c r="WMB1534"/>
      <c r="WMC1534"/>
      <c r="WMD1534"/>
      <c r="WME1534"/>
      <c r="WMF1534"/>
      <c r="WMG1534"/>
      <c r="WMH1534"/>
      <c r="WMI1534"/>
      <c r="WMJ1534"/>
      <c r="WMK1534"/>
      <c r="WML1534"/>
      <c r="WMM1534"/>
      <c r="WMN1534"/>
      <c r="WMO1534"/>
      <c r="WMP1534"/>
      <c r="WMQ1534"/>
      <c r="WMR1534"/>
      <c r="WMS1534"/>
      <c r="WMT1534"/>
      <c r="WMU1534"/>
      <c r="WMV1534"/>
      <c r="WMW1534"/>
      <c r="WMX1534"/>
      <c r="WMY1534"/>
      <c r="WMZ1534"/>
      <c r="WNA1534"/>
      <c r="WNB1534"/>
      <c r="WNC1534"/>
      <c r="WND1534"/>
      <c r="WNE1534"/>
      <c r="WNF1534"/>
      <c r="WNG1534"/>
      <c r="WNH1534"/>
      <c r="WNI1534"/>
      <c r="WNJ1534"/>
      <c r="WNK1534"/>
      <c r="WNL1534"/>
      <c r="WNM1534"/>
      <c r="WNN1534"/>
      <c r="WNO1534"/>
      <c r="WNP1534"/>
      <c r="WNQ1534"/>
      <c r="WNR1534"/>
      <c r="WNS1534"/>
      <c r="WNT1534"/>
      <c r="WNU1534"/>
      <c r="WNV1534"/>
      <c r="WNW1534"/>
      <c r="WNX1534"/>
      <c r="WNY1534"/>
      <c r="WNZ1534"/>
      <c r="WOA1534"/>
      <c r="WOB1534"/>
      <c r="WOC1534"/>
      <c r="WOD1534"/>
      <c r="WOE1534"/>
      <c r="WOF1534"/>
      <c r="WOG1534"/>
      <c r="WOH1534"/>
      <c r="WOI1534"/>
      <c r="WOJ1534"/>
      <c r="WOK1534"/>
      <c r="WOL1534"/>
      <c r="WOM1534"/>
      <c r="WON1534"/>
      <c r="WOO1534"/>
      <c r="WOP1534"/>
      <c r="WOQ1534"/>
      <c r="WOR1534"/>
      <c r="WOS1534"/>
      <c r="WOT1534"/>
      <c r="WOU1534"/>
      <c r="WOV1534"/>
      <c r="WOW1534"/>
      <c r="WOX1534"/>
      <c r="WOY1534"/>
      <c r="WOZ1534"/>
      <c r="WPA1534"/>
      <c r="WPB1534"/>
      <c r="WPC1534"/>
      <c r="WPD1534"/>
      <c r="WPE1534"/>
      <c r="WPF1534"/>
      <c r="WPG1534"/>
      <c r="WPH1534"/>
      <c r="WPI1534"/>
      <c r="WPJ1534"/>
      <c r="WPK1534"/>
      <c r="WPL1534"/>
      <c r="WPM1534"/>
      <c r="WPN1534"/>
      <c r="WPO1534"/>
      <c r="WPP1534"/>
      <c r="WPQ1534"/>
      <c r="WPR1534"/>
      <c r="WPS1534"/>
      <c r="WPT1534"/>
      <c r="WPU1534"/>
      <c r="WPV1534"/>
      <c r="WPW1534"/>
      <c r="WPX1534"/>
      <c r="WPY1534"/>
      <c r="WPZ1534"/>
      <c r="WQA1534"/>
      <c r="WQB1534"/>
      <c r="WQC1534"/>
      <c r="WQD1534"/>
      <c r="WQE1534"/>
      <c r="WQF1534"/>
      <c r="WQG1534"/>
      <c r="WQH1534"/>
      <c r="WQI1534"/>
      <c r="WQJ1534"/>
      <c r="WQK1534"/>
      <c r="WQL1534"/>
      <c r="WQM1534"/>
      <c r="WQN1534"/>
      <c r="WQO1534"/>
      <c r="WQP1534"/>
      <c r="WQQ1534"/>
      <c r="WQR1534"/>
      <c r="WQS1534"/>
      <c r="WQT1534"/>
      <c r="WQU1534"/>
      <c r="WQV1534"/>
      <c r="WQW1534"/>
      <c r="WQX1534"/>
      <c r="WQY1534"/>
      <c r="WQZ1534"/>
      <c r="WRA1534"/>
      <c r="WRB1534"/>
      <c r="WRC1534"/>
      <c r="WRD1534"/>
      <c r="WRE1534"/>
      <c r="WRF1534"/>
      <c r="WRG1534"/>
      <c r="WRH1534"/>
      <c r="WRI1534"/>
      <c r="WRJ1534"/>
      <c r="WRK1534"/>
      <c r="WRL1534"/>
      <c r="WRM1534"/>
      <c r="WRN1534"/>
      <c r="WRO1534"/>
      <c r="WRP1534"/>
      <c r="WRQ1534"/>
      <c r="WRR1534"/>
      <c r="WRS1534"/>
      <c r="WRT1534"/>
      <c r="WRU1534"/>
      <c r="WRV1534"/>
      <c r="WRW1534"/>
      <c r="WRX1534"/>
      <c r="WRY1534"/>
      <c r="WRZ1534"/>
      <c r="WSA1534"/>
      <c r="WSB1534"/>
      <c r="WSC1534"/>
      <c r="WSD1534"/>
      <c r="WSE1534"/>
      <c r="WSF1534"/>
      <c r="WSG1534"/>
      <c r="WSH1534"/>
      <c r="WSI1534"/>
      <c r="WSJ1534"/>
      <c r="WSK1534"/>
      <c r="WSL1534"/>
      <c r="WSM1534"/>
      <c r="WSN1534"/>
      <c r="WSO1534"/>
      <c r="WSP1534"/>
      <c r="WSQ1534"/>
      <c r="WSR1534"/>
      <c r="WSS1534"/>
      <c r="WST1534"/>
      <c r="WSU1534"/>
      <c r="WSV1534"/>
      <c r="WSW1534"/>
      <c r="WSX1534"/>
      <c r="WSY1534"/>
      <c r="WSZ1534"/>
      <c r="WTA1534"/>
      <c r="WTB1534"/>
      <c r="WTC1534"/>
      <c r="WTD1534"/>
      <c r="WTE1534"/>
      <c r="WTF1534"/>
      <c r="WTG1534"/>
      <c r="WTH1534"/>
      <c r="WTI1534"/>
      <c r="WTJ1534"/>
      <c r="WTK1534"/>
      <c r="WTL1534"/>
      <c r="WTM1534"/>
      <c r="WTN1534"/>
      <c r="WTO1534"/>
      <c r="WTP1534"/>
      <c r="WTQ1534"/>
      <c r="WTR1534"/>
      <c r="WTS1534"/>
      <c r="WTT1534"/>
      <c r="WTU1534"/>
      <c r="WTV1534"/>
      <c r="WTW1534"/>
      <c r="WTX1534"/>
      <c r="WTY1534"/>
      <c r="WTZ1534"/>
      <c r="WUA1534"/>
      <c r="WUB1534"/>
      <c r="WUC1534"/>
      <c r="WUD1534"/>
      <c r="WUE1534"/>
      <c r="WUF1534"/>
      <c r="WUG1534"/>
      <c r="WUH1534"/>
      <c r="WUI1534"/>
      <c r="WUJ1534"/>
      <c r="WUK1534"/>
      <c r="WUL1534"/>
      <c r="WUM1534"/>
      <c r="WUN1534"/>
      <c r="WUO1534"/>
      <c r="WUP1534"/>
      <c r="WUQ1534"/>
      <c r="WUR1534"/>
      <c r="WUS1534"/>
      <c r="WUT1534"/>
      <c r="WUU1534"/>
      <c r="WUV1534"/>
      <c r="WUW1534"/>
      <c r="WUX1534"/>
      <c r="WUY1534"/>
      <c r="WUZ1534"/>
      <c r="WVA1534"/>
      <c r="WVB1534"/>
      <c r="WVC1534"/>
      <c r="WVD1534"/>
      <c r="WVE1534"/>
      <c r="WVF1534"/>
      <c r="WVG1534"/>
      <c r="WVH1534"/>
      <c r="WVI1534"/>
      <c r="WVJ1534"/>
      <c r="WVK1534"/>
      <c r="WVL1534"/>
      <c r="WVM1534"/>
      <c r="WVN1534"/>
      <c r="WVO1534"/>
      <c r="WVP1534"/>
      <c r="WVQ1534"/>
      <c r="WVR1534"/>
      <c r="WVS1534"/>
      <c r="WVT1534"/>
      <c r="WVU1534"/>
      <c r="WVV1534"/>
      <c r="WVW1534"/>
      <c r="WVX1534"/>
      <c r="WVY1534"/>
      <c r="WVZ1534"/>
      <c r="WWA1534"/>
      <c r="WWB1534"/>
      <c r="WWC1534"/>
      <c r="WWD1534"/>
      <c r="WWE1534"/>
      <c r="WWF1534"/>
      <c r="WWG1534"/>
      <c r="WWH1534"/>
      <c r="WWI1534"/>
      <c r="WWJ1534"/>
      <c r="WWK1534"/>
      <c r="WWL1534"/>
      <c r="WWM1534"/>
      <c r="WWN1534"/>
      <c r="WWO1534"/>
      <c r="WWP1534"/>
      <c r="WWQ1534"/>
      <c r="WWR1534"/>
      <c r="WWS1534"/>
      <c r="WWT1534"/>
      <c r="WWU1534"/>
      <c r="WWV1534"/>
      <c r="WWW1534"/>
      <c r="WWX1534"/>
      <c r="WWY1534"/>
      <c r="WWZ1534"/>
      <c r="WXA1534"/>
      <c r="WXB1534"/>
      <c r="WXC1534"/>
      <c r="WXD1534"/>
      <c r="WXE1534"/>
      <c r="WXF1534"/>
      <c r="WXG1534"/>
      <c r="WXH1534"/>
      <c r="WXI1534"/>
      <c r="WXJ1534"/>
      <c r="WXK1534"/>
      <c r="WXL1534"/>
      <c r="WXM1534"/>
      <c r="WXN1534"/>
      <c r="WXO1534"/>
      <c r="WXP1534"/>
      <c r="WXQ1534"/>
      <c r="WXR1534"/>
      <c r="WXS1534"/>
      <c r="WXT1534"/>
      <c r="WXU1534"/>
      <c r="WXV1534"/>
      <c r="WXW1534"/>
      <c r="WXX1534"/>
      <c r="WXY1534"/>
      <c r="WXZ1534"/>
      <c r="WYA1534"/>
      <c r="WYB1534"/>
      <c r="WYC1534"/>
      <c r="WYD1534"/>
      <c r="WYE1534"/>
      <c r="WYF1534"/>
      <c r="WYG1534"/>
      <c r="WYH1534"/>
      <c r="WYI1534"/>
      <c r="WYJ1534"/>
      <c r="WYK1534"/>
      <c r="WYL1534"/>
      <c r="WYM1534"/>
      <c r="WYN1534"/>
      <c r="WYO1534"/>
      <c r="WYP1534"/>
      <c r="WYQ1534"/>
      <c r="WYR1534"/>
      <c r="WYS1534"/>
      <c r="WYT1534"/>
      <c r="WYU1534"/>
      <c r="WYV1534"/>
      <c r="WYW1534"/>
      <c r="WYX1534"/>
      <c r="WYY1534"/>
      <c r="WYZ1534"/>
      <c r="WZA1534"/>
      <c r="WZB1534"/>
      <c r="WZC1534"/>
      <c r="WZD1534"/>
      <c r="WZE1534"/>
      <c r="WZF1534"/>
      <c r="WZG1534"/>
      <c r="WZH1534"/>
      <c r="WZI1534"/>
      <c r="WZJ1534"/>
      <c r="WZK1534"/>
      <c r="WZL1534"/>
      <c r="WZM1534"/>
      <c r="WZN1534"/>
      <c r="WZO1534"/>
      <c r="WZP1534"/>
      <c r="WZQ1534"/>
      <c r="WZR1534"/>
      <c r="WZS1534"/>
      <c r="WZT1534"/>
      <c r="WZU1534"/>
      <c r="WZV1534"/>
      <c r="WZW1534"/>
      <c r="WZX1534"/>
      <c r="WZY1534"/>
      <c r="WZZ1534"/>
      <c r="XAA1534"/>
      <c r="XAB1534"/>
      <c r="XAC1534"/>
      <c r="XAD1534"/>
      <c r="XAE1534"/>
      <c r="XAF1534"/>
      <c r="XAG1534"/>
      <c r="XAH1534"/>
      <c r="XAI1534"/>
      <c r="XAJ1534"/>
      <c r="XAK1534"/>
      <c r="XAL1534"/>
      <c r="XAM1534"/>
      <c r="XAN1534"/>
      <c r="XAO1534"/>
      <c r="XAP1534"/>
      <c r="XAQ1534"/>
      <c r="XAR1534"/>
      <c r="XAS1534"/>
      <c r="XAT1534"/>
      <c r="XAU1534"/>
      <c r="XAV1534"/>
      <c r="XAW1534"/>
      <c r="XAX1534"/>
      <c r="XAY1534"/>
      <c r="XAZ1534"/>
      <c r="XBA1534"/>
      <c r="XBB1534"/>
      <c r="XBC1534"/>
      <c r="XBD1534"/>
      <c r="XBE1534"/>
      <c r="XBF1534"/>
      <c r="XBG1534"/>
      <c r="XBH1534"/>
      <c r="XBI1534"/>
      <c r="XBJ1534"/>
      <c r="XBK1534"/>
      <c r="XBL1534"/>
      <c r="XBM1534"/>
      <c r="XBN1534"/>
      <c r="XBO1534"/>
      <c r="XBP1534"/>
      <c r="XBQ1534"/>
      <c r="XBR1534"/>
      <c r="XBS1534"/>
      <c r="XBT1534"/>
      <c r="XBU1534"/>
      <c r="XBV1534"/>
      <c r="XBW1534"/>
      <c r="XBX1534"/>
      <c r="XBY1534"/>
      <c r="XBZ1534"/>
      <c r="XCA1534"/>
      <c r="XCB1534"/>
      <c r="XCC1534"/>
      <c r="XCD1534"/>
      <c r="XCE1534"/>
      <c r="XCF1534"/>
      <c r="XCG1534"/>
      <c r="XCH1534"/>
      <c r="XCI1534"/>
      <c r="XCJ1534"/>
      <c r="XCK1534"/>
      <c r="XCL1534"/>
      <c r="XCM1534"/>
      <c r="XCN1534"/>
      <c r="XCO1534"/>
      <c r="XCP1534"/>
      <c r="XCQ1534"/>
      <c r="XCR1534"/>
      <c r="XCS1534"/>
      <c r="XCT1534"/>
      <c r="XCU1534"/>
      <c r="XCV1534"/>
      <c r="XCW1534"/>
      <c r="XCX1534"/>
      <c r="XCY1534"/>
      <c r="XCZ1534"/>
      <c r="XDA1534"/>
      <c r="XDB1534"/>
      <c r="XDC1534"/>
      <c r="XDD1534"/>
      <c r="XDE1534"/>
      <c r="XDF1534"/>
      <c r="XDG1534"/>
      <c r="XDH1534"/>
      <c r="XDI1534"/>
      <c r="XDJ1534"/>
      <c r="XDK1534"/>
      <c r="XDL1534"/>
      <c r="XDM1534"/>
      <c r="XDN1534"/>
      <c r="XDO1534"/>
      <c r="XDP1534"/>
      <c r="XDQ1534"/>
      <c r="XDR1534"/>
      <c r="XDS1534"/>
      <c r="XDT1534"/>
      <c r="XDU1534"/>
      <c r="XDV1534"/>
      <c r="XDW1534"/>
      <c r="XDX1534"/>
      <c r="XDY1534"/>
      <c r="XDZ1534"/>
      <c r="XEA1534"/>
      <c r="XEB1534"/>
      <c r="XEC1534"/>
      <c r="XED1534"/>
      <c r="XEE1534"/>
      <c r="XEF1534"/>
      <c r="XEG1534"/>
      <c r="XEH1534"/>
      <c r="XEI1534"/>
      <c r="XEJ1534"/>
      <c r="XEK1534"/>
      <c r="XEL1534"/>
      <c r="XEM1534"/>
      <c r="XEN1534"/>
      <c r="XEO1534"/>
      <c r="XEP1534"/>
      <c r="XEQ1534"/>
      <c r="XER1534"/>
      <c r="XES1534"/>
      <c r="XET1534"/>
      <c r="XEU1534"/>
      <c r="XEV1534"/>
      <c r="XEW1534"/>
      <c r="XEX1534"/>
    </row>
    <row r="1535" spans="1:16378" ht="15" customHeight="1" x14ac:dyDescent="0.25">
      <c r="A1535">
        <v>2025</v>
      </c>
      <c r="B1535" s="878" t="s">
        <v>4</v>
      </c>
      <c r="C1535" s="878" t="s">
        <v>6615</v>
      </c>
      <c r="D1535" s="878">
        <v>1214113</v>
      </c>
      <c r="E1535" s="878" t="s">
        <v>6617</v>
      </c>
      <c r="F1535" s="878" t="s">
        <v>784</v>
      </c>
      <c r="G1535" s="878" t="s">
        <v>32</v>
      </c>
      <c r="H1535" s="878" t="s">
        <v>3852</v>
      </c>
      <c r="I1535" s="883">
        <v>45904</v>
      </c>
      <c r="J1535" s="918" t="s">
        <v>2052</v>
      </c>
      <c r="K1535" s="1196">
        <v>45909</v>
      </c>
      <c r="L1535" s="919">
        <f>IF(ISTEXT(Table15[[#This Row],[Engineering Approved Design Date]]),Table15[[#This Row],[Date Completed]]-Table15[[#This Row],[Date Assigned to Designer]],Table15[[#This Row],[Engineering Approved Design Date]]-Table15[[#This Row],[Date Completed]])</f>
        <v>5</v>
      </c>
      <c r="M1535" s="1693" t="s">
        <v>9165</v>
      </c>
      <c r="N1535" s="885" t="s">
        <v>739</v>
      </c>
      <c r="O1535" s="886">
        <v>45901</v>
      </c>
      <c r="P1535" s="1153" t="s">
        <v>739</v>
      </c>
      <c r="Q1535" s="1150">
        <f>SUM(Table15[[#This Row],[Shactee Effort]:[KH Hourly Effort]])</f>
        <v>2197.5</v>
      </c>
      <c r="R1535" s="920" t="s">
        <v>1922</v>
      </c>
      <c r="S1535" s="1015">
        <v>0</v>
      </c>
      <c r="T1535" s="1015">
        <v>0</v>
      </c>
      <c r="U1535" s="103">
        <v>2197.5</v>
      </c>
      <c r="V1535" s="437" t="s">
        <v>29</v>
      </c>
      <c r="W1535" s="995" t="s">
        <v>29</v>
      </c>
      <c r="X1535" s="888" t="s">
        <v>29</v>
      </c>
      <c r="Y1535" s="888"/>
      <c r="Z1535" s="888" t="s">
        <v>29</v>
      </c>
      <c r="AA1535" s="889" t="s">
        <v>29</v>
      </c>
      <c r="AB1535" s="893" t="s">
        <v>29</v>
      </c>
      <c r="AC1535" s="1230" t="s">
        <v>709</v>
      </c>
      <c r="AD1535" s="1694" t="s">
        <v>709</v>
      </c>
      <c r="AE1535" s="1016" t="s">
        <v>709</v>
      </c>
      <c r="AF1535" s="1197" t="s">
        <v>756</v>
      </c>
      <c r="AG1535" s="897" t="s">
        <v>376</v>
      </c>
      <c r="AH1535" s="902" t="s">
        <v>376</v>
      </c>
      <c r="AI1535" s="921" t="s">
        <v>29</v>
      </c>
      <c r="AJ1535" s="922" t="s">
        <v>29</v>
      </c>
      <c r="AK1535" s="922" t="s">
        <v>29</v>
      </c>
      <c r="AL1535" s="923" t="s">
        <v>29</v>
      </c>
      <c r="AM1535" s="542" t="s">
        <v>709</v>
      </c>
      <c r="AN1535" s="924"/>
      <c r="AO1535" s="925"/>
      <c r="AP1535" s="926"/>
      <c r="AQ1535" s="926"/>
      <c r="AR1535" s="926"/>
      <c r="AS1535" s="926"/>
      <c r="AT1535" s="926"/>
      <c r="AU1535" s="926"/>
      <c r="AV1535" s="926"/>
      <c r="AW1535" s="927"/>
      <c r="AX1535" s="926"/>
      <c r="AY1535" s="1538" t="s">
        <v>29</v>
      </c>
      <c r="AZ1535" s="1530"/>
      <c r="BA1535" s="910">
        <v>3</v>
      </c>
      <c r="BB1535" s="928" t="s">
        <v>29</v>
      </c>
      <c r="BC1535" s="1261" t="s">
        <v>756</v>
      </c>
      <c r="BD1535" s="1261" t="s">
        <v>882</v>
      </c>
      <c r="BE1535" s="1261" t="s">
        <v>709</v>
      </c>
      <c r="BF1535" s="1261" t="s">
        <v>709</v>
      </c>
      <c r="BG1535" s="1261" t="s">
        <v>709</v>
      </c>
      <c r="BH1535" s="1023" t="s">
        <v>9166</v>
      </c>
      <c r="BI1535" s="627" t="s">
        <v>709</v>
      </c>
      <c r="BJ1535" s="627" t="s">
        <v>709</v>
      </c>
      <c r="BK1535" s="627" t="s">
        <v>709</v>
      </c>
      <c r="BL1535" s="627" t="s">
        <v>116</v>
      </c>
      <c r="BM1535" s="627">
        <v>0</v>
      </c>
      <c r="BN1535" s="627">
        <v>0</v>
      </c>
      <c r="BO1535" s="627">
        <v>0</v>
      </c>
      <c r="BP1535" s="627">
        <v>0</v>
      </c>
      <c r="BQ1535" s="1231">
        <v>0</v>
      </c>
      <c r="BR1535" s="1231">
        <v>449</v>
      </c>
      <c r="BS1535" s="1198">
        <v>0</v>
      </c>
      <c r="BT1535" s="627">
        <v>0</v>
      </c>
      <c r="BU1535" s="627">
        <v>0</v>
      </c>
      <c r="BV1535" s="627">
        <v>0</v>
      </c>
      <c r="BW1535" s="627">
        <v>0</v>
      </c>
      <c r="BX1535" s="627">
        <v>0</v>
      </c>
      <c r="BY1535" s="627">
        <v>0</v>
      </c>
      <c r="BZ1535" s="621" t="s">
        <v>709</v>
      </c>
      <c r="CA1535" s="1225"/>
      <c r="CB1535" s="547"/>
      <c r="CC1535" s="1481"/>
      <c r="CD1535" s="879" t="str">
        <f>Table15[[#This Row],[Engineering Number]]&amp;Table15[[#This Row],[WO Number]]&amp;Table15[[#This Row],[Date Assigned to Designer]]&amp;Table15[[#This Row],[Date Completed]]</f>
        <v>M1545012141134590445909</v>
      </c>
    </row>
    <row r="1538" spans="6:8" ht="15" customHeight="1" x14ac:dyDescent="0.25">
      <c r="F1538" s="879" t="s">
        <v>41</v>
      </c>
    </row>
    <row r="1545" spans="6:8" ht="15" customHeight="1" x14ac:dyDescent="0.25">
      <c r="H1545" s="879" t="s">
        <v>41</v>
      </c>
    </row>
  </sheetData>
  <sheetProtection formatCells="0" formatColumns="0" formatRows="0" insertColumns="0" insertRows="0" insertHyperlinks="0" deleteColumns="0" deleteRows="0" sort="0" autoFilter="0" pivotTables="0"/>
  <mergeCells count="5">
    <mergeCell ref="BH1:BK1"/>
    <mergeCell ref="BL1:BR1"/>
    <mergeCell ref="BS1:BX1"/>
    <mergeCell ref="S1:U1"/>
    <mergeCell ref="CF19:CH21"/>
  </mergeCells>
  <phoneticPr fontId="19" type="noConversion"/>
  <pageMargins left="0.7" right="0.7" top="0.75" bottom="0.75" header="0.3" footer="0.3"/>
  <pageSetup scale="1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782" r:id="rId4" name="Button 27134">
              <controlPr defaultSize="0" print="0" autoFill="0" autoPict="0" macro="[0]!HighlightDifferencesInPurple">
                <anchor moveWithCells="1" sizeWithCells="1">
                  <from>
                    <xdr:col>83</xdr:col>
                    <xdr:colOff>0</xdr:colOff>
                    <xdr:row>1</xdr:row>
                    <xdr:rowOff>180975</xdr:rowOff>
                  </from>
                  <to>
                    <xdr:col>85</xdr:col>
                    <xdr:colOff>638175</xdr:colOff>
                    <xdr:row>4</xdr:row>
                    <xdr:rowOff>180975</xdr:rowOff>
                  </to>
                </anchor>
              </controlPr>
            </control>
          </mc:Choice>
        </mc:AlternateContent>
        <mc:AlternateContent xmlns:mc="http://schemas.openxmlformats.org/markup-compatibility/2006">
          <mc:Choice Requires="x14">
            <control shapeId="54783" r:id="rId5" name="Button 27135">
              <controlPr defaultSize="0" print="0" autoFill="0" autoPict="0" macro="[0]!CopyCheckedRows">
                <anchor moveWithCells="1" sizeWithCells="1">
                  <from>
                    <xdr:col>82</xdr:col>
                    <xdr:colOff>628650</xdr:colOff>
                    <xdr:row>5</xdr:row>
                    <xdr:rowOff>180975</xdr:rowOff>
                  </from>
                  <to>
                    <xdr:col>85</xdr:col>
                    <xdr:colOff>628650</xdr:colOff>
                    <xdr:row>9</xdr:row>
                    <xdr:rowOff>9525</xdr:rowOff>
                  </to>
                </anchor>
              </controlPr>
            </control>
          </mc:Choice>
        </mc:AlternateContent>
        <mc:AlternateContent xmlns:mc="http://schemas.openxmlformats.org/markup-compatibility/2006">
          <mc:Choice Requires="x14">
            <control shapeId="54784" r:id="rId6" name="Button 27136">
              <controlPr defaultSize="0" print="0" autoFill="0" autoPict="0" macro="[0]!UnhideAllRows">
                <anchor moveWithCells="1" sizeWithCells="1">
                  <from>
                    <xdr:col>83</xdr:col>
                    <xdr:colOff>0</xdr:colOff>
                    <xdr:row>0</xdr:row>
                    <xdr:rowOff>0</xdr:rowOff>
                  </from>
                  <to>
                    <xdr:col>86</xdr:col>
                    <xdr:colOff>0</xdr:colOff>
                    <xdr:row>0</xdr:row>
                    <xdr:rowOff>180975</xdr:rowOff>
                  </to>
                </anchor>
              </controlPr>
            </control>
          </mc:Choice>
        </mc:AlternateContent>
        <mc:AlternateContent xmlns:mc="http://schemas.openxmlformats.org/markup-compatibility/2006">
          <mc:Choice Requires="x14">
            <control shapeId="54785" r:id="rId7" name="Button 27137">
              <controlPr defaultSize="0" print="0" autoFill="0" autoPict="0" macro="[0]!HideRowsWithoutRedOrYellow">
                <anchor moveWithCells="1" sizeWithCells="1">
                  <from>
                    <xdr:col>82</xdr:col>
                    <xdr:colOff>619125</xdr:colOff>
                    <xdr:row>10</xdr:row>
                    <xdr:rowOff>0</xdr:rowOff>
                  </from>
                  <to>
                    <xdr:col>86</xdr:col>
                    <xdr:colOff>0</xdr:colOff>
                    <xdr:row>12</xdr:row>
                    <xdr:rowOff>180975</xdr:rowOff>
                  </to>
                </anchor>
              </controlPr>
            </control>
          </mc:Choice>
        </mc:AlternateContent>
        <mc:AlternateContent xmlns:mc="http://schemas.openxmlformats.org/markup-compatibility/2006">
          <mc:Choice Requires="x14">
            <control shapeId="54786" r:id="rId8" name="Button 27138">
              <controlPr defaultSize="0" print="0" autoFill="0" autoPict="0" macro="[0]!PrintSheetToPDF">
                <anchor moveWithCells="1" sizeWithCells="1">
                  <from>
                    <xdr:col>83</xdr:col>
                    <xdr:colOff>0</xdr:colOff>
                    <xdr:row>14</xdr:row>
                    <xdr:rowOff>0</xdr:rowOff>
                  </from>
                  <to>
                    <xdr:col>85</xdr:col>
                    <xdr:colOff>638175</xdr:colOff>
                    <xdr:row>17</xdr:row>
                    <xdr:rowOff>0</xdr:rowOff>
                  </to>
                </anchor>
              </controlPr>
            </control>
          </mc:Choice>
        </mc:AlternateContent>
      </controls>
    </mc:Choice>
  </mc:AlternateContent>
  <tableParts count="1">
    <tablePart r:id="rId9"/>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3B7BD3-4BCC-4513-BE53-CBC48E91ADC7}">
  <sheetPr codeName="Sheet11"/>
  <dimension ref="A1:CA233"/>
  <sheetViews>
    <sheetView workbookViewId="0"/>
  </sheetViews>
  <sheetFormatPr defaultColWidth="9.140625" defaultRowHeight="18.75" x14ac:dyDescent="0.3"/>
  <cols>
    <col min="1" max="1" width="7.42578125" style="4" customWidth="1"/>
    <col min="2" max="2" width="11" style="4" customWidth="1"/>
    <col min="3" max="3" width="19.7109375" style="4" customWidth="1"/>
    <col min="4" max="4" width="16.28515625" bestFit="1" customWidth="1"/>
    <col min="5" max="5" width="18.7109375" style="4" customWidth="1"/>
    <col min="6" max="6" width="16.85546875" style="4" customWidth="1"/>
    <col min="7" max="7" width="14.140625" style="4" customWidth="1"/>
    <col min="8" max="8" width="19.28515625" style="4" customWidth="1"/>
    <col min="9" max="9" width="13.28515625" style="4" customWidth="1"/>
    <col min="10" max="10" width="14" style="1280" customWidth="1"/>
    <col min="11" max="11" width="14.42578125" style="4" customWidth="1"/>
    <col min="12" max="12" width="10.85546875" style="1281" hidden="1" customWidth="1"/>
    <col min="13" max="13" width="48.85546875" style="4" hidden="1" customWidth="1"/>
    <col min="14" max="14" width="9.140625" style="4" customWidth="1"/>
    <col min="15" max="15" width="10.28515625" customWidth="1"/>
    <col min="16" max="16" width="12" customWidth="1"/>
    <col min="17" max="17" width="17.28515625" customWidth="1"/>
    <col min="18" max="18" width="19.28515625" customWidth="1"/>
    <col min="19" max="19" width="14.85546875" style="81" hidden="1" customWidth="1"/>
    <col min="20" max="20" width="11.28515625" style="778" hidden="1" customWidth="1"/>
    <col min="21" max="21" width="16" hidden="1" customWidth="1"/>
    <col min="22" max="22" width="15.7109375" style="552" hidden="1" customWidth="1"/>
    <col min="23" max="23" width="10.7109375" style="552" hidden="1" customWidth="1"/>
    <col min="24" max="24" width="14.7109375" customWidth="1"/>
    <col min="25" max="25" width="0.140625" customWidth="1"/>
    <col min="26" max="26" width="15.28515625" style="1282" customWidth="1"/>
    <col min="27" max="27" width="16.42578125" customWidth="1"/>
    <col min="28" max="28" width="12.85546875" hidden="1" customWidth="1"/>
    <col min="29" max="29" width="11.7109375" hidden="1" customWidth="1"/>
    <col min="30" max="30" width="13" hidden="1" customWidth="1"/>
    <col min="31" max="31" width="11.7109375" hidden="1" customWidth="1"/>
    <col min="32" max="32" width="12.85546875" style="1283" hidden="1" customWidth="1"/>
    <col min="33" max="33" width="12.140625" style="1283" hidden="1" customWidth="1"/>
    <col min="34" max="34" width="11.7109375" hidden="1" customWidth="1"/>
    <col min="35" max="35" width="13.140625" style="755" hidden="1" customWidth="1"/>
    <col min="36" max="37" width="13.140625" style="4" hidden="1" customWidth="1"/>
    <col min="38" max="38" width="11.7109375" hidden="1" customWidth="1"/>
    <col min="39" max="39" width="9.140625" customWidth="1"/>
    <col min="40" max="40" width="13.140625" customWidth="1"/>
    <col min="41" max="41" width="12.7109375" style="4" customWidth="1"/>
    <col min="42" max="42" width="15.5703125" style="1282" customWidth="1"/>
    <col min="43" max="43" width="0.140625" style="1282" customWidth="1"/>
    <col min="44" max="44" width="17.5703125" style="1282" customWidth="1"/>
    <col min="45" max="45" width="14.42578125" style="1282" customWidth="1"/>
    <col min="46" max="46" width="15.28515625" style="1282" customWidth="1"/>
    <col min="47" max="47" width="14.42578125" style="1282" customWidth="1"/>
    <col min="48" max="48" width="12.28515625" customWidth="1"/>
    <col min="49" max="49" width="31.28515625" customWidth="1"/>
    <col min="50" max="50" width="15.7109375" customWidth="1"/>
    <col min="51" max="51" width="14.7109375" customWidth="1"/>
    <col min="52" max="52" width="9.140625" style="850" customWidth="1"/>
    <col min="53" max="53" width="12.140625" customWidth="1"/>
    <col min="54" max="54" width="45.5703125" style="1284" customWidth="1"/>
    <col min="55" max="55" width="9.140625" customWidth="1"/>
    <col min="56" max="58" width="9.140625" style="850" customWidth="1"/>
    <col min="59" max="59" width="9.140625" style="574" customWidth="1"/>
    <col min="60" max="60" width="33.28515625" style="1285" customWidth="1"/>
    <col min="61" max="64" width="6.5703125" style="2" hidden="1" customWidth="1"/>
    <col min="65" max="66" width="6.140625" style="2" hidden="1" customWidth="1"/>
    <col min="67" max="68" width="10.5703125" style="2" hidden="1" customWidth="1"/>
    <col min="69" max="69" width="8.85546875" style="2" hidden="1" customWidth="1"/>
    <col min="70" max="71" width="10.5703125" style="2" hidden="1" customWidth="1"/>
    <col min="72" max="72" width="11.7109375" style="2" hidden="1" customWidth="1"/>
    <col min="73" max="73" width="9.7109375" style="2" hidden="1" customWidth="1"/>
    <col min="74" max="74" width="9.42578125" style="2" hidden="1" customWidth="1"/>
    <col min="75" max="76" width="10.5703125" style="2" hidden="1" customWidth="1"/>
    <col min="77" max="77" width="11.42578125" style="2" hidden="1" customWidth="1"/>
    <col min="78" max="78" width="36.5703125" style="574" hidden="1" customWidth="1"/>
    <col min="79" max="79" width="0" hidden="1" customWidth="1"/>
  </cols>
  <sheetData>
    <row r="1" spans="1:79" ht="15" x14ac:dyDescent="0.25">
      <c r="A1" t="s">
        <v>9167</v>
      </c>
      <c r="B1" s="15"/>
      <c r="C1" s="15"/>
      <c r="E1" s="15" t="s">
        <v>41</v>
      </c>
      <c r="F1" s="15"/>
      <c r="G1" s="15"/>
      <c r="H1" s="15"/>
      <c r="I1" s="15"/>
      <c r="J1" s="73"/>
      <c r="K1" s="15"/>
      <c r="L1" s="76"/>
      <c r="M1" s="15"/>
      <c r="N1" s="127"/>
      <c r="S1" s="1795" t="s">
        <v>6809</v>
      </c>
      <c r="T1" s="1795"/>
      <c r="U1" s="1795"/>
      <c r="V1" s="94"/>
      <c r="W1" s="94"/>
      <c r="Y1" s="75"/>
      <c r="Z1" s="75"/>
      <c r="AF1" s="139"/>
      <c r="AG1" s="139"/>
      <c r="AI1" s="105"/>
      <c r="AJ1" s="132"/>
      <c r="AK1" s="132"/>
      <c r="AM1" t="s">
        <v>654</v>
      </c>
      <c r="AN1" s="75"/>
      <c r="AO1" s="75"/>
      <c r="AP1" s="75"/>
      <c r="AQ1" s="75"/>
      <c r="AR1" s="75"/>
      <c r="AS1" s="75"/>
      <c r="AT1" s="75"/>
      <c r="AU1" s="75"/>
      <c r="AV1" s="75"/>
      <c r="AW1" s="75"/>
      <c r="AX1" s="115"/>
      <c r="AZ1" s="154"/>
      <c r="BB1" s="112"/>
      <c r="BC1" t="s">
        <v>655</v>
      </c>
      <c r="BD1" s="120"/>
      <c r="BE1" s="120"/>
      <c r="BF1" s="120"/>
      <c r="BG1" s="107"/>
      <c r="BH1" s="186"/>
      <c r="BI1" s="1795" t="s">
        <v>656</v>
      </c>
      <c r="BJ1" s="1795"/>
      <c r="BK1" s="1795"/>
      <c r="BL1" s="1795"/>
      <c r="BM1" s="1795" t="s">
        <v>657</v>
      </c>
      <c r="BN1" s="1795"/>
      <c r="BO1" s="1795"/>
      <c r="BP1" s="1795"/>
      <c r="BQ1" s="1795"/>
      <c r="BR1" s="1795"/>
      <c r="BS1" s="1795"/>
      <c r="BT1" s="1795" t="s">
        <v>658</v>
      </c>
      <c r="BU1" s="1795"/>
      <c r="BV1" s="1795"/>
      <c r="BW1" s="1795"/>
      <c r="BX1" s="1795"/>
      <c r="BY1" s="1795"/>
      <c r="BZ1" s="107"/>
    </row>
    <row r="2" spans="1:79" ht="45" customHeight="1" x14ac:dyDescent="0.25">
      <c r="A2" t="s">
        <v>659</v>
      </c>
      <c r="B2" t="s">
        <v>660</v>
      </c>
      <c r="C2" t="s">
        <v>661</v>
      </c>
      <c r="D2" t="s">
        <v>662</v>
      </c>
      <c r="E2" t="s">
        <v>44</v>
      </c>
      <c r="F2" t="s">
        <v>663</v>
      </c>
      <c r="G2" t="s">
        <v>9168</v>
      </c>
      <c r="H2" t="s">
        <v>665</v>
      </c>
      <c r="I2" t="s">
        <v>666</v>
      </c>
      <c r="J2" t="s">
        <v>667</v>
      </c>
      <c r="K2" t="s">
        <v>668</v>
      </c>
      <c r="L2" t="s">
        <v>669</v>
      </c>
      <c r="M2" t="s">
        <v>21</v>
      </c>
      <c r="N2" t="s">
        <v>670</v>
      </c>
      <c r="O2" t="s">
        <v>671</v>
      </c>
      <c r="P2" t="s">
        <v>672</v>
      </c>
      <c r="Q2" t="s">
        <v>673</v>
      </c>
      <c r="R2" t="s">
        <v>674</v>
      </c>
      <c r="S2" t="s">
        <v>675</v>
      </c>
      <c r="T2" t="s">
        <v>676</v>
      </c>
      <c r="U2" t="s">
        <v>677</v>
      </c>
      <c r="V2" t="s">
        <v>678</v>
      </c>
      <c r="W2" t="s">
        <v>679</v>
      </c>
      <c r="X2" t="s">
        <v>680</v>
      </c>
      <c r="Y2" t="s">
        <v>681</v>
      </c>
      <c r="Z2" t="s">
        <v>682</v>
      </c>
      <c r="AA2" t="s">
        <v>683</v>
      </c>
      <c r="AB2" t="s">
        <v>684</v>
      </c>
      <c r="AC2" t="s">
        <v>685</v>
      </c>
      <c r="AD2" t="s">
        <v>686</v>
      </c>
      <c r="AE2" t="s">
        <v>687</v>
      </c>
      <c r="AF2" t="s">
        <v>688</v>
      </c>
      <c r="AG2" t="s">
        <v>689</v>
      </c>
      <c r="AH2" t="s">
        <v>690</v>
      </c>
      <c r="AI2" t="s">
        <v>691</v>
      </c>
      <c r="AJ2" t="s">
        <v>692</v>
      </c>
      <c r="AK2" t="s">
        <v>693</v>
      </c>
      <c r="AL2" t="s">
        <v>694</v>
      </c>
      <c r="AM2" t="s">
        <v>695</v>
      </c>
      <c r="AN2" t="s">
        <v>696</v>
      </c>
      <c r="AO2" t="s">
        <v>697</v>
      </c>
      <c r="AP2" t="s">
        <v>698</v>
      </c>
      <c r="AQ2" t="s">
        <v>699</v>
      </c>
      <c r="AR2" t="s">
        <v>700</v>
      </c>
      <c r="AS2" t="s">
        <v>701</v>
      </c>
      <c r="AT2" t="s">
        <v>702</v>
      </c>
      <c r="AU2" t="s">
        <v>703</v>
      </c>
      <c r="AV2" t="s">
        <v>704</v>
      </c>
      <c r="AW2" t="s">
        <v>705</v>
      </c>
      <c r="AX2" t="s">
        <v>706</v>
      </c>
      <c r="AY2" t="s">
        <v>707</v>
      </c>
      <c r="AZ2" t="s">
        <v>708</v>
      </c>
      <c r="BA2" s="4" t="s">
        <v>710</v>
      </c>
      <c r="BB2" s="4" t="s">
        <v>711</v>
      </c>
      <c r="BC2" s="4" t="s">
        <v>712</v>
      </c>
      <c r="BD2" s="4" t="s">
        <v>713</v>
      </c>
      <c r="BE2" s="4" t="s">
        <v>714</v>
      </c>
      <c r="BF2" s="4" t="s">
        <v>715</v>
      </c>
      <c r="BG2" s="4" t="s">
        <v>716</v>
      </c>
      <c r="BH2" t="s">
        <v>717</v>
      </c>
      <c r="BI2" t="s">
        <v>718</v>
      </c>
      <c r="BJ2" t="s">
        <v>719</v>
      </c>
      <c r="BK2" t="s">
        <v>720</v>
      </c>
      <c r="BL2" t="s">
        <v>721</v>
      </c>
      <c r="BM2" t="s">
        <v>722</v>
      </c>
      <c r="BN2" t="s">
        <v>723</v>
      </c>
      <c r="BO2" t="s">
        <v>724</v>
      </c>
      <c r="BP2" t="s">
        <v>725</v>
      </c>
      <c r="BQ2" t="s">
        <v>726</v>
      </c>
      <c r="BR2" t="s">
        <v>727</v>
      </c>
      <c r="BS2" t="s">
        <v>728</v>
      </c>
      <c r="BT2" t="s">
        <v>729</v>
      </c>
      <c r="BU2" t="s">
        <v>730</v>
      </c>
      <c r="BV2" t="s">
        <v>731</v>
      </c>
      <c r="BW2" t="s">
        <v>732</v>
      </c>
      <c r="BX2" t="s">
        <v>733</v>
      </c>
      <c r="BY2" t="s">
        <v>734</v>
      </c>
      <c r="BZ2" t="s">
        <v>735</v>
      </c>
    </row>
    <row r="3" spans="1:79" ht="15" hidden="1" customHeight="1" x14ac:dyDescent="0.25">
      <c r="A3" s="8">
        <v>2021</v>
      </c>
      <c r="B3" s="8" t="s">
        <v>1108</v>
      </c>
      <c r="C3" s="8" t="s">
        <v>1195</v>
      </c>
      <c r="D3" s="656" t="s">
        <v>1196</v>
      </c>
      <c r="E3" s="8" t="s">
        <v>155</v>
      </c>
      <c r="F3" s="8" t="s">
        <v>1111</v>
      </c>
      <c r="G3" s="8" t="s">
        <v>37</v>
      </c>
      <c r="H3" s="8" t="s">
        <v>59</v>
      </c>
      <c r="I3" s="642">
        <v>44229</v>
      </c>
      <c r="J3" s="18">
        <v>44326</v>
      </c>
      <c r="K3" s="642">
        <v>44323</v>
      </c>
      <c r="L3" s="16">
        <v>3</v>
      </c>
      <c r="M3" s="642"/>
      <c r="N3" s="642" t="s">
        <v>120</v>
      </c>
      <c r="O3" s="1025">
        <v>44323</v>
      </c>
      <c r="P3" s="21" t="s">
        <v>739</v>
      </c>
      <c r="Q3" s="340">
        <v>27091.844349999999</v>
      </c>
      <c r="R3" s="1026" t="s">
        <v>1055</v>
      </c>
      <c r="S3" s="538" t="s">
        <v>709</v>
      </c>
      <c r="T3" s="538" t="s">
        <v>709</v>
      </c>
      <c r="U3" s="28" t="s">
        <v>709</v>
      </c>
      <c r="V3" s="857">
        <v>48</v>
      </c>
      <c r="W3" s="440"/>
      <c r="X3" s="538">
        <v>180757.62</v>
      </c>
      <c r="Y3" s="591"/>
      <c r="Z3" s="538">
        <v>46793.49</v>
      </c>
      <c r="AA3" s="538">
        <v>227551.11</v>
      </c>
      <c r="AB3" s="341"/>
      <c r="AC3" s="568" t="s">
        <v>709</v>
      </c>
      <c r="AD3" s="1157"/>
      <c r="AE3" s="579"/>
      <c r="AF3" s="579"/>
      <c r="AG3" s="579"/>
      <c r="AH3" s="553"/>
      <c r="AI3" s="1036"/>
      <c r="AJ3" s="1037"/>
      <c r="AK3" s="1037"/>
      <c r="AL3" s="1038"/>
      <c r="AM3" s="536" t="s">
        <v>116</v>
      </c>
      <c r="AN3" s="680" t="s">
        <v>709</v>
      </c>
      <c r="AO3" s="601" t="s">
        <v>115</v>
      </c>
      <c r="AP3" s="572"/>
      <c r="AQ3" s="572"/>
      <c r="AR3" s="572"/>
      <c r="AS3" s="538">
        <f>IF(Table15910[[#This Row],[PCTS Approved]]="N",0,Table15910[[#This Row],[Investment Amount (1'#'#'#'#'#)]]+Table15910[[#This Row],[Retirement Amount (3'#'#'#'#'#)]])</f>
        <v>0</v>
      </c>
      <c r="AT3" s="538">
        <f>IF(Table15910[[#This Row],[Approved Construction Cost]]=0,0,Table15910[[#This Row],[Approved Construction Cost]]-Table15910[[#This Row],[Construction Cost to Bill From]])</f>
        <v>0</v>
      </c>
      <c r="AU3" s="538">
        <f>IFERROR(Table15910[[#This Row],[Difference in Construction Cost]]*Table15910[[#This Row],[Rate]],Table15910[[#This Row],[Difference in Construction Cost]]*0.085)</f>
        <v>0</v>
      </c>
      <c r="AV3" s="572"/>
      <c r="AW3" s="639"/>
      <c r="AX3" s="538"/>
      <c r="AY3" s="1035" t="s">
        <v>709</v>
      </c>
      <c r="AZ3" s="443">
        <v>181</v>
      </c>
      <c r="BA3" s="859" t="s">
        <v>1197</v>
      </c>
      <c r="BB3" s="644" t="s">
        <v>1174</v>
      </c>
      <c r="BC3" s="544" t="s">
        <v>116</v>
      </c>
      <c r="BD3" s="544" t="s">
        <v>709</v>
      </c>
      <c r="BE3" s="544" t="s">
        <v>709</v>
      </c>
      <c r="BF3" s="544" t="s">
        <v>709</v>
      </c>
      <c r="BG3" s="544" t="s">
        <v>709</v>
      </c>
      <c r="BH3" s="741"/>
      <c r="BI3" s="547" t="s">
        <v>709</v>
      </c>
      <c r="BJ3" s="547" t="s">
        <v>709</v>
      </c>
      <c r="BK3" s="547" t="s">
        <v>116</v>
      </c>
      <c r="BL3" s="547" t="s">
        <v>709</v>
      </c>
      <c r="BM3" s="547" t="s">
        <v>709</v>
      </c>
      <c r="BN3" s="547" t="s">
        <v>709</v>
      </c>
      <c r="BO3" s="547" t="s">
        <v>709</v>
      </c>
      <c r="BP3" s="547" t="s">
        <v>709</v>
      </c>
      <c r="BQ3" s="547" t="s">
        <v>709</v>
      </c>
      <c r="BR3" s="547">
        <v>48</v>
      </c>
      <c r="BS3" s="547" t="s">
        <v>709</v>
      </c>
      <c r="BT3" s="547" t="s">
        <v>709</v>
      </c>
      <c r="BU3" s="547" t="s">
        <v>709</v>
      </c>
      <c r="BV3" s="547" t="s">
        <v>709</v>
      </c>
      <c r="BW3" s="547">
        <v>1</v>
      </c>
      <c r="BX3" s="547">
        <v>1</v>
      </c>
      <c r="BY3" s="547" t="s">
        <v>709</v>
      </c>
      <c r="BZ3" s="547" t="s">
        <v>709</v>
      </c>
      <c r="CA3" s="483" t="s">
        <v>2</v>
      </c>
    </row>
    <row r="4" spans="1:79" ht="15" hidden="1" customHeight="1" x14ac:dyDescent="0.25">
      <c r="A4" s="8" t="s">
        <v>770</v>
      </c>
      <c r="B4" s="8" t="s">
        <v>1108</v>
      </c>
      <c r="C4" s="8" t="s">
        <v>1192</v>
      </c>
      <c r="D4" s="656" t="s">
        <v>1193</v>
      </c>
      <c r="E4" s="8" t="s">
        <v>249</v>
      </c>
      <c r="F4" s="8" t="s">
        <v>1111</v>
      </c>
      <c r="G4" s="8" t="s">
        <v>37</v>
      </c>
      <c r="H4" s="8" t="s">
        <v>59</v>
      </c>
      <c r="I4" s="642">
        <v>44176</v>
      </c>
      <c r="J4" s="18">
        <v>44309</v>
      </c>
      <c r="K4" s="642">
        <v>44309</v>
      </c>
      <c r="L4" s="16">
        <v>0</v>
      </c>
      <c r="M4" s="642"/>
      <c r="N4" s="642" t="s">
        <v>120</v>
      </c>
      <c r="O4" s="1025">
        <v>44317</v>
      </c>
      <c r="P4" s="21" t="s">
        <v>739</v>
      </c>
      <c r="Q4" s="340">
        <v>30205.770050000003</v>
      </c>
      <c r="R4" s="1026" t="s">
        <v>1055</v>
      </c>
      <c r="S4" s="538" t="s">
        <v>709</v>
      </c>
      <c r="T4" s="538" t="s">
        <v>709</v>
      </c>
      <c r="U4" s="28" t="s">
        <v>709</v>
      </c>
      <c r="V4" s="857"/>
      <c r="W4" s="440"/>
      <c r="X4" s="551">
        <v>237292.7</v>
      </c>
      <c r="Y4" s="591"/>
      <c r="Z4" s="551">
        <v>26892.83</v>
      </c>
      <c r="AA4" s="551">
        <v>264185.53000000003</v>
      </c>
      <c r="AB4" s="341"/>
      <c r="AC4" s="568" t="s">
        <v>116</v>
      </c>
      <c r="AD4" s="1157"/>
      <c r="AE4" s="579"/>
      <c r="AF4" s="579"/>
      <c r="AG4" s="579"/>
      <c r="AH4" s="553"/>
      <c r="AI4" s="1036"/>
      <c r="AJ4" s="1037"/>
      <c r="AK4" s="1037"/>
      <c r="AL4" s="1038"/>
      <c r="AM4" s="536" t="s">
        <v>116</v>
      </c>
      <c r="AN4" s="680" t="s">
        <v>709</v>
      </c>
      <c r="AO4" s="601" t="s">
        <v>115</v>
      </c>
      <c r="AP4" s="572"/>
      <c r="AQ4" s="572"/>
      <c r="AR4" s="572"/>
      <c r="AS4" s="538">
        <f>IF(Table15910[[#This Row],[PCTS Approved]]="N",0,Table15910[[#This Row],[Investment Amount (1'#'#'#'#'#)]]+Table15910[[#This Row],[Retirement Amount (3'#'#'#'#'#)]])</f>
        <v>0</v>
      </c>
      <c r="AT4" s="538">
        <f>IF(Table15910[[#This Row],[Approved Construction Cost]]=0,0,Table15910[[#This Row],[Approved Construction Cost]]-Table15910[[#This Row],[Construction Cost to Bill From]])</f>
        <v>0</v>
      </c>
      <c r="AU4" s="538">
        <f>IFERROR(Table15910[[#This Row],[Difference in Construction Cost]]*Table15910[[#This Row],[Rate]],Table15910[[#This Row],[Difference in Construction Cost]]*0.085)</f>
        <v>0</v>
      </c>
      <c r="AV4" s="572"/>
      <c r="AW4" s="639"/>
      <c r="AX4" s="538"/>
      <c r="AY4" s="1035" t="s">
        <v>709</v>
      </c>
      <c r="AZ4" s="443">
        <v>180</v>
      </c>
      <c r="BA4" s="859" t="s">
        <v>1194</v>
      </c>
      <c r="BB4" s="644" t="s">
        <v>1174</v>
      </c>
      <c r="BC4" s="544" t="s">
        <v>116</v>
      </c>
      <c r="BD4" s="544" t="s">
        <v>709</v>
      </c>
      <c r="BE4" s="544" t="s">
        <v>709</v>
      </c>
      <c r="BF4" s="544" t="s">
        <v>709</v>
      </c>
      <c r="BG4" s="544" t="s">
        <v>709</v>
      </c>
      <c r="BH4" s="741"/>
      <c r="BI4" s="547" t="s">
        <v>709</v>
      </c>
      <c r="BJ4" s="547" t="s">
        <v>709</v>
      </c>
      <c r="BK4" s="547" t="s">
        <v>709</v>
      </c>
      <c r="BL4" s="547" t="s">
        <v>116</v>
      </c>
      <c r="BM4" s="547" t="s">
        <v>709</v>
      </c>
      <c r="BN4" s="547" t="s">
        <v>709</v>
      </c>
      <c r="BO4" s="547" t="s">
        <v>709</v>
      </c>
      <c r="BP4" s="547">
        <v>3</v>
      </c>
      <c r="BQ4" s="547">
        <v>23</v>
      </c>
      <c r="BR4" s="547">
        <v>5</v>
      </c>
      <c r="BS4" s="547" t="s">
        <v>709</v>
      </c>
      <c r="BT4" s="547" t="s">
        <v>709</v>
      </c>
      <c r="BU4" s="547" t="s">
        <v>709</v>
      </c>
      <c r="BV4" s="547" t="s">
        <v>709</v>
      </c>
      <c r="BW4" s="547">
        <v>1</v>
      </c>
      <c r="BX4" s="547" t="s">
        <v>709</v>
      </c>
      <c r="BY4" s="547" t="s">
        <v>709</v>
      </c>
      <c r="BZ4" s="547" t="s">
        <v>709</v>
      </c>
      <c r="CA4" s="483"/>
    </row>
    <row r="5" spans="1:79" ht="15" hidden="1" customHeight="1" x14ac:dyDescent="0.25">
      <c r="A5" s="8">
        <v>2021</v>
      </c>
      <c r="B5" s="8" t="s">
        <v>1108</v>
      </c>
      <c r="C5" s="8" t="s">
        <v>1175</v>
      </c>
      <c r="D5" s="656" t="s">
        <v>1176</v>
      </c>
      <c r="E5" s="8" t="s">
        <v>111</v>
      </c>
      <c r="F5" s="8" t="s">
        <v>1111</v>
      </c>
      <c r="G5" s="8" t="s">
        <v>37</v>
      </c>
      <c r="H5" s="8" t="s">
        <v>59</v>
      </c>
      <c r="I5" s="642">
        <v>44176</v>
      </c>
      <c r="J5" s="18">
        <v>44295</v>
      </c>
      <c r="K5" s="642">
        <v>44293</v>
      </c>
      <c r="L5" s="16">
        <v>2</v>
      </c>
      <c r="M5" s="642"/>
      <c r="N5" s="642" t="s">
        <v>120</v>
      </c>
      <c r="O5" s="1025">
        <v>44293</v>
      </c>
      <c r="P5" s="21" t="s">
        <v>739</v>
      </c>
      <c r="Q5" s="340">
        <v>24899.581300000002</v>
      </c>
      <c r="R5" s="1026" t="s">
        <v>1055</v>
      </c>
      <c r="S5" s="538" t="s">
        <v>709</v>
      </c>
      <c r="T5" s="538" t="s">
        <v>709</v>
      </c>
      <c r="U5" s="28" t="s">
        <v>709</v>
      </c>
      <c r="V5" s="858"/>
      <c r="W5" s="437"/>
      <c r="X5" s="538">
        <v>173111.31</v>
      </c>
      <c r="Y5" s="591"/>
      <c r="Z5" s="538">
        <v>28648.47</v>
      </c>
      <c r="AA5" s="538">
        <v>201759.78</v>
      </c>
      <c r="AB5" s="341"/>
      <c r="AC5" s="568" t="s">
        <v>1177</v>
      </c>
      <c r="AD5" s="1157"/>
      <c r="AE5" s="579"/>
      <c r="AF5" s="579"/>
      <c r="AG5" s="579"/>
      <c r="AH5" s="553"/>
      <c r="AI5" s="1036"/>
      <c r="AJ5" s="1037"/>
      <c r="AK5" s="1037"/>
      <c r="AL5" s="1038"/>
      <c r="AM5" s="536" t="s">
        <v>116</v>
      </c>
      <c r="AN5" s="680" t="s">
        <v>709</v>
      </c>
      <c r="AO5" s="601" t="s">
        <v>115</v>
      </c>
      <c r="AP5" s="572"/>
      <c r="AQ5" s="572"/>
      <c r="AR5" s="572"/>
      <c r="AS5" s="538">
        <f>IF(Table15910[[#This Row],[PCTS Approved]]="N",0,Table15910[[#This Row],[Investment Amount (1'#'#'#'#'#)]]+Table15910[[#This Row],[Retirement Amount (3'#'#'#'#'#)]])</f>
        <v>0</v>
      </c>
      <c r="AT5" s="538">
        <f>IF(Table15910[[#This Row],[Approved Construction Cost]]=0,0,Table15910[[#This Row],[Approved Construction Cost]]-Table15910[[#This Row],[Construction Cost to Bill From]])</f>
        <v>0</v>
      </c>
      <c r="AU5" s="538">
        <f>IFERROR(Table15910[[#This Row],[Difference in Construction Cost]]*Table15910[[#This Row],[Rate]],Table15910[[#This Row],[Difference in Construction Cost]]*0.085)</f>
        <v>0</v>
      </c>
      <c r="AV5" s="572"/>
      <c r="AW5" s="639"/>
      <c r="AX5" s="538"/>
      <c r="AY5" s="1035" t="s">
        <v>709</v>
      </c>
      <c r="AZ5" s="443">
        <v>178</v>
      </c>
      <c r="BA5" s="859" t="s">
        <v>1178</v>
      </c>
      <c r="BB5" s="644" t="s">
        <v>1179</v>
      </c>
      <c r="BC5" s="544" t="s">
        <v>116</v>
      </c>
      <c r="BD5" s="544" t="s">
        <v>709</v>
      </c>
      <c r="BE5" s="544" t="s">
        <v>1114</v>
      </c>
      <c r="BF5" s="544" t="s">
        <v>709</v>
      </c>
      <c r="BG5" s="544" t="s">
        <v>709</v>
      </c>
      <c r="BH5" s="741"/>
      <c r="BI5" s="547" t="s">
        <v>709</v>
      </c>
      <c r="BJ5" s="547" t="s">
        <v>709</v>
      </c>
      <c r="BK5" s="547" t="s">
        <v>116</v>
      </c>
      <c r="BL5" s="547" t="s">
        <v>116</v>
      </c>
      <c r="BM5" s="547" t="s">
        <v>709</v>
      </c>
      <c r="BN5" s="547" t="s">
        <v>709</v>
      </c>
      <c r="BO5" s="547" t="s">
        <v>709</v>
      </c>
      <c r="BP5" s="547" t="s">
        <v>709</v>
      </c>
      <c r="BQ5" s="547" t="s">
        <v>709</v>
      </c>
      <c r="BR5" s="547">
        <v>5</v>
      </c>
      <c r="BS5" s="547">
        <v>64</v>
      </c>
      <c r="BT5" s="547" t="s">
        <v>709</v>
      </c>
      <c r="BU5" s="547">
        <v>1</v>
      </c>
      <c r="BV5" s="547" t="s">
        <v>709</v>
      </c>
      <c r="BW5" s="547">
        <v>1</v>
      </c>
      <c r="BX5" s="547" t="s">
        <v>709</v>
      </c>
      <c r="BY5" s="547" t="s">
        <v>709</v>
      </c>
      <c r="BZ5" s="547" t="s">
        <v>709</v>
      </c>
      <c r="CA5" s="483"/>
    </row>
    <row r="6" spans="1:79" ht="15" hidden="1" customHeight="1" x14ac:dyDescent="0.25">
      <c r="A6" s="8" t="s">
        <v>770</v>
      </c>
      <c r="B6" s="8" t="s">
        <v>1108</v>
      </c>
      <c r="C6" s="8" t="s">
        <v>1180</v>
      </c>
      <c r="D6" s="656" t="s">
        <v>1181</v>
      </c>
      <c r="E6" s="8" t="s">
        <v>1182</v>
      </c>
      <c r="F6" s="8" t="s">
        <v>1111</v>
      </c>
      <c r="G6" s="8" t="s">
        <v>37</v>
      </c>
      <c r="H6" s="8" t="s">
        <v>59</v>
      </c>
      <c r="I6" s="642">
        <v>44105</v>
      </c>
      <c r="J6" s="18">
        <v>44302</v>
      </c>
      <c r="K6" s="642">
        <v>44293</v>
      </c>
      <c r="L6" s="16">
        <v>9</v>
      </c>
      <c r="M6" s="642"/>
      <c r="N6" s="642" t="s">
        <v>120</v>
      </c>
      <c r="O6" s="1025">
        <v>44293</v>
      </c>
      <c r="P6" s="21" t="s">
        <v>739</v>
      </c>
      <c r="Q6" s="340">
        <v>25162.796549999999</v>
      </c>
      <c r="R6" s="1026" t="s">
        <v>1055</v>
      </c>
      <c r="S6" s="538" t="s">
        <v>709</v>
      </c>
      <c r="T6" s="538" t="s">
        <v>709</v>
      </c>
      <c r="U6" s="28" t="s">
        <v>709</v>
      </c>
      <c r="V6" s="858"/>
      <c r="W6" s="437"/>
      <c r="X6" s="538">
        <v>177808.07</v>
      </c>
      <c r="Y6" s="591"/>
      <c r="Z6" s="538">
        <v>27048.36</v>
      </c>
      <c r="AA6" s="538">
        <v>204856.43</v>
      </c>
      <c r="AB6" s="341"/>
      <c r="AC6" s="568" t="s">
        <v>116</v>
      </c>
      <c r="AD6" s="1157"/>
      <c r="AE6" s="579"/>
      <c r="AF6" s="579"/>
      <c r="AG6" s="579"/>
      <c r="AH6" s="553"/>
      <c r="AI6" s="1036"/>
      <c r="AJ6" s="1037"/>
      <c r="AK6" s="1037"/>
      <c r="AL6" s="1038"/>
      <c r="AM6" s="536" t="s">
        <v>116</v>
      </c>
      <c r="AN6" s="680" t="s">
        <v>709</v>
      </c>
      <c r="AO6" s="601" t="s">
        <v>115</v>
      </c>
      <c r="AP6" s="572"/>
      <c r="AQ6" s="572"/>
      <c r="AR6" s="572"/>
      <c r="AS6" s="538">
        <f>IF(Table15910[[#This Row],[PCTS Approved]]="N",0,Table15910[[#This Row],[Investment Amount (1'#'#'#'#'#)]]+Table15910[[#This Row],[Retirement Amount (3'#'#'#'#'#)]])</f>
        <v>0</v>
      </c>
      <c r="AT6" s="538">
        <f>IF(Table15910[[#This Row],[Approved Construction Cost]]=0,0,Table15910[[#This Row],[Approved Construction Cost]]-Table15910[[#This Row],[Construction Cost to Bill From]])</f>
        <v>0</v>
      </c>
      <c r="AU6" s="538">
        <f>IFERROR(Table15910[[#This Row],[Difference in Construction Cost]]*Table15910[[#This Row],[Rate]],Table15910[[#This Row],[Difference in Construction Cost]]*0.085)</f>
        <v>0</v>
      </c>
      <c r="AV6" s="572"/>
      <c r="AW6" s="639"/>
      <c r="AX6" s="538"/>
      <c r="AY6" s="1035" t="s">
        <v>709</v>
      </c>
      <c r="AZ6" s="443">
        <v>179</v>
      </c>
      <c r="BA6" s="859" t="s">
        <v>1183</v>
      </c>
      <c r="BB6" s="644" t="s">
        <v>1184</v>
      </c>
      <c r="BC6" s="544" t="s">
        <v>709</v>
      </c>
      <c r="BD6" s="544" t="s">
        <v>709</v>
      </c>
      <c r="BE6" s="544" t="s">
        <v>1185</v>
      </c>
      <c r="BF6" s="544" t="s">
        <v>709</v>
      </c>
      <c r="BG6" s="544" t="s">
        <v>709</v>
      </c>
      <c r="BH6" s="741"/>
      <c r="BI6" s="547" t="s">
        <v>709</v>
      </c>
      <c r="BJ6" s="547" t="s">
        <v>709</v>
      </c>
      <c r="BK6" s="547" t="s">
        <v>116</v>
      </c>
      <c r="BL6" s="547" t="s">
        <v>116</v>
      </c>
      <c r="BM6" s="547" t="s">
        <v>709</v>
      </c>
      <c r="BN6" s="547" t="s">
        <v>709</v>
      </c>
      <c r="BO6" s="547" t="s">
        <v>709</v>
      </c>
      <c r="BP6" s="547" t="s">
        <v>709</v>
      </c>
      <c r="BQ6" s="547" t="s">
        <v>709</v>
      </c>
      <c r="BR6" s="547">
        <v>11</v>
      </c>
      <c r="BS6" s="547">
        <v>33</v>
      </c>
      <c r="BT6" s="547" t="s">
        <v>709</v>
      </c>
      <c r="BU6" s="547">
        <v>1</v>
      </c>
      <c r="BV6" s="547" t="s">
        <v>709</v>
      </c>
      <c r="BW6" s="547">
        <v>1</v>
      </c>
      <c r="BX6" s="547">
        <v>1</v>
      </c>
      <c r="BY6" s="547" t="s">
        <v>709</v>
      </c>
      <c r="BZ6" s="547" t="s">
        <v>709</v>
      </c>
      <c r="CA6" s="483"/>
    </row>
    <row r="7" spans="1:79" ht="15" customHeight="1" x14ac:dyDescent="0.25">
      <c r="A7" s="656" t="s">
        <v>749</v>
      </c>
      <c r="B7" s="656" t="s">
        <v>771</v>
      </c>
      <c r="C7" s="656" t="s">
        <v>1127</v>
      </c>
      <c r="D7" s="656" t="s">
        <v>1128</v>
      </c>
      <c r="E7" s="656" t="s">
        <v>1129</v>
      </c>
      <c r="F7" s="656" t="s">
        <v>784</v>
      </c>
      <c r="G7" s="656" t="s">
        <v>32</v>
      </c>
      <c r="H7" s="737" t="s">
        <v>59</v>
      </c>
      <c r="I7" s="1375">
        <v>44946</v>
      </c>
      <c r="J7" s="1052">
        <v>45036</v>
      </c>
      <c r="K7" s="1376">
        <v>45023</v>
      </c>
      <c r="L7" s="1377">
        <v>13</v>
      </c>
      <c r="M7" s="1375"/>
      <c r="N7" s="1375" t="s">
        <v>120</v>
      </c>
      <c r="O7" s="1059">
        <v>45047</v>
      </c>
      <c r="P7" s="1378" t="s">
        <v>120</v>
      </c>
      <c r="Q7" s="340">
        <v>38230.177499999998</v>
      </c>
      <c r="R7" s="1026">
        <v>0.09</v>
      </c>
      <c r="S7" s="556"/>
      <c r="T7" s="556"/>
      <c r="U7" s="1061"/>
      <c r="V7" s="1184">
        <v>1538</v>
      </c>
      <c r="W7" s="1186">
        <v>0</v>
      </c>
      <c r="X7" s="570">
        <v>393521.83</v>
      </c>
      <c r="Y7" s="591"/>
      <c r="Z7" s="570">
        <v>31257.919999999998</v>
      </c>
      <c r="AA7" s="570">
        <v>424779.75</v>
      </c>
      <c r="AB7" s="341">
        <v>45028</v>
      </c>
      <c r="AC7" s="568" t="s">
        <v>709</v>
      </c>
      <c r="AD7" s="1157" t="s">
        <v>116</v>
      </c>
      <c r="AE7" s="579"/>
      <c r="AF7" s="579"/>
      <c r="AG7" s="579"/>
      <c r="AH7" s="553"/>
      <c r="AI7" s="1036"/>
      <c r="AJ7" s="1037"/>
      <c r="AK7" s="1037"/>
      <c r="AL7" s="1038"/>
      <c r="AM7" s="1379" t="s">
        <v>116</v>
      </c>
      <c r="AN7" s="1380">
        <v>45483</v>
      </c>
      <c r="AO7" s="1381">
        <v>11086005</v>
      </c>
      <c r="AP7" s="1382">
        <v>437457.65</v>
      </c>
      <c r="AQ7" s="1382"/>
      <c r="AR7" s="1382">
        <v>81907.31</v>
      </c>
      <c r="AS7" s="556">
        <f>IF(Table15910[[#This Row],[PCTS Approved]]="N",0,Table15910[[#This Row],[Investment Amount (1'#'#'#'#'#)]]+Table15910[[#This Row],[Retirement Amount (3'#'#'#'#'#)]])</f>
        <v>519364.96</v>
      </c>
      <c r="AT7" s="556">
        <f>IF(Table15910[[#This Row],[Approved Construction Cost]]=0,0,Table15910[[#This Row],[Approved Construction Cost]]-Table15910[[#This Row],[Construction Cost to Bill From]])</f>
        <v>94585.210000000021</v>
      </c>
      <c r="AU7" s="556">
        <f>IFERROR(Table15910[[#This Row],[Difference in Construction Cost]]*Table15910[[#This Row],[Rate]],Table15910[[#This Row],[Difference in Construction Cost]]*0.085)</f>
        <v>8512.6689000000024</v>
      </c>
      <c r="AV7" s="1382" t="s">
        <v>29</v>
      </c>
      <c r="AW7" s="1394" t="s">
        <v>9169</v>
      </c>
      <c r="AX7" s="556"/>
      <c r="AY7" s="1386" t="s">
        <v>709</v>
      </c>
      <c r="AZ7" s="1387">
        <v>40</v>
      </c>
      <c r="BA7" s="1395" t="s">
        <v>1131</v>
      </c>
      <c r="BB7" s="1389" t="s">
        <v>1132</v>
      </c>
      <c r="BC7" s="1082" t="s">
        <v>116</v>
      </c>
      <c r="BD7" s="1082" t="s">
        <v>1066</v>
      </c>
      <c r="BE7" s="1082" t="s">
        <v>1133</v>
      </c>
      <c r="BF7" s="1082" t="s">
        <v>1133</v>
      </c>
      <c r="BG7" s="1082" t="s">
        <v>115</v>
      </c>
      <c r="BH7" s="1396" t="s">
        <v>5505</v>
      </c>
      <c r="BI7" s="547" t="s">
        <v>709</v>
      </c>
      <c r="BJ7" s="547" t="s">
        <v>709</v>
      </c>
      <c r="BK7" s="547" t="s">
        <v>709</v>
      </c>
      <c r="BL7" s="547" t="s">
        <v>116</v>
      </c>
      <c r="BM7" s="547">
        <v>0</v>
      </c>
      <c r="BN7" s="549">
        <v>0</v>
      </c>
      <c r="BO7" s="547">
        <v>0</v>
      </c>
      <c r="BP7" s="547">
        <v>0</v>
      </c>
      <c r="BQ7" s="547">
        <v>0</v>
      </c>
      <c r="BR7" s="547">
        <v>1054</v>
      </c>
      <c r="BS7" s="547">
        <v>484</v>
      </c>
      <c r="BT7" s="547">
        <v>0</v>
      </c>
      <c r="BU7" s="549">
        <v>0</v>
      </c>
      <c r="BV7" s="547">
        <v>0</v>
      </c>
      <c r="BW7" s="547">
        <v>0</v>
      </c>
      <c r="BX7" s="547">
        <v>0</v>
      </c>
      <c r="BY7" s="547">
        <v>0</v>
      </c>
      <c r="BZ7" s="547" t="s">
        <v>709</v>
      </c>
      <c r="CA7" s="483" t="s">
        <v>2</v>
      </c>
    </row>
    <row r="8" spans="1:79" ht="15" customHeight="1" x14ac:dyDescent="0.25">
      <c r="A8" s="656">
        <v>2023</v>
      </c>
      <c r="B8" s="656" t="s">
        <v>771</v>
      </c>
      <c r="C8" s="656" t="s">
        <v>1469</v>
      </c>
      <c r="D8" s="656" t="s">
        <v>1470</v>
      </c>
      <c r="E8" s="656" t="s">
        <v>1129</v>
      </c>
      <c r="F8" s="656" t="s">
        <v>784</v>
      </c>
      <c r="G8" s="656" t="s">
        <v>32</v>
      </c>
      <c r="H8" s="737" t="s">
        <v>59</v>
      </c>
      <c r="I8" s="1375">
        <v>44946</v>
      </c>
      <c r="J8" s="1052">
        <v>45065</v>
      </c>
      <c r="K8" s="1376">
        <v>45043</v>
      </c>
      <c r="L8" s="1377">
        <v>22</v>
      </c>
      <c r="M8" s="1375"/>
      <c r="N8" s="1375" t="s">
        <v>120</v>
      </c>
      <c r="O8" s="1059">
        <v>45061</v>
      </c>
      <c r="P8" s="1378" t="s">
        <v>120</v>
      </c>
      <c r="Q8" s="340">
        <v>62958.712499999994</v>
      </c>
      <c r="R8" s="1026">
        <v>0.09</v>
      </c>
      <c r="S8" s="556"/>
      <c r="T8" s="556"/>
      <c r="U8" s="1061"/>
      <c r="V8" s="1184">
        <v>3016</v>
      </c>
      <c r="W8" s="1186">
        <v>0</v>
      </c>
      <c r="X8" s="570">
        <v>670013.47</v>
      </c>
      <c r="Y8" s="591"/>
      <c r="Z8" s="570">
        <v>29527.78</v>
      </c>
      <c r="AA8" s="570">
        <v>699541.25</v>
      </c>
      <c r="AB8" s="341">
        <v>45047</v>
      </c>
      <c r="AC8" s="568" t="s">
        <v>709</v>
      </c>
      <c r="AD8" s="1157" t="s">
        <v>116</v>
      </c>
      <c r="AE8" s="579"/>
      <c r="AF8" s="579"/>
      <c r="AG8" s="579"/>
      <c r="AH8" s="553"/>
      <c r="AI8" s="1036"/>
      <c r="AJ8" s="1037"/>
      <c r="AK8" s="1037"/>
      <c r="AL8" s="1038"/>
      <c r="AM8" s="1379" t="s">
        <v>116</v>
      </c>
      <c r="AN8" s="1380">
        <v>45490</v>
      </c>
      <c r="AO8" s="1381">
        <v>11086409</v>
      </c>
      <c r="AP8" s="1382">
        <v>713470.35</v>
      </c>
      <c r="AQ8" s="1382"/>
      <c r="AR8" s="1382">
        <v>74452.259999999995</v>
      </c>
      <c r="AS8" s="556">
        <f>IF(Table15910[[#This Row],[PCTS Approved]]="N",0,Table15910[[#This Row],[Investment Amount (1'#'#'#'#'#)]]+Table15910[[#This Row],[Retirement Amount (3'#'#'#'#'#)]])</f>
        <v>787922.61</v>
      </c>
      <c r="AT8" s="556">
        <f>IF(Table15910[[#This Row],[Approved Construction Cost]]=0,0,Table15910[[#This Row],[Approved Construction Cost]]-Table15910[[#This Row],[Construction Cost to Bill From]])</f>
        <v>88381.359999999986</v>
      </c>
      <c r="AU8" s="556">
        <f>IFERROR(Table15910[[#This Row],[Difference in Construction Cost]]*Table15910[[#This Row],[Rate]],Table15910[[#This Row],[Difference in Construction Cost]]*0.085)</f>
        <v>7954.3223999999982</v>
      </c>
      <c r="AV8" s="1382" t="s">
        <v>29</v>
      </c>
      <c r="AW8" s="1394" t="s">
        <v>6844</v>
      </c>
      <c r="AX8" s="556"/>
      <c r="AY8" s="1386" t="s">
        <v>709</v>
      </c>
      <c r="AZ8" s="1387">
        <v>41</v>
      </c>
      <c r="BA8" s="1395" t="s">
        <v>1471</v>
      </c>
      <c r="BB8" s="1389" t="s">
        <v>1132</v>
      </c>
      <c r="BC8" s="1082" t="s">
        <v>116</v>
      </c>
      <c r="BD8" s="1082" t="s">
        <v>1066</v>
      </c>
      <c r="BE8" s="1082" t="s">
        <v>1133</v>
      </c>
      <c r="BF8" s="1082" t="s">
        <v>1133</v>
      </c>
      <c r="BG8" s="1082" t="s">
        <v>115</v>
      </c>
      <c r="BH8" s="1396" t="s">
        <v>1472</v>
      </c>
      <c r="BI8" s="547" t="s">
        <v>709</v>
      </c>
      <c r="BJ8" s="547" t="s">
        <v>709</v>
      </c>
      <c r="BK8" s="547" t="s">
        <v>709</v>
      </c>
      <c r="BL8" s="547" t="s">
        <v>116</v>
      </c>
      <c r="BM8" s="547">
        <v>0</v>
      </c>
      <c r="BN8" s="549">
        <v>0</v>
      </c>
      <c r="BO8" s="547">
        <v>0</v>
      </c>
      <c r="BP8" s="547">
        <v>0</v>
      </c>
      <c r="BQ8" s="547">
        <v>0</v>
      </c>
      <c r="BR8" s="547">
        <v>762</v>
      </c>
      <c r="BS8" s="547">
        <v>2290</v>
      </c>
      <c r="BT8" s="547">
        <v>0</v>
      </c>
      <c r="BU8" s="549">
        <v>0</v>
      </c>
      <c r="BV8" s="547">
        <v>0</v>
      </c>
      <c r="BW8" s="547">
        <v>0</v>
      </c>
      <c r="BX8" s="547">
        <v>0</v>
      </c>
      <c r="BY8" s="547">
        <v>0</v>
      </c>
      <c r="BZ8" s="547" t="s">
        <v>709</v>
      </c>
      <c r="CA8" s="483"/>
    </row>
    <row r="9" spans="1:79" ht="15" hidden="1" customHeight="1" x14ac:dyDescent="0.25">
      <c r="A9" s="778" t="s">
        <v>800</v>
      </c>
      <c r="B9" s="8" t="s">
        <v>4</v>
      </c>
      <c r="C9" t="s">
        <v>6866</v>
      </c>
      <c r="D9" s="779" t="s">
        <v>6867</v>
      </c>
      <c r="E9" t="s">
        <v>2375</v>
      </c>
      <c r="F9" s="8" t="s">
        <v>784</v>
      </c>
      <c r="G9" s="8" t="s">
        <v>31</v>
      </c>
      <c r="H9" s="8" t="s">
        <v>59</v>
      </c>
      <c r="I9" s="755">
        <v>44427</v>
      </c>
      <c r="J9" s="18">
        <v>45646</v>
      </c>
      <c r="K9" s="642">
        <v>45646</v>
      </c>
      <c r="L9" s="649">
        <v>0</v>
      </c>
      <c r="M9" t="s">
        <v>6868</v>
      </c>
      <c r="N9" s="99" t="s">
        <v>120</v>
      </c>
      <c r="O9" s="1060">
        <v>45627</v>
      </c>
      <c r="P9" s="1152" t="s">
        <v>739</v>
      </c>
      <c r="Q9" s="340">
        <v>1200000</v>
      </c>
      <c r="R9" s="1026" t="s">
        <v>6869</v>
      </c>
      <c r="S9" s="538" t="s">
        <v>29</v>
      </c>
      <c r="T9" s="538" t="s">
        <v>29</v>
      </c>
      <c r="U9" s="28" t="s">
        <v>29</v>
      </c>
      <c r="V9" s="858">
        <v>27112</v>
      </c>
      <c r="W9" s="437">
        <v>4</v>
      </c>
      <c r="X9" s="538">
        <v>16357075.050000001</v>
      </c>
      <c r="Y9" s="550"/>
      <c r="Z9" s="538">
        <v>4252885.03</v>
      </c>
      <c r="AA9" s="552">
        <v>20609960.080000002</v>
      </c>
      <c r="AB9" s="341">
        <v>45639</v>
      </c>
      <c r="AC9" s="568" t="s">
        <v>116</v>
      </c>
      <c r="AD9" s="1158" t="s">
        <v>29</v>
      </c>
      <c r="AE9" s="576" t="s">
        <v>116</v>
      </c>
      <c r="AF9" s="576" t="s">
        <v>116</v>
      </c>
      <c r="AG9" s="576" t="s">
        <v>376</v>
      </c>
      <c r="AH9" s="183" t="s">
        <v>8140</v>
      </c>
      <c r="AI9" s="1145">
        <v>163750</v>
      </c>
      <c r="AJ9" s="1146">
        <v>33110</v>
      </c>
      <c r="AK9" s="1146">
        <v>18730.5</v>
      </c>
      <c r="AL9" s="1108">
        <v>0.17965875000000001</v>
      </c>
      <c r="AM9" s="536" t="s">
        <v>116</v>
      </c>
      <c r="AN9" s="801" t="s">
        <v>709</v>
      </c>
      <c r="AO9" s="601"/>
      <c r="AP9" s="572"/>
      <c r="AQ9" s="572"/>
      <c r="AR9" s="572"/>
      <c r="AS9" s="538">
        <f>IF(Table15910[[#This Row],[PCTS Approved]]="N",0,Table15910[[#This Row],[Investment Amount (1'#'#'#'#'#)]]+Table15910[[#This Row],[Retirement Amount (3'#'#'#'#'#)]])</f>
        <v>0</v>
      </c>
      <c r="AT9" s="538">
        <f>IF(Table15910[[#This Row],[Approved Construction Cost]]=0,0,Table15910[[#This Row],[Approved Construction Cost]]-Table15910[[#This Row],[Construction Cost to Bill From]])</f>
        <v>0</v>
      </c>
      <c r="AU9" s="538">
        <f>IFERROR(Table15910[[#This Row],[Difference in Construction Cost]]*Table15910[[#This Row],[Rate]],Table15910[[#This Row],[Difference in Construction Cost]]*0.085)</f>
        <v>0</v>
      </c>
      <c r="AV9" s="602"/>
      <c r="AW9" s="640"/>
      <c r="AX9" s="555"/>
      <c r="AY9" s="1035" t="s">
        <v>709</v>
      </c>
      <c r="AZ9" s="605"/>
      <c r="BA9" s="1031" t="s">
        <v>6870</v>
      </c>
      <c r="BB9" s="543" t="s">
        <v>870</v>
      </c>
      <c r="BC9" s="559" t="s">
        <v>992</v>
      </c>
      <c r="BD9" s="554" t="s">
        <v>115</v>
      </c>
      <c r="BE9" s="588" t="s">
        <v>3205</v>
      </c>
      <c r="BF9" s="588" t="s">
        <v>115</v>
      </c>
      <c r="BG9" s="544" t="s">
        <v>1391</v>
      </c>
      <c r="BH9" s="615" t="s">
        <v>6871</v>
      </c>
      <c r="BI9" s="547" t="s">
        <v>709</v>
      </c>
      <c r="BJ9" s="547" t="s">
        <v>709</v>
      </c>
      <c r="BK9" s="547" t="s">
        <v>116</v>
      </c>
      <c r="BL9" s="547" t="s">
        <v>116</v>
      </c>
      <c r="BM9" s="547" t="s">
        <v>709</v>
      </c>
      <c r="BN9" s="547">
        <v>8467</v>
      </c>
      <c r="BO9" s="547" t="s">
        <v>709</v>
      </c>
      <c r="BP9" s="547">
        <v>3330</v>
      </c>
      <c r="BQ9" s="547">
        <v>1652</v>
      </c>
      <c r="BR9" s="547">
        <v>7602</v>
      </c>
      <c r="BS9" s="547">
        <v>5971</v>
      </c>
      <c r="BT9" s="547">
        <v>1</v>
      </c>
      <c r="BU9" s="547">
        <v>3</v>
      </c>
      <c r="BV9" s="547" t="e">
        <v>#VALUE!</v>
      </c>
      <c r="BW9" s="547" t="s">
        <v>709</v>
      </c>
      <c r="BX9" s="547" t="s">
        <v>709</v>
      </c>
      <c r="BY9" s="547" t="s">
        <v>709</v>
      </c>
      <c r="BZ9" s="547" t="s">
        <v>709</v>
      </c>
      <c r="CA9" s="483"/>
    </row>
    <row r="10" spans="1:79" ht="15" customHeight="1" x14ac:dyDescent="0.25">
      <c r="A10" s="656" t="s">
        <v>749</v>
      </c>
      <c r="B10" s="656" t="s">
        <v>771</v>
      </c>
      <c r="C10" s="656" t="s">
        <v>447</v>
      </c>
      <c r="D10" s="656" t="s">
        <v>1477</v>
      </c>
      <c r="E10" s="656" t="s">
        <v>327</v>
      </c>
      <c r="F10" s="656" t="s">
        <v>784</v>
      </c>
      <c r="G10" s="656" t="s">
        <v>7152</v>
      </c>
      <c r="H10" s="737" t="s">
        <v>59</v>
      </c>
      <c r="I10" s="1375">
        <v>44939</v>
      </c>
      <c r="J10" s="1052">
        <v>45056</v>
      </c>
      <c r="K10" s="1376">
        <v>45055</v>
      </c>
      <c r="L10" s="1377">
        <v>1</v>
      </c>
      <c r="M10" s="1375"/>
      <c r="N10" s="1375" t="s">
        <v>120</v>
      </c>
      <c r="O10" s="1059">
        <v>45047</v>
      </c>
      <c r="P10" s="1378" t="s">
        <v>120</v>
      </c>
      <c r="Q10" s="340">
        <v>113072.59349999999</v>
      </c>
      <c r="R10" s="1026">
        <v>0.09</v>
      </c>
      <c r="S10" s="556"/>
      <c r="T10" s="556"/>
      <c r="U10" s="1061"/>
      <c r="V10" s="1184">
        <v>1338</v>
      </c>
      <c r="W10" s="1186">
        <v>0</v>
      </c>
      <c r="X10" s="570">
        <v>1222821.21</v>
      </c>
      <c r="Y10" s="591"/>
      <c r="Z10" s="570">
        <v>33540.94</v>
      </c>
      <c r="AA10" s="570">
        <v>1256362.1499999999</v>
      </c>
      <c r="AB10" s="341">
        <v>45056</v>
      </c>
      <c r="AC10" s="1219" t="s">
        <v>1177</v>
      </c>
      <c r="AD10" s="1157" t="s">
        <v>116</v>
      </c>
      <c r="AE10" s="579"/>
      <c r="AF10" s="579"/>
      <c r="AG10" s="579"/>
      <c r="AH10" s="553"/>
      <c r="AI10" s="1036"/>
      <c r="AJ10" s="1037"/>
      <c r="AK10" s="1037"/>
      <c r="AL10" s="1038"/>
      <c r="AM10" s="1379" t="s">
        <v>116</v>
      </c>
      <c r="AN10" s="1380">
        <v>45547</v>
      </c>
      <c r="AO10" s="1381">
        <v>11058971</v>
      </c>
      <c r="AP10" s="1382">
        <v>2216288.62</v>
      </c>
      <c r="AQ10" s="1382"/>
      <c r="AR10" s="1382">
        <v>157300.5</v>
      </c>
      <c r="AS10" s="556">
        <f>IF(Table15910[[#This Row],[PCTS Approved]]="N",0,Table15910[[#This Row],[Investment Amount (1'#'#'#'#'#)]]+Table15910[[#This Row],[Retirement Amount (3'#'#'#'#'#)]])</f>
        <v>2373589.12</v>
      </c>
      <c r="AT10" s="556">
        <f>IF(Table15910[[#This Row],[Approved Construction Cost]]=0,0,Table15910[[#This Row],[Approved Construction Cost]]-Table15910[[#This Row],[Construction Cost to Bill From]])</f>
        <v>1117226.9700000002</v>
      </c>
      <c r="AU10" s="556">
        <f>IFERROR(Table15910[[#This Row],[Difference in Construction Cost]]*Table15910[[#This Row],[Rate]],Table15910[[#This Row],[Difference in Construction Cost]]*0.085)</f>
        <v>100550.42730000001</v>
      </c>
      <c r="AV10" s="1382">
        <v>9070</v>
      </c>
      <c r="AW10" s="1421" t="s">
        <v>5607</v>
      </c>
      <c r="AX10" s="556"/>
      <c r="AY10" s="1386" t="s">
        <v>709</v>
      </c>
      <c r="AZ10" s="1387">
        <v>42</v>
      </c>
      <c r="BA10" s="1395" t="s">
        <v>1478</v>
      </c>
      <c r="BB10" s="1389" t="s">
        <v>1479</v>
      </c>
      <c r="BC10" s="1082" t="s">
        <v>709</v>
      </c>
      <c r="BD10" s="1082" t="s">
        <v>115</v>
      </c>
      <c r="BE10" s="1082" t="s">
        <v>448</v>
      </c>
      <c r="BF10" s="1082" t="s">
        <v>115</v>
      </c>
      <c r="BG10" s="1082" t="s">
        <v>1480</v>
      </c>
      <c r="BH10" s="1396" t="s">
        <v>1481</v>
      </c>
      <c r="BI10" s="547" t="s">
        <v>709</v>
      </c>
      <c r="BJ10" s="547" t="s">
        <v>709</v>
      </c>
      <c r="BK10" s="547" t="s">
        <v>709</v>
      </c>
      <c r="BL10" s="547" t="s">
        <v>116</v>
      </c>
      <c r="BM10" s="547" t="s">
        <v>709</v>
      </c>
      <c r="BN10" s="547" t="s">
        <v>709</v>
      </c>
      <c r="BO10" s="547" t="s">
        <v>709</v>
      </c>
      <c r="BP10" s="547">
        <v>1309</v>
      </c>
      <c r="BQ10" s="547" t="s">
        <v>709</v>
      </c>
      <c r="BR10" s="547" t="s">
        <v>709</v>
      </c>
      <c r="BS10" s="547">
        <v>29</v>
      </c>
      <c r="BT10" s="547" t="s">
        <v>709</v>
      </c>
      <c r="BU10" s="547" t="s">
        <v>709</v>
      </c>
      <c r="BV10" s="547" t="s">
        <v>745</v>
      </c>
      <c r="BW10" s="547" t="s">
        <v>709</v>
      </c>
      <c r="BX10" s="547" t="s">
        <v>709</v>
      </c>
      <c r="BY10" s="547" t="s">
        <v>745</v>
      </c>
      <c r="BZ10" s="547" t="s">
        <v>709</v>
      </c>
      <c r="CA10" s="483"/>
    </row>
    <row r="11" spans="1:79" ht="15" customHeight="1" x14ac:dyDescent="0.25">
      <c r="A11" s="656">
        <v>2023</v>
      </c>
      <c r="B11" s="656" t="s">
        <v>1205</v>
      </c>
      <c r="C11" s="656" t="s">
        <v>271</v>
      </c>
      <c r="D11" s="656" t="s">
        <v>1388</v>
      </c>
      <c r="E11" s="656" t="s">
        <v>272</v>
      </c>
      <c r="F11" s="656" t="s">
        <v>747</v>
      </c>
      <c r="G11" s="656" t="s">
        <v>32</v>
      </c>
      <c r="H11" s="656" t="s">
        <v>59</v>
      </c>
      <c r="I11" s="1375">
        <v>44795</v>
      </c>
      <c r="J11" s="1052">
        <v>44909</v>
      </c>
      <c r="K11" s="1376">
        <v>44901</v>
      </c>
      <c r="L11" s="1377">
        <v>8</v>
      </c>
      <c r="M11" s="1375"/>
      <c r="N11" s="1375" t="s">
        <v>120</v>
      </c>
      <c r="O11" s="1059">
        <v>44901</v>
      </c>
      <c r="P11" s="1433" t="s">
        <v>120</v>
      </c>
      <c r="Q11" s="1061">
        <v>39511.660499999998</v>
      </c>
      <c r="R11" s="1026">
        <v>0.09</v>
      </c>
      <c r="S11" s="556"/>
      <c r="T11" s="556"/>
      <c r="U11" s="1061"/>
      <c r="V11" s="1434">
        <v>279</v>
      </c>
      <c r="W11" s="1435"/>
      <c r="X11" s="570">
        <v>406784.84</v>
      </c>
      <c r="Y11" s="591"/>
      <c r="Z11" s="570">
        <v>32233.61</v>
      </c>
      <c r="AA11" s="570">
        <v>439018.45</v>
      </c>
      <c r="AB11" s="341">
        <v>44902</v>
      </c>
      <c r="AC11" s="568" t="s">
        <v>1177</v>
      </c>
      <c r="AD11" s="1157" t="s">
        <v>709</v>
      </c>
      <c r="AE11" s="579"/>
      <c r="AF11" s="579"/>
      <c r="AG11" s="579"/>
      <c r="AH11" s="553"/>
      <c r="AI11" s="1036"/>
      <c r="AJ11" s="1037"/>
      <c r="AK11" s="1037"/>
      <c r="AL11" s="1038"/>
      <c r="AM11" s="1379" t="s">
        <v>116</v>
      </c>
      <c r="AN11" s="1380">
        <v>45582</v>
      </c>
      <c r="AO11" s="1381">
        <v>11050949</v>
      </c>
      <c r="AP11" s="1382">
        <v>422454.2</v>
      </c>
      <c r="AQ11" s="1382"/>
      <c r="AR11" s="1382">
        <v>36314.230000000003</v>
      </c>
      <c r="AS11" s="556">
        <f>IF(Table15910[[#This Row],[PCTS Approved]]="N",0,Table15910[[#This Row],[Investment Amount (1'#'#'#'#'#)]]+Table15910[[#This Row],[Retirement Amount (3'#'#'#'#'#)]])</f>
        <v>458768.43</v>
      </c>
      <c r="AT11" s="556">
        <f>IF(Table15910[[#This Row],[Approved Construction Cost]]=0,0,Table15910[[#This Row],[Approved Construction Cost]]-Table15910[[#This Row],[Construction Cost to Bill From]])</f>
        <v>19749.979999999981</v>
      </c>
      <c r="AU11" s="556">
        <f>IFERROR(Table15910[[#This Row],[Difference in Construction Cost]]*Table15910[[#This Row],[Rate]],Table15910[[#This Row],[Difference in Construction Cost]]*0.085)</f>
        <v>1777.4981999999982</v>
      </c>
      <c r="AV11" s="1382">
        <v>2125</v>
      </c>
      <c r="AW11" s="1394" t="s">
        <v>5088</v>
      </c>
      <c r="AX11" s="556"/>
      <c r="AY11" s="1386" t="s">
        <v>709</v>
      </c>
      <c r="AZ11" s="1387">
        <v>30</v>
      </c>
      <c r="BA11" s="1395" t="s">
        <v>1389</v>
      </c>
      <c r="BB11" s="1389" t="s">
        <v>1390</v>
      </c>
      <c r="BC11" s="1082" t="s">
        <v>116</v>
      </c>
      <c r="BD11" s="1082" t="s">
        <v>115</v>
      </c>
      <c r="BE11" s="1082" t="s">
        <v>1242</v>
      </c>
      <c r="BF11" s="1082" t="s">
        <v>115</v>
      </c>
      <c r="BG11" s="1082" t="s">
        <v>1391</v>
      </c>
      <c r="BH11" s="1396" t="s">
        <v>5089</v>
      </c>
      <c r="BI11" s="547" t="s">
        <v>709</v>
      </c>
      <c r="BJ11" s="547" t="s">
        <v>709</v>
      </c>
      <c r="BK11" s="547" t="s">
        <v>709</v>
      </c>
      <c r="BL11" s="547" t="s">
        <v>116</v>
      </c>
      <c r="BM11" s="547">
        <v>0</v>
      </c>
      <c r="BN11" s="549">
        <v>0</v>
      </c>
      <c r="BO11" s="547">
        <v>0</v>
      </c>
      <c r="BP11" s="547">
        <v>0</v>
      </c>
      <c r="BQ11" s="547">
        <v>0</v>
      </c>
      <c r="BR11" s="547">
        <v>261</v>
      </c>
      <c r="BS11" s="547">
        <v>18</v>
      </c>
      <c r="BT11" s="547">
        <v>0</v>
      </c>
      <c r="BU11" s="547">
        <v>0</v>
      </c>
      <c r="BV11" s="547">
        <v>0</v>
      </c>
      <c r="BW11" s="547">
        <v>0</v>
      </c>
      <c r="BX11" s="547">
        <v>0</v>
      </c>
      <c r="BY11" s="547">
        <v>0</v>
      </c>
      <c r="BZ11" s="547" t="s">
        <v>709</v>
      </c>
      <c r="CA11" s="483"/>
    </row>
    <row r="12" spans="1:79" ht="15" customHeight="1" x14ac:dyDescent="0.25">
      <c r="A12" s="656" t="s">
        <v>800</v>
      </c>
      <c r="B12" s="656" t="s">
        <v>1205</v>
      </c>
      <c r="C12" s="656" t="s">
        <v>6728</v>
      </c>
      <c r="D12" s="656" t="s">
        <v>6729</v>
      </c>
      <c r="E12" s="656" t="s">
        <v>850</v>
      </c>
      <c r="F12" s="656" t="s">
        <v>851</v>
      </c>
      <c r="G12" s="656" t="s">
        <v>32</v>
      </c>
      <c r="H12" s="656" t="s">
        <v>59</v>
      </c>
      <c r="I12" s="1375">
        <v>45562</v>
      </c>
      <c r="J12" s="1052">
        <v>45639</v>
      </c>
      <c r="K12" s="1376">
        <v>45607</v>
      </c>
      <c r="L12" s="1377">
        <v>32</v>
      </c>
      <c r="M12" s="1375"/>
      <c r="N12" s="1436" t="s">
        <v>120</v>
      </c>
      <c r="O12" s="1059">
        <v>45597</v>
      </c>
      <c r="P12" s="1378" t="s">
        <v>120</v>
      </c>
      <c r="Q12" s="340">
        <v>17846.808300000001</v>
      </c>
      <c r="R12" s="1026">
        <v>0.09</v>
      </c>
      <c r="S12" s="556">
        <v>0</v>
      </c>
      <c r="T12" s="556">
        <v>0</v>
      </c>
      <c r="U12" s="1061">
        <v>0</v>
      </c>
      <c r="V12" s="1184">
        <v>286</v>
      </c>
      <c r="W12" s="1186">
        <v>0</v>
      </c>
      <c r="X12" s="556">
        <v>183986.2</v>
      </c>
      <c r="Y12" s="550"/>
      <c r="Z12" s="570">
        <v>14311.67</v>
      </c>
      <c r="AA12" s="570">
        <v>198297.87000000002</v>
      </c>
      <c r="AB12" s="341">
        <v>45609</v>
      </c>
      <c r="AC12" s="569" t="s">
        <v>709</v>
      </c>
      <c r="AD12" s="1149" t="s">
        <v>29</v>
      </c>
      <c r="AE12" s="568" t="s">
        <v>709</v>
      </c>
      <c r="AF12" s="568" t="s">
        <v>709</v>
      </c>
      <c r="AG12" s="569" t="s">
        <v>116</v>
      </c>
      <c r="AH12" s="183">
        <v>45672</v>
      </c>
      <c r="AI12" s="1109">
        <v>0</v>
      </c>
      <c r="AJ12" s="1110">
        <v>0</v>
      </c>
      <c r="AK12" s="1134">
        <v>5825</v>
      </c>
      <c r="AL12" s="1108">
        <v>0.32638889274111832</v>
      </c>
      <c r="AM12" s="1379" t="s">
        <v>116</v>
      </c>
      <c r="AN12" s="1380">
        <v>45740</v>
      </c>
      <c r="AO12" s="1381">
        <v>11100453</v>
      </c>
      <c r="AP12" s="1382">
        <v>169485.53</v>
      </c>
      <c r="AQ12" s="1382"/>
      <c r="AR12" s="1382">
        <v>17687.91</v>
      </c>
      <c r="AS12" s="556">
        <f>IF(Table15910[[#This Row],[PCTS Approved]]="N",0,Table15910[[#This Row],[Investment Amount (1'#'#'#'#'#)]]+Table15910[[#This Row],[Retirement Amount (3'#'#'#'#'#)]])</f>
        <v>187173.44</v>
      </c>
      <c r="AT12" s="556">
        <f>IF(Table15910[[#This Row],[Approved Construction Cost]]=0,0,Table15910[[#This Row],[Approved Construction Cost]]-Table15910[[#This Row],[Construction Cost to Bill From]])</f>
        <v>-11124.430000000022</v>
      </c>
      <c r="AU12" s="556">
        <f>IFERROR(Table15910[[#This Row],[Difference in Construction Cost]]*Table15910[[#This Row],[Rate]],Table15910[[#This Row],[Difference in Construction Cost]]*0.085)</f>
        <v>-1001.198700000002</v>
      </c>
      <c r="AV12" s="1383" t="s">
        <v>29</v>
      </c>
      <c r="AW12" s="1384" t="s">
        <v>6730</v>
      </c>
      <c r="AX12" s="1385"/>
      <c r="AY12" s="1386" t="s">
        <v>709</v>
      </c>
      <c r="AZ12" s="1387"/>
      <c r="BA12" s="1437" t="s">
        <v>6731</v>
      </c>
      <c r="BB12" s="1389" t="s">
        <v>6732</v>
      </c>
      <c r="BC12" s="1082" t="s">
        <v>115</v>
      </c>
      <c r="BD12" s="1391" t="s">
        <v>115</v>
      </c>
      <c r="BE12" s="1391" t="s">
        <v>855</v>
      </c>
      <c r="BF12" s="1092" t="s">
        <v>115</v>
      </c>
      <c r="BG12" s="1092" t="s">
        <v>115</v>
      </c>
      <c r="BH12" s="1393" t="s">
        <v>6733</v>
      </c>
      <c r="BI12" s="549" t="s">
        <v>709</v>
      </c>
      <c r="BJ12" s="549" t="s">
        <v>709</v>
      </c>
      <c r="BK12" s="549" t="s">
        <v>709</v>
      </c>
      <c r="BL12" s="547" t="s">
        <v>116</v>
      </c>
      <c r="BM12" s="549">
        <v>0</v>
      </c>
      <c r="BN12" s="549">
        <v>0</v>
      </c>
      <c r="BO12" s="549">
        <v>0</v>
      </c>
      <c r="BP12" s="549">
        <v>0</v>
      </c>
      <c r="BQ12" s="549">
        <v>0</v>
      </c>
      <c r="BR12" s="549">
        <v>0</v>
      </c>
      <c r="BS12" s="549">
        <v>286</v>
      </c>
      <c r="BT12" s="549">
        <v>0</v>
      </c>
      <c r="BU12" s="549">
        <v>0</v>
      </c>
      <c r="BV12" s="549">
        <v>0</v>
      </c>
      <c r="BW12" s="549">
        <v>0</v>
      </c>
      <c r="BX12" s="549">
        <v>0</v>
      </c>
      <c r="BY12" s="549">
        <v>0</v>
      </c>
      <c r="BZ12" s="547" t="s">
        <v>709</v>
      </c>
      <c r="CA12" s="483"/>
    </row>
    <row r="13" spans="1:79" ht="15" hidden="1" customHeight="1" x14ac:dyDescent="0.25">
      <c r="A13" s="8" t="s">
        <v>749</v>
      </c>
      <c r="B13" s="8" t="s">
        <v>4</v>
      </c>
      <c r="C13" s="8" t="s">
        <v>1672</v>
      </c>
      <c r="D13" s="8" t="s">
        <v>1673</v>
      </c>
      <c r="E13" s="8" t="s">
        <v>1674</v>
      </c>
      <c r="F13" s="8" t="s">
        <v>784</v>
      </c>
      <c r="G13" s="8" t="s">
        <v>31</v>
      </c>
      <c r="H13" s="8" t="s">
        <v>413</v>
      </c>
      <c r="I13" s="642">
        <v>45027</v>
      </c>
      <c r="J13" s="18">
        <v>45254</v>
      </c>
      <c r="K13" s="97">
        <v>45251</v>
      </c>
      <c r="L13" s="16">
        <v>3</v>
      </c>
      <c r="M13" s="642"/>
      <c r="N13" s="642" t="s">
        <v>120</v>
      </c>
      <c r="O13" s="1060">
        <v>45261</v>
      </c>
      <c r="P13" s="1152" t="s">
        <v>739</v>
      </c>
      <c r="Q13" s="340">
        <v>5355.2860000000001</v>
      </c>
      <c r="R13" s="1026">
        <v>0.1</v>
      </c>
      <c r="S13" s="538"/>
      <c r="T13" s="538"/>
      <c r="U13" s="87"/>
      <c r="V13" s="858">
        <v>0</v>
      </c>
      <c r="W13" s="437">
        <v>0</v>
      </c>
      <c r="X13" s="538">
        <v>0</v>
      </c>
      <c r="Y13" s="551"/>
      <c r="Z13" s="552">
        <v>53552.86</v>
      </c>
      <c r="AA13" s="552">
        <v>53552.86</v>
      </c>
      <c r="AB13" s="341">
        <v>45257</v>
      </c>
      <c r="AC13" s="568" t="s">
        <v>709</v>
      </c>
      <c r="AD13" s="1157" t="s">
        <v>29</v>
      </c>
      <c r="AE13" s="568" t="s">
        <v>116</v>
      </c>
      <c r="AF13" s="568" t="s">
        <v>756</v>
      </c>
      <c r="AG13" s="569" t="s">
        <v>116</v>
      </c>
      <c r="AH13" s="183">
        <v>45308</v>
      </c>
      <c r="AI13" s="1036"/>
      <c r="AJ13" s="1037"/>
      <c r="AK13" s="1037"/>
      <c r="AL13" s="1038"/>
      <c r="AM13" s="536" t="s">
        <v>116</v>
      </c>
      <c r="AN13" s="801" t="s">
        <v>709</v>
      </c>
      <c r="AO13" s="601"/>
      <c r="AP13" s="572"/>
      <c r="AQ13" s="572"/>
      <c r="AR13" s="572"/>
      <c r="AS13" s="538">
        <f>IF(Table15910[[#This Row],[PCTS Approved]]="N",0,Table15910[[#This Row],[Investment Amount (1'#'#'#'#'#)]]+Table15910[[#This Row],[Retirement Amount (3'#'#'#'#'#)]])</f>
        <v>0</v>
      </c>
      <c r="AT13" s="538">
        <f>IF(Table15910[[#This Row],[Approved Construction Cost]]=0,0,Table15910[[#This Row],[Approved Construction Cost]]-Table15910[[#This Row],[Construction Cost to Bill From]])</f>
        <v>0</v>
      </c>
      <c r="AU13" s="538">
        <f>IFERROR(Table15910[[#This Row],[Difference in Construction Cost]]*Table15910[[#This Row],[Rate]],Table15910[[#This Row],[Difference in Construction Cost]]*0.085)</f>
        <v>0</v>
      </c>
      <c r="AV13" s="602"/>
      <c r="AW13" s="640"/>
      <c r="AX13" s="555"/>
      <c r="AY13" s="1035" t="s">
        <v>709</v>
      </c>
      <c r="AZ13" s="443">
        <v>107</v>
      </c>
      <c r="BA13" s="1105" t="s">
        <v>1675</v>
      </c>
      <c r="BB13" s="669" t="s">
        <v>1071</v>
      </c>
      <c r="BC13" s="559" t="s">
        <v>709</v>
      </c>
      <c r="BD13" s="554" t="s">
        <v>1167</v>
      </c>
      <c r="BE13" s="588" t="s">
        <v>709</v>
      </c>
      <c r="BF13" s="588" t="s">
        <v>1676</v>
      </c>
      <c r="BG13" s="548" t="s">
        <v>709</v>
      </c>
      <c r="BH13" s="749" t="s">
        <v>1677</v>
      </c>
      <c r="BI13" s="547" t="s">
        <v>709</v>
      </c>
      <c r="BJ13" s="549" t="s">
        <v>709</v>
      </c>
      <c r="BK13" s="547" t="s">
        <v>709</v>
      </c>
      <c r="BL13" s="547" t="s">
        <v>709</v>
      </c>
      <c r="BM13" s="626" t="s">
        <v>709</v>
      </c>
      <c r="BN13" s="549" t="s">
        <v>709</v>
      </c>
      <c r="BO13" s="626" t="s">
        <v>709</v>
      </c>
      <c r="BP13" s="626" t="s">
        <v>709</v>
      </c>
      <c r="BQ13" s="549" t="s">
        <v>709</v>
      </c>
      <c r="BR13" s="549" t="s">
        <v>709</v>
      </c>
      <c r="BS13" s="549" t="s">
        <v>709</v>
      </c>
      <c r="BT13" s="549" t="s">
        <v>709</v>
      </c>
      <c r="BU13" s="549" t="s">
        <v>709</v>
      </c>
      <c r="BV13" s="549" t="s">
        <v>709</v>
      </c>
      <c r="BW13" s="549" t="s">
        <v>709</v>
      </c>
      <c r="BX13" s="547" t="s">
        <v>709</v>
      </c>
      <c r="BY13" s="549" t="s">
        <v>709</v>
      </c>
      <c r="BZ13" s="547" t="s">
        <v>709</v>
      </c>
      <c r="CA13" s="483"/>
    </row>
    <row r="14" spans="1:79" ht="15" hidden="1" customHeight="1" x14ac:dyDescent="0.25">
      <c r="A14" s="8" t="s">
        <v>781</v>
      </c>
      <c r="B14" s="8" t="s">
        <v>4</v>
      </c>
      <c r="C14" s="8" t="s">
        <v>1310</v>
      </c>
      <c r="D14" s="8" t="s">
        <v>1311</v>
      </c>
      <c r="E14" s="8" t="s">
        <v>183</v>
      </c>
      <c r="F14" s="8" t="s">
        <v>738</v>
      </c>
      <c r="G14" s="8" t="s">
        <v>31</v>
      </c>
      <c r="H14" s="8" t="s">
        <v>59</v>
      </c>
      <c r="I14" s="642">
        <v>44693</v>
      </c>
      <c r="J14" s="97">
        <v>44771</v>
      </c>
      <c r="K14" s="97">
        <v>44763</v>
      </c>
      <c r="L14" s="16">
        <v>8</v>
      </c>
      <c r="M14" s="642"/>
      <c r="N14" s="642" t="s">
        <v>120</v>
      </c>
      <c r="O14" s="1025">
        <v>44763</v>
      </c>
      <c r="P14" s="21" t="s">
        <v>739</v>
      </c>
      <c r="Q14" s="1151">
        <v>21583.229000000003</v>
      </c>
      <c r="R14" s="1039">
        <v>0.1</v>
      </c>
      <c r="S14" s="538" t="s">
        <v>709</v>
      </c>
      <c r="T14" s="538" t="s">
        <v>709</v>
      </c>
      <c r="U14" s="87" t="s">
        <v>709</v>
      </c>
      <c r="V14" s="857">
        <v>738</v>
      </c>
      <c r="W14" s="440"/>
      <c r="X14" s="551">
        <v>199493.89</v>
      </c>
      <c r="Y14" s="592"/>
      <c r="Z14" s="551">
        <v>16338.4</v>
      </c>
      <c r="AA14" s="551">
        <v>215832.29</v>
      </c>
      <c r="AB14" s="341"/>
      <c r="AC14" s="568" t="s">
        <v>709</v>
      </c>
      <c r="AD14" s="1157"/>
      <c r="AE14" s="579"/>
      <c r="AF14" s="579"/>
      <c r="AG14" s="579"/>
      <c r="AH14" s="553"/>
      <c r="AI14" s="1036"/>
      <c r="AJ14" s="1037"/>
      <c r="AK14" s="1037"/>
      <c r="AL14" s="1038"/>
      <c r="AM14" s="536" t="s">
        <v>116</v>
      </c>
      <c r="AN14" s="801" t="s">
        <v>709</v>
      </c>
      <c r="AO14" s="601" t="s">
        <v>115</v>
      </c>
      <c r="AP14" s="572"/>
      <c r="AQ14" s="572"/>
      <c r="AR14" s="572"/>
      <c r="AS14" s="538">
        <f>IF(Table15910[[#This Row],[PCTS Approved]]="N",0,Table15910[[#This Row],[Investment Amount (1'#'#'#'#'#)]]+Table15910[[#This Row],[Retirement Amount (3'#'#'#'#'#)]])</f>
        <v>0</v>
      </c>
      <c r="AT14" s="538">
        <f>IF(Table15910[[#This Row],[Approved Construction Cost]]=0,0,Table15910[[#This Row],[Approved Construction Cost]]-Table15910[[#This Row],[Construction Cost to Bill From]])</f>
        <v>0</v>
      </c>
      <c r="AU14" s="538">
        <f>IFERROR(Table15910[[#This Row],[Difference in Construction Cost]]*Table15910[[#This Row],[Rate]],Table15910[[#This Row],[Difference in Construction Cost]]*0.085)</f>
        <v>0</v>
      </c>
      <c r="AV14" s="572"/>
      <c r="AW14" s="639"/>
      <c r="AX14" s="538"/>
      <c r="AY14" s="1035" t="s">
        <v>709</v>
      </c>
      <c r="AZ14" s="443">
        <v>69</v>
      </c>
      <c r="BA14" s="859" t="s">
        <v>1312</v>
      </c>
      <c r="BB14" s="644" t="s">
        <v>1313</v>
      </c>
      <c r="BC14" s="544" t="s">
        <v>709</v>
      </c>
      <c r="BD14" s="544" t="s">
        <v>709</v>
      </c>
      <c r="BE14" s="544" t="s">
        <v>1314</v>
      </c>
      <c r="BF14" s="544" t="s">
        <v>709</v>
      </c>
      <c r="BG14" s="544" t="s">
        <v>709</v>
      </c>
      <c r="BH14" s="741"/>
      <c r="BI14" s="547" t="s">
        <v>709</v>
      </c>
      <c r="BJ14" s="547" t="s">
        <v>709</v>
      </c>
      <c r="BK14" s="547" t="s">
        <v>709</v>
      </c>
      <c r="BL14" s="547" t="s">
        <v>116</v>
      </c>
      <c r="BM14" s="547" t="s">
        <v>709</v>
      </c>
      <c r="BN14" s="547" t="s">
        <v>709</v>
      </c>
      <c r="BO14" s="547" t="s">
        <v>709</v>
      </c>
      <c r="BP14" s="547" t="s">
        <v>709</v>
      </c>
      <c r="BQ14" s="547" t="s">
        <v>709</v>
      </c>
      <c r="BR14" s="547" t="s">
        <v>709</v>
      </c>
      <c r="BS14" s="547">
        <v>738</v>
      </c>
      <c r="BT14" s="547" t="s">
        <v>745</v>
      </c>
      <c r="BU14" s="547" t="s">
        <v>709</v>
      </c>
      <c r="BV14" s="547" t="s">
        <v>745</v>
      </c>
      <c r="BW14" s="547" t="s">
        <v>709</v>
      </c>
      <c r="BX14" s="547" t="s">
        <v>709</v>
      </c>
      <c r="BY14" s="547" t="s">
        <v>745</v>
      </c>
      <c r="BZ14" s="547" t="s">
        <v>709</v>
      </c>
      <c r="CA14" s="483" t="s">
        <v>2</v>
      </c>
    </row>
    <row r="15" spans="1:79" ht="15" hidden="1" customHeight="1" x14ac:dyDescent="0.25">
      <c r="A15" s="8" t="s">
        <v>781</v>
      </c>
      <c r="B15" s="8" t="s">
        <v>4</v>
      </c>
      <c r="C15" s="8" t="s">
        <v>1253</v>
      </c>
      <c r="D15" s="8" t="s">
        <v>1254</v>
      </c>
      <c r="E15" s="8" t="s">
        <v>1255</v>
      </c>
      <c r="F15" s="8" t="s">
        <v>738</v>
      </c>
      <c r="G15" s="8" t="s">
        <v>31</v>
      </c>
      <c r="H15" s="8" t="s">
        <v>59</v>
      </c>
      <c r="I15" s="642">
        <v>44631</v>
      </c>
      <c r="J15" s="18">
        <v>44694</v>
      </c>
      <c r="K15" s="18">
        <v>44690</v>
      </c>
      <c r="L15" s="16">
        <v>4</v>
      </c>
      <c r="M15" s="642"/>
      <c r="N15" s="642" t="s">
        <v>120</v>
      </c>
      <c r="O15" s="1025">
        <v>44690</v>
      </c>
      <c r="P15" s="21" t="s">
        <v>739</v>
      </c>
      <c r="Q15" s="1151">
        <v>34712.473000000005</v>
      </c>
      <c r="R15" s="1026">
        <v>0.1</v>
      </c>
      <c r="S15" s="538" t="s">
        <v>709</v>
      </c>
      <c r="T15" s="538" t="s">
        <v>709</v>
      </c>
      <c r="U15" s="87" t="s">
        <v>709</v>
      </c>
      <c r="V15" s="857">
        <v>1282</v>
      </c>
      <c r="W15" s="440"/>
      <c r="X15" s="551">
        <v>308709.96000000002</v>
      </c>
      <c r="Y15" s="592"/>
      <c r="Z15" s="551">
        <v>38414.769999999997</v>
      </c>
      <c r="AA15" s="551">
        <v>347124.73000000004</v>
      </c>
      <c r="AB15" s="341"/>
      <c r="AC15" s="568" t="s">
        <v>709</v>
      </c>
      <c r="AD15" s="1157"/>
      <c r="AE15" s="579"/>
      <c r="AF15" s="579"/>
      <c r="AG15" s="579"/>
      <c r="AH15" s="553"/>
      <c r="AI15" s="1036"/>
      <c r="AJ15" s="1037"/>
      <c r="AK15" s="1037"/>
      <c r="AL15" s="1038"/>
      <c r="AM15" s="536" t="s">
        <v>116</v>
      </c>
      <c r="AN15" s="801" t="s">
        <v>709</v>
      </c>
      <c r="AO15" s="601" t="s">
        <v>115</v>
      </c>
      <c r="AP15" s="572"/>
      <c r="AQ15" s="572"/>
      <c r="AR15" s="572"/>
      <c r="AS15" s="538">
        <f>IF(Table15910[[#This Row],[PCTS Approved]]="N",0,Table15910[[#This Row],[Investment Amount (1'#'#'#'#'#)]]+Table15910[[#This Row],[Retirement Amount (3'#'#'#'#'#)]])</f>
        <v>0</v>
      </c>
      <c r="AT15" s="538">
        <f>IF(Table15910[[#This Row],[Approved Construction Cost]]=0,0,Table15910[[#This Row],[Approved Construction Cost]]-Table15910[[#This Row],[Construction Cost to Bill From]])</f>
        <v>0</v>
      </c>
      <c r="AU15" s="538">
        <f>IFERROR(Table15910[[#This Row],[Difference in Construction Cost]]*Table15910[[#This Row],[Rate]],Table15910[[#This Row],[Difference in Construction Cost]]*0.085)</f>
        <v>0</v>
      </c>
      <c r="AV15" s="572"/>
      <c r="AW15" s="639"/>
      <c r="AX15" s="538"/>
      <c r="AY15" s="1035" t="s">
        <v>709</v>
      </c>
      <c r="AZ15" s="443">
        <v>66</v>
      </c>
      <c r="BA15" s="859" t="s">
        <v>1256</v>
      </c>
      <c r="BB15" s="644" t="s">
        <v>1257</v>
      </c>
      <c r="BC15" s="544" t="s">
        <v>116</v>
      </c>
      <c r="BD15" s="544" t="s">
        <v>709</v>
      </c>
      <c r="BE15" s="544" t="s">
        <v>1258</v>
      </c>
      <c r="BF15" s="544" t="s">
        <v>709</v>
      </c>
      <c r="BG15" s="544" t="s">
        <v>709</v>
      </c>
      <c r="BH15" s="741"/>
      <c r="BI15" s="547" t="s">
        <v>709</v>
      </c>
      <c r="BJ15" s="547" t="s">
        <v>709</v>
      </c>
      <c r="BK15" s="547" t="s">
        <v>709</v>
      </c>
      <c r="BL15" s="547" t="s">
        <v>116</v>
      </c>
      <c r="BM15" s="547" t="s">
        <v>709</v>
      </c>
      <c r="BN15" s="547" t="s">
        <v>709</v>
      </c>
      <c r="BO15" s="547" t="s">
        <v>709</v>
      </c>
      <c r="BP15" s="547" t="s">
        <v>709</v>
      </c>
      <c r="BQ15" s="547" t="s">
        <v>709</v>
      </c>
      <c r="BR15" s="547">
        <v>1070</v>
      </c>
      <c r="BS15" s="547">
        <v>212</v>
      </c>
      <c r="BT15" s="547" t="s">
        <v>745</v>
      </c>
      <c r="BU15" s="547" t="s">
        <v>709</v>
      </c>
      <c r="BV15" s="547" t="s">
        <v>745</v>
      </c>
      <c r="BW15" s="547" t="s">
        <v>709</v>
      </c>
      <c r="BX15" s="547" t="s">
        <v>745</v>
      </c>
      <c r="BY15" s="547" t="s">
        <v>745</v>
      </c>
      <c r="BZ15" s="547" t="s">
        <v>709</v>
      </c>
      <c r="CA15" s="483"/>
    </row>
    <row r="16" spans="1:79" ht="15" hidden="1" customHeight="1" x14ac:dyDescent="0.25">
      <c r="A16" s="8" t="s">
        <v>994</v>
      </c>
      <c r="B16" s="8" t="s">
        <v>4</v>
      </c>
      <c r="C16" s="8" t="s">
        <v>204</v>
      </c>
      <c r="D16" s="656" t="s">
        <v>1158</v>
      </c>
      <c r="E16" s="8" t="s">
        <v>1159</v>
      </c>
      <c r="F16" s="8" t="s">
        <v>919</v>
      </c>
      <c r="G16" s="8" t="s">
        <v>31</v>
      </c>
      <c r="H16" s="8" t="s">
        <v>59</v>
      </c>
      <c r="I16" s="642">
        <v>43887</v>
      </c>
      <c r="J16" s="18">
        <v>44239</v>
      </c>
      <c r="K16" s="642">
        <v>44237</v>
      </c>
      <c r="L16" s="16">
        <v>2</v>
      </c>
      <c r="M16" s="642"/>
      <c r="N16" s="642" t="s">
        <v>120</v>
      </c>
      <c r="O16" s="1025">
        <v>44237</v>
      </c>
      <c r="P16" s="21" t="s">
        <v>739</v>
      </c>
      <c r="Q16" s="340">
        <v>72501.573000000004</v>
      </c>
      <c r="R16" s="1026">
        <v>0.1</v>
      </c>
      <c r="S16" s="538" t="s">
        <v>709</v>
      </c>
      <c r="T16" s="538" t="s">
        <v>709</v>
      </c>
      <c r="U16" s="28" t="s">
        <v>709</v>
      </c>
      <c r="V16" s="857">
        <v>2309</v>
      </c>
      <c r="W16" s="440"/>
      <c r="X16" s="551">
        <v>671732.85</v>
      </c>
      <c r="Y16" s="594"/>
      <c r="Z16" s="551">
        <v>53282.879999999997</v>
      </c>
      <c r="AA16" s="551">
        <v>725015.73</v>
      </c>
      <c r="AB16" s="341"/>
      <c r="AC16" s="568" t="s">
        <v>116</v>
      </c>
      <c r="AD16" s="1157"/>
      <c r="AE16" s="579"/>
      <c r="AF16" s="579"/>
      <c r="AG16" s="579"/>
      <c r="AH16" s="553"/>
      <c r="AI16" s="1036"/>
      <c r="AJ16" s="1037"/>
      <c r="AK16" s="1037"/>
      <c r="AL16" s="1038"/>
      <c r="AM16" s="536" t="s">
        <v>116</v>
      </c>
      <c r="AN16" s="801" t="s">
        <v>709</v>
      </c>
      <c r="AO16" s="601" t="s">
        <v>115</v>
      </c>
      <c r="AP16" s="572"/>
      <c r="AQ16" s="572"/>
      <c r="AR16" s="572"/>
      <c r="AS16" s="538">
        <f>IF(Table15910[[#This Row],[PCTS Approved]]="N",0,Table15910[[#This Row],[Investment Amount (1'#'#'#'#'#)]]+Table15910[[#This Row],[Retirement Amount (3'#'#'#'#'#)]])</f>
        <v>0</v>
      </c>
      <c r="AT16" s="538">
        <f>IF(Table15910[[#This Row],[Approved Construction Cost]]=0,0,Table15910[[#This Row],[Approved Construction Cost]]-Table15910[[#This Row],[Construction Cost to Bill From]])</f>
        <v>0</v>
      </c>
      <c r="AU16" s="538">
        <f>IFERROR(Table15910[[#This Row],[Difference in Construction Cost]]*Table15910[[#This Row],[Rate]],Table15910[[#This Row],[Difference in Construction Cost]]*0.085)</f>
        <v>0</v>
      </c>
      <c r="AV16" s="572"/>
      <c r="AW16" s="639"/>
      <c r="AX16" s="538"/>
      <c r="AY16" s="1035" t="s">
        <v>709</v>
      </c>
      <c r="AZ16" s="443">
        <v>57</v>
      </c>
      <c r="BA16" s="859" t="s">
        <v>1160</v>
      </c>
      <c r="BB16" s="644" t="s">
        <v>1161</v>
      </c>
      <c r="BC16" s="544"/>
      <c r="BD16" s="544"/>
      <c r="BE16" s="544"/>
      <c r="BF16" s="544"/>
      <c r="BG16" s="544"/>
      <c r="BH16" s="741"/>
      <c r="BI16" s="547" t="s">
        <v>709</v>
      </c>
      <c r="BJ16" s="547" t="s">
        <v>709</v>
      </c>
      <c r="BK16" s="547" t="s">
        <v>116</v>
      </c>
      <c r="BL16" s="547" t="s">
        <v>116</v>
      </c>
      <c r="BM16" s="547" t="s">
        <v>709</v>
      </c>
      <c r="BN16" s="547" t="s">
        <v>709</v>
      </c>
      <c r="BO16" s="547" t="s">
        <v>709</v>
      </c>
      <c r="BP16" s="547">
        <v>1485</v>
      </c>
      <c r="BQ16" s="547" t="s">
        <v>709</v>
      </c>
      <c r="BR16" s="547">
        <v>822</v>
      </c>
      <c r="BS16" s="547" t="s">
        <v>709</v>
      </c>
      <c r="BT16" s="547" t="s">
        <v>709</v>
      </c>
      <c r="BU16" s="547" t="s">
        <v>709</v>
      </c>
      <c r="BV16" s="547" t="s">
        <v>745</v>
      </c>
      <c r="BW16" s="547" t="s">
        <v>709</v>
      </c>
      <c r="BX16" s="547" t="s">
        <v>709</v>
      </c>
      <c r="BY16" s="547" t="s">
        <v>745</v>
      </c>
      <c r="BZ16" s="547" t="s">
        <v>709</v>
      </c>
      <c r="CA16" s="483"/>
    </row>
    <row r="17" spans="1:79" ht="15" hidden="1" customHeight="1" x14ac:dyDescent="0.25">
      <c r="A17" s="8" t="s">
        <v>994</v>
      </c>
      <c r="B17" s="8" t="s">
        <v>4</v>
      </c>
      <c r="C17" s="8" t="s">
        <v>1147</v>
      </c>
      <c r="D17" s="656" t="s">
        <v>1148</v>
      </c>
      <c r="E17" s="8" t="s">
        <v>1149</v>
      </c>
      <c r="F17" s="8" t="s">
        <v>919</v>
      </c>
      <c r="G17" s="8" t="s">
        <v>31</v>
      </c>
      <c r="H17" s="8" t="s">
        <v>59</v>
      </c>
      <c r="I17" s="642">
        <v>44069</v>
      </c>
      <c r="J17" s="18">
        <v>44113</v>
      </c>
      <c r="K17" s="642">
        <v>44119</v>
      </c>
      <c r="L17" s="16">
        <v>0</v>
      </c>
      <c r="M17" s="642" t="s">
        <v>1150</v>
      </c>
      <c r="N17" s="642" t="s">
        <v>120</v>
      </c>
      <c r="O17" s="1025">
        <v>44119</v>
      </c>
      <c r="P17" s="21" t="s">
        <v>739</v>
      </c>
      <c r="Q17" s="340">
        <v>32221.179</v>
      </c>
      <c r="R17" s="1026">
        <v>0.1</v>
      </c>
      <c r="S17" s="538"/>
      <c r="T17" s="538"/>
      <c r="U17" s="28"/>
      <c r="V17" s="858">
        <v>402</v>
      </c>
      <c r="W17" s="437"/>
      <c r="X17" s="538">
        <v>292732.42</v>
      </c>
      <c r="Y17" s="591"/>
      <c r="Z17" s="538">
        <v>29479.37</v>
      </c>
      <c r="AA17" s="551">
        <v>322211.78999999998</v>
      </c>
      <c r="AB17" s="341"/>
      <c r="AC17" s="568"/>
      <c r="AD17" s="1157"/>
      <c r="AE17" s="579"/>
      <c r="AF17" s="579"/>
      <c r="AG17" s="579"/>
      <c r="AH17" s="553"/>
      <c r="AI17" s="1036"/>
      <c r="AJ17" s="1037"/>
      <c r="AK17" s="1037"/>
      <c r="AL17" s="1038"/>
      <c r="AM17" s="536" t="s">
        <v>116</v>
      </c>
      <c r="AN17" s="801" t="s">
        <v>709</v>
      </c>
      <c r="AO17" s="601" t="s">
        <v>115</v>
      </c>
      <c r="AP17" s="572"/>
      <c r="AQ17" s="572"/>
      <c r="AR17" s="572"/>
      <c r="AS17" s="538">
        <f>IF(Table15910[[#This Row],[PCTS Approved]]="N",0,Table15910[[#This Row],[Investment Amount (1'#'#'#'#'#)]]+Table15910[[#This Row],[Retirement Amount (3'#'#'#'#'#)]])</f>
        <v>0</v>
      </c>
      <c r="AT17" s="538">
        <f>IF(Table15910[[#This Row],[Approved Construction Cost]]=0,0,Table15910[[#This Row],[Approved Construction Cost]]-Table15910[[#This Row],[Construction Cost to Bill From]])</f>
        <v>0</v>
      </c>
      <c r="AU17" s="538">
        <f>IFERROR(Table15910[[#This Row],[Difference in Construction Cost]]*Table15910[[#This Row],[Rate]],Table15910[[#This Row],[Difference in Construction Cost]]*0.085)</f>
        <v>0</v>
      </c>
      <c r="AV17" s="572"/>
      <c r="AW17" s="639"/>
      <c r="AX17" s="538"/>
      <c r="AY17" s="1035" t="s">
        <v>709</v>
      </c>
      <c r="AZ17" s="443">
        <v>55</v>
      </c>
      <c r="BA17" s="859" t="s">
        <v>1151</v>
      </c>
      <c r="BB17" s="644"/>
      <c r="BC17" s="544"/>
      <c r="BD17" s="544"/>
      <c r="BE17" s="544"/>
      <c r="BF17" s="544"/>
      <c r="BG17" s="544"/>
      <c r="BH17" s="741"/>
      <c r="BI17" s="547" t="s">
        <v>709</v>
      </c>
      <c r="BJ17" s="547" t="s">
        <v>709</v>
      </c>
      <c r="BK17" s="547" t="s">
        <v>709</v>
      </c>
      <c r="BL17" s="547" t="s">
        <v>116</v>
      </c>
      <c r="BM17" s="547" t="s">
        <v>709</v>
      </c>
      <c r="BN17" s="547" t="s">
        <v>709</v>
      </c>
      <c r="BO17" s="547" t="s">
        <v>709</v>
      </c>
      <c r="BP17" s="547">
        <v>193</v>
      </c>
      <c r="BQ17" s="547" t="s">
        <v>709</v>
      </c>
      <c r="BR17" s="547">
        <v>48</v>
      </c>
      <c r="BS17" s="547">
        <v>161</v>
      </c>
      <c r="BT17" s="547" t="s">
        <v>745</v>
      </c>
      <c r="BU17" s="547" t="s">
        <v>709</v>
      </c>
      <c r="BV17" s="547" t="s">
        <v>745</v>
      </c>
      <c r="BW17" s="547" t="s">
        <v>709</v>
      </c>
      <c r="BX17" s="547" t="s">
        <v>745</v>
      </c>
      <c r="BY17" s="547" t="s">
        <v>745</v>
      </c>
      <c r="BZ17" s="547" t="s">
        <v>709</v>
      </c>
      <c r="CA17" s="483"/>
    </row>
    <row r="18" spans="1:79" ht="15" hidden="1" customHeight="1" x14ac:dyDescent="0.25">
      <c r="A18" s="8" t="s">
        <v>770</v>
      </c>
      <c r="B18" s="8" t="s">
        <v>1108</v>
      </c>
      <c r="C18" s="8" t="s">
        <v>1169</v>
      </c>
      <c r="D18" s="656" t="s">
        <v>1170</v>
      </c>
      <c r="E18" s="8" t="s">
        <v>1171</v>
      </c>
      <c r="F18" s="8" t="s">
        <v>1172</v>
      </c>
      <c r="G18" s="8" t="s">
        <v>37</v>
      </c>
      <c r="H18" s="8" t="s">
        <v>59</v>
      </c>
      <c r="I18" s="642">
        <v>44188</v>
      </c>
      <c r="J18" s="18">
        <v>44274</v>
      </c>
      <c r="K18" s="642">
        <v>44274</v>
      </c>
      <c r="L18" s="16">
        <v>0</v>
      </c>
      <c r="M18" s="642"/>
      <c r="N18" s="642" t="s">
        <v>120</v>
      </c>
      <c r="O18" s="1025">
        <v>44274</v>
      </c>
      <c r="P18" s="21" t="s">
        <v>739</v>
      </c>
      <c r="Q18" s="340">
        <v>22430.406950000004</v>
      </c>
      <c r="R18" s="1026" t="s">
        <v>1055</v>
      </c>
      <c r="S18" s="538" t="s">
        <v>709</v>
      </c>
      <c r="T18" s="538" t="s">
        <v>709</v>
      </c>
      <c r="U18" s="441" t="s">
        <v>709</v>
      </c>
      <c r="V18" s="857">
        <v>8</v>
      </c>
      <c r="W18" s="440"/>
      <c r="X18" s="551">
        <v>165048.51</v>
      </c>
      <c r="Y18" s="593"/>
      <c r="Z18" s="551">
        <v>7662.16</v>
      </c>
      <c r="AA18" s="538">
        <v>172710.67</v>
      </c>
      <c r="AB18" s="341"/>
      <c r="AC18" s="568" t="s">
        <v>116</v>
      </c>
      <c r="AD18" s="1157"/>
      <c r="AE18" s="579"/>
      <c r="AF18" s="579"/>
      <c r="AG18" s="579"/>
      <c r="AH18" s="553"/>
      <c r="AI18" s="1036"/>
      <c r="AJ18" s="1037"/>
      <c r="AK18" s="1037"/>
      <c r="AL18" s="1038"/>
      <c r="AM18" s="536" t="s">
        <v>116</v>
      </c>
      <c r="AN18" s="680" t="s">
        <v>709</v>
      </c>
      <c r="AO18" s="601" t="s">
        <v>115</v>
      </c>
      <c r="AP18" s="572"/>
      <c r="AQ18" s="572"/>
      <c r="AR18" s="572"/>
      <c r="AS18" s="538">
        <f>IF(Table15910[[#This Row],[PCTS Approved]]="N",0,Table15910[[#This Row],[Investment Amount (1'#'#'#'#'#)]]+Table15910[[#This Row],[Retirement Amount (3'#'#'#'#'#)]])</f>
        <v>0</v>
      </c>
      <c r="AT18" s="538">
        <f>IF(Table15910[[#This Row],[Approved Construction Cost]]=0,0,Table15910[[#This Row],[Approved Construction Cost]]-Table15910[[#This Row],[Construction Cost to Bill From]])</f>
        <v>0</v>
      </c>
      <c r="AU18" s="538">
        <f>IFERROR(Table15910[[#This Row],[Difference in Construction Cost]]*Table15910[[#This Row],[Rate]],Table15910[[#This Row],[Difference in Construction Cost]]*0.085)</f>
        <v>0</v>
      </c>
      <c r="AV18" s="572"/>
      <c r="AW18" s="639"/>
      <c r="AX18" s="538"/>
      <c r="AY18" s="1035" t="s">
        <v>709</v>
      </c>
      <c r="AZ18" s="443">
        <v>177</v>
      </c>
      <c r="BA18" s="859" t="s">
        <v>1173</v>
      </c>
      <c r="BB18" s="644" t="s">
        <v>1174</v>
      </c>
      <c r="BC18" s="544" t="s">
        <v>116</v>
      </c>
      <c r="BD18" s="544" t="s">
        <v>709</v>
      </c>
      <c r="BE18" s="544" t="s">
        <v>709</v>
      </c>
      <c r="BF18" s="544" t="s">
        <v>709</v>
      </c>
      <c r="BG18" s="544" t="s">
        <v>709</v>
      </c>
      <c r="BH18" s="741"/>
      <c r="BI18" s="547" t="s">
        <v>709</v>
      </c>
      <c r="BJ18" s="547" t="s">
        <v>709</v>
      </c>
      <c r="BK18" s="547" t="s">
        <v>116</v>
      </c>
      <c r="BL18" s="547" t="s">
        <v>709</v>
      </c>
      <c r="BM18" s="547" t="s">
        <v>709</v>
      </c>
      <c r="BN18" s="547" t="s">
        <v>709</v>
      </c>
      <c r="BO18" s="547" t="s">
        <v>709</v>
      </c>
      <c r="BP18" s="547">
        <v>4</v>
      </c>
      <c r="BQ18" s="547">
        <v>4</v>
      </c>
      <c r="BR18" s="547" t="s">
        <v>709</v>
      </c>
      <c r="BS18" s="547" t="s">
        <v>709</v>
      </c>
      <c r="BT18" s="547" t="s">
        <v>709</v>
      </c>
      <c r="BU18" s="547" t="s">
        <v>709</v>
      </c>
      <c r="BV18" s="547" t="s">
        <v>709</v>
      </c>
      <c r="BW18" s="547">
        <v>2</v>
      </c>
      <c r="BX18" s="547" t="s">
        <v>709</v>
      </c>
      <c r="BY18" s="547" t="s">
        <v>709</v>
      </c>
      <c r="BZ18" s="547" t="s">
        <v>709</v>
      </c>
      <c r="CA18" s="483"/>
    </row>
    <row r="19" spans="1:79" ht="15" hidden="1" customHeight="1" x14ac:dyDescent="0.25">
      <c r="A19" s="8" t="s">
        <v>781</v>
      </c>
      <c r="B19" s="8" t="s">
        <v>1108</v>
      </c>
      <c r="C19" s="8" t="s">
        <v>1315</v>
      </c>
      <c r="D19" s="8" t="s">
        <v>1316</v>
      </c>
      <c r="E19" s="8" t="s">
        <v>818</v>
      </c>
      <c r="F19" s="8" t="s">
        <v>752</v>
      </c>
      <c r="G19" s="8" t="s">
        <v>34</v>
      </c>
      <c r="H19" s="8" t="s">
        <v>59</v>
      </c>
      <c r="I19" s="642">
        <v>44480</v>
      </c>
      <c r="J19" s="18">
        <v>44764</v>
      </c>
      <c r="K19" s="97">
        <v>44764</v>
      </c>
      <c r="L19" s="16">
        <v>0</v>
      </c>
      <c r="M19" s="642"/>
      <c r="N19" s="642" t="s">
        <v>120</v>
      </c>
      <c r="O19" s="1025">
        <v>44764</v>
      </c>
      <c r="P19" s="21" t="s">
        <v>120</v>
      </c>
      <c r="Q19" s="1061">
        <v>80510.001700000008</v>
      </c>
      <c r="R19" s="1026" t="s">
        <v>1055</v>
      </c>
      <c r="S19" s="538" t="s">
        <v>709</v>
      </c>
      <c r="T19" s="538" t="s">
        <v>709</v>
      </c>
      <c r="U19" s="87" t="s">
        <v>709</v>
      </c>
      <c r="V19" s="858">
        <v>506</v>
      </c>
      <c r="W19" s="437"/>
      <c r="X19" s="538">
        <v>712423.59</v>
      </c>
      <c r="Y19" s="592"/>
      <c r="Z19" s="538">
        <v>143576.43</v>
      </c>
      <c r="AA19" s="551">
        <v>856000.02</v>
      </c>
      <c r="AB19" s="341"/>
      <c r="AC19" s="568" t="s">
        <v>1177</v>
      </c>
      <c r="AD19" s="1157" t="s">
        <v>29</v>
      </c>
      <c r="AE19" s="579"/>
      <c r="AF19" s="579"/>
      <c r="AG19" s="579"/>
      <c r="AH19" s="553"/>
      <c r="AI19" s="1036"/>
      <c r="AJ19" s="1037"/>
      <c r="AK19" s="1037"/>
      <c r="AL19" s="1038"/>
      <c r="AM19" s="536" t="s">
        <v>116</v>
      </c>
      <c r="AN19" s="680" t="s">
        <v>709</v>
      </c>
      <c r="AO19" s="601">
        <v>11038425</v>
      </c>
      <c r="AP19" s="572"/>
      <c r="AQ19" s="572"/>
      <c r="AR19" s="572"/>
      <c r="AS19" s="538">
        <f>IF(Table15910[[#This Row],[PCTS Approved]]="N",0,Table15910[[#This Row],[Investment Amount (1'#'#'#'#'#)]]+Table15910[[#This Row],[Retirement Amount (3'#'#'#'#'#)]])</f>
        <v>0</v>
      </c>
      <c r="AT19" s="538">
        <f>IF(Table15910[[#This Row],[Approved Construction Cost]]=0,0,Table15910[[#This Row],[Approved Construction Cost]]-Table15910[[#This Row],[Construction Cost to Bill From]])</f>
        <v>0</v>
      </c>
      <c r="AU19" s="538">
        <f>IFERROR(Table15910[[#This Row],[Difference in Construction Cost]]*Table15910[[#This Row],[Rate]],Table15910[[#This Row],[Difference in Construction Cost]]*0.085)</f>
        <v>0</v>
      </c>
      <c r="AV19" s="572"/>
      <c r="AW19" s="639"/>
      <c r="AX19" s="538"/>
      <c r="AY19" s="1035" t="s">
        <v>709</v>
      </c>
      <c r="AZ19" s="443">
        <v>185</v>
      </c>
      <c r="BA19" s="859" t="s">
        <v>1317</v>
      </c>
      <c r="BB19" s="644" t="s">
        <v>1318</v>
      </c>
      <c r="BC19" s="544" t="s">
        <v>709</v>
      </c>
      <c r="BD19" s="544" t="s">
        <v>709</v>
      </c>
      <c r="BE19" s="544" t="s">
        <v>822</v>
      </c>
      <c r="BF19" s="544" t="s">
        <v>709</v>
      </c>
      <c r="BG19" s="544" t="s">
        <v>709</v>
      </c>
      <c r="BH19" s="741"/>
      <c r="BI19" s="547" t="s">
        <v>709</v>
      </c>
      <c r="BJ19" s="547" t="s">
        <v>709</v>
      </c>
      <c r="BK19" s="547" t="s">
        <v>116</v>
      </c>
      <c r="BL19" s="547" t="s">
        <v>116</v>
      </c>
      <c r="BM19" s="547" t="s">
        <v>709</v>
      </c>
      <c r="BN19" s="547">
        <v>90</v>
      </c>
      <c r="BO19" s="547" t="s">
        <v>709</v>
      </c>
      <c r="BP19" s="547">
        <v>92</v>
      </c>
      <c r="BQ19" s="547">
        <v>69</v>
      </c>
      <c r="BR19" s="547" t="s">
        <v>709</v>
      </c>
      <c r="BS19" s="547" t="s">
        <v>709</v>
      </c>
      <c r="BT19" s="547">
        <v>1</v>
      </c>
      <c r="BU19" s="547" t="s">
        <v>709</v>
      </c>
      <c r="BV19" s="547" t="s">
        <v>745</v>
      </c>
      <c r="BW19" s="547">
        <v>2</v>
      </c>
      <c r="BX19" s="547">
        <v>1</v>
      </c>
      <c r="BY19" s="547" t="s">
        <v>745</v>
      </c>
      <c r="BZ19" s="547" t="s">
        <v>709</v>
      </c>
      <c r="CA19" s="483"/>
    </row>
    <row r="20" spans="1:79" ht="15" hidden="1" customHeight="1" x14ac:dyDescent="0.25">
      <c r="A20" s="8" t="s">
        <v>800</v>
      </c>
      <c r="B20" s="8" t="s">
        <v>771</v>
      </c>
      <c r="C20" s="8" t="s">
        <v>1545</v>
      </c>
      <c r="D20" s="8" t="s">
        <v>1546</v>
      </c>
      <c r="E20" s="8" t="s">
        <v>1200</v>
      </c>
      <c r="F20" s="8" t="s">
        <v>784</v>
      </c>
      <c r="G20" s="8" t="s">
        <v>31</v>
      </c>
      <c r="H20" s="13" t="s">
        <v>59</v>
      </c>
      <c r="I20" s="642">
        <v>44838</v>
      </c>
      <c r="J20" s="18">
        <v>45119</v>
      </c>
      <c r="K20" s="97">
        <v>45118</v>
      </c>
      <c r="L20" s="649">
        <v>1</v>
      </c>
      <c r="M20" s="642"/>
      <c r="N20" s="642" t="s">
        <v>120</v>
      </c>
      <c r="O20" s="1060">
        <v>45108</v>
      </c>
      <c r="P20" s="1152" t="s">
        <v>120</v>
      </c>
      <c r="Q20" s="28">
        <v>247260.61259999999</v>
      </c>
      <c r="R20" s="1026">
        <v>0.06</v>
      </c>
      <c r="S20" s="538"/>
      <c r="T20" s="538"/>
      <c r="U20" s="87"/>
      <c r="V20" s="858">
        <v>5676</v>
      </c>
      <c r="W20" s="443">
        <v>0</v>
      </c>
      <c r="X20" s="552">
        <v>4068856.64</v>
      </c>
      <c r="Y20" s="592"/>
      <c r="Z20" s="552">
        <v>52153.57</v>
      </c>
      <c r="AA20" s="552">
        <v>4121010.21</v>
      </c>
      <c r="AB20" s="341">
        <v>45131</v>
      </c>
      <c r="AC20" s="568" t="s">
        <v>116</v>
      </c>
      <c r="AD20" s="1157" t="s">
        <v>116</v>
      </c>
      <c r="AE20" s="568" t="s">
        <v>116</v>
      </c>
      <c r="AF20" s="568" t="s">
        <v>116</v>
      </c>
      <c r="AG20" s="568" t="s">
        <v>116</v>
      </c>
      <c r="AH20" s="183" t="s">
        <v>116</v>
      </c>
      <c r="AI20" s="1036"/>
      <c r="AJ20" s="1037"/>
      <c r="AK20" s="1037"/>
      <c r="AL20" s="1038"/>
      <c r="AM20" s="536" t="s">
        <v>116</v>
      </c>
      <c r="AN20" s="680" t="s">
        <v>709</v>
      </c>
      <c r="AO20" s="681">
        <v>11067715</v>
      </c>
      <c r="AP20" s="572"/>
      <c r="AQ20" s="572"/>
      <c r="AR20" s="572"/>
      <c r="AS20" s="538">
        <f>IF(Table15910[[#This Row],[PCTS Approved]]="N",0,Table15910[[#This Row],[Investment Amount (1'#'#'#'#'#)]]+Table15910[[#This Row],[Retirement Amount (3'#'#'#'#'#)]])</f>
        <v>0</v>
      </c>
      <c r="AT20" s="538">
        <f>IF(Table15910[[#This Row],[Approved Construction Cost]]=0,0,Table15910[[#This Row],[Approved Construction Cost]]-Table15910[[#This Row],[Construction Cost to Bill From]])</f>
        <v>0</v>
      </c>
      <c r="AU20" s="538">
        <f>IFERROR(Table15910[[#This Row],[Difference in Construction Cost]]*Table15910[[#This Row],[Rate]],Table15910[[#This Row],[Difference in Construction Cost]]*0.085)</f>
        <v>0</v>
      </c>
      <c r="AV20" s="572"/>
      <c r="AW20" s="639"/>
      <c r="AX20" s="538"/>
      <c r="AY20" s="1035" t="s">
        <v>709</v>
      </c>
      <c r="AZ20" s="443">
        <v>7</v>
      </c>
      <c r="BA20" s="859" t="s">
        <v>1547</v>
      </c>
      <c r="BB20" s="644" t="s">
        <v>1548</v>
      </c>
      <c r="BC20" s="544" t="s">
        <v>116</v>
      </c>
      <c r="BD20" s="544" t="s">
        <v>115</v>
      </c>
      <c r="BE20" s="544" t="s">
        <v>1549</v>
      </c>
      <c r="BF20" s="544" t="s">
        <v>115</v>
      </c>
      <c r="BG20" s="544" t="s">
        <v>1550</v>
      </c>
      <c r="BH20" s="741" t="s">
        <v>1551</v>
      </c>
      <c r="BI20" s="547" t="s">
        <v>709</v>
      </c>
      <c r="BJ20" s="547" t="s">
        <v>709</v>
      </c>
      <c r="BK20" s="547" t="s">
        <v>709</v>
      </c>
      <c r="BL20" s="547" t="s">
        <v>116</v>
      </c>
      <c r="BM20" s="547" t="s">
        <v>709</v>
      </c>
      <c r="BN20" s="547" t="s">
        <v>709</v>
      </c>
      <c r="BO20" s="547" t="s">
        <v>709</v>
      </c>
      <c r="BP20" s="547">
        <v>704</v>
      </c>
      <c r="BQ20" s="547">
        <v>3943</v>
      </c>
      <c r="BR20" s="547">
        <v>74</v>
      </c>
      <c r="BS20" s="547">
        <v>954</v>
      </c>
      <c r="BT20" s="547" t="s">
        <v>709</v>
      </c>
      <c r="BU20" s="547" t="s">
        <v>709</v>
      </c>
      <c r="BV20" s="547" t="s">
        <v>709</v>
      </c>
      <c r="BW20" s="547" t="s">
        <v>709</v>
      </c>
      <c r="BX20" s="547" t="s">
        <v>745</v>
      </c>
      <c r="BY20" s="547" t="s">
        <v>709</v>
      </c>
      <c r="BZ20" s="547" t="s">
        <v>709</v>
      </c>
      <c r="CA20" s="483"/>
    </row>
    <row r="21" spans="1:79" ht="15" hidden="1" customHeight="1" x14ac:dyDescent="0.25">
      <c r="A21" s="8" t="s">
        <v>770</v>
      </c>
      <c r="B21" s="8" t="s">
        <v>771</v>
      </c>
      <c r="C21" s="8" t="s">
        <v>1238</v>
      </c>
      <c r="D21" s="8" t="s">
        <v>1239</v>
      </c>
      <c r="E21" s="8" t="s">
        <v>272</v>
      </c>
      <c r="F21" s="8" t="s">
        <v>919</v>
      </c>
      <c r="G21" s="8" t="s">
        <v>31</v>
      </c>
      <c r="H21" s="8" t="s">
        <v>59</v>
      </c>
      <c r="I21" s="642">
        <v>44448</v>
      </c>
      <c r="J21" s="18">
        <v>44655</v>
      </c>
      <c r="K21" s="18">
        <v>44588</v>
      </c>
      <c r="L21" s="16">
        <v>67</v>
      </c>
      <c r="M21" s="642"/>
      <c r="N21" s="642" t="s">
        <v>120</v>
      </c>
      <c r="O21" s="1025">
        <v>44593</v>
      </c>
      <c r="P21" s="21" t="s">
        <v>120</v>
      </c>
      <c r="Q21" s="340">
        <v>68083.122599999988</v>
      </c>
      <c r="R21" s="1026">
        <v>0.09</v>
      </c>
      <c r="S21" s="538" t="s">
        <v>709</v>
      </c>
      <c r="T21" s="538" t="s">
        <v>709</v>
      </c>
      <c r="U21" s="87" t="s">
        <v>709</v>
      </c>
      <c r="V21" s="857">
        <v>1953</v>
      </c>
      <c r="W21" s="440"/>
      <c r="X21" s="551">
        <v>716899.69</v>
      </c>
      <c r="Y21" s="592"/>
      <c r="Z21" s="551">
        <v>39579.449999999997</v>
      </c>
      <c r="AA21" s="551">
        <v>756479.1399999999</v>
      </c>
      <c r="AB21" s="341"/>
      <c r="AC21" s="568" t="s">
        <v>116</v>
      </c>
      <c r="AD21" s="1157"/>
      <c r="AE21" s="579"/>
      <c r="AF21" s="579"/>
      <c r="AG21" s="579"/>
      <c r="AH21" s="553"/>
      <c r="AI21" s="1036"/>
      <c r="AJ21" s="1037"/>
      <c r="AK21" s="1037"/>
      <c r="AL21" s="1038"/>
      <c r="AM21" s="536" t="s">
        <v>116</v>
      </c>
      <c r="AN21" s="680" t="s">
        <v>709</v>
      </c>
      <c r="AO21" s="681">
        <v>11038988</v>
      </c>
      <c r="AP21" s="572"/>
      <c r="AQ21" s="572"/>
      <c r="AR21" s="572"/>
      <c r="AS21" s="538">
        <f>IF(Table15910[[#This Row],[PCTS Approved]]="N",0,Table15910[[#This Row],[Investment Amount (1'#'#'#'#'#)]]+Table15910[[#This Row],[Retirement Amount (3'#'#'#'#'#)]])</f>
        <v>0</v>
      </c>
      <c r="AT21" s="538">
        <f>IF(Table15910[[#This Row],[Approved Construction Cost]]=0,0,Table15910[[#This Row],[Approved Construction Cost]]-Table15910[[#This Row],[Construction Cost to Bill From]])</f>
        <v>0</v>
      </c>
      <c r="AU21" s="538">
        <f>IFERROR(Table15910[[#This Row],[Difference in Construction Cost]]*Table15910[[#This Row],[Rate]],Table15910[[#This Row],[Difference in Construction Cost]]*0.085)</f>
        <v>0</v>
      </c>
      <c r="AV21" s="572"/>
      <c r="AW21" s="639"/>
      <c r="AX21" s="538"/>
      <c r="AY21" s="1035" t="s">
        <v>709</v>
      </c>
      <c r="AZ21" s="443">
        <v>23</v>
      </c>
      <c r="BA21" s="859" t="s">
        <v>1240</v>
      </c>
      <c r="BB21" s="644" t="s">
        <v>1241</v>
      </c>
      <c r="BC21" s="544" t="s">
        <v>709</v>
      </c>
      <c r="BD21" s="544" t="s">
        <v>709</v>
      </c>
      <c r="BE21" s="544" t="s">
        <v>1242</v>
      </c>
      <c r="BF21" s="544" t="s">
        <v>709</v>
      </c>
      <c r="BG21" s="544" t="s">
        <v>1243</v>
      </c>
      <c r="BH21" s="741"/>
      <c r="BI21" s="547" t="s">
        <v>709</v>
      </c>
      <c r="BJ21" s="547" t="s">
        <v>709</v>
      </c>
      <c r="BK21" s="547" t="s">
        <v>709</v>
      </c>
      <c r="BL21" s="547" t="s">
        <v>116</v>
      </c>
      <c r="BM21" s="547" t="s">
        <v>709</v>
      </c>
      <c r="BN21" s="547" t="s">
        <v>709</v>
      </c>
      <c r="BO21" s="547" t="s">
        <v>709</v>
      </c>
      <c r="BP21" s="547" t="s">
        <v>709</v>
      </c>
      <c r="BQ21" s="547">
        <v>1164</v>
      </c>
      <c r="BR21" s="547" t="s">
        <v>709</v>
      </c>
      <c r="BS21" s="547">
        <v>789</v>
      </c>
      <c r="BT21" s="547" t="s">
        <v>745</v>
      </c>
      <c r="BU21" s="547" t="s">
        <v>709</v>
      </c>
      <c r="BV21" s="547" t="s">
        <v>745</v>
      </c>
      <c r="BW21" s="547" t="s">
        <v>709</v>
      </c>
      <c r="BX21" s="547" t="s">
        <v>745</v>
      </c>
      <c r="BY21" s="547" t="s">
        <v>745</v>
      </c>
      <c r="BZ21" s="547" t="s">
        <v>709</v>
      </c>
      <c r="CA21" s="483" t="s">
        <v>1022</v>
      </c>
    </row>
    <row r="22" spans="1:79" ht="15" hidden="1" customHeight="1" x14ac:dyDescent="0.25">
      <c r="A22" s="8" t="s">
        <v>781</v>
      </c>
      <c r="B22" s="8" t="s">
        <v>731</v>
      </c>
      <c r="C22" s="8" t="s">
        <v>1244</v>
      </c>
      <c r="D22" s="8" t="s">
        <v>1245</v>
      </c>
      <c r="E22" s="8" t="s">
        <v>277</v>
      </c>
      <c r="F22" s="8" t="s">
        <v>752</v>
      </c>
      <c r="G22" s="8" t="s">
        <v>31</v>
      </c>
      <c r="H22" s="8" t="s">
        <v>59</v>
      </c>
      <c r="I22" s="642">
        <v>44571</v>
      </c>
      <c r="J22" s="18">
        <v>44662</v>
      </c>
      <c r="K22" s="18">
        <v>44656</v>
      </c>
      <c r="L22" s="16">
        <v>6</v>
      </c>
      <c r="M22" s="642"/>
      <c r="N22" s="642" t="s">
        <v>120</v>
      </c>
      <c r="O22" s="1025">
        <v>44656</v>
      </c>
      <c r="P22" s="21" t="s">
        <v>739</v>
      </c>
      <c r="Q22" s="340">
        <v>7334.3042999999998</v>
      </c>
      <c r="R22" s="1026">
        <v>0.09</v>
      </c>
      <c r="S22" s="538" t="s">
        <v>709</v>
      </c>
      <c r="T22" s="538" t="s">
        <v>709</v>
      </c>
      <c r="U22" s="87" t="s">
        <v>709</v>
      </c>
      <c r="V22" s="857"/>
      <c r="W22" s="440"/>
      <c r="X22" s="551"/>
      <c r="Y22" s="591"/>
      <c r="Z22" s="551">
        <v>81492.27</v>
      </c>
      <c r="AA22" s="551">
        <v>81492.27</v>
      </c>
      <c r="AB22" s="341"/>
      <c r="AC22" s="568" t="s">
        <v>709</v>
      </c>
      <c r="AD22" s="1157"/>
      <c r="AE22" s="579"/>
      <c r="AF22" s="579"/>
      <c r="AG22" s="579"/>
      <c r="AH22" s="553"/>
      <c r="AI22" s="1036"/>
      <c r="AJ22" s="1037"/>
      <c r="AK22" s="1037"/>
      <c r="AL22" s="1038"/>
      <c r="AM22" s="536" t="s">
        <v>116</v>
      </c>
      <c r="AN22" s="680" t="s">
        <v>709</v>
      </c>
      <c r="AO22" s="681" t="s">
        <v>115</v>
      </c>
      <c r="AP22" s="572"/>
      <c r="AQ22" s="572"/>
      <c r="AR22" s="572"/>
      <c r="AS22" s="538">
        <f>IF(Table15910[[#This Row],[PCTS Approved]]="N",0,Table15910[[#This Row],[Investment Amount (1'#'#'#'#'#)]]+Table15910[[#This Row],[Retirement Amount (3'#'#'#'#'#)]])</f>
        <v>0</v>
      </c>
      <c r="AT22" s="538">
        <f>IF(Table15910[[#This Row],[Approved Construction Cost]]=0,0,Table15910[[#This Row],[Approved Construction Cost]]-Table15910[[#This Row],[Construction Cost to Bill From]])</f>
        <v>0</v>
      </c>
      <c r="AU22" s="538">
        <f>IFERROR(Table15910[[#This Row],[Difference in Construction Cost]]*Table15910[[#This Row],[Rate]],Table15910[[#This Row],[Difference in Construction Cost]]*0.085)</f>
        <v>0</v>
      </c>
      <c r="AV22" s="572"/>
      <c r="AW22" s="639"/>
      <c r="AX22" s="538"/>
      <c r="AY22" s="1035" t="s">
        <v>709</v>
      </c>
      <c r="AZ22" s="443">
        <v>24</v>
      </c>
      <c r="BA22" s="859" t="s">
        <v>1246</v>
      </c>
      <c r="BB22" s="644" t="s">
        <v>1247</v>
      </c>
      <c r="BC22" s="544" t="s">
        <v>116</v>
      </c>
      <c r="BD22" s="544" t="s">
        <v>709</v>
      </c>
      <c r="BE22" s="544" t="s">
        <v>709</v>
      </c>
      <c r="BF22" s="544" t="s">
        <v>709</v>
      </c>
      <c r="BG22" s="544" t="s">
        <v>1248</v>
      </c>
      <c r="BH22" s="741"/>
      <c r="BI22" s="547" t="s">
        <v>709</v>
      </c>
      <c r="BJ22" s="547" t="s">
        <v>709</v>
      </c>
      <c r="BK22" s="547" t="s">
        <v>709</v>
      </c>
      <c r="BL22" s="547" t="s">
        <v>709</v>
      </c>
      <c r="BM22" s="547" t="s">
        <v>709</v>
      </c>
      <c r="BN22" s="547" t="s">
        <v>709</v>
      </c>
      <c r="BO22" s="547" t="s">
        <v>709</v>
      </c>
      <c r="BP22" s="547" t="s">
        <v>709</v>
      </c>
      <c r="BQ22" s="547" t="s">
        <v>709</v>
      </c>
      <c r="BR22" s="547" t="s">
        <v>709</v>
      </c>
      <c r="BS22" s="547" t="s">
        <v>709</v>
      </c>
      <c r="BT22" s="547" t="s">
        <v>745</v>
      </c>
      <c r="BU22" s="547" t="s">
        <v>709</v>
      </c>
      <c r="BV22" s="547">
        <v>1</v>
      </c>
      <c r="BW22" s="547" t="s">
        <v>709</v>
      </c>
      <c r="BX22" s="547" t="s">
        <v>745</v>
      </c>
      <c r="BY22" s="547" t="s">
        <v>745</v>
      </c>
      <c r="BZ22" s="547" t="s">
        <v>709</v>
      </c>
      <c r="CA22" s="483"/>
    </row>
    <row r="23" spans="1:79" ht="15" hidden="1" customHeight="1" x14ac:dyDescent="0.25">
      <c r="A23" s="8" t="s">
        <v>800</v>
      </c>
      <c r="B23" s="8" t="s">
        <v>1205</v>
      </c>
      <c r="C23" s="8" t="s">
        <v>6752</v>
      </c>
      <c r="D23" s="8" t="s">
        <v>6757</v>
      </c>
      <c r="E23" s="8" t="s">
        <v>2074</v>
      </c>
      <c r="F23" s="8" t="s">
        <v>1757</v>
      </c>
      <c r="G23" s="8" t="s">
        <v>31</v>
      </c>
      <c r="H23" s="8" t="s">
        <v>59</v>
      </c>
      <c r="I23" s="642">
        <v>45495</v>
      </c>
      <c r="J23" s="18">
        <v>45614</v>
      </c>
      <c r="K23" s="97">
        <v>45611</v>
      </c>
      <c r="L23" s="16">
        <v>3</v>
      </c>
      <c r="M23" s="642"/>
      <c r="N23" s="99" t="s">
        <v>120</v>
      </c>
      <c r="O23" s="1060">
        <v>45597</v>
      </c>
      <c r="P23" s="1152" t="s">
        <v>739</v>
      </c>
      <c r="Q23" s="1061">
        <v>112962.87</v>
      </c>
      <c r="R23" s="1039">
        <v>0.09</v>
      </c>
      <c r="S23" s="1135" t="s">
        <v>29</v>
      </c>
      <c r="T23" s="538" t="s">
        <v>29</v>
      </c>
      <c r="U23" s="87" t="s">
        <v>29</v>
      </c>
      <c r="V23" s="858">
        <v>1179</v>
      </c>
      <c r="W23" s="437">
        <v>0</v>
      </c>
      <c r="X23" s="538">
        <v>1137993.55</v>
      </c>
      <c r="Y23" s="550"/>
      <c r="Z23" s="552">
        <v>117149.45</v>
      </c>
      <c r="AA23" s="552">
        <v>1255143</v>
      </c>
      <c r="AB23" s="341">
        <v>45601</v>
      </c>
      <c r="AC23" s="569" t="s">
        <v>116</v>
      </c>
      <c r="AD23" s="1149" t="s">
        <v>29</v>
      </c>
      <c r="AE23" s="568" t="s">
        <v>29</v>
      </c>
      <c r="AF23" s="568" t="s">
        <v>116</v>
      </c>
      <c r="AG23" s="569" t="s">
        <v>116</v>
      </c>
      <c r="AH23" s="183">
        <v>45672</v>
      </c>
      <c r="AI23" s="1136">
        <v>64564.5</v>
      </c>
      <c r="AJ23" s="1110">
        <v>0</v>
      </c>
      <c r="AK23" s="1134">
        <v>1109.5</v>
      </c>
      <c r="AL23" s="1108">
        <v>0.58137687188719622</v>
      </c>
      <c r="AM23" s="536" t="s">
        <v>116</v>
      </c>
      <c r="AN23" s="680" t="s">
        <v>709</v>
      </c>
      <c r="AO23" s="681">
        <v>11091945</v>
      </c>
      <c r="AP23" s="572"/>
      <c r="AQ23" s="572"/>
      <c r="AR23" s="572"/>
      <c r="AS23" s="538">
        <f>IF(Table15910[[#This Row],[PCTS Approved]]="N",0,Table15910[[#This Row],[Investment Amount (1'#'#'#'#'#)]]+Table15910[[#This Row],[Retirement Amount (3'#'#'#'#'#)]])</f>
        <v>0</v>
      </c>
      <c r="AT23" s="538">
        <f>IF(Table15910[[#This Row],[Approved Construction Cost]]=0,0,Table15910[[#This Row],[Approved Construction Cost]]-Table15910[[#This Row],[Construction Cost to Bill From]])</f>
        <v>0</v>
      </c>
      <c r="AU23" s="538">
        <f>IFERROR(Table15910[[#This Row],[Difference in Construction Cost]]*Table15910[[#This Row],[Rate]],Table15910[[#This Row],[Difference in Construction Cost]]*0.085)</f>
        <v>0</v>
      </c>
      <c r="AV23" s="602"/>
      <c r="AW23" s="640"/>
      <c r="AX23" s="555"/>
      <c r="AY23" s="1035" t="s">
        <v>709</v>
      </c>
      <c r="AZ23" s="443"/>
      <c r="BA23" s="1031" t="s">
        <v>6815</v>
      </c>
      <c r="BB23" s="644" t="s">
        <v>6759</v>
      </c>
      <c r="BC23" s="559" t="s">
        <v>116</v>
      </c>
      <c r="BD23" s="554" t="s">
        <v>115</v>
      </c>
      <c r="BE23" s="554" t="s">
        <v>5564</v>
      </c>
      <c r="BF23" s="588" t="s">
        <v>115</v>
      </c>
      <c r="BG23" s="588" t="s">
        <v>115</v>
      </c>
      <c r="BH23" s="615" t="s">
        <v>6760</v>
      </c>
      <c r="BI23" s="549" t="s">
        <v>709</v>
      </c>
      <c r="BJ23" s="549" t="s">
        <v>709</v>
      </c>
      <c r="BK23" s="549" t="s">
        <v>116</v>
      </c>
      <c r="BL23" s="547" t="s">
        <v>709</v>
      </c>
      <c r="BM23" s="547" t="s">
        <v>709</v>
      </c>
      <c r="BN23" s="549">
        <v>1179</v>
      </c>
      <c r="BO23" s="549" t="s">
        <v>709</v>
      </c>
      <c r="BP23" s="549" t="s">
        <v>709</v>
      </c>
      <c r="BQ23" s="549" t="s">
        <v>709</v>
      </c>
      <c r="BR23" s="549" t="s">
        <v>709</v>
      </c>
      <c r="BS23" s="549" t="s">
        <v>709</v>
      </c>
      <c r="BT23" s="549" t="s">
        <v>709</v>
      </c>
      <c r="BU23" s="549" t="s">
        <v>709</v>
      </c>
      <c r="BV23" s="549" t="s">
        <v>709</v>
      </c>
      <c r="BW23" s="549" t="s">
        <v>709</v>
      </c>
      <c r="BX23" s="549" t="s">
        <v>709</v>
      </c>
      <c r="BY23" s="549" t="s">
        <v>709</v>
      </c>
      <c r="BZ23" s="547" t="s">
        <v>709</v>
      </c>
      <c r="CA23" s="484" t="s">
        <v>1440</v>
      </c>
    </row>
    <row r="24" spans="1:79" ht="15" hidden="1" customHeight="1" x14ac:dyDescent="0.25">
      <c r="A24" s="8" t="s">
        <v>781</v>
      </c>
      <c r="B24" s="8" t="s">
        <v>730</v>
      </c>
      <c r="C24" s="8" t="s">
        <v>1290</v>
      </c>
      <c r="D24" s="8" t="s">
        <v>1291</v>
      </c>
      <c r="E24" s="8" t="s">
        <v>1292</v>
      </c>
      <c r="F24" s="8" t="s">
        <v>752</v>
      </c>
      <c r="G24" s="8" t="s">
        <v>31</v>
      </c>
      <c r="H24" s="8" t="s">
        <v>59</v>
      </c>
      <c r="I24" s="642">
        <v>44603</v>
      </c>
      <c r="J24" s="451">
        <v>44736</v>
      </c>
      <c r="K24" s="18">
        <v>44733</v>
      </c>
      <c r="L24" s="16">
        <v>3</v>
      </c>
      <c r="M24" s="642"/>
      <c r="N24" s="642" t="s">
        <v>120</v>
      </c>
      <c r="O24" s="1025">
        <v>44733</v>
      </c>
      <c r="P24" s="21" t="s">
        <v>739</v>
      </c>
      <c r="Q24" s="1061">
        <v>25371.576550000002</v>
      </c>
      <c r="R24" s="1026" t="s">
        <v>794</v>
      </c>
      <c r="S24" s="538" t="s">
        <v>709</v>
      </c>
      <c r="T24" s="538" t="s">
        <v>709</v>
      </c>
      <c r="U24" s="87" t="s">
        <v>709</v>
      </c>
      <c r="V24" s="857">
        <v>279</v>
      </c>
      <c r="W24" s="440"/>
      <c r="X24" s="551">
        <v>183205.61</v>
      </c>
      <c r="Y24" s="592"/>
      <c r="Z24" s="551">
        <v>53518.82</v>
      </c>
      <c r="AA24" s="551">
        <v>236724.43</v>
      </c>
      <c r="AB24" s="341"/>
      <c r="AC24" s="568" t="s">
        <v>1056</v>
      </c>
      <c r="AD24" s="1157"/>
      <c r="AE24" s="579"/>
      <c r="AF24" s="579"/>
      <c r="AG24" s="579"/>
      <c r="AH24" s="553"/>
      <c r="AI24" s="1036"/>
      <c r="AJ24" s="1037"/>
      <c r="AK24" s="1037"/>
      <c r="AL24" s="1038"/>
      <c r="AM24" s="536" t="s">
        <v>116</v>
      </c>
      <c r="AN24" s="680" t="s">
        <v>709</v>
      </c>
      <c r="AO24" s="681">
        <v>11042120</v>
      </c>
      <c r="AP24" s="572"/>
      <c r="AQ24" s="572"/>
      <c r="AR24" s="572"/>
      <c r="AS24" s="538">
        <f>IF(Table15910[[#This Row],[PCTS Approved]]="N",0,Table15910[[#This Row],[Investment Amount (1'#'#'#'#'#)]]+Table15910[[#This Row],[Retirement Amount (3'#'#'#'#'#)]])</f>
        <v>0</v>
      </c>
      <c r="AT24" s="538">
        <f>IF(Table15910[[#This Row],[Approved Construction Cost]]=0,0,Table15910[[#This Row],[Approved Construction Cost]]-Table15910[[#This Row],[Construction Cost to Bill From]])</f>
        <v>0</v>
      </c>
      <c r="AU24" s="538">
        <f>IFERROR(Table15910[[#This Row],[Difference in Construction Cost]]*Table15910[[#This Row],[Rate]],Table15910[[#This Row],[Difference in Construction Cost]]*0.085)</f>
        <v>0</v>
      </c>
      <c r="AV24" s="572"/>
      <c r="AW24" s="639"/>
      <c r="AX24" s="538"/>
      <c r="AY24" s="1035" t="s">
        <v>709</v>
      </c>
      <c r="AZ24" s="443">
        <v>172</v>
      </c>
      <c r="BA24" s="859" t="s">
        <v>1293</v>
      </c>
      <c r="BB24" s="644" t="s">
        <v>1294</v>
      </c>
      <c r="BC24" s="544" t="s">
        <v>709</v>
      </c>
      <c r="BD24" s="544" t="s">
        <v>709</v>
      </c>
      <c r="BE24" s="544" t="s">
        <v>1292</v>
      </c>
      <c r="BF24" s="544" t="s">
        <v>709</v>
      </c>
      <c r="BG24" s="544" t="s">
        <v>709</v>
      </c>
      <c r="BH24" s="741"/>
      <c r="BI24" s="547" t="s">
        <v>709</v>
      </c>
      <c r="BJ24" s="547" t="s">
        <v>116</v>
      </c>
      <c r="BK24" s="547" t="s">
        <v>709</v>
      </c>
      <c r="BL24" s="547" t="s">
        <v>116</v>
      </c>
      <c r="BM24" s="547" t="s">
        <v>709</v>
      </c>
      <c r="BN24" s="547" t="s">
        <v>709</v>
      </c>
      <c r="BO24" s="547" t="s">
        <v>709</v>
      </c>
      <c r="BP24" s="547" t="s">
        <v>709</v>
      </c>
      <c r="BQ24" s="547" t="s">
        <v>709</v>
      </c>
      <c r="BR24" s="547" t="s">
        <v>709</v>
      </c>
      <c r="BS24" s="547">
        <v>279</v>
      </c>
      <c r="BT24" s="547" t="s">
        <v>745</v>
      </c>
      <c r="BU24" s="547">
        <v>1</v>
      </c>
      <c r="BV24" s="547" t="s">
        <v>745</v>
      </c>
      <c r="BW24" s="547" t="s">
        <v>709</v>
      </c>
      <c r="BX24" s="547">
        <v>1</v>
      </c>
      <c r="BY24" s="547" t="s">
        <v>745</v>
      </c>
      <c r="BZ24" s="547" t="s">
        <v>709</v>
      </c>
      <c r="CA24" s="483"/>
    </row>
    <row r="25" spans="1:79" ht="15" hidden="1" customHeight="1" x14ac:dyDescent="0.25">
      <c r="A25" s="8" t="s">
        <v>781</v>
      </c>
      <c r="B25" s="8" t="s">
        <v>730</v>
      </c>
      <c r="C25" s="8" t="s">
        <v>1284</v>
      </c>
      <c r="D25" s="8" t="s">
        <v>1285</v>
      </c>
      <c r="E25" s="8" t="s">
        <v>1286</v>
      </c>
      <c r="F25" s="8" t="s">
        <v>752</v>
      </c>
      <c r="G25" s="8" t="s">
        <v>31</v>
      </c>
      <c r="H25" s="8" t="s">
        <v>59</v>
      </c>
      <c r="I25" s="642">
        <v>44607</v>
      </c>
      <c r="J25" s="451">
        <v>44722</v>
      </c>
      <c r="K25" s="18">
        <v>44720</v>
      </c>
      <c r="L25" s="16">
        <v>2</v>
      </c>
      <c r="M25" s="642"/>
      <c r="N25" s="642" t="s">
        <v>120</v>
      </c>
      <c r="O25" s="1025">
        <v>44720</v>
      </c>
      <c r="P25" s="21" t="s">
        <v>739</v>
      </c>
      <c r="Q25" s="1061">
        <v>35341.335850000003</v>
      </c>
      <c r="R25" s="1026" t="s">
        <v>794</v>
      </c>
      <c r="S25" s="538" t="s">
        <v>709</v>
      </c>
      <c r="T25" s="538" t="s">
        <v>709</v>
      </c>
      <c r="U25" s="87" t="s">
        <v>709</v>
      </c>
      <c r="V25" s="857">
        <v>312</v>
      </c>
      <c r="W25" s="440"/>
      <c r="X25" s="551">
        <v>241769.56</v>
      </c>
      <c r="Y25" s="592"/>
      <c r="Z25" s="551">
        <v>50481.45</v>
      </c>
      <c r="AA25" s="551">
        <v>292251.01</v>
      </c>
      <c r="AB25" s="341"/>
      <c r="AC25" s="568" t="s">
        <v>1056</v>
      </c>
      <c r="AD25" s="1157"/>
      <c r="AE25" s="579"/>
      <c r="AF25" s="579"/>
      <c r="AG25" s="579"/>
      <c r="AH25" s="553"/>
      <c r="AI25" s="1036"/>
      <c r="AJ25" s="1037"/>
      <c r="AK25" s="1037"/>
      <c r="AL25" s="1038"/>
      <c r="AM25" s="536" t="s">
        <v>116</v>
      </c>
      <c r="AN25" s="680" t="s">
        <v>709</v>
      </c>
      <c r="AO25" s="681">
        <v>11042525</v>
      </c>
      <c r="AP25" s="572"/>
      <c r="AQ25" s="572"/>
      <c r="AR25" s="572"/>
      <c r="AS25" s="538">
        <f>IF(Table15910[[#This Row],[PCTS Approved]]="N",0,Table15910[[#This Row],[Investment Amount (1'#'#'#'#'#)]]+Table15910[[#This Row],[Retirement Amount (3'#'#'#'#'#)]])</f>
        <v>0</v>
      </c>
      <c r="AT25" s="538">
        <f>IF(Table15910[[#This Row],[Approved Construction Cost]]=0,0,Table15910[[#This Row],[Approved Construction Cost]]-Table15910[[#This Row],[Construction Cost to Bill From]])</f>
        <v>0</v>
      </c>
      <c r="AU25" s="538">
        <f>IFERROR(Table15910[[#This Row],[Difference in Construction Cost]]*Table15910[[#This Row],[Rate]],Table15910[[#This Row],[Difference in Construction Cost]]*0.085)</f>
        <v>0</v>
      </c>
      <c r="AV25" s="572"/>
      <c r="AW25" s="639"/>
      <c r="AX25" s="538"/>
      <c r="AY25" s="1035" t="s">
        <v>709</v>
      </c>
      <c r="AZ25" s="443">
        <v>171</v>
      </c>
      <c r="BA25" s="859" t="s">
        <v>1287</v>
      </c>
      <c r="BB25" s="644" t="s">
        <v>1288</v>
      </c>
      <c r="BC25" s="544" t="s">
        <v>709</v>
      </c>
      <c r="BD25" s="544" t="s">
        <v>709</v>
      </c>
      <c r="BE25" s="544" t="s">
        <v>709</v>
      </c>
      <c r="BF25" s="544" t="s">
        <v>1289</v>
      </c>
      <c r="BG25" s="544" t="s">
        <v>709</v>
      </c>
      <c r="BH25" s="741"/>
      <c r="BI25" s="547" t="s">
        <v>116</v>
      </c>
      <c r="BJ25" s="547" t="s">
        <v>116</v>
      </c>
      <c r="BK25" s="547" t="s">
        <v>709</v>
      </c>
      <c r="BL25" s="547" t="s">
        <v>116</v>
      </c>
      <c r="BM25" s="547" t="s">
        <v>709</v>
      </c>
      <c r="BN25" s="547" t="s">
        <v>709</v>
      </c>
      <c r="BO25" s="547" t="s">
        <v>709</v>
      </c>
      <c r="BP25" s="547" t="s">
        <v>709</v>
      </c>
      <c r="BQ25" s="547" t="s">
        <v>709</v>
      </c>
      <c r="BR25" s="547" t="s">
        <v>709</v>
      </c>
      <c r="BS25" s="547">
        <v>312</v>
      </c>
      <c r="BT25" s="547" t="s">
        <v>745</v>
      </c>
      <c r="BU25" s="547">
        <v>2</v>
      </c>
      <c r="BV25" s="547" t="s">
        <v>745</v>
      </c>
      <c r="BW25" s="547" t="s">
        <v>709</v>
      </c>
      <c r="BX25" s="547">
        <v>1</v>
      </c>
      <c r="BY25" s="547" t="s">
        <v>745</v>
      </c>
      <c r="BZ25" s="547" t="s">
        <v>709</v>
      </c>
      <c r="CA25" s="483"/>
    </row>
    <row r="26" spans="1:79" ht="15" customHeight="1" x14ac:dyDescent="0.25">
      <c r="A26" s="656">
        <v>2023</v>
      </c>
      <c r="B26" s="656" t="s">
        <v>771</v>
      </c>
      <c r="C26" s="656" t="s">
        <v>494</v>
      </c>
      <c r="D26" s="656" t="s">
        <v>1514</v>
      </c>
      <c r="E26" s="656" t="s">
        <v>1004</v>
      </c>
      <c r="F26" s="656" t="s">
        <v>1515</v>
      </c>
      <c r="G26" s="656" t="s">
        <v>22</v>
      </c>
      <c r="H26" s="656" t="s">
        <v>59</v>
      </c>
      <c r="I26" s="1375">
        <v>44957</v>
      </c>
      <c r="J26" s="1052">
        <v>45072</v>
      </c>
      <c r="K26" s="1376">
        <v>45072</v>
      </c>
      <c r="L26" s="1377">
        <v>0</v>
      </c>
      <c r="M26" s="1375"/>
      <c r="N26" s="1375" t="s">
        <v>120</v>
      </c>
      <c r="O26" s="1059">
        <v>45078</v>
      </c>
      <c r="P26" s="1378" t="s">
        <v>120</v>
      </c>
      <c r="Q26" s="340">
        <v>143735.7726</v>
      </c>
      <c r="R26" s="1026">
        <v>0.09</v>
      </c>
      <c r="S26" s="556"/>
      <c r="T26" s="556"/>
      <c r="U26" s="1061"/>
      <c r="V26" s="1184">
        <v>1021</v>
      </c>
      <c r="W26" s="1186">
        <v>0</v>
      </c>
      <c r="X26" s="556">
        <v>1139019.48</v>
      </c>
      <c r="Y26" s="591"/>
      <c r="Z26" s="570">
        <v>458044.66</v>
      </c>
      <c r="AA26" s="570">
        <v>1597064.14</v>
      </c>
      <c r="AB26" s="341">
        <v>45077</v>
      </c>
      <c r="AC26" s="568" t="s">
        <v>1516</v>
      </c>
      <c r="AD26" s="1157" t="s">
        <v>29</v>
      </c>
      <c r="AE26" s="579"/>
      <c r="AF26" s="579"/>
      <c r="AG26" s="579"/>
      <c r="AH26" s="553"/>
      <c r="AI26" s="1036"/>
      <c r="AJ26" s="1037"/>
      <c r="AK26" s="1037"/>
      <c r="AL26" s="1038"/>
      <c r="AM26" s="1379" t="s">
        <v>116</v>
      </c>
      <c r="AN26" s="1380">
        <v>45805</v>
      </c>
      <c r="AO26" s="1381">
        <v>11057162</v>
      </c>
      <c r="AP26" s="1382">
        <v>1156965.3600000001</v>
      </c>
      <c r="AQ26" s="1382"/>
      <c r="AR26" s="1382">
        <v>465894.16</v>
      </c>
      <c r="AS26" s="556">
        <f>IF(Table15910[[#This Row],[PCTS Approved]]="N",0,Table15910[[#This Row],[Investment Amount (1'#'#'#'#'#)]]+Table15910[[#This Row],[Retirement Amount (3'#'#'#'#'#)]])</f>
        <v>1622859.52</v>
      </c>
      <c r="AT26" s="556">
        <f>IF(Table15910[[#This Row],[Approved Construction Cost]]=0,0,Table15910[[#This Row],[Approved Construction Cost]]-Table15910[[#This Row],[Construction Cost to Bill From]])</f>
        <v>25795.380000000121</v>
      </c>
      <c r="AU26" s="556">
        <f>IFERROR(Table15910[[#This Row],[Difference in Construction Cost]]*Table15910[[#This Row],[Rate]],Table15910[[#This Row],[Difference in Construction Cost]]*0.085)</f>
        <v>2321.5842000000107</v>
      </c>
      <c r="AV26" s="1382">
        <v>5807.5</v>
      </c>
      <c r="AW26" s="1394" t="s">
        <v>5706</v>
      </c>
      <c r="AX26" s="556"/>
      <c r="AY26" s="1386" t="s">
        <v>709</v>
      </c>
      <c r="AZ26" s="1387">
        <v>45</v>
      </c>
      <c r="BA26" s="1438" t="s">
        <v>1517</v>
      </c>
      <c r="BB26" s="1389" t="s">
        <v>1518</v>
      </c>
      <c r="BC26" s="1082" t="s">
        <v>116</v>
      </c>
      <c r="BD26" s="1082" t="s">
        <v>862</v>
      </c>
      <c r="BE26" s="1082" t="s">
        <v>495</v>
      </c>
      <c r="BF26" s="1082" t="s">
        <v>709</v>
      </c>
      <c r="BG26" s="1082" t="s">
        <v>1519</v>
      </c>
      <c r="BH26" s="1396" t="s">
        <v>1520</v>
      </c>
      <c r="BI26" s="547" t="s">
        <v>709</v>
      </c>
      <c r="BJ26" s="547" t="s">
        <v>709</v>
      </c>
      <c r="BK26" s="547" t="s">
        <v>116</v>
      </c>
      <c r="BL26" s="547" t="s">
        <v>709</v>
      </c>
      <c r="BM26" s="547">
        <v>1016</v>
      </c>
      <c r="BN26" s="547">
        <v>5</v>
      </c>
      <c r="BO26" s="547" t="s">
        <v>709</v>
      </c>
      <c r="BP26" s="547" t="s">
        <v>709</v>
      </c>
      <c r="BQ26" s="547" t="s">
        <v>709</v>
      </c>
      <c r="BR26" s="547" t="s">
        <v>709</v>
      </c>
      <c r="BS26" s="547" t="s">
        <v>709</v>
      </c>
      <c r="BT26" s="547" t="s">
        <v>709</v>
      </c>
      <c r="BU26" s="547" t="s">
        <v>709</v>
      </c>
      <c r="BV26" s="547" t="s">
        <v>709</v>
      </c>
      <c r="BW26" s="547" t="s">
        <v>709</v>
      </c>
      <c r="BX26" s="547" t="s">
        <v>709</v>
      </c>
      <c r="BY26" s="547" t="s">
        <v>709</v>
      </c>
      <c r="BZ26" s="547" t="s">
        <v>709</v>
      </c>
      <c r="CA26" s="483"/>
    </row>
    <row r="27" spans="1:79" ht="15" hidden="1" customHeight="1" x14ac:dyDescent="0.25">
      <c r="A27" s="8" t="s">
        <v>1269</v>
      </c>
      <c r="B27" s="8" t="s">
        <v>759</v>
      </c>
      <c r="C27" s="8" t="s">
        <v>224</v>
      </c>
      <c r="D27" s="8" t="s">
        <v>1270</v>
      </c>
      <c r="E27" s="8" t="s">
        <v>225</v>
      </c>
      <c r="F27" s="8" t="s">
        <v>738</v>
      </c>
      <c r="G27" s="8" t="s">
        <v>31</v>
      </c>
      <c r="H27" s="8" t="s">
        <v>59</v>
      </c>
      <c r="I27" s="18">
        <v>44425</v>
      </c>
      <c r="J27" s="450">
        <v>44712</v>
      </c>
      <c r="K27" s="18">
        <v>44694</v>
      </c>
      <c r="L27" s="16">
        <v>18</v>
      </c>
      <c r="M27" s="642"/>
      <c r="N27" s="642" t="s">
        <v>120</v>
      </c>
      <c r="O27" s="1025">
        <v>44694</v>
      </c>
      <c r="P27" s="21" t="s">
        <v>120</v>
      </c>
      <c r="Q27" s="1151">
        <v>94710.559450000001</v>
      </c>
      <c r="R27" s="1026" t="s">
        <v>1055</v>
      </c>
      <c r="S27" s="538" t="s">
        <v>709</v>
      </c>
      <c r="T27" s="538" t="s">
        <v>709</v>
      </c>
      <c r="U27" s="87" t="s">
        <v>709</v>
      </c>
      <c r="V27" s="857">
        <v>940</v>
      </c>
      <c r="W27" s="440">
        <v>514</v>
      </c>
      <c r="X27" s="551">
        <v>979255.57</v>
      </c>
      <c r="Y27" s="592"/>
      <c r="Z27" s="551">
        <v>73221.600000000006</v>
      </c>
      <c r="AA27" s="551">
        <v>1052477.17</v>
      </c>
      <c r="AB27" s="341"/>
      <c r="AC27" s="568" t="s">
        <v>116</v>
      </c>
      <c r="AD27" s="1157"/>
      <c r="AE27" s="579"/>
      <c r="AF27" s="579"/>
      <c r="AG27" s="579"/>
      <c r="AH27" s="553"/>
      <c r="AI27" s="1036"/>
      <c r="AJ27" s="1037"/>
      <c r="AK27" s="1037"/>
      <c r="AL27" s="1038"/>
      <c r="AM27" s="536" t="s">
        <v>116</v>
      </c>
      <c r="AN27" s="680" t="s">
        <v>709</v>
      </c>
      <c r="AO27" s="681">
        <v>11015976</v>
      </c>
      <c r="AP27" s="572"/>
      <c r="AQ27" s="572"/>
      <c r="AR27" s="572"/>
      <c r="AS27" s="538">
        <f>IF(Table15910[[#This Row],[PCTS Approved]]="N",0,Table15910[[#This Row],[Investment Amount (1'#'#'#'#'#)]]+Table15910[[#This Row],[Retirement Amount (3'#'#'#'#'#)]])</f>
        <v>0</v>
      </c>
      <c r="AT27" s="538">
        <f>IF(Table15910[[#This Row],[Approved Construction Cost]]=0,0,Table15910[[#This Row],[Approved Construction Cost]]-Table15910[[#This Row],[Construction Cost to Bill From]])</f>
        <v>0</v>
      </c>
      <c r="AU27" s="538">
        <f>IFERROR(Table15910[[#This Row],[Difference in Construction Cost]]*Table15910[[#This Row],[Rate]],Table15910[[#This Row],[Difference in Construction Cost]]*0.085)</f>
        <v>0</v>
      </c>
      <c r="AV27" s="572"/>
      <c r="AW27" s="639"/>
      <c r="AX27" s="538"/>
      <c r="AY27" s="1035" t="s">
        <v>709</v>
      </c>
      <c r="AZ27" s="443">
        <v>184</v>
      </c>
      <c r="BA27" s="859" t="s">
        <v>1271</v>
      </c>
      <c r="BB27" s="644" t="s">
        <v>1272</v>
      </c>
      <c r="BC27" s="544"/>
      <c r="BD27" s="544"/>
      <c r="BE27" s="544"/>
      <c r="BF27" s="544"/>
      <c r="BG27" s="544"/>
      <c r="BH27" s="741" t="s">
        <v>1273</v>
      </c>
      <c r="BI27" s="547" t="s">
        <v>709</v>
      </c>
      <c r="BJ27" s="547" t="s">
        <v>709</v>
      </c>
      <c r="BK27" s="547" t="s">
        <v>116</v>
      </c>
      <c r="BL27" s="547" t="s">
        <v>116</v>
      </c>
      <c r="BM27" s="547" t="s">
        <v>709</v>
      </c>
      <c r="BN27" s="547" t="s">
        <v>709</v>
      </c>
      <c r="BO27" s="547" t="s">
        <v>709</v>
      </c>
      <c r="BP27" s="547">
        <v>724</v>
      </c>
      <c r="BQ27" s="547">
        <v>70</v>
      </c>
      <c r="BR27" s="547">
        <v>45</v>
      </c>
      <c r="BS27" s="547">
        <v>10</v>
      </c>
      <c r="BT27" s="547">
        <v>1</v>
      </c>
      <c r="BU27" s="547" t="s">
        <v>709</v>
      </c>
      <c r="BV27" s="547" t="s">
        <v>745</v>
      </c>
      <c r="BW27" s="547">
        <v>1</v>
      </c>
      <c r="BX27" s="547" t="s">
        <v>709</v>
      </c>
      <c r="BY27" s="547" t="s">
        <v>745</v>
      </c>
      <c r="BZ27" s="547" t="s">
        <v>709</v>
      </c>
      <c r="CA27" s="483"/>
    </row>
    <row r="28" spans="1:79" ht="15" hidden="1" customHeight="1" x14ac:dyDescent="0.25">
      <c r="A28" s="8" t="s">
        <v>770</v>
      </c>
      <c r="B28" s="8" t="s">
        <v>1205</v>
      </c>
      <c r="C28" s="8" t="s">
        <v>1206</v>
      </c>
      <c r="D28" s="8" t="s">
        <v>1207</v>
      </c>
      <c r="E28" s="8" t="s">
        <v>1159</v>
      </c>
      <c r="F28" s="8" t="s">
        <v>919</v>
      </c>
      <c r="G28" s="8" t="s">
        <v>31</v>
      </c>
      <c r="H28" s="8" t="s">
        <v>59</v>
      </c>
      <c r="I28" s="642">
        <v>44179</v>
      </c>
      <c r="J28" s="18">
        <v>44372</v>
      </c>
      <c r="K28" s="642">
        <v>44365</v>
      </c>
      <c r="L28" s="16">
        <v>7</v>
      </c>
      <c r="M28" s="642"/>
      <c r="N28" s="642" t="s">
        <v>120</v>
      </c>
      <c r="O28" s="1025">
        <v>44365</v>
      </c>
      <c r="P28" s="21" t="s">
        <v>739</v>
      </c>
      <c r="Q28" s="1151">
        <v>31711.634099999999</v>
      </c>
      <c r="R28" s="1026">
        <v>0.09</v>
      </c>
      <c r="S28" s="538" t="s">
        <v>709</v>
      </c>
      <c r="T28" s="538" t="s">
        <v>709</v>
      </c>
      <c r="U28" s="28" t="s">
        <v>709</v>
      </c>
      <c r="V28" s="857">
        <v>1362</v>
      </c>
      <c r="W28" s="440"/>
      <c r="X28" s="551">
        <v>320730.27</v>
      </c>
      <c r="Y28" s="591"/>
      <c r="Z28" s="551">
        <v>31621.22</v>
      </c>
      <c r="AA28" s="551">
        <v>352351.49</v>
      </c>
      <c r="AB28" s="341"/>
      <c r="AC28" s="568" t="s">
        <v>116</v>
      </c>
      <c r="AD28" s="1157"/>
      <c r="AE28" s="579"/>
      <c r="AF28" s="579"/>
      <c r="AG28" s="579"/>
      <c r="AH28" s="553"/>
      <c r="AI28" s="1036"/>
      <c r="AJ28" s="1037"/>
      <c r="AK28" s="1037"/>
      <c r="AL28" s="1038"/>
      <c r="AM28" s="536" t="s">
        <v>116</v>
      </c>
      <c r="AN28" s="680" t="s">
        <v>709</v>
      </c>
      <c r="AO28" s="601" t="s">
        <v>115</v>
      </c>
      <c r="AP28" s="572"/>
      <c r="AQ28" s="572"/>
      <c r="AR28" s="572"/>
      <c r="AS28" s="538">
        <f>IF(Table15910[[#This Row],[PCTS Approved]]="N",0,Table15910[[#This Row],[Investment Amount (1'#'#'#'#'#)]]+Table15910[[#This Row],[Retirement Amount (3'#'#'#'#'#)]])</f>
        <v>0</v>
      </c>
      <c r="AT28" s="538">
        <f>IF(Table15910[[#This Row],[Approved Construction Cost]]=0,0,Table15910[[#This Row],[Approved Construction Cost]]-Table15910[[#This Row],[Construction Cost to Bill From]])</f>
        <v>0</v>
      </c>
      <c r="AU28" s="538">
        <f>IFERROR(Table15910[[#This Row],[Difference in Construction Cost]]*Table15910[[#This Row],[Rate]],Table15910[[#This Row],[Difference in Construction Cost]]*0.085)</f>
        <v>0</v>
      </c>
      <c r="AV28" s="572"/>
      <c r="AW28" s="639"/>
      <c r="AX28" s="538"/>
      <c r="AY28" s="1035" t="s">
        <v>709</v>
      </c>
      <c r="AZ28" s="443">
        <v>21</v>
      </c>
      <c r="BA28" s="859" t="s">
        <v>1208</v>
      </c>
      <c r="BB28" s="644" t="s">
        <v>1209</v>
      </c>
      <c r="BC28" s="544" t="s">
        <v>116</v>
      </c>
      <c r="BD28" s="544" t="s">
        <v>709</v>
      </c>
      <c r="BE28" s="544" t="s">
        <v>1210</v>
      </c>
      <c r="BF28" s="544" t="s">
        <v>709</v>
      </c>
      <c r="BG28" s="544" t="s">
        <v>1211</v>
      </c>
      <c r="BH28" s="741"/>
      <c r="BI28" s="547" t="s">
        <v>709</v>
      </c>
      <c r="BJ28" s="547" t="s">
        <v>709</v>
      </c>
      <c r="BK28" s="547" t="s">
        <v>116</v>
      </c>
      <c r="BL28" s="547" t="s">
        <v>709</v>
      </c>
      <c r="BM28" s="547" t="s">
        <v>709</v>
      </c>
      <c r="BN28" s="547" t="s">
        <v>709</v>
      </c>
      <c r="BO28" s="547" t="s">
        <v>709</v>
      </c>
      <c r="BP28" s="547">
        <v>1362</v>
      </c>
      <c r="BQ28" s="547" t="s">
        <v>709</v>
      </c>
      <c r="BR28" s="547" t="s">
        <v>709</v>
      </c>
      <c r="BS28" s="547" t="s">
        <v>709</v>
      </c>
      <c r="BT28" s="547" t="s">
        <v>745</v>
      </c>
      <c r="BU28" s="547" t="s">
        <v>709</v>
      </c>
      <c r="BV28" s="547" t="s">
        <v>745</v>
      </c>
      <c r="BW28" s="547" t="s">
        <v>709</v>
      </c>
      <c r="BX28" s="547" t="s">
        <v>745</v>
      </c>
      <c r="BY28" s="547" t="s">
        <v>745</v>
      </c>
      <c r="BZ28" s="547" t="s">
        <v>709</v>
      </c>
      <c r="CA28" s="483"/>
    </row>
    <row r="29" spans="1:79" ht="15" hidden="1" customHeight="1" x14ac:dyDescent="0.25">
      <c r="A29" s="778" t="s">
        <v>6816</v>
      </c>
      <c r="B29" s="8" t="s">
        <v>1073</v>
      </c>
      <c r="C29" t="s">
        <v>6817</v>
      </c>
      <c r="D29" s="779" t="s">
        <v>6818</v>
      </c>
      <c r="E29" t="s">
        <v>3259</v>
      </c>
      <c r="F29" s="8" t="s">
        <v>851</v>
      </c>
      <c r="G29" s="8" t="s">
        <v>31</v>
      </c>
      <c r="H29" s="8" t="s">
        <v>59</v>
      </c>
      <c r="I29" s="755">
        <v>45502</v>
      </c>
      <c r="J29" s="18">
        <v>45653</v>
      </c>
      <c r="K29" s="18">
        <v>45649</v>
      </c>
      <c r="L29" s="16">
        <v>4</v>
      </c>
      <c r="M29"/>
      <c r="N29" s="99" t="s">
        <v>120</v>
      </c>
      <c r="O29" s="1060">
        <v>45627</v>
      </c>
      <c r="P29" s="1152" t="s">
        <v>739</v>
      </c>
      <c r="Q29" s="340">
        <v>365755.87520000007</v>
      </c>
      <c r="R29" s="1026">
        <v>0.08</v>
      </c>
      <c r="S29" s="538" t="s">
        <v>29</v>
      </c>
      <c r="T29" s="538" t="s">
        <v>29</v>
      </c>
      <c r="U29" s="28" t="s">
        <v>29</v>
      </c>
      <c r="V29" s="858">
        <v>6156</v>
      </c>
      <c r="W29" s="437">
        <v>0</v>
      </c>
      <c r="X29" s="538">
        <v>4520383.28</v>
      </c>
      <c r="Y29" s="550"/>
      <c r="Z29" s="538">
        <v>51565.16</v>
      </c>
      <c r="AA29" s="552">
        <v>4571948.4400000004</v>
      </c>
      <c r="AB29" s="341">
        <v>45659</v>
      </c>
      <c r="AC29" s="568" t="s">
        <v>116</v>
      </c>
      <c r="AD29" s="1158" t="s">
        <v>29</v>
      </c>
      <c r="AE29" s="576" t="s">
        <v>756</v>
      </c>
      <c r="AF29" s="576" t="s">
        <v>116</v>
      </c>
      <c r="AG29" s="569" t="s">
        <v>116</v>
      </c>
      <c r="AH29" s="183">
        <v>45672</v>
      </c>
      <c r="AI29" s="1145">
        <v>113365</v>
      </c>
      <c r="AJ29" s="1146">
        <v>0</v>
      </c>
      <c r="AK29" s="1146">
        <v>8884.25</v>
      </c>
      <c r="AL29" s="1108">
        <v>0.33423728308712064</v>
      </c>
      <c r="AM29" s="536" t="s">
        <v>116</v>
      </c>
      <c r="AN29" s="680" t="s">
        <v>709</v>
      </c>
      <c r="AO29" s="681">
        <v>11090754</v>
      </c>
      <c r="AP29" s="572"/>
      <c r="AQ29" s="572"/>
      <c r="AR29" s="572"/>
      <c r="AS29" s="538">
        <f>IF(Table15910[[#This Row],[PCTS Approved]]="N",0,Table15910[[#This Row],[Investment Amount (1'#'#'#'#'#)]]+Table15910[[#This Row],[Retirement Amount (3'#'#'#'#'#)]])</f>
        <v>0</v>
      </c>
      <c r="AT29" s="538">
        <f>IF(Table15910[[#This Row],[Approved Construction Cost]]=0,0,Table15910[[#This Row],[Approved Construction Cost]]-Table15910[[#This Row],[Construction Cost to Bill From]])</f>
        <v>0</v>
      </c>
      <c r="AU29" s="538">
        <f>IFERROR(Table15910[[#This Row],[Difference in Construction Cost]]*Table15910[[#This Row],[Rate]],Table15910[[#This Row],[Difference in Construction Cost]]*0.085)</f>
        <v>0</v>
      </c>
      <c r="AV29" s="602"/>
      <c r="AW29" s="640"/>
      <c r="AX29" s="555"/>
      <c r="AY29" s="1035"/>
      <c r="AZ29" s="605"/>
      <c r="BA29" s="1031" t="s">
        <v>6819</v>
      </c>
      <c r="BB29" s="543" t="s">
        <v>6820</v>
      </c>
      <c r="BC29" s="559" t="s">
        <v>116</v>
      </c>
      <c r="BD29" s="554" t="s">
        <v>882</v>
      </c>
      <c r="BE29" s="588" t="s">
        <v>3262</v>
      </c>
      <c r="BF29" s="588" t="s">
        <v>6821</v>
      </c>
      <c r="BG29" s="588" t="s">
        <v>115</v>
      </c>
      <c r="BH29" s="615" t="s">
        <v>6822</v>
      </c>
      <c r="BI29" s="547" t="s">
        <v>745</v>
      </c>
      <c r="BJ29" s="547" t="s">
        <v>745</v>
      </c>
      <c r="BK29" s="547" t="s">
        <v>116</v>
      </c>
      <c r="BL29" s="547" t="s">
        <v>745</v>
      </c>
      <c r="BM29" s="547" t="s">
        <v>745</v>
      </c>
      <c r="BN29" s="547">
        <v>6138</v>
      </c>
      <c r="BO29" s="547" t="s">
        <v>745</v>
      </c>
      <c r="BP29" s="547" t="s">
        <v>745</v>
      </c>
      <c r="BQ29" s="547" t="s">
        <v>745</v>
      </c>
      <c r="BR29" s="547">
        <v>18</v>
      </c>
      <c r="BS29" s="547" t="s">
        <v>745</v>
      </c>
      <c r="BT29" s="547" t="s">
        <v>745</v>
      </c>
      <c r="BU29" s="547" t="s">
        <v>745</v>
      </c>
      <c r="BV29" s="547" t="s">
        <v>745</v>
      </c>
      <c r="BW29" s="547" t="s">
        <v>745</v>
      </c>
      <c r="BX29" s="547" t="s">
        <v>745</v>
      </c>
      <c r="BY29" s="547" t="s">
        <v>116</v>
      </c>
      <c r="BZ29" s="547" t="s">
        <v>709</v>
      </c>
      <c r="CA29" s="483"/>
    </row>
    <row r="30" spans="1:79" ht="15" customHeight="1" x14ac:dyDescent="0.25">
      <c r="A30" s="656">
        <v>2023</v>
      </c>
      <c r="B30" s="656" t="s">
        <v>771</v>
      </c>
      <c r="C30" s="656" t="s">
        <v>449</v>
      </c>
      <c r="D30" s="656" t="s">
        <v>1487</v>
      </c>
      <c r="E30" s="656" t="s">
        <v>327</v>
      </c>
      <c r="F30" s="656" t="s">
        <v>784</v>
      </c>
      <c r="G30" s="656" t="s">
        <v>7152</v>
      </c>
      <c r="H30" s="656" t="s">
        <v>59</v>
      </c>
      <c r="I30" s="1375">
        <v>44939</v>
      </c>
      <c r="J30" s="1052">
        <v>45065</v>
      </c>
      <c r="K30" s="1376">
        <v>45061</v>
      </c>
      <c r="L30" s="1377">
        <v>4</v>
      </c>
      <c r="M30" s="1375"/>
      <c r="N30" s="1375" t="s">
        <v>120</v>
      </c>
      <c r="O30" s="1059">
        <v>45078</v>
      </c>
      <c r="P30" s="1378" t="s">
        <v>120</v>
      </c>
      <c r="Q30" s="340">
        <v>161460.64619999999</v>
      </c>
      <c r="R30" s="1026">
        <v>0.06</v>
      </c>
      <c r="S30" s="556"/>
      <c r="T30" s="556"/>
      <c r="U30" s="1061"/>
      <c r="V30" s="1184">
        <v>10511</v>
      </c>
      <c r="W30" s="1186">
        <v>0</v>
      </c>
      <c r="X30" s="556">
        <v>2575270.17</v>
      </c>
      <c r="Y30" s="591"/>
      <c r="Z30" s="570">
        <v>115740.6</v>
      </c>
      <c r="AA30" s="570">
        <v>2691010.77</v>
      </c>
      <c r="AB30" s="341">
        <v>45068</v>
      </c>
      <c r="AC30" s="568" t="s">
        <v>1441</v>
      </c>
      <c r="AD30" s="1157" t="s">
        <v>116</v>
      </c>
      <c r="AE30" s="579"/>
      <c r="AF30" s="579"/>
      <c r="AG30" s="579"/>
      <c r="AH30" s="553"/>
      <c r="AI30" s="1036"/>
      <c r="AJ30" s="1037"/>
      <c r="AK30" s="1037"/>
      <c r="AL30" s="1038"/>
      <c r="AM30" s="1379" t="s">
        <v>116</v>
      </c>
      <c r="AN30" s="1380">
        <v>45819</v>
      </c>
      <c r="AO30" s="1381">
        <v>11060024</v>
      </c>
      <c r="AP30" s="1382">
        <v>3048308.01</v>
      </c>
      <c r="AQ30" s="1382"/>
      <c r="AR30" s="1382">
        <v>276373.34999999998</v>
      </c>
      <c r="AS30" s="556">
        <f>IF(Table15910[[#This Row],[PCTS Approved]]="N",0,Table15910[[#This Row],[Investment Amount (1'#'#'#'#'#)]]+Table15910[[#This Row],[Retirement Amount (3'#'#'#'#'#)]])</f>
        <v>3324681.36</v>
      </c>
      <c r="AT30" s="556">
        <f>IF(Table15910[[#This Row],[Approved Construction Cost]]=0,0,Table15910[[#This Row],[Approved Construction Cost]]-Table15910[[#This Row],[Construction Cost to Bill From]])</f>
        <v>633670.58999999985</v>
      </c>
      <c r="AU30" s="556">
        <f>IFERROR(Table15910[[#This Row],[Difference in Construction Cost]]*Table15910[[#This Row],[Rate]],Table15910[[#This Row],[Difference in Construction Cost]]*0.085)</f>
        <v>38020.23539999999</v>
      </c>
      <c r="AV30" s="1382">
        <v>9227.5</v>
      </c>
      <c r="AW30" s="1421" t="s">
        <v>5626</v>
      </c>
      <c r="AX30" s="556"/>
      <c r="AY30" s="1386" t="s">
        <v>709</v>
      </c>
      <c r="AZ30" s="1387">
        <v>6</v>
      </c>
      <c r="BA30" s="1395" t="s">
        <v>1488</v>
      </c>
      <c r="BB30" s="1389" t="s">
        <v>1479</v>
      </c>
      <c r="BC30" s="1082" t="s">
        <v>709</v>
      </c>
      <c r="BD30" s="1082" t="s">
        <v>115</v>
      </c>
      <c r="BE30" s="1082" t="s">
        <v>448</v>
      </c>
      <c r="BF30" s="1082" t="s">
        <v>115</v>
      </c>
      <c r="BG30" s="1082" t="s">
        <v>115</v>
      </c>
      <c r="BH30" s="1396" t="s">
        <v>1489</v>
      </c>
      <c r="BI30" s="547" t="s">
        <v>709</v>
      </c>
      <c r="BJ30" s="547" t="s">
        <v>709</v>
      </c>
      <c r="BK30" s="547" t="s">
        <v>709</v>
      </c>
      <c r="BL30" s="547" t="s">
        <v>116</v>
      </c>
      <c r="BM30" s="547" t="s">
        <v>709</v>
      </c>
      <c r="BN30" s="547" t="s">
        <v>709</v>
      </c>
      <c r="BO30" s="547" t="s">
        <v>709</v>
      </c>
      <c r="BP30" s="547" t="s">
        <v>709</v>
      </c>
      <c r="BQ30" s="547">
        <v>1240</v>
      </c>
      <c r="BR30" s="547">
        <v>1503</v>
      </c>
      <c r="BS30" s="547">
        <v>7768</v>
      </c>
      <c r="BT30" s="547" t="s">
        <v>745</v>
      </c>
      <c r="BU30" s="547" t="s">
        <v>709</v>
      </c>
      <c r="BV30" s="547" t="s">
        <v>745</v>
      </c>
      <c r="BW30" s="547" t="s">
        <v>709</v>
      </c>
      <c r="BX30" s="547" t="s">
        <v>745</v>
      </c>
      <c r="BY30" s="547" t="s">
        <v>745</v>
      </c>
      <c r="BZ30" s="547" t="s">
        <v>709</v>
      </c>
      <c r="CA30" s="483"/>
    </row>
    <row r="31" spans="1:79" ht="15" hidden="1" customHeight="1" x14ac:dyDescent="0.25">
      <c r="A31" s="8" t="s">
        <v>800</v>
      </c>
      <c r="B31" s="8" t="s">
        <v>4</v>
      </c>
      <c r="C31" s="8" t="s">
        <v>1838</v>
      </c>
      <c r="D31" s="8" t="s">
        <v>1839</v>
      </c>
      <c r="E31" s="8" t="s">
        <v>1032</v>
      </c>
      <c r="F31" s="8" t="s">
        <v>1102</v>
      </c>
      <c r="G31" s="8" t="s">
        <v>6391</v>
      </c>
      <c r="H31" s="8" t="s">
        <v>413</v>
      </c>
      <c r="I31" s="642">
        <v>45378</v>
      </c>
      <c r="J31" s="18">
        <v>45471</v>
      </c>
      <c r="K31" s="97">
        <v>45461</v>
      </c>
      <c r="L31" s="16">
        <v>10</v>
      </c>
      <c r="M31" s="642"/>
      <c r="N31" s="642" t="s">
        <v>120</v>
      </c>
      <c r="O31" s="1060">
        <v>45444</v>
      </c>
      <c r="P31" s="1152" t="s">
        <v>739</v>
      </c>
      <c r="Q31" s="340">
        <v>8929.3410000000003</v>
      </c>
      <c r="R31" s="1026">
        <v>0.1</v>
      </c>
      <c r="S31" s="538"/>
      <c r="T31" s="538"/>
      <c r="U31" s="87"/>
      <c r="V31" s="858">
        <v>41</v>
      </c>
      <c r="W31" s="437">
        <v>0</v>
      </c>
      <c r="X31" s="538">
        <v>63667.62</v>
      </c>
      <c r="Y31" s="551"/>
      <c r="Z31" s="552">
        <v>25625.79</v>
      </c>
      <c r="AA31" s="552">
        <v>89293.41</v>
      </c>
      <c r="AB31" s="341">
        <v>45447</v>
      </c>
      <c r="AC31" s="569" t="s">
        <v>709</v>
      </c>
      <c r="AD31" s="1149" t="s">
        <v>29</v>
      </c>
      <c r="AE31" s="568" t="s">
        <v>116</v>
      </c>
      <c r="AF31" s="568" t="s">
        <v>116</v>
      </c>
      <c r="AG31" s="569" t="s">
        <v>376</v>
      </c>
      <c r="AH31" s="183">
        <v>45567</v>
      </c>
      <c r="AI31" s="1028">
        <v>0</v>
      </c>
      <c r="AJ31" s="1029">
        <v>2368.25</v>
      </c>
      <c r="AK31" s="1029">
        <v>4483.24</v>
      </c>
      <c r="AL31" s="1030">
        <v>0.76730074481420296</v>
      </c>
      <c r="AM31" s="536" t="s">
        <v>116</v>
      </c>
      <c r="AN31" s="801" t="s">
        <v>709</v>
      </c>
      <c r="AO31" s="601"/>
      <c r="AP31" s="572"/>
      <c r="AQ31" s="572"/>
      <c r="AR31" s="572"/>
      <c r="AS31" s="538">
        <f>IF(Table15910[[#This Row],[PCTS Approved]]="N",0,Table15910[[#This Row],[Investment Amount (1'#'#'#'#'#)]]+Table15910[[#This Row],[Retirement Amount (3'#'#'#'#'#)]])</f>
        <v>0</v>
      </c>
      <c r="AT31" s="538">
        <f>IF(Table15910[[#This Row],[Approved Construction Cost]]=0,0,Table15910[[#This Row],[Approved Construction Cost]]-Table15910[[#This Row],[Construction Cost to Bill From]])</f>
        <v>0</v>
      </c>
      <c r="AU31" s="538">
        <f>IFERROR(Table15910[[#This Row],[Difference in Construction Cost]]*Table15910[[#This Row],[Rate]],Table15910[[#This Row],[Difference in Construction Cost]]*0.085)</f>
        <v>0</v>
      </c>
      <c r="AV31" s="602"/>
      <c r="AW31" s="640"/>
      <c r="AX31" s="555"/>
      <c r="AY31" s="1035" t="s">
        <v>709</v>
      </c>
      <c r="AZ31" s="443">
        <v>146</v>
      </c>
      <c r="BA31" s="1074" t="s">
        <v>1840</v>
      </c>
      <c r="BB31" s="644" t="s">
        <v>1035</v>
      </c>
      <c r="BC31" s="544" t="s">
        <v>115</v>
      </c>
      <c r="BD31" s="554" t="s">
        <v>115</v>
      </c>
      <c r="BE31" s="588" t="s">
        <v>1841</v>
      </c>
      <c r="BF31" s="588" t="s">
        <v>115</v>
      </c>
      <c r="BG31" s="588" t="s">
        <v>115</v>
      </c>
      <c r="BH31" s="615" t="s">
        <v>1842</v>
      </c>
      <c r="BI31" s="547" t="s">
        <v>709</v>
      </c>
      <c r="BJ31" s="547" t="s">
        <v>709</v>
      </c>
      <c r="BK31" s="547" t="s">
        <v>709</v>
      </c>
      <c r="BL31" s="547" t="s">
        <v>116</v>
      </c>
      <c r="BM31" s="547" t="s">
        <v>709</v>
      </c>
      <c r="BN31" s="547" t="s">
        <v>709</v>
      </c>
      <c r="BO31" s="547" t="s">
        <v>709</v>
      </c>
      <c r="BP31" s="547" t="s">
        <v>709</v>
      </c>
      <c r="BQ31" s="547" t="s">
        <v>709</v>
      </c>
      <c r="BR31" s="547" t="s">
        <v>709</v>
      </c>
      <c r="BS31" s="549">
        <v>41</v>
      </c>
      <c r="BT31" s="547" t="s">
        <v>745</v>
      </c>
      <c r="BU31" s="547" t="s">
        <v>745</v>
      </c>
      <c r="BV31" s="547" t="s">
        <v>745</v>
      </c>
      <c r="BW31" s="547" t="s">
        <v>745</v>
      </c>
      <c r="BX31" s="547" t="s">
        <v>745</v>
      </c>
      <c r="BY31" s="547" t="s">
        <v>745</v>
      </c>
      <c r="BZ31" s="547" t="s">
        <v>709</v>
      </c>
      <c r="CA31" s="483"/>
    </row>
    <row r="32" spans="1:79" ht="15" hidden="1" customHeight="1" x14ac:dyDescent="0.25">
      <c r="A32" s="8" t="s">
        <v>749</v>
      </c>
      <c r="B32" s="8" t="s">
        <v>1073</v>
      </c>
      <c r="C32" s="8" t="s">
        <v>1686</v>
      </c>
      <c r="D32" s="8" t="s">
        <v>1687</v>
      </c>
      <c r="E32" s="8" t="s">
        <v>1674</v>
      </c>
      <c r="F32" s="8" t="s">
        <v>1688</v>
      </c>
      <c r="G32" s="8" t="s">
        <v>31</v>
      </c>
      <c r="H32" s="8" t="s">
        <v>59</v>
      </c>
      <c r="I32" s="642">
        <v>45190</v>
      </c>
      <c r="J32" s="18">
        <v>45264</v>
      </c>
      <c r="K32" s="97">
        <v>45260</v>
      </c>
      <c r="L32" s="649">
        <v>4</v>
      </c>
      <c r="M32" s="642"/>
      <c r="N32" s="642" t="s">
        <v>120</v>
      </c>
      <c r="O32" s="1060">
        <v>45261</v>
      </c>
      <c r="P32" s="1152" t="s">
        <v>739</v>
      </c>
      <c r="Q32" s="340">
        <v>29967.556</v>
      </c>
      <c r="R32" s="1026">
        <v>0.08</v>
      </c>
      <c r="S32" s="538"/>
      <c r="T32" s="538"/>
      <c r="U32" s="87"/>
      <c r="V32" s="858">
        <v>1484</v>
      </c>
      <c r="W32" s="437">
        <v>0</v>
      </c>
      <c r="X32" s="552">
        <v>374594.45</v>
      </c>
      <c r="Y32" s="551"/>
      <c r="Z32" s="552">
        <v>0</v>
      </c>
      <c r="AA32" s="552">
        <v>374594.45</v>
      </c>
      <c r="AB32" s="341">
        <v>45261</v>
      </c>
      <c r="AC32" s="568" t="s">
        <v>709</v>
      </c>
      <c r="AD32" s="1157" t="s">
        <v>29</v>
      </c>
      <c r="AE32" s="568" t="s">
        <v>116</v>
      </c>
      <c r="AF32" s="568" t="s">
        <v>116</v>
      </c>
      <c r="AG32" s="568" t="s">
        <v>376</v>
      </c>
      <c r="AH32" s="183" t="s">
        <v>376</v>
      </c>
      <c r="AI32" s="1036"/>
      <c r="AJ32" s="1037"/>
      <c r="AK32" s="1037"/>
      <c r="AL32" s="1038"/>
      <c r="AM32" s="536" t="s">
        <v>116</v>
      </c>
      <c r="AN32" s="680" t="s">
        <v>709</v>
      </c>
      <c r="AO32" s="681"/>
      <c r="AP32" s="572"/>
      <c r="AQ32" s="572"/>
      <c r="AR32" s="572"/>
      <c r="AS32" s="538">
        <f>IF(Table15910[[#This Row],[PCTS Approved]]="N",0,Table15910[[#This Row],[Investment Amount (1'#'#'#'#'#)]]+Table15910[[#This Row],[Retirement Amount (3'#'#'#'#'#)]])</f>
        <v>0</v>
      </c>
      <c r="AT32" s="538">
        <f>IF(Table15910[[#This Row],[Approved Construction Cost]]=0,0,Table15910[[#This Row],[Approved Construction Cost]]-Table15910[[#This Row],[Construction Cost to Bill From]])</f>
        <v>0</v>
      </c>
      <c r="AU32" s="538">
        <f>IFERROR(Table15910[[#This Row],[Difference in Construction Cost]]*Table15910[[#This Row],[Rate]],Table15910[[#This Row],[Difference in Construction Cost]]*0.085)</f>
        <v>0</v>
      </c>
      <c r="AV32" s="602"/>
      <c r="AW32" s="640"/>
      <c r="AX32" s="555"/>
      <c r="AY32" s="1035" t="s">
        <v>709</v>
      </c>
      <c r="AZ32" s="443">
        <v>19</v>
      </c>
      <c r="BA32" s="1074" t="s">
        <v>1689</v>
      </c>
      <c r="BB32" s="644" t="s">
        <v>1690</v>
      </c>
      <c r="BC32" s="559" t="s">
        <v>116</v>
      </c>
      <c r="BD32" s="554" t="s">
        <v>709</v>
      </c>
      <c r="BE32" s="588" t="s">
        <v>1691</v>
      </c>
      <c r="BF32" s="588" t="s">
        <v>115</v>
      </c>
      <c r="BG32" s="1077"/>
      <c r="BH32" s="749" t="s">
        <v>1677</v>
      </c>
      <c r="BI32" s="547" t="s">
        <v>709</v>
      </c>
      <c r="BJ32" s="547" t="s">
        <v>709</v>
      </c>
      <c r="BK32" s="547" t="s">
        <v>709</v>
      </c>
      <c r="BL32" s="547" t="s">
        <v>116</v>
      </c>
      <c r="BM32" s="547" t="s">
        <v>709</v>
      </c>
      <c r="BN32" s="547" t="s">
        <v>709</v>
      </c>
      <c r="BO32" s="547" t="s">
        <v>709</v>
      </c>
      <c r="BP32" s="547" t="s">
        <v>709</v>
      </c>
      <c r="BQ32" s="547" t="s">
        <v>709</v>
      </c>
      <c r="BR32" s="547">
        <v>1484</v>
      </c>
      <c r="BS32" s="547" t="s">
        <v>709</v>
      </c>
      <c r="BT32" s="547" t="s">
        <v>709</v>
      </c>
      <c r="BU32" s="547" t="s">
        <v>709</v>
      </c>
      <c r="BV32" s="547" t="s">
        <v>709</v>
      </c>
      <c r="BW32" s="547" t="s">
        <v>709</v>
      </c>
      <c r="BX32" s="547" t="s">
        <v>709</v>
      </c>
      <c r="BY32" s="547" t="s">
        <v>709</v>
      </c>
      <c r="BZ32" s="547" t="s">
        <v>709</v>
      </c>
      <c r="CA32" s="483" t="s">
        <v>769</v>
      </c>
    </row>
    <row r="33" spans="1:79" ht="15" hidden="1" customHeight="1" x14ac:dyDescent="0.25">
      <c r="A33" s="874" t="s">
        <v>6816</v>
      </c>
      <c r="B33" s="878" t="s">
        <v>4</v>
      </c>
      <c r="C33" s="879" t="s">
        <v>8093</v>
      </c>
      <c r="D33" s="880" t="s">
        <v>8888</v>
      </c>
      <c r="E33" s="879" t="s">
        <v>3731</v>
      </c>
      <c r="F33" s="878" t="s">
        <v>6874</v>
      </c>
      <c r="G33" s="878" t="s">
        <v>7382</v>
      </c>
      <c r="H33" s="878" t="s">
        <v>59</v>
      </c>
      <c r="I33" s="881">
        <v>45646</v>
      </c>
      <c r="J33" s="882">
        <v>45821</v>
      </c>
      <c r="K33" s="945">
        <v>45821</v>
      </c>
      <c r="L33" s="884">
        <v>0</v>
      </c>
      <c r="M33" s="879"/>
      <c r="N33" s="885" t="s">
        <v>739</v>
      </c>
      <c r="O33" s="886" t="s">
        <v>376</v>
      </c>
      <c r="P33" s="1153" t="s">
        <v>739</v>
      </c>
      <c r="Q33" s="1237">
        <v>67574.459000000003</v>
      </c>
      <c r="R33" s="887">
        <v>0.1</v>
      </c>
      <c r="S33" s="888" t="s">
        <v>29</v>
      </c>
      <c r="T33" s="888" t="s">
        <v>29</v>
      </c>
      <c r="U33" s="889" t="s">
        <v>29</v>
      </c>
      <c r="V33" s="890">
        <v>1186</v>
      </c>
      <c r="W33" s="1021">
        <v>0</v>
      </c>
      <c r="X33" s="1015">
        <v>527069.86</v>
      </c>
      <c r="Y33" s="1218">
        <v>0</v>
      </c>
      <c r="Z33" s="1015">
        <v>148674.73000000001</v>
      </c>
      <c r="AA33" s="892">
        <v>675744.59</v>
      </c>
      <c r="AB33" s="992">
        <v>45826</v>
      </c>
      <c r="AC33" s="894" t="s">
        <v>116</v>
      </c>
      <c r="AD33" s="1161" t="s">
        <v>29</v>
      </c>
      <c r="AE33" s="895" t="s">
        <v>116</v>
      </c>
      <c r="AF33" s="895" t="s">
        <v>116</v>
      </c>
      <c r="AG33" s="896" t="s">
        <v>376</v>
      </c>
      <c r="AH33" s="897" t="s">
        <v>376</v>
      </c>
      <c r="AI33" s="898">
        <v>0</v>
      </c>
      <c r="AJ33" s="899">
        <v>3100</v>
      </c>
      <c r="AK33" s="899">
        <v>1239.8</v>
      </c>
      <c r="AL33" s="901">
        <v>6.4222489742759167E-2</v>
      </c>
      <c r="AM33" s="902" t="s">
        <v>116</v>
      </c>
      <c r="AN33" s="1353" t="s">
        <v>709</v>
      </c>
      <c r="AO33" s="904"/>
      <c r="AP33" s="905"/>
      <c r="AQ33" s="905"/>
      <c r="AR33" s="905"/>
      <c r="AS33" s="538">
        <f>IF(Table15910[[#This Row],[PCTS Approved]]="N",0,Table15910[[#This Row],[Investment Amount (1'#'#'#'#'#)]]+Table15910[[#This Row],[Retirement Amount (3'#'#'#'#'#)]])</f>
        <v>0</v>
      </c>
      <c r="AT33" s="538">
        <f>IF(Table15910[[#This Row],[Approved Construction Cost]]=0,0,Table15910[[#This Row],[Approved Construction Cost]]-Table15910[[#This Row],[Construction Cost to Bill From]])</f>
        <v>0</v>
      </c>
      <c r="AU33" s="538">
        <f>IFERROR(Table15910[[#This Row],[Difference in Construction Cost]]*Table15910[[#This Row],[Rate]],Table15910[[#This Row],[Difference in Construction Cost]]*0.085)</f>
        <v>0</v>
      </c>
      <c r="AV33" s="906"/>
      <c r="AW33" s="907"/>
      <c r="AX33" s="908"/>
      <c r="AY33" s="909" t="s">
        <v>709</v>
      </c>
      <c r="AZ33" s="1022"/>
      <c r="BA33" s="910" t="s">
        <v>8889</v>
      </c>
      <c r="BB33" s="911" t="s">
        <v>1617</v>
      </c>
      <c r="BC33" s="912" t="s">
        <v>992</v>
      </c>
      <c r="BD33" s="913" t="s">
        <v>757</v>
      </c>
      <c r="BE33" s="914" t="s">
        <v>3734</v>
      </c>
      <c r="BF33" s="914" t="s">
        <v>3734</v>
      </c>
      <c r="BG33" s="915" t="s">
        <v>709</v>
      </c>
      <c r="BH33" s="1023" t="s">
        <v>8890</v>
      </c>
      <c r="BI33" s="916" t="s">
        <v>709</v>
      </c>
      <c r="BJ33" s="916" t="s">
        <v>709</v>
      </c>
      <c r="BK33" s="916" t="s">
        <v>709</v>
      </c>
      <c r="BL33" s="916" t="s">
        <v>116</v>
      </c>
      <c r="BM33" s="916" t="s">
        <v>709</v>
      </c>
      <c r="BN33" s="916" t="s">
        <v>709</v>
      </c>
      <c r="BO33" s="916" t="s">
        <v>709</v>
      </c>
      <c r="BP33" s="916" t="s">
        <v>709</v>
      </c>
      <c r="BQ33" s="916" t="s">
        <v>709</v>
      </c>
      <c r="BR33" s="916">
        <v>547</v>
      </c>
      <c r="BS33" s="916">
        <v>639</v>
      </c>
      <c r="BT33" s="916" t="s">
        <v>709</v>
      </c>
      <c r="BU33" s="916" t="s">
        <v>709</v>
      </c>
      <c r="BV33" s="916" t="s">
        <v>709</v>
      </c>
      <c r="BW33" s="916" t="s">
        <v>709</v>
      </c>
      <c r="BX33" s="916" t="s">
        <v>709</v>
      </c>
      <c r="BY33" s="916" t="s">
        <v>709</v>
      </c>
      <c r="BZ33" s="916" t="s">
        <v>709</v>
      </c>
      <c r="CA33" s="483" t="s">
        <v>769</v>
      </c>
    </row>
    <row r="34" spans="1:79" ht="15" hidden="1" customHeight="1" x14ac:dyDescent="0.25">
      <c r="A34" s="874" t="s">
        <v>6816</v>
      </c>
      <c r="B34" s="878" t="s">
        <v>4</v>
      </c>
      <c r="C34" s="879" t="s">
        <v>8954</v>
      </c>
      <c r="D34" s="880" t="s">
        <v>8955</v>
      </c>
      <c r="E34" s="879" t="s">
        <v>1780</v>
      </c>
      <c r="F34" s="878" t="s">
        <v>6874</v>
      </c>
      <c r="G34" s="878" t="s">
        <v>26</v>
      </c>
      <c r="H34" s="878" t="s">
        <v>413</v>
      </c>
      <c r="I34" s="881">
        <v>45775</v>
      </c>
      <c r="J34" s="882">
        <v>45838</v>
      </c>
      <c r="K34" s="945">
        <v>45838</v>
      </c>
      <c r="L34" s="884">
        <v>0</v>
      </c>
      <c r="M34" s="879"/>
      <c r="N34" s="885" t="s">
        <v>739</v>
      </c>
      <c r="O34" s="886" t="s">
        <v>376</v>
      </c>
      <c r="P34" s="1153" t="s">
        <v>739</v>
      </c>
      <c r="Q34" s="1150">
        <v>0</v>
      </c>
      <c r="R34" s="887">
        <v>0.1</v>
      </c>
      <c r="S34" s="888" t="s">
        <v>29</v>
      </c>
      <c r="T34" s="888" t="s">
        <v>29</v>
      </c>
      <c r="U34" s="889" t="s">
        <v>29</v>
      </c>
      <c r="V34" s="1326">
        <v>3044</v>
      </c>
      <c r="W34" s="1327" t="s">
        <v>29</v>
      </c>
      <c r="X34" s="1328">
        <v>713731.2</v>
      </c>
      <c r="Y34" s="1328"/>
      <c r="Z34" s="1331">
        <v>153684.01</v>
      </c>
      <c r="AA34" s="892">
        <v>867415.21</v>
      </c>
      <c r="AB34" s="1332">
        <v>45845</v>
      </c>
      <c r="AC34" s="1334" t="s">
        <v>29</v>
      </c>
      <c r="AD34" s="1336" t="s">
        <v>116</v>
      </c>
      <c r="AE34" s="1338" t="s">
        <v>756</v>
      </c>
      <c r="AF34" s="1338" t="s">
        <v>756</v>
      </c>
      <c r="AG34" s="1339" t="s">
        <v>116</v>
      </c>
      <c r="AH34" s="1340">
        <v>45854</v>
      </c>
      <c r="AI34" s="1341" t="s">
        <v>29</v>
      </c>
      <c r="AJ34" s="1343">
        <v>10925</v>
      </c>
      <c r="AK34" s="1343">
        <v>10457.030000000001</v>
      </c>
      <c r="AL34" s="1345">
        <f>SUM(Table15[[#This Row],[Nicor Initiated DBE]:[Staffing]])/(Table15[[#This Row],[Amount Invoiced]])</f>
        <v>0</v>
      </c>
      <c r="AM34" s="902" t="s">
        <v>116</v>
      </c>
      <c r="AN34" s="1353" t="s">
        <v>709</v>
      </c>
      <c r="AO34" s="904"/>
      <c r="AP34" s="905"/>
      <c r="AQ34" s="905"/>
      <c r="AR34" s="905"/>
      <c r="AS34" s="538">
        <f>IF(Table15910[[#This Row],[PCTS Approved]]="N",0,Table15910[[#This Row],[Investment Amount (1'#'#'#'#'#)]]+Table15910[[#This Row],[Retirement Amount (3'#'#'#'#'#)]])</f>
        <v>0</v>
      </c>
      <c r="AT34" s="538">
        <f>IF(Table15910[[#This Row],[Approved Construction Cost]]=0,0,Table15910[[#This Row],[Approved Construction Cost]]-Table15910[[#This Row],[Construction Cost to Bill From]])</f>
        <v>0</v>
      </c>
      <c r="AU34" s="538">
        <f>IFERROR(Table15910[[#This Row],[Difference in Construction Cost]]*Table15910[[#This Row],[Rate]],Table15910[[#This Row],[Difference in Construction Cost]]*0.085)</f>
        <v>0</v>
      </c>
      <c r="AV34" s="906"/>
      <c r="AW34" s="907"/>
      <c r="AX34" s="908"/>
      <c r="AY34" s="909" t="s">
        <v>709</v>
      </c>
      <c r="AZ34" s="1022"/>
      <c r="BA34" s="910" t="s">
        <v>8956</v>
      </c>
      <c r="BB34" s="911" t="s">
        <v>1782</v>
      </c>
      <c r="BC34" s="1459" t="s">
        <v>709</v>
      </c>
      <c r="BD34" s="1460" t="s">
        <v>709</v>
      </c>
      <c r="BE34" s="1461" t="s">
        <v>1783</v>
      </c>
      <c r="BF34" s="1461" t="s">
        <v>709</v>
      </c>
      <c r="BG34" s="1462" t="s">
        <v>709</v>
      </c>
      <c r="BH34" s="1023" t="s">
        <v>8957</v>
      </c>
      <c r="BI34" s="1268"/>
      <c r="BJ34" s="1268"/>
      <c r="BK34" s="1268"/>
      <c r="BL34" s="1268"/>
      <c r="BM34" s="1268"/>
      <c r="BN34" s="1268"/>
      <c r="BO34" s="1268"/>
      <c r="BP34" s="1268"/>
      <c r="BQ34" s="1268"/>
      <c r="BR34" s="1268"/>
      <c r="BS34" s="1268"/>
      <c r="BT34" s="1268"/>
      <c r="BU34" s="1268"/>
      <c r="BV34" s="1268"/>
      <c r="BW34" s="1268"/>
      <c r="BX34" s="1268"/>
      <c r="BY34" s="1268"/>
      <c r="BZ34" s="1268"/>
      <c r="CA34" s="483" t="s">
        <v>769</v>
      </c>
    </row>
    <row r="35" spans="1:79" ht="15" hidden="1" customHeight="1" x14ac:dyDescent="0.25">
      <c r="A35" s="656" t="s">
        <v>800</v>
      </c>
      <c r="B35" s="656" t="s">
        <v>1205</v>
      </c>
      <c r="C35" s="656" t="s">
        <v>1735</v>
      </c>
      <c r="D35" s="656" t="s">
        <v>1736</v>
      </c>
      <c r="E35" s="656" t="s">
        <v>818</v>
      </c>
      <c r="F35" s="656" t="s">
        <v>851</v>
      </c>
      <c r="G35" s="656" t="s">
        <v>36</v>
      </c>
      <c r="H35" s="656" t="s">
        <v>59</v>
      </c>
      <c r="I35" s="1375">
        <v>45307</v>
      </c>
      <c r="J35" s="1052">
        <v>45377</v>
      </c>
      <c r="K35" s="1376">
        <v>45358</v>
      </c>
      <c r="L35" s="1377">
        <v>19</v>
      </c>
      <c r="M35" s="1375"/>
      <c r="N35" s="1375" t="s">
        <v>120</v>
      </c>
      <c r="O35" s="1059">
        <v>45352</v>
      </c>
      <c r="P35" s="1378" t="s">
        <v>739</v>
      </c>
      <c r="Q35" s="340">
        <v>18967.2948</v>
      </c>
      <c r="R35" s="1026">
        <v>0.09</v>
      </c>
      <c r="S35" s="556"/>
      <c r="T35" s="556"/>
      <c r="U35" s="1464"/>
      <c r="V35" s="1184">
        <v>1051</v>
      </c>
      <c r="W35" s="1186">
        <v>0</v>
      </c>
      <c r="X35" s="556">
        <v>210747.72</v>
      </c>
      <c r="Y35" s="550">
        <v>0</v>
      </c>
      <c r="Z35" s="570">
        <v>0</v>
      </c>
      <c r="AA35" s="570">
        <v>210747.72</v>
      </c>
      <c r="AB35" s="341">
        <v>45370</v>
      </c>
      <c r="AC35" s="569" t="s">
        <v>709</v>
      </c>
      <c r="AD35" s="1149" t="s">
        <v>116</v>
      </c>
      <c r="AE35" s="568" t="s">
        <v>116</v>
      </c>
      <c r="AF35" s="568" t="s">
        <v>116</v>
      </c>
      <c r="AG35" s="569" t="s">
        <v>116</v>
      </c>
      <c r="AH35" s="183" t="s">
        <v>116</v>
      </c>
      <c r="AI35" s="1028">
        <v>0</v>
      </c>
      <c r="AJ35" s="1029">
        <v>630</v>
      </c>
      <c r="AK35" s="1029">
        <v>8249.5</v>
      </c>
      <c r="AL35" s="1030">
        <v>0.46814794063305221</v>
      </c>
      <c r="AM35" s="1379" t="s">
        <v>116</v>
      </c>
      <c r="AN35" s="1380">
        <v>45510</v>
      </c>
      <c r="AO35" s="1381">
        <v>11088785</v>
      </c>
      <c r="AP35" s="1382">
        <v>209305.33</v>
      </c>
      <c r="AQ35" s="1382"/>
      <c r="AR35" s="1382">
        <v>0</v>
      </c>
      <c r="AS35" s="556">
        <f>IF(Table15910[[#This Row],[PCTS Approved]]="N",0,Table15910[[#This Row],[Investment Amount (1'#'#'#'#'#)]]+Table15910[[#This Row],[Retirement Amount (3'#'#'#'#'#)]])</f>
        <v>209305.33</v>
      </c>
      <c r="AT35" s="556">
        <f>IF(Table15910[[#This Row],[Approved Construction Cost]]=0,0,Table15910[[#This Row],[Approved Construction Cost]]-Table15910[[#This Row],[Construction Cost to Bill From]])</f>
        <v>-1442.390000000014</v>
      </c>
      <c r="AU35" s="556">
        <f>IFERROR(Table15910[[#This Row],[Difference in Construction Cost]]*Table15910[[#This Row],[Rate]],Table15910[[#This Row],[Difference in Construction Cost]]*0.085)</f>
        <v>-129.81510000000125</v>
      </c>
      <c r="AV35" s="1383" t="s">
        <v>29</v>
      </c>
      <c r="AW35" s="1384" t="s">
        <v>6213</v>
      </c>
      <c r="AX35" s="1385"/>
      <c r="AY35" s="1386" t="s">
        <v>709</v>
      </c>
      <c r="AZ35" s="1387">
        <v>52</v>
      </c>
      <c r="BA35" s="1388" t="s">
        <v>1737</v>
      </c>
      <c r="BB35" s="1389" t="s">
        <v>1738</v>
      </c>
      <c r="BC35" s="1390" t="s">
        <v>116</v>
      </c>
      <c r="BD35" s="1391" t="s">
        <v>115</v>
      </c>
      <c r="BE35" s="1092" t="s">
        <v>822</v>
      </c>
      <c r="BF35" s="1092" t="s">
        <v>115</v>
      </c>
      <c r="BG35" s="1392" t="s">
        <v>115</v>
      </c>
      <c r="BH35" s="1393" t="s">
        <v>1739</v>
      </c>
      <c r="BI35" s="547" t="s">
        <v>709</v>
      </c>
      <c r="BJ35" s="549" t="s">
        <v>709</v>
      </c>
      <c r="BK35" s="547" t="s">
        <v>709</v>
      </c>
      <c r="BL35" s="547" t="s">
        <v>116</v>
      </c>
      <c r="BM35" s="626" t="s">
        <v>709</v>
      </c>
      <c r="BN35" s="549" t="s">
        <v>709</v>
      </c>
      <c r="BO35" s="626" t="s">
        <v>709</v>
      </c>
      <c r="BP35" s="626" t="s">
        <v>709</v>
      </c>
      <c r="BQ35" s="549" t="s">
        <v>709</v>
      </c>
      <c r="BR35" s="549" t="s">
        <v>709</v>
      </c>
      <c r="BS35" s="549">
        <v>1051</v>
      </c>
      <c r="BT35" s="549" t="s">
        <v>709</v>
      </c>
      <c r="BU35" s="549" t="s">
        <v>709</v>
      </c>
      <c r="BV35" s="549" t="s">
        <v>709</v>
      </c>
      <c r="BW35" s="549" t="s">
        <v>709</v>
      </c>
      <c r="BX35" s="547" t="s">
        <v>709</v>
      </c>
      <c r="BY35" s="549" t="s">
        <v>709</v>
      </c>
      <c r="BZ35" s="547" t="s">
        <v>709</v>
      </c>
      <c r="CA35" s="483"/>
    </row>
    <row r="36" spans="1:79" ht="15" hidden="1" customHeight="1" x14ac:dyDescent="0.25">
      <c r="A36" s="874" t="s">
        <v>6816</v>
      </c>
      <c r="B36" s="878" t="s">
        <v>4</v>
      </c>
      <c r="C36" s="879" t="s">
        <v>8550</v>
      </c>
      <c r="D36" s="880" t="s">
        <v>8551</v>
      </c>
      <c r="E36" s="879" t="s">
        <v>1164</v>
      </c>
      <c r="F36" s="878" t="s">
        <v>851</v>
      </c>
      <c r="G36" s="878" t="s">
        <v>26</v>
      </c>
      <c r="H36" s="878" t="s">
        <v>59</v>
      </c>
      <c r="I36" s="881">
        <v>45453</v>
      </c>
      <c r="J36" s="882">
        <v>45747</v>
      </c>
      <c r="K36" s="945">
        <v>45735</v>
      </c>
      <c r="L36" s="919">
        <v>12</v>
      </c>
      <c r="M36" s="879"/>
      <c r="N36" s="885" t="s">
        <v>739</v>
      </c>
      <c r="O36" s="886">
        <v>45772</v>
      </c>
      <c r="P36" s="1153" t="s">
        <v>739</v>
      </c>
      <c r="Q36" s="1150">
        <v>107324.00800000002</v>
      </c>
      <c r="R36" s="887">
        <v>0.1</v>
      </c>
      <c r="S36" s="888" t="s">
        <v>29</v>
      </c>
      <c r="T36" s="888" t="s">
        <v>29</v>
      </c>
      <c r="U36" s="934" t="s">
        <v>29</v>
      </c>
      <c r="V36" s="890">
        <v>4150</v>
      </c>
      <c r="W36" s="1021" t="s">
        <v>29</v>
      </c>
      <c r="X36" s="888">
        <v>948402.11</v>
      </c>
      <c r="Y36" s="891"/>
      <c r="Z36" s="888">
        <v>124837.97</v>
      </c>
      <c r="AA36" s="892">
        <v>1073240.08</v>
      </c>
      <c r="AB36" s="893">
        <v>45736</v>
      </c>
      <c r="AC36" s="894" t="s">
        <v>709</v>
      </c>
      <c r="AD36" s="1160" t="s">
        <v>29</v>
      </c>
      <c r="AE36" s="894" t="s">
        <v>116</v>
      </c>
      <c r="AF36" s="895" t="s">
        <v>756</v>
      </c>
      <c r="AG36" s="896" t="s">
        <v>116</v>
      </c>
      <c r="AH36" s="897">
        <v>45770</v>
      </c>
      <c r="AI36" s="898">
        <v>0</v>
      </c>
      <c r="AJ36" s="899">
        <v>7330</v>
      </c>
      <c r="AK36" s="960">
        <v>11525.5</v>
      </c>
      <c r="AL36" s="901">
        <v>0.17568762433844248</v>
      </c>
      <c r="AM36" s="902" t="s">
        <v>116</v>
      </c>
      <c r="AN36" s="1353" t="s">
        <v>709</v>
      </c>
      <c r="AO36" s="904"/>
      <c r="AP36" s="905"/>
      <c r="AQ36" s="905"/>
      <c r="AR36" s="905"/>
      <c r="AS36" s="538">
        <f>IF(Table15910[[#This Row],[PCTS Approved]]="N",0,Table15910[[#This Row],[Investment Amount (1'#'#'#'#'#)]]+Table15910[[#This Row],[Retirement Amount (3'#'#'#'#'#)]])</f>
        <v>0</v>
      </c>
      <c r="AT36" s="538">
        <f>IF(Table15910[[#This Row],[Approved Construction Cost]]=0,0,Table15910[[#This Row],[Approved Construction Cost]]-Table15910[[#This Row],[Construction Cost to Bill From]])</f>
        <v>0</v>
      </c>
      <c r="AU36" s="538">
        <f>IFERROR(Table15910[[#This Row],[Difference in Construction Cost]]*Table15910[[#This Row],[Rate]],Table15910[[#This Row],[Difference in Construction Cost]]*0.085)</f>
        <v>0</v>
      </c>
      <c r="AV36" s="906"/>
      <c r="AW36" s="907"/>
      <c r="AX36" s="908"/>
      <c r="AY36" s="909" t="s">
        <v>709</v>
      </c>
      <c r="AZ36" s="1022"/>
      <c r="BA36" s="954" t="s">
        <v>8552</v>
      </c>
      <c r="BB36" s="911" t="s">
        <v>870</v>
      </c>
      <c r="BC36" s="912" t="s">
        <v>116</v>
      </c>
      <c r="BD36" s="913" t="s">
        <v>709</v>
      </c>
      <c r="BE36" s="914" t="s">
        <v>709</v>
      </c>
      <c r="BF36" s="914" t="s">
        <v>1168</v>
      </c>
      <c r="BG36" s="915" t="s">
        <v>709</v>
      </c>
      <c r="BH36" s="1023" t="s">
        <v>8553</v>
      </c>
      <c r="BI36" s="929" t="s">
        <v>745</v>
      </c>
      <c r="BJ36" s="929" t="s">
        <v>745</v>
      </c>
      <c r="BK36" s="929" t="s">
        <v>745</v>
      </c>
      <c r="BL36" s="916" t="s">
        <v>116</v>
      </c>
      <c r="BM36" s="929" t="s">
        <v>745</v>
      </c>
      <c r="BN36" s="929" t="s">
        <v>745</v>
      </c>
      <c r="BO36" s="929" t="s">
        <v>745</v>
      </c>
      <c r="BP36" s="929" t="s">
        <v>745</v>
      </c>
      <c r="BQ36" s="929" t="s">
        <v>745</v>
      </c>
      <c r="BR36" s="916">
        <v>3652</v>
      </c>
      <c r="BS36" s="916">
        <v>498</v>
      </c>
      <c r="BT36" s="916" t="s">
        <v>745</v>
      </c>
      <c r="BU36" s="916" t="s">
        <v>745</v>
      </c>
      <c r="BV36" s="916" t="s">
        <v>745</v>
      </c>
      <c r="BW36" s="916" t="s">
        <v>745</v>
      </c>
      <c r="BX36" s="916" t="s">
        <v>745</v>
      </c>
      <c r="BY36" s="916" t="s">
        <v>745</v>
      </c>
      <c r="BZ36" s="916" t="s">
        <v>709</v>
      </c>
      <c r="CA36" s="483"/>
    </row>
    <row r="37" spans="1:79" ht="15" customHeight="1" x14ac:dyDescent="0.25">
      <c r="A37" s="1439" t="s">
        <v>6816</v>
      </c>
      <c r="B37" s="1397" t="s">
        <v>771</v>
      </c>
      <c r="C37" s="1286" t="s">
        <v>8750</v>
      </c>
      <c r="D37" s="1440" t="s">
        <v>8751</v>
      </c>
      <c r="E37" s="1286" t="s">
        <v>8752</v>
      </c>
      <c r="F37" s="1397" t="s">
        <v>6874</v>
      </c>
      <c r="G37" s="1397" t="s">
        <v>8736</v>
      </c>
      <c r="H37" s="1397" t="s">
        <v>59</v>
      </c>
      <c r="I37" s="1441">
        <v>45700</v>
      </c>
      <c r="J37" s="1442">
        <v>45777</v>
      </c>
      <c r="K37" s="1398">
        <v>45777</v>
      </c>
      <c r="L37" s="1443">
        <v>0</v>
      </c>
      <c r="M37" s="1286"/>
      <c r="N37" s="1402" t="s">
        <v>739</v>
      </c>
      <c r="O37" s="1403">
        <v>45778</v>
      </c>
      <c r="P37" s="1404" t="s">
        <v>120</v>
      </c>
      <c r="Q37" s="1150">
        <v>78973.695899999992</v>
      </c>
      <c r="R37" s="887">
        <v>0.09</v>
      </c>
      <c r="S37" s="1287" t="s">
        <v>29</v>
      </c>
      <c r="T37" s="1287" t="s">
        <v>29</v>
      </c>
      <c r="U37" s="1150" t="s">
        <v>29</v>
      </c>
      <c r="V37" s="1405">
        <v>2683</v>
      </c>
      <c r="W37" s="1406">
        <v>0</v>
      </c>
      <c r="X37" s="1287">
        <v>846747.69</v>
      </c>
      <c r="Y37" s="891"/>
      <c r="Z37" s="1287">
        <v>30737.82</v>
      </c>
      <c r="AA37" s="1407">
        <v>877485.50999999989</v>
      </c>
      <c r="AB37" s="893">
        <v>45786</v>
      </c>
      <c r="AC37" s="894" t="s">
        <v>29</v>
      </c>
      <c r="AD37" s="1160" t="s">
        <v>29</v>
      </c>
      <c r="AE37" s="940" t="s">
        <v>756</v>
      </c>
      <c r="AF37" s="895" t="s">
        <v>756</v>
      </c>
      <c r="AG37" s="896" t="s">
        <v>376</v>
      </c>
      <c r="AH37" s="897" t="s">
        <v>376</v>
      </c>
      <c r="AI37" s="898">
        <v>23400</v>
      </c>
      <c r="AJ37" s="899">
        <v>0</v>
      </c>
      <c r="AK37" s="948">
        <v>0</v>
      </c>
      <c r="AL37" s="901">
        <v>0.29630118906464908</v>
      </c>
      <c r="AM37" s="1408" t="s">
        <v>116</v>
      </c>
      <c r="AN37" s="1409">
        <v>45831</v>
      </c>
      <c r="AO37" s="1410">
        <v>11100774</v>
      </c>
      <c r="AP37" s="1411">
        <v>860785.02</v>
      </c>
      <c r="AQ37" s="1411"/>
      <c r="AR37" s="1411">
        <v>31530.080000000002</v>
      </c>
      <c r="AS37" s="556">
        <f>IF(Table15910[[#This Row],[PCTS Approved]]="N",0,Table15910[[#This Row],[Investment Amount (1'#'#'#'#'#)]]+Table15910[[#This Row],[Retirement Amount (3'#'#'#'#'#)]])</f>
        <v>892315.1</v>
      </c>
      <c r="AT37" s="556">
        <f>IF(Table15910[[#This Row],[Approved Construction Cost]]=0,0,Table15910[[#This Row],[Approved Construction Cost]]-Table15910[[#This Row],[Construction Cost to Bill From]])</f>
        <v>14829.590000000084</v>
      </c>
      <c r="AU37" s="556">
        <f>IFERROR(Table15910[[#This Row],[Difference in Construction Cost]]*Table15910[[#This Row],[Rate]],Table15910[[#This Row],[Difference in Construction Cost]]*0.085)</f>
        <v>1334.6631000000075</v>
      </c>
      <c r="AV37" s="1412" t="s">
        <v>29</v>
      </c>
      <c r="AW37" s="1421" t="s">
        <v>8753</v>
      </c>
      <c r="AX37" s="1414"/>
      <c r="AY37" s="1415"/>
      <c r="AZ37" s="1416"/>
      <c r="BA37" s="1444" t="s">
        <v>8754</v>
      </c>
      <c r="BB37" s="1445" t="s">
        <v>8755</v>
      </c>
      <c r="BC37" s="1446" t="s">
        <v>9170</v>
      </c>
      <c r="BD37" s="1447" t="s">
        <v>709</v>
      </c>
      <c r="BE37" s="1448" t="s">
        <v>8756</v>
      </c>
      <c r="BF37" s="1448" t="s">
        <v>709</v>
      </c>
      <c r="BG37" s="1418" t="s">
        <v>709</v>
      </c>
      <c r="BH37" s="1420" t="s">
        <v>8757</v>
      </c>
      <c r="BI37" s="929" t="s">
        <v>745</v>
      </c>
      <c r="BJ37" s="929" t="s">
        <v>745</v>
      </c>
      <c r="BK37" s="916" t="s">
        <v>745</v>
      </c>
      <c r="BL37" s="916" t="s">
        <v>116</v>
      </c>
      <c r="BM37" s="916" t="s">
        <v>745</v>
      </c>
      <c r="BN37" s="916" t="s">
        <v>745</v>
      </c>
      <c r="BO37" s="916" t="s">
        <v>745</v>
      </c>
      <c r="BP37" s="916" t="s">
        <v>745</v>
      </c>
      <c r="BQ37" s="916" t="s">
        <v>745</v>
      </c>
      <c r="BR37" s="916">
        <v>110</v>
      </c>
      <c r="BS37" s="916">
        <v>2573</v>
      </c>
      <c r="BT37" s="916" t="s">
        <v>745</v>
      </c>
      <c r="BU37" s="916" t="s">
        <v>745</v>
      </c>
      <c r="BV37" s="916" t="s">
        <v>745</v>
      </c>
      <c r="BW37" s="916" t="s">
        <v>745</v>
      </c>
      <c r="BX37" s="916" t="s">
        <v>745</v>
      </c>
      <c r="BY37" s="916" t="s">
        <v>745</v>
      </c>
      <c r="BZ37" s="916" t="s">
        <v>745</v>
      </c>
      <c r="CA37" s="483" t="s">
        <v>1507</v>
      </c>
    </row>
    <row r="38" spans="1:79" ht="15" hidden="1" customHeight="1" x14ac:dyDescent="0.25">
      <c r="A38" s="1397">
        <v>2024</v>
      </c>
      <c r="B38" s="1397" t="s">
        <v>1205</v>
      </c>
      <c r="C38" s="1397" t="s">
        <v>8072</v>
      </c>
      <c r="D38" s="1397" t="s">
        <v>8224</v>
      </c>
      <c r="E38" s="1397" t="s">
        <v>141</v>
      </c>
      <c r="F38" s="1397" t="s">
        <v>6874</v>
      </c>
      <c r="G38" s="1397" t="s">
        <v>36</v>
      </c>
      <c r="H38" s="1397" t="s">
        <v>59</v>
      </c>
      <c r="I38" s="1398">
        <v>45587</v>
      </c>
      <c r="J38" s="1399">
        <v>45685</v>
      </c>
      <c r="K38" s="1398">
        <v>45684</v>
      </c>
      <c r="L38" s="1400">
        <v>1</v>
      </c>
      <c r="M38" s="1401"/>
      <c r="N38" s="1402" t="s">
        <v>739</v>
      </c>
      <c r="O38" s="1403">
        <v>45689</v>
      </c>
      <c r="P38" s="1404" t="s">
        <v>739</v>
      </c>
      <c r="Q38" s="1150">
        <v>37295.422199999994</v>
      </c>
      <c r="R38" s="920">
        <v>0.09</v>
      </c>
      <c r="S38" s="1287" t="s">
        <v>29</v>
      </c>
      <c r="T38" s="1287" t="s">
        <v>29</v>
      </c>
      <c r="U38" s="1150" t="s">
        <v>29</v>
      </c>
      <c r="V38" s="1405">
        <v>382</v>
      </c>
      <c r="W38" s="1406">
        <v>0</v>
      </c>
      <c r="X38" s="1407">
        <v>356426.99</v>
      </c>
      <c r="Y38" s="891"/>
      <c r="Z38" s="1407">
        <v>57966.59</v>
      </c>
      <c r="AA38" s="1287">
        <v>414393.57999999996</v>
      </c>
      <c r="AB38" s="893">
        <v>45694</v>
      </c>
      <c r="AC38" s="894" t="s">
        <v>116</v>
      </c>
      <c r="AD38" s="1162" t="s">
        <v>29</v>
      </c>
      <c r="AE38" s="940" t="s">
        <v>116</v>
      </c>
      <c r="AF38" s="940" t="s">
        <v>29</v>
      </c>
      <c r="AG38" s="896" t="s">
        <v>116</v>
      </c>
      <c r="AH38" s="940">
        <v>45707</v>
      </c>
      <c r="AI38" s="898">
        <v>17850</v>
      </c>
      <c r="AJ38" s="899">
        <v>0</v>
      </c>
      <c r="AK38" s="941">
        <v>10790.5</v>
      </c>
      <c r="AL38" s="901">
        <v>0.76793607125327046</v>
      </c>
      <c r="AM38" s="1408" t="s">
        <v>116</v>
      </c>
      <c r="AN38" s="1409">
        <v>45784</v>
      </c>
      <c r="AO38" s="1410">
        <v>11096171</v>
      </c>
      <c r="AP38" s="1411">
        <v>356745.22</v>
      </c>
      <c r="AQ38" s="1411"/>
      <c r="AR38" s="1411">
        <v>60474.19</v>
      </c>
      <c r="AS38" s="556">
        <f>IF(Table15910[[#This Row],[PCTS Approved]]="N",0,Table15910[[#This Row],[Investment Amount (1'#'#'#'#'#)]]+Table15910[[#This Row],[Retirement Amount (3'#'#'#'#'#)]])</f>
        <v>417219.41</v>
      </c>
      <c r="AT38" s="556">
        <f>IF(Table15910[[#This Row],[Approved Construction Cost]]=0,0,Table15910[[#This Row],[Approved Construction Cost]]-Table15910[[#This Row],[Construction Cost to Bill From]])</f>
        <v>2825.8300000000163</v>
      </c>
      <c r="AU38" s="556">
        <f>IFERROR(Table15910[[#This Row],[Difference in Construction Cost]]*Table15910[[#This Row],[Rate]],Table15910[[#This Row],[Difference in Construction Cost]]*0.085)</f>
        <v>254.32470000000146</v>
      </c>
      <c r="AV38" s="1412" t="s">
        <v>29</v>
      </c>
      <c r="AW38" s="1413" t="s">
        <v>8225</v>
      </c>
      <c r="AX38" s="1414"/>
      <c r="AY38" s="1415" t="s">
        <v>709</v>
      </c>
      <c r="AZ38" s="1416"/>
      <c r="BA38" s="1401" t="s">
        <v>8226</v>
      </c>
      <c r="BB38" s="1417" t="s">
        <v>8227</v>
      </c>
      <c r="BC38" s="1418" t="s">
        <v>709</v>
      </c>
      <c r="BD38" s="1418" t="s">
        <v>709</v>
      </c>
      <c r="BE38" s="1418" t="s">
        <v>709</v>
      </c>
      <c r="BF38" s="1418" t="s">
        <v>8228</v>
      </c>
      <c r="BG38" s="1419" t="s">
        <v>8229</v>
      </c>
      <c r="BH38" s="1420" t="s">
        <v>8230</v>
      </c>
      <c r="BI38" s="916" t="s">
        <v>116</v>
      </c>
      <c r="BJ38" s="916" t="s">
        <v>709</v>
      </c>
      <c r="BK38" s="916" t="s">
        <v>709</v>
      </c>
      <c r="BL38" s="916" t="s">
        <v>709</v>
      </c>
      <c r="BM38" s="916" t="s">
        <v>709</v>
      </c>
      <c r="BN38" s="916" t="s">
        <v>709</v>
      </c>
      <c r="BO38" s="916" t="s">
        <v>709</v>
      </c>
      <c r="BP38" s="944" t="s">
        <v>709</v>
      </c>
      <c r="BQ38" s="944">
        <v>382</v>
      </c>
      <c r="BR38" s="929" t="s">
        <v>709</v>
      </c>
      <c r="BS38" s="929" t="s">
        <v>709</v>
      </c>
      <c r="BT38" s="916" t="s">
        <v>709</v>
      </c>
      <c r="BU38" s="916" t="s">
        <v>709</v>
      </c>
      <c r="BV38" s="916" t="s">
        <v>709</v>
      </c>
      <c r="BW38" s="916" t="s">
        <v>709</v>
      </c>
      <c r="BX38" s="916" t="s">
        <v>709</v>
      </c>
      <c r="BY38" s="916" t="s">
        <v>709</v>
      </c>
      <c r="BZ38" s="916" t="s">
        <v>709</v>
      </c>
      <c r="CA38" s="483"/>
    </row>
    <row r="39" spans="1:79" ht="15" hidden="1" customHeight="1" x14ac:dyDescent="0.25">
      <c r="A39" s="1397">
        <v>2024</v>
      </c>
      <c r="B39" s="1397" t="s">
        <v>1205</v>
      </c>
      <c r="C39" s="1397" t="s">
        <v>8060</v>
      </c>
      <c r="D39" s="1397" t="s">
        <v>8232</v>
      </c>
      <c r="E39" s="1397" t="s">
        <v>309</v>
      </c>
      <c r="F39" s="1397" t="s">
        <v>6874</v>
      </c>
      <c r="G39" s="1397" t="s">
        <v>8233</v>
      </c>
      <c r="H39" s="1397" t="s">
        <v>59</v>
      </c>
      <c r="I39" s="1398">
        <v>45587</v>
      </c>
      <c r="J39" s="1399">
        <v>45685</v>
      </c>
      <c r="K39" s="1398">
        <v>45684</v>
      </c>
      <c r="L39" s="1400">
        <v>1</v>
      </c>
      <c r="M39" s="1401"/>
      <c r="N39" s="1402" t="s">
        <v>739</v>
      </c>
      <c r="O39" s="1403">
        <v>45689</v>
      </c>
      <c r="P39" s="1404" t="s">
        <v>739</v>
      </c>
      <c r="Q39" s="1150">
        <v>60118.366500000004</v>
      </c>
      <c r="R39" s="920">
        <v>0.09</v>
      </c>
      <c r="S39" s="1287" t="s">
        <v>29</v>
      </c>
      <c r="T39" s="1287" t="s">
        <v>29</v>
      </c>
      <c r="U39" s="1150" t="s">
        <v>29</v>
      </c>
      <c r="V39" s="1405">
        <v>1456</v>
      </c>
      <c r="W39" s="1406">
        <v>0</v>
      </c>
      <c r="X39" s="1407">
        <v>570966.81000000006</v>
      </c>
      <c r="Y39" s="891"/>
      <c r="Z39" s="1407">
        <v>97015.039999999994</v>
      </c>
      <c r="AA39" s="1287">
        <v>667981.85000000009</v>
      </c>
      <c r="AB39" s="893">
        <v>45687</v>
      </c>
      <c r="AC39" s="894" t="s">
        <v>116</v>
      </c>
      <c r="AD39" s="1162" t="s">
        <v>29</v>
      </c>
      <c r="AE39" s="940" t="s">
        <v>756</v>
      </c>
      <c r="AF39" s="940" t="s">
        <v>29</v>
      </c>
      <c r="AG39" s="896" t="s">
        <v>116</v>
      </c>
      <c r="AH39" s="940">
        <v>45707</v>
      </c>
      <c r="AI39" s="898">
        <v>19400</v>
      </c>
      <c r="AJ39" s="899">
        <v>0</v>
      </c>
      <c r="AK39" s="941">
        <v>4537</v>
      </c>
      <c r="AL39" s="901">
        <v>0.39816451100679856</v>
      </c>
      <c r="AM39" s="1408" t="s">
        <v>116</v>
      </c>
      <c r="AN39" s="1409">
        <v>45784</v>
      </c>
      <c r="AO39" s="1410">
        <v>11096172</v>
      </c>
      <c r="AP39" s="1411">
        <v>564550.35</v>
      </c>
      <c r="AQ39" s="1411"/>
      <c r="AR39" s="1411">
        <v>97015.039999999994</v>
      </c>
      <c r="AS39" s="556">
        <f>IF(Table15910[[#This Row],[PCTS Approved]]="N",0,Table15910[[#This Row],[Investment Amount (1'#'#'#'#'#)]]+Table15910[[#This Row],[Retirement Amount (3'#'#'#'#'#)]])</f>
        <v>661565.39</v>
      </c>
      <c r="AT39" s="556">
        <f>IF(Table15910[[#This Row],[Approved Construction Cost]]=0,0,Table15910[[#This Row],[Approved Construction Cost]]-Table15910[[#This Row],[Construction Cost to Bill From]])</f>
        <v>-6416.4600000000792</v>
      </c>
      <c r="AU39" s="556">
        <f>IFERROR(Table15910[[#This Row],[Difference in Construction Cost]]*Table15910[[#This Row],[Rate]],Table15910[[#This Row],[Difference in Construction Cost]]*0.085)</f>
        <v>-577.48140000000706</v>
      </c>
      <c r="AV39" s="1383" t="s">
        <v>29</v>
      </c>
      <c r="AW39" s="1421" t="s">
        <v>8234</v>
      </c>
      <c r="AX39" s="1414"/>
      <c r="AY39" s="1415" t="s">
        <v>709</v>
      </c>
      <c r="AZ39" s="1416"/>
      <c r="BA39" s="1401" t="s">
        <v>8235</v>
      </c>
      <c r="BB39" s="1417" t="s">
        <v>8236</v>
      </c>
      <c r="BC39" s="1418" t="s">
        <v>116</v>
      </c>
      <c r="BD39" s="1418" t="s">
        <v>709</v>
      </c>
      <c r="BE39" s="1418" t="s">
        <v>709</v>
      </c>
      <c r="BF39" s="1418" t="s">
        <v>709</v>
      </c>
      <c r="BG39" s="1419" t="s">
        <v>8237</v>
      </c>
      <c r="BH39" s="1420" t="s">
        <v>8238</v>
      </c>
      <c r="BI39" s="916" t="s">
        <v>709</v>
      </c>
      <c r="BJ39" s="916" t="s">
        <v>709</v>
      </c>
      <c r="BK39" s="916" t="s">
        <v>709</v>
      </c>
      <c r="BL39" s="916">
        <v>1456</v>
      </c>
      <c r="BM39" s="916" t="s">
        <v>709</v>
      </c>
      <c r="BN39" s="916">
        <v>1456</v>
      </c>
      <c r="BO39" s="916" t="s">
        <v>709</v>
      </c>
      <c r="BP39" s="944" t="s">
        <v>709</v>
      </c>
      <c r="BQ39" s="944" t="s">
        <v>709</v>
      </c>
      <c r="BR39" s="929" t="s">
        <v>29</v>
      </c>
      <c r="BS39" s="929" t="s">
        <v>709</v>
      </c>
      <c r="BT39" s="916" t="s">
        <v>709</v>
      </c>
      <c r="BU39" s="916" t="s">
        <v>709</v>
      </c>
      <c r="BV39" s="916" t="s">
        <v>709</v>
      </c>
      <c r="BW39" s="916" t="s">
        <v>709</v>
      </c>
      <c r="BX39" s="916" t="s">
        <v>709</v>
      </c>
      <c r="BY39" s="916" t="s">
        <v>709</v>
      </c>
      <c r="BZ39" s="916" t="s">
        <v>709</v>
      </c>
      <c r="CA39" s="483"/>
    </row>
    <row r="40" spans="1:79" ht="15" hidden="1" customHeight="1" x14ac:dyDescent="0.25">
      <c r="A40" s="1397">
        <v>2024</v>
      </c>
      <c r="B40" s="1397" t="s">
        <v>1205</v>
      </c>
      <c r="C40" s="1397" t="s">
        <v>8085</v>
      </c>
      <c r="D40" s="1397" t="s">
        <v>8675</v>
      </c>
      <c r="E40" s="1397" t="s">
        <v>8086</v>
      </c>
      <c r="F40" s="1397" t="s">
        <v>784</v>
      </c>
      <c r="G40" s="1397" t="s">
        <v>8264</v>
      </c>
      <c r="H40" s="1397" t="s">
        <v>59</v>
      </c>
      <c r="I40" s="1398">
        <v>45649</v>
      </c>
      <c r="J40" s="1014">
        <v>45776</v>
      </c>
      <c r="K40" s="1399">
        <v>45765</v>
      </c>
      <c r="L40" s="1400">
        <v>11</v>
      </c>
      <c r="M40" s="1398"/>
      <c r="N40" s="1402" t="s">
        <v>739</v>
      </c>
      <c r="O40" s="1403">
        <v>45778</v>
      </c>
      <c r="P40" s="1422" t="s">
        <v>739</v>
      </c>
      <c r="Q40" s="1150">
        <v>32256.877499999999</v>
      </c>
      <c r="R40" s="920">
        <v>0.09</v>
      </c>
      <c r="S40" s="1287" t="s">
        <v>29</v>
      </c>
      <c r="T40" s="1287" t="s">
        <v>29</v>
      </c>
      <c r="U40" s="1150" t="s">
        <v>29</v>
      </c>
      <c r="V40" s="1405">
        <v>119</v>
      </c>
      <c r="W40" s="1406">
        <v>0</v>
      </c>
      <c r="X40" s="1287">
        <v>300463.92</v>
      </c>
      <c r="Y40" s="891"/>
      <c r="Z40" s="1287">
        <v>57945.83</v>
      </c>
      <c r="AA40" s="1407">
        <v>358409.75</v>
      </c>
      <c r="AB40" s="893">
        <v>45772</v>
      </c>
      <c r="AC40" s="894" t="s">
        <v>116</v>
      </c>
      <c r="AD40" s="1160" t="s">
        <v>709</v>
      </c>
      <c r="AE40" s="895" t="s">
        <v>756</v>
      </c>
      <c r="AF40" s="895" t="s">
        <v>756</v>
      </c>
      <c r="AG40" s="895" t="s">
        <v>116</v>
      </c>
      <c r="AH40" s="940">
        <v>45806</v>
      </c>
      <c r="AI40" s="898">
        <v>16695</v>
      </c>
      <c r="AJ40" s="899">
        <v>0</v>
      </c>
      <c r="AK40" s="899">
        <v>0</v>
      </c>
      <c r="AL40" s="901">
        <v>0.51756404506294817</v>
      </c>
      <c r="AM40" s="1408" t="s">
        <v>116</v>
      </c>
      <c r="AN40" s="1409">
        <v>45793</v>
      </c>
      <c r="AO40" s="1410">
        <v>11098888</v>
      </c>
      <c r="AP40" s="1411">
        <v>300463.92</v>
      </c>
      <c r="AQ40" s="1411"/>
      <c r="AR40" s="1411">
        <v>57945.83</v>
      </c>
      <c r="AS40" s="556">
        <f>IF(Table15910[[#This Row],[PCTS Approved]]="N",0,Table15910[[#This Row],[Investment Amount (1'#'#'#'#'#)]]+Table15910[[#This Row],[Retirement Amount (3'#'#'#'#'#)]])</f>
        <v>358409.75</v>
      </c>
      <c r="AT40" s="556">
        <f>IF(Table15910[[#This Row],[Approved Construction Cost]]=0,0,Table15910[[#This Row],[Approved Construction Cost]]-Table15910[[#This Row],[Construction Cost to Bill From]])</f>
        <v>0</v>
      </c>
      <c r="AU40" s="556">
        <f>IFERROR(Table15910[[#This Row],[Difference in Construction Cost]]*Table15910[[#This Row],[Rate]],Table15910[[#This Row],[Difference in Construction Cost]]*0.085)</f>
        <v>0</v>
      </c>
      <c r="AV40" s="1412" t="s">
        <v>29</v>
      </c>
      <c r="AW40" s="1413" t="s">
        <v>29</v>
      </c>
      <c r="AX40" s="1414"/>
      <c r="AY40" s="1415"/>
      <c r="AZ40" s="1416"/>
      <c r="BA40" s="1398" t="s">
        <v>8676</v>
      </c>
      <c r="BB40" s="1423" t="s">
        <v>8677</v>
      </c>
      <c r="BC40" s="1424" t="s">
        <v>709</v>
      </c>
      <c r="BD40" s="1425" t="s">
        <v>709</v>
      </c>
      <c r="BE40" s="1426" t="s">
        <v>8071</v>
      </c>
      <c r="BF40" s="1426" t="s">
        <v>709</v>
      </c>
      <c r="BG40" s="1427" t="s">
        <v>29</v>
      </c>
      <c r="BH40" s="1428" t="s">
        <v>8678</v>
      </c>
      <c r="BI40" s="916" t="s">
        <v>745</v>
      </c>
      <c r="BJ40" s="916" t="s">
        <v>745</v>
      </c>
      <c r="BK40" s="916" t="s">
        <v>116</v>
      </c>
      <c r="BL40" s="916" t="s">
        <v>709</v>
      </c>
      <c r="BM40" s="916">
        <v>0</v>
      </c>
      <c r="BN40" s="916">
        <v>0</v>
      </c>
      <c r="BO40" s="916">
        <v>0</v>
      </c>
      <c r="BP40" s="916">
        <v>119</v>
      </c>
      <c r="BQ40" s="916">
        <v>0</v>
      </c>
      <c r="BR40" s="916">
        <v>0</v>
      </c>
      <c r="BS40" s="916">
        <v>0</v>
      </c>
      <c r="BT40" s="916">
        <v>0</v>
      </c>
      <c r="BU40" s="916">
        <v>0</v>
      </c>
      <c r="BV40" s="916">
        <v>0</v>
      </c>
      <c r="BW40" s="916">
        <v>0</v>
      </c>
      <c r="BX40" s="916">
        <v>0</v>
      </c>
      <c r="BY40" s="916">
        <v>0</v>
      </c>
      <c r="BZ40" s="916">
        <v>0</v>
      </c>
      <c r="CA40" s="483"/>
    </row>
    <row r="41" spans="1:79" ht="15" customHeight="1" x14ac:dyDescent="0.25">
      <c r="A41" s="656">
        <v>2023</v>
      </c>
      <c r="B41" s="656" t="s">
        <v>1205</v>
      </c>
      <c r="C41" s="656" t="s">
        <v>515</v>
      </c>
      <c r="D41" s="656" t="s">
        <v>1508</v>
      </c>
      <c r="E41" s="656" t="s">
        <v>1509</v>
      </c>
      <c r="F41" s="656" t="s">
        <v>747</v>
      </c>
      <c r="G41" s="656" t="s">
        <v>22</v>
      </c>
      <c r="H41" s="737" t="s">
        <v>59</v>
      </c>
      <c r="I41" s="1375">
        <v>44790</v>
      </c>
      <c r="J41" s="1052">
        <v>45107</v>
      </c>
      <c r="K41" s="1376">
        <v>45064</v>
      </c>
      <c r="L41" s="1377">
        <v>43</v>
      </c>
      <c r="M41" s="1375"/>
      <c r="N41" s="1375" t="s">
        <v>120</v>
      </c>
      <c r="O41" s="1059">
        <v>45078</v>
      </c>
      <c r="P41" s="1378" t="s">
        <v>120</v>
      </c>
      <c r="Q41" s="340">
        <v>61998.634799999993</v>
      </c>
      <c r="R41" s="1026">
        <v>0.09</v>
      </c>
      <c r="S41" s="556"/>
      <c r="T41" s="556"/>
      <c r="U41" s="1061"/>
      <c r="V41" s="1184">
        <v>2082</v>
      </c>
      <c r="W41" s="1186">
        <v>0</v>
      </c>
      <c r="X41" s="570">
        <v>581681.93999999994</v>
      </c>
      <c r="Y41" s="591"/>
      <c r="Z41" s="570">
        <v>107191.78</v>
      </c>
      <c r="AA41" s="570">
        <v>688873.72</v>
      </c>
      <c r="AB41" s="341">
        <v>45091</v>
      </c>
      <c r="AC41" s="568" t="s">
        <v>1441</v>
      </c>
      <c r="AD41" s="1157" t="s">
        <v>29</v>
      </c>
      <c r="AE41" s="579"/>
      <c r="AF41" s="579"/>
      <c r="AG41" s="579"/>
      <c r="AH41" s="553"/>
      <c r="AI41" s="1036"/>
      <c r="AJ41" s="1037"/>
      <c r="AK41" s="1037"/>
      <c r="AL41" s="1038"/>
      <c r="AM41" s="1379" t="s">
        <v>116</v>
      </c>
      <c r="AN41" s="1380">
        <v>45839</v>
      </c>
      <c r="AO41" s="1381">
        <v>11033946</v>
      </c>
      <c r="AP41" s="1382">
        <v>814682.29</v>
      </c>
      <c r="AQ41" s="1382"/>
      <c r="AR41" s="1382">
        <v>90127.87</v>
      </c>
      <c r="AS41" s="556">
        <f>IF(Table15910[[#This Row],[PCTS Approved]]="N",0,Table15910[[#This Row],[Investment Amount (1'#'#'#'#'#)]]+Table15910[[#This Row],[Retirement Amount (3'#'#'#'#'#)]])</f>
        <v>904810.16</v>
      </c>
      <c r="AT41" s="556">
        <f>IF(Table15910[[#This Row],[Approved Construction Cost]]=0,0,Table15910[[#This Row],[Approved Construction Cost]]-Table15910[[#This Row],[Construction Cost to Bill From]])</f>
        <v>215936.44000000006</v>
      </c>
      <c r="AU41" s="556">
        <f>IFERROR(Table15910[[#This Row],[Difference in Construction Cost]]*Table15910[[#This Row],[Rate]],Table15910[[#This Row],[Difference in Construction Cost]]*0.085)</f>
        <v>19434.279600000005</v>
      </c>
      <c r="AV41" s="1382">
        <v>16587.5</v>
      </c>
      <c r="AW41" s="1394" t="s">
        <v>5649</v>
      </c>
      <c r="AX41" s="556"/>
      <c r="AY41" s="1386" t="s">
        <v>709</v>
      </c>
      <c r="AZ41" s="1387">
        <v>44</v>
      </c>
      <c r="BA41" s="1395" t="s">
        <v>1510</v>
      </c>
      <c r="BB41" s="1389" t="s">
        <v>1511</v>
      </c>
      <c r="BC41" s="1082" t="s">
        <v>709</v>
      </c>
      <c r="BD41" s="1082" t="s">
        <v>115</v>
      </c>
      <c r="BE41" s="1082" t="s">
        <v>115</v>
      </c>
      <c r="BF41" s="1082" t="s">
        <v>1512</v>
      </c>
      <c r="BG41" s="1082" t="s">
        <v>115</v>
      </c>
      <c r="BH41" s="1396" t="s">
        <v>1513</v>
      </c>
      <c r="BI41" s="547" t="s">
        <v>709</v>
      </c>
      <c r="BJ41" s="547" t="s">
        <v>116</v>
      </c>
      <c r="BK41" s="547" t="s">
        <v>709</v>
      </c>
      <c r="BL41" s="547" t="s">
        <v>709</v>
      </c>
      <c r="BM41" s="547" t="s">
        <v>709</v>
      </c>
      <c r="BN41" s="547" t="s">
        <v>709</v>
      </c>
      <c r="BO41" s="547" t="s">
        <v>709</v>
      </c>
      <c r="BP41" s="547">
        <v>2082</v>
      </c>
      <c r="BQ41" s="547" t="s">
        <v>709</v>
      </c>
      <c r="BR41" s="547" t="s">
        <v>709</v>
      </c>
      <c r="BS41" s="547" t="s">
        <v>709</v>
      </c>
      <c r="BT41" s="547" t="s">
        <v>745</v>
      </c>
      <c r="BU41" s="547" t="s">
        <v>709</v>
      </c>
      <c r="BV41" s="547" t="s">
        <v>745</v>
      </c>
      <c r="BW41" s="547" t="s">
        <v>709</v>
      </c>
      <c r="BX41" s="547" t="s">
        <v>745</v>
      </c>
      <c r="BY41" s="547" t="s">
        <v>745</v>
      </c>
      <c r="BZ41" s="547" t="s">
        <v>709</v>
      </c>
      <c r="CA41" s="483"/>
    </row>
    <row r="42" spans="1:79" ht="15" hidden="1" customHeight="1" x14ac:dyDescent="0.25">
      <c r="A42" s="8">
        <v>2024</v>
      </c>
      <c r="B42" s="8" t="s">
        <v>4</v>
      </c>
      <c r="C42" s="8" t="s">
        <v>1821</v>
      </c>
      <c r="D42" s="8" t="s">
        <v>1822</v>
      </c>
      <c r="E42" s="8" t="s">
        <v>1154</v>
      </c>
      <c r="F42" s="8" t="s">
        <v>1102</v>
      </c>
      <c r="G42" s="8" t="s">
        <v>26</v>
      </c>
      <c r="H42" s="8" t="s">
        <v>59</v>
      </c>
      <c r="I42" s="642">
        <v>45348</v>
      </c>
      <c r="J42" s="777">
        <v>45457</v>
      </c>
      <c r="K42" s="97">
        <v>45448</v>
      </c>
      <c r="L42" s="16">
        <v>9</v>
      </c>
      <c r="M42" s="16"/>
      <c r="N42" s="642" t="s">
        <v>120</v>
      </c>
      <c r="O42" s="1060">
        <v>45444</v>
      </c>
      <c r="P42" s="1152" t="s">
        <v>739</v>
      </c>
      <c r="Q42" s="340">
        <v>45482.546000000002</v>
      </c>
      <c r="R42" s="1026">
        <v>0.1</v>
      </c>
      <c r="S42" s="538"/>
      <c r="T42" s="538"/>
      <c r="U42" s="87"/>
      <c r="V42" s="858">
        <v>1529</v>
      </c>
      <c r="W42" s="437">
        <v>0</v>
      </c>
      <c r="X42" s="538">
        <v>401411.53</v>
      </c>
      <c r="Y42" s="551"/>
      <c r="Z42" s="552">
        <v>53413.93</v>
      </c>
      <c r="AA42" s="552">
        <v>454825.46</v>
      </c>
      <c r="AB42" s="341">
        <v>45422</v>
      </c>
      <c r="AC42" s="569" t="s">
        <v>709</v>
      </c>
      <c r="AD42" s="1149" t="s">
        <v>29</v>
      </c>
      <c r="AE42" s="569" t="s">
        <v>116</v>
      </c>
      <c r="AF42" s="569" t="s">
        <v>116</v>
      </c>
      <c r="AG42" s="569" t="s">
        <v>116</v>
      </c>
      <c r="AH42" s="183">
        <v>45525</v>
      </c>
      <c r="AI42" s="1028"/>
      <c r="AJ42" s="1029">
        <v>4200</v>
      </c>
      <c r="AK42" s="1029">
        <v>8015.75</v>
      </c>
      <c r="AL42" s="1030">
        <v>0.26858105084970396</v>
      </c>
      <c r="AM42" s="536" t="s">
        <v>116</v>
      </c>
      <c r="AN42" s="801" t="s">
        <v>709</v>
      </c>
      <c r="AO42" s="601"/>
      <c r="AP42" s="572"/>
      <c r="AQ42" s="572"/>
      <c r="AR42" s="572"/>
      <c r="AS42" s="538">
        <f>IF(Table15910[[#This Row],[PCTS Approved]]="N",0,Table15910[[#This Row],[Investment Amount (1'#'#'#'#'#)]]+Table15910[[#This Row],[Retirement Amount (3'#'#'#'#'#)]])</f>
        <v>0</v>
      </c>
      <c r="AT42" s="538">
        <f>IF(Table15910[[#This Row],[Approved Construction Cost]]=0,0,Table15910[[#This Row],[Approved Construction Cost]]-Table15910[[#This Row],[Construction Cost to Bill From]])</f>
        <v>0</v>
      </c>
      <c r="AU42" s="538">
        <f>IFERROR(Table15910[[#This Row],[Difference in Construction Cost]]*Table15910[[#This Row],[Rate]],Table15910[[#This Row],[Difference in Construction Cost]]*0.085)</f>
        <v>0</v>
      </c>
      <c r="AV42" s="602"/>
      <c r="AW42" s="640"/>
      <c r="AX42" s="555"/>
      <c r="AY42" s="1035" t="s">
        <v>709</v>
      </c>
      <c r="AZ42" s="443">
        <v>143</v>
      </c>
      <c r="BA42" s="1031" t="s">
        <v>1823</v>
      </c>
      <c r="BB42" s="644" t="s">
        <v>1092</v>
      </c>
      <c r="BC42" s="559" t="s">
        <v>116</v>
      </c>
      <c r="BD42" s="554" t="s">
        <v>115</v>
      </c>
      <c r="BE42" s="588" t="s">
        <v>115</v>
      </c>
      <c r="BF42" s="588" t="s">
        <v>1381</v>
      </c>
      <c r="BG42" s="588" t="s">
        <v>115</v>
      </c>
      <c r="BH42" s="615" t="s">
        <v>1824</v>
      </c>
      <c r="BI42" s="547" t="s">
        <v>709</v>
      </c>
      <c r="BJ42" s="547" t="s">
        <v>709</v>
      </c>
      <c r="BK42" s="547" t="s">
        <v>709</v>
      </c>
      <c r="BL42" s="547" t="s">
        <v>116</v>
      </c>
      <c r="BM42" s="547" t="s">
        <v>709</v>
      </c>
      <c r="BN42" s="547" t="s">
        <v>709</v>
      </c>
      <c r="BO42" s="547" t="s">
        <v>709</v>
      </c>
      <c r="BP42" s="547" t="s">
        <v>709</v>
      </c>
      <c r="BQ42" s="547" t="s">
        <v>709</v>
      </c>
      <c r="BR42" s="549">
        <v>273</v>
      </c>
      <c r="BS42" s="549">
        <v>1256</v>
      </c>
      <c r="BT42" s="547" t="s">
        <v>709</v>
      </c>
      <c r="BU42" s="547" t="s">
        <v>709</v>
      </c>
      <c r="BV42" s="547" t="s">
        <v>709</v>
      </c>
      <c r="BW42" s="547" t="s">
        <v>709</v>
      </c>
      <c r="BX42" s="547" t="s">
        <v>709</v>
      </c>
      <c r="BY42" s="547" t="s">
        <v>709</v>
      </c>
      <c r="BZ42" s="547" t="s">
        <v>709</v>
      </c>
      <c r="CA42" s="483" t="s">
        <v>1022</v>
      </c>
    </row>
    <row r="43" spans="1:79" ht="15" hidden="1" customHeight="1" x14ac:dyDescent="0.25">
      <c r="A43" s="8" t="s">
        <v>749</v>
      </c>
      <c r="B43" s="8" t="s">
        <v>4</v>
      </c>
      <c r="C43" s="1497" t="s">
        <v>1233</v>
      </c>
      <c r="D43" s="8" t="s">
        <v>1234</v>
      </c>
      <c r="E43" s="8" t="s">
        <v>1101</v>
      </c>
      <c r="F43" s="8" t="s">
        <v>919</v>
      </c>
      <c r="G43" s="8" t="s">
        <v>25</v>
      </c>
      <c r="H43" s="8" t="s">
        <v>59</v>
      </c>
      <c r="I43" s="642">
        <v>44188</v>
      </c>
      <c r="J43" s="18">
        <v>44610</v>
      </c>
      <c r="K43" s="97">
        <v>44539</v>
      </c>
      <c r="L43" s="16">
        <v>71</v>
      </c>
      <c r="M43" s="642"/>
      <c r="N43" s="642" t="s">
        <v>120</v>
      </c>
      <c r="O43" s="1025">
        <v>44539</v>
      </c>
      <c r="P43" s="21" t="s">
        <v>739</v>
      </c>
      <c r="Q43" s="340">
        <v>179188.223</v>
      </c>
      <c r="R43" s="1026">
        <v>0.1</v>
      </c>
      <c r="S43" s="538" t="s">
        <v>709</v>
      </c>
      <c r="T43" s="538" t="s">
        <v>709</v>
      </c>
      <c r="U43" s="87" t="s">
        <v>709</v>
      </c>
      <c r="V43" s="858">
        <v>5487</v>
      </c>
      <c r="W43" s="437"/>
      <c r="X43" s="556">
        <v>1669599.84</v>
      </c>
      <c r="Y43" s="591"/>
      <c r="Z43" s="556">
        <v>122282.39</v>
      </c>
      <c r="AA43" s="538">
        <v>1791882.23</v>
      </c>
      <c r="AB43" s="341"/>
      <c r="AC43" s="568" t="s">
        <v>116</v>
      </c>
      <c r="AD43" s="1157"/>
      <c r="AE43" s="579"/>
      <c r="AF43" s="579"/>
      <c r="AG43" s="579"/>
      <c r="AH43" s="553"/>
      <c r="AI43" s="1036"/>
      <c r="AJ43" s="1037"/>
      <c r="AK43" s="1037"/>
      <c r="AL43" s="1038"/>
      <c r="AM43" s="536" t="s">
        <v>116</v>
      </c>
      <c r="AN43" s="801">
        <v>45547</v>
      </c>
      <c r="AO43" s="806">
        <v>11033224</v>
      </c>
      <c r="AP43" s="718">
        <v>1812529.87</v>
      </c>
      <c r="AQ43" s="689"/>
      <c r="AR43" s="718">
        <v>140109.29</v>
      </c>
      <c r="AS43" s="538">
        <f>IF(Table15910[[#This Row],[PCTS Approved]]="N",0,Table15910[[#This Row],[Investment Amount (1'#'#'#'#'#)]]+Table15910[[#This Row],[Retirement Amount (3'#'#'#'#'#)]])</f>
        <v>1952639.1600000001</v>
      </c>
      <c r="AT43" s="538">
        <f>IF(Table15910[[#This Row],[Approved Construction Cost]]=0,0,Table15910[[#This Row],[Approved Construction Cost]]-Table15910[[#This Row],[Construction Cost to Bill From]])</f>
        <v>160756.93000000017</v>
      </c>
      <c r="AU43" s="538">
        <f>IFERROR(Table15910[[#This Row],[Difference in Construction Cost]]*Table15910[[#This Row],[Rate]],Table15910[[#This Row],[Difference in Construction Cost]]*0.085)</f>
        <v>16075.693000000017</v>
      </c>
      <c r="AV43" s="1311">
        <f>35439.5+3750+3590</f>
        <v>42779.5</v>
      </c>
      <c r="AW43" s="1454" t="s">
        <v>3877</v>
      </c>
      <c r="AX43" s="538"/>
      <c r="AY43" s="694" t="s">
        <v>709</v>
      </c>
      <c r="AZ43" s="443">
        <v>64</v>
      </c>
      <c r="BA43" s="859" t="s">
        <v>1235</v>
      </c>
      <c r="BB43" s="644" t="s">
        <v>1236</v>
      </c>
      <c r="BC43" s="1243" t="s">
        <v>116</v>
      </c>
      <c r="BD43" s="1242" t="s">
        <v>882</v>
      </c>
      <c r="BE43" s="1242" t="s">
        <v>1106</v>
      </c>
      <c r="BF43" s="1242" t="s">
        <v>709</v>
      </c>
      <c r="BG43" s="1242" t="s">
        <v>709</v>
      </c>
      <c r="BH43" s="741"/>
      <c r="BI43" s="547" t="s">
        <v>709</v>
      </c>
      <c r="BJ43" s="547" t="s">
        <v>709</v>
      </c>
      <c r="BK43" s="547" t="s">
        <v>709</v>
      </c>
      <c r="BL43" s="547" t="s">
        <v>116</v>
      </c>
      <c r="BM43" s="547" t="s">
        <v>709</v>
      </c>
      <c r="BN43" s="547" t="s">
        <v>709</v>
      </c>
      <c r="BO43" s="547" t="s">
        <v>709</v>
      </c>
      <c r="BP43" s="547">
        <v>1747</v>
      </c>
      <c r="BQ43" s="547">
        <v>498</v>
      </c>
      <c r="BR43" s="547">
        <v>1564</v>
      </c>
      <c r="BS43" s="547">
        <v>1588</v>
      </c>
      <c r="BT43" s="547">
        <v>1</v>
      </c>
      <c r="BU43" s="547" t="s">
        <v>709</v>
      </c>
      <c r="BV43" s="547" t="s">
        <v>745</v>
      </c>
      <c r="BW43" s="547" t="s">
        <v>709</v>
      </c>
      <c r="BX43" s="547">
        <v>1</v>
      </c>
      <c r="BY43" s="547" t="s">
        <v>745</v>
      </c>
      <c r="BZ43" s="547" t="s">
        <v>709</v>
      </c>
      <c r="CA43" s="483"/>
    </row>
    <row r="44" spans="1:79" ht="15" hidden="1" customHeight="1" x14ac:dyDescent="0.25">
      <c r="A44" s="8" t="s">
        <v>800</v>
      </c>
      <c r="B44" s="8" t="s">
        <v>4</v>
      </c>
      <c r="C44" s="8" t="s">
        <v>6606</v>
      </c>
      <c r="D44" s="8" t="s">
        <v>6607</v>
      </c>
      <c r="E44" s="8" t="s">
        <v>149</v>
      </c>
      <c r="F44" s="8" t="s">
        <v>784</v>
      </c>
      <c r="G44" s="8" t="s">
        <v>26</v>
      </c>
      <c r="H44" s="8" t="s">
        <v>59</v>
      </c>
      <c r="I44" s="642">
        <v>45380</v>
      </c>
      <c r="J44" s="18">
        <v>45566</v>
      </c>
      <c r="K44" s="97">
        <v>45565</v>
      </c>
      <c r="L44" s="16">
        <v>1</v>
      </c>
      <c r="M44" s="642"/>
      <c r="N44" s="99" t="s">
        <v>120</v>
      </c>
      <c r="O44" s="1060">
        <v>45566</v>
      </c>
      <c r="P44" s="1152" t="s">
        <v>739</v>
      </c>
      <c r="Q44" s="340">
        <v>88481.532000000007</v>
      </c>
      <c r="R44" s="1026">
        <v>0.1</v>
      </c>
      <c r="S44" s="538" t="s">
        <v>29</v>
      </c>
      <c r="T44" s="538" t="s">
        <v>29</v>
      </c>
      <c r="U44" s="28" t="s">
        <v>29</v>
      </c>
      <c r="V44" s="858">
        <v>939</v>
      </c>
      <c r="W44" s="343" t="s">
        <v>29</v>
      </c>
      <c r="X44" s="538">
        <v>849401.39</v>
      </c>
      <c r="Y44" s="550"/>
      <c r="Z44" s="552">
        <v>35413.93</v>
      </c>
      <c r="AA44" s="552">
        <v>884815.32000000007</v>
      </c>
      <c r="AB44" s="341">
        <v>45568</v>
      </c>
      <c r="AC44" s="569" t="s">
        <v>29</v>
      </c>
      <c r="AD44" s="1149" t="s">
        <v>29</v>
      </c>
      <c r="AE44" s="568" t="s">
        <v>116</v>
      </c>
      <c r="AF44" s="569" t="s">
        <v>756</v>
      </c>
      <c r="AG44" s="568" t="s">
        <v>376</v>
      </c>
      <c r="AH44" s="183">
        <v>45580</v>
      </c>
      <c r="AI44" s="1125">
        <v>16050</v>
      </c>
      <c r="AJ44" s="1110">
        <v>8750</v>
      </c>
      <c r="AK44" s="1110">
        <v>9150.75</v>
      </c>
      <c r="AL44" s="1108">
        <v>0.38370436443166467</v>
      </c>
      <c r="AM44" s="536" t="s">
        <v>116</v>
      </c>
      <c r="AN44" s="801">
        <v>45849</v>
      </c>
      <c r="AO44" s="806">
        <v>11102781</v>
      </c>
      <c r="AP44" s="718">
        <v>859185.94</v>
      </c>
      <c r="AQ44" s="718"/>
      <c r="AR44" s="718">
        <v>36154.660000000003</v>
      </c>
      <c r="AS44" s="538">
        <f>IF(Table15910[[#This Row],[PCTS Approved]]="N",0,Table15910[[#This Row],[Investment Amount (1'#'#'#'#'#)]]+Table15910[[#This Row],[Retirement Amount (3'#'#'#'#'#)]])</f>
        <v>895340.6</v>
      </c>
      <c r="AT44" s="538">
        <f>IF(Table15910[[#This Row],[Approved Construction Cost]]=0,0,Table15910[[#This Row],[Approved Construction Cost]]-Table15910[[#This Row],[Construction Cost to Bill From]])</f>
        <v>10525.279999999912</v>
      </c>
      <c r="AU44" s="538">
        <f>IFERROR(Table15910[[#This Row],[Difference in Construction Cost]]*Table15910[[#This Row],[Rate]],Table15910[[#This Row],[Difference in Construction Cost]]*0.085)</f>
        <v>1052.5279999999912</v>
      </c>
      <c r="AV44" s="804">
        <v>11717.5</v>
      </c>
      <c r="AW44" s="1358" t="s">
        <v>9171</v>
      </c>
      <c r="AX44" s="555"/>
      <c r="AY44" s="1035" t="s">
        <v>709</v>
      </c>
      <c r="AZ44" s="443"/>
      <c r="BA44" s="1031" t="s">
        <v>6608</v>
      </c>
      <c r="BB44" s="644" t="s">
        <v>5572</v>
      </c>
      <c r="BC44" s="544" t="s">
        <v>115</v>
      </c>
      <c r="BD44" s="554" t="s">
        <v>115</v>
      </c>
      <c r="BE44" s="554" t="s">
        <v>5573</v>
      </c>
      <c r="BF44" s="588" t="s">
        <v>115</v>
      </c>
      <c r="BG44" s="588" t="s">
        <v>115</v>
      </c>
      <c r="BH44" s="615" t="s">
        <v>6609</v>
      </c>
      <c r="BI44" s="626" t="s">
        <v>709</v>
      </c>
      <c r="BJ44" s="626" t="s">
        <v>709</v>
      </c>
      <c r="BK44" s="547" t="s">
        <v>116</v>
      </c>
      <c r="BL44" s="549" t="s">
        <v>709</v>
      </c>
      <c r="BM44" s="549" t="s">
        <v>709</v>
      </c>
      <c r="BN44" s="549" t="s">
        <v>709</v>
      </c>
      <c r="BO44" s="549" t="s">
        <v>709</v>
      </c>
      <c r="BP44" s="549" t="s">
        <v>709</v>
      </c>
      <c r="BQ44" s="549">
        <v>939</v>
      </c>
      <c r="BR44" s="549" t="s">
        <v>709</v>
      </c>
      <c r="BS44" s="549" t="s">
        <v>709</v>
      </c>
      <c r="BT44" s="549" t="s">
        <v>745</v>
      </c>
      <c r="BU44" s="549" t="s">
        <v>709</v>
      </c>
      <c r="BV44" s="549" t="s">
        <v>745</v>
      </c>
      <c r="BW44" s="549" t="s">
        <v>709</v>
      </c>
      <c r="BX44" s="549" t="s">
        <v>745</v>
      </c>
      <c r="BY44" s="549" t="s">
        <v>745</v>
      </c>
      <c r="BZ44" s="547" t="s">
        <v>709</v>
      </c>
      <c r="CA44" s="483"/>
    </row>
    <row r="45" spans="1:79" ht="15" hidden="1" customHeight="1" x14ac:dyDescent="0.25">
      <c r="A45" s="8">
        <v>2024</v>
      </c>
      <c r="B45" s="8" t="s">
        <v>4</v>
      </c>
      <c r="C45" s="1497" t="s">
        <v>1761</v>
      </c>
      <c r="D45" s="8" t="s">
        <v>1762</v>
      </c>
      <c r="E45" s="8" t="s">
        <v>1763</v>
      </c>
      <c r="F45" s="8" t="s">
        <v>784</v>
      </c>
      <c r="G45" s="8" t="s">
        <v>31</v>
      </c>
      <c r="H45" s="8" t="s">
        <v>413</v>
      </c>
      <c r="I45" s="642">
        <v>45251</v>
      </c>
      <c r="J45" s="18">
        <v>45401</v>
      </c>
      <c r="K45" s="97">
        <v>45399</v>
      </c>
      <c r="L45" s="16">
        <v>2</v>
      </c>
      <c r="M45" s="642"/>
      <c r="N45" s="642" t="s">
        <v>120</v>
      </c>
      <c r="O45" s="1060">
        <v>45383</v>
      </c>
      <c r="P45" s="1152" t="s">
        <v>739</v>
      </c>
      <c r="Q45" s="340">
        <v>39601.827000000005</v>
      </c>
      <c r="R45" s="1026">
        <v>0.1</v>
      </c>
      <c r="S45" s="538"/>
      <c r="T45" s="538"/>
      <c r="U45" s="87"/>
      <c r="V45" s="858">
        <v>869</v>
      </c>
      <c r="W45" s="437">
        <v>0</v>
      </c>
      <c r="X45" s="556">
        <v>329235.82</v>
      </c>
      <c r="Y45" s="551"/>
      <c r="Z45" s="570">
        <v>66782.45</v>
      </c>
      <c r="AA45" s="552">
        <v>396018.27</v>
      </c>
      <c r="AB45" s="341">
        <v>45392</v>
      </c>
      <c r="AC45" s="569" t="s">
        <v>709</v>
      </c>
      <c r="AD45" s="1149" t="s">
        <v>29</v>
      </c>
      <c r="AE45" s="568" t="s">
        <v>116</v>
      </c>
      <c r="AF45" s="568" t="s">
        <v>116</v>
      </c>
      <c r="AG45" s="568" t="s">
        <v>116</v>
      </c>
      <c r="AH45" s="183">
        <v>45475</v>
      </c>
      <c r="AI45" s="1028">
        <v>0</v>
      </c>
      <c r="AJ45" s="1029">
        <v>5478.94</v>
      </c>
      <c r="AK45" s="1029">
        <v>5202.75</v>
      </c>
      <c r="AL45" s="1030">
        <v>0.26972720223236157</v>
      </c>
      <c r="AM45" s="536" t="s">
        <v>116</v>
      </c>
      <c r="AN45" s="801">
        <v>45540</v>
      </c>
      <c r="AO45" s="806">
        <v>11090611</v>
      </c>
      <c r="AP45" s="718">
        <v>335487.15000000002</v>
      </c>
      <c r="AQ45" s="682"/>
      <c r="AR45" s="718">
        <v>66866.66</v>
      </c>
      <c r="AS45" s="538">
        <f>IF(Table15910[[#This Row],[PCTS Approved]]="N",0,Table15910[[#This Row],[Investment Amount (1'#'#'#'#'#)]]+Table15910[[#This Row],[Retirement Amount (3'#'#'#'#'#)]])</f>
        <v>402353.81000000006</v>
      </c>
      <c r="AT45" s="538">
        <f>IF(Table15910[[#This Row],[Approved Construction Cost]]=0,0,Table15910[[#This Row],[Approved Construction Cost]]-Table15910[[#This Row],[Construction Cost to Bill From]])</f>
        <v>6335.5400000000373</v>
      </c>
      <c r="AU45" s="538">
        <f>IFERROR(Table15910[[#This Row],[Difference in Construction Cost]]*Table15910[[#This Row],[Rate]],Table15910[[#This Row],[Difference in Construction Cost]]*0.085)</f>
        <v>633.55400000000373</v>
      </c>
      <c r="AV45" s="1357" t="s">
        <v>29</v>
      </c>
      <c r="AW45" s="783" t="s">
        <v>6251</v>
      </c>
      <c r="AX45" s="555"/>
      <c r="AY45" s="1035" t="s">
        <v>709</v>
      </c>
      <c r="AZ45" s="443">
        <v>134</v>
      </c>
      <c r="BA45" s="1074" t="s">
        <v>1764</v>
      </c>
      <c r="BB45" s="644" t="s">
        <v>1765</v>
      </c>
      <c r="BC45" s="544" t="s">
        <v>115</v>
      </c>
      <c r="BD45" s="554" t="s">
        <v>882</v>
      </c>
      <c r="BE45" s="588" t="s">
        <v>1766</v>
      </c>
      <c r="BF45" s="588" t="s">
        <v>1767</v>
      </c>
      <c r="BG45" s="588" t="s">
        <v>115</v>
      </c>
      <c r="BH45" s="615" t="s">
        <v>1768</v>
      </c>
      <c r="BI45" s="547" t="s">
        <v>709</v>
      </c>
      <c r="BJ45" s="549" t="s">
        <v>709</v>
      </c>
      <c r="BK45" s="547" t="s">
        <v>709</v>
      </c>
      <c r="BL45" s="547" t="s">
        <v>116</v>
      </c>
      <c r="BM45" s="626" t="s">
        <v>709</v>
      </c>
      <c r="BN45" s="626" t="s">
        <v>709</v>
      </c>
      <c r="BO45" s="626" t="s">
        <v>709</v>
      </c>
      <c r="BP45" s="626" t="s">
        <v>709</v>
      </c>
      <c r="BQ45" s="626" t="s">
        <v>709</v>
      </c>
      <c r="BR45" s="549" t="s">
        <v>709</v>
      </c>
      <c r="BS45" s="549">
        <v>869</v>
      </c>
      <c r="BT45" s="549" t="s">
        <v>709</v>
      </c>
      <c r="BU45" s="549" t="s">
        <v>709</v>
      </c>
      <c r="BV45" s="549" t="s">
        <v>709</v>
      </c>
      <c r="BW45" s="549" t="s">
        <v>709</v>
      </c>
      <c r="BX45" s="547" t="s">
        <v>709</v>
      </c>
      <c r="BY45" s="549" t="s">
        <v>709</v>
      </c>
      <c r="BZ45" s="547" t="s">
        <v>709</v>
      </c>
      <c r="CA45" s="483"/>
    </row>
    <row r="46" spans="1:79" ht="15" hidden="1" customHeight="1" x14ac:dyDescent="0.25">
      <c r="A46" s="8">
        <v>2023</v>
      </c>
      <c r="B46" s="8" t="s">
        <v>4</v>
      </c>
      <c r="C46" s="1497" t="s">
        <v>414</v>
      </c>
      <c r="D46" s="8" t="s">
        <v>1620</v>
      </c>
      <c r="E46" s="8" t="s">
        <v>415</v>
      </c>
      <c r="F46" s="8" t="s">
        <v>784</v>
      </c>
      <c r="G46" s="8" t="s">
        <v>25</v>
      </c>
      <c r="H46" s="8" t="s">
        <v>59</v>
      </c>
      <c r="I46" s="642">
        <v>44946</v>
      </c>
      <c r="J46" s="18">
        <v>45156</v>
      </c>
      <c r="K46" s="97">
        <v>45155</v>
      </c>
      <c r="L46" s="16">
        <v>1</v>
      </c>
      <c r="M46" s="642"/>
      <c r="N46" s="642" t="s">
        <v>120</v>
      </c>
      <c r="O46" s="1060">
        <v>45170</v>
      </c>
      <c r="P46" s="1152" t="s">
        <v>739</v>
      </c>
      <c r="Q46" s="340">
        <v>125752.53700000001</v>
      </c>
      <c r="R46" s="1026">
        <v>0.1</v>
      </c>
      <c r="S46" s="538"/>
      <c r="T46" s="538"/>
      <c r="U46" s="87"/>
      <c r="V46" s="858">
        <v>1441</v>
      </c>
      <c r="W46" s="437">
        <v>0</v>
      </c>
      <c r="X46" s="538">
        <v>1112669.8700000001</v>
      </c>
      <c r="Y46" s="551"/>
      <c r="Z46" s="570">
        <v>144855.5</v>
      </c>
      <c r="AA46" s="552">
        <v>1257525.3700000001</v>
      </c>
      <c r="AB46" s="341">
        <v>45125</v>
      </c>
      <c r="AC46" s="568" t="s">
        <v>116</v>
      </c>
      <c r="AD46" s="1157" t="s">
        <v>29</v>
      </c>
      <c r="AE46" s="568" t="s">
        <v>756</v>
      </c>
      <c r="AF46" s="568" t="s">
        <v>116</v>
      </c>
      <c r="AG46" s="568" t="s">
        <v>116</v>
      </c>
      <c r="AH46" s="183">
        <v>45160</v>
      </c>
      <c r="AI46" s="1036"/>
      <c r="AJ46" s="1037"/>
      <c r="AK46" s="1037"/>
      <c r="AL46" s="1038"/>
      <c r="AM46" s="536" t="s">
        <v>116</v>
      </c>
      <c r="AN46" s="801">
        <v>45642</v>
      </c>
      <c r="AO46" s="806">
        <v>11092315</v>
      </c>
      <c r="AP46" s="718">
        <v>1087444.94</v>
      </c>
      <c r="AQ46" s="572"/>
      <c r="AR46" s="718">
        <v>146759.64000000001</v>
      </c>
      <c r="AS46" s="538">
        <f>IF(Table15910[[#This Row],[PCTS Approved]]="N",0,Table15910[[#This Row],[Investment Amount (1'#'#'#'#'#)]]+Table15910[[#This Row],[Retirement Amount (3'#'#'#'#'#)]])</f>
        <v>1234204.58</v>
      </c>
      <c r="AT46" s="538">
        <f>IF(Table15910[[#This Row],[Approved Construction Cost]]=0,0,Table15910[[#This Row],[Approved Construction Cost]]-Table15910[[#This Row],[Construction Cost to Bill From]])</f>
        <v>-23320.790000000037</v>
      </c>
      <c r="AU46" s="538">
        <f>IFERROR(Table15910[[#This Row],[Difference in Construction Cost]]*Table15910[[#This Row],[Rate]],Table15910[[#This Row],[Difference in Construction Cost]]*0.085)</f>
        <v>-2332.0790000000038</v>
      </c>
      <c r="AV46" s="1311">
        <v>4732.5</v>
      </c>
      <c r="AW46" s="1454" t="s">
        <v>5918</v>
      </c>
      <c r="AX46" s="538"/>
      <c r="AY46" s="1035" t="s">
        <v>709</v>
      </c>
      <c r="AZ46" s="443">
        <v>96</v>
      </c>
      <c r="BA46" s="1076" t="s">
        <v>1621</v>
      </c>
      <c r="BB46" s="653" t="s">
        <v>870</v>
      </c>
      <c r="BC46" s="544" t="s">
        <v>116</v>
      </c>
      <c r="BD46" s="544" t="s">
        <v>709</v>
      </c>
      <c r="BE46" s="559" t="s">
        <v>1622</v>
      </c>
      <c r="BF46" s="554" t="s">
        <v>709</v>
      </c>
      <c r="BG46" s="548" t="s">
        <v>709</v>
      </c>
      <c r="BH46" s="749"/>
      <c r="BI46" s="547" t="s">
        <v>709</v>
      </c>
      <c r="BJ46" s="547" t="s">
        <v>709</v>
      </c>
      <c r="BK46" s="547" t="s">
        <v>709</v>
      </c>
      <c r="BL46" s="547" t="s">
        <v>116</v>
      </c>
      <c r="BM46" s="547" t="s">
        <v>709</v>
      </c>
      <c r="BN46" s="547" t="s">
        <v>709</v>
      </c>
      <c r="BO46" s="547" t="s">
        <v>709</v>
      </c>
      <c r="BP46" s="547">
        <v>723</v>
      </c>
      <c r="BQ46" s="547">
        <v>591</v>
      </c>
      <c r="BR46" s="547" t="s">
        <v>709</v>
      </c>
      <c r="BS46" s="547">
        <v>127</v>
      </c>
      <c r="BT46" s="547" t="s">
        <v>709</v>
      </c>
      <c r="BU46" s="547" t="s">
        <v>709</v>
      </c>
      <c r="BV46" s="547" t="s">
        <v>745</v>
      </c>
      <c r="BW46" s="547" t="s">
        <v>709</v>
      </c>
      <c r="BX46" s="547" t="s">
        <v>709</v>
      </c>
      <c r="BY46" s="547" t="s">
        <v>709</v>
      </c>
      <c r="BZ46" s="547" t="s">
        <v>709</v>
      </c>
      <c r="CA46" s="483"/>
    </row>
    <row r="47" spans="1:79" ht="15" hidden="1" customHeight="1" x14ac:dyDescent="0.25">
      <c r="A47" s="8">
        <v>2024</v>
      </c>
      <c r="B47" s="8" t="s">
        <v>4</v>
      </c>
      <c r="C47" s="8" t="s">
        <v>6193</v>
      </c>
      <c r="D47" s="8" t="s">
        <v>1715</v>
      </c>
      <c r="E47" s="8" t="s">
        <v>1716</v>
      </c>
      <c r="F47" s="8" t="s">
        <v>784</v>
      </c>
      <c r="G47" s="8" t="s">
        <v>26</v>
      </c>
      <c r="H47" s="8" t="s">
        <v>59</v>
      </c>
      <c r="I47" s="642">
        <v>45252</v>
      </c>
      <c r="J47" s="18">
        <v>45345</v>
      </c>
      <c r="K47" s="97">
        <v>45344</v>
      </c>
      <c r="L47" s="16">
        <v>1</v>
      </c>
      <c r="M47" s="642"/>
      <c r="N47" s="642" t="s">
        <v>120</v>
      </c>
      <c r="O47" s="1060">
        <v>45323</v>
      </c>
      <c r="P47" s="1152" t="s">
        <v>739</v>
      </c>
      <c r="Q47" s="340">
        <v>168227.36300000001</v>
      </c>
      <c r="R47" s="1026">
        <v>0.1</v>
      </c>
      <c r="S47" s="538"/>
      <c r="T47" s="538"/>
      <c r="U47" s="87"/>
      <c r="V47" s="858">
        <v>3635</v>
      </c>
      <c r="W47" s="437">
        <v>0</v>
      </c>
      <c r="X47" s="561">
        <v>1357205.65</v>
      </c>
      <c r="Y47" s="551"/>
      <c r="Z47" s="561">
        <v>325067.98</v>
      </c>
      <c r="AA47" s="552">
        <v>1682273.63</v>
      </c>
      <c r="AB47" s="341">
        <v>45348</v>
      </c>
      <c r="AC47" s="568" t="s">
        <v>709</v>
      </c>
      <c r="AD47" s="1157" t="s">
        <v>29</v>
      </c>
      <c r="AE47" s="568" t="s">
        <v>116</v>
      </c>
      <c r="AF47" s="568" t="s">
        <v>116</v>
      </c>
      <c r="AG47" s="183">
        <v>45366</v>
      </c>
      <c r="AH47" s="183">
        <v>45366</v>
      </c>
      <c r="AI47" s="1109">
        <v>0</v>
      </c>
      <c r="AJ47" s="1110">
        <v>3800</v>
      </c>
      <c r="AK47" s="1119">
        <v>14250</v>
      </c>
      <c r="AL47" s="1108">
        <v>0.10729526801177998</v>
      </c>
      <c r="AM47" s="536" t="s">
        <v>116</v>
      </c>
      <c r="AN47" s="801" t="s">
        <v>709</v>
      </c>
      <c r="AO47" s="601"/>
      <c r="AP47" s="572"/>
      <c r="AQ47" s="572"/>
      <c r="AR47" s="572"/>
      <c r="AS47" s="538">
        <f>IF(Table15910[[#This Row],[PCTS Approved]]="N",0,Table15910[[#This Row],[Investment Amount (1'#'#'#'#'#)]]+Table15910[[#This Row],[Retirement Amount (3'#'#'#'#'#)]])</f>
        <v>0</v>
      </c>
      <c r="AT47" s="538">
        <f>IF(Table15910[[#This Row],[Approved Construction Cost]]=0,0,Table15910[[#This Row],[Approved Construction Cost]]-Table15910[[#This Row],[Construction Cost to Bill From]])</f>
        <v>0</v>
      </c>
      <c r="AU47" s="538">
        <f>IFERROR(Table15910[[#This Row],[Difference in Construction Cost]]*Table15910[[#This Row],[Rate]],Table15910[[#This Row],[Difference in Construction Cost]]*0.085)</f>
        <v>0</v>
      </c>
      <c r="AV47" s="602"/>
      <c r="AW47" s="1321"/>
      <c r="AX47" s="555"/>
      <c r="AY47" s="1035" t="s">
        <v>709</v>
      </c>
      <c r="AZ47" s="443">
        <v>124</v>
      </c>
      <c r="BA47" s="1074" t="s">
        <v>1717</v>
      </c>
      <c r="BB47" s="644" t="s">
        <v>1718</v>
      </c>
      <c r="BC47" s="544" t="s">
        <v>115</v>
      </c>
      <c r="BD47" s="554" t="s">
        <v>882</v>
      </c>
      <c r="BE47" s="588" t="s">
        <v>1719</v>
      </c>
      <c r="BF47" s="588" t="s">
        <v>1396</v>
      </c>
      <c r="BG47" s="588" t="s">
        <v>115</v>
      </c>
      <c r="BH47" s="615" t="s">
        <v>1720</v>
      </c>
      <c r="BI47" s="547" t="s">
        <v>709</v>
      </c>
      <c r="BJ47" s="549" t="s">
        <v>709</v>
      </c>
      <c r="BK47" s="547" t="s">
        <v>709</v>
      </c>
      <c r="BL47" s="547" t="s">
        <v>116</v>
      </c>
      <c r="BM47" s="626" t="s">
        <v>709</v>
      </c>
      <c r="BN47" s="549" t="s">
        <v>709</v>
      </c>
      <c r="BO47" s="626" t="s">
        <v>709</v>
      </c>
      <c r="BP47" s="626" t="s">
        <v>709</v>
      </c>
      <c r="BQ47" s="549" t="s">
        <v>709</v>
      </c>
      <c r="BR47" s="549">
        <v>2942</v>
      </c>
      <c r="BS47" s="549">
        <v>693</v>
      </c>
      <c r="BT47" s="549" t="s">
        <v>709</v>
      </c>
      <c r="BU47" s="549" t="s">
        <v>709</v>
      </c>
      <c r="BV47" s="549" t="s">
        <v>709</v>
      </c>
      <c r="BW47" s="549" t="s">
        <v>709</v>
      </c>
      <c r="BX47" s="547" t="s">
        <v>709</v>
      </c>
      <c r="BY47" s="549" t="s">
        <v>709</v>
      </c>
      <c r="BZ47" s="547" t="s">
        <v>709</v>
      </c>
      <c r="CA47" s="483"/>
    </row>
    <row r="48" spans="1:79" ht="15" hidden="1" customHeight="1" x14ac:dyDescent="0.25">
      <c r="A48" s="8" t="s">
        <v>749</v>
      </c>
      <c r="B48" s="8" t="s">
        <v>4</v>
      </c>
      <c r="C48" s="1458" t="s">
        <v>1696</v>
      </c>
      <c r="D48" s="8" t="s">
        <v>1697</v>
      </c>
      <c r="E48" s="8" t="s">
        <v>1698</v>
      </c>
      <c r="F48" s="8" t="s">
        <v>784</v>
      </c>
      <c r="G48" s="8" t="s">
        <v>27</v>
      </c>
      <c r="H48" s="8" t="s">
        <v>59</v>
      </c>
      <c r="I48" s="642">
        <v>45188</v>
      </c>
      <c r="J48" s="18">
        <v>45306</v>
      </c>
      <c r="K48" s="97">
        <v>45273</v>
      </c>
      <c r="L48" s="16">
        <v>33</v>
      </c>
      <c r="M48" s="642"/>
      <c r="N48" s="642" t="s">
        <v>120</v>
      </c>
      <c r="O48" s="1060">
        <v>45292</v>
      </c>
      <c r="P48" s="1152" t="s">
        <v>739</v>
      </c>
      <c r="Q48" s="340">
        <v>85706.26400000001</v>
      </c>
      <c r="R48" s="1026">
        <v>0.1</v>
      </c>
      <c r="S48" s="538"/>
      <c r="T48" s="538"/>
      <c r="U48" s="87"/>
      <c r="V48" s="858">
        <v>306</v>
      </c>
      <c r="W48" s="437">
        <v>0</v>
      </c>
      <c r="X48" s="556">
        <v>654133.12</v>
      </c>
      <c r="Y48" s="551"/>
      <c r="Z48" s="570">
        <v>202929.52</v>
      </c>
      <c r="AA48" s="552">
        <v>857062.64</v>
      </c>
      <c r="AB48" s="341">
        <v>45264</v>
      </c>
      <c r="AC48" s="568" t="s">
        <v>116</v>
      </c>
      <c r="AD48" s="1157" t="s">
        <v>29</v>
      </c>
      <c r="AE48" s="568" t="s">
        <v>116</v>
      </c>
      <c r="AF48" s="568" t="s">
        <v>116</v>
      </c>
      <c r="AG48" s="183">
        <v>45371</v>
      </c>
      <c r="AH48" s="183">
        <v>45371</v>
      </c>
      <c r="AI48" s="1109">
        <v>0</v>
      </c>
      <c r="AJ48" s="1110">
        <v>1599.5</v>
      </c>
      <c r="AK48" s="1110">
        <v>682</v>
      </c>
      <c r="AL48" s="1108">
        <v>2.6619991276250237E-2</v>
      </c>
      <c r="AM48" s="536" t="s">
        <v>116</v>
      </c>
      <c r="AN48" s="680" t="s">
        <v>29</v>
      </c>
      <c r="AO48" s="806">
        <v>11088462</v>
      </c>
      <c r="AP48" s="718">
        <v>1004495.43</v>
      </c>
      <c r="AQ48" s="682"/>
      <c r="AR48" s="718">
        <v>229124.63</v>
      </c>
      <c r="AS48" s="538">
        <f>IF(Table15910[[#This Row],[PCTS Approved]]="N",0,Table15910[[#This Row],[Investment Amount (1'#'#'#'#'#)]]+Table15910[[#This Row],[Retirement Amount (3'#'#'#'#'#)]])</f>
        <v>1233620.06</v>
      </c>
      <c r="AT48" s="538">
        <f>IF(Table15910[[#This Row],[Approved Construction Cost]]=0,0,Table15910[[#This Row],[Approved Construction Cost]]-Table15910[[#This Row],[Construction Cost to Bill From]])</f>
        <v>376557.42000000004</v>
      </c>
      <c r="AU48" s="538">
        <f>IFERROR(Table15910[[#This Row],[Difference in Construction Cost]]*Table15910[[#This Row],[Rate]],Table15910[[#This Row],[Difference in Construction Cost]]*0.085)</f>
        <v>37655.742000000006</v>
      </c>
      <c r="AV48" s="803">
        <v>1470</v>
      </c>
      <c r="AW48" s="1429"/>
      <c r="AX48" s="555"/>
      <c r="AY48" s="1035" t="s">
        <v>709</v>
      </c>
      <c r="AZ48" s="443">
        <v>112</v>
      </c>
      <c r="BA48" s="1074" t="s">
        <v>1699</v>
      </c>
      <c r="BB48" s="644" t="s">
        <v>870</v>
      </c>
      <c r="BC48" s="559" t="s">
        <v>116</v>
      </c>
      <c r="BD48" s="554" t="s">
        <v>882</v>
      </c>
      <c r="BE48" s="588" t="s">
        <v>1700</v>
      </c>
      <c r="BF48" s="588" t="s">
        <v>709</v>
      </c>
      <c r="BG48" s="548" t="s">
        <v>709</v>
      </c>
      <c r="BH48" s="615" t="s">
        <v>1701</v>
      </c>
      <c r="BI48" s="547" t="s">
        <v>709</v>
      </c>
      <c r="BJ48" s="549" t="s">
        <v>709</v>
      </c>
      <c r="BK48" s="547" t="s">
        <v>709</v>
      </c>
      <c r="BL48" s="547" t="s">
        <v>116</v>
      </c>
      <c r="BM48" s="626" t="s">
        <v>709</v>
      </c>
      <c r="BN48" s="549">
        <v>153</v>
      </c>
      <c r="BO48" s="626" t="s">
        <v>709</v>
      </c>
      <c r="BP48" s="626" t="s">
        <v>709</v>
      </c>
      <c r="BQ48" s="549">
        <v>92</v>
      </c>
      <c r="BR48" s="549">
        <v>61</v>
      </c>
      <c r="BS48" s="549" t="s">
        <v>709</v>
      </c>
      <c r="BT48" s="549" t="s">
        <v>709</v>
      </c>
      <c r="BU48" s="549" t="s">
        <v>709</v>
      </c>
      <c r="BV48" s="549" t="s">
        <v>709</v>
      </c>
      <c r="BW48" s="549" t="s">
        <v>709</v>
      </c>
      <c r="BX48" s="547" t="s">
        <v>709</v>
      </c>
      <c r="BY48" s="549" t="s">
        <v>709</v>
      </c>
      <c r="BZ48" s="626" t="s">
        <v>709</v>
      </c>
      <c r="CA48" s="483"/>
    </row>
    <row r="49" spans="1:79" s="447" customFormat="1" ht="15" hidden="1" customHeight="1" x14ac:dyDescent="0.25">
      <c r="A49" s="8" t="s">
        <v>800</v>
      </c>
      <c r="B49" s="8" t="s">
        <v>4</v>
      </c>
      <c r="C49" s="1497" t="s">
        <v>1843</v>
      </c>
      <c r="D49" s="8" t="s">
        <v>1844</v>
      </c>
      <c r="E49" s="8" t="s">
        <v>1845</v>
      </c>
      <c r="F49" s="8" t="s">
        <v>1102</v>
      </c>
      <c r="G49" s="8" t="s">
        <v>27</v>
      </c>
      <c r="H49" s="8" t="s">
        <v>59</v>
      </c>
      <c r="I49" s="642">
        <v>45328</v>
      </c>
      <c r="J49" s="18">
        <v>45474</v>
      </c>
      <c r="K49" s="97">
        <v>45469</v>
      </c>
      <c r="L49" s="16">
        <v>5</v>
      </c>
      <c r="M49" s="642"/>
      <c r="N49" s="99" t="s">
        <v>120</v>
      </c>
      <c r="O49" s="1060">
        <v>45504</v>
      </c>
      <c r="P49" s="1152" t="s">
        <v>739</v>
      </c>
      <c r="Q49" s="340">
        <v>96673.374000000011</v>
      </c>
      <c r="R49" s="1026">
        <v>0.1</v>
      </c>
      <c r="S49" s="538"/>
      <c r="T49" s="538"/>
      <c r="U49" s="87"/>
      <c r="V49" s="1465">
        <v>712</v>
      </c>
      <c r="W49" s="1308">
        <v>0</v>
      </c>
      <c r="X49" s="1466">
        <v>881604.73</v>
      </c>
      <c r="Y49" s="1330"/>
      <c r="Z49" s="1329">
        <v>85129.01</v>
      </c>
      <c r="AA49" s="552">
        <v>966733.74</v>
      </c>
      <c r="AB49" s="1333">
        <v>45456</v>
      </c>
      <c r="AC49" s="1369" t="s">
        <v>116</v>
      </c>
      <c r="AD49" s="1370" t="s">
        <v>116</v>
      </c>
      <c r="AE49" s="1335" t="s">
        <v>116</v>
      </c>
      <c r="AF49" s="1335" t="s">
        <v>116</v>
      </c>
      <c r="AG49" s="1335" t="s">
        <v>116</v>
      </c>
      <c r="AH49" s="1371">
        <v>45567</v>
      </c>
      <c r="AI49" s="1372">
        <v>37330</v>
      </c>
      <c r="AJ49" s="1373">
        <v>8730</v>
      </c>
      <c r="AK49" s="1373">
        <v>0</v>
      </c>
      <c r="AL49" s="1374">
        <v>0.4764496995832585</v>
      </c>
      <c r="AM49" s="536" t="s">
        <v>116</v>
      </c>
      <c r="AN49" s="801">
        <v>45581</v>
      </c>
      <c r="AO49" s="806">
        <v>11091791</v>
      </c>
      <c r="AP49" s="718">
        <v>977551.39</v>
      </c>
      <c r="AQ49" s="682"/>
      <c r="AR49" s="718">
        <v>86344.18</v>
      </c>
      <c r="AS49" s="538">
        <f>IF(Table15910[[#This Row],[PCTS Approved]]="N",0,Table15910[[#This Row],[Investment Amount (1'#'#'#'#'#)]]+Table15910[[#This Row],[Retirement Amount (3'#'#'#'#'#)]])</f>
        <v>1063895.57</v>
      </c>
      <c r="AT49" s="538">
        <f>IF(Table15910[[#This Row],[Approved Construction Cost]]=0,0,Table15910[[#This Row],[Approved Construction Cost]]-Table15910[[#This Row],[Construction Cost to Bill From]])</f>
        <v>97161.830000000075</v>
      </c>
      <c r="AU49" s="538">
        <f>IFERROR(Table15910[[#This Row],[Difference in Construction Cost]]*Table15910[[#This Row],[Rate]],Table15910[[#This Row],[Difference in Construction Cost]]*0.085)</f>
        <v>9716.1830000000082</v>
      </c>
      <c r="AV49" s="803" t="s">
        <v>29</v>
      </c>
      <c r="AW49" s="1429" t="s">
        <v>9172</v>
      </c>
      <c r="AX49" s="555"/>
      <c r="AY49" s="1035" t="s">
        <v>709</v>
      </c>
      <c r="AZ49" s="443">
        <v>148</v>
      </c>
      <c r="BA49" s="1031" t="s">
        <v>1846</v>
      </c>
      <c r="BB49" s="644" t="s">
        <v>870</v>
      </c>
      <c r="BC49" s="559" t="s">
        <v>116</v>
      </c>
      <c r="BD49" s="559" t="s">
        <v>882</v>
      </c>
      <c r="BE49" s="554" t="s">
        <v>1847</v>
      </c>
      <c r="BF49" s="588" t="s">
        <v>115</v>
      </c>
      <c r="BG49" s="588" t="s">
        <v>115</v>
      </c>
      <c r="BH49" s="615" t="s">
        <v>1848</v>
      </c>
      <c r="BI49" s="547" t="s">
        <v>709</v>
      </c>
      <c r="BJ49" s="547" t="s">
        <v>709</v>
      </c>
      <c r="BK49" s="547" t="s">
        <v>116</v>
      </c>
      <c r="BL49" s="547" t="s">
        <v>116</v>
      </c>
      <c r="BM49" s="547" t="s">
        <v>709</v>
      </c>
      <c r="BN49" s="547" t="s">
        <v>709</v>
      </c>
      <c r="BO49" s="547" t="s">
        <v>709</v>
      </c>
      <c r="BP49" s="626">
        <v>328</v>
      </c>
      <c r="BQ49" s="626">
        <v>167</v>
      </c>
      <c r="BR49" s="549">
        <v>221</v>
      </c>
      <c r="BS49" s="549" t="s">
        <v>709</v>
      </c>
      <c r="BT49" s="547" t="s">
        <v>745</v>
      </c>
      <c r="BU49" s="547" t="s">
        <v>745</v>
      </c>
      <c r="BV49" s="547" t="s">
        <v>745</v>
      </c>
      <c r="BW49" s="547" t="s">
        <v>745</v>
      </c>
      <c r="BX49" s="547" t="s">
        <v>745</v>
      </c>
      <c r="BY49" s="547" t="s">
        <v>745</v>
      </c>
      <c r="BZ49" s="547" t="s">
        <v>709</v>
      </c>
      <c r="CA49" s="483"/>
    </row>
    <row r="50" spans="1:79" ht="15" hidden="1" customHeight="1" x14ac:dyDescent="0.25">
      <c r="A50" s="8" t="s">
        <v>800</v>
      </c>
      <c r="B50" s="8" t="s">
        <v>4</v>
      </c>
      <c r="C50" s="8" t="s">
        <v>6573</v>
      </c>
      <c r="D50" s="8" t="s">
        <v>6574</v>
      </c>
      <c r="E50" s="8" t="s">
        <v>1159</v>
      </c>
      <c r="F50" s="8" t="s">
        <v>1102</v>
      </c>
      <c r="G50" s="8" t="s">
        <v>28</v>
      </c>
      <c r="H50" s="8" t="s">
        <v>59</v>
      </c>
      <c r="I50" s="642">
        <v>45446</v>
      </c>
      <c r="J50" s="18">
        <v>45569</v>
      </c>
      <c r="K50" s="97">
        <v>45551</v>
      </c>
      <c r="L50" s="16">
        <v>18</v>
      </c>
      <c r="M50" s="642"/>
      <c r="N50" s="99" t="s">
        <v>120</v>
      </c>
      <c r="O50" s="1060">
        <v>45559</v>
      </c>
      <c r="P50" s="1152" t="s">
        <v>739</v>
      </c>
      <c r="Q50" s="340">
        <v>16432.713</v>
      </c>
      <c r="R50" s="1026">
        <v>0.1</v>
      </c>
      <c r="S50" s="538" t="s">
        <v>29</v>
      </c>
      <c r="T50" s="538" t="s">
        <v>29</v>
      </c>
      <c r="U50" s="28" t="s">
        <v>29</v>
      </c>
      <c r="V50" s="858">
        <v>291</v>
      </c>
      <c r="W50" s="437">
        <v>0</v>
      </c>
      <c r="X50" s="538">
        <v>114983.56</v>
      </c>
      <c r="Y50" s="550"/>
      <c r="Z50" s="552">
        <v>49343.57</v>
      </c>
      <c r="AA50" s="552">
        <v>164327.13</v>
      </c>
      <c r="AB50" s="341">
        <v>45447</v>
      </c>
      <c r="AC50" s="569" t="s">
        <v>709</v>
      </c>
      <c r="AD50" s="1149" t="s">
        <v>29</v>
      </c>
      <c r="AE50" s="568" t="s">
        <v>116</v>
      </c>
      <c r="AF50" s="568" t="s">
        <v>29</v>
      </c>
      <c r="AG50" s="568" t="s">
        <v>376</v>
      </c>
      <c r="AH50" s="183">
        <v>45580</v>
      </c>
      <c r="AI50" s="1125">
        <v>0</v>
      </c>
      <c r="AJ50" s="1110">
        <v>0</v>
      </c>
      <c r="AK50" s="1110">
        <v>0</v>
      </c>
      <c r="AL50" s="1108">
        <v>0</v>
      </c>
      <c r="AM50" s="536" t="s">
        <v>116</v>
      </c>
      <c r="AN50" s="801" t="s">
        <v>709</v>
      </c>
      <c r="AO50" s="601"/>
      <c r="AP50" s="572"/>
      <c r="AQ50" s="572"/>
      <c r="AR50" s="572"/>
      <c r="AS50" s="538">
        <f>IF(Table15910[[#This Row],[PCTS Approved]]="N",0,Table15910[[#This Row],[Investment Amount (1'#'#'#'#'#)]]+Table15910[[#This Row],[Retirement Amount (3'#'#'#'#'#)]])</f>
        <v>0</v>
      </c>
      <c r="AT50" s="538">
        <f>IF(Table15910[[#This Row],[Approved Construction Cost]]=0,0,Table15910[[#This Row],[Approved Construction Cost]]-Table15910[[#This Row],[Construction Cost to Bill From]])</f>
        <v>0</v>
      </c>
      <c r="AU50" s="538">
        <f>IFERROR(Table15910[[#This Row],[Difference in Construction Cost]]*Table15910[[#This Row],[Rate]],Table15910[[#This Row],[Difference in Construction Cost]]*0.085)</f>
        <v>0</v>
      </c>
      <c r="AV50" s="602"/>
      <c r="AW50" s="640"/>
      <c r="AX50" s="555"/>
      <c r="AY50" s="1035" t="s">
        <v>709</v>
      </c>
      <c r="AZ50" s="443"/>
      <c r="BA50" s="1031" t="s">
        <v>6575</v>
      </c>
      <c r="BB50" s="644" t="s">
        <v>5452</v>
      </c>
      <c r="BC50" s="559" t="s">
        <v>116</v>
      </c>
      <c r="BD50" s="554" t="s">
        <v>115</v>
      </c>
      <c r="BE50" s="554" t="s">
        <v>1210</v>
      </c>
      <c r="BF50" s="588" t="s">
        <v>115</v>
      </c>
      <c r="BG50" s="588" t="s">
        <v>115</v>
      </c>
      <c r="BH50" s="615" t="s">
        <v>6576</v>
      </c>
      <c r="BI50" s="549" t="s">
        <v>709</v>
      </c>
      <c r="BJ50" s="549" t="s">
        <v>709</v>
      </c>
      <c r="BK50" s="549" t="s">
        <v>709</v>
      </c>
      <c r="BL50" s="547" t="s">
        <v>116</v>
      </c>
      <c r="BM50" s="549" t="s">
        <v>709</v>
      </c>
      <c r="BN50" s="549" t="s">
        <v>709</v>
      </c>
      <c r="BO50" s="549" t="s">
        <v>709</v>
      </c>
      <c r="BP50" s="549" t="s">
        <v>709</v>
      </c>
      <c r="BQ50" s="549" t="s">
        <v>709</v>
      </c>
      <c r="BR50" s="549" t="s">
        <v>116</v>
      </c>
      <c r="BS50" s="549" t="s">
        <v>709</v>
      </c>
      <c r="BT50" s="549" t="s">
        <v>709</v>
      </c>
      <c r="BU50" s="549" t="s">
        <v>709</v>
      </c>
      <c r="BV50" s="549" t="s">
        <v>709</v>
      </c>
      <c r="BW50" s="549" t="s">
        <v>709</v>
      </c>
      <c r="BX50" s="549" t="s">
        <v>709</v>
      </c>
      <c r="BY50" s="549" t="s">
        <v>709</v>
      </c>
      <c r="BZ50" s="547" t="s">
        <v>709</v>
      </c>
      <c r="CA50" s="483"/>
    </row>
    <row r="51" spans="1:79" ht="15" hidden="1" customHeight="1" x14ac:dyDescent="0.25">
      <c r="A51" s="8" t="s">
        <v>800</v>
      </c>
      <c r="B51" s="8" t="s">
        <v>4</v>
      </c>
      <c r="C51" s="8" t="s">
        <v>6567</v>
      </c>
      <c r="D51" s="8" t="s">
        <v>6568</v>
      </c>
      <c r="E51" s="8" t="s">
        <v>1159</v>
      </c>
      <c r="F51" s="8" t="s">
        <v>1102</v>
      </c>
      <c r="G51" s="8" t="s">
        <v>28</v>
      </c>
      <c r="H51" s="8" t="s">
        <v>59</v>
      </c>
      <c r="I51" s="642">
        <v>45369</v>
      </c>
      <c r="J51" s="18">
        <v>45569</v>
      </c>
      <c r="K51" s="97">
        <v>45551</v>
      </c>
      <c r="L51" s="16">
        <v>18</v>
      </c>
      <c r="M51" s="642"/>
      <c r="N51" s="99" t="s">
        <v>120</v>
      </c>
      <c r="O51" s="1060">
        <v>45559</v>
      </c>
      <c r="P51" s="1152" t="s">
        <v>739</v>
      </c>
      <c r="Q51" s="340">
        <v>105410.814</v>
      </c>
      <c r="R51" s="1026">
        <v>0.1</v>
      </c>
      <c r="S51" s="538" t="s">
        <v>29</v>
      </c>
      <c r="T51" s="538" t="s">
        <v>29</v>
      </c>
      <c r="U51" s="28" t="s">
        <v>29</v>
      </c>
      <c r="V51" s="858">
        <v>530</v>
      </c>
      <c r="W51" s="437">
        <v>0</v>
      </c>
      <c r="X51" s="538">
        <v>915818.58</v>
      </c>
      <c r="Y51" s="550"/>
      <c r="Z51" s="552">
        <v>138289.56</v>
      </c>
      <c r="AA51" s="552">
        <v>1054108.1399999999</v>
      </c>
      <c r="AB51" s="341">
        <v>45518</v>
      </c>
      <c r="AC51" s="569" t="s">
        <v>116</v>
      </c>
      <c r="AD51" s="1149" t="s">
        <v>116</v>
      </c>
      <c r="AE51" s="568" t="s">
        <v>116</v>
      </c>
      <c r="AF51" s="568" t="s">
        <v>116</v>
      </c>
      <c r="AG51" s="568" t="s">
        <v>376</v>
      </c>
      <c r="AH51" s="183">
        <v>45580</v>
      </c>
      <c r="AI51" s="1125">
        <v>6905</v>
      </c>
      <c r="AJ51" s="1110">
        <v>5035</v>
      </c>
      <c r="AK51" s="1134">
        <v>7452.25</v>
      </c>
      <c r="AL51" s="1108">
        <v>0.18396831657139087</v>
      </c>
      <c r="AM51" s="536" t="s">
        <v>116</v>
      </c>
      <c r="AN51" s="801" t="s">
        <v>709</v>
      </c>
      <c r="AO51" s="601"/>
      <c r="AP51" s="572"/>
      <c r="AQ51" s="572"/>
      <c r="AR51" s="572"/>
      <c r="AS51" s="538">
        <f>IF(Table15910[[#This Row],[PCTS Approved]]="N",0,Table15910[[#This Row],[Investment Amount (1'#'#'#'#'#)]]+Table15910[[#This Row],[Retirement Amount (3'#'#'#'#'#)]])</f>
        <v>0</v>
      </c>
      <c r="AT51" s="538">
        <f>IF(Table15910[[#This Row],[Approved Construction Cost]]=0,0,Table15910[[#This Row],[Approved Construction Cost]]-Table15910[[#This Row],[Construction Cost to Bill From]])</f>
        <v>0</v>
      </c>
      <c r="AU51" s="538">
        <f>IFERROR(Table15910[[#This Row],[Difference in Construction Cost]]*Table15910[[#This Row],[Rate]],Table15910[[#This Row],[Difference in Construction Cost]]*0.085)</f>
        <v>0</v>
      </c>
      <c r="AV51" s="602"/>
      <c r="AW51" s="640"/>
      <c r="AX51" s="555"/>
      <c r="AY51" s="1035" t="s">
        <v>709</v>
      </c>
      <c r="AZ51" s="443"/>
      <c r="BA51" s="1031" t="s">
        <v>6569</v>
      </c>
      <c r="BB51" s="644" t="s">
        <v>5452</v>
      </c>
      <c r="BC51" s="559" t="s">
        <v>116</v>
      </c>
      <c r="BD51" s="554" t="s">
        <v>115</v>
      </c>
      <c r="BE51" s="554" t="s">
        <v>1210</v>
      </c>
      <c r="BF51" s="588" t="s">
        <v>115</v>
      </c>
      <c r="BG51" s="588" t="s">
        <v>115</v>
      </c>
      <c r="BH51" s="615" t="s">
        <v>6570</v>
      </c>
      <c r="BI51" s="549" t="s">
        <v>116</v>
      </c>
      <c r="BJ51" s="549" t="s">
        <v>709</v>
      </c>
      <c r="BK51" s="549" t="s">
        <v>709</v>
      </c>
      <c r="BL51" s="547" t="s">
        <v>709</v>
      </c>
      <c r="BM51" s="549" t="s">
        <v>709</v>
      </c>
      <c r="BN51" s="549" t="s">
        <v>116</v>
      </c>
      <c r="BO51" s="549" t="s">
        <v>709</v>
      </c>
      <c r="BP51" s="549" t="s">
        <v>709</v>
      </c>
      <c r="BQ51" s="549" t="s">
        <v>116</v>
      </c>
      <c r="BR51" s="549" t="s">
        <v>6571</v>
      </c>
      <c r="BS51" s="549" t="s">
        <v>709</v>
      </c>
      <c r="BT51" s="549" t="s">
        <v>709</v>
      </c>
      <c r="BU51" s="549" t="s">
        <v>709</v>
      </c>
      <c r="BV51" s="549" t="s">
        <v>709</v>
      </c>
      <c r="BW51" s="549" t="s">
        <v>709</v>
      </c>
      <c r="BX51" s="549" t="s">
        <v>709</v>
      </c>
      <c r="BY51" s="549" t="s">
        <v>709</v>
      </c>
      <c r="BZ51" s="547" t="s">
        <v>709</v>
      </c>
      <c r="CA51" s="483" t="s">
        <v>769</v>
      </c>
    </row>
    <row r="52" spans="1:79" ht="15" hidden="1" customHeight="1" x14ac:dyDescent="0.25">
      <c r="A52" s="8" t="s">
        <v>800</v>
      </c>
      <c r="B52" s="8" t="s">
        <v>4</v>
      </c>
      <c r="C52" s="1497" t="s">
        <v>1099</v>
      </c>
      <c r="D52" s="8" t="s">
        <v>1100</v>
      </c>
      <c r="E52" s="8" t="s">
        <v>1101</v>
      </c>
      <c r="F52" s="8" t="s">
        <v>1102</v>
      </c>
      <c r="G52" s="8" t="s">
        <v>6391</v>
      </c>
      <c r="H52" s="8" t="s">
        <v>59</v>
      </c>
      <c r="I52" s="642">
        <v>45401</v>
      </c>
      <c r="J52" s="18">
        <v>45492</v>
      </c>
      <c r="K52" s="97">
        <v>45462</v>
      </c>
      <c r="L52" s="16">
        <v>30</v>
      </c>
      <c r="M52" s="642"/>
      <c r="N52" s="642" t="s">
        <v>120</v>
      </c>
      <c r="O52" s="1060">
        <v>45444</v>
      </c>
      <c r="P52" s="1152" t="s">
        <v>739</v>
      </c>
      <c r="Q52" s="340">
        <v>12368.651000000002</v>
      </c>
      <c r="R52" s="1026">
        <v>0.1</v>
      </c>
      <c r="S52" s="538"/>
      <c r="T52" s="538"/>
      <c r="U52" s="87"/>
      <c r="V52" s="858">
        <v>90</v>
      </c>
      <c r="W52" s="437">
        <v>0</v>
      </c>
      <c r="X52" s="538">
        <v>100367.72</v>
      </c>
      <c r="Y52" s="551"/>
      <c r="Z52" s="552">
        <v>23318.79</v>
      </c>
      <c r="AA52" s="552">
        <v>123686.51000000001</v>
      </c>
      <c r="AB52" s="341">
        <v>45456</v>
      </c>
      <c r="AC52" s="569" t="s">
        <v>709</v>
      </c>
      <c r="AD52" s="1149" t="s">
        <v>29</v>
      </c>
      <c r="AE52" s="568" t="s">
        <v>116</v>
      </c>
      <c r="AF52" s="568" t="s">
        <v>116</v>
      </c>
      <c r="AG52" s="569" t="s">
        <v>376</v>
      </c>
      <c r="AH52" s="183">
        <v>45567</v>
      </c>
      <c r="AI52" s="1028">
        <v>0</v>
      </c>
      <c r="AJ52" s="1029">
        <v>2950</v>
      </c>
      <c r="AK52" s="1029">
        <v>2942</v>
      </c>
      <c r="AL52" s="1030">
        <v>0.47636561173890341</v>
      </c>
      <c r="AM52" s="536" t="s">
        <v>116</v>
      </c>
      <c r="AN52" s="801">
        <v>45475</v>
      </c>
      <c r="AO52" s="806">
        <v>11085612</v>
      </c>
      <c r="AP52" s="718">
        <v>101481.74</v>
      </c>
      <c r="AQ52" s="682"/>
      <c r="AR52" s="718">
        <v>23578.45</v>
      </c>
      <c r="AS52" s="538">
        <f>IF(Table15910[[#This Row],[PCTS Approved]]="N",0,Table15910[[#This Row],[Investment Amount (1'#'#'#'#'#)]]+Table15910[[#This Row],[Retirement Amount (3'#'#'#'#'#)]])</f>
        <v>125060.19</v>
      </c>
      <c r="AT52" s="538">
        <f>IF(Table15910[[#This Row],[Approved Construction Cost]]=0,0,Table15910[[#This Row],[Approved Construction Cost]]-Table15910[[#This Row],[Construction Cost to Bill From]])</f>
        <v>1373.679999999993</v>
      </c>
      <c r="AU52" s="538">
        <f>IFERROR(Table15910[[#This Row],[Difference in Construction Cost]]*Table15910[[#This Row],[Rate]],Table15910[[#This Row],[Difference in Construction Cost]]*0.085)</f>
        <v>137.36799999999931</v>
      </c>
      <c r="AV52" s="1357" t="s">
        <v>29</v>
      </c>
      <c r="AW52" s="1358" t="s">
        <v>6400</v>
      </c>
      <c r="AX52" s="555"/>
      <c r="AY52" s="1035" t="s">
        <v>709</v>
      </c>
      <c r="AZ52" s="443">
        <v>147</v>
      </c>
      <c r="BA52" s="1074" t="s">
        <v>1104</v>
      </c>
      <c r="BB52" s="644" t="s">
        <v>1105</v>
      </c>
      <c r="BC52" s="544" t="s">
        <v>115</v>
      </c>
      <c r="BD52" s="554" t="s">
        <v>882</v>
      </c>
      <c r="BE52" s="588" t="s">
        <v>1106</v>
      </c>
      <c r="BF52" s="588" t="s">
        <v>115</v>
      </c>
      <c r="BG52" s="588" t="s">
        <v>115</v>
      </c>
      <c r="BH52" s="615" t="s">
        <v>1107</v>
      </c>
      <c r="BI52" s="547" t="s">
        <v>709</v>
      </c>
      <c r="BJ52" s="547" t="s">
        <v>709</v>
      </c>
      <c r="BK52" s="547" t="s">
        <v>709</v>
      </c>
      <c r="BL52" s="547" t="s">
        <v>116</v>
      </c>
      <c r="BM52" s="547" t="s">
        <v>709</v>
      </c>
      <c r="BN52" s="547" t="s">
        <v>709</v>
      </c>
      <c r="BO52" s="547" t="s">
        <v>709</v>
      </c>
      <c r="BP52" s="547" t="s">
        <v>709</v>
      </c>
      <c r="BQ52" s="547" t="s">
        <v>709</v>
      </c>
      <c r="BR52" s="547" t="s">
        <v>709</v>
      </c>
      <c r="BS52" s="549">
        <v>90</v>
      </c>
      <c r="BT52" s="547" t="s">
        <v>745</v>
      </c>
      <c r="BU52" s="547" t="s">
        <v>745</v>
      </c>
      <c r="BV52" s="547" t="s">
        <v>745</v>
      </c>
      <c r="BW52" s="547" t="s">
        <v>745</v>
      </c>
      <c r="BX52" s="547" t="s">
        <v>745</v>
      </c>
      <c r="BY52" s="547" t="s">
        <v>745</v>
      </c>
      <c r="BZ52" s="547" t="s">
        <v>709</v>
      </c>
      <c r="CA52" s="483"/>
    </row>
    <row r="53" spans="1:79" ht="15" hidden="1" customHeight="1" x14ac:dyDescent="0.25">
      <c r="A53" s="874" t="s">
        <v>6816</v>
      </c>
      <c r="B53" s="878" t="s">
        <v>4</v>
      </c>
      <c r="C53" s="1286" t="s">
        <v>8154</v>
      </c>
      <c r="D53" s="880" t="s">
        <v>8155</v>
      </c>
      <c r="E53" s="879" t="s">
        <v>1422</v>
      </c>
      <c r="F53" s="878" t="s">
        <v>784</v>
      </c>
      <c r="G53" s="878" t="s">
        <v>34</v>
      </c>
      <c r="H53" s="878" t="s">
        <v>59</v>
      </c>
      <c r="I53" s="881">
        <v>45550</v>
      </c>
      <c r="J53" s="882">
        <v>45660</v>
      </c>
      <c r="K53" s="883">
        <v>45660</v>
      </c>
      <c r="L53" s="884">
        <v>0</v>
      </c>
      <c r="M53" s="879"/>
      <c r="N53" s="885" t="s">
        <v>120</v>
      </c>
      <c r="O53" s="886">
        <v>45658</v>
      </c>
      <c r="P53" s="1153" t="s">
        <v>739</v>
      </c>
      <c r="Q53" s="1150">
        <v>65968.403999999995</v>
      </c>
      <c r="R53" s="887">
        <v>0.1</v>
      </c>
      <c r="S53" s="888" t="s">
        <v>29</v>
      </c>
      <c r="T53" s="888" t="s">
        <v>29</v>
      </c>
      <c r="U53" s="889" t="s">
        <v>29</v>
      </c>
      <c r="V53" s="890">
        <v>872</v>
      </c>
      <c r="W53" s="1021">
        <v>0</v>
      </c>
      <c r="X53" s="888">
        <v>580282.09</v>
      </c>
      <c r="Y53" s="891"/>
      <c r="Z53" s="888">
        <v>79401.95</v>
      </c>
      <c r="AA53" s="892">
        <v>659684.03999999992</v>
      </c>
      <c r="AB53" s="893">
        <v>45664</v>
      </c>
      <c r="AC53" s="894" t="s">
        <v>709</v>
      </c>
      <c r="AD53" s="1160" t="s">
        <v>29</v>
      </c>
      <c r="AE53" s="895" t="s">
        <v>756</v>
      </c>
      <c r="AF53" s="896" t="s">
        <v>756</v>
      </c>
      <c r="AG53" s="897" t="s">
        <v>116</v>
      </c>
      <c r="AH53" s="897">
        <v>45672</v>
      </c>
      <c r="AI53" s="898">
        <v>0</v>
      </c>
      <c r="AJ53" s="899">
        <v>5390</v>
      </c>
      <c r="AK53" s="900">
        <v>8347</v>
      </c>
      <c r="AL53" s="901">
        <v>0.20823605191357974</v>
      </c>
      <c r="AM53" s="902" t="s">
        <v>116</v>
      </c>
      <c r="AN53" s="1353">
        <v>45708</v>
      </c>
      <c r="AO53" s="1354">
        <v>11098536</v>
      </c>
      <c r="AP53" s="1320">
        <v>580282.09</v>
      </c>
      <c r="AQ53" s="1293"/>
      <c r="AR53" s="1320">
        <v>79401.95</v>
      </c>
      <c r="AS53" s="538">
        <f>IF(Table15910[[#This Row],[PCTS Approved]]="N",0,Table15910[[#This Row],[Investment Amount (1'#'#'#'#'#)]]+Table15910[[#This Row],[Retirement Amount (3'#'#'#'#'#)]])</f>
        <v>659684.03999999992</v>
      </c>
      <c r="AT53" s="538">
        <f>IF(Table15910[[#This Row],[Approved Construction Cost]]=0,0,Table15910[[#This Row],[Approved Construction Cost]]-Table15910[[#This Row],[Construction Cost to Bill From]])</f>
        <v>0</v>
      </c>
      <c r="AU53" s="538">
        <f>IFERROR(Table15910[[#This Row],[Difference in Construction Cost]]*Table15910[[#This Row],[Rate]],Table15910[[#This Row],[Difference in Construction Cost]]*0.085)</f>
        <v>0</v>
      </c>
      <c r="AV53" s="1356" t="s">
        <v>29</v>
      </c>
      <c r="AW53" s="1450"/>
      <c r="AX53" s="908"/>
      <c r="AY53" s="909" t="s">
        <v>709</v>
      </c>
      <c r="AZ53" s="1022"/>
      <c r="BA53" s="910" t="s">
        <v>8156</v>
      </c>
      <c r="BB53" s="911" t="s">
        <v>1424</v>
      </c>
      <c r="BC53" s="912" t="s">
        <v>709</v>
      </c>
      <c r="BD53" s="913" t="s">
        <v>709</v>
      </c>
      <c r="BE53" s="914" t="s">
        <v>1425</v>
      </c>
      <c r="BF53" s="914" t="s">
        <v>709</v>
      </c>
      <c r="BG53" s="915" t="s">
        <v>709</v>
      </c>
      <c r="BH53" s="1023" t="s">
        <v>8157</v>
      </c>
      <c r="BI53" s="916" t="s">
        <v>709</v>
      </c>
      <c r="BJ53" s="916" t="s">
        <v>6571</v>
      </c>
      <c r="BK53" s="916" t="s">
        <v>709</v>
      </c>
      <c r="BL53" s="916" t="s">
        <v>116</v>
      </c>
      <c r="BM53" s="916" t="s">
        <v>709</v>
      </c>
      <c r="BN53" s="916" t="s">
        <v>709</v>
      </c>
      <c r="BO53" s="916" t="s">
        <v>709</v>
      </c>
      <c r="BP53" s="916">
        <v>222</v>
      </c>
      <c r="BQ53" s="916" t="s">
        <v>709</v>
      </c>
      <c r="BR53" s="916" t="s">
        <v>709</v>
      </c>
      <c r="BS53" s="916">
        <v>650</v>
      </c>
      <c r="BT53" s="916" t="s">
        <v>709</v>
      </c>
      <c r="BU53" s="916" t="s">
        <v>709</v>
      </c>
      <c r="BV53" s="916" t="s">
        <v>709</v>
      </c>
      <c r="BW53" s="916" t="s">
        <v>709</v>
      </c>
      <c r="BX53" s="916" t="s">
        <v>709</v>
      </c>
      <c r="BY53" s="916" t="s">
        <v>709</v>
      </c>
      <c r="BZ53" s="916" t="s">
        <v>709</v>
      </c>
      <c r="CA53" s="483"/>
    </row>
    <row r="54" spans="1:79" ht="15" hidden="1" customHeight="1" x14ac:dyDescent="0.25">
      <c r="A54" s="8" t="s">
        <v>749</v>
      </c>
      <c r="B54" s="8" t="s">
        <v>4</v>
      </c>
      <c r="C54" s="8" t="s">
        <v>404</v>
      </c>
      <c r="D54" s="8" t="s">
        <v>1615</v>
      </c>
      <c r="E54" s="8" t="s">
        <v>405</v>
      </c>
      <c r="F54" s="8" t="s">
        <v>747</v>
      </c>
      <c r="G54" s="8" t="s">
        <v>28</v>
      </c>
      <c r="H54" s="13" t="s">
        <v>59</v>
      </c>
      <c r="I54" s="642">
        <v>44963</v>
      </c>
      <c r="J54" s="18">
        <v>45148</v>
      </c>
      <c r="K54" s="175">
        <v>45147</v>
      </c>
      <c r="L54" s="649">
        <v>1</v>
      </c>
      <c r="M54" s="642"/>
      <c r="N54" s="642" t="s">
        <v>120</v>
      </c>
      <c r="O54" s="1060">
        <v>45139</v>
      </c>
      <c r="P54" s="1152" t="s">
        <v>739</v>
      </c>
      <c r="Q54" s="340">
        <v>65280.822</v>
      </c>
      <c r="R54" s="1026">
        <v>0.1</v>
      </c>
      <c r="S54" s="538"/>
      <c r="T54" s="538"/>
      <c r="U54" s="87"/>
      <c r="V54" s="858">
        <v>5576</v>
      </c>
      <c r="W54" s="437">
        <v>0</v>
      </c>
      <c r="X54" s="552">
        <v>626842.82999999996</v>
      </c>
      <c r="Y54" s="592"/>
      <c r="Z54" s="552">
        <v>25965.39</v>
      </c>
      <c r="AA54" s="552">
        <v>652808.22</v>
      </c>
      <c r="AB54" s="341">
        <v>45141</v>
      </c>
      <c r="AC54" s="568" t="s">
        <v>116</v>
      </c>
      <c r="AD54" s="1157" t="s">
        <v>29</v>
      </c>
      <c r="AE54" s="568" t="s">
        <v>756</v>
      </c>
      <c r="AF54" s="568" t="s">
        <v>756</v>
      </c>
      <c r="AG54" s="568" t="s">
        <v>116</v>
      </c>
      <c r="AH54" s="183">
        <v>45163</v>
      </c>
      <c r="AI54" s="1036"/>
      <c r="AJ54" s="1037"/>
      <c r="AK54" s="1037"/>
      <c r="AL54" s="1038"/>
      <c r="AM54" s="536" t="s">
        <v>116</v>
      </c>
      <c r="AN54" s="801" t="s">
        <v>709</v>
      </c>
      <c r="AO54" s="601"/>
      <c r="AP54" s="572"/>
      <c r="AQ54" s="572"/>
      <c r="AR54" s="572"/>
      <c r="AS54" s="538">
        <f>IF(Table15910[[#This Row],[PCTS Approved]]="N",0,Table15910[[#This Row],[Investment Amount (1'#'#'#'#'#)]]+Table15910[[#This Row],[Retirement Amount (3'#'#'#'#'#)]])</f>
        <v>0</v>
      </c>
      <c r="AT54" s="538">
        <f>IF(Table15910[[#This Row],[Approved Construction Cost]]=0,0,Table15910[[#This Row],[Approved Construction Cost]]-Table15910[[#This Row],[Construction Cost to Bill From]])</f>
        <v>0</v>
      </c>
      <c r="AU54" s="538">
        <f>IFERROR(Table15910[[#This Row],[Difference in Construction Cost]]*Table15910[[#This Row],[Rate]],Table15910[[#This Row],[Difference in Construction Cost]]*0.085)</f>
        <v>0</v>
      </c>
      <c r="AV54" s="572"/>
      <c r="AW54" s="1449" t="s">
        <v>9173</v>
      </c>
      <c r="AX54" s="555"/>
      <c r="AY54" s="1035" t="s">
        <v>709</v>
      </c>
      <c r="AZ54" s="443">
        <v>94</v>
      </c>
      <c r="BA54" s="859" t="s">
        <v>1616</v>
      </c>
      <c r="BB54" s="644" t="s">
        <v>1617</v>
      </c>
      <c r="BC54" s="544" t="s">
        <v>116</v>
      </c>
      <c r="BD54" s="544" t="s">
        <v>709</v>
      </c>
      <c r="BE54" s="544" t="s">
        <v>115</v>
      </c>
      <c r="BF54" s="544" t="s">
        <v>115</v>
      </c>
      <c r="BG54" s="548" t="s">
        <v>1618</v>
      </c>
      <c r="BH54" s="749" t="s">
        <v>1619</v>
      </c>
      <c r="BI54" s="547" t="s">
        <v>709</v>
      </c>
      <c r="BJ54" s="547" t="s">
        <v>116</v>
      </c>
      <c r="BK54" s="547" t="s">
        <v>709</v>
      </c>
      <c r="BL54" s="547" t="s">
        <v>709</v>
      </c>
      <c r="BM54" s="547" t="s">
        <v>709</v>
      </c>
      <c r="BN54" s="547" t="s">
        <v>709</v>
      </c>
      <c r="BO54" s="547" t="s">
        <v>709</v>
      </c>
      <c r="BP54" s="547" t="s">
        <v>709</v>
      </c>
      <c r="BQ54" s="547" t="s">
        <v>709</v>
      </c>
      <c r="BR54" s="547" t="s">
        <v>709</v>
      </c>
      <c r="BS54" s="547">
        <v>5576</v>
      </c>
      <c r="BT54" s="547" t="s">
        <v>709</v>
      </c>
      <c r="BU54" s="547" t="s">
        <v>709</v>
      </c>
      <c r="BV54" s="547" t="s">
        <v>709</v>
      </c>
      <c r="BW54" s="547" t="s">
        <v>709</v>
      </c>
      <c r="BX54" s="547" t="s">
        <v>745</v>
      </c>
      <c r="BY54" s="547" t="s">
        <v>709</v>
      </c>
      <c r="BZ54" s="547" t="s">
        <v>709</v>
      </c>
      <c r="CA54" s="484" t="s">
        <v>1022</v>
      </c>
    </row>
    <row r="55" spans="1:79" ht="15" hidden="1" customHeight="1" x14ac:dyDescent="0.25">
      <c r="A55" s="8" t="s">
        <v>749</v>
      </c>
      <c r="B55" s="8" t="s">
        <v>4</v>
      </c>
      <c r="C55" s="8" t="s">
        <v>1588</v>
      </c>
      <c r="D55" s="8" t="s">
        <v>1589</v>
      </c>
      <c r="E55" s="8" t="s">
        <v>388</v>
      </c>
      <c r="F55" s="8" t="s">
        <v>747</v>
      </c>
      <c r="G55" s="8" t="s">
        <v>28</v>
      </c>
      <c r="H55" s="13" t="s">
        <v>59</v>
      </c>
      <c r="I55" s="642">
        <v>44915</v>
      </c>
      <c r="J55" s="18">
        <v>45135</v>
      </c>
      <c r="K55" s="175">
        <v>45133</v>
      </c>
      <c r="L55" s="649">
        <v>2</v>
      </c>
      <c r="M55" s="642"/>
      <c r="N55" s="642" t="s">
        <v>120</v>
      </c>
      <c r="O55" s="1060">
        <v>45139</v>
      </c>
      <c r="P55" s="1152" t="s">
        <v>739</v>
      </c>
      <c r="Q55" s="340">
        <v>25017.435000000001</v>
      </c>
      <c r="R55" s="1026">
        <v>0.1</v>
      </c>
      <c r="S55" s="538"/>
      <c r="T55" s="538"/>
      <c r="U55" s="87"/>
      <c r="V55" s="858">
        <v>485</v>
      </c>
      <c r="W55" s="437">
        <v>0</v>
      </c>
      <c r="X55" s="552">
        <v>250174.35</v>
      </c>
      <c r="Y55" s="592"/>
      <c r="Z55" s="552">
        <v>0</v>
      </c>
      <c r="AA55" s="552">
        <v>250174.35</v>
      </c>
      <c r="AB55" s="341">
        <v>45028</v>
      </c>
      <c r="AC55" s="568" t="s">
        <v>116</v>
      </c>
      <c r="AD55" s="1157" t="s">
        <v>29</v>
      </c>
      <c r="AE55" s="568" t="s">
        <v>756</v>
      </c>
      <c r="AF55" s="568" t="s">
        <v>756</v>
      </c>
      <c r="AG55" s="568" t="s">
        <v>116</v>
      </c>
      <c r="AH55" s="183">
        <v>45163</v>
      </c>
      <c r="AI55" s="1036"/>
      <c r="AJ55" s="1037"/>
      <c r="AK55" s="1037"/>
      <c r="AL55" s="1038"/>
      <c r="AM55" s="536" t="s">
        <v>116</v>
      </c>
      <c r="AN55" s="801" t="s">
        <v>709</v>
      </c>
      <c r="AO55" s="601" t="s">
        <v>115</v>
      </c>
      <c r="AP55" s="572"/>
      <c r="AQ55" s="572"/>
      <c r="AR55" s="572"/>
      <c r="AS55" s="538">
        <f>IF(Table15910[[#This Row],[PCTS Approved]]="N",0,Table15910[[#This Row],[Investment Amount (1'#'#'#'#'#)]]+Table15910[[#This Row],[Retirement Amount (3'#'#'#'#'#)]])</f>
        <v>0</v>
      </c>
      <c r="AT55" s="538">
        <f>IF(Table15910[[#This Row],[Approved Construction Cost]]=0,0,Table15910[[#This Row],[Approved Construction Cost]]-Table15910[[#This Row],[Construction Cost to Bill From]])</f>
        <v>0</v>
      </c>
      <c r="AU55" s="538">
        <f>IFERROR(Table15910[[#This Row],[Difference in Construction Cost]]*Table15910[[#This Row],[Rate]],Table15910[[#This Row],[Difference in Construction Cost]]*0.085)</f>
        <v>0</v>
      </c>
      <c r="AV55" s="572"/>
      <c r="AW55" s="641"/>
      <c r="AX55" s="555"/>
      <c r="AY55" s="1035" t="s">
        <v>709</v>
      </c>
      <c r="AZ55" s="443">
        <v>91</v>
      </c>
      <c r="BA55" s="859" t="s">
        <v>1590</v>
      </c>
      <c r="BB55" s="644" t="s">
        <v>870</v>
      </c>
      <c r="BC55" s="544" t="s">
        <v>116</v>
      </c>
      <c r="BD55" s="544" t="s">
        <v>709</v>
      </c>
      <c r="BE55" s="544" t="s">
        <v>1591</v>
      </c>
      <c r="BF55" s="544" t="s">
        <v>709</v>
      </c>
      <c r="BG55" s="548" t="s">
        <v>709</v>
      </c>
      <c r="BH55" s="749" t="s">
        <v>1592</v>
      </c>
      <c r="BI55" s="547" t="s">
        <v>709</v>
      </c>
      <c r="BJ55" s="547" t="s">
        <v>709</v>
      </c>
      <c r="BK55" s="547" t="s">
        <v>709</v>
      </c>
      <c r="BL55" s="547" t="s">
        <v>116</v>
      </c>
      <c r="BM55" s="547" t="s">
        <v>709</v>
      </c>
      <c r="BN55" s="547" t="s">
        <v>709</v>
      </c>
      <c r="BO55" s="547" t="s">
        <v>709</v>
      </c>
      <c r="BP55" s="547">
        <v>1187</v>
      </c>
      <c r="BQ55" s="547">
        <v>14</v>
      </c>
      <c r="BR55" s="547">
        <v>280</v>
      </c>
      <c r="BS55" s="547">
        <v>189</v>
      </c>
      <c r="BT55" s="547" t="s">
        <v>709</v>
      </c>
      <c r="BU55" s="547" t="s">
        <v>709</v>
      </c>
      <c r="BV55" s="547" t="s">
        <v>709</v>
      </c>
      <c r="BW55" s="547" t="s">
        <v>709</v>
      </c>
      <c r="BX55" s="547" t="s">
        <v>745</v>
      </c>
      <c r="BY55" s="547" t="s">
        <v>709</v>
      </c>
      <c r="BZ55" s="547" t="s">
        <v>709</v>
      </c>
      <c r="CA55" s="483"/>
    </row>
    <row r="56" spans="1:79" ht="15" hidden="1" customHeight="1" x14ac:dyDescent="0.25">
      <c r="A56" s="8" t="s">
        <v>749</v>
      </c>
      <c r="B56" s="8" t="s">
        <v>4</v>
      </c>
      <c r="C56" s="8" t="s">
        <v>387</v>
      </c>
      <c r="D56" s="8" t="s">
        <v>1593</v>
      </c>
      <c r="E56" s="8" t="s">
        <v>388</v>
      </c>
      <c r="F56" s="8" t="s">
        <v>747</v>
      </c>
      <c r="G56" s="8" t="s">
        <v>28</v>
      </c>
      <c r="H56" s="13" t="s">
        <v>59</v>
      </c>
      <c r="I56" s="642">
        <v>44915</v>
      </c>
      <c r="J56" s="18">
        <v>45135</v>
      </c>
      <c r="K56" s="175">
        <v>45133</v>
      </c>
      <c r="L56" s="649">
        <v>2</v>
      </c>
      <c r="M56" s="642"/>
      <c r="N56" s="642" t="s">
        <v>120</v>
      </c>
      <c r="O56" s="1060">
        <v>45139</v>
      </c>
      <c r="P56" s="1152" t="s">
        <v>739</v>
      </c>
      <c r="Q56" s="340">
        <v>101276.04000000001</v>
      </c>
      <c r="R56" s="1026">
        <v>0.1</v>
      </c>
      <c r="S56" s="538"/>
      <c r="T56" s="538"/>
      <c r="U56" s="87"/>
      <c r="V56" s="858">
        <v>1670</v>
      </c>
      <c r="W56" s="437">
        <v>0</v>
      </c>
      <c r="X56" s="552">
        <v>910834.15</v>
      </c>
      <c r="Y56" s="592"/>
      <c r="Z56" s="552">
        <v>101926.25</v>
      </c>
      <c r="AA56" s="552">
        <v>1012760.4</v>
      </c>
      <c r="AB56" s="341">
        <v>45124</v>
      </c>
      <c r="AC56" s="568" t="s">
        <v>116</v>
      </c>
      <c r="AD56" s="1157" t="s">
        <v>29</v>
      </c>
      <c r="AE56" s="568" t="s">
        <v>756</v>
      </c>
      <c r="AF56" s="568" t="s">
        <v>756</v>
      </c>
      <c r="AG56" s="568" t="s">
        <v>116</v>
      </c>
      <c r="AH56" s="183">
        <v>45163</v>
      </c>
      <c r="AI56" s="1036"/>
      <c r="AJ56" s="1037"/>
      <c r="AK56" s="1037"/>
      <c r="AL56" s="1038"/>
      <c r="AM56" s="536" t="s">
        <v>116</v>
      </c>
      <c r="AN56" s="801" t="s">
        <v>709</v>
      </c>
      <c r="AO56" s="601" t="s">
        <v>115</v>
      </c>
      <c r="AP56" s="572"/>
      <c r="AQ56" s="572"/>
      <c r="AR56" s="572"/>
      <c r="AS56" s="538">
        <f>IF(Table15910[[#This Row],[PCTS Approved]]="N",0,Table15910[[#This Row],[Investment Amount (1'#'#'#'#'#)]]+Table15910[[#This Row],[Retirement Amount (3'#'#'#'#'#)]])</f>
        <v>0</v>
      </c>
      <c r="AT56" s="538">
        <f>IF(Table15910[[#This Row],[Approved Construction Cost]]=0,0,Table15910[[#This Row],[Approved Construction Cost]]-Table15910[[#This Row],[Construction Cost to Bill From]])</f>
        <v>0</v>
      </c>
      <c r="AU56" s="538">
        <f>IFERROR(Table15910[[#This Row],[Difference in Construction Cost]]*Table15910[[#This Row],[Rate]],Table15910[[#This Row],[Difference in Construction Cost]]*0.085)</f>
        <v>0</v>
      </c>
      <c r="AV56" s="572"/>
      <c r="AW56" s="641"/>
      <c r="AX56" s="555"/>
      <c r="AY56" s="1035" t="s">
        <v>709</v>
      </c>
      <c r="AZ56" s="443">
        <v>92</v>
      </c>
      <c r="BA56" s="859" t="s">
        <v>1590</v>
      </c>
      <c r="BB56" s="644" t="s">
        <v>870</v>
      </c>
      <c r="BC56" s="544" t="s">
        <v>116</v>
      </c>
      <c r="BD56" s="544" t="s">
        <v>709</v>
      </c>
      <c r="BE56" s="544" t="s">
        <v>1591</v>
      </c>
      <c r="BF56" s="544" t="s">
        <v>709</v>
      </c>
      <c r="BG56" s="548" t="s">
        <v>709</v>
      </c>
      <c r="BH56" s="749" t="s">
        <v>1594</v>
      </c>
      <c r="BI56" s="547" t="s">
        <v>709</v>
      </c>
      <c r="BJ56" s="547" t="s">
        <v>709</v>
      </c>
      <c r="BK56" s="547" t="s">
        <v>709</v>
      </c>
      <c r="BL56" s="547" t="s">
        <v>116</v>
      </c>
      <c r="BM56" s="547" t="s">
        <v>709</v>
      </c>
      <c r="BN56" s="547" t="s">
        <v>709</v>
      </c>
      <c r="BO56" s="547" t="s">
        <v>709</v>
      </c>
      <c r="BP56" s="547">
        <v>1187</v>
      </c>
      <c r="BQ56" s="547">
        <v>14</v>
      </c>
      <c r="BR56" s="547">
        <v>280</v>
      </c>
      <c r="BS56" s="547">
        <v>189</v>
      </c>
      <c r="BT56" s="547" t="s">
        <v>709</v>
      </c>
      <c r="BU56" s="547" t="s">
        <v>709</v>
      </c>
      <c r="BV56" s="547" t="s">
        <v>709</v>
      </c>
      <c r="BW56" s="547" t="s">
        <v>709</v>
      </c>
      <c r="BX56" s="547" t="s">
        <v>745</v>
      </c>
      <c r="BY56" s="547" t="s">
        <v>709</v>
      </c>
      <c r="BZ56" s="547" t="s">
        <v>709</v>
      </c>
      <c r="CA56" s="484" t="s">
        <v>1022</v>
      </c>
    </row>
    <row r="57" spans="1:79" ht="15" hidden="1" customHeight="1" x14ac:dyDescent="0.25">
      <c r="A57" s="8" t="s">
        <v>749</v>
      </c>
      <c r="B57" s="8" t="s">
        <v>4</v>
      </c>
      <c r="C57" s="8" t="s">
        <v>1473</v>
      </c>
      <c r="D57" s="8" t="s">
        <v>1474</v>
      </c>
      <c r="E57" s="8" t="s">
        <v>1154</v>
      </c>
      <c r="F57" s="8" t="s">
        <v>747</v>
      </c>
      <c r="G57" s="8" t="s">
        <v>28</v>
      </c>
      <c r="H57" s="8" t="s">
        <v>59</v>
      </c>
      <c r="I57" s="642">
        <v>44939</v>
      </c>
      <c r="J57" s="18">
        <v>45044</v>
      </c>
      <c r="K57" s="97">
        <v>45044</v>
      </c>
      <c r="L57" s="16">
        <v>0</v>
      </c>
      <c r="M57" s="642"/>
      <c r="N57" s="642" t="s">
        <v>120</v>
      </c>
      <c r="O57" s="1060">
        <v>45047</v>
      </c>
      <c r="P57" s="1152" t="s">
        <v>739</v>
      </c>
      <c r="Q57" s="340">
        <v>82497.73000000001</v>
      </c>
      <c r="R57" s="1026">
        <v>0.1</v>
      </c>
      <c r="S57" s="538"/>
      <c r="T57" s="538"/>
      <c r="U57" s="87"/>
      <c r="V57" s="858">
        <v>2410</v>
      </c>
      <c r="W57" s="437">
        <v>0</v>
      </c>
      <c r="X57" s="538">
        <v>756203.8</v>
      </c>
      <c r="Y57" s="592"/>
      <c r="Z57" s="552">
        <v>68773.5</v>
      </c>
      <c r="AA57" s="552">
        <v>824977.3</v>
      </c>
      <c r="AB57" s="341">
        <v>45054</v>
      </c>
      <c r="AC57" s="1219" t="s">
        <v>1177</v>
      </c>
      <c r="AD57" s="1157" t="s">
        <v>116</v>
      </c>
      <c r="AE57" s="579"/>
      <c r="AF57" s="579"/>
      <c r="AG57" s="579"/>
      <c r="AH57" s="553"/>
      <c r="AI57" s="1036"/>
      <c r="AJ57" s="1037"/>
      <c r="AK57" s="1037"/>
      <c r="AL57" s="1038"/>
      <c r="AM57" s="536" t="s">
        <v>116</v>
      </c>
      <c r="AN57" s="801" t="s">
        <v>709</v>
      </c>
      <c r="AO57" s="601" t="s">
        <v>115</v>
      </c>
      <c r="AP57" s="572"/>
      <c r="AQ57" s="572"/>
      <c r="AR57" s="572"/>
      <c r="AS57" s="538">
        <f>IF(Table15910[[#This Row],[PCTS Approved]]="N",0,Table15910[[#This Row],[Investment Amount (1'#'#'#'#'#)]]+Table15910[[#This Row],[Retirement Amount (3'#'#'#'#'#)]])</f>
        <v>0</v>
      </c>
      <c r="AT57" s="538">
        <f>IF(Table15910[[#This Row],[Approved Construction Cost]]=0,0,Table15910[[#This Row],[Approved Construction Cost]]-Table15910[[#This Row],[Construction Cost to Bill From]])</f>
        <v>0</v>
      </c>
      <c r="AU57" s="538">
        <f>IFERROR(Table15910[[#This Row],[Difference in Construction Cost]]*Table15910[[#This Row],[Rate]],Table15910[[#This Row],[Difference in Construction Cost]]*0.085)</f>
        <v>0</v>
      </c>
      <c r="AV57" s="572"/>
      <c r="AW57" s="639"/>
      <c r="AX57" s="538"/>
      <c r="AY57" s="1035" t="s">
        <v>709</v>
      </c>
      <c r="AZ57" s="443">
        <v>84</v>
      </c>
      <c r="BA57" s="859" t="s">
        <v>1475</v>
      </c>
      <c r="BB57" s="644" t="s">
        <v>1380</v>
      </c>
      <c r="BC57" s="544" t="s">
        <v>116</v>
      </c>
      <c r="BD57" s="544" t="s">
        <v>709</v>
      </c>
      <c r="BE57" s="544" t="s">
        <v>1381</v>
      </c>
      <c r="BF57" s="544" t="s">
        <v>709</v>
      </c>
      <c r="BG57" s="544" t="s">
        <v>709</v>
      </c>
      <c r="BH57" s="741" t="s">
        <v>1476</v>
      </c>
      <c r="BI57" s="547" t="s">
        <v>709</v>
      </c>
      <c r="BJ57" s="547" t="s">
        <v>709</v>
      </c>
      <c r="BK57" s="547" t="s">
        <v>709</v>
      </c>
      <c r="BL57" s="547" t="s">
        <v>116</v>
      </c>
      <c r="BM57" s="547" t="s">
        <v>709</v>
      </c>
      <c r="BN57" s="547" t="s">
        <v>709</v>
      </c>
      <c r="BO57" s="547" t="s">
        <v>709</v>
      </c>
      <c r="BP57" s="547" t="s">
        <v>709</v>
      </c>
      <c r="BQ57" s="547">
        <v>733</v>
      </c>
      <c r="BR57" s="547">
        <v>904</v>
      </c>
      <c r="BS57" s="547">
        <v>773</v>
      </c>
      <c r="BT57" s="547" t="s">
        <v>745</v>
      </c>
      <c r="BU57" s="547" t="s">
        <v>709</v>
      </c>
      <c r="BV57" s="547" t="s">
        <v>745</v>
      </c>
      <c r="BW57" s="547" t="s">
        <v>709</v>
      </c>
      <c r="BX57" s="547" t="s">
        <v>745</v>
      </c>
      <c r="BY57" s="547" t="s">
        <v>745</v>
      </c>
      <c r="BZ57" s="547" t="s">
        <v>709</v>
      </c>
      <c r="CA57" s="483" t="s">
        <v>769</v>
      </c>
    </row>
    <row r="58" spans="1:79" ht="15" hidden="1" customHeight="1" x14ac:dyDescent="0.25">
      <c r="A58" s="874" t="s">
        <v>6816</v>
      </c>
      <c r="B58" s="878" t="s">
        <v>4</v>
      </c>
      <c r="C58" s="1286" t="s">
        <v>8284</v>
      </c>
      <c r="D58" s="880" t="s">
        <v>8285</v>
      </c>
      <c r="E58" s="879" t="s">
        <v>2144</v>
      </c>
      <c r="F58" s="878" t="s">
        <v>8286</v>
      </c>
      <c r="G58" s="878" t="s">
        <v>6377</v>
      </c>
      <c r="H58" s="878" t="s">
        <v>59</v>
      </c>
      <c r="I58" s="881">
        <v>45572</v>
      </c>
      <c r="J58" s="956">
        <v>45709</v>
      </c>
      <c r="K58" s="945">
        <v>45706</v>
      </c>
      <c r="L58" s="884">
        <v>3</v>
      </c>
      <c r="M58" s="879"/>
      <c r="N58" s="885" t="s">
        <v>120</v>
      </c>
      <c r="O58" s="886">
        <v>45717</v>
      </c>
      <c r="P58" s="1153" t="s">
        <v>739</v>
      </c>
      <c r="Q58" s="1150">
        <v>21365.47</v>
      </c>
      <c r="R58" s="887">
        <v>0.1</v>
      </c>
      <c r="S58" s="888" t="s">
        <v>29</v>
      </c>
      <c r="T58" s="888" t="s">
        <v>29</v>
      </c>
      <c r="U58" s="889" t="s">
        <v>29</v>
      </c>
      <c r="V58" s="890">
        <v>315</v>
      </c>
      <c r="W58" s="1021" t="s">
        <v>29</v>
      </c>
      <c r="X58" s="888">
        <v>183850.82</v>
      </c>
      <c r="Y58" s="891"/>
      <c r="Z58" s="888">
        <v>29803.88</v>
      </c>
      <c r="AA58" s="892">
        <v>213654.7</v>
      </c>
      <c r="AB58" s="893">
        <v>45698</v>
      </c>
      <c r="AC58" s="894" t="s">
        <v>29</v>
      </c>
      <c r="AD58" s="1161" t="s">
        <v>29</v>
      </c>
      <c r="AE58" s="940" t="s">
        <v>756</v>
      </c>
      <c r="AF58" s="895" t="s">
        <v>756</v>
      </c>
      <c r="AG58" s="896" t="s">
        <v>116</v>
      </c>
      <c r="AH58" s="897">
        <v>45735</v>
      </c>
      <c r="AI58" s="898">
        <v>0</v>
      </c>
      <c r="AJ58" s="899">
        <v>14600</v>
      </c>
      <c r="AK58" s="960">
        <v>5066.2700000000004</v>
      </c>
      <c r="AL58" s="901">
        <v>0.92046980478313833</v>
      </c>
      <c r="AM58" s="902" t="s">
        <v>116</v>
      </c>
      <c r="AN58" s="1353">
        <v>45785</v>
      </c>
      <c r="AO58" s="1354">
        <v>11102480</v>
      </c>
      <c r="AP58" s="1320">
        <v>184046.07999999999</v>
      </c>
      <c r="AQ58" s="1293"/>
      <c r="AR58" s="1320">
        <v>29803.88</v>
      </c>
      <c r="AS58" s="538">
        <f>IF(Table15910[[#This Row],[PCTS Approved]]="N",0,Table15910[[#This Row],[Investment Amount (1'#'#'#'#'#)]]+Table15910[[#This Row],[Retirement Amount (3'#'#'#'#'#)]])</f>
        <v>213849.96</v>
      </c>
      <c r="AT58" s="538">
        <f>IF(Table15910[[#This Row],[Approved Construction Cost]]=0,0,Table15910[[#This Row],[Approved Construction Cost]]-Table15910[[#This Row],[Construction Cost to Bill From]])</f>
        <v>195.25999999998021</v>
      </c>
      <c r="AU58" s="538">
        <f>IFERROR(Table15910[[#This Row],[Difference in Construction Cost]]*Table15910[[#This Row],[Rate]],Table15910[[#This Row],[Difference in Construction Cost]]*0.085)</f>
        <v>19.525999999998021</v>
      </c>
      <c r="AV58" s="1357" t="s">
        <v>29</v>
      </c>
      <c r="AW58" s="1450" t="s">
        <v>6381</v>
      </c>
      <c r="AX58" s="908"/>
      <c r="AY58" s="909" t="s">
        <v>709</v>
      </c>
      <c r="AZ58" s="1022"/>
      <c r="BA58" s="968" t="s">
        <v>8287</v>
      </c>
      <c r="BB58" s="928" t="s">
        <v>1236</v>
      </c>
      <c r="BC58" s="912" t="s">
        <v>116</v>
      </c>
      <c r="BD58" s="913" t="s">
        <v>882</v>
      </c>
      <c r="BE58" s="914" t="s">
        <v>8288</v>
      </c>
      <c r="BF58" s="914" t="s">
        <v>709</v>
      </c>
      <c r="BG58" s="943" t="s">
        <v>709</v>
      </c>
      <c r="BH58" s="1175" t="s">
        <v>8289</v>
      </c>
      <c r="BI58" s="929" t="s">
        <v>709</v>
      </c>
      <c r="BJ58" s="929" t="s">
        <v>709</v>
      </c>
      <c r="BK58" s="916" t="s">
        <v>709</v>
      </c>
      <c r="BL58" s="916" t="s">
        <v>116</v>
      </c>
      <c r="BM58" s="916" t="s">
        <v>709</v>
      </c>
      <c r="BN58" s="916" t="s">
        <v>709</v>
      </c>
      <c r="BO58" s="916" t="s">
        <v>709</v>
      </c>
      <c r="BP58" s="916" t="s">
        <v>709</v>
      </c>
      <c r="BQ58" s="916" t="s">
        <v>709</v>
      </c>
      <c r="BR58" s="916">
        <v>315</v>
      </c>
      <c r="BS58" s="916" t="s">
        <v>709</v>
      </c>
      <c r="BT58" s="916" t="s">
        <v>709</v>
      </c>
      <c r="BU58" s="916" t="s">
        <v>709</v>
      </c>
      <c r="BV58" s="916" t="s">
        <v>709</v>
      </c>
      <c r="BW58" s="916" t="s">
        <v>709</v>
      </c>
      <c r="BX58" s="916" t="s">
        <v>709</v>
      </c>
      <c r="BY58" s="916" t="s">
        <v>709</v>
      </c>
      <c r="BZ58" s="916" t="s">
        <v>709</v>
      </c>
      <c r="CA58" s="483" t="s">
        <v>769</v>
      </c>
    </row>
    <row r="59" spans="1:79" ht="15" hidden="1" customHeight="1" x14ac:dyDescent="0.25">
      <c r="A59" s="874" t="s">
        <v>6816</v>
      </c>
      <c r="B59" s="878" t="s">
        <v>4</v>
      </c>
      <c r="C59" s="1286" t="s">
        <v>8571</v>
      </c>
      <c r="D59" s="880" t="s">
        <v>8572</v>
      </c>
      <c r="E59" s="879" t="s">
        <v>2298</v>
      </c>
      <c r="F59" s="878" t="s">
        <v>1102</v>
      </c>
      <c r="G59" s="878" t="s">
        <v>7455</v>
      </c>
      <c r="H59" s="878" t="s">
        <v>59</v>
      </c>
      <c r="I59" s="881">
        <v>45580</v>
      </c>
      <c r="J59" s="882">
        <v>45751</v>
      </c>
      <c r="K59" s="945">
        <v>45740</v>
      </c>
      <c r="L59" s="884">
        <v>11</v>
      </c>
      <c r="M59" s="879"/>
      <c r="N59" s="885" t="s">
        <v>739</v>
      </c>
      <c r="O59" s="886">
        <v>45772</v>
      </c>
      <c r="P59" s="1153" t="s">
        <v>739</v>
      </c>
      <c r="Q59" s="1150">
        <v>140503.11300000001</v>
      </c>
      <c r="R59" s="887">
        <v>0.1</v>
      </c>
      <c r="S59" s="888" t="s">
        <v>29</v>
      </c>
      <c r="T59" s="888" t="s">
        <v>29</v>
      </c>
      <c r="U59" s="889" t="s">
        <v>29</v>
      </c>
      <c r="V59" s="890">
        <v>5964</v>
      </c>
      <c r="W59" s="1021" t="s">
        <v>29</v>
      </c>
      <c r="X59" s="888">
        <v>1297233.07</v>
      </c>
      <c r="Y59" s="891"/>
      <c r="Z59" s="888">
        <v>107798.06</v>
      </c>
      <c r="AA59" s="892">
        <v>1405031.1300000001</v>
      </c>
      <c r="AB59" s="893">
        <v>45715</v>
      </c>
      <c r="AC59" s="894" t="s">
        <v>709</v>
      </c>
      <c r="AD59" s="1161" t="s">
        <v>29</v>
      </c>
      <c r="AE59" s="940" t="s">
        <v>756</v>
      </c>
      <c r="AF59" s="895" t="s">
        <v>756</v>
      </c>
      <c r="AG59" s="896" t="s">
        <v>116</v>
      </c>
      <c r="AH59" s="897">
        <v>45806</v>
      </c>
      <c r="AI59" s="898">
        <v>0</v>
      </c>
      <c r="AJ59" s="1003">
        <v>7198.72</v>
      </c>
      <c r="AK59" s="899">
        <v>4107.3599999999997</v>
      </c>
      <c r="AL59" s="901">
        <v>8.0468537376819541E-2</v>
      </c>
      <c r="AM59" s="902" t="s">
        <v>116</v>
      </c>
      <c r="AN59" s="1353">
        <v>45763</v>
      </c>
      <c r="AO59" s="1354">
        <v>11101548</v>
      </c>
      <c r="AP59" s="1320">
        <v>1297233.07</v>
      </c>
      <c r="AQ59" s="1293"/>
      <c r="AR59" s="1320">
        <v>107798.06</v>
      </c>
      <c r="AS59" s="538">
        <f>IF(Table15910[[#This Row],[PCTS Approved]]="N",0,Table15910[[#This Row],[Investment Amount (1'#'#'#'#'#)]]+Table15910[[#This Row],[Retirement Amount (3'#'#'#'#'#)]])</f>
        <v>1405031.1300000001</v>
      </c>
      <c r="AT59" s="538">
        <f>IF(Table15910[[#This Row],[Approved Construction Cost]]=0,0,Table15910[[#This Row],[Approved Construction Cost]]-Table15910[[#This Row],[Construction Cost to Bill From]])</f>
        <v>0</v>
      </c>
      <c r="AU59" s="538">
        <f>IFERROR(Table15910[[#This Row],[Difference in Construction Cost]]*Table15910[[#This Row],[Rate]],Table15910[[#This Row],[Difference in Construction Cost]]*0.085)</f>
        <v>0</v>
      </c>
      <c r="AV59" s="1356" t="s">
        <v>29</v>
      </c>
      <c r="AW59" s="1450"/>
      <c r="AX59" s="908"/>
      <c r="AY59" s="909" t="s">
        <v>709</v>
      </c>
      <c r="AZ59" s="1022"/>
      <c r="BA59" s="910" t="s">
        <v>8573</v>
      </c>
      <c r="BB59" s="911" t="s">
        <v>8574</v>
      </c>
      <c r="BC59" s="912" t="s">
        <v>709</v>
      </c>
      <c r="BD59" s="913" t="s">
        <v>709</v>
      </c>
      <c r="BE59" s="914" t="s">
        <v>3119</v>
      </c>
      <c r="BF59" s="914" t="s">
        <v>709</v>
      </c>
      <c r="BG59" s="915" t="s">
        <v>709</v>
      </c>
      <c r="BH59" s="1023" t="s">
        <v>8575</v>
      </c>
      <c r="BI59" s="929" t="s">
        <v>709</v>
      </c>
      <c r="BJ59" s="929" t="s">
        <v>709</v>
      </c>
      <c r="BK59" s="916" t="s">
        <v>709</v>
      </c>
      <c r="BL59" s="916" t="s">
        <v>116</v>
      </c>
      <c r="BM59" s="916" t="s">
        <v>709</v>
      </c>
      <c r="BN59" s="916" t="s">
        <v>709</v>
      </c>
      <c r="BO59" s="916" t="s">
        <v>709</v>
      </c>
      <c r="BP59" s="916" t="s">
        <v>709</v>
      </c>
      <c r="BQ59" s="916" t="s">
        <v>709</v>
      </c>
      <c r="BR59" s="916">
        <v>237</v>
      </c>
      <c r="BS59" s="916">
        <v>5727</v>
      </c>
      <c r="BT59" s="916" t="s">
        <v>709</v>
      </c>
      <c r="BU59" s="916" t="s">
        <v>709</v>
      </c>
      <c r="BV59" s="916" t="s">
        <v>709</v>
      </c>
      <c r="BW59" s="916" t="s">
        <v>709</v>
      </c>
      <c r="BX59" s="916" t="s">
        <v>709</v>
      </c>
      <c r="BY59" s="916" t="s">
        <v>709</v>
      </c>
      <c r="BZ59" s="916" t="s">
        <v>709</v>
      </c>
      <c r="CA59" s="483" t="s">
        <v>1022</v>
      </c>
    </row>
    <row r="60" spans="1:79" ht="15" hidden="1" customHeight="1" x14ac:dyDescent="0.25">
      <c r="A60" s="8" t="s">
        <v>800</v>
      </c>
      <c r="B60" s="8" t="s">
        <v>4</v>
      </c>
      <c r="C60" s="656" t="s">
        <v>6745</v>
      </c>
      <c r="D60" s="8" t="s">
        <v>6746</v>
      </c>
      <c r="E60" s="8" t="s">
        <v>76</v>
      </c>
      <c r="F60" s="8" t="s">
        <v>851</v>
      </c>
      <c r="G60" s="8" t="s">
        <v>6377</v>
      </c>
      <c r="H60" s="8" t="s">
        <v>59</v>
      </c>
      <c r="I60" s="642">
        <v>45496</v>
      </c>
      <c r="J60" s="18">
        <v>45611</v>
      </c>
      <c r="K60" s="97">
        <v>45610</v>
      </c>
      <c r="L60" s="16">
        <v>1</v>
      </c>
      <c r="M60" s="642"/>
      <c r="N60" s="99" t="s">
        <v>120</v>
      </c>
      <c r="O60" s="1060">
        <v>45597</v>
      </c>
      <c r="P60" s="1152" t="s">
        <v>739</v>
      </c>
      <c r="Q60" s="1061">
        <v>108189.251</v>
      </c>
      <c r="R60" s="1026">
        <v>0.1</v>
      </c>
      <c r="S60" s="538" t="s">
        <v>29</v>
      </c>
      <c r="T60" s="538" t="s">
        <v>29</v>
      </c>
      <c r="U60" s="28" t="s">
        <v>29</v>
      </c>
      <c r="V60" s="858">
        <v>2585</v>
      </c>
      <c r="W60" s="437">
        <v>0</v>
      </c>
      <c r="X60" s="538">
        <v>863453.43</v>
      </c>
      <c r="Y60" s="550"/>
      <c r="Z60" s="552">
        <v>218439.08</v>
      </c>
      <c r="AA60" s="552">
        <v>1081892.51</v>
      </c>
      <c r="AB60" s="341">
        <v>45610</v>
      </c>
      <c r="AC60" s="569" t="s">
        <v>709</v>
      </c>
      <c r="AD60" s="1149" t="s">
        <v>29</v>
      </c>
      <c r="AE60" s="568" t="s">
        <v>756</v>
      </c>
      <c r="AF60" s="568" t="s">
        <v>756</v>
      </c>
      <c r="AG60" s="183" t="s">
        <v>116</v>
      </c>
      <c r="AH60" s="183">
        <v>45646</v>
      </c>
      <c r="AI60" s="1109" t="s">
        <v>29</v>
      </c>
      <c r="AJ60" s="1110">
        <v>6150</v>
      </c>
      <c r="AK60" s="1134">
        <v>8371.75</v>
      </c>
      <c r="AL60" s="1108">
        <v>0.1342254416753472</v>
      </c>
      <c r="AM60" s="536" t="s">
        <v>116</v>
      </c>
      <c r="AN60" s="801">
        <v>45722</v>
      </c>
      <c r="AO60" s="806">
        <v>11099580</v>
      </c>
      <c r="AP60" s="718">
        <v>870348.87</v>
      </c>
      <c r="AQ60" s="682"/>
      <c r="AR60" s="718">
        <v>218439.08</v>
      </c>
      <c r="AS60" s="538">
        <f>IF(Table15910[[#This Row],[PCTS Approved]]="N",0,Table15910[[#This Row],[Investment Amount (1'#'#'#'#'#)]]+Table15910[[#This Row],[Retirement Amount (3'#'#'#'#'#)]])</f>
        <v>1088787.95</v>
      </c>
      <c r="AT60" s="538">
        <f>IF(Table15910[[#This Row],[Approved Construction Cost]]=0,0,Table15910[[#This Row],[Approved Construction Cost]]-Table15910[[#This Row],[Construction Cost to Bill From]])</f>
        <v>6895.4399999999441</v>
      </c>
      <c r="AU60" s="538">
        <f>IFERROR(Table15910[[#This Row],[Difference in Construction Cost]]*Table15910[[#This Row],[Rate]],Table15910[[#This Row],[Difference in Construction Cost]]*0.085)</f>
        <v>689.54399999999441</v>
      </c>
      <c r="AV60" s="1357" t="s">
        <v>29</v>
      </c>
      <c r="AW60" s="1429" t="s">
        <v>6747</v>
      </c>
      <c r="AX60" s="555"/>
      <c r="AY60" s="1035" t="s">
        <v>709</v>
      </c>
      <c r="AZ60" s="443"/>
      <c r="BA60" s="1031" t="s">
        <v>6748</v>
      </c>
      <c r="BB60" s="644" t="s">
        <v>4997</v>
      </c>
      <c r="BC60" s="544" t="s">
        <v>115</v>
      </c>
      <c r="BD60" s="554" t="s">
        <v>115</v>
      </c>
      <c r="BE60" s="554" t="s">
        <v>6749</v>
      </c>
      <c r="BF60" s="588" t="s">
        <v>115</v>
      </c>
      <c r="BG60" s="588" t="s">
        <v>115</v>
      </c>
      <c r="BH60" s="615" t="s">
        <v>6750</v>
      </c>
      <c r="BI60" s="549" t="s">
        <v>709</v>
      </c>
      <c r="BJ60" s="549" t="s">
        <v>709</v>
      </c>
      <c r="BK60" s="549" t="s">
        <v>709</v>
      </c>
      <c r="BL60" s="547" t="s">
        <v>116</v>
      </c>
      <c r="BM60" s="549" t="s">
        <v>709</v>
      </c>
      <c r="BN60" s="549" t="s">
        <v>709</v>
      </c>
      <c r="BO60" s="549" t="s">
        <v>709</v>
      </c>
      <c r="BP60" s="549" t="s">
        <v>709</v>
      </c>
      <c r="BQ60" s="549" t="s">
        <v>709</v>
      </c>
      <c r="BR60" s="549" t="s">
        <v>709</v>
      </c>
      <c r="BS60" s="549">
        <v>2585</v>
      </c>
      <c r="BT60" s="549" t="s">
        <v>745</v>
      </c>
      <c r="BU60" s="549" t="s">
        <v>709</v>
      </c>
      <c r="BV60" s="549" t="s">
        <v>745</v>
      </c>
      <c r="BW60" s="549" t="s">
        <v>709</v>
      </c>
      <c r="BX60" s="549" t="s">
        <v>745</v>
      </c>
      <c r="BY60" s="549" t="s">
        <v>745</v>
      </c>
      <c r="BZ60" s="547" t="s">
        <v>709</v>
      </c>
      <c r="CA60" s="483"/>
    </row>
    <row r="61" spans="1:79" ht="15" hidden="1" customHeight="1" x14ac:dyDescent="0.25">
      <c r="A61" s="874" t="s">
        <v>6816</v>
      </c>
      <c r="B61" s="878" t="s">
        <v>4</v>
      </c>
      <c r="C61" s="879" t="s">
        <v>8304</v>
      </c>
      <c r="D61" s="880" t="s">
        <v>8305</v>
      </c>
      <c r="E61" s="879" t="s">
        <v>1117</v>
      </c>
      <c r="F61" s="878" t="s">
        <v>784</v>
      </c>
      <c r="G61" s="878" t="s">
        <v>7455</v>
      </c>
      <c r="H61" s="878" t="s">
        <v>59</v>
      </c>
      <c r="I61" s="881">
        <v>45586</v>
      </c>
      <c r="J61" s="956">
        <v>45709</v>
      </c>
      <c r="K61" s="945">
        <v>45708</v>
      </c>
      <c r="L61" s="884">
        <v>1</v>
      </c>
      <c r="M61" s="879"/>
      <c r="N61" s="885" t="s">
        <v>120</v>
      </c>
      <c r="O61" s="886">
        <v>45717</v>
      </c>
      <c r="P61" s="1153" t="s">
        <v>739</v>
      </c>
      <c r="Q61" s="1150">
        <v>16670.417000000001</v>
      </c>
      <c r="R61" s="887">
        <v>0.1</v>
      </c>
      <c r="S61" s="888" t="s">
        <v>29</v>
      </c>
      <c r="T61" s="888" t="s">
        <v>29</v>
      </c>
      <c r="U61" s="889" t="s">
        <v>29</v>
      </c>
      <c r="V61" s="890">
        <v>60</v>
      </c>
      <c r="W61" s="1021" t="s">
        <v>29</v>
      </c>
      <c r="X61" s="888">
        <v>117231.32</v>
      </c>
      <c r="Y61" s="891"/>
      <c r="Z61" s="888">
        <v>49472.85</v>
      </c>
      <c r="AA61" s="892">
        <v>166704.17000000001</v>
      </c>
      <c r="AB61" s="893" t="s">
        <v>8306</v>
      </c>
      <c r="AC61" s="894" t="s">
        <v>29</v>
      </c>
      <c r="AD61" s="1161" t="s">
        <v>29</v>
      </c>
      <c r="AE61" s="895" t="s">
        <v>756</v>
      </c>
      <c r="AF61" s="895" t="s">
        <v>756</v>
      </c>
      <c r="AG61" s="896" t="s">
        <v>116</v>
      </c>
      <c r="AH61" s="897">
        <v>45735</v>
      </c>
      <c r="AI61" s="898">
        <v>0</v>
      </c>
      <c r="AJ61" s="899">
        <v>0</v>
      </c>
      <c r="AK61" s="960">
        <v>0</v>
      </c>
      <c r="AL61" s="901">
        <v>0</v>
      </c>
      <c r="AM61" s="902" t="s">
        <v>116</v>
      </c>
      <c r="AN61" s="1353" t="s">
        <v>709</v>
      </c>
      <c r="AO61" s="904"/>
      <c r="AP61" s="905"/>
      <c r="AQ61" s="905"/>
      <c r="AR61" s="905"/>
      <c r="AS61" s="538">
        <f>IF(Table15910[[#This Row],[PCTS Approved]]="N",0,Table15910[[#This Row],[Investment Amount (1'#'#'#'#'#)]]+Table15910[[#This Row],[Retirement Amount (3'#'#'#'#'#)]])</f>
        <v>0</v>
      </c>
      <c r="AT61" s="538">
        <f>IF(Table15910[[#This Row],[Approved Construction Cost]]=0,0,Table15910[[#This Row],[Approved Construction Cost]]-Table15910[[#This Row],[Construction Cost to Bill From]])</f>
        <v>0</v>
      </c>
      <c r="AU61" s="538">
        <f>IFERROR(Table15910[[#This Row],[Difference in Construction Cost]]*Table15910[[#This Row],[Rate]],Table15910[[#This Row],[Difference in Construction Cost]]*0.085)</f>
        <v>0</v>
      </c>
      <c r="AV61" s="1356" t="s">
        <v>29</v>
      </c>
      <c r="AW61" s="1358" t="s">
        <v>9174</v>
      </c>
      <c r="AX61" s="908"/>
      <c r="AY61" s="909" t="s">
        <v>709</v>
      </c>
      <c r="AZ61" s="1022"/>
      <c r="BA61" s="910" t="s">
        <v>8301</v>
      </c>
      <c r="BB61" s="911" t="s">
        <v>1120</v>
      </c>
      <c r="BC61" s="912" t="s">
        <v>992</v>
      </c>
      <c r="BD61" s="913" t="s">
        <v>709</v>
      </c>
      <c r="BE61" s="914" t="s">
        <v>5832</v>
      </c>
      <c r="BF61" s="914" t="s">
        <v>709</v>
      </c>
      <c r="BG61" s="915" t="s">
        <v>29</v>
      </c>
      <c r="BH61" s="1023" t="s">
        <v>8307</v>
      </c>
      <c r="BI61" s="929" t="s">
        <v>709</v>
      </c>
      <c r="BJ61" s="929" t="s">
        <v>745</v>
      </c>
      <c r="BK61" s="916" t="s">
        <v>745</v>
      </c>
      <c r="BL61" s="916" t="s">
        <v>116</v>
      </c>
      <c r="BM61" s="916" t="s">
        <v>745</v>
      </c>
      <c r="BN61" s="916" t="s">
        <v>745</v>
      </c>
      <c r="BO61" s="916" t="s">
        <v>745</v>
      </c>
      <c r="BP61" s="916" t="s">
        <v>745</v>
      </c>
      <c r="BQ61" s="916" t="s">
        <v>709</v>
      </c>
      <c r="BR61" s="916">
        <v>60</v>
      </c>
      <c r="BS61" s="916" t="s">
        <v>709</v>
      </c>
      <c r="BT61" s="916" t="s">
        <v>745</v>
      </c>
      <c r="BU61" s="916" t="s">
        <v>745</v>
      </c>
      <c r="BV61" s="916" t="s">
        <v>745</v>
      </c>
      <c r="BW61" s="916" t="s">
        <v>745</v>
      </c>
      <c r="BX61" s="916" t="s">
        <v>745</v>
      </c>
      <c r="BY61" s="916" t="s">
        <v>745</v>
      </c>
      <c r="BZ61" s="916" t="s">
        <v>709</v>
      </c>
      <c r="CA61" s="483"/>
    </row>
    <row r="62" spans="1:79" ht="15" hidden="1" customHeight="1" x14ac:dyDescent="0.25">
      <c r="A62" s="8" t="s">
        <v>749</v>
      </c>
      <c r="B62" s="8" t="s">
        <v>730</v>
      </c>
      <c r="C62" s="8" t="s">
        <v>1533</v>
      </c>
      <c r="D62" s="8" t="s">
        <v>1534</v>
      </c>
      <c r="E62" s="8" t="s">
        <v>1535</v>
      </c>
      <c r="F62" s="8" t="s">
        <v>752</v>
      </c>
      <c r="G62" s="8" t="s">
        <v>6996</v>
      </c>
      <c r="H62" s="8" t="s">
        <v>59</v>
      </c>
      <c r="I62" s="642">
        <v>44980</v>
      </c>
      <c r="J62" s="18">
        <v>45107</v>
      </c>
      <c r="K62" s="175">
        <v>45104</v>
      </c>
      <c r="L62" s="16">
        <v>3</v>
      </c>
      <c r="M62" s="642"/>
      <c r="N62" s="642" t="s">
        <v>120</v>
      </c>
      <c r="O62" s="1060">
        <v>45108</v>
      </c>
      <c r="P62" s="1152" t="s">
        <v>120</v>
      </c>
      <c r="Q62" s="340">
        <v>62040.957299999995</v>
      </c>
      <c r="R62" s="1026">
        <v>0.09</v>
      </c>
      <c r="S62" s="538"/>
      <c r="T62" s="538"/>
      <c r="U62" s="87"/>
      <c r="V62" s="858">
        <v>1876</v>
      </c>
      <c r="W62" s="437">
        <v>2</v>
      </c>
      <c r="X62" s="538">
        <v>595893.63</v>
      </c>
      <c r="Y62" s="592">
        <v>45049</v>
      </c>
      <c r="Z62" s="552">
        <v>93450.34</v>
      </c>
      <c r="AA62" s="552">
        <v>689343.97</v>
      </c>
      <c r="AB62" s="341">
        <v>45083</v>
      </c>
      <c r="AC62" s="568" t="s">
        <v>29</v>
      </c>
      <c r="AD62" s="1157" t="s">
        <v>29</v>
      </c>
      <c r="AE62" s="568" t="s">
        <v>116</v>
      </c>
      <c r="AF62" s="568" t="s">
        <v>756</v>
      </c>
      <c r="AG62" s="568" t="s">
        <v>116</v>
      </c>
      <c r="AH62" s="183" t="s">
        <v>116</v>
      </c>
      <c r="AI62" s="1036"/>
      <c r="AJ62" s="1037"/>
      <c r="AK62" s="1037"/>
      <c r="AL62" s="1038"/>
      <c r="AM62" s="536" t="s">
        <v>116</v>
      </c>
      <c r="AN62" s="680" t="s">
        <v>709</v>
      </c>
      <c r="AO62" s="601">
        <v>11059557</v>
      </c>
      <c r="AP62" s="572"/>
      <c r="AQ62" s="572"/>
      <c r="AR62" s="572"/>
      <c r="AS62" s="538">
        <f>IF(Table15910[[#This Row],[PCTS Approved]]="N",0,Table15910[[#This Row],[Investment Amount (1'#'#'#'#'#)]]+Table15910[[#This Row],[Retirement Amount (3'#'#'#'#'#)]])</f>
        <v>0</v>
      </c>
      <c r="AT62" s="538">
        <f>IF(Table15910[[#This Row],[Approved Construction Cost]]=0,0,Table15910[[#This Row],[Approved Construction Cost]]-Table15910[[#This Row],[Construction Cost to Bill From]])</f>
        <v>0</v>
      </c>
      <c r="AU62" s="538">
        <f>IFERROR(Table15910[[#This Row],[Difference in Construction Cost]]*Table15910[[#This Row],[Rate]],Table15910[[#This Row],[Difference in Construction Cost]]*0.085)</f>
        <v>0</v>
      </c>
      <c r="AV62" s="572"/>
      <c r="AW62" s="639"/>
      <c r="AX62" s="538"/>
      <c r="AY62" s="1035" t="s">
        <v>709</v>
      </c>
      <c r="AZ62" s="443">
        <v>47</v>
      </c>
      <c r="BA62" s="859" t="s">
        <v>5740</v>
      </c>
      <c r="BB62" s="644" t="s">
        <v>1537</v>
      </c>
      <c r="BC62" s="544" t="s">
        <v>115</v>
      </c>
      <c r="BD62" s="544" t="s">
        <v>115</v>
      </c>
      <c r="BE62" s="544" t="s">
        <v>1538</v>
      </c>
      <c r="BF62" s="544" t="s">
        <v>115</v>
      </c>
      <c r="BG62" s="544" t="s">
        <v>115</v>
      </c>
      <c r="BH62" s="741" t="s">
        <v>1539</v>
      </c>
      <c r="BI62" s="547" t="s">
        <v>709</v>
      </c>
      <c r="BJ62" s="547" t="s">
        <v>709</v>
      </c>
      <c r="BK62" s="547" t="s">
        <v>709</v>
      </c>
      <c r="BL62" s="547" t="s">
        <v>116</v>
      </c>
      <c r="BM62" s="547" t="s">
        <v>709</v>
      </c>
      <c r="BN62" s="547" t="s">
        <v>709</v>
      </c>
      <c r="BO62" s="547" t="s">
        <v>709</v>
      </c>
      <c r="BP62" s="547" t="s">
        <v>709</v>
      </c>
      <c r="BQ62" s="547" t="s">
        <v>709</v>
      </c>
      <c r="BR62" s="547">
        <v>1287</v>
      </c>
      <c r="BS62" s="547">
        <v>589</v>
      </c>
      <c r="BT62" s="547" t="s">
        <v>709</v>
      </c>
      <c r="BU62" s="547" t="s">
        <v>709</v>
      </c>
      <c r="BV62" s="547" t="s">
        <v>709</v>
      </c>
      <c r="BW62" s="547" t="s">
        <v>709</v>
      </c>
      <c r="BX62" s="547" t="s">
        <v>745</v>
      </c>
      <c r="BY62" s="547" t="s">
        <v>709</v>
      </c>
      <c r="BZ62" s="547" t="s">
        <v>709</v>
      </c>
      <c r="CA62" s="483"/>
    </row>
    <row r="63" spans="1:79" ht="15" hidden="1" customHeight="1" x14ac:dyDescent="0.25">
      <c r="A63" s="8" t="s">
        <v>6816</v>
      </c>
      <c r="B63" s="8" t="s">
        <v>4</v>
      </c>
      <c r="C63" s="1497" t="s">
        <v>6462</v>
      </c>
      <c r="D63" s="8" t="s">
        <v>6463</v>
      </c>
      <c r="E63" s="8" t="s">
        <v>354</v>
      </c>
      <c r="F63" s="8" t="s">
        <v>784</v>
      </c>
      <c r="G63" s="8" t="s">
        <v>35</v>
      </c>
      <c r="H63" s="8" t="s">
        <v>59</v>
      </c>
      <c r="I63" s="642">
        <v>45335</v>
      </c>
      <c r="J63" s="18">
        <v>45504</v>
      </c>
      <c r="K63" s="97">
        <v>45503</v>
      </c>
      <c r="L63" s="16">
        <v>1</v>
      </c>
      <c r="M63" s="642"/>
      <c r="N63" s="99" t="s">
        <v>120</v>
      </c>
      <c r="O63" s="1060">
        <v>45505</v>
      </c>
      <c r="P63" s="1152" t="s">
        <v>739</v>
      </c>
      <c r="Q63" s="340">
        <v>104927.51299999999</v>
      </c>
      <c r="R63" s="1026">
        <v>0.1</v>
      </c>
      <c r="S63" s="538" t="s">
        <v>29</v>
      </c>
      <c r="T63" s="538" t="s">
        <v>29</v>
      </c>
      <c r="U63" s="28" t="s">
        <v>29</v>
      </c>
      <c r="V63" s="858">
        <v>2054</v>
      </c>
      <c r="W63" s="437">
        <v>0</v>
      </c>
      <c r="X63" s="538">
        <v>580996.19999999995</v>
      </c>
      <c r="Y63" s="550"/>
      <c r="Z63" s="552">
        <v>468278.93</v>
      </c>
      <c r="AA63" s="552">
        <v>1049275.1299999999</v>
      </c>
      <c r="AB63" s="341">
        <v>45495</v>
      </c>
      <c r="AC63" s="569" t="s">
        <v>709</v>
      </c>
      <c r="AD63" s="1149" t="s">
        <v>29</v>
      </c>
      <c r="AE63" s="568" t="s">
        <v>116</v>
      </c>
      <c r="AF63" s="568" t="s">
        <v>29</v>
      </c>
      <c r="AG63" s="568" t="s">
        <v>376</v>
      </c>
      <c r="AH63" s="183">
        <v>45525</v>
      </c>
      <c r="AI63" s="1125">
        <v>0</v>
      </c>
      <c r="AJ63" s="1110">
        <v>0</v>
      </c>
      <c r="AK63" s="1126">
        <v>13957</v>
      </c>
      <c r="AL63" s="1108">
        <v>0.13301563718564455</v>
      </c>
      <c r="AM63" s="536" t="s">
        <v>116</v>
      </c>
      <c r="AN63" s="801">
        <v>45553</v>
      </c>
      <c r="AO63" s="806">
        <v>11091245</v>
      </c>
      <c r="AP63" s="718">
        <v>570517.85</v>
      </c>
      <c r="AQ63" s="682"/>
      <c r="AR63" s="718">
        <v>472801.46</v>
      </c>
      <c r="AS63" s="538">
        <f>IF(Table15910[[#This Row],[PCTS Approved]]="N",0,Table15910[[#This Row],[Investment Amount (1'#'#'#'#'#)]]+Table15910[[#This Row],[Retirement Amount (3'#'#'#'#'#)]])</f>
        <v>1043319.31</v>
      </c>
      <c r="AT63" s="538">
        <f>IF(Table15910[[#This Row],[Approved Construction Cost]]=0,0,Table15910[[#This Row],[Approved Construction Cost]]-Table15910[[#This Row],[Construction Cost to Bill From]])</f>
        <v>-5955.8199999998324</v>
      </c>
      <c r="AU63" s="538">
        <f>IFERROR(Table15910[[#This Row],[Difference in Construction Cost]]*Table15910[[#This Row],[Rate]],Table15910[[#This Row],[Difference in Construction Cost]]*0.085)</f>
        <v>-595.58199999998328</v>
      </c>
      <c r="AV63" s="1357" t="s">
        <v>29</v>
      </c>
      <c r="AW63" s="1429" t="s">
        <v>6464</v>
      </c>
      <c r="AX63" s="555"/>
      <c r="AY63" s="1035" t="s">
        <v>709</v>
      </c>
      <c r="AZ63" s="443"/>
      <c r="BA63" s="1031" t="s">
        <v>6465</v>
      </c>
      <c r="BB63" s="644" t="s">
        <v>986</v>
      </c>
      <c r="BC63" s="559" t="s">
        <v>992</v>
      </c>
      <c r="BD63" s="559" t="s">
        <v>743</v>
      </c>
      <c r="BE63" s="554" t="s">
        <v>588</v>
      </c>
      <c r="BF63" s="588" t="s">
        <v>588</v>
      </c>
      <c r="BG63" s="588" t="s">
        <v>115</v>
      </c>
      <c r="BH63" s="615" t="s">
        <v>6466</v>
      </c>
      <c r="BI63" s="547" t="s">
        <v>709</v>
      </c>
      <c r="BJ63" s="547" t="s">
        <v>709</v>
      </c>
      <c r="BK63" s="547" t="s">
        <v>709</v>
      </c>
      <c r="BL63" s="547" t="s">
        <v>116</v>
      </c>
      <c r="BM63" s="547" t="s">
        <v>709</v>
      </c>
      <c r="BN63" s="547" t="s">
        <v>709</v>
      </c>
      <c r="BO63" s="547" t="s">
        <v>709</v>
      </c>
      <c r="BP63" s="626" t="s">
        <v>709</v>
      </c>
      <c r="BQ63" s="626" t="s">
        <v>709</v>
      </c>
      <c r="BR63" s="549" t="s">
        <v>709</v>
      </c>
      <c r="BS63" s="549">
        <v>2054</v>
      </c>
      <c r="BT63" s="547" t="s">
        <v>745</v>
      </c>
      <c r="BU63" s="547" t="s">
        <v>745</v>
      </c>
      <c r="BV63" s="547" t="s">
        <v>745</v>
      </c>
      <c r="BW63" s="547" t="s">
        <v>745</v>
      </c>
      <c r="BX63" s="547" t="s">
        <v>745</v>
      </c>
      <c r="BY63" s="547" t="s">
        <v>745</v>
      </c>
      <c r="BZ63" s="547" t="s">
        <v>709</v>
      </c>
      <c r="CA63" s="483"/>
    </row>
    <row r="64" spans="1:79" ht="15" hidden="1" customHeight="1" x14ac:dyDescent="0.25">
      <c r="A64" s="8" t="s">
        <v>749</v>
      </c>
      <c r="B64" s="8" t="s">
        <v>730</v>
      </c>
      <c r="C64" s="8" t="s">
        <v>304</v>
      </c>
      <c r="D64" s="8" t="s">
        <v>1351</v>
      </c>
      <c r="E64" s="8" t="s">
        <v>1352</v>
      </c>
      <c r="F64" s="8" t="s">
        <v>752</v>
      </c>
      <c r="G64" s="8" t="s">
        <v>6996</v>
      </c>
      <c r="H64" s="8" t="s">
        <v>59</v>
      </c>
      <c r="I64" s="642">
        <v>44733</v>
      </c>
      <c r="J64" s="18">
        <v>44825</v>
      </c>
      <c r="K64" s="97">
        <v>44824</v>
      </c>
      <c r="L64" s="16">
        <v>1</v>
      </c>
      <c r="M64" s="642"/>
      <c r="N64" s="642" t="s">
        <v>120</v>
      </c>
      <c r="O64" s="1059">
        <v>44824</v>
      </c>
      <c r="P64" s="21" t="s">
        <v>120</v>
      </c>
      <c r="Q64" s="1061">
        <v>30110.493150000002</v>
      </c>
      <c r="R64" s="1026" t="s">
        <v>794</v>
      </c>
      <c r="S64" s="538"/>
      <c r="T64" s="538"/>
      <c r="U64" s="87"/>
      <c r="V64" s="858">
        <v>562</v>
      </c>
      <c r="W64" s="437"/>
      <c r="X64" s="552">
        <v>245071.24</v>
      </c>
      <c r="Y64" s="592"/>
      <c r="Z64" s="552">
        <v>47405.15</v>
      </c>
      <c r="AA64" s="552">
        <v>292476.39</v>
      </c>
      <c r="AB64" s="341">
        <v>44830</v>
      </c>
      <c r="AC64" s="568" t="s">
        <v>1056</v>
      </c>
      <c r="AD64" s="1157" t="s">
        <v>29</v>
      </c>
      <c r="AE64" s="579"/>
      <c r="AF64" s="579"/>
      <c r="AG64" s="579"/>
      <c r="AH64" s="553"/>
      <c r="AI64" s="1036"/>
      <c r="AJ64" s="1037"/>
      <c r="AK64" s="1037"/>
      <c r="AL64" s="1038"/>
      <c r="AM64" s="536" t="s">
        <v>116</v>
      </c>
      <c r="AN64" s="680" t="s">
        <v>709</v>
      </c>
      <c r="AO64" s="601">
        <v>11042622</v>
      </c>
      <c r="AP64" s="572"/>
      <c r="AQ64" s="572"/>
      <c r="AR64" s="572"/>
      <c r="AS64" s="538">
        <f>IF(Table15910[[#This Row],[PCTS Approved]]="N",0,Table15910[[#This Row],[Investment Amount (1'#'#'#'#'#)]]+Table15910[[#This Row],[Retirement Amount (3'#'#'#'#'#)]])</f>
        <v>0</v>
      </c>
      <c r="AT64" s="538">
        <f>IF(Table15910[[#This Row],[Approved Construction Cost]]=0,0,Table15910[[#This Row],[Approved Construction Cost]]-Table15910[[#This Row],[Construction Cost to Bill From]])</f>
        <v>0</v>
      </c>
      <c r="AU64" s="538">
        <f>IFERROR(Table15910[[#This Row],[Difference in Construction Cost]]*Table15910[[#This Row],[Rate]],Table15910[[#This Row],[Difference in Construction Cost]]*0.085)</f>
        <v>0</v>
      </c>
      <c r="AV64" s="572"/>
      <c r="AW64" s="639"/>
      <c r="AX64" s="538"/>
      <c r="AY64" s="1035" t="s">
        <v>709</v>
      </c>
      <c r="AZ64" s="443">
        <v>175</v>
      </c>
      <c r="BA64" s="859" t="s">
        <v>1353</v>
      </c>
      <c r="BB64" s="644" t="s">
        <v>1354</v>
      </c>
      <c r="BC64" s="544" t="s">
        <v>116</v>
      </c>
      <c r="BD64" s="544" t="s">
        <v>115</v>
      </c>
      <c r="BE64" s="544" t="s">
        <v>1355</v>
      </c>
      <c r="BF64" s="544" t="s">
        <v>115</v>
      </c>
      <c r="BG64" s="544" t="s">
        <v>115</v>
      </c>
      <c r="BH64" s="741" t="s">
        <v>1356</v>
      </c>
      <c r="BI64" s="547" t="s">
        <v>709</v>
      </c>
      <c r="BJ64" s="547" t="s">
        <v>709</v>
      </c>
      <c r="BK64" s="547" t="s">
        <v>116</v>
      </c>
      <c r="BL64" s="547" t="s">
        <v>116</v>
      </c>
      <c r="BM64" s="547" t="s">
        <v>709</v>
      </c>
      <c r="BN64" s="547" t="s">
        <v>709</v>
      </c>
      <c r="BO64" s="547" t="s">
        <v>709</v>
      </c>
      <c r="BP64" s="547" t="s">
        <v>709</v>
      </c>
      <c r="BQ64" s="547" t="s">
        <v>709</v>
      </c>
      <c r="BR64" s="547">
        <v>406</v>
      </c>
      <c r="BS64" s="547">
        <v>156</v>
      </c>
      <c r="BT64" s="547" t="s">
        <v>709</v>
      </c>
      <c r="BU64" s="547">
        <v>1</v>
      </c>
      <c r="BV64" s="547" t="s">
        <v>709</v>
      </c>
      <c r="BW64" s="547" t="s">
        <v>709</v>
      </c>
      <c r="BX64" s="547">
        <v>1</v>
      </c>
      <c r="BY64" s="547" t="s">
        <v>709</v>
      </c>
      <c r="BZ64" s="547" t="s">
        <v>709</v>
      </c>
      <c r="CA64" s="483" t="s">
        <v>915</v>
      </c>
    </row>
    <row r="65" spans="1:79" ht="15" hidden="1" customHeight="1" x14ac:dyDescent="0.25">
      <c r="A65" s="8" t="s">
        <v>749</v>
      </c>
      <c r="B65" s="8" t="s">
        <v>730</v>
      </c>
      <c r="C65" s="8" t="s">
        <v>1345</v>
      </c>
      <c r="D65" s="8" t="s">
        <v>1346</v>
      </c>
      <c r="E65" s="8" t="s">
        <v>1347</v>
      </c>
      <c r="F65" s="8" t="s">
        <v>752</v>
      </c>
      <c r="G65" s="8" t="s">
        <v>6996</v>
      </c>
      <c r="H65" s="8" t="s">
        <v>59</v>
      </c>
      <c r="I65" s="642">
        <v>44739</v>
      </c>
      <c r="J65" s="18">
        <v>44834</v>
      </c>
      <c r="K65" s="97">
        <v>44824</v>
      </c>
      <c r="L65" s="16">
        <v>10</v>
      </c>
      <c r="M65" s="642"/>
      <c r="N65" s="642" t="s">
        <v>120</v>
      </c>
      <c r="O65" s="1025">
        <v>44835</v>
      </c>
      <c r="P65" s="21" t="s">
        <v>120</v>
      </c>
      <c r="Q65" s="1061">
        <v>25770.5658</v>
      </c>
      <c r="R65" s="1026">
        <v>0.09</v>
      </c>
      <c r="S65" s="538"/>
      <c r="T65" s="538"/>
      <c r="U65" s="87"/>
      <c r="V65" s="858">
        <v>2147</v>
      </c>
      <c r="W65" s="437"/>
      <c r="X65" s="570">
        <v>271016.56</v>
      </c>
      <c r="Y65" s="592"/>
      <c r="Z65" s="570">
        <v>15323.06</v>
      </c>
      <c r="AA65" s="552">
        <v>286339.62</v>
      </c>
      <c r="AB65" s="341">
        <v>44831</v>
      </c>
      <c r="AC65" s="568" t="s">
        <v>709</v>
      </c>
      <c r="AD65" s="1157" t="s">
        <v>29</v>
      </c>
      <c r="AE65" s="579"/>
      <c r="AF65" s="579"/>
      <c r="AG65" s="579"/>
      <c r="AH65" s="553"/>
      <c r="AI65" s="1036"/>
      <c r="AJ65" s="1037"/>
      <c r="AK65" s="1037"/>
      <c r="AL65" s="1038"/>
      <c r="AM65" s="536" t="s">
        <v>116</v>
      </c>
      <c r="AN65" s="680" t="s">
        <v>709</v>
      </c>
      <c r="AO65" s="601" t="s">
        <v>115</v>
      </c>
      <c r="AP65" s="572"/>
      <c r="AQ65" s="572"/>
      <c r="AR65" s="572"/>
      <c r="AS65" s="538">
        <f>IF(Table15910[[#This Row],[PCTS Approved]]="N",0,Table15910[[#This Row],[Investment Amount (1'#'#'#'#'#)]]+Table15910[[#This Row],[Retirement Amount (3'#'#'#'#'#)]])</f>
        <v>0</v>
      </c>
      <c r="AT65" s="538">
        <f>IF(Table15910[[#This Row],[Approved Construction Cost]]=0,0,Table15910[[#This Row],[Approved Construction Cost]]-Table15910[[#This Row],[Construction Cost to Bill From]])</f>
        <v>0</v>
      </c>
      <c r="AU65" s="538">
        <f>IFERROR(Table15910[[#This Row],[Difference in Construction Cost]]*Table15910[[#This Row],[Rate]],Table15910[[#This Row],[Difference in Construction Cost]]*0.085)</f>
        <v>0</v>
      </c>
      <c r="AV65" s="572"/>
      <c r="AW65" s="686" t="s">
        <v>9175</v>
      </c>
      <c r="AX65" s="538"/>
      <c r="AY65" s="1035" t="s">
        <v>709</v>
      </c>
      <c r="AZ65" s="443">
        <v>26</v>
      </c>
      <c r="BA65" s="859" t="s">
        <v>1348</v>
      </c>
      <c r="BB65" s="644" t="s">
        <v>1349</v>
      </c>
      <c r="BC65" s="544" t="s">
        <v>115</v>
      </c>
      <c r="BD65" s="544" t="s">
        <v>837</v>
      </c>
      <c r="BE65" s="544" t="s">
        <v>1350</v>
      </c>
      <c r="BF65" s="544" t="s">
        <v>115</v>
      </c>
      <c r="BG65" s="544" t="s">
        <v>115</v>
      </c>
      <c r="BH65" s="741"/>
      <c r="BI65" s="547" t="s">
        <v>709</v>
      </c>
      <c r="BJ65" s="547" t="s">
        <v>709</v>
      </c>
      <c r="BK65" s="547" t="s">
        <v>709</v>
      </c>
      <c r="BL65" s="547" t="s">
        <v>116</v>
      </c>
      <c r="BM65" s="547" t="s">
        <v>709</v>
      </c>
      <c r="BN65" s="547" t="s">
        <v>709</v>
      </c>
      <c r="BO65" s="547" t="s">
        <v>709</v>
      </c>
      <c r="BP65" s="547" t="s">
        <v>709</v>
      </c>
      <c r="BQ65" s="547" t="s">
        <v>709</v>
      </c>
      <c r="BR65" s="547">
        <v>2174</v>
      </c>
      <c r="BS65" s="547" t="s">
        <v>709</v>
      </c>
      <c r="BT65" s="547" t="s">
        <v>745</v>
      </c>
      <c r="BU65" s="547" t="s">
        <v>709</v>
      </c>
      <c r="BV65" s="547" t="s">
        <v>745</v>
      </c>
      <c r="BW65" s="547" t="s">
        <v>709</v>
      </c>
      <c r="BX65" s="547" t="s">
        <v>709</v>
      </c>
      <c r="BY65" s="547" t="s">
        <v>745</v>
      </c>
      <c r="BZ65" s="547" t="s">
        <v>709</v>
      </c>
      <c r="CA65" s="483"/>
    </row>
    <row r="66" spans="1:79" ht="15" hidden="1" customHeight="1" x14ac:dyDescent="0.25">
      <c r="A66" s="8" t="s">
        <v>781</v>
      </c>
      <c r="B66" s="8" t="s">
        <v>730</v>
      </c>
      <c r="C66" s="8" t="s">
        <v>308</v>
      </c>
      <c r="D66" s="8" t="s">
        <v>1295</v>
      </c>
      <c r="E66" s="8" t="s">
        <v>309</v>
      </c>
      <c r="F66" s="8" t="s">
        <v>752</v>
      </c>
      <c r="G66" s="8" t="s">
        <v>6996</v>
      </c>
      <c r="H66" s="8" t="s">
        <v>59</v>
      </c>
      <c r="I66" s="642">
        <v>44607</v>
      </c>
      <c r="J66" s="18">
        <v>44762</v>
      </c>
      <c r="K66" s="18">
        <v>44740</v>
      </c>
      <c r="L66" s="16">
        <v>22</v>
      </c>
      <c r="M66" s="642"/>
      <c r="N66" s="642" t="s">
        <v>120</v>
      </c>
      <c r="O66" s="1025">
        <v>44743</v>
      </c>
      <c r="P66" s="21" t="s">
        <v>739</v>
      </c>
      <c r="Q66" s="1151">
        <v>28111.990999999998</v>
      </c>
      <c r="R66" s="1026" t="s">
        <v>794</v>
      </c>
      <c r="S66" s="538"/>
      <c r="T66" s="538"/>
      <c r="U66" s="87"/>
      <c r="V66" s="858">
        <v>528</v>
      </c>
      <c r="W66" s="437"/>
      <c r="X66" s="538">
        <v>176710.62</v>
      </c>
      <c r="Y66" s="592"/>
      <c r="Z66" s="538">
        <v>92253.98</v>
      </c>
      <c r="AA66" s="551">
        <v>268964.59999999998</v>
      </c>
      <c r="AB66" s="341"/>
      <c r="AC66" s="568" t="s">
        <v>1296</v>
      </c>
      <c r="AD66" s="1157" t="s">
        <v>116</v>
      </c>
      <c r="AE66" s="579"/>
      <c r="AF66" s="579"/>
      <c r="AG66" s="579"/>
      <c r="AH66" s="553"/>
      <c r="AI66" s="1036"/>
      <c r="AJ66" s="1037"/>
      <c r="AK66" s="1037"/>
      <c r="AL66" s="1038"/>
      <c r="AM66" s="536" t="s">
        <v>116</v>
      </c>
      <c r="AN66" s="680" t="s">
        <v>709</v>
      </c>
      <c r="AO66" s="601">
        <v>11042074</v>
      </c>
      <c r="AP66" s="572"/>
      <c r="AQ66" s="572"/>
      <c r="AR66" s="572"/>
      <c r="AS66" s="538">
        <f>IF(Table15910[[#This Row],[PCTS Approved]]="N",0,Table15910[[#This Row],[Investment Amount (1'#'#'#'#'#)]]+Table15910[[#This Row],[Retirement Amount (3'#'#'#'#'#)]])</f>
        <v>0</v>
      </c>
      <c r="AT66" s="538">
        <f>IF(Table15910[[#This Row],[Approved Construction Cost]]=0,0,Table15910[[#This Row],[Approved Construction Cost]]-Table15910[[#This Row],[Construction Cost to Bill From]])</f>
        <v>0</v>
      </c>
      <c r="AU66" s="538">
        <f>IFERROR(Table15910[[#This Row],[Difference in Construction Cost]]*Table15910[[#This Row],[Rate]],Table15910[[#This Row],[Difference in Construction Cost]]*0.085)</f>
        <v>0</v>
      </c>
      <c r="AV66" s="572"/>
      <c r="AW66" s="639"/>
      <c r="AX66" s="538"/>
      <c r="AY66" s="1035" t="s">
        <v>709</v>
      </c>
      <c r="AZ66" s="443">
        <v>173</v>
      </c>
      <c r="BA66" s="859" t="s">
        <v>1297</v>
      </c>
      <c r="BB66" s="644" t="s">
        <v>1298</v>
      </c>
      <c r="BC66" s="544" t="s">
        <v>116</v>
      </c>
      <c r="BD66" s="544" t="s">
        <v>837</v>
      </c>
      <c r="BE66" s="544" t="s">
        <v>709</v>
      </c>
      <c r="BF66" s="544" t="s">
        <v>709</v>
      </c>
      <c r="BG66" s="544" t="s">
        <v>709</v>
      </c>
      <c r="BH66" s="741"/>
      <c r="BI66" s="547" t="s">
        <v>709</v>
      </c>
      <c r="BJ66" s="547" t="s">
        <v>709</v>
      </c>
      <c r="BK66" s="547" t="s">
        <v>116</v>
      </c>
      <c r="BL66" s="547" t="s">
        <v>116</v>
      </c>
      <c r="BM66" s="547" t="s">
        <v>709</v>
      </c>
      <c r="BN66" s="547" t="s">
        <v>709</v>
      </c>
      <c r="BO66" s="547" t="s">
        <v>709</v>
      </c>
      <c r="BP66" s="547" t="s">
        <v>709</v>
      </c>
      <c r="BQ66" s="547" t="s">
        <v>709</v>
      </c>
      <c r="BR66" s="547" t="s">
        <v>709</v>
      </c>
      <c r="BS66" s="547">
        <v>528</v>
      </c>
      <c r="BT66" s="547" t="s">
        <v>745</v>
      </c>
      <c r="BU66" s="547">
        <v>1</v>
      </c>
      <c r="BV66" s="547" t="s">
        <v>745</v>
      </c>
      <c r="BW66" s="547" t="s">
        <v>709</v>
      </c>
      <c r="BX66" s="547">
        <v>1</v>
      </c>
      <c r="BY66" s="547" t="s">
        <v>745</v>
      </c>
      <c r="BZ66" s="547" t="s">
        <v>709</v>
      </c>
      <c r="CA66" s="483" t="s">
        <v>769</v>
      </c>
    </row>
    <row r="67" spans="1:79" ht="15" hidden="1" customHeight="1" x14ac:dyDescent="0.25">
      <c r="A67" s="8" t="s">
        <v>770</v>
      </c>
      <c r="B67" s="8" t="s">
        <v>1162</v>
      </c>
      <c r="C67" s="8" t="s">
        <v>195</v>
      </c>
      <c r="D67" s="656" t="s">
        <v>1163</v>
      </c>
      <c r="E67" s="8" t="s">
        <v>1164</v>
      </c>
      <c r="F67" s="8" t="s">
        <v>738</v>
      </c>
      <c r="G67" s="8" t="s">
        <v>31</v>
      </c>
      <c r="H67" s="8" t="s">
        <v>59</v>
      </c>
      <c r="I67" s="642">
        <v>44166</v>
      </c>
      <c r="J67" s="18">
        <v>44259</v>
      </c>
      <c r="K67" s="642">
        <v>44259</v>
      </c>
      <c r="L67" s="16">
        <v>0</v>
      </c>
      <c r="M67" s="642"/>
      <c r="N67" s="642" t="s">
        <v>120</v>
      </c>
      <c r="O67" s="1025">
        <v>44259</v>
      </c>
      <c r="P67" s="21" t="s">
        <v>739</v>
      </c>
      <c r="Q67" s="340">
        <v>34108.435900000004</v>
      </c>
      <c r="R67" s="1026">
        <v>7.0000000000000007E-2</v>
      </c>
      <c r="S67" s="551"/>
      <c r="T67" s="538"/>
      <c r="U67" s="441"/>
      <c r="V67" s="857">
        <v>2887</v>
      </c>
      <c r="W67" s="440"/>
      <c r="X67" s="551">
        <v>474251.77</v>
      </c>
      <c r="Y67" s="591"/>
      <c r="Z67" s="551">
        <v>13011.6</v>
      </c>
      <c r="AA67" s="538">
        <v>487263.37</v>
      </c>
      <c r="AB67" s="341"/>
      <c r="AC67" s="568" t="s">
        <v>116</v>
      </c>
      <c r="AD67" s="1157"/>
      <c r="AE67" s="579"/>
      <c r="AF67" s="579"/>
      <c r="AG67" s="579"/>
      <c r="AH67" s="553"/>
      <c r="AI67" s="1036"/>
      <c r="AJ67" s="1037"/>
      <c r="AK67" s="1037"/>
      <c r="AL67" s="1038"/>
      <c r="AM67" s="536" t="s">
        <v>116</v>
      </c>
      <c r="AN67" s="680" t="s">
        <v>709</v>
      </c>
      <c r="AO67" s="681">
        <v>11033199</v>
      </c>
      <c r="AP67" s="572"/>
      <c r="AQ67" s="572"/>
      <c r="AR67" s="572"/>
      <c r="AS67" s="538">
        <f>IF(Table15910[[#This Row],[PCTS Approved]]="N",0,Table15910[[#This Row],[Investment Amount (1'#'#'#'#'#)]]+Table15910[[#This Row],[Retirement Amount (3'#'#'#'#'#)]])</f>
        <v>0</v>
      </c>
      <c r="AT67" s="538">
        <f>IF(Table15910[[#This Row],[Approved Construction Cost]]=0,0,Table15910[[#This Row],[Approved Construction Cost]]-Table15910[[#This Row],[Construction Cost to Bill From]])</f>
        <v>0</v>
      </c>
      <c r="AU67" s="538">
        <f>IFERROR(Table15910[[#This Row],[Difference in Construction Cost]]*Table15910[[#This Row],[Rate]],Table15910[[#This Row],[Difference in Construction Cost]]*0.085)</f>
        <v>0</v>
      </c>
      <c r="AV67" s="572"/>
      <c r="AW67" s="639"/>
      <c r="AX67" s="538"/>
      <c r="AY67" s="1035" t="s">
        <v>709</v>
      </c>
      <c r="AZ67" s="443">
        <v>9</v>
      </c>
      <c r="BA67" s="859" t="s">
        <v>1165</v>
      </c>
      <c r="BB67" s="644" t="s">
        <v>1166</v>
      </c>
      <c r="BC67" s="544" t="s">
        <v>709</v>
      </c>
      <c r="BD67" s="544" t="s">
        <v>1167</v>
      </c>
      <c r="BE67" s="544" t="s">
        <v>709</v>
      </c>
      <c r="BF67" s="544" t="s">
        <v>1168</v>
      </c>
      <c r="BG67" s="544" t="s">
        <v>709</v>
      </c>
      <c r="BH67" s="741"/>
      <c r="BI67" s="547" t="s">
        <v>709</v>
      </c>
      <c r="BJ67" s="547" t="s">
        <v>709</v>
      </c>
      <c r="BK67" s="547" t="s">
        <v>709</v>
      </c>
      <c r="BL67" s="547" t="s">
        <v>116</v>
      </c>
      <c r="BM67" s="547" t="s">
        <v>709</v>
      </c>
      <c r="BN67" s="547" t="s">
        <v>709</v>
      </c>
      <c r="BO67" s="547" t="s">
        <v>709</v>
      </c>
      <c r="BP67" s="547">
        <v>189</v>
      </c>
      <c r="BQ67" s="547">
        <v>1085</v>
      </c>
      <c r="BR67" s="547">
        <v>1755</v>
      </c>
      <c r="BS67" s="547">
        <v>93</v>
      </c>
      <c r="BT67" s="547" t="s">
        <v>745</v>
      </c>
      <c r="BU67" s="547" t="s">
        <v>709</v>
      </c>
      <c r="BV67" s="547" t="s">
        <v>745</v>
      </c>
      <c r="BW67" s="547" t="s">
        <v>709</v>
      </c>
      <c r="BX67" s="547" t="s">
        <v>745</v>
      </c>
      <c r="BY67" s="547" t="s">
        <v>745</v>
      </c>
      <c r="BZ67" s="547" t="s">
        <v>709</v>
      </c>
      <c r="CA67" s="483" t="s">
        <v>769</v>
      </c>
    </row>
    <row r="68" spans="1:79" ht="15" hidden="1" customHeight="1" x14ac:dyDescent="0.25">
      <c r="A68" s="8" t="s">
        <v>770</v>
      </c>
      <c r="B68" s="8" t="s">
        <v>769</v>
      </c>
      <c r="C68" s="8" t="s">
        <v>1186</v>
      </c>
      <c r="D68" s="656" t="s">
        <v>1187</v>
      </c>
      <c r="E68" s="8" t="s">
        <v>393</v>
      </c>
      <c r="F68" s="8" t="s">
        <v>738</v>
      </c>
      <c r="G68" s="8" t="s">
        <v>31</v>
      </c>
      <c r="H68" s="8" t="s">
        <v>59</v>
      </c>
      <c r="I68" s="642">
        <v>44105</v>
      </c>
      <c r="J68" s="18">
        <v>44309</v>
      </c>
      <c r="K68" s="642">
        <v>44307</v>
      </c>
      <c r="L68" s="16">
        <v>2</v>
      </c>
      <c r="M68" s="642"/>
      <c r="N68" s="642" t="s">
        <v>120</v>
      </c>
      <c r="O68" s="1025">
        <v>44307</v>
      </c>
      <c r="P68" s="21" t="s">
        <v>739</v>
      </c>
      <c r="Q68" s="340">
        <v>101557.56375</v>
      </c>
      <c r="R68" s="1026" t="s">
        <v>794</v>
      </c>
      <c r="S68" s="538" t="s">
        <v>709</v>
      </c>
      <c r="T68" s="538" t="s">
        <v>709</v>
      </c>
      <c r="U68" s="300" t="s">
        <v>709</v>
      </c>
      <c r="V68" s="858">
        <v>13284</v>
      </c>
      <c r="W68" s="437"/>
      <c r="X68" s="538">
        <v>763186.12</v>
      </c>
      <c r="Y68" s="591"/>
      <c r="Z68" s="538">
        <v>246314.63</v>
      </c>
      <c r="AA68" s="551">
        <v>1009500.75</v>
      </c>
      <c r="AB68" s="341"/>
      <c r="AC68" s="568" t="s">
        <v>709</v>
      </c>
      <c r="AD68" s="1157"/>
      <c r="AE68" s="579"/>
      <c r="AF68" s="579"/>
      <c r="AG68" s="579"/>
      <c r="AH68" s="553"/>
      <c r="AI68" s="1036"/>
      <c r="AJ68" s="1037"/>
      <c r="AK68" s="1037"/>
      <c r="AL68" s="1038"/>
      <c r="AM68" s="536" t="s">
        <v>116</v>
      </c>
      <c r="AN68" s="680" t="s">
        <v>709</v>
      </c>
      <c r="AO68" s="681">
        <v>11039270</v>
      </c>
      <c r="AP68" s="572"/>
      <c r="AQ68" s="572"/>
      <c r="AR68" s="572"/>
      <c r="AS68" s="538">
        <f>IF(Table15910[[#This Row],[PCTS Approved]]="N",0,Table15910[[#This Row],[Investment Amount (1'#'#'#'#'#)]]+Table15910[[#This Row],[Retirement Amount (3'#'#'#'#'#)]])</f>
        <v>0</v>
      </c>
      <c r="AT68" s="538">
        <f>IF(Table15910[[#This Row],[Approved Construction Cost]]=0,0,Table15910[[#This Row],[Approved Construction Cost]]-Table15910[[#This Row],[Construction Cost to Bill From]])</f>
        <v>0</v>
      </c>
      <c r="AU68" s="538">
        <f>IFERROR(Table15910[[#This Row],[Difference in Construction Cost]]*Table15910[[#This Row],[Rate]],Table15910[[#This Row],[Difference in Construction Cost]]*0.085)</f>
        <v>0</v>
      </c>
      <c r="AV68" s="572"/>
      <c r="AW68" s="639"/>
      <c r="AX68" s="538"/>
      <c r="AY68" s="1035" t="s">
        <v>709</v>
      </c>
      <c r="AZ68" s="443">
        <v>164</v>
      </c>
      <c r="BA68" s="859" t="s">
        <v>1188</v>
      </c>
      <c r="BB68" s="644" t="s">
        <v>1189</v>
      </c>
      <c r="BC68" s="544" t="s">
        <v>116</v>
      </c>
      <c r="BD68" s="544" t="s">
        <v>1066</v>
      </c>
      <c r="BE68" s="544" t="s">
        <v>1190</v>
      </c>
      <c r="BF68" s="544" t="s">
        <v>709</v>
      </c>
      <c r="BG68" s="544" t="s">
        <v>709</v>
      </c>
      <c r="BH68" s="741" t="s">
        <v>1191</v>
      </c>
      <c r="BI68" s="547" t="s">
        <v>709</v>
      </c>
      <c r="BJ68" s="547" t="s">
        <v>709</v>
      </c>
      <c r="BK68" s="547" t="s">
        <v>709</v>
      </c>
      <c r="BL68" s="547" t="s">
        <v>116</v>
      </c>
      <c r="BM68" s="547" t="s">
        <v>709</v>
      </c>
      <c r="BN68" s="547" t="s">
        <v>709</v>
      </c>
      <c r="BO68" s="547" t="s">
        <v>709</v>
      </c>
      <c r="BP68" s="547" t="s">
        <v>709</v>
      </c>
      <c r="BQ68" s="547">
        <v>546</v>
      </c>
      <c r="BR68" s="547">
        <v>507</v>
      </c>
      <c r="BS68" s="547">
        <v>1553</v>
      </c>
      <c r="BT68" s="547" t="s">
        <v>709</v>
      </c>
      <c r="BU68" s="547" t="s">
        <v>709</v>
      </c>
      <c r="BV68" s="547" t="s">
        <v>709</v>
      </c>
      <c r="BW68" s="547" t="s">
        <v>709</v>
      </c>
      <c r="BX68" s="547" t="s">
        <v>709</v>
      </c>
      <c r="BY68" s="547" t="s">
        <v>709</v>
      </c>
      <c r="BZ68" s="547" t="s">
        <v>709</v>
      </c>
      <c r="CA68" s="483" t="s">
        <v>1146</v>
      </c>
    </row>
    <row r="69" spans="1:79" ht="15" hidden="1" customHeight="1" x14ac:dyDescent="0.25">
      <c r="A69" s="874" t="s">
        <v>6816</v>
      </c>
      <c r="B69" s="878" t="s">
        <v>771</v>
      </c>
      <c r="C69" s="879" t="s">
        <v>8892</v>
      </c>
      <c r="D69" s="880" t="s">
        <v>8893</v>
      </c>
      <c r="E69" s="879" t="s">
        <v>8752</v>
      </c>
      <c r="F69" s="878" t="s">
        <v>6874</v>
      </c>
      <c r="G69" s="878" t="s">
        <v>8736</v>
      </c>
      <c r="H69" s="878" t="s">
        <v>413</v>
      </c>
      <c r="I69" s="881">
        <v>45700</v>
      </c>
      <c r="J69" s="18">
        <v>45824</v>
      </c>
      <c r="K69" s="883">
        <v>45824</v>
      </c>
      <c r="L69" s="919">
        <v>0</v>
      </c>
      <c r="M69" s="879"/>
      <c r="N69" s="885" t="s">
        <v>739</v>
      </c>
      <c r="O69" s="886" t="s">
        <v>376</v>
      </c>
      <c r="P69" s="1153" t="s">
        <v>120</v>
      </c>
      <c r="Q69" s="1150">
        <v>97522.683199999999</v>
      </c>
      <c r="R69" s="887">
        <v>0.04</v>
      </c>
      <c r="S69" s="888" t="s">
        <v>29</v>
      </c>
      <c r="T69" s="888" t="s">
        <v>29</v>
      </c>
      <c r="U69" s="889" t="s">
        <v>29</v>
      </c>
      <c r="V69" s="890">
        <v>11615</v>
      </c>
      <c r="W69" s="1021">
        <v>0</v>
      </c>
      <c r="X69" s="888">
        <v>2338078.54</v>
      </c>
      <c r="Y69" s="891"/>
      <c r="Z69" s="888">
        <v>99988.54</v>
      </c>
      <c r="AA69" s="892">
        <v>2438067.08</v>
      </c>
      <c r="AB69" s="893">
        <v>45832</v>
      </c>
      <c r="AC69" s="894" t="s">
        <v>29</v>
      </c>
      <c r="AD69" s="1160" t="s">
        <v>29</v>
      </c>
      <c r="AE69" s="940" t="s">
        <v>756</v>
      </c>
      <c r="AF69" s="895" t="s">
        <v>756</v>
      </c>
      <c r="AG69" s="896" t="s">
        <v>376</v>
      </c>
      <c r="AH69" s="897" t="s">
        <v>376</v>
      </c>
      <c r="AI69" s="898">
        <v>32400</v>
      </c>
      <c r="AJ69" s="899">
        <v>0</v>
      </c>
      <c r="AK69" s="948">
        <v>3188.39</v>
      </c>
      <c r="AL69" s="901">
        <v>0.36492422923818812</v>
      </c>
      <c r="AM69" s="902" t="s">
        <v>116</v>
      </c>
      <c r="AN69" s="1279" t="s">
        <v>709</v>
      </c>
      <c r="AO69" s="1292">
        <v>11100773</v>
      </c>
      <c r="AP69" s="905"/>
      <c r="AQ69" s="905"/>
      <c r="AR69" s="905"/>
      <c r="AS69" s="538">
        <f>IF(Table15910[[#This Row],[PCTS Approved]]="N",0,Table15910[[#This Row],[Investment Amount (1'#'#'#'#'#)]]+Table15910[[#This Row],[Retirement Amount (3'#'#'#'#'#)]])</f>
        <v>0</v>
      </c>
      <c r="AT69" s="538">
        <f>IF(Table15910[[#This Row],[Approved Construction Cost]]=0,0,Table15910[[#This Row],[Approved Construction Cost]]-Table15910[[#This Row],[Construction Cost to Bill From]])</f>
        <v>0</v>
      </c>
      <c r="AU69" s="538">
        <f>IFERROR(Table15910[[#This Row],[Difference in Construction Cost]]*Table15910[[#This Row],[Rate]],Table15910[[#This Row],[Difference in Construction Cost]]*0.085)</f>
        <v>0</v>
      </c>
      <c r="AV69" s="906"/>
      <c r="AW69" s="907"/>
      <c r="AX69" s="908"/>
      <c r="AY69" s="909"/>
      <c r="AZ69" s="1022"/>
      <c r="BA69" s="910" t="s">
        <v>8894</v>
      </c>
      <c r="BB69" s="911" t="s">
        <v>8895</v>
      </c>
      <c r="BC69" s="1245" t="s">
        <v>9170</v>
      </c>
      <c r="BD69" s="1246" t="s">
        <v>115</v>
      </c>
      <c r="BE69" s="1244" t="s">
        <v>8896</v>
      </c>
      <c r="BF69" s="1247" t="s">
        <v>115</v>
      </c>
      <c r="BG69" s="1248" t="s">
        <v>115</v>
      </c>
      <c r="BH69" s="1023" t="s">
        <v>8897</v>
      </c>
      <c r="BI69" s="1231" t="s">
        <v>745</v>
      </c>
      <c r="BJ69" s="1231" t="s">
        <v>745</v>
      </c>
      <c r="BK69" s="1231" t="s">
        <v>745</v>
      </c>
      <c r="BL69" s="1198" t="s">
        <v>116</v>
      </c>
      <c r="BM69" s="1198" t="s">
        <v>745</v>
      </c>
      <c r="BN69" s="1198" t="s">
        <v>745</v>
      </c>
      <c r="BO69" s="1198" t="s">
        <v>745</v>
      </c>
      <c r="BP69" s="1198" t="s">
        <v>745</v>
      </c>
      <c r="BQ69" s="1198" t="s">
        <v>745</v>
      </c>
      <c r="BR69" s="1198">
        <v>2786</v>
      </c>
      <c r="BS69" s="1198">
        <v>8829</v>
      </c>
      <c r="BT69" s="1198" t="s">
        <v>745</v>
      </c>
      <c r="BU69" s="1198" t="s">
        <v>745</v>
      </c>
      <c r="BV69" s="1198" t="s">
        <v>745</v>
      </c>
      <c r="BW69" s="1198" t="s">
        <v>745</v>
      </c>
      <c r="BX69" s="1198" t="s">
        <v>745</v>
      </c>
      <c r="BY69" s="1198" t="s">
        <v>745</v>
      </c>
      <c r="BZ69" s="1198" t="s">
        <v>745</v>
      </c>
      <c r="CA69" s="483" t="s">
        <v>769</v>
      </c>
    </row>
    <row r="70" spans="1:79" s="447" customFormat="1" ht="15" hidden="1" customHeight="1" x14ac:dyDescent="0.25">
      <c r="A70" s="874" t="s">
        <v>6816</v>
      </c>
      <c r="B70" s="878" t="s">
        <v>4</v>
      </c>
      <c r="C70" s="1286" t="s">
        <v>8651</v>
      </c>
      <c r="D70" s="880" t="s">
        <v>8652</v>
      </c>
      <c r="E70" s="879" t="s">
        <v>1716</v>
      </c>
      <c r="F70" s="878" t="s">
        <v>784</v>
      </c>
      <c r="G70" s="878" t="s">
        <v>26</v>
      </c>
      <c r="H70" s="878" t="s">
        <v>59</v>
      </c>
      <c r="I70" s="881">
        <v>45649</v>
      </c>
      <c r="J70" s="956">
        <v>45763</v>
      </c>
      <c r="K70" s="945">
        <v>45762</v>
      </c>
      <c r="L70" s="884">
        <v>1</v>
      </c>
      <c r="M70" s="879"/>
      <c r="N70" s="885" t="s">
        <v>739</v>
      </c>
      <c r="O70" s="886">
        <v>45772</v>
      </c>
      <c r="P70" s="1153" t="s">
        <v>739</v>
      </c>
      <c r="Q70" s="1150">
        <v>187540.85400000002</v>
      </c>
      <c r="R70" s="887">
        <v>0.1</v>
      </c>
      <c r="S70" s="888" t="s">
        <v>29</v>
      </c>
      <c r="T70" s="888" t="s">
        <v>29</v>
      </c>
      <c r="U70" s="889" t="s">
        <v>29</v>
      </c>
      <c r="V70" s="890">
        <v>3258</v>
      </c>
      <c r="W70" s="1021" t="s">
        <v>29</v>
      </c>
      <c r="X70" s="888">
        <v>1582581.37</v>
      </c>
      <c r="Y70" s="891"/>
      <c r="Z70" s="888">
        <v>292827.17</v>
      </c>
      <c r="AA70" s="892">
        <v>1875408.54</v>
      </c>
      <c r="AB70" s="893">
        <v>45764</v>
      </c>
      <c r="AC70" s="894" t="s">
        <v>709</v>
      </c>
      <c r="AD70" s="1161" t="s">
        <v>29</v>
      </c>
      <c r="AE70" s="895" t="s">
        <v>756</v>
      </c>
      <c r="AF70" s="895" t="s">
        <v>756</v>
      </c>
      <c r="AG70" s="896" t="s">
        <v>116</v>
      </c>
      <c r="AH70" s="897">
        <v>45825</v>
      </c>
      <c r="AI70" s="898">
        <v>0</v>
      </c>
      <c r="AJ70" s="899">
        <v>18335</v>
      </c>
      <c r="AK70" s="899">
        <v>10197.11</v>
      </c>
      <c r="AL70" s="901">
        <v>0.15213810426607099</v>
      </c>
      <c r="AM70" s="902" t="s">
        <v>116</v>
      </c>
      <c r="AN70" s="1353">
        <v>45805</v>
      </c>
      <c r="AO70" s="1354">
        <v>11103544</v>
      </c>
      <c r="AP70" s="1320">
        <v>1385659.79</v>
      </c>
      <c r="AQ70" s="1293"/>
      <c r="AR70" s="1320">
        <v>298514.07</v>
      </c>
      <c r="AS70" s="538">
        <f>IF(Table15910[[#This Row],[PCTS Approved]]="N",0,Table15910[[#This Row],[Investment Amount (1'#'#'#'#'#)]]+Table15910[[#This Row],[Retirement Amount (3'#'#'#'#'#)]])</f>
        <v>1684173.86</v>
      </c>
      <c r="AT70" s="538">
        <f>IF(Table15910[[#This Row],[Approved Construction Cost]]=0,0,Table15910[[#This Row],[Approved Construction Cost]]-Table15910[[#This Row],[Construction Cost to Bill From]])</f>
        <v>-191234.67999999993</v>
      </c>
      <c r="AU70" s="538">
        <f>IFERROR(Table15910[[#This Row],[Difference in Construction Cost]]*Table15910[[#This Row],[Rate]],Table15910[[#This Row],[Difference in Construction Cost]]*0.085)</f>
        <v>-19123.467999999993</v>
      </c>
      <c r="AV70" s="1356" t="s">
        <v>29</v>
      </c>
      <c r="AW70" s="1463" t="s">
        <v>9176</v>
      </c>
      <c r="AX70" s="908"/>
      <c r="AY70" s="909" t="s">
        <v>709</v>
      </c>
      <c r="AZ70" s="1022"/>
      <c r="BA70" s="910" t="s">
        <v>8654</v>
      </c>
      <c r="BB70" s="911" t="s">
        <v>1718</v>
      </c>
      <c r="BC70" s="912" t="s">
        <v>709</v>
      </c>
      <c r="BD70" s="913" t="s">
        <v>709</v>
      </c>
      <c r="BE70" s="914" t="s">
        <v>1719</v>
      </c>
      <c r="BF70" s="914" t="s">
        <v>8655</v>
      </c>
      <c r="BG70" s="915" t="s">
        <v>709</v>
      </c>
      <c r="BH70" s="1023" t="s">
        <v>8656</v>
      </c>
      <c r="BI70" s="916" t="s">
        <v>745</v>
      </c>
      <c r="BJ70" s="916" t="s">
        <v>745</v>
      </c>
      <c r="BK70" s="916" t="s">
        <v>745</v>
      </c>
      <c r="BL70" s="916" t="s">
        <v>116</v>
      </c>
      <c r="BM70" s="916" t="s">
        <v>745</v>
      </c>
      <c r="BN70" s="916" t="s">
        <v>745</v>
      </c>
      <c r="BO70" s="916" t="s">
        <v>745</v>
      </c>
      <c r="BP70" s="916" t="s">
        <v>745</v>
      </c>
      <c r="BQ70" s="916" t="s">
        <v>745</v>
      </c>
      <c r="BR70" s="916">
        <v>266</v>
      </c>
      <c r="BS70" s="916">
        <v>2992</v>
      </c>
      <c r="BT70" s="916" t="s">
        <v>745</v>
      </c>
      <c r="BU70" s="916" t="s">
        <v>745</v>
      </c>
      <c r="BV70" s="916" t="s">
        <v>745</v>
      </c>
      <c r="BW70" s="916" t="s">
        <v>745</v>
      </c>
      <c r="BX70" s="916" t="s">
        <v>745</v>
      </c>
      <c r="BY70" s="916" t="s">
        <v>745</v>
      </c>
      <c r="BZ70" s="916" t="s">
        <v>745</v>
      </c>
      <c r="CA70" s="483"/>
    </row>
    <row r="71" spans="1:79" s="447" customFormat="1" ht="15" hidden="1" customHeight="1" x14ac:dyDescent="0.25">
      <c r="A71" s="8" t="s">
        <v>800</v>
      </c>
      <c r="B71" s="8" t="s">
        <v>4</v>
      </c>
      <c r="C71" s="1497" t="s">
        <v>397</v>
      </c>
      <c r="D71" s="8" t="s">
        <v>1692</v>
      </c>
      <c r="E71" s="8" t="s">
        <v>398</v>
      </c>
      <c r="F71" s="8" t="s">
        <v>784</v>
      </c>
      <c r="G71" s="8" t="s">
        <v>35</v>
      </c>
      <c r="H71" s="8" t="s">
        <v>59</v>
      </c>
      <c r="I71" s="642">
        <v>44854</v>
      </c>
      <c r="J71" s="18">
        <v>45267</v>
      </c>
      <c r="K71" s="97">
        <v>45261</v>
      </c>
      <c r="L71" s="16">
        <v>6</v>
      </c>
      <c r="M71" s="642"/>
      <c r="N71" s="642" t="s">
        <v>120</v>
      </c>
      <c r="O71" s="1060">
        <v>45292</v>
      </c>
      <c r="P71" s="1152" t="s">
        <v>739</v>
      </c>
      <c r="Q71" s="340">
        <v>584340.76300000004</v>
      </c>
      <c r="R71" s="1026">
        <v>0.1</v>
      </c>
      <c r="S71" s="538"/>
      <c r="T71" s="538"/>
      <c r="U71" s="87"/>
      <c r="V71" s="858">
        <v>15156</v>
      </c>
      <c r="W71" s="437">
        <v>0</v>
      </c>
      <c r="X71" s="556">
        <v>4473504.66</v>
      </c>
      <c r="Y71" s="551"/>
      <c r="Z71" s="570">
        <v>1369902.97</v>
      </c>
      <c r="AA71" s="552">
        <v>5843407.6299999999</v>
      </c>
      <c r="AB71" s="341">
        <v>45244</v>
      </c>
      <c r="AC71" s="568" t="s">
        <v>116</v>
      </c>
      <c r="AD71" s="1157" t="s">
        <v>29</v>
      </c>
      <c r="AE71" s="568" t="s">
        <v>116</v>
      </c>
      <c r="AF71" s="568" t="s">
        <v>116</v>
      </c>
      <c r="AG71" s="568" t="s">
        <v>376</v>
      </c>
      <c r="AH71" s="183">
        <v>45308</v>
      </c>
      <c r="AI71" s="1106">
        <v>6220</v>
      </c>
      <c r="AJ71" s="1037"/>
      <c r="AK71" s="1107">
        <v>2232.5</v>
      </c>
      <c r="AL71" s="1108">
        <v>1.4465018590530881E-2</v>
      </c>
      <c r="AM71" s="536" t="s">
        <v>116</v>
      </c>
      <c r="AN71" s="801">
        <v>45524</v>
      </c>
      <c r="AO71" s="806">
        <v>11088378</v>
      </c>
      <c r="AP71" s="718">
        <v>4555170.26</v>
      </c>
      <c r="AQ71" s="682"/>
      <c r="AR71" s="718">
        <v>1402767.51</v>
      </c>
      <c r="AS71" s="538">
        <f>IF(Table15910[[#This Row],[PCTS Approved]]="N",0,Table15910[[#This Row],[Investment Amount (1'#'#'#'#'#)]]+Table15910[[#This Row],[Retirement Amount (3'#'#'#'#'#)]])</f>
        <v>5957937.7699999996</v>
      </c>
      <c r="AT71" s="538">
        <f>IF(Table15910[[#This Row],[Approved Construction Cost]]=0,0,Table15910[[#This Row],[Approved Construction Cost]]-Table15910[[#This Row],[Construction Cost to Bill From]])</f>
        <v>114530.13999999966</v>
      </c>
      <c r="AU71" s="538">
        <f>IFERROR(Table15910[[#This Row],[Difference in Construction Cost]]*Table15910[[#This Row],[Rate]],Table15910[[#This Row],[Difference in Construction Cost]]*0.085)</f>
        <v>11453.013999999966</v>
      </c>
      <c r="AV71" s="1357" t="s">
        <v>29</v>
      </c>
      <c r="AW71" s="1429" t="s">
        <v>6089</v>
      </c>
      <c r="AX71" s="555"/>
      <c r="AY71" s="1035" t="s">
        <v>709</v>
      </c>
      <c r="AZ71" s="443">
        <v>110</v>
      </c>
      <c r="BA71" s="1074" t="s">
        <v>1693</v>
      </c>
      <c r="BB71" s="644" t="s">
        <v>870</v>
      </c>
      <c r="BC71" s="559" t="s">
        <v>116</v>
      </c>
      <c r="BD71" s="554" t="s">
        <v>1626</v>
      </c>
      <c r="BE71" s="588" t="s">
        <v>115</v>
      </c>
      <c r="BF71" s="588" t="s">
        <v>709</v>
      </c>
      <c r="BG71" s="548" t="s">
        <v>1694</v>
      </c>
      <c r="BH71" s="749" t="s">
        <v>1695</v>
      </c>
      <c r="BI71" s="547" t="s">
        <v>709</v>
      </c>
      <c r="BJ71" s="549" t="s">
        <v>709</v>
      </c>
      <c r="BK71" s="547" t="s">
        <v>116</v>
      </c>
      <c r="BL71" s="547" t="s">
        <v>116</v>
      </c>
      <c r="BM71" s="626" t="s">
        <v>709</v>
      </c>
      <c r="BN71" s="549" t="s">
        <v>709</v>
      </c>
      <c r="BO71" s="626" t="s">
        <v>709</v>
      </c>
      <c r="BP71" s="626">
        <v>1010</v>
      </c>
      <c r="BQ71" s="549">
        <v>6628</v>
      </c>
      <c r="BR71" s="549">
        <v>7033</v>
      </c>
      <c r="BS71" s="549">
        <v>485</v>
      </c>
      <c r="BT71" s="549" t="s">
        <v>709</v>
      </c>
      <c r="BU71" s="549" t="s">
        <v>709</v>
      </c>
      <c r="BV71" s="549" t="s">
        <v>709</v>
      </c>
      <c r="BW71" s="549" t="s">
        <v>709</v>
      </c>
      <c r="BX71" s="547" t="s">
        <v>709</v>
      </c>
      <c r="BY71" s="549" t="s">
        <v>709</v>
      </c>
      <c r="BZ71" s="547" t="s">
        <v>709</v>
      </c>
      <c r="CA71" s="483"/>
    </row>
    <row r="72" spans="1:79" ht="15" hidden="1" customHeight="1" x14ac:dyDescent="0.25">
      <c r="A72" s="8" t="s">
        <v>770</v>
      </c>
      <c r="B72" s="8" t="s">
        <v>4</v>
      </c>
      <c r="C72" s="8" t="s">
        <v>1152</v>
      </c>
      <c r="D72" s="656" t="s">
        <v>1153</v>
      </c>
      <c r="E72" s="8" t="s">
        <v>1154</v>
      </c>
      <c r="F72" s="8" t="s">
        <v>919</v>
      </c>
      <c r="G72" s="8" t="s">
        <v>37</v>
      </c>
      <c r="H72" s="8" t="s">
        <v>59</v>
      </c>
      <c r="I72" s="642">
        <v>44166</v>
      </c>
      <c r="J72" s="18">
        <v>44217</v>
      </c>
      <c r="K72" s="642">
        <v>44217</v>
      </c>
      <c r="L72" s="16">
        <v>0</v>
      </c>
      <c r="M72" s="642"/>
      <c r="N72" s="642" t="s">
        <v>120</v>
      </c>
      <c r="O72" s="1025">
        <v>44214</v>
      </c>
      <c r="P72" s="21" t="s">
        <v>739</v>
      </c>
      <c r="Q72" s="340">
        <v>26108.262999999999</v>
      </c>
      <c r="R72" s="1026">
        <v>0.1</v>
      </c>
      <c r="S72" s="538"/>
      <c r="T72" s="538"/>
      <c r="U72" s="28"/>
      <c r="V72" s="857">
        <v>407</v>
      </c>
      <c r="W72" s="440"/>
      <c r="X72" s="551">
        <v>253431.11</v>
      </c>
      <c r="Y72" s="592"/>
      <c r="Z72" s="551">
        <v>7651.52</v>
      </c>
      <c r="AA72" s="551">
        <v>261082.62999999998</v>
      </c>
      <c r="AB72" s="341"/>
      <c r="AC72" s="568" t="s">
        <v>709</v>
      </c>
      <c r="AD72" s="1157"/>
      <c r="AE72" s="579"/>
      <c r="AF72" s="579"/>
      <c r="AG72" s="579"/>
      <c r="AH72" s="553"/>
      <c r="AI72" s="1036"/>
      <c r="AJ72" s="1037"/>
      <c r="AK72" s="1037"/>
      <c r="AL72" s="1038"/>
      <c r="AM72" s="536" t="s">
        <v>116</v>
      </c>
      <c r="AN72" s="801" t="s">
        <v>709</v>
      </c>
      <c r="AO72" s="601" t="s">
        <v>115</v>
      </c>
      <c r="AP72" s="572"/>
      <c r="AQ72" s="572"/>
      <c r="AR72" s="572"/>
      <c r="AS72" s="538">
        <f>IF(Table15910[[#This Row],[PCTS Approved]]="N",0,Table15910[[#This Row],[Investment Amount (1'#'#'#'#'#)]]+Table15910[[#This Row],[Retirement Amount (3'#'#'#'#'#)]])</f>
        <v>0</v>
      </c>
      <c r="AT72" s="538">
        <f>IF(Table15910[[#This Row],[Approved Construction Cost]]=0,0,Table15910[[#This Row],[Approved Construction Cost]]-Table15910[[#This Row],[Construction Cost to Bill From]])</f>
        <v>0</v>
      </c>
      <c r="AU72" s="538">
        <f>IFERROR(Table15910[[#This Row],[Difference in Construction Cost]]*Table15910[[#This Row],[Rate]],Table15910[[#This Row],[Difference in Construction Cost]]*0.085)</f>
        <v>0</v>
      </c>
      <c r="AV72" s="572"/>
      <c r="AW72" s="639"/>
      <c r="AX72" s="538"/>
      <c r="AY72" s="1035" t="s">
        <v>709</v>
      </c>
      <c r="AZ72" s="443">
        <v>56</v>
      </c>
      <c r="BA72" s="859" t="s">
        <v>1155</v>
      </c>
      <c r="BB72" s="644" t="s">
        <v>1156</v>
      </c>
      <c r="BC72" s="544" t="s">
        <v>709</v>
      </c>
      <c r="BD72" s="544" t="s">
        <v>709</v>
      </c>
      <c r="BE72" s="544" t="s">
        <v>709</v>
      </c>
      <c r="BF72" s="544" t="s">
        <v>1157</v>
      </c>
      <c r="BG72" s="544" t="s">
        <v>709</v>
      </c>
      <c r="BH72" s="741"/>
      <c r="BI72" s="547" t="s">
        <v>709</v>
      </c>
      <c r="BJ72" s="547" t="s">
        <v>709</v>
      </c>
      <c r="BK72" s="547" t="s">
        <v>709</v>
      </c>
      <c r="BL72" s="547" t="s">
        <v>116</v>
      </c>
      <c r="BM72" s="547" t="s">
        <v>709</v>
      </c>
      <c r="BN72" s="547" t="s">
        <v>709</v>
      </c>
      <c r="BO72" s="547" t="s">
        <v>709</v>
      </c>
      <c r="BP72" s="547" t="s">
        <v>709</v>
      </c>
      <c r="BQ72" s="547" t="s">
        <v>709</v>
      </c>
      <c r="BR72" s="547" t="s">
        <v>709</v>
      </c>
      <c r="BS72" s="547">
        <v>407</v>
      </c>
      <c r="BT72" s="547" t="s">
        <v>745</v>
      </c>
      <c r="BU72" s="547" t="s">
        <v>709</v>
      </c>
      <c r="BV72" s="547" t="s">
        <v>745</v>
      </c>
      <c r="BW72" s="547" t="s">
        <v>709</v>
      </c>
      <c r="BX72" s="547" t="s">
        <v>745</v>
      </c>
      <c r="BY72" s="547" t="s">
        <v>745</v>
      </c>
      <c r="BZ72" s="547" t="s">
        <v>709</v>
      </c>
      <c r="CA72" s="483"/>
    </row>
    <row r="73" spans="1:79" ht="15" hidden="1" customHeight="1" x14ac:dyDescent="0.25">
      <c r="A73" s="8" t="s">
        <v>6816</v>
      </c>
      <c r="B73" s="8" t="s">
        <v>730</v>
      </c>
      <c r="C73" s="8" t="s">
        <v>6878</v>
      </c>
      <c r="D73" s="8" t="s">
        <v>6879</v>
      </c>
      <c r="E73" s="8" t="s">
        <v>6880</v>
      </c>
      <c r="F73" s="8" t="s">
        <v>6643</v>
      </c>
      <c r="G73" s="8" t="s">
        <v>37</v>
      </c>
      <c r="H73" s="8" t="s">
        <v>59</v>
      </c>
      <c r="I73" s="642">
        <v>45517</v>
      </c>
      <c r="J73" s="18">
        <v>45657</v>
      </c>
      <c r="K73" s="18">
        <v>45649</v>
      </c>
      <c r="L73" s="16">
        <v>8</v>
      </c>
      <c r="M73" s="13"/>
      <c r="N73" s="99" t="s">
        <v>120</v>
      </c>
      <c r="O73" s="1060">
        <v>45627</v>
      </c>
      <c r="P73" s="1152" t="s">
        <v>120</v>
      </c>
      <c r="Q73" s="340">
        <v>33931.109300000004</v>
      </c>
      <c r="R73" s="1039">
        <v>0.11</v>
      </c>
      <c r="S73" s="538" t="s">
        <v>29</v>
      </c>
      <c r="T73" s="538" t="s">
        <v>29</v>
      </c>
      <c r="U73" s="28" t="s">
        <v>29</v>
      </c>
      <c r="V73" s="858">
        <v>1066</v>
      </c>
      <c r="W73" s="437">
        <v>1</v>
      </c>
      <c r="X73" s="552">
        <v>245944.3</v>
      </c>
      <c r="Y73" s="551"/>
      <c r="Z73" s="552">
        <v>62520.33</v>
      </c>
      <c r="AA73" s="552">
        <v>308464.63</v>
      </c>
      <c r="AB73" s="341">
        <v>45663</v>
      </c>
      <c r="AC73" s="568" t="s">
        <v>1056</v>
      </c>
      <c r="AD73" s="1159" t="s">
        <v>29</v>
      </c>
      <c r="AE73" s="573" t="s">
        <v>756</v>
      </c>
      <c r="AF73" s="573" t="s">
        <v>116</v>
      </c>
      <c r="AG73" s="569" t="s">
        <v>116</v>
      </c>
      <c r="AH73" s="573" t="s">
        <v>376</v>
      </c>
      <c r="AI73" s="1109">
        <v>10980</v>
      </c>
      <c r="AJ73" s="1110">
        <v>0</v>
      </c>
      <c r="AK73" s="1143">
        <v>6453.25</v>
      </c>
      <c r="AL73" s="1108">
        <v>0.51378367402801062</v>
      </c>
      <c r="AM73" s="536" t="s">
        <v>116</v>
      </c>
      <c r="AN73" s="680" t="s">
        <v>709</v>
      </c>
      <c r="AO73" s="601">
        <v>11092915</v>
      </c>
      <c r="AP73" s="572"/>
      <c r="AQ73" s="572"/>
      <c r="AR73" s="572"/>
      <c r="AS73" s="538">
        <f>IF(Table15910[[#This Row],[PCTS Approved]]="N",0,Table15910[[#This Row],[Investment Amount (1'#'#'#'#'#)]]+Table15910[[#This Row],[Retirement Amount (3'#'#'#'#'#)]])</f>
        <v>0</v>
      </c>
      <c r="AT73" s="538">
        <f>IF(Table15910[[#This Row],[Approved Construction Cost]]=0,0,Table15910[[#This Row],[Approved Construction Cost]]-Table15910[[#This Row],[Construction Cost to Bill From]])</f>
        <v>0</v>
      </c>
      <c r="AU73" s="538">
        <f>IFERROR(Table15910[[#This Row],[Difference in Construction Cost]]*Table15910[[#This Row],[Rate]],Table15910[[#This Row],[Difference in Construction Cost]]*0.085)</f>
        <v>0</v>
      </c>
      <c r="AV73" s="602"/>
      <c r="AW73" s="640"/>
      <c r="AX73" s="555"/>
      <c r="AY73" s="1035"/>
      <c r="AZ73" s="605"/>
      <c r="BA73" s="1074" t="s">
        <v>8146</v>
      </c>
      <c r="BB73" s="644" t="s">
        <v>6882</v>
      </c>
      <c r="BC73" s="544" t="s">
        <v>116</v>
      </c>
      <c r="BD73" s="544" t="s">
        <v>115</v>
      </c>
      <c r="BE73" s="544" t="s">
        <v>115</v>
      </c>
      <c r="BF73" s="544" t="s">
        <v>6883</v>
      </c>
      <c r="BG73" s="548" t="s">
        <v>115</v>
      </c>
      <c r="BH73" s="615" t="s">
        <v>6884</v>
      </c>
      <c r="BI73" s="547" t="s">
        <v>709</v>
      </c>
      <c r="BJ73" s="547" t="s">
        <v>116</v>
      </c>
      <c r="BK73" s="547" t="s">
        <v>709</v>
      </c>
      <c r="BL73" s="547" t="s">
        <v>709</v>
      </c>
      <c r="BM73" s="547" t="s">
        <v>709</v>
      </c>
      <c r="BN73" s="547" t="s">
        <v>709</v>
      </c>
      <c r="BO73" s="547" t="s">
        <v>709</v>
      </c>
      <c r="BP73" s="626" t="s">
        <v>709</v>
      </c>
      <c r="BQ73" s="626" t="s">
        <v>709</v>
      </c>
      <c r="BR73" s="549">
        <v>1007</v>
      </c>
      <c r="BS73" s="549">
        <v>59</v>
      </c>
      <c r="BT73" s="547" t="s">
        <v>709</v>
      </c>
      <c r="BU73" s="547">
        <v>1</v>
      </c>
      <c r="BV73" s="547" t="s">
        <v>709</v>
      </c>
      <c r="BW73" s="547" t="s">
        <v>709</v>
      </c>
      <c r="BX73" s="547">
        <v>1</v>
      </c>
      <c r="BY73" s="547" t="s">
        <v>709</v>
      </c>
      <c r="BZ73" s="547" t="s">
        <v>709</v>
      </c>
      <c r="CA73" s="483"/>
    </row>
    <row r="74" spans="1:79" ht="15" hidden="1" customHeight="1" x14ac:dyDescent="0.25">
      <c r="A74" s="8">
        <v>2025</v>
      </c>
      <c r="B74" s="8" t="s">
        <v>730</v>
      </c>
      <c r="C74" s="8" t="s">
        <v>6785</v>
      </c>
      <c r="D74" s="8" t="s">
        <v>6786</v>
      </c>
      <c r="E74" s="8" t="s">
        <v>2258</v>
      </c>
      <c r="F74" s="8" t="s">
        <v>6643</v>
      </c>
      <c r="G74" s="8" t="s">
        <v>37</v>
      </c>
      <c r="H74" s="8" t="s">
        <v>59</v>
      </c>
      <c r="I74" s="642">
        <v>45518</v>
      </c>
      <c r="J74" s="449">
        <v>45621</v>
      </c>
      <c r="K74" s="175">
        <v>45621</v>
      </c>
      <c r="L74" s="16">
        <v>0</v>
      </c>
      <c r="M74" s="13"/>
      <c r="N74" s="99" t="s">
        <v>120</v>
      </c>
      <c r="O74" s="1060">
        <v>45627</v>
      </c>
      <c r="P74" s="1152" t="s">
        <v>120</v>
      </c>
      <c r="Q74" s="340">
        <v>34409.454299999998</v>
      </c>
      <c r="R74" s="1039">
        <v>0.09</v>
      </c>
      <c r="S74" s="538" t="s">
        <v>29</v>
      </c>
      <c r="T74" s="538" t="s">
        <v>29</v>
      </c>
      <c r="U74" s="28" t="s">
        <v>29</v>
      </c>
      <c r="V74" s="858">
        <v>2602</v>
      </c>
      <c r="W74" s="437">
        <v>0</v>
      </c>
      <c r="X74" s="552">
        <v>334865.09000000003</v>
      </c>
      <c r="Y74" s="551"/>
      <c r="Z74" s="552">
        <v>47462.18</v>
      </c>
      <c r="AA74" s="552">
        <v>382327.27</v>
      </c>
      <c r="AB74" s="341">
        <v>45637</v>
      </c>
      <c r="AC74" s="568" t="s">
        <v>709</v>
      </c>
      <c r="AD74" s="1159" t="s">
        <v>116</v>
      </c>
      <c r="AE74" s="573" t="s">
        <v>116</v>
      </c>
      <c r="AF74" s="573" t="s">
        <v>29</v>
      </c>
      <c r="AG74" s="569" t="s">
        <v>376</v>
      </c>
      <c r="AH74" s="573" t="s">
        <v>376</v>
      </c>
      <c r="AI74" s="1109">
        <v>0</v>
      </c>
      <c r="AJ74" s="1110">
        <v>0</v>
      </c>
      <c r="AK74" s="1143">
        <v>7167</v>
      </c>
      <c r="AL74" s="1108">
        <v>0.20828577917900898</v>
      </c>
      <c r="AM74" s="536" t="s">
        <v>116</v>
      </c>
      <c r="AN74" s="680" t="s">
        <v>709</v>
      </c>
      <c r="AO74" s="601"/>
      <c r="AP74" s="572"/>
      <c r="AQ74" s="572"/>
      <c r="AR74" s="572"/>
      <c r="AS74" s="538">
        <f>IF(Table15910[[#This Row],[PCTS Approved]]="N",0,Table15910[[#This Row],[Investment Amount (1'#'#'#'#'#)]]+Table15910[[#This Row],[Retirement Amount (3'#'#'#'#'#)]])</f>
        <v>0</v>
      </c>
      <c r="AT74" s="538">
        <f>IF(Table15910[[#This Row],[Approved Construction Cost]]=0,0,Table15910[[#This Row],[Approved Construction Cost]]-Table15910[[#This Row],[Construction Cost to Bill From]])</f>
        <v>0</v>
      </c>
      <c r="AU74" s="538">
        <f>IFERROR(Table15910[[#This Row],[Difference in Construction Cost]]*Table15910[[#This Row],[Rate]],Table15910[[#This Row],[Difference in Construction Cost]]*0.085)</f>
        <v>0</v>
      </c>
      <c r="AV74" s="602"/>
      <c r="AW74" s="640"/>
      <c r="AX74" s="555"/>
      <c r="AY74" s="1035" t="s">
        <v>709</v>
      </c>
      <c r="AZ74" s="605"/>
      <c r="BA74" s="13" t="s">
        <v>6787</v>
      </c>
      <c r="BB74" s="100" t="s">
        <v>6788</v>
      </c>
      <c r="BC74" s="544" t="s">
        <v>115</v>
      </c>
      <c r="BD74" s="544" t="s">
        <v>115</v>
      </c>
      <c r="BE74" s="544" t="s">
        <v>5873</v>
      </c>
      <c r="BF74" s="544" t="s">
        <v>115</v>
      </c>
      <c r="BG74" s="548" t="s">
        <v>115</v>
      </c>
      <c r="BH74" s="615" t="s">
        <v>6789</v>
      </c>
      <c r="BI74" s="547" t="s">
        <v>709</v>
      </c>
      <c r="BJ74" s="547" t="s">
        <v>709</v>
      </c>
      <c r="BK74" s="547" t="s">
        <v>709</v>
      </c>
      <c r="BL74" s="547" t="s">
        <v>116</v>
      </c>
      <c r="BM74" s="547" t="s">
        <v>709</v>
      </c>
      <c r="BN74" s="547" t="s">
        <v>709</v>
      </c>
      <c r="BO74" s="547" t="s">
        <v>709</v>
      </c>
      <c r="BP74" s="626" t="s">
        <v>709</v>
      </c>
      <c r="BQ74" s="626" t="s">
        <v>709</v>
      </c>
      <c r="BR74" s="549" t="s">
        <v>709</v>
      </c>
      <c r="BS74" s="549">
        <v>2602</v>
      </c>
      <c r="BT74" s="547" t="s">
        <v>709</v>
      </c>
      <c r="BU74" s="547" t="s">
        <v>709</v>
      </c>
      <c r="BV74" s="547" t="s">
        <v>709</v>
      </c>
      <c r="BW74" s="547" t="s">
        <v>709</v>
      </c>
      <c r="BX74" s="547" t="s">
        <v>709</v>
      </c>
      <c r="BY74" s="547" t="s">
        <v>709</v>
      </c>
      <c r="BZ74" s="547" t="s">
        <v>709</v>
      </c>
      <c r="CA74" s="483"/>
    </row>
    <row r="75" spans="1:79" ht="15" hidden="1" customHeight="1" x14ac:dyDescent="0.25">
      <c r="A75" s="8" t="s">
        <v>6816</v>
      </c>
      <c r="B75" s="8" t="s">
        <v>730</v>
      </c>
      <c r="C75" s="8" t="s">
        <v>6762</v>
      </c>
      <c r="D75" s="8" t="s">
        <v>6763</v>
      </c>
      <c r="E75" s="8" t="s">
        <v>6764</v>
      </c>
      <c r="F75" s="8" t="s">
        <v>6643</v>
      </c>
      <c r="G75" s="8" t="s">
        <v>37</v>
      </c>
      <c r="H75" s="8" t="s">
        <v>59</v>
      </c>
      <c r="I75" s="642">
        <v>45491</v>
      </c>
      <c r="J75" s="18">
        <v>45615</v>
      </c>
      <c r="K75" s="18">
        <v>45611</v>
      </c>
      <c r="L75" s="16">
        <v>4</v>
      </c>
      <c r="M75" s="642"/>
      <c r="N75" s="642" t="s">
        <v>120</v>
      </c>
      <c r="O75" s="1060">
        <v>45620</v>
      </c>
      <c r="P75" s="1152" t="s">
        <v>120</v>
      </c>
      <c r="Q75" s="1061">
        <v>50089.041900000004</v>
      </c>
      <c r="R75" s="1039">
        <v>0.09</v>
      </c>
      <c r="S75" s="1135" t="s">
        <v>29</v>
      </c>
      <c r="T75" s="538" t="s">
        <v>29</v>
      </c>
      <c r="U75" s="87" t="s">
        <v>29</v>
      </c>
      <c r="V75" s="858">
        <v>2019</v>
      </c>
      <c r="W75" s="437">
        <v>0</v>
      </c>
      <c r="X75" s="538">
        <v>507454.25</v>
      </c>
      <c r="Y75" s="551"/>
      <c r="Z75" s="552">
        <v>49090.66</v>
      </c>
      <c r="AA75" s="552">
        <v>556544.91</v>
      </c>
      <c r="AB75" s="341">
        <v>45609</v>
      </c>
      <c r="AC75" s="569" t="s">
        <v>116</v>
      </c>
      <c r="AD75" s="1149" t="s">
        <v>116</v>
      </c>
      <c r="AE75" s="568" t="s">
        <v>116</v>
      </c>
      <c r="AF75" s="568" t="s">
        <v>116</v>
      </c>
      <c r="AG75" s="569" t="s">
        <v>29</v>
      </c>
      <c r="AH75" s="183">
        <v>45735</v>
      </c>
      <c r="AI75" s="1109">
        <v>0</v>
      </c>
      <c r="AJ75" s="1110">
        <v>1638.52</v>
      </c>
      <c r="AK75" s="1110">
        <v>8927</v>
      </c>
      <c r="AL75" s="1108">
        <v>0.21093475936500194</v>
      </c>
      <c r="AM75" s="536" t="s">
        <v>116</v>
      </c>
      <c r="AN75" s="680" t="s">
        <v>709</v>
      </c>
      <c r="AO75" s="601"/>
      <c r="AP75" s="572"/>
      <c r="AQ75" s="572"/>
      <c r="AR75" s="572"/>
      <c r="AS75" s="538">
        <f>IF(Table15910[[#This Row],[PCTS Approved]]="N",0,Table15910[[#This Row],[Investment Amount (1'#'#'#'#'#)]]+Table15910[[#This Row],[Retirement Amount (3'#'#'#'#'#)]])</f>
        <v>0</v>
      </c>
      <c r="AT75" s="538">
        <f>IF(Table15910[[#This Row],[Approved Construction Cost]]=0,0,Table15910[[#This Row],[Approved Construction Cost]]-Table15910[[#This Row],[Construction Cost to Bill From]])</f>
        <v>0</v>
      </c>
      <c r="AU75" s="538">
        <f>IFERROR(Table15910[[#This Row],[Difference in Construction Cost]]*Table15910[[#This Row],[Rate]],Table15910[[#This Row],[Difference in Construction Cost]]*0.085)</f>
        <v>0</v>
      </c>
      <c r="AV75" s="572"/>
      <c r="AW75" s="639"/>
      <c r="AX75" s="538"/>
      <c r="AY75" s="1035" t="s">
        <v>709</v>
      </c>
      <c r="AZ75" s="607"/>
      <c r="BA75" s="1074" t="s">
        <v>6765</v>
      </c>
      <c r="BB75" s="644" t="s">
        <v>6766</v>
      </c>
      <c r="BC75" s="544" t="s">
        <v>115</v>
      </c>
      <c r="BD75" s="554" t="s">
        <v>6767</v>
      </c>
      <c r="BE75" s="588" t="s">
        <v>115</v>
      </c>
      <c r="BF75" s="588" t="s">
        <v>6768</v>
      </c>
      <c r="BG75" s="548" t="s">
        <v>6769</v>
      </c>
      <c r="BH75" s="615" t="s">
        <v>6770</v>
      </c>
      <c r="BI75" s="547" t="s">
        <v>709</v>
      </c>
      <c r="BJ75" s="547" t="s">
        <v>709</v>
      </c>
      <c r="BK75" s="547" t="s">
        <v>709</v>
      </c>
      <c r="BL75" s="547" t="s">
        <v>116</v>
      </c>
      <c r="BM75" s="547" t="s">
        <v>709</v>
      </c>
      <c r="BN75" s="547" t="s">
        <v>709</v>
      </c>
      <c r="BO75" s="547" t="s">
        <v>709</v>
      </c>
      <c r="BP75" s="626" t="s">
        <v>709</v>
      </c>
      <c r="BQ75" s="626" t="s">
        <v>709</v>
      </c>
      <c r="BR75" s="549">
        <v>2019</v>
      </c>
      <c r="BS75" s="549" t="s">
        <v>709</v>
      </c>
      <c r="BT75" s="547" t="s">
        <v>709</v>
      </c>
      <c r="BU75" s="547" t="s">
        <v>709</v>
      </c>
      <c r="BV75" s="547" t="s">
        <v>709</v>
      </c>
      <c r="BW75" s="547" t="s">
        <v>709</v>
      </c>
      <c r="BX75" s="547" t="s">
        <v>709</v>
      </c>
      <c r="BY75" s="547" t="s">
        <v>709</v>
      </c>
      <c r="BZ75" s="547" t="s">
        <v>709</v>
      </c>
      <c r="CA75" s="483"/>
    </row>
    <row r="76" spans="1:79" ht="15" hidden="1" customHeight="1" x14ac:dyDescent="0.25">
      <c r="A76" s="8" t="s">
        <v>800</v>
      </c>
      <c r="B76" s="8" t="s">
        <v>730</v>
      </c>
      <c r="C76" s="8" t="s">
        <v>1638</v>
      </c>
      <c r="D76" s="8" t="s">
        <v>1639</v>
      </c>
      <c r="E76" s="8" t="s">
        <v>232</v>
      </c>
      <c r="F76" s="8" t="s">
        <v>752</v>
      </c>
      <c r="G76" s="8" t="s">
        <v>37</v>
      </c>
      <c r="H76" s="13" t="s">
        <v>59</v>
      </c>
      <c r="I76" s="642">
        <v>45089</v>
      </c>
      <c r="J76" s="18">
        <v>45211</v>
      </c>
      <c r="K76" s="175">
        <v>45194</v>
      </c>
      <c r="L76" s="649">
        <v>17</v>
      </c>
      <c r="M76" s="642"/>
      <c r="N76" s="642" t="s">
        <v>120</v>
      </c>
      <c r="O76" s="1060">
        <v>45231</v>
      </c>
      <c r="P76" s="1152" t="s">
        <v>120</v>
      </c>
      <c r="Q76" s="340">
        <v>124640.64630000001</v>
      </c>
      <c r="R76" s="1026">
        <v>0.09</v>
      </c>
      <c r="S76" s="538"/>
      <c r="T76" s="538"/>
      <c r="U76" s="87"/>
      <c r="V76" s="858">
        <v>3831</v>
      </c>
      <c r="W76" s="437">
        <v>0</v>
      </c>
      <c r="X76" s="552">
        <v>1261547.47</v>
      </c>
      <c r="Y76" s="551"/>
      <c r="Z76" s="552">
        <v>123348.6</v>
      </c>
      <c r="AA76" s="552">
        <v>1384896.07</v>
      </c>
      <c r="AB76" s="341">
        <v>45194</v>
      </c>
      <c r="AC76" s="568" t="s">
        <v>709</v>
      </c>
      <c r="AD76" s="1157" t="s">
        <v>29</v>
      </c>
      <c r="AE76" s="568" t="s">
        <v>116</v>
      </c>
      <c r="AF76" s="568" t="s">
        <v>756</v>
      </c>
      <c r="AG76" s="568" t="s">
        <v>116</v>
      </c>
      <c r="AH76" s="183" t="s">
        <v>116</v>
      </c>
      <c r="AI76" s="1036"/>
      <c r="AJ76" s="1037"/>
      <c r="AK76" s="1037"/>
      <c r="AL76" s="1038"/>
      <c r="AM76" s="536" t="s">
        <v>116</v>
      </c>
      <c r="AN76" s="680" t="s">
        <v>709</v>
      </c>
      <c r="AO76" s="601"/>
      <c r="AP76" s="572"/>
      <c r="AQ76" s="572"/>
      <c r="AR76" s="572"/>
      <c r="AS76" s="538">
        <f>IF(Table15910[[#This Row],[PCTS Approved]]="N",0,Table15910[[#This Row],[Investment Amount (1'#'#'#'#'#)]]+Table15910[[#This Row],[Retirement Amount (3'#'#'#'#'#)]])</f>
        <v>0</v>
      </c>
      <c r="AT76" s="538">
        <f>IF(Table15910[[#This Row],[Approved Construction Cost]]=0,0,Table15910[[#This Row],[Approved Construction Cost]]-Table15910[[#This Row],[Construction Cost to Bill From]])</f>
        <v>0</v>
      </c>
      <c r="AU76" s="538">
        <f>IFERROR(Table15910[[#This Row],[Difference in Construction Cost]]*Table15910[[#This Row],[Rate]],Table15910[[#This Row],[Difference in Construction Cost]]*0.085)</f>
        <v>0</v>
      </c>
      <c r="AV76" s="602"/>
      <c r="AW76" s="640"/>
      <c r="AX76" s="555"/>
      <c r="AY76" s="1035" t="s">
        <v>709</v>
      </c>
      <c r="AZ76" s="443">
        <v>51</v>
      </c>
      <c r="BA76" s="1076" t="s">
        <v>1640</v>
      </c>
      <c r="BB76" s="644" t="s">
        <v>1641</v>
      </c>
      <c r="BC76" s="544" t="s">
        <v>756</v>
      </c>
      <c r="BD76" s="1084" t="s">
        <v>115</v>
      </c>
      <c r="BE76" s="544" t="s">
        <v>595</v>
      </c>
      <c r="BF76" s="1084" t="s">
        <v>115</v>
      </c>
      <c r="BG76" s="544"/>
      <c r="BH76" s="741" t="s">
        <v>5997</v>
      </c>
      <c r="BI76" s="547" t="s">
        <v>709</v>
      </c>
      <c r="BJ76" s="547" t="s">
        <v>709</v>
      </c>
      <c r="BK76" s="547" t="s">
        <v>709</v>
      </c>
      <c r="BL76" s="547" t="s">
        <v>116</v>
      </c>
      <c r="BM76" s="547" t="s">
        <v>709</v>
      </c>
      <c r="BN76" s="547" t="s">
        <v>709</v>
      </c>
      <c r="BO76" s="547" t="s">
        <v>709</v>
      </c>
      <c r="BP76" s="547" t="s">
        <v>709</v>
      </c>
      <c r="BQ76" s="547" t="s">
        <v>709</v>
      </c>
      <c r="BR76" s="547">
        <v>3831</v>
      </c>
      <c r="BS76" s="547" t="s">
        <v>709</v>
      </c>
      <c r="BT76" s="547" t="s">
        <v>709</v>
      </c>
      <c r="BU76" s="547" t="s">
        <v>709</v>
      </c>
      <c r="BV76" s="547" t="s">
        <v>709</v>
      </c>
      <c r="BW76" s="547" t="s">
        <v>709</v>
      </c>
      <c r="BX76" s="547">
        <v>1</v>
      </c>
      <c r="BY76" s="547" t="s">
        <v>709</v>
      </c>
      <c r="BZ76" s="547" t="s">
        <v>709</v>
      </c>
      <c r="CA76" s="483"/>
    </row>
    <row r="77" spans="1:79" ht="15" hidden="1" customHeight="1" x14ac:dyDescent="0.25">
      <c r="A77" s="8" t="s">
        <v>781</v>
      </c>
      <c r="B77" s="8" t="s">
        <v>730</v>
      </c>
      <c r="C77" s="8" t="s">
        <v>294</v>
      </c>
      <c r="D77" s="8" t="s">
        <v>1249</v>
      </c>
      <c r="E77" s="8" t="s">
        <v>295</v>
      </c>
      <c r="F77" s="8" t="s">
        <v>752</v>
      </c>
      <c r="G77" s="8" t="s">
        <v>37</v>
      </c>
      <c r="H77" s="8" t="s">
        <v>59</v>
      </c>
      <c r="I77" s="642">
        <v>44603</v>
      </c>
      <c r="J77" s="18">
        <v>44715</v>
      </c>
      <c r="K77" s="18">
        <v>44685</v>
      </c>
      <c r="L77" s="16">
        <v>30</v>
      </c>
      <c r="M77" s="642"/>
      <c r="N77" s="642" t="s">
        <v>120</v>
      </c>
      <c r="O77" s="1025">
        <v>44685</v>
      </c>
      <c r="P77" s="21" t="s">
        <v>739</v>
      </c>
      <c r="Q77" s="1061">
        <v>26388.316800000001</v>
      </c>
      <c r="R77" s="1026" t="s">
        <v>794</v>
      </c>
      <c r="S77" s="538" t="s">
        <v>709</v>
      </c>
      <c r="T77" s="538" t="s">
        <v>709</v>
      </c>
      <c r="U77" s="87" t="s">
        <v>709</v>
      </c>
      <c r="V77" s="857">
        <v>125</v>
      </c>
      <c r="W77" s="440"/>
      <c r="X77" s="551">
        <v>210299.3</v>
      </c>
      <c r="Y77" s="592"/>
      <c r="Z77" s="551">
        <v>38386.78</v>
      </c>
      <c r="AA77" s="551">
        <v>248686.07999999999</v>
      </c>
      <c r="AB77" s="341"/>
      <c r="AC77" s="568" t="s">
        <v>1056</v>
      </c>
      <c r="AD77" s="1157"/>
      <c r="AE77" s="579"/>
      <c r="AF77" s="579"/>
      <c r="AG77" s="579"/>
      <c r="AH77" s="553"/>
      <c r="AI77" s="1036"/>
      <c r="AJ77" s="1037"/>
      <c r="AK77" s="1037"/>
      <c r="AL77" s="1038"/>
      <c r="AM77" s="536" t="s">
        <v>116</v>
      </c>
      <c r="AN77" s="680" t="s">
        <v>709</v>
      </c>
      <c r="AO77" s="601">
        <v>11042140</v>
      </c>
      <c r="AP77" s="572"/>
      <c r="AQ77" s="572"/>
      <c r="AR77" s="572"/>
      <c r="AS77" s="538">
        <f>IF(Table15910[[#This Row],[PCTS Approved]]="N",0,Table15910[[#This Row],[Investment Amount (1'#'#'#'#'#)]]+Table15910[[#This Row],[Retirement Amount (3'#'#'#'#'#)]])</f>
        <v>0</v>
      </c>
      <c r="AT77" s="538">
        <f>IF(Table15910[[#This Row],[Approved Construction Cost]]=0,0,Table15910[[#This Row],[Approved Construction Cost]]-Table15910[[#This Row],[Construction Cost to Bill From]])</f>
        <v>0</v>
      </c>
      <c r="AU77" s="538">
        <f>IFERROR(Table15910[[#This Row],[Difference in Construction Cost]]*Table15910[[#This Row],[Rate]],Table15910[[#This Row],[Difference in Construction Cost]]*0.085)</f>
        <v>0</v>
      </c>
      <c r="AV77" s="572"/>
      <c r="AW77" s="639"/>
      <c r="AX77" s="538"/>
      <c r="AY77" s="1035" t="s">
        <v>709</v>
      </c>
      <c r="AZ77" s="443">
        <v>168</v>
      </c>
      <c r="BA77" s="859" t="s">
        <v>1250</v>
      </c>
      <c r="BB77" s="644" t="s">
        <v>1251</v>
      </c>
      <c r="BC77" s="544" t="s">
        <v>709</v>
      </c>
      <c r="BD77" s="544" t="s">
        <v>709</v>
      </c>
      <c r="BE77" s="544" t="s">
        <v>1252</v>
      </c>
      <c r="BF77" s="544" t="s">
        <v>1252</v>
      </c>
      <c r="BG77" s="544" t="s">
        <v>709</v>
      </c>
      <c r="BH77" s="741"/>
      <c r="BI77" s="547" t="s">
        <v>709</v>
      </c>
      <c r="BJ77" s="547" t="s">
        <v>116</v>
      </c>
      <c r="BK77" s="547" t="s">
        <v>709</v>
      </c>
      <c r="BL77" s="547" t="s">
        <v>116</v>
      </c>
      <c r="BM77" s="547" t="s">
        <v>709</v>
      </c>
      <c r="BN77" s="547" t="s">
        <v>709</v>
      </c>
      <c r="BO77" s="547" t="s">
        <v>709</v>
      </c>
      <c r="BP77" s="547" t="s">
        <v>709</v>
      </c>
      <c r="BQ77" s="547" t="s">
        <v>709</v>
      </c>
      <c r="BR77" s="547" t="s">
        <v>709</v>
      </c>
      <c r="BS77" s="547">
        <v>125</v>
      </c>
      <c r="BT77" s="547" t="s">
        <v>745</v>
      </c>
      <c r="BU77" s="547">
        <v>1</v>
      </c>
      <c r="BV77" s="547" t="s">
        <v>745</v>
      </c>
      <c r="BW77" s="547" t="s">
        <v>709</v>
      </c>
      <c r="BX77" s="547">
        <v>1</v>
      </c>
      <c r="BY77" s="547" t="s">
        <v>745</v>
      </c>
      <c r="BZ77" s="547" t="s">
        <v>709</v>
      </c>
      <c r="CA77" s="483" t="s">
        <v>29</v>
      </c>
    </row>
    <row r="78" spans="1:79" ht="15" hidden="1" customHeight="1" x14ac:dyDescent="0.25">
      <c r="A78" s="878">
        <v>2024</v>
      </c>
      <c r="B78" s="878" t="s">
        <v>759</v>
      </c>
      <c r="C78" s="878" t="s">
        <v>437</v>
      </c>
      <c r="D78" s="878" t="s">
        <v>5778</v>
      </c>
      <c r="E78" s="878" t="s">
        <v>438</v>
      </c>
      <c r="F78" s="878" t="s">
        <v>6643</v>
      </c>
      <c r="G78" s="878" t="s">
        <v>37</v>
      </c>
      <c r="H78" s="878" t="s">
        <v>59</v>
      </c>
      <c r="I78" s="883">
        <v>45341</v>
      </c>
      <c r="J78" s="945">
        <v>45716</v>
      </c>
      <c r="K78" s="945">
        <v>45716</v>
      </c>
      <c r="L78" s="919">
        <v>0</v>
      </c>
      <c r="M78" s="939"/>
      <c r="N78" s="885" t="s">
        <v>739</v>
      </c>
      <c r="O78" s="886">
        <v>45748</v>
      </c>
      <c r="P78" s="1153" t="s">
        <v>120</v>
      </c>
      <c r="Q78" s="1150">
        <v>106348.25520000001</v>
      </c>
      <c r="R78" s="920">
        <v>0.11</v>
      </c>
      <c r="S78" s="888" t="s">
        <v>29</v>
      </c>
      <c r="T78" s="888" t="s">
        <v>29</v>
      </c>
      <c r="U78" s="889" t="s">
        <v>29</v>
      </c>
      <c r="V78" s="890">
        <v>1093</v>
      </c>
      <c r="W78" s="1021">
        <v>1</v>
      </c>
      <c r="X78" s="892">
        <v>843423.93</v>
      </c>
      <c r="Y78" s="935"/>
      <c r="Z78" s="892">
        <v>123378.39</v>
      </c>
      <c r="AA78" s="892">
        <v>966802.32000000007</v>
      </c>
      <c r="AB78" s="893">
        <v>45754</v>
      </c>
      <c r="AC78" s="894" t="s">
        <v>1177</v>
      </c>
      <c r="AD78" s="1162" t="s">
        <v>29</v>
      </c>
      <c r="AE78" s="940" t="s">
        <v>116</v>
      </c>
      <c r="AF78" s="940" t="s">
        <v>29</v>
      </c>
      <c r="AG78" s="940" t="s">
        <v>376</v>
      </c>
      <c r="AH78" s="940" t="s">
        <v>376</v>
      </c>
      <c r="AI78" s="898">
        <v>4900</v>
      </c>
      <c r="AJ78" s="991">
        <v>1748.95</v>
      </c>
      <c r="AK78" s="941">
        <v>10894</v>
      </c>
      <c r="AL78" s="901">
        <v>0.16495757233636305</v>
      </c>
      <c r="AM78" s="902" t="s">
        <v>116</v>
      </c>
      <c r="AN78" s="1279" t="s">
        <v>709</v>
      </c>
      <c r="AO78" s="904">
        <v>11056663</v>
      </c>
      <c r="AP78" s="905"/>
      <c r="AQ78" s="905"/>
      <c r="AR78" s="905"/>
      <c r="AS78" s="538">
        <f>IF(Table15910[[#This Row],[PCTS Approved]]="N",0,Table15910[[#This Row],[Investment Amount (1'#'#'#'#'#)]]+Table15910[[#This Row],[Retirement Amount (3'#'#'#'#'#)]])</f>
        <v>0</v>
      </c>
      <c r="AT78" s="538">
        <f>IF(Table15910[[#This Row],[Approved Construction Cost]]=0,0,Table15910[[#This Row],[Approved Construction Cost]]-Table15910[[#This Row],[Construction Cost to Bill From]])</f>
        <v>0</v>
      </c>
      <c r="AU78" s="538">
        <f>IFERROR(Table15910[[#This Row],[Difference in Construction Cost]]*Table15910[[#This Row],[Rate]],Table15910[[#This Row],[Difference in Construction Cost]]*0.085)</f>
        <v>0</v>
      </c>
      <c r="AV78" s="906"/>
      <c r="AW78" s="907"/>
      <c r="AX78" s="908"/>
      <c r="AY78" s="909"/>
      <c r="AZ78" s="1022"/>
      <c r="BA78" s="910" t="s">
        <v>8413</v>
      </c>
      <c r="BB78" s="949" t="s">
        <v>1443</v>
      </c>
      <c r="BC78" s="915" t="s">
        <v>115</v>
      </c>
      <c r="BD78" s="915" t="s">
        <v>115</v>
      </c>
      <c r="BE78" s="915" t="s">
        <v>1444</v>
      </c>
      <c r="BF78" s="915" t="s">
        <v>115</v>
      </c>
      <c r="BG78" s="943" t="s">
        <v>115</v>
      </c>
      <c r="BH78" s="1023" t="s">
        <v>8414</v>
      </c>
      <c r="BI78" s="916" t="s">
        <v>709</v>
      </c>
      <c r="BJ78" s="916" t="s">
        <v>709</v>
      </c>
      <c r="BK78" s="916" t="s">
        <v>709</v>
      </c>
      <c r="BL78" s="916" t="s">
        <v>116</v>
      </c>
      <c r="BM78" s="916" t="s">
        <v>709</v>
      </c>
      <c r="BN78" s="916" t="s">
        <v>709</v>
      </c>
      <c r="BO78" s="916" t="s">
        <v>709</v>
      </c>
      <c r="BP78" s="944">
        <v>584</v>
      </c>
      <c r="BQ78" s="944">
        <v>336</v>
      </c>
      <c r="BR78" s="929">
        <v>62</v>
      </c>
      <c r="BS78" s="929">
        <v>21</v>
      </c>
      <c r="BT78" s="916">
        <v>1</v>
      </c>
      <c r="BU78" s="916" t="s">
        <v>709</v>
      </c>
      <c r="BV78" s="916" t="s">
        <v>709</v>
      </c>
      <c r="BW78" s="916">
        <v>1</v>
      </c>
      <c r="BX78" s="916">
        <v>1</v>
      </c>
      <c r="BY78" s="916" t="s">
        <v>709</v>
      </c>
      <c r="BZ78" s="916" t="s">
        <v>709</v>
      </c>
      <c r="CA78" s="483"/>
    </row>
    <row r="79" spans="1:79" ht="15" hidden="1" customHeight="1" x14ac:dyDescent="0.25">
      <c r="A79" s="8" t="s">
        <v>800</v>
      </c>
      <c r="B79" s="8" t="s">
        <v>759</v>
      </c>
      <c r="C79" s="8" t="s">
        <v>1648</v>
      </c>
      <c r="D79" s="8" t="s">
        <v>1649</v>
      </c>
      <c r="E79" s="8" t="s">
        <v>1650</v>
      </c>
      <c r="F79" s="8" t="s">
        <v>752</v>
      </c>
      <c r="G79" s="8" t="s">
        <v>37</v>
      </c>
      <c r="H79" s="13" t="s">
        <v>59</v>
      </c>
      <c r="I79" s="642">
        <v>45103</v>
      </c>
      <c r="J79" s="18">
        <v>45239</v>
      </c>
      <c r="K79" s="97">
        <v>45239</v>
      </c>
      <c r="L79" s="16">
        <v>0</v>
      </c>
      <c r="M79" s="642"/>
      <c r="N79" s="642" t="s">
        <v>120</v>
      </c>
      <c r="O79" s="1060">
        <v>45261</v>
      </c>
      <c r="P79" s="1152" t="s">
        <v>120</v>
      </c>
      <c r="Q79" s="340">
        <v>113917.20450000001</v>
      </c>
      <c r="R79" s="1026">
        <v>0.11</v>
      </c>
      <c r="S79" s="538"/>
      <c r="T79" s="538"/>
      <c r="U79" s="87"/>
      <c r="V79" s="858">
        <v>2092</v>
      </c>
      <c r="W79" s="437">
        <v>3</v>
      </c>
      <c r="X79" s="552">
        <v>940183.43</v>
      </c>
      <c r="Y79" s="551"/>
      <c r="Z79" s="552">
        <v>95427.520000000004</v>
      </c>
      <c r="AA79" s="552">
        <v>1035610.9500000001</v>
      </c>
      <c r="AB79" s="341">
        <v>45245</v>
      </c>
      <c r="AC79" s="568" t="s">
        <v>811</v>
      </c>
      <c r="AD79" s="1157" t="s">
        <v>116</v>
      </c>
      <c r="AE79" s="183">
        <v>45239</v>
      </c>
      <c r="AF79" s="183">
        <v>45240</v>
      </c>
      <c r="AG79" s="183">
        <v>45245</v>
      </c>
      <c r="AH79" s="183">
        <v>45245</v>
      </c>
      <c r="AI79" s="1036"/>
      <c r="AJ79" s="1037"/>
      <c r="AK79" s="1037"/>
      <c r="AL79" s="1038"/>
      <c r="AM79" s="536" t="s">
        <v>116</v>
      </c>
      <c r="AN79" s="680" t="s">
        <v>709</v>
      </c>
      <c r="AO79" s="601"/>
      <c r="AP79" s="572"/>
      <c r="AQ79" s="572"/>
      <c r="AR79" s="572"/>
      <c r="AS79" s="538">
        <f>IF(Table15910[[#This Row],[PCTS Approved]]="N",0,Table15910[[#This Row],[Investment Amount (1'#'#'#'#'#)]]+Table15910[[#This Row],[Retirement Amount (3'#'#'#'#'#)]])</f>
        <v>0</v>
      </c>
      <c r="AT79" s="538">
        <f>IF(Table15910[[#This Row],[Approved Construction Cost]]=0,0,Table15910[[#This Row],[Approved Construction Cost]]-Table15910[[#This Row],[Construction Cost to Bill From]])</f>
        <v>0</v>
      </c>
      <c r="AU79" s="538">
        <f>IFERROR(Table15910[[#This Row],[Difference in Construction Cost]]*Table15910[[#This Row],[Rate]],Table15910[[#This Row],[Difference in Construction Cost]]*0.085)</f>
        <v>0</v>
      </c>
      <c r="AV79" s="572"/>
      <c r="AW79" s="639"/>
      <c r="AX79" s="538"/>
      <c r="AY79" s="1035" t="s">
        <v>709</v>
      </c>
      <c r="AZ79" s="443">
        <v>159</v>
      </c>
      <c r="BA79" s="1076" t="s">
        <v>1651</v>
      </c>
      <c r="BB79" s="648" t="s">
        <v>1652</v>
      </c>
      <c r="BC79" s="559" t="s">
        <v>709</v>
      </c>
      <c r="BD79" s="554" t="s">
        <v>6046</v>
      </c>
      <c r="BE79" s="588" t="s">
        <v>3609</v>
      </c>
      <c r="BF79" s="588" t="s">
        <v>709</v>
      </c>
      <c r="BG79" s="548" t="s">
        <v>709</v>
      </c>
      <c r="BH79" s="741" t="s">
        <v>1653</v>
      </c>
      <c r="BI79" s="547" t="s">
        <v>709</v>
      </c>
      <c r="BJ79" s="547" t="s">
        <v>709</v>
      </c>
      <c r="BK79" s="547" t="s">
        <v>116</v>
      </c>
      <c r="BL79" s="547" t="s">
        <v>116</v>
      </c>
      <c r="BM79" s="547" t="s">
        <v>709</v>
      </c>
      <c r="BN79" s="547" t="s">
        <v>709</v>
      </c>
      <c r="BO79" s="547" t="s">
        <v>709</v>
      </c>
      <c r="BP79" s="547">
        <v>125</v>
      </c>
      <c r="BQ79" s="547">
        <v>1883</v>
      </c>
      <c r="BR79" s="547">
        <v>164</v>
      </c>
      <c r="BS79" s="547">
        <v>45</v>
      </c>
      <c r="BT79" s="547">
        <v>1</v>
      </c>
      <c r="BU79" s="547" t="s">
        <v>709</v>
      </c>
      <c r="BV79" s="547" t="s">
        <v>709</v>
      </c>
      <c r="BW79" s="547">
        <v>1</v>
      </c>
      <c r="BX79" s="547" t="s">
        <v>709</v>
      </c>
      <c r="BY79" s="547" t="s">
        <v>709</v>
      </c>
      <c r="BZ79" s="547" t="s">
        <v>709</v>
      </c>
      <c r="CA79" s="483" t="s">
        <v>1745</v>
      </c>
    </row>
    <row r="80" spans="1:79" ht="15" hidden="1" customHeight="1" x14ac:dyDescent="0.25">
      <c r="A80" s="8" t="s">
        <v>800</v>
      </c>
      <c r="B80" s="8" t="s">
        <v>4</v>
      </c>
      <c r="C80" s="656" t="s">
        <v>392</v>
      </c>
      <c r="D80" s="8" t="s">
        <v>1702</v>
      </c>
      <c r="E80" s="8" t="s">
        <v>393</v>
      </c>
      <c r="F80" s="8" t="s">
        <v>784</v>
      </c>
      <c r="G80" s="8" t="s">
        <v>27</v>
      </c>
      <c r="H80" s="8" t="s">
        <v>59</v>
      </c>
      <c r="I80" s="642">
        <v>44886</v>
      </c>
      <c r="J80" s="18">
        <v>45289</v>
      </c>
      <c r="K80" s="97">
        <v>45288</v>
      </c>
      <c r="L80" s="16">
        <v>1</v>
      </c>
      <c r="M80" s="642"/>
      <c r="N80" s="642" t="s">
        <v>120</v>
      </c>
      <c r="O80" s="1060">
        <v>45292</v>
      </c>
      <c r="P80" s="1152" t="s">
        <v>739</v>
      </c>
      <c r="Q80" s="340">
        <v>414065.52400000003</v>
      </c>
      <c r="R80" s="1026">
        <v>0.1</v>
      </c>
      <c r="S80" s="538"/>
      <c r="T80" s="538"/>
      <c r="U80" s="87"/>
      <c r="V80" s="858">
        <v>8446</v>
      </c>
      <c r="W80" s="437">
        <v>0</v>
      </c>
      <c r="X80" s="556">
        <v>3141483.87</v>
      </c>
      <c r="Y80" s="551"/>
      <c r="Z80" s="570">
        <v>999171.37</v>
      </c>
      <c r="AA80" s="552">
        <v>4140655.24</v>
      </c>
      <c r="AB80" s="341">
        <v>45288</v>
      </c>
      <c r="AC80" s="568" t="s">
        <v>116</v>
      </c>
      <c r="AD80" s="1157" t="s">
        <v>116</v>
      </c>
      <c r="AE80" s="568" t="s">
        <v>116</v>
      </c>
      <c r="AF80" s="568" t="s">
        <v>116</v>
      </c>
      <c r="AG80" s="568" t="s">
        <v>116</v>
      </c>
      <c r="AH80" s="183">
        <v>45366</v>
      </c>
      <c r="AI80" s="1109">
        <v>0</v>
      </c>
      <c r="AJ80" s="1110">
        <v>9588.4</v>
      </c>
      <c r="AK80" s="1110">
        <v>2448.75</v>
      </c>
      <c r="AL80" s="1108">
        <v>2.9070640520170422E-2</v>
      </c>
      <c r="AM80" s="536" t="s">
        <v>116</v>
      </c>
      <c r="AN80" s="801">
        <v>45720</v>
      </c>
      <c r="AO80" s="806">
        <v>11099139</v>
      </c>
      <c r="AP80" s="718">
        <v>1475414.9</v>
      </c>
      <c r="AQ80" s="682"/>
      <c r="AR80" s="718">
        <v>552484.56000000006</v>
      </c>
      <c r="AS80" s="538">
        <f>IF(Table15910[[#This Row],[PCTS Approved]]="N",0,Table15910[[#This Row],[Investment Amount (1'#'#'#'#'#)]]+Table15910[[#This Row],[Retirement Amount (3'#'#'#'#'#)]])</f>
        <v>2027899.46</v>
      </c>
      <c r="AT80" s="538">
        <f>IF(Table15910[[#This Row],[Approved Construction Cost]]=0,0,Table15910[[#This Row],[Approved Construction Cost]]-Table15910[[#This Row],[Construction Cost to Bill From]])</f>
        <v>-2112755.7800000003</v>
      </c>
      <c r="AU80" s="538">
        <f>IFERROR(Table15910[[#This Row],[Difference in Construction Cost]]*Table15910[[#This Row],[Rate]],Table15910[[#This Row],[Difference in Construction Cost]]*0.085)</f>
        <v>-211275.57800000004</v>
      </c>
      <c r="AV80" s="803">
        <f>4660+29077.5+43046.18+3172.5</f>
        <v>79956.179999999993</v>
      </c>
      <c r="AW80" s="1358" t="s">
        <v>6143</v>
      </c>
      <c r="AX80" s="555"/>
      <c r="AY80" s="1035" t="s">
        <v>709</v>
      </c>
      <c r="AZ80" s="443">
        <v>115</v>
      </c>
      <c r="BA80" s="1074" t="s">
        <v>1703</v>
      </c>
      <c r="BB80" s="644" t="s">
        <v>1704</v>
      </c>
      <c r="BC80" s="559" t="s">
        <v>116</v>
      </c>
      <c r="BD80" s="554" t="s">
        <v>1066</v>
      </c>
      <c r="BE80" s="588" t="s">
        <v>1705</v>
      </c>
      <c r="BF80" s="588" t="s">
        <v>1706</v>
      </c>
      <c r="BG80" s="548" t="s">
        <v>1707</v>
      </c>
      <c r="BH80" s="615" t="s">
        <v>1708</v>
      </c>
      <c r="BI80" s="547" t="s">
        <v>709</v>
      </c>
      <c r="BJ80" s="549" t="s">
        <v>709</v>
      </c>
      <c r="BK80" s="547" t="s">
        <v>709</v>
      </c>
      <c r="BL80" s="547" t="s">
        <v>116</v>
      </c>
      <c r="BM80" s="626" t="s">
        <v>709</v>
      </c>
      <c r="BN80" s="549" t="s">
        <v>709</v>
      </c>
      <c r="BO80" s="626" t="s">
        <v>709</v>
      </c>
      <c r="BP80" s="626">
        <v>250</v>
      </c>
      <c r="BQ80" s="549">
        <v>5956</v>
      </c>
      <c r="BR80" s="549">
        <v>928</v>
      </c>
      <c r="BS80" s="549">
        <v>1562</v>
      </c>
      <c r="BT80" s="549" t="s">
        <v>745</v>
      </c>
      <c r="BU80" s="549" t="s">
        <v>709</v>
      </c>
      <c r="BV80" s="549" t="s">
        <v>745</v>
      </c>
      <c r="BW80" s="549" t="s">
        <v>709</v>
      </c>
      <c r="BX80" s="547" t="s">
        <v>745</v>
      </c>
      <c r="BY80" s="549" t="s">
        <v>745</v>
      </c>
      <c r="BZ80" s="547" t="s">
        <v>709</v>
      </c>
      <c r="CA80" s="483"/>
    </row>
    <row r="81" spans="1:79" ht="15" hidden="1" customHeight="1" x14ac:dyDescent="0.25">
      <c r="A81" s="8" t="s">
        <v>781</v>
      </c>
      <c r="B81" s="8" t="s">
        <v>759</v>
      </c>
      <c r="C81" s="661" t="s">
        <v>1259</v>
      </c>
      <c r="D81" s="8" t="s">
        <v>1260</v>
      </c>
      <c r="E81" s="8" t="s">
        <v>1261</v>
      </c>
      <c r="F81" s="8" t="s">
        <v>752</v>
      </c>
      <c r="G81" s="8" t="s">
        <v>37</v>
      </c>
      <c r="H81" s="8" t="s">
        <v>59</v>
      </c>
      <c r="I81" s="642">
        <v>44582</v>
      </c>
      <c r="J81" s="450">
        <v>44694</v>
      </c>
      <c r="K81" s="18">
        <v>44691</v>
      </c>
      <c r="L81" s="16">
        <v>3</v>
      </c>
      <c r="M81" s="642"/>
      <c r="N81" s="642" t="s">
        <v>120</v>
      </c>
      <c r="O81" s="1025">
        <v>44691</v>
      </c>
      <c r="P81" s="21" t="s">
        <v>120</v>
      </c>
      <c r="Q81" s="1061">
        <v>58634.540699999998</v>
      </c>
      <c r="R81" s="1026" t="s">
        <v>1055</v>
      </c>
      <c r="S81" s="538" t="s">
        <v>709</v>
      </c>
      <c r="T81" s="538" t="s">
        <v>709</v>
      </c>
      <c r="U81" s="87" t="s">
        <v>709</v>
      </c>
      <c r="V81" s="857">
        <v>662</v>
      </c>
      <c r="W81" s="440"/>
      <c r="X81" s="551">
        <v>544357.96</v>
      </c>
      <c r="Y81" s="592"/>
      <c r="Z81" s="551">
        <v>83695.460000000006</v>
      </c>
      <c r="AA81" s="551">
        <v>628053.41999999993</v>
      </c>
      <c r="AB81" s="341"/>
      <c r="AC81" s="568" t="s">
        <v>1056</v>
      </c>
      <c r="AD81" s="1157"/>
      <c r="AE81" s="579"/>
      <c r="AF81" s="579"/>
      <c r="AG81" s="579"/>
      <c r="AH81" s="553"/>
      <c r="AI81" s="1036"/>
      <c r="AJ81" s="1037"/>
      <c r="AK81" s="1037"/>
      <c r="AL81" s="1038"/>
      <c r="AM81" s="536" t="s">
        <v>116</v>
      </c>
      <c r="AN81" s="680" t="s">
        <v>709</v>
      </c>
      <c r="AO81" s="601">
        <v>11039510</v>
      </c>
      <c r="AP81" s="572"/>
      <c r="AQ81" s="572"/>
      <c r="AR81" s="572"/>
      <c r="AS81" s="538">
        <f>IF(Table15910[[#This Row],[PCTS Approved]]="N",0,Table15910[[#This Row],[Investment Amount (1'#'#'#'#'#)]]+Table15910[[#This Row],[Retirement Amount (3'#'#'#'#'#)]])</f>
        <v>0</v>
      </c>
      <c r="AT81" s="538">
        <f>IF(Table15910[[#This Row],[Approved Construction Cost]]=0,0,Table15910[[#This Row],[Approved Construction Cost]]-Table15910[[#This Row],[Construction Cost to Bill From]])</f>
        <v>0</v>
      </c>
      <c r="AU81" s="538">
        <f>IFERROR(Table15910[[#This Row],[Difference in Construction Cost]]*Table15910[[#This Row],[Rate]],Table15910[[#This Row],[Difference in Construction Cost]]*0.085)</f>
        <v>0</v>
      </c>
      <c r="AV81" s="572"/>
      <c r="AW81" s="639"/>
      <c r="AX81" s="538"/>
      <c r="AY81" s="1035" t="s">
        <v>709</v>
      </c>
      <c r="AZ81" s="443">
        <v>183</v>
      </c>
      <c r="BA81" s="859" t="s">
        <v>1262</v>
      </c>
      <c r="BB81" s="644" t="s">
        <v>1263</v>
      </c>
      <c r="BC81" s="544" t="s">
        <v>709</v>
      </c>
      <c r="BD81" s="544" t="s">
        <v>1066</v>
      </c>
      <c r="BE81" s="544" t="s">
        <v>709</v>
      </c>
      <c r="BF81" s="544" t="s">
        <v>709</v>
      </c>
      <c r="BG81" s="544" t="s">
        <v>709</v>
      </c>
      <c r="BH81" s="741"/>
      <c r="BI81" s="547" t="s">
        <v>709</v>
      </c>
      <c r="BJ81" s="547" t="s">
        <v>709</v>
      </c>
      <c r="BK81" s="547" t="s">
        <v>116</v>
      </c>
      <c r="BL81" s="547" t="s">
        <v>116</v>
      </c>
      <c r="BM81" s="547" t="s">
        <v>709</v>
      </c>
      <c r="BN81" s="547">
        <v>104</v>
      </c>
      <c r="BO81" s="547" t="s">
        <v>709</v>
      </c>
      <c r="BP81" s="547">
        <v>141</v>
      </c>
      <c r="BQ81" s="547">
        <v>276</v>
      </c>
      <c r="BR81" s="547">
        <v>45</v>
      </c>
      <c r="BS81" s="547">
        <v>5</v>
      </c>
      <c r="BT81" s="547">
        <v>1</v>
      </c>
      <c r="BU81" s="547" t="s">
        <v>709</v>
      </c>
      <c r="BV81" s="547" t="s">
        <v>745</v>
      </c>
      <c r="BW81" s="547">
        <v>1</v>
      </c>
      <c r="BX81" s="547">
        <v>1</v>
      </c>
      <c r="BY81" s="547" t="s">
        <v>745</v>
      </c>
      <c r="BZ81" s="547" t="s">
        <v>709</v>
      </c>
      <c r="CA81" s="483"/>
    </row>
    <row r="82" spans="1:79" s="447" customFormat="1" ht="15" hidden="1" customHeight="1" x14ac:dyDescent="0.25">
      <c r="A82" s="8" t="s">
        <v>800</v>
      </c>
      <c r="B82" s="8" t="s">
        <v>4</v>
      </c>
      <c r="C82" s="1497" t="s">
        <v>1802</v>
      </c>
      <c r="D82" s="8" t="s">
        <v>1803</v>
      </c>
      <c r="E82" s="8" t="s">
        <v>1804</v>
      </c>
      <c r="F82" s="8" t="s">
        <v>851</v>
      </c>
      <c r="G82" s="8" t="s">
        <v>28</v>
      </c>
      <c r="H82" s="8" t="s">
        <v>59</v>
      </c>
      <c r="I82" s="642">
        <v>45216</v>
      </c>
      <c r="J82" s="18">
        <v>45443</v>
      </c>
      <c r="K82" s="642">
        <v>45442</v>
      </c>
      <c r="L82" s="16">
        <v>1</v>
      </c>
      <c r="M82" s="642"/>
      <c r="N82" s="642" t="s">
        <v>120</v>
      </c>
      <c r="O82" s="1060">
        <v>45444</v>
      </c>
      <c r="P82" s="1152" t="s">
        <v>739</v>
      </c>
      <c r="Q82" s="340">
        <v>297748.33100000001</v>
      </c>
      <c r="R82" s="1026">
        <v>0.1</v>
      </c>
      <c r="S82" s="538"/>
      <c r="T82" s="538"/>
      <c r="U82" s="87"/>
      <c r="V82" s="858">
        <v>7041</v>
      </c>
      <c r="W82" s="437">
        <v>0</v>
      </c>
      <c r="X82" s="538">
        <v>2529591.65</v>
      </c>
      <c r="Y82" s="551"/>
      <c r="Z82" s="552">
        <v>447891.66</v>
      </c>
      <c r="AA82" s="552">
        <v>2977483.31</v>
      </c>
      <c r="AB82" s="341">
        <v>45433</v>
      </c>
      <c r="AC82" s="569" t="s">
        <v>116</v>
      </c>
      <c r="AD82" s="1149" t="s">
        <v>29</v>
      </c>
      <c r="AE82" s="569" t="s">
        <v>116</v>
      </c>
      <c r="AF82" s="568" t="s">
        <v>116</v>
      </c>
      <c r="AG82" s="568" t="s">
        <v>376</v>
      </c>
      <c r="AH82" s="183">
        <v>45475</v>
      </c>
      <c r="AI82" s="1028">
        <v>0</v>
      </c>
      <c r="AJ82" s="1029">
        <v>19800</v>
      </c>
      <c r="AK82" s="1029">
        <v>7092</v>
      </c>
      <c r="AL82" s="1030">
        <v>9.0317886618145313E-2</v>
      </c>
      <c r="AM82" s="536" t="s">
        <v>116</v>
      </c>
      <c r="AN82" s="801">
        <v>45593</v>
      </c>
      <c r="AO82" s="806">
        <v>11090345</v>
      </c>
      <c r="AP82" s="718">
        <v>2568392.08</v>
      </c>
      <c r="AQ82" s="572">
        <v>2568</v>
      </c>
      <c r="AR82" s="718">
        <v>453813.49</v>
      </c>
      <c r="AS82" s="538">
        <f>IF(Table15910[[#This Row],[PCTS Approved]]="N",0,Table15910[[#This Row],[Investment Amount (1'#'#'#'#'#)]]+Table15910[[#This Row],[Retirement Amount (3'#'#'#'#'#)]])</f>
        <v>3022205.5700000003</v>
      </c>
      <c r="AT82" s="538">
        <f>IF(Table15910[[#This Row],[Approved Construction Cost]]=0,0,Table15910[[#This Row],[Approved Construction Cost]]-Table15910[[#This Row],[Construction Cost to Bill From]])</f>
        <v>44722.260000000242</v>
      </c>
      <c r="AU82" s="538">
        <f>IFERROR(Table15910[[#This Row],[Difference in Construction Cost]]*Table15910[[#This Row],[Rate]],Table15910[[#This Row],[Difference in Construction Cost]]*0.085)</f>
        <v>4472.2260000000242</v>
      </c>
      <c r="AV82" s="718" t="s">
        <v>29</v>
      </c>
      <c r="AW82" s="1429" t="s">
        <v>6342</v>
      </c>
      <c r="AX82" s="555"/>
      <c r="AY82" s="1035" t="s">
        <v>709</v>
      </c>
      <c r="AZ82" s="443">
        <v>140</v>
      </c>
      <c r="BA82" s="1031" t="s">
        <v>1805</v>
      </c>
      <c r="BB82" s="644" t="s">
        <v>1806</v>
      </c>
      <c r="BC82" s="559" t="s">
        <v>992</v>
      </c>
      <c r="BD82" s="554" t="s">
        <v>882</v>
      </c>
      <c r="BE82" s="588" t="s">
        <v>1807</v>
      </c>
      <c r="BF82" s="588" t="s">
        <v>907</v>
      </c>
      <c r="BG82" s="588" t="s">
        <v>115</v>
      </c>
      <c r="BH82" s="615" t="s">
        <v>1808</v>
      </c>
      <c r="BI82" s="547" t="s">
        <v>709</v>
      </c>
      <c r="BJ82" s="547" t="s">
        <v>709</v>
      </c>
      <c r="BK82" s="547" t="s">
        <v>709</v>
      </c>
      <c r="BL82" s="547" t="s">
        <v>116</v>
      </c>
      <c r="BM82" s="547" t="s">
        <v>709</v>
      </c>
      <c r="BN82" s="547" t="s">
        <v>709</v>
      </c>
      <c r="BO82" s="547" t="s">
        <v>709</v>
      </c>
      <c r="BP82" s="626">
        <v>6395</v>
      </c>
      <c r="BQ82" s="626" t="s">
        <v>709</v>
      </c>
      <c r="BR82" s="549">
        <v>209</v>
      </c>
      <c r="BS82" s="549">
        <v>437</v>
      </c>
      <c r="BT82" s="547" t="s">
        <v>709</v>
      </c>
      <c r="BU82" s="547" t="s">
        <v>709</v>
      </c>
      <c r="BV82" s="547" t="s">
        <v>709</v>
      </c>
      <c r="BW82" s="547" t="s">
        <v>709</v>
      </c>
      <c r="BX82" s="547" t="s">
        <v>709</v>
      </c>
      <c r="BY82" s="547" t="s">
        <v>709</v>
      </c>
      <c r="BZ82" s="547" t="s">
        <v>709</v>
      </c>
      <c r="CA82" s="483"/>
    </row>
    <row r="83" spans="1:79" ht="15" hidden="1" customHeight="1" x14ac:dyDescent="0.25">
      <c r="A83" s="8" t="s">
        <v>800</v>
      </c>
      <c r="B83" s="8" t="s">
        <v>771</v>
      </c>
      <c r="C83" s="8" t="s">
        <v>1809</v>
      </c>
      <c r="D83" s="8" t="s">
        <v>1810</v>
      </c>
      <c r="E83" s="8" t="s">
        <v>149</v>
      </c>
      <c r="F83" s="8" t="s">
        <v>784</v>
      </c>
      <c r="G83" s="8" t="s">
        <v>34</v>
      </c>
      <c r="H83" s="8" t="s">
        <v>59</v>
      </c>
      <c r="I83" s="642">
        <v>45216</v>
      </c>
      <c r="J83" s="18">
        <v>45450</v>
      </c>
      <c r="K83" s="97">
        <v>45446</v>
      </c>
      <c r="L83" s="16">
        <v>4</v>
      </c>
      <c r="M83" s="642"/>
      <c r="N83" s="642" t="s">
        <v>120</v>
      </c>
      <c r="O83" s="1060">
        <v>45444</v>
      </c>
      <c r="P83" s="1152" t="s">
        <v>120</v>
      </c>
      <c r="Q83" s="340">
        <v>278927.18040000001</v>
      </c>
      <c r="R83" s="1026">
        <v>0.04</v>
      </c>
      <c r="S83" s="538"/>
      <c r="T83" s="538"/>
      <c r="U83" s="87"/>
      <c r="V83" s="858">
        <v>27260</v>
      </c>
      <c r="W83" s="437">
        <v>0</v>
      </c>
      <c r="X83" s="538">
        <v>6755557.0300000003</v>
      </c>
      <c r="Y83" s="551"/>
      <c r="Z83" s="552">
        <v>217622.48</v>
      </c>
      <c r="AA83" s="552">
        <v>6973179.5100000007</v>
      </c>
      <c r="AB83" s="341">
        <v>45448</v>
      </c>
      <c r="AC83" s="569" t="s">
        <v>116</v>
      </c>
      <c r="AD83" s="1149" t="s">
        <v>29</v>
      </c>
      <c r="AE83" s="569" t="s">
        <v>116</v>
      </c>
      <c r="AF83" s="568" t="s">
        <v>116</v>
      </c>
      <c r="AG83" s="569" t="s">
        <v>116</v>
      </c>
      <c r="AH83" s="183" t="s">
        <v>376</v>
      </c>
      <c r="AI83" s="1028">
        <v>65810</v>
      </c>
      <c r="AJ83" s="1029"/>
      <c r="AK83" s="1029">
        <v>6175.5</v>
      </c>
      <c r="AL83" s="1030">
        <v>0.25807990421287746</v>
      </c>
      <c r="AM83" s="536" t="s">
        <v>116</v>
      </c>
      <c r="AN83" s="680" t="s">
        <v>709</v>
      </c>
      <c r="AO83" s="601"/>
      <c r="AP83" s="572"/>
      <c r="AQ83" s="572"/>
      <c r="AR83" s="572"/>
      <c r="AS83" s="538">
        <f>IF(Table15910[[#This Row],[PCTS Approved]]="N",0,Table15910[[#This Row],[Investment Amount (1'#'#'#'#'#)]]+Table15910[[#This Row],[Retirement Amount (3'#'#'#'#'#)]])</f>
        <v>0</v>
      </c>
      <c r="AT83" s="538">
        <f>IF(Table15910[[#This Row],[Approved Construction Cost]]=0,0,Table15910[[#This Row],[Approved Construction Cost]]-Table15910[[#This Row],[Construction Cost to Bill From]])</f>
        <v>0</v>
      </c>
      <c r="AU83" s="538">
        <f>IFERROR(Table15910[[#This Row],[Difference in Construction Cost]]*Table15910[[#This Row],[Rate]],Table15910[[#This Row],[Difference in Construction Cost]]*0.085)</f>
        <v>0</v>
      </c>
      <c r="AV83" s="602"/>
      <c r="AW83" s="640"/>
      <c r="AX83" s="555"/>
      <c r="AY83" s="1035" t="s">
        <v>709</v>
      </c>
      <c r="AZ83" s="443">
        <v>4</v>
      </c>
      <c r="BA83" s="1031" t="s">
        <v>1811</v>
      </c>
      <c r="BB83" s="644" t="s">
        <v>1812</v>
      </c>
      <c r="BC83" s="559" t="s">
        <v>116</v>
      </c>
      <c r="BD83" s="554" t="s">
        <v>115</v>
      </c>
      <c r="BE83" s="588" t="s">
        <v>1813</v>
      </c>
      <c r="BF83" s="588" t="s">
        <v>115</v>
      </c>
      <c r="BG83" s="548" t="s">
        <v>1814</v>
      </c>
      <c r="BH83" s="615" t="s">
        <v>1815</v>
      </c>
      <c r="BI83" s="547" t="s">
        <v>709</v>
      </c>
      <c r="BJ83" s="549" t="s">
        <v>709</v>
      </c>
      <c r="BK83" s="547" t="s">
        <v>709</v>
      </c>
      <c r="BL83" s="547" t="s">
        <v>116</v>
      </c>
      <c r="BM83" s="626" t="s">
        <v>709</v>
      </c>
      <c r="BN83" s="549" t="s">
        <v>709</v>
      </c>
      <c r="BO83" s="626" t="s">
        <v>709</v>
      </c>
      <c r="BP83" s="626" t="s">
        <v>709</v>
      </c>
      <c r="BQ83" s="549" t="s">
        <v>709</v>
      </c>
      <c r="BR83" s="549" t="s">
        <v>116</v>
      </c>
      <c r="BS83" s="549" t="s">
        <v>116</v>
      </c>
      <c r="BT83" s="549" t="s">
        <v>709</v>
      </c>
      <c r="BU83" s="549" t="s">
        <v>709</v>
      </c>
      <c r="BV83" s="549" t="s">
        <v>709</v>
      </c>
      <c r="BW83" s="549" t="s">
        <v>709</v>
      </c>
      <c r="BX83" s="547" t="s">
        <v>709</v>
      </c>
      <c r="BY83" s="549" t="s">
        <v>709</v>
      </c>
      <c r="BZ83" s="547" t="s">
        <v>709</v>
      </c>
      <c r="CA83" s="483" t="s">
        <v>1773</v>
      </c>
    </row>
    <row r="84" spans="1:79" ht="15" hidden="1" customHeight="1" x14ac:dyDescent="0.25">
      <c r="A84" s="8" t="s">
        <v>749</v>
      </c>
      <c r="B84" s="8" t="s">
        <v>4</v>
      </c>
      <c r="C84" s="1497" t="s">
        <v>1669</v>
      </c>
      <c r="D84" s="8" t="s">
        <v>1670</v>
      </c>
      <c r="E84" s="8" t="s">
        <v>1665</v>
      </c>
      <c r="F84" s="8" t="s">
        <v>784</v>
      </c>
      <c r="G84" s="8" t="s">
        <v>25</v>
      </c>
      <c r="H84" s="8" t="s">
        <v>413</v>
      </c>
      <c r="I84" s="642">
        <v>45064</v>
      </c>
      <c r="J84" s="18">
        <v>45247</v>
      </c>
      <c r="K84" s="97">
        <v>45246</v>
      </c>
      <c r="L84" s="649">
        <v>1</v>
      </c>
      <c r="M84" s="642"/>
      <c r="N84" s="642" t="s">
        <v>120</v>
      </c>
      <c r="O84" s="1060">
        <v>45292</v>
      </c>
      <c r="P84" s="1152" t="s">
        <v>739</v>
      </c>
      <c r="Q84" s="340">
        <v>515321.83799999999</v>
      </c>
      <c r="R84" s="1026">
        <v>0.1</v>
      </c>
      <c r="S84" s="538"/>
      <c r="T84" s="538"/>
      <c r="U84" s="87"/>
      <c r="V84" s="858">
        <v>11549</v>
      </c>
      <c r="W84" s="437">
        <v>0</v>
      </c>
      <c r="X84" s="556">
        <v>3052987.02</v>
      </c>
      <c r="Y84" s="551"/>
      <c r="Z84" s="570">
        <v>2100231.36</v>
      </c>
      <c r="AA84" s="552">
        <v>5153218.38</v>
      </c>
      <c r="AB84" s="341">
        <v>45225</v>
      </c>
      <c r="AC84" s="568" t="s">
        <v>709</v>
      </c>
      <c r="AD84" s="1157" t="s">
        <v>116</v>
      </c>
      <c r="AE84" s="568" t="s">
        <v>116</v>
      </c>
      <c r="AF84" s="568" t="s">
        <v>116</v>
      </c>
      <c r="AG84" s="568" t="s">
        <v>376</v>
      </c>
      <c r="AH84" s="183">
        <v>45308</v>
      </c>
      <c r="AI84" s="1106">
        <v>9850</v>
      </c>
      <c r="AJ84" s="1107">
        <v>9217.5</v>
      </c>
      <c r="AK84" s="1107">
        <v>5542</v>
      </c>
      <c r="AL84" s="1108">
        <v>4.7755593078514173E-2</v>
      </c>
      <c r="AM84" s="536" t="s">
        <v>116</v>
      </c>
      <c r="AN84" s="801">
        <v>45593</v>
      </c>
      <c r="AO84" s="806">
        <v>11093015</v>
      </c>
      <c r="AP84" s="718">
        <v>3066913.73</v>
      </c>
      <c r="AQ84" s="682"/>
      <c r="AR84" s="718">
        <v>1195583.6499999999</v>
      </c>
      <c r="AS84" s="538">
        <f>IF(Table15910[[#This Row],[PCTS Approved]]="N",0,Table15910[[#This Row],[Investment Amount (1'#'#'#'#'#)]]+Table15910[[#This Row],[Retirement Amount (3'#'#'#'#'#)]])</f>
        <v>4262497.38</v>
      </c>
      <c r="AT84" s="538">
        <f>IF(Table15910[[#This Row],[Approved Construction Cost]]=0,0,Table15910[[#This Row],[Approved Construction Cost]]-Table15910[[#This Row],[Construction Cost to Bill From]])</f>
        <v>-890721</v>
      </c>
      <c r="AU84" s="538">
        <f>IFERROR(Table15910[[#This Row],[Difference in Construction Cost]]*Table15910[[#This Row],[Rate]],Table15910[[#This Row],[Difference in Construction Cost]]*0.085)</f>
        <v>-89072.1</v>
      </c>
      <c r="AV84" s="1311">
        <v>26497.5</v>
      </c>
      <c r="AW84" s="1429" t="s">
        <v>6062</v>
      </c>
      <c r="AX84" s="555"/>
      <c r="AY84" s="1035" t="s">
        <v>709</v>
      </c>
      <c r="AZ84" s="443">
        <v>106</v>
      </c>
      <c r="BA84" s="1074" t="s">
        <v>1671</v>
      </c>
      <c r="BB84" s="644" t="s">
        <v>870</v>
      </c>
      <c r="BC84" s="559" t="s">
        <v>709</v>
      </c>
      <c r="BD84" s="554" t="s">
        <v>1626</v>
      </c>
      <c r="BE84" s="588" t="s">
        <v>1667</v>
      </c>
      <c r="BF84" s="588" t="s">
        <v>709</v>
      </c>
      <c r="BG84" s="548" t="s">
        <v>709</v>
      </c>
      <c r="BH84" s="741" t="s">
        <v>1668</v>
      </c>
      <c r="BI84" s="547" t="s">
        <v>709</v>
      </c>
      <c r="BJ84" s="547" t="s">
        <v>709</v>
      </c>
      <c r="BK84" s="547" t="s">
        <v>709</v>
      </c>
      <c r="BL84" s="547" t="s">
        <v>116</v>
      </c>
      <c r="BM84" s="547" t="s">
        <v>709</v>
      </c>
      <c r="BN84" s="547" t="s">
        <v>709</v>
      </c>
      <c r="BO84" s="547" t="s">
        <v>709</v>
      </c>
      <c r="BP84" s="547" t="s">
        <v>709</v>
      </c>
      <c r="BQ84" s="547">
        <v>7665</v>
      </c>
      <c r="BR84" s="547">
        <v>1674</v>
      </c>
      <c r="BS84" s="547">
        <v>2210</v>
      </c>
      <c r="BT84" s="547" t="s">
        <v>709</v>
      </c>
      <c r="BU84" s="547" t="s">
        <v>709</v>
      </c>
      <c r="BV84" s="547" t="s">
        <v>709</v>
      </c>
      <c r="BW84" s="547" t="s">
        <v>709</v>
      </c>
      <c r="BX84" s="547" t="s">
        <v>745</v>
      </c>
      <c r="BY84" s="547" t="s">
        <v>709</v>
      </c>
      <c r="BZ84" s="547" t="s">
        <v>709</v>
      </c>
      <c r="CA84" s="483"/>
    </row>
    <row r="85" spans="1:79" ht="15" hidden="1" customHeight="1" x14ac:dyDescent="0.25">
      <c r="A85" s="874">
        <v>2024</v>
      </c>
      <c r="B85" s="878" t="s">
        <v>1073</v>
      </c>
      <c r="C85" s="879" t="s">
        <v>8029</v>
      </c>
      <c r="D85" s="880" t="s">
        <v>8357</v>
      </c>
      <c r="E85" s="879" t="s">
        <v>1915</v>
      </c>
      <c r="F85" s="878" t="s">
        <v>851</v>
      </c>
      <c r="G85" s="878" t="s">
        <v>34</v>
      </c>
      <c r="H85" s="878" t="s">
        <v>59</v>
      </c>
      <c r="I85" s="881">
        <v>45450</v>
      </c>
      <c r="J85" s="882">
        <v>45716</v>
      </c>
      <c r="K85" s="945">
        <v>45709</v>
      </c>
      <c r="L85" s="919">
        <v>7</v>
      </c>
      <c r="M85" s="879"/>
      <c r="N85" s="885" t="s">
        <v>739</v>
      </c>
      <c r="O85" s="886">
        <v>45717</v>
      </c>
      <c r="P85" s="1153" t="s">
        <v>739</v>
      </c>
      <c r="Q85" s="1150">
        <v>55764.469600000004</v>
      </c>
      <c r="R85" s="887">
        <v>0.08</v>
      </c>
      <c r="S85" s="888" t="s">
        <v>29</v>
      </c>
      <c r="T85" s="888" t="s">
        <v>29</v>
      </c>
      <c r="U85" s="889" t="s">
        <v>29</v>
      </c>
      <c r="V85" s="890">
        <v>269</v>
      </c>
      <c r="W85" s="1021">
        <v>0</v>
      </c>
      <c r="X85" s="888">
        <v>697055.87</v>
      </c>
      <c r="Y85" s="891"/>
      <c r="Z85" s="888">
        <v>0</v>
      </c>
      <c r="AA85" s="892">
        <v>697055.87</v>
      </c>
      <c r="AB85" s="893">
        <v>45700</v>
      </c>
      <c r="AC85" s="894" t="s">
        <v>116</v>
      </c>
      <c r="AD85" s="1160" t="s">
        <v>29</v>
      </c>
      <c r="AE85" s="895" t="s">
        <v>116</v>
      </c>
      <c r="AF85" s="895" t="s">
        <v>29</v>
      </c>
      <c r="AG85" s="896" t="s">
        <v>116</v>
      </c>
      <c r="AH85" s="897">
        <v>45770</v>
      </c>
      <c r="AI85" s="972"/>
      <c r="AJ85" s="973"/>
      <c r="AK85" s="974"/>
      <c r="AL85" s="901">
        <v>0</v>
      </c>
      <c r="AM85" s="902" t="s">
        <v>116</v>
      </c>
      <c r="AN85" s="1279" t="s">
        <v>709</v>
      </c>
      <c r="AO85" s="904"/>
      <c r="AP85" s="905"/>
      <c r="AQ85" s="905"/>
      <c r="AR85" s="905"/>
      <c r="AS85" s="538">
        <f>IF(Table15910[[#This Row],[PCTS Approved]]="N",0,Table15910[[#This Row],[Investment Amount (1'#'#'#'#'#)]]+Table15910[[#This Row],[Retirement Amount (3'#'#'#'#'#)]])</f>
        <v>0</v>
      </c>
      <c r="AT85" s="538">
        <f>IF(Table15910[[#This Row],[Approved Construction Cost]]=0,0,Table15910[[#This Row],[Approved Construction Cost]]-Table15910[[#This Row],[Construction Cost to Bill From]])</f>
        <v>0</v>
      </c>
      <c r="AU85" s="538">
        <f>IFERROR(Table15910[[#This Row],[Difference in Construction Cost]]*Table15910[[#This Row],[Rate]],Table15910[[#This Row],[Difference in Construction Cost]]*0.085)</f>
        <v>0</v>
      </c>
      <c r="AV85" s="906"/>
      <c r="AW85" s="907"/>
      <c r="AX85" s="908"/>
      <c r="AY85" s="909"/>
      <c r="AZ85" s="1022"/>
      <c r="BA85" s="910" t="s">
        <v>8358</v>
      </c>
      <c r="BB85" s="911" t="s">
        <v>1078</v>
      </c>
      <c r="BC85" s="912" t="s">
        <v>709</v>
      </c>
      <c r="BD85" s="913" t="s">
        <v>709</v>
      </c>
      <c r="BE85" s="914" t="s">
        <v>3332</v>
      </c>
      <c r="BF85" s="914" t="s">
        <v>709</v>
      </c>
      <c r="BG85" s="915" t="s">
        <v>29</v>
      </c>
      <c r="BH85" s="1023" t="s">
        <v>8359</v>
      </c>
      <c r="BI85" s="929" t="s">
        <v>709</v>
      </c>
      <c r="BJ85" s="929" t="s">
        <v>116</v>
      </c>
      <c r="BK85" s="916" t="s">
        <v>709</v>
      </c>
      <c r="BL85" s="916" t="s">
        <v>709</v>
      </c>
      <c r="BM85" s="916" t="s">
        <v>709</v>
      </c>
      <c r="BN85" s="916" t="s">
        <v>709</v>
      </c>
      <c r="BO85" s="916" t="s">
        <v>709</v>
      </c>
      <c r="BP85" s="916">
        <v>19</v>
      </c>
      <c r="BQ85" s="916">
        <v>90</v>
      </c>
      <c r="BR85" s="916">
        <v>64</v>
      </c>
      <c r="BS85" s="916">
        <v>36</v>
      </c>
      <c r="BT85" s="916" t="s">
        <v>709</v>
      </c>
      <c r="BU85" s="916" t="s">
        <v>709</v>
      </c>
      <c r="BV85" s="916" t="s">
        <v>709</v>
      </c>
      <c r="BW85" s="916" t="s">
        <v>709</v>
      </c>
      <c r="BX85" s="916" t="s">
        <v>709</v>
      </c>
      <c r="BY85" s="916" t="s">
        <v>116</v>
      </c>
      <c r="BZ85" s="916" t="s">
        <v>709</v>
      </c>
      <c r="CA85" s="483"/>
    </row>
    <row r="86" spans="1:79" ht="15" hidden="1" customHeight="1" x14ac:dyDescent="0.25">
      <c r="A86" s="874">
        <v>2024</v>
      </c>
      <c r="B86" s="878" t="s">
        <v>1073</v>
      </c>
      <c r="C86" s="879" t="s">
        <v>8064</v>
      </c>
      <c r="D86" s="880" t="s">
        <v>8349</v>
      </c>
      <c r="E86" s="879" t="s">
        <v>1915</v>
      </c>
      <c r="F86" s="878" t="s">
        <v>851</v>
      </c>
      <c r="G86" s="878" t="s">
        <v>34</v>
      </c>
      <c r="H86" s="878" t="s">
        <v>59</v>
      </c>
      <c r="I86" s="881">
        <v>45450</v>
      </c>
      <c r="J86" s="882">
        <v>45716</v>
      </c>
      <c r="K86" s="945">
        <v>45709</v>
      </c>
      <c r="L86" s="919">
        <v>7</v>
      </c>
      <c r="M86" s="879"/>
      <c r="N86" s="885" t="s">
        <v>739</v>
      </c>
      <c r="O86" s="886">
        <v>45717</v>
      </c>
      <c r="P86" s="1153" t="s">
        <v>739</v>
      </c>
      <c r="Q86" s="1150">
        <v>343440.60240000003</v>
      </c>
      <c r="R86" s="887">
        <v>0.08</v>
      </c>
      <c r="S86" s="888" t="s">
        <v>29</v>
      </c>
      <c r="T86" s="888" t="s">
        <v>29</v>
      </c>
      <c r="U86" s="889" t="s">
        <v>29</v>
      </c>
      <c r="V86" s="890">
        <v>17309</v>
      </c>
      <c r="W86" s="1021">
        <v>0</v>
      </c>
      <c r="X86" s="888">
        <v>4200863.24</v>
      </c>
      <c r="Y86" s="891"/>
      <c r="Z86" s="888">
        <v>92144.29</v>
      </c>
      <c r="AA86" s="892">
        <v>4293007.53</v>
      </c>
      <c r="AB86" s="893">
        <v>45701</v>
      </c>
      <c r="AC86" s="894" t="s">
        <v>116</v>
      </c>
      <c r="AD86" s="1160" t="s">
        <v>29</v>
      </c>
      <c r="AE86" s="895" t="s">
        <v>116</v>
      </c>
      <c r="AF86" s="895" t="s">
        <v>116</v>
      </c>
      <c r="AG86" s="896" t="s">
        <v>116</v>
      </c>
      <c r="AH86" s="897">
        <v>45770</v>
      </c>
      <c r="AI86" s="898">
        <v>117590</v>
      </c>
      <c r="AJ86" s="899"/>
      <c r="AK86" s="900">
        <v>17391.5</v>
      </c>
      <c r="AL86" s="901">
        <v>0.39302720486958936</v>
      </c>
      <c r="AM86" s="902" t="s">
        <v>116</v>
      </c>
      <c r="AN86" s="1279" t="s">
        <v>709</v>
      </c>
      <c r="AO86" s="904"/>
      <c r="AP86" s="905"/>
      <c r="AQ86" s="905"/>
      <c r="AR86" s="905"/>
      <c r="AS86" s="538">
        <f>IF(Table15910[[#This Row],[PCTS Approved]]="N",0,Table15910[[#This Row],[Investment Amount (1'#'#'#'#'#)]]+Table15910[[#This Row],[Retirement Amount (3'#'#'#'#'#)]])</f>
        <v>0</v>
      </c>
      <c r="AT86" s="538">
        <f>IF(Table15910[[#This Row],[Approved Construction Cost]]=0,0,Table15910[[#This Row],[Approved Construction Cost]]-Table15910[[#This Row],[Construction Cost to Bill From]])</f>
        <v>0</v>
      </c>
      <c r="AU86" s="538">
        <f>IFERROR(Table15910[[#This Row],[Difference in Construction Cost]]*Table15910[[#This Row],[Rate]],Table15910[[#This Row],[Difference in Construction Cost]]*0.085)</f>
        <v>0</v>
      </c>
      <c r="AV86" s="906"/>
      <c r="AW86" s="907"/>
      <c r="AX86" s="908"/>
      <c r="AY86" s="909"/>
      <c r="AZ86" s="1022"/>
      <c r="BA86" s="910" t="s">
        <v>8350</v>
      </c>
      <c r="BB86" s="911" t="s">
        <v>8351</v>
      </c>
      <c r="BC86" s="912" t="s">
        <v>116</v>
      </c>
      <c r="BD86" s="913" t="s">
        <v>115</v>
      </c>
      <c r="BE86" s="914" t="s">
        <v>3332</v>
      </c>
      <c r="BF86" s="914" t="s">
        <v>3333</v>
      </c>
      <c r="BG86" s="915" t="s">
        <v>8352</v>
      </c>
      <c r="BH86" s="1023" t="s">
        <v>8353</v>
      </c>
      <c r="BI86" s="929" t="s">
        <v>709</v>
      </c>
      <c r="BJ86" s="929" t="s">
        <v>116</v>
      </c>
      <c r="BK86" s="916" t="s">
        <v>709</v>
      </c>
      <c r="BL86" s="916" t="s">
        <v>709</v>
      </c>
      <c r="BM86" s="916" t="s">
        <v>709</v>
      </c>
      <c r="BN86" s="916" t="s">
        <v>709</v>
      </c>
      <c r="BO86" s="916" t="s">
        <v>709</v>
      </c>
      <c r="BP86" s="916">
        <v>3671</v>
      </c>
      <c r="BQ86" s="916">
        <v>13638</v>
      </c>
      <c r="BR86" s="916" t="s">
        <v>709</v>
      </c>
      <c r="BS86" s="916" t="s">
        <v>709</v>
      </c>
      <c r="BT86" s="916" t="s">
        <v>709</v>
      </c>
      <c r="BU86" s="916" t="s">
        <v>709</v>
      </c>
      <c r="BV86" s="916" t="s">
        <v>709</v>
      </c>
      <c r="BW86" s="916" t="s">
        <v>709</v>
      </c>
      <c r="BX86" s="916" t="s">
        <v>709</v>
      </c>
      <c r="BY86" s="916" t="s">
        <v>709</v>
      </c>
      <c r="BZ86" s="916" t="s">
        <v>709</v>
      </c>
      <c r="CA86" s="483"/>
    </row>
    <row r="87" spans="1:79" ht="15" hidden="1" customHeight="1" x14ac:dyDescent="0.25">
      <c r="A87" s="874">
        <v>2024</v>
      </c>
      <c r="B87" s="878" t="s">
        <v>1073</v>
      </c>
      <c r="C87" s="879" t="s">
        <v>8069</v>
      </c>
      <c r="D87" s="880" t="s">
        <v>8354</v>
      </c>
      <c r="E87" s="879" t="s">
        <v>1915</v>
      </c>
      <c r="F87" s="878" t="s">
        <v>851</v>
      </c>
      <c r="G87" s="878" t="s">
        <v>34</v>
      </c>
      <c r="H87" s="878" t="s">
        <v>59</v>
      </c>
      <c r="I87" s="881">
        <v>45450</v>
      </c>
      <c r="J87" s="882">
        <v>45716</v>
      </c>
      <c r="K87" s="945">
        <v>45709</v>
      </c>
      <c r="L87" s="919">
        <v>7</v>
      </c>
      <c r="M87" s="879"/>
      <c r="N87" s="885" t="s">
        <v>739</v>
      </c>
      <c r="O87" s="886">
        <v>45717</v>
      </c>
      <c r="P87" s="1153" t="s">
        <v>739</v>
      </c>
      <c r="Q87" s="1150">
        <v>29394.306400000001</v>
      </c>
      <c r="R87" s="887">
        <v>0.08</v>
      </c>
      <c r="S87" s="888" t="s">
        <v>29</v>
      </c>
      <c r="T87" s="888" t="s">
        <v>29</v>
      </c>
      <c r="U87" s="889" t="s">
        <v>29</v>
      </c>
      <c r="V87" s="890">
        <v>1087</v>
      </c>
      <c r="W87" s="1021">
        <v>0</v>
      </c>
      <c r="X87" s="888">
        <v>367428.83</v>
      </c>
      <c r="Y87" s="891"/>
      <c r="Z87" s="888">
        <v>0</v>
      </c>
      <c r="AA87" s="892">
        <v>367428.83</v>
      </c>
      <c r="AB87" s="893">
        <v>45701</v>
      </c>
      <c r="AC87" s="894" t="s">
        <v>116</v>
      </c>
      <c r="AD87" s="1160" t="s">
        <v>29</v>
      </c>
      <c r="AE87" s="895" t="s">
        <v>116</v>
      </c>
      <c r="AF87" s="895" t="s">
        <v>29</v>
      </c>
      <c r="AG87" s="896" t="s">
        <v>116</v>
      </c>
      <c r="AH87" s="897">
        <v>45770</v>
      </c>
      <c r="AI87" s="972"/>
      <c r="AJ87" s="973"/>
      <c r="AK87" s="974"/>
      <c r="AL87" s="901">
        <v>0</v>
      </c>
      <c r="AM87" s="902" t="s">
        <v>116</v>
      </c>
      <c r="AN87" s="1279" t="s">
        <v>709</v>
      </c>
      <c r="AO87" s="904"/>
      <c r="AP87" s="905"/>
      <c r="AQ87" s="905"/>
      <c r="AR87" s="905"/>
      <c r="AS87" s="538">
        <f>IF(Table15910[[#This Row],[PCTS Approved]]="N",0,Table15910[[#This Row],[Investment Amount (1'#'#'#'#'#)]]+Table15910[[#This Row],[Retirement Amount (3'#'#'#'#'#)]])</f>
        <v>0</v>
      </c>
      <c r="AT87" s="538">
        <f>IF(Table15910[[#This Row],[Approved Construction Cost]]=0,0,Table15910[[#This Row],[Approved Construction Cost]]-Table15910[[#This Row],[Construction Cost to Bill From]])</f>
        <v>0</v>
      </c>
      <c r="AU87" s="538">
        <f>IFERROR(Table15910[[#This Row],[Difference in Construction Cost]]*Table15910[[#This Row],[Rate]],Table15910[[#This Row],[Difference in Construction Cost]]*0.085)</f>
        <v>0</v>
      </c>
      <c r="AV87" s="906"/>
      <c r="AW87" s="907"/>
      <c r="AX87" s="908"/>
      <c r="AY87" s="909"/>
      <c r="AZ87" s="1022"/>
      <c r="BA87" s="910" t="s">
        <v>8355</v>
      </c>
      <c r="BB87" s="911" t="s">
        <v>1078</v>
      </c>
      <c r="BC87" s="912" t="s">
        <v>709</v>
      </c>
      <c r="BD87" s="913" t="s">
        <v>709</v>
      </c>
      <c r="BE87" s="914" t="s">
        <v>3332</v>
      </c>
      <c r="BF87" s="914" t="s">
        <v>709</v>
      </c>
      <c r="BG87" s="915" t="s">
        <v>29</v>
      </c>
      <c r="BH87" s="1023" t="s">
        <v>8356</v>
      </c>
      <c r="BI87" s="929" t="s">
        <v>709</v>
      </c>
      <c r="BJ87" s="929" t="s">
        <v>116</v>
      </c>
      <c r="BK87" s="916" t="s">
        <v>709</v>
      </c>
      <c r="BL87" s="916" t="s">
        <v>709</v>
      </c>
      <c r="BM87" s="916" t="s">
        <v>709</v>
      </c>
      <c r="BN87" s="916" t="s">
        <v>709</v>
      </c>
      <c r="BO87" s="916" t="s">
        <v>709</v>
      </c>
      <c r="BP87" s="916" t="s">
        <v>709</v>
      </c>
      <c r="BQ87" s="916">
        <v>1087</v>
      </c>
      <c r="BR87" s="916" t="s">
        <v>709</v>
      </c>
      <c r="BS87" s="916" t="s">
        <v>709</v>
      </c>
      <c r="BT87" s="916" t="s">
        <v>709</v>
      </c>
      <c r="BU87" s="916" t="s">
        <v>709</v>
      </c>
      <c r="BV87" s="916" t="s">
        <v>709</v>
      </c>
      <c r="BW87" s="916" t="s">
        <v>709</v>
      </c>
      <c r="BX87" s="916" t="s">
        <v>709</v>
      </c>
      <c r="BY87" s="916" t="s">
        <v>709</v>
      </c>
      <c r="BZ87" s="916" t="s">
        <v>709</v>
      </c>
      <c r="CA87" s="483"/>
    </row>
    <row r="88" spans="1:79" s="447" customFormat="1" ht="15" hidden="1" customHeight="1" x14ac:dyDescent="0.25">
      <c r="A88" s="8" t="s">
        <v>749</v>
      </c>
      <c r="B88" s="8" t="s">
        <v>4</v>
      </c>
      <c r="C88" s="1497" t="s">
        <v>1663</v>
      </c>
      <c r="D88" s="8" t="s">
        <v>1664</v>
      </c>
      <c r="E88" s="8" t="s">
        <v>1665</v>
      </c>
      <c r="F88" s="8" t="s">
        <v>784</v>
      </c>
      <c r="G88" s="8" t="s">
        <v>25</v>
      </c>
      <c r="H88" s="8" t="s">
        <v>413</v>
      </c>
      <c r="I88" s="642">
        <v>45064</v>
      </c>
      <c r="J88" s="18">
        <v>45247</v>
      </c>
      <c r="K88" s="97">
        <v>45246</v>
      </c>
      <c r="L88" s="649">
        <v>1</v>
      </c>
      <c r="M88" s="642"/>
      <c r="N88" s="642" t="s">
        <v>120</v>
      </c>
      <c r="O88" s="1060">
        <v>45261</v>
      </c>
      <c r="P88" s="1152" t="s">
        <v>739</v>
      </c>
      <c r="Q88" s="340">
        <v>69581.989000000001</v>
      </c>
      <c r="R88" s="1026">
        <v>0.1</v>
      </c>
      <c r="S88" s="538"/>
      <c r="T88" s="538"/>
      <c r="U88" s="87"/>
      <c r="V88" s="858">
        <v>1144</v>
      </c>
      <c r="W88" s="437">
        <v>0</v>
      </c>
      <c r="X88" s="538">
        <v>256271.07</v>
      </c>
      <c r="Y88" s="551"/>
      <c r="Z88" s="552">
        <v>439548.82</v>
      </c>
      <c r="AA88" s="552">
        <v>695819.89</v>
      </c>
      <c r="AB88" s="341">
        <v>45180</v>
      </c>
      <c r="AC88" s="568" t="s">
        <v>709</v>
      </c>
      <c r="AD88" s="1157" t="s">
        <v>29</v>
      </c>
      <c r="AE88" s="568" t="s">
        <v>116</v>
      </c>
      <c r="AF88" s="568" t="s">
        <v>756</v>
      </c>
      <c r="AG88" s="568" t="s">
        <v>376</v>
      </c>
      <c r="AH88" s="183">
        <v>45308</v>
      </c>
      <c r="AI88" s="1036"/>
      <c r="AJ88" s="1037"/>
      <c r="AK88" s="1037"/>
      <c r="AL88" s="1038"/>
      <c r="AM88" s="536" t="s">
        <v>116</v>
      </c>
      <c r="AN88" s="801">
        <v>45581</v>
      </c>
      <c r="AO88" s="806">
        <v>11092386</v>
      </c>
      <c r="AP88" s="718">
        <v>71911.88</v>
      </c>
      <c r="AQ88" s="682"/>
      <c r="AR88" s="718">
        <v>72890.320000000007</v>
      </c>
      <c r="AS88" s="538">
        <f>IF(Table15910[[#This Row],[PCTS Approved]]="N",0,Table15910[[#This Row],[Investment Amount (1'#'#'#'#'#)]]+Table15910[[#This Row],[Retirement Amount (3'#'#'#'#'#)]])</f>
        <v>144802.20000000001</v>
      </c>
      <c r="AT88" s="538">
        <f>IF(Table15910[[#This Row],[Approved Construction Cost]]=0,0,Table15910[[#This Row],[Approved Construction Cost]]-Table15910[[#This Row],[Construction Cost to Bill From]])</f>
        <v>-551017.68999999994</v>
      </c>
      <c r="AU88" s="538">
        <f>IFERROR(Table15910[[#This Row],[Difference in Construction Cost]]*Table15910[[#This Row],[Rate]],Table15910[[#This Row],[Difference in Construction Cost]]*0.085)</f>
        <v>-55101.769</v>
      </c>
      <c r="AV88" s="1311" t="s">
        <v>29</v>
      </c>
      <c r="AW88" s="1429" t="s">
        <v>6064</v>
      </c>
      <c r="AX88" s="555"/>
      <c r="AY88" s="1035" t="s">
        <v>709</v>
      </c>
      <c r="AZ88" s="443">
        <v>105</v>
      </c>
      <c r="BA88" s="1074" t="s">
        <v>1666</v>
      </c>
      <c r="BB88" s="644" t="s">
        <v>870</v>
      </c>
      <c r="BC88" s="559" t="s">
        <v>709</v>
      </c>
      <c r="BD88" s="554" t="s">
        <v>1626</v>
      </c>
      <c r="BE88" s="588" t="s">
        <v>1667</v>
      </c>
      <c r="BF88" s="588" t="s">
        <v>709</v>
      </c>
      <c r="BG88" s="1077"/>
      <c r="BH88" s="741" t="s">
        <v>1668</v>
      </c>
      <c r="BI88" s="547" t="s">
        <v>709</v>
      </c>
      <c r="BJ88" s="547" t="s">
        <v>709</v>
      </c>
      <c r="BK88" s="547" t="s">
        <v>709</v>
      </c>
      <c r="BL88" s="547" t="s">
        <v>116</v>
      </c>
      <c r="BM88" s="547" t="s">
        <v>709</v>
      </c>
      <c r="BN88" s="547" t="s">
        <v>709</v>
      </c>
      <c r="BO88" s="547" t="s">
        <v>709</v>
      </c>
      <c r="BP88" s="547" t="s">
        <v>709</v>
      </c>
      <c r="BQ88" s="547">
        <v>7663</v>
      </c>
      <c r="BR88" s="547">
        <v>1674</v>
      </c>
      <c r="BS88" s="547">
        <v>2204</v>
      </c>
      <c r="BT88" s="547" t="s">
        <v>709</v>
      </c>
      <c r="BU88" s="547" t="s">
        <v>709</v>
      </c>
      <c r="BV88" s="547" t="s">
        <v>709</v>
      </c>
      <c r="BW88" s="547" t="s">
        <v>709</v>
      </c>
      <c r="BX88" s="547" t="s">
        <v>745</v>
      </c>
      <c r="BY88" s="547" t="s">
        <v>709</v>
      </c>
      <c r="BZ88" s="547" t="s">
        <v>709</v>
      </c>
      <c r="CA88" s="483" t="s">
        <v>1799</v>
      </c>
    </row>
    <row r="89" spans="1:79" s="447" customFormat="1" ht="15" hidden="1" customHeight="1" x14ac:dyDescent="0.25">
      <c r="A89" s="8" t="s">
        <v>800</v>
      </c>
      <c r="B89" s="8" t="s">
        <v>4</v>
      </c>
      <c r="C89" s="1497" t="s">
        <v>1746</v>
      </c>
      <c r="D89" s="8" t="s">
        <v>1747</v>
      </c>
      <c r="E89" s="8" t="s">
        <v>1748</v>
      </c>
      <c r="F89" s="8" t="s">
        <v>784</v>
      </c>
      <c r="G89" s="8" t="s">
        <v>31</v>
      </c>
      <c r="H89" s="8" t="s">
        <v>59</v>
      </c>
      <c r="I89" s="642">
        <v>45252</v>
      </c>
      <c r="J89" s="18">
        <v>45380</v>
      </c>
      <c r="K89" s="97">
        <v>45363</v>
      </c>
      <c r="L89" s="16">
        <v>17</v>
      </c>
      <c r="M89" s="642"/>
      <c r="N89" s="642" t="s">
        <v>120</v>
      </c>
      <c r="O89" s="1060">
        <v>45352</v>
      </c>
      <c r="P89" s="1152" t="s">
        <v>739</v>
      </c>
      <c r="Q89" s="340">
        <v>29913.794000000002</v>
      </c>
      <c r="R89" s="1026">
        <v>0.1</v>
      </c>
      <c r="S89" s="538"/>
      <c r="T89" s="538"/>
      <c r="U89" s="87"/>
      <c r="V89" s="858">
        <v>285</v>
      </c>
      <c r="W89" s="437">
        <v>0</v>
      </c>
      <c r="X89" s="556">
        <v>211063.84</v>
      </c>
      <c r="Y89" s="551"/>
      <c r="Z89" s="570">
        <v>88074.1</v>
      </c>
      <c r="AA89" s="552">
        <v>299137.94</v>
      </c>
      <c r="AB89" s="341">
        <v>45334</v>
      </c>
      <c r="AC89" s="569" t="s">
        <v>709</v>
      </c>
      <c r="AD89" s="1149"/>
      <c r="AE89" s="568" t="s">
        <v>116</v>
      </c>
      <c r="AF89" s="568" t="s">
        <v>756</v>
      </c>
      <c r="AG89" s="183">
        <v>45371</v>
      </c>
      <c r="AH89" s="183">
        <v>45371</v>
      </c>
      <c r="AI89" s="1028">
        <v>0</v>
      </c>
      <c r="AJ89" s="1029">
        <v>2955.65</v>
      </c>
      <c r="AK89" s="1029">
        <v>5344.5</v>
      </c>
      <c r="AL89" s="1030">
        <v>0.27746898303839357</v>
      </c>
      <c r="AM89" s="536" t="s">
        <v>116</v>
      </c>
      <c r="AN89" s="801">
        <v>45588</v>
      </c>
      <c r="AO89" s="806">
        <v>11092776</v>
      </c>
      <c r="AP89" s="718">
        <v>214239.4</v>
      </c>
      <c r="AQ89" s="682"/>
      <c r="AR89" s="718">
        <v>89523.07</v>
      </c>
      <c r="AS89" s="538">
        <f>IF(Table15910[[#This Row],[PCTS Approved]]="N",0,Table15910[[#This Row],[Investment Amount (1'#'#'#'#'#)]]+Table15910[[#This Row],[Retirement Amount (3'#'#'#'#'#)]])</f>
        <v>303762.46999999997</v>
      </c>
      <c r="AT89" s="538">
        <f>IF(Table15910[[#This Row],[Approved Construction Cost]]=0,0,Table15910[[#This Row],[Approved Construction Cost]]-Table15910[[#This Row],[Construction Cost to Bill From]])</f>
        <v>4624.5299999999697</v>
      </c>
      <c r="AU89" s="538">
        <f>IFERROR(Table15910[[#This Row],[Difference in Construction Cost]]*Table15910[[#This Row],[Rate]],Table15910[[#This Row],[Difference in Construction Cost]]*0.085)</f>
        <v>462.45299999999702</v>
      </c>
      <c r="AV89" s="1311">
        <f>7287.5+3235</f>
        <v>10522.5</v>
      </c>
      <c r="AW89" s="783" t="s">
        <v>6222</v>
      </c>
      <c r="AX89" s="555"/>
      <c r="AY89" s="1035" t="s">
        <v>709</v>
      </c>
      <c r="AZ89" s="443">
        <v>130</v>
      </c>
      <c r="BA89" s="1074" t="s">
        <v>1749</v>
      </c>
      <c r="BB89" s="644" t="s">
        <v>1750</v>
      </c>
      <c r="BC89" s="559" t="s">
        <v>116</v>
      </c>
      <c r="BD89" s="554" t="s">
        <v>6223</v>
      </c>
      <c r="BE89" s="588" t="s">
        <v>1752</v>
      </c>
      <c r="BF89" s="588" t="s">
        <v>115</v>
      </c>
      <c r="BG89" s="548" t="s">
        <v>1753</v>
      </c>
      <c r="BH89" s="615" t="s">
        <v>1754</v>
      </c>
      <c r="BI89" s="547" t="s">
        <v>709</v>
      </c>
      <c r="BJ89" s="549" t="s">
        <v>709</v>
      </c>
      <c r="BK89" s="547" t="s">
        <v>709</v>
      </c>
      <c r="BL89" s="547" t="s">
        <v>116</v>
      </c>
      <c r="BM89" s="626" t="s">
        <v>709</v>
      </c>
      <c r="BN89" s="549" t="s">
        <v>709</v>
      </c>
      <c r="BO89" s="626" t="s">
        <v>709</v>
      </c>
      <c r="BP89" s="626" t="s">
        <v>709</v>
      </c>
      <c r="BQ89" s="549" t="s">
        <v>709</v>
      </c>
      <c r="BR89" s="549">
        <v>285</v>
      </c>
      <c r="BS89" s="549" t="s">
        <v>709</v>
      </c>
      <c r="BT89" s="549" t="s">
        <v>745</v>
      </c>
      <c r="BU89" s="549" t="s">
        <v>709</v>
      </c>
      <c r="BV89" s="549" t="s">
        <v>745</v>
      </c>
      <c r="BW89" s="549" t="s">
        <v>709</v>
      </c>
      <c r="BX89" s="547" t="s">
        <v>745</v>
      </c>
      <c r="BY89" s="549" t="s">
        <v>745</v>
      </c>
      <c r="BZ89" s="547" t="s">
        <v>709</v>
      </c>
      <c r="CA89" s="483" t="s">
        <v>1022</v>
      </c>
    </row>
    <row r="90" spans="1:79" ht="15" hidden="1" customHeight="1" x14ac:dyDescent="0.25">
      <c r="A90" s="778">
        <v>2025</v>
      </c>
      <c r="B90" s="8" t="s">
        <v>1073</v>
      </c>
      <c r="C90" t="s">
        <v>6823</v>
      </c>
      <c r="D90" s="779" t="s">
        <v>6824</v>
      </c>
      <c r="E90" t="s">
        <v>3259</v>
      </c>
      <c r="F90" s="8" t="s">
        <v>851</v>
      </c>
      <c r="G90" s="8" t="s">
        <v>34</v>
      </c>
      <c r="H90" s="8" t="s">
        <v>59</v>
      </c>
      <c r="I90" s="755">
        <v>45502</v>
      </c>
      <c r="J90" s="18">
        <v>45653</v>
      </c>
      <c r="K90" s="18">
        <v>45649</v>
      </c>
      <c r="L90" s="16">
        <v>4</v>
      </c>
      <c r="M90"/>
      <c r="N90" s="99" t="s">
        <v>120</v>
      </c>
      <c r="O90" s="1060">
        <v>45627</v>
      </c>
      <c r="P90" s="1152" t="s">
        <v>739</v>
      </c>
      <c r="Q90" s="340">
        <v>15793.2672</v>
      </c>
      <c r="R90" s="1026">
        <v>0.08</v>
      </c>
      <c r="S90" s="538" t="s">
        <v>29</v>
      </c>
      <c r="T90" s="538" t="s">
        <v>29</v>
      </c>
      <c r="U90" s="28" t="s">
        <v>29</v>
      </c>
      <c r="V90" s="858">
        <v>744</v>
      </c>
      <c r="W90" s="437">
        <v>0</v>
      </c>
      <c r="X90" s="538">
        <v>197415.84</v>
      </c>
      <c r="Y90" s="550"/>
      <c r="Z90" s="538">
        <v>0</v>
      </c>
      <c r="AA90" s="552">
        <v>197415.84</v>
      </c>
      <c r="AB90" s="341">
        <v>45646</v>
      </c>
      <c r="AC90" s="568" t="s">
        <v>709</v>
      </c>
      <c r="AD90" s="1158" t="s">
        <v>29</v>
      </c>
      <c r="AE90" s="576" t="s">
        <v>756</v>
      </c>
      <c r="AF90" s="576" t="s">
        <v>29</v>
      </c>
      <c r="AG90" s="569" t="s">
        <v>116</v>
      </c>
      <c r="AH90" s="183">
        <v>45672</v>
      </c>
      <c r="AI90" s="1147">
        <v>0</v>
      </c>
      <c r="AJ90" s="1130">
        <v>0</v>
      </c>
      <c r="AK90" s="1130">
        <v>0</v>
      </c>
      <c r="AL90" s="1108">
        <v>0</v>
      </c>
      <c r="AM90" s="536" t="s">
        <v>116</v>
      </c>
      <c r="AN90" s="680" t="s">
        <v>709</v>
      </c>
      <c r="AO90" s="601"/>
      <c r="AP90" s="572"/>
      <c r="AQ90" s="572"/>
      <c r="AR90" s="572"/>
      <c r="AS90" s="538">
        <f>IF(Table15910[[#This Row],[PCTS Approved]]="N",0,Table15910[[#This Row],[Investment Amount (1'#'#'#'#'#)]]+Table15910[[#This Row],[Retirement Amount (3'#'#'#'#'#)]])</f>
        <v>0</v>
      </c>
      <c r="AT90" s="538">
        <f>IF(Table15910[[#This Row],[Approved Construction Cost]]=0,0,Table15910[[#This Row],[Approved Construction Cost]]-Table15910[[#This Row],[Construction Cost to Bill From]])</f>
        <v>0</v>
      </c>
      <c r="AU90" s="538">
        <f>IFERROR(Table15910[[#This Row],[Difference in Construction Cost]]*Table15910[[#This Row],[Rate]],Table15910[[#This Row],[Difference in Construction Cost]]*0.085)</f>
        <v>0</v>
      </c>
      <c r="AV90" s="602"/>
      <c r="AW90" s="640"/>
      <c r="AX90" s="555"/>
      <c r="AY90" s="1035"/>
      <c r="AZ90" s="605"/>
      <c r="BA90" s="1031" t="s">
        <v>6825</v>
      </c>
      <c r="BB90" s="543" t="s">
        <v>6820</v>
      </c>
      <c r="BC90" s="559" t="s">
        <v>116</v>
      </c>
      <c r="BD90" s="554" t="s">
        <v>882</v>
      </c>
      <c r="BE90" s="588" t="s">
        <v>3262</v>
      </c>
      <c r="BF90" s="588" t="s">
        <v>6821</v>
      </c>
      <c r="BG90" s="588" t="s">
        <v>115</v>
      </c>
      <c r="BH90" s="615" t="s">
        <v>6826</v>
      </c>
      <c r="BI90" s="547" t="s">
        <v>709</v>
      </c>
      <c r="BJ90" s="547" t="s">
        <v>709</v>
      </c>
      <c r="BK90" s="547" t="s">
        <v>116</v>
      </c>
      <c r="BL90" s="547" t="s">
        <v>709</v>
      </c>
      <c r="BM90" s="547" t="s">
        <v>709</v>
      </c>
      <c r="BN90" s="547" t="s">
        <v>709</v>
      </c>
      <c r="BO90" s="547" t="s">
        <v>709</v>
      </c>
      <c r="BP90" s="547">
        <v>744</v>
      </c>
      <c r="BQ90" s="547" t="s">
        <v>709</v>
      </c>
      <c r="BR90" s="547" t="s">
        <v>709</v>
      </c>
      <c r="BS90" s="547" t="s">
        <v>709</v>
      </c>
      <c r="BT90" s="547" t="s">
        <v>709</v>
      </c>
      <c r="BU90" s="547" t="s">
        <v>709</v>
      </c>
      <c r="BV90" s="547" t="s">
        <v>709</v>
      </c>
      <c r="BW90" s="547" t="s">
        <v>709</v>
      </c>
      <c r="BX90" s="547" t="s">
        <v>709</v>
      </c>
      <c r="BY90" s="547" t="s">
        <v>709</v>
      </c>
      <c r="BZ90" s="547" t="s">
        <v>709</v>
      </c>
      <c r="CA90" s="483" t="s">
        <v>29</v>
      </c>
    </row>
    <row r="91" spans="1:79" ht="15" hidden="1" customHeight="1" x14ac:dyDescent="0.25">
      <c r="A91" s="778">
        <v>2025</v>
      </c>
      <c r="B91" s="8" t="s">
        <v>1073</v>
      </c>
      <c r="C91" t="s">
        <v>6828</v>
      </c>
      <c r="D91" s="779" t="s">
        <v>6829</v>
      </c>
      <c r="E91" t="s">
        <v>3259</v>
      </c>
      <c r="F91" s="8" t="s">
        <v>851</v>
      </c>
      <c r="G91" s="8" t="s">
        <v>34</v>
      </c>
      <c r="H91" s="8" t="s">
        <v>59</v>
      </c>
      <c r="I91" s="755">
        <v>45502</v>
      </c>
      <c r="J91" s="18">
        <v>45653</v>
      </c>
      <c r="K91" s="18">
        <v>45649</v>
      </c>
      <c r="L91" s="16">
        <v>4</v>
      </c>
      <c r="M91"/>
      <c r="N91" s="99" t="s">
        <v>120</v>
      </c>
      <c r="O91" s="1060">
        <v>45627</v>
      </c>
      <c r="P91" s="1152" t="s">
        <v>739</v>
      </c>
      <c r="Q91" s="340">
        <v>36745.468000000001</v>
      </c>
      <c r="R91" s="1026">
        <v>0.08</v>
      </c>
      <c r="S91" s="538" t="s">
        <v>29</v>
      </c>
      <c r="T91" s="538" t="s">
        <v>29</v>
      </c>
      <c r="U91" s="28" t="s">
        <v>29</v>
      </c>
      <c r="V91" s="858">
        <v>270</v>
      </c>
      <c r="W91" s="437">
        <v>2</v>
      </c>
      <c r="X91" s="538">
        <v>459318.35</v>
      </c>
      <c r="Y91" s="550"/>
      <c r="Z91" s="538">
        <v>0</v>
      </c>
      <c r="AA91" s="552">
        <v>459318.35</v>
      </c>
      <c r="AB91" s="341">
        <v>45663</v>
      </c>
      <c r="AC91" s="568" t="s">
        <v>1056</v>
      </c>
      <c r="AD91" s="1158" t="s">
        <v>29</v>
      </c>
      <c r="AE91" s="576" t="s">
        <v>756</v>
      </c>
      <c r="AF91" s="576" t="s">
        <v>29</v>
      </c>
      <c r="AG91" s="569" t="s">
        <v>116</v>
      </c>
      <c r="AH91" s="183">
        <v>45672</v>
      </c>
      <c r="AI91" s="1147">
        <v>0</v>
      </c>
      <c r="AJ91" s="1130">
        <v>0</v>
      </c>
      <c r="AK91" s="1130">
        <v>0</v>
      </c>
      <c r="AL91" s="1108">
        <v>0</v>
      </c>
      <c r="AM91" s="536" t="s">
        <v>116</v>
      </c>
      <c r="AN91" s="680" t="s">
        <v>709</v>
      </c>
      <c r="AO91" s="601"/>
      <c r="AP91" s="572"/>
      <c r="AQ91" s="572"/>
      <c r="AR91" s="572"/>
      <c r="AS91" s="538">
        <f>IF(Table15910[[#This Row],[PCTS Approved]]="N",0,Table15910[[#This Row],[Investment Amount (1'#'#'#'#'#)]]+Table15910[[#This Row],[Retirement Amount (3'#'#'#'#'#)]])</f>
        <v>0</v>
      </c>
      <c r="AT91" s="538">
        <f>IF(Table15910[[#This Row],[Approved Construction Cost]]=0,0,Table15910[[#This Row],[Approved Construction Cost]]-Table15910[[#This Row],[Construction Cost to Bill From]])</f>
        <v>0</v>
      </c>
      <c r="AU91" s="538">
        <f>IFERROR(Table15910[[#This Row],[Difference in Construction Cost]]*Table15910[[#This Row],[Rate]],Table15910[[#This Row],[Difference in Construction Cost]]*0.085)</f>
        <v>0</v>
      </c>
      <c r="AV91" s="602"/>
      <c r="AW91" s="640"/>
      <c r="AX91" s="555"/>
      <c r="AY91" s="1035"/>
      <c r="AZ91" s="605"/>
      <c r="BA91" s="1031" t="s">
        <v>6830</v>
      </c>
      <c r="BB91" s="543" t="s">
        <v>6820</v>
      </c>
      <c r="BC91" s="559" t="s">
        <v>116</v>
      </c>
      <c r="BD91" s="554" t="s">
        <v>882</v>
      </c>
      <c r="BE91" s="588" t="s">
        <v>3262</v>
      </c>
      <c r="BF91" s="588" t="s">
        <v>6821</v>
      </c>
      <c r="BG91" s="588" t="s">
        <v>115</v>
      </c>
      <c r="BH91" s="615" t="s">
        <v>6831</v>
      </c>
      <c r="BI91" s="547" t="s">
        <v>709</v>
      </c>
      <c r="BJ91" s="547" t="s">
        <v>709</v>
      </c>
      <c r="BK91" s="547" t="s">
        <v>116</v>
      </c>
      <c r="BL91" s="547" t="s">
        <v>116</v>
      </c>
      <c r="BM91" s="547" t="s">
        <v>709</v>
      </c>
      <c r="BN91" s="547">
        <v>74</v>
      </c>
      <c r="BO91" s="547" t="s">
        <v>709</v>
      </c>
      <c r="BP91" s="547">
        <v>17</v>
      </c>
      <c r="BQ91" s="547">
        <v>2</v>
      </c>
      <c r="BR91" s="547">
        <v>107</v>
      </c>
      <c r="BS91" s="547" t="s">
        <v>709</v>
      </c>
      <c r="BT91" s="547" t="s">
        <v>709</v>
      </c>
      <c r="BU91" s="547" t="s">
        <v>709</v>
      </c>
      <c r="BV91" s="547" t="s">
        <v>709</v>
      </c>
      <c r="BW91" s="547" t="s">
        <v>116</v>
      </c>
      <c r="BX91" s="547" t="s">
        <v>709</v>
      </c>
      <c r="BY91" s="547" t="s">
        <v>116</v>
      </c>
      <c r="BZ91" s="547" t="s">
        <v>709</v>
      </c>
      <c r="CA91" s="483"/>
    </row>
    <row r="92" spans="1:79" ht="15" hidden="1" customHeight="1" x14ac:dyDescent="0.25">
      <c r="A92" s="8">
        <v>2024</v>
      </c>
      <c r="B92" s="8" t="s">
        <v>769</v>
      </c>
      <c r="C92" s="8" t="s">
        <v>6454</v>
      </c>
      <c r="D92" s="8" t="s">
        <v>6455</v>
      </c>
      <c r="E92" s="8" t="s">
        <v>245</v>
      </c>
      <c r="F92" s="8" t="s">
        <v>784</v>
      </c>
      <c r="G92" s="8" t="s">
        <v>34</v>
      </c>
      <c r="H92" s="13" t="s">
        <v>59</v>
      </c>
      <c r="I92" s="642">
        <v>45268</v>
      </c>
      <c r="J92" s="18">
        <v>45499</v>
      </c>
      <c r="K92" s="175">
        <v>45499</v>
      </c>
      <c r="L92" s="16">
        <v>0</v>
      </c>
      <c r="M92" s="642"/>
      <c r="N92" s="642" t="s">
        <v>120</v>
      </c>
      <c r="O92" s="1060">
        <v>45505</v>
      </c>
      <c r="P92" s="1152" t="s">
        <v>739</v>
      </c>
      <c r="Q92" s="340">
        <v>114930.36720000001</v>
      </c>
      <c r="R92" s="1026">
        <v>0.11</v>
      </c>
      <c r="S92" s="538" t="s">
        <v>29</v>
      </c>
      <c r="T92" s="538" t="s">
        <v>29</v>
      </c>
      <c r="U92" s="28" t="s">
        <v>29</v>
      </c>
      <c r="V92" s="858">
        <v>412</v>
      </c>
      <c r="W92" s="437">
        <v>2</v>
      </c>
      <c r="X92" s="552">
        <v>847647.74</v>
      </c>
      <c r="Y92" s="550"/>
      <c r="Z92" s="552">
        <v>197173.78</v>
      </c>
      <c r="AA92" s="552">
        <v>1044821.52</v>
      </c>
      <c r="AB92" s="341">
        <v>45456</v>
      </c>
      <c r="AC92" s="568" t="s">
        <v>1523</v>
      </c>
      <c r="AD92" s="1157" t="s">
        <v>29</v>
      </c>
      <c r="AE92" s="568" t="s">
        <v>116</v>
      </c>
      <c r="AF92" s="568" t="s">
        <v>116</v>
      </c>
      <c r="AG92" s="569" t="s">
        <v>116</v>
      </c>
      <c r="AH92" s="183">
        <v>45567</v>
      </c>
      <c r="AI92" s="1125">
        <v>0</v>
      </c>
      <c r="AJ92" s="1110">
        <v>0</v>
      </c>
      <c r="AK92" s="1129">
        <v>1951</v>
      </c>
      <c r="AL92" s="1108">
        <v>1.6975496098475876E-2</v>
      </c>
      <c r="AM92" s="536" t="s">
        <v>116</v>
      </c>
      <c r="AN92" s="680" t="s">
        <v>709</v>
      </c>
      <c r="AO92" s="681">
        <v>11078652</v>
      </c>
      <c r="AP92" s="572"/>
      <c r="AQ92" s="572"/>
      <c r="AR92" s="572"/>
      <c r="AS92" s="538">
        <f>IF(Table15910[[#This Row],[PCTS Approved]]="N",0,Table15910[[#This Row],[Investment Amount (1'#'#'#'#'#)]]+Table15910[[#This Row],[Retirement Amount (3'#'#'#'#'#)]])</f>
        <v>0</v>
      </c>
      <c r="AT92" s="538">
        <f>IF(Table15910[[#This Row],[Approved Construction Cost]]=0,0,Table15910[[#This Row],[Approved Construction Cost]]-Table15910[[#This Row],[Construction Cost to Bill From]])</f>
        <v>0</v>
      </c>
      <c r="AU92" s="538">
        <f>IFERROR(Table15910[[#This Row],[Difference in Construction Cost]]*Table15910[[#This Row],[Rate]],Table15910[[#This Row],[Difference in Construction Cost]]*0.085)</f>
        <v>0</v>
      </c>
      <c r="AV92" s="572"/>
      <c r="AW92" s="639"/>
      <c r="AX92" s="538"/>
      <c r="AY92" s="1035" t="s">
        <v>709</v>
      </c>
      <c r="AZ92" s="443" t="s">
        <v>709</v>
      </c>
      <c r="BA92" s="859" t="s">
        <v>6456</v>
      </c>
      <c r="BB92" s="644" t="s">
        <v>6457</v>
      </c>
      <c r="BC92" s="544" t="s">
        <v>115</v>
      </c>
      <c r="BD92" s="544" t="s">
        <v>115</v>
      </c>
      <c r="BE92" s="544" t="s">
        <v>6458</v>
      </c>
      <c r="BF92" s="544" t="s">
        <v>115</v>
      </c>
      <c r="BG92" s="544" t="s">
        <v>6459</v>
      </c>
      <c r="BH92" s="741" t="s">
        <v>6460</v>
      </c>
      <c r="BI92" s="547" t="s">
        <v>709</v>
      </c>
      <c r="BJ92" s="547" t="s">
        <v>709</v>
      </c>
      <c r="BK92" s="547" t="s">
        <v>116</v>
      </c>
      <c r="BL92" s="547" t="s">
        <v>116</v>
      </c>
      <c r="BM92" s="547" t="s">
        <v>709</v>
      </c>
      <c r="BN92" s="547">
        <v>165</v>
      </c>
      <c r="BO92" s="547" t="s">
        <v>709</v>
      </c>
      <c r="BP92" s="547">
        <v>30</v>
      </c>
      <c r="BQ92" s="547">
        <v>70</v>
      </c>
      <c r="BR92" s="547">
        <v>48</v>
      </c>
      <c r="BS92" s="547">
        <v>30</v>
      </c>
      <c r="BT92" s="547">
        <v>1</v>
      </c>
      <c r="BU92" s="547" t="s">
        <v>709</v>
      </c>
      <c r="BV92" s="547" t="s">
        <v>745</v>
      </c>
      <c r="BW92" s="547" t="s">
        <v>709</v>
      </c>
      <c r="BX92" s="621">
        <v>1</v>
      </c>
      <c r="BY92" s="621">
        <v>2</v>
      </c>
      <c r="BZ92" s="547" t="s">
        <v>709</v>
      </c>
      <c r="CA92" s="483" t="s">
        <v>29</v>
      </c>
    </row>
    <row r="93" spans="1:79" ht="15" hidden="1" customHeight="1" x14ac:dyDescent="0.25">
      <c r="A93" s="8" t="s">
        <v>800</v>
      </c>
      <c r="B93" s="8" t="s">
        <v>4</v>
      </c>
      <c r="C93" s="1497" t="s">
        <v>1134</v>
      </c>
      <c r="D93" s="8" t="s">
        <v>1135</v>
      </c>
      <c r="E93" s="8" t="s">
        <v>1136</v>
      </c>
      <c r="F93" s="8" t="s">
        <v>784</v>
      </c>
      <c r="G93" s="8" t="s">
        <v>26</v>
      </c>
      <c r="H93" s="8" t="s">
        <v>59</v>
      </c>
      <c r="I93" s="642">
        <v>45321</v>
      </c>
      <c r="J93" s="18">
        <v>45450</v>
      </c>
      <c r="K93" s="97">
        <v>45447</v>
      </c>
      <c r="L93" s="16">
        <v>3</v>
      </c>
      <c r="M93" s="642"/>
      <c r="N93" s="642" t="s">
        <v>120</v>
      </c>
      <c r="O93" s="1060">
        <v>45444</v>
      </c>
      <c r="P93" s="1152" t="s">
        <v>739</v>
      </c>
      <c r="Q93" s="340">
        <v>223755.73100000003</v>
      </c>
      <c r="R93" s="1026">
        <v>0.1</v>
      </c>
      <c r="S93" s="538"/>
      <c r="T93" s="538"/>
      <c r="U93" s="87"/>
      <c r="V93" s="858">
        <v>3851</v>
      </c>
      <c r="W93" s="437">
        <v>0</v>
      </c>
      <c r="X93" s="538">
        <v>1907783.6799999999</v>
      </c>
      <c r="Y93" s="551"/>
      <c r="Z93" s="552">
        <v>329773.63</v>
      </c>
      <c r="AA93" s="552">
        <v>2237557.31</v>
      </c>
      <c r="AB93" s="341">
        <v>45433</v>
      </c>
      <c r="AC93" s="569" t="s">
        <v>116</v>
      </c>
      <c r="AD93" s="1149" t="s">
        <v>29</v>
      </c>
      <c r="AE93" s="568" t="s">
        <v>116</v>
      </c>
      <c r="AF93" s="568" t="s">
        <v>116</v>
      </c>
      <c r="AG93" s="568" t="s">
        <v>116</v>
      </c>
      <c r="AH93" s="183">
        <v>45525</v>
      </c>
      <c r="AI93" s="1028">
        <v>17900</v>
      </c>
      <c r="AJ93" s="1029">
        <v>8218.34</v>
      </c>
      <c r="AK93" s="1029">
        <v>13090.25</v>
      </c>
      <c r="AL93" s="1030">
        <v>0.17522943356476528</v>
      </c>
      <c r="AM93" s="536" t="s">
        <v>116</v>
      </c>
      <c r="AN93" s="1430">
        <v>45484</v>
      </c>
      <c r="AO93" s="806">
        <v>11086100</v>
      </c>
      <c r="AP93" s="718">
        <v>1907783.6799999999</v>
      </c>
      <c r="AQ93" s="682"/>
      <c r="AR93" s="718">
        <v>329053.63</v>
      </c>
      <c r="AS93" s="538">
        <f>IF(Table15910[[#This Row],[PCTS Approved]]="N",0,Table15910[[#This Row],[Investment Amount (1'#'#'#'#'#)]]+Table15910[[#This Row],[Retirement Amount (3'#'#'#'#'#)]])</f>
        <v>2236837.31</v>
      </c>
      <c r="AT93" s="538">
        <f>IF(Table15910[[#This Row],[Approved Construction Cost]]=0,0,Table15910[[#This Row],[Approved Construction Cost]]-Table15910[[#This Row],[Construction Cost to Bill From]])</f>
        <v>-720</v>
      </c>
      <c r="AU93" s="538">
        <f>IFERROR(Table15910[[#This Row],[Difference in Construction Cost]]*Table15910[[#This Row],[Rate]],Table15910[[#This Row],[Difference in Construction Cost]]*0.085)</f>
        <v>-72</v>
      </c>
      <c r="AV93" s="1311" t="s">
        <v>29</v>
      </c>
      <c r="AW93" s="1358" t="s">
        <v>6349</v>
      </c>
      <c r="AX93" s="555"/>
      <c r="AY93" s="1035" t="s">
        <v>709</v>
      </c>
      <c r="AZ93" s="443">
        <v>142</v>
      </c>
      <c r="BA93" s="1031" t="s">
        <v>1138</v>
      </c>
      <c r="BB93" s="644" t="s">
        <v>1139</v>
      </c>
      <c r="BC93" s="544" t="s">
        <v>115</v>
      </c>
      <c r="BD93" s="554" t="s">
        <v>1140</v>
      </c>
      <c r="BE93" s="588" t="s">
        <v>115</v>
      </c>
      <c r="BF93" s="588" t="s">
        <v>115</v>
      </c>
      <c r="BG93" s="588" t="s">
        <v>115</v>
      </c>
      <c r="BH93" s="615" t="s">
        <v>1141</v>
      </c>
      <c r="BI93" s="547" t="s">
        <v>709</v>
      </c>
      <c r="BJ93" s="547" t="s">
        <v>709</v>
      </c>
      <c r="BK93" s="547" t="s">
        <v>116</v>
      </c>
      <c r="BL93" s="547" t="s">
        <v>116</v>
      </c>
      <c r="BM93" s="547" t="s">
        <v>709</v>
      </c>
      <c r="BN93" s="547">
        <v>381</v>
      </c>
      <c r="BO93" s="547" t="s">
        <v>709</v>
      </c>
      <c r="BP93" s="626" t="s">
        <v>709</v>
      </c>
      <c r="BQ93" s="626" t="s">
        <v>709</v>
      </c>
      <c r="BR93" s="549">
        <v>369</v>
      </c>
      <c r="BS93" s="549">
        <v>3101</v>
      </c>
      <c r="BT93" s="547" t="s">
        <v>709</v>
      </c>
      <c r="BU93" s="547" t="s">
        <v>709</v>
      </c>
      <c r="BV93" s="547" t="s">
        <v>709</v>
      </c>
      <c r="BW93" s="547" t="s">
        <v>709</v>
      </c>
      <c r="BX93" s="547" t="s">
        <v>709</v>
      </c>
      <c r="BY93" s="547" t="s">
        <v>709</v>
      </c>
      <c r="BZ93" s="547" t="s">
        <v>709</v>
      </c>
      <c r="CA93" s="514"/>
    </row>
    <row r="94" spans="1:79" ht="15" hidden="1" customHeight="1" x14ac:dyDescent="0.25">
      <c r="A94" s="8" t="s">
        <v>6816</v>
      </c>
      <c r="B94" s="8" t="s">
        <v>730</v>
      </c>
      <c r="C94" s="8" t="s">
        <v>6772</v>
      </c>
      <c r="D94" s="8" t="s">
        <v>6773</v>
      </c>
      <c r="E94" s="8" t="s">
        <v>6774</v>
      </c>
      <c r="F94" s="8" t="s">
        <v>6643</v>
      </c>
      <c r="G94" s="8" t="s">
        <v>34</v>
      </c>
      <c r="H94" s="8" t="s">
        <v>59</v>
      </c>
      <c r="I94" s="642">
        <v>45470</v>
      </c>
      <c r="J94" s="18">
        <v>45618</v>
      </c>
      <c r="K94" s="18">
        <v>45617</v>
      </c>
      <c r="L94" s="16">
        <v>1</v>
      </c>
      <c r="M94" s="13"/>
      <c r="N94" s="770" t="s">
        <v>120</v>
      </c>
      <c r="O94" s="1060">
        <v>45627</v>
      </c>
      <c r="P94" s="1152" t="s">
        <v>120</v>
      </c>
      <c r="Q94" s="340">
        <v>89413.880599999989</v>
      </c>
      <c r="R94" s="1039">
        <v>0.11</v>
      </c>
      <c r="S94" s="1135" t="s">
        <v>29</v>
      </c>
      <c r="T94" s="538" t="s">
        <v>29</v>
      </c>
      <c r="U94" s="28" t="s">
        <v>29</v>
      </c>
      <c r="V94" s="858">
        <v>5051</v>
      </c>
      <c r="W94" s="437">
        <v>0</v>
      </c>
      <c r="X94" s="552">
        <v>712022.75</v>
      </c>
      <c r="Y94" s="551"/>
      <c r="Z94" s="552">
        <v>100830.71</v>
      </c>
      <c r="AA94" s="552">
        <v>812853.46</v>
      </c>
      <c r="AB94" s="341">
        <v>45636</v>
      </c>
      <c r="AC94" s="568" t="s">
        <v>1056</v>
      </c>
      <c r="AD94" s="1159" t="s">
        <v>29</v>
      </c>
      <c r="AE94" s="573" t="s">
        <v>116</v>
      </c>
      <c r="AF94" s="573" t="s">
        <v>29</v>
      </c>
      <c r="AG94" s="569" t="s">
        <v>376</v>
      </c>
      <c r="AH94" s="573" t="s">
        <v>376</v>
      </c>
      <c r="AI94" s="1109">
        <v>10450</v>
      </c>
      <c r="AJ94" s="1110">
        <v>0</v>
      </c>
      <c r="AK94" s="1143">
        <v>3450</v>
      </c>
      <c r="AL94" s="1108">
        <v>0.15545684749085817</v>
      </c>
      <c r="AM94" s="536" t="s">
        <v>116</v>
      </c>
      <c r="AN94" s="680" t="s">
        <v>709</v>
      </c>
      <c r="AO94" s="601">
        <v>11091949</v>
      </c>
      <c r="AP94" s="572"/>
      <c r="AQ94" s="572"/>
      <c r="AR94" s="572"/>
      <c r="AS94" s="538">
        <f>IF(Table15910[[#This Row],[PCTS Approved]]="N",0,Table15910[[#This Row],[Investment Amount (1'#'#'#'#'#)]]+Table15910[[#This Row],[Retirement Amount (3'#'#'#'#'#)]])</f>
        <v>0</v>
      </c>
      <c r="AT94" s="538">
        <f>IF(Table15910[[#This Row],[Approved Construction Cost]]=0,0,Table15910[[#This Row],[Approved Construction Cost]]-Table15910[[#This Row],[Construction Cost to Bill From]])</f>
        <v>0</v>
      </c>
      <c r="AU94" s="538">
        <f>IFERROR(Table15910[[#This Row],[Difference in Construction Cost]]*Table15910[[#This Row],[Rate]],Table15910[[#This Row],[Difference in Construction Cost]]*0.085)</f>
        <v>0</v>
      </c>
      <c r="AV94" s="602"/>
      <c r="AW94" s="640"/>
      <c r="AX94" s="555"/>
      <c r="AY94" s="1035" t="s">
        <v>709</v>
      </c>
      <c r="AZ94" s="605"/>
      <c r="BA94" s="1074" t="s">
        <v>6775</v>
      </c>
      <c r="BB94" s="644" t="s">
        <v>6776</v>
      </c>
      <c r="BC94" s="544" t="s">
        <v>115</v>
      </c>
      <c r="BD94" s="544" t="s">
        <v>115</v>
      </c>
      <c r="BE94" s="544" t="s">
        <v>115</v>
      </c>
      <c r="BF94" s="544" t="s">
        <v>6777</v>
      </c>
      <c r="BG94" s="548" t="s">
        <v>115</v>
      </c>
      <c r="BH94" s="615" t="s">
        <v>6778</v>
      </c>
      <c r="BI94" s="547" t="s">
        <v>709</v>
      </c>
      <c r="BJ94" s="547" t="s">
        <v>116</v>
      </c>
      <c r="BK94" s="547" t="s">
        <v>709</v>
      </c>
      <c r="BL94" s="547" t="s">
        <v>116</v>
      </c>
      <c r="BM94" s="547" t="s">
        <v>709</v>
      </c>
      <c r="BN94" s="547" t="s">
        <v>709</v>
      </c>
      <c r="BO94" s="547" t="s">
        <v>709</v>
      </c>
      <c r="BP94" s="626" t="s">
        <v>709</v>
      </c>
      <c r="BQ94" s="626" t="s">
        <v>709</v>
      </c>
      <c r="BR94" s="549">
        <v>4954</v>
      </c>
      <c r="BS94" s="549">
        <v>97</v>
      </c>
      <c r="BT94" s="547" t="s">
        <v>709</v>
      </c>
      <c r="BU94" s="547">
        <v>1</v>
      </c>
      <c r="BV94" s="547" t="s">
        <v>709</v>
      </c>
      <c r="BW94" s="547" t="s">
        <v>709</v>
      </c>
      <c r="BX94" s="547" t="s">
        <v>709</v>
      </c>
      <c r="BY94" s="547" t="s">
        <v>709</v>
      </c>
      <c r="BZ94" s="547" t="s">
        <v>709</v>
      </c>
      <c r="CA94" s="483"/>
    </row>
    <row r="95" spans="1:79" ht="15" hidden="1" customHeight="1" x14ac:dyDescent="0.25">
      <c r="A95" s="8" t="s">
        <v>800</v>
      </c>
      <c r="B95" s="8" t="s">
        <v>4</v>
      </c>
      <c r="C95" s="656" t="s">
        <v>1769</v>
      </c>
      <c r="D95" s="8" t="s">
        <v>1770</v>
      </c>
      <c r="E95" s="8" t="s">
        <v>910</v>
      </c>
      <c r="F95" s="8" t="s">
        <v>784</v>
      </c>
      <c r="G95" s="8" t="s">
        <v>25</v>
      </c>
      <c r="H95" s="8" t="s">
        <v>59</v>
      </c>
      <c r="I95" s="642">
        <v>45293</v>
      </c>
      <c r="J95" s="18">
        <v>45411</v>
      </c>
      <c r="K95" s="97">
        <v>45400</v>
      </c>
      <c r="L95" s="16">
        <v>11</v>
      </c>
      <c r="M95" s="642"/>
      <c r="N95" s="642" t="s">
        <v>120</v>
      </c>
      <c r="O95" s="1060">
        <v>45383</v>
      </c>
      <c r="P95" s="1152" t="s">
        <v>739</v>
      </c>
      <c r="Q95" s="340">
        <v>78947.281000000017</v>
      </c>
      <c r="R95" s="1026">
        <v>0.1</v>
      </c>
      <c r="S95" s="538"/>
      <c r="T95" s="538"/>
      <c r="U95" s="87"/>
      <c r="V95" s="858">
        <v>1231</v>
      </c>
      <c r="W95" s="437">
        <v>0</v>
      </c>
      <c r="X95" s="556">
        <v>635337.11</v>
      </c>
      <c r="Y95" s="551"/>
      <c r="Z95" s="570">
        <v>154135.70000000001</v>
      </c>
      <c r="AA95" s="552">
        <v>789472.81</v>
      </c>
      <c r="AB95" s="341">
        <v>45392</v>
      </c>
      <c r="AC95" s="569" t="s">
        <v>709</v>
      </c>
      <c r="AD95" s="1149" t="s">
        <v>29</v>
      </c>
      <c r="AE95" s="568" t="s">
        <v>116</v>
      </c>
      <c r="AF95" s="568" t="s">
        <v>29</v>
      </c>
      <c r="AG95" s="568" t="s">
        <v>376</v>
      </c>
      <c r="AH95" s="183">
        <v>45475</v>
      </c>
      <c r="AI95" s="1028">
        <v>0</v>
      </c>
      <c r="AJ95" s="1029">
        <v>5900</v>
      </c>
      <c r="AK95" s="1029">
        <v>13415.75</v>
      </c>
      <c r="AL95" s="1030">
        <v>0.2446664375939685</v>
      </c>
      <c r="AM95" s="536" t="s">
        <v>116</v>
      </c>
      <c r="AN95" s="801">
        <v>45722</v>
      </c>
      <c r="AO95" s="806">
        <v>11099260</v>
      </c>
      <c r="AP95" s="718">
        <v>647401.43999999994</v>
      </c>
      <c r="AQ95" s="682"/>
      <c r="AR95" s="718">
        <v>158661.78</v>
      </c>
      <c r="AS95" s="538">
        <f>IF(Table15910[[#This Row],[PCTS Approved]]="N",0,Table15910[[#This Row],[Investment Amount (1'#'#'#'#'#)]]+Table15910[[#This Row],[Retirement Amount (3'#'#'#'#'#)]])</f>
        <v>806063.22</v>
      </c>
      <c r="AT95" s="538">
        <f>IF(Table15910[[#This Row],[Approved Construction Cost]]=0,0,Table15910[[#This Row],[Approved Construction Cost]]-Table15910[[#This Row],[Construction Cost to Bill From]])</f>
        <v>16590.409999999916</v>
      </c>
      <c r="AU95" s="538">
        <f>IFERROR(Table15910[[#This Row],[Difference in Construction Cost]]*Table15910[[#This Row],[Rate]],Table15910[[#This Row],[Difference in Construction Cost]]*0.085)</f>
        <v>1659.0409999999918</v>
      </c>
      <c r="AV95" s="1311" t="s">
        <v>29</v>
      </c>
      <c r="AW95" s="1429" t="s">
        <v>6253</v>
      </c>
      <c r="AX95" s="555"/>
      <c r="AY95" s="1035" t="s">
        <v>709</v>
      </c>
      <c r="AZ95" s="443">
        <v>135</v>
      </c>
      <c r="BA95" s="1074" t="s">
        <v>1771</v>
      </c>
      <c r="BB95" s="644" t="s">
        <v>870</v>
      </c>
      <c r="BC95" s="559" t="s">
        <v>992</v>
      </c>
      <c r="BD95" s="554" t="s">
        <v>115</v>
      </c>
      <c r="BE95" s="588" t="s">
        <v>115</v>
      </c>
      <c r="BF95" s="588" t="s">
        <v>115</v>
      </c>
      <c r="BG95" s="588" t="s">
        <v>115</v>
      </c>
      <c r="BH95" s="615" t="s">
        <v>1772</v>
      </c>
      <c r="BI95" s="547" t="s">
        <v>709</v>
      </c>
      <c r="BJ95" s="547" t="s">
        <v>709</v>
      </c>
      <c r="BK95" s="547" t="s">
        <v>709</v>
      </c>
      <c r="BL95" s="547" t="s">
        <v>116</v>
      </c>
      <c r="BM95" s="547" t="s">
        <v>709</v>
      </c>
      <c r="BN95" s="547" t="s">
        <v>709</v>
      </c>
      <c r="BO95" s="547" t="s">
        <v>709</v>
      </c>
      <c r="BP95" s="626" t="s">
        <v>709</v>
      </c>
      <c r="BQ95" s="626">
        <v>1231</v>
      </c>
      <c r="BR95" s="549" t="s">
        <v>709</v>
      </c>
      <c r="BS95" s="549" t="s">
        <v>709</v>
      </c>
      <c r="BT95" s="549" t="s">
        <v>745</v>
      </c>
      <c r="BU95" s="549" t="s">
        <v>709</v>
      </c>
      <c r="BV95" s="549" t="s">
        <v>745</v>
      </c>
      <c r="BW95" s="549" t="s">
        <v>709</v>
      </c>
      <c r="BX95" s="547" t="s">
        <v>745</v>
      </c>
      <c r="BY95" s="549" t="s">
        <v>745</v>
      </c>
      <c r="BZ95" s="547" t="s">
        <v>709</v>
      </c>
      <c r="CA95" s="743"/>
    </row>
    <row r="96" spans="1:79" ht="15" hidden="1" customHeight="1" x14ac:dyDescent="0.25">
      <c r="A96" s="8">
        <v>2022</v>
      </c>
      <c r="B96" s="8" t="s">
        <v>730</v>
      </c>
      <c r="C96" s="8" t="s">
        <v>1274</v>
      </c>
      <c r="D96" s="8" t="s">
        <v>1275</v>
      </c>
      <c r="E96" s="8" t="s">
        <v>1276</v>
      </c>
      <c r="F96" s="8" t="s">
        <v>747</v>
      </c>
      <c r="G96" s="8" t="s">
        <v>34</v>
      </c>
      <c r="H96" s="8" t="s">
        <v>59</v>
      </c>
      <c r="I96" s="642">
        <v>44418</v>
      </c>
      <c r="J96" s="18">
        <v>44712</v>
      </c>
      <c r="K96" s="18">
        <v>44704</v>
      </c>
      <c r="L96" s="16">
        <v>8</v>
      </c>
      <c r="M96" s="642"/>
      <c r="N96" s="642" t="s">
        <v>120</v>
      </c>
      <c r="O96" s="1025">
        <v>44704</v>
      </c>
      <c r="P96" s="21" t="s">
        <v>120</v>
      </c>
      <c r="Q96" s="1151">
        <v>42952.833400000003</v>
      </c>
      <c r="R96" s="1026" t="s">
        <v>794</v>
      </c>
      <c r="S96" s="538" t="s">
        <v>709</v>
      </c>
      <c r="T96" s="538" t="s">
        <v>709</v>
      </c>
      <c r="U96" s="87" t="s">
        <v>709</v>
      </c>
      <c r="V96" s="857">
        <v>230</v>
      </c>
      <c r="W96" s="440"/>
      <c r="X96" s="551">
        <v>327874.32</v>
      </c>
      <c r="Y96" s="592"/>
      <c r="Z96" s="551">
        <v>53923.72</v>
      </c>
      <c r="AA96" s="551">
        <v>381798.04000000004</v>
      </c>
      <c r="AB96" s="341"/>
      <c r="AC96" s="568" t="s">
        <v>811</v>
      </c>
      <c r="AD96" s="1157" t="s">
        <v>29</v>
      </c>
      <c r="AE96" s="579"/>
      <c r="AF96" s="579"/>
      <c r="AG96" s="579"/>
      <c r="AH96" s="553"/>
      <c r="AI96" s="1036"/>
      <c r="AJ96" s="1037"/>
      <c r="AK96" s="1037"/>
      <c r="AL96" s="1038"/>
      <c r="AM96" s="536" t="s">
        <v>116</v>
      </c>
      <c r="AN96" s="680" t="s">
        <v>709</v>
      </c>
      <c r="AO96" s="601">
        <v>11038167</v>
      </c>
      <c r="AP96" s="572"/>
      <c r="AQ96" s="572"/>
      <c r="AR96" s="572"/>
      <c r="AS96" s="538">
        <f>IF(Table15910[[#This Row],[PCTS Approved]]="N",0,Table15910[[#This Row],[Investment Amount (1'#'#'#'#'#)]]+Table15910[[#This Row],[Retirement Amount (3'#'#'#'#'#)]])</f>
        <v>0</v>
      </c>
      <c r="AT96" s="538">
        <f>IF(Table15910[[#This Row],[Approved Construction Cost]]=0,0,Table15910[[#This Row],[Approved Construction Cost]]-Table15910[[#This Row],[Construction Cost to Bill From]])</f>
        <v>0</v>
      </c>
      <c r="AU96" s="538">
        <f>IFERROR(Table15910[[#This Row],[Difference in Construction Cost]]*Table15910[[#This Row],[Rate]],Table15910[[#This Row],[Difference in Construction Cost]]*0.085)</f>
        <v>0</v>
      </c>
      <c r="AV96" s="572"/>
      <c r="AW96" s="639"/>
      <c r="AX96" s="538"/>
      <c r="AY96" s="1035" t="s">
        <v>709</v>
      </c>
      <c r="AZ96" s="443">
        <v>170</v>
      </c>
      <c r="BA96" s="859" t="s">
        <v>1277</v>
      </c>
      <c r="BB96" s="644" t="s">
        <v>1226</v>
      </c>
      <c r="BC96" s="544" t="s">
        <v>116</v>
      </c>
      <c r="BD96" s="544" t="s">
        <v>709</v>
      </c>
      <c r="BE96" s="544" t="s">
        <v>709</v>
      </c>
      <c r="BF96" s="544" t="s">
        <v>709</v>
      </c>
      <c r="BG96" s="544" t="s">
        <v>709</v>
      </c>
      <c r="BH96" s="741"/>
      <c r="BI96" s="547" t="s">
        <v>116</v>
      </c>
      <c r="BJ96" s="547" t="s">
        <v>709</v>
      </c>
      <c r="BK96" s="547" t="s">
        <v>116</v>
      </c>
      <c r="BL96" s="547" t="s">
        <v>116</v>
      </c>
      <c r="BM96" s="547" t="s">
        <v>709</v>
      </c>
      <c r="BN96" s="547" t="s">
        <v>709</v>
      </c>
      <c r="BO96" s="547" t="s">
        <v>709</v>
      </c>
      <c r="BP96" s="547" t="s">
        <v>709</v>
      </c>
      <c r="BQ96" s="547" t="s">
        <v>709</v>
      </c>
      <c r="BR96" s="547">
        <v>26</v>
      </c>
      <c r="BS96" s="547">
        <v>204</v>
      </c>
      <c r="BT96" s="547" t="s">
        <v>745</v>
      </c>
      <c r="BU96" s="547">
        <v>2</v>
      </c>
      <c r="BV96" s="547" t="s">
        <v>745</v>
      </c>
      <c r="BW96" s="547" t="s">
        <v>709</v>
      </c>
      <c r="BX96" s="547">
        <v>1</v>
      </c>
      <c r="BY96" s="547" t="s">
        <v>745</v>
      </c>
      <c r="BZ96" s="547" t="s">
        <v>709</v>
      </c>
      <c r="CA96" s="483"/>
    </row>
    <row r="97" spans="1:79" ht="15" hidden="1" customHeight="1" x14ac:dyDescent="0.25">
      <c r="A97" s="8" t="s">
        <v>781</v>
      </c>
      <c r="B97" s="8" t="s">
        <v>730</v>
      </c>
      <c r="C97" s="8" t="s">
        <v>457</v>
      </c>
      <c r="D97" s="8" t="s">
        <v>1264</v>
      </c>
      <c r="E97" s="8" t="s">
        <v>1265</v>
      </c>
      <c r="F97" s="8" t="s">
        <v>752</v>
      </c>
      <c r="G97" s="8" t="s">
        <v>34</v>
      </c>
      <c r="H97" s="8" t="s">
        <v>59</v>
      </c>
      <c r="I97" s="642">
        <v>44607</v>
      </c>
      <c r="J97" s="18">
        <v>44693</v>
      </c>
      <c r="K97" s="18">
        <v>44692</v>
      </c>
      <c r="L97" s="16">
        <v>1</v>
      </c>
      <c r="M97" s="642"/>
      <c r="N97" s="642" t="s">
        <v>120</v>
      </c>
      <c r="O97" s="1025">
        <v>44692</v>
      </c>
      <c r="P97" s="21" t="s">
        <v>739</v>
      </c>
      <c r="Q97" s="1151">
        <v>12895.919150000002</v>
      </c>
      <c r="R97" s="1026" t="s">
        <v>794</v>
      </c>
      <c r="S97" s="538" t="s">
        <v>709</v>
      </c>
      <c r="T97" s="538" t="s">
        <v>709</v>
      </c>
      <c r="U97" s="87" t="s">
        <v>709</v>
      </c>
      <c r="V97" s="857">
        <v>60</v>
      </c>
      <c r="W97" s="440"/>
      <c r="X97" s="551">
        <v>76483.740000000005</v>
      </c>
      <c r="Y97" s="592"/>
      <c r="Z97" s="551">
        <v>13468.25</v>
      </c>
      <c r="AA97" s="551">
        <v>89951.99</v>
      </c>
      <c r="AB97" s="341"/>
      <c r="AC97" s="568" t="s">
        <v>116</v>
      </c>
      <c r="AD97" s="1157" t="s">
        <v>29</v>
      </c>
      <c r="AE97" s="579"/>
      <c r="AF97" s="579"/>
      <c r="AG97" s="579"/>
      <c r="AH97" s="553"/>
      <c r="AI97" s="1036"/>
      <c r="AJ97" s="1037"/>
      <c r="AK97" s="1037"/>
      <c r="AL97" s="1038"/>
      <c r="AM97" s="536" t="s">
        <v>116</v>
      </c>
      <c r="AN97" s="680" t="s">
        <v>709</v>
      </c>
      <c r="AO97" s="601">
        <v>11058433</v>
      </c>
      <c r="AP97" s="572"/>
      <c r="AQ97" s="572"/>
      <c r="AR97" s="572"/>
      <c r="AS97" s="538">
        <f>IF(Table15910[[#This Row],[PCTS Approved]]="N",0,Table15910[[#This Row],[Investment Amount (1'#'#'#'#'#)]]+Table15910[[#This Row],[Retirement Amount (3'#'#'#'#'#)]])</f>
        <v>0</v>
      </c>
      <c r="AT97" s="538">
        <f>IF(Table15910[[#This Row],[Approved Construction Cost]]=0,0,Table15910[[#This Row],[Approved Construction Cost]]-Table15910[[#This Row],[Construction Cost to Bill From]])</f>
        <v>0</v>
      </c>
      <c r="AU97" s="538">
        <f>IFERROR(Table15910[[#This Row],[Difference in Construction Cost]]*Table15910[[#This Row],[Rate]],Table15910[[#This Row],[Difference in Construction Cost]]*0.085)</f>
        <v>0</v>
      </c>
      <c r="AV97" s="572"/>
      <c r="AW97" s="639"/>
      <c r="AX97" s="538"/>
      <c r="AY97" s="1035" t="s">
        <v>709</v>
      </c>
      <c r="AZ97" s="443">
        <v>169</v>
      </c>
      <c r="BA97" s="859" t="s">
        <v>1266</v>
      </c>
      <c r="BB97" s="644" t="s">
        <v>1267</v>
      </c>
      <c r="BC97" s="544" t="s">
        <v>709</v>
      </c>
      <c r="BD97" s="544" t="s">
        <v>709</v>
      </c>
      <c r="BE97" s="544" t="s">
        <v>709</v>
      </c>
      <c r="BF97" s="544" t="s">
        <v>1268</v>
      </c>
      <c r="BG97" s="544" t="s">
        <v>709</v>
      </c>
      <c r="BH97" s="741"/>
      <c r="BI97" s="547" t="s">
        <v>116</v>
      </c>
      <c r="BJ97" s="547" t="s">
        <v>709</v>
      </c>
      <c r="BK97" s="547" t="s">
        <v>709</v>
      </c>
      <c r="BL97" s="547" t="s">
        <v>709</v>
      </c>
      <c r="BM97" s="547" t="s">
        <v>709</v>
      </c>
      <c r="BN97" s="547" t="s">
        <v>709</v>
      </c>
      <c r="BO97" s="547" t="s">
        <v>709</v>
      </c>
      <c r="BP97" s="547" t="s">
        <v>709</v>
      </c>
      <c r="BQ97" s="547" t="s">
        <v>709</v>
      </c>
      <c r="BR97" s="547" t="s">
        <v>709</v>
      </c>
      <c r="BS97" s="547">
        <v>60</v>
      </c>
      <c r="BT97" s="547" t="s">
        <v>745</v>
      </c>
      <c r="BU97" s="547" t="s">
        <v>709</v>
      </c>
      <c r="BV97" s="547" t="s">
        <v>745</v>
      </c>
      <c r="BW97" s="547" t="s">
        <v>709</v>
      </c>
      <c r="BX97" s="547">
        <v>1</v>
      </c>
      <c r="BY97" s="547" t="s">
        <v>745</v>
      </c>
      <c r="BZ97" s="547" t="s">
        <v>709</v>
      </c>
      <c r="CA97" s="483"/>
    </row>
    <row r="98" spans="1:79" ht="15" hidden="1" customHeight="1" x14ac:dyDescent="0.25">
      <c r="A98" s="8" t="s">
        <v>749</v>
      </c>
      <c r="B98" s="8" t="s">
        <v>759</v>
      </c>
      <c r="C98" s="8" t="s">
        <v>1793</v>
      </c>
      <c r="D98" s="8" t="s">
        <v>1794</v>
      </c>
      <c r="E98" s="8" t="s">
        <v>1787</v>
      </c>
      <c r="F98" s="8" t="s">
        <v>752</v>
      </c>
      <c r="G98" s="8" t="s">
        <v>34</v>
      </c>
      <c r="H98" s="8" t="s">
        <v>59</v>
      </c>
      <c r="I98" s="642">
        <v>44582</v>
      </c>
      <c r="J98" s="18">
        <v>45429</v>
      </c>
      <c r="K98" s="642">
        <v>45429</v>
      </c>
      <c r="L98" s="16">
        <v>0</v>
      </c>
      <c r="M98" s="642"/>
      <c r="N98" s="642" t="s">
        <v>120</v>
      </c>
      <c r="O98" s="1060">
        <v>45413</v>
      </c>
      <c r="P98" s="1152" t="s">
        <v>120</v>
      </c>
      <c r="Q98" s="340">
        <v>146544.959</v>
      </c>
      <c r="R98" s="1039">
        <v>0.11</v>
      </c>
      <c r="S98" s="538"/>
      <c r="T98" s="538"/>
      <c r="U98" s="87"/>
      <c r="V98" s="858">
        <v>1638</v>
      </c>
      <c r="W98" s="437">
        <v>1</v>
      </c>
      <c r="X98" s="538">
        <v>1222303.93</v>
      </c>
      <c r="Y98" s="551"/>
      <c r="Z98" s="552">
        <v>109922.97</v>
      </c>
      <c r="AA98" s="552">
        <v>1332226.8999999999</v>
      </c>
      <c r="AB98" s="341">
        <v>45426</v>
      </c>
      <c r="AC98" s="569" t="s">
        <v>1056</v>
      </c>
      <c r="AD98" s="1149" t="s">
        <v>29</v>
      </c>
      <c r="AE98" s="569" t="s">
        <v>116</v>
      </c>
      <c r="AF98" s="568" t="s">
        <v>116</v>
      </c>
      <c r="AG98" s="569" t="s">
        <v>116</v>
      </c>
      <c r="AH98" s="183" t="s">
        <v>116</v>
      </c>
      <c r="AI98" s="1109">
        <v>30900</v>
      </c>
      <c r="AJ98" s="1110">
        <v>0</v>
      </c>
      <c r="AK98" s="1110">
        <v>0</v>
      </c>
      <c r="AL98" s="1104">
        <v>0.21085679241958777</v>
      </c>
      <c r="AM98" s="536" t="s">
        <v>116</v>
      </c>
      <c r="AN98" s="680" t="s">
        <v>709</v>
      </c>
      <c r="AO98" s="601">
        <v>11039388</v>
      </c>
      <c r="AP98" s="572"/>
      <c r="AQ98" s="572"/>
      <c r="AR98" s="572"/>
      <c r="AS98" s="538">
        <f>IF(Table15910[[#This Row],[PCTS Approved]]="N",0,Table15910[[#This Row],[Investment Amount (1'#'#'#'#'#)]]+Table15910[[#This Row],[Retirement Amount (3'#'#'#'#'#)]])</f>
        <v>0</v>
      </c>
      <c r="AT98" s="538">
        <f>IF(Table15910[[#This Row],[Approved Construction Cost]]=0,0,Table15910[[#This Row],[Approved Construction Cost]]-Table15910[[#This Row],[Construction Cost to Bill From]])</f>
        <v>0</v>
      </c>
      <c r="AU98" s="538">
        <f>IFERROR(Table15910[[#This Row],[Difference in Construction Cost]]*Table15910[[#This Row],[Rate]],Table15910[[#This Row],[Difference in Construction Cost]]*0.085)</f>
        <v>0</v>
      </c>
      <c r="AV98" s="572"/>
      <c r="AW98" s="639"/>
      <c r="AX98" s="538"/>
      <c r="AY98" s="694" t="s">
        <v>709</v>
      </c>
      <c r="AZ98" s="443">
        <v>163</v>
      </c>
      <c r="BA98" s="1031" t="s">
        <v>1795</v>
      </c>
      <c r="BB98" s="644" t="s">
        <v>1796</v>
      </c>
      <c r="BC98" s="559" t="s">
        <v>116</v>
      </c>
      <c r="BD98" s="554" t="s">
        <v>882</v>
      </c>
      <c r="BE98" s="588" t="s">
        <v>1791</v>
      </c>
      <c r="BF98" s="588" t="s">
        <v>115</v>
      </c>
      <c r="BG98" s="548" t="s">
        <v>1496</v>
      </c>
      <c r="BH98" s="615" t="s">
        <v>1797</v>
      </c>
      <c r="BI98" s="547" t="s">
        <v>709</v>
      </c>
      <c r="BJ98" s="547" t="s">
        <v>1798</v>
      </c>
      <c r="BK98" s="547" t="s">
        <v>709</v>
      </c>
      <c r="BL98" s="547" t="s">
        <v>116</v>
      </c>
      <c r="BM98" s="547" t="s">
        <v>709</v>
      </c>
      <c r="BN98" s="547" t="s">
        <v>709</v>
      </c>
      <c r="BO98" s="547" t="s">
        <v>709</v>
      </c>
      <c r="BP98" s="626" t="s">
        <v>709</v>
      </c>
      <c r="BQ98" s="626">
        <v>41</v>
      </c>
      <c r="BR98" s="549">
        <v>1537</v>
      </c>
      <c r="BS98" s="549">
        <v>11</v>
      </c>
      <c r="BT98" s="547" t="s">
        <v>745</v>
      </c>
      <c r="BU98" s="547" t="s">
        <v>709</v>
      </c>
      <c r="BV98" s="547" t="s">
        <v>745</v>
      </c>
      <c r="BW98" s="547">
        <v>1</v>
      </c>
      <c r="BX98" s="547" t="s">
        <v>745</v>
      </c>
      <c r="BY98" s="547" t="s">
        <v>745</v>
      </c>
      <c r="BZ98" s="547" t="s">
        <v>709</v>
      </c>
      <c r="CA98" s="483"/>
    </row>
    <row r="99" spans="1:79" ht="15" hidden="1" customHeight="1" x14ac:dyDescent="0.25">
      <c r="A99" s="8" t="s">
        <v>800</v>
      </c>
      <c r="B99" s="8" t="s">
        <v>759</v>
      </c>
      <c r="C99" s="8" t="s">
        <v>1785</v>
      </c>
      <c r="D99" s="8" t="s">
        <v>1786</v>
      </c>
      <c r="E99" s="8" t="s">
        <v>1787</v>
      </c>
      <c r="F99" s="8" t="s">
        <v>752</v>
      </c>
      <c r="G99" s="8" t="s">
        <v>34</v>
      </c>
      <c r="H99" s="8" t="s">
        <v>59</v>
      </c>
      <c r="I99" s="642">
        <v>45296</v>
      </c>
      <c r="J99" s="18">
        <v>45428</v>
      </c>
      <c r="K99" s="642">
        <v>45428</v>
      </c>
      <c r="L99" s="16">
        <v>0</v>
      </c>
      <c r="M99" s="642"/>
      <c r="N99" s="642" t="s">
        <v>120</v>
      </c>
      <c r="O99" s="1060">
        <v>45413</v>
      </c>
      <c r="P99" s="1152" t="s">
        <v>120</v>
      </c>
      <c r="Q99" s="340">
        <v>101543.1164</v>
      </c>
      <c r="R99" s="1039">
        <v>0.11</v>
      </c>
      <c r="S99" s="538"/>
      <c r="T99" s="538"/>
      <c r="U99" s="87"/>
      <c r="V99" s="858">
        <v>1591</v>
      </c>
      <c r="W99" s="437">
        <v>1</v>
      </c>
      <c r="X99" s="538">
        <v>784377</v>
      </c>
      <c r="Y99" s="551"/>
      <c r="Z99" s="552">
        <v>138742.24</v>
      </c>
      <c r="AA99" s="552">
        <v>923119.24</v>
      </c>
      <c r="AB99" s="341">
        <v>45429</v>
      </c>
      <c r="AC99" s="569" t="s">
        <v>1177</v>
      </c>
      <c r="AD99" s="1149" t="s">
        <v>29</v>
      </c>
      <c r="AE99" s="569" t="s">
        <v>116</v>
      </c>
      <c r="AF99" s="568" t="s">
        <v>29</v>
      </c>
      <c r="AG99" s="569" t="s">
        <v>116</v>
      </c>
      <c r="AH99" s="183" t="s">
        <v>116</v>
      </c>
      <c r="AI99" s="1109">
        <v>13590</v>
      </c>
      <c r="AJ99" s="1110">
        <v>0</v>
      </c>
      <c r="AK99" s="1110">
        <v>4272</v>
      </c>
      <c r="AL99" s="1104">
        <v>0.1759055722658518</v>
      </c>
      <c r="AM99" s="536" t="s">
        <v>116</v>
      </c>
      <c r="AN99" s="680" t="s">
        <v>709</v>
      </c>
      <c r="AO99" s="601"/>
      <c r="AP99" s="572"/>
      <c r="AQ99" s="572"/>
      <c r="AR99" s="572"/>
      <c r="AS99" s="538">
        <f>IF(Table15910[[#This Row],[PCTS Approved]]="N",0,Table15910[[#This Row],[Investment Amount (1'#'#'#'#'#)]]+Table15910[[#This Row],[Retirement Amount (3'#'#'#'#'#)]])</f>
        <v>0</v>
      </c>
      <c r="AT99" s="538">
        <f>IF(Table15910[[#This Row],[Approved Construction Cost]]=0,0,Table15910[[#This Row],[Approved Construction Cost]]-Table15910[[#This Row],[Construction Cost to Bill From]])</f>
        <v>0</v>
      </c>
      <c r="AU99" s="538">
        <f>IFERROR(Table15910[[#This Row],[Difference in Construction Cost]]*Table15910[[#This Row],[Rate]],Table15910[[#This Row],[Difference in Construction Cost]]*0.085)</f>
        <v>0</v>
      </c>
      <c r="AV99" s="572"/>
      <c r="AW99" s="639"/>
      <c r="AX99" s="538"/>
      <c r="AY99" s="694" t="s">
        <v>709</v>
      </c>
      <c r="AZ99" s="443">
        <v>162</v>
      </c>
      <c r="BA99" s="1031" t="s">
        <v>1788</v>
      </c>
      <c r="BB99" s="644" t="s">
        <v>1789</v>
      </c>
      <c r="BC99" s="559" t="s">
        <v>115</v>
      </c>
      <c r="BD99" s="554" t="s">
        <v>1790</v>
      </c>
      <c r="BE99" s="588" t="s">
        <v>1791</v>
      </c>
      <c r="BF99" s="588" t="s">
        <v>115</v>
      </c>
      <c r="BG99" s="548" t="s">
        <v>115</v>
      </c>
      <c r="BH99" s="615" t="s">
        <v>1792</v>
      </c>
      <c r="BI99" s="547" t="s">
        <v>709</v>
      </c>
      <c r="BJ99" s="547" t="s">
        <v>709</v>
      </c>
      <c r="BK99" s="547" t="s">
        <v>709</v>
      </c>
      <c r="BL99" s="547" t="s">
        <v>116</v>
      </c>
      <c r="BM99" s="547" t="s">
        <v>709</v>
      </c>
      <c r="BN99" s="547" t="s">
        <v>709</v>
      </c>
      <c r="BO99" s="547" t="s">
        <v>709</v>
      </c>
      <c r="BP99" s="626">
        <v>82</v>
      </c>
      <c r="BQ99" s="626">
        <v>1127</v>
      </c>
      <c r="BR99" s="549">
        <v>40</v>
      </c>
      <c r="BS99" s="549">
        <v>252</v>
      </c>
      <c r="BT99" s="547">
        <v>1</v>
      </c>
      <c r="BU99" s="547" t="s">
        <v>709</v>
      </c>
      <c r="BV99" s="547" t="s">
        <v>745</v>
      </c>
      <c r="BW99" s="547">
        <v>1</v>
      </c>
      <c r="BX99" s="547">
        <v>1</v>
      </c>
      <c r="BY99" s="547" t="s">
        <v>745</v>
      </c>
      <c r="BZ99" s="547" t="s">
        <v>709</v>
      </c>
      <c r="CA99" s="483"/>
    </row>
    <row r="100" spans="1:79" ht="15" hidden="1" customHeight="1" x14ac:dyDescent="0.25">
      <c r="A100" s="8" t="s">
        <v>749</v>
      </c>
      <c r="B100" s="8" t="s">
        <v>759</v>
      </c>
      <c r="C100" s="8" t="s">
        <v>1259</v>
      </c>
      <c r="D100" s="8" t="s">
        <v>1260</v>
      </c>
      <c r="E100" s="8" t="s">
        <v>1261</v>
      </c>
      <c r="F100" s="8" t="s">
        <v>752</v>
      </c>
      <c r="G100" s="8" t="s">
        <v>34</v>
      </c>
      <c r="H100" s="13" t="s">
        <v>59</v>
      </c>
      <c r="I100" s="642">
        <v>45015</v>
      </c>
      <c r="J100" s="18">
        <v>45247</v>
      </c>
      <c r="K100" s="175">
        <v>45243</v>
      </c>
      <c r="L100" s="16">
        <v>4</v>
      </c>
      <c r="M100" s="642"/>
      <c r="N100" s="642" t="s">
        <v>120</v>
      </c>
      <c r="O100" s="1060">
        <v>45261</v>
      </c>
      <c r="P100" s="1152" t="s">
        <v>120</v>
      </c>
      <c r="Q100" s="340">
        <v>98159.153399999996</v>
      </c>
      <c r="R100" s="1026">
        <v>0.11</v>
      </c>
      <c r="S100" s="538"/>
      <c r="T100" s="538"/>
      <c r="U100" s="87"/>
      <c r="V100" s="858">
        <v>1146</v>
      </c>
      <c r="W100" s="437">
        <v>3</v>
      </c>
      <c r="X100" s="552">
        <v>808862.07</v>
      </c>
      <c r="Y100" s="551"/>
      <c r="Z100" s="552">
        <v>83493.87</v>
      </c>
      <c r="AA100" s="552">
        <v>892355.94</v>
      </c>
      <c r="AB100" s="341">
        <v>45257</v>
      </c>
      <c r="AC100" s="568" t="s">
        <v>1659</v>
      </c>
      <c r="AD100" s="1157" t="s">
        <v>29</v>
      </c>
      <c r="AE100" s="183" t="s">
        <v>756</v>
      </c>
      <c r="AF100" s="183" t="s">
        <v>29</v>
      </c>
      <c r="AG100" s="183" t="s">
        <v>116</v>
      </c>
      <c r="AH100" s="183" t="s">
        <v>116</v>
      </c>
      <c r="AI100" s="1036"/>
      <c r="AJ100" s="1037"/>
      <c r="AK100" s="1037"/>
      <c r="AL100" s="1038"/>
      <c r="AM100" s="536" t="s">
        <v>116</v>
      </c>
      <c r="AN100" s="680" t="s">
        <v>709</v>
      </c>
      <c r="AO100" s="601">
        <v>11039510</v>
      </c>
      <c r="AP100" s="572"/>
      <c r="AQ100" s="572"/>
      <c r="AR100" s="572"/>
      <c r="AS100" s="538">
        <f>IF(Table15910[[#This Row],[PCTS Approved]]="N",0,Table15910[[#This Row],[Investment Amount (1'#'#'#'#'#)]]+Table15910[[#This Row],[Retirement Amount (3'#'#'#'#'#)]])</f>
        <v>0</v>
      </c>
      <c r="AT100" s="538">
        <f>IF(Table15910[[#This Row],[Approved Construction Cost]]=0,0,Table15910[[#This Row],[Approved Construction Cost]]-Table15910[[#This Row],[Construction Cost to Bill From]])</f>
        <v>0</v>
      </c>
      <c r="AU100" s="538">
        <f>IFERROR(Table15910[[#This Row],[Difference in Construction Cost]]*Table15910[[#This Row],[Rate]],Table15910[[#This Row],[Difference in Construction Cost]]*0.085)</f>
        <v>0</v>
      </c>
      <c r="AV100" s="572"/>
      <c r="AW100" s="639"/>
      <c r="AX100" s="538"/>
      <c r="AY100" s="1035" t="s">
        <v>709</v>
      </c>
      <c r="AZ100" s="443">
        <v>161</v>
      </c>
      <c r="BA100" s="1076" t="s">
        <v>1660</v>
      </c>
      <c r="BB100" s="648" t="s">
        <v>1661</v>
      </c>
      <c r="BC100" s="544" t="s">
        <v>115</v>
      </c>
      <c r="BD100" s="544" t="s">
        <v>1066</v>
      </c>
      <c r="BE100" s="544" t="s">
        <v>115</v>
      </c>
      <c r="BF100" s="544" t="s">
        <v>115</v>
      </c>
      <c r="BG100" s="544" t="s">
        <v>115</v>
      </c>
      <c r="BH100" s="741" t="s">
        <v>1662</v>
      </c>
      <c r="BI100" s="547" t="s">
        <v>709</v>
      </c>
      <c r="BJ100" s="547" t="s">
        <v>709</v>
      </c>
      <c r="BK100" s="547" t="s">
        <v>116</v>
      </c>
      <c r="BL100" s="547" t="s">
        <v>116</v>
      </c>
      <c r="BM100" s="547" t="s">
        <v>709</v>
      </c>
      <c r="BN100" s="547" t="s">
        <v>709</v>
      </c>
      <c r="BO100" s="547" t="s">
        <v>709</v>
      </c>
      <c r="BP100" s="547">
        <v>789</v>
      </c>
      <c r="BQ100" s="547">
        <v>164</v>
      </c>
      <c r="BR100" s="547">
        <v>45</v>
      </c>
      <c r="BS100" s="547">
        <v>5</v>
      </c>
      <c r="BT100" s="547">
        <v>1</v>
      </c>
      <c r="BU100" s="547" t="s">
        <v>709</v>
      </c>
      <c r="BV100" s="547" t="s">
        <v>709</v>
      </c>
      <c r="BW100" s="547">
        <v>1</v>
      </c>
      <c r="BX100" s="547">
        <v>1</v>
      </c>
      <c r="BY100" s="547" t="s">
        <v>709</v>
      </c>
      <c r="BZ100" s="547" t="s">
        <v>709</v>
      </c>
      <c r="CA100" s="483" t="s">
        <v>8918</v>
      </c>
    </row>
    <row r="101" spans="1:79" ht="15" hidden="1" customHeight="1" x14ac:dyDescent="0.25">
      <c r="A101" s="8" t="s">
        <v>800</v>
      </c>
      <c r="B101" s="8" t="s">
        <v>759</v>
      </c>
      <c r="C101" s="8" t="s">
        <v>1654</v>
      </c>
      <c r="D101" s="8" t="s">
        <v>1655</v>
      </c>
      <c r="E101" s="8" t="s">
        <v>1149</v>
      </c>
      <c r="F101" s="8" t="s">
        <v>752</v>
      </c>
      <c r="G101" s="8" t="s">
        <v>34</v>
      </c>
      <c r="H101" s="13" t="s">
        <v>59</v>
      </c>
      <c r="I101" s="642">
        <v>45103</v>
      </c>
      <c r="J101" s="18">
        <v>45240</v>
      </c>
      <c r="K101" s="97">
        <v>45239</v>
      </c>
      <c r="L101" s="16">
        <v>1</v>
      </c>
      <c r="M101" s="642"/>
      <c r="N101" s="642" t="s">
        <v>120</v>
      </c>
      <c r="O101" s="1060">
        <v>45261</v>
      </c>
      <c r="P101" s="1152" t="s">
        <v>120</v>
      </c>
      <c r="Q101" s="340">
        <v>141816.94339999999</v>
      </c>
      <c r="R101" s="1026">
        <v>0.11</v>
      </c>
      <c r="S101" s="538"/>
      <c r="T101" s="538"/>
      <c r="U101" s="87"/>
      <c r="V101" s="858">
        <v>1578</v>
      </c>
      <c r="W101" s="437">
        <v>3</v>
      </c>
      <c r="X101" s="552">
        <v>1112237.6399999999</v>
      </c>
      <c r="Y101" s="551"/>
      <c r="Z101" s="552">
        <v>177007.3</v>
      </c>
      <c r="AA101" s="552">
        <v>1289244.94</v>
      </c>
      <c r="AB101" s="341">
        <v>45245</v>
      </c>
      <c r="AC101" s="568" t="s">
        <v>811</v>
      </c>
      <c r="AD101" s="1157" t="s">
        <v>29</v>
      </c>
      <c r="AE101" s="183">
        <v>45239</v>
      </c>
      <c r="AF101" s="183">
        <v>45240</v>
      </c>
      <c r="AG101" s="183">
        <v>45245</v>
      </c>
      <c r="AH101" s="183">
        <v>45245</v>
      </c>
      <c r="AI101" s="1036"/>
      <c r="AJ101" s="1037"/>
      <c r="AK101" s="1037"/>
      <c r="AL101" s="1038"/>
      <c r="AM101" s="536" t="s">
        <v>116</v>
      </c>
      <c r="AN101" s="680" t="s">
        <v>709</v>
      </c>
      <c r="AO101" s="601">
        <v>11071464</v>
      </c>
      <c r="AP101" s="572"/>
      <c r="AQ101" s="572"/>
      <c r="AR101" s="572"/>
      <c r="AS101" s="538">
        <f>IF(Table15910[[#This Row],[PCTS Approved]]="N",0,Table15910[[#This Row],[Investment Amount (1'#'#'#'#'#)]]+Table15910[[#This Row],[Retirement Amount (3'#'#'#'#'#)]])</f>
        <v>0</v>
      </c>
      <c r="AT101" s="538">
        <f>IF(Table15910[[#This Row],[Approved Construction Cost]]=0,0,Table15910[[#This Row],[Approved Construction Cost]]-Table15910[[#This Row],[Construction Cost to Bill From]])</f>
        <v>0</v>
      </c>
      <c r="AU101" s="538">
        <f>IFERROR(Table15910[[#This Row],[Difference in Construction Cost]]*Table15910[[#This Row],[Rate]],Table15910[[#This Row],[Difference in Construction Cost]]*0.085)</f>
        <v>0</v>
      </c>
      <c r="AV101" s="572"/>
      <c r="AW101" s="639"/>
      <c r="AX101" s="538"/>
      <c r="AY101" s="1035" t="s">
        <v>709</v>
      </c>
      <c r="AZ101" s="443">
        <v>160</v>
      </c>
      <c r="BA101" s="1076" t="s">
        <v>1656</v>
      </c>
      <c r="BB101" s="648" t="s">
        <v>1657</v>
      </c>
      <c r="BC101" s="559" t="s">
        <v>115</v>
      </c>
      <c r="BD101" s="554" t="s">
        <v>115</v>
      </c>
      <c r="BE101" s="588" t="s">
        <v>3609</v>
      </c>
      <c r="BF101" s="588" t="s">
        <v>115</v>
      </c>
      <c r="BG101" s="548" t="s">
        <v>115</v>
      </c>
      <c r="BH101" s="741" t="s">
        <v>1658</v>
      </c>
      <c r="BI101" s="547" t="s">
        <v>709</v>
      </c>
      <c r="BJ101" s="549" t="s">
        <v>709</v>
      </c>
      <c r="BK101" s="547" t="s">
        <v>116</v>
      </c>
      <c r="BL101" s="547" t="s">
        <v>116</v>
      </c>
      <c r="BM101" s="547" t="s">
        <v>709</v>
      </c>
      <c r="BN101" s="547">
        <v>248</v>
      </c>
      <c r="BO101" s="547" t="s">
        <v>709</v>
      </c>
      <c r="BP101" s="547">
        <v>26</v>
      </c>
      <c r="BQ101" s="547">
        <v>1169</v>
      </c>
      <c r="BR101" s="547">
        <v>40</v>
      </c>
      <c r="BS101" s="547">
        <v>5</v>
      </c>
      <c r="BT101" s="547">
        <v>1</v>
      </c>
      <c r="BU101" s="547" t="s">
        <v>709</v>
      </c>
      <c r="BV101" s="547" t="s">
        <v>709</v>
      </c>
      <c r="BW101" s="547" t="s">
        <v>709</v>
      </c>
      <c r="BX101" s="547">
        <v>1</v>
      </c>
      <c r="BY101" s="547" t="s">
        <v>709</v>
      </c>
      <c r="BZ101" s="547" t="s">
        <v>709</v>
      </c>
      <c r="CA101" s="743"/>
    </row>
    <row r="102" spans="1:79" ht="15" hidden="1" customHeight="1" x14ac:dyDescent="0.25">
      <c r="A102" s="13">
        <v>2023</v>
      </c>
      <c r="B102" s="13" t="s">
        <v>759</v>
      </c>
      <c r="C102" s="13" t="s">
        <v>224</v>
      </c>
      <c r="D102" s="13">
        <v>102083</v>
      </c>
      <c r="E102" s="13" t="s">
        <v>225</v>
      </c>
      <c r="F102" s="452" t="s">
        <v>752</v>
      </c>
      <c r="G102" s="13" t="s">
        <v>34</v>
      </c>
      <c r="H102" s="13" t="s">
        <v>59</v>
      </c>
      <c r="I102" s="642">
        <v>44965</v>
      </c>
      <c r="J102" s="18">
        <v>45142</v>
      </c>
      <c r="K102" s="175">
        <v>45142</v>
      </c>
      <c r="L102" s="649">
        <v>0</v>
      </c>
      <c r="M102"/>
      <c r="N102" s="642" t="s">
        <v>120</v>
      </c>
      <c r="O102" s="1059">
        <v>45170</v>
      </c>
      <c r="P102" s="1152" t="s">
        <v>120</v>
      </c>
      <c r="Q102" s="340">
        <v>150646.77649999998</v>
      </c>
      <c r="R102" s="1039">
        <v>0.11</v>
      </c>
      <c r="S102" s="538"/>
      <c r="T102" s="538"/>
      <c r="U102" s="28"/>
      <c r="V102" s="1190">
        <v>776</v>
      </c>
      <c r="W102" s="442">
        <v>1</v>
      </c>
      <c r="X102" s="552">
        <v>1256808.9099999999</v>
      </c>
      <c r="Y102" s="550"/>
      <c r="Z102" s="552">
        <v>112707.24</v>
      </c>
      <c r="AA102" s="552">
        <v>1369516.15</v>
      </c>
      <c r="AB102" s="476">
        <v>45166</v>
      </c>
      <c r="AC102" s="576" t="s">
        <v>1441</v>
      </c>
      <c r="AD102" s="1158" t="s">
        <v>29</v>
      </c>
      <c r="AE102" s="568" t="s">
        <v>116</v>
      </c>
      <c r="AF102" s="568" t="s">
        <v>756</v>
      </c>
      <c r="AG102" s="568" t="s">
        <v>116</v>
      </c>
      <c r="AH102" s="183" t="s">
        <v>116</v>
      </c>
      <c r="AI102" s="1047"/>
      <c r="AJ102" s="1048"/>
      <c r="AK102" s="1048"/>
      <c r="AL102" s="1049"/>
      <c r="AM102" s="536" t="s">
        <v>116</v>
      </c>
      <c r="AN102" s="680" t="s">
        <v>709</v>
      </c>
      <c r="AO102" s="601">
        <v>11015976</v>
      </c>
      <c r="AP102" s="572"/>
      <c r="AQ102" s="572"/>
      <c r="AR102" s="572"/>
      <c r="AS102" s="538">
        <f>IF(Table15910[[#This Row],[PCTS Approved]]="N",0,Table15910[[#This Row],[Investment Amount (1'#'#'#'#'#)]]+Table15910[[#This Row],[Retirement Amount (3'#'#'#'#'#)]])</f>
        <v>0</v>
      </c>
      <c r="AT102" s="538">
        <f>IF(Table15910[[#This Row],[Approved Construction Cost]]=0,0,Table15910[[#This Row],[Approved Construction Cost]]-Table15910[[#This Row],[Construction Cost to Bill From]])</f>
        <v>0</v>
      </c>
      <c r="AU102" s="538">
        <f>IFERROR(Table15910[[#This Row],[Difference in Construction Cost]]*Table15910[[#This Row],[Rate]],Table15910[[#This Row],[Difference in Construction Cost]]*0.085)</f>
        <v>0</v>
      </c>
      <c r="AV102" s="572"/>
      <c r="AW102" s="639"/>
      <c r="AX102" s="538"/>
      <c r="AY102" s="1035" t="s">
        <v>709</v>
      </c>
      <c r="AZ102" s="443">
        <v>158</v>
      </c>
      <c r="BA102" s="859" t="s">
        <v>1613</v>
      </c>
      <c r="BB102" s="543" t="s">
        <v>1614</v>
      </c>
      <c r="BC102" s="544" t="s">
        <v>116</v>
      </c>
      <c r="BD102" s="544" t="s">
        <v>1066</v>
      </c>
      <c r="BE102" s="544" t="s">
        <v>115</v>
      </c>
      <c r="BF102" s="544" t="s">
        <v>115</v>
      </c>
      <c r="BG102" s="544" t="s">
        <v>115</v>
      </c>
      <c r="BH102" s="741" t="s">
        <v>1273</v>
      </c>
      <c r="BI102" s="547" t="s">
        <v>709</v>
      </c>
      <c r="BJ102" s="547" t="s">
        <v>709</v>
      </c>
      <c r="BK102" s="547" t="s">
        <v>709</v>
      </c>
      <c r="BL102" s="547" t="s">
        <v>116</v>
      </c>
      <c r="BM102" s="547" t="s">
        <v>709</v>
      </c>
      <c r="BN102" s="547" t="s">
        <v>709</v>
      </c>
      <c r="BO102" s="547" t="s">
        <v>709</v>
      </c>
      <c r="BP102" s="547">
        <v>547</v>
      </c>
      <c r="BQ102" s="547">
        <v>41</v>
      </c>
      <c r="BR102" s="547">
        <v>73</v>
      </c>
      <c r="BS102" s="547">
        <v>25</v>
      </c>
      <c r="BT102" s="547">
        <v>1</v>
      </c>
      <c r="BU102" s="547" t="s">
        <v>709</v>
      </c>
      <c r="BV102" s="547" t="s">
        <v>745</v>
      </c>
      <c r="BW102" s="547">
        <v>1</v>
      </c>
      <c r="BX102" s="547" t="s">
        <v>709</v>
      </c>
      <c r="BY102" s="547" t="s">
        <v>745</v>
      </c>
      <c r="BZ102" s="547" t="s">
        <v>709</v>
      </c>
      <c r="CA102" s="483"/>
    </row>
    <row r="103" spans="1:79" ht="15" hidden="1" customHeight="1" x14ac:dyDescent="0.25">
      <c r="A103" s="8" t="s">
        <v>749</v>
      </c>
      <c r="B103" s="8" t="s">
        <v>759</v>
      </c>
      <c r="C103" s="8" t="s">
        <v>445</v>
      </c>
      <c r="D103" s="8" t="s">
        <v>1604</v>
      </c>
      <c r="E103" s="8" t="s">
        <v>1605</v>
      </c>
      <c r="F103" s="8" t="s">
        <v>752</v>
      </c>
      <c r="G103" s="8" t="s">
        <v>34</v>
      </c>
      <c r="H103" s="13" t="s">
        <v>59</v>
      </c>
      <c r="I103" s="642">
        <v>44838</v>
      </c>
      <c r="J103" s="18">
        <v>45138</v>
      </c>
      <c r="K103" s="175">
        <v>45135</v>
      </c>
      <c r="L103" s="16">
        <v>3</v>
      </c>
      <c r="M103" s="642"/>
      <c r="N103" s="642" t="s">
        <v>120</v>
      </c>
      <c r="O103" s="1060">
        <v>45139</v>
      </c>
      <c r="P103" s="1152" t="s">
        <v>120</v>
      </c>
      <c r="Q103" s="340">
        <v>240051.9682</v>
      </c>
      <c r="R103" s="1026">
        <v>0.11</v>
      </c>
      <c r="S103" s="538"/>
      <c r="T103" s="538"/>
      <c r="U103" s="87"/>
      <c r="V103" s="858">
        <v>2503</v>
      </c>
      <c r="W103" s="437">
        <v>2</v>
      </c>
      <c r="X103" s="570">
        <v>1835781.07</v>
      </c>
      <c r="Y103" s="551"/>
      <c r="Z103" s="552">
        <v>346509.55</v>
      </c>
      <c r="AA103" s="552">
        <v>2182290.62</v>
      </c>
      <c r="AB103" s="341">
        <v>45141</v>
      </c>
      <c r="AC103" s="568" t="s">
        <v>1441</v>
      </c>
      <c r="AD103" s="1157" t="s">
        <v>29</v>
      </c>
      <c r="AE103" s="568" t="s">
        <v>116</v>
      </c>
      <c r="AF103" s="568" t="s">
        <v>756</v>
      </c>
      <c r="AG103" s="568" t="s">
        <v>116</v>
      </c>
      <c r="AH103" s="183" t="s">
        <v>116</v>
      </c>
      <c r="AI103" s="1036"/>
      <c r="AJ103" s="1037"/>
      <c r="AK103" s="1037"/>
      <c r="AL103" s="1038"/>
      <c r="AM103" s="536" t="s">
        <v>116</v>
      </c>
      <c r="AN103" s="680" t="s">
        <v>709</v>
      </c>
      <c r="AO103" s="601">
        <v>11058963</v>
      </c>
      <c r="AP103" s="572"/>
      <c r="AQ103" s="572"/>
      <c r="AR103" s="572"/>
      <c r="AS103" s="538">
        <f>IF(Table15910[[#This Row],[PCTS Approved]]="N",0,Table15910[[#This Row],[Investment Amount (1'#'#'#'#'#)]]+Table15910[[#This Row],[Retirement Amount (3'#'#'#'#'#)]])</f>
        <v>0</v>
      </c>
      <c r="AT103" s="538">
        <f>IF(Table15910[[#This Row],[Approved Construction Cost]]=0,0,Table15910[[#This Row],[Approved Construction Cost]]-Table15910[[#This Row],[Construction Cost to Bill From]])</f>
        <v>0</v>
      </c>
      <c r="AU103" s="538">
        <f>IFERROR(Table15910[[#This Row],[Difference in Construction Cost]]*Table15910[[#This Row],[Rate]],Table15910[[#This Row],[Difference in Construction Cost]]*0.085)</f>
        <v>0</v>
      </c>
      <c r="AV103" s="572"/>
      <c r="AW103" s="639"/>
      <c r="AX103" s="538"/>
      <c r="AY103" s="1035" t="s">
        <v>709</v>
      </c>
      <c r="AZ103" s="443">
        <v>157</v>
      </c>
      <c r="BA103" s="1076" t="s">
        <v>1606</v>
      </c>
      <c r="BB103" s="648" t="s">
        <v>1607</v>
      </c>
      <c r="BC103" s="544" t="s">
        <v>116</v>
      </c>
      <c r="BD103" s="544" t="s">
        <v>837</v>
      </c>
      <c r="BE103" s="544" t="s">
        <v>615</v>
      </c>
      <c r="BF103" s="544" t="s">
        <v>115</v>
      </c>
      <c r="BG103" s="544" t="s">
        <v>115</v>
      </c>
      <c r="BH103" s="741"/>
      <c r="BI103" s="549" t="s">
        <v>709</v>
      </c>
      <c r="BJ103" s="549" t="s">
        <v>709</v>
      </c>
      <c r="BK103" s="549" t="s">
        <v>116</v>
      </c>
      <c r="BL103" s="549" t="s">
        <v>116</v>
      </c>
      <c r="BM103" s="549" t="s">
        <v>709</v>
      </c>
      <c r="BN103" s="549">
        <v>583</v>
      </c>
      <c r="BO103" s="549" t="s">
        <v>709</v>
      </c>
      <c r="BP103" s="549">
        <v>451</v>
      </c>
      <c r="BQ103" s="549">
        <v>1148</v>
      </c>
      <c r="BR103" s="549">
        <v>86</v>
      </c>
      <c r="BS103" s="549">
        <v>55</v>
      </c>
      <c r="BT103" s="549">
        <v>2</v>
      </c>
      <c r="BU103" s="549" t="s">
        <v>709</v>
      </c>
      <c r="BV103" s="549" t="s">
        <v>709</v>
      </c>
      <c r="BW103" s="549">
        <v>2</v>
      </c>
      <c r="BX103" s="549">
        <v>2</v>
      </c>
      <c r="BY103" s="549" t="s">
        <v>709</v>
      </c>
      <c r="BZ103" s="547" t="s">
        <v>709</v>
      </c>
      <c r="CA103" s="743"/>
    </row>
    <row r="104" spans="1:79" ht="15" hidden="1" customHeight="1" x14ac:dyDescent="0.25">
      <c r="A104" s="13" t="s">
        <v>749</v>
      </c>
      <c r="B104" s="13" t="s">
        <v>759</v>
      </c>
      <c r="C104" s="13" t="s">
        <v>437</v>
      </c>
      <c r="D104" s="13">
        <v>1011935</v>
      </c>
      <c r="E104" s="13" t="s">
        <v>438</v>
      </c>
      <c r="F104" s="452" t="s">
        <v>752</v>
      </c>
      <c r="G104" s="13" t="s">
        <v>34</v>
      </c>
      <c r="H104" s="13" t="s">
        <v>59</v>
      </c>
      <c r="I104" s="642">
        <v>44838</v>
      </c>
      <c r="J104" s="175">
        <v>45016</v>
      </c>
      <c r="K104" s="642">
        <v>45016</v>
      </c>
      <c r="L104" s="649">
        <v>0</v>
      </c>
      <c r="M104"/>
      <c r="N104" s="642" t="s">
        <v>120</v>
      </c>
      <c r="O104" s="1060">
        <v>45017</v>
      </c>
      <c r="P104" s="21" t="s">
        <v>120</v>
      </c>
      <c r="Q104" s="340">
        <v>102706.21130000001</v>
      </c>
      <c r="R104" s="1039">
        <v>0.11</v>
      </c>
      <c r="S104" s="538"/>
      <c r="T104" s="538"/>
      <c r="U104" s="28"/>
      <c r="V104" s="1190">
        <v>1253</v>
      </c>
      <c r="W104" s="442">
        <v>3</v>
      </c>
      <c r="X104" s="552">
        <v>818002.56</v>
      </c>
      <c r="Y104" s="591"/>
      <c r="Z104" s="552">
        <v>115690.27</v>
      </c>
      <c r="AA104" s="552">
        <v>933692.83000000007</v>
      </c>
      <c r="AB104" s="476">
        <v>45028</v>
      </c>
      <c r="AC104" s="576" t="s">
        <v>1441</v>
      </c>
      <c r="AD104" s="1158" t="s">
        <v>29</v>
      </c>
      <c r="AE104" s="581"/>
      <c r="AF104" s="581"/>
      <c r="AG104" s="581"/>
      <c r="AH104" s="583"/>
      <c r="AI104" s="1047"/>
      <c r="AJ104" s="1048"/>
      <c r="AK104" s="1048"/>
      <c r="AL104" s="1049"/>
      <c r="AM104" s="536" t="s">
        <v>116</v>
      </c>
      <c r="AN104" s="680" t="s">
        <v>709</v>
      </c>
      <c r="AO104" s="604">
        <v>11056663</v>
      </c>
      <c r="AP104" s="572"/>
      <c r="AQ104" s="603"/>
      <c r="AR104" s="572"/>
      <c r="AS104" s="538">
        <f>IF(Table15910[[#This Row],[PCTS Approved]]="N",0,Table15910[[#This Row],[Investment Amount (1'#'#'#'#'#)]]+Table15910[[#This Row],[Retirement Amount (3'#'#'#'#'#)]])</f>
        <v>0</v>
      </c>
      <c r="AT104" s="538">
        <f>IF(Table15910[[#This Row],[Approved Construction Cost]]=0,0,Table15910[[#This Row],[Approved Construction Cost]]-Table15910[[#This Row],[Construction Cost to Bill From]])</f>
        <v>0</v>
      </c>
      <c r="AU104" s="538">
        <f>IFERROR(Table15910[[#This Row],[Difference in Construction Cost]]*Table15910[[#This Row],[Rate]],Table15910[[#This Row],[Difference in Construction Cost]]*0.085)</f>
        <v>0</v>
      </c>
      <c r="AV104" s="572"/>
      <c r="AW104" s="639"/>
      <c r="AX104" s="538"/>
      <c r="AY104" s="1035" t="s">
        <v>709</v>
      </c>
      <c r="AZ104" s="443">
        <v>152</v>
      </c>
      <c r="BA104" s="859" t="s">
        <v>1442</v>
      </c>
      <c r="BB104" s="543" t="s">
        <v>1443</v>
      </c>
      <c r="BC104" s="544" t="s">
        <v>115</v>
      </c>
      <c r="BD104" s="544" t="s">
        <v>115</v>
      </c>
      <c r="BE104" s="544" t="s">
        <v>1444</v>
      </c>
      <c r="BF104" s="544" t="s">
        <v>115</v>
      </c>
      <c r="BG104" s="544" t="s">
        <v>115</v>
      </c>
      <c r="BH104" s="741" t="s">
        <v>1445</v>
      </c>
      <c r="BI104" s="547" t="s">
        <v>709</v>
      </c>
      <c r="BJ104" s="547" t="s">
        <v>709</v>
      </c>
      <c r="BK104" s="547" t="s">
        <v>709</v>
      </c>
      <c r="BL104" s="547" t="s">
        <v>116</v>
      </c>
      <c r="BM104" s="547" t="s">
        <v>709</v>
      </c>
      <c r="BN104" s="547" t="s">
        <v>709</v>
      </c>
      <c r="BO104" s="547" t="s">
        <v>709</v>
      </c>
      <c r="BP104" s="547">
        <v>354</v>
      </c>
      <c r="BQ104" s="547">
        <v>759</v>
      </c>
      <c r="BR104" s="547">
        <v>45</v>
      </c>
      <c r="BS104" s="547">
        <v>5</v>
      </c>
      <c r="BT104" s="547">
        <v>1</v>
      </c>
      <c r="BU104" s="547" t="s">
        <v>709</v>
      </c>
      <c r="BV104" s="547" t="s">
        <v>709</v>
      </c>
      <c r="BW104" s="547">
        <v>1</v>
      </c>
      <c r="BX104" s="547">
        <v>1</v>
      </c>
      <c r="BY104" s="547" t="s">
        <v>709</v>
      </c>
      <c r="BZ104" s="547" t="s">
        <v>709</v>
      </c>
      <c r="CA104" s="743" t="s">
        <v>6478</v>
      </c>
    </row>
    <row r="105" spans="1:79" ht="15" hidden="1" customHeight="1" x14ac:dyDescent="0.25">
      <c r="A105" s="13" t="s">
        <v>749</v>
      </c>
      <c r="B105" s="13" t="s">
        <v>759</v>
      </c>
      <c r="C105" s="13" t="s">
        <v>1412</v>
      </c>
      <c r="D105" s="13">
        <v>1011916</v>
      </c>
      <c r="E105" s="13" t="s">
        <v>361</v>
      </c>
      <c r="F105" s="452" t="s">
        <v>752</v>
      </c>
      <c r="G105" s="13" t="s">
        <v>34</v>
      </c>
      <c r="H105" s="13" t="s">
        <v>59</v>
      </c>
      <c r="I105" s="642">
        <v>44837</v>
      </c>
      <c r="J105" s="18">
        <v>45000</v>
      </c>
      <c r="K105" s="642">
        <v>45000</v>
      </c>
      <c r="L105" s="649">
        <v>0</v>
      </c>
      <c r="M105"/>
      <c r="N105" s="642" t="s">
        <v>120</v>
      </c>
      <c r="O105" s="1060">
        <v>45017</v>
      </c>
      <c r="P105" s="21" t="s">
        <v>120</v>
      </c>
      <c r="Q105" s="340">
        <v>116426.8501</v>
      </c>
      <c r="R105" s="1039">
        <v>0.11</v>
      </c>
      <c r="S105" s="538"/>
      <c r="T105" s="538"/>
      <c r="U105" s="28"/>
      <c r="V105" s="1190">
        <v>1904</v>
      </c>
      <c r="W105" s="442">
        <v>1</v>
      </c>
      <c r="X105" s="552">
        <v>972576.23</v>
      </c>
      <c r="Y105" s="591"/>
      <c r="Z105" s="552">
        <v>85849.68</v>
      </c>
      <c r="AA105" s="552">
        <v>1058425.9099999999</v>
      </c>
      <c r="AB105" s="476">
        <v>45029</v>
      </c>
      <c r="AC105" s="576" t="s">
        <v>1177</v>
      </c>
      <c r="AD105" s="1158" t="s">
        <v>29</v>
      </c>
      <c r="AE105" s="581"/>
      <c r="AF105" s="581"/>
      <c r="AG105" s="581"/>
      <c r="AH105" s="583"/>
      <c r="AI105" s="1047"/>
      <c r="AJ105" s="1048"/>
      <c r="AK105" s="1048"/>
      <c r="AL105" s="1049"/>
      <c r="AM105" s="536" t="s">
        <v>116</v>
      </c>
      <c r="AN105" s="680" t="s">
        <v>709</v>
      </c>
      <c r="AO105" s="603" t="s">
        <v>115</v>
      </c>
      <c r="AP105" s="572"/>
      <c r="AQ105" s="603"/>
      <c r="AR105" s="572"/>
      <c r="AS105" s="538">
        <f>IF(Table15910[[#This Row],[PCTS Approved]]="N",0,Table15910[[#This Row],[Investment Amount (1'#'#'#'#'#)]]+Table15910[[#This Row],[Retirement Amount (3'#'#'#'#'#)]])</f>
        <v>0</v>
      </c>
      <c r="AT105" s="538">
        <f>IF(Table15910[[#This Row],[Approved Construction Cost]]=0,0,Table15910[[#This Row],[Approved Construction Cost]]-Table15910[[#This Row],[Construction Cost to Bill From]])</f>
        <v>0</v>
      </c>
      <c r="AU105" s="538">
        <f>IFERROR(Table15910[[#This Row],[Difference in Construction Cost]]*Table15910[[#This Row],[Rate]],Table15910[[#This Row],[Difference in Construction Cost]]*0.085)</f>
        <v>0</v>
      </c>
      <c r="AV105" s="572"/>
      <c r="AW105" s="639"/>
      <c r="AX105" s="538"/>
      <c r="AY105" s="1035" t="s">
        <v>709</v>
      </c>
      <c r="AZ105" s="443">
        <v>150</v>
      </c>
      <c r="BA105" s="859" t="s">
        <v>1413</v>
      </c>
      <c r="BB105" s="543" t="s">
        <v>1414</v>
      </c>
      <c r="BC105" s="544" t="s">
        <v>116</v>
      </c>
      <c r="BD105" s="544" t="s">
        <v>115</v>
      </c>
      <c r="BE105" s="544" t="s">
        <v>1415</v>
      </c>
      <c r="BF105" s="544" t="s">
        <v>115</v>
      </c>
      <c r="BG105" s="544" t="s">
        <v>115</v>
      </c>
      <c r="BH105" s="741"/>
      <c r="BI105" s="547" t="s">
        <v>709</v>
      </c>
      <c r="BJ105" s="547" t="s">
        <v>709</v>
      </c>
      <c r="BK105" s="547" t="s">
        <v>116</v>
      </c>
      <c r="BL105" s="547" t="s">
        <v>116</v>
      </c>
      <c r="BM105" s="547" t="s">
        <v>709</v>
      </c>
      <c r="BN105" s="547" t="s">
        <v>709</v>
      </c>
      <c r="BO105" s="547" t="s">
        <v>709</v>
      </c>
      <c r="BP105" s="547" t="s">
        <v>709</v>
      </c>
      <c r="BQ105" s="547">
        <v>1631</v>
      </c>
      <c r="BR105" s="547">
        <v>133</v>
      </c>
      <c r="BS105" s="547">
        <v>50</v>
      </c>
      <c r="BT105" s="547">
        <v>1</v>
      </c>
      <c r="BU105" s="547" t="s">
        <v>709</v>
      </c>
      <c r="BV105" s="547" t="s">
        <v>745</v>
      </c>
      <c r="BW105" s="547">
        <v>1</v>
      </c>
      <c r="BX105" s="547" t="s">
        <v>709</v>
      </c>
      <c r="BY105" s="547" t="s">
        <v>745</v>
      </c>
      <c r="BZ105" s="547" t="s">
        <v>709</v>
      </c>
      <c r="CA105" s="743"/>
    </row>
    <row r="106" spans="1:79" ht="15" hidden="1" customHeight="1" x14ac:dyDescent="0.25">
      <c r="A106" s="8" t="s">
        <v>781</v>
      </c>
      <c r="B106" s="8" t="s">
        <v>759</v>
      </c>
      <c r="C106" s="8" t="s">
        <v>1323</v>
      </c>
      <c r="D106" s="8" t="s">
        <v>1324</v>
      </c>
      <c r="E106" s="8" t="s">
        <v>1325</v>
      </c>
      <c r="F106" s="8" t="s">
        <v>752</v>
      </c>
      <c r="G106" s="8" t="s">
        <v>34</v>
      </c>
      <c r="H106" s="8" t="s">
        <v>59</v>
      </c>
      <c r="I106" s="642">
        <v>44603</v>
      </c>
      <c r="J106" s="18">
        <v>44771</v>
      </c>
      <c r="K106" s="97">
        <v>44771</v>
      </c>
      <c r="L106" s="16">
        <v>0</v>
      </c>
      <c r="M106" s="642"/>
      <c r="N106" s="642" t="s">
        <v>120</v>
      </c>
      <c r="O106" s="1025">
        <v>44774</v>
      </c>
      <c r="P106" s="21" t="s">
        <v>739</v>
      </c>
      <c r="Q106" s="1151">
        <v>34223.024750000004</v>
      </c>
      <c r="R106" s="1026" t="s">
        <v>1055</v>
      </c>
      <c r="S106" s="538" t="s">
        <v>709</v>
      </c>
      <c r="T106" s="538" t="s">
        <v>709</v>
      </c>
      <c r="U106" s="87" t="s">
        <v>709</v>
      </c>
      <c r="V106" s="858">
        <v>208</v>
      </c>
      <c r="W106" s="437"/>
      <c r="X106" s="552">
        <v>256912.92</v>
      </c>
      <c r="Y106" s="592"/>
      <c r="Z106" s="552">
        <v>54534.43</v>
      </c>
      <c r="AA106" s="551">
        <v>311447.35000000003</v>
      </c>
      <c r="AB106" s="341">
        <v>44789</v>
      </c>
      <c r="AC106" s="568" t="s">
        <v>1177</v>
      </c>
      <c r="AD106" s="1157" t="s">
        <v>29</v>
      </c>
      <c r="AE106" s="579"/>
      <c r="AF106" s="579"/>
      <c r="AG106" s="579"/>
      <c r="AH106" s="553"/>
      <c r="AI106" s="1036"/>
      <c r="AJ106" s="1037"/>
      <c r="AK106" s="1037"/>
      <c r="AL106" s="1038"/>
      <c r="AM106" s="536" t="s">
        <v>116</v>
      </c>
      <c r="AN106" s="680" t="s">
        <v>709</v>
      </c>
      <c r="AO106" s="601">
        <v>11041770</v>
      </c>
      <c r="AP106" s="572"/>
      <c r="AQ106" s="572"/>
      <c r="AR106" s="572"/>
      <c r="AS106" s="538">
        <f>IF(Table15910[[#This Row],[PCTS Approved]]="N",0,Table15910[[#This Row],[Investment Amount (1'#'#'#'#'#)]]+Table15910[[#This Row],[Retirement Amount (3'#'#'#'#'#)]])</f>
        <v>0</v>
      </c>
      <c r="AT106" s="538">
        <f>IF(Table15910[[#This Row],[Approved Construction Cost]]=0,0,Table15910[[#This Row],[Approved Construction Cost]]-Table15910[[#This Row],[Construction Cost to Bill From]])</f>
        <v>0</v>
      </c>
      <c r="AU106" s="538">
        <f>IFERROR(Table15910[[#This Row],[Difference in Construction Cost]]*Table15910[[#This Row],[Rate]],Table15910[[#This Row],[Difference in Construction Cost]]*0.085)</f>
        <v>0</v>
      </c>
      <c r="AV106" s="572"/>
      <c r="AW106" s="639"/>
      <c r="AX106" s="538"/>
      <c r="AY106" s="1035" t="s">
        <v>709</v>
      </c>
      <c r="AZ106" s="443">
        <v>187</v>
      </c>
      <c r="BA106" s="859" t="s">
        <v>1326</v>
      </c>
      <c r="BB106" s="644" t="s">
        <v>1327</v>
      </c>
      <c r="BC106" s="544" t="s">
        <v>709</v>
      </c>
      <c r="BD106" s="544" t="s">
        <v>1328</v>
      </c>
      <c r="BE106" s="544" t="s">
        <v>1328</v>
      </c>
      <c r="BF106" s="544" t="s">
        <v>1329</v>
      </c>
      <c r="BG106" s="544" t="s">
        <v>709</v>
      </c>
      <c r="BH106" s="741"/>
      <c r="BI106" s="547" t="s">
        <v>709</v>
      </c>
      <c r="BJ106" s="547" t="s">
        <v>116</v>
      </c>
      <c r="BK106" s="547" t="s">
        <v>709</v>
      </c>
      <c r="BL106" s="547" t="s">
        <v>116</v>
      </c>
      <c r="BM106" s="547" t="s">
        <v>709</v>
      </c>
      <c r="BN106" s="547" t="s">
        <v>709</v>
      </c>
      <c r="BO106" s="547" t="s">
        <v>709</v>
      </c>
      <c r="BP106" s="547" t="s">
        <v>709</v>
      </c>
      <c r="BQ106" s="547" t="s">
        <v>709</v>
      </c>
      <c r="BR106" s="547">
        <v>125</v>
      </c>
      <c r="BS106" s="547">
        <v>60</v>
      </c>
      <c r="BT106" s="547">
        <v>1</v>
      </c>
      <c r="BU106" s="547" t="s">
        <v>709</v>
      </c>
      <c r="BV106" s="547" t="s">
        <v>745</v>
      </c>
      <c r="BW106" s="547" t="s">
        <v>709</v>
      </c>
      <c r="BX106" s="547">
        <v>1</v>
      </c>
      <c r="BY106" s="547" t="s">
        <v>745</v>
      </c>
      <c r="BZ106" s="547" t="s">
        <v>709</v>
      </c>
      <c r="CA106" s="743"/>
    </row>
    <row r="107" spans="1:79" ht="15" hidden="1" customHeight="1" x14ac:dyDescent="0.25">
      <c r="A107" s="8" t="s">
        <v>781</v>
      </c>
      <c r="B107" s="8" t="s">
        <v>759</v>
      </c>
      <c r="C107" s="8" t="s">
        <v>1319</v>
      </c>
      <c r="D107" s="8" t="s">
        <v>1320</v>
      </c>
      <c r="E107" s="8" t="s">
        <v>245</v>
      </c>
      <c r="F107" s="8" t="s">
        <v>752</v>
      </c>
      <c r="G107" s="8" t="s">
        <v>34</v>
      </c>
      <c r="H107" s="8" t="s">
        <v>59</v>
      </c>
      <c r="I107" s="642">
        <v>44580</v>
      </c>
      <c r="J107" s="18">
        <v>44764</v>
      </c>
      <c r="K107" s="97">
        <v>44764</v>
      </c>
      <c r="L107" s="16">
        <v>0</v>
      </c>
      <c r="M107" s="642"/>
      <c r="N107" s="642" t="s">
        <v>120</v>
      </c>
      <c r="O107" s="1025">
        <v>44774</v>
      </c>
      <c r="P107" s="21" t="s">
        <v>120</v>
      </c>
      <c r="Q107" s="1151">
        <v>103950.74665</v>
      </c>
      <c r="R107" s="1026" t="s">
        <v>1055</v>
      </c>
      <c r="S107" s="538" t="s">
        <v>709</v>
      </c>
      <c r="T107" s="538" t="s">
        <v>709</v>
      </c>
      <c r="U107" s="87" t="s">
        <v>709</v>
      </c>
      <c r="V107" s="858">
        <v>1358</v>
      </c>
      <c r="W107" s="437"/>
      <c r="X107" s="552">
        <v>980455.18</v>
      </c>
      <c r="Y107" s="592"/>
      <c r="Z107" s="552">
        <v>151318.31</v>
      </c>
      <c r="AA107" s="551">
        <v>1131773.49</v>
      </c>
      <c r="AB107" s="341">
        <v>44768</v>
      </c>
      <c r="AC107" s="568" t="s">
        <v>1056</v>
      </c>
      <c r="AD107" s="1157" t="s">
        <v>29</v>
      </c>
      <c r="AE107" s="579"/>
      <c r="AF107" s="579"/>
      <c r="AG107" s="579"/>
      <c r="AH107" s="553"/>
      <c r="AI107" s="1036"/>
      <c r="AJ107" s="1037"/>
      <c r="AK107" s="1037"/>
      <c r="AL107" s="1038"/>
      <c r="AM107" s="536" t="s">
        <v>116</v>
      </c>
      <c r="AN107" s="680" t="s">
        <v>709</v>
      </c>
      <c r="AO107" s="601">
        <v>11039840</v>
      </c>
      <c r="AP107" s="572"/>
      <c r="AQ107" s="572"/>
      <c r="AR107" s="572"/>
      <c r="AS107" s="538">
        <f>IF(Table15910[[#This Row],[PCTS Approved]]="N",0,Table15910[[#This Row],[Investment Amount (1'#'#'#'#'#)]]+Table15910[[#This Row],[Retirement Amount (3'#'#'#'#'#)]])</f>
        <v>0</v>
      </c>
      <c r="AT107" s="538">
        <f>IF(Table15910[[#This Row],[Approved Construction Cost]]=0,0,Table15910[[#This Row],[Approved Construction Cost]]-Table15910[[#This Row],[Construction Cost to Bill From]])</f>
        <v>0</v>
      </c>
      <c r="AU107" s="538">
        <f>IFERROR(Table15910[[#This Row],[Difference in Construction Cost]]*Table15910[[#This Row],[Rate]],Table15910[[#This Row],[Difference in Construction Cost]]*0.085)</f>
        <v>0</v>
      </c>
      <c r="AV107" s="572"/>
      <c r="AW107" s="639"/>
      <c r="AX107" s="538"/>
      <c r="AY107" s="1035" t="s">
        <v>709</v>
      </c>
      <c r="AZ107" s="443">
        <v>186</v>
      </c>
      <c r="BA107" s="859" t="s">
        <v>1321</v>
      </c>
      <c r="BB107" s="644" t="s">
        <v>1322</v>
      </c>
      <c r="BC107" s="544" t="s">
        <v>116</v>
      </c>
      <c r="BD107" s="544" t="s">
        <v>1140</v>
      </c>
      <c r="BE107" s="544" t="s">
        <v>709</v>
      </c>
      <c r="BF107" s="544" t="s">
        <v>1028</v>
      </c>
      <c r="BG107" s="544" t="s">
        <v>709</v>
      </c>
      <c r="BH107" s="741"/>
      <c r="BI107" s="547" t="s">
        <v>709</v>
      </c>
      <c r="BJ107" s="547" t="s">
        <v>709</v>
      </c>
      <c r="BK107" s="547" t="s">
        <v>116</v>
      </c>
      <c r="BL107" s="547" t="s">
        <v>709</v>
      </c>
      <c r="BM107" s="547" t="s">
        <v>709</v>
      </c>
      <c r="BN107" s="547" t="s">
        <v>709</v>
      </c>
      <c r="BO107" s="547" t="s">
        <v>709</v>
      </c>
      <c r="BP107" s="547">
        <v>604</v>
      </c>
      <c r="BQ107" s="547">
        <v>395</v>
      </c>
      <c r="BR107" s="547">
        <v>74</v>
      </c>
      <c r="BS107" s="547" t="s">
        <v>709</v>
      </c>
      <c r="BT107" s="547" t="s">
        <v>709</v>
      </c>
      <c r="BU107" s="547" t="s">
        <v>709</v>
      </c>
      <c r="BV107" s="547" t="s">
        <v>745</v>
      </c>
      <c r="BW107" s="547">
        <v>2</v>
      </c>
      <c r="BX107" s="547" t="s">
        <v>745</v>
      </c>
      <c r="BY107" s="547" t="s">
        <v>745</v>
      </c>
      <c r="BZ107" s="547" t="s">
        <v>709</v>
      </c>
      <c r="CA107" s="744"/>
    </row>
    <row r="108" spans="1:79" ht="15" hidden="1" customHeight="1" x14ac:dyDescent="0.25">
      <c r="A108" s="8" t="s">
        <v>800</v>
      </c>
      <c r="B108" s="8" t="s">
        <v>771</v>
      </c>
      <c r="C108" s="8" t="s">
        <v>1642</v>
      </c>
      <c r="D108" s="8" t="s">
        <v>1643</v>
      </c>
      <c r="E108" s="8" t="s">
        <v>1644</v>
      </c>
      <c r="F108" s="8" t="s">
        <v>747</v>
      </c>
      <c r="G108" s="8" t="s">
        <v>32</v>
      </c>
      <c r="H108" s="8" t="s">
        <v>59</v>
      </c>
      <c r="I108" s="642">
        <v>44977</v>
      </c>
      <c r="J108" s="175">
        <v>45233</v>
      </c>
      <c r="K108" s="97">
        <v>45232</v>
      </c>
      <c r="L108" s="649">
        <v>1</v>
      </c>
      <c r="M108" s="16"/>
      <c r="N108" s="642" t="s">
        <v>120</v>
      </c>
      <c r="O108" s="1060">
        <v>45292</v>
      </c>
      <c r="P108" s="21" t="s">
        <v>120</v>
      </c>
      <c r="Q108" s="340">
        <v>488768.6764</v>
      </c>
      <c r="R108" s="1039">
        <v>0.04</v>
      </c>
      <c r="S108" s="538"/>
      <c r="T108" s="538"/>
      <c r="U108" s="1276"/>
      <c r="V108" s="858">
        <v>13516</v>
      </c>
      <c r="W108" s="437">
        <v>0</v>
      </c>
      <c r="X108" s="538">
        <v>11635927.51</v>
      </c>
      <c r="Y108" s="551"/>
      <c r="Z108" s="556">
        <v>583289.4</v>
      </c>
      <c r="AA108" s="552">
        <v>12219216.91</v>
      </c>
      <c r="AB108" s="341" t="s">
        <v>709</v>
      </c>
      <c r="AC108" s="568" t="s">
        <v>116</v>
      </c>
      <c r="AD108" s="1149" t="s">
        <v>116</v>
      </c>
      <c r="AE108" s="569" t="s">
        <v>709</v>
      </c>
      <c r="AF108" s="569" t="s">
        <v>116</v>
      </c>
      <c r="AG108" s="569" t="s">
        <v>709</v>
      </c>
      <c r="AH108" s="536" t="s">
        <v>709</v>
      </c>
      <c r="AI108" s="1102"/>
      <c r="AJ108" s="1103"/>
      <c r="AK108" s="1103"/>
      <c r="AL108" s="1104">
        <v>0</v>
      </c>
      <c r="AM108" s="536" t="s">
        <v>116</v>
      </c>
      <c r="AN108" s="680" t="s">
        <v>709</v>
      </c>
      <c r="AO108" s="681">
        <v>11065457</v>
      </c>
      <c r="AP108" s="572"/>
      <c r="AQ108" s="572"/>
      <c r="AR108" s="572"/>
      <c r="AS108" s="538">
        <f>IF(Table15910[[#This Row],[PCTS Approved]]="N",0,Table15910[[#This Row],[Investment Amount (1'#'#'#'#'#)]]+Table15910[[#This Row],[Retirement Amount (3'#'#'#'#'#)]])</f>
        <v>0</v>
      </c>
      <c r="AT108" s="538">
        <f>IF(Table15910[[#This Row],[Approved Construction Cost]]=0,0,Table15910[[#This Row],[Approved Construction Cost]]-Table15910[[#This Row],[Construction Cost to Bill From]])</f>
        <v>0</v>
      </c>
      <c r="AU108" s="538">
        <f>IFERROR(Table15910[[#This Row],[Difference in Construction Cost]]*Table15910[[#This Row],[Rate]],Table15910[[#This Row],[Difference in Construction Cost]]*0.085)</f>
        <v>0</v>
      </c>
      <c r="AV108" s="572"/>
      <c r="AW108" s="639"/>
      <c r="AX108" s="538"/>
      <c r="AY108" s="1035" t="s">
        <v>709</v>
      </c>
      <c r="AZ108" s="443">
        <v>3</v>
      </c>
      <c r="BA108" s="1031" t="s">
        <v>1645</v>
      </c>
      <c r="BB108" s="653" t="s">
        <v>1646</v>
      </c>
      <c r="BC108" s="1067"/>
      <c r="BD108" s="1067"/>
      <c r="BE108" s="1067"/>
      <c r="BF108" s="1067"/>
      <c r="BG108" s="1067"/>
      <c r="BH108" s="741" t="s">
        <v>1647</v>
      </c>
      <c r="BI108" s="547" t="s">
        <v>709</v>
      </c>
      <c r="BJ108" s="547" t="s">
        <v>709</v>
      </c>
      <c r="BK108" s="547" t="s">
        <v>709</v>
      </c>
      <c r="BL108" s="547" t="s">
        <v>116</v>
      </c>
      <c r="BM108" s="547">
        <v>0</v>
      </c>
      <c r="BN108" s="547">
        <v>9540</v>
      </c>
      <c r="BO108" s="547">
        <v>0</v>
      </c>
      <c r="BP108" s="547">
        <v>10</v>
      </c>
      <c r="BQ108" s="547">
        <v>388</v>
      </c>
      <c r="BR108" s="547">
        <v>2788</v>
      </c>
      <c r="BS108" s="547">
        <v>790</v>
      </c>
      <c r="BT108" s="547">
        <v>0</v>
      </c>
      <c r="BU108" s="549">
        <v>0</v>
      </c>
      <c r="BV108" s="547">
        <v>0</v>
      </c>
      <c r="BW108" s="547">
        <v>0</v>
      </c>
      <c r="BX108" s="547">
        <v>0</v>
      </c>
      <c r="BY108" s="547">
        <v>0</v>
      </c>
      <c r="BZ108" s="547" t="s">
        <v>709</v>
      </c>
      <c r="CA108" s="743"/>
    </row>
    <row r="109" spans="1:79" ht="15" hidden="1" customHeight="1" x14ac:dyDescent="0.25">
      <c r="A109" s="8">
        <v>2023</v>
      </c>
      <c r="B109" s="8" t="s">
        <v>771</v>
      </c>
      <c r="C109" s="8" t="s">
        <v>580</v>
      </c>
      <c r="D109" s="8" t="s">
        <v>1584</v>
      </c>
      <c r="E109" s="8" t="s">
        <v>1529</v>
      </c>
      <c r="F109" s="8" t="s">
        <v>784</v>
      </c>
      <c r="G109" s="8" t="s">
        <v>32</v>
      </c>
      <c r="H109" s="13" t="s">
        <v>59</v>
      </c>
      <c r="I109" s="642">
        <v>45006</v>
      </c>
      <c r="J109" s="18">
        <v>45128</v>
      </c>
      <c r="K109" s="175">
        <v>45128</v>
      </c>
      <c r="L109" s="16">
        <v>0</v>
      </c>
      <c r="M109" s="642"/>
      <c r="N109" s="642" t="s">
        <v>120</v>
      </c>
      <c r="O109" s="1060">
        <v>45139</v>
      </c>
      <c r="P109" s="1152" t="s">
        <v>120</v>
      </c>
      <c r="Q109" s="340">
        <v>172700.64400000003</v>
      </c>
      <c r="R109" s="1026">
        <v>0.04</v>
      </c>
      <c r="S109" s="538"/>
      <c r="T109" s="538"/>
      <c r="U109" s="87"/>
      <c r="V109" s="858">
        <v>16406</v>
      </c>
      <c r="W109" s="437">
        <v>0</v>
      </c>
      <c r="X109" s="570">
        <v>4176248.62</v>
      </c>
      <c r="Y109" s="551"/>
      <c r="Z109" s="552">
        <v>141267.48000000001</v>
      </c>
      <c r="AA109" s="552">
        <v>4317516.1000000006</v>
      </c>
      <c r="AB109" s="341">
        <v>45133</v>
      </c>
      <c r="AC109" s="568" t="s">
        <v>1441</v>
      </c>
      <c r="AD109" s="1157" t="s">
        <v>116</v>
      </c>
      <c r="AE109" s="568" t="s">
        <v>756</v>
      </c>
      <c r="AF109" s="568" t="s">
        <v>116</v>
      </c>
      <c r="AG109" s="568" t="s">
        <v>709</v>
      </c>
      <c r="AH109" s="183" t="s">
        <v>709</v>
      </c>
      <c r="AI109" s="1036"/>
      <c r="AJ109" s="1037"/>
      <c r="AK109" s="1037"/>
      <c r="AL109" s="1038"/>
      <c r="AM109" s="536" t="s">
        <v>116</v>
      </c>
      <c r="AN109" s="680" t="s">
        <v>709</v>
      </c>
      <c r="AO109" s="681">
        <v>11068638</v>
      </c>
      <c r="AP109" s="572"/>
      <c r="AQ109" s="572"/>
      <c r="AR109" s="572"/>
      <c r="AS109" s="538">
        <f>IF(Table15910[[#This Row],[PCTS Approved]]="N",0,Table15910[[#This Row],[Investment Amount (1'#'#'#'#'#)]]+Table15910[[#This Row],[Retirement Amount (3'#'#'#'#'#)]])</f>
        <v>0</v>
      </c>
      <c r="AT109" s="538">
        <f>IF(Table15910[[#This Row],[Approved Construction Cost]]=0,0,Table15910[[#This Row],[Approved Construction Cost]]-Table15910[[#This Row],[Construction Cost to Bill From]])</f>
        <v>0</v>
      </c>
      <c r="AU109" s="538">
        <f>IFERROR(Table15910[[#This Row],[Difference in Construction Cost]]*Table15910[[#This Row],[Rate]],Table15910[[#This Row],[Difference in Construction Cost]]*0.085)</f>
        <v>0</v>
      </c>
      <c r="AV109" s="572"/>
      <c r="AW109" s="639"/>
      <c r="AX109" s="538"/>
      <c r="AY109" s="1035" t="s">
        <v>709</v>
      </c>
      <c r="AZ109" s="443">
        <v>2</v>
      </c>
      <c r="BA109" s="859" t="s">
        <v>1585</v>
      </c>
      <c r="BB109" s="644" t="s">
        <v>1586</v>
      </c>
      <c r="BC109" s="544" t="s">
        <v>116</v>
      </c>
      <c r="BD109" s="544" t="s">
        <v>882</v>
      </c>
      <c r="BE109" s="544" t="s">
        <v>581</v>
      </c>
      <c r="BF109" s="544" t="s">
        <v>115</v>
      </c>
      <c r="BG109" s="544" t="s">
        <v>1496</v>
      </c>
      <c r="BH109" s="741" t="s">
        <v>1587</v>
      </c>
      <c r="BI109" s="549" t="s">
        <v>709</v>
      </c>
      <c r="BJ109" s="549" t="s">
        <v>709</v>
      </c>
      <c r="BK109" s="549" t="s">
        <v>709</v>
      </c>
      <c r="BL109" s="549" t="s">
        <v>116</v>
      </c>
      <c r="BM109" s="549">
        <v>0</v>
      </c>
      <c r="BN109" s="549">
        <v>0</v>
      </c>
      <c r="BO109" s="547">
        <v>0</v>
      </c>
      <c r="BP109" s="549">
        <v>3073</v>
      </c>
      <c r="BQ109" s="549">
        <v>1001</v>
      </c>
      <c r="BR109" s="549">
        <v>1733</v>
      </c>
      <c r="BS109" s="549">
        <v>10602</v>
      </c>
      <c r="BT109" s="549">
        <v>0</v>
      </c>
      <c r="BU109" s="549">
        <v>0</v>
      </c>
      <c r="BV109" s="547">
        <v>0</v>
      </c>
      <c r="BW109" s="547">
        <v>0</v>
      </c>
      <c r="BX109" s="547">
        <v>0</v>
      </c>
      <c r="BY109" s="549">
        <v>0</v>
      </c>
      <c r="BZ109" s="547" t="s">
        <v>709</v>
      </c>
      <c r="CA109" s="483"/>
    </row>
    <row r="110" spans="1:79" ht="15" hidden="1" customHeight="1" x14ac:dyDescent="0.25">
      <c r="A110" s="8">
        <v>2023</v>
      </c>
      <c r="B110" s="8" t="s">
        <v>771</v>
      </c>
      <c r="C110" s="8" t="s">
        <v>1527</v>
      </c>
      <c r="D110" s="8" t="s">
        <v>1528</v>
      </c>
      <c r="E110" s="8" t="s">
        <v>1529</v>
      </c>
      <c r="F110" s="8" t="s">
        <v>784</v>
      </c>
      <c r="G110" s="8" t="s">
        <v>32</v>
      </c>
      <c r="H110" s="8" t="s">
        <v>59</v>
      </c>
      <c r="I110" s="642">
        <v>45006</v>
      </c>
      <c r="J110" s="18">
        <v>45098</v>
      </c>
      <c r="K110" s="97">
        <v>45085</v>
      </c>
      <c r="L110" s="16">
        <v>13</v>
      </c>
      <c r="M110" s="642"/>
      <c r="N110" s="642" t="s">
        <v>120</v>
      </c>
      <c r="O110" s="1060">
        <v>45085</v>
      </c>
      <c r="P110" s="1152" t="s">
        <v>120</v>
      </c>
      <c r="Q110" s="340">
        <v>44915.480100000001</v>
      </c>
      <c r="R110" s="1026">
        <v>0.09</v>
      </c>
      <c r="S110" s="538"/>
      <c r="T110" s="538"/>
      <c r="U110" s="87"/>
      <c r="V110" s="858">
        <v>1694</v>
      </c>
      <c r="W110" s="437">
        <v>0</v>
      </c>
      <c r="X110" s="538">
        <v>456922.55</v>
      </c>
      <c r="Y110" s="592"/>
      <c r="Z110" s="552">
        <v>42138.34</v>
      </c>
      <c r="AA110" s="552">
        <v>499060.89</v>
      </c>
      <c r="AB110" s="341">
        <v>45086</v>
      </c>
      <c r="AC110" s="568" t="s">
        <v>29</v>
      </c>
      <c r="AD110" s="1157" t="s">
        <v>116</v>
      </c>
      <c r="AE110" s="579"/>
      <c r="AF110" s="568" t="s">
        <v>116</v>
      </c>
      <c r="AG110" s="568" t="s">
        <v>116</v>
      </c>
      <c r="AH110" s="553"/>
      <c r="AI110" s="1036"/>
      <c r="AJ110" s="1037"/>
      <c r="AK110" s="1037"/>
      <c r="AL110" s="1038"/>
      <c r="AM110" s="536" t="s">
        <v>116</v>
      </c>
      <c r="AN110" s="680" t="s">
        <v>709</v>
      </c>
      <c r="AO110" s="601" t="s">
        <v>115</v>
      </c>
      <c r="AP110" s="572"/>
      <c r="AQ110" s="572"/>
      <c r="AR110" s="572"/>
      <c r="AS110" s="538">
        <f>IF(Table15910[[#This Row],[PCTS Approved]]="N",0,Table15910[[#This Row],[Investment Amount (1'#'#'#'#'#)]]+Table15910[[#This Row],[Retirement Amount (3'#'#'#'#'#)]])</f>
        <v>0</v>
      </c>
      <c r="AT110" s="538">
        <f>IF(Table15910[[#This Row],[Approved Construction Cost]]=0,0,Table15910[[#This Row],[Approved Construction Cost]]-Table15910[[#This Row],[Construction Cost to Bill From]])</f>
        <v>0</v>
      </c>
      <c r="AU110" s="538">
        <f>IFERROR(Table15910[[#This Row],[Difference in Construction Cost]]*Table15910[[#This Row],[Rate]],Table15910[[#This Row],[Difference in Construction Cost]]*0.085)</f>
        <v>0</v>
      </c>
      <c r="AV110" s="572"/>
      <c r="AW110" s="639"/>
      <c r="AX110" s="538"/>
      <c r="AY110" s="1035" t="s">
        <v>709</v>
      </c>
      <c r="AZ110" s="443">
        <v>46</v>
      </c>
      <c r="BA110" s="859" t="s">
        <v>1530</v>
      </c>
      <c r="BB110" s="644" t="s">
        <v>1531</v>
      </c>
      <c r="BC110" s="544" t="s">
        <v>709</v>
      </c>
      <c r="BD110" s="544" t="s">
        <v>882</v>
      </c>
      <c r="BE110" s="544" t="s">
        <v>581</v>
      </c>
      <c r="BF110" s="544" t="s">
        <v>115</v>
      </c>
      <c r="BG110" s="544" t="s">
        <v>115</v>
      </c>
      <c r="BH110" s="741" t="s">
        <v>1532</v>
      </c>
      <c r="BI110" s="547" t="s">
        <v>709</v>
      </c>
      <c r="BJ110" s="547" t="s">
        <v>709</v>
      </c>
      <c r="BK110" s="547" t="s">
        <v>709</v>
      </c>
      <c r="BL110" s="547" t="s">
        <v>116</v>
      </c>
      <c r="BM110" s="547">
        <v>0</v>
      </c>
      <c r="BN110" s="549">
        <v>0</v>
      </c>
      <c r="BO110" s="547">
        <v>0</v>
      </c>
      <c r="BP110" s="547">
        <v>0</v>
      </c>
      <c r="BQ110" s="547">
        <v>0</v>
      </c>
      <c r="BR110" s="547">
        <v>0</v>
      </c>
      <c r="BS110" s="547">
        <v>1694</v>
      </c>
      <c r="BT110" s="547">
        <v>0</v>
      </c>
      <c r="BU110" s="549">
        <v>0</v>
      </c>
      <c r="BV110" s="547">
        <v>0</v>
      </c>
      <c r="BW110" s="547">
        <v>0</v>
      </c>
      <c r="BX110" s="547">
        <v>0</v>
      </c>
      <c r="BY110" s="547">
        <v>0</v>
      </c>
      <c r="BZ110" s="547" t="s">
        <v>709</v>
      </c>
      <c r="CA110" s="743"/>
    </row>
    <row r="111" spans="1:79" s="447" customFormat="1" ht="15" hidden="1" customHeight="1" x14ac:dyDescent="0.25">
      <c r="A111" s="8" t="s">
        <v>749</v>
      </c>
      <c r="B111" s="8" t="s">
        <v>4</v>
      </c>
      <c r="C111" s="656" t="s">
        <v>1482</v>
      </c>
      <c r="D111" s="8" t="s">
        <v>1483</v>
      </c>
      <c r="E111" s="8" t="s">
        <v>354</v>
      </c>
      <c r="F111" s="8" t="s">
        <v>784</v>
      </c>
      <c r="G111" s="8" t="s">
        <v>27</v>
      </c>
      <c r="H111" s="8" t="s">
        <v>59</v>
      </c>
      <c r="I111" s="642">
        <v>44974</v>
      </c>
      <c r="J111" s="18">
        <v>45058</v>
      </c>
      <c r="K111" s="97">
        <v>45057</v>
      </c>
      <c r="L111" s="16">
        <v>1</v>
      </c>
      <c r="M111" s="642"/>
      <c r="N111" s="642" t="s">
        <v>120</v>
      </c>
      <c r="O111" s="1060">
        <v>45061</v>
      </c>
      <c r="P111" s="1152" t="s">
        <v>739</v>
      </c>
      <c r="Q111" s="340">
        <v>5264.8130000000001</v>
      </c>
      <c r="R111" s="1026">
        <v>0.1</v>
      </c>
      <c r="S111" s="538"/>
      <c r="T111" s="538"/>
      <c r="U111" s="87"/>
      <c r="V111" s="858">
        <v>0</v>
      </c>
      <c r="W111" s="437">
        <v>0</v>
      </c>
      <c r="X111" s="538">
        <v>0</v>
      </c>
      <c r="Y111" s="592"/>
      <c r="Z111" s="552">
        <v>52648.13</v>
      </c>
      <c r="AA111" s="552">
        <v>52648.13</v>
      </c>
      <c r="AB111" s="341" t="s">
        <v>29</v>
      </c>
      <c r="AC111" s="568" t="s">
        <v>709</v>
      </c>
      <c r="AD111" s="1157" t="s">
        <v>29</v>
      </c>
      <c r="AE111" s="568" t="s">
        <v>116</v>
      </c>
      <c r="AF111" s="568" t="s">
        <v>29</v>
      </c>
      <c r="AG111" s="569" t="s">
        <v>29</v>
      </c>
      <c r="AH111" s="183">
        <v>45160</v>
      </c>
      <c r="AI111" s="1036"/>
      <c r="AJ111" s="1037"/>
      <c r="AK111" s="1037"/>
      <c r="AL111" s="1038"/>
      <c r="AM111" s="536" t="s">
        <v>116</v>
      </c>
      <c r="AN111" s="801">
        <v>45784</v>
      </c>
      <c r="AO111" s="806">
        <v>11058546</v>
      </c>
      <c r="AP111" s="718">
        <v>0</v>
      </c>
      <c r="AQ111" s="718"/>
      <c r="AR111" s="718">
        <v>83623.070000000007</v>
      </c>
      <c r="AS111" s="538">
        <f>IF(Table15910[[#This Row],[PCTS Approved]]="N",0,Table15910[[#This Row],[Investment Amount (1'#'#'#'#'#)]]+Table15910[[#This Row],[Retirement Amount (3'#'#'#'#'#)]])</f>
        <v>83623.070000000007</v>
      </c>
      <c r="AT111" s="538">
        <f>IF(Table15910[[#This Row],[Approved Construction Cost]]=0,0,Table15910[[#This Row],[Approved Construction Cost]]-Table15910[[#This Row],[Construction Cost to Bill From]])</f>
        <v>30974.94000000001</v>
      </c>
      <c r="AU111" s="538">
        <f>IFERROR(Table15910[[#This Row],[Difference in Construction Cost]]*Table15910[[#This Row],[Rate]],Table15910[[#This Row],[Difference in Construction Cost]]*0.085)</f>
        <v>3097.4940000000011</v>
      </c>
      <c r="AV111" s="803" t="s">
        <v>29</v>
      </c>
      <c r="AW111" s="1454" t="s">
        <v>9177</v>
      </c>
      <c r="AX111" s="538"/>
      <c r="AY111" s="1035" t="s">
        <v>709</v>
      </c>
      <c r="AZ111" s="443">
        <v>85</v>
      </c>
      <c r="BA111" s="859" t="s">
        <v>1484</v>
      </c>
      <c r="BB111" s="644" t="s">
        <v>1485</v>
      </c>
      <c r="BC111" s="544" t="s">
        <v>709</v>
      </c>
      <c r="BD111" s="544" t="s">
        <v>709</v>
      </c>
      <c r="BE111" s="544" t="s">
        <v>588</v>
      </c>
      <c r="BF111" s="544" t="s">
        <v>709</v>
      </c>
      <c r="BG111" s="544" t="s">
        <v>709</v>
      </c>
      <c r="BH111" s="741" t="s">
        <v>1486</v>
      </c>
      <c r="BI111" s="547" t="s">
        <v>709</v>
      </c>
      <c r="BJ111" s="547" t="s">
        <v>709</v>
      </c>
      <c r="BK111" s="547" t="s">
        <v>709</v>
      </c>
      <c r="BL111" s="547" t="s">
        <v>709</v>
      </c>
      <c r="BM111" s="547" t="s">
        <v>709</v>
      </c>
      <c r="BN111" s="547" t="s">
        <v>709</v>
      </c>
      <c r="BO111" s="547" t="s">
        <v>709</v>
      </c>
      <c r="BP111" s="547" t="s">
        <v>709</v>
      </c>
      <c r="BQ111" s="547" t="s">
        <v>709</v>
      </c>
      <c r="BR111" s="547" t="s">
        <v>709</v>
      </c>
      <c r="BS111" s="547" t="s">
        <v>709</v>
      </c>
      <c r="BT111" s="547" t="s">
        <v>745</v>
      </c>
      <c r="BU111" s="547" t="s">
        <v>709</v>
      </c>
      <c r="BV111" s="547" t="s">
        <v>745</v>
      </c>
      <c r="BW111" s="547" t="s">
        <v>709</v>
      </c>
      <c r="BX111" s="547" t="s">
        <v>745</v>
      </c>
      <c r="BY111" s="547" t="s">
        <v>745</v>
      </c>
      <c r="BZ111" s="547" t="s">
        <v>709</v>
      </c>
      <c r="CA111" s="483"/>
    </row>
    <row r="112" spans="1:79" s="447" customFormat="1" ht="15" hidden="1" customHeight="1" x14ac:dyDescent="0.25">
      <c r="A112" s="874" t="s">
        <v>6816</v>
      </c>
      <c r="B112" s="878" t="s">
        <v>4</v>
      </c>
      <c r="C112" s="1286" t="s">
        <v>8070</v>
      </c>
      <c r="D112" s="880" t="s">
        <v>8254</v>
      </c>
      <c r="E112" s="879" t="s">
        <v>8086</v>
      </c>
      <c r="F112" s="878" t="s">
        <v>784</v>
      </c>
      <c r="G112" s="878" t="s">
        <v>27</v>
      </c>
      <c r="H112" s="878" t="s">
        <v>413</v>
      </c>
      <c r="I112" s="881">
        <v>45607</v>
      </c>
      <c r="J112" s="956">
        <v>45698</v>
      </c>
      <c r="K112" s="883">
        <v>45698</v>
      </c>
      <c r="L112" s="884">
        <v>0</v>
      </c>
      <c r="M112" s="879"/>
      <c r="N112" s="885" t="s">
        <v>120</v>
      </c>
      <c r="O112" s="886">
        <v>45689</v>
      </c>
      <c r="P112" s="1153" t="s">
        <v>739</v>
      </c>
      <c r="Q112" s="1150">
        <v>68523.030000000013</v>
      </c>
      <c r="R112" s="887">
        <v>0.1</v>
      </c>
      <c r="S112" s="888" t="s">
        <v>29</v>
      </c>
      <c r="T112" s="888" t="s">
        <v>29</v>
      </c>
      <c r="U112" s="889" t="s">
        <v>29</v>
      </c>
      <c r="V112" s="890">
        <v>595</v>
      </c>
      <c r="W112" s="1021">
        <v>2</v>
      </c>
      <c r="X112" s="888">
        <v>598037.01</v>
      </c>
      <c r="Y112" s="891"/>
      <c r="Z112" s="888">
        <v>87193.29</v>
      </c>
      <c r="AA112" s="892">
        <v>685230.3</v>
      </c>
      <c r="AB112" s="893">
        <v>45694</v>
      </c>
      <c r="AC112" s="894" t="s">
        <v>116</v>
      </c>
      <c r="AD112" s="1160" t="s">
        <v>29</v>
      </c>
      <c r="AE112" s="895" t="s">
        <v>756</v>
      </c>
      <c r="AF112" s="895" t="s">
        <v>756</v>
      </c>
      <c r="AG112" s="897" t="s">
        <v>116</v>
      </c>
      <c r="AH112" s="897">
        <v>45707</v>
      </c>
      <c r="AI112" s="898">
        <v>0</v>
      </c>
      <c r="AJ112" s="899">
        <v>8388.44</v>
      </c>
      <c r="AK112" s="960">
        <v>9233.25</v>
      </c>
      <c r="AL112" s="901">
        <v>0.25716448907761374</v>
      </c>
      <c r="AM112" s="902" t="s">
        <v>116</v>
      </c>
      <c r="AN112" s="1353">
        <v>45708</v>
      </c>
      <c r="AO112" s="1354">
        <v>11098564</v>
      </c>
      <c r="AP112" s="1320">
        <v>598037.01</v>
      </c>
      <c r="AQ112" s="1293"/>
      <c r="AR112" s="1320">
        <v>87193.29</v>
      </c>
      <c r="AS112" s="538">
        <f>IF(Table15910[[#This Row],[PCTS Approved]]="N",0,Table15910[[#This Row],[Investment Amount (1'#'#'#'#'#)]]+Table15910[[#This Row],[Retirement Amount (3'#'#'#'#'#)]])</f>
        <v>685230.3</v>
      </c>
      <c r="AT112" s="538">
        <f>IF(Table15910[[#This Row],[Approved Construction Cost]]=0,0,Table15910[[#This Row],[Approved Construction Cost]]-Table15910[[#This Row],[Construction Cost to Bill From]])</f>
        <v>0</v>
      </c>
      <c r="AU112" s="538">
        <f>IFERROR(Table15910[[#This Row],[Difference in Construction Cost]]*Table15910[[#This Row],[Rate]],Table15910[[#This Row],[Difference in Construction Cost]]*0.085)</f>
        <v>0</v>
      </c>
      <c r="AV112" s="1452" t="s">
        <v>29</v>
      </c>
      <c r="AW112" s="1450" t="s">
        <v>29</v>
      </c>
      <c r="AX112" s="908"/>
      <c r="AY112" s="909" t="s">
        <v>709</v>
      </c>
      <c r="AZ112" s="1022"/>
      <c r="BA112" s="910" t="s">
        <v>8255</v>
      </c>
      <c r="BB112" s="911" t="s">
        <v>8256</v>
      </c>
      <c r="BC112" s="912" t="s">
        <v>709</v>
      </c>
      <c r="BD112" s="913" t="s">
        <v>709</v>
      </c>
      <c r="BE112" s="914" t="s">
        <v>8071</v>
      </c>
      <c r="BF112" s="914" t="s">
        <v>709</v>
      </c>
      <c r="BG112" s="915" t="s">
        <v>8257</v>
      </c>
      <c r="BH112" s="1023" t="s">
        <v>8258</v>
      </c>
      <c r="BI112" s="929" t="s">
        <v>709</v>
      </c>
      <c r="BJ112" s="929" t="s">
        <v>709</v>
      </c>
      <c r="BK112" s="916" t="s">
        <v>709</v>
      </c>
      <c r="BL112" s="916" t="s">
        <v>709</v>
      </c>
      <c r="BM112" s="916" t="s">
        <v>709</v>
      </c>
      <c r="BN112" s="916" t="s">
        <v>709</v>
      </c>
      <c r="BO112" s="916" t="s">
        <v>709</v>
      </c>
      <c r="BP112" s="916">
        <v>250</v>
      </c>
      <c r="BQ112" s="916">
        <v>70</v>
      </c>
      <c r="BR112" s="916">
        <v>159</v>
      </c>
      <c r="BS112" s="916">
        <v>116</v>
      </c>
      <c r="BT112" s="916" t="s">
        <v>709</v>
      </c>
      <c r="BU112" s="916" t="s">
        <v>709</v>
      </c>
      <c r="BV112" s="916" t="s">
        <v>709</v>
      </c>
      <c r="BW112" s="916" t="s">
        <v>709</v>
      </c>
      <c r="BX112" s="916">
        <v>0</v>
      </c>
      <c r="BY112" s="916" t="s">
        <v>709</v>
      </c>
      <c r="BZ112" s="916" t="s">
        <v>709</v>
      </c>
      <c r="CA112" s="483"/>
    </row>
    <row r="113" spans="1:79" ht="15" hidden="1" customHeight="1" x14ac:dyDescent="0.25">
      <c r="A113" s="8" t="s">
        <v>770</v>
      </c>
      <c r="B113" s="8" t="s">
        <v>771</v>
      </c>
      <c r="C113" s="8" t="s">
        <v>1228</v>
      </c>
      <c r="D113" s="8" t="s">
        <v>1229</v>
      </c>
      <c r="E113" s="8" t="s">
        <v>104</v>
      </c>
      <c r="F113" s="8" t="s">
        <v>738</v>
      </c>
      <c r="G113" s="8" t="s">
        <v>32</v>
      </c>
      <c r="H113" s="8" t="s">
        <v>59</v>
      </c>
      <c r="I113" s="642">
        <v>44250</v>
      </c>
      <c r="J113" s="18">
        <v>44526</v>
      </c>
      <c r="K113" s="97">
        <v>44524</v>
      </c>
      <c r="L113" s="16">
        <v>2</v>
      </c>
      <c r="M113" s="642"/>
      <c r="N113" s="642" t="s">
        <v>120</v>
      </c>
      <c r="O113" s="1025">
        <v>44531</v>
      </c>
      <c r="P113" s="21" t="s">
        <v>120</v>
      </c>
      <c r="Q113" s="28">
        <v>100097.7831</v>
      </c>
      <c r="R113" s="1026">
        <v>0.09</v>
      </c>
      <c r="S113" s="538" t="s">
        <v>709</v>
      </c>
      <c r="T113" s="538" t="s">
        <v>709</v>
      </c>
      <c r="U113" s="87" t="s">
        <v>709</v>
      </c>
      <c r="V113" s="858">
        <v>1526</v>
      </c>
      <c r="W113" s="437"/>
      <c r="X113" s="556">
        <v>1031524.91</v>
      </c>
      <c r="Y113" s="591"/>
      <c r="Z113" s="556">
        <v>80672.679999999993</v>
      </c>
      <c r="AA113" s="551">
        <v>1112197.5900000001</v>
      </c>
      <c r="AB113" s="341"/>
      <c r="AC113" s="568" t="s">
        <v>709</v>
      </c>
      <c r="AD113" s="1157"/>
      <c r="AE113" s="579"/>
      <c r="AF113" s="579"/>
      <c r="AG113" s="579"/>
      <c r="AH113" s="553"/>
      <c r="AI113" s="1036"/>
      <c r="AJ113" s="1037"/>
      <c r="AK113" s="1037"/>
      <c r="AL113" s="1038"/>
      <c r="AM113" s="536" t="s">
        <v>116</v>
      </c>
      <c r="AN113" s="680" t="s">
        <v>709</v>
      </c>
      <c r="AO113" s="601" t="s">
        <v>115</v>
      </c>
      <c r="AP113" s="572"/>
      <c r="AQ113" s="572"/>
      <c r="AR113" s="572"/>
      <c r="AS113" s="538">
        <f>IF(Table15910[[#This Row],[PCTS Approved]]="N",0,Table15910[[#This Row],[Investment Amount (1'#'#'#'#'#)]]+Table15910[[#This Row],[Retirement Amount (3'#'#'#'#'#)]])</f>
        <v>0</v>
      </c>
      <c r="AT113" s="538">
        <f>IF(Table15910[[#This Row],[Approved Construction Cost]]=0,0,Table15910[[#This Row],[Approved Construction Cost]]-Table15910[[#This Row],[Construction Cost to Bill From]])</f>
        <v>0</v>
      </c>
      <c r="AU113" s="538">
        <f>IFERROR(Table15910[[#This Row],[Difference in Construction Cost]]*Table15910[[#This Row],[Rate]],Table15910[[#This Row],[Difference in Construction Cost]]*0.085)</f>
        <v>0</v>
      </c>
      <c r="AV113" s="572"/>
      <c r="AW113" s="639"/>
      <c r="AX113" s="538"/>
      <c r="AY113" s="694" t="s">
        <v>709</v>
      </c>
      <c r="AZ113" s="443">
        <v>22</v>
      </c>
      <c r="BA113" s="859" t="s">
        <v>1230</v>
      </c>
      <c r="BB113" s="644" t="s">
        <v>1231</v>
      </c>
      <c r="BC113" s="544" t="s">
        <v>709</v>
      </c>
      <c r="BD113" s="544" t="s">
        <v>709</v>
      </c>
      <c r="BE113" s="544" t="s">
        <v>1232</v>
      </c>
      <c r="BF113" s="544" t="s">
        <v>709</v>
      </c>
      <c r="BG113" s="544" t="s">
        <v>709</v>
      </c>
      <c r="BH113" s="741"/>
      <c r="BI113" s="547" t="s">
        <v>709</v>
      </c>
      <c r="BJ113" s="547" t="s">
        <v>709</v>
      </c>
      <c r="BK113" s="547" t="s">
        <v>709</v>
      </c>
      <c r="BL113" s="547" t="s">
        <v>116</v>
      </c>
      <c r="BM113" s="547" t="s">
        <v>709</v>
      </c>
      <c r="BN113" s="547" t="s">
        <v>709</v>
      </c>
      <c r="BO113" s="547" t="s">
        <v>709</v>
      </c>
      <c r="BP113" s="547" t="s">
        <v>709</v>
      </c>
      <c r="BQ113" s="547">
        <v>1299</v>
      </c>
      <c r="BR113" s="547">
        <v>170</v>
      </c>
      <c r="BS113" s="547">
        <v>57</v>
      </c>
      <c r="BT113" s="547" t="s">
        <v>745</v>
      </c>
      <c r="BU113" s="547" t="s">
        <v>709</v>
      </c>
      <c r="BV113" s="547" t="s">
        <v>745</v>
      </c>
      <c r="BW113" s="547" t="s">
        <v>709</v>
      </c>
      <c r="BX113" s="547" t="s">
        <v>745</v>
      </c>
      <c r="BY113" s="547" t="s">
        <v>745</v>
      </c>
      <c r="BZ113" s="547" t="s">
        <v>709</v>
      </c>
      <c r="CA113" s="743"/>
    </row>
    <row r="114" spans="1:79" ht="15" hidden="1" customHeight="1" x14ac:dyDescent="0.25">
      <c r="A114" s="8">
        <v>2023</v>
      </c>
      <c r="B114" s="8" t="s">
        <v>1205</v>
      </c>
      <c r="C114" s="8" t="s">
        <v>1392</v>
      </c>
      <c r="D114" s="8" t="s">
        <v>1393</v>
      </c>
      <c r="E114" s="8" t="s">
        <v>426</v>
      </c>
      <c r="F114" s="8" t="s">
        <v>784</v>
      </c>
      <c r="G114" s="8" t="s">
        <v>32</v>
      </c>
      <c r="H114" s="8" t="s">
        <v>59</v>
      </c>
      <c r="I114" s="642">
        <v>44832</v>
      </c>
      <c r="J114" s="18">
        <v>44925</v>
      </c>
      <c r="K114" s="97">
        <v>44922</v>
      </c>
      <c r="L114" s="16">
        <v>3</v>
      </c>
      <c r="M114" s="642"/>
      <c r="N114" s="642" t="s">
        <v>120</v>
      </c>
      <c r="O114" s="1060">
        <v>44928</v>
      </c>
      <c r="P114" s="1152" t="s">
        <v>120</v>
      </c>
      <c r="Q114" s="1061">
        <v>76364.406900000002</v>
      </c>
      <c r="R114" s="1026">
        <v>0.09</v>
      </c>
      <c r="S114" s="538"/>
      <c r="T114" s="538"/>
      <c r="U114" s="87"/>
      <c r="V114" s="858">
        <v>568</v>
      </c>
      <c r="W114" s="437"/>
      <c r="X114" s="552">
        <v>659699.77</v>
      </c>
      <c r="Y114" s="592"/>
      <c r="Z114" s="552">
        <v>188793.64</v>
      </c>
      <c r="AA114" s="552">
        <v>848493.41</v>
      </c>
      <c r="AB114" s="341">
        <v>44930</v>
      </c>
      <c r="AC114" s="568" t="s">
        <v>709</v>
      </c>
      <c r="AD114" s="1157" t="s">
        <v>116</v>
      </c>
      <c r="AE114" s="579"/>
      <c r="AF114" s="579"/>
      <c r="AG114" s="579"/>
      <c r="AH114" s="553"/>
      <c r="AI114" s="1036"/>
      <c r="AJ114" s="1037"/>
      <c r="AK114" s="1037"/>
      <c r="AL114" s="1038"/>
      <c r="AM114" s="536" t="s">
        <v>116</v>
      </c>
      <c r="AN114" s="680" t="s">
        <v>709</v>
      </c>
      <c r="AO114" s="681">
        <v>11050935</v>
      </c>
      <c r="AP114" s="572"/>
      <c r="AQ114" s="572"/>
      <c r="AR114" s="572"/>
      <c r="AS114" s="538">
        <f>IF(Table15910[[#This Row],[PCTS Approved]]="N",0,Table15910[[#This Row],[Investment Amount (1'#'#'#'#'#)]]+Table15910[[#This Row],[Retirement Amount (3'#'#'#'#'#)]])</f>
        <v>0</v>
      </c>
      <c r="AT114" s="538">
        <f>IF(Table15910[[#This Row],[Approved Construction Cost]]=0,0,Table15910[[#This Row],[Approved Construction Cost]]-Table15910[[#This Row],[Construction Cost to Bill From]])</f>
        <v>0</v>
      </c>
      <c r="AU114" s="538">
        <f>IFERROR(Table15910[[#This Row],[Difference in Construction Cost]]*Table15910[[#This Row],[Rate]],Table15910[[#This Row],[Difference in Construction Cost]]*0.085)</f>
        <v>0</v>
      </c>
      <c r="AV114" s="572"/>
      <c r="AW114" s="639"/>
      <c r="AX114" s="538"/>
      <c r="AY114" s="1035" t="s">
        <v>709</v>
      </c>
      <c r="AZ114" s="443">
        <v>33</v>
      </c>
      <c r="BA114" s="859" t="s">
        <v>1394</v>
      </c>
      <c r="BB114" s="644" t="s">
        <v>1395</v>
      </c>
      <c r="BC114" s="544" t="s">
        <v>709</v>
      </c>
      <c r="BD114" s="544" t="s">
        <v>115</v>
      </c>
      <c r="BE114" s="544" t="s">
        <v>1396</v>
      </c>
      <c r="BF114" s="544" t="s">
        <v>115</v>
      </c>
      <c r="BG114" s="544" t="s">
        <v>1397</v>
      </c>
      <c r="BH114" s="741" t="s">
        <v>5120</v>
      </c>
      <c r="BI114" s="547" t="s">
        <v>709</v>
      </c>
      <c r="BJ114" s="547" t="s">
        <v>709</v>
      </c>
      <c r="BK114" s="547" t="s">
        <v>709</v>
      </c>
      <c r="BL114" s="547" t="s">
        <v>116</v>
      </c>
      <c r="BM114" s="547">
        <v>0</v>
      </c>
      <c r="BN114" s="549">
        <v>0</v>
      </c>
      <c r="BO114" s="547">
        <v>0</v>
      </c>
      <c r="BP114" s="547">
        <v>0</v>
      </c>
      <c r="BQ114" s="547">
        <v>473</v>
      </c>
      <c r="BR114" s="547">
        <v>13</v>
      </c>
      <c r="BS114" s="547">
        <v>82</v>
      </c>
      <c r="BT114" s="547">
        <v>0</v>
      </c>
      <c r="BU114" s="547">
        <v>0</v>
      </c>
      <c r="BV114" s="547">
        <v>0</v>
      </c>
      <c r="BW114" s="547">
        <v>0</v>
      </c>
      <c r="BX114" s="547">
        <v>0</v>
      </c>
      <c r="BY114" s="547">
        <v>0</v>
      </c>
      <c r="BZ114" s="547" t="s">
        <v>709</v>
      </c>
      <c r="CA114" s="483" t="s">
        <v>6796</v>
      </c>
    </row>
    <row r="115" spans="1:79" ht="15" hidden="1" customHeight="1" x14ac:dyDescent="0.25">
      <c r="A115" s="8" t="s">
        <v>800</v>
      </c>
      <c r="B115" s="8" t="s">
        <v>4</v>
      </c>
      <c r="C115" s="8" t="s">
        <v>6615</v>
      </c>
      <c r="D115" s="8" t="s">
        <v>6616</v>
      </c>
      <c r="E115" s="8" t="s">
        <v>6617</v>
      </c>
      <c r="F115" s="8" t="s">
        <v>784</v>
      </c>
      <c r="G115" s="8" t="s">
        <v>32</v>
      </c>
      <c r="H115" s="8" t="s">
        <v>59</v>
      </c>
      <c r="I115" s="642">
        <v>45230</v>
      </c>
      <c r="J115" s="18">
        <v>45569</v>
      </c>
      <c r="K115" s="97">
        <v>45567</v>
      </c>
      <c r="L115" s="16">
        <v>2</v>
      </c>
      <c r="M115" s="642"/>
      <c r="N115" s="99" t="s">
        <v>120</v>
      </c>
      <c r="O115" s="1060">
        <v>45566</v>
      </c>
      <c r="P115" s="1152" t="s">
        <v>739</v>
      </c>
      <c r="Q115" s="340">
        <v>42476.822000000007</v>
      </c>
      <c r="R115" s="1026">
        <v>0.1</v>
      </c>
      <c r="S115" s="538">
        <v>0</v>
      </c>
      <c r="T115" s="538">
        <v>0</v>
      </c>
      <c r="U115" s="28">
        <v>0</v>
      </c>
      <c r="V115" s="858">
        <v>449</v>
      </c>
      <c r="W115" s="425">
        <v>0</v>
      </c>
      <c r="X115" s="538">
        <v>381887.59</v>
      </c>
      <c r="Y115" s="551"/>
      <c r="Z115" s="538">
        <v>42880.63</v>
      </c>
      <c r="AA115" s="552">
        <v>424768.22000000003</v>
      </c>
      <c r="AB115" s="341">
        <v>45567</v>
      </c>
      <c r="AC115" s="569" t="s">
        <v>709</v>
      </c>
      <c r="AD115" s="1157" t="s">
        <v>29</v>
      </c>
      <c r="AE115" s="568" t="s">
        <v>756</v>
      </c>
      <c r="AF115" s="568" t="s">
        <v>709</v>
      </c>
      <c r="AG115" s="568" t="s">
        <v>376</v>
      </c>
      <c r="AH115" s="183">
        <v>45609</v>
      </c>
      <c r="AI115" s="1125">
        <v>0</v>
      </c>
      <c r="AJ115" s="1110">
        <v>0</v>
      </c>
      <c r="AK115" s="1110">
        <v>5942.5</v>
      </c>
      <c r="AL115" s="1108">
        <v>0.13989982583913643</v>
      </c>
      <c r="AM115" s="536" t="s">
        <v>116</v>
      </c>
      <c r="AN115" s="801" t="s">
        <v>709</v>
      </c>
      <c r="AO115" s="806">
        <v>11100514</v>
      </c>
      <c r="AP115" s="572"/>
      <c r="AQ115" s="572"/>
      <c r="AR115" s="572"/>
      <c r="AS115" s="538">
        <f>IF(Table15910[[#This Row],[PCTS Approved]]="N",0,Table15910[[#This Row],[Investment Amount (1'#'#'#'#'#)]]+Table15910[[#This Row],[Retirement Amount (3'#'#'#'#'#)]])</f>
        <v>0</v>
      </c>
      <c r="AT115" s="538">
        <f>IF(Table15910[[#This Row],[Approved Construction Cost]]=0,0,Table15910[[#This Row],[Approved Construction Cost]]-Table15910[[#This Row],[Construction Cost to Bill From]])</f>
        <v>0</v>
      </c>
      <c r="AU115" s="538">
        <f>IFERROR(Table15910[[#This Row],[Difference in Construction Cost]]*Table15910[[#This Row],[Rate]],Table15910[[#This Row],[Difference in Construction Cost]]*0.085)</f>
        <v>0</v>
      </c>
      <c r="AV115" s="602"/>
      <c r="AW115" s="640"/>
      <c r="AX115" s="555"/>
      <c r="AY115" s="1035" t="s">
        <v>709</v>
      </c>
      <c r="AZ115" s="443"/>
      <c r="BA115" s="1031" t="s">
        <v>6618</v>
      </c>
      <c r="BB115" s="644" t="s">
        <v>870</v>
      </c>
      <c r="BC115" s="559" t="s">
        <v>116</v>
      </c>
      <c r="BD115" s="554" t="s">
        <v>882</v>
      </c>
      <c r="BE115" s="588" t="s">
        <v>115</v>
      </c>
      <c r="BF115" s="588" t="s">
        <v>115</v>
      </c>
      <c r="BG115" s="588" t="s">
        <v>115</v>
      </c>
      <c r="BH115" s="615" t="s">
        <v>6619</v>
      </c>
      <c r="BI115" s="626" t="s">
        <v>709</v>
      </c>
      <c r="BJ115" s="626" t="s">
        <v>709</v>
      </c>
      <c r="BK115" s="626" t="s">
        <v>709</v>
      </c>
      <c r="BL115" s="626" t="s">
        <v>116</v>
      </c>
      <c r="BM115" s="626">
        <v>0</v>
      </c>
      <c r="BN115" s="626">
        <v>0</v>
      </c>
      <c r="BO115" s="626">
        <v>0</v>
      </c>
      <c r="BP115" s="626">
        <v>0</v>
      </c>
      <c r="BQ115" s="626">
        <v>0</v>
      </c>
      <c r="BR115" s="626">
        <v>449</v>
      </c>
      <c r="BS115" s="626">
        <v>0</v>
      </c>
      <c r="BT115" s="626">
        <v>0</v>
      </c>
      <c r="BU115" s="626">
        <v>0</v>
      </c>
      <c r="BV115" s="626">
        <v>0</v>
      </c>
      <c r="BW115" s="549">
        <v>0</v>
      </c>
      <c r="BX115" s="626">
        <v>0</v>
      </c>
      <c r="BY115" s="549">
        <v>0</v>
      </c>
      <c r="BZ115" s="547" t="s">
        <v>709</v>
      </c>
      <c r="CA115" s="743"/>
    </row>
    <row r="116" spans="1:79" ht="15" hidden="1" customHeight="1" x14ac:dyDescent="0.25">
      <c r="A116" s="8" t="s">
        <v>800</v>
      </c>
      <c r="B116" s="8" t="s">
        <v>4</v>
      </c>
      <c r="C116" s="1497" t="s">
        <v>6486</v>
      </c>
      <c r="D116" s="8" t="s">
        <v>6487</v>
      </c>
      <c r="E116" s="8" t="s">
        <v>6488</v>
      </c>
      <c r="F116" s="8" t="s">
        <v>784</v>
      </c>
      <c r="G116" s="8" t="s">
        <v>26</v>
      </c>
      <c r="H116" s="8" t="s">
        <v>59</v>
      </c>
      <c r="I116" s="642">
        <v>45470</v>
      </c>
      <c r="J116" s="18">
        <v>45526</v>
      </c>
      <c r="K116" s="97">
        <v>45516</v>
      </c>
      <c r="L116" s="16">
        <v>10</v>
      </c>
      <c r="M116" s="642"/>
      <c r="N116" s="99" t="s">
        <v>120</v>
      </c>
      <c r="O116" s="1060">
        <v>45505</v>
      </c>
      <c r="P116" s="1152" t="s">
        <v>739</v>
      </c>
      <c r="Q116" s="340">
        <v>17215.901999999998</v>
      </c>
      <c r="R116" s="1026">
        <v>0.1</v>
      </c>
      <c r="S116" s="538" t="s">
        <v>29</v>
      </c>
      <c r="T116" s="538" t="s">
        <v>29</v>
      </c>
      <c r="U116" s="28" t="s">
        <v>29</v>
      </c>
      <c r="V116" s="858">
        <v>28</v>
      </c>
      <c r="W116" s="437">
        <v>0</v>
      </c>
      <c r="X116" s="538">
        <v>113699.09</v>
      </c>
      <c r="Y116" s="550"/>
      <c r="Z116" s="552">
        <v>58459.93</v>
      </c>
      <c r="AA116" s="552">
        <v>172159.02</v>
      </c>
      <c r="AB116" s="341">
        <v>45511</v>
      </c>
      <c r="AC116" s="569" t="s">
        <v>29</v>
      </c>
      <c r="AD116" s="1149" t="s">
        <v>29</v>
      </c>
      <c r="AE116" s="568" t="s">
        <v>116</v>
      </c>
      <c r="AF116" s="568" t="s">
        <v>29</v>
      </c>
      <c r="AG116" s="568" t="s">
        <v>376</v>
      </c>
      <c r="AH116" s="183">
        <v>45525</v>
      </c>
      <c r="AI116" s="1125">
        <v>0</v>
      </c>
      <c r="AJ116" s="1110">
        <v>0</v>
      </c>
      <c r="AK116" s="1131">
        <v>7688</v>
      </c>
      <c r="AL116" s="1108">
        <v>0.44656388030089861</v>
      </c>
      <c r="AM116" s="536" t="s">
        <v>116</v>
      </c>
      <c r="AN116" s="801">
        <v>45519</v>
      </c>
      <c r="AO116" s="806">
        <v>11089477</v>
      </c>
      <c r="AP116" s="718">
        <v>113699.09</v>
      </c>
      <c r="AQ116" s="682"/>
      <c r="AR116" s="718">
        <v>58459.93</v>
      </c>
      <c r="AS116" s="538">
        <f>IF(Table15910[[#This Row],[PCTS Approved]]="N",0,Table15910[[#This Row],[Investment Amount (1'#'#'#'#'#)]]+Table15910[[#This Row],[Retirement Amount (3'#'#'#'#'#)]])</f>
        <v>172159.02</v>
      </c>
      <c r="AT116" s="538">
        <f>IF(Table15910[[#This Row],[Approved Construction Cost]]=0,0,Table15910[[#This Row],[Approved Construction Cost]]-Table15910[[#This Row],[Construction Cost to Bill From]])</f>
        <v>0</v>
      </c>
      <c r="AU116" s="538">
        <f>IFERROR(Table15910[[#This Row],[Difference in Construction Cost]]*Table15910[[#This Row],[Rate]],Table15910[[#This Row],[Difference in Construction Cost]]*0.085)</f>
        <v>0</v>
      </c>
      <c r="AV116" s="1311" t="s">
        <v>29</v>
      </c>
      <c r="AW116" s="1429" t="s">
        <v>9178</v>
      </c>
      <c r="AX116" s="555"/>
      <c r="AY116" s="1035" t="s">
        <v>709</v>
      </c>
      <c r="AZ116" s="443"/>
      <c r="BA116" s="1031" t="s">
        <v>6489</v>
      </c>
      <c r="BB116" s="644" t="s">
        <v>870</v>
      </c>
      <c r="BC116" s="559" t="s">
        <v>116</v>
      </c>
      <c r="BD116" s="554" t="s">
        <v>115</v>
      </c>
      <c r="BE116" s="554" t="s">
        <v>115</v>
      </c>
      <c r="BF116" s="588" t="s">
        <v>115</v>
      </c>
      <c r="BG116" s="588" t="s">
        <v>3021</v>
      </c>
      <c r="BH116" s="615" t="s">
        <v>6490</v>
      </c>
      <c r="BI116" s="549" t="s">
        <v>709</v>
      </c>
      <c r="BJ116" s="549" t="s">
        <v>709</v>
      </c>
      <c r="BK116" s="549" t="s">
        <v>709</v>
      </c>
      <c r="BL116" s="547" t="s">
        <v>116</v>
      </c>
      <c r="BM116" s="549" t="s">
        <v>709</v>
      </c>
      <c r="BN116" s="549" t="s">
        <v>709</v>
      </c>
      <c r="BO116" s="549" t="s">
        <v>709</v>
      </c>
      <c r="BP116" s="549" t="s">
        <v>709</v>
      </c>
      <c r="BQ116" s="549">
        <v>28</v>
      </c>
      <c r="BR116" s="549" t="s">
        <v>709</v>
      </c>
      <c r="BS116" s="549" t="s">
        <v>709</v>
      </c>
      <c r="BT116" s="549" t="s">
        <v>709</v>
      </c>
      <c r="BU116" s="549" t="s">
        <v>709</v>
      </c>
      <c r="BV116" s="549" t="s">
        <v>709</v>
      </c>
      <c r="BW116" s="549" t="s">
        <v>709</v>
      </c>
      <c r="BX116" s="549" t="s">
        <v>709</v>
      </c>
      <c r="BY116" s="549" t="s">
        <v>709</v>
      </c>
      <c r="BZ116" s="547" t="s">
        <v>709</v>
      </c>
      <c r="CA116" s="483"/>
    </row>
    <row r="117" spans="1:79" ht="15" hidden="1" customHeight="1" x14ac:dyDescent="0.25">
      <c r="A117" s="8" t="s">
        <v>994</v>
      </c>
      <c r="B117" s="8" t="s">
        <v>4</v>
      </c>
      <c r="C117" s="8" t="s">
        <v>1142</v>
      </c>
      <c r="D117" s="656" t="s">
        <v>1143</v>
      </c>
      <c r="E117" s="8" t="s">
        <v>859</v>
      </c>
      <c r="F117" s="8" t="s">
        <v>919</v>
      </c>
      <c r="G117" s="8" t="s">
        <v>32</v>
      </c>
      <c r="H117" s="8" t="s">
        <v>59</v>
      </c>
      <c r="I117" s="642">
        <v>43784</v>
      </c>
      <c r="J117" s="18">
        <v>43889</v>
      </c>
      <c r="K117" s="642">
        <v>43879</v>
      </c>
      <c r="L117" s="16">
        <v>10</v>
      </c>
      <c r="M117" s="642"/>
      <c r="N117" s="642" t="s">
        <v>120</v>
      </c>
      <c r="O117" s="1025">
        <v>43879</v>
      </c>
      <c r="P117" s="21" t="s">
        <v>739</v>
      </c>
      <c r="Q117" s="1151">
        <v>935.61400000000003</v>
      </c>
      <c r="R117" s="1034">
        <v>0.1</v>
      </c>
      <c r="S117" s="538" t="s">
        <v>709</v>
      </c>
      <c r="T117" s="538" t="s">
        <v>709</v>
      </c>
      <c r="U117" s="28" t="s">
        <v>115</v>
      </c>
      <c r="V117" s="858" t="s">
        <v>115</v>
      </c>
      <c r="W117" s="437"/>
      <c r="X117" s="538">
        <v>0</v>
      </c>
      <c r="Y117" s="592">
        <v>0</v>
      </c>
      <c r="Z117" s="538">
        <v>9356.14</v>
      </c>
      <c r="AA117" s="538">
        <v>9356.14</v>
      </c>
      <c r="AB117" s="21"/>
      <c r="AC117" s="569"/>
      <c r="AD117" s="1149"/>
      <c r="AE117" s="580"/>
      <c r="AF117" s="580"/>
      <c r="AG117" s="580"/>
      <c r="AH117" s="542"/>
      <c r="AI117" s="1028"/>
      <c r="AJ117" s="1029"/>
      <c r="AK117" s="1029"/>
      <c r="AL117" s="1030"/>
      <c r="AM117" s="536" t="s">
        <v>116</v>
      </c>
      <c r="AN117" s="801" t="s">
        <v>709</v>
      </c>
      <c r="AO117" s="601" t="s">
        <v>115</v>
      </c>
      <c r="AP117" s="572"/>
      <c r="AQ117" s="572"/>
      <c r="AR117" s="572"/>
      <c r="AS117" s="538">
        <f>IF(Table15910[[#This Row],[PCTS Approved]]="N",0,Table15910[[#This Row],[Investment Amount (1'#'#'#'#'#)]]+Table15910[[#This Row],[Retirement Amount (3'#'#'#'#'#)]])</f>
        <v>0</v>
      </c>
      <c r="AT117" s="538">
        <f>IF(Table15910[[#This Row],[Approved Construction Cost]]=0,0,Table15910[[#This Row],[Approved Construction Cost]]-Table15910[[#This Row],[Construction Cost to Bill From]])</f>
        <v>0</v>
      </c>
      <c r="AU117" s="538">
        <f>IFERROR(Table15910[[#This Row],[Difference in Construction Cost]]*Table15910[[#This Row],[Rate]],Table15910[[#This Row],[Difference in Construction Cost]]*0.085)</f>
        <v>0</v>
      </c>
      <c r="AV117" s="572"/>
      <c r="AW117" s="639"/>
      <c r="AX117" s="538"/>
      <c r="AY117" s="1035" t="s">
        <v>709</v>
      </c>
      <c r="AZ117" s="443">
        <v>54</v>
      </c>
      <c r="BA117" s="859" t="s">
        <v>1144</v>
      </c>
      <c r="BB117" s="644" t="s">
        <v>1145</v>
      </c>
      <c r="BC117" s="544"/>
      <c r="BD117" s="544"/>
      <c r="BE117" s="544"/>
      <c r="BF117" s="544"/>
      <c r="BG117" s="544"/>
      <c r="BH117" s="741"/>
      <c r="BI117" s="547" t="s">
        <v>709</v>
      </c>
      <c r="BJ117" s="547" t="s">
        <v>709</v>
      </c>
      <c r="BK117" s="547" t="s">
        <v>709</v>
      </c>
      <c r="BL117" s="547" t="s">
        <v>709</v>
      </c>
      <c r="BM117" s="547" t="s">
        <v>709</v>
      </c>
      <c r="BN117" s="547" t="s">
        <v>709</v>
      </c>
      <c r="BO117" s="547" t="s">
        <v>709</v>
      </c>
      <c r="BP117" s="547" t="s">
        <v>709</v>
      </c>
      <c r="BQ117" s="547" t="s">
        <v>709</v>
      </c>
      <c r="BR117" s="547" t="s">
        <v>709</v>
      </c>
      <c r="BS117" s="547" t="s">
        <v>709</v>
      </c>
      <c r="BT117" s="547" t="s">
        <v>709</v>
      </c>
      <c r="BU117" s="547" t="s">
        <v>709</v>
      </c>
      <c r="BV117" s="547" t="s">
        <v>709</v>
      </c>
      <c r="BW117" s="547" t="s">
        <v>709</v>
      </c>
      <c r="BX117" s="547" t="s">
        <v>709</v>
      </c>
      <c r="BY117" s="547" t="s">
        <v>709</v>
      </c>
      <c r="BZ117" s="547" t="s">
        <v>709</v>
      </c>
      <c r="CA117" s="743"/>
    </row>
    <row r="118" spans="1:79" ht="15" hidden="1" customHeight="1" x14ac:dyDescent="0.25">
      <c r="A118" s="8" t="s">
        <v>800</v>
      </c>
      <c r="B118" s="8" t="s">
        <v>1073</v>
      </c>
      <c r="C118" s="8" t="s">
        <v>6735</v>
      </c>
      <c r="D118" s="8" t="s">
        <v>6736</v>
      </c>
      <c r="E118" s="8" t="s">
        <v>232</v>
      </c>
      <c r="F118" s="8" t="s">
        <v>851</v>
      </c>
      <c r="G118" s="8" t="s">
        <v>32</v>
      </c>
      <c r="H118" s="8" t="s">
        <v>59</v>
      </c>
      <c r="I118" s="642">
        <v>45540</v>
      </c>
      <c r="J118" s="18">
        <v>45610</v>
      </c>
      <c r="K118" s="97">
        <v>45609</v>
      </c>
      <c r="L118" s="16">
        <v>1</v>
      </c>
      <c r="M118" s="642"/>
      <c r="N118" s="642" t="s">
        <v>120</v>
      </c>
      <c r="O118" s="1060">
        <v>45597</v>
      </c>
      <c r="P118" s="1152" t="s">
        <v>739</v>
      </c>
      <c r="Q118" s="340">
        <v>34472.7952</v>
      </c>
      <c r="R118" s="1026">
        <v>0.08</v>
      </c>
      <c r="S118" s="538">
        <v>0</v>
      </c>
      <c r="T118" s="538">
        <v>0</v>
      </c>
      <c r="U118" s="87">
        <v>0</v>
      </c>
      <c r="V118" s="858">
        <v>898</v>
      </c>
      <c r="W118" s="437">
        <v>0</v>
      </c>
      <c r="X118" s="538">
        <v>430909.94</v>
      </c>
      <c r="Y118" s="768"/>
      <c r="Z118" s="552">
        <v>0</v>
      </c>
      <c r="AA118" s="552">
        <v>430909.94</v>
      </c>
      <c r="AB118" s="341">
        <v>45609</v>
      </c>
      <c r="AC118" s="569" t="s">
        <v>116</v>
      </c>
      <c r="AD118" s="1149" t="s">
        <v>29</v>
      </c>
      <c r="AE118" s="568" t="s">
        <v>709</v>
      </c>
      <c r="AF118" s="568" t="s">
        <v>709</v>
      </c>
      <c r="AG118" s="569" t="s">
        <v>116</v>
      </c>
      <c r="AH118" s="183">
        <v>45646</v>
      </c>
      <c r="AI118" s="1125">
        <v>0</v>
      </c>
      <c r="AJ118" s="1110">
        <v>0</v>
      </c>
      <c r="AK118" s="1126">
        <v>3892.5</v>
      </c>
      <c r="AL118" s="1108">
        <v>0.11291512560606051</v>
      </c>
      <c r="AM118" s="536" t="s">
        <v>116</v>
      </c>
      <c r="AN118" s="680" t="s">
        <v>709</v>
      </c>
      <c r="AO118" s="681">
        <v>11093737</v>
      </c>
      <c r="AP118" s="572"/>
      <c r="AQ118" s="572"/>
      <c r="AR118" s="572"/>
      <c r="AS118" s="538">
        <f>IF(Table15910[[#This Row],[PCTS Approved]]="N",0,Table15910[[#This Row],[Investment Amount (1'#'#'#'#'#)]]+Table15910[[#This Row],[Retirement Amount (3'#'#'#'#'#)]])</f>
        <v>0</v>
      </c>
      <c r="AT118" s="538">
        <f>IF(Table15910[[#This Row],[Approved Construction Cost]]=0,0,Table15910[[#This Row],[Approved Construction Cost]]-Table15910[[#This Row],[Construction Cost to Bill From]])</f>
        <v>0</v>
      </c>
      <c r="AU118" s="538">
        <f>IFERROR(Table15910[[#This Row],[Difference in Construction Cost]]*Table15910[[#This Row],[Rate]],Table15910[[#This Row],[Difference in Construction Cost]]*0.085)</f>
        <v>0</v>
      </c>
      <c r="AV118" s="602"/>
      <c r="AW118" s="640"/>
      <c r="AX118" s="555"/>
      <c r="AY118" s="1035" t="s">
        <v>709</v>
      </c>
      <c r="AZ118" s="443"/>
      <c r="BA118" s="1074" t="s">
        <v>6737</v>
      </c>
      <c r="BB118" s="644" t="s">
        <v>6738</v>
      </c>
      <c r="BC118" s="544" t="s">
        <v>115</v>
      </c>
      <c r="BD118" s="554" t="s">
        <v>837</v>
      </c>
      <c r="BE118" s="588" t="s">
        <v>595</v>
      </c>
      <c r="BF118" s="588" t="s">
        <v>838</v>
      </c>
      <c r="BG118" s="588" t="s">
        <v>115</v>
      </c>
      <c r="BH118" s="615" t="s">
        <v>6739</v>
      </c>
      <c r="BI118" s="549" t="s">
        <v>709</v>
      </c>
      <c r="BJ118" s="549" t="s">
        <v>709</v>
      </c>
      <c r="BK118" s="549" t="s">
        <v>709</v>
      </c>
      <c r="BL118" s="547" t="s">
        <v>116</v>
      </c>
      <c r="BM118" s="549">
        <v>0</v>
      </c>
      <c r="BN118" s="549">
        <v>0</v>
      </c>
      <c r="BO118" s="549">
        <v>0</v>
      </c>
      <c r="BP118" s="549">
        <v>898</v>
      </c>
      <c r="BQ118" s="549">
        <v>0</v>
      </c>
      <c r="BR118" s="549">
        <v>0</v>
      </c>
      <c r="BS118" s="547">
        <v>0</v>
      </c>
      <c r="BT118" s="549">
        <v>0</v>
      </c>
      <c r="BU118" s="549">
        <v>0</v>
      </c>
      <c r="BV118" s="549">
        <v>0</v>
      </c>
      <c r="BW118" s="549">
        <v>0</v>
      </c>
      <c r="BX118" s="549">
        <v>0</v>
      </c>
      <c r="BY118" s="549">
        <v>0</v>
      </c>
      <c r="BZ118" s="547" t="s">
        <v>709</v>
      </c>
      <c r="CA118" s="483"/>
    </row>
    <row r="119" spans="1:79" ht="15" hidden="1" customHeight="1" x14ac:dyDescent="0.25">
      <c r="A119" s="8">
        <v>2023</v>
      </c>
      <c r="B119" s="8" t="s">
        <v>769</v>
      </c>
      <c r="C119" s="8" t="s">
        <v>1595</v>
      </c>
      <c r="D119" s="8" t="s">
        <v>1596</v>
      </c>
      <c r="E119" s="8" t="s">
        <v>1597</v>
      </c>
      <c r="F119" s="8" t="s">
        <v>747</v>
      </c>
      <c r="G119" s="8" t="s">
        <v>32</v>
      </c>
      <c r="H119" s="13" t="s">
        <v>59</v>
      </c>
      <c r="I119" s="642">
        <v>45056</v>
      </c>
      <c r="J119" s="18">
        <v>45145</v>
      </c>
      <c r="K119" s="175">
        <v>45133</v>
      </c>
      <c r="L119" s="16">
        <v>12</v>
      </c>
      <c r="M119" s="642"/>
      <c r="N119" s="642" t="s">
        <v>120</v>
      </c>
      <c r="O119" s="1060">
        <v>45139</v>
      </c>
      <c r="P119" s="1152" t="s">
        <v>739</v>
      </c>
      <c r="Q119" s="340">
        <v>10081.120800000001</v>
      </c>
      <c r="R119" s="1026">
        <v>0.08</v>
      </c>
      <c r="S119" s="538"/>
      <c r="T119" s="538"/>
      <c r="U119" s="87"/>
      <c r="V119" s="858">
        <v>17</v>
      </c>
      <c r="W119" s="437">
        <v>0</v>
      </c>
      <c r="X119" s="552">
        <v>80666.59</v>
      </c>
      <c r="Y119" s="551"/>
      <c r="Z119" s="552">
        <v>45347.42</v>
      </c>
      <c r="AA119" s="552">
        <v>126014.01</v>
      </c>
      <c r="AB119" s="341">
        <v>45142</v>
      </c>
      <c r="AC119" s="568" t="s">
        <v>1177</v>
      </c>
      <c r="AD119" s="1157" t="s">
        <v>29</v>
      </c>
      <c r="AE119" s="568" t="s">
        <v>709</v>
      </c>
      <c r="AF119" s="568" t="s">
        <v>116</v>
      </c>
      <c r="AG119" s="568" t="s">
        <v>116</v>
      </c>
      <c r="AH119" s="183" t="s">
        <v>116</v>
      </c>
      <c r="AI119" s="1036"/>
      <c r="AJ119" s="1037"/>
      <c r="AK119" s="1037"/>
      <c r="AL119" s="1038"/>
      <c r="AM119" s="536" t="s">
        <v>116</v>
      </c>
      <c r="AN119" s="680" t="s">
        <v>709</v>
      </c>
      <c r="AO119" s="601" t="s">
        <v>115</v>
      </c>
      <c r="AP119" s="572"/>
      <c r="AQ119" s="572"/>
      <c r="AR119" s="572"/>
      <c r="AS119" s="538">
        <f>IF(Table15910[[#This Row],[PCTS Approved]]="N",0,Table15910[[#This Row],[Investment Amount (1'#'#'#'#'#)]]+Table15910[[#This Row],[Retirement Amount (3'#'#'#'#'#)]])</f>
        <v>0</v>
      </c>
      <c r="AT119" s="538">
        <f>IF(Table15910[[#This Row],[Approved Construction Cost]]=0,0,Table15910[[#This Row],[Approved Construction Cost]]-Table15910[[#This Row],[Construction Cost to Bill From]])</f>
        <v>0</v>
      </c>
      <c r="AU119" s="538">
        <f>IFERROR(Table15910[[#This Row],[Difference in Construction Cost]]*Table15910[[#This Row],[Rate]],Table15910[[#This Row],[Difference in Construction Cost]]*0.085)</f>
        <v>0</v>
      </c>
      <c r="AV119" s="572"/>
      <c r="AW119" s="639"/>
      <c r="AX119" s="538"/>
      <c r="AY119" s="1035" t="s">
        <v>709</v>
      </c>
      <c r="AZ119" s="443">
        <v>17</v>
      </c>
      <c r="BA119" s="859" t="s">
        <v>1598</v>
      </c>
      <c r="BB119" s="644" t="s">
        <v>1599</v>
      </c>
      <c r="BC119" s="544" t="s">
        <v>709</v>
      </c>
      <c r="BD119" s="544" t="s">
        <v>837</v>
      </c>
      <c r="BE119" s="544" t="s">
        <v>1600</v>
      </c>
      <c r="BF119" s="544" t="s">
        <v>1600</v>
      </c>
      <c r="BG119" s="544" t="s">
        <v>1582</v>
      </c>
      <c r="BH119" s="741" t="s">
        <v>1601</v>
      </c>
      <c r="BI119" s="547" t="s">
        <v>709</v>
      </c>
      <c r="BJ119" s="547" t="s">
        <v>709</v>
      </c>
      <c r="BK119" s="547" t="s">
        <v>116</v>
      </c>
      <c r="BL119" s="547" t="s">
        <v>116</v>
      </c>
      <c r="BM119" s="547">
        <v>0</v>
      </c>
      <c r="BN119" s="549">
        <v>0</v>
      </c>
      <c r="BO119" s="547">
        <v>0</v>
      </c>
      <c r="BP119" s="547">
        <v>0</v>
      </c>
      <c r="BQ119" s="547">
        <v>0</v>
      </c>
      <c r="BR119" s="547">
        <v>17</v>
      </c>
      <c r="BS119" s="547">
        <v>0</v>
      </c>
      <c r="BT119" s="547">
        <v>0</v>
      </c>
      <c r="BU119" s="549">
        <v>0</v>
      </c>
      <c r="BV119" s="547">
        <v>0</v>
      </c>
      <c r="BW119" s="547">
        <v>0</v>
      </c>
      <c r="BX119" s="547">
        <v>0</v>
      </c>
      <c r="BY119" s="547">
        <v>1</v>
      </c>
      <c r="BZ119" s="547" t="s">
        <v>709</v>
      </c>
      <c r="CA119" s="483" t="s">
        <v>6790</v>
      </c>
    </row>
    <row r="120" spans="1:79" ht="15" hidden="1" customHeight="1" x14ac:dyDescent="0.25">
      <c r="A120" s="8">
        <v>2023</v>
      </c>
      <c r="B120" s="8" t="s">
        <v>769</v>
      </c>
      <c r="C120" s="8" t="s">
        <v>1595</v>
      </c>
      <c r="D120" s="8" t="s">
        <v>1603</v>
      </c>
      <c r="E120" s="8" t="s">
        <v>1597</v>
      </c>
      <c r="F120" s="8" t="s">
        <v>747</v>
      </c>
      <c r="G120" s="8" t="s">
        <v>32</v>
      </c>
      <c r="H120" s="13" t="s">
        <v>59</v>
      </c>
      <c r="I120" s="642">
        <v>45056</v>
      </c>
      <c r="J120" s="18">
        <v>45145</v>
      </c>
      <c r="K120" s="175">
        <v>45133</v>
      </c>
      <c r="L120" s="16">
        <v>12</v>
      </c>
      <c r="M120" s="642"/>
      <c r="N120" s="642" t="s">
        <v>120</v>
      </c>
      <c r="O120" s="1060">
        <v>45139</v>
      </c>
      <c r="P120" s="1152" t="s">
        <v>739</v>
      </c>
      <c r="Q120" s="340">
        <v>8924.6623999999993</v>
      </c>
      <c r="R120" s="1026">
        <v>0.08</v>
      </c>
      <c r="S120" s="538"/>
      <c r="T120" s="538"/>
      <c r="U120" s="87"/>
      <c r="V120" s="858">
        <v>17</v>
      </c>
      <c r="W120" s="437">
        <v>0</v>
      </c>
      <c r="X120" s="552">
        <v>93106.99</v>
      </c>
      <c r="Y120" s="551"/>
      <c r="Z120" s="552">
        <v>18451.29</v>
      </c>
      <c r="AA120" s="552">
        <v>111558.28</v>
      </c>
      <c r="AB120" s="341">
        <v>45142</v>
      </c>
      <c r="AC120" s="568" t="s">
        <v>1177</v>
      </c>
      <c r="AD120" s="1157" t="s">
        <v>29</v>
      </c>
      <c r="AE120" s="568" t="s">
        <v>709</v>
      </c>
      <c r="AF120" s="568" t="s">
        <v>116</v>
      </c>
      <c r="AG120" s="568" t="s">
        <v>116</v>
      </c>
      <c r="AH120" s="183" t="s">
        <v>116</v>
      </c>
      <c r="AI120" s="1036"/>
      <c r="AJ120" s="1037"/>
      <c r="AK120" s="1037"/>
      <c r="AL120" s="1038"/>
      <c r="AM120" s="536" t="s">
        <v>116</v>
      </c>
      <c r="AN120" s="680" t="s">
        <v>709</v>
      </c>
      <c r="AO120" s="681">
        <v>11082769</v>
      </c>
      <c r="AP120" s="572"/>
      <c r="AQ120" s="572"/>
      <c r="AR120" s="572"/>
      <c r="AS120" s="538">
        <f>IF(Table15910[[#This Row],[PCTS Approved]]="N",0,Table15910[[#This Row],[Investment Amount (1'#'#'#'#'#)]]+Table15910[[#This Row],[Retirement Amount (3'#'#'#'#'#)]])</f>
        <v>0</v>
      </c>
      <c r="AT120" s="538">
        <f>IF(Table15910[[#This Row],[Approved Construction Cost]]=0,0,Table15910[[#This Row],[Approved Construction Cost]]-Table15910[[#This Row],[Construction Cost to Bill From]])</f>
        <v>0</v>
      </c>
      <c r="AU120" s="538">
        <f>IFERROR(Table15910[[#This Row],[Difference in Construction Cost]]*Table15910[[#This Row],[Rate]],Table15910[[#This Row],[Difference in Construction Cost]]*0.085)</f>
        <v>0</v>
      </c>
      <c r="AV120" s="572"/>
      <c r="AW120" s="639"/>
      <c r="AX120" s="538"/>
      <c r="AY120" s="1035" t="s">
        <v>709</v>
      </c>
      <c r="AZ120" s="443">
        <v>18</v>
      </c>
      <c r="BA120" s="859" t="s">
        <v>1598</v>
      </c>
      <c r="BB120" s="644" t="s">
        <v>1599</v>
      </c>
      <c r="BC120" s="544" t="s">
        <v>709</v>
      </c>
      <c r="BD120" s="544" t="s">
        <v>837</v>
      </c>
      <c r="BE120" s="544" t="s">
        <v>1600</v>
      </c>
      <c r="BF120" s="544" t="s">
        <v>1600</v>
      </c>
      <c r="BG120" s="544" t="s">
        <v>1582</v>
      </c>
      <c r="BH120" s="741" t="s">
        <v>1601</v>
      </c>
      <c r="BI120" s="547" t="s">
        <v>709</v>
      </c>
      <c r="BJ120" s="547" t="s">
        <v>709</v>
      </c>
      <c r="BK120" s="547" t="s">
        <v>116</v>
      </c>
      <c r="BL120" s="547" t="s">
        <v>116</v>
      </c>
      <c r="BM120" s="547">
        <v>0</v>
      </c>
      <c r="BN120" s="549">
        <v>0</v>
      </c>
      <c r="BO120" s="547">
        <v>0</v>
      </c>
      <c r="BP120" s="547">
        <v>0</v>
      </c>
      <c r="BQ120" s="547">
        <v>0</v>
      </c>
      <c r="BR120" s="547">
        <v>17</v>
      </c>
      <c r="BS120" s="547">
        <v>0</v>
      </c>
      <c r="BT120" s="547">
        <v>0</v>
      </c>
      <c r="BU120" s="549">
        <v>0</v>
      </c>
      <c r="BV120" s="547">
        <v>0</v>
      </c>
      <c r="BW120" s="547">
        <v>0</v>
      </c>
      <c r="BX120" s="547">
        <v>0</v>
      </c>
      <c r="BY120" s="547">
        <v>1</v>
      </c>
      <c r="BZ120" s="547" t="s">
        <v>709</v>
      </c>
      <c r="CA120" s="483"/>
    </row>
    <row r="121" spans="1:79" ht="15" hidden="1" customHeight="1" x14ac:dyDescent="0.25">
      <c r="A121" s="8">
        <v>2023</v>
      </c>
      <c r="B121" s="8" t="s">
        <v>769</v>
      </c>
      <c r="C121" s="8" t="s">
        <v>1578</v>
      </c>
      <c r="D121" s="8" t="s">
        <v>1579</v>
      </c>
      <c r="E121" s="8" t="s">
        <v>232</v>
      </c>
      <c r="F121" s="8" t="s">
        <v>747</v>
      </c>
      <c r="G121" s="8" t="s">
        <v>32</v>
      </c>
      <c r="H121" s="13" t="s">
        <v>59</v>
      </c>
      <c r="I121" s="642">
        <v>45056</v>
      </c>
      <c r="J121" s="18">
        <v>45145</v>
      </c>
      <c r="K121" s="175">
        <v>45128</v>
      </c>
      <c r="L121" s="16">
        <v>17</v>
      </c>
      <c r="M121" s="642"/>
      <c r="N121" s="642" t="s">
        <v>120</v>
      </c>
      <c r="O121" s="1060">
        <v>45108</v>
      </c>
      <c r="P121" s="1152" t="s">
        <v>739</v>
      </c>
      <c r="Q121" s="340">
        <v>18842.86</v>
      </c>
      <c r="R121" s="1026">
        <v>0.08</v>
      </c>
      <c r="S121" s="538"/>
      <c r="T121" s="538"/>
      <c r="U121" s="87"/>
      <c r="V121" s="858">
        <v>27</v>
      </c>
      <c r="W121" s="437">
        <v>0</v>
      </c>
      <c r="X121" s="552">
        <v>188113.79</v>
      </c>
      <c r="Y121" s="592"/>
      <c r="Z121" s="552">
        <v>47421.96</v>
      </c>
      <c r="AA121" s="552">
        <v>235535.75</v>
      </c>
      <c r="AB121" s="341">
        <v>45132</v>
      </c>
      <c r="AC121" s="568" t="s">
        <v>1177</v>
      </c>
      <c r="AD121" s="1157" t="s">
        <v>29</v>
      </c>
      <c r="AE121" s="568" t="s">
        <v>709</v>
      </c>
      <c r="AF121" s="568" t="s">
        <v>116</v>
      </c>
      <c r="AG121" s="568" t="s">
        <v>116</v>
      </c>
      <c r="AH121" s="183" t="s">
        <v>116</v>
      </c>
      <c r="AI121" s="1036"/>
      <c r="AJ121" s="1037"/>
      <c r="AK121" s="1037"/>
      <c r="AL121" s="1038"/>
      <c r="AM121" s="536" t="s">
        <v>116</v>
      </c>
      <c r="AN121" s="680" t="s">
        <v>709</v>
      </c>
      <c r="AO121" s="601" t="s">
        <v>115</v>
      </c>
      <c r="AP121" s="572"/>
      <c r="AQ121" s="572"/>
      <c r="AR121" s="572"/>
      <c r="AS121" s="538">
        <f>IF(Table15910[[#This Row],[PCTS Approved]]="N",0,Table15910[[#This Row],[Investment Amount (1'#'#'#'#'#)]]+Table15910[[#This Row],[Retirement Amount (3'#'#'#'#'#)]])</f>
        <v>0</v>
      </c>
      <c r="AT121" s="538">
        <f>IF(Table15910[[#This Row],[Approved Construction Cost]]=0,0,Table15910[[#This Row],[Approved Construction Cost]]-Table15910[[#This Row],[Construction Cost to Bill From]])</f>
        <v>0</v>
      </c>
      <c r="AU121" s="538">
        <f>IFERROR(Table15910[[#This Row],[Difference in Construction Cost]]*Table15910[[#This Row],[Rate]],Table15910[[#This Row],[Difference in Construction Cost]]*0.085)</f>
        <v>0</v>
      </c>
      <c r="AV121" s="572"/>
      <c r="AW121" s="639"/>
      <c r="AX121" s="538"/>
      <c r="AY121" s="1035" t="s">
        <v>709</v>
      </c>
      <c r="AZ121" s="443">
        <v>16</v>
      </c>
      <c r="BA121" s="859" t="s">
        <v>1580</v>
      </c>
      <c r="BB121" s="644" t="s">
        <v>1581</v>
      </c>
      <c r="BC121" s="544" t="s">
        <v>709</v>
      </c>
      <c r="BD121" s="544" t="s">
        <v>837</v>
      </c>
      <c r="BE121" s="544" t="s">
        <v>595</v>
      </c>
      <c r="BF121" s="544" t="s">
        <v>595</v>
      </c>
      <c r="BG121" s="544" t="s">
        <v>1582</v>
      </c>
      <c r="BH121" s="741" t="s">
        <v>1583</v>
      </c>
      <c r="BI121" s="547" t="s">
        <v>709</v>
      </c>
      <c r="BJ121" s="547" t="s">
        <v>709</v>
      </c>
      <c r="BK121" s="547" t="s">
        <v>116</v>
      </c>
      <c r="BL121" s="547" t="s">
        <v>116</v>
      </c>
      <c r="BM121" s="547">
        <v>0</v>
      </c>
      <c r="BN121" s="549">
        <v>0</v>
      </c>
      <c r="BO121" s="547">
        <v>0</v>
      </c>
      <c r="BP121" s="547">
        <v>0</v>
      </c>
      <c r="BQ121" s="547">
        <v>0</v>
      </c>
      <c r="BR121" s="547">
        <v>27</v>
      </c>
      <c r="BS121" s="547">
        <v>0</v>
      </c>
      <c r="BT121" s="547">
        <v>0</v>
      </c>
      <c r="BU121" s="549">
        <v>0</v>
      </c>
      <c r="BV121" s="547">
        <v>0</v>
      </c>
      <c r="BW121" s="547">
        <v>0</v>
      </c>
      <c r="BX121" s="547">
        <v>0</v>
      </c>
      <c r="BY121" s="547">
        <v>1</v>
      </c>
      <c r="BZ121" s="547" t="s">
        <v>709</v>
      </c>
      <c r="CA121" s="483"/>
    </row>
    <row r="122" spans="1:79" ht="15" hidden="1" customHeight="1" x14ac:dyDescent="0.25">
      <c r="A122" s="8" t="s">
        <v>781</v>
      </c>
      <c r="B122" s="8" t="s">
        <v>730</v>
      </c>
      <c r="C122" s="8" t="s">
        <v>1299</v>
      </c>
      <c r="D122" s="8" t="s">
        <v>1300</v>
      </c>
      <c r="E122" s="8" t="s">
        <v>1301</v>
      </c>
      <c r="F122" s="8" t="s">
        <v>752</v>
      </c>
      <c r="G122" s="8" t="s">
        <v>32</v>
      </c>
      <c r="H122" s="8" t="s">
        <v>59</v>
      </c>
      <c r="I122" s="642">
        <v>44692</v>
      </c>
      <c r="J122" s="18">
        <v>44750</v>
      </c>
      <c r="K122" s="97">
        <v>44749</v>
      </c>
      <c r="L122" s="16">
        <v>1</v>
      </c>
      <c r="M122" s="642"/>
      <c r="N122" s="642" t="s">
        <v>120</v>
      </c>
      <c r="O122" s="1025">
        <v>44749</v>
      </c>
      <c r="P122" s="21" t="s">
        <v>739</v>
      </c>
      <c r="Q122" s="1151">
        <v>17915.941800000001</v>
      </c>
      <c r="R122" s="1026" t="s">
        <v>794</v>
      </c>
      <c r="S122" s="538"/>
      <c r="T122" s="538"/>
      <c r="U122" s="87"/>
      <c r="V122" s="858">
        <v>41</v>
      </c>
      <c r="W122" s="437">
        <v>1</v>
      </c>
      <c r="X122" s="538">
        <v>122879.35</v>
      </c>
      <c r="Y122" s="592"/>
      <c r="Z122" s="538">
        <v>26131.73</v>
      </c>
      <c r="AA122" s="551">
        <v>149011.08000000002</v>
      </c>
      <c r="AB122" s="341" t="s">
        <v>29</v>
      </c>
      <c r="AC122" s="568" t="s">
        <v>116</v>
      </c>
      <c r="AD122" s="1157" t="s">
        <v>116</v>
      </c>
      <c r="AE122" s="579"/>
      <c r="AF122" s="579"/>
      <c r="AG122" s="579"/>
      <c r="AH122" s="553"/>
      <c r="AI122" s="1036"/>
      <c r="AJ122" s="1037"/>
      <c r="AK122" s="1037"/>
      <c r="AL122" s="1038"/>
      <c r="AM122" s="536" t="s">
        <v>116</v>
      </c>
      <c r="AN122" s="680" t="s">
        <v>709</v>
      </c>
      <c r="AO122" s="601" t="s">
        <v>115</v>
      </c>
      <c r="AP122" s="572"/>
      <c r="AQ122" s="572"/>
      <c r="AR122" s="572"/>
      <c r="AS122" s="538">
        <f>IF(Table15910[[#This Row],[PCTS Approved]]="N",0,Table15910[[#This Row],[Investment Amount (1'#'#'#'#'#)]]+Table15910[[#This Row],[Retirement Amount (3'#'#'#'#'#)]])</f>
        <v>0</v>
      </c>
      <c r="AT122" s="538">
        <f>IF(Table15910[[#This Row],[Approved Construction Cost]]=0,0,Table15910[[#This Row],[Approved Construction Cost]]-Table15910[[#This Row],[Construction Cost to Bill From]])</f>
        <v>0</v>
      </c>
      <c r="AU122" s="538">
        <f>IFERROR(Table15910[[#This Row],[Difference in Construction Cost]]*Table15910[[#This Row],[Rate]],Table15910[[#This Row],[Difference in Construction Cost]]*0.085)</f>
        <v>0</v>
      </c>
      <c r="AV122" s="572"/>
      <c r="AW122" s="639"/>
      <c r="AX122" s="538"/>
      <c r="AY122" s="1035" t="s">
        <v>709</v>
      </c>
      <c r="AZ122" s="443">
        <v>174</v>
      </c>
      <c r="BA122" s="859" t="s">
        <v>1302</v>
      </c>
      <c r="BB122" s="644" t="s">
        <v>1303</v>
      </c>
      <c r="BC122" s="544" t="s">
        <v>709</v>
      </c>
      <c r="BD122" s="544" t="s">
        <v>709</v>
      </c>
      <c r="BE122" s="544" t="s">
        <v>709</v>
      </c>
      <c r="BF122" s="544" t="s">
        <v>709</v>
      </c>
      <c r="BG122" s="544" t="s">
        <v>709</v>
      </c>
      <c r="BH122" s="741" t="s">
        <v>4630</v>
      </c>
      <c r="BI122" s="547" t="s">
        <v>709</v>
      </c>
      <c r="BJ122" s="547" t="s">
        <v>709</v>
      </c>
      <c r="BK122" s="547" t="s">
        <v>116</v>
      </c>
      <c r="BL122" s="547" t="s">
        <v>709</v>
      </c>
      <c r="BM122" s="547">
        <v>0</v>
      </c>
      <c r="BN122" s="549">
        <v>0</v>
      </c>
      <c r="BO122" s="547">
        <v>0</v>
      </c>
      <c r="BP122" s="547">
        <v>0</v>
      </c>
      <c r="BQ122" s="547">
        <v>0</v>
      </c>
      <c r="BR122" s="547">
        <v>0</v>
      </c>
      <c r="BS122" s="547">
        <v>41</v>
      </c>
      <c r="BT122" s="547">
        <v>0</v>
      </c>
      <c r="BU122" s="547">
        <v>0</v>
      </c>
      <c r="BV122" s="547">
        <v>0</v>
      </c>
      <c r="BW122" s="547">
        <v>0</v>
      </c>
      <c r="BX122" s="547">
        <v>1</v>
      </c>
      <c r="BY122" s="547">
        <v>0</v>
      </c>
      <c r="BZ122" s="547" t="s">
        <v>709</v>
      </c>
      <c r="CA122" s="483" t="s">
        <v>6827</v>
      </c>
    </row>
    <row r="123" spans="1:79" ht="15" hidden="1" customHeight="1" x14ac:dyDescent="0.25">
      <c r="A123" s="8">
        <v>2022</v>
      </c>
      <c r="B123" s="8" t="s">
        <v>730</v>
      </c>
      <c r="C123" s="8" t="s">
        <v>1222</v>
      </c>
      <c r="D123" s="8" t="s">
        <v>1223</v>
      </c>
      <c r="E123" s="8" t="s">
        <v>1224</v>
      </c>
      <c r="F123" s="8" t="s">
        <v>747</v>
      </c>
      <c r="G123" s="8" t="s">
        <v>32</v>
      </c>
      <c r="H123" s="8" t="s">
        <v>59</v>
      </c>
      <c r="I123" s="642">
        <v>44320</v>
      </c>
      <c r="J123" s="18">
        <v>44435</v>
      </c>
      <c r="K123" s="642">
        <v>44427</v>
      </c>
      <c r="L123" s="16">
        <v>8</v>
      </c>
      <c r="M123" s="642"/>
      <c r="N123" s="642" t="s">
        <v>120</v>
      </c>
      <c r="O123" s="1025">
        <v>44427</v>
      </c>
      <c r="P123" s="21" t="s">
        <v>120</v>
      </c>
      <c r="Q123" s="1151">
        <v>27388.629950000002</v>
      </c>
      <c r="R123" s="1026" t="s">
        <v>794</v>
      </c>
      <c r="S123" s="538" t="s">
        <v>709</v>
      </c>
      <c r="T123" s="538" t="s">
        <v>709</v>
      </c>
      <c r="U123" s="28" t="s">
        <v>709</v>
      </c>
      <c r="V123" s="858">
        <v>189</v>
      </c>
      <c r="W123" s="437"/>
      <c r="X123" s="538">
        <v>219773.31</v>
      </c>
      <c r="Y123" s="591"/>
      <c r="Z123" s="538">
        <v>40681.160000000003</v>
      </c>
      <c r="AA123" s="551">
        <v>260454.47</v>
      </c>
      <c r="AB123" s="341"/>
      <c r="AC123" s="568" t="s">
        <v>1177</v>
      </c>
      <c r="AD123" s="1157"/>
      <c r="AE123" s="579"/>
      <c r="AF123" s="579"/>
      <c r="AG123" s="579"/>
      <c r="AH123" s="553"/>
      <c r="AI123" s="1036"/>
      <c r="AJ123" s="1037"/>
      <c r="AK123" s="1037"/>
      <c r="AL123" s="1038"/>
      <c r="AM123" s="536" t="s">
        <v>116</v>
      </c>
      <c r="AN123" s="680" t="s">
        <v>709</v>
      </c>
      <c r="AO123" s="601">
        <v>11038370</v>
      </c>
      <c r="AP123" s="572"/>
      <c r="AQ123" s="572"/>
      <c r="AR123" s="572"/>
      <c r="AS123" s="538">
        <f>IF(Table15910[[#This Row],[PCTS Approved]]="N",0,Table15910[[#This Row],[Investment Amount (1'#'#'#'#'#)]]+Table15910[[#This Row],[Retirement Amount (3'#'#'#'#'#)]])</f>
        <v>0</v>
      </c>
      <c r="AT123" s="538">
        <f>IF(Table15910[[#This Row],[Approved Construction Cost]]=0,0,Table15910[[#This Row],[Approved Construction Cost]]-Table15910[[#This Row],[Construction Cost to Bill From]])</f>
        <v>0</v>
      </c>
      <c r="AU123" s="538">
        <f>IFERROR(Table15910[[#This Row],[Difference in Construction Cost]]*Table15910[[#This Row],[Rate]],Table15910[[#This Row],[Difference in Construction Cost]]*0.085)</f>
        <v>0</v>
      </c>
      <c r="AV123" s="572"/>
      <c r="AW123" s="639"/>
      <c r="AX123" s="538"/>
      <c r="AY123" s="1035" t="s">
        <v>709</v>
      </c>
      <c r="AZ123" s="443">
        <v>166</v>
      </c>
      <c r="BA123" s="859" t="s">
        <v>1225</v>
      </c>
      <c r="BB123" s="644" t="s">
        <v>1226</v>
      </c>
      <c r="BC123" s="544" t="s">
        <v>709</v>
      </c>
      <c r="BD123" s="544" t="s">
        <v>1227</v>
      </c>
      <c r="BE123" s="544" t="s">
        <v>709</v>
      </c>
      <c r="BF123" s="544" t="s">
        <v>709</v>
      </c>
      <c r="BG123" s="544" t="s">
        <v>709</v>
      </c>
      <c r="BH123" s="741"/>
      <c r="BI123" s="547" t="s">
        <v>709</v>
      </c>
      <c r="BJ123" s="547" t="s">
        <v>116</v>
      </c>
      <c r="BK123" s="547" t="s">
        <v>709</v>
      </c>
      <c r="BL123" s="547" t="s">
        <v>116</v>
      </c>
      <c r="BM123" s="547" t="s">
        <v>709</v>
      </c>
      <c r="BN123" s="547" t="s">
        <v>709</v>
      </c>
      <c r="BO123" s="547" t="s">
        <v>709</v>
      </c>
      <c r="BP123" s="547" t="s">
        <v>709</v>
      </c>
      <c r="BQ123" s="547" t="s">
        <v>709</v>
      </c>
      <c r="BR123" s="547" t="s">
        <v>709</v>
      </c>
      <c r="BS123" s="547">
        <v>189</v>
      </c>
      <c r="BT123" s="547" t="s">
        <v>709</v>
      </c>
      <c r="BU123" s="547">
        <v>1</v>
      </c>
      <c r="BV123" s="547" t="s">
        <v>709</v>
      </c>
      <c r="BW123" s="547" t="s">
        <v>709</v>
      </c>
      <c r="BX123" s="547">
        <v>1</v>
      </c>
      <c r="BY123" s="547" t="s">
        <v>709</v>
      </c>
      <c r="BZ123" s="547" t="s">
        <v>709</v>
      </c>
      <c r="CA123" s="483"/>
    </row>
    <row r="124" spans="1:79" ht="15" hidden="1" customHeight="1" x14ac:dyDescent="0.25">
      <c r="A124" s="8" t="s">
        <v>749</v>
      </c>
      <c r="B124" s="8" t="s">
        <v>759</v>
      </c>
      <c r="C124" s="8" t="s">
        <v>326</v>
      </c>
      <c r="D124" s="8" t="s">
        <v>1368</v>
      </c>
      <c r="E124" s="8" t="s">
        <v>327</v>
      </c>
      <c r="F124" s="8" t="s">
        <v>752</v>
      </c>
      <c r="G124" s="8" t="s">
        <v>32</v>
      </c>
      <c r="H124" s="8" t="s">
        <v>59</v>
      </c>
      <c r="I124" s="642">
        <v>44788</v>
      </c>
      <c r="J124" s="18">
        <v>44865</v>
      </c>
      <c r="K124" s="97">
        <v>44861</v>
      </c>
      <c r="L124" s="16">
        <v>4</v>
      </c>
      <c r="M124" s="642"/>
      <c r="N124" s="642" t="s">
        <v>120</v>
      </c>
      <c r="O124" s="1025">
        <v>44866</v>
      </c>
      <c r="P124" s="21" t="s">
        <v>739</v>
      </c>
      <c r="Q124" s="300">
        <v>25950.77375</v>
      </c>
      <c r="R124" s="1026" t="s">
        <v>1055</v>
      </c>
      <c r="S124" s="538"/>
      <c r="T124" s="538"/>
      <c r="U124" s="87"/>
      <c r="V124" s="858">
        <v>6</v>
      </c>
      <c r="W124" s="437">
        <v>2</v>
      </c>
      <c r="X124" s="570">
        <v>173326.94</v>
      </c>
      <c r="Y124" s="592"/>
      <c r="Z124" s="570">
        <v>40799.81</v>
      </c>
      <c r="AA124" s="552">
        <v>214126.75</v>
      </c>
      <c r="AB124" s="341">
        <v>44887</v>
      </c>
      <c r="AC124" s="568" t="s">
        <v>116</v>
      </c>
      <c r="AD124" s="1157" t="s">
        <v>709</v>
      </c>
      <c r="AE124" s="579"/>
      <c r="AF124" s="579"/>
      <c r="AG124" s="579"/>
      <c r="AH124" s="553"/>
      <c r="AI124" s="1036"/>
      <c r="AJ124" s="1037"/>
      <c r="AK124" s="1037"/>
      <c r="AL124" s="1038"/>
      <c r="AM124" s="536" t="s">
        <v>116</v>
      </c>
      <c r="AN124" s="680" t="s">
        <v>709</v>
      </c>
      <c r="AO124" s="601" t="s">
        <v>115</v>
      </c>
      <c r="AP124" s="572"/>
      <c r="AQ124" s="572"/>
      <c r="AR124" s="572"/>
      <c r="AS124" s="538">
        <f>IF(Table15910[[#This Row],[PCTS Approved]]="N",0,Table15910[[#This Row],[Investment Amount (1'#'#'#'#'#)]]+Table15910[[#This Row],[Retirement Amount (3'#'#'#'#'#)]])</f>
        <v>0</v>
      </c>
      <c r="AT124" s="538">
        <f>IF(Table15910[[#This Row],[Approved Construction Cost]]=0,0,Table15910[[#This Row],[Approved Construction Cost]]-Table15910[[#This Row],[Construction Cost to Bill From]])</f>
        <v>0</v>
      </c>
      <c r="AU124" s="538">
        <f>IFERROR(Table15910[[#This Row],[Difference in Construction Cost]]*Table15910[[#This Row],[Rate]],Table15910[[#This Row],[Difference in Construction Cost]]*0.085)</f>
        <v>0</v>
      </c>
      <c r="AV124" s="572"/>
      <c r="AW124" s="639"/>
      <c r="AX124" s="538"/>
      <c r="AY124" s="1035" t="s">
        <v>709</v>
      </c>
      <c r="AZ124" s="443">
        <v>189</v>
      </c>
      <c r="BA124" s="859" t="s">
        <v>1369</v>
      </c>
      <c r="BB124" s="644" t="s">
        <v>1370</v>
      </c>
      <c r="BC124" s="544" t="s">
        <v>709</v>
      </c>
      <c r="BD124" s="544" t="s">
        <v>882</v>
      </c>
      <c r="BE124" s="544" t="s">
        <v>448</v>
      </c>
      <c r="BF124" s="544" t="s">
        <v>115</v>
      </c>
      <c r="BG124" s="544" t="s">
        <v>115</v>
      </c>
      <c r="BH124" s="741" t="s">
        <v>4959</v>
      </c>
      <c r="BI124" s="547" t="s">
        <v>709</v>
      </c>
      <c r="BJ124" s="547" t="s">
        <v>709</v>
      </c>
      <c r="BK124" s="547" t="s">
        <v>116</v>
      </c>
      <c r="BL124" s="547" t="s">
        <v>709</v>
      </c>
      <c r="BM124" s="547">
        <v>0</v>
      </c>
      <c r="BN124" s="549">
        <v>0</v>
      </c>
      <c r="BO124" s="547">
        <v>0</v>
      </c>
      <c r="BP124" s="547">
        <v>0</v>
      </c>
      <c r="BQ124" s="547">
        <v>0</v>
      </c>
      <c r="BR124" s="547">
        <v>6</v>
      </c>
      <c r="BS124" s="547">
        <v>0</v>
      </c>
      <c r="BT124" s="547">
        <v>0</v>
      </c>
      <c r="BU124" s="547">
        <v>0</v>
      </c>
      <c r="BV124" s="547">
        <v>0</v>
      </c>
      <c r="BW124" s="547">
        <v>1</v>
      </c>
      <c r="BX124" s="547">
        <v>1</v>
      </c>
      <c r="BY124" s="547">
        <v>0</v>
      </c>
      <c r="BZ124" s="547" t="s">
        <v>709</v>
      </c>
      <c r="CA124" s="483"/>
    </row>
    <row r="125" spans="1:79" s="447" customFormat="1" ht="15" hidden="1" customHeight="1" x14ac:dyDescent="0.25">
      <c r="A125" s="8" t="s">
        <v>800</v>
      </c>
      <c r="B125" s="8" t="s">
        <v>4</v>
      </c>
      <c r="C125" s="1497" t="s">
        <v>1122</v>
      </c>
      <c r="D125" s="8" t="s">
        <v>1123</v>
      </c>
      <c r="E125" s="8" t="s">
        <v>910</v>
      </c>
      <c r="F125" s="8" t="s">
        <v>784</v>
      </c>
      <c r="G125" s="8" t="s">
        <v>25</v>
      </c>
      <c r="H125" s="8" t="s">
        <v>59</v>
      </c>
      <c r="I125" s="642">
        <v>45336</v>
      </c>
      <c r="J125" s="18">
        <v>45443</v>
      </c>
      <c r="K125" s="97">
        <v>45418</v>
      </c>
      <c r="L125" s="16">
        <v>25</v>
      </c>
      <c r="M125" s="642"/>
      <c r="N125" s="642" t="s">
        <v>120</v>
      </c>
      <c r="O125" s="1060">
        <v>45413</v>
      </c>
      <c r="P125" s="1152" t="s">
        <v>739</v>
      </c>
      <c r="Q125" s="340">
        <v>33373.732000000004</v>
      </c>
      <c r="R125" s="1026">
        <v>0.1</v>
      </c>
      <c r="S125" s="538"/>
      <c r="T125" s="538"/>
      <c r="U125" s="87"/>
      <c r="V125" s="858">
        <v>368</v>
      </c>
      <c r="W125" s="437">
        <v>0</v>
      </c>
      <c r="X125" s="538">
        <v>279430.8</v>
      </c>
      <c r="Y125" s="551"/>
      <c r="Z125" s="552">
        <v>54306.52</v>
      </c>
      <c r="AA125" s="552">
        <v>333737.32</v>
      </c>
      <c r="AB125" s="341">
        <v>45414</v>
      </c>
      <c r="AC125" s="569" t="s">
        <v>29</v>
      </c>
      <c r="AD125" s="1149" t="s">
        <v>29</v>
      </c>
      <c r="AE125" s="568" t="s">
        <v>116</v>
      </c>
      <c r="AF125" s="568" t="s">
        <v>29</v>
      </c>
      <c r="AG125" s="568" t="s">
        <v>376</v>
      </c>
      <c r="AH125" s="183">
        <v>45475</v>
      </c>
      <c r="AI125" s="1028">
        <v>0</v>
      </c>
      <c r="AJ125" s="1029">
        <v>36956.5</v>
      </c>
      <c r="AK125" s="1029">
        <v>777</v>
      </c>
      <c r="AL125" s="1030">
        <v>1.1306347159496575</v>
      </c>
      <c r="AM125" s="536" t="s">
        <v>116</v>
      </c>
      <c r="AN125" s="801">
        <v>45482</v>
      </c>
      <c r="AO125" s="806">
        <v>11085898</v>
      </c>
      <c r="AP125" s="718">
        <v>284240.23</v>
      </c>
      <c r="AQ125" s="682"/>
      <c r="AR125" s="718">
        <v>55608.68</v>
      </c>
      <c r="AS125" s="538">
        <f>IF(Table15910[[#This Row],[PCTS Approved]]="N",0,Table15910[[#This Row],[Investment Amount (1'#'#'#'#'#)]]+Table15910[[#This Row],[Retirement Amount (3'#'#'#'#'#)]])</f>
        <v>339848.91</v>
      </c>
      <c r="AT125" s="538">
        <f>IF(Table15910[[#This Row],[Approved Construction Cost]]=0,0,Table15910[[#This Row],[Approved Construction Cost]]-Table15910[[#This Row],[Construction Cost to Bill From]])</f>
        <v>6111.5899999999674</v>
      </c>
      <c r="AU125" s="538">
        <f>IFERROR(Table15910[[#This Row],[Difference in Construction Cost]]*Table15910[[#This Row],[Rate]],Table15910[[#This Row],[Difference in Construction Cost]]*0.085)</f>
        <v>611.15899999999681</v>
      </c>
      <c r="AV125" s="1311" t="s">
        <v>29</v>
      </c>
      <c r="AW125" s="1429" t="s">
        <v>6284</v>
      </c>
      <c r="AX125" s="555"/>
      <c r="AY125" s="1035" t="s">
        <v>709</v>
      </c>
      <c r="AZ125" s="443">
        <v>137</v>
      </c>
      <c r="BA125" s="1074" t="s">
        <v>1125</v>
      </c>
      <c r="BB125" s="644" t="s">
        <v>912</v>
      </c>
      <c r="BC125" s="559" t="s">
        <v>116</v>
      </c>
      <c r="BD125" s="554" t="s">
        <v>115</v>
      </c>
      <c r="BE125" s="588" t="s">
        <v>913</v>
      </c>
      <c r="BF125" s="588" t="s">
        <v>115</v>
      </c>
      <c r="BG125" s="588" t="s">
        <v>115</v>
      </c>
      <c r="BH125" s="615" t="s">
        <v>1126</v>
      </c>
      <c r="BI125" s="547" t="s">
        <v>709</v>
      </c>
      <c r="BJ125" s="547" t="s">
        <v>709</v>
      </c>
      <c r="BK125" s="547" t="s">
        <v>709</v>
      </c>
      <c r="BL125" s="547" t="s">
        <v>116</v>
      </c>
      <c r="BM125" s="547" t="s">
        <v>709</v>
      </c>
      <c r="BN125" s="547" t="s">
        <v>709</v>
      </c>
      <c r="BO125" s="547" t="s">
        <v>709</v>
      </c>
      <c r="BP125" s="626" t="s">
        <v>709</v>
      </c>
      <c r="BQ125" s="626" t="s">
        <v>709</v>
      </c>
      <c r="BR125" s="549" t="s">
        <v>709</v>
      </c>
      <c r="BS125" s="549">
        <v>368</v>
      </c>
      <c r="BT125" s="547" t="s">
        <v>745</v>
      </c>
      <c r="BU125" s="547" t="s">
        <v>709</v>
      </c>
      <c r="BV125" s="547" t="s">
        <v>745</v>
      </c>
      <c r="BW125" s="547" t="s">
        <v>709</v>
      </c>
      <c r="BX125" s="547" t="s">
        <v>745</v>
      </c>
      <c r="BY125" s="547" t="s">
        <v>745</v>
      </c>
      <c r="BZ125" s="547" t="s">
        <v>709</v>
      </c>
      <c r="CA125" s="483" t="s">
        <v>6832</v>
      </c>
    </row>
    <row r="126" spans="1:79" ht="15" hidden="1" customHeight="1" x14ac:dyDescent="0.25">
      <c r="A126" s="874">
        <v>2025</v>
      </c>
      <c r="B126" s="878" t="s">
        <v>1205</v>
      </c>
      <c r="C126" s="879" t="s">
        <v>8050</v>
      </c>
      <c r="D126" s="880" t="s">
        <v>8262</v>
      </c>
      <c r="E126" s="879" t="s">
        <v>8263</v>
      </c>
      <c r="F126" s="878" t="s">
        <v>784</v>
      </c>
      <c r="G126" s="878" t="s">
        <v>8264</v>
      </c>
      <c r="H126" s="878" t="s">
        <v>59</v>
      </c>
      <c r="I126" s="881">
        <v>45587</v>
      </c>
      <c r="J126" s="882">
        <v>45702</v>
      </c>
      <c r="K126" s="883">
        <v>45700</v>
      </c>
      <c r="L126" s="884">
        <v>2</v>
      </c>
      <c r="M126" s="879"/>
      <c r="N126" s="885" t="s">
        <v>739</v>
      </c>
      <c r="O126" s="886">
        <v>45689</v>
      </c>
      <c r="P126" s="1153" t="s">
        <v>739</v>
      </c>
      <c r="Q126" s="1150">
        <v>53833.791599999997</v>
      </c>
      <c r="R126" s="887">
        <v>0.09</v>
      </c>
      <c r="S126" s="888" t="s">
        <v>29</v>
      </c>
      <c r="T126" s="888" t="s">
        <v>29</v>
      </c>
      <c r="U126" s="889" t="s">
        <v>29</v>
      </c>
      <c r="V126" s="890">
        <v>925</v>
      </c>
      <c r="W126" s="1021">
        <v>0</v>
      </c>
      <c r="X126" s="888">
        <v>524566.69999999995</v>
      </c>
      <c r="Y126" s="891"/>
      <c r="Z126" s="888">
        <v>73586.539999999994</v>
      </c>
      <c r="AA126" s="892">
        <v>598153.24</v>
      </c>
      <c r="AB126" s="893">
        <v>45705</v>
      </c>
      <c r="AC126" s="894" t="s">
        <v>116</v>
      </c>
      <c r="AD126" s="1160" t="s">
        <v>29</v>
      </c>
      <c r="AE126" s="895" t="s">
        <v>29</v>
      </c>
      <c r="AF126" s="895" t="s">
        <v>29</v>
      </c>
      <c r="AG126" s="896" t="s">
        <v>116</v>
      </c>
      <c r="AH126" s="897">
        <v>45707</v>
      </c>
      <c r="AI126" s="898">
        <v>12600</v>
      </c>
      <c r="AJ126" s="899">
        <v>0</v>
      </c>
      <c r="AK126" s="961">
        <v>2355.79</v>
      </c>
      <c r="AL126" s="901">
        <v>0.27781416756088201</v>
      </c>
      <c r="AM126" s="902" t="s">
        <v>116</v>
      </c>
      <c r="AN126" s="1279" t="s">
        <v>709</v>
      </c>
      <c r="AO126" s="1292">
        <v>11096170</v>
      </c>
      <c r="AP126" s="905"/>
      <c r="AQ126" s="905"/>
      <c r="AR126" s="905"/>
      <c r="AS126" s="538">
        <f>IF(Table15910[[#This Row],[PCTS Approved]]="N",0,Table15910[[#This Row],[Investment Amount (1'#'#'#'#'#)]]+Table15910[[#This Row],[Retirement Amount (3'#'#'#'#'#)]])</f>
        <v>0</v>
      </c>
      <c r="AT126" s="538">
        <f>IF(Table15910[[#This Row],[Approved Construction Cost]]=0,0,Table15910[[#This Row],[Approved Construction Cost]]-Table15910[[#This Row],[Construction Cost to Bill From]])</f>
        <v>0</v>
      </c>
      <c r="AU126" s="538">
        <f>IFERROR(Table15910[[#This Row],[Difference in Construction Cost]]*Table15910[[#This Row],[Rate]],Table15910[[#This Row],[Difference in Construction Cost]]*0.085)</f>
        <v>0</v>
      </c>
      <c r="AV126" s="906"/>
      <c r="AW126" s="907"/>
      <c r="AX126" s="908"/>
      <c r="AY126" s="909" t="s">
        <v>709</v>
      </c>
      <c r="AZ126" s="1022"/>
      <c r="BA126" s="910" t="s">
        <v>8265</v>
      </c>
      <c r="BB126" s="911" t="s">
        <v>8266</v>
      </c>
      <c r="BC126" s="912" t="s">
        <v>709</v>
      </c>
      <c r="BD126" s="913" t="s">
        <v>1140</v>
      </c>
      <c r="BE126" s="914" t="s">
        <v>8267</v>
      </c>
      <c r="BF126" s="914" t="s">
        <v>1859</v>
      </c>
      <c r="BG126" s="915" t="s">
        <v>29</v>
      </c>
      <c r="BH126" s="1023" t="s">
        <v>8268</v>
      </c>
      <c r="BI126" s="929" t="s">
        <v>709</v>
      </c>
      <c r="BJ126" s="929" t="s">
        <v>709</v>
      </c>
      <c r="BK126" s="916" t="s">
        <v>116</v>
      </c>
      <c r="BL126" s="916" t="s">
        <v>709</v>
      </c>
      <c r="BM126" s="916">
        <v>0</v>
      </c>
      <c r="BN126" s="916">
        <v>0</v>
      </c>
      <c r="BO126" s="916">
        <v>0</v>
      </c>
      <c r="BP126" s="916">
        <v>925</v>
      </c>
      <c r="BQ126" s="916">
        <v>0</v>
      </c>
      <c r="BR126" s="916">
        <v>0</v>
      </c>
      <c r="BS126" s="916">
        <v>0</v>
      </c>
      <c r="BT126" s="916">
        <v>0</v>
      </c>
      <c r="BU126" s="916">
        <v>0</v>
      </c>
      <c r="BV126" s="916">
        <v>0</v>
      </c>
      <c r="BW126" s="916">
        <v>0</v>
      </c>
      <c r="BX126" s="916">
        <v>0</v>
      </c>
      <c r="BY126" s="916">
        <v>0</v>
      </c>
      <c r="BZ126" s="916" t="s">
        <v>709</v>
      </c>
      <c r="CA126" s="483"/>
    </row>
    <row r="127" spans="1:79" ht="15" hidden="1" customHeight="1" x14ac:dyDescent="0.25">
      <c r="A127" s="874" t="s">
        <v>6816</v>
      </c>
      <c r="B127" s="878" t="s">
        <v>4</v>
      </c>
      <c r="C127" s="879" t="s">
        <v>8921</v>
      </c>
      <c r="D127" s="880" t="s">
        <v>8922</v>
      </c>
      <c r="E127" s="879" t="s">
        <v>5043</v>
      </c>
      <c r="F127" s="878" t="s">
        <v>6874</v>
      </c>
      <c r="G127" s="878" t="s">
        <v>6377</v>
      </c>
      <c r="H127" s="878" t="s">
        <v>59</v>
      </c>
      <c r="I127" s="881">
        <v>45719</v>
      </c>
      <c r="J127" s="882">
        <v>45835</v>
      </c>
      <c r="K127" s="1196">
        <v>45833</v>
      </c>
      <c r="L127" s="884">
        <v>2</v>
      </c>
      <c r="M127" s="879"/>
      <c r="N127" s="885" t="s">
        <v>739</v>
      </c>
      <c r="O127" s="886" t="s">
        <v>376</v>
      </c>
      <c r="P127" s="1153" t="s">
        <v>739</v>
      </c>
      <c r="Q127" s="1150">
        <v>13552.3626</v>
      </c>
      <c r="R127" s="887">
        <v>0.1</v>
      </c>
      <c r="S127" s="888" t="s">
        <v>29</v>
      </c>
      <c r="T127" s="888" t="s">
        <v>29</v>
      </c>
      <c r="U127" s="889" t="s">
        <v>29</v>
      </c>
      <c r="V127" s="1232">
        <v>253</v>
      </c>
      <c r="W127" s="1233" t="s">
        <v>29</v>
      </c>
      <c r="X127" s="1015">
        <v>145455.97</v>
      </c>
      <c r="Y127" s="1236"/>
      <c r="Z127" s="1015">
        <v>48149.21</v>
      </c>
      <c r="AA127" s="892">
        <v>193605.18</v>
      </c>
      <c r="AB127" s="992">
        <v>45819</v>
      </c>
      <c r="AC127" s="1166" t="s">
        <v>29</v>
      </c>
      <c r="AD127" s="1229" t="s">
        <v>29</v>
      </c>
      <c r="AE127" s="1166" t="s">
        <v>756</v>
      </c>
      <c r="AF127" s="1260" t="s">
        <v>756</v>
      </c>
      <c r="AG127" s="896" t="s">
        <v>376</v>
      </c>
      <c r="AH127" s="897" t="s">
        <v>376</v>
      </c>
      <c r="AI127" s="1234" t="s">
        <v>29</v>
      </c>
      <c r="AJ127" s="1235">
        <v>5154.7</v>
      </c>
      <c r="AK127" s="1297">
        <v>7253.01</v>
      </c>
      <c r="AL127" s="901">
        <v>0.91553852019868465</v>
      </c>
      <c r="AM127" s="902" t="s">
        <v>116</v>
      </c>
      <c r="AN127" s="1353" t="s">
        <v>709</v>
      </c>
      <c r="AO127" s="904"/>
      <c r="AP127" s="905"/>
      <c r="AQ127" s="905"/>
      <c r="AR127" s="905"/>
      <c r="AS127" s="538">
        <f>IF(Table15910[[#This Row],[PCTS Approved]]="N",0,Table15910[[#This Row],[Investment Amount (1'#'#'#'#'#)]]+Table15910[[#This Row],[Retirement Amount (3'#'#'#'#'#)]])</f>
        <v>0</v>
      </c>
      <c r="AT127" s="538">
        <f>IF(Table15910[[#This Row],[Approved Construction Cost]]=0,0,Table15910[[#This Row],[Approved Construction Cost]]-Table15910[[#This Row],[Construction Cost to Bill From]])</f>
        <v>0</v>
      </c>
      <c r="AU127" s="538">
        <f>IFERROR(Table15910[[#This Row],[Difference in Construction Cost]]*Table15910[[#This Row],[Rate]],Table15910[[#This Row],[Difference in Construction Cost]]*0.085)</f>
        <v>0</v>
      </c>
      <c r="AV127" s="906"/>
      <c r="AW127" s="907"/>
      <c r="AX127" s="908"/>
      <c r="AY127" s="909" t="s">
        <v>709</v>
      </c>
      <c r="AZ127" s="1022"/>
      <c r="BA127" s="910" t="s">
        <v>8923</v>
      </c>
      <c r="BB127" s="911" t="s">
        <v>8924</v>
      </c>
      <c r="BC127" s="912" t="s">
        <v>116</v>
      </c>
      <c r="BD127" s="913" t="s">
        <v>709</v>
      </c>
      <c r="BE127" s="914" t="s">
        <v>7490</v>
      </c>
      <c r="BF127" s="914" t="s">
        <v>7490</v>
      </c>
      <c r="BG127" s="915" t="s">
        <v>709</v>
      </c>
      <c r="BH127" s="1023" t="s">
        <v>8925</v>
      </c>
      <c r="BI127" s="1231" t="s">
        <v>745</v>
      </c>
      <c r="BJ127" s="1231" t="s">
        <v>745</v>
      </c>
      <c r="BK127" s="1198" t="s">
        <v>745</v>
      </c>
      <c r="BL127" s="1198" t="s">
        <v>116</v>
      </c>
      <c r="BM127" s="1198">
        <v>0</v>
      </c>
      <c r="BN127" s="1198">
        <v>0</v>
      </c>
      <c r="BO127" s="1198">
        <v>0</v>
      </c>
      <c r="BP127" s="1198">
        <v>0</v>
      </c>
      <c r="BQ127" s="1198">
        <v>0</v>
      </c>
      <c r="BR127" s="1198">
        <v>253</v>
      </c>
      <c r="BS127" s="1198">
        <v>0</v>
      </c>
      <c r="BT127" s="1198">
        <v>0</v>
      </c>
      <c r="BU127" s="1198">
        <v>0</v>
      </c>
      <c r="BV127" s="1198">
        <v>0</v>
      </c>
      <c r="BW127" s="1198">
        <v>0</v>
      </c>
      <c r="BX127" s="1198">
        <v>0</v>
      </c>
      <c r="BY127" s="1198">
        <v>0</v>
      </c>
      <c r="BZ127" s="1198" t="s">
        <v>745</v>
      </c>
      <c r="CA127" s="485" t="s">
        <v>8174</v>
      </c>
    </row>
    <row r="128" spans="1:79" ht="15" hidden="1" customHeight="1" x14ac:dyDescent="0.25">
      <c r="A128" s="8" t="s">
        <v>800</v>
      </c>
      <c r="B128" s="8" t="s">
        <v>4</v>
      </c>
      <c r="C128" s="1497" t="s">
        <v>1774</v>
      </c>
      <c r="D128" s="8" t="s">
        <v>1775</v>
      </c>
      <c r="E128" s="8" t="s">
        <v>155</v>
      </c>
      <c r="F128" s="8" t="s">
        <v>784</v>
      </c>
      <c r="G128" s="8" t="s">
        <v>28</v>
      </c>
      <c r="H128" s="8" t="s">
        <v>59</v>
      </c>
      <c r="I128" s="642">
        <v>45307</v>
      </c>
      <c r="J128" s="18">
        <v>45436</v>
      </c>
      <c r="K128" s="97">
        <v>45413</v>
      </c>
      <c r="L128" s="16">
        <v>23</v>
      </c>
      <c r="M128" s="642"/>
      <c r="N128" s="642" t="s">
        <v>120</v>
      </c>
      <c r="O128" s="1060">
        <v>45413</v>
      </c>
      <c r="P128" s="1152" t="s">
        <v>739</v>
      </c>
      <c r="Q128" s="340">
        <v>11779.631000000001</v>
      </c>
      <c r="R128" s="1026">
        <v>0.1</v>
      </c>
      <c r="S128" s="538"/>
      <c r="T128" s="538"/>
      <c r="U128" s="87"/>
      <c r="V128" s="858">
        <v>203</v>
      </c>
      <c r="W128" s="437">
        <v>0</v>
      </c>
      <c r="X128" s="538">
        <v>104917.16</v>
      </c>
      <c r="Y128" s="551"/>
      <c r="Z128" s="552">
        <v>12879.15</v>
      </c>
      <c r="AA128" s="552">
        <v>117796.31</v>
      </c>
      <c r="AB128" s="341">
        <v>45352</v>
      </c>
      <c r="AC128" s="569" t="s">
        <v>29</v>
      </c>
      <c r="AD128" s="1149" t="s">
        <v>29</v>
      </c>
      <c r="AE128" s="568" t="s">
        <v>116</v>
      </c>
      <c r="AF128" s="568" t="s">
        <v>116</v>
      </c>
      <c r="AG128" s="569" t="s">
        <v>376</v>
      </c>
      <c r="AH128" s="183">
        <v>45447</v>
      </c>
      <c r="AI128" s="1028" t="s">
        <v>115</v>
      </c>
      <c r="AJ128" s="1029">
        <v>2550</v>
      </c>
      <c r="AK128" s="1029" t="s">
        <v>115</v>
      </c>
      <c r="AL128" s="1030">
        <v>0.21647537176673867</v>
      </c>
      <c r="AM128" s="536" t="s">
        <v>116</v>
      </c>
      <c r="AN128" s="801">
        <v>45524</v>
      </c>
      <c r="AO128" s="806">
        <v>11089694</v>
      </c>
      <c r="AP128" s="718">
        <v>107241.82</v>
      </c>
      <c r="AQ128" s="718"/>
      <c r="AR128" s="718">
        <v>13259.35</v>
      </c>
      <c r="AS128" s="538">
        <f>IF(Table15910[[#This Row],[PCTS Approved]]="N",0,Table15910[[#This Row],[Investment Amount (1'#'#'#'#'#)]]+Table15910[[#This Row],[Retirement Amount (3'#'#'#'#'#)]])</f>
        <v>120501.17000000001</v>
      </c>
      <c r="AT128" s="538">
        <f>IF(Table15910[[#This Row],[Approved Construction Cost]]=0,0,Table15910[[#This Row],[Approved Construction Cost]]-Table15910[[#This Row],[Construction Cost to Bill From]])</f>
        <v>2704.8600000000151</v>
      </c>
      <c r="AU128" s="538">
        <f>IFERROR(Table15910[[#This Row],[Difference in Construction Cost]]*Table15910[[#This Row],[Rate]],Table15910[[#This Row],[Difference in Construction Cost]]*0.085)</f>
        <v>270.48600000000152</v>
      </c>
      <c r="AV128" s="803">
        <v>3052.5</v>
      </c>
      <c r="AW128" s="1429" t="s">
        <v>5454</v>
      </c>
      <c r="AX128" s="555"/>
      <c r="AY128" s="1035" t="s">
        <v>709</v>
      </c>
      <c r="AZ128" s="443">
        <v>136</v>
      </c>
      <c r="BA128" s="1074" t="s">
        <v>1776</v>
      </c>
      <c r="BB128" s="644" t="s">
        <v>1750</v>
      </c>
      <c r="BC128" s="544" t="s">
        <v>115</v>
      </c>
      <c r="BD128" s="554" t="s">
        <v>882</v>
      </c>
      <c r="BE128" s="588" t="s">
        <v>115</v>
      </c>
      <c r="BF128" s="588" t="s">
        <v>115</v>
      </c>
      <c r="BG128" s="548" t="s">
        <v>1505</v>
      </c>
      <c r="BH128" s="615" t="s">
        <v>1777</v>
      </c>
      <c r="BI128" s="547" t="s">
        <v>709</v>
      </c>
      <c r="BJ128" s="549" t="s">
        <v>709</v>
      </c>
      <c r="BK128" s="547" t="s">
        <v>709</v>
      </c>
      <c r="BL128" s="547" t="s">
        <v>116</v>
      </c>
      <c r="BM128" s="626" t="s">
        <v>709</v>
      </c>
      <c r="BN128" s="626" t="s">
        <v>709</v>
      </c>
      <c r="BO128" s="626" t="s">
        <v>709</v>
      </c>
      <c r="BP128" s="626" t="s">
        <v>709</v>
      </c>
      <c r="BQ128" s="626" t="s">
        <v>709</v>
      </c>
      <c r="BR128" s="549">
        <v>203</v>
      </c>
      <c r="BS128" s="549" t="s">
        <v>709</v>
      </c>
      <c r="BT128" s="549" t="s">
        <v>745</v>
      </c>
      <c r="BU128" s="549" t="s">
        <v>709</v>
      </c>
      <c r="BV128" s="549" t="s">
        <v>745</v>
      </c>
      <c r="BW128" s="549" t="s">
        <v>709</v>
      </c>
      <c r="BX128" s="547" t="s">
        <v>745</v>
      </c>
      <c r="BY128" s="549" t="s">
        <v>745</v>
      </c>
      <c r="BZ128" s="547" t="s">
        <v>709</v>
      </c>
      <c r="CA128" s="485" t="s">
        <v>8174</v>
      </c>
    </row>
    <row r="129" spans="1:79" ht="15" hidden="1" customHeight="1" x14ac:dyDescent="0.25">
      <c r="A129" s="878" t="s">
        <v>6816</v>
      </c>
      <c r="B129" s="878" t="s">
        <v>4</v>
      </c>
      <c r="C129" s="878" t="s">
        <v>8169</v>
      </c>
      <c r="D129" s="878" t="s">
        <v>8170</v>
      </c>
      <c r="E129" s="878" t="s">
        <v>1200</v>
      </c>
      <c r="F129" s="878" t="s">
        <v>784</v>
      </c>
      <c r="G129" s="878" t="s">
        <v>6377</v>
      </c>
      <c r="H129" s="878" t="s">
        <v>59</v>
      </c>
      <c r="I129" s="883">
        <v>45607</v>
      </c>
      <c r="J129" s="882">
        <v>45667</v>
      </c>
      <c r="K129" s="882">
        <v>45665</v>
      </c>
      <c r="L129" s="919">
        <v>2</v>
      </c>
      <c r="M129" s="879"/>
      <c r="N129" s="885" t="s">
        <v>120</v>
      </c>
      <c r="O129" s="886">
        <v>45658</v>
      </c>
      <c r="P129" s="1153" t="s">
        <v>739</v>
      </c>
      <c r="Q129" s="1150">
        <v>95879.749000000011</v>
      </c>
      <c r="R129" s="887">
        <v>0.1</v>
      </c>
      <c r="S129" s="888" t="s">
        <v>29</v>
      </c>
      <c r="T129" s="888" t="s">
        <v>29</v>
      </c>
      <c r="U129" s="889" t="s">
        <v>29</v>
      </c>
      <c r="V129" s="890">
        <v>3343</v>
      </c>
      <c r="W129" s="995" t="s">
        <v>29</v>
      </c>
      <c r="X129" s="888">
        <v>896849.48</v>
      </c>
      <c r="Y129" s="891"/>
      <c r="Z129" s="892">
        <v>61948.01</v>
      </c>
      <c r="AA129" s="892">
        <v>958797.49</v>
      </c>
      <c r="AB129" s="893">
        <v>45664</v>
      </c>
      <c r="AC129" s="896" t="s">
        <v>29</v>
      </c>
      <c r="AD129" s="1155" t="s">
        <v>29</v>
      </c>
      <c r="AE129" s="894" t="s">
        <v>756</v>
      </c>
      <c r="AF129" s="894" t="s">
        <v>756</v>
      </c>
      <c r="AG129" s="897" t="s">
        <v>116</v>
      </c>
      <c r="AH129" s="897">
        <v>45672</v>
      </c>
      <c r="AI129" s="898">
        <v>0</v>
      </c>
      <c r="AJ129" s="899">
        <v>0</v>
      </c>
      <c r="AK129" s="938">
        <v>0</v>
      </c>
      <c r="AL129" s="901">
        <v>0</v>
      </c>
      <c r="AM129" s="902" t="s">
        <v>116</v>
      </c>
      <c r="AN129" s="1353" t="s">
        <v>709</v>
      </c>
      <c r="AO129" s="904"/>
      <c r="AP129" s="905"/>
      <c r="AQ129" s="905"/>
      <c r="AR129" s="905"/>
      <c r="AS129" s="538">
        <f>IF(Table15910[[#This Row],[PCTS Approved]]="N",0,Table15910[[#This Row],[Investment Amount (1'#'#'#'#'#)]]+Table15910[[#This Row],[Retirement Amount (3'#'#'#'#'#)]])</f>
        <v>0</v>
      </c>
      <c r="AT129" s="538">
        <f>IF(Table15910[[#This Row],[Approved Construction Cost]]=0,0,Table15910[[#This Row],[Approved Construction Cost]]-Table15910[[#This Row],[Construction Cost to Bill From]])</f>
        <v>0</v>
      </c>
      <c r="AU129" s="538">
        <f>IFERROR(Table15910[[#This Row],[Difference in Construction Cost]]*Table15910[[#This Row],[Rate]],Table15910[[#This Row],[Difference in Construction Cost]]*0.085)</f>
        <v>0</v>
      </c>
      <c r="AV129" s="906"/>
      <c r="AW129" s="907"/>
      <c r="AX129" s="908"/>
      <c r="AY129" s="909" t="s">
        <v>709</v>
      </c>
      <c r="AZ129" s="1168"/>
      <c r="BA129" s="910" t="s">
        <v>8171</v>
      </c>
      <c r="BB129" s="928" t="s">
        <v>8172</v>
      </c>
      <c r="BC129" s="912" t="s">
        <v>992</v>
      </c>
      <c r="BD129" s="912" t="s">
        <v>709</v>
      </c>
      <c r="BE129" s="913" t="s">
        <v>1203</v>
      </c>
      <c r="BF129" s="914" t="s">
        <v>709</v>
      </c>
      <c r="BG129" s="914" t="s">
        <v>709</v>
      </c>
      <c r="BH129" s="1023" t="s">
        <v>8173</v>
      </c>
      <c r="BI129" s="1032" t="s">
        <v>709</v>
      </c>
      <c r="BJ129" s="1032" t="s">
        <v>709</v>
      </c>
      <c r="BK129" s="1032" t="s">
        <v>709</v>
      </c>
      <c r="BL129" s="1032" t="s">
        <v>116</v>
      </c>
      <c r="BM129" s="1032" t="s">
        <v>709</v>
      </c>
      <c r="BN129" s="1032" t="s">
        <v>709</v>
      </c>
      <c r="BO129" s="1032" t="s">
        <v>709</v>
      </c>
      <c r="BP129" s="1032" t="s">
        <v>709</v>
      </c>
      <c r="BQ129" s="1032" t="s">
        <v>709</v>
      </c>
      <c r="BR129" s="1032">
        <v>2192</v>
      </c>
      <c r="BS129" s="1032">
        <v>1151</v>
      </c>
      <c r="BT129" s="1032" t="s">
        <v>709</v>
      </c>
      <c r="BU129" s="1032" t="s">
        <v>709</v>
      </c>
      <c r="BV129" s="1032" t="s">
        <v>709</v>
      </c>
      <c r="BW129" s="1032" t="s">
        <v>709</v>
      </c>
      <c r="BX129" s="1032" t="s">
        <v>709</v>
      </c>
      <c r="BY129" s="1032" t="s">
        <v>709</v>
      </c>
      <c r="BZ129" s="1032" t="s">
        <v>709</v>
      </c>
      <c r="CA129" s="917"/>
    </row>
    <row r="130" spans="1:79" ht="15" hidden="1" customHeight="1" x14ac:dyDescent="0.25">
      <c r="A130" s="878" t="s">
        <v>6816</v>
      </c>
      <c r="B130" s="878" t="s">
        <v>4</v>
      </c>
      <c r="C130" s="878" t="s">
        <v>8175</v>
      </c>
      <c r="D130" s="878" t="s">
        <v>8176</v>
      </c>
      <c r="E130" s="878" t="s">
        <v>1200</v>
      </c>
      <c r="F130" s="878" t="s">
        <v>784</v>
      </c>
      <c r="G130" s="878" t="s">
        <v>6377</v>
      </c>
      <c r="H130" s="878" t="s">
        <v>59</v>
      </c>
      <c r="I130" s="883">
        <v>45607</v>
      </c>
      <c r="J130" s="882">
        <v>45667</v>
      </c>
      <c r="K130" s="882">
        <v>45665</v>
      </c>
      <c r="L130" s="919">
        <v>2</v>
      </c>
      <c r="M130" s="879"/>
      <c r="N130" s="885" t="s">
        <v>120</v>
      </c>
      <c r="O130" s="886">
        <v>45658</v>
      </c>
      <c r="P130" s="1153" t="s">
        <v>739</v>
      </c>
      <c r="Q130" s="1150">
        <v>24030.589</v>
      </c>
      <c r="R130" s="887">
        <v>0.1</v>
      </c>
      <c r="S130" s="888" t="s">
        <v>29</v>
      </c>
      <c r="T130" s="888" t="s">
        <v>29</v>
      </c>
      <c r="U130" s="889" t="s">
        <v>29</v>
      </c>
      <c r="V130" s="890">
        <v>1053</v>
      </c>
      <c r="W130" s="995" t="s">
        <v>29</v>
      </c>
      <c r="X130" s="888">
        <v>222856.15</v>
      </c>
      <c r="Y130" s="891"/>
      <c r="Z130" s="892">
        <v>17449.740000000002</v>
      </c>
      <c r="AA130" s="892">
        <v>240305.88999999998</v>
      </c>
      <c r="AB130" s="893">
        <v>45664</v>
      </c>
      <c r="AC130" s="896" t="s">
        <v>29</v>
      </c>
      <c r="AD130" s="1155" t="s">
        <v>29</v>
      </c>
      <c r="AE130" s="894" t="s">
        <v>756</v>
      </c>
      <c r="AF130" s="894" t="s">
        <v>756</v>
      </c>
      <c r="AG130" s="897" t="s">
        <v>116</v>
      </c>
      <c r="AH130" s="897">
        <v>45672</v>
      </c>
      <c r="AI130" s="898">
        <v>0</v>
      </c>
      <c r="AJ130" s="899">
        <v>0</v>
      </c>
      <c r="AK130" s="938">
        <v>0</v>
      </c>
      <c r="AL130" s="901">
        <v>0</v>
      </c>
      <c r="AM130" s="902" t="s">
        <v>116</v>
      </c>
      <c r="AN130" s="1353" t="s">
        <v>709</v>
      </c>
      <c r="AO130" s="904"/>
      <c r="AP130" s="905"/>
      <c r="AQ130" s="905"/>
      <c r="AR130" s="905"/>
      <c r="AS130" s="538">
        <f>IF(Table15910[[#This Row],[PCTS Approved]]="N",0,Table15910[[#This Row],[Investment Amount (1'#'#'#'#'#)]]+Table15910[[#This Row],[Retirement Amount (3'#'#'#'#'#)]])</f>
        <v>0</v>
      </c>
      <c r="AT130" s="538">
        <f>IF(Table15910[[#This Row],[Approved Construction Cost]]=0,0,Table15910[[#This Row],[Approved Construction Cost]]-Table15910[[#This Row],[Construction Cost to Bill From]])</f>
        <v>0</v>
      </c>
      <c r="AU130" s="538">
        <f>IFERROR(Table15910[[#This Row],[Difference in Construction Cost]]*Table15910[[#This Row],[Rate]],Table15910[[#This Row],[Difference in Construction Cost]]*0.085)</f>
        <v>0</v>
      </c>
      <c r="AV130" s="906"/>
      <c r="AW130" s="907"/>
      <c r="AX130" s="908"/>
      <c r="AY130" s="909" t="s">
        <v>709</v>
      </c>
      <c r="AZ130" s="1168"/>
      <c r="BA130" s="910" t="s">
        <v>8171</v>
      </c>
      <c r="BB130" s="928" t="s">
        <v>8172</v>
      </c>
      <c r="BC130" s="912" t="s">
        <v>992</v>
      </c>
      <c r="BD130" s="912" t="s">
        <v>709</v>
      </c>
      <c r="BE130" s="913" t="s">
        <v>1203</v>
      </c>
      <c r="BF130" s="914" t="s">
        <v>709</v>
      </c>
      <c r="BG130" s="914" t="s">
        <v>709</v>
      </c>
      <c r="BH130" s="1023" t="s">
        <v>8173</v>
      </c>
      <c r="BI130" s="1032" t="s">
        <v>709</v>
      </c>
      <c r="BJ130" s="1032" t="s">
        <v>709</v>
      </c>
      <c r="BK130" s="1032" t="s">
        <v>709</v>
      </c>
      <c r="BL130" s="1032" t="s">
        <v>116</v>
      </c>
      <c r="BM130" s="1032" t="s">
        <v>709</v>
      </c>
      <c r="BN130" s="1032" t="s">
        <v>709</v>
      </c>
      <c r="BO130" s="1032" t="s">
        <v>709</v>
      </c>
      <c r="BP130" s="1032" t="s">
        <v>709</v>
      </c>
      <c r="BQ130" s="1032" t="s">
        <v>709</v>
      </c>
      <c r="BR130" s="1032">
        <v>1024</v>
      </c>
      <c r="BS130" s="1032">
        <v>29</v>
      </c>
      <c r="BT130" s="1032" t="s">
        <v>709</v>
      </c>
      <c r="BU130" s="1032" t="s">
        <v>709</v>
      </c>
      <c r="BV130" s="1032" t="s">
        <v>709</v>
      </c>
      <c r="BW130" s="1032" t="s">
        <v>709</v>
      </c>
      <c r="BX130" s="1032" t="s">
        <v>709</v>
      </c>
      <c r="BY130" s="1032" t="s">
        <v>709</v>
      </c>
      <c r="BZ130" s="1032" t="s">
        <v>709</v>
      </c>
      <c r="CA130" s="485" t="s">
        <v>8174</v>
      </c>
    </row>
    <row r="131" spans="1:79" ht="15" hidden="1" customHeight="1" x14ac:dyDescent="0.25">
      <c r="A131" s="8" t="s">
        <v>800</v>
      </c>
      <c r="B131" s="8" t="s">
        <v>4</v>
      </c>
      <c r="C131" s="1497" t="s">
        <v>1115</v>
      </c>
      <c r="D131" s="8" t="s">
        <v>1116</v>
      </c>
      <c r="E131" s="8" t="s">
        <v>1117</v>
      </c>
      <c r="F131" s="8" t="s">
        <v>784</v>
      </c>
      <c r="G131" s="8" t="s">
        <v>35</v>
      </c>
      <c r="H131" s="8" t="s">
        <v>59</v>
      </c>
      <c r="I131" s="642">
        <v>45307</v>
      </c>
      <c r="J131" s="18">
        <v>45380</v>
      </c>
      <c r="K131" s="97">
        <v>45376</v>
      </c>
      <c r="L131" s="16">
        <v>4</v>
      </c>
      <c r="M131" s="642"/>
      <c r="N131" s="642" t="s">
        <v>120</v>
      </c>
      <c r="O131" s="1060">
        <v>45352</v>
      </c>
      <c r="P131" s="1152" t="s">
        <v>739</v>
      </c>
      <c r="Q131" s="340">
        <v>54325.762000000002</v>
      </c>
      <c r="R131" s="1026">
        <v>0.1</v>
      </c>
      <c r="S131" s="538"/>
      <c r="T131" s="538"/>
      <c r="U131" s="87"/>
      <c r="V131" s="858">
        <v>1039</v>
      </c>
      <c r="W131" s="437">
        <v>0</v>
      </c>
      <c r="X131" s="556">
        <v>457410.42</v>
      </c>
      <c r="Y131" s="551"/>
      <c r="Z131" s="570">
        <v>85847.2</v>
      </c>
      <c r="AA131" s="552">
        <v>543257.62</v>
      </c>
      <c r="AB131" s="341">
        <v>45369</v>
      </c>
      <c r="AC131" s="569" t="s">
        <v>709</v>
      </c>
      <c r="AD131" s="1149" t="s">
        <v>29</v>
      </c>
      <c r="AE131" s="568" t="s">
        <v>116</v>
      </c>
      <c r="AF131" s="568" t="s">
        <v>116</v>
      </c>
      <c r="AG131" s="568" t="s">
        <v>376</v>
      </c>
      <c r="AH131" s="183">
        <v>45406</v>
      </c>
      <c r="AI131" s="1028">
        <v>0</v>
      </c>
      <c r="AJ131" s="1029">
        <v>11870</v>
      </c>
      <c r="AK131" s="1029">
        <v>14616.5</v>
      </c>
      <c r="AL131" s="1030">
        <v>0.48754953497016756</v>
      </c>
      <c r="AM131" s="536" t="s">
        <v>116</v>
      </c>
      <c r="AN131" s="801">
        <v>45482</v>
      </c>
      <c r="AO131" s="806">
        <v>11085908</v>
      </c>
      <c r="AP131" s="718">
        <v>457231.43</v>
      </c>
      <c r="AQ131" s="682"/>
      <c r="AR131" s="718">
        <v>87246.76</v>
      </c>
      <c r="AS131" s="538">
        <f>IF(Table15910[[#This Row],[PCTS Approved]]="N",0,Table15910[[#This Row],[Investment Amount (1'#'#'#'#'#)]]+Table15910[[#This Row],[Retirement Amount (3'#'#'#'#'#)]])</f>
        <v>544478.18999999994</v>
      </c>
      <c r="AT131" s="538">
        <f>IF(Table15910[[#This Row],[Approved Construction Cost]]=0,0,Table15910[[#This Row],[Approved Construction Cost]]-Table15910[[#This Row],[Construction Cost to Bill From]])</f>
        <v>1220.5699999999488</v>
      </c>
      <c r="AU131" s="538">
        <f>IFERROR(Table15910[[#This Row],[Difference in Construction Cost]]*Table15910[[#This Row],[Rate]],Table15910[[#This Row],[Difference in Construction Cost]]*0.085)</f>
        <v>122.05699999999489</v>
      </c>
      <c r="AV131" s="1357" t="s">
        <v>29</v>
      </c>
      <c r="AW131" s="1429" t="s">
        <v>6238</v>
      </c>
      <c r="AX131" s="555"/>
      <c r="AY131" s="1035" t="s">
        <v>709</v>
      </c>
      <c r="AZ131" s="443">
        <v>133</v>
      </c>
      <c r="BA131" s="1074" t="s">
        <v>1119</v>
      </c>
      <c r="BB131" s="644" t="s">
        <v>1120</v>
      </c>
      <c r="BC131" s="559" t="s">
        <v>116</v>
      </c>
      <c r="BD131" s="554" t="s">
        <v>115</v>
      </c>
      <c r="BE131" s="588" t="s">
        <v>115</v>
      </c>
      <c r="BF131" s="588" t="s">
        <v>115</v>
      </c>
      <c r="BG131" s="588" t="s">
        <v>115</v>
      </c>
      <c r="BH131" s="615" t="s">
        <v>1121</v>
      </c>
      <c r="BI131" s="547" t="s">
        <v>709</v>
      </c>
      <c r="BJ131" s="549" t="s">
        <v>709</v>
      </c>
      <c r="BK131" s="547" t="s">
        <v>116</v>
      </c>
      <c r="BL131" s="547" t="s">
        <v>116</v>
      </c>
      <c r="BM131" s="626" t="s">
        <v>709</v>
      </c>
      <c r="BN131" s="549" t="s">
        <v>709</v>
      </c>
      <c r="BO131" s="626" t="s">
        <v>709</v>
      </c>
      <c r="BP131" s="626" t="s">
        <v>709</v>
      </c>
      <c r="BQ131" s="549">
        <v>75</v>
      </c>
      <c r="BR131" s="549">
        <v>0</v>
      </c>
      <c r="BS131" s="549">
        <v>964</v>
      </c>
      <c r="BT131" s="549" t="s">
        <v>745</v>
      </c>
      <c r="BU131" s="549" t="s">
        <v>709</v>
      </c>
      <c r="BV131" s="549" t="s">
        <v>745</v>
      </c>
      <c r="BW131" s="549" t="s">
        <v>709</v>
      </c>
      <c r="BX131" s="547" t="s">
        <v>745</v>
      </c>
      <c r="BY131" s="549" t="s">
        <v>745</v>
      </c>
      <c r="BZ131" s="547" t="s">
        <v>709</v>
      </c>
      <c r="CA131" s="485" t="s">
        <v>8174</v>
      </c>
    </row>
    <row r="132" spans="1:79" ht="15" hidden="1" customHeight="1" x14ac:dyDescent="0.25">
      <c r="A132" s="8" t="s">
        <v>800</v>
      </c>
      <c r="B132" s="8" t="s">
        <v>4</v>
      </c>
      <c r="C132" s="656" t="s">
        <v>6492</v>
      </c>
      <c r="D132" s="8" t="s">
        <v>6493</v>
      </c>
      <c r="E132" s="8" t="s">
        <v>108</v>
      </c>
      <c r="F132" s="8" t="s">
        <v>784</v>
      </c>
      <c r="G132" s="8" t="s">
        <v>35</v>
      </c>
      <c r="H132" s="8" t="s">
        <v>59</v>
      </c>
      <c r="I132" s="642">
        <v>45321</v>
      </c>
      <c r="J132" s="18">
        <v>45520</v>
      </c>
      <c r="K132" s="97">
        <v>45516</v>
      </c>
      <c r="L132" s="16">
        <v>4</v>
      </c>
      <c r="M132" s="642"/>
      <c r="N132" s="99" t="s">
        <v>120</v>
      </c>
      <c r="O132" s="1060">
        <v>45505</v>
      </c>
      <c r="P132" s="1152" t="s">
        <v>739</v>
      </c>
      <c r="Q132" s="340">
        <v>41146.435000000005</v>
      </c>
      <c r="R132" s="1026">
        <v>0.1</v>
      </c>
      <c r="S132" s="538" t="s">
        <v>29</v>
      </c>
      <c r="T132" s="538" t="s">
        <v>29</v>
      </c>
      <c r="U132" s="28" t="s">
        <v>29</v>
      </c>
      <c r="V132" s="858">
        <v>149</v>
      </c>
      <c r="W132" s="437">
        <v>0</v>
      </c>
      <c r="X132" s="552">
        <v>340265.03</v>
      </c>
      <c r="Y132" s="552"/>
      <c r="Z132" s="552">
        <v>71199.320000000007</v>
      </c>
      <c r="AA132" s="552">
        <v>411464.35000000003</v>
      </c>
      <c r="AB132" s="341">
        <v>45510</v>
      </c>
      <c r="AC132" s="569" t="s">
        <v>745</v>
      </c>
      <c r="AD132" s="1149" t="s">
        <v>29</v>
      </c>
      <c r="AE132" s="568" t="s">
        <v>116</v>
      </c>
      <c r="AF132" s="568" t="s">
        <v>29</v>
      </c>
      <c r="AG132" s="568" t="s">
        <v>376</v>
      </c>
      <c r="AH132" s="183">
        <v>45525</v>
      </c>
      <c r="AI132" s="1125">
        <v>0</v>
      </c>
      <c r="AJ132" s="1110">
        <v>4615</v>
      </c>
      <c r="AK132" s="1126">
        <v>1209.5</v>
      </c>
      <c r="AL132" s="1108">
        <v>0.14155539842030054</v>
      </c>
      <c r="AM132" s="536" t="s">
        <v>116</v>
      </c>
      <c r="AN132" s="801">
        <v>45834</v>
      </c>
      <c r="AO132" s="806">
        <v>11092806</v>
      </c>
      <c r="AP132" s="718">
        <v>269704.52</v>
      </c>
      <c r="AQ132" s="682"/>
      <c r="AR132" s="718">
        <v>64382.33</v>
      </c>
      <c r="AS132" s="538">
        <f>IF(Table15910[[#This Row],[PCTS Approved]]="N",0,Table15910[[#This Row],[Investment Amount (1'#'#'#'#'#)]]+Table15910[[#This Row],[Retirement Amount (3'#'#'#'#'#)]])</f>
        <v>334086.85000000003</v>
      </c>
      <c r="AT132" s="538">
        <f>IF(Table15910[[#This Row],[Approved Construction Cost]]=0,0,Table15910[[#This Row],[Approved Construction Cost]]-Table15910[[#This Row],[Construction Cost to Bill From]])</f>
        <v>-77377.5</v>
      </c>
      <c r="AU132" s="538">
        <f>IFERROR(Table15910[[#This Row],[Difference in Construction Cost]]*Table15910[[#This Row],[Rate]],Table15910[[#This Row],[Difference in Construction Cost]]*0.085)</f>
        <v>-7737.75</v>
      </c>
      <c r="AV132" s="1311">
        <v>2985</v>
      </c>
      <c r="AW132" s="1429" t="s">
        <v>6494</v>
      </c>
      <c r="AX132" s="555"/>
      <c r="AY132" s="1035" t="s">
        <v>709</v>
      </c>
      <c r="AZ132" s="443"/>
      <c r="BA132" s="1031" t="s">
        <v>6495</v>
      </c>
      <c r="BB132" s="644" t="s">
        <v>961</v>
      </c>
      <c r="BC132" s="559" t="s">
        <v>116</v>
      </c>
      <c r="BD132" s="554" t="s">
        <v>115</v>
      </c>
      <c r="BE132" s="739" t="s">
        <v>1569</v>
      </c>
      <c r="BF132" s="588" t="s">
        <v>115</v>
      </c>
      <c r="BG132" s="588" t="s">
        <v>115</v>
      </c>
      <c r="BH132" s="615" t="s">
        <v>6496</v>
      </c>
      <c r="BI132" s="549" t="s">
        <v>709</v>
      </c>
      <c r="BJ132" s="549" t="s">
        <v>709</v>
      </c>
      <c r="BK132" s="549" t="s">
        <v>709</v>
      </c>
      <c r="BL132" s="547" t="s">
        <v>116</v>
      </c>
      <c r="BM132" s="549" t="s">
        <v>709</v>
      </c>
      <c r="BN132" s="549" t="s">
        <v>709</v>
      </c>
      <c r="BO132" s="549" t="s">
        <v>709</v>
      </c>
      <c r="BP132" s="549">
        <v>149</v>
      </c>
      <c r="BQ132" s="549" t="s">
        <v>709</v>
      </c>
      <c r="BR132" s="549" t="s">
        <v>709</v>
      </c>
      <c r="BS132" s="549" t="s">
        <v>709</v>
      </c>
      <c r="BT132" s="549" t="s">
        <v>709</v>
      </c>
      <c r="BU132" s="549" t="s">
        <v>709</v>
      </c>
      <c r="BV132" s="549" t="s">
        <v>709</v>
      </c>
      <c r="BW132" s="549" t="s">
        <v>709</v>
      </c>
      <c r="BX132" s="549" t="s">
        <v>709</v>
      </c>
      <c r="BY132" s="549" t="s">
        <v>709</v>
      </c>
      <c r="BZ132" s="547" t="s">
        <v>709</v>
      </c>
      <c r="CA132" s="917"/>
    </row>
    <row r="133" spans="1:79" ht="15" hidden="1" customHeight="1" x14ac:dyDescent="0.25">
      <c r="A133" s="778" t="s">
        <v>800</v>
      </c>
      <c r="B133" s="8" t="s">
        <v>4</v>
      </c>
      <c r="C133" s="447" t="s">
        <v>6859</v>
      </c>
      <c r="D133" s="779" t="s">
        <v>6860</v>
      </c>
      <c r="E133" t="s">
        <v>6861</v>
      </c>
      <c r="F133" s="8" t="s">
        <v>784</v>
      </c>
      <c r="G133" s="8" t="s">
        <v>6377</v>
      </c>
      <c r="H133" s="8" t="s">
        <v>59</v>
      </c>
      <c r="I133" s="755">
        <v>45411</v>
      </c>
      <c r="J133" s="472">
        <v>45639</v>
      </c>
      <c r="K133" s="642">
        <v>45638</v>
      </c>
      <c r="L133" s="649">
        <v>1</v>
      </c>
      <c r="M133"/>
      <c r="N133" s="99" t="s">
        <v>120</v>
      </c>
      <c r="O133" s="1060">
        <v>45627</v>
      </c>
      <c r="P133" s="1152" t="s">
        <v>739</v>
      </c>
      <c r="Q133" s="340">
        <v>29375.183999999997</v>
      </c>
      <c r="R133" s="1026">
        <v>0.1</v>
      </c>
      <c r="S133" s="538" t="s">
        <v>29</v>
      </c>
      <c r="T133" s="538" t="s">
        <v>29</v>
      </c>
      <c r="U133" s="28" t="s">
        <v>29</v>
      </c>
      <c r="V133" s="858">
        <v>527</v>
      </c>
      <c r="W133" s="437" t="s">
        <v>29</v>
      </c>
      <c r="X133" s="538">
        <v>217443.87</v>
      </c>
      <c r="Y133" s="550"/>
      <c r="Z133" s="538">
        <v>76307.97</v>
      </c>
      <c r="AA133" s="552">
        <v>293751.83999999997</v>
      </c>
      <c r="AB133" s="341">
        <v>45638</v>
      </c>
      <c r="AC133" s="568" t="s">
        <v>29</v>
      </c>
      <c r="AD133" s="1158" t="s">
        <v>29</v>
      </c>
      <c r="AE133" s="573" t="s">
        <v>116</v>
      </c>
      <c r="AF133" s="576" t="s">
        <v>116</v>
      </c>
      <c r="AG133" s="569" t="s">
        <v>116</v>
      </c>
      <c r="AH133" s="183">
        <v>45672</v>
      </c>
      <c r="AI133" s="1109" t="s">
        <v>29</v>
      </c>
      <c r="AJ133" s="1110">
        <v>2200</v>
      </c>
      <c r="AK133" s="1144">
        <v>7510.75</v>
      </c>
      <c r="AL133" s="1108">
        <v>0.330576652728371</v>
      </c>
      <c r="AM133" s="536" t="s">
        <v>116</v>
      </c>
      <c r="AN133" s="801">
        <v>45708</v>
      </c>
      <c r="AO133" s="806">
        <v>11098559</v>
      </c>
      <c r="AP133" s="718">
        <v>217656.19</v>
      </c>
      <c r="AQ133" s="682"/>
      <c r="AR133" s="718">
        <v>76643.11</v>
      </c>
      <c r="AS133" s="538">
        <f>IF(Table15910[[#This Row],[PCTS Approved]]="N",0,Table15910[[#This Row],[Investment Amount (1'#'#'#'#'#)]]+Table15910[[#This Row],[Retirement Amount (3'#'#'#'#'#)]])</f>
        <v>294299.3</v>
      </c>
      <c r="AT133" s="538">
        <f>IF(Table15910[[#This Row],[Approved Construction Cost]]=0,0,Table15910[[#This Row],[Approved Construction Cost]]-Table15910[[#This Row],[Construction Cost to Bill From]])</f>
        <v>547.46000000002095</v>
      </c>
      <c r="AU133" s="538">
        <f>IFERROR(Table15910[[#This Row],[Difference in Construction Cost]]*Table15910[[#This Row],[Rate]],Table15910[[#This Row],[Difference in Construction Cost]]*0.085)</f>
        <v>54.746000000002098</v>
      </c>
      <c r="AV133" s="1357" t="s">
        <v>29</v>
      </c>
      <c r="AW133" s="1429" t="s">
        <v>8131</v>
      </c>
      <c r="AX133" s="555"/>
      <c r="AY133" s="1035" t="s">
        <v>709</v>
      </c>
      <c r="AZ133" s="605"/>
      <c r="BA133" s="1031" t="s">
        <v>6862</v>
      </c>
      <c r="BB133" s="543" t="s">
        <v>6863</v>
      </c>
      <c r="BC133" s="559" t="s">
        <v>115</v>
      </c>
      <c r="BD133" s="554" t="s">
        <v>115</v>
      </c>
      <c r="BE133" s="588" t="s">
        <v>6864</v>
      </c>
      <c r="BF133" s="588" t="s">
        <v>115</v>
      </c>
      <c r="BG133" s="544" t="s">
        <v>115</v>
      </c>
      <c r="BH133" s="615" t="s">
        <v>6865</v>
      </c>
      <c r="BI133" s="549" t="s">
        <v>709</v>
      </c>
      <c r="BJ133" s="549" t="s">
        <v>709</v>
      </c>
      <c r="BK133" s="547" t="s">
        <v>709</v>
      </c>
      <c r="BL133" s="547" t="s">
        <v>116</v>
      </c>
      <c r="BM133" s="547" t="s">
        <v>709</v>
      </c>
      <c r="BN133" s="547" t="s">
        <v>709</v>
      </c>
      <c r="BO133" s="547" t="s">
        <v>709</v>
      </c>
      <c r="BP133" s="547" t="s">
        <v>709</v>
      </c>
      <c r="BQ133" s="547" t="s">
        <v>709</v>
      </c>
      <c r="BR133" s="547" t="s">
        <v>116</v>
      </c>
      <c r="BS133" s="547" t="s">
        <v>116</v>
      </c>
      <c r="BT133" s="547" t="s">
        <v>709</v>
      </c>
      <c r="BU133" s="547" t="s">
        <v>709</v>
      </c>
      <c r="BV133" s="547" t="s">
        <v>709</v>
      </c>
      <c r="BW133" s="547" t="s">
        <v>709</v>
      </c>
      <c r="BX133" s="547" t="s">
        <v>709</v>
      </c>
      <c r="BY133" s="547" t="s">
        <v>709</v>
      </c>
      <c r="BZ133" s="547" t="s">
        <v>709</v>
      </c>
      <c r="CA133" s="917"/>
    </row>
    <row r="134" spans="1:79" ht="15" hidden="1" customHeight="1" x14ac:dyDescent="0.25">
      <c r="A134" s="8" t="s">
        <v>800</v>
      </c>
      <c r="B134" s="8" t="s">
        <v>771</v>
      </c>
      <c r="C134" s="8" t="s">
        <v>1560</v>
      </c>
      <c r="D134" s="8" t="s">
        <v>1561</v>
      </c>
      <c r="E134" s="8" t="s">
        <v>1200</v>
      </c>
      <c r="F134" s="8" t="s">
        <v>784</v>
      </c>
      <c r="G134" s="8" t="s">
        <v>22</v>
      </c>
      <c r="H134" s="13" t="s">
        <v>59</v>
      </c>
      <c r="I134" s="642">
        <v>44838</v>
      </c>
      <c r="J134" s="18">
        <v>45119</v>
      </c>
      <c r="K134" s="97">
        <v>45118</v>
      </c>
      <c r="L134" s="649">
        <v>1</v>
      </c>
      <c r="M134" s="642"/>
      <c r="N134" s="642" t="s">
        <v>120</v>
      </c>
      <c r="O134" s="1060">
        <v>45108</v>
      </c>
      <c r="P134" s="1152" t="s">
        <v>120</v>
      </c>
      <c r="Q134" s="28">
        <v>265496.85680000001</v>
      </c>
      <c r="R134" s="1026">
        <v>0.04</v>
      </c>
      <c r="S134" s="538"/>
      <c r="T134" s="538"/>
      <c r="U134" s="87"/>
      <c r="V134" s="1190">
        <v>10571</v>
      </c>
      <c r="W134" s="444">
        <v>0</v>
      </c>
      <c r="X134" s="552">
        <v>6496699.1200000001</v>
      </c>
      <c r="Y134" s="592"/>
      <c r="Z134" s="552">
        <v>140722.29999999999</v>
      </c>
      <c r="AA134" s="552">
        <v>6637421.4199999999</v>
      </c>
      <c r="AB134" s="341">
        <v>45131</v>
      </c>
      <c r="AC134" s="576" t="s">
        <v>116</v>
      </c>
      <c r="AD134" s="1158" t="s">
        <v>116</v>
      </c>
      <c r="AE134" s="576" t="s">
        <v>116</v>
      </c>
      <c r="AF134" s="576" t="s">
        <v>116</v>
      </c>
      <c r="AG134" s="576" t="s">
        <v>116</v>
      </c>
      <c r="AH134" s="573" t="s">
        <v>116</v>
      </c>
      <c r="AI134" s="1047"/>
      <c r="AJ134" s="1048"/>
      <c r="AK134" s="1048"/>
      <c r="AL134" s="1049"/>
      <c r="AM134" s="536" t="s">
        <v>116</v>
      </c>
      <c r="AN134" s="680" t="s">
        <v>709</v>
      </c>
      <c r="AO134" s="681">
        <v>11056658</v>
      </c>
      <c r="AP134" s="572"/>
      <c r="AQ134" s="572"/>
      <c r="AR134" s="572"/>
      <c r="AS134" s="538">
        <f>IF(Table15910[[#This Row],[PCTS Approved]]="N",0,Table15910[[#This Row],[Investment Amount (1'#'#'#'#'#)]]+Table15910[[#This Row],[Retirement Amount (3'#'#'#'#'#)]])</f>
        <v>0</v>
      </c>
      <c r="AT134" s="538">
        <f>IF(Table15910[[#This Row],[Approved Construction Cost]]=0,0,Table15910[[#This Row],[Approved Construction Cost]]-Table15910[[#This Row],[Construction Cost to Bill From]])</f>
        <v>0</v>
      </c>
      <c r="AU134" s="538">
        <f>IFERROR(Table15910[[#This Row],[Difference in Construction Cost]]*Table15910[[#This Row],[Rate]],Table15910[[#This Row],[Difference in Construction Cost]]*0.085)</f>
        <v>0</v>
      </c>
      <c r="AV134" s="572"/>
      <c r="AW134" s="639"/>
      <c r="AX134" s="538"/>
      <c r="AY134" s="1035" t="s">
        <v>709</v>
      </c>
      <c r="AZ134" s="443">
        <v>1</v>
      </c>
      <c r="BA134" s="859" t="s">
        <v>1562</v>
      </c>
      <c r="BB134" s="644" t="s">
        <v>1563</v>
      </c>
      <c r="BC134" s="544" t="s">
        <v>116</v>
      </c>
      <c r="BD134" s="544" t="s">
        <v>115</v>
      </c>
      <c r="BE134" s="544" t="s">
        <v>1203</v>
      </c>
      <c r="BF134" s="544" t="s">
        <v>115</v>
      </c>
      <c r="BG134" s="544" t="s">
        <v>1564</v>
      </c>
      <c r="BH134" s="741" t="s">
        <v>1565</v>
      </c>
      <c r="BI134" s="547" t="s">
        <v>709</v>
      </c>
      <c r="BJ134" s="547" t="s">
        <v>709</v>
      </c>
      <c r="BK134" s="547" t="s">
        <v>709</v>
      </c>
      <c r="BL134" s="547" t="s">
        <v>116</v>
      </c>
      <c r="BM134" s="547" t="s">
        <v>709</v>
      </c>
      <c r="BN134" s="547" t="s">
        <v>709</v>
      </c>
      <c r="BO134" s="547" t="s">
        <v>709</v>
      </c>
      <c r="BP134" s="547">
        <v>4375</v>
      </c>
      <c r="BQ134" s="547">
        <v>1866</v>
      </c>
      <c r="BR134" s="547" t="s">
        <v>709</v>
      </c>
      <c r="BS134" s="547">
        <v>4330</v>
      </c>
      <c r="BT134" s="547" t="s">
        <v>709</v>
      </c>
      <c r="BU134" s="547" t="s">
        <v>709</v>
      </c>
      <c r="BV134" s="547" t="s">
        <v>709</v>
      </c>
      <c r="BW134" s="547" t="s">
        <v>709</v>
      </c>
      <c r="BX134" s="547" t="s">
        <v>745</v>
      </c>
      <c r="BY134" s="547" t="s">
        <v>709</v>
      </c>
      <c r="BZ134" s="547" t="s">
        <v>709</v>
      </c>
      <c r="CA134" s="917"/>
    </row>
    <row r="135" spans="1:79" s="447" customFormat="1" ht="15" hidden="1" customHeight="1" x14ac:dyDescent="0.25">
      <c r="A135" s="8" t="s">
        <v>800</v>
      </c>
      <c r="B135" s="8" t="s">
        <v>4</v>
      </c>
      <c r="C135" s="1497" t="s">
        <v>6671</v>
      </c>
      <c r="D135" s="8" t="s">
        <v>6672</v>
      </c>
      <c r="E135" s="8" t="s">
        <v>1716</v>
      </c>
      <c r="F135" s="8" t="s">
        <v>784</v>
      </c>
      <c r="G135" s="8" t="s">
        <v>6673</v>
      </c>
      <c r="H135" s="8" t="s">
        <v>59</v>
      </c>
      <c r="I135" s="642">
        <v>45429</v>
      </c>
      <c r="J135" s="18">
        <v>45590</v>
      </c>
      <c r="K135" s="97">
        <v>45588</v>
      </c>
      <c r="L135" s="16">
        <v>2</v>
      </c>
      <c r="M135" s="642"/>
      <c r="N135" s="99" t="s">
        <v>120</v>
      </c>
      <c r="O135" s="1060">
        <v>45597</v>
      </c>
      <c r="P135" s="1152" t="s">
        <v>739</v>
      </c>
      <c r="Q135" s="340">
        <v>185710.98</v>
      </c>
      <c r="R135" s="1026">
        <v>0.1</v>
      </c>
      <c r="S135" s="538" t="s">
        <v>29</v>
      </c>
      <c r="T135" s="538" t="s">
        <v>29</v>
      </c>
      <c r="U135" s="28" t="s">
        <v>29</v>
      </c>
      <c r="V135" s="858">
        <v>3774</v>
      </c>
      <c r="W135" s="425">
        <v>0</v>
      </c>
      <c r="X135" s="538">
        <v>1523622.99</v>
      </c>
      <c r="Y135" s="551"/>
      <c r="Z135" s="538">
        <v>333486.81</v>
      </c>
      <c r="AA135" s="552">
        <v>1857109.8</v>
      </c>
      <c r="AB135" s="341">
        <v>45589</v>
      </c>
      <c r="AC135" s="569" t="s">
        <v>29</v>
      </c>
      <c r="AD135" s="1157" t="s">
        <v>29</v>
      </c>
      <c r="AE135" s="568" t="s">
        <v>756</v>
      </c>
      <c r="AF135" s="568" t="s">
        <v>116</v>
      </c>
      <c r="AG135" s="569" t="s">
        <v>376</v>
      </c>
      <c r="AH135" s="183">
        <v>45609</v>
      </c>
      <c r="AI135" s="1109">
        <v>0</v>
      </c>
      <c r="AJ135" s="1110">
        <v>9750</v>
      </c>
      <c r="AK135" s="1131">
        <v>20444.5</v>
      </c>
      <c r="AL135" s="1108">
        <v>0.16258866330897612</v>
      </c>
      <c r="AM135" s="536" t="s">
        <v>116</v>
      </c>
      <c r="AN135" s="801">
        <v>45656</v>
      </c>
      <c r="AO135" s="806">
        <v>11095845</v>
      </c>
      <c r="AP135" s="718">
        <v>1524304.98</v>
      </c>
      <c r="AQ135" s="572"/>
      <c r="AR135" s="718">
        <v>333486.81</v>
      </c>
      <c r="AS135" s="538">
        <f>IF(Table15910[[#This Row],[PCTS Approved]]="N",0,Table15910[[#This Row],[Investment Amount (1'#'#'#'#'#)]]+Table15910[[#This Row],[Retirement Amount (3'#'#'#'#'#)]])</f>
        <v>1857791.79</v>
      </c>
      <c r="AT135" s="538">
        <f>IF(Table15910[[#This Row],[Approved Construction Cost]]=0,0,Table15910[[#This Row],[Approved Construction Cost]]-Table15910[[#This Row],[Construction Cost to Bill From]])</f>
        <v>681.98999999999069</v>
      </c>
      <c r="AU135" s="538">
        <f>IFERROR(Table15910[[#This Row],[Difference in Construction Cost]]*Table15910[[#This Row],[Rate]],Table15910[[#This Row],[Difference in Construction Cost]]*0.085)</f>
        <v>68.198999999999074</v>
      </c>
      <c r="AV135" s="1357" t="s">
        <v>29</v>
      </c>
      <c r="AW135" s="1429" t="s">
        <v>6674</v>
      </c>
      <c r="AX135" s="555"/>
      <c r="AY135" s="1035" t="s">
        <v>709</v>
      </c>
      <c r="AZ135" s="443"/>
      <c r="BA135" s="1031" t="s">
        <v>6675</v>
      </c>
      <c r="BB135" s="644" t="s">
        <v>1718</v>
      </c>
      <c r="BC135" s="544" t="s">
        <v>115</v>
      </c>
      <c r="BD135" s="554" t="s">
        <v>882</v>
      </c>
      <c r="BE135" s="588" t="s">
        <v>1719</v>
      </c>
      <c r="BF135" s="588" t="s">
        <v>115</v>
      </c>
      <c r="BG135" s="588" t="s">
        <v>115</v>
      </c>
      <c r="BH135" s="615" t="s">
        <v>6676</v>
      </c>
      <c r="BI135" s="626" t="s">
        <v>709</v>
      </c>
      <c r="BJ135" s="626" t="s">
        <v>709</v>
      </c>
      <c r="BK135" s="626" t="s">
        <v>709</v>
      </c>
      <c r="BL135" s="626" t="s">
        <v>116</v>
      </c>
      <c r="BM135" s="626" t="s">
        <v>709</v>
      </c>
      <c r="BN135" s="626" t="s">
        <v>709</v>
      </c>
      <c r="BO135" s="626" t="s">
        <v>709</v>
      </c>
      <c r="BP135" s="626" t="s">
        <v>709</v>
      </c>
      <c r="BQ135" s="626" t="s">
        <v>709</v>
      </c>
      <c r="BR135" s="626">
        <v>2810</v>
      </c>
      <c r="BS135" s="626">
        <v>964</v>
      </c>
      <c r="BT135" s="626" t="s">
        <v>709</v>
      </c>
      <c r="BU135" s="626" t="s">
        <v>709</v>
      </c>
      <c r="BV135" s="626" t="s">
        <v>709</v>
      </c>
      <c r="BW135" s="626" t="s">
        <v>709</v>
      </c>
      <c r="BX135" s="626" t="s">
        <v>709</v>
      </c>
      <c r="BY135" s="626" t="s">
        <v>709</v>
      </c>
      <c r="BZ135" s="547" t="s">
        <v>709</v>
      </c>
      <c r="CA135" s="917"/>
    </row>
    <row r="136" spans="1:79" ht="15" hidden="1" customHeight="1" x14ac:dyDescent="0.25">
      <c r="A136" s="8" t="s">
        <v>800</v>
      </c>
      <c r="B136" s="8" t="s">
        <v>1205</v>
      </c>
      <c r="C136" s="8" t="s">
        <v>1498</v>
      </c>
      <c r="D136" s="8" t="s">
        <v>1499</v>
      </c>
      <c r="E136" s="8" t="s">
        <v>1500</v>
      </c>
      <c r="F136" s="8" t="s">
        <v>1501</v>
      </c>
      <c r="G136" s="8" t="s">
        <v>22</v>
      </c>
      <c r="H136" s="13" t="s">
        <v>59</v>
      </c>
      <c r="I136" s="642">
        <v>44704</v>
      </c>
      <c r="J136" s="18">
        <v>45065</v>
      </c>
      <c r="K136" s="97">
        <v>45064</v>
      </c>
      <c r="L136" s="16">
        <v>1</v>
      </c>
      <c r="M136" s="642"/>
      <c r="N136" s="642" t="s">
        <v>120</v>
      </c>
      <c r="O136" s="1060">
        <v>45064</v>
      </c>
      <c r="P136" s="1152" t="s">
        <v>120</v>
      </c>
      <c r="Q136" s="340">
        <v>302998.19759999996</v>
      </c>
      <c r="R136" s="1026">
        <v>0.09</v>
      </c>
      <c r="S136" s="538"/>
      <c r="T136" s="538"/>
      <c r="U136" s="87"/>
      <c r="V136" s="858">
        <v>1030</v>
      </c>
      <c r="W136" s="437">
        <v>0</v>
      </c>
      <c r="X136" s="552">
        <v>3121172.84</v>
      </c>
      <c r="Y136" s="592"/>
      <c r="Z136" s="552">
        <v>245473.8</v>
      </c>
      <c r="AA136" s="552">
        <v>3366646.6399999997</v>
      </c>
      <c r="AB136" s="341">
        <v>45069</v>
      </c>
      <c r="AC136" s="568" t="s">
        <v>709</v>
      </c>
      <c r="AD136" s="1157" t="s">
        <v>116</v>
      </c>
      <c r="AE136" s="579"/>
      <c r="AF136" s="579"/>
      <c r="AG136" s="579"/>
      <c r="AH136" s="553"/>
      <c r="AI136" s="1036"/>
      <c r="AJ136" s="1037"/>
      <c r="AK136" s="1037"/>
      <c r="AL136" s="1038"/>
      <c r="AM136" s="536" t="s">
        <v>116</v>
      </c>
      <c r="AN136" s="680" t="s">
        <v>709</v>
      </c>
      <c r="AO136" s="681">
        <v>11043653</v>
      </c>
      <c r="AP136" s="572"/>
      <c r="AQ136" s="572"/>
      <c r="AR136" s="572"/>
      <c r="AS136" s="538">
        <f>IF(Table15910[[#This Row],[PCTS Approved]]="N",0,Table15910[[#This Row],[Investment Amount (1'#'#'#'#'#)]]+Table15910[[#This Row],[Retirement Amount (3'#'#'#'#'#)]])</f>
        <v>0</v>
      </c>
      <c r="AT136" s="538">
        <f>IF(Table15910[[#This Row],[Approved Construction Cost]]=0,0,Table15910[[#This Row],[Approved Construction Cost]]-Table15910[[#This Row],[Construction Cost to Bill From]])</f>
        <v>0</v>
      </c>
      <c r="AU136" s="538">
        <f>IFERROR(Table15910[[#This Row],[Difference in Construction Cost]]*Table15910[[#This Row],[Rate]],Table15910[[#This Row],[Difference in Construction Cost]]*0.085)</f>
        <v>0</v>
      </c>
      <c r="AV136" s="572"/>
      <c r="AW136" s="639"/>
      <c r="AX136" s="538"/>
      <c r="AY136" s="1035" t="s">
        <v>709</v>
      </c>
      <c r="AZ136" s="443">
        <v>43</v>
      </c>
      <c r="BA136" s="859" t="s">
        <v>1502</v>
      </c>
      <c r="BB136" s="644" t="s">
        <v>1503</v>
      </c>
      <c r="BC136" s="544" t="s">
        <v>116</v>
      </c>
      <c r="BD136" s="544" t="s">
        <v>115</v>
      </c>
      <c r="BE136" s="544" t="s">
        <v>1504</v>
      </c>
      <c r="BF136" s="544" t="s">
        <v>115</v>
      </c>
      <c r="BG136" s="544" t="s">
        <v>1505</v>
      </c>
      <c r="BH136" s="741" t="s">
        <v>1506</v>
      </c>
      <c r="BI136" s="547" t="s">
        <v>709</v>
      </c>
      <c r="BJ136" s="547" t="s">
        <v>709</v>
      </c>
      <c r="BK136" s="547" t="s">
        <v>116</v>
      </c>
      <c r="BL136" s="547" t="s">
        <v>709</v>
      </c>
      <c r="BM136" s="547" t="s">
        <v>709</v>
      </c>
      <c r="BN136" s="547" t="s">
        <v>709</v>
      </c>
      <c r="BO136" s="547" t="s">
        <v>709</v>
      </c>
      <c r="BP136" s="547" t="s">
        <v>709</v>
      </c>
      <c r="BQ136" s="547" t="s">
        <v>709</v>
      </c>
      <c r="BR136" s="547" t="s">
        <v>709</v>
      </c>
      <c r="BS136" s="547" t="s">
        <v>709</v>
      </c>
      <c r="BT136" s="547" t="s">
        <v>745</v>
      </c>
      <c r="BU136" s="547" t="s">
        <v>709</v>
      </c>
      <c r="BV136" s="547" t="s">
        <v>745</v>
      </c>
      <c r="BW136" s="547" t="s">
        <v>709</v>
      </c>
      <c r="BX136" s="547" t="s">
        <v>745</v>
      </c>
      <c r="BY136" s="547" t="s">
        <v>745</v>
      </c>
      <c r="BZ136" s="547" t="s">
        <v>709</v>
      </c>
      <c r="CA136" s="917" t="s">
        <v>8231</v>
      </c>
    </row>
    <row r="137" spans="1:79" s="447" customFormat="1" ht="15" hidden="1" customHeight="1" x14ac:dyDescent="0.25">
      <c r="A137" s="874" t="s">
        <v>6816</v>
      </c>
      <c r="B137" s="878" t="s">
        <v>4</v>
      </c>
      <c r="C137" s="1286" t="s">
        <v>8298</v>
      </c>
      <c r="D137" s="880" t="s">
        <v>8299</v>
      </c>
      <c r="E137" s="879" t="s">
        <v>1117</v>
      </c>
      <c r="F137" s="878" t="s">
        <v>784</v>
      </c>
      <c r="G137" s="878" t="s">
        <v>7455</v>
      </c>
      <c r="H137" s="878" t="s">
        <v>59</v>
      </c>
      <c r="I137" s="881">
        <v>45586</v>
      </c>
      <c r="J137" s="956">
        <v>45709</v>
      </c>
      <c r="K137" s="945">
        <v>45708</v>
      </c>
      <c r="L137" s="884">
        <v>1</v>
      </c>
      <c r="M137" s="879"/>
      <c r="N137" s="885" t="s">
        <v>120</v>
      </c>
      <c r="O137" s="886">
        <v>45717</v>
      </c>
      <c r="P137" s="1153" t="s">
        <v>739</v>
      </c>
      <c r="Q137" s="1150">
        <v>15977.692999999999</v>
      </c>
      <c r="R137" s="887">
        <v>0.1</v>
      </c>
      <c r="S137" s="888" t="s">
        <v>29</v>
      </c>
      <c r="T137" s="888" t="s">
        <v>29</v>
      </c>
      <c r="U137" s="889" t="s">
        <v>29</v>
      </c>
      <c r="V137" s="890">
        <v>85</v>
      </c>
      <c r="W137" s="1021" t="s">
        <v>29</v>
      </c>
      <c r="X137" s="888">
        <v>123962.99</v>
      </c>
      <c r="Y137" s="891"/>
      <c r="Z137" s="888">
        <v>35813.94</v>
      </c>
      <c r="AA137" s="892">
        <v>159776.93</v>
      </c>
      <c r="AB137" s="893">
        <v>45708</v>
      </c>
      <c r="AC137" s="894" t="s">
        <v>29</v>
      </c>
      <c r="AD137" s="1161" t="s">
        <v>29</v>
      </c>
      <c r="AE137" s="895" t="s">
        <v>756</v>
      </c>
      <c r="AF137" s="895" t="s">
        <v>756</v>
      </c>
      <c r="AG137" s="896" t="s">
        <v>116</v>
      </c>
      <c r="AH137" s="897">
        <v>45735</v>
      </c>
      <c r="AI137" s="898">
        <v>0</v>
      </c>
      <c r="AJ137" s="899">
        <v>5350</v>
      </c>
      <c r="AK137" s="960">
        <v>8069.8</v>
      </c>
      <c r="AL137" s="901">
        <v>0.83990848991778722</v>
      </c>
      <c r="AM137" s="902" t="s">
        <v>116</v>
      </c>
      <c r="AN137" s="1353">
        <v>45822</v>
      </c>
      <c r="AO137" s="806">
        <v>11104808</v>
      </c>
      <c r="AP137" s="1320">
        <v>126484.77</v>
      </c>
      <c r="AQ137" s="905"/>
      <c r="AR137" s="1320">
        <v>38413.22</v>
      </c>
      <c r="AS137" s="538">
        <f>IF(Table15910[[#This Row],[PCTS Approved]]="N",0,Table15910[[#This Row],[Investment Amount (1'#'#'#'#'#)]]+Table15910[[#This Row],[Retirement Amount (3'#'#'#'#'#)]])</f>
        <v>164897.99</v>
      </c>
      <c r="AT137" s="538">
        <f>IF(Table15910[[#This Row],[Approved Construction Cost]]=0,0,Table15910[[#This Row],[Approved Construction Cost]]-Table15910[[#This Row],[Construction Cost to Bill From]])</f>
        <v>5121.0599999999977</v>
      </c>
      <c r="AU137" s="538">
        <f>IFERROR(Table15910[[#This Row],[Difference in Construction Cost]]*Table15910[[#This Row],[Rate]],Table15910[[#This Row],[Difference in Construction Cost]]*0.085)</f>
        <v>512.10599999999977</v>
      </c>
      <c r="AV137" s="1356" t="s">
        <v>29</v>
      </c>
      <c r="AW137" s="1359" t="s">
        <v>8300</v>
      </c>
      <c r="AX137" s="908"/>
      <c r="AY137" s="909" t="s">
        <v>709</v>
      </c>
      <c r="AZ137" s="1022"/>
      <c r="BA137" s="910" t="s">
        <v>8301</v>
      </c>
      <c r="BB137" s="911" t="s">
        <v>1120</v>
      </c>
      <c r="BC137" s="912" t="s">
        <v>992</v>
      </c>
      <c r="BD137" s="913" t="s">
        <v>709</v>
      </c>
      <c r="BE137" s="914" t="s">
        <v>5832</v>
      </c>
      <c r="BF137" s="914" t="s">
        <v>709</v>
      </c>
      <c r="BG137" s="915" t="s">
        <v>29</v>
      </c>
      <c r="BH137" s="1023" t="s">
        <v>8302</v>
      </c>
      <c r="BI137" s="929" t="s">
        <v>709</v>
      </c>
      <c r="BJ137" s="929" t="s">
        <v>745</v>
      </c>
      <c r="BK137" s="916" t="s">
        <v>745</v>
      </c>
      <c r="BL137" s="916" t="s">
        <v>116</v>
      </c>
      <c r="BM137" s="916" t="s">
        <v>745</v>
      </c>
      <c r="BN137" s="916" t="s">
        <v>745</v>
      </c>
      <c r="BO137" s="916" t="s">
        <v>745</v>
      </c>
      <c r="BP137" s="916" t="s">
        <v>745</v>
      </c>
      <c r="BQ137" s="916" t="s">
        <v>709</v>
      </c>
      <c r="BR137" s="916">
        <v>85</v>
      </c>
      <c r="BS137" s="916" t="s">
        <v>709</v>
      </c>
      <c r="BT137" s="916" t="s">
        <v>745</v>
      </c>
      <c r="BU137" s="916" t="s">
        <v>745</v>
      </c>
      <c r="BV137" s="916" t="s">
        <v>745</v>
      </c>
      <c r="BW137" s="916" t="s">
        <v>745</v>
      </c>
      <c r="BX137" s="916" t="s">
        <v>709</v>
      </c>
      <c r="BY137" s="916" t="s">
        <v>709</v>
      </c>
      <c r="BZ137" s="916" t="s">
        <v>709</v>
      </c>
      <c r="CA137" s="917" t="s">
        <v>3331</v>
      </c>
    </row>
    <row r="138" spans="1:79" s="447" customFormat="1" ht="15" hidden="1" customHeight="1" x14ac:dyDescent="0.25">
      <c r="A138" s="8" t="s">
        <v>800</v>
      </c>
      <c r="B138" s="8" t="s">
        <v>4</v>
      </c>
      <c r="C138" s="1497" t="s">
        <v>6498</v>
      </c>
      <c r="D138" s="8" t="s">
        <v>6499</v>
      </c>
      <c r="E138" s="8" t="s">
        <v>438</v>
      </c>
      <c r="F138" s="8" t="s">
        <v>784</v>
      </c>
      <c r="G138" s="8" t="s">
        <v>25</v>
      </c>
      <c r="H138" s="8" t="s">
        <v>59</v>
      </c>
      <c r="I138" s="642">
        <v>45433</v>
      </c>
      <c r="J138" s="18">
        <v>45527</v>
      </c>
      <c r="K138" s="97">
        <v>45516</v>
      </c>
      <c r="L138" s="16">
        <v>11</v>
      </c>
      <c r="M138" s="642"/>
      <c r="N138" s="99" t="s">
        <v>120</v>
      </c>
      <c r="O138" s="1060">
        <v>45505</v>
      </c>
      <c r="P138" s="1152" t="s">
        <v>739</v>
      </c>
      <c r="Q138" s="340">
        <v>82804.061000000002</v>
      </c>
      <c r="R138" s="1026">
        <v>0.1</v>
      </c>
      <c r="S138" s="538" t="s">
        <v>29</v>
      </c>
      <c r="T138" s="538" t="s">
        <v>29</v>
      </c>
      <c r="U138" s="28" t="s">
        <v>29</v>
      </c>
      <c r="V138" s="858">
        <v>1697</v>
      </c>
      <c r="W138" s="437">
        <v>0</v>
      </c>
      <c r="X138" s="538">
        <v>533735.47</v>
      </c>
      <c r="Y138" s="550"/>
      <c r="Z138" s="552">
        <v>294305.14</v>
      </c>
      <c r="AA138" s="552">
        <v>828040.61</v>
      </c>
      <c r="AB138" s="341">
        <v>45504</v>
      </c>
      <c r="AC138" s="569" t="s">
        <v>29</v>
      </c>
      <c r="AD138" s="1149" t="s">
        <v>29</v>
      </c>
      <c r="AE138" s="568" t="s">
        <v>116</v>
      </c>
      <c r="AF138" s="568" t="s">
        <v>29</v>
      </c>
      <c r="AG138" s="568" t="s">
        <v>376</v>
      </c>
      <c r="AH138" s="183">
        <v>45525</v>
      </c>
      <c r="AI138" s="1125">
        <v>0</v>
      </c>
      <c r="AJ138" s="1130">
        <v>7600</v>
      </c>
      <c r="AK138" s="1126">
        <v>9847</v>
      </c>
      <c r="AL138" s="1108">
        <v>0.21070222630747543</v>
      </c>
      <c r="AM138" s="536" t="s">
        <v>116</v>
      </c>
      <c r="AN138" s="801">
        <v>45566</v>
      </c>
      <c r="AO138" s="806">
        <v>11091807</v>
      </c>
      <c r="AP138" s="718">
        <v>536564.55000000005</v>
      </c>
      <c r="AQ138" s="682"/>
      <c r="AR138" s="718">
        <v>294523.38</v>
      </c>
      <c r="AS138" s="538">
        <f>IF(Table15910[[#This Row],[PCTS Approved]]="N",0,Table15910[[#This Row],[Investment Amount (1'#'#'#'#'#)]]+Table15910[[#This Row],[Retirement Amount (3'#'#'#'#'#)]])</f>
        <v>831087.93</v>
      </c>
      <c r="AT138" s="538">
        <f>IF(Table15910[[#This Row],[Approved Construction Cost]]=0,0,Table15910[[#This Row],[Approved Construction Cost]]-Table15910[[#This Row],[Construction Cost to Bill From]])</f>
        <v>3047.3200000000652</v>
      </c>
      <c r="AU138" s="538">
        <f>IFERROR(Table15910[[#This Row],[Difference in Construction Cost]]*Table15910[[#This Row],[Rate]],Table15910[[#This Row],[Difference in Construction Cost]]*0.085)</f>
        <v>304.73200000000651</v>
      </c>
      <c r="AV138" s="1311" t="s">
        <v>29</v>
      </c>
      <c r="AW138" s="1429" t="s">
        <v>6500</v>
      </c>
      <c r="AX138" s="555"/>
      <c r="AY138" s="1035" t="s">
        <v>709</v>
      </c>
      <c r="AZ138" s="443"/>
      <c r="BA138" s="1031" t="s">
        <v>6501</v>
      </c>
      <c r="BB138" s="644" t="s">
        <v>6502</v>
      </c>
      <c r="BC138" s="544" t="s">
        <v>115</v>
      </c>
      <c r="BD138" s="554" t="s">
        <v>115</v>
      </c>
      <c r="BE138" s="554" t="s">
        <v>1444</v>
      </c>
      <c r="BF138" s="588" t="s">
        <v>115</v>
      </c>
      <c r="BG138" s="588" t="s">
        <v>115</v>
      </c>
      <c r="BH138" s="615" t="s">
        <v>6503</v>
      </c>
      <c r="BI138" s="549" t="s">
        <v>709</v>
      </c>
      <c r="BJ138" s="549" t="s">
        <v>709</v>
      </c>
      <c r="BK138" s="549" t="s">
        <v>709</v>
      </c>
      <c r="BL138" s="547" t="s">
        <v>116</v>
      </c>
      <c r="BM138" s="549" t="s">
        <v>709</v>
      </c>
      <c r="BN138" s="549" t="s">
        <v>709</v>
      </c>
      <c r="BO138" s="549" t="s">
        <v>709</v>
      </c>
      <c r="BP138" s="549" t="s">
        <v>709</v>
      </c>
      <c r="BQ138" s="549" t="s">
        <v>709</v>
      </c>
      <c r="BR138" s="549">
        <v>545</v>
      </c>
      <c r="BS138" s="549">
        <v>1152</v>
      </c>
      <c r="BT138" s="549" t="s">
        <v>709</v>
      </c>
      <c r="BU138" s="549" t="s">
        <v>709</v>
      </c>
      <c r="BV138" s="549" t="s">
        <v>709</v>
      </c>
      <c r="BW138" s="549" t="s">
        <v>709</v>
      </c>
      <c r="BX138" s="549" t="s">
        <v>709</v>
      </c>
      <c r="BY138" s="549" t="s">
        <v>709</v>
      </c>
      <c r="BZ138" s="547" t="s">
        <v>709</v>
      </c>
      <c r="CA138" s="917"/>
    </row>
    <row r="139" spans="1:79" s="447" customFormat="1" ht="15" hidden="1" customHeight="1" x14ac:dyDescent="0.25">
      <c r="A139" s="874" t="s">
        <v>6816</v>
      </c>
      <c r="B139" s="878" t="s">
        <v>4</v>
      </c>
      <c r="C139" s="1286" t="s">
        <v>8400</v>
      </c>
      <c r="D139" s="880" t="s">
        <v>8401</v>
      </c>
      <c r="E139" s="879" t="s">
        <v>4082</v>
      </c>
      <c r="F139" s="878" t="s">
        <v>784</v>
      </c>
      <c r="G139" s="878" t="s">
        <v>6665</v>
      </c>
      <c r="H139" s="878" t="s">
        <v>59</v>
      </c>
      <c r="I139" s="881">
        <v>45607</v>
      </c>
      <c r="J139" s="956">
        <v>45715</v>
      </c>
      <c r="K139" s="883">
        <v>45715</v>
      </c>
      <c r="L139" s="884">
        <v>0</v>
      </c>
      <c r="M139" s="879"/>
      <c r="N139" s="885" t="s">
        <v>120</v>
      </c>
      <c r="O139" s="886">
        <v>45717</v>
      </c>
      <c r="P139" s="1153" t="s">
        <v>739</v>
      </c>
      <c r="Q139" s="1150">
        <v>58036.586000000003</v>
      </c>
      <c r="R139" s="887">
        <v>0.1</v>
      </c>
      <c r="S139" s="888" t="s">
        <v>29</v>
      </c>
      <c r="T139" s="888" t="s">
        <v>29</v>
      </c>
      <c r="U139" s="889" t="s">
        <v>29</v>
      </c>
      <c r="V139" s="890">
        <v>1577</v>
      </c>
      <c r="W139" s="1021" t="s">
        <v>29</v>
      </c>
      <c r="X139" s="888">
        <v>478044.2</v>
      </c>
      <c r="Y139" s="891"/>
      <c r="Z139" s="888">
        <v>102321.66</v>
      </c>
      <c r="AA139" s="892">
        <v>580365.86</v>
      </c>
      <c r="AB139" s="893">
        <v>45706</v>
      </c>
      <c r="AC139" s="894" t="s">
        <v>709</v>
      </c>
      <c r="AD139" s="1160" t="s">
        <v>29</v>
      </c>
      <c r="AE139" s="940" t="s">
        <v>116</v>
      </c>
      <c r="AF139" s="895" t="s">
        <v>29</v>
      </c>
      <c r="AG139" s="896" t="s">
        <v>116</v>
      </c>
      <c r="AH139" s="897">
        <v>45735</v>
      </c>
      <c r="AI139" s="898">
        <v>0</v>
      </c>
      <c r="AJ139" s="899">
        <v>3785</v>
      </c>
      <c r="AK139" s="948">
        <v>0</v>
      </c>
      <c r="AL139" s="901">
        <v>6.5217481951815703E-2</v>
      </c>
      <c r="AM139" s="902" t="s">
        <v>116</v>
      </c>
      <c r="AN139" s="1353">
        <v>45792</v>
      </c>
      <c r="AO139" s="1354">
        <v>11103205</v>
      </c>
      <c r="AP139" s="1320">
        <v>478085.01</v>
      </c>
      <c r="AQ139" s="1293"/>
      <c r="AR139" s="1320">
        <v>102323.47</v>
      </c>
      <c r="AS139" s="538">
        <f>IF(Table15910[[#This Row],[PCTS Approved]]="N",0,Table15910[[#This Row],[Investment Amount (1'#'#'#'#'#)]]+Table15910[[#This Row],[Retirement Amount (3'#'#'#'#'#)]])</f>
        <v>580408.48</v>
      </c>
      <c r="AT139" s="538">
        <f>IF(Table15910[[#This Row],[Approved Construction Cost]]=0,0,Table15910[[#This Row],[Approved Construction Cost]]-Table15910[[#This Row],[Construction Cost to Bill From]])</f>
        <v>42.619999999995343</v>
      </c>
      <c r="AU139" s="538">
        <f>IFERROR(Table15910[[#This Row],[Difference in Construction Cost]]*Table15910[[#This Row],[Rate]],Table15910[[#This Row],[Difference in Construction Cost]]*0.085)</f>
        <v>4.2619999999995342</v>
      </c>
      <c r="AV139" s="1355" t="s">
        <v>29</v>
      </c>
      <c r="AW139" s="1450" t="s">
        <v>8402</v>
      </c>
      <c r="AX139" s="908"/>
      <c r="AY139" s="909" t="s">
        <v>709</v>
      </c>
      <c r="AZ139" s="1022"/>
      <c r="BA139" s="910" t="s">
        <v>8403</v>
      </c>
      <c r="BB139" s="911" t="s">
        <v>905</v>
      </c>
      <c r="BC139" s="912" t="s">
        <v>709</v>
      </c>
      <c r="BD139" s="913" t="s">
        <v>6767</v>
      </c>
      <c r="BE139" s="914" t="s">
        <v>709</v>
      </c>
      <c r="BF139" s="914" t="s">
        <v>6768</v>
      </c>
      <c r="BG139" s="915" t="s">
        <v>709</v>
      </c>
      <c r="BH139" s="1023" t="s">
        <v>8404</v>
      </c>
      <c r="BI139" s="929" t="s">
        <v>709</v>
      </c>
      <c r="BJ139" s="929" t="s">
        <v>709</v>
      </c>
      <c r="BK139" s="916" t="s">
        <v>709</v>
      </c>
      <c r="BL139" s="916" t="s">
        <v>116</v>
      </c>
      <c r="BM139" s="916" t="s">
        <v>709</v>
      </c>
      <c r="BN139" s="916" t="s">
        <v>709</v>
      </c>
      <c r="BO139" s="916" t="s">
        <v>709</v>
      </c>
      <c r="BP139" s="916" t="s">
        <v>709</v>
      </c>
      <c r="BQ139" s="916" t="s">
        <v>709</v>
      </c>
      <c r="BR139" s="916">
        <v>1400</v>
      </c>
      <c r="BS139" s="916">
        <v>177</v>
      </c>
      <c r="BT139" s="916" t="s">
        <v>709</v>
      </c>
      <c r="BU139" s="916" t="s">
        <v>709</v>
      </c>
      <c r="BV139" s="916" t="s">
        <v>709</v>
      </c>
      <c r="BW139" s="916" t="s">
        <v>709</v>
      </c>
      <c r="BX139" s="916" t="s">
        <v>709</v>
      </c>
      <c r="BY139" s="916" t="s">
        <v>709</v>
      </c>
      <c r="BZ139" s="916" t="s">
        <v>709</v>
      </c>
      <c r="CA139" s="917" t="s">
        <v>6832</v>
      </c>
    </row>
    <row r="140" spans="1:79" s="447" customFormat="1" ht="15" hidden="1" customHeight="1" x14ac:dyDescent="0.25">
      <c r="A140" s="8" t="s">
        <v>800</v>
      </c>
      <c r="B140" s="8" t="s">
        <v>4</v>
      </c>
      <c r="C140" s="1497" t="s">
        <v>1721</v>
      </c>
      <c r="D140" s="8" t="s">
        <v>1722</v>
      </c>
      <c r="E140" s="8" t="s">
        <v>850</v>
      </c>
      <c r="F140" s="8" t="s">
        <v>851</v>
      </c>
      <c r="G140" s="8" t="s">
        <v>26</v>
      </c>
      <c r="H140" s="8" t="s">
        <v>59</v>
      </c>
      <c r="I140" s="642">
        <v>45191</v>
      </c>
      <c r="J140" s="18">
        <v>45350</v>
      </c>
      <c r="K140" s="97">
        <v>45348</v>
      </c>
      <c r="L140" s="16">
        <v>2</v>
      </c>
      <c r="M140" s="642"/>
      <c r="N140" s="642" t="s">
        <v>120</v>
      </c>
      <c r="O140" s="1060">
        <v>45352</v>
      </c>
      <c r="P140" s="1152" t="s">
        <v>739</v>
      </c>
      <c r="Q140" s="340">
        <v>51974.387000000002</v>
      </c>
      <c r="R140" s="1026">
        <v>0.1</v>
      </c>
      <c r="S140" s="538"/>
      <c r="T140" s="538"/>
      <c r="U140" s="87"/>
      <c r="V140" s="858">
        <v>1770</v>
      </c>
      <c r="W140" s="437">
        <v>0</v>
      </c>
      <c r="X140" s="556">
        <v>474635.76</v>
      </c>
      <c r="Y140" s="550"/>
      <c r="Z140" s="570">
        <v>45108.11</v>
      </c>
      <c r="AA140" s="552">
        <v>519743.87</v>
      </c>
      <c r="AB140" s="341">
        <v>45329</v>
      </c>
      <c r="AC140" s="569" t="s">
        <v>709</v>
      </c>
      <c r="AD140" s="1157" t="s">
        <v>29</v>
      </c>
      <c r="AE140" s="568" t="s">
        <v>116</v>
      </c>
      <c r="AF140" s="568" t="s">
        <v>116</v>
      </c>
      <c r="AG140" s="183">
        <v>45366</v>
      </c>
      <c r="AH140" s="183">
        <v>45366</v>
      </c>
      <c r="AI140" s="1109">
        <v>0</v>
      </c>
      <c r="AJ140" s="1110">
        <v>2142</v>
      </c>
      <c r="AK140" s="1110">
        <v>656.625</v>
      </c>
      <c r="AL140" s="1108">
        <v>5.3846233915178253E-2</v>
      </c>
      <c r="AM140" s="536" t="s">
        <v>116</v>
      </c>
      <c r="AN140" s="801">
        <v>45525</v>
      </c>
      <c r="AO140" s="806">
        <v>11089738</v>
      </c>
      <c r="AP140" s="718">
        <v>570185.64</v>
      </c>
      <c r="AQ140" s="682"/>
      <c r="AR140" s="718">
        <v>86510.31</v>
      </c>
      <c r="AS140" s="538">
        <f>IF(Table15910[[#This Row],[PCTS Approved]]="N",0,Table15910[[#This Row],[Investment Amount (1'#'#'#'#'#)]]+Table15910[[#This Row],[Retirement Amount (3'#'#'#'#'#)]])</f>
        <v>656695.94999999995</v>
      </c>
      <c r="AT140" s="538">
        <f>IF(Table15910[[#This Row],[Approved Construction Cost]]=0,0,Table15910[[#This Row],[Approved Construction Cost]]-Table15910[[#This Row],[Construction Cost to Bill From]])</f>
        <v>136952.07999999996</v>
      </c>
      <c r="AU140" s="538">
        <f>IFERROR(Table15910[[#This Row],[Difference in Construction Cost]]*Table15910[[#This Row],[Rate]],Table15910[[#This Row],[Difference in Construction Cost]]*0.085)</f>
        <v>13695.207999999997</v>
      </c>
      <c r="AV140" s="1311" t="s">
        <v>29</v>
      </c>
      <c r="AW140" s="1358" t="s">
        <v>9179</v>
      </c>
      <c r="AX140" s="555"/>
      <c r="AY140" s="1035" t="s">
        <v>709</v>
      </c>
      <c r="AZ140" s="443">
        <v>125</v>
      </c>
      <c r="BA140" s="642" t="s">
        <v>1723</v>
      </c>
      <c r="BB140" s="671" t="s">
        <v>854</v>
      </c>
      <c r="BC140" s="544" t="s">
        <v>115</v>
      </c>
      <c r="BD140" s="554" t="s">
        <v>862</v>
      </c>
      <c r="BE140" s="588" t="s">
        <v>855</v>
      </c>
      <c r="BF140" s="588" t="s">
        <v>115</v>
      </c>
      <c r="BG140" s="548" t="s">
        <v>1724</v>
      </c>
      <c r="BH140" s="615" t="s">
        <v>1725</v>
      </c>
      <c r="BI140" s="547" t="s">
        <v>709</v>
      </c>
      <c r="BJ140" s="549" t="s">
        <v>709</v>
      </c>
      <c r="BK140" s="547" t="s">
        <v>709</v>
      </c>
      <c r="BL140" s="547" t="s">
        <v>116</v>
      </c>
      <c r="BM140" s="626" t="s">
        <v>709</v>
      </c>
      <c r="BN140" s="549" t="s">
        <v>709</v>
      </c>
      <c r="BO140" s="626" t="s">
        <v>709</v>
      </c>
      <c r="BP140" s="626" t="s">
        <v>709</v>
      </c>
      <c r="BQ140" s="549">
        <v>1301</v>
      </c>
      <c r="BR140" s="549" t="s">
        <v>709</v>
      </c>
      <c r="BS140" s="549">
        <v>469</v>
      </c>
      <c r="BT140" s="549" t="s">
        <v>709</v>
      </c>
      <c r="BU140" s="549" t="s">
        <v>709</v>
      </c>
      <c r="BV140" s="549" t="s">
        <v>709</v>
      </c>
      <c r="BW140" s="549" t="s">
        <v>709</v>
      </c>
      <c r="BX140" s="547" t="s">
        <v>709</v>
      </c>
      <c r="BY140" s="549" t="s">
        <v>709</v>
      </c>
      <c r="BZ140" s="547" t="s">
        <v>709</v>
      </c>
      <c r="CA140" s="962" t="s">
        <v>6832</v>
      </c>
    </row>
    <row r="141" spans="1:79" ht="15" hidden="1" customHeight="1" x14ac:dyDescent="0.25">
      <c r="A141" s="13">
        <v>2023</v>
      </c>
      <c r="B141" s="13" t="s">
        <v>759</v>
      </c>
      <c r="C141" s="13" t="s">
        <v>416</v>
      </c>
      <c r="D141" s="13">
        <v>1011926</v>
      </c>
      <c r="E141" s="13" t="s">
        <v>309</v>
      </c>
      <c r="F141" s="452" t="s">
        <v>752</v>
      </c>
      <c r="G141" s="13" t="s">
        <v>22</v>
      </c>
      <c r="H141" s="13" t="s">
        <v>59</v>
      </c>
      <c r="I141" s="642">
        <v>44838</v>
      </c>
      <c r="J141" s="18">
        <v>45016</v>
      </c>
      <c r="K141" s="642">
        <v>45015</v>
      </c>
      <c r="L141" s="649">
        <v>1</v>
      </c>
      <c r="M141"/>
      <c r="N141" s="642" t="s">
        <v>120</v>
      </c>
      <c r="O141" s="1060">
        <v>45047</v>
      </c>
      <c r="P141" s="21" t="s">
        <v>120</v>
      </c>
      <c r="Q141" s="340">
        <v>92865.143799999991</v>
      </c>
      <c r="R141" s="1039">
        <v>0.11</v>
      </c>
      <c r="S141" s="538"/>
      <c r="T141" s="538"/>
      <c r="U141" s="28"/>
      <c r="V141" s="1190">
        <v>403</v>
      </c>
      <c r="W141" s="442">
        <v>2</v>
      </c>
      <c r="X141" s="570">
        <v>737349.19</v>
      </c>
      <c r="Y141" s="591"/>
      <c r="Z141" s="570">
        <v>106879.39</v>
      </c>
      <c r="AA141" s="552">
        <v>844228.58</v>
      </c>
      <c r="AB141" s="476">
        <v>45028</v>
      </c>
      <c r="AC141" s="576" t="s">
        <v>1296</v>
      </c>
      <c r="AD141" s="1158" t="s">
        <v>29</v>
      </c>
      <c r="AE141" s="581"/>
      <c r="AF141" s="581"/>
      <c r="AG141" s="581"/>
      <c r="AH141" s="583"/>
      <c r="AI141" s="1047"/>
      <c r="AJ141" s="1048"/>
      <c r="AK141" s="1048"/>
      <c r="AL141" s="1049"/>
      <c r="AM141" s="536" t="s">
        <v>116</v>
      </c>
      <c r="AN141" s="680" t="s">
        <v>709</v>
      </c>
      <c r="AO141" s="604">
        <v>11050929</v>
      </c>
      <c r="AP141" s="572"/>
      <c r="AQ141" s="603"/>
      <c r="AR141" s="572"/>
      <c r="AS141" s="538">
        <f>IF(Table15910[[#This Row],[PCTS Approved]]="N",0,Table15910[[#This Row],[Investment Amount (1'#'#'#'#'#)]]+Table15910[[#This Row],[Retirement Amount (3'#'#'#'#'#)]])</f>
        <v>0</v>
      </c>
      <c r="AT141" s="538">
        <f>IF(Table15910[[#This Row],[Approved Construction Cost]]=0,0,Table15910[[#This Row],[Approved Construction Cost]]-Table15910[[#This Row],[Construction Cost to Bill From]])</f>
        <v>0</v>
      </c>
      <c r="AU141" s="538">
        <f>IFERROR(Table15910[[#This Row],[Difference in Construction Cost]]*Table15910[[#This Row],[Rate]],Table15910[[#This Row],[Difference in Construction Cost]]*0.085)</f>
        <v>0</v>
      </c>
      <c r="AV141" s="572"/>
      <c r="AW141" s="639"/>
      <c r="AX141" s="538"/>
      <c r="AY141" s="1035" t="s">
        <v>709</v>
      </c>
      <c r="AZ141" s="443">
        <v>151</v>
      </c>
      <c r="BA141" s="859" t="s">
        <v>1437</v>
      </c>
      <c r="BB141" s="543" t="s">
        <v>1438</v>
      </c>
      <c r="BC141" s="544" t="s">
        <v>115</v>
      </c>
      <c r="BD141" s="544" t="s">
        <v>709</v>
      </c>
      <c r="BE141" s="544" t="s">
        <v>709</v>
      </c>
      <c r="BF141" s="544" t="s">
        <v>1439</v>
      </c>
      <c r="BG141" s="544" t="s">
        <v>115</v>
      </c>
      <c r="BH141" s="741"/>
      <c r="BI141" s="549" t="s">
        <v>709</v>
      </c>
      <c r="BJ141" s="549" t="s">
        <v>709</v>
      </c>
      <c r="BK141" s="549" t="s">
        <v>116</v>
      </c>
      <c r="BL141" s="549" t="s">
        <v>116</v>
      </c>
      <c r="BM141" s="549" t="s">
        <v>709</v>
      </c>
      <c r="BN141" s="549" t="s">
        <v>709</v>
      </c>
      <c r="BO141" s="549" t="s">
        <v>709</v>
      </c>
      <c r="BP141" s="549" t="s">
        <v>709</v>
      </c>
      <c r="BQ141" s="549">
        <v>139</v>
      </c>
      <c r="BR141" s="549">
        <v>140</v>
      </c>
      <c r="BS141" s="549">
        <v>54</v>
      </c>
      <c r="BT141" s="549" t="s">
        <v>709</v>
      </c>
      <c r="BU141" s="549" t="s">
        <v>709</v>
      </c>
      <c r="BV141" s="549" t="s">
        <v>709</v>
      </c>
      <c r="BW141" s="549">
        <v>1</v>
      </c>
      <c r="BX141" s="549">
        <v>1</v>
      </c>
      <c r="BY141" s="549" t="s">
        <v>709</v>
      </c>
      <c r="BZ141" s="547" t="s">
        <v>709</v>
      </c>
      <c r="CA141" s="917" t="s">
        <v>6827</v>
      </c>
    </row>
    <row r="142" spans="1:79" ht="15" hidden="1" customHeight="1" x14ac:dyDescent="0.25">
      <c r="A142" s="8" t="s">
        <v>800</v>
      </c>
      <c r="B142" s="8" t="s">
        <v>771</v>
      </c>
      <c r="C142" s="8" t="s">
        <v>1740</v>
      </c>
      <c r="D142" s="8" t="s">
        <v>1741</v>
      </c>
      <c r="E142" s="8" t="s">
        <v>104</v>
      </c>
      <c r="F142" s="8" t="s">
        <v>784</v>
      </c>
      <c r="G142" s="8" t="s">
        <v>36</v>
      </c>
      <c r="H142" s="8" t="s">
        <v>59</v>
      </c>
      <c r="I142" s="642">
        <v>44946</v>
      </c>
      <c r="J142" s="18">
        <v>45366</v>
      </c>
      <c r="K142" s="97">
        <v>45359</v>
      </c>
      <c r="L142" s="16">
        <v>7</v>
      </c>
      <c r="M142" s="642"/>
      <c r="N142" s="642" t="s">
        <v>120</v>
      </c>
      <c r="O142" s="1060">
        <v>45352</v>
      </c>
      <c r="P142" s="1152" t="s">
        <v>120</v>
      </c>
      <c r="Q142" s="340">
        <v>265333.7268</v>
      </c>
      <c r="R142" s="1026">
        <v>0.06</v>
      </c>
      <c r="S142" s="538"/>
      <c r="T142" s="538"/>
      <c r="U142" s="87"/>
      <c r="V142" s="858">
        <v>8803</v>
      </c>
      <c r="W142" s="437">
        <v>0</v>
      </c>
      <c r="X142" s="556">
        <v>4101169.29</v>
      </c>
      <c r="Y142" s="551"/>
      <c r="Z142" s="570">
        <v>321059.49</v>
      </c>
      <c r="AA142" s="552">
        <v>4422228.78</v>
      </c>
      <c r="AB142" s="341">
        <v>45369</v>
      </c>
      <c r="AC142" s="569" t="s">
        <v>709</v>
      </c>
      <c r="AD142" s="1149" t="s">
        <v>116</v>
      </c>
      <c r="AE142" s="568" t="s">
        <v>116</v>
      </c>
      <c r="AF142" s="568" t="s">
        <v>116</v>
      </c>
      <c r="AG142" s="569" t="s">
        <v>116</v>
      </c>
      <c r="AH142" s="183" t="s">
        <v>116</v>
      </c>
      <c r="AI142" s="1028">
        <v>0</v>
      </c>
      <c r="AJ142" s="1029">
        <v>0</v>
      </c>
      <c r="AK142" s="1029">
        <v>0</v>
      </c>
      <c r="AL142" s="1030">
        <v>0</v>
      </c>
      <c r="AM142" s="536" t="s">
        <v>116</v>
      </c>
      <c r="AN142" s="680" t="s">
        <v>709</v>
      </c>
      <c r="AO142" s="601"/>
      <c r="AP142" s="572"/>
      <c r="AQ142" s="572"/>
      <c r="AR142" s="572"/>
      <c r="AS142" s="538">
        <f>IF(Table15910[[#This Row],[PCTS Approved]]="N",0,Table15910[[#This Row],[Investment Amount (1'#'#'#'#'#)]]+Table15910[[#This Row],[Retirement Amount (3'#'#'#'#'#)]])</f>
        <v>0</v>
      </c>
      <c r="AT142" s="538">
        <f>IF(Table15910[[#This Row],[Approved Construction Cost]]=0,0,Table15910[[#This Row],[Approved Construction Cost]]-Table15910[[#This Row],[Construction Cost to Bill From]])</f>
        <v>0</v>
      </c>
      <c r="AU142" s="538">
        <f>IFERROR(Table15910[[#This Row],[Difference in Construction Cost]]*Table15910[[#This Row],[Rate]],Table15910[[#This Row],[Difference in Construction Cost]]*0.085)</f>
        <v>0</v>
      </c>
      <c r="AV142" s="602"/>
      <c r="AW142" s="640"/>
      <c r="AX142" s="555"/>
      <c r="AY142" s="1035" t="s">
        <v>709</v>
      </c>
      <c r="AZ142" s="443">
        <v>8</v>
      </c>
      <c r="BA142" s="1074" t="s">
        <v>1742</v>
      </c>
      <c r="BB142" s="644" t="s">
        <v>1743</v>
      </c>
      <c r="BC142" s="559" t="s">
        <v>116</v>
      </c>
      <c r="BD142" s="554" t="s">
        <v>115</v>
      </c>
      <c r="BE142" s="588" t="s">
        <v>1232</v>
      </c>
      <c r="BF142" s="588" t="s">
        <v>115</v>
      </c>
      <c r="BG142" s="548" t="s">
        <v>1480</v>
      </c>
      <c r="BH142" s="615" t="s">
        <v>1744</v>
      </c>
      <c r="BI142" s="547" t="s">
        <v>709</v>
      </c>
      <c r="BJ142" s="549" t="s">
        <v>709</v>
      </c>
      <c r="BK142" s="547" t="s">
        <v>709</v>
      </c>
      <c r="BL142" s="547" t="s">
        <v>116</v>
      </c>
      <c r="BM142" s="626" t="s">
        <v>709</v>
      </c>
      <c r="BN142" s="549">
        <v>2784</v>
      </c>
      <c r="BO142" s="626" t="s">
        <v>709</v>
      </c>
      <c r="BP142" s="626">
        <v>3955</v>
      </c>
      <c r="BQ142" s="549" t="s">
        <v>709</v>
      </c>
      <c r="BR142" s="549">
        <v>1221</v>
      </c>
      <c r="BS142" s="549">
        <v>843</v>
      </c>
      <c r="BT142" s="549" t="s">
        <v>709</v>
      </c>
      <c r="BU142" s="549" t="s">
        <v>709</v>
      </c>
      <c r="BV142" s="549" t="s">
        <v>709</v>
      </c>
      <c r="BW142" s="549" t="s">
        <v>709</v>
      </c>
      <c r="BX142" s="547" t="s">
        <v>709</v>
      </c>
      <c r="BY142" s="549" t="s">
        <v>709</v>
      </c>
      <c r="BZ142" s="547" t="s">
        <v>709</v>
      </c>
      <c r="CA142" s="962"/>
    </row>
    <row r="143" spans="1:79" ht="15" hidden="1" customHeight="1" x14ac:dyDescent="0.25">
      <c r="A143" s="8" t="s">
        <v>770</v>
      </c>
      <c r="B143" s="8" t="s">
        <v>771</v>
      </c>
      <c r="C143" s="8" t="s">
        <v>383</v>
      </c>
      <c r="D143" s="8" t="s">
        <v>1434</v>
      </c>
      <c r="E143" s="8" t="s">
        <v>104</v>
      </c>
      <c r="F143" s="8" t="s">
        <v>784</v>
      </c>
      <c r="G143" s="8" t="s">
        <v>36</v>
      </c>
      <c r="H143" s="13" t="s">
        <v>59</v>
      </c>
      <c r="I143" s="642">
        <v>44250</v>
      </c>
      <c r="J143" s="18">
        <v>45016</v>
      </c>
      <c r="K143" s="97">
        <v>45008</v>
      </c>
      <c r="L143" s="16">
        <v>8</v>
      </c>
      <c r="M143" s="642"/>
      <c r="N143" s="642" t="s">
        <v>120</v>
      </c>
      <c r="O143" s="1060">
        <v>45017</v>
      </c>
      <c r="P143" s="1152" t="s">
        <v>120</v>
      </c>
      <c r="Q143" s="340">
        <v>148271.67179999998</v>
      </c>
      <c r="R143" s="1026">
        <v>0.09</v>
      </c>
      <c r="S143" s="538"/>
      <c r="T143" s="538"/>
      <c r="U143" s="87"/>
      <c r="V143" s="858">
        <v>1626</v>
      </c>
      <c r="W143" s="437">
        <v>0</v>
      </c>
      <c r="X143" s="552">
        <v>1586798.2</v>
      </c>
      <c r="Y143" s="592"/>
      <c r="Z143" s="552">
        <v>60664.82</v>
      </c>
      <c r="AA143" s="552">
        <v>1647463.02</v>
      </c>
      <c r="AB143" s="341">
        <v>45040</v>
      </c>
      <c r="AC143" s="568" t="s">
        <v>1177</v>
      </c>
      <c r="AD143" s="1157" t="s">
        <v>29</v>
      </c>
      <c r="AE143" s="579"/>
      <c r="AF143" s="579"/>
      <c r="AG143" s="579"/>
      <c r="AH143" s="553"/>
      <c r="AI143" s="1036"/>
      <c r="AJ143" s="1037"/>
      <c r="AK143" s="1037"/>
      <c r="AL143" s="1038"/>
      <c r="AM143" s="536" t="s">
        <v>116</v>
      </c>
      <c r="AN143" s="680" t="s">
        <v>709</v>
      </c>
      <c r="AO143" s="681">
        <v>11037256</v>
      </c>
      <c r="AP143" s="572"/>
      <c r="AQ143" s="572"/>
      <c r="AR143" s="572"/>
      <c r="AS143" s="538">
        <f>IF(Table15910[[#This Row],[PCTS Approved]]="N",0,Table15910[[#This Row],[Investment Amount (1'#'#'#'#'#)]]+Table15910[[#This Row],[Retirement Amount (3'#'#'#'#'#)]])</f>
        <v>0</v>
      </c>
      <c r="AT143" s="538">
        <f>IF(Table15910[[#This Row],[Approved Construction Cost]]=0,0,Table15910[[#This Row],[Approved Construction Cost]]-Table15910[[#This Row],[Construction Cost to Bill From]])</f>
        <v>0</v>
      </c>
      <c r="AU143" s="538">
        <f>IFERROR(Table15910[[#This Row],[Difference in Construction Cost]]*Table15910[[#This Row],[Rate]],Table15910[[#This Row],[Difference in Construction Cost]]*0.085)</f>
        <v>0</v>
      </c>
      <c r="AV143" s="572"/>
      <c r="AW143" s="639"/>
      <c r="AX143" s="538"/>
      <c r="AY143" s="1035" t="s">
        <v>709</v>
      </c>
      <c r="AZ143" s="443">
        <v>38</v>
      </c>
      <c r="BA143" s="859" t="s">
        <v>1435</v>
      </c>
      <c r="BB143" s="644" t="s">
        <v>1436</v>
      </c>
      <c r="BC143" s="544" t="s">
        <v>116</v>
      </c>
      <c r="BD143" s="544" t="s">
        <v>115</v>
      </c>
      <c r="BE143" s="544" t="s">
        <v>1232</v>
      </c>
      <c r="BF143" s="544" t="s">
        <v>115</v>
      </c>
      <c r="BG143" s="544"/>
      <c r="BH143" s="741"/>
      <c r="BI143" s="547" t="s">
        <v>709</v>
      </c>
      <c r="BJ143" s="547" t="s">
        <v>709</v>
      </c>
      <c r="BK143" s="547" t="s">
        <v>709</v>
      </c>
      <c r="BL143" s="547" t="s">
        <v>116</v>
      </c>
      <c r="BM143" s="547" t="s">
        <v>709</v>
      </c>
      <c r="BN143" s="547">
        <v>533</v>
      </c>
      <c r="BO143" s="547" t="s">
        <v>709</v>
      </c>
      <c r="BP143" s="547">
        <v>228</v>
      </c>
      <c r="BQ143" s="547">
        <v>422</v>
      </c>
      <c r="BR143" s="547">
        <v>414</v>
      </c>
      <c r="BS143" s="547">
        <v>22</v>
      </c>
      <c r="BT143" s="547" t="s">
        <v>745</v>
      </c>
      <c r="BU143" s="547" t="s">
        <v>709</v>
      </c>
      <c r="BV143" s="547" t="s">
        <v>745</v>
      </c>
      <c r="BW143" s="547" t="s">
        <v>709</v>
      </c>
      <c r="BX143" s="547" t="s">
        <v>745</v>
      </c>
      <c r="BY143" s="547" t="s">
        <v>745</v>
      </c>
      <c r="BZ143" s="547" t="s">
        <v>709</v>
      </c>
      <c r="CA143" s="962"/>
    </row>
    <row r="144" spans="1:79" s="447" customFormat="1" ht="15" hidden="1" customHeight="1" x14ac:dyDescent="0.25">
      <c r="A144" s="8">
        <v>2024</v>
      </c>
      <c r="B144" s="8" t="s">
        <v>4</v>
      </c>
      <c r="C144" s="1497" t="s">
        <v>1726</v>
      </c>
      <c r="D144" s="8" t="s">
        <v>1727</v>
      </c>
      <c r="E144" s="8" t="s">
        <v>850</v>
      </c>
      <c r="F144" s="8" t="s">
        <v>851</v>
      </c>
      <c r="G144" s="8" t="s">
        <v>26</v>
      </c>
      <c r="H144" s="8" t="s">
        <v>59</v>
      </c>
      <c r="I144" s="642">
        <v>45191</v>
      </c>
      <c r="J144" s="18">
        <v>45350</v>
      </c>
      <c r="K144" s="97">
        <v>45348</v>
      </c>
      <c r="L144" s="16">
        <v>2</v>
      </c>
      <c r="M144" s="642"/>
      <c r="N144" s="642" t="s">
        <v>120</v>
      </c>
      <c r="O144" s="1060">
        <v>45352</v>
      </c>
      <c r="P144" s="1152" t="s">
        <v>739</v>
      </c>
      <c r="Q144" s="340">
        <v>42993.122000000003</v>
      </c>
      <c r="R144" s="1026">
        <v>0.1</v>
      </c>
      <c r="S144" s="538"/>
      <c r="T144" s="538"/>
      <c r="U144" s="87"/>
      <c r="V144" s="858">
        <v>1419</v>
      </c>
      <c r="W144" s="437">
        <v>0</v>
      </c>
      <c r="X144" s="556">
        <v>411689.63</v>
      </c>
      <c r="Y144" s="550"/>
      <c r="Z144" s="570">
        <v>18241.59</v>
      </c>
      <c r="AA144" s="552">
        <v>429931.22000000003</v>
      </c>
      <c r="AB144" s="341">
        <v>45329</v>
      </c>
      <c r="AC144" s="569" t="s">
        <v>709</v>
      </c>
      <c r="AD144" s="1157" t="s">
        <v>29</v>
      </c>
      <c r="AE144" s="568" t="s">
        <v>116</v>
      </c>
      <c r="AF144" s="568" t="s">
        <v>116</v>
      </c>
      <c r="AG144" s="183">
        <v>45366</v>
      </c>
      <c r="AH144" s="183">
        <v>45366</v>
      </c>
      <c r="AI144" s="1109">
        <v>0</v>
      </c>
      <c r="AJ144" s="1110">
        <v>2142</v>
      </c>
      <c r="AK144" s="1110">
        <v>656.625</v>
      </c>
      <c r="AL144" s="1108">
        <v>6.509471445223261E-2</v>
      </c>
      <c r="AM144" s="536" t="s">
        <v>116</v>
      </c>
      <c r="AN144" s="801">
        <v>45525</v>
      </c>
      <c r="AO144" s="806">
        <v>11089739</v>
      </c>
      <c r="AP144" s="718">
        <v>461071.23</v>
      </c>
      <c r="AQ144" s="682"/>
      <c r="AR144" s="718">
        <v>21389.64</v>
      </c>
      <c r="AS144" s="538">
        <f>IF(Table15910[[#This Row],[PCTS Approved]]="N",0,Table15910[[#This Row],[Investment Amount (1'#'#'#'#'#)]]+Table15910[[#This Row],[Retirement Amount (3'#'#'#'#'#)]])</f>
        <v>482460.87</v>
      </c>
      <c r="AT144" s="538">
        <f>IF(Table15910[[#This Row],[Approved Construction Cost]]=0,0,Table15910[[#This Row],[Approved Construction Cost]]-Table15910[[#This Row],[Construction Cost to Bill From]])</f>
        <v>52529.649999999965</v>
      </c>
      <c r="AU144" s="538">
        <f>IFERROR(Table15910[[#This Row],[Difference in Construction Cost]]*Table15910[[#This Row],[Rate]],Table15910[[#This Row],[Difference in Construction Cost]]*0.085)</f>
        <v>5252.9649999999965</v>
      </c>
      <c r="AV144" s="1311" t="s">
        <v>29</v>
      </c>
      <c r="AW144" s="1432" t="s">
        <v>9180</v>
      </c>
      <c r="AX144" s="555"/>
      <c r="AY144" s="1035" t="s">
        <v>709</v>
      </c>
      <c r="AZ144" s="443">
        <v>126</v>
      </c>
      <c r="BA144" s="642" t="s">
        <v>1728</v>
      </c>
      <c r="BB144" s="671" t="s">
        <v>854</v>
      </c>
      <c r="BC144" s="544" t="s">
        <v>115</v>
      </c>
      <c r="BD144" s="554" t="s">
        <v>862</v>
      </c>
      <c r="BE144" s="588" t="s">
        <v>855</v>
      </c>
      <c r="BF144" s="588" t="s">
        <v>115</v>
      </c>
      <c r="BG144" s="548" t="s">
        <v>1724</v>
      </c>
      <c r="BH144" s="615" t="s">
        <v>1729</v>
      </c>
      <c r="BI144" s="547" t="s">
        <v>709</v>
      </c>
      <c r="BJ144" s="549" t="s">
        <v>709</v>
      </c>
      <c r="BK144" s="547" t="s">
        <v>709</v>
      </c>
      <c r="BL144" s="547" t="s">
        <v>116</v>
      </c>
      <c r="BM144" s="626" t="s">
        <v>709</v>
      </c>
      <c r="BN144" s="549" t="s">
        <v>709</v>
      </c>
      <c r="BO144" s="626" t="s">
        <v>709</v>
      </c>
      <c r="BP144" s="626" t="s">
        <v>709</v>
      </c>
      <c r="BQ144" s="549">
        <v>1301</v>
      </c>
      <c r="BR144" s="549" t="s">
        <v>709</v>
      </c>
      <c r="BS144" s="549">
        <v>469</v>
      </c>
      <c r="BT144" s="549" t="s">
        <v>709</v>
      </c>
      <c r="BU144" s="549" t="s">
        <v>709</v>
      </c>
      <c r="BV144" s="549" t="s">
        <v>709</v>
      </c>
      <c r="BW144" s="549" t="s">
        <v>709</v>
      </c>
      <c r="BX144" s="547" t="s">
        <v>709</v>
      </c>
      <c r="BY144" s="549" t="s">
        <v>709</v>
      </c>
      <c r="BZ144" s="547" t="s">
        <v>709</v>
      </c>
      <c r="CA144" s="962" t="s">
        <v>8269</v>
      </c>
    </row>
    <row r="145" spans="1:79" s="447" customFormat="1" ht="15" hidden="1" customHeight="1" x14ac:dyDescent="0.25">
      <c r="A145" s="874" t="s">
        <v>800</v>
      </c>
      <c r="B145" s="878" t="s">
        <v>4</v>
      </c>
      <c r="C145" s="1286" t="s">
        <v>8081</v>
      </c>
      <c r="D145" s="880" t="s">
        <v>8276</v>
      </c>
      <c r="E145" s="879" t="s">
        <v>1522</v>
      </c>
      <c r="F145" s="878" t="s">
        <v>1102</v>
      </c>
      <c r="G145" s="878" t="s">
        <v>31</v>
      </c>
      <c r="H145" s="878" t="s">
        <v>59</v>
      </c>
      <c r="I145" s="881">
        <v>45568</v>
      </c>
      <c r="J145" s="956">
        <v>45709</v>
      </c>
      <c r="K145" s="945">
        <v>45705</v>
      </c>
      <c r="L145" s="884">
        <v>4</v>
      </c>
      <c r="M145" s="879"/>
      <c r="N145" s="885" t="s">
        <v>120</v>
      </c>
      <c r="O145" s="886">
        <v>45717</v>
      </c>
      <c r="P145" s="1153" t="s">
        <v>739</v>
      </c>
      <c r="Q145" s="1150">
        <v>45828.331999999995</v>
      </c>
      <c r="R145" s="887">
        <v>0.1</v>
      </c>
      <c r="S145" s="888" t="s">
        <v>29</v>
      </c>
      <c r="T145" s="888" t="s">
        <v>29</v>
      </c>
      <c r="U145" s="889" t="s">
        <v>29</v>
      </c>
      <c r="V145" s="890">
        <v>1330</v>
      </c>
      <c r="W145" s="1021">
        <v>0</v>
      </c>
      <c r="X145" s="888">
        <v>384969.35</v>
      </c>
      <c r="Y145" s="891"/>
      <c r="Z145" s="888">
        <v>73313.97</v>
      </c>
      <c r="AA145" s="892">
        <v>458283.31999999995</v>
      </c>
      <c r="AB145" s="893">
        <v>45709</v>
      </c>
      <c r="AC145" s="894" t="s">
        <v>116</v>
      </c>
      <c r="AD145" s="1161" t="s">
        <v>376</v>
      </c>
      <c r="AE145" s="895" t="s">
        <v>756</v>
      </c>
      <c r="AF145" s="895" t="s">
        <v>29</v>
      </c>
      <c r="AG145" s="896" t="s">
        <v>116</v>
      </c>
      <c r="AH145" s="897">
        <v>45770</v>
      </c>
      <c r="AI145" s="898">
        <v>0</v>
      </c>
      <c r="AJ145" s="899">
        <v>2430</v>
      </c>
      <c r="AK145" s="960">
        <v>11223.75</v>
      </c>
      <c r="AL145" s="964">
        <v>0.29793251039553437</v>
      </c>
      <c r="AM145" s="902" t="s">
        <v>116</v>
      </c>
      <c r="AN145" s="1353">
        <v>45720</v>
      </c>
      <c r="AO145" s="1354">
        <v>11099141</v>
      </c>
      <c r="AP145" s="1320">
        <v>384969.35</v>
      </c>
      <c r="AQ145" s="1293"/>
      <c r="AR145" s="1320">
        <v>73313.97</v>
      </c>
      <c r="AS145" s="538">
        <f>IF(Table15910[[#This Row],[PCTS Approved]]="N",0,Table15910[[#This Row],[Investment Amount (1'#'#'#'#'#)]]+Table15910[[#This Row],[Retirement Amount (3'#'#'#'#'#)]])</f>
        <v>458283.31999999995</v>
      </c>
      <c r="AT145" s="538">
        <f>IF(Table15910[[#This Row],[Approved Construction Cost]]=0,0,Table15910[[#This Row],[Approved Construction Cost]]-Table15910[[#This Row],[Construction Cost to Bill From]])</f>
        <v>0</v>
      </c>
      <c r="AU145" s="538">
        <f>IFERROR(Table15910[[#This Row],[Difference in Construction Cost]]*Table15910[[#This Row],[Rate]],Table15910[[#This Row],[Difference in Construction Cost]]*0.085)</f>
        <v>0</v>
      </c>
      <c r="AV145" s="1356" t="s">
        <v>29</v>
      </c>
      <c r="AW145" s="1354" t="s">
        <v>29</v>
      </c>
      <c r="AX145" s="908"/>
      <c r="AY145" s="909" t="s">
        <v>709</v>
      </c>
      <c r="AZ145" s="1022"/>
      <c r="BA145" s="910" t="s">
        <v>8277</v>
      </c>
      <c r="BB145" s="911" t="s">
        <v>8278</v>
      </c>
      <c r="BC145" s="912" t="s">
        <v>709</v>
      </c>
      <c r="BD145" s="913" t="s">
        <v>709</v>
      </c>
      <c r="BE145" s="914" t="s">
        <v>526</v>
      </c>
      <c r="BF145" s="914" t="s">
        <v>745</v>
      </c>
      <c r="BG145" s="915" t="s">
        <v>8279</v>
      </c>
      <c r="BH145" s="1023" t="s">
        <v>8280</v>
      </c>
      <c r="BI145" s="929" t="s">
        <v>709</v>
      </c>
      <c r="BJ145" s="929" t="s">
        <v>745</v>
      </c>
      <c r="BK145" s="916" t="s">
        <v>745</v>
      </c>
      <c r="BL145" s="916" t="s">
        <v>116</v>
      </c>
      <c r="BM145" s="916" t="s">
        <v>745</v>
      </c>
      <c r="BN145" s="916" t="s">
        <v>745</v>
      </c>
      <c r="BO145" s="916" t="s">
        <v>745</v>
      </c>
      <c r="BP145" s="916" t="s">
        <v>745</v>
      </c>
      <c r="BQ145" s="916" t="s">
        <v>709</v>
      </c>
      <c r="BR145" s="916">
        <v>1330</v>
      </c>
      <c r="BS145" s="916" t="s">
        <v>709</v>
      </c>
      <c r="BT145" s="916" t="s">
        <v>745</v>
      </c>
      <c r="BU145" s="916" t="s">
        <v>745</v>
      </c>
      <c r="BV145" s="916" t="s">
        <v>745</v>
      </c>
      <c r="BW145" s="916" t="s">
        <v>745</v>
      </c>
      <c r="BX145" s="916" t="s">
        <v>745</v>
      </c>
      <c r="BY145" s="916" t="s">
        <v>745</v>
      </c>
      <c r="BZ145" s="916" t="s">
        <v>709</v>
      </c>
      <c r="CA145" s="917" t="s">
        <v>8405</v>
      </c>
    </row>
    <row r="146" spans="1:79" ht="15" hidden="1" customHeight="1" x14ac:dyDescent="0.25">
      <c r="A146" s="8" t="s">
        <v>781</v>
      </c>
      <c r="B146" s="8" t="s">
        <v>1205</v>
      </c>
      <c r="C146" s="8" t="s">
        <v>262</v>
      </c>
      <c r="D146" s="8" t="s">
        <v>1336</v>
      </c>
      <c r="E146" s="8" t="s">
        <v>263</v>
      </c>
      <c r="F146" s="8" t="s">
        <v>747</v>
      </c>
      <c r="G146" s="8" t="s">
        <v>36</v>
      </c>
      <c r="H146" s="8" t="s">
        <v>59</v>
      </c>
      <c r="I146" s="642">
        <v>44683</v>
      </c>
      <c r="J146" s="18">
        <v>44799</v>
      </c>
      <c r="K146" s="97">
        <v>44799</v>
      </c>
      <c r="L146" s="16">
        <v>0</v>
      </c>
      <c r="M146" s="642"/>
      <c r="N146" s="642" t="s">
        <v>120</v>
      </c>
      <c r="O146" s="1058">
        <v>44805</v>
      </c>
      <c r="P146" s="21" t="s">
        <v>120</v>
      </c>
      <c r="Q146" s="1061">
        <v>85129.174799999993</v>
      </c>
      <c r="R146" s="1026">
        <v>0.09</v>
      </c>
      <c r="S146" s="538"/>
      <c r="T146" s="538"/>
      <c r="U146" s="87"/>
      <c r="V146" s="858">
        <v>997</v>
      </c>
      <c r="W146" s="437"/>
      <c r="X146" s="552">
        <v>893074.41</v>
      </c>
      <c r="Y146" s="592"/>
      <c r="Z146" s="552">
        <v>52805.31</v>
      </c>
      <c r="AA146" s="552">
        <v>945879.72</v>
      </c>
      <c r="AB146" s="476">
        <v>44820</v>
      </c>
      <c r="AC146" s="568" t="s">
        <v>116</v>
      </c>
      <c r="AD146" s="1157"/>
      <c r="AE146" s="579"/>
      <c r="AF146" s="579"/>
      <c r="AG146" s="579"/>
      <c r="AH146" s="553"/>
      <c r="AI146" s="1036"/>
      <c r="AJ146" s="1037"/>
      <c r="AK146" s="1037"/>
      <c r="AL146" s="1038"/>
      <c r="AM146" s="536" t="s">
        <v>116</v>
      </c>
      <c r="AN146" s="680" t="s">
        <v>709</v>
      </c>
      <c r="AO146" s="681">
        <v>11042197</v>
      </c>
      <c r="AP146" s="572"/>
      <c r="AQ146" s="572"/>
      <c r="AR146" s="572"/>
      <c r="AS146" s="538">
        <f>IF(Table15910[[#This Row],[PCTS Approved]]="N",0,Table15910[[#This Row],[Investment Amount (1'#'#'#'#'#)]]+Table15910[[#This Row],[Retirement Amount (3'#'#'#'#'#)]])</f>
        <v>0</v>
      </c>
      <c r="AT146" s="538">
        <f>IF(Table15910[[#This Row],[Approved Construction Cost]]=0,0,Table15910[[#This Row],[Approved Construction Cost]]-Table15910[[#This Row],[Construction Cost to Bill From]])</f>
        <v>0</v>
      </c>
      <c r="AU146" s="538">
        <f>IFERROR(Table15910[[#This Row],[Difference in Construction Cost]]*Table15910[[#This Row],[Rate]],Table15910[[#This Row],[Difference in Construction Cost]]*0.085)</f>
        <v>0</v>
      </c>
      <c r="AV146" s="572"/>
      <c r="AW146" s="639"/>
      <c r="AX146" s="538"/>
      <c r="AY146" s="1035" t="s">
        <v>709</v>
      </c>
      <c r="AZ146" s="443">
        <v>25</v>
      </c>
      <c r="BA146" s="859" t="s">
        <v>1337</v>
      </c>
      <c r="BB146" s="644" t="s">
        <v>1338</v>
      </c>
      <c r="BC146" s="544" t="s">
        <v>115</v>
      </c>
      <c r="BD146" s="544" t="s">
        <v>115</v>
      </c>
      <c r="BE146" s="544" t="s">
        <v>1339</v>
      </c>
      <c r="BF146" s="544" t="s">
        <v>115</v>
      </c>
      <c r="BG146" s="544" t="s">
        <v>1340</v>
      </c>
      <c r="BH146" s="741"/>
      <c r="BI146" s="547" t="s">
        <v>709</v>
      </c>
      <c r="BJ146" s="547" t="s">
        <v>709</v>
      </c>
      <c r="BK146" s="547" t="s">
        <v>116</v>
      </c>
      <c r="BL146" s="547" t="s">
        <v>709</v>
      </c>
      <c r="BM146" s="547" t="s">
        <v>709</v>
      </c>
      <c r="BN146" s="547">
        <v>769</v>
      </c>
      <c r="BO146" s="547" t="s">
        <v>709</v>
      </c>
      <c r="BP146" s="547" t="s">
        <v>709</v>
      </c>
      <c r="BQ146" s="547">
        <v>173</v>
      </c>
      <c r="BR146" s="547">
        <v>55</v>
      </c>
      <c r="BS146" s="547" t="s">
        <v>709</v>
      </c>
      <c r="BT146" s="547" t="s">
        <v>745</v>
      </c>
      <c r="BU146" s="547" t="s">
        <v>709</v>
      </c>
      <c r="BV146" s="547" t="s">
        <v>745</v>
      </c>
      <c r="BW146" s="547" t="s">
        <v>709</v>
      </c>
      <c r="BX146" s="547" t="s">
        <v>745</v>
      </c>
      <c r="BY146" s="547" t="s">
        <v>745</v>
      </c>
      <c r="BZ146" s="547" t="s">
        <v>709</v>
      </c>
      <c r="CA146" s="917" t="s">
        <v>8303</v>
      </c>
    </row>
    <row r="147" spans="1:79" ht="15" hidden="1" customHeight="1" x14ac:dyDescent="0.25">
      <c r="A147" s="874" t="s">
        <v>6816</v>
      </c>
      <c r="B147" s="878" t="s">
        <v>4</v>
      </c>
      <c r="C147" s="879" t="s">
        <v>8939</v>
      </c>
      <c r="D147" s="880" t="s">
        <v>8940</v>
      </c>
      <c r="E147" s="879" t="s">
        <v>2217</v>
      </c>
      <c r="F147" s="878" t="s">
        <v>1102</v>
      </c>
      <c r="G147" s="878" t="s">
        <v>27</v>
      </c>
      <c r="H147" s="878" t="s">
        <v>413</v>
      </c>
      <c r="I147" s="881">
        <v>45153</v>
      </c>
      <c r="J147" s="882">
        <v>45856</v>
      </c>
      <c r="K147" s="945">
        <v>45834</v>
      </c>
      <c r="L147" s="884">
        <v>45856</v>
      </c>
      <c r="M147" s="879"/>
      <c r="N147" s="885" t="s">
        <v>739</v>
      </c>
      <c r="O147" s="886" t="s">
        <v>376</v>
      </c>
      <c r="P147" s="1153" t="s">
        <v>739</v>
      </c>
      <c r="Q147" s="1150">
        <v>0</v>
      </c>
      <c r="R147" s="887">
        <v>0.1</v>
      </c>
      <c r="S147" s="888" t="s">
        <v>29</v>
      </c>
      <c r="T147" s="888" t="s">
        <v>29</v>
      </c>
      <c r="U147" s="889" t="s">
        <v>29</v>
      </c>
      <c r="V147" s="858">
        <v>1983</v>
      </c>
      <c r="W147" s="437" t="s">
        <v>29</v>
      </c>
      <c r="X147" s="538">
        <v>684225.91</v>
      </c>
      <c r="Y147" s="891"/>
      <c r="Z147" s="538">
        <v>298661.51</v>
      </c>
      <c r="AA147" s="892">
        <v>0</v>
      </c>
      <c r="AB147" s="1217">
        <v>45832</v>
      </c>
      <c r="AC147" s="575" t="s">
        <v>709</v>
      </c>
      <c r="AD147" s="1337" t="s">
        <v>116</v>
      </c>
      <c r="AE147" s="577" t="s">
        <v>756</v>
      </c>
      <c r="AF147" s="577" t="s">
        <v>29</v>
      </c>
      <c r="AG147" s="896" t="s">
        <v>376</v>
      </c>
      <c r="AH147" s="897" t="s">
        <v>376</v>
      </c>
      <c r="AI147" s="1342" t="s">
        <v>29</v>
      </c>
      <c r="AJ147" s="1344">
        <f>478.12+6800</f>
        <v>7278.12</v>
      </c>
      <c r="AK147" s="1344">
        <f>11915+7550</f>
        <v>19465</v>
      </c>
      <c r="AL147" s="901" t="e">
        <v>#DIV/0!</v>
      </c>
      <c r="AM147" s="902" t="s">
        <v>116</v>
      </c>
      <c r="AN147" s="1353" t="s">
        <v>709</v>
      </c>
      <c r="AO147" s="904"/>
      <c r="AP147" s="905"/>
      <c r="AQ147" s="905"/>
      <c r="AR147" s="905"/>
      <c r="AS147" s="538">
        <f>IF(Table15910[[#This Row],[PCTS Approved]]="N",0,Table15910[[#This Row],[Investment Amount (1'#'#'#'#'#)]]+Table15910[[#This Row],[Retirement Amount (3'#'#'#'#'#)]])</f>
        <v>0</v>
      </c>
      <c r="AT147" s="538">
        <f>IF(Table15910[[#This Row],[Approved Construction Cost]]=0,0,Table15910[[#This Row],[Approved Construction Cost]]-Table15910[[#This Row],[Construction Cost to Bill From]])</f>
        <v>0</v>
      </c>
      <c r="AU147" s="538">
        <f>IFERROR(Table15910[[#This Row],[Difference in Construction Cost]]*Table15910[[#This Row],[Rate]],Table15910[[#This Row],[Difference in Construction Cost]]*0.085)</f>
        <v>0</v>
      </c>
      <c r="AV147" s="1453"/>
      <c r="AW147" s="907"/>
      <c r="AX147" s="908"/>
      <c r="AY147" s="909" t="s">
        <v>709</v>
      </c>
      <c r="AZ147" s="1022"/>
      <c r="BA147" s="910" t="s">
        <v>8941</v>
      </c>
      <c r="BB147" s="911" t="s">
        <v>1092</v>
      </c>
      <c r="BC147" s="1264" t="s">
        <v>709</v>
      </c>
      <c r="BD147" s="1265" t="s">
        <v>837</v>
      </c>
      <c r="BE147" s="1266" t="s">
        <v>5212</v>
      </c>
      <c r="BF147" s="1266" t="s">
        <v>5212</v>
      </c>
      <c r="BG147" s="1267" t="s">
        <v>709</v>
      </c>
      <c r="BH147" s="1023" t="s">
        <v>8942</v>
      </c>
      <c r="BI147" s="1268"/>
      <c r="BJ147" s="1268"/>
      <c r="BK147" s="1268"/>
      <c r="BL147" s="1268"/>
      <c r="BM147" s="1268"/>
      <c r="BN147" s="1268"/>
      <c r="BO147" s="1268"/>
      <c r="BP147" s="1268"/>
      <c r="BQ147" s="1268"/>
      <c r="BR147" s="1268"/>
      <c r="BS147" s="1268"/>
      <c r="BT147" s="1268"/>
      <c r="BU147" s="1268"/>
      <c r="BV147" s="1268"/>
      <c r="BW147" s="1268"/>
      <c r="BX147" s="1268"/>
      <c r="BY147" s="1268"/>
      <c r="BZ147" s="1268"/>
      <c r="CA147" s="917"/>
    </row>
    <row r="148" spans="1:79" ht="15" hidden="1" customHeight="1" x14ac:dyDescent="0.25">
      <c r="A148" s="874" t="s">
        <v>6816</v>
      </c>
      <c r="B148" s="878" t="s">
        <v>4</v>
      </c>
      <c r="C148" s="879" t="s">
        <v>8943</v>
      </c>
      <c r="D148" s="880" t="s">
        <v>8944</v>
      </c>
      <c r="E148" s="879" t="s">
        <v>2217</v>
      </c>
      <c r="F148" s="878" t="s">
        <v>1102</v>
      </c>
      <c r="G148" s="878" t="s">
        <v>27</v>
      </c>
      <c r="H148" s="878" t="s">
        <v>413</v>
      </c>
      <c r="I148" s="881">
        <v>45153</v>
      </c>
      <c r="J148" s="882">
        <v>45856</v>
      </c>
      <c r="K148" s="945">
        <v>45834</v>
      </c>
      <c r="L148" s="884">
        <v>45856</v>
      </c>
      <c r="M148" s="879"/>
      <c r="N148" s="885" t="s">
        <v>739</v>
      </c>
      <c r="O148" s="886" t="s">
        <v>376</v>
      </c>
      <c r="P148" s="1153" t="s">
        <v>739</v>
      </c>
      <c r="Q148" s="1150">
        <v>0</v>
      </c>
      <c r="R148" s="887">
        <v>0.1</v>
      </c>
      <c r="S148" s="888" t="s">
        <v>29</v>
      </c>
      <c r="T148" s="888" t="s">
        <v>29</v>
      </c>
      <c r="U148" s="889" t="s">
        <v>29</v>
      </c>
      <c r="V148" s="858">
        <v>2306</v>
      </c>
      <c r="W148" s="437" t="s">
        <v>29</v>
      </c>
      <c r="X148" s="538">
        <v>795295.19</v>
      </c>
      <c r="Y148" s="891"/>
      <c r="Z148" s="538">
        <v>435260.57</v>
      </c>
      <c r="AA148" s="892">
        <v>0</v>
      </c>
      <c r="AB148" s="1217">
        <v>45510</v>
      </c>
      <c r="AC148" s="575" t="s">
        <v>709</v>
      </c>
      <c r="AD148" s="1337" t="s">
        <v>116</v>
      </c>
      <c r="AE148" s="577" t="s">
        <v>756</v>
      </c>
      <c r="AF148" s="577" t="s">
        <v>29</v>
      </c>
      <c r="AG148" s="896" t="s">
        <v>376</v>
      </c>
      <c r="AH148" s="897" t="s">
        <v>376</v>
      </c>
      <c r="AI148" s="1342" t="s">
        <v>29</v>
      </c>
      <c r="AJ148" s="1344" t="s">
        <v>29</v>
      </c>
      <c r="AK148" s="1344" t="s">
        <v>29</v>
      </c>
      <c r="AL148" s="901" t="e">
        <v>#DIV/0!</v>
      </c>
      <c r="AM148" s="902" t="s">
        <v>116</v>
      </c>
      <c r="AN148" s="1353" t="s">
        <v>709</v>
      </c>
      <c r="AO148" s="904"/>
      <c r="AP148" s="905"/>
      <c r="AQ148" s="905"/>
      <c r="AR148" s="905"/>
      <c r="AS148" s="538">
        <f>IF(Table15910[[#This Row],[PCTS Approved]]="N",0,Table15910[[#This Row],[Investment Amount (1'#'#'#'#'#)]]+Table15910[[#This Row],[Retirement Amount (3'#'#'#'#'#)]])</f>
        <v>0</v>
      </c>
      <c r="AT148" s="538">
        <f>IF(Table15910[[#This Row],[Approved Construction Cost]]=0,0,Table15910[[#This Row],[Approved Construction Cost]]-Table15910[[#This Row],[Construction Cost to Bill From]])</f>
        <v>0</v>
      </c>
      <c r="AU148" s="538">
        <f>IFERROR(Table15910[[#This Row],[Difference in Construction Cost]]*Table15910[[#This Row],[Rate]],Table15910[[#This Row],[Difference in Construction Cost]]*0.085)</f>
        <v>0</v>
      </c>
      <c r="AV148" s="1453"/>
      <c r="AW148" s="907"/>
      <c r="AX148" s="908"/>
      <c r="AY148" s="909" t="s">
        <v>709</v>
      </c>
      <c r="AZ148" s="1022"/>
      <c r="BA148" s="910" t="s">
        <v>8941</v>
      </c>
      <c r="BB148" s="911" t="s">
        <v>1092</v>
      </c>
      <c r="BC148" s="1264" t="s">
        <v>709</v>
      </c>
      <c r="BD148" s="1265" t="s">
        <v>837</v>
      </c>
      <c r="BE148" s="1266" t="s">
        <v>5212</v>
      </c>
      <c r="BF148" s="1266" t="s">
        <v>5212</v>
      </c>
      <c r="BG148" s="1267" t="s">
        <v>709</v>
      </c>
      <c r="BH148" s="1023" t="s">
        <v>8942</v>
      </c>
      <c r="BI148" s="1268"/>
      <c r="BJ148" s="1268"/>
      <c r="BK148" s="1268"/>
      <c r="BL148" s="1268"/>
      <c r="BM148" s="1268"/>
      <c r="BN148" s="1268"/>
      <c r="BO148" s="1268"/>
      <c r="BP148" s="1268"/>
      <c r="BQ148" s="1268"/>
      <c r="BR148" s="1268"/>
      <c r="BS148" s="1268"/>
      <c r="BT148" s="1268"/>
      <c r="BU148" s="1268"/>
      <c r="BV148" s="1268"/>
      <c r="BW148" s="1268"/>
      <c r="BX148" s="1268"/>
      <c r="BY148" s="1268"/>
      <c r="BZ148" s="1268"/>
      <c r="CA148" s="917"/>
    </row>
    <row r="149" spans="1:79" ht="15" hidden="1" customHeight="1" x14ac:dyDescent="0.25">
      <c r="A149" s="8" t="s">
        <v>749</v>
      </c>
      <c r="B149" s="8" t="s">
        <v>4</v>
      </c>
      <c r="C149" s="1497" t="s">
        <v>1087</v>
      </c>
      <c r="D149" s="8" t="s">
        <v>1088</v>
      </c>
      <c r="E149" s="8" t="s">
        <v>309</v>
      </c>
      <c r="F149" s="8" t="s">
        <v>747</v>
      </c>
      <c r="G149" s="8" t="s">
        <v>27</v>
      </c>
      <c r="H149" s="8" t="s">
        <v>59</v>
      </c>
      <c r="I149" s="642">
        <v>44637</v>
      </c>
      <c r="J149" s="18">
        <v>44895</v>
      </c>
      <c r="K149" s="97">
        <v>44894</v>
      </c>
      <c r="L149" s="16">
        <v>1</v>
      </c>
      <c r="M149" s="642"/>
      <c r="N149" s="642" t="s">
        <v>120</v>
      </c>
      <c r="O149" s="1060">
        <v>44896</v>
      </c>
      <c r="P149" s="21" t="s">
        <v>739</v>
      </c>
      <c r="Q149" s="1061">
        <v>171948.44900000002</v>
      </c>
      <c r="R149" s="1026">
        <v>0.1</v>
      </c>
      <c r="S149" s="538"/>
      <c r="T149" s="538"/>
      <c r="U149" s="87"/>
      <c r="V149" s="858">
        <v>3234</v>
      </c>
      <c r="W149" s="437"/>
      <c r="X149" s="570">
        <v>980442.02</v>
      </c>
      <c r="Y149" s="592"/>
      <c r="Z149" s="570">
        <v>739042.47</v>
      </c>
      <c r="AA149" s="552">
        <v>1719484.49</v>
      </c>
      <c r="AB149" s="341" t="s">
        <v>1089</v>
      </c>
      <c r="AC149" s="568" t="s">
        <v>709</v>
      </c>
      <c r="AD149" s="1157" t="s">
        <v>116</v>
      </c>
      <c r="AE149" s="579"/>
      <c r="AF149" s="579"/>
      <c r="AG149" s="579"/>
      <c r="AH149" s="553"/>
      <c r="AI149" s="1036"/>
      <c r="AJ149" s="1037"/>
      <c r="AK149" s="1037"/>
      <c r="AL149" s="1038"/>
      <c r="AM149" s="536" t="s">
        <v>116</v>
      </c>
      <c r="AN149" s="801">
        <v>45776</v>
      </c>
      <c r="AO149" s="806">
        <v>11085682</v>
      </c>
      <c r="AP149" s="718">
        <v>996204.6</v>
      </c>
      <c r="AQ149" s="718"/>
      <c r="AR149" s="718">
        <v>754936.91</v>
      </c>
      <c r="AS149" s="538">
        <f>IF(Table15910[[#This Row],[PCTS Approved]]="N",0,Table15910[[#This Row],[Investment Amount (1'#'#'#'#'#)]]+Table15910[[#This Row],[Retirement Amount (3'#'#'#'#'#)]])</f>
        <v>1751141.51</v>
      </c>
      <c r="AT149" s="538">
        <f>IF(Table15910[[#This Row],[Approved Construction Cost]]=0,0,Table15910[[#This Row],[Approved Construction Cost]]-Table15910[[#This Row],[Construction Cost to Bill From]])</f>
        <v>31657.020000000019</v>
      </c>
      <c r="AU149" s="538">
        <f>IFERROR(Table15910[[#This Row],[Difference in Construction Cost]]*Table15910[[#This Row],[Rate]],Table15910[[#This Row],[Difference in Construction Cost]]*0.085)</f>
        <v>3165.702000000002</v>
      </c>
      <c r="AV149" s="1309">
        <v>5045</v>
      </c>
      <c r="AW149" s="1454" t="s">
        <v>5064</v>
      </c>
      <c r="AX149" s="538"/>
      <c r="AY149" s="1035" t="s">
        <v>709</v>
      </c>
      <c r="AZ149" s="443">
        <v>77</v>
      </c>
      <c r="BA149" s="859" t="s">
        <v>1091</v>
      </c>
      <c r="BB149" s="644" t="s">
        <v>1092</v>
      </c>
      <c r="BC149" s="544" t="s">
        <v>116</v>
      </c>
      <c r="BD149" s="544" t="s">
        <v>837</v>
      </c>
      <c r="BE149" s="544" t="s">
        <v>1093</v>
      </c>
      <c r="BF149" s="544" t="s">
        <v>115</v>
      </c>
      <c r="BG149" s="544" t="s">
        <v>115</v>
      </c>
      <c r="BH149" s="741" t="s">
        <v>1094</v>
      </c>
      <c r="BI149" s="547" t="s">
        <v>709</v>
      </c>
      <c r="BJ149" s="547" t="s">
        <v>709</v>
      </c>
      <c r="BK149" s="547" t="s">
        <v>709</v>
      </c>
      <c r="BL149" s="547" t="s">
        <v>116</v>
      </c>
      <c r="BM149" s="547" t="s">
        <v>709</v>
      </c>
      <c r="BN149" s="547" t="s">
        <v>709</v>
      </c>
      <c r="BO149" s="547" t="s">
        <v>709</v>
      </c>
      <c r="BP149" s="547" t="s">
        <v>709</v>
      </c>
      <c r="BQ149" s="547" t="s">
        <v>709</v>
      </c>
      <c r="BR149" s="547">
        <v>3138</v>
      </c>
      <c r="BS149" s="547">
        <v>96</v>
      </c>
      <c r="BT149" s="547" t="s">
        <v>709</v>
      </c>
      <c r="BU149" s="547" t="s">
        <v>709</v>
      </c>
      <c r="BV149" s="547" t="s">
        <v>709</v>
      </c>
      <c r="BW149" s="547" t="s">
        <v>709</v>
      </c>
      <c r="BX149" s="547" t="s">
        <v>745</v>
      </c>
      <c r="BY149" s="547" t="s">
        <v>709</v>
      </c>
      <c r="BZ149" s="547" t="s">
        <v>709</v>
      </c>
      <c r="CA149" s="917"/>
    </row>
    <row r="150" spans="1:79" ht="15" hidden="1" customHeight="1" x14ac:dyDescent="0.25">
      <c r="A150" s="8" t="s">
        <v>749</v>
      </c>
      <c r="B150" s="8" t="s">
        <v>4</v>
      </c>
      <c r="C150" s="1497" t="s">
        <v>1095</v>
      </c>
      <c r="D150" s="8" t="s">
        <v>1096</v>
      </c>
      <c r="E150" s="8" t="s">
        <v>309</v>
      </c>
      <c r="F150" s="8" t="s">
        <v>747</v>
      </c>
      <c r="G150" s="8" t="s">
        <v>27</v>
      </c>
      <c r="H150" s="8" t="s">
        <v>59</v>
      </c>
      <c r="I150" s="642">
        <v>44791</v>
      </c>
      <c r="J150" s="18">
        <v>44895</v>
      </c>
      <c r="K150" s="97">
        <v>44894</v>
      </c>
      <c r="L150" s="16">
        <v>1</v>
      </c>
      <c r="M150" s="642"/>
      <c r="N150" s="642" t="s">
        <v>120</v>
      </c>
      <c r="O150" s="1060">
        <v>44896</v>
      </c>
      <c r="P150" s="21" t="s">
        <v>739</v>
      </c>
      <c r="Q150" s="1061">
        <v>103641.395</v>
      </c>
      <c r="R150" s="1026">
        <v>0.1</v>
      </c>
      <c r="S150" s="538"/>
      <c r="T150" s="538"/>
      <c r="U150" s="87"/>
      <c r="V150" s="858">
        <v>2473</v>
      </c>
      <c r="W150" s="437"/>
      <c r="X150" s="570">
        <v>688510.01</v>
      </c>
      <c r="Y150" s="592"/>
      <c r="Z150" s="570">
        <v>347903.94</v>
      </c>
      <c r="AA150" s="552">
        <v>1036413.95</v>
      </c>
      <c r="AB150" s="341" t="s">
        <v>1089</v>
      </c>
      <c r="AC150" s="568" t="s">
        <v>709</v>
      </c>
      <c r="AD150" s="1157" t="s">
        <v>116</v>
      </c>
      <c r="AE150" s="579"/>
      <c r="AF150" s="579"/>
      <c r="AG150" s="579"/>
      <c r="AH150" s="553"/>
      <c r="AI150" s="1036"/>
      <c r="AJ150" s="1037"/>
      <c r="AK150" s="1037"/>
      <c r="AL150" s="1038"/>
      <c r="AM150" s="536" t="s">
        <v>116</v>
      </c>
      <c r="AN150" s="801">
        <v>45776</v>
      </c>
      <c r="AO150" s="806">
        <v>11082174</v>
      </c>
      <c r="AP150" s="718">
        <v>742927.88</v>
      </c>
      <c r="AQ150" s="682"/>
      <c r="AR150" s="718">
        <v>416914.29</v>
      </c>
      <c r="AS150" s="538">
        <f>IF(Table15910[[#This Row],[PCTS Approved]]="N",0,Table15910[[#This Row],[Investment Amount (1'#'#'#'#'#)]]+Table15910[[#This Row],[Retirement Amount (3'#'#'#'#'#)]])</f>
        <v>1159842.17</v>
      </c>
      <c r="AT150" s="538">
        <f>IF(Table15910[[#This Row],[Approved Construction Cost]]=0,0,Table15910[[#This Row],[Approved Construction Cost]]-Table15910[[#This Row],[Construction Cost to Bill From]])</f>
        <v>123428.21999999997</v>
      </c>
      <c r="AU150" s="538">
        <f>IFERROR(Table15910[[#This Row],[Difference in Construction Cost]]*Table15910[[#This Row],[Rate]],Table15910[[#This Row],[Difference in Construction Cost]]*0.085)</f>
        <v>12342.821999999998</v>
      </c>
      <c r="AV150" s="1309">
        <v>5045</v>
      </c>
      <c r="AW150" s="1454" t="s">
        <v>9181</v>
      </c>
      <c r="AX150" s="538"/>
      <c r="AY150" s="1035" t="s">
        <v>709</v>
      </c>
      <c r="AZ150" s="443">
        <v>76</v>
      </c>
      <c r="BA150" s="859" t="s">
        <v>1098</v>
      </c>
      <c r="BB150" s="644" t="s">
        <v>1092</v>
      </c>
      <c r="BC150" s="544" t="s">
        <v>116</v>
      </c>
      <c r="BD150" s="544" t="s">
        <v>837</v>
      </c>
      <c r="BE150" s="544" t="s">
        <v>1093</v>
      </c>
      <c r="BF150" s="544" t="s">
        <v>115</v>
      </c>
      <c r="BG150" s="544" t="s">
        <v>115</v>
      </c>
      <c r="BH150" s="741" t="s">
        <v>1094</v>
      </c>
      <c r="BI150" s="547" t="s">
        <v>709</v>
      </c>
      <c r="BJ150" s="547" t="s">
        <v>709</v>
      </c>
      <c r="BK150" s="547" t="s">
        <v>709</v>
      </c>
      <c r="BL150" s="547" t="s">
        <v>116</v>
      </c>
      <c r="BM150" s="547" t="s">
        <v>709</v>
      </c>
      <c r="BN150" s="547" t="s">
        <v>709</v>
      </c>
      <c r="BO150" s="547" t="s">
        <v>709</v>
      </c>
      <c r="BP150" s="547" t="s">
        <v>709</v>
      </c>
      <c r="BQ150" s="547" t="s">
        <v>709</v>
      </c>
      <c r="BR150" s="547">
        <v>2473</v>
      </c>
      <c r="BS150" s="547" t="s">
        <v>709</v>
      </c>
      <c r="BT150" s="547" t="s">
        <v>745</v>
      </c>
      <c r="BU150" s="547" t="s">
        <v>709</v>
      </c>
      <c r="BV150" s="547" t="s">
        <v>745</v>
      </c>
      <c r="BW150" s="547" t="s">
        <v>709</v>
      </c>
      <c r="BX150" s="547" t="s">
        <v>745</v>
      </c>
      <c r="BY150" s="547" t="s">
        <v>745</v>
      </c>
      <c r="BZ150" s="547" t="s">
        <v>709</v>
      </c>
      <c r="CA150" s="917"/>
    </row>
    <row r="151" spans="1:79" ht="15" hidden="1" customHeight="1" x14ac:dyDescent="0.25">
      <c r="A151" s="8" t="s">
        <v>749</v>
      </c>
      <c r="B151" s="8" t="s">
        <v>4</v>
      </c>
      <c r="C151" s="8" t="s">
        <v>1571</v>
      </c>
      <c r="D151" s="8" t="s">
        <v>1572</v>
      </c>
      <c r="E151" s="8" t="s">
        <v>1573</v>
      </c>
      <c r="F151" s="8" t="s">
        <v>747</v>
      </c>
      <c r="G151" s="8" t="s">
        <v>26</v>
      </c>
      <c r="H151" s="13" t="s">
        <v>59</v>
      </c>
      <c r="I151" s="642">
        <v>44994</v>
      </c>
      <c r="J151" s="18">
        <v>45128</v>
      </c>
      <c r="K151" s="175">
        <v>45128</v>
      </c>
      <c r="L151" s="649">
        <v>0</v>
      </c>
      <c r="M151" s="642"/>
      <c r="N151" s="642" t="s">
        <v>120</v>
      </c>
      <c r="O151" s="1060">
        <v>45139</v>
      </c>
      <c r="P151" s="1152" t="s">
        <v>739</v>
      </c>
      <c r="Q151" s="340">
        <v>59941.532000000007</v>
      </c>
      <c r="R151" s="1026">
        <v>0.1</v>
      </c>
      <c r="S151" s="538"/>
      <c r="T151" s="538"/>
      <c r="U151" s="87"/>
      <c r="V151" s="858">
        <v>1748</v>
      </c>
      <c r="W151" s="437">
        <v>0</v>
      </c>
      <c r="X151" s="552">
        <v>581279.28</v>
      </c>
      <c r="Y151" s="592"/>
      <c r="Z151" s="552">
        <v>18136.04</v>
      </c>
      <c r="AA151" s="552">
        <v>599415.32000000007</v>
      </c>
      <c r="AB151" s="341">
        <v>45134</v>
      </c>
      <c r="AC151" s="568" t="s">
        <v>709</v>
      </c>
      <c r="AD151" s="1157" t="s">
        <v>29</v>
      </c>
      <c r="AE151" s="568" t="s">
        <v>116</v>
      </c>
      <c r="AF151" s="568" t="s">
        <v>116</v>
      </c>
      <c r="AG151" s="568" t="s">
        <v>116</v>
      </c>
      <c r="AH151" s="183">
        <v>45160</v>
      </c>
      <c r="AI151" s="1036"/>
      <c r="AJ151" s="1037"/>
      <c r="AK151" s="1037"/>
      <c r="AL151" s="1038"/>
      <c r="AM151" s="536" t="s">
        <v>116</v>
      </c>
      <c r="AN151" s="801">
        <v>45856</v>
      </c>
      <c r="AO151" s="1451">
        <v>11107564</v>
      </c>
      <c r="AP151" s="718">
        <v>561531.65</v>
      </c>
      <c r="AQ151" s="682"/>
      <c r="AR151" s="718">
        <v>162685.35</v>
      </c>
      <c r="AS151" s="538">
        <f>IF(Table15910[[#This Row],[PCTS Approved]]="N",0,Table15910[[#This Row],[Investment Amount (1'#'#'#'#'#)]]+Table15910[[#This Row],[Retirement Amount (3'#'#'#'#'#)]])</f>
        <v>724217</v>
      </c>
      <c r="AT151" s="538">
        <f>IF(Table15910[[#This Row],[Approved Construction Cost]]=0,0,Table15910[[#This Row],[Approved Construction Cost]]-Table15910[[#This Row],[Construction Cost to Bill From]])</f>
        <v>124801.67999999993</v>
      </c>
      <c r="AU151" s="538">
        <f>IFERROR(Table15910[[#This Row],[Difference in Construction Cost]]*Table15910[[#This Row],[Rate]],Table15910[[#This Row],[Difference in Construction Cost]]*0.085)</f>
        <v>12480.167999999994</v>
      </c>
      <c r="AV151" s="718">
        <v>43194.36</v>
      </c>
      <c r="AW151" s="1449" t="s">
        <v>9182</v>
      </c>
      <c r="AX151" s="555"/>
      <c r="AY151" s="1035" t="s">
        <v>709</v>
      </c>
      <c r="AZ151" s="443">
        <v>90</v>
      </c>
      <c r="BA151" s="1094" t="s">
        <v>1574</v>
      </c>
      <c r="BB151" s="644" t="s">
        <v>870</v>
      </c>
      <c r="BC151" s="544" t="s">
        <v>709</v>
      </c>
      <c r="BD151" s="544" t="s">
        <v>837</v>
      </c>
      <c r="BE151" s="544" t="s">
        <v>1575</v>
      </c>
      <c r="BF151" s="544" t="s">
        <v>839</v>
      </c>
      <c r="BG151" s="548" t="s">
        <v>1576</v>
      </c>
      <c r="BH151" s="749" t="s">
        <v>1577</v>
      </c>
      <c r="BI151" s="547" t="s">
        <v>709</v>
      </c>
      <c r="BJ151" s="547" t="s">
        <v>709</v>
      </c>
      <c r="BK151" s="547" t="s">
        <v>709</v>
      </c>
      <c r="BL151" s="547" t="s">
        <v>116</v>
      </c>
      <c r="BM151" s="547" t="s">
        <v>709</v>
      </c>
      <c r="BN151" s="547" t="s">
        <v>709</v>
      </c>
      <c r="BO151" s="547" t="s">
        <v>709</v>
      </c>
      <c r="BP151" s="547" t="s">
        <v>709</v>
      </c>
      <c r="BQ151" s="547" t="s">
        <v>709</v>
      </c>
      <c r="BR151" s="547" t="s">
        <v>709</v>
      </c>
      <c r="BS151" s="547">
        <v>1748</v>
      </c>
      <c r="BT151" s="547" t="s">
        <v>709</v>
      </c>
      <c r="BU151" s="547" t="s">
        <v>709</v>
      </c>
      <c r="BV151" s="547" t="s">
        <v>709</v>
      </c>
      <c r="BW151" s="547" t="s">
        <v>709</v>
      </c>
      <c r="BX151" s="547" t="s">
        <v>745</v>
      </c>
      <c r="BY151" s="547" t="s">
        <v>709</v>
      </c>
      <c r="BZ151" s="547" t="s">
        <v>709</v>
      </c>
      <c r="CA151" s="917"/>
    </row>
    <row r="152" spans="1:79" ht="15" hidden="1" customHeight="1" x14ac:dyDescent="0.25">
      <c r="A152" s="874" t="s">
        <v>800</v>
      </c>
      <c r="B152" s="878" t="s">
        <v>4</v>
      </c>
      <c r="C152" s="1286" t="s">
        <v>8372</v>
      </c>
      <c r="D152" s="880" t="s">
        <v>8373</v>
      </c>
      <c r="E152" s="879" t="s">
        <v>1171</v>
      </c>
      <c r="F152" s="878" t="s">
        <v>851</v>
      </c>
      <c r="G152" s="878" t="s">
        <v>26</v>
      </c>
      <c r="H152" s="878" t="s">
        <v>59</v>
      </c>
      <c r="I152" s="881">
        <v>45531</v>
      </c>
      <c r="J152" s="882">
        <v>45714</v>
      </c>
      <c r="K152" s="945">
        <v>45713</v>
      </c>
      <c r="L152" s="884">
        <v>1</v>
      </c>
      <c r="M152" s="879"/>
      <c r="N152" s="885" t="s">
        <v>120</v>
      </c>
      <c r="O152" s="886">
        <v>45717</v>
      </c>
      <c r="P152" s="1153" t="s">
        <v>739</v>
      </c>
      <c r="Q152" s="1150">
        <v>27157.745000000003</v>
      </c>
      <c r="R152" s="887">
        <v>0.1</v>
      </c>
      <c r="S152" s="888" t="s">
        <v>29</v>
      </c>
      <c r="T152" s="888" t="s">
        <v>29</v>
      </c>
      <c r="U152" s="889" t="s">
        <v>29</v>
      </c>
      <c r="V152" s="890">
        <v>592</v>
      </c>
      <c r="W152" s="1021" t="s">
        <v>29</v>
      </c>
      <c r="X152" s="888">
        <v>243076.91</v>
      </c>
      <c r="Y152" s="891"/>
      <c r="Z152" s="888">
        <v>28500.54</v>
      </c>
      <c r="AA152" s="892">
        <v>271577.45</v>
      </c>
      <c r="AB152" s="893">
        <v>45709</v>
      </c>
      <c r="AC152" s="894" t="s">
        <v>709</v>
      </c>
      <c r="AD152" s="1160" t="s">
        <v>29</v>
      </c>
      <c r="AE152" s="940" t="s">
        <v>756</v>
      </c>
      <c r="AF152" s="895" t="s">
        <v>29</v>
      </c>
      <c r="AG152" s="896" t="s">
        <v>116</v>
      </c>
      <c r="AH152" s="897">
        <v>45770</v>
      </c>
      <c r="AI152" s="898">
        <v>0</v>
      </c>
      <c r="AJ152" s="899">
        <v>3900</v>
      </c>
      <c r="AK152" s="960">
        <v>6361.71</v>
      </c>
      <c r="AL152" s="901">
        <v>0.37785574612325135</v>
      </c>
      <c r="AM152" s="902" t="s">
        <v>116</v>
      </c>
      <c r="AN152" s="1353">
        <v>45813</v>
      </c>
      <c r="AO152" s="1354">
        <v>11104222</v>
      </c>
      <c r="AP152" s="1320">
        <v>233468.96</v>
      </c>
      <c r="AQ152" s="1293"/>
      <c r="AR152" s="1320">
        <v>31268.13</v>
      </c>
      <c r="AS152" s="538">
        <f>IF(Table15910[[#This Row],[PCTS Approved]]="N",0,Table15910[[#This Row],[Investment Amount (1'#'#'#'#'#)]]+Table15910[[#This Row],[Retirement Amount (3'#'#'#'#'#)]])</f>
        <v>264737.08999999997</v>
      </c>
      <c r="AT152" s="538">
        <f>IF(Table15910[[#This Row],[Approved Construction Cost]]=0,0,Table15910[[#This Row],[Approved Construction Cost]]-Table15910[[#This Row],[Construction Cost to Bill From]])</f>
        <v>-6840.3600000000442</v>
      </c>
      <c r="AU152" s="538">
        <f>IFERROR(Table15910[[#This Row],[Difference in Construction Cost]]*Table15910[[#This Row],[Rate]],Table15910[[#This Row],[Difference in Construction Cost]]*0.085)</f>
        <v>-684.03600000000449</v>
      </c>
      <c r="AV152" s="1311" t="s">
        <v>29</v>
      </c>
      <c r="AW152" s="1359" t="s">
        <v>8374</v>
      </c>
      <c r="AX152" s="908"/>
      <c r="AY152" s="909" t="s">
        <v>709</v>
      </c>
      <c r="AZ152" s="1022"/>
      <c r="BA152" s="910" t="s">
        <v>8375</v>
      </c>
      <c r="BB152" s="1495" t="s">
        <v>8376</v>
      </c>
      <c r="BC152" s="912" t="s">
        <v>709</v>
      </c>
      <c r="BD152" s="913" t="s">
        <v>788</v>
      </c>
      <c r="BE152" s="914" t="s">
        <v>4314</v>
      </c>
      <c r="BF152" s="914" t="s">
        <v>709</v>
      </c>
      <c r="BG152" s="915" t="s">
        <v>709</v>
      </c>
      <c r="BH152" s="1023" t="s">
        <v>8377</v>
      </c>
      <c r="BI152" s="929" t="s">
        <v>745</v>
      </c>
      <c r="BJ152" s="929" t="s">
        <v>745</v>
      </c>
      <c r="BK152" s="916" t="s">
        <v>709</v>
      </c>
      <c r="BL152" s="916" t="s">
        <v>116</v>
      </c>
      <c r="BM152" s="916" t="s">
        <v>709</v>
      </c>
      <c r="BN152" s="916" t="s">
        <v>709</v>
      </c>
      <c r="BO152" s="916" t="s">
        <v>745</v>
      </c>
      <c r="BP152" s="916" t="s">
        <v>745</v>
      </c>
      <c r="BQ152" s="916" t="s">
        <v>745</v>
      </c>
      <c r="BR152" s="916">
        <v>541</v>
      </c>
      <c r="BS152" s="916">
        <v>141</v>
      </c>
      <c r="BT152" s="916" t="s">
        <v>745</v>
      </c>
      <c r="BU152" s="916" t="s">
        <v>745</v>
      </c>
      <c r="BV152" s="916" t="s">
        <v>745</v>
      </c>
      <c r="BW152" s="916" t="s">
        <v>745</v>
      </c>
      <c r="BX152" s="916" t="s">
        <v>745</v>
      </c>
      <c r="BY152" s="916" t="s">
        <v>709</v>
      </c>
      <c r="BZ152" s="916"/>
      <c r="CA152" s="917"/>
    </row>
    <row r="153" spans="1:79" ht="15" hidden="1" customHeight="1" x14ac:dyDescent="0.25">
      <c r="A153" s="8" t="s">
        <v>800</v>
      </c>
      <c r="B153" s="8" t="s">
        <v>4</v>
      </c>
      <c r="C153" s="1497" t="s">
        <v>1778</v>
      </c>
      <c r="D153" s="8" t="s">
        <v>1779</v>
      </c>
      <c r="E153" s="8" t="s">
        <v>1780</v>
      </c>
      <c r="F153" s="8" t="s">
        <v>747</v>
      </c>
      <c r="G153" s="8" t="s">
        <v>25</v>
      </c>
      <c r="H153" s="8" t="s">
        <v>59</v>
      </c>
      <c r="I153" s="642">
        <v>45280</v>
      </c>
      <c r="J153" s="18">
        <v>45422</v>
      </c>
      <c r="K153" s="97">
        <v>45420</v>
      </c>
      <c r="L153" s="16">
        <v>2</v>
      </c>
      <c r="M153" s="642"/>
      <c r="N153" s="642" t="s">
        <v>120</v>
      </c>
      <c r="O153" s="1060">
        <v>45413</v>
      </c>
      <c r="P153" s="1152" t="s">
        <v>739</v>
      </c>
      <c r="Q153" s="340">
        <v>130376.22600000001</v>
      </c>
      <c r="R153" s="1026">
        <v>0.1</v>
      </c>
      <c r="S153" s="538"/>
      <c r="T153" s="538"/>
      <c r="U153" s="87"/>
      <c r="V153" s="858">
        <v>6050</v>
      </c>
      <c r="W153" s="437">
        <v>0</v>
      </c>
      <c r="X153" s="538">
        <v>1125658.07</v>
      </c>
      <c r="Y153" s="551"/>
      <c r="Z153" s="552">
        <v>178104.19</v>
      </c>
      <c r="AA153" s="552">
        <v>1303762.26</v>
      </c>
      <c r="AB153" s="341">
        <v>45407</v>
      </c>
      <c r="AC153" s="569" t="s">
        <v>29</v>
      </c>
      <c r="AD153" s="1149" t="s">
        <v>29</v>
      </c>
      <c r="AE153" s="568" t="s">
        <v>116</v>
      </c>
      <c r="AF153" s="568" t="s">
        <v>116</v>
      </c>
      <c r="AG153" s="568" t="s">
        <v>376</v>
      </c>
      <c r="AH153" s="183">
        <v>45475</v>
      </c>
      <c r="AI153" s="1028">
        <v>20300</v>
      </c>
      <c r="AJ153" s="1029">
        <v>12183</v>
      </c>
      <c r="AK153" s="1029">
        <v>19881</v>
      </c>
      <c r="AL153" s="1030">
        <v>0.40163764212656378</v>
      </c>
      <c r="AM153" s="536" t="s">
        <v>116</v>
      </c>
      <c r="AN153" s="801">
        <v>45588</v>
      </c>
      <c r="AO153" s="806">
        <v>11092796</v>
      </c>
      <c r="AP153" s="718">
        <v>1347749.09</v>
      </c>
      <c r="AQ153" s="682"/>
      <c r="AR153" s="718">
        <v>225087.4</v>
      </c>
      <c r="AS153" s="538">
        <f>IF(Table15910[[#This Row],[PCTS Approved]]="N",0,Table15910[[#This Row],[Investment Amount (1'#'#'#'#'#)]]+Table15910[[#This Row],[Retirement Amount (3'#'#'#'#'#)]])</f>
        <v>1572836.49</v>
      </c>
      <c r="AT153" s="538">
        <f>IF(Table15910[[#This Row],[Approved Construction Cost]]=0,0,Table15910[[#This Row],[Approved Construction Cost]]-Table15910[[#This Row],[Construction Cost to Bill From]])</f>
        <v>269074.23</v>
      </c>
      <c r="AU153" s="538">
        <f>IFERROR(Table15910[[#This Row],[Difference in Construction Cost]]*Table15910[[#This Row],[Rate]],Table15910[[#This Row],[Difference in Construction Cost]]*0.085)</f>
        <v>26907.422999999999</v>
      </c>
      <c r="AV153" s="1311">
        <v>19677.5</v>
      </c>
      <c r="AW153" s="1429" t="s">
        <v>6298</v>
      </c>
      <c r="AX153" s="555"/>
      <c r="AY153" s="1035" t="s">
        <v>709</v>
      </c>
      <c r="AZ153" s="443">
        <v>138</v>
      </c>
      <c r="BA153" s="1074" t="s">
        <v>1781</v>
      </c>
      <c r="BB153" s="644" t="s">
        <v>1782</v>
      </c>
      <c r="BC153" s="559" t="s">
        <v>992</v>
      </c>
      <c r="BD153" s="554" t="s">
        <v>115</v>
      </c>
      <c r="BE153" s="588" t="s">
        <v>1783</v>
      </c>
      <c r="BF153" s="588" t="s">
        <v>115</v>
      </c>
      <c r="BG153" s="588" t="s">
        <v>115</v>
      </c>
      <c r="BH153" s="615" t="s">
        <v>1784</v>
      </c>
      <c r="BI153" s="547" t="s">
        <v>709</v>
      </c>
      <c r="BJ153" s="547" t="s">
        <v>709</v>
      </c>
      <c r="BK153" s="547" t="s">
        <v>709</v>
      </c>
      <c r="BL153" s="547" t="s">
        <v>116</v>
      </c>
      <c r="BM153" s="547" t="s">
        <v>709</v>
      </c>
      <c r="BN153" s="547" t="s">
        <v>709</v>
      </c>
      <c r="BO153" s="547" t="s">
        <v>709</v>
      </c>
      <c r="BP153" s="626" t="s">
        <v>709</v>
      </c>
      <c r="BQ153" s="626" t="s">
        <v>709</v>
      </c>
      <c r="BR153" s="549" t="s">
        <v>116</v>
      </c>
      <c r="BS153" s="549" t="s">
        <v>116</v>
      </c>
      <c r="BT153" s="547" t="s">
        <v>709</v>
      </c>
      <c r="BU153" s="547" t="s">
        <v>709</v>
      </c>
      <c r="BV153" s="547" t="s">
        <v>709</v>
      </c>
      <c r="BW153" s="547" t="s">
        <v>709</v>
      </c>
      <c r="BX153" s="547" t="s">
        <v>709</v>
      </c>
      <c r="BY153" s="547" t="s">
        <v>709</v>
      </c>
      <c r="BZ153" s="547" t="s">
        <v>709</v>
      </c>
      <c r="CA153" s="917"/>
    </row>
    <row r="154" spans="1:79" ht="15" hidden="1" customHeight="1" x14ac:dyDescent="0.25">
      <c r="A154" s="8" t="s">
        <v>749</v>
      </c>
      <c r="B154" s="8" t="s">
        <v>4</v>
      </c>
      <c r="C154" s="8" t="s">
        <v>1453</v>
      </c>
      <c r="D154" s="8" t="s">
        <v>1454</v>
      </c>
      <c r="E154" s="8" t="s">
        <v>342</v>
      </c>
      <c r="F154" s="8" t="s">
        <v>784</v>
      </c>
      <c r="G154" s="8" t="s">
        <v>27</v>
      </c>
      <c r="H154" s="8" t="s">
        <v>59</v>
      </c>
      <c r="I154" s="642">
        <v>44959</v>
      </c>
      <c r="J154" s="18">
        <v>45047</v>
      </c>
      <c r="K154" s="97">
        <v>45040</v>
      </c>
      <c r="L154" s="16">
        <v>7</v>
      </c>
      <c r="M154" s="642"/>
      <c r="N154" s="642" t="s">
        <v>120</v>
      </c>
      <c r="O154" s="1060">
        <v>45040</v>
      </c>
      <c r="P154" s="1152" t="s">
        <v>739</v>
      </c>
      <c r="Q154" s="340">
        <v>26887.298999999999</v>
      </c>
      <c r="R154" s="1026">
        <v>0.1</v>
      </c>
      <c r="S154" s="538"/>
      <c r="T154" s="538"/>
      <c r="U154" s="87"/>
      <c r="V154" s="858">
        <v>294</v>
      </c>
      <c r="W154" s="437">
        <v>0</v>
      </c>
      <c r="X154" s="538">
        <v>245464.03</v>
      </c>
      <c r="Y154" s="592"/>
      <c r="Z154" s="552">
        <v>23408.959999999999</v>
      </c>
      <c r="AA154" s="552">
        <v>268872.99</v>
      </c>
      <c r="AB154" s="341">
        <v>45041</v>
      </c>
      <c r="AC154" s="568" t="s">
        <v>709</v>
      </c>
      <c r="AD154" s="1157" t="s">
        <v>116</v>
      </c>
      <c r="AE154" s="568" t="s">
        <v>756</v>
      </c>
      <c r="AF154" s="568" t="s">
        <v>29</v>
      </c>
      <c r="AG154" s="568" t="s">
        <v>116</v>
      </c>
      <c r="AH154" s="183">
        <v>45160</v>
      </c>
      <c r="AI154" s="1036"/>
      <c r="AJ154" s="1037"/>
      <c r="AK154" s="1037"/>
      <c r="AL154" s="1038"/>
      <c r="AM154" s="536" t="s">
        <v>116</v>
      </c>
      <c r="AN154" s="680" t="s">
        <v>29</v>
      </c>
      <c r="AO154" s="681"/>
      <c r="AP154" s="682"/>
      <c r="AQ154" s="682"/>
      <c r="AR154" s="682"/>
      <c r="AS154" s="538">
        <f>IF(Table15910[[#This Row],[PCTS Approved]]="N",0,Table15910[[#This Row],[Investment Amount (1'#'#'#'#'#)]]+Table15910[[#This Row],[Retirement Amount (3'#'#'#'#'#)]])</f>
        <v>0</v>
      </c>
      <c r="AT154" s="538">
        <f>IF(Table15910[[#This Row],[Approved Construction Cost]]=0,0,Table15910[[#This Row],[Approved Construction Cost]]-Table15910[[#This Row],[Construction Cost to Bill From]])</f>
        <v>0</v>
      </c>
      <c r="AU154" s="538">
        <f>IFERROR(Table15910[[#This Row],[Difference in Construction Cost]]*Table15910[[#This Row],[Rate]],Table15910[[#This Row],[Difference in Construction Cost]]*0.085)</f>
        <v>0</v>
      </c>
      <c r="AV154" s="1309"/>
      <c r="AW154" s="686" t="s">
        <v>9183</v>
      </c>
      <c r="AX154" s="538"/>
      <c r="AY154" s="1035" t="s">
        <v>709</v>
      </c>
      <c r="AZ154" s="443">
        <v>83</v>
      </c>
      <c r="BA154" s="859" t="s">
        <v>1455</v>
      </c>
      <c r="BB154" s="644" t="s">
        <v>1456</v>
      </c>
      <c r="BC154" s="544" t="s">
        <v>709</v>
      </c>
      <c r="BD154" s="544" t="s">
        <v>709</v>
      </c>
      <c r="BE154" s="544" t="s">
        <v>1456</v>
      </c>
      <c r="BF154" s="544" t="s">
        <v>709</v>
      </c>
      <c r="BG154" s="544" t="s">
        <v>709</v>
      </c>
      <c r="BH154" s="741"/>
      <c r="BI154" s="547" t="s">
        <v>709</v>
      </c>
      <c r="BJ154" s="547" t="s">
        <v>709</v>
      </c>
      <c r="BK154" s="547" t="s">
        <v>709</v>
      </c>
      <c r="BL154" s="547" t="s">
        <v>116</v>
      </c>
      <c r="BM154" s="547" t="s">
        <v>709</v>
      </c>
      <c r="BN154" s="547" t="s">
        <v>709</v>
      </c>
      <c r="BO154" s="547" t="s">
        <v>709</v>
      </c>
      <c r="BP154" s="547" t="s">
        <v>709</v>
      </c>
      <c r="BQ154" s="547" t="s">
        <v>709</v>
      </c>
      <c r="BR154" s="547">
        <v>183</v>
      </c>
      <c r="BS154" s="547">
        <v>111</v>
      </c>
      <c r="BT154" s="547" t="s">
        <v>709</v>
      </c>
      <c r="BU154" s="547" t="s">
        <v>709</v>
      </c>
      <c r="BV154" s="547" t="s">
        <v>745</v>
      </c>
      <c r="BW154" s="547" t="s">
        <v>709</v>
      </c>
      <c r="BX154" s="547" t="s">
        <v>745</v>
      </c>
      <c r="BY154" s="547" t="s">
        <v>745</v>
      </c>
      <c r="BZ154" s="547" t="s">
        <v>709</v>
      </c>
      <c r="CA154" s="962" t="s">
        <v>8679</v>
      </c>
    </row>
    <row r="155" spans="1:79" ht="15" hidden="1" customHeight="1" x14ac:dyDescent="0.25">
      <c r="A155" s="8" t="s">
        <v>800</v>
      </c>
      <c r="B155" s="8" t="s">
        <v>4</v>
      </c>
      <c r="C155" s="8" t="s">
        <v>377</v>
      </c>
      <c r="D155" s="8" t="s">
        <v>1446</v>
      </c>
      <c r="E155" s="8" t="s">
        <v>373</v>
      </c>
      <c r="F155" s="8" t="s">
        <v>784</v>
      </c>
      <c r="G155" s="8" t="s">
        <v>27</v>
      </c>
      <c r="H155" s="8" t="s">
        <v>59</v>
      </c>
      <c r="I155" s="642">
        <v>44784</v>
      </c>
      <c r="J155" s="18">
        <v>45077</v>
      </c>
      <c r="K155" s="97">
        <v>45037</v>
      </c>
      <c r="L155" s="16">
        <v>40</v>
      </c>
      <c r="M155" s="642"/>
      <c r="N155" s="642" t="s">
        <v>120</v>
      </c>
      <c r="O155" s="1060">
        <v>45037</v>
      </c>
      <c r="P155" s="1152" t="s">
        <v>739</v>
      </c>
      <c r="Q155" s="340">
        <v>165330.28700000001</v>
      </c>
      <c r="R155" s="1026">
        <v>0.1</v>
      </c>
      <c r="S155" s="538"/>
      <c r="T155" s="538"/>
      <c r="U155" s="87"/>
      <c r="V155" s="858">
        <v>6990</v>
      </c>
      <c r="W155" s="437">
        <v>0</v>
      </c>
      <c r="X155" s="538">
        <v>1623644.96</v>
      </c>
      <c r="Y155" s="592"/>
      <c r="Z155" s="552">
        <v>29657.91</v>
      </c>
      <c r="AA155" s="552">
        <v>1653302.8699999999</v>
      </c>
      <c r="AB155" s="341" t="s">
        <v>709</v>
      </c>
      <c r="AC155" s="568" t="s">
        <v>116</v>
      </c>
      <c r="AD155" s="1157" t="s">
        <v>29</v>
      </c>
      <c r="AE155" s="579"/>
      <c r="AF155" s="579"/>
      <c r="AG155" s="579"/>
      <c r="AH155" s="553">
        <v>45000</v>
      </c>
      <c r="AI155" s="1036"/>
      <c r="AJ155" s="1037"/>
      <c r="AK155" s="1037"/>
      <c r="AL155" s="1038"/>
      <c r="AM155" s="536" t="s">
        <v>116</v>
      </c>
      <c r="AN155" s="801" t="s">
        <v>709</v>
      </c>
      <c r="AO155" s="601"/>
      <c r="AP155" s="572"/>
      <c r="AQ155" s="572"/>
      <c r="AR155" s="572"/>
      <c r="AS155" s="538">
        <f>IF(Table15910[[#This Row],[PCTS Approved]]="N",0,Table15910[[#This Row],[Investment Amount (1'#'#'#'#'#)]]+Table15910[[#This Row],[Retirement Amount (3'#'#'#'#'#)]])</f>
        <v>0</v>
      </c>
      <c r="AT155" s="538">
        <f>IF(Table15910[[#This Row],[Approved Construction Cost]]=0,0,Table15910[[#This Row],[Approved Construction Cost]]-Table15910[[#This Row],[Construction Cost to Bill From]])</f>
        <v>0</v>
      </c>
      <c r="AU155" s="538">
        <f>IFERROR(Table15910[[#This Row],[Difference in Construction Cost]]*Table15910[[#This Row],[Rate]],Table15910[[#This Row],[Difference in Construction Cost]]*0.085)</f>
        <v>0</v>
      </c>
      <c r="AV155" s="1123"/>
      <c r="AW155" s="639"/>
      <c r="AX155" s="538"/>
      <c r="AY155" s="1035" t="s">
        <v>709</v>
      </c>
      <c r="AZ155" s="443">
        <v>81</v>
      </c>
      <c r="BA155" s="859" t="s">
        <v>1447</v>
      </c>
      <c r="BB155" s="644" t="s">
        <v>905</v>
      </c>
      <c r="BC155" s="544" t="s">
        <v>116</v>
      </c>
      <c r="BD155" s="544" t="s">
        <v>1448</v>
      </c>
      <c r="BE155" s="544" t="s">
        <v>1449</v>
      </c>
      <c r="BF155" s="544" t="s">
        <v>1450</v>
      </c>
      <c r="BG155" s="544" t="s">
        <v>709</v>
      </c>
      <c r="BH155" s="741"/>
      <c r="BI155" s="547" t="s">
        <v>709</v>
      </c>
      <c r="BJ155" s="547" t="s">
        <v>116</v>
      </c>
      <c r="BK155" s="547" t="s">
        <v>709</v>
      </c>
      <c r="BL155" s="547" t="s">
        <v>709</v>
      </c>
      <c r="BM155" s="547" t="s">
        <v>709</v>
      </c>
      <c r="BN155" s="547" t="s">
        <v>709</v>
      </c>
      <c r="BO155" s="547" t="s">
        <v>709</v>
      </c>
      <c r="BP155" s="547" t="s">
        <v>709</v>
      </c>
      <c r="BQ155" s="547" t="s">
        <v>709</v>
      </c>
      <c r="BR155" s="547">
        <v>978</v>
      </c>
      <c r="BS155" s="547" t="s">
        <v>709</v>
      </c>
      <c r="BT155" s="547" t="s">
        <v>745</v>
      </c>
      <c r="BU155" s="547" t="s">
        <v>709</v>
      </c>
      <c r="BV155" s="547" t="s">
        <v>745</v>
      </c>
      <c r="BW155" s="547" t="s">
        <v>709</v>
      </c>
      <c r="BX155" s="547" t="s">
        <v>745</v>
      </c>
      <c r="BY155" s="547" t="s">
        <v>745</v>
      </c>
      <c r="BZ155" s="547" t="s">
        <v>709</v>
      </c>
      <c r="CA155" s="917"/>
    </row>
    <row r="156" spans="1:79" ht="15" hidden="1" customHeight="1" x14ac:dyDescent="0.25">
      <c r="A156" s="8" t="s">
        <v>800</v>
      </c>
      <c r="B156" s="8" t="s">
        <v>4</v>
      </c>
      <c r="C156" s="8" t="s">
        <v>372</v>
      </c>
      <c r="D156" s="8" t="s">
        <v>1451</v>
      </c>
      <c r="E156" s="8" t="s">
        <v>373</v>
      </c>
      <c r="F156" s="8" t="s">
        <v>784</v>
      </c>
      <c r="G156" s="8" t="s">
        <v>27</v>
      </c>
      <c r="H156" s="8" t="s">
        <v>59</v>
      </c>
      <c r="I156" s="642">
        <v>44784</v>
      </c>
      <c r="J156" s="18">
        <v>45077</v>
      </c>
      <c r="K156" s="97">
        <v>45037</v>
      </c>
      <c r="L156" s="16">
        <v>40</v>
      </c>
      <c r="M156" s="642"/>
      <c r="N156" s="642" t="s">
        <v>120</v>
      </c>
      <c r="O156" s="1060">
        <v>45037</v>
      </c>
      <c r="P156" s="1152" t="s">
        <v>739</v>
      </c>
      <c r="Q156" s="340">
        <v>17358.519</v>
      </c>
      <c r="R156" s="1026">
        <v>0.1</v>
      </c>
      <c r="S156" s="538"/>
      <c r="T156" s="538"/>
      <c r="U156" s="87"/>
      <c r="V156" s="858">
        <v>978</v>
      </c>
      <c r="W156" s="437">
        <v>0</v>
      </c>
      <c r="X156" s="538">
        <v>161986.32</v>
      </c>
      <c r="Y156" s="592"/>
      <c r="Z156" s="552">
        <v>11598.87</v>
      </c>
      <c r="AA156" s="552">
        <v>173585.19</v>
      </c>
      <c r="AB156" s="341" t="s">
        <v>709</v>
      </c>
      <c r="AC156" s="568" t="s">
        <v>116</v>
      </c>
      <c r="AD156" s="1157" t="s">
        <v>29</v>
      </c>
      <c r="AE156" s="579"/>
      <c r="AF156" s="579"/>
      <c r="AG156" s="579"/>
      <c r="AH156" s="553">
        <v>45000</v>
      </c>
      <c r="AI156" s="1036"/>
      <c r="AJ156" s="1037"/>
      <c r="AK156" s="1037"/>
      <c r="AL156" s="1038"/>
      <c r="AM156" s="536" t="s">
        <v>116</v>
      </c>
      <c r="AN156" s="801" t="s">
        <v>709</v>
      </c>
      <c r="AO156" s="601"/>
      <c r="AP156" s="572"/>
      <c r="AQ156" s="572"/>
      <c r="AR156" s="572"/>
      <c r="AS156" s="538">
        <f>IF(Table15910[[#This Row],[PCTS Approved]]="N",0,Table15910[[#This Row],[Investment Amount (1'#'#'#'#'#)]]+Table15910[[#This Row],[Retirement Amount (3'#'#'#'#'#)]])</f>
        <v>0</v>
      </c>
      <c r="AT156" s="538">
        <f>IF(Table15910[[#This Row],[Approved Construction Cost]]=0,0,Table15910[[#This Row],[Approved Construction Cost]]-Table15910[[#This Row],[Construction Cost to Bill From]])</f>
        <v>0</v>
      </c>
      <c r="AU156" s="538">
        <f>IFERROR(Table15910[[#This Row],[Difference in Construction Cost]]*Table15910[[#This Row],[Rate]],Table15910[[#This Row],[Difference in Construction Cost]]*0.085)</f>
        <v>0</v>
      </c>
      <c r="AV156" s="1123"/>
      <c r="AW156" s="639"/>
      <c r="AX156" s="538"/>
      <c r="AY156" s="1035" t="s">
        <v>709</v>
      </c>
      <c r="AZ156" s="443">
        <v>82</v>
      </c>
      <c r="BA156" s="859" t="s">
        <v>1452</v>
      </c>
      <c r="BB156" s="644" t="s">
        <v>905</v>
      </c>
      <c r="BC156" s="544" t="s">
        <v>116</v>
      </c>
      <c r="BD156" s="544" t="s">
        <v>1448</v>
      </c>
      <c r="BE156" s="544" t="s">
        <v>1449</v>
      </c>
      <c r="BF156" s="544" t="s">
        <v>1450</v>
      </c>
      <c r="BG156" s="544" t="s">
        <v>709</v>
      </c>
      <c r="BH156" s="741"/>
      <c r="BI156" s="547" t="s">
        <v>709</v>
      </c>
      <c r="BJ156" s="547" t="s">
        <v>116</v>
      </c>
      <c r="BK156" s="547" t="s">
        <v>709</v>
      </c>
      <c r="BL156" s="547" t="s">
        <v>709</v>
      </c>
      <c r="BM156" s="547" t="s">
        <v>709</v>
      </c>
      <c r="BN156" s="547" t="s">
        <v>709</v>
      </c>
      <c r="BO156" s="547" t="s">
        <v>709</v>
      </c>
      <c r="BP156" s="547" t="s">
        <v>709</v>
      </c>
      <c r="BQ156" s="547" t="s">
        <v>709</v>
      </c>
      <c r="BR156" s="547">
        <v>978</v>
      </c>
      <c r="BS156" s="547" t="s">
        <v>709</v>
      </c>
      <c r="BT156" s="547" t="s">
        <v>745</v>
      </c>
      <c r="BU156" s="547" t="s">
        <v>709</v>
      </c>
      <c r="BV156" s="547" t="s">
        <v>745</v>
      </c>
      <c r="BW156" s="547" t="s">
        <v>709</v>
      </c>
      <c r="BX156" s="547" t="s">
        <v>745</v>
      </c>
      <c r="BY156" s="547" t="s">
        <v>745</v>
      </c>
      <c r="BZ156" s="547" t="s">
        <v>709</v>
      </c>
      <c r="CA156" s="1225"/>
    </row>
    <row r="157" spans="1:79" ht="15" hidden="1" customHeight="1" x14ac:dyDescent="0.25">
      <c r="A157" s="8" t="s">
        <v>749</v>
      </c>
      <c r="B157" s="8" t="s">
        <v>4</v>
      </c>
      <c r="C157" s="1497" t="s">
        <v>1608</v>
      </c>
      <c r="D157" s="8" t="s">
        <v>1609</v>
      </c>
      <c r="E157" s="8" t="s">
        <v>232</v>
      </c>
      <c r="F157" s="8" t="s">
        <v>747</v>
      </c>
      <c r="G157" s="8" t="s">
        <v>32</v>
      </c>
      <c r="H157" s="13" t="s">
        <v>59</v>
      </c>
      <c r="I157" s="642">
        <v>44977</v>
      </c>
      <c r="J157" s="18">
        <v>45142</v>
      </c>
      <c r="K157" s="175">
        <v>45142</v>
      </c>
      <c r="L157" s="649">
        <v>0</v>
      </c>
      <c r="M157" s="642" t="s">
        <v>1610</v>
      </c>
      <c r="N157" s="642" t="s">
        <v>120</v>
      </c>
      <c r="O157" s="1060">
        <v>45200</v>
      </c>
      <c r="P157" s="1152" t="s">
        <v>739</v>
      </c>
      <c r="Q157" s="340">
        <v>24659.753000000001</v>
      </c>
      <c r="R157" s="1026">
        <v>0.1</v>
      </c>
      <c r="S157" s="538"/>
      <c r="T157" s="538"/>
      <c r="U157" s="87"/>
      <c r="V157" s="858">
        <v>905</v>
      </c>
      <c r="W157" s="437">
        <v>0</v>
      </c>
      <c r="X157" s="552">
        <v>213292.88</v>
      </c>
      <c r="Y157" s="592"/>
      <c r="Z157" s="552">
        <v>33304.65</v>
      </c>
      <c r="AA157" s="552">
        <v>246597.53</v>
      </c>
      <c r="AB157" s="341">
        <v>45026</v>
      </c>
      <c r="AC157" s="568" t="s">
        <v>709</v>
      </c>
      <c r="AD157" s="1157" t="s">
        <v>29</v>
      </c>
      <c r="AE157" s="568" t="s">
        <v>756</v>
      </c>
      <c r="AF157" s="568" t="s">
        <v>29</v>
      </c>
      <c r="AG157" s="568" t="s">
        <v>29</v>
      </c>
      <c r="AH157" s="183" t="s">
        <v>29</v>
      </c>
      <c r="AI157" s="1036"/>
      <c r="AJ157" s="1037"/>
      <c r="AK157" s="1037"/>
      <c r="AL157" s="1038"/>
      <c r="AM157" s="536" t="s">
        <v>116</v>
      </c>
      <c r="AN157" s="801">
        <v>45496</v>
      </c>
      <c r="AO157" s="806">
        <v>11086823</v>
      </c>
      <c r="AP157" s="718">
        <v>156209.79</v>
      </c>
      <c r="AQ157" s="682"/>
      <c r="AR157" s="718">
        <v>26312.77</v>
      </c>
      <c r="AS157" s="538">
        <f>IF(Table15910[[#This Row],[PCTS Approved]]="N",0,Table15910[[#This Row],[Investment Amount (1'#'#'#'#'#)]]+Table15910[[#This Row],[Retirement Amount (3'#'#'#'#'#)]])</f>
        <v>182522.56</v>
      </c>
      <c r="AT157" s="538">
        <f>IF(Table15910[[#This Row],[Approved Construction Cost]]=0,0,Table15910[[#This Row],[Approved Construction Cost]]-Table15910[[#This Row],[Construction Cost to Bill From]])</f>
        <v>-64074.97</v>
      </c>
      <c r="AU157" s="538">
        <f>IFERROR(Table15910[[#This Row],[Difference in Construction Cost]]*Table15910[[#This Row],[Rate]],Table15910[[#This Row],[Difference in Construction Cost]]*0.085)</f>
        <v>-6407.4970000000003</v>
      </c>
      <c r="AV157" s="718">
        <v>7367.5</v>
      </c>
      <c r="AW157" s="1449" t="s">
        <v>5864</v>
      </c>
      <c r="AX157" s="555"/>
      <c r="AY157" s="1035" t="s">
        <v>709</v>
      </c>
      <c r="AZ157" s="443">
        <v>93</v>
      </c>
      <c r="BA157" s="859" t="s">
        <v>1611</v>
      </c>
      <c r="BB157" s="644" t="s">
        <v>1045</v>
      </c>
      <c r="BC157" s="544" t="s">
        <v>709</v>
      </c>
      <c r="BD157" s="544" t="s">
        <v>1092</v>
      </c>
      <c r="BE157" s="544" t="s">
        <v>595</v>
      </c>
      <c r="BF157" s="544" t="s">
        <v>595</v>
      </c>
      <c r="BG157" s="548" t="s">
        <v>709</v>
      </c>
      <c r="BH157" s="749" t="s">
        <v>1612</v>
      </c>
      <c r="BI157" s="547" t="s">
        <v>709</v>
      </c>
      <c r="BJ157" s="547" t="s">
        <v>709</v>
      </c>
      <c r="BK157" s="547" t="s">
        <v>709</v>
      </c>
      <c r="BL157" s="547" t="s">
        <v>116</v>
      </c>
      <c r="BM157" s="547" t="s">
        <v>709</v>
      </c>
      <c r="BN157" s="547" t="s">
        <v>709</v>
      </c>
      <c r="BO157" s="547" t="s">
        <v>709</v>
      </c>
      <c r="BP157" s="547" t="s">
        <v>709</v>
      </c>
      <c r="BQ157" s="547" t="s">
        <v>709</v>
      </c>
      <c r="BR157" s="547">
        <v>535</v>
      </c>
      <c r="BS157" s="547">
        <v>370</v>
      </c>
      <c r="BT157" s="547" t="s">
        <v>709</v>
      </c>
      <c r="BU157" s="547" t="s">
        <v>709</v>
      </c>
      <c r="BV157" s="547" t="s">
        <v>709</v>
      </c>
      <c r="BW157" s="547" t="s">
        <v>709</v>
      </c>
      <c r="BX157" s="547" t="s">
        <v>745</v>
      </c>
      <c r="BY157" s="547" t="s">
        <v>709</v>
      </c>
      <c r="BZ157" s="547" t="s">
        <v>709</v>
      </c>
      <c r="CA157" s="917" t="s">
        <v>8891</v>
      </c>
    </row>
    <row r="158" spans="1:79" ht="15" hidden="1" customHeight="1" x14ac:dyDescent="0.25">
      <c r="A158" s="878" t="s">
        <v>800</v>
      </c>
      <c r="B158" s="878" t="s">
        <v>4</v>
      </c>
      <c r="C158" s="1397" t="s">
        <v>7924</v>
      </c>
      <c r="D158" s="878" t="s">
        <v>8177</v>
      </c>
      <c r="E158" s="878" t="s">
        <v>300</v>
      </c>
      <c r="F158" s="878" t="s">
        <v>851</v>
      </c>
      <c r="G158" s="878" t="s">
        <v>25</v>
      </c>
      <c r="H158" s="878" t="s">
        <v>59</v>
      </c>
      <c r="I158" s="883">
        <v>45233</v>
      </c>
      <c r="J158" s="882">
        <v>45667</v>
      </c>
      <c r="K158" s="882">
        <v>45665</v>
      </c>
      <c r="L158" s="919">
        <v>2</v>
      </c>
      <c r="M158" s="879"/>
      <c r="N158" s="885" t="s">
        <v>120</v>
      </c>
      <c r="O158" s="886">
        <v>45658</v>
      </c>
      <c r="P158" s="1153" t="s">
        <v>739</v>
      </c>
      <c r="Q158" s="1150">
        <v>307195.38200000004</v>
      </c>
      <c r="R158" s="887">
        <v>0.1</v>
      </c>
      <c r="S158" s="888" t="s">
        <v>29</v>
      </c>
      <c r="T158" s="888" t="s">
        <v>29</v>
      </c>
      <c r="U158" s="889" t="s">
        <v>29</v>
      </c>
      <c r="V158" s="890">
        <v>7632</v>
      </c>
      <c r="W158" s="995">
        <v>0</v>
      </c>
      <c r="X158" s="888">
        <v>2688510.95</v>
      </c>
      <c r="Y158" s="891"/>
      <c r="Z158" s="892">
        <v>383442.87</v>
      </c>
      <c r="AA158" s="892">
        <v>3071953.8200000003</v>
      </c>
      <c r="AB158" s="893">
        <v>45663</v>
      </c>
      <c r="AC158" s="896" t="s">
        <v>116</v>
      </c>
      <c r="AD158" s="1155" t="s">
        <v>29</v>
      </c>
      <c r="AE158" s="894" t="s">
        <v>756</v>
      </c>
      <c r="AF158" s="894" t="s">
        <v>756</v>
      </c>
      <c r="AG158" s="897" t="s">
        <v>116</v>
      </c>
      <c r="AH158" s="897">
        <v>45672</v>
      </c>
      <c r="AI158" s="898">
        <v>0</v>
      </c>
      <c r="AJ158" s="899">
        <v>456.42</v>
      </c>
      <c r="AK158" s="938">
        <v>14829.75</v>
      </c>
      <c r="AL158" s="901">
        <v>4.9760415994795124E-2</v>
      </c>
      <c r="AM158" s="902" t="s">
        <v>116</v>
      </c>
      <c r="AN158" s="1353">
        <v>45748</v>
      </c>
      <c r="AO158" s="1354">
        <v>11100535</v>
      </c>
      <c r="AP158" s="1320">
        <v>2686213.72</v>
      </c>
      <c r="AQ158" s="1293"/>
      <c r="AR158" s="1320">
        <v>383694.72</v>
      </c>
      <c r="AS158" s="538">
        <f>IF(Table15910[[#This Row],[PCTS Approved]]="N",0,Table15910[[#This Row],[Investment Amount (1'#'#'#'#'#)]]+Table15910[[#This Row],[Retirement Amount (3'#'#'#'#'#)]])</f>
        <v>3069908.4400000004</v>
      </c>
      <c r="AT158" s="538">
        <f>IF(Table15910[[#This Row],[Approved Construction Cost]]=0,0,Table15910[[#This Row],[Approved Construction Cost]]-Table15910[[#This Row],[Construction Cost to Bill From]])</f>
        <v>-2045.3799999998882</v>
      </c>
      <c r="AU158" s="538">
        <f>IFERROR(Table15910[[#This Row],[Difference in Construction Cost]]*Table15910[[#This Row],[Rate]],Table15910[[#This Row],[Difference in Construction Cost]]*0.085)</f>
        <v>-204.53799999998884</v>
      </c>
      <c r="AV158" s="1355" t="s">
        <v>376</v>
      </c>
      <c r="AW158" s="1450" t="s">
        <v>8178</v>
      </c>
      <c r="AX158" s="908"/>
      <c r="AY158" s="909" t="s">
        <v>709</v>
      </c>
      <c r="AZ158" s="1168"/>
      <c r="BA158" s="910" t="s">
        <v>8179</v>
      </c>
      <c r="BB158" s="928" t="s">
        <v>8180</v>
      </c>
      <c r="BC158" s="912" t="s">
        <v>709</v>
      </c>
      <c r="BD158" s="912" t="s">
        <v>709</v>
      </c>
      <c r="BE158" s="913" t="s">
        <v>4242</v>
      </c>
      <c r="BF158" s="914" t="s">
        <v>709</v>
      </c>
      <c r="BG158" s="914" t="s">
        <v>709</v>
      </c>
      <c r="BH158" s="1023" t="s">
        <v>8181</v>
      </c>
      <c r="BI158" s="1032" t="s">
        <v>709</v>
      </c>
      <c r="BJ158" s="1032" t="s">
        <v>709</v>
      </c>
      <c r="BK158" s="1032" t="s">
        <v>116</v>
      </c>
      <c r="BL158" s="1032" t="s">
        <v>116</v>
      </c>
      <c r="BM158" s="1032" t="s">
        <v>709</v>
      </c>
      <c r="BN158" s="1032">
        <v>2319</v>
      </c>
      <c r="BO158" s="1032" t="s">
        <v>709</v>
      </c>
      <c r="BP158" s="1032" t="s">
        <v>709</v>
      </c>
      <c r="BQ158" s="1032">
        <v>2342</v>
      </c>
      <c r="BR158" s="1032">
        <v>2878</v>
      </c>
      <c r="BS158" s="1032">
        <v>93</v>
      </c>
      <c r="BT158" s="1032" t="s">
        <v>709</v>
      </c>
      <c r="BU158" s="1032" t="s">
        <v>709</v>
      </c>
      <c r="BV158" s="1032" t="s">
        <v>709</v>
      </c>
      <c r="BW158" s="1032" t="s">
        <v>709</v>
      </c>
      <c r="BX158" s="1032" t="s">
        <v>709</v>
      </c>
      <c r="BY158" s="1032" t="s">
        <v>709</v>
      </c>
      <c r="BZ158" s="1032" t="s">
        <v>709</v>
      </c>
      <c r="CA158" s="1225"/>
    </row>
    <row r="159" spans="1:79" ht="15" hidden="1" customHeight="1" x14ac:dyDescent="0.25">
      <c r="A159" s="8" t="s">
        <v>781</v>
      </c>
      <c r="B159" s="8" t="s">
        <v>4</v>
      </c>
      <c r="C159" s="8" t="s">
        <v>1304</v>
      </c>
      <c r="D159" s="8" t="s">
        <v>1305</v>
      </c>
      <c r="E159" s="8" t="s">
        <v>1306</v>
      </c>
      <c r="F159" s="8" t="s">
        <v>738</v>
      </c>
      <c r="G159" s="8" t="s">
        <v>27</v>
      </c>
      <c r="H159" s="8" t="s">
        <v>59</v>
      </c>
      <c r="I159" s="642">
        <v>44684</v>
      </c>
      <c r="J159" s="97">
        <v>44757</v>
      </c>
      <c r="K159" s="97">
        <v>44753</v>
      </c>
      <c r="L159" s="16">
        <v>4</v>
      </c>
      <c r="M159" s="642"/>
      <c r="N159" s="642" t="s">
        <v>120</v>
      </c>
      <c r="O159" s="1025">
        <v>44753</v>
      </c>
      <c r="P159" s="21" t="s">
        <v>739</v>
      </c>
      <c r="Q159" s="1151">
        <v>17769.143</v>
      </c>
      <c r="R159" s="1039">
        <v>0.1</v>
      </c>
      <c r="S159" s="538" t="s">
        <v>709</v>
      </c>
      <c r="T159" s="538" t="s">
        <v>709</v>
      </c>
      <c r="U159" s="87" t="s">
        <v>709</v>
      </c>
      <c r="V159" s="1366">
        <v>576</v>
      </c>
      <c r="W159" s="1347"/>
      <c r="X159" s="1330">
        <v>132282.79999999999</v>
      </c>
      <c r="Y159" s="592"/>
      <c r="Z159" s="1330">
        <v>45408.63</v>
      </c>
      <c r="AA159" s="551">
        <v>177691.43</v>
      </c>
      <c r="AB159" s="1333"/>
      <c r="AC159" s="1335" t="s">
        <v>709</v>
      </c>
      <c r="AD159" s="1348"/>
      <c r="AE159" s="1349"/>
      <c r="AF159" s="1349"/>
      <c r="AG159" s="579"/>
      <c r="AH159" s="553"/>
      <c r="AI159" s="1350"/>
      <c r="AJ159" s="1351"/>
      <c r="AK159" s="1351"/>
      <c r="AL159" s="1038"/>
      <c r="AM159" s="536" t="s">
        <v>116</v>
      </c>
      <c r="AN159" s="801" t="s">
        <v>709</v>
      </c>
      <c r="AO159" s="601"/>
      <c r="AP159" s="572"/>
      <c r="AQ159" s="572"/>
      <c r="AR159" s="572"/>
      <c r="AS159" s="538">
        <f>IF(Table15910[[#This Row],[PCTS Approved]]="N",0,Table15910[[#This Row],[Investment Amount (1'#'#'#'#'#)]]+Table15910[[#This Row],[Retirement Amount (3'#'#'#'#'#)]])</f>
        <v>0</v>
      </c>
      <c r="AT159" s="538">
        <f>IF(Table15910[[#This Row],[Approved Construction Cost]]=0,0,Table15910[[#This Row],[Approved Construction Cost]]-Table15910[[#This Row],[Construction Cost to Bill From]])</f>
        <v>0</v>
      </c>
      <c r="AU159" s="538">
        <f>IFERROR(Table15910[[#This Row],[Difference in Construction Cost]]*Table15910[[#This Row],[Rate]],Table15910[[#This Row],[Difference in Construction Cost]]*0.085)</f>
        <v>0</v>
      </c>
      <c r="AV159" s="1455"/>
      <c r="AW159" s="1456"/>
      <c r="AX159" s="538"/>
      <c r="AY159" s="1035" t="s">
        <v>709</v>
      </c>
      <c r="AZ159" s="443">
        <v>68</v>
      </c>
      <c r="BA159" s="859" t="s">
        <v>1307</v>
      </c>
      <c r="BB159" s="1137" t="s">
        <v>1308</v>
      </c>
      <c r="BC159" s="544" t="s">
        <v>709</v>
      </c>
      <c r="BD159" s="544" t="s">
        <v>709</v>
      </c>
      <c r="BE159" s="544" t="s">
        <v>1309</v>
      </c>
      <c r="BF159" s="544" t="s">
        <v>709</v>
      </c>
      <c r="BG159" s="544" t="s">
        <v>709</v>
      </c>
      <c r="BH159" s="741"/>
      <c r="BI159" s="547" t="s">
        <v>709</v>
      </c>
      <c r="BJ159" s="547" t="s">
        <v>709</v>
      </c>
      <c r="BK159" s="547" t="s">
        <v>709</v>
      </c>
      <c r="BL159" s="547" t="s">
        <v>116</v>
      </c>
      <c r="BM159" s="547" t="s">
        <v>709</v>
      </c>
      <c r="BN159" s="547" t="s">
        <v>709</v>
      </c>
      <c r="BO159" s="547" t="s">
        <v>709</v>
      </c>
      <c r="BP159" s="547" t="s">
        <v>709</v>
      </c>
      <c r="BQ159" s="547" t="s">
        <v>709</v>
      </c>
      <c r="BR159" s="547">
        <v>576</v>
      </c>
      <c r="BS159" s="547" t="s">
        <v>709</v>
      </c>
      <c r="BT159" s="547" t="s">
        <v>745</v>
      </c>
      <c r="BU159" s="547" t="s">
        <v>709</v>
      </c>
      <c r="BV159" s="547" t="s">
        <v>745</v>
      </c>
      <c r="BW159" s="547" t="s">
        <v>709</v>
      </c>
      <c r="BX159" s="547" t="s">
        <v>745</v>
      </c>
      <c r="BY159" s="547" t="s">
        <v>745</v>
      </c>
      <c r="BZ159" s="547" t="s">
        <v>709</v>
      </c>
      <c r="CA159" s="483"/>
    </row>
    <row r="160" spans="1:79" ht="15" hidden="1" customHeight="1" x14ac:dyDescent="0.25">
      <c r="A160" s="8" t="s">
        <v>749</v>
      </c>
      <c r="B160" s="8" t="s">
        <v>759</v>
      </c>
      <c r="C160" s="8" t="s">
        <v>368</v>
      </c>
      <c r="D160" s="8" t="s">
        <v>1398</v>
      </c>
      <c r="E160" s="8" t="s">
        <v>369</v>
      </c>
      <c r="F160" s="8" t="s">
        <v>752</v>
      </c>
      <c r="G160" s="8" t="s">
        <v>27</v>
      </c>
      <c r="H160" s="8" t="s">
        <v>59</v>
      </c>
      <c r="I160" s="642">
        <v>44838</v>
      </c>
      <c r="J160" s="18">
        <v>44964</v>
      </c>
      <c r="K160" s="97">
        <v>44956</v>
      </c>
      <c r="L160" s="16">
        <v>8</v>
      </c>
      <c r="M160" s="642"/>
      <c r="N160" s="642" t="s">
        <v>120</v>
      </c>
      <c r="O160" s="1060">
        <v>44958</v>
      </c>
      <c r="P160" s="1152" t="s">
        <v>120</v>
      </c>
      <c r="Q160" s="1061">
        <v>51070.6394</v>
      </c>
      <c r="R160" s="1026">
        <v>0.11</v>
      </c>
      <c r="S160" s="538"/>
      <c r="T160" s="538">
        <v>5000</v>
      </c>
      <c r="U160" s="87">
        <v>0</v>
      </c>
      <c r="V160" s="1346">
        <v>840</v>
      </c>
      <c r="W160" s="1308"/>
      <c r="X160" s="1329">
        <v>411073.66</v>
      </c>
      <c r="Y160" s="592"/>
      <c r="Z160" s="1329">
        <v>53204.88</v>
      </c>
      <c r="AA160" s="552">
        <v>464278.54</v>
      </c>
      <c r="AB160" s="1333" t="s">
        <v>709</v>
      </c>
      <c r="AC160" s="1335" t="s">
        <v>1177</v>
      </c>
      <c r="AD160" s="1348" t="s">
        <v>29</v>
      </c>
      <c r="AE160" s="1349"/>
      <c r="AF160" s="1349"/>
      <c r="AG160" s="579"/>
      <c r="AH160" s="553"/>
      <c r="AI160" s="1350"/>
      <c r="AJ160" s="1351"/>
      <c r="AK160" s="1351"/>
      <c r="AL160" s="1038"/>
      <c r="AM160" s="536" t="s">
        <v>116</v>
      </c>
      <c r="AN160" s="680" t="s">
        <v>709</v>
      </c>
      <c r="AO160" s="681" t="s">
        <v>115</v>
      </c>
      <c r="AP160" s="682"/>
      <c r="AQ160" s="682"/>
      <c r="AR160" s="682"/>
      <c r="AS160" s="538">
        <f>IF(Table15910[[#This Row],[PCTS Approved]]="N",0,Table15910[[#This Row],[Investment Amount (1'#'#'#'#'#)]]+Table15910[[#This Row],[Retirement Amount (3'#'#'#'#'#)]])</f>
        <v>0</v>
      </c>
      <c r="AT160" s="538">
        <f>IF(Table15910[[#This Row],[Approved Construction Cost]]=0,0,Table15910[[#This Row],[Approved Construction Cost]]-Table15910[[#This Row],[Construction Cost to Bill From]])</f>
        <v>0</v>
      </c>
      <c r="AU160" s="538">
        <f>IFERROR(Table15910[[#This Row],[Difference in Construction Cost]]*Table15910[[#This Row],[Rate]],Table15910[[#This Row],[Difference in Construction Cost]]*0.085)</f>
        <v>0</v>
      </c>
      <c r="AV160" s="1309"/>
      <c r="AW160" s="686"/>
      <c r="AX160" s="538"/>
      <c r="AY160" s="1035" t="s">
        <v>709</v>
      </c>
      <c r="AZ160" s="443">
        <v>149</v>
      </c>
      <c r="BA160" s="859" t="s">
        <v>1399</v>
      </c>
      <c r="BB160" s="644" t="s">
        <v>1400</v>
      </c>
      <c r="BC160" s="544" t="s">
        <v>709</v>
      </c>
      <c r="BD160" s="544" t="s">
        <v>115</v>
      </c>
      <c r="BE160" s="544" t="s">
        <v>1401</v>
      </c>
      <c r="BF160" s="544" t="s">
        <v>115</v>
      </c>
      <c r="BG160" s="544" t="s">
        <v>115</v>
      </c>
      <c r="BH160" s="741"/>
      <c r="BI160" s="547" t="s">
        <v>709</v>
      </c>
      <c r="BJ160" s="547" t="s">
        <v>116</v>
      </c>
      <c r="BK160" s="547" t="s">
        <v>709</v>
      </c>
      <c r="BL160" s="547" t="s">
        <v>116</v>
      </c>
      <c r="BM160" s="547" t="s">
        <v>709</v>
      </c>
      <c r="BN160" s="547" t="s">
        <v>709</v>
      </c>
      <c r="BO160" s="547" t="s">
        <v>709</v>
      </c>
      <c r="BP160" s="547" t="s">
        <v>709</v>
      </c>
      <c r="BQ160" s="547" t="s">
        <v>709</v>
      </c>
      <c r="BR160" s="547" t="s">
        <v>709</v>
      </c>
      <c r="BS160" s="547">
        <v>750</v>
      </c>
      <c r="BT160" s="547">
        <v>1</v>
      </c>
      <c r="BU160" s="547" t="s">
        <v>709</v>
      </c>
      <c r="BV160" s="547" t="s">
        <v>745</v>
      </c>
      <c r="BW160" s="547">
        <v>1</v>
      </c>
      <c r="BX160" s="547">
        <v>1</v>
      </c>
      <c r="BY160" s="547" t="s">
        <v>745</v>
      </c>
      <c r="BZ160" s="547" t="s">
        <v>709</v>
      </c>
      <c r="CA160" s="1225"/>
    </row>
    <row r="161" spans="1:79" ht="15" hidden="1" customHeight="1" x14ac:dyDescent="0.25">
      <c r="A161" s="8" t="s">
        <v>800</v>
      </c>
      <c r="B161" s="8" t="s">
        <v>4</v>
      </c>
      <c r="C161" s="8" t="s">
        <v>6717</v>
      </c>
      <c r="D161" s="8" t="s">
        <v>6718</v>
      </c>
      <c r="E161" s="8" t="s">
        <v>6719</v>
      </c>
      <c r="F161" s="8" t="s">
        <v>784</v>
      </c>
      <c r="G161" s="8" t="s">
        <v>6712</v>
      </c>
      <c r="H161" s="8" t="s">
        <v>59</v>
      </c>
      <c r="I161" s="642">
        <v>45550</v>
      </c>
      <c r="J161" s="18">
        <v>45604</v>
      </c>
      <c r="K161" s="97">
        <v>45602</v>
      </c>
      <c r="L161" s="16">
        <v>2</v>
      </c>
      <c r="M161" s="642"/>
      <c r="N161" s="99" t="s">
        <v>120</v>
      </c>
      <c r="O161" s="1060">
        <v>45597</v>
      </c>
      <c r="P161" s="1152" t="s">
        <v>739</v>
      </c>
      <c r="Q161" s="340">
        <v>10943.445</v>
      </c>
      <c r="R161" s="1026">
        <v>0.1</v>
      </c>
      <c r="S161" s="538" t="s">
        <v>29</v>
      </c>
      <c r="T161" s="538" t="s">
        <v>29</v>
      </c>
      <c r="U161" s="28" t="s">
        <v>29</v>
      </c>
      <c r="V161" s="858">
        <v>159</v>
      </c>
      <c r="W161" s="437" t="s">
        <v>29</v>
      </c>
      <c r="X161" s="538">
        <v>76825.48</v>
      </c>
      <c r="Y161" s="550"/>
      <c r="Z161" s="552">
        <v>32608.97</v>
      </c>
      <c r="AA161" s="552">
        <v>109434.45</v>
      </c>
      <c r="AB161" s="341">
        <v>45601</v>
      </c>
      <c r="AC161" s="569" t="s">
        <v>29</v>
      </c>
      <c r="AD161" s="1149" t="s">
        <v>29</v>
      </c>
      <c r="AE161" s="568" t="s">
        <v>116</v>
      </c>
      <c r="AF161" s="568" t="s">
        <v>29</v>
      </c>
      <c r="AG161" s="569" t="s">
        <v>29</v>
      </c>
      <c r="AH161" s="183">
        <v>45646</v>
      </c>
      <c r="AI161" s="1109" t="s">
        <v>29</v>
      </c>
      <c r="AJ161" s="1110">
        <v>2450</v>
      </c>
      <c r="AK161" s="1134" t="s">
        <v>29</v>
      </c>
      <c r="AL161" s="1108">
        <v>0.22387831254234841</v>
      </c>
      <c r="AM161" s="536" t="s">
        <v>116</v>
      </c>
      <c r="AN161" s="1310" t="s">
        <v>709</v>
      </c>
      <c r="AO161" s="601"/>
      <c r="AP161" s="572"/>
      <c r="AQ161" s="572"/>
      <c r="AR161" s="572"/>
      <c r="AS161" s="538">
        <f>IF(Table15910[[#This Row],[PCTS Approved]]="N",0,Table15910[[#This Row],[Investment Amount (1'#'#'#'#'#)]]+Table15910[[#This Row],[Retirement Amount (3'#'#'#'#'#)]])</f>
        <v>0</v>
      </c>
      <c r="AT161" s="538">
        <f>IF(Table15910[[#This Row],[Approved Construction Cost]]=0,0,Table15910[[#This Row],[Approved Construction Cost]]-Table15910[[#This Row],[Construction Cost to Bill From]])</f>
        <v>0</v>
      </c>
      <c r="AU161" s="538">
        <f>IFERROR(Table15910[[#This Row],[Difference in Construction Cost]]*Table15910[[#This Row],[Rate]],Table15910[[#This Row],[Difference in Construction Cost]]*0.085)</f>
        <v>0</v>
      </c>
      <c r="AV161" s="1455"/>
      <c r="AW161" s="1457"/>
      <c r="AX161" s="555"/>
      <c r="AY161" s="1035" t="s">
        <v>709</v>
      </c>
      <c r="AZ161" s="443"/>
      <c r="BA161" s="1031" t="s">
        <v>6720</v>
      </c>
      <c r="BB161" s="644" t="s">
        <v>6721</v>
      </c>
      <c r="BC161" s="544" t="s">
        <v>115</v>
      </c>
      <c r="BD161" s="554" t="s">
        <v>115</v>
      </c>
      <c r="BE161" s="554" t="s">
        <v>6722</v>
      </c>
      <c r="BF161" s="588" t="s">
        <v>115</v>
      </c>
      <c r="BG161" s="588" t="s">
        <v>115</v>
      </c>
      <c r="BH161" s="615" t="s">
        <v>6723</v>
      </c>
      <c r="BI161" s="549" t="s">
        <v>709</v>
      </c>
      <c r="BJ161" s="549" t="s">
        <v>709</v>
      </c>
      <c r="BK161" s="549" t="s">
        <v>709</v>
      </c>
      <c r="BL161" s="547" t="s">
        <v>116</v>
      </c>
      <c r="BM161" s="549" t="s">
        <v>709</v>
      </c>
      <c r="BN161" s="549" t="s">
        <v>709</v>
      </c>
      <c r="BO161" s="549" t="s">
        <v>709</v>
      </c>
      <c r="BP161" s="549" t="s">
        <v>709</v>
      </c>
      <c r="BQ161" s="549" t="s">
        <v>709</v>
      </c>
      <c r="BR161" s="549" t="s">
        <v>709</v>
      </c>
      <c r="BS161" s="549">
        <v>159</v>
      </c>
      <c r="BT161" s="549" t="s">
        <v>709</v>
      </c>
      <c r="BU161" s="549" t="s">
        <v>709</v>
      </c>
      <c r="BV161" s="549" t="s">
        <v>709</v>
      </c>
      <c r="BW161" s="549" t="s">
        <v>709</v>
      </c>
      <c r="BX161" s="549" t="s">
        <v>709</v>
      </c>
      <c r="BY161" s="549" t="s">
        <v>709</v>
      </c>
      <c r="BZ161" s="547" t="s">
        <v>709</v>
      </c>
      <c r="CA161" s="917" t="s">
        <v>7317</v>
      </c>
    </row>
    <row r="162" spans="1:79" ht="15" hidden="1" customHeight="1" x14ac:dyDescent="0.25">
      <c r="A162" s="8">
        <v>2023</v>
      </c>
      <c r="B162" s="8" t="s">
        <v>771</v>
      </c>
      <c r="C162" s="8" t="s">
        <v>353</v>
      </c>
      <c r="D162" s="8" t="s">
        <v>1416</v>
      </c>
      <c r="E162" s="8" t="s">
        <v>354</v>
      </c>
      <c r="F162" s="8" t="s">
        <v>784</v>
      </c>
      <c r="G162" s="8" t="s">
        <v>25</v>
      </c>
      <c r="H162" s="13" t="s">
        <v>59</v>
      </c>
      <c r="I162" s="642">
        <v>44875</v>
      </c>
      <c r="J162" s="18">
        <v>45002</v>
      </c>
      <c r="K162" s="97">
        <v>45001</v>
      </c>
      <c r="L162" s="16">
        <v>1</v>
      </c>
      <c r="M162" s="642"/>
      <c r="N162" s="642" t="s">
        <v>120</v>
      </c>
      <c r="O162" s="1060">
        <v>44995</v>
      </c>
      <c r="P162" s="1152" t="s">
        <v>120</v>
      </c>
      <c r="Q162" s="340">
        <v>153674.31689999998</v>
      </c>
      <c r="R162" s="1026">
        <v>0.09</v>
      </c>
      <c r="S162" s="538"/>
      <c r="T162" s="538"/>
      <c r="U162" s="87"/>
      <c r="V162" s="858">
        <v>2383</v>
      </c>
      <c r="W162" s="437">
        <v>0</v>
      </c>
      <c r="X162" s="552">
        <v>1636616.73</v>
      </c>
      <c r="Y162" s="592"/>
      <c r="Z162" s="552">
        <v>70875.679999999993</v>
      </c>
      <c r="AA162" s="552">
        <v>1707492.41</v>
      </c>
      <c r="AB162" s="341">
        <v>45006</v>
      </c>
      <c r="AC162" s="568" t="s">
        <v>116</v>
      </c>
      <c r="AD162" s="1157" t="s">
        <v>29</v>
      </c>
      <c r="AE162" s="579"/>
      <c r="AF162" s="579"/>
      <c r="AG162" s="579"/>
      <c r="AH162" s="553"/>
      <c r="AI162" s="1036"/>
      <c r="AJ162" s="1037"/>
      <c r="AK162" s="1037"/>
      <c r="AL162" s="1038"/>
      <c r="AM162" s="536" t="s">
        <v>116</v>
      </c>
      <c r="AN162" s="680" t="s">
        <v>709</v>
      </c>
      <c r="AO162" s="601" t="s">
        <v>115</v>
      </c>
      <c r="AP162" s="572"/>
      <c r="AQ162" s="572"/>
      <c r="AR162" s="572"/>
      <c r="AS162" s="538">
        <f>IF(Table15910[[#This Row],[PCTS Approved]]="N",0,Table15910[[#This Row],[Investment Amount (1'#'#'#'#'#)]]+Table15910[[#This Row],[Retirement Amount (3'#'#'#'#'#)]])</f>
        <v>0</v>
      </c>
      <c r="AT162" s="538">
        <f>IF(Table15910[[#This Row],[Approved Construction Cost]]=0,0,Table15910[[#This Row],[Approved Construction Cost]]-Table15910[[#This Row],[Construction Cost to Bill From]])</f>
        <v>0</v>
      </c>
      <c r="AU162" s="538">
        <f>IFERROR(Table15910[[#This Row],[Difference in Construction Cost]]*Table15910[[#This Row],[Rate]],Table15910[[#This Row],[Difference in Construction Cost]]*0.085)</f>
        <v>0</v>
      </c>
      <c r="AV162" s="572"/>
      <c r="AW162" s="639"/>
      <c r="AX162" s="538"/>
      <c r="AY162" s="1035" t="s">
        <v>709</v>
      </c>
      <c r="AZ162" s="443">
        <v>36</v>
      </c>
      <c r="BA162" s="859" t="s">
        <v>1417</v>
      </c>
      <c r="BB162" s="644" t="s">
        <v>1418</v>
      </c>
      <c r="BC162" s="544" t="s">
        <v>116</v>
      </c>
      <c r="BD162" s="544" t="s">
        <v>115</v>
      </c>
      <c r="BE162" s="544" t="s">
        <v>588</v>
      </c>
      <c r="BF162" s="544" t="s">
        <v>115</v>
      </c>
      <c r="BG162" s="544" t="s">
        <v>1419</v>
      </c>
      <c r="BH162" s="741"/>
      <c r="BI162" s="547" t="s">
        <v>709</v>
      </c>
      <c r="BJ162" s="547" t="s">
        <v>709</v>
      </c>
      <c r="BK162" s="547" t="s">
        <v>116</v>
      </c>
      <c r="BL162" s="547" t="s">
        <v>709</v>
      </c>
      <c r="BM162" s="547" t="s">
        <v>709</v>
      </c>
      <c r="BN162" s="547">
        <v>1616</v>
      </c>
      <c r="BO162" s="547" t="s">
        <v>709</v>
      </c>
      <c r="BP162" s="547">
        <v>285</v>
      </c>
      <c r="BQ162" s="547">
        <v>482</v>
      </c>
      <c r="BR162" s="547" t="s">
        <v>709</v>
      </c>
      <c r="BS162" s="547" t="s">
        <v>709</v>
      </c>
      <c r="BT162" s="547" t="s">
        <v>745</v>
      </c>
      <c r="BU162" s="547" t="s">
        <v>709</v>
      </c>
      <c r="BV162" s="547" t="s">
        <v>745</v>
      </c>
      <c r="BW162" s="547" t="s">
        <v>709</v>
      </c>
      <c r="BX162" s="547" t="s">
        <v>745</v>
      </c>
      <c r="BY162" s="547" t="s">
        <v>745</v>
      </c>
      <c r="BZ162" s="547" t="s">
        <v>709</v>
      </c>
      <c r="CA162" s="483"/>
    </row>
    <row r="163" spans="1:79" ht="15" hidden="1" customHeight="1" x14ac:dyDescent="0.25">
      <c r="A163" s="878" t="s">
        <v>800</v>
      </c>
      <c r="B163" s="878" t="s">
        <v>4</v>
      </c>
      <c r="C163" s="1397" t="s">
        <v>8182</v>
      </c>
      <c r="D163" s="878" t="s">
        <v>8183</v>
      </c>
      <c r="E163" s="878" t="s">
        <v>300</v>
      </c>
      <c r="F163" s="878" t="s">
        <v>851</v>
      </c>
      <c r="G163" s="878" t="s">
        <v>25</v>
      </c>
      <c r="H163" s="878" t="s">
        <v>59</v>
      </c>
      <c r="I163" s="883">
        <v>45233</v>
      </c>
      <c r="J163" s="882">
        <v>45667</v>
      </c>
      <c r="K163" s="882">
        <v>45665</v>
      </c>
      <c r="L163" s="919">
        <v>2</v>
      </c>
      <c r="M163" s="879"/>
      <c r="N163" s="885" t="s">
        <v>120</v>
      </c>
      <c r="O163" s="886">
        <v>45658</v>
      </c>
      <c r="P163" s="1153" t="s">
        <v>739</v>
      </c>
      <c r="Q163" s="1150">
        <v>73718.482999999993</v>
      </c>
      <c r="R163" s="887">
        <v>0.1</v>
      </c>
      <c r="S163" s="888" t="s">
        <v>29</v>
      </c>
      <c r="T163" s="888" t="s">
        <v>29</v>
      </c>
      <c r="U163" s="889" t="s">
        <v>29</v>
      </c>
      <c r="V163" s="890">
        <v>1097</v>
      </c>
      <c r="W163" s="995">
        <v>0</v>
      </c>
      <c r="X163" s="888">
        <v>592013.06999999995</v>
      </c>
      <c r="Y163" s="891"/>
      <c r="Z163" s="892">
        <v>145171.76</v>
      </c>
      <c r="AA163" s="892">
        <v>737184.83</v>
      </c>
      <c r="AB163" s="893">
        <v>45663</v>
      </c>
      <c r="AC163" s="896" t="s">
        <v>116</v>
      </c>
      <c r="AD163" s="1155" t="s">
        <v>29</v>
      </c>
      <c r="AE163" s="894" t="s">
        <v>756</v>
      </c>
      <c r="AF163" s="894" t="s">
        <v>756</v>
      </c>
      <c r="AG163" s="897" t="s">
        <v>116</v>
      </c>
      <c r="AH163" s="897">
        <v>45672</v>
      </c>
      <c r="AI163" s="898">
        <v>0</v>
      </c>
      <c r="AJ163" s="899">
        <v>0</v>
      </c>
      <c r="AK163" s="938">
        <v>0</v>
      </c>
      <c r="AL163" s="901">
        <v>0</v>
      </c>
      <c r="AM163" s="902" t="s">
        <v>116</v>
      </c>
      <c r="AN163" s="1353">
        <v>45748</v>
      </c>
      <c r="AO163" s="1354">
        <v>11100537</v>
      </c>
      <c r="AP163" s="1320">
        <v>594060.36</v>
      </c>
      <c r="AQ163" s="1293"/>
      <c r="AR163" s="1320">
        <v>145171.76</v>
      </c>
      <c r="AS163" s="538">
        <f>IF(Table15910[[#This Row],[PCTS Approved]]="N",0,Table15910[[#This Row],[Investment Amount (1'#'#'#'#'#)]]+Table15910[[#This Row],[Retirement Amount (3'#'#'#'#'#)]])</f>
        <v>739232.12</v>
      </c>
      <c r="AT163" s="538">
        <f>IF(Table15910[[#This Row],[Approved Construction Cost]]=0,0,Table15910[[#This Row],[Approved Construction Cost]]-Table15910[[#This Row],[Construction Cost to Bill From]])</f>
        <v>2047.2900000000373</v>
      </c>
      <c r="AU163" s="538">
        <f>IFERROR(Table15910[[#This Row],[Difference in Construction Cost]]*Table15910[[#This Row],[Rate]],Table15910[[#This Row],[Difference in Construction Cost]]*0.085)</f>
        <v>204.72900000000374</v>
      </c>
      <c r="AV163" s="1355" t="s">
        <v>376</v>
      </c>
      <c r="AW163" s="1450" t="s">
        <v>8178</v>
      </c>
      <c r="AX163" s="908"/>
      <c r="AY163" s="909" t="s">
        <v>709</v>
      </c>
      <c r="AZ163" s="1168"/>
      <c r="BA163" s="910" t="s">
        <v>8179</v>
      </c>
      <c r="BB163" s="928" t="s">
        <v>8180</v>
      </c>
      <c r="BC163" s="912" t="s">
        <v>709</v>
      </c>
      <c r="BD163" s="912" t="s">
        <v>709</v>
      </c>
      <c r="BE163" s="913" t="s">
        <v>4242</v>
      </c>
      <c r="BF163" s="914" t="s">
        <v>709</v>
      </c>
      <c r="BG163" s="914" t="s">
        <v>709</v>
      </c>
      <c r="BH163" s="1023" t="s">
        <v>8184</v>
      </c>
      <c r="BI163" s="1032" t="s">
        <v>709</v>
      </c>
      <c r="BJ163" s="1032" t="s">
        <v>709</v>
      </c>
      <c r="BK163" s="1032" t="s">
        <v>116</v>
      </c>
      <c r="BL163" s="1032" t="s">
        <v>709</v>
      </c>
      <c r="BM163" s="1032" t="s">
        <v>709</v>
      </c>
      <c r="BN163" s="1032">
        <v>1097</v>
      </c>
      <c r="BO163" s="1032" t="s">
        <v>709</v>
      </c>
      <c r="BP163" s="1032" t="s">
        <v>709</v>
      </c>
      <c r="BQ163" s="1032" t="s">
        <v>709</v>
      </c>
      <c r="BR163" s="1032" t="s">
        <v>709</v>
      </c>
      <c r="BS163" s="1032" t="s">
        <v>709</v>
      </c>
      <c r="BT163" s="1032" t="s">
        <v>709</v>
      </c>
      <c r="BU163" s="1032" t="s">
        <v>709</v>
      </c>
      <c r="BV163" s="1032" t="s">
        <v>709</v>
      </c>
      <c r="BW163" s="1032" t="s">
        <v>709</v>
      </c>
      <c r="BX163" s="1032" t="s">
        <v>709</v>
      </c>
      <c r="BY163" s="1032" t="s">
        <v>709</v>
      </c>
      <c r="BZ163" s="1032" t="s">
        <v>709</v>
      </c>
      <c r="CA163" s="483"/>
    </row>
    <row r="164" spans="1:79" ht="15" hidden="1" customHeight="1" x14ac:dyDescent="0.25">
      <c r="A164" s="874" t="s">
        <v>800</v>
      </c>
      <c r="B164" s="878" t="s">
        <v>4</v>
      </c>
      <c r="C164" s="879" t="s">
        <v>8415</v>
      </c>
      <c r="D164" s="880" t="s">
        <v>8416</v>
      </c>
      <c r="E164" s="879" t="s">
        <v>108</v>
      </c>
      <c r="F164" s="878" t="s">
        <v>784</v>
      </c>
      <c r="G164" s="878" t="s">
        <v>25</v>
      </c>
      <c r="H164" s="878" t="s">
        <v>59</v>
      </c>
      <c r="I164" s="881">
        <v>44585</v>
      </c>
      <c r="J164" s="956">
        <v>45730</v>
      </c>
      <c r="K164" s="945">
        <v>45720</v>
      </c>
      <c r="L164" s="884">
        <v>10</v>
      </c>
      <c r="M164" s="879"/>
      <c r="N164" s="885" t="s">
        <v>120</v>
      </c>
      <c r="O164" s="886">
        <v>45717</v>
      </c>
      <c r="P164" s="1153" t="s">
        <v>739</v>
      </c>
      <c r="Q164" s="1150">
        <v>82276.650000000009</v>
      </c>
      <c r="R164" s="887">
        <v>0.1</v>
      </c>
      <c r="S164" s="888" t="s">
        <v>29</v>
      </c>
      <c r="T164" s="888" t="s">
        <v>29</v>
      </c>
      <c r="U164" s="889" t="s">
        <v>29</v>
      </c>
      <c r="V164" s="890">
        <v>2267</v>
      </c>
      <c r="W164" s="1021" t="s">
        <v>29</v>
      </c>
      <c r="X164" s="888">
        <v>758389.39</v>
      </c>
      <c r="Y164" s="891"/>
      <c r="Z164" s="888">
        <v>64377.11</v>
      </c>
      <c r="AA164" s="892">
        <v>822766.5</v>
      </c>
      <c r="AB164" s="893">
        <v>45665</v>
      </c>
      <c r="AC164" s="894" t="s">
        <v>709</v>
      </c>
      <c r="AD164" s="1160" t="s">
        <v>29</v>
      </c>
      <c r="AE164" s="940" t="s">
        <v>756</v>
      </c>
      <c r="AF164" s="895" t="s">
        <v>756</v>
      </c>
      <c r="AG164" s="896" t="s">
        <v>116</v>
      </c>
      <c r="AH164" s="897">
        <v>45825</v>
      </c>
      <c r="AI164" s="898">
        <v>0</v>
      </c>
      <c r="AJ164" s="899">
        <v>5400</v>
      </c>
      <c r="AK164" s="960">
        <v>8321.25</v>
      </c>
      <c r="AL164" s="901">
        <v>0.16676967280510324</v>
      </c>
      <c r="AM164" s="902" t="s">
        <v>116</v>
      </c>
      <c r="AN164" s="1353" t="s">
        <v>709</v>
      </c>
      <c r="AO164" s="904"/>
      <c r="AP164" s="905"/>
      <c r="AQ164" s="905"/>
      <c r="AR164" s="905"/>
      <c r="AS164" s="538">
        <f>IF(Table15910[[#This Row],[PCTS Approved]]="N",0,Table15910[[#This Row],[Investment Amount (1'#'#'#'#'#)]]+Table15910[[#This Row],[Retirement Amount (3'#'#'#'#'#)]])</f>
        <v>0</v>
      </c>
      <c r="AT164" s="538">
        <f>IF(Table15910[[#This Row],[Approved Construction Cost]]=0,0,Table15910[[#This Row],[Approved Construction Cost]]-Table15910[[#This Row],[Construction Cost to Bill From]])</f>
        <v>0</v>
      </c>
      <c r="AU164" s="538">
        <f>IFERROR(Table15910[[#This Row],[Difference in Construction Cost]]*Table15910[[#This Row],[Rate]],Table15910[[#This Row],[Difference in Construction Cost]]*0.085)</f>
        <v>0</v>
      </c>
      <c r="AV164" s="1316"/>
      <c r="AW164" s="907"/>
      <c r="AX164" s="908"/>
      <c r="AY164" s="909" t="s">
        <v>709</v>
      </c>
      <c r="AZ164" s="1022"/>
      <c r="BA164" s="910" t="s">
        <v>8417</v>
      </c>
      <c r="BB164" s="911" t="s">
        <v>8418</v>
      </c>
      <c r="BC164" s="912" t="s">
        <v>709</v>
      </c>
      <c r="BD164" s="913" t="s">
        <v>709</v>
      </c>
      <c r="BE164" s="914" t="s">
        <v>1569</v>
      </c>
      <c r="BF164" s="914" t="s">
        <v>709</v>
      </c>
      <c r="BG164" s="915" t="s">
        <v>709</v>
      </c>
      <c r="BH164" s="1023" t="s">
        <v>8419</v>
      </c>
      <c r="BI164" s="929" t="s">
        <v>745</v>
      </c>
      <c r="BJ164" s="929" t="s">
        <v>745</v>
      </c>
      <c r="BK164" s="916" t="s">
        <v>745</v>
      </c>
      <c r="BL164" s="916" t="s">
        <v>116</v>
      </c>
      <c r="BM164" s="916" t="s">
        <v>745</v>
      </c>
      <c r="BN164" s="916" t="s">
        <v>745</v>
      </c>
      <c r="BO164" s="916" t="s">
        <v>745</v>
      </c>
      <c r="BP164" s="916" t="s">
        <v>745</v>
      </c>
      <c r="BQ164" s="916">
        <v>2143</v>
      </c>
      <c r="BR164" s="916">
        <v>124</v>
      </c>
      <c r="BS164" s="916" t="s">
        <v>709</v>
      </c>
      <c r="BT164" s="916" t="s">
        <v>745</v>
      </c>
      <c r="BU164" s="916" t="s">
        <v>745</v>
      </c>
      <c r="BV164" s="916" t="s">
        <v>745</v>
      </c>
      <c r="BW164" s="916" t="s">
        <v>745</v>
      </c>
      <c r="BX164" s="916" t="s">
        <v>745</v>
      </c>
      <c r="BY164" s="916" t="s">
        <v>745</v>
      </c>
      <c r="BZ164" s="916" t="s">
        <v>709</v>
      </c>
      <c r="CA164" s="483"/>
    </row>
    <row r="165" spans="1:79" ht="15" hidden="1" customHeight="1" x14ac:dyDescent="0.25">
      <c r="A165" s="8" t="s">
        <v>800</v>
      </c>
      <c r="B165" s="8" t="s">
        <v>4</v>
      </c>
      <c r="C165" s="656" t="s">
        <v>1709</v>
      </c>
      <c r="D165" s="8" t="s">
        <v>1710</v>
      </c>
      <c r="E165" s="8" t="s">
        <v>1605</v>
      </c>
      <c r="F165" s="8" t="s">
        <v>747</v>
      </c>
      <c r="G165" s="8" t="s">
        <v>25</v>
      </c>
      <c r="H165" s="8" t="s">
        <v>59</v>
      </c>
      <c r="I165" s="642">
        <v>45230</v>
      </c>
      <c r="J165" s="18">
        <v>45317</v>
      </c>
      <c r="K165" s="97">
        <v>45303</v>
      </c>
      <c r="L165" s="16">
        <v>14</v>
      </c>
      <c r="M165" s="642"/>
      <c r="N165" s="642" t="s">
        <v>120</v>
      </c>
      <c r="O165" s="1060">
        <v>45323</v>
      </c>
      <c r="P165" s="1152" t="s">
        <v>739</v>
      </c>
      <c r="Q165" s="340">
        <v>32968.318999999996</v>
      </c>
      <c r="R165" s="1026">
        <v>0.1</v>
      </c>
      <c r="S165" s="538"/>
      <c r="T165" s="538"/>
      <c r="U165" s="87"/>
      <c r="V165" s="858">
        <v>1336</v>
      </c>
      <c r="W165" s="437">
        <v>0</v>
      </c>
      <c r="X165" s="561">
        <v>303555.40999999997</v>
      </c>
      <c r="Y165" s="551"/>
      <c r="Z165" s="570">
        <v>26127.78</v>
      </c>
      <c r="AA165" s="552">
        <v>329683.18999999994</v>
      </c>
      <c r="AB165" s="341">
        <v>45294</v>
      </c>
      <c r="AC165" s="568" t="s">
        <v>709</v>
      </c>
      <c r="AD165" s="1149" t="s">
        <v>29</v>
      </c>
      <c r="AE165" s="568" t="s">
        <v>756</v>
      </c>
      <c r="AF165" s="568" t="s">
        <v>29</v>
      </c>
      <c r="AG165" s="183" t="s">
        <v>116</v>
      </c>
      <c r="AH165" s="183">
        <v>45308</v>
      </c>
      <c r="AI165" s="1109">
        <v>58383</v>
      </c>
      <c r="AJ165" s="1110">
        <v>4502</v>
      </c>
      <c r="AK165" s="1110">
        <v>0</v>
      </c>
      <c r="AL165" s="1108">
        <v>1.9074372581750378</v>
      </c>
      <c r="AM165" s="536" t="s">
        <v>116</v>
      </c>
      <c r="AN165" s="801">
        <v>45805</v>
      </c>
      <c r="AO165" s="806">
        <v>11103686</v>
      </c>
      <c r="AP165" s="718">
        <v>309815.05</v>
      </c>
      <c r="AQ165" s="682"/>
      <c r="AR165" s="718">
        <v>27939.74</v>
      </c>
      <c r="AS165" s="538">
        <f>IF(Table15910[[#This Row],[PCTS Approved]]="N",0,Table15910[[#This Row],[Investment Amount (1'#'#'#'#'#)]]+Table15910[[#This Row],[Retirement Amount (3'#'#'#'#'#)]])</f>
        <v>337754.79</v>
      </c>
      <c r="AT165" s="538">
        <f>IF(Table15910[[#This Row],[Approved Construction Cost]]=0,0,Table15910[[#This Row],[Approved Construction Cost]]-Table15910[[#This Row],[Construction Cost to Bill From]])</f>
        <v>8071.6000000000349</v>
      </c>
      <c r="AU165" s="538">
        <f>IFERROR(Table15910[[#This Row],[Difference in Construction Cost]]*Table15910[[#This Row],[Rate]],Table15910[[#This Row],[Difference in Construction Cost]]*0.085)</f>
        <v>807.16000000000349</v>
      </c>
      <c r="AV165" s="1311" t="s">
        <v>29</v>
      </c>
      <c r="AW165" s="1429" t="s">
        <v>6158</v>
      </c>
      <c r="AX165" s="555"/>
      <c r="AY165" s="1035" t="s">
        <v>709</v>
      </c>
      <c r="AZ165" s="443">
        <v>118</v>
      </c>
      <c r="BA165" s="1074" t="s">
        <v>1711</v>
      </c>
      <c r="BB165" s="644" t="s">
        <v>1712</v>
      </c>
      <c r="BC165" s="544" t="s">
        <v>115</v>
      </c>
      <c r="BD165" s="554" t="s">
        <v>837</v>
      </c>
      <c r="BE165" s="588" t="s">
        <v>615</v>
      </c>
      <c r="BF165" s="588" t="s">
        <v>115</v>
      </c>
      <c r="BG165" s="588" t="s">
        <v>115</v>
      </c>
      <c r="BH165" s="615" t="s">
        <v>1713</v>
      </c>
      <c r="BI165" s="547" t="s">
        <v>709</v>
      </c>
      <c r="BJ165" s="549" t="s">
        <v>709</v>
      </c>
      <c r="BK165" s="547" t="s">
        <v>709</v>
      </c>
      <c r="BL165" s="547" t="s">
        <v>116</v>
      </c>
      <c r="BM165" s="626" t="s">
        <v>709</v>
      </c>
      <c r="BN165" s="549" t="s">
        <v>709</v>
      </c>
      <c r="BO165" s="626" t="s">
        <v>709</v>
      </c>
      <c r="BP165" s="626" t="s">
        <v>709</v>
      </c>
      <c r="BQ165" s="549" t="s">
        <v>709</v>
      </c>
      <c r="BR165" s="549" t="s">
        <v>709</v>
      </c>
      <c r="BS165" s="549">
        <v>1336</v>
      </c>
      <c r="BT165" s="549" t="s">
        <v>745</v>
      </c>
      <c r="BU165" s="549" t="s">
        <v>709</v>
      </c>
      <c r="BV165" s="549" t="s">
        <v>745</v>
      </c>
      <c r="BW165" s="549" t="s">
        <v>709</v>
      </c>
      <c r="BX165" s="547" t="s">
        <v>745</v>
      </c>
      <c r="BY165" s="549" t="s">
        <v>745</v>
      </c>
      <c r="BZ165" s="547" t="s">
        <v>709</v>
      </c>
      <c r="CA165" s="483"/>
    </row>
    <row r="166" spans="1:79" ht="15" hidden="1" customHeight="1" x14ac:dyDescent="0.25">
      <c r="A166" s="8" t="s">
        <v>800</v>
      </c>
      <c r="B166" s="8" t="s">
        <v>4</v>
      </c>
      <c r="C166" s="1497" t="s">
        <v>1816</v>
      </c>
      <c r="D166" s="8" t="s">
        <v>1817</v>
      </c>
      <c r="E166" s="8" t="s">
        <v>1347</v>
      </c>
      <c r="F166" s="8" t="s">
        <v>1102</v>
      </c>
      <c r="G166" s="8" t="s">
        <v>35</v>
      </c>
      <c r="H166" s="8" t="s">
        <v>59</v>
      </c>
      <c r="I166" s="642">
        <v>45352</v>
      </c>
      <c r="J166" s="18">
        <v>45450</v>
      </c>
      <c r="K166" s="97">
        <v>45447</v>
      </c>
      <c r="L166" s="16">
        <v>3</v>
      </c>
      <c r="M166" s="642"/>
      <c r="N166" s="642" t="s">
        <v>120</v>
      </c>
      <c r="O166" s="1060">
        <v>45444</v>
      </c>
      <c r="P166" s="1152" t="s">
        <v>739</v>
      </c>
      <c r="Q166" s="340">
        <v>55458.917000000009</v>
      </c>
      <c r="R166" s="1026">
        <v>0.1</v>
      </c>
      <c r="S166" s="538"/>
      <c r="T166" s="538"/>
      <c r="U166" s="87"/>
      <c r="V166" s="858">
        <v>1877</v>
      </c>
      <c r="W166" s="437">
        <v>0</v>
      </c>
      <c r="X166" s="538">
        <v>449671.96</v>
      </c>
      <c r="Y166" s="551"/>
      <c r="Z166" s="552">
        <v>104917.21</v>
      </c>
      <c r="AA166" s="552">
        <v>554589.17000000004</v>
      </c>
      <c r="AB166" s="341">
        <v>45447</v>
      </c>
      <c r="AC166" s="569" t="s">
        <v>709</v>
      </c>
      <c r="AD166" s="1149" t="s">
        <v>29</v>
      </c>
      <c r="AE166" s="568" t="s">
        <v>116</v>
      </c>
      <c r="AF166" s="568" t="s">
        <v>29</v>
      </c>
      <c r="AG166" s="568" t="s">
        <v>376</v>
      </c>
      <c r="AH166" s="183">
        <v>45525</v>
      </c>
      <c r="AI166" s="1028">
        <v>0</v>
      </c>
      <c r="AJ166" s="1029">
        <v>4100</v>
      </c>
      <c r="AK166" s="1029">
        <v>8442.5</v>
      </c>
      <c r="AL166" s="1030">
        <v>0.22615840118190547</v>
      </c>
      <c r="AM166" s="536" t="s">
        <v>116</v>
      </c>
      <c r="AN166" s="801">
        <v>45581</v>
      </c>
      <c r="AO166" s="806">
        <v>11092361</v>
      </c>
      <c r="AP166" s="718">
        <v>455037.29</v>
      </c>
      <c r="AQ166" s="682"/>
      <c r="AR166" s="718">
        <v>105076.41</v>
      </c>
      <c r="AS166" s="538">
        <f>IF(Table15910[[#This Row],[PCTS Approved]]="N",0,Table15910[[#This Row],[Investment Amount (1'#'#'#'#'#)]]+Table15910[[#This Row],[Retirement Amount (3'#'#'#'#'#)]])</f>
        <v>560113.69999999995</v>
      </c>
      <c r="AT166" s="538">
        <f>IF(Table15910[[#This Row],[Approved Construction Cost]]=0,0,Table15910[[#This Row],[Approved Construction Cost]]-Table15910[[#This Row],[Construction Cost to Bill From]])</f>
        <v>5524.5299999999115</v>
      </c>
      <c r="AU166" s="538">
        <f>IFERROR(Table15910[[#This Row],[Difference in Construction Cost]]*Table15910[[#This Row],[Rate]],Table15910[[#This Row],[Difference in Construction Cost]]*0.085)</f>
        <v>552.45299999999122</v>
      </c>
      <c r="AV166" s="1357" t="s">
        <v>29</v>
      </c>
      <c r="AW166" s="1429" t="s">
        <v>6351</v>
      </c>
      <c r="AX166" s="555"/>
      <c r="AY166" s="1035" t="s">
        <v>709</v>
      </c>
      <c r="AZ166" s="443">
        <v>141</v>
      </c>
      <c r="BA166" s="1031" t="s">
        <v>1818</v>
      </c>
      <c r="BB166" s="644" t="s">
        <v>1819</v>
      </c>
      <c r="BC166" s="544" t="s">
        <v>115</v>
      </c>
      <c r="BD166" s="554" t="s">
        <v>115</v>
      </c>
      <c r="BE166" s="588" t="s">
        <v>6352</v>
      </c>
      <c r="BF166" s="588" t="s">
        <v>115</v>
      </c>
      <c r="BG166" s="588" t="s">
        <v>115</v>
      </c>
      <c r="BH166" s="615" t="s">
        <v>1820</v>
      </c>
      <c r="BI166" s="547" t="s">
        <v>709</v>
      </c>
      <c r="BJ166" s="547" t="s">
        <v>709</v>
      </c>
      <c r="BK166" s="547" t="s">
        <v>709</v>
      </c>
      <c r="BL166" s="547" t="s">
        <v>116</v>
      </c>
      <c r="BM166" s="547" t="s">
        <v>709</v>
      </c>
      <c r="BN166" s="547" t="s">
        <v>709</v>
      </c>
      <c r="BO166" s="547" t="s">
        <v>709</v>
      </c>
      <c r="BP166" s="626" t="s">
        <v>709</v>
      </c>
      <c r="BQ166" s="626" t="s">
        <v>709</v>
      </c>
      <c r="BR166" s="549" t="s">
        <v>709</v>
      </c>
      <c r="BS166" s="549">
        <v>1877</v>
      </c>
      <c r="BT166" s="547" t="s">
        <v>745</v>
      </c>
      <c r="BU166" s="547" t="s">
        <v>709</v>
      </c>
      <c r="BV166" s="547" t="s">
        <v>745</v>
      </c>
      <c r="BW166" s="547" t="s">
        <v>709</v>
      </c>
      <c r="BX166" s="547" t="s">
        <v>745</v>
      </c>
      <c r="BY166" s="547" t="s">
        <v>745</v>
      </c>
      <c r="BZ166" s="547" t="s">
        <v>709</v>
      </c>
      <c r="CA166" s="483"/>
    </row>
    <row r="167" spans="1:79" ht="15" hidden="1" customHeight="1" x14ac:dyDescent="0.25">
      <c r="A167" s="8" t="s">
        <v>800</v>
      </c>
      <c r="B167" s="8" t="s">
        <v>4</v>
      </c>
      <c r="C167" s="8" t="s">
        <v>6792</v>
      </c>
      <c r="D167" s="8" t="s">
        <v>6793</v>
      </c>
      <c r="E167" s="8" t="s">
        <v>3528</v>
      </c>
      <c r="F167" s="8" t="s">
        <v>784</v>
      </c>
      <c r="G167" s="8" t="s">
        <v>25</v>
      </c>
      <c r="H167" s="8" t="s">
        <v>59</v>
      </c>
      <c r="I167" s="642">
        <v>45163</v>
      </c>
      <c r="J167" s="18">
        <v>45625</v>
      </c>
      <c r="K167" s="18">
        <v>45623</v>
      </c>
      <c r="L167" s="16">
        <v>2</v>
      </c>
      <c r="M167" s="642"/>
      <c r="N167" s="99" t="s">
        <v>120</v>
      </c>
      <c r="O167" s="1060">
        <v>45627</v>
      </c>
      <c r="P167" s="1152" t="s">
        <v>739</v>
      </c>
      <c r="Q167" s="340">
        <v>255329.68899999998</v>
      </c>
      <c r="R167" s="1026">
        <v>0.1</v>
      </c>
      <c r="S167" s="538" t="s">
        <v>29</v>
      </c>
      <c r="T167" s="538" t="s">
        <v>29</v>
      </c>
      <c r="U167" s="28" t="s">
        <v>29</v>
      </c>
      <c r="V167" s="858">
        <v>9544</v>
      </c>
      <c r="W167" s="437">
        <v>0</v>
      </c>
      <c r="X167" s="552">
        <v>2253330.7599999998</v>
      </c>
      <c r="Y167" s="551"/>
      <c r="Z167" s="552">
        <v>299966.13</v>
      </c>
      <c r="AA167" s="552">
        <v>2553296.8899999997</v>
      </c>
      <c r="AB167" s="341">
        <v>45608</v>
      </c>
      <c r="AC167" s="569" t="s">
        <v>116</v>
      </c>
      <c r="AD167" s="1149" t="s">
        <v>29</v>
      </c>
      <c r="AE167" s="568" t="s">
        <v>756</v>
      </c>
      <c r="AF167" s="568" t="s">
        <v>29</v>
      </c>
      <c r="AG167" s="183" t="s">
        <v>116</v>
      </c>
      <c r="AH167" s="183">
        <v>45646</v>
      </c>
      <c r="AI167" s="1109">
        <v>0</v>
      </c>
      <c r="AJ167" s="1110">
        <v>17900</v>
      </c>
      <c r="AK167" s="1134">
        <v>56473.25</v>
      </c>
      <c r="AL167" s="1108">
        <v>0.29128320443769468</v>
      </c>
      <c r="AM167" s="536" t="s">
        <v>116</v>
      </c>
      <c r="AN167" s="801" t="s">
        <v>709</v>
      </c>
      <c r="AO167" s="601"/>
      <c r="AP167" s="572"/>
      <c r="AQ167" s="572"/>
      <c r="AR167" s="572"/>
      <c r="AS167" s="538">
        <f>IF(Table15910[[#This Row],[PCTS Approved]]="N",0,Table15910[[#This Row],[Investment Amount (1'#'#'#'#'#)]]+Table15910[[#This Row],[Retirement Amount (3'#'#'#'#'#)]])</f>
        <v>0</v>
      </c>
      <c r="AT167" s="538">
        <f>IF(Table15910[[#This Row],[Approved Construction Cost]]=0,0,Table15910[[#This Row],[Approved Construction Cost]]-Table15910[[#This Row],[Construction Cost to Bill From]])</f>
        <v>0</v>
      </c>
      <c r="AU167" s="538">
        <f>IFERROR(Table15910[[#This Row],[Difference in Construction Cost]]*Table15910[[#This Row],[Rate]],Table15910[[#This Row],[Difference in Construction Cost]]*0.085)</f>
        <v>0</v>
      </c>
      <c r="AV167" s="602"/>
      <c r="AW167" s="640"/>
      <c r="AX167" s="555"/>
      <c r="AY167" s="1035" t="s">
        <v>709</v>
      </c>
      <c r="AZ167" s="443"/>
      <c r="BA167" s="1031" t="s">
        <v>6794</v>
      </c>
      <c r="BB167" s="644" t="s">
        <v>4666</v>
      </c>
      <c r="BC167" s="544" t="s">
        <v>115</v>
      </c>
      <c r="BD167" s="559" t="s">
        <v>1066</v>
      </c>
      <c r="BE167" s="554" t="s">
        <v>6406</v>
      </c>
      <c r="BF167" s="588" t="s">
        <v>115</v>
      </c>
      <c r="BG167" s="588" t="s">
        <v>115</v>
      </c>
      <c r="BH167" s="615" t="s">
        <v>6795</v>
      </c>
      <c r="BI167" s="549" t="s">
        <v>709</v>
      </c>
      <c r="BJ167" s="549" t="s">
        <v>709</v>
      </c>
      <c r="BK167" s="549" t="s">
        <v>709</v>
      </c>
      <c r="BL167" s="547" t="s">
        <v>116</v>
      </c>
      <c r="BM167" s="549" t="s">
        <v>709</v>
      </c>
      <c r="BN167" s="549" t="s">
        <v>709</v>
      </c>
      <c r="BO167" s="549">
        <v>4</v>
      </c>
      <c r="BP167" s="549">
        <v>70</v>
      </c>
      <c r="BQ167" s="549">
        <v>1995</v>
      </c>
      <c r="BR167" s="549">
        <v>3648</v>
      </c>
      <c r="BS167" s="549">
        <v>3827</v>
      </c>
      <c r="BT167" s="549" t="s">
        <v>745</v>
      </c>
      <c r="BU167" s="549" t="s">
        <v>709</v>
      </c>
      <c r="BV167" s="549" t="s">
        <v>745</v>
      </c>
      <c r="BW167" s="549" t="s">
        <v>709</v>
      </c>
      <c r="BX167" s="549" t="s">
        <v>745</v>
      </c>
      <c r="BY167" s="549" t="s">
        <v>745</v>
      </c>
      <c r="BZ167" s="547" t="s">
        <v>709</v>
      </c>
      <c r="CA167" s="483"/>
    </row>
    <row r="168" spans="1:79" ht="15" hidden="1" customHeight="1" x14ac:dyDescent="0.25">
      <c r="A168" s="8" t="s">
        <v>800</v>
      </c>
      <c r="B168" s="8" t="s">
        <v>4</v>
      </c>
      <c r="C168" s="1497" t="s">
        <v>1730</v>
      </c>
      <c r="D168" s="8" t="s">
        <v>1731</v>
      </c>
      <c r="E168" s="8" t="s">
        <v>818</v>
      </c>
      <c r="F168" s="8" t="s">
        <v>851</v>
      </c>
      <c r="G168" s="8" t="s">
        <v>35</v>
      </c>
      <c r="H168" s="8" t="s">
        <v>59</v>
      </c>
      <c r="I168" s="642">
        <v>45293</v>
      </c>
      <c r="J168" s="18">
        <v>45401</v>
      </c>
      <c r="K168" s="97">
        <v>45357</v>
      </c>
      <c r="L168" s="16">
        <v>44</v>
      </c>
      <c r="M168" s="642"/>
      <c r="N168" s="642" t="s">
        <v>120</v>
      </c>
      <c r="O168" s="1060">
        <v>45352</v>
      </c>
      <c r="P168" s="1152" t="s">
        <v>739</v>
      </c>
      <c r="Q168" s="340">
        <v>18737.776999999998</v>
      </c>
      <c r="R168" s="1026">
        <v>0.1</v>
      </c>
      <c r="S168" s="538"/>
      <c r="T168" s="538"/>
      <c r="U168" s="87"/>
      <c r="V168" s="858">
        <v>247</v>
      </c>
      <c r="W168" s="437">
        <v>0</v>
      </c>
      <c r="X168" s="556">
        <v>163426.01999999999</v>
      </c>
      <c r="Y168" s="551"/>
      <c r="Z168" s="570">
        <v>23951.75</v>
      </c>
      <c r="AA168" s="552">
        <v>187377.77</v>
      </c>
      <c r="AB168" s="341">
        <v>45370</v>
      </c>
      <c r="AC168" s="569" t="s">
        <v>709</v>
      </c>
      <c r="AD168" s="1149" t="s">
        <v>29</v>
      </c>
      <c r="AE168" s="568" t="s">
        <v>756</v>
      </c>
      <c r="AF168" s="568" t="s">
        <v>29</v>
      </c>
      <c r="AG168" s="183" t="s">
        <v>376</v>
      </c>
      <c r="AH168" s="1120">
        <v>45406</v>
      </c>
      <c r="AI168" s="1028">
        <v>0</v>
      </c>
      <c r="AJ168" s="1029">
        <v>0</v>
      </c>
      <c r="AK168" s="1029">
        <v>4399</v>
      </c>
      <c r="AL168" s="1030">
        <v>0.23476637596871819</v>
      </c>
      <c r="AM168" s="536" t="s">
        <v>116</v>
      </c>
      <c r="AN168" s="801">
        <v>45553</v>
      </c>
      <c r="AO168" s="806">
        <v>11090968</v>
      </c>
      <c r="AP168" s="718">
        <v>165598.39999999999</v>
      </c>
      <c r="AQ168" s="682"/>
      <c r="AR168" s="718">
        <v>24994.65</v>
      </c>
      <c r="AS168" s="538">
        <f>IF(Table15910[[#This Row],[PCTS Approved]]="N",0,Table15910[[#This Row],[Investment Amount (1'#'#'#'#'#)]]+Table15910[[#This Row],[Retirement Amount (3'#'#'#'#'#)]])</f>
        <v>190593.05</v>
      </c>
      <c r="AT168" s="538">
        <f>IF(Table15910[[#This Row],[Approved Construction Cost]]=0,0,Table15910[[#This Row],[Approved Construction Cost]]-Table15910[[#This Row],[Construction Cost to Bill From]])</f>
        <v>3215.2799999999988</v>
      </c>
      <c r="AU168" s="538">
        <f>IFERROR(Table15910[[#This Row],[Difference in Construction Cost]]*Table15910[[#This Row],[Rate]],Table15910[[#This Row],[Difference in Construction Cost]]*0.085)</f>
        <v>321.52799999999991</v>
      </c>
      <c r="AV168" s="1357" t="s">
        <v>29</v>
      </c>
      <c r="AW168" s="1429" t="s">
        <v>6089</v>
      </c>
      <c r="AX168" s="555"/>
      <c r="AY168" s="1035" t="s">
        <v>709</v>
      </c>
      <c r="AZ168" s="443">
        <v>129</v>
      </c>
      <c r="BA168" s="1074" t="s">
        <v>1732</v>
      </c>
      <c r="BB168" s="644" t="s">
        <v>1733</v>
      </c>
      <c r="BC168" s="544" t="s">
        <v>115</v>
      </c>
      <c r="BD168" s="554" t="s">
        <v>115</v>
      </c>
      <c r="BE168" s="588" t="s">
        <v>822</v>
      </c>
      <c r="BF168" s="588" t="s">
        <v>115</v>
      </c>
      <c r="BG168" s="588" t="s">
        <v>115</v>
      </c>
      <c r="BH168" s="615" t="s">
        <v>1734</v>
      </c>
      <c r="BI168" s="547" t="s">
        <v>709</v>
      </c>
      <c r="BJ168" s="549" t="s">
        <v>709</v>
      </c>
      <c r="BK168" s="547" t="s">
        <v>709</v>
      </c>
      <c r="BL168" s="547" t="s">
        <v>709</v>
      </c>
      <c r="BM168" s="626" t="s">
        <v>709</v>
      </c>
      <c r="BN168" s="549" t="s">
        <v>709</v>
      </c>
      <c r="BO168" s="626" t="s">
        <v>709</v>
      </c>
      <c r="BP168" s="626" t="s">
        <v>709</v>
      </c>
      <c r="BQ168" s="549" t="s">
        <v>709</v>
      </c>
      <c r="BR168" s="549" t="s">
        <v>709</v>
      </c>
      <c r="BS168" s="549">
        <v>247</v>
      </c>
      <c r="BT168" s="549" t="s">
        <v>745</v>
      </c>
      <c r="BU168" s="549" t="s">
        <v>709</v>
      </c>
      <c r="BV168" s="549" t="s">
        <v>745</v>
      </c>
      <c r="BW168" s="549" t="s">
        <v>709</v>
      </c>
      <c r="BX168" s="547" t="s">
        <v>745</v>
      </c>
      <c r="BY168" s="549" t="s">
        <v>745</v>
      </c>
      <c r="BZ168" s="547" t="s">
        <v>709</v>
      </c>
      <c r="CA168" s="484"/>
    </row>
    <row r="169" spans="1:79" ht="15" hidden="1" customHeight="1" x14ac:dyDescent="0.25">
      <c r="A169" s="8" t="s">
        <v>800</v>
      </c>
      <c r="B169" s="8" t="s">
        <v>4</v>
      </c>
      <c r="C169" s="656" t="s">
        <v>1755</v>
      </c>
      <c r="D169" s="8" t="s">
        <v>1756</v>
      </c>
      <c r="E169" s="8" t="s">
        <v>239</v>
      </c>
      <c r="F169" s="8" t="s">
        <v>1757</v>
      </c>
      <c r="G169" s="8" t="s">
        <v>26</v>
      </c>
      <c r="H169" s="8" t="s">
        <v>59</v>
      </c>
      <c r="I169" s="642">
        <v>45233</v>
      </c>
      <c r="J169" s="18">
        <v>45369</v>
      </c>
      <c r="K169" s="97">
        <v>45369</v>
      </c>
      <c r="L169" s="16">
        <v>0</v>
      </c>
      <c r="M169" s="642"/>
      <c r="N169" s="642" t="s">
        <v>120</v>
      </c>
      <c r="O169" s="1060">
        <v>45352</v>
      </c>
      <c r="P169" s="1152" t="s">
        <v>739</v>
      </c>
      <c r="Q169" s="340">
        <v>92635.680999999997</v>
      </c>
      <c r="R169" s="1026">
        <v>0.1</v>
      </c>
      <c r="S169" s="538"/>
      <c r="T169" s="538"/>
      <c r="U169" s="87"/>
      <c r="V169" s="858">
        <v>2927</v>
      </c>
      <c r="W169" s="437">
        <v>0</v>
      </c>
      <c r="X169" s="556">
        <v>818439.95</v>
      </c>
      <c r="Y169" s="551"/>
      <c r="Z169" s="570">
        <v>107916.86</v>
      </c>
      <c r="AA169" s="552">
        <v>926356.80999999994</v>
      </c>
      <c r="AB169" s="341">
        <v>45366</v>
      </c>
      <c r="AC169" s="569" t="s">
        <v>709</v>
      </c>
      <c r="AD169" s="1149" t="s">
        <v>29</v>
      </c>
      <c r="AE169" s="568" t="s">
        <v>756</v>
      </c>
      <c r="AF169" s="568" t="s">
        <v>116</v>
      </c>
      <c r="AG169" s="568" t="s">
        <v>376</v>
      </c>
      <c r="AH169" s="183">
        <v>45406</v>
      </c>
      <c r="AI169" s="1028" t="s">
        <v>6230</v>
      </c>
      <c r="AJ169" s="1029">
        <v>10040</v>
      </c>
      <c r="AK169" s="1029">
        <v>7499.5</v>
      </c>
      <c r="AL169" s="1030">
        <v>0.18933849042465614</v>
      </c>
      <c r="AM169" s="536" t="s">
        <v>116</v>
      </c>
      <c r="AN169" s="801">
        <v>45741</v>
      </c>
      <c r="AO169" s="806">
        <v>11100501</v>
      </c>
      <c r="AP169" s="718">
        <v>834213.38</v>
      </c>
      <c r="AQ169" s="682"/>
      <c r="AR169" s="718">
        <v>111023.94</v>
      </c>
      <c r="AS169" s="538">
        <f>IF(Table15910[[#This Row],[PCTS Approved]]="N",0,Table15910[[#This Row],[Investment Amount (1'#'#'#'#'#)]]+Table15910[[#This Row],[Retirement Amount (3'#'#'#'#'#)]])</f>
        <v>945237.32000000007</v>
      </c>
      <c r="AT169" s="538">
        <f>IF(Table15910[[#This Row],[Approved Construction Cost]]=0,0,Table15910[[#This Row],[Approved Construction Cost]]-Table15910[[#This Row],[Construction Cost to Bill From]])</f>
        <v>18880.510000000126</v>
      </c>
      <c r="AU169" s="538">
        <f>IFERROR(Table15910[[#This Row],[Difference in Construction Cost]]*Table15910[[#This Row],[Rate]],Table15910[[#This Row],[Difference in Construction Cost]]*0.085)</f>
        <v>1888.0510000000127</v>
      </c>
      <c r="AV169" s="1311" t="s">
        <v>29</v>
      </c>
      <c r="AW169" s="1431" t="s">
        <v>6231</v>
      </c>
      <c r="AX169" s="555"/>
      <c r="AY169" s="1035" t="s">
        <v>709</v>
      </c>
      <c r="AZ169" s="443">
        <v>132</v>
      </c>
      <c r="BA169" s="1074" t="s">
        <v>1758</v>
      </c>
      <c r="BB169" s="644" t="s">
        <v>805</v>
      </c>
      <c r="BC169" s="559" t="s">
        <v>116</v>
      </c>
      <c r="BD169" s="554" t="s">
        <v>115</v>
      </c>
      <c r="BE169" s="588" t="s">
        <v>807</v>
      </c>
      <c r="BF169" s="588" t="s">
        <v>115</v>
      </c>
      <c r="BG169" s="548" t="s">
        <v>1759</v>
      </c>
      <c r="BH169" s="615" t="s">
        <v>1760</v>
      </c>
      <c r="BI169" s="547" t="s">
        <v>709</v>
      </c>
      <c r="BJ169" s="549" t="s">
        <v>709</v>
      </c>
      <c r="BK169" s="547" t="s">
        <v>709</v>
      </c>
      <c r="BL169" s="547" t="s">
        <v>116</v>
      </c>
      <c r="BM169" s="626" t="s">
        <v>709</v>
      </c>
      <c r="BN169" s="549" t="s">
        <v>709</v>
      </c>
      <c r="BO169" s="626" t="s">
        <v>709</v>
      </c>
      <c r="BP169" s="626" t="s">
        <v>709</v>
      </c>
      <c r="BQ169" s="549">
        <v>86</v>
      </c>
      <c r="BR169" s="549">
        <v>242</v>
      </c>
      <c r="BS169" s="549">
        <v>2599</v>
      </c>
      <c r="BT169" s="549" t="s">
        <v>709</v>
      </c>
      <c r="BU169" s="549" t="s">
        <v>709</v>
      </c>
      <c r="BV169" s="549" t="s">
        <v>709</v>
      </c>
      <c r="BW169" s="549" t="s">
        <v>709</v>
      </c>
      <c r="BX169" s="547" t="s">
        <v>709</v>
      </c>
      <c r="BY169" s="549" t="s">
        <v>709</v>
      </c>
      <c r="BZ169" s="547" t="s">
        <v>709</v>
      </c>
      <c r="CA169" s="483"/>
    </row>
    <row r="170" spans="1:79" ht="15" hidden="1" customHeight="1" x14ac:dyDescent="0.25">
      <c r="A170" s="8" t="s">
        <v>800</v>
      </c>
      <c r="B170" s="8" t="s">
        <v>4</v>
      </c>
      <c r="C170" s="8" t="s">
        <v>1825</v>
      </c>
      <c r="D170" s="8" t="s">
        <v>1826</v>
      </c>
      <c r="E170" s="8" t="s">
        <v>1827</v>
      </c>
      <c r="F170" s="8" t="s">
        <v>1102</v>
      </c>
      <c r="G170" s="8" t="s">
        <v>6854</v>
      </c>
      <c r="H170" s="8" t="s">
        <v>59</v>
      </c>
      <c r="I170" s="642">
        <v>45369</v>
      </c>
      <c r="J170" s="18">
        <v>45450</v>
      </c>
      <c r="K170" s="97">
        <v>45449</v>
      </c>
      <c r="L170" s="16">
        <v>1</v>
      </c>
      <c r="M170" s="642"/>
      <c r="N170" s="642" t="s">
        <v>120</v>
      </c>
      <c r="O170" s="1060">
        <v>45444</v>
      </c>
      <c r="P170" s="1152" t="s">
        <v>739</v>
      </c>
      <c r="Q170" s="340">
        <v>77953.919000000009</v>
      </c>
      <c r="R170" s="1026">
        <v>0.1</v>
      </c>
      <c r="S170" s="538"/>
      <c r="T170" s="538"/>
      <c r="U170" s="87"/>
      <c r="V170" s="858">
        <v>4962</v>
      </c>
      <c r="W170" s="437">
        <v>0</v>
      </c>
      <c r="X170" s="538">
        <v>642426.15</v>
      </c>
      <c r="Y170" s="551"/>
      <c r="Z170" s="552">
        <v>137113.04</v>
      </c>
      <c r="AA170" s="552">
        <v>779539.19000000006</v>
      </c>
      <c r="AB170" s="341">
        <v>45447</v>
      </c>
      <c r="AC170" s="569" t="s">
        <v>709</v>
      </c>
      <c r="AD170" s="1149" t="s">
        <v>29</v>
      </c>
      <c r="AE170" s="568" t="s">
        <v>116</v>
      </c>
      <c r="AF170" s="568" t="s">
        <v>116</v>
      </c>
      <c r="AG170" s="568" t="s">
        <v>376</v>
      </c>
      <c r="AH170" s="183">
        <v>45525</v>
      </c>
      <c r="AI170" s="1028">
        <v>0</v>
      </c>
      <c r="AJ170" s="1029">
        <v>5525</v>
      </c>
      <c r="AK170" s="1029">
        <v>7000</v>
      </c>
      <c r="AL170" s="1030">
        <v>0.16067184511916582</v>
      </c>
      <c r="AM170" s="536" t="s">
        <v>116</v>
      </c>
      <c r="AN170" s="801">
        <v>45853</v>
      </c>
      <c r="AO170" s="806">
        <v>11099033</v>
      </c>
      <c r="AP170" s="718">
        <v>655570.07999999996</v>
      </c>
      <c r="AQ170" s="682"/>
      <c r="AR170" s="718">
        <v>95784.9</v>
      </c>
      <c r="AS170" s="538">
        <f>IF(Table15910[[#This Row],[PCTS Approved]]="N",0,Table15910[[#This Row],[Investment Amount (1'#'#'#'#'#)]]+Table15910[[#This Row],[Retirement Amount (3'#'#'#'#'#)]])</f>
        <v>751354.98</v>
      </c>
      <c r="AT170" s="538">
        <f>IF(Table15910[[#This Row],[Approved Construction Cost]]=0,0,Table15910[[#This Row],[Approved Construction Cost]]-Table15910[[#This Row],[Construction Cost to Bill From]])</f>
        <v>-28184.210000000079</v>
      </c>
      <c r="AU170" s="538">
        <f>IFERROR(Table15910[[#This Row],[Difference in Construction Cost]]*Table15910[[#This Row],[Rate]],Table15910[[#This Row],[Difference in Construction Cost]]*0.085)</f>
        <v>-2818.421000000008</v>
      </c>
      <c r="AV170" s="1311">
        <v>9770</v>
      </c>
      <c r="AW170" s="1429" t="s">
        <v>9184</v>
      </c>
      <c r="AX170" s="555"/>
      <c r="AY170" s="1035" t="s">
        <v>709</v>
      </c>
      <c r="AZ170" s="443">
        <v>144</v>
      </c>
      <c r="BA170" s="1031" t="s">
        <v>1828</v>
      </c>
      <c r="BB170" s="644" t="s">
        <v>1829</v>
      </c>
      <c r="BC170" s="544" t="s">
        <v>115</v>
      </c>
      <c r="BD170" s="554" t="s">
        <v>757</v>
      </c>
      <c r="BE170" s="588" t="s">
        <v>1830</v>
      </c>
      <c r="BF170" s="588" t="s">
        <v>115</v>
      </c>
      <c r="BG170" s="588" t="s">
        <v>115</v>
      </c>
      <c r="BH170" s="615" t="s">
        <v>1831</v>
      </c>
      <c r="BI170" s="547" t="s">
        <v>709</v>
      </c>
      <c r="BJ170" s="547" t="s">
        <v>709</v>
      </c>
      <c r="BK170" s="547" t="s">
        <v>709</v>
      </c>
      <c r="BL170" s="547" t="s">
        <v>116</v>
      </c>
      <c r="BM170" s="547" t="s">
        <v>709</v>
      </c>
      <c r="BN170" s="547" t="s">
        <v>709</v>
      </c>
      <c r="BO170" s="547" t="s">
        <v>709</v>
      </c>
      <c r="BP170" s="626" t="s">
        <v>709</v>
      </c>
      <c r="BQ170" s="626" t="s">
        <v>709</v>
      </c>
      <c r="BR170" s="549" t="s">
        <v>116</v>
      </c>
      <c r="BS170" s="549" t="s">
        <v>709</v>
      </c>
      <c r="BT170" s="547" t="s">
        <v>709</v>
      </c>
      <c r="BU170" s="547" t="s">
        <v>709</v>
      </c>
      <c r="BV170" s="547" t="s">
        <v>709</v>
      </c>
      <c r="BW170" s="547" t="s">
        <v>709</v>
      </c>
      <c r="BX170" s="547" t="s">
        <v>709</v>
      </c>
      <c r="BY170" s="547" t="s">
        <v>709</v>
      </c>
      <c r="BZ170" s="547" t="s">
        <v>709</v>
      </c>
      <c r="CA170" s="483" t="s">
        <v>1146</v>
      </c>
    </row>
    <row r="171" spans="1:79" ht="15" hidden="1" customHeight="1" x14ac:dyDescent="0.25">
      <c r="A171" s="8" t="s">
        <v>800</v>
      </c>
      <c r="B171" s="8" t="s">
        <v>4</v>
      </c>
      <c r="C171" s="1458" t="s">
        <v>1832</v>
      </c>
      <c r="D171" s="8" t="s">
        <v>1833</v>
      </c>
      <c r="E171" s="8" t="s">
        <v>1149</v>
      </c>
      <c r="F171" s="8" t="s">
        <v>851</v>
      </c>
      <c r="G171" s="8" t="s">
        <v>6377</v>
      </c>
      <c r="H171" s="8" t="s">
        <v>59</v>
      </c>
      <c r="I171" s="642">
        <v>45335</v>
      </c>
      <c r="J171" s="18">
        <v>45464</v>
      </c>
      <c r="K171" s="97">
        <v>45454</v>
      </c>
      <c r="L171" s="16">
        <v>10</v>
      </c>
      <c r="M171" s="642"/>
      <c r="N171" s="642" t="s">
        <v>120</v>
      </c>
      <c r="O171" s="1060">
        <v>45444</v>
      </c>
      <c r="P171" s="1152" t="s">
        <v>739</v>
      </c>
      <c r="Q171" s="340">
        <v>11886.872000000001</v>
      </c>
      <c r="R171" s="1026">
        <v>0.1</v>
      </c>
      <c r="S171" s="538"/>
      <c r="T171" s="538"/>
      <c r="U171" s="87"/>
      <c r="V171" s="858">
        <v>58</v>
      </c>
      <c r="W171" s="437">
        <v>0</v>
      </c>
      <c r="X171" s="538">
        <v>93888.57</v>
      </c>
      <c r="Y171" s="551"/>
      <c r="Z171" s="552">
        <v>24980.15</v>
      </c>
      <c r="AA171" s="552">
        <v>118868.72</v>
      </c>
      <c r="AB171" s="341">
        <v>45447</v>
      </c>
      <c r="AC171" s="569" t="s">
        <v>709</v>
      </c>
      <c r="AD171" s="1149" t="s">
        <v>29</v>
      </c>
      <c r="AE171" s="568" t="s">
        <v>116</v>
      </c>
      <c r="AF171" s="568" t="s">
        <v>116</v>
      </c>
      <c r="AG171" s="569" t="s">
        <v>376</v>
      </c>
      <c r="AH171" s="183">
        <v>45567</v>
      </c>
      <c r="AI171" s="1028">
        <v>0</v>
      </c>
      <c r="AJ171" s="1029">
        <v>2400</v>
      </c>
      <c r="AK171" s="1029">
        <v>3650</v>
      </c>
      <c r="AL171" s="1030">
        <v>0.5089648479431762</v>
      </c>
      <c r="AM171" s="536" t="s">
        <v>116</v>
      </c>
      <c r="AN171" s="801">
        <v>45517</v>
      </c>
      <c r="AO171" s="806">
        <v>11089236</v>
      </c>
      <c r="AP171" s="718">
        <v>95227.15</v>
      </c>
      <c r="AQ171" s="682"/>
      <c r="AR171" s="718">
        <v>24980.15</v>
      </c>
      <c r="AS171" s="538">
        <f>IF(Table15910[[#This Row],[PCTS Approved]]="N",0,Table15910[[#This Row],[Investment Amount (1'#'#'#'#'#)]]+Table15910[[#This Row],[Retirement Amount (3'#'#'#'#'#)]])</f>
        <v>120207.29999999999</v>
      </c>
      <c r="AT171" s="538">
        <f>IF(Table15910[[#This Row],[Approved Construction Cost]]=0,0,Table15910[[#This Row],[Approved Construction Cost]]-Table15910[[#This Row],[Construction Cost to Bill From]])</f>
        <v>1338.5799999999872</v>
      </c>
      <c r="AU171" s="538">
        <f>IFERROR(Table15910[[#This Row],[Difference in Construction Cost]]*Table15910[[#This Row],[Rate]],Table15910[[#This Row],[Difference in Construction Cost]]*0.085)</f>
        <v>133.85799999999873</v>
      </c>
      <c r="AV171" s="1357" t="s">
        <v>29</v>
      </c>
      <c r="AW171" s="1358" t="s">
        <v>6381</v>
      </c>
      <c r="AX171" s="555"/>
      <c r="AY171" s="1035" t="s">
        <v>709</v>
      </c>
      <c r="AZ171" s="443">
        <v>145</v>
      </c>
      <c r="BA171" s="1031" t="s">
        <v>1834</v>
      </c>
      <c r="BB171" s="644" t="s">
        <v>870</v>
      </c>
      <c r="BC171" s="559" t="s">
        <v>116</v>
      </c>
      <c r="BD171" s="554" t="s">
        <v>115</v>
      </c>
      <c r="BE171" s="588" t="s">
        <v>1835</v>
      </c>
      <c r="BF171" s="588" t="s">
        <v>1835</v>
      </c>
      <c r="BG171" s="588" t="s">
        <v>115</v>
      </c>
      <c r="BH171" s="615" t="s">
        <v>1836</v>
      </c>
      <c r="BI171" s="547" t="s">
        <v>709</v>
      </c>
      <c r="BJ171" s="547" t="s">
        <v>709</v>
      </c>
      <c r="BK171" s="547" t="s">
        <v>709</v>
      </c>
      <c r="BL171" s="547" t="s">
        <v>116</v>
      </c>
      <c r="BM171" s="547" t="s">
        <v>709</v>
      </c>
      <c r="BN171" s="547" t="s">
        <v>709</v>
      </c>
      <c r="BO171" s="547" t="s">
        <v>709</v>
      </c>
      <c r="BP171" s="626" t="s">
        <v>709</v>
      </c>
      <c r="BQ171" s="626" t="s">
        <v>709</v>
      </c>
      <c r="BR171" s="549" t="s">
        <v>709</v>
      </c>
      <c r="BS171" s="549" t="s">
        <v>116</v>
      </c>
      <c r="BT171" s="547" t="s">
        <v>709</v>
      </c>
      <c r="BU171" s="547" t="s">
        <v>709</v>
      </c>
      <c r="BV171" s="547" t="s">
        <v>709</v>
      </c>
      <c r="BW171" s="547" t="s">
        <v>709</v>
      </c>
      <c r="BX171" s="547" t="s">
        <v>709</v>
      </c>
      <c r="BY171" s="547" t="s">
        <v>709</v>
      </c>
      <c r="BZ171" s="547" t="s">
        <v>709</v>
      </c>
      <c r="CA171" s="483"/>
    </row>
    <row r="172" spans="1:79" s="879" customFormat="1" ht="15" hidden="1" customHeight="1" x14ac:dyDescent="0.25">
      <c r="A172" s="8" t="s">
        <v>6816</v>
      </c>
      <c r="B172" s="8" t="s">
        <v>4</v>
      </c>
      <c r="C172" s="8" t="s">
        <v>6872</v>
      </c>
      <c r="D172" s="8" t="s">
        <v>6873</v>
      </c>
      <c r="E172" s="8" t="s">
        <v>232</v>
      </c>
      <c r="F172" s="8" t="s">
        <v>6874</v>
      </c>
      <c r="G172" s="8" t="s">
        <v>26</v>
      </c>
      <c r="H172" s="8" t="s">
        <v>59</v>
      </c>
      <c r="I172" s="642">
        <v>45587</v>
      </c>
      <c r="J172" s="18">
        <v>45657</v>
      </c>
      <c r="K172" s="18">
        <v>45646</v>
      </c>
      <c r="L172" s="16">
        <v>11</v>
      </c>
      <c r="M172"/>
      <c r="N172" s="99" t="s">
        <v>120</v>
      </c>
      <c r="O172" s="1060">
        <v>45627</v>
      </c>
      <c r="P172" s="1152" t="s">
        <v>739</v>
      </c>
      <c r="Q172" s="340">
        <v>51063.691000000006</v>
      </c>
      <c r="R172" s="1026">
        <v>0.1</v>
      </c>
      <c r="S172" s="538" t="s">
        <v>29</v>
      </c>
      <c r="T172" s="538" t="s">
        <v>29</v>
      </c>
      <c r="U172" s="28" t="s">
        <v>29</v>
      </c>
      <c r="V172" s="858">
        <v>233</v>
      </c>
      <c r="W172" s="343" t="s">
        <v>29</v>
      </c>
      <c r="X172" s="538">
        <v>441920</v>
      </c>
      <c r="Y172" s="550"/>
      <c r="Z172" s="552">
        <v>68716.91</v>
      </c>
      <c r="AA172" s="552">
        <v>510636.91000000003</v>
      </c>
      <c r="AB172" s="341">
        <v>45660</v>
      </c>
      <c r="AC172" s="569" t="s">
        <v>29</v>
      </c>
      <c r="AD172" s="1149" t="s">
        <v>29</v>
      </c>
      <c r="AE172" s="568" t="s">
        <v>116</v>
      </c>
      <c r="AF172" s="568" t="s">
        <v>116</v>
      </c>
      <c r="AG172" s="183" t="s">
        <v>116</v>
      </c>
      <c r="AH172" s="183">
        <v>45672</v>
      </c>
      <c r="AI172" s="1109">
        <v>0</v>
      </c>
      <c r="AJ172" s="1110">
        <v>1586.48</v>
      </c>
      <c r="AK172" s="1134">
        <v>5647.25</v>
      </c>
      <c r="AL172" s="1108">
        <v>0.14166093085593828</v>
      </c>
      <c r="AM172" s="536" t="s">
        <v>116</v>
      </c>
      <c r="AN172" s="801">
        <v>45722</v>
      </c>
      <c r="AO172" s="806">
        <v>11099259</v>
      </c>
      <c r="AP172" s="718">
        <v>441920</v>
      </c>
      <c r="AQ172" s="682"/>
      <c r="AR172" s="718">
        <v>68716.91</v>
      </c>
      <c r="AS172" s="538">
        <f>IF(Table15910[[#This Row],[PCTS Approved]]="N",0,Table15910[[#This Row],[Investment Amount (1'#'#'#'#'#)]]+Table15910[[#This Row],[Retirement Amount (3'#'#'#'#'#)]])</f>
        <v>510636.91000000003</v>
      </c>
      <c r="AT172" s="538">
        <f>IF(Table15910[[#This Row],[Approved Construction Cost]]=0,0,Table15910[[#This Row],[Approved Construction Cost]]-Table15910[[#This Row],[Construction Cost to Bill From]])</f>
        <v>0</v>
      </c>
      <c r="AU172" s="538">
        <f>IFERROR(Table15910[[#This Row],[Difference in Construction Cost]]*Table15910[[#This Row],[Rate]],Table15910[[#This Row],[Difference in Construction Cost]]*0.085)</f>
        <v>0</v>
      </c>
      <c r="AV172" s="1311" t="s">
        <v>29</v>
      </c>
      <c r="AW172" s="1429" t="s">
        <v>9178</v>
      </c>
      <c r="AX172" s="555"/>
      <c r="AY172" s="1035" t="s">
        <v>709</v>
      </c>
      <c r="AZ172" s="443"/>
      <c r="BA172" s="1031" t="s">
        <v>6875</v>
      </c>
      <c r="BB172" s="644" t="s">
        <v>4987</v>
      </c>
      <c r="BC172" s="559" t="s">
        <v>116</v>
      </c>
      <c r="BD172" s="554" t="s">
        <v>115</v>
      </c>
      <c r="BE172" s="554" t="s">
        <v>595</v>
      </c>
      <c r="BF172" s="588" t="s">
        <v>115</v>
      </c>
      <c r="BG172" s="588" t="s">
        <v>115</v>
      </c>
      <c r="BH172" s="615" t="s">
        <v>6876</v>
      </c>
      <c r="BI172" s="549" t="s">
        <v>709</v>
      </c>
      <c r="BJ172" s="549" t="s">
        <v>709</v>
      </c>
      <c r="BK172" s="549" t="s">
        <v>709</v>
      </c>
      <c r="BL172" s="547" t="s">
        <v>116</v>
      </c>
      <c r="BM172" s="549" t="s">
        <v>709</v>
      </c>
      <c r="BN172" s="549" t="s">
        <v>709</v>
      </c>
      <c r="BO172" s="549" t="s">
        <v>709</v>
      </c>
      <c r="BP172" s="549" t="s">
        <v>709</v>
      </c>
      <c r="BQ172" s="549">
        <v>109</v>
      </c>
      <c r="BR172" s="549" t="s">
        <v>116</v>
      </c>
      <c r="BS172" s="549">
        <v>124</v>
      </c>
      <c r="BT172" s="549" t="s">
        <v>709</v>
      </c>
      <c r="BU172" s="549" t="s">
        <v>709</v>
      </c>
      <c r="BV172" s="549" t="s">
        <v>709</v>
      </c>
      <c r="BW172" s="549" t="s">
        <v>709</v>
      </c>
      <c r="BX172" s="549" t="s">
        <v>709</v>
      </c>
      <c r="BY172" s="549" t="s">
        <v>709</v>
      </c>
      <c r="BZ172" s="547" t="s">
        <v>709</v>
      </c>
      <c r="CA172" s="483"/>
    </row>
    <row r="173" spans="1:79" s="879" customFormat="1" ht="15" hidden="1" customHeight="1" x14ac:dyDescent="0.25">
      <c r="A173" s="8" t="s">
        <v>749</v>
      </c>
      <c r="B173" s="8" t="s">
        <v>4</v>
      </c>
      <c r="C173" s="8" t="s">
        <v>1678</v>
      </c>
      <c r="D173" s="8" t="s">
        <v>1679</v>
      </c>
      <c r="E173" s="8" t="s">
        <v>1680</v>
      </c>
      <c r="F173" s="8" t="s">
        <v>851</v>
      </c>
      <c r="G173" s="8" t="s">
        <v>25</v>
      </c>
      <c r="H173" s="8" t="s">
        <v>1681</v>
      </c>
      <c r="I173" s="642">
        <v>45135</v>
      </c>
      <c r="J173" s="18">
        <v>45275</v>
      </c>
      <c r="K173" s="97">
        <v>45259</v>
      </c>
      <c r="L173" s="16">
        <v>16</v>
      </c>
      <c r="M173" s="642" t="s">
        <v>1682</v>
      </c>
      <c r="N173" s="642" t="s">
        <v>120</v>
      </c>
      <c r="O173" s="1060">
        <v>45261</v>
      </c>
      <c r="P173" s="1152" t="s">
        <v>739</v>
      </c>
      <c r="Q173" s="340">
        <v>10853.37</v>
      </c>
      <c r="R173" s="1026">
        <v>0.1</v>
      </c>
      <c r="S173" s="538"/>
      <c r="T173" s="538"/>
      <c r="U173" s="87"/>
      <c r="V173" s="858">
        <v>0</v>
      </c>
      <c r="W173" s="437">
        <v>0</v>
      </c>
      <c r="X173" s="538">
        <v>76598.83</v>
      </c>
      <c r="Y173" s="551"/>
      <c r="Z173" s="552">
        <v>31934.87</v>
      </c>
      <c r="AA173" s="552">
        <v>108533.7</v>
      </c>
      <c r="AB173" s="341">
        <v>45238</v>
      </c>
      <c r="AC173" s="568" t="s">
        <v>29</v>
      </c>
      <c r="AD173" s="1157" t="s">
        <v>29</v>
      </c>
      <c r="AE173" s="568" t="s">
        <v>116</v>
      </c>
      <c r="AF173" s="568" t="s">
        <v>29</v>
      </c>
      <c r="AG173" s="568" t="s">
        <v>29</v>
      </c>
      <c r="AH173" s="183">
        <v>45447</v>
      </c>
      <c r="AI173" s="1036"/>
      <c r="AJ173" s="1037"/>
      <c r="AK173" s="1037"/>
      <c r="AL173" s="1038"/>
      <c r="AM173" s="536" t="s">
        <v>116</v>
      </c>
      <c r="AN173" s="801" t="s">
        <v>709</v>
      </c>
      <c r="AO173" s="601"/>
      <c r="AP173" s="572"/>
      <c r="AQ173" s="572"/>
      <c r="AR173" s="572"/>
      <c r="AS173" s="538">
        <f>IF(Table15910[[#This Row],[PCTS Approved]]="N",0,Table15910[[#This Row],[Investment Amount (1'#'#'#'#'#)]]+Table15910[[#This Row],[Retirement Amount (3'#'#'#'#'#)]])</f>
        <v>0</v>
      </c>
      <c r="AT173" s="538">
        <f>IF(Table15910[[#This Row],[Approved Construction Cost]]=0,0,Table15910[[#This Row],[Approved Construction Cost]]-Table15910[[#This Row],[Construction Cost to Bill From]])</f>
        <v>0</v>
      </c>
      <c r="AU173" s="538">
        <f>IFERROR(Table15910[[#This Row],[Difference in Construction Cost]]*Table15910[[#This Row],[Rate]],Table15910[[#This Row],[Difference in Construction Cost]]*0.085)</f>
        <v>0</v>
      </c>
      <c r="AV173" s="602"/>
      <c r="AW173" s="640"/>
      <c r="AX173" s="555"/>
      <c r="AY173" s="1035" t="s">
        <v>709</v>
      </c>
      <c r="AZ173" s="443">
        <v>109</v>
      </c>
      <c r="BA173" s="1076" t="s">
        <v>1683</v>
      </c>
      <c r="BB173" s="653" t="s">
        <v>1684</v>
      </c>
      <c r="BC173" s="544" t="s">
        <v>116</v>
      </c>
      <c r="BD173" s="544" t="s">
        <v>788</v>
      </c>
      <c r="BE173" s="559" t="s">
        <v>1684</v>
      </c>
      <c r="BF173" s="554" t="s">
        <v>709</v>
      </c>
      <c r="BG173" s="548" t="s">
        <v>709</v>
      </c>
      <c r="BH173" s="749" t="s">
        <v>1685</v>
      </c>
      <c r="BI173" s="547" t="s">
        <v>709</v>
      </c>
      <c r="BJ173" s="547" t="s">
        <v>709</v>
      </c>
      <c r="BK173" s="547" t="s">
        <v>709</v>
      </c>
      <c r="BL173" s="547" t="s">
        <v>116</v>
      </c>
      <c r="BM173" s="547" t="s">
        <v>709</v>
      </c>
      <c r="BN173" s="547" t="s">
        <v>709</v>
      </c>
      <c r="BO173" s="547" t="s">
        <v>709</v>
      </c>
      <c r="BP173" s="547" t="s">
        <v>709</v>
      </c>
      <c r="BQ173" s="547" t="s">
        <v>709</v>
      </c>
      <c r="BR173" s="547" t="s">
        <v>709</v>
      </c>
      <c r="BS173" s="547">
        <v>87</v>
      </c>
      <c r="BT173" s="547" t="s">
        <v>709</v>
      </c>
      <c r="BU173" s="547" t="s">
        <v>709</v>
      </c>
      <c r="BV173" s="547" t="s">
        <v>709</v>
      </c>
      <c r="BW173" s="547" t="s">
        <v>709</v>
      </c>
      <c r="BX173" s="547" t="s">
        <v>709</v>
      </c>
      <c r="BY173" s="547" t="s">
        <v>709</v>
      </c>
      <c r="BZ173" s="547" t="s">
        <v>709</v>
      </c>
      <c r="CA173" s="483" t="s">
        <v>1146</v>
      </c>
    </row>
    <row r="174" spans="1:79" s="879" customFormat="1" ht="15" hidden="1" customHeight="1" x14ac:dyDescent="0.25">
      <c r="A174" s="8" t="s">
        <v>800</v>
      </c>
      <c r="B174" s="8" t="s">
        <v>4</v>
      </c>
      <c r="C174" s="1458" t="s">
        <v>6480</v>
      </c>
      <c r="D174" s="8" t="s">
        <v>6481</v>
      </c>
      <c r="E174" s="8" t="s">
        <v>6482</v>
      </c>
      <c r="F174" s="8" t="s">
        <v>1102</v>
      </c>
      <c r="G174" s="8" t="s">
        <v>31</v>
      </c>
      <c r="H174" s="8" t="s">
        <v>413</v>
      </c>
      <c r="I174" s="642">
        <v>45380</v>
      </c>
      <c r="J174" s="18">
        <v>45513</v>
      </c>
      <c r="K174" s="97">
        <v>45506</v>
      </c>
      <c r="L174" s="16">
        <v>7</v>
      </c>
      <c r="M174" s="642"/>
      <c r="N174" s="99" t="s">
        <v>120</v>
      </c>
      <c r="O174" s="1060">
        <v>45505</v>
      </c>
      <c r="P174" s="1152" t="s">
        <v>739</v>
      </c>
      <c r="Q174" s="340">
        <v>106046.621</v>
      </c>
      <c r="R174" s="1026">
        <v>0.1</v>
      </c>
      <c r="S174" s="538" t="s">
        <v>29</v>
      </c>
      <c r="T174" s="538" t="s">
        <v>29</v>
      </c>
      <c r="U174" s="28" t="s">
        <v>29</v>
      </c>
      <c r="V174" s="858">
        <v>3818</v>
      </c>
      <c r="W174" s="437">
        <v>0</v>
      </c>
      <c r="X174" s="538">
        <v>897800.8</v>
      </c>
      <c r="Y174" s="550"/>
      <c r="Z174" s="552">
        <v>162665.41</v>
      </c>
      <c r="AA174" s="552">
        <v>1060466.21</v>
      </c>
      <c r="AB174" s="341">
        <v>45490</v>
      </c>
      <c r="AC174" s="569" t="s">
        <v>709</v>
      </c>
      <c r="AD174" s="1149" t="s">
        <v>29</v>
      </c>
      <c r="AE174" s="568" t="s">
        <v>116</v>
      </c>
      <c r="AF174" s="568" t="s">
        <v>116</v>
      </c>
      <c r="AG174" s="568" t="s">
        <v>376</v>
      </c>
      <c r="AH174" s="183">
        <v>45567</v>
      </c>
      <c r="AI174" s="1125">
        <v>0</v>
      </c>
      <c r="AJ174" s="1110">
        <v>16760</v>
      </c>
      <c r="AK174" s="1126">
        <v>12867</v>
      </c>
      <c r="AL174" s="1108">
        <v>0.27937712414240901</v>
      </c>
      <c r="AM174" s="536" t="s">
        <v>116</v>
      </c>
      <c r="AN174" s="801">
        <v>45532</v>
      </c>
      <c r="AO174" s="806">
        <v>11089908</v>
      </c>
      <c r="AP174" s="718">
        <v>897800.8</v>
      </c>
      <c r="AQ174" s="682"/>
      <c r="AR174" s="718">
        <v>162665.41</v>
      </c>
      <c r="AS174" s="538">
        <f>IF(Table15910[[#This Row],[PCTS Approved]]="N",0,Table15910[[#This Row],[Investment Amount (1'#'#'#'#'#)]]+Table15910[[#This Row],[Retirement Amount (3'#'#'#'#'#)]])</f>
        <v>1060466.21</v>
      </c>
      <c r="AT174" s="538">
        <f>IF(Table15910[[#This Row],[Approved Construction Cost]]=0,0,Table15910[[#This Row],[Approved Construction Cost]]-Table15910[[#This Row],[Construction Cost to Bill From]])</f>
        <v>0</v>
      </c>
      <c r="AU174" s="538">
        <f>IFERROR(Table15910[[#This Row],[Difference in Construction Cost]]*Table15910[[#This Row],[Rate]],Table15910[[#This Row],[Difference in Construction Cost]]*0.085)</f>
        <v>0</v>
      </c>
      <c r="AV174" s="1357" t="s">
        <v>29</v>
      </c>
      <c r="AW174" s="1357" t="s">
        <v>29</v>
      </c>
      <c r="AX174" s="555"/>
      <c r="AY174" s="1035" t="s">
        <v>709</v>
      </c>
      <c r="AZ174" s="443"/>
      <c r="BA174" s="1031" t="s">
        <v>6483</v>
      </c>
      <c r="BB174" s="644" t="s">
        <v>5767</v>
      </c>
      <c r="BC174" s="559" t="s">
        <v>116</v>
      </c>
      <c r="BD174" s="554" t="s">
        <v>115</v>
      </c>
      <c r="BE174" s="554" t="s">
        <v>923</v>
      </c>
      <c r="BF174" s="588" t="s">
        <v>115</v>
      </c>
      <c r="BG174" s="588" t="s">
        <v>115</v>
      </c>
      <c r="BH174" s="615" t="s">
        <v>6484</v>
      </c>
      <c r="BI174" s="549" t="s">
        <v>709</v>
      </c>
      <c r="BJ174" s="549" t="s">
        <v>709</v>
      </c>
      <c r="BK174" s="549" t="s">
        <v>709</v>
      </c>
      <c r="BL174" s="547" t="s">
        <v>116</v>
      </c>
      <c r="BM174" s="549" t="s">
        <v>709</v>
      </c>
      <c r="BN174" s="549" t="s">
        <v>709</v>
      </c>
      <c r="BO174" s="549" t="s">
        <v>709</v>
      </c>
      <c r="BP174" s="549" t="s">
        <v>709</v>
      </c>
      <c r="BQ174" s="549" t="s">
        <v>709</v>
      </c>
      <c r="BR174" s="549" t="s">
        <v>709</v>
      </c>
      <c r="BS174" s="549">
        <v>3818</v>
      </c>
      <c r="BT174" s="549" t="s">
        <v>745</v>
      </c>
      <c r="BU174" s="549" t="s">
        <v>745</v>
      </c>
      <c r="BV174" s="549" t="s">
        <v>745</v>
      </c>
      <c r="BW174" s="549" t="s">
        <v>745</v>
      </c>
      <c r="BX174" s="549" t="s">
        <v>745</v>
      </c>
      <c r="BY174" s="549" t="s">
        <v>745</v>
      </c>
      <c r="BZ174" s="547" t="s">
        <v>709</v>
      </c>
      <c r="CA174" s="483"/>
    </row>
    <row r="175" spans="1:79" s="879" customFormat="1" ht="15" hidden="1" customHeight="1" x14ac:dyDescent="0.25">
      <c r="A175" s="874" t="s">
        <v>6816</v>
      </c>
      <c r="B175" s="878" t="s">
        <v>4</v>
      </c>
      <c r="C175" s="879" t="s">
        <v>8520</v>
      </c>
      <c r="D175" s="880" t="s">
        <v>8521</v>
      </c>
      <c r="E175" s="879" t="s">
        <v>1032</v>
      </c>
      <c r="F175" s="878" t="s">
        <v>6874</v>
      </c>
      <c r="G175" s="878" t="s">
        <v>31</v>
      </c>
      <c r="H175" s="878" t="s">
        <v>59</v>
      </c>
      <c r="I175" s="881">
        <v>45688</v>
      </c>
      <c r="J175" s="882">
        <v>45730</v>
      </c>
      <c r="K175" s="945">
        <v>45729</v>
      </c>
      <c r="L175" s="884">
        <v>1</v>
      </c>
      <c r="N175" s="885" t="s">
        <v>120</v>
      </c>
      <c r="O175" s="886">
        <v>45717</v>
      </c>
      <c r="P175" s="1153" t="s">
        <v>739</v>
      </c>
      <c r="Q175" s="1150">
        <v>77903.590000000011</v>
      </c>
      <c r="R175" s="887">
        <v>0.1</v>
      </c>
      <c r="S175" s="888" t="s">
        <v>29</v>
      </c>
      <c r="T175" s="888" t="s">
        <v>29</v>
      </c>
      <c r="U175" s="889" t="s">
        <v>29</v>
      </c>
      <c r="V175" s="890">
        <v>397</v>
      </c>
      <c r="W175" s="1021">
        <v>0</v>
      </c>
      <c r="X175" s="888">
        <v>694528.4</v>
      </c>
      <c r="Y175" s="891"/>
      <c r="Z175" s="888">
        <v>84507.5</v>
      </c>
      <c r="AA175" s="892">
        <v>779035.9</v>
      </c>
      <c r="AB175" s="893">
        <v>45714</v>
      </c>
      <c r="AC175" s="894" t="s">
        <v>745</v>
      </c>
      <c r="AD175" s="1161" t="s">
        <v>29</v>
      </c>
      <c r="AE175" s="895" t="s">
        <v>116</v>
      </c>
      <c r="AF175" s="895" t="s">
        <v>29</v>
      </c>
      <c r="AG175" s="896" t="s">
        <v>116</v>
      </c>
      <c r="AH175" s="897">
        <v>45770</v>
      </c>
      <c r="AI175" s="898">
        <v>0</v>
      </c>
      <c r="AJ175" s="899">
        <v>0</v>
      </c>
      <c r="AK175" s="899">
        <v>3479.4</v>
      </c>
      <c r="AL175" s="901">
        <v>4.4662896793331339E-2</v>
      </c>
      <c r="AM175" s="902" t="s">
        <v>116</v>
      </c>
      <c r="AN175" s="1353">
        <v>45776</v>
      </c>
      <c r="AO175" s="1354">
        <v>11102369</v>
      </c>
      <c r="AP175" s="1320">
        <v>694722.02</v>
      </c>
      <c r="AQ175" s="1293"/>
      <c r="AR175" s="1320">
        <v>84507.5</v>
      </c>
      <c r="AS175" s="538">
        <f>IF(Table15910[[#This Row],[PCTS Approved]]="N",0,Table15910[[#This Row],[Investment Amount (1'#'#'#'#'#)]]+Table15910[[#This Row],[Retirement Amount (3'#'#'#'#'#)]])</f>
        <v>779229.52</v>
      </c>
      <c r="AT175" s="538">
        <f>IF(Table15910[[#This Row],[Approved Construction Cost]]=0,0,Table15910[[#This Row],[Approved Construction Cost]]-Table15910[[#This Row],[Construction Cost to Bill From]])</f>
        <v>193.61999999999534</v>
      </c>
      <c r="AU175" s="538">
        <f>IFERROR(Table15910[[#This Row],[Difference in Construction Cost]]*Table15910[[#This Row],[Rate]],Table15910[[#This Row],[Difference in Construction Cost]]*0.085)</f>
        <v>19.361999999999536</v>
      </c>
      <c r="AV175" s="1355">
        <v>8132.5</v>
      </c>
      <c r="AW175" s="1463" t="s">
        <v>8522</v>
      </c>
      <c r="AX175" s="908"/>
      <c r="AY175" s="909" t="s">
        <v>709</v>
      </c>
      <c r="AZ175" s="1022"/>
      <c r="BA175" s="910" t="s">
        <v>8523</v>
      </c>
      <c r="BB175" s="911" t="s">
        <v>8524</v>
      </c>
      <c r="BC175" s="912" t="s">
        <v>992</v>
      </c>
      <c r="BD175" s="913" t="s">
        <v>1036</v>
      </c>
      <c r="BE175" s="914" t="s">
        <v>745</v>
      </c>
      <c r="BF175" s="914" t="s">
        <v>8525</v>
      </c>
      <c r="BG175" s="915" t="s">
        <v>745</v>
      </c>
      <c r="BH175" s="1023" t="s">
        <v>8526</v>
      </c>
      <c r="BI175" s="929" t="s">
        <v>745</v>
      </c>
      <c r="BJ175" s="929" t="s">
        <v>116</v>
      </c>
      <c r="BK175" s="916" t="s">
        <v>745</v>
      </c>
      <c r="BL175" s="916" t="s">
        <v>709</v>
      </c>
      <c r="BM175" s="916" t="s">
        <v>745</v>
      </c>
      <c r="BN175" s="916" t="s">
        <v>745</v>
      </c>
      <c r="BO175" s="916" t="s">
        <v>745</v>
      </c>
      <c r="BP175" s="916">
        <v>397</v>
      </c>
      <c r="BQ175" s="916" t="s">
        <v>745</v>
      </c>
      <c r="BR175" s="916" t="s">
        <v>709</v>
      </c>
      <c r="BS175" s="916" t="s">
        <v>709</v>
      </c>
      <c r="BT175" s="916" t="s">
        <v>745</v>
      </c>
      <c r="BU175" s="916" t="s">
        <v>709</v>
      </c>
      <c r="BV175" s="916" t="s">
        <v>709</v>
      </c>
      <c r="BW175" s="916" t="s">
        <v>745</v>
      </c>
      <c r="BX175" s="916" t="s">
        <v>745</v>
      </c>
      <c r="BY175" s="916" t="s">
        <v>745</v>
      </c>
      <c r="BZ175" s="916" t="s">
        <v>709</v>
      </c>
      <c r="CA175" s="483"/>
    </row>
    <row r="176" spans="1:79" s="879" customFormat="1" ht="15" hidden="1" customHeight="1" x14ac:dyDescent="0.25">
      <c r="A176" s="8" t="s">
        <v>749</v>
      </c>
      <c r="B176" s="8" t="s">
        <v>4</v>
      </c>
      <c r="C176" s="8" t="s">
        <v>1631</v>
      </c>
      <c r="D176" s="8" t="s">
        <v>1632</v>
      </c>
      <c r="E176" s="8" t="s">
        <v>1633</v>
      </c>
      <c r="F176" s="8" t="s">
        <v>784</v>
      </c>
      <c r="G176" s="8" t="s">
        <v>25</v>
      </c>
      <c r="H176" s="8" t="s">
        <v>59</v>
      </c>
      <c r="I176" s="642">
        <v>44966</v>
      </c>
      <c r="J176" s="18">
        <v>45191</v>
      </c>
      <c r="K176" s="97">
        <v>45188</v>
      </c>
      <c r="L176" s="16">
        <v>3</v>
      </c>
      <c r="M176" s="642"/>
      <c r="N176" s="642" t="s">
        <v>120</v>
      </c>
      <c r="O176" s="1060">
        <v>45200</v>
      </c>
      <c r="P176" s="1152" t="s">
        <v>739</v>
      </c>
      <c r="Q176" s="340">
        <v>70945.646999999997</v>
      </c>
      <c r="R176" s="1026">
        <v>0.1</v>
      </c>
      <c r="S176" s="538"/>
      <c r="T176" s="538"/>
      <c r="U176" s="87"/>
      <c r="V176" s="858">
        <v>2830</v>
      </c>
      <c r="W176" s="437">
        <v>0</v>
      </c>
      <c r="X176" s="538">
        <v>680056.27</v>
      </c>
      <c r="Y176" s="551"/>
      <c r="Z176" s="570">
        <v>29400.2</v>
      </c>
      <c r="AA176" s="552">
        <v>709456.47</v>
      </c>
      <c r="AB176" s="341">
        <v>45175</v>
      </c>
      <c r="AC176" s="568" t="s">
        <v>709</v>
      </c>
      <c r="AD176" s="1157" t="s">
        <v>29</v>
      </c>
      <c r="AE176" s="568" t="s">
        <v>756</v>
      </c>
      <c r="AF176" s="568" t="s">
        <v>756</v>
      </c>
      <c r="AG176" s="568" t="s">
        <v>116</v>
      </c>
      <c r="AH176" s="183">
        <v>45222</v>
      </c>
      <c r="AI176" s="1036"/>
      <c r="AJ176" s="1037"/>
      <c r="AK176" s="1037"/>
      <c r="AL176" s="1038"/>
      <c r="AM176" s="536" t="s">
        <v>116</v>
      </c>
      <c r="AN176" s="801" t="s">
        <v>709</v>
      </c>
      <c r="AO176" s="601"/>
      <c r="AP176" s="572"/>
      <c r="AQ176" s="572"/>
      <c r="AR176" s="572"/>
      <c r="AS176" s="538">
        <f>IF(Table15910[[#This Row],[PCTS Approved]]="N",0,Table15910[[#This Row],[Investment Amount (1'#'#'#'#'#)]]+Table15910[[#This Row],[Retirement Amount (3'#'#'#'#'#)]])</f>
        <v>0</v>
      </c>
      <c r="AT176" s="538">
        <f>IF(Table15910[[#This Row],[Approved Construction Cost]]=0,0,Table15910[[#This Row],[Approved Construction Cost]]-Table15910[[#This Row],[Construction Cost to Bill From]])</f>
        <v>0</v>
      </c>
      <c r="AU176" s="538">
        <f>IFERROR(Table15910[[#This Row],[Difference in Construction Cost]]*Table15910[[#This Row],[Rate]],Table15910[[#This Row],[Difference in Construction Cost]]*0.085)</f>
        <v>0</v>
      </c>
      <c r="AV176" s="572"/>
      <c r="AW176" s="639"/>
      <c r="AX176" s="538"/>
      <c r="AY176" s="1035" t="s">
        <v>709</v>
      </c>
      <c r="AZ176" s="443">
        <v>100</v>
      </c>
      <c r="BA176" s="1076" t="s">
        <v>1634</v>
      </c>
      <c r="BB176" s="653" t="s">
        <v>1635</v>
      </c>
      <c r="BC176" s="544" t="s">
        <v>709</v>
      </c>
      <c r="BD176" s="544" t="s">
        <v>788</v>
      </c>
      <c r="BE176" s="559" t="s">
        <v>1636</v>
      </c>
      <c r="BF176" s="554" t="s">
        <v>709</v>
      </c>
      <c r="BG176" s="548" t="s">
        <v>709</v>
      </c>
      <c r="BH176" s="749" t="s">
        <v>1637</v>
      </c>
      <c r="BI176" s="547" t="s">
        <v>709</v>
      </c>
      <c r="BJ176" s="547" t="s">
        <v>709</v>
      </c>
      <c r="BK176" s="547" t="s">
        <v>709</v>
      </c>
      <c r="BL176" s="547" t="s">
        <v>116</v>
      </c>
      <c r="BM176" s="547" t="s">
        <v>709</v>
      </c>
      <c r="BN176" s="547" t="s">
        <v>709</v>
      </c>
      <c r="BO176" s="547" t="s">
        <v>709</v>
      </c>
      <c r="BP176" s="547" t="s">
        <v>709</v>
      </c>
      <c r="BQ176" s="547" t="s">
        <v>709</v>
      </c>
      <c r="BR176" s="547">
        <v>1359</v>
      </c>
      <c r="BS176" s="547">
        <v>1473</v>
      </c>
      <c r="BT176" s="547" t="s">
        <v>709</v>
      </c>
      <c r="BU176" s="547" t="s">
        <v>709</v>
      </c>
      <c r="BV176" s="547" t="s">
        <v>745</v>
      </c>
      <c r="BW176" s="547" t="s">
        <v>709</v>
      </c>
      <c r="BX176" s="547" t="s">
        <v>709</v>
      </c>
      <c r="BY176" s="547" t="s">
        <v>709</v>
      </c>
      <c r="BZ176" s="547" t="s">
        <v>709</v>
      </c>
      <c r="CA176" s="483"/>
    </row>
    <row r="177" spans="1:79" s="879" customFormat="1" ht="15" hidden="1" customHeight="1" x14ac:dyDescent="0.25">
      <c r="A177" s="874" t="s">
        <v>6816</v>
      </c>
      <c r="B177" s="878" t="s">
        <v>4</v>
      </c>
      <c r="C177" s="879" t="s">
        <v>8092</v>
      </c>
      <c r="D177" s="880" t="s">
        <v>8914</v>
      </c>
      <c r="E177" s="879" t="s">
        <v>3493</v>
      </c>
      <c r="F177" s="878" t="s">
        <v>6874</v>
      </c>
      <c r="G177" s="878" t="s">
        <v>25</v>
      </c>
      <c r="H177" s="878" t="s">
        <v>59</v>
      </c>
      <c r="I177" s="881">
        <v>45748</v>
      </c>
      <c r="J177" s="882">
        <v>45838</v>
      </c>
      <c r="K177" s="1196">
        <v>45831</v>
      </c>
      <c r="L177" s="884">
        <v>7</v>
      </c>
      <c r="N177" s="885" t="s">
        <v>739</v>
      </c>
      <c r="O177" s="886" t="s">
        <v>376</v>
      </c>
      <c r="P177" s="1153" t="s">
        <v>739</v>
      </c>
      <c r="Q177" s="1150">
        <v>0</v>
      </c>
      <c r="R177" s="887">
        <v>0.1</v>
      </c>
      <c r="S177" s="888" t="s">
        <v>29</v>
      </c>
      <c r="T177" s="888" t="s">
        <v>29</v>
      </c>
      <c r="U177" s="889" t="s">
        <v>29</v>
      </c>
      <c r="V177" s="1232">
        <v>1389</v>
      </c>
      <c r="W177" s="1233">
        <v>0</v>
      </c>
      <c r="X177" s="1015">
        <v>608675.9</v>
      </c>
      <c r="Y177" s="1236"/>
      <c r="Z177" s="1015">
        <v>41672.11</v>
      </c>
      <c r="AA177" s="892">
        <f>SUM(Table15910[[#This Row],[PCTS Investment Amount]:[PCTS Retirement Amount]])</f>
        <v>650348.01</v>
      </c>
      <c r="AB177" s="992">
        <v>45462</v>
      </c>
      <c r="AC177" s="1166" t="s">
        <v>116</v>
      </c>
      <c r="AD177" s="1277" t="s">
        <v>29</v>
      </c>
      <c r="AE177" s="1016" t="s">
        <v>756</v>
      </c>
      <c r="AF177" s="1016" t="s">
        <v>29</v>
      </c>
      <c r="AG177" s="1197" t="s">
        <v>376</v>
      </c>
      <c r="AH177" s="1230" t="s">
        <v>376</v>
      </c>
      <c r="AI177" s="1234">
        <v>0</v>
      </c>
      <c r="AJ177" s="1235">
        <v>11405</v>
      </c>
      <c r="AK177" s="1235">
        <v>8361.6</v>
      </c>
      <c r="AL177" s="964" t="e">
        <v>#DIV/0!</v>
      </c>
      <c r="AM177" s="902" t="s">
        <v>116</v>
      </c>
      <c r="AN177" s="1353">
        <v>45856</v>
      </c>
      <c r="AO177" s="1354">
        <v>11107566</v>
      </c>
      <c r="AP177" s="1320">
        <v>608675.9</v>
      </c>
      <c r="AQ177" s="1320"/>
      <c r="AR177" s="1320">
        <v>41672.11</v>
      </c>
      <c r="AS177" s="538">
        <f>IF(Table15910[[#This Row],[PCTS Approved]]="N",0,Table15910[[#This Row],[Investment Amount (1'#'#'#'#'#)]]+Table15910[[#This Row],[Retirement Amount (3'#'#'#'#'#)]])</f>
        <v>650348.01</v>
      </c>
      <c r="AT177" s="538">
        <f>IF(Table15910[[#This Row],[Approved Construction Cost]]=0,0,Table15910[[#This Row],[Approved Construction Cost]]-Table15910[[#This Row],[Construction Cost to Bill From]])</f>
        <v>0</v>
      </c>
      <c r="AU177" s="538">
        <f>IFERROR(Table15910[[#This Row],[Difference in Construction Cost]]*Table15910[[#This Row],[Rate]],Table15910[[#This Row],[Difference in Construction Cost]]*0.085)</f>
        <v>0</v>
      </c>
      <c r="AV177" s="1356" t="s">
        <v>29</v>
      </c>
      <c r="AW177" s="1450"/>
      <c r="AX177" s="908"/>
      <c r="AY177" s="909" t="s">
        <v>709</v>
      </c>
      <c r="AZ177" s="1167"/>
      <c r="BA177" s="910" t="s">
        <v>8915</v>
      </c>
      <c r="BB177" s="911" t="s">
        <v>8916</v>
      </c>
      <c r="BC177" s="912" t="s">
        <v>992</v>
      </c>
      <c r="BD177" s="913" t="s">
        <v>709</v>
      </c>
      <c r="BE177" s="914" t="s">
        <v>3496</v>
      </c>
      <c r="BF177" s="914" t="s">
        <v>709</v>
      </c>
      <c r="BG177" s="915" t="s">
        <v>745</v>
      </c>
      <c r="BH177" s="1023" t="s">
        <v>8917</v>
      </c>
      <c r="BI177" s="916" t="s">
        <v>709</v>
      </c>
      <c r="BJ177" s="916" t="s">
        <v>709</v>
      </c>
      <c r="BK177" s="916" t="s">
        <v>709</v>
      </c>
      <c r="BL177" s="916" t="s">
        <v>116</v>
      </c>
      <c r="BM177" s="916" t="s">
        <v>709</v>
      </c>
      <c r="BN177" s="929" t="s">
        <v>709</v>
      </c>
      <c r="BO177" s="916" t="s">
        <v>709</v>
      </c>
      <c r="BP177" s="944">
        <v>1337</v>
      </c>
      <c r="BQ177" s="929">
        <v>24</v>
      </c>
      <c r="BR177" s="929" t="s">
        <v>709</v>
      </c>
      <c r="BS177" s="929">
        <v>28</v>
      </c>
      <c r="BT177" s="929" t="s">
        <v>709</v>
      </c>
      <c r="BU177" s="929" t="s">
        <v>709</v>
      </c>
      <c r="BV177" s="929" t="s">
        <v>709</v>
      </c>
      <c r="BW177" s="929" t="s">
        <v>709</v>
      </c>
      <c r="BX177" s="916" t="s">
        <v>709</v>
      </c>
      <c r="BY177" s="1252" t="s">
        <v>709</v>
      </c>
      <c r="BZ177" s="1252" t="s">
        <v>709</v>
      </c>
      <c r="CA177" s="483"/>
    </row>
    <row r="178" spans="1:79" s="879" customFormat="1" ht="15" hidden="1" customHeight="1" x14ac:dyDescent="0.25">
      <c r="A178" s="8" t="s">
        <v>749</v>
      </c>
      <c r="B178" s="8" t="s">
        <v>4</v>
      </c>
      <c r="C178" s="8" t="s">
        <v>1490</v>
      </c>
      <c r="D178" s="8" t="s">
        <v>1491</v>
      </c>
      <c r="E178" s="8" t="s">
        <v>1492</v>
      </c>
      <c r="F178" s="8" t="s">
        <v>784</v>
      </c>
      <c r="G178" s="8" t="s">
        <v>25</v>
      </c>
      <c r="H178" s="13" t="s">
        <v>59</v>
      </c>
      <c r="I178" s="642">
        <v>44966</v>
      </c>
      <c r="J178" s="18">
        <v>45077</v>
      </c>
      <c r="K178" s="175">
        <v>45062</v>
      </c>
      <c r="L178" s="16">
        <v>15</v>
      </c>
      <c r="M178" s="642"/>
      <c r="N178" s="642" t="s">
        <v>120</v>
      </c>
      <c r="O178" s="1060">
        <v>45061</v>
      </c>
      <c r="P178" s="1152" t="s">
        <v>739</v>
      </c>
      <c r="Q178" s="340">
        <v>17623.817000000003</v>
      </c>
      <c r="R178" s="1026">
        <v>0.1</v>
      </c>
      <c r="S178" s="538"/>
      <c r="T178" s="538"/>
      <c r="U178" s="87"/>
      <c r="V178" s="858">
        <v>601</v>
      </c>
      <c r="W178" s="437">
        <v>0</v>
      </c>
      <c r="X178" s="552">
        <v>157687.95000000001</v>
      </c>
      <c r="Y178" s="592"/>
      <c r="Z178" s="552">
        <v>18550.22</v>
      </c>
      <c r="AA178" s="552">
        <v>176238.17</v>
      </c>
      <c r="AB178" s="341">
        <v>45047</v>
      </c>
      <c r="AC178" s="568" t="s">
        <v>709</v>
      </c>
      <c r="AD178" s="1157" t="s">
        <v>29</v>
      </c>
      <c r="AE178" s="568" t="s">
        <v>116</v>
      </c>
      <c r="AF178" s="568" t="s">
        <v>116</v>
      </c>
      <c r="AG178" s="568" t="s">
        <v>116</v>
      </c>
      <c r="AH178" s="183">
        <v>45086</v>
      </c>
      <c r="AI178" s="1036"/>
      <c r="AJ178" s="1037"/>
      <c r="AK178" s="1037"/>
      <c r="AL178" s="1038"/>
      <c r="AM178" s="536" t="s">
        <v>116</v>
      </c>
      <c r="AN178" s="801" t="s">
        <v>709</v>
      </c>
      <c r="AO178" s="601" t="s">
        <v>115</v>
      </c>
      <c r="AP178" s="572"/>
      <c r="AQ178" s="572"/>
      <c r="AR178" s="572"/>
      <c r="AS178" s="538">
        <f>IF(Table15910[[#This Row],[PCTS Approved]]="N",0,Table15910[[#This Row],[Investment Amount (1'#'#'#'#'#)]]+Table15910[[#This Row],[Retirement Amount (3'#'#'#'#'#)]])</f>
        <v>0</v>
      </c>
      <c r="AT178" s="538">
        <f>IF(Table15910[[#This Row],[Approved Construction Cost]]=0,0,Table15910[[#This Row],[Approved Construction Cost]]-Table15910[[#This Row],[Construction Cost to Bill From]])</f>
        <v>0</v>
      </c>
      <c r="AU178" s="538">
        <f>IFERROR(Table15910[[#This Row],[Difference in Construction Cost]]*Table15910[[#This Row],[Rate]],Table15910[[#This Row],[Difference in Construction Cost]]*0.085)</f>
        <v>0</v>
      </c>
      <c r="AV178" s="572"/>
      <c r="AW178" s="639"/>
      <c r="AX178" s="538"/>
      <c r="AY178" s="1035" t="s">
        <v>709</v>
      </c>
      <c r="AZ178" s="443">
        <v>86</v>
      </c>
      <c r="BA178" s="859" t="s">
        <v>1493</v>
      </c>
      <c r="BB178" s="644" t="s">
        <v>1494</v>
      </c>
      <c r="BC178" s="544" t="s">
        <v>116</v>
      </c>
      <c r="BD178" s="544" t="s">
        <v>743</v>
      </c>
      <c r="BE178" s="544" t="s">
        <v>545</v>
      </c>
      <c r="BF178" s="544" t="s">
        <v>1495</v>
      </c>
      <c r="BG178" s="544" t="s">
        <v>1496</v>
      </c>
      <c r="BH178" s="741" t="s">
        <v>1497</v>
      </c>
      <c r="BI178" s="547" t="s">
        <v>709</v>
      </c>
      <c r="BJ178" s="547" t="s">
        <v>709</v>
      </c>
      <c r="BK178" s="547" t="s">
        <v>709</v>
      </c>
      <c r="BL178" s="547" t="s">
        <v>116</v>
      </c>
      <c r="BM178" s="547" t="s">
        <v>709</v>
      </c>
      <c r="BN178" s="547" t="s">
        <v>709</v>
      </c>
      <c r="BO178" s="547" t="s">
        <v>709</v>
      </c>
      <c r="BP178" s="547" t="s">
        <v>709</v>
      </c>
      <c r="BQ178" s="547">
        <v>601</v>
      </c>
      <c r="BR178" s="547" t="s">
        <v>709</v>
      </c>
      <c r="BS178" s="547" t="s">
        <v>709</v>
      </c>
      <c r="BT178" s="547" t="s">
        <v>745</v>
      </c>
      <c r="BU178" s="547" t="s">
        <v>709</v>
      </c>
      <c r="BV178" s="547" t="s">
        <v>745</v>
      </c>
      <c r="BW178" s="547" t="s">
        <v>709</v>
      </c>
      <c r="BX178" s="547" t="s">
        <v>745</v>
      </c>
      <c r="BY178" s="547" t="s">
        <v>745</v>
      </c>
      <c r="BZ178" s="547" t="s">
        <v>709</v>
      </c>
      <c r="CA178" s="483" t="s">
        <v>2</v>
      </c>
    </row>
    <row r="179" spans="1:79" s="879" customFormat="1" ht="15" hidden="1" customHeight="1" x14ac:dyDescent="0.25">
      <c r="A179" s="8">
        <v>2023</v>
      </c>
      <c r="B179" s="8" t="s">
        <v>4</v>
      </c>
      <c r="C179" s="8" t="s">
        <v>1420</v>
      </c>
      <c r="D179" s="8" t="s">
        <v>1421</v>
      </c>
      <c r="E179" s="8" t="s">
        <v>1422</v>
      </c>
      <c r="F179" s="8" t="s">
        <v>784</v>
      </c>
      <c r="G179" s="8" t="s">
        <v>25</v>
      </c>
      <c r="H179" s="13" t="s">
        <v>59</v>
      </c>
      <c r="I179" s="642">
        <v>44907</v>
      </c>
      <c r="J179" s="18">
        <v>45016</v>
      </c>
      <c r="K179" s="97">
        <v>45002</v>
      </c>
      <c r="L179" s="16">
        <v>14</v>
      </c>
      <c r="M179" s="642"/>
      <c r="N179" s="642" t="s">
        <v>120</v>
      </c>
      <c r="O179" s="1060">
        <v>45017</v>
      </c>
      <c r="P179" s="1152" t="s">
        <v>739</v>
      </c>
      <c r="Q179" s="340">
        <v>10427.678</v>
      </c>
      <c r="R179" s="1026">
        <v>0.1</v>
      </c>
      <c r="S179" s="538"/>
      <c r="T179" s="538"/>
      <c r="U179" s="87"/>
      <c r="V179" s="858">
        <v>131</v>
      </c>
      <c r="W179" s="437">
        <v>0</v>
      </c>
      <c r="X179" s="552">
        <v>95628.03</v>
      </c>
      <c r="Y179" s="592"/>
      <c r="Z179" s="552">
        <v>8648.75</v>
      </c>
      <c r="AA179" s="552">
        <v>104276.78</v>
      </c>
      <c r="AB179" s="341" t="s">
        <v>709</v>
      </c>
      <c r="AC179" s="568" t="s">
        <v>709</v>
      </c>
      <c r="AD179" s="1157" t="s">
        <v>29</v>
      </c>
      <c r="AE179" s="579"/>
      <c r="AF179" s="579"/>
      <c r="AG179" s="569"/>
      <c r="AH179" s="553"/>
      <c r="AI179" s="1036"/>
      <c r="AJ179" s="1037"/>
      <c r="AK179" s="1037"/>
      <c r="AL179" s="1038"/>
      <c r="AM179" s="536" t="s">
        <v>116</v>
      </c>
      <c r="AN179" s="801" t="s">
        <v>709</v>
      </c>
      <c r="AO179" s="601" t="s">
        <v>115</v>
      </c>
      <c r="AP179" s="572"/>
      <c r="AQ179" s="572"/>
      <c r="AR179" s="572"/>
      <c r="AS179" s="538">
        <f>IF(Table15910[[#This Row],[PCTS Approved]]="N",0,Table15910[[#This Row],[Investment Amount (1'#'#'#'#'#)]]+Table15910[[#This Row],[Retirement Amount (3'#'#'#'#'#)]])</f>
        <v>0</v>
      </c>
      <c r="AT179" s="538">
        <f>IF(Table15910[[#This Row],[Approved Construction Cost]]=0,0,Table15910[[#This Row],[Approved Construction Cost]]-Table15910[[#This Row],[Construction Cost to Bill From]])</f>
        <v>0</v>
      </c>
      <c r="AU179" s="538">
        <f>IFERROR(Table15910[[#This Row],[Difference in Construction Cost]]*Table15910[[#This Row],[Rate]],Table15910[[#This Row],[Difference in Construction Cost]]*0.085)</f>
        <v>0</v>
      </c>
      <c r="AV179" s="572"/>
      <c r="AW179" s="639"/>
      <c r="AX179" s="538"/>
      <c r="AY179" s="1035" t="s">
        <v>709</v>
      </c>
      <c r="AZ179" s="443">
        <v>80</v>
      </c>
      <c r="BA179" s="859" t="s">
        <v>1423</v>
      </c>
      <c r="BB179" s="644" t="s">
        <v>1424</v>
      </c>
      <c r="BC179" s="544" t="s">
        <v>116</v>
      </c>
      <c r="BD179" s="544" t="s">
        <v>115</v>
      </c>
      <c r="BE179" s="544" t="s">
        <v>1425</v>
      </c>
      <c r="BF179" s="544" t="s">
        <v>115</v>
      </c>
      <c r="BG179" s="544" t="s">
        <v>115</v>
      </c>
      <c r="BH179" s="741"/>
      <c r="BI179" s="547" t="s">
        <v>709</v>
      </c>
      <c r="BJ179" s="547" t="s">
        <v>709</v>
      </c>
      <c r="BK179" s="547" t="s">
        <v>709</v>
      </c>
      <c r="BL179" s="547" t="s">
        <v>116</v>
      </c>
      <c r="BM179" s="547" t="s">
        <v>709</v>
      </c>
      <c r="BN179" s="547" t="s">
        <v>709</v>
      </c>
      <c r="BO179" s="547" t="s">
        <v>709</v>
      </c>
      <c r="BP179" s="547" t="s">
        <v>709</v>
      </c>
      <c r="BQ179" s="547" t="s">
        <v>709</v>
      </c>
      <c r="BR179" s="547" t="s">
        <v>709</v>
      </c>
      <c r="BS179" s="547">
        <v>131</v>
      </c>
      <c r="BT179" s="547" t="s">
        <v>745</v>
      </c>
      <c r="BU179" s="547" t="s">
        <v>709</v>
      </c>
      <c r="BV179" s="547" t="s">
        <v>745</v>
      </c>
      <c r="BW179" s="547" t="s">
        <v>709</v>
      </c>
      <c r="BX179" s="547" t="s">
        <v>745</v>
      </c>
      <c r="BY179" s="547" t="s">
        <v>745</v>
      </c>
      <c r="BZ179" s="547" t="s">
        <v>709</v>
      </c>
      <c r="CA179" s="483" t="s">
        <v>2</v>
      </c>
    </row>
    <row r="180" spans="1:79" s="879" customFormat="1" ht="15" hidden="1" customHeight="1" x14ac:dyDescent="0.25">
      <c r="A180" s="656">
        <v>2023</v>
      </c>
      <c r="B180" s="656" t="s">
        <v>1073</v>
      </c>
      <c r="C180" s="656" t="s">
        <v>544</v>
      </c>
      <c r="D180" s="656" t="s">
        <v>1540</v>
      </c>
      <c r="E180" s="656" t="s">
        <v>1492</v>
      </c>
      <c r="F180" s="656" t="s">
        <v>784</v>
      </c>
      <c r="G180" s="656" t="s">
        <v>31</v>
      </c>
      <c r="H180" s="737" t="s">
        <v>59</v>
      </c>
      <c r="I180" s="1375">
        <v>44978</v>
      </c>
      <c r="J180" s="1052">
        <v>45106</v>
      </c>
      <c r="K180" s="1376">
        <v>45106</v>
      </c>
      <c r="L180" s="1377">
        <v>0</v>
      </c>
      <c r="M180" s="1375"/>
      <c r="N180" s="1375" t="s">
        <v>120</v>
      </c>
      <c r="O180" s="1059">
        <v>45108</v>
      </c>
      <c r="P180" s="1378" t="s">
        <v>739</v>
      </c>
      <c r="Q180" s="340">
        <v>217618.17120000001</v>
      </c>
      <c r="R180" s="1026">
        <v>0.08</v>
      </c>
      <c r="S180" s="556"/>
      <c r="T180" s="556"/>
      <c r="U180" s="1061"/>
      <c r="V180" s="1184">
        <v>7379</v>
      </c>
      <c r="W180" s="1186">
        <v>1</v>
      </c>
      <c r="X180" s="570">
        <v>2642675.2400000002</v>
      </c>
      <c r="Y180" s="591"/>
      <c r="Z180" s="570">
        <v>77551.899999999994</v>
      </c>
      <c r="AA180" s="570">
        <v>2720227.14</v>
      </c>
      <c r="AB180" s="341">
        <v>45107</v>
      </c>
      <c r="AC180" s="568" t="s">
        <v>116</v>
      </c>
      <c r="AD180" s="1157" t="s">
        <v>29</v>
      </c>
      <c r="AE180" s="568" t="s">
        <v>756</v>
      </c>
      <c r="AF180" s="568" t="s">
        <v>29</v>
      </c>
      <c r="AG180" s="568" t="s">
        <v>116</v>
      </c>
      <c r="AH180" s="183" t="s">
        <v>29</v>
      </c>
      <c r="AI180" s="1036"/>
      <c r="AJ180" s="1037"/>
      <c r="AK180" s="1037"/>
      <c r="AL180" s="1038"/>
      <c r="AM180" s="1379" t="s">
        <v>116</v>
      </c>
      <c r="AN180" s="1380">
        <v>45657</v>
      </c>
      <c r="AO180" s="1381">
        <v>11060045</v>
      </c>
      <c r="AP180" s="1382">
        <v>1082126.52</v>
      </c>
      <c r="AQ180" s="1382"/>
      <c r="AR180" s="1382">
        <v>0</v>
      </c>
      <c r="AS180" s="556">
        <f>IF(Table15910[[#This Row],[PCTS Approved]]="N",0,Table15910[[#This Row],[Investment Amount (1'#'#'#'#'#)]]+Table15910[[#This Row],[Retirement Amount (3'#'#'#'#'#)]])</f>
        <v>1082126.52</v>
      </c>
      <c r="AT180" s="556">
        <f>IF(Table15910[[#This Row],[Approved Construction Cost]]=0,0,Table15910[[#This Row],[Approved Construction Cost]]-Table15910[[#This Row],[Construction Cost to Bill From]])</f>
        <v>-1638100.62</v>
      </c>
      <c r="AU180" s="556">
        <f>IFERROR(Table15910[[#This Row],[Difference in Construction Cost]]*Table15910[[#This Row],[Rate]],Table15910[[#This Row],[Difference in Construction Cost]]*0.085)</f>
        <v>-131048.04960000001</v>
      </c>
      <c r="AV180" s="1382">
        <f>22152.5+1882.5</f>
        <v>24035</v>
      </c>
      <c r="AW180" s="1394" t="s">
        <v>5757</v>
      </c>
      <c r="AX180" s="556"/>
      <c r="AY180" s="1386" t="s">
        <v>709</v>
      </c>
      <c r="AZ180" s="1387">
        <v>15</v>
      </c>
      <c r="BA180" s="1395" t="s">
        <v>1541</v>
      </c>
      <c r="BB180" s="1389" t="s">
        <v>1542</v>
      </c>
      <c r="BC180" s="1082" t="s">
        <v>116</v>
      </c>
      <c r="BD180" s="1082" t="s">
        <v>115</v>
      </c>
      <c r="BE180" s="1082" t="s">
        <v>545</v>
      </c>
      <c r="BF180" s="1082" t="s">
        <v>115</v>
      </c>
      <c r="BG180" s="1082" t="s">
        <v>1543</v>
      </c>
      <c r="BH180" s="1396" t="s">
        <v>1544</v>
      </c>
      <c r="BI180" s="549" t="s">
        <v>116</v>
      </c>
      <c r="BJ180" s="549" t="s">
        <v>709</v>
      </c>
      <c r="BK180" s="549" t="s">
        <v>709</v>
      </c>
      <c r="BL180" s="549" t="s">
        <v>116</v>
      </c>
      <c r="BM180" s="549" t="s">
        <v>709</v>
      </c>
      <c r="BN180" s="549" t="s">
        <v>709</v>
      </c>
      <c r="BO180" s="549" t="s">
        <v>709</v>
      </c>
      <c r="BP180" s="549">
        <v>4800</v>
      </c>
      <c r="BQ180" s="549">
        <v>2447</v>
      </c>
      <c r="BR180" s="549">
        <v>45</v>
      </c>
      <c r="BS180" s="549">
        <v>5</v>
      </c>
      <c r="BT180" s="549">
        <v>1</v>
      </c>
      <c r="BU180" s="549" t="s">
        <v>709</v>
      </c>
      <c r="BV180" s="549" t="s">
        <v>709</v>
      </c>
      <c r="BW180" s="549" t="s">
        <v>709</v>
      </c>
      <c r="BX180" s="549">
        <v>1</v>
      </c>
      <c r="BY180" s="549" t="s">
        <v>709</v>
      </c>
      <c r="BZ180" s="547" t="s">
        <v>709</v>
      </c>
      <c r="CA180" s="483" t="s">
        <v>2</v>
      </c>
    </row>
    <row r="181" spans="1:79" s="879" customFormat="1" ht="15" hidden="1" customHeight="1" x14ac:dyDescent="0.25">
      <c r="A181" s="8">
        <v>2021</v>
      </c>
      <c r="B181" s="8" t="s">
        <v>4</v>
      </c>
      <c r="C181" s="8" t="s">
        <v>1218</v>
      </c>
      <c r="D181" s="8" t="s">
        <v>1219</v>
      </c>
      <c r="E181" s="8" t="s">
        <v>1129</v>
      </c>
      <c r="F181" s="8" t="s">
        <v>738</v>
      </c>
      <c r="G181" s="8" t="s">
        <v>25</v>
      </c>
      <c r="H181" s="8" t="s">
        <v>59</v>
      </c>
      <c r="I181" s="642">
        <v>44355</v>
      </c>
      <c r="J181" s="18">
        <v>44386</v>
      </c>
      <c r="K181" s="642">
        <v>44384</v>
      </c>
      <c r="L181" s="16">
        <v>2</v>
      </c>
      <c r="M181" s="642"/>
      <c r="N181" s="642" t="s">
        <v>120</v>
      </c>
      <c r="O181" s="1025">
        <v>44384</v>
      </c>
      <c r="P181" s="21" t="s">
        <v>739</v>
      </c>
      <c r="Q181" s="340">
        <v>7728.6</v>
      </c>
      <c r="R181" s="1026">
        <v>0.1</v>
      </c>
      <c r="S181" s="538" t="s">
        <v>709</v>
      </c>
      <c r="T181" s="538" t="s">
        <v>709</v>
      </c>
      <c r="U181" s="441" t="s">
        <v>709</v>
      </c>
      <c r="V181" s="857"/>
      <c r="W181" s="440"/>
      <c r="X181" s="538">
        <v>55579.41</v>
      </c>
      <c r="Y181" s="591"/>
      <c r="Z181" s="538">
        <v>21706.59</v>
      </c>
      <c r="AA181" s="551">
        <v>77286</v>
      </c>
      <c r="AB181" s="341"/>
      <c r="AC181" s="568" t="s">
        <v>709</v>
      </c>
      <c r="AD181" s="1157"/>
      <c r="AE181" s="579"/>
      <c r="AF181" s="579"/>
      <c r="AG181" s="569"/>
      <c r="AH181" s="553"/>
      <c r="AI181" s="1036"/>
      <c r="AJ181" s="1037"/>
      <c r="AK181" s="1037"/>
      <c r="AL181" s="1038"/>
      <c r="AM181" s="536" t="s">
        <v>116</v>
      </c>
      <c r="AN181" s="801" t="s">
        <v>709</v>
      </c>
      <c r="AO181" s="601" t="s">
        <v>115</v>
      </c>
      <c r="AP181" s="572"/>
      <c r="AQ181" s="572"/>
      <c r="AR181" s="572"/>
      <c r="AS181" s="538">
        <f>IF(Table15910[[#This Row],[PCTS Approved]]="N",0,Table15910[[#This Row],[Investment Amount (1'#'#'#'#'#)]]+Table15910[[#This Row],[Retirement Amount (3'#'#'#'#'#)]])</f>
        <v>0</v>
      </c>
      <c r="AT181" s="538">
        <f>IF(Table15910[[#This Row],[Approved Construction Cost]]=0,0,Table15910[[#This Row],[Approved Construction Cost]]-Table15910[[#This Row],[Construction Cost to Bill From]])</f>
        <v>0</v>
      </c>
      <c r="AU181" s="538">
        <f>IFERROR(Table15910[[#This Row],[Difference in Construction Cost]]*Table15910[[#This Row],[Rate]],Table15910[[#This Row],[Difference in Construction Cost]]*0.085)</f>
        <v>0</v>
      </c>
      <c r="AV181" s="572"/>
      <c r="AW181" s="639"/>
      <c r="AX181" s="538"/>
      <c r="AY181" s="1035" t="s">
        <v>709</v>
      </c>
      <c r="AZ181" s="443">
        <v>61</v>
      </c>
      <c r="BA181" s="859" t="s">
        <v>1220</v>
      </c>
      <c r="BB181" s="644" t="s">
        <v>1221</v>
      </c>
      <c r="BC181" s="544" t="s">
        <v>709</v>
      </c>
      <c r="BD181" s="544" t="s">
        <v>1066</v>
      </c>
      <c r="BE181" s="544" t="s">
        <v>709</v>
      </c>
      <c r="BF181" s="544" t="s">
        <v>709</v>
      </c>
      <c r="BG181" s="544" t="s">
        <v>709</v>
      </c>
      <c r="BH181" s="741"/>
      <c r="BI181" s="547" t="s">
        <v>709</v>
      </c>
      <c r="BJ181" s="547" t="s">
        <v>709</v>
      </c>
      <c r="BK181" s="547" t="s">
        <v>709</v>
      </c>
      <c r="BL181" s="547" t="s">
        <v>116</v>
      </c>
      <c r="BM181" s="547" t="s">
        <v>709</v>
      </c>
      <c r="BN181" s="547" t="s">
        <v>709</v>
      </c>
      <c r="BO181" s="547" t="s">
        <v>709</v>
      </c>
      <c r="BP181" s="547" t="s">
        <v>709</v>
      </c>
      <c r="BQ181" s="547" t="s">
        <v>709</v>
      </c>
      <c r="BR181" s="547" t="s">
        <v>709</v>
      </c>
      <c r="BS181" s="547">
        <v>55</v>
      </c>
      <c r="BT181" s="547" t="s">
        <v>745</v>
      </c>
      <c r="BU181" s="547" t="s">
        <v>709</v>
      </c>
      <c r="BV181" s="547" t="s">
        <v>745</v>
      </c>
      <c r="BW181" s="547" t="s">
        <v>709</v>
      </c>
      <c r="BX181" s="547" t="s">
        <v>745</v>
      </c>
      <c r="BY181" s="547" t="s">
        <v>745</v>
      </c>
      <c r="BZ181" s="547" t="s">
        <v>709</v>
      </c>
      <c r="CA181" s="483" t="s">
        <v>769</v>
      </c>
    </row>
    <row r="182" spans="1:79" s="879" customFormat="1" ht="15" hidden="1" customHeight="1" x14ac:dyDescent="0.25">
      <c r="A182" s="8">
        <v>2021</v>
      </c>
      <c r="B182" s="8" t="s">
        <v>4</v>
      </c>
      <c r="C182" s="8" t="s">
        <v>1212</v>
      </c>
      <c r="D182" s="8" t="s">
        <v>1213</v>
      </c>
      <c r="E182" s="8" t="s">
        <v>1214</v>
      </c>
      <c r="F182" s="8" t="s">
        <v>919</v>
      </c>
      <c r="G182" s="8" t="s">
        <v>25</v>
      </c>
      <c r="H182" s="8" t="s">
        <v>59</v>
      </c>
      <c r="I182" s="642">
        <v>44308</v>
      </c>
      <c r="J182" s="18">
        <v>44379</v>
      </c>
      <c r="K182" s="642">
        <v>44378</v>
      </c>
      <c r="L182" s="16">
        <v>1</v>
      </c>
      <c r="M182" s="642"/>
      <c r="N182" s="642" t="s">
        <v>120</v>
      </c>
      <c r="O182" s="1025">
        <v>44378</v>
      </c>
      <c r="P182" s="21" t="s">
        <v>739</v>
      </c>
      <c r="Q182" s="340">
        <v>47608.161</v>
      </c>
      <c r="R182" s="1026">
        <v>0.1</v>
      </c>
      <c r="S182" s="538" t="s">
        <v>709</v>
      </c>
      <c r="T182" s="538" t="s">
        <v>709</v>
      </c>
      <c r="U182" s="28" t="s">
        <v>709</v>
      </c>
      <c r="V182" s="857">
        <v>1888</v>
      </c>
      <c r="W182" s="440"/>
      <c r="X182" s="551">
        <v>446359.68</v>
      </c>
      <c r="Y182" s="592"/>
      <c r="Z182" s="551">
        <v>29721.93</v>
      </c>
      <c r="AA182" s="551">
        <v>476081.61</v>
      </c>
      <c r="AB182" s="341"/>
      <c r="AC182" s="568" t="s">
        <v>709</v>
      </c>
      <c r="AD182" s="1157"/>
      <c r="AE182" s="579"/>
      <c r="AF182" s="579"/>
      <c r="AG182" s="579"/>
      <c r="AH182" s="553"/>
      <c r="AI182" s="1036"/>
      <c r="AJ182" s="1037"/>
      <c r="AK182" s="1037"/>
      <c r="AL182" s="1038"/>
      <c r="AM182" s="536" t="s">
        <v>116</v>
      </c>
      <c r="AN182" s="801" t="s">
        <v>709</v>
      </c>
      <c r="AO182" s="601" t="s">
        <v>115</v>
      </c>
      <c r="AP182" s="572"/>
      <c r="AQ182" s="572"/>
      <c r="AR182" s="572"/>
      <c r="AS182" s="538">
        <f>IF(Table15910[[#This Row],[PCTS Approved]]="N",0,Table15910[[#This Row],[Investment Amount (1'#'#'#'#'#)]]+Table15910[[#This Row],[Retirement Amount (3'#'#'#'#'#)]])</f>
        <v>0</v>
      </c>
      <c r="AT182" s="538">
        <f>IF(Table15910[[#This Row],[Approved Construction Cost]]=0,0,Table15910[[#This Row],[Approved Construction Cost]]-Table15910[[#This Row],[Construction Cost to Bill From]])</f>
        <v>0</v>
      </c>
      <c r="AU182" s="538">
        <f>IFERROR(Table15910[[#This Row],[Difference in Construction Cost]]*Table15910[[#This Row],[Rate]],Table15910[[#This Row],[Difference in Construction Cost]]*0.085)</f>
        <v>0</v>
      </c>
      <c r="AV182" s="572"/>
      <c r="AW182" s="639"/>
      <c r="AX182" s="538"/>
      <c r="AY182" s="1035" t="s">
        <v>709</v>
      </c>
      <c r="AZ182" s="443">
        <v>60</v>
      </c>
      <c r="BA182" s="859" t="s">
        <v>1215</v>
      </c>
      <c r="BB182" s="644" t="s">
        <v>1216</v>
      </c>
      <c r="BC182" s="544" t="s">
        <v>116</v>
      </c>
      <c r="BD182" s="544" t="s">
        <v>709</v>
      </c>
      <c r="BE182" s="544" t="s">
        <v>1217</v>
      </c>
      <c r="BF182" s="544" t="s">
        <v>709</v>
      </c>
      <c r="BG182" s="544" t="s">
        <v>709</v>
      </c>
      <c r="BH182" s="741"/>
      <c r="BI182" s="547" t="s">
        <v>709</v>
      </c>
      <c r="BJ182" s="547" t="s">
        <v>709</v>
      </c>
      <c r="BK182" s="547" t="s">
        <v>709</v>
      </c>
      <c r="BL182" s="547" t="s">
        <v>116</v>
      </c>
      <c r="BM182" s="547" t="s">
        <v>709</v>
      </c>
      <c r="BN182" s="547" t="s">
        <v>709</v>
      </c>
      <c r="BO182" s="547" t="s">
        <v>709</v>
      </c>
      <c r="BP182" s="547" t="s">
        <v>709</v>
      </c>
      <c r="BQ182" s="547">
        <v>1762</v>
      </c>
      <c r="BR182" s="547" t="s">
        <v>709</v>
      </c>
      <c r="BS182" s="547">
        <v>126</v>
      </c>
      <c r="BT182" s="547" t="s">
        <v>745</v>
      </c>
      <c r="BU182" s="547" t="s">
        <v>709</v>
      </c>
      <c r="BV182" s="547" t="s">
        <v>745</v>
      </c>
      <c r="BW182" s="547" t="s">
        <v>709</v>
      </c>
      <c r="BX182" s="547" t="s">
        <v>745</v>
      </c>
      <c r="BY182" s="547" t="s">
        <v>745</v>
      </c>
      <c r="BZ182" s="547" t="s">
        <v>709</v>
      </c>
      <c r="CA182" s="483" t="s">
        <v>2</v>
      </c>
    </row>
    <row r="183" spans="1:79" s="879" customFormat="1" ht="15" hidden="1" customHeight="1" x14ac:dyDescent="0.25">
      <c r="A183" s="8">
        <v>2021</v>
      </c>
      <c r="B183" s="8" t="s">
        <v>4</v>
      </c>
      <c r="C183" s="8" t="s">
        <v>1198</v>
      </c>
      <c r="D183" s="655" t="s">
        <v>1199</v>
      </c>
      <c r="E183" s="8" t="s">
        <v>1200</v>
      </c>
      <c r="F183" s="8" t="s">
        <v>738</v>
      </c>
      <c r="G183" s="8" t="s">
        <v>25</v>
      </c>
      <c r="H183" s="8" t="s">
        <v>59</v>
      </c>
      <c r="I183" s="642">
        <v>44264</v>
      </c>
      <c r="J183" s="18">
        <v>44327</v>
      </c>
      <c r="K183" s="642">
        <v>44326</v>
      </c>
      <c r="L183" s="16">
        <v>1</v>
      </c>
      <c r="M183" s="642"/>
      <c r="N183" s="642" t="s">
        <v>120</v>
      </c>
      <c r="O183" s="1025">
        <v>44326</v>
      </c>
      <c r="P183" s="21" t="s">
        <v>739</v>
      </c>
      <c r="Q183" s="340">
        <v>51302.567000000003</v>
      </c>
      <c r="R183" s="1026">
        <v>0.1</v>
      </c>
      <c r="S183" s="538" t="s">
        <v>709</v>
      </c>
      <c r="T183" s="538" t="s">
        <v>709</v>
      </c>
      <c r="U183" s="28" t="s">
        <v>709</v>
      </c>
      <c r="V183" s="857">
        <v>2622</v>
      </c>
      <c r="W183" s="440"/>
      <c r="X183" s="551">
        <v>484057.24</v>
      </c>
      <c r="Y183" s="591"/>
      <c r="Z183" s="538">
        <v>28968.43</v>
      </c>
      <c r="AA183" s="538">
        <v>513025.67</v>
      </c>
      <c r="AB183" s="341"/>
      <c r="AC183" s="568" t="s">
        <v>709</v>
      </c>
      <c r="AD183" s="1157"/>
      <c r="AE183" s="579"/>
      <c r="AF183" s="579"/>
      <c r="AG183" s="579"/>
      <c r="AH183" s="553"/>
      <c r="AI183" s="1036"/>
      <c r="AJ183" s="1037"/>
      <c r="AK183" s="1037"/>
      <c r="AL183" s="1038"/>
      <c r="AM183" s="536" t="s">
        <v>116</v>
      </c>
      <c r="AN183" s="680" t="s">
        <v>29</v>
      </c>
      <c r="AO183" s="601" t="s">
        <v>115</v>
      </c>
      <c r="AP183" s="572"/>
      <c r="AQ183" s="572"/>
      <c r="AR183" s="572"/>
      <c r="AS183" s="538">
        <f>IF(Table15910[[#This Row],[PCTS Approved]]="N",0,Table15910[[#This Row],[Investment Amount (1'#'#'#'#'#)]]+Table15910[[#This Row],[Retirement Amount (3'#'#'#'#'#)]])</f>
        <v>0</v>
      </c>
      <c r="AT183" s="538">
        <f>IF(Table15910[[#This Row],[Approved Construction Cost]]=0,0,Table15910[[#This Row],[Approved Construction Cost]]-Table15910[[#This Row],[Construction Cost to Bill From]])</f>
        <v>0</v>
      </c>
      <c r="AU183" s="538">
        <f>IFERROR(Table15910[[#This Row],[Difference in Construction Cost]]*Table15910[[#This Row],[Rate]],Table15910[[#This Row],[Difference in Construction Cost]]*0.085)</f>
        <v>0</v>
      </c>
      <c r="AV183" s="572"/>
      <c r="AW183" s="639"/>
      <c r="AX183" s="538"/>
      <c r="AY183" s="1035" t="s">
        <v>709</v>
      </c>
      <c r="AZ183" s="443">
        <v>58</v>
      </c>
      <c r="BA183" s="859" t="s">
        <v>1201</v>
      </c>
      <c r="BB183" s="644" t="s">
        <v>1202</v>
      </c>
      <c r="BC183" s="544" t="s">
        <v>116</v>
      </c>
      <c r="BD183" s="544" t="s">
        <v>709</v>
      </c>
      <c r="BE183" s="544" t="s">
        <v>1203</v>
      </c>
      <c r="BF183" s="544" t="s">
        <v>709</v>
      </c>
      <c r="BG183" s="544" t="s">
        <v>709</v>
      </c>
      <c r="BH183" s="741"/>
      <c r="BI183" s="547" t="s">
        <v>709</v>
      </c>
      <c r="BJ183" s="547" t="s">
        <v>709</v>
      </c>
      <c r="BK183" s="547" t="s">
        <v>709</v>
      </c>
      <c r="BL183" s="547" t="s">
        <v>116</v>
      </c>
      <c r="BM183" s="547" t="s">
        <v>709</v>
      </c>
      <c r="BN183" s="547" t="s">
        <v>709</v>
      </c>
      <c r="BO183" s="547" t="s">
        <v>709</v>
      </c>
      <c r="BP183" s="547" t="s">
        <v>709</v>
      </c>
      <c r="BQ183" s="547" t="s">
        <v>709</v>
      </c>
      <c r="BR183" s="547">
        <v>1439</v>
      </c>
      <c r="BS183" s="547">
        <v>1183</v>
      </c>
      <c r="BT183" s="547" t="s">
        <v>745</v>
      </c>
      <c r="BU183" s="547" t="s">
        <v>709</v>
      </c>
      <c r="BV183" s="547" t="s">
        <v>745</v>
      </c>
      <c r="BW183" s="547" t="s">
        <v>709</v>
      </c>
      <c r="BX183" s="547" t="s">
        <v>745</v>
      </c>
      <c r="BY183" s="547" t="s">
        <v>745</v>
      </c>
      <c r="BZ183" s="547" t="s">
        <v>709</v>
      </c>
      <c r="CA183" s="483" t="s">
        <v>2</v>
      </c>
    </row>
    <row r="184" spans="1:79" s="879" customFormat="1" ht="15" hidden="1" customHeight="1" x14ac:dyDescent="0.25">
      <c r="A184" s="8">
        <v>2021</v>
      </c>
      <c r="B184" s="8" t="s">
        <v>4</v>
      </c>
      <c r="C184" s="8" t="s">
        <v>1198</v>
      </c>
      <c r="D184" s="655" t="s">
        <v>1204</v>
      </c>
      <c r="E184" s="8" t="s">
        <v>1200</v>
      </c>
      <c r="F184" s="8" t="s">
        <v>738</v>
      </c>
      <c r="G184" s="8" t="s">
        <v>25</v>
      </c>
      <c r="H184" s="8" t="s">
        <v>59</v>
      </c>
      <c r="I184" s="642">
        <v>44264</v>
      </c>
      <c r="J184" s="18">
        <v>44327</v>
      </c>
      <c r="K184" s="642">
        <v>44326</v>
      </c>
      <c r="L184" s="16">
        <v>1</v>
      </c>
      <c r="M184" s="642"/>
      <c r="N184" s="642" t="s">
        <v>120</v>
      </c>
      <c r="O184" s="1025">
        <v>44326</v>
      </c>
      <c r="P184" s="21" t="s">
        <v>739</v>
      </c>
      <c r="Q184" s="340">
        <v>19836.063000000002</v>
      </c>
      <c r="R184" s="1026">
        <v>0.1</v>
      </c>
      <c r="S184" s="538" t="s">
        <v>709</v>
      </c>
      <c r="T184" s="538" t="s">
        <v>709</v>
      </c>
      <c r="U184" s="28" t="s">
        <v>709</v>
      </c>
      <c r="V184" s="857">
        <v>834</v>
      </c>
      <c r="W184" s="440"/>
      <c r="X184" s="551">
        <v>169446.82</v>
      </c>
      <c r="Y184" s="591"/>
      <c r="Z184" s="538">
        <v>28913.81</v>
      </c>
      <c r="AA184" s="538">
        <v>198360.63</v>
      </c>
      <c r="AB184" s="341"/>
      <c r="AC184" s="568" t="s">
        <v>709</v>
      </c>
      <c r="AD184" s="1157"/>
      <c r="AE184" s="579"/>
      <c r="AF184" s="579"/>
      <c r="AG184" s="579"/>
      <c r="AH184" s="553"/>
      <c r="AI184" s="1036"/>
      <c r="AJ184" s="1037"/>
      <c r="AK184" s="1037"/>
      <c r="AL184" s="1038"/>
      <c r="AM184" s="536" t="s">
        <v>116</v>
      </c>
      <c r="AN184" s="680" t="s">
        <v>29</v>
      </c>
      <c r="AO184" s="601" t="s">
        <v>115</v>
      </c>
      <c r="AP184" s="572"/>
      <c r="AQ184" s="572"/>
      <c r="AR184" s="572"/>
      <c r="AS184" s="538">
        <f>IF(Table15910[[#This Row],[PCTS Approved]]="N",0,Table15910[[#This Row],[Investment Amount (1'#'#'#'#'#)]]+Table15910[[#This Row],[Retirement Amount (3'#'#'#'#'#)]])</f>
        <v>0</v>
      </c>
      <c r="AT184" s="538">
        <f>IF(Table15910[[#This Row],[Approved Construction Cost]]=0,0,Table15910[[#This Row],[Approved Construction Cost]]-Table15910[[#This Row],[Construction Cost to Bill From]])</f>
        <v>0</v>
      </c>
      <c r="AU184" s="538">
        <f>IFERROR(Table15910[[#This Row],[Difference in Construction Cost]]*Table15910[[#This Row],[Rate]],Table15910[[#This Row],[Difference in Construction Cost]]*0.085)</f>
        <v>0</v>
      </c>
      <c r="AV184" s="572"/>
      <c r="AW184" s="639"/>
      <c r="AX184" s="538"/>
      <c r="AY184" s="1035" t="s">
        <v>709</v>
      </c>
      <c r="AZ184" s="443">
        <v>59</v>
      </c>
      <c r="BA184" s="859" t="s">
        <v>1201</v>
      </c>
      <c r="BB184" s="644" t="s">
        <v>1202</v>
      </c>
      <c r="BC184" s="544" t="s">
        <v>116</v>
      </c>
      <c r="BD184" s="544" t="s">
        <v>709</v>
      </c>
      <c r="BE184" s="544" t="s">
        <v>1203</v>
      </c>
      <c r="BF184" s="544" t="s">
        <v>709</v>
      </c>
      <c r="BG184" s="544" t="s">
        <v>709</v>
      </c>
      <c r="BH184" s="741"/>
      <c r="BI184" s="547" t="s">
        <v>709</v>
      </c>
      <c r="BJ184" s="547" t="s">
        <v>709</v>
      </c>
      <c r="BK184" s="547" t="s">
        <v>709</v>
      </c>
      <c r="BL184" s="547" t="s">
        <v>116</v>
      </c>
      <c r="BM184" s="547" t="s">
        <v>709</v>
      </c>
      <c r="BN184" s="547" t="s">
        <v>709</v>
      </c>
      <c r="BO184" s="547" t="s">
        <v>709</v>
      </c>
      <c r="BP184" s="547" t="s">
        <v>709</v>
      </c>
      <c r="BQ184" s="547" t="s">
        <v>709</v>
      </c>
      <c r="BR184" s="547">
        <v>1439</v>
      </c>
      <c r="BS184" s="547">
        <v>1183</v>
      </c>
      <c r="BT184" s="547" t="s">
        <v>745</v>
      </c>
      <c r="BU184" s="547" t="s">
        <v>709</v>
      </c>
      <c r="BV184" s="547" t="s">
        <v>745</v>
      </c>
      <c r="BW184" s="547" t="s">
        <v>709</v>
      </c>
      <c r="BX184" s="547" t="s">
        <v>745</v>
      </c>
      <c r="BY184" s="547" t="s">
        <v>745</v>
      </c>
      <c r="BZ184" s="547" t="s">
        <v>709</v>
      </c>
      <c r="CA184" s="483"/>
    </row>
    <row r="185" spans="1:79" s="879" customFormat="1" ht="15" hidden="1" customHeight="1" x14ac:dyDescent="0.25">
      <c r="A185" s="1397" t="s">
        <v>6816</v>
      </c>
      <c r="B185" s="1397" t="s">
        <v>1073</v>
      </c>
      <c r="C185" s="1397" t="s">
        <v>8214</v>
      </c>
      <c r="D185" s="1397" t="s">
        <v>8215</v>
      </c>
      <c r="E185" s="1397" t="s">
        <v>1032</v>
      </c>
      <c r="F185" s="1397" t="s">
        <v>851</v>
      </c>
      <c r="G185" s="1397" t="s">
        <v>34</v>
      </c>
      <c r="H185" s="1397" t="s">
        <v>59</v>
      </c>
      <c r="I185" s="1398">
        <v>45636</v>
      </c>
      <c r="J185" s="1399">
        <v>45684</v>
      </c>
      <c r="K185" s="1398">
        <v>45684</v>
      </c>
      <c r="L185" s="1400">
        <v>0</v>
      </c>
      <c r="M185" s="1401"/>
      <c r="N185" s="1402" t="s">
        <v>739</v>
      </c>
      <c r="O185" s="1403">
        <v>45689</v>
      </c>
      <c r="P185" s="1404" t="s">
        <v>739</v>
      </c>
      <c r="Q185" s="1150">
        <v>54590.836799999997</v>
      </c>
      <c r="R185" s="920">
        <v>0.08</v>
      </c>
      <c r="S185" s="1287" t="s">
        <v>29</v>
      </c>
      <c r="T185" s="1287" t="s">
        <v>29</v>
      </c>
      <c r="U185" s="1150" t="s">
        <v>29</v>
      </c>
      <c r="V185" s="1405">
        <v>264</v>
      </c>
      <c r="W185" s="1406">
        <v>4</v>
      </c>
      <c r="X185" s="1407">
        <v>682385.46</v>
      </c>
      <c r="Y185" s="891"/>
      <c r="Z185" s="1407">
        <v>0</v>
      </c>
      <c r="AA185" s="1287">
        <v>682385.46</v>
      </c>
      <c r="AB185" s="893">
        <v>45700</v>
      </c>
      <c r="AC185" s="894" t="s">
        <v>8216</v>
      </c>
      <c r="AD185" s="1162" t="s">
        <v>29</v>
      </c>
      <c r="AE185" s="940" t="s">
        <v>756</v>
      </c>
      <c r="AF185" s="940" t="s">
        <v>29</v>
      </c>
      <c r="AG185" s="896" t="s">
        <v>116</v>
      </c>
      <c r="AH185" s="940">
        <v>45707</v>
      </c>
      <c r="AI185" s="898">
        <v>0</v>
      </c>
      <c r="AJ185" s="899">
        <v>0</v>
      </c>
      <c r="AK185" s="941">
        <v>0</v>
      </c>
      <c r="AL185" s="901">
        <v>0</v>
      </c>
      <c r="AM185" s="1408" t="s">
        <v>116</v>
      </c>
      <c r="AN185" s="1409">
        <v>45727</v>
      </c>
      <c r="AO185" s="1410">
        <v>11096080</v>
      </c>
      <c r="AP185" s="1411">
        <v>682385.46</v>
      </c>
      <c r="AQ185" s="1411"/>
      <c r="AR185" s="1411">
        <v>0</v>
      </c>
      <c r="AS185" s="556">
        <f>IF(Table15910[[#This Row],[PCTS Approved]]="N",0,Table15910[[#This Row],[Investment Amount (1'#'#'#'#'#)]]+Table15910[[#This Row],[Retirement Amount (3'#'#'#'#'#)]])</f>
        <v>682385.46</v>
      </c>
      <c r="AT185" s="556">
        <f>IF(Table15910[[#This Row],[Approved Construction Cost]]=0,0,Table15910[[#This Row],[Approved Construction Cost]]-Table15910[[#This Row],[Construction Cost to Bill From]])</f>
        <v>0</v>
      </c>
      <c r="AU185" s="556">
        <f>IFERROR(Table15910[[#This Row],[Difference in Construction Cost]]*Table15910[[#This Row],[Rate]],Table15910[[#This Row],[Difference in Construction Cost]]*0.085)</f>
        <v>0</v>
      </c>
      <c r="AV185" s="1412" t="s">
        <v>29</v>
      </c>
      <c r="AW185" s="1413" t="s">
        <v>29</v>
      </c>
      <c r="AX185" s="1414"/>
      <c r="AY185" s="1415" t="s">
        <v>709</v>
      </c>
      <c r="AZ185" s="1416"/>
      <c r="BA185" s="1401" t="s">
        <v>8217</v>
      </c>
      <c r="BB185" s="1417" t="s">
        <v>1078</v>
      </c>
      <c r="BC185" s="1418" t="s">
        <v>709</v>
      </c>
      <c r="BD185" s="1418" t="s">
        <v>709</v>
      </c>
      <c r="BE185" s="1418" t="s">
        <v>1841</v>
      </c>
      <c r="BF185" s="1418" t="s">
        <v>709</v>
      </c>
      <c r="BG185" s="1419" t="s">
        <v>1078</v>
      </c>
      <c r="BH185" s="1420" t="s">
        <v>8218</v>
      </c>
      <c r="BI185" s="916" t="s">
        <v>709</v>
      </c>
      <c r="BJ185" s="916" t="s">
        <v>116</v>
      </c>
      <c r="BK185" s="916" t="s">
        <v>709</v>
      </c>
      <c r="BL185" s="916" t="s">
        <v>116</v>
      </c>
      <c r="BM185" s="916" t="s">
        <v>709</v>
      </c>
      <c r="BN185" s="916" t="s">
        <v>709</v>
      </c>
      <c r="BO185" s="916" t="s">
        <v>709</v>
      </c>
      <c r="BP185" s="944">
        <v>19</v>
      </c>
      <c r="BQ185" s="944">
        <v>86</v>
      </c>
      <c r="BR185" s="929">
        <v>63</v>
      </c>
      <c r="BS185" s="929">
        <v>36</v>
      </c>
      <c r="BT185" s="916" t="s">
        <v>709</v>
      </c>
      <c r="BU185" s="916" t="s">
        <v>709</v>
      </c>
      <c r="BV185" s="916" t="s">
        <v>709</v>
      </c>
      <c r="BW185" s="916">
        <v>4</v>
      </c>
      <c r="BX185" s="916" t="s">
        <v>709</v>
      </c>
      <c r="BY185" s="916">
        <v>2</v>
      </c>
      <c r="BZ185" s="916" t="s">
        <v>709</v>
      </c>
      <c r="CA185" s="483"/>
    </row>
    <row r="186" spans="1:79" s="879" customFormat="1" ht="15" hidden="1" customHeight="1" x14ac:dyDescent="0.25">
      <c r="A186" s="874" t="s">
        <v>6816</v>
      </c>
      <c r="B186" s="878" t="s">
        <v>4</v>
      </c>
      <c r="C186" s="879" t="s">
        <v>8249</v>
      </c>
      <c r="D186" s="880" t="s">
        <v>8250</v>
      </c>
      <c r="E186" s="879" t="s">
        <v>245</v>
      </c>
      <c r="F186" s="878" t="s">
        <v>784</v>
      </c>
      <c r="G186" s="878" t="s">
        <v>6665</v>
      </c>
      <c r="H186" s="878" t="s">
        <v>59</v>
      </c>
      <c r="I186" s="881">
        <v>45580</v>
      </c>
      <c r="J186" s="956">
        <v>45700</v>
      </c>
      <c r="K186" s="883">
        <v>45693</v>
      </c>
      <c r="L186" s="884">
        <v>7</v>
      </c>
      <c r="N186" s="885" t="s">
        <v>120</v>
      </c>
      <c r="O186" s="886">
        <v>45689</v>
      </c>
      <c r="P186" s="1153" t="s">
        <v>739</v>
      </c>
      <c r="Q186" s="1150">
        <v>91210.913</v>
      </c>
      <c r="R186" s="887">
        <v>0.1</v>
      </c>
      <c r="S186" s="888" t="s">
        <v>29</v>
      </c>
      <c r="T186" s="888" t="s">
        <v>29</v>
      </c>
      <c r="U186" s="889" t="s">
        <v>29</v>
      </c>
      <c r="V186" s="890">
        <v>1890</v>
      </c>
      <c r="W186" s="1021">
        <v>0</v>
      </c>
      <c r="X186" s="888">
        <v>666303.43999999994</v>
      </c>
      <c r="Y186" s="957"/>
      <c r="Z186" s="888">
        <v>245805.69</v>
      </c>
      <c r="AA186" s="888">
        <v>912109.12999999989</v>
      </c>
      <c r="AB186" s="958">
        <v>45688</v>
      </c>
      <c r="AC186" s="896" t="s">
        <v>709</v>
      </c>
      <c r="AD186" s="1155" t="s">
        <v>29</v>
      </c>
      <c r="AE186" s="894" t="s">
        <v>756</v>
      </c>
      <c r="AF186" s="896" t="s">
        <v>29</v>
      </c>
      <c r="AG186" s="897" t="s">
        <v>116</v>
      </c>
      <c r="AH186" s="897">
        <v>45707</v>
      </c>
      <c r="AI186" s="898">
        <v>0</v>
      </c>
      <c r="AJ186" s="899">
        <v>6685</v>
      </c>
      <c r="AK186" s="900">
        <v>8203.25</v>
      </c>
      <c r="AL186" s="901">
        <v>0.16322882328784497</v>
      </c>
      <c r="AM186" s="902" t="s">
        <v>116</v>
      </c>
      <c r="AN186" s="1353" t="s">
        <v>709</v>
      </c>
      <c r="AO186" s="904"/>
      <c r="AP186" s="905"/>
      <c r="AQ186" s="905"/>
      <c r="AR186" s="905"/>
      <c r="AS186" s="538">
        <f>IF(Table15910[[#This Row],[PCTS Approved]]="N",0,Table15910[[#This Row],[Investment Amount (1'#'#'#'#'#)]]+Table15910[[#This Row],[Retirement Amount (3'#'#'#'#'#)]])</f>
        <v>0</v>
      </c>
      <c r="AT186" s="538">
        <f>IF(Table15910[[#This Row],[Approved Construction Cost]]=0,0,Table15910[[#This Row],[Approved Construction Cost]]-Table15910[[#This Row],[Construction Cost to Bill From]])</f>
        <v>0</v>
      </c>
      <c r="AU186" s="538">
        <f>IFERROR(Table15910[[#This Row],[Difference in Construction Cost]]*Table15910[[#This Row],[Rate]],Table15910[[#This Row],[Difference in Construction Cost]]*0.085)</f>
        <v>0</v>
      </c>
      <c r="AV186" s="906"/>
      <c r="AW186" s="907"/>
      <c r="AX186" s="908"/>
      <c r="AY186" s="909" t="s">
        <v>709</v>
      </c>
      <c r="AZ186" s="1022"/>
      <c r="BA186" s="910" t="s">
        <v>8251</v>
      </c>
      <c r="BB186" s="911" t="s">
        <v>8252</v>
      </c>
      <c r="BC186" s="912" t="s">
        <v>709</v>
      </c>
      <c r="BD186" s="913" t="s">
        <v>709</v>
      </c>
      <c r="BE186" s="914" t="s">
        <v>1028</v>
      </c>
      <c r="BF186" s="914" t="s">
        <v>709</v>
      </c>
      <c r="BG186" s="915" t="s">
        <v>709</v>
      </c>
      <c r="BH186" s="1023" t="s">
        <v>8253</v>
      </c>
      <c r="BI186" s="929" t="s">
        <v>709</v>
      </c>
      <c r="BJ186" s="929" t="s">
        <v>709</v>
      </c>
      <c r="BK186" s="916" t="s">
        <v>116</v>
      </c>
      <c r="BL186" s="916" t="s">
        <v>116</v>
      </c>
      <c r="BM186" s="916" t="s">
        <v>709</v>
      </c>
      <c r="BN186" s="916">
        <v>30</v>
      </c>
      <c r="BO186" s="916" t="s">
        <v>709</v>
      </c>
      <c r="BP186" s="916" t="s">
        <v>709</v>
      </c>
      <c r="BQ186" s="916" t="s">
        <v>709</v>
      </c>
      <c r="BR186" s="916">
        <v>1267</v>
      </c>
      <c r="BS186" s="916">
        <v>593</v>
      </c>
      <c r="BT186" s="916" t="s">
        <v>745</v>
      </c>
      <c r="BU186" s="916" t="s">
        <v>709</v>
      </c>
      <c r="BV186" s="916" t="s">
        <v>745</v>
      </c>
      <c r="BW186" s="916" t="s">
        <v>709</v>
      </c>
      <c r="BX186" s="916" t="s">
        <v>745</v>
      </c>
      <c r="BY186" s="916" t="s">
        <v>745</v>
      </c>
      <c r="BZ186" s="916" t="s">
        <v>709</v>
      </c>
      <c r="CA186" s="483" t="s">
        <v>1053</v>
      </c>
    </row>
    <row r="187" spans="1:79" s="879" customFormat="1" ht="15" hidden="1" customHeight="1" x14ac:dyDescent="0.25">
      <c r="A187" s="1397" t="s">
        <v>6816</v>
      </c>
      <c r="B187" s="1397" t="s">
        <v>1073</v>
      </c>
      <c r="C187" s="1397" t="s">
        <v>8219</v>
      </c>
      <c r="D187" s="1397" t="s">
        <v>8220</v>
      </c>
      <c r="E187" s="1397" t="s">
        <v>1032</v>
      </c>
      <c r="F187" s="1397" t="s">
        <v>851</v>
      </c>
      <c r="G187" s="1397" t="s">
        <v>34</v>
      </c>
      <c r="H187" s="1397" t="s">
        <v>59</v>
      </c>
      <c r="I187" s="1398">
        <v>45636</v>
      </c>
      <c r="J187" s="1399">
        <v>45684</v>
      </c>
      <c r="K187" s="1398">
        <v>45684</v>
      </c>
      <c r="L187" s="1400">
        <v>0</v>
      </c>
      <c r="M187" s="1401"/>
      <c r="N187" s="1402" t="s">
        <v>739</v>
      </c>
      <c r="O187" s="1403">
        <v>45689</v>
      </c>
      <c r="P187" s="1404" t="s">
        <v>739</v>
      </c>
      <c r="Q187" s="1150">
        <v>17462.0432</v>
      </c>
      <c r="R187" s="920">
        <v>0.08</v>
      </c>
      <c r="S187" s="1287" t="s">
        <v>29</v>
      </c>
      <c r="T187" s="1287" t="s">
        <v>29</v>
      </c>
      <c r="U187" s="1150" t="s">
        <v>29</v>
      </c>
      <c r="V187" s="1405">
        <v>355</v>
      </c>
      <c r="W187" s="1406">
        <v>0</v>
      </c>
      <c r="X187" s="1407">
        <v>218275.54</v>
      </c>
      <c r="Y187" s="891"/>
      <c r="Z187" s="1407">
        <v>0</v>
      </c>
      <c r="AA187" s="1287">
        <v>218275.54</v>
      </c>
      <c r="AB187" s="893">
        <v>45701</v>
      </c>
      <c r="AC187" s="894" t="s">
        <v>709</v>
      </c>
      <c r="AD187" s="1162" t="s">
        <v>29</v>
      </c>
      <c r="AE187" s="940" t="s">
        <v>756</v>
      </c>
      <c r="AF187" s="940" t="s">
        <v>29</v>
      </c>
      <c r="AG187" s="896" t="s">
        <v>116</v>
      </c>
      <c r="AH187" s="940">
        <v>45707</v>
      </c>
      <c r="AI187" s="898">
        <v>0</v>
      </c>
      <c r="AJ187" s="899">
        <v>0</v>
      </c>
      <c r="AK187" s="941">
        <v>0</v>
      </c>
      <c r="AL187" s="901">
        <v>0</v>
      </c>
      <c r="AM187" s="1408" t="s">
        <v>116</v>
      </c>
      <c r="AN187" s="1409">
        <v>45735</v>
      </c>
      <c r="AO187" s="1410">
        <v>11099814</v>
      </c>
      <c r="AP187" s="1411">
        <v>218956.75</v>
      </c>
      <c r="AQ187" s="1411"/>
      <c r="AR187" s="1411">
        <v>0</v>
      </c>
      <c r="AS187" s="556">
        <f>IF(Table15910[[#This Row],[PCTS Approved]]="N",0,Table15910[[#This Row],[Investment Amount (1'#'#'#'#'#)]]+Table15910[[#This Row],[Retirement Amount (3'#'#'#'#'#)]])</f>
        <v>218956.75</v>
      </c>
      <c r="AT187" s="556">
        <f>IF(Table15910[[#This Row],[Approved Construction Cost]]=0,0,Table15910[[#This Row],[Approved Construction Cost]]-Table15910[[#This Row],[Construction Cost to Bill From]])</f>
        <v>681.20999999999185</v>
      </c>
      <c r="AU187" s="556">
        <f>IFERROR(Table15910[[#This Row],[Difference in Construction Cost]]*Table15910[[#This Row],[Rate]],Table15910[[#This Row],[Difference in Construction Cost]]*0.085)</f>
        <v>54.496799999999347</v>
      </c>
      <c r="AV187" s="1412" t="s">
        <v>29</v>
      </c>
      <c r="AW187" s="1413" t="s">
        <v>8221</v>
      </c>
      <c r="AX187" s="1414"/>
      <c r="AY187" s="1415" t="s">
        <v>709</v>
      </c>
      <c r="AZ187" s="1416"/>
      <c r="BA187" s="1401" t="s">
        <v>8222</v>
      </c>
      <c r="BB187" s="1417" t="s">
        <v>1078</v>
      </c>
      <c r="BC187" s="1418" t="s">
        <v>709</v>
      </c>
      <c r="BD187" s="1418" t="s">
        <v>709</v>
      </c>
      <c r="BE187" s="1418" t="s">
        <v>709</v>
      </c>
      <c r="BF187" s="1418" t="s">
        <v>709</v>
      </c>
      <c r="BG187" s="1419" t="s">
        <v>1078</v>
      </c>
      <c r="BH187" s="1420" t="s">
        <v>8223</v>
      </c>
      <c r="BI187" s="916" t="s">
        <v>709</v>
      </c>
      <c r="BJ187" s="916" t="s">
        <v>116</v>
      </c>
      <c r="BK187" s="916" t="s">
        <v>709</v>
      </c>
      <c r="BL187" s="916" t="s">
        <v>116</v>
      </c>
      <c r="BM187" s="916" t="s">
        <v>709</v>
      </c>
      <c r="BN187" s="916" t="s">
        <v>709</v>
      </c>
      <c r="BO187" s="916" t="s">
        <v>709</v>
      </c>
      <c r="BP187" s="944">
        <v>355</v>
      </c>
      <c r="BQ187" s="944" t="s">
        <v>709</v>
      </c>
      <c r="BR187" s="929" t="s">
        <v>29</v>
      </c>
      <c r="BS187" s="929" t="s">
        <v>709</v>
      </c>
      <c r="BT187" s="916" t="s">
        <v>709</v>
      </c>
      <c r="BU187" s="916" t="s">
        <v>709</v>
      </c>
      <c r="BV187" s="916" t="s">
        <v>709</v>
      </c>
      <c r="BW187" s="916" t="s">
        <v>709</v>
      </c>
      <c r="BX187" s="916" t="s">
        <v>709</v>
      </c>
      <c r="BY187" s="916" t="s">
        <v>709</v>
      </c>
      <c r="BZ187" s="916" t="s">
        <v>709</v>
      </c>
      <c r="CA187" s="483"/>
    </row>
    <row r="188" spans="1:79" s="879" customFormat="1" ht="15" hidden="1" customHeight="1" x14ac:dyDescent="0.25">
      <c r="A188" s="656" t="s">
        <v>781</v>
      </c>
      <c r="B188" s="656" t="s">
        <v>769</v>
      </c>
      <c r="C188" s="656" t="s">
        <v>469</v>
      </c>
      <c r="D188" s="656" t="s">
        <v>1464</v>
      </c>
      <c r="E188" s="656" t="s">
        <v>1459</v>
      </c>
      <c r="F188" s="656" t="s">
        <v>747</v>
      </c>
      <c r="G188" s="656" t="s">
        <v>22</v>
      </c>
      <c r="H188" s="737" t="s">
        <v>59</v>
      </c>
      <c r="I188" s="1375">
        <v>44439</v>
      </c>
      <c r="J188" s="1052">
        <v>45044</v>
      </c>
      <c r="K188" s="1376">
        <v>45042</v>
      </c>
      <c r="L188" s="1377">
        <v>2</v>
      </c>
      <c r="M188" s="1375"/>
      <c r="N188" s="1375" t="s">
        <v>120</v>
      </c>
      <c r="O188" s="1059">
        <v>45047</v>
      </c>
      <c r="P188" s="1378" t="s">
        <v>739</v>
      </c>
      <c r="Q188" s="340">
        <v>16797.376799999998</v>
      </c>
      <c r="R188" s="1026">
        <v>0.08</v>
      </c>
      <c r="S188" s="556"/>
      <c r="T188" s="556"/>
      <c r="U188" s="1061"/>
      <c r="V188" s="1184">
        <v>51</v>
      </c>
      <c r="W188" s="1186"/>
      <c r="X188" s="570">
        <v>184560.22</v>
      </c>
      <c r="Y188" s="591"/>
      <c r="Z188" s="570">
        <v>25406.99</v>
      </c>
      <c r="AA188" s="570">
        <v>209967.21</v>
      </c>
      <c r="AB188" s="341">
        <v>45054</v>
      </c>
      <c r="AC188" s="568" t="s">
        <v>1441</v>
      </c>
      <c r="AD188" s="1157" t="s">
        <v>29</v>
      </c>
      <c r="AE188" s="579"/>
      <c r="AF188" s="579"/>
      <c r="AG188" s="579"/>
      <c r="AH188" s="553"/>
      <c r="AI188" s="1036"/>
      <c r="AJ188" s="1037"/>
      <c r="AK188" s="1037"/>
      <c r="AL188" s="1038"/>
      <c r="AM188" s="1379" t="s">
        <v>116</v>
      </c>
      <c r="AN188" s="1380">
        <v>45601</v>
      </c>
      <c r="AO188" s="1381">
        <v>11065639</v>
      </c>
      <c r="AP188" s="1382">
        <v>191157.06</v>
      </c>
      <c r="AQ188" s="1382"/>
      <c r="AR188" s="1382">
        <v>34432.49</v>
      </c>
      <c r="AS188" s="556">
        <f>IF(Table15910[[#This Row],[PCTS Approved]]="N",0,Table15910[[#This Row],[Investment Amount (1'#'#'#'#'#)]]+Table15910[[#This Row],[Retirement Amount (3'#'#'#'#'#)]])</f>
        <v>225589.55</v>
      </c>
      <c r="AT188" s="556">
        <f>IF(Table15910[[#This Row],[Approved Construction Cost]]=0,0,Table15910[[#This Row],[Approved Construction Cost]]-Table15910[[#This Row],[Construction Cost to Bill From]])</f>
        <v>15622.339999999997</v>
      </c>
      <c r="AU188" s="556">
        <f>IFERROR(Table15910[[#This Row],[Difference in Construction Cost]]*Table15910[[#This Row],[Rate]],Table15910[[#This Row],[Difference in Construction Cost]]*0.085)</f>
        <v>1249.7871999999998</v>
      </c>
      <c r="AV188" s="1382" t="s">
        <v>29</v>
      </c>
      <c r="AW188" s="1394" t="s">
        <v>5556</v>
      </c>
      <c r="AX188" s="556"/>
      <c r="AY188" s="1386" t="s">
        <v>709</v>
      </c>
      <c r="AZ188" s="1387">
        <v>13</v>
      </c>
      <c r="BA188" s="1395" t="s">
        <v>1465</v>
      </c>
      <c r="BB188" s="1389" t="s">
        <v>1461</v>
      </c>
      <c r="BC188" s="1082" t="s">
        <v>115</v>
      </c>
      <c r="BD188" s="1082" t="s">
        <v>1462</v>
      </c>
      <c r="BE188" s="1082" t="s">
        <v>115</v>
      </c>
      <c r="BF188" s="1082" t="s">
        <v>115</v>
      </c>
      <c r="BG188" s="1082" t="s">
        <v>1463</v>
      </c>
      <c r="BH188" s="1396"/>
      <c r="BI188" s="547" t="s">
        <v>709</v>
      </c>
      <c r="BJ188" s="547" t="s">
        <v>116</v>
      </c>
      <c r="BK188" s="547" t="s">
        <v>116</v>
      </c>
      <c r="BL188" s="547" t="s">
        <v>116</v>
      </c>
      <c r="BM188" s="547" t="s">
        <v>709</v>
      </c>
      <c r="BN188" s="547" t="s">
        <v>709</v>
      </c>
      <c r="BO188" s="547" t="s">
        <v>709</v>
      </c>
      <c r="BP188" s="547" t="s">
        <v>709</v>
      </c>
      <c r="BQ188" s="547" t="s">
        <v>709</v>
      </c>
      <c r="BR188" s="547">
        <v>3</v>
      </c>
      <c r="BS188" s="547">
        <v>43</v>
      </c>
      <c r="BT188" s="547" t="s">
        <v>745</v>
      </c>
      <c r="BU188" s="547" t="s">
        <v>709</v>
      </c>
      <c r="BV188" s="547" t="s">
        <v>745</v>
      </c>
      <c r="BW188" s="547" t="s">
        <v>709</v>
      </c>
      <c r="BX188" s="547" t="s">
        <v>745</v>
      </c>
      <c r="BY188" s="547">
        <v>1</v>
      </c>
      <c r="BZ188" s="547" t="s">
        <v>709</v>
      </c>
      <c r="CA188" s="483"/>
    </row>
    <row r="189" spans="1:79" s="879" customFormat="1" ht="15" hidden="1" customHeight="1" x14ac:dyDescent="0.25">
      <c r="A189" s="656" t="s">
        <v>781</v>
      </c>
      <c r="B189" s="656" t="s">
        <v>769</v>
      </c>
      <c r="C189" s="656" t="s">
        <v>1457</v>
      </c>
      <c r="D189" s="656" t="s">
        <v>1458</v>
      </c>
      <c r="E189" s="656" t="s">
        <v>1459</v>
      </c>
      <c r="F189" s="656" t="s">
        <v>747</v>
      </c>
      <c r="G189" s="656" t="s">
        <v>22</v>
      </c>
      <c r="H189" s="656" t="s">
        <v>59</v>
      </c>
      <c r="I189" s="1375">
        <v>45020</v>
      </c>
      <c r="J189" s="1052">
        <v>45044</v>
      </c>
      <c r="K189" s="1376">
        <v>45042</v>
      </c>
      <c r="L189" s="1377">
        <v>2</v>
      </c>
      <c r="M189" s="1375"/>
      <c r="N189" s="1375" t="s">
        <v>120</v>
      </c>
      <c r="O189" s="1059">
        <v>45047</v>
      </c>
      <c r="P189" s="1378" t="s">
        <v>739</v>
      </c>
      <c r="Q189" s="340">
        <v>39668.469600000004</v>
      </c>
      <c r="R189" s="1026">
        <v>0.08</v>
      </c>
      <c r="S189" s="556"/>
      <c r="T189" s="556"/>
      <c r="U189" s="1061"/>
      <c r="V189" s="1184">
        <v>1832</v>
      </c>
      <c r="W189" s="1186"/>
      <c r="X189" s="556">
        <v>470513.43</v>
      </c>
      <c r="Y189" s="591"/>
      <c r="Z189" s="570">
        <v>25342.44</v>
      </c>
      <c r="AA189" s="570">
        <v>495855.87</v>
      </c>
      <c r="AB189" s="341">
        <v>45054</v>
      </c>
      <c r="AC189" s="568" t="s">
        <v>1441</v>
      </c>
      <c r="AD189" s="1157" t="s">
        <v>29</v>
      </c>
      <c r="AE189" s="579"/>
      <c r="AF189" s="579"/>
      <c r="AG189" s="579"/>
      <c r="AH189" s="553"/>
      <c r="AI189" s="1036"/>
      <c r="AJ189" s="1037"/>
      <c r="AK189" s="1037"/>
      <c r="AL189" s="1038"/>
      <c r="AM189" s="1379" t="s">
        <v>116</v>
      </c>
      <c r="AN189" s="1380">
        <v>45601</v>
      </c>
      <c r="AO189" s="1381">
        <v>11093187</v>
      </c>
      <c r="AP189" s="1382">
        <v>526526.31999999995</v>
      </c>
      <c r="AQ189" s="1382"/>
      <c r="AR189" s="1382">
        <v>34367.94</v>
      </c>
      <c r="AS189" s="556">
        <f>IF(Table15910[[#This Row],[PCTS Approved]]="N",0,Table15910[[#This Row],[Investment Amount (1'#'#'#'#'#)]]+Table15910[[#This Row],[Retirement Amount (3'#'#'#'#'#)]])</f>
        <v>560894.26</v>
      </c>
      <c r="AT189" s="556">
        <f>IF(Table15910[[#This Row],[Approved Construction Cost]]=0,0,Table15910[[#This Row],[Approved Construction Cost]]-Table15910[[#This Row],[Construction Cost to Bill From]])</f>
        <v>65038.390000000014</v>
      </c>
      <c r="AU189" s="556">
        <f>IFERROR(Table15910[[#This Row],[Difference in Construction Cost]]*Table15910[[#This Row],[Rate]],Table15910[[#This Row],[Difference in Construction Cost]]*0.085)</f>
        <v>5203.0712000000012</v>
      </c>
      <c r="AV189" s="1382" t="s">
        <v>29</v>
      </c>
      <c r="AW189" s="1394" t="s">
        <v>5558</v>
      </c>
      <c r="AX189" s="556"/>
      <c r="AY189" s="1386" t="s">
        <v>709</v>
      </c>
      <c r="AZ189" s="1387">
        <v>12</v>
      </c>
      <c r="BA189" s="1395" t="s">
        <v>1460</v>
      </c>
      <c r="BB189" s="1389" t="s">
        <v>1461</v>
      </c>
      <c r="BC189" s="1082" t="s">
        <v>115</v>
      </c>
      <c r="BD189" s="1082" t="s">
        <v>1462</v>
      </c>
      <c r="BE189" s="1082" t="s">
        <v>115</v>
      </c>
      <c r="BF189" s="1082" t="s">
        <v>115</v>
      </c>
      <c r="BG189" s="1082" t="s">
        <v>1463</v>
      </c>
      <c r="BH189" s="1396"/>
      <c r="BI189" s="547" t="s">
        <v>709</v>
      </c>
      <c r="BJ189" s="547" t="s">
        <v>116</v>
      </c>
      <c r="BK189" s="547" t="s">
        <v>116</v>
      </c>
      <c r="BL189" s="547" t="s">
        <v>116</v>
      </c>
      <c r="BM189" s="547" t="s">
        <v>709</v>
      </c>
      <c r="BN189" s="547" t="s">
        <v>709</v>
      </c>
      <c r="BO189" s="547" t="s">
        <v>709</v>
      </c>
      <c r="BP189" s="547" t="s">
        <v>709</v>
      </c>
      <c r="BQ189" s="547" t="s">
        <v>709</v>
      </c>
      <c r="BR189" s="547">
        <v>3</v>
      </c>
      <c r="BS189" s="547">
        <v>43</v>
      </c>
      <c r="BT189" s="547" t="s">
        <v>745</v>
      </c>
      <c r="BU189" s="547" t="s">
        <v>709</v>
      </c>
      <c r="BV189" s="547" t="s">
        <v>745</v>
      </c>
      <c r="BW189" s="547" t="s">
        <v>709</v>
      </c>
      <c r="BX189" s="547" t="s">
        <v>745</v>
      </c>
      <c r="BY189" s="547">
        <v>1</v>
      </c>
      <c r="BZ189" s="547" t="s">
        <v>709</v>
      </c>
      <c r="CA189" s="483"/>
    </row>
    <row r="190" spans="1:79" s="879" customFormat="1" ht="15" hidden="1" customHeight="1" x14ac:dyDescent="0.25">
      <c r="A190" s="656" t="s">
        <v>781</v>
      </c>
      <c r="B190" s="656" t="s">
        <v>769</v>
      </c>
      <c r="C190" s="656" t="s">
        <v>1466</v>
      </c>
      <c r="D190" s="656" t="s">
        <v>1467</v>
      </c>
      <c r="E190" s="656" t="s">
        <v>1459</v>
      </c>
      <c r="F190" s="656" t="s">
        <v>747</v>
      </c>
      <c r="G190" s="656" t="s">
        <v>22</v>
      </c>
      <c r="H190" s="737" t="s">
        <v>59</v>
      </c>
      <c r="I190" s="1375">
        <v>45020</v>
      </c>
      <c r="J190" s="1052">
        <v>45044</v>
      </c>
      <c r="K190" s="1376">
        <v>45042</v>
      </c>
      <c r="L190" s="1377">
        <v>2</v>
      </c>
      <c r="M190" s="1375"/>
      <c r="N190" s="1375" t="s">
        <v>120</v>
      </c>
      <c r="O190" s="1059">
        <v>45047</v>
      </c>
      <c r="P190" s="1378" t="s">
        <v>739</v>
      </c>
      <c r="Q190" s="340">
        <v>8425.1904000000013</v>
      </c>
      <c r="R190" s="1026">
        <v>0.08</v>
      </c>
      <c r="S190" s="556"/>
      <c r="T190" s="556"/>
      <c r="U190" s="1061"/>
      <c r="V190" s="1184">
        <v>0</v>
      </c>
      <c r="W190" s="1186"/>
      <c r="X190" s="570">
        <v>79103.53</v>
      </c>
      <c r="Y190" s="591"/>
      <c r="Z190" s="570">
        <v>26211.35</v>
      </c>
      <c r="AA190" s="570">
        <v>105314.88</v>
      </c>
      <c r="AB190" s="341">
        <v>45054</v>
      </c>
      <c r="AC190" s="568" t="s">
        <v>1441</v>
      </c>
      <c r="AD190" s="1157" t="s">
        <v>29</v>
      </c>
      <c r="AE190" s="579"/>
      <c r="AF190" s="579"/>
      <c r="AG190" s="579"/>
      <c r="AH190" s="553"/>
      <c r="AI190" s="1036"/>
      <c r="AJ190" s="1037"/>
      <c r="AK190" s="1037"/>
      <c r="AL190" s="1038"/>
      <c r="AM190" s="1379" t="s">
        <v>116</v>
      </c>
      <c r="AN190" s="1380">
        <v>45601</v>
      </c>
      <c r="AO190" s="1381">
        <v>11093186</v>
      </c>
      <c r="AP190" s="1382">
        <v>130794.03</v>
      </c>
      <c r="AQ190" s="1382"/>
      <c r="AR190" s="1382">
        <v>36750.800000000003</v>
      </c>
      <c r="AS190" s="556">
        <f>IF(Table15910[[#This Row],[PCTS Approved]]="N",0,Table15910[[#This Row],[Investment Amount (1'#'#'#'#'#)]]+Table15910[[#This Row],[Retirement Amount (3'#'#'#'#'#)]])</f>
        <v>167544.83000000002</v>
      </c>
      <c r="AT190" s="556">
        <f>IF(Table15910[[#This Row],[Approved Construction Cost]]=0,0,Table15910[[#This Row],[Approved Construction Cost]]-Table15910[[#This Row],[Construction Cost to Bill From]])</f>
        <v>62229.950000000012</v>
      </c>
      <c r="AU190" s="556">
        <f>IFERROR(Table15910[[#This Row],[Difference in Construction Cost]]*Table15910[[#This Row],[Rate]],Table15910[[#This Row],[Difference in Construction Cost]]*0.085)</f>
        <v>4978.3960000000006</v>
      </c>
      <c r="AV190" s="1382" t="s">
        <v>29</v>
      </c>
      <c r="AW190" s="1394" t="s">
        <v>5560</v>
      </c>
      <c r="AX190" s="556"/>
      <c r="AY190" s="1386" t="s">
        <v>709</v>
      </c>
      <c r="AZ190" s="1387">
        <v>14</v>
      </c>
      <c r="BA190" s="1395" t="s">
        <v>1468</v>
      </c>
      <c r="BB190" s="1389" t="s">
        <v>1461</v>
      </c>
      <c r="BC190" s="1082" t="s">
        <v>115</v>
      </c>
      <c r="BD190" s="1082" t="s">
        <v>1462</v>
      </c>
      <c r="BE190" s="1082" t="s">
        <v>115</v>
      </c>
      <c r="BF190" s="1082" t="s">
        <v>115</v>
      </c>
      <c r="BG190" s="1082" t="s">
        <v>1463</v>
      </c>
      <c r="BH190" s="1396"/>
      <c r="BI190" s="547" t="s">
        <v>709</v>
      </c>
      <c r="BJ190" s="547" t="s">
        <v>116</v>
      </c>
      <c r="BK190" s="547" t="s">
        <v>116</v>
      </c>
      <c r="BL190" s="547" t="s">
        <v>116</v>
      </c>
      <c r="BM190" s="547" t="s">
        <v>709</v>
      </c>
      <c r="BN190" s="547" t="s">
        <v>709</v>
      </c>
      <c r="BO190" s="547" t="s">
        <v>709</v>
      </c>
      <c r="BP190" s="547" t="s">
        <v>709</v>
      </c>
      <c r="BQ190" s="547" t="s">
        <v>709</v>
      </c>
      <c r="BR190" s="547">
        <v>3</v>
      </c>
      <c r="BS190" s="547">
        <v>43</v>
      </c>
      <c r="BT190" s="547" t="s">
        <v>745</v>
      </c>
      <c r="BU190" s="547" t="s">
        <v>709</v>
      </c>
      <c r="BV190" s="547" t="s">
        <v>745</v>
      </c>
      <c r="BW190" s="547" t="s">
        <v>709</v>
      </c>
      <c r="BX190" s="547" t="s">
        <v>745</v>
      </c>
      <c r="BY190" s="547">
        <v>1</v>
      </c>
      <c r="BZ190" s="547" t="s">
        <v>709</v>
      </c>
      <c r="CA190" s="483" t="s">
        <v>730</v>
      </c>
    </row>
    <row r="191" spans="1:79" s="879" customFormat="1" ht="15" hidden="1" customHeight="1" x14ac:dyDescent="0.25">
      <c r="A191" s="878" t="s">
        <v>6816</v>
      </c>
      <c r="B191" s="878" t="s">
        <v>730</v>
      </c>
      <c r="C191" s="1397" t="s">
        <v>8194</v>
      </c>
      <c r="D191" s="878" t="s">
        <v>8195</v>
      </c>
      <c r="E191" s="878" t="s">
        <v>8126</v>
      </c>
      <c r="F191" s="878" t="s">
        <v>6643</v>
      </c>
      <c r="G191" s="878" t="s">
        <v>34</v>
      </c>
      <c r="H191" s="878" t="s">
        <v>413</v>
      </c>
      <c r="I191" s="883">
        <v>45550</v>
      </c>
      <c r="J191" s="945">
        <v>45671</v>
      </c>
      <c r="K191" s="883">
        <v>45671</v>
      </c>
      <c r="L191" s="919">
        <v>0</v>
      </c>
      <c r="M191" s="939"/>
      <c r="N191" s="885" t="s">
        <v>739</v>
      </c>
      <c r="O191" s="886">
        <v>45658</v>
      </c>
      <c r="P191" s="1153" t="s">
        <v>120</v>
      </c>
      <c r="Q191" s="1150">
        <v>28835.468999999997</v>
      </c>
      <c r="R191" s="920">
        <v>0.09</v>
      </c>
      <c r="S191" s="888"/>
      <c r="T191" s="888">
        <v>0</v>
      </c>
      <c r="U191" s="889">
        <v>0</v>
      </c>
      <c r="V191" s="890">
        <v>377</v>
      </c>
      <c r="W191" s="1021">
        <v>0</v>
      </c>
      <c r="X191" s="892">
        <v>208153.97</v>
      </c>
      <c r="Y191" s="935"/>
      <c r="Z191" s="892">
        <v>112240.13</v>
      </c>
      <c r="AA191" s="892">
        <v>320394.09999999998</v>
      </c>
      <c r="AB191" s="893">
        <v>45678</v>
      </c>
      <c r="AC191" s="894" t="s">
        <v>709</v>
      </c>
      <c r="AD191" s="1162" t="s">
        <v>29</v>
      </c>
      <c r="AE191" s="940" t="s">
        <v>756</v>
      </c>
      <c r="AF191" s="940" t="s">
        <v>29</v>
      </c>
      <c r="AG191" s="896" t="s">
        <v>376</v>
      </c>
      <c r="AH191" s="940" t="s">
        <v>376</v>
      </c>
      <c r="AI191" s="898">
        <v>0</v>
      </c>
      <c r="AJ191" s="899">
        <v>0</v>
      </c>
      <c r="AK191" s="941">
        <v>0</v>
      </c>
      <c r="AL191" s="901">
        <v>0</v>
      </c>
      <c r="AM191" s="902" t="s">
        <v>116</v>
      </c>
      <c r="AN191" s="1279">
        <v>45733</v>
      </c>
      <c r="AO191" s="1292">
        <v>11100030</v>
      </c>
      <c r="AP191" s="1293">
        <v>208153.97</v>
      </c>
      <c r="AQ191" s="1293"/>
      <c r="AR191" s="1293">
        <v>112240.13</v>
      </c>
      <c r="AS191" s="538">
        <f>IF(Table15910[[#This Row],[PCTS Approved]]="N",0,Table15910[[#This Row],[Investment Amount (1'#'#'#'#'#)]]+Table15910[[#This Row],[Retirement Amount (3'#'#'#'#'#)]])</f>
        <v>320394.09999999998</v>
      </c>
      <c r="AT191" s="538">
        <f>IF(Table15910[[#This Row],[Approved Construction Cost]]=0,0,Table15910[[#This Row],[Approved Construction Cost]]-Table15910[[#This Row],[Construction Cost to Bill From]])</f>
        <v>0</v>
      </c>
      <c r="AU191" s="538">
        <f>IFERROR(Table15910[[#This Row],[Difference in Construction Cost]]*Table15910[[#This Row],[Rate]],Table15910[[#This Row],[Difference in Construction Cost]]*0.085)</f>
        <v>0</v>
      </c>
      <c r="AV191" s="1295" t="s">
        <v>29</v>
      </c>
      <c r="AW191" s="1294"/>
      <c r="AX191" s="908"/>
      <c r="AY191" s="909"/>
      <c r="AZ191" s="1022" t="s">
        <v>120</v>
      </c>
      <c r="BA191" s="939" t="s">
        <v>8196</v>
      </c>
      <c r="BB191" s="942" t="s">
        <v>8197</v>
      </c>
      <c r="BC191" s="915" t="s">
        <v>116</v>
      </c>
      <c r="BD191" s="915" t="s">
        <v>115</v>
      </c>
      <c r="BE191" s="915" t="s">
        <v>3205</v>
      </c>
      <c r="BF191" s="915" t="s">
        <v>115</v>
      </c>
      <c r="BG191" s="943" t="s">
        <v>115</v>
      </c>
      <c r="BH191" s="1023" t="s">
        <v>8198</v>
      </c>
      <c r="BI191" s="916" t="s">
        <v>709</v>
      </c>
      <c r="BJ191" s="916" t="s">
        <v>709</v>
      </c>
      <c r="BK191" s="916" t="s">
        <v>116</v>
      </c>
      <c r="BL191" s="916" t="s">
        <v>709</v>
      </c>
      <c r="BM191" s="916" t="s">
        <v>116</v>
      </c>
      <c r="BN191" s="916" t="s">
        <v>709</v>
      </c>
      <c r="BO191" s="916" t="s">
        <v>709</v>
      </c>
      <c r="BP191" s="944" t="s">
        <v>709</v>
      </c>
      <c r="BQ191" s="944" t="s">
        <v>709</v>
      </c>
      <c r="BR191" s="929">
        <v>348</v>
      </c>
      <c r="BS191" s="929">
        <v>29</v>
      </c>
      <c r="BT191" s="916" t="s">
        <v>709</v>
      </c>
      <c r="BU191" s="916" t="s">
        <v>709</v>
      </c>
      <c r="BV191" s="916" t="s">
        <v>709</v>
      </c>
      <c r="BW191" s="916" t="s">
        <v>709</v>
      </c>
      <c r="BX191" s="916" t="s">
        <v>709</v>
      </c>
      <c r="BY191" s="916" t="s">
        <v>709</v>
      </c>
      <c r="BZ191" s="916" t="s">
        <v>709</v>
      </c>
      <c r="CA191" s="483"/>
    </row>
    <row r="192" spans="1:79" s="879" customFormat="1" ht="15" hidden="1" customHeight="1" x14ac:dyDescent="0.25">
      <c r="A192" s="8">
        <v>2023</v>
      </c>
      <c r="B192" s="8" t="s">
        <v>730</v>
      </c>
      <c r="C192" s="656" t="s">
        <v>1371</v>
      </c>
      <c r="D192" s="8" t="s">
        <v>1372</v>
      </c>
      <c r="E192" s="8" t="s">
        <v>1373</v>
      </c>
      <c r="F192" s="8" t="s">
        <v>752</v>
      </c>
      <c r="G192" s="8" t="s">
        <v>34</v>
      </c>
      <c r="H192" s="8" t="s">
        <v>59</v>
      </c>
      <c r="I192" s="642">
        <v>44750</v>
      </c>
      <c r="J192" s="18">
        <v>44862</v>
      </c>
      <c r="K192" s="97">
        <v>44862</v>
      </c>
      <c r="L192" s="16">
        <v>0</v>
      </c>
      <c r="M192" s="642"/>
      <c r="N192" s="642" t="s">
        <v>120</v>
      </c>
      <c r="O192" s="1025">
        <v>44866</v>
      </c>
      <c r="P192" s="21" t="s">
        <v>120</v>
      </c>
      <c r="Q192" s="87">
        <v>40167.617399999996</v>
      </c>
      <c r="R192" s="1026">
        <v>0.09</v>
      </c>
      <c r="S192" s="538"/>
      <c r="T192" s="538"/>
      <c r="U192" s="87"/>
      <c r="V192" s="858">
        <v>1949</v>
      </c>
      <c r="W192" s="437"/>
      <c r="X192" s="570">
        <v>405369.01</v>
      </c>
      <c r="Y192" s="592"/>
      <c r="Z192" s="570">
        <v>40937.85</v>
      </c>
      <c r="AA192" s="552">
        <v>446306.86</v>
      </c>
      <c r="AB192" s="341">
        <v>44867</v>
      </c>
      <c r="AC192" s="568" t="s">
        <v>709</v>
      </c>
      <c r="AD192" s="1157" t="s">
        <v>709</v>
      </c>
      <c r="AE192" s="579"/>
      <c r="AF192" s="579"/>
      <c r="AG192" s="579"/>
      <c r="AH192" s="553"/>
      <c r="AI192" s="1036"/>
      <c r="AJ192" s="1037"/>
      <c r="AK192" s="1037"/>
      <c r="AL192" s="1038"/>
      <c r="AM192" s="536" t="s">
        <v>116</v>
      </c>
      <c r="AN192" s="680">
        <v>45573</v>
      </c>
      <c r="AO192" s="681">
        <v>11091536</v>
      </c>
      <c r="AP192" s="682">
        <v>351493.28</v>
      </c>
      <c r="AQ192" s="682"/>
      <c r="AR192" s="682">
        <v>40937.85</v>
      </c>
      <c r="AS192" s="538">
        <f>IF(Table15910[[#This Row],[PCTS Approved]]="N",0,Table15910[[#This Row],[Investment Amount (1'#'#'#'#'#)]]+Table15910[[#This Row],[Retirement Amount (3'#'#'#'#'#)]])</f>
        <v>392431.13</v>
      </c>
      <c r="AT192" s="538">
        <f>IF(Table15910[[#This Row],[Approved Construction Cost]]=0,0,Table15910[[#This Row],[Approved Construction Cost]]-Table15910[[#This Row],[Construction Cost to Bill From]])</f>
        <v>-53875.729999999981</v>
      </c>
      <c r="AU192" s="538">
        <f>IFERROR(Table15910[[#This Row],[Difference in Construction Cost]]*Table15910[[#This Row],[Rate]],Table15910[[#This Row],[Difference in Construction Cost]]*0.085)</f>
        <v>-4848.8156999999983</v>
      </c>
      <c r="AV192" s="682" t="s">
        <v>29</v>
      </c>
      <c r="AW192" s="686" t="s">
        <v>4974</v>
      </c>
      <c r="AX192" s="538"/>
      <c r="AY192" s="1035" t="s">
        <v>709</v>
      </c>
      <c r="AZ192" s="443">
        <v>28</v>
      </c>
      <c r="BA192" s="859" t="s">
        <v>1374</v>
      </c>
      <c r="BB192" s="644" t="s">
        <v>1375</v>
      </c>
      <c r="BC192" s="544" t="s">
        <v>116</v>
      </c>
      <c r="BD192" s="544" t="s">
        <v>115</v>
      </c>
      <c r="BE192" s="544" t="s">
        <v>115</v>
      </c>
      <c r="BF192" s="544" t="s">
        <v>1376</v>
      </c>
      <c r="BG192" s="544" t="s">
        <v>115</v>
      </c>
      <c r="BH192" s="741"/>
      <c r="BI192" s="547" t="s">
        <v>709</v>
      </c>
      <c r="BJ192" s="547" t="s">
        <v>709</v>
      </c>
      <c r="BK192" s="547" t="s">
        <v>709</v>
      </c>
      <c r="BL192" s="547" t="s">
        <v>116</v>
      </c>
      <c r="BM192" s="547" t="s">
        <v>709</v>
      </c>
      <c r="BN192" s="547" t="s">
        <v>709</v>
      </c>
      <c r="BO192" s="547" t="s">
        <v>709</v>
      </c>
      <c r="BP192" s="547" t="s">
        <v>709</v>
      </c>
      <c r="BQ192" s="547" t="s">
        <v>709</v>
      </c>
      <c r="BR192" s="547" t="s">
        <v>709</v>
      </c>
      <c r="BS192" s="547">
        <v>1949</v>
      </c>
      <c r="BT192" s="547" t="s">
        <v>709</v>
      </c>
      <c r="BU192" s="547" t="s">
        <v>709</v>
      </c>
      <c r="BV192" s="547" t="s">
        <v>745</v>
      </c>
      <c r="BW192" s="547" t="s">
        <v>709</v>
      </c>
      <c r="BX192" s="547" t="s">
        <v>709</v>
      </c>
      <c r="BY192" s="547" t="s">
        <v>745</v>
      </c>
      <c r="BZ192" s="547" t="s">
        <v>709</v>
      </c>
      <c r="CA192" s="483" t="s">
        <v>1237</v>
      </c>
    </row>
    <row r="193" spans="1:79" s="879" customFormat="1" ht="15" hidden="1" customHeight="1" x14ac:dyDescent="0.25">
      <c r="A193" s="8" t="s">
        <v>749</v>
      </c>
      <c r="B193" s="8" t="s">
        <v>4</v>
      </c>
      <c r="C193" s="8" t="s">
        <v>1623</v>
      </c>
      <c r="D193" s="8" t="s">
        <v>1624</v>
      </c>
      <c r="E193" s="8" t="s">
        <v>400</v>
      </c>
      <c r="F193" s="8" t="s">
        <v>784</v>
      </c>
      <c r="G193" s="8" t="s">
        <v>35</v>
      </c>
      <c r="H193" s="8" t="s">
        <v>59</v>
      </c>
      <c r="I193" s="642">
        <v>45027</v>
      </c>
      <c r="J193" s="18">
        <v>45173</v>
      </c>
      <c r="K193" s="97">
        <v>45168</v>
      </c>
      <c r="L193" s="16">
        <v>5</v>
      </c>
      <c r="M193" s="642"/>
      <c r="N193" s="642" t="s">
        <v>120</v>
      </c>
      <c r="O193" s="1060">
        <v>45170</v>
      </c>
      <c r="P193" s="1152" t="s">
        <v>739</v>
      </c>
      <c r="Q193" s="340">
        <v>80882.487000000008</v>
      </c>
      <c r="R193" s="1026">
        <v>0.1</v>
      </c>
      <c r="S193" s="538"/>
      <c r="T193" s="538"/>
      <c r="U193" s="87"/>
      <c r="V193" s="858">
        <v>1531</v>
      </c>
      <c r="W193" s="437">
        <v>0</v>
      </c>
      <c r="X193" s="538">
        <v>766647.95</v>
      </c>
      <c r="Y193" s="551"/>
      <c r="Z193" s="570">
        <v>42176.92</v>
      </c>
      <c r="AA193" s="552">
        <v>808824.87</v>
      </c>
      <c r="AB193" s="341">
        <v>45107</v>
      </c>
      <c r="AC193" s="568" t="s">
        <v>116</v>
      </c>
      <c r="AD193" s="1157" t="s">
        <v>29</v>
      </c>
      <c r="AE193" s="568" t="s">
        <v>756</v>
      </c>
      <c r="AF193" s="568" t="s">
        <v>29</v>
      </c>
      <c r="AG193" s="569" t="s">
        <v>756</v>
      </c>
      <c r="AH193" s="183" t="s">
        <v>29</v>
      </c>
      <c r="AI193" s="1036"/>
      <c r="AJ193" s="1037"/>
      <c r="AK193" s="1037"/>
      <c r="AL193" s="1038"/>
      <c r="AM193" s="536" t="s">
        <v>116</v>
      </c>
      <c r="AN193" s="1310" t="s">
        <v>709</v>
      </c>
      <c r="AO193" s="601" t="s">
        <v>115</v>
      </c>
      <c r="AP193" s="572"/>
      <c r="AQ193" s="572"/>
      <c r="AR193" s="572"/>
      <c r="AS193" s="538">
        <f>IF(Table15910[[#This Row],[PCTS Approved]]="N",0,Table15910[[#This Row],[Investment Amount (1'#'#'#'#'#)]]+Table15910[[#This Row],[Retirement Amount (3'#'#'#'#'#)]])</f>
        <v>0</v>
      </c>
      <c r="AT193" s="538">
        <f>IF(Table15910[[#This Row],[Approved Construction Cost]]=0,0,Table15910[[#This Row],[Approved Construction Cost]]-Table15910[[#This Row],[Construction Cost to Bill From]])</f>
        <v>0</v>
      </c>
      <c r="AU193" s="538">
        <f>IFERROR(Table15910[[#This Row],[Difference in Construction Cost]]*Table15910[[#This Row],[Rate]],Table15910[[#This Row],[Difference in Construction Cost]]*0.085)</f>
        <v>0</v>
      </c>
      <c r="AV193" s="572"/>
      <c r="AW193" s="639"/>
      <c r="AX193" s="538"/>
      <c r="AY193" s="1035" t="s">
        <v>709</v>
      </c>
      <c r="AZ193" s="443">
        <v>97</v>
      </c>
      <c r="BA193" s="1076" t="s">
        <v>1625</v>
      </c>
      <c r="BB193" s="653" t="s">
        <v>870</v>
      </c>
      <c r="BC193" s="544" t="s">
        <v>115</v>
      </c>
      <c r="BD193" s="544" t="s">
        <v>1626</v>
      </c>
      <c r="BE193" s="559" t="s">
        <v>1627</v>
      </c>
      <c r="BF193" s="554" t="s">
        <v>709</v>
      </c>
      <c r="BG193" s="548" t="s">
        <v>709</v>
      </c>
      <c r="BH193" s="749"/>
      <c r="BI193" s="547" t="s">
        <v>709</v>
      </c>
      <c r="BJ193" s="547" t="s">
        <v>709</v>
      </c>
      <c r="BK193" s="547" t="s">
        <v>116</v>
      </c>
      <c r="BL193" s="547" t="s">
        <v>709</v>
      </c>
      <c r="BM193" s="547" t="s">
        <v>709</v>
      </c>
      <c r="BN193" s="547" t="s">
        <v>709</v>
      </c>
      <c r="BO193" s="547" t="s">
        <v>709</v>
      </c>
      <c r="BP193" s="547">
        <v>600</v>
      </c>
      <c r="BQ193" s="547" t="s">
        <v>709</v>
      </c>
      <c r="BR193" s="547" t="s">
        <v>709</v>
      </c>
      <c r="BS193" s="547" t="s">
        <v>709</v>
      </c>
      <c r="BT193" s="547" t="s">
        <v>709</v>
      </c>
      <c r="BU193" s="547" t="s">
        <v>709</v>
      </c>
      <c r="BV193" s="547" t="s">
        <v>745</v>
      </c>
      <c r="BW193" s="547" t="s">
        <v>709</v>
      </c>
      <c r="BX193" s="547" t="s">
        <v>709</v>
      </c>
      <c r="BY193" s="547" t="s">
        <v>709</v>
      </c>
      <c r="BZ193" s="547" t="s">
        <v>709</v>
      </c>
      <c r="CA193" s="483"/>
    </row>
    <row r="194" spans="1:79" s="879" customFormat="1" ht="15" hidden="1" customHeight="1" x14ac:dyDescent="0.25">
      <c r="A194" s="8" t="s">
        <v>749</v>
      </c>
      <c r="B194" s="8" t="s">
        <v>4</v>
      </c>
      <c r="C194" s="8" t="s">
        <v>399</v>
      </c>
      <c r="D194" s="8" t="s">
        <v>1628</v>
      </c>
      <c r="E194" s="8" t="s">
        <v>400</v>
      </c>
      <c r="F194" s="8" t="s">
        <v>784</v>
      </c>
      <c r="G194" s="8" t="s">
        <v>35</v>
      </c>
      <c r="H194" s="8" t="s">
        <v>59</v>
      </c>
      <c r="I194" s="642">
        <v>45027</v>
      </c>
      <c r="J194" s="18">
        <v>45173</v>
      </c>
      <c r="K194" s="97">
        <v>45168</v>
      </c>
      <c r="L194" s="16">
        <v>5</v>
      </c>
      <c r="M194" s="642"/>
      <c r="N194" s="642" t="s">
        <v>120</v>
      </c>
      <c r="O194" s="1060">
        <v>45170</v>
      </c>
      <c r="P194" s="1152" t="s">
        <v>739</v>
      </c>
      <c r="Q194" s="340">
        <v>22244.629000000001</v>
      </c>
      <c r="R194" s="1026">
        <v>0.1</v>
      </c>
      <c r="S194" s="538"/>
      <c r="T194" s="538"/>
      <c r="U194" s="87"/>
      <c r="V194" s="858">
        <v>600</v>
      </c>
      <c r="W194" s="437">
        <v>0</v>
      </c>
      <c r="X194" s="538">
        <v>210973.81</v>
      </c>
      <c r="Y194" s="551"/>
      <c r="Z194" s="570">
        <v>11472.48</v>
      </c>
      <c r="AA194" s="552">
        <v>222446.29</v>
      </c>
      <c r="AB194" s="341">
        <v>45107</v>
      </c>
      <c r="AC194" s="568" t="s">
        <v>116</v>
      </c>
      <c r="AD194" s="1157" t="s">
        <v>29</v>
      </c>
      <c r="AE194" s="568" t="s">
        <v>756</v>
      </c>
      <c r="AF194" s="568" t="s">
        <v>29</v>
      </c>
      <c r="AG194" s="569" t="s">
        <v>756</v>
      </c>
      <c r="AH194" s="183" t="s">
        <v>29</v>
      </c>
      <c r="AI194" s="1036"/>
      <c r="AJ194" s="1037"/>
      <c r="AK194" s="1037"/>
      <c r="AL194" s="1038"/>
      <c r="AM194" s="536" t="s">
        <v>116</v>
      </c>
      <c r="AN194" s="1310" t="s">
        <v>709</v>
      </c>
      <c r="AO194" s="601" t="s">
        <v>115</v>
      </c>
      <c r="AP194" s="572"/>
      <c r="AQ194" s="572"/>
      <c r="AR194" s="572"/>
      <c r="AS194" s="538">
        <f>IF(Table15910[[#This Row],[PCTS Approved]]="N",0,Table15910[[#This Row],[Investment Amount (1'#'#'#'#'#)]]+Table15910[[#This Row],[Retirement Amount (3'#'#'#'#'#)]])</f>
        <v>0</v>
      </c>
      <c r="AT194" s="538">
        <f>IF(Table15910[[#This Row],[Approved Construction Cost]]=0,0,Table15910[[#This Row],[Approved Construction Cost]]-Table15910[[#This Row],[Construction Cost to Bill From]])</f>
        <v>0</v>
      </c>
      <c r="AU194" s="538">
        <f>IFERROR(Table15910[[#This Row],[Difference in Construction Cost]]*Table15910[[#This Row],[Rate]],Table15910[[#This Row],[Difference in Construction Cost]]*0.085)</f>
        <v>0</v>
      </c>
      <c r="AV194" s="572"/>
      <c r="AW194" s="639"/>
      <c r="AX194" s="538"/>
      <c r="AY194" s="1035" t="s">
        <v>709</v>
      </c>
      <c r="AZ194" s="443">
        <v>98</v>
      </c>
      <c r="BA194" s="1076" t="s">
        <v>1629</v>
      </c>
      <c r="BB194" s="653" t="s">
        <v>870</v>
      </c>
      <c r="BC194" s="544" t="s">
        <v>115</v>
      </c>
      <c r="BD194" s="544" t="s">
        <v>1626</v>
      </c>
      <c r="BE194" s="559" t="s">
        <v>1627</v>
      </c>
      <c r="BF194" s="554" t="s">
        <v>709</v>
      </c>
      <c r="BG194" s="548" t="s">
        <v>709</v>
      </c>
      <c r="BH194" s="749" t="s">
        <v>1630</v>
      </c>
      <c r="BI194" s="547" t="s">
        <v>709</v>
      </c>
      <c r="BJ194" s="547" t="s">
        <v>709</v>
      </c>
      <c r="BK194" s="547" t="s">
        <v>116</v>
      </c>
      <c r="BL194" s="547" t="s">
        <v>709</v>
      </c>
      <c r="BM194" s="547" t="s">
        <v>709</v>
      </c>
      <c r="BN194" s="547" t="s">
        <v>709</v>
      </c>
      <c r="BO194" s="547" t="s">
        <v>709</v>
      </c>
      <c r="BP194" s="547">
        <v>600</v>
      </c>
      <c r="BQ194" s="547" t="s">
        <v>709</v>
      </c>
      <c r="BR194" s="547" t="s">
        <v>709</v>
      </c>
      <c r="BS194" s="547" t="s">
        <v>709</v>
      </c>
      <c r="BT194" s="547" t="s">
        <v>709</v>
      </c>
      <c r="BU194" s="547" t="s">
        <v>709</v>
      </c>
      <c r="BV194" s="547" t="s">
        <v>745</v>
      </c>
      <c r="BW194" s="547" t="s">
        <v>709</v>
      </c>
      <c r="BX194" s="547" t="s">
        <v>709</v>
      </c>
      <c r="BY194" s="547" t="s">
        <v>709</v>
      </c>
      <c r="BZ194" s="547" t="s">
        <v>709</v>
      </c>
      <c r="CA194" s="483" t="s">
        <v>731</v>
      </c>
    </row>
    <row r="195" spans="1:79" s="879" customFormat="1" ht="15" hidden="1" customHeight="1" x14ac:dyDescent="0.25">
      <c r="A195" s="8" t="s">
        <v>781</v>
      </c>
      <c r="B195" s="8" t="s">
        <v>4</v>
      </c>
      <c r="C195" s="8" t="s">
        <v>1382</v>
      </c>
      <c r="D195" s="8" t="s">
        <v>1383</v>
      </c>
      <c r="E195" s="8" t="s">
        <v>1384</v>
      </c>
      <c r="F195" s="8" t="s">
        <v>747</v>
      </c>
      <c r="G195" s="8" t="s">
        <v>35</v>
      </c>
      <c r="H195" s="8" t="s">
        <v>59</v>
      </c>
      <c r="I195" s="642">
        <v>44721</v>
      </c>
      <c r="J195" s="18">
        <v>44895</v>
      </c>
      <c r="K195" s="97">
        <v>44893</v>
      </c>
      <c r="L195" s="16">
        <v>2</v>
      </c>
      <c r="M195" s="642"/>
      <c r="N195" s="642" t="s">
        <v>120</v>
      </c>
      <c r="O195" s="1060">
        <v>44896</v>
      </c>
      <c r="P195" s="21" t="s">
        <v>739</v>
      </c>
      <c r="Q195" s="1061">
        <v>57646.325000000004</v>
      </c>
      <c r="R195" s="1026">
        <v>0.1</v>
      </c>
      <c r="S195" s="538"/>
      <c r="T195" s="538"/>
      <c r="U195" s="87"/>
      <c r="V195" s="858">
        <v>2110</v>
      </c>
      <c r="W195" s="437"/>
      <c r="X195" s="570">
        <v>534271.6</v>
      </c>
      <c r="Y195" s="592"/>
      <c r="Z195" s="570">
        <v>42191.65</v>
      </c>
      <c r="AA195" s="552">
        <v>576463.25</v>
      </c>
      <c r="AB195" s="341" t="s">
        <v>709</v>
      </c>
      <c r="AC195" s="568" t="s">
        <v>709</v>
      </c>
      <c r="AD195" s="1157" t="s">
        <v>29</v>
      </c>
      <c r="AE195" s="579"/>
      <c r="AF195" s="579"/>
      <c r="AG195" s="579"/>
      <c r="AH195" s="553"/>
      <c r="AI195" s="1036"/>
      <c r="AJ195" s="1037"/>
      <c r="AK195" s="1037"/>
      <c r="AL195" s="1038"/>
      <c r="AM195" s="536" t="s">
        <v>116</v>
      </c>
      <c r="AN195" s="801" t="s">
        <v>709</v>
      </c>
      <c r="AO195" s="601" t="s">
        <v>115</v>
      </c>
      <c r="AP195" s="572"/>
      <c r="AQ195" s="572"/>
      <c r="AR195" s="572"/>
      <c r="AS195" s="538">
        <f>IF(Table15910[[#This Row],[PCTS Approved]]="N",0,Table15910[[#This Row],[Investment Amount (1'#'#'#'#'#)]]+Table15910[[#This Row],[Retirement Amount (3'#'#'#'#'#)]])</f>
        <v>0</v>
      </c>
      <c r="AT195" s="538">
        <f>IF(Table15910[[#This Row],[Approved Construction Cost]]=0,0,Table15910[[#This Row],[Approved Construction Cost]]-Table15910[[#This Row],[Construction Cost to Bill From]])</f>
        <v>0</v>
      </c>
      <c r="AU195" s="538">
        <f>IFERROR(Table15910[[#This Row],[Difference in Construction Cost]]*Table15910[[#This Row],[Rate]],Table15910[[#This Row],[Difference in Construction Cost]]*0.085)</f>
        <v>0</v>
      </c>
      <c r="AV195" s="572"/>
      <c r="AW195" s="639"/>
      <c r="AX195" s="538"/>
      <c r="AY195" s="1035" t="s">
        <v>709</v>
      </c>
      <c r="AZ195" s="443">
        <v>75</v>
      </c>
      <c r="BA195" s="859" t="s">
        <v>1385</v>
      </c>
      <c r="BB195" s="644" t="s">
        <v>1386</v>
      </c>
      <c r="BC195" s="544" t="s">
        <v>709</v>
      </c>
      <c r="BD195" s="544" t="s">
        <v>115</v>
      </c>
      <c r="BE195" s="544" t="s">
        <v>1387</v>
      </c>
      <c r="BF195" s="544" t="s">
        <v>115</v>
      </c>
      <c r="BG195" s="544" t="s">
        <v>115</v>
      </c>
      <c r="BH195" s="741"/>
      <c r="BI195" s="547" t="s">
        <v>709</v>
      </c>
      <c r="BJ195" s="547" t="s">
        <v>709</v>
      </c>
      <c r="BK195" s="547" t="s">
        <v>709</v>
      </c>
      <c r="BL195" s="547" t="s">
        <v>116</v>
      </c>
      <c r="BM195" s="547" t="s">
        <v>709</v>
      </c>
      <c r="BN195" s="547" t="s">
        <v>709</v>
      </c>
      <c r="BO195" s="547" t="s">
        <v>709</v>
      </c>
      <c r="BP195" s="547" t="s">
        <v>709</v>
      </c>
      <c r="BQ195" s="547">
        <v>2081</v>
      </c>
      <c r="BR195" s="547">
        <v>4</v>
      </c>
      <c r="BS195" s="547">
        <v>25</v>
      </c>
      <c r="BT195" s="547" t="s">
        <v>745</v>
      </c>
      <c r="BU195" s="547" t="s">
        <v>709</v>
      </c>
      <c r="BV195" s="547" t="s">
        <v>745</v>
      </c>
      <c r="BW195" s="547" t="s">
        <v>709</v>
      </c>
      <c r="BX195" s="547" t="s">
        <v>745</v>
      </c>
      <c r="BY195" s="547" t="s">
        <v>745</v>
      </c>
      <c r="BZ195" s="547" t="s">
        <v>709</v>
      </c>
      <c r="CA195" s="483"/>
    </row>
    <row r="196" spans="1:79" s="879" customFormat="1" ht="15" hidden="1" customHeight="1" x14ac:dyDescent="0.25">
      <c r="A196" s="8" t="s">
        <v>781</v>
      </c>
      <c r="B196" s="8" t="s">
        <v>4</v>
      </c>
      <c r="C196" s="8" t="s">
        <v>1357</v>
      </c>
      <c r="D196" s="8" t="s">
        <v>1358</v>
      </c>
      <c r="E196" s="8" t="s">
        <v>958</v>
      </c>
      <c r="F196" s="8" t="s">
        <v>784</v>
      </c>
      <c r="G196" s="8" t="s">
        <v>35</v>
      </c>
      <c r="H196" s="8" t="s">
        <v>59</v>
      </c>
      <c r="I196" s="642">
        <v>44774</v>
      </c>
      <c r="J196" s="18">
        <v>44862</v>
      </c>
      <c r="K196" s="97">
        <v>44852</v>
      </c>
      <c r="L196" s="16">
        <v>10</v>
      </c>
      <c r="M196" s="642"/>
      <c r="N196" s="642" t="s">
        <v>120</v>
      </c>
      <c r="O196" s="1060">
        <v>44896</v>
      </c>
      <c r="P196" s="21" t="s">
        <v>739</v>
      </c>
      <c r="Q196" s="1061">
        <v>77940.687000000005</v>
      </c>
      <c r="R196" s="1026">
        <v>0.1</v>
      </c>
      <c r="S196" s="538"/>
      <c r="T196" s="538"/>
      <c r="U196" s="87"/>
      <c r="V196" s="1220">
        <v>2941</v>
      </c>
      <c r="W196" s="437"/>
      <c r="X196" s="570">
        <v>747426.32</v>
      </c>
      <c r="Y196" s="592"/>
      <c r="Z196" s="570">
        <v>31980.55</v>
      </c>
      <c r="AA196" s="552">
        <v>779406.87</v>
      </c>
      <c r="AB196" s="341">
        <v>44886</v>
      </c>
      <c r="AC196" s="568" t="s">
        <v>709</v>
      </c>
      <c r="AD196" s="1157" t="s">
        <v>709</v>
      </c>
      <c r="AE196" s="579"/>
      <c r="AF196" s="579"/>
      <c r="AG196" s="579"/>
      <c r="AH196" s="553"/>
      <c r="AI196" s="1036"/>
      <c r="AJ196" s="1037"/>
      <c r="AK196" s="1037"/>
      <c r="AL196" s="1038"/>
      <c r="AM196" s="536" t="s">
        <v>116</v>
      </c>
      <c r="AN196" s="801" t="s">
        <v>709</v>
      </c>
      <c r="AO196" s="601" t="s">
        <v>115</v>
      </c>
      <c r="AP196" s="572"/>
      <c r="AQ196" s="572"/>
      <c r="AR196" s="572"/>
      <c r="AS196" s="538">
        <f>IF(Table15910[[#This Row],[PCTS Approved]]="N",0,Table15910[[#This Row],[Investment Amount (1'#'#'#'#'#)]]+Table15910[[#This Row],[Retirement Amount (3'#'#'#'#'#)]])</f>
        <v>0</v>
      </c>
      <c r="AT196" s="538">
        <f>IF(Table15910[[#This Row],[Approved Construction Cost]]=0,0,Table15910[[#This Row],[Approved Construction Cost]]-Table15910[[#This Row],[Construction Cost to Bill From]])</f>
        <v>0</v>
      </c>
      <c r="AU196" s="538">
        <f>IFERROR(Table15910[[#This Row],[Difference in Construction Cost]]*Table15910[[#This Row],[Rate]],Table15910[[#This Row],[Difference in Construction Cost]]*0.085)</f>
        <v>0</v>
      </c>
      <c r="AV196" s="572"/>
      <c r="AW196" s="639"/>
      <c r="AX196" s="538"/>
      <c r="AY196" s="1035" t="s">
        <v>709</v>
      </c>
      <c r="AZ196" s="443">
        <v>72</v>
      </c>
      <c r="BA196" s="1063">
        <v>7</v>
      </c>
      <c r="BB196" s="650" t="s">
        <v>1359</v>
      </c>
      <c r="BC196" s="544" t="s">
        <v>116</v>
      </c>
      <c r="BD196" s="544" t="s">
        <v>115</v>
      </c>
      <c r="BE196" s="544" t="s">
        <v>592</v>
      </c>
      <c r="BF196" s="544" t="s">
        <v>115</v>
      </c>
      <c r="BG196" s="544" t="s">
        <v>115</v>
      </c>
      <c r="BH196" s="741"/>
      <c r="BI196" s="547" t="s">
        <v>709</v>
      </c>
      <c r="BJ196" s="547" t="s">
        <v>709</v>
      </c>
      <c r="BK196" s="547" t="s">
        <v>709</v>
      </c>
      <c r="BL196" s="547" t="s">
        <v>116</v>
      </c>
      <c r="BM196" s="547" t="s">
        <v>709</v>
      </c>
      <c r="BN196" s="547" t="s">
        <v>709</v>
      </c>
      <c r="BO196" s="547" t="s">
        <v>709</v>
      </c>
      <c r="BP196" s="547" t="s">
        <v>709</v>
      </c>
      <c r="BQ196" s="547" t="s">
        <v>709</v>
      </c>
      <c r="BR196" s="547">
        <v>1889</v>
      </c>
      <c r="BS196" s="547">
        <v>1052</v>
      </c>
      <c r="BT196" s="547" t="s">
        <v>745</v>
      </c>
      <c r="BU196" s="547" t="s">
        <v>709</v>
      </c>
      <c r="BV196" s="547" t="s">
        <v>745</v>
      </c>
      <c r="BW196" s="547" t="s">
        <v>709</v>
      </c>
      <c r="BX196" s="547" t="s">
        <v>745</v>
      </c>
      <c r="BY196" s="547" t="s">
        <v>745</v>
      </c>
      <c r="BZ196" s="547" t="s">
        <v>709</v>
      </c>
      <c r="CA196" s="483"/>
    </row>
    <row r="197" spans="1:79" s="879" customFormat="1" ht="15" hidden="1" customHeight="1" x14ac:dyDescent="0.25">
      <c r="A197" s="8" t="s">
        <v>781</v>
      </c>
      <c r="B197" s="8" t="s">
        <v>4</v>
      </c>
      <c r="C197" s="8" t="s">
        <v>1341</v>
      </c>
      <c r="D197" s="8" t="s">
        <v>1342</v>
      </c>
      <c r="E197" s="8" t="s">
        <v>1136</v>
      </c>
      <c r="F197" s="8" t="s">
        <v>784</v>
      </c>
      <c r="G197" s="8" t="s">
        <v>35</v>
      </c>
      <c r="H197" s="8" t="s">
        <v>59</v>
      </c>
      <c r="I197" s="642">
        <v>44718</v>
      </c>
      <c r="J197" s="18">
        <v>44819</v>
      </c>
      <c r="K197" s="97">
        <v>44817</v>
      </c>
      <c r="L197" s="16">
        <v>2</v>
      </c>
      <c r="M197" s="642"/>
      <c r="N197" s="642" t="s">
        <v>120</v>
      </c>
      <c r="O197" s="1025">
        <v>44835</v>
      </c>
      <c r="P197" s="21" t="s">
        <v>739</v>
      </c>
      <c r="Q197" s="1061">
        <v>83840.455000000016</v>
      </c>
      <c r="R197" s="1026">
        <v>0.1</v>
      </c>
      <c r="S197" s="538"/>
      <c r="T197" s="538"/>
      <c r="U197" s="87"/>
      <c r="V197" s="1220">
        <v>2909</v>
      </c>
      <c r="W197" s="437"/>
      <c r="X197" s="571">
        <v>798419.77</v>
      </c>
      <c r="Y197" s="592"/>
      <c r="Z197" s="571">
        <v>39984.78</v>
      </c>
      <c r="AA197" s="552">
        <v>838404.55</v>
      </c>
      <c r="AB197" s="341">
        <v>44853</v>
      </c>
      <c r="AC197" s="568" t="s">
        <v>709</v>
      </c>
      <c r="AD197" s="1157" t="s">
        <v>29</v>
      </c>
      <c r="AE197" s="579"/>
      <c r="AF197" s="579"/>
      <c r="AG197" s="579"/>
      <c r="AH197" s="553"/>
      <c r="AI197" s="1036"/>
      <c r="AJ197" s="1037"/>
      <c r="AK197" s="1037"/>
      <c r="AL197" s="1038"/>
      <c r="AM197" s="536" t="s">
        <v>116</v>
      </c>
      <c r="AN197" s="801" t="s">
        <v>709</v>
      </c>
      <c r="AO197" s="601" t="s">
        <v>115</v>
      </c>
      <c r="AP197" s="572"/>
      <c r="AQ197" s="572"/>
      <c r="AR197" s="572"/>
      <c r="AS197" s="538">
        <f>IF(Table15910[[#This Row],[PCTS Approved]]="N",0,Table15910[[#This Row],[Investment Amount (1'#'#'#'#'#)]]+Table15910[[#This Row],[Retirement Amount (3'#'#'#'#'#)]])</f>
        <v>0</v>
      </c>
      <c r="AT197" s="538">
        <f>IF(Table15910[[#This Row],[Approved Construction Cost]]=0,0,Table15910[[#This Row],[Approved Construction Cost]]-Table15910[[#This Row],[Construction Cost to Bill From]])</f>
        <v>0</v>
      </c>
      <c r="AU197" s="538">
        <f>IFERROR(Table15910[[#This Row],[Difference in Construction Cost]]*Table15910[[#This Row],[Rate]],Table15910[[#This Row],[Difference in Construction Cost]]*0.085)</f>
        <v>0</v>
      </c>
      <c r="AV197" s="572"/>
      <c r="AW197" s="639"/>
      <c r="AX197" s="538"/>
      <c r="AY197" s="1035" t="s">
        <v>709</v>
      </c>
      <c r="AZ197" s="443">
        <v>71</v>
      </c>
      <c r="BA197" s="859" t="s">
        <v>1343</v>
      </c>
      <c r="BB197" s="644" t="s">
        <v>1344</v>
      </c>
      <c r="BC197" s="544" t="s">
        <v>115</v>
      </c>
      <c r="BD197" s="544" t="s">
        <v>115</v>
      </c>
      <c r="BE197" s="544" t="s">
        <v>115</v>
      </c>
      <c r="BF197" s="544" t="s">
        <v>1028</v>
      </c>
      <c r="BG197" s="544" t="s">
        <v>115</v>
      </c>
      <c r="BH197" s="741"/>
      <c r="BI197" s="547" t="s">
        <v>709</v>
      </c>
      <c r="BJ197" s="547" t="s">
        <v>709</v>
      </c>
      <c r="BK197" s="547" t="s">
        <v>709</v>
      </c>
      <c r="BL197" s="547" t="s">
        <v>116</v>
      </c>
      <c r="BM197" s="547" t="s">
        <v>709</v>
      </c>
      <c r="BN197" s="547" t="s">
        <v>709</v>
      </c>
      <c r="BO197" s="547" t="s">
        <v>709</v>
      </c>
      <c r="BP197" s="547" t="s">
        <v>709</v>
      </c>
      <c r="BQ197" s="547">
        <v>133</v>
      </c>
      <c r="BR197" s="547" t="s">
        <v>709</v>
      </c>
      <c r="BS197" s="547">
        <v>2027</v>
      </c>
      <c r="BT197" s="547" t="s">
        <v>745</v>
      </c>
      <c r="BU197" s="547" t="s">
        <v>709</v>
      </c>
      <c r="BV197" s="547" t="s">
        <v>745</v>
      </c>
      <c r="BW197" s="547" t="s">
        <v>709</v>
      </c>
      <c r="BX197" s="547" t="s">
        <v>745</v>
      </c>
      <c r="BY197" s="547" t="s">
        <v>745</v>
      </c>
      <c r="BZ197" s="547" t="s">
        <v>709</v>
      </c>
      <c r="CA197" s="483"/>
    </row>
    <row r="198" spans="1:79" s="879" customFormat="1" ht="15" hidden="1" customHeight="1" x14ac:dyDescent="0.25">
      <c r="A198" s="8">
        <v>2022</v>
      </c>
      <c r="B198" s="8" t="s">
        <v>4</v>
      </c>
      <c r="C198" s="8" t="s">
        <v>1278</v>
      </c>
      <c r="D198" s="8" t="s">
        <v>1279</v>
      </c>
      <c r="E198" s="8" t="s">
        <v>1280</v>
      </c>
      <c r="F198" s="8" t="s">
        <v>738</v>
      </c>
      <c r="G198" s="8" t="s">
        <v>35</v>
      </c>
      <c r="H198" s="8" t="s">
        <v>59</v>
      </c>
      <c r="I198" s="642">
        <v>44656</v>
      </c>
      <c r="J198" s="97">
        <v>44705</v>
      </c>
      <c r="K198" s="97">
        <v>44704</v>
      </c>
      <c r="L198" s="16">
        <v>1</v>
      </c>
      <c r="M198" s="642"/>
      <c r="N198" s="642" t="s">
        <v>120</v>
      </c>
      <c r="O198" s="1025">
        <v>44704</v>
      </c>
      <c r="P198" s="21" t="s">
        <v>739</v>
      </c>
      <c r="Q198" s="1061">
        <v>10622.783000000001</v>
      </c>
      <c r="R198" s="1026">
        <v>0.1</v>
      </c>
      <c r="S198" s="538" t="s">
        <v>709</v>
      </c>
      <c r="T198" s="538" t="s">
        <v>709</v>
      </c>
      <c r="U198" s="87" t="s">
        <v>709</v>
      </c>
      <c r="V198" s="1278">
        <v>81</v>
      </c>
      <c r="W198" s="440"/>
      <c r="X198" s="551">
        <v>92799.81</v>
      </c>
      <c r="Y198" s="592"/>
      <c r="Z198" s="551">
        <v>13428.02</v>
      </c>
      <c r="AA198" s="551">
        <v>106227.83</v>
      </c>
      <c r="AB198" s="341"/>
      <c r="AC198" s="568" t="s">
        <v>709</v>
      </c>
      <c r="AD198" s="1157" t="s">
        <v>709</v>
      </c>
      <c r="AE198" s="579"/>
      <c r="AF198" s="579"/>
      <c r="AG198" s="569"/>
      <c r="AH198" s="553"/>
      <c r="AI198" s="1036"/>
      <c r="AJ198" s="1037"/>
      <c r="AK198" s="1037"/>
      <c r="AL198" s="1038"/>
      <c r="AM198" s="536" t="s">
        <v>116</v>
      </c>
      <c r="AN198" s="801" t="s">
        <v>709</v>
      </c>
      <c r="AO198" s="601" t="s">
        <v>115</v>
      </c>
      <c r="AP198" s="572"/>
      <c r="AQ198" s="572"/>
      <c r="AR198" s="572"/>
      <c r="AS198" s="538">
        <f>IF(Table15910[[#This Row],[PCTS Approved]]="N",0,Table15910[[#This Row],[Investment Amount (1'#'#'#'#'#)]]+Table15910[[#This Row],[Retirement Amount (3'#'#'#'#'#)]])</f>
        <v>0</v>
      </c>
      <c r="AT198" s="538">
        <f>IF(Table15910[[#This Row],[Approved Construction Cost]]=0,0,Table15910[[#This Row],[Approved Construction Cost]]-Table15910[[#This Row],[Construction Cost to Bill From]])</f>
        <v>0</v>
      </c>
      <c r="AU198" s="538">
        <f>IFERROR(Table15910[[#This Row],[Difference in Construction Cost]]*Table15910[[#This Row],[Rate]],Table15910[[#This Row],[Difference in Construction Cost]]*0.085)</f>
        <v>0</v>
      </c>
      <c r="AV198" s="572"/>
      <c r="AW198" s="639"/>
      <c r="AX198" s="538"/>
      <c r="AY198" s="1035" t="s">
        <v>709</v>
      </c>
      <c r="AZ198" s="443">
        <v>67</v>
      </c>
      <c r="BA198" s="859" t="s">
        <v>1281</v>
      </c>
      <c r="BB198" s="644" t="s">
        <v>1282</v>
      </c>
      <c r="BC198" s="544" t="s">
        <v>709</v>
      </c>
      <c r="BD198" s="544" t="s">
        <v>709</v>
      </c>
      <c r="BE198" s="544" t="s">
        <v>1283</v>
      </c>
      <c r="BF198" s="544" t="s">
        <v>709</v>
      </c>
      <c r="BG198" s="544" t="s">
        <v>709</v>
      </c>
      <c r="BH198" s="741"/>
      <c r="BI198" s="547" t="s">
        <v>709</v>
      </c>
      <c r="BJ198" s="547" t="s">
        <v>709</v>
      </c>
      <c r="BK198" s="547" t="s">
        <v>709</v>
      </c>
      <c r="BL198" s="547" t="s">
        <v>116</v>
      </c>
      <c r="BM198" s="547" t="s">
        <v>709</v>
      </c>
      <c r="BN198" s="547" t="s">
        <v>709</v>
      </c>
      <c r="BO198" s="547" t="s">
        <v>709</v>
      </c>
      <c r="BP198" s="547" t="s">
        <v>709</v>
      </c>
      <c r="BQ198" s="547" t="s">
        <v>709</v>
      </c>
      <c r="BR198" s="547" t="s">
        <v>709</v>
      </c>
      <c r="BS198" s="547">
        <v>81</v>
      </c>
      <c r="BT198" s="547" t="s">
        <v>745</v>
      </c>
      <c r="BU198" s="547" t="s">
        <v>709</v>
      </c>
      <c r="BV198" s="547" t="s">
        <v>745</v>
      </c>
      <c r="BW198" s="547" t="s">
        <v>709</v>
      </c>
      <c r="BX198" s="547" t="s">
        <v>745</v>
      </c>
      <c r="BY198" s="547" t="s">
        <v>745</v>
      </c>
      <c r="BZ198" s="547" t="s">
        <v>709</v>
      </c>
      <c r="CA198" s="483"/>
    </row>
    <row r="199" spans="1:79" s="879" customFormat="1" ht="15" hidden="1" customHeight="1" x14ac:dyDescent="0.25">
      <c r="A199" s="8">
        <v>2023</v>
      </c>
      <c r="B199" s="8" t="s">
        <v>730</v>
      </c>
      <c r="C199" s="656" t="s">
        <v>1426</v>
      </c>
      <c r="D199" s="8" t="s">
        <v>1427</v>
      </c>
      <c r="E199" s="8" t="s">
        <v>1428</v>
      </c>
      <c r="F199" s="8" t="s">
        <v>752</v>
      </c>
      <c r="G199" s="8" t="s">
        <v>6996</v>
      </c>
      <c r="H199" s="8" t="s">
        <v>59</v>
      </c>
      <c r="I199" s="642">
        <v>44888</v>
      </c>
      <c r="J199" s="18">
        <v>45009</v>
      </c>
      <c r="K199" s="97">
        <v>45005</v>
      </c>
      <c r="L199" s="16">
        <v>4</v>
      </c>
      <c r="M199" s="642"/>
      <c r="N199" s="642" t="s">
        <v>120</v>
      </c>
      <c r="O199" s="1060">
        <v>45017</v>
      </c>
      <c r="P199" s="1152" t="s">
        <v>120</v>
      </c>
      <c r="Q199" s="340">
        <v>46794.15</v>
      </c>
      <c r="R199" s="1026">
        <v>0.09</v>
      </c>
      <c r="S199" s="538"/>
      <c r="T199" s="538"/>
      <c r="U199" s="87"/>
      <c r="V199" s="1220">
        <v>3077</v>
      </c>
      <c r="W199" s="437">
        <v>2</v>
      </c>
      <c r="X199" s="538">
        <v>452148.43</v>
      </c>
      <c r="Y199" s="592"/>
      <c r="Z199" s="552">
        <v>67786.570000000007</v>
      </c>
      <c r="AA199" s="552">
        <v>519935</v>
      </c>
      <c r="AB199" s="341" t="s">
        <v>709</v>
      </c>
      <c r="AC199" s="568" t="s">
        <v>709</v>
      </c>
      <c r="AD199" s="1157" t="s">
        <v>29</v>
      </c>
      <c r="AE199" s="579"/>
      <c r="AF199" s="579"/>
      <c r="AG199" s="579"/>
      <c r="AH199" s="553"/>
      <c r="AI199" s="1036"/>
      <c r="AJ199" s="1037"/>
      <c r="AK199" s="1037"/>
      <c r="AL199" s="1038"/>
      <c r="AM199" s="536" t="s">
        <v>116</v>
      </c>
      <c r="AN199" s="680">
        <v>45566</v>
      </c>
      <c r="AO199" s="681">
        <v>11056677</v>
      </c>
      <c r="AP199" s="682">
        <v>492625.96</v>
      </c>
      <c r="AQ199" s="682"/>
      <c r="AR199" s="682">
        <v>70857.600000000006</v>
      </c>
      <c r="AS199" s="538">
        <f>IF(Table15910[[#This Row],[PCTS Approved]]="N",0,Table15910[[#This Row],[Investment Amount (1'#'#'#'#'#)]]+Table15910[[#This Row],[Retirement Amount (3'#'#'#'#'#)]])</f>
        <v>563483.56000000006</v>
      </c>
      <c r="AT199" s="538">
        <f>IF(Table15910[[#This Row],[Approved Construction Cost]]=0,0,Table15910[[#This Row],[Approved Construction Cost]]-Table15910[[#This Row],[Construction Cost to Bill From]])</f>
        <v>43548.560000000056</v>
      </c>
      <c r="AU199" s="538">
        <f>IFERROR(Table15910[[#This Row],[Difference in Construction Cost]]*Table15910[[#This Row],[Rate]],Table15910[[#This Row],[Difference in Construction Cost]]*0.085)</f>
        <v>3919.3704000000048</v>
      </c>
      <c r="AV199" s="682" t="s">
        <v>29</v>
      </c>
      <c r="AW199" s="686" t="s">
        <v>5454</v>
      </c>
      <c r="AX199" s="538"/>
      <c r="AY199" s="1035" t="s">
        <v>709</v>
      </c>
      <c r="AZ199" s="443">
        <v>37</v>
      </c>
      <c r="BA199" s="859" t="s">
        <v>1429</v>
      </c>
      <c r="BB199" s="644" t="s">
        <v>1430</v>
      </c>
      <c r="BC199" s="544" t="s">
        <v>115</v>
      </c>
      <c r="BD199" s="544" t="s">
        <v>1066</v>
      </c>
      <c r="BE199" s="544" t="s">
        <v>1431</v>
      </c>
      <c r="BF199" s="544" t="s">
        <v>1432</v>
      </c>
      <c r="BG199" s="544" t="s">
        <v>115</v>
      </c>
      <c r="BH199" s="741" t="s">
        <v>1433</v>
      </c>
      <c r="BI199" s="547" t="s">
        <v>709</v>
      </c>
      <c r="BJ199" s="547" t="s">
        <v>709</v>
      </c>
      <c r="BK199" s="547" t="s">
        <v>709</v>
      </c>
      <c r="BL199" s="547" t="s">
        <v>116</v>
      </c>
      <c r="BM199" s="547" t="s">
        <v>709</v>
      </c>
      <c r="BN199" s="547" t="s">
        <v>709</v>
      </c>
      <c r="BO199" s="547" t="s">
        <v>709</v>
      </c>
      <c r="BP199" s="547" t="s">
        <v>709</v>
      </c>
      <c r="BQ199" s="547" t="s">
        <v>709</v>
      </c>
      <c r="BR199" s="547">
        <v>3047</v>
      </c>
      <c r="BS199" s="547">
        <v>30</v>
      </c>
      <c r="BT199" s="547" t="s">
        <v>709</v>
      </c>
      <c r="BU199" s="547" t="s">
        <v>709</v>
      </c>
      <c r="BV199" s="547" t="s">
        <v>709</v>
      </c>
      <c r="BW199" s="547" t="s">
        <v>709</v>
      </c>
      <c r="BX199" s="547" t="s">
        <v>709</v>
      </c>
      <c r="BY199" s="547" t="s">
        <v>709</v>
      </c>
      <c r="BZ199" s="547" t="s">
        <v>709</v>
      </c>
      <c r="CA199" s="483" t="s">
        <v>769</v>
      </c>
    </row>
    <row r="200" spans="1:79" s="879" customFormat="1" ht="15" hidden="1" customHeight="1" x14ac:dyDescent="0.25">
      <c r="A200" s="8" t="s">
        <v>6816</v>
      </c>
      <c r="B200" s="8" t="s">
        <v>771</v>
      </c>
      <c r="C200" s="8" t="s">
        <v>8103</v>
      </c>
      <c r="D200" s="8" t="s">
        <v>8866</v>
      </c>
      <c r="E200" s="8" t="s">
        <v>8752</v>
      </c>
      <c r="F200" s="8" t="s">
        <v>6874</v>
      </c>
      <c r="G200" s="8" t="s">
        <v>7152</v>
      </c>
      <c r="H200" s="8" t="s">
        <v>59</v>
      </c>
      <c r="I200" s="642">
        <v>45684</v>
      </c>
      <c r="J200" s="18">
        <v>45817</v>
      </c>
      <c r="K200" s="97">
        <v>45812</v>
      </c>
      <c r="L200" s="919">
        <v>5</v>
      </c>
      <c r="M200" s="642"/>
      <c r="N200" s="99" t="s">
        <v>739</v>
      </c>
      <c r="O200" s="1060" t="s">
        <v>376</v>
      </c>
      <c r="P200" s="1152" t="s">
        <v>120</v>
      </c>
      <c r="Q200" s="1150">
        <v>118564.4256</v>
      </c>
      <c r="R200" s="1026">
        <v>0.04</v>
      </c>
      <c r="S200" s="888" t="s">
        <v>29</v>
      </c>
      <c r="T200" s="888" t="s">
        <v>29</v>
      </c>
      <c r="U200" s="889" t="s">
        <v>29</v>
      </c>
      <c r="V200" s="858">
        <v>11871</v>
      </c>
      <c r="W200" s="437">
        <v>0</v>
      </c>
      <c r="X200" s="562">
        <v>2829652.92</v>
      </c>
      <c r="Y200" s="1222"/>
      <c r="Z200" s="1213">
        <v>134457.72</v>
      </c>
      <c r="AA200" s="1223">
        <v>2964110.64</v>
      </c>
      <c r="AB200" s="1217">
        <v>45833</v>
      </c>
      <c r="AC200" s="569" t="s">
        <v>116</v>
      </c>
      <c r="AD200" s="1149" t="s">
        <v>116</v>
      </c>
      <c r="AE200" s="568" t="s">
        <v>116</v>
      </c>
      <c r="AF200" s="568" t="s">
        <v>116</v>
      </c>
      <c r="AG200" s="568" t="s">
        <v>376</v>
      </c>
      <c r="AH200" s="183" t="s">
        <v>376</v>
      </c>
      <c r="AI200" s="898">
        <v>42350</v>
      </c>
      <c r="AJ200" s="899" t="s">
        <v>29</v>
      </c>
      <c r="AK200" s="899">
        <v>24100</v>
      </c>
      <c r="AL200" s="901">
        <v>0.56045478788200698</v>
      </c>
      <c r="AM200" s="536" t="s">
        <v>116</v>
      </c>
      <c r="AN200" s="680" t="s">
        <v>709</v>
      </c>
      <c r="AO200" s="681">
        <v>11100775</v>
      </c>
      <c r="AP200" s="572"/>
      <c r="AQ200" s="572"/>
      <c r="AR200" s="572"/>
      <c r="AS200" s="538">
        <f>IF(Table15910[[#This Row],[PCTS Approved]]="N",0,Table15910[[#This Row],[Investment Amount (1'#'#'#'#'#)]]+Table15910[[#This Row],[Retirement Amount (3'#'#'#'#'#)]])</f>
        <v>0</v>
      </c>
      <c r="AT200" s="538">
        <f>IF(Table15910[[#This Row],[Approved Construction Cost]]=0,0,Table15910[[#This Row],[Approved Construction Cost]]-Table15910[[#This Row],[Construction Cost to Bill From]])</f>
        <v>0</v>
      </c>
      <c r="AU200" s="538">
        <f>IFERROR(Table15910[[#This Row],[Difference in Construction Cost]]*Table15910[[#This Row],[Rate]],Table15910[[#This Row],[Difference in Construction Cost]]*0.085)</f>
        <v>0</v>
      </c>
      <c r="AV200" s="602"/>
      <c r="AW200" s="640"/>
      <c r="AX200" s="555"/>
      <c r="AY200" s="1035"/>
      <c r="AZ200" s="443"/>
      <c r="BA200" s="1031" t="s">
        <v>8867</v>
      </c>
      <c r="BB200" s="644" t="s">
        <v>8868</v>
      </c>
      <c r="BC200" s="559" t="s">
        <v>116</v>
      </c>
      <c r="BD200" s="559" t="s">
        <v>709</v>
      </c>
      <c r="BE200" s="554" t="s">
        <v>8104</v>
      </c>
      <c r="BF200" s="588" t="s">
        <v>709</v>
      </c>
      <c r="BG200" s="588" t="s">
        <v>5619</v>
      </c>
      <c r="BH200" s="615" t="s">
        <v>8869</v>
      </c>
      <c r="BI200" s="929" t="s">
        <v>709</v>
      </c>
      <c r="BJ200" s="929" t="s">
        <v>709</v>
      </c>
      <c r="BK200" s="916" t="s">
        <v>709</v>
      </c>
      <c r="BL200" s="916" t="s">
        <v>116</v>
      </c>
      <c r="BM200" s="916" t="s">
        <v>709</v>
      </c>
      <c r="BN200" s="916" t="s">
        <v>709</v>
      </c>
      <c r="BO200" s="916" t="s">
        <v>709</v>
      </c>
      <c r="BP200" s="916">
        <v>2225</v>
      </c>
      <c r="BQ200" s="916" t="s">
        <v>709</v>
      </c>
      <c r="BR200" s="549">
        <v>1139</v>
      </c>
      <c r="BS200" s="549">
        <v>8507</v>
      </c>
      <c r="BT200" s="916" t="s">
        <v>709</v>
      </c>
      <c r="BU200" s="916" t="s">
        <v>709</v>
      </c>
      <c r="BV200" s="916" t="s">
        <v>709</v>
      </c>
      <c r="BW200" s="916" t="s">
        <v>709</v>
      </c>
      <c r="BX200" s="916" t="s">
        <v>709</v>
      </c>
      <c r="BY200" s="916" t="s">
        <v>709</v>
      </c>
      <c r="BZ200" s="916" t="s">
        <v>709</v>
      </c>
      <c r="CA200" s="483"/>
    </row>
    <row r="201" spans="1:79" s="879" customFormat="1" ht="15" hidden="1" customHeight="1" x14ac:dyDescent="0.25">
      <c r="A201" s="8" t="s">
        <v>800</v>
      </c>
      <c r="B201" s="8" t="s">
        <v>771</v>
      </c>
      <c r="C201" s="8" t="s">
        <v>1552</v>
      </c>
      <c r="D201" s="8" t="s">
        <v>1553</v>
      </c>
      <c r="E201" s="8" t="s">
        <v>1554</v>
      </c>
      <c r="F201" s="8" t="s">
        <v>784</v>
      </c>
      <c r="G201" s="8" t="s">
        <v>7152</v>
      </c>
      <c r="H201" s="13" t="s">
        <v>59</v>
      </c>
      <c r="I201" s="642">
        <v>44838</v>
      </c>
      <c r="J201" s="18">
        <v>45119</v>
      </c>
      <c r="K201" s="97">
        <v>45118</v>
      </c>
      <c r="L201" s="649">
        <v>1</v>
      </c>
      <c r="M201" s="642"/>
      <c r="N201" s="642" t="s">
        <v>120</v>
      </c>
      <c r="O201" s="1060">
        <v>45108</v>
      </c>
      <c r="P201" s="1152" t="s">
        <v>120</v>
      </c>
      <c r="Q201" s="28">
        <v>200595.49109999998</v>
      </c>
      <c r="R201" s="1026">
        <v>0.09</v>
      </c>
      <c r="S201" s="538"/>
      <c r="T201" s="538"/>
      <c r="U201" s="87"/>
      <c r="V201" s="858">
        <v>3200</v>
      </c>
      <c r="W201" s="443">
        <v>0</v>
      </c>
      <c r="X201" s="552">
        <v>2198073.4900000002</v>
      </c>
      <c r="Y201" s="592"/>
      <c r="Z201" s="552">
        <v>30765.3</v>
      </c>
      <c r="AA201" s="552">
        <v>2228838.79</v>
      </c>
      <c r="AB201" s="341">
        <v>45131</v>
      </c>
      <c r="AC201" s="568" t="s">
        <v>116</v>
      </c>
      <c r="AD201" s="1157" t="s">
        <v>116</v>
      </c>
      <c r="AE201" s="568" t="s">
        <v>116</v>
      </c>
      <c r="AF201" s="568" t="s">
        <v>116</v>
      </c>
      <c r="AG201" s="568" t="s">
        <v>116</v>
      </c>
      <c r="AH201" s="183" t="s">
        <v>116</v>
      </c>
      <c r="AI201" s="1036"/>
      <c r="AJ201" s="1037"/>
      <c r="AK201" s="1037"/>
      <c r="AL201" s="1038"/>
      <c r="AM201" s="536" t="s">
        <v>116</v>
      </c>
      <c r="AN201" s="680" t="s">
        <v>709</v>
      </c>
      <c r="AO201" s="681">
        <v>11050933</v>
      </c>
      <c r="AP201" s="572"/>
      <c r="AQ201" s="572"/>
      <c r="AR201" s="572"/>
      <c r="AS201" s="538">
        <f>IF(Table15910[[#This Row],[PCTS Approved]]="N",0,Table15910[[#This Row],[Investment Amount (1'#'#'#'#'#)]]+Table15910[[#This Row],[Retirement Amount (3'#'#'#'#'#)]])</f>
        <v>0</v>
      </c>
      <c r="AT201" s="538">
        <f>IF(Table15910[[#This Row],[Approved Construction Cost]]=0,0,Table15910[[#This Row],[Approved Construction Cost]]-Table15910[[#This Row],[Construction Cost to Bill From]])</f>
        <v>0</v>
      </c>
      <c r="AU201" s="538">
        <f>IFERROR(Table15910[[#This Row],[Difference in Construction Cost]]*Table15910[[#This Row],[Rate]],Table15910[[#This Row],[Difference in Construction Cost]]*0.085)</f>
        <v>0</v>
      </c>
      <c r="AV201" s="572"/>
      <c r="AW201" s="639"/>
      <c r="AX201" s="538"/>
      <c r="AY201" s="1035" t="s">
        <v>709</v>
      </c>
      <c r="AZ201" s="443">
        <v>49</v>
      </c>
      <c r="BA201" s="859" t="s">
        <v>1555</v>
      </c>
      <c r="BB201" s="644" t="s">
        <v>1556</v>
      </c>
      <c r="BC201" s="544" t="s">
        <v>116</v>
      </c>
      <c r="BD201" s="544" t="s">
        <v>115</v>
      </c>
      <c r="BE201" s="544" t="s">
        <v>1557</v>
      </c>
      <c r="BF201" s="544" t="s">
        <v>115</v>
      </c>
      <c r="BG201" s="1084" t="s">
        <v>115</v>
      </c>
      <c r="BH201" s="741" t="s">
        <v>1559</v>
      </c>
      <c r="BI201" s="547" t="s">
        <v>709</v>
      </c>
      <c r="BJ201" s="547" t="s">
        <v>709</v>
      </c>
      <c r="BK201" s="547" t="s">
        <v>709</v>
      </c>
      <c r="BL201" s="547" t="s">
        <v>116</v>
      </c>
      <c r="BM201" s="547" t="s">
        <v>709</v>
      </c>
      <c r="BN201" s="547" t="s">
        <v>709</v>
      </c>
      <c r="BO201" s="547" t="s">
        <v>709</v>
      </c>
      <c r="BP201" s="547">
        <v>1492</v>
      </c>
      <c r="BQ201" s="547">
        <v>1374</v>
      </c>
      <c r="BR201" s="547">
        <v>44</v>
      </c>
      <c r="BS201" s="547">
        <v>290</v>
      </c>
      <c r="BT201" s="547" t="s">
        <v>709</v>
      </c>
      <c r="BU201" s="547" t="s">
        <v>709</v>
      </c>
      <c r="BV201" s="547" t="s">
        <v>709</v>
      </c>
      <c r="BW201" s="547" t="s">
        <v>709</v>
      </c>
      <c r="BX201" s="547" t="s">
        <v>709</v>
      </c>
      <c r="BY201" s="547" t="s">
        <v>709</v>
      </c>
      <c r="BZ201" s="547" t="s">
        <v>709</v>
      </c>
      <c r="CA201" s="483"/>
    </row>
    <row r="202" spans="1:79" s="447" customFormat="1" ht="15" hidden="1" customHeight="1" x14ac:dyDescent="0.25">
      <c r="A202" s="8" t="s">
        <v>800</v>
      </c>
      <c r="B202" s="8" t="s">
        <v>759</v>
      </c>
      <c r="C202" s="656" t="s">
        <v>525</v>
      </c>
      <c r="D202" s="8" t="s">
        <v>1521</v>
      </c>
      <c r="E202" s="8" t="s">
        <v>1522</v>
      </c>
      <c r="F202" s="8" t="s">
        <v>752</v>
      </c>
      <c r="G202" s="8" t="s">
        <v>37</v>
      </c>
      <c r="H202" s="13" t="s">
        <v>59</v>
      </c>
      <c r="I202" s="642">
        <v>44979</v>
      </c>
      <c r="J202" s="18">
        <v>45079</v>
      </c>
      <c r="K202" s="175">
        <v>45079</v>
      </c>
      <c r="L202" s="16">
        <v>0</v>
      </c>
      <c r="M202" s="642"/>
      <c r="N202" s="642" t="s">
        <v>120</v>
      </c>
      <c r="O202" s="1060">
        <v>45079</v>
      </c>
      <c r="P202" s="1152" t="s">
        <v>120</v>
      </c>
      <c r="Q202" s="340">
        <v>66982.895100000009</v>
      </c>
      <c r="R202" s="1026">
        <v>0.11</v>
      </c>
      <c r="S202" s="538"/>
      <c r="T202" s="538"/>
      <c r="U202" s="87"/>
      <c r="V202" s="858">
        <v>267</v>
      </c>
      <c r="W202" s="437">
        <v>1</v>
      </c>
      <c r="X202" s="552">
        <v>517133.74</v>
      </c>
      <c r="Y202" s="592"/>
      <c r="Z202" s="552">
        <v>91801.67</v>
      </c>
      <c r="AA202" s="552">
        <v>608935.41</v>
      </c>
      <c r="AB202" s="341">
        <v>45091</v>
      </c>
      <c r="AC202" s="568" t="s">
        <v>1523</v>
      </c>
      <c r="AD202" s="1157" t="s">
        <v>29</v>
      </c>
      <c r="AE202" s="579"/>
      <c r="AF202" s="579"/>
      <c r="AG202" s="579"/>
      <c r="AH202" s="553">
        <v>45609</v>
      </c>
      <c r="AI202" s="1036"/>
      <c r="AJ202" s="1037"/>
      <c r="AK202" s="1037"/>
      <c r="AL202" s="1038"/>
      <c r="AM202" s="536" t="s">
        <v>116</v>
      </c>
      <c r="AN202" s="680">
        <v>45496</v>
      </c>
      <c r="AO202" s="681">
        <v>11070082</v>
      </c>
      <c r="AP202" s="682">
        <v>532671.96</v>
      </c>
      <c r="AQ202" s="682"/>
      <c r="AR202" s="682">
        <v>96042.03</v>
      </c>
      <c r="AS202" s="538">
        <f>IF(Table15910[[#This Row],[PCTS Approved]]="N",0,Table15910[[#This Row],[Investment Amount (1'#'#'#'#'#)]]+Table15910[[#This Row],[Retirement Amount (3'#'#'#'#'#)]])</f>
        <v>628713.99</v>
      </c>
      <c r="AT202" s="538">
        <f>IF(Table15910[[#This Row],[Approved Construction Cost]]=0,0,Table15910[[#This Row],[Approved Construction Cost]]-Table15910[[#This Row],[Construction Cost to Bill From]])</f>
        <v>19778.579999999958</v>
      </c>
      <c r="AU202" s="538">
        <f>IFERROR(Table15910[[#This Row],[Difference in Construction Cost]]*Table15910[[#This Row],[Rate]],Table15910[[#This Row],[Difference in Construction Cost]]*0.085)</f>
        <v>2175.6437999999953</v>
      </c>
      <c r="AV202" s="682"/>
      <c r="AW202" s="686" t="s">
        <v>5708</v>
      </c>
      <c r="AX202" s="538"/>
      <c r="AY202" s="1035" t="s">
        <v>709</v>
      </c>
      <c r="AZ202" s="443">
        <v>154</v>
      </c>
      <c r="BA202" s="859" t="s">
        <v>1524</v>
      </c>
      <c r="BB202" s="644" t="s">
        <v>1525</v>
      </c>
      <c r="BC202" s="544" t="s">
        <v>115</v>
      </c>
      <c r="BD202" s="544" t="s">
        <v>115</v>
      </c>
      <c r="BE202" s="544" t="s">
        <v>115</v>
      </c>
      <c r="BF202" s="544" t="s">
        <v>526</v>
      </c>
      <c r="BG202" s="544" t="s">
        <v>115</v>
      </c>
      <c r="BH202" s="741" t="s">
        <v>1526</v>
      </c>
      <c r="BI202" s="535" t="s">
        <v>709</v>
      </c>
      <c r="BJ202" s="547" t="s">
        <v>709</v>
      </c>
      <c r="BK202" s="547" t="s">
        <v>116</v>
      </c>
      <c r="BL202" s="547" t="s">
        <v>116</v>
      </c>
      <c r="BM202" s="547" t="s">
        <v>709</v>
      </c>
      <c r="BN202" s="547" t="s">
        <v>709</v>
      </c>
      <c r="BO202" s="547" t="s">
        <v>709</v>
      </c>
      <c r="BP202" s="547">
        <v>128</v>
      </c>
      <c r="BQ202" s="547" t="s">
        <v>709</v>
      </c>
      <c r="BR202" s="547">
        <v>9</v>
      </c>
      <c r="BS202" s="547" t="s">
        <v>709</v>
      </c>
      <c r="BT202" s="547" t="s">
        <v>709</v>
      </c>
      <c r="BU202" s="547" t="s">
        <v>709</v>
      </c>
      <c r="BV202" s="547" t="s">
        <v>709</v>
      </c>
      <c r="BW202" s="547">
        <v>1</v>
      </c>
      <c r="BX202" s="547" t="s">
        <v>745</v>
      </c>
      <c r="BY202" s="547" t="s">
        <v>709</v>
      </c>
      <c r="BZ202" s="547" t="s">
        <v>709</v>
      </c>
      <c r="CA202" s="483" t="s">
        <v>769</v>
      </c>
    </row>
    <row r="203" spans="1:79" s="1286" customFormat="1" ht="15" hidden="1" customHeight="1" x14ac:dyDescent="0.25">
      <c r="A203" s="13" t="s">
        <v>749</v>
      </c>
      <c r="B203" s="13" t="s">
        <v>759</v>
      </c>
      <c r="C203" s="13" t="s">
        <v>1566</v>
      </c>
      <c r="D203" s="13">
        <v>1010976</v>
      </c>
      <c r="E203" s="13" t="s">
        <v>108</v>
      </c>
      <c r="F203" s="452" t="s">
        <v>752</v>
      </c>
      <c r="G203" s="8" t="s">
        <v>31</v>
      </c>
      <c r="H203" s="13" t="s">
        <v>59</v>
      </c>
      <c r="I203" s="642">
        <v>44582</v>
      </c>
      <c r="J203" s="18">
        <v>45135</v>
      </c>
      <c r="K203" s="642">
        <v>45124</v>
      </c>
      <c r="L203" s="649">
        <v>11</v>
      </c>
      <c r="M203" s="673"/>
      <c r="N203" s="671" t="s">
        <v>120</v>
      </c>
      <c r="O203" s="1060">
        <v>45139</v>
      </c>
      <c r="P203" s="1152" t="s">
        <v>120</v>
      </c>
      <c r="Q203" s="340">
        <v>217852.57560000001</v>
      </c>
      <c r="R203" s="1039">
        <v>0.11</v>
      </c>
      <c r="S203" s="24"/>
      <c r="T203" s="538"/>
      <c r="U203" s="28"/>
      <c r="V203" s="1190">
        <v>4735</v>
      </c>
      <c r="W203" s="442">
        <v>1</v>
      </c>
      <c r="X203" s="570">
        <v>1876996.96</v>
      </c>
      <c r="Y203" s="550">
        <v>45019</v>
      </c>
      <c r="Z203" s="552">
        <v>103481</v>
      </c>
      <c r="AA203" s="552">
        <v>1980477.96</v>
      </c>
      <c r="AB203" s="476">
        <v>45141</v>
      </c>
      <c r="AC203" s="576" t="s">
        <v>1441</v>
      </c>
      <c r="AD203" s="1158" t="s">
        <v>29</v>
      </c>
      <c r="AE203" s="568" t="s">
        <v>116</v>
      </c>
      <c r="AF203" s="568" t="s">
        <v>756</v>
      </c>
      <c r="AG203" s="568" t="s">
        <v>116</v>
      </c>
      <c r="AH203" s="183" t="s">
        <v>116</v>
      </c>
      <c r="AI203" s="1047"/>
      <c r="AJ203" s="1048"/>
      <c r="AK203" s="1048"/>
      <c r="AL203" s="1049"/>
      <c r="AM203" s="536" t="s">
        <v>116</v>
      </c>
      <c r="AN203" s="680">
        <v>45516</v>
      </c>
      <c r="AO203" s="681">
        <v>11039437</v>
      </c>
      <c r="AP203" s="682">
        <v>1905701.58</v>
      </c>
      <c r="AQ203" s="682"/>
      <c r="AR203" s="682">
        <v>105617.83</v>
      </c>
      <c r="AS203" s="538">
        <f>IF(Table15910[[#This Row],[PCTS Approved]]="N",0,Table15910[[#This Row],[Investment Amount (1'#'#'#'#'#)]]+Table15910[[#This Row],[Retirement Amount (3'#'#'#'#'#)]])</f>
        <v>2011319.4100000001</v>
      </c>
      <c r="AT203" s="538">
        <f>IF(Table15910[[#This Row],[Approved Construction Cost]]=0,0,Table15910[[#This Row],[Approved Construction Cost]]-Table15910[[#This Row],[Construction Cost to Bill From]])</f>
        <v>30841.450000000186</v>
      </c>
      <c r="AU203" s="538">
        <f>IFERROR(Table15910[[#This Row],[Difference in Construction Cost]]*Table15910[[#This Row],[Rate]],Table15910[[#This Row],[Difference in Construction Cost]]*0.085)</f>
        <v>3392.5595000000203</v>
      </c>
      <c r="AV203" s="682">
        <f>11340+9150</f>
        <v>20490</v>
      </c>
      <c r="AW203" s="688" t="s">
        <v>5804</v>
      </c>
      <c r="AX203" s="538"/>
      <c r="AY203" s="1035" t="s">
        <v>709</v>
      </c>
      <c r="AZ203" s="443">
        <v>156</v>
      </c>
      <c r="BA203" s="859" t="s">
        <v>1567</v>
      </c>
      <c r="BB203" s="543" t="s">
        <v>1568</v>
      </c>
      <c r="BC203" s="544" t="s">
        <v>116</v>
      </c>
      <c r="BD203" s="544" t="s">
        <v>115</v>
      </c>
      <c r="BE203" s="544" t="s">
        <v>1569</v>
      </c>
      <c r="BF203" s="544" t="s">
        <v>115</v>
      </c>
      <c r="BG203" s="544" t="s">
        <v>115</v>
      </c>
      <c r="BH203" s="741" t="s">
        <v>1570</v>
      </c>
      <c r="BI203" s="549" t="s">
        <v>709</v>
      </c>
      <c r="BJ203" s="549" t="s">
        <v>709</v>
      </c>
      <c r="BK203" s="549" t="s">
        <v>709</v>
      </c>
      <c r="BL203" s="549" t="s">
        <v>116</v>
      </c>
      <c r="BM203" s="549" t="s">
        <v>709</v>
      </c>
      <c r="BN203" s="549" t="s">
        <v>709</v>
      </c>
      <c r="BO203" s="549" t="s">
        <v>709</v>
      </c>
      <c r="BP203" s="549" t="s">
        <v>709</v>
      </c>
      <c r="BQ203" s="549">
        <v>3960</v>
      </c>
      <c r="BR203" s="549">
        <v>95</v>
      </c>
      <c r="BS203" s="549">
        <v>590</v>
      </c>
      <c r="BT203" s="549">
        <v>1</v>
      </c>
      <c r="BU203" s="549" t="s">
        <v>709</v>
      </c>
      <c r="BV203" s="549" t="s">
        <v>709</v>
      </c>
      <c r="BW203" s="549">
        <v>1</v>
      </c>
      <c r="BX203" s="549">
        <v>1</v>
      </c>
      <c r="BY203" s="549" t="s">
        <v>709</v>
      </c>
      <c r="BZ203" s="547" t="s">
        <v>709</v>
      </c>
      <c r="CA203" s="548"/>
    </row>
    <row r="204" spans="1:79" s="879" customFormat="1" ht="15" hidden="1" customHeight="1" x14ac:dyDescent="0.25">
      <c r="A204" s="8" t="s">
        <v>749</v>
      </c>
      <c r="B204" s="8" t="s">
        <v>771</v>
      </c>
      <c r="C204" s="8" t="s">
        <v>1402</v>
      </c>
      <c r="D204" s="8" t="s">
        <v>1403</v>
      </c>
      <c r="E204" s="8" t="s">
        <v>1404</v>
      </c>
      <c r="F204" s="8" t="s">
        <v>784</v>
      </c>
      <c r="G204" s="8" t="s">
        <v>7152</v>
      </c>
      <c r="H204" s="8" t="s">
        <v>59</v>
      </c>
      <c r="I204" s="642">
        <v>44875</v>
      </c>
      <c r="J204" s="18">
        <v>44981</v>
      </c>
      <c r="K204" s="97">
        <v>44970</v>
      </c>
      <c r="L204" s="16">
        <v>11</v>
      </c>
      <c r="M204" s="642"/>
      <c r="N204" s="642" t="s">
        <v>120</v>
      </c>
      <c r="O204" s="1060">
        <v>44970</v>
      </c>
      <c r="P204" s="1152" t="s">
        <v>120</v>
      </c>
      <c r="Q204" s="1061">
        <v>26265.086100000004</v>
      </c>
      <c r="R204" s="1039">
        <v>0.09</v>
      </c>
      <c r="S204" s="538"/>
      <c r="T204" s="538"/>
      <c r="U204" s="87"/>
      <c r="V204" s="858">
        <v>1197</v>
      </c>
      <c r="W204" s="437"/>
      <c r="X204" s="552">
        <v>254931.95</v>
      </c>
      <c r="Y204" s="592"/>
      <c r="Z204" s="552">
        <v>36902.339999999997</v>
      </c>
      <c r="AA204" s="552">
        <v>291834.29000000004</v>
      </c>
      <c r="AB204" s="341">
        <v>44965</v>
      </c>
      <c r="AC204" s="568" t="s">
        <v>709</v>
      </c>
      <c r="AD204" s="1157" t="s">
        <v>29</v>
      </c>
      <c r="AE204" s="579"/>
      <c r="AF204" s="579"/>
      <c r="AG204" s="579"/>
      <c r="AH204" s="553"/>
      <c r="AI204" s="1036"/>
      <c r="AJ204" s="1037"/>
      <c r="AK204" s="1037"/>
      <c r="AL204" s="1352"/>
      <c r="AM204" s="536" t="s">
        <v>116</v>
      </c>
      <c r="AN204" s="680" t="s">
        <v>709</v>
      </c>
      <c r="AO204" s="681" t="s">
        <v>115</v>
      </c>
      <c r="AP204" s="572"/>
      <c r="AQ204" s="572"/>
      <c r="AR204" s="572"/>
      <c r="AS204" s="538">
        <f>IF(Table15910[[#This Row],[PCTS Approved]]="N",0,Table15910[[#This Row],[Investment Amount (1'#'#'#'#'#)]]+Table15910[[#This Row],[Retirement Amount (3'#'#'#'#'#)]])</f>
        <v>0</v>
      </c>
      <c r="AT204" s="538">
        <f>IF(Table15910[[#This Row],[Approved Construction Cost]]=0,0,Table15910[[#This Row],[Approved Construction Cost]]-Table15910[[#This Row],[Construction Cost to Bill From]])</f>
        <v>0</v>
      </c>
      <c r="AU204" s="538">
        <f>IFERROR(Table15910[[#This Row],[Difference in Construction Cost]]*Table15910[[#This Row],[Rate]],Table15910[[#This Row],[Difference in Construction Cost]]*0.085)</f>
        <v>0</v>
      </c>
      <c r="AV204" s="572"/>
      <c r="AW204" s="639"/>
      <c r="AX204" s="538"/>
      <c r="AY204" s="1035" t="s">
        <v>709</v>
      </c>
      <c r="AZ204" s="443">
        <v>35</v>
      </c>
      <c r="BA204" s="859" t="s">
        <v>1405</v>
      </c>
      <c r="BB204" s="644" t="s">
        <v>1406</v>
      </c>
      <c r="BC204" s="544" t="s">
        <v>116</v>
      </c>
      <c r="BD204" s="544" t="s">
        <v>115</v>
      </c>
      <c r="BE204" s="544" t="s">
        <v>115</v>
      </c>
      <c r="BF204" s="544" t="s">
        <v>1407</v>
      </c>
      <c r="BG204" s="544" t="s">
        <v>115</v>
      </c>
      <c r="BH204" s="741"/>
      <c r="BI204" s="547" t="s">
        <v>709</v>
      </c>
      <c r="BJ204" s="547" t="s">
        <v>709</v>
      </c>
      <c r="BK204" s="547" t="s">
        <v>709</v>
      </c>
      <c r="BL204" s="547" t="s">
        <v>116</v>
      </c>
      <c r="BM204" s="547" t="s">
        <v>709</v>
      </c>
      <c r="BN204" s="547" t="s">
        <v>709</v>
      </c>
      <c r="BO204" s="547" t="s">
        <v>709</v>
      </c>
      <c r="BP204" s="547" t="s">
        <v>709</v>
      </c>
      <c r="BQ204" s="547" t="s">
        <v>709</v>
      </c>
      <c r="BR204" s="547">
        <v>1197</v>
      </c>
      <c r="BS204" s="547" t="s">
        <v>709</v>
      </c>
      <c r="BT204" s="547" t="s">
        <v>745</v>
      </c>
      <c r="BU204" s="547" t="s">
        <v>709</v>
      </c>
      <c r="BV204" s="547" t="s">
        <v>745</v>
      </c>
      <c r="BW204" s="547" t="s">
        <v>709</v>
      </c>
      <c r="BX204" s="547" t="s">
        <v>745</v>
      </c>
      <c r="BY204" s="547" t="s">
        <v>745</v>
      </c>
      <c r="BZ204" s="547" t="s">
        <v>709</v>
      </c>
      <c r="CA204" s="483"/>
    </row>
    <row r="205" spans="1:79" s="879" customFormat="1" ht="15" hidden="1" customHeight="1" x14ac:dyDescent="0.25">
      <c r="A205" s="874">
        <v>2025</v>
      </c>
      <c r="B205" s="878" t="s">
        <v>1205</v>
      </c>
      <c r="C205" s="879" t="s">
        <v>8931</v>
      </c>
      <c r="D205" s="880" t="s">
        <v>8932</v>
      </c>
      <c r="E205" s="879" t="s">
        <v>97</v>
      </c>
      <c r="F205" s="878" t="s">
        <v>784</v>
      </c>
      <c r="G205" s="878" t="s">
        <v>7152</v>
      </c>
      <c r="H205" s="878" t="s">
        <v>59</v>
      </c>
      <c r="I205" s="881">
        <v>45754</v>
      </c>
      <c r="J205" s="18">
        <v>45838</v>
      </c>
      <c r="K205" s="1271">
        <v>45834</v>
      </c>
      <c r="L205" s="919">
        <v>4</v>
      </c>
      <c r="N205" s="942" t="s">
        <v>739</v>
      </c>
      <c r="O205" s="886" t="s">
        <v>376</v>
      </c>
      <c r="P205" s="1153" t="s">
        <v>120</v>
      </c>
      <c r="Q205" s="1150">
        <v>18325.287899999999</v>
      </c>
      <c r="R205" s="887">
        <v>0.09</v>
      </c>
      <c r="S205" s="1228" t="s">
        <v>29</v>
      </c>
      <c r="T205" s="888" t="s">
        <v>29</v>
      </c>
      <c r="U205" s="889" t="s">
        <v>29</v>
      </c>
      <c r="V205" s="1232">
        <v>28</v>
      </c>
      <c r="W205" s="1233">
        <v>0</v>
      </c>
      <c r="X205" s="1015">
        <v>175986.26</v>
      </c>
      <c r="Y205" s="1236"/>
      <c r="Z205" s="1015">
        <v>27628.05</v>
      </c>
      <c r="AA205" s="1272">
        <v>203614.31</v>
      </c>
      <c r="AB205" s="992">
        <v>45839</v>
      </c>
      <c r="AC205" s="1367" t="s">
        <v>709</v>
      </c>
      <c r="AD205" s="1368" t="s">
        <v>29</v>
      </c>
      <c r="AE205" s="1273" t="s">
        <v>116</v>
      </c>
      <c r="AF205" s="1016" t="s">
        <v>116</v>
      </c>
      <c r="AG205" s="1197" t="s">
        <v>376</v>
      </c>
      <c r="AH205" s="1230" t="s">
        <v>376</v>
      </c>
      <c r="AI205" s="1234" t="s">
        <v>29</v>
      </c>
      <c r="AJ205" s="1235" t="s">
        <v>29</v>
      </c>
      <c r="AK205" s="1275">
        <v>3471.1</v>
      </c>
      <c r="AL205" s="901">
        <v>0.18941585086911514</v>
      </c>
      <c r="AM205" s="902" t="s">
        <v>116</v>
      </c>
      <c r="AN205" s="1279" t="s">
        <v>709</v>
      </c>
      <c r="AO205" s="1292" t="s">
        <v>115</v>
      </c>
      <c r="AP205" s="905"/>
      <c r="AQ205" s="905"/>
      <c r="AR205" s="905"/>
      <c r="AS205" s="538">
        <f>IF(Table15910[[#This Row],[PCTS Approved]]="N",0,Table15910[[#This Row],[Investment Amount (1'#'#'#'#'#)]]+Table15910[[#This Row],[Retirement Amount (3'#'#'#'#'#)]])</f>
        <v>0</v>
      </c>
      <c r="AT205" s="538">
        <f>IF(Table15910[[#This Row],[Approved Construction Cost]]=0,0,Table15910[[#This Row],[Approved Construction Cost]]-Table15910[[#This Row],[Construction Cost to Bill From]])</f>
        <v>0</v>
      </c>
      <c r="AU205" s="538">
        <f>IFERROR(Table15910[[#This Row],[Difference in Construction Cost]]*Table15910[[#This Row],[Rate]],Table15910[[#This Row],[Difference in Construction Cost]]*0.085)</f>
        <v>0</v>
      </c>
      <c r="AV205" s="906"/>
      <c r="AW205" s="907"/>
      <c r="AX205" s="908"/>
      <c r="AY205" s="909"/>
      <c r="AZ205" s="1022"/>
      <c r="BA205" s="910" t="s">
        <v>8933</v>
      </c>
      <c r="BB205" s="911" t="s">
        <v>8934</v>
      </c>
      <c r="BC205" s="1262" t="s">
        <v>9185</v>
      </c>
      <c r="BD205" s="1263" t="s">
        <v>709</v>
      </c>
      <c r="BE205" s="1274" t="s">
        <v>7112</v>
      </c>
      <c r="BF205" s="1274" t="s">
        <v>709</v>
      </c>
      <c r="BG205" s="1261" t="s">
        <v>29</v>
      </c>
      <c r="BH205" s="1023" t="s">
        <v>8935</v>
      </c>
      <c r="BI205" s="1231" t="s">
        <v>709</v>
      </c>
      <c r="BJ205" s="1231" t="s">
        <v>116</v>
      </c>
      <c r="BK205" s="1231" t="s">
        <v>709</v>
      </c>
      <c r="BL205" s="1198" t="s">
        <v>709</v>
      </c>
      <c r="BM205" s="1198" t="s">
        <v>709</v>
      </c>
      <c r="BN205" s="1198" t="s">
        <v>709</v>
      </c>
      <c r="BO205" s="1198" t="s">
        <v>709</v>
      </c>
      <c r="BP205" s="1198">
        <v>28</v>
      </c>
      <c r="BQ205" s="1198" t="s">
        <v>709</v>
      </c>
      <c r="BR205" s="1198" t="s">
        <v>709</v>
      </c>
      <c r="BS205" s="1198" t="s">
        <v>709</v>
      </c>
      <c r="BT205" s="1198" t="s">
        <v>709</v>
      </c>
      <c r="BU205" s="1198" t="s">
        <v>709</v>
      </c>
      <c r="BV205" s="1198" t="s">
        <v>709</v>
      </c>
      <c r="BW205" s="1198" t="s">
        <v>709</v>
      </c>
      <c r="BX205" s="1198" t="s">
        <v>709</v>
      </c>
      <c r="BY205" s="1198" t="s">
        <v>709</v>
      </c>
      <c r="BZ205" s="1198" t="s">
        <v>709</v>
      </c>
      <c r="CA205" s="483"/>
    </row>
    <row r="206" spans="1:79" s="879" customFormat="1" ht="15" hidden="1" customHeight="1" x14ac:dyDescent="0.25">
      <c r="A206" s="8">
        <v>2023</v>
      </c>
      <c r="B206" s="8" t="s">
        <v>4</v>
      </c>
      <c r="C206" s="8" t="s">
        <v>1408</v>
      </c>
      <c r="D206" s="8" t="s">
        <v>1409</v>
      </c>
      <c r="E206" s="8" t="s">
        <v>164</v>
      </c>
      <c r="F206" s="8" t="s">
        <v>784</v>
      </c>
      <c r="G206" s="8" t="s">
        <v>7152</v>
      </c>
      <c r="H206" s="8" t="s">
        <v>59</v>
      </c>
      <c r="I206" s="642">
        <v>44778</v>
      </c>
      <c r="J206" s="18">
        <v>44981</v>
      </c>
      <c r="K206" s="97">
        <v>44980</v>
      </c>
      <c r="L206" s="16">
        <v>1</v>
      </c>
      <c r="M206" s="642"/>
      <c r="N206" s="671" t="s">
        <v>120</v>
      </c>
      <c r="O206" s="1060">
        <v>45017</v>
      </c>
      <c r="P206" s="1152" t="s">
        <v>739</v>
      </c>
      <c r="Q206" s="340">
        <v>126536.67300000001</v>
      </c>
      <c r="R206" s="1026">
        <v>0.1</v>
      </c>
      <c r="S206" s="538"/>
      <c r="T206" s="538"/>
      <c r="U206" s="87"/>
      <c r="V206" s="858">
        <v>3291</v>
      </c>
      <c r="W206" s="437"/>
      <c r="X206" s="552">
        <v>1230812.25</v>
      </c>
      <c r="Y206" s="592"/>
      <c r="Z206" s="552">
        <v>34554.480000000003</v>
      </c>
      <c r="AA206" s="552">
        <v>1265366.73</v>
      </c>
      <c r="AB206" s="341">
        <v>45033</v>
      </c>
      <c r="AC206" s="568" t="s">
        <v>709</v>
      </c>
      <c r="AD206" s="1157" t="s">
        <v>29</v>
      </c>
      <c r="AE206" s="579"/>
      <c r="AF206" s="579"/>
      <c r="AG206" s="579"/>
      <c r="AH206" s="553"/>
      <c r="AI206" s="1036"/>
      <c r="AJ206" s="1037"/>
      <c r="AK206" s="1037"/>
      <c r="AL206" s="1038"/>
      <c r="AM206" s="536" t="s">
        <v>116</v>
      </c>
      <c r="AN206" s="1310" t="s">
        <v>709</v>
      </c>
      <c r="AO206" s="601" t="s">
        <v>115</v>
      </c>
      <c r="AP206" s="572"/>
      <c r="AQ206" s="572"/>
      <c r="AR206" s="572"/>
      <c r="AS206" s="538">
        <f>IF(Table15910[[#This Row],[PCTS Approved]]="N",0,Table15910[[#This Row],[Investment Amount (1'#'#'#'#'#)]]+Table15910[[#This Row],[Retirement Amount (3'#'#'#'#'#)]])</f>
        <v>0</v>
      </c>
      <c r="AT206" s="538">
        <f>IF(Table15910[[#This Row],[Approved Construction Cost]]=0,0,Table15910[[#This Row],[Approved Construction Cost]]-Table15910[[#This Row],[Construction Cost to Bill From]])</f>
        <v>0</v>
      </c>
      <c r="AU206" s="538">
        <f>IFERROR(Table15910[[#This Row],[Difference in Construction Cost]]*Table15910[[#This Row],[Rate]],Table15910[[#This Row],[Difference in Construction Cost]]*0.085)</f>
        <v>0</v>
      </c>
      <c r="AV206" s="572"/>
      <c r="AW206" s="639"/>
      <c r="AX206" s="538"/>
      <c r="AY206" s="1035" t="s">
        <v>709</v>
      </c>
      <c r="AZ206" s="443">
        <v>78</v>
      </c>
      <c r="BA206" s="859" t="s">
        <v>1410</v>
      </c>
      <c r="BB206" s="644" t="s">
        <v>1411</v>
      </c>
      <c r="BC206" s="544" t="s">
        <v>115</v>
      </c>
      <c r="BD206" s="544" t="s">
        <v>115</v>
      </c>
      <c r="BE206" s="544" t="s">
        <v>1411</v>
      </c>
      <c r="BF206" s="544" t="s">
        <v>115</v>
      </c>
      <c r="BG206" s="544" t="s">
        <v>115</v>
      </c>
      <c r="BH206" s="741"/>
      <c r="BI206" s="547" t="s">
        <v>709</v>
      </c>
      <c r="BJ206" s="547" t="s">
        <v>709</v>
      </c>
      <c r="BK206" s="547" t="s">
        <v>709</v>
      </c>
      <c r="BL206" s="547" t="s">
        <v>116</v>
      </c>
      <c r="BM206" s="547" t="s">
        <v>709</v>
      </c>
      <c r="BN206" s="547" t="s">
        <v>709</v>
      </c>
      <c r="BO206" s="547" t="s">
        <v>709</v>
      </c>
      <c r="BP206" s="547" t="s">
        <v>709</v>
      </c>
      <c r="BQ206" s="547" t="s">
        <v>709</v>
      </c>
      <c r="BR206" s="547">
        <v>2067</v>
      </c>
      <c r="BS206" s="547">
        <v>1224</v>
      </c>
      <c r="BT206" s="547" t="s">
        <v>745</v>
      </c>
      <c r="BU206" s="547" t="s">
        <v>709</v>
      </c>
      <c r="BV206" s="547" t="s">
        <v>745</v>
      </c>
      <c r="BW206" s="547" t="s">
        <v>709</v>
      </c>
      <c r="BX206" s="547" t="s">
        <v>745</v>
      </c>
      <c r="BY206" s="547" t="s">
        <v>745</v>
      </c>
      <c r="BZ206" s="547" t="s">
        <v>709</v>
      </c>
      <c r="CA206" s="483"/>
    </row>
    <row r="207" spans="1:79" s="879" customFormat="1" ht="15" hidden="1" customHeight="1" x14ac:dyDescent="0.25">
      <c r="A207" s="8" t="s">
        <v>749</v>
      </c>
      <c r="B207" s="8" t="s">
        <v>4</v>
      </c>
      <c r="C207" s="8" t="s">
        <v>1377</v>
      </c>
      <c r="D207" s="8" t="s">
        <v>1378</v>
      </c>
      <c r="E207" s="8" t="s">
        <v>1154</v>
      </c>
      <c r="F207" s="8" t="s">
        <v>747</v>
      </c>
      <c r="G207" s="8" t="s">
        <v>7152</v>
      </c>
      <c r="H207" s="8" t="s">
        <v>59</v>
      </c>
      <c r="I207" s="642">
        <v>44806</v>
      </c>
      <c r="J207" s="18">
        <v>44897</v>
      </c>
      <c r="K207" s="97">
        <v>44886</v>
      </c>
      <c r="L207" s="16">
        <v>11</v>
      </c>
      <c r="M207" s="642"/>
      <c r="N207" s="642" t="s">
        <v>120</v>
      </c>
      <c r="O207" s="1060">
        <v>44896</v>
      </c>
      <c r="P207" s="21" t="s">
        <v>739</v>
      </c>
      <c r="Q207" s="1061">
        <v>34386.415000000001</v>
      </c>
      <c r="R207" s="1026">
        <v>0.1</v>
      </c>
      <c r="S207" s="538"/>
      <c r="T207" s="538"/>
      <c r="U207" s="87"/>
      <c r="V207" s="1220">
        <v>1494</v>
      </c>
      <c r="W207" s="437"/>
      <c r="X207" s="552">
        <v>288923.75</v>
      </c>
      <c r="Y207" s="592"/>
      <c r="Z207" s="552">
        <v>54940.4</v>
      </c>
      <c r="AA207" s="552">
        <v>343864.15</v>
      </c>
      <c r="AB207" s="341">
        <v>44888</v>
      </c>
      <c r="AC207" s="568" t="s">
        <v>709</v>
      </c>
      <c r="AD207" s="1157" t="s">
        <v>116</v>
      </c>
      <c r="AE207" s="579"/>
      <c r="AF207" s="579"/>
      <c r="AG207" s="579"/>
      <c r="AH207" s="553"/>
      <c r="AI207" s="1036"/>
      <c r="AJ207" s="1037"/>
      <c r="AK207" s="1037"/>
      <c r="AL207" s="1038"/>
      <c r="AM207" s="536" t="s">
        <v>116</v>
      </c>
      <c r="AN207" s="801" t="s">
        <v>709</v>
      </c>
      <c r="AO207" s="601" t="s">
        <v>115</v>
      </c>
      <c r="AP207" s="572"/>
      <c r="AQ207" s="572"/>
      <c r="AR207" s="572"/>
      <c r="AS207" s="538">
        <f>IF(Table15910[[#This Row],[PCTS Approved]]="N",0,Table15910[[#This Row],[Investment Amount (1'#'#'#'#'#)]]+Table15910[[#This Row],[Retirement Amount (3'#'#'#'#'#)]])</f>
        <v>0</v>
      </c>
      <c r="AT207" s="538">
        <f>IF(Table15910[[#This Row],[Approved Construction Cost]]=0,0,Table15910[[#This Row],[Approved Construction Cost]]-Table15910[[#This Row],[Construction Cost to Bill From]])</f>
        <v>0</v>
      </c>
      <c r="AU207" s="538">
        <f>IFERROR(Table15910[[#This Row],[Difference in Construction Cost]]*Table15910[[#This Row],[Rate]],Table15910[[#This Row],[Difference in Construction Cost]]*0.085)</f>
        <v>0</v>
      </c>
      <c r="AV207" s="572"/>
      <c r="AW207" s="639"/>
      <c r="AX207" s="538"/>
      <c r="AY207" s="1035" t="s">
        <v>709</v>
      </c>
      <c r="AZ207" s="443">
        <v>74</v>
      </c>
      <c r="BA207" s="859" t="s">
        <v>1379</v>
      </c>
      <c r="BB207" s="644" t="s">
        <v>1380</v>
      </c>
      <c r="BC207" s="544" t="s">
        <v>115</v>
      </c>
      <c r="BD207" s="544" t="s">
        <v>115</v>
      </c>
      <c r="BE207" s="544" t="s">
        <v>1381</v>
      </c>
      <c r="BF207" s="544" t="s">
        <v>1157</v>
      </c>
      <c r="BG207" s="544" t="s">
        <v>115</v>
      </c>
      <c r="BH207" s="741"/>
      <c r="BI207" s="547" t="s">
        <v>709</v>
      </c>
      <c r="BJ207" s="547" t="s">
        <v>709</v>
      </c>
      <c r="BK207" s="547" t="s">
        <v>709</v>
      </c>
      <c r="BL207" s="547" t="s">
        <v>116</v>
      </c>
      <c r="BM207" s="547" t="s">
        <v>709</v>
      </c>
      <c r="BN207" s="547" t="s">
        <v>709</v>
      </c>
      <c r="BO207" s="547" t="s">
        <v>709</v>
      </c>
      <c r="BP207" s="547" t="s">
        <v>709</v>
      </c>
      <c r="BQ207" s="547">
        <v>1189</v>
      </c>
      <c r="BR207" s="547">
        <v>287</v>
      </c>
      <c r="BS207" s="547">
        <v>18</v>
      </c>
      <c r="BT207" s="547" t="s">
        <v>745</v>
      </c>
      <c r="BU207" s="547" t="s">
        <v>709</v>
      </c>
      <c r="BV207" s="547" t="s">
        <v>745</v>
      </c>
      <c r="BW207" s="547" t="s">
        <v>709</v>
      </c>
      <c r="BX207" s="547" t="s">
        <v>745</v>
      </c>
      <c r="BY207" s="547" t="s">
        <v>745</v>
      </c>
      <c r="BZ207" s="547" t="s">
        <v>709</v>
      </c>
      <c r="CA207" s="483" t="s">
        <v>2</v>
      </c>
    </row>
    <row r="208" spans="1:79" s="879" customFormat="1" ht="15" hidden="1" customHeight="1" x14ac:dyDescent="0.25">
      <c r="A208" s="8" t="s">
        <v>781</v>
      </c>
      <c r="B208" s="8" t="s">
        <v>4</v>
      </c>
      <c r="C208" s="8" t="s">
        <v>1365</v>
      </c>
      <c r="D208" s="8" t="s">
        <v>1366</v>
      </c>
      <c r="E208" s="8" t="s">
        <v>1004</v>
      </c>
      <c r="F208" s="8" t="s">
        <v>747</v>
      </c>
      <c r="G208" s="8" t="s">
        <v>7152</v>
      </c>
      <c r="H208" s="8" t="s">
        <v>59</v>
      </c>
      <c r="I208" s="642">
        <v>44631</v>
      </c>
      <c r="J208" s="18">
        <v>44862</v>
      </c>
      <c r="K208" s="97">
        <v>44860</v>
      </c>
      <c r="L208" s="16">
        <v>2</v>
      </c>
      <c r="M208" s="642"/>
      <c r="N208" s="642" t="s">
        <v>120</v>
      </c>
      <c r="O208" s="1060">
        <v>44896</v>
      </c>
      <c r="P208" s="21" t="s">
        <v>739</v>
      </c>
      <c r="Q208" s="1061">
        <v>162589.47100000002</v>
      </c>
      <c r="R208" s="1026">
        <v>0.1</v>
      </c>
      <c r="S208" s="538"/>
      <c r="T208" s="538"/>
      <c r="U208" s="87"/>
      <c r="V208" s="1220">
        <v>6132</v>
      </c>
      <c r="W208" s="437"/>
      <c r="X208" s="570">
        <v>1560406.45</v>
      </c>
      <c r="Y208" s="592"/>
      <c r="Z208" s="570">
        <v>65488.26</v>
      </c>
      <c r="AA208" s="552">
        <v>1625894.71</v>
      </c>
      <c r="AB208" s="341">
        <v>44881</v>
      </c>
      <c r="AC208" s="568" t="s">
        <v>709</v>
      </c>
      <c r="AD208" s="1157" t="s">
        <v>29</v>
      </c>
      <c r="AE208" s="579"/>
      <c r="AF208" s="579"/>
      <c r="AG208" s="579"/>
      <c r="AH208" s="553"/>
      <c r="AI208" s="1036"/>
      <c r="AJ208" s="1037"/>
      <c r="AK208" s="1037"/>
      <c r="AL208" s="1038"/>
      <c r="AM208" s="536" t="s">
        <v>116</v>
      </c>
      <c r="AN208" s="801" t="s">
        <v>709</v>
      </c>
      <c r="AO208" s="806">
        <v>11051711</v>
      </c>
      <c r="AP208" s="572"/>
      <c r="AQ208" s="572"/>
      <c r="AR208" s="572"/>
      <c r="AS208" s="538">
        <f>IF(Table15910[[#This Row],[PCTS Approved]]="N",0,Table15910[[#This Row],[Investment Amount (1'#'#'#'#'#)]]+Table15910[[#This Row],[Retirement Amount (3'#'#'#'#'#)]])</f>
        <v>0</v>
      </c>
      <c r="AT208" s="538">
        <f>IF(Table15910[[#This Row],[Approved Construction Cost]]=0,0,Table15910[[#This Row],[Approved Construction Cost]]-Table15910[[#This Row],[Construction Cost to Bill From]])</f>
        <v>0</v>
      </c>
      <c r="AU208" s="538">
        <f>IFERROR(Table15910[[#This Row],[Difference in Construction Cost]]*Table15910[[#This Row],[Rate]],Table15910[[#This Row],[Difference in Construction Cost]]*0.085)</f>
        <v>0</v>
      </c>
      <c r="AV208" s="572"/>
      <c r="AW208" s="639"/>
      <c r="AX208" s="538"/>
      <c r="AY208" s="1035" t="s">
        <v>709</v>
      </c>
      <c r="AZ208" s="443">
        <v>73</v>
      </c>
      <c r="BA208" s="859" t="s">
        <v>1367</v>
      </c>
      <c r="BB208" s="644" t="s">
        <v>787</v>
      </c>
      <c r="BC208" s="544" t="s">
        <v>116</v>
      </c>
      <c r="BD208" s="544" t="s">
        <v>788</v>
      </c>
      <c r="BE208" s="544" t="s">
        <v>495</v>
      </c>
      <c r="BF208" s="544" t="s">
        <v>115</v>
      </c>
      <c r="BG208" s="544" t="s">
        <v>115</v>
      </c>
      <c r="BH208" s="741"/>
      <c r="BI208" s="547" t="s">
        <v>709</v>
      </c>
      <c r="BJ208" s="547" t="s">
        <v>709</v>
      </c>
      <c r="BK208" s="547" t="s">
        <v>116</v>
      </c>
      <c r="BL208" s="547" t="s">
        <v>116</v>
      </c>
      <c r="BM208" s="547" t="s">
        <v>709</v>
      </c>
      <c r="BN208" s="547">
        <v>189</v>
      </c>
      <c r="BO208" s="547" t="s">
        <v>709</v>
      </c>
      <c r="BP208" s="547" t="s">
        <v>709</v>
      </c>
      <c r="BQ208" s="547" t="s">
        <v>709</v>
      </c>
      <c r="BR208" s="547">
        <v>3731</v>
      </c>
      <c r="BS208" s="547">
        <v>2212</v>
      </c>
      <c r="BT208" s="547" t="s">
        <v>745</v>
      </c>
      <c r="BU208" s="547" t="s">
        <v>709</v>
      </c>
      <c r="BV208" s="547" t="s">
        <v>745</v>
      </c>
      <c r="BW208" s="547" t="s">
        <v>709</v>
      </c>
      <c r="BX208" s="547" t="s">
        <v>709</v>
      </c>
      <c r="BY208" s="547" t="s">
        <v>745</v>
      </c>
      <c r="BZ208" s="547" t="s">
        <v>709</v>
      </c>
      <c r="CA208" s="1269"/>
    </row>
    <row r="209" spans="1:79" s="879" customFormat="1" ht="15" hidden="1" customHeight="1" x14ac:dyDescent="0.25">
      <c r="A209" s="8" t="s">
        <v>781</v>
      </c>
      <c r="B209" s="8" t="s">
        <v>1073</v>
      </c>
      <c r="C209" s="8" t="s">
        <v>1360</v>
      </c>
      <c r="D209" s="8" t="s">
        <v>1361</v>
      </c>
      <c r="E209" s="8" t="s">
        <v>281</v>
      </c>
      <c r="F209" s="8" t="s">
        <v>784</v>
      </c>
      <c r="G209" s="8" t="s">
        <v>7152</v>
      </c>
      <c r="H209" s="8" t="s">
        <v>59</v>
      </c>
      <c r="I209" s="642">
        <v>44818</v>
      </c>
      <c r="J209" s="18">
        <v>44876</v>
      </c>
      <c r="K209" s="97">
        <v>44859</v>
      </c>
      <c r="L209" s="16">
        <v>17</v>
      </c>
      <c r="M209" s="642"/>
      <c r="N209" s="671" t="s">
        <v>120</v>
      </c>
      <c r="O209" s="1025">
        <v>44866</v>
      </c>
      <c r="P209" s="21" t="s">
        <v>739</v>
      </c>
      <c r="Q209" s="87">
        <v>18768.990100000003</v>
      </c>
      <c r="R209" s="1026">
        <v>7.0000000000000007E-2</v>
      </c>
      <c r="S209" s="538"/>
      <c r="T209" s="538"/>
      <c r="U209" s="87"/>
      <c r="V209" s="858">
        <v>1175</v>
      </c>
      <c r="W209" s="437"/>
      <c r="X209" s="570">
        <v>254704.24</v>
      </c>
      <c r="Y209" s="592"/>
      <c r="Z209" s="570">
        <v>13424.19</v>
      </c>
      <c r="AA209" s="552">
        <v>268128.43</v>
      </c>
      <c r="AB209" s="341">
        <v>44860</v>
      </c>
      <c r="AC209" s="568" t="s">
        <v>709</v>
      </c>
      <c r="AD209" s="1157" t="s">
        <v>116</v>
      </c>
      <c r="AE209" s="579"/>
      <c r="AF209" s="579"/>
      <c r="AG209" s="579"/>
      <c r="AH209" s="553"/>
      <c r="AI209" s="1036"/>
      <c r="AJ209" s="1037"/>
      <c r="AK209" s="1037"/>
      <c r="AL209" s="1038"/>
      <c r="AM209" s="536" t="s">
        <v>116</v>
      </c>
      <c r="AN209" s="680" t="s">
        <v>709</v>
      </c>
      <c r="AO209" s="681" t="s">
        <v>115</v>
      </c>
      <c r="AP209" s="572"/>
      <c r="AQ209" s="572"/>
      <c r="AR209" s="572"/>
      <c r="AS209" s="538">
        <f>IF(Table15910[[#This Row],[PCTS Approved]]="N",0,Table15910[[#This Row],[Investment Amount (1'#'#'#'#'#)]]+Table15910[[#This Row],[Retirement Amount (3'#'#'#'#'#)]])</f>
        <v>0</v>
      </c>
      <c r="AT209" s="538">
        <f>IF(Table15910[[#This Row],[Approved Construction Cost]]=0,0,Table15910[[#This Row],[Approved Construction Cost]]-Table15910[[#This Row],[Construction Cost to Bill From]])</f>
        <v>0</v>
      </c>
      <c r="AU209" s="538">
        <f>IFERROR(Table15910[[#This Row],[Difference in Construction Cost]]*Table15910[[#This Row],[Rate]],Table15910[[#This Row],[Difference in Construction Cost]]*0.085)</f>
        <v>0</v>
      </c>
      <c r="AV209" s="572"/>
      <c r="AW209" s="639"/>
      <c r="AX209" s="538"/>
      <c r="AY209" s="1035" t="s">
        <v>709</v>
      </c>
      <c r="AZ209" s="443">
        <v>11</v>
      </c>
      <c r="BA209" s="859" t="s">
        <v>1362</v>
      </c>
      <c r="BB209" s="644" t="s">
        <v>1363</v>
      </c>
      <c r="BC209" s="544" t="s">
        <v>115</v>
      </c>
      <c r="BD209" s="544" t="s">
        <v>115</v>
      </c>
      <c r="BE209" s="544" t="s">
        <v>1364</v>
      </c>
      <c r="BF209" s="544" t="s">
        <v>1364</v>
      </c>
      <c r="BG209" s="544" t="s">
        <v>115</v>
      </c>
      <c r="BH209" s="741"/>
      <c r="BI209" s="547" t="s">
        <v>709</v>
      </c>
      <c r="BJ209" s="547" t="s">
        <v>709</v>
      </c>
      <c r="BK209" s="547" t="s">
        <v>709</v>
      </c>
      <c r="BL209" s="547" t="s">
        <v>116</v>
      </c>
      <c r="BM209" s="547" t="s">
        <v>709</v>
      </c>
      <c r="BN209" s="547" t="s">
        <v>709</v>
      </c>
      <c r="BO209" s="547" t="s">
        <v>709</v>
      </c>
      <c r="BP209" s="547" t="s">
        <v>709</v>
      </c>
      <c r="BQ209" s="547" t="s">
        <v>709</v>
      </c>
      <c r="BR209" s="547">
        <v>1175</v>
      </c>
      <c r="BS209" s="547" t="s">
        <v>709</v>
      </c>
      <c r="BT209" s="547" t="s">
        <v>745</v>
      </c>
      <c r="BU209" s="547" t="s">
        <v>709</v>
      </c>
      <c r="BV209" s="547" t="s">
        <v>709</v>
      </c>
      <c r="BW209" s="547" t="s">
        <v>709</v>
      </c>
      <c r="BX209" s="547" t="s">
        <v>745</v>
      </c>
      <c r="BY209" s="547" t="s">
        <v>745</v>
      </c>
      <c r="BZ209" s="547" t="s">
        <v>709</v>
      </c>
      <c r="CA209" s="1269"/>
    </row>
    <row r="210" spans="1:79" s="879" customFormat="1" ht="15" hidden="1" customHeight="1" x14ac:dyDescent="0.25">
      <c r="A210" s="8" t="s">
        <v>749</v>
      </c>
      <c r="B210" s="8" t="s">
        <v>1073</v>
      </c>
      <c r="C210" s="8" t="s">
        <v>235</v>
      </c>
      <c r="D210" s="8" t="s">
        <v>1330</v>
      </c>
      <c r="E210" s="8" t="s">
        <v>236</v>
      </c>
      <c r="F210" s="8" t="s">
        <v>747</v>
      </c>
      <c r="G210" s="8" t="s">
        <v>7152</v>
      </c>
      <c r="H210" s="8" t="s">
        <v>59</v>
      </c>
      <c r="I210" s="642">
        <v>44715</v>
      </c>
      <c r="J210" s="18">
        <v>44799</v>
      </c>
      <c r="K210" s="97">
        <v>44797</v>
      </c>
      <c r="L210" s="16">
        <v>2</v>
      </c>
      <c r="M210" s="642"/>
      <c r="N210" s="642" t="s">
        <v>120</v>
      </c>
      <c r="O210" s="1058">
        <v>44805</v>
      </c>
      <c r="P210" s="21" t="s">
        <v>739</v>
      </c>
      <c r="Q210" s="1061">
        <v>126321.63390000002</v>
      </c>
      <c r="R210" s="1026">
        <v>7.0000000000000007E-2</v>
      </c>
      <c r="S210" s="538"/>
      <c r="T210" s="538"/>
      <c r="U210" s="87"/>
      <c r="V210" s="1220">
        <v>7490</v>
      </c>
      <c r="W210" s="437"/>
      <c r="X210" s="551">
        <v>1756139</v>
      </c>
      <c r="Y210" s="592"/>
      <c r="Z210" s="552">
        <v>48455.77</v>
      </c>
      <c r="AA210" s="552">
        <v>1804594.77</v>
      </c>
      <c r="AB210" s="341">
        <v>44798</v>
      </c>
      <c r="AC210" s="568" t="s">
        <v>116</v>
      </c>
      <c r="AD210" s="1157" t="s">
        <v>116</v>
      </c>
      <c r="AE210" s="579"/>
      <c r="AF210" s="579"/>
      <c r="AG210" s="579"/>
      <c r="AH210" s="553"/>
      <c r="AI210" s="1036"/>
      <c r="AJ210" s="1037"/>
      <c r="AK210" s="1037"/>
      <c r="AL210" s="1038"/>
      <c r="AM210" s="536" t="s">
        <v>116</v>
      </c>
      <c r="AN210" s="680" t="s">
        <v>709</v>
      </c>
      <c r="AO210" s="681">
        <v>11041926</v>
      </c>
      <c r="AP210" s="572"/>
      <c r="AQ210" s="572"/>
      <c r="AR210" s="572"/>
      <c r="AS210" s="538">
        <f>IF(Table15910[[#This Row],[PCTS Approved]]="N",0,Table15910[[#This Row],[Investment Amount (1'#'#'#'#'#)]]+Table15910[[#This Row],[Retirement Amount (3'#'#'#'#'#)]])</f>
        <v>0</v>
      </c>
      <c r="AT210" s="538">
        <f>IF(Table15910[[#This Row],[Approved Construction Cost]]=0,0,Table15910[[#This Row],[Approved Construction Cost]]-Table15910[[#This Row],[Construction Cost to Bill From]])</f>
        <v>0</v>
      </c>
      <c r="AU210" s="538">
        <f>IFERROR(Table15910[[#This Row],[Difference in Construction Cost]]*Table15910[[#This Row],[Rate]],Table15910[[#This Row],[Difference in Construction Cost]]*0.085)</f>
        <v>0</v>
      </c>
      <c r="AV210" s="572"/>
      <c r="AW210" s="639"/>
      <c r="AX210" s="538"/>
      <c r="AY210" s="1035" t="s">
        <v>709</v>
      </c>
      <c r="AZ210" s="443">
        <v>10</v>
      </c>
      <c r="BA210" s="859" t="s">
        <v>1331</v>
      </c>
      <c r="BB210" s="644" t="s">
        <v>1332</v>
      </c>
      <c r="BC210" s="544" t="s">
        <v>115</v>
      </c>
      <c r="BD210" s="544" t="s">
        <v>1333</v>
      </c>
      <c r="BE210" s="544" t="s">
        <v>1334</v>
      </c>
      <c r="BF210" s="544" t="s">
        <v>115</v>
      </c>
      <c r="BG210" s="544" t="s">
        <v>1335</v>
      </c>
      <c r="BH210" s="741"/>
      <c r="BI210" s="547" t="s">
        <v>709</v>
      </c>
      <c r="BJ210" s="547" t="s">
        <v>709</v>
      </c>
      <c r="BK210" s="547" t="s">
        <v>709</v>
      </c>
      <c r="BL210" s="547" t="s">
        <v>116</v>
      </c>
      <c r="BM210" s="547" t="s">
        <v>709</v>
      </c>
      <c r="BN210" s="547" t="s">
        <v>709</v>
      </c>
      <c r="BO210" s="547" t="s">
        <v>709</v>
      </c>
      <c r="BP210" s="547">
        <v>7001</v>
      </c>
      <c r="BQ210" s="547">
        <v>18</v>
      </c>
      <c r="BR210" s="547">
        <v>110</v>
      </c>
      <c r="BS210" s="547">
        <v>361</v>
      </c>
      <c r="BT210" s="547" t="s">
        <v>745</v>
      </c>
      <c r="BU210" s="547" t="s">
        <v>709</v>
      </c>
      <c r="BV210" s="547" t="s">
        <v>745</v>
      </c>
      <c r="BW210" s="547" t="s">
        <v>709</v>
      </c>
      <c r="BX210" s="547" t="s">
        <v>745</v>
      </c>
      <c r="BY210" s="547" t="s">
        <v>709</v>
      </c>
      <c r="BZ210" s="547" t="s">
        <v>709</v>
      </c>
      <c r="CA210" s="1269"/>
    </row>
    <row r="216" spans="1:79" x14ac:dyDescent="0.3">
      <c r="B216" s="1298" t="s">
        <v>1849</v>
      </c>
      <c r="C216" s="1298" t="s">
        <v>1850</v>
      </c>
    </row>
    <row r="217" spans="1:79" x14ac:dyDescent="0.3">
      <c r="B217" s="1299" t="s">
        <v>1851</v>
      </c>
      <c r="C217" s="1299"/>
    </row>
    <row r="218" spans="1:79" x14ac:dyDescent="0.3">
      <c r="B218" s="1300" t="s">
        <v>1852</v>
      </c>
      <c r="C218" s="1300" t="s">
        <v>1853</v>
      </c>
    </row>
    <row r="219" spans="1:79" x14ac:dyDescent="0.3">
      <c r="B219" s="1299" t="s">
        <v>1854</v>
      </c>
      <c r="C219" s="1299" t="s">
        <v>1855</v>
      </c>
    </row>
    <row r="220" spans="1:79" x14ac:dyDescent="0.3">
      <c r="B220" s="1300" t="s">
        <v>1856</v>
      </c>
      <c r="C220" s="1300" t="s">
        <v>1855</v>
      </c>
    </row>
    <row r="221" spans="1:79" x14ac:dyDescent="0.3">
      <c r="B221" s="1299" t="s">
        <v>1857</v>
      </c>
      <c r="C221" s="1299" t="s">
        <v>1858</v>
      </c>
    </row>
    <row r="222" spans="1:79" x14ac:dyDescent="0.3">
      <c r="B222" s="1299" t="s">
        <v>1860</v>
      </c>
      <c r="C222" s="1299" t="s">
        <v>1861</v>
      </c>
    </row>
    <row r="223" spans="1:79" x14ac:dyDescent="0.3">
      <c r="B223" s="1300" t="s">
        <v>1862</v>
      </c>
      <c r="C223" s="1300" t="s">
        <v>1863</v>
      </c>
    </row>
    <row r="224" spans="1:79" x14ac:dyDescent="0.3">
      <c r="B224" s="1299" t="s">
        <v>1864</v>
      </c>
      <c r="C224" s="1299" t="s">
        <v>9186</v>
      </c>
    </row>
    <row r="225" spans="2:3" x14ac:dyDescent="0.3">
      <c r="B225" s="1300" t="s">
        <v>1866</v>
      </c>
      <c r="C225" s="1300" t="s">
        <v>1867</v>
      </c>
    </row>
    <row r="226" spans="2:3" x14ac:dyDescent="0.3">
      <c r="B226" s="1299" t="s">
        <v>1868</v>
      </c>
      <c r="C226" s="1299"/>
    </row>
    <row r="227" spans="2:3" x14ac:dyDescent="0.3">
      <c r="B227" s="1300" t="s">
        <v>1870</v>
      </c>
      <c r="C227" s="1300" t="s">
        <v>1871</v>
      </c>
    </row>
    <row r="228" spans="2:3" x14ac:dyDescent="0.3">
      <c r="B228" s="1299" t="s">
        <v>1872</v>
      </c>
      <c r="C228" s="1299" t="s">
        <v>1873</v>
      </c>
    </row>
    <row r="229" spans="2:3" x14ac:dyDescent="0.3">
      <c r="B229" s="1300" t="s">
        <v>1859</v>
      </c>
      <c r="C229" s="1300" t="s">
        <v>9187</v>
      </c>
    </row>
    <row r="230" spans="2:3" x14ac:dyDescent="0.3">
      <c r="B230" s="1299" t="s">
        <v>6887</v>
      </c>
      <c r="C230" s="1299" t="s">
        <v>9188</v>
      </c>
    </row>
    <row r="231" spans="2:3" x14ac:dyDescent="0.3">
      <c r="B231" s="1300" t="s">
        <v>9189</v>
      </c>
      <c r="C231" s="1300" t="s">
        <v>9190</v>
      </c>
    </row>
    <row r="232" spans="2:3" x14ac:dyDescent="0.3">
      <c r="B232" s="1299" t="s">
        <v>9191</v>
      </c>
      <c r="C232" s="1299" t="s">
        <v>9192</v>
      </c>
    </row>
    <row r="233" spans="2:3" x14ac:dyDescent="0.3">
      <c r="B233" s="1300" t="s">
        <v>9193</v>
      </c>
      <c r="C233" s="1300" t="s">
        <v>9194</v>
      </c>
    </row>
  </sheetData>
  <mergeCells count="4">
    <mergeCell ref="S1:U1"/>
    <mergeCell ref="BI1:BL1"/>
    <mergeCell ref="BM1:BS1"/>
    <mergeCell ref="BT1:BY1"/>
  </mergeCells>
  <pageMargins left="0.7" right="0.7" top="0.75" bottom="0.75" header="0.3" footer="0.3"/>
  <pageSetup orientation="portrait" r:id="rId1"/>
  <legacy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file>

<file path=customXml/item3.xml>�� 
</file>

<file path=customXml/item4.xml><?xml version="1.0" encoding="utf-8"?>
<?mso-contentType ?>
<SharedContentType xmlns="Microsoft.SharePoint.Taxonomy.ContentTypeSync" SourceId="781a52b0-d0f4-44f0-98bb-0d102f5fd161" ContentTypeId="0x0101" PreviousValue="false"/>
</file>

<file path=customXml/item5.xml><?xml version="1.0" encoding="utf-8"?>
<ct:contentTypeSchema xmlns:ct="http://schemas.microsoft.com/office/2006/metadata/contentType" xmlns:ma="http://schemas.microsoft.com/office/2006/metadata/properties/metaAttributes" ct:_="" ma:_="" ma:contentTypeName="Document" ma:contentTypeID="0x0101009037A7BC8A23E744BFF7FBB7B60008FD" ma:contentTypeVersion="21" ma:contentTypeDescription="Create a new document." ma:contentTypeScope="" ma:versionID="107c80e82ec913b2866ea4b6af109eb4">
  <xsd:schema xmlns:xsd="http://www.w3.org/2001/XMLSchema" xmlns:xs="http://www.w3.org/2001/XMLSchema" xmlns:p="http://schemas.microsoft.com/office/2006/metadata/properties" xmlns:ns2="c18e8617-fc0f-4dda-a87a-c0ec120ddf92" xmlns:ns3="2212c7de-8d54-4c1c-b32e-5e67db9a0ddb" xmlns:ns4="5bf0a0b1-e64c-4d30-acb4-db4131b9256a" targetNamespace="http://schemas.microsoft.com/office/2006/metadata/properties" ma:root="true" ma:fieldsID="3299cf894dc7a673f674537892cbdd62" ns2:_="" ns3:_="" ns4:_="">
    <xsd:import namespace="c18e8617-fc0f-4dda-a87a-c0ec120ddf92"/>
    <xsd:import namespace="2212c7de-8d54-4c1c-b32e-5e67db9a0ddb"/>
    <xsd:import namespace="5bf0a0b1-e64c-4d30-acb4-db4131b9256a"/>
    <xsd:element name="properties">
      <xsd:complexType>
        <xsd:sequence>
          <xsd:element name="documentManagement">
            <xsd:complexType>
              <xsd:all>
                <xsd:element ref="ns2:_dlc_DocId" minOccurs="0"/>
                <xsd:element ref="ns2:_dlc_DocIdUrl" minOccurs="0"/>
                <xsd:element ref="ns2:_dlc_DocIdPersistId" minOccurs="0"/>
                <xsd:element ref="ns3:MediaServiceMetadata" minOccurs="0"/>
                <xsd:element ref="ns3:MediaServiceFastMetadata" minOccurs="0"/>
                <xsd:element ref="ns3:MediaServiceGenerationTime" minOccurs="0"/>
                <xsd:element ref="ns3:MediaServiceEventHashCode" minOccurs="0"/>
                <xsd:element ref="ns4:SharedWithUsers" minOccurs="0"/>
                <xsd:element ref="ns4:SharedWithDetails" minOccurs="0"/>
                <xsd:element ref="ns3:MediaServiceDateTaken" minOccurs="0"/>
                <xsd:element ref="ns3:MediaServiceLocation"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4: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18e8617-fc0f-4dda-a87a-c0ec120ddf92"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2212c7de-8d54-4c1c-b32e-5e67db9a0ddb"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MediaLengthInSeconds" ma:index="22" nillable="true" ma:displayName="MediaLengthInSeconds" ma:hidden="true"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781a52b0-d0f4-44f0-98bb-0d102f5fd161"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6" nillable="true" ma:displayName="MediaServiceObjectDetectorVersions" ma:hidden="true" ma:indexed="true" ma:internalName="MediaServiceObjectDetectorVersions" ma:readOnly="true">
      <xsd:simpleType>
        <xsd:restriction base="dms:Text"/>
      </xsd:simpleType>
    </xsd:element>
    <xsd:element name="MediaServiceSearchProperties" ma:index="2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bf0a0b1-e64c-4d30-acb4-db4131b9256a"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2a82e99b-be97-434e-9906-0296855d76e6}" ma:internalName="TaxCatchAll" ma:showField="CatchAllData" ma:web="5bf0a0b1-e64c-4d30-acb4-db4131b9256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xml version="1.0" encoding="utf-8"?>
<p:properties xmlns:p="http://schemas.microsoft.com/office/2006/metadata/properties" xmlns:xsi="http://www.w3.org/2001/XMLSchema-instance" xmlns:pc="http://schemas.microsoft.com/office/infopath/2007/PartnerControls">
  <documentManagement>
    <SharedWithUsers xmlns="5bf0a0b1-e64c-4d30-acb4-db4131b9256a">
      <UserInfo>
        <DisplayName>Crofton, Lucy</DisplayName>
        <AccountId>30</AccountId>
        <AccountType/>
      </UserInfo>
      <UserInfo>
        <DisplayName>Pelrine, Steven</DisplayName>
        <AccountId>31</AccountId>
        <AccountType/>
      </UserInfo>
    </SharedWithUsers>
    <TaxCatchAll xmlns="5bf0a0b1-e64c-4d30-acb4-db4131b9256a" xsi:nil="true"/>
    <lcf76f155ced4ddcb4097134ff3c332f xmlns="2212c7de-8d54-4c1c-b32e-5e67db9a0dd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87AA1163-46E7-420F-A023-B095044136AD}">
  <ds:schemaRefs>
    <ds:schemaRef ds:uri="http://schemas.microsoft.com/sharepoint/v3/contenttype/forms"/>
  </ds:schemaRefs>
</ds:datastoreItem>
</file>

<file path=customXml/itemProps2.xml><?xml version="1.0" encoding="utf-8"?>
<ds:datastoreItem xmlns:ds="http://schemas.openxmlformats.org/officeDocument/2006/customXml" ds:itemID="{63812B4F-0814-48D0-8847-8708624F7F84}">
  <ds:schemaRefs>
    <ds:schemaRef ds:uri="http://schemas.microsoft.com/sharepoint/events"/>
  </ds:schemaRefs>
</ds:datastoreItem>
</file>

<file path=customXml/itemProps3.xml><?xml version="1.0" encoding="utf-8"?>
<ds:datastoreItem xmlns:ds="http://schemas.openxmlformats.org/officeDocument/2006/customXml" ds:itemID="{43ED09D8-B94B-4D2B-AA2D-EEED627A8B27}">
  <ds:schemaRefs>
    <ds:schemaRef ds:uri="http://schemas.microsoft.com/DataMashup"/>
  </ds:schemaRefs>
</ds:datastoreItem>
</file>

<file path=customXml/itemProps4.xml><?xml version="1.0" encoding="utf-8"?>
<ds:datastoreItem xmlns:ds="http://schemas.openxmlformats.org/officeDocument/2006/customXml" ds:itemID="{64CAD78F-07A8-4B87-81E4-8469B9E376A4}">
  <ds:schemaRefs>
    <ds:schemaRef ds:uri="Microsoft.SharePoint.Taxonomy.ContentTypeSync"/>
  </ds:schemaRefs>
</ds:datastoreItem>
</file>

<file path=customXml/itemProps5.xml><?xml version="1.0" encoding="utf-8"?>
<ds:datastoreItem xmlns:ds="http://schemas.openxmlformats.org/officeDocument/2006/customXml" ds:itemID="{F3C9CF22-9C9C-466C-B855-3A51AB1791B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18e8617-fc0f-4dda-a87a-c0ec120ddf92"/>
    <ds:schemaRef ds:uri="2212c7de-8d54-4c1c-b32e-5e67db9a0ddb"/>
    <ds:schemaRef ds:uri="5bf0a0b1-e64c-4d30-acb4-db4131b9256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B3EB90A9-1FDA-4701-A289-A590ABAE6554}">
  <ds:schemaRefs>
    <ds:schemaRef ds:uri="http://www.w3.org/XML/1998/namespace"/>
    <ds:schemaRef ds:uri="http://schemas.microsoft.com/office/2006/documentManagement/types"/>
    <ds:schemaRef ds:uri="http://purl.org/dc/elements/1.1/"/>
    <ds:schemaRef ds:uri="http://schemas.microsoft.com/office/infopath/2007/PartnerControls"/>
    <ds:schemaRef ds:uri="2212c7de-8d54-4c1c-b32e-5e67db9a0ddb"/>
    <ds:schemaRef ds:uri="http://purl.org/dc/dcmitype/"/>
    <ds:schemaRef ds:uri="http://purl.org/dc/terms/"/>
    <ds:schemaRef ds:uri="c18e8617-fc0f-4dda-a87a-c0ec120ddf92"/>
    <ds:schemaRef ds:uri="http://schemas.openxmlformats.org/package/2006/metadata/core-properties"/>
    <ds:schemaRef ds:uri="5bf0a0b1-e64c-4d30-acb4-db4131b9256a"/>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Reporting</vt:lpstr>
      <vt:lpstr>RequisitionsOLD</vt:lpstr>
      <vt:lpstr>2024 - RECONCILE 2</vt:lpstr>
      <vt:lpstr>Completed Projects Archive</vt:lpstr>
      <vt:lpstr>2025 - RECONCILE 1</vt:lpstr>
      <vt:lpstr>CRA &amp; TW Projects</vt:lpstr>
      <vt:lpstr>Non-DOT Projects</vt:lpstr>
      <vt:lpstr>DOT Projects</vt:lpstr>
      <vt:lpstr>T&amp;M</vt:lpstr>
      <vt:lpstr>Requisitions</vt:lpstr>
      <vt:lpstr>Completed Projects</vt:lpstr>
      <vt:lpstr>2025 - RECONCILE 2</vt:lpstr>
      <vt:lpstr>'Completed Projects'!Print_Area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Whitson, Bryan</dc:creator>
  <cp:keywords/>
  <dc:description/>
  <cp:lastModifiedBy>Molloy, Michael</cp:lastModifiedBy>
  <cp:revision/>
  <dcterms:created xsi:type="dcterms:W3CDTF">2019-03-01T15:19:48Z</dcterms:created>
  <dcterms:modified xsi:type="dcterms:W3CDTF">2025-09-18T21:04:33Z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0x0101009037A7BC8A23E744BFF7FBB7B60008FD</vt:lpwstr>
  </property>
  <property fmtid="{D5CDD505-2E9C-101B-9397-08002B2CF9AE}" pid="3" name="MediaServiceImageTags">
    <vt:lpwstr/>
  </property>
  <property fmtid="{D5CDD505-2E9C-101B-9397-08002B2CF9AE}" pid="4" name="Folder_Number">
    <vt:lpwstr/>
  </property>
  <property fmtid="{D5CDD505-2E9C-101B-9397-08002B2CF9AE}" pid="5" name="Folder_Code">
    <vt:lpwstr/>
  </property>
  <property fmtid="{D5CDD505-2E9C-101B-9397-08002B2CF9AE}" pid="6" name="Folder_Name">
    <vt:lpwstr/>
  </property>
  <property fmtid="{D5CDD505-2E9C-101B-9397-08002B2CF9AE}" pid="7" name="Folder_Description">
    <vt:lpwstr/>
  </property>
  <property fmtid="{D5CDD505-2E9C-101B-9397-08002B2CF9AE}" pid="8" name="/Folder_Name/">
    <vt:lpwstr/>
  </property>
  <property fmtid="{D5CDD505-2E9C-101B-9397-08002B2CF9AE}" pid="9" name="/Folder_Description/">
    <vt:lpwstr/>
  </property>
  <property fmtid="{D5CDD505-2E9C-101B-9397-08002B2CF9AE}" pid="10" name="Folder_Version">
    <vt:lpwstr/>
  </property>
  <property fmtid="{D5CDD505-2E9C-101B-9397-08002B2CF9AE}" pid="11" name="Folder_VersionSeq">
    <vt:lpwstr/>
  </property>
  <property fmtid="{D5CDD505-2E9C-101B-9397-08002B2CF9AE}" pid="12" name="Folder_Manager">
    <vt:lpwstr/>
  </property>
  <property fmtid="{D5CDD505-2E9C-101B-9397-08002B2CF9AE}" pid="13" name="Folder_ManagerDesc">
    <vt:lpwstr/>
  </property>
  <property fmtid="{D5CDD505-2E9C-101B-9397-08002B2CF9AE}" pid="14" name="Folder_Storage">
    <vt:lpwstr/>
  </property>
  <property fmtid="{D5CDD505-2E9C-101B-9397-08002B2CF9AE}" pid="15" name="Folder_StorageDesc">
    <vt:lpwstr/>
  </property>
  <property fmtid="{D5CDD505-2E9C-101B-9397-08002B2CF9AE}" pid="16" name="Folder_Creator">
    <vt:lpwstr/>
  </property>
  <property fmtid="{D5CDD505-2E9C-101B-9397-08002B2CF9AE}" pid="17" name="Folder_CreatorDesc">
    <vt:lpwstr/>
  </property>
  <property fmtid="{D5CDD505-2E9C-101B-9397-08002B2CF9AE}" pid="18" name="Folder_CreateDate">
    <vt:lpwstr/>
  </property>
  <property fmtid="{D5CDD505-2E9C-101B-9397-08002B2CF9AE}" pid="19" name="Folder_Updater">
    <vt:lpwstr/>
  </property>
  <property fmtid="{D5CDD505-2E9C-101B-9397-08002B2CF9AE}" pid="20" name="Folder_UpdaterDesc">
    <vt:lpwstr/>
  </property>
  <property fmtid="{D5CDD505-2E9C-101B-9397-08002B2CF9AE}" pid="21" name="Folder_UpdateDate">
    <vt:lpwstr/>
  </property>
  <property fmtid="{D5CDD505-2E9C-101B-9397-08002B2CF9AE}" pid="22" name="Document_Number">
    <vt:lpwstr/>
  </property>
  <property fmtid="{D5CDD505-2E9C-101B-9397-08002B2CF9AE}" pid="23" name="Document_Name">
    <vt:lpwstr/>
  </property>
  <property fmtid="{D5CDD505-2E9C-101B-9397-08002B2CF9AE}" pid="24" name="Document_FileName">
    <vt:lpwstr/>
  </property>
  <property fmtid="{D5CDD505-2E9C-101B-9397-08002B2CF9AE}" pid="25" name="Document_Version">
    <vt:lpwstr/>
  </property>
  <property fmtid="{D5CDD505-2E9C-101B-9397-08002B2CF9AE}" pid="26" name="Document_VersionSeq">
    <vt:lpwstr/>
  </property>
  <property fmtid="{D5CDD505-2E9C-101B-9397-08002B2CF9AE}" pid="27" name="Document_Creator">
    <vt:lpwstr/>
  </property>
  <property fmtid="{D5CDD505-2E9C-101B-9397-08002B2CF9AE}" pid="28" name="Document_CreatorDesc">
    <vt:lpwstr/>
  </property>
  <property fmtid="{D5CDD505-2E9C-101B-9397-08002B2CF9AE}" pid="29" name="Document_CreateDate">
    <vt:lpwstr/>
  </property>
  <property fmtid="{D5CDD505-2E9C-101B-9397-08002B2CF9AE}" pid="30" name="Document_Updater">
    <vt:lpwstr/>
  </property>
  <property fmtid="{D5CDD505-2E9C-101B-9397-08002B2CF9AE}" pid="31" name="Document_UpdaterDesc">
    <vt:lpwstr/>
  </property>
  <property fmtid="{D5CDD505-2E9C-101B-9397-08002B2CF9AE}" pid="32" name="Document_UpdateDate">
    <vt:lpwstr/>
  </property>
  <property fmtid="{D5CDD505-2E9C-101B-9397-08002B2CF9AE}" pid="33" name="Document_Size">
    <vt:lpwstr/>
  </property>
  <property fmtid="{D5CDD505-2E9C-101B-9397-08002B2CF9AE}" pid="34" name="Document_Storage">
    <vt:lpwstr/>
  </property>
  <property fmtid="{D5CDD505-2E9C-101B-9397-08002B2CF9AE}" pid="35" name="Document_StorageDesc">
    <vt:lpwstr/>
  </property>
  <property fmtid="{D5CDD505-2E9C-101B-9397-08002B2CF9AE}" pid="36" name="Document_Department">
    <vt:lpwstr/>
  </property>
  <property fmtid="{D5CDD505-2E9C-101B-9397-08002B2CF9AE}" pid="37" name="Document_DepartmentDesc">
    <vt:lpwstr/>
  </property>
</Properties>
</file>